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ashanth Education\Great Lakes Business Analytics\Capstone Project\Capstone Workings\Data Files\Ratios\"/>
    </mc:Choice>
  </mc:AlternateContent>
  <bookViews>
    <workbookView xWindow="0" yWindow="0" windowWidth="23040" windowHeight="8808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I476" i="1" l="1"/>
  <c r="AW476" i="1"/>
  <c r="CN476" i="1"/>
  <c r="AB476" i="1"/>
  <c r="BS476" i="1"/>
  <c r="G476" i="1"/>
  <c r="AX476" i="1"/>
  <c r="CS471" i="1"/>
  <c r="AG471" i="1"/>
  <c r="CF471" i="1"/>
  <c r="DC471" i="1"/>
  <c r="AQ471" i="1"/>
  <c r="CP471" i="1"/>
  <c r="AD471" i="1"/>
  <c r="AN466" i="1"/>
  <c r="BG466" i="1"/>
  <c r="CS466" i="1"/>
  <c r="AV466" i="1"/>
  <c r="BJ466" i="1"/>
  <c r="CW466" i="1"/>
  <c r="AR466" i="1"/>
  <c r="CI461" i="1"/>
  <c r="CY461" i="1"/>
  <c r="CH461" i="1"/>
  <c r="V461" i="1"/>
  <c r="BQ461" i="1"/>
  <c r="CV461" i="1"/>
  <c r="DI456" i="1"/>
  <c r="CV456" i="1"/>
  <c r="BL456" i="1"/>
  <c r="CE456" i="1"/>
  <c r="BZ456" i="1"/>
  <c r="CK476" i="1"/>
  <c r="DH476" i="1"/>
  <c r="X476" i="1"/>
  <c r="AU476" i="1"/>
  <c r="BR476" i="1"/>
  <c r="CO471" i="1"/>
  <c r="I471" i="1"/>
  <c r="AN471" i="1"/>
  <c r="AM471" i="1"/>
  <c r="BR471" i="1"/>
  <c r="CV466" i="1"/>
  <c r="BC466" i="1"/>
  <c r="AW466" i="1"/>
  <c r="CD466" i="1"/>
  <c r="CO466" i="1"/>
  <c r="DD461" i="1"/>
  <c r="BC461" i="1"/>
  <c r="CD461" i="1"/>
  <c r="DE461" i="1"/>
  <c r="U461" i="1"/>
  <c r="DE456" i="1"/>
  <c r="AF456" i="1"/>
  <c r="CY456" i="1"/>
  <c r="BV456" i="1"/>
  <c r="CK456" i="1"/>
  <c r="AZ456" i="1"/>
  <c r="DE651" i="1"/>
  <c r="BQ649" i="1"/>
  <c r="CZ651" i="1"/>
  <c r="BL649" i="1"/>
  <c r="CU651" i="1"/>
  <c r="BG649" i="1"/>
  <c r="CG476" i="1"/>
  <c r="CZ476" i="1"/>
  <c r="T476" i="1"/>
  <c r="AQ476" i="1"/>
  <c r="BJ476" i="1"/>
  <c r="CK471" i="1"/>
  <c r="AB471" i="1"/>
  <c r="AF471" i="1"/>
  <c r="AI471" i="1"/>
  <c r="BN471" i="1"/>
  <c r="BX466" i="1"/>
  <c r="AY466" i="1"/>
  <c r="AO466" i="1"/>
  <c r="BV466" i="1"/>
  <c r="CG466" i="1"/>
  <c r="CR461" i="1"/>
  <c r="S461" i="1"/>
  <c r="BZ461" i="1"/>
  <c r="DA461" i="1"/>
  <c r="M461" i="1"/>
  <c r="DA456" i="1"/>
  <c r="T456" i="1"/>
  <c r="CQ456" i="1"/>
  <c r="BR456" i="1"/>
  <c r="CC456" i="1"/>
  <c r="AJ456" i="1"/>
  <c r="CO651" i="1"/>
  <c r="BA649" i="1"/>
  <c r="CJ651" i="1"/>
  <c r="AV649" i="1"/>
  <c r="CE651" i="1"/>
  <c r="AQ649" i="1"/>
  <c r="M476" i="1"/>
  <c r="BG476" i="1"/>
  <c r="DA471" i="1"/>
  <c r="AV471" i="1"/>
  <c r="CD471" i="1"/>
  <c r="BO466" i="1"/>
  <c r="CL466" i="1"/>
  <c r="L466" i="1"/>
  <c r="CP461" i="1"/>
  <c r="AC461" i="1"/>
  <c r="BP456" i="1"/>
  <c r="CH456" i="1"/>
  <c r="BX456" i="1"/>
  <c r="CW649" i="1"/>
  <c r="CR649" i="1"/>
  <c r="CM649" i="1"/>
  <c r="CD647" i="1"/>
  <c r="Y651" i="1"/>
  <c r="CO648" i="1"/>
  <c r="T651" i="1"/>
  <c r="CJ648" i="1"/>
  <c r="O651" i="1"/>
  <c r="CS650" i="1"/>
  <c r="BE648" i="1"/>
  <c r="CN650" i="1"/>
  <c r="AZ648" i="1"/>
  <c r="CI650" i="1"/>
  <c r="BJ652" i="1"/>
  <c r="J647" i="1"/>
  <c r="CG652" i="1"/>
  <c r="AS650" i="1"/>
  <c r="CS476" i="1"/>
  <c r="Q476" i="1"/>
  <c r="AR476" i="1"/>
  <c r="BC476" i="1"/>
  <c r="CD476" i="1"/>
  <c r="DI471" i="1"/>
  <c r="Q471" i="1"/>
  <c r="AZ471" i="1"/>
  <c r="BG471" i="1"/>
  <c r="BZ471" i="1"/>
  <c r="U466" i="1"/>
  <c r="BW466" i="1"/>
  <c r="BM466" i="1"/>
  <c r="CP466" i="1"/>
  <c r="N466" i="1"/>
  <c r="AG461" i="1"/>
  <c r="X461" i="1"/>
  <c r="CX461" i="1"/>
  <c r="F461" i="1"/>
  <c r="AK461" i="1"/>
  <c r="BK461" i="1"/>
  <c r="BD456" i="1"/>
  <c r="S456" i="1"/>
  <c r="CP456" i="1"/>
  <c r="BQ476" i="1"/>
  <c r="BP476" i="1"/>
  <c r="BO476" i="1"/>
  <c r="AT476" i="1"/>
  <c r="BA471" i="1"/>
  <c r="BH471" i="1"/>
  <c r="S471" i="1"/>
  <c r="Z471" i="1"/>
  <c r="CA466" i="1"/>
  <c r="CZ466" i="1"/>
  <c r="AL466" i="1"/>
  <c r="AF466" i="1"/>
  <c r="CU461" i="1"/>
  <c r="AP461" i="1"/>
  <c r="AS461" i="1"/>
  <c r="CG456" i="1"/>
  <c r="AV456" i="1"/>
  <c r="CT456" i="1"/>
  <c r="BE456" i="1"/>
  <c r="G456" i="1"/>
  <c r="Y650" i="1"/>
  <c r="AN651" i="1"/>
  <c r="AR648" i="1"/>
  <c r="O650" i="1"/>
  <c r="BI476" i="1"/>
  <c r="BL476" i="1"/>
  <c r="BK476" i="1"/>
  <c r="AP476" i="1"/>
  <c r="AS471" i="1"/>
  <c r="BD471" i="1"/>
  <c r="O471" i="1"/>
  <c r="V471" i="1"/>
  <c r="BS466" i="1"/>
  <c r="CF466" i="1"/>
  <c r="AH466" i="1"/>
  <c r="T466" i="1"/>
  <c r="CQ461" i="1"/>
  <c r="AH461" i="1"/>
  <c r="AO461" i="1"/>
  <c r="BY456" i="1"/>
  <c r="AN456" i="1"/>
  <c r="CL456" i="1"/>
  <c r="BA456" i="1"/>
  <c r="DI652" i="1"/>
  <c r="I650" i="1"/>
  <c r="X651" i="1"/>
  <c r="CY652" i="1"/>
  <c r="DC649" i="1"/>
  <c r="CB476" i="1"/>
  <c r="BZ476" i="1"/>
  <c r="CN471" i="1"/>
  <c r="AL471" i="1"/>
  <c r="BU466" i="1"/>
  <c r="Y466" i="1"/>
  <c r="AX461" i="1"/>
  <c r="AE461" i="1"/>
  <c r="BS456" i="1"/>
  <c r="AM456" i="1"/>
  <c r="AB652" i="1"/>
  <c r="DG650" i="1"/>
  <c r="DE652" i="1"/>
  <c r="DI649" i="1"/>
  <c r="CF651" i="1"/>
  <c r="CU652" i="1"/>
  <c r="I652" i="1"/>
  <c r="M649" i="1"/>
  <c r="AB650" i="1"/>
  <c r="DC651" i="1"/>
  <c r="DG648" i="1"/>
  <c r="BB646" i="1"/>
  <c r="BM651" i="1"/>
  <c r="BQ648" i="1"/>
  <c r="CZ650" i="1"/>
  <c r="BL648" i="1"/>
  <c r="CU650" i="1"/>
  <c r="DF652" i="1"/>
  <c r="V647" i="1"/>
  <c r="CL652" i="1"/>
  <c r="AP645" i="1"/>
  <c r="CR647" i="1"/>
  <c r="CE644" i="1"/>
  <c r="AQ642" i="1"/>
  <c r="DG639" i="1"/>
  <c r="CK647" i="1"/>
  <c r="BZ644" i="1"/>
  <c r="AL642" i="1"/>
  <c r="F645" i="1"/>
  <c r="BQ647" i="1"/>
  <c r="BK644" i="1"/>
  <c r="W642" i="1"/>
  <c r="CM639" i="1"/>
  <c r="BK647" i="1"/>
  <c r="BF644" i="1"/>
  <c r="R642" i="1"/>
  <c r="AP650" i="1"/>
  <c r="DH642" i="1"/>
  <c r="Z645" i="1"/>
  <c r="CG647" i="1"/>
  <c r="BW644" i="1"/>
  <c r="AI642" i="1"/>
  <c r="CY639" i="1"/>
  <c r="CA647" i="1"/>
  <c r="DB646" i="1"/>
  <c r="AX651" i="1"/>
  <c r="CC476" i="1"/>
  <c r="DD476" i="1"/>
  <c r="L476" i="1"/>
  <c r="AM476" i="1"/>
  <c r="BN476" i="1"/>
  <c r="CC471" i="1"/>
  <c r="L471" i="1"/>
  <c r="AJ471" i="1"/>
  <c r="AA471" i="1"/>
  <c r="BJ471" i="1"/>
  <c r="CJ466" i="1"/>
  <c r="AQ466" i="1"/>
  <c r="AG466" i="1"/>
  <c r="BZ466" i="1"/>
  <c r="BQ466" i="1"/>
  <c r="CJ461" i="1"/>
  <c r="AI461" i="1"/>
  <c r="BR461" i="1"/>
  <c r="CW461" i="1"/>
  <c r="Q461" i="1"/>
  <c r="CS456" i="1"/>
  <c r="H456" i="1"/>
  <c r="CU456" i="1"/>
  <c r="BJ456" i="1"/>
  <c r="AS476" i="1"/>
  <c r="AV476" i="1"/>
  <c r="AA476" i="1"/>
  <c r="Z476" i="1"/>
  <c r="AC471" i="1"/>
  <c r="CY471" i="1"/>
  <c r="H471" i="1"/>
  <c r="F471" i="1"/>
  <c r="AI466" i="1"/>
  <c r="AJ466" i="1"/>
  <c r="R466" i="1"/>
  <c r="BD461" i="1"/>
  <c r="AY461" i="1"/>
  <c r="R461" i="1"/>
  <c r="CN461" i="1"/>
  <c r="AO456" i="1"/>
  <c r="AU456" i="1"/>
  <c r="BB456" i="1"/>
  <c r="Y456" i="1"/>
  <c r="BM652" i="1"/>
  <c r="DI648" i="1"/>
  <c r="CF650" i="1"/>
  <c r="BC652" i="1"/>
  <c r="CY648" i="1"/>
  <c r="AO476" i="1"/>
  <c r="AN476" i="1"/>
  <c r="S476" i="1"/>
  <c r="V476" i="1"/>
  <c r="Y471" i="1"/>
  <c r="CU471" i="1"/>
  <c r="DB471" i="1"/>
  <c r="T471" i="1"/>
  <c r="AE466" i="1"/>
  <c r="X466" i="1"/>
  <c r="J466" i="1"/>
  <c r="AJ461" i="1"/>
  <c r="AM461" i="1"/>
  <c r="N461" i="1"/>
  <c r="CF461" i="1"/>
  <c r="AC456" i="1"/>
  <c r="AI456" i="1"/>
  <c r="AX456" i="1"/>
  <c r="U456" i="1"/>
  <c r="AW652" i="1"/>
  <c r="CS648" i="1"/>
  <c r="BP650" i="1"/>
  <c r="AM652" i="1"/>
  <c r="CI648" i="1"/>
  <c r="AJ476" i="1"/>
  <c r="AL476" i="1"/>
  <c r="CQ471" i="1"/>
  <c r="Q466" i="1"/>
  <c r="BT466" i="1"/>
  <c r="AB461" i="1"/>
  <c r="J461" i="1"/>
  <c r="BI456" i="1"/>
  <c r="AP456" i="1"/>
  <c r="AG652" i="1"/>
  <c r="H651" i="1"/>
  <c r="BS648" i="1"/>
  <c r="AS652" i="1"/>
  <c r="AW649" i="1"/>
  <c r="BL650" i="1"/>
  <c r="AI652" i="1"/>
  <c r="BA651" i="1"/>
  <c r="BP652" i="1"/>
  <c r="BT649" i="1"/>
  <c r="AQ651" i="1"/>
  <c r="V650" i="1"/>
  <c r="CT645" i="1"/>
  <c r="DE650" i="1"/>
  <c r="CB652" i="1"/>
  <c r="AN650" i="1"/>
  <c r="BW652" i="1"/>
  <c r="AI650" i="1"/>
  <c r="BR650" i="1"/>
  <c r="BN646" i="1"/>
  <c r="BS649" i="1"/>
  <c r="BB651" i="1"/>
  <c r="K647" i="1"/>
  <c r="S644" i="1"/>
  <c r="CI641" i="1"/>
  <c r="AU639" i="1"/>
  <c r="DH646" i="1"/>
  <c r="N644" i="1"/>
  <c r="CU648" i="1"/>
  <c r="CD650" i="1"/>
  <c r="CN646" i="1"/>
  <c r="DC643" i="1"/>
  <c r="BO641" i="1"/>
  <c r="AA639" i="1"/>
  <c r="CG646" i="1"/>
  <c r="CX643" i="1"/>
  <c r="BJ641" i="1"/>
  <c r="Q647" i="1"/>
  <c r="AM649" i="1"/>
  <c r="V651" i="1"/>
  <c r="DD646" i="1"/>
  <c r="K644" i="1"/>
  <c r="CA641" i="1"/>
  <c r="AM639" i="1"/>
  <c r="CW646" i="1"/>
  <c r="CH645" i="1"/>
  <c r="BM476" i="1"/>
  <c r="BX476" i="1"/>
  <c r="CY476" i="1"/>
  <c r="W476" i="1"/>
  <c r="AH476" i="1"/>
  <c r="BM471" i="1"/>
  <c r="CV471" i="1"/>
  <c r="CM471" i="1"/>
  <c r="K471" i="1"/>
  <c r="AT471" i="1"/>
  <c r="DC466" i="1"/>
  <c r="AA466" i="1"/>
  <c r="CR466" i="1"/>
  <c r="AT466" i="1"/>
  <c r="AK466" i="1"/>
  <c r="AZ461" i="1"/>
  <c r="CA461" i="1"/>
  <c r="BB461" i="1"/>
  <c r="CG461" i="1"/>
  <c r="BP461" i="1"/>
  <c r="BQ456" i="1"/>
  <c r="DH456" i="1"/>
  <c r="BG456" i="1"/>
  <c r="AT456" i="1"/>
  <c r="Y476" i="1"/>
  <c r="DG476" i="1"/>
  <c r="DF476" i="1"/>
  <c r="F476" i="1"/>
  <c r="CZ471" i="1"/>
  <c r="CE471" i="1"/>
  <c r="CL471" i="1"/>
  <c r="AB466" i="1"/>
  <c r="O466" i="1"/>
  <c r="CX466" i="1"/>
  <c r="BA466" i="1"/>
  <c r="BS461" i="1"/>
  <c r="DB461" i="1"/>
  <c r="CK461" i="1"/>
  <c r="AV461" i="1"/>
  <c r="CF456" i="1"/>
  <c r="CA456" i="1"/>
  <c r="AH456" i="1"/>
  <c r="CN456" i="1"/>
  <c r="AS651" i="1"/>
  <c r="AW648" i="1"/>
  <c r="T650" i="1"/>
  <c r="AI651" i="1"/>
  <c r="AD652" i="1"/>
  <c r="U476" i="1"/>
  <c r="DC476" i="1"/>
  <c r="DB476" i="1"/>
  <c r="DE471" i="1"/>
  <c r="CR471" i="1"/>
  <c r="CA471" i="1"/>
  <c r="CH471" i="1"/>
  <c r="P466" i="1"/>
  <c r="G466" i="1"/>
  <c r="CT466" i="1"/>
  <c r="AS466" i="1"/>
  <c r="BG461" i="1"/>
  <c r="CT461" i="1"/>
  <c r="CC461" i="1"/>
  <c r="AR461" i="1"/>
  <c r="BT456" i="1"/>
  <c r="BW456" i="1"/>
  <c r="AD456" i="1"/>
  <c r="CJ456" i="1"/>
  <c r="AC651" i="1"/>
  <c r="DD652" i="1"/>
  <c r="DH649" i="1"/>
  <c r="S651" i="1"/>
  <c r="CW476" i="1"/>
  <c r="CU476" i="1"/>
  <c r="BI471" i="1"/>
  <c r="AY471" i="1"/>
  <c r="DG466" i="1"/>
  <c r="AX466" i="1"/>
  <c r="H461" i="1"/>
  <c r="BY461" i="1"/>
  <c r="CR456" i="1"/>
  <c r="J456" i="1"/>
  <c r="M651" i="1"/>
  <c r="BX648" i="1"/>
  <c r="BB650" i="1"/>
  <c r="CK651" i="1"/>
  <c r="CZ652" i="1"/>
  <c r="DD649" i="1"/>
  <c r="CA651" i="1"/>
  <c r="AG650" i="1"/>
  <c r="DH651" i="1"/>
  <c r="H649" i="1"/>
  <c r="W650" i="1"/>
  <c r="AD648" i="1"/>
  <c r="AH645" i="1"/>
  <c r="CK649" i="1"/>
  <c r="P652" i="1"/>
  <c r="CF649" i="1"/>
  <c r="K652" i="1"/>
  <c r="CA649" i="1"/>
  <c r="AT648" i="1"/>
  <c r="DF645" i="1"/>
  <c r="AH648" i="1"/>
  <c r="N649" i="1"/>
  <c r="AG646" i="1"/>
  <c r="BK643" i="1"/>
  <c r="W641" i="1"/>
  <c r="CM638" i="1"/>
  <c r="AA646" i="1"/>
  <c r="BF643" i="1"/>
  <c r="BJ647" i="1"/>
  <c r="AY648" i="1"/>
  <c r="G646" i="1"/>
  <c r="AQ643" i="1"/>
  <c r="DG640" i="1"/>
  <c r="CT652" i="1"/>
  <c r="DD645" i="1"/>
  <c r="AL643" i="1"/>
  <c r="DB640" i="1"/>
  <c r="BK645" i="1"/>
  <c r="DF647" i="1"/>
  <c r="CL648" i="1"/>
  <c r="W646" i="1"/>
  <c r="AG476" i="1"/>
  <c r="R476" i="1"/>
  <c r="DF471" i="1"/>
  <c r="DF466" i="1"/>
  <c r="W461" i="1"/>
  <c r="AG456" i="1"/>
  <c r="CJ476" i="1"/>
  <c r="CB471" i="1"/>
  <c r="CK466" i="1"/>
  <c r="BJ461" i="1"/>
  <c r="AA456" i="1"/>
  <c r="BH652" i="1"/>
  <c r="CF476" i="1"/>
  <c r="BX471" i="1"/>
  <c r="CC466" i="1"/>
  <c r="BF461" i="1"/>
  <c r="K456" i="1"/>
  <c r="AR652" i="1"/>
  <c r="O476" i="1"/>
  <c r="F466" i="1"/>
  <c r="AS456" i="1"/>
  <c r="BQ650" i="1"/>
  <c r="BY649" i="1"/>
  <c r="BV647" i="1"/>
  <c r="T649" i="1"/>
  <c r="AT645" i="1"/>
  <c r="DC642" i="1"/>
  <c r="CX642" i="1"/>
  <c r="CI642" i="1"/>
  <c r="CD642" i="1"/>
  <c r="AP649" i="1"/>
  <c r="O641" i="1"/>
  <c r="AQ650" i="1"/>
  <c r="O648" i="1"/>
  <c r="BT476" i="1"/>
  <c r="K476" i="1"/>
  <c r="BE471" i="1"/>
  <c r="CI471" i="1"/>
  <c r="AH471" i="1"/>
  <c r="S466" i="1"/>
  <c r="AP466" i="1"/>
  <c r="P461" i="1"/>
  <c r="AT461" i="1"/>
  <c r="BH461" i="1"/>
  <c r="CB456" i="1"/>
  <c r="AL456" i="1"/>
  <c r="W456" i="1"/>
  <c r="BM648" i="1"/>
  <c r="BH648" i="1"/>
  <c r="CP652" i="1"/>
  <c r="CO652" i="1"/>
  <c r="BA650" i="1"/>
  <c r="CJ652" i="1"/>
  <c r="AV650" i="1"/>
  <c r="CE652" i="1"/>
  <c r="BE652" i="1"/>
  <c r="Q650" i="1"/>
  <c r="AZ652" i="1"/>
  <c r="L650" i="1"/>
  <c r="AU652" i="1"/>
  <c r="G650" i="1"/>
  <c r="BN649" i="1"/>
  <c r="AL646" i="1"/>
  <c r="DI651" i="1"/>
  <c r="BU649" i="1"/>
  <c r="DD651" i="1"/>
  <c r="BP649" i="1"/>
  <c r="CY651" i="1"/>
  <c r="BK649" i="1"/>
  <c r="Z648" i="1"/>
  <c r="CP645" i="1"/>
  <c r="BZ647" i="1"/>
  <c r="BG648" i="1"/>
  <c r="L646" i="1"/>
  <c r="AU643" i="1"/>
  <c r="G641" i="1"/>
  <c r="BW638" i="1"/>
  <c r="DI645" i="1"/>
  <c r="AP643" i="1"/>
  <c r="N647" i="1"/>
  <c r="F652" i="1"/>
  <c r="CO645" i="1"/>
  <c r="AA643" i="1"/>
  <c r="CQ640" i="1"/>
  <c r="BZ651" i="1"/>
  <c r="CI645" i="1"/>
  <c r="V643" i="1"/>
  <c r="CL640" i="1"/>
  <c r="T645" i="1"/>
  <c r="AT647" i="1"/>
  <c r="CX652" i="1"/>
  <c r="DE645" i="1"/>
  <c r="AM643" i="1"/>
  <c r="DC640" i="1"/>
  <c r="BN652" i="1"/>
  <c r="CI649" i="1"/>
  <c r="BR651" i="1"/>
  <c r="BY476" i="1"/>
  <c r="BF476" i="1"/>
  <c r="AE471" i="1"/>
  <c r="AC466" i="1"/>
  <c r="DG461" i="1"/>
  <c r="CW456" i="1"/>
  <c r="BU456" i="1"/>
  <c r="BT651" i="1"/>
  <c r="AH649" i="1"/>
  <c r="CC649" i="1"/>
  <c r="BX649" i="1"/>
  <c r="CG651" i="1"/>
  <c r="CB651" i="1"/>
  <c r="BW651" i="1"/>
  <c r="DB647" i="1"/>
  <c r="AG651" i="1"/>
  <c r="AB651" i="1"/>
  <c r="W651" i="1"/>
  <c r="BB647" i="1"/>
  <c r="DB645" i="1"/>
  <c r="M645" i="1"/>
  <c r="AI640" i="1"/>
  <c r="G645" i="1"/>
  <c r="BR645" i="1"/>
  <c r="CQ644" i="1"/>
  <c r="BH476" i="1"/>
  <c r="AW471" i="1"/>
  <c r="N471" i="1"/>
  <c r="AD466" i="1"/>
  <c r="AL461" i="1"/>
  <c r="P456" i="1"/>
  <c r="CM476" i="1"/>
  <c r="BK471" i="1"/>
  <c r="BF466" i="1"/>
  <c r="BM461" i="1"/>
  <c r="R456" i="1"/>
  <c r="DD648" i="1"/>
  <c r="CE476" i="1"/>
  <c r="BC471" i="1"/>
  <c r="BB466" i="1"/>
  <c r="BI461" i="1"/>
  <c r="N456" i="1"/>
  <c r="CN648" i="1"/>
  <c r="U471" i="1"/>
  <c r="CM461" i="1"/>
  <c r="CC648" i="1"/>
  <c r="AN652" i="1"/>
  <c r="AV651" i="1"/>
  <c r="U652" i="1"/>
  <c r="BC651" i="1"/>
  <c r="BJ646" i="1"/>
  <c r="BO640" i="1"/>
  <c r="Z646" i="1"/>
  <c r="AU640" i="1"/>
  <c r="AP640" i="1"/>
  <c r="AS645" i="1"/>
  <c r="BG640" i="1"/>
  <c r="CX650" i="1"/>
  <c r="CO476" i="1"/>
  <c r="AF476" i="1"/>
  <c r="BV476" i="1"/>
  <c r="M471" i="1"/>
  <c r="AU471" i="1"/>
  <c r="DH466" i="1"/>
  <c r="BE466" i="1"/>
  <c r="DI466" i="1"/>
  <c r="BW461" i="1"/>
  <c r="DI461" i="1"/>
  <c r="O461" i="1"/>
  <c r="DC456" i="1"/>
  <c r="F456" i="1"/>
  <c r="Q652" i="1"/>
  <c r="L652" i="1"/>
  <c r="G652" i="1"/>
  <c r="CT649" i="1"/>
  <c r="AC652" i="1"/>
  <c r="CS649" i="1"/>
  <c r="X652" i="1"/>
  <c r="CN649" i="1"/>
  <c r="S652" i="1"/>
  <c r="CW651" i="1"/>
  <c r="BI649" i="1"/>
  <c r="CR651" i="1"/>
  <c r="BD649" i="1"/>
  <c r="CM651" i="1"/>
  <c r="AY649" i="1"/>
  <c r="N648" i="1"/>
  <c r="CD645" i="1"/>
  <c r="AW651" i="1"/>
  <c r="I649" i="1"/>
  <c r="AR651" i="1"/>
  <c r="DH648" i="1"/>
  <c r="AM651" i="1"/>
  <c r="DC648" i="1"/>
  <c r="BR647" i="1"/>
  <c r="AD645" i="1"/>
  <c r="AD646" i="1"/>
  <c r="CH648" i="1"/>
  <c r="AI645" i="1"/>
  <c r="CM642" i="1"/>
  <c r="AY640" i="1"/>
  <c r="BC648" i="1"/>
  <c r="AB645" i="1"/>
  <c r="CH642" i="1"/>
  <c r="CX645" i="1"/>
  <c r="Y648" i="1"/>
  <c r="H645" i="1"/>
  <c r="BS642" i="1"/>
  <c r="AE640" i="1"/>
  <c r="S648" i="1"/>
  <c r="DE644" i="1"/>
  <c r="BN642" i="1"/>
  <c r="Z640" i="1"/>
  <c r="CV643" i="1"/>
  <c r="N646" i="1"/>
  <c r="AQ648" i="1"/>
  <c r="X645" i="1"/>
  <c r="CE642" i="1"/>
  <c r="AQ640" i="1"/>
  <c r="AI648" i="1"/>
  <c r="BJ648" i="1"/>
  <c r="AD649" i="1"/>
  <c r="CV476" i="1"/>
  <c r="CG471" i="1"/>
  <c r="BF471" i="1"/>
  <c r="BR466" i="1"/>
  <c r="BV461" i="1"/>
  <c r="BC456" i="1"/>
  <c r="X456" i="1"/>
  <c r="AF649" i="1"/>
  <c r="AX647" i="1"/>
  <c r="BI648" i="1"/>
  <c r="BD648" i="1"/>
  <c r="BM650" i="1"/>
  <c r="BH650" i="1"/>
  <c r="BC650" i="1"/>
  <c r="CH646" i="1"/>
  <c r="M650" i="1"/>
  <c r="H650" i="1"/>
  <c r="DG649" i="1"/>
  <c r="AH646" i="1"/>
  <c r="AH650" i="1"/>
  <c r="CQ643" i="1"/>
  <c r="O639" i="1"/>
  <c r="CL643" i="1"/>
  <c r="BJ649" i="1"/>
  <c r="BW643" i="1"/>
  <c r="CY638" i="1"/>
  <c r="BR643" i="1"/>
  <c r="AN646" i="1"/>
  <c r="DF649" i="1"/>
  <c r="CI643" i="1"/>
  <c r="G639" i="1"/>
  <c r="CI476" i="1"/>
  <c r="BP471" i="1"/>
  <c r="CM466" i="1"/>
  <c r="CN466" i="1"/>
  <c r="BA461" i="1"/>
  <c r="DF456" i="1"/>
  <c r="CL476" i="1"/>
  <c r="AX471" i="1"/>
  <c r="DD466" i="1"/>
  <c r="CE461" i="1"/>
  <c r="BK456" i="1"/>
  <c r="CA650" i="1"/>
  <c r="CH476" i="1"/>
  <c r="AP471" i="1"/>
  <c r="CB466" i="1"/>
  <c r="AU461" i="1"/>
  <c r="AY456" i="1"/>
  <c r="BK650" i="1"/>
  <c r="G471" i="1"/>
  <c r="BX461" i="1"/>
  <c r="W652" i="1"/>
  <c r="AR649" i="1"/>
  <c r="BK652" i="1"/>
  <c r="Y649" i="1"/>
  <c r="O649" i="1"/>
  <c r="DB649" i="1"/>
  <c r="BR649" i="1"/>
  <c r="BF648" i="1"/>
  <c r="AP648" i="1"/>
  <c r="X644" i="1"/>
  <c r="BC643" i="1"/>
  <c r="CE638" i="1"/>
  <c r="AP652" i="1"/>
  <c r="BA476" i="1"/>
  <c r="CQ476" i="1"/>
  <c r="AD476" i="1"/>
  <c r="CJ471" i="1"/>
  <c r="X471" i="1"/>
  <c r="CY466" i="1"/>
  <c r="BH466" i="1"/>
  <c r="I466" i="1"/>
  <c r="BO461" i="1"/>
  <c r="BU461" i="1"/>
  <c r="AW456" i="1"/>
  <c r="AQ456" i="1"/>
  <c r="AK456" i="1"/>
  <c r="DA650" i="1"/>
  <c r="CV650" i="1"/>
  <c r="CQ650" i="1"/>
  <c r="V648" i="1"/>
  <c r="BU651" i="1"/>
  <c r="AG649" i="1"/>
  <c r="BP651" i="1"/>
  <c r="AB649" i="1"/>
  <c r="BK651" i="1"/>
  <c r="AK651" i="1"/>
  <c r="DA648" i="1"/>
  <c r="AF651" i="1"/>
  <c r="CV648" i="1"/>
  <c r="AA651" i="1"/>
  <c r="CQ648" i="1"/>
  <c r="BF647" i="1"/>
  <c r="R645" i="1"/>
  <c r="CO650" i="1"/>
  <c r="BA648" i="1"/>
  <c r="CJ650" i="1"/>
  <c r="AV648" i="1"/>
  <c r="CE650" i="1"/>
  <c r="AT652" i="1"/>
  <c r="F647" i="1"/>
  <c r="Z652" i="1"/>
  <c r="J645" i="1"/>
  <c r="BW647" i="1"/>
  <c r="BO644" i="1"/>
  <c r="AA642" i="1"/>
  <c r="CQ639" i="1"/>
  <c r="BP647" i="1"/>
  <c r="BJ644" i="1"/>
  <c r="BW650" i="1"/>
  <c r="BV652" i="1"/>
  <c r="AV647" i="1"/>
  <c r="AU644" i="1"/>
  <c r="G642" i="1"/>
  <c r="BW639" i="1"/>
  <c r="AO647" i="1"/>
  <c r="AP644" i="1"/>
  <c r="DF641" i="1"/>
  <c r="AK648" i="1"/>
  <c r="CB642" i="1"/>
  <c r="CX644" i="1"/>
  <c r="BL647" i="1"/>
  <c r="BG644" i="1"/>
  <c r="S642" i="1"/>
  <c r="CI639" i="1"/>
  <c r="BE647" i="1"/>
  <c r="BV646" i="1"/>
  <c r="AD650" i="1"/>
  <c r="P476" i="1"/>
  <c r="DH471" i="1"/>
  <c r="BL466" i="1"/>
  <c r="BY466" i="1"/>
  <c r="CS461" i="1"/>
  <c r="CM456" i="1"/>
  <c r="BY651" i="1"/>
  <c r="BO651" i="1"/>
  <c r="M652" i="1"/>
  <c r="H652" i="1"/>
  <c r="DG651" i="1"/>
  <c r="AS649" i="1"/>
  <c r="AN649" i="1"/>
  <c r="AI649" i="1"/>
  <c r="BN645" i="1"/>
  <c r="CW648" i="1"/>
  <c r="CR648" i="1"/>
  <c r="CM648" i="1"/>
  <c r="N645" i="1"/>
  <c r="AE648" i="1"/>
  <c r="BW642" i="1"/>
  <c r="X648" i="1"/>
  <c r="BR642" i="1"/>
  <c r="DH647" i="1"/>
  <c r="BC642" i="1"/>
  <c r="DA647" i="1"/>
  <c r="AX642" i="1"/>
  <c r="BP643" i="1"/>
  <c r="T648" i="1"/>
  <c r="BO642" i="1"/>
  <c r="CT476" i="1"/>
  <c r="AF461" i="1"/>
  <c r="BT461" i="1"/>
  <c r="BQ471" i="1"/>
  <c r="BU650" i="1"/>
  <c r="AL648" i="1"/>
  <c r="CH647" i="1"/>
  <c r="W645" i="1"/>
  <c r="CP649" i="1"/>
  <c r="AR471" i="1"/>
  <c r="I461" i="1"/>
  <c r="CD456" i="1"/>
  <c r="BW649" i="1"/>
  <c r="DH650" i="1"/>
  <c r="AO648" i="1"/>
  <c r="DB651" i="1"/>
  <c r="BL652" i="1"/>
  <c r="F650" i="1"/>
  <c r="CS646" i="1"/>
  <c r="CM646" i="1"/>
  <c r="BS646" i="1"/>
  <c r="BL646" i="1"/>
  <c r="CE648" i="1"/>
  <c r="BK641" i="1"/>
  <c r="CW647" i="1"/>
  <c r="CB461" i="1"/>
  <c r="AA649" i="1"/>
  <c r="CV652" i="1"/>
  <c r="AV652" i="1"/>
  <c r="BX646" i="1"/>
  <c r="AW646" i="1"/>
  <c r="CL644" i="1"/>
  <c r="CL645" i="1"/>
  <c r="AA640" i="1"/>
  <c r="V645" i="1"/>
  <c r="Q646" i="1"/>
  <c r="AY643" i="1"/>
  <c r="K641" i="1"/>
  <c r="CA638" i="1"/>
  <c r="K646" i="1"/>
  <c r="AT643" i="1"/>
  <c r="F641" i="1"/>
  <c r="CF645" i="1"/>
  <c r="AX643" i="1"/>
  <c r="AV644" i="1"/>
  <c r="L639" i="1"/>
  <c r="AW643" i="1"/>
  <c r="P639" i="1"/>
  <c r="CR643" i="1"/>
  <c r="AT639" i="1"/>
  <c r="DB637" i="1"/>
  <c r="BN635" i="1"/>
  <c r="Z633" i="1"/>
  <c r="BZ642" i="1"/>
  <c r="BX643" i="1"/>
  <c r="BZ650" i="1"/>
  <c r="I643" i="1"/>
  <c r="CS638" i="1"/>
  <c r="BD643" i="1"/>
  <c r="T639" i="1"/>
  <c r="CH637" i="1"/>
  <c r="AT635" i="1"/>
  <c r="Z641" i="1"/>
  <c r="CF641" i="1"/>
  <c r="M647" i="1"/>
  <c r="CK641" i="1"/>
  <c r="BX647" i="1"/>
  <c r="AB642" i="1"/>
  <c r="BI643" i="1"/>
  <c r="BU476" i="1"/>
  <c r="BB476" i="1"/>
  <c r="W471" i="1"/>
  <c r="M466" i="1"/>
  <c r="DC461" i="1"/>
  <c r="CO456" i="1"/>
  <c r="BM456" i="1"/>
  <c r="BD651" i="1"/>
  <c r="BZ648" i="1"/>
  <c r="BM649" i="1"/>
  <c r="BH649" i="1"/>
  <c r="BQ651" i="1"/>
  <c r="BL651" i="1"/>
  <c r="BG651" i="1"/>
  <c r="CL647" i="1"/>
  <c r="Q651" i="1"/>
  <c r="L651" i="1"/>
  <c r="G651" i="1"/>
  <c r="AL647" i="1"/>
  <c r="BV645" i="1"/>
  <c r="CV644" i="1"/>
  <c r="S640" i="1"/>
  <c r="CP644" i="1"/>
  <c r="AL645" i="1"/>
  <c r="CA644" i="1"/>
  <c r="DC639" i="1"/>
  <c r="BV644" i="1"/>
  <c r="CD652" i="1"/>
  <c r="BF645" i="1"/>
  <c r="CM644" i="1"/>
  <c r="K640" i="1"/>
  <c r="AD647" i="1"/>
  <c r="CC646" i="1"/>
  <c r="CU643" i="1"/>
  <c r="BG641" i="1"/>
  <c r="S639" i="1"/>
  <c r="BW646" i="1"/>
  <c r="CP643" i="1"/>
  <c r="BB641" i="1"/>
  <c r="CZ646" i="1"/>
  <c r="AM645" i="1"/>
  <c r="BT646" i="1"/>
  <c r="BX639" i="1"/>
  <c r="AK644" i="1"/>
  <c r="CB639" i="1"/>
  <c r="CF644" i="1"/>
  <c r="DH639" i="1"/>
  <c r="AT638" i="1"/>
  <c r="F636" i="1"/>
  <c r="BV633" i="1"/>
  <c r="BB644" i="1"/>
  <c r="BU645" i="1"/>
  <c r="AW639" i="1"/>
  <c r="DA643" i="1"/>
  <c r="BA639" i="1"/>
  <c r="AR644" i="1"/>
  <c r="CF639" i="1"/>
  <c r="Z638" i="1"/>
  <c r="CP635" i="1"/>
  <c r="N642" i="1"/>
  <c r="CZ642" i="1"/>
  <c r="AG648" i="1"/>
  <c r="BY642" i="1"/>
  <c r="AD651" i="1"/>
  <c r="CA476" i="1"/>
  <c r="CI466" i="1"/>
  <c r="BE461" i="1"/>
  <c r="BE650" i="1"/>
  <c r="BE651" i="1"/>
  <c r="AU651" i="1"/>
  <c r="CF648" i="1"/>
  <c r="DF644" i="1"/>
  <c r="DC652" i="1"/>
  <c r="CM650" i="1"/>
  <c r="K642" i="1"/>
  <c r="K650" i="1"/>
  <c r="CU641" i="1"/>
  <c r="CP641" i="1"/>
  <c r="AQ647" i="1"/>
  <c r="AJ647" i="1"/>
  <c r="DA644" i="1"/>
  <c r="W640" i="1"/>
  <c r="CU644" i="1"/>
  <c r="R640" i="1"/>
  <c r="J641" i="1"/>
  <c r="CV646" i="1"/>
  <c r="BC647" i="1"/>
  <c r="DA642" i="1"/>
  <c r="BZ634" i="1"/>
  <c r="BZ640" i="1"/>
  <c r="AU646" i="1"/>
  <c r="DE646" i="1"/>
  <c r="BA641" i="1"/>
  <c r="BF634" i="1"/>
  <c r="DD639" i="1"/>
  <c r="DI639" i="1"/>
  <c r="CZ641" i="1"/>
  <c r="BR638" i="1"/>
  <c r="V644" i="1"/>
  <c r="AE645" i="1"/>
  <c r="AL639" i="1"/>
  <c r="CK643" i="1"/>
  <c r="AP639" i="1"/>
  <c r="AB644" i="1"/>
  <c r="BU639" i="1"/>
  <c r="R638" i="1"/>
  <c r="CH635" i="1"/>
  <c r="AT633" i="1"/>
  <c r="F631" i="1"/>
  <c r="N632" i="1"/>
  <c r="BI638" i="1"/>
  <c r="U636" i="1"/>
  <c r="CK633" i="1"/>
  <c r="CT639" i="1"/>
  <c r="BX636" i="1"/>
  <c r="AJ634" i="1"/>
  <c r="CZ631" i="1"/>
  <c r="CU635" i="1"/>
  <c r="H630" i="1"/>
  <c r="BC628" i="1"/>
  <c r="K638" i="1"/>
  <c r="DF631" i="1"/>
  <c r="BE638" i="1"/>
  <c r="Q636" i="1"/>
  <c r="CG633" i="1"/>
  <c r="BY639" i="1"/>
  <c r="BT636" i="1"/>
  <c r="AF634" i="1"/>
  <c r="CV631" i="1"/>
  <c r="CE635" i="1"/>
  <c r="DH629" i="1"/>
  <c r="AY628" i="1"/>
  <c r="F634" i="1"/>
  <c r="BA643" i="1"/>
  <c r="Q637" i="1"/>
  <c r="CG634" i="1"/>
  <c r="BR648" i="1"/>
  <c r="BT637" i="1"/>
  <c r="AF635" i="1"/>
  <c r="CV632" i="1"/>
  <c r="BL645" i="1"/>
  <c r="AO631" i="1"/>
  <c r="BT628" i="1"/>
  <c r="Z631" i="1"/>
  <c r="DE637" i="1"/>
  <c r="BQ635" i="1"/>
  <c r="AC633" i="1"/>
  <c r="BD638" i="1"/>
  <c r="P636" i="1"/>
  <c r="CF633" i="1"/>
  <c r="AR631" i="1"/>
  <c r="BW633" i="1"/>
  <c r="BD629" i="1"/>
  <c r="DG633" i="1"/>
  <c r="CQ635" i="1"/>
  <c r="G630" i="1"/>
  <c r="DE629" i="1"/>
  <c r="S633" i="1"/>
  <c r="AP629" i="1"/>
  <c r="AM631" i="1"/>
  <c r="BE630" i="1"/>
  <c r="BI631" i="1"/>
  <c r="AH628" i="1"/>
  <c r="AK628" i="1"/>
  <c r="CG625" i="1"/>
  <c r="CN625" i="1"/>
  <c r="AZ623" i="1"/>
  <c r="CI625" i="1"/>
  <c r="CL626" i="1"/>
  <c r="BD622" i="1"/>
  <c r="BR626" i="1"/>
  <c r="AY622" i="1"/>
  <c r="K620" i="1"/>
  <c r="AH621" i="1"/>
  <c r="X628" i="1"/>
  <c r="CM630" i="1"/>
  <c r="BY629" i="1"/>
  <c r="M631" i="1"/>
  <c r="N628" i="1"/>
  <c r="DA627" i="1"/>
  <c r="DH627" i="1"/>
  <c r="BT625" i="1"/>
  <c r="DC627" i="1"/>
  <c r="BO625" i="1"/>
  <c r="J626" i="1"/>
  <c r="AJ622" i="1"/>
  <c r="BW471" i="1"/>
  <c r="DE476" i="1"/>
  <c r="O456" i="1"/>
  <c r="CQ466" i="1"/>
  <c r="BE476" i="1"/>
  <c r="BU652" i="1"/>
  <c r="BD645" i="1"/>
  <c r="AT646" i="1"/>
  <c r="I476" i="1"/>
  <c r="BV471" i="1"/>
  <c r="CL461" i="1"/>
  <c r="BH456" i="1"/>
  <c r="BN647" i="1"/>
  <c r="BT648" i="1"/>
  <c r="BX650" i="1"/>
  <c r="CX646" i="1"/>
  <c r="X650" i="1"/>
  <c r="AX646" i="1"/>
  <c r="DG643" i="1"/>
  <c r="DB643" i="1"/>
  <c r="CM643" i="1"/>
  <c r="CH643" i="1"/>
  <c r="BN650" i="1"/>
  <c r="W639" i="1"/>
  <c r="AI476" i="1"/>
  <c r="DH461" i="1"/>
  <c r="CW650" i="1"/>
  <c r="CQ652" i="1"/>
  <c r="AQ652" i="1"/>
  <c r="BC641" i="1"/>
  <c r="AI641" i="1"/>
  <c r="AD641" i="1"/>
  <c r="BM646" i="1"/>
  <c r="M648" i="1"/>
  <c r="BV648" i="1"/>
  <c r="AN645" i="1"/>
  <c r="CQ642" i="1"/>
  <c r="BC640" i="1"/>
  <c r="CD648" i="1"/>
  <c r="AG645" i="1"/>
  <c r="CL642" i="1"/>
  <c r="AX640" i="1"/>
  <c r="AN644" i="1"/>
  <c r="BV641" i="1"/>
  <c r="X642" i="1"/>
  <c r="BY647" i="1"/>
  <c r="AC642" i="1"/>
  <c r="AF648" i="1"/>
  <c r="BX642" i="1"/>
  <c r="BA645" i="1"/>
  <c r="AP637" i="1"/>
  <c r="DF634" i="1"/>
  <c r="BR632" i="1"/>
  <c r="AH641" i="1"/>
  <c r="CN641" i="1"/>
  <c r="X647" i="1"/>
  <c r="CS641" i="1"/>
  <c r="CI647" i="1"/>
  <c r="AJ642" i="1"/>
  <c r="CO643" i="1"/>
  <c r="V637" i="1"/>
  <c r="CL634" i="1"/>
  <c r="F640" i="1"/>
  <c r="BL640" i="1"/>
  <c r="BG645" i="1"/>
  <c r="BQ640" i="1"/>
  <c r="M646" i="1"/>
  <c r="H641" i="1"/>
  <c r="X639" i="1"/>
  <c r="CR476" i="1"/>
  <c r="BY471" i="1"/>
  <c r="BB471" i="1"/>
  <c r="BN466" i="1"/>
  <c r="BN461" i="1"/>
  <c r="AE456" i="1"/>
  <c r="L456" i="1"/>
  <c r="P649" i="1"/>
  <c r="AH647" i="1"/>
  <c r="AS648" i="1"/>
  <c r="AN648" i="1"/>
  <c r="AW650" i="1"/>
  <c r="AR650" i="1"/>
  <c r="AM650" i="1"/>
  <c r="BR646" i="1"/>
  <c r="DA649" i="1"/>
  <c r="CV649" i="1"/>
  <c r="CQ649" i="1"/>
  <c r="R646" i="1"/>
  <c r="BZ649" i="1"/>
  <c r="CA643" i="1"/>
  <c r="DC638" i="1"/>
  <c r="BV643" i="1"/>
  <c r="DB648" i="1"/>
  <c r="BG643" i="1"/>
  <c r="CI638" i="1"/>
  <c r="BB643" i="1"/>
  <c r="DA645" i="1"/>
  <c r="AT649" i="1"/>
  <c r="BS643" i="1"/>
  <c r="CU638" i="1"/>
  <c r="CT644" i="1"/>
  <c r="CZ645" i="1"/>
  <c r="AI643" i="1"/>
  <c r="CY640" i="1"/>
  <c r="AH652" i="1"/>
  <c r="CS645" i="1"/>
  <c r="AD643" i="1"/>
  <c r="CT640" i="1"/>
  <c r="AO645" i="1"/>
  <c r="CP642" i="1"/>
  <c r="CN643" i="1"/>
  <c r="AH651" i="1"/>
  <c r="Q643" i="1"/>
  <c r="CX638" i="1"/>
  <c r="BL643" i="1"/>
  <c r="Y639" i="1"/>
  <c r="CL637" i="1"/>
  <c r="AX635" i="1"/>
  <c r="J633" i="1"/>
  <c r="V642" i="1"/>
  <c r="L643" i="1"/>
  <c r="AX648" i="1"/>
  <c r="CG642" i="1"/>
  <c r="CP651" i="1"/>
  <c r="X643" i="1"/>
  <c r="AB648" i="1"/>
  <c r="BR637" i="1"/>
  <c r="AD635" i="1"/>
  <c r="CX640" i="1"/>
  <c r="AZ641" i="1"/>
  <c r="CA646" i="1"/>
  <c r="BE641" i="1"/>
  <c r="AG647" i="1"/>
  <c r="N476" i="1"/>
  <c r="H466" i="1"/>
  <c r="Q456" i="1"/>
  <c r="AZ650" i="1"/>
  <c r="Q649" i="1"/>
  <c r="U651" i="1"/>
  <c r="K651" i="1"/>
  <c r="BY650" i="1"/>
  <c r="BO650" i="1"/>
  <c r="DB652" i="1"/>
  <c r="CA639" i="1"/>
  <c r="CX651" i="1"/>
  <c r="BG639" i="1"/>
  <c r="CY647" i="1"/>
  <c r="AQ644" i="1"/>
  <c r="AP646" i="1"/>
  <c r="CE643" i="1"/>
  <c r="DG638" i="1"/>
  <c r="BZ643" i="1"/>
  <c r="BI646" i="1"/>
  <c r="CQ645" i="1"/>
  <c r="DI643" i="1"/>
  <c r="AZ644" i="1"/>
  <c r="AD638" i="1"/>
  <c r="BF633" i="1"/>
  <c r="CR644" i="1"/>
  <c r="BU643" i="1"/>
  <c r="L644" i="1"/>
  <c r="J638" i="1"/>
  <c r="CL641" i="1"/>
  <c r="CU647" i="1"/>
  <c r="CT648" i="1"/>
  <c r="AZ640" i="1"/>
  <c r="CT637" i="1"/>
  <c r="F642" i="1"/>
  <c r="CJ642" i="1"/>
  <c r="W648" i="1"/>
  <c r="BQ642" i="1"/>
  <c r="BV650" i="1"/>
  <c r="H643" i="1"/>
  <c r="AY647" i="1"/>
  <c r="BJ637" i="1"/>
  <c r="V635" i="1"/>
  <c r="CL632" i="1"/>
  <c r="T646" i="1"/>
  <c r="R631" i="1"/>
  <c r="DA637" i="1"/>
  <c r="BM635" i="1"/>
  <c r="Y633" i="1"/>
  <c r="AZ638" i="1"/>
  <c r="L636" i="1"/>
  <c r="CB633" i="1"/>
  <c r="AN631" i="1"/>
  <c r="BG633" i="1"/>
  <c r="AZ629" i="1"/>
  <c r="BK633" i="1"/>
  <c r="CA635" i="1"/>
  <c r="N631" i="1"/>
  <c r="CW637" i="1"/>
  <c r="BI635" i="1"/>
  <c r="U633" i="1"/>
  <c r="AV638" i="1"/>
  <c r="H636" i="1"/>
  <c r="BX633" i="1"/>
  <c r="AJ631" i="1"/>
  <c r="AQ633" i="1"/>
  <c r="AV629" i="1"/>
  <c r="AE633" i="1"/>
  <c r="CP632" i="1"/>
  <c r="R639" i="1"/>
  <c r="BI636" i="1"/>
  <c r="U634" i="1"/>
  <c r="CK642" i="1"/>
  <c r="H637" i="1"/>
  <c r="BX634" i="1"/>
  <c r="AJ632" i="1"/>
  <c r="AQ637" i="1"/>
  <c r="AV630" i="1"/>
  <c r="BR634" i="1"/>
  <c r="CG645" i="1"/>
  <c r="AS637" i="1"/>
  <c r="DI634" i="1"/>
  <c r="BU632" i="1"/>
  <c r="CV637" i="1"/>
  <c r="BH635" i="1"/>
  <c r="T633" i="1"/>
  <c r="CJ630" i="1"/>
  <c r="CS631" i="1"/>
  <c r="CV628" i="1"/>
  <c r="AC630" i="1"/>
  <c r="BC633" i="1"/>
  <c r="AY629" i="1"/>
  <c r="AC628" i="1"/>
  <c r="BQ631" i="1"/>
  <c r="AO630" i="1"/>
  <c r="AA630" i="1"/>
  <c r="Q628" i="1"/>
  <c r="AL630" i="1"/>
  <c r="CJ638" i="1"/>
  <c r="BI627" i="1"/>
  <c r="BP627" i="1"/>
  <c r="AB625" i="1"/>
  <c r="BK627" i="1"/>
  <c r="W625" i="1"/>
  <c r="DI624" i="1"/>
  <c r="CV621" i="1"/>
  <c r="CX624" i="1"/>
  <c r="CQ621" i="1"/>
  <c r="CD626" i="1"/>
  <c r="AB620" i="1"/>
  <c r="Y628" i="1"/>
  <c r="DC629" i="1"/>
  <c r="AC641" i="1"/>
  <c r="J630" i="1"/>
  <c r="CA637" i="1"/>
  <c r="AO627" i="1"/>
  <c r="AV627" i="1"/>
  <c r="H625" i="1"/>
  <c r="AQ627" i="1"/>
  <c r="DG624" i="1"/>
  <c r="BU624" i="1"/>
  <c r="CB621" i="1"/>
  <c r="K466" i="1"/>
  <c r="BU471" i="1"/>
  <c r="CK650" i="1"/>
  <c r="AN461" i="1"/>
  <c r="W466" i="1"/>
  <c r="BO649" i="1"/>
  <c r="AW645" i="1"/>
  <c r="CU642" i="1"/>
  <c r="AY476" i="1"/>
  <c r="BK466" i="1"/>
  <c r="Y461" i="1"/>
  <c r="CG649" i="1"/>
  <c r="I651" i="1"/>
  <c r="DC650" i="1"/>
  <c r="DG652" i="1"/>
  <c r="BQ652" i="1"/>
  <c r="BG652" i="1"/>
  <c r="G649" i="1"/>
  <c r="BS641" i="1"/>
  <c r="N652" i="1"/>
  <c r="AY641" i="1"/>
  <c r="AT641" i="1"/>
  <c r="CI646" i="1"/>
  <c r="CB646" i="1"/>
  <c r="P471" i="1"/>
  <c r="BN456" i="1"/>
  <c r="CR650" i="1"/>
  <c r="AP651" i="1"/>
  <c r="AX649" i="1"/>
  <c r="BQ646" i="1"/>
  <c r="O640" i="1"/>
  <c r="J640" i="1"/>
  <c r="DG644" i="1"/>
  <c r="BG646" i="1"/>
  <c r="CB647" i="1"/>
  <c r="BS644" i="1"/>
  <c r="AE642" i="1"/>
  <c r="CU639" i="1"/>
  <c r="BU647" i="1"/>
  <c r="BN644" i="1"/>
  <c r="Z642" i="1"/>
  <c r="BJ651" i="1"/>
  <c r="T643" i="1"/>
  <c r="BB640" i="1"/>
  <c r="DH640" i="1"/>
  <c r="O646" i="1"/>
  <c r="I641" i="1"/>
  <c r="BY646" i="1"/>
  <c r="BD641" i="1"/>
  <c r="BM640" i="1"/>
  <c r="CH636" i="1"/>
  <c r="AT634" i="1"/>
  <c r="F632" i="1"/>
  <c r="N640" i="1"/>
  <c r="BT640" i="1"/>
  <c r="BQ645" i="1"/>
  <c r="BY640" i="1"/>
  <c r="X646" i="1"/>
  <c r="P641" i="1"/>
  <c r="AS639" i="1"/>
  <c r="BN636" i="1"/>
  <c r="CZ644" i="1"/>
  <c r="AC646" i="1"/>
  <c r="BM639" i="1"/>
  <c r="U644" i="1"/>
  <c r="BQ639" i="1"/>
  <c r="BP644" i="1"/>
  <c r="CV639" i="1"/>
  <c r="AL638" i="1"/>
  <c r="H476" i="1"/>
  <c r="DD471" i="1"/>
  <c r="AZ466" i="1"/>
  <c r="BI466" i="1"/>
  <c r="CO461" i="1"/>
  <c r="CI456" i="1"/>
  <c r="BI651" i="1"/>
  <c r="AY651" i="1"/>
  <c r="DA651" i="1"/>
  <c r="CV651" i="1"/>
  <c r="CQ651" i="1"/>
  <c r="AC649" i="1"/>
  <c r="X649" i="1"/>
  <c r="S649" i="1"/>
  <c r="AX645" i="1"/>
  <c r="CG648" i="1"/>
  <c r="CB648" i="1"/>
  <c r="BW648" i="1"/>
  <c r="DB644" i="1"/>
  <c r="I648" i="1"/>
  <c r="BG642" i="1"/>
  <c r="DG647" i="1"/>
  <c r="BB642" i="1"/>
  <c r="CM647" i="1"/>
  <c r="AM642" i="1"/>
  <c r="CF647" i="1"/>
  <c r="AH642" i="1"/>
  <c r="AJ643" i="1"/>
  <c r="DC647" i="1"/>
  <c r="AY642" i="1"/>
  <c r="CV647" i="1"/>
  <c r="BR652" i="1"/>
  <c r="S645" i="1"/>
  <c r="CA642" i="1"/>
  <c r="AM640" i="1"/>
  <c r="AC648" i="1"/>
  <c r="L645" i="1"/>
  <c r="BV642" i="1"/>
  <c r="AH640" i="1"/>
  <c r="H644" i="1"/>
  <c r="AP641" i="1"/>
  <c r="CV641" i="1"/>
  <c r="AI647" i="1"/>
  <c r="DA641" i="1"/>
  <c r="CS647" i="1"/>
  <c r="AR642" i="1"/>
  <c r="Q644" i="1"/>
  <c r="Z637" i="1"/>
  <c r="CP634" i="1"/>
  <c r="BB632" i="1"/>
  <c r="DF640" i="1"/>
  <c r="BH641" i="1"/>
  <c r="CK646" i="1"/>
  <c r="BM641" i="1"/>
  <c r="AR647" i="1"/>
  <c r="DH641" i="1"/>
  <c r="BU642" i="1"/>
  <c r="F637" i="1"/>
  <c r="BV634" i="1"/>
  <c r="CH649" i="1"/>
  <c r="AF640" i="1"/>
  <c r="P645" i="1"/>
  <c r="AK640" i="1"/>
  <c r="CA645" i="1"/>
  <c r="BT471" i="1"/>
  <c r="BP466" i="1"/>
  <c r="DB456" i="1"/>
  <c r="AU650" i="1"/>
  <c r="AZ651" i="1"/>
  <c r="CK648" i="1"/>
  <c r="CA648" i="1"/>
  <c r="DH652" i="1"/>
  <c r="CL651" i="1"/>
  <c r="BA647" i="1"/>
  <c r="AU647" i="1"/>
  <c r="AA647" i="1"/>
  <c r="T647" i="1"/>
  <c r="BG650" i="1"/>
  <c r="DG641" i="1"/>
  <c r="J649" i="1"/>
  <c r="BK642" i="1"/>
  <c r="H648" i="1"/>
  <c r="BF642" i="1"/>
  <c r="CF643" i="1"/>
  <c r="BP641" i="1"/>
  <c r="BU641" i="1"/>
  <c r="L642" i="1"/>
  <c r="J637" i="1"/>
  <c r="AL632" i="1"/>
  <c r="AB641" i="1"/>
  <c r="AG641" i="1"/>
  <c r="CB641" i="1"/>
  <c r="CT636" i="1"/>
  <c r="CN647" i="1"/>
  <c r="CG644" i="1"/>
  <c r="AJ645" i="1"/>
  <c r="AJ639" i="1"/>
  <c r="R637" i="1"/>
  <c r="CP640" i="1"/>
  <c r="AR641" i="1"/>
  <c r="BP646" i="1"/>
  <c r="AW641" i="1"/>
  <c r="W647" i="1"/>
  <c r="CR641" i="1"/>
  <c r="I642" i="1"/>
  <c r="DB636" i="1"/>
  <c r="BN634" i="1"/>
  <c r="Z632" i="1"/>
  <c r="BB634" i="1"/>
  <c r="AQ645" i="1"/>
  <c r="AO637" i="1"/>
  <c r="DE634" i="1"/>
  <c r="BQ632" i="1"/>
  <c r="CR637" i="1"/>
  <c r="BD635" i="1"/>
  <c r="P633" i="1"/>
  <c r="CF630" i="1"/>
  <c r="CK631" i="1"/>
  <c r="CR628" i="1"/>
  <c r="Q630" i="1"/>
  <c r="AP634" i="1"/>
  <c r="DD644" i="1"/>
  <c r="AK637" i="1"/>
  <c r="DA634" i="1"/>
  <c r="BM632" i="1"/>
  <c r="CN637" i="1"/>
  <c r="AZ635" i="1"/>
  <c r="L633" i="1"/>
  <c r="CB630" i="1"/>
  <c r="CC631" i="1"/>
  <c r="CN628" i="1"/>
  <c r="DI629" i="1"/>
  <c r="BV631" i="1"/>
  <c r="AK638" i="1"/>
  <c r="DA635" i="1"/>
  <c r="BM633" i="1"/>
  <c r="CZ638" i="1"/>
  <c r="AZ636" i="1"/>
  <c r="L634" i="1"/>
  <c r="CB631" i="1"/>
  <c r="DG634" i="1"/>
  <c r="CN629" i="1"/>
  <c r="AL633" i="1"/>
  <c r="CK640" i="1"/>
  <c r="CK636" i="1"/>
  <c r="AW634" i="1"/>
  <c r="CS644" i="1"/>
  <c r="AJ637" i="1"/>
  <c r="CZ634" i="1"/>
  <c r="BL632" i="1"/>
  <c r="AU638" i="1"/>
  <c r="BZ630" i="1"/>
  <c r="AJ628" i="1"/>
  <c r="AS628" i="1"/>
  <c r="CI631" i="1"/>
  <c r="BG628" i="1"/>
  <c r="CU637" i="1"/>
  <c r="BJ630" i="1"/>
  <c r="W637" i="1"/>
  <c r="AU629" i="1"/>
  <c r="DG636" i="1"/>
  <c r="BJ629" i="1"/>
  <c r="CQ633" i="1"/>
  <c r="DA626" i="1"/>
  <c r="DH626" i="1"/>
  <c r="BT624" i="1"/>
  <c r="DC626" i="1"/>
  <c r="BO624" i="1"/>
  <c r="CO623" i="1"/>
  <c r="AJ621" i="1"/>
  <c r="CD623" i="1"/>
  <c r="AE621" i="1"/>
  <c r="CK623" i="1"/>
  <c r="AA461" i="1"/>
  <c r="DG456" i="1"/>
  <c r="CW471" i="1"/>
  <c r="BY648" i="1"/>
  <c r="S650" i="1"/>
  <c r="K639" i="1"/>
  <c r="AU466" i="1"/>
  <c r="BZ652" i="1"/>
  <c r="AU641" i="1"/>
  <c r="BW641" i="1"/>
  <c r="BR641" i="1"/>
  <c r="CS639" i="1"/>
  <c r="AJ640" i="1"/>
  <c r="Q645" i="1"/>
  <c r="BV639" i="1"/>
  <c r="DF635" i="1"/>
  <c r="DE642" i="1"/>
  <c r="CD637" i="1"/>
  <c r="BL461" i="1"/>
  <c r="K649" i="1"/>
  <c r="CF652" i="1"/>
  <c r="AF652" i="1"/>
  <c r="BC646" i="1"/>
  <c r="AB646" i="1"/>
  <c r="R649" i="1"/>
  <c r="BG647" i="1"/>
  <c r="AZ647" i="1"/>
  <c r="CR642" i="1"/>
  <c r="CG640" i="1"/>
  <c r="BR636" i="1"/>
  <c r="AN640" i="1"/>
  <c r="CN640" i="1"/>
  <c r="AZ645" i="1"/>
  <c r="AK476" i="1"/>
  <c r="F648" i="1"/>
  <c r="BT650" i="1"/>
  <c r="AE644" i="1"/>
  <c r="BH646" i="1"/>
  <c r="BR644" i="1"/>
  <c r="CT635" i="1"/>
  <c r="BJ639" i="1"/>
  <c r="CB643" i="1"/>
  <c r="X640" i="1"/>
  <c r="BX640" i="1"/>
  <c r="BR631" i="1"/>
  <c r="AS634" i="1"/>
  <c r="BH632" i="1"/>
  <c r="AG628" i="1"/>
  <c r="AO634" i="1"/>
  <c r="BD632" i="1"/>
  <c r="DB635" i="1"/>
  <c r="DE632" i="1"/>
  <c r="P631" i="1"/>
  <c r="BM638" i="1"/>
  <c r="CB636" i="1"/>
  <c r="L630" i="1"/>
  <c r="O633" i="1"/>
  <c r="K628" i="1"/>
  <c r="AO626" i="1"/>
  <c r="DG623" i="1"/>
  <c r="BW620" i="1"/>
  <c r="BK635" i="1"/>
  <c r="DC635" i="1"/>
  <c r="DC631" i="1"/>
  <c r="CN626" i="1"/>
  <c r="CI626" i="1"/>
  <c r="BJ623" i="1"/>
  <c r="CT625" i="1"/>
  <c r="AE622" i="1"/>
  <c r="CU619" i="1"/>
  <c r="CX620" i="1"/>
  <c r="BG634" i="1"/>
  <c r="CA628" i="1"/>
  <c r="J476" i="1"/>
  <c r="DB466" i="1"/>
  <c r="I456" i="1"/>
  <c r="AJ650" i="1"/>
  <c r="DE648" i="1"/>
  <c r="DI650" i="1"/>
  <c r="CY650" i="1"/>
  <c r="BI650" i="1"/>
  <c r="AY650" i="1"/>
  <c r="J652" i="1"/>
  <c r="BK639" i="1"/>
  <c r="AL651" i="1"/>
  <c r="AQ639" i="1"/>
  <c r="BH647" i="1"/>
  <c r="AA644" i="1"/>
  <c r="J646" i="1"/>
  <c r="BO643" i="1"/>
  <c r="CQ638" i="1"/>
  <c r="BJ643" i="1"/>
  <c r="S646" i="1"/>
  <c r="I645" i="1"/>
  <c r="CC643" i="1"/>
  <c r="T644" i="1"/>
  <c r="N638" i="1"/>
  <c r="AP633" i="1"/>
  <c r="AF644" i="1"/>
  <c r="AO643" i="1"/>
  <c r="CJ643" i="1"/>
  <c r="CX637" i="1"/>
  <c r="BF641" i="1"/>
  <c r="BD647" i="1"/>
  <c r="K648" i="1"/>
  <c r="T640" i="1"/>
  <c r="BN637" i="1"/>
  <c r="CD641" i="1"/>
  <c r="AN642" i="1"/>
  <c r="CJ647" i="1"/>
  <c r="AK642" i="1"/>
  <c r="AU648" i="1"/>
  <c r="CF642" i="1"/>
  <c r="CR645" i="1"/>
  <c r="AT637" i="1"/>
  <c r="F635" i="1"/>
  <c r="BV632" i="1"/>
  <c r="AD636" i="1"/>
  <c r="DB630" i="1"/>
  <c r="CK637" i="1"/>
  <c r="AW635" i="1"/>
  <c r="I633" i="1"/>
  <c r="AJ638" i="1"/>
  <c r="CZ635" i="1"/>
  <c r="BL633" i="1"/>
  <c r="X631" i="1"/>
  <c r="CY632" i="1"/>
  <c r="AJ629" i="1"/>
  <c r="AE632" i="1"/>
  <c r="N636" i="1"/>
  <c r="CX630" i="1"/>
  <c r="CG637" i="1"/>
  <c r="AS635" i="1"/>
  <c r="DI632" i="1"/>
  <c r="AF638" i="1"/>
  <c r="CV635" i="1"/>
  <c r="BH633" i="1"/>
  <c r="T631" i="1"/>
  <c r="CI632" i="1"/>
  <c r="AF629" i="1"/>
  <c r="G632" i="1"/>
  <c r="BJ632" i="1"/>
  <c r="CL638" i="1"/>
  <c r="AS636" i="1"/>
  <c r="DI633" i="1"/>
  <c r="BQ641" i="1"/>
  <c r="CV636" i="1"/>
  <c r="BH634" i="1"/>
  <c r="T632" i="1"/>
  <c r="CI636" i="1"/>
  <c r="AF630" i="1"/>
  <c r="Z634" i="1"/>
  <c r="AO644" i="1"/>
  <c r="AC637" i="1"/>
  <c r="CS634" i="1"/>
  <c r="BE632" i="1"/>
  <c r="CF637" i="1"/>
  <c r="AR635" i="1"/>
  <c r="DH632" i="1"/>
  <c r="BT630" i="1"/>
  <c r="BM631" i="1"/>
  <c r="CF628" i="1"/>
  <c r="CK629" i="1"/>
  <c r="CU632" i="1"/>
  <c r="AI629" i="1"/>
  <c r="CK644" i="1"/>
  <c r="AK631" i="1"/>
  <c r="BE628" i="1"/>
  <c r="DG629" i="1"/>
  <c r="AW642" i="1"/>
  <c r="R630" i="1"/>
  <c r="CQ637" i="1"/>
  <c r="AS627" i="1"/>
  <c r="AZ627" i="1"/>
  <c r="L625" i="1"/>
  <c r="AU627" i="1"/>
  <c r="G625" i="1"/>
  <c r="CC624" i="1"/>
  <c r="CF621" i="1"/>
  <c r="BR624" i="1"/>
  <c r="CA621" i="1"/>
  <c r="BM625" i="1"/>
  <c r="F620" i="1"/>
  <c r="AO640" i="1"/>
  <c r="CI629" i="1"/>
  <c r="AM638" i="1"/>
  <c r="CT629" i="1"/>
  <c r="BW636" i="1"/>
  <c r="Y627" i="1"/>
  <c r="AF627" i="1"/>
  <c r="CV624" i="1"/>
  <c r="AA627" i="1"/>
  <c r="CQ624" i="1"/>
  <c r="AO624" i="1"/>
  <c r="BL621" i="1"/>
  <c r="AD624" i="1"/>
  <c r="BG621" i="1"/>
  <c r="CO624" i="1"/>
  <c r="CJ619" i="1"/>
  <c r="BK631" i="1"/>
  <c r="BD476" i="1"/>
  <c r="AD461" i="1"/>
  <c r="BY652" i="1"/>
  <c r="CZ649" i="1"/>
  <c r="AZ649" i="1"/>
  <c r="AE643" i="1"/>
  <c r="K643" i="1"/>
  <c r="CD651" i="1"/>
  <c r="CE645" i="1"/>
  <c r="BX645" i="1"/>
  <c r="AD642" i="1"/>
  <c r="AX652" i="1"/>
  <c r="AH635" i="1"/>
  <c r="DE647" i="1"/>
  <c r="BU646" i="1"/>
  <c r="T641" i="1"/>
  <c r="CN642" i="1"/>
  <c r="BH645" i="1"/>
  <c r="CC639" i="1"/>
  <c r="CG639" i="1"/>
  <c r="L640" i="1"/>
  <c r="J636" i="1"/>
  <c r="AL631" i="1"/>
  <c r="DA638" i="1"/>
  <c r="M634" i="1"/>
  <c r="DD636" i="1"/>
  <c r="AB632" i="1"/>
  <c r="AN630" i="1"/>
  <c r="BI641" i="1"/>
  <c r="CT638" i="1"/>
  <c r="I634" i="1"/>
  <c r="CZ636" i="1"/>
  <c r="X632" i="1"/>
  <c r="AJ630" i="1"/>
  <c r="CH634" i="1"/>
  <c r="AW637" i="1"/>
  <c r="BY632" i="1"/>
  <c r="BL635" i="1"/>
  <c r="CN630" i="1"/>
  <c r="CZ628" i="1"/>
  <c r="AG638" i="1"/>
  <c r="CU466" i="1"/>
  <c r="BH651" i="1"/>
  <c r="CH466" i="1"/>
  <c r="CC650" i="1"/>
  <c r="CT650" i="1"/>
  <c r="CE646" i="1"/>
  <c r="AK649" i="1"/>
  <c r="CD649" i="1"/>
  <c r="CP647" i="1"/>
  <c r="AI639" i="1"/>
  <c r="AM647" i="1"/>
  <c r="BQ644" i="1"/>
  <c r="BJ638" i="1"/>
  <c r="AY646" i="1"/>
  <c r="BX644" i="1"/>
  <c r="BJ642" i="1"/>
  <c r="CN638" i="1"/>
  <c r="AE476" i="1"/>
  <c r="CZ461" i="1"/>
  <c r="CG650" i="1"/>
  <c r="CA652" i="1"/>
  <c r="AA652" i="1"/>
  <c r="AM641" i="1"/>
  <c r="S641" i="1"/>
  <c r="AR646" i="1"/>
  <c r="BC644" i="1"/>
  <c r="AX644" i="1"/>
  <c r="V640" i="1"/>
  <c r="AI646" i="1"/>
  <c r="AD634" i="1"/>
  <c r="AA645" i="1"/>
  <c r="CV638" i="1"/>
  <c r="AR639" i="1"/>
  <c r="CX471" i="1"/>
  <c r="L649" i="1"/>
  <c r="CT646" i="1"/>
  <c r="Z644" i="1"/>
  <c r="AQ641" i="1"/>
  <c r="BB639" i="1"/>
  <c r="CT643" i="1"/>
  <c r="BZ635" i="1"/>
  <c r="AO642" i="1"/>
  <c r="DI644" i="1"/>
  <c r="CG638" i="1"/>
  <c r="AH633" i="1"/>
  <c r="BM644" i="1"/>
  <c r="AE638" i="1"/>
  <c r="V633" i="1"/>
  <c r="AG644" i="1"/>
  <c r="O638" i="1"/>
  <c r="CP630" i="1"/>
  <c r="AB638" i="1"/>
  <c r="BS632" i="1"/>
  <c r="Y636" i="1"/>
  <c r="AN634" i="1"/>
  <c r="BK628" i="1"/>
  <c r="BG635" i="1"/>
  <c r="CU633" i="1"/>
  <c r="AV626" i="1"/>
  <c r="L623" i="1"/>
  <c r="BB622" i="1"/>
  <c r="AY632" i="1"/>
  <c r="CQ632" i="1"/>
  <c r="BI629" i="1"/>
  <c r="AB626" i="1"/>
  <c r="W626" i="1"/>
  <c r="CV622" i="1"/>
  <c r="BJ624" i="1"/>
  <c r="BW621" i="1"/>
  <c r="AW625" i="1"/>
  <c r="DE619" i="1"/>
  <c r="CY631" i="1"/>
  <c r="O632" i="1"/>
  <c r="BL471" i="1"/>
  <c r="BD466" i="1"/>
  <c r="CX456" i="1"/>
  <c r="AE650" i="1"/>
  <c r="AJ651" i="1"/>
  <c r="BU648" i="1"/>
  <c r="BK648" i="1"/>
  <c r="CR652" i="1"/>
  <c r="Z651" i="1"/>
  <c r="AF647" i="1"/>
  <c r="Y647" i="1"/>
  <c r="DI646" i="1"/>
  <c r="DC646" i="1"/>
  <c r="CY649" i="1"/>
  <c r="CQ641" i="1"/>
  <c r="AJ648" i="1"/>
  <c r="AU642" i="1"/>
  <c r="CQ647" i="1"/>
  <c r="AP642" i="1"/>
  <c r="AZ643" i="1"/>
  <c r="AJ641" i="1"/>
  <c r="AO641" i="1"/>
  <c r="CJ641" i="1"/>
  <c r="CX636" i="1"/>
  <c r="V632" i="1"/>
  <c r="CZ640" i="1"/>
  <c r="DE640" i="1"/>
  <c r="AV641" i="1"/>
  <c r="CD636" i="1"/>
  <c r="G647" i="1"/>
  <c r="BA644" i="1"/>
  <c r="CW644" i="1"/>
  <c r="CO647" i="1"/>
  <c r="DF636" i="1"/>
  <c r="BJ640" i="1"/>
  <c r="L641" i="1"/>
  <c r="Y646" i="1"/>
  <c r="Q641" i="1"/>
  <c r="CJ646" i="1"/>
  <c r="BL641" i="1"/>
  <c r="CS640" i="1"/>
  <c r="CL636" i="1"/>
  <c r="AX634" i="1"/>
  <c r="J632" i="1"/>
  <c r="V634" i="1"/>
  <c r="I644" i="1"/>
  <c r="Y637" i="1"/>
  <c r="CO634" i="1"/>
  <c r="BA632" i="1"/>
  <c r="CB637" i="1"/>
  <c r="AN635" i="1"/>
  <c r="DD632" i="1"/>
  <c r="AT650" i="1"/>
  <c r="BE631" i="1"/>
  <c r="CB628" i="1"/>
  <c r="CC629" i="1"/>
  <c r="J634" i="1"/>
  <c r="CG643" i="1"/>
  <c r="U637" i="1"/>
  <c r="CK634" i="1"/>
  <c r="DF650" i="1"/>
  <c r="BX637" i="1"/>
  <c r="AJ635" i="1"/>
  <c r="CZ632" i="1"/>
  <c r="S647" i="1"/>
  <c r="AW631" i="1"/>
  <c r="BX628" i="1"/>
  <c r="BQ629" i="1"/>
  <c r="AX631" i="1"/>
  <c r="U638" i="1"/>
  <c r="CK635" i="1"/>
  <c r="AW633" i="1"/>
  <c r="BY638" i="1"/>
  <c r="AJ636" i="1"/>
  <c r="CZ633" i="1"/>
  <c r="BL631" i="1"/>
  <c r="AU634" i="1"/>
  <c r="BX629" i="1"/>
  <c r="F633" i="1"/>
  <c r="CD639" i="1"/>
  <c r="BU636" i="1"/>
  <c r="AG634" i="1"/>
  <c r="BY643" i="1"/>
  <c r="T637" i="1"/>
  <c r="CJ634" i="1"/>
  <c r="AV632" i="1"/>
  <c r="CM637" i="1"/>
  <c r="BH630" i="1"/>
  <c r="T628" i="1"/>
  <c r="AM648" i="1"/>
  <c r="BC631" i="1"/>
  <c r="AA628" i="1"/>
  <c r="AI637" i="1"/>
  <c r="AT630" i="1"/>
  <c r="DG635" i="1"/>
  <c r="AA629" i="1"/>
  <c r="AE636" i="1"/>
  <c r="AL629" i="1"/>
  <c r="W632" i="1"/>
  <c r="CK626" i="1"/>
  <c r="CR626" i="1"/>
  <c r="BD624" i="1"/>
  <c r="CM626" i="1"/>
  <c r="AY624" i="1"/>
  <c r="BO623" i="1"/>
  <c r="T621" i="1"/>
  <c r="BI623" i="1"/>
  <c r="O621" i="1"/>
  <c r="AQ623" i="1"/>
  <c r="AN619" i="1"/>
  <c r="CM634" i="1"/>
  <c r="CI628" i="1"/>
  <c r="AA635" i="1"/>
  <c r="R629" i="1"/>
  <c r="S631" i="1"/>
  <c r="BQ626" i="1"/>
  <c r="BX626" i="1"/>
  <c r="AJ624" i="1"/>
  <c r="BS626" i="1"/>
  <c r="AE624" i="1"/>
  <c r="AO623" i="1"/>
  <c r="DD620" i="1"/>
  <c r="AI623" i="1"/>
  <c r="CY620" i="1"/>
  <c r="DF622" i="1"/>
  <c r="CE631" i="1"/>
  <c r="AI630" i="1"/>
  <c r="AO471" i="1"/>
  <c r="AB456" i="1"/>
  <c r="BT652" i="1"/>
  <c r="CU649" i="1"/>
  <c r="AU649" i="1"/>
  <c r="DF651" i="1"/>
  <c r="BF650" i="1"/>
  <c r="W643" i="1"/>
  <c r="S643" i="1"/>
  <c r="N643" i="1"/>
  <c r="AB643" i="1"/>
  <c r="AF643" i="1"/>
  <c r="CX632" i="1"/>
  <c r="BA642" i="1"/>
  <c r="BB637" i="1"/>
  <c r="AJ646" i="1"/>
  <c r="BZ639" i="1"/>
  <c r="AX641" i="1"/>
  <c r="AS647" i="1"/>
  <c r="DD647" i="1"/>
  <c r="AW644" i="1"/>
  <c r="CT634" i="1"/>
  <c r="BV635" i="1"/>
  <c r="BU637" i="1"/>
  <c r="CW632" i="1"/>
  <c r="CJ635" i="1"/>
  <c r="H631" i="1"/>
  <c r="T629" i="1"/>
  <c r="BF635" i="1"/>
  <c r="BQ637" i="1"/>
  <c r="CS632" i="1"/>
  <c r="CF635" i="1"/>
  <c r="DH630" i="1"/>
  <c r="P629" i="1"/>
  <c r="AD632" i="1"/>
  <c r="AC636" i="1"/>
  <c r="AW640" i="1"/>
  <c r="AR634" i="1"/>
  <c r="W636" i="1"/>
  <c r="CX633" i="1"/>
  <c r="M637" i="1"/>
  <c r="G648" i="1"/>
  <c r="AB635" i="1"/>
  <c r="Y644" i="1"/>
  <c r="BP628" i="1"/>
  <c r="AQ632" i="1"/>
  <c r="I640" i="1"/>
  <c r="CW643" i="1"/>
  <c r="BS638" i="1"/>
  <c r="O637" i="1"/>
  <c r="AJ627" i="1"/>
  <c r="AE627" i="1"/>
  <c r="AW624" i="1"/>
  <c r="AL624" i="1"/>
  <c r="DE624" i="1"/>
  <c r="DA476" i="1"/>
  <c r="AC645" i="1"/>
  <c r="AR456" i="1"/>
  <c r="BS650" i="1"/>
  <c r="AE639" i="1"/>
  <c r="CY643" i="1"/>
  <c r="DA652" i="1"/>
  <c r="AQ646" i="1"/>
  <c r="CY646" i="1"/>
  <c r="CR646" i="1"/>
  <c r="P646" i="1"/>
  <c r="CW639" i="1"/>
  <c r="V636" i="1"/>
  <c r="BR639" i="1"/>
  <c r="DA639" i="1"/>
  <c r="BH643" i="1"/>
  <c r="AV643" i="1"/>
  <c r="DG471" i="1"/>
  <c r="BF456" i="1"/>
  <c r="CB650" i="1"/>
  <c r="CH650" i="1"/>
  <c r="CP648" i="1"/>
  <c r="AV646" i="1"/>
  <c r="U646" i="1"/>
  <c r="AE641" i="1"/>
  <c r="O642" i="1"/>
  <c r="J642" i="1"/>
  <c r="CB640" i="1"/>
  <c r="X641" i="1"/>
  <c r="CT631" i="1"/>
  <c r="AS640" i="1"/>
  <c r="AX636" i="1"/>
  <c r="CS643" i="1"/>
  <c r="G461" i="1"/>
  <c r="P651" i="1"/>
  <c r="AY644" i="1"/>
  <c r="BF652" i="1"/>
  <c r="BA646" i="1"/>
  <c r="BF639" i="1"/>
  <c r="AB639" i="1"/>
  <c r="AV642" i="1"/>
  <c r="BJ636" i="1"/>
  <c r="AC640" i="1"/>
  <c r="AP636" i="1"/>
  <c r="BE640" i="1"/>
  <c r="AF637" i="1"/>
  <c r="BU630" i="1"/>
  <c r="Y640" i="1"/>
  <c r="AB637" i="1"/>
  <c r="BP630" i="1"/>
  <c r="CC637" i="1"/>
  <c r="CR635" i="1"/>
  <c r="AB629" i="1"/>
  <c r="CO633" i="1"/>
  <c r="DD631" i="1"/>
  <c r="AA638" i="1"/>
  <c r="DB629" i="1"/>
  <c r="CT628" i="1"/>
  <c r="H624" i="1"/>
  <c r="CB620" i="1"/>
  <c r="BD619" i="1"/>
  <c r="W629" i="1"/>
  <c r="AH629" i="1"/>
  <c r="CG626" i="1"/>
  <c r="AZ624" i="1"/>
  <c r="AU624" i="1"/>
  <c r="P621" i="1"/>
  <c r="BC623" i="1"/>
  <c r="K621" i="1"/>
  <c r="AH623" i="1"/>
  <c r="G628" i="1"/>
  <c r="BG630" i="1"/>
  <c r="AC476" i="1"/>
  <c r="CT471" i="1"/>
  <c r="DF461" i="1"/>
  <c r="DD456" i="1"/>
  <c r="CT647" i="1"/>
  <c r="CZ648" i="1"/>
  <c r="DD650" i="1"/>
  <c r="Z647" i="1"/>
  <c r="BD650" i="1"/>
  <c r="CD646" i="1"/>
  <c r="AI644" i="1"/>
  <c r="AD644" i="1"/>
  <c r="O644" i="1"/>
  <c r="J644" i="1"/>
  <c r="CH651" i="1"/>
  <c r="BC639" i="1"/>
  <c r="AM646" i="1"/>
  <c r="AA641" i="1"/>
  <c r="AF646" i="1"/>
  <c r="V641" i="1"/>
  <c r="F644" i="1"/>
  <c r="AG639" i="1"/>
  <c r="AK639" i="1"/>
  <c r="BP639" i="1"/>
  <c r="CD635" i="1"/>
  <c r="AH643" i="1"/>
  <c r="F639" i="1"/>
  <c r="J639" i="1"/>
  <c r="AO639" i="1"/>
  <c r="BJ635" i="1"/>
  <c r="H642" i="1"/>
  <c r="M642" i="1"/>
  <c r="P643" i="1"/>
  <c r="U641" i="1"/>
  <c r="AT636" i="1"/>
  <c r="BS647" i="1"/>
  <c r="CX639" i="1"/>
  <c r="BY644" i="1"/>
  <c r="DB639" i="1"/>
  <c r="Y645" i="1"/>
  <c r="AR640" i="1"/>
  <c r="BN638" i="1"/>
  <c r="Z636" i="1"/>
  <c r="CP633" i="1"/>
  <c r="BB631" i="1"/>
  <c r="DF632" i="1"/>
  <c r="BI639" i="1"/>
  <c r="BQ636" i="1"/>
  <c r="AC634" i="1"/>
  <c r="AS643" i="1"/>
  <c r="P637" i="1"/>
  <c r="CF634" i="1"/>
  <c r="AR632" i="1"/>
  <c r="BW637" i="1"/>
  <c r="BD630" i="1"/>
  <c r="P628" i="1"/>
  <c r="CF646" i="1"/>
  <c r="CT632" i="1"/>
  <c r="AN639" i="1"/>
  <c r="BM636" i="1"/>
  <c r="Y634" i="1"/>
  <c r="M643" i="1"/>
  <c r="L637" i="1"/>
  <c r="CB634" i="1"/>
  <c r="AN632" i="1"/>
  <c r="BG637" i="1"/>
  <c r="AZ630" i="1"/>
  <c r="L628" i="1"/>
  <c r="AP635" i="1"/>
  <c r="Z649" i="1"/>
  <c r="BM637" i="1"/>
  <c r="Y635" i="1"/>
  <c r="CO632" i="1"/>
  <c r="L638" i="1"/>
  <c r="CB635" i="1"/>
  <c r="AN633" i="1"/>
  <c r="DD630" i="1"/>
  <c r="AC632" i="1"/>
  <c r="L629" i="1"/>
  <c r="CP631" i="1"/>
  <c r="AW638" i="1"/>
  <c r="I636" i="1"/>
  <c r="BY633" i="1"/>
  <c r="AH639" i="1"/>
  <c r="BL636" i="1"/>
  <c r="X634" i="1"/>
  <c r="CN631" i="1"/>
  <c r="AY635" i="1"/>
  <c r="CZ629" i="1"/>
  <c r="AE628" i="1"/>
  <c r="BS637" i="1"/>
  <c r="BC630" i="1"/>
  <c r="CU631" i="1"/>
  <c r="CY634" i="1"/>
  <c r="CL629" i="1"/>
  <c r="BO632" i="1"/>
  <c r="AM635" i="1"/>
  <c r="DG632" i="1"/>
  <c r="CD628" i="1"/>
  <c r="BU629" i="1"/>
  <c r="Y626" i="1"/>
  <c r="AF626" i="1"/>
  <c r="CV623" i="1"/>
  <c r="AA626" i="1"/>
  <c r="CQ623" i="1"/>
  <c r="CZ622" i="1"/>
  <c r="BL620" i="1"/>
  <c r="CU622" i="1"/>
  <c r="BG620" i="1"/>
  <c r="V622" i="1"/>
  <c r="CF618" i="1"/>
  <c r="DG631" i="1"/>
  <c r="AM632" i="1"/>
  <c r="AG632" i="1"/>
  <c r="BJ628" i="1"/>
  <c r="I629" i="1"/>
  <c r="DI625" i="1"/>
  <c r="L626" i="1"/>
  <c r="CB623" i="1"/>
  <c r="G626" i="1"/>
  <c r="CP627" i="1"/>
  <c r="CF622" i="1"/>
  <c r="BV627" i="1"/>
  <c r="CA622" i="1"/>
  <c r="AM620" i="1"/>
  <c r="CL621" i="1"/>
  <c r="CI637" i="1"/>
  <c r="BG629" i="1"/>
  <c r="R471" i="1"/>
  <c r="CS652" i="1"/>
  <c r="BO652" i="1"/>
  <c r="V646" i="1"/>
  <c r="BZ645" i="1"/>
  <c r="Z643" i="1"/>
  <c r="F643" i="1"/>
  <c r="AT651" i="1"/>
  <c r="CI640" i="1"/>
  <c r="CD640" i="1"/>
  <c r="CX648" i="1"/>
  <c r="CL649" i="1"/>
  <c r="CT641" i="1"/>
  <c r="BB649" i="1"/>
  <c r="N635" i="1"/>
  <c r="Y641" i="1"/>
  <c r="DE639" i="1"/>
  <c r="CO646" i="1"/>
  <c r="AS644" i="1"/>
  <c r="CN644" i="1"/>
  <c r="AX638" i="1"/>
  <c r="BZ633" i="1"/>
  <c r="BZ632" i="1"/>
  <c r="BA636" i="1"/>
  <c r="Y642" i="1"/>
  <c r="BP634" i="1"/>
  <c r="K637" i="1"/>
  <c r="DG628" i="1"/>
  <c r="BN632" i="1"/>
  <c r="AW636" i="1"/>
  <c r="CW641" i="1"/>
  <c r="BL634" i="1"/>
  <c r="CY636" i="1"/>
  <c r="CY628" i="1"/>
  <c r="BK646" i="1"/>
  <c r="I635" i="1"/>
  <c r="CZ637" i="1"/>
  <c r="X633" i="1"/>
  <c r="DA631" i="1"/>
  <c r="BN631" i="1"/>
  <c r="CW635" i="1"/>
  <c r="CR638" i="1"/>
  <c r="H634" i="1"/>
  <c r="CQ634" i="1"/>
  <c r="S638" i="1"/>
  <c r="AM630" i="1"/>
  <c r="AM634" i="1"/>
  <c r="S632" i="1"/>
  <c r="AO632" i="1"/>
  <c r="U629" i="1"/>
  <c r="P626" i="1"/>
  <c r="K626" i="1"/>
  <c r="CJ622" i="1"/>
  <c r="CE622" i="1"/>
  <c r="CT621" i="1"/>
  <c r="CZ456" i="1"/>
  <c r="R650" i="1"/>
  <c r="G644" i="1"/>
  <c r="CL633" i="1"/>
  <c r="N639" i="1"/>
  <c r="AK652" i="1"/>
  <c r="AK646" i="1"/>
  <c r="BN639" i="1"/>
  <c r="AV639" i="1"/>
  <c r="BS639" i="1"/>
  <c r="AS642" i="1"/>
  <c r="CG636" i="1"/>
  <c r="CR634" i="1"/>
  <c r="R632" i="1"/>
  <c r="AM633" i="1"/>
  <c r="CV618" i="1"/>
  <c r="CR623" i="1"/>
  <c r="BC620" i="1"/>
  <c r="BW476" i="1"/>
  <c r="AO651" i="1"/>
  <c r="CM652" i="1"/>
  <c r="CE641" i="1"/>
  <c r="CI644" i="1"/>
  <c r="CH640" i="1"/>
  <c r="BJ634" i="1"/>
  <c r="AG640" i="1"/>
  <c r="BT641" i="1"/>
  <c r="Q639" i="1"/>
  <c r="AZ639" i="1"/>
  <c r="CT630" i="1"/>
  <c r="BU633" i="1"/>
  <c r="CJ631" i="1"/>
  <c r="BC637" i="1"/>
  <c r="BQ633" i="1"/>
  <c r="CF631" i="1"/>
  <c r="CD633" i="1"/>
  <c r="CQ646" i="1"/>
  <c r="BU640" i="1"/>
  <c r="CO637" i="1"/>
  <c r="DD635" i="1"/>
  <c r="AN629" i="1"/>
  <c r="BE629" i="1"/>
  <c r="CS629" i="1"/>
  <c r="BQ625" i="1"/>
  <c r="Z626" i="1"/>
  <c r="CY619" i="1"/>
  <c r="Y629" i="1"/>
  <c r="CR627" i="1"/>
  <c r="BI625" i="1"/>
  <c r="CE619" i="1"/>
  <c r="Z466" i="1"/>
  <c r="AL652" i="1"/>
  <c r="N651" i="1"/>
  <c r="BD642" i="1"/>
  <c r="AX637" i="1"/>
  <c r="AD637" i="1"/>
  <c r="T638" i="1"/>
  <c r="BN651" i="1"/>
  <c r="AK632" i="1"/>
  <c r="CF636" i="1"/>
  <c r="CC634" i="1"/>
  <c r="CR632" i="1"/>
  <c r="AO629" i="1"/>
  <c r="DI630" i="1"/>
  <c r="CX629" i="1"/>
  <c r="CZ624" i="1"/>
  <c r="BP621" i="1"/>
  <c r="CO619" i="1"/>
  <c r="BK629" i="1"/>
  <c r="BZ629" i="1"/>
  <c r="I627" i="1"/>
  <c r="CF624" i="1"/>
  <c r="CA624" i="1"/>
  <c r="AV621" i="1"/>
  <c r="AQ621" i="1"/>
  <c r="BP619" i="1"/>
  <c r="CI630" i="1"/>
  <c r="CG631" i="1"/>
  <c r="AP628" i="1"/>
  <c r="BI628" i="1"/>
  <c r="CO625" i="1"/>
  <c r="CV625" i="1"/>
  <c r="BH623" i="1"/>
  <c r="CQ625" i="1"/>
  <c r="N627" i="1"/>
  <c r="BL622" i="1"/>
  <c r="CX626" i="1"/>
  <c r="BG622" i="1"/>
  <c r="S620" i="1"/>
  <c r="S636" i="1"/>
  <c r="AE629" i="1"/>
  <c r="AU636" i="1"/>
  <c r="AT629" i="1"/>
  <c r="BG632" i="1"/>
  <c r="CO626" i="1"/>
  <c r="CV626" i="1"/>
  <c r="BH624" i="1"/>
  <c r="CQ626" i="1"/>
  <c r="BC624" i="1"/>
  <c r="BU623" i="1"/>
  <c r="X621" i="1"/>
  <c r="BN623" i="1"/>
  <c r="S621" i="1"/>
  <c r="BB623" i="1"/>
  <c r="AR619" i="1"/>
  <c r="DH616" i="1"/>
  <c r="BT614" i="1"/>
  <c r="AP623" i="1"/>
  <c r="P617" i="1"/>
  <c r="DD613" i="1"/>
  <c r="I621" i="1"/>
  <c r="W618" i="1"/>
  <c r="CM615" i="1"/>
  <c r="BV620" i="1"/>
  <c r="BY618" i="1"/>
  <c r="BG614" i="1"/>
  <c r="CM611" i="1"/>
  <c r="AO622" i="1"/>
  <c r="BE615" i="1"/>
  <c r="BJ612" i="1"/>
  <c r="V610" i="1"/>
  <c r="DE621" i="1"/>
  <c r="I616" i="1"/>
  <c r="BE610" i="1"/>
  <c r="Z623" i="1"/>
  <c r="BX616" i="1"/>
  <c r="BH613" i="1"/>
  <c r="AV620" i="1"/>
  <c r="CQ617" i="1"/>
  <c r="AH626" i="1"/>
  <c r="T620" i="1"/>
  <c r="DI617" i="1"/>
  <c r="K614" i="1"/>
  <c r="BC611" i="1"/>
  <c r="DA619" i="1"/>
  <c r="I615" i="1"/>
  <c r="Z612" i="1"/>
  <c r="CP609" i="1"/>
  <c r="BZ619" i="1"/>
  <c r="G615" i="1"/>
  <c r="CD621" i="1"/>
  <c r="AZ616" i="1"/>
  <c r="AF613" i="1"/>
  <c r="U620" i="1"/>
  <c r="BW617" i="1"/>
  <c r="Y625" i="1"/>
  <c r="CW619" i="1"/>
  <c r="BU617" i="1"/>
  <c r="J471" i="1"/>
  <c r="CC652" i="1"/>
  <c r="AY652" i="1"/>
  <c r="F646" i="1"/>
  <c r="BJ645" i="1"/>
  <c r="J643" i="1"/>
  <c r="CT642" i="1"/>
  <c r="Z650" i="1"/>
  <c r="BS640" i="1"/>
  <c r="BN640" i="1"/>
  <c r="L648" i="1"/>
  <c r="H647" i="1"/>
  <c r="BN641" i="1"/>
  <c r="U648" i="1"/>
  <c r="DB634" i="1"/>
  <c r="CW640" i="1"/>
  <c r="CO638" i="1"/>
  <c r="H646" i="1"/>
  <c r="M644" i="1"/>
  <c r="BH644" i="1"/>
  <c r="AH638" i="1"/>
  <c r="BJ633" i="1"/>
  <c r="AT632" i="1"/>
  <c r="AK636" i="1"/>
  <c r="DI640" i="1"/>
  <c r="AZ634" i="1"/>
  <c r="BC636" i="1"/>
  <c r="CE628" i="1"/>
  <c r="AH632" i="1"/>
  <c r="AG636" i="1"/>
  <c r="CC640" i="1"/>
  <c r="AV634" i="1"/>
  <c r="AM636" i="1"/>
  <c r="BW628" i="1"/>
  <c r="BU644" i="1"/>
  <c r="CW634" i="1"/>
  <c r="CJ637" i="1"/>
  <c r="H633" i="1"/>
  <c r="BU631" i="1"/>
  <c r="AT631" i="1"/>
  <c r="CG635" i="1"/>
  <c r="BT638" i="1"/>
  <c r="CV633" i="1"/>
  <c r="AE634" i="1"/>
  <c r="K636" i="1"/>
  <c r="W630" i="1"/>
  <c r="CE633" i="1"/>
  <c r="CA631" i="1"/>
  <c r="DE631" i="1"/>
  <c r="CG628" i="1"/>
  <c r="DD625" i="1"/>
  <c r="CY625" i="1"/>
  <c r="BT622" i="1"/>
  <c r="BO622" i="1"/>
  <c r="BN621" i="1"/>
  <c r="AE631" i="1"/>
  <c r="BA631" i="1"/>
  <c r="U628" i="1"/>
  <c r="CJ625" i="1"/>
  <c r="CE625" i="1"/>
  <c r="AZ622" i="1"/>
  <c r="AU622" i="1"/>
  <c r="Z621" i="1"/>
  <c r="K629" i="1"/>
  <c r="AY633" i="1"/>
  <c r="CL628" i="1"/>
  <c r="CO629" i="1"/>
  <c r="AG626" i="1"/>
  <c r="AN626" i="1"/>
  <c r="DD623" i="1"/>
  <c r="AI626" i="1"/>
  <c r="CY623" i="1"/>
  <c r="DH622" i="1"/>
  <c r="BT620" i="1"/>
  <c r="DC622" i="1"/>
  <c r="BO620" i="1"/>
  <c r="U645" i="1"/>
  <c r="CQ629" i="1"/>
  <c r="CP638" i="1"/>
  <c r="DF629" i="1"/>
  <c r="AU637" i="1"/>
  <c r="AG627" i="1"/>
  <c r="AN627" i="1"/>
  <c r="DD624" i="1"/>
  <c r="AI627" i="1"/>
  <c r="CY624" i="1"/>
  <c r="BE624" i="1"/>
  <c r="BT621" i="1"/>
  <c r="AT624" i="1"/>
  <c r="BO621" i="1"/>
  <c r="Q625" i="1"/>
  <c r="CT619" i="1"/>
  <c r="AZ617" i="1"/>
  <c r="L615" i="1"/>
  <c r="DB624" i="1"/>
  <c r="CB617" i="1"/>
  <c r="BL614" i="1"/>
  <c r="DA621" i="1"/>
  <c r="BS618" i="1"/>
  <c r="AE616" i="1"/>
  <c r="BJ621" i="1"/>
  <c r="X620" i="1"/>
  <c r="O615" i="1"/>
  <c r="AE612" i="1"/>
  <c r="CU609" i="1"/>
  <c r="AH616" i="1"/>
  <c r="DF612" i="1"/>
  <c r="BR610" i="1"/>
  <c r="AD608" i="1"/>
  <c r="DF618" i="1"/>
  <c r="AS611" i="1"/>
  <c r="CN607" i="1"/>
  <c r="AF617" i="1"/>
  <c r="P614" i="1"/>
  <c r="AG621" i="1"/>
  <c r="AI618" i="1"/>
  <c r="CY615" i="1"/>
  <c r="CT620" i="1"/>
  <c r="CW618" i="1"/>
  <c r="BW614" i="1"/>
  <c r="F649" i="1"/>
  <c r="BB645" i="1"/>
  <c r="DF643" i="1"/>
  <c r="AC644" i="1"/>
  <c r="AM466" i="1"/>
  <c r="AL650" i="1"/>
  <c r="CE639" i="1"/>
  <c r="DB650" i="1"/>
  <c r="M456" i="1"/>
  <c r="AL641" i="1"/>
  <c r="BN648" i="1"/>
  <c r="CV634" i="1"/>
  <c r="AB628" i="1"/>
  <c r="Q640" i="1"/>
  <c r="I630" i="1"/>
  <c r="AY634" i="1"/>
  <c r="CM623" i="1"/>
  <c r="N622" i="1"/>
  <c r="CE466" i="1"/>
  <c r="AE651" i="1"/>
  <c r="AA650" i="1"/>
  <c r="BZ641" i="1"/>
  <c r="G640" i="1"/>
  <c r="BE646" i="1"/>
  <c r="AT640" i="1"/>
  <c r="CC645" i="1"/>
  <c r="BB638" i="1"/>
  <c r="BE643" i="1"/>
  <c r="DF637" i="1"/>
  <c r="CL631" i="1"/>
  <c r="M639" i="1"/>
  <c r="AI635" i="1"/>
  <c r="BZ631" i="1"/>
  <c r="DF638" i="1"/>
  <c r="S635" i="1"/>
  <c r="AG642" i="1"/>
  <c r="BD637" i="1"/>
  <c r="I631" i="1"/>
  <c r="BA635" i="1"/>
  <c r="BP633" i="1"/>
  <c r="AU632" i="1"/>
  <c r="BK632" i="1"/>
  <c r="U631" i="1"/>
  <c r="BX625" i="1"/>
  <c r="AN622" i="1"/>
  <c r="DF620" i="1"/>
  <c r="BW630" i="1"/>
  <c r="BD625" i="1"/>
  <c r="T622" i="1"/>
  <c r="BR620" i="1"/>
  <c r="CI652" i="1"/>
  <c r="CP650" i="1"/>
  <c r="DC644" i="1"/>
  <c r="CV642" i="1"/>
  <c r="DD641" i="1"/>
  <c r="BF632" i="1"/>
  <c r="AV633" i="1"/>
  <c r="AC635" i="1"/>
  <c r="K631" i="1"/>
  <c r="DH631" i="1"/>
  <c r="BI633" i="1"/>
  <c r="BX631" i="1"/>
  <c r="G637" i="1"/>
  <c r="BV629" i="1"/>
  <c r="BN628" i="1"/>
  <c r="CF623" i="1"/>
  <c r="CL627" i="1"/>
  <c r="BP618" i="1"/>
  <c r="AA631" i="1"/>
  <c r="AT628" i="1"/>
  <c r="CS625" i="1"/>
  <c r="BL623" i="1"/>
  <c r="AD627" i="1"/>
  <c r="J627" i="1"/>
  <c r="W620" i="1"/>
  <c r="BO636" i="1"/>
  <c r="BA628" i="1"/>
  <c r="AX630" i="1"/>
  <c r="CO639" i="1"/>
  <c r="BQ627" i="1"/>
  <c r="BX627" i="1"/>
  <c r="AJ625" i="1"/>
  <c r="BS627" i="1"/>
  <c r="AE625" i="1"/>
  <c r="U625" i="1"/>
  <c r="DD621" i="1"/>
  <c r="J625" i="1"/>
  <c r="CY621" i="1"/>
  <c r="AL627" i="1"/>
  <c r="CE632" i="1"/>
  <c r="CI635" i="1"/>
  <c r="AI633" i="1"/>
  <c r="CH628" i="1"/>
  <c r="CG629" i="1"/>
  <c r="AC626" i="1"/>
  <c r="AJ626" i="1"/>
  <c r="CZ623" i="1"/>
  <c r="AE626" i="1"/>
  <c r="CU623" i="1"/>
  <c r="DD622" i="1"/>
  <c r="BP620" i="1"/>
  <c r="CY622" i="1"/>
  <c r="BK620" i="1"/>
  <c r="AD622" i="1"/>
  <c r="CJ618" i="1"/>
  <c r="AV616" i="1"/>
  <c r="H614" i="1"/>
  <c r="R621" i="1"/>
  <c r="AN616" i="1"/>
  <c r="X613" i="1"/>
  <c r="J620" i="1"/>
  <c r="BO617" i="1"/>
  <c r="CW624" i="1"/>
  <c r="CL619" i="1"/>
  <c r="BE617" i="1"/>
  <c r="CD613" i="1"/>
  <c r="AA611" i="1"/>
  <c r="DB618" i="1"/>
  <c r="CA614" i="1"/>
  <c r="DB611" i="1"/>
  <c r="BN609" i="1"/>
  <c r="CS618" i="1"/>
  <c r="AO614" i="1"/>
  <c r="BC609" i="1"/>
  <c r="AV619" i="1"/>
  <c r="CV615" i="1"/>
  <c r="N625" i="1"/>
  <c r="BS619" i="1"/>
  <c r="AE617" i="1"/>
  <c r="BR623" i="1"/>
  <c r="AX619" i="1"/>
  <c r="CO616" i="1"/>
  <c r="AH613" i="1"/>
  <c r="CU610" i="1"/>
  <c r="AH618" i="1"/>
  <c r="AE614" i="1"/>
  <c r="BR611" i="1"/>
  <c r="AD609" i="1"/>
  <c r="Y618" i="1"/>
  <c r="BA613" i="1"/>
  <c r="DH618" i="1"/>
  <c r="BT615" i="1"/>
  <c r="J624" i="1"/>
  <c r="AY619" i="1"/>
  <c r="K617" i="1"/>
  <c r="V623" i="1"/>
  <c r="AD619" i="1"/>
  <c r="BA616" i="1"/>
  <c r="V466" i="1"/>
  <c r="BS652" i="1"/>
  <c r="CO649" i="1"/>
  <c r="AO649" i="1"/>
  <c r="R651" i="1"/>
  <c r="BV649" i="1"/>
  <c r="BD644" i="1"/>
  <c r="AX650" i="1"/>
  <c r="CX649" i="1"/>
  <c r="BT644" i="1"/>
  <c r="BI642" i="1"/>
  <c r="BF637" i="1"/>
  <c r="P642" i="1"/>
  <c r="BP642" i="1"/>
  <c r="AL640" i="1"/>
  <c r="BD646" i="1"/>
  <c r="AH637" i="1"/>
  <c r="BX641" i="1"/>
  <c r="CC641" i="1"/>
  <c r="T642" i="1"/>
  <c r="N637" i="1"/>
  <c r="AP632" i="1"/>
  <c r="AN647" i="1"/>
  <c r="Q635" i="1"/>
  <c r="DH637" i="1"/>
  <c r="AF633" i="1"/>
  <c r="M632" i="1"/>
  <c r="BI630" i="1"/>
  <c r="DA646" i="1"/>
  <c r="M635" i="1"/>
  <c r="DD637" i="1"/>
  <c r="AB633" i="1"/>
  <c r="DI631" i="1"/>
  <c r="BA630" i="1"/>
  <c r="BA638" i="1"/>
  <c r="CC633" i="1"/>
  <c r="BP636" i="1"/>
  <c r="CR631" i="1"/>
  <c r="DD629" i="1"/>
  <c r="DE641" i="1"/>
  <c r="BM634" i="1"/>
  <c r="AZ637" i="1"/>
  <c r="CB632" i="1"/>
  <c r="DE630" i="1"/>
  <c r="CW628" i="1"/>
  <c r="CQ628" i="1"/>
  <c r="CC630" i="1"/>
  <c r="BS629" i="1"/>
  <c r="CD629" i="1"/>
  <c r="M627" i="1"/>
  <c r="CJ624" i="1"/>
  <c r="CE624" i="1"/>
  <c r="AZ621" i="1"/>
  <c r="AU621" i="1"/>
  <c r="BT619" i="1"/>
  <c r="AQ629" i="1"/>
  <c r="BB629" i="1"/>
  <c r="CW626" i="1"/>
  <c r="BP624" i="1"/>
  <c r="BK624" i="1"/>
  <c r="AF621" i="1"/>
  <c r="AA621" i="1"/>
  <c r="H628" i="1"/>
  <c r="Y630" i="1"/>
  <c r="AS631" i="1"/>
  <c r="Z628" i="1"/>
  <c r="I628" i="1"/>
  <c r="BY625" i="1"/>
  <c r="CF625" i="1"/>
  <c r="AR623" i="1"/>
  <c r="CA625" i="1"/>
  <c r="BF626" i="1"/>
  <c r="AV622" i="1"/>
  <c r="AL626" i="1"/>
  <c r="AQ622" i="1"/>
  <c r="DG619" i="1"/>
  <c r="O635" i="1"/>
  <c r="G629" i="1"/>
  <c r="BW635" i="1"/>
  <c r="Z629" i="1"/>
  <c r="BO631" i="1"/>
  <c r="BY626" i="1"/>
  <c r="CF626" i="1"/>
  <c r="AR624" i="1"/>
  <c r="CA626" i="1"/>
  <c r="AM624" i="1"/>
  <c r="AY623" i="1"/>
  <c r="H621" i="1"/>
  <c r="AS623" i="1"/>
  <c r="DG620" i="1"/>
  <c r="R623" i="1"/>
  <c r="AB619" i="1"/>
  <c r="CR616" i="1"/>
  <c r="BD614" i="1"/>
  <c r="I623" i="1"/>
  <c r="CZ616" i="1"/>
  <c r="CJ613" i="1"/>
  <c r="CG620" i="1"/>
  <c r="G618" i="1"/>
  <c r="CH627" i="1"/>
  <c r="AT620" i="1"/>
  <c r="AS618" i="1"/>
  <c r="AL614" i="1"/>
  <c r="BW611" i="1"/>
  <c r="U621" i="1"/>
  <c r="AI615" i="1"/>
  <c r="AT612" i="1"/>
  <c r="F610" i="1"/>
  <c r="CK620" i="1"/>
  <c r="BI615" i="1"/>
  <c r="Y610" i="1"/>
  <c r="F622" i="1"/>
  <c r="BD616" i="1"/>
  <c r="AN613" i="1"/>
  <c r="Z620" i="1"/>
  <c r="CA617" i="1"/>
  <c r="AO625" i="1"/>
  <c r="DB619" i="1"/>
  <c r="CC617" i="1"/>
  <c r="CB649" i="1"/>
  <c r="BA652" i="1"/>
  <c r="AW647" i="1"/>
  <c r="AP638" i="1"/>
  <c r="U649" i="1"/>
  <c r="R648" i="1"/>
  <c r="V649" i="1"/>
  <c r="CK645" i="1"/>
  <c r="AP647" i="1"/>
  <c r="CK639" i="1"/>
  <c r="BP645" i="1"/>
  <c r="AF628" i="1"/>
  <c r="AO635" i="1"/>
  <c r="G636" i="1"/>
  <c r="AQ626" i="1"/>
  <c r="BZ628" i="1"/>
  <c r="BH620" i="1"/>
  <c r="AX639" i="1"/>
  <c r="AW461" i="1"/>
  <c r="BP648" i="1"/>
  <c r="CY641" i="1"/>
  <c r="U647" i="1"/>
  <c r="CD644" i="1"/>
  <c r="L647" i="1"/>
  <c r="DH645" i="1"/>
  <c r="CH639" i="1"/>
  <c r="BN643" i="1"/>
  <c r="U639" i="1"/>
  <c r="BR635" i="1"/>
  <c r="AS638" i="1"/>
  <c r="BH636" i="1"/>
  <c r="CV629" i="1"/>
  <c r="AO638" i="1"/>
  <c r="BD636" i="1"/>
  <c r="CR629" i="1"/>
  <c r="DE636" i="1"/>
  <c r="P635" i="1"/>
  <c r="BD628" i="1"/>
  <c r="M633" i="1"/>
  <c r="AB631" i="1"/>
  <c r="AE635" i="1"/>
  <c r="AN628" i="1"/>
  <c r="R628" i="1"/>
  <c r="DG627" i="1"/>
  <c r="F626" i="1"/>
  <c r="AQ628" i="1"/>
  <c r="DC645" i="1"/>
  <c r="CM627" i="1"/>
  <c r="AX625" i="1"/>
  <c r="CI633" i="1"/>
  <c r="DE649" i="1"/>
  <c r="CJ644" i="1"/>
  <c r="CO642" i="1"/>
  <c r="BR640" i="1"/>
  <c r="DI641" i="1"/>
  <c r="CH630" i="1"/>
  <c r="AS632" i="1"/>
  <c r="P638" i="1"/>
  <c r="BQ638" i="1"/>
  <c r="P630" i="1"/>
  <c r="BP637" i="1"/>
  <c r="AG631" i="1"/>
  <c r="S629" i="1"/>
  <c r="CM629" i="1"/>
  <c r="AC627" i="1"/>
  <c r="CU624" i="1"/>
  <c r="BK621" i="1"/>
  <c r="CY637" i="1"/>
  <c r="BO637" i="1"/>
  <c r="G635" i="1"/>
  <c r="P627" i="1"/>
  <c r="K627" i="1"/>
  <c r="I624" i="1"/>
  <c r="DB623" i="1"/>
  <c r="AC624" i="1"/>
  <c r="O631" i="1"/>
  <c r="AY637" i="1"/>
  <c r="BR629" i="1"/>
  <c r="CE634" i="1"/>
  <c r="DI626" i="1"/>
  <c r="L627" i="1"/>
  <c r="CB624" i="1"/>
  <c r="G627" i="1"/>
  <c r="BW624" i="1"/>
  <c r="DE623" i="1"/>
  <c r="AR621" i="1"/>
  <c r="CT623" i="1"/>
  <c r="AM621" i="1"/>
  <c r="M624" i="1"/>
  <c r="G631" i="1"/>
  <c r="M630" i="1"/>
  <c r="AC631" i="1"/>
  <c r="V628" i="1"/>
  <c r="DI627" i="1"/>
  <c r="BU625" i="1"/>
  <c r="CB625" i="1"/>
  <c r="AN623" i="1"/>
  <c r="BW625" i="1"/>
  <c r="AP626" i="1"/>
  <c r="AR622" i="1"/>
  <c r="V626" i="1"/>
  <c r="AM622" i="1"/>
  <c r="DC619" i="1"/>
  <c r="J621" i="1"/>
  <c r="X618" i="1"/>
  <c r="CN615" i="1"/>
  <c r="AZ613" i="1"/>
  <c r="CR618" i="1"/>
  <c r="BL615" i="1"/>
  <c r="BV623" i="1"/>
  <c r="AQ619" i="1"/>
  <c r="DG616" i="1"/>
  <c r="F623" i="1"/>
  <c r="V619" i="1"/>
  <c r="AK616" i="1"/>
  <c r="DG612" i="1"/>
  <c r="BS610" i="1"/>
  <c r="CH617" i="1"/>
  <c r="CX613" i="1"/>
  <c r="AP611" i="1"/>
  <c r="DF608" i="1"/>
  <c r="BY617" i="1"/>
  <c r="CS612" i="1"/>
  <c r="BY608" i="1"/>
  <c r="AF618" i="1"/>
  <c r="P615" i="1"/>
  <c r="CG622" i="1"/>
  <c r="G619" i="1"/>
  <c r="BW616" i="1"/>
  <c r="AP622" i="1"/>
  <c r="AK623" i="1"/>
  <c r="BV615" i="1"/>
  <c r="BW612" i="1"/>
  <c r="AI610" i="1"/>
  <c r="N617" i="1"/>
  <c r="BB613" i="1"/>
  <c r="F611" i="1"/>
  <c r="BV608" i="1"/>
  <c r="DI616" i="1"/>
  <c r="Y612" i="1"/>
  <c r="DH617" i="1"/>
  <c r="CR614" i="1"/>
  <c r="AS622" i="1"/>
  <c r="CQ618" i="1"/>
  <c r="BC616" i="1"/>
  <c r="DF621" i="1"/>
  <c r="CO621" i="1"/>
  <c r="AZ476" i="1"/>
  <c r="Z461" i="1"/>
  <c r="BI652" i="1"/>
  <c r="CJ649" i="1"/>
  <c r="AJ649" i="1"/>
  <c r="O643" i="1"/>
  <c r="CY642" i="1"/>
  <c r="BJ650" i="1"/>
  <c r="BI645" i="1"/>
  <c r="BC645" i="1"/>
  <c r="DB641" i="1"/>
  <c r="J650" i="1"/>
  <c r="R635" i="1"/>
  <c r="BO647" i="1"/>
  <c r="K645" i="1"/>
  <c r="CR640" i="1"/>
  <c r="BH642" i="1"/>
  <c r="CH644" i="1"/>
  <c r="BH639" i="1"/>
  <c r="BL639" i="1"/>
  <c r="CP639" i="1"/>
  <c r="CX635" i="1"/>
  <c r="V631" i="1"/>
  <c r="BZ638" i="1"/>
  <c r="DA633" i="1"/>
  <c r="CN636" i="1"/>
  <c r="L632" i="1"/>
  <c r="X630" i="1"/>
  <c r="BX638" i="1"/>
  <c r="BU638" i="1"/>
  <c r="CW633" i="1"/>
  <c r="CJ636" i="1"/>
  <c r="H632" i="1"/>
  <c r="T630" i="1"/>
  <c r="AL634" i="1"/>
  <c r="AG637" i="1"/>
  <c r="BI632" i="1"/>
  <c r="AV635" i="1"/>
  <c r="BX630" i="1"/>
  <c r="CJ628" i="1"/>
  <c r="Q638" i="1"/>
  <c r="AS633" i="1"/>
  <c r="AF636" i="1"/>
  <c r="BH631" i="1"/>
  <c r="BT629" i="1"/>
  <c r="AY636" i="1"/>
  <c r="AS630" i="1"/>
  <c r="BF629" i="1"/>
  <c r="AY631" i="1"/>
  <c r="AX628" i="1"/>
  <c r="CW625" i="1"/>
  <c r="BP623" i="1"/>
  <c r="AT627" i="1"/>
  <c r="Z627" i="1"/>
  <c r="AA620" i="1"/>
  <c r="AZ618" i="1"/>
  <c r="AG630" i="1"/>
  <c r="AD628" i="1"/>
  <c r="CC625" i="1"/>
  <c r="AV623" i="1"/>
  <c r="BV626" i="1"/>
  <c r="BB626" i="1"/>
  <c r="G620" i="1"/>
  <c r="AU635" i="1"/>
  <c r="AO646" i="1"/>
  <c r="Z630" i="1"/>
  <c r="AY638" i="1"/>
  <c r="BA627" i="1"/>
  <c r="BH627" i="1"/>
  <c r="T625" i="1"/>
  <c r="BC627" i="1"/>
  <c r="O625" i="1"/>
  <c r="CS624" i="1"/>
  <c r="CN621" i="1"/>
  <c r="CH624" i="1"/>
  <c r="CI621" i="1"/>
  <c r="R626" i="1"/>
  <c r="AA632" i="1"/>
  <c r="CA633" i="1"/>
  <c r="AW632" i="1"/>
  <c r="BR628" i="1"/>
  <c r="AG629" i="1"/>
  <c r="M626" i="1"/>
  <c r="T626" i="1"/>
  <c r="CJ623" i="1"/>
  <c r="O626" i="1"/>
  <c r="CE623" i="1"/>
  <c r="CN622" i="1"/>
  <c r="DB627" i="1"/>
  <c r="CI622" i="1"/>
  <c r="AU620" i="1"/>
  <c r="DB621" i="1"/>
  <c r="BT618" i="1"/>
  <c r="AF616" i="1"/>
  <c r="CV613" i="1"/>
  <c r="Q620" i="1"/>
  <c r="T616" i="1"/>
  <c r="AT626" i="1"/>
  <c r="CS619" i="1"/>
  <c r="AY617" i="1"/>
  <c r="AK624" i="1"/>
  <c r="BR619" i="1"/>
  <c r="Y617" i="1"/>
  <c r="BI613" i="1"/>
  <c r="K611" i="1"/>
  <c r="BV618" i="1"/>
  <c r="BF614" i="1"/>
  <c r="CL611" i="1"/>
  <c r="AC650" i="1"/>
  <c r="CK652" i="1"/>
  <c r="AT644" i="1"/>
  <c r="BD633" i="1"/>
  <c r="CQ622" i="1"/>
  <c r="BC649" i="1"/>
  <c r="BO646" i="1"/>
  <c r="AD633" i="1"/>
  <c r="DE635" i="1"/>
  <c r="CF632" i="1"/>
  <c r="CU629" i="1"/>
  <c r="AI622" i="1"/>
  <c r="O622" i="1"/>
  <c r="BV637" i="1"/>
  <c r="AI631" i="1"/>
  <c r="AV636" i="1"/>
  <c r="I626" i="1"/>
  <c r="CO631" i="1"/>
  <c r="BP622" i="1"/>
  <c r="W634" i="1"/>
  <c r="BD626" i="1"/>
  <c r="T623" i="1"/>
  <c r="DI628" i="1"/>
  <c r="AI638" i="1"/>
  <c r="AY627" i="1"/>
  <c r="BZ624" i="1"/>
  <c r="BP617" i="1"/>
  <c r="CF614" i="1"/>
  <c r="CP621" i="1"/>
  <c r="G610" i="1"/>
  <c r="AT608" i="1"/>
  <c r="BD617" i="1"/>
  <c r="K616" i="1"/>
  <c r="K612" i="1"/>
  <c r="AX610" i="1"/>
  <c r="AB617" i="1"/>
  <c r="CU615" i="1"/>
  <c r="BO456" i="1"/>
  <c r="CL650" i="1"/>
  <c r="DB642" i="1"/>
  <c r="U642" i="1"/>
  <c r="R641" i="1"/>
  <c r="CD634" i="1"/>
  <c r="BT635" i="1"/>
  <c r="BA637" i="1"/>
  <c r="DD628" i="1"/>
  <c r="AB634" i="1"/>
  <c r="AZ646" i="1"/>
  <c r="K632" i="1"/>
  <c r="BC635" i="1"/>
  <c r="F624" i="1"/>
  <c r="AU633" i="1"/>
  <c r="BY623" i="1"/>
  <c r="AX629" i="1"/>
  <c r="BL624" i="1"/>
  <c r="AB621" i="1"/>
  <c r="BY630" i="1"/>
  <c r="CS627" i="1"/>
  <c r="BG625" i="1"/>
  <c r="W622" i="1"/>
  <c r="BX615" i="1"/>
  <c r="Y623" i="1"/>
  <c r="BJ626" i="1"/>
  <c r="BB617" i="1"/>
  <c r="CP608" i="1"/>
  <c r="BM612" i="1"/>
  <c r="L618" i="1"/>
  <c r="BA622" i="1"/>
  <c r="BG616" i="1"/>
  <c r="Q622" i="1"/>
  <c r="O613" i="1"/>
  <c r="CE610" i="1"/>
  <c r="DF617" i="1"/>
  <c r="J614" i="1"/>
  <c r="BB611" i="1"/>
  <c r="N609" i="1"/>
  <c r="CW617" i="1"/>
  <c r="M613" i="1"/>
  <c r="DE466" i="1"/>
  <c r="AO652" i="1"/>
  <c r="R647" i="1"/>
  <c r="BV640" i="1"/>
  <c r="BO639" i="1"/>
  <c r="AK645" i="1"/>
  <c r="DI647" i="1"/>
  <c r="CD643" i="1"/>
  <c r="V638" i="1"/>
  <c r="Y643" i="1"/>
  <c r="CP637" i="1"/>
  <c r="BJ631" i="1"/>
  <c r="CK638" i="1"/>
  <c r="CA634" i="1"/>
  <c r="BF631" i="1"/>
  <c r="CD638" i="1"/>
  <c r="BK634" i="1"/>
  <c r="M641" i="1"/>
  <c r="AN637" i="1"/>
  <c r="CG630" i="1"/>
  <c r="AK635" i="1"/>
  <c r="AZ633" i="1"/>
  <c r="BG631" i="1"/>
  <c r="Y632" i="1"/>
  <c r="CK630" i="1"/>
  <c r="BH625" i="1"/>
  <c r="X622" i="1"/>
  <c r="BZ620" i="1"/>
  <c r="BB630" i="1"/>
  <c r="AN625" i="1"/>
  <c r="DH621" i="1"/>
  <c r="AR620" i="1"/>
  <c r="CA632" i="1"/>
  <c r="AS629" i="1"/>
  <c r="X626" i="1"/>
  <c r="S626" i="1"/>
  <c r="CR622" i="1"/>
  <c r="CM622" i="1"/>
  <c r="BG638" i="1"/>
  <c r="G638" i="1"/>
  <c r="CY635" i="1"/>
  <c r="X627" i="1"/>
  <c r="S627" i="1"/>
  <c r="Y624" i="1"/>
  <c r="N624" i="1"/>
  <c r="BI624" i="1"/>
  <c r="AJ617" i="1"/>
  <c r="AP624" i="1"/>
  <c r="AR614" i="1"/>
  <c r="BC618" i="1"/>
  <c r="AD621" i="1"/>
  <c r="CX614" i="1"/>
  <c r="AD626" i="1"/>
  <c r="CP612" i="1"/>
  <c r="V625" i="1"/>
  <c r="M611" i="1"/>
  <c r="L617" i="1"/>
  <c r="DE620" i="1"/>
  <c r="CI615" i="1"/>
  <c r="BQ618" i="1"/>
  <c r="CI611" i="1"/>
  <c r="AY615" i="1"/>
  <c r="R610" i="1"/>
  <c r="CW615" i="1"/>
  <c r="CN617" i="1"/>
  <c r="BX613" i="1"/>
  <c r="BO619" i="1"/>
  <c r="AM616" i="1"/>
  <c r="AJ620" i="1"/>
  <c r="CG616" i="1"/>
  <c r="K613" i="1"/>
  <c r="CA610" i="1"/>
  <c r="CX617" i="1"/>
  <c r="DI613" i="1"/>
  <c r="AX611" i="1"/>
  <c r="J609" i="1"/>
  <c r="CO617" i="1"/>
  <c r="DI612" i="1"/>
  <c r="BL617" i="1"/>
  <c r="AV614" i="1"/>
  <c r="CC621" i="1"/>
  <c r="BG618" i="1"/>
  <c r="S616" i="1"/>
  <c r="AL621" i="1"/>
  <c r="BQ619" i="1"/>
  <c r="DC614" i="1"/>
  <c r="S612" i="1"/>
  <c r="AX627" i="1"/>
  <c r="J616" i="1"/>
  <c r="CT612" i="1"/>
  <c r="BF610" i="1"/>
  <c r="DB625" i="1"/>
  <c r="N618" i="1"/>
  <c r="U611" i="1"/>
  <c r="CB607" i="1"/>
  <c r="T613" i="1"/>
  <c r="CS608" i="1"/>
  <c r="CG612" i="1"/>
  <c r="CI609" i="1"/>
  <c r="CE613" i="1"/>
  <c r="CW621" i="1"/>
  <c r="DI609" i="1"/>
  <c r="BK608" i="1"/>
  <c r="BO605" i="1"/>
  <c r="CL606" i="1"/>
  <c r="AX604" i="1"/>
  <c r="AZ610" i="1"/>
  <c r="CW605" i="1"/>
  <c r="BI603" i="1"/>
  <c r="U601" i="1"/>
  <c r="CV605" i="1"/>
  <c r="BL601" i="1"/>
  <c r="CA598" i="1"/>
  <c r="AM596" i="1"/>
  <c r="DC593" i="1"/>
  <c r="BS609" i="1"/>
  <c r="BU613" i="1"/>
  <c r="CP619" i="1"/>
  <c r="DA609" i="1"/>
  <c r="AO608" i="1"/>
  <c r="BK605" i="1"/>
  <c r="CH606" i="1"/>
  <c r="AT604" i="1"/>
  <c r="T610" i="1"/>
  <c r="CS605" i="1"/>
  <c r="BE603" i="1"/>
  <c r="Q601" i="1"/>
  <c r="CF605" i="1"/>
  <c r="BG601" i="1"/>
  <c r="BW598" i="1"/>
  <c r="AI596" i="1"/>
  <c r="CY593" i="1"/>
  <c r="AB607" i="1"/>
  <c r="BT610" i="1"/>
  <c r="BF613" i="1"/>
  <c r="AF608" i="1"/>
  <c r="CQ606" i="1"/>
  <c r="M609" i="1"/>
  <c r="BZ605" i="1"/>
  <c r="AL603" i="1"/>
  <c r="Y607" i="1"/>
  <c r="CK604" i="1"/>
  <c r="AW602" i="1"/>
  <c r="I600" i="1"/>
  <c r="AZ603" i="1"/>
  <c r="L600" i="1"/>
  <c r="BO597" i="1"/>
  <c r="AA595" i="1"/>
  <c r="AU623" i="1"/>
  <c r="P610" i="1"/>
  <c r="CW612" i="1"/>
  <c r="AX624" i="1"/>
  <c r="BW606" i="1"/>
  <c r="W608" i="1"/>
  <c r="BF605" i="1"/>
  <c r="R603" i="1"/>
  <c r="DE606" i="1"/>
  <c r="BQ604" i="1"/>
  <c r="AC602" i="1"/>
  <c r="CS599" i="1"/>
  <c r="L603" i="1"/>
  <c r="CP599" i="1"/>
  <c r="AU597" i="1"/>
  <c r="G595" i="1"/>
  <c r="BW592" i="1"/>
  <c r="AI590" i="1"/>
  <c r="CY587" i="1"/>
  <c r="BS607" i="1"/>
  <c r="O590" i="1"/>
  <c r="DC586" i="1"/>
  <c r="CM603" i="1"/>
  <c r="AL600" i="1"/>
  <c r="CH597" i="1"/>
  <c r="AT595" i="1"/>
  <c r="F593" i="1"/>
  <c r="BV590" i="1"/>
  <c r="AH588" i="1"/>
  <c r="CX585" i="1"/>
  <c r="CB603" i="1"/>
  <c r="AE600" i="1"/>
  <c r="CC597" i="1"/>
  <c r="AO595" i="1"/>
  <c r="DE592" i="1"/>
  <c r="BQ590" i="1"/>
  <c r="AC588" i="1"/>
  <c r="AE605" i="1"/>
  <c r="AH601" i="1"/>
  <c r="CN593" i="1"/>
  <c r="CB585" i="1"/>
  <c r="L594" i="1"/>
  <c r="CK585" i="1"/>
  <c r="AN594" i="1"/>
  <c r="CU585" i="1"/>
  <c r="AZ594" i="1"/>
  <c r="CY585" i="1"/>
  <c r="DG592" i="1"/>
  <c r="BC589" i="1"/>
  <c r="AM586" i="1"/>
  <c r="CQ602" i="1"/>
  <c r="BX599" i="1"/>
  <c r="AH597" i="1"/>
  <c r="CX594" i="1"/>
  <c r="BJ592" i="1"/>
  <c r="V590" i="1"/>
  <c r="CL587" i="1"/>
  <c r="AX585" i="1"/>
  <c r="CI602" i="1"/>
  <c r="BR599" i="1"/>
  <c r="AC597" i="1"/>
  <c r="CS594" i="1"/>
  <c r="BE592" i="1"/>
  <c r="Q590" i="1"/>
  <c r="CG587" i="1"/>
  <c r="AI604" i="1"/>
  <c r="BT600" i="1"/>
  <c r="CV591" i="1"/>
  <c r="Q585" i="1"/>
  <c r="T592" i="1"/>
  <c r="X585" i="1"/>
  <c r="AV592" i="1"/>
  <c r="AE585" i="1"/>
  <c r="BH592" i="1"/>
  <c r="AH585" i="1"/>
  <c r="CS582" i="1"/>
  <c r="CM590" i="1"/>
  <c r="BW587" i="1"/>
  <c r="CQ604" i="1"/>
  <c r="DH600" i="1"/>
  <c r="AH598" i="1"/>
  <c r="CX595" i="1"/>
  <c r="BJ593" i="1"/>
  <c r="V591" i="1"/>
  <c r="CL588" i="1"/>
  <c r="AX586" i="1"/>
  <c r="CF604" i="1"/>
  <c r="DB600" i="1"/>
  <c r="AC598" i="1"/>
  <c r="CS595" i="1"/>
  <c r="BE593" i="1"/>
  <c r="Q591" i="1"/>
  <c r="CG588" i="1"/>
  <c r="R607" i="1"/>
  <c r="DD601" i="1"/>
  <c r="CV595" i="1"/>
  <c r="BT586" i="1"/>
  <c r="T596" i="1"/>
  <c r="CG586" i="1"/>
  <c r="AV596" i="1"/>
  <c r="CZ586" i="1"/>
  <c r="BH596" i="1"/>
  <c r="H587" i="1"/>
  <c r="CS583" i="1"/>
  <c r="DC589" i="1"/>
  <c r="CM586" i="1"/>
  <c r="BO603" i="1"/>
  <c r="V600" i="1"/>
  <c r="L461" i="1"/>
  <c r="O652" i="1"/>
  <c r="CE640" i="1"/>
  <c r="BO645" i="1"/>
  <c r="R644" i="1"/>
  <c r="BE645" i="1"/>
  <c r="BI644" i="1"/>
  <c r="BB652" i="1"/>
  <c r="AT642" i="1"/>
  <c r="CH638" i="1"/>
  <c r="AL635" i="1"/>
  <c r="M638" i="1"/>
  <c r="AB636" i="1"/>
  <c r="BP629" i="1"/>
  <c r="I638" i="1"/>
  <c r="X636" i="1"/>
  <c r="BL629" i="1"/>
  <c r="BY636" i="1"/>
  <c r="CN634" i="1"/>
  <c r="Z635" i="1"/>
  <c r="CK632" i="1"/>
  <c r="CZ630" i="1"/>
  <c r="K634" i="1"/>
  <c r="BO634" i="1"/>
  <c r="Q642" i="1"/>
  <c r="CA627" i="1"/>
  <c r="Z625" i="1"/>
  <c r="CW629" i="1"/>
  <c r="BO638" i="1"/>
  <c r="BG627" i="1"/>
  <c r="CP624" i="1"/>
  <c r="AI632" i="1"/>
  <c r="CP629" i="1"/>
  <c r="U627" i="1"/>
  <c r="CR624" i="1"/>
  <c r="CM624" i="1"/>
  <c r="BH621" i="1"/>
  <c r="BC621" i="1"/>
  <c r="AU631" i="1"/>
  <c r="BY631" i="1"/>
  <c r="AW628" i="1"/>
  <c r="CR625" i="1"/>
  <c r="CM625" i="1"/>
  <c r="BH622" i="1"/>
  <c r="BC622" i="1"/>
  <c r="AP621" i="1"/>
  <c r="DD615" i="1"/>
  <c r="T619" i="1"/>
  <c r="BF624" i="1"/>
  <c r="S617" i="1"/>
  <c r="AL619" i="1"/>
  <c r="S613" i="1"/>
  <c r="J618" i="1"/>
  <c r="BF611" i="1"/>
  <c r="DE617" i="1"/>
  <c r="CU608" i="1"/>
  <c r="AJ615" i="1"/>
  <c r="W619" i="1"/>
  <c r="BV622" i="1"/>
  <c r="DA615" i="1"/>
  <c r="AY610" i="1"/>
  <c r="BW613" i="1"/>
  <c r="CL608" i="1"/>
  <c r="BE612" i="1"/>
  <c r="BT616" i="1"/>
  <c r="BA623" i="1"/>
  <c r="BK618" i="1"/>
  <c r="DF625" i="1"/>
  <c r="N619" i="1"/>
  <c r="Z615" i="1"/>
  <c r="AM612" i="1"/>
  <c r="DC609" i="1"/>
  <c r="AX616" i="1"/>
  <c r="J613" i="1"/>
  <c r="BZ610" i="1"/>
  <c r="AL608" i="1"/>
  <c r="AC620" i="1"/>
  <c r="BR622" i="1"/>
  <c r="BP616" i="1"/>
  <c r="AV613" i="1"/>
  <c r="AK620" i="1"/>
  <c r="CI617" i="1"/>
  <c r="BZ625" i="1"/>
  <c r="I620" i="1"/>
  <c r="CS617" i="1"/>
  <c r="DE613" i="1"/>
  <c r="AU611" i="1"/>
  <c r="BM619" i="1"/>
  <c r="DB614" i="1"/>
  <c r="R612" i="1"/>
  <c r="CH609" i="1"/>
  <c r="AS619" i="1"/>
  <c r="CP614" i="1"/>
  <c r="CC609" i="1"/>
  <c r="Y622" i="1"/>
  <c r="BX611" i="1"/>
  <c r="BJ618" i="1"/>
  <c r="AG611" i="1"/>
  <c r="CV607" i="1"/>
  <c r="BP611" i="1"/>
  <c r="CK614" i="1"/>
  <c r="CG608" i="1"/>
  <c r="AG607" i="1"/>
  <c r="CB611" i="1"/>
  <c r="J606" i="1"/>
  <c r="BZ603" i="1"/>
  <c r="BZ607" i="1"/>
  <c r="U605" i="1"/>
  <c r="CK602" i="1"/>
  <c r="AW600" i="1"/>
  <c r="X604" i="1"/>
  <c r="BN600" i="1"/>
  <c r="DC597" i="1"/>
  <c r="BO595" i="1"/>
  <c r="AA593" i="1"/>
  <c r="CJ607" i="1"/>
  <c r="BH611" i="1"/>
  <c r="BZ614" i="1"/>
  <c r="CB608" i="1"/>
  <c r="AA607" i="1"/>
  <c r="AV611" i="1"/>
  <c r="F606" i="1"/>
  <c r="BV603" i="1"/>
  <c r="BU607" i="1"/>
  <c r="Q605" i="1"/>
  <c r="CG602" i="1"/>
  <c r="AS600" i="1"/>
  <c r="P604" i="1"/>
  <c r="BH600" i="1"/>
  <c r="CY597" i="1"/>
  <c r="BK595" i="1"/>
  <c r="W593" i="1"/>
  <c r="BR615" i="1"/>
  <c r="DI608" i="1"/>
  <c r="AW611" i="1"/>
  <c r="L612" i="1"/>
  <c r="O606" i="1"/>
  <c r="AU607" i="1"/>
  <c r="DB604" i="1"/>
  <c r="K615" i="1"/>
  <c r="AW606" i="1"/>
  <c r="I604" i="1"/>
  <c r="BY601" i="1"/>
  <c r="BP608" i="1"/>
  <c r="AE602" i="1"/>
  <c r="AA599" i="1"/>
  <c r="CQ596" i="1"/>
  <c r="BC594" i="1"/>
  <c r="CY614" i="1"/>
  <c r="CC608" i="1"/>
  <c r="CW610" i="1"/>
  <c r="BP610" i="1"/>
  <c r="CY605" i="1"/>
  <c r="U607" i="1"/>
  <c r="CH604" i="1"/>
  <c r="P613" i="1"/>
  <c r="AC606" i="1"/>
  <c r="CS603" i="1"/>
  <c r="BE601" i="1"/>
  <c r="AH607" i="1"/>
  <c r="DH601" i="1"/>
  <c r="G599" i="1"/>
  <c r="BW596" i="1"/>
  <c r="AI594" i="1"/>
  <c r="CY591" i="1"/>
  <c r="BK589" i="1"/>
  <c r="W587" i="1"/>
  <c r="AY592" i="1"/>
  <c r="S589" i="1"/>
  <c r="DC585" i="1"/>
  <c r="BF651" i="1"/>
  <c r="N641" i="1"/>
  <c r="AF639" i="1"/>
  <c r="BS630" i="1"/>
  <c r="CA629" i="1"/>
  <c r="O647" i="1"/>
  <c r="CL639" i="1"/>
  <c r="DI635" i="1"/>
  <c r="P634" i="1"/>
  <c r="DF630" i="1"/>
  <c r="DC630" i="1"/>
  <c r="BK630" i="1"/>
  <c r="AI628" i="1"/>
  <c r="CU646" i="1"/>
  <c r="AR633" i="1"/>
  <c r="CJ629" i="1"/>
  <c r="DF627" i="1"/>
  <c r="BU628" i="1"/>
  <c r="BK622" i="1"/>
  <c r="DB628" i="1"/>
  <c r="P624" i="1"/>
  <c r="CJ620" i="1"/>
  <c r="K630" i="1"/>
  <c r="AW627" i="1"/>
  <c r="K625" i="1"/>
  <c r="CE621" i="1"/>
  <c r="AB615" i="1"/>
  <c r="AC622" i="1"/>
  <c r="AC621" i="1"/>
  <c r="BN616" i="1"/>
  <c r="BE622" i="1"/>
  <c r="AJ614" i="1"/>
  <c r="V621" i="1"/>
  <c r="AL625" i="1"/>
  <c r="BN624" i="1"/>
  <c r="L614" i="1"/>
  <c r="CL620" i="1"/>
  <c r="BD652" i="1"/>
  <c r="AL649" i="1"/>
  <c r="BT642" i="1"/>
  <c r="AL637" i="1"/>
  <c r="DG646" i="1"/>
  <c r="J635" i="1"/>
  <c r="CV630" i="1"/>
  <c r="CC632" i="1"/>
  <c r="DB631" i="1"/>
  <c r="BO635" i="1"/>
  <c r="L635" i="1"/>
  <c r="BC638" i="1"/>
  <c r="T627" i="1"/>
  <c r="AS624" i="1"/>
  <c r="DD626" i="1"/>
  <c r="BW623" i="1"/>
  <c r="DC632" i="1"/>
  <c r="CU626" i="1"/>
  <c r="BS623" i="1"/>
  <c r="AW629" i="1"/>
  <c r="CZ627" i="1"/>
  <c r="CH625" i="1"/>
  <c r="CM619" i="1"/>
  <c r="AJ613" i="1"/>
  <c r="AA619" i="1"/>
  <c r="DI615" i="1"/>
  <c r="CC613" i="1"/>
  <c r="BM618" i="1"/>
  <c r="AG609" i="1"/>
  <c r="CB615" i="1"/>
  <c r="BC619" i="1"/>
  <c r="AD623" i="1"/>
  <c r="BI616" i="1"/>
  <c r="BG612" i="1"/>
  <c r="S610" i="1"/>
  <c r="CL616" i="1"/>
  <c r="AG613" i="1"/>
  <c r="CT610" i="1"/>
  <c r="BF608" i="1"/>
  <c r="CC616" i="1"/>
  <c r="CW611" i="1"/>
  <c r="T461" i="1"/>
  <c r="AE652" i="1"/>
  <c r="CU640" i="1"/>
  <c r="CJ645" i="1"/>
  <c r="AH644" i="1"/>
  <c r="CV645" i="1"/>
  <c r="CO644" i="1"/>
  <c r="V639" i="1"/>
  <c r="DF642" i="1"/>
  <c r="DD638" i="1"/>
  <c r="BB635" i="1"/>
  <c r="AC638" i="1"/>
  <c r="AR636" i="1"/>
  <c r="CF629" i="1"/>
  <c r="Y638" i="1"/>
  <c r="AN636" i="1"/>
  <c r="CB629" i="1"/>
  <c r="CO636" i="1"/>
  <c r="DD634" i="1"/>
  <c r="CL635" i="1"/>
  <c r="DA632" i="1"/>
  <c r="L631" i="1"/>
  <c r="BW634" i="1"/>
  <c r="BS628" i="1"/>
  <c r="BI647" i="1"/>
  <c r="CQ627" i="1"/>
  <c r="BF625" i="1"/>
  <c r="CM632" i="1"/>
  <c r="DA640" i="1"/>
  <c r="BW627" i="1"/>
  <c r="R625" i="1"/>
  <c r="G633" i="1"/>
  <c r="F630" i="1"/>
  <c r="AK627" i="1"/>
  <c r="DH624" i="1"/>
  <c r="DC624" i="1"/>
  <c r="BX621" i="1"/>
  <c r="BS621" i="1"/>
  <c r="CQ631" i="1"/>
  <c r="I632" i="1"/>
  <c r="CO628" i="1"/>
  <c r="DH625" i="1"/>
  <c r="DC625" i="1"/>
  <c r="BX622" i="1"/>
  <c r="BS622" i="1"/>
  <c r="BV621" i="1"/>
  <c r="P616" i="1"/>
  <c r="AZ619" i="1"/>
  <c r="AD625" i="1"/>
  <c r="AI617" i="1"/>
  <c r="BB619" i="1"/>
  <c r="AM613" i="1"/>
  <c r="AP618" i="1"/>
  <c r="BV611" i="1"/>
  <c r="AG618" i="1"/>
  <c r="L609" i="1"/>
  <c r="BD615" i="1"/>
  <c r="AM619" i="1"/>
  <c r="DB622" i="1"/>
  <c r="AC616" i="1"/>
  <c r="BO610" i="1"/>
  <c r="CS613" i="1"/>
  <c r="DB608" i="1"/>
  <c r="CK612" i="1"/>
  <c r="CN616" i="1"/>
  <c r="CL624" i="1"/>
  <c r="CA618" i="1"/>
  <c r="V627" i="1"/>
  <c r="AT619" i="1"/>
  <c r="AU615" i="1"/>
  <c r="BC612" i="1"/>
  <c r="O610" i="1"/>
  <c r="CD616" i="1"/>
  <c r="AA613" i="1"/>
  <c r="CP610" i="1"/>
  <c r="BB608" i="1"/>
  <c r="CP626" i="1"/>
  <c r="CO611" i="1"/>
  <c r="CJ616" i="1"/>
  <c r="BT613" i="1"/>
  <c r="BI620" i="1"/>
  <c r="CY617" i="1"/>
  <c r="CT626" i="1"/>
  <c r="AD620" i="1"/>
  <c r="U618" i="1"/>
  <c r="V614" i="1"/>
  <c r="BK611" i="1"/>
  <c r="AN620" i="1"/>
  <c r="S615" i="1"/>
  <c r="AH612" i="1"/>
  <c r="CX609" i="1"/>
  <c r="M620" i="1"/>
  <c r="AC615" i="1"/>
  <c r="DE609" i="1"/>
  <c r="P607" i="1"/>
  <c r="DD611" i="1"/>
  <c r="CC620" i="1"/>
  <c r="BM611" i="1"/>
  <c r="X608" i="1"/>
  <c r="H612" i="1"/>
  <c r="AH615" i="1"/>
  <c r="DC608" i="1"/>
  <c r="BB607" i="1"/>
  <c r="CV612" i="1"/>
  <c r="Z606" i="1"/>
  <c r="CP603" i="1"/>
  <c r="CU607" i="1"/>
  <c r="AK605" i="1"/>
  <c r="DA602" i="1"/>
  <c r="BM600" i="1"/>
  <c r="BD604" i="1"/>
  <c r="CI600" i="1"/>
  <c r="O598" i="1"/>
  <c r="CE595" i="1"/>
  <c r="AQ593" i="1"/>
  <c r="L608" i="1"/>
  <c r="CV611" i="1"/>
  <c r="W615" i="1"/>
  <c r="CW608" i="1"/>
  <c r="AW607" i="1"/>
  <c r="BP612" i="1"/>
  <c r="V606" i="1"/>
  <c r="CL603" i="1"/>
  <c r="CP607" i="1"/>
  <c r="AG605" i="1"/>
  <c r="CW602" i="1"/>
  <c r="BI600" i="1"/>
  <c r="AV604" i="1"/>
  <c r="CD600" i="1"/>
  <c r="K598" i="1"/>
  <c r="CA595" i="1"/>
  <c r="AM593" i="1"/>
  <c r="AL616" i="1"/>
  <c r="AK609" i="1"/>
  <c r="CK611" i="1"/>
  <c r="AI613" i="1"/>
  <c r="AE606" i="1"/>
  <c r="BQ607" i="1"/>
  <c r="N605" i="1"/>
  <c r="BN617" i="1"/>
  <c r="BM606" i="1"/>
  <c r="Y604" i="1"/>
  <c r="CO601" i="1"/>
  <c r="CF612" i="1"/>
  <c r="AZ602" i="1"/>
  <c r="AQ599" i="1"/>
  <c r="DG596" i="1"/>
  <c r="BS594" i="1"/>
  <c r="AW615" i="1"/>
  <c r="DD608" i="1"/>
  <c r="AO611" i="1"/>
  <c r="CJ611" i="1"/>
  <c r="K606" i="1"/>
  <c r="AP607" i="1"/>
  <c r="CX604" i="1"/>
  <c r="BY614" i="1"/>
  <c r="AS606" i="1"/>
  <c r="DI603" i="1"/>
  <c r="BU601" i="1"/>
  <c r="K608" i="1"/>
  <c r="Z602" i="1"/>
  <c r="W599" i="1"/>
  <c r="CM596" i="1"/>
  <c r="AY594" i="1"/>
  <c r="K592" i="1"/>
  <c r="CA589" i="1"/>
  <c r="AM587" i="1"/>
  <c r="CE592" i="1"/>
  <c r="AM589" i="1"/>
  <c r="W586" i="1"/>
  <c r="BZ602" i="1"/>
  <c r="BJ599" i="1"/>
  <c r="V597" i="1"/>
  <c r="CL594" i="1"/>
  <c r="AX592" i="1"/>
  <c r="J590" i="1"/>
  <c r="BZ587" i="1"/>
  <c r="AL585" i="1"/>
  <c r="BS602" i="1"/>
  <c r="BE599" i="1"/>
  <c r="Q597" i="1"/>
  <c r="CG594" i="1"/>
  <c r="AS592" i="1"/>
  <c r="DI589" i="1"/>
  <c r="BU587" i="1"/>
  <c r="K604" i="1"/>
  <c r="BD600" i="1"/>
  <c r="AZ591" i="1"/>
  <c r="DI584" i="1"/>
  <c r="CB591" i="1"/>
  <c r="L585" i="1"/>
  <c r="DD591" i="1"/>
  <c r="S585" i="1"/>
  <c r="L592" i="1"/>
  <c r="V585" i="1"/>
  <c r="CQ591" i="1"/>
  <c r="CA588" i="1"/>
  <c r="AX607" i="1"/>
  <c r="H602" i="1"/>
  <c r="J599" i="1"/>
  <c r="BZ596" i="1"/>
  <c r="AL594" i="1"/>
  <c r="DB591" i="1"/>
  <c r="BN589" i="1"/>
  <c r="Z587" i="1"/>
  <c r="W607" i="1"/>
  <c r="DF601" i="1"/>
  <c r="DI598" i="1"/>
  <c r="BU596" i="1"/>
  <c r="AG594" i="1"/>
  <c r="CW591" i="1"/>
  <c r="BI589" i="1"/>
  <c r="U587" i="1"/>
  <c r="O603" i="1"/>
  <c r="DH598" i="1"/>
  <c r="BH589" i="1"/>
  <c r="AF599" i="1"/>
  <c r="CJ589" i="1"/>
  <c r="BH599" i="1"/>
  <c r="H590" i="1"/>
  <c r="BV599" i="1"/>
  <c r="T590" i="1"/>
  <c r="BU584" i="1"/>
  <c r="AG582" i="1"/>
  <c r="G590" i="1"/>
  <c r="CQ586" i="1"/>
  <c r="BW603" i="1"/>
  <c r="AA600" i="1"/>
  <c r="BZ597" i="1"/>
  <c r="AL595" i="1"/>
  <c r="DB592" i="1"/>
  <c r="BN590" i="1"/>
  <c r="Z588" i="1"/>
  <c r="CP585" i="1"/>
  <c r="BL603" i="1"/>
  <c r="T600" i="1"/>
  <c r="BU597" i="1"/>
  <c r="AG595" i="1"/>
  <c r="CW592" i="1"/>
  <c r="BI590" i="1"/>
  <c r="U588" i="1"/>
  <c r="O605" i="1"/>
  <c r="W601" i="1"/>
  <c r="BH593" i="1"/>
  <c r="BQ585" i="1"/>
  <c r="CJ593" i="1"/>
  <c r="CA585" i="1"/>
  <c r="H594" i="1"/>
  <c r="CJ585" i="1"/>
  <c r="T594" i="1"/>
  <c r="CN585" i="1"/>
  <c r="BK592" i="1"/>
  <c r="W589" i="1"/>
  <c r="G586" i="1"/>
  <c r="BJ602" i="1"/>
  <c r="AX599" i="1"/>
  <c r="BX652" i="1"/>
  <c r="CC651" i="1"/>
  <c r="BF646" i="1"/>
  <c r="BO648" i="1"/>
  <c r="CC647" i="1"/>
  <c r="CB638" i="1"/>
  <c r="DH644" i="1"/>
  <c r="DI638" i="1"/>
  <c r="AR643" i="1"/>
  <c r="AN643" i="1"/>
  <c r="DB632" i="1"/>
  <c r="CC635" i="1"/>
  <c r="CR633" i="1"/>
  <c r="BS635" i="1"/>
  <c r="BY635" i="1"/>
  <c r="CN633" i="1"/>
  <c r="W635" i="1"/>
  <c r="AK634" i="1"/>
  <c r="AZ632" i="1"/>
  <c r="Q648" i="1"/>
  <c r="H638" i="1"/>
  <c r="U632" i="1"/>
  <c r="BO629" i="1"/>
  <c r="AU630" i="1"/>
  <c r="BY627" i="1"/>
  <c r="AM625" i="1"/>
  <c r="DG621" i="1"/>
  <c r="S630" i="1"/>
  <c r="BE627" i="1"/>
  <c r="S625" i="1"/>
  <c r="CM621" i="1"/>
  <c r="S634" i="1"/>
  <c r="BF628" i="1"/>
  <c r="DE625" i="1"/>
  <c r="BX623" i="1"/>
  <c r="BZ627" i="1"/>
  <c r="BF627" i="1"/>
  <c r="AI620" i="1"/>
  <c r="BC629" i="1"/>
  <c r="BN629" i="1"/>
  <c r="DE626" i="1"/>
  <c r="BX624" i="1"/>
  <c r="BS624" i="1"/>
  <c r="AN621" i="1"/>
  <c r="AI621" i="1"/>
  <c r="BH619" i="1"/>
  <c r="CJ614" i="1"/>
  <c r="AN617" i="1"/>
  <c r="AO621" i="1"/>
  <c r="DC615" i="1"/>
  <c r="DE618" i="1"/>
  <c r="DC611" i="1"/>
  <c r="BZ615" i="1"/>
  <c r="AL610" i="1"/>
  <c r="BU616" i="1"/>
  <c r="BH607" i="1"/>
  <c r="CB613" i="1"/>
  <c r="DG617" i="1"/>
  <c r="AO620" i="1"/>
  <c r="AG614" i="1"/>
  <c r="CS620" i="1"/>
  <c r="AP612" i="1"/>
  <c r="BE620" i="1"/>
  <c r="CX622" i="1"/>
  <c r="AZ615" i="1"/>
  <c r="CK621" i="1"/>
  <c r="CM617" i="1"/>
  <c r="CT622" i="1"/>
  <c r="CK619" i="1"/>
  <c r="AW614" i="1"/>
  <c r="CE611" i="1"/>
  <c r="CG621" i="1"/>
  <c r="AT615" i="1"/>
  <c r="BB612" i="1"/>
  <c r="N610" i="1"/>
  <c r="AS621" i="1"/>
  <c r="CG615" i="1"/>
  <c r="AF619" i="1"/>
  <c r="CJ615" i="1"/>
  <c r="BV624" i="1"/>
  <c r="BK619" i="1"/>
  <c r="W617" i="1"/>
  <c r="AW623" i="1"/>
  <c r="AP619" i="1"/>
  <c r="BY616" i="1"/>
  <c r="W613" i="1"/>
  <c r="CM610" i="1"/>
  <c r="R618" i="1"/>
  <c r="U614" i="1"/>
  <c r="BJ611" i="1"/>
  <c r="V609" i="1"/>
  <c r="I618" i="1"/>
  <c r="AE613" i="1"/>
  <c r="CZ608" i="1"/>
  <c r="F616" i="1"/>
  <c r="BD610" i="1"/>
  <c r="AS615" i="1"/>
  <c r="M610" i="1"/>
  <c r="DI620" i="1"/>
  <c r="H610" i="1"/>
  <c r="CO612" i="1"/>
  <c r="BU619" i="1"/>
  <c r="BS606" i="1"/>
  <c r="O608" i="1"/>
  <c r="BB605" i="1"/>
  <c r="N603" i="1"/>
  <c r="DA606" i="1"/>
  <c r="BM604" i="1"/>
  <c r="Y602" i="1"/>
  <c r="CO599" i="1"/>
  <c r="DH602" i="1"/>
  <c r="CJ599" i="1"/>
  <c r="AQ597" i="1"/>
  <c r="DG594" i="1"/>
  <c r="BS592" i="1"/>
  <c r="H620" i="1"/>
  <c r="DD609" i="1"/>
  <c r="BY612" i="1"/>
  <c r="V618" i="1"/>
  <c r="BO606" i="1"/>
  <c r="I608" i="1"/>
  <c r="AX605" i="1"/>
  <c r="J603" i="1"/>
  <c r="CW606" i="1"/>
  <c r="BI604" i="1"/>
  <c r="U602" i="1"/>
  <c r="CK599" i="1"/>
  <c r="CZ602" i="1"/>
  <c r="CE599" i="1"/>
  <c r="AM597" i="1"/>
  <c r="DC594" i="1"/>
  <c r="BM609" i="1"/>
  <c r="AY613" i="1"/>
  <c r="Y619" i="1"/>
  <c r="CS609" i="1"/>
  <c r="Y608" i="1"/>
  <c r="BG605" i="1"/>
  <c r="CD606" i="1"/>
  <c r="AP604" i="1"/>
  <c r="CR609" i="1"/>
  <c r="CO605" i="1"/>
  <c r="BA603" i="1"/>
  <c r="M601" i="1"/>
  <c r="BP605" i="1"/>
  <c r="BB601" i="1"/>
  <c r="BS598" i="1"/>
  <c r="AE596" i="1"/>
  <c r="G609" i="1"/>
  <c r="CZ612" i="1"/>
  <c r="J617" i="1"/>
  <c r="BE609" i="1"/>
  <c r="CX607" i="1"/>
  <c r="BZ616" i="1"/>
  <c r="BJ606" i="1"/>
  <c r="V604" i="1"/>
  <c r="CQ608" i="1"/>
  <c r="BU605" i="1"/>
  <c r="AG603" i="1"/>
  <c r="CW600" i="1"/>
  <c r="T605" i="1"/>
  <c r="AA601" i="1"/>
  <c r="AY598" i="1"/>
  <c r="K596" i="1"/>
  <c r="CA593" i="1"/>
  <c r="AM591" i="1"/>
  <c r="DC588" i="1"/>
  <c r="BO586" i="1"/>
  <c r="BG591" i="1"/>
  <c r="AM588" i="1"/>
  <c r="AJ606" i="1"/>
  <c r="CA601" i="1"/>
  <c r="CL598" i="1"/>
  <c r="AX596" i="1"/>
  <c r="J594" i="1"/>
  <c r="BZ591" i="1"/>
  <c r="AL589" i="1"/>
  <c r="DB586" i="1"/>
  <c r="O645" i="1"/>
  <c r="CB645" i="1"/>
  <c r="DF633" i="1"/>
  <c r="G623" i="1"/>
  <c r="AO650" i="1"/>
  <c r="DF639" i="1"/>
  <c r="BL644" i="1"/>
  <c r="T634" i="1"/>
  <c r="O628" i="1"/>
  <c r="AN638" i="1"/>
  <c r="DE627" i="1"/>
  <c r="CK627" i="1"/>
  <c r="BE649" i="1"/>
  <c r="AZ642" i="1"/>
  <c r="CS633" i="1"/>
  <c r="DG630" i="1"/>
  <c r="AQ620" i="1"/>
  <c r="CZ625" i="1"/>
  <c r="BF621" i="1"/>
  <c r="AK630" i="1"/>
  <c r="AY626" i="1"/>
  <c r="O623" i="1"/>
  <c r="BQ643" i="1"/>
  <c r="BD627" i="1"/>
  <c r="CK624" i="1"/>
  <c r="CP625" i="1"/>
  <c r="BJ625" i="1"/>
  <c r="CI618" i="1"/>
  <c r="AK615" i="1"/>
  <c r="R613" i="1"/>
  <c r="BY611" i="1"/>
  <c r="BM621" i="1"/>
  <c r="AK619" i="1"/>
  <c r="CX615" i="1"/>
  <c r="BF617" i="1"/>
  <c r="Y621" i="1"/>
  <c r="CO618" i="1"/>
  <c r="CE649" i="1"/>
  <c r="G643" i="1"/>
  <c r="DD642" i="1"/>
  <c r="CW645" i="1"/>
  <c r="BM647" i="1"/>
  <c r="BE637" i="1"/>
  <c r="DH628" i="1"/>
  <c r="BP635" i="1"/>
  <c r="M636" i="1"/>
  <c r="BR633" i="1"/>
  <c r="BT639" i="1"/>
  <c r="AQ638" i="1"/>
  <c r="O627" i="1"/>
  <c r="CE636" i="1"/>
  <c r="CY626" i="1"/>
  <c r="CE630" i="1"/>
  <c r="CS626" i="1"/>
  <c r="BG624" i="1"/>
  <c r="W621" i="1"/>
  <c r="CS630" i="1"/>
  <c r="BL625" i="1"/>
  <c r="AB622" i="1"/>
  <c r="CH620" i="1"/>
  <c r="BL618" i="1"/>
  <c r="CQ616" i="1"/>
  <c r="CQ612" i="1"/>
  <c r="Z611" i="1"/>
  <c r="AS617" i="1"/>
  <c r="BD608" i="1"/>
  <c r="CV614" i="1"/>
  <c r="CU618" i="1"/>
  <c r="J622" i="1"/>
  <c r="BA615" i="1"/>
  <c r="CY611" i="1"/>
  <c r="AC623" i="1"/>
  <c r="BU615" i="1"/>
  <c r="BV612" i="1"/>
  <c r="AH610" i="1"/>
  <c r="CS622" i="1"/>
  <c r="BE616" i="1"/>
  <c r="CC610" i="1"/>
  <c r="CN652" i="1"/>
  <c r="CS651" i="1"/>
  <c r="CL646" i="1"/>
  <c r="W649" i="1"/>
  <c r="P648" i="1"/>
  <c r="DB638" i="1"/>
  <c r="AU645" i="1"/>
  <c r="Z639" i="1"/>
  <c r="DD643" i="1"/>
  <c r="BT643" i="1"/>
  <c r="N633" i="1"/>
  <c r="CS635" i="1"/>
  <c r="DH633" i="1"/>
  <c r="AE637" i="1"/>
  <c r="CO635" i="1"/>
  <c r="DD633" i="1"/>
  <c r="DC636" i="1"/>
  <c r="BA634" i="1"/>
  <c r="BP632" i="1"/>
  <c r="CL630" i="1"/>
  <c r="X638" i="1"/>
  <c r="BC632" i="1"/>
  <c r="CE629" i="1"/>
  <c r="BO630" i="1"/>
  <c r="CO627" i="1"/>
  <c r="BC625" i="1"/>
  <c r="S622" i="1"/>
  <c r="AQ630" i="1"/>
  <c r="BU627" i="1"/>
  <c r="AI625" i="1"/>
  <c r="DC621" i="1"/>
  <c r="AQ636" i="1"/>
  <c r="BV628" i="1"/>
  <c r="Q626" i="1"/>
  <c r="CN623" i="1"/>
  <c r="CI623" i="1"/>
  <c r="BD620" i="1"/>
  <c r="AY620" i="1"/>
  <c r="BW629" i="1"/>
  <c r="CH629" i="1"/>
  <c r="Q627" i="1"/>
  <c r="CN624" i="1"/>
  <c r="CI624" i="1"/>
  <c r="BD621" i="1"/>
  <c r="AY621" i="1"/>
  <c r="BY619" i="1"/>
  <c r="CZ614" i="1"/>
  <c r="BH617" i="1"/>
  <c r="BU621" i="1"/>
  <c r="O616" i="1"/>
  <c r="BA619" i="1"/>
  <c r="O612" i="1"/>
  <c r="DF615" i="1"/>
  <c r="BB610" i="1"/>
  <c r="CL617" i="1"/>
  <c r="BX607" i="1"/>
  <c r="CZ613" i="1"/>
  <c r="S618" i="1"/>
  <c r="BN620" i="1"/>
  <c r="BB614" i="1"/>
  <c r="I622" i="1"/>
  <c r="BF612" i="1"/>
  <c r="BY621" i="1"/>
  <c r="AW610" i="1"/>
  <c r="CR615" i="1"/>
  <c r="M622" i="1"/>
  <c r="DC617" i="1"/>
  <c r="BG623" i="1"/>
  <c r="BU620" i="1"/>
  <c r="BR614" i="1"/>
  <c r="CU611" i="1"/>
  <c r="DA622" i="1"/>
  <c r="BO615" i="1"/>
  <c r="BR612" i="1"/>
  <c r="AD610" i="1"/>
  <c r="BM622" i="1"/>
  <c r="AO616" i="1"/>
  <c r="BL619" i="1"/>
  <c r="DH615" i="1"/>
  <c r="AT625" i="1"/>
  <c r="CC619" i="1"/>
  <c r="AM617" i="1"/>
  <c r="CS623" i="1"/>
  <c r="BF619" i="1"/>
  <c r="DE616" i="1"/>
  <c r="AS613" i="1"/>
  <c r="DC610" i="1"/>
  <c r="AX618" i="1"/>
  <c r="AP614" i="1"/>
  <c r="BZ611" i="1"/>
  <c r="AL609" i="1"/>
  <c r="AO618" i="1"/>
  <c r="BV613" i="1"/>
  <c r="Q609" i="1"/>
  <c r="BR616" i="1"/>
  <c r="CJ610" i="1"/>
  <c r="CO615" i="1"/>
  <c r="AS610" i="1"/>
  <c r="T607" i="1"/>
  <c r="AV610" i="1"/>
  <c r="Z613" i="1"/>
  <c r="V608" i="1"/>
  <c r="CI606" i="1"/>
  <c r="CA608" i="1"/>
  <c r="BR605" i="1"/>
  <c r="AD603" i="1"/>
  <c r="N607" i="1"/>
  <c r="CC604" i="1"/>
  <c r="AO602" i="1"/>
  <c r="DE599" i="1"/>
  <c r="AJ603" i="1"/>
  <c r="DF599" i="1"/>
  <c r="BG597" i="1"/>
  <c r="S595" i="1"/>
  <c r="CI592" i="1"/>
  <c r="L607" i="1"/>
  <c r="AN610" i="1"/>
  <c r="Q613" i="1"/>
  <c r="R608" i="1"/>
  <c r="CE606" i="1"/>
  <c r="BE608" i="1"/>
  <c r="BN605" i="1"/>
  <c r="Z603" i="1"/>
  <c r="I607" i="1"/>
  <c r="BY604" i="1"/>
  <c r="AK602" i="1"/>
  <c r="DA599" i="1"/>
  <c r="AB603" i="1"/>
  <c r="CZ599" i="1"/>
  <c r="BC597" i="1"/>
  <c r="O595" i="1"/>
  <c r="I610" i="1"/>
  <c r="G614" i="1"/>
  <c r="F625" i="1"/>
  <c r="AC610" i="1"/>
  <c r="DA608" i="1"/>
  <c r="BW605" i="1"/>
  <c r="CT606" i="1"/>
  <c r="BF604" i="1"/>
  <c r="H611" i="1"/>
  <c r="DE605" i="1"/>
  <c r="BQ603" i="1"/>
  <c r="AC601" i="1"/>
  <c r="X606" i="1"/>
  <c r="BW601" i="1"/>
  <c r="CI598" i="1"/>
  <c r="AU596" i="1"/>
  <c r="AW609" i="1"/>
  <c r="AO613" i="1"/>
  <c r="CP618" i="1"/>
  <c r="CF609" i="1"/>
  <c r="Q608" i="1"/>
  <c r="BC605" i="1"/>
  <c r="BZ606" i="1"/>
  <c r="AL604" i="1"/>
  <c r="BT609" i="1"/>
  <c r="CK605" i="1"/>
  <c r="AW603" i="1"/>
  <c r="I601" i="1"/>
  <c r="AZ605" i="1"/>
  <c r="AV601" i="1"/>
  <c r="BO598" i="1"/>
  <c r="AA596" i="1"/>
  <c r="CQ593" i="1"/>
  <c r="BC591" i="1"/>
  <c r="O589" i="1"/>
  <c r="CE586" i="1"/>
  <c r="CA591" i="1"/>
  <c r="BK588" i="1"/>
  <c r="CV606" i="1"/>
  <c r="CV601" i="1"/>
  <c r="DB598" i="1"/>
  <c r="BN596" i="1"/>
  <c r="Z594" i="1"/>
  <c r="CP591" i="1"/>
  <c r="BB589" i="1"/>
  <c r="N587" i="1"/>
  <c r="CB606" i="1"/>
  <c r="CP601" i="1"/>
  <c r="CW598" i="1"/>
  <c r="BI596" i="1"/>
  <c r="U594" i="1"/>
  <c r="CK591" i="1"/>
  <c r="AW589" i="1"/>
  <c r="I587" i="1"/>
  <c r="CU602" i="1"/>
  <c r="BL598" i="1"/>
  <c r="L589" i="1"/>
  <c r="CN598" i="1"/>
  <c r="AN589" i="1"/>
  <c r="L599" i="1"/>
  <c r="BP589" i="1"/>
  <c r="X599" i="1"/>
  <c r="CB589" i="1"/>
  <c r="BI584" i="1"/>
  <c r="K591" i="1"/>
  <c r="CU587" i="1"/>
  <c r="AA605" i="1"/>
  <c r="AE601" i="1"/>
  <c r="BB598" i="1"/>
  <c r="N596" i="1"/>
  <c r="CD593" i="1"/>
  <c r="AP591" i="1"/>
  <c r="DF588" i="1"/>
  <c r="BR586" i="1"/>
  <c r="P605" i="1"/>
  <c r="X601" i="1"/>
  <c r="AW598" i="1"/>
  <c r="I596" i="1"/>
  <c r="BY593" i="1"/>
  <c r="AK591" i="1"/>
  <c r="DA588" i="1"/>
  <c r="S608" i="1"/>
  <c r="AA602" i="1"/>
  <c r="BT596" i="1"/>
  <c r="T587" i="1"/>
  <c r="CV596" i="1"/>
  <c r="AV587" i="1"/>
  <c r="T597" i="1"/>
  <c r="BX587" i="1"/>
  <c r="AF597" i="1"/>
  <c r="CJ587" i="1"/>
  <c r="I584" i="1"/>
  <c r="BO592" i="1"/>
  <c r="AA589" i="1"/>
  <c r="K586" i="1"/>
  <c r="BO602" i="1"/>
  <c r="BB599" i="1"/>
  <c r="N597" i="1"/>
  <c r="CD594" i="1"/>
  <c r="AP592" i="1"/>
  <c r="DF589" i="1"/>
  <c r="BR587" i="1"/>
  <c r="DE614" i="1"/>
  <c r="BH602" i="1"/>
  <c r="AW599" i="1"/>
  <c r="I597" i="1"/>
  <c r="BY594" i="1"/>
  <c r="AK592" i="1"/>
  <c r="DA589" i="1"/>
  <c r="BM587" i="1"/>
  <c r="CY603" i="1"/>
  <c r="AT600" i="1"/>
  <c r="T591" i="1"/>
  <c r="DA584" i="1"/>
  <c r="AV591" i="1"/>
  <c r="DH584" i="1"/>
  <c r="BX591" i="1"/>
  <c r="K585" i="1"/>
  <c r="CJ591" i="1"/>
  <c r="N585" i="1"/>
  <c r="BK591" i="1"/>
  <c r="AU588" i="1"/>
  <c r="AZ606" i="1"/>
  <c r="CF601" i="1"/>
  <c r="CP476" i="1"/>
  <c r="U650" i="1"/>
  <c r="BS651" i="1"/>
  <c r="BK640" i="1"/>
  <c r="W644" i="1"/>
  <c r="AA648" i="1"/>
  <c r="DB633" i="1"/>
  <c r="BF638" i="1"/>
  <c r="CF640" i="1"/>
  <c r="BF649" i="1"/>
  <c r="V652" i="1"/>
  <c r="CE647" i="1"/>
  <c r="AO633" i="1"/>
  <c r="BD631" i="1"/>
  <c r="AI636" i="1"/>
  <c r="AK633" i="1"/>
  <c r="AZ631" i="1"/>
  <c r="R633" i="1"/>
  <c r="DE643" i="1"/>
  <c r="DC637" i="1"/>
  <c r="BI637" i="1"/>
  <c r="BX635" i="1"/>
  <c r="H629" i="1"/>
  <c r="BQ628" i="1"/>
  <c r="CC628" i="1"/>
  <c r="CF627" i="1"/>
  <c r="AK625" i="1"/>
  <c r="CX627" i="1"/>
  <c r="CZ647" i="1"/>
  <c r="BL627" i="1"/>
  <c r="DA624" i="1"/>
  <c r="AX626" i="1"/>
  <c r="W638" i="1"/>
  <c r="AA636" i="1"/>
  <c r="AB627" i="1"/>
  <c r="W627" i="1"/>
  <c r="AG624" i="1"/>
  <c r="V624" i="1"/>
  <c r="BY624" i="1"/>
  <c r="BQ630" i="1"/>
  <c r="AL628" i="1"/>
  <c r="CK625" i="1"/>
  <c r="BD623" i="1"/>
  <c r="DB626" i="1"/>
  <c r="CH626" i="1"/>
  <c r="O620" i="1"/>
  <c r="AN618" i="1"/>
  <c r="BP613" i="1"/>
  <c r="CF615" i="1"/>
  <c r="BG619" i="1"/>
  <c r="AL623" i="1"/>
  <c r="BQ616" i="1"/>
  <c r="CI610" i="1"/>
  <c r="O614" i="1"/>
  <c r="R609" i="1"/>
  <c r="U613" i="1"/>
  <c r="BH618" i="1"/>
  <c r="Q623" i="1"/>
  <c r="CM616" i="1"/>
  <c r="BB625" i="1"/>
  <c r="CM612" i="1"/>
  <c r="AT617" i="1"/>
  <c r="V611" i="1"/>
  <c r="AK617" i="1"/>
  <c r="CB618" i="1"/>
  <c r="AZ614" i="1"/>
  <c r="AP620" i="1"/>
  <c r="CY616" i="1"/>
  <c r="AT621" i="1"/>
  <c r="DA617" i="1"/>
  <c r="BS613" i="1"/>
  <c r="S611" i="1"/>
  <c r="CL618" i="1"/>
  <c r="BQ614" i="1"/>
  <c r="CT611" i="1"/>
  <c r="BF609" i="1"/>
  <c r="CC618" i="1"/>
  <c r="S614" i="1"/>
  <c r="T618" i="1"/>
  <c r="DH614" i="1"/>
  <c r="BQ622" i="1"/>
  <c r="DC618" i="1"/>
  <c r="BO616" i="1"/>
  <c r="Z622" i="1"/>
  <c r="CC622" i="1"/>
  <c r="BK615" i="1"/>
  <c r="BO612" i="1"/>
  <c r="AA610" i="1"/>
  <c r="DB616" i="1"/>
  <c r="AQ613" i="1"/>
  <c r="DB610" i="1"/>
  <c r="BN608" i="1"/>
  <c r="CS616" i="1"/>
  <c r="I612" i="1"/>
  <c r="T608" i="1"/>
  <c r="AM614" i="1"/>
  <c r="BA609" i="1"/>
  <c r="CL613" i="1"/>
  <c r="Y609" i="1"/>
  <c r="AL615" i="1"/>
  <c r="CY608" i="1"/>
  <c r="Y611" i="1"/>
  <c r="BD611" i="1"/>
  <c r="G606" i="1"/>
  <c r="AK607" i="1"/>
  <c r="CT604" i="1"/>
  <c r="AH614" i="1"/>
  <c r="AO606" i="1"/>
  <c r="DE603" i="1"/>
  <c r="BQ601" i="1"/>
  <c r="CT607" i="1"/>
  <c r="T602" i="1"/>
  <c r="S599" i="1"/>
  <c r="CI596" i="1"/>
  <c r="AU594" i="1"/>
  <c r="G592" i="1"/>
  <c r="AA615" i="1"/>
  <c r="CN608" i="1"/>
  <c r="Q611" i="1"/>
  <c r="X611" i="1"/>
  <c r="DG605" i="1"/>
  <c r="AE607" i="1"/>
  <c r="CP604" i="1"/>
  <c r="CU613" i="1"/>
  <c r="AK606" i="1"/>
  <c r="DA603" i="1"/>
  <c r="BM601" i="1"/>
  <c r="BY607" i="1"/>
  <c r="O602" i="1"/>
  <c r="O599" i="1"/>
  <c r="CE596" i="1"/>
  <c r="AQ594" i="1"/>
  <c r="H608" i="1"/>
  <c r="CN611" i="1"/>
  <c r="M615" i="1"/>
  <c r="CR608" i="1"/>
  <c r="AQ607" i="1"/>
  <c r="AJ612" i="1"/>
  <c r="R606" i="1"/>
  <c r="CH603" i="1"/>
  <c r="CK607" i="1"/>
  <c r="AC605" i="1"/>
  <c r="CS602" i="1"/>
  <c r="BE600" i="1"/>
  <c r="AN604" i="1"/>
  <c r="BX600" i="1"/>
  <c r="G598" i="1"/>
  <c r="BW595" i="1"/>
  <c r="BT607" i="1"/>
  <c r="AJ611" i="1"/>
  <c r="AT614" i="1"/>
  <c r="BQ608" i="1"/>
  <c r="Q607" i="1"/>
  <c r="CN610" i="1"/>
  <c r="DB605" i="1"/>
  <c r="BN603" i="1"/>
  <c r="BJ607" i="1"/>
  <c r="I605" i="1"/>
  <c r="BY602" i="1"/>
  <c r="AK600" i="1"/>
  <c r="DD603" i="1"/>
  <c r="AX600" i="1"/>
  <c r="CQ597" i="1"/>
  <c r="BC595" i="1"/>
  <c r="O593" i="1"/>
  <c r="CE590" i="1"/>
  <c r="AQ588" i="1"/>
  <c r="DG585" i="1"/>
  <c r="CA590" i="1"/>
  <c r="BK587" i="1"/>
  <c r="CA604" i="1"/>
  <c r="CX600" i="1"/>
  <c r="Z598" i="1"/>
  <c r="CP595" i="1"/>
  <c r="BB593" i="1"/>
  <c r="N591" i="1"/>
  <c r="CD588" i="1"/>
  <c r="AP586" i="1"/>
  <c r="N650" i="1"/>
  <c r="CW652" i="1"/>
  <c r="BQ634" i="1"/>
  <c r="F651" i="1"/>
  <c r="BS631" i="1"/>
  <c r="K624" i="1"/>
  <c r="CJ621" i="1"/>
  <c r="AU612" i="1"/>
  <c r="CS614" i="1"/>
  <c r="AK471" i="1"/>
  <c r="BE639" i="1"/>
  <c r="CR630" i="1"/>
  <c r="CE637" i="1"/>
  <c r="BK636" i="1"/>
  <c r="F628" i="1"/>
  <c r="AN615" i="1"/>
  <c r="DB613" i="1"/>
  <c r="AH619" i="1"/>
  <c r="CQ614" i="1"/>
  <c r="BU614" i="1"/>
  <c r="CA640" i="1"/>
  <c r="BV638" i="1"/>
  <c r="CD630" i="1"/>
  <c r="BA633" i="1"/>
  <c r="BK638" i="1"/>
  <c r="M629" i="1"/>
  <c r="CI619" i="1"/>
  <c r="BR627" i="1"/>
  <c r="AM627" i="1"/>
  <c r="BW631" i="1"/>
  <c r="BJ627" i="1"/>
  <c r="CF613" i="1"/>
  <c r="CW616" i="1"/>
  <c r="BK613" i="1"/>
  <c r="R619" i="1"/>
  <c r="BQ617" i="1"/>
  <c r="AA617" i="1"/>
  <c r="AI611" i="1"/>
  <c r="BV609" i="1"/>
  <c r="X615" i="1"/>
  <c r="BF622" i="1"/>
  <c r="AQ610" i="1"/>
  <c r="CD608" i="1"/>
  <c r="CD614" i="1"/>
  <c r="CT615" i="1"/>
  <c r="W606" i="1"/>
  <c r="BE606" i="1"/>
  <c r="AP602" i="1"/>
  <c r="W592" i="1"/>
  <c r="AR612" i="1"/>
  <c r="BB615" i="1"/>
  <c r="AS609" i="1"/>
  <c r="BG594" i="1"/>
  <c r="I609" i="1"/>
  <c r="CX603" i="1"/>
  <c r="BU600" i="1"/>
  <c r="CM595" i="1"/>
  <c r="CM608" i="1"/>
  <c r="CD603" i="1"/>
  <c r="BA600" i="1"/>
  <c r="BS595" i="1"/>
  <c r="S586" i="1"/>
  <c r="O601" i="1"/>
  <c r="AD591" i="1"/>
  <c r="H601" i="1"/>
  <c r="Y591" i="1"/>
  <c r="X596" i="1"/>
  <c r="CB596" i="1"/>
  <c r="DA583" i="1"/>
  <c r="BB600" i="1"/>
  <c r="CH590" i="1"/>
  <c r="AU600" i="1"/>
  <c r="CC590" i="1"/>
  <c r="AF594" i="1"/>
  <c r="CJ594" i="1"/>
  <c r="BA583" i="1"/>
  <c r="CL601" i="1"/>
  <c r="CH591" i="1"/>
  <c r="CE601" i="1"/>
  <c r="CC591" i="1"/>
  <c r="AF598" i="1"/>
  <c r="CJ598" i="1"/>
  <c r="BA584" i="1"/>
  <c r="DC600" i="1"/>
  <c r="BF640" i="1"/>
  <c r="R643" i="1"/>
  <c r="AP631" i="1"/>
  <c r="BL638" i="1"/>
  <c r="BL630" i="1"/>
  <c r="CW631" i="1"/>
  <c r="AW620" i="1"/>
  <c r="V620" i="1"/>
  <c r="DG625" i="1"/>
  <c r="S637" i="1"/>
  <c r="CW623" i="1"/>
  <c r="CH623" i="1"/>
  <c r="CC614" i="1"/>
  <c r="CK610" i="1"/>
  <c r="AK618" i="1"/>
  <c r="AX615" i="1"/>
  <c r="W616" i="1"/>
  <c r="BK610" i="1"/>
  <c r="CX608" i="1"/>
  <c r="AB614" i="1"/>
  <c r="F621" i="1"/>
  <c r="R624" i="1"/>
  <c r="BF623" i="1"/>
  <c r="CR612" i="1"/>
  <c r="AD613" i="1"/>
  <c r="CK622" i="1"/>
  <c r="CG605" i="1"/>
  <c r="AQ601" i="1"/>
  <c r="AB609" i="1"/>
  <c r="DI607" i="1"/>
  <c r="AC609" i="1"/>
  <c r="AJ605" i="1"/>
  <c r="CI593" i="1"/>
  <c r="N608" i="1"/>
  <c r="V603" i="1"/>
  <c r="CW599" i="1"/>
  <c r="K595" i="1"/>
  <c r="AD616" i="1"/>
  <c r="DF602" i="1"/>
  <c r="CC599" i="1"/>
  <c r="CU594" i="1"/>
  <c r="AM594" i="1"/>
  <c r="BD602" i="1"/>
  <c r="F597" i="1"/>
  <c r="AH592" i="1"/>
  <c r="BJ587" i="1"/>
  <c r="BP604" i="1"/>
  <c r="CQ600" i="1"/>
  <c r="U598" i="1"/>
  <c r="CK595" i="1"/>
  <c r="AW593" i="1"/>
  <c r="I591" i="1"/>
  <c r="BY588" i="1"/>
  <c r="CN606" i="1"/>
  <c r="CT601" i="1"/>
  <c r="BP595" i="1"/>
  <c r="BD586" i="1"/>
  <c r="CR595" i="1"/>
  <c r="BQ586" i="1"/>
  <c r="P596" i="1"/>
  <c r="CF586" i="1"/>
  <c r="AB596" i="1"/>
  <c r="CK586" i="1"/>
  <c r="CK583" i="1"/>
  <c r="K590" i="1"/>
  <c r="CY586" i="1"/>
  <c r="CE603" i="1"/>
  <c r="AF600" i="1"/>
  <c r="CD597" i="1"/>
  <c r="AP595" i="1"/>
  <c r="DF592" i="1"/>
  <c r="BR590" i="1"/>
  <c r="AD588" i="1"/>
  <c r="CT585" i="1"/>
  <c r="BT603" i="1"/>
  <c r="Z600" i="1"/>
  <c r="BY597" i="1"/>
  <c r="AK595" i="1"/>
  <c r="DA592" i="1"/>
  <c r="BM590" i="1"/>
  <c r="Y588" i="1"/>
  <c r="W605" i="1"/>
  <c r="AB601" i="1"/>
  <c r="BX593" i="1"/>
  <c r="BW585" i="1"/>
  <c r="CZ593" i="1"/>
  <c r="CF585" i="1"/>
  <c r="X594" i="1"/>
  <c r="CO585" i="1"/>
  <c r="AJ594" i="1"/>
  <c r="CS585" i="1"/>
  <c r="AK583" i="1"/>
  <c r="AU591" i="1"/>
  <c r="AE588" i="1"/>
  <c r="DH605" i="1"/>
  <c r="BP601" i="1"/>
  <c r="CD598" i="1"/>
  <c r="AP596" i="1"/>
  <c r="DF593" i="1"/>
  <c r="BR591" i="1"/>
  <c r="AD589" i="1"/>
  <c r="CT586" i="1"/>
  <c r="CN605" i="1"/>
  <c r="BJ601" i="1"/>
  <c r="BY598" i="1"/>
  <c r="AK596" i="1"/>
  <c r="DA593" i="1"/>
  <c r="BM591" i="1"/>
  <c r="Y589" i="1"/>
  <c r="AT616" i="1"/>
  <c r="BL602" i="1"/>
  <c r="BX597" i="1"/>
  <c r="X588" i="1"/>
  <c r="CZ597" i="1"/>
  <c r="AZ588" i="1"/>
  <c r="X598" i="1"/>
  <c r="CB588" i="1"/>
  <c r="AJ598" i="1"/>
  <c r="CN588" i="1"/>
  <c r="AK584" i="1"/>
  <c r="BK590" i="1"/>
  <c r="DF648" i="1"/>
  <c r="CM640" i="1"/>
  <c r="CV640" i="1"/>
  <c r="BM643" i="1"/>
  <c r="AS646" i="1"/>
  <c r="I637" i="1"/>
  <c r="BL628" i="1"/>
  <c r="T635" i="1"/>
  <c r="BU635" i="1"/>
  <c r="CD632" i="1"/>
  <c r="AA637" i="1"/>
  <c r="DC634" i="1"/>
  <c r="BW626" i="1"/>
  <c r="CY633" i="1"/>
  <c r="BC626" i="1"/>
  <c r="O630" i="1"/>
  <c r="CC626" i="1"/>
  <c r="AQ624" i="1"/>
  <c r="G621" i="1"/>
  <c r="BN630" i="1"/>
  <c r="AV625" i="1"/>
  <c r="L622" i="1"/>
  <c r="BB620" i="1"/>
  <c r="AJ618" i="1"/>
  <c r="CA616" i="1"/>
  <c r="CA612" i="1"/>
  <c r="J611" i="1"/>
  <c r="AI608" i="1"/>
  <c r="CE618" i="1"/>
  <c r="AE615" i="1"/>
  <c r="N613" i="1"/>
  <c r="BQ611" i="1"/>
  <c r="DE622" i="1"/>
  <c r="BQ624" i="1"/>
  <c r="DI614" i="1"/>
  <c r="CM609" i="1"/>
  <c r="CX612" i="1"/>
  <c r="R627" i="1"/>
  <c r="AX621" i="1"/>
  <c r="AB613" i="1"/>
  <c r="BS617" i="1"/>
  <c r="CR619" i="1"/>
  <c r="CI613" i="1"/>
  <c r="F619" i="1"/>
  <c r="DF611" i="1"/>
  <c r="DA618" i="1"/>
  <c r="BH609" i="1"/>
  <c r="AR611" i="1"/>
  <c r="DE610" i="1"/>
  <c r="AB611" i="1"/>
  <c r="BL608" i="1"/>
  <c r="BH610" i="1"/>
  <c r="BJ603" i="1"/>
  <c r="DI604" i="1"/>
  <c r="AG600" i="1"/>
  <c r="AR600" i="1"/>
  <c r="AY595" i="1"/>
  <c r="BD607" i="1"/>
  <c r="N614" i="1"/>
  <c r="G607" i="1"/>
  <c r="CT605" i="1"/>
  <c r="AY607" i="1"/>
  <c r="BQ602" i="1"/>
  <c r="CN603" i="1"/>
  <c r="CI597" i="1"/>
  <c r="G593" i="1"/>
  <c r="CI608" i="1"/>
  <c r="CV610" i="1"/>
  <c r="Z607" i="1"/>
  <c r="BE613" i="1"/>
  <c r="CW603" i="1"/>
  <c r="BC607" i="1"/>
  <c r="K599" i="1"/>
  <c r="BU610" i="1"/>
  <c r="AW608" i="1"/>
  <c r="BI609" i="1"/>
  <c r="DF606" i="1"/>
  <c r="CZ611" i="1"/>
  <c r="CC603" i="1"/>
  <c r="BT606" i="1"/>
  <c r="CU598" i="1"/>
  <c r="S594" i="1"/>
  <c r="AU589" i="1"/>
  <c r="S592" i="1"/>
  <c r="AF611" i="1"/>
  <c r="AD599" i="1"/>
  <c r="BF594" i="1"/>
  <c r="CH589" i="1"/>
  <c r="AB608" i="1"/>
  <c r="Y599" i="1"/>
  <c r="BA594" i="1"/>
  <c r="CC589" i="1"/>
  <c r="BC603" i="1"/>
  <c r="AF590" i="1"/>
  <c r="BH590" i="1"/>
  <c r="CJ590" i="1"/>
  <c r="CV590" i="1"/>
  <c r="AY591" i="1"/>
  <c r="T606" i="1"/>
  <c r="CH598" i="1"/>
  <c r="F594" i="1"/>
  <c r="AH589" i="1"/>
  <c r="DD605" i="1"/>
  <c r="CC598" i="1"/>
  <c r="DE593" i="1"/>
  <c r="AC589" i="1"/>
  <c r="BR602" i="1"/>
  <c r="AN588" i="1"/>
  <c r="BP588" i="1"/>
  <c r="CR588" i="1"/>
  <c r="DD588" i="1"/>
  <c r="AY593" i="1"/>
  <c r="BC586" i="1"/>
  <c r="CN599" i="1"/>
  <c r="F595" i="1"/>
  <c r="AH590" i="1"/>
  <c r="BJ585" i="1"/>
  <c r="CH599" i="1"/>
  <c r="DE594" i="1"/>
  <c r="AC590" i="1"/>
  <c r="BG604" i="1"/>
  <c r="AN592" i="1"/>
  <c r="BP592" i="1"/>
  <c r="CR592" i="1"/>
  <c r="DD592" i="1"/>
  <c r="DC591" i="1"/>
  <c r="AA587" i="1"/>
  <c r="CE602" i="1"/>
  <c r="CP598" i="1"/>
  <c r="BB596" i="1"/>
  <c r="N594" i="1"/>
  <c r="CD591" i="1"/>
  <c r="AP589" i="1"/>
  <c r="DF586" i="1"/>
  <c r="AF606" i="1"/>
  <c r="BZ601" i="1"/>
  <c r="CK598" i="1"/>
  <c r="AW596" i="1"/>
  <c r="I594" i="1"/>
  <c r="BY591" i="1"/>
  <c r="AK589" i="1"/>
  <c r="DA586" i="1"/>
  <c r="CB602" i="1"/>
  <c r="P598" i="1"/>
  <c r="BT588" i="1"/>
  <c r="AR598" i="1"/>
  <c r="CV588" i="1"/>
  <c r="BT598" i="1"/>
  <c r="T589" i="1"/>
  <c r="CF598" i="1"/>
  <c r="AF589" i="1"/>
  <c r="AW584" i="1"/>
  <c r="I582" i="1"/>
  <c r="BY579" i="1"/>
  <c r="AK577" i="1"/>
  <c r="T584" i="1"/>
  <c r="BU581" i="1"/>
  <c r="BA578" i="1"/>
  <c r="BH584" i="1"/>
  <c r="CJ581" i="1"/>
  <c r="AV579" i="1"/>
  <c r="H577" i="1"/>
  <c r="CU583" i="1"/>
  <c r="BG581" i="1"/>
  <c r="S579" i="1"/>
  <c r="CI576" i="1"/>
  <c r="BN583" i="1"/>
  <c r="Z581" i="1"/>
  <c r="CP578" i="1"/>
  <c r="BB576" i="1"/>
  <c r="AJ574" i="1"/>
  <c r="CZ571" i="1"/>
  <c r="BL569" i="1"/>
  <c r="X567" i="1"/>
  <c r="CN564" i="1"/>
  <c r="AZ562" i="1"/>
  <c r="L560" i="1"/>
  <c r="CB557" i="1"/>
  <c r="AE574" i="1"/>
  <c r="CU571" i="1"/>
  <c r="BG569" i="1"/>
  <c r="S567" i="1"/>
  <c r="CI564" i="1"/>
  <c r="AU562" i="1"/>
  <c r="G560" i="1"/>
  <c r="BW557" i="1"/>
  <c r="BJ574" i="1"/>
  <c r="V572" i="1"/>
  <c r="AS581" i="1"/>
  <c r="AC578" i="1"/>
  <c r="AF584" i="1"/>
  <c r="BP581" i="1"/>
  <c r="AB579" i="1"/>
  <c r="CR576" i="1"/>
  <c r="CA583" i="1"/>
  <c r="AM581" i="1"/>
  <c r="DC578" i="1"/>
  <c r="BO576" i="1"/>
  <c r="AT583" i="1"/>
  <c r="F581" i="1"/>
  <c r="BV578" i="1"/>
  <c r="AH576" i="1"/>
  <c r="P574" i="1"/>
  <c r="CF571" i="1"/>
  <c r="AR569" i="1"/>
  <c r="DH566" i="1"/>
  <c r="BT564" i="1"/>
  <c r="AF562" i="1"/>
  <c r="CV559" i="1"/>
  <c r="BH557" i="1"/>
  <c r="K574" i="1"/>
  <c r="CA571" i="1"/>
  <c r="AM569" i="1"/>
  <c r="DC566" i="1"/>
  <c r="BO564" i="1"/>
  <c r="AA562" i="1"/>
  <c r="CQ559" i="1"/>
  <c r="BC557" i="1"/>
  <c r="AP574" i="1"/>
  <c r="DF571" i="1"/>
  <c r="BI580" i="1"/>
  <c r="AS577" i="1"/>
  <c r="AZ583" i="1"/>
  <c r="DD580" i="1"/>
  <c r="BP578" i="1"/>
  <c r="AB576" i="1"/>
  <c r="K583" i="1"/>
  <c r="CA580" i="1"/>
  <c r="AM578" i="1"/>
  <c r="DC575" i="1"/>
  <c r="CH582" i="1"/>
  <c r="AT580" i="1"/>
  <c r="F578" i="1"/>
  <c r="BV575" i="1"/>
  <c r="BD573" i="1"/>
  <c r="P571" i="1"/>
  <c r="CF568" i="1"/>
  <c r="AR566" i="1"/>
  <c r="DH563" i="1"/>
  <c r="BT561" i="1"/>
  <c r="AF559" i="1"/>
  <c r="CV556" i="1"/>
  <c r="AY573" i="1"/>
  <c r="K571" i="1"/>
  <c r="CA568" i="1"/>
  <c r="AM566" i="1"/>
  <c r="DC563" i="1"/>
  <c r="BO561" i="1"/>
  <c r="AA559" i="1"/>
  <c r="CQ556" i="1"/>
  <c r="CD573" i="1"/>
  <c r="Y583" i="1"/>
  <c r="CC579" i="1"/>
  <c r="BI576" i="1"/>
  <c r="CB582" i="1"/>
  <c r="AN580" i="1"/>
  <c r="DD577" i="1"/>
  <c r="P650" i="1"/>
  <c r="AR645" i="1"/>
  <c r="P640" i="1"/>
  <c r="R636" i="1"/>
  <c r="AV645" i="1"/>
  <c r="BN633" i="1"/>
  <c r="DE638" i="1"/>
  <c r="BW645" i="1"/>
  <c r="J631" i="1"/>
  <c r="AA633" i="1"/>
  <c r="BD634" i="1"/>
  <c r="O636" i="1"/>
  <c r="BL626" i="1"/>
  <c r="CH622" i="1"/>
  <c r="AR626" i="1"/>
  <c r="AT622" i="1"/>
  <c r="CQ630" i="1"/>
  <c r="BO626" i="1"/>
  <c r="AE623" i="1"/>
  <c r="AO628" i="1"/>
  <c r="BT627" i="1"/>
  <c r="M625" i="1"/>
  <c r="F627" i="1"/>
  <c r="BZ626" i="1"/>
  <c r="CY618" i="1"/>
  <c r="BF615" i="1"/>
  <c r="AL613" i="1"/>
  <c r="DE611" i="1"/>
  <c r="CS621" i="1"/>
  <c r="DF619" i="1"/>
  <c r="Z616" i="1"/>
  <c r="BZ618" i="1"/>
  <c r="CR613" i="1"/>
  <c r="BS616" i="1"/>
  <c r="I617" i="1"/>
  <c r="CQ610" i="1"/>
  <c r="Z614" i="1"/>
  <c r="Z609" i="1"/>
  <c r="AP613" i="1"/>
  <c r="BP614" i="1"/>
  <c r="BW618" i="1"/>
  <c r="BR621" i="1"/>
  <c r="U615" i="1"/>
  <c r="CY609" i="1"/>
  <c r="F613" i="1"/>
  <c r="AH608" i="1"/>
  <c r="BA611" i="1"/>
  <c r="BJ613" i="1"/>
  <c r="I613" i="1"/>
  <c r="AL644" i="1"/>
  <c r="CG641" i="1"/>
  <c r="K633" i="1"/>
  <c r="AG635" i="1"/>
  <c r="CU625" i="1"/>
  <c r="CE620" i="1"/>
  <c r="L620" i="1"/>
  <c r="CH610" i="1"/>
  <c r="CL612" i="1"/>
  <c r="AE649" i="1"/>
  <c r="AC643" i="1"/>
  <c r="BD639" i="1"/>
  <c r="Q624" i="1"/>
  <c r="CZ626" i="1"/>
  <c r="CU627" i="1"/>
  <c r="CD622" i="1"/>
  <c r="P619" i="1"/>
  <c r="CT613" i="1"/>
  <c r="J612" i="1"/>
  <c r="CX476" i="1"/>
  <c r="AM644" i="1"/>
  <c r="AN641" i="1"/>
  <c r="BE633" i="1"/>
  <c r="BP631" i="1"/>
  <c r="BY637" i="1"/>
  <c r="AK629" i="1"/>
  <c r="BM628" i="1"/>
  <c r="AC639" i="1"/>
  <c r="BM624" i="1"/>
  <c r="BB628" i="1"/>
  <c r="AP627" i="1"/>
  <c r="CZ615" i="1"/>
  <c r="CY610" i="1"/>
  <c r="CN618" i="1"/>
  <c r="DC612" i="1"/>
  <c r="AJ619" i="1"/>
  <c r="BZ621" i="1"/>
  <c r="Q619" i="1"/>
  <c r="DI618" i="1"/>
  <c r="CW622" i="1"/>
  <c r="AH624" i="1"/>
  <c r="AD617" i="1"/>
  <c r="U617" i="1"/>
  <c r="BW609" i="1"/>
  <c r="U609" i="1"/>
  <c r="BF607" i="1"/>
  <c r="Q604" i="1"/>
  <c r="AI599" i="1"/>
  <c r="CD615" i="1"/>
  <c r="S606" i="1"/>
  <c r="BA606" i="1"/>
  <c r="AJ602" i="1"/>
  <c r="AS608" i="1"/>
  <c r="BM607" i="1"/>
  <c r="DF607" i="1"/>
  <c r="BT604" i="1"/>
  <c r="CZ607" i="1"/>
  <c r="AL607" i="1"/>
  <c r="CE607" i="1"/>
  <c r="AF604" i="1"/>
  <c r="AE593" i="1"/>
  <c r="CY590" i="1"/>
  <c r="AP598" i="1"/>
  <c r="CT588" i="1"/>
  <c r="AK598" i="1"/>
  <c r="CO588" i="1"/>
  <c r="CJ586" i="1"/>
  <c r="AB587" i="1"/>
  <c r="AE590" i="1"/>
  <c r="CT597" i="1"/>
  <c r="AT588" i="1"/>
  <c r="CO597" i="1"/>
  <c r="AO588" i="1"/>
  <c r="CR585" i="1"/>
  <c r="L586" i="1"/>
  <c r="BO591" i="1"/>
  <c r="CT598" i="1"/>
  <c r="AT589" i="1"/>
  <c r="CO598" i="1"/>
  <c r="AO589" i="1"/>
  <c r="CJ588" i="1"/>
  <c r="AJ589" i="1"/>
  <c r="CI590" i="1"/>
  <c r="DA466" i="1"/>
  <c r="AY639" i="1"/>
  <c r="F638" i="1"/>
  <c r="BP638" i="1"/>
  <c r="DC633" i="1"/>
  <c r="U635" i="1"/>
  <c r="BF630" i="1"/>
  <c r="AH630" i="1"/>
  <c r="Q632" i="1"/>
  <c r="CB622" i="1"/>
  <c r="AI634" i="1"/>
  <c r="CL623" i="1"/>
  <c r="T614" i="1"/>
  <c r="BQ623" i="1"/>
  <c r="CV616" i="1"/>
  <c r="BS611" i="1"/>
  <c r="BT617" i="1"/>
  <c r="N620" i="1"/>
  <c r="BR617" i="1"/>
  <c r="BI617" i="1"/>
  <c r="AW621" i="1"/>
  <c r="I619" i="1"/>
  <c r="CH615" i="1"/>
  <c r="CX616" i="1"/>
  <c r="BX608" i="1"/>
  <c r="AD618" i="1"/>
  <c r="BV606" i="1"/>
  <c r="AS603" i="1"/>
  <c r="BK598" i="1"/>
  <c r="L613" i="1"/>
  <c r="J619" i="1"/>
  <c r="CC605" i="1"/>
  <c r="AL601" i="1"/>
  <c r="BV625" i="1"/>
  <c r="CA606" i="1"/>
  <c r="DI606" i="1"/>
  <c r="T603" i="1"/>
  <c r="BR618" i="1"/>
  <c r="BG606" i="1"/>
  <c r="CO606" i="1"/>
  <c r="CL602" i="1"/>
  <c r="BG592" i="1"/>
  <c r="CY589" i="1"/>
  <c r="P600" i="1"/>
  <c r="AD595" i="1"/>
  <c r="BF590" i="1"/>
  <c r="CH585" i="1"/>
  <c r="AV603" i="1"/>
  <c r="J600" i="1"/>
  <c r="BM597" i="1"/>
  <c r="Y595" i="1"/>
  <c r="CO592" i="1"/>
  <c r="BA590" i="1"/>
  <c r="M588" i="1"/>
  <c r="DC604" i="1"/>
  <c r="L601" i="1"/>
  <c r="AB593" i="1"/>
  <c r="BG585" i="1"/>
  <c r="BD593" i="1"/>
  <c r="BP585" i="1"/>
  <c r="CF593" i="1"/>
  <c r="BY585" i="1"/>
  <c r="CR593" i="1"/>
  <c r="CC585" i="1"/>
  <c r="CA592" i="1"/>
  <c r="AI589" i="1"/>
  <c r="O586" i="1"/>
  <c r="BT602" i="1"/>
  <c r="BF599" i="1"/>
  <c r="R597" i="1"/>
  <c r="CH594" i="1"/>
  <c r="AT592" i="1"/>
  <c r="F590" i="1"/>
  <c r="BV587" i="1"/>
  <c r="AH617" i="1"/>
  <c r="BN602" i="1"/>
  <c r="BA599" i="1"/>
  <c r="M597" i="1"/>
  <c r="CC594" i="1"/>
  <c r="AO592" i="1"/>
  <c r="DE589" i="1"/>
  <c r="BQ587" i="1"/>
  <c r="DG603" i="1"/>
  <c r="AY600" i="1"/>
  <c r="AJ591" i="1"/>
  <c r="DE584" i="1"/>
  <c r="BL591" i="1"/>
  <c r="H585" i="1"/>
  <c r="CN591" i="1"/>
  <c r="O585" i="1"/>
  <c r="CZ591" i="1"/>
  <c r="R585" i="1"/>
  <c r="CC582" i="1"/>
  <c r="BS590" i="1"/>
  <c r="AY587" i="1"/>
  <c r="BK604" i="1"/>
  <c r="CM600" i="1"/>
  <c r="R598" i="1"/>
  <c r="CH595" i="1"/>
  <c r="AT593" i="1"/>
  <c r="F591" i="1"/>
  <c r="BV588" i="1"/>
  <c r="AH586" i="1"/>
  <c r="AZ604" i="1"/>
  <c r="CF600" i="1"/>
  <c r="M598" i="1"/>
  <c r="CC595" i="1"/>
  <c r="AO593" i="1"/>
  <c r="DE590" i="1"/>
  <c r="BQ588" i="1"/>
  <c r="BH606" i="1"/>
  <c r="CI601" i="1"/>
  <c r="AJ595" i="1"/>
  <c r="AN586" i="1"/>
  <c r="BL595" i="1"/>
  <c r="BA586" i="1"/>
  <c r="CN595" i="1"/>
  <c r="BP586" i="1"/>
  <c r="CZ595" i="1"/>
  <c r="BU586" i="1"/>
  <c r="CU593" i="1"/>
  <c r="BS471" i="1"/>
  <c r="J648" i="1"/>
  <c r="DC641" i="1"/>
  <c r="CD631" i="1"/>
  <c r="AE646" i="1"/>
  <c r="CJ639" i="1"/>
  <c r="BT647" i="1"/>
  <c r="CH633" i="1"/>
  <c r="CO641" i="1"/>
  <c r="BH638" i="1"/>
  <c r="BE636" i="1"/>
  <c r="O629" i="1"/>
  <c r="AQ635" i="1"/>
  <c r="AT623" i="1"/>
  <c r="BC634" i="1"/>
  <c r="X623" i="1"/>
  <c r="CM635" i="1"/>
  <c r="CJ626" i="1"/>
  <c r="BE623" i="1"/>
  <c r="BG636" i="1"/>
  <c r="AK643" i="1"/>
  <c r="CE627" i="1"/>
  <c r="AH625" i="1"/>
  <c r="CV617" i="1"/>
  <c r="T615" i="1"/>
  <c r="AX622" i="1"/>
  <c r="AM610" i="1"/>
  <c r="BZ608" i="1"/>
  <c r="CR617" i="1"/>
  <c r="AQ616" i="1"/>
  <c r="AQ612" i="1"/>
  <c r="CD610" i="1"/>
  <c r="AV618" i="1"/>
  <c r="DD619" i="1"/>
  <c r="N621" i="1"/>
  <c r="AX613" i="1"/>
  <c r="BF618" i="1"/>
  <c r="CD611" i="1"/>
  <c r="AW618" i="1"/>
  <c r="DD617" i="1"/>
  <c r="AK622" i="1"/>
  <c r="AY616" i="1"/>
  <c r="BI621" i="1"/>
  <c r="AY612" i="1"/>
  <c r="BV616" i="1"/>
  <c r="CL610" i="1"/>
  <c r="CP623" i="1"/>
  <c r="DH607" i="1"/>
  <c r="AF609" i="1"/>
  <c r="BI611" i="1"/>
  <c r="BS608" i="1"/>
  <c r="AJ610" i="1"/>
  <c r="O607" i="1"/>
  <c r="CN612" i="1"/>
  <c r="CO603" i="1"/>
  <c r="M607" i="1"/>
  <c r="DG598" i="1"/>
  <c r="AE594" i="1"/>
  <c r="BS614" i="1"/>
  <c r="CG610" i="1"/>
  <c r="CQ605" i="1"/>
  <c r="BZ604" i="1"/>
  <c r="U606" i="1"/>
  <c r="AW601" i="1"/>
  <c r="CX601" i="1"/>
  <c r="BO596" i="1"/>
  <c r="CF607" i="1"/>
  <c r="BE614" i="1"/>
  <c r="V607" i="1"/>
  <c r="DF605" i="1"/>
  <c r="BO607" i="1"/>
  <c r="CC602" i="1"/>
  <c r="H604" i="1"/>
  <c r="CU597" i="1"/>
  <c r="AR607" i="1"/>
  <c r="CW613" i="1"/>
  <c r="DC606" i="1"/>
  <c r="CL605" i="1"/>
  <c r="AO607" i="1"/>
  <c r="BI602" i="1"/>
  <c r="BX603" i="1"/>
  <c r="CA597" i="1"/>
  <c r="DC592" i="1"/>
  <c r="AA588" i="1"/>
  <c r="BG590" i="1"/>
  <c r="AU604" i="1"/>
  <c r="J598" i="1"/>
  <c r="AL593" i="1"/>
  <c r="BN588" i="1"/>
  <c r="AJ604" i="1"/>
  <c r="DI597" i="1"/>
  <c r="AG593" i="1"/>
  <c r="BI588" i="1"/>
  <c r="BX601" i="1"/>
  <c r="X586" i="1"/>
  <c r="AK586" i="1"/>
  <c r="AZ586" i="1"/>
  <c r="BE586" i="1"/>
  <c r="CU589" i="1"/>
  <c r="AY603" i="1"/>
  <c r="BN597" i="1"/>
  <c r="CP592" i="1"/>
  <c r="N588" i="1"/>
  <c r="AN603" i="1"/>
  <c r="BI597" i="1"/>
  <c r="CK592" i="1"/>
  <c r="I588" i="1"/>
  <c r="G601" i="1"/>
  <c r="BA585" i="1"/>
  <c r="BK585" i="1"/>
  <c r="BT585" i="1"/>
  <c r="BX585" i="1"/>
  <c r="AA591" i="1"/>
  <c r="AY605" i="1"/>
  <c r="BN598" i="1"/>
  <c r="CP593" i="1"/>
  <c r="N589" i="1"/>
  <c r="AN605" i="1"/>
  <c r="BI598" i="1"/>
  <c r="CK593" i="1"/>
  <c r="I589" i="1"/>
  <c r="AQ602" i="1"/>
  <c r="BP587" i="1"/>
  <c r="CR587" i="1"/>
  <c r="P588" i="1"/>
  <c r="AB588" i="1"/>
  <c r="AQ590" i="1"/>
  <c r="AA586" i="1"/>
  <c r="BK601" i="1"/>
  <c r="AD598" i="1"/>
  <c r="CT595" i="1"/>
  <c r="BF593" i="1"/>
  <c r="R591" i="1"/>
  <c r="CH588" i="1"/>
  <c r="AT586" i="1"/>
  <c r="BX604" i="1"/>
  <c r="CV600" i="1"/>
  <c r="Y598" i="1"/>
  <c r="CO595" i="1"/>
  <c r="BA593" i="1"/>
  <c r="M591" i="1"/>
  <c r="CC588" i="1"/>
  <c r="DD606" i="1"/>
  <c r="CY601" i="1"/>
  <c r="CF595" i="1"/>
  <c r="BL586" i="1"/>
  <c r="DH595" i="1"/>
  <c r="BY586" i="1"/>
  <c r="AF596" i="1"/>
  <c r="CN586" i="1"/>
  <c r="AR596" i="1"/>
  <c r="CV586" i="1"/>
  <c r="CO583" i="1"/>
  <c r="BA581" i="1"/>
  <c r="M579" i="1"/>
  <c r="CC576" i="1"/>
  <c r="BL583" i="1"/>
  <c r="CO580" i="1"/>
  <c r="BY577" i="1"/>
  <c r="CF583" i="1"/>
  <c r="X581" i="1"/>
  <c r="CN578" i="1"/>
  <c r="AZ576" i="1"/>
  <c r="AI583" i="1"/>
  <c r="CY580" i="1"/>
  <c r="BK578" i="1"/>
  <c r="W576" i="1"/>
  <c r="DF582" i="1"/>
  <c r="BR580" i="1"/>
  <c r="AD578" i="1"/>
  <c r="CT575" i="1"/>
  <c r="CB573" i="1"/>
  <c r="AN571" i="1"/>
  <c r="DD568" i="1"/>
  <c r="BP566" i="1"/>
  <c r="AB564" i="1"/>
  <c r="CR561" i="1"/>
  <c r="BD559" i="1"/>
  <c r="P557" i="1"/>
  <c r="BW573" i="1"/>
  <c r="AI571" i="1"/>
  <c r="CY568" i="1"/>
  <c r="BK566" i="1"/>
  <c r="W564" i="1"/>
  <c r="CM561" i="1"/>
  <c r="AY559" i="1"/>
  <c r="K557" i="1"/>
  <c r="DB573" i="1"/>
  <c r="BN571" i="1"/>
  <c r="BQ580" i="1"/>
  <c r="AW577" i="1"/>
  <c r="BD583" i="1"/>
  <c r="DH580" i="1"/>
  <c r="BT578" i="1"/>
  <c r="AF576" i="1"/>
  <c r="O583" i="1"/>
  <c r="CE580" i="1"/>
  <c r="AQ578" i="1"/>
  <c r="DG575" i="1"/>
  <c r="CL582" i="1"/>
  <c r="AX580" i="1"/>
  <c r="J578" i="1"/>
  <c r="BZ575" i="1"/>
  <c r="BH573" i="1"/>
  <c r="T571" i="1"/>
  <c r="CJ568" i="1"/>
  <c r="AV566" i="1"/>
  <c r="H564" i="1"/>
  <c r="BX561" i="1"/>
  <c r="AJ559" i="1"/>
  <c r="CZ556" i="1"/>
  <c r="BC573" i="1"/>
  <c r="O571" i="1"/>
  <c r="CE568" i="1"/>
  <c r="AQ566" i="1"/>
  <c r="DG563" i="1"/>
  <c r="BS561" i="1"/>
  <c r="AE559" i="1"/>
  <c r="CU556" i="1"/>
  <c r="CH573" i="1"/>
  <c r="AG583" i="1"/>
  <c r="CG579" i="1"/>
  <c r="BQ576" i="1"/>
  <c r="CF582" i="1"/>
  <c r="AR580" i="1"/>
  <c r="DH577" i="1"/>
  <c r="BT575" i="1"/>
  <c r="BC582" i="1"/>
  <c r="O580" i="1"/>
  <c r="CE577" i="1"/>
  <c r="BJ584" i="1"/>
  <c r="V582" i="1"/>
  <c r="CL579" i="1"/>
  <c r="AX577" i="1"/>
  <c r="AF575" i="1"/>
  <c r="CV572" i="1"/>
  <c r="BH570" i="1"/>
  <c r="T568" i="1"/>
  <c r="CJ565" i="1"/>
  <c r="AV563" i="1"/>
  <c r="H561" i="1"/>
  <c r="BX558" i="1"/>
  <c r="AA575" i="1"/>
  <c r="CQ572" i="1"/>
  <c r="BC570" i="1"/>
  <c r="O568" i="1"/>
  <c r="CE565" i="1"/>
  <c r="AQ563" i="1"/>
  <c r="DG560" i="1"/>
  <c r="BS558" i="1"/>
  <c r="AE556" i="1"/>
  <c r="R573" i="1"/>
  <c r="M582" i="1"/>
  <c r="CW578" i="1"/>
  <c r="CG575" i="1"/>
  <c r="P582" i="1"/>
  <c r="CF579" i="1"/>
  <c r="AR577" i="1"/>
  <c r="BB648" i="1"/>
  <c r="BW640" i="1"/>
  <c r="BP640" i="1"/>
  <c r="AG643" i="1"/>
  <c r="DG645" i="1"/>
  <c r="CW636" i="1"/>
  <c r="AV628" i="1"/>
  <c r="DH634" i="1"/>
  <c r="BE635" i="1"/>
  <c r="AX632" i="1"/>
  <c r="BS636" i="1"/>
  <c r="AA634" i="1"/>
  <c r="BG626" i="1"/>
  <c r="W633" i="1"/>
  <c r="AM626" i="1"/>
  <c r="CY629" i="1"/>
  <c r="BM626" i="1"/>
  <c r="AA624" i="1"/>
  <c r="CU620" i="1"/>
  <c r="AP630" i="1"/>
  <c r="AF625" i="1"/>
  <c r="CZ621" i="1"/>
  <c r="AG620" i="1"/>
  <c r="P618" i="1"/>
  <c r="BK616" i="1"/>
  <c r="BK612" i="1"/>
  <c r="CX610" i="1"/>
  <c r="P608" i="1"/>
  <c r="BO618" i="1"/>
  <c r="J615" i="1"/>
  <c r="DB612" i="1"/>
  <c r="AK611" i="1"/>
  <c r="BY622" i="1"/>
  <c r="DI623" i="1"/>
  <c r="CM614" i="1"/>
  <c r="CD624" i="1"/>
  <c r="CH612" i="1"/>
  <c r="DF623" i="1"/>
  <c r="AL620" i="1"/>
  <c r="DF626" i="1"/>
  <c r="BC617" i="1"/>
  <c r="BV619" i="1"/>
  <c r="BN613" i="1"/>
  <c r="CD618" i="1"/>
  <c r="CP611" i="1"/>
  <c r="BU618" i="1"/>
  <c r="AM609" i="1"/>
  <c r="L611" i="1"/>
  <c r="CC636" i="1"/>
  <c r="CZ643" i="1"/>
  <c r="BS625" i="1"/>
  <c r="U643" i="1"/>
  <c r="AM629" i="1"/>
  <c r="V630" i="1"/>
  <c r="CZ617" i="1"/>
  <c r="DD607" i="1"/>
  <c r="DI610" i="1"/>
  <c r="DG642" i="1"/>
  <c r="CG632" i="1"/>
  <c r="DA636" i="1"/>
  <c r="CQ636" i="1"/>
  <c r="BZ623" i="1"/>
  <c r="BN625" i="1"/>
  <c r="BC610" i="1"/>
  <c r="Z624" i="1"/>
  <c r="AM611" i="1"/>
  <c r="BZ609" i="1"/>
  <c r="AK650" i="1"/>
  <c r="R652" i="1"/>
  <c r="CT651" i="1"/>
  <c r="BT631" i="1"/>
  <c r="AX633" i="1"/>
  <c r="CN635" i="1"/>
  <c r="CV627" i="1"/>
  <c r="CB627" i="1"/>
  <c r="BK637" i="1"/>
  <c r="BB624" i="1"/>
  <c r="DA625" i="1"/>
  <c r="AE620" i="1"/>
  <c r="BX619" i="1"/>
  <c r="AK614" i="1"/>
  <c r="BK623" i="1"/>
  <c r="BZ617" i="1"/>
  <c r="BX614" i="1"/>
  <c r="AC618" i="1"/>
  <c r="CL614" i="1"/>
  <c r="BJ614" i="1"/>
  <c r="O619" i="1"/>
  <c r="CK615" i="1"/>
  <c r="BM613" i="1"/>
  <c r="AO612" i="1"/>
  <c r="Y614" i="1"/>
  <c r="BU611" i="1"/>
  <c r="F605" i="1"/>
  <c r="CG601" i="1"/>
  <c r="CY596" i="1"/>
  <c r="P609" i="1"/>
  <c r="BA607" i="1"/>
  <c r="M604" i="1"/>
  <c r="AE599" i="1"/>
  <c r="X612" i="1"/>
  <c r="BO613" i="1"/>
  <c r="AS605" i="1"/>
  <c r="CT600" i="1"/>
  <c r="CF611" i="1"/>
  <c r="DH611" i="1"/>
  <c r="Y605" i="1"/>
  <c r="BS600" i="1"/>
  <c r="CU590" i="1"/>
  <c r="CE587" i="1"/>
  <c r="DF595" i="1"/>
  <c r="BF586" i="1"/>
  <c r="DA595" i="1"/>
  <c r="BI607" i="1"/>
  <c r="AZ596" i="1"/>
  <c r="CN596" i="1"/>
  <c r="O587" i="1"/>
  <c r="BF595" i="1"/>
  <c r="F586" i="1"/>
  <c r="BA595" i="1"/>
  <c r="BD605" i="1"/>
  <c r="BH594" i="1"/>
  <c r="CV594" i="1"/>
  <c r="AY588" i="1"/>
  <c r="BF596" i="1"/>
  <c r="F587" i="1"/>
  <c r="BA596" i="1"/>
  <c r="DE586" i="1"/>
  <c r="BH598" i="1"/>
  <c r="CV598" i="1"/>
  <c r="BO587" i="1"/>
  <c r="Y652" i="1"/>
  <c r="CY644" i="1"/>
  <c r="CW642" i="1"/>
  <c r="O634" i="1"/>
  <c r="CZ639" i="1"/>
  <c r="AJ633" i="1"/>
  <c r="AR625" i="1"/>
  <c r="X625" i="1"/>
  <c r="DA628" i="1"/>
  <c r="BW622" i="1"/>
  <c r="H627" i="1"/>
  <c r="DA623" i="1"/>
  <c r="AM618" i="1"/>
  <c r="BZ612" i="1"/>
  <c r="BY620" i="1"/>
  <c r="AD615" i="1"/>
  <c r="BD613" i="1"/>
  <c r="U616" i="1"/>
  <c r="CM613" i="1"/>
  <c r="CC612" i="1"/>
  <c r="AQ618" i="1"/>
  <c r="CH614" i="1"/>
  <c r="CD612" i="1"/>
  <c r="CS610" i="1"/>
  <c r="BA612" i="1"/>
  <c r="CA609" i="1"/>
  <c r="AH604" i="1"/>
  <c r="DI600" i="1"/>
  <c r="W596" i="1"/>
  <c r="DB617" i="1"/>
  <c r="BR606" i="1"/>
  <c r="AO603" i="1"/>
  <c r="BG598" i="1"/>
  <c r="AF610" i="1"/>
  <c r="AJ608" i="1"/>
  <c r="BU604" i="1"/>
  <c r="CU599" i="1"/>
  <c r="CG609" i="1"/>
  <c r="DB607" i="1"/>
  <c r="BA604" i="1"/>
  <c r="BT599" i="1"/>
  <c r="S590" i="1"/>
  <c r="CI586" i="1"/>
  <c r="AT599" i="1"/>
  <c r="BV594" i="1"/>
  <c r="CX589" i="1"/>
  <c r="T612" i="1"/>
  <c r="AX602" i="1"/>
  <c r="AO599" i="1"/>
  <c r="DE596" i="1"/>
  <c r="BQ594" i="1"/>
  <c r="AC592" i="1"/>
  <c r="CS589" i="1"/>
  <c r="BE587" i="1"/>
  <c r="CI603" i="1"/>
  <c r="AI600" i="1"/>
  <c r="CR590" i="1"/>
  <c r="CS584" i="1"/>
  <c r="P591" i="1"/>
  <c r="CZ584" i="1"/>
  <c r="AR591" i="1"/>
  <c r="DG584" i="1"/>
  <c r="BD591" i="1"/>
  <c r="F585" i="1"/>
  <c r="BW591" i="1"/>
  <c r="BC588" i="1"/>
  <c r="CF606" i="1"/>
  <c r="CQ601" i="1"/>
  <c r="CX598" i="1"/>
  <c r="BJ596" i="1"/>
  <c r="V594" i="1"/>
  <c r="CL591" i="1"/>
  <c r="AX589" i="1"/>
  <c r="J587" i="1"/>
  <c r="BL606" i="1"/>
  <c r="CJ601" i="1"/>
  <c r="CS598" i="1"/>
  <c r="BE596" i="1"/>
  <c r="Q594" i="1"/>
  <c r="CG591" i="1"/>
  <c r="AS589" i="1"/>
  <c r="DI586" i="1"/>
  <c r="CM602" i="1"/>
  <c r="AV598" i="1"/>
  <c r="CZ588" i="1"/>
  <c r="BX598" i="1"/>
  <c r="X589" i="1"/>
  <c r="CZ598" i="1"/>
  <c r="AZ589" i="1"/>
  <c r="H599" i="1"/>
  <c r="BL589" i="1"/>
  <c r="BE584" i="1"/>
  <c r="G594" i="1"/>
  <c r="CM589" i="1"/>
  <c r="BW586" i="1"/>
  <c r="AQ603" i="1"/>
  <c r="F600" i="1"/>
  <c r="BJ597" i="1"/>
  <c r="V595" i="1"/>
  <c r="CL592" i="1"/>
  <c r="AX590" i="1"/>
  <c r="J588" i="1"/>
  <c r="BZ585" i="1"/>
  <c r="AF603" i="1"/>
  <c r="DC599" i="1"/>
  <c r="BE597" i="1"/>
  <c r="Q595" i="1"/>
  <c r="CG592" i="1"/>
  <c r="AS590" i="1"/>
  <c r="DI587" i="1"/>
  <c r="CM604" i="1"/>
  <c r="DF600" i="1"/>
  <c r="CZ592" i="1"/>
  <c r="AV585" i="1"/>
  <c r="X593" i="1"/>
  <c r="BE585" i="1"/>
  <c r="AZ593" i="1"/>
  <c r="BO585" i="1"/>
  <c r="BL593" i="1"/>
  <c r="BS585" i="1"/>
  <c r="AE592" i="1"/>
  <c r="Z456" i="1"/>
  <c r="CN645" i="1"/>
  <c r="CX641" i="1"/>
  <c r="M640" i="1"/>
  <c r="AD640" i="1"/>
  <c r="AH634" i="1"/>
  <c r="X635" i="1"/>
  <c r="DI636" i="1"/>
  <c r="BH628" i="1"/>
  <c r="CJ633" i="1"/>
  <c r="BE642" i="1"/>
  <c r="W631" i="1"/>
  <c r="AQ631" i="1"/>
  <c r="AM623" i="1"/>
  <c r="AW630" i="1"/>
  <c r="S623" i="1"/>
  <c r="AD629" i="1"/>
  <c r="AV624" i="1"/>
  <c r="L621" i="1"/>
  <c r="AY630" i="1"/>
  <c r="CC627" i="1"/>
  <c r="AQ625" i="1"/>
  <c r="G622" i="1"/>
  <c r="BH615" i="1"/>
  <c r="CO622" i="1"/>
  <c r="CA623" i="1"/>
  <c r="V617" i="1"/>
  <c r="M617" i="1"/>
  <c r="CB614" i="1"/>
  <c r="CH621" i="1"/>
  <c r="DG609" i="1"/>
  <c r="AP608" i="1"/>
  <c r="AB616" i="1"/>
  <c r="AU618" i="1"/>
  <c r="CT624" i="1"/>
  <c r="W612" i="1"/>
  <c r="R616" i="1"/>
  <c r="BJ610" i="1"/>
  <c r="AT618" i="1"/>
  <c r="AR616" i="1"/>
  <c r="P620" i="1"/>
  <c r="I625" i="1"/>
  <c r="BM617" i="1"/>
  <c r="AE611" i="1"/>
  <c r="CG614" i="1"/>
  <c r="BR609" i="1"/>
  <c r="AY614" i="1"/>
  <c r="CX618" i="1"/>
  <c r="AP617" i="1"/>
  <c r="BP607" i="1"/>
  <c r="AI614" i="1"/>
  <c r="K607" i="1"/>
  <c r="CX605" i="1"/>
  <c r="BE607" i="1"/>
  <c r="BU602" i="1"/>
  <c r="CV603" i="1"/>
  <c r="CM597" i="1"/>
  <c r="K593" i="1"/>
  <c r="T611" i="1"/>
  <c r="BG608" i="1"/>
  <c r="AB610" i="1"/>
  <c r="BF603" i="1"/>
  <c r="DE604" i="1"/>
  <c r="AC600" i="1"/>
  <c r="AM600" i="1"/>
  <c r="AU595" i="1"/>
  <c r="F615" i="1"/>
  <c r="I611" i="1"/>
  <c r="DC605" i="1"/>
  <c r="CL604" i="1"/>
  <c r="AG606" i="1"/>
  <c r="BI601" i="1"/>
  <c r="J602" i="1"/>
  <c r="CA596" i="1"/>
  <c r="AX614" i="1"/>
  <c r="BI610" i="1"/>
  <c r="CI605" i="1"/>
  <c r="BR604" i="1"/>
  <c r="M606" i="1"/>
  <c r="AO601" i="1"/>
  <c r="CM601" i="1"/>
  <c r="BG596" i="1"/>
  <c r="CI591" i="1"/>
  <c r="G587" i="1"/>
  <c r="CY588" i="1"/>
  <c r="AI602" i="1"/>
  <c r="CT596" i="1"/>
  <c r="R592" i="1"/>
  <c r="AT587" i="1"/>
  <c r="AB602" i="1"/>
  <c r="CO596" i="1"/>
  <c r="M592" i="1"/>
  <c r="AO587" i="1"/>
  <c r="CL599" i="1"/>
  <c r="S600" i="1"/>
  <c r="CJ584" i="1"/>
  <c r="CQ584" i="1"/>
  <c r="CT584" i="1"/>
  <c r="AI588" i="1"/>
  <c r="BV601" i="1"/>
  <c r="AT596" i="1"/>
  <c r="BV591" i="1"/>
  <c r="CX586" i="1"/>
  <c r="BO601" i="1"/>
  <c r="AO596" i="1"/>
  <c r="BQ591" i="1"/>
  <c r="CS586" i="1"/>
  <c r="CN597" i="1"/>
  <c r="L598" i="1"/>
  <c r="AN598" i="1"/>
  <c r="AZ598" i="1"/>
  <c r="AO584" i="1"/>
  <c r="BS589" i="1"/>
  <c r="K603" i="1"/>
  <c r="AT597" i="1"/>
  <c r="BV592" i="1"/>
  <c r="CX587" i="1"/>
  <c r="DD602" i="1"/>
  <c r="AO597" i="1"/>
  <c r="BQ592" i="1"/>
  <c r="CS587" i="1"/>
  <c r="CJ600" i="1"/>
  <c r="AC585" i="1"/>
  <c r="AJ585" i="1"/>
  <c r="AS585" i="1"/>
  <c r="AW585" i="1"/>
  <c r="AQ589" i="1"/>
  <c r="CR605" i="1"/>
  <c r="BL600" i="1"/>
  <c r="BV597" i="1"/>
  <c r="AH595" i="1"/>
  <c r="CX592" i="1"/>
  <c r="BJ590" i="1"/>
  <c r="V588" i="1"/>
  <c r="CL585" i="1"/>
  <c r="BD603" i="1"/>
  <c r="O600" i="1"/>
  <c r="BQ597" i="1"/>
  <c r="AC595" i="1"/>
  <c r="CS592" i="1"/>
  <c r="BE590" i="1"/>
  <c r="Q588" i="1"/>
  <c r="G605" i="1"/>
  <c r="R601" i="1"/>
  <c r="AR593" i="1"/>
  <c r="BL585" i="1"/>
  <c r="BT593" i="1"/>
  <c r="BU585" i="1"/>
  <c r="CV593" i="1"/>
  <c r="CE585" i="1"/>
  <c r="DH593" i="1"/>
  <c r="CI585" i="1"/>
  <c r="AC583" i="1"/>
  <c r="CS580" i="1"/>
  <c r="BE578" i="1"/>
  <c r="Q576" i="1"/>
  <c r="CC583" i="1"/>
  <c r="I580" i="1"/>
  <c r="CW576" i="1"/>
  <c r="DD582" i="1"/>
  <c r="BP580" i="1"/>
  <c r="AB578" i="1"/>
  <c r="CR575" i="1"/>
  <c r="CA582" i="1"/>
  <c r="AM580" i="1"/>
  <c r="DC577" i="1"/>
  <c r="BO575" i="1"/>
  <c r="AT582" i="1"/>
  <c r="F580" i="1"/>
  <c r="BV577" i="1"/>
  <c r="BK575" i="1"/>
  <c r="P573" i="1"/>
  <c r="CF570" i="1"/>
  <c r="AR568" i="1"/>
  <c r="DH565" i="1"/>
  <c r="BT563" i="1"/>
  <c r="AF561" i="1"/>
  <c r="CV558" i="1"/>
  <c r="BD575" i="1"/>
  <c r="K573" i="1"/>
  <c r="CA570" i="1"/>
  <c r="AM568" i="1"/>
  <c r="DC565" i="1"/>
  <c r="BO563" i="1"/>
  <c r="AA561" i="1"/>
  <c r="CQ558" i="1"/>
  <c r="BC556" i="1"/>
  <c r="AP573" i="1"/>
  <c r="AO583" i="1"/>
  <c r="CK579" i="1"/>
  <c r="BU576" i="1"/>
  <c r="CJ582" i="1"/>
  <c r="AV580" i="1"/>
  <c r="H578" i="1"/>
  <c r="BX575" i="1"/>
  <c r="BG582" i="1"/>
  <c r="S580" i="1"/>
  <c r="CI577" i="1"/>
  <c r="BN584" i="1"/>
  <c r="Z582" i="1"/>
  <c r="CP579" i="1"/>
  <c r="BB577" i="1"/>
  <c r="AJ575" i="1"/>
  <c r="CZ572" i="1"/>
  <c r="BL570" i="1"/>
  <c r="X568" i="1"/>
  <c r="CN565" i="1"/>
  <c r="AZ563" i="1"/>
  <c r="L561" i="1"/>
  <c r="CB558" i="1"/>
  <c r="AE575" i="1"/>
  <c r="CU572" i="1"/>
  <c r="BG570" i="1"/>
  <c r="S568" i="1"/>
  <c r="CI565" i="1"/>
  <c r="AU563" i="1"/>
  <c r="G561" i="1"/>
  <c r="BW558" i="1"/>
  <c r="AI556" i="1"/>
  <c r="V573" i="1"/>
  <c r="Q582" i="1"/>
  <c r="DE578" i="1"/>
  <c r="CK575" i="1"/>
  <c r="T582" i="1"/>
  <c r="CJ579" i="1"/>
  <c r="AV577" i="1"/>
  <c r="AE584" i="1"/>
  <c r="CU581" i="1"/>
  <c r="BG579" i="1"/>
  <c r="S577" i="1"/>
  <c r="DB583" i="1"/>
  <c r="BN581" i="1"/>
  <c r="Z579" i="1"/>
  <c r="CP576" i="1"/>
  <c r="BX574" i="1"/>
  <c r="AJ572" i="1"/>
  <c r="CZ569" i="1"/>
  <c r="BL567" i="1"/>
  <c r="X565" i="1"/>
  <c r="CN562" i="1"/>
  <c r="AZ560" i="1"/>
  <c r="L558" i="1"/>
  <c r="BS574" i="1"/>
  <c r="AE572" i="1"/>
  <c r="CU569" i="1"/>
  <c r="BG567" i="1"/>
  <c r="S565" i="1"/>
  <c r="CI562" i="1"/>
  <c r="AU560" i="1"/>
  <c r="G558" i="1"/>
  <c r="CX574" i="1"/>
  <c r="BJ572" i="1"/>
  <c r="AG581" i="1"/>
  <c r="Q578" i="1"/>
  <c r="X584" i="1"/>
  <c r="BH581" i="1"/>
  <c r="T579" i="1"/>
  <c r="BO471" i="1"/>
  <c r="CX647" i="1"/>
  <c r="CM641" i="1"/>
  <c r="CY645" i="1"/>
  <c r="CC644" i="1"/>
  <c r="H639" i="1"/>
  <c r="I646" i="1"/>
  <c r="BB633" i="1"/>
  <c r="CC638" i="1"/>
  <c r="AR638" i="1"/>
  <c r="AO636" i="1"/>
  <c r="CM628" i="1"/>
  <c r="BS634" i="1"/>
  <c r="AB623" i="1"/>
  <c r="BO633" i="1"/>
  <c r="H623" i="1"/>
  <c r="K635" i="1"/>
  <c r="BT626" i="1"/>
  <c r="AJ623" i="1"/>
  <c r="CY630" i="1"/>
  <c r="I639" i="1"/>
  <c r="BO627" i="1"/>
  <c r="DF624" i="1"/>
  <c r="CF617" i="1"/>
  <c r="DD614" i="1"/>
  <c r="R622" i="1"/>
  <c r="W610" i="1"/>
  <c r="BJ608" i="1"/>
  <c r="BX617" i="1"/>
  <c r="AA616" i="1"/>
  <c r="AA612" i="1"/>
  <c r="BN610" i="1"/>
  <c r="AB618" i="1"/>
  <c r="CH619" i="1"/>
  <c r="BF620" i="1"/>
  <c r="AC613" i="1"/>
  <c r="Z618" i="1"/>
  <c r="BN611" i="1"/>
  <c r="Q618" i="1"/>
  <c r="U626" i="1"/>
  <c r="AW626" i="1"/>
  <c r="AE618" i="1"/>
  <c r="CG623" i="1"/>
  <c r="O617" i="1"/>
  <c r="N634" i="1"/>
  <c r="X629" i="1"/>
  <c r="AG625" i="1"/>
  <c r="AH609" i="1"/>
  <c r="CO613" i="1"/>
  <c r="CE612" i="1"/>
  <c r="BX612" i="1"/>
  <c r="BE611" i="1"/>
  <c r="BN615" i="1"/>
  <c r="CU614" i="1"/>
  <c r="BG588" i="1"/>
  <c r="BM593" i="1"/>
  <c r="G604" i="1"/>
  <c r="AX601" i="1"/>
  <c r="R594" i="1"/>
  <c r="H589" i="1"/>
  <c r="AB647" i="1"/>
  <c r="CA630" i="1"/>
  <c r="AM637" i="1"/>
  <c r="U623" i="1"/>
  <c r="CY612" i="1"/>
  <c r="DG611" i="1"/>
  <c r="J608" i="1"/>
  <c r="BU609" i="1"/>
  <c r="DE612" i="1"/>
  <c r="BI612" i="1"/>
  <c r="CI587" i="1"/>
  <c r="R588" i="1"/>
  <c r="AS596" i="1"/>
  <c r="CW586" i="1"/>
  <c r="AB598" i="1"/>
  <c r="BP598" i="1"/>
  <c r="CA587" i="1"/>
  <c r="DB595" i="1"/>
  <c r="BB586" i="1"/>
  <c r="CW595" i="1"/>
  <c r="AM607" i="1"/>
  <c r="AJ596" i="1"/>
  <c r="BX596" i="1"/>
  <c r="G589" i="1"/>
  <c r="DB596" i="1"/>
  <c r="BB587" i="1"/>
  <c r="CW596" i="1"/>
  <c r="AW587" i="1"/>
  <c r="CK584" i="1"/>
  <c r="CY584" i="1"/>
  <c r="AF650" i="1"/>
  <c r="CM645" i="1"/>
  <c r="AD631" i="1"/>
  <c r="CB626" i="1"/>
  <c r="CM631" i="1"/>
  <c r="CJ627" i="1"/>
  <c r="K619" i="1"/>
  <c r="U622" i="1"/>
  <c r="AF614" i="1"/>
  <c r="AU614" i="1"/>
  <c r="CM618" i="1"/>
  <c r="V613" i="1"/>
  <c r="AU613" i="1"/>
  <c r="CD604" i="1"/>
  <c r="BS596" i="1"/>
  <c r="J607" i="1"/>
  <c r="DC598" i="1"/>
  <c r="P611" i="1"/>
  <c r="BC600" i="1"/>
  <c r="BY609" i="1"/>
  <c r="AB600" i="1"/>
  <c r="AQ587" i="1"/>
  <c r="Z586" i="1"/>
  <c r="AB606" i="1"/>
  <c r="BT595" i="1"/>
  <c r="Z595" i="1"/>
  <c r="U595" i="1"/>
  <c r="AN593" i="1"/>
  <c r="G588" i="1"/>
  <c r="CD586" i="1"/>
  <c r="BX610" i="1"/>
  <c r="CB597" i="1"/>
  <c r="BN599" i="1"/>
  <c r="DB589" i="1"/>
  <c r="AS599" i="1"/>
  <c r="CW589" i="1"/>
  <c r="DH590" i="1"/>
  <c r="BH591" i="1"/>
  <c r="BU582" i="1"/>
  <c r="BI582" i="1"/>
  <c r="DH579" i="1"/>
  <c r="CE579" i="1"/>
  <c r="AX579" i="1"/>
  <c r="T570" i="1"/>
  <c r="BX560" i="1"/>
  <c r="O570" i="1"/>
  <c r="BS560" i="1"/>
  <c r="U582" i="1"/>
  <c r="CN579" i="1"/>
  <c r="BK579" i="1"/>
  <c r="AD579" i="1"/>
  <c r="DD569" i="1"/>
  <c r="BD560" i="1"/>
  <c r="CY569" i="1"/>
  <c r="AY560" i="1"/>
  <c r="AO581" i="1"/>
  <c r="X579" i="1"/>
  <c r="CY578" i="1"/>
  <c r="BR578" i="1"/>
  <c r="AN569" i="1"/>
  <c r="CR559" i="1"/>
  <c r="AI569" i="1"/>
  <c r="CM559" i="1"/>
  <c r="BE580" i="1"/>
  <c r="BL578" i="1"/>
  <c r="CR639" i="1"/>
  <c r="CS636" i="1"/>
  <c r="CU630" i="1"/>
  <c r="DG622" i="1"/>
  <c r="AE630" i="1"/>
  <c r="AR615" i="1"/>
  <c r="CK616" i="1"/>
  <c r="Z608" i="1"/>
  <c r="G612" i="1"/>
  <c r="CJ617" i="1"/>
  <c r="AI616" i="1"/>
  <c r="AI612" i="1"/>
  <c r="BV610" i="1"/>
  <c r="CR607" i="1"/>
  <c r="BY610" i="1"/>
  <c r="CR610" i="1"/>
  <c r="AQ608" i="1"/>
  <c r="BD609" i="1"/>
  <c r="AT603" i="1"/>
  <c r="CS604" i="1"/>
  <c r="Q600" i="1"/>
  <c r="W600" i="1"/>
  <c r="AI595" i="1"/>
  <c r="AJ607" i="1"/>
  <c r="BQ613" i="1"/>
  <c r="CU606" i="1"/>
  <c r="CD605" i="1"/>
  <c r="AD607" i="1"/>
  <c r="BA602" i="1"/>
  <c r="BH603" i="1"/>
  <c r="BS597" i="1"/>
  <c r="DA610" i="1"/>
  <c r="BH608" i="1"/>
  <c r="CE609" i="1"/>
  <c r="F607" i="1"/>
  <c r="AB612" i="1"/>
  <c r="CG603" i="1"/>
  <c r="CJ606" i="1"/>
  <c r="CY598" i="1"/>
  <c r="CO609" i="1"/>
  <c r="M623" i="1"/>
  <c r="CF608" i="1"/>
  <c r="CP606" i="1"/>
  <c r="CF610" i="1"/>
  <c r="BM603" i="1"/>
  <c r="H606" i="1"/>
  <c r="CE598" i="1"/>
  <c r="DG593" i="1"/>
  <c r="AE589" i="1"/>
  <c r="CU591" i="1"/>
  <c r="CO607" i="1"/>
  <c r="N599" i="1"/>
  <c r="AP594" i="1"/>
  <c r="BR589" i="1"/>
  <c r="AS607" i="1"/>
  <c r="I599" i="1"/>
  <c r="AK594" i="1"/>
  <c r="BM589" i="1"/>
  <c r="W603" i="1"/>
  <c r="BX589" i="1"/>
  <c r="CZ589" i="1"/>
  <c r="X590" i="1"/>
  <c r="AJ590" i="1"/>
  <c r="AE591" i="1"/>
  <c r="BL605" i="1"/>
  <c r="BR598" i="1"/>
  <c r="CT593" i="1"/>
  <c r="R589" i="1"/>
  <c r="AV605" i="1"/>
  <c r="BM598" i="1"/>
  <c r="CO593" i="1"/>
  <c r="M589" i="1"/>
  <c r="AV602" i="1"/>
  <c r="CF587" i="1"/>
  <c r="DH587" i="1"/>
  <c r="AF588" i="1"/>
  <c r="AR588" i="1"/>
  <c r="CU592" i="1"/>
  <c r="AE586" i="1"/>
  <c r="BS599" i="1"/>
  <c r="CT594" i="1"/>
  <c r="R590" i="1"/>
  <c r="AT585" i="1"/>
  <c r="BM599" i="1"/>
  <c r="CO594" i="1"/>
  <c r="M590" i="1"/>
  <c r="AA604" i="1"/>
  <c r="CF591" i="1"/>
  <c r="DH591" i="1"/>
  <c r="AF592" i="1"/>
  <c r="AR592" i="1"/>
  <c r="CE591" i="1"/>
  <c r="DG586" i="1"/>
  <c r="AN602" i="1"/>
  <c r="BZ598" i="1"/>
  <c r="AL596" i="1"/>
  <c r="DB593" i="1"/>
  <c r="BN591" i="1"/>
  <c r="Z589" i="1"/>
  <c r="CP586" i="1"/>
  <c r="BX605" i="1"/>
  <c r="BD601" i="1"/>
  <c r="BU598" i="1"/>
  <c r="AG596" i="1"/>
  <c r="CW593" i="1"/>
  <c r="BI591" i="1"/>
  <c r="U589" i="1"/>
  <c r="BN614" i="1"/>
  <c r="BG602" i="1"/>
  <c r="BH597" i="1"/>
  <c r="H588" i="1"/>
  <c r="CJ597" i="1"/>
  <c r="AJ588" i="1"/>
  <c r="H598" i="1"/>
  <c r="BL588" i="1"/>
  <c r="T598" i="1"/>
  <c r="BX588" i="1"/>
  <c r="AG584" i="1"/>
  <c r="CW581" i="1"/>
  <c r="BI579" i="1"/>
  <c r="U577" i="1"/>
  <c r="DH583" i="1"/>
  <c r="AW581" i="1"/>
  <c r="AG578" i="1"/>
  <c r="AN584" i="1"/>
  <c r="BT581" i="1"/>
  <c r="AF579" i="1"/>
  <c r="CV576" i="1"/>
  <c r="CE583" i="1"/>
  <c r="AQ581" i="1"/>
  <c r="DG578" i="1"/>
  <c r="BS576" i="1"/>
  <c r="AX583" i="1"/>
  <c r="J581" i="1"/>
  <c r="BZ578" i="1"/>
  <c r="AL576" i="1"/>
  <c r="T574" i="1"/>
  <c r="CJ571" i="1"/>
  <c r="AV569" i="1"/>
  <c r="H567" i="1"/>
  <c r="BX564" i="1"/>
  <c r="AJ562" i="1"/>
  <c r="CZ559" i="1"/>
  <c r="BL557" i="1"/>
  <c r="O574" i="1"/>
  <c r="CE571" i="1"/>
  <c r="AQ569" i="1"/>
  <c r="DG566" i="1"/>
  <c r="BS564" i="1"/>
  <c r="AE562" i="1"/>
  <c r="CU559" i="1"/>
  <c r="BG557" i="1"/>
  <c r="AT574" i="1"/>
  <c r="F572" i="1"/>
  <c r="Y581" i="1"/>
  <c r="DI577" i="1"/>
  <c r="L584" i="1"/>
  <c r="AZ581" i="1"/>
  <c r="L579" i="1"/>
  <c r="CB576" i="1"/>
  <c r="BK583" i="1"/>
  <c r="W581" i="1"/>
  <c r="CM578" i="1"/>
  <c r="AY576" i="1"/>
  <c r="AD583" i="1"/>
  <c r="CT580" i="1"/>
  <c r="BF578" i="1"/>
  <c r="R576" i="1"/>
  <c r="DD573" i="1"/>
  <c r="BP571" i="1"/>
  <c r="AB569" i="1"/>
  <c r="CR566" i="1"/>
  <c r="BD564" i="1"/>
  <c r="P562" i="1"/>
  <c r="CF559" i="1"/>
  <c r="AR557" i="1"/>
  <c r="CY573" i="1"/>
  <c r="BK571" i="1"/>
  <c r="W569" i="1"/>
  <c r="CM566" i="1"/>
  <c r="AY564" i="1"/>
  <c r="K562" i="1"/>
  <c r="CA559" i="1"/>
  <c r="AM557" i="1"/>
  <c r="Z574" i="1"/>
  <c r="CP571" i="1"/>
  <c r="AO580" i="1"/>
  <c r="Y577" i="1"/>
  <c r="AB583" i="1"/>
  <c r="CN580" i="1"/>
  <c r="AZ578" i="1"/>
  <c r="L576" i="1"/>
  <c r="CY582" i="1"/>
  <c r="BK580" i="1"/>
  <c r="W578" i="1"/>
  <c r="CM575" i="1"/>
  <c r="BR582" i="1"/>
  <c r="AD580" i="1"/>
  <c r="CT577" i="1"/>
  <c r="BF575" i="1"/>
  <c r="AN573" i="1"/>
  <c r="DD570" i="1"/>
  <c r="BP568" i="1"/>
  <c r="AB566" i="1"/>
  <c r="CR563" i="1"/>
  <c r="BD561" i="1"/>
  <c r="P559" i="1"/>
  <c r="CF556" i="1"/>
  <c r="AI573" i="1"/>
  <c r="CY570" i="1"/>
  <c r="BK568" i="1"/>
  <c r="W566" i="1"/>
  <c r="CM563" i="1"/>
  <c r="AY561" i="1"/>
  <c r="K559" i="1"/>
  <c r="CA556" i="1"/>
  <c r="BN573" i="1"/>
  <c r="CW582" i="1"/>
  <c r="BE579" i="1"/>
  <c r="AO576" i="1"/>
  <c r="BL582" i="1"/>
  <c r="AQ461" i="1"/>
  <c r="AE647" i="1"/>
  <c r="CP636" i="1"/>
  <c r="BL637" i="1"/>
  <c r="Q631" i="1"/>
  <c r="Q634" i="1"/>
  <c r="V629" i="1"/>
  <c r="DF628" i="1"/>
  <c r="DA630" i="1"/>
  <c r="AF622" i="1"/>
  <c r="BV630" i="1"/>
  <c r="AA623" i="1"/>
  <c r="BL613" i="1"/>
  <c r="R620" i="1"/>
  <c r="AJ616" i="1"/>
  <c r="W611" i="1"/>
  <c r="AV617" i="1"/>
  <c r="CB619" i="1"/>
  <c r="AL617" i="1"/>
  <c r="AC617" i="1"/>
  <c r="Q621" i="1"/>
  <c r="CG618" i="1"/>
  <c r="BJ615" i="1"/>
  <c r="Y616" i="1"/>
  <c r="BC608" i="1"/>
  <c r="CH616" i="1"/>
  <c r="BF606" i="1"/>
  <c r="AC603" i="1"/>
  <c r="AU598" i="1"/>
  <c r="CB612" i="1"/>
  <c r="BM615" i="1"/>
  <c r="BM605" i="1"/>
  <c r="P601" i="1"/>
  <c r="AO619" i="1"/>
  <c r="BK606" i="1"/>
  <c r="CS606" i="1"/>
  <c r="CR602" i="1"/>
  <c r="R617" i="1"/>
  <c r="AQ606" i="1"/>
  <c r="BY606" i="1"/>
  <c r="BP602" i="1"/>
  <c r="AQ592" i="1"/>
  <c r="CE589" i="1"/>
  <c r="BB597" i="1"/>
  <c r="DF587" i="1"/>
  <c r="AW597" i="1"/>
  <c r="DA587" i="1"/>
  <c r="AK585" i="1"/>
  <c r="BD585" i="1"/>
  <c r="K589" i="1"/>
  <c r="DF596" i="1"/>
  <c r="BF587" i="1"/>
  <c r="DA596" i="1"/>
  <c r="BA587" i="1"/>
  <c r="CO584" i="1"/>
  <c r="DC584" i="1"/>
  <c r="AU590" i="1"/>
  <c r="DF597" i="1"/>
  <c r="BF588" i="1"/>
  <c r="DA597" i="1"/>
  <c r="BA588" i="1"/>
  <c r="H586" i="1"/>
  <c r="AJ586" i="1"/>
  <c r="CI589" i="1"/>
  <c r="T601" i="1"/>
  <c r="BN595" i="1"/>
  <c r="CP590" i="1"/>
  <c r="N586" i="1"/>
  <c r="BF600" i="1"/>
  <c r="BI595" i="1"/>
  <c r="CK590" i="1"/>
  <c r="CJ605" i="1"/>
  <c r="BL594" i="1"/>
  <c r="CN594" i="1"/>
  <c r="L595" i="1"/>
  <c r="X595" i="1"/>
  <c r="BI583" i="1"/>
  <c r="CK578" i="1"/>
  <c r="AF583" i="1"/>
  <c r="AG577" i="1"/>
  <c r="CV580" i="1"/>
  <c r="T576" i="1"/>
  <c r="BS580" i="1"/>
  <c r="CU575" i="1"/>
  <c r="AL580" i="1"/>
  <c r="BN575" i="1"/>
  <c r="H571" i="1"/>
  <c r="AJ566" i="1"/>
  <c r="BL561" i="1"/>
  <c r="CN556" i="1"/>
  <c r="DG570" i="1"/>
  <c r="AE566" i="1"/>
  <c r="BG561" i="1"/>
  <c r="CI556" i="1"/>
  <c r="AH571" i="1"/>
  <c r="I577" i="1"/>
  <c r="CB580" i="1"/>
  <c r="DD575" i="1"/>
  <c r="AY580" i="1"/>
  <c r="CA575" i="1"/>
  <c r="R580" i="1"/>
  <c r="AT575" i="1"/>
  <c r="CR570" i="1"/>
  <c r="P566" i="1"/>
  <c r="AR561" i="1"/>
  <c r="BT556" i="1"/>
  <c r="CM570" i="1"/>
  <c r="K566" i="1"/>
  <c r="AM561" i="1"/>
  <c r="BO556" i="1"/>
  <c r="BY582" i="1"/>
  <c r="Y576" i="1"/>
  <c r="L580" i="1"/>
  <c r="BK584" i="1"/>
  <c r="CM579" i="1"/>
  <c r="AD584" i="1"/>
  <c r="BF579" i="1"/>
  <c r="DD574" i="1"/>
  <c r="AB570" i="1"/>
  <c r="BD565" i="1"/>
  <c r="CF560" i="1"/>
  <c r="CY574" i="1"/>
  <c r="W570" i="1"/>
  <c r="AY565" i="1"/>
  <c r="CA560" i="1"/>
  <c r="Z575" i="1"/>
  <c r="BY581" i="1"/>
  <c r="BL584" i="1"/>
  <c r="CV579" i="1"/>
  <c r="CJ576" i="1"/>
  <c r="BS583" i="1"/>
  <c r="AE581" i="1"/>
  <c r="CU578" i="1"/>
  <c r="BG576" i="1"/>
  <c r="AL583" i="1"/>
  <c r="DB580" i="1"/>
  <c r="BN578" i="1"/>
  <c r="Z576" i="1"/>
  <c r="H574" i="1"/>
  <c r="BX571" i="1"/>
  <c r="AJ569" i="1"/>
  <c r="CZ566" i="1"/>
  <c r="BL564" i="1"/>
  <c r="X562" i="1"/>
  <c r="CN559" i="1"/>
  <c r="AZ557" i="1"/>
  <c r="DG573" i="1"/>
  <c r="BS571" i="1"/>
  <c r="AE569" i="1"/>
  <c r="CU566" i="1"/>
  <c r="BG564" i="1"/>
  <c r="S562" i="1"/>
  <c r="CI559" i="1"/>
  <c r="AU557" i="1"/>
  <c r="AH574" i="1"/>
  <c r="CX571" i="1"/>
  <c r="BJ569" i="1"/>
  <c r="V567" i="1"/>
  <c r="CL564" i="1"/>
  <c r="AX562" i="1"/>
  <c r="J571" i="1"/>
  <c r="W628" i="1"/>
  <c r="P625" i="1"/>
  <c r="CH632" i="1"/>
  <c r="CU628" i="1"/>
  <c r="AG619" i="1"/>
  <c r="AD639" i="1"/>
  <c r="BR625" i="1"/>
  <c r="BT623" i="1"/>
  <c r="DC616" i="1"/>
  <c r="F612" i="1"/>
  <c r="N611" i="1"/>
  <c r="DB615" i="1"/>
  <c r="DF604" i="1"/>
  <c r="AH606" i="1"/>
  <c r="N606" i="1"/>
  <c r="DG604" i="1"/>
  <c r="K602" i="1"/>
  <c r="R593" i="1"/>
  <c r="DA585" i="1"/>
  <c r="AV606" i="1"/>
  <c r="AV589" i="1"/>
  <c r="BZ637" i="1"/>
  <c r="H622" i="1"/>
  <c r="DG626" i="1"/>
  <c r="BB627" i="1"/>
  <c r="AH611" i="1"/>
  <c r="AP610" i="1"/>
  <c r="AY609" i="1"/>
  <c r="AD604" i="1"/>
  <c r="BJ605" i="1"/>
  <c r="AP605" i="1"/>
  <c r="BG603" i="1"/>
  <c r="P606" i="1"/>
  <c r="DI593" i="1"/>
  <c r="BW602" i="1"/>
  <c r="CF588" i="1"/>
  <c r="P589" i="1"/>
  <c r="CY604" i="1"/>
  <c r="BN593" i="1"/>
  <c r="CN604" i="1"/>
  <c r="BI593" i="1"/>
  <c r="F602" i="1"/>
  <c r="CO586" i="1"/>
  <c r="X587" i="1"/>
  <c r="AQ615" i="1"/>
  <c r="BN594" i="1"/>
  <c r="CJ609" i="1"/>
  <c r="BI594" i="1"/>
  <c r="BS603" i="1"/>
  <c r="CN590" i="1"/>
  <c r="X591" i="1"/>
  <c r="BM645" i="1"/>
  <c r="CT633" i="1"/>
  <c r="CM633" i="1"/>
  <c r="J623" i="1"/>
  <c r="CE626" i="1"/>
  <c r="AS625" i="1"/>
  <c r="CC615" i="1"/>
  <c r="DA620" i="1"/>
  <c r="CI616" i="1"/>
  <c r="AP609" i="1"/>
  <c r="CX621" i="1"/>
  <c r="AX608" i="1"/>
  <c r="CO614" i="1"/>
  <c r="Y606" i="1"/>
  <c r="AC611" i="1"/>
  <c r="BH612" i="1"/>
  <c r="AA594" i="1"/>
  <c r="BR603" i="1"/>
  <c r="BG595" i="1"/>
  <c r="AX603" i="1"/>
  <c r="AM595" i="1"/>
  <c r="CB600" i="1"/>
  <c r="BV600" i="1"/>
  <c r="DH594" i="1"/>
  <c r="W594" i="1"/>
  <c r="BB590" i="1"/>
  <c r="AW590" i="1"/>
  <c r="BP593" i="1"/>
  <c r="AU601" i="1"/>
  <c r="AN601" i="1"/>
  <c r="L597" i="1"/>
  <c r="U584" i="1"/>
  <c r="J597" i="1"/>
  <c r="BN587" i="1"/>
  <c r="DI596" i="1"/>
  <c r="BI587" i="1"/>
  <c r="CW584" i="1"/>
  <c r="G585" i="1"/>
  <c r="AG580" i="1"/>
  <c r="AG579" i="1"/>
  <c r="BT577" i="1"/>
  <c r="AQ577" i="1"/>
  <c r="J577" i="1"/>
  <c r="CJ567" i="1"/>
  <c r="AJ558" i="1"/>
  <c r="CE567" i="1"/>
  <c r="AE558" i="1"/>
  <c r="DI578" i="1"/>
  <c r="AZ577" i="1"/>
  <c r="W577" i="1"/>
  <c r="CT576" i="1"/>
  <c r="BP567" i="1"/>
  <c r="P558" i="1"/>
  <c r="BK567" i="1"/>
  <c r="K558" i="1"/>
  <c r="U578" i="1"/>
  <c r="CN576" i="1"/>
  <c r="BK576" i="1"/>
  <c r="AD576" i="1"/>
  <c r="DD566" i="1"/>
  <c r="BD557" i="1"/>
  <c r="CY566" i="1"/>
  <c r="AY557" i="1"/>
  <c r="AO577" i="1"/>
  <c r="V456" i="1"/>
  <c r="CH652" i="1"/>
  <c r="AR628" i="1"/>
  <c r="BM630" i="1"/>
  <c r="N629" i="1"/>
  <c r="BM627" i="1"/>
  <c r="BI622" i="1"/>
  <c r="BH614" i="1"/>
  <c r="H616" i="1"/>
  <c r="CP615" i="1"/>
  <c r="X616" i="1"/>
  <c r="BA624" i="1"/>
  <c r="O611" i="1"/>
  <c r="BB609" i="1"/>
  <c r="CD617" i="1"/>
  <c r="AO610" i="1"/>
  <c r="AR608" i="1"/>
  <c r="AN609" i="1"/>
  <c r="DB606" i="1"/>
  <c r="BT611" i="1"/>
  <c r="BY603" i="1"/>
  <c r="BD606" i="1"/>
  <c r="CQ598" i="1"/>
  <c r="O594" i="1"/>
  <c r="R614" i="1"/>
  <c r="AK610" i="1"/>
  <c r="CA605" i="1"/>
  <c r="BJ604" i="1"/>
  <c r="DI605" i="1"/>
  <c r="AG601" i="1"/>
  <c r="CB601" i="1"/>
  <c r="AY596" i="1"/>
  <c r="AZ607" i="1"/>
  <c r="DG613" i="1"/>
  <c r="DG606" i="1"/>
  <c r="CP605" i="1"/>
  <c r="AT607" i="1"/>
  <c r="BM602" i="1"/>
  <c r="CF603" i="1"/>
  <c r="CE597" i="1"/>
  <c r="X607" i="1"/>
  <c r="AK613" i="1"/>
  <c r="CM606" i="1"/>
  <c r="BV605" i="1"/>
  <c r="S607" i="1"/>
  <c r="AS602" i="1"/>
  <c r="AR603" i="1"/>
  <c r="BK597" i="1"/>
  <c r="CM592" i="1"/>
  <c r="K588" i="1"/>
  <c r="AM590" i="1"/>
  <c r="O604" i="1"/>
  <c r="CX597" i="1"/>
  <c r="V593" i="1"/>
  <c r="AX588" i="1"/>
  <c r="DH603" i="1"/>
  <c r="CS597" i="1"/>
  <c r="Q593" i="1"/>
  <c r="AS588" i="1"/>
  <c r="BC601" i="1"/>
  <c r="CW585" i="1"/>
  <c r="DI585" i="1"/>
  <c r="T586" i="1"/>
  <c r="Y586" i="1"/>
  <c r="BW589" i="1"/>
  <c r="S603" i="1"/>
  <c r="AX597" i="1"/>
  <c r="BZ592" i="1"/>
  <c r="DB587" i="1"/>
  <c r="H603" i="1"/>
  <c r="AS597" i="1"/>
  <c r="BU592" i="1"/>
  <c r="CW587" i="1"/>
  <c r="CP600" i="1"/>
  <c r="AG585" i="1"/>
  <c r="AO585" i="1"/>
  <c r="AY585" i="1"/>
  <c r="BC585" i="1"/>
  <c r="DG590" i="1"/>
  <c r="S605" i="1"/>
  <c r="AX598" i="1"/>
  <c r="BZ593" i="1"/>
  <c r="DB588" i="1"/>
  <c r="H605" i="1"/>
  <c r="AS598" i="1"/>
  <c r="BU593" i="1"/>
  <c r="CW588" i="1"/>
  <c r="V602" i="1"/>
  <c r="DH586" i="1"/>
  <c r="AF587" i="1"/>
  <c r="BH587" i="1"/>
  <c r="BT587" i="1"/>
  <c r="W590" i="1"/>
  <c r="AZ612" i="1"/>
  <c r="AP601" i="1"/>
  <c r="N598" i="1"/>
  <c r="CD595" i="1"/>
  <c r="AP593" i="1"/>
  <c r="DF590" i="1"/>
  <c r="BR588" i="1"/>
  <c r="AD586" i="1"/>
  <c r="AR604" i="1"/>
  <c r="CA600" i="1"/>
  <c r="I598" i="1"/>
  <c r="BY595" i="1"/>
  <c r="AK593" i="1"/>
  <c r="DA590" i="1"/>
  <c r="BM588" i="1"/>
  <c r="AR606" i="1"/>
  <c r="CD601" i="1"/>
  <c r="T595" i="1"/>
  <c r="AF586" i="1"/>
  <c r="AV595" i="1"/>
  <c r="AS586" i="1"/>
  <c r="BX595" i="1"/>
  <c r="BH586" i="1"/>
  <c r="CJ595" i="1"/>
  <c r="BM586" i="1"/>
  <c r="BY583" i="1"/>
  <c r="AK581" i="1"/>
  <c r="DA578" i="1"/>
  <c r="BM576" i="1"/>
  <c r="AV583" i="1"/>
  <c r="BU580" i="1"/>
  <c r="BE577" i="1"/>
  <c r="BH583" i="1"/>
  <c r="H581" i="1"/>
  <c r="BX578" i="1"/>
  <c r="AJ576" i="1"/>
  <c r="S583" i="1"/>
  <c r="CI580" i="1"/>
  <c r="AU578" i="1"/>
  <c r="G576" i="1"/>
  <c r="CP582" i="1"/>
  <c r="BB580" i="1"/>
  <c r="N578" i="1"/>
  <c r="CD575" i="1"/>
  <c r="BL573" i="1"/>
  <c r="X571" i="1"/>
  <c r="CN568" i="1"/>
  <c r="AZ566" i="1"/>
  <c r="L564" i="1"/>
  <c r="CB561" i="1"/>
  <c r="AN559" i="1"/>
  <c r="DD556" i="1"/>
  <c r="BG573" i="1"/>
  <c r="S571" i="1"/>
  <c r="CI568" i="1"/>
  <c r="AU566" i="1"/>
  <c r="G564" i="1"/>
  <c r="BW561" i="1"/>
  <c r="AI559" i="1"/>
  <c r="CY556" i="1"/>
  <c r="CL573" i="1"/>
  <c r="AX571" i="1"/>
  <c r="AS580" i="1"/>
  <c r="AC577" i="1"/>
  <c r="AJ583" i="1"/>
  <c r="CR580" i="1"/>
  <c r="BD578" i="1"/>
  <c r="P576" i="1"/>
  <c r="DC582" i="1"/>
  <c r="BO580" i="1"/>
  <c r="AA578" i="1"/>
  <c r="CQ575" i="1"/>
  <c r="BV582" i="1"/>
  <c r="AH580" i="1"/>
  <c r="CX577" i="1"/>
  <c r="BJ575" i="1"/>
  <c r="AR573" i="1"/>
  <c r="DH570" i="1"/>
  <c r="BT568" i="1"/>
  <c r="AF566" i="1"/>
  <c r="CV563" i="1"/>
  <c r="BH561" i="1"/>
  <c r="T559" i="1"/>
  <c r="CJ556" i="1"/>
  <c r="AM573" i="1"/>
  <c r="DC570" i="1"/>
  <c r="BO568" i="1"/>
  <c r="AA566" i="1"/>
  <c r="CQ563" i="1"/>
  <c r="BC561" i="1"/>
  <c r="O559" i="1"/>
  <c r="CE556" i="1"/>
  <c r="BR573" i="1"/>
  <c r="DE582" i="1"/>
  <c r="BM579" i="1"/>
  <c r="AS576" i="1"/>
  <c r="BP582" i="1"/>
  <c r="AB580" i="1"/>
  <c r="CR577" i="1"/>
  <c r="CA584" i="1"/>
  <c r="AM582" i="1"/>
  <c r="DC579" i="1"/>
  <c r="BO577" i="1"/>
  <c r="AT584" i="1"/>
  <c r="F582" i="1"/>
  <c r="BV579" i="1"/>
  <c r="AH577" i="1"/>
  <c r="P575" i="1"/>
  <c r="CF572" i="1"/>
  <c r="AR570" i="1"/>
  <c r="DH567" i="1"/>
  <c r="BT565" i="1"/>
  <c r="AF563" i="1"/>
  <c r="CV560" i="1"/>
  <c r="BH558" i="1"/>
  <c r="K575" i="1"/>
  <c r="CA572" i="1"/>
  <c r="AM570" i="1"/>
  <c r="DC567" i="1"/>
  <c r="BO565" i="1"/>
  <c r="AA563" i="1"/>
  <c r="CQ560" i="1"/>
  <c r="BC558" i="1"/>
  <c r="AR575" i="1"/>
  <c r="DF572" i="1"/>
  <c r="CS581" i="1"/>
  <c r="CC578" i="1"/>
  <c r="BM575" i="1"/>
  <c r="DD581" i="1"/>
  <c r="AJ652" i="1"/>
  <c r="BA640" i="1"/>
  <c r="CO640" i="1"/>
  <c r="Y631" i="1"/>
  <c r="DI637" i="1"/>
  <c r="AF632" i="1"/>
  <c r="AN624" i="1"/>
  <c r="T624" i="1"/>
  <c r="CW627" i="1"/>
  <c r="AA622" i="1"/>
  <c r="BP626" i="1"/>
  <c r="CP622" i="1"/>
  <c r="CU617" i="1"/>
  <c r="AD612" i="1"/>
  <c r="DI619" i="1"/>
  <c r="BV614" i="1"/>
  <c r="AH627" i="1"/>
  <c r="CS615" i="1"/>
  <c r="BR613" i="1"/>
  <c r="AW612" i="1"/>
  <c r="AA618" i="1"/>
  <c r="BM614" i="1"/>
  <c r="BN612" i="1"/>
  <c r="BM610" i="1"/>
  <c r="U612" i="1"/>
  <c r="AZ609" i="1"/>
  <c r="R604" i="1"/>
  <c r="CS600" i="1"/>
  <c r="G596" i="1"/>
  <c r="BM616" i="1"/>
  <c r="BB606" i="1"/>
  <c r="Y603" i="1"/>
  <c r="AQ598" i="1"/>
  <c r="CN609" i="1"/>
  <c r="DG607" i="1"/>
  <c r="BE604" i="1"/>
  <c r="BZ599" i="1"/>
  <c r="BG609" i="1"/>
  <c r="CG607" i="1"/>
  <c r="AK604" i="1"/>
  <c r="BC599" i="1"/>
  <c r="DG589" i="1"/>
  <c r="BK586" i="1"/>
  <c r="N595" i="1"/>
  <c r="BR585" i="1"/>
  <c r="I595" i="1"/>
  <c r="BW604" i="1"/>
  <c r="CV592" i="1"/>
  <c r="AF593" i="1"/>
  <c r="BB618" i="1"/>
  <c r="BR594" i="1"/>
  <c r="DD610" i="1"/>
  <c r="BM594" i="1"/>
  <c r="CA603" i="1"/>
  <c r="DD590" i="1"/>
  <c r="AN591" i="1"/>
  <c r="AE587" i="1"/>
  <c r="BR595" i="1"/>
  <c r="R586" i="1"/>
  <c r="BM595" i="1"/>
  <c r="CZ605" i="1"/>
  <c r="DD594" i="1"/>
  <c r="AN595" i="1"/>
  <c r="CM587" i="1"/>
  <c r="R599" i="1"/>
  <c r="AT594" i="1"/>
  <c r="BV589" i="1"/>
  <c r="BN607" i="1"/>
  <c r="M599" i="1"/>
  <c r="AO594" i="1"/>
  <c r="BQ589" i="1"/>
  <c r="AE603" i="1"/>
  <c r="CN589" i="1"/>
  <c r="L590" i="1"/>
  <c r="AN590" i="1"/>
  <c r="AZ590" i="1"/>
  <c r="AO582" i="1"/>
  <c r="BQ577" i="1"/>
  <c r="DI581" i="1"/>
  <c r="CC575" i="1"/>
  <c r="CB579" i="1"/>
  <c r="W584" i="1"/>
  <c r="AY579" i="1"/>
  <c r="CT583" i="1"/>
  <c r="R579" i="1"/>
  <c r="BP574" i="1"/>
  <c r="CR569" i="1"/>
  <c r="P565" i="1"/>
  <c r="AR560" i="1"/>
  <c r="BK574" i="1"/>
  <c r="CM569" i="1"/>
  <c r="K565" i="1"/>
  <c r="AM560" i="1"/>
  <c r="CP574" i="1"/>
  <c r="CK581" i="1"/>
  <c r="BX584" i="1"/>
  <c r="BH579" i="1"/>
  <c r="DG583" i="1"/>
  <c r="AE579" i="1"/>
  <c r="BZ583" i="1"/>
  <c r="DB578" i="1"/>
  <c r="AV574" i="1"/>
  <c r="BX569" i="1"/>
  <c r="CZ564" i="1"/>
  <c r="X560" i="1"/>
  <c r="AQ574" i="1"/>
  <c r="BS569" i="1"/>
  <c r="CU564" i="1"/>
  <c r="S560" i="1"/>
  <c r="BV574" i="1"/>
  <c r="DA580" i="1"/>
  <c r="CN583" i="1"/>
  <c r="CV578" i="1"/>
  <c r="AQ583" i="1"/>
  <c r="BS578" i="1"/>
  <c r="J583" i="1"/>
  <c r="AL578" i="1"/>
  <c r="CJ573" i="1"/>
  <c r="H569" i="1"/>
  <c r="AJ564" i="1"/>
  <c r="BL559" i="1"/>
  <c r="CE573" i="1"/>
  <c r="DG568" i="1"/>
  <c r="AE564" i="1"/>
  <c r="BG559" i="1"/>
  <c r="F574" i="1"/>
  <c r="M580" i="1"/>
  <c r="DH582" i="1"/>
  <c r="DH578" i="1"/>
  <c r="X576" i="1"/>
  <c r="G583" i="1"/>
  <c r="BW580" i="1"/>
  <c r="AI578" i="1"/>
  <c r="CY575" i="1"/>
  <c r="CD582" i="1"/>
  <c r="AP580" i="1"/>
  <c r="DF577" i="1"/>
  <c r="BR575" i="1"/>
  <c r="AZ573" i="1"/>
  <c r="L571" i="1"/>
  <c r="CB568" i="1"/>
  <c r="AN566" i="1"/>
  <c r="DD563" i="1"/>
  <c r="BP561" i="1"/>
  <c r="AB559" i="1"/>
  <c r="CR556" i="1"/>
  <c r="AU573" i="1"/>
  <c r="G571" i="1"/>
  <c r="BW568" i="1"/>
  <c r="AI566" i="1"/>
  <c r="CY563" i="1"/>
  <c r="BK561" i="1"/>
  <c r="W559" i="1"/>
  <c r="CM556" i="1"/>
  <c r="BZ573" i="1"/>
  <c r="AL571" i="1"/>
  <c r="DB568" i="1"/>
  <c r="BN566" i="1"/>
  <c r="Z564" i="1"/>
  <c r="CP561" i="1"/>
  <c r="AD570" i="1"/>
  <c r="N567" i="1"/>
  <c r="DB563" i="1"/>
  <c r="CH560" i="1"/>
  <c r="AL558" i="1"/>
  <c r="CS574" i="1"/>
  <c r="BE572" i="1"/>
  <c r="Q570" i="1"/>
  <c r="CG567" i="1"/>
  <c r="AS565" i="1"/>
  <c r="DI562" i="1"/>
  <c r="BU560" i="1"/>
  <c r="AG558" i="1"/>
  <c r="BS555" i="1"/>
  <c r="AE553" i="1"/>
  <c r="AY625" i="1"/>
  <c r="AU616" i="1"/>
  <c r="CX634" i="1"/>
  <c r="H618" i="1"/>
  <c r="M619" i="1"/>
  <c r="CU636" i="1"/>
  <c r="AC625" i="1"/>
  <c r="BD618" i="1"/>
  <c r="AL611" i="1"/>
  <c r="AR618" i="1"/>
  <c r="AN608" i="1"/>
  <c r="AR610" i="1"/>
  <c r="CC601" i="1"/>
  <c r="DI602" i="1"/>
  <c r="CO602" i="1"/>
  <c r="BR593" i="1"/>
  <c r="DD586" i="1"/>
  <c r="CZ603" i="1"/>
  <c r="Q586" i="1"/>
  <c r="M594" i="1"/>
  <c r="CI604" i="1"/>
  <c r="AH631" i="1"/>
  <c r="CR621" i="1"/>
  <c r="T617" i="1"/>
  <c r="DF609" i="1"/>
  <c r="AR617" i="1"/>
  <c r="BL607" i="1"/>
  <c r="AR605" i="1"/>
  <c r="DE600" i="1"/>
  <c r="AG602" i="1"/>
  <c r="M602" i="1"/>
  <c r="BR597" i="1"/>
  <c r="BT601" i="1"/>
  <c r="BU591" i="1"/>
  <c r="DD597" i="1"/>
  <c r="BD598" i="1"/>
  <c r="AS584" i="1"/>
  <c r="J601" i="1"/>
  <c r="Z591" i="1"/>
  <c r="DG600" i="1"/>
  <c r="U591" i="1"/>
  <c r="H596" i="1"/>
  <c r="BL596" i="1"/>
  <c r="CW583" i="1"/>
  <c r="AT602" i="1"/>
  <c r="Z592" i="1"/>
  <c r="AM602" i="1"/>
  <c r="U592" i="1"/>
  <c r="X600" i="1"/>
  <c r="CR584" i="1"/>
  <c r="DB584" i="1"/>
  <c r="AV640" i="1"/>
  <c r="DI642" i="1"/>
  <c r="BT634" i="1"/>
  <c r="BH626" i="1"/>
  <c r="AX623" i="1"/>
  <c r="BW619" i="1"/>
  <c r="BG613" i="1"/>
  <c r="BF616" i="1"/>
  <c r="AO617" i="1"/>
  <c r="CG613" i="1"/>
  <c r="AP615" i="1"/>
  <c r="CG611" i="1"/>
  <c r="CO610" i="1"/>
  <c r="BA601" i="1"/>
  <c r="BM608" i="1"/>
  <c r="CK603" i="1"/>
  <c r="AZ611" i="1"/>
  <c r="M605" i="1"/>
  <c r="CZ610" i="1"/>
  <c r="CW604" i="1"/>
  <c r="BO590" i="1"/>
  <c r="BZ595" i="1"/>
  <c r="BU595" i="1"/>
  <c r="AF595" i="1"/>
  <c r="CA586" i="1"/>
  <c r="CD585" i="1"/>
  <c r="CU604" i="1"/>
  <c r="CB593" i="1"/>
  <c r="Z596" i="1"/>
  <c r="U596" i="1"/>
  <c r="AN597" i="1"/>
  <c r="W588" i="1"/>
  <c r="BZ594" i="1"/>
  <c r="AT613" i="1"/>
  <c r="BU594" i="1"/>
  <c r="CQ603" i="1"/>
  <c r="AF591" i="1"/>
  <c r="BT591" i="1"/>
  <c r="CW577" i="1"/>
  <c r="M576" i="1"/>
  <c r="BC584" i="1"/>
  <c r="V584" i="1"/>
  <c r="CV574" i="1"/>
  <c r="AV565" i="1"/>
  <c r="CQ574" i="1"/>
  <c r="AQ565" i="1"/>
  <c r="R575" i="1"/>
  <c r="CS575" i="1"/>
  <c r="AI584" i="1"/>
  <c r="DF583" i="1"/>
  <c r="CB574" i="1"/>
  <c r="AB565" i="1"/>
  <c r="BW574" i="1"/>
  <c r="W565" i="1"/>
  <c r="DB574" i="1"/>
  <c r="AB584" i="1"/>
  <c r="BW583" i="1"/>
  <c r="AP583" i="1"/>
  <c r="L574" i="1"/>
  <c r="BP564" i="1"/>
  <c r="G574" i="1"/>
  <c r="BK564" i="1"/>
  <c r="AL574" i="1"/>
  <c r="AR583" i="1"/>
  <c r="BS645" i="1"/>
  <c r="R634" i="1"/>
  <c r="BT633" i="1"/>
  <c r="W623" i="1"/>
  <c r="AF624" i="1"/>
  <c r="AA625" i="1"/>
  <c r="AW622" i="1"/>
  <c r="BB621" i="1"/>
  <c r="O618" i="1"/>
  <c r="AT610" i="1"/>
  <c r="DI621" i="1"/>
  <c r="AS620" i="1"/>
  <c r="AP616" i="1"/>
  <c r="BE619" i="1"/>
  <c r="K609" i="1"/>
  <c r="AN607" i="1"/>
  <c r="CA613" i="1"/>
  <c r="CY606" i="1"/>
  <c r="CH605" i="1"/>
  <c r="AI607" i="1"/>
  <c r="BE602" i="1"/>
  <c r="BP603" i="1"/>
  <c r="BW597" i="1"/>
  <c r="CY592" i="1"/>
  <c r="CB610" i="1"/>
  <c r="AK608" i="1"/>
  <c r="AI609" i="1"/>
  <c r="AP603" i="1"/>
  <c r="CO604" i="1"/>
  <c r="M600" i="1"/>
  <c r="R600" i="1"/>
  <c r="AE595" i="1"/>
  <c r="BI614" i="1"/>
  <c r="BQ610" i="1"/>
  <c r="CM605" i="1"/>
  <c r="BV604" i="1"/>
  <c r="Q606" i="1"/>
  <c r="AS601" i="1"/>
  <c r="CR601" i="1"/>
  <c r="BK596" i="1"/>
  <c r="CP613" i="1"/>
  <c r="U610" i="1"/>
  <c r="BS605" i="1"/>
  <c r="BB604" i="1"/>
  <c r="DA605" i="1"/>
  <c r="Y601" i="1"/>
  <c r="BR601" i="1"/>
  <c r="AQ596" i="1"/>
  <c r="BS591" i="1"/>
  <c r="CU586" i="1"/>
  <c r="CE588" i="1"/>
  <c r="N602" i="1"/>
  <c r="CD596" i="1"/>
  <c r="DF591" i="1"/>
  <c r="AD587" i="1"/>
  <c r="G602" i="1"/>
  <c r="BY596" i="1"/>
  <c r="DA591" i="1"/>
  <c r="Y587" i="1"/>
  <c r="T599" i="1"/>
  <c r="AV599" i="1"/>
  <c r="CA599" i="1"/>
  <c r="CQ599" i="1"/>
  <c r="BY584" i="1"/>
  <c r="O588" i="1"/>
  <c r="AZ601" i="1"/>
  <c r="AD596" i="1"/>
  <c r="BF591" i="1"/>
  <c r="CH586" i="1"/>
  <c r="AT601" i="1"/>
  <c r="Y596" i="1"/>
  <c r="BA591" i="1"/>
  <c r="CR611" i="1"/>
  <c r="AB597" i="1"/>
  <c r="BD597" i="1"/>
  <c r="CF597" i="1"/>
  <c r="CR597" i="1"/>
  <c r="Y584" i="1"/>
  <c r="AY589" i="1"/>
  <c r="CJ602" i="1"/>
  <c r="AD597" i="1"/>
  <c r="BF592" i="1"/>
  <c r="CH587" i="1"/>
  <c r="CD602" i="1"/>
  <c r="Y597" i="1"/>
  <c r="BA592" i="1"/>
  <c r="CC587" i="1"/>
  <c r="BO600" i="1"/>
  <c r="M585" i="1"/>
  <c r="T585" i="1"/>
  <c r="AA585" i="1"/>
  <c r="AD585" i="1"/>
  <c r="DG588" i="1"/>
  <c r="AQ605" i="1"/>
  <c r="AQ600" i="1"/>
  <c r="BF597" i="1"/>
  <c r="R595" i="1"/>
  <c r="CH592" i="1"/>
  <c r="AT590" i="1"/>
  <c r="F588" i="1"/>
  <c r="BV585" i="1"/>
  <c r="X603" i="1"/>
  <c r="CX599" i="1"/>
  <c r="BA597" i="1"/>
  <c r="M595" i="1"/>
  <c r="CC592" i="1"/>
  <c r="AO590" i="1"/>
  <c r="DE587" i="1"/>
  <c r="CE604" i="1"/>
  <c r="CZ600" i="1"/>
  <c r="CJ592" i="1"/>
  <c r="AQ585" i="1"/>
  <c r="H593" i="1"/>
  <c r="AZ585" i="1"/>
  <c r="AJ593" i="1"/>
  <c r="BI585" i="1"/>
  <c r="AV593" i="1"/>
  <c r="BM585" i="1"/>
  <c r="M583" i="1"/>
  <c r="CC580" i="1"/>
  <c r="AO578" i="1"/>
  <c r="DE575" i="1"/>
  <c r="AW583" i="1"/>
  <c r="CS579" i="1"/>
  <c r="BY576" i="1"/>
  <c r="CN582" i="1"/>
  <c r="AZ580" i="1"/>
  <c r="L578" i="1"/>
  <c r="CB575" i="1"/>
  <c r="BK582" i="1"/>
  <c r="W580" i="1"/>
  <c r="CM577" i="1"/>
  <c r="BR584" i="1"/>
  <c r="AD582" i="1"/>
  <c r="CT579" i="1"/>
  <c r="BF577" i="1"/>
  <c r="AO575" i="1"/>
  <c r="DD572" i="1"/>
  <c r="BP570" i="1"/>
  <c r="AB568" i="1"/>
  <c r="CR565" i="1"/>
  <c r="BD563" i="1"/>
  <c r="P561" i="1"/>
  <c r="CF558" i="1"/>
  <c r="AI575" i="1"/>
  <c r="CY572" i="1"/>
  <c r="BK570" i="1"/>
  <c r="W568" i="1"/>
  <c r="CM565" i="1"/>
  <c r="AY563" i="1"/>
  <c r="K561" i="1"/>
  <c r="CA558" i="1"/>
  <c r="AM556" i="1"/>
  <c r="Z573" i="1"/>
  <c r="I583" i="1"/>
  <c r="BQ579" i="1"/>
  <c r="BA576" i="1"/>
  <c r="BT582" i="1"/>
  <c r="AF580" i="1"/>
  <c r="CV577" i="1"/>
  <c r="CE584" i="1"/>
  <c r="AQ582" i="1"/>
  <c r="DG579" i="1"/>
  <c r="BS577" i="1"/>
  <c r="AX584" i="1"/>
  <c r="J582" i="1"/>
  <c r="BZ579" i="1"/>
  <c r="AL577" i="1"/>
  <c r="T575" i="1"/>
  <c r="CJ572" i="1"/>
  <c r="AV570" i="1"/>
  <c r="H568" i="1"/>
  <c r="BX565" i="1"/>
  <c r="AJ563" i="1"/>
  <c r="CZ560" i="1"/>
  <c r="BL558" i="1"/>
  <c r="O575" i="1"/>
  <c r="CE572" i="1"/>
  <c r="AQ570" i="1"/>
  <c r="DG567" i="1"/>
  <c r="BS565" i="1"/>
  <c r="AE563" i="1"/>
  <c r="CU560" i="1"/>
  <c r="BG558" i="1"/>
  <c r="AW575" i="1"/>
  <c r="F573" i="1"/>
  <c r="DA581" i="1"/>
  <c r="CG578" i="1"/>
  <c r="BQ575" i="1"/>
  <c r="DH581" i="1"/>
  <c r="BT579" i="1"/>
  <c r="AF577" i="1"/>
  <c r="O584" i="1"/>
  <c r="CE581" i="1"/>
  <c r="AQ579" i="1"/>
  <c r="DG576" i="1"/>
  <c r="CL583" i="1"/>
  <c r="AX581" i="1"/>
  <c r="J579" i="1"/>
  <c r="BZ576" i="1"/>
  <c r="BH574" i="1"/>
  <c r="T572" i="1"/>
  <c r="CJ569" i="1"/>
  <c r="AV567" i="1"/>
  <c r="H565" i="1"/>
  <c r="BX562" i="1"/>
  <c r="AJ560" i="1"/>
  <c r="CZ557" i="1"/>
  <c r="BC574" i="1"/>
  <c r="O572" i="1"/>
  <c r="CE569" i="1"/>
  <c r="AQ567" i="1"/>
  <c r="DG564" i="1"/>
  <c r="BS562" i="1"/>
  <c r="AE560" i="1"/>
  <c r="CU557" i="1"/>
  <c r="CH574" i="1"/>
  <c r="AT572" i="1"/>
  <c r="M581" i="1"/>
  <c r="DA577" i="1"/>
  <c r="DD583" i="1"/>
  <c r="AR581" i="1"/>
  <c r="CU645" i="1"/>
  <c r="H640" i="1"/>
  <c r="BV636" i="1"/>
  <c r="BM642" i="1"/>
  <c r="T636" i="1"/>
  <c r="CC642" i="1"/>
  <c r="DH620" i="1"/>
  <c r="CN620" i="1"/>
  <c r="BP625" i="1"/>
  <c r="AQ634" i="1"/>
  <c r="BK626" i="1"/>
  <c r="CB616" i="1"/>
  <c r="Y620" i="1"/>
  <c r="CV619" i="1"/>
  <c r="CG624" i="1"/>
  <c r="BJ609" i="1"/>
  <c r="S619" i="1"/>
  <c r="CI612" i="1"/>
  <c r="R611" i="1"/>
  <c r="X617" i="1"/>
  <c r="CQ615" i="1"/>
  <c r="CQ611" i="1"/>
  <c r="Z610" i="1"/>
  <c r="AV607" i="1"/>
  <c r="DE608" i="1"/>
  <c r="CS607" i="1"/>
  <c r="BU608" i="1"/>
  <c r="L605" i="1"/>
  <c r="BW593" i="1"/>
  <c r="AO609" i="1"/>
  <c r="N604" i="1"/>
  <c r="CO600" i="1"/>
  <c r="DG595" i="1"/>
  <c r="BQ612" i="1"/>
  <c r="AT605" i="1"/>
  <c r="Q602" i="1"/>
  <c r="AI597" i="1"/>
  <c r="M612" i="1"/>
  <c r="Z605" i="1"/>
  <c r="DA601" i="1"/>
  <c r="O597" i="1"/>
  <c r="BS587" i="1"/>
  <c r="AA603" i="1"/>
  <c r="CD592" i="1"/>
  <c r="P603" i="1"/>
  <c r="BY592" i="1"/>
  <c r="CU600" i="1"/>
  <c r="AU585" i="1"/>
  <c r="BH585" i="1"/>
  <c r="AY602" i="1"/>
  <c r="AD592" i="1"/>
  <c r="AR602" i="1"/>
  <c r="Y592" i="1"/>
  <c r="AD600" i="1"/>
  <c r="CV584" i="1"/>
  <c r="DF584" i="1"/>
  <c r="AE604" i="1"/>
  <c r="AD593" i="1"/>
  <c r="T604" i="1"/>
  <c r="Y593" i="1"/>
  <c r="BN601" i="1"/>
  <c r="U586" i="1"/>
  <c r="AO586" i="1"/>
  <c r="F608" i="1"/>
  <c r="DB597" i="1"/>
  <c r="Z593" i="1"/>
  <c r="BB588" i="1"/>
  <c r="L604" i="1"/>
  <c r="CW597" i="1"/>
  <c r="U593" i="1"/>
  <c r="AW588" i="1"/>
  <c r="BH601" i="1"/>
  <c r="DD585" i="1"/>
  <c r="M586" i="1"/>
  <c r="AB586" i="1"/>
  <c r="AG586" i="1"/>
  <c r="U581" i="1"/>
  <c r="AW576" i="1"/>
  <c r="BA580" i="1"/>
  <c r="AN583" i="1"/>
  <c r="BH578" i="1"/>
  <c r="DG582" i="1"/>
  <c r="AE578" i="1"/>
  <c r="BZ582" i="1"/>
  <c r="DB577" i="1"/>
  <c r="AV573" i="1"/>
  <c r="BX568" i="1"/>
  <c r="CZ563" i="1"/>
  <c r="X559" i="1"/>
  <c r="AQ573" i="1"/>
  <c r="BS568" i="1"/>
  <c r="CU563" i="1"/>
  <c r="S559" i="1"/>
  <c r="BV573" i="1"/>
  <c r="Y580" i="1"/>
  <c r="L583" i="1"/>
  <c r="AN578" i="1"/>
  <c r="CM582" i="1"/>
  <c r="K578" i="1"/>
  <c r="BF582" i="1"/>
  <c r="CH577" i="1"/>
  <c r="AB573" i="1"/>
  <c r="BD568" i="1"/>
  <c r="CF563" i="1"/>
  <c r="DH558" i="1"/>
  <c r="W573" i="1"/>
  <c r="AY568" i="1"/>
  <c r="CA563" i="1"/>
  <c r="DC558" i="1"/>
  <c r="BB573" i="1"/>
  <c r="AO579" i="1"/>
  <c r="AZ582" i="1"/>
  <c r="CB577" i="1"/>
  <c r="W582" i="1"/>
  <c r="AY577" i="1"/>
  <c r="CT581" i="1"/>
  <c r="R577" i="1"/>
  <c r="BP572" i="1"/>
  <c r="CR567" i="1"/>
  <c r="P563" i="1"/>
  <c r="AR558" i="1"/>
  <c r="BK572" i="1"/>
  <c r="CM567" i="1"/>
  <c r="K563" i="1"/>
  <c r="AM558" i="1"/>
  <c r="CP572" i="1"/>
  <c r="BI578" i="1"/>
  <c r="CN581" i="1"/>
  <c r="AF578" i="1"/>
  <c r="BP575" i="1"/>
  <c r="AY582" i="1"/>
  <c r="K580" i="1"/>
  <c r="CA577" i="1"/>
  <c r="BF584" i="1"/>
  <c r="R582" i="1"/>
  <c r="CH579" i="1"/>
  <c r="AT577" i="1"/>
  <c r="AB575" i="1"/>
  <c r="CR572" i="1"/>
  <c r="BD570" i="1"/>
  <c r="P568" i="1"/>
  <c r="CF565" i="1"/>
  <c r="AR563" i="1"/>
  <c r="DH560" i="1"/>
  <c r="BT558" i="1"/>
  <c r="W575" i="1"/>
  <c r="CM572" i="1"/>
  <c r="AY570" i="1"/>
  <c r="K568" i="1"/>
  <c r="CA565" i="1"/>
  <c r="AM563" i="1"/>
  <c r="DC560" i="1"/>
  <c r="BO558" i="1"/>
  <c r="BH575" i="1"/>
  <c r="N573" i="1"/>
  <c r="CD570" i="1"/>
  <c r="AP568" i="1"/>
  <c r="DF565" i="1"/>
  <c r="BR563" i="1"/>
  <c r="AD561" i="1"/>
  <c r="BB569" i="1"/>
  <c r="AL566" i="1"/>
  <c r="R563" i="1"/>
  <c r="N560" i="1"/>
  <c r="CD557" i="1"/>
  <c r="AG574" i="1"/>
  <c r="CW571" i="1"/>
  <c r="BI569" i="1"/>
  <c r="U567" i="1"/>
  <c r="CK564" i="1"/>
  <c r="AW562" i="1"/>
  <c r="I560" i="1"/>
  <c r="BY557" i="1"/>
  <c r="G555" i="1"/>
  <c r="BW632" i="1"/>
  <c r="CI651" i="1"/>
  <c r="BQ620" i="1"/>
  <c r="CU596" i="1"/>
  <c r="AN587" i="1"/>
  <c r="CP646" i="1"/>
  <c r="AI619" i="1"/>
  <c r="S596" i="1"/>
  <c r="CG598" i="1"/>
  <c r="CQ590" i="1"/>
  <c r="CK588" i="1"/>
  <c r="AL599" i="1"/>
  <c r="BL590" i="1"/>
  <c r="AC647" i="1"/>
  <c r="CT627" i="1"/>
  <c r="CN614" i="1"/>
  <c r="DC601" i="1"/>
  <c r="AO600" i="1"/>
  <c r="DB590" i="1"/>
  <c r="DH599" i="1"/>
  <c r="AW591" i="1"/>
  <c r="BC602" i="1"/>
  <c r="J585" i="1"/>
  <c r="CL581" i="1"/>
  <c r="DG562" i="1"/>
  <c r="BR581" i="1"/>
  <c r="CM562" i="1"/>
  <c r="DF580" i="1"/>
  <c r="W562" i="1"/>
  <c r="H635" i="1"/>
  <c r="CU621" i="1"/>
  <c r="Z617" i="1"/>
  <c r="I614" i="1"/>
  <c r="CE605" i="1"/>
  <c r="CH601" i="1"/>
  <c r="S609" i="1"/>
  <c r="AN606" i="1"/>
  <c r="BA608" i="1"/>
  <c r="Y600" i="1"/>
  <c r="AA608" i="1"/>
  <c r="DI599" i="1"/>
  <c r="X609" i="1"/>
  <c r="CL590" i="1"/>
  <c r="CG590" i="1"/>
  <c r="CZ594" i="1"/>
  <c r="CT599" i="1"/>
  <c r="CM599" i="1"/>
  <c r="BD592" i="1"/>
  <c r="DI582" i="1"/>
  <c r="AL591" i="1"/>
  <c r="AG591" i="1"/>
  <c r="DH596" i="1"/>
  <c r="CU603" i="1"/>
  <c r="V592" i="1"/>
  <c r="AH602" i="1"/>
  <c r="Q592" i="1"/>
  <c r="DG599" i="1"/>
  <c r="CN584" i="1"/>
  <c r="CX584" i="1"/>
  <c r="BP584" i="1"/>
  <c r="AB582" i="1"/>
  <c r="DC581" i="1"/>
  <c r="BV581" i="1"/>
  <c r="AR572" i="1"/>
  <c r="CV562" i="1"/>
  <c r="AM572" i="1"/>
  <c r="CQ562" i="1"/>
  <c r="BR572" i="1"/>
  <c r="H582" i="1"/>
  <c r="CI581" i="1"/>
  <c r="BB581" i="1"/>
  <c r="X572" i="1"/>
  <c r="CB562" i="1"/>
  <c r="S572" i="1"/>
  <c r="BW562" i="1"/>
  <c r="AX572" i="1"/>
  <c r="AV581" i="1"/>
  <c r="S581" i="1"/>
  <c r="CP580" i="1"/>
  <c r="BL571" i="1"/>
  <c r="L562" i="1"/>
  <c r="BG571" i="1"/>
  <c r="G562" i="1"/>
  <c r="CL571" i="1"/>
  <c r="CJ580" i="1"/>
  <c r="BH637" i="1"/>
  <c r="BA629" i="1"/>
  <c r="BM623" i="1"/>
  <c r="AD614" i="1"/>
  <c r="DH613" i="1"/>
  <c r="BL612" i="1"/>
  <c r="V601" i="1"/>
  <c r="DH604" i="1"/>
  <c r="CG599" i="1"/>
  <c r="AX620" i="1"/>
  <c r="AP590" i="1"/>
  <c r="T593" i="1"/>
  <c r="AK599" i="1"/>
  <c r="BM582" i="1"/>
  <c r="CO590" i="1"/>
  <c r="AI603" i="1"/>
  <c r="L602" i="1"/>
  <c r="AJ599" i="1"/>
  <c r="CC584" i="1"/>
  <c r="L582" i="1"/>
  <c r="BF581" i="1"/>
  <c r="CF562" i="1"/>
  <c r="CA562" i="1"/>
  <c r="CV581" i="1"/>
  <c r="AL581" i="1"/>
  <c r="BL562" i="1"/>
  <c r="BG562" i="1"/>
  <c r="AF581" i="1"/>
  <c r="BZ580" i="1"/>
  <c r="CZ561" i="1"/>
  <c r="CU561" i="1"/>
  <c r="BT580" i="1"/>
  <c r="BC579" i="1"/>
  <c r="V579" i="1"/>
  <c r="CV569" i="1"/>
  <c r="AV560" i="1"/>
  <c r="CQ569" i="1"/>
  <c r="AQ560" i="1"/>
  <c r="R570" i="1"/>
  <c r="BV560" i="1"/>
  <c r="CD564" i="1"/>
  <c r="CX558" i="1"/>
  <c r="M573" i="1"/>
  <c r="AY618" i="1"/>
  <c r="AF645" i="1"/>
  <c r="CE616" i="1"/>
  <c r="W598" i="1"/>
  <c r="M593" i="1"/>
  <c r="X637" i="1"/>
  <c r="DG615" i="1"/>
  <c r="AY597" i="1"/>
  <c r="AG589" i="1"/>
  <c r="AL598" i="1"/>
  <c r="CB586" i="1"/>
  <c r="CP589" i="1"/>
  <c r="L591" i="1"/>
  <c r="CA636" i="1"/>
  <c r="AG612" i="1"/>
  <c r="K610" i="1"/>
  <c r="DH609" i="1"/>
  <c r="AV608" i="1"/>
  <c r="CW590" i="1"/>
  <c r="L593" i="1"/>
  <c r="BP597" i="1"/>
  <c r="AG592" i="1"/>
  <c r="CH584" i="1"/>
  <c r="BH572" i="1"/>
  <c r="CH572" i="1"/>
  <c r="AN572" i="1"/>
  <c r="BN572" i="1"/>
  <c r="CB571" i="1"/>
  <c r="DB571" i="1"/>
  <c r="AK641" i="1"/>
  <c r="CT616" i="1"/>
  <c r="CX619" i="1"/>
  <c r="AW616" i="1"/>
  <c r="BN604" i="1"/>
  <c r="BC596" i="1"/>
  <c r="CX606" i="1"/>
  <c r="CM598" i="1"/>
  <c r="CZ609" i="1"/>
  <c r="AH600" i="1"/>
  <c r="CV608" i="1"/>
  <c r="G600" i="1"/>
  <c r="S587" i="1"/>
  <c r="J586" i="1"/>
  <c r="BT605" i="1"/>
  <c r="H595" i="1"/>
  <c r="J595" i="1"/>
  <c r="DI594" i="1"/>
  <c r="CF592" i="1"/>
  <c r="CQ587" i="1"/>
  <c r="BN586" i="1"/>
  <c r="CY607" i="1"/>
  <c r="P597" i="1"/>
  <c r="AH599" i="1"/>
  <c r="CL589" i="1"/>
  <c r="AC599" i="1"/>
  <c r="CG589" i="1"/>
  <c r="AV590" i="1"/>
  <c r="CZ590" i="1"/>
  <c r="BE582" i="1"/>
  <c r="AC582" i="1"/>
  <c r="CR579" i="1"/>
  <c r="BO579" i="1"/>
  <c r="AH579" i="1"/>
  <c r="DH569" i="1"/>
  <c r="BH560" i="1"/>
  <c r="DC569" i="1"/>
  <c r="BC560" i="1"/>
  <c r="DE581" i="1"/>
  <c r="BX579" i="1"/>
  <c r="AU579" i="1"/>
  <c r="N579" i="1"/>
  <c r="CN569" i="1"/>
  <c r="AN560" i="1"/>
  <c r="CI569" i="1"/>
  <c r="AI560" i="1"/>
  <c r="Q581" i="1"/>
  <c r="H579" i="1"/>
  <c r="CI578" i="1"/>
  <c r="BB578" i="1"/>
  <c r="X569" i="1"/>
  <c r="CB559" i="1"/>
  <c r="S569" i="1"/>
  <c r="BW559" i="1"/>
  <c r="AK580" i="1"/>
  <c r="DF646" i="1"/>
  <c r="BH629" i="1"/>
  <c r="BK625" i="1"/>
  <c r="Q614" i="1"/>
  <c r="G616" i="1"/>
  <c r="CD620" i="1"/>
  <c r="CJ612" i="1"/>
  <c r="CO608" i="1"/>
  <c r="BS593" i="1"/>
  <c r="CY594" i="1"/>
  <c r="CE594" i="1"/>
  <c r="CR599" i="1"/>
  <c r="AU592" i="1"/>
  <c r="CO589" i="1"/>
  <c r="BR600" i="1"/>
  <c r="CB594" i="1"/>
  <c r="CH596" i="1"/>
  <c r="CC596" i="1"/>
  <c r="BL599" i="1"/>
  <c r="DE579" i="1"/>
  <c r="AN577" i="1"/>
  <c r="CH576" i="1"/>
  <c r="DH557" i="1"/>
  <c r="DC557" i="1"/>
  <c r="T577" i="1"/>
  <c r="BN576" i="1"/>
  <c r="CN557" i="1"/>
  <c r="CI557" i="1"/>
  <c r="BH576" i="1"/>
  <c r="DB575" i="1"/>
  <c r="X557" i="1"/>
  <c r="S557" i="1"/>
  <c r="BH577" i="1"/>
  <c r="O577" i="1"/>
  <c r="CL576" i="1"/>
  <c r="BH567" i="1"/>
  <c r="H558" i="1"/>
  <c r="BC567" i="1"/>
  <c r="DG557" i="1"/>
  <c r="CH567" i="1"/>
  <c r="BZ568" i="1"/>
  <c r="AP562" i="1"/>
  <c r="R557" i="1"/>
  <c r="AK571" i="1"/>
  <c r="BM566" i="1"/>
  <c r="CO561" i="1"/>
  <c r="M557" i="1"/>
  <c r="BW552" i="1"/>
  <c r="AI550" i="1"/>
  <c r="CY547" i="1"/>
  <c r="AZ628" i="1"/>
  <c r="AR627" i="1"/>
  <c r="AU609" i="1"/>
  <c r="DG597" i="1"/>
  <c r="BP606" i="1"/>
  <c r="H626" i="1"/>
  <c r="AR609" i="1"/>
  <c r="AE597" i="1"/>
  <c r="BD588" i="1"/>
  <c r="CP588" i="1"/>
  <c r="L587" i="1"/>
  <c r="AG599" i="1"/>
  <c r="AQ591" i="1"/>
  <c r="BZ622" i="1"/>
  <c r="AK621" i="1"/>
  <c r="DA613" i="1"/>
  <c r="CZ606" i="1"/>
  <c r="U600" i="1"/>
  <c r="BH595" i="1"/>
  <c r="U583" i="1"/>
  <c r="W604" i="1"/>
  <c r="AN600" i="1"/>
  <c r="AR582" i="1"/>
  <c r="H563" i="1"/>
  <c r="X582" i="1"/>
  <c r="CR562" i="1"/>
  <c r="BL581" i="1"/>
  <c r="AB562" i="1"/>
  <c r="CZ580" i="1"/>
  <c r="DA629" i="1"/>
  <c r="CQ609" i="1"/>
  <c r="AG617" i="1"/>
  <c r="AC614" i="1"/>
  <c r="I606" i="1"/>
  <c r="Q610" i="1"/>
  <c r="AN611" i="1"/>
  <c r="K594" i="1"/>
  <c r="BB603" i="1"/>
  <c r="AQ595" i="1"/>
  <c r="AH603" i="1"/>
  <c r="W595" i="1"/>
  <c r="BG600" i="1"/>
  <c r="AZ600" i="1"/>
  <c r="AV594" i="1"/>
  <c r="BO593" i="1"/>
  <c r="AL590" i="1"/>
  <c r="AG590" i="1"/>
  <c r="DH592" i="1"/>
  <c r="Z601" i="1"/>
  <c r="S601" i="1"/>
  <c r="BD596" i="1"/>
  <c r="DI583" i="1"/>
  <c r="CX596" i="1"/>
  <c r="AX587" i="1"/>
  <c r="CS596" i="1"/>
  <c r="AS587" i="1"/>
  <c r="CG584" i="1"/>
  <c r="CU584" i="1"/>
  <c r="Q580" i="1"/>
  <c r="I579" i="1"/>
  <c r="BD577" i="1"/>
  <c r="AA577" i="1"/>
  <c r="CX576" i="1"/>
  <c r="BT567" i="1"/>
  <c r="T558" i="1"/>
  <c r="BO567" i="1"/>
  <c r="O558" i="1"/>
  <c r="CO578" i="1"/>
  <c r="AJ577" i="1"/>
  <c r="G577" i="1"/>
  <c r="CD576" i="1"/>
  <c r="AZ567" i="1"/>
  <c r="DD557" i="1"/>
  <c r="AU567" i="1"/>
  <c r="CY557" i="1"/>
  <c r="DE577" i="1"/>
  <c r="BX576" i="1"/>
  <c r="AU576" i="1"/>
  <c r="N576" i="1"/>
  <c r="CN566" i="1"/>
  <c r="AN557" i="1"/>
  <c r="CI566" i="1"/>
  <c r="AI557" i="1"/>
  <c r="Q577" i="1"/>
  <c r="CB644" i="1"/>
  <c r="AD630" i="1"/>
  <c r="CI634" i="1"/>
  <c r="CW609" i="1"/>
  <c r="AU610" i="1"/>
  <c r="BU622" i="1"/>
  <c r="N616" i="1"/>
  <c r="CM607" i="1"/>
  <c r="DF616" i="1"/>
  <c r="BC614" i="1"/>
  <c r="CE593" i="1"/>
  <c r="AK590" i="1"/>
  <c r="AP599" i="1"/>
  <c r="CB590" i="1"/>
  <c r="CT590" i="1"/>
  <c r="AB595" i="1"/>
  <c r="F592" i="1"/>
  <c r="DE591" i="1"/>
  <c r="CV599" i="1"/>
  <c r="AZ584" i="1"/>
  <c r="CM581" i="1"/>
  <c r="AB572" i="1"/>
  <c r="W572" i="1"/>
  <c r="BB572" i="1"/>
  <c r="BS581" i="1"/>
  <c r="H572" i="1"/>
  <c r="DG571" i="1"/>
  <c r="AH572" i="1"/>
  <c r="DG580" i="1"/>
  <c r="AV571" i="1"/>
  <c r="AQ571" i="1"/>
  <c r="BV571" i="1"/>
  <c r="AA584" i="1"/>
  <c r="CX583" i="1"/>
  <c r="BT574" i="1"/>
  <c r="T565" i="1"/>
  <c r="BO574" i="1"/>
  <c r="O565" i="1"/>
  <c r="CT574" i="1"/>
  <c r="AT565" i="1"/>
  <c r="CT567" i="1"/>
  <c r="BN561" i="1"/>
  <c r="BG575" i="1"/>
  <c r="CC570" i="1"/>
  <c r="DE565" i="1"/>
  <c r="AC561" i="1"/>
  <c r="AA556" i="1"/>
  <c r="K552" i="1"/>
  <c r="CA549" i="1"/>
  <c r="AM547" i="1"/>
  <c r="AX609" i="1"/>
  <c r="CC623" i="1"/>
  <c r="BK594" i="1"/>
  <c r="CV604" i="1"/>
  <c r="CH602" i="1"/>
  <c r="DB620" i="1"/>
  <c r="CM593" i="1"/>
  <c r="CT592" i="1"/>
  <c r="DH588" i="1"/>
  <c r="AG598" i="1"/>
  <c r="AI592" i="1"/>
  <c r="CK589" i="1"/>
  <c r="AH636" i="1"/>
  <c r="CS628" i="1"/>
  <c r="DG610" i="1"/>
  <c r="CU605" i="1"/>
  <c r="BW608" i="1"/>
  <c r="CK613" i="1"/>
  <c r="K600" i="1"/>
  <c r="BB591" i="1"/>
  <c r="AL592" i="1"/>
  <c r="DD584" i="1"/>
  <c r="O582" i="1"/>
  <c r="BC572" i="1"/>
  <c r="CY581" i="1"/>
  <c r="AI572" i="1"/>
  <c r="AI581" i="1"/>
  <c r="BW571" i="1"/>
  <c r="CH641" i="1"/>
  <c r="CZ620" i="1"/>
  <c r="DI622" i="1"/>
  <c r="BK614" i="1"/>
  <c r="BA610" i="1"/>
  <c r="AK601" i="1"/>
  <c r="AM608" i="1"/>
  <c r="BU603" i="1"/>
  <c r="DH610" i="1"/>
  <c r="DA604" i="1"/>
  <c r="BL610" i="1"/>
  <c r="CG604" i="1"/>
  <c r="AY590" i="1"/>
  <c r="BJ595" i="1"/>
  <c r="BE595" i="1"/>
  <c r="BX594" i="1"/>
  <c r="BG586" i="1"/>
  <c r="BN585" i="1"/>
  <c r="BO604" i="1"/>
  <c r="P593" i="1"/>
  <c r="J596" i="1"/>
  <c r="DI595" i="1"/>
  <c r="CF596" i="1"/>
  <c r="DG587" i="1"/>
  <c r="BJ594" i="1"/>
  <c r="DG608" i="1"/>
  <c r="BE594" i="1"/>
  <c r="BK603" i="1"/>
  <c r="BX590" i="1"/>
  <c r="H591" i="1"/>
  <c r="CG577" i="1"/>
  <c r="CW575" i="1"/>
  <c r="AM584" i="1"/>
  <c r="F584" i="1"/>
  <c r="CF574" i="1"/>
  <c r="AF565" i="1"/>
  <c r="CA574" i="1"/>
  <c r="AA565" i="1"/>
  <c r="DF574" i="1"/>
  <c r="BU575" i="1"/>
  <c r="S584" i="1"/>
  <c r="CP583" i="1"/>
  <c r="BL574" i="1"/>
  <c r="L565" i="1"/>
  <c r="BG574" i="1"/>
  <c r="G565" i="1"/>
  <c r="CL574" i="1"/>
  <c r="H584" i="1"/>
  <c r="BG583" i="1"/>
  <c r="Z583" i="1"/>
  <c r="CZ573" i="1"/>
  <c r="AZ564" i="1"/>
  <c r="CU573" i="1"/>
  <c r="AU564" i="1"/>
  <c r="V574" i="1"/>
  <c r="X583" i="1"/>
  <c r="CS642" i="1"/>
  <c r="X619" i="1"/>
  <c r="AF623" i="1"/>
  <c r="AW617" i="1"/>
  <c r="CH608" i="1"/>
  <c r="AG622" i="1"/>
  <c r="BQ605" i="1"/>
  <c r="AZ608" i="1"/>
  <c r="F603" i="1"/>
  <c r="CP602" i="1"/>
  <c r="CY599" i="1"/>
  <c r="BT592" i="1"/>
  <c r="CT589" i="1"/>
  <c r="AB591" i="1"/>
  <c r="BK600" i="1"/>
  <c r="AI593" i="1"/>
  <c r="AH587" i="1"/>
  <c r="AC587" i="1"/>
  <c r="H600" i="1"/>
  <c r="CS578" i="1"/>
  <c r="K577" i="1"/>
  <c r="BD567" i="1"/>
  <c r="AY567" i="1"/>
  <c r="BQ578" i="1"/>
  <c r="CU576" i="1"/>
  <c r="AJ567" i="1"/>
  <c r="AE567" i="1"/>
  <c r="CK577" i="1"/>
  <c r="AE576" i="1"/>
  <c r="BX566" i="1"/>
  <c r="BS566" i="1"/>
  <c r="DA576" i="1"/>
  <c r="CQ581" i="1"/>
  <c r="BJ581" i="1"/>
  <c r="AF572" i="1"/>
  <c r="CJ562" i="1"/>
  <c r="AA572" i="1"/>
  <c r="CE562" i="1"/>
  <c r="BF572" i="1"/>
  <c r="F563" i="1"/>
  <c r="BF565" i="1"/>
  <c r="BF559" i="1"/>
  <c r="BY573" i="1"/>
  <c r="DA568" i="1"/>
  <c r="BA559" i="1"/>
  <c r="BC551" i="1"/>
  <c r="CE546" i="1"/>
  <c r="AQ544" i="1"/>
  <c r="DG541" i="1"/>
  <c r="BS539" i="1"/>
  <c r="V556" i="1"/>
  <c r="CL553" i="1"/>
  <c r="AX551" i="1"/>
  <c r="J549" i="1"/>
  <c r="BZ546" i="1"/>
  <c r="AL544" i="1"/>
  <c r="DB541" i="1"/>
  <c r="BN539" i="1"/>
  <c r="DI555" i="1"/>
  <c r="BU553" i="1"/>
  <c r="AG551" i="1"/>
  <c r="CW548" i="1"/>
  <c r="BI546" i="1"/>
  <c r="CL569" i="1"/>
  <c r="BV566" i="1"/>
  <c r="BF563" i="1"/>
  <c r="AP560" i="1"/>
  <c r="DF557" i="1"/>
  <c r="BI574" i="1"/>
  <c r="U572" i="1"/>
  <c r="CK569" i="1"/>
  <c r="AW567" i="1"/>
  <c r="I565" i="1"/>
  <c r="BY562" i="1"/>
  <c r="AK560" i="1"/>
  <c r="DA557" i="1"/>
  <c r="AI555" i="1"/>
  <c r="CY552" i="1"/>
  <c r="BK550" i="1"/>
  <c r="W548" i="1"/>
  <c r="CM545" i="1"/>
  <c r="AY543" i="1"/>
  <c r="K541" i="1"/>
  <c r="CA538" i="1"/>
  <c r="AD555" i="1"/>
  <c r="CT552" i="1"/>
  <c r="BF550" i="1"/>
  <c r="R548" i="1"/>
  <c r="CH545" i="1"/>
  <c r="AT543" i="1"/>
  <c r="F541" i="1"/>
  <c r="BV538" i="1"/>
  <c r="M555" i="1"/>
  <c r="CC552" i="1"/>
  <c r="AO550" i="1"/>
  <c r="BN569" i="1"/>
  <c r="AT566" i="1"/>
  <c r="AD563" i="1"/>
  <c r="V560" i="1"/>
  <c r="CL557" i="1"/>
  <c r="AO574" i="1"/>
  <c r="DE571" i="1"/>
  <c r="BQ569" i="1"/>
  <c r="AC567" i="1"/>
  <c r="CS564" i="1"/>
  <c r="BE562" i="1"/>
  <c r="Q560" i="1"/>
  <c r="CG557" i="1"/>
  <c r="O555" i="1"/>
  <c r="CE552" i="1"/>
  <c r="AQ550" i="1"/>
  <c r="DG547" i="1"/>
  <c r="BS545" i="1"/>
  <c r="AE543" i="1"/>
  <c r="CU540" i="1"/>
  <c r="BG538" i="1"/>
  <c r="J555" i="1"/>
  <c r="BZ552" i="1"/>
  <c r="AL550" i="1"/>
  <c r="DB547" i="1"/>
  <c r="BN545" i="1"/>
  <c r="Z543" i="1"/>
  <c r="CP540" i="1"/>
  <c r="BB538" i="1"/>
  <c r="CW554" i="1"/>
  <c r="BI552" i="1"/>
  <c r="CD568" i="1"/>
  <c r="BN565" i="1"/>
  <c r="AT562" i="1"/>
  <c r="BJ559" i="1"/>
  <c r="V557" i="1"/>
  <c r="CC573" i="1"/>
  <c r="AO571" i="1"/>
  <c r="DE568" i="1"/>
  <c r="BQ566" i="1"/>
  <c r="AC564" i="1"/>
  <c r="CS561" i="1"/>
  <c r="BE559" i="1"/>
  <c r="Q557" i="1"/>
  <c r="BC554" i="1"/>
  <c r="O552" i="1"/>
  <c r="CE549" i="1"/>
  <c r="AQ547" i="1"/>
  <c r="DG544" i="1"/>
  <c r="BS542" i="1"/>
  <c r="AE540" i="1"/>
  <c r="CU537" i="1"/>
  <c r="AX554" i="1"/>
  <c r="J552" i="1"/>
  <c r="BZ549" i="1"/>
  <c r="AL547" i="1"/>
  <c r="DB544" i="1"/>
  <c r="BN542" i="1"/>
  <c r="Z540" i="1"/>
  <c r="CP537" i="1"/>
  <c r="AG554" i="1"/>
  <c r="CW551" i="1"/>
  <c r="BI549" i="1"/>
  <c r="U547" i="1"/>
  <c r="CK544" i="1"/>
  <c r="AW542" i="1"/>
  <c r="I540" i="1"/>
  <c r="BY537" i="1"/>
  <c r="BQ546" i="1"/>
  <c r="I543" i="1"/>
  <c r="CS539" i="1"/>
  <c r="CJ555" i="1"/>
  <c r="AV553" i="1"/>
  <c r="H551" i="1"/>
  <c r="BX548" i="1"/>
  <c r="AJ546" i="1"/>
  <c r="CZ543" i="1"/>
  <c r="BL541" i="1"/>
  <c r="X539" i="1"/>
  <c r="CF536" i="1"/>
  <c r="AR534" i="1"/>
  <c r="DH531" i="1"/>
  <c r="BT529" i="1"/>
  <c r="AF527" i="1"/>
  <c r="CV524" i="1"/>
  <c r="BH522" i="1"/>
  <c r="T520" i="1"/>
  <c r="AE537" i="1"/>
  <c r="CU534" i="1"/>
  <c r="BG532" i="1"/>
  <c r="S530" i="1"/>
  <c r="CI527" i="1"/>
  <c r="AU525" i="1"/>
  <c r="G523" i="1"/>
  <c r="BW520" i="1"/>
  <c r="BN537" i="1"/>
  <c r="Z535" i="1"/>
  <c r="CP532" i="1"/>
  <c r="BB530" i="1"/>
  <c r="N528" i="1"/>
  <c r="CD525" i="1"/>
  <c r="Y546" i="1"/>
  <c r="CK542" i="1"/>
  <c r="BU539" i="1"/>
  <c r="BP555" i="1"/>
  <c r="AB553" i="1"/>
  <c r="CR550" i="1"/>
  <c r="BD548" i="1"/>
  <c r="P546" i="1"/>
  <c r="CF543" i="1"/>
  <c r="AR541" i="1"/>
  <c r="DH538" i="1"/>
  <c r="BL536" i="1"/>
  <c r="X534" i="1"/>
  <c r="CN531" i="1"/>
  <c r="AZ529" i="1"/>
  <c r="L527" i="1"/>
  <c r="CB524" i="1"/>
  <c r="AN522" i="1"/>
  <c r="DD519" i="1"/>
  <c r="K537" i="1"/>
  <c r="CA534" i="1"/>
  <c r="AM532" i="1"/>
  <c r="DC529" i="1"/>
  <c r="BO527" i="1"/>
  <c r="AA525" i="1"/>
  <c r="CQ522" i="1"/>
  <c r="BC520" i="1"/>
  <c r="AT537" i="1"/>
  <c r="F535" i="1"/>
  <c r="BV532" i="1"/>
  <c r="AH530" i="1"/>
  <c r="CG546" i="1"/>
  <c r="Q543" i="1"/>
  <c r="DE539" i="1"/>
  <c r="CR555" i="1"/>
  <c r="BD553" i="1"/>
  <c r="P551" i="1"/>
  <c r="CF548" i="1"/>
  <c r="AR546" i="1"/>
  <c r="DH543" i="1"/>
  <c r="BT541" i="1"/>
  <c r="AF539" i="1"/>
  <c r="CN536" i="1"/>
  <c r="AZ534" i="1"/>
  <c r="L532" i="1"/>
  <c r="CB529" i="1"/>
  <c r="AN527" i="1"/>
  <c r="DD524" i="1"/>
  <c r="BP522" i="1"/>
  <c r="AB520" i="1"/>
  <c r="AM537" i="1"/>
  <c r="DC534" i="1"/>
  <c r="BO532" i="1"/>
  <c r="AA530" i="1"/>
  <c r="CQ527" i="1"/>
  <c r="BC525" i="1"/>
  <c r="O523" i="1"/>
  <c r="CE520" i="1"/>
  <c r="BV537" i="1"/>
  <c r="AH535" i="1"/>
  <c r="CX532" i="1"/>
  <c r="BJ530" i="1"/>
  <c r="V528" i="1"/>
  <c r="AO546" i="1"/>
  <c r="CW542" i="1"/>
  <c r="CC539" i="1"/>
  <c r="BX555" i="1"/>
  <c r="AJ553" i="1"/>
  <c r="CZ550" i="1"/>
  <c r="BL548" i="1"/>
  <c r="X546" i="1"/>
  <c r="CN543" i="1"/>
  <c r="AZ541" i="1"/>
  <c r="L539" i="1"/>
  <c r="BT536" i="1"/>
  <c r="AF534" i="1"/>
  <c r="CV531" i="1"/>
  <c r="BH529" i="1"/>
  <c r="T527" i="1"/>
  <c r="CJ524" i="1"/>
  <c r="AV522" i="1"/>
  <c r="H520" i="1"/>
  <c r="S537" i="1"/>
  <c r="CI534" i="1"/>
  <c r="AU532" i="1"/>
  <c r="G530" i="1"/>
  <c r="BW527" i="1"/>
  <c r="AI525" i="1"/>
  <c r="CY522" i="1"/>
  <c r="BK520" i="1"/>
  <c r="BB537" i="1"/>
  <c r="N535" i="1"/>
  <c r="CD532" i="1"/>
  <c r="AP530" i="1"/>
  <c r="DF527" i="1"/>
  <c r="BR525" i="1"/>
  <c r="AD523" i="1"/>
  <c r="CD527" i="1"/>
  <c r="CT523" i="1"/>
  <c r="CX520" i="1"/>
  <c r="BQ537" i="1"/>
  <c r="AC535" i="1"/>
  <c r="CS532" i="1"/>
  <c r="BE530" i="1"/>
  <c r="Q528" i="1"/>
  <c r="AO568" i="1"/>
  <c r="CS558" i="1"/>
  <c r="CU550" i="1"/>
  <c r="S546" i="1"/>
  <c r="CI543" i="1"/>
  <c r="AU541" i="1"/>
  <c r="G539" i="1"/>
  <c r="BN555" i="1"/>
  <c r="Z553" i="1"/>
  <c r="CP550" i="1"/>
  <c r="BB548" i="1"/>
  <c r="N546" i="1"/>
  <c r="CD543" i="1"/>
  <c r="AP541" i="1"/>
  <c r="DF538" i="1"/>
  <c r="AW555" i="1"/>
  <c r="I553" i="1"/>
  <c r="BY550" i="1"/>
  <c r="AK548" i="1"/>
  <c r="DA545" i="1"/>
  <c r="F569" i="1"/>
  <c r="CT565" i="1"/>
  <c r="BZ562" i="1"/>
  <c r="CH559" i="1"/>
  <c r="AT557" i="1"/>
  <c r="DA573" i="1"/>
  <c r="BM571" i="1"/>
  <c r="Y569" i="1"/>
  <c r="CO566" i="1"/>
  <c r="BA564" i="1"/>
  <c r="M562" i="1"/>
  <c r="CC559" i="1"/>
  <c r="AO557" i="1"/>
  <c r="CA554" i="1"/>
  <c r="AM552" i="1"/>
  <c r="DC549" i="1"/>
  <c r="BO547" i="1"/>
  <c r="AA545" i="1"/>
  <c r="CQ542" i="1"/>
  <c r="BC540" i="1"/>
  <c r="O538" i="1"/>
  <c r="BV554" i="1"/>
  <c r="AH552" i="1"/>
  <c r="CX549" i="1"/>
  <c r="BJ547" i="1"/>
  <c r="V545" i="1"/>
  <c r="CL542" i="1"/>
  <c r="AX540" i="1"/>
  <c r="J538" i="1"/>
  <c r="BE554" i="1"/>
  <c r="Q552" i="1"/>
  <c r="CG549" i="1"/>
  <c r="CH568" i="1"/>
  <c r="BR565" i="1"/>
  <c r="BB562" i="1"/>
  <c r="BN559" i="1"/>
  <c r="Z557" i="1"/>
  <c r="CG573" i="1"/>
  <c r="AS571" i="1"/>
  <c r="DI568" i="1"/>
  <c r="BU566" i="1"/>
  <c r="AG564" i="1"/>
  <c r="CW561" i="1"/>
  <c r="BI559" i="1"/>
  <c r="U557" i="1"/>
  <c r="BG554" i="1"/>
  <c r="S552" i="1"/>
  <c r="CI549" i="1"/>
  <c r="AU547" i="1"/>
  <c r="G545" i="1"/>
  <c r="BW542" i="1"/>
  <c r="AI540" i="1"/>
  <c r="CY537" i="1"/>
  <c r="BB554" i="1"/>
  <c r="N552" i="1"/>
  <c r="CD549" i="1"/>
  <c r="AP547" i="1"/>
  <c r="DF544" i="1"/>
  <c r="BR542" i="1"/>
  <c r="AD540" i="1"/>
  <c r="CT537" i="1"/>
  <c r="AK554" i="1"/>
  <c r="N571" i="1"/>
  <c r="DB567" i="1"/>
  <c r="CH564" i="1"/>
  <c r="BR561" i="1"/>
  <c r="DB558" i="1"/>
  <c r="BN556" i="1"/>
  <c r="Q573" i="1"/>
  <c r="CG570" i="1"/>
  <c r="AS568" i="1"/>
  <c r="DI565" i="1"/>
  <c r="BU563" i="1"/>
  <c r="AG561" i="1"/>
  <c r="CW558" i="1"/>
  <c r="AF556" i="1"/>
  <c r="CU553" i="1"/>
  <c r="BG551" i="1"/>
  <c r="S549" i="1"/>
  <c r="CI546" i="1"/>
  <c r="AU544" i="1"/>
  <c r="G542" i="1"/>
  <c r="BW539" i="1"/>
  <c r="Z556" i="1"/>
  <c r="CP553" i="1"/>
  <c r="BB551" i="1"/>
  <c r="N549" i="1"/>
  <c r="CD546" i="1"/>
  <c r="AP544" i="1"/>
  <c r="DF541" i="1"/>
  <c r="BR539" i="1"/>
  <c r="I556" i="1"/>
  <c r="BY553" i="1"/>
  <c r="AK551" i="1"/>
  <c r="DA548" i="1"/>
  <c r="BM546" i="1"/>
  <c r="Y544" i="1"/>
  <c r="CO541" i="1"/>
  <c r="BA539" i="1"/>
  <c r="CW550" i="1"/>
  <c r="AW545" i="1"/>
  <c r="AC542" i="1"/>
  <c r="M539" i="1"/>
  <c r="X555" i="1"/>
  <c r="CN552" i="1"/>
  <c r="AZ550" i="1"/>
  <c r="L548" i="1"/>
  <c r="CB545" i="1"/>
  <c r="AN543" i="1"/>
  <c r="DD540" i="1"/>
  <c r="BP538" i="1"/>
  <c r="T536" i="1"/>
  <c r="CJ533" i="1"/>
  <c r="AV531" i="1"/>
  <c r="H529" i="1"/>
  <c r="BX526" i="1"/>
  <c r="AJ524" i="1"/>
  <c r="CZ521" i="1"/>
  <c r="BL519" i="1"/>
  <c r="BW536" i="1"/>
  <c r="AI534" i="1"/>
  <c r="CY531" i="1"/>
  <c r="BK529" i="1"/>
  <c r="W527" i="1"/>
  <c r="CM524" i="1"/>
  <c r="AY522" i="1"/>
  <c r="K520" i="1"/>
  <c r="DF536" i="1"/>
  <c r="BR534" i="1"/>
  <c r="AD532" i="1"/>
  <c r="CT529" i="1"/>
  <c r="BF527" i="1"/>
  <c r="U550" i="1"/>
  <c r="U545" i="1"/>
  <c r="DI541" i="1"/>
  <c r="CO538" i="1"/>
  <c r="DH554" i="1"/>
  <c r="BT552" i="1"/>
  <c r="AF550" i="1"/>
  <c r="CV547" i="1"/>
  <c r="BH545" i="1"/>
  <c r="T543" i="1"/>
  <c r="CJ540" i="1"/>
  <c r="AV538" i="1"/>
  <c r="DD535" i="1"/>
  <c r="BP533" i="1"/>
  <c r="AB531" i="1"/>
  <c r="CR528" i="1"/>
  <c r="BD526" i="1"/>
  <c r="P524" i="1"/>
  <c r="CF521" i="1"/>
  <c r="AR519" i="1"/>
  <c r="BC536" i="1"/>
  <c r="O534" i="1"/>
  <c r="CE531" i="1"/>
  <c r="AQ529" i="1"/>
  <c r="DG526" i="1"/>
  <c r="BS524" i="1"/>
  <c r="AE522" i="1"/>
  <c r="CU519" i="1"/>
  <c r="CL536" i="1"/>
  <c r="AX534" i="1"/>
  <c r="J532" i="1"/>
  <c r="Y551" i="1"/>
  <c r="BM545" i="1"/>
  <c r="AO542" i="1"/>
  <c r="Y539" i="1"/>
  <c r="AF555" i="1"/>
  <c r="CV552" i="1"/>
  <c r="BH550" i="1"/>
  <c r="T548" i="1"/>
  <c r="CJ545" i="1"/>
  <c r="AV543" i="1"/>
  <c r="H541" i="1"/>
  <c r="BX538" i="1"/>
  <c r="AB536" i="1"/>
  <c r="CR533" i="1"/>
  <c r="BD531" i="1"/>
  <c r="P529" i="1"/>
  <c r="CF526" i="1"/>
  <c r="AR524" i="1"/>
  <c r="DH521" i="1"/>
  <c r="BT519" i="1"/>
  <c r="CE536" i="1"/>
  <c r="AQ534" i="1"/>
  <c r="DG531" i="1"/>
  <c r="BS529" i="1"/>
  <c r="AE527" i="1"/>
  <c r="CU524" i="1"/>
  <c r="BG522" i="1"/>
  <c r="S520" i="1"/>
  <c r="J537" i="1"/>
  <c r="BZ534" i="1"/>
  <c r="AL532" i="1"/>
  <c r="DB529" i="1"/>
  <c r="BA550" i="1"/>
  <c r="AG545" i="1"/>
  <c r="M542" i="1"/>
  <c r="DA538" i="1"/>
  <c r="L555" i="1"/>
  <c r="CB552" i="1"/>
  <c r="AN550" i="1"/>
  <c r="DD547" i="1"/>
  <c r="BP545" i="1"/>
  <c r="AB543" i="1"/>
  <c r="CR540" i="1"/>
  <c r="BD538" i="1"/>
  <c r="H536" i="1"/>
  <c r="BX533" i="1"/>
  <c r="AJ531" i="1"/>
  <c r="CZ528" i="1"/>
  <c r="BL526" i="1"/>
  <c r="X524" i="1"/>
  <c r="CN521" i="1"/>
  <c r="AZ519" i="1"/>
  <c r="BK536" i="1"/>
  <c r="W534" i="1"/>
  <c r="CM531" i="1"/>
  <c r="AY529" i="1"/>
  <c r="K527" i="1"/>
  <c r="CA524" i="1"/>
  <c r="AM522" i="1"/>
  <c r="DC519" i="1"/>
  <c r="CT536" i="1"/>
  <c r="BF534" i="1"/>
  <c r="R532" i="1"/>
  <c r="CH529" i="1"/>
  <c r="AT527" i="1"/>
  <c r="F525" i="1"/>
  <c r="BV522" i="1"/>
  <c r="BJ526" i="1"/>
  <c r="J523" i="1"/>
  <c r="AL520" i="1"/>
  <c r="DI536" i="1"/>
  <c r="BU534" i="1"/>
  <c r="AG532" i="1"/>
  <c r="CW529" i="1"/>
  <c r="BI527" i="1"/>
  <c r="Y564" i="1"/>
  <c r="AY554" i="1"/>
  <c r="O549" i="1"/>
  <c r="BK545" i="1"/>
  <c r="W543" i="1"/>
  <c r="CM540" i="1"/>
  <c r="AY538" i="1"/>
  <c r="DF554" i="1"/>
  <c r="BR552" i="1"/>
  <c r="AD550" i="1"/>
  <c r="CT547" i="1"/>
  <c r="BF545" i="1"/>
  <c r="R543" i="1"/>
  <c r="CH540" i="1"/>
  <c r="AT538" i="1"/>
  <c r="CO554" i="1"/>
  <c r="BA552" i="1"/>
  <c r="M550" i="1"/>
  <c r="CC547" i="1"/>
  <c r="BF571" i="1"/>
  <c r="AD568" i="1"/>
  <c r="J565" i="1"/>
  <c r="CX561" i="1"/>
  <c r="V559" i="1"/>
  <c r="CL556" i="1"/>
  <c r="AO573" i="1"/>
  <c r="DE570" i="1"/>
  <c r="BQ568" i="1"/>
  <c r="AC566" i="1"/>
  <c r="CS563" i="1"/>
  <c r="BE561" i="1"/>
  <c r="Q559" i="1"/>
  <c r="BL556" i="1"/>
  <c r="O554" i="1"/>
  <c r="CE551" i="1"/>
  <c r="AQ549" i="1"/>
  <c r="DG546" i="1"/>
  <c r="BS544" i="1"/>
  <c r="AE542" i="1"/>
  <c r="CU539" i="1"/>
  <c r="BE556" i="1"/>
  <c r="J554" i="1"/>
  <c r="BZ551" i="1"/>
  <c r="AL549" i="1"/>
  <c r="DB546" i="1"/>
  <c r="BN544" i="1"/>
  <c r="Z542" i="1"/>
  <c r="CP539" i="1"/>
  <c r="AH556" i="1"/>
  <c r="CW553" i="1"/>
  <c r="BI551" i="1"/>
  <c r="R571" i="1"/>
  <c r="DF567" i="1"/>
  <c r="CP564" i="1"/>
  <c r="BV561" i="1"/>
  <c r="DF558" i="1"/>
  <c r="BR556" i="1"/>
  <c r="U573" i="1"/>
  <c r="CK570" i="1"/>
  <c r="AW568" i="1"/>
  <c r="I566" i="1"/>
  <c r="BY563" i="1"/>
  <c r="AK561" i="1"/>
  <c r="DA558" i="1"/>
  <c r="AK556" i="1"/>
  <c r="CY553" i="1"/>
  <c r="BK551" i="1"/>
  <c r="W549" i="1"/>
  <c r="CM546" i="1"/>
  <c r="AY544" i="1"/>
  <c r="K542" i="1"/>
  <c r="CA539" i="1"/>
  <c r="AD556" i="1"/>
  <c r="CT553" i="1"/>
  <c r="BF551" i="1"/>
  <c r="R549" i="1"/>
  <c r="CH546" i="1"/>
  <c r="AT544" i="1"/>
  <c r="F542" i="1"/>
  <c r="BV539" i="1"/>
  <c r="M556" i="1"/>
  <c r="CC553" i="1"/>
  <c r="AL570" i="1"/>
  <c r="R567" i="1"/>
  <c r="DF563" i="1"/>
  <c r="CP560" i="1"/>
  <c r="AP558" i="1"/>
  <c r="CW574" i="1"/>
  <c r="BI572" i="1"/>
  <c r="U570" i="1"/>
  <c r="CK567" i="1"/>
  <c r="AW565" i="1"/>
  <c r="I563" i="1"/>
  <c r="BY560" i="1"/>
  <c r="AK558" i="1"/>
  <c r="BW555" i="1"/>
  <c r="AI553" i="1"/>
  <c r="CY550" i="1"/>
  <c r="BK548" i="1"/>
  <c r="W546" i="1"/>
  <c r="CM543" i="1"/>
  <c r="AY541" i="1"/>
  <c r="K539" i="1"/>
  <c r="BR555" i="1"/>
  <c r="AD553" i="1"/>
  <c r="CT550" i="1"/>
  <c r="BF548" i="1"/>
  <c r="R546" i="1"/>
  <c r="CH543" i="1"/>
  <c r="AT541" i="1"/>
  <c r="F539" i="1"/>
  <c r="BA555" i="1"/>
  <c r="M553" i="1"/>
  <c r="CC550" i="1"/>
  <c r="AO548" i="1"/>
  <c r="DE545" i="1"/>
  <c r="BQ543" i="1"/>
  <c r="AC541" i="1"/>
  <c r="CS538" i="1"/>
  <c r="DE548" i="1"/>
  <c r="BQ544" i="1"/>
  <c r="BA541" i="1"/>
  <c r="AK538" i="1"/>
  <c r="BP554" i="1"/>
  <c r="AB552" i="1"/>
  <c r="CR549" i="1"/>
  <c r="BD547" i="1"/>
  <c r="P545" i="1"/>
  <c r="CF542" i="1"/>
  <c r="AR540" i="1"/>
  <c r="DH537" i="1"/>
  <c r="BL535" i="1"/>
  <c r="X533" i="1"/>
  <c r="CN530" i="1"/>
  <c r="AZ528" i="1"/>
  <c r="L526" i="1"/>
  <c r="CB523" i="1"/>
  <c r="AN521" i="1"/>
  <c r="DD518" i="1"/>
  <c r="K536" i="1"/>
  <c r="CA533" i="1"/>
  <c r="AM531" i="1"/>
  <c r="DC528" i="1"/>
  <c r="BO526" i="1"/>
  <c r="AA524" i="1"/>
  <c r="CQ521" i="1"/>
  <c r="BC519" i="1"/>
  <c r="AT536" i="1"/>
  <c r="F534" i="1"/>
  <c r="BV531" i="1"/>
  <c r="AH529" i="1"/>
  <c r="CX526" i="1"/>
  <c r="BM548" i="1"/>
  <c r="AS544" i="1"/>
  <c r="Y541" i="1"/>
  <c r="I538" i="1"/>
  <c r="AV554" i="1"/>
  <c r="H552" i="1"/>
  <c r="BX549" i="1"/>
  <c r="AJ547" i="1"/>
  <c r="CZ544" i="1"/>
  <c r="BL542" i="1"/>
  <c r="X540" i="1"/>
  <c r="CN537" i="1"/>
  <c r="AR535" i="1"/>
  <c r="DH532" i="1"/>
  <c r="BT530" i="1"/>
  <c r="AF528" i="1"/>
  <c r="CV525" i="1"/>
  <c r="BH523" i="1"/>
  <c r="T521" i="1"/>
  <c r="CJ518" i="1"/>
  <c r="CU535" i="1"/>
  <c r="BG533" i="1"/>
  <c r="S531" i="1"/>
  <c r="CI528" i="1"/>
  <c r="AU526" i="1"/>
  <c r="G524" i="1"/>
  <c r="BW521" i="1"/>
  <c r="AI519" i="1"/>
  <c r="Z536" i="1"/>
  <c r="CP533" i="1"/>
  <c r="BB531" i="1"/>
  <c r="Q549" i="1"/>
  <c r="CC544" i="1"/>
  <c r="BM541" i="1"/>
  <c r="AS538" i="1"/>
  <c r="BX554" i="1"/>
  <c r="AJ552" i="1"/>
  <c r="CZ549" i="1"/>
  <c r="BL547" i="1"/>
  <c r="X545" i="1"/>
  <c r="CN542" i="1"/>
  <c r="AZ540" i="1"/>
  <c r="L538" i="1"/>
  <c r="BT535" i="1"/>
  <c r="AF533" i="1"/>
  <c r="CV530" i="1"/>
  <c r="BH528" i="1"/>
  <c r="T526" i="1"/>
  <c r="CJ523" i="1"/>
  <c r="AV521" i="1"/>
  <c r="H519" i="1"/>
  <c r="S536" i="1"/>
  <c r="CI533" i="1"/>
  <c r="AU531" i="1"/>
  <c r="G529" i="1"/>
  <c r="BW526" i="1"/>
  <c r="AI524" i="1"/>
  <c r="CY521" i="1"/>
  <c r="BK519" i="1"/>
  <c r="BB536" i="1"/>
  <c r="N534" i="1"/>
  <c r="CD531" i="1"/>
  <c r="AP529" i="1"/>
  <c r="CC548" i="1"/>
  <c r="BA544" i="1"/>
  <c r="AK541" i="1"/>
  <c r="U538" i="1"/>
  <c r="BD554" i="1"/>
  <c r="P552" i="1"/>
  <c r="CF549" i="1"/>
  <c r="AR547" i="1"/>
  <c r="DH544" i="1"/>
  <c r="BT542" i="1"/>
  <c r="AF540" i="1"/>
  <c r="CV537" i="1"/>
  <c r="AZ535" i="1"/>
  <c r="L533" i="1"/>
  <c r="CB530" i="1"/>
  <c r="AN528" i="1"/>
  <c r="DD525" i="1"/>
  <c r="BP523" i="1"/>
  <c r="AB521" i="1"/>
  <c r="CR518" i="1"/>
  <c r="DC535" i="1"/>
  <c r="BO533" i="1"/>
  <c r="AA531" i="1"/>
  <c r="CQ528" i="1"/>
  <c r="BC526" i="1"/>
  <c r="O524" i="1"/>
  <c r="CE521" i="1"/>
  <c r="AQ519" i="1"/>
  <c r="AH536" i="1"/>
  <c r="CX533" i="1"/>
  <c r="BJ531" i="1"/>
  <c r="V529" i="1"/>
  <c r="CL526" i="1"/>
  <c r="AX524" i="1"/>
  <c r="J522" i="1"/>
  <c r="AX525" i="1"/>
  <c r="AH522" i="1"/>
  <c r="CD519" i="1"/>
  <c r="AW536" i="1"/>
  <c r="BQ563" i="1"/>
  <c r="CQ553" i="1"/>
  <c r="BG548" i="1"/>
  <c r="DC544" i="1"/>
  <c r="BO542" i="1"/>
  <c r="AA540" i="1"/>
  <c r="CQ537" i="1"/>
  <c r="AT554" i="1"/>
  <c r="F552" i="1"/>
  <c r="BV549" i="1"/>
  <c r="AH547" i="1"/>
  <c r="CX544" i="1"/>
  <c r="BJ542" i="1"/>
  <c r="V540" i="1"/>
  <c r="CL537" i="1"/>
  <c r="AC554" i="1"/>
  <c r="CS551" i="1"/>
  <c r="BE549" i="1"/>
  <c r="Q547" i="1"/>
  <c r="BR570" i="1"/>
  <c r="AX567" i="1"/>
  <c r="AH564" i="1"/>
  <c r="R561" i="1"/>
  <c r="BN558" i="1"/>
  <c r="Q575" i="1"/>
  <c r="CG572" i="1"/>
  <c r="AS570" i="1"/>
  <c r="DI567" i="1"/>
  <c r="BU565" i="1"/>
  <c r="AG563" i="1"/>
  <c r="CW560" i="1"/>
  <c r="BI558" i="1"/>
  <c r="CU555" i="1"/>
  <c r="BG553" i="1"/>
  <c r="S551" i="1"/>
  <c r="CI548" i="1"/>
  <c r="AU546" i="1"/>
  <c r="G544" i="1"/>
  <c r="BW541" i="1"/>
  <c r="AI539" i="1"/>
  <c r="CP555" i="1"/>
  <c r="BB553" i="1"/>
  <c r="N551" i="1"/>
  <c r="CD548" i="1"/>
  <c r="AP546" i="1"/>
  <c r="DF543" i="1"/>
  <c r="BR541" i="1"/>
  <c r="AD539" i="1"/>
  <c r="BY555" i="1"/>
  <c r="AK553" i="1"/>
  <c r="DA550" i="1"/>
  <c r="AP570" i="1"/>
  <c r="Z567" i="1"/>
  <c r="F564" i="1"/>
  <c r="CT560" i="1"/>
  <c r="AT558" i="1"/>
  <c r="DA574" i="1"/>
  <c r="BM572" i="1"/>
  <c r="Y570" i="1"/>
  <c r="CO567" i="1"/>
  <c r="BA565" i="1"/>
  <c r="M563" i="1"/>
  <c r="CC560" i="1"/>
  <c r="AO558" i="1"/>
  <c r="CA555" i="1"/>
  <c r="AM553" i="1"/>
  <c r="DC550" i="1"/>
  <c r="BO548" i="1"/>
  <c r="AA546" i="1"/>
  <c r="CQ543" i="1"/>
  <c r="BC541" i="1"/>
  <c r="O539" i="1"/>
  <c r="BV555" i="1"/>
  <c r="AH553" i="1"/>
  <c r="CX550" i="1"/>
  <c r="BJ548" i="1"/>
  <c r="V546" i="1"/>
  <c r="CL543" i="1"/>
  <c r="AX541" i="1"/>
  <c r="J539" i="1"/>
  <c r="BE555" i="1"/>
  <c r="Q553" i="1"/>
  <c r="BF569" i="1"/>
  <c r="AP566" i="1"/>
  <c r="Z563" i="1"/>
  <c r="R560" i="1"/>
  <c r="CH557" i="1"/>
  <c r="AK574" i="1"/>
  <c r="DA571" i="1"/>
  <c r="BM569" i="1"/>
  <c r="Y567" i="1"/>
  <c r="CO564" i="1"/>
  <c r="BA562" i="1"/>
  <c r="M560" i="1"/>
  <c r="CC557" i="1"/>
  <c r="K555" i="1"/>
  <c r="CA552" i="1"/>
  <c r="AM550" i="1"/>
  <c r="DC547" i="1"/>
  <c r="BO545" i="1"/>
  <c r="AA543" i="1"/>
  <c r="CQ540" i="1"/>
  <c r="BC538" i="1"/>
  <c r="F555" i="1"/>
  <c r="BV552" i="1"/>
  <c r="AH550" i="1"/>
  <c r="CX547" i="1"/>
  <c r="BJ545" i="1"/>
  <c r="V543" i="1"/>
  <c r="CL540" i="1"/>
  <c r="AX538" i="1"/>
  <c r="CS554" i="1"/>
  <c r="BE552" i="1"/>
  <c r="Q550" i="1"/>
  <c r="CG547" i="1"/>
  <c r="AS545" i="1"/>
  <c r="DI542" i="1"/>
  <c r="BU540" i="1"/>
  <c r="AG538" i="1"/>
  <c r="CK547" i="1"/>
  <c r="CO543" i="1"/>
  <c r="BY540" i="1"/>
  <c r="AW556" i="1"/>
  <c r="DH553" i="1"/>
  <c r="BT551" i="1"/>
  <c r="AF549" i="1"/>
  <c r="CV546" i="1"/>
  <c r="BH544" i="1"/>
  <c r="T542" i="1"/>
  <c r="CJ539" i="1"/>
  <c r="AN537" i="1"/>
  <c r="DD534" i="1"/>
  <c r="BP532" i="1"/>
  <c r="AB530" i="1"/>
  <c r="CR527" i="1"/>
  <c r="BD525" i="1"/>
  <c r="P523" i="1"/>
  <c r="CF520" i="1"/>
  <c r="AR518" i="1"/>
  <c r="BC535" i="1"/>
  <c r="O533" i="1"/>
  <c r="CE530" i="1"/>
  <c r="AQ528" i="1"/>
  <c r="DG525" i="1"/>
  <c r="BS523" i="1"/>
  <c r="AE521" i="1"/>
  <c r="CU518" i="1"/>
  <c r="CL535" i="1"/>
  <c r="AX533" i="1"/>
  <c r="J531" i="1"/>
  <c r="BZ528" i="1"/>
  <c r="AL526" i="1"/>
  <c r="AS547" i="1"/>
  <c r="BM543" i="1"/>
  <c r="AW540" i="1"/>
  <c r="X556" i="1"/>
  <c r="CN553" i="1"/>
  <c r="AZ551" i="1"/>
  <c r="L549" i="1"/>
  <c r="CB546" i="1"/>
  <c r="AN544" i="1"/>
  <c r="DD541" i="1"/>
  <c r="BP539" i="1"/>
  <c r="T537" i="1"/>
  <c r="CJ534" i="1"/>
  <c r="AV532" i="1"/>
  <c r="H530" i="1"/>
  <c r="BX527" i="1"/>
  <c r="AJ525" i="1"/>
  <c r="CZ522" i="1"/>
  <c r="BL520" i="1"/>
  <c r="BX537" i="1"/>
  <c r="AI535" i="1"/>
  <c r="CY532" i="1"/>
  <c r="BK530" i="1"/>
  <c r="W528" i="1"/>
  <c r="CM525" i="1"/>
  <c r="AY523" i="1"/>
  <c r="K521" i="1"/>
  <c r="CA518" i="1"/>
  <c r="BR535" i="1"/>
  <c r="AD533" i="1"/>
  <c r="CT530" i="1"/>
  <c r="DA547" i="1"/>
  <c r="DA543" i="1"/>
  <c r="CG540" i="1"/>
  <c r="BM556" i="1"/>
  <c r="L554" i="1"/>
  <c r="CB551" i="1"/>
  <c r="AN549" i="1"/>
  <c r="DD546" i="1"/>
  <c r="BP544" i="1"/>
  <c r="AB542" i="1"/>
  <c r="CR539" i="1"/>
  <c r="AV537" i="1"/>
  <c r="H535" i="1"/>
  <c r="BX532" i="1"/>
  <c r="AJ530" i="1"/>
  <c r="CZ527" i="1"/>
  <c r="BL525" i="1"/>
  <c r="X523" i="1"/>
  <c r="CN520" i="1"/>
  <c r="AZ518" i="1"/>
  <c r="BK535" i="1"/>
  <c r="W533" i="1"/>
  <c r="CM530" i="1"/>
  <c r="AY528" i="1"/>
  <c r="K526" i="1"/>
  <c r="CA523" i="1"/>
  <c r="AM521" i="1"/>
  <c r="DC518" i="1"/>
  <c r="CT535" i="1"/>
  <c r="BF533" i="1"/>
  <c r="R531" i="1"/>
  <c r="CH528" i="1"/>
  <c r="BI547" i="1"/>
  <c r="BY543" i="1"/>
  <c r="BI540" i="1"/>
  <c r="AG556" i="1"/>
  <c r="CV553" i="1"/>
  <c r="BH551" i="1"/>
  <c r="T549" i="1"/>
  <c r="CJ546" i="1"/>
  <c r="AV544" i="1"/>
  <c r="H542" i="1"/>
  <c r="BX539" i="1"/>
  <c r="AB537" i="1"/>
  <c r="CR534" i="1"/>
  <c r="BD532" i="1"/>
  <c r="P530" i="1"/>
  <c r="CF527" i="1"/>
  <c r="AR525" i="1"/>
  <c r="DH522" i="1"/>
  <c r="BT520" i="1"/>
  <c r="AF518" i="1"/>
  <c r="AQ535" i="1"/>
  <c r="DG532" i="1"/>
  <c r="BS530" i="1"/>
  <c r="AE528" i="1"/>
  <c r="CU525" i="1"/>
  <c r="BG523" i="1"/>
  <c r="S521" i="1"/>
  <c r="CI518" i="1"/>
  <c r="BZ535" i="1"/>
  <c r="AL533" i="1"/>
  <c r="DB530" i="1"/>
  <c r="BN528" i="1"/>
  <c r="Z526" i="1"/>
  <c r="CP523" i="1"/>
  <c r="CP529" i="1"/>
  <c r="BV524" i="1"/>
  <c r="BF521" i="1"/>
  <c r="R519" i="1"/>
  <c r="CO535" i="1"/>
  <c r="BA533" i="1"/>
  <c r="I534" i="1"/>
  <c r="CC528" i="1"/>
  <c r="U525" i="1"/>
  <c r="CK522" i="1"/>
  <c r="AW520" i="1"/>
  <c r="CM517" i="1"/>
  <c r="AY515" i="1"/>
  <c r="K513" i="1"/>
  <c r="CA510" i="1"/>
  <c r="AM508" i="1"/>
  <c r="DC505" i="1"/>
  <c r="BO503" i="1"/>
  <c r="AA501" i="1"/>
  <c r="CQ498" i="1"/>
  <c r="BC496" i="1"/>
  <c r="O494" i="1"/>
  <c r="CE491" i="1"/>
  <c r="AQ489" i="1"/>
  <c r="DG486" i="1"/>
  <c r="BS484" i="1"/>
  <c r="AE482" i="1"/>
  <c r="CH517" i="1"/>
  <c r="AT515" i="1"/>
  <c r="F513" i="1"/>
  <c r="BV510" i="1"/>
  <c r="AH508" i="1"/>
  <c r="CX505" i="1"/>
  <c r="BJ503" i="1"/>
  <c r="V501" i="1"/>
  <c r="CL498" i="1"/>
  <c r="AX496" i="1"/>
  <c r="J494" i="1"/>
  <c r="BZ491" i="1"/>
  <c r="AL489" i="1"/>
  <c r="DB486" i="1"/>
  <c r="BN484" i="1"/>
  <c r="Z482" i="1"/>
  <c r="CC517" i="1"/>
  <c r="AO515" i="1"/>
  <c r="DE512" i="1"/>
  <c r="BQ510" i="1"/>
  <c r="AC508" i="1"/>
  <c r="CS505" i="1"/>
  <c r="BE503" i="1"/>
  <c r="Q501" i="1"/>
  <c r="CG498" i="1"/>
  <c r="AS496" i="1"/>
  <c r="DI493" i="1"/>
  <c r="BU491" i="1"/>
  <c r="AG489" i="1"/>
  <c r="CW486" i="1"/>
  <c r="BI484" i="1"/>
  <c r="U482" i="1"/>
  <c r="BL517" i="1"/>
  <c r="X515" i="1"/>
  <c r="CN512" i="1"/>
  <c r="AZ510" i="1"/>
  <c r="L508" i="1"/>
  <c r="Z525" i="1"/>
  <c r="F522" i="1"/>
  <c r="BJ519" i="1"/>
  <c r="AC536" i="1"/>
  <c r="CS533" i="1"/>
  <c r="BE531" i="1"/>
  <c r="Q529" i="1"/>
  <c r="CG526" i="1"/>
  <c r="AS524" i="1"/>
  <c r="DI521" i="1"/>
  <c r="BU519" i="1"/>
  <c r="G517" i="1"/>
  <c r="BW514" i="1"/>
  <c r="AI512" i="1"/>
  <c r="CY509" i="1"/>
  <c r="BK507" i="1"/>
  <c r="W505" i="1"/>
  <c r="CM502" i="1"/>
  <c r="AY500" i="1"/>
  <c r="K498" i="1"/>
  <c r="CA495" i="1"/>
  <c r="AM493" i="1"/>
  <c r="DC490" i="1"/>
  <c r="BO488" i="1"/>
  <c r="BY645" i="1"/>
  <c r="CN639" i="1"/>
  <c r="BF636" i="1"/>
  <c r="AS641" i="1"/>
  <c r="DH635" i="1"/>
  <c r="CW638" i="1"/>
  <c r="CR620" i="1"/>
  <c r="BX620" i="1"/>
  <c r="AZ625" i="1"/>
  <c r="BS633" i="1"/>
  <c r="AU626" i="1"/>
  <c r="BL616" i="1"/>
  <c r="DH619" i="1"/>
  <c r="AC619" i="1"/>
  <c r="U624" i="1"/>
  <c r="AT609" i="1"/>
  <c r="DG618" i="1"/>
  <c r="BS612" i="1"/>
  <c r="DF610" i="1"/>
  <c r="DD616" i="1"/>
  <c r="CA615" i="1"/>
  <c r="CA611" i="1"/>
  <c r="J610" i="1"/>
  <c r="AF607" i="1"/>
  <c r="BO608" i="1"/>
  <c r="BW607" i="1"/>
  <c r="M608" i="1"/>
  <c r="CJ604" i="1"/>
  <c r="BG593" i="1"/>
  <c r="O609" i="1"/>
  <c r="DB603" i="1"/>
  <c r="BY600" i="1"/>
  <c r="CQ595" i="1"/>
  <c r="AC612" i="1"/>
  <c r="AD605" i="1"/>
  <c r="DE601" i="1"/>
  <c r="S597" i="1"/>
  <c r="CC611" i="1"/>
  <c r="J605" i="1"/>
  <c r="CK601" i="1"/>
  <c r="DC596" i="1"/>
  <c r="BC587" i="1"/>
  <c r="CY602" i="1"/>
  <c r="BN592" i="1"/>
  <c r="CN602" i="1"/>
  <c r="BI592" i="1"/>
  <c r="BZ600" i="1"/>
  <c r="AB585" i="1"/>
  <c r="AM585" i="1"/>
  <c r="AD602" i="1"/>
  <c r="N592" i="1"/>
  <c r="W602" i="1"/>
  <c r="I592" i="1"/>
  <c r="BP599" i="1"/>
  <c r="CF584" i="1"/>
  <c r="CP584" i="1"/>
  <c r="DC603" i="1"/>
  <c r="N593" i="1"/>
  <c r="CR603" i="1"/>
  <c r="I593" i="1"/>
  <c r="AR601" i="1"/>
  <c r="CV585" i="1"/>
  <c r="I586" i="1"/>
  <c r="H607" i="1"/>
  <c r="CL597" i="1"/>
  <c r="J593" i="1"/>
  <c r="AL588" i="1"/>
  <c r="CJ603" i="1"/>
  <c r="CG597" i="1"/>
  <c r="DI592" i="1"/>
  <c r="AG588" i="1"/>
  <c r="AM601" i="1"/>
  <c r="CG585" i="1"/>
  <c r="CQ585" i="1"/>
  <c r="CZ585" i="1"/>
  <c r="DE585" i="1"/>
  <c r="DI580" i="1"/>
  <c r="AG576" i="1"/>
  <c r="AC580" i="1"/>
  <c r="T583" i="1"/>
  <c r="AR578" i="1"/>
  <c r="CQ582" i="1"/>
  <c r="O578" i="1"/>
  <c r="BJ582" i="1"/>
  <c r="CL577" i="1"/>
  <c r="AF573" i="1"/>
  <c r="BH568" i="1"/>
  <c r="CJ563" i="1"/>
  <c r="H559" i="1"/>
  <c r="AA573" i="1"/>
  <c r="BC568" i="1"/>
  <c r="CE563" i="1"/>
  <c r="DG558" i="1"/>
  <c r="BF573" i="1"/>
  <c r="DI579" i="1"/>
  <c r="CZ582" i="1"/>
  <c r="X578" i="1"/>
  <c r="BW582" i="1"/>
  <c r="CY577" i="1"/>
  <c r="AP582" i="1"/>
  <c r="BR577" i="1"/>
  <c r="L573" i="1"/>
  <c r="AN568" i="1"/>
  <c r="BP563" i="1"/>
  <c r="CR558" i="1"/>
  <c r="G573" i="1"/>
  <c r="AI568" i="1"/>
  <c r="BK563" i="1"/>
  <c r="CM558" i="1"/>
  <c r="AL573" i="1"/>
  <c r="U579" i="1"/>
  <c r="AJ582" i="1"/>
  <c r="BL577" i="1"/>
  <c r="G582" i="1"/>
  <c r="AI577" i="1"/>
  <c r="CD581" i="1"/>
  <c r="DF576" i="1"/>
  <c r="AZ572" i="1"/>
  <c r="CB567" i="1"/>
  <c r="DD562" i="1"/>
  <c r="AB558" i="1"/>
  <c r="AU572" i="1"/>
  <c r="BW567" i="1"/>
  <c r="CY562" i="1"/>
  <c r="W558" i="1"/>
  <c r="BZ572" i="1"/>
  <c r="AK578" i="1"/>
  <c r="BX581" i="1"/>
  <c r="P578" i="1"/>
  <c r="BW584" i="1"/>
  <c r="AI582" i="1"/>
  <c r="CY579" i="1"/>
  <c r="BK577" i="1"/>
  <c r="AP584" i="1"/>
  <c r="DF581" i="1"/>
  <c r="BR579" i="1"/>
  <c r="AD577" i="1"/>
  <c r="L575" i="1"/>
  <c r="CB572" i="1"/>
  <c r="AN570" i="1"/>
  <c r="DD567" i="1"/>
  <c r="BP565" i="1"/>
  <c r="AB563" i="1"/>
  <c r="CR560" i="1"/>
  <c r="BD558" i="1"/>
  <c r="G575" i="1"/>
  <c r="BW572" i="1"/>
  <c r="AI570" i="1"/>
  <c r="CY567" i="1"/>
  <c r="BK565" i="1"/>
  <c r="W563" i="1"/>
  <c r="CM560" i="1"/>
  <c r="AY558" i="1"/>
  <c r="AM575" i="1"/>
  <c r="DB572" i="1"/>
  <c r="BN570" i="1"/>
  <c r="Z568" i="1"/>
  <c r="CP565" i="1"/>
  <c r="BB563" i="1"/>
  <c r="N561" i="1"/>
  <c r="AH569" i="1"/>
  <c r="N566" i="1"/>
  <c r="DB562" i="1"/>
  <c r="DB559" i="1"/>
  <c r="BN557" i="1"/>
  <c r="Q574" i="1"/>
  <c r="CG571" i="1"/>
  <c r="AS569" i="1"/>
  <c r="DI566" i="1"/>
  <c r="BU564" i="1"/>
  <c r="AG562" i="1"/>
  <c r="CW559" i="1"/>
  <c r="BI557" i="1"/>
  <c r="CU554" i="1"/>
  <c r="BG552" i="1"/>
  <c r="S550" i="1"/>
  <c r="CI547" i="1"/>
  <c r="AU545" i="1"/>
  <c r="G543" i="1"/>
  <c r="BW540" i="1"/>
  <c r="AI538" i="1"/>
  <c r="CP554" i="1"/>
  <c r="BB552" i="1"/>
  <c r="N550" i="1"/>
  <c r="CD547" i="1"/>
  <c r="AP545" i="1"/>
  <c r="DF542" i="1"/>
  <c r="BR540" i="1"/>
  <c r="AD538" i="1"/>
  <c r="BY554" i="1"/>
  <c r="AK552" i="1"/>
  <c r="DA549" i="1"/>
  <c r="BM547" i="1"/>
  <c r="Z571" i="1"/>
  <c r="F568" i="1"/>
  <c r="CT564" i="1"/>
  <c r="CD561" i="1"/>
  <c r="F559" i="1"/>
  <c r="BV556" i="1"/>
  <c r="Y573" i="1"/>
  <c r="CO570" i="1"/>
  <c r="BA568" i="1"/>
  <c r="M566" i="1"/>
  <c r="CC563" i="1"/>
  <c r="AO561" i="1"/>
  <c r="DE558" i="1"/>
  <c r="AP556" i="1"/>
  <c r="DC553" i="1"/>
  <c r="BO551" i="1"/>
  <c r="AA549" i="1"/>
  <c r="CQ546" i="1"/>
  <c r="BC544" i="1"/>
  <c r="O542" i="1"/>
  <c r="CE539" i="1"/>
  <c r="AJ556" i="1"/>
  <c r="CX553" i="1"/>
  <c r="BJ551" i="1"/>
  <c r="V549" i="1"/>
  <c r="CL546" i="1"/>
  <c r="AX544" i="1"/>
  <c r="J542" i="1"/>
  <c r="BZ539" i="1"/>
  <c r="Q556" i="1"/>
  <c r="CG553" i="1"/>
  <c r="AS551" i="1"/>
  <c r="DB570" i="1"/>
  <c r="CL567" i="1"/>
  <c r="BR564" i="1"/>
  <c r="BB561" i="1"/>
  <c r="CP558" i="1"/>
  <c r="AV575" i="1"/>
  <c r="DI572" i="1"/>
  <c r="BU570" i="1"/>
  <c r="AG568" i="1"/>
  <c r="CW565" i="1"/>
  <c r="BI563" i="1"/>
  <c r="U561" i="1"/>
  <c r="CK558" i="1"/>
  <c r="S556" i="1"/>
  <c r="CI553" i="1"/>
  <c r="AU551" i="1"/>
  <c r="G549" i="1"/>
  <c r="BW546" i="1"/>
  <c r="AI544" i="1"/>
  <c r="CY541" i="1"/>
  <c r="BK539" i="1"/>
  <c r="N556" i="1"/>
  <c r="CD553" i="1"/>
  <c r="AP551" i="1"/>
  <c r="DF548" i="1"/>
  <c r="BR546" i="1"/>
  <c r="AD544" i="1"/>
  <c r="CT541" i="1"/>
  <c r="BF539" i="1"/>
  <c r="DA555" i="1"/>
  <c r="BM553" i="1"/>
  <c r="N570" i="1"/>
  <c r="DB566" i="1"/>
  <c r="CL563" i="1"/>
  <c r="BR560" i="1"/>
  <c r="Z558" i="1"/>
  <c r="CG574" i="1"/>
  <c r="AS572" i="1"/>
  <c r="DI569" i="1"/>
  <c r="BU567" i="1"/>
  <c r="AG565" i="1"/>
  <c r="CW562" i="1"/>
  <c r="BI560" i="1"/>
  <c r="U558" i="1"/>
  <c r="BG555" i="1"/>
  <c r="S553" i="1"/>
  <c r="CI550" i="1"/>
  <c r="AU548" i="1"/>
  <c r="G546" i="1"/>
  <c r="BW543" i="1"/>
  <c r="AI541" i="1"/>
  <c r="CY538" i="1"/>
  <c r="BB555" i="1"/>
  <c r="N553" i="1"/>
  <c r="CD550" i="1"/>
  <c r="AP548" i="1"/>
  <c r="DF545" i="1"/>
  <c r="BR543" i="1"/>
  <c r="AD541" i="1"/>
  <c r="CT538" i="1"/>
  <c r="AK555" i="1"/>
  <c r="DA552" i="1"/>
  <c r="BM550" i="1"/>
  <c r="Y548" i="1"/>
  <c r="CO545" i="1"/>
  <c r="BA543" i="1"/>
  <c r="M541" i="1"/>
  <c r="CC538" i="1"/>
  <c r="BY548" i="1"/>
  <c r="AW544" i="1"/>
  <c r="AG541" i="1"/>
  <c r="M538" i="1"/>
  <c r="AZ554" i="1"/>
  <c r="L552" i="1"/>
  <c r="CB549" i="1"/>
  <c r="AN547" i="1"/>
  <c r="DD544" i="1"/>
  <c r="BP542" i="1"/>
  <c r="AB540" i="1"/>
  <c r="CR537" i="1"/>
  <c r="AV535" i="1"/>
  <c r="H533" i="1"/>
  <c r="BX530" i="1"/>
  <c r="AJ528" i="1"/>
  <c r="CZ525" i="1"/>
  <c r="BL523" i="1"/>
  <c r="X521" i="1"/>
  <c r="CN518" i="1"/>
  <c r="CY535" i="1"/>
  <c r="BK533" i="1"/>
  <c r="W531" i="1"/>
  <c r="CM528" i="1"/>
  <c r="AY526" i="1"/>
  <c r="K524" i="1"/>
  <c r="CA521" i="1"/>
  <c r="AM519" i="1"/>
  <c r="AD536" i="1"/>
  <c r="CT533" i="1"/>
  <c r="BF531" i="1"/>
  <c r="R529" i="1"/>
  <c r="CH526" i="1"/>
  <c r="AG548" i="1"/>
  <c r="U544" i="1"/>
  <c r="DI540" i="1"/>
  <c r="CS537" i="1"/>
  <c r="AF554" i="1"/>
  <c r="CV551" i="1"/>
  <c r="BH549" i="1"/>
  <c r="T547" i="1"/>
  <c r="CJ544" i="1"/>
  <c r="AV542" i="1"/>
  <c r="H540" i="1"/>
  <c r="BP537" i="1"/>
  <c r="AB535" i="1"/>
  <c r="CR532" i="1"/>
  <c r="BD530" i="1"/>
  <c r="P528" i="1"/>
  <c r="CF525" i="1"/>
  <c r="AR523" i="1"/>
  <c r="DH520" i="1"/>
  <c r="BT518" i="1"/>
  <c r="CE535" i="1"/>
  <c r="AQ533" i="1"/>
  <c r="DG530" i="1"/>
  <c r="BS528" i="1"/>
  <c r="AE526" i="1"/>
  <c r="CU523" i="1"/>
  <c r="BG521" i="1"/>
  <c r="S519" i="1"/>
  <c r="J536" i="1"/>
  <c r="BZ533" i="1"/>
  <c r="AL531" i="1"/>
  <c r="CO548" i="1"/>
  <c r="BI544" i="1"/>
  <c r="AO541" i="1"/>
  <c r="Y538" i="1"/>
  <c r="BH554" i="1"/>
  <c r="T552" i="1"/>
  <c r="CJ549" i="1"/>
  <c r="AV547" i="1"/>
  <c r="H545" i="1"/>
  <c r="BX542" i="1"/>
  <c r="AJ540" i="1"/>
  <c r="CZ537" i="1"/>
  <c r="BD535" i="1"/>
  <c r="P533" i="1"/>
  <c r="CF530" i="1"/>
  <c r="AR528" i="1"/>
  <c r="DH525" i="1"/>
  <c r="BT523" i="1"/>
  <c r="AF521" i="1"/>
  <c r="CV518" i="1"/>
  <c r="DG535" i="1"/>
  <c r="BS533" i="1"/>
  <c r="AE531" i="1"/>
  <c r="CU528" i="1"/>
  <c r="BG526" i="1"/>
  <c r="S524" i="1"/>
  <c r="CI521" i="1"/>
  <c r="AU519" i="1"/>
  <c r="AL536" i="1"/>
  <c r="DB533" i="1"/>
  <c r="BN531" i="1"/>
  <c r="Z529" i="1"/>
  <c r="AW548" i="1"/>
  <c r="AG544" i="1"/>
  <c r="Q541" i="1"/>
  <c r="DA537" i="1"/>
  <c r="AN554" i="1"/>
  <c r="DD551" i="1"/>
  <c r="BP549" i="1"/>
  <c r="AB547" i="1"/>
  <c r="CR544" i="1"/>
  <c r="BD542" i="1"/>
  <c r="P540" i="1"/>
  <c r="BZ537" i="1"/>
  <c r="AJ535" i="1"/>
  <c r="CZ532" i="1"/>
  <c r="BL530" i="1"/>
  <c r="X528" i="1"/>
  <c r="CN525" i="1"/>
  <c r="AZ523" i="1"/>
  <c r="L521" i="1"/>
  <c r="CB518" i="1"/>
  <c r="CM535" i="1"/>
  <c r="AY533" i="1"/>
  <c r="K531" i="1"/>
  <c r="CA528" i="1"/>
  <c r="AM526" i="1"/>
  <c r="DC523" i="1"/>
  <c r="BO521" i="1"/>
  <c r="AA519" i="1"/>
  <c r="R536" i="1"/>
  <c r="CH533" i="1"/>
  <c r="AT531" i="1"/>
  <c r="F529" i="1"/>
  <c r="BV526" i="1"/>
  <c r="AH524" i="1"/>
  <c r="CX521" i="1"/>
  <c r="AD525" i="1"/>
  <c r="N522" i="1"/>
  <c r="BY531" i="1"/>
  <c r="DA526" i="1"/>
  <c r="BM524" i="1"/>
  <c r="Y522" i="1"/>
  <c r="CO519" i="1"/>
  <c r="AA517" i="1"/>
  <c r="CQ514" i="1"/>
  <c r="BC512" i="1"/>
  <c r="O510" i="1"/>
  <c r="CE507" i="1"/>
  <c r="AQ505" i="1"/>
  <c r="DG502" i="1"/>
  <c r="BS500" i="1"/>
  <c r="AE498" i="1"/>
  <c r="CU495" i="1"/>
  <c r="BG493" i="1"/>
  <c r="S491" i="1"/>
  <c r="CI488" i="1"/>
  <c r="AU486" i="1"/>
  <c r="G484" i="1"/>
  <c r="BW481" i="1"/>
  <c r="V517" i="1"/>
  <c r="CL514" i="1"/>
  <c r="AX512" i="1"/>
  <c r="J510" i="1"/>
  <c r="BZ507" i="1"/>
  <c r="AL505" i="1"/>
  <c r="DB502" i="1"/>
  <c r="BN500" i="1"/>
  <c r="Z498" i="1"/>
  <c r="CP495" i="1"/>
  <c r="BB493" i="1"/>
  <c r="N491" i="1"/>
  <c r="CD488" i="1"/>
  <c r="AP486" i="1"/>
  <c r="DF483" i="1"/>
  <c r="BR481" i="1"/>
  <c r="Q517" i="1"/>
  <c r="CG514" i="1"/>
  <c r="AS512" i="1"/>
  <c r="DI509" i="1"/>
  <c r="BU507" i="1"/>
  <c r="AG505" i="1"/>
  <c r="CW502" i="1"/>
  <c r="BI500" i="1"/>
  <c r="U498" i="1"/>
  <c r="CK495" i="1"/>
  <c r="AW493" i="1"/>
  <c r="I491" i="1"/>
  <c r="BY488" i="1"/>
  <c r="AK486" i="1"/>
  <c r="DA483" i="1"/>
  <c r="BM481" i="1"/>
  <c r="DD516" i="1"/>
  <c r="BP514" i="1"/>
  <c r="AB512" i="1"/>
  <c r="CR509" i="1"/>
  <c r="N529" i="1"/>
  <c r="AT524" i="1"/>
  <c r="AL521" i="1"/>
  <c r="DB518" i="1"/>
  <c r="BU535" i="1"/>
  <c r="AG533" i="1"/>
  <c r="CW530" i="1"/>
  <c r="BI528" i="1"/>
  <c r="U526" i="1"/>
  <c r="CK523" i="1"/>
  <c r="AW521" i="1"/>
  <c r="I519" i="1"/>
  <c r="AY516" i="1"/>
  <c r="K514" i="1"/>
  <c r="CA511" i="1"/>
  <c r="AM509" i="1"/>
  <c r="DC506" i="1"/>
  <c r="BO504" i="1"/>
  <c r="AA502" i="1"/>
  <c r="CQ499" i="1"/>
  <c r="BC497" i="1"/>
  <c r="O495" i="1"/>
  <c r="CE492" i="1"/>
  <c r="AQ490" i="1"/>
  <c r="DG487" i="1"/>
  <c r="BZ646" i="1"/>
  <c r="P644" i="1"/>
  <c r="BY641" i="1"/>
  <c r="AR637" i="1"/>
  <c r="AR629" i="1"/>
  <c r="N630" i="1"/>
  <c r="H619" i="1"/>
  <c r="M628" i="1"/>
  <c r="AU625" i="1"/>
  <c r="G634" i="1"/>
  <c r="P623" i="1"/>
  <c r="AL622" i="1"/>
  <c r="CY613" i="1"/>
  <c r="BX609" i="1"/>
  <c r="Q617" i="1"/>
  <c r="CQ613" i="1"/>
  <c r="CE615" i="1"/>
  <c r="AE610" i="1"/>
  <c r="BR608" i="1"/>
  <c r="CN613" i="1"/>
  <c r="AZ620" i="1"/>
  <c r="BA621" i="1"/>
  <c r="M621" i="1"/>
  <c r="AF612" i="1"/>
  <c r="AV612" i="1"/>
  <c r="AS614" i="1"/>
  <c r="BA605" i="1"/>
  <c r="DD600" i="1"/>
  <c r="AY608" i="1"/>
  <c r="BR607" i="1"/>
  <c r="G608" i="1"/>
  <c r="CB604" i="1"/>
  <c r="BC593" i="1"/>
  <c r="CT614" i="1"/>
  <c r="CT602" i="1"/>
  <c r="BQ599" i="1"/>
  <c r="CI594" i="1"/>
  <c r="DD612" i="1"/>
  <c r="BJ616" i="1"/>
  <c r="BL611" i="1"/>
  <c r="BO594" i="1"/>
  <c r="S593" i="1"/>
  <c r="CD599" i="1"/>
  <c r="Z590" i="1"/>
  <c r="BW599" i="1"/>
  <c r="U590" i="1"/>
  <c r="H592" i="1"/>
  <c r="BL592" i="1"/>
  <c r="O592" i="1"/>
  <c r="Z599" i="1"/>
  <c r="CD589" i="1"/>
  <c r="U599" i="1"/>
  <c r="BY589" i="1"/>
  <c r="P590" i="1"/>
  <c r="BT590" i="1"/>
  <c r="AW582" i="1"/>
  <c r="AV600" i="1"/>
  <c r="CD590" i="1"/>
  <c r="AP600" i="1"/>
  <c r="BY590" i="1"/>
  <c r="P594" i="1"/>
  <c r="BT594" i="1"/>
  <c r="CQ592" i="1"/>
  <c r="DG602" i="1"/>
  <c r="BR596" i="1"/>
  <c r="CT591" i="1"/>
  <c r="R587" i="1"/>
  <c r="CU601" i="1"/>
  <c r="BM596" i="1"/>
  <c r="CO591" i="1"/>
  <c r="M587" i="1"/>
  <c r="CB598" i="1"/>
  <c r="DD598" i="1"/>
  <c r="AB599" i="1"/>
  <c r="AN599" i="1"/>
  <c r="BM584" i="1"/>
  <c r="CO579" i="1"/>
  <c r="AJ584" i="1"/>
  <c r="BY578" i="1"/>
  <c r="CZ581" i="1"/>
  <c r="X577" i="1"/>
  <c r="BW581" i="1"/>
  <c r="CY576" i="1"/>
  <c r="AP581" i="1"/>
  <c r="BR576" i="1"/>
  <c r="L572" i="1"/>
  <c r="AN567" i="1"/>
  <c r="BP562" i="1"/>
  <c r="CR557" i="1"/>
  <c r="G572" i="1"/>
  <c r="AI567" i="1"/>
  <c r="BK562" i="1"/>
  <c r="CM557" i="1"/>
  <c r="AL572" i="1"/>
  <c r="AW578" i="1"/>
  <c r="CF581" i="1"/>
  <c r="DH576" i="1"/>
  <c r="BC581" i="1"/>
  <c r="CE576" i="1"/>
  <c r="V581" i="1"/>
  <c r="AX576" i="1"/>
  <c r="CV571" i="1"/>
  <c r="T567" i="1"/>
  <c r="AV562" i="1"/>
  <c r="BX557" i="1"/>
  <c r="CQ571" i="1"/>
  <c r="O567" i="1"/>
  <c r="AQ562" i="1"/>
  <c r="BS557" i="1"/>
  <c r="R572" i="1"/>
  <c r="BM577" i="1"/>
  <c r="P581" i="1"/>
  <c r="AR576" i="1"/>
  <c r="CQ580" i="1"/>
  <c r="O576" i="1"/>
  <c r="BJ580" i="1"/>
  <c r="CL575" i="1"/>
  <c r="AF571" i="1"/>
  <c r="BH566" i="1"/>
  <c r="CJ561" i="1"/>
  <c r="H557" i="1"/>
  <c r="AA571" i="1"/>
  <c r="BC566" i="1"/>
  <c r="CE561" i="1"/>
  <c r="DG556" i="1"/>
  <c r="BE583" i="1"/>
  <c r="CG576" i="1"/>
  <c r="BD580" i="1"/>
  <c r="AB577" i="1"/>
  <c r="K584" i="1"/>
  <c r="CA581" i="1"/>
  <c r="AM579" i="1"/>
  <c r="DC576" i="1"/>
  <c r="CH583" i="1"/>
  <c r="AT581" i="1"/>
  <c r="F579" i="1"/>
  <c r="BV576" i="1"/>
  <c r="BD574" i="1"/>
  <c r="P572" i="1"/>
  <c r="CF569" i="1"/>
  <c r="AR567" i="1"/>
  <c r="DH564" i="1"/>
  <c r="BT562" i="1"/>
  <c r="AF560" i="1"/>
  <c r="CV557" i="1"/>
  <c r="AY574" i="1"/>
  <c r="K572" i="1"/>
  <c r="CA569" i="1"/>
  <c r="AM567" i="1"/>
  <c r="DC564" i="1"/>
  <c r="BO562" i="1"/>
  <c r="AA560" i="1"/>
  <c r="CQ557" i="1"/>
  <c r="CD574" i="1"/>
  <c r="AP572" i="1"/>
  <c r="DF569" i="1"/>
  <c r="BR567" i="1"/>
  <c r="AD565" i="1"/>
  <c r="CT562" i="1"/>
  <c r="BF560" i="1"/>
  <c r="BB568" i="1"/>
  <c r="AL565" i="1"/>
  <c r="V562" i="1"/>
  <c r="AP559" i="1"/>
  <c r="DF556" i="1"/>
  <c r="BI573" i="1"/>
  <c r="U571" i="1"/>
  <c r="CK568" i="1"/>
  <c r="AW566" i="1"/>
  <c r="I564" i="1"/>
  <c r="BY561" i="1"/>
  <c r="AK559" i="1"/>
  <c r="DA556" i="1"/>
  <c r="AI554" i="1"/>
  <c r="CY551" i="1"/>
  <c r="BK549" i="1"/>
  <c r="W547" i="1"/>
  <c r="CM544" i="1"/>
  <c r="AY542" i="1"/>
  <c r="K540" i="1"/>
  <c r="CA537" i="1"/>
  <c r="AD554" i="1"/>
  <c r="CT551" i="1"/>
  <c r="BF549" i="1"/>
  <c r="R547" i="1"/>
  <c r="CH544" i="1"/>
  <c r="AT542" i="1"/>
  <c r="F540" i="1"/>
  <c r="BI556" i="1"/>
  <c r="M554" i="1"/>
  <c r="CC551" i="1"/>
  <c r="AO549" i="1"/>
  <c r="DE546" i="1"/>
  <c r="AT570" i="1"/>
  <c r="AD567" i="1"/>
  <c r="N564" i="1"/>
  <c r="CX560" i="1"/>
  <c r="AX558" i="1"/>
  <c r="DE574" i="1"/>
  <c r="BQ572" i="1"/>
  <c r="AC570" i="1"/>
  <c r="CS567" i="1"/>
  <c r="BE565" i="1"/>
  <c r="Q563" i="1"/>
  <c r="CG560" i="1"/>
  <c r="AS558" i="1"/>
  <c r="CE555" i="1"/>
  <c r="AQ553" i="1"/>
  <c r="DG550" i="1"/>
  <c r="BS548" i="1"/>
  <c r="AE546" i="1"/>
  <c r="CU543" i="1"/>
  <c r="BG541" i="1"/>
  <c r="S539" i="1"/>
  <c r="BZ555" i="1"/>
  <c r="AL553" i="1"/>
  <c r="DB550" i="1"/>
  <c r="BN548" i="1"/>
  <c r="Z546" i="1"/>
  <c r="CP543" i="1"/>
  <c r="BB541" i="1"/>
  <c r="N539" i="1"/>
  <c r="BI555" i="1"/>
  <c r="U553" i="1"/>
  <c r="CK550" i="1"/>
  <c r="V570" i="1"/>
  <c r="DF566" i="1"/>
  <c r="CP563" i="1"/>
  <c r="BZ560" i="1"/>
  <c r="AD558" i="1"/>
  <c r="CK574" i="1"/>
  <c r="AW572" i="1"/>
  <c r="I570" i="1"/>
  <c r="BY567" i="1"/>
  <c r="AK565" i="1"/>
  <c r="DA562" i="1"/>
  <c r="BM560" i="1"/>
  <c r="Y558" i="1"/>
  <c r="BK555" i="1"/>
  <c r="W553" i="1"/>
  <c r="CM550" i="1"/>
  <c r="AY548" i="1"/>
  <c r="K546" i="1"/>
  <c r="CA543" i="1"/>
  <c r="AM541" i="1"/>
  <c r="DC538" i="1"/>
  <c r="BF555" i="1"/>
  <c r="R553" i="1"/>
  <c r="CH550" i="1"/>
  <c r="AT548" i="1"/>
  <c r="F546" i="1"/>
  <c r="BV543" i="1"/>
  <c r="AH541" i="1"/>
  <c r="CX538" i="1"/>
  <c r="AO555" i="1"/>
  <c r="DE552" i="1"/>
  <c r="AL569" i="1"/>
  <c r="V566" i="1"/>
  <c r="DF562" i="1"/>
  <c r="DF559" i="1"/>
  <c r="BR557" i="1"/>
  <c r="U574" i="1"/>
  <c r="CK571" i="1"/>
  <c r="AW569" i="1"/>
  <c r="I567" i="1"/>
  <c r="BY564" i="1"/>
  <c r="AK562" i="1"/>
  <c r="DA559" i="1"/>
  <c r="BM557" i="1"/>
  <c r="CY554" i="1"/>
  <c r="BK552" i="1"/>
  <c r="W550" i="1"/>
  <c r="CM547" i="1"/>
  <c r="AY545" i="1"/>
  <c r="K543" i="1"/>
  <c r="CA540" i="1"/>
  <c r="AM538" i="1"/>
  <c r="CT554" i="1"/>
  <c r="BF552" i="1"/>
  <c r="R550" i="1"/>
  <c r="CH547" i="1"/>
  <c r="AT545" i="1"/>
  <c r="F543" i="1"/>
  <c r="BV540" i="1"/>
  <c r="AH538" i="1"/>
  <c r="CC554" i="1"/>
  <c r="AO552" i="1"/>
  <c r="DE549" i="1"/>
  <c r="BQ547" i="1"/>
  <c r="AC545" i="1"/>
  <c r="CS542" i="1"/>
  <c r="BE540" i="1"/>
  <c r="Q538" i="1"/>
  <c r="BE547" i="1"/>
  <c r="BU543" i="1"/>
  <c r="BA540" i="1"/>
  <c r="AB556" i="1"/>
  <c r="CR553" i="1"/>
  <c r="BD551" i="1"/>
  <c r="P549" i="1"/>
  <c r="CF546" i="1"/>
  <c r="AR544" i="1"/>
  <c r="DH541" i="1"/>
  <c r="BT539" i="1"/>
  <c r="X537" i="1"/>
  <c r="CN534" i="1"/>
  <c r="AZ532" i="1"/>
  <c r="L530" i="1"/>
  <c r="CB527" i="1"/>
  <c r="AN525" i="1"/>
  <c r="DD522" i="1"/>
  <c r="BP520" i="1"/>
  <c r="CF537" i="1"/>
  <c r="AM535" i="1"/>
  <c r="DC532" i="1"/>
  <c r="BO530" i="1"/>
  <c r="AA528" i="1"/>
  <c r="CQ525" i="1"/>
  <c r="BC523" i="1"/>
  <c r="O521" i="1"/>
  <c r="CE518" i="1"/>
  <c r="BV535" i="1"/>
  <c r="AH533" i="1"/>
  <c r="CX530" i="1"/>
  <c r="BJ528" i="1"/>
  <c r="V526" i="1"/>
  <c r="M547" i="1"/>
  <c r="AS543" i="1"/>
  <c r="AC540" i="1"/>
  <c r="H556" i="1"/>
  <c r="BX553" i="1"/>
  <c r="AJ551" i="1"/>
  <c r="CZ548" i="1"/>
  <c r="BL546" i="1"/>
  <c r="X544" i="1"/>
  <c r="CN541" i="1"/>
  <c r="AZ539" i="1"/>
  <c r="DH536" i="1"/>
  <c r="BT534" i="1"/>
  <c r="AF532" i="1"/>
  <c r="CV529" i="1"/>
  <c r="BH527" i="1"/>
  <c r="T525" i="1"/>
  <c r="CJ522" i="1"/>
  <c r="AV520" i="1"/>
  <c r="BG537" i="1"/>
  <c r="S535" i="1"/>
  <c r="CI532" i="1"/>
  <c r="AU530" i="1"/>
  <c r="G528" i="1"/>
  <c r="BW525" i="1"/>
  <c r="AI523" i="1"/>
  <c r="CY520" i="1"/>
  <c r="BK518" i="1"/>
  <c r="BB535" i="1"/>
  <c r="N533" i="1"/>
  <c r="CD530" i="1"/>
  <c r="BU547" i="1"/>
  <c r="CC543" i="1"/>
  <c r="BM540" i="1"/>
  <c r="AL556" i="1"/>
  <c r="CZ553" i="1"/>
  <c r="BL551" i="1"/>
  <c r="X549" i="1"/>
  <c r="CN546" i="1"/>
  <c r="AZ544" i="1"/>
  <c r="L542" i="1"/>
  <c r="CB539" i="1"/>
  <c r="AF537" i="1"/>
  <c r="CV534" i="1"/>
  <c r="BH532" i="1"/>
  <c r="T530" i="1"/>
  <c r="CJ527" i="1"/>
  <c r="AV525" i="1"/>
  <c r="H523" i="1"/>
  <c r="BX520" i="1"/>
  <c r="AJ518" i="1"/>
  <c r="AU535" i="1"/>
  <c r="G533" i="1"/>
  <c r="BW530" i="1"/>
  <c r="AI528" i="1"/>
  <c r="CY525" i="1"/>
  <c r="BK523" i="1"/>
  <c r="W521" i="1"/>
  <c r="CM518" i="1"/>
  <c r="CD535" i="1"/>
  <c r="AP533" i="1"/>
  <c r="DF530" i="1"/>
  <c r="BR528" i="1"/>
  <c r="AC547" i="1"/>
  <c r="BE543" i="1"/>
  <c r="AK540" i="1"/>
  <c r="P556" i="1"/>
  <c r="CF553" i="1"/>
  <c r="AR551" i="1"/>
  <c r="DH548" i="1"/>
  <c r="BT546" i="1"/>
  <c r="AF544" i="1"/>
  <c r="CV541" i="1"/>
  <c r="BH539" i="1"/>
  <c r="L537" i="1"/>
  <c r="CB534" i="1"/>
  <c r="AN532" i="1"/>
  <c r="DD529" i="1"/>
  <c r="BP527" i="1"/>
  <c r="AB525" i="1"/>
  <c r="CR522" i="1"/>
  <c r="BD520" i="1"/>
  <c r="BO537" i="1"/>
  <c r="AA535" i="1"/>
  <c r="CQ532" i="1"/>
  <c r="BC530" i="1"/>
  <c r="O528" i="1"/>
  <c r="CE525" i="1"/>
  <c r="AQ523" i="1"/>
  <c r="DG520" i="1"/>
  <c r="BS518" i="1"/>
  <c r="BJ535" i="1"/>
  <c r="V533" i="1"/>
  <c r="CL530" i="1"/>
  <c r="AX528" i="1"/>
  <c r="J526" i="1"/>
  <c r="BZ523" i="1"/>
  <c r="AD529" i="1"/>
  <c r="BB524" i="1"/>
  <c r="AP521" i="1"/>
  <c r="DF518" i="1"/>
  <c r="BY535" i="1"/>
  <c r="AK533" i="1"/>
  <c r="M531" i="1"/>
  <c r="AO526" i="1"/>
  <c r="DE523" i="1"/>
  <c r="BQ521" i="1"/>
  <c r="AC519" i="1"/>
  <c r="BS516" i="1"/>
  <c r="AE514" i="1"/>
  <c r="CU511" i="1"/>
  <c r="BG509" i="1"/>
  <c r="S507" i="1"/>
  <c r="CI504" i="1"/>
  <c r="AU502" i="1"/>
  <c r="G500" i="1"/>
  <c r="BW497" i="1"/>
  <c r="AI495" i="1"/>
  <c r="CY492" i="1"/>
  <c r="BK490" i="1"/>
  <c r="W488" i="1"/>
  <c r="CM485" i="1"/>
  <c r="AY483" i="1"/>
  <c r="K481" i="1"/>
  <c r="BN516" i="1"/>
  <c r="Z514" i="1"/>
  <c r="CP511" i="1"/>
  <c r="BB509" i="1"/>
  <c r="N507" i="1"/>
  <c r="CD504" i="1"/>
  <c r="AP502" i="1"/>
  <c r="DF499" i="1"/>
  <c r="BR497" i="1"/>
  <c r="AD495" i="1"/>
  <c r="CT492" i="1"/>
  <c r="BF490" i="1"/>
  <c r="R488" i="1"/>
  <c r="CH485" i="1"/>
  <c r="AT483" i="1"/>
  <c r="F481" i="1"/>
  <c r="BI516" i="1"/>
  <c r="U514" i="1"/>
  <c r="CK511" i="1"/>
  <c r="AW509" i="1"/>
  <c r="I507" i="1"/>
  <c r="BY504" i="1"/>
  <c r="AK502" i="1"/>
  <c r="DA499" i="1"/>
  <c r="BM497" i="1"/>
  <c r="Y495" i="1"/>
  <c r="CO492" i="1"/>
  <c r="BA490" i="1"/>
  <c r="M488" i="1"/>
  <c r="CC485" i="1"/>
  <c r="AO483" i="1"/>
  <c r="DE480" i="1"/>
  <c r="AR516" i="1"/>
  <c r="DH513" i="1"/>
  <c r="BT511" i="1"/>
  <c r="AF509" i="1"/>
  <c r="AL527" i="1"/>
  <c r="BR523" i="1"/>
  <c r="CD520" i="1"/>
  <c r="AW537" i="1"/>
  <c r="I535" i="1"/>
  <c r="BY532" i="1"/>
  <c r="AK530" i="1"/>
  <c r="DA527" i="1"/>
  <c r="BM525" i="1"/>
  <c r="Y523" i="1"/>
  <c r="CO520" i="1"/>
  <c r="AA518" i="1"/>
  <c r="CQ515" i="1"/>
  <c r="BC513" i="1"/>
  <c r="O511" i="1"/>
  <c r="CE508" i="1"/>
  <c r="AQ506" i="1"/>
  <c r="DG503" i="1"/>
  <c r="BS501" i="1"/>
  <c r="AE499" i="1"/>
  <c r="CU496" i="1"/>
  <c r="BG494" i="1"/>
  <c r="S492" i="1"/>
  <c r="CI489" i="1"/>
  <c r="K461" i="1"/>
  <c r="I647" i="1"/>
  <c r="BZ636" i="1"/>
  <c r="AV637" i="1"/>
  <c r="CO630" i="1"/>
  <c r="DE633" i="1"/>
  <c r="F629" i="1"/>
  <c r="CP628" i="1"/>
  <c r="BR630" i="1"/>
  <c r="P622" i="1"/>
  <c r="U630" i="1"/>
  <c r="K623" i="1"/>
  <c r="AR613" i="1"/>
  <c r="AW619" i="1"/>
  <c r="L616" i="1"/>
  <c r="G611" i="1"/>
  <c r="H617" i="1"/>
  <c r="BJ619" i="1"/>
  <c r="F617" i="1"/>
  <c r="DA616" i="1"/>
  <c r="CO620" i="1"/>
  <c r="BA618" i="1"/>
  <c r="AO615" i="1"/>
  <c r="BS615" i="1"/>
  <c r="AG608" i="1"/>
  <c r="DE615" i="1"/>
  <c r="AP606" i="1"/>
  <c r="M603" i="1"/>
  <c r="AE598" i="1"/>
  <c r="AN612" i="1"/>
  <c r="DF613" i="1"/>
  <c r="AW605" i="1"/>
  <c r="CY600" i="1"/>
  <c r="AX617" i="1"/>
  <c r="AU606" i="1"/>
  <c r="CC606" i="1"/>
  <c r="BV602" i="1"/>
  <c r="V616" i="1"/>
  <c r="AA606" i="1"/>
  <c r="BI606" i="1"/>
  <c r="AU602" i="1"/>
  <c r="AA592" i="1"/>
  <c r="BG589" i="1"/>
  <c r="AL597" i="1"/>
  <c r="CP587" i="1"/>
  <c r="AG597" i="1"/>
  <c r="CK587" i="1"/>
  <c r="U585" i="1"/>
  <c r="AI585" i="1"/>
  <c r="CU588" i="1"/>
  <c r="CP596" i="1"/>
  <c r="AP587" i="1"/>
  <c r="CK596" i="1"/>
  <c r="AK587" i="1"/>
  <c r="DB599" i="1"/>
  <c r="CM584" i="1"/>
  <c r="AA590" i="1"/>
  <c r="CP597" i="1"/>
  <c r="AP588" i="1"/>
  <c r="CK597" i="1"/>
  <c r="AK588" i="1"/>
  <c r="CM585" i="1"/>
  <c r="DH585" i="1"/>
  <c r="BO589" i="1"/>
  <c r="CH600" i="1"/>
  <c r="AX595" i="1"/>
  <c r="BZ590" i="1"/>
  <c r="DB585" i="1"/>
  <c r="AJ600" i="1"/>
  <c r="AS595" i="1"/>
  <c r="BU590" i="1"/>
  <c r="AM605" i="1"/>
  <c r="DD593" i="1"/>
  <c r="AB594" i="1"/>
  <c r="BD594" i="1"/>
  <c r="BP594" i="1"/>
  <c r="AS583" i="1"/>
  <c r="BU578" i="1"/>
  <c r="P583" i="1"/>
  <c r="M577" i="1"/>
  <c r="CF580" i="1"/>
  <c r="DH575" i="1"/>
  <c r="BC580" i="1"/>
  <c r="CE575" i="1"/>
  <c r="V580" i="1"/>
  <c r="AX575" i="1"/>
  <c r="CV570" i="1"/>
  <c r="T566" i="1"/>
  <c r="AV561" i="1"/>
  <c r="BX556" i="1"/>
  <c r="CQ570" i="1"/>
  <c r="O566" i="1"/>
  <c r="AQ561" i="1"/>
  <c r="BS556" i="1"/>
  <c r="BU583" i="1"/>
  <c r="CO576" i="1"/>
  <c r="BL580" i="1"/>
  <c r="CN575" i="1"/>
  <c r="AI580" i="1"/>
  <c r="CD584" i="1"/>
  <c r="DF579" i="1"/>
  <c r="BE575" i="1"/>
  <c r="CB570" i="1"/>
  <c r="DD565" i="1"/>
  <c r="AB561" i="1"/>
  <c r="AY575" i="1"/>
  <c r="BW570" i="1"/>
  <c r="CY565" i="1"/>
  <c r="W561" i="1"/>
  <c r="AY556" i="1"/>
  <c r="AS582" i="1"/>
  <c r="DI575" i="1"/>
  <c r="CZ579" i="1"/>
  <c r="AU584" i="1"/>
  <c r="BW579" i="1"/>
  <c r="N584" i="1"/>
  <c r="AP579" i="1"/>
  <c r="CN574" i="1"/>
  <c r="L570" i="1"/>
  <c r="AN565" i="1"/>
  <c r="BP560" i="1"/>
  <c r="CI574" i="1"/>
  <c r="G570" i="1"/>
  <c r="AI565" i="1"/>
  <c r="BK560" i="1"/>
  <c r="J575" i="1"/>
  <c r="BE581" i="1"/>
  <c r="AR584" i="1"/>
  <c r="BP579" i="1"/>
  <c r="BT576" i="1"/>
  <c r="BC583" i="1"/>
  <c r="O581" i="1"/>
  <c r="CE578" i="1"/>
  <c r="AQ576" i="1"/>
  <c r="V583" i="1"/>
  <c r="CL580" i="1"/>
  <c r="AX578" i="1"/>
  <c r="J576" i="1"/>
  <c r="CV573" i="1"/>
  <c r="BH571" i="1"/>
  <c r="T569" i="1"/>
  <c r="CJ566" i="1"/>
  <c r="AV564" i="1"/>
  <c r="H562" i="1"/>
  <c r="BX559" i="1"/>
  <c r="AJ557" i="1"/>
  <c r="CQ573" i="1"/>
  <c r="BC571" i="1"/>
  <c r="O569" i="1"/>
  <c r="CE566" i="1"/>
  <c r="AQ564" i="1"/>
  <c r="DG561" i="1"/>
  <c r="BS559" i="1"/>
  <c r="AE557" i="1"/>
  <c r="R574" i="1"/>
  <c r="CH571" i="1"/>
  <c r="AT569" i="1"/>
  <c r="F567" i="1"/>
  <c r="BV564" i="1"/>
  <c r="AH562" i="1"/>
  <c r="CP570" i="1"/>
  <c r="BZ567" i="1"/>
  <c r="BJ564" i="1"/>
  <c r="AP561" i="1"/>
  <c r="CH558" i="1"/>
  <c r="AK575" i="1"/>
  <c r="DA572" i="1"/>
  <c r="BM570" i="1"/>
  <c r="Y568" i="1"/>
  <c r="CO565" i="1"/>
  <c r="BA563" i="1"/>
  <c r="M561" i="1"/>
  <c r="CC558" i="1"/>
  <c r="K556" i="1"/>
  <c r="CA553" i="1"/>
  <c r="AM551" i="1"/>
  <c r="DC548" i="1"/>
  <c r="BO546" i="1"/>
  <c r="AA544" i="1"/>
  <c r="CQ541" i="1"/>
  <c r="BC539" i="1"/>
  <c r="F556" i="1"/>
  <c r="BV553" i="1"/>
  <c r="AH551" i="1"/>
  <c r="CX548" i="1"/>
  <c r="BJ546" i="1"/>
  <c r="V544" i="1"/>
  <c r="CL541" i="1"/>
  <c r="AX539" i="1"/>
  <c r="CS555" i="1"/>
  <c r="BE553" i="1"/>
  <c r="Q551" i="1"/>
  <c r="CG548" i="1"/>
  <c r="AS546" i="1"/>
  <c r="BR569" i="1"/>
  <c r="BB566" i="1"/>
  <c r="AH563" i="1"/>
  <c r="Z560" i="1"/>
  <c r="CP557" i="1"/>
  <c r="AS574" i="1"/>
  <c r="DI571" i="1"/>
  <c r="BU569" i="1"/>
  <c r="AG567" i="1"/>
  <c r="CW564" i="1"/>
  <c r="BI562" i="1"/>
  <c r="U560" i="1"/>
  <c r="CK557" i="1"/>
  <c r="S555" i="1"/>
  <c r="CI552" i="1"/>
  <c r="AU550" i="1"/>
  <c r="G548" i="1"/>
  <c r="BW545" i="1"/>
  <c r="AI543" i="1"/>
  <c r="CY540" i="1"/>
  <c r="BK538" i="1"/>
  <c r="N555" i="1"/>
  <c r="CD552" i="1"/>
  <c r="AP550" i="1"/>
  <c r="DF547" i="1"/>
  <c r="BR545" i="1"/>
  <c r="AD543" i="1"/>
  <c r="CT540" i="1"/>
  <c r="BF538" i="1"/>
  <c r="DA554" i="1"/>
  <c r="BM552" i="1"/>
  <c r="Y550" i="1"/>
  <c r="AP569" i="1"/>
  <c r="Z566" i="1"/>
  <c r="J563" i="1"/>
  <c r="F560" i="1"/>
  <c r="BV557" i="1"/>
  <c r="Y574" i="1"/>
  <c r="CO571" i="1"/>
  <c r="BA569" i="1"/>
  <c r="M567" i="1"/>
  <c r="CC564" i="1"/>
  <c r="AO562" i="1"/>
  <c r="DE559" i="1"/>
  <c r="BQ557" i="1"/>
  <c r="DC554" i="1"/>
  <c r="BO552" i="1"/>
  <c r="AA550" i="1"/>
  <c r="CQ547" i="1"/>
  <c r="BC545" i="1"/>
  <c r="O543" i="1"/>
  <c r="CE540" i="1"/>
  <c r="AQ538" i="1"/>
  <c r="CX554" i="1"/>
  <c r="BJ552" i="1"/>
  <c r="V550" i="1"/>
  <c r="CL547" i="1"/>
  <c r="AX545" i="1"/>
  <c r="J543" i="1"/>
  <c r="BZ540" i="1"/>
  <c r="AL538" i="1"/>
  <c r="CG554" i="1"/>
  <c r="AS552" i="1"/>
  <c r="BJ568" i="1"/>
  <c r="AP565" i="1"/>
  <c r="Z562" i="1"/>
  <c r="AT559" i="1"/>
  <c r="F557" i="1"/>
  <c r="BM573" i="1"/>
  <c r="Y571" i="1"/>
  <c r="CO568" i="1"/>
  <c r="BA566" i="1"/>
  <c r="M564" i="1"/>
  <c r="CC561" i="1"/>
  <c r="AO559" i="1"/>
  <c r="DE556" i="1"/>
  <c r="AM554" i="1"/>
  <c r="DC551" i="1"/>
  <c r="BO549" i="1"/>
  <c r="AA547" i="1"/>
  <c r="CQ544" i="1"/>
  <c r="BC542" i="1"/>
  <c r="O540" i="1"/>
  <c r="CE537" i="1"/>
  <c r="AH554" i="1"/>
  <c r="CX551" i="1"/>
  <c r="BJ549" i="1"/>
  <c r="V547" i="1"/>
  <c r="CL544" i="1"/>
  <c r="AX542" i="1"/>
  <c r="J540" i="1"/>
  <c r="BQ556" i="1"/>
  <c r="Q554" i="1"/>
  <c r="CG551" i="1"/>
  <c r="AS549" i="1"/>
  <c r="DI546" i="1"/>
  <c r="BU544" i="1"/>
  <c r="AG542" i="1"/>
  <c r="CW539" i="1"/>
  <c r="BB556" i="1"/>
  <c r="AK546" i="1"/>
  <c r="CO542" i="1"/>
  <c r="BY539" i="1"/>
  <c r="BT555" i="1"/>
  <c r="AF553" i="1"/>
  <c r="CV550" i="1"/>
  <c r="BH548" i="1"/>
  <c r="T546" i="1"/>
  <c r="CJ543" i="1"/>
  <c r="AV541" i="1"/>
  <c r="H539" i="1"/>
  <c r="BP536" i="1"/>
  <c r="AB534" i="1"/>
  <c r="CR531" i="1"/>
  <c r="BD529" i="1"/>
  <c r="P527" i="1"/>
  <c r="CF524" i="1"/>
  <c r="AR522" i="1"/>
  <c r="DH519" i="1"/>
  <c r="O537" i="1"/>
  <c r="CE534" i="1"/>
  <c r="AQ532" i="1"/>
  <c r="DG529" i="1"/>
  <c r="BS527" i="1"/>
  <c r="AE525" i="1"/>
  <c r="CU522" i="1"/>
  <c r="BG520" i="1"/>
  <c r="AX537" i="1"/>
  <c r="J535" i="1"/>
  <c r="BZ532" i="1"/>
  <c r="AL530" i="1"/>
  <c r="DB527" i="1"/>
  <c r="DA551" i="1"/>
  <c r="CW545" i="1"/>
  <c r="BQ542" i="1"/>
  <c r="AW539" i="1"/>
  <c r="AZ555" i="1"/>
  <c r="L553" i="1"/>
  <c r="CB550" i="1"/>
  <c r="AN548" i="1"/>
  <c r="DD545" i="1"/>
  <c r="BP543" i="1"/>
  <c r="AB541" i="1"/>
  <c r="CR538" i="1"/>
  <c r="AV536" i="1"/>
  <c r="H534" i="1"/>
  <c r="BX531" i="1"/>
  <c r="AJ529" i="1"/>
  <c r="CZ526" i="1"/>
  <c r="BL524" i="1"/>
  <c r="X522" i="1"/>
  <c r="CN519" i="1"/>
  <c r="CY536" i="1"/>
  <c r="BK534" i="1"/>
  <c r="W532" i="1"/>
  <c r="CM529" i="1"/>
  <c r="AY527" i="1"/>
  <c r="K525" i="1"/>
  <c r="CA522" i="1"/>
  <c r="AM520" i="1"/>
  <c r="AD537" i="1"/>
  <c r="CT534" i="1"/>
  <c r="BF532" i="1"/>
  <c r="R530" i="1"/>
  <c r="BA546" i="1"/>
  <c r="DA542" i="1"/>
  <c r="CK539" i="1"/>
  <c r="CB555" i="1"/>
  <c r="AN553" i="1"/>
  <c r="DD550" i="1"/>
  <c r="BP548" i="1"/>
  <c r="AB546" i="1"/>
  <c r="CR543" i="1"/>
  <c r="BD541" i="1"/>
  <c r="P539" i="1"/>
  <c r="BX536" i="1"/>
  <c r="AJ534" i="1"/>
  <c r="CZ531" i="1"/>
  <c r="BL529" i="1"/>
  <c r="X527" i="1"/>
  <c r="CN524" i="1"/>
  <c r="AZ522" i="1"/>
  <c r="L520" i="1"/>
  <c r="W537" i="1"/>
  <c r="CM534" i="1"/>
  <c r="AY532" i="1"/>
  <c r="K530" i="1"/>
  <c r="CA527" i="1"/>
  <c r="AM525" i="1"/>
  <c r="DC522" i="1"/>
  <c r="BO520" i="1"/>
  <c r="BF537" i="1"/>
  <c r="R535" i="1"/>
  <c r="CH532" i="1"/>
  <c r="AT530" i="1"/>
  <c r="F528" i="1"/>
  <c r="I546" i="1"/>
  <c r="BY542" i="1"/>
  <c r="BI539" i="1"/>
  <c r="BH555" i="1"/>
  <c r="T553" i="1"/>
  <c r="CJ550" i="1"/>
  <c r="AV548" i="1"/>
  <c r="H546" i="1"/>
  <c r="BX543" i="1"/>
  <c r="AJ541" i="1"/>
  <c r="CZ538" i="1"/>
  <c r="BD536" i="1"/>
  <c r="P534" i="1"/>
  <c r="CF531" i="1"/>
  <c r="AR529" i="1"/>
  <c r="DH526" i="1"/>
  <c r="BT524" i="1"/>
  <c r="AF522" i="1"/>
  <c r="CV519" i="1"/>
  <c r="DG536" i="1"/>
  <c r="BS534" i="1"/>
  <c r="AE532" i="1"/>
  <c r="CU529" i="1"/>
  <c r="BG527" i="1"/>
  <c r="S525" i="1"/>
  <c r="CI522" i="1"/>
  <c r="AU520" i="1"/>
  <c r="AL537" i="1"/>
  <c r="DB534" i="1"/>
  <c r="BN532" i="1"/>
  <c r="Z530" i="1"/>
  <c r="CP527" i="1"/>
  <c r="BB525" i="1"/>
  <c r="N523" i="1"/>
  <c r="AX527" i="1"/>
  <c r="BV523" i="1"/>
  <c r="CH520" i="1"/>
  <c r="BA537" i="1"/>
  <c r="M535" i="1"/>
  <c r="AK529" i="1"/>
  <c r="CG525" i="1"/>
  <c r="AS523" i="1"/>
  <c r="DI520" i="1"/>
  <c r="BB518" i="1"/>
  <c r="G516" i="1"/>
  <c r="BW513" i="1"/>
  <c r="AI511" i="1"/>
  <c r="CY508" i="1"/>
  <c r="BK506" i="1"/>
  <c r="W504" i="1"/>
  <c r="CM501" i="1"/>
  <c r="AY499" i="1"/>
  <c r="K497" i="1"/>
  <c r="CA494" i="1"/>
  <c r="AM492" i="1"/>
  <c r="DC489" i="1"/>
  <c r="BO487" i="1"/>
  <c r="AA485" i="1"/>
  <c r="CQ482" i="1"/>
  <c r="AT518" i="1"/>
  <c r="DF515" i="1"/>
  <c r="BR513" i="1"/>
  <c r="AD511" i="1"/>
  <c r="CT508" i="1"/>
  <c r="BF506" i="1"/>
  <c r="R504" i="1"/>
  <c r="CH501" i="1"/>
  <c r="AT499" i="1"/>
  <c r="F497" i="1"/>
  <c r="BV494" i="1"/>
  <c r="AH492" i="1"/>
  <c r="CX489" i="1"/>
  <c r="BJ487" i="1"/>
  <c r="V485" i="1"/>
  <c r="CL482" i="1"/>
  <c r="AM518" i="1"/>
  <c r="DA515" i="1"/>
  <c r="BM513" i="1"/>
  <c r="Y511" i="1"/>
  <c r="CO508" i="1"/>
  <c r="BA506" i="1"/>
  <c r="M504" i="1"/>
  <c r="CC501" i="1"/>
  <c r="AO499" i="1"/>
  <c r="DE496" i="1"/>
  <c r="BQ494" i="1"/>
  <c r="AC492" i="1"/>
  <c r="CS489" i="1"/>
  <c r="BE487" i="1"/>
  <c r="Q485" i="1"/>
  <c r="CG482" i="1"/>
  <c r="T518" i="1"/>
  <c r="CJ515" i="1"/>
  <c r="AV513" i="1"/>
  <c r="H511" i="1"/>
  <c r="BX508" i="1"/>
  <c r="R526" i="1"/>
  <c r="CP522" i="1"/>
  <c r="R520" i="1"/>
  <c r="CO536" i="1"/>
  <c r="BA534" i="1"/>
  <c r="M532" i="1"/>
  <c r="CC529" i="1"/>
  <c r="AO527" i="1"/>
  <c r="DE524" i="1"/>
  <c r="BQ522" i="1"/>
  <c r="AC520" i="1"/>
  <c r="BS517" i="1"/>
  <c r="AE515" i="1"/>
  <c r="CU512" i="1"/>
  <c r="BG510" i="1"/>
  <c r="S508" i="1"/>
  <c r="CI505" i="1"/>
  <c r="AU503" i="1"/>
  <c r="G501" i="1"/>
  <c r="BW498" i="1"/>
  <c r="AI496" i="1"/>
  <c r="CY493" i="1"/>
  <c r="BK491" i="1"/>
  <c r="W489" i="1"/>
  <c r="T652" i="1"/>
  <c r="U640" i="1"/>
  <c r="BI640" i="1"/>
  <c r="CW630" i="1"/>
  <c r="CS637" i="1"/>
  <c r="P632" i="1"/>
  <c r="X624" i="1"/>
  <c r="DH623" i="1"/>
  <c r="CG627" i="1"/>
  <c r="K622" i="1"/>
  <c r="AZ626" i="1"/>
  <c r="BJ622" i="1"/>
  <c r="CE617" i="1"/>
  <c r="N612" i="1"/>
  <c r="CN619" i="1"/>
  <c r="BA614" i="1"/>
  <c r="CL625" i="1"/>
  <c r="BQ615" i="1"/>
  <c r="AW613" i="1"/>
  <c r="Q612" i="1"/>
  <c r="K618" i="1"/>
  <c r="AQ614" i="1"/>
  <c r="AX612" i="1"/>
  <c r="AG610" i="1"/>
  <c r="CS611" i="1"/>
  <c r="T609" i="1"/>
  <c r="DF603" i="1"/>
  <c r="CC600" i="1"/>
  <c r="CU595" i="1"/>
  <c r="BY615" i="1"/>
  <c r="AL606" i="1"/>
  <c r="I603" i="1"/>
  <c r="AA598" i="1"/>
  <c r="BL609" i="1"/>
  <c r="CL607" i="1"/>
  <c r="AO604" i="1"/>
  <c r="BG599" i="1"/>
  <c r="AA609" i="1"/>
  <c r="BK607" i="1"/>
  <c r="U604" i="1"/>
  <c r="AM599" i="1"/>
  <c r="CQ589" i="1"/>
  <c r="AQ586" i="1"/>
  <c r="DB594" i="1"/>
  <c r="BB585" i="1"/>
  <c r="CW594" i="1"/>
  <c r="AQ604" i="1"/>
  <c r="AJ592" i="1"/>
  <c r="BX592" i="1"/>
  <c r="L610" i="1"/>
  <c r="BB594" i="1"/>
  <c r="DE607" i="1"/>
  <c r="AW594" i="1"/>
  <c r="AU603" i="1"/>
  <c r="AR590" i="1"/>
  <c r="CF590" i="1"/>
  <c r="K587" i="1"/>
  <c r="BB595" i="1"/>
  <c r="DF585" i="1"/>
  <c r="AW595" i="1"/>
  <c r="AU605" i="1"/>
  <c r="AR594" i="1"/>
  <c r="CF594" i="1"/>
  <c r="AU587" i="1"/>
  <c r="DF598" i="1"/>
  <c r="AD594" i="1"/>
  <c r="BF589" i="1"/>
  <c r="CR606" i="1"/>
  <c r="DA598" i="1"/>
  <c r="Y594" i="1"/>
  <c r="BA589" i="1"/>
  <c r="DC602" i="1"/>
  <c r="AB589" i="1"/>
  <c r="BD589" i="1"/>
  <c r="CF589" i="1"/>
  <c r="CR589" i="1"/>
  <c r="Y582" i="1"/>
  <c r="BA577" i="1"/>
  <c r="CO581" i="1"/>
  <c r="CB584" i="1"/>
  <c r="BL579" i="1"/>
  <c r="G584" i="1"/>
  <c r="AI579" i="1"/>
  <c r="CD583" i="1"/>
  <c r="DF578" i="1"/>
  <c r="AZ574" i="1"/>
  <c r="CB569" i="1"/>
  <c r="DD564" i="1"/>
  <c r="AB560" i="1"/>
  <c r="AU574" i="1"/>
  <c r="BW569" i="1"/>
  <c r="CY564" i="1"/>
  <c r="W560" i="1"/>
  <c r="BZ574" i="1"/>
  <c r="BM581" i="1"/>
  <c r="BD584" i="1"/>
  <c r="AR579" i="1"/>
  <c r="CQ583" i="1"/>
  <c r="O579" i="1"/>
  <c r="BJ583" i="1"/>
  <c r="CL578" i="1"/>
  <c r="AF574" i="1"/>
  <c r="BH569" i="1"/>
  <c r="CJ564" i="1"/>
  <c r="H560" i="1"/>
  <c r="AA574" i="1"/>
  <c r="BC569" i="1"/>
  <c r="CE564" i="1"/>
  <c r="DG559" i="1"/>
  <c r="BF574" i="1"/>
  <c r="CG580" i="1"/>
  <c r="BT583" i="1"/>
  <c r="CF578" i="1"/>
  <c r="AA583" i="1"/>
  <c r="BC578" i="1"/>
  <c r="CX582" i="1"/>
  <c r="V578" i="1"/>
  <c r="BT573" i="1"/>
  <c r="CV568" i="1"/>
  <c r="T564" i="1"/>
  <c r="AV559" i="1"/>
  <c r="BO573" i="1"/>
  <c r="CQ568" i="1"/>
  <c r="O564" i="1"/>
  <c r="AQ559" i="1"/>
  <c r="CT573" i="1"/>
  <c r="CW579" i="1"/>
  <c r="CR582" i="1"/>
  <c r="CR578" i="1"/>
  <c r="H576" i="1"/>
  <c r="CU582" i="1"/>
  <c r="BG580" i="1"/>
  <c r="S578" i="1"/>
  <c r="CI575" i="1"/>
  <c r="BN582" i="1"/>
  <c r="Z580" i="1"/>
  <c r="CP577" i="1"/>
  <c r="BB575" i="1"/>
  <c r="AJ573" i="1"/>
  <c r="CZ570" i="1"/>
  <c r="BL568" i="1"/>
  <c r="X566" i="1"/>
  <c r="CN563" i="1"/>
  <c r="AZ561" i="1"/>
  <c r="L559" i="1"/>
  <c r="CB556" i="1"/>
  <c r="AE573" i="1"/>
  <c r="CU570" i="1"/>
  <c r="BG568" i="1"/>
  <c r="S566" i="1"/>
  <c r="CI563" i="1"/>
  <c r="AU561" i="1"/>
  <c r="G559" i="1"/>
  <c r="BW556" i="1"/>
  <c r="BJ573" i="1"/>
  <c r="V571" i="1"/>
  <c r="CL568" i="1"/>
  <c r="AX566" i="1"/>
  <c r="J564" i="1"/>
  <c r="BZ561" i="1"/>
  <c r="J570" i="1"/>
  <c r="CX566" i="1"/>
  <c r="CD563" i="1"/>
  <c r="BN560" i="1"/>
  <c r="V558" i="1"/>
  <c r="CC574" i="1"/>
  <c r="AO572" i="1"/>
  <c r="DE569" i="1"/>
  <c r="BQ567" i="1"/>
  <c r="AC565" i="1"/>
  <c r="CS562" i="1"/>
  <c r="BE560" i="1"/>
  <c r="Q558" i="1"/>
  <c r="BC555" i="1"/>
  <c r="O553" i="1"/>
  <c r="CE550" i="1"/>
  <c r="AQ548" i="1"/>
  <c r="DG545" i="1"/>
  <c r="BS543" i="1"/>
  <c r="AE541" i="1"/>
  <c r="CU538" i="1"/>
  <c r="AX555" i="1"/>
  <c r="J553" i="1"/>
  <c r="BZ550" i="1"/>
  <c r="AL548" i="1"/>
  <c r="DB545" i="1"/>
  <c r="BN543" i="1"/>
  <c r="Z541" i="1"/>
  <c r="CP538" i="1"/>
  <c r="AG555" i="1"/>
  <c r="CW552" i="1"/>
  <c r="BI550" i="1"/>
  <c r="U548" i="1"/>
  <c r="CK545" i="1"/>
  <c r="CP568" i="1"/>
  <c r="BV565" i="1"/>
  <c r="BF562" i="1"/>
  <c r="BR559" i="1"/>
  <c r="AD557" i="1"/>
  <c r="CK573" i="1"/>
  <c r="AW571" i="1"/>
  <c r="I569" i="1"/>
  <c r="BY566" i="1"/>
  <c r="AK564" i="1"/>
  <c r="DA561" i="1"/>
  <c r="BM559" i="1"/>
  <c r="Y557" i="1"/>
  <c r="BK554" i="1"/>
  <c r="W552" i="1"/>
  <c r="CM549" i="1"/>
  <c r="AY547" i="1"/>
  <c r="K545" i="1"/>
  <c r="CA542" i="1"/>
  <c r="AM540" i="1"/>
  <c r="DC537" i="1"/>
  <c r="BF554" i="1"/>
  <c r="R552" i="1"/>
  <c r="CH549" i="1"/>
  <c r="AT547" i="1"/>
  <c r="F545" i="1"/>
  <c r="BV542" i="1"/>
  <c r="AH540" i="1"/>
  <c r="CX537" i="1"/>
  <c r="AO554" i="1"/>
  <c r="DE551" i="1"/>
  <c r="BQ549" i="1"/>
  <c r="BN568" i="1"/>
  <c r="AX565" i="1"/>
  <c r="AD562" i="1"/>
  <c r="AX559" i="1"/>
  <c r="J557" i="1"/>
  <c r="BQ573" i="1"/>
  <c r="AC571" i="1"/>
  <c r="CS568" i="1"/>
  <c r="BE566" i="1"/>
  <c r="Q564" i="1"/>
  <c r="CG561" i="1"/>
  <c r="AS559" i="1"/>
  <c r="DI556" i="1"/>
  <c r="AQ554" i="1"/>
  <c r="DG551" i="1"/>
  <c r="BS549" i="1"/>
  <c r="AE547" i="1"/>
  <c r="CU544" i="1"/>
  <c r="BG542" i="1"/>
  <c r="S540" i="1"/>
  <c r="CI537" i="1"/>
  <c r="AL554" i="1"/>
  <c r="DB551" i="1"/>
  <c r="BN549" i="1"/>
  <c r="Z547" i="1"/>
  <c r="CP544" i="1"/>
  <c r="BB542" i="1"/>
  <c r="N540" i="1"/>
  <c r="CG556" i="1"/>
  <c r="U554" i="1"/>
  <c r="CX570" i="1"/>
  <c r="CD567" i="1"/>
  <c r="BN564" i="1"/>
  <c r="AX561" i="1"/>
  <c r="CL558" i="1"/>
  <c r="AQ575" i="1"/>
  <c r="DE572" i="1"/>
  <c r="BQ570" i="1"/>
  <c r="AC568" i="1"/>
  <c r="CS565" i="1"/>
  <c r="BE563" i="1"/>
  <c r="Q561" i="1"/>
  <c r="CG558" i="1"/>
  <c r="O556" i="1"/>
  <c r="CE553" i="1"/>
  <c r="AQ551" i="1"/>
  <c r="DG548" i="1"/>
  <c r="BS546" i="1"/>
  <c r="AE544" i="1"/>
  <c r="CU541" i="1"/>
  <c r="BG539" i="1"/>
  <c r="J556" i="1"/>
  <c r="BZ553" i="1"/>
  <c r="AL551" i="1"/>
  <c r="DB548" i="1"/>
  <c r="BN546" i="1"/>
  <c r="Z544" i="1"/>
  <c r="CP541" i="1"/>
  <c r="BB539" i="1"/>
  <c r="CW555" i="1"/>
  <c r="BI553" i="1"/>
  <c r="U551" i="1"/>
  <c r="CK548" i="1"/>
  <c r="AW546" i="1"/>
  <c r="I544" i="1"/>
  <c r="BY541" i="1"/>
  <c r="AK539" i="1"/>
  <c r="AK550" i="1"/>
  <c r="Y545" i="1"/>
  <c r="I542" i="1"/>
  <c r="CW538" i="1"/>
  <c r="H555" i="1"/>
  <c r="BX552" i="1"/>
  <c r="AJ550" i="1"/>
  <c r="CZ547" i="1"/>
  <c r="BL545" i="1"/>
  <c r="X543" i="1"/>
  <c r="CN540" i="1"/>
  <c r="AZ538" i="1"/>
  <c r="DH535" i="1"/>
  <c r="BT533" i="1"/>
  <c r="AF531" i="1"/>
  <c r="CV528" i="1"/>
  <c r="BH526" i="1"/>
  <c r="T524" i="1"/>
  <c r="CJ521" i="1"/>
  <c r="AV519" i="1"/>
  <c r="BG536" i="1"/>
  <c r="S534" i="1"/>
  <c r="CI531" i="1"/>
  <c r="AU529" i="1"/>
  <c r="G527" i="1"/>
  <c r="BW524" i="1"/>
  <c r="AI522" i="1"/>
  <c r="CY519" i="1"/>
  <c r="CP536" i="1"/>
  <c r="BB534" i="1"/>
  <c r="N532" i="1"/>
  <c r="CD529" i="1"/>
  <c r="AP527" i="1"/>
  <c r="BM549" i="1"/>
  <c r="DE544" i="1"/>
  <c r="CK541" i="1"/>
  <c r="BU538" i="1"/>
  <c r="CR554" i="1"/>
  <c r="BD552" i="1"/>
  <c r="P550" i="1"/>
  <c r="CF547" i="1"/>
  <c r="AR545" i="1"/>
  <c r="DH542" i="1"/>
  <c r="BT540" i="1"/>
  <c r="AF538" i="1"/>
  <c r="CN535" i="1"/>
  <c r="AZ533" i="1"/>
  <c r="L531" i="1"/>
  <c r="CB528" i="1"/>
  <c r="AN526" i="1"/>
  <c r="DD523" i="1"/>
  <c r="BP521" i="1"/>
  <c r="AB519" i="1"/>
  <c r="AM536" i="1"/>
  <c r="DC533" i="1"/>
  <c r="BO531" i="1"/>
  <c r="AA529" i="1"/>
  <c r="CQ526" i="1"/>
  <c r="BC524" i="1"/>
  <c r="O522" i="1"/>
  <c r="CE519" i="1"/>
  <c r="BV536" i="1"/>
  <c r="AH534" i="1"/>
  <c r="CX531" i="1"/>
  <c r="BQ550" i="1"/>
  <c r="AK545" i="1"/>
  <c r="U542" i="1"/>
  <c r="DE538" i="1"/>
  <c r="P555" i="1"/>
  <c r="CF552" i="1"/>
  <c r="AR550" i="1"/>
  <c r="DH547" i="1"/>
  <c r="BT545" i="1"/>
  <c r="AF543" i="1"/>
  <c r="CV540" i="1"/>
  <c r="BH538" i="1"/>
  <c r="L536" i="1"/>
  <c r="CB533" i="1"/>
  <c r="AN531" i="1"/>
  <c r="DD528" i="1"/>
  <c r="BP526" i="1"/>
  <c r="AB524" i="1"/>
  <c r="CR521" i="1"/>
  <c r="BD519" i="1"/>
  <c r="BO536" i="1"/>
  <c r="AA534" i="1"/>
  <c r="CQ531" i="1"/>
  <c r="BC529" i="1"/>
  <c r="O527" i="1"/>
  <c r="CE524" i="1"/>
  <c r="AQ522" i="1"/>
  <c r="DG519" i="1"/>
  <c r="CX536" i="1"/>
  <c r="BJ534" i="1"/>
  <c r="V532" i="1"/>
  <c r="CL529" i="1"/>
  <c r="CS549" i="1"/>
  <c r="I545" i="1"/>
  <c r="CW541" i="1"/>
  <c r="CG538" i="1"/>
  <c r="CZ554" i="1"/>
  <c r="BL552" i="1"/>
  <c r="X550" i="1"/>
  <c r="CN547" i="1"/>
  <c r="AZ545" i="1"/>
  <c r="L543" i="1"/>
  <c r="CB540" i="1"/>
  <c r="AN538" i="1"/>
  <c r="CV535" i="1"/>
  <c r="BH533" i="1"/>
  <c r="T531" i="1"/>
  <c r="CJ528" i="1"/>
  <c r="AV526" i="1"/>
  <c r="H524" i="1"/>
  <c r="BX521" i="1"/>
  <c r="AJ519" i="1"/>
  <c r="AU536" i="1"/>
  <c r="G534" i="1"/>
  <c r="BW531" i="1"/>
  <c r="AI529" i="1"/>
  <c r="CY526" i="1"/>
  <c r="BK524" i="1"/>
  <c r="W522" i="1"/>
  <c r="CM519" i="1"/>
  <c r="CD536" i="1"/>
  <c r="AP534" i="1"/>
  <c r="DF531" i="1"/>
  <c r="BR529" i="1"/>
  <c r="AD527" i="1"/>
  <c r="CT524" i="1"/>
  <c r="BF522" i="1"/>
  <c r="AD526" i="1"/>
  <c r="CT522" i="1"/>
  <c r="V520" i="1"/>
  <c r="CS536" i="1"/>
  <c r="BE534" i="1"/>
  <c r="Q532" i="1"/>
  <c r="BN519" i="1"/>
  <c r="BI531" i="1"/>
  <c r="U529" i="1"/>
  <c r="CK526" i="1"/>
  <c r="AW524" i="1"/>
  <c r="I522" i="1"/>
  <c r="BY519" i="1"/>
  <c r="K517" i="1"/>
  <c r="CA514" i="1"/>
  <c r="AM512" i="1"/>
  <c r="DC509" i="1"/>
  <c r="BO507" i="1"/>
  <c r="AA505" i="1"/>
  <c r="CQ502" i="1"/>
  <c r="BC500" i="1"/>
  <c r="O498" i="1"/>
  <c r="CE495" i="1"/>
  <c r="AQ493" i="1"/>
  <c r="DG490" i="1"/>
  <c r="BS488" i="1"/>
  <c r="AE486" i="1"/>
  <c r="CU483" i="1"/>
  <c r="BG481" i="1"/>
  <c r="F517" i="1"/>
  <c r="BV514" i="1"/>
  <c r="AH512" i="1"/>
  <c r="CX509" i="1"/>
  <c r="BJ507" i="1"/>
  <c r="V505" i="1"/>
  <c r="CL502" i="1"/>
  <c r="AX500" i="1"/>
  <c r="J498" i="1"/>
  <c r="BZ495" i="1"/>
  <c r="AL493" i="1"/>
  <c r="DB490" i="1"/>
  <c r="BN488" i="1"/>
  <c r="Z486" i="1"/>
  <c r="CP483" i="1"/>
  <c r="BB481" i="1"/>
  <c r="DE516" i="1"/>
  <c r="BQ514" i="1"/>
  <c r="AC512" i="1"/>
  <c r="CS509" i="1"/>
  <c r="BE507" i="1"/>
  <c r="Q505" i="1"/>
  <c r="CG502" i="1"/>
  <c r="AS500" i="1"/>
  <c r="DI497" i="1"/>
  <c r="BU495" i="1"/>
  <c r="AG493" i="1"/>
  <c r="CW490" i="1"/>
  <c r="BI488" i="1"/>
  <c r="U486" i="1"/>
  <c r="CK483" i="1"/>
  <c r="AW481" i="1"/>
  <c r="CN516" i="1"/>
  <c r="AZ514" i="1"/>
  <c r="L512" i="1"/>
  <c r="CB509" i="1"/>
  <c r="BF528" i="1"/>
  <c r="Z524" i="1"/>
  <c r="V521" i="1"/>
  <c r="CL518" i="1"/>
  <c r="BE535" i="1"/>
  <c r="Q533" i="1"/>
  <c r="CG530" i="1"/>
  <c r="AS528" i="1"/>
  <c r="DI525" i="1"/>
  <c r="BU523" i="1"/>
  <c r="AG521" i="1"/>
  <c r="CW518" i="1"/>
  <c r="AI516" i="1"/>
  <c r="CY513" i="1"/>
  <c r="BK511" i="1"/>
  <c r="W509" i="1"/>
  <c r="CM506" i="1"/>
  <c r="AY504" i="1"/>
  <c r="K502" i="1"/>
  <c r="CA499" i="1"/>
  <c r="AM497" i="1"/>
  <c r="DC494" i="1"/>
  <c r="BH640" i="1"/>
  <c r="BU634" i="1"/>
  <c r="CM636" i="1"/>
  <c r="CI620" i="1"/>
  <c r="BO628" i="1"/>
  <c r="AN614" i="1"/>
  <c r="R615" i="1"/>
  <c r="CK618" i="1"/>
  <c r="BO611" i="1"/>
  <c r="BP615" i="1"/>
  <c r="BW610" i="1"/>
  <c r="BG615" i="1"/>
  <c r="BC606" i="1"/>
  <c r="CF602" i="1"/>
  <c r="AG615" i="1"/>
  <c r="BU599" i="1"/>
  <c r="BK609" i="1"/>
  <c r="DA600" i="1"/>
  <c r="AE609" i="1"/>
  <c r="CG600" i="1"/>
  <c r="AY586" i="1"/>
  <c r="BJ591" i="1"/>
  <c r="BE591" i="1"/>
  <c r="CV597" i="1"/>
  <c r="CR600" i="1"/>
  <c r="CL600" i="1"/>
  <c r="AZ595" i="1"/>
  <c r="CG583" i="1"/>
  <c r="J592" i="1"/>
  <c r="DI591" i="1"/>
  <c r="N600" i="1"/>
  <c r="K605" i="1"/>
  <c r="BR592" i="1"/>
  <c r="CV602" i="1"/>
  <c r="BM592" i="1"/>
  <c r="CE600" i="1"/>
  <c r="AF585" i="1"/>
  <c r="AR585" i="1"/>
  <c r="CO575" i="1"/>
  <c r="BX582" i="1"/>
  <c r="AU582" i="1"/>
  <c r="N582" i="1"/>
  <c r="CN572" i="1"/>
  <c r="AN563" i="1"/>
  <c r="CI572" i="1"/>
  <c r="AI563" i="1"/>
  <c r="J573" i="1"/>
  <c r="BD582" i="1"/>
  <c r="AA582" i="1"/>
  <c r="CX581" i="1"/>
  <c r="BT572" i="1"/>
  <c r="T563" i="1"/>
  <c r="BO572" i="1"/>
  <c r="O563" i="1"/>
  <c r="CT572" i="1"/>
  <c r="CR581" i="1"/>
  <c r="BO581" i="1"/>
  <c r="AH581" i="1"/>
  <c r="DH571" i="1"/>
  <c r="BH562" i="1"/>
  <c r="DC571" i="1"/>
  <c r="BC562" i="1"/>
  <c r="AD572" i="1"/>
  <c r="AB581" i="1"/>
  <c r="BG584" i="1"/>
  <c r="CI579" i="1"/>
  <c r="Z584" i="1"/>
  <c r="BB579" i="1"/>
  <c r="CZ574" i="1"/>
  <c r="X570" i="1"/>
  <c r="AZ565" i="1"/>
  <c r="CB560" i="1"/>
  <c r="CU574" i="1"/>
  <c r="S570" i="1"/>
  <c r="AU565" i="1"/>
  <c r="BW560" i="1"/>
  <c r="V575" i="1"/>
  <c r="AX570" i="1"/>
  <c r="BZ565" i="1"/>
  <c r="DB560" i="1"/>
  <c r="CX565" i="1"/>
  <c r="CL559" i="1"/>
  <c r="DE573" i="1"/>
  <c r="AC569" i="1"/>
  <c r="BE564" i="1"/>
  <c r="CG559" i="1"/>
  <c r="CE554" i="1"/>
  <c r="DG549" i="1"/>
  <c r="AE545" i="1"/>
  <c r="BG540" i="1"/>
  <c r="BZ554" i="1"/>
  <c r="DB549" i="1"/>
  <c r="Z545" i="1"/>
  <c r="BB540" i="1"/>
  <c r="BI554" i="1"/>
  <c r="CK549" i="1"/>
  <c r="DF570" i="1"/>
  <c r="BZ564" i="1"/>
  <c r="CT558" i="1"/>
  <c r="I573" i="1"/>
  <c r="AK568" i="1"/>
  <c r="BM563" i="1"/>
  <c r="CO558" i="1"/>
  <c r="CM553" i="1"/>
  <c r="K549" i="1"/>
  <c r="AM544" i="1"/>
  <c r="BO539" i="1"/>
  <c r="CH553" i="1"/>
  <c r="F549" i="1"/>
  <c r="AH544" i="1"/>
  <c r="BJ539" i="1"/>
  <c r="BQ553" i="1"/>
  <c r="CH570" i="1"/>
  <c r="AX564" i="1"/>
  <c r="BZ558" i="1"/>
  <c r="CS572" i="1"/>
  <c r="Q568" i="1"/>
  <c r="AS563" i="1"/>
  <c r="BU558" i="1"/>
  <c r="BS553" i="1"/>
  <c r="CU548" i="1"/>
  <c r="S544" i="1"/>
  <c r="AU539" i="1"/>
  <c r="BN553" i="1"/>
  <c r="CP548" i="1"/>
  <c r="N544" i="1"/>
  <c r="AP539" i="1"/>
  <c r="AW553" i="1"/>
  <c r="CH566" i="1"/>
  <c r="AX560" i="1"/>
  <c r="BQ574" i="1"/>
  <c r="CS569" i="1"/>
  <c r="Q565" i="1"/>
  <c r="AS560" i="1"/>
  <c r="AQ555" i="1"/>
  <c r="BS550" i="1"/>
  <c r="CU545" i="1"/>
  <c r="S541" i="1"/>
  <c r="AL555" i="1"/>
  <c r="BN550" i="1"/>
  <c r="CP545" i="1"/>
  <c r="N541" i="1"/>
  <c r="U555" i="1"/>
  <c r="AW550" i="1"/>
  <c r="BY545" i="1"/>
  <c r="DA540" i="1"/>
  <c r="AS548" i="1"/>
  <c r="I541" i="1"/>
  <c r="AJ554" i="1"/>
  <c r="BL549" i="1"/>
  <c r="CN544" i="1"/>
  <c r="L540" i="1"/>
  <c r="AF535" i="1"/>
  <c r="BH530" i="1"/>
  <c r="CJ525" i="1"/>
  <c r="H521" i="1"/>
  <c r="CI535" i="1"/>
  <c r="G531" i="1"/>
  <c r="AI526" i="1"/>
  <c r="BK521" i="1"/>
  <c r="N536" i="1"/>
  <c r="AP531" i="1"/>
  <c r="BR526" i="1"/>
  <c r="DE543" i="1"/>
  <c r="CC556" i="1"/>
  <c r="CF551" i="1"/>
  <c r="DH546" i="1"/>
  <c r="AF542" i="1"/>
  <c r="AZ537" i="1"/>
  <c r="CB532" i="1"/>
  <c r="DD527" i="1"/>
  <c r="AB523" i="1"/>
  <c r="BD518" i="1"/>
  <c r="AA533" i="1"/>
  <c r="BC528" i="1"/>
  <c r="CE523" i="1"/>
  <c r="DG518" i="1"/>
  <c r="BJ533" i="1"/>
  <c r="BI548" i="1"/>
  <c r="U541" i="1"/>
  <c r="AR554" i="1"/>
  <c r="BT549" i="1"/>
  <c r="CV544" i="1"/>
  <c r="T540" i="1"/>
  <c r="AN535" i="1"/>
  <c r="BP530" i="1"/>
  <c r="CR525" i="1"/>
  <c r="P521" i="1"/>
  <c r="CQ535" i="1"/>
  <c r="O531" i="1"/>
  <c r="AQ526" i="1"/>
  <c r="BS521" i="1"/>
  <c r="V536" i="1"/>
  <c r="AX531" i="1"/>
  <c r="Q548" i="1"/>
  <c r="CW540" i="1"/>
  <c r="X554" i="1"/>
  <c r="AZ549" i="1"/>
  <c r="CB544" i="1"/>
  <c r="DD539" i="1"/>
  <c r="T535" i="1"/>
  <c r="AV530" i="1"/>
  <c r="BX525" i="1"/>
  <c r="CZ520" i="1"/>
  <c r="BW535" i="1"/>
  <c r="CY530" i="1"/>
  <c r="W526" i="1"/>
  <c r="AY521" i="1"/>
  <c r="DF535" i="1"/>
  <c r="AD531" i="1"/>
  <c r="BF526" i="1"/>
  <c r="CH521" i="1"/>
  <c r="CT521" i="1"/>
  <c r="Q536" i="1"/>
  <c r="AS531" i="1"/>
  <c r="BU526" i="1"/>
  <c r="CW521" i="1"/>
  <c r="CY516" i="1"/>
  <c r="W512" i="1"/>
  <c r="AY507" i="1"/>
  <c r="CA502" i="1"/>
  <c r="DC497" i="1"/>
  <c r="AA493" i="1"/>
  <c r="BC488" i="1"/>
  <c r="CE483" i="1"/>
  <c r="CT516" i="1"/>
  <c r="R512" i="1"/>
  <c r="AT507" i="1"/>
  <c r="BV502" i="1"/>
  <c r="CX497" i="1"/>
  <c r="V493" i="1"/>
  <c r="AX488" i="1"/>
  <c r="BZ483" i="1"/>
  <c r="CO516" i="1"/>
  <c r="M512" i="1"/>
  <c r="AO507" i="1"/>
  <c r="BQ502" i="1"/>
  <c r="CS497" i="1"/>
  <c r="Q493" i="1"/>
  <c r="AS488" i="1"/>
  <c r="BU483" i="1"/>
  <c r="BX516" i="1"/>
  <c r="CZ511" i="1"/>
  <c r="CX527" i="1"/>
  <c r="F521" i="1"/>
  <c r="AO535" i="1"/>
  <c r="BQ530" i="1"/>
  <c r="CS525" i="1"/>
  <c r="Q521" i="1"/>
  <c r="S516" i="1"/>
  <c r="AU511" i="1"/>
  <c r="BW506" i="1"/>
  <c r="CY501" i="1"/>
  <c r="W497" i="1"/>
  <c r="W493" i="1"/>
  <c r="K490" i="1"/>
  <c r="O487" i="1"/>
  <c r="CE484" i="1"/>
  <c r="AQ482" i="1"/>
  <c r="CT517" i="1"/>
  <c r="BF515" i="1"/>
  <c r="R513" i="1"/>
  <c r="CH510" i="1"/>
  <c r="AT508" i="1"/>
  <c r="F506" i="1"/>
  <c r="BV503" i="1"/>
  <c r="AH501" i="1"/>
  <c r="CX498" i="1"/>
  <c r="BJ496" i="1"/>
  <c r="V494" i="1"/>
  <c r="CL491" i="1"/>
  <c r="AX489" i="1"/>
  <c r="J487" i="1"/>
  <c r="BZ484" i="1"/>
  <c r="AL482" i="1"/>
  <c r="CO517" i="1"/>
  <c r="BA515" i="1"/>
  <c r="M513" i="1"/>
  <c r="CC510" i="1"/>
  <c r="AO508" i="1"/>
  <c r="DE505" i="1"/>
  <c r="BQ503" i="1"/>
  <c r="AC501" i="1"/>
  <c r="CS498" i="1"/>
  <c r="BE496" i="1"/>
  <c r="Q494" i="1"/>
  <c r="CG491" i="1"/>
  <c r="AS489" i="1"/>
  <c r="DI486" i="1"/>
  <c r="BU484" i="1"/>
  <c r="AG482" i="1"/>
  <c r="BX517" i="1"/>
  <c r="AJ515" i="1"/>
  <c r="CZ512" i="1"/>
  <c r="AP528" i="1"/>
  <c r="V524" i="1"/>
  <c r="R521" i="1"/>
  <c r="CH518" i="1"/>
  <c r="BA535" i="1"/>
  <c r="M533" i="1"/>
  <c r="CC530" i="1"/>
  <c r="AO528" i="1"/>
  <c r="DE525" i="1"/>
  <c r="BQ523" i="1"/>
  <c r="AC521" i="1"/>
  <c r="CS518" i="1"/>
  <c r="AE516" i="1"/>
  <c r="CU513" i="1"/>
  <c r="BG511" i="1"/>
  <c r="S509" i="1"/>
  <c r="CI506" i="1"/>
  <c r="AU504" i="1"/>
  <c r="G502" i="1"/>
  <c r="BW499" i="1"/>
  <c r="AI497" i="1"/>
  <c r="CY494" i="1"/>
  <c r="BK492" i="1"/>
  <c r="W490" i="1"/>
  <c r="CM487" i="1"/>
  <c r="AY485" i="1"/>
  <c r="K483" i="1"/>
  <c r="CA480" i="1"/>
  <c r="Z516" i="1"/>
  <c r="CP513" i="1"/>
  <c r="BB511" i="1"/>
  <c r="N509" i="1"/>
  <c r="CD506" i="1"/>
  <c r="AP504" i="1"/>
  <c r="DF501" i="1"/>
  <c r="BR499" i="1"/>
  <c r="AD497" i="1"/>
  <c r="CT494" i="1"/>
  <c r="BF492" i="1"/>
  <c r="R490" i="1"/>
  <c r="CH487" i="1"/>
  <c r="AT485" i="1"/>
  <c r="F483" i="1"/>
  <c r="BV480" i="1"/>
  <c r="U516" i="1"/>
  <c r="CK513" i="1"/>
  <c r="AW511" i="1"/>
  <c r="I509" i="1"/>
  <c r="BY506" i="1"/>
  <c r="AK504" i="1"/>
  <c r="DA501" i="1"/>
  <c r="BM499" i="1"/>
  <c r="Y497" i="1"/>
  <c r="CO494" i="1"/>
  <c r="BA492" i="1"/>
  <c r="M490" i="1"/>
  <c r="CC487" i="1"/>
  <c r="AO485" i="1"/>
  <c r="DE482" i="1"/>
  <c r="AW518" i="1"/>
  <c r="DH515" i="1"/>
  <c r="BT513" i="1"/>
  <c r="BZ525" i="1"/>
  <c r="BJ522" i="1"/>
  <c r="CX519" i="1"/>
  <c r="BQ536" i="1"/>
  <c r="AC534" i="1"/>
  <c r="CS531" i="1"/>
  <c r="BE529" i="1"/>
  <c r="Q527" i="1"/>
  <c r="CG524" i="1"/>
  <c r="AS522" i="1"/>
  <c r="DI519" i="1"/>
  <c r="AU517" i="1"/>
  <c r="G515" i="1"/>
  <c r="BW512" i="1"/>
  <c r="AI510" i="1"/>
  <c r="CY507" i="1"/>
  <c r="BK505" i="1"/>
  <c r="W503" i="1"/>
  <c r="CM500" i="1"/>
  <c r="AY498" i="1"/>
  <c r="K496" i="1"/>
  <c r="CA493" i="1"/>
  <c r="AM491" i="1"/>
  <c r="DC488" i="1"/>
  <c r="BO486" i="1"/>
  <c r="AA484" i="1"/>
  <c r="CQ481" i="1"/>
  <c r="AP517" i="1"/>
  <c r="DF514" i="1"/>
  <c r="BR512" i="1"/>
  <c r="AD510" i="1"/>
  <c r="CT507" i="1"/>
  <c r="BF505" i="1"/>
  <c r="R503" i="1"/>
  <c r="CH500" i="1"/>
  <c r="AT498" i="1"/>
  <c r="F496" i="1"/>
  <c r="BV493" i="1"/>
  <c r="AH491" i="1"/>
  <c r="CX488" i="1"/>
  <c r="BJ486" i="1"/>
  <c r="V484" i="1"/>
  <c r="CL481" i="1"/>
  <c r="AK517" i="1"/>
  <c r="DA514" i="1"/>
  <c r="BM512" i="1"/>
  <c r="Y510" i="1"/>
  <c r="CO507" i="1"/>
  <c r="BA505" i="1"/>
  <c r="M503" i="1"/>
  <c r="CC500" i="1"/>
  <c r="AO498" i="1"/>
  <c r="DE495" i="1"/>
  <c r="BQ493" i="1"/>
  <c r="AC491" i="1"/>
  <c r="CS488" i="1"/>
  <c r="BE486" i="1"/>
  <c r="Q484" i="1"/>
  <c r="CG481" i="1"/>
  <c r="T517" i="1"/>
  <c r="CJ514" i="1"/>
  <c r="AV512" i="1"/>
  <c r="H510" i="1"/>
  <c r="BX507" i="1"/>
  <c r="BP508" i="1"/>
  <c r="BP505" i="1"/>
  <c r="AB503" i="1"/>
  <c r="CR500" i="1"/>
  <c r="BD498" i="1"/>
  <c r="P496" i="1"/>
  <c r="CF493" i="1"/>
  <c r="AR491" i="1"/>
  <c r="DH488" i="1"/>
  <c r="BT486" i="1"/>
  <c r="AF484" i="1"/>
  <c r="CV481" i="1"/>
  <c r="BE479" i="1"/>
  <c r="Q477" i="1"/>
  <c r="CC473" i="1"/>
  <c r="AK470" i="1"/>
  <c r="DA467" i="1"/>
  <c r="BY464" i="1"/>
  <c r="AK462" i="1"/>
  <c r="CW458" i="1"/>
  <c r="BE455" i="1"/>
  <c r="Q453" i="1"/>
  <c r="CG450" i="1"/>
  <c r="AS448" i="1"/>
  <c r="DI445" i="1"/>
  <c r="BU443" i="1"/>
  <c r="H479" i="1"/>
  <c r="BT475" i="1"/>
  <c r="AF473" i="1"/>
  <c r="CR469" i="1"/>
  <c r="BD467" i="1"/>
  <c r="AB464" i="1"/>
  <c r="CN460" i="1"/>
  <c r="AZ458" i="1"/>
  <c r="H455" i="1"/>
  <c r="BX452" i="1"/>
  <c r="AJ450" i="1"/>
  <c r="CZ447" i="1"/>
  <c r="BL445" i="1"/>
  <c r="X443" i="1"/>
  <c r="BK478" i="1"/>
  <c r="S475" i="1"/>
  <c r="CI472" i="1"/>
  <c r="BG469" i="1"/>
  <c r="S467" i="1"/>
  <c r="CE463" i="1"/>
  <c r="AM460" i="1"/>
  <c r="DC457" i="1"/>
  <c r="BK454" i="1"/>
  <c r="W452" i="1"/>
  <c r="CM449" i="1"/>
  <c r="AY447" i="1"/>
  <c r="K445" i="1"/>
  <c r="AX480" i="1"/>
  <c r="J478" i="1"/>
  <c r="CL474" i="1"/>
  <c r="AX472" i="1"/>
  <c r="CV507" i="1"/>
  <c r="AF505" i="1"/>
  <c r="CV502" i="1"/>
  <c r="BH500" i="1"/>
  <c r="T498" i="1"/>
  <c r="CJ495" i="1"/>
  <c r="AV493" i="1"/>
  <c r="H491" i="1"/>
  <c r="BX488" i="1"/>
  <c r="AJ486" i="1"/>
  <c r="CZ483" i="1"/>
  <c r="BL481" i="1"/>
  <c r="U479" i="1"/>
  <c r="CG475" i="1"/>
  <c r="AS473" i="1"/>
  <c r="Q470" i="1"/>
  <c r="CG467" i="1"/>
  <c r="AO464" i="1"/>
  <c r="DA460" i="1"/>
  <c r="BM458" i="1"/>
  <c r="U455" i="1"/>
  <c r="CK452" i="1"/>
  <c r="AW450" i="1"/>
  <c r="I448" i="1"/>
  <c r="BY445" i="1"/>
  <c r="AK443" i="1"/>
  <c r="CB478" i="1"/>
  <c r="AJ475" i="1"/>
  <c r="CZ472" i="1"/>
  <c r="BX469" i="1"/>
  <c r="AJ467" i="1"/>
  <c r="CV463" i="1"/>
  <c r="BD460" i="1"/>
  <c r="P458" i="1"/>
  <c r="CB454" i="1"/>
  <c r="AN452" i="1"/>
  <c r="DD449" i="1"/>
  <c r="BP447" i="1"/>
  <c r="AF642" i="1"/>
  <c r="BX632" i="1"/>
  <c r="CR636" i="1"/>
  <c r="AK626" i="1"/>
  <c r="AP625" i="1"/>
  <c r="CA620" i="1"/>
  <c r="CW614" i="1"/>
  <c r="BN618" i="1"/>
  <c r="BI618" i="1"/>
  <c r="DA614" i="1"/>
  <c r="M616" i="1"/>
  <c r="BU612" i="1"/>
  <c r="DI611" i="1"/>
  <c r="CW601" i="1"/>
  <c r="AQ609" i="1"/>
  <c r="AC604" i="1"/>
  <c r="BT612" i="1"/>
  <c r="BI605" i="1"/>
  <c r="P612" i="1"/>
  <c r="AO605" i="1"/>
  <c r="G591" i="1"/>
  <c r="R596" i="1"/>
  <c r="M596" i="1"/>
  <c r="H597" i="1"/>
  <c r="AI587" i="1"/>
  <c r="V586" i="1"/>
  <c r="L606" i="1"/>
  <c r="BD595" i="1"/>
  <c r="BV596" i="1"/>
  <c r="BQ596" i="1"/>
  <c r="P599" i="1"/>
  <c r="BO588" i="1"/>
  <c r="CP594" i="1"/>
  <c r="AP585" i="1"/>
  <c r="CK594" i="1"/>
  <c r="S604" i="1"/>
  <c r="CR591" i="1"/>
  <c r="AB592" i="1"/>
  <c r="I578" i="1"/>
  <c r="AK576" i="1"/>
  <c r="BS584" i="1"/>
  <c r="AL584" i="1"/>
  <c r="H575" i="1"/>
  <c r="BL565" i="1"/>
  <c r="DG574" i="1"/>
  <c r="BG565" i="1"/>
  <c r="AH575" i="1"/>
  <c r="I576" i="1"/>
  <c r="AY584" i="1"/>
  <c r="R584" i="1"/>
  <c r="CR574" i="1"/>
  <c r="AR565" i="1"/>
  <c r="CM574" i="1"/>
  <c r="AM565" i="1"/>
  <c r="N575" i="1"/>
  <c r="AV584" i="1"/>
  <c r="CM583" i="1"/>
  <c r="BF583" i="1"/>
  <c r="AB574" i="1"/>
  <c r="CF564" i="1"/>
  <c r="W574" i="1"/>
  <c r="CA564" i="1"/>
  <c r="BB574" i="1"/>
  <c r="BP583" i="1"/>
  <c r="AN576" i="1"/>
  <c r="CM580" i="1"/>
  <c r="K576" i="1"/>
  <c r="BF580" i="1"/>
  <c r="CH575" i="1"/>
  <c r="AB571" i="1"/>
  <c r="BD566" i="1"/>
  <c r="CF561" i="1"/>
  <c r="DH556" i="1"/>
  <c r="W571" i="1"/>
  <c r="AY566" i="1"/>
  <c r="CA561" i="1"/>
  <c r="DC556" i="1"/>
  <c r="BB571" i="1"/>
  <c r="CD566" i="1"/>
  <c r="DF561" i="1"/>
  <c r="AH567" i="1"/>
  <c r="DF560" i="1"/>
  <c r="DI574" i="1"/>
  <c r="AG570" i="1"/>
  <c r="BI565" i="1"/>
  <c r="CK560" i="1"/>
  <c r="CI555" i="1"/>
  <c r="G551" i="1"/>
  <c r="AI546" i="1"/>
  <c r="BK541" i="1"/>
  <c r="CD555" i="1"/>
  <c r="DF550" i="1"/>
  <c r="AD546" i="1"/>
  <c r="BF541" i="1"/>
  <c r="BM555" i="1"/>
  <c r="CO550" i="1"/>
  <c r="M546" i="1"/>
  <c r="J566" i="1"/>
  <c r="CX559" i="1"/>
  <c r="M574" i="1"/>
  <c r="AO569" i="1"/>
  <c r="BQ564" i="1"/>
  <c r="CS559" i="1"/>
  <c r="CQ554" i="1"/>
  <c r="O550" i="1"/>
  <c r="AQ545" i="1"/>
  <c r="BS540" i="1"/>
  <c r="CL554" i="1"/>
  <c r="J550" i="1"/>
  <c r="AL545" i="1"/>
  <c r="BN540" i="1"/>
  <c r="BU554" i="1"/>
  <c r="CW549" i="1"/>
  <c r="CL565" i="1"/>
  <c r="CD559" i="1"/>
  <c r="CW573" i="1"/>
  <c r="U569" i="1"/>
  <c r="AW564" i="1"/>
  <c r="BY559" i="1"/>
  <c r="BW554" i="1"/>
  <c r="CY549" i="1"/>
  <c r="W545" i="1"/>
  <c r="AY540" i="1"/>
  <c r="BR554" i="1"/>
  <c r="CT549" i="1"/>
  <c r="R545" i="1"/>
  <c r="AT540" i="1"/>
  <c r="BA554" i="1"/>
  <c r="R568" i="1"/>
  <c r="CL561" i="1"/>
  <c r="CD556" i="1"/>
  <c r="CW570" i="1"/>
  <c r="U566" i="1"/>
  <c r="AW561" i="1"/>
  <c r="BA556" i="1"/>
  <c r="BW551" i="1"/>
  <c r="CY546" i="1"/>
  <c r="W542" i="1"/>
  <c r="AT556" i="1"/>
  <c r="BR551" i="1"/>
  <c r="CT546" i="1"/>
  <c r="R542" i="1"/>
  <c r="Y556" i="1"/>
  <c r="BA551" i="1"/>
  <c r="CC546" i="1"/>
  <c r="DE541" i="1"/>
  <c r="BE551" i="1"/>
  <c r="BA542" i="1"/>
  <c r="AN555" i="1"/>
  <c r="BP550" i="1"/>
  <c r="CR545" i="1"/>
  <c r="P541" i="1"/>
  <c r="AJ536" i="1"/>
  <c r="BL531" i="1"/>
  <c r="CN526" i="1"/>
  <c r="L522" i="1"/>
  <c r="CM536" i="1"/>
  <c r="K532" i="1"/>
  <c r="AM527" i="1"/>
  <c r="BO522" i="1"/>
  <c r="R537" i="1"/>
  <c r="AT532" i="1"/>
  <c r="BV527" i="1"/>
  <c r="AO545" i="1"/>
  <c r="I539" i="1"/>
  <c r="CJ552" i="1"/>
  <c r="H548" i="1"/>
  <c r="AJ543" i="1"/>
  <c r="BL538" i="1"/>
  <c r="CF533" i="1"/>
  <c r="DH528" i="1"/>
  <c r="AF524" i="1"/>
  <c r="BH519" i="1"/>
  <c r="AE534" i="1"/>
  <c r="BG529" i="1"/>
  <c r="CI524" i="1"/>
  <c r="G520" i="1"/>
  <c r="BN534" i="1"/>
  <c r="CK551" i="1"/>
  <c r="BI542" i="1"/>
  <c r="AV555" i="1"/>
  <c r="BX550" i="1"/>
  <c r="CZ545" i="1"/>
  <c r="X541" i="1"/>
  <c r="AR536" i="1"/>
  <c r="BT531" i="1"/>
  <c r="CV526" i="1"/>
  <c r="T522" i="1"/>
  <c r="CU536" i="1"/>
  <c r="S532" i="1"/>
  <c r="AU527" i="1"/>
  <c r="BW522" i="1"/>
  <c r="Z537" i="1"/>
  <c r="BB532" i="1"/>
  <c r="I551" i="1"/>
  <c r="AK542" i="1"/>
  <c r="AB555" i="1"/>
  <c r="BD550" i="1"/>
  <c r="CF545" i="1"/>
  <c r="DH540" i="1"/>
  <c r="X536" i="1"/>
  <c r="AZ531" i="1"/>
  <c r="CB526" i="1"/>
  <c r="DD521" i="1"/>
  <c r="CA536" i="1"/>
  <c r="DC531" i="1"/>
  <c r="AA527" i="1"/>
  <c r="BC522" i="1"/>
  <c r="F537" i="1"/>
  <c r="AH532" i="1"/>
  <c r="BJ527" i="1"/>
  <c r="CL522" i="1"/>
  <c r="AH523" i="1"/>
  <c r="U537" i="1"/>
  <c r="AW532" i="1"/>
  <c r="BY527" i="1"/>
  <c r="DA522" i="1"/>
  <c r="DC517" i="1"/>
  <c r="AA513" i="1"/>
  <c r="BC508" i="1"/>
  <c r="CE503" i="1"/>
  <c r="DG498" i="1"/>
  <c r="AE494" i="1"/>
  <c r="BG489" i="1"/>
  <c r="CI484" i="1"/>
  <c r="CX517" i="1"/>
  <c r="V513" i="1"/>
  <c r="AX508" i="1"/>
  <c r="BZ503" i="1"/>
  <c r="DB498" i="1"/>
  <c r="Z494" i="1"/>
  <c r="BB489" i="1"/>
  <c r="CD484" i="1"/>
  <c r="CS517" i="1"/>
  <c r="Q513" i="1"/>
  <c r="AS508" i="1"/>
  <c r="BU503" i="1"/>
  <c r="CW498" i="1"/>
  <c r="U494" i="1"/>
  <c r="AW489" i="1"/>
  <c r="BY484" i="1"/>
  <c r="CB517" i="1"/>
  <c r="DD512" i="1"/>
  <c r="AB508" i="1"/>
  <c r="AD522" i="1"/>
  <c r="AS536" i="1"/>
  <c r="BU531" i="1"/>
  <c r="CW526" i="1"/>
  <c r="U522" i="1"/>
  <c r="W517" i="1"/>
  <c r="AY512" i="1"/>
  <c r="CA507" i="1"/>
  <c r="DC502" i="1"/>
  <c r="AA498" i="1"/>
  <c r="CI493" i="1"/>
  <c r="BW490" i="1"/>
  <c r="BK487" i="1"/>
  <c r="W485" i="1"/>
  <c r="CM482" i="1"/>
  <c r="AO518" i="1"/>
  <c r="DB515" i="1"/>
  <c r="BN513" i="1"/>
  <c r="Z511" i="1"/>
  <c r="CP508" i="1"/>
  <c r="BB506" i="1"/>
  <c r="N504" i="1"/>
  <c r="CD501" i="1"/>
  <c r="AP499" i="1"/>
  <c r="DF496" i="1"/>
  <c r="BR494" i="1"/>
  <c r="AD492" i="1"/>
  <c r="CT489" i="1"/>
  <c r="BF487" i="1"/>
  <c r="R485" i="1"/>
  <c r="CH482" i="1"/>
  <c r="AH518" i="1"/>
  <c r="CW515" i="1"/>
  <c r="BI513" i="1"/>
  <c r="U511" i="1"/>
  <c r="CK508" i="1"/>
  <c r="AW506" i="1"/>
  <c r="I504" i="1"/>
  <c r="BY501" i="1"/>
  <c r="AK499" i="1"/>
  <c r="DA496" i="1"/>
  <c r="BM494" i="1"/>
  <c r="Y492" i="1"/>
  <c r="CO489" i="1"/>
  <c r="BA487" i="1"/>
  <c r="M485" i="1"/>
  <c r="CC482" i="1"/>
  <c r="P518" i="1"/>
  <c r="CF515" i="1"/>
  <c r="AR513" i="1"/>
  <c r="DH510" i="1"/>
  <c r="CH524" i="1"/>
  <c r="BN521" i="1"/>
  <c r="Z519" i="1"/>
  <c r="CW535" i="1"/>
  <c r="BI533" i="1"/>
  <c r="U531" i="1"/>
  <c r="CK528" i="1"/>
  <c r="AW526" i="1"/>
  <c r="I524" i="1"/>
  <c r="BY521" i="1"/>
  <c r="AK519" i="1"/>
  <c r="CA516" i="1"/>
  <c r="AM514" i="1"/>
  <c r="DC511" i="1"/>
  <c r="BO509" i="1"/>
  <c r="AA507" i="1"/>
  <c r="CQ504" i="1"/>
  <c r="BC502" i="1"/>
  <c r="O500" i="1"/>
  <c r="CE497" i="1"/>
  <c r="AQ495" i="1"/>
  <c r="DG492" i="1"/>
  <c r="BS490" i="1"/>
  <c r="AE488" i="1"/>
  <c r="CU485" i="1"/>
  <c r="BG483" i="1"/>
  <c r="S481" i="1"/>
  <c r="BV516" i="1"/>
  <c r="AH514" i="1"/>
  <c r="CX511" i="1"/>
  <c r="BJ509" i="1"/>
  <c r="V507" i="1"/>
  <c r="CL504" i="1"/>
  <c r="AX502" i="1"/>
  <c r="J500" i="1"/>
  <c r="BZ497" i="1"/>
  <c r="AL495" i="1"/>
  <c r="DB492" i="1"/>
  <c r="BN490" i="1"/>
  <c r="Z488" i="1"/>
  <c r="CP485" i="1"/>
  <c r="BB483" i="1"/>
  <c r="N481" i="1"/>
  <c r="BQ516" i="1"/>
  <c r="AC514" i="1"/>
  <c r="CS511" i="1"/>
  <c r="BE509" i="1"/>
  <c r="Q507" i="1"/>
  <c r="CG504" i="1"/>
  <c r="AS502" i="1"/>
  <c r="DI499" i="1"/>
  <c r="BU497" i="1"/>
  <c r="AG495" i="1"/>
  <c r="CW492" i="1"/>
  <c r="BI490" i="1"/>
  <c r="U488" i="1"/>
  <c r="CK485" i="1"/>
  <c r="AW483" i="1"/>
  <c r="I481" i="1"/>
  <c r="AZ516" i="1"/>
  <c r="L514" i="1"/>
  <c r="BN526" i="1"/>
  <c r="R523" i="1"/>
  <c r="AP520" i="1"/>
  <c r="I537" i="1"/>
  <c r="BY534" i="1"/>
  <c r="AK532" i="1"/>
  <c r="DA529" i="1"/>
  <c r="BM527" i="1"/>
  <c r="Y525" i="1"/>
  <c r="CO522" i="1"/>
  <c r="BA520" i="1"/>
  <c r="CQ517" i="1"/>
  <c r="BC515" i="1"/>
  <c r="O513" i="1"/>
  <c r="CE510" i="1"/>
  <c r="AQ508" i="1"/>
  <c r="DG505" i="1"/>
  <c r="BS503" i="1"/>
  <c r="AE501" i="1"/>
  <c r="CU498" i="1"/>
  <c r="BG496" i="1"/>
  <c r="S494" i="1"/>
  <c r="CI491" i="1"/>
  <c r="AU489" i="1"/>
  <c r="G487" i="1"/>
  <c r="BW484" i="1"/>
  <c r="AI482" i="1"/>
  <c r="CL517" i="1"/>
  <c r="AX515" i="1"/>
  <c r="J513" i="1"/>
  <c r="BZ510" i="1"/>
  <c r="AL508" i="1"/>
  <c r="DB505" i="1"/>
  <c r="BN503" i="1"/>
  <c r="Z501" i="1"/>
  <c r="CP498" i="1"/>
  <c r="BB496" i="1"/>
  <c r="N494" i="1"/>
  <c r="CD491" i="1"/>
  <c r="AP489" i="1"/>
  <c r="DF486" i="1"/>
  <c r="BR484" i="1"/>
  <c r="AD482" i="1"/>
  <c r="CG517" i="1"/>
  <c r="AS515" i="1"/>
  <c r="DI512" i="1"/>
  <c r="BU510" i="1"/>
  <c r="AG508" i="1"/>
  <c r="CW505" i="1"/>
  <c r="BI503" i="1"/>
  <c r="U501" i="1"/>
  <c r="CK498" i="1"/>
  <c r="AW496" i="1"/>
  <c r="I494" i="1"/>
  <c r="BY491" i="1"/>
  <c r="AK489" i="1"/>
  <c r="DA486" i="1"/>
  <c r="BM484" i="1"/>
  <c r="AG536" i="1"/>
  <c r="DA530" i="1"/>
  <c r="BM528" i="1"/>
  <c r="Y526" i="1"/>
  <c r="CO523" i="1"/>
  <c r="BA521" i="1"/>
  <c r="M519" i="1"/>
  <c r="BC516" i="1"/>
  <c r="O514" i="1"/>
  <c r="CE511" i="1"/>
  <c r="AQ509" i="1"/>
  <c r="DG506" i="1"/>
  <c r="BS504" i="1"/>
  <c r="AE502" i="1"/>
  <c r="CU499" i="1"/>
  <c r="BG497" i="1"/>
  <c r="S495" i="1"/>
  <c r="CI492" i="1"/>
  <c r="AU490" i="1"/>
  <c r="G488" i="1"/>
  <c r="BW485" i="1"/>
  <c r="AI483" i="1"/>
  <c r="CY480" i="1"/>
  <c r="AX516" i="1"/>
  <c r="J514" i="1"/>
  <c r="BZ511" i="1"/>
  <c r="AL509" i="1"/>
  <c r="DB506" i="1"/>
  <c r="BN504" i="1"/>
  <c r="Z502" i="1"/>
  <c r="CP499" i="1"/>
  <c r="BB497" i="1"/>
  <c r="N495" i="1"/>
  <c r="CD492" i="1"/>
  <c r="AP490" i="1"/>
  <c r="DF487" i="1"/>
  <c r="BR485" i="1"/>
  <c r="AD483" i="1"/>
  <c r="CT480" i="1"/>
  <c r="AS516" i="1"/>
  <c r="DI513" i="1"/>
  <c r="BU511" i="1"/>
  <c r="AG509" i="1"/>
  <c r="CW506" i="1"/>
  <c r="BI504" i="1"/>
  <c r="U502" i="1"/>
  <c r="CK499" i="1"/>
  <c r="AW497" i="1"/>
  <c r="I495" i="1"/>
  <c r="BY492" i="1"/>
  <c r="AK490" i="1"/>
  <c r="DA487" i="1"/>
  <c r="BM485" i="1"/>
  <c r="Y483" i="1"/>
  <c r="CO480" i="1"/>
  <c r="AB516" i="1"/>
  <c r="CR513" i="1"/>
  <c r="BD511" i="1"/>
  <c r="P509" i="1"/>
  <c r="F527" i="1"/>
  <c r="AX523" i="1"/>
  <c r="BN520" i="1"/>
  <c r="AG537" i="1"/>
  <c r="CW534" i="1"/>
  <c r="BI532" i="1"/>
  <c r="U530" i="1"/>
  <c r="CK527" i="1"/>
  <c r="AW525" i="1"/>
  <c r="I523" i="1"/>
  <c r="BY520" i="1"/>
  <c r="K518" i="1"/>
  <c r="CA515" i="1"/>
  <c r="AM513" i="1"/>
  <c r="DC510" i="1"/>
  <c r="BO508" i="1"/>
  <c r="AA506" i="1"/>
  <c r="CQ503" i="1"/>
  <c r="BC501" i="1"/>
  <c r="O499" i="1"/>
  <c r="CE496" i="1"/>
  <c r="BV651" i="1"/>
  <c r="CJ640" i="1"/>
  <c r="Q629" i="1"/>
  <c r="BU626" i="1"/>
  <c r="J628" i="1"/>
  <c r="BI626" i="1"/>
  <c r="BA620" i="1"/>
  <c r="BN627" i="1"/>
  <c r="AF615" i="1"/>
  <c r="Y615" i="1"/>
  <c r="AU619" i="1"/>
  <c r="DC613" i="1"/>
  <c r="DF614" i="1"/>
  <c r="AL605" i="1"/>
  <c r="AA597" i="1"/>
  <c r="CQ607" i="1"/>
  <c r="BK599" i="1"/>
  <c r="CT617" i="1"/>
  <c r="AF601" i="1"/>
  <c r="CI614" i="1"/>
  <c r="F601" i="1"/>
  <c r="S588" i="1"/>
  <c r="CL586" i="1"/>
  <c r="H613" i="1"/>
  <c r="DH597" i="1"/>
  <c r="CL595" i="1"/>
  <c r="CG595" i="1"/>
  <c r="CB595" i="1"/>
  <c r="CQ588" i="1"/>
  <c r="AL587" i="1"/>
  <c r="AG587" i="1"/>
  <c r="CI584" i="1"/>
  <c r="DD599" i="1"/>
  <c r="AD590" i="1"/>
  <c r="CB599" i="1"/>
  <c r="Y590" i="1"/>
  <c r="X592" i="1"/>
  <c r="CB592" i="1"/>
  <c r="DA582" i="1"/>
  <c r="Q583" i="1"/>
  <c r="AJ580" i="1"/>
  <c r="G580" i="1"/>
  <c r="CD579" i="1"/>
  <c r="AZ570" i="1"/>
  <c r="DD560" i="1"/>
  <c r="AU570" i="1"/>
  <c r="CY560" i="1"/>
  <c r="CG582" i="1"/>
  <c r="P580" i="1"/>
  <c r="CQ579" i="1"/>
  <c r="BJ579" i="1"/>
  <c r="AF570" i="1"/>
  <c r="CJ560" i="1"/>
  <c r="AA570" i="1"/>
  <c r="CE560" i="1"/>
  <c r="CC581" i="1"/>
  <c r="BD579" i="1"/>
  <c r="AA579" i="1"/>
  <c r="CX578" i="1"/>
  <c r="BT569" i="1"/>
  <c r="T560" i="1"/>
  <c r="BO569" i="1"/>
  <c r="O560" i="1"/>
  <c r="CW580" i="1"/>
  <c r="AZ579" i="1"/>
  <c r="AM583" i="1"/>
  <c r="BO578" i="1"/>
  <c r="F583" i="1"/>
  <c r="AH578" i="1"/>
  <c r="CF573" i="1"/>
  <c r="DH568" i="1"/>
  <c r="AF564" i="1"/>
  <c r="BH559" i="1"/>
  <c r="CA573" i="1"/>
  <c r="DC568" i="1"/>
  <c r="AA564" i="1"/>
  <c r="BC559" i="1"/>
  <c r="DF573" i="1"/>
  <c r="AD569" i="1"/>
  <c r="BF564" i="1"/>
  <c r="BV570" i="1"/>
  <c r="AL564" i="1"/>
  <c r="BR558" i="1"/>
  <c r="CK572" i="1"/>
  <c r="I568" i="1"/>
  <c r="AK563" i="1"/>
  <c r="BM558" i="1"/>
  <c r="BK553" i="1"/>
  <c r="CM548" i="1"/>
  <c r="K544" i="1"/>
  <c r="AM539" i="1"/>
  <c r="BF553" i="1"/>
  <c r="CH548" i="1"/>
  <c r="F544" i="1"/>
  <c r="AH539" i="1"/>
  <c r="AO553" i="1"/>
  <c r="BQ548" i="1"/>
  <c r="AX569" i="1"/>
  <c r="N563" i="1"/>
  <c r="BZ557" i="1"/>
  <c r="CS571" i="1"/>
  <c r="Q567" i="1"/>
  <c r="AS562" i="1"/>
  <c r="BU557" i="1"/>
  <c r="BS552" i="1"/>
  <c r="CU547" i="1"/>
  <c r="S543" i="1"/>
  <c r="AU538" i="1"/>
  <c r="BN552" i="1"/>
  <c r="CP547" i="1"/>
  <c r="N543" i="1"/>
  <c r="AP538" i="1"/>
  <c r="AW552" i="1"/>
  <c r="V569" i="1"/>
  <c r="CP562" i="1"/>
  <c r="BF557" i="1"/>
  <c r="BY571" i="1"/>
  <c r="DA566" i="1"/>
  <c r="Y562" i="1"/>
  <c r="BA557" i="1"/>
  <c r="AY552" i="1"/>
  <c r="CA547" i="1"/>
  <c r="DC542" i="1"/>
  <c r="AA538" i="1"/>
  <c r="AT552" i="1"/>
  <c r="BV547" i="1"/>
  <c r="CX542" i="1"/>
  <c r="V538" i="1"/>
  <c r="AC552" i="1"/>
  <c r="V565" i="1"/>
  <c r="AD559" i="1"/>
  <c r="AW573" i="1"/>
  <c r="BY568" i="1"/>
  <c r="DA563" i="1"/>
  <c r="Y559" i="1"/>
  <c r="W554" i="1"/>
  <c r="AY549" i="1"/>
  <c r="CA544" i="1"/>
  <c r="DC539" i="1"/>
  <c r="R554" i="1"/>
  <c r="AT549" i="1"/>
  <c r="BV544" i="1"/>
  <c r="CX539" i="1"/>
  <c r="DE553" i="1"/>
  <c r="AC549" i="1"/>
  <c r="BE544" i="1"/>
  <c r="CG539" i="1"/>
  <c r="DI545" i="1"/>
  <c r="BE539" i="1"/>
  <c r="P553" i="1"/>
  <c r="AR548" i="1"/>
  <c r="BT543" i="1"/>
  <c r="CV538" i="1"/>
  <c r="L534" i="1"/>
  <c r="AN529" i="1"/>
  <c r="BP524" i="1"/>
  <c r="CR519" i="1"/>
  <c r="BO534" i="1"/>
  <c r="CQ529" i="1"/>
  <c r="O525" i="1"/>
  <c r="AQ520" i="1"/>
  <c r="CX534" i="1"/>
  <c r="V530" i="1"/>
  <c r="AO551" i="1"/>
  <c r="AS542" i="1"/>
  <c r="AJ555" i="1"/>
  <c r="BL550" i="1"/>
  <c r="CN545" i="1"/>
  <c r="L541" i="1"/>
  <c r="AF536" i="1"/>
  <c r="BH531" i="1"/>
  <c r="CJ526" i="1"/>
  <c r="H522" i="1"/>
  <c r="CI536" i="1"/>
  <c r="G532" i="1"/>
  <c r="AI527" i="1"/>
  <c r="BK522" i="1"/>
  <c r="N537" i="1"/>
  <c r="AP532" i="1"/>
  <c r="U546" i="1"/>
  <c r="BM539" i="1"/>
  <c r="X553" i="1"/>
  <c r="AZ548" i="1"/>
  <c r="CB543" i="1"/>
  <c r="DD538" i="1"/>
  <c r="T534" i="1"/>
  <c r="AV529" i="1"/>
  <c r="BX524" i="1"/>
  <c r="CZ519" i="1"/>
  <c r="BW534" i="1"/>
  <c r="CY529" i="1"/>
  <c r="W525" i="1"/>
  <c r="AY520" i="1"/>
  <c r="DF534" i="1"/>
  <c r="AD530" i="1"/>
  <c r="CG545" i="1"/>
  <c r="AO539" i="1"/>
  <c r="DH552" i="1"/>
  <c r="AF548" i="1"/>
  <c r="BH543" i="1"/>
  <c r="CJ538" i="1"/>
  <c r="DD533" i="1"/>
  <c r="AB529" i="1"/>
  <c r="BD524" i="1"/>
  <c r="CF519" i="1"/>
  <c r="BC534" i="1"/>
  <c r="CE529" i="1"/>
  <c r="DG524" i="1"/>
  <c r="AE520" i="1"/>
  <c r="CL534" i="1"/>
  <c r="J530" i="1"/>
  <c r="AL525" i="1"/>
  <c r="R527" i="1"/>
  <c r="BR520" i="1"/>
  <c r="DA534" i="1"/>
  <c r="Y530" i="1"/>
  <c r="BA525" i="1"/>
  <c r="CC520" i="1"/>
  <c r="CE515" i="1"/>
  <c r="DG510" i="1"/>
  <c r="AE506" i="1"/>
  <c r="BG501" i="1"/>
  <c r="CI496" i="1"/>
  <c r="G492" i="1"/>
  <c r="AI487" i="1"/>
  <c r="BK482" i="1"/>
  <c r="BZ515" i="1"/>
  <c r="DB510" i="1"/>
  <c r="Z506" i="1"/>
  <c r="BB501" i="1"/>
  <c r="CD496" i="1"/>
  <c r="DF491" i="1"/>
  <c r="AD487" i="1"/>
  <c r="BF482" i="1"/>
  <c r="BU515" i="1"/>
  <c r="CW510" i="1"/>
  <c r="U506" i="1"/>
  <c r="AW501" i="1"/>
  <c r="BY496" i="1"/>
  <c r="DA491" i="1"/>
  <c r="Y487" i="1"/>
  <c r="BA482" i="1"/>
  <c r="BD515" i="1"/>
  <c r="CF510" i="1"/>
  <c r="BN525" i="1"/>
  <c r="CP519" i="1"/>
  <c r="U534" i="1"/>
  <c r="AW529" i="1"/>
  <c r="BY524" i="1"/>
  <c r="DA519" i="1"/>
  <c r="DC514" i="1"/>
  <c r="AA510" i="1"/>
  <c r="BC505" i="1"/>
  <c r="CE500" i="1"/>
  <c r="DG495" i="1"/>
  <c r="AY492" i="1"/>
  <c r="AM489" i="1"/>
  <c r="BG486" i="1"/>
  <c r="S484" i="1"/>
  <c r="CI481" i="1"/>
  <c r="AH517" i="1"/>
  <c r="CX514" i="1"/>
  <c r="BJ512" i="1"/>
  <c r="V510" i="1"/>
  <c r="CL507" i="1"/>
  <c r="AX505" i="1"/>
  <c r="J503" i="1"/>
  <c r="BZ500" i="1"/>
  <c r="AL498" i="1"/>
  <c r="DB495" i="1"/>
  <c r="BN493" i="1"/>
  <c r="Z491" i="1"/>
  <c r="CP488" i="1"/>
  <c r="BB486" i="1"/>
  <c r="N484" i="1"/>
  <c r="CD481" i="1"/>
  <c r="AC517" i="1"/>
  <c r="CS514" i="1"/>
  <c r="BE512" i="1"/>
  <c r="Q510" i="1"/>
  <c r="CG507" i="1"/>
  <c r="AS505" i="1"/>
  <c r="DI502" i="1"/>
  <c r="BU500" i="1"/>
  <c r="AG498" i="1"/>
  <c r="CW495" i="1"/>
  <c r="BI493" i="1"/>
  <c r="U491" i="1"/>
  <c r="CK488" i="1"/>
  <c r="AW486" i="1"/>
  <c r="I484" i="1"/>
  <c r="BY481" i="1"/>
  <c r="L517" i="1"/>
  <c r="CB514" i="1"/>
  <c r="AN512" i="1"/>
  <c r="DF526" i="1"/>
  <c r="AP523" i="1"/>
  <c r="BJ520" i="1"/>
  <c r="AC537" i="1"/>
  <c r="CS534" i="1"/>
  <c r="BE532" i="1"/>
  <c r="Q530" i="1"/>
  <c r="CG527" i="1"/>
  <c r="AS525" i="1"/>
  <c r="DI522" i="1"/>
  <c r="BU520" i="1"/>
  <c r="G518" i="1"/>
  <c r="BW515" i="1"/>
  <c r="AI513" i="1"/>
  <c r="CY510" i="1"/>
  <c r="BK508" i="1"/>
  <c r="W506" i="1"/>
  <c r="CM503" i="1"/>
  <c r="AY501" i="1"/>
  <c r="K499" i="1"/>
  <c r="CA496" i="1"/>
  <c r="AM494" i="1"/>
  <c r="DC491" i="1"/>
  <c r="BO489" i="1"/>
  <c r="AA487" i="1"/>
  <c r="CQ484" i="1"/>
  <c r="BC482" i="1"/>
  <c r="DF517" i="1"/>
  <c r="BR515" i="1"/>
  <c r="AD513" i="1"/>
  <c r="CT510" i="1"/>
  <c r="BF508" i="1"/>
  <c r="R506" i="1"/>
  <c r="CH503" i="1"/>
  <c r="AT501" i="1"/>
  <c r="F499" i="1"/>
  <c r="BV496" i="1"/>
  <c r="AH494" i="1"/>
  <c r="CX491" i="1"/>
  <c r="BJ489" i="1"/>
  <c r="V487" i="1"/>
  <c r="CL484" i="1"/>
  <c r="AX482" i="1"/>
  <c r="DA517" i="1"/>
  <c r="BM515" i="1"/>
  <c r="Y513" i="1"/>
  <c r="CO510" i="1"/>
  <c r="BA508" i="1"/>
  <c r="M506" i="1"/>
  <c r="CC503" i="1"/>
  <c r="AO501" i="1"/>
  <c r="DE498" i="1"/>
  <c r="BQ496" i="1"/>
  <c r="AC494" i="1"/>
  <c r="CS491" i="1"/>
  <c r="BE489" i="1"/>
  <c r="Q487" i="1"/>
  <c r="CG484" i="1"/>
  <c r="AS482" i="1"/>
  <c r="CJ517" i="1"/>
  <c r="AV515" i="1"/>
  <c r="H513" i="1"/>
  <c r="CX524" i="1"/>
  <c r="CD521" i="1"/>
  <c r="AL519" i="1"/>
  <c r="DI535" i="1"/>
  <c r="BU533" i="1"/>
  <c r="AG531" i="1"/>
  <c r="CW528" i="1"/>
  <c r="BI526" i="1"/>
  <c r="U524" i="1"/>
  <c r="CK521" i="1"/>
  <c r="AW519" i="1"/>
  <c r="CM516" i="1"/>
  <c r="AY514" i="1"/>
  <c r="K512" i="1"/>
  <c r="CA509" i="1"/>
  <c r="AM507" i="1"/>
  <c r="DC504" i="1"/>
  <c r="BO502" i="1"/>
  <c r="AA500" i="1"/>
  <c r="CQ497" i="1"/>
  <c r="BC495" i="1"/>
  <c r="O493" i="1"/>
  <c r="CE490" i="1"/>
  <c r="AQ488" i="1"/>
  <c r="DG485" i="1"/>
  <c r="BS483" i="1"/>
  <c r="AE481" i="1"/>
  <c r="CH516" i="1"/>
  <c r="AT514" i="1"/>
  <c r="F512" i="1"/>
  <c r="BV509" i="1"/>
  <c r="AH507" i="1"/>
  <c r="CX504" i="1"/>
  <c r="BJ502" i="1"/>
  <c r="V500" i="1"/>
  <c r="CL497" i="1"/>
  <c r="AX495" i="1"/>
  <c r="J493" i="1"/>
  <c r="BZ490" i="1"/>
  <c r="AL488" i="1"/>
  <c r="DB485" i="1"/>
  <c r="BN483" i="1"/>
  <c r="Z481" i="1"/>
  <c r="CC516" i="1"/>
  <c r="AO514" i="1"/>
  <c r="DE511" i="1"/>
  <c r="BQ509" i="1"/>
  <c r="AC507" i="1"/>
  <c r="CS504" i="1"/>
  <c r="BE502" i="1"/>
  <c r="Q500" i="1"/>
  <c r="CG497" i="1"/>
  <c r="AS495" i="1"/>
  <c r="DI492" i="1"/>
  <c r="BU490" i="1"/>
  <c r="AG488" i="1"/>
  <c r="CW485" i="1"/>
  <c r="BI483" i="1"/>
  <c r="U481" i="1"/>
  <c r="BL516" i="1"/>
  <c r="X514" i="1"/>
  <c r="CN511" i="1"/>
  <c r="AZ509" i="1"/>
  <c r="L507" i="1"/>
  <c r="BD507" i="1"/>
  <c r="DH504" i="1"/>
  <c r="BT502" i="1"/>
  <c r="AF500" i="1"/>
  <c r="CV497" i="1"/>
  <c r="BH495" i="1"/>
  <c r="T493" i="1"/>
  <c r="CJ490" i="1"/>
  <c r="AV488" i="1"/>
  <c r="H486" i="1"/>
  <c r="BX483" i="1"/>
  <c r="AJ481" i="1"/>
  <c r="CW478" i="1"/>
  <c r="BE475" i="1"/>
  <c r="Q473" i="1"/>
  <c r="CC469" i="1"/>
  <c r="AO467" i="1"/>
  <c r="M464" i="1"/>
  <c r="BY460" i="1"/>
  <c r="AK458" i="1"/>
  <c r="CW454" i="1"/>
  <c r="BI452" i="1"/>
  <c r="U450" i="1"/>
  <c r="CK447" i="1"/>
  <c r="AW445" i="1"/>
  <c r="I443" i="1"/>
  <c r="AZ478" i="1"/>
  <c r="H475" i="1"/>
  <c r="BX472" i="1"/>
  <c r="AF469" i="1"/>
  <c r="DH465" i="1"/>
  <c r="BT463" i="1"/>
  <c r="AB460" i="1"/>
  <c r="CR457" i="1"/>
  <c r="AZ454" i="1"/>
  <c r="L452" i="1"/>
  <c r="CB449" i="1"/>
  <c r="AN447" i="1"/>
  <c r="DD444" i="1"/>
  <c r="AM480" i="1"/>
  <c r="DC477" i="1"/>
  <c r="BK474" i="1"/>
  <c r="W472" i="1"/>
  <c r="CY468" i="1"/>
  <c r="BG465" i="1"/>
  <c r="S463" i="1"/>
  <c r="CE459" i="1"/>
  <c r="AQ457" i="1"/>
  <c r="DC453" i="1"/>
  <c r="BO451" i="1"/>
  <c r="AA449" i="1"/>
  <c r="CQ446" i="1"/>
  <c r="BC444" i="1"/>
  <c r="CP479" i="1"/>
  <c r="BB477" i="1"/>
  <c r="Z474" i="1"/>
  <c r="DH511" i="1"/>
  <c r="H507" i="1"/>
  <c r="BX504" i="1"/>
  <c r="AJ502" i="1"/>
  <c r="CZ499" i="1"/>
  <c r="BL497" i="1"/>
  <c r="X495" i="1"/>
  <c r="CN492" i="1"/>
  <c r="AZ490" i="1"/>
  <c r="L488" i="1"/>
  <c r="CB485" i="1"/>
  <c r="AN483" i="1"/>
  <c r="DD480" i="1"/>
  <c r="BM478" i="1"/>
  <c r="U475" i="1"/>
  <c r="CK472" i="1"/>
  <c r="BI469" i="1"/>
  <c r="U467" i="1"/>
  <c r="CG463" i="1"/>
  <c r="AO460" i="1"/>
  <c r="DE457" i="1"/>
  <c r="BM454" i="1"/>
  <c r="Y452" i="1"/>
  <c r="CO449" i="1"/>
  <c r="BA447" i="1"/>
  <c r="M445" i="1"/>
  <c r="BD480" i="1"/>
  <c r="P478" i="1"/>
  <c r="CB474" i="1"/>
  <c r="AN472" i="1"/>
  <c r="L469" i="1"/>
  <c r="BX465" i="1"/>
  <c r="AJ463" i="1"/>
  <c r="CV459" i="1"/>
  <c r="BH457" i="1"/>
  <c r="P454" i="1"/>
  <c r="CF451" i="1"/>
  <c r="AR449" i="1"/>
  <c r="DH446" i="1"/>
  <c r="AB640" i="1"/>
  <c r="BE634" i="1"/>
  <c r="CU634" i="1"/>
  <c r="BS620" i="1"/>
  <c r="S628" i="1"/>
  <c r="X614" i="1"/>
  <c r="CE614" i="1"/>
  <c r="BE618" i="1"/>
  <c r="AY611" i="1"/>
  <c r="AV615" i="1"/>
  <c r="BG610" i="1"/>
  <c r="Q615" i="1"/>
  <c r="AM606" i="1"/>
  <c r="BK602" i="1"/>
  <c r="BZ613" i="1"/>
  <c r="W614" i="1"/>
  <c r="AJ609" i="1"/>
  <c r="CK600" i="1"/>
  <c r="DH608" i="1"/>
  <c r="BQ600" i="1"/>
  <c r="AI586" i="1"/>
  <c r="AT591" i="1"/>
  <c r="AO591" i="1"/>
  <c r="AJ597" i="1"/>
  <c r="BW600" i="1"/>
  <c r="BP600" i="1"/>
  <c r="CR594" i="1"/>
  <c r="BQ583" i="1"/>
  <c r="CX591" i="1"/>
  <c r="CS591" i="1"/>
  <c r="AR599" i="1"/>
  <c r="BC604" i="1"/>
  <c r="BB592" i="1"/>
  <c r="BX602" i="1"/>
  <c r="AW592" i="1"/>
  <c r="BJ600" i="1"/>
  <c r="P585" i="1"/>
  <c r="Z585" i="1"/>
  <c r="BY575" i="1"/>
  <c r="BH582" i="1"/>
  <c r="AE582" i="1"/>
  <c r="DB581" i="1"/>
  <c r="BX572" i="1"/>
  <c r="X563" i="1"/>
  <c r="BS572" i="1"/>
  <c r="S563" i="1"/>
  <c r="CX572" i="1"/>
  <c r="AN582" i="1"/>
  <c r="K582" i="1"/>
  <c r="CH581" i="1"/>
  <c r="BD572" i="1"/>
  <c r="DH562" i="1"/>
  <c r="AY572" i="1"/>
  <c r="DC562" i="1"/>
  <c r="CD572" i="1"/>
  <c r="CB581" i="1"/>
  <c r="AY581" i="1"/>
  <c r="R581" i="1"/>
  <c r="CR571" i="1"/>
  <c r="AR562" i="1"/>
  <c r="CM571" i="1"/>
  <c r="AM562" i="1"/>
  <c r="N572" i="1"/>
  <c r="L581" i="1"/>
  <c r="AQ584" i="1"/>
  <c r="BS579" i="1"/>
  <c r="J584" i="1"/>
  <c r="AL579" i="1"/>
  <c r="CJ574" i="1"/>
  <c r="H570" i="1"/>
  <c r="AJ565" i="1"/>
  <c r="BL560" i="1"/>
  <c r="CE574" i="1"/>
  <c r="DG569" i="1"/>
  <c r="AE565" i="1"/>
  <c r="BG560" i="1"/>
  <c r="F575" i="1"/>
  <c r="AH570" i="1"/>
  <c r="BJ565" i="1"/>
  <c r="CL560" i="1"/>
  <c r="CD565" i="1"/>
  <c r="BV559" i="1"/>
  <c r="CO573" i="1"/>
  <c r="M569" i="1"/>
  <c r="AO564" i="1"/>
  <c r="BQ559" i="1"/>
  <c r="BO554" i="1"/>
  <c r="CQ549" i="1"/>
  <c r="O545" i="1"/>
  <c r="AQ540" i="1"/>
  <c r="BJ554" i="1"/>
  <c r="CL549" i="1"/>
  <c r="J545" i="1"/>
  <c r="AL540" i="1"/>
  <c r="AS554" i="1"/>
  <c r="BU549" i="1"/>
  <c r="CL570" i="1"/>
  <c r="BB564" i="1"/>
  <c r="CD558" i="1"/>
  <c r="CW572" i="1"/>
  <c r="U568" i="1"/>
  <c r="AW563" i="1"/>
  <c r="BY558" i="1"/>
  <c r="BW553" i="1"/>
  <c r="CY548" i="1"/>
  <c r="W544" i="1"/>
  <c r="AY539" i="1"/>
  <c r="BR553" i="1"/>
  <c r="CT548" i="1"/>
  <c r="R544" i="1"/>
  <c r="AT539" i="1"/>
  <c r="BA553" i="1"/>
  <c r="BJ570" i="1"/>
  <c r="AD564" i="1"/>
  <c r="BJ558" i="1"/>
  <c r="CC572" i="1"/>
  <c r="DE567" i="1"/>
  <c r="AC563" i="1"/>
  <c r="BE558" i="1"/>
  <c r="BC553" i="1"/>
  <c r="CE548" i="1"/>
  <c r="DG543" i="1"/>
  <c r="AE539" i="1"/>
  <c r="AX553" i="1"/>
  <c r="BZ548" i="1"/>
  <c r="DB543" i="1"/>
  <c r="Z539" i="1"/>
  <c r="AG553" i="1"/>
  <c r="BJ566" i="1"/>
  <c r="AH560" i="1"/>
  <c r="BA574" i="1"/>
  <c r="CC569" i="1"/>
  <c r="DE564" i="1"/>
  <c r="AC560" i="1"/>
  <c r="AA555" i="1"/>
  <c r="BC550" i="1"/>
  <c r="CE545" i="1"/>
  <c r="DG540" i="1"/>
  <c r="V555" i="1"/>
  <c r="AX550" i="1"/>
  <c r="BZ545" i="1"/>
  <c r="DB540" i="1"/>
  <c r="DI554" i="1"/>
  <c r="AG550" i="1"/>
  <c r="BI545" i="1"/>
  <c r="CK540" i="1"/>
  <c r="M548" i="1"/>
  <c r="CS540" i="1"/>
  <c r="T554" i="1"/>
  <c r="AV549" i="1"/>
  <c r="BX544" i="1"/>
  <c r="CZ539" i="1"/>
  <c r="P535" i="1"/>
  <c r="AR530" i="1"/>
  <c r="BT525" i="1"/>
  <c r="CV520" i="1"/>
  <c r="BS535" i="1"/>
  <c r="CU530" i="1"/>
  <c r="S526" i="1"/>
  <c r="AU521" i="1"/>
  <c r="DB535" i="1"/>
  <c r="Z531" i="1"/>
  <c r="BB526" i="1"/>
  <c r="CK543" i="1"/>
  <c r="AR556" i="1"/>
  <c r="BP551" i="1"/>
  <c r="CR546" i="1"/>
  <c r="P542" i="1"/>
  <c r="AJ537" i="1"/>
  <c r="BL532" i="1"/>
  <c r="CN527" i="1"/>
  <c r="L523" i="1"/>
  <c r="AN518" i="1"/>
  <c r="K533" i="1"/>
  <c r="AM528" i="1"/>
  <c r="BO523" i="1"/>
  <c r="CQ518" i="1"/>
  <c r="AT533" i="1"/>
  <c r="AC548" i="1"/>
  <c r="DE540" i="1"/>
  <c r="AB554" i="1"/>
  <c r="BD549" i="1"/>
  <c r="CF544" i="1"/>
  <c r="DH539" i="1"/>
  <c r="X535" i="1"/>
  <c r="AZ530" i="1"/>
  <c r="CB525" i="1"/>
  <c r="DD520" i="1"/>
  <c r="CA535" i="1"/>
  <c r="DC530" i="1"/>
  <c r="AA526" i="1"/>
  <c r="BC521" i="1"/>
  <c r="F536" i="1"/>
  <c r="AH531" i="1"/>
  <c r="CO547" i="1"/>
  <c r="CC540" i="1"/>
  <c r="H554" i="1"/>
  <c r="AJ549" i="1"/>
  <c r="BL544" i="1"/>
  <c r="CN539" i="1"/>
  <c r="DH534" i="1"/>
  <c r="AF530" i="1"/>
  <c r="BH525" i="1"/>
  <c r="CJ520" i="1"/>
  <c r="BG535" i="1"/>
  <c r="CI530" i="1"/>
  <c r="G526" i="1"/>
  <c r="AI521" i="1"/>
  <c r="CP535" i="1"/>
  <c r="N531" i="1"/>
  <c r="AP526" i="1"/>
  <c r="BR521" i="1"/>
  <c r="BZ521" i="1"/>
  <c r="DE535" i="1"/>
  <c r="AC531" i="1"/>
  <c r="BE526" i="1"/>
  <c r="CG521" i="1"/>
  <c r="CI516" i="1"/>
  <c r="G512" i="1"/>
  <c r="AI507" i="1"/>
  <c r="BK502" i="1"/>
  <c r="CM497" i="1"/>
  <c r="K493" i="1"/>
  <c r="AM488" i="1"/>
  <c r="BO483" i="1"/>
  <c r="CD516" i="1"/>
  <c r="DF511" i="1"/>
  <c r="AD507" i="1"/>
  <c r="BF502" i="1"/>
  <c r="CH497" i="1"/>
  <c r="F493" i="1"/>
  <c r="AH488" i="1"/>
  <c r="BJ483" i="1"/>
  <c r="BY516" i="1"/>
  <c r="DA511" i="1"/>
  <c r="Y507" i="1"/>
  <c r="BA502" i="1"/>
  <c r="CC497" i="1"/>
  <c r="DE492" i="1"/>
  <c r="AC488" i="1"/>
  <c r="BE483" i="1"/>
  <c r="BH516" i="1"/>
  <c r="CJ511" i="1"/>
  <c r="BR527" i="1"/>
  <c r="CT520" i="1"/>
  <c r="Y535" i="1"/>
  <c r="BA530" i="1"/>
  <c r="CC525" i="1"/>
  <c r="DE520" i="1"/>
  <c r="DG515" i="1"/>
  <c r="AE511" i="1"/>
  <c r="BG506" i="1"/>
  <c r="CI501" i="1"/>
  <c r="G497" i="1"/>
  <c r="G493" i="1"/>
  <c r="CY489" i="1"/>
  <c r="DC486" i="1"/>
  <c r="BO484" i="1"/>
  <c r="AA482" i="1"/>
  <c r="CD517" i="1"/>
  <c r="AP515" i="1"/>
  <c r="DF512" i="1"/>
  <c r="BR510" i="1"/>
  <c r="AD508" i="1"/>
  <c r="CT505" i="1"/>
  <c r="BF503" i="1"/>
  <c r="R501" i="1"/>
  <c r="CH498" i="1"/>
  <c r="AT496" i="1"/>
  <c r="F494" i="1"/>
  <c r="BV491" i="1"/>
  <c r="AH489" i="1"/>
  <c r="CX486" i="1"/>
  <c r="BJ484" i="1"/>
  <c r="V482" i="1"/>
  <c r="BY517" i="1"/>
  <c r="AK515" i="1"/>
  <c r="DA512" i="1"/>
  <c r="BM510" i="1"/>
  <c r="Y508" i="1"/>
  <c r="CO505" i="1"/>
  <c r="BA503" i="1"/>
  <c r="M501" i="1"/>
  <c r="CC498" i="1"/>
  <c r="AO496" i="1"/>
  <c r="DE493" i="1"/>
  <c r="BQ491" i="1"/>
  <c r="AC489" i="1"/>
  <c r="CS486" i="1"/>
  <c r="BE484" i="1"/>
  <c r="Q482" i="1"/>
  <c r="BH517" i="1"/>
  <c r="T515" i="1"/>
  <c r="CJ512" i="1"/>
  <c r="CT527" i="1"/>
  <c r="DB523" i="1"/>
  <c r="DF520" i="1"/>
  <c r="CB537" i="1"/>
  <c r="AK535" i="1"/>
  <c r="DA532" i="1"/>
  <c r="BM530" i="1"/>
  <c r="Y528" i="1"/>
  <c r="CO525" i="1"/>
  <c r="BA523" i="1"/>
  <c r="M521" i="1"/>
  <c r="BR518" i="1"/>
  <c r="O516" i="1"/>
  <c r="CE513" i="1"/>
  <c r="AQ511" i="1"/>
  <c r="DG508" i="1"/>
  <c r="BS506" i="1"/>
  <c r="AE504" i="1"/>
  <c r="CU501" i="1"/>
  <c r="BG499" i="1"/>
  <c r="S497" i="1"/>
  <c r="CI494" i="1"/>
  <c r="AU492" i="1"/>
  <c r="G490" i="1"/>
  <c r="BW487" i="1"/>
  <c r="AI485" i="1"/>
  <c r="CY482" i="1"/>
  <c r="BI518" i="1"/>
  <c r="J516" i="1"/>
  <c r="BZ513" i="1"/>
  <c r="AL511" i="1"/>
  <c r="DB508" i="1"/>
  <c r="BN506" i="1"/>
  <c r="Z504" i="1"/>
  <c r="CP501" i="1"/>
  <c r="BB499" i="1"/>
  <c r="N497" i="1"/>
  <c r="CD494" i="1"/>
  <c r="AP492" i="1"/>
  <c r="DF489" i="1"/>
  <c r="BR487" i="1"/>
  <c r="AD485" i="1"/>
  <c r="CT482" i="1"/>
  <c r="AX518" i="1"/>
  <c r="DI515" i="1"/>
  <c r="BU513" i="1"/>
  <c r="AG511" i="1"/>
  <c r="CW508" i="1"/>
  <c r="BI506" i="1"/>
  <c r="U504" i="1"/>
  <c r="CK501" i="1"/>
  <c r="AW499" i="1"/>
  <c r="I497" i="1"/>
  <c r="BY494" i="1"/>
  <c r="AK492" i="1"/>
  <c r="DA489" i="1"/>
  <c r="BM487" i="1"/>
  <c r="Y485" i="1"/>
  <c r="CO482" i="1"/>
  <c r="AB518" i="1"/>
  <c r="CR515" i="1"/>
  <c r="BD513" i="1"/>
  <c r="BF525" i="1"/>
  <c r="AL522" i="1"/>
  <c r="CH519" i="1"/>
  <c r="BA536" i="1"/>
  <c r="M534" i="1"/>
  <c r="CC531" i="1"/>
  <c r="AO529" i="1"/>
  <c r="DE526" i="1"/>
  <c r="BQ524" i="1"/>
  <c r="AC522" i="1"/>
  <c r="CS519" i="1"/>
  <c r="AE517" i="1"/>
  <c r="CU514" i="1"/>
  <c r="BG512" i="1"/>
  <c r="S510" i="1"/>
  <c r="CI507" i="1"/>
  <c r="AU505" i="1"/>
  <c r="G503" i="1"/>
  <c r="BW500" i="1"/>
  <c r="AI498" i="1"/>
  <c r="CY495" i="1"/>
  <c r="BK493" i="1"/>
  <c r="W491" i="1"/>
  <c r="CM488" i="1"/>
  <c r="AY486" i="1"/>
  <c r="K484" i="1"/>
  <c r="CA481" i="1"/>
  <c r="Z517" i="1"/>
  <c r="CP514" i="1"/>
  <c r="BB512" i="1"/>
  <c r="N510" i="1"/>
  <c r="CD507" i="1"/>
  <c r="AP505" i="1"/>
  <c r="DF502" i="1"/>
  <c r="BR500" i="1"/>
  <c r="AD498" i="1"/>
  <c r="CT495" i="1"/>
  <c r="BF493" i="1"/>
  <c r="R491" i="1"/>
  <c r="CH488" i="1"/>
  <c r="AT486" i="1"/>
  <c r="F484" i="1"/>
  <c r="BV481" i="1"/>
  <c r="U517" i="1"/>
  <c r="CK514" i="1"/>
  <c r="AW512" i="1"/>
  <c r="I510" i="1"/>
  <c r="BY507" i="1"/>
  <c r="AK505" i="1"/>
  <c r="DA502" i="1"/>
  <c r="BM500" i="1"/>
  <c r="Y498" i="1"/>
  <c r="CO495" i="1"/>
  <c r="BA493" i="1"/>
  <c r="M491" i="1"/>
  <c r="CC488" i="1"/>
  <c r="AO486" i="1"/>
  <c r="DE483" i="1"/>
  <c r="BQ481" i="1"/>
  <c r="DH516" i="1"/>
  <c r="BT514" i="1"/>
  <c r="AF512" i="1"/>
  <c r="CV509" i="1"/>
  <c r="BH507" i="1"/>
  <c r="AJ508" i="1"/>
  <c r="AZ505" i="1"/>
  <c r="L503" i="1"/>
  <c r="CB500" i="1"/>
  <c r="AN498" i="1"/>
  <c r="DD495" i="1"/>
  <c r="BP493" i="1"/>
  <c r="CW533" i="1"/>
  <c r="AO530" i="1"/>
  <c r="DE527" i="1"/>
  <c r="BQ525" i="1"/>
  <c r="AC523" i="1"/>
  <c r="CS520" i="1"/>
  <c r="AE518" i="1"/>
  <c r="CU515" i="1"/>
  <c r="BG513" i="1"/>
  <c r="S511" i="1"/>
  <c r="CI508" i="1"/>
  <c r="AU506" i="1"/>
  <c r="G504" i="1"/>
  <c r="BW501" i="1"/>
  <c r="AI499" i="1"/>
  <c r="CY496" i="1"/>
  <c r="BK494" i="1"/>
  <c r="W492" i="1"/>
  <c r="CM489" i="1"/>
  <c r="AY487" i="1"/>
  <c r="K485" i="1"/>
  <c r="CA482" i="1"/>
  <c r="Z518" i="1"/>
  <c r="CP515" i="1"/>
  <c r="BB513" i="1"/>
  <c r="N511" i="1"/>
  <c r="CD508" i="1"/>
  <c r="AP506" i="1"/>
  <c r="DF503" i="1"/>
  <c r="BR501" i="1"/>
  <c r="AD499" i="1"/>
  <c r="CT496" i="1"/>
  <c r="BF494" i="1"/>
  <c r="R492" i="1"/>
  <c r="CH489" i="1"/>
  <c r="AT487" i="1"/>
  <c r="F485" i="1"/>
  <c r="BV482" i="1"/>
  <c r="U518" i="1"/>
  <c r="CK515" i="1"/>
  <c r="AW513" i="1"/>
  <c r="I511" i="1"/>
  <c r="BY508" i="1"/>
  <c r="AK506" i="1"/>
  <c r="DA503" i="1"/>
  <c r="BM501" i="1"/>
  <c r="Y499" i="1"/>
  <c r="CO496" i="1"/>
  <c r="BA494" i="1"/>
  <c r="M492" i="1"/>
  <c r="CC489" i="1"/>
  <c r="AO487" i="1"/>
  <c r="DE484" i="1"/>
  <c r="BQ482" i="1"/>
  <c r="DH517" i="1"/>
  <c r="BT515" i="1"/>
  <c r="AF513" i="1"/>
  <c r="CV510" i="1"/>
  <c r="BH508" i="1"/>
  <c r="CP525" i="1"/>
  <c r="BR522" i="1"/>
  <c r="DF519" i="1"/>
  <c r="BY536" i="1"/>
  <c r="AK534" i="1"/>
  <c r="DA531" i="1"/>
  <c r="BM529" i="1"/>
  <c r="Y527" i="1"/>
  <c r="CO524" i="1"/>
  <c r="BA522" i="1"/>
  <c r="M520" i="1"/>
  <c r="BC517" i="1"/>
  <c r="O515" i="1"/>
  <c r="CE512" i="1"/>
  <c r="AQ510" i="1"/>
  <c r="DG507" i="1"/>
  <c r="BS505" i="1"/>
  <c r="AE503" i="1"/>
  <c r="CU500" i="1"/>
  <c r="BG498" i="1"/>
  <c r="S496" i="1"/>
  <c r="BT645" i="1"/>
  <c r="CX631" i="1"/>
  <c r="AV631" i="1"/>
  <c r="DC620" i="1"/>
  <c r="CY627" i="1"/>
  <c r="W624" i="1"/>
  <c r="M618" i="1"/>
  <c r="CG619" i="1"/>
  <c r="BG617" i="1"/>
  <c r="DB609" i="1"/>
  <c r="N623" i="1"/>
  <c r="F609" i="1"/>
  <c r="AL618" i="1"/>
  <c r="CK606" i="1"/>
  <c r="BC592" i="1"/>
  <c r="CX602" i="1"/>
  <c r="CM594" i="1"/>
  <c r="Z604" i="1"/>
  <c r="O596" i="1"/>
  <c r="F604" i="1"/>
  <c r="CY595" i="1"/>
  <c r="BF601" i="1"/>
  <c r="AY601" i="1"/>
  <c r="AR597" i="1"/>
  <c r="AC584" i="1"/>
  <c r="J591" i="1"/>
  <c r="DI590" i="1"/>
  <c r="DD595" i="1"/>
  <c r="X602" i="1"/>
  <c r="R602" i="1"/>
  <c r="AZ599" i="1"/>
  <c r="CL584" i="1"/>
  <c r="AP597" i="1"/>
  <c r="CT587" i="1"/>
  <c r="AK597" i="1"/>
  <c r="CO587" i="1"/>
  <c r="Y585" i="1"/>
  <c r="AN585" i="1"/>
  <c r="BM580" i="1"/>
  <c r="BU579" i="1"/>
  <c r="CZ577" i="1"/>
  <c r="BW577" i="1"/>
  <c r="AP577" i="1"/>
  <c r="L568" i="1"/>
  <c r="BP558" i="1"/>
  <c r="G568" i="1"/>
  <c r="BK558" i="1"/>
  <c r="AW579" i="1"/>
  <c r="CF577" i="1"/>
  <c r="BC577" i="1"/>
  <c r="V577" i="1"/>
  <c r="CV567" i="1"/>
  <c r="AV558" i="1"/>
  <c r="CQ567" i="1"/>
  <c r="AQ558" i="1"/>
  <c r="BM578" i="1"/>
  <c r="P577" i="1"/>
  <c r="CQ576" i="1"/>
  <c r="BJ576" i="1"/>
  <c r="AF567" i="1"/>
  <c r="CJ557" i="1"/>
  <c r="AA567" i="1"/>
  <c r="CE557" i="1"/>
  <c r="CC577" i="1"/>
  <c r="CN577" i="1"/>
  <c r="S582" i="1"/>
  <c r="AU577" i="1"/>
  <c r="CP581" i="1"/>
  <c r="N577" i="1"/>
  <c r="BL572" i="1"/>
  <c r="CN567" i="1"/>
  <c r="L563" i="1"/>
  <c r="AN558" i="1"/>
  <c r="BG572" i="1"/>
  <c r="CI567" i="1"/>
  <c r="G563" i="1"/>
  <c r="AI558" i="1"/>
  <c r="CL572" i="1"/>
  <c r="J568" i="1"/>
  <c r="AL563" i="1"/>
  <c r="J569" i="1"/>
  <c r="CH562" i="1"/>
  <c r="AX557" i="1"/>
  <c r="BQ571" i="1"/>
  <c r="CS566" i="1"/>
  <c r="Q562" i="1"/>
  <c r="AS557" i="1"/>
  <c r="AQ552" i="1"/>
  <c r="BS547" i="1"/>
  <c r="CU542" i="1"/>
  <c r="S538" i="1"/>
  <c r="AL552" i="1"/>
  <c r="BN547" i="1"/>
  <c r="CP542" i="1"/>
  <c r="N538" i="1"/>
  <c r="U552" i="1"/>
  <c r="AW547" i="1"/>
  <c r="CP567" i="1"/>
  <c r="BF561" i="1"/>
  <c r="BA575" i="1"/>
  <c r="BY570" i="1"/>
  <c r="DA565" i="1"/>
  <c r="Y561" i="1"/>
  <c r="W556" i="1"/>
  <c r="AY551" i="1"/>
  <c r="CA546" i="1"/>
  <c r="DC541" i="1"/>
  <c r="R556" i="1"/>
  <c r="AT551" i="1"/>
  <c r="BV546" i="1"/>
  <c r="CX541" i="1"/>
  <c r="DE555" i="1"/>
  <c r="AC551" i="1"/>
  <c r="BN567" i="1"/>
  <c r="AH561" i="1"/>
  <c r="AC575" i="1"/>
  <c r="BE570" i="1"/>
  <c r="CG565" i="1"/>
  <c r="DI560" i="1"/>
  <c r="DG555" i="1"/>
  <c r="AE551" i="1"/>
  <c r="BG546" i="1"/>
  <c r="CI541" i="1"/>
  <c r="DB555" i="1"/>
  <c r="Z551" i="1"/>
  <c r="BB546" i="1"/>
  <c r="CD541" i="1"/>
  <c r="CK555" i="1"/>
  <c r="CX569" i="1"/>
  <c r="BN563" i="1"/>
  <c r="J558" i="1"/>
  <c r="AC572" i="1"/>
  <c r="BE567" i="1"/>
  <c r="CG562" i="1"/>
  <c r="DI557" i="1"/>
  <c r="DG552" i="1"/>
  <c r="AE548" i="1"/>
  <c r="BG543" i="1"/>
  <c r="CI538" i="1"/>
  <c r="DB552" i="1"/>
  <c r="Z548" i="1"/>
  <c r="BB543" i="1"/>
  <c r="CD538" i="1"/>
  <c r="CK552" i="1"/>
  <c r="I548" i="1"/>
  <c r="AK543" i="1"/>
  <c r="BM538" i="1"/>
  <c r="AC544" i="1"/>
  <c r="CW537" i="1"/>
  <c r="CZ551" i="1"/>
  <c r="X547" i="1"/>
  <c r="AZ542" i="1"/>
  <c r="BT537" i="1"/>
  <c r="CV532" i="1"/>
  <c r="T528" i="1"/>
  <c r="AV523" i="1"/>
  <c r="BX518" i="1"/>
  <c r="AU533" i="1"/>
  <c r="BW528" i="1"/>
  <c r="CY523" i="1"/>
  <c r="W519" i="1"/>
  <c r="CD533" i="1"/>
  <c r="DF528" i="1"/>
  <c r="DE547" i="1"/>
  <c r="CO540" i="1"/>
  <c r="P554" i="1"/>
  <c r="AR549" i="1"/>
  <c r="BT544" i="1"/>
  <c r="CV539" i="1"/>
  <c r="L535" i="1"/>
  <c r="AN530" i="1"/>
  <c r="BP525" i="1"/>
  <c r="CR520" i="1"/>
  <c r="BO535" i="1"/>
  <c r="CQ530" i="1"/>
  <c r="O526" i="1"/>
  <c r="AQ521" i="1"/>
  <c r="CX535" i="1"/>
  <c r="V531" i="1"/>
  <c r="AK544" i="1"/>
  <c r="DI537" i="1"/>
  <c r="DH551" i="1"/>
  <c r="AF547" i="1"/>
  <c r="BH542" i="1"/>
  <c r="CJ537" i="1"/>
  <c r="DD532" i="1"/>
  <c r="AB528" i="1"/>
  <c r="BD523" i="1"/>
  <c r="CF518" i="1"/>
  <c r="BC533" i="1"/>
  <c r="CE528" i="1"/>
  <c r="DG523" i="1"/>
  <c r="AE519" i="1"/>
  <c r="CL533" i="1"/>
  <c r="J529" i="1"/>
  <c r="M544" i="1"/>
  <c r="CG537" i="1"/>
  <c r="CN551" i="1"/>
  <c r="L547" i="1"/>
  <c r="AN542" i="1"/>
  <c r="BH537" i="1"/>
  <c r="CJ532" i="1"/>
  <c r="H528" i="1"/>
  <c r="AJ523" i="1"/>
  <c r="BL518" i="1"/>
  <c r="AI533" i="1"/>
  <c r="BK528" i="1"/>
  <c r="CM523" i="1"/>
  <c r="K519" i="1"/>
  <c r="BR533" i="1"/>
  <c r="CT528" i="1"/>
  <c r="R524" i="1"/>
  <c r="J525" i="1"/>
  <c r="AX519" i="1"/>
  <c r="CG533" i="1"/>
  <c r="DI528" i="1"/>
  <c r="AG524" i="1"/>
  <c r="BI519" i="1"/>
  <c r="BK514" i="1"/>
  <c r="CM509" i="1"/>
  <c r="K505" i="1"/>
  <c r="AM500" i="1"/>
  <c r="BO495" i="1"/>
  <c r="CQ490" i="1"/>
  <c r="O486" i="1"/>
  <c r="AQ481" i="1"/>
  <c r="BF514" i="1"/>
  <c r="CH509" i="1"/>
  <c r="F505" i="1"/>
  <c r="AH500" i="1"/>
  <c r="BJ495" i="1"/>
  <c r="CL490" i="1"/>
  <c r="J486" i="1"/>
  <c r="AL481" i="1"/>
  <c r="BA514" i="1"/>
  <c r="CC509" i="1"/>
  <c r="DE504" i="1"/>
  <c r="AC500" i="1"/>
  <c r="BE495" i="1"/>
  <c r="CG490" i="1"/>
  <c r="DI485" i="1"/>
  <c r="AG481" i="1"/>
  <c r="AJ514" i="1"/>
  <c r="BL509" i="1"/>
  <c r="F524" i="1"/>
  <c r="BV518" i="1"/>
  <c r="DE532" i="1"/>
  <c r="AC528" i="1"/>
  <c r="BE523" i="1"/>
  <c r="CG518" i="1"/>
  <c r="CI513" i="1"/>
  <c r="G509" i="1"/>
  <c r="AI504" i="1"/>
  <c r="BK499" i="1"/>
  <c r="CM494" i="1"/>
  <c r="CA491" i="1"/>
  <c r="AY488" i="1"/>
  <c r="CY485" i="1"/>
  <c r="BK483" i="1"/>
  <c r="W481" i="1"/>
  <c r="BZ516" i="1"/>
  <c r="AL514" i="1"/>
  <c r="DB511" i="1"/>
  <c r="BN509" i="1"/>
  <c r="Z507" i="1"/>
  <c r="CP504" i="1"/>
  <c r="BB502" i="1"/>
  <c r="N500" i="1"/>
  <c r="CD497" i="1"/>
  <c r="AP495" i="1"/>
  <c r="DF492" i="1"/>
  <c r="BR490" i="1"/>
  <c r="AD488" i="1"/>
  <c r="CT485" i="1"/>
  <c r="BF483" i="1"/>
  <c r="R481" i="1"/>
  <c r="BU516" i="1"/>
  <c r="AG514" i="1"/>
  <c r="CW511" i="1"/>
  <c r="BI509" i="1"/>
  <c r="U507" i="1"/>
  <c r="CK504" i="1"/>
  <c r="AW502" i="1"/>
  <c r="I500" i="1"/>
  <c r="BY497" i="1"/>
  <c r="AK495" i="1"/>
  <c r="DA492" i="1"/>
  <c r="BM490" i="1"/>
  <c r="Y488" i="1"/>
  <c r="CO485" i="1"/>
  <c r="BA483" i="1"/>
  <c r="M481" i="1"/>
  <c r="BD516" i="1"/>
  <c r="P514" i="1"/>
  <c r="CF511" i="1"/>
  <c r="CL525" i="1"/>
  <c r="BN522" i="1"/>
  <c r="DB519" i="1"/>
  <c r="BU536" i="1"/>
  <c r="AG534" i="1"/>
  <c r="CW531" i="1"/>
  <c r="BI529" i="1"/>
  <c r="U527" i="1"/>
  <c r="CK524" i="1"/>
  <c r="AW522" i="1"/>
  <c r="I520" i="1"/>
  <c r="AY517" i="1"/>
  <c r="K515" i="1"/>
  <c r="CA512" i="1"/>
  <c r="AM510" i="1"/>
  <c r="DC507" i="1"/>
  <c r="BO505" i="1"/>
  <c r="AA503" i="1"/>
  <c r="CQ500" i="1"/>
  <c r="BC498" i="1"/>
  <c r="O496" i="1"/>
  <c r="CE493" i="1"/>
  <c r="AQ491" i="1"/>
  <c r="DG488" i="1"/>
  <c r="BS486" i="1"/>
  <c r="AE484" i="1"/>
  <c r="CU481" i="1"/>
  <c r="AT517" i="1"/>
  <c r="F515" i="1"/>
  <c r="BV512" i="1"/>
  <c r="AH510" i="1"/>
  <c r="CX507" i="1"/>
  <c r="BJ505" i="1"/>
  <c r="V503" i="1"/>
  <c r="CL500" i="1"/>
  <c r="AX498" i="1"/>
  <c r="J496" i="1"/>
  <c r="BZ493" i="1"/>
  <c r="AL491" i="1"/>
  <c r="DB488" i="1"/>
  <c r="BN486" i="1"/>
  <c r="Z484" i="1"/>
  <c r="CP481" i="1"/>
  <c r="AO517" i="1"/>
  <c r="DE514" i="1"/>
  <c r="BQ512" i="1"/>
  <c r="AC510" i="1"/>
  <c r="CS507" i="1"/>
  <c r="BE505" i="1"/>
  <c r="Q503" i="1"/>
  <c r="CG500" i="1"/>
  <c r="AS498" i="1"/>
  <c r="DI495" i="1"/>
  <c r="BU493" i="1"/>
  <c r="AG491" i="1"/>
  <c r="CW488" i="1"/>
  <c r="BI486" i="1"/>
  <c r="U484" i="1"/>
  <c r="CK481" i="1"/>
  <c r="X517" i="1"/>
  <c r="CN514" i="1"/>
  <c r="Z528" i="1"/>
  <c r="N524" i="1"/>
  <c r="N521" i="1"/>
  <c r="CD518" i="1"/>
  <c r="AW535" i="1"/>
  <c r="I533" i="1"/>
  <c r="BY530" i="1"/>
  <c r="AK528" i="1"/>
  <c r="DA525" i="1"/>
  <c r="BM523" i="1"/>
  <c r="Y521" i="1"/>
  <c r="CO518" i="1"/>
  <c r="AA516" i="1"/>
  <c r="CQ513" i="1"/>
  <c r="BC511" i="1"/>
  <c r="O509" i="1"/>
  <c r="CE506" i="1"/>
  <c r="AQ504" i="1"/>
  <c r="DG501" i="1"/>
  <c r="BS499" i="1"/>
  <c r="AE497" i="1"/>
  <c r="CU494" i="1"/>
  <c r="BG492" i="1"/>
  <c r="S490" i="1"/>
  <c r="CI487" i="1"/>
  <c r="AU485" i="1"/>
  <c r="G483" i="1"/>
  <c r="BW480" i="1"/>
  <c r="V516" i="1"/>
  <c r="CL513" i="1"/>
  <c r="AX511" i="1"/>
  <c r="J509" i="1"/>
  <c r="BZ506" i="1"/>
  <c r="AL504" i="1"/>
  <c r="DB501" i="1"/>
  <c r="BN499" i="1"/>
  <c r="Z497" i="1"/>
  <c r="CP494" i="1"/>
  <c r="BB492" i="1"/>
  <c r="N490" i="1"/>
  <c r="CD487" i="1"/>
  <c r="AP485" i="1"/>
  <c r="DF482" i="1"/>
  <c r="BY518" i="1"/>
  <c r="Q516" i="1"/>
  <c r="CG513" i="1"/>
  <c r="AS511" i="1"/>
  <c r="DI508" i="1"/>
  <c r="BU506" i="1"/>
  <c r="AG504" i="1"/>
  <c r="CW501" i="1"/>
  <c r="BI499" i="1"/>
  <c r="U497" i="1"/>
  <c r="CK494" i="1"/>
  <c r="AW492" i="1"/>
  <c r="I490" i="1"/>
  <c r="BY487" i="1"/>
  <c r="AK485" i="1"/>
  <c r="DA482" i="1"/>
  <c r="AQ518" i="1"/>
  <c r="DD515" i="1"/>
  <c r="BP513" i="1"/>
  <c r="AB511" i="1"/>
  <c r="CR508" i="1"/>
  <c r="DD510" i="1"/>
  <c r="CJ506" i="1"/>
  <c r="AV504" i="1"/>
  <c r="H502" i="1"/>
  <c r="BX499" i="1"/>
  <c r="AJ497" i="1"/>
  <c r="CZ494" i="1"/>
  <c r="BL492" i="1"/>
  <c r="X490" i="1"/>
  <c r="CN487" i="1"/>
  <c r="AZ485" i="1"/>
  <c r="L483" i="1"/>
  <c r="CC480" i="1"/>
  <c r="AK478" i="1"/>
  <c r="CW474" i="1"/>
  <c r="BI472" i="1"/>
  <c r="Q469" i="1"/>
  <c r="CS465" i="1"/>
  <c r="BE463" i="1"/>
  <c r="M460" i="1"/>
  <c r="CC457" i="1"/>
  <c r="AK454" i="1"/>
  <c r="DA451" i="1"/>
  <c r="BM449" i="1"/>
  <c r="Y447" i="1"/>
  <c r="CO444" i="1"/>
  <c r="AB480" i="1"/>
  <c r="CR477" i="1"/>
  <c r="AZ474" i="1"/>
  <c r="L472" i="1"/>
  <c r="BX468" i="1"/>
  <c r="AV465" i="1"/>
  <c r="H463" i="1"/>
  <c r="BT459" i="1"/>
  <c r="AF457" i="1"/>
  <c r="CR453" i="1"/>
  <c r="BD451" i="1"/>
  <c r="P449" i="1"/>
  <c r="CF446" i="1"/>
  <c r="AR444" i="1"/>
  <c r="CE479" i="1"/>
  <c r="AQ477" i="1"/>
  <c r="DC473" i="1"/>
  <c r="CA470" i="1"/>
  <c r="AM468" i="1"/>
  <c r="CY464" i="1"/>
  <c r="BK462" i="1"/>
  <c r="S459" i="1"/>
  <c r="CE455" i="1"/>
  <c r="AQ453" i="1"/>
  <c r="DG450" i="1"/>
  <c r="BS448" i="1"/>
  <c r="AE446" i="1"/>
  <c r="CU443" i="1"/>
  <c r="AD479" i="1"/>
  <c r="DF475" i="1"/>
  <c r="BR473" i="1"/>
  <c r="AF510" i="1"/>
  <c r="AZ506" i="1"/>
  <c r="L504" i="1"/>
  <c r="CB501" i="1"/>
  <c r="AN499" i="1"/>
  <c r="DD496" i="1"/>
  <c r="BP494" i="1"/>
  <c r="AB492" i="1"/>
  <c r="CR489" i="1"/>
  <c r="BD487" i="1"/>
  <c r="P485" i="1"/>
  <c r="CF482" i="1"/>
  <c r="AO480" i="1"/>
  <c r="DE477" i="1"/>
  <c r="BM474" i="1"/>
  <c r="Y472" i="1"/>
  <c r="DA468" i="1"/>
  <c r="BI465" i="1"/>
  <c r="U463" i="1"/>
  <c r="CG459" i="1"/>
  <c r="AS457" i="1"/>
  <c r="DE453" i="1"/>
  <c r="BQ451" i="1"/>
  <c r="AC449" i="1"/>
  <c r="CS446" i="1"/>
  <c r="BE444" i="1"/>
  <c r="CV479" i="1"/>
  <c r="BH477" i="1"/>
  <c r="P474" i="1"/>
  <c r="CR470" i="1"/>
  <c r="BD468" i="1"/>
  <c r="L465" i="1"/>
  <c r="CB462" i="1"/>
  <c r="AJ459" i="1"/>
  <c r="CV455" i="1"/>
  <c r="BH453" i="1"/>
  <c r="T451" i="1"/>
  <c r="CJ448" i="1"/>
  <c r="J651" i="1"/>
  <c r="BD640" i="1"/>
  <c r="BY628" i="1"/>
  <c r="BE626" i="1"/>
  <c r="BE644" i="1"/>
  <c r="AS626" i="1"/>
  <c r="AF620" i="1"/>
  <c r="N626" i="1"/>
  <c r="H615" i="1"/>
  <c r="DG614" i="1"/>
  <c r="AE619" i="1"/>
  <c r="CH613" i="1"/>
  <c r="BO614" i="1"/>
  <c r="V605" i="1"/>
  <c r="K597" i="1"/>
  <c r="BV607" i="1"/>
  <c r="AU599" i="1"/>
  <c r="V615" i="1"/>
  <c r="K601" i="1"/>
  <c r="Y613" i="1"/>
  <c r="CN600" i="1"/>
  <c r="DC587" i="1"/>
  <c r="BV586" i="1"/>
  <c r="CK608" i="1"/>
  <c r="AV597" i="1"/>
  <c r="BV595" i="1"/>
  <c r="BQ595" i="1"/>
  <c r="P595" i="1"/>
  <c r="BS588" i="1"/>
  <c r="V587" i="1"/>
  <c r="Q587" i="1"/>
  <c r="BD599" i="1"/>
  <c r="CI599" i="1"/>
  <c r="N590" i="1"/>
  <c r="BI599" i="1"/>
  <c r="I590" i="1"/>
  <c r="BP591" i="1"/>
  <c r="P592" i="1"/>
  <c r="CK582" i="1"/>
  <c r="CO582" i="1"/>
  <c r="T580" i="1"/>
  <c r="CU579" i="1"/>
  <c r="BN579" i="1"/>
  <c r="AJ570" i="1"/>
  <c r="CN560" i="1"/>
  <c r="AE570" i="1"/>
  <c r="CI560" i="1"/>
  <c r="BA582" i="1"/>
  <c r="DD579" i="1"/>
  <c r="CA579" i="1"/>
  <c r="AT579" i="1"/>
  <c r="P570" i="1"/>
  <c r="BT560" i="1"/>
  <c r="K570" i="1"/>
  <c r="BO560" i="1"/>
  <c r="BI581" i="1"/>
  <c r="AN579" i="1"/>
  <c r="K579" i="1"/>
  <c r="CH578" i="1"/>
  <c r="BD569" i="1"/>
  <c r="DH559" i="1"/>
  <c r="AY569" i="1"/>
  <c r="DC559" i="1"/>
  <c r="BY580" i="1"/>
  <c r="AJ579" i="1"/>
  <c r="W583" i="1"/>
  <c r="AY578" i="1"/>
  <c r="CT582" i="1"/>
  <c r="R578" i="1"/>
  <c r="BP573" i="1"/>
  <c r="CR568" i="1"/>
  <c r="P564" i="1"/>
  <c r="AR559" i="1"/>
  <c r="BK573" i="1"/>
  <c r="CM568" i="1"/>
  <c r="K564" i="1"/>
  <c r="AM559" i="1"/>
  <c r="CP573" i="1"/>
  <c r="N569" i="1"/>
  <c r="AP564" i="1"/>
  <c r="BB570" i="1"/>
  <c r="R564" i="1"/>
  <c r="BB558" i="1"/>
  <c r="BU572" i="1"/>
  <c r="CW567" i="1"/>
  <c r="U563" i="1"/>
  <c r="AW558" i="1"/>
  <c r="AU553" i="1"/>
  <c r="BW548" i="1"/>
  <c r="CY543" i="1"/>
  <c r="W539" i="1"/>
  <c r="AP553" i="1"/>
  <c r="BR548" i="1"/>
  <c r="CT543" i="1"/>
  <c r="R539" i="1"/>
  <c r="Y553" i="1"/>
  <c r="BA548" i="1"/>
  <c r="Z569" i="1"/>
  <c r="CX562" i="1"/>
  <c r="BJ557" i="1"/>
  <c r="CC571" i="1"/>
  <c r="DE566" i="1"/>
  <c r="AC562" i="1"/>
  <c r="BE557" i="1"/>
  <c r="BC552" i="1"/>
  <c r="CE547" i="1"/>
  <c r="DG542" i="1"/>
  <c r="AE538" i="1"/>
  <c r="AX552" i="1"/>
  <c r="BZ547" i="1"/>
  <c r="DB542" i="1"/>
  <c r="Z538" i="1"/>
  <c r="AG552" i="1"/>
  <c r="DF568" i="1"/>
  <c r="BV562" i="1"/>
  <c r="AP557" i="1"/>
  <c r="BI571" i="1"/>
  <c r="CK566" i="1"/>
  <c r="I562" i="1"/>
  <c r="AK557" i="1"/>
  <c r="AI552" i="1"/>
  <c r="BK547" i="1"/>
  <c r="CM542" i="1"/>
  <c r="K538" i="1"/>
  <c r="AD552" i="1"/>
  <c r="BF547" i="1"/>
  <c r="CH542" i="1"/>
  <c r="F538" i="1"/>
  <c r="AP571" i="1"/>
  <c r="DF564" i="1"/>
  <c r="N559" i="1"/>
  <c r="AG573" i="1"/>
  <c r="BI568" i="1"/>
  <c r="CK563" i="1"/>
  <c r="I559" i="1"/>
  <c r="G554" i="1"/>
  <c r="AI549" i="1"/>
  <c r="BK544" i="1"/>
  <c r="CM539" i="1"/>
  <c r="DF553" i="1"/>
  <c r="AD549" i="1"/>
  <c r="BF544" i="1"/>
  <c r="CH539" i="1"/>
  <c r="CO553" i="1"/>
  <c r="M549" i="1"/>
  <c r="AO544" i="1"/>
  <c r="BQ539" i="1"/>
  <c r="CC545" i="1"/>
  <c r="AG539" i="1"/>
  <c r="DD552" i="1"/>
  <c r="AB548" i="1"/>
  <c r="BD543" i="1"/>
  <c r="CF538" i="1"/>
  <c r="CZ533" i="1"/>
  <c r="X529" i="1"/>
  <c r="AZ524" i="1"/>
  <c r="CB519" i="1"/>
  <c r="AY534" i="1"/>
  <c r="CA529" i="1"/>
  <c r="DC524" i="1"/>
  <c r="AA520" i="1"/>
  <c r="CH534" i="1"/>
  <c r="F530" i="1"/>
  <c r="CG550" i="1"/>
  <c r="Y542" i="1"/>
  <c r="T555" i="1"/>
  <c r="AV550" i="1"/>
  <c r="BX545" i="1"/>
  <c r="CZ540" i="1"/>
  <c r="P536" i="1"/>
  <c r="AR531" i="1"/>
  <c r="BT526" i="1"/>
  <c r="CV521" i="1"/>
  <c r="BS536" i="1"/>
  <c r="CU531" i="1"/>
  <c r="S527" i="1"/>
  <c r="AU522" i="1"/>
  <c r="DB536" i="1"/>
  <c r="Z532" i="1"/>
  <c r="CS545" i="1"/>
  <c r="AS539" i="1"/>
  <c r="H553" i="1"/>
  <c r="AJ548" i="1"/>
  <c r="BL543" i="1"/>
  <c r="CN538" i="1"/>
  <c r="DH533" i="1"/>
  <c r="AF529" i="1"/>
  <c r="BH524" i="1"/>
  <c r="CJ519" i="1"/>
  <c r="BG534" i="1"/>
  <c r="CI529" i="1"/>
  <c r="G525" i="1"/>
  <c r="AI520" i="1"/>
  <c r="CP534" i="1"/>
  <c r="N530" i="1"/>
  <c r="BA545" i="1"/>
  <c r="Q539" i="1"/>
  <c r="CR552" i="1"/>
  <c r="P548" i="1"/>
  <c r="AR543" i="1"/>
  <c r="BT538" i="1"/>
  <c r="CN533" i="1"/>
  <c r="L529" i="1"/>
  <c r="AN524" i="1"/>
  <c r="BP519" i="1"/>
  <c r="AM534" i="1"/>
  <c r="BO529" i="1"/>
  <c r="CQ524" i="1"/>
  <c r="O520" i="1"/>
  <c r="BV534" i="1"/>
  <c r="CX529" i="1"/>
  <c r="V525" i="1"/>
  <c r="CP526" i="1"/>
  <c r="BB520" i="1"/>
  <c r="CK534" i="1"/>
  <c r="I530" i="1"/>
  <c r="AK525" i="1"/>
  <c r="BM520" i="1"/>
  <c r="BO515" i="1"/>
  <c r="CQ510" i="1"/>
  <c r="O506" i="1"/>
  <c r="AQ501" i="1"/>
  <c r="BS496" i="1"/>
  <c r="CU491" i="1"/>
  <c r="S487" i="1"/>
  <c r="AU482" i="1"/>
  <c r="BJ515" i="1"/>
  <c r="CL510" i="1"/>
  <c r="J506" i="1"/>
  <c r="AL501" i="1"/>
  <c r="BN496" i="1"/>
  <c r="CP491" i="1"/>
  <c r="N487" i="1"/>
  <c r="AP482" i="1"/>
  <c r="BE515" i="1"/>
  <c r="CG510" i="1"/>
  <c r="DI505" i="1"/>
  <c r="AG501" i="1"/>
  <c r="BI496" i="1"/>
  <c r="CK491" i="1"/>
  <c r="I487" i="1"/>
  <c r="AK482" i="1"/>
  <c r="AN515" i="1"/>
  <c r="BP510" i="1"/>
  <c r="AT525" i="1"/>
  <c r="BZ519" i="1"/>
  <c r="DI533" i="1"/>
  <c r="AG529" i="1"/>
  <c r="BI524" i="1"/>
  <c r="CK519" i="1"/>
  <c r="CM514" i="1"/>
  <c r="K510" i="1"/>
  <c r="AM505" i="1"/>
  <c r="BO500" i="1"/>
  <c r="CQ495" i="1"/>
  <c r="AI492" i="1"/>
  <c r="G489" i="1"/>
  <c r="AQ486" i="1"/>
  <c r="DG483" i="1"/>
  <c r="BS481" i="1"/>
  <c r="R517" i="1"/>
  <c r="CH514" i="1"/>
  <c r="AT512" i="1"/>
  <c r="F510" i="1"/>
  <c r="BV507" i="1"/>
  <c r="AH505" i="1"/>
  <c r="CX502" i="1"/>
  <c r="BJ500" i="1"/>
  <c r="V498" i="1"/>
  <c r="CL495" i="1"/>
  <c r="AX493" i="1"/>
  <c r="J491" i="1"/>
  <c r="BZ488" i="1"/>
  <c r="AL486" i="1"/>
  <c r="DB483" i="1"/>
  <c r="BN481" i="1"/>
  <c r="M517" i="1"/>
  <c r="CC514" i="1"/>
  <c r="AO512" i="1"/>
  <c r="DE509" i="1"/>
  <c r="BQ507" i="1"/>
  <c r="AC505" i="1"/>
  <c r="CS502" i="1"/>
  <c r="BE500" i="1"/>
  <c r="Q498" i="1"/>
  <c r="CG495" i="1"/>
  <c r="AS493" i="1"/>
  <c r="DI490" i="1"/>
  <c r="BU488" i="1"/>
  <c r="AG486" i="1"/>
  <c r="CW483" i="1"/>
  <c r="BI481" i="1"/>
  <c r="CZ516" i="1"/>
  <c r="BL514" i="1"/>
  <c r="X512" i="1"/>
  <c r="BZ526" i="1"/>
  <c r="V523" i="1"/>
  <c r="AT520" i="1"/>
  <c r="M537" i="1"/>
  <c r="CC534" i="1"/>
  <c r="AO532" i="1"/>
  <c r="DE529" i="1"/>
  <c r="BQ527" i="1"/>
  <c r="AC525" i="1"/>
  <c r="CS522" i="1"/>
  <c r="BE520" i="1"/>
  <c r="CU517" i="1"/>
  <c r="BG515" i="1"/>
  <c r="S513" i="1"/>
  <c r="CI510" i="1"/>
  <c r="AU508" i="1"/>
  <c r="G506" i="1"/>
  <c r="BW503" i="1"/>
  <c r="AI501" i="1"/>
  <c r="CY498" i="1"/>
  <c r="BK496" i="1"/>
  <c r="W494" i="1"/>
  <c r="CM491" i="1"/>
  <c r="AY489" i="1"/>
  <c r="K487" i="1"/>
  <c r="CA484" i="1"/>
  <c r="AM482" i="1"/>
  <c r="CP517" i="1"/>
  <c r="BB515" i="1"/>
  <c r="N513" i="1"/>
  <c r="CD510" i="1"/>
  <c r="AP508" i="1"/>
  <c r="DF505" i="1"/>
  <c r="BR503" i="1"/>
  <c r="AD501" i="1"/>
  <c r="CT498" i="1"/>
  <c r="BF496" i="1"/>
  <c r="R494" i="1"/>
  <c r="CH491" i="1"/>
  <c r="AT489" i="1"/>
  <c r="F487" i="1"/>
  <c r="BV484" i="1"/>
  <c r="AH482" i="1"/>
  <c r="CK517" i="1"/>
  <c r="AW515" i="1"/>
  <c r="I513" i="1"/>
  <c r="BY510" i="1"/>
  <c r="AK508" i="1"/>
  <c r="DA505" i="1"/>
  <c r="BM503" i="1"/>
  <c r="Y501" i="1"/>
  <c r="CO498" i="1"/>
  <c r="BA496" i="1"/>
  <c r="M494" i="1"/>
  <c r="CC491" i="1"/>
  <c r="AO489" i="1"/>
  <c r="DE486" i="1"/>
  <c r="BQ484" i="1"/>
  <c r="AC482" i="1"/>
  <c r="BT517" i="1"/>
  <c r="AF515" i="1"/>
  <c r="CV512" i="1"/>
  <c r="BZ524" i="1"/>
  <c r="BJ521" i="1"/>
  <c r="V519" i="1"/>
  <c r="CS535" i="1"/>
  <c r="BE533" i="1"/>
  <c r="Q531" i="1"/>
  <c r="CG528" i="1"/>
  <c r="AS526" i="1"/>
  <c r="DI523" i="1"/>
  <c r="BU521" i="1"/>
  <c r="AG519" i="1"/>
  <c r="BW516" i="1"/>
  <c r="AI514" i="1"/>
  <c r="CY511" i="1"/>
  <c r="BK509" i="1"/>
  <c r="W507" i="1"/>
  <c r="CM504" i="1"/>
  <c r="AY502" i="1"/>
  <c r="K500" i="1"/>
  <c r="CA497" i="1"/>
  <c r="AM495" i="1"/>
  <c r="DC492" i="1"/>
  <c r="BO490" i="1"/>
  <c r="AA488" i="1"/>
  <c r="CQ485" i="1"/>
  <c r="BC483" i="1"/>
  <c r="O481" i="1"/>
  <c r="BR516" i="1"/>
  <c r="AD514" i="1"/>
  <c r="CT511" i="1"/>
  <c r="BF509" i="1"/>
  <c r="R507" i="1"/>
  <c r="CH504" i="1"/>
  <c r="AT502" i="1"/>
  <c r="F500" i="1"/>
  <c r="BV497" i="1"/>
  <c r="AH495" i="1"/>
  <c r="CX492" i="1"/>
  <c r="BJ490" i="1"/>
  <c r="V488" i="1"/>
  <c r="CL485" i="1"/>
  <c r="AX483" i="1"/>
  <c r="J481" i="1"/>
  <c r="BM516" i="1"/>
  <c r="Y514" i="1"/>
  <c r="CO511" i="1"/>
  <c r="BA509" i="1"/>
  <c r="M507" i="1"/>
  <c r="CC504" i="1"/>
  <c r="AO502" i="1"/>
  <c r="DE499" i="1"/>
  <c r="BQ497" i="1"/>
  <c r="AC495" i="1"/>
  <c r="CS492" i="1"/>
  <c r="BE490" i="1"/>
  <c r="Q488" i="1"/>
  <c r="CG485" i="1"/>
  <c r="AS483" i="1"/>
  <c r="DI480" i="1"/>
  <c r="AV516" i="1"/>
  <c r="H514" i="1"/>
  <c r="BX511" i="1"/>
  <c r="AJ509" i="1"/>
  <c r="CF512" i="1"/>
  <c r="AJ507" i="1"/>
  <c r="CR504" i="1"/>
  <c r="BD502" i="1"/>
  <c r="P500" i="1"/>
  <c r="CF497" i="1"/>
  <c r="AR495" i="1"/>
  <c r="DH492" i="1"/>
  <c r="CC532" i="1"/>
  <c r="CG529" i="1"/>
  <c r="AS527" i="1"/>
  <c r="DI524" i="1"/>
  <c r="BU522" i="1"/>
  <c r="AG520" i="1"/>
  <c r="BW517" i="1"/>
  <c r="AI515" i="1"/>
  <c r="CY512" i="1"/>
  <c r="BK510" i="1"/>
  <c r="W508" i="1"/>
  <c r="CM505" i="1"/>
  <c r="AY503" i="1"/>
  <c r="K501" i="1"/>
  <c r="CA498" i="1"/>
  <c r="AM496" i="1"/>
  <c r="DC493" i="1"/>
  <c r="BO491" i="1"/>
  <c r="AA489" i="1"/>
  <c r="CQ486" i="1"/>
  <c r="BC484" i="1"/>
  <c r="O482" i="1"/>
  <c r="BR517" i="1"/>
  <c r="AD515" i="1"/>
  <c r="CT512" i="1"/>
  <c r="BF510" i="1"/>
  <c r="R508" i="1"/>
  <c r="CH505" i="1"/>
  <c r="AT503" i="1"/>
  <c r="F501" i="1"/>
  <c r="BV498" i="1"/>
  <c r="AH496" i="1"/>
  <c r="CX493" i="1"/>
  <c r="BJ491" i="1"/>
  <c r="V489" i="1"/>
  <c r="CL486" i="1"/>
  <c r="AX484" i="1"/>
  <c r="J482" i="1"/>
  <c r="BM517" i="1"/>
  <c r="Y515" i="1"/>
  <c r="CO512" i="1"/>
  <c r="BA510" i="1"/>
  <c r="M508" i="1"/>
  <c r="CC505" i="1"/>
  <c r="AO503" i="1"/>
  <c r="DE500" i="1"/>
  <c r="BQ498" i="1"/>
  <c r="AC496" i="1"/>
  <c r="CS493" i="1"/>
  <c r="BE491" i="1"/>
  <c r="Q489" i="1"/>
  <c r="CG486" i="1"/>
  <c r="AS484" i="1"/>
  <c r="DI481" i="1"/>
  <c r="AV517" i="1"/>
  <c r="H515" i="1"/>
  <c r="BX512" i="1"/>
  <c r="AJ510" i="1"/>
  <c r="CZ507" i="1"/>
  <c r="DF524" i="1"/>
  <c r="CP521" i="1"/>
  <c r="AT519" i="1"/>
  <c r="M536" i="1"/>
  <c r="CC533" i="1"/>
  <c r="AO531" i="1"/>
  <c r="DE528" i="1"/>
  <c r="BQ526" i="1"/>
  <c r="AC524" i="1"/>
  <c r="CS521" i="1"/>
  <c r="BE519" i="1"/>
  <c r="CU516" i="1"/>
  <c r="BG514" i="1"/>
  <c r="S512" i="1"/>
  <c r="CI509" i="1"/>
  <c r="AU507" i="1"/>
  <c r="G505" i="1"/>
  <c r="BW502" i="1"/>
  <c r="AI500" i="1"/>
  <c r="CY497" i="1"/>
  <c r="BK495" i="1"/>
  <c r="BL642" i="1"/>
  <c r="CN632" i="1"/>
  <c r="DH636" i="1"/>
  <c r="BA626" i="1"/>
  <c r="CD625" i="1"/>
  <c r="CQ620" i="1"/>
  <c r="N615" i="1"/>
  <c r="CT618" i="1"/>
  <c r="U619" i="1"/>
  <c r="AM615" i="1"/>
  <c r="AS616" i="1"/>
  <c r="DA612" i="1"/>
  <c r="AS612" i="1"/>
  <c r="I602" i="1"/>
  <c r="BQ609" i="1"/>
  <c r="AS604" i="1"/>
  <c r="DH612" i="1"/>
  <c r="BY605" i="1"/>
  <c r="BD612" i="1"/>
  <c r="BE605" i="1"/>
  <c r="W591" i="1"/>
  <c r="AH596" i="1"/>
  <c r="AC596" i="1"/>
  <c r="BT597" i="1"/>
  <c r="BG587" i="1"/>
  <c r="AL586" i="1"/>
  <c r="BX606" i="1"/>
  <c r="L596" i="1"/>
  <c r="CL596" i="1"/>
  <c r="CG596" i="1"/>
  <c r="CF599" i="1"/>
  <c r="CI588" i="1"/>
  <c r="DF594" i="1"/>
  <c r="BF585" i="1"/>
  <c r="DA594" i="1"/>
  <c r="AY604" i="1"/>
  <c r="AZ592" i="1"/>
  <c r="CN592" i="1"/>
  <c r="Y578" i="1"/>
  <c r="BE576" i="1"/>
  <c r="BL575" i="1"/>
  <c r="BB584" i="1"/>
  <c r="X575" i="1"/>
  <c r="CB565" i="1"/>
  <c r="S575" i="1"/>
  <c r="BW565" i="1"/>
  <c r="BC575" i="1"/>
  <c r="AC576" i="1"/>
  <c r="BO584" i="1"/>
  <c r="AH584" i="1"/>
  <c r="DH574" i="1"/>
  <c r="BH565" i="1"/>
  <c r="DC574" i="1"/>
  <c r="BC565" i="1"/>
  <c r="AD575" i="1"/>
  <c r="BT584" i="1"/>
  <c r="DC583" i="1"/>
  <c r="BV583" i="1"/>
  <c r="AR574" i="1"/>
  <c r="CV564" i="1"/>
  <c r="AM574" i="1"/>
  <c r="CQ564" i="1"/>
  <c r="BR574" i="1"/>
  <c r="CJ583" i="1"/>
  <c r="BD576" i="1"/>
  <c r="DC580" i="1"/>
  <c r="AA576" i="1"/>
  <c r="BV580" i="1"/>
  <c r="CX575" i="1"/>
  <c r="AR571" i="1"/>
  <c r="BT566" i="1"/>
  <c r="CV561" i="1"/>
  <c r="T557" i="1"/>
  <c r="AM571" i="1"/>
  <c r="BO566" i="1"/>
  <c r="CQ561" i="1"/>
  <c r="O557" i="1"/>
  <c r="BR571" i="1"/>
  <c r="CT566" i="1"/>
  <c r="R562" i="1"/>
  <c r="BF567" i="1"/>
  <c r="V561" i="1"/>
  <c r="U575" i="1"/>
  <c r="AW570" i="1"/>
  <c r="BY565" i="1"/>
  <c r="DA560" i="1"/>
  <c r="CY555" i="1"/>
  <c r="W551" i="1"/>
  <c r="AY546" i="1"/>
  <c r="CA541" i="1"/>
  <c r="CT555" i="1"/>
  <c r="R551" i="1"/>
  <c r="AT546" i="1"/>
  <c r="BV541" i="1"/>
  <c r="CC555" i="1"/>
  <c r="DE550" i="1"/>
  <c r="AC546" i="1"/>
  <c r="AD566" i="1"/>
  <c r="J560" i="1"/>
  <c r="AC574" i="1"/>
  <c r="BE569" i="1"/>
  <c r="CG564" i="1"/>
  <c r="DI559" i="1"/>
  <c r="DG554" i="1"/>
  <c r="AE550" i="1"/>
  <c r="BG545" i="1"/>
  <c r="CI540" i="1"/>
  <c r="DB554" i="1"/>
  <c r="Z550" i="1"/>
  <c r="BB545" i="1"/>
  <c r="CD540" i="1"/>
  <c r="CK554" i="1"/>
  <c r="I550" i="1"/>
  <c r="F566" i="1"/>
  <c r="CT559" i="1"/>
  <c r="I574" i="1"/>
  <c r="AK569" i="1"/>
  <c r="BM564" i="1"/>
  <c r="CO559" i="1"/>
  <c r="CM554" i="1"/>
  <c r="K550" i="1"/>
  <c r="AM545" i="1"/>
  <c r="BO540" i="1"/>
  <c r="CH554" i="1"/>
  <c r="F550" i="1"/>
  <c r="AH545" i="1"/>
  <c r="BJ540" i="1"/>
  <c r="BQ554" i="1"/>
  <c r="AL568" i="1"/>
  <c r="F562" i="1"/>
  <c r="CT556" i="1"/>
  <c r="I571" i="1"/>
  <c r="AK566" i="1"/>
  <c r="BM561" i="1"/>
  <c r="CO556" i="1"/>
  <c r="CM551" i="1"/>
  <c r="K547" i="1"/>
  <c r="AM542" i="1"/>
  <c r="BU556" i="1"/>
  <c r="CH551" i="1"/>
  <c r="F547" i="1"/>
  <c r="AH542" i="1"/>
  <c r="AS556" i="1"/>
  <c r="BQ551" i="1"/>
  <c r="CS546" i="1"/>
  <c r="Q542" i="1"/>
  <c r="M552" i="1"/>
  <c r="BU542" i="1"/>
  <c r="BD555" i="1"/>
  <c r="CF550" i="1"/>
  <c r="DH545" i="1"/>
  <c r="AF541" i="1"/>
  <c r="AZ536" i="1"/>
  <c r="CB531" i="1"/>
  <c r="DD526" i="1"/>
  <c r="AB522" i="1"/>
  <c r="DC536" i="1"/>
  <c r="AA532" i="1"/>
  <c r="BC527" i="1"/>
  <c r="CE522" i="1"/>
  <c r="AH537" i="1"/>
  <c r="BJ532" i="1"/>
  <c r="CL527" i="1"/>
  <c r="BQ545" i="1"/>
  <c r="AC539" i="1"/>
  <c r="CZ552" i="1"/>
  <c r="X548" i="1"/>
  <c r="AZ543" i="1"/>
  <c r="CB538" i="1"/>
  <c r="CV533" i="1"/>
  <c r="T529" i="1"/>
  <c r="AV524" i="1"/>
  <c r="BX519" i="1"/>
  <c r="AU534" i="1"/>
  <c r="BW529" i="1"/>
  <c r="CY524" i="1"/>
  <c r="W520" i="1"/>
  <c r="CD534" i="1"/>
  <c r="DF529" i="1"/>
  <c r="CG542" i="1"/>
  <c r="BL555" i="1"/>
  <c r="CN550" i="1"/>
  <c r="L546" i="1"/>
  <c r="AN541" i="1"/>
  <c r="BH536" i="1"/>
  <c r="CJ531" i="1"/>
  <c r="H527" i="1"/>
  <c r="AJ522" i="1"/>
  <c r="G537" i="1"/>
  <c r="AI532" i="1"/>
  <c r="BK527" i="1"/>
  <c r="CM522" i="1"/>
  <c r="AP537" i="1"/>
  <c r="BR532" i="1"/>
  <c r="BU551" i="1"/>
  <c r="BE542" i="1"/>
  <c r="AR555" i="1"/>
  <c r="BT550" i="1"/>
  <c r="CV545" i="1"/>
  <c r="T541" i="1"/>
  <c r="AN536" i="1"/>
  <c r="BP531" i="1"/>
  <c r="CR526" i="1"/>
  <c r="P522" i="1"/>
  <c r="CQ536" i="1"/>
  <c r="O532" i="1"/>
  <c r="AQ527" i="1"/>
  <c r="BS522" i="1"/>
  <c r="V537" i="1"/>
  <c r="AX532" i="1"/>
  <c r="BZ527" i="1"/>
  <c r="DB522" i="1"/>
  <c r="BB523" i="1"/>
  <c r="AK537" i="1"/>
  <c r="BM532" i="1"/>
  <c r="CO527" i="1"/>
  <c r="M523" i="1"/>
  <c r="O518" i="1"/>
  <c r="AQ513" i="1"/>
  <c r="BS508" i="1"/>
  <c r="CU503" i="1"/>
  <c r="S499" i="1"/>
  <c r="AU494" i="1"/>
  <c r="BW489" i="1"/>
  <c r="CY484" i="1"/>
  <c r="J518" i="1"/>
  <c r="AL513" i="1"/>
  <c r="BN508" i="1"/>
  <c r="CP503" i="1"/>
  <c r="N499" i="1"/>
  <c r="AP494" i="1"/>
  <c r="BR489" i="1"/>
  <c r="CT484" i="1"/>
  <c r="DI517" i="1"/>
  <c r="AG513" i="1"/>
  <c r="BI508" i="1"/>
  <c r="CK503" i="1"/>
  <c r="I499" i="1"/>
  <c r="AK494" i="1"/>
  <c r="BM489" i="1"/>
  <c r="CO484" i="1"/>
  <c r="CR517" i="1"/>
  <c r="P513" i="1"/>
  <c r="AR508" i="1"/>
  <c r="AX522" i="1"/>
  <c r="BI536" i="1"/>
  <c r="CK531" i="1"/>
  <c r="I527" i="1"/>
  <c r="AK522" i="1"/>
  <c r="AM517" i="1"/>
  <c r="BO512" i="1"/>
  <c r="CQ507" i="1"/>
  <c r="O503" i="1"/>
  <c r="AQ498" i="1"/>
  <c r="K494" i="1"/>
  <c r="CM490" i="1"/>
  <c r="CA487" i="1"/>
  <c r="AM485" i="1"/>
  <c r="DC482" i="1"/>
  <c r="BQ518" i="1"/>
  <c r="N516" i="1"/>
  <c r="CD513" i="1"/>
  <c r="AP511" i="1"/>
  <c r="DF508" i="1"/>
  <c r="BR506" i="1"/>
  <c r="AD504" i="1"/>
  <c r="CT501" i="1"/>
  <c r="BF499" i="1"/>
  <c r="R497" i="1"/>
  <c r="CH494" i="1"/>
  <c r="AT492" i="1"/>
  <c r="F490" i="1"/>
  <c r="BV487" i="1"/>
  <c r="AH485" i="1"/>
  <c r="CX482" i="1"/>
  <c r="BF518" i="1"/>
  <c r="I516" i="1"/>
  <c r="BY513" i="1"/>
  <c r="AK511" i="1"/>
  <c r="DA508" i="1"/>
  <c r="BM506" i="1"/>
  <c r="Y504" i="1"/>
  <c r="CO501" i="1"/>
  <c r="BA499" i="1"/>
  <c r="M497" i="1"/>
  <c r="CC494" i="1"/>
  <c r="AO492" i="1"/>
  <c r="DE489" i="1"/>
  <c r="BQ487" i="1"/>
  <c r="AC485" i="1"/>
  <c r="CS482" i="1"/>
  <c r="AG518" i="1"/>
  <c r="CV515" i="1"/>
  <c r="BH513" i="1"/>
  <c r="T511" i="1"/>
  <c r="DB524" i="1"/>
  <c r="CL521" i="1"/>
  <c r="AP519" i="1"/>
  <c r="I536" i="1"/>
  <c r="BY533" i="1"/>
  <c r="AK531" i="1"/>
  <c r="DA528" i="1"/>
  <c r="BM526" i="1"/>
  <c r="Y524" i="1"/>
  <c r="CO521" i="1"/>
  <c r="BA519" i="1"/>
  <c r="CQ516" i="1"/>
  <c r="BC514" i="1"/>
  <c r="O512" i="1"/>
  <c r="CE509" i="1"/>
  <c r="AQ507" i="1"/>
  <c r="DG504" i="1"/>
  <c r="BS502" i="1"/>
  <c r="AE500" i="1"/>
  <c r="CU497" i="1"/>
  <c r="BG495" i="1"/>
  <c r="S493" i="1"/>
  <c r="CI490" i="1"/>
  <c r="AU488" i="1"/>
  <c r="G486" i="1"/>
  <c r="BW483" i="1"/>
  <c r="AI481" i="1"/>
  <c r="CL516" i="1"/>
  <c r="AX514" i="1"/>
  <c r="J512" i="1"/>
  <c r="BZ509" i="1"/>
  <c r="AL507" i="1"/>
  <c r="DB504" i="1"/>
  <c r="BN502" i="1"/>
  <c r="Z500" i="1"/>
  <c r="CP497" i="1"/>
  <c r="BB495" i="1"/>
  <c r="N493" i="1"/>
  <c r="CD490" i="1"/>
  <c r="AP488" i="1"/>
  <c r="DF485" i="1"/>
  <c r="BR483" i="1"/>
  <c r="AD481" i="1"/>
  <c r="CG516" i="1"/>
  <c r="AS514" i="1"/>
  <c r="DI511" i="1"/>
  <c r="BU509" i="1"/>
  <c r="AG507" i="1"/>
  <c r="CW504" i="1"/>
  <c r="BI502" i="1"/>
  <c r="U500" i="1"/>
  <c r="CK497" i="1"/>
  <c r="AW495" i="1"/>
  <c r="I493" i="1"/>
  <c r="BY490" i="1"/>
  <c r="AK488" i="1"/>
  <c r="DA485" i="1"/>
  <c r="BM483" i="1"/>
  <c r="Y481" i="1"/>
  <c r="BP516" i="1"/>
  <c r="AB514" i="1"/>
  <c r="CT526" i="1"/>
  <c r="AL523" i="1"/>
  <c r="BF520" i="1"/>
  <c r="Y537" i="1"/>
  <c r="CO534" i="1"/>
  <c r="BA532" i="1"/>
  <c r="M530" i="1"/>
  <c r="CC527" i="1"/>
  <c r="AO525" i="1"/>
  <c r="DE522" i="1"/>
  <c r="BQ520" i="1"/>
  <c r="DG517" i="1"/>
  <c r="BS515" i="1"/>
  <c r="AE513" i="1"/>
  <c r="CU510" i="1"/>
  <c r="BG508" i="1"/>
  <c r="S506" i="1"/>
  <c r="CI503" i="1"/>
  <c r="AU501" i="1"/>
  <c r="G499" i="1"/>
  <c r="BW496" i="1"/>
  <c r="AI494" i="1"/>
  <c r="CY491" i="1"/>
  <c r="BK489" i="1"/>
  <c r="W487" i="1"/>
  <c r="CM484" i="1"/>
  <c r="AY482" i="1"/>
  <c r="DB517" i="1"/>
  <c r="BN515" i="1"/>
  <c r="Z513" i="1"/>
  <c r="CP510" i="1"/>
  <c r="BB508" i="1"/>
  <c r="N506" i="1"/>
  <c r="CD503" i="1"/>
  <c r="AP501" i="1"/>
  <c r="DF498" i="1"/>
  <c r="BR496" i="1"/>
  <c r="AD494" i="1"/>
  <c r="CT491" i="1"/>
  <c r="BF489" i="1"/>
  <c r="R487" i="1"/>
  <c r="CH484" i="1"/>
  <c r="AT482" i="1"/>
  <c r="CW517" i="1"/>
  <c r="BI515" i="1"/>
  <c r="U513" i="1"/>
  <c r="CK510" i="1"/>
  <c r="AW508" i="1"/>
  <c r="I506" i="1"/>
  <c r="BY503" i="1"/>
  <c r="AK501" i="1"/>
  <c r="DA498" i="1"/>
  <c r="BM496" i="1"/>
  <c r="Y494" i="1"/>
  <c r="CO491" i="1"/>
  <c r="BA489" i="1"/>
  <c r="M487" i="1"/>
  <c r="CC484" i="1"/>
  <c r="AO482" i="1"/>
  <c r="CF517" i="1"/>
  <c r="AR515" i="1"/>
  <c r="DH512" i="1"/>
  <c r="BT510" i="1"/>
  <c r="AF508" i="1"/>
  <c r="CJ509" i="1"/>
  <c r="X506" i="1"/>
  <c r="CN503" i="1"/>
  <c r="AZ501" i="1"/>
  <c r="L499" i="1"/>
  <c r="CB496" i="1"/>
  <c r="AN494" i="1"/>
  <c r="DD491" i="1"/>
  <c r="BP489" i="1"/>
  <c r="AB487" i="1"/>
  <c r="CR484" i="1"/>
  <c r="BD482" i="1"/>
  <c r="M480" i="1"/>
  <c r="CC477" i="1"/>
  <c r="AK474" i="1"/>
  <c r="CW470" i="1"/>
  <c r="BI468" i="1"/>
  <c r="AG465" i="1"/>
  <c r="CW462" i="1"/>
  <c r="BE459" i="1"/>
  <c r="Q457" i="1"/>
  <c r="CC453" i="1"/>
  <c r="AO451" i="1"/>
  <c r="DE448" i="1"/>
  <c r="BQ446" i="1"/>
  <c r="AC444" i="1"/>
  <c r="BT479" i="1"/>
  <c r="AF477" i="1"/>
  <c r="CR473" i="1"/>
  <c r="AZ470" i="1"/>
  <c r="L468" i="1"/>
  <c r="CN464" i="1"/>
  <c r="AZ462" i="1"/>
  <c r="H459" i="1"/>
  <c r="BT455" i="1"/>
  <c r="AF453" i="1"/>
  <c r="CV450" i="1"/>
  <c r="BH448" i="1"/>
  <c r="T446" i="1"/>
  <c r="CJ443" i="1"/>
  <c r="S479" i="1"/>
  <c r="CE475" i="1"/>
  <c r="AQ473" i="1"/>
  <c r="O470" i="1"/>
  <c r="CE467" i="1"/>
  <c r="AM464" i="1"/>
  <c r="CY460" i="1"/>
  <c r="BK458" i="1"/>
  <c r="S455" i="1"/>
  <c r="CI452" i="1"/>
  <c r="AU450" i="1"/>
  <c r="G448" i="1"/>
  <c r="BW445" i="1"/>
  <c r="AI443" i="1"/>
  <c r="BV478" i="1"/>
  <c r="AT475" i="1"/>
  <c r="F473" i="1"/>
  <c r="L509" i="1"/>
  <c r="CR505" i="1"/>
  <c r="BD503" i="1"/>
  <c r="P501" i="1"/>
  <c r="CF498" i="1"/>
  <c r="AR496" i="1"/>
  <c r="DH493" i="1"/>
  <c r="BT491" i="1"/>
  <c r="AF489" i="1"/>
  <c r="CV486" i="1"/>
  <c r="BH484" i="1"/>
  <c r="T482" i="1"/>
  <c r="CG479" i="1"/>
  <c r="AS477" i="1"/>
  <c r="DE473" i="1"/>
  <c r="CC470" i="1"/>
  <c r="AO468" i="1"/>
  <c r="DA464" i="1"/>
  <c r="BM462" i="1"/>
  <c r="U459" i="1"/>
  <c r="CG455" i="1"/>
  <c r="AS453" i="1"/>
  <c r="DI450" i="1"/>
  <c r="BU448" i="1"/>
  <c r="AG446" i="1"/>
  <c r="CW443" i="1"/>
  <c r="AJ479" i="1"/>
  <c r="CV475" i="1"/>
  <c r="BH473" i="1"/>
  <c r="AF470" i="1"/>
  <c r="CV467" i="1"/>
  <c r="BD464" i="1"/>
  <c r="P462" i="1"/>
  <c r="CB458" i="1"/>
  <c r="AJ455" i="1"/>
  <c r="CZ452" i="1"/>
  <c r="BL450" i="1"/>
  <c r="X448" i="1"/>
  <c r="AY645" i="1"/>
  <c r="CH631" i="1"/>
  <c r="AF631" i="1"/>
  <c r="CM620" i="1"/>
  <c r="CI627" i="1"/>
  <c r="G624" i="1"/>
  <c r="CK617" i="1"/>
  <c r="BN619" i="1"/>
  <c r="AQ617" i="1"/>
  <c r="CL609" i="1"/>
  <c r="CL622" i="1"/>
  <c r="CT608" i="1"/>
  <c r="CP616" i="1"/>
  <c r="BU606" i="1"/>
  <c r="AM592" i="1"/>
  <c r="CH618" i="1"/>
  <c r="BW594" i="1"/>
  <c r="J604" i="1"/>
  <c r="DC595" i="1"/>
  <c r="CT603" i="1"/>
  <c r="CI595" i="1"/>
  <c r="AJ601" i="1"/>
  <c r="AD601" i="1"/>
  <c r="CJ596" i="1"/>
  <c r="M584" i="1"/>
  <c r="CX590" i="1"/>
  <c r="CS590" i="1"/>
  <c r="AR595" i="1"/>
  <c r="DG601" i="1"/>
  <c r="CZ601" i="1"/>
  <c r="CR598" i="1"/>
  <c r="BQ584" i="1"/>
  <c r="Z597" i="1"/>
  <c r="CD587" i="1"/>
  <c r="U597" i="1"/>
  <c r="BY587" i="1"/>
  <c r="I585" i="1"/>
  <c r="W585" i="1"/>
  <c r="AW580" i="1"/>
  <c r="BA579" i="1"/>
  <c r="CJ577" i="1"/>
  <c r="BG577" i="1"/>
  <c r="Z577" i="1"/>
  <c r="CZ567" i="1"/>
  <c r="AZ558" i="1"/>
  <c r="CU567" i="1"/>
  <c r="AU558" i="1"/>
  <c r="Y579" i="1"/>
  <c r="BP577" i="1"/>
  <c r="AM577" i="1"/>
  <c r="F577" i="1"/>
  <c r="CF567" i="1"/>
  <c r="AF558" i="1"/>
  <c r="CA567" i="1"/>
  <c r="AA558" i="1"/>
  <c r="AS578" i="1"/>
  <c r="DD576" i="1"/>
  <c r="CA576" i="1"/>
  <c r="AT576" i="1"/>
  <c r="P567" i="1"/>
  <c r="BT557" i="1"/>
  <c r="K567" i="1"/>
  <c r="BO557" i="1"/>
  <c r="BI577" i="1"/>
  <c r="BX577" i="1"/>
  <c r="DG581" i="1"/>
  <c r="AE577" i="1"/>
  <c r="BZ581" i="1"/>
  <c r="DB576" i="1"/>
  <c r="AV572" i="1"/>
  <c r="BX567" i="1"/>
  <c r="CZ562" i="1"/>
  <c r="X558" i="1"/>
  <c r="AQ572" i="1"/>
  <c r="BS567" i="1"/>
  <c r="CU562" i="1"/>
  <c r="S558" i="1"/>
  <c r="BV572" i="1"/>
  <c r="CX567" i="1"/>
  <c r="V563" i="1"/>
  <c r="CT568" i="1"/>
  <c r="BJ562" i="1"/>
  <c r="AH557" i="1"/>
  <c r="BA571" i="1"/>
  <c r="CC566" i="1"/>
  <c r="DE561" i="1"/>
  <c r="AC557" i="1"/>
  <c r="AA552" i="1"/>
  <c r="BC547" i="1"/>
  <c r="CE542" i="1"/>
  <c r="DG537" i="1"/>
  <c r="V552" i="1"/>
  <c r="AX547" i="1"/>
  <c r="BZ542" i="1"/>
  <c r="DB537" i="1"/>
  <c r="DI551" i="1"/>
  <c r="AG547" i="1"/>
  <c r="BV567" i="1"/>
  <c r="AL561" i="1"/>
  <c r="AG575" i="1"/>
  <c r="BI570" i="1"/>
  <c r="CK565" i="1"/>
  <c r="I561" i="1"/>
  <c r="G556" i="1"/>
  <c r="AI551" i="1"/>
  <c r="BK546" i="1"/>
  <c r="CM541" i="1"/>
  <c r="DF555" i="1"/>
  <c r="AD551" i="1"/>
  <c r="BF546" i="1"/>
  <c r="CH541" i="1"/>
  <c r="CO555" i="1"/>
  <c r="M551" i="1"/>
  <c r="AT567" i="1"/>
  <c r="J561" i="1"/>
  <c r="M575" i="1"/>
  <c r="AO570" i="1"/>
  <c r="BQ565" i="1"/>
  <c r="CS560" i="1"/>
  <c r="CQ555" i="1"/>
  <c r="O551" i="1"/>
  <c r="AQ546" i="1"/>
  <c r="BS541" i="1"/>
  <c r="CL555" i="1"/>
  <c r="J551" i="1"/>
  <c r="AL546" i="1"/>
  <c r="BN541" i="1"/>
  <c r="BU555" i="1"/>
  <c r="CD569" i="1"/>
  <c r="AT563" i="1"/>
  <c r="CX557" i="1"/>
  <c r="M572" i="1"/>
  <c r="AO567" i="1"/>
  <c r="BQ562" i="1"/>
  <c r="CS557" i="1"/>
  <c r="CQ552" i="1"/>
  <c r="O548" i="1"/>
  <c r="AQ543" i="1"/>
  <c r="BS538" i="1"/>
  <c r="CL552" i="1"/>
  <c r="J548" i="1"/>
  <c r="AL543" i="1"/>
  <c r="BN538" i="1"/>
  <c r="BU552" i="1"/>
  <c r="CW547" i="1"/>
  <c r="U543" i="1"/>
  <c r="AW538" i="1"/>
  <c r="DI543" i="1"/>
  <c r="CC537" i="1"/>
  <c r="CJ551" i="1"/>
  <c r="H547" i="1"/>
  <c r="AJ542" i="1"/>
  <c r="BD537" i="1"/>
  <c r="CF532" i="1"/>
  <c r="DH527" i="1"/>
  <c r="AF523" i="1"/>
  <c r="BH518" i="1"/>
  <c r="AE533" i="1"/>
  <c r="BG528" i="1"/>
  <c r="CI523" i="1"/>
  <c r="G519" i="1"/>
  <c r="BN533" i="1"/>
  <c r="CP528" i="1"/>
  <c r="BY547" i="1"/>
  <c r="BQ540" i="1"/>
  <c r="DD553" i="1"/>
  <c r="AB549" i="1"/>
  <c r="BD544" i="1"/>
  <c r="CF539" i="1"/>
  <c r="CZ534" i="1"/>
  <c r="X530" i="1"/>
  <c r="AZ525" i="1"/>
  <c r="CB520" i="1"/>
  <c r="AY535" i="1"/>
  <c r="CA530" i="1"/>
  <c r="DC525" i="1"/>
  <c r="AA521" i="1"/>
  <c r="CH535" i="1"/>
  <c r="F531" i="1"/>
  <c r="Q544" i="1"/>
  <c r="CK537" i="1"/>
  <c r="CR551" i="1"/>
  <c r="P547" i="1"/>
  <c r="AR542" i="1"/>
  <c r="BL537" i="1"/>
  <c r="CN532" i="1"/>
  <c r="L528" i="1"/>
  <c r="AN523" i="1"/>
  <c r="BP518" i="1"/>
  <c r="AM533" i="1"/>
  <c r="BO528" i="1"/>
  <c r="CQ523" i="1"/>
  <c r="O519" i="1"/>
  <c r="BV533" i="1"/>
  <c r="CX528" i="1"/>
  <c r="CS543" i="1"/>
  <c r="BH556" i="1"/>
  <c r="BX551" i="1"/>
  <c r="CZ546" i="1"/>
  <c r="X542" i="1"/>
  <c r="AR537" i="1"/>
  <c r="BT532" i="1"/>
  <c r="CV527" i="1"/>
  <c r="T523" i="1"/>
  <c r="AV518" i="1"/>
  <c r="S533" i="1"/>
  <c r="AU528" i="1"/>
  <c r="BW523" i="1"/>
  <c r="CY518" i="1"/>
  <c r="BB533" i="1"/>
  <c r="CD528" i="1"/>
  <c r="DF523" i="1"/>
  <c r="CP524" i="1"/>
  <c r="AH519" i="1"/>
  <c r="BQ533" i="1"/>
  <c r="CS528" i="1"/>
  <c r="Q524" i="1"/>
  <c r="AS519" i="1"/>
  <c r="AU514" i="1"/>
  <c r="BW509" i="1"/>
  <c r="CY504" i="1"/>
  <c r="W500" i="1"/>
  <c r="AY495" i="1"/>
  <c r="CA490" i="1"/>
  <c r="DC485" i="1"/>
  <c r="AA481" i="1"/>
  <c r="AP514" i="1"/>
  <c r="BR509" i="1"/>
  <c r="CT504" i="1"/>
  <c r="R500" i="1"/>
  <c r="AT495" i="1"/>
  <c r="BV490" i="1"/>
  <c r="CX485" i="1"/>
  <c r="V481" i="1"/>
  <c r="AK514" i="1"/>
  <c r="BM509" i="1"/>
  <c r="CO504" i="1"/>
  <c r="M500" i="1"/>
  <c r="AO495" i="1"/>
  <c r="BQ490" i="1"/>
  <c r="CS485" i="1"/>
  <c r="Q481" i="1"/>
  <c r="T514" i="1"/>
  <c r="AV509" i="1"/>
  <c r="CL523" i="1"/>
  <c r="BM537" i="1"/>
  <c r="CO532" i="1"/>
  <c r="M528" i="1"/>
  <c r="AO523" i="1"/>
  <c r="AU518" i="1"/>
  <c r="BS513" i="1"/>
  <c r="CU508" i="1"/>
  <c r="S504" i="1"/>
  <c r="AU499" i="1"/>
  <c r="BW494" i="1"/>
  <c r="AU491" i="1"/>
  <c r="AI488" i="1"/>
  <c r="CI485" i="1"/>
  <c r="AU483" i="1"/>
  <c r="G481" i="1"/>
  <c r="BJ516" i="1"/>
  <c r="V514" i="1"/>
  <c r="CL511" i="1"/>
  <c r="AX509" i="1"/>
  <c r="J507" i="1"/>
  <c r="BZ504" i="1"/>
  <c r="AL502" i="1"/>
  <c r="DB499" i="1"/>
  <c r="BN497" i="1"/>
  <c r="Z495" i="1"/>
  <c r="CP492" i="1"/>
  <c r="BB490" i="1"/>
  <c r="N488" i="1"/>
  <c r="CD485" i="1"/>
  <c r="AP483" i="1"/>
  <c r="DF480" i="1"/>
  <c r="BE516" i="1"/>
  <c r="Q514" i="1"/>
  <c r="CG511" i="1"/>
  <c r="AS509" i="1"/>
  <c r="DI506" i="1"/>
  <c r="BU504" i="1"/>
  <c r="AG502" i="1"/>
  <c r="CW499" i="1"/>
  <c r="BI497" i="1"/>
  <c r="U495" i="1"/>
  <c r="CK492" i="1"/>
  <c r="AW490" i="1"/>
  <c r="I488" i="1"/>
  <c r="BY485" i="1"/>
  <c r="AK483" i="1"/>
  <c r="DA480" i="1"/>
  <c r="AN516" i="1"/>
  <c r="DD513" i="1"/>
  <c r="BP511" i="1"/>
  <c r="BJ525" i="1"/>
  <c r="AT522" i="1"/>
  <c r="CL519" i="1"/>
  <c r="BE536" i="1"/>
  <c r="Q534" i="1"/>
  <c r="CG531" i="1"/>
  <c r="AS529" i="1"/>
  <c r="DI526" i="1"/>
  <c r="BU524" i="1"/>
  <c r="AG522" i="1"/>
  <c r="CW519" i="1"/>
  <c r="AI517" i="1"/>
  <c r="CY514" i="1"/>
  <c r="BK512" i="1"/>
  <c r="W510" i="1"/>
  <c r="CM507" i="1"/>
  <c r="AY505" i="1"/>
  <c r="K503" i="1"/>
  <c r="CA500" i="1"/>
  <c r="AM498" i="1"/>
  <c r="DC495" i="1"/>
  <c r="BO493" i="1"/>
  <c r="AA491" i="1"/>
  <c r="CQ488" i="1"/>
  <c r="BC486" i="1"/>
  <c r="O484" i="1"/>
  <c r="CE481" i="1"/>
  <c r="AD517" i="1"/>
  <c r="CT514" i="1"/>
  <c r="BF512" i="1"/>
  <c r="R510" i="1"/>
  <c r="CH507" i="1"/>
  <c r="AT505" i="1"/>
  <c r="F503" i="1"/>
  <c r="BV500" i="1"/>
  <c r="AH498" i="1"/>
  <c r="CX495" i="1"/>
  <c r="BJ493" i="1"/>
  <c r="V491" i="1"/>
  <c r="CL488" i="1"/>
  <c r="AX486" i="1"/>
  <c r="J484" i="1"/>
  <c r="BZ481" i="1"/>
  <c r="Y517" i="1"/>
  <c r="CO514" i="1"/>
  <c r="BA512" i="1"/>
  <c r="M510" i="1"/>
  <c r="CC507" i="1"/>
  <c r="AO505" i="1"/>
  <c r="DE502" i="1"/>
  <c r="BQ500" i="1"/>
  <c r="AC498" i="1"/>
  <c r="CS495" i="1"/>
  <c r="BE493" i="1"/>
  <c r="Q491" i="1"/>
  <c r="CG488" i="1"/>
  <c r="AS486" i="1"/>
  <c r="DI483" i="1"/>
  <c r="BU481" i="1"/>
  <c r="H517" i="1"/>
  <c r="BX514" i="1"/>
  <c r="CH527" i="1"/>
  <c r="CX523" i="1"/>
  <c r="DB520" i="1"/>
  <c r="BU537" i="1"/>
  <c r="AG535" i="1"/>
  <c r="CW532" i="1"/>
  <c r="BI530" i="1"/>
  <c r="U528" i="1"/>
  <c r="CK525" i="1"/>
  <c r="K516" i="1"/>
  <c r="BO506" i="1"/>
  <c r="O497" i="1"/>
  <c r="BS487" i="1"/>
  <c r="F516" i="1"/>
  <c r="BJ506" i="1"/>
  <c r="J497" i="1"/>
  <c r="BN487" i="1"/>
  <c r="DE515" i="1"/>
  <c r="BE506" i="1"/>
  <c r="DI496" i="1"/>
  <c r="BI487" i="1"/>
  <c r="X518" i="1"/>
  <c r="AZ513" i="1"/>
  <c r="CB508" i="1"/>
  <c r="BT506" i="1"/>
  <c r="CV501" i="1"/>
  <c r="T497" i="1"/>
  <c r="AV492" i="1"/>
  <c r="H490" i="1"/>
  <c r="BX487" i="1"/>
  <c r="AJ485" i="1"/>
  <c r="CZ482" i="1"/>
  <c r="BI480" i="1"/>
  <c r="U478" i="1"/>
  <c r="CG474" i="1"/>
  <c r="AS472" i="1"/>
  <c r="DE468" i="1"/>
  <c r="CC465" i="1"/>
  <c r="AO463" i="1"/>
  <c r="DA459" i="1"/>
  <c r="BM457" i="1"/>
  <c r="U454" i="1"/>
  <c r="CK451" i="1"/>
  <c r="AW449" i="1"/>
  <c r="I447" i="1"/>
  <c r="BY444" i="1"/>
  <c r="L480" i="1"/>
  <c r="CB477" i="1"/>
  <c r="AJ474" i="1"/>
  <c r="CV470" i="1"/>
  <c r="BH468" i="1"/>
  <c r="AF465" i="1"/>
  <c r="CV462" i="1"/>
  <c r="BD459" i="1"/>
  <c r="P457" i="1"/>
  <c r="CB453" i="1"/>
  <c r="AN451" i="1"/>
  <c r="DD448" i="1"/>
  <c r="BP446" i="1"/>
  <c r="AB444" i="1"/>
  <c r="BO479" i="1"/>
  <c r="AA477" i="1"/>
  <c r="CM473" i="1"/>
  <c r="BK470" i="1"/>
  <c r="W468" i="1"/>
  <c r="CI464" i="1"/>
  <c r="AU462" i="1"/>
  <c r="DG458" i="1"/>
  <c r="BO455" i="1"/>
  <c r="AA453" i="1"/>
  <c r="CQ450" i="1"/>
  <c r="BC448" i="1"/>
  <c r="O446" i="1"/>
  <c r="CE443" i="1"/>
  <c r="N479" i="1"/>
  <c r="CP475" i="1"/>
  <c r="BB473" i="1"/>
  <c r="DD509" i="1"/>
  <c r="AJ506" i="1"/>
  <c r="CZ503" i="1"/>
  <c r="BL501" i="1"/>
  <c r="X499" i="1"/>
  <c r="CN496" i="1"/>
  <c r="AZ494" i="1"/>
  <c r="L492" i="1"/>
  <c r="CB489" i="1"/>
  <c r="AN487" i="1"/>
  <c r="DD484" i="1"/>
  <c r="BP482" i="1"/>
  <c r="Y480" i="1"/>
  <c r="CO477" i="1"/>
  <c r="AW474" i="1"/>
  <c r="I472" i="1"/>
  <c r="CK468" i="1"/>
  <c r="AS465" i="1"/>
  <c r="DI462" i="1"/>
  <c r="BQ459" i="1"/>
  <c r="AC457" i="1"/>
  <c r="CO453" i="1"/>
  <c r="BA451" i="1"/>
  <c r="M449" i="1"/>
  <c r="CC446" i="1"/>
  <c r="AO444" i="1"/>
  <c r="CF479" i="1"/>
  <c r="AR477" i="1"/>
  <c r="DD473" i="1"/>
  <c r="CB470" i="1"/>
  <c r="AN468" i="1"/>
  <c r="CZ464" i="1"/>
  <c r="BL462" i="1"/>
  <c r="T459" i="1"/>
  <c r="CF455" i="1"/>
  <c r="AF641" i="1"/>
  <c r="AI624" i="1"/>
  <c r="AB624" i="1"/>
  <c r="BK617" i="1"/>
  <c r="AL612" i="1"/>
  <c r="AT611" i="1"/>
  <c r="DB602" i="1"/>
  <c r="AH605" i="1"/>
  <c r="BN606" i="1"/>
  <c r="AT606" i="1"/>
  <c r="CB605" i="1"/>
  <c r="BB602" i="1"/>
  <c r="AX593" i="1"/>
  <c r="BI586" i="1"/>
  <c r="CI607" i="1"/>
  <c r="BP590" i="1"/>
  <c r="J589" i="1"/>
  <c r="DI588" i="1"/>
  <c r="DD587" i="1"/>
  <c r="AC581" i="1"/>
  <c r="CQ578" i="1"/>
  <c r="AF569" i="1"/>
  <c r="AA569" i="1"/>
  <c r="DE580" i="1"/>
  <c r="BW578" i="1"/>
  <c r="L569" i="1"/>
  <c r="G569" i="1"/>
  <c r="U580" i="1"/>
  <c r="G578" i="1"/>
  <c r="AZ568" i="1"/>
  <c r="AU568" i="1"/>
  <c r="AK579" i="1"/>
  <c r="CE582" i="1"/>
  <c r="AX582" i="1"/>
  <c r="T573" i="1"/>
  <c r="BX563" i="1"/>
  <c r="O573" i="1"/>
  <c r="BS563" i="1"/>
  <c r="AT573" i="1"/>
  <c r="CX563" i="1"/>
  <c r="BJ563" i="1"/>
  <c r="Y572" i="1"/>
  <c r="CC562" i="1"/>
  <c r="DC552" i="1"/>
  <c r="BC543" i="1"/>
  <c r="CX552" i="1"/>
  <c r="AX543" i="1"/>
  <c r="CG552" i="1"/>
  <c r="BR568" i="1"/>
  <c r="N557" i="1"/>
  <c r="BI566" i="1"/>
  <c r="I557" i="1"/>
  <c r="AI547" i="1"/>
  <c r="CM537" i="1"/>
  <c r="AD547" i="1"/>
  <c r="CH537" i="1"/>
  <c r="AT568" i="1"/>
  <c r="CX556" i="1"/>
  <c r="AO566" i="1"/>
  <c r="CS556" i="1"/>
  <c r="O547" i="1"/>
  <c r="CK556" i="1"/>
  <c r="J547" i="1"/>
  <c r="AX556" i="1"/>
  <c r="AT564" i="1"/>
  <c r="CO572" i="1"/>
  <c r="AO563" i="1"/>
  <c r="BO553" i="1"/>
  <c r="O544" i="1"/>
  <c r="BJ553" i="1"/>
  <c r="J544" i="1"/>
  <c r="AS553" i="1"/>
  <c r="CW543" i="1"/>
  <c r="DI544" i="1"/>
  <c r="BH552" i="1"/>
  <c r="H543" i="1"/>
  <c r="BD533" i="1"/>
  <c r="DH523" i="1"/>
  <c r="DG533" i="1"/>
  <c r="BG524" i="1"/>
  <c r="AL534" i="1"/>
  <c r="U549" i="1"/>
  <c r="CB554" i="1"/>
  <c r="AB545" i="1"/>
  <c r="BX535" i="1"/>
  <c r="X526" i="1"/>
  <c r="W536" i="1"/>
  <c r="CA526" i="1"/>
  <c r="BF536" i="1"/>
  <c r="Q545" i="1"/>
  <c r="BP552" i="1"/>
  <c r="P543" i="1"/>
  <c r="BL533" i="1"/>
  <c r="L524" i="1"/>
  <c r="K534" i="1"/>
  <c r="BO524" i="1"/>
  <c r="AT534" i="1"/>
  <c r="CS544" i="1"/>
  <c r="AV552" i="1"/>
  <c r="CZ542" i="1"/>
  <c r="AR533" i="1"/>
  <c r="CV523" i="1"/>
  <c r="CU533" i="1"/>
  <c r="AU524" i="1"/>
  <c r="Z534" i="1"/>
  <c r="CD524" i="1"/>
  <c r="F520" i="1"/>
  <c r="BQ529" i="1"/>
  <c r="Q520" i="1"/>
  <c r="AU510" i="1"/>
  <c r="CY500" i="1"/>
  <c r="AY491" i="1"/>
  <c r="DC481" i="1"/>
  <c r="AP510" i="1"/>
  <c r="CT500" i="1"/>
  <c r="AT491" i="1"/>
  <c r="CX481" i="1"/>
  <c r="AK510" i="1"/>
  <c r="CO500" i="1"/>
  <c r="AO491" i="1"/>
  <c r="CS481" i="1"/>
  <c r="T510" i="1"/>
  <c r="AD519" i="1"/>
  <c r="CO528" i="1"/>
  <c r="AO519" i="1"/>
  <c r="BS509" i="1"/>
  <c r="S500" i="1"/>
  <c r="DG491" i="1"/>
  <c r="AA486" i="1"/>
  <c r="BC481" i="1"/>
  <c r="BR514" i="1"/>
  <c r="CT509" i="1"/>
  <c r="R505" i="1"/>
  <c r="AT500" i="1"/>
  <c r="BV495" i="1"/>
  <c r="CX490" i="1"/>
  <c r="V486" i="1"/>
  <c r="AX481" i="1"/>
  <c r="BM514" i="1"/>
  <c r="CO509" i="1"/>
  <c r="M505" i="1"/>
  <c r="AO500" i="1"/>
  <c r="BQ495" i="1"/>
  <c r="CS490" i="1"/>
  <c r="Q486" i="1"/>
  <c r="AS481" i="1"/>
  <c r="AV514" i="1"/>
  <c r="AT526" i="1"/>
  <c r="AD520" i="1"/>
  <c r="BM534" i="1"/>
  <c r="CO529" i="1"/>
  <c r="M525" i="1"/>
  <c r="AO520" i="1"/>
  <c r="AQ515" i="1"/>
  <c r="BS510" i="1"/>
  <c r="CU505" i="1"/>
  <c r="S501" i="1"/>
  <c r="AU496" i="1"/>
  <c r="BW491" i="1"/>
  <c r="CY486" i="1"/>
  <c r="W482" i="1"/>
  <c r="AL515" i="1"/>
  <c r="BN510" i="1"/>
  <c r="CP505" i="1"/>
  <c r="N501" i="1"/>
  <c r="AP496" i="1"/>
  <c r="BR491" i="1"/>
  <c r="CT486" i="1"/>
  <c r="R482" i="1"/>
  <c r="AG515" i="1"/>
  <c r="BI510" i="1"/>
  <c r="CK505" i="1"/>
  <c r="I501" i="1"/>
  <c r="AK496" i="1"/>
  <c r="BM491" i="1"/>
  <c r="CO486" i="1"/>
  <c r="M482" i="1"/>
  <c r="P515" i="1"/>
  <c r="BF524" i="1"/>
  <c r="F519" i="1"/>
  <c r="AO533" i="1"/>
  <c r="BQ528" i="1"/>
  <c r="CS523" i="1"/>
  <c r="Q519" i="1"/>
  <c r="S514" i="1"/>
  <c r="AU509" i="1"/>
  <c r="BW504" i="1"/>
  <c r="CY499" i="1"/>
  <c r="W495" i="1"/>
  <c r="AY490" i="1"/>
  <c r="CA485" i="1"/>
  <c r="DC480" i="1"/>
  <c r="N514" i="1"/>
  <c r="AP509" i="1"/>
  <c r="BR504" i="1"/>
  <c r="CT499" i="1"/>
  <c r="R495" i="1"/>
  <c r="AT490" i="1"/>
  <c r="BV485" i="1"/>
  <c r="CX480" i="1"/>
  <c r="I514" i="1"/>
  <c r="AK509" i="1"/>
  <c r="BM504" i="1"/>
  <c r="CO499" i="1"/>
  <c r="M495" i="1"/>
  <c r="AO490" i="1"/>
  <c r="BQ485" i="1"/>
  <c r="CS480" i="1"/>
  <c r="CV513" i="1"/>
  <c r="T509" i="1"/>
  <c r="P507" i="1"/>
  <c r="AN502" i="1"/>
  <c r="BP497" i="1"/>
  <c r="CR492" i="1"/>
  <c r="P488" i="1"/>
  <c r="AR483" i="1"/>
  <c r="BQ478" i="1"/>
  <c r="CO472" i="1"/>
  <c r="I467" i="1"/>
  <c r="AS460" i="1"/>
  <c r="BQ454" i="1"/>
  <c r="CS449" i="1"/>
  <c r="Q445" i="1"/>
  <c r="T478" i="1"/>
  <c r="AR472" i="1"/>
  <c r="CB465" i="1"/>
  <c r="CZ459" i="1"/>
  <c r="T454" i="1"/>
  <c r="AV449" i="1"/>
  <c r="BX444" i="1"/>
  <c r="BW477" i="1"/>
  <c r="DG470" i="1"/>
  <c r="AA465" i="1"/>
  <c r="AY459" i="1"/>
  <c r="BW453" i="1"/>
  <c r="CY448" i="1"/>
  <c r="W444" i="1"/>
  <c r="V477" i="1"/>
  <c r="CR510" i="1"/>
  <c r="AR504" i="1"/>
  <c r="BT499" i="1"/>
  <c r="CV494" i="1"/>
  <c r="T490" i="1"/>
  <c r="AV485" i="1"/>
  <c r="BU480" i="1"/>
  <c r="CS474" i="1"/>
  <c r="AC469" i="1"/>
  <c r="BA463" i="1"/>
  <c r="BY457" i="1"/>
  <c r="CW451" i="1"/>
  <c r="U447" i="1"/>
  <c r="X480" i="1"/>
  <c r="AV474" i="1"/>
  <c r="CJ468" i="1"/>
  <c r="DH462" i="1"/>
  <c r="AB457" i="1"/>
  <c r="BT452" i="1"/>
  <c r="BH449" i="1"/>
  <c r="AV446" i="1"/>
  <c r="H444" i="1"/>
  <c r="AU479" i="1"/>
  <c r="G477" i="1"/>
  <c r="CI473" i="1"/>
  <c r="AQ470" i="1"/>
  <c r="DG467" i="1"/>
  <c r="BO464" i="1"/>
  <c r="AA462" i="1"/>
  <c r="CM458" i="1"/>
  <c r="BK455" i="1"/>
  <c r="W453" i="1"/>
  <c r="CM450" i="1"/>
  <c r="AY448" i="1"/>
  <c r="K446" i="1"/>
  <c r="CA443" i="1"/>
  <c r="J479" i="1"/>
  <c r="AN509" i="1"/>
  <c r="DD505" i="1"/>
  <c r="BP503" i="1"/>
  <c r="AB501" i="1"/>
  <c r="CR498" i="1"/>
  <c r="BD496" i="1"/>
  <c r="P494" i="1"/>
  <c r="CF491" i="1"/>
  <c r="AR489" i="1"/>
  <c r="DH486" i="1"/>
  <c r="BT484" i="1"/>
  <c r="AF482" i="1"/>
  <c r="CS479" i="1"/>
  <c r="BE477" i="1"/>
  <c r="AC474" i="1"/>
  <c r="CO470" i="1"/>
  <c r="BA468" i="1"/>
  <c r="I465" i="1"/>
  <c r="BY462" i="1"/>
  <c r="AG459" i="1"/>
  <c r="DI455" i="1"/>
  <c r="BU453" i="1"/>
  <c r="AG451" i="1"/>
  <c r="CW448" i="1"/>
  <c r="BI446" i="1"/>
  <c r="U444" i="1"/>
  <c r="BL479" i="1"/>
  <c r="X477" i="1"/>
  <c r="CZ473" i="1"/>
  <c r="BH470" i="1"/>
  <c r="T468" i="1"/>
  <c r="CF464" i="1"/>
  <c r="AR462" i="1"/>
  <c r="DD458" i="1"/>
  <c r="CB455" i="1"/>
  <c r="AN453" i="1"/>
  <c r="DD450" i="1"/>
  <c r="BP448" i="1"/>
  <c r="AB446" i="1"/>
  <c r="CR443" i="1"/>
  <c r="AA479" i="1"/>
  <c r="CM475" i="1"/>
  <c r="AY473" i="1"/>
  <c r="G470" i="1"/>
  <c r="BW467" i="1"/>
  <c r="AE464" i="1"/>
  <c r="DG460" i="1"/>
  <c r="BS458" i="1"/>
  <c r="AA455" i="1"/>
  <c r="CQ452" i="1"/>
  <c r="BC450" i="1"/>
  <c r="O448" i="1"/>
  <c r="CE445" i="1"/>
  <c r="AQ443" i="1"/>
  <c r="CD478" i="1"/>
  <c r="AN507" i="1"/>
  <c r="CV504" i="1"/>
  <c r="BH502" i="1"/>
  <c r="T500" i="1"/>
  <c r="CJ497" i="1"/>
  <c r="AV495" i="1"/>
  <c r="H493" i="1"/>
  <c r="BX490" i="1"/>
  <c r="AJ488" i="1"/>
  <c r="CZ485" i="1"/>
  <c r="BL483" i="1"/>
  <c r="X481" i="1"/>
  <c r="CK478" i="1"/>
  <c r="AS475" i="1"/>
  <c r="DI472" i="1"/>
  <c r="BQ469" i="1"/>
  <c r="AC467" i="1"/>
  <c r="CO463" i="1"/>
  <c r="BM460" i="1"/>
  <c r="Y458" i="1"/>
  <c r="CK454" i="1"/>
  <c r="AW452" i="1"/>
  <c r="I450" i="1"/>
  <c r="BY447" i="1"/>
  <c r="AK445" i="1"/>
  <c r="DA442" i="1"/>
  <c r="AN478" i="1"/>
  <c r="CZ474" i="1"/>
  <c r="BL472" i="1"/>
  <c r="T469" i="1"/>
  <c r="CF465" i="1"/>
  <c r="AR463" i="1"/>
  <c r="P460" i="1"/>
  <c r="CF457" i="1"/>
  <c r="AN454" i="1"/>
  <c r="DD451" i="1"/>
  <c r="BP449" i="1"/>
  <c r="AB447" i="1"/>
  <c r="CR444" i="1"/>
  <c r="AA480" i="1"/>
  <c r="CQ477" i="1"/>
  <c r="AY474" i="1"/>
  <c r="K472" i="1"/>
  <c r="BW468" i="1"/>
  <c r="AU465" i="1"/>
  <c r="G463" i="1"/>
  <c r="BS459" i="1"/>
  <c r="AE457" i="1"/>
  <c r="CQ453" i="1"/>
  <c r="BC451" i="1"/>
  <c r="O449" i="1"/>
  <c r="CE446" i="1"/>
  <c r="AQ444" i="1"/>
  <c r="CD479" i="1"/>
  <c r="AP477" i="1"/>
  <c r="DB473" i="1"/>
  <c r="BZ470" i="1"/>
  <c r="AL468" i="1"/>
  <c r="CX464" i="1"/>
  <c r="BJ462" i="1"/>
  <c r="AD473" i="1"/>
  <c r="BV468" i="1"/>
  <c r="BF464" i="1"/>
  <c r="BZ460" i="1"/>
  <c r="AL458" i="1"/>
  <c r="CX454" i="1"/>
  <c r="BJ452" i="1"/>
  <c r="V450" i="1"/>
  <c r="CL447" i="1"/>
  <c r="AX445" i="1"/>
  <c r="J443" i="1"/>
  <c r="CN440" i="1"/>
  <c r="AZ438" i="1"/>
  <c r="L436" i="1"/>
  <c r="CB433" i="1"/>
  <c r="AN431" i="1"/>
  <c r="DD428" i="1"/>
  <c r="BP426" i="1"/>
  <c r="AB424" i="1"/>
  <c r="CR421" i="1"/>
  <c r="BD419" i="1"/>
  <c r="P417" i="1"/>
  <c r="CF414" i="1"/>
  <c r="AR412" i="1"/>
  <c r="DH409" i="1"/>
  <c r="BT407" i="1"/>
  <c r="AA442" i="1"/>
  <c r="CQ439" i="1"/>
  <c r="BC437" i="1"/>
  <c r="O435" i="1"/>
  <c r="CE432" i="1"/>
  <c r="AQ430" i="1"/>
  <c r="DG427" i="1"/>
  <c r="BS425" i="1"/>
  <c r="AE423" i="1"/>
  <c r="CU420" i="1"/>
  <c r="BG418" i="1"/>
  <c r="S416" i="1"/>
  <c r="CI413" i="1"/>
  <c r="AU411" i="1"/>
  <c r="G409" i="1"/>
  <c r="BW406" i="1"/>
  <c r="V442" i="1"/>
  <c r="CL439" i="1"/>
  <c r="AX437" i="1"/>
  <c r="J435" i="1"/>
  <c r="BZ432" i="1"/>
  <c r="AL430" i="1"/>
  <c r="DB427" i="1"/>
  <c r="BN425" i="1"/>
  <c r="Z423" i="1"/>
  <c r="CP420" i="1"/>
  <c r="BB418" i="1"/>
  <c r="N416" i="1"/>
  <c r="CD413" i="1"/>
  <c r="AP411" i="1"/>
  <c r="DF408" i="1"/>
  <c r="BR406" i="1"/>
  <c r="Q442" i="1"/>
  <c r="CG439" i="1"/>
  <c r="AS437" i="1"/>
  <c r="F474" i="1"/>
  <c r="V469" i="1"/>
  <c r="F465" i="1"/>
  <c r="DB460" i="1"/>
  <c r="BN458" i="1"/>
  <c r="V455" i="1"/>
  <c r="CL452" i="1"/>
  <c r="AX450" i="1"/>
  <c r="J448" i="1"/>
  <c r="BZ445" i="1"/>
  <c r="AL443" i="1"/>
  <c r="L441" i="1"/>
  <c r="CB438" i="1"/>
  <c r="AN436" i="1"/>
  <c r="DD433" i="1"/>
  <c r="BP431" i="1"/>
  <c r="AB429" i="1"/>
  <c r="CR426" i="1"/>
  <c r="BD424" i="1"/>
  <c r="P422" i="1"/>
  <c r="CF419" i="1"/>
  <c r="AR417" i="1"/>
  <c r="DH414" i="1"/>
  <c r="BT412" i="1"/>
  <c r="AF410" i="1"/>
  <c r="CV407" i="1"/>
  <c r="BC442" i="1"/>
  <c r="O440" i="1"/>
  <c r="CE437" i="1"/>
  <c r="AQ435" i="1"/>
  <c r="DG432" i="1"/>
  <c r="BS430" i="1"/>
  <c r="AE428" i="1"/>
  <c r="CU425" i="1"/>
  <c r="BG423" i="1"/>
  <c r="S421" i="1"/>
  <c r="CI418" i="1"/>
  <c r="AU416" i="1"/>
  <c r="G414" i="1"/>
  <c r="BW411" i="1"/>
  <c r="AI409" i="1"/>
  <c r="CY406" i="1"/>
  <c r="AX442" i="1"/>
  <c r="J440" i="1"/>
  <c r="BZ437" i="1"/>
  <c r="AL435" i="1"/>
  <c r="DB432" i="1"/>
  <c r="BN430" i="1"/>
  <c r="Z428" i="1"/>
  <c r="CP425" i="1"/>
  <c r="BB423" i="1"/>
  <c r="N421" i="1"/>
  <c r="CD418" i="1"/>
  <c r="AP416" i="1"/>
  <c r="DF413" i="1"/>
  <c r="BR411" i="1"/>
  <c r="AD409" i="1"/>
  <c r="CT406" i="1"/>
  <c r="AS442" i="1"/>
  <c r="DI439" i="1"/>
  <c r="BU437" i="1"/>
  <c r="BZ473" i="1"/>
  <c r="DB468" i="1"/>
  <c r="CL464" i="1"/>
  <c r="CH460" i="1"/>
  <c r="AT458" i="1"/>
  <c r="DF454" i="1"/>
  <c r="BR452" i="1"/>
  <c r="AD450" i="1"/>
  <c r="CT447" i="1"/>
  <c r="BF445" i="1"/>
  <c r="R443" i="1"/>
  <c r="CV440" i="1"/>
  <c r="BH438" i="1"/>
  <c r="T436" i="1"/>
  <c r="CJ433" i="1"/>
  <c r="AV431" i="1"/>
  <c r="H429" i="1"/>
  <c r="BX426" i="1"/>
  <c r="AJ424" i="1"/>
  <c r="CZ421" i="1"/>
  <c r="BL419" i="1"/>
  <c r="X417" i="1"/>
  <c r="CN414" i="1"/>
  <c r="AZ412" i="1"/>
  <c r="L410" i="1"/>
  <c r="CB407" i="1"/>
  <c r="AI442" i="1"/>
  <c r="CY439" i="1"/>
  <c r="BK437" i="1"/>
  <c r="W435" i="1"/>
  <c r="CM432" i="1"/>
  <c r="AY430" i="1"/>
  <c r="K428" i="1"/>
  <c r="CA425" i="1"/>
  <c r="AM423" i="1"/>
  <c r="DC420" i="1"/>
  <c r="BO418" i="1"/>
  <c r="AA416" i="1"/>
  <c r="CQ413" i="1"/>
  <c r="BC411" i="1"/>
  <c r="O409" i="1"/>
  <c r="CE406" i="1"/>
  <c r="AD442" i="1"/>
  <c r="CT439" i="1"/>
  <c r="BF437" i="1"/>
  <c r="R435" i="1"/>
  <c r="CH432" i="1"/>
  <c r="AT430" i="1"/>
  <c r="F428" i="1"/>
  <c r="BV425" i="1"/>
  <c r="AH423" i="1"/>
  <c r="CX420" i="1"/>
  <c r="BJ418" i="1"/>
  <c r="V416" i="1"/>
  <c r="CL413" i="1"/>
  <c r="AX411" i="1"/>
  <c r="J409" i="1"/>
  <c r="BZ406" i="1"/>
  <c r="Y442" i="1"/>
  <c r="CO439" i="1"/>
  <c r="BA437" i="1"/>
  <c r="M435" i="1"/>
  <c r="J475" i="1"/>
  <c r="CT469" i="1"/>
  <c r="CD465" i="1"/>
  <c r="BN462" i="1"/>
  <c r="N459" i="1"/>
  <c r="CP455" i="1"/>
  <c r="BB453" i="1"/>
  <c r="N451" i="1"/>
  <c r="CD448" i="1"/>
  <c r="AP446" i="1"/>
  <c r="DF443" i="1"/>
  <c r="CF441" i="1"/>
  <c r="AR439" i="1"/>
  <c r="DH436" i="1"/>
  <c r="BT434" i="1"/>
  <c r="AF432" i="1"/>
  <c r="CV429" i="1"/>
  <c r="BH427" i="1"/>
  <c r="T425" i="1"/>
  <c r="CJ422" i="1"/>
  <c r="AV420" i="1"/>
  <c r="H418" i="1"/>
  <c r="BX415" i="1"/>
  <c r="AJ413" i="1"/>
  <c r="CZ410" i="1"/>
  <c r="BL408" i="1"/>
  <c r="X406" i="1"/>
  <c r="CI440" i="1"/>
  <c r="AU438" i="1"/>
  <c r="G436" i="1"/>
  <c r="BW433" i="1"/>
  <c r="AI431" i="1"/>
  <c r="CY428" i="1"/>
  <c r="BK426" i="1"/>
  <c r="W424" i="1"/>
  <c r="CM421" i="1"/>
  <c r="AY419" i="1"/>
  <c r="K417" i="1"/>
  <c r="CA414" i="1"/>
  <c r="AM412" i="1"/>
  <c r="DC409" i="1"/>
  <c r="BO407" i="1"/>
  <c r="AA405" i="1"/>
  <c r="CD440" i="1"/>
  <c r="AP438" i="1"/>
  <c r="DF435" i="1"/>
  <c r="BR433" i="1"/>
  <c r="AD431" i="1"/>
  <c r="AL425" i="1"/>
  <c r="CP415" i="1"/>
  <c r="AP406" i="1"/>
  <c r="M436" i="1"/>
  <c r="U433" i="1"/>
  <c r="CK430" i="1"/>
  <c r="AL636" i="1"/>
  <c r="AB630" i="1"/>
  <c r="CA619" i="1"/>
  <c r="CD609" i="1"/>
  <c r="F614" i="1"/>
  <c r="CU612" i="1"/>
  <c r="M614" i="1"/>
  <c r="DA611" i="1"/>
  <c r="AG616" i="1"/>
  <c r="BC615" i="1"/>
  <c r="BW588" i="1"/>
  <c r="CC593" i="1"/>
  <c r="AM604" i="1"/>
  <c r="BS601" i="1"/>
  <c r="AH594" i="1"/>
  <c r="BT589" i="1"/>
  <c r="BV593" i="1"/>
  <c r="BQ593" i="1"/>
  <c r="P587" i="1"/>
  <c r="CS576" i="1"/>
  <c r="AY583" i="1"/>
  <c r="CR573" i="1"/>
  <c r="CM573" i="1"/>
  <c r="N574" i="1"/>
  <c r="AE583" i="1"/>
  <c r="BX573" i="1"/>
  <c r="BS573" i="1"/>
  <c r="CX573" i="1"/>
  <c r="BS582" i="1"/>
  <c r="H573" i="1"/>
  <c r="DG572" i="1"/>
  <c r="AH573" i="1"/>
  <c r="CF575" i="1"/>
  <c r="BV584" i="1"/>
  <c r="AU575" i="1"/>
  <c r="CV565" i="1"/>
  <c r="AN575" i="1"/>
  <c r="CQ565" i="1"/>
  <c r="AQ556" i="1"/>
  <c r="R566" i="1"/>
  <c r="BF566" i="1"/>
  <c r="AW574" i="1"/>
  <c r="DA564" i="1"/>
  <c r="W555" i="1"/>
  <c r="CA545" i="1"/>
  <c r="R555" i="1"/>
  <c r="BV545" i="1"/>
  <c r="DE554" i="1"/>
  <c r="BE545" i="1"/>
  <c r="AL559" i="1"/>
  <c r="CG568" i="1"/>
  <c r="AG559" i="1"/>
  <c r="BG549" i="1"/>
  <c r="G540" i="1"/>
  <c r="BB549" i="1"/>
  <c r="DF539" i="1"/>
  <c r="AT571" i="1"/>
  <c r="R559" i="1"/>
  <c r="BM568" i="1"/>
  <c r="M559" i="1"/>
  <c r="AM549" i="1"/>
  <c r="CQ539" i="1"/>
  <c r="AH549" i="1"/>
  <c r="CL539" i="1"/>
  <c r="AP567" i="1"/>
  <c r="I575" i="1"/>
  <c r="BM565" i="1"/>
  <c r="CM555" i="1"/>
  <c r="AM546" i="1"/>
  <c r="CH555" i="1"/>
  <c r="AH546" i="1"/>
  <c r="BQ555" i="1"/>
  <c r="Q546" i="1"/>
  <c r="AG549" i="1"/>
  <c r="CF554" i="1"/>
  <c r="AF545" i="1"/>
  <c r="CB535" i="1"/>
  <c r="AB526" i="1"/>
  <c r="AA536" i="1"/>
  <c r="CE526" i="1"/>
  <c r="BJ536" i="1"/>
  <c r="J527" i="1"/>
  <c r="AC538" i="1"/>
  <c r="AZ547" i="1"/>
  <c r="DD537" i="1"/>
  <c r="AV528" i="1"/>
  <c r="CZ518" i="1"/>
  <c r="CY528" i="1"/>
  <c r="AY519" i="1"/>
  <c r="AW549" i="1"/>
  <c r="CN554" i="1"/>
  <c r="AN545" i="1"/>
  <c r="CJ535" i="1"/>
  <c r="AJ526" i="1"/>
  <c r="AI536" i="1"/>
  <c r="CM526" i="1"/>
  <c r="BR536" i="1"/>
  <c r="DI548" i="1"/>
  <c r="BT554" i="1"/>
  <c r="T545" i="1"/>
  <c r="BP535" i="1"/>
  <c r="P526" i="1"/>
  <c r="O536" i="1"/>
  <c r="BS526" i="1"/>
  <c r="AX536" i="1"/>
  <c r="DB526" i="1"/>
  <c r="BB522" i="1"/>
  <c r="CO531" i="1"/>
  <c r="AO522" i="1"/>
  <c r="BS512" i="1"/>
  <c r="S503" i="1"/>
  <c r="BW493" i="1"/>
  <c r="W484" i="1"/>
  <c r="BN512" i="1"/>
  <c r="N503" i="1"/>
  <c r="BR493" i="1"/>
  <c r="R484" i="1"/>
  <c r="BI512" i="1"/>
  <c r="I503" i="1"/>
  <c r="BM493" i="1"/>
  <c r="M484" i="1"/>
  <c r="AR512" i="1"/>
  <c r="BB521" i="1"/>
  <c r="I531" i="1"/>
  <c r="BM521" i="1"/>
  <c r="CQ511" i="1"/>
  <c r="AQ502" i="1"/>
  <c r="BC493" i="1"/>
  <c r="AE487" i="1"/>
  <c r="BG482" i="1"/>
  <c r="BV515" i="1"/>
  <c r="CX510" i="1"/>
  <c r="V506" i="1"/>
  <c r="AX501" i="1"/>
  <c r="BZ496" i="1"/>
  <c r="DB491" i="1"/>
  <c r="Z487" i="1"/>
  <c r="BB482" i="1"/>
  <c r="BQ515" i="1"/>
  <c r="CS510" i="1"/>
  <c r="Q506" i="1"/>
  <c r="AS501" i="1"/>
  <c r="BU496" i="1"/>
  <c r="CW491" i="1"/>
  <c r="U487" i="1"/>
  <c r="AW482" i="1"/>
  <c r="AZ515" i="1"/>
  <c r="DB528" i="1"/>
  <c r="AH521" i="1"/>
  <c r="BQ535" i="1"/>
  <c r="CS530" i="1"/>
  <c r="Q526" i="1"/>
  <c r="AS521" i="1"/>
  <c r="AU516" i="1"/>
  <c r="BW511" i="1"/>
  <c r="CY506" i="1"/>
  <c r="W502" i="1"/>
  <c r="AY497" i="1"/>
  <c r="CA492" i="1"/>
  <c r="DC487" i="1"/>
  <c r="AA483" i="1"/>
  <c r="AP516" i="1"/>
  <c r="BR511" i="1"/>
  <c r="CT506" i="1"/>
  <c r="R502" i="1"/>
  <c r="AT497" i="1"/>
  <c r="BV492" i="1"/>
  <c r="CX487" i="1"/>
  <c r="V483" i="1"/>
  <c r="AK516" i="1"/>
  <c r="BM511" i="1"/>
  <c r="CO506" i="1"/>
  <c r="M502" i="1"/>
  <c r="AO497" i="1"/>
  <c r="BQ492" i="1"/>
  <c r="CS487" i="1"/>
  <c r="Q483" i="1"/>
  <c r="T516" i="1"/>
  <c r="DF525" i="1"/>
  <c r="J520" i="1"/>
  <c r="AS534" i="1"/>
  <c r="BU529" i="1"/>
  <c r="CW524" i="1"/>
  <c r="U520" i="1"/>
  <c r="W515" i="1"/>
  <c r="AY510" i="1"/>
  <c r="CA505" i="1"/>
  <c r="DC500" i="1"/>
  <c r="AA496" i="1"/>
  <c r="BC491" i="1"/>
  <c r="CE486" i="1"/>
  <c r="DG481" i="1"/>
  <c r="R515" i="1"/>
  <c r="AT510" i="1"/>
  <c r="BV505" i="1"/>
  <c r="CX500" i="1"/>
  <c r="V496" i="1"/>
  <c r="AX491" i="1"/>
  <c r="BZ486" i="1"/>
  <c r="DB481" i="1"/>
  <c r="M515" i="1"/>
  <c r="AO510" i="1"/>
  <c r="BQ505" i="1"/>
  <c r="CS500" i="1"/>
  <c r="Q496" i="1"/>
  <c r="AS491" i="1"/>
  <c r="BU486" i="1"/>
  <c r="CW481" i="1"/>
  <c r="CZ514" i="1"/>
  <c r="X510" i="1"/>
  <c r="CV508" i="1"/>
  <c r="AR503" i="1"/>
  <c r="BT498" i="1"/>
  <c r="CV493" i="1"/>
  <c r="T489" i="1"/>
  <c r="AV484" i="1"/>
  <c r="BU479" i="1"/>
  <c r="CS473" i="1"/>
  <c r="M468" i="1"/>
  <c r="BA462" i="1"/>
  <c r="BU455" i="1"/>
  <c r="CW450" i="1"/>
  <c r="U446" i="1"/>
  <c r="X479" i="1"/>
  <c r="AV473" i="1"/>
  <c r="BT467" i="1"/>
  <c r="DD460" i="1"/>
  <c r="X455" i="1"/>
  <c r="AZ450" i="1"/>
  <c r="CB445" i="1"/>
  <c r="CA478" i="1"/>
  <c r="CY472" i="1"/>
  <c r="AI467" i="1"/>
  <c r="BC460" i="1"/>
  <c r="CA454" i="1"/>
  <c r="DC449" i="1"/>
  <c r="AA445" i="1"/>
  <c r="Z478" i="1"/>
  <c r="BN472" i="1"/>
  <c r="AV505" i="1"/>
  <c r="BX500" i="1"/>
  <c r="CZ495" i="1"/>
  <c r="X491" i="1"/>
  <c r="AZ486" i="1"/>
  <c r="CB481" i="1"/>
  <c r="CW475" i="1"/>
  <c r="AG470" i="1"/>
  <c r="BE464" i="1"/>
  <c r="CC458" i="1"/>
  <c r="DA452" i="1"/>
  <c r="Y448" i="1"/>
  <c r="BA443" i="1"/>
  <c r="AZ475" i="1"/>
  <c r="CN469" i="1"/>
  <c r="H464" i="1"/>
  <c r="AF458" i="1"/>
  <c r="AB453" i="1"/>
  <c r="P450" i="1"/>
  <c r="CR446" i="1"/>
  <c r="BD444" i="1"/>
  <c r="CQ479" i="1"/>
  <c r="BC477" i="1"/>
  <c r="AA474" i="1"/>
  <c r="CM470" i="1"/>
  <c r="AY468" i="1"/>
  <c r="G465" i="1"/>
  <c r="BW462" i="1"/>
  <c r="AE459" i="1"/>
  <c r="DG455" i="1"/>
  <c r="BS453" i="1"/>
  <c r="AE451" i="1"/>
  <c r="CU448" i="1"/>
  <c r="BG446" i="1"/>
  <c r="S444" i="1"/>
  <c r="BF479" i="1"/>
  <c r="AB510" i="1"/>
  <c r="AV506" i="1"/>
  <c r="H504" i="1"/>
  <c r="BX501" i="1"/>
  <c r="AJ499" i="1"/>
  <c r="CZ496" i="1"/>
  <c r="BL494" i="1"/>
  <c r="X492" i="1"/>
  <c r="CN489" i="1"/>
  <c r="AZ487" i="1"/>
  <c r="L485" i="1"/>
  <c r="CB482" i="1"/>
  <c r="AK480" i="1"/>
  <c r="DA477" i="1"/>
  <c r="BY474" i="1"/>
  <c r="AK472" i="1"/>
  <c r="AW523" i="1"/>
  <c r="CA513" i="1"/>
  <c r="AA504" i="1"/>
  <c r="CE494" i="1"/>
  <c r="AE485" i="1"/>
  <c r="BV513" i="1"/>
  <c r="V504" i="1"/>
  <c r="BZ494" i="1"/>
  <c r="Z485" i="1"/>
  <c r="BQ513" i="1"/>
  <c r="Q504" i="1"/>
  <c r="BU494" i="1"/>
  <c r="U485" i="1"/>
  <c r="BP517" i="1"/>
  <c r="CR512" i="1"/>
  <c r="P508" i="1"/>
  <c r="H506" i="1"/>
  <c r="AJ501" i="1"/>
  <c r="BL496" i="1"/>
  <c r="CN491" i="1"/>
  <c r="AZ489" i="1"/>
  <c r="L487" i="1"/>
  <c r="CB484" i="1"/>
  <c r="AN482" i="1"/>
  <c r="DA479" i="1"/>
  <c r="BM477" i="1"/>
  <c r="U474" i="1"/>
  <c r="CG470" i="1"/>
  <c r="AS468" i="1"/>
  <c r="Q465" i="1"/>
  <c r="CG462" i="1"/>
  <c r="AO459" i="1"/>
  <c r="DA455" i="1"/>
  <c r="BM453" i="1"/>
  <c r="Y451" i="1"/>
  <c r="CO448" i="1"/>
  <c r="BA446" i="1"/>
  <c r="M444" i="1"/>
  <c r="BD479" i="1"/>
  <c r="P477" i="1"/>
  <c r="CB473" i="1"/>
  <c r="AJ470" i="1"/>
  <c r="CZ467" i="1"/>
  <c r="BX464" i="1"/>
  <c r="AJ462" i="1"/>
  <c r="CV458" i="1"/>
  <c r="BD455" i="1"/>
  <c r="P453" i="1"/>
  <c r="CF450" i="1"/>
  <c r="AR448" i="1"/>
  <c r="DH445" i="1"/>
  <c r="BT443" i="1"/>
  <c r="DG478" i="1"/>
  <c r="BO475" i="1"/>
  <c r="AA473" i="1"/>
  <c r="DC469" i="1"/>
  <c r="BO467" i="1"/>
  <c r="W464" i="1"/>
  <c r="CI460" i="1"/>
  <c r="AU458" i="1"/>
  <c r="DG454" i="1"/>
  <c r="BS452" i="1"/>
  <c r="AE450" i="1"/>
  <c r="CU447" i="1"/>
  <c r="BG445" i="1"/>
  <c r="S443" i="1"/>
  <c r="BF478" i="1"/>
  <c r="AD475" i="1"/>
  <c r="CT472" i="1"/>
  <c r="CJ508" i="1"/>
  <c r="CB505" i="1"/>
  <c r="AN503" i="1"/>
  <c r="DD500" i="1"/>
  <c r="BP498" i="1"/>
  <c r="AB496" i="1"/>
  <c r="CR493" i="1"/>
  <c r="BD491" i="1"/>
  <c r="P489" i="1"/>
  <c r="CF486" i="1"/>
  <c r="AR484" i="1"/>
  <c r="DH481" i="1"/>
  <c r="BQ479" i="1"/>
  <c r="AC477" i="1"/>
  <c r="CO473" i="1"/>
  <c r="BM470" i="1"/>
  <c r="Y468" i="1"/>
  <c r="CK464" i="1"/>
  <c r="AW462" i="1"/>
  <c r="DI458" i="1"/>
  <c r="BQ455" i="1"/>
  <c r="AC453" i="1"/>
  <c r="CS450" i="1"/>
  <c r="BE448" i="1"/>
  <c r="Q446" i="1"/>
  <c r="CG443" i="1"/>
  <c r="T479" i="1"/>
  <c r="CF475" i="1"/>
  <c r="AR473" i="1"/>
  <c r="P470" i="1"/>
  <c r="CF467" i="1"/>
  <c r="AN464" i="1"/>
  <c r="CZ460" i="1"/>
  <c r="BL458" i="1"/>
  <c r="T455" i="1"/>
  <c r="AC629" i="1"/>
  <c r="O624" i="1"/>
  <c r="L619" i="1"/>
  <c r="CX611" i="1"/>
  <c r="DD618" i="1"/>
  <c r="CE608" i="1"/>
  <c r="BY599" i="1"/>
  <c r="DI601" i="1"/>
  <c r="AK603" i="1"/>
  <c r="Q603" i="1"/>
  <c r="CX593" i="1"/>
  <c r="T588" i="1"/>
  <c r="BH604" i="1"/>
  <c r="CC586" i="1"/>
  <c r="AS594" i="1"/>
  <c r="BS586" i="1"/>
  <c r="AF605" i="1"/>
  <c r="AL602" i="1"/>
  <c r="L588" i="1"/>
  <c r="P584" i="1"/>
  <c r="AH583" i="1"/>
  <c r="BH564" i="1"/>
  <c r="BC564" i="1"/>
  <c r="CV583" i="1"/>
  <c r="N583" i="1"/>
  <c r="AN564" i="1"/>
  <c r="AI564" i="1"/>
  <c r="H583" i="1"/>
  <c r="BB582" i="1"/>
  <c r="CB563" i="1"/>
  <c r="BW563" i="1"/>
  <c r="AV582" i="1"/>
  <c r="AQ580" i="1"/>
  <c r="J580" i="1"/>
  <c r="CJ570" i="1"/>
  <c r="AJ561" i="1"/>
  <c r="CE570" i="1"/>
  <c r="AE561" i="1"/>
  <c r="F571" i="1"/>
  <c r="BJ561" i="1"/>
  <c r="AT560" i="1"/>
  <c r="CO569" i="1"/>
  <c r="AO560" i="1"/>
  <c r="BO550" i="1"/>
  <c r="O541" i="1"/>
  <c r="BJ550" i="1"/>
  <c r="J541" i="1"/>
  <c r="AS550" i="1"/>
  <c r="BB565" i="1"/>
  <c r="BU573" i="1"/>
  <c r="U564" i="1"/>
  <c r="AU554" i="1"/>
  <c r="CY544" i="1"/>
  <c r="AP554" i="1"/>
  <c r="CT544" i="1"/>
  <c r="Y554" i="1"/>
  <c r="Z565" i="1"/>
  <c r="BA573" i="1"/>
  <c r="DE563" i="1"/>
  <c r="AA554" i="1"/>
  <c r="CE544" i="1"/>
  <c r="V554" i="1"/>
  <c r="BZ544" i="1"/>
  <c r="DI553" i="1"/>
  <c r="Z561" i="1"/>
  <c r="BA570" i="1"/>
  <c r="DE560" i="1"/>
  <c r="AA551" i="1"/>
  <c r="CE541" i="1"/>
  <c r="V551" i="1"/>
  <c r="BZ541" i="1"/>
  <c r="DI550" i="1"/>
  <c r="BI541" i="1"/>
  <c r="CS541" i="1"/>
  <c r="T550" i="1"/>
  <c r="BX540" i="1"/>
  <c r="P531" i="1"/>
  <c r="BT521" i="1"/>
  <c r="BS531" i="1"/>
  <c r="S522" i="1"/>
  <c r="DB531" i="1"/>
  <c r="CG544" i="1"/>
  <c r="AN552" i="1"/>
  <c r="CR542" i="1"/>
  <c r="AJ533" i="1"/>
  <c r="CN523" i="1"/>
  <c r="CM533" i="1"/>
  <c r="AM524" i="1"/>
  <c r="R534" i="1"/>
  <c r="DA541" i="1"/>
  <c r="AB550" i="1"/>
  <c r="CF540" i="1"/>
  <c r="X531" i="1"/>
  <c r="CB521" i="1"/>
  <c r="CA531" i="1"/>
  <c r="AA522" i="1"/>
  <c r="F532" i="1"/>
  <c r="CC541" i="1"/>
  <c r="H550" i="1"/>
  <c r="BL540" i="1"/>
  <c r="DH530" i="1"/>
  <c r="BH521" i="1"/>
  <c r="BG531" i="1"/>
  <c r="G522" i="1"/>
  <c r="CP531" i="1"/>
  <c r="AP522" i="1"/>
  <c r="CC536" i="1"/>
  <c r="AC527" i="1"/>
  <c r="BG517" i="1"/>
  <c r="G508" i="1"/>
  <c r="BK498" i="1"/>
  <c r="K489" i="1"/>
  <c r="BB517" i="1"/>
  <c r="DF507" i="1"/>
  <c r="BF498" i="1"/>
  <c r="F489" i="1"/>
  <c r="AW517" i="1"/>
  <c r="DA507" i="1"/>
  <c r="BA498" i="1"/>
  <c r="DE488" i="1"/>
  <c r="AF517" i="1"/>
  <c r="CJ507" i="1"/>
  <c r="DA535" i="1"/>
  <c r="BA526" i="1"/>
  <c r="CE516" i="1"/>
  <c r="AE507" i="1"/>
  <c r="CI497" i="1"/>
  <c r="BG490" i="1"/>
  <c r="G485" i="1"/>
  <c r="V518" i="1"/>
  <c r="AX513" i="1"/>
  <c r="BZ508" i="1"/>
  <c r="DB503" i="1"/>
  <c r="Z499" i="1"/>
  <c r="BB494" i="1"/>
  <c r="CD489" i="1"/>
  <c r="DF484" i="1"/>
  <c r="Q518" i="1"/>
  <c r="AS513" i="1"/>
  <c r="BU508" i="1"/>
  <c r="CW503" i="1"/>
  <c r="U499" i="1"/>
  <c r="AW494" i="1"/>
  <c r="BY489" i="1"/>
  <c r="DA484" i="1"/>
  <c r="DD517" i="1"/>
  <c r="AB513" i="1"/>
  <c r="BJ524" i="1"/>
  <c r="J519" i="1"/>
  <c r="AS533" i="1"/>
  <c r="BU528" i="1"/>
  <c r="CW523" i="1"/>
  <c r="U519" i="1"/>
  <c r="W514" i="1"/>
  <c r="AY509" i="1"/>
  <c r="CA504" i="1"/>
  <c r="DC499" i="1"/>
  <c r="AA495" i="1"/>
  <c r="BC490" i="1"/>
  <c r="CE485" i="1"/>
  <c r="DG480" i="1"/>
  <c r="R514" i="1"/>
  <c r="AT509" i="1"/>
  <c r="BV504" i="1"/>
  <c r="CX499" i="1"/>
  <c r="V495" i="1"/>
  <c r="AX490" i="1"/>
  <c r="BZ485" i="1"/>
  <c r="DB480" i="1"/>
  <c r="M514" i="1"/>
  <c r="AO509" i="1"/>
  <c r="BQ504" i="1"/>
  <c r="CS499" i="1"/>
  <c r="Q495" i="1"/>
  <c r="AS490" i="1"/>
  <c r="BU485" i="1"/>
  <c r="CW480" i="1"/>
  <c r="CZ513" i="1"/>
  <c r="CX522" i="1"/>
  <c r="CW536" i="1"/>
  <c r="U532" i="1"/>
  <c r="AW527" i="1"/>
  <c r="BY522" i="1"/>
  <c r="CA517" i="1"/>
  <c r="DC512" i="1"/>
  <c r="AA508" i="1"/>
  <c r="BC503" i="1"/>
  <c r="CE498" i="1"/>
  <c r="DG493" i="1"/>
  <c r="AE489" i="1"/>
  <c r="BG484" i="1"/>
  <c r="BV517" i="1"/>
  <c r="CX512" i="1"/>
  <c r="V508" i="1"/>
  <c r="AX503" i="1"/>
  <c r="BZ498" i="1"/>
  <c r="DB493" i="1"/>
  <c r="Z489" i="1"/>
  <c r="BB484" i="1"/>
  <c r="BQ517" i="1"/>
  <c r="CS512" i="1"/>
  <c r="Q508" i="1"/>
  <c r="AS503" i="1"/>
  <c r="BU498" i="1"/>
  <c r="CW493" i="1"/>
  <c r="U489" i="1"/>
  <c r="AW484" i="1"/>
  <c r="AZ517" i="1"/>
  <c r="CB512" i="1"/>
  <c r="DD507" i="1"/>
  <c r="CV505" i="1"/>
  <c r="T501" i="1"/>
  <c r="AV496" i="1"/>
  <c r="BX491" i="1"/>
  <c r="CZ486" i="1"/>
  <c r="X482" i="1"/>
  <c r="AW477" i="1"/>
  <c r="BQ470" i="1"/>
  <c r="DE464" i="1"/>
  <c r="Y459" i="1"/>
  <c r="AW453" i="1"/>
  <c r="BY448" i="1"/>
  <c r="DA443" i="1"/>
  <c r="CZ475" i="1"/>
  <c r="T470" i="1"/>
  <c r="BH464" i="1"/>
  <c r="CF458" i="1"/>
  <c r="DD452" i="1"/>
  <c r="AB448" i="1"/>
  <c r="BD443" i="1"/>
  <c r="AY475" i="1"/>
  <c r="CM469" i="1"/>
  <c r="G464" i="1"/>
  <c r="AE458" i="1"/>
  <c r="BC452" i="1"/>
  <c r="CE447" i="1"/>
  <c r="DG442" i="1"/>
  <c r="N475" i="1"/>
  <c r="BD508" i="1"/>
  <c r="X503" i="1"/>
  <c r="AZ498" i="1"/>
  <c r="CB493" i="1"/>
  <c r="DD488" i="1"/>
  <c r="AB484" i="1"/>
  <c r="BA479" i="1"/>
  <c r="BY473" i="1"/>
  <c r="I468" i="1"/>
  <c r="AG462" i="1"/>
  <c r="BA455" i="1"/>
  <c r="CC450" i="1"/>
  <c r="DE445" i="1"/>
  <c r="DH478" i="1"/>
  <c r="AB473" i="1"/>
  <c r="BP467" i="1"/>
  <c r="CJ460" i="1"/>
  <c r="DH454" i="1"/>
  <c r="CV451" i="1"/>
  <c r="BT448" i="1"/>
  <c r="CN445" i="1"/>
  <c r="AZ443" i="1"/>
  <c r="CM478" i="1"/>
  <c r="BK475" i="1"/>
  <c r="W473" i="1"/>
  <c r="CI469" i="1"/>
  <c r="AU467" i="1"/>
  <c r="DG463" i="1"/>
  <c r="BO460" i="1"/>
  <c r="AA458" i="1"/>
  <c r="DC454" i="1"/>
  <c r="BO452" i="1"/>
  <c r="AA450" i="1"/>
  <c r="CQ447" i="1"/>
  <c r="BC445" i="1"/>
  <c r="O443" i="1"/>
  <c r="BB478" i="1"/>
  <c r="T508" i="1"/>
  <c r="AR505" i="1"/>
  <c r="DH502" i="1"/>
  <c r="BT500" i="1"/>
  <c r="AF498" i="1"/>
  <c r="CV495" i="1"/>
  <c r="BH493" i="1"/>
  <c r="T491" i="1"/>
  <c r="CJ488" i="1"/>
  <c r="AV486" i="1"/>
  <c r="H484" i="1"/>
  <c r="BX481" i="1"/>
  <c r="AG479" i="1"/>
  <c r="DI475" i="1"/>
  <c r="BU473" i="1"/>
  <c r="AC470" i="1"/>
  <c r="CS467" i="1"/>
  <c r="BA464" i="1"/>
  <c r="M462" i="1"/>
  <c r="BY458" i="1"/>
  <c r="AW455" i="1"/>
  <c r="I453" i="1"/>
  <c r="BY450" i="1"/>
  <c r="AK448" i="1"/>
  <c r="DA445" i="1"/>
  <c r="BM443" i="1"/>
  <c r="DD478" i="1"/>
  <c r="CB475" i="1"/>
  <c r="AN473" i="1"/>
  <c r="CZ469" i="1"/>
  <c r="BL467" i="1"/>
  <c r="T464" i="1"/>
  <c r="CF460" i="1"/>
  <c r="AR458" i="1"/>
  <c r="P455" i="1"/>
  <c r="CF452" i="1"/>
  <c r="AR450" i="1"/>
  <c r="DH447" i="1"/>
  <c r="BT445" i="1"/>
  <c r="AF443" i="1"/>
  <c r="BS478" i="1"/>
  <c r="AA475" i="1"/>
  <c r="CQ472" i="1"/>
  <c r="AY469" i="1"/>
  <c r="K467" i="1"/>
  <c r="BW463" i="1"/>
  <c r="AU460" i="1"/>
  <c r="G458" i="1"/>
  <c r="BS454" i="1"/>
  <c r="AE452" i="1"/>
  <c r="CU449" i="1"/>
  <c r="BG447" i="1"/>
  <c r="S445" i="1"/>
  <c r="BF480" i="1"/>
  <c r="CB510" i="1"/>
  <c r="BX506" i="1"/>
  <c r="AJ504" i="1"/>
  <c r="CZ501" i="1"/>
  <c r="BL499" i="1"/>
  <c r="X497" i="1"/>
  <c r="CN494" i="1"/>
  <c r="AZ492" i="1"/>
  <c r="L490" i="1"/>
  <c r="CB487" i="1"/>
  <c r="AN485" i="1"/>
  <c r="DD482" i="1"/>
  <c r="BM480" i="1"/>
  <c r="Y478" i="1"/>
  <c r="CK474" i="1"/>
  <c r="AW472" i="1"/>
  <c r="DI468" i="1"/>
  <c r="BQ465" i="1"/>
  <c r="AC463" i="1"/>
  <c r="DE459" i="1"/>
  <c r="BQ457" i="1"/>
  <c r="Y454" i="1"/>
  <c r="CO451" i="1"/>
  <c r="BA449" i="1"/>
  <c r="M447" i="1"/>
  <c r="CC444" i="1"/>
  <c r="P480" i="1"/>
  <c r="CF477" i="1"/>
  <c r="AN474" i="1"/>
  <c r="CZ470" i="1"/>
  <c r="BL468" i="1"/>
  <c r="T465" i="1"/>
  <c r="CJ462" i="1"/>
  <c r="BH459" i="1"/>
  <c r="T457" i="1"/>
  <c r="CF453" i="1"/>
  <c r="AR451" i="1"/>
  <c r="DH448" i="1"/>
  <c r="BT446" i="1"/>
  <c r="AF444" i="1"/>
  <c r="BS479" i="1"/>
  <c r="AE477" i="1"/>
  <c r="CQ473" i="1"/>
  <c r="AY470" i="1"/>
  <c r="K468" i="1"/>
  <c r="CM464" i="1"/>
  <c r="AY462" i="1"/>
  <c r="G459" i="1"/>
  <c r="BS455" i="1"/>
  <c r="AE453" i="1"/>
  <c r="CU450" i="1"/>
  <c r="BG448" i="1"/>
  <c r="S446" i="1"/>
  <c r="CI443" i="1"/>
  <c r="R479" i="1"/>
  <c r="CD475" i="1"/>
  <c r="AP473" i="1"/>
  <c r="N470" i="1"/>
  <c r="CD467" i="1"/>
  <c r="AL464" i="1"/>
  <c r="BZ477" i="1"/>
  <c r="J472" i="1"/>
  <c r="CP467" i="1"/>
  <c r="BZ463" i="1"/>
  <c r="N460" i="1"/>
  <c r="CD457" i="1"/>
  <c r="AL454" i="1"/>
  <c r="DB451" i="1"/>
  <c r="BN449" i="1"/>
  <c r="Z447" i="1"/>
  <c r="CP444" i="1"/>
  <c r="BP442" i="1"/>
  <c r="AB440" i="1"/>
  <c r="CR437" i="1"/>
  <c r="BD435" i="1"/>
  <c r="P433" i="1"/>
  <c r="CF430" i="1"/>
  <c r="AR428" i="1"/>
  <c r="DH425" i="1"/>
  <c r="BT423" i="1"/>
  <c r="AF421" i="1"/>
  <c r="CV418" i="1"/>
  <c r="BH416" i="1"/>
  <c r="T414" i="1"/>
  <c r="CJ411" i="1"/>
  <c r="AV409" i="1"/>
  <c r="H407" i="1"/>
  <c r="BS441" i="1"/>
  <c r="AE439" i="1"/>
  <c r="CU436" i="1"/>
  <c r="BG434" i="1"/>
  <c r="S432" i="1"/>
  <c r="CI429" i="1"/>
  <c r="AU427" i="1"/>
  <c r="G425" i="1"/>
  <c r="BW422" i="1"/>
  <c r="AI420" i="1"/>
  <c r="CY417" i="1"/>
  <c r="BK415" i="1"/>
  <c r="W413" i="1"/>
  <c r="CM410" i="1"/>
  <c r="AY408" i="1"/>
  <c r="K406" i="1"/>
  <c r="BN441" i="1"/>
  <c r="Z439" i="1"/>
  <c r="CP436" i="1"/>
  <c r="BB434" i="1"/>
  <c r="N432" i="1"/>
  <c r="CD429" i="1"/>
  <c r="AP427" i="1"/>
  <c r="DF424" i="1"/>
  <c r="BR422" i="1"/>
  <c r="AD420" i="1"/>
  <c r="CT417" i="1"/>
  <c r="BF415" i="1"/>
  <c r="R413" i="1"/>
  <c r="CH410" i="1"/>
  <c r="AT408" i="1"/>
  <c r="F406" i="1"/>
  <c r="BI441" i="1"/>
  <c r="U439" i="1"/>
  <c r="CK436" i="1"/>
  <c r="CP472" i="1"/>
  <c r="AT468" i="1"/>
  <c r="AD464" i="1"/>
  <c r="AP460" i="1"/>
  <c r="DF457" i="1"/>
  <c r="BN454" i="1"/>
  <c r="Z452" i="1"/>
  <c r="CP449" i="1"/>
  <c r="BB447" i="1"/>
  <c r="N445" i="1"/>
  <c r="CU442" i="1"/>
  <c r="BD440" i="1"/>
  <c r="P438" i="1"/>
  <c r="CF435" i="1"/>
  <c r="AR433" i="1"/>
  <c r="DH430" i="1"/>
  <c r="BT428" i="1"/>
  <c r="AF426" i="1"/>
  <c r="CV423" i="1"/>
  <c r="BH421" i="1"/>
  <c r="T419" i="1"/>
  <c r="CJ416" i="1"/>
  <c r="AV414" i="1"/>
  <c r="H412" i="1"/>
  <c r="BX409" i="1"/>
  <c r="AJ407" i="1"/>
  <c r="CU441" i="1"/>
  <c r="BG439" i="1"/>
  <c r="S437" i="1"/>
  <c r="CI434" i="1"/>
  <c r="AU432" i="1"/>
  <c r="G430" i="1"/>
  <c r="BW427" i="1"/>
  <c r="AI425" i="1"/>
  <c r="CY422" i="1"/>
  <c r="BK420" i="1"/>
  <c r="W418" i="1"/>
  <c r="CM415" i="1"/>
  <c r="AY413" i="1"/>
  <c r="K411" i="1"/>
  <c r="CA408" i="1"/>
  <c r="AM406" i="1"/>
  <c r="CP441" i="1"/>
  <c r="BB439" i="1"/>
  <c r="N437" i="1"/>
  <c r="CD434" i="1"/>
  <c r="AP432" i="1"/>
  <c r="DF429" i="1"/>
  <c r="BR427" i="1"/>
  <c r="AD425" i="1"/>
  <c r="CT422" i="1"/>
  <c r="BF420" i="1"/>
  <c r="R418" i="1"/>
  <c r="CH415" i="1"/>
  <c r="AT413" i="1"/>
  <c r="F411" i="1"/>
  <c r="BV408" i="1"/>
  <c r="AH406" i="1"/>
  <c r="CK441" i="1"/>
  <c r="AW439" i="1"/>
  <c r="I437" i="1"/>
  <c r="BF472" i="1"/>
  <c r="R468" i="1"/>
  <c r="DF463" i="1"/>
  <c r="V460" i="1"/>
  <c r="CL457" i="1"/>
  <c r="AT454" i="1"/>
  <c r="F452" i="1"/>
  <c r="BV449" i="1"/>
  <c r="AH447" i="1"/>
  <c r="CX444" i="1"/>
  <c r="BX442" i="1"/>
  <c r="AJ440" i="1"/>
  <c r="CZ437" i="1"/>
  <c r="BL435" i="1"/>
  <c r="X433" i="1"/>
  <c r="CN430" i="1"/>
  <c r="AZ428" i="1"/>
  <c r="L426" i="1"/>
  <c r="CB423" i="1"/>
  <c r="AN421" i="1"/>
  <c r="DD418" i="1"/>
  <c r="BP416" i="1"/>
  <c r="AB414" i="1"/>
  <c r="CR411" i="1"/>
  <c r="BD409" i="1"/>
  <c r="P407" i="1"/>
  <c r="CA441" i="1"/>
  <c r="AM439" i="1"/>
  <c r="DC436" i="1"/>
  <c r="BO434" i="1"/>
  <c r="AA432" i="1"/>
  <c r="CQ429" i="1"/>
  <c r="BC427" i="1"/>
  <c r="O425" i="1"/>
  <c r="CE422" i="1"/>
  <c r="AQ420" i="1"/>
  <c r="DG417" i="1"/>
  <c r="BS415" i="1"/>
  <c r="AE413" i="1"/>
  <c r="CU410" i="1"/>
  <c r="BG408" i="1"/>
  <c r="S406" i="1"/>
  <c r="BV441" i="1"/>
  <c r="AH439" i="1"/>
  <c r="CX436" i="1"/>
  <c r="BJ434" i="1"/>
  <c r="V432" i="1"/>
  <c r="CL429" i="1"/>
  <c r="AX427" i="1"/>
  <c r="J425" i="1"/>
  <c r="BZ422" i="1"/>
  <c r="AL420" i="1"/>
  <c r="DB417" i="1"/>
  <c r="BN415" i="1"/>
  <c r="Z413" i="1"/>
  <c r="CP410" i="1"/>
  <c r="BB408" i="1"/>
  <c r="N406" i="1"/>
  <c r="BQ441" i="1"/>
  <c r="AC439" i="1"/>
  <c r="CS436" i="1"/>
  <c r="BE434" i="1"/>
  <c r="CT473" i="1"/>
  <c r="N469" i="1"/>
  <c r="DB464" i="1"/>
  <c r="CT460" i="1"/>
  <c r="BF458" i="1"/>
  <c r="AD455" i="1"/>
  <c r="CT452" i="1"/>
  <c r="BF450" i="1"/>
  <c r="R448" i="1"/>
  <c r="CH445" i="1"/>
  <c r="AT443" i="1"/>
  <c r="T441" i="1"/>
  <c r="CJ438" i="1"/>
  <c r="AV436" i="1"/>
  <c r="H434" i="1"/>
  <c r="BX431" i="1"/>
  <c r="AJ429" i="1"/>
  <c r="CZ426" i="1"/>
  <c r="BL424" i="1"/>
  <c r="X422" i="1"/>
  <c r="CN419" i="1"/>
  <c r="AZ417" i="1"/>
  <c r="L415" i="1"/>
  <c r="CB412" i="1"/>
  <c r="AN410" i="1"/>
  <c r="DD407" i="1"/>
  <c r="BK442" i="1"/>
  <c r="W440" i="1"/>
  <c r="CM437" i="1"/>
  <c r="AY435" i="1"/>
  <c r="K433" i="1"/>
  <c r="CA430" i="1"/>
  <c r="AM428" i="1"/>
  <c r="DC425" i="1"/>
  <c r="BO423" i="1"/>
  <c r="AA421" i="1"/>
  <c r="CQ418" i="1"/>
  <c r="BC416" i="1"/>
  <c r="O414" i="1"/>
  <c r="CE411" i="1"/>
  <c r="AQ409" i="1"/>
  <c r="DG406" i="1"/>
  <c r="BF442" i="1"/>
  <c r="R440" i="1"/>
  <c r="CH437" i="1"/>
  <c r="AT435" i="1"/>
  <c r="F433" i="1"/>
  <c r="BV430" i="1"/>
  <c r="DB422" i="1"/>
  <c r="BB413" i="1"/>
  <c r="CS441" i="1"/>
  <c r="AK435" i="1"/>
  <c r="BM432" i="1"/>
  <c r="Y430" i="1"/>
  <c r="DD640" i="1"/>
  <c r="S624" i="1"/>
  <c r="L624" i="1"/>
  <c r="AU617" i="1"/>
  <c r="V612" i="1"/>
  <c r="AD611" i="1"/>
  <c r="BQ621" i="1"/>
  <c r="R605" i="1"/>
  <c r="AX606" i="1"/>
  <c r="AD606" i="1"/>
  <c r="AI605" i="1"/>
  <c r="AF602" i="1"/>
  <c r="AH593" i="1"/>
  <c r="AC586" i="1"/>
  <c r="DH606" i="1"/>
  <c r="DH589" i="1"/>
  <c r="CX588" i="1"/>
  <c r="CS588" i="1"/>
  <c r="AR587" i="1"/>
  <c r="I581" i="1"/>
  <c r="CA578" i="1"/>
  <c r="P569" i="1"/>
  <c r="K569" i="1"/>
  <c r="CK580" i="1"/>
  <c r="BG578" i="1"/>
  <c r="CZ568" i="1"/>
  <c r="CU568" i="1"/>
  <c r="DA579" i="1"/>
  <c r="CU577" i="1"/>
  <c r="AJ568" i="1"/>
  <c r="AE568" i="1"/>
  <c r="Q579" i="1"/>
  <c r="BO582" i="1"/>
  <c r="AH582" i="1"/>
  <c r="DH572" i="1"/>
  <c r="BH563" i="1"/>
  <c r="DC572" i="1"/>
  <c r="BC563" i="1"/>
  <c r="AD573" i="1"/>
  <c r="CH563" i="1"/>
  <c r="AP563" i="1"/>
  <c r="I572" i="1"/>
  <c r="BM562" i="1"/>
  <c r="CM552" i="1"/>
  <c r="AM543" i="1"/>
  <c r="CH552" i="1"/>
  <c r="AH543" i="1"/>
  <c r="BQ552" i="1"/>
  <c r="AX568" i="1"/>
  <c r="DB556" i="1"/>
  <c r="AS566" i="1"/>
  <c r="CW556" i="1"/>
  <c r="S547" i="1"/>
  <c r="BW537" i="1"/>
  <c r="N547" i="1"/>
  <c r="BD556" i="1"/>
  <c r="V568" i="1"/>
  <c r="CH556" i="1"/>
  <c r="Y566" i="1"/>
  <c r="BF556" i="1"/>
  <c r="DC546" i="1"/>
  <c r="AZ556" i="1"/>
  <c r="CX546" i="1"/>
  <c r="AC556" i="1"/>
  <c r="V564" i="1"/>
  <c r="BY572" i="1"/>
  <c r="Y563" i="1"/>
  <c r="AY553" i="1"/>
  <c r="DC543" i="1"/>
  <c r="AT553" i="1"/>
  <c r="CX543" i="1"/>
  <c r="AC553" i="1"/>
  <c r="CG543" i="1"/>
  <c r="CO544" i="1"/>
  <c r="AR552" i="1"/>
  <c r="CV542" i="1"/>
  <c r="AN533" i="1"/>
  <c r="CR523" i="1"/>
  <c r="CQ533" i="1"/>
  <c r="AQ524" i="1"/>
  <c r="V534" i="1"/>
  <c r="CS548" i="1"/>
  <c r="BL554" i="1"/>
  <c r="L545" i="1"/>
  <c r="BH535" i="1"/>
  <c r="H526" i="1"/>
  <c r="G536" i="1"/>
  <c r="BK526" i="1"/>
  <c r="AP536" i="1"/>
  <c r="CW544" i="1"/>
  <c r="AZ552" i="1"/>
  <c r="DD542" i="1"/>
  <c r="AV533" i="1"/>
  <c r="CZ523" i="1"/>
  <c r="CY533" i="1"/>
  <c r="AY524" i="1"/>
  <c r="AD534" i="1"/>
  <c r="BY544" i="1"/>
  <c r="AF552" i="1"/>
  <c r="CJ542" i="1"/>
  <c r="AB533" i="1"/>
  <c r="CF523" i="1"/>
  <c r="CE533" i="1"/>
  <c r="AE524" i="1"/>
  <c r="J534" i="1"/>
  <c r="BN524" i="1"/>
  <c r="CT519" i="1"/>
  <c r="BA529" i="1"/>
  <c r="DE519" i="1"/>
  <c r="AE510" i="1"/>
  <c r="CI500" i="1"/>
  <c r="AI491" i="1"/>
  <c r="CM481" i="1"/>
  <c r="Z510" i="1"/>
  <c r="CD500" i="1"/>
  <c r="AD491" i="1"/>
  <c r="CH481" i="1"/>
  <c r="U510" i="1"/>
  <c r="BY500" i="1"/>
  <c r="Y491" i="1"/>
  <c r="CC481" i="1"/>
  <c r="DH509" i="1"/>
  <c r="N519" i="1"/>
  <c r="BY528" i="1"/>
  <c r="Y519" i="1"/>
  <c r="BC509" i="1"/>
  <c r="DG499" i="1"/>
  <c r="CQ491" i="1"/>
  <c r="K486" i="1"/>
  <c r="AM481" i="1"/>
  <c r="BB514" i="1"/>
  <c r="CD509" i="1"/>
  <c r="DF504" i="1"/>
  <c r="AD500" i="1"/>
  <c r="BF495" i="1"/>
  <c r="CH490" i="1"/>
  <c r="F486" i="1"/>
  <c r="AH481" i="1"/>
  <c r="AW514" i="1"/>
  <c r="BY509" i="1"/>
  <c r="DA504" i="1"/>
  <c r="Y500" i="1"/>
  <c r="BA495" i="1"/>
  <c r="CC490" i="1"/>
  <c r="DE485" i="1"/>
  <c r="AC481" i="1"/>
  <c r="AF514" i="1"/>
  <c r="N526" i="1"/>
  <c r="N520" i="1"/>
  <c r="AW534" i="1"/>
  <c r="BY529" i="1"/>
  <c r="DA524" i="1"/>
  <c r="Y520" i="1"/>
  <c r="AA515" i="1"/>
  <c r="BC510" i="1"/>
  <c r="CE505" i="1"/>
  <c r="DG500" i="1"/>
  <c r="AE496" i="1"/>
  <c r="BG491" i="1"/>
  <c r="CI486" i="1"/>
  <c r="G482" i="1"/>
  <c r="V515" i="1"/>
  <c r="AX510" i="1"/>
  <c r="BZ505" i="1"/>
  <c r="DB500" i="1"/>
  <c r="Z496" i="1"/>
  <c r="BB491" i="1"/>
  <c r="CD486" i="1"/>
  <c r="DF481" i="1"/>
  <c r="Q515" i="1"/>
  <c r="AS510" i="1"/>
  <c r="BU505" i="1"/>
  <c r="CW500" i="1"/>
  <c r="U496" i="1"/>
  <c r="AW491" i="1"/>
  <c r="BY486" i="1"/>
  <c r="DA481" i="1"/>
  <c r="DD514" i="1"/>
  <c r="AL524" i="1"/>
  <c r="CT518" i="1"/>
  <c r="Y533" i="1"/>
  <c r="BA528" i="1"/>
  <c r="CC523" i="1"/>
  <c r="DE518" i="1"/>
  <c r="DG513" i="1"/>
  <c r="AE509" i="1"/>
  <c r="BG504" i="1"/>
  <c r="CI499" i="1"/>
  <c r="G495" i="1"/>
  <c r="AI490" i="1"/>
  <c r="BK485" i="1"/>
  <c r="CM480" i="1"/>
  <c r="DB513" i="1"/>
  <c r="Z509" i="1"/>
  <c r="BB504" i="1"/>
  <c r="CD499" i="1"/>
  <c r="DF494" i="1"/>
  <c r="AD490" i="1"/>
  <c r="BF485" i="1"/>
  <c r="CH480" i="1"/>
  <c r="CW513" i="1"/>
  <c r="U509" i="1"/>
  <c r="AW504" i="1"/>
  <c r="BY499" i="1"/>
  <c r="DA494" i="1"/>
  <c r="Y490" i="1"/>
  <c r="BA485" i="1"/>
  <c r="BU518" i="1"/>
  <c r="CF513" i="1"/>
  <c r="DH508" i="1"/>
  <c r="CZ506" i="1"/>
  <c r="X502" i="1"/>
  <c r="AZ497" i="1"/>
  <c r="CB492" i="1"/>
  <c r="DD487" i="1"/>
  <c r="AB483" i="1"/>
  <c r="BA478" i="1"/>
  <c r="BY472" i="1"/>
  <c r="DI465" i="1"/>
  <c r="AC460" i="1"/>
  <c r="BA454" i="1"/>
  <c r="CC449" i="1"/>
  <c r="DE444" i="1"/>
  <c r="DH477" i="1"/>
  <c r="AB472" i="1"/>
  <c r="BL465" i="1"/>
  <c r="CJ459" i="1"/>
  <c r="DH453" i="1"/>
  <c r="AF449" i="1"/>
  <c r="BH444" i="1"/>
  <c r="BG477" i="1"/>
  <c r="CQ470" i="1"/>
  <c r="K465" i="1"/>
  <c r="AI459" i="1"/>
  <c r="BG453" i="1"/>
  <c r="CI448" i="1"/>
  <c r="G444" i="1"/>
  <c r="F477" i="1"/>
  <c r="BL510" i="1"/>
  <c r="AB504" i="1"/>
  <c r="BD499" i="1"/>
  <c r="CF494" i="1"/>
  <c r="DH489" i="1"/>
  <c r="AF485" i="1"/>
  <c r="BE480" i="1"/>
  <c r="CC474" i="1"/>
  <c r="M469" i="1"/>
  <c r="AK463" i="1"/>
  <c r="BI457" i="1"/>
  <c r="CG451" i="1"/>
  <c r="DI446" i="1"/>
  <c r="H480" i="1"/>
  <c r="AF474" i="1"/>
  <c r="BT468" i="1"/>
  <c r="CR462" i="1"/>
  <c r="L457" i="1"/>
  <c r="BD452" i="1"/>
  <c r="AB449" i="1"/>
  <c r="AF446" i="1"/>
  <c r="CV443" i="1"/>
  <c r="AE479" i="1"/>
  <c r="DG475" i="1"/>
  <c r="BS473" i="1"/>
  <c r="AA470" i="1"/>
  <c r="CQ467" i="1"/>
  <c r="AY464" i="1"/>
  <c r="K462" i="1"/>
  <c r="BW458" i="1"/>
  <c r="AU455" i="1"/>
  <c r="G453" i="1"/>
  <c r="BW450" i="1"/>
  <c r="AI448" i="1"/>
  <c r="CY445" i="1"/>
  <c r="BK443" i="1"/>
  <c r="CX478" i="1"/>
  <c r="H509" i="1"/>
  <c r="CN505" i="1"/>
  <c r="AZ503" i="1"/>
  <c r="L501" i="1"/>
  <c r="CB498" i="1"/>
  <c r="AN496" i="1"/>
  <c r="DD493" i="1"/>
  <c r="BP491" i="1"/>
  <c r="AB489" i="1"/>
  <c r="CR486" i="1"/>
  <c r="BD484" i="1"/>
  <c r="P482" i="1"/>
  <c r="CC479" i="1"/>
  <c r="AO477" i="1"/>
  <c r="M474" i="1"/>
  <c r="BY470" i="1"/>
  <c r="I521" i="1"/>
  <c r="AM511" i="1"/>
  <c r="CQ501" i="1"/>
  <c r="AQ492" i="1"/>
  <c r="CU482" i="1"/>
  <c r="AH511" i="1"/>
  <c r="CL501" i="1"/>
  <c r="AL492" i="1"/>
  <c r="CP482" i="1"/>
  <c r="AC511" i="1"/>
  <c r="CG501" i="1"/>
  <c r="AG492" i="1"/>
  <c r="CK482" i="1"/>
  <c r="CN515" i="1"/>
  <c r="L511" i="1"/>
  <c r="BX510" i="1"/>
  <c r="AF504" i="1"/>
  <c r="BH499" i="1"/>
  <c r="CJ494" i="1"/>
  <c r="AB491" i="1"/>
  <c r="CR488" i="1"/>
  <c r="BD486" i="1"/>
  <c r="P484" i="1"/>
  <c r="CF481" i="1"/>
  <c r="AO479" i="1"/>
  <c r="DA475" i="1"/>
  <c r="BM473" i="1"/>
  <c r="U470" i="1"/>
  <c r="CK467" i="1"/>
  <c r="BI464" i="1"/>
  <c r="U462" i="1"/>
  <c r="CG458" i="1"/>
  <c r="AO455" i="1"/>
  <c r="DE452" i="1"/>
  <c r="BQ450" i="1"/>
  <c r="AC448" i="1"/>
  <c r="CS445" i="1"/>
  <c r="BE443" i="1"/>
  <c r="CV478" i="1"/>
  <c r="BD475" i="1"/>
  <c r="P473" i="1"/>
  <c r="CB469" i="1"/>
  <c r="AN467" i="1"/>
  <c r="L464" i="1"/>
  <c r="BX460" i="1"/>
  <c r="AJ458" i="1"/>
  <c r="CV454" i="1"/>
  <c r="BH452" i="1"/>
  <c r="T450" i="1"/>
  <c r="CJ447" i="1"/>
  <c r="AV445" i="1"/>
  <c r="H443" i="1"/>
  <c r="AU478" i="1"/>
  <c r="DG474" i="1"/>
  <c r="BS472" i="1"/>
  <c r="AQ469" i="1"/>
  <c r="DC465" i="1"/>
  <c r="BO463" i="1"/>
  <c r="W460" i="1"/>
  <c r="CM457" i="1"/>
  <c r="AU454" i="1"/>
  <c r="G452" i="1"/>
  <c r="BW449" i="1"/>
  <c r="AI447" i="1"/>
  <c r="CY444" i="1"/>
  <c r="AH480" i="1"/>
  <c r="CX477" i="1"/>
  <c r="BV474" i="1"/>
  <c r="AH472" i="1"/>
  <c r="BT507" i="1"/>
  <c r="P505" i="1"/>
  <c r="CF502" i="1"/>
  <c r="AR500" i="1"/>
  <c r="DH497" i="1"/>
  <c r="BT495" i="1"/>
  <c r="AF493" i="1"/>
  <c r="CV490" i="1"/>
  <c r="BH488" i="1"/>
  <c r="T486" i="1"/>
  <c r="CJ483" i="1"/>
  <c r="AV481" i="1"/>
  <c r="DI478" i="1"/>
  <c r="BQ475" i="1"/>
  <c r="AC473" i="1"/>
  <c r="DE469" i="1"/>
  <c r="BQ467" i="1"/>
  <c r="Y464" i="1"/>
  <c r="CK460" i="1"/>
  <c r="AW458" i="1"/>
  <c r="DI454" i="1"/>
  <c r="BU452" i="1"/>
  <c r="AG450" i="1"/>
  <c r="CW447" i="1"/>
  <c r="BI445" i="1"/>
  <c r="U443" i="1"/>
  <c r="BL478" i="1"/>
  <c r="T475" i="1"/>
  <c r="CJ472" i="1"/>
  <c r="BH469" i="1"/>
  <c r="T467" i="1"/>
  <c r="CF463" i="1"/>
  <c r="AN460" i="1"/>
  <c r="DD457" i="1"/>
  <c r="CN651" i="1"/>
  <c r="AG633" i="1"/>
  <c r="DD627" i="1"/>
  <c r="BN626" i="1"/>
  <c r="BE621" i="1"/>
  <c r="G617" i="1"/>
  <c r="CK609" i="1"/>
  <c r="CQ594" i="1"/>
  <c r="W597" i="1"/>
  <c r="BC598" i="1"/>
  <c r="AI598" i="1"/>
  <c r="BH605" i="1"/>
  <c r="BH588" i="1"/>
  <c r="AS593" i="1"/>
  <c r="AU608" i="1"/>
  <c r="AM603" i="1"/>
  <c r="BJ598" i="1"/>
  <c r="BE598" i="1"/>
  <c r="AZ587" i="1"/>
  <c r="CG581" i="1"/>
  <c r="P579" i="1"/>
  <c r="BJ578" i="1"/>
  <c r="CJ559" i="1"/>
  <c r="CE559" i="1"/>
  <c r="CZ578" i="1"/>
  <c r="AP578" i="1"/>
  <c r="BP559" i="1"/>
  <c r="BK559" i="1"/>
  <c r="AJ578" i="1"/>
  <c r="CD577" i="1"/>
  <c r="DD558" i="1"/>
  <c r="CY558" i="1"/>
  <c r="CB578" i="1"/>
  <c r="DG577" i="1"/>
  <c r="BZ577" i="1"/>
  <c r="AV568" i="1"/>
  <c r="CZ558" i="1"/>
  <c r="AQ568" i="1"/>
  <c r="CU558" i="1"/>
  <c r="BV568" i="1"/>
  <c r="CT569" i="1"/>
  <c r="F558" i="1"/>
  <c r="BA567" i="1"/>
  <c r="DE557" i="1"/>
  <c r="AA548" i="1"/>
  <c r="CE538" i="1"/>
  <c r="V548" i="1"/>
  <c r="BZ538" i="1"/>
  <c r="DI547" i="1"/>
  <c r="AL562" i="1"/>
  <c r="AG571" i="1"/>
  <c r="CK561" i="1"/>
  <c r="G552" i="1"/>
  <c r="BK542" i="1"/>
  <c r="DF551" i="1"/>
  <c r="BF542" i="1"/>
  <c r="CO551" i="1"/>
  <c r="J562" i="1"/>
  <c r="M571" i="1"/>
  <c r="BQ561" i="1"/>
  <c r="CQ551" i="1"/>
  <c r="AQ542" i="1"/>
  <c r="CL551" i="1"/>
  <c r="AL542" i="1"/>
  <c r="BZ570" i="1"/>
  <c r="BV558" i="1"/>
  <c r="M568" i="1"/>
  <c r="BQ558" i="1"/>
  <c r="CQ548" i="1"/>
  <c r="AQ539" i="1"/>
  <c r="CL548" i="1"/>
  <c r="AL539" i="1"/>
  <c r="BU548" i="1"/>
  <c r="U539" i="1"/>
  <c r="BY538" i="1"/>
  <c r="CJ547" i="1"/>
  <c r="AJ538" i="1"/>
  <c r="CF528" i="1"/>
  <c r="AF519" i="1"/>
  <c r="AE529" i="1"/>
  <c r="CI519" i="1"/>
  <c r="BN529" i="1"/>
  <c r="BQ541" i="1"/>
  <c r="DD549" i="1"/>
  <c r="BD540" i="1"/>
  <c r="CZ530" i="1"/>
  <c r="AZ521" i="1"/>
  <c r="AY531" i="1"/>
  <c r="DC521" i="1"/>
  <c r="CH531" i="1"/>
  <c r="CK538" i="1"/>
  <c r="CR547" i="1"/>
  <c r="AR538" i="1"/>
  <c r="CN528" i="1"/>
  <c r="AN519" i="1"/>
  <c r="AM529" i="1"/>
  <c r="CQ519" i="1"/>
  <c r="BV529" i="1"/>
  <c r="BI538" i="1"/>
  <c r="BX547" i="1"/>
  <c r="X538" i="1"/>
  <c r="BT528" i="1"/>
  <c r="T519" i="1"/>
  <c r="S529" i="1"/>
  <c r="BW519" i="1"/>
  <c r="BB529" i="1"/>
  <c r="DB525" i="1"/>
  <c r="AO534" i="1"/>
  <c r="CS524" i="1"/>
  <c r="S515" i="1"/>
  <c r="BW505" i="1"/>
  <c r="W496" i="1"/>
  <c r="CA486" i="1"/>
  <c r="N515" i="1"/>
  <c r="BR505" i="1"/>
  <c r="R496" i="1"/>
  <c r="BV486" i="1"/>
  <c r="I515" i="1"/>
  <c r="BM505" i="1"/>
  <c r="M496" i="1"/>
  <c r="BQ486" i="1"/>
  <c r="CV514" i="1"/>
  <c r="CL524" i="1"/>
  <c r="BM533" i="1"/>
  <c r="M524" i="1"/>
  <c r="AQ514" i="1"/>
  <c r="CU504" i="1"/>
  <c r="AU495" i="1"/>
  <c r="CU488" i="1"/>
  <c r="CQ483" i="1"/>
  <c r="DF516" i="1"/>
  <c r="AD512" i="1"/>
  <c r="BF507" i="1"/>
  <c r="CH502" i="1"/>
  <c r="F498" i="1"/>
  <c r="AH493" i="1"/>
  <c r="BJ488" i="1"/>
  <c r="CL483" i="1"/>
  <c r="DA516" i="1"/>
  <c r="Y512" i="1"/>
  <c r="BA507" i="1"/>
  <c r="CC502" i="1"/>
  <c r="DE497" i="1"/>
  <c r="AC493" i="1"/>
  <c r="BE488" i="1"/>
  <c r="CG483" i="1"/>
  <c r="CJ516" i="1"/>
  <c r="H512" i="1"/>
  <c r="DF522" i="1"/>
  <c r="DA536" i="1"/>
  <c r="Y532" i="1"/>
  <c r="BA527" i="1"/>
  <c r="CC522" i="1"/>
  <c r="CE517" i="1"/>
  <c r="DG512" i="1"/>
  <c r="AE508" i="1"/>
  <c r="BG503" i="1"/>
  <c r="CI498" i="1"/>
  <c r="G494" i="1"/>
  <c r="AI489" i="1"/>
  <c r="BK484" i="1"/>
  <c r="BZ517" i="1"/>
  <c r="DB512" i="1"/>
  <c r="Z508" i="1"/>
  <c r="BB503" i="1"/>
  <c r="CD498" i="1"/>
  <c r="DF493" i="1"/>
  <c r="AD489" i="1"/>
  <c r="BF484" i="1"/>
  <c r="BU517" i="1"/>
  <c r="CW512" i="1"/>
  <c r="U508" i="1"/>
  <c r="AW503" i="1"/>
  <c r="BY498" i="1"/>
  <c r="DA493" i="1"/>
  <c r="Y489" i="1"/>
  <c r="BA484" i="1"/>
  <c r="BD517" i="1"/>
  <c r="AT529" i="1"/>
  <c r="AT521" i="1"/>
  <c r="CC535" i="1"/>
  <c r="DE530" i="1"/>
  <c r="AC526" i="1"/>
  <c r="BE521" i="1"/>
  <c r="BG516" i="1"/>
  <c r="CI511" i="1"/>
  <c r="G507" i="1"/>
  <c r="AI502" i="1"/>
  <c r="BK497" i="1"/>
  <c r="CM492" i="1"/>
  <c r="K488" i="1"/>
  <c r="AM483" i="1"/>
  <c r="BB516" i="1"/>
  <c r="CD511" i="1"/>
  <c r="DF506" i="1"/>
  <c r="AD502" i="1"/>
  <c r="BF497" i="1"/>
  <c r="CH492" i="1"/>
  <c r="F488" i="1"/>
  <c r="AH483" i="1"/>
  <c r="AW516" i="1"/>
  <c r="BY511" i="1"/>
  <c r="DA506" i="1"/>
  <c r="Y502" i="1"/>
  <c r="BA497" i="1"/>
  <c r="CC492" i="1"/>
  <c r="DE487" i="1"/>
  <c r="AC483" i="1"/>
  <c r="AF516" i="1"/>
  <c r="BH511" i="1"/>
  <c r="T512" i="1"/>
  <c r="CB504" i="1"/>
  <c r="DD499" i="1"/>
  <c r="AB495" i="1"/>
  <c r="BD490" i="1"/>
  <c r="CF485" i="1"/>
  <c r="DH480" i="1"/>
  <c r="Y475" i="1"/>
  <c r="AW469" i="1"/>
  <c r="CK463" i="1"/>
  <c r="DI457" i="1"/>
  <c r="AC452" i="1"/>
  <c r="BE447" i="1"/>
  <c r="BH480" i="1"/>
  <c r="CF474" i="1"/>
  <c r="DD468" i="1"/>
  <c r="AN463" i="1"/>
  <c r="BL457" i="1"/>
  <c r="CJ451" i="1"/>
  <c r="H447" i="1"/>
  <c r="G480" i="1"/>
  <c r="AE474" i="1"/>
  <c r="BS468" i="1"/>
  <c r="CQ462" i="1"/>
  <c r="K457" i="1"/>
  <c r="AI451" i="1"/>
  <c r="BK446" i="1"/>
  <c r="BJ479" i="1"/>
  <c r="CX473" i="1"/>
  <c r="CF506" i="1"/>
  <c r="DH501" i="1"/>
  <c r="AF497" i="1"/>
  <c r="BH492" i="1"/>
  <c r="CJ487" i="1"/>
  <c r="H483" i="1"/>
  <c r="AG478" i="1"/>
  <c r="BE472" i="1"/>
  <c r="CO465" i="1"/>
  <c r="I460" i="1"/>
  <c r="AG454" i="1"/>
  <c r="BI449" i="1"/>
  <c r="CK444" i="1"/>
  <c r="CN477" i="1"/>
  <c r="H472" i="1"/>
  <c r="AR465" i="1"/>
  <c r="BP459" i="1"/>
  <c r="AF454" i="1"/>
  <c r="DH450" i="1"/>
  <c r="CV447" i="1"/>
  <c r="AB445" i="1"/>
  <c r="BO480" i="1"/>
  <c r="AA478" i="1"/>
  <c r="DC474" i="1"/>
  <c r="BO472" i="1"/>
  <c r="W469" i="1"/>
  <c r="CI465" i="1"/>
  <c r="AU463" i="1"/>
  <c r="DG459" i="1"/>
  <c r="BS457" i="1"/>
  <c r="AQ454" i="1"/>
  <c r="DG451" i="1"/>
  <c r="BS449" i="1"/>
  <c r="AE447" i="1"/>
  <c r="CU444" i="1"/>
  <c r="AD480" i="1"/>
  <c r="AZ512" i="1"/>
  <c r="X507" i="1"/>
  <c r="CJ504" i="1"/>
  <c r="AV502" i="1"/>
  <c r="H500" i="1"/>
  <c r="BX497" i="1"/>
  <c r="AJ495" i="1"/>
  <c r="CZ492" i="1"/>
  <c r="BL490" i="1"/>
  <c r="X488" i="1"/>
  <c r="CN485" i="1"/>
  <c r="AZ483" i="1"/>
  <c r="L481" i="1"/>
  <c r="BY478" i="1"/>
  <c r="AW475" i="1"/>
  <c r="I473" i="1"/>
  <c r="BU469" i="1"/>
  <c r="AG467" i="1"/>
  <c r="CS463" i="1"/>
  <c r="BA460" i="1"/>
  <c r="M458" i="1"/>
  <c r="CO454" i="1"/>
  <c r="BA452" i="1"/>
  <c r="M450" i="1"/>
  <c r="CC447" i="1"/>
  <c r="AO445" i="1"/>
  <c r="DE442" i="1"/>
  <c r="AR478" i="1"/>
  <c r="P475" i="1"/>
  <c r="CF472" i="1"/>
  <c r="AN469" i="1"/>
  <c r="CZ465" i="1"/>
  <c r="BL463" i="1"/>
  <c r="T460" i="1"/>
  <c r="CJ457" i="1"/>
  <c r="BH454" i="1"/>
  <c r="T452" i="1"/>
  <c r="CJ449" i="1"/>
  <c r="AV447" i="1"/>
  <c r="H445" i="1"/>
  <c r="AU480" i="1"/>
  <c r="G478" i="1"/>
  <c r="BS474" i="1"/>
  <c r="AE472" i="1"/>
  <c r="CQ468" i="1"/>
  <c r="AY465" i="1"/>
  <c r="K463" i="1"/>
  <c r="CM459" i="1"/>
  <c r="AY457" i="1"/>
  <c r="G454" i="1"/>
  <c r="BW451" i="1"/>
  <c r="AI449" i="1"/>
  <c r="CY446" i="1"/>
  <c r="BK444" i="1"/>
  <c r="CX479" i="1"/>
  <c r="BH509" i="1"/>
  <c r="L506" i="1"/>
  <c r="CB503" i="1"/>
  <c r="AN501" i="1"/>
  <c r="DD498" i="1"/>
  <c r="BP496" i="1"/>
  <c r="AB494" i="1"/>
  <c r="CR491" i="1"/>
  <c r="BD489" i="1"/>
  <c r="P487" i="1"/>
  <c r="CF484" i="1"/>
  <c r="AR482" i="1"/>
  <c r="DE479" i="1"/>
  <c r="BQ477" i="1"/>
  <c r="Y474" i="1"/>
  <c r="CK470" i="1"/>
  <c r="AW468" i="1"/>
  <c r="DI464" i="1"/>
  <c r="BU462" i="1"/>
  <c r="AS459" i="1"/>
  <c r="DE455" i="1"/>
  <c r="BQ453" i="1"/>
  <c r="AC451" i="1"/>
  <c r="CS448" i="1"/>
  <c r="BE446" i="1"/>
  <c r="Q444" i="1"/>
  <c r="BH479" i="1"/>
  <c r="T477" i="1"/>
  <c r="CF473" i="1"/>
  <c r="AN470" i="1"/>
  <c r="DD467" i="1"/>
  <c r="BL464" i="1"/>
  <c r="X462" i="1"/>
  <c r="CZ458" i="1"/>
  <c r="BH455" i="1"/>
  <c r="T453" i="1"/>
  <c r="CJ450" i="1"/>
  <c r="AV448" i="1"/>
  <c r="H446" i="1"/>
  <c r="BX443" i="1"/>
  <c r="G479" i="1"/>
  <c r="BS475" i="1"/>
  <c r="AE473" i="1"/>
  <c r="CQ469" i="1"/>
  <c r="BC467" i="1"/>
  <c r="AA464" i="1"/>
  <c r="CM460" i="1"/>
  <c r="AY458" i="1"/>
  <c r="G455" i="1"/>
  <c r="BW452" i="1"/>
  <c r="AI450" i="1"/>
  <c r="CY447" i="1"/>
  <c r="BK445" i="1"/>
  <c r="W443" i="1"/>
  <c r="BJ478" i="1"/>
  <c r="R475" i="1"/>
  <c r="CH472" i="1"/>
  <c r="BF469" i="1"/>
  <c r="R467" i="1"/>
  <c r="CD463" i="1"/>
  <c r="BR475" i="1"/>
  <c r="Z470" i="1"/>
  <c r="J467" i="1"/>
  <c r="CX462" i="1"/>
  <c r="BF459" i="1"/>
  <c r="R457" i="1"/>
  <c r="CD453" i="1"/>
  <c r="AP451" i="1"/>
  <c r="DF448" i="1"/>
  <c r="BR446" i="1"/>
  <c r="AD444" i="1"/>
  <c r="DH441" i="1"/>
  <c r="BT439" i="1"/>
  <c r="AF437" i="1"/>
  <c r="CV434" i="1"/>
  <c r="BH432" i="1"/>
  <c r="T430" i="1"/>
  <c r="CJ427" i="1"/>
  <c r="AV425" i="1"/>
  <c r="H423" i="1"/>
  <c r="BX420" i="1"/>
  <c r="AJ418" i="1"/>
  <c r="CZ415" i="1"/>
  <c r="BL413" i="1"/>
  <c r="X411" i="1"/>
  <c r="CN408" i="1"/>
  <c r="AZ406" i="1"/>
  <c r="G441" i="1"/>
  <c r="BW438" i="1"/>
  <c r="AI436" i="1"/>
  <c r="CY433" i="1"/>
  <c r="BK431" i="1"/>
  <c r="W429" i="1"/>
  <c r="CM426" i="1"/>
  <c r="AY424" i="1"/>
  <c r="K422" i="1"/>
  <c r="CA419" i="1"/>
  <c r="AM417" i="1"/>
  <c r="DC414" i="1"/>
  <c r="BO412" i="1"/>
  <c r="AA410" i="1"/>
  <c r="CQ407" i="1"/>
  <c r="BC405" i="1"/>
  <c r="DF440" i="1"/>
  <c r="BR438" i="1"/>
  <c r="AD436" i="1"/>
  <c r="CT433" i="1"/>
  <c r="BF431" i="1"/>
  <c r="R429" i="1"/>
  <c r="CH426" i="1"/>
  <c r="AT424" i="1"/>
  <c r="F422" i="1"/>
  <c r="BV419" i="1"/>
  <c r="AH417" i="1"/>
  <c r="CX414" i="1"/>
  <c r="BJ412" i="1"/>
  <c r="V410" i="1"/>
  <c r="CL407" i="1"/>
  <c r="AX405" i="1"/>
  <c r="DA440" i="1"/>
  <c r="BM438" i="1"/>
  <c r="BN477" i="1"/>
  <c r="CH470" i="1"/>
  <c r="BR467" i="1"/>
  <c r="BB463" i="1"/>
  <c r="CH459" i="1"/>
  <c r="AT457" i="1"/>
  <c r="DF453" i="1"/>
  <c r="BR451" i="1"/>
  <c r="AD449" i="1"/>
  <c r="CT446" i="1"/>
  <c r="BF444" i="1"/>
  <c r="AF442" i="1"/>
  <c r="CV439" i="1"/>
  <c r="BH437" i="1"/>
  <c r="T435" i="1"/>
  <c r="CJ432" i="1"/>
  <c r="AV430" i="1"/>
  <c r="H428" i="1"/>
  <c r="BX425" i="1"/>
  <c r="AJ423" i="1"/>
  <c r="CZ420" i="1"/>
  <c r="BL418" i="1"/>
  <c r="X416" i="1"/>
  <c r="CN413" i="1"/>
  <c r="AZ411" i="1"/>
  <c r="L409" i="1"/>
  <c r="CB406" i="1"/>
  <c r="AI441" i="1"/>
  <c r="CY438" i="1"/>
  <c r="BK436" i="1"/>
  <c r="W434" i="1"/>
  <c r="CM431" i="1"/>
  <c r="AY429" i="1"/>
  <c r="K427" i="1"/>
  <c r="CA424" i="1"/>
  <c r="AM422" i="1"/>
  <c r="DC419" i="1"/>
  <c r="BO417" i="1"/>
  <c r="AA415" i="1"/>
  <c r="CQ412" i="1"/>
  <c r="BC410" i="1"/>
  <c r="O408" i="1"/>
  <c r="CE405" i="1"/>
  <c r="AD441" i="1"/>
  <c r="CT438" i="1"/>
  <c r="BF436" i="1"/>
  <c r="R434" i="1"/>
  <c r="CH431" i="1"/>
  <c r="AT429" i="1"/>
  <c r="F427" i="1"/>
  <c r="BV424" i="1"/>
  <c r="AH422" i="1"/>
  <c r="CX419" i="1"/>
  <c r="BJ417" i="1"/>
  <c r="V415" i="1"/>
  <c r="CL412" i="1"/>
  <c r="AX410" i="1"/>
  <c r="J408" i="1"/>
  <c r="BZ405" i="1"/>
  <c r="Y441" i="1"/>
  <c r="CO438" i="1"/>
  <c r="AD477" i="1"/>
  <c r="BF470" i="1"/>
  <c r="AP467" i="1"/>
  <c r="Z463" i="1"/>
  <c r="BN459" i="1"/>
  <c r="Z457" i="1"/>
  <c r="CL453" i="1"/>
  <c r="AX451" i="1"/>
  <c r="J449" i="1"/>
  <c r="BZ446" i="1"/>
  <c r="AL444" i="1"/>
  <c r="L442" i="1"/>
  <c r="CB439" i="1"/>
  <c r="AN437" i="1"/>
  <c r="DD434" i="1"/>
  <c r="BP432" i="1"/>
  <c r="AB430" i="1"/>
  <c r="CR427" i="1"/>
  <c r="BD425" i="1"/>
  <c r="P423" i="1"/>
  <c r="CF420" i="1"/>
  <c r="AR418" i="1"/>
  <c r="DH415" i="1"/>
  <c r="BT413" i="1"/>
  <c r="AF411" i="1"/>
  <c r="CV408" i="1"/>
  <c r="BH406" i="1"/>
  <c r="O441" i="1"/>
  <c r="CE438" i="1"/>
  <c r="AQ436" i="1"/>
  <c r="DG433" i="1"/>
  <c r="BS431" i="1"/>
  <c r="AE429" i="1"/>
  <c r="CU426" i="1"/>
  <c r="BG424" i="1"/>
  <c r="S422" i="1"/>
  <c r="CI419" i="1"/>
  <c r="AU417" i="1"/>
  <c r="G415" i="1"/>
  <c r="BW412" i="1"/>
  <c r="AI410" i="1"/>
  <c r="CY407" i="1"/>
  <c r="BK405" i="1"/>
  <c r="J441" i="1"/>
  <c r="BZ438" i="1"/>
  <c r="AL436" i="1"/>
  <c r="DB433" i="1"/>
  <c r="BN431" i="1"/>
  <c r="Z429" i="1"/>
  <c r="CP426" i="1"/>
  <c r="BB424" i="1"/>
  <c r="N422" i="1"/>
  <c r="CD419" i="1"/>
  <c r="AP417" i="1"/>
  <c r="DF414" i="1"/>
  <c r="BR412" i="1"/>
  <c r="AD410" i="1"/>
  <c r="CT407" i="1"/>
  <c r="BF405" i="1"/>
  <c r="DI440" i="1"/>
  <c r="BU438" i="1"/>
  <c r="AG436" i="1"/>
  <c r="CW433" i="1"/>
  <c r="BZ472" i="1"/>
  <c r="AH468" i="1"/>
  <c r="R464" i="1"/>
  <c r="AH460" i="1"/>
  <c r="CX457" i="1"/>
  <c r="BV454" i="1"/>
  <c r="AH452" i="1"/>
  <c r="CX449" i="1"/>
  <c r="BJ447" i="1"/>
  <c r="V445" i="1"/>
  <c r="CL442" i="1"/>
  <c r="BL440" i="1"/>
  <c r="X438" i="1"/>
  <c r="CN435" i="1"/>
  <c r="AZ433" i="1"/>
  <c r="L431" i="1"/>
  <c r="CB428" i="1"/>
  <c r="AN426" i="1"/>
  <c r="DD423" i="1"/>
  <c r="BP421" i="1"/>
  <c r="AB419" i="1"/>
  <c r="CR416" i="1"/>
  <c r="BD414" i="1"/>
  <c r="P412" i="1"/>
  <c r="CF409" i="1"/>
  <c r="AR407" i="1"/>
  <c r="DC441" i="1"/>
  <c r="BO439" i="1"/>
  <c r="AA437" i="1"/>
  <c r="CQ434" i="1"/>
  <c r="BC432" i="1"/>
  <c r="O430" i="1"/>
  <c r="CE427" i="1"/>
  <c r="AQ425" i="1"/>
  <c r="DG422" i="1"/>
  <c r="BS420" i="1"/>
  <c r="AE418" i="1"/>
  <c r="CU415" i="1"/>
  <c r="BG413" i="1"/>
  <c r="S411" i="1"/>
  <c r="CI408" i="1"/>
  <c r="AU406" i="1"/>
  <c r="CX441" i="1"/>
  <c r="BJ439" i="1"/>
  <c r="V437" i="1"/>
  <c r="CL434" i="1"/>
  <c r="AX432" i="1"/>
  <c r="J430" i="1"/>
  <c r="BN420" i="1"/>
  <c r="N411" i="1"/>
  <c r="BE439" i="1"/>
  <c r="BI434" i="1"/>
  <c r="DE431" i="1"/>
  <c r="BQ429" i="1"/>
  <c r="CK628" i="1"/>
  <c r="DC623" i="1"/>
  <c r="CZ618" i="1"/>
  <c r="CH611" i="1"/>
  <c r="BX618" i="1"/>
  <c r="BI608" i="1"/>
  <c r="CL615" i="1"/>
  <c r="CS601" i="1"/>
  <c r="U603" i="1"/>
  <c r="DE602" i="1"/>
  <c r="BJ518" i="1"/>
  <c r="BA518" i="1"/>
  <c r="AS518" i="1"/>
  <c r="Y482" i="1"/>
  <c r="BX503" i="1"/>
  <c r="AF488" i="1"/>
  <c r="CG478" i="1"/>
  <c r="Y467" i="1"/>
  <c r="CG454" i="1"/>
  <c r="AG445" i="1"/>
  <c r="BH472" i="1"/>
  <c r="L460" i="1"/>
  <c r="BL449" i="1"/>
  <c r="CM477" i="1"/>
  <c r="AQ465" i="1"/>
  <c r="CM453" i="1"/>
  <c r="AM444" i="1"/>
  <c r="AV511" i="1"/>
  <c r="CJ499" i="1"/>
  <c r="AJ490" i="1"/>
  <c r="CN480" i="1"/>
  <c r="AS469" i="1"/>
  <c r="CO457" i="1"/>
  <c r="AK447" i="1"/>
  <c r="BL474" i="1"/>
  <c r="T463" i="1"/>
  <c r="AR630" i="1"/>
  <c r="G613" i="1"/>
  <c r="Q616" i="1"/>
  <c r="CN601" i="1"/>
  <c r="CG593" i="1"/>
  <c r="DH573" i="1"/>
  <c r="CN573" i="1"/>
  <c r="X573" i="1"/>
  <c r="BS575" i="1"/>
  <c r="DG565" i="1"/>
  <c r="BM574" i="1"/>
  <c r="AH555" i="1"/>
  <c r="BB559" i="1"/>
  <c r="W540" i="1"/>
  <c r="AH559" i="1"/>
  <c r="DG539" i="1"/>
  <c r="Y575" i="1"/>
  <c r="CX555" i="1"/>
  <c r="CC549" i="1"/>
  <c r="AR526" i="1"/>
  <c r="Z527" i="1"/>
  <c r="BL528" i="1"/>
  <c r="DI549" i="1"/>
  <c r="AZ526" i="1"/>
  <c r="AK549" i="1"/>
  <c r="AF526" i="1"/>
  <c r="N527" i="1"/>
  <c r="CI512" i="1"/>
  <c r="CD512" i="1"/>
  <c r="BY512" i="1"/>
  <c r="BH512" i="1"/>
  <c r="DG511" i="1"/>
  <c r="BW482" i="1"/>
  <c r="BN501" i="1"/>
  <c r="BR482" i="1"/>
  <c r="BI501" i="1"/>
  <c r="BM482" i="1"/>
  <c r="CG535" i="1"/>
  <c r="BK516" i="1"/>
  <c r="BO497" i="1"/>
  <c r="BF516" i="1"/>
  <c r="BJ497" i="1"/>
  <c r="BA516" i="1"/>
  <c r="BE497" i="1"/>
  <c r="AJ516" i="1"/>
  <c r="CK529" i="1"/>
  <c r="BO510" i="1"/>
  <c r="BS491" i="1"/>
  <c r="BJ510" i="1"/>
  <c r="BN491" i="1"/>
  <c r="BE510" i="1"/>
  <c r="BI491" i="1"/>
  <c r="AN510" i="1"/>
  <c r="H494" i="1"/>
  <c r="DI473" i="1"/>
  <c r="I451" i="1"/>
  <c r="CJ467" i="1"/>
  <c r="CR445" i="1"/>
  <c r="BS460" i="1"/>
  <c r="AP478" i="1"/>
  <c r="L496" i="1"/>
  <c r="M477" i="1"/>
  <c r="M453" i="1"/>
  <c r="DD469" i="1"/>
  <c r="AF450" i="1"/>
  <c r="BS477" i="1"/>
  <c r="W465" i="1"/>
  <c r="CI453" i="1"/>
  <c r="AI444" i="1"/>
  <c r="X504" i="1"/>
  <c r="CB494" i="1"/>
  <c r="AB485" i="1"/>
  <c r="CO474" i="1"/>
  <c r="AG463" i="1"/>
  <c r="CS451" i="1"/>
  <c r="T480" i="1"/>
  <c r="CF468" i="1"/>
  <c r="X457" i="1"/>
  <c r="CN446" i="1"/>
  <c r="G474" i="1"/>
  <c r="BC462" i="1"/>
  <c r="K451" i="1"/>
  <c r="AL479" i="1"/>
  <c r="CF500" i="1"/>
  <c r="AF491" i="1"/>
  <c r="CJ481" i="1"/>
  <c r="Y470" i="1"/>
  <c r="CK458" i="1"/>
  <c r="AG448" i="1"/>
  <c r="BH475" i="1"/>
  <c r="DD463" i="1"/>
  <c r="BL452" i="1"/>
  <c r="L443" i="1"/>
  <c r="AE469" i="1"/>
  <c r="CQ457" i="1"/>
  <c r="AM447" i="1"/>
  <c r="BJ474" i="1"/>
  <c r="R463" i="1"/>
  <c r="V462" i="1"/>
  <c r="CH450" i="1"/>
  <c r="AV441" i="1"/>
  <c r="CZ431" i="1"/>
  <c r="AZ422" i="1"/>
  <c r="DD412" i="1"/>
  <c r="AY440" i="1"/>
  <c r="DC430" i="1"/>
  <c r="BC421" i="1"/>
  <c r="DG411" i="1"/>
  <c r="AT440" i="1"/>
  <c r="CX430" i="1"/>
  <c r="AX421" i="1"/>
  <c r="DB411" i="1"/>
  <c r="AO440" i="1"/>
  <c r="CP465" i="1"/>
  <c r="AT453" i="1"/>
  <c r="CX443" i="1"/>
  <c r="BL434" i="1"/>
  <c r="L425" i="1"/>
  <c r="BP415" i="1"/>
  <c r="P406" i="1"/>
  <c r="BO433" i="1"/>
  <c r="O424" i="1"/>
  <c r="BS414" i="1"/>
  <c r="S405" i="1"/>
  <c r="BJ433" i="1"/>
  <c r="J424" i="1"/>
  <c r="BN414" i="1"/>
  <c r="N405" i="1"/>
  <c r="CD469" i="1"/>
  <c r="BN455" i="1"/>
  <c r="N446" i="1"/>
  <c r="CF436" i="1"/>
  <c r="AF427" i="1"/>
  <c r="CJ417" i="1"/>
  <c r="AJ408" i="1"/>
  <c r="CI435" i="1"/>
  <c r="AI426" i="1"/>
  <c r="CM416" i="1"/>
  <c r="AM407" i="1"/>
  <c r="CD435" i="1"/>
  <c r="AD426" i="1"/>
  <c r="CH416" i="1"/>
  <c r="AH407" i="1"/>
  <c r="BY435" i="1"/>
  <c r="AP463" i="1"/>
  <c r="BZ451" i="1"/>
  <c r="AN442" i="1"/>
  <c r="CR432" i="1"/>
  <c r="AR423" i="1"/>
  <c r="CV413" i="1"/>
  <c r="AQ441" i="1"/>
  <c r="CU431" i="1"/>
  <c r="AU422" i="1"/>
  <c r="CY412" i="1"/>
  <c r="AL441" i="1"/>
  <c r="CP431" i="1"/>
  <c r="Q437" i="1"/>
  <c r="Q633" i="1"/>
  <c r="CU616" i="1"/>
  <c r="AM598" i="1"/>
  <c r="BL587" i="1"/>
  <c r="AW586" i="1"/>
  <c r="AU586" i="1"/>
  <c r="P602" i="1"/>
  <c r="CZ583" i="1"/>
  <c r="AR564" i="1"/>
  <c r="BX583" i="1"/>
  <c r="X564" i="1"/>
  <c r="CV582" i="1"/>
  <c r="BL563" i="1"/>
  <c r="AF582" i="1"/>
  <c r="CX579" i="1"/>
  <c r="T561" i="1"/>
  <c r="O561" i="1"/>
  <c r="AT561" i="1"/>
  <c r="BY569" i="1"/>
  <c r="AY550" i="1"/>
  <c r="AT550" i="1"/>
  <c r="AC550" i="1"/>
  <c r="BE573" i="1"/>
  <c r="AE554" i="1"/>
  <c r="Z554" i="1"/>
  <c r="I554" i="1"/>
  <c r="AK573" i="1"/>
  <c r="K554" i="1"/>
  <c r="F554" i="1"/>
  <c r="CS553" i="1"/>
  <c r="AK570" i="1"/>
  <c r="K551" i="1"/>
  <c r="F551" i="1"/>
  <c r="CS550" i="1"/>
  <c r="BU541" i="1"/>
  <c r="BH540" i="1"/>
  <c r="BD521" i="1"/>
  <c r="DG521" i="1"/>
  <c r="BM544" i="1"/>
  <c r="CB542" i="1"/>
  <c r="BX523" i="1"/>
  <c r="W524" i="1"/>
  <c r="CG541" i="1"/>
  <c r="BP540" i="1"/>
  <c r="BL521" i="1"/>
  <c r="K522" i="1"/>
  <c r="BE541" i="1"/>
  <c r="AV540" i="1"/>
  <c r="AR521" i="1"/>
  <c r="CU521" i="1"/>
  <c r="Z522" i="1"/>
  <c r="M527" i="1"/>
  <c r="CU507" i="1"/>
  <c r="CY488" i="1"/>
  <c r="CP507" i="1"/>
  <c r="CT488" i="1"/>
  <c r="CK507" i="1"/>
  <c r="CO488" i="1"/>
  <c r="BZ529" i="1"/>
  <c r="AK526" i="1"/>
  <c r="O507" i="1"/>
  <c r="AA490" i="1"/>
  <c r="F518" i="1"/>
  <c r="BJ508" i="1"/>
  <c r="J499" i="1"/>
  <c r="BN489" i="1"/>
  <c r="DE517" i="1"/>
  <c r="BE508" i="1"/>
  <c r="DI498" i="1"/>
  <c r="BI489" i="1"/>
  <c r="CN517" i="1"/>
  <c r="AP524" i="1"/>
  <c r="AC533" i="1"/>
  <c r="CG523" i="1"/>
  <c r="G514" i="1"/>
  <c r="BK504" i="1"/>
  <c r="K495" i="1"/>
  <c r="BO485" i="1"/>
  <c r="DF513" i="1"/>
  <c r="BF504" i="1"/>
  <c r="F495" i="1"/>
  <c r="BJ485" i="1"/>
  <c r="DA513" i="1"/>
  <c r="BA504" i="1"/>
  <c r="DE494" i="1"/>
  <c r="BE485" i="1"/>
  <c r="CJ513" i="1"/>
  <c r="CG536" i="1"/>
  <c r="AG527" i="1"/>
  <c r="BK517" i="1"/>
  <c r="K508" i="1"/>
  <c r="BO498" i="1"/>
  <c r="O489" i="1"/>
  <c r="BF517" i="1"/>
  <c r="F508" i="1"/>
  <c r="BJ498" i="1"/>
  <c r="J489" i="1"/>
  <c r="BA517" i="1"/>
  <c r="DE507" i="1"/>
  <c r="BE498" i="1"/>
  <c r="DI488" i="1"/>
  <c r="AJ517" i="1"/>
  <c r="CN507" i="1"/>
  <c r="DH500" i="1"/>
  <c r="BH491" i="1"/>
  <c r="H482" i="1"/>
  <c r="BA470" i="1"/>
  <c r="I459" i="1"/>
  <c r="BI448" i="1"/>
  <c r="CJ475" i="1"/>
  <c r="AR464" i="1"/>
  <c r="CN452" i="1"/>
  <c r="AN443" i="1"/>
  <c r="BW469" i="1"/>
  <c r="O458" i="1"/>
  <c r="BO447" i="1"/>
  <c r="DB474" i="1"/>
  <c r="H503" i="1"/>
  <c r="BL493" i="1"/>
  <c r="L484" i="1"/>
  <c r="BI473" i="1"/>
  <c r="Q462" i="1"/>
  <c r="BM450" i="1"/>
  <c r="CR478" i="1"/>
  <c r="AZ467" i="1"/>
  <c r="CR454" i="1"/>
  <c r="BD448" i="1"/>
  <c r="AJ443" i="1"/>
  <c r="AU475" i="1"/>
  <c r="BS469" i="1"/>
  <c r="CQ463" i="1"/>
  <c r="K458" i="1"/>
  <c r="AY452" i="1"/>
  <c r="CA447" i="1"/>
  <c r="DC442" i="1"/>
  <c r="CR507" i="1"/>
  <c r="CR502" i="1"/>
  <c r="P498" i="1"/>
  <c r="AR493" i="1"/>
  <c r="BT488" i="1"/>
  <c r="CV483" i="1"/>
  <c r="Q479" i="1"/>
  <c r="BE473" i="1"/>
  <c r="CW468" i="1"/>
  <c r="BE465" i="1"/>
  <c r="Q463" i="1"/>
  <c r="CC459" i="1"/>
  <c r="AO457" i="1"/>
  <c r="M454" i="1"/>
  <c r="CC451" i="1"/>
  <c r="AO449" i="1"/>
  <c r="DE446" i="1"/>
  <c r="BQ444" i="1"/>
  <c r="DH479" i="1"/>
  <c r="BT477" i="1"/>
  <c r="AR474" i="1"/>
  <c r="DD470" i="1"/>
  <c r="BP468" i="1"/>
  <c r="X465" i="1"/>
  <c r="CN462" i="1"/>
  <c r="AV459" i="1"/>
  <c r="H457" i="1"/>
  <c r="CJ453" i="1"/>
  <c r="AV451" i="1"/>
  <c r="H449" i="1"/>
  <c r="BX446" i="1"/>
  <c r="AJ444" i="1"/>
  <c r="BW479" i="1"/>
  <c r="AI477" i="1"/>
  <c r="CU473" i="1"/>
  <c r="BC470" i="1"/>
  <c r="O468" i="1"/>
  <c r="CA464" i="1"/>
  <c r="AM462" i="1"/>
  <c r="K459" i="1"/>
  <c r="BW455" i="1"/>
  <c r="AI453" i="1"/>
  <c r="CY450" i="1"/>
  <c r="BK448" i="1"/>
  <c r="W446" i="1"/>
  <c r="CM443" i="1"/>
  <c r="V479" i="1"/>
  <c r="H508" i="1"/>
  <c r="AN505" i="1"/>
  <c r="DD502" i="1"/>
  <c r="BP500" i="1"/>
  <c r="AB498" i="1"/>
  <c r="CR495" i="1"/>
  <c r="BD493" i="1"/>
  <c r="P491" i="1"/>
  <c r="CF488" i="1"/>
  <c r="AR486" i="1"/>
  <c r="DH483" i="1"/>
  <c r="BT481" i="1"/>
  <c r="AC479" i="1"/>
  <c r="CO475" i="1"/>
  <c r="BA473" i="1"/>
  <c r="I470" i="1"/>
  <c r="BY467" i="1"/>
  <c r="AG464" i="1"/>
  <c r="DI460" i="1"/>
  <c r="BU458" i="1"/>
  <c r="AC455" i="1"/>
  <c r="CS452" i="1"/>
  <c r="BE450" i="1"/>
  <c r="Q448" i="1"/>
  <c r="CG445" i="1"/>
  <c r="AS443" i="1"/>
  <c r="CJ478" i="1"/>
  <c r="AR475" i="1"/>
  <c r="DH472" i="1"/>
  <c r="BP469" i="1"/>
  <c r="AB467" i="1"/>
  <c r="CN463" i="1"/>
  <c r="BL460" i="1"/>
  <c r="X458" i="1"/>
  <c r="CJ454" i="1"/>
  <c r="AV452" i="1"/>
  <c r="H450" i="1"/>
  <c r="BX447" i="1"/>
  <c r="AJ445" i="1"/>
  <c r="BY480" i="1"/>
  <c r="AI478" i="1"/>
  <c r="CU474" i="1"/>
  <c r="BG472" i="1"/>
  <c r="O469" i="1"/>
  <c r="CQ465" i="1"/>
  <c r="BC463" i="1"/>
  <c r="K460" i="1"/>
  <c r="CA457" i="1"/>
  <c r="AI454" i="1"/>
  <c r="CY451" i="1"/>
  <c r="BK449" i="1"/>
  <c r="W447" i="1"/>
  <c r="CM444" i="1"/>
  <c r="V480" i="1"/>
  <c r="CL477" i="1"/>
  <c r="AT474" i="1"/>
  <c r="F472" i="1"/>
  <c r="CH468" i="1"/>
  <c r="AP465" i="1"/>
  <c r="DF462" i="1"/>
  <c r="R474" i="1"/>
  <c r="AD469" i="1"/>
  <c r="N465" i="1"/>
  <c r="F462" i="1"/>
  <c r="CH458" i="1"/>
  <c r="AP455" i="1"/>
  <c r="DF452" i="1"/>
  <c r="BR450" i="1"/>
  <c r="AD448" i="1"/>
  <c r="CT445" i="1"/>
  <c r="BF443" i="1"/>
  <c r="AF441" i="1"/>
  <c r="CV438" i="1"/>
  <c r="BH436" i="1"/>
  <c r="T434" i="1"/>
  <c r="CJ431" i="1"/>
  <c r="AV429" i="1"/>
  <c r="H427" i="1"/>
  <c r="BX424" i="1"/>
  <c r="AJ422" i="1"/>
  <c r="CZ419" i="1"/>
  <c r="BL417" i="1"/>
  <c r="X415" i="1"/>
  <c r="CN412" i="1"/>
  <c r="AZ410" i="1"/>
  <c r="L408" i="1"/>
  <c r="BW442" i="1"/>
  <c r="AI440" i="1"/>
  <c r="CY437" i="1"/>
  <c r="BK435" i="1"/>
  <c r="W433" i="1"/>
  <c r="CM430" i="1"/>
  <c r="AY428" i="1"/>
  <c r="K426" i="1"/>
  <c r="CA423" i="1"/>
  <c r="AM421" i="1"/>
  <c r="DC418" i="1"/>
  <c r="BO416" i="1"/>
  <c r="AA414" i="1"/>
  <c r="CQ411" i="1"/>
  <c r="BC409" i="1"/>
  <c r="O407" i="1"/>
  <c r="BR442" i="1"/>
  <c r="AD440" i="1"/>
  <c r="CT437" i="1"/>
  <c r="BF435" i="1"/>
  <c r="R433" i="1"/>
  <c r="CH430" i="1"/>
  <c r="AT428" i="1"/>
  <c r="F426" i="1"/>
  <c r="BV423" i="1"/>
  <c r="AH421" i="1"/>
  <c r="CX418" i="1"/>
  <c r="BJ416" i="1"/>
  <c r="V414" i="1"/>
  <c r="CL411" i="1"/>
  <c r="AX409" i="1"/>
  <c r="J407" i="1"/>
  <c r="BM442" i="1"/>
  <c r="Y440" i="1"/>
  <c r="CO437" i="1"/>
  <c r="CX474" i="1"/>
  <c r="CH469" i="1"/>
  <c r="BR465" i="1"/>
  <c r="BB462" i="1"/>
  <c r="F459" i="1"/>
  <c r="BR455" i="1"/>
  <c r="AD453" i="1"/>
  <c r="CT450" i="1"/>
  <c r="BF448" i="1"/>
  <c r="R446" i="1"/>
  <c r="CH443" i="1"/>
  <c r="BH441" i="1"/>
  <c r="T439" i="1"/>
  <c r="CJ436" i="1"/>
  <c r="AV434" i="1"/>
  <c r="H432" i="1"/>
  <c r="BX429" i="1"/>
  <c r="AJ427" i="1"/>
  <c r="CZ424" i="1"/>
  <c r="BL422" i="1"/>
  <c r="X420" i="1"/>
  <c r="CN417" i="1"/>
  <c r="AZ415" i="1"/>
  <c r="L413" i="1"/>
  <c r="CB410" i="1"/>
  <c r="AN408" i="1"/>
  <c r="DD405" i="1"/>
  <c r="BK440" i="1"/>
  <c r="W438" i="1"/>
  <c r="CM435" i="1"/>
  <c r="AY433" i="1"/>
  <c r="K431" i="1"/>
  <c r="CA428" i="1"/>
  <c r="AM426" i="1"/>
  <c r="DC423" i="1"/>
  <c r="BO421" i="1"/>
  <c r="AA419" i="1"/>
  <c r="CQ416" i="1"/>
  <c r="BC414" i="1"/>
  <c r="O412" i="1"/>
  <c r="CE409" i="1"/>
  <c r="AQ407" i="1"/>
  <c r="CW442" i="1"/>
  <c r="BF440" i="1"/>
  <c r="R438" i="1"/>
  <c r="CH435" i="1"/>
  <c r="AT433" i="1"/>
  <c r="F431" i="1"/>
  <c r="BV428" i="1"/>
  <c r="AH426" i="1"/>
  <c r="CX423" i="1"/>
  <c r="BJ421" i="1"/>
  <c r="V419" i="1"/>
  <c r="CL416" i="1"/>
  <c r="AX414" i="1"/>
  <c r="J412" i="1"/>
  <c r="BZ409" i="1"/>
  <c r="AL407" i="1"/>
  <c r="CQ442" i="1"/>
  <c r="BA440" i="1"/>
  <c r="M438" i="1"/>
  <c r="BN474" i="1"/>
  <c r="BJ469" i="1"/>
  <c r="AT465" i="1"/>
  <c r="AD462" i="1"/>
  <c r="CP458" i="1"/>
  <c r="AX455" i="1"/>
  <c r="J453" i="1"/>
  <c r="BZ450" i="1"/>
  <c r="AL448" i="1"/>
  <c r="DB445" i="1"/>
  <c r="BN443" i="1"/>
  <c r="AN441" i="1"/>
  <c r="DD438" i="1"/>
  <c r="BP436" i="1"/>
  <c r="AB434" i="1"/>
  <c r="CR431" i="1"/>
  <c r="BD429" i="1"/>
  <c r="P427" i="1"/>
  <c r="CF424" i="1"/>
  <c r="AR422" i="1"/>
  <c r="DH419" i="1"/>
  <c r="BT417" i="1"/>
  <c r="AF415" i="1"/>
  <c r="CV412" i="1"/>
  <c r="BH410" i="1"/>
  <c r="T408" i="1"/>
  <c r="CE442" i="1"/>
  <c r="AQ440" i="1"/>
  <c r="DG437" i="1"/>
  <c r="BS435" i="1"/>
  <c r="AE433" i="1"/>
  <c r="CU430" i="1"/>
  <c r="BG428" i="1"/>
  <c r="S426" i="1"/>
  <c r="CI423" i="1"/>
  <c r="AU421" i="1"/>
  <c r="G419" i="1"/>
  <c r="BW416" i="1"/>
  <c r="AI414" i="1"/>
  <c r="CY411" i="1"/>
  <c r="BK409" i="1"/>
  <c r="W407" i="1"/>
  <c r="BZ442" i="1"/>
  <c r="AL440" i="1"/>
  <c r="DB437" i="1"/>
  <c r="BN435" i="1"/>
  <c r="Z433" i="1"/>
  <c r="CP430" i="1"/>
  <c r="BB428" i="1"/>
  <c r="N426" i="1"/>
  <c r="CD423" i="1"/>
  <c r="AP421" i="1"/>
  <c r="DF418" i="1"/>
  <c r="BR416" i="1"/>
  <c r="AD414" i="1"/>
  <c r="CT411" i="1"/>
  <c r="BF409" i="1"/>
  <c r="R407" i="1"/>
  <c r="BU442" i="1"/>
  <c r="AG440" i="1"/>
  <c r="CW437" i="1"/>
  <c r="BI435" i="1"/>
  <c r="DB475" i="1"/>
  <c r="BB470" i="1"/>
  <c r="AL467" i="1"/>
  <c r="V463" i="1"/>
  <c r="BJ459" i="1"/>
  <c r="V457" i="1"/>
  <c r="CX453" i="1"/>
  <c r="BJ451" i="1"/>
  <c r="V449" i="1"/>
  <c r="CL446" i="1"/>
  <c r="AX444" i="1"/>
  <c r="X442" i="1"/>
  <c r="CN439" i="1"/>
  <c r="AZ437" i="1"/>
  <c r="L435" i="1"/>
  <c r="CB432" i="1"/>
  <c r="AN430" i="1"/>
  <c r="DD427" i="1"/>
  <c r="BP425" i="1"/>
  <c r="AB423" i="1"/>
  <c r="CR420" i="1"/>
  <c r="BD418" i="1"/>
  <c r="P416" i="1"/>
  <c r="CF413" i="1"/>
  <c r="AR411" i="1"/>
  <c r="DH408" i="1"/>
  <c r="BT406" i="1"/>
  <c r="AA441" i="1"/>
  <c r="CQ438" i="1"/>
  <c r="BC436" i="1"/>
  <c r="AJ644" i="1"/>
  <c r="DC628" i="1"/>
  <c r="J629" i="1"/>
  <c r="CP620" i="1"/>
  <c r="BM620" i="1"/>
  <c r="CP617" i="1"/>
  <c r="CW607" i="1"/>
  <c r="AY606" i="1"/>
  <c r="DC607" i="1"/>
  <c r="CC607" i="1"/>
  <c r="AI591" i="1"/>
  <c r="Q589" i="1"/>
  <c r="V598" i="1"/>
  <c r="AV586" i="1"/>
  <c r="BZ589" i="1"/>
  <c r="BD590" i="1"/>
  <c r="AX591" i="1"/>
  <c r="AS591" i="1"/>
  <c r="AZ597" i="1"/>
  <c r="CR583" i="1"/>
  <c r="AA581" i="1"/>
  <c r="BT571" i="1"/>
  <c r="BO571" i="1"/>
  <c r="CT571" i="1"/>
  <c r="G581" i="1"/>
  <c r="AZ571" i="1"/>
  <c r="AU571" i="1"/>
  <c r="BZ571" i="1"/>
  <c r="AU580" i="1"/>
  <c r="CN570" i="1"/>
  <c r="CI570" i="1"/>
  <c r="BQ582" i="1"/>
  <c r="BI634" i="1"/>
  <c r="DG637" i="1"/>
  <c r="CF620" i="1"/>
  <c r="BC613" i="1"/>
  <c r="BI619" i="1"/>
  <c r="BA617" i="1"/>
  <c r="CZ604" i="1"/>
  <c r="DE597" i="1"/>
  <c r="N601" i="1"/>
  <c r="CH580" i="1"/>
  <c r="BN580" i="1"/>
  <c r="DB579" i="1"/>
  <c r="CY583" i="1"/>
  <c r="AN574" i="1"/>
  <c r="AI574" i="1"/>
  <c r="BN574" i="1"/>
  <c r="R565" i="1"/>
  <c r="CW563" i="1"/>
  <c r="BW544" i="1"/>
  <c r="BR544" i="1"/>
  <c r="Z570" i="1"/>
  <c r="CC567" i="1"/>
  <c r="BC548" i="1"/>
  <c r="AX548" i="1"/>
  <c r="DB569" i="1"/>
  <c r="BI567" i="1"/>
  <c r="AI548" i="1"/>
  <c r="AD548" i="1"/>
  <c r="DB565" i="1"/>
  <c r="BI564" i="1"/>
  <c r="AI545" i="1"/>
  <c r="AD545" i="1"/>
  <c r="M545" i="1"/>
  <c r="CB553" i="1"/>
  <c r="BX534" i="1"/>
  <c r="W535" i="1"/>
  <c r="BF535" i="1"/>
  <c r="CV555" i="1"/>
  <c r="CR536" i="1"/>
  <c r="AQ537" i="1"/>
  <c r="CD537" i="1"/>
  <c r="CJ553" i="1"/>
  <c r="CF534" i="1"/>
  <c r="AE535" i="1"/>
  <c r="BN535" i="1"/>
  <c r="BP553" i="1"/>
  <c r="BL534" i="1"/>
  <c r="K535" i="1"/>
  <c r="AT535" i="1"/>
  <c r="Z521" i="1"/>
  <c r="AK521" i="1"/>
  <c r="O502" i="1"/>
  <c r="S483" i="1"/>
  <c r="J502" i="1"/>
  <c r="N483" i="1"/>
  <c r="DI501" i="1"/>
  <c r="I483" i="1"/>
  <c r="AX520" i="1"/>
  <c r="BI520" i="1"/>
  <c r="AM501" i="1"/>
  <c r="CM486" i="1"/>
  <c r="Z515" i="1"/>
  <c r="CD505" i="1"/>
  <c r="AD496" i="1"/>
  <c r="CH486" i="1"/>
  <c r="U515" i="1"/>
  <c r="BY505" i="1"/>
  <c r="Y496" i="1"/>
  <c r="CC486" i="1"/>
  <c r="DH514" i="1"/>
  <c r="CP520" i="1"/>
  <c r="AW530" i="1"/>
  <c r="DA520" i="1"/>
  <c r="AA511" i="1"/>
  <c r="CE501" i="1"/>
  <c r="AE492" i="1"/>
  <c r="CI482" i="1"/>
  <c r="V511" i="1"/>
  <c r="BZ501" i="1"/>
  <c r="Z492" i="1"/>
  <c r="CD482" i="1"/>
  <c r="Q511" i="1"/>
  <c r="BU501" i="1"/>
  <c r="U492" i="1"/>
  <c r="BY482" i="1"/>
  <c r="AH525" i="1"/>
  <c r="DA533" i="1"/>
  <c r="BA524" i="1"/>
  <c r="CE514" i="1"/>
  <c r="AE505" i="1"/>
  <c r="CI495" i="1"/>
  <c r="AI486" i="1"/>
  <c r="BZ514" i="1"/>
  <c r="Z505" i="1"/>
  <c r="CD495" i="1"/>
  <c r="AD486" i="1"/>
  <c r="BU514" i="1"/>
  <c r="U505" i="1"/>
  <c r="BY495" i="1"/>
  <c r="Y486" i="1"/>
  <c r="BD514" i="1"/>
  <c r="DH507" i="1"/>
  <c r="X498" i="1"/>
  <c r="CB488" i="1"/>
  <c r="Y479" i="1"/>
  <c r="BU467" i="1"/>
  <c r="Y455" i="1"/>
  <c r="CC445" i="1"/>
  <c r="DD472" i="1"/>
  <c r="BH460" i="1"/>
  <c r="DH449" i="1"/>
  <c r="AE478" i="1"/>
  <c r="CM465" i="1"/>
  <c r="AE454" i="1"/>
  <c r="CI444" i="1"/>
  <c r="R472" i="1"/>
  <c r="AB500" i="1"/>
  <c r="CF490" i="1"/>
  <c r="AF481" i="1"/>
  <c r="CO469" i="1"/>
  <c r="AG458" i="1"/>
  <c r="CG447" i="1"/>
  <c r="DH474" i="1"/>
  <c r="BP463" i="1"/>
  <c r="L453" i="1"/>
  <c r="CB446" i="1"/>
  <c r="CA479" i="1"/>
  <c r="K474" i="1"/>
  <c r="AI468" i="1"/>
  <c r="BG462" i="1"/>
  <c r="CQ455" i="1"/>
  <c r="O451" i="1"/>
  <c r="AQ446" i="1"/>
  <c r="AP479" i="1"/>
  <c r="AF506" i="1"/>
  <c r="BH501" i="1"/>
  <c r="CJ496" i="1"/>
  <c r="H492" i="1"/>
  <c r="AJ487" i="1"/>
  <c r="BL482" i="1"/>
  <c r="CK477" i="1"/>
  <c r="U472" i="1"/>
  <c r="AO465" i="1"/>
  <c r="BM459" i="1"/>
  <c r="DA453" i="1"/>
  <c r="Y449" i="1"/>
  <c r="BA444" i="1"/>
  <c r="BD477" i="1"/>
  <c r="CN470" i="1"/>
  <c r="H465" i="1"/>
  <c r="AF459" i="1"/>
  <c r="BT453" i="1"/>
  <c r="CV448" i="1"/>
  <c r="T444" i="1"/>
  <c r="S477" i="1"/>
  <c r="AM470" i="1"/>
  <c r="BK464" i="1"/>
  <c r="CY458" i="1"/>
  <c r="S453" i="1"/>
  <c r="AU448" i="1"/>
  <c r="BW443" i="1"/>
  <c r="CF507" i="1"/>
  <c r="CN502" i="1"/>
  <c r="L498" i="1"/>
  <c r="AN493" i="1"/>
  <c r="BP488" i="1"/>
  <c r="CR483" i="1"/>
  <c r="M479" i="1"/>
  <c r="AK473" i="1"/>
  <c r="BI467" i="1"/>
  <c r="CS460" i="1"/>
  <c r="M455" i="1"/>
  <c r="AO450" i="1"/>
  <c r="BB616" i="1"/>
  <c r="BA598" i="1"/>
  <c r="AR589" i="1"/>
  <c r="AC579" i="1"/>
  <c r="AA557" i="1"/>
  <c r="G557" i="1"/>
  <c r="AU556" i="1"/>
  <c r="BB583" i="1"/>
  <c r="CB564" i="1"/>
  <c r="BW564" i="1"/>
  <c r="DB564" i="1"/>
  <c r="AC573" i="1"/>
  <c r="DG553" i="1"/>
  <c r="DB553" i="1"/>
  <c r="CK553" i="1"/>
  <c r="R558" i="1"/>
  <c r="M558" i="1"/>
  <c r="CQ538" i="1"/>
  <c r="CL538" i="1"/>
  <c r="DB557" i="1"/>
  <c r="CW557" i="1"/>
  <c r="BW538" i="1"/>
  <c r="BR538" i="1"/>
  <c r="CS573" i="1"/>
  <c r="BS554" i="1"/>
  <c r="BN554" i="1"/>
  <c r="AW554" i="1"/>
  <c r="CW546" i="1"/>
  <c r="L544" i="1"/>
  <c r="H525" i="1"/>
  <c r="BK525" i="1"/>
  <c r="CT525" i="1"/>
  <c r="AF546" i="1"/>
  <c r="AB527" i="1"/>
  <c r="CE527" i="1"/>
  <c r="I547" i="1"/>
  <c r="T544" i="1"/>
  <c r="P525" i="1"/>
  <c r="BS525" i="1"/>
  <c r="BU546" i="1"/>
  <c r="DD543" i="1"/>
  <c r="CZ524" i="1"/>
  <c r="AY525" i="1"/>
  <c r="CH525" i="1"/>
  <c r="BU530" i="1"/>
  <c r="AY511" i="1"/>
  <c r="BC492" i="1"/>
  <c r="AT511" i="1"/>
  <c r="AX492" i="1"/>
  <c r="AO511" i="1"/>
  <c r="AS492" i="1"/>
  <c r="X511" i="1"/>
  <c r="CS529" i="1"/>
  <c r="BW510" i="1"/>
  <c r="BO492" i="1"/>
  <c r="CY481" i="1"/>
  <c r="AL510" i="1"/>
  <c r="CP500" i="1"/>
  <c r="AP491" i="1"/>
  <c r="CT481" i="1"/>
  <c r="AG510" i="1"/>
  <c r="CK500" i="1"/>
  <c r="AK491" i="1"/>
  <c r="CO481" i="1"/>
  <c r="AH527" i="1"/>
  <c r="DI534" i="1"/>
  <c r="BI525" i="1"/>
  <c r="CM515" i="1"/>
  <c r="AM506" i="1"/>
  <c r="CQ496" i="1"/>
  <c r="AQ487" i="1"/>
  <c r="CH515" i="1"/>
  <c r="AH506" i="1"/>
  <c r="CL496" i="1"/>
  <c r="AL487" i="1"/>
  <c r="CC515" i="1"/>
  <c r="AC506" i="1"/>
  <c r="CG496" i="1"/>
  <c r="AG487" i="1"/>
  <c r="BL515" i="1"/>
  <c r="BB519" i="1"/>
  <c r="I529" i="1"/>
  <c r="BM519" i="1"/>
  <c r="CQ509" i="1"/>
  <c r="AQ500" i="1"/>
  <c r="CU490" i="1"/>
  <c r="AU481" i="1"/>
  <c r="CL509" i="1"/>
  <c r="AL500" i="1"/>
  <c r="CP490" i="1"/>
  <c r="AP481" i="1"/>
  <c r="CG509" i="1"/>
  <c r="AG500" i="1"/>
  <c r="CK490" i="1"/>
  <c r="AK481" i="1"/>
  <c r="BP509" i="1"/>
  <c r="CJ502" i="1"/>
  <c r="AJ493" i="1"/>
  <c r="CN483" i="1"/>
  <c r="AG473" i="1"/>
  <c r="CO460" i="1"/>
  <c r="AK450" i="1"/>
  <c r="BP478" i="1"/>
  <c r="H467" i="1"/>
  <c r="BP454" i="1"/>
  <c r="P445" i="1"/>
  <c r="AM472" i="1"/>
  <c r="CU459" i="1"/>
  <c r="AQ449" i="1"/>
  <c r="BR477" i="1"/>
  <c r="CN504" i="1"/>
  <c r="AN495" i="1"/>
  <c r="CR485" i="1"/>
  <c r="AK475" i="1"/>
  <c r="CW463" i="1"/>
  <c r="AO452" i="1"/>
  <c r="BT480" i="1"/>
  <c r="AB469" i="1"/>
  <c r="BX457" i="1"/>
  <c r="BX449" i="1"/>
  <c r="X444" i="1"/>
  <c r="W477" i="1"/>
  <c r="BG470" i="1"/>
  <c r="CE464" i="1"/>
  <c r="DC458" i="1"/>
  <c r="AM453" i="1"/>
  <c r="BO448" i="1"/>
  <c r="CQ443" i="1"/>
  <c r="BT509" i="1"/>
  <c r="CF503" i="1"/>
  <c r="DH498" i="1"/>
  <c r="AF494" i="1"/>
  <c r="BH489" i="1"/>
  <c r="CJ484" i="1"/>
  <c r="DI479" i="1"/>
  <c r="AS474" i="1"/>
  <c r="BQ468" i="1"/>
  <c r="CO462" i="1"/>
  <c r="I457" i="1"/>
  <c r="AW451" i="1"/>
  <c r="BY446" i="1"/>
  <c r="CB479" i="1"/>
  <c r="L474" i="1"/>
  <c r="AJ468" i="1"/>
  <c r="BH462" i="1"/>
  <c r="CR455" i="1"/>
  <c r="P451" i="1"/>
  <c r="AR446" i="1"/>
  <c r="AQ479" i="1"/>
  <c r="BO473" i="1"/>
  <c r="CM467" i="1"/>
  <c r="G462" i="1"/>
  <c r="AQ455" i="1"/>
  <c r="BS450" i="1"/>
  <c r="CU445" i="1"/>
  <c r="CT478" i="1"/>
  <c r="H505" i="1"/>
  <c r="AJ500" i="1"/>
  <c r="BL495" i="1"/>
  <c r="CN490" i="1"/>
  <c r="L486" i="1"/>
  <c r="AN481" i="1"/>
  <c r="BI475" i="1"/>
  <c r="CG469" i="1"/>
  <c r="DE463" i="1"/>
  <c r="AO458" i="1"/>
  <c r="BM452" i="1"/>
  <c r="CO447" i="1"/>
  <c r="M443" i="1"/>
  <c r="L475" i="1"/>
  <c r="AJ469" i="1"/>
  <c r="BH463" i="1"/>
  <c r="CV457" i="1"/>
  <c r="P452" i="1"/>
  <c r="AR447" i="1"/>
  <c r="AQ480" i="1"/>
  <c r="BO474" i="1"/>
  <c r="CM468" i="1"/>
  <c r="W463" i="1"/>
  <c r="AU457" i="1"/>
  <c r="BS451" i="1"/>
  <c r="CU446" i="1"/>
  <c r="CT479" i="1"/>
  <c r="N474" i="1"/>
  <c r="BB468" i="1"/>
  <c r="BZ462" i="1"/>
  <c r="CP468" i="1"/>
  <c r="CP460" i="1"/>
  <c r="J455" i="1"/>
  <c r="AL450" i="1"/>
  <c r="BN445" i="1"/>
  <c r="DD440" i="1"/>
  <c r="AB436" i="1"/>
  <c r="BD431" i="1"/>
  <c r="CF426" i="1"/>
  <c r="DH421" i="1"/>
  <c r="AF417" i="1"/>
  <c r="BH412" i="1"/>
  <c r="CJ407" i="1"/>
  <c r="DG439" i="1"/>
  <c r="AE435" i="1"/>
  <c r="BG430" i="1"/>
  <c r="CI425" i="1"/>
  <c r="G421" i="1"/>
  <c r="AI416" i="1"/>
  <c r="BK411" i="1"/>
  <c r="CM406" i="1"/>
  <c r="DB439" i="1"/>
  <c r="Z435" i="1"/>
  <c r="CH607" i="1"/>
  <c r="F598" i="1"/>
  <c r="AH591" i="1"/>
  <c r="K581" i="1"/>
  <c r="CU580" i="1"/>
  <c r="AE580" i="1"/>
  <c r="L577" i="1"/>
  <c r="BF576" i="1"/>
  <c r="CF557" i="1"/>
  <c r="CA557" i="1"/>
  <c r="AH568" i="1"/>
  <c r="AG566" i="1"/>
  <c r="G547" i="1"/>
  <c r="DF546" i="1"/>
  <c r="CO546" i="1"/>
  <c r="M570" i="1"/>
  <c r="CQ550" i="1"/>
  <c r="CL550" i="1"/>
  <c r="BU550" i="1"/>
  <c r="CW569" i="1"/>
  <c r="BW550" i="1"/>
  <c r="BR550" i="1"/>
  <c r="R569" i="1"/>
  <c r="CW566" i="1"/>
  <c r="BW547" i="1"/>
  <c r="BR547" i="1"/>
  <c r="BA547" i="1"/>
  <c r="L556" i="1"/>
  <c r="H537" i="1"/>
  <c r="BK537" i="1"/>
  <c r="BO518" i="1"/>
  <c r="DI539" i="1"/>
  <c r="AJ539" i="1"/>
  <c r="AF520" i="1"/>
  <c r="CI520" i="1"/>
  <c r="T556" i="1"/>
  <c r="P537" i="1"/>
  <c r="BS537" i="1"/>
  <c r="BW518" i="1"/>
  <c r="DD555" i="1"/>
  <c r="CZ536" i="1"/>
  <c r="AY537" i="1"/>
  <c r="BC518" i="1"/>
  <c r="AD524" i="1"/>
  <c r="BY523" i="1"/>
  <c r="BC504" i="1"/>
  <c r="BG485" i="1"/>
  <c r="AX504" i="1"/>
  <c r="BB485" i="1"/>
  <c r="AS504" i="1"/>
  <c r="AW485" i="1"/>
  <c r="Z523" i="1"/>
  <c r="CW522" i="1"/>
  <c r="CA503" i="1"/>
  <c r="S488" i="1"/>
  <c r="AT516" i="1"/>
  <c r="CX506" i="1"/>
  <c r="AX497" i="1"/>
  <c r="DB487" i="1"/>
  <c r="AO516" i="1"/>
  <c r="CS506" i="1"/>
  <c r="AS497" i="1"/>
  <c r="CW487" i="1"/>
  <c r="X516" i="1"/>
  <c r="DD596" i="1"/>
  <c r="BW576" i="1"/>
  <c r="BZ556" i="1"/>
  <c r="BJ560" i="1"/>
  <c r="AL560" i="1"/>
  <c r="AL557" i="1"/>
  <c r="CO537" i="1"/>
  <c r="AD528" i="1"/>
  <c r="AX530" i="1"/>
  <c r="AL528" i="1"/>
  <c r="R528" i="1"/>
  <c r="CH513" i="1"/>
  <c r="BL513" i="1"/>
  <c r="O483" i="1"/>
  <c r="J483" i="1"/>
  <c r="DI482" i="1"/>
  <c r="CO533" i="1"/>
  <c r="BS514" i="1"/>
  <c r="BW495" i="1"/>
  <c r="BN514" i="1"/>
  <c r="BR495" i="1"/>
  <c r="BI514" i="1"/>
  <c r="BM495" i="1"/>
  <c r="AR514" i="1"/>
  <c r="CS527" i="1"/>
  <c r="BW508" i="1"/>
  <c r="CA489" i="1"/>
  <c r="BR508" i="1"/>
  <c r="BV489" i="1"/>
  <c r="BM508" i="1"/>
  <c r="BQ489" i="1"/>
  <c r="AV508" i="1"/>
  <c r="P492" i="1"/>
  <c r="M472" i="1"/>
  <c r="Q449" i="1"/>
  <c r="DD464" i="1"/>
  <c r="CZ443" i="1"/>
  <c r="CA458" i="1"/>
  <c r="BJ475" i="1"/>
  <c r="T494" i="1"/>
  <c r="Q474" i="1"/>
  <c r="U451" i="1"/>
  <c r="H468" i="1"/>
  <c r="CZ448" i="1"/>
  <c r="CA475" i="1"/>
  <c r="S464" i="1"/>
  <c r="CE452" i="1"/>
  <c r="AE443" i="1"/>
  <c r="T503" i="1"/>
  <c r="BX493" i="1"/>
  <c r="X484" i="1"/>
  <c r="CK473" i="1"/>
  <c r="AC462" i="1"/>
  <c r="CO450" i="1"/>
  <c r="P479" i="1"/>
  <c r="CB467" i="1"/>
  <c r="AF455" i="1"/>
  <c r="CJ445" i="1"/>
  <c r="DG472" i="1"/>
  <c r="BK460" i="1"/>
  <c r="G450" i="1"/>
  <c r="P511" i="1"/>
  <c r="CB499" i="1"/>
  <c r="AB490" i="1"/>
  <c r="CF480" i="1"/>
  <c r="U469" i="1"/>
  <c r="CG457" i="1"/>
  <c r="AC447" i="1"/>
  <c r="BT478" i="1"/>
  <c r="H470" i="1"/>
  <c r="CZ462" i="1"/>
  <c r="BT454" i="1"/>
  <c r="P448" i="1"/>
  <c r="CI479" i="1"/>
  <c r="AQ472" i="1"/>
  <c r="CY463" i="1"/>
  <c r="CI455" i="1"/>
  <c r="AU449" i="1"/>
  <c r="BR480" i="1"/>
  <c r="BF473" i="1"/>
  <c r="Z465" i="1"/>
  <c r="CP469" i="1"/>
  <c r="AD460" i="1"/>
  <c r="CP452" i="1"/>
  <c r="AL446" i="1"/>
  <c r="AR440" i="1"/>
  <c r="DH433" i="1"/>
  <c r="BD427" i="1"/>
  <c r="AV421" i="1"/>
  <c r="H415" i="1"/>
  <c r="BH408" i="1"/>
  <c r="AU439" i="1"/>
  <c r="G433" i="1"/>
  <c r="BG426" i="1"/>
  <c r="AY420" i="1"/>
  <c r="K414" i="1"/>
  <c r="BK407" i="1"/>
  <c r="AP439" i="1"/>
  <c r="DF432" i="1"/>
  <c r="AD428" i="1"/>
  <c r="BF423" i="1"/>
  <c r="CH418" i="1"/>
  <c r="F414" i="1"/>
  <c r="AH409" i="1"/>
  <c r="AW442" i="1"/>
  <c r="BY437" i="1"/>
  <c r="BN469" i="1"/>
  <c r="AH462" i="1"/>
  <c r="BB455" i="1"/>
  <c r="CD450" i="1"/>
  <c r="DF445" i="1"/>
  <c r="AR441" i="1"/>
  <c r="BT436" i="1"/>
  <c r="CV431" i="1"/>
  <c r="T427" i="1"/>
  <c r="AV422" i="1"/>
  <c r="BX417" i="1"/>
  <c r="CZ412" i="1"/>
  <c r="X408" i="1"/>
  <c r="AU440" i="1"/>
  <c r="BW435" i="1"/>
  <c r="CY430" i="1"/>
  <c r="W426" i="1"/>
  <c r="AY421" i="1"/>
  <c r="CA416" i="1"/>
  <c r="DC411" i="1"/>
  <c r="AA407" i="1"/>
  <c r="AP440" i="1"/>
  <c r="BR435" i="1"/>
  <c r="CT430" i="1"/>
  <c r="R426" i="1"/>
  <c r="AT421" i="1"/>
  <c r="BV416" i="1"/>
  <c r="CX411" i="1"/>
  <c r="V407" i="1"/>
  <c r="AK440" i="1"/>
  <c r="AH474" i="1"/>
  <c r="V465" i="1"/>
  <c r="BZ458" i="1"/>
  <c r="CX452" i="1"/>
  <c r="V448" i="1"/>
  <c r="AX443" i="1"/>
  <c r="CN438" i="1"/>
  <c r="L434" i="1"/>
  <c r="AN429" i="1"/>
  <c r="BP424" i="1"/>
  <c r="CR419" i="1"/>
  <c r="P415" i="1"/>
  <c r="AR410" i="1"/>
  <c r="BO442" i="1"/>
  <c r="CQ437" i="1"/>
  <c r="O433" i="1"/>
  <c r="AQ428" i="1"/>
  <c r="BS423" i="1"/>
  <c r="CU418" i="1"/>
  <c r="S414" i="1"/>
  <c r="AU409" i="1"/>
  <c r="BJ442" i="1"/>
  <c r="CL437" i="1"/>
  <c r="J433" i="1"/>
  <c r="AL428" i="1"/>
  <c r="BN423" i="1"/>
  <c r="CP418" i="1"/>
  <c r="N414" i="1"/>
  <c r="AP409" i="1"/>
  <c r="BE442" i="1"/>
  <c r="CG437" i="1"/>
  <c r="BV475" i="1"/>
  <c r="N467" i="1"/>
  <c r="AT459" i="1"/>
  <c r="CH453" i="1"/>
  <c r="F449" i="1"/>
  <c r="AH444" i="1"/>
  <c r="BX439" i="1"/>
  <c r="CZ434" i="1"/>
  <c r="X430" i="1"/>
  <c r="AZ425" i="1"/>
  <c r="CB420" i="1"/>
  <c r="DD415" i="1"/>
  <c r="AB411" i="1"/>
  <c r="BD406" i="1"/>
  <c r="CA438" i="1"/>
  <c r="AU434" i="1"/>
  <c r="S431" i="1"/>
  <c r="G428" i="1"/>
  <c r="CY424" i="1"/>
  <c r="BW421" i="1"/>
  <c r="BK418" i="1"/>
  <c r="AY415" i="1"/>
  <c r="W412" i="1"/>
  <c r="K409" i="1"/>
  <c r="DC405" i="1"/>
  <c r="BN440" i="1"/>
  <c r="BB437" i="1"/>
  <c r="AP434" i="1"/>
  <c r="N431" i="1"/>
  <c r="CH421" i="1"/>
  <c r="AL409" i="1"/>
  <c r="BQ606" i="1"/>
  <c r="BU577" i="1"/>
  <c r="AN562" i="1"/>
  <c r="BS551" i="1"/>
  <c r="AY555" i="1"/>
  <c r="AE555" i="1"/>
  <c r="AE552" i="1"/>
  <c r="CB541" i="1"/>
  <c r="CV543" i="1"/>
  <c r="CJ541" i="1"/>
  <c r="BP541" i="1"/>
  <c r="AG528" i="1"/>
  <c r="J490" i="1"/>
  <c r="BE527" i="1"/>
  <c r="R509" i="1"/>
  <c r="M509" i="1"/>
  <c r="AZ511" i="1"/>
  <c r="CS526" i="1"/>
  <c r="BW507" i="1"/>
  <c r="CA488" i="1"/>
  <c r="BR507" i="1"/>
  <c r="BV488" i="1"/>
  <c r="BM507" i="1"/>
  <c r="BQ488" i="1"/>
  <c r="CL520" i="1"/>
  <c r="CW520" i="1"/>
  <c r="CA501" i="1"/>
  <c r="CE482" i="1"/>
  <c r="BV501" i="1"/>
  <c r="BZ482" i="1"/>
  <c r="BQ501" i="1"/>
  <c r="BU482" i="1"/>
  <c r="P504" i="1"/>
  <c r="T485" i="1"/>
  <c r="Y463" i="1"/>
  <c r="CZ479" i="1"/>
  <c r="CZ455" i="1"/>
  <c r="BW473" i="1"/>
  <c r="CA450" i="1"/>
  <c r="T506" i="1"/>
  <c r="X487" i="1"/>
  <c r="AC465" i="1"/>
  <c r="Y444" i="1"/>
  <c r="DH458" i="1"/>
  <c r="CZ444" i="1"/>
  <c r="AI472" i="1"/>
  <c r="CA459" i="1"/>
  <c r="AM449" i="1"/>
  <c r="AF511" i="1"/>
  <c r="CF499" i="1"/>
  <c r="AF490" i="1"/>
  <c r="CJ480" i="1"/>
  <c r="AO469" i="1"/>
  <c r="CK457" i="1"/>
  <c r="AW447" i="1"/>
  <c r="CN474" i="1"/>
  <c r="AF463" i="1"/>
  <c r="CR451" i="1"/>
  <c r="O480" i="1"/>
  <c r="BK468" i="1"/>
  <c r="S457" i="1"/>
  <c r="BS446" i="1"/>
  <c r="CJ505" i="1"/>
  <c r="AJ496" i="1"/>
  <c r="CN486" i="1"/>
  <c r="AK477" i="1"/>
  <c r="CC464" i="1"/>
  <c r="AK453" i="1"/>
  <c r="DI444" i="1"/>
  <c r="BX475" i="1"/>
  <c r="AF468" i="1"/>
  <c r="CN459" i="1"/>
  <c r="CB452" i="1"/>
  <c r="AN446" i="1"/>
  <c r="BK477" i="1"/>
  <c r="AU469" i="1"/>
  <c r="S462" i="1"/>
  <c r="BK453" i="1"/>
  <c r="BC447" i="1"/>
  <c r="CP478" i="1"/>
  <c r="AT470" i="1"/>
  <c r="AH463" i="1"/>
  <c r="BB467" i="1"/>
  <c r="F458" i="1"/>
  <c r="CX450" i="1"/>
  <c r="BJ444" i="1"/>
  <c r="T438" i="1"/>
  <c r="L432" i="1"/>
  <c r="CB425" i="1"/>
  <c r="X419" i="1"/>
  <c r="P413" i="1"/>
  <c r="CF406" i="1"/>
  <c r="W437" i="1"/>
  <c r="O431" i="1"/>
  <c r="CE424" i="1"/>
  <c r="AA418" i="1"/>
  <c r="S412" i="1"/>
  <c r="CI405" i="1"/>
  <c r="R437" i="1"/>
  <c r="BV431" i="1"/>
  <c r="CX426" i="1"/>
  <c r="V422" i="1"/>
  <c r="AX417" i="1"/>
  <c r="BZ412" i="1"/>
  <c r="DB407" i="1"/>
  <c r="M441" i="1"/>
  <c r="CT477" i="1"/>
  <c r="CL467" i="1"/>
  <c r="CX459" i="1"/>
  <c r="R454" i="1"/>
  <c r="AT449" i="1"/>
  <c r="BV444" i="1"/>
  <c r="H440" i="1"/>
  <c r="AJ435" i="1"/>
  <c r="BL430" i="1"/>
  <c r="CN425" i="1"/>
  <c r="L421" i="1"/>
  <c r="AN416" i="1"/>
  <c r="BP411" i="1"/>
  <c r="CR406" i="1"/>
  <c r="K439" i="1"/>
  <c r="AM434" i="1"/>
  <c r="BO429" i="1"/>
  <c r="CQ424" i="1"/>
  <c r="O420" i="1"/>
  <c r="AQ415" i="1"/>
  <c r="BS410" i="1"/>
  <c r="CU405" i="1"/>
  <c r="F439" i="1"/>
  <c r="AH434" i="1"/>
  <c r="BJ429" i="1"/>
  <c r="CL424" i="1"/>
  <c r="J420" i="1"/>
  <c r="AL415" i="1"/>
  <c r="BN410" i="1"/>
  <c r="CP405" i="1"/>
  <c r="DE438" i="1"/>
  <c r="CD470" i="1"/>
  <c r="AT463" i="1"/>
  <c r="AP457" i="1"/>
  <c r="BN451" i="1"/>
  <c r="CP446" i="1"/>
  <c r="AB442" i="1"/>
  <c r="BD437" i="1"/>
  <c r="CF432" i="1"/>
  <c r="DH427" i="1"/>
  <c r="AF423" i="1"/>
  <c r="BH418" i="1"/>
  <c r="CJ413" i="1"/>
  <c r="H409" i="1"/>
  <c r="AE441" i="1"/>
  <c r="BG436" i="1"/>
  <c r="CI431" i="1"/>
  <c r="G427" i="1"/>
  <c r="AI422" i="1"/>
  <c r="BK417" i="1"/>
  <c r="CM412" i="1"/>
  <c r="K408" i="1"/>
  <c r="Z441" i="1"/>
  <c r="BB436" i="1"/>
  <c r="CD431" i="1"/>
  <c r="DF426" i="1"/>
  <c r="AD422" i="1"/>
  <c r="BF417" i="1"/>
  <c r="CH412" i="1"/>
  <c r="F408" i="1"/>
  <c r="U441" i="1"/>
  <c r="AW436" i="1"/>
  <c r="DF472" i="1"/>
  <c r="AP464" i="1"/>
  <c r="J458" i="1"/>
  <c r="AX452" i="1"/>
  <c r="BZ447" i="1"/>
  <c r="DB442" i="1"/>
  <c r="AN438" i="1"/>
  <c r="BP433" i="1"/>
  <c r="CR428" i="1"/>
  <c r="P424" i="1"/>
  <c r="AR419" i="1"/>
  <c r="BT414" i="1"/>
  <c r="CV409" i="1"/>
  <c r="O442" i="1"/>
  <c r="AQ437" i="1"/>
  <c r="AQ433" i="1"/>
  <c r="BJ586" i="1"/>
  <c r="CZ576" i="1"/>
  <c r="N568" i="1"/>
  <c r="BY546" i="1"/>
  <c r="BE550" i="1"/>
  <c r="CX568" i="1"/>
  <c r="AK547" i="1"/>
  <c r="AY518" i="1"/>
  <c r="BS520" i="1"/>
  <c r="BG518" i="1"/>
  <c r="BR537" i="1"/>
  <c r="AQ485" i="1"/>
  <c r="AG485" i="1"/>
  <c r="CQ487" i="1"/>
  <c r="CL487" i="1"/>
  <c r="CG487" i="1"/>
  <c r="Y536" i="1"/>
  <c r="DG516" i="1"/>
  <c r="G498" i="1"/>
  <c r="DB516" i="1"/>
  <c r="DF497" i="1"/>
  <c r="CW516" i="1"/>
  <c r="DA497" i="1"/>
  <c r="CF516" i="1"/>
  <c r="AC530" i="1"/>
  <c r="G511" i="1"/>
  <c r="K492" i="1"/>
  <c r="DF510" i="1"/>
  <c r="F492" i="1"/>
  <c r="DA510" i="1"/>
  <c r="DE491" i="1"/>
  <c r="CJ510" i="1"/>
  <c r="BD494" i="1"/>
  <c r="BA474" i="1"/>
  <c r="BE451" i="1"/>
  <c r="AB468" i="1"/>
  <c r="AJ446" i="1"/>
  <c r="O462" i="1"/>
  <c r="CL478" i="1"/>
  <c r="BH496" i="1"/>
  <c r="BI477" i="1"/>
  <c r="BI453" i="1"/>
  <c r="AV470" i="1"/>
  <c r="AV450" i="1"/>
  <c r="CI477" i="1"/>
  <c r="AM465" i="1"/>
  <c r="CY453" i="1"/>
  <c r="AY444" i="1"/>
  <c r="AN504" i="1"/>
  <c r="CR494" i="1"/>
  <c r="AR485" i="1"/>
  <c r="DE474" i="1"/>
  <c r="AW463" i="1"/>
  <c r="DI451" i="1"/>
  <c r="AJ480" i="1"/>
  <c r="CV468" i="1"/>
  <c r="AN457" i="1"/>
  <c r="DD446" i="1"/>
  <c r="W474" i="1"/>
  <c r="BS462" i="1"/>
  <c r="AA451" i="1"/>
  <c r="BB479" i="1"/>
  <c r="CV500" i="1"/>
  <c r="AV491" i="1"/>
  <c r="CZ481" i="1"/>
  <c r="AO470" i="1"/>
  <c r="DC508" i="1"/>
  <c r="CX508" i="1"/>
  <c r="CS508" i="1"/>
  <c r="AB515" i="1"/>
  <c r="CZ498" i="1"/>
  <c r="CV485" i="1"/>
  <c r="AO475" i="1"/>
  <c r="DA463" i="1"/>
  <c r="AS452" i="1"/>
  <c r="CB480" i="1"/>
  <c r="P469" i="1"/>
  <c r="CB457" i="1"/>
  <c r="X447" i="1"/>
  <c r="AU474" i="1"/>
  <c r="DG462" i="1"/>
  <c r="AY451" i="1"/>
  <c r="BZ479" i="1"/>
  <c r="CV506" i="1"/>
  <c r="AV497" i="1"/>
  <c r="CZ487" i="1"/>
  <c r="AW478" i="1"/>
  <c r="DE465" i="1"/>
  <c r="AW454" i="1"/>
  <c r="DA444" i="1"/>
  <c r="X472" i="1"/>
  <c r="CF459" i="1"/>
  <c r="CQ619" i="1"/>
  <c r="BW615" i="1"/>
  <c r="CM588" i="1"/>
  <c r="AX594" i="1"/>
  <c r="CB587" i="1"/>
  <c r="DC573" i="1"/>
  <c r="CI573" i="1"/>
  <c r="S573" i="1"/>
  <c r="AL575" i="1"/>
  <c r="BG556" i="1"/>
  <c r="M565" i="1"/>
  <c r="CL545" i="1"/>
  <c r="CW568" i="1"/>
  <c r="BR549" i="1"/>
  <c r="CC568" i="1"/>
  <c r="AX549" i="1"/>
  <c r="CC565" i="1"/>
  <c r="AX546" i="1"/>
  <c r="CV554" i="1"/>
  <c r="AQ536" i="1"/>
  <c r="BA538" i="1"/>
  <c r="L519" i="1"/>
  <c r="DD554" i="1"/>
  <c r="AY536" i="1"/>
  <c r="CJ554" i="1"/>
  <c r="AE536" i="1"/>
  <c r="BZ522" i="1"/>
  <c r="AI503" i="1"/>
  <c r="AD503" i="1"/>
  <c r="Y503" i="1"/>
  <c r="BV521" i="1"/>
  <c r="BG502" i="1"/>
  <c r="CL515" i="1"/>
  <c r="CP496" i="1"/>
  <c r="CG515" i="1"/>
  <c r="CK496" i="1"/>
  <c r="BP515" i="1"/>
  <c r="DI530" i="1"/>
  <c r="CM511" i="1"/>
  <c r="CQ492" i="1"/>
  <c r="CH511" i="1"/>
  <c r="CL492" i="1"/>
  <c r="CC511" i="1"/>
  <c r="CG492" i="1"/>
  <c r="AH526" i="1"/>
  <c r="I525" i="1"/>
  <c r="CQ505" i="1"/>
  <c r="CU486" i="1"/>
  <c r="CL505" i="1"/>
  <c r="CP486" i="1"/>
  <c r="CG505" i="1"/>
  <c r="CK486" i="1"/>
  <c r="X509" i="1"/>
  <c r="AJ489" i="1"/>
  <c r="AC468" i="1"/>
  <c r="AK446" i="1"/>
  <c r="T462" i="1"/>
  <c r="CQ478" i="1"/>
  <c r="CQ454" i="1"/>
  <c r="CD472" i="1"/>
  <c r="AN491" i="1"/>
  <c r="AW470" i="1"/>
  <c r="AO448" i="1"/>
  <c r="X464" i="1"/>
  <c r="T447" i="1"/>
  <c r="AQ474" i="1"/>
  <c r="CM462" i="1"/>
  <c r="AU451" i="1"/>
  <c r="BV479" i="1"/>
  <c r="CN501" i="1"/>
  <c r="AN492" i="1"/>
  <c r="CR482" i="1"/>
  <c r="BA472" i="1"/>
  <c r="CS459" i="1"/>
  <c r="BE449" i="1"/>
  <c r="CJ477" i="1"/>
  <c r="AN465" i="1"/>
  <c r="CZ453" i="1"/>
  <c r="AZ444" i="1"/>
  <c r="BS470" i="1"/>
  <c r="AA459" i="1"/>
  <c r="CA448" i="1"/>
  <c r="AN508" i="1"/>
  <c r="AR498" i="1"/>
  <c r="CV488" i="1"/>
  <c r="AS479" i="1"/>
  <c r="CO467" i="1"/>
  <c r="AS455" i="1"/>
  <c r="CW445" i="1"/>
  <c r="T473" i="1"/>
  <c r="CB460" i="1"/>
  <c r="X450" i="1"/>
  <c r="AY478" i="1"/>
  <c r="DG465" i="1"/>
  <c r="AY454" i="1"/>
  <c r="DC444" i="1"/>
  <c r="V472" i="1"/>
  <c r="AX474" i="1"/>
  <c r="CX458" i="1"/>
  <c r="AT448" i="1"/>
  <c r="H439" i="1"/>
  <c r="BL429" i="1"/>
  <c r="L420" i="1"/>
  <c r="BP410" i="1"/>
  <c r="K438" i="1"/>
  <c r="BO428" i="1"/>
  <c r="O419" i="1"/>
  <c r="BS409" i="1"/>
  <c r="F438" i="1"/>
  <c r="BJ428" i="1"/>
  <c r="J419" i="1"/>
  <c r="BN409" i="1"/>
  <c r="DE437" i="1"/>
  <c r="BV462" i="1"/>
  <c r="F451" i="1"/>
  <c r="BX441" i="1"/>
  <c r="X432" i="1"/>
  <c r="CB422" i="1"/>
  <c r="AB413" i="1"/>
  <c r="CA440" i="1"/>
  <c r="AA431" i="1"/>
  <c r="CE421" i="1"/>
  <c r="AE412" i="1"/>
  <c r="BV440" i="1"/>
  <c r="V431" i="1"/>
  <c r="BZ421" i="1"/>
  <c r="Z412" i="1"/>
  <c r="BQ440" i="1"/>
  <c r="BN465" i="1"/>
  <c r="Z453" i="1"/>
  <c r="CD443" i="1"/>
  <c r="AR434" i="1"/>
  <c r="CV424" i="1"/>
  <c r="AV415" i="1"/>
  <c r="CY442" i="1"/>
  <c r="AU433" i="1"/>
  <c r="CY423" i="1"/>
  <c r="AY414" i="1"/>
  <c r="CR442" i="1"/>
  <c r="AP433" i="1"/>
  <c r="CT423" i="1"/>
  <c r="AT414" i="1"/>
  <c r="CK442" i="1"/>
  <c r="R477" i="1"/>
  <c r="BZ459" i="1"/>
  <c r="AL449" i="1"/>
  <c r="DD439" i="1"/>
  <c r="BD430" i="1"/>
  <c r="DH420" i="1"/>
  <c r="BH411" i="1"/>
  <c r="DG438" i="1"/>
  <c r="BG429" i="1"/>
  <c r="G420" i="1"/>
  <c r="BK410" i="1"/>
  <c r="DB438" i="1"/>
  <c r="BZ427" i="1"/>
  <c r="CG433" i="1"/>
  <c r="CN627" i="1"/>
  <c r="BP609" i="1"/>
  <c r="S598" i="1"/>
  <c r="CZ587" i="1"/>
  <c r="AC607" i="1"/>
  <c r="AT598" i="1"/>
  <c r="CR586" i="1"/>
  <c r="DD578" i="1"/>
  <c r="BT559" i="1"/>
  <c r="CJ578" i="1"/>
  <c r="AZ559" i="1"/>
  <c r="T578" i="1"/>
  <c r="CN558" i="1"/>
  <c r="AV578" i="1"/>
  <c r="BJ577" i="1"/>
  <c r="CJ558" i="1"/>
  <c r="CE558" i="1"/>
  <c r="BV569" i="1"/>
  <c r="AK567" i="1"/>
  <c r="K548" i="1"/>
  <c r="F548" i="1"/>
  <c r="CS547" i="1"/>
  <c r="Q571" i="1"/>
  <c r="CU551" i="1"/>
  <c r="CP551" i="1"/>
  <c r="BY551" i="1"/>
  <c r="DA570" i="1"/>
  <c r="CA551" i="1"/>
  <c r="BV551" i="1"/>
  <c r="BF570" i="1"/>
  <c r="DA567" i="1"/>
  <c r="CA548" i="1"/>
  <c r="BV548" i="1"/>
  <c r="BE548" i="1"/>
  <c r="BE538" i="1"/>
  <c r="T538" i="1"/>
  <c r="P519" i="1"/>
  <c r="BS519" i="1"/>
  <c r="AW541" i="1"/>
  <c r="AN540" i="1"/>
  <c r="AJ521" i="1"/>
  <c r="CM521" i="1"/>
  <c r="BQ538" i="1"/>
  <c r="AB538" i="1"/>
  <c r="X519" i="1"/>
  <c r="CA519" i="1"/>
  <c r="AO538" i="1"/>
  <c r="H538" i="1"/>
  <c r="DH518" i="1"/>
  <c r="BG519" i="1"/>
  <c r="BV525" i="1"/>
  <c r="CC524" i="1"/>
  <c r="BG505" i="1"/>
  <c r="BK486" i="1"/>
  <c r="BB505" i="1"/>
  <c r="BF486" i="1"/>
  <c r="AW505" i="1"/>
  <c r="BA486" i="1"/>
  <c r="BR524" i="1"/>
  <c r="DA523" i="1"/>
  <c r="CE504" i="1"/>
  <c r="CE488" i="1"/>
  <c r="CP516" i="1"/>
  <c r="AP507" i="1"/>
  <c r="CT497" i="1"/>
  <c r="AT488" i="1"/>
  <c r="CK516" i="1"/>
  <c r="AK507" i="1"/>
  <c r="CO497" i="1"/>
  <c r="AO488" i="1"/>
  <c r="BT516" i="1"/>
  <c r="CH522" i="1"/>
  <c r="I532" i="1"/>
  <c r="BM522" i="1"/>
  <c r="CQ512" i="1"/>
  <c r="AQ503" i="1"/>
  <c r="CU493" i="1"/>
  <c r="AU484" i="1"/>
  <c r="CL512" i="1"/>
  <c r="AL503" i="1"/>
  <c r="CP493" i="1"/>
  <c r="AP484" i="1"/>
  <c r="CG512" i="1"/>
  <c r="AG503" i="1"/>
  <c r="CK493" i="1"/>
  <c r="AK484" i="1"/>
  <c r="CL528" i="1"/>
  <c r="BM535" i="1"/>
  <c r="M526" i="1"/>
  <c r="AQ516" i="1"/>
  <c r="CU506" i="1"/>
  <c r="AU497" i="1"/>
  <c r="CY487" i="1"/>
  <c r="AL516" i="1"/>
  <c r="CP506" i="1"/>
  <c r="AP497" i="1"/>
  <c r="CT487" i="1"/>
  <c r="AG516" i="1"/>
  <c r="CK506" i="1"/>
  <c r="AK497" i="1"/>
  <c r="CO487" i="1"/>
  <c r="P516" i="1"/>
  <c r="BL511" i="1"/>
  <c r="CN499" i="1"/>
  <c r="AN490" i="1"/>
  <c r="CR480" i="1"/>
  <c r="AG469" i="1"/>
  <c r="CS457" i="1"/>
  <c r="AO447" i="1"/>
  <c r="BP474" i="1"/>
  <c r="X463" i="1"/>
  <c r="BT451" i="1"/>
  <c r="CU479" i="1"/>
  <c r="BC468" i="1"/>
  <c r="CU455" i="1"/>
  <c r="AU446" i="1"/>
  <c r="CH473" i="1"/>
  <c r="CR501" i="1"/>
  <c r="AR492" i="1"/>
  <c r="CV482" i="1"/>
  <c r="AO472" i="1"/>
  <c r="CW459" i="1"/>
  <c r="AS449" i="1"/>
  <c r="BX477" i="1"/>
  <c r="AB465" i="1"/>
  <c r="DD453" i="1"/>
  <c r="CF447" i="1"/>
  <c r="AY480" i="1"/>
  <c r="CM474" i="1"/>
  <c r="G469" i="1"/>
  <c r="AE463" i="1"/>
  <c r="BC457" i="1"/>
  <c r="CQ451" i="1"/>
  <c r="O447" i="1"/>
  <c r="N480" i="1"/>
  <c r="DH506" i="1"/>
  <c r="AF502" i="1"/>
  <c r="BH497" i="1"/>
  <c r="CJ492" i="1"/>
  <c r="H488" i="1"/>
  <c r="AJ483" i="1"/>
  <c r="BI478" i="1"/>
  <c r="CW472" i="1"/>
  <c r="AK468" i="1"/>
  <c r="CW464" i="1"/>
  <c r="BI462" i="1"/>
  <c r="Q459" i="1"/>
  <c r="CS455" i="1"/>
  <c r="BE453" i="1"/>
  <c r="Q451" i="1"/>
  <c r="CG448" i="1"/>
  <c r="AS446" i="1"/>
  <c r="DI443" i="1"/>
  <c r="AV479" i="1"/>
  <c r="H477" i="1"/>
  <c r="CJ473" i="1"/>
  <c r="AR470" i="1"/>
  <c r="DH467" i="1"/>
  <c r="BP464" i="1"/>
  <c r="AB462" i="1"/>
  <c r="CN458" i="1"/>
  <c r="BL455" i="1"/>
  <c r="X453" i="1"/>
  <c r="CN450" i="1"/>
  <c r="AZ448" i="1"/>
  <c r="L446" i="1"/>
  <c r="CB443" i="1"/>
  <c r="K479" i="1"/>
  <c r="BW475" i="1"/>
  <c r="AI473" i="1"/>
  <c r="CU469" i="1"/>
  <c r="BG467" i="1"/>
  <c r="O464" i="1"/>
  <c r="CQ460" i="1"/>
  <c r="BC458" i="1"/>
  <c r="K455" i="1"/>
  <c r="CA452" i="1"/>
  <c r="AM450" i="1"/>
  <c r="DC447" i="1"/>
  <c r="BO445" i="1"/>
  <c r="AA443" i="1"/>
  <c r="AJ512" i="1"/>
  <c r="T507" i="1"/>
  <c r="CF504" i="1"/>
  <c r="AR502" i="1"/>
  <c r="DH499" i="1"/>
  <c r="BT497" i="1"/>
  <c r="AF495" i="1"/>
  <c r="CV492" i="1"/>
  <c r="BH490" i="1"/>
  <c r="T488" i="1"/>
  <c r="CJ485" i="1"/>
  <c r="AV483" i="1"/>
  <c r="H481" i="1"/>
  <c r="BU478" i="1"/>
  <c r="AC475" i="1"/>
  <c r="CS472" i="1"/>
  <c r="BA469" i="1"/>
  <c r="M467" i="1"/>
  <c r="BY463" i="1"/>
  <c r="AW460" i="1"/>
  <c r="I458" i="1"/>
  <c r="BU454" i="1"/>
  <c r="AG452" i="1"/>
  <c r="CW449" i="1"/>
  <c r="BI447" i="1"/>
  <c r="U445" i="1"/>
  <c r="BL480" i="1"/>
  <c r="X478" i="1"/>
  <c r="CJ474" i="1"/>
  <c r="AV472" i="1"/>
  <c r="DH468" i="1"/>
  <c r="BP465" i="1"/>
  <c r="AB463" i="1"/>
  <c r="DD459" i="1"/>
  <c r="BP457" i="1"/>
  <c r="X454" i="1"/>
  <c r="CN451" i="1"/>
  <c r="AZ449" i="1"/>
  <c r="L447" i="1"/>
  <c r="CB444" i="1"/>
  <c r="K480" i="1"/>
  <c r="CA477" i="1"/>
  <c r="AI474" i="1"/>
  <c r="CU470" i="1"/>
  <c r="BG468" i="1"/>
  <c r="AE465" i="1"/>
  <c r="CU462" i="1"/>
  <c r="BC459" i="1"/>
  <c r="O457" i="1"/>
  <c r="CA453" i="1"/>
  <c r="AM451" i="1"/>
  <c r="DC448" i="1"/>
  <c r="BO446" i="1"/>
  <c r="AA444" i="1"/>
  <c r="BN479" i="1"/>
  <c r="Z477" i="1"/>
  <c r="CL473" i="1"/>
  <c r="BJ470" i="1"/>
  <c r="V468" i="1"/>
  <c r="CH464" i="1"/>
  <c r="AT462" i="1"/>
  <c r="DB472" i="1"/>
  <c r="AX468" i="1"/>
  <c r="AH464" i="1"/>
  <c r="BJ460" i="1"/>
  <c r="V458" i="1"/>
  <c r="CH454" i="1"/>
  <c r="AT452" i="1"/>
  <c r="F450" i="1"/>
  <c r="BV447" i="1"/>
  <c r="AH445" i="1"/>
  <c r="CX442" i="1"/>
  <c r="BX440" i="1"/>
  <c r="AJ438" i="1"/>
  <c r="CZ435" i="1"/>
  <c r="BL433" i="1"/>
  <c r="X431" i="1"/>
  <c r="CN428" i="1"/>
  <c r="AZ426" i="1"/>
  <c r="L424" i="1"/>
  <c r="CB421" i="1"/>
  <c r="AN419" i="1"/>
  <c r="DD416" i="1"/>
  <c r="BP414" i="1"/>
  <c r="AB412" i="1"/>
  <c r="CR409" i="1"/>
  <c r="BD407" i="1"/>
  <c r="K442" i="1"/>
  <c r="CA439" i="1"/>
  <c r="AM437" i="1"/>
  <c r="DC434" i="1"/>
  <c r="BO432" i="1"/>
  <c r="AA430" i="1"/>
  <c r="CQ427" i="1"/>
  <c r="BC425" i="1"/>
  <c r="O423" i="1"/>
  <c r="CE420" i="1"/>
  <c r="AQ418" i="1"/>
  <c r="DG415" i="1"/>
  <c r="BS413" i="1"/>
  <c r="AE411" i="1"/>
  <c r="CU408" i="1"/>
  <c r="BG406" i="1"/>
  <c r="F442" i="1"/>
  <c r="BV439" i="1"/>
  <c r="AH437" i="1"/>
  <c r="CX434" i="1"/>
  <c r="BJ432" i="1"/>
  <c r="V430" i="1"/>
  <c r="CL427" i="1"/>
  <c r="AX425" i="1"/>
  <c r="J423" i="1"/>
  <c r="BZ420" i="1"/>
  <c r="AL418" i="1"/>
  <c r="DB415" i="1"/>
  <c r="BN413" i="1"/>
  <c r="Z411" i="1"/>
  <c r="CP408" i="1"/>
  <c r="BB406" i="1"/>
  <c r="DE441" i="1"/>
  <c r="BQ439" i="1"/>
  <c r="AC437" i="1"/>
  <c r="CD473" i="1"/>
  <c r="DF468" i="1"/>
  <c r="CP464" i="1"/>
  <c r="CL460" i="1"/>
  <c r="AX458" i="1"/>
  <c r="F455" i="1"/>
  <c r="BV452" i="1"/>
  <c r="AH450" i="1"/>
  <c r="CX447" i="1"/>
  <c r="BJ445" i="1"/>
  <c r="V443" i="1"/>
  <c r="CZ440" i="1"/>
  <c r="BL438" i="1"/>
  <c r="X436" i="1"/>
  <c r="CN433" i="1"/>
  <c r="AZ431" i="1"/>
  <c r="L429" i="1"/>
  <c r="CB426" i="1"/>
  <c r="AN424" i="1"/>
  <c r="DD421" i="1"/>
  <c r="BP419" i="1"/>
  <c r="AB417" i="1"/>
  <c r="CR414" i="1"/>
  <c r="BD412" i="1"/>
  <c r="P410" i="1"/>
  <c r="CF407" i="1"/>
  <c r="AM442" i="1"/>
  <c r="DC439" i="1"/>
  <c r="BO437" i="1"/>
  <c r="AA435" i="1"/>
  <c r="CQ432" i="1"/>
  <c r="BC430" i="1"/>
  <c r="O428" i="1"/>
  <c r="CE425" i="1"/>
  <c r="AQ423" i="1"/>
  <c r="DG420" i="1"/>
  <c r="BS418" i="1"/>
  <c r="AE416" i="1"/>
  <c r="CU413" i="1"/>
  <c r="BG411" i="1"/>
  <c r="S409" i="1"/>
  <c r="CI406" i="1"/>
  <c r="AH442" i="1"/>
  <c r="CX439" i="1"/>
  <c r="BJ437" i="1"/>
  <c r="V435" i="1"/>
  <c r="CL432" i="1"/>
  <c r="AX430" i="1"/>
  <c r="J428" i="1"/>
  <c r="BZ425" i="1"/>
  <c r="AL423" i="1"/>
  <c r="DB420" i="1"/>
  <c r="BN418" i="1"/>
  <c r="Z416" i="1"/>
  <c r="CP413" i="1"/>
  <c r="BB411" i="1"/>
  <c r="N409" i="1"/>
  <c r="CD406" i="1"/>
  <c r="AC442" i="1"/>
  <c r="CS439" i="1"/>
  <c r="BE437" i="1"/>
  <c r="AT473" i="1"/>
  <c r="CD468" i="1"/>
  <c r="BN464" i="1"/>
  <c r="BR460" i="1"/>
  <c r="AD458" i="1"/>
  <c r="CP454" i="1"/>
  <c r="BB452" i="1"/>
  <c r="N450" i="1"/>
  <c r="CD447" i="1"/>
  <c r="AP445" i="1"/>
  <c r="DF442" i="1"/>
  <c r="CF440" i="1"/>
  <c r="AR438" i="1"/>
  <c r="DH435" i="1"/>
  <c r="BT433" i="1"/>
  <c r="AF431" i="1"/>
  <c r="CV428" i="1"/>
  <c r="BH426" i="1"/>
  <c r="T424" i="1"/>
  <c r="CJ421" i="1"/>
  <c r="AV419" i="1"/>
  <c r="H417" i="1"/>
  <c r="BX414" i="1"/>
  <c r="AJ412" i="1"/>
  <c r="CZ409" i="1"/>
  <c r="BL407" i="1"/>
  <c r="S442" i="1"/>
  <c r="CI439" i="1"/>
  <c r="AU437" i="1"/>
  <c r="G435" i="1"/>
  <c r="BW432" i="1"/>
  <c r="AI430" i="1"/>
  <c r="CY427" i="1"/>
  <c r="BK425" i="1"/>
  <c r="W423" i="1"/>
  <c r="CM420" i="1"/>
  <c r="AY418" i="1"/>
  <c r="K416" i="1"/>
  <c r="CA413" i="1"/>
  <c r="AM411" i="1"/>
  <c r="DC408" i="1"/>
  <c r="BO406" i="1"/>
  <c r="N442" i="1"/>
  <c r="CD439" i="1"/>
  <c r="AP437" i="1"/>
  <c r="DF434" i="1"/>
  <c r="BR432" i="1"/>
  <c r="AD430" i="1"/>
  <c r="CT427" i="1"/>
  <c r="BF425" i="1"/>
  <c r="R423" i="1"/>
  <c r="CH420" i="1"/>
  <c r="AT418" i="1"/>
  <c r="F416" i="1"/>
  <c r="BV413" i="1"/>
  <c r="AH411" i="1"/>
  <c r="CX408" i="1"/>
  <c r="BJ406" i="1"/>
  <c r="I442" i="1"/>
  <c r="BY439" i="1"/>
  <c r="AK437" i="1"/>
  <c r="DA434" i="1"/>
  <c r="CH474" i="1"/>
  <c r="BZ469" i="1"/>
  <c r="BJ465" i="1"/>
  <c r="AP462" i="1"/>
  <c r="DB458" i="1"/>
  <c r="BZ455" i="1"/>
  <c r="AL453" i="1"/>
  <c r="DB450" i="1"/>
  <c r="BN448" i="1"/>
  <c r="Z446" i="1"/>
  <c r="CP443" i="1"/>
  <c r="BP441" i="1"/>
  <c r="AB439" i="1"/>
  <c r="CR436" i="1"/>
  <c r="BD434" i="1"/>
  <c r="P432" i="1"/>
  <c r="CF429" i="1"/>
  <c r="AR427" i="1"/>
  <c r="DH424" i="1"/>
  <c r="BT422" i="1"/>
  <c r="AF420" i="1"/>
  <c r="CV417" i="1"/>
  <c r="BH415" i="1"/>
  <c r="T413" i="1"/>
  <c r="CJ410" i="1"/>
  <c r="AV408" i="1"/>
  <c r="H406" i="1"/>
  <c r="BS440" i="1"/>
  <c r="AE438" i="1"/>
  <c r="CU435" i="1"/>
  <c r="BY634" i="1"/>
  <c r="AM628" i="1"/>
  <c r="CV620" i="1"/>
  <c r="BY613" i="1"/>
  <c r="AH620" i="1"/>
  <c r="CG617" i="1"/>
  <c r="AW604" i="1"/>
  <c r="CG606" i="1"/>
  <c r="H609" i="1"/>
  <c r="U608" i="1"/>
  <c r="BV598" i="1"/>
  <c r="CV587" i="1"/>
  <c r="BZ588" i="1"/>
  <c r="BX586" i="1"/>
  <c r="Q599" i="1"/>
  <c r="S591" i="1"/>
  <c r="BZ586" i="1"/>
  <c r="BO609" i="1"/>
  <c r="BL597" i="1"/>
  <c r="M578" i="1"/>
  <c r="BC576" i="1"/>
  <c r="CV566" i="1"/>
  <c r="CQ566" i="1"/>
  <c r="CO577" i="1"/>
  <c r="AI576" i="1"/>
  <c r="CB566" i="1"/>
  <c r="BW566" i="1"/>
  <c r="DE576" i="1"/>
  <c r="BW575" i="1"/>
  <c r="L566" i="1"/>
  <c r="G566" i="1"/>
  <c r="U576" i="1"/>
  <c r="BT632" i="1"/>
  <c r="DE628" i="1"/>
  <c r="BH616" i="1"/>
  <c r="CD619" i="1"/>
  <c r="AG623" i="1"/>
  <c r="CV609" i="1"/>
  <c r="BL604" i="1"/>
  <c r="CM591" i="1"/>
  <c r="AN596" i="1"/>
  <c r="DH561" i="1"/>
  <c r="CN561" i="1"/>
  <c r="X561" i="1"/>
  <c r="W579" i="1"/>
  <c r="BP569" i="1"/>
  <c r="BK569" i="1"/>
  <c r="CP569" i="1"/>
  <c r="Z559" i="1"/>
  <c r="U559" i="1"/>
  <c r="CY539" i="1"/>
  <c r="CT539" i="1"/>
  <c r="CT563" i="1"/>
  <c r="DE562" i="1"/>
  <c r="CE543" i="1"/>
  <c r="BZ543" i="1"/>
  <c r="BV563" i="1"/>
  <c r="CK562" i="1"/>
  <c r="BK543" i="1"/>
  <c r="BF543" i="1"/>
  <c r="CP559" i="1"/>
  <c r="CK559" i="1"/>
  <c r="BK540" i="1"/>
  <c r="BF540" i="1"/>
  <c r="AO540" i="1"/>
  <c r="DD548" i="1"/>
  <c r="CZ529" i="1"/>
  <c r="AY530" i="1"/>
  <c r="CH530" i="1"/>
  <c r="T551" i="1"/>
  <c r="P532" i="1"/>
  <c r="BS532" i="1"/>
  <c r="DB532" i="1"/>
  <c r="H549" i="1"/>
  <c r="DH529" i="1"/>
  <c r="BG530" i="1"/>
  <c r="CP530" i="1"/>
  <c r="CR548" i="1"/>
  <c r="CN529" i="1"/>
  <c r="AM530" i="1"/>
  <c r="BV530" i="1"/>
  <c r="BI535" i="1"/>
  <c r="AM516" i="1"/>
  <c r="AQ497" i="1"/>
  <c r="AH516" i="1"/>
  <c r="AL497" i="1"/>
  <c r="AC516" i="1"/>
  <c r="AG497" i="1"/>
  <c r="L516" i="1"/>
  <c r="CG534" i="1"/>
  <c r="BK515" i="1"/>
  <c r="BO496" i="1"/>
  <c r="AY484" i="1"/>
  <c r="CP512" i="1"/>
  <c r="AP503" i="1"/>
  <c r="CT493" i="1"/>
  <c r="AT484" i="1"/>
  <c r="CK512" i="1"/>
  <c r="AK503" i="1"/>
  <c r="CO493" i="1"/>
  <c r="AO484" i="1"/>
  <c r="BT512" i="1"/>
  <c r="BI537" i="1"/>
  <c r="I528" i="1"/>
  <c r="AP518" i="1"/>
  <c r="CQ508" i="1"/>
  <c r="AQ499" i="1"/>
  <c r="CU489" i="1"/>
  <c r="AI518" i="1"/>
  <c r="CL508" i="1"/>
  <c r="AL499" i="1"/>
  <c r="CP489" i="1"/>
  <c r="AC518" i="1"/>
  <c r="CG508" i="1"/>
  <c r="AG499" i="1"/>
  <c r="CK489" i="1"/>
  <c r="L518" i="1"/>
  <c r="R522" i="1"/>
  <c r="BM531" i="1"/>
  <c r="M522" i="1"/>
  <c r="AQ512" i="1"/>
  <c r="CU502" i="1"/>
  <c r="AU493" i="1"/>
  <c r="CY483" i="1"/>
  <c r="AL512" i="1"/>
  <c r="CP502" i="1"/>
  <c r="AP493" i="1"/>
  <c r="CT483" i="1"/>
  <c r="AG512" i="1"/>
  <c r="CK502" i="1"/>
  <c r="AK493" i="1"/>
  <c r="CO483" i="1"/>
  <c r="P512" i="1"/>
  <c r="AJ505" i="1"/>
  <c r="CN495" i="1"/>
  <c r="AN486" i="1"/>
  <c r="CK475" i="1"/>
  <c r="AS464" i="1"/>
  <c r="CO452" i="1"/>
  <c r="AO443" i="1"/>
  <c r="BL469" i="1"/>
  <c r="T458" i="1"/>
  <c r="BT447" i="1"/>
  <c r="CQ474" i="1"/>
  <c r="AY463" i="1"/>
  <c r="CU451" i="1"/>
  <c r="R480" i="1"/>
  <c r="AZ507" i="1"/>
  <c r="CR497" i="1"/>
  <c r="AR488" i="1"/>
  <c r="CS478" i="1"/>
  <c r="BA467" i="1"/>
  <c r="CS454" i="1"/>
  <c r="AS445" i="1"/>
  <c r="BT472" i="1"/>
  <c r="X460" i="1"/>
  <c r="AZ451" i="1"/>
  <c r="BH445" i="1"/>
  <c r="BG478" i="1"/>
  <c r="CU472" i="1"/>
  <c r="O467" i="1"/>
  <c r="AI460" i="1"/>
  <c r="BW454" i="1"/>
  <c r="CY449" i="1"/>
  <c r="W445" i="1"/>
  <c r="V478" i="1"/>
  <c r="L505" i="1"/>
  <c r="AN500" i="1"/>
  <c r="BP495" i="1"/>
  <c r="CR490" i="1"/>
  <c r="P486" i="1"/>
  <c r="AR481" i="1"/>
  <c r="CC475" i="1"/>
  <c r="DA469" i="1"/>
  <c r="U464" i="1"/>
  <c r="AS458" i="1"/>
  <c r="CG452" i="1"/>
  <c r="DI447" i="1"/>
  <c r="AG443" i="1"/>
  <c r="AV475" i="1"/>
  <c r="BT469" i="1"/>
  <c r="CR463" i="1"/>
  <c r="L458" i="1"/>
  <c r="AZ452" i="1"/>
  <c r="CB447" i="1"/>
  <c r="DD442" i="1"/>
  <c r="CY474" i="1"/>
  <c r="S469" i="1"/>
  <c r="AQ463" i="1"/>
  <c r="CE457" i="1"/>
  <c r="DC451" i="1"/>
  <c r="AA447" i="1"/>
  <c r="Z480" i="1"/>
  <c r="AR506" i="1"/>
  <c r="BT501" i="1"/>
  <c r="CV496" i="1"/>
  <c r="T492" i="1"/>
  <c r="AV487" i="1"/>
  <c r="BX482" i="1"/>
  <c r="CW477" i="1"/>
  <c r="Q472" i="1"/>
  <c r="AK465" i="1"/>
  <c r="BY459" i="1"/>
  <c r="CW453" i="1"/>
  <c r="U449" i="1"/>
  <c r="CJ608" i="1"/>
  <c r="BC590" i="1"/>
  <c r="F596" i="1"/>
  <c r="BP576" i="1"/>
  <c r="AV576" i="1"/>
  <c r="CJ575" i="1"/>
  <c r="H580" i="1"/>
  <c r="CD578" i="1"/>
  <c r="DD559" i="1"/>
  <c r="CY559" i="1"/>
  <c r="AD571" i="1"/>
  <c r="BE568" i="1"/>
  <c r="AE549" i="1"/>
  <c r="Z549" i="1"/>
  <c r="I549" i="1"/>
  <c r="AK572" i="1"/>
  <c r="K553" i="1"/>
  <c r="F553" i="1"/>
  <c r="CS552" i="1"/>
  <c r="Q572" i="1"/>
  <c r="CU552" i="1"/>
  <c r="CP552" i="1"/>
  <c r="BY552" i="1"/>
  <c r="Q569" i="1"/>
  <c r="CU549" i="1"/>
  <c r="CP549" i="1"/>
  <c r="BY549" i="1"/>
  <c r="M540" i="1"/>
  <c r="AN539" i="1"/>
  <c r="AJ520" i="1"/>
  <c r="CM520" i="1"/>
  <c r="DE542" i="1"/>
  <c r="BH541" i="1"/>
  <c r="BD522" i="1"/>
  <c r="DG522" i="1"/>
  <c r="U540" i="1"/>
  <c r="AV539" i="1"/>
  <c r="AR520" i="1"/>
  <c r="CU520" i="1"/>
  <c r="DA539" i="1"/>
  <c r="AB539" i="1"/>
  <c r="X520" i="1"/>
  <c r="CA520" i="1"/>
  <c r="J528" i="1"/>
  <c r="CW525" i="1"/>
  <c r="CA506" i="1"/>
  <c r="CE487" i="1"/>
  <c r="BV506" i="1"/>
  <c r="BZ487" i="1"/>
  <c r="BQ506" i="1"/>
  <c r="BU487" i="1"/>
  <c r="AX526" i="1"/>
  <c r="Q525" i="1"/>
  <c r="CY505" i="1"/>
  <c r="BC489" i="1"/>
  <c r="AX517" i="1"/>
  <c r="DB507" i="1"/>
  <c r="BB498" i="1"/>
  <c r="DF488" i="1"/>
  <c r="AS517" i="1"/>
  <c r="CW507" i="1"/>
  <c r="AW498" i="1"/>
  <c r="DA488" i="1"/>
  <c r="AB517" i="1"/>
  <c r="BN523" i="1"/>
  <c r="BU532" i="1"/>
  <c r="U523" i="1"/>
  <c r="AY513" i="1"/>
  <c r="DC503" i="1"/>
  <c r="BC494" i="1"/>
  <c r="DG484" i="1"/>
  <c r="AT513" i="1"/>
  <c r="CX503" i="1"/>
  <c r="AX494" i="1"/>
  <c r="DB484" i="1"/>
  <c r="AO513" i="1"/>
  <c r="CS503" i="1"/>
  <c r="AS494" i="1"/>
  <c r="CW484" i="1"/>
  <c r="X513" i="1"/>
  <c r="U536" i="1"/>
  <c r="BY526" i="1"/>
  <c r="DC516" i="1"/>
  <c r="BC507" i="1"/>
  <c r="DG497" i="1"/>
  <c r="BG488" i="1"/>
  <c r="CX516" i="1"/>
  <c r="AX507" i="1"/>
  <c r="DB497" i="1"/>
  <c r="BB488" i="1"/>
  <c r="CS516" i="1"/>
  <c r="AS507" i="1"/>
  <c r="CW497" i="1"/>
  <c r="AW488" i="1"/>
  <c r="CB516" i="1"/>
  <c r="AB507" i="1"/>
  <c r="AV500" i="1"/>
  <c r="CZ490" i="1"/>
  <c r="AZ481" i="1"/>
  <c r="CS469" i="1"/>
  <c r="BA458" i="1"/>
  <c r="DA447" i="1"/>
  <c r="X475" i="1"/>
  <c r="CJ463" i="1"/>
  <c r="AB452" i="1"/>
  <c r="BC480" i="1"/>
  <c r="K469" i="1"/>
  <c r="BG457" i="1"/>
  <c r="DG446" i="1"/>
  <c r="AP474" i="1"/>
  <c r="AZ502" i="1"/>
  <c r="DD492" i="1"/>
  <c r="BD483" i="1"/>
  <c r="DA472" i="1"/>
  <c r="BE460" i="1"/>
  <c r="DE449" i="1"/>
  <c r="AF478" i="1"/>
  <c r="CN465" i="1"/>
  <c r="AV454" i="1"/>
  <c r="H448" i="1"/>
  <c r="DH442" i="1"/>
  <c r="O475" i="1"/>
  <c r="AM469" i="1"/>
  <c r="BK463" i="1"/>
  <c r="CI457" i="1"/>
  <c r="S452" i="1"/>
  <c r="AU447" i="1"/>
  <c r="AT480" i="1"/>
  <c r="AV507" i="1"/>
  <c r="BL502" i="1"/>
  <c r="CN497" i="1"/>
  <c r="L493" i="1"/>
  <c r="AN488" i="1"/>
  <c r="BP483" i="1"/>
  <c r="CO478" i="1"/>
  <c r="Y473" i="1"/>
  <c r="AW467" i="1"/>
  <c r="BQ460" i="1"/>
  <c r="DE454" i="1"/>
  <c r="AC450" i="1"/>
  <c r="BE445" i="1"/>
  <c r="BH478" i="1"/>
  <c r="CV472" i="1"/>
  <c r="P467" i="1"/>
  <c r="AJ460" i="1"/>
  <c r="BX454" i="1"/>
  <c r="CZ449" i="1"/>
  <c r="X445" i="1"/>
  <c r="W478" i="1"/>
  <c r="AU472" i="1"/>
  <c r="BO465" i="1"/>
  <c r="DC459" i="1"/>
  <c r="W454" i="1"/>
  <c r="AY449" i="1"/>
  <c r="CA444" i="1"/>
  <c r="CN509" i="1"/>
  <c r="CR503" i="1"/>
  <c r="P499" i="1"/>
  <c r="AR494" i="1"/>
  <c r="BT489" i="1"/>
  <c r="CV484" i="1"/>
  <c r="Q480" i="1"/>
  <c r="AO474" i="1"/>
  <c r="BM468" i="1"/>
  <c r="CK462" i="1"/>
  <c r="U457" i="1"/>
  <c r="AS451" i="1"/>
  <c r="BU446" i="1"/>
  <c r="BX479" i="1"/>
  <c r="CV473" i="1"/>
  <c r="P468" i="1"/>
  <c r="AN462" i="1"/>
  <c r="BX455" i="1"/>
  <c r="CZ450" i="1"/>
  <c r="X446" i="1"/>
  <c r="W479" i="1"/>
  <c r="AU473" i="1"/>
  <c r="BS467" i="1"/>
  <c r="DC460" i="1"/>
  <c r="W455" i="1"/>
  <c r="AY450" i="1"/>
  <c r="CA445" i="1"/>
  <c r="BZ478" i="1"/>
  <c r="CX472" i="1"/>
  <c r="AH467" i="1"/>
  <c r="CX475" i="1"/>
  <c r="AD467" i="1"/>
  <c r="BV459" i="1"/>
  <c r="CT453" i="1"/>
  <c r="R449" i="1"/>
  <c r="AT444" i="1"/>
  <c r="CJ439" i="1"/>
  <c r="H435" i="1"/>
  <c r="AJ430" i="1"/>
  <c r="BL425" i="1"/>
  <c r="CN420" i="1"/>
  <c r="L416" i="1"/>
  <c r="AN411" i="1"/>
  <c r="BP406" i="1"/>
  <c r="CM438" i="1"/>
  <c r="K434" i="1"/>
  <c r="AM429" i="1"/>
  <c r="BO424" i="1"/>
  <c r="CQ419" i="1"/>
  <c r="O415" i="1"/>
  <c r="AQ410" i="1"/>
  <c r="BS405" i="1"/>
  <c r="CH438" i="1"/>
  <c r="F434" i="1"/>
  <c r="BG607" i="1"/>
  <c r="P586" i="1"/>
  <c r="AC591" i="1"/>
  <c r="BD571" i="1"/>
  <c r="AJ571" i="1"/>
  <c r="BX570" i="1"/>
  <c r="BK581" i="1"/>
  <c r="DD571" i="1"/>
  <c r="CY571" i="1"/>
  <c r="Z572" i="1"/>
  <c r="DB561" i="1"/>
  <c r="BI561" i="1"/>
  <c r="AI542" i="1"/>
  <c r="AD542" i="1"/>
  <c r="J567" i="1"/>
  <c r="AO565" i="1"/>
  <c r="O546" i="1"/>
  <c r="J546" i="1"/>
  <c r="CL566" i="1"/>
  <c r="U565" i="1"/>
  <c r="CY545" i="1"/>
  <c r="CT545" i="1"/>
  <c r="CL562" i="1"/>
  <c r="U562" i="1"/>
  <c r="CY542" i="1"/>
  <c r="CT542" i="1"/>
  <c r="CC542" i="1"/>
  <c r="AN551" i="1"/>
  <c r="AJ532" i="1"/>
  <c r="CM532" i="1"/>
  <c r="R533" i="1"/>
  <c r="BH553" i="1"/>
  <c r="BD534" i="1"/>
  <c r="DG534" i="1"/>
  <c r="AL535" i="1"/>
  <c r="AV551" i="1"/>
  <c r="AR532" i="1"/>
  <c r="CU532" i="1"/>
  <c r="Z533" i="1"/>
  <c r="AB551" i="1"/>
  <c r="X532" i="1"/>
  <c r="CA532" i="1"/>
  <c r="F533" i="1"/>
  <c r="CP518" i="1"/>
  <c r="DA518" i="1"/>
  <c r="CE499" i="1"/>
  <c r="CI480" i="1"/>
  <c r="BZ499" i="1"/>
  <c r="CD480" i="1"/>
  <c r="BU499" i="1"/>
  <c r="BM518" i="1"/>
  <c r="Q537" i="1"/>
  <c r="CY517" i="1"/>
  <c r="DC498" i="1"/>
  <c r="BS485" i="1"/>
  <c r="F514" i="1"/>
  <c r="BJ504" i="1"/>
  <c r="J495" i="1"/>
  <c r="BN485" i="1"/>
  <c r="DE513" i="1"/>
  <c r="BE504" i="1"/>
  <c r="DI494" i="1"/>
  <c r="BI485" i="1"/>
  <c r="AG604" i="1"/>
  <c r="CA566" i="1"/>
  <c r="L567" i="1"/>
  <c r="AV556" i="1"/>
  <c r="BA560" i="1"/>
  <c r="AG560" i="1"/>
  <c r="AG557" i="1"/>
  <c r="AZ546" i="1"/>
  <c r="BT548" i="1"/>
  <c r="BH546" i="1"/>
  <c r="AN546" i="1"/>
  <c r="DI532" i="1"/>
  <c r="CL494" i="1"/>
  <c r="AC532" i="1"/>
  <c r="BF511" i="1"/>
  <c r="BA511" i="1"/>
  <c r="BX513" i="1"/>
  <c r="M529" i="1"/>
  <c r="CU509" i="1"/>
  <c r="CY490" i="1"/>
  <c r="CP509" i="1"/>
  <c r="CT490" i="1"/>
  <c r="CK509" i="1"/>
  <c r="CO490" i="1"/>
  <c r="BF523" i="1"/>
  <c r="Q523" i="1"/>
  <c r="CY503" i="1"/>
  <c r="DC484" i="1"/>
  <c r="CT503" i="1"/>
  <c r="CX484" i="1"/>
  <c r="CO503" i="1"/>
  <c r="CS484" i="1"/>
  <c r="AN506" i="1"/>
  <c r="AR487" i="1"/>
  <c r="AW465" i="1"/>
  <c r="AS444" i="1"/>
  <c r="X459" i="1"/>
  <c r="CU475" i="1"/>
  <c r="CY452" i="1"/>
  <c r="AR509" i="1"/>
  <c r="AV489" i="1"/>
  <c r="BE468" i="1"/>
  <c r="AW446" i="1"/>
  <c r="AF462" i="1"/>
  <c r="DD445" i="1"/>
  <c r="AM473" i="1"/>
  <c r="CE460" i="1"/>
  <c r="AQ450" i="1"/>
  <c r="BR478" i="1"/>
  <c r="CJ500" i="1"/>
  <c r="AJ491" i="1"/>
  <c r="CN481" i="1"/>
  <c r="AS470" i="1"/>
  <c r="CO458" i="1"/>
  <c r="BA448" i="1"/>
  <c r="CR475" i="1"/>
  <c r="AJ464" i="1"/>
  <c r="CV452" i="1"/>
  <c r="AV443" i="1"/>
  <c r="BO469" i="1"/>
  <c r="W458" i="1"/>
  <c r="BW447" i="1"/>
  <c r="CN506" i="1"/>
  <c r="AN497" i="1"/>
  <c r="CR487" i="1"/>
  <c r="AO478" i="1"/>
  <c r="CG465" i="1"/>
  <c r="AO454" i="1"/>
  <c r="BQ445" i="1"/>
  <c r="CN475" i="1"/>
  <c r="CB468" i="1"/>
  <c r="AV460" i="1"/>
  <c r="CR452" i="1"/>
  <c r="CJ446" i="1"/>
  <c r="S478" i="1"/>
  <c r="BK469" i="1"/>
  <c r="BO462" i="1"/>
  <c r="S454" i="1"/>
  <c r="BS447" i="1"/>
  <c r="AH479" i="1"/>
  <c r="DF470" i="1"/>
  <c r="AX463" i="1"/>
  <c r="J468" i="1"/>
  <c r="BR458" i="1"/>
  <c r="J451" i="1"/>
  <c r="DF444" i="1"/>
  <c r="CF438" i="1"/>
  <c r="AB432" i="1"/>
  <c r="T426" i="1"/>
  <c r="CJ419" i="1"/>
  <c r="AF413" i="1"/>
  <c r="X407" i="1"/>
  <c r="CI437" i="1"/>
  <c r="AE431" i="1"/>
  <c r="W425" i="1"/>
  <c r="CM418" i="1"/>
  <c r="AI412" i="1"/>
  <c r="AA406" i="1"/>
  <c r="CD437" i="1"/>
  <c r="CL431" i="1"/>
  <c r="J427" i="1"/>
  <c r="AL422" i="1"/>
  <c r="BN417" i="1"/>
  <c r="CP412" i="1"/>
  <c r="N408" i="1"/>
  <c r="AC441" i="1"/>
  <c r="AX478" i="1"/>
  <c r="DF467" i="1"/>
  <c r="J460" i="1"/>
  <c r="AH454" i="1"/>
  <c r="BJ449" i="1"/>
  <c r="CL444" i="1"/>
  <c r="X440" i="1"/>
  <c r="AZ435" i="1"/>
  <c r="CB430" i="1"/>
  <c r="DD425" i="1"/>
  <c r="AB421" i="1"/>
  <c r="BD416" i="1"/>
  <c r="CF411" i="1"/>
  <c r="DH406" i="1"/>
  <c r="AA439" i="1"/>
  <c r="BC434" i="1"/>
  <c r="CE429" i="1"/>
  <c r="DG424" i="1"/>
  <c r="AE420" i="1"/>
  <c r="BG415" i="1"/>
  <c r="CI410" i="1"/>
  <c r="G406" i="1"/>
  <c r="V439" i="1"/>
  <c r="AX434" i="1"/>
  <c r="BZ429" i="1"/>
  <c r="DB424" i="1"/>
  <c r="Z420" i="1"/>
  <c r="BB415" i="1"/>
  <c r="CD410" i="1"/>
  <c r="DF405" i="1"/>
  <c r="Q439" i="1"/>
  <c r="CX470" i="1"/>
  <c r="BR463" i="1"/>
  <c r="BF457" i="1"/>
  <c r="CD451" i="1"/>
  <c r="DF446" i="1"/>
  <c r="AR442" i="1"/>
  <c r="BT437" i="1"/>
  <c r="CV432" i="1"/>
  <c r="T428" i="1"/>
  <c r="AV423" i="1"/>
  <c r="BX418" i="1"/>
  <c r="CZ413" i="1"/>
  <c r="X409" i="1"/>
  <c r="AU441" i="1"/>
  <c r="BW436" i="1"/>
  <c r="CY431" i="1"/>
  <c r="W427" i="1"/>
  <c r="AY422" i="1"/>
  <c r="CA417" i="1"/>
  <c r="DC412" i="1"/>
  <c r="AA408" i="1"/>
  <c r="AP441" i="1"/>
  <c r="BR436" i="1"/>
  <c r="CT431" i="1"/>
  <c r="R427" i="1"/>
  <c r="AT422" i="1"/>
  <c r="BV417" i="1"/>
  <c r="CX412" i="1"/>
  <c r="V408" i="1"/>
  <c r="AK441" i="1"/>
  <c r="BM436" i="1"/>
  <c r="AH473" i="1"/>
  <c r="BJ464" i="1"/>
  <c r="Z458" i="1"/>
  <c r="BN452" i="1"/>
  <c r="CP447" i="1"/>
  <c r="N443" i="1"/>
  <c r="BD438" i="1"/>
  <c r="CF433" i="1"/>
  <c r="DH428" i="1"/>
  <c r="AF424" i="1"/>
  <c r="BH419" i="1"/>
  <c r="CJ414" i="1"/>
  <c r="H410" i="1"/>
  <c r="AE442" i="1"/>
  <c r="BG437" i="1"/>
  <c r="BG433" i="1"/>
  <c r="AU430" i="1"/>
  <c r="AI427" i="1"/>
  <c r="G424" i="1"/>
  <c r="CY420" i="1"/>
  <c r="CM417" i="1"/>
  <c r="BK414" i="1"/>
  <c r="AY411" i="1"/>
  <c r="AM408" i="1"/>
  <c r="K405" i="1"/>
  <c r="CP439" i="1"/>
  <c r="CD436" i="1"/>
  <c r="BB433" i="1"/>
  <c r="AP430" i="1"/>
  <c r="CL418" i="1"/>
  <c r="CH405" i="1"/>
  <c r="AJ587" i="1"/>
  <c r="CK576" i="1"/>
  <c r="AI562" i="1"/>
  <c r="BN551" i="1"/>
  <c r="AT555" i="1"/>
  <c r="Z555" i="1"/>
  <c r="Z552" i="1"/>
  <c r="BX522" i="1"/>
  <c r="CR524" i="1"/>
  <c r="CF522" i="1"/>
  <c r="BL522" i="1"/>
  <c r="K509" i="1"/>
  <c r="DE508" i="1"/>
  <c r="AI508" i="1"/>
  <c r="BV499" i="1"/>
  <c r="BQ499" i="1"/>
  <c r="V522" i="1"/>
  <c r="Q522" i="1"/>
  <c r="CY502" i="1"/>
  <c r="DC483" i="1"/>
  <c r="CT502" i="1"/>
  <c r="CX483" i="1"/>
  <c r="CO502" i="1"/>
  <c r="CS483" i="1"/>
  <c r="Q535" i="1"/>
  <c r="CY515" i="1"/>
  <c r="DC496" i="1"/>
  <c r="CT515" i="1"/>
  <c r="CX496" i="1"/>
  <c r="CO515" i="1"/>
  <c r="CS496" i="1"/>
  <c r="BX515" i="1"/>
  <c r="AR499" i="1"/>
  <c r="AS480" i="1"/>
  <c r="AW457" i="1"/>
  <c r="T474" i="1"/>
  <c r="X451" i="1"/>
  <c r="G468" i="1"/>
  <c r="DC445" i="1"/>
  <c r="AV501" i="1"/>
  <c r="AZ482" i="1"/>
  <c r="BA459" i="1"/>
  <c r="AB477" i="1"/>
  <c r="CN453" i="1"/>
  <c r="AI480" i="1"/>
  <c r="CU468" i="1"/>
  <c r="AM457" i="1"/>
  <c r="DC446" i="1"/>
  <c r="CR506" i="1"/>
  <c r="AR497" i="1"/>
  <c r="CV487" i="1"/>
  <c r="AS478" i="1"/>
  <c r="DA465" i="1"/>
  <c r="BI454" i="1"/>
  <c r="I445" i="1"/>
  <c r="AZ472" i="1"/>
  <c r="CR459" i="1"/>
  <c r="BD449" i="1"/>
  <c r="CE477" i="1"/>
  <c r="S465" i="1"/>
  <c r="CE453" i="1"/>
  <c r="AE444" i="1"/>
  <c r="AV503" i="1"/>
  <c r="CZ493" i="1"/>
  <c r="AZ484" i="1"/>
  <c r="CW473" i="1"/>
  <c r="AO462" i="1"/>
  <c r="DA450" i="1"/>
  <c r="BY443" i="1"/>
  <c r="H474" i="1"/>
  <c r="AZ465" i="1"/>
  <c r="BD458" i="1"/>
  <c r="L451" i="1"/>
  <c r="BL444" i="1"/>
  <c r="W475" i="1"/>
  <c r="CI467" i="1"/>
  <c r="AM459" i="1"/>
  <c r="AA452" i="1"/>
  <c r="CQ445" i="1"/>
  <c r="J477" i="1"/>
  <c r="J469" i="1"/>
  <c r="N477" i="1"/>
  <c r="N464" i="1"/>
  <c r="BV455" i="1"/>
  <c r="AH449" i="1"/>
  <c r="CZ442" i="1"/>
  <c r="CN436" i="1"/>
  <c r="AZ430" i="1"/>
  <c r="CZ423" i="1"/>
  <c r="CR417" i="1"/>
  <c r="BD411" i="1"/>
  <c r="CY441" i="1"/>
  <c r="CQ435" i="1"/>
  <c r="BC429" i="1"/>
  <c r="DC422" i="1"/>
  <c r="CU416" i="1"/>
  <c r="BG410" i="1"/>
  <c r="CT441" i="1"/>
  <c r="CL435" i="1"/>
  <c r="BB430" i="1"/>
  <c r="CD425" i="1"/>
  <c r="DF420" i="1"/>
  <c r="AD416" i="1"/>
  <c r="BF411" i="1"/>
  <c r="CH406" i="1"/>
  <c r="CW439" i="1"/>
  <c r="AL474" i="1"/>
  <c r="AD465" i="1"/>
  <c r="CD458" i="1"/>
  <c r="DB452" i="1"/>
  <c r="Z448" i="1"/>
  <c r="BB443" i="1"/>
  <c r="CR438" i="1"/>
  <c r="P434" i="1"/>
  <c r="AR429" i="1"/>
  <c r="BT424" i="1"/>
  <c r="CV419" i="1"/>
  <c r="T415" i="1"/>
  <c r="AV410" i="1"/>
  <c r="BS442" i="1"/>
  <c r="CU437" i="1"/>
  <c r="S433" i="1"/>
  <c r="AU428" i="1"/>
  <c r="BW423" i="1"/>
  <c r="CY418" i="1"/>
  <c r="W414" i="1"/>
  <c r="AY409" i="1"/>
  <c r="BN442" i="1"/>
  <c r="CP437" i="1"/>
  <c r="N433" i="1"/>
  <c r="AP428" i="1"/>
  <c r="BR423" i="1"/>
  <c r="CT418" i="1"/>
  <c r="R414" i="1"/>
  <c r="AT409" i="1"/>
  <c r="BI442" i="1"/>
  <c r="CK437" i="1"/>
  <c r="R469" i="1"/>
  <c r="CX460" i="1"/>
  <c r="R455" i="1"/>
  <c r="AT450" i="1"/>
  <c r="BV445" i="1"/>
  <c r="H441" i="1"/>
  <c r="AJ436" i="1"/>
  <c r="BL431" i="1"/>
  <c r="CN426" i="1"/>
  <c r="L422" i="1"/>
  <c r="AN417" i="1"/>
  <c r="BP412" i="1"/>
  <c r="CR407" i="1"/>
  <c r="K440" i="1"/>
  <c r="AM435" i="1"/>
  <c r="BO430" i="1"/>
  <c r="CQ425" i="1"/>
  <c r="O421" i="1"/>
  <c r="AQ416" i="1"/>
  <c r="BS411" i="1"/>
  <c r="CU406" i="1"/>
  <c r="F440" i="1"/>
  <c r="AH435" i="1"/>
  <c r="BJ430" i="1"/>
  <c r="CL425" i="1"/>
  <c r="J421" i="1"/>
  <c r="AL416" i="1"/>
  <c r="BN411" i="1"/>
  <c r="CP406" i="1"/>
  <c r="DE439" i="1"/>
  <c r="AC435" i="1"/>
  <c r="J470" i="1"/>
  <c r="CH462" i="1"/>
  <c r="DF455" i="1"/>
  <c r="AD451" i="1"/>
  <c r="BF446" i="1"/>
  <c r="CV441" i="1"/>
  <c r="T437" i="1"/>
  <c r="AV432" i="1"/>
  <c r="BX427" i="1"/>
  <c r="CZ422" i="1"/>
  <c r="X418" i="1"/>
  <c r="AZ413" i="1"/>
  <c r="CB408" i="1"/>
  <c r="CY440" i="1"/>
  <c r="W436" i="1"/>
  <c r="BS432" i="1"/>
  <c r="AM576" i="1"/>
  <c r="AP576" i="1"/>
  <c r="Q566" i="1"/>
  <c r="DA569" i="1"/>
  <c r="CG569" i="1"/>
  <c r="CG566" i="1"/>
  <c r="CZ555" i="1"/>
  <c r="CO539" i="1"/>
  <c r="DH555" i="1"/>
  <c r="CN555" i="1"/>
  <c r="J524" i="1"/>
  <c r="AH504" i="1"/>
  <c r="F523" i="1"/>
  <c r="AD516" i="1"/>
  <c r="Y516" i="1"/>
  <c r="H516" i="1"/>
  <c r="BA531" i="1"/>
  <c r="AE512" i="1"/>
  <c r="AI493" i="1"/>
  <c r="Z512" i="1"/>
  <c r="AD493" i="1"/>
  <c r="U512" i="1"/>
  <c r="Y493" i="1"/>
  <c r="V527" i="1"/>
  <c r="BE525" i="1"/>
  <c r="AI506" i="1"/>
  <c r="AM487" i="1"/>
  <c r="AD506" i="1"/>
  <c r="AH487" i="1"/>
  <c r="Y506" i="1"/>
  <c r="AC487" i="1"/>
  <c r="L510" i="1"/>
  <c r="CF489" i="1"/>
  <c r="BY468" i="1"/>
  <c r="CG446" i="1"/>
  <c r="BP462" i="1"/>
  <c r="AI479" i="1"/>
  <c r="AI455" i="1"/>
  <c r="V473" i="1"/>
  <c r="CJ491" i="1"/>
  <c r="CS470" i="1"/>
  <c r="CK448" i="1"/>
  <c r="BT464" i="1"/>
  <c r="AJ447" i="1"/>
  <c r="BG474" i="1"/>
  <c r="DC462" i="1"/>
  <c r="BK451" i="1"/>
  <c r="CL479" i="1"/>
  <c r="DD501" i="1"/>
  <c r="BD492" i="1"/>
  <c r="DH482" i="1"/>
  <c r="BQ472" i="1"/>
  <c r="DI459" i="1"/>
  <c r="BU449" i="1"/>
  <c r="CZ477" i="1"/>
  <c r="BD465" i="1"/>
  <c r="L454" i="1"/>
  <c r="BP444" i="1"/>
  <c r="CI470" i="1"/>
  <c r="AQ459" i="1"/>
  <c r="CQ448" i="1"/>
  <c r="BT508" i="1"/>
  <c r="BH498" i="1"/>
  <c r="H489" i="1"/>
  <c r="BI479" i="1"/>
  <c r="DE467" i="1"/>
  <c r="BI455" i="1"/>
  <c r="Y446" i="1"/>
  <c r="CV477" i="1"/>
  <c r="AZ469" i="1"/>
  <c r="DH460" i="1"/>
  <c r="CV453" i="1"/>
  <c r="BH447" i="1"/>
  <c r="CE478" i="1"/>
  <c r="BO470" i="1"/>
  <c r="AM463" i="1"/>
  <c r="CE454" i="1"/>
  <c r="BW448" i="1"/>
  <c r="F480" i="1"/>
  <c r="BB472" i="1"/>
  <c r="BB464" i="1"/>
  <c r="F469" i="1"/>
  <c r="Z459" i="1"/>
  <c r="N452" i="1"/>
  <c r="CD445" i="1"/>
  <c r="AN439" i="1"/>
  <c r="AF433" i="1"/>
  <c r="CV426" i="1"/>
  <c r="AR420" i="1"/>
  <c r="AJ414" i="1"/>
  <c r="CZ407" i="1"/>
  <c r="AQ438" i="1"/>
  <c r="AI432" i="1"/>
  <c r="CY425" i="1"/>
  <c r="AU419" i="1"/>
  <c r="AM413" i="1"/>
  <c r="DC406" i="1"/>
  <c r="AL438" i="1"/>
  <c r="AT432" i="1"/>
  <c r="BV427" i="1"/>
  <c r="CX422" i="1"/>
  <c r="V418" i="1"/>
  <c r="AX413" i="1"/>
  <c r="BZ408" i="1"/>
  <c r="CO441" i="1"/>
  <c r="M437" i="1"/>
  <c r="CL468" i="1"/>
  <c r="BV460" i="1"/>
  <c r="CT454" i="1"/>
  <c r="R450" i="1"/>
  <c r="AT445" i="1"/>
  <c r="CJ440" i="1"/>
  <c r="H436" i="1"/>
  <c r="AJ431" i="1"/>
  <c r="BL426" i="1"/>
  <c r="CN421" i="1"/>
  <c r="L417" i="1"/>
  <c r="AN412" i="1"/>
  <c r="BP407" i="1"/>
  <c r="CM439" i="1"/>
  <c r="K435" i="1"/>
  <c r="AM430" i="1"/>
  <c r="BO425" i="1"/>
  <c r="CQ420" i="1"/>
  <c r="O416" i="1"/>
  <c r="AQ411" i="1"/>
  <c r="BS406" i="1"/>
  <c r="DA607" i="1"/>
  <c r="DC545" i="1"/>
  <c r="AN534" i="1"/>
  <c r="BN518" i="1"/>
  <c r="AP525" i="1"/>
  <c r="AD505" i="1"/>
  <c r="BE537" i="1"/>
  <c r="AH499" i="1"/>
  <c r="CF501" i="1"/>
  <c r="BL453" i="1"/>
  <c r="CN484" i="1"/>
  <c r="CF443" i="1"/>
  <c r="CF508" i="1"/>
  <c r="U468" i="1"/>
  <c r="L462" i="1"/>
  <c r="CY454" i="1"/>
  <c r="BT485" i="1"/>
  <c r="AW444" i="1"/>
  <c r="BX451" i="1"/>
  <c r="AQ460" i="1"/>
  <c r="CL469" i="1"/>
  <c r="CT449" i="1"/>
  <c r="DD424" i="1"/>
  <c r="BO436" i="1"/>
  <c r="O411" i="1"/>
  <c r="AL426" i="1"/>
  <c r="AP407" i="1"/>
  <c r="AL459" i="1"/>
  <c r="AZ439" i="1"/>
  <c r="BD420" i="1"/>
  <c r="BC438" i="1"/>
  <c r="BG419" i="1"/>
  <c r="BR439" i="1"/>
  <c r="R430" i="1"/>
  <c r="BV420" i="1"/>
  <c r="V411" i="1"/>
  <c r="BM439" i="1"/>
  <c r="Z464" i="1"/>
  <c r="V452" i="1"/>
  <c r="CO442" i="1"/>
  <c r="AN433" i="1"/>
  <c r="CR423" i="1"/>
  <c r="AR414" i="1"/>
  <c r="CQ441" i="1"/>
  <c r="AQ432" i="1"/>
  <c r="CU422" i="1"/>
  <c r="AU413" i="1"/>
  <c r="CL441" i="1"/>
  <c r="AL432" i="1"/>
  <c r="CP422" i="1"/>
  <c r="AP413" i="1"/>
  <c r="CG441" i="1"/>
  <c r="V474" i="1"/>
  <c r="BV458" i="1"/>
  <c r="AH448" i="1"/>
  <c r="CZ438" i="1"/>
  <c r="AZ429" i="1"/>
  <c r="DD419" i="1"/>
  <c r="BD410" i="1"/>
  <c r="DC437" i="1"/>
  <c r="DG430" i="1"/>
  <c r="CQ426" i="1"/>
  <c r="CA422" i="1"/>
  <c r="AU418" i="1"/>
  <c r="AE414" i="1"/>
  <c r="O410" i="1"/>
  <c r="BW405" i="1"/>
  <c r="AT439" i="1"/>
  <c r="AD435" i="1"/>
  <c r="DB430" i="1"/>
  <c r="F417" i="1"/>
  <c r="AK438" i="1"/>
  <c r="DI432" i="1"/>
  <c r="CW429" i="1"/>
  <c r="AS427" i="1"/>
  <c r="DI424" i="1"/>
  <c r="BU422" i="1"/>
  <c r="AG420" i="1"/>
  <c r="CW417" i="1"/>
  <c r="BI415" i="1"/>
  <c r="U413" i="1"/>
  <c r="CK410" i="1"/>
  <c r="AW408" i="1"/>
  <c r="I406" i="1"/>
  <c r="CU403" i="1"/>
  <c r="BG401" i="1"/>
  <c r="S399" i="1"/>
  <c r="CI396" i="1"/>
  <c r="AU394" i="1"/>
  <c r="G392" i="1"/>
  <c r="BW389" i="1"/>
  <c r="AI387" i="1"/>
  <c r="CY384" i="1"/>
  <c r="BK382" i="1"/>
  <c r="W380" i="1"/>
  <c r="CM377" i="1"/>
  <c r="AY375" i="1"/>
  <c r="K373" i="1"/>
  <c r="CA370" i="1"/>
  <c r="AM368" i="1"/>
  <c r="CT404" i="1"/>
  <c r="BF402" i="1"/>
  <c r="R400" i="1"/>
  <c r="CH397" i="1"/>
  <c r="AT395" i="1"/>
  <c r="F393" i="1"/>
  <c r="BV390" i="1"/>
  <c r="AH388" i="1"/>
  <c r="CX385" i="1"/>
  <c r="BJ383" i="1"/>
  <c r="V381" i="1"/>
  <c r="CL378" i="1"/>
  <c r="AX376" i="1"/>
  <c r="J374" i="1"/>
  <c r="BZ371" i="1"/>
  <c r="AL369" i="1"/>
  <c r="DB366" i="1"/>
  <c r="AG403" i="1"/>
  <c r="CW400" i="1"/>
  <c r="BI398" i="1"/>
  <c r="U396" i="1"/>
  <c r="CK393" i="1"/>
  <c r="AW391" i="1"/>
  <c r="I389" i="1"/>
  <c r="BY386" i="1"/>
  <c r="AK384" i="1"/>
  <c r="DA381" i="1"/>
  <c r="BM379" i="1"/>
  <c r="Y377" i="1"/>
  <c r="CO374" i="1"/>
  <c r="BA372" i="1"/>
  <c r="F421" i="1"/>
  <c r="BJ411" i="1"/>
  <c r="DA439" i="1"/>
  <c r="BY434" i="1"/>
  <c r="M432" i="1"/>
  <c r="CC429" i="1"/>
  <c r="AO427" i="1"/>
  <c r="DE424" i="1"/>
  <c r="BQ422" i="1"/>
  <c r="AC420" i="1"/>
  <c r="CS417" i="1"/>
  <c r="BE415" i="1"/>
  <c r="Q413" i="1"/>
  <c r="CG410" i="1"/>
  <c r="AS408" i="1"/>
  <c r="DI405" i="1"/>
  <c r="CQ403" i="1"/>
  <c r="BC401" i="1"/>
  <c r="O399" i="1"/>
  <c r="CE396" i="1"/>
  <c r="AQ394" i="1"/>
  <c r="DG391" i="1"/>
  <c r="BS389" i="1"/>
  <c r="AE387" i="1"/>
  <c r="CU384" i="1"/>
  <c r="BG382" i="1"/>
  <c r="S380" i="1"/>
  <c r="CI377" i="1"/>
  <c r="AU375" i="1"/>
  <c r="G373" i="1"/>
  <c r="BW370" i="1"/>
  <c r="AI368" i="1"/>
  <c r="CP404" i="1"/>
  <c r="BB402" i="1"/>
  <c r="N400" i="1"/>
  <c r="CD397" i="1"/>
  <c r="AP395" i="1"/>
  <c r="DF392" i="1"/>
  <c r="BR390" i="1"/>
  <c r="AD388" i="1"/>
  <c r="CT385" i="1"/>
  <c r="BF383" i="1"/>
  <c r="R381" i="1"/>
  <c r="CH378" i="1"/>
  <c r="AT376" i="1"/>
  <c r="F374" i="1"/>
  <c r="BV371" i="1"/>
  <c r="AH369" i="1"/>
  <c r="CX366" i="1"/>
  <c r="AC403" i="1"/>
  <c r="CS400" i="1"/>
  <c r="BE398" i="1"/>
  <c r="Q396" i="1"/>
  <c r="CG393" i="1"/>
  <c r="AS391" i="1"/>
  <c r="DI388" i="1"/>
  <c r="BU386" i="1"/>
  <c r="AG384" i="1"/>
  <c r="CW381" i="1"/>
  <c r="BI379" i="1"/>
  <c r="U377" i="1"/>
  <c r="CK374" i="1"/>
  <c r="AW372" i="1"/>
  <c r="CH429" i="1"/>
  <c r="AH420" i="1"/>
  <c r="CL410" i="1"/>
  <c r="Y439" i="1"/>
  <c r="AW434" i="1"/>
  <c r="CW431" i="1"/>
  <c r="BI429" i="1"/>
  <c r="U427" i="1"/>
  <c r="CK424" i="1"/>
  <c r="AW422" i="1"/>
  <c r="I420" i="1"/>
  <c r="BY417" i="1"/>
  <c r="AK415" i="1"/>
  <c r="DA412" i="1"/>
  <c r="BM410" i="1"/>
  <c r="Y408" i="1"/>
  <c r="CO405" i="1"/>
  <c r="BW403" i="1"/>
  <c r="AI401" i="1"/>
  <c r="CY398" i="1"/>
  <c r="BK396" i="1"/>
  <c r="W394" i="1"/>
  <c r="CM391" i="1"/>
  <c r="AY389" i="1"/>
  <c r="K387" i="1"/>
  <c r="CA384" i="1"/>
  <c r="AM382" i="1"/>
  <c r="DC379" i="1"/>
  <c r="BO377" i="1"/>
  <c r="AA375" i="1"/>
  <c r="CQ372" i="1"/>
  <c r="BC370" i="1"/>
  <c r="O368" i="1"/>
  <c r="BV404" i="1"/>
  <c r="AH402" i="1"/>
  <c r="CX399" i="1"/>
  <c r="BJ397" i="1"/>
  <c r="V395" i="1"/>
  <c r="CL392" i="1"/>
  <c r="AX390" i="1"/>
  <c r="J388" i="1"/>
  <c r="BZ385" i="1"/>
  <c r="AL383" i="1"/>
  <c r="DB380" i="1"/>
  <c r="BN378" i="1"/>
  <c r="BC499" i="1"/>
  <c r="AX499" i="1"/>
  <c r="AS499" i="1"/>
  <c r="BD510" i="1"/>
  <c r="X494" i="1"/>
  <c r="BH483" i="1"/>
  <c r="DE472" i="1"/>
  <c r="BI460" i="1"/>
  <c r="DI449" i="1"/>
  <c r="AJ478" i="1"/>
  <c r="CR465" i="1"/>
  <c r="AJ454" i="1"/>
  <c r="CN444" i="1"/>
  <c r="G472" i="1"/>
  <c r="BO459" i="1"/>
  <c r="K449" i="1"/>
  <c r="AL477" i="1"/>
  <c r="BH504" i="1"/>
  <c r="H495" i="1"/>
  <c r="BL485" i="1"/>
  <c r="DI474" i="1"/>
  <c r="BQ463" i="1"/>
  <c r="I452" i="1"/>
  <c r="AN480" i="1"/>
  <c r="CZ468" i="1"/>
  <c r="AR457" i="1"/>
  <c r="CT609" i="1"/>
  <c r="AK612" i="1"/>
  <c r="CS593" i="1"/>
  <c r="AB590" i="1"/>
  <c r="DI576" i="1"/>
  <c r="AD574" i="1"/>
  <c r="J574" i="1"/>
  <c r="AX573" i="1"/>
  <c r="H566" i="1"/>
  <c r="AH566" i="1"/>
  <c r="AM555" i="1"/>
  <c r="Q555" i="1"/>
  <c r="AW559" i="1"/>
  <c r="R540" i="1"/>
  <c r="AC559" i="1"/>
  <c r="DB539" i="1"/>
  <c r="DC555" i="1"/>
  <c r="CG555" i="1"/>
  <c r="AV545" i="1"/>
  <c r="CU526" i="1"/>
  <c r="BP547" i="1"/>
  <c r="K529" i="1"/>
  <c r="BD545" i="1"/>
  <c r="DC526" i="1"/>
  <c r="AJ545" i="1"/>
  <c r="CI526" i="1"/>
  <c r="DE531" i="1"/>
  <c r="CM493" i="1"/>
  <c r="CH493" i="1"/>
  <c r="CC493" i="1"/>
  <c r="Y531" i="1"/>
  <c r="BS493" i="1"/>
  <c r="J511" i="1"/>
  <c r="N492" i="1"/>
  <c r="DI510" i="1"/>
  <c r="I492" i="1"/>
  <c r="BJ529" i="1"/>
  <c r="AG526" i="1"/>
  <c r="K507" i="1"/>
  <c r="O488" i="1"/>
  <c r="F507" i="1"/>
  <c r="J488" i="1"/>
  <c r="DE506" i="1"/>
  <c r="DI487" i="1"/>
  <c r="Z520" i="1"/>
  <c r="AK520" i="1"/>
  <c r="O501" i="1"/>
  <c r="S482" i="1"/>
  <c r="J501" i="1"/>
  <c r="N482" i="1"/>
  <c r="DI500" i="1"/>
  <c r="I482" i="1"/>
  <c r="BH503" i="1"/>
  <c r="BL484" i="1"/>
  <c r="BQ462" i="1"/>
  <c r="AN479" i="1"/>
  <c r="AN455" i="1"/>
  <c r="K473" i="1"/>
  <c r="O450" i="1"/>
  <c r="BL505" i="1"/>
  <c r="BP486" i="1"/>
  <c r="BU464" i="1"/>
  <c r="BQ443" i="1"/>
  <c r="AV458" i="1"/>
  <c r="BT444" i="1"/>
  <c r="DC470" i="1"/>
  <c r="AU459" i="1"/>
  <c r="G449" i="1"/>
  <c r="BH510" i="1"/>
  <c r="AZ499" i="1"/>
  <c r="DD489" i="1"/>
  <c r="BA480" i="1"/>
  <c r="I469" i="1"/>
  <c r="BE457" i="1"/>
  <c r="Q447" i="1"/>
  <c r="BH474" i="1"/>
  <c r="DD462" i="1"/>
  <c r="BL451" i="1"/>
  <c r="CM479" i="1"/>
  <c r="AE468" i="1"/>
  <c r="CM455" i="1"/>
  <c r="AM446" i="1"/>
  <c r="BD505" i="1"/>
  <c r="DH495" i="1"/>
  <c r="BH486" i="1"/>
  <c r="DE475" i="1"/>
  <c r="AW464" i="1"/>
  <c r="DI452" i="1"/>
  <c r="BI443" i="1"/>
  <c r="CF469" i="1"/>
  <c r="AN458" i="1"/>
  <c r="CN447" i="1"/>
  <c r="G475" i="1"/>
  <c r="BS463" i="1"/>
  <c r="K452" i="1"/>
  <c r="AL480" i="1"/>
  <c r="CX468" i="1"/>
  <c r="AX469" i="1"/>
  <c r="BF455" i="1"/>
  <c r="F446" i="1"/>
  <c r="BX436" i="1"/>
  <c r="X427" i="1"/>
  <c r="CB417" i="1"/>
  <c r="AB408" i="1"/>
  <c r="CA435" i="1"/>
  <c r="AA426" i="1"/>
  <c r="CE416" i="1"/>
  <c r="AE407" i="1"/>
  <c r="BV435" i="1"/>
  <c r="V426" i="1"/>
  <c r="BZ416" i="1"/>
  <c r="Z407" i="1"/>
  <c r="Z475" i="1"/>
  <c r="V459" i="1"/>
  <c r="BV448" i="1"/>
  <c r="AJ439" i="1"/>
  <c r="CN429" i="1"/>
  <c r="AN420" i="1"/>
  <c r="CR410" i="1"/>
  <c r="AM438" i="1"/>
  <c r="CQ428" i="1"/>
  <c r="AQ419" i="1"/>
  <c r="CU409" i="1"/>
  <c r="AH438" i="1"/>
  <c r="CL428" i="1"/>
  <c r="AL419" i="1"/>
  <c r="CP409" i="1"/>
  <c r="AC438" i="1"/>
  <c r="AX462" i="1"/>
  <c r="CP450" i="1"/>
  <c r="BD441" i="1"/>
  <c r="DH431" i="1"/>
  <c r="BH422" i="1"/>
  <c r="H413" i="1"/>
  <c r="BG440" i="1"/>
  <c r="G431" i="1"/>
  <c r="BK421" i="1"/>
  <c r="K412" i="1"/>
  <c r="BB440" i="1"/>
  <c r="DF430" i="1"/>
  <c r="BF421" i="1"/>
  <c r="F412" i="1"/>
  <c r="AW440" i="1"/>
  <c r="BV470" i="1"/>
  <c r="AL457" i="1"/>
  <c r="DB446" i="1"/>
  <c r="BP437" i="1"/>
  <c r="P428" i="1"/>
  <c r="BT418" i="1"/>
  <c r="T409" i="1"/>
  <c r="BS436" i="1"/>
  <c r="S427" i="1"/>
  <c r="BW417" i="1"/>
  <c r="W408" i="1"/>
  <c r="BN436" i="1"/>
  <c r="Z418" i="1"/>
  <c r="AS431" i="1"/>
  <c r="BE625" i="1"/>
  <c r="CA594" i="1"/>
  <c r="CH593" i="1"/>
  <c r="AB604" i="1"/>
  <c r="AC594" i="1"/>
  <c r="DD604" i="1"/>
  <c r="BD587" i="1"/>
  <c r="R583" i="1"/>
  <c r="AM564" i="1"/>
  <c r="DB582" i="1"/>
  <c r="S564" i="1"/>
  <c r="AL582" i="1"/>
  <c r="BG563" i="1"/>
  <c r="AA580" i="1"/>
  <c r="BT570" i="1"/>
  <c r="BO570" i="1"/>
  <c r="CT570" i="1"/>
  <c r="AD560" i="1"/>
  <c r="Y560" i="1"/>
  <c r="DC540" i="1"/>
  <c r="CX540" i="1"/>
  <c r="AH565" i="1"/>
  <c r="DI563" i="1"/>
  <c r="CI544" i="1"/>
  <c r="CD544" i="1"/>
  <c r="F565" i="1"/>
  <c r="CO563" i="1"/>
  <c r="BO544" i="1"/>
  <c r="BJ544" i="1"/>
  <c r="F561" i="1"/>
  <c r="CO560" i="1"/>
  <c r="BO541" i="1"/>
  <c r="BJ541" i="1"/>
  <c r="AS541" i="1"/>
  <c r="DH549" i="1"/>
  <c r="DD530" i="1"/>
  <c r="BC531" i="1"/>
  <c r="CL531" i="1"/>
  <c r="X552" i="1"/>
  <c r="T533" i="1"/>
  <c r="BW533" i="1"/>
  <c r="DF533" i="1"/>
  <c r="L550" i="1"/>
  <c r="H531" i="1"/>
  <c r="BK531" i="1"/>
  <c r="CT531" i="1"/>
  <c r="CV549" i="1"/>
  <c r="CR530" i="1"/>
  <c r="AQ531" i="1"/>
  <c r="BZ531" i="1"/>
  <c r="BM536" i="1"/>
  <c r="AQ517" i="1"/>
  <c r="AU498" i="1"/>
  <c r="AL517" i="1"/>
  <c r="AP498" i="1"/>
  <c r="AG517" i="1"/>
  <c r="AK498" i="1"/>
  <c r="P517" i="1"/>
  <c r="CK535" i="1"/>
  <c r="BO516" i="1"/>
  <c r="BS497" i="1"/>
  <c r="CU484" i="1"/>
  <c r="AH513" i="1"/>
  <c r="CL503" i="1"/>
  <c r="AL494" i="1"/>
  <c r="CP484" i="1"/>
  <c r="AC513" i="1"/>
  <c r="CG503" i="1"/>
  <c r="AG494" i="1"/>
  <c r="CK484" i="1"/>
  <c r="L513" i="1"/>
  <c r="CX518" i="1"/>
  <c r="BE528" i="1"/>
  <c r="DI518" i="1"/>
  <c r="AI509" i="1"/>
  <c r="CM499" i="1"/>
  <c r="AM490" i="1"/>
  <c r="CQ480" i="1"/>
  <c r="AD509" i="1"/>
  <c r="CH499" i="1"/>
  <c r="AH490" i="1"/>
  <c r="CL480" i="1"/>
  <c r="Y509" i="1"/>
  <c r="CC499" i="1"/>
  <c r="AC490" i="1"/>
  <c r="CG480" i="1"/>
  <c r="CD522" i="1"/>
  <c r="DI531" i="1"/>
  <c r="BI522" i="1"/>
  <c r="CM512" i="1"/>
  <c r="AM503" i="1"/>
  <c r="CQ493" i="1"/>
  <c r="AQ484" i="1"/>
  <c r="CH512" i="1"/>
  <c r="AH503" i="1"/>
  <c r="CL493" i="1"/>
  <c r="AL484" i="1"/>
  <c r="CC512" i="1"/>
  <c r="AC503" i="1"/>
  <c r="CG493" i="1"/>
  <c r="AG484" i="1"/>
  <c r="BL512" i="1"/>
  <c r="CF505" i="1"/>
  <c r="AF496" i="1"/>
  <c r="CJ486" i="1"/>
  <c r="AG477" i="1"/>
  <c r="CO464" i="1"/>
  <c r="AG453" i="1"/>
  <c r="CK443" i="1"/>
  <c r="DH469" i="1"/>
  <c r="BP458" i="1"/>
  <c r="L448" i="1"/>
  <c r="AI475" i="1"/>
  <c r="CU463" i="1"/>
  <c r="AM452" i="1"/>
  <c r="BN480" i="1"/>
  <c r="X508" i="1"/>
  <c r="AJ498" i="1"/>
  <c r="CN488" i="1"/>
  <c r="AK479" i="1"/>
  <c r="CW467" i="1"/>
  <c r="AK455" i="1"/>
  <c r="CO445" i="1"/>
  <c r="L473" i="1"/>
  <c r="BT460" i="1"/>
  <c r="BP451" i="1"/>
  <c r="BX445" i="1"/>
  <c r="BW478" i="1"/>
  <c r="G473" i="1"/>
  <c r="AE467" i="1"/>
  <c r="AY460" i="1"/>
  <c r="CM454" i="1"/>
  <c r="K450" i="1"/>
  <c r="AM445" i="1"/>
  <c r="AL478" i="1"/>
  <c r="AB505" i="1"/>
  <c r="BD500" i="1"/>
  <c r="CF495" i="1"/>
  <c r="DH490" i="1"/>
  <c r="AF486" i="1"/>
  <c r="BH481" i="1"/>
  <c r="CS475" i="1"/>
  <c r="M470" i="1"/>
  <c r="CC467" i="1"/>
  <c r="AK464" i="1"/>
  <c r="CW460" i="1"/>
  <c r="BI458" i="1"/>
  <c r="AG455" i="1"/>
  <c r="CW452" i="1"/>
  <c r="BI450" i="1"/>
  <c r="U448" i="1"/>
  <c r="CK445" i="1"/>
  <c r="AW443" i="1"/>
  <c r="CN478" i="1"/>
  <c r="BL475" i="1"/>
  <c r="X473" i="1"/>
  <c r="CJ469" i="1"/>
  <c r="AV467" i="1"/>
  <c r="DH463" i="1"/>
  <c r="BP460" i="1"/>
  <c r="AB458" i="1"/>
  <c r="DD454" i="1"/>
  <c r="BP452" i="1"/>
  <c r="AB450" i="1"/>
  <c r="CR447" i="1"/>
  <c r="BD445" i="1"/>
  <c r="P443" i="1"/>
  <c r="BC478" i="1"/>
  <c r="K475" i="1"/>
  <c r="CA472" i="1"/>
  <c r="AI469" i="1"/>
  <c r="CU465" i="1"/>
  <c r="BG463" i="1"/>
  <c r="AE460" i="1"/>
  <c r="CU457" i="1"/>
  <c r="BC454" i="1"/>
  <c r="O452" i="1"/>
  <c r="CE449" i="1"/>
  <c r="AQ447" i="1"/>
  <c r="DG444" i="1"/>
  <c r="AP480" i="1"/>
  <c r="AV510" i="1"/>
  <c r="BH506" i="1"/>
  <c r="T504" i="1"/>
  <c r="CJ501" i="1"/>
  <c r="AV499" i="1"/>
  <c r="H497" i="1"/>
  <c r="BX494" i="1"/>
  <c r="AJ492" i="1"/>
  <c r="CZ489" i="1"/>
  <c r="BL487" i="1"/>
  <c r="X485" i="1"/>
  <c r="CN482" i="1"/>
  <c r="AW480" i="1"/>
  <c r="I478" i="1"/>
  <c r="BU474" i="1"/>
  <c r="AG472" i="1"/>
  <c r="CS468" i="1"/>
  <c r="BA465" i="1"/>
  <c r="M463" i="1"/>
  <c r="CO459" i="1"/>
  <c r="BA457" i="1"/>
  <c r="I454" i="1"/>
  <c r="BY451" i="1"/>
  <c r="AK449" i="1"/>
  <c r="DA446" i="1"/>
  <c r="BM444" i="1"/>
  <c r="DD479" i="1"/>
  <c r="BP477" i="1"/>
  <c r="X474" i="1"/>
  <c r="CJ470" i="1"/>
  <c r="AV468" i="1"/>
  <c r="DH464" i="1"/>
  <c r="BT462" i="1"/>
  <c r="AR459" i="1"/>
  <c r="DD455" i="1"/>
  <c r="BP453" i="1"/>
  <c r="AB451" i="1"/>
  <c r="CR448" i="1"/>
  <c r="BD446" i="1"/>
  <c r="P444" i="1"/>
  <c r="BC479" i="1"/>
  <c r="O477" i="1"/>
  <c r="CA473" i="1"/>
  <c r="AI470" i="1"/>
  <c r="CY467" i="1"/>
  <c r="BW464" i="1"/>
  <c r="AI462" i="1"/>
  <c r="CU458" i="1"/>
  <c r="BC455" i="1"/>
  <c r="O453" i="1"/>
  <c r="CE450" i="1"/>
  <c r="AQ448" i="1"/>
  <c r="DG445" i="1"/>
  <c r="BS443" i="1"/>
  <c r="DF478" i="1"/>
  <c r="BN475" i="1"/>
  <c r="Z473" i="1"/>
  <c r="DB469" i="1"/>
  <c r="BN467" i="1"/>
  <c r="V464" i="1"/>
  <c r="AT477" i="1"/>
  <c r="CL470" i="1"/>
  <c r="BV467" i="1"/>
  <c r="BF463" i="1"/>
  <c r="DB459" i="1"/>
  <c r="BN457" i="1"/>
  <c r="V454" i="1"/>
  <c r="CL451" i="1"/>
  <c r="AX449" i="1"/>
  <c r="J447" i="1"/>
  <c r="BZ444" i="1"/>
  <c r="AZ442" i="1"/>
  <c r="L440" i="1"/>
  <c r="CB437" i="1"/>
  <c r="AN435" i="1"/>
  <c r="DD432" i="1"/>
  <c r="BP430" i="1"/>
  <c r="AB428" i="1"/>
  <c r="CR425" i="1"/>
  <c r="BD423" i="1"/>
  <c r="P421" i="1"/>
  <c r="CF418" i="1"/>
  <c r="AR416" i="1"/>
  <c r="DH413" i="1"/>
  <c r="BT411" i="1"/>
  <c r="AF409" i="1"/>
  <c r="CV406" i="1"/>
  <c r="BC441" i="1"/>
  <c r="O439" i="1"/>
  <c r="CE436" i="1"/>
  <c r="AQ434" i="1"/>
  <c r="DG431" i="1"/>
  <c r="BS429" i="1"/>
  <c r="AE427" i="1"/>
  <c r="CU424" i="1"/>
  <c r="BG422" i="1"/>
  <c r="S420" i="1"/>
  <c r="CI417" i="1"/>
  <c r="AU415" i="1"/>
  <c r="G413" i="1"/>
  <c r="BW410" i="1"/>
  <c r="AI408" i="1"/>
  <c r="CY405" i="1"/>
  <c r="AX441" i="1"/>
  <c r="J439" i="1"/>
  <c r="BZ436" i="1"/>
  <c r="AL434" i="1"/>
  <c r="DB431" i="1"/>
  <c r="BN429" i="1"/>
  <c r="Z427" i="1"/>
  <c r="CP424" i="1"/>
  <c r="BB422" i="1"/>
  <c r="N420" i="1"/>
  <c r="CD417" i="1"/>
  <c r="AP415" i="1"/>
  <c r="DF412" i="1"/>
  <c r="BR410" i="1"/>
  <c r="AD408" i="1"/>
  <c r="CT405" i="1"/>
  <c r="AS441" i="1"/>
  <c r="DI438" i="1"/>
  <c r="BU436" i="1"/>
  <c r="BJ472" i="1"/>
  <c r="Z468" i="1"/>
  <c r="J464" i="1"/>
  <c r="Z460" i="1"/>
  <c r="CP457" i="1"/>
  <c r="AX454" i="1"/>
  <c r="J452" i="1"/>
  <c r="BZ449" i="1"/>
  <c r="AL447" i="1"/>
  <c r="DB444" i="1"/>
  <c r="CB442" i="1"/>
  <c r="AN440" i="1"/>
  <c r="DD437" i="1"/>
  <c r="BP435" i="1"/>
  <c r="AB433" i="1"/>
  <c r="CR430" i="1"/>
  <c r="BD428" i="1"/>
  <c r="P426" i="1"/>
  <c r="CF423" i="1"/>
  <c r="AR421" i="1"/>
  <c r="DH418" i="1"/>
  <c r="BT416" i="1"/>
  <c r="AF414" i="1"/>
  <c r="CV411" i="1"/>
  <c r="BH409" i="1"/>
  <c r="T407" i="1"/>
  <c r="CE441" i="1"/>
  <c r="AQ439" i="1"/>
  <c r="DG436" i="1"/>
  <c r="BS434" i="1"/>
  <c r="AE432" i="1"/>
  <c r="CU429" i="1"/>
  <c r="BG427" i="1"/>
  <c r="S425" i="1"/>
  <c r="CI422" i="1"/>
  <c r="AU420" i="1"/>
  <c r="G418" i="1"/>
  <c r="BW415" i="1"/>
  <c r="AI413" i="1"/>
  <c r="CY410" i="1"/>
  <c r="BK408" i="1"/>
  <c r="W406" i="1"/>
  <c r="BZ441" i="1"/>
  <c r="AL439" i="1"/>
  <c r="DB436" i="1"/>
  <c r="BN434" i="1"/>
  <c r="Z432" i="1"/>
  <c r="CP429" i="1"/>
  <c r="BB427" i="1"/>
  <c r="N425" i="1"/>
  <c r="CD422" i="1"/>
  <c r="AP420" i="1"/>
  <c r="DF417" i="1"/>
  <c r="BR415" i="1"/>
  <c r="AD413" i="1"/>
  <c r="CT410" i="1"/>
  <c r="BF408" i="1"/>
  <c r="R406" i="1"/>
  <c r="BU441" i="1"/>
  <c r="AG439" i="1"/>
  <c r="AH478" i="1"/>
  <c r="Z472" i="1"/>
  <c r="DB467" i="1"/>
  <c r="CL463" i="1"/>
  <c r="F460" i="1"/>
  <c r="BV457" i="1"/>
  <c r="AD454" i="1"/>
  <c r="CT451" i="1"/>
  <c r="BF449" i="1"/>
  <c r="R447" i="1"/>
  <c r="CH444" i="1"/>
  <c r="BH442" i="1"/>
  <c r="T440" i="1"/>
  <c r="CJ437" i="1"/>
  <c r="AV435" i="1"/>
  <c r="H433" i="1"/>
  <c r="BX430" i="1"/>
  <c r="AJ428" i="1"/>
  <c r="CZ425" i="1"/>
  <c r="BL423" i="1"/>
  <c r="X421" i="1"/>
  <c r="CN418" i="1"/>
  <c r="AZ416" i="1"/>
  <c r="L414" i="1"/>
  <c r="CB411" i="1"/>
  <c r="AN409" i="1"/>
  <c r="DD406" i="1"/>
  <c r="BK441" i="1"/>
  <c r="W439" i="1"/>
  <c r="CM436" i="1"/>
  <c r="AY434" i="1"/>
  <c r="K432" i="1"/>
  <c r="CA429" i="1"/>
  <c r="AM427" i="1"/>
  <c r="DC424" i="1"/>
  <c r="BO422" i="1"/>
  <c r="AA420" i="1"/>
  <c r="CQ417" i="1"/>
  <c r="BC415" i="1"/>
  <c r="O413" i="1"/>
  <c r="CE410" i="1"/>
  <c r="AQ408" i="1"/>
  <c r="DG405" i="1"/>
  <c r="BF441" i="1"/>
  <c r="R439" i="1"/>
  <c r="CH436" i="1"/>
  <c r="AT434" i="1"/>
  <c r="F432" i="1"/>
  <c r="BV429" i="1"/>
  <c r="AH427" i="1"/>
  <c r="CX424" i="1"/>
  <c r="BJ422" i="1"/>
  <c r="V420" i="1"/>
  <c r="CL417" i="1"/>
  <c r="AX415" i="1"/>
  <c r="J413" i="1"/>
  <c r="BZ410" i="1"/>
  <c r="AL408" i="1"/>
  <c r="DB405" i="1"/>
  <c r="BA441" i="1"/>
  <c r="M439" i="1"/>
  <c r="CC436" i="1"/>
  <c r="AO434" i="1"/>
  <c r="BN473" i="1"/>
  <c r="CT468" i="1"/>
  <c r="CD464" i="1"/>
  <c r="CD460" i="1"/>
  <c r="AP458" i="1"/>
  <c r="N455" i="1"/>
  <c r="CD452" i="1"/>
  <c r="AP450" i="1"/>
  <c r="DF447" i="1"/>
  <c r="BR445" i="1"/>
  <c r="AD443" i="1"/>
  <c r="DH440" i="1"/>
  <c r="BT438" i="1"/>
  <c r="AF436" i="1"/>
  <c r="CV433" i="1"/>
  <c r="BH431" i="1"/>
  <c r="T429" i="1"/>
  <c r="CJ426" i="1"/>
  <c r="AV424" i="1"/>
  <c r="H422" i="1"/>
  <c r="BX419" i="1"/>
  <c r="AJ417" i="1"/>
  <c r="CZ414" i="1"/>
  <c r="BL412" i="1"/>
  <c r="X410" i="1"/>
  <c r="CN407" i="1"/>
  <c r="AU442" i="1"/>
  <c r="G440" i="1"/>
  <c r="BW437" i="1"/>
  <c r="AI435" i="1"/>
  <c r="CJ632" i="1"/>
  <c r="BM629" i="1"/>
  <c r="CF616" i="1"/>
  <c r="BJ620" i="1"/>
  <c r="CX623" i="1"/>
  <c r="X610" i="1"/>
  <c r="BO599" i="1"/>
  <c r="CA602" i="1"/>
  <c r="AB605" i="1"/>
  <c r="CR604" i="1"/>
  <c r="V589" i="1"/>
  <c r="AV588" i="1"/>
  <c r="Q598" i="1"/>
  <c r="DG591" i="1"/>
  <c r="BU589" i="1"/>
  <c r="S602" i="1"/>
  <c r="AI601" i="1"/>
  <c r="CZ596" i="1"/>
  <c r="Q584" i="1"/>
  <c r="BD581" i="1"/>
  <c r="CX580" i="1"/>
  <c r="T562" i="1"/>
  <c r="O562" i="1"/>
  <c r="AJ581" i="1"/>
  <c r="CD580" i="1"/>
  <c r="DD561" i="1"/>
  <c r="CY561" i="1"/>
  <c r="BX580" i="1"/>
  <c r="N580" i="1"/>
  <c r="AN561" i="1"/>
  <c r="AI561" i="1"/>
  <c r="P647" i="1"/>
  <c r="CF638" i="1"/>
  <c r="BA625" i="1"/>
  <c r="AQ611" i="1"/>
  <c r="AH622" i="1"/>
  <c r="CD627" i="1"/>
  <c r="AY599" i="1"/>
  <c r="F589" i="1"/>
  <c r="BE589" i="1"/>
  <c r="DE583" i="1"/>
  <c r="DC561" i="1"/>
  <c r="CI561" i="1"/>
  <c r="S561" i="1"/>
  <c r="BR583" i="1"/>
  <c r="CR564" i="1"/>
  <c r="CM564" i="1"/>
  <c r="N565" i="1"/>
  <c r="AS573" i="1"/>
  <c r="S554" i="1"/>
  <c r="N554" i="1"/>
  <c r="DA553" i="1"/>
  <c r="AH558" i="1"/>
  <c r="AC558" i="1"/>
  <c r="DG538" i="1"/>
  <c r="DB538" i="1"/>
  <c r="N558" i="1"/>
  <c r="I558" i="1"/>
  <c r="CM538" i="1"/>
  <c r="CH538" i="1"/>
  <c r="DI573" i="1"/>
  <c r="CI554" i="1"/>
  <c r="CD554" i="1"/>
  <c r="BM554" i="1"/>
  <c r="Y547" i="1"/>
  <c r="AB544" i="1"/>
  <c r="X525" i="1"/>
  <c r="CA525" i="1"/>
  <c r="F526" i="1"/>
  <c r="AV546" i="1"/>
  <c r="AR527" i="1"/>
  <c r="CU527" i="1"/>
  <c r="AO547" i="1"/>
  <c r="AJ544" i="1"/>
  <c r="AF525" i="1"/>
  <c r="CI525" i="1"/>
  <c r="DA546" i="1"/>
  <c r="P544" i="1"/>
  <c r="L525" i="1"/>
  <c r="BO525" i="1"/>
  <c r="CX525" i="1"/>
  <c r="CK530" i="1"/>
  <c r="BO511" i="1"/>
  <c r="BS492" i="1"/>
  <c r="BJ511" i="1"/>
  <c r="BN492" i="1"/>
  <c r="BE511" i="1"/>
  <c r="BI492" i="1"/>
  <c r="AN511" i="1"/>
  <c r="DI529" i="1"/>
  <c r="CM510" i="1"/>
  <c r="CU492" i="1"/>
  <c r="K482" i="1"/>
  <c r="BB510" i="1"/>
  <c r="DF500" i="1"/>
  <c r="BF491" i="1"/>
  <c r="F482" i="1"/>
  <c r="AW510" i="1"/>
  <c r="DA500" i="1"/>
  <c r="BA491" i="1"/>
  <c r="DE481" i="1"/>
  <c r="BN527" i="1"/>
  <c r="U535" i="1"/>
  <c r="BY525" i="1"/>
  <c r="DC515" i="1"/>
  <c r="BC506" i="1"/>
  <c r="DG496" i="1"/>
  <c r="BG487" i="1"/>
  <c r="CX515" i="1"/>
  <c r="AX506" i="1"/>
  <c r="DB496" i="1"/>
  <c r="BB487" i="1"/>
  <c r="CS515" i="1"/>
  <c r="AS506" i="1"/>
  <c r="CW496" i="1"/>
  <c r="AW487" i="1"/>
  <c r="CB515" i="1"/>
  <c r="BR519" i="1"/>
  <c r="Y529" i="1"/>
  <c r="CC519" i="1"/>
  <c r="DG509" i="1"/>
  <c r="BG500" i="1"/>
  <c r="G491" i="1"/>
  <c r="BK481" i="1"/>
  <c r="DB509" i="1"/>
  <c r="BB500" i="1"/>
  <c r="DF490" i="1"/>
  <c r="BF481" i="1"/>
  <c r="CW509" i="1"/>
  <c r="AW500" i="1"/>
  <c r="DA490" i="1"/>
  <c r="BA481" i="1"/>
  <c r="CF509" i="1"/>
  <c r="CZ502" i="1"/>
  <c r="AZ493" i="1"/>
  <c r="DD483" i="1"/>
  <c r="AW473" i="1"/>
  <c r="DE460" i="1"/>
  <c r="BA450" i="1"/>
  <c r="CF478" i="1"/>
  <c r="X467" i="1"/>
  <c r="CF454" i="1"/>
  <c r="AF445" i="1"/>
  <c r="BC472" i="1"/>
  <c r="G460" i="1"/>
  <c r="BG449" i="1"/>
  <c r="CH477" i="1"/>
  <c r="DD504" i="1"/>
  <c r="BD495" i="1"/>
  <c r="DH485" i="1"/>
  <c r="BA475" i="1"/>
  <c r="I464" i="1"/>
  <c r="BE452" i="1"/>
  <c r="DI442" i="1"/>
  <c r="AR469" i="1"/>
  <c r="CN457" i="1"/>
  <c r="CN449" i="1"/>
  <c r="AN444" i="1"/>
  <c r="AM477" i="1"/>
  <c r="BW470" i="1"/>
  <c r="CU464" i="1"/>
  <c r="O459" i="1"/>
  <c r="BC453" i="1"/>
  <c r="CE448" i="1"/>
  <c r="DG443" i="1"/>
  <c r="CZ509" i="1"/>
  <c r="CV503" i="1"/>
  <c r="T499" i="1"/>
  <c r="AV494" i="1"/>
  <c r="BX489" i="1"/>
  <c r="CZ484" i="1"/>
  <c r="U480" i="1"/>
  <c r="BI474" i="1"/>
  <c r="CG468" i="1"/>
  <c r="DE462" i="1"/>
  <c r="Y457" i="1"/>
  <c r="BM451" i="1"/>
  <c r="CO446" i="1"/>
  <c r="CR479" i="1"/>
  <c r="AB474" i="1"/>
  <c r="AZ468" i="1"/>
  <c r="BX462" i="1"/>
  <c r="DH455" i="1"/>
  <c r="AF451" i="1"/>
  <c r="BH446" i="1"/>
  <c r="BG479" i="1"/>
  <c r="CE473" i="1"/>
  <c r="DC467" i="1"/>
  <c r="W462" i="1"/>
  <c r="BG455" i="1"/>
  <c r="CI450" i="1"/>
  <c r="G446" i="1"/>
  <c r="F479" i="1"/>
  <c r="X505" i="1"/>
  <c r="AZ500" i="1"/>
  <c r="CB495" i="1"/>
  <c r="DD490" i="1"/>
  <c r="AB486" i="1"/>
  <c r="BD481" i="1"/>
  <c r="BY475" i="1"/>
  <c r="CW469" i="1"/>
  <c r="Q464" i="1"/>
  <c r="BE458" i="1"/>
  <c r="CC452" i="1"/>
  <c r="DE447" i="1"/>
  <c r="AC608" i="1"/>
  <c r="BE588" i="1"/>
  <c r="DE595" i="1"/>
  <c r="F576" i="1"/>
  <c r="CP575" i="1"/>
  <c r="AZ575" i="1"/>
  <c r="CI583" i="1"/>
  <c r="X574" i="1"/>
  <c r="S574" i="1"/>
  <c r="AX574" i="1"/>
  <c r="CX564" i="1"/>
  <c r="CG563" i="1"/>
  <c r="BG544" i="1"/>
  <c r="BB544" i="1"/>
  <c r="F570" i="1"/>
  <c r="BM567" i="1"/>
  <c r="AM548" i="1"/>
  <c r="AH548" i="1"/>
  <c r="CH569" i="1"/>
  <c r="AS567" i="1"/>
  <c r="S548" i="1"/>
  <c r="N548" i="1"/>
  <c r="CH565" i="1"/>
  <c r="AS564" i="1"/>
  <c r="S545" i="1"/>
  <c r="N545" i="1"/>
  <c r="DA544" i="1"/>
  <c r="BL553" i="1"/>
  <c r="BH534" i="1"/>
  <c r="G535" i="1"/>
  <c r="AP535" i="1"/>
  <c r="CF555" i="1"/>
  <c r="CB536" i="1"/>
  <c r="AA537" i="1"/>
  <c r="BJ537" i="1"/>
  <c r="BT553" i="1"/>
  <c r="BP534" i="1"/>
  <c r="O535" i="1"/>
  <c r="AX535" i="1"/>
  <c r="AZ553" i="1"/>
  <c r="AV534" i="1"/>
  <c r="CY534" i="1"/>
  <c r="AD535" i="1"/>
  <c r="J521" i="1"/>
  <c r="U521" i="1"/>
  <c r="DC501" i="1"/>
  <c r="DG482" i="1"/>
  <c r="CX501" i="1"/>
  <c r="DB482" i="1"/>
  <c r="CS501" i="1"/>
  <c r="CW482" i="1"/>
  <c r="AH520" i="1"/>
  <c r="AS520" i="1"/>
  <c r="W501" i="1"/>
  <c r="BW486" i="1"/>
  <c r="J515" i="1"/>
  <c r="BN505" i="1"/>
  <c r="N496" i="1"/>
  <c r="BR486" i="1"/>
  <c r="DI514" i="1"/>
  <c r="BI505" i="1"/>
  <c r="I496" i="1"/>
  <c r="BM486" i="1"/>
  <c r="CR514" i="1"/>
  <c r="BZ520" i="1"/>
  <c r="AG530" i="1"/>
  <c r="CK520" i="1"/>
  <c r="K511" i="1"/>
  <c r="BO501" i="1"/>
  <c r="O492" i="1"/>
  <c r="BS482" i="1"/>
  <c r="F511" i="1"/>
  <c r="BJ501" i="1"/>
  <c r="J492" i="1"/>
  <c r="BN482" i="1"/>
  <c r="DE510" i="1"/>
  <c r="BE501" i="1"/>
  <c r="DI491" i="1"/>
  <c r="BI482" i="1"/>
  <c r="N525" i="1"/>
  <c r="CK533" i="1"/>
  <c r="AK524" i="1"/>
  <c r="BO514" i="1"/>
  <c r="O505" i="1"/>
  <c r="BS495" i="1"/>
  <c r="S486" i="1"/>
  <c r="BJ514" i="1"/>
  <c r="J505" i="1"/>
  <c r="BN495" i="1"/>
  <c r="N486" i="1"/>
  <c r="BE514" i="1"/>
  <c r="DI504" i="1"/>
  <c r="BI495" i="1"/>
  <c r="I486" i="1"/>
  <c r="AN514" i="1"/>
  <c r="CB507" i="1"/>
  <c r="H498" i="1"/>
  <c r="BL488" i="1"/>
  <c r="I479" i="1"/>
  <c r="BE467" i="1"/>
  <c r="I455" i="1"/>
  <c r="BM445" i="1"/>
  <c r="CN472" i="1"/>
  <c r="AR460" i="1"/>
  <c r="CR449" i="1"/>
  <c r="O478" i="1"/>
  <c r="BW465" i="1"/>
  <c r="O454" i="1"/>
  <c r="BS444" i="1"/>
  <c r="BP512" i="1"/>
  <c r="L500" i="1"/>
  <c r="BP490" i="1"/>
  <c r="P481" i="1"/>
  <c r="BY469" i="1"/>
  <c r="Q458" i="1"/>
  <c r="BQ447" i="1"/>
  <c r="CR474" i="1"/>
  <c r="AZ463" i="1"/>
  <c r="CJ452" i="1"/>
  <c r="BL446" i="1"/>
  <c r="BK479" i="1"/>
  <c r="CY473" i="1"/>
  <c r="S468" i="1"/>
  <c r="AQ462" i="1"/>
  <c r="CA455" i="1"/>
  <c r="DC450" i="1"/>
  <c r="AA446" i="1"/>
  <c r="Z479" i="1"/>
  <c r="P506" i="1"/>
  <c r="AR501" i="1"/>
  <c r="BT496" i="1"/>
  <c r="CV491" i="1"/>
  <c r="T487" i="1"/>
  <c r="AV482" i="1"/>
  <c r="BU477" i="1"/>
  <c r="DE470" i="1"/>
  <c r="Y465" i="1"/>
  <c r="AW459" i="1"/>
  <c r="CK453" i="1"/>
  <c r="I449" i="1"/>
  <c r="AK444" i="1"/>
  <c r="AN477" i="1"/>
  <c r="BX470" i="1"/>
  <c r="CV464" i="1"/>
  <c r="P459" i="1"/>
  <c r="BD453" i="1"/>
  <c r="CF448" i="1"/>
  <c r="DH443" i="1"/>
  <c r="DC475" i="1"/>
  <c r="W470" i="1"/>
  <c r="AU464" i="1"/>
  <c r="CI458" i="1"/>
  <c r="DG452" i="1"/>
  <c r="AE448" i="1"/>
  <c r="BG443" i="1"/>
  <c r="BL507" i="1"/>
  <c r="BX502" i="1"/>
  <c r="CZ497" i="1"/>
  <c r="X493" i="1"/>
  <c r="AZ488" i="1"/>
  <c r="CB483" i="1"/>
  <c r="DA478" i="1"/>
  <c r="U473" i="1"/>
  <c r="AS467" i="1"/>
  <c r="CC460" i="1"/>
  <c r="DA454" i="1"/>
  <c r="Y450" i="1"/>
  <c r="BA445" i="1"/>
  <c r="BD478" i="1"/>
  <c r="CB472" i="1"/>
  <c r="CV465" i="1"/>
  <c r="AF460" i="1"/>
  <c r="BD454" i="1"/>
  <c r="CF449" i="1"/>
  <c r="DH444" i="1"/>
  <c r="DG477" i="1"/>
  <c r="AA472" i="1"/>
  <c r="BK465" i="1"/>
  <c r="CI459" i="1"/>
  <c r="DG453" i="1"/>
  <c r="AE449" i="1"/>
  <c r="BG444" i="1"/>
  <c r="BF477" i="1"/>
  <c r="CP470" i="1"/>
  <c r="J465" i="1"/>
  <c r="BJ473" i="1"/>
  <c r="BZ464" i="1"/>
  <c r="BB458" i="1"/>
  <c r="BZ452" i="1"/>
  <c r="DB447" i="1"/>
  <c r="Z443" i="1"/>
  <c r="BP438" i="1"/>
  <c r="CR433" i="1"/>
  <c r="P429" i="1"/>
  <c r="AR424" i="1"/>
  <c r="BT419" i="1"/>
  <c r="CV414" i="1"/>
  <c r="T410" i="1"/>
  <c r="AQ442" i="1"/>
  <c r="BS437" i="1"/>
  <c r="CU432" i="1"/>
  <c r="S428" i="1"/>
  <c r="AU423" i="1"/>
  <c r="BW418" i="1"/>
  <c r="CY413" i="1"/>
  <c r="W409" i="1"/>
  <c r="AL442" i="1"/>
  <c r="BN437" i="1"/>
  <c r="CA607" i="1"/>
  <c r="O591" i="1"/>
  <c r="BJ589" i="1"/>
  <c r="CR596" i="1"/>
  <c r="AY571" i="1"/>
  <c r="AE571" i="1"/>
  <c r="BS570" i="1"/>
  <c r="CM576" i="1"/>
  <c r="AB567" i="1"/>
  <c r="W567" i="1"/>
  <c r="BB567" i="1"/>
  <c r="CP556" i="1"/>
  <c r="BY556" i="1"/>
  <c r="BJ556" i="1"/>
  <c r="AN556" i="1"/>
  <c r="CD560" i="1"/>
  <c r="BQ560" i="1"/>
  <c r="AQ541" i="1"/>
  <c r="AL541" i="1"/>
  <c r="BB560" i="1"/>
  <c r="AW560" i="1"/>
  <c r="W541" i="1"/>
  <c r="R541" i="1"/>
  <c r="BB557" i="1"/>
  <c r="AW557" i="1"/>
  <c r="W538" i="1"/>
  <c r="R538" i="1"/>
  <c r="DE537" i="1"/>
  <c r="BP546" i="1"/>
  <c r="BL527" i="1"/>
  <c r="K528" i="1"/>
  <c r="AT528" i="1"/>
  <c r="CJ548" i="1"/>
  <c r="CF529" i="1"/>
  <c r="AE530" i="1"/>
  <c r="BN530" i="1"/>
  <c r="BX546" i="1"/>
  <c r="BT527" i="1"/>
  <c r="S528" i="1"/>
  <c r="BB528" i="1"/>
  <c r="BD546" i="1"/>
  <c r="AZ527" i="1"/>
  <c r="DC527" i="1"/>
  <c r="AH528" i="1"/>
  <c r="U533" i="1"/>
  <c r="DC513" i="1"/>
  <c r="DG494" i="1"/>
  <c r="CX513" i="1"/>
  <c r="DB494" i="1"/>
  <c r="CS513" i="1"/>
  <c r="CW494" i="1"/>
  <c r="CB513" i="1"/>
  <c r="AS532" i="1"/>
  <c r="W513" i="1"/>
  <c r="AQ494" i="1"/>
  <c r="AE483" i="1"/>
  <c r="BV511" i="1"/>
  <c r="V502" i="1"/>
  <c r="BZ492" i="1"/>
  <c r="Z483" i="1"/>
  <c r="BQ511" i="1"/>
  <c r="Q502" i="1"/>
  <c r="BU492" i="1"/>
  <c r="U483" i="1"/>
  <c r="BF598" i="1"/>
  <c r="BG566" i="1"/>
  <c r="G567" i="1"/>
  <c r="AO556" i="1"/>
  <c r="AA541" i="1"/>
  <c r="G541" i="1"/>
  <c r="G538" i="1"/>
  <c r="AV527" i="1"/>
  <c r="BP529" i="1"/>
  <c r="BD527" i="1"/>
  <c r="AJ527" i="1"/>
  <c r="CM513" i="1"/>
  <c r="CC513" i="1"/>
  <c r="G513" i="1"/>
  <c r="F502" i="1"/>
  <c r="DE501" i="1"/>
  <c r="R525" i="1"/>
  <c r="AO524" i="1"/>
  <c r="S505" i="1"/>
  <c r="W486" i="1"/>
  <c r="N505" i="1"/>
  <c r="R486" i="1"/>
  <c r="I505" i="1"/>
  <c r="M486" i="1"/>
  <c r="AO537" i="1"/>
  <c r="S518" i="1"/>
  <c r="W499" i="1"/>
  <c r="N518" i="1"/>
  <c r="R499" i="1"/>
  <c r="I518" i="1"/>
  <c r="M499" i="1"/>
  <c r="CV517" i="1"/>
  <c r="BP501" i="1"/>
  <c r="BT482" i="1"/>
  <c r="BU459" i="1"/>
  <c r="AV477" i="1"/>
  <c r="AV453" i="1"/>
  <c r="AE470" i="1"/>
  <c r="W448" i="1"/>
  <c r="BT503" i="1"/>
  <c r="BX484" i="1"/>
  <c r="CC462" i="1"/>
  <c r="AZ479" i="1"/>
  <c r="AZ455" i="1"/>
  <c r="BP443" i="1"/>
  <c r="CY469" i="1"/>
  <c r="AQ458" i="1"/>
  <c r="DG447" i="1"/>
  <c r="AZ508" i="1"/>
  <c r="AV498" i="1"/>
  <c r="CZ488" i="1"/>
  <c r="AW479" i="1"/>
  <c r="DI467" i="1"/>
  <c r="BM455" i="1"/>
  <c r="M446" i="1"/>
  <c r="BD473" i="1"/>
  <c r="CV460" i="1"/>
  <c r="BH450" i="1"/>
  <c r="CI478" i="1"/>
  <c r="AA467" i="1"/>
  <c r="CI454" i="1"/>
  <c r="AI445" i="1"/>
  <c r="AZ504" i="1"/>
  <c r="DD494" i="1"/>
  <c r="BD485" i="1"/>
  <c r="DA474" i="1"/>
  <c r="AS463" i="1"/>
  <c r="DE451" i="1"/>
  <c r="CO443" i="1"/>
  <c r="BD474" i="1"/>
  <c r="L467" i="1"/>
  <c r="BT458" i="1"/>
  <c r="BH451" i="1"/>
  <c r="T445" i="1"/>
  <c r="AM475" i="1"/>
  <c r="AA468" i="1"/>
  <c r="CY459" i="1"/>
  <c r="AQ452" i="1"/>
  <c r="AI446" i="1"/>
  <c r="BV477" i="1"/>
  <c r="Z469" i="1"/>
  <c r="DF477" i="1"/>
  <c r="CT464" i="1"/>
  <c r="CL455" i="1"/>
  <c r="CD449" i="1"/>
  <c r="AP443" i="1"/>
  <c r="DD436" i="1"/>
  <c r="CV430" i="1"/>
  <c r="BH424" i="1"/>
  <c r="DH417" i="1"/>
  <c r="CZ411" i="1"/>
  <c r="BG442" i="1"/>
  <c r="DG435" i="1"/>
  <c r="CY429" i="1"/>
  <c r="BK423" i="1"/>
  <c r="G417" i="1"/>
  <c r="DC410" i="1"/>
  <c r="BB442" i="1"/>
  <c r="DB435" i="1"/>
  <c r="BR430" i="1"/>
  <c r="CT425" i="1"/>
  <c r="R421" i="1"/>
  <c r="AT416" i="1"/>
  <c r="BV411" i="1"/>
  <c r="CX406" i="1"/>
  <c r="I440" i="1"/>
  <c r="BR474" i="1"/>
  <c r="AX465" i="1"/>
  <c r="CT458" i="1"/>
  <c r="N453" i="1"/>
  <c r="AP448" i="1"/>
  <c r="BR443" i="1"/>
  <c r="DH438" i="1"/>
  <c r="AF434" i="1"/>
  <c r="BH429" i="1"/>
  <c r="CJ424" i="1"/>
  <c r="H420" i="1"/>
  <c r="AJ415" i="1"/>
  <c r="BL410" i="1"/>
  <c r="CI442" i="1"/>
  <c r="G438" i="1"/>
  <c r="AI433" i="1"/>
  <c r="BK428" i="1"/>
  <c r="CM423" i="1"/>
  <c r="K419" i="1"/>
  <c r="AM414" i="1"/>
  <c r="BO409" i="1"/>
  <c r="CD442" i="1"/>
  <c r="DF437" i="1"/>
  <c r="AD433" i="1"/>
  <c r="BF428" i="1"/>
  <c r="CH423" i="1"/>
  <c r="F419" i="1"/>
  <c r="AH414" i="1"/>
  <c r="BJ409" i="1"/>
  <c r="BY442" i="1"/>
  <c r="DA437" i="1"/>
  <c r="AL469" i="1"/>
  <c r="N462" i="1"/>
  <c r="AH455" i="1"/>
  <c r="BJ450" i="1"/>
  <c r="CL445" i="1"/>
  <c r="X441" i="1"/>
  <c r="AZ436" i="1"/>
  <c r="CB431" i="1"/>
  <c r="DD426" i="1"/>
  <c r="AB422" i="1"/>
  <c r="BD417" i="1"/>
  <c r="CF412" i="1"/>
  <c r="DH407" i="1"/>
  <c r="AA440" i="1"/>
  <c r="BC435" i="1"/>
  <c r="CE430" i="1"/>
  <c r="DG425" i="1"/>
  <c r="AE421" i="1"/>
  <c r="BG416" i="1"/>
  <c r="CI411" i="1"/>
  <c r="G407" i="1"/>
  <c r="V440" i="1"/>
  <c r="AX435" i="1"/>
  <c r="BZ430" i="1"/>
  <c r="DB425" i="1"/>
  <c r="Z421" i="1"/>
  <c r="BB416" i="1"/>
  <c r="CD411" i="1"/>
  <c r="DF406" i="1"/>
  <c r="Q440" i="1"/>
  <c r="AS435" i="1"/>
  <c r="AH470" i="1"/>
  <c r="DB462" i="1"/>
  <c r="F457" i="1"/>
  <c r="AT451" i="1"/>
  <c r="BV446" i="1"/>
  <c r="H442" i="1"/>
  <c r="AJ437" i="1"/>
  <c r="BL432" i="1"/>
  <c r="CN427" i="1"/>
  <c r="L423" i="1"/>
  <c r="AN418" i="1"/>
  <c r="BP413" i="1"/>
  <c r="CR408" i="1"/>
  <c r="K441" i="1"/>
  <c r="AM436" i="1"/>
  <c r="CI432" i="1"/>
  <c r="BW429" i="1"/>
  <c r="AU426" i="1"/>
  <c r="AI423" i="1"/>
  <c r="W420" i="1"/>
  <c r="CY416" i="1"/>
  <c r="CM413" i="1"/>
  <c r="CA410" i="1"/>
  <c r="AY407" i="1"/>
  <c r="Z442" i="1"/>
  <c r="N439" i="1"/>
  <c r="CP435" i="1"/>
  <c r="CD432" i="1"/>
  <c r="AH428" i="1"/>
  <c r="AD415" i="1"/>
  <c r="BY440" i="1"/>
  <c r="DC590" i="1"/>
  <c r="DA575" i="1"/>
  <c r="BN562" i="1"/>
  <c r="AW551" i="1"/>
  <c r="AC555" i="1"/>
  <c r="I555" i="1"/>
  <c r="I552" i="1"/>
  <c r="W523" i="1"/>
  <c r="AQ525" i="1"/>
  <c r="AE523" i="1"/>
  <c r="K523" i="1"/>
  <c r="O490" i="1"/>
  <c r="DI489" i="1"/>
  <c r="O491" i="1"/>
  <c r="V490" i="1"/>
  <c r="Q490" i="1"/>
  <c r="AO536" i="1"/>
  <c r="S517" i="1"/>
  <c r="W498" i="1"/>
  <c r="N517" i="1"/>
  <c r="R498" i="1"/>
  <c r="I517" i="1"/>
  <c r="M498" i="1"/>
  <c r="CV516" i="1"/>
  <c r="AS530" i="1"/>
  <c r="W511" i="1"/>
  <c r="AA492" i="1"/>
  <c r="R511" i="1"/>
  <c r="V492" i="1"/>
  <c r="M511" i="1"/>
  <c r="Q492" i="1"/>
  <c r="CZ510" i="1"/>
  <c r="BT494" i="1"/>
  <c r="BQ474" i="1"/>
  <c r="BU451" i="1"/>
  <c r="AR468" i="1"/>
  <c r="AZ446" i="1"/>
  <c r="AE462" i="1"/>
  <c r="DB478" i="1"/>
  <c r="BX496" i="1"/>
  <c r="BY477" i="1"/>
  <c r="BY453" i="1"/>
  <c r="BL470" i="1"/>
  <c r="CB450" i="1"/>
  <c r="CY477" i="1"/>
  <c r="BC465" i="1"/>
  <c r="K454" i="1"/>
  <c r="BO444" i="1"/>
  <c r="BD504" i="1"/>
  <c r="DH494" i="1"/>
  <c r="BH485" i="1"/>
  <c r="Q475" i="1"/>
  <c r="BM463" i="1"/>
  <c r="U452" i="1"/>
  <c r="AZ480" i="1"/>
  <c r="H469" i="1"/>
  <c r="BD457" i="1"/>
  <c r="P447" i="1"/>
  <c r="AM474" i="1"/>
  <c r="CI462" i="1"/>
  <c r="AQ451" i="1"/>
  <c r="BR479" i="1"/>
  <c r="H501" i="1"/>
  <c r="BL491" i="1"/>
  <c r="L482" i="1"/>
  <c r="BE470" i="1"/>
  <c r="M459" i="1"/>
  <c r="BM448" i="1"/>
  <c r="CN479" i="1"/>
  <c r="AF472" i="1"/>
  <c r="P464" i="1"/>
  <c r="CN455" i="1"/>
  <c r="AJ449" i="1"/>
  <c r="AB443" i="1"/>
  <c r="BK473" i="1"/>
  <c r="O465" i="1"/>
  <c r="DG457" i="1"/>
  <c r="BO450" i="1"/>
  <c r="K444" i="1"/>
  <c r="BZ474" i="1"/>
  <c r="AX467" i="1"/>
  <c r="BV472" i="1"/>
  <c r="AL462" i="1"/>
  <c r="F454" i="1"/>
  <c r="BF447" i="1"/>
  <c r="BL441" i="1"/>
  <c r="X435" i="1"/>
  <c r="BX428" i="1"/>
  <c r="BP422" i="1"/>
  <c r="AB416" i="1"/>
  <c r="CB409" i="1"/>
  <c r="BO440" i="1"/>
  <c r="AA434" i="1"/>
  <c r="CA427" i="1"/>
  <c r="BS421" i="1"/>
  <c r="AE415" i="1"/>
  <c r="CE408" i="1"/>
  <c r="BJ440" i="1"/>
  <c r="V434" i="1"/>
  <c r="AH429" i="1"/>
  <c r="BJ424" i="1"/>
  <c r="CL419" i="1"/>
  <c r="J415" i="1"/>
  <c r="AL410" i="1"/>
  <c r="BN405" i="1"/>
  <c r="CC438" i="1"/>
  <c r="DB470" i="1"/>
  <c r="BV463" i="1"/>
  <c r="BJ457" i="1"/>
  <c r="CH451" i="1"/>
  <c r="F447" i="1"/>
  <c r="AV442" i="1"/>
  <c r="BX437" i="1"/>
  <c r="CZ432" i="1"/>
  <c r="X428" i="1"/>
  <c r="AZ423" i="1"/>
  <c r="CB418" i="1"/>
  <c r="DD413" i="1"/>
  <c r="AB409" i="1"/>
  <c r="AY441" i="1"/>
  <c r="CA436" i="1"/>
  <c r="DC431" i="1"/>
  <c r="AA427" i="1"/>
  <c r="BC422" i="1"/>
  <c r="CE417" i="1"/>
  <c r="DG412" i="1"/>
  <c r="AE408" i="1"/>
  <c r="AT441" i="1"/>
  <c r="BV436" i="1"/>
  <c r="CX431" i="1"/>
  <c r="V427" i="1"/>
  <c r="AX422" i="1"/>
  <c r="BZ417" i="1"/>
  <c r="DB412" i="1"/>
  <c r="Z408" i="1"/>
  <c r="AO441" i="1"/>
  <c r="BJ477" i="1"/>
  <c r="BJ467" i="1"/>
  <c r="CD459" i="1"/>
  <c r="DB453" i="1"/>
  <c r="Z449" i="1"/>
  <c r="BB444" i="1"/>
  <c r="CR439" i="1"/>
  <c r="P435" i="1"/>
  <c r="AR430" i="1"/>
  <c r="BT425" i="1"/>
  <c r="CV420" i="1"/>
  <c r="T416" i="1"/>
  <c r="AV411" i="1"/>
  <c r="BX406" i="1"/>
  <c r="CU438" i="1"/>
  <c r="S434" i="1"/>
  <c r="AU429" i="1"/>
  <c r="BW424" i="1"/>
  <c r="CY419" i="1"/>
  <c r="W415" i="1"/>
  <c r="AY410" i="1"/>
  <c r="CA405" i="1"/>
  <c r="CP438" i="1"/>
  <c r="N434" i="1"/>
  <c r="AP429" i="1"/>
  <c r="BR424" i="1"/>
  <c r="CT419" i="1"/>
  <c r="R415" i="1"/>
  <c r="AT410" i="1"/>
  <c r="BV405" i="1"/>
  <c r="CK438" i="1"/>
  <c r="I434" i="1"/>
  <c r="BF468" i="1"/>
  <c r="AX460" i="1"/>
  <c r="CL454" i="1"/>
  <c r="J450" i="1"/>
  <c r="AL445" i="1"/>
  <c r="CB440" i="1"/>
  <c r="DD435" i="1"/>
  <c r="AB431" i="1"/>
  <c r="BD426" i="1"/>
  <c r="CF421" i="1"/>
  <c r="DH416" i="1"/>
  <c r="AF412" i="1"/>
  <c r="BH407" i="1"/>
  <c r="CE439" i="1"/>
  <c r="DG434" i="1"/>
  <c r="AE608" i="1"/>
  <c r="S576" i="1"/>
  <c r="BP557" i="1"/>
  <c r="CU546" i="1"/>
  <c r="CA550" i="1"/>
  <c r="BG550" i="1"/>
  <c r="BG547" i="1"/>
  <c r="CV536" i="1"/>
  <c r="T539" i="1"/>
  <c r="DD536" i="1"/>
  <c r="CJ536" i="1"/>
  <c r="BI523" i="1"/>
  <c r="AL485" i="1"/>
  <c r="CG522" i="1"/>
  <c r="CH506" i="1"/>
  <c r="CC506" i="1"/>
  <c r="AJ511" i="1"/>
  <c r="CC526" i="1"/>
  <c r="BG507" i="1"/>
  <c r="BK488" i="1"/>
  <c r="BB507" i="1"/>
  <c r="BF488" i="1"/>
  <c r="AW507" i="1"/>
  <c r="BA488" i="1"/>
  <c r="BV520" i="1"/>
  <c r="CG520" i="1"/>
  <c r="BK501" i="1"/>
  <c r="BO482" i="1"/>
  <c r="BF501" i="1"/>
  <c r="BJ482" i="1"/>
  <c r="BA501" i="1"/>
  <c r="BE482" i="1"/>
  <c r="DD503" i="1"/>
  <c r="DH484" i="1"/>
  <c r="I463" i="1"/>
  <c r="CJ479" i="1"/>
  <c r="CJ455" i="1"/>
  <c r="BG473" i="1"/>
  <c r="BK450" i="1"/>
  <c r="DH505" i="1"/>
  <c r="H487" i="1"/>
  <c r="M465" i="1"/>
  <c r="I444" i="1"/>
  <c r="CR458" i="1"/>
  <c r="CJ444" i="1"/>
  <c r="S472" i="1"/>
  <c r="BK459" i="1"/>
  <c r="W449" i="1"/>
  <c r="CN510" i="1"/>
  <c r="BP499" i="1"/>
  <c r="P490" i="1"/>
  <c r="BQ480" i="1"/>
  <c r="Y469" i="1"/>
  <c r="BU457" i="1"/>
  <c r="AG447" i="1"/>
  <c r="BX474" i="1"/>
  <c r="P463" i="1"/>
  <c r="CB451" i="1"/>
  <c r="DC479" i="1"/>
  <c r="AU468" i="1"/>
  <c r="DC455" i="1"/>
  <c r="BC446" i="1"/>
  <c r="BT505" i="1"/>
  <c r="T496" i="1"/>
  <c r="BX486" i="1"/>
  <c r="U477" i="1"/>
  <c r="BM464" i="1"/>
  <c r="U453" i="1"/>
  <c r="CS444" i="1"/>
  <c r="AB475" i="1"/>
  <c r="BX467" i="1"/>
  <c r="BX459" i="1"/>
  <c r="AF452" i="1"/>
  <c r="CF445" i="1"/>
  <c r="AU477" i="1"/>
  <c r="DC468" i="1"/>
  <c r="BG460" i="1"/>
  <c r="AU453" i="1"/>
  <c r="G447" i="1"/>
  <c r="AD478" i="1"/>
  <c r="AD470" i="1"/>
  <c r="CP462" i="1"/>
  <c r="BZ465" i="1"/>
  <c r="CT457" i="1"/>
  <c r="BB450" i="1"/>
  <c r="DB443" i="1"/>
  <c r="DH437" i="1"/>
  <c r="BT431" i="1"/>
  <c r="P425" i="1"/>
  <c r="H419" i="1"/>
  <c r="BX412" i="1"/>
  <c r="T406" i="1"/>
  <c r="G437" i="1"/>
  <c r="BW430" i="1"/>
  <c r="S424" i="1"/>
  <c r="K418" i="1"/>
  <c r="CA411" i="1"/>
  <c r="W405" i="1"/>
  <c r="DF436" i="1"/>
  <c r="Z431" i="1"/>
  <c r="BB426" i="1"/>
  <c r="CD421" i="1"/>
  <c r="DF416" i="1"/>
  <c r="AD412" i="1"/>
  <c r="BF407" i="1"/>
  <c r="BU440" i="1"/>
  <c r="CL475" i="1"/>
  <c r="Z467" i="1"/>
  <c r="BB459" i="1"/>
  <c r="BZ453" i="1"/>
  <c r="DB448" i="1"/>
  <c r="Z444" i="1"/>
  <c r="BP439" i="1"/>
  <c r="CR434" i="1"/>
  <c r="P430" i="1"/>
  <c r="AR425" i="1"/>
  <c r="BT420" i="1"/>
  <c r="CV415" i="1"/>
  <c r="T411" i="1"/>
  <c r="AV406" i="1"/>
  <c r="BS438" i="1"/>
  <c r="CU433" i="1"/>
  <c r="S429" i="1"/>
  <c r="AU424" i="1"/>
  <c r="BW419" i="1"/>
  <c r="CY414" i="1"/>
  <c r="W410" i="1"/>
  <c r="AY405" i="1"/>
  <c r="BL566" i="1"/>
  <c r="CI545" i="1"/>
  <c r="AB532" i="1"/>
  <c r="CI517" i="1"/>
  <c r="BE524" i="1"/>
  <c r="AH486" i="1"/>
  <c r="AK518" i="1"/>
  <c r="Y518" i="1"/>
  <c r="CJ482" i="1"/>
  <c r="AU470" i="1"/>
  <c r="CS462" i="1"/>
  <c r="K470" i="1"/>
  <c r="BL498" i="1"/>
  <c r="CC455" i="1"/>
  <c r="BX450" i="1"/>
  <c r="AY445" i="1"/>
  <c r="M475" i="1"/>
  <c r="BT474" i="1"/>
  <c r="BP445" i="1"/>
  <c r="DC452" i="1"/>
  <c r="BN478" i="1"/>
  <c r="CL443" i="1"/>
  <c r="BP418" i="1"/>
  <c r="K430" i="1"/>
  <c r="G405" i="1"/>
  <c r="BN421" i="1"/>
  <c r="BE440" i="1"/>
  <c r="BJ453" i="1"/>
  <c r="CB434" i="1"/>
  <c r="CF415" i="1"/>
  <c r="CE433" i="1"/>
  <c r="CI414" i="1"/>
  <c r="AD437" i="1"/>
  <c r="CH427" i="1"/>
  <c r="AH418" i="1"/>
  <c r="CL408" i="1"/>
  <c r="Y437" i="1"/>
  <c r="AL460" i="1"/>
  <c r="CL449" i="1"/>
  <c r="AZ440" i="1"/>
  <c r="DD430" i="1"/>
  <c r="BD421" i="1"/>
  <c r="DH411" i="1"/>
  <c r="BC439" i="1"/>
  <c r="DG429" i="1"/>
  <c r="BG420" i="1"/>
  <c r="G411" i="1"/>
  <c r="AX439" i="1"/>
  <c r="DB429" i="1"/>
  <c r="BB420" i="1"/>
  <c r="DF410" i="1"/>
  <c r="AS439" i="1"/>
  <c r="AH469" i="1"/>
  <c r="AT455" i="1"/>
  <c r="CX445" i="1"/>
  <c r="BL436" i="1"/>
  <c r="L427" i="1"/>
  <c r="BP417" i="1"/>
  <c r="P408" i="1"/>
  <c r="BO435" i="1"/>
  <c r="DC429" i="1"/>
  <c r="CM425" i="1"/>
  <c r="BG421" i="1"/>
  <c r="AQ417" i="1"/>
  <c r="AA413" i="1"/>
  <c r="CY408" i="1"/>
  <c r="BV442" i="1"/>
  <c r="BF438" i="1"/>
  <c r="J434" i="1"/>
  <c r="BB429" i="1"/>
  <c r="CT412" i="1"/>
  <c r="CW435" i="1"/>
  <c r="AG432" i="1"/>
  <c r="U429" i="1"/>
  <c r="CK426" i="1"/>
  <c r="AW424" i="1"/>
  <c r="I422" i="1"/>
  <c r="BY419" i="1"/>
  <c r="AK417" i="1"/>
  <c r="DA414" i="1"/>
  <c r="BM412" i="1"/>
  <c r="Y410" i="1"/>
  <c r="CO407" i="1"/>
  <c r="BA405" i="1"/>
  <c r="AI403" i="1"/>
  <c r="CY400" i="1"/>
  <c r="BK398" i="1"/>
  <c r="W396" i="1"/>
  <c r="CM393" i="1"/>
  <c r="AY391" i="1"/>
  <c r="K389" i="1"/>
  <c r="CA386" i="1"/>
  <c r="AM384" i="1"/>
  <c r="DC381" i="1"/>
  <c r="BO379" i="1"/>
  <c r="AA377" i="1"/>
  <c r="CQ374" i="1"/>
  <c r="BC372" i="1"/>
  <c r="O370" i="1"/>
  <c r="CE367" i="1"/>
  <c r="AH404" i="1"/>
  <c r="CX401" i="1"/>
  <c r="BJ399" i="1"/>
  <c r="V397" i="1"/>
  <c r="CL394" i="1"/>
  <c r="AX392" i="1"/>
  <c r="J390" i="1"/>
  <c r="BZ387" i="1"/>
  <c r="AL385" i="1"/>
  <c r="DB382" i="1"/>
  <c r="BN380" i="1"/>
  <c r="Z378" i="1"/>
  <c r="CP375" i="1"/>
  <c r="BB373" i="1"/>
  <c r="N371" i="1"/>
  <c r="CD368" i="1"/>
  <c r="P405" i="1"/>
  <c r="BY402" i="1"/>
  <c r="AK400" i="1"/>
  <c r="DA397" i="1"/>
  <c r="BM395" i="1"/>
  <c r="Y393" i="1"/>
  <c r="CO390" i="1"/>
  <c r="BA388" i="1"/>
  <c r="M386" i="1"/>
  <c r="CC383" i="1"/>
  <c r="AO381" i="1"/>
  <c r="DE378" i="1"/>
  <c r="BQ376" i="1"/>
  <c r="AC374" i="1"/>
  <c r="R428" i="1"/>
  <c r="BV418" i="1"/>
  <c r="V409" i="1"/>
  <c r="BM437" i="1"/>
  <c r="CS433" i="1"/>
  <c r="BE431" i="1"/>
  <c r="Q429" i="1"/>
  <c r="CG426" i="1"/>
  <c r="AS424" i="1"/>
  <c r="DI421" i="1"/>
  <c r="BU419" i="1"/>
  <c r="AG417" i="1"/>
  <c r="CW414" i="1"/>
  <c r="BI412" i="1"/>
  <c r="U410" i="1"/>
  <c r="CK407" i="1"/>
  <c r="AW405" i="1"/>
  <c r="AE403" i="1"/>
  <c r="CU400" i="1"/>
  <c r="BG398" i="1"/>
  <c r="S396" i="1"/>
  <c r="CI393" i="1"/>
  <c r="AU391" i="1"/>
  <c r="G389" i="1"/>
  <c r="BW386" i="1"/>
  <c r="AI384" i="1"/>
  <c r="CY381" i="1"/>
  <c r="BK379" i="1"/>
  <c r="W377" i="1"/>
  <c r="CM374" i="1"/>
  <c r="AY372" i="1"/>
  <c r="K370" i="1"/>
  <c r="CA367" i="1"/>
  <c r="AD404" i="1"/>
  <c r="CT401" i="1"/>
  <c r="BF399" i="1"/>
  <c r="R397" i="1"/>
  <c r="CH394" i="1"/>
  <c r="AT392" i="1"/>
  <c r="F390" i="1"/>
  <c r="BV387" i="1"/>
  <c r="AH385" i="1"/>
  <c r="CX382" i="1"/>
  <c r="BJ380" i="1"/>
  <c r="V378" i="1"/>
  <c r="CL375" i="1"/>
  <c r="AX373" i="1"/>
  <c r="J371" i="1"/>
  <c r="BZ368" i="1"/>
  <c r="DI404" i="1"/>
  <c r="BU402" i="1"/>
  <c r="AG400" i="1"/>
  <c r="CW397" i="1"/>
  <c r="BI395" i="1"/>
  <c r="U393" i="1"/>
  <c r="CK390" i="1"/>
  <c r="AW388" i="1"/>
  <c r="I386" i="1"/>
  <c r="BY383" i="1"/>
  <c r="AK381" i="1"/>
  <c r="DA378" i="1"/>
  <c r="BM376" i="1"/>
  <c r="Y374" i="1"/>
  <c r="CO371" i="1"/>
  <c r="AT427" i="1"/>
  <c r="CX417" i="1"/>
  <c r="AX408" i="1"/>
  <c r="CW436" i="1"/>
  <c r="BY433" i="1"/>
  <c r="AK431" i="1"/>
  <c r="DA428" i="1"/>
  <c r="BM426" i="1"/>
  <c r="Y424" i="1"/>
  <c r="CO421" i="1"/>
  <c r="BA419" i="1"/>
  <c r="M417" i="1"/>
  <c r="CC414" i="1"/>
  <c r="AO412" i="1"/>
  <c r="DE409" i="1"/>
  <c r="BQ407" i="1"/>
  <c r="AC405" i="1"/>
  <c r="K403" i="1"/>
  <c r="CA400" i="1"/>
  <c r="AM398" i="1"/>
  <c r="DC395" i="1"/>
  <c r="BO393" i="1"/>
  <c r="AA391" i="1"/>
  <c r="CQ388" i="1"/>
  <c r="BC386" i="1"/>
  <c r="O384" i="1"/>
  <c r="CE381" i="1"/>
  <c r="AQ379" i="1"/>
  <c r="DG376" i="1"/>
  <c r="BS374" i="1"/>
  <c r="AE372" i="1"/>
  <c r="CU369" i="1"/>
  <c r="BG367" i="1"/>
  <c r="J404" i="1"/>
  <c r="BZ401" i="1"/>
  <c r="AL399" i="1"/>
  <c r="DB396" i="1"/>
  <c r="BN394" i="1"/>
  <c r="Z392" i="1"/>
  <c r="CP389" i="1"/>
  <c r="BB387" i="1"/>
  <c r="N385" i="1"/>
  <c r="CD382" i="1"/>
  <c r="AP380" i="1"/>
  <c r="DF377" i="1"/>
  <c r="DG489" i="1"/>
  <c r="DB489" i="1"/>
  <c r="CW489" i="1"/>
  <c r="BD509" i="1"/>
  <c r="BT490" i="1"/>
  <c r="T481" i="1"/>
  <c r="BM469" i="1"/>
  <c r="U458" i="1"/>
  <c r="BU447" i="1"/>
  <c r="CV474" i="1"/>
  <c r="BD463" i="1"/>
  <c r="CZ451" i="1"/>
  <c r="W480" i="1"/>
  <c r="CI468" i="1"/>
  <c r="AA457" i="1"/>
  <c r="CA446" i="1"/>
  <c r="J474" i="1"/>
  <c r="T502" i="1"/>
  <c r="BX492" i="1"/>
  <c r="X483" i="1"/>
  <c r="BU472" i="1"/>
  <c r="Y460" i="1"/>
  <c r="BY449" i="1"/>
  <c r="DD477" i="1"/>
  <c r="BH465" i="1"/>
  <c r="BB636" i="1"/>
  <c r="AA614" i="1"/>
  <c r="BV617" i="1"/>
  <c r="BS604" i="1"/>
  <c r="CL593" i="1"/>
  <c r="BO583" i="1"/>
  <c r="AU583" i="1"/>
  <c r="CI582" i="1"/>
  <c r="CV575" i="1"/>
  <c r="BI575" i="1"/>
  <c r="BZ566" i="1"/>
  <c r="CQ545" i="1"/>
  <c r="BU545" i="1"/>
  <c r="BW549" i="1"/>
  <c r="BA549" i="1"/>
  <c r="BC549" i="1"/>
  <c r="BJ567" i="1"/>
  <c r="BC546" i="1"/>
  <c r="AG546" i="1"/>
  <c r="CR535" i="1"/>
  <c r="BZ536" i="1"/>
  <c r="P538" i="1"/>
  <c r="BO519" i="1"/>
  <c r="CZ535" i="1"/>
  <c r="CH536" i="1"/>
  <c r="CF535" i="1"/>
  <c r="BN536" i="1"/>
  <c r="BE522" i="1"/>
  <c r="AM484" i="1"/>
  <c r="AH484" i="1"/>
  <c r="AC484" i="1"/>
  <c r="CC521" i="1"/>
  <c r="AU487" i="1"/>
  <c r="AL506" i="1"/>
  <c r="AP487" i="1"/>
  <c r="AG506" i="1"/>
  <c r="AK487" i="1"/>
  <c r="AX521" i="1"/>
  <c r="BI521" i="1"/>
  <c r="AM502" i="1"/>
  <c r="AQ483" i="1"/>
  <c r="AH502" i="1"/>
  <c r="AL483" i="1"/>
  <c r="AC502" i="1"/>
  <c r="AG483" i="1"/>
  <c r="BI534" i="1"/>
  <c r="AM515" i="1"/>
  <c r="AQ496" i="1"/>
  <c r="AH515" i="1"/>
  <c r="AL496" i="1"/>
  <c r="AC515" i="1"/>
  <c r="AG496" i="1"/>
  <c r="L515" i="1"/>
  <c r="CJ498" i="1"/>
  <c r="CK479" i="1"/>
  <c r="CK455" i="1"/>
  <c r="BL473" i="1"/>
  <c r="BP450" i="1"/>
  <c r="AY467" i="1"/>
  <c r="AQ445" i="1"/>
  <c r="CN500" i="1"/>
  <c r="CR481" i="1"/>
  <c r="CS458" i="1"/>
  <c r="BP475" i="1"/>
  <c r="AR453" i="1"/>
  <c r="DG479" i="1"/>
  <c r="BO468" i="1"/>
  <c r="G457" i="1"/>
  <c r="BW446" i="1"/>
  <c r="BL506" i="1"/>
  <c r="L497" i="1"/>
  <c r="BP487" i="1"/>
  <c r="M478" i="1"/>
  <c r="BU465" i="1"/>
  <c r="AC454" i="1"/>
  <c r="CG444" i="1"/>
  <c r="T472" i="1"/>
  <c r="BL459" i="1"/>
  <c r="X449" i="1"/>
  <c r="AY477" i="1"/>
  <c r="CQ464" i="1"/>
  <c r="AY453" i="1"/>
  <c r="DC443" i="1"/>
  <c r="P503" i="1"/>
  <c r="BT493" i="1"/>
  <c r="T484" i="1"/>
  <c r="BQ473" i="1"/>
  <c r="I462" i="1"/>
  <c r="BU450" i="1"/>
  <c r="CZ478" i="1"/>
  <c r="AR467" i="1"/>
  <c r="CZ454" i="1"/>
  <c r="AZ445" i="1"/>
  <c r="BW472" i="1"/>
  <c r="AA460" i="1"/>
  <c r="CA449" i="1"/>
  <c r="DB477" i="1"/>
  <c r="BF465" i="1"/>
  <c r="AH465" i="1"/>
  <c r="R453" i="1"/>
  <c r="BV443" i="1"/>
  <c r="AJ434" i="1"/>
  <c r="CN424" i="1"/>
  <c r="AN415" i="1"/>
  <c r="CN442" i="1"/>
  <c r="AM433" i="1"/>
  <c r="CQ423" i="1"/>
  <c r="AQ414" i="1"/>
  <c r="CH442" i="1"/>
  <c r="AH433" i="1"/>
  <c r="CL423" i="1"/>
  <c r="AL414" i="1"/>
  <c r="CC442" i="1"/>
  <c r="DF469" i="1"/>
  <c r="CH455" i="1"/>
  <c r="AH446" i="1"/>
  <c r="CZ436" i="1"/>
  <c r="AZ427" i="1"/>
  <c r="DD417" i="1"/>
  <c r="BD408" i="1"/>
  <c r="DC435" i="1"/>
  <c r="BC426" i="1"/>
  <c r="DG416" i="1"/>
  <c r="BG407" i="1"/>
  <c r="CX435" i="1"/>
  <c r="AX426" i="1"/>
  <c r="DB416" i="1"/>
  <c r="BB407" i="1"/>
  <c r="CT474" i="1"/>
  <c r="DF458" i="1"/>
  <c r="BB448" i="1"/>
  <c r="P439" i="1"/>
  <c r="BT429" i="1"/>
  <c r="T420" i="1"/>
  <c r="BX410" i="1"/>
  <c r="S438" i="1"/>
  <c r="BW428" i="1"/>
  <c r="W419" i="1"/>
  <c r="CA409" i="1"/>
  <c r="N438" i="1"/>
  <c r="BR428" i="1"/>
  <c r="R419" i="1"/>
  <c r="BV409" i="1"/>
  <c r="I438" i="1"/>
  <c r="BF467" i="1"/>
  <c r="J454" i="1"/>
  <c r="BN444" i="1"/>
  <c r="AB435" i="1"/>
  <c r="CF425" i="1"/>
  <c r="AF416" i="1"/>
  <c r="CJ406" i="1"/>
  <c r="AE434" i="1"/>
  <c r="CI424" i="1"/>
  <c r="AI415" i="1"/>
  <c r="CM405" i="1"/>
  <c r="Z434" i="1"/>
  <c r="CD408" i="1"/>
  <c r="BX651" i="1"/>
  <c r="CW620" i="1"/>
  <c r="G597" i="1"/>
  <c r="X605" i="1"/>
  <c r="AC593" i="1"/>
  <c r="G603" i="1"/>
  <c r="AO598" i="1"/>
  <c r="BQ581" i="1"/>
  <c r="AT578" i="1"/>
  <c r="BO559" i="1"/>
  <c r="Z578" i="1"/>
  <c r="AU559" i="1"/>
  <c r="BN577" i="1"/>
  <c r="CI558" i="1"/>
  <c r="CQ577" i="1"/>
  <c r="AF568" i="1"/>
  <c r="AA568" i="1"/>
  <c r="BF568" i="1"/>
  <c r="CT557" i="1"/>
  <c r="CO557" i="1"/>
  <c r="BO538" i="1"/>
  <c r="BJ538" i="1"/>
  <c r="N562" i="1"/>
  <c r="BU561" i="1"/>
  <c r="AU542" i="1"/>
  <c r="AP542" i="1"/>
  <c r="CT561" i="1"/>
  <c r="BA561" i="1"/>
  <c r="AA542" i="1"/>
  <c r="V542" i="1"/>
  <c r="BF558" i="1"/>
  <c r="BA558" i="1"/>
  <c r="AA539" i="1"/>
  <c r="V539" i="1"/>
  <c r="DI538" i="1"/>
  <c r="BT547" i="1"/>
  <c r="BP528" i="1"/>
  <c r="O529" i="1"/>
  <c r="AX529" i="1"/>
  <c r="CN549" i="1"/>
  <c r="CJ530" i="1"/>
  <c r="AI531" i="1"/>
  <c r="BR531" i="1"/>
  <c r="CB547" i="1"/>
  <c r="BX528" i="1"/>
  <c r="W529" i="1"/>
  <c r="BF529" i="1"/>
  <c r="BH547" i="1"/>
  <c r="BD528" i="1"/>
  <c r="DG528" i="1"/>
  <c r="AL529" i="1"/>
  <c r="Y534" i="1"/>
  <c r="DG514" i="1"/>
  <c r="G496" i="1"/>
  <c r="DB514" i="1"/>
  <c r="DF495" i="1"/>
  <c r="CW514" i="1"/>
  <c r="DA495" i="1"/>
  <c r="CF514" i="1"/>
  <c r="AW533" i="1"/>
  <c r="AA514" i="1"/>
  <c r="AE495" i="1"/>
  <c r="CA483" i="1"/>
  <c r="N512" i="1"/>
  <c r="BR502" i="1"/>
  <c r="R493" i="1"/>
  <c r="BV483" i="1"/>
  <c r="I512" i="1"/>
  <c r="BM502" i="1"/>
  <c r="M493" i="1"/>
  <c r="BQ483" i="1"/>
  <c r="CV511" i="1"/>
  <c r="CK536" i="1"/>
  <c r="AK527" i="1"/>
  <c r="BO517" i="1"/>
  <c r="O508" i="1"/>
  <c r="BS498" i="1"/>
  <c r="S489" i="1"/>
  <c r="BJ517" i="1"/>
  <c r="J508" i="1"/>
  <c r="BN498" i="1"/>
  <c r="N489" i="1"/>
  <c r="BE517" i="1"/>
  <c r="DI507" i="1"/>
  <c r="BI498" i="1"/>
  <c r="I489" i="1"/>
  <c r="AN517" i="1"/>
  <c r="AD521" i="1"/>
  <c r="CO530" i="1"/>
  <c r="AO521" i="1"/>
  <c r="BS511" i="1"/>
  <c r="S502" i="1"/>
  <c r="BW492" i="1"/>
  <c r="W483" i="1"/>
  <c r="BN511" i="1"/>
  <c r="N502" i="1"/>
  <c r="BR492" i="1"/>
  <c r="R483" i="1"/>
  <c r="BI511" i="1"/>
  <c r="I502" i="1"/>
  <c r="BM492" i="1"/>
  <c r="M483" i="1"/>
  <c r="AR511" i="1"/>
  <c r="BL504" i="1"/>
  <c r="L495" i="1"/>
  <c r="BP485" i="1"/>
  <c r="I475" i="1"/>
  <c r="BU463" i="1"/>
  <c r="M452" i="1"/>
  <c r="AR480" i="1"/>
  <c r="CN468" i="1"/>
  <c r="AV457" i="1"/>
  <c r="CV446" i="1"/>
  <c r="O474" i="1"/>
  <c r="CA462" i="1"/>
  <c r="S451" i="1"/>
  <c r="AT479" i="1"/>
  <c r="BP506" i="1"/>
  <c r="P497" i="1"/>
  <c r="BT487" i="1"/>
  <c r="Q478" i="1"/>
  <c r="BY465" i="1"/>
  <c r="Q454" i="1"/>
  <c r="BU444" i="1"/>
  <c r="DH470" i="1"/>
  <c r="AZ459" i="1"/>
  <c r="CR450" i="1"/>
  <c r="L445" i="1"/>
  <c r="K478" i="1"/>
  <c r="AY472" i="1"/>
  <c r="BS465" i="1"/>
  <c r="CQ459" i="1"/>
  <c r="AA454" i="1"/>
  <c r="BC449" i="1"/>
  <c r="CE444" i="1"/>
  <c r="CR511" i="1"/>
  <c r="BT504" i="1"/>
  <c r="CV499" i="1"/>
  <c r="T495" i="1"/>
  <c r="AV490" i="1"/>
  <c r="BX485" i="1"/>
  <c r="CZ480" i="1"/>
  <c r="AG475" i="1"/>
  <c r="BE469" i="1"/>
  <c r="Q467" i="1"/>
  <c r="CC463" i="1"/>
  <c r="AK460" i="1"/>
  <c r="DA457" i="1"/>
  <c r="BY454" i="1"/>
  <c r="AK452" i="1"/>
  <c r="DA449" i="1"/>
  <c r="BM447" i="1"/>
  <c r="Y445" i="1"/>
  <c r="BP480" i="1"/>
  <c r="AB478" i="1"/>
  <c r="DD474" i="1"/>
  <c r="BP472" i="1"/>
  <c r="X469" i="1"/>
  <c r="CJ465" i="1"/>
  <c r="AV463" i="1"/>
  <c r="DH459" i="1"/>
  <c r="BT457" i="1"/>
  <c r="AR454" i="1"/>
  <c r="DH451" i="1"/>
  <c r="BT449" i="1"/>
  <c r="AF447" i="1"/>
  <c r="CV444" i="1"/>
  <c r="AE480" i="1"/>
  <c r="CU477" i="1"/>
  <c r="BC474" i="1"/>
  <c r="O472" i="1"/>
  <c r="CA468" i="1"/>
  <c r="AI465" i="1"/>
  <c r="CY462" i="1"/>
  <c r="BW459" i="1"/>
  <c r="AI457" i="1"/>
  <c r="CU453" i="1"/>
  <c r="BG451" i="1"/>
  <c r="S449" i="1"/>
  <c r="CI446" i="1"/>
  <c r="AU444" i="1"/>
  <c r="CH479" i="1"/>
  <c r="AB509" i="1"/>
  <c r="CZ505" i="1"/>
  <c r="BL503" i="1"/>
  <c r="X501" i="1"/>
  <c r="CN498" i="1"/>
  <c r="AZ496" i="1"/>
  <c r="L494" i="1"/>
  <c r="CB491" i="1"/>
  <c r="AN489" i="1"/>
  <c r="DD486" i="1"/>
  <c r="BP484" i="1"/>
  <c r="AB482" i="1"/>
  <c r="CO479" i="1"/>
  <c r="BA477" i="1"/>
  <c r="I474" i="1"/>
  <c r="BU470" i="1"/>
  <c r="AG468" i="1"/>
  <c r="CS464" i="1"/>
  <c r="BE462" i="1"/>
  <c r="AC459" i="1"/>
  <c r="CO455" i="1"/>
  <c r="BA453" i="1"/>
  <c r="M451" i="1"/>
  <c r="CC448" i="1"/>
  <c r="AO446" i="1"/>
  <c r="DE443" i="1"/>
  <c r="AR479" i="1"/>
  <c r="DD475" i="1"/>
  <c r="BP473" i="1"/>
  <c r="X470" i="1"/>
  <c r="CN467" i="1"/>
  <c r="AV464" i="1"/>
  <c r="H462" i="1"/>
  <c r="CJ458" i="1"/>
  <c r="AR455" i="1"/>
  <c r="DH452" i="1"/>
  <c r="BT450" i="1"/>
  <c r="AF448" i="1"/>
  <c r="CV445" i="1"/>
  <c r="BH443" i="1"/>
  <c r="CU478" i="1"/>
  <c r="BC475" i="1"/>
  <c r="O473" i="1"/>
  <c r="CA469" i="1"/>
  <c r="AM467" i="1"/>
  <c r="K464" i="1"/>
  <c r="BW460" i="1"/>
  <c r="AI458" i="1"/>
  <c r="CU454" i="1"/>
  <c r="BG452" i="1"/>
  <c r="S450" i="1"/>
  <c r="CI447" i="1"/>
  <c r="AU445" i="1"/>
  <c r="G443" i="1"/>
  <c r="AT478" i="1"/>
  <c r="DF474" i="1"/>
  <c r="BR472" i="1"/>
  <c r="AP469" i="1"/>
  <c r="DB465" i="1"/>
  <c r="BN463" i="1"/>
  <c r="AL475" i="1"/>
  <c r="F470" i="1"/>
  <c r="CT465" i="1"/>
  <c r="CD462" i="1"/>
  <c r="AP459" i="1"/>
  <c r="DB455" i="1"/>
  <c r="BN453" i="1"/>
  <c r="Z451" i="1"/>
  <c r="CP448" i="1"/>
  <c r="BB446" i="1"/>
  <c r="N444" i="1"/>
  <c r="CR441" i="1"/>
  <c r="BD439" i="1"/>
  <c r="P437" i="1"/>
  <c r="CF434" i="1"/>
  <c r="AR432" i="1"/>
  <c r="DH429" i="1"/>
  <c r="BT427" i="1"/>
  <c r="AF425" i="1"/>
  <c r="CV422" i="1"/>
  <c r="BH420" i="1"/>
  <c r="T418" i="1"/>
  <c r="CJ415" i="1"/>
  <c r="AV413" i="1"/>
  <c r="H411" i="1"/>
  <c r="BX408" i="1"/>
  <c r="AJ406" i="1"/>
  <c r="CU440" i="1"/>
  <c r="BG438" i="1"/>
  <c r="S436" i="1"/>
  <c r="CI433" i="1"/>
  <c r="AU431" i="1"/>
  <c r="G429" i="1"/>
  <c r="BW426" i="1"/>
  <c r="AI424" i="1"/>
  <c r="CY421" i="1"/>
  <c r="BK419" i="1"/>
  <c r="W417" i="1"/>
  <c r="CM414" i="1"/>
  <c r="AY412" i="1"/>
  <c r="K410" i="1"/>
  <c r="CA407" i="1"/>
  <c r="AM405" i="1"/>
  <c r="CP440" i="1"/>
  <c r="BB438" i="1"/>
  <c r="N436" i="1"/>
  <c r="CD433" i="1"/>
  <c r="AP431" i="1"/>
  <c r="DF428" i="1"/>
  <c r="BR426" i="1"/>
  <c r="AD424" i="1"/>
  <c r="CT421" i="1"/>
  <c r="BF419" i="1"/>
  <c r="R417" i="1"/>
  <c r="CH414" i="1"/>
  <c r="AT412" i="1"/>
  <c r="F410" i="1"/>
  <c r="BV407" i="1"/>
  <c r="AH405" i="1"/>
  <c r="CK440" i="1"/>
  <c r="AW438" i="1"/>
  <c r="AH477" i="1"/>
  <c r="BN470" i="1"/>
  <c r="AT467" i="1"/>
  <c r="AD463" i="1"/>
  <c r="BR459" i="1"/>
  <c r="AD457" i="1"/>
  <c r="CP453" i="1"/>
  <c r="BB451" i="1"/>
  <c r="N449" i="1"/>
  <c r="CD446" i="1"/>
  <c r="AP444" i="1"/>
  <c r="P442" i="1"/>
  <c r="CF439" i="1"/>
  <c r="AR437" i="1"/>
  <c r="DH434" i="1"/>
  <c r="BT432" i="1"/>
  <c r="AF430" i="1"/>
  <c r="CV427" i="1"/>
  <c r="BH425" i="1"/>
  <c r="T423" i="1"/>
  <c r="CJ420" i="1"/>
  <c r="AV418" i="1"/>
  <c r="H416" i="1"/>
  <c r="BX413" i="1"/>
  <c r="AJ411" i="1"/>
  <c r="CZ408" i="1"/>
  <c r="BL406" i="1"/>
  <c r="S441" i="1"/>
  <c r="CI438" i="1"/>
  <c r="AU436" i="1"/>
  <c r="G434" i="1"/>
  <c r="BW431" i="1"/>
  <c r="AI429" i="1"/>
  <c r="CY426" i="1"/>
  <c r="BK424" i="1"/>
  <c r="W422" i="1"/>
  <c r="CM419" i="1"/>
  <c r="AY417" i="1"/>
  <c r="K415" i="1"/>
  <c r="CA412" i="1"/>
  <c r="AM410" i="1"/>
  <c r="DC407" i="1"/>
  <c r="BO405" i="1"/>
  <c r="N441" i="1"/>
  <c r="CD438" i="1"/>
  <c r="AP436" i="1"/>
  <c r="DF433" i="1"/>
  <c r="BR431" i="1"/>
  <c r="AD429" i="1"/>
  <c r="CT426" i="1"/>
  <c r="BF424" i="1"/>
  <c r="R422" i="1"/>
  <c r="CH419" i="1"/>
  <c r="AT417" i="1"/>
  <c r="F415" i="1"/>
  <c r="BV412" i="1"/>
  <c r="AH410" i="1"/>
  <c r="CX407" i="1"/>
  <c r="BJ405" i="1"/>
  <c r="I441" i="1"/>
  <c r="BY438" i="1"/>
  <c r="CH475" i="1"/>
  <c r="AL470" i="1"/>
  <c r="V467" i="1"/>
  <c r="F463" i="1"/>
  <c r="AX459" i="1"/>
  <c r="J457" i="1"/>
  <c r="BV453" i="1"/>
  <c r="AH451" i="1"/>
  <c r="CX448" i="1"/>
  <c r="BJ446" i="1"/>
  <c r="V444" i="1"/>
  <c r="CZ441" i="1"/>
  <c r="BL439" i="1"/>
  <c r="X437" i="1"/>
  <c r="CN434" i="1"/>
  <c r="AZ432" i="1"/>
  <c r="L430" i="1"/>
  <c r="CB427" i="1"/>
  <c r="AN425" i="1"/>
  <c r="DD422" i="1"/>
  <c r="BP420" i="1"/>
  <c r="AB418" i="1"/>
  <c r="CR415" i="1"/>
  <c r="BD413" i="1"/>
  <c r="P411" i="1"/>
  <c r="CF408" i="1"/>
  <c r="AR406" i="1"/>
  <c r="DC440" i="1"/>
  <c r="BO438" i="1"/>
  <c r="AA436" i="1"/>
  <c r="CQ433" i="1"/>
  <c r="BC431" i="1"/>
  <c r="O429" i="1"/>
  <c r="CE426" i="1"/>
  <c r="AQ424" i="1"/>
  <c r="DG421" i="1"/>
  <c r="BS419" i="1"/>
  <c r="AE417" i="1"/>
  <c r="CU414" i="1"/>
  <c r="BG412" i="1"/>
  <c r="S410" i="1"/>
  <c r="CI407" i="1"/>
  <c r="AU405" i="1"/>
  <c r="CX440" i="1"/>
  <c r="BJ438" i="1"/>
  <c r="V436" i="1"/>
  <c r="CL433" i="1"/>
  <c r="AX431" i="1"/>
  <c r="J429" i="1"/>
  <c r="BZ426" i="1"/>
  <c r="AL424" i="1"/>
  <c r="DB421" i="1"/>
  <c r="BN419" i="1"/>
  <c r="Z417" i="1"/>
  <c r="CP414" i="1"/>
  <c r="BB412" i="1"/>
  <c r="N410" i="1"/>
  <c r="CD407" i="1"/>
  <c r="AP405" i="1"/>
  <c r="CS440" i="1"/>
  <c r="BE438" i="1"/>
  <c r="Q436" i="1"/>
  <c r="R478" i="1"/>
  <c r="AT472" i="1"/>
  <c r="N468" i="1"/>
  <c r="DB463" i="1"/>
  <c r="R460" i="1"/>
  <c r="CH457" i="1"/>
  <c r="BF454" i="1"/>
  <c r="R452" i="1"/>
  <c r="CH449" i="1"/>
  <c r="AT447" i="1"/>
  <c r="F445" i="1"/>
  <c r="CJ442" i="1"/>
  <c r="AV440" i="1"/>
  <c r="H438" i="1"/>
  <c r="BX435" i="1"/>
  <c r="AJ433" i="1"/>
  <c r="CZ430" i="1"/>
  <c r="BL428" i="1"/>
  <c r="X426" i="1"/>
  <c r="CN423" i="1"/>
  <c r="AZ421" i="1"/>
  <c r="L419" i="1"/>
  <c r="CB416" i="1"/>
  <c r="AN414" i="1"/>
  <c r="DD411" i="1"/>
  <c r="BP409" i="1"/>
  <c r="AB407" i="1"/>
  <c r="CM441" i="1"/>
  <c r="AY439" i="1"/>
  <c r="K437" i="1"/>
  <c r="AK647" i="1"/>
  <c r="DH638" i="1"/>
  <c r="CX625" i="1"/>
  <c r="BG611" i="1"/>
  <c r="BN622" i="1"/>
  <c r="Z619" i="1"/>
  <c r="CB609" i="1"/>
  <c r="F618" i="1"/>
  <c r="W609" i="1"/>
  <c r="BT608" i="1"/>
  <c r="BK593" i="1"/>
  <c r="BQ598" i="1"/>
  <c r="BW590" i="1"/>
  <c r="BU588" i="1"/>
  <c r="V599" i="1"/>
  <c r="DD589" i="1"/>
  <c r="V596" i="1"/>
  <c r="Q596" i="1"/>
  <c r="X597" i="1"/>
  <c r="AS579" i="1"/>
  <c r="CF576" i="1"/>
  <c r="V576" i="1"/>
  <c r="AV557" i="1"/>
  <c r="AQ557" i="1"/>
  <c r="BL576" i="1"/>
  <c r="DF575" i="1"/>
  <c r="AB557" i="1"/>
  <c r="W557" i="1"/>
  <c r="CZ575" i="1"/>
  <c r="AP575" i="1"/>
  <c r="BP556" i="1"/>
  <c r="BK556" i="1"/>
  <c r="DH643" i="1"/>
  <c r="AU628" i="1"/>
  <c r="CX628" i="1"/>
  <c r="CZ619" i="1"/>
  <c r="CF619" i="1"/>
  <c r="BJ617" i="1"/>
  <c r="BF602" i="1"/>
  <c r="CN587" i="1"/>
  <c r="DB601" i="1"/>
  <c r="AN581" i="1"/>
  <c r="T581" i="1"/>
  <c r="BH580" i="1"/>
  <c r="X580" i="1"/>
  <c r="CT578" i="1"/>
  <c r="P560" i="1"/>
  <c r="K560" i="1"/>
  <c r="BJ571" i="1"/>
  <c r="BU568" i="1"/>
  <c r="AU549" i="1"/>
  <c r="AP549" i="1"/>
  <c r="Y549" i="1"/>
  <c r="BA572" i="1"/>
  <c r="AA553" i="1"/>
  <c r="V553" i="1"/>
  <c r="DI552" i="1"/>
  <c r="AG572" i="1"/>
  <c r="G553" i="1"/>
  <c r="DF552" i="1"/>
  <c r="CO552" i="1"/>
  <c r="AG569" i="1"/>
  <c r="G550" i="1"/>
  <c r="DF549" i="1"/>
  <c r="CO549" i="1"/>
  <c r="AG540" i="1"/>
  <c r="BD539" i="1"/>
  <c r="AZ520" i="1"/>
  <c r="DC520" i="1"/>
  <c r="Y543" i="1"/>
  <c r="BX541" i="1"/>
  <c r="BT522" i="1"/>
  <c r="S523" i="1"/>
  <c r="AS540" i="1"/>
  <c r="BL539" i="1"/>
  <c r="BH520" i="1"/>
  <c r="G521" i="1"/>
  <c r="Q540" i="1"/>
  <c r="AR539" i="1"/>
  <c r="AN520" i="1"/>
  <c r="CQ520" i="1"/>
  <c r="BV528" i="1"/>
  <c r="I526" i="1"/>
  <c r="CQ506" i="1"/>
  <c r="CU487" i="1"/>
  <c r="CL506" i="1"/>
  <c r="CP487" i="1"/>
  <c r="CG506" i="1"/>
  <c r="CK487" i="1"/>
  <c r="CD526" i="1"/>
  <c r="AG525" i="1"/>
  <c r="K506" i="1"/>
  <c r="BS489" i="1"/>
  <c r="BN517" i="1"/>
  <c r="N508" i="1"/>
  <c r="BR498" i="1"/>
  <c r="R489" i="1"/>
  <c r="BI517" i="1"/>
  <c r="I508" i="1"/>
  <c r="BM498" i="1"/>
  <c r="M489" i="1"/>
  <c r="AR517" i="1"/>
  <c r="CH523" i="1"/>
  <c r="CK532" i="1"/>
  <c r="AK523" i="1"/>
  <c r="BO513" i="1"/>
  <c r="O504" i="1"/>
  <c r="BS494" i="1"/>
  <c r="S485" i="1"/>
  <c r="BJ513" i="1"/>
  <c r="J504" i="1"/>
  <c r="BN494" i="1"/>
  <c r="N485" i="1"/>
  <c r="BE513" i="1"/>
  <c r="DI503" i="1"/>
  <c r="BI494" i="1"/>
  <c r="I485" i="1"/>
  <c r="AN513" i="1"/>
  <c r="AK536" i="1"/>
  <c r="CO526" i="1"/>
  <c r="O517" i="1"/>
  <c r="BS507" i="1"/>
  <c r="S498" i="1"/>
  <c r="BW488" i="1"/>
  <c r="J517" i="1"/>
  <c r="BN507" i="1"/>
  <c r="N498" i="1"/>
  <c r="BR488" i="1"/>
  <c r="DI516" i="1"/>
  <c r="BI507" i="1"/>
  <c r="I498" i="1"/>
  <c r="BM488" i="1"/>
  <c r="CR516" i="1"/>
  <c r="AR507" i="1"/>
  <c r="BL500" i="1"/>
  <c r="L491" i="1"/>
  <c r="BP481" i="1"/>
  <c r="DI469" i="1"/>
  <c r="BQ458" i="1"/>
  <c r="M448" i="1"/>
  <c r="AN475" i="1"/>
  <c r="CZ463" i="1"/>
  <c r="AR452" i="1"/>
  <c r="BS480" i="1"/>
  <c r="AA469" i="1"/>
  <c r="BW457" i="1"/>
  <c r="S447" i="1"/>
  <c r="BF474" i="1"/>
  <c r="BP502" i="1"/>
  <c r="P493" i="1"/>
  <c r="BT483" i="1"/>
  <c r="M473" i="1"/>
  <c r="BU460" i="1"/>
  <c r="Q450" i="1"/>
  <c r="AV478" i="1"/>
  <c r="DD465" i="1"/>
  <c r="BL454" i="1"/>
  <c r="AN448" i="1"/>
  <c r="T443" i="1"/>
  <c r="AE475" i="1"/>
  <c r="BC469" i="1"/>
  <c r="CA463" i="1"/>
  <c r="CY457" i="1"/>
  <c r="AI452" i="1"/>
  <c r="BK447" i="1"/>
  <c r="BJ480" i="1"/>
  <c r="BP507" i="1"/>
  <c r="CB502" i="1"/>
  <c r="DD497" i="1"/>
  <c r="AB493" i="1"/>
  <c r="BD488" i="1"/>
  <c r="CF483" i="1"/>
  <c r="DE478" i="1"/>
  <c r="AO473" i="1"/>
  <c r="BM467" i="1"/>
  <c r="CG460" i="1"/>
  <c r="Q455" i="1"/>
  <c r="AS450" i="1"/>
  <c r="BU445" i="1"/>
  <c r="BX478" i="1"/>
  <c r="H473" i="1"/>
  <c r="AF467" i="1"/>
  <c r="AZ460" i="1"/>
  <c r="CN454" i="1"/>
  <c r="L450" i="1"/>
  <c r="AN445" i="1"/>
  <c r="AM478" i="1"/>
  <c r="BK472" i="1"/>
  <c r="CE465" i="1"/>
  <c r="O460" i="1"/>
  <c r="AM454" i="1"/>
  <c r="BO449" i="1"/>
  <c r="CQ444" i="1"/>
  <c r="P510" i="1"/>
  <c r="DH503" i="1"/>
  <c r="AF499" i="1"/>
  <c r="BH494" i="1"/>
  <c r="CJ489" i="1"/>
  <c r="H485" i="1"/>
  <c r="AG480" i="1"/>
  <c r="BE474" i="1"/>
  <c r="CC468" i="1"/>
  <c r="DA462" i="1"/>
  <c r="AK457" i="1"/>
  <c r="BI451" i="1"/>
  <c r="AV609" i="1"/>
  <c r="AU593" i="1"/>
  <c r="F599" i="1"/>
  <c r="BP596" i="1"/>
  <c r="AF557" i="1"/>
  <c r="L557" i="1"/>
  <c r="AS575" i="1"/>
  <c r="G579" i="1"/>
  <c r="AZ569" i="1"/>
  <c r="AU569" i="1"/>
  <c r="BZ569" i="1"/>
  <c r="J559" i="1"/>
  <c r="DI558" i="1"/>
  <c r="CI539" i="1"/>
  <c r="CD539" i="1"/>
  <c r="BZ563" i="1"/>
  <c r="CO562" i="1"/>
  <c r="BO543" i="1"/>
  <c r="BJ543" i="1"/>
  <c r="AX563" i="1"/>
  <c r="BU562" i="1"/>
  <c r="AU543" i="1"/>
  <c r="AP543" i="1"/>
  <c r="BZ559" i="1"/>
  <c r="BU559" i="1"/>
  <c r="AU540" i="1"/>
  <c r="AP540" i="1"/>
  <c r="Y540" i="1"/>
  <c r="CN548" i="1"/>
  <c r="CJ529" i="1"/>
  <c r="AI530" i="1"/>
  <c r="BR530" i="1"/>
  <c r="DH550" i="1"/>
  <c r="DD531" i="1"/>
  <c r="BC532" i="1"/>
  <c r="CL532" i="1"/>
  <c r="CV548" i="1"/>
  <c r="CR529" i="1"/>
  <c r="AQ530" i="1"/>
  <c r="BZ530" i="1"/>
  <c r="CB548" i="1"/>
  <c r="BX529" i="1"/>
  <c r="W530" i="1"/>
  <c r="BF530" i="1"/>
  <c r="AS535" i="1"/>
  <c r="W516" i="1"/>
  <c r="AA497" i="1"/>
  <c r="R516" i="1"/>
  <c r="V497" i="1"/>
  <c r="M516" i="1"/>
  <c r="Q497" i="1"/>
  <c r="CZ515" i="1"/>
  <c r="BQ534" i="1"/>
  <c r="AU515" i="1"/>
  <c r="AY496" i="1"/>
  <c r="AI484" i="1"/>
  <c r="BZ512" i="1"/>
  <c r="Z503" i="1"/>
  <c r="CD493" i="1"/>
  <c r="AD484" i="1"/>
  <c r="BU512" i="1"/>
  <c r="U503" i="1"/>
  <c r="BY493" i="1"/>
  <c r="Y484" i="1"/>
  <c r="BD512" i="1"/>
  <c r="AS537" i="1"/>
  <c r="CW527" i="1"/>
  <c r="W518" i="1"/>
  <c r="CA508" i="1"/>
  <c r="AA499" i="1"/>
  <c r="CE489" i="1"/>
  <c r="R518" i="1"/>
  <c r="BV508" i="1"/>
  <c r="V499" i="1"/>
  <c r="BZ489" i="1"/>
  <c r="M518" i="1"/>
  <c r="BQ508" i="1"/>
  <c r="Q499" i="1"/>
  <c r="BU489" i="1"/>
  <c r="CZ517" i="1"/>
  <c r="DB521" i="1"/>
  <c r="AW531" i="1"/>
  <c r="DA521" i="1"/>
  <c r="AA512" i="1"/>
  <c r="CE502" i="1"/>
  <c r="AE493" i="1"/>
  <c r="CI483" i="1"/>
  <c r="V512" i="1"/>
  <c r="BZ502" i="1"/>
  <c r="Z493" i="1"/>
  <c r="CD483" i="1"/>
  <c r="Q512" i="1"/>
  <c r="BU502" i="1"/>
  <c r="U493" i="1"/>
  <c r="BY483" i="1"/>
  <c r="DD511" i="1"/>
  <c r="T505" i="1"/>
  <c r="BX495" i="1"/>
  <c r="X486" i="1"/>
  <c r="BU475" i="1"/>
  <c r="AC464" i="1"/>
  <c r="BY452" i="1"/>
  <c r="Y443" i="1"/>
  <c r="AV469" i="1"/>
  <c r="DH457" i="1"/>
  <c r="BD447" i="1"/>
  <c r="CA474" i="1"/>
  <c r="AI463" i="1"/>
  <c r="CE451" i="1"/>
  <c r="DF479" i="1"/>
  <c r="AF507" i="1"/>
  <c r="CB497" i="1"/>
  <c r="AB488" i="1"/>
  <c r="CC478" i="1"/>
  <c r="AK467" i="1"/>
  <c r="CC454" i="1"/>
  <c r="AC445" i="1"/>
  <c r="BD472" i="1"/>
  <c r="H460" i="1"/>
  <c r="AJ451" i="1"/>
  <c r="AR445" i="1"/>
  <c r="AQ478" i="1"/>
  <c r="CE472" i="1"/>
  <c r="CY465" i="1"/>
  <c r="S460" i="1"/>
  <c r="BG454" i="1"/>
  <c r="CI449" i="1"/>
  <c r="G445" i="1"/>
  <c r="F478" i="1"/>
  <c r="CZ504" i="1"/>
  <c r="X500" i="1"/>
  <c r="AZ495" i="1"/>
  <c r="CB490" i="1"/>
  <c r="DD485" i="1"/>
  <c r="AB481" i="1"/>
  <c r="BM475" i="1"/>
  <c r="CK469" i="1"/>
  <c r="DI463" i="1"/>
  <c r="AC458" i="1"/>
  <c r="BQ452" i="1"/>
  <c r="CS447" i="1"/>
  <c r="Q443" i="1"/>
  <c r="AF475" i="1"/>
  <c r="BD469" i="1"/>
  <c r="CB463" i="1"/>
  <c r="CZ457" i="1"/>
  <c r="AJ452" i="1"/>
  <c r="BL447" i="1"/>
  <c r="BK480" i="1"/>
  <c r="CI474" i="1"/>
  <c r="DG468" i="1"/>
  <c r="AA463" i="1"/>
  <c r="BO457" i="1"/>
  <c r="CM451" i="1"/>
  <c r="K447" i="1"/>
  <c r="J480" i="1"/>
  <c r="AB506" i="1"/>
  <c r="BD501" i="1"/>
  <c r="CF496" i="1"/>
  <c r="DH491" i="1"/>
  <c r="AF487" i="1"/>
  <c r="BH482" i="1"/>
  <c r="CG477" i="1"/>
  <c r="DA470" i="1"/>
  <c r="U465" i="1"/>
  <c r="BI459" i="1"/>
  <c r="CG453" i="1"/>
  <c r="DI448" i="1"/>
  <c r="AG444" i="1"/>
  <c r="AJ477" i="1"/>
  <c r="BD470" i="1"/>
  <c r="CB464" i="1"/>
  <c r="L459" i="1"/>
  <c r="AJ453" i="1"/>
  <c r="BL448" i="1"/>
  <c r="CN443" i="1"/>
  <c r="CI475" i="1"/>
  <c r="DG469" i="1"/>
  <c r="AQ464" i="1"/>
  <c r="BO458" i="1"/>
  <c r="CM452" i="1"/>
  <c r="BV469" i="1"/>
  <c r="AH457" i="1"/>
  <c r="AV437" i="1"/>
  <c r="AZ418" i="1"/>
  <c r="AY436" i="1"/>
  <c r="BC417" i="1"/>
  <c r="AT436" i="1"/>
  <c r="CB583" i="1"/>
  <c r="AD581" i="1"/>
  <c r="DI570" i="1"/>
  <c r="CO574" i="1"/>
  <c r="BU574" i="1"/>
  <c r="BU571" i="1"/>
  <c r="AW543" i="1"/>
  <c r="CK546" i="1"/>
  <c r="BI543" i="1"/>
  <c r="AG543" i="1"/>
  <c r="BJ523" i="1"/>
  <c r="V509" i="1"/>
  <c r="DD508" i="1"/>
  <c r="CU480" i="1"/>
  <c r="CP480" i="1"/>
  <c r="CK480" i="1"/>
  <c r="U556" i="1"/>
  <c r="CY527" i="1"/>
  <c r="CQ494" i="1"/>
  <c r="BE492" i="1"/>
  <c r="AY481" i="1"/>
  <c r="AO481" i="1"/>
  <c r="AP513" i="1"/>
  <c r="T513" i="1"/>
  <c r="BP470" i="1"/>
  <c r="CV498" i="1"/>
  <c r="H452" i="1"/>
  <c r="BS445" i="1"/>
  <c r="I477" i="1"/>
  <c r="L470" i="1"/>
  <c r="CM463" i="1"/>
  <c r="BP492" i="1"/>
  <c r="BQ449" i="1"/>
  <c r="AJ457" i="1"/>
  <c r="CA465" i="1"/>
  <c r="CP474" i="1"/>
  <c r="BB454" i="1"/>
  <c r="AF429" i="1"/>
  <c r="CE440" i="1"/>
  <c r="CA415" i="1"/>
  <c r="AX429" i="1"/>
  <c r="BB410" i="1"/>
  <c r="CP463" i="1"/>
  <c r="BL442" i="1"/>
  <c r="BP423" i="1"/>
  <c r="BO441" i="1"/>
  <c r="BS422" i="1"/>
  <c r="BJ441" i="1"/>
  <c r="BN422" i="1"/>
  <c r="BE441" i="1"/>
  <c r="N454" i="1"/>
  <c r="AF435" i="1"/>
  <c r="AJ416" i="1"/>
  <c r="AI434" i="1"/>
  <c r="AM415" i="1"/>
  <c r="AD434" i="1"/>
  <c r="AH415" i="1"/>
  <c r="Y434" i="1"/>
  <c r="Z450" i="1"/>
  <c r="AR431" i="1"/>
  <c r="AV412" i="1"/>
  <c r="G432" i="1"/>
  <c r="AI419" i="1"/>
  <c r="CA406" i="1"/>
  <c r="DF431" i="1"/>
  <c r="CS577" i="1"/>
  <c r="BE574" i="1"/>
  <c r="AO543" i="1"/>
  <c r="CN508" i="1"/>
  <c r="BQ531" i="1"/>
  <c r="AT493" i="1"/>
  <c r="BU525" i="1"/>
  <c r="AX487" i="1"/>
  <c r="CV489" i="1"/>
  <c r="AY479" i="1"/>
  <c r="DI470" i="1"/>
  <c r="BW474" i="1"/>
  <c r="P502" i="1"/>
  <c r="U460" i="1"/>
  <c r="AB454" i="1"/>
  <c r="DG448" i="1"/>
  <c r="BY479" i="1"/>
  <c r="H478" i="1"/>
  <c r="DD447" i="1"/>
  <c r="AM455" i="1"/>
  <c r="BR464" i="1"/>
  <c r="V446" i="1"/>
  <c r="DD420" i="1"/>
  <c r="AY432" i="1"/>
  <c r="AU407" i="1"/>
  <c r="AP423" i="1"/>
  <c r="AG442" i="1"/>
  <c r="AL455" i="1"/>
  <c r="BD436" i="1"/>
  <c r="BH417" i="1"/>
  <c r="BG435" i="1"/>
  <c r="BK416" i="1"/>
  <c r="BB435" i="1"/>
  <c r="BF416" i="1"/>
  <c r="DF473" i="1"/>
  <c r="F448" i="1"/>
  <c r="X429" i="1"/>
  <c r="AB410" i="1"/>
  <c r="AA428" i="1"/>
  <c r="AE409" i="1"/>
  <c r="V428" i="1"/>
  <c r="Z409" i="1"/>
  <c r="CX465" i="1"/>
  <c r="R444" i="1"/>
  <c r="AJ425" i="1"/>
  <c r="AN406" i="1"/>
  <c r="BZ584" i="1"/>
  <c r="BB550" i="1"/>
  <c r="BC537" i="1"/>
  <c r="BK503" i="1"/>
  <c r="DE521" i="1"/>
  <c r="CH483" i="1"/>
  <c r="CI515" i="1"/>
  <c r="BY515" i="1"/>
  <c r="AC480" i="1"/>
  <c r="CU467" i="1"/>
  <c r="AK459" i="1"/>
  <c r="CE468" i="1"/>
  <c r="AB497" i="1"/>
  <c r="AS454" i="1"/>
  <c r="AN449" i="1"/>
  <c r="O444" i="1"/>
  <c r="CG473" i="1"/>
  <c r="AW448" i="1"/>
  <c r="P472" i="1"/>
  <c r="AB455" i="1"/>
  <c r="BG480" i="1"/>
  <c r="DC464" i="1"/>
  <c r="DG449" i="1"/>
  <c r="AD474" i="1"/>
  <c r="AP472" i="1"/>
  <c r="AX453" i="1"/>
  <c r="P441" i="1"/>
  <c r="BH428" i="1"/>
  <c r="BT415" i="1"/>
  <c r="S440" i="1"/>
  <c r="BK427" i="1"/>
  <c r="BW414" i="1"/>
  <c r="N440" i="1"/>
  <c r="CP428" i="1"/>
  <c r="AP419" i="1"/>
  <c r="CT409" i="1"/>
  <c r="AG438" i="1"/>
  <c r="J463" i="1"/>
  <c r="AL451" i="1"/>
  <c r="DD441" i="1"/>
  <c r="BD432" i="1"/>
  <c r="DH422" i="1"/>
  <c r="BH413" i="1"/>
  <c r="DG440" i="1"/>
  <c r="BG431" i="1"/>
  <c r="G422" i="1"/>
  <c r="BK412" i="1"/>
  <c r="DB440" i="1"/>
  <c r="T532" i="1"/>
  <c r="AO504" i="1"/>
  <c r="AC486" i="1"/>
  <c r="H518" i="1"/>
  <c r="CJ503" i="1"/>
  <c r="S448" i="1"/>
  <c r="BT473" i="1"/>
  <c r="P495" i="1"/>
  <c r="AB459" i="1"/>
  <c r="N478" i="1"/>
  <c r="H431" i="1"/>
  <c r="BS417" i="1"/>
  <c r="N412" i="1"/>
  <c r="J444" i="1"/>
  <c r="AF406" i="1"/>
  <c r="AI405" i="1"/>
  <c r="F423" i="1"/>
  <c r="DA441" i="1"/>
  <c r="BJ454" i="1"/>
  <c r="CB435" i="1"/>
  <c r="CF416" i="1"/>
  <c r="CE434" i="1"/>
  <c r="CI415" i="1"/>
  <c r="BZ434" i="1"/>
  <c r="CD415" i="1"/>
  <c r="BU434" i="1"/>
  <c r="BV450" i="1"/>
  <c r="CN431" i="1"/>
  <c r="CR412" i="1"/>
  <c r="W432" i="1"/>
  <c r="CE423" i="1"/>
  <c r="S415" i="1"/>
  <c r="CQ406" i="1"/>
  <c r="AH436" i="1"/>
  <c r="V421" i="1"/>
  <c r="DA433" i="1"/>
  <c r="DE427" i="1"/>
  <c r="AC423" i="1"/>
  <c r="BE418" i="1"/>
  <c r="CG413" i="1"/>
  <c r="DI408" i="1"/>
  <c r="BC404" i="1"/>
  <c r="CE399" i="1"/>
  <c r="DG394" i="1"/>
  <c r="AE390" i="1"/>
  <c r="BG385" i="1"/>
  <c r="CI380" i="1"/>
  <c r="G376" i="1"/>
  <c r="AI371" i="1"/>
  <c r="BK366" i="1"/>
  <c r="CD400" i="1"/>
  <c r="DF395" i="1"/>
  <c r="AD391" i="1"/>
  <c r="BF386" i="1"/>
  <c r="CH381" i="1"/>
  <c r="F377" i="1"/>
  <c r="AH372" i="1"/>
  <c r="BJ367" i="1"/>
  <c r="BE401" i="1"/>
  <c r="CG396" i="1"/>
  <c r="DI391" i="1"/>
  <c r="AG387" i="1"/>
  <c r="BI382" i="1"/>
  <c r="CK377" i="1"/>
  <c r="I373" i="1"/>
  <c r="CX413" i="1"/>
  <c r="BA435" i="1"/>
  <c r="AK430" i="1"/>
  <c r="BM425" i="1"/>
  <c r="CO420" i="1"/>
  <c r="M416" i="1"/>
  <c r="AO411" i="1"/>
  <c r="BQ406" i="1"/>
  <c r="K402" i="1"/>
  <c r="AM397" i="1"/>
  <c r="BO392" i="1"/>
  <c r="CQ387" i="1"/>
  <c r="O383" i="1"/>
  <c r="AQ378" i="1"/>
  <c r="BS373" i="1"/>
  <c r="CU368" i="1"/>
  <c r="J403" i="1"/>
  <c r="AL398" i="1"/>
  <c r="BN393" i="1"/>
  <c r="CP388" i="1"/>
  <c r="N384" i="1"/>
  <c r="AP379" i="1"/>
  <c r="BR374" i="1"/>
  <c r="CT369" i="1"/>
  <c r="CO403" i="1"/>
  <c r="M399" i="1"/>
  <c r="AO394" i="1"/>
  <c r="BQ389" i="1"/>
  <c r="CS384" i="1"/>
  <c r="Q380" i="1"/>
  <c r="AS375" i="1"/>
  <c r="BU370" i="1"/>
  <c r="V413" i="1"/>
  <c r="Y435" i="1"/>
  <c r="Q430" i="1"/>
  <c r="AS425" i="1"/>
  <c r="BU420" i="1"/>
  <c r="CW415" i="1"/>
  <c r="U411" i="1"/>
  <c r="AW406" i="1"/>
  <c r="CU401" i="1"/>
  <c r="S397" i="1"/>
  <c r="AU392" i="1"/>
  <c r="BW387" i="1"/>
  <c r="CY382" i="1"/>
  <c r="W378" i="1"/>
  <c r="AY373" i="1"/>
  <c r="CA368" i="1"/>
  <c r="CT402" i="1"/>
  <c r="R398" i="1"/>
  <c r="AT393" i="1"/>
  <c r="BV388" i="1"/>
  <c r="CX383" i="1"/>
  <c r="V379" i="1"/>
  <c r="BR375" i="1"/>
  <c r="AD373" i="1"/>
  <c r="CT370" i="1"/>
  <c r="BF368" i="1"/>
  <c r="CO404" i="1"/>
  <c r="BA402" i="1"/>
  <c r="M400" i="1"/>
  <c r="CC397" i="1"/>
  <c r="AO395" i="1"/>
  <c r="DE392" i="1"/>
  <c r="BQ390" i="1"/>
  <c r="AC388" i="1"/>
  <c r="CS385" i="1"/>
  <c r="BE383" i="1"/>
  <c r="J572" i="1"/>
  <c r="CD542" i="1"/>
  <c r="BK532" i="1"/>
  <c r="CX494" i="1"/>
  <c r="BK500" i="1"/>
  <c r="BA500" i="1"/>
  <c r="BO494" i="1"/>
  <c r="BE494" i="1"/>
  <c r="DI453" i="1"/>
  <c r="BO443" i="1"/>
  <c r="CN473" i="1"/>
  <c r="AE455" i="1"/>
  <c r="CB486" i="1"/>
  <c r="CS443" i="1"/>
  <c r="BG475" i="1"/>
  <c r="AB502" i="1"/>
  <c r="AG460" i="1"/>
  <c r="CR464" i="1"/>
  <c r="S474" i="1"/>
  <c r="O445" i="1"/>
  <c r="AL463" i="1"/>
  <c r="CJ435" i="1"/>
  <c r="CF410" i="1"/>
  <c r="AQ422" i="1"/>
  <c r="CH434" i="1"/>
  <c r="BV415" i="1"/>
  <c r="R473" i="1"/>
  <c r="BR447" i="1"/>
  <c r="CJ428" i="1"/>
  <c r="CN409" i="1"/>
  <c r="CM427" i="1"/>
  <c r="CQ408" i="1"/>
  <c r="CP433" i="1"/>
  <c r="AP424" i="1"/>
  <c r="CT414" i="1"/>
  <c r="AT405" i="1"/>
  <c r="R470" i="1"/>
  <c r="CT455" i="1"/>
  <c r="AT446" i="1"/>
  <c r="H437" i="1"/>
  <c r="BL427" i="1"/>
  <c r="L418" i="1"/>
  <c r="BP408" i="1"/>
  <c r="K436" i="1"/>
  <c r="BO426" i="1"/>
  <c r="O417" i="1"/>
  <c r="BS407" i="1"/>
  <c r="F436" i="1"/>
  <c r="BJ426" i="1"/>
  <c r="J417" i="1"/>
  <c r="BN407" i="1"/>
  <c r="DE435" i="1"/>
  <c r="CH463" i="1"/>
  <c r="DF451" i="1"/>
  <c r="BT442" i="1"/>
  <c r="T433" i="1"/>
  <c r="BX423" i="1"/>
  <c r="X414" i="1"/>
  <c r="BW441" i="1"/>
  <c r="AA433" i="1"/>
  <c r="BS428" i="1"/>
  <c r="BC424" i="1"/>
  <c r="AM420" i="1"/>
  <c r="G416" i="1"/>
  <c r="CU411" i="1"/>
  <c r="CE407" i="1"/>
  <c r="V441" i="1"/>
  <c r="F437" i="1"/>
  <c r="CT432" i="1"/>
  <c r="R424" i="1"/>
  <c r="BJ407" i="1"/>
  <c r="CC434" i="1"/>
  <c r="AC431" i="1"/>
  <c r="AW428" i="1"/>
  <c r="I426" i="1"/>
  <c r="BY423" i="1"/>
  <c r="AK421" i="1"/>
  <c r="DA418" i="1"/>
  <c r="BM416" i="1"/>
  <c r="Y414" i="1"/>
  <c r="CO411" i="1"/>
  <c r="BA409" i="1"/>
  <c r="M407" i="1"/>
  <c r="CY404" i="1"/>
  <c r="BK402" i="1"/>
  <c r="W400" i="1"/>
  <c r="CM397" i="1"/>
  <c r="AY395" i="1"/>
  <c r="K393" i="1"/>
  <c r="CA390" i="1"/>
  <c r="AM388" i="1"/>
  <c r="DC385" i="1"/>
  <c r="BO383" i="1"/>
  <c r="AA381" i="1"/>
  <c r="CQ378" i="1"/>
  <c r="BC376" i="1"/>
  <c r="O374" i="1"/>
  <c r="CE371" i="1"/>
  <c r="AQ369" i="1"/>
  <c r="DG366" i="1"/>
  <c r="BJ403" i="1"/>
  <c r="V401" i="1"/>
  <c r="CL398" i="1"/>
  <c r="AX396" i="1"/>
  <c r="J394" i="1"/>
  <c r="BZ391" i="1"/>
  <c r="AL389" i="1"/>
  <c r="DB386" i="1"/>
  <c r="BN384" i="1"/>
  <c r="Z382" i="1"/>
  <c r="CP379" i="1"/>
  <c r="BB377" i="1"/>
  <c r="N375" i="1"/>
  <c r="CD372" i="1"/>
  <c r="AP370" i="1"/>
  <c r="DF367" i="1"/>
  <c r="AK404" i="1"/>
  <c r="DA401" i="1"/>
  <c r="BM399" i="1"/>
  <c r="Y397" i="1"/>
  <c r="CO394" i="1"/>
  <c r="BA392" i="1"/>
  <c r="M390" i="1"/>
  <c r="CC387" i="1"/>
  <c r="AO385" i="1"/>
  <c r="DE382" i="1"/>
  <c r="BQ380" i="1"/>
  <c r="AC378" i="1"/>
  <c r="CS375" i="1"/>
  <c r="BE373" i="1"/>
  <c r="V425" i="1"/>
  <c r="BZ415" i="1"/>
  <c r="Z406" i="1"/>
  <c r="I436" i="1"/>
  <c r="Q433" i="1"/>
  <c r="CG430" i="1"/>
  <c r="AS428" i="1"/>
  <c r="DI425" i="1"/>
  <c r="BU423" i="1"/>
  <c r="AG421" i="1"/>
  <c r="CW418" i="1"/>
  <c r="BI416" i="1"/>
  <c r="U414" i="1"/>
  <c r="CK411" i="1"/>
  <c r="AW409" i="1"/>
  <c r="I407" i="1"/>
  <c r="CU404" i="1"/>
  <c r="BG402" i="1"/>
  <c r="S400" i="1"/>
  <c r="CI397" i="1"/>
  <c r="AU395" i="1"/>
  <c r="G393" i="1"/>
  <c r="BW390" i="1"/>
  <c r="AI388" i="1"/>
  <c r="CY385" i="1"/>
  <c r="BK383" i="1"/>
  <c r="W381" i="1"/>
  <c r="CM378" i="1"/>
  <c r="AY376" i="1"/>
  <c r="K374" i="1"/>
  <c r="CA371" i="1"/>
  <c r="AM369" i="1"/>
  <c r="DC366" i="1"/>
  <c r="BF403" i="1"/>
  <c r="R401" i="1"/>
  <c r="CH398" i="1"/>
  <c r="AT396" i="1"/>
  <c r="F394" i="1"/>
  <c r="BV391" i="1"/>
  <c r="AH389" i="1"/>
  <c r="CX386" i="1"/>
  <c r="BJ384" i="1"/>
  <c r="V382" i="1"/>
  <c r="CL379" i="1"/>
  <c r="AX377" i="1"/>
  <c r="J375" i="1"/>
  <c r="BZ372" i="1"/>
  <c r="AL370" i="1"/>
  <c r="DB367" i="1"/>
  <c r="AG404" i="1"/>
  <c r="CW401" i="1"/>
  <c r="BI399" i="1"/>
  <c r="U397" i="1"/>
  <c r="CK394" i="1"/>
  <c r="AW392" i="1"/>
  <c r="I390" i="1"/>
  <c r="BY387" i="1"/>
  <c r="AK385" i="1"/>
  <c r="DA382" i="1"/>
  <c r="BM380" i="1"/>
  <c r="Y378" i="1"/>
  <c r="CO375" i="1"/>
  <c r="BA373" i="1"/>
  <c r="M371" i="1"/>
  <c r="AX424" i="1"/>
  <c r="DB414" i="1"/>
  <c r="BB405" i="1"/>
  <c r="CK435" i="1"/>
  <c r="DA432" i="1"/>
  <c r="BM430" i="1"/>
  <c r="Y428" i="1"/>
  <c r="CO425" i="1"/>
  <c r="BA423" i="1"/>
  <c r="M421" i="1"/>
  <c r="CC418" i="1"/>
  <c r="AO416" i="1"/>
  <c r="DE413" i="1"/>
  <c r="BQ411" i="1"/>
  <c r="AC409" i="1"/>
  <c r="CS406" i="1"/>
  <c r="CA404" i="1"/>
  <c r="AM402" i="1"/>
  <c r="DC399" i="1"/>
  <c r="BO397" i="1"/>
  <c r="AA395" i="1"/>
  <c r="CQ392" i="1"/>
  <c r="BC390" i="1"/>
  <c r="O388" i="1"/>
  <c r="CE385" i="1"/>
  <c r="AQ383" i="1"/>
  <c r="DG380" i="1"/>
  <c r="BS378" i="1"/>
  <c r="AE376" i="1"/>
  <c r="CU373" i="1"/>
  <c r="BG371" i="1"/>
  <c r="S369" i="1"/>
  <c r="CI366" i="1"/>
  <c r="AL403" i="1"/>
  <c r="DB400" i="1"/>
  <c r="BN398" i="1"/>
  <c r="Z396" i="1"/>
  <c r="CP393" i="1"/>
  <c r="BB391" i="1"/>
  <c r="N389" i="1"/>
  <c r="CD386" i="1"/>
  <c r="AP384" i="1"/>
  <c r="DF381" i="1"/>
  <c r="BR379" i="1"/>
  <c r="AD377" i="1"/>
  <c r="CT374" i="1"/>
  <c r="BF372" i="1"/>
  <c r="R370" i="1"/>
  <c r="CH367" i="1"/>
  <c r="M404" i="1"/>
  <c r="CC401" i="1"/>
  <c r="AO399" i="1"/>
  <c r="DE396" i="1"/>
  <c r="BQ394" i="1"/>
  <c r="AC392" i="1"/>
  <c r="CS389" i="1"/>
  <c r="BE387" i="1"/>
  <c r="Q385" i="1"/>
  <c r="CG382" i="1"/>
  <c r="AS380" i="1"/>
  <c r="DI377" i="1"/>
  <c r="BU375" i="1"/>
  <c r="CP566" i="1"/>
  <c r="DF532" i="1"/>
  <c r="CC518" i="1"/>
  <c r="AS485" i="1"/>
  <c r="CD514" i="1"/>
  <c r="BH514" i="1"/>
  <c r="CH508" i="1"/>
  <c r="BL508" i="1"/>
  <c r="P465" i="1"/>
  <c r="AJ494" i="1"/>
  <c r="L449" i="1"/>
  <c r="AU443" i="1"/>
  <c r="DA473" i="1"/>
  <c r="CR467" i="1"/>
  <c r="CA460" i="1"/>
  <c r="AR490" i="1"/>
  <c r="AS447" i="1"/>
  <c r="L455" i="1"/>
  <c r="BG464" i="1"/>
  <c r="BV473" i="1"/>
  <c r="AH453" i="1"/>
  <c r="L428" i="1"/>
  <c r="BK439" i="1"/>
  <c r="BG414" i="1"/>
  <c r="BZ428" i="1"/>
  <c r="CD409" i="1"/>
  <c r="CT462" i="1"/>
  <c r="CN441" i="1"/>
  <c r="CR422" i="1"/>
  <c r="CQ440" i="1"/>
  <c r="CU421" i="1"/>
  <c r="CL440" i="1"/>
  <c r="AL431" i="1"/>
  <c r="CP421" i="1"/>
  <c r="AP412" i="1"/>
  <c r="CG440" i="1"/>
  <c r="CH465" i="1"/>
  <c r="AP453" i="1"/>
  <c r="CT443" i="1"/>
  <c r="BH434" i="1"/>
  <c r="H425" i="1"/>
  <c r="BL415" i="1"/>
  <c r="L406" i="1"/>
  <c r="BK433" i="1"/>
  <c r="K424" i="1"/>
  <c r="BO414" i="1"/>
  <c r="O405" i="1"/>
  <c r="BF433" i="1"/>
  <c r="F424" i="1"/>
  <c r="BJ414" i="1"/>
  <c r="J405" i="1"/>
  <c r="AX477" i="1"/>
  <c r="CP459" i="1"/>
  <c r="BB449" i="1"/>
  <c r="P440" i="1"/>
  <c r="BT430" i="1"/>
  <c r="T421" i="1"/>
  <c r="BX411" i="1"/>
  <c r="S439" i="1"/>
  <c r="BO431" i="1"/>
  <c r="AY427" i="1"/>
  <c r="S423" i="1"/>
  <c r="DG418" i="1"/>
  <c r="CQ414" i="1"/>
  <c r="AU410" i="1"/>
  <c r="AE406" i="1"/>
  <c r="DF439" i="1"/>
  <c r="BZ435" i="1"/>
  <c r="BJ431" i="1"/>
  <c r="AT419" i="1"/>
  <c r="M440" i="1"/>
  <c r="BA433" i="1"/>
  <c r="AO430" i="1"/>
  <c r="BY427" i="1"/>
  <c r="AK425" i="1"/>
  <c r="DA422" i="1"/>
  <c r="BM420" i="1"/>
  <c r="Y418" i="1"/>
  <c r="CO415" i="1"/>
  <c r="BA413" i="1"/>
  <c r="M411" i="1"/>
  <c r="CC408" i="1"/>
  <c r="AO406" i="1"/>
  <c r="W404" i="1"/>
  <c r="CM401" i="1"/>
  <c r="AY399" i="1"/>
  <c r="K397" i="1"/>
  <c r="CA394" i="1"/>
  <c r="AM392" i="1"/>
  <c r="DC389" i="1"/>
  <c r="BO387" i="1"/>
  <c r="AA385" i="1"/>
  <c r="CQ382" i="1"/>
  <c r="BC380" i="1"/>
  <c r="O378" i="1"/>
  <c r="CE375" i="1"/>
  <c r="AQ373" i="1"/>
  <c r="DG370" i="1"/>
  <c r="BS368" i="1"/>
  <c r="BP405" i="1"/>
  <c r="CL402" i="1"/>
  <c r="AX400" i="1"/>
  <c r="J398" i="1"/>
  <c r="BZ395" i="1"/>
  <c r="AL393" i="1"/>
  <c r="DB390" i="1"/>
  <c r="BN388" i="1"/>
  <c r="Z386" i="1"/>
  <c r="CP383" i="1"/>
  <c r="BB381" i="1"/>
  <c r="N379" i="1"/>
  <c r="CD376" i="1"/>
  <c r="AP374" i="1"/>
  <c r="DF371" i="1"/>
  <c r="BR369" i="1"/>
  <c r="AD367" i="1"/>
  <c r="BM403" i="1"/>
  <c r="Y401" i="1"/>
  <c r="CO398" i="1"/>
  <c r="BA396" i="1"/>
  <c r="M394" i="1"/>
  <c r="CC391" i="1"/>
  <c r="AO389" i="1"/>
  <c r="DE386" i="1"/>
  <c r="BQ384" i="1"/>
  <c r="AC382" i="1"/>
  <c r="CS379" i="1"/>
  <c r="BE377" i="1"/>
  <c r="Q375" i="1"/>
  <c r="CG372" i="1"/>
  <c r="Z422" i="1"/>
  <c r="CD412" i="1"/>
  <c r="Q441" i="1"/>
  <c r="I435" i="1"/>
  <c r="AS432" i="1"/>
  <c r="DI429" i="1"/>
  <c r="BU427" i="1"/>
  <c r="AG425" i="1"/>
  <c r="CW422" i="1"/>
  <c r="BI420" i="1"/>
  <c r="U418" i="1"/>
  <c r="CK415" i="1"/>
  <c r="AW413" i="1"/>
  <c r="I411" i="1"/>
  <c r="BY408" i="1"/>
  <c r="AK406" i="1"/>
  <c r="S404" i="1"/>
  <c r="CI401" i="1"/>
  <c r="AU399" i="1"/>
  <c r="G397" i="1"/>
  <c r="BW394" i="1"/>
  <c r="AI392" i="1"/>
  <c r="CY389" i="1"/>
  <c r="BK387" i="1"/>
  <c r="W385" i="1"/>
  <c r="CM382" i="1"/>
  <c r="AY380" i="1"/>
  <c r="K378" i="1"/>
  <c r="CA375" i="1"/>
  <c r="AM373" i="1"/>
  <c r="DC370" i="1"/>
  <c r="BO368" i="1"/>
  <c r="AZ405" i="1"/>
  <c r="CH402" i="1"/>
  <c r="AT400" i="1"/>
  <c r="F398" i="1"/>
  <c r="BV395" i="1"/>
  <c r="AH393" i="1"/>
  <c r="CX390" i="1"/>
  <c r="BJ388" i="1"/>
  <c r="V386" i="1"/>
  <c r="CL383" i="1"/>
  <c r="AX381" i="1"/>
  <c r="J379" i="1"/>
  <c r="BZ376" i="1"/>
  <c r="AL374" i="1"/>
  <c r="DB371" i="1"/>
  <c r="BN369" i="1"/>
  <c r="Z367" i="1"/>
  <c r="BI403" i="1"/>
  <c r="U401" i="1"/>
  <c r="CK398" i="1"/>
  <c r="AW396" i="1"/>
  <c r="I394" i="1"/>
  <c r="BY391" i="1"/>
  <c r="AK389" i="1"/>
  <c r="DA386" i="1"/>
  <c r="BM384" i="1"/>
  <c r="Y382" i="1"/>
  <c r="CO379" i="1"/>
  <c r="BA377" i="1"/>
  <c r="M375" i="1"/>
  <c r="CC372" i="1"/>
  <c r="AO370" i="1"/>
  <c r="BB421" i="1"/>
  <c r="DF411" i="1"/>
  <c r="AS440" i="1"/>
  <c r="CO434" i="1"/>
  <c r="Y432" i="1"/>
  <c r="CO429" i="1"/>
  <c r="BA427" i="1"/>
  <c r="M425" i="1"/>
  <c r="CC422" i="1"/>
  <c r="AO420" i="1"/>
  <c r="DE417" i="1"/>
  <c r="BQ415" i="1"/>
  <c r="AC413" i="1"/>
  <c r="CS410" i="1"/>
  <c r="BE408" i="1"/>
  <c r="Q406" i="1"/>
  <c r="DC403" i="1"/>
  <c r="BO401" i="1"/>
  <c r="AA399" i="1"/>
  <c r="CQ396" i="1"/>
  <c r="BC394" i="1"/>
  <c r="O392" i="1"/>
  <c r="CE389" i="1"/>
  <c r="AQ387" i="1"/>
  <c r="DG384" i="1"/>
  <c r="BS382" i="1"/>
  <c r="AE380" i="1"/>
  <c r="CU377" i="1"/>
  <c r="BG375" i="1"/>
  <c r="S373" i="1"/>
  <c r="CI370" i="1"/>
  <c r="AU368" i="1"/>
  <c r="DB404" i="1"/>
  <c r="BN402" i="1"/>
  <c r="Z400" i="1"/>
  <c r="CP397" i="1"/>
  <c r="BB395" i="1"/>
  <c r="N393" i="1"/>
  <c r="CD390" i="1"/>
  <c r="AP388" i="1"/>
  <c r="DF385" i="1"/>
  <c r="BR383" i="1"/>
  <c r="AD381" i="1"/>
  <c r="CT378" i="1"/>
  <c r="BF376" i="1"/>
  <c r="R374" i="1"/>
  <c r="CH371" i="1"/>
  <c r="AT369" i="1"/>
  <c r="F367" i="1"/>
  <c r="AO403" i="1"/>
  <c r="DE400" i="1"/>
  <c r="BQ398" i="1"/>
  <c r="AC396" i="1"/>
  <c r="CS393" i="1"/>
  <c r="BE391" i="1"/>
  <c r="Q389" i="1"/>
  <c r="CG386" i="1"/>
  <c r="AS384" i="1"/>
  <c r="DI381" i="1"/>
  <c r="BU379" i="1"/>
  <c r="AG377" i="1"/>
  <c r="CF566" i="1"/>
  <c r="AC529" i="1"/>
  <c r="BH487" i="1"/>
  <c r="CZ500" i="1"/>
  <c r="BE478" i="1"/>
  <c r="F464" i="1"/>
  <c r="AQ406" i="1"/>
  <c r="CV435" i="1"/>
  <c r="AT437" i="1"/>
  <c r="AO437" i="1"/>
  <c r="P431" i="1"/>
  <c r="S430" i="1"/>
  <c r="N430" i="1"/>
  <c r="BB469" i="1"/>
  <c r="AB427" i="1"/>
  <c r="AE430" i="1"/>
  <c r="AQ413" i="1"/>
  <c r="BF434" i="1"/>
  <c r="AW432" i="1"/>
  <c r="Y422" i="1"/>
  <c r="CC412" i="1"/>
  <c r="AY403" i="1"/>
  <c r="DC393" i="1"/>
  <c r="BC384" i="1"/>
  <c r="DG374" i="1"/>
  <c r="AX404" i="1"/>
  <c r="DB394" i="1"/>
  <c r="BB385" i="1"/>
  <c r="DF375" i="1"/>
  <c r="CB405" i="1"/>
  <c r="CC395" i="1"/>
  <c r="AC386" i="1"/>
  <c r="CG376" i="1"/>
  <c r="CH409" i="1"/>
  <c r="AG429" i="1"/>
  <c r="CK419" i="1"/>
  <c r="AK410" i="1"/>
  <c r="G401" i="1"/>
  <c r="BK391" i="1"/>
  <c r="K382" i="1"/>
  <c r="BO372" i="1"/>
  <c r="F402" i="1"/>
  <c r="BJ392" i="1"/>
  <c r="J383" i="1"/>
  <c r="BN373" i="1"/>
  <c r="CK402" i="1"/>
  <c r="AK393" i="1"/>
  <c r="CO383" i="1"/>
  <c r="AO374" i="1"/>
  <c r="F409" i="1"/>
  <c r="M429" i="1"/>
  <c r="BQ419" i="1"/>
  <c r="Q410" i="1"/>
  <c r="CQ400" i="1"/>
  <c r="AQ391" i="1"/>
  <c r="CU381" i="1"/>
  <c r="AU372" i="1"/>
  <c r="CP401" i="1"/>
  <c r="AP392" i="1"/>
  <c r="CT382" i="1"/>
  <c r="AT373" i="1"/>
  <c r="BQ402" i="1"/>
  <c r="Q393" i="1"/>
  <c r="BU383" i="1"/>
  <c r="AK378" i="1"/>
  <c r="BA374" i="1"/>
  <c r="M372" i="1"/>
  <c r="CC369" i="1"/>
  <c r="AX428" i="1"/>
  <c r="DB418" i="1"/>
  <c r="BB409" i="1"/>
  <c r="CS437" i="1"/>
  <c r="DE433" i="1"/>
  <c r="BM431" i="1"/>
  <c r="Y429" i="1"/>
  <c r="CO426" i="1"/>
  <c r="BA424" i="1"/>
  <c r="M422" i="1"/>
  <c r="CC419" i="1"/>
  <c r="AO417" i="1"/>
  <c r="DE414" i="1"/>
  <c r="BQ412" i="1"/>
  <c r="AC410" i="1"/>
  <c r="CS407" i="1"/>
  <c r="BE405" i="1"/>
  <c r="AM403" i="1"/>
  <c r="DC400" i="1"/>
  <c r="BO398" i="1"/>
  <c r="AA396" i="1"/>
  <c r="CQ393" i="1"/>
  <c r="BC391" i="1"/>
  <c r="O389" i="1"/>
  <c r="CE386" i="1"/>
  <c r="AQ384" i="1"/>
  <c r="DG381" i="1"/>
  <c r="BS379" i="1"/>
  <c r="AE377" i="1"/>
  <c r="CU374" i="1"/>
  <c r="BG372" i="1"/>
  <c r="S370" i="1"/>
  <c r="CI367" i="1"/>
  <c r="AL404" i="1"/>
  <c r="DB401" i="1"/>
  <c r="BN399" i="1"/>
  <c r="Z397" i="1"/>
  <c r="CP394" i="1"/>
  <c r="BB392" i="1"/>
  <c r="N390" i="1"/>
  <c r="CD387" i="1"/>
  <c r="AP385" i="1"/>
  <c r="DF382" i="1"/>
  <c r="BR380" i="1"/>
  <c r="AD378" i="1"/>
  <c r="CT375" i="1"/>
  <c r="BF373" i="1"/>
  <c r="R371" i="1"/>
  <c r="CH368" i="1"/>
  <c r="AF405" i="1"/>
  <c r="CC402" i="1"/>
  <c r="AO400" i="1"/>
  <c r="DE397" i="1"/>
  <c r="BQ395" i="1"/>
  <c r="AC393" i="1"/>
  <c r="CS390" i="1"/>
  <c r="BE388" i="1"/>
  <c r="Q386" i="1"/>
  <c r="CG383" i="1"/>
  <c r="AS381" i="1"/>
  <c r="DI378" i="1"/>
  <c r="BU376" i="1"/>
  <c r="AG374" i="1"/>
  <c r="CW371" i="1"/>
  <c r="BI370" i="1"/>
  <c r="AR405" i="1"/>
  <c r="CF402" i="1"/>
  <c r="AR400" i="1"/>
  <c r="DH397" i="1"/>
  <c r="BT395" i="1"/>
  <c r="AF393" i="1"/>
  <c r="CV390" i="1"/>
  <c r="BH388" i="1"/>
  <c r="T386" i="1"/>
  <c r="CJ383" i="1"/>
  <c r="AV381" i="1"/>
  <c r="H379" i="1"/>
  <c r="BX376" i="1"/>
  <c r="AJ374" i="1"/>
  <c r="CZ371" i="1"/>
  <c r="BL369" i="1"/>
  <c r="I367" i="1"/>
  <c r="AS364" i="1"/>
  <c r="DI361" i="1"/>
  <c r="BU359" i="1"/>
  <c r="AG357" i="1"/>
  <c r="CW354" i="1"/>
  <c r="BI352" i="1"/>
  <c r="U350" i="1"/>
  <c r="CK347" i="1"/>
  <c r="AW345" i="1"/>
  <c r="I343" i="1"/>
  <c r="BY340" i="1"/>
  <c r="AK338" i="1"/>
  <c r="DA335" i="1"/>
  <c r="BM333" i="1"/>
  <c r="Y331" i="1"/>
  <c r="CO328" i="1"/>
  <c r="BA326" i="1"/>
  <c r="M324" i="1"/>
  <c r="CC321" i="1"/>
  <c r="AO319" i="1"/>
  <c r="DE316" i="1"/>
  <c r="BQ314" i="1"/>
  <c r="AC312" i="1"/>
  <c r="CS309" i="1"/>
  <c r="BE307" i="1"/>
  <c r="Q305" i="1"/>
  <c r="CG302" i="1"/>
  <c r="AS300" i="1"/>
  <c r="DI297" i="1"/>
  <c r="BU295" i="1"/>
  <c r="BD366" i="1"/>
  <c r="L364" i="1"/>
  <c r="CB361" i="1"/>
  <c r="AN359" i="1"/>
  <c r="DD356" i="1"/>
  <c r="BP354" i="1"/>
  <c r="AB352" i="1"/>
  <c r="CR349" i="1"/>
  <c r="BD347" i="1"/>
  <c r="P345" i="1"/>
  <c r="CF342" i="1"/>
  <c r="AR340" i="1"/>
  <c r="DH337" i="1"/>
  <c r="BT335" i="1"/>
  <c r="AF333" i="1"/>
  <c r="CV330" i="1"/>
  <c r="BH328" i="1"/>
  <c r="T326" i="1"/>
  <c r="CJ323" i="1"/>
  <c r="AV321" i="1"/>
  <c r="H319" i="1"/>
  <c r="BX316" i="1"/>
  <c r="AJ314" i="1"/>
  <c r="CZ311" i="1"/>
  <c r="BL309" i="1"/>
  <c r="DC364" i="1"/>
  <c r="BO362" i="1"/>
  <c r="AA360" i="1"/>
  <c r="CQ357" i="1"/>
  <c r="BC355" i="1"/>
  <c r="O353" i="1"/>
  <c r="CE350" i="1"/>
  <c r="AQ348" i="1"/>
  <c r="DG345" i="1"/>
  <c r="BS343" i="1"/>
  <c r="AE341" i="1"/>
  <c r="CU338" i="1"/>
  <c r="BG336" i="1"/>
  <c r="S334" i="1"/>
  <c r="CI331" i="1"/>
  <c r="AU329" i="1"/>
  <c r="G327" i="1"/>
  <c r="BW324" i="1"/>
  <c r="AI322" i="1"/>
  <c r="CY319" i="1"/>
  <c r="BK317" i="1"/>
  <c r="W315" i="1"/>
  <c r="CM312" i="1"/>
  <c r="AY310" i="1"/>
  <c r="K308" i="1"/>
  <c r="CA305" i="1"/>
  <c r="AM303" i="1"/>
  <c r="DC300" i="1"/>
  <c r="BO298" i="1"/>
  <c r="AA296" i="1"/>
  <c r="CQ293" i="1"/>
  <c r="BC291" i="1"/>
  <c r="CX364" i="1"/>
  <c r="BJ362" i="1"/>
  <c r="V360" i="1"/>
  <c r="CL357" i="1"/>
  <c r="AX355" i="1"/>
  <c r="J353" i="1"/>
  <c r="BZ350" i="1"/>
  <c r="AL348" i="1"/>
  <c r="DB345" i="1"/>
  <c r="BN343" i="1"/>
  <c r="Z341" i="1"/>
  <c r="CP338" i="1"/>
  <c r="BB336" i="1"/>
  <c r="N334" i="1"/>
  <c r="CD331" i="1"/>
  <c r="AP329" i="1"/>
  <c r="DF326" i="1"/>
  <c r="BR324" i="1"/>
  <c r="AD322" i="1"/>
  <c r="CT319" i="1"/>
  <c r="BF317" i="1"/>
  <c r="CO367" i="1"/>
  <c r="AJ403" i="1"/>
  <c r="CZ400" i="1"/>
  <c r="BL398" i="1"/>
  <c r="X396" i="1"/>
  <c r="CN393" i="1"/>
  <c r="AZ391" i="1"/>
  <c r="L389" i="1"/>
  <c r="CB386" i="1"/>
  <c r="AN384" i="1"/>
  <c r="DD381" i="1"/>
  <c r="BP379" i="1"/>
  <c r="AB377" i="1"/>
  <c r="CR374" i="1"/>
  <c r="BD372" i="1"/>
  <c r="P370" i="1"/>
  <c r="CF367" i="1"/>
  <c r="DA364" i="1"/>
  <c r="BM362" i="1"/>
  <c r="Y360" i="1"/>
  <c r="CO357" i="1"/>
  <c r="BA355" i="1"/>
  <c r="M353" i="1"/>
  <c r="CC350" i="1"/>
  <c r="AO348" i="1"/>
  <c r="DE345" i="1"/>
  <c r="BQ343" i="1"/>
  <c r="AC341" i="1"/>
  <c r="CS338" i="1"/>
  <c r="BE336" i="1"/>
  <c r="Q334" i="1"/>
  <c r="CG331" i="1"/>
  <c r="AS329" i="1"/>
  <c r="DI326" i="1"/>
  <c r="BU324" i="1"/>
  <c r="AG322" i="1"/>
  <c r="CW319" i="1"/>
  <c r="BI317" i="1"/>
  <c r="U315" i="1"/>
  <c r="CK312" i="1"/>
  <c r="AW310" i="1"/>
  <c r="I308" i="1"/>
  <c r="BY305" i="1"/>
  <c r="AK303" i="1"/>
  <c r="DA300" i="1"/>
  <c r="BM298" i="1"/>
  <c r="Y296" i="1"/>
  <c r="CO293" i="1"/>
  <c r="BT364" i="1"/>
  <c r="AF362" i="1"/>
  <c r="CV359" i="1"/>
  <c r="BH357" i="1"/>
  <c r="T355" i="1"/>
  <c r="CJ352" i="1"/>
  <c r="AV350" i="1"/>
  <c r="H348" i="1"/>
  <c r="BX345" i="1"/>
  <c r="AJ343" i="1"/>
  <c r="CZ340" i="1"/>
  <c r="BL338" i="1"/>
  <c r="X336" i="1"/>
  <c r="CN333" i="1"/>
  <c r="AZ331" i="1"/>
  <c r="L329" i="1"/>
  <c r="CB326" i="1"/>
  <c r="AN324" i="1"/>
  <c r="DD321" i="1"/>
  <c r="BP319" i="1"/>
  <c r="AB317" i="1"/>
  <c r="CR314" i="1"/>
  <c r="BD312" i="1"/>
  <c r="P310" i="1"/>
  <c r="BG365" i="1"/>
  <c r="S363" i="1"/>
  <c r="CI360" i="1"/>
  <c r="AU358" i="1"/>
  <c r="G356" i="1"/>
  <c r="BW353" i="1"/>
  <c r="AI351" i="1"/>
  <c r="CY348" i="1"/>
  <c r="BK346" i="1"/>
  <c r="W344" i="1"/>
  <c r="CM341" i="1"/>
  <c r="AY339" i="1"/>
  <c r="K337" i="1"/>
  <c r="CA334" i="1"/>
  <c r="AM332" i="1"/>
  <c r="DC329" i="1"/>
  <c r="BO327" i="1"/>
  <c r="AA325" i="1"/>
  <c r="CQ322" i="1"/>
  <c r="BC320" i="1"/>
  <c r="O318" i="1"/>
  <c r="CE315" i="1"/>
  <c r="AQ313" i="1"/>
  <c r="DG310" i="1"/>
  <c r="BS308" i="1"/>
  <c r="AE306" i="1"/>
  <c r="CU303" i="1"/>
  <c r="BG301" i="1"/>
  <c r="S299" i="1"/>
  <c r="CI296" i="1"/>
  <c r="AU294" i="1"/>
  <c r="G292" i="1"/>
  <c r="BB365" i="1"/>
  <c r="N363" i="1"/>
  <c r="CD360" i="1"/>
  <c r="AP358" i="1"/>
  <c r="DF355" i="1"/>
  <c r="BR353" i="1"/>
  <c r="AD351" i="1"/>
  <c r="CT348" i="1"/>
  <c r="BF346" i="1"/>
  <c r="R344" i="1"/>
  <c r="CH341" i="1"/>
  <c r="AT339" i="1"/>
  <c r="F337" i="1"/>
  <c r="BV334" i="1"/>
  <c r="AH332" i="1"/>
  <c r="CX329" i="1"/>
  <c r="BJ327" i="1"/>
  <c r="V325" i="1"/>
  <c r="CL322" i="1"/>
  <c r="AX320" i="1"/>
  <c r="J318" i="1"/>
  <c r="BZ315" i="1"/>
  <c r="AL313" i="1"/>
  <c r="DI371" i="1"/>
  <c r="BQ367" i="1"/>
  <c r="P403" i="1"/>
  <c r="CF400" i="1"/>
  <c r="AR398" i="1"/>
  <c r="DH395" i="1"/>
  <c r="BT393" i="1"/>
  <c r="AF391" i="1"/>
  <c r="CV388" i="1"/>
  <c r="BH386" i="1"/>
  <c r="T384" i="1"/>
  <c r="CJ381" i="1"/>
  <c r="AV379" i="1"/>
  <c r="H377" i="1"/>
  <c r="BX374" i="1"/>
  <c r="AJ372" i="1"/>
  <c r="CZ369" i="1"/>
  <c r="BL367" i="1"/>
  <c r="CG364" i="1"/>
  <c r="AS362" i="1"/>
  <c r="DI359" i="1"/>
  <c r="BU357" i="1"/>
  <c r="AG355" i="1"/>
  <c r="CW352" i="1"/>
  <c r="BI350" i="1"/>
  <c r="U348" i="1"/>
  <c r="CK345" i="1"/>
  <c r="AW343" i="1"/>
  <c r="I341" i="1"/>
  <c r="BY338" i="1"/>
  <c r="AK336" i="1"/>
  <c r="DA333" i="1"/>
  <c r="BM331" i="1"/>
  <c r="Y329" i="1"/>
  <c r="CO326" i="1"/>
  <c r="BA324" i="1"/>
  <c r="M322" i="1"/>
  <c r="CC319" i="1"/>
  <c r="AO317" i="1"/>
  <c r="DE314" i="1"/>
  <c r="BQ312" i="1"/>
  <c r="AC310" i="1"/>
  <c r="CS307" i="1"/>
  <c r="BE305" i="1"/>
  <c r="Q303" i="1"/>
  <c r="CG300" i="1"/>
  <c r="AS298" i="1"/>
  <c r="DI295" i="1"/>
  <c r="X367" i="1"/>
  <c r="AZ364" i="1"/>
  <c r="L362" i="1"/>
  <c r="CB359" i="1"/>
  <c r="AN357" i="1"/>
  <c r="DD354" i="1"/>
  <c r="BP352" i="1"/>
  <c r="AB350" i="1"/>
  <c r="CR347" i="1"/>
  <c r="BD345" i="1"/>
  <c r="P343" i="1"/>
  <c r="CF340" i="1"/>
  <c r="AR338" i="1"/>
  <c r="DH335" i="1"/>
  <c r="BT333" i="1"/>
  <c r="AF331" i="1"/>
  <c r="CV328" i="1"/>
  <c r="BH326" i="1"/>
  <c r="T324" i="1"/>
  <c r="CJ321" i="1"/>
  <c r="AV319" i="1"/>
  <c r="H317" i="1"/>
  <c r="BX314" i="1"/>
  <c r="AJ312" i="1"/>
  <c r="CZ309" i="1"/>
  <c r="AM365" i="1"/>
  <c r="DC362" i="1"/>
  <c r="BO360" i="1"/>
  <c r="AA358" i="1"/>
  <c r="CQ355" i="1"/>
  <c r="BC353" i="1"/>
  <c r="O351" i="1"/>
  <c r="CE348" i="1"/>
  <c r="AQ346" i="1"/>
  <c r="DG343" i="1"/>
  <c r="BS341" i="1"/>
  <c r="AE339" i="1"/>
  <c r="CU336" i="1"/>
  <c r="BG334" i="1"/>
  <c r="S332" i="1"/>
  <c r="CI329" i="1"/>
  <c r="AU327" i="1"/>
  <c r="G325" i="1"/>
  <c r="BW322" i="1"/>
  <c r="AI320" i="1"/>
  <c r="CY317" i="1"/>
  <c r="BK315" i="1"/>
  <c r="W313" i="1"/>
  <c r="CM310" i="1"/>
  <c r="AY308" i="1"/>
  <c r="K306" i="1"/>
  <c r="CA303" i="1"/>
  <c r="AM301" i="1"/>
  <c r="DC298" i="1"/>
  <c r="BO296" i="1"/>
  <c r="AA294" i="1"/>
  <c r="CQ291" i="1"/>
  <c r="AH365" i="1"/>
  <c r="CX362" i="1"/>
  <c r="BJ360" i="1"/>
  <c r="V358" i="1"/>
  <c r="CL355" i="1"/>
  <c r="AX353" i="1"/>
  <c r="J351" i="1"/>
  <c r="BZ348" i="1"/>
  <c r="AL346" i="1"/>
  <c r="DB343" i="1"/>
  <c r="BN341" i="1"/>
  <c r="Z339" i="1"/>
  <c r="CP336" i="1"/>
  <c r="BB334" i="1"/>
  <c r="N332" i="1"/>
  <c r="CD329" i="1"/>
  <c r="AP327" i="1"/>
  <c r="DF324" i="1"/>
  <c r="BR322" i="1"/>
  <c r="AD320" i="1"/>
  <c r="CT317" i="1"/>
  <c r="AK368" i="1"/>
  <c r="BX403" i="1"/>
  <c r="AJ401" i="1"/>
  <c r="CZ398" i="1"/>
  <c r="BL396" i="1"/>
  <c r="CN571" i="1"/>
  <c r="G510" i="1"/>
  <c r="BM465" i="1"/>
  <c r="AZ491" i="1"/>
  <c r="CW465" i="1"/>
  <c r="AD468" i="1"/>
  <c r="V438" i="1"/>
  <c r="T431" i="1"/>
  <c r="F435" i="1"/>
  <c r="N473" i="1"/>
  <c r="CF428" i="1"/>
  <c r="CI427" i="1"/>
  <c r="CD427" i="1"/>
  <c r="AL465" i="1"/>
  <c r="CR424" i="1"/>
  <c r="AA429" i="1"/>
  <c r="BC412" i="1"/>
  <c r="AL433" i="1"/>
  <c r="BY431" i="1"/>
  <c r="BQ421" i="1"/>
  <c r="Q412" i="1"/>
  <c r="CQ402" i="1"/>
  <c r="AQ393" i="1"/>
  <c r="CU383" i="1"/>
  <c r="AU374" i="1"/>
  <c r="CP403" i="1"/>
  <c r="AP394" i="1"/>
  <c r="CT384" i="1"/>
  <c r="AT375" i="1"/>
  <c r="BQ404" i="1"/>
  <c r="Q395" i="1"/>
  <c r="BU385" i="1"/>
  <c r="U376" i="1"/>
  <c r="AT407" i="1"/>
  <c r="BY428" i="1"/>
  <c r="Y419" i="1"/>
  <c r="CC409" i="1"/>
  <c r="AY400" i="1"/>
  <c r="DC390" i="1"/>
  <c r="BC381" i="1"/>
  <c r="DG371" i="1"/>
  <c r="AX401" i="1"/>
  <c r="DB391" i="1"/>
  <c r="BB382" i="1"/>
  <c r="DF372" i="1"/>
  <c r="Y402" i="1"/>
  <c r="CC392" i="1"/>
  <c r="AC383" i="1"/>
  <c r="CG373" i="1"/>
  <c r="BV406" i="1"/>
  <c r="BE428" i="1"/>
  <c r="DI418" i="1"/>
  <c r="BI409" i="1"/>
  <c r="AE400" i="1"/>
  <c r="CI390" i="1"/>
  <c r="AI381" i="1"/>
  <c r="CM371" i="1"/>
  <c r="AD401" i="1"/>
  <c r="CH391" i="1"/>
  <c r="AH382" i="1"/>
  <c r="CL372" i="1"/>
  <c r="DI401" i="1"/>
  <c r="BI392" i="1"/>
  <c r="I383" i="1"/>
  <c r="U378" i="1"/>
  <c r="AK374" i="1"/>
  <c r="DA371" i="1"/>
  <c r="BM369" i="1"/>
  <c r="CP427" i="1"/>
  <c r="AP418" i="1"/>
  <c r="CT408" i="1"/>
  <c r="AG437" i="1"/>
  <c r="CK433" i="1"/>
  <c r="AW431" i="1"/>
  <c r="I429" i="1"/>
  <c r="BY426" i="1"/>
  <c r="AK424" i="1"/>
  <c r="DA421" i="1"/>
  <c r="BM419" i="1"/>
  <c r="Y417" i="1"/>
  <c r="CO414" i="1"/>
  <c r="BA412" i="1"/>
  <c r="M410" i="1"/>
  <c r="CC407" i="1"/>
  <c r="AO405" i="1"/>
  <c r="W403" i="1"/>
  <c r="CM400" i="1"/>
  <c r="AY398" i="1"/>
  <c r="K396" i="1"/>
  <c r="CA393" i="1"/>
  <c r="AM391" i="1"/>
  <c r="DC388" i="1"/>
  <c r="BO386" i="1"/>
  <c r="AA384" i="1"/>
  <c r="CQ381" i="1"/>
  <c r="BC379" i="1"/>
  <c r="O377" i="1"/>
  <c r="CE374" i="1"/>
  <c r="AQ372" i="1"/>
  <c r="DG369" i="1"/>
  <c r="BS367" i="1"/>
  <c r="V404" i="1"/>
  <c r="CL401" i="1"/>
  <c r="AX399" i="1"/>
  <c r="J397" i="1"/>
  <c r="BZ394" i="1"/>
  <c r="AL392" i="1"/>
  <c r="DB389" i="1"/>
  <c r="BN387" i="1"/>
  <c r="Z385" i="1"/>
  <c r="CP382" i="1"/>
  <c r="BB380" i="1"/>
  <c r="N378" i="1"/>
  <c r="CD375" i="1"/>
  <c r="AP373" i="1"/>
  <c r="DF370" i="1"/>
  <c r="BR368" i="1"/>
  <c r="DA404" i="1"/>
  <c r="BM402" i="1"/>
  <c r="Y400" i="1"/>
  <c r="CO397" i="1"/>
  <c r="BA395" i="1"/>
  <c r="M393" i="1"/>
  <c r="CC390" i="1"/>
  <c r="AO388" i="1"/>
  <c r="DE385" i="1"/>
  <c r="BQ383" i="1"/>
  <c r="AC381" i="1"/>
  <c r="CS378" i="1"/>
  <c r="BE376" i="1"/>
  <c r="Q374" i="1"/>
  <c r="CG371" i="1"/>
  <c r="I370" i="1"/>
  <c r="DD404" i="1"/>
  <c r="BP402" i="1"/>
  <c r="AB400" i="1"/>
  <c r="CR397" i="1"/>
  <c r="BD395" i="1"/>
  <c r="P393" i="1"/>
  <c r="CF390" i="1"/>
  <c r="AR388" i="1"/>
  <c r="DH385" i="1"/>
  <c r="BT383" i="1"/>
  <c r="AF381" i="1"/>
  <c r="CV378" i="1"/>
  <c r="BH376" i="1"/>
  <c r="T374" i="1"/>
  <c r="CJ371" i="1"/>
  <c r="AV369" i="1"/>
  <c r="CG366" i="1"/>
  <c r="AC364" i="1"/>
  <c r="CS361" i="1"/>
  <c r="BE359" i="1"/>
  <c r="Q357" i="1"/>
  <c r="CG354" i="1"/>
  <c r="AS352" i="1"/>
  <c r="DI349" i="1"/>
  <c r="BU347" i="1"/>
  <c r="AG345" i="1"/>
  <c r="CW342" i="1"/>
  <c r="BI340" i="1"/>
  <c r="U338" i="1"/>
  <c r="CK335" i="1"/>
  <c r="AW333" i="1"/>
  <c r="I331" i="1"/>
  <c r="BY328" i="1"/>
  <c r="AK326" i="1"/>
  <c r="DA323" i="1"/>
  <c r="BM321" i="1"/>
  <c r="Y319" i="1"/>
  <c r="CO316" i="1"/>
  <c r="BA314" i="1"/>
  <c r="M312" i="1"/>
  <c r="CC309" i="1"/>
  <c r="AO307" i="1"/>
  <c r="DE304" i="1"/>
  <c r="BQ302" i="1"/>
  <c r="AC300" i="1"/>
  <c r="CS297" i="1"/>
  <c r="BE295" i="1"/>
  <c r="AJ366" i="1"/>
  <c r="CZ363" i="1"/>
  <c r="BL361" i="1"/>
  <c r="X359" i="1"/>
  <c r="CN356" i="1"/>
  <c r="AZ354" i="1"/>
  <c r="L352" i="1"/>
  <c r="CB349" i="1"/>
  <c r="AN347" i="1"/>
  <c r="DD344" i="1"/>
  <c r="BP342" i="1"/>
  <c r="AB340" i="1"/>
  <c r="CR337" i="1"/>
  <c r="BD335" i="1"/>
  <c r="P333" i="1"/>
  <c r="CF330" i="1"/>
  <c r="AR328" i="1"/>
  <c r="DH325" i="1"/>
  <c r="BT323" i="1"/>
  <c r="AF321" i="1"/>
  <c r="CV318" i="1"/>
  <c r="BH316" i="1"/>
  <c r="T314" i="1"/>
  <c r="CJ311" i="1"/>
  <c r="AV309" i="1"/>
  <c r="CM364" i="1"/>
  <c r="AY362" i="1"/>
  <c r="K360" i="1"/>
  <c r="CA357" i="1"/>
  <c r="AM355" i="1"/>
  <c r="DC352" i="1"/>
  <c r="BO350" i="1"/>
  <c r="AA348" i="1"/>
  <c r="CQ345" i="1"/>
  <c r="BC343" i="1"/>
  <c r="O341" i="1"/>
  <c r="CE338" i="1"/>
  <c r="AQ336" i="1"/>
  <c r="DG333" i="1"/>
  <c r="BS331" i="1"/>
  <c r="AE329" i="1"/>
  <c r="CU326" i="1"/>
  <c r="BG324" i="1"/>
  <c r="S322" i="1"/>
  <c r="CI319" i="1"/>
  <c r="AU317" i="1"/>
  <c r="G315" i="1"/>
  <c r="BW312" i="1"/>
  <c r="AI310" i="1"/>
  <c r="CY307" i="1"/>
  <c r="BK305" i="1"/>
  <c r="W303" i="1"/>
  <c r="CM300" i="1"/>
  <c r="AY298" i="1"/>
  <c r="K296" i="1"/>
  <c r="CA293" i="1"/>
  <c r="AM291" i="1"/>
  <c r="CH364" i="1"/>
  <c r="AT362" i="1"/>
  <c r="F360" i="1"/>
  <c r="BV357" i="1"/>
  <c r="AH355" i="1"/>
  <c r="CX352" i="1"/>
  <c r="BJ350" i="1"/>
  <c r="V348" i="1"/>
  <c r="CL345" i="1"/>
  <c r="AX343" i="1"/>
  <c r="J341" i="1"/>
  <c r="BZ338" i="1"/>
  <c r="AL336" i="1"/>
  <c r="DB333" i="1"/>
  <c r="BN331" i="1"/>
  <c r="Z329" i="1"/>
  <c r="CP326" i="1"/>
  <c r="BB324" i="1"/>
  <c r="N322" i="1"/>
  <c r="CD319" i="1"/>
  <c r="U372" i="1"/>
  <c r="BU367" i="1"/>
  <c r="T403" i="1"/>
  <c r="CJ400" i="1"/>
  <c r="AV398" i="1"/>
  <c r="H396" i="1"/>
  <c r="BX393" i="1"/>
  <c r="AJ391" i="1"/>
  <c r="CZ388" i="1"/>
  <c r="BL386" i="1"/>
  <c r="X384" i="1"/>
  <c r="CN381" i="1"/>
  <c r="AZ379" i="1"/>
  <c r="L377" i="1"/>
  <c r="CB374" i="1"/>
  <c r="AN372" i="1"/>
  <c r="DD369" i="1"/>
  <c r="BP367" i="1"/>
  <c r="CK364" i="1"/>
  <c r="AW362" i="1"/>
  <c r="I360" i="1"/>
  <c r="BY357" i="1"/>
  <c r="AK355" i="1"/>
  <c r="DA352" i="1"/>
  <c r="BM350" i="1"/>
  <c r="Y348" i="1"/>
  <c r="CO345" i="1"/>
  <c r="BA343" i="1"/>
  <c r="M341" i="1"/>
  <c r="CC338" i="1"/>
  <c r="AO336" i="1"/>
  <c r="DE333" i="1"/>
  <c r="BQ331" i="1"/>
  <c r="AC329" i="1"/>
  <c r="CS326" i="1"/>
  <c r="BE324" i="1"/>
  <c r="Q322" i="1"/>
  <c r="CG319" i="1"/>
  <c r="AS317" i="1"/>
  <c r="DI314" i="1"/>
  <c r="BU312" i="1"/>
  <c r="AG310" i="1"/>
  <c r="CW307" i="1"/>
  <c r="BI305" i="1"/>
  <c r="U303" i="1"/>
  <c r="CK300" i="1"/>
  <c r="AW298" i="1"/>
  <c r="I296" i="1"/>
  <c r="AF367" i="1"/>
  <c r="BD364" i="1"/>
  <c r="P362" i="1"/>
  <c r="CF359" i="1"/>
  <c r="AR357" i="1"/>
  <c r="DH354" i="1"/>
  <c r="BT352" i="1"/>
  <c r="AF350" i="1"/>
  <c r="CV347" i="1"/>
  <c r="BH345" i="1"/>
  <c r="T343" i="1"/>
  <c r="CJ340" i="1"/>
  <c r="AV338" i="1"/>
  <c r="H336" i="1"/>
  <c r="BX333" i="1"/>
  <c r="AJ331" i="1"/>
  <c r="CZ328" i="1"/>
  <c r="BL326" i="1"/>
  <c r="X324" i="1"/>
  <c r="CN321" i="1"/>
  <c r="AZ319" i="1"/>
  <c r="L317" i="1"/>
  <c r="CB314" i="1"/>
  <c r="AN312" i="1"/>
  <c r="DD309" i="1"/>
  <c r="AQ365" i="1"/>
  <c r="DG362" i="1"/>
  <c r="BS360" i="1"/>
  <c r="AE358" i="1"/>
  <c r="CU355" i="1"/>
  <c r="BG353" i="1"/>
  <c r="S351" i="1"/>
  <c r="CI348" i="1"/>
  <c r="AU346" i="1"/>
  <c r="G344" i="1"/>
  <c r="BW341" i="1"/>
  <c r="AI339" i="1"/>
  <c r="CY336" i="1"/>
  <c r="BK334" i="1"/>
  <c r="W332" i="1"/>
  <c r="CM329" i="1"/>
  <c r="AY327" i="1"/>
  <c r="K325" i="1"/>
  <c r="CA322" i="1"/>
  <c r="AM320" i="1"/>
  <c r="DC317" i="1"/>
  <c r="BO315" i="1"/>
  <c r="AA313" i="1"/>
  <c r="CQ310" i="1"/>
  <c r="BC308" i="1"/>
  <c r="O306" i="1"/>
  <c r="CE303" i="1"/>
  <c r="AQ301" i="1"/>
  <c r="DG298" i="1"/>
  <c r="BS296" i="1"/>
  <c r="K448" i="1"/>
  <c r="CT463" i="1"/>
  <c r="BF451" i="1"/>
  <c r="BX432" i="1"/>
  <c r="CB413" i="1"/>
  <c r="CA431" i="1"/>
  <c r="CE412" i="1"/>
  <c r="AI606" i="1"/>
  <c r="CD571" i="1"/>
  <c r="BD562" i="1"/>
  <c r="CI551" i="1"/>
  <c r="BO555" i="1"/>
  <c r="AU555" i="1"/>
  <c r="AU552" i="1"/>
  <c r="CR541" i="1"/>
  <c r="H544" i="1"/>
  <c r="CZ541" i="1"/>
  <c r="CF541" i="1"/>
  <c r="AW528" i="1"/>
  <c r="Z490" i="1"/>
  <c r="BU527" i="1"/>
  <c r="AH509" i="1"/>
  <c r="AC509" i="1"/>
  <c r="DE598" i="1"/>
  <c r="V541" i="1"/>
  <c r="O530" i="1"/>
  <c r="CG494" i="1"/>
  <c r="BF519" i="1"/>
  <c r="AP500" i="1"/>
  <c r="BQ532" i="1"/>
  <c r="AT494" i="1"/>
  <c r="CR496" i="1"/>
  <c r="BX448" i="1"/>
  <c r="CW479" i="1"/>
  <c r="DC478" i="1"/>
  <c r="BH505" i="1"/>
  <c r="BQ464" i="1"/>
  <c r="BH458" i="1"/>
  <c r="AU452" i="1"/>
  <c r="P483" i="1"/>
  <c r="AF480" i="1"/>
  <c r="CV449" i="1"/>
  <c r="S458" i="1"/>
  <c r="CT467" i="1"/>
  <c r="N448" i="1"/>
  <c r="CF422" i="1"/>
  <c r="BW434" i="1"/>
  <c r="AM409" i="1"/>
  <c r="BZ424" i="1"/>
  <c r="CD405" i="1"/>
  <c r="BZ457" i="1"/>
  <c r="CN437" i="1"/>
  <c r="CR418" i="1"/>
  <c r="CQ436" i="1"/>
  <c r="CU417" i="1"/>
  <c r="CL436" i="1"/>
  <c r="CP417" i="1"/>
  <c r="CP477" i="1"/>
  <c r="AP449" i="1"/>
  <c r="BH430" i="1"/>
  <c r="BL411" i="1"/>
  <c r="BK429" i="1"/>
  <c r="BO410" i="1"/>
  <c r="BF429" i="1"/>
  <c r="BJ410" i="1"/>
  <c r="BZ468" i="1"/>
  <c r="BB445" i="1"/>
  <c r="BT426" i="1"/>
  <c r="BX407" i="1"/>
  <c r="CI428" i="1"/>
  <c r="W416" i="1"/>
  <c r="BB441" i="1"/>
  <c r="CD424" i="1"/>
  <c r="N581" i="1"/>
  <c r="BE571" i="1"/>
  <c r="M543" i="1"/>
  <c r="CE480" i="1"/>
  <c r="AU512" i="1"/>
  <c r="AK512" i="1"/>
  <c r="AY506" i="1"/>
  <c r="AO506" i="1"/>
  <c r="CO468" i="1"/>
  <c r="AY455" i="1"/>
  <c r="DA448" i="1"/>
  <c r="O463" i="1"/>
  <c r="BT492" i="1"/>
  <c r="CK449" i="1"/>
  <c r="CF444" i="1"/>
  <c r="CZ508" i="1"/>
  <c r="Q468" i="1"/>
  <c r="CV469" i="1"/>
  <c r="AM479" i="1"/>
  <c r="CM448" i="1"/>
  <c r="BR469" i="1"/>
  <c r="CZ439" i="1"/>
  <c r="AZ414" i="1"/>
  <c r="AQ426" i="1"/>
  <c r="CX438" i="1"/>
  <c r="BR418" i="1"/>
  <c r="BI437" i="1"/>
  <c r="BN450" i="1"/>
  <c r="CF431" i="1"/>
  <c r="CJ412" i="1"/>
  <c r="CI430" i="1"/>
  <c r="CM411" i="1"/>
  <c r="CD430" i="1"/>
  <c r="CH411" i="1"/>
  <c r="DF464" i="1"/>
  <c r="AH443" i="1"/>
  <c r="AZ424" i="1"/>
  <c r="AY442" i="1"/>
  <c r="BC423" i="1"/>
  <c r="AT442" i="1"/>
  <c r="AX423" i="1"/>
  <c r="AO442" i="1"/>
  <c r="AD459" i="1"/>
  <c r="BH439" i="1"/>
  <c r="BL420" i="1"/>
  <c r="BK438" i="1"/>
  <c r="BK557" i="1"/>
  <c r="BB547" i="1"/>
  <c r="AI537" i="1"/>
  <c r="AH497" i="1"/>
  <c r="CI502" i="1"/>
  <c r="BY502" i="1"/>
  <c r="CM496" i="1"/>
  <c r="CC496" i="1"/>
  <c r="AG457" i="1"/>
  <c r="CM445" i="1"/>
  <c r="L477" i="1"/>
  <c r="W457" i="1"/>
  <c r="CF487" i="1"/>
  <c r="CW444" i="1"/>
  <c r="BO477" i="1"/>
  <c r="AF503" i="1"/>
  <c r="Y462" i="1"/>
  <c r="AC443" i="1"/>
  <c r="AJ465" i="1"/>
  <c r="BD450" i="1"/>
  <c r="CE474" i="1"/>
  <c r="W459" i="1"/>
  <c r="AE445" i="1"/>
  <c r="BR468" i="1"/>
  <c r="CX463" i="1"/>
  <c r="BZ448" i="1"/>
  <c r="AR436" i="1"/>
  <c r="CJ423" i="1"/>
  <c r="CV410" i="1"/>
  <c r="AU435" i="1"/>
  <c r="CM422" i="1"/>
  <c r="CY409" i="1"/>
  <c r="AP435" i="1"/>
  <c r="AH425" i="1"/>
  <c r="CL415" i="1"/>
  <c r="AL406" i="1"/>
  <c r="AX473" i="1"/>
  <c r="AH458" i="1"/>
  <c r="CH447" i="1"/>
  <c r="AV438" i="1"/>
  <c r="CZ428" i="1"/>
  <c r="AZ419" i="1"/>
  <c r="DD409" i="1"/>
  <c r="AY437" i="1"/>
  <c r="DC427" i="1"/>
  <c r="BC418" i="1"/>
  <c r="DG408" i="1"/>
  <c r="CI571" i="1"/>
  <c r="H532" i="1"/>
  <c r="AI505" i="1"/>
  <c r="AM499" i="1"/>
  <c r="CK459" i="1"/>
  <c r="BP479" i="1"/>
  <c r="L489" i="1"/>
  <c r="CY478" i="1"/>
  <c r="BI463" i="1"/>
  <c r="CY475" i="1"/>
  <c r="BB465" i="1"/>
  <c r="L412" i="1"/>
  <c r="BJ436" i="1"/>
  <c r="BF475" i="1"/>
  <c r="DD429" i="1"/>
  <c r="DG428" i="1"/>
  <c r="CT434" i="1"/>
  <c r="CX415" i="1"/>
  <c r="CL472" i="1"/>
  <c r="AX447" i="1"/>
  <c r="BP428" i="1"/>
  <c r="BT409" i="1"/>
  <c r="BS427" i="1"/>
  <c r="BW408" i="1"/>
  <c r="BN427" i="1"/>
  <c r="BR408" i="1"/>
  <c r="R465" i="1"/>
  <c r="BJ443" i="1"/>
  <c r="CB424" i="1"/>
  <c r="CA442" i="1"/>
  <c r="K429" i="1"/>
  <c r="BC420" i="1"/>
  <c r="G412" i="1"/>
  <c r="BR441" i="1"/>
  <c r="V433" i="1"/>
  <c r="R408" i="1"/>
  <c r="BI431" i="1"/>
  <c r="Y426" i="1"/>
  <c r="BA421" i="1"/>
  <c r="CC416" i="1"/>
  <c r="DE411" i="1"/>
  <c r="AC407" i="1"/>
  <c r="CA402" i="1"/>
  <c r="DC397" i="1"/>
  <c r="AA393" i="1"/>
  <c r="BC388" i="1"/>
  <c r="CE383" i="1"/>
  <c r="DG378" i="1"/>
  <c r="AE374" i="1"/>
  <c r="BG369" i="1"/>
  <c r="BZ403" i="1"/>
  <c r="DB398" i="1"/>
  <c r="Z394" i="1"/>
  <c r="BB389" i="1"/>
  <c r="CD384" i="1"/>
  <c r="DF379" i="1"/>
  <c r="AD375" i="1"/>
  <c r="BF370" i="1"/>
  <c r="BA404" i="1"/>
  <c r="CC399" i="1"/>
  <c r="DE394" i="1"/>
  <c r="AC390" i="1"/>
  <c r="BE385" i="1"/>
  <c r="CG380" i="1"/>
  <c r="DI375" i="1"/>
  <c r="CH425" i="1"/>
  <c r="CL406" i="1"/>
  <c r="AG433" i="1"/>
  <c r="BI428" i="1"/>
  <c r="CK423" i="1"/>
  <c r="I419" i="1"/>
  <c r="AK414" i="1"/>
  <c r="BM409" i="1"/>
  <c r="I405" i="1"/>
  <c r="AI400" i="1"/>
  <c r="BK395" i="1"/>
  <c r="CM390" i="1"/>
  <c r="K386" i="1"/>
  <c r="AM381" i="1"/>
  <c r="BO376" i="1"/>
  <c r="CQ371" i="1"/>
  <c r="O367" i="1"/>
  <c r="AH401" i="1"/>
  <c r="BJ396" i="1"/>
  <c r="CL391" i="1"/>
  <c r="J387" i="1"/>
  <c r="AL382" i="1"/>
  <c r="BN377" i="1"/>
  <c r="CP372" i="1"/>
  <c r="N368" i="1"/>
  <c r="I402" i="1"/>
  <c r="AK397" i="1"/>
  <c r="BM392" i="1"/>
  <c r="CO387" i="1"/>
  <c r="M383" i="1"/>
  <c r="AO378" i="1"/>
  <c r="BQ373" i="1"/>
  <c r="F425" i="1"/>
  <c r="J406" i="1"/>
  <c r="M433" i="1"/>
  <c r="AO428" i="1"/>
  <c r="BQ423" i="1"/>
  <c r="CS418" i="1"/>
  <c r="Q414" i="1"/>
  <c r="AS409" i="1"/>
  <c r="CQ404" i="1"/>
  <c r="O400" i="1"/>
  <c r="AQ395" i="1"/>
  <c r="BS390" i="1"/>
  <c r="CU385" i="1"/>
  <c r="S381" i="1"/>
  <c r="AU376" i="1"/>
  <c r="BW371" i="1"/>
  <c r="CY366" i="1"/>
  <c r="N401" i="1"/>
  <c r="AP396" i="1"/>
  <c r="BR391" i="1"/>
  <c r="CT386" i="1"/>
  <c r="R382" i="1"/>
  <c r="AT377" i="1"/>
  <c r="F375" i="1"/>
  <c r="BV372" i="1"/>
  <c r="AH370" i="1"/>
  <c r="CX367" i="1"/>
  <c r="AC404" i="1"/>
  <c r="CS401" i="1"/>
  <c r="BE399" i="1"/>
  <c r="Q397" i="1"/>
  <c r="CG394" i="1"/>
  <c r="AS392" i="1"/>
  <c r="DI389" i="1"/>
  <c r="BU387" i="1"/>
  <c r="AG385" i="1"/>
  <c r="CW382" i="1"/>
  <c r="N542" i="1"/>
  <c r="BW532" i="1"/>
  <c r="BO499" i="1"/>
  <c r="CS494" i="1"/>
  <c r="BO481" i="1"/>
  <c r="BE481" i="1"/>
  <c r="BF513" i="1"/>
  <c r="AJ513" i="1"/>
  <c r="CF470" i="1"/>
  <c r="H499" i="1"/>
  <c r="X452" i="1"/>
  <c r="CI445" i="1"/>
  <c r="Y477" i="1"/>
  <c r="AB470" i="1"/>
  <c r="DC463" i="1"/>
  <c r="CF492" i="1"/>
  <c r="CG449" i="1"/>
  <c r="AZ457" i="1"/>
  <c r="G467" i="1"/>
  <c r="AX475" i="1"/>
  <c r="BR454" i="1"/>
  <c r="CB429" i="1"/>
  <c r="AM441" i="1"/>
  <c r="CQ415" i="1"/>
  <c r="CT429" i="1"/>
  <c r="CX410" i="1"/>
  <c r="AX464" i="1"/>
  <c r="CT442" i="1"/>
  <c r="H424" i="1"/>
  <c r="G442" i="1"/>
  <c r="K423" i="1"/>
  <c r="DF441" i="1"/>
  <c r="BB431" i="1"/>
  <c r="DF421" i="1"/>
  <c r="BF412" i="1"/>
  <c r="CW440" i="1"/>
  <c r="DF465" i="1"/>
  <c r="BF453" i="1"/>
  <c r="F444" i="1"/>
  <c r="BX434" i="1"/>
  <c r="X425" i="1"/>
  <c r="CB415" i="1"/>
  <c r="AB406" i="1"/>
  <c r="CA433" i="1"/>
  <c r="AA424" i="1"/>
  <c r="CE414" i="1"/>
  <c r="AE405" i="1"/>
  <c r="BV433" i="1"/>
  <c r="V424" i="1"/>
  <c r="BZ414" i="1"/>
  <c r="Z405" i="1"/>
  <c r="CD477" i="1"/>
  <c r="DF459" i="1"/>
  <c r="BR449" i="1"/>
  <c r="AF440" i="1"/>
  <c r="CJ430" i="1"/>
  <c r="AJ421" i="1"/>
  <c r="CN411" i="1"/>
  <c r="AI439" i="1"/>
  <c r="CE431" i="1"/>
  <c r="BO427" i="1"/>
  <c r="AY423" i="1"/>
  <c r="S419" i="1"/>
  <c r="DG414" i="1"/>
  <c r="CQ410" i="1"/>
  <c r="BK406" i="1"/>
  <c r="AH440" i="1"/>
  <c r="R436" i="1"/>
  <c r="BZ431" i="1"/>
  <c r="DF419" i="1"/>
  <c r="AG441" i="1"/>
  <c r="BQ433" i="1"/>
  <c r="BE430" i="1"/>
  <c r="CO427" i="1"/>
  <c r="BA425" i="1"/>
  <c r="M423" i="1"/>
  <c r="CC420" i="1"/>
  <c r="AO418" i="1"/>
  <c r="DE415" i="1"/>
  <c r="BQ413" i="1"/>
  <c r="AC411" i="1"/>
  <c r="CS408" i="1"/>
  <c r="BE406" i="1"/>
  <c r="AM404" i="1"/>
  <c r="DC401" i="1"/>
  <c r="BO399" i="1"/>
  <c r="AA397" i="1"/>
  <c r="CQ394" i="1"/>
  <c r="BC392" i="1"/>
  <c r="O390" i="1"/>
  <c r="CE387" i="1"/>
  <c r="AQ385" i="1"/>
  <c r="DG382" i="1"/>
  <c r="BS380" i="1"/>
  <c r="AE378" i="1"/>
  <c r="CU375" i="1"/>
  <c r="BG373" i="1"/>
  <c r="S371" i="1"/>
  <c r="CI368" i="1"/>
  <c r="AU366" i="1"/>
  <c r="DB402" i="1"/>
  <c r="BN400" i="1"/>
  <c r="Z398" i="1"/>
  <c r="CP395" i="1"/>
  <c r="BB393" i="1"/>
  <c r="N391" i="1"/>
  <c r="CD388" i="1"/>
  <c r="AP386" i="1"/>
  <c r="DF383" i="1"/>
  <c r="BR381" i="1"/>
  <c r="AD379" i="1"/>
  <c r="CT376" i="1"/>
  <c r="BF374" i="1"/>
  <c r="R372" i="1"/>
  <c r="CH369" i="1"/>
  <c r="AT367" i="1"/>
  <c r="CC403" i="1"/>
  <c r="AO401" i="1"/>
  <c r="DE398" i="1"/>
  <c r="BQ396" i="1"/>
  <c r="AC394" i="1"/>
  <c r="CS391" i="1"/>
  <c r="BE389" i="1"/>
  <c r="Q387" i="1"/>
  <c r="CG384" i="1"/>
  <c r="AS382" i="1"/>
  <c r="DI379" i="1"/>
  <c r="BU377" i="1"/>
  <c r="AG375" i="1"/>
  <c r="CW372" i="1"/>
  <c r="CL422" i="1"/>
  <c r="AL413" i="1"/>
  <c r="CC441" i="1"/>
  <c r="AG435" i="1"/>
  <c r="BI432" i="1"/>
  <c r="U430" i="1"/>
  <c r="CK427" i="1"/>
  <c r="AW425" i="1"/>
  <c r="I423" i="1"/>
  <c r="BY420" i="1"/>
  <c r="AK418" i="1"/>
  <c r="DA415" i="1"/>
  <c r="BM413" i="1"/>
  <c r="Y411" i="1"/>
  <c r="CO408" i="1"/>
  <c r="BA406" i="1"/>
  <c r="AI404" i="1"/>
  <c r="CY401" i="1"/>
  <c r="BK399" i="1"/>
  <c r="W397" i="1"/>
  <c r="CM394" i="1"/>
  <c r="AY392" i="1"/>
  <c r="K390" i="1"/>
  <c r="CA387" i="1"/>
  <c r="AM385" i="1"/>
  <c r="DC382" i="1"/>
  <c r="BO380" i="1"/>
  <c r="AA378" i="1"/>
  <c r="CQ375" i="1"/>
  <c r="BC373" i="1"/>
  <c r="O371" i="1"/>
  <c r="CE368" i="1"/>
  <c r="AQ366" i="1"/>
  <c r="CX402" i="1"/>
  <c r="BJ400" i="1"/>
  <c r="V398" i="1"/>
  <c r="CL395" i="1"/>
  <c r="AX393" i="1"/>
  <c r="J391" i="1"/>
  <c r="BZ388" i="1"/>
  <c r="AL386" i="1"/>
  <c r="DB383" i="1"/>
  <c r="BN381" i="1"/>
  <c r="Z379" i="1"/>
  <c r="CP376" i="1"/>
  <c r="BB374" i="1"/>
  <c r="N372" i="1"/>
  <c r="CD369" i="1"/>
  <c r="AP367" i="1"/>
  <c r="BY403" i="1"/>
  <c r="AK401" i="1"/>
  <c r="DA398" i="1"/>
  <c r="BM396" i="1"/>
  <c r="Y394" i="1"/>
  <c r="CO391" i="1"/>
  <c r="BA389" i="1"/>
  <c r="M387" i="1"/>
  <c r="CC384" i="1"/>
  <c r="AO382" i="1"/>
  <c r="DE379" i="1"/>
  <c r="BQ377" i="1"/>
  <c r="AC375" i="1"/>
  <c r="CS372" i="1"/>
  <c r="BE370" i="1"/>
  <c r="J422" i="1"/>
  <c r="BN412" i="1"/>
  <c r="DE440" i="1"/>
  <c r="DI434" i="1"/>
  <c r="AO432" i="1"/>
  <c r="DE429" i="1"/>
  <c r="BQ427" i="1"/>
  <c r="AC425" i="1"/>
  <c r="CS422" i="1"/>
  <c r="BE420" i="1"/>
  <c r="Q418" i="1"/>
  <c r="CG415" i="1"/>
  <c r="AS413" i="1"/>
  <c r="DI410" i="1"/>
  <c r="BU408" i="1"/>
  <c r="AG406" i="1"/>
  <c r="O404" i="1"/>
  <c r="CE401" i="1"/>
  <c r="AQ399" i="1"/>
  <c r="DG396" i="1"/>
  <c r="BS394" i="1"/>
  <c r="AE392" i="1"/>
  <c r="CU389" i="1"/>
  <c r="BG387" i="1"/>
  <c r="S385" i="1"/>
  <c r="CI382" i="1"/>
  <c r="AU380" i="1"/>
  <c r="G378" i="1"/>
  <c r="BW375" i="1"/>
  <c r="AI373" i="1"/>
  <c r="CY370" i="1"/>
  <c r="BK368" i="1"/>
  <c r="AJ405" i="1"/>
  <c r="CD402" i="1"/>
  <c r="AP400" i="1"/>
  <c r="DF397" i="1"/>
  <c r="BR395" i="1"/>
  <c r="AD393" i="1"/>
  <c r="CT390" i="1"/>
  <c r="BF388" i="1"/>
  <c r="R386" i="1"/>
  <c r="CH383" i="1"/>
  <c r="AT381" i="1"/>
  <c r="F379" i="1"/>
  <c r="BV376" i="1"/>
  <c r="AH374" i="1"/>
  <c r="CX371" i="1"/>
  <c r="BJ369" i="1"/>
  <c r="V367" i="1"/>
  <c r="BE403" i="1"/>
  <c r="Q401" i="1"/>
  <c r="CG398" i="1"/>
  <c r="AS396" i="1"/>
  <c r="DI393" i="1"/>
  <c r="BU391" i="1"/>
  <c r="AG389" i="1"/>
  <c r="CW386" i="1"/>
  <c r="BI384" i="1"/>
  <c r="U382" i="1"/>
  <c r="CK379" i="1"/>
  <c r="AW377" i="1"/>
  <c r="CD607" i="1"/>
  <c r="BR566" i="1"/>
  <c r="V535" i="1"/>
  <c r="AL518" i="1"/>
  <c r="DE533" i="1"/>
  <c r="CH495" i="1"/>
  <c r="DI527" i="1"/>
  <c r="CL489" i="1"/>
  <c r="AF492" i="1"/>
  <c r="L444" i="1"/>
  <c r="AG474" i="1"/>
  <c r="CQ475" i="1"/>
  <c r="AJ503" i="1"/>
  <c r="AS462" i="1"/>
  <c r="AV455" i="1"/>
  <c r="W450" i="1"/>
  <c r="CV480" i="1"/>
  <c r="L479" i="1"/>
  <c r="CB448" i="1"/>
  <c r="CY455" i="1"/>
  <c r="BV465" i="1"/>
  <c r="CX446" i="1"/>
  <c r="BL421" i="1"/>
  <c r="BC433" i="1"/>
  <c r="S408" i="1"/>
  <c r="DB423" i="1"/>
  <c r="CV442" i="1"/>
  <c r="CX455" i="1"/>
  <c r="L437" i="1"/>
  <c r="P418" i="1"/>
  <c r="O436" i="1"/>
  <c r="S417" i="1"/>
  <c r="AX438" i="1"/>
  <c r="DB428" i="1"/>
  <c r="BB419" i="1"/>
  <c r="DF409" i="1"/>
  <c r="AS438" i="1"/>
  <c r="BR462" i="1"/>
  <c r="DF450" i="1"/>
  <c r="BT441" i="1"/>
  <c r="T432" i="1"/>
  <c r="BX422" i="1"/>
  <c r="X413" i="1"/>
  <c r="BW440" i="1"/>
  <c r="W431" i="1"/>
  <c r="CA421" i="1"/>
  <c r="AA412" i="1"/>
  <c r="BR440" i="1"/>
  <c r="R431" i="1"/>
  <c r="BV421" i="1"/>
  <c r="V412" i="1"/>
  <c r="BM440" i="1"/>
  <c r="CT470" i="1"/>
  <c r="BB457" i="1"/>
  <c r="N447" i="1"/>
  <c r="CF437" i="1"/>
  <c r="AF428" i="1"/>
  <c r="CJ418" i="1"/>
  <c r="AJ409" i="1"/>
  <c r="CI436" i="1"/>
  <c r="BK430" i="1"/>
  <c r="AE426" i="1"/>
  <c r="O422" i="1"/>
  <c r="DC417" i="1"/>
  <c r="BW413" i="1"/>
  <c r="BG409" i="1"/>
  <c r="AQ405" i="1"/>
  <c r="CL438" i="1"/>
  <c r="BV434" i="1"/>
  <c r="BF430" i="1"/>
  <c r="BV414" i="1"/>
  <c r="BE436" i="1"/>
  <c r="CC432" i="1"/>
  <c r="BA429" i="1"/>
  <c r="M427" i="1"/>
  <c r="CC424" i="1"/>
  <c r="AO422" i="1"/>
  <c r="DE419" i="1"/>
  <c r="BQ417" i="1"/>
  <c r="AC415" i="1"/>
  <c r="CS412" i="1"/>
  <c r="BE410" i="1"/>
  <c r="Q408" i="1"/>
  <c r="CG405" i="1"/>
  <c r="BO403" i="1"/>
  <c r="AA401" i="1"/>
  <c r="CQ398" i="1"/>
  <c r="BC396" i="1"/>
  <c r="O394" i="1"/>
  <c r="CE391" i="1"/>
  <c r="AQ389" i="1"/>
  <c r="DG386" i="1"/>
  <c r="BS384" i="1"/>
  <c r="AE382" i="1"/>
  <c r="CU379" i="1"/>
  <c r="BG377" i="1"/>
  <c r="S375" i="1"/>
  <c r="CI372" i="1"/>
  <c r="AU370" i="1"/>
  <c r="G368" i="1"/>
  <c r="BN404" i="1"/>
  <c r="Z402" i="1"/>
  <c r="CP399" i="1"/>
  <c r="BB397" i="1"/>
  <c r="N395" i="1"/>
  <c r="CD392" i="1"/>
  <c r="AP390" i="1"/>
  <c r="DF387" i="1"/>
  <c r="BR385" i="1"/>
  <c r="AD383" i="1"/>
  <c r="CT380" i="1"/>
  <c r="BF378" i="1"/>
  <c r="R376" i="1"/>
  <c r="CH373" i="1"/>
  <c r="AT371" i="1"/>
  <c r="F369" i="1"/>
  <c r="BV366" i="1"/>
  <c r="DE402" i="1"/>
  <c r="BQ400" i="1"/>
  <c r="AC398" i="1"/>
  <c r="CS395" i="1"/>
  <c r="BE393" i="1"/>
  <c r="Q391" i="1"/>
  <c r="CG388" i="1"/>
  <c r="AS386" i="1"/>
  <c r="DI383" i="1"/>
  <c r="BU381" i="1"/>
  <c r="AG379" i="1"/>
  <c r="CW376" i="1"/>
  <c r="BI374" i="1"/>
  <c r="AL429" i="1"/>
  <c r="CP419" i="1"/>
  <c r="AP410" i="1"/>
  <c r="CG438" i="1"/>
  <c r="AG434" i="1"/>
  <c r="CK431" i="1"/>
  <c r="AW429" i="1"/>
  <c r="I427" i="1"/>
  <c r="BY424" i="1"/>
  <c r="AK422" i="1"/>
  <c r="DA419" i="1"/>
  <c r="BM417" i="1"/>
  <c r="Y415" i="1"/>
  <c r="CO412" i="1"/>
  <c r="BA410" i="1"/>
  <c r="M408" i="1"/>
  <c r="CC405" i="1"/>
  <c r="BK403" i="1"/>
  <c r="W401" i="1"/>
  <c r="CM398" i="1"/>
  <c r="AY396" i="1"/>
  <c r="K394" i="1"/>
  <c r="CA391" i="1"/>
  <c r="AM389" i="1"/>
  <c r="DC386" i="1"/>
  <c r="BO384" i="1"/>
  <c r="AA382" i="1"/>
  <c r="CQ379" i="1"/>
  <c r="BC377" i="1"/>
  <c r="O375" i="1"/>
  <c r="CE372" i="1"/>
  <c r="AQ370" i="1"/>
  <c r="DG367" i="1"/>
  <c r="BJ404" i="1"/>
  <c r="V402" i="1"/>
  <c r="CL399" i="1"/>
  <c r="AX397" i="1"/>
  <c r="J395" i="1"/>
  <c r="BZ392" i="1"/>
  <c r="AL390" i="1"/>
  <c r="DB387" i="1"/>
  <c r="BN385" i="1"/>
  <c r="Z383" i="1"/>
  <c r="CP380" i="1"/>
  <c r="BB378" i="1"/>
  <c r="N376" i="1"/>
  <c r="CD373" i="1"/>
  <c r="AP371" i="1"/>
  <c r="DF368" i="1"/>
  <c r="BR366" i="1"/>
  <c r="DA402" i="1"/>
  <c r="BM400" i="1"/>
  <c r="Y398" i="1"/>
  <c r="CO395" i="1"/>
  <c r="BA393" i="1"/>
  <c r="M391" i="1"/>
  <c r="CC388" i="1"/>
  <c r="AO386" i="1"/>
  <c r="DE383" i="1"/>
  <c r="BQ381" i="1"/>
  <c r="AC379" i="1"/>
  <c r="CS376" i="1"/>
  <c r="BE374" i="1"/>
  <c r="Q372" i="1"/>
  <c r="BN428" i="1"/>
  <c r="N419" i="1"/>
  <c r="BR409" i="1"/>
  <c r="DI437" i="1"/>
  <c r="DI433" i="1"/>
  <c r="BQ431" i="1"/>
  <c r="AC429" i="1"/>
  <c r="CS426" i="1"/>
  <c r="BE424" i="1"/>
  <c r="Q422" i="1"/>
  <c r="CG419" i="1"/>
  <c r="AS417" i="1"/>
  <c r="DI414" i="1"/>
  <c r="BU412" i="1"/>
  <c r="AG410" i="1"/>
  <c r="CW407" i="1"/>
  <c r="BI405" i="1"/>
  <c r="AQ403" i="1"/>
  <c r="DG400" i="1"/>
  <c r="BS398" i="1"/>
  <c r="AE396" i="1"/>
  <c r="CU393" i="1"/>
  <c r="BG391" i="1"/>
  <c r="S389" i="1"/>
  <c r="CI386" i="1"/>
  <c r="AU384" i="1"/>
  <c r="G382" i="1"/>
  <c r="BW379" i="1"/>
  <c r="AI377" i="1"/>
  <c r="CY374" i="1"/>
  <c r="BK372" i="1"/>
  <c r="W370" i="1"/>
  <c r="CM367" i="1"/>
  <c r="AP404" i="1"/>
  <c r="DF401" i="1"/>
  <c r="BR399" i="1"/>
  <c r="AD397" i="1"/>
  <c r="CT394" i="1"/>
  <c r="BF392" i="1"/>
  <c r="R390" i="1"/>
  <c r="CH387" i="1"/>
  <c r="AT385" i="1"/>
  <c r="F383" i="1"/>
  <c r="BV380" i="1"/>
  <c r="AH378" i="1"/>
  <c r="CX375" i="1"/>
  <c r="BJ373" i="1"/>
  <c r="V371" i="1"/>
  <c r="CL368" i="1"/>
  <c r="AV405" i="1"/>
  <c r="CG402" i="1"/>
  <c r="AS400" i="1"/>
  <c r="DI397" i="1"/>
  <c r="BU395" i="1"/>
  <c r="AG393" i="1"/>
  <c r="CW390" i="1"/>
  <c r="BI388" i="1"/>
  <c r="U386" i="1"/>
  <c r="CK383" i="1"/>
  <c r="AW381" i="1"/>
  <c r="I379" i="1"/>
  <c r="BY376" i="1"/>
  <c r="DI564" i="1"/>
  <c r="F491" i="1"/>
  <c r="K477" i="1"/>
  <c r="DE458" i="1"/>
  <c r="AZ477" i="1"/>
  <c r="R445" i="1"/>
  <c r="CH422" i="1"/>
  <c r="CZ416" i="1"/>
  <c r="CX427" i="1"/>
  <c r="BB460" i="1"/>
  <c r="BT421" i="1"/>
  <c r="BW420" i="1"/>
  <c r="BR420" i="1"/>
  <c r="BJ455" i="1"/>
  <c r="CF417" i="1"/>
  <c r="O426" i="1"/>
  <c r="AA409" i="1"/>
  <c r="Z430" i="1"/>
  <c r="AK429" i="1"/>
  <c r="CO419" i="1"/>
  <c r="AO410" i="1"/>
  <c r="K401" i="1"/>
  <c r="BO391" i="1"/>
  <c r="O382" i="1"/>
  <c r="BS372" i="1"/>
  <c r="J402" i="1"/>
  <c r="BN392" i="1"/>
  <c r="N383" i="1"/>
  <c r="BR373" i="1"/>
  <c r="CO402" i="1"/>
  <c r="AO393" i="1"/>
  <c r="CS383" i="1"/>
  <c r="AS374" i="1"/>
  <c r="U438" i="1"/>
  <c r="CW426" i="1"/>
  <c r="AW417" i="1"/>
  <c r="DA407" i="1"/>
  <c r="BW398" i="1"/>
  <c r="W389" i="1"/>
  <c r="CA379" i="1"/>
  <c r="AA370" i="1"/>
  <c r="BV399" i="1"/>
  <c r="V390" i="1"/>
  <c r="BZ380" i="1"/>
  <c r="Z371" i="1"/>
  <c r="AW400" i="1"/>
  <c r="DA390" i="1"/>
  <c r="BA381" i="1"/>
  <c r="DE371" i="1"/>
  <c r="AW437" i="1"/>
  <c r="CC426" i="1"/>
  <c r="AC417" i="1"/>
  <c r="CG407" i="1"/>
  <c r="BC398" i="1"/>
  <c r="DG388" i="1"/>
  <c r="BG379" i="1"/>
  <c r="G370" i="1"/>
  <c r="BB399" i="1"/>
  <c r="DF389" i="1"/>
  <c r="BF380" i="1"/>
  <c r="F371" i="1"/>
  <c r="AC400" i="1"/>
  <c r="CG390" i="1"/>
  <c r="CS381" i="1"/>
  <c r="Q377" i="1"/>
  <c r="CS373" i="1"/>
  <c r="BE371" i="1"/>
  <c r="Q369" i="1"/>
  <c r="J426" i="1"/>
  <c r="BN416" i="1"/>
  <c r="N407" i="1"/>
  <c r="AO436" i="1"/>
  <c r="AO433" i="1"/>
  <c r="DE430" i="1"/>
  <c r="BQ428" i="1"/>
  <c r="AC426" i="1"/>
  <c r="CS423" i="1"/>
  <c r="BE421" i="1"/>
  <c r="Q419" i="1"/>
  <c r="CG416" i="1"/>
  <c r="AS414" i="1"/>
  <c r="DI411" i="1"/>
  <c r="BU409" i="1"/>
  <c r="AG407" i="1"/>
  <c r="AN405" i="1"/>
  <c r="CE402" i="1"/>
  <c r="AQ400" i="1"/>
  <c r="DG397" i="1"/>
  <c r="BS395" i="1"/>
  <c r="AE393" i="1"/>
  <c r="CU390" i="1"/>
  <c r="BG388" i="1"/>
  <c r="S386" i="1"/>
  <c r="CI383" i="1"/>
  <c r="AU381" i="1"/>
  <c r="G379" i="1"/>
  <c r="BW376" i="1"/>
  <c r="AI374" i="1"/>
  <c r="CY371" i="1"/>
  <c r="BK369" i="1"/>
  <c r="W367" i="1"/>
  <c r="CD403" i="1"/>
  <c r="AP401" i="1"/>
  <c r="DF398" i="1"/>
  <c r="BR396" i="1"/>
  <c r="AD394" i="1"/>
  <c r="CT391" i="1"/>
  <c r="BF389" i="1"/>
  <c r="R387" i="1"/>
  <c r="CH384" i="1"/>
  <c r="AT382" i="1"/>
  <c r="F380" i="1"/>
  <c r="BV377" i="1"/>
  <c r="AH375" i="1"/>
  <c r="CX372" i="1"/>
  <c r="BJ370" i="1"/>
  <c r="V368" i="1"/>
  <c r="BE404" i="1"/>
  <c r="Q402" i="1"/>
  <c r="CG399" i="1"/>
  <c r="AS397" i="1"/>
  <c r="DI394" i="1"/>
  <c r="BU392" i="1"/>
  <c r="AG390" i="1"/>
  <c r="CW387" i="1"/>
  <c r="BI385" i="1"/>
  <c r="U383" i="1"/>
  <c r="CK380" i="1"/>
  <c r="AW378" i="1"/>
  <c r="I376" i="1"/>
  <c r="BY373" i="1"/>
  <c r="AK371" i="1"/>
  <c r="BA369" i="1"/>
  <c r="BH404" i="1"/>
  <c r="T402" i="1"/>
  <c r="CJ399" i="1"/>
  <c r="AV397" i="1"/>
  <c r="H395" i="1"/>
  <c r="BX392" i="1"/>
  <c r="AJ390" i="1"/>
  <c r="CZ387" i="1"/>
  <c r="BL385" i="1"/>
  <c r="X383" i="1"/>
  <c r="CN380" i="1"/>
  <c r="AZ378" i="1"/>
  <c r="L376" i="1"/>
  <c r="CB373" i="1"/>
  <c r="AN371" i="1"/>
  <c r="DD368" i="1"/>
  <c r="U366" i="1"/>
  <c r="CK363" i="1"/>
  <c r="AW361" i="1"/>
  <c r="I359" i="1"/>
  <c r="BY356" i="1"/>
  <c r="AK354" i="1"/>
  <c r="DA351" i="1"/>
  <c r="BM349" i="1"/>
  <c r="Y347" i="1"/>
  <c r="CO344" i="1"/>
  <c r="BA342" i="1"/>
  <c r="M340" i="1"/>
  <c r="CC337" i="1"/>
  <c r="AO335" i="1"/>
  <c r="DE332" i="1"/>
  <c r="BQ330" i="1"/>
  <c r="AC328" i="1"/>
  <c r="CS325" i="1"/>
  <c r="BE323" i="1"/>
  <c r="Q321" i="1"/>
  <c r="CG318" i="1"/>
  <c r="AS316" i="1"/>
  <c r="DI313" i="1"/>
  <c r="BU311" i="1"/>
  <c r="AG309" i="1"/>
  <c r="CW306" i="1"/>
  <c r="BI304" i="1"/>
  <c r="U302" i="1"/>
  <c r="CK299" i="1"/>
  <c r="AW297" i="1"/>
  <c r="I295" i="1"/>
  <c r="CR365" i="1"/>
  <c r="BD363" i="1"/>
  <c r="P361" i="1"/>
  <c r="CF358" i="1"/>
  <c r="AR356" i="1"/>
  <c r="DH353" i="1"/>
  <c r="BT351" i="1"/>
  <c r="AF349" i="1"/>
  <c r="CV346" i="1"/>
  <c r="BH344" i="1"/>
  <c r="T342" i="1"/>
  <c r="CJ339" i="1"/>
  <c r="AV337" i="1"/>
  <c r="H335" i="1"/>
  <c r="BX332" i="1"/>
  <c r="AJ330" i="1"/>
  <c r="CZ327" i="1"/>
  <c r="BL325" i="1"/>
  <c r="X323" i="1"/>
  <c r="CN320" i="1"/>
  <c r="AZ318" i="1"/>
  <c r="L316" i="1"/>
  <c r="CB313" i="1"/>
  <c r="AN311" i="1"/>
  <c r="DI366" i="1"/>
  <c r="AQ364" i="1"/>
  <c r="DG361" i="1"/>
  <c r="BS359" i="1"/>
  <c r="AE357" i="1"/>
  <c r="CU354" i="1"/>
  <c r="BG352" i="1"/>
  <c r="S350" i="1"/>
  <c r="CI347" i="1"/>
  <c r="AU345" i="1"/>
  <c r="G343" i="1"/>
  <c r="BW340" i="1"/>
  <c r="AI338" i="1"/>
  <c r="CY335" i="1"/>
  <c r="BK333" i="1"/>
  <c r="W331" i="1"/>
  <c r="CM328" i="1"/>
  <c r="AY326" i="1"/>
  <c r="K324" i="1"/>
  <c r="CA321" i="1"/>
  <c r="AM319" i="1"/>
  <c r="DC316" i="1"/>
  <c r="BO314" i="1"/>
  <c r="AA312" i="1"/>
  <c r="CQ309" i="1"/>
  <c r="BC307" i="1"/>
  <c r="O305" i="1"/>
  <c r="CE302" i="1"/>
  <c r="AQ300" i="1"/>
  <c r="DG297" i="1"/>
  <c r="BS295" i="1"/>
  <c r="AE293" i="1"/>
  <c r="CZ366" i="1"/>
  <c r="AL364" i="1"/>
  <c r="DB361" i="1"/>
  <c r="BN359" i="1"/>
  <c r="Z357" i="1"/>
  <c r="CP354" i="1"/>
  <c r="BB352" i="1"/>
  <c r="N350" i="1"/>
  <c r="CD347" i="1"/>
  <c r="AP345" i="1"/>
  <c r="DF342" i="1"/>
  <c r="BR340" i="1"/>
  <c r="AD338" i="1"/>
  <c r="CT335" i="1"/>
  <c r="BF333" i="1"/>
  <c r="R331" i="1"/>
  <c r="CH328" i="1"/>
  <c r="AT326" i="1"/>
  <c r="F324" i="1"/>
  <c r="BV321" i="1"/>
  <c r="AH319" i="1"/>
  <c r="AS370" i="1"/>
  <c r="AB405" i="1"/>
  <c r="CB402" i="1"/>
  <c r="AN400" i="1"/>
  <c r="DD397" i="1"/>
  <c r="BP395" i="1"/>
  <c r="AB393" i="1"/>
  <c r="CR390" i="1"/>
  <c r="BD388" i="1"/>
  <c r="P386" i="1"/>
  <c r="CF383" i="1"/>
  <c r="AR381" i="1"/>
  <c r="DH378" i="1"/>
  <c r="BT376" i="1"/>
  <c r="AF374" i="1"/>
  <c r="CV371" i="1"/>
  <c r="BH369" i="1"/>
  <c r="DE366" i="1"/>
  <c r="AO364" i="1"/>
  <c r="DE361" i="1"/>
  <c r="BQ359" i="1"/>
  <c r="AC357" i="1"/>
  <c r="CS354" i="1"/>
  <c r="BE352" i="1"/>
  <c r="Q350" i="1"/>
  <c r="CG347" i="1"/>
  <c r="AS345" i="1"/>
  <c r="DI342" i="1"/>
  <c r="BU340" i="1"/>
  <c r="AG338" i="1"/>
  <c r="CW335" i="1"/>
  <c r="BI333" i="1"/>
  <c r="U331" i="1"/>
  <c r="CK328" i="1"/>
  <c r="AW326" i="1"/>
  <c r="I324" i="1"/>
  <c r="BY321" i="1"/>
  <c r="AK319" i="1"/>
  <c r="DA316" i="1"/>
  <c r="BM314" i="1"/>
  <c r="Y312" i="1"/>
  <c r="CO309" i="1"/>
  <c r="BA307" i="1"/>
  <c r="M305" i="1"/>
  <c r="CC302" i="1"/>
  <c r="AO300" i="1"/>
  <c r="DE297" i="1"/>
  <c r="BQ295" i="1"/>
  <c r="AX366" i="1"/>
  <c r="H364" i="1"/>
  <c r="BX361" i="1"/>
  <c r="AJ359" i="1"/>
  <c r="CZ356" i="1"/>
  <c r="BL354" i="1"/>
  <c r="X352" i="1"/>
  <c r="CN349" i="1"/>
  <c r="AZ347" i="1"/>
  <c r="L345" i="1"/>
  <c r="CB342" i="1"/>
  <c r="AN340" i="1"/>
  <c r="DD337" i="1"/>
  <c r="BP335" i="1"/>
  <c r="AB333" i="1"/>
  <c r="CR330" i="1"/>
  <c r="BD328" i="1"/>
  <c r="P326" i="1"/>
  <c r="CF323" i="1"/>
  <c r="AR321" i="1"/>
  <c r="DH318" i="1"/>
  <c r="BT316" i="1"/>
  <c r="AF314" i="1"/>
  <c r="CV311" i="1"/>
  <c r="BH309" i="1"/>
  <c r="CY364" i="1"/>
  <c r="BK362" i="1"/>
  <c r="W360" i="1"/>
  <c r="CM357" i="1"/>
  <c r="AY355" i="1"/>
  <c r="K353" i="1"/>
  <c r="CA350" i="1"/>
  <c r="AM348" i="1"/>
  <c r="DC345" i="1"/>
  <c r="BO343" i="1"/>
  <c r="AA341" i="1"/>
  <c r="CQ338" i="1"/>
  <c r="BC336" i="1"/>
  <c r="O334" i="1"/>
  <c r="CE331" i="1"/>
  <c r="AQ329" i="1"/>
  <c r="DG326" i="1"/>
  <c r="BS324" i="1"/>
  <c r="AE322" i="1"/>
  <c r="CU319" i="1"/>
  <c r="BG317" i="1"/>
  <c r="S315" i="1"/>
  <c r="CI312" i="1"/>
  <c r="AU310" i="1"/>
  <c r="G308" i="1"/>
  <c r="BW305" i="1"/>
  <c r="AI303" i="1"/>
  <c r="CY300" i="1"/>
  <c r="BK298" i="1"/>
  <c r="W296" i="1"/>
  <c r="CM293" i="1"/>
  <c r="AY291" i="1"/>
  <c r="CT364" i="1"/>
  <c r="BF362" i="1"/>
  <c r="R360" i="1"/>
  <c r="CH357" i="1"/>
  <c r="AT355" i="1"/>
  <c r="F353" i="1"/>
  <c r="BV350" i="1"/>
  <c r="AH348" i="1"/>
  <c r="CX345" i="1"/>
  <c r="BJ343" i="1"/>
  <c r="V341" i="1"/>
  <c r="CL338" i="1"/>
  <c r="AX336" i="1"/>
  <c r="J334" i="1"/>
  <c r="BZ331" i="1"/>
  <c r="AL329" i="1"/>
  <c r="DB326" i="1"/>
  <c r="BN324" i="1"/>
  <c r="Z322" i="1"/>
  <c r="CP319" i="1"/>
  <c r="BB317" i="1"/>
  <c r="N315" i="1"/>
  <c r="CD312" i="1"/>
  <c r="DA369" i="1"/>
  <c r="CV404" i="1"/>
  <c r="BH402" i="1"/>
  <c r="T400" i="1"/>
  <c r="CJ397" i="1"/>
  <c r="AV395" i="1"/>
  <c r="H393" i="1"/>
  <c r="BX390" i="1"/>
  <c r="AJ388" i="1"/>
  <c r="CZ385" i="1"/>
  <c r="BL383" i="1"/>
  <c r="X381" i="1"/>
  <c r="CN378" i="1"/>
  <c r="AZ376" i="1"/>
  <c r="L374" i="1"/>
  <c r="CB371" i="1"/>
  <c r="AN369" i="1"/>
  <c r="BQ366" i="1"/>
  <c r="U364" i="1"/>
  <c r="CK361" i="1"/>
  <c r="AW359" i="1"/>
  <c r="I357" i="1"/>
  <c r="BY354" i="1"/>
  <c r="AK352" i="1"/>
  <c r="DA349" i="1"/>
  <c r="BM347" i="1"/>
  <c r="Y345" i="1"/>
  <c r="CO342" i="1"/>
  <c r="BA340" i="1"/>
  <c r="M338" i="1"/>
  <c r="CC335" i="1"/>
  <c r="AO333" i="1"/>
  <c r="DE330" i="1"/>
  <c r="BQ328" i="1"/>
  <c r="AC326" i="1"/>
  <c r="CS323" i="1"/>
  <c r="BE321" i="1"/>
  <c r="Q319" i="1"/>
  <c r="CG316" i="1"/>
  <c r="AS314" i="1"/>
  <c r="DI311" i="1"/>
  <c r="BU309" i="1"/>
  <c r="AG307" i="1"/>
  <c r="CW304" i="1"/>
  <c r="BI302" i="1"/>
  <c r="U300" i="1"/>
  <c r="CK297" i="1"/>
  <c r="AW295" i="1"/>
  <c r="AB366" i="1"/>
  <c r="CR363" i="1"/>
  <c r="BD361" i="1"/>
  <c r="P359" i="1"/>
  <c r="CF356" i="1"/>
  <c r="AR354" i="1"/>
  <c r="DH351" i="1"/>
  <c r="BT349" i="1"/>
  <c r="AF347" i="1"/>
  <c r="CV344" i="1"/>
  <c r="BH342" i="1"/>
  <c r="T340" i="1"/>
  <c r="CJ337" i="1"/>
  <c r="AV335" i="1"/>
  <c r="H333" i="1"/>
  <c r="BX330" i="1"/>
  <c r="AJ328" i="1"/>
  <c r="CZ325" i="1"/>
  <c r="BL323" i="1"/>
  <c r="X321" i="1"/>
  <c r="CN318" i="1"/>
  <c r="AZ316" i="1"/>
  <c r="L314" i="1"/>
  <c r="CB311" i="1"/>
  <c r="AN309" i="1"/>
  <c r="CE364" i="1"/>
  <c r="AQ362" i="1"/>
  <c r="DG359" i="1"/>
  <c r="BS357" i="1"/>
  <c r="AE355" i="1"/>
  <c r="CU352" i="1"/>
  <c r="BG350" i="1"/>
  <c r="S348" i="1"/>
  <c r="CI345" i="1"/>
  <c r="AU343" i="1"/>
  <c r="G341" i="1"/>
  <c r="BW338" i="1"/>
  <c r="AI336" i="1"/>
  <c r="CY333" i="1"/>
  <c r="BK331" i="1"/>
  <c r="W329" i="1"/>
  <c r="CM326" i="1"/>
  <c r="AY324" i="1"/>
  <c r="K322" i="1"/>
  <c r="CA319" i="1"/>
  <c r="AM317" i="1"/>
  <c r="DC314" i="1"/>
  <c r="BO312" i="1"/>
  <c r="AA310" i="1"/>
  <c r="CQ307" i="1"/>
  <c r="BC305" i="1"/>
  <c r="O303" i="1"/>
  <c r="CE300" i="1"/>
  <c r="AQ298" i="1"/>
  <c r="DG295" i="1"/>
  <c r="BS293" i="1"/>
  <c r="AE291" i="1"/>
  <c r="BZ364" i="1"/>
  <c r="AL362" i="1"/>
  <c r="DB359" i="1"/>
  <c r="BN357" i="1"/>
  <c r="Z355" i="1"/>
  <c r="CP352" i="1"/>
  <c r="BB350" i="1"/>
  <c r="N348" i="1"/>
  <c r="CD345" i="1"/>
  <c r="AP343" i="1"/>
  <c r="DF340" i="1"/>
  <c r="BR338" i="1"/>
  <c r="AD336" i="1"/>
  <c r="CT333" i="1"/>
  <c r="BF331" i="1"/>
  <c r="R329" i="1"/>
  <c r="CH326" i="1"/>
  <c r="AT324" i="1"/>
  <c r="F322" i="1"/>
  <c r="BV319" i="1"/>
  <c r="CS371" i="1"/>
  <c r="BM367" i="1"/>
  <c r="L403" i="1"/>
  <c r="CB400" i="1"/>
  <c r="AN398" i="1"/>
  <c r="DD395" i="1"/>
  <c r="DI561" i="1"/>
  <c r="DA509" i="1"/>
  <c r="K453" i="1"/>
  <c r="BQ448" i="1"/>
  <c r="CR468" i="1"/>
  <c r="X439" i="1"/>
  <c r="F418" i="1"/>
  <c r="X412" i="1"/>
  <c r="BJ425" i="1"/>
  <c r="N458" i="1"/>
  <c r="AF419" i="1"/>
  <c r="AI418" i="1"/>
  <c r="AD418" i="1"/>
  <c r="V453" i="1"/>
  <c r="AR415" i="1"/>
  <c r="K425" i="1"/>
  <c r="G408" i="1"/>
  <c r="BF426" i="1"/>
  <c r="CC428" i="1"/>
  <c r="AC419" i="1"/>
  <c r="CG409" i="1"/>
  <c r="BC400" i="1"/>
  <c r="DG390" i="1"/>
  <c r="BG381" i="1"/>
  <c r="G372" i="1"/>
  <c r="BB401" i="1"/>
  <c r="DF391" i="1"/>
  <c r="BF382" i="1"/>
  <c r="F373" i="1"/>
  <c r="AC402" i="1"/>
  <c r="CG392" i="1"/>
  <c r="AG383" i="1"/>
  <c r="CK373" i="1"/>
  <c r="BA436" i="1"/>
  <c r="AK426" i="1"/>
  <c r="CO416" i="1"/>
  <c r="AO407" i="1"/>
  <c r="K398" i="1"/>
  <c r="BO388" i="1"/>
  <c r="O379" i="1"/>
  <c r="BS369" i="1"/>
  <c r="J399" i="1"/>
  <c r="BN389" i="1"/>
  <c r="N380" i="1"/>
  <c r="BR370" i="1"/>
  <c r="CO399" i="1"/>
  <c r="AO390" i="1"/>
  <c r="CS380" i="1"/>
  <c r="AS371" i="1"/>
  <c r="Y436" i="1"/>
  <c r="Q426" i="1"/>
  <c r="BU416" i="1"/>
  <c r="U407" i="1"/>
  <c r="CU397" i="1"/>
  <c r="AU388" i="1"/>
  <c r="CY378" i="1"/>
  <c r="AY369" i="1"/>
  <c r="CT398" i="1"/>
  <c r="AT389" i="1"/>
  <c r="CX379" i="1"/>
  <c r="AX370" i="1"/>
  <c r="BU399" i="1"/>
  <c r="U390" i="1"/>
  <c r="CC381" i="1"/>
  <c r="DE376" i="1"/>
  <c r="CC373" i="1"/>
  <c r="AO371" i="1"/>
  <c r="DE368" i="1"/>
  <c r="BB425" i="1"/>
  <c r="DF415" i="1"/>
  <c r="BF406" i="1"/>
  <c r="U436" i="1"/>
  <c r="Y433" i="1"/>
  <c r="CO430" i="1"/>
  <c r="BA428" i="1"/>
  <c r="M426" i="1"/>
  <c r="CC423" i="1"/>
  <c r="AO421" i="1"/>
  <c r="DE418" i="1"/>
  <c r="BQ416" i="1"/>
  <c r="AC414" i="1"/>
  <c r="CS411" i="1"/>
  <c r="BE409" i="1"/>
  <c r="Q407" i="1"/>
  <c r="DC404" i="1"/>
  <c r="BO402" i="1"/>
  <c r="AA400" i="1"/>
  <c r="CQ397" i="1"/>
  <c r="BC395" i="1"/>
  <c r="O393" i="1"/>
  <c r="CE390" i="1"/>
  <c r="AQ388" i="1"/>
  <c r="DG385" i="1"/>
  <c r="BS383" i="1"/>
  <c r="AE381" i="1"/>
  <c r="CU378" i="1"/>
  <c r="BG376" i="1"/>
  <c r="S374" i="1"/>
  <c r="CI371" i="1"/>
  <c r="AU369" i="1"/>
  <c r="G367" i="1"/>
  <c r="BN403" i="1"/>
  <c r="Z401" i="1"/>
  <c r="CP398" i="1"/>
  <c r="BB396" i="1"/>
  <c r="N394" i="1"/>
  <c r="CD391" i="1"/>
  <c r="AP389" i="1"/>
  <c r="DF386" i="1"/>
  <c r="BR384" i="1"/>
  <c r="AD382" i="1"/>
  <c r="CT379" i="1"/>
  <c r="BF377" i="1"/>
  <c r="R375" i="1"/>
  <c r="CH372" i="1"/>
  <c r="AT370" i="1"/>
  <c r="F368" i="1"/>
  <c r="AO404" i="1"/>
  <c r="DE401" i="1"/>
  <c r="BQ399" i="1"/>
  <c r="AC397" i="1"/>
  <c r="CS394" i="1"/>
  <c r="BE392" i="1"/>
  <c r="Q390" i="1"/>
  <c r="CG387" i="1"/>
  <c r="AS385" i="1"/>
  <c r="DI382" i="1"/>
  <c r="BU380" i="1"/>
  <c r="AG378" i="1"/>
  <c r="CW375" i="1"/>
  <c r="BI373" i="1"/>
  <c r="U371" i="1"/>
  <c r="AC369" i="1"/>
  <c r="AR404" i="1"/>
  <c r="DH401" i="1"/>
  <c r="BT399" i="1"/>
  <c r="AF397" i="1"/>
  <c r="CV394" i="1"/>
  <c r="BH392" i="1"/>
  <c r="T390" i="1"/>
  <c r="CJ387" i="1"/>
  <c r="AV385" i="1"/>
  <c r="H383" i="1"/>
  <c r="BX380" i="1"/>
  <c r="AJ378" i="1"/>
  <c r="CZ375" i="1"/>
  <c r="BL373" i="1"/>
  <c r="X371" i="1"/>
  <c r="CN368" i="1"/>
  <c r="DI365" i="1"/>
  <c r="BU363" i="1"/>
  <c r="AG361" i="1"/>
  <c r="CW358" i="1"/>
  <c r="BI356" i="1"/>
  <c r="U354" i="1"/>
  <c r="CK351" i="1"/>
  <c r="AW349" i="1"/>
  <c r="I347" i="1"/>
  <c r="BY344" i="1"/>
  <c r="AK342" i="1"/>
  <c r="DA339" i="1"/>
  <c r="BM337" i="1"/>
  <c r="Y335" i="1"/>
  <c r="CO332" i="1"/>
  <c r="BA330" i="1"/>
  <c r="M328" i="1"/>
  <c r="CC325" i="1"/>
  <c r="AO323" i="1"/>
  <c r="DE320" i="1"/>
  <c r="BQ318" i="1"/>
  <c r="AC316" i="1"/>
  <c r="CS313" i="1"/>
  <c r="BE311" i="1"/>
  <c r="Q309" i="1"/>
  <c r="CG306" i="1"/>
  <c r="AS304" i="1"/>
  <c r="DI301" i="1"/>
  <c r="BU299" i="1"/>
  <c r="AG297" i="1"/>
  <c r="CW294" i="1"/>
  <c r="CB365" i="1"/>
  <c r="AN363" i="1"/>
  <c r="DD360" i="1"/>
  <c r="BP358" i="1"/>
  <c r="AB356" i="1"/>
  <c r="CR353" i="1"/>
  <c r="BD351" i="1"/>
  <c r="P349" i="1"/>
  <c r="CF346" i="1"/>
  <c r="AR344" i="1"/>
  <c r="DH341" i="1"/>
  <c r="BT339" i="1"/>
  <c r="AF337" i="1"/>
  <c r="CV334" i="1"/>
  <c r="BH332" i="1"/>
  <c r="T330" i="1"/>
  <c r="CJ327" i="1"/>
  <c r="AV325" i="1"/>
  <c r="H323" i="1"/>
  <c r="BX320" i="1"/>
  <c r="AJ318" i="1"/>
  <c r="CZ315" i="1"/>
  <c r="BL313" i="1"/>
  <c r="X311" i="1"/>
  <c r="CC366" i="1"/>
  <c r="AA364" i="1"/>
  <c r="CQ361" i="1"/>
  <c r="BC359" i="1"/>
  <c r="O357" i="1"/>
  <c r="CE354" i="1"/>
  <c r="AQ352" i="1"/>
  <c r="DG349" i="1"/>
  <c r="BS347" i="1"/>
  <c r="AE345" i="1"/>
  <c r="CU342" i="1"/>
  <c r="BG340" i="1"/>
  <c r="S338" i="1"/>
  <c r="CI335" i="1"/>
  <c r="AU333" i="1"/>
  <c r="G331" i="1"/>
  <c r="BW328" i="1"/>
  <c r="AI326" i="1"/>
  <c r="CY323" i="1"/>
  <c r="BK321" i="1"/>
  <c r="W319" i="1"/>
  <c r="CM316" i="1"/>
  <c r="AY314" i="1"/>
  <c r="K312" i="1"/>
  <c r="CA309" i="1"/>
  <c r="AM307" i="1"/>
  <c r="DC304" i="1"/>
  <c r="BO302" i="1"/>
  <c r="AA300" i="1"/>
  <c r="CQ297" i="1"/>
  <c r="BC295" i="1"/>
  <c r="O293" i="1"/>
  <c r="BT366" i="1"/>
  <c r="V364" i="1"/>
  <c r="CL361" i="1"/>
  <c r="AX359" i="1"/>
  <c r="J357" i="1"/>
  <c r="BZ354" i="1"/>
  <c r="AL352" i="1"/>
  <c r="DB349" i="1"/>
  <c r="BN347" i="1"/>
  <c r="Z345" i="1"/>
  <c r="CP342" i="1"/>
  <c r="BB340" i="1"/>
  <c r="N338" i="1"/>
  <c r="CD335" i="1"/>
  <c r="AP333" i="1"/>
  <c r="DF330" i="1"/>
  <c r="BR328" i="1"/>
  <c r="AD326" i="1"/>
  <c r="CT323" i="1"/>
  <c r="BF321" i="1"/>
  <c r="R319" i="1"/>
  <c r="DE369" i="1"/>
  <c r="CZ404" i="1"/>
  <c r="BL402" i="1"/>
  <c r="X400" i="1"/>
  <c r="CN397" i="1"/>
  <c r="AZ395" i="1"/>
  <c r="L393" i="1"/>
  <c r="CB390" i="1"/>
  <c r="AN388" i="1"/>
  <c r="DD385" i="1"/>
  <c r="BP383" i="1"/>
  <c r="AB381" i="1"/>
  <c r="CR378" i="1"/>
  <c r="BD376" i="1"/>
  <c r="P374" i="1"/>
  <c r="CF371" i="1"/>
  <c r="AR369" i="1"/>
  <c r="BY366" i="1"/>
  <c r="Y364" i="1"/>
  <c r="CO361" i="1"/>
  <c r="BA359" i="1"/>
  <c r="M357" i="1"/>
  <c r="CC354" i="1"/>
  <c r="AO352" i="1"/>
  <c r="DE349" i="1"/>
  <c r="BQ347" i="1"/>
  <c r="AC345" i="1"/>
  <c r="CS342" i="1"/>
  <c r="BE340" i="1"/>
  <c r="Q338" i="1"/>
  <c r="CG335" i="1"/>
  <c r="AS333" i="1"/>
  <c r="DI330" i="1"/>
  <c r="BU328" i="1"/>
  <c r="AG326" i="1"/>
  <c r="CW323" i="1"/>
  <c r="BI321" i="1"/>
  <c r="U319" i="1"/>
  <c r="CK316" i="1"/>
  <c r="AW314" i="1"/>
  <c r="I312" i="1"/>
  <c r="BY309" i="1"/>
  <c r="AK307" i="1"/>
  <c r="DA304" i="1"/>
  <c r="BM302" i="1"/>
  <c r="Y300" i="1"/>
  <c r="CO297" i="1"/>
  <c r="BA295" i="1"/>
  <c r="AF366" i="1"/>
  <c r="CV363" i="1"/>
  <c r="BH361" i="1"/>
  <c r="T359" i="1"/>
  <c r="CJ356" i="1"/>
  <c r="AV354" i="1"/>
  <c r="H352" i="1"/>
  <c r="BX349" i="1"/>
  <c r="AJ347" i="1"/>
  <c r="CZ344" i="1"/>
  <c r="BL342" i="1"/>
  <c r="X340" i="1"/>
  <c r="CN337" i="1"/>
  <c r="AZ335" i="1"/>
  <c r="L333" i="1"/>
  <c r="CB330" i="1"/>
  <c r="AN328" i="1"/>
  <c r="DD325" i="1"/>
  <c r="BP323" i="1"/>
  <c r="AB321" i="1"/>
  <c r="CR318" i="1"/>
  <c r="BD316" i="1"/>
  <c r="P314" i="1"/>
  <c r="CF311" i="1"/>
  <c r="AR309" i="1"/>
  <c r="CI364" i="1"/>
  <c r="AU362" i="1"/>
  <c r="G360" i="1"/>
  <c r="BW357" i="1"/>
  <c r="AI355" i="1"/>
  <c r="CY352" i="1"/>
  <c r="BK350" i="1"/>
  <c r="W348" i="1"/>
  <c r="CM345" i="1"/>
  <c r="AY343" i="1"/>
  <c r="K341" i="1"/>
  <c r="CA338" i="1"/>
  <c r="AM336" i="1"/>
  <c r="DC333" i="1"/>
  <c r="BO331" i="1"/>
  <c r="AA329" i="1"/>
  <c r="CQ326" i="1"/>
  <c r="BC324" i="1"/>
  <c r="O322" i="1"/>
  <c r="CE319" i="1"/>
  <c r="AQ317" i="1"/>
  <c r="DG314" i="1"/>
  <c r="BS312" i="1"/>
  <c r="AE310" i="1"/>
  <c r="CU307" i="1"/>
  <c r="BG305" i="1"/>
  <c r="S303" i="1"/>
  <c r="CI300" i="1"/>
  <c r="AU298" i="1"/>
  <c r="G296" i="1"/>
  <c r="BW293" i="1"/>
  <c r="AI291" i="1"/>
  <c r="CD364" i="1"/>
  <c r="AP362" i="1"/>
  <c r="DF359" i="1"/>
  <c r="BR357" i="1"/>
  <c r="AD355" i="1"/>
  <c r="CT352" i="1"/>
  <c r="BF350" i="1"/>
  <c r="R348" i="1"/>
  <c r="CH345" i="1"/>
  <c r="AT343" i="1"/>
  <c r="F341" i="1"/>
  <c r="BV338" i="1"/>
  <c r="AH336" i="1"/>
  <c r="CX333" i="1"/>
  <c r="BJ331" i="1"/>
  <c r="V329" i="1"/>
  <c r="CL326" i="1"/>
  <c r="AX324" i="1"/>
  <c r="J322" i="1"/>
  <c r="BZ319" i="1"/>
  <c r="AL317" i="1"/>
  <c r="DB314" i="1"/>
  <c r="BN312" i="1"/>
  <c r="CG369" i="1"/>
  <c r="CF404" i="1"/>
  <c r="AR402" i="1"/>
  <c r="DH399" i="1"/>
  <c r="BT397" i="1"/>
  <c r="AF395" i="1"/>
  <c r="CV392" i="1"/>
  <c r="BH390" i="1"/>
  <c r="T388" i="1"/>
  <c r="CJ385" i="1"/>
  <c r="AV383" i="1"/>
  <c r="H381" i="1"/>
  <c r="BX378" i="1"/>
  <c r="AJ376" i="1"/>
  <c r="CZ373" i="1"/>
  <c r="BL371" i="1"/>
  <c r="X369" i="1"/>
  <c r="AT366" i="1"/>
  <c r="DI363" i="1"/>
  <c r="BU361" i="1"/>
  <c r="AG359" i="1"/>
  <c r="CW356" i="1"/>
  <c r="BI354" i="1"/>
  <c r="U352" i="1"/>
  <c r="CK349" i="1"/>
  <c r="AW347" i="1"/>
  <c r="I345" i="1"/>
  <c r="BY342" i="1"/>
  <c r="AK340" i="1"/>
  <c r="DA337" i="1"/>
  <c r="BM335" i="1"/>
  <c r="Y333" i="1"/>
  <c r="CO330" i="1"/>
  <c r="BA328" i="1"/>
  <c r="M326" i="1"/>
  <c r="CC323" i="1"/>
  <c r="AO321" i="1"/>
  <c r="DE318" i="1"/>
  <c r="BQ316" i="1"/>
  <c r="AC314" i="1"/>
  <c r="CS311" i="1"/>
  <c r="BE309" i="1"/>
  <c r="Q307" i="1"/>
  <c r="CG304" i="1"/>
  <c r="AS302" i="1"/>
  <c r="DI299" i="1"/>
  <c r="BU297" i="1"/>
  <c r="AG295" i="1"/>
  <c r="L366" i="1"/>
  <c r="CB363" i="1"/>
  <c r="AN361" i="1"/>
  <c r="DD358" i="1"/>
  <c r="BP356" i="1"/>
  <c r="AB354" i="1"/>
  <c r="CR351" i="1"/>
  <c r="BD349" i="1"/>
  <c r="P347" i="1"/>
  <c r="CF344" i="1"/>
  <c r="AR342" i="1"/>
  <c r="DH339" i="1"/>
  <c r="BT337" i="1"/>
  <c r="AF335" i="1"/>
  <c r="CV332" i="1"/>
  <c r="BH330" i="1"/>
  <c r="T328" i="1"/>
  <c r="CJ325" i="1"/>
  <c r="AV323" i="1"/>
  <c r="H321" i="1"/>
  <c r="BX318" i="1"/>
  <c r="AJ316" i="1"/>
  <c r="CZ313" i="1"/>
  <c r="BL311" i="1"/>
  <c r="X309" i="1"/>
  <c r="BO364" i="1"/>
  <c r="AA362" i="1"/>
  <c r="CQ359" i="1"/>
  <c r="BC357" i="1"/>
  <c r="O355" i="1"/>
  <c r="CE352" i="1"/>
  <c r="AQ350" i="1"/>
  <c r="DG347" i="1"/>
  <c r="BS345" i="1"/>
  <c r="AE343" i="1"/>
  <c r="CU340" i="1"/>
  <c r="BG338" i="1"/>
  <c r="S336" i="1"/>
  <c r="CI333" i="1"/>
  <c r="AU331" i="1"/>
  <c r="G329" i="1"/>
  <c r="BW326" i="1"/>
  <c r="AI324" i="1"/>
  <c r="CY321" i="1"/>
  <c r="BK319" i="1"/>
  <c r="W317" i="1"/>
  <c r="CM314" i="1"/>
  <c r="AY312" i="1"/>
  <c r="K310" i="1"/>
  <c r="CA307" i="1"/>
  <c r="AM305" i="1"/>
  <c r="DC302" i="1"/>
  <c r="BO300" i="1"/>
  <c r="AA298" i="1"/>
  <c r="CQ295" i="1"/>
  <c r="BC293" i="1"/>
  <c r="O291" i="1"/>
  <c r="BJ364" i="1"/>
  <c r="V362" i="1"/>
  <c r="CL359" i="1"/>
  <c r="AX357" i="1"/>
  <c r="J355" i="1"/>
  <c r="BZ352" i="1"/>
  <c r="AL350" i="1"/>
  <c r="DB347" i="1"/>
  <c r="BN345" i="1"/>
  <c r="Z343" i="1"/>
  <c r="CP340" i="1"/>
  <c r="BB338" i="1"/>
  <c r="N336" i="1"/>
  <c r="CD333" i="1"/>
  <c r="AP331" i="1"/>
  <c r="DF328" i="1"/>
  <c r="BR326" i="1"/>
  <c r="AD324" i="1"/>
  <c r="CT321" i="1"/>
  <c r="BF319" i="1"/>
  <c r="AG371" i="1"/>
  <c r="AW367" i="1"/>
  <c r="CZ402" i="1"/>
  <c r="BL400" i="1"/>
  <c r="X398" i="1"/>
  <c r="CN395" i="1"/>
  <c r="X551" i="1"/>
  <c r="DE490" i="1"/>
  <c r="BX509" i="1"/>
  <c r="DH475" i="1"/>
  <c r="CR460" i="1"/>
  <c r="CN432" i="1"/>
  <c r="AH413" i="1"/>
  <c r="AZ407" i="1"/>
  <c r="V423" i="1"/>
  <c r="BZ454" i="1"/>
  <c r="CV416" i="1"/>
  <c r="CY415" i="1"/>
  <c r="CT415" i="1"/>
  <c r="CL450" i="1"/>
  <c r="DH412" i="1"/>
  <c r="CU423" i="1"/>
  <c r="S407" i="1"/>
  <c r="AP422" i="1"/>
  <c r="Q428" i="1"/>
  <c r="BU418" i="1"/>
  <c r="U409" i="1"/>
  <c r="CU399" i="1"/>
  <c r="AU390" i="1"/>
  <c r="CY380" i="1"/>
  <c r="AY371" i="1"/>
  <c r="CT400" i="1"/>
  <c r="AT391" i="1"/>
  <c r="CX381" i="1"/>
  <c r="AX372" i="1"/>
  <c r="BU401" i="1"/>
  <c r="U392" i="1"/>
  <c r="BY382" i="1"/>
  <c r="Y373" i="1"/>
  <c r="BU435" i="1"/>
  <c r="CC425" i="1"/>
  <c r="AC416" i="1"/>
  <c r="CG406" i="1"/>
  <c r="BC397" i="1"/>
  <c r="DG387" i="1"/>
  <c r="BG378" i="1"/>
  <c r="G369" i="1"/>
  <c r="BB398" i="1"/>
  <c r="DF388" i="1"/>
  <c r="BF379" i="1"/>
  <c r="F370" i="1"/>
  <c r="AC399" i="1"/>
  <c r="CG389" i="1"/>
  <c r="AG380" i="1"/>
  <c r="CK370" i="1"/>
  <c r="AW435" i="1"/>
  <c r="BI425" i="1"/>
  <c r="I416" i="1"/>
  <c r="BM406" i="1"/>
  <c r="AI397" i="1"/>
  <c r="CM387" i="1"/>
  <c r="AM378" i="1"/>
  <c r="CQ368" i="1"/>
  <c r="AH398" i="1"/>
  <c r="CL388" i="1"/>
  <c r="AL379" i="1"/>
  <c r="CP369" i="1"/>
  <c r="I399" i="1"/>
  <c r="BM389" i="1"/>
  <c r="AG381" i="1"/>
  <c r="BI376" i="1"/>
  <c r="BM373" i="1"/>
  <c r="Y371" i="1"/>
  <c r="CO368" i="1"/>
  <c r="CT424" i="1"/>
  <c r="AT415" i="1"/>
  <c r="CX405" i="1"/>
  <c r="DA435" i="1"/>
  <c r="I433" i="1"/>
  <c r="BY430" i="1"/>
  <c r="AK428" i="1"/>
  <c r="DA425" i="1"/>
  <c r="BM423" i="1"/>
  <c r="Y421" i="1"/>
  <c r="CO418" i="1"/>
  <c r="BA416" i="1"/>
  <c r="M414" i="1"/>
  <c r="CC411" i="1"/>
  <c r="AO409" i="1"/>
  <c r="DE406" i="1"/>
  <c r="CM404" i="1"/>
  <c r="AY402" i="1"/>
  <c r="K400" i="1"/>
  <c r="CA397" i="1"/>
  <c r="AM395" i="1"/>
  <c r="DC392" i="1"/>
  <c r="BO390" i="1"/>
  <c r="AA388" i="1"/>
  <c r="CQ385" i="1"/>
  <c r="BC383" i="1"/>
  <c r="O381" i="1"/>
  <c r="CE378" i="1"/>
  <c r="AQ376" i="1"/>
  <c r="DG373" i="1"/>
  <c r="BS371" i="1"/>
  <c r="AE369" i="1"/>
  <c r="CU366" i="1"/>
  <c r="AX403" i="1"/>
  <c r="J401" i="1"/>
  <c r="BZ398" i="1"/>
  <c r="AL396" i="1"/>
  <c r="DB393" i="1"/>
  <c r="BN391" i="1"/>
  <c r="Z389" i="1"/>
  <c r="CP386" i="1"/>
  <c r="BB384" i="1"/>
  <c r="N382" i="1"/>
  <c r="CD379" i="1"/>
  <c r="AP377" i="1"/>
  <c r="DF374" i="1"/>
  <c r="BR372" i="1"/>
  <c r="AD370" i="1"/>
  <c r="CT367" i="1"/>
  <c r="Y404" i="1"/>
  <c r="CO401" i="1"/>
  <c r="BA399" i="1"/>
  <c r="M397" i="1"/>
  <c r="CC394" i="1"/>
  <c r="AO392" i="1"/>
  <c r="DE389" i="1"/>
  <c r="BQ387" i="1"/>
  <c r="AC385" i="1"/>
  <c r="CS382" i="1"/>
  <c r="BE380" i="1"/>
  <c r="Q378" i="1"/>
  <c r="CG375" i="1"/>
  <c r="AS373" i="1"/>
  <c r="DI370" i="1"/>
  <c r="I369" i="1"/>
  <c r="AB404" i="1"/>
  <c r="CR401" i="1"/>
  <c r="BD399" i="1"/>
  <c r="P397" i="1"/>
  <c r="CF394" i="1"/>
  <c r="AR392" i="1"/>
  <c r="DH389" i="1"/>
  <c r="BT387" i="1"/>
  <c r="AF385" i="1"/>
  <c r="CV382" i="1"/>
  <c r="BH380" i="1"/>
  <c r="T378" i="1"/>
  <c r="CJ375" i="1"/>
  <c r="AV373" i="1"/>
  <c r="H371" i="1"/>
  <c r="BX368" i="1"/>
  <c r="CS365" i="1"/>
  <c r="BE363" i="1"/>
  <c r="Q361" i="1"/>
  <c r="CG358" i="1"/>
  <c r="AS356" i="1"/>
  <c r="DI353" i="1"/>
  <c r="BU351" i="1"/>
  <c r="AG349" i="1"/>
  <c r="CW346" i="1"/>
  <c r="BI344" i="1"/>
  <c r="U342" i="1"/>
  <c r="CK339" i="1"/>
  <c r="AW337" i="1"/>
  <c r="I335" i="1"/>
  <c r="BY332" i="1"/>
  <c r="AK330" i="1"/>
  <c r="DA327" i="1"/>
  <c r="BM325" i="1"/>
  <c r="Y323" i="1"/>
  <c r="CO320" i="1"/>
  <c r="BA318" i="1"/>
  <c r="M316" i="1"/>
  <c r="CC313" i="1"/>
  <c r="AO311" i="1"/>
  <c r="DE308" i="1"/>
  <c r="BQ306" i="1"/>
  <c r="AC304" i="1"/>
  <c r="CS301" i="1"/>
  <c r="BE299" i="1"/>
  <c r="Q297" i="1"/>
  <c r="CG294" i="1"/>
  <c r="BL365" i="1"/>
  <c r="X363" i="1"/>
  <c r="CN360" i="1"/>
  <c r="AZ358" i="1"/>
  <c r="L356" i="1"/>
  <c r="CB353" i="1"/>
  <c r="AN351" i="1"/>
  <c r="DD348" i="1"/>
  <c r="BP346" i="1"/>
  <c r="AB344" i="1"/>
  <c r="CR341" i="1"/>
  <c r="BD339" i="1"/>
  <c r="P337" i="1"/>
  <c r="CF334" i="1"/>
  <c r="AR332" i="1"/>
  <c r="DH329" i="1"/>
  <c r="BT327" i="1"/>
  <c r="AF325" i="1"/>
  <c r="CV322" i="1"/>
  <c r="BH320" i="1"/>
  <c r="T318" i="1"/>
  <c r="CJ315" i="1"/>
  <c r="AV313" i="1"/>
  <c r="H311" i="1"/>
  <c r="AM443" i="1"/>
  <c r="AX470" i="1"/>
  <c r="CH446" i="1"/>
  <c r="CZ427" i="1"/>
  <c r="DD408" i="1"/>
  <c r="DC426" i="1"/>
  <c r="DG407" i="1"/>
  <c r="DE588" i="1"/>
  <c r="BM583" i="1"/>
  <c r="AY562" i="1"/>
  <c r="CD551" i="1"/>
  <c r="BJ555" i="1"/>
  <c r="AP555" i="1"/>
  <c r="AP552" i="1"/>
  <c r="CN522" i="1"/>
  <c r="DH524" i="1"/>
  <c r="CV522" i="1"/>
  <c r="CB522" i="1"/>
  <c r="AA509" i="1"/>
  <c r="Q509" i="1"/>
  <c r="AY508" i="1"/>
  <c r="CL499" i="1"/>
  <c r="CG499" i="1"/>
  <c r="CU565" i="1"/>
  <c r="DF540" i="1"/>
  <c r="DG527" i="1"/>
  <c r="AA494" i="1"/>
  <c r="BQ519" i="1"/>
  <c r="AT481" i="1"/>
  <c r="AU513" i="1"/>
  <c r="AK513" i="1"/>
  <c r="CS477" i="1"/>
  <c r="BC464" i="1"/>
  <c r="CW455" i="1"/>
  <c r="BK467" i="1"/>
  <c r="H496" i="1"/>
  <c r="Y453" i="1"/>
  <c r="T448" i="1"/>
  <c r="BX480" i="1"/>
  <c r="BM472" i="1"/>
  <c r="CR472" i="1"/>
  <c r="AR443" i="1"/>
  <c r="G451" i="1"/>
  <c r="CP473" i="1"/>
  <c r="CB441" i="1"/>
  <c r="BX416" i="1"/>
  <c r="AI428" i="1"/>
  <c r="BZ440" i="1"/>
  <c r="DB419" i="1"/>
  <c r="CS438" i="1"/>
  <c r="CX451" i="1"/>
  <c r="L433" i="1"/>
  <c r="P414" i="1"/>
  <c r="O432" i="1"/>
  <c r="S413" i="1"/>
  <c r="J432" i="1"/>
  <c r="N413" i="1"/>
  <c r="CH467" i="1"/>
  <c r="BR444" i="1"/>
  <c r="CJ425" i="1"/>
  <c r="CN406" i="1"/>
  <c r="CM424" i="1"/>
  <c r="CQ405" i="1"/>
  <c r="CH424" i="1"/>
  <c r="CL405" i="1"/>
  <c r="BN460" i="1"/>
  <c r="CR440" i="1"/>
  <c r="CV421" i="1"/>
  <c r="CU439" i="1"/>
  <c r="BW425" i="1"/>
  <c r="K413" i="1"/>
  <c r="Z438" i="1"/>
  <c r="AH412" i="1"/>
  <c r="CS570" i="1"/>
  <c r="AC543" i="1"/>
  <c r="AT523" i="1"/>
  <c r="BZ480" i="1"/>
  <c r="AY493" i="1"/>
  <c r="AO493" i="1"/>
  <c r="BC487" i="1"/>
  <c r="AS487" i="1"/>
  <c r="CW446" i="1"/>
  <c r="AL473" i="1"/>
  <c r="CJ464" i="1"/>
  <c r="CA451" i="1"/>
  <c r="T483" i="1"/>
  <c r="L478" i="1"/>
  <c r="CY470" i="1"/>
  <c r="BX498" i="1"/>
  <c r="BY455" i="1"/>
  <c r="BD462" i="1"/>
  <c r="CE470" i="1"/>
  <c r="BB480" i="1"/>
  <c r="CL459" i="1"/>
  <c r="AV433" i="1"/>
  <c r="AR408" i="1"/>
  <c r="DG419" i="1"/>
  <c r="CP432" i="1"/>
  <c r="CT413" i="1"/>
  <c r="AT469" i="1"/>
  <c r="CP445" i="1"/>
  <c r="DH426" i="1"/>
  <c r="H408" i="1"/>
  <c r="G426" i="1"/>
  <c r="K407" i="1"/>
  <c r="DF425" i="1"/>
  <c r="F407" i="1"/>
  <c r="BJ458" i="1"/>
  <c r="BX438" i="1"/>
  <c r="CB419" i="1"/>
  <c r="CA437" i="1"/>
  <c r="CE418" i="1"/>
  <c r="BV437" i="1"/>
  <c r="BZ418" i="1"/>
  <c r="BQ437" i="1"/>
  <c r="BR453" i="1"/>
  <c r="CJ434" i="1"/>
  <c r="CN415" i="1"/>
  <c r="O434" i="1"/>
  <c r="CP546" i="1"/>
  <c r="AU537" i="1"/>
  <c r="AM504" i="1"/>
  <c r="AC497" i="1"/>
  <c r="CM483" i="1"/>
  <c r="CC483" i="1"/>
  <c r="CD515" i="1"/>
  <c r="BH515" i="1"/>
  <c r="DH473" i="1"/>
  <c r="AF501" i="1"/>
  <c r="BX453" i="1"/>
  <c r="CM446" i="1"/>
  <c r="AC478" i="1"/>
  <c r="AJ472" i="1"/>
  <c r="DG464" i="1"/>
  <c r="CJ493" i="1"/>
  <c r="DA458" i="1"/>
  <c r="AB479" i="1"/>
  <c r="BX463" i="1"/>
  <c r="T449" i="1"/>
  <c r="DC472" i="1"/>
  <c r="BK457" i="1"/>
  <c r="CY443" i="1"/>
  <c r="CL465" i="1"/>
  <c r="DF460" i="1"/>
  <c r="AP447" i="1"/>
  <c r="BP434" i="1"/>
  <c r="T422" i="1"/>
  <c r="BL409" i="1"/>
  <c r="BS433" i="1"/>
  <c r="W421" i="1"/>
  <c r="BO408" i="1"/>
  <c r="BN433" i="1"/>
  <c r="N424" i="1"/>
  <c r="BR414" i="1"/>
  <c r="R405" i="1"/>
  <c r="AP470" i="1"/>
  <c r="N457" i="1"/>
  <c r="BN446" i="1"/>
  <c r="AB437" i="1"/>
  <c r="CF427" i="1"/>
  <c r="AF418" i="1"/>
  <c r="CJ408" i="1"/>
  <c r="AE436" i="1"/>
  <c r="CI426" i="1"/>
  <c r="AI417" i="1"/>
  <c r="CM407" i="1"/>
  <c r="S542" i="1"/>
  <c r="CK518" i="1"/>
  <c r="AM486" i="1"/>
  <c r="AD518" i="1"/>
  <c r="BL477" i="1"/>
  <c r="BP455" i="1"/>
  <c r="BM479" i="1"/>
  <c r="AQ467" i="1"/>
  <c r="Q452" i="1"/>
  <c r="AQ468" i="1"/>
  <c r="AX457" i="1"/>
  <c r="DH405" i="1"/>
  <c r="J431" i="1"/>
  <c r="F467" i="1"/>
  <c r="AB425" i="1"/>
  <c r="AE424" i="1"/>
  <c r="BF432" i="1"/>
  <c r="BJ413" i="1"/>
  <c r="AP468" i="1"/>
  <c r="J445" i="1"/>
  <c r="AB426" i="1"/>
  <c r="AF407" i="1"/>
  <c r="AE425" i="1"/>
  <c r="AI406" i="1"/>
  <c r="Z425" i="1"/>
  <c r="AD406" i="1"/>
  <c r="J462" i="1"/>
  <c r="AJ441" i="1"/>
  <c r="AN422" i="1"/>
  <c r="AM440" i="1"/>
  <c r="CU427" i="1"/>
  <c r="BO419" i="1"/>
  <c r="DG410" i="1"/>
  <c r="AX440" i="1"/>
  <c r="R432" i="1"/>
  <c r="BA442" i="1"/>
  <c r="BU430" i="1"/>
  <c r="BQ425" i="1"/>
  <c r="CS420" i="1"/>
  <c r="Q416" i="1"/>
  <c r="AS411" i="1"/>
  <c r="BU406" i="1"/>
  <c r="O402" i="1"/>
  <c r="AQ397" i="1"/>
  <c r="BS392" i="1"/>
  <c r="CU387" i="1"/>
  <c r="S383" i="1"/>
  <c r="AU378" i="1"/>
  <c r="BW373" i="1"/>
  <c r="CY368" i="1"/>
  <c r="N403" i="1"/>
  <c r="AP398" i="1"/>
  <c r="BR393" i="1"/>
  <c r="CT388" i="1"/>
  <c r="R384" i="1"/>
  <c r="AT379" i="1"/>
  <c r="BV374" i="1"/>
  <c r="CX369" i="1"/>
  <c r="CS403" i="1"/>
  <c r="Q399" i="1"/>
  <c r="AS394" i="1"/>
  <c r="BU389" i="1"/>
  <c r="CW384" i="1"/>
  <c r="U380" i="1"/>
  <c r="AW375" i="1"/>
  <c r="AT423" i="1"/>
  <c r="AK442" i="1"/>
  <c r="BY432" i="1"/>
  <c r="DA427" i="1"/>
  <c r="Y423" i="1"/>
  <c r="BA418" i="1"/>
  <c r="CC413" i="1"/>
  <c r="DE408" i="1"/>
  <c r="AY404" i="1"/>
  <c r="CA399" i="1"/>
  <c r="DC394" i="1"/>
  <c r="AA390" i="1"/>
  <c r="BC385" i="1"/>
  <c r="CE380" i="1"/>
  <c r="DG375" i="1"/>
  <c r="AE371" i="1"/>
  <c r="BG366" i="1"/>
  <c r="BZ400" i="1"/>
  <c r="DB395" i="1"/>
  <c r="Z391" i="1"/>
  <c r="BB386" i="1"/>
  <c r="CD381" i="1"/>
  <c r="DF376" i="1"/>
  <c r="AD372" i="1"/>
  <c r="BF367" i="1"/>
  <c r="BA401" i="1"/>
  <c r="CC396" i="1"/>
  <c r="DE391" i="1"/>
  <c r="AC387" i="1"/>
  <c r="BE382" i="1"/>
  <c r="CG377" i="1"/>
  <c r="DI372" i="1"/>
  <c r="BV422" i="1"/>
  <c r="BM441" i="1"/>
  <c r="BE432" i="1"/>
  <c r="CG427" i="1"/>
  <c r="DI422" i="1"/>
  <c r="AG418" i="1"/>
  <c r="BI413" i="1"/>
  <c r="CK408" i="1"/>
  <c r="AE404" i="1"/>
  <c r="BG399" i="1"/>
  <c r="CI394" i="1"/>
  <c r="G390" i="1"/>
  <c r="AI385" i="1"/>
  <c r="BK380" i="1"/>
  <c r="CM375" i="1"/>
  <c r="K371" i="1"/>
  <c r="CV405" i="1"/>
  <c r="BF400" i="1"/>
  <c r="CH395" i="1"/>
  <c r="F391" i="1"/>
  <c r="AH386" i="1"/>
  <c r="BJ381" i="1"/>
  <c r="CL376" i="1"/>
  <c r="AX374" i="1"/>
  <c r="J372" i="1"/>
  <c r="BZ369" i="1"/>
  <c r="AL367" i="1"/>
  <c r="BU403" i="1"/>
  <c r="AG401" i="1"/>
  <c r="CW398" i="1"/>
  <c r="BI396" i="1"/>
  <c r="U394" i="1"/>
  <c r="CK391" i="1"/>
  <c r="AW389" i="1"/>
  <c r="I387" i="1"/>
  <c r="BY384" i="1"/>
  <c r="AR586" i="1"/>
  <c r="CX545" i="1"/>
  <c r="CQ534" i="1"/>
  <c r="BE499" i="1"/>
  <c r="BV519" i="1"/>
  <c r="BF500" i="1"/>
  <c r="CG532" i="1"/>
  <c r="BJ494" i="1"/>
  <c r="DH496" i="1"/>
  <c r="CN448" i="1"/>
  <c r="I480" i="1"/>
  <c r="O479" i="1"/>
  <c r="BX505" i="1"/>
  <c r="CG464" i="1"/>
  <c r="BX458" i="1"/>
  <c r="BK452" i="1"/>
  <c r="AF483" i="1"/>
  <c r="AV480" i="1"/>
  <c r="AN450" i="1"/>
  <c r="CE458" i="1"/>
  <c r="F468" i="1"/>
  <c r="BJ448" i="1"/>
  <c r="AN423" i="1"/>
  <c r="CM434" i="1"/>
  <c r="CI409" i="1"/>
  <c r="R425" i="1"/>
  <c r="V406" i="1"/>
  <c r="R458" i="1"/>
  <c r="AF438" i="1"/>
  <c r="AJ419" i="1"/>
  <c r="AI437" i="1"/>
  <c r="AM418" i="1"/>
  <c r="BN438" i="1"/>
  <c r="N429" i="1"/>
  <c r="BR419" i="1"/>
  <c r="R410" i="1"/>
  <c r="BI438" i="1"/>
  <c r="CL462" i="1"/>
  <c r="R451" i="1"/>
  <c r="CJ441" i="1"/>
  <c r="AJ432" i="1"/>
  <c r="CN422" i="1"/>
  <c r="AN413" i="1"/>
  <c r="CM440" i="1"/>
  <c r="AM431" i="1"/>
  <c r="CQ421" i="1"/>
  <c r="AQ412" i="1"/>
  <c r="CH440" i="1"/>
  <c r="AH431" i="1"/>
  <c r="CL421" i="1"/>
  <c r="AL412" i="1"/>
  <c r="CC440" i="1"/>
  <c r="N472" i="1"/>
  <c r="BR457" i="1"/>
  <c r="AD447" i="1"/>
  <c r="CV437" i="1"/>
  <c r="AV428" i="1"/>
  <c r="CZ418" i="1"/>
  <c r="AZ409" i="1"/>
  <c r="CY436" i="1"/>
  <c r="CQ430" i="1"/>
  <c r="CA426" i="1"/>
  <c r="AE422" i="1"/>
  <c r="O418" i="1"/>
  <c r="DC413" i="1"/>
  <c r="BW409" i="1"/>
  <c r="BG405" i="1"/>
  <c r="AD439" i="1"/>
  <c r="DB434" i="1"/>
  <c r="CL430" i="1"/>
  <c r="AX416" i="1"/>
  <c r="CG436" i="1"/>
  <c r="CS432" i="1"/>
  <c r="CG429" i="1"/>
  <c r="AC427" i="1"/>
  <c r="CS424" i="1"/>
  <c r="BE422" i="1"/>
  <c r="Q420" i="1"/>
  <c r="CG417" i="1"/>
  <c r="AS415" i="1"/>
  <c r="DI412" i="1"/>
  <c r="BU410" i="1"/>
  <c r="AG408" i="1"/>
  <c r="CW405" i="1"/>
  <c r="CE403" i="1"/>
  <c r="AQ401" i="1"/>
  <c r="DG398" i="1"/>
  <c r="BS396" i="1"/>
  <c r="AE394" i="1"/>
  <c r="CU391" i="1"/>
  <c r="BG389" i="1"/>
  <c r="S387" i="1"/>
  <c r="CI384" i="1"/>
  <c r="AU382" i="1"/>
  <c r="G380" i="1"/>
  <c r="BW377" i="1"/>
  <c r="AI375" i="1"/>
  <c r="CY372" i="1"/>
  <c r="BK370" i="1"/>
  <c r="W368" i="1"/>
  <c r="CD404" i="1"/>
  <c r="AP402" i="1"/>
  <c r="DF399" i="1"/>
  <c r="BR397" i="1"/>
  <c r="AD395" i="1"/>
  <c r="CT392" i="1"/>
  <c r="BF390" i="1"/>
  <c r="R388" i="1"/>
  <c r="CH385" i="1"/>
  <c r="AT383" i="1"/>
  <c r="F381" i="1"/>
  <c r="BV378" i="1"/>
  <c r="AH376" i="1"/>
  <c r="CX373" i="1"/>
  <c r="BJ371" i="1"/>
  <c r="V369" i="1"/>
  <c r="CL366" i="1"/>
  <c r="Q403" i="1"/>
  <c r="CG400" i="1"/>
  <c r="AS398" i="1"/>
  <c r="DI395" i="1"/>
  <c r="BU393" i="1"/>
  <c r="AG391" i="1"/>
  <c r="CW388" i="1"/>
  <c r="BI386" i="1"/>
  <c r="U384" i="1"/>
  <c r="CK381" i="1"/>
  <c r="AW379" i="1"/>
  <c r="I377" i="1"/>
  <c r="BY374" i="1"/>
  <c r="CX429" i="1"/>
  <c r="AX420" i="1"/>
  <c r="DB410" i="1"/>
  <c r="AO439" i="1"/>
  <c r="BA434" i="1"/>
  <c r="DA431" i="1"/>
  <c r="BM429" i="1"/>
  <c r="Y427" i="1"/>
  <c r="CO424" i="1"/>
  <c r="BA422" i="1"/>
  <c r="M420" i="1"/>
  <c r="CC417" i="1"/>
  <c r="AO415" i="1"/>
  <c r="DE412" i="1"/>
  <c r="BQ410" i="1"/>
  <c r="AC408" i="1"/>
  <c r="CS405" i="1"/>
  <c r="CA403" i="1"/>
  <c r="AM401" i="1"/>
  <c r="DC398" i="1"/>
  <c r="BO396" i="1"/>
  <c r="AA394" i="1"/>
  <c r="CQ391" i="1"/>
  <c r="BC389" i="1"/>
  <c r="O387" i="1"/>
  <c r="CE384" i="1"/>
  <c r="AQ382" i="1"/>
  <c r="DG379" i="1"/>
  <c r="BS377" i="1"/>
  <c r="AE375" i="1"/>
  <c r="CU372" i="1"/>
  <c r="BG370" i="1"/>
  <c r="S368" i="1"/>
  <c r="BZ404" i="1"/>
  <c r="AL402" i="1"/>
  <c r="DB399" i="1"/>
  <c r="BN397" i="1"/>
  <c r="Z395" i="1"/>
  <c r="CP392" i="1"/>
  <c r="BB390" i="1"/>
  <c r="N388" i="1"/>
  <c r="CD385" i="1"/>
  <c r="AP383" i="1"/>
  <c r="DF380" i="1"/>
  <c r="BR378" i="1"/>
  <c r="AD376" i="1"/>
  <c r="CT373" i="1"/>
  <c r="BF371" i="1"/>
  <c r="R369" i="1"/>
  <c r="CH366" i="1"/>
  <c r="M403" i="1"/>
  <c r="CC400" i="1"/>
  <c r="AO398" i="1"/>
  <c r="DE395" i="1"/>
  <c r="BQ393" i="1"/>
  <c r="AC391" i="1"/>
  <c r="CS388" i="1"/>
  <c r="BE386" i="1"/>
  <c r="Q384" i="1"/>
  <c r="CG381" i="1"/>
  <c r="AS379" i="1"/>
  <c r="DI376" i="1"/>
  <c r="BU374" i="1"/>
  <c r="AG372" i="1"/>
  <c r="V429" i="1"/>
  <c r="BZ419" i="1"/>
  <c r="Z410" i="1"/>
  <c r="BQ438" i="1"/>
  <c r="AC434" i="1"/>
  <c r="CG431" i="1"/>
  <c r="AS429" i="1"/>
  <c r="DI426" i="1"/>
  <c r="BU424" i="1"/>
  <c r="AG422" i="1"/>
  <c r="CW419" i="1"/>
  <c r="BI417" i="1"/>
  <c r="U415" i="1"/>
  <c r="CK412" i="1"/>
  <c r="AW410" i="1"/>
  <c r="I408" i="1"/>
  <c r="BY405" i="1"/>
  <c r="BG403" i="1"/>
  <c r="S401" i="1"/>
  <c r="CI398" i="1"/>
  <c r="AU396" i="1"/>
  <c r="G394" i="1"/>
  <c r="BW391" i="1"/>
  <c r="AI389" i="1"/>
  <c r="CY386" i="1"/>
  <c r="BK384" i="1"/>
  <c r="W382" i="1"/>
  <c r="CM379" i="1"/>
  <c r="AY377" i="1"/>
  <c r="K375" i="1"/>
  <c r="CA372" i="1"/>
  <c r="AM370" i="1"/>
  <c r="DC367" i="1"/>
  <c r="BF404" i="1"/>
  <c r="R402" i="1"/>
  <c r="CH399" i="1"/>
  <c r="AT397" i="1"/>
  <c r="F395" i="1"/>
  <c r="BV392" i="1"/>
  <c r="AH390" i="1"/>
  <c r="CX387" i="1"/>
  <c r="BJ385" i="1"/>
  <c r="V383" i="1"/>
  <c r="CL380" i="1"/>
  <c r="AX378" i="1"/>
  <c r="J376" i="1"/>
  <c r="BZ373" i="1"/>
  <c r="AL371" i="1"/>
  <c r="DB368" i="1"/>
  <c r="BN366" i="1"/>
  <c r="CW402" i="1"/>
  <c r="BI400" i="1"/>
  <c r="U398" i="1"/>
  <c r="CK395" i="1"/>
  <c r="AW393" i="1"/>
  <c r="I391" i="1"/>
  <c r="BY388" i="1"/>
  <c r="AK386" i="1"/>
  <c r="DA383" i="1"/>
  <c r="BM381" i="1"/>
  <c r="Y379" i="1"/>
  <c r="CO376" i="1"/>
  <c r="AU581" i="1"/>
  <c r="BR562" i="1"/>
  <c r="J533" i="1"/>
  <c r="BC485" i="1"/>
  <c r="CI514" i="1"/>
  <c r="BY514" i="1"/>
  <c r="CM508" i="1"/>
  <c r="CC508" i="1"/>
  <c r="AC472" i="1"/>
  <c r="CQ458" i="1"/>
  <c r="AK451" i="1"/>
  <c r="AI464" i="1"/>
  <c r="CN493" i="1"/>
  <c r="DE450" i="1"/>
  <c r="CZ445" i="1"/>
  <c r="CB511" i="1"/>
  <c r="AK469" i="1"/>
  <c r="BT470" i="1"/>
  <c r="CY479" i="1"/>
  <c r="CQ449" i="1"/>
  <c r="BR470" i="1"/>
  <c r="BH440" i="1"/>
  <c r="BD415" i="1"/>
  <c r="O427" i="1"/>
  <c r="BF439" i="1"/>
  <c r="Z419" i="1"/>
  <c r="Q438" i="1"/>
  <c r="V451" i="1"/>
  <c r="AN432" i="1"/>
  <c r="AR413" i="1"/>
  <c r="AQ431" i="1"/>
  <c r="AU412" i="1"/>
  <c r="J436" i="1"/>
  <c r="BN426" i="1"/>
  <c r="N417" i="1"/>
  <c r="BR407" i="1"/>
  <c r="V475" i="1"/>
  <c r="R459" i="1"/>
  <c r="BR448" i="1"/>
  <c r="AF439" i="1"/>
  <c r="CJ429" i="1"/>
  <c r="AJ420" i="1"/>
  <c r="CN410" i="1"/>
  <c r="AI438" i="1"/>
  <c r="CM428" i="1"/>
  <c r="AM419" i="1"/>
  <c r="CQ409" i="1"/>
  <c r="AD438" i="1"/>
  <c r="CH428" i="1"/>
  <c r="AH419" i="1"/>
  <c r="CL409" i="1"/>
  <c r="Y438" i="1"/>
  <c r="BZ467" i="1"/>
  <c r="Z454" i="1"/>
  <c r="CD444" i="1"/>
  <c r="AR435" i="1"/>
  <c r="CV425" i="1"/>
  <c r="AV416" i="1"/>
  <c r="CZ406" i="1"/>
  <c r="BK434" i="1"/>
  <c r="AQ429" i="1"/>
  <c r="AA425" i="1"/>
  <c r="K421" i="1"/>
  <c r="CI416" i="1"/>
  <c r="BS412" i="1"/>
  <c r="BC408" i="1"/>
  <c r="J442" i="1"/>
  <c r="CX437" i="1"/>
  <c r="CH433" i="1"/>
  <c r="N427" i="1"/>
  <c r="BF410" i="1"/>
  <c r="BE435" i="1"/>
  <c r="CO431" i="1"/>
  <c r="CS428" i="1"/>
  <c r="BE426" i="1"/>
  <c r="Q424" i="1"/>
  <c r="CG421" i="1"/>
  <c r="AS419" i="1"/>
  <c r="DI416" i="1"/>
  <c r="BU414" i="1"/>
  <c r="AG412" i="1"/>
  <c r="CW409" i="1"/>
  <c r="BI407" i="1"/>
  <c r="U405" i="1"/>
  <c r="DG402" i="1"/>
  <c r="BS400" i="1"/>
  <c r="AE398" i="1"/>
  <c r="CU395" i="1"/>
  <c r="BG393" i="1"/>
  <c r="S391" i="1"/>
  <c r="CI388" i="1"/>
  <c r="AU386" i="1"/>
  <c r="G384" i="1"/>
  <c r="BW381" i="1"/>
  <c r="AI379" i="1"/>
  <c r="CY376" i="1"/>
  <c r="BK374" i="1"/>
  <c r="W372" i="1"/>
  <c r="CM369" i="1"/>
  <c r="AY367" i="1"/>
  <c r="DF403" i="1"/>
  <c r="BR401" i="1"/>
  <c r="AD399" i="1"/>
  <c r="CT396" i="1"/>
  <c r="BF394" i="1"/>
  <c r="R392" i="1"/>
  <c r="CH389" i="1"/>
  <c r="AT387" i="1"/>
  <c r="F385" i="1"/>
  <c r="BV382" i="1"/>
  <c r="AH380" i="1"/>
  <c r="CX377" i="1"/>
  <c r="BJ375" i="1"/>
  <c r="V373" i="1"/>
  <c r="CL370" i="1"/>
  <c r="AX368" i="1"/>
  <c r="CG404" i="1"/>
  <c r="AS402" i="1"/>
  <c r="DI399" i="1"/>
  <c r="BU397" i="1"/>
  <c r="AG395" i="1"/>
  <c r="CW392" i="1"/>
  <c r="BI390" i="1"/>
  <c r="U388" i="1"/>
  <c r="CK385" i="1"/>
  <c r="AW383" i="1"/>
  <c r="I381" i="1"/>
  <c r="BY378" i="1"/>
  <c r="AK376" i="1"/>
  <c r="DA373" i="1"/>
  <c r="DB426" i="1"/>
  <c r="BB417" i="1"/>
  <c r="DF407" i="1"/>
  <c r="BY436" i="1"/>
  <c r="BM433" i="1"/>
  <c r="Y431" i="1"/>
  <c r="CO428" i="1"/>
  <c r="BA426" i="1"/>
  <c r="M424" i="1"/>
  <c r="CC421" i="1"/>
  <c r="AO419" i="1"/>
  <c r="DE416" i="1"/>
  <c r="BQ414" i="1"/>
  <c r="AC412" i="1"/>
  <c r="CS409" i="1"/>
  <c r="BE407" i="1"/>
  <c r="Q405" i="1"/>
  <c r="DC402" i="1"/>
  <c r="BO400" i="1"/>
  <c r="AA398" i="1"/>
  <c r="CQ395" i="1"/>
  <c r="BC393" i="1"/>
  <c r="O391" i="1"/>
  <c r="CE388" i="1"/>
  <c r="AQ386" i="1"/>
  <c r="DG383" i="1"/>
  <c r="BS381" i="1"/>
  <c r="AE379" i="1"/>
  <c r="CU376" i="1"/>
  <c r="BG374" i="1"/>
  <c r="S372" i="1"/>
  <c r="CI369" i="1"/>
  <c r="AU367" i="1"/>
  <c r="DB403" i="1"/>
  <c r="BN401" i="1"/>
  <c r="Z399" i="1"/>
  <c r="CP396" i="1"/>
  <c r="BB394" i="1"/>
  <c r="N392" i="1"/>
  <c r="CD389" i="1"/>
  <c r="AP387" i="1"/>
  <c r="DF384" i="1"/>
  <c r="BR382" i="1"/>
  <c r="AD380" i="1"/>
  <c r="CT377" i="1"/>
  <c r="BF375" i="1"/>
  <c r="R373" i="1"/>
  <c r="CH370" i="1"/>
  <c r="AT368" i="1"/>
  <c r="CC404" i="1"/>
  <c r="AO402" i="1"/>
  <c r="DE399" i="1"/>
  <c r="BQ397" i="1"/>
  <c r="AC395" i="1"/>
  <c r="CS392" i="1"/>
  <c r="BE390" i="1"/>
  <c r="Q388" i="1"/>
  <c r="CG385" i="1"/>
  <c r="AS383" i="1"/>
  <c r="DI380" i="1"/>
  <c r="BU378" i="1"/>
  <c r="AG376" i="1"/>
  <c r="CW373" i="1"/>
  <c r="BI371" i="1"/>
  <c r="Z426" i="1"/>
  <c r="CD416" i="1"/>
  <c r="AD407" i="1"/>
  <c r="AS436" i="1"/>
  <c r="AS433" i="1"/>
  <c r="DI430" i="1"/>
  <c r="BU428" i="1"/>
  <c r="AG426" i="1"/>
  <c r="CW423" i="1"/>
  <c r="BI421" i="1"/>
  <c r="U419" i="1"/>
  <c r="CK416" i="1"/>
  <c r="AW414" i="1"/>
  <c r="I412" i="1"/>
  <c r="BY409" i="1"/>
  <c r="AK407" i="1"/>
  <c r="BD405" i="1"/>
  <c r="CI402" i="1"/>
  <c r="AU400" i="1"/>
  <c r="G398" i="1"/>
  <c r="BW395" i="1"/>
  <c r="AI393" i="1"/>
  <c r="CY390" i="1"/>
  <c r="BK388" i="1"/>
  <c r="W386" i="1"/>
  <c r="CM383" i="1"/>
  <c r="AY381" i="1"/>
  <c r="K379" i="1"/>
  <c r="CA376" i="1"/>
  <c r="AM374" i="1"/>
  <c r="DC371" i="1"/>
  <c r="BO369" i="1"/>
  <c r="AA367" i="1"/>
  <c r="CH403" i="1"/>
  <c r="AT401" i="1"/>
  <c r="F399" i="1"/>
  <c r="BV396" i="1"/>
  <c r="AH394" i="1"/>
  <c r="CX391" i="1"/>
  <c r="BJ389" i="1"/>
  <c r="V387" i="1"/>
  <c r="CL384" i="1"/>
  <c r="AX382" i="1"/>
  <c r="J380" i="1"/>
  <c r="BZ377" i="1"/>
  <c r="AL375" i="1"/>
  <c r="DB372" i="1"/>
  <c r="BN370" i="1"/>
  <c r="Z368" i="1"/>
  <c r="BI404" i="1"/>
  <c r="U402" i="1"/>
  <c r="CK399" i="1"/>
  <c r="AW397" i="1"/>
  <c r="I395" i="1"/>
  <c r="BY392" i="1"/>
  <c r="AK390" i="1"/>
  <c r="DA387" i="1"/>
  <c r="BM385" i="1"/>
  <c r="Y383" i="1"/>
  <c r="CO380" i="1"/>
  <c r="BA378" i="1"/>
  <c r="M376" i="1"/>
  <c r="AF551" i="1"/>
  <c r="AG523" i="1"/>
  <c r="BU468" i="1"/>
  <c r="H453" i="1"/>
  <c r="CZ446" i="1"/>
  <c r="AB420" i="1"/>
  <c r="BY441" i="1"/>
  <c r="CY434" i="1"/>
  <c r="AX418" i="1"/>
  <c r="DB449" i="1"/>
  <c r="T412" i="1"/>
  <c r="W411" i="1"/>
  <c r="R411" i="1"/>
  <c r="J446" i="1"/>
  <c r="AF408" i="1"/>
  <c r="DC421" i="1"/>
  <c r="CM442" i="1"/>
  <c r="J414" i="1"/>
  <c r="DA426" i="1"/>
  <c r="BA417" i="1"/>
  <c r="DE407" i="1"/>
  <c r="CA398" i="1"/>
  <c r="AA389" i="1"/>
  <c r="CE379" i="1"/>
  <c r="AE370" i="1"/>
  <c r="BZ399" i="1"/>
  <c r="Z390" i="1"/>
  <c r="CD380" i="1"/>
  <c r="AD371" i="1"/>
  <c r="BA400" i="1"/>
  <c r="DE390" i="1"/>
  <c r="BE381" i="1"/>
  <c r="CD428" i="1"/>
  <c r="M434" i="1"/>
  <c r="BI424" i="1"/>
  <c r="I415" i="1"/>
  <c r="BM405" i="1"/>
  <c r="AI396" i="1"/>
  <c r="CM386" i="1"/>
  <c r="AM377" i="1"/>
  <c r="CQ367" i="1"/>
  <c r="AH397" i="1"/>
  <c r="CL387" i="1"/>
  <c r="AL378" i="1"/>
  <c r="CP368" i="1"/>
  <c r="I398" i="1"/>
  <c r="BM388" i="1"/>
  <c r="M379" i="1"/>
  <c r="DF427" i="1"/>
  <c r="CO433" i="1"/>
  <c r="AO424" i="1"/>
  <c r="CS414" i="1"/>
  <c r="AS405" i="1"/>
  <c r="O396" i="1"/>
  <c r="BS386" i="1"/>
  <c r="S377" i="1"/>
  <c r="BW367" i="1"/>
  <c r="N397" i="1"/>
  <c r="BR387" i="1"/>
  <c r="R378" i="1"/>
  <c r="BV368" i="1"/>
  <c r="CS397" i="1"/>
  <c r="AS388" i="1"/>
  <c r="BY380" i="1"/>
  <c r="DA375" i="1"/>
  <c r="AG373" i="1"/>
  <c r="CW370" i="1"/>
  <c r="BI368" i="1"/>
  <c r="BZ423" i="1"/>
  <c r="Z414" i="1"/>
  <c r="BQ442" i="1"/>
  <c r="BM435" i="1"/>
  <c r="CG432" i="1"/>
  <c r="AS430" i="1"/>
  <c r="DI427" i="1"/>
  <c r="BU425" i="1"/>
  <c r="AG423" i="1"/>
  <c r="CW420" i="1"/>
  <c r="BI418" i="1"/>
  <c r="U416" i="1"/>
  <c r="CK413" i="1"/>
  <c r="AW411" i="1"/>
  <c r="I409" i="1"/>
  <c r="BY406" i="1"/>
  <c r="BG404" i="1"/>
  <c r="S402" i="1"/>
  <c r="CI399" i="1"/>
  <c r="AU397" i="1"/>
  <c r="G395" i="1"/>
  <c r="BW392" i="1"/>
  <c r="AI390" i="1"/>
  <c r="CY387" i="1"/>
  <c r="BK385" i="1"/>
  <c r="W383" i="1"/>
  <c r="CM380" i="1"/>
  <c r="AY378" i="1"/>
  <c r="K376" i="1"/>
  <c r="CA373" i="1"/>
  <c r="AM371" i="1"/>
  <c r="DC368" i="1"/>
  <c r="BO366" i="1"/>
  <c r="R403" i="1"/>
  <c r="CH400" i="1"/>
  <c r="AT398" i="1"/>
  <c r="F396" i="1"/>
  <c r="BV393" i="1"/>
  <c r="AH391" i="1"/>
  <c r="CX388" i="1"/>
  <c r="BJ386" i="1"/>
  <c r="V384" i="1"/>
  <c r="CL381" i="1"/>
  <c r="AX379" i="1"/>
  <c r="J377" i="1"/>
  <c r="BZ374" i="1"/>
  <c r="AL372" i="1"/>
  <c r="DB369" i="1"/>
  <c r="BN367" i="1"/>
  <c r="CW403" i="1"/>
  <c r="BI401" i="1"/>
  <c r="U399" i="1"/>
  <c r="CK396" i="1"/>
  <c r="AW394" i="1"/>
  <c r="I392" i="1"/>
  <c r="BY389" i="1"/>
  <c r="AK387" i="1"/>
  <c r="DA384" i="1"/>
  <c r="BM382" i="1"/>
  <c r="Y380" i="1"/>
  <c r="CO377" i="1"/>
  <c r="BA375" i="1"/>
  <c r="M373" i="1"/>
  <c r="CC370" i="1"/>
  <c r="BU368" i="1"/>
  <c r="CZ403" i="1"/>
  <c r="BL401" i="1"/>
  <c r="X399" i="1"/>
  <c r="CN396" i="1"/>
  <c r="AZ394" i="1"/>
  <c r="L392" i="1"/>
  <c r="CB389" i="1"/>
  <c r="AN387" i="1"/>
  <c r="DD384" i="1"/>
  <c r="BP382" i="1"/>
  <c r="AB380" i="1"/>
  <c r="CR377" i="1"/>
  <c r="BD375" i="1"/>
  <c r="P373" i="1"/>
  <c r="CF370" i="1"/>
  <c r="AR368" i="1"/>
  <c r="BM365" i="1"/>
  <c r="Y363" i="1"/>
  <c r="CO360" i="1"/>
  <c r="BA358" i="1"/>
  <c r="M356" i="1"/>
  <c r="CC353" i="1"/>
  <c r="AO351" i="1"/>
  <c r="DE348" i="1"/>
  <c r="BQ346" i="1"/>
  <c r="AC344" i="1"/>
  <c r="CS341" i="1"/>
  <c r="BE339" i="1"/>
  <c r="Q337" i="1"/>
  <c r="CG334" i="1"/>
  <c r="AS332" i="1"/>
  <c r="DI329" i="1"/>
  <c r="BU327" i="1"/>
  <c r="AG325" i="1"/>
  <c r="CW322" i="1"/>
  <c r="BI320" i="1"/>
  <c r="U318" i="1"/>
  <c r="CK315" i="1"/>
  <c r="AW313" i="1"/>
  <c r="I311" i="1"/>
  <c r="BY308" i="1"/>
  <c r="AK306" i="1"/>
  <c r="DA303" i="1"/>
  <c r="BM301" i="1"/>
  <c r="Y299" i="1"/>
  <c r="CO296" i="1"/>
  <c r="BA294" i="1"/>
  <c r="AF365" i="1"/>
  <c r="CV362" i="1"/>
  <c r="BH360" i="1"/>
  <c r="T358" i="1"/>
  <c r="CJ355" i="1"/>
  <c r="AV353" i="1"/>
  <c r="H351" i="1"/>
  <c r="BX348" i="1"/>
  <c r="AJ346" i="1"/>
  <c r="CZ343" i="1"/>
  <c r="BL341" i="1"/>
  <c r="X339" i="1"/>
  <c r="CN336" i="1"/>
  <c r="AZ334" i="1"/>
  <c r="L332" i="1"/>
  <c r="CB329" i="1"/>
  <c r="AN327" i="1"/>
  <c r="DD324" i="1"/>
  <c r="BP322" i="1"/>
  <c r="AB320" i="1"/>
  <c r="CR317" i="1"/>
  <c r="BD315" i="1"/>
  <c r="P313" i="1"/>
  <c r="CF310" i="1"/>
  <c r="S366" i="1"/>
  <c r="CI363" i="1"/>
  <c r="AU361" i="1"/>
  <c r="G359" i="1"/>
  <c r="BW356" i="1"/>
  <c r="AI354" i="1"/>
  <c r="CY351" i="1"/>
  <c r="BK349" i="1"/>
  <c r="W347" i="1"/>
  <c r="CM344" i="1"/>
  <c r="AY342" i="1"/>
  <c r="K340" i="1"/>
  <c r="CA337" i="1"/>
  <c r="AM335" i="1"/>
  <c r="DC332" i="1"/>
  <c r="BO330" i="1"/>
  <c r="AA328" i="1"/>
  <c r="CQ325" i="1"/>
  <c r="BC323" i="1"/>
  <c r="O321" i="1"/>
  <c r="CE318" i="1"/>
  <c r="AQ316" i="1"/>
  <c r="DG313" i="1"/>
  <c r="BS311" i="1"/>
  <c r="AE309" i="1"/>
  <c r="CU306" i="1"/>
  <c r="BG304" i="1"/>
  <c r="S302" i="1"/>
  <c r="CI299" i="1"/>
  <c r="AU297" i="1"/>
  <c r="G295" i="1"/>
  <c r="BW292" i="1"/>
  <c r="N366" i="1"/>
  <c r="CD363" i="1"/>
  <c r="AP361" i="1"/>
  <c r="DF358" i="1"/>
  <c r="BR356" i="1"/>
  <c r="AD354" i="1"/>
  <c r="CT351" i="1"/>
  <c r="BF349" i="1"/>
  <c r="R347" i="1"/>
  <c r="CH344" i="1"/>
  <c r="AT342" i="1"/>
  <c r="F340" i="1"/>
  <c r="BV337" i="1"/>
  <c r="AH335" i="1"/>
  <c r="CX332" i="1"/>
  <c r="BJ330" i="1"/>
  <c r="V328" i="1"/>
  <c r="CL325" i="1"/>
  <c r="AX323" i="1"/>
  <c r="J321" i="1"/>
  <c r="BZ318" i="1"/>
  <c r="AS369" i="1"/>
  <c r="BD404" i="1"/>
  <c r="P402" i="1"/>
  <c r="CF399" i="1"/>
  <c r="AR397" i="1"/>
  <c r="DH394" i="1"/>
  <c r="BT392" i="1"/>
  <c r="AF390" i="1"/>
  <c r="CV387" i="1"/>
  <c r="BH385" i="1"/>
  <c r="T383" i="1"/>
  <c r="CJ380" i="1"/>
  <c r="AV378" i="1"/>
  <c r="H376" i="1"/>
  <c r="BX373" i="1"/>
  <c r="AJ371" i="1"/>
  <c r="CZ368" i="1"/>
  <c r="Q366" i="1"/>
  <c r="CG363" i="1"/>
  <c r="AS361" i="1"/>
  <c r="DI358" i="1"/>
  <c r="BU356" i="1"/>
  <c r="AG354" i="1"/>
  <c r="CW351" i="1"/>
  <c r="BI349" i="1"/>
  <c r="U347" i="1"/>
  <c r="CK344" i="1"/>
  <c r="AW342" i="1"/>
  <c r="I340" i="1"/>
  <c r="BY337" i="1"/>
  <c r="AK335" i="1"/>
  <c r="DA332" i="1"/>
  <c r="BM330" i="1"/>
  <c r="Y328" i="1"/>
  <c r="CO325" i="1"/>
  <c r="BA323" i="1"/>
  <c r="M321" i="1"/>
  <c r="CC318" i="1"/>
  <c r="AO316" i="1"/>
  <c r="DE313" i="1"/>
  <c r="BQ311" i="1"/>
  <c r="AC309" i="1"/>
  <c r="CS306" i="1"/>
  <c r="BE304" i="1"/>
  <c r="Q302" i="1"/>
  <c r="CG299" i="1"/>
  <c r="AS297" i="1"/>
  <c r="DI294" i="1"/>
  <c r="CN365" i="1"/>
  <c r="AZ363" i="1"/>
  <c r="L361" i="1"/>
  <c r="CB358" i="1"/>
  <c r="AN356" i="1"/>
  <c r="DD353" i="1"/>
  <c r="BP351" i="1"/>
  <c r="AB349" i="1"/>
  <c r="CR346" i="1"/>
  <c r="BD344" i="1"/>
  <c r="P342" i="1"/>
  <c r="CF339" i="1"/>
  <c r="AR337" i="1"/>
  <c r="DH334" i="1"/>
  <c r="BT332" i="1"/>
  <c r="AF330" i="1"/>
  <c r="CV327" i="1"/>
  <c r="BH325" i="1"/>
  <c r="T323" i="1"/>
  <c r="CJ320" i="1"/>
  <c r="AV318" i="1"/>
  <c r="H316" i="1"/>
  <c r="BX313" i="1"/>
  <c r="AJ311" i="1"/>
  <c r="DA366" i="1"/>
  <c r="AM364" i="1"/>
  <c r="DC361" i="1"/>
  <c r="BO359" i="1"/>
  <c r="AA357" i="1"/>
  <c r="CQ354" i="1"/>
  <c r="BC352" i="1"/>
  <c r="O350" i="1"/>
  <c r="CE347" i="1"/>
  <c r="AQ345" i="1"/>
  <c r="DG342" i="1"/>
  <c r="BS340" i="1"/>
  <c r="AE338" i="1"/>
  <c r="CU335" i="1"/>
  <c r="BG333" i="1"/>
  <c r="S331" i="1"/>
  <c r="CI328" i="1"/>
  <c r="AU326" i="1"/>
  <c r="G324" i="1"/>
  <c r="BW321" i="1"/>
  <c r="AI319" i="1"/>
  <c r="CY316" i="1"/>
  <c r="BK314" i="1"/>
  <c r="W312" i="1"/>
  <c r="CM309" i="1"/>
  <c r="AY307" i="1"/>
  <c r="K305" i="1"/>
  <c r="CA302" i="1"/>
  <c r="AM300" i="1"/>
  <c r="DC297" i="1"/>
  <c r="BO295" i="1"/>
  <c r="AA293" i="1"/>
  <c r="CR366" i="1"/>
  <c r="AH364" i="1"/>
  <c r="CX361" i="1"/>
  <c r="BJ359" i="1"/>
  <c r="V357" i="1"/>
  <c r="CL354" i="1"/>
  <c r="AX352" i="1"/>
  <c r="J350" i="1"/>
  <c r="BZ347" i="1"/>
  <c r="AL345" i="1"/>
  <c r="DB342" i="1"/>
  <c r="BN340" i="1"/>
  <c r="Z338" i="1"/>
  <c r="CP335" i="1"/>
  <c r="BB333" i="1"/>
  <c r="N331" i="1"/>
  <c r="CD328" i="1"/>
  <c r="AP326" i="1"/>
  <c r="DF323" i="1"/>
  <c r="BR321" i="1"/>
  <c r="AD319" i="1"/>
  <c r="CT316" i="1"/>
  <c r="BF314" i="1"/>
  <c r="R312" i="1"/>
  <c r="U369" i="1"/>
  <c r="AJ404" i="1"/>
  <c r="CZ401" i="1"/>
  <c r="BL399" i="1"/>
  <c r="X397" i="1"/>
  <c r="CN394" i="1"/>
  <c r="AZ392" i="1"/>
  <c r="L390" i="1"/>
  <c r="CB387" i="1"/>
  <c r="AN385" i="1"/>
  <c r="DD382" i="1"/>
  <c r="BP380" i="1"/>
  <c r="AB378" i="1"/>
  <c r="CR375" i="1"/>
  <c r="BD373" i="1"/>
  <c r="P371" i="1"/>
  <c r="CF368" i="1"/>
  <c r="DA365" i="1"/>
  <c r="BM363" i="1"/>
  <c r="Y361" i="1"/>
  <c r="CO358" i="1"/>
  <c r="BA356" i="1"/>
  <c r="M354" i="1"/>
  <c r="CC351" i="1"/>
  <c r="AO349" i="1"/>
  <c r="DE346" i="1"/>
  <c r="BQ344" i="1"/>
  <c r="AC342" i="1"/>
  <c r="CS339" i="1"/>
  <c r="BE337" i="1"/>
  <c r="Q335" i="1"/>
  <c r="CG332" i="1"/>
  <c r="AS330" i="1"/>
  <c r="DI327" i="1"/>
  <c r="BU325" i="1"/>
  <c r="AG323" i="1"/>
  <c r="CW320" i="1"/>
  <c r="BI318" i="1"/>
  <c r="U316" i="1"/>
  <c r="CK313" i="1"/>
  <c r="AW311" i="1"/>
  <c r="I309" i="1"/>
  <c r="BY306" i="1"/>
  <c r="AK304" i="1"/>
  <c r="DA301" i="1"/>
  <c r="BM299" i="1"/>
  <c r="Y297" i="1"/>
  <c r="CO294" i="1"/>
  <c r="BT365" i="1"/>
  <c r="AF363" i="1"/>
  <c r="CV360" i="1"/>
  <c r="BH358" i="1"/>
  <c r="T356" i="1"/>
  <c r="CJ353" i="1"/>
  <c r="AV351" i="1"/>
  <c r="H349" i="1"/>
  <c r="BX346" i="1"/>
  <c r="AJ344" i="1"/>
  <c r="CZ341" i="1"/>
  <c r="BL339" i="1"/>
  <c r="X337" i="1"/>
  <c r="CN334" i="1"/>
  <c r="AZ332" i="1"/>
  <c r="L330" i="1"/>
  <c r="CB327" i="1"/>
  <c r="AN325" i="1"/>
  <c r="DD322" i="1"/>
  <c r="BP320" i="1"/>
  <c r="AB318" i="1"/>
  <c r="CR315" i="1"/>
  <c r="BD313" i="1"/>
  <c r="P311" i="1"/>
  <c r="BM366" i="1"/>
  <c r="S364" i="1"/>
  <c r="CI361" i="1"/>
  <c r="AU359" i="1"/>
  <c r="G357" i="1"/>
  <c r="BW354" i="1"/>
  <c r="AI352" i="1"/>
  <c r="CY349" i="1"/>
  <c r="BK347" i="1"/>
  <c r="W345" i="1"/>
  <c r="CM342" i="1"/>
  <c r="AY340" i="1"/>
  <c r="K338" i="1"/>
  <c r="CA335" i="1"/>
  <c r="AM333" i="1"/>
  <c r="DC330" i="1"/>
  <c r="BO328" i="1"/>
  <c r="AA326" i="1"/>
  <c r="CQ323" i="1"/>
  <c r="BC321" i="1"/>
  <c r="O319" i="1"/>
  <c r="CE316" i="1"/>
  <c r="AQ314" i="1"/>
  <c r="DG311" i="1"/>
  <c r="BS309" i="1"/>
  <c r="AE307" i="1"/>
  <c r="CU304" i="1"/>
  <c r="BG302" i="1"/>
  <c r="S300" i="1"/>
  <c r="CI297" i="1"/>
  <c r="AU295" i="1"/>
  <c r="G293" i="1"/>
  <c r="BF366" i="1"/>
  <c r="N364" i="1"/>
  <c r="CD361" i="1"/>
  <c r="AP359" i="1"/>
  <c r="DF356" i="1"/>
  <c r="BR354" i="1"/>
  <c r="AD352" i="1"/>
  <c r="CT349" i="1"/>
  <c r="BF347" i="1"/>
  <c r="R345" i="1"/>
  <c r="CH342" i="1"/>
  <c r="AT340" i="1"/>
  <c r="F338" i="1"/>
  <c r="BV335" i="1"/>
  <c r="AH333" i="1"/>
  <c r="CX330" i="1"/>
  <c r="BJ328" i="1"/>
  <c r="V326" i="1"/>
  <c r="CL323" i="1"/>
  <c r="AX321" i="1"/>
  <c r="J319" i="1"/>
  <c r="CW369" i="1"/>
  <c r="CR404" i="1"/>
  <c r="BD402" i="1"/>
  <c r="P400" i="1"/>
  <c r="CF397" i="1"/>
  <c r="AR395" i="1"/>
  <c r="L551" i="1"/>
  <c r="K504" i="1"/>
  <c r="BM446" i="1"/>
  <c r="BL443" i="1"/>
  <c r="BO478" i="1"/>
  <c r="CR413" i="1"/>
  <c r="DA436" i="1"/>
  <c r="W430" i="1"/>
  <c r="J416" i="1"/>
  <c r="BN447" i="1"/>
  <c r="CJ409" i="1"/>
  <c r="CM408" i="1"/>
  <c r="CH408" i="1"/>
  <c r="BZ443" i="1"/>
  <c r="CS442" i="1"/>
  <c r="CI420" i="1"/>
  <c r="CH441" i="1"/>
  <c r="CX409" i="1"/>
  <c r="AO426" i="1"/>
  <c r="CS416" i="1"/>
  <c r="AS407" i="1"/>
  <c r="O398" i="1"/>
  <c r="BS388" i="1"/>
  <c r="S379" i="1"/>
  <c r="BW369" i="1"/>
  <c r="N399" i="1"/>
  <c r="BR389" i="1"/>
  <c r="R380" i="1"/>
  <c r="BV370" i="1"/>
  <c r="CS399" i="1"/>
  <c r="AS390" i="1"/>
  <c r="CW380" i="1"/>
  <c r="AP426" i="1"/>
  <c r="AW433" i="1"/>
  <c r="DA423" i="1"/>
  <c r="BA414" i="1"/>
  <c r="BT405" i="1"/>
  <c r="CA395" i="1"/>
  <c r="AA386" i="1"/>
  <c r="CE376" i="1"/>
  <c r="AE367" i="1"/>
  <c r="BZ396" i="1"/>
  <c r="Z387" i="1"/>
  <c r="CD377" i="1"/>
  <c r="AD368" i="1"/>
  <c r="BA397" i="1"/>
  <c r="DE387" i="1"/>
  <c r="BE378" i="1"/>
  <c r="BR425" i="1"/>
  <c r="AC433" i="1"/>
  <c r="CG423" i="1"/>
  <c r="AG414" i="1"/>
  <c r="DG404" i="1"/>
  <c r="BG395" i="1"/>
  <c r="G386" i="1"/>
  <c r="BK376" i="1"/>
  <c r="K367" i="1"/>
  <c r="BF396" i="1"/>
  <c r="F387" i="1"/>
  <c r="BJ377" i="1"/>
  <c r="J368" i="1"/>
  <c r="AG397" i="1"/>
  <c r="CK387" i="1"/>
  <c r="BI380" i="1"/>
  <c r="CK375" i="1"/>
  <c r="Q373" i="1"/>
  <c r="CG370" i="1"/>
  <c r="AS368" i="1"/>
  <c r="N423" i="1"/>
  <c r="BR413" i="1"/>
  <c r="DI441" i="1"/>
  <c r="AO435" i="1"/>
  <c r="BQ432" i="1"/>
  <c r="AC430" i="1"/>
  <c r="CS427" i="1"/>
  <c r="BE425" i="1"/>
  <c r="Q423" i="1"/>
  <c r="CG420" i="1"/>
  <c r="AS418" i="1"/>
  <c r="DI415" i="1"/>
  <c r="BU413" i="1"/>
  <c r="AG411" i="1"/>
  <c r="CW408" i="1"/>
  <c r="BI406" i="1"/>
  <c r="AQ404" i="1"/>
  <c r="DG401" i="1"/>
  <c r="BS399" i="1"/>
  <c r="AE397" i="1"/>
  <c r="CU394" i="1"/>
  <c r="BG392" i="1"/>
  <c r="S390" i="1"/>
  <c r="CI387" i="1"/>
  <c r="AU385" i="1"/>
  <c r="G383" i="1"/>
  <c r="BW380" i="1"/>
  <c r="AI378" i="1"/>
  <c r="CY375" i="1"/>
  <c r="BK373" i="1"/>
  <c r="W371" i="1"/>
  <c r="CM368" i="1"/>
  <c r="AY366" i="1"/>
  <c r="DF402" i="1"/>
  <c r="BR400" i="1"/>
  <c r="AD398" i="1"/>
  <c r="CT395" i="1"/>
  <c r="BF393" i="1"/>
  <c r="R391" i="1"/>
  <c r="CH388" i="1"/>
  <c r="AT386" i="1"/>
  <c r="F384" i="1"/>
  <c r="BV381" i="1"/>
  <c r="AH379" i="1"/>
  <c r="CX376" i="1"/>
  <c r="BJ374" i="1"/>
  <c r="V372" i="1"/>
  <c r="CL369" i="1"/>
  <c r="AX367" i="1"/>
  <c r="CG403" i="1"/>
  <c r="AS401" i="1"/>
  <c r="DI398" i="1"/>
  <c r="BU396" i="1"/>
  <c r="AG394" i="1"/>
  <c r="CW391" i="1"/>
  <c r="BI389" i="1"/>
  <c r="U387" i="1"/>
  <c r="CK384" i="1"/>
  <c r="AW382" i="1"/>
  <c r="I380" i="1"/>
  <c r="BY377" i="1"/>
  <c r="AK375" i="1"/>
  <c r="DA372" i="1"/>
  <c r="BM370" i="1"/>
  <c r="BA368" i="1"/>
  <c r="CJ403" i="1"/>
  <c r="AV401" i="1"/>
  <c r="H399" i="1"/>
  <c r="BX396" i="1"/>
  <c r="AJ394" i="1"/>
  <c r="CZ391" i="1"/>
  <c r="BL389" i="1"/>
  <c r="X387" i="1"/>
  <c r="CN384" i="1"/>
  <c r="AZ382" i="1"/>
  <c r="L380" i="1"/>
  <c r="CB377" i="1"/>
  <c r="AN375" i="1"/>
  <c r="DD372" i="1"/>
  <c r="BP370" i="1"/>
  <c r="AB368" i="1"/>
  <c r="AW365" i="1"/>
  <c r="I363" i="1"/>
  <c r="BY360" i="1"/>
  <c r="AK358" i="1"/>
  <c r="DA355" i="1"/>
  <c r="BM353" i="1"/>
  <c r="Y351" i="1"/>
  <c r="CO348" i="1"/>
  <c r="BA346" i="1"/>
  <c r="M344" i="1"/>
  <c r="CC341" i="1"/>
  <c r="AO339" i="1"/>
  <c r="DE336" i="1"/>
  <c r="BQ334" i="1"/>
  <c r="AC332" i="1"/>
  <c r="CS329" i="1"/>
  <c r="BE327" i="1"/>
  <c r="Q325" i="1"/>
  <c r="CG322" i="1"/>
  <c r="AS320" i="1"/>
  <c r="DI317" i="1"/>
  <c r="BU315" i="1"/>
  <c r="AG313" i="1"/>
  <c r="CW310" i="1"/>
  <c r="BI308" i="1"/>
  <c r="U306" i="1"/>
  <c r="CK303" i="1"/>
  <c r="AW301" i="1"/>
  <c r="I299" i="1"/>
  <c r="BY296" i="1"/>
  <c r="AK294" i="1"/>
  <c r="P365" i="1"/>
  <c r="CF362" i="1"/>
  <c r="AR360" i="1"/>
  <c r="DH357" i="1"/>
  <c r="BT355" i="1"/>
  <c r="AF353" i="1"/>
  <c r="CV350" i="1"/>
  <c r="BH348" i="1"/>
  <c r="T346" i="1"/>
  <c r="CJ343" i="1"/>
  <c r="AV341" i="1"/>
  <c r="H339" i="1"/>
  <c r="BX336" i="1"/>
  <c r="AJ334" i="1"/>
  <c r="CZ331" i="1"/>
  <c r="BL329" i="1"/>
  <c r="X327" i="1"/>
  <c r="CN324" i="1"/>
  <c r="AZ322" i="1"/>
  <c r="L320" i="1"/>
  <c r="CB317" i="1"/>
  <c r="AN315" i="1"/>
  <c r="DD312" i="1"/>
  <c r="BP310" i="1"/>
  <c r="DG365" i="1"/>
  <c r="BS363" i="1"/>
  <c r="AE361" i="1"/>
  <c r="CU358" i="1"/>
  <c r="BG356" i="1"/>
  <c r="S354" i="1"/>
  <c r="CI351" i="1"/>
  <c r="AU349" i="1"/>
  <c r="G347" i="1"/>
  <c r="BW344" i="1"/>
  <c r="AI342" i="1"/>
  <c r="CY339" i="1"/>
  <c r="BK337" i="1"/>
  <c r="W335" i="1"/>
  <c r="CM332" i="1"/>
  <c r="AY330" i="1"/>
  <c r="K328" i="1"/>
  <c r="CA325" i="1"/>
  <c r="AM323" i="1"/>
  <c r="DC320" i="1"/>
  <c r="BO318" i="1"/>
  <c r="AA316" i="1"/>
  <c r="CQ313" i="1"/>
  <c r="BC311" i="1"/>
  <c r="O309" i="1"/>
  <c r="CE306" i="1"/>
  <c r="AQ304" i="1"/>
  <c r="DG301" i="1"/>
  <c r="BS299" i="1"/>
  <c r="AE297" i="1"/>
  <c r="CU294" i="1"/>
  <c r="BG292" i="1"/>
  <c r="DB365" i="1"/>
  <c r="BN363" i="1"/>
  <c r="Z361" i="1"/>
  <c r="CP358" i="1"/>
  <c r="BB356" i="1"/>
  <c r="N354" i="1"/>
  <c r="CD351" i="1"/>
  <c r="AP349" i="1"/>
  <c r="DF346" i="1"/>
  <c r="BR344" i="1"/>
  <c r="AD342" i="1"/>
  <c r="CT339" i="1"/>
  <c r="BF337" i="1"/>
  <c r="R335" i="1"/>
  <c r="CH332" i="1"/>
  <c r="AT330" i="1"/>
  <c r="F328" i="1"/>
  <c r="BV325" i="1"/>
  <c r="AH323" i="1"/>
  <c r="CX320" i="1"/>
  <c r="BJ318" i="1"/>
  <c r="Y369" i="1"/>
  <c r="AN404" i="1"/>
  <c r="DD401" i="1"/>
  <c r="BP399" i="1"/>
  <c r="AB397" i="1"/>
  <c r="CR394" i="1"/>
  <c r="BD392" i="1"/>
  <c r="P390" i="1"/>
  <c r="CF387" i="1"/>
  <c r="AR385" i="1"/>
  <c r="DH382" i="1"/>
  <c r="BT380" i="1"/>
  <c r="AF378" i="1"/>
  <c r="CV375" i="1"/>
  <c r="BH373" i="1"/>
  <c r="T371" i="1"/>
  <c r="CJ368" i="1"/>
  <c r="DE365" i="1"/>
  <c r="BQ363" i="1"/>
  <c r="AC361" i="1"/>
  <c r="CS358" i="1"/>
  <c r="BE356" i="1"/>
  <c r="Q354" i="1"/>
  <c r="CG351" i="1"/>
  <c r="AS349" i="1"/>
  <c r="DI346" i="1"/>
  <c r="BU344" i="1"/>
  <c r="AG342" i="1"/>
  <c r="CW339" i="1"/>
  <c r="BI337" i="1"/>
  <c r="U335" i="1"/>
  <c r="CK332" i="1"/>
  <c r="AW330" i="1"/>
  <c r="I328" i="1"/>
  <c r="BY325" i="1"/>
  <c r="AK323" i="1"/>
  <c r="DA320" i="1"/>
  <c r="BM318" i="1"/>
  <c r="Y316" i="1"/>
  <c r="CO313" i="1"/>
  <c r="BA311" i="1"/>
  <c r="M309" i="1"/>
  <c r="CC306" i="1"/>
  <c r="AO304" i="1"/>
  <c r="DE301" i="1"/>
  <c r="BQ299" i="1"/>
  <c r="AC297" i="1"/>
  <c r="CS294" i="1"/>
  <c r="BX365" i="1"/>
  <c r="AJ363" i="1"/>
  <c r="CZ360" i="1"/>
  <c r="BL358" i="1"/>
  <c r="X356" i="1"/>
  <c r="CN353" i="1"/>
  <c r="AZ351" i="1"/>
  <c r="L349" i="1"/>
  <c r="CB346" i="1"/>
  <c r="AN344" i="1"/>
  <c r="DD341" i="1"/>
  <c r="BP339" i="1"/>
  <c r="AB337" i="1"/>
  <c r="CR334" i="1"/>
  <c r="BD332" i="1"/>
  <c r="P330" i="1"/>
  <c r="CF327" i="1"/>
  <c r="AR325" i="1"/>
  <c r="DH322" i="1"/>
  <c r="BT320" i="1"/>
  <c r="AF318" i="1"/>
  <c r="CV315" i="1"/>
  <c r="BH313" i="1"/>
  <c r="T311" i="1"/>
  <c r="BU366" i="1"/>
  <c r="W364" i="1"/>
  <c r="CM361" i="1"/>
  <c r="AY359" i="1"/>
  <c r="K357" i="1"/>
  <c r="CA354" i="1"/>
  <c r="AM352" i="1"/>
  <c r="DC349" i="1"/>
  <c r="BO347" i="1"/>
  <c r="AA345" i="1"/>
  <c r="CQ342" i="1"/>
  <c r="BC340" i="1"/>
  <c r="O338" i="1"/>
  <c r="CE335" i="1"/>
  <c r="AQ333" i="1"/>
  <c r="DG330" i="1"/>
  <c r="BS328" i="1"/>
  <c r="AE326" i="1"/>
  <c r="CU323" i="1"/>
  <c r="BG321" i="1"/>
  <c r="S319" i="1"/>
  <c r="CI316" i="1"/>
  <c r="AU314" i="1"/>
  <c r="G312" i="1"/>
  <c r="BW309" i="1"/>
  <c r="AI307" i="1"/>
  <c r="CY304" i="1"/>
  <c r="BK302" i="1"/>
  <c r="W300" i="1"/>
  <c r="CM297" i="1"/>
  <c r="AY295" i="1"/>
  <c r="K293" i="1"/>
  <c r="BL366" i="1"/>
  <c r="R364" i="1"/>
  <c r="CH361" i="1"/>
  <c r="AT359" i="1"/>
  <c r="F357" i="1"/>
  <c r="BV354" i="1"/>
  <c r="AH352" i="1"/>
  <c r="CX349" i="1"/>
  <c r="BJ347" i="1"/>
  <c r="V345" i="1"/>
  <c r="CL342" i="1"/>
  <c r="AX340" i="1"/>
  <c r="J338" i="1"/>
  <c r="BZ335" i="1"/>
  <c r="AL333" i="1"/>
  <c r="DB330" i="1"/>
  <c r="BN328" i="1"/>
  <c r="Z326" i="1"/>
  <c r="CP323" i="1"/>
  <c r="BB321" i="1"/>
  <c r="N319" i="1"/>
  <c r="CD316" i="1"/>
  <c r="AP314" i="1"/>
  <c r="DF311" i="1"/>
  <c r="DA368" i="1"/>
  <c r="T404" i="1"/>
  <c r="CJ401" i="1"/>
  <c r="AV399" i="1"/>
  <c r="H397" i="1"/>
  <c r="BX394" i="1"/>
  <c r="AJ392" i="1"/>
  <c r="CZ389" i="1"/>
  <c r="BL387" i="1"/>
  <c r="X385" i="1"/>
  <c r="CN382" i="1"/>
  <c r="AZ380" i="1"/>
  <c r="L378" i="1"/>
  <c r="CB375" i="1"/>
  <c r="AN373" i="1"/>
  <c r="DD370" i="1"/>
  <c r="BP368" i="1"/>
  <c r="CK365" i="1"/>
  <c r="AW363" i="1"/>
  <c r="I361" i="1"/>
  <c r="BY358" i="1"/>
  <c r="AK356" i="1"/>
  <c r="DA353" i="1"/>
  <c r="BM351" i="1"/>
  <c r="Y349" i="1"/>
  <c r="CO346" i="1"/>
  <c r="BA344" i="1"/>
  <c r="M342" i="1"/>
  <c r="CC339" i="1"/>
  <c r="AO337" i="1"/>
  <c r="DE334" i="1"/>
  <c r="BQ332" i="1"/>
  <c r="AC330" i="1"/>
  <c r="CS327" i="1"/>
  <c r="BE325" i="1"/>
  <c r="Q323" i="1"/>
  <c r="CG320" i="1"/>
  <c r="AS318" i="1"/>
  <c r="DI315" i="1"/>
  <c r="BU313" i="1"/>
  <c r="AG311" i="1"/>
  <c r="CW308" i="1"/>
  <c r="BI306" i="1"/>
  <c r="U304" i="1"/>
  <c r="CK301" i="1"/>
  <c r="AW299" i="1"/>
  <c r="I297" i="1"/>
  <c r="BY294" i="1"/>
  <c r="BD365" i="1"/>
  <c r="P363" i="1"/>
  <c r="CF360" i="1"/>
  <c r="AR358" i="1"/>
  <c r="DH355" i="1"/>
  <c r="BT353" i="1"/>
  <c r="AF351" i="1"/>
  <c r="CV348" i="1"/>
  <c r="BH346" i="1"/>
  <c r="T344" i="1"/>
  <c r="CJ341" i="1"/>
  <c r="AV339" i="1"/>
  <c r="H337" i="1"/>
  <c r="BX334" i="1"/>
  <c r="AJ332" i="1"/>
  <c r="CZ329" i="1"/>
  <c r="BL327" i="1"/>
  <c r="X325" i="1"/>
  <c r="CN322" i="1"/>
  <c r="AZ320" i="1"/>
  <c r="L318" i="1"/>
  <c r="CB315" i="1"/>
  <c r="AN313" i="1"/>
  <c r="DD310" i="1"/>
  <c r="AR366" i="1"/>
  <c r="DG363" i="1"/>
  <c r="BS361" i="1"/>
  <c r="AE359" i="1"/>
  <c r="CU356" i="1"/>
  <c r="BG354" i="1"/>
  <c r="S352" i="1"/>
  <c r="CI349" i="1"/>
  <c r="AU347" i="1"/>
  <c r="G345" i="1"/>
  <c r="BW342" i="1"/>
  <c r="AI340" i="1"/>
  <c r="CY337" i="1"/>
  <c r="BK335" i="1"/>
  <c r="W333" i="1"/>
  <c r="CM330" i="1"/>
  <c r="AY328" i="1"/>
  <c r="K326" i="1"/>
  <c r="CA323" i="1"/>
  <c r="AM321" i="1"/>
  <c r="DC318" i="1"/>
  <c r="BO316" i="1"/>
  <c r="AA314" i="1"/>
  <c r="CQ311" i="1"/>
  <c r="BC309" i="1"/>
  <c r="O307" i="1"/>
  <c r="CE304" i="1"/>
  <c r="AQ302" i="1"/>
  <c r="DG299" i="1"/>
  <c r="BS297" i="1"/>
  <c r="AE295" i="1"/>
  <c r="CU292" i="1"/>
  <c r="AL366" i="1"/>
  <c r="DB363" i="1"/>
  <c r="BN361" i="1"/>
  <c r="Z359" i="1"/>
  <c r="CP356" i="1"/>
  <c r="BB354" i="1"/>
  <c r="N352" i="1"/>
  <c r="CD349" i="1"/>
  <c r="AP347" i="1"/>
  <c r="DF344" i="1"/>
  <c r="BR342" i="1"/>
  <c r="AD340" i="1"/>
  <c r="CT337" i="1"/>
  <c r="BF335" i="1"/>
  <c r="R333" i="1"/>
  <c r="CH330" i="1"/>
  <c r="AT328" i="1"/>
  <c r="F326" i="1"/>
  <c r="BV323" i="1"/>
  <c r="AH321" i="1"/>
  <c r="CX318" i="1"/>
  <c r="BY369" i="1"/>
  <c r="CB404" i="1"/>
  <c r="AN402" i="1"/>
  <c r="DD399" i="1"/>
  <c r="BP397" i="1"/>
  <c r="AB395" i="1"/>
  <c r="BZ518" i="1"/>
  <c r="O485" i="1"/>
  <c r="AV462" i="1"/>
  <c r="CE469" i="1"/>
  <c r="S470" i="1"/>
  <c r="AN407" i="1"/>
  <c r="BN468" i="1"/>
  <c r="AY425" i="1"/>
  <c r="BZ413" i="1"/>
  <c r="Z445" i="1"/>
  <c r="AV407" i="1"/>
  <c r="AY406" i="1"/>
  <c r="AT406" i="1"/>
  <c r="AZ441" i="1"/>
  <c r="BC440" i="1"/>
  <c r="CE419" i="1"/>
  <c r="CT440" i="1"/>
  <c r="V405" i="1"/>
  <c r="CG425" i="1"/>
  <c r="AG416" i="1"/>
  <c r="CK406" i="1"/>
  <c r="BG397" i="1"/>
  <c r="G388" i="1"/>
  <c r="BK378" i="1"/>
  <c r="K369" i="1"/>
  <c r="BF398" i="1"/>
  <c r="F389" i="1"/>
  <c r="BJ379" i="1"/>
  <c r="J370" i="1"/>
  <c r="AG399" i="1"/>
  <c r="CK389" i="1"/>
  <c r="AK380" i="1"/>
  <c r="DF423" i="1"/>
  <c r="CO432" i="1"/>
  <c r="AO423" i="1"/>
  <c r="CS413" i="1"/>
  <c r="BO404" i="1"/>
  <c r="O395" i="1"/>
  <c r="BS385" i="1"/>
  <c r="S376" i="1"/>
  <c r="BW366" i="1"/>
  <c r="N396" i="1"/>
  <c r="BR386" i="1"/>
  <c r="R377" i="1"/>
  <c r="BV367" i="1"/>
  <c r="CS396" i="1"/>
  <c r="AS387" i="1"/>
  <c r="CW377" i="1"/>
  <c r="AD423" i="1"/>
  <c r="BU432" i="1"/>
  <c r="U423" i="1"/>
  <c r="BY413" i="1"/>
  <c r="AU404" i="1"/>
  <c r="CY394" i="1"/>
  <c r="AY385" i="1"/>
  <c r="DC375" i="1"/>
  <c r="BC366" i="1"/>
  <c r="CX395" i="1"/>
  <c r="AX386" i="1"/>
  <c r="DB376" i="1"/>
  <c r="BB367" i="1"/>
  <c r="BY396" i="1"/>
  <c r="Y387" i="1"/>
  <c r="M380" i="1"/>
  <c r="AO375" i="1"/>
  <c r="DE372" i="1"/>
  <c r="BQ370" i="1"/>
  <c r="AC368" i="1"/>
  <c r="BF422" i="1"/>
  <c r="F413" i="1"/>
  <c r="AW441" i="1"/>
  <c r="U435" i="1"/>
  <c r="BA432" i="1"/>
  <c r="M430" i="1"/>
  <c r="CC427" i="1"/>
  <c r="AO425" i="1"/>
  <c r="DE422" i="1"/>
  <c r="BQ420" i="1"/>
  <c r="AC418" i="1"/>
  <c r="CS415" i="1"/>
  <c r="BE413" i="1"/>
  <c r="Q411" i="1"/>
  <c r="CG408" i="1"/>
  <c r="AS406" i="1"/>
  <c r="AA404" i="1"/>
  <c r="CQ401" i="1"/>
  <c r="BC399" i="1"/>
  <c r="O397" i="1"/>
  <c r="CE394" i="1"/>
  <c r="AQ392" i="1"/>
  <c r="DG389" i="1"/>
  <c r="BS387" i="1"/>
  <c r="AE385" i="1"/>
  <c r="CU382" i="1"/>
  <c r="BG380" i="1"/>
  <c r="S378" i="1"/>
  <c r="CI375" i="1"/>
  <c r="AU373" i="1"/>
  <c r="G371" i="1"/>
  <c r="BW368" i="1"/>
  <c r="CF405" i="1"/>
  <c r="CP402" i="1"/>
  <c r="BB400" i="1"/>
  <c r="N398" i="1"/>
  <c r="CD395" i="1"/>
  <c r="AP393" i="1"/>
  <c r="DF390" i="1"/>
  <c r="BR388" i="1"/>
  <c r="AD386" i="1"/>
  <c r="CT383" i="1"/>
  <c r="BF381" i="1"/>
  <c r="R379" i="1"/>
  <c r="CH376" i="1"/>
  <c r="AT374" i="1"/>
  <c r="F372" i="1"/>
  <c r="BV369" i="1"/>
  <c r="AH367" i="1"/>
  <c r="BQ403" i="1"/>
  <c r="AC401" i="1"/>
  <c r="CS398" i="1"/>
  <c r="BE396" i="1"/>
  <c r="Q394" i="1"/>
  <c r="CG391" i="1"/>
  <c r="AS389" i="1"/>
  <c r="DI386" i="1"/>
  <c r="BU384" i="1"/>
  <c r="AG382" i="1"/>
  <c r="CW379" i="1"/>
  <c r="BI377" i="1"/>
  <c r="U375" i="1"/>
  <c r="CK372" i="1"/>
  <c r="AW370" i="1"/>
  <c r="AG368" i="1"/>
  <c r="BT403" i="1"/>
  <c r="AF401" i="1"/>
  <c r="CV398" i="1"/>
  <c r="BH396" i="1"/>
  <c r="T394" i="1"/>
  <c r="CJ391" i="1"/>
  <c r="AV389" i="1"/>
  <c r="H387" i="1"/>
  <c r="BX384" i="1"/>
  <c r="AJ382" i="1"/>
  <c r="CZ379" i="1"/>
  <c r="BL377" i="1"/>
  <c r="X375" i="1"/>
  <c r="CN372" i="1"/>
  <c r="AZ370" i="1"/>
  <c r="L368" i="1"/>
  <c r="AG365" i="1"/>
  <c r="CW362" i="1"/>
  <c r="BI360" i="1"/>
  <c r="U358" i="1"/>
  <c r="CK355" i="1"/>
  <c r="AW353" i="1"/>
  <c r="I351" i="1"/>
  <c r="BY348" i="1"/>
  <c r="AK346" i="1"/>
  <c r="DA343" i="1"/>
  <c r="BM341" i="1"/>
  <c r="Y339" i="1"/>
  <c r="CO336" i="1"/>
  <c r="BA334" i="1"/>
  <c r="M332" i="1"/>
  <c r="CC329" i="1"/>
  <c r="AO327" i="1"/>
  <c r="DE324" i="1"/>
  <c r="BQ322" i="1"/>
  <c r="AC320" i="1"/>
  <c r="CS317" i="1"/>
  <c r="BE315" i="1"/>
  <c r="Q313" i="1"/>
  <c r="CG310" i="1"/>
  <c r="AS308" i="1"/>
  <c r="DI305" i="1"/>
  <c r="BU303" i="1"/>
  <c r="AG301" i="1"/>
  <c r="CW298" i="1"/>
  <c r="BI296" i="1"/>
  <c r="U294" i="1"/>
  <c r="DD364" i="1"/>
  <c r="BP362" i="1"/>
  <c r="AB360" i="1"/>
  <c r="CR357" i="1"/>
  <c r="BD355" i="1"/>
  <c r="P353" i="1"/>
  <c r="CF350" i="1"/>
  <c r="AR348" i="1"/>
  <c r="DH345" i="1"/>
  <c r="BT343" i="1"/>
  <c r="AF341" i="1"/>
  <c r="CV338" i="1"/>
  <c r="BH336" i="1"/>
  <c r="T334" i="1"/>
  <c r="CJ331" i="1"/>
  <c r="AV329" i="1"/>
  <c r="H327" i="1"/>
  <c r="BX324" i="1"/>
  <c r="AJ322" i="1"/>
  <c r="CZ319" i="1"/>
  <c r="BL317" i="1"/>
  <c r="X315" i="1"/>
  <c r="CN312" i="1"/>
  <c r="AZ310" i="1"/>
  <c r="AH475" i="1"/>
  <c r="N463" i="1"/>
  <c r="T442" i="1"/>
  <c r="X423" i="1"/>
  <c r="W441" i="1"/>
  <c r="AA422" i="1"/>
  <c r="R441" i="1"/>
  <c r="CV589" i="1"/>
  <c r="AK582" i="1"/>
  <c r="CD562" i="1"/>
  <c r="BM551" i="1"/>
  <c r="AS555" i="1"/>
  <c r="Y555" i="1"/>
  <c r="Y552" i="1"/>
  <c r="AM523" i="1"/>
  <c r="BG525" i="1"/>
  <c r="AU523" i="1"/>
  <c r="AA523" i="1"/>
  <c r="AE490" i="1"/>
  <c r="U490" i="1"/>
  <c r="AE491" i="1"/>
  <c r="AL490" i="1"/>
  <c r="AG490" i="1"/>
  <c r="AL567" i="1"/>
  <c r="DF537" i="1"/>
  <c r="CM527" i="1"/>
  <c r="BJ492" i="1"/>
  <c r="AU500" i="1"/>
  <c r="AK500" i="1"/>
  <c r="AY494" i="1"/>
  <c r="AO494" i="1"/>
  <c r="CS453" i="1"/>
  <c r="AY443" i="1"/>
  <c r="BX473" i="1"/>
  <c r="O455" i="1"/>
  <c r="BL486" i="1"/>
  <c r="CC443" i="1"/>
  <c r="AQ475" i="1"/>
  <c r="L502" i="1"/>
  <c r="Q460" i="1"/>
  <c r="AF464" i="1"/>
  <c r="DG473" i="1"/>
  <c r="BW444" i="1"/>
  <c r="BF462" i="1"/>
  <c r="BT435" i="1"/>
  <c r="AJ410" i="1"/>
  <c r="CI421" i="1"/>
  <c r="BR434" i="1"/>
  <c r="Z415" i="1"/>
  <c r="AD472" i="1"/>
  <c r="V447" i="1"/>
  <c r="AN428" i="1"/>
  <c r="AR409" i="1"/>
  <c r="AQ427" i="1"/>
  <c r="AU408" i="1"/>
  <c r="AL427" i="1"/>
  <c r="AP408" i="1"/>
  <c r="CT459" i="1"/>
  <c r="DH439" i="1"/>
  <c r="H421" i="1"/>
  <c r="G439" i="1"/>
  <c r="K420" i="1"/>
  <c r="DF438" i="1"/>
  <c r="F420" i="1"/>
  <c r="DA438" i="1"/>
  <c r="DB454" i="1"/>
  <c r="P436" i="1"/>
  <c r="T417" i="1"/>
  <c r="S435" i="1"/>
  <c r="BK422" i="1"/>
  <c r="CM409" i="1"/>
  <c r="N435" i="1"/>
  <c r="CC437" i="1"/>
  <c r="BY574" i="1"/>
  <c r="BE546" i="1"/>
  <c r="F509" i="1"/>
  <c r="BE518" i="1"/>
  <c r="AP512" i="1"/>
  <c r="BB527" i="1"/>
  <c r="AT506" i="1"/>
  <c r="AR510" i="1"/>
  <c r="CF462" i="1"/>
  <c r="CZ491" i="1"/>
  <c r="AZ447" i="1"/>
  <c r="DB479" i="1"/>
  <c r="CG472" i="1"/>
  <c r="BT465" i="1"/>
  <c r="BG459" i="1"/>
  <c r="X489" i="1"/>
  <c r="CK446" i="1"/>
  <c r="H454" i="1"/>
  <c r="CI463" i="1"/>
  <c r="J473" i="1"/>
  <c r="AD452" i="1"/>
  <c r="AN427" i="1"/>
  <c r="DC438" i="1"/>
  <c r="BC413" i="1"/>
  <c r="N428" i="1"/>
  <c r="R409" i="1"/>
  <c r="R462" i="1"/>
  <c r="AB441" i="1"/>
  <c r="AF422" i="1"/>
  <c r="AE440" i="1"/>
  <c r="AI421" i="1"/>
  <c r="Z440" i="1"/>
  <c r="AD421" i="1"/>
  <c r="U440" i="1"/>
  <c r="CH452" i="1"/>
  <c r="CZ433" i="1"/>
  <c r="DD414" i="1"/>
  <c r="DC432" i="1"/>
  <c r="DG413" i="1"/>
  <c r="CX432" i="1"/>
  <c r="DB413" i="1"/>
  <c r="AP475" i="1"/>
  <c r="CT448" i="1"/>
  <c r="H430" i="1"/>
  <c r="L411" i="1"/>
  <c r="BJ588" i="1"/>
  <c r="BV550" i="1"/>
  <c r="P520" i="1"/>
  <c r="AC504" i="1"/>
  <c r="DF521" i="1"/>
  <c r="CD502" i="1"/>
  <c r="DE534" i="1"/>
  <c r="CH496" i="1"/>
  <c r="AB499" i="1"/>
  <c r="H451" i="1"/>
  <c r="AJ482" i="1"/>
  <c r="S480" i="1"/>
  <c r="CB506" i="1"/>
  <c r="CK465" i="1"/>
  <c r="CB459" i="1"/>
  <c r="BO453" i="1"/>
  <c r="AJ484" i="1"/>
  <c r="CK450" i="1"/>
  <c r="AZ473" i="1"/>
  <c r="H458" i="1"/>
  <c r="AV444" i="1"/>
  <c r="W467" i="1"/>
  <c r="CI451" i="1"/>
  <c r="CT475" i="1"/>
  <c r="F475" i="1"/>
  <c r="Z455" i="1"/>
  <c r="CF442" i="1"/>
  <c r="CR429" i="1"/>
  <c r="AV417" i="1"/>
  <c r="CI441" i="1"/>
  <c r="CU428" i="1"/>
  <c r="AY416" i="1"/>
  <c r="CD441" i="1"/>
  <c r="F430" i="1"/>
  <c r="BJ420" i="1"/>
  <c r="J411" i="1"/>
  <c r="BA439" i="1"/>
  <c r="BV464" i="1"/>
  <c r="BF452" i="1"/>
  <c r="F443" i="1"/>
  <c r="BX433" i="1"/>
  <c r="X424" i="1"/>
  <c r="CB414" i="1"/>
  <c r="W442" i="1"/>
  <c r="CA432" i="1"/>
  <c r="CI542" i="1"/>
  <c r="AM448" i="1"/>
  <c r="BH467" i="1"/>
  <c r="CP416" i="1"/>
  <c r="AT425" i="1"/>
  <c r="P419" i="1"/>
  <c r="N418" i="1"/>
  <c r="AB415" i="1"/>
  <c r="CU407" i="1"/>
  <c r="BM428" i="1"/>
  <c r="BQ409" i="1"/>
  <c r="CQ390" i="1"/>
  <c r="CU371" i="1"/>
  <c r="CP391" i="1"/>
  <c r="CT372" i="1"/>
  <c r="BQ392" i="1"/>
  <c r="BU373" i="1"/>
  <c r="U426" i="1"/>
  <c r="Y407" i="1"/>
  <c r="AY388" i="1"/>
  <c r="BC369" i="1"/>
  <c r="AX389" i="1"/>
  <c r="BB370" i="1"/>
  <c r="Y390" i="1"/>
  <c r="AC371" i="1"/>
  <c r="DE425" i="1"/>
  <c r="DI406" i="1"/>
  <c r="AE388" i="1"/>
  <c r="AI369" i="1"/>
  <c r="AD389" i="1"/>
  <c r="CP373" i="1"/>
  <c r="I403" i="1"/>
  <c r="BM393" i="1"/>
  <c r="M384" i="1"/>
  <c r="CM498" i="1"/>
  <c r="BA513" i="1"/>
  <c r="CA467" i="1"/>
  <c r="K443" i="1"/>
  <c r="W451" i="1"/>
  <c r="CE428" i="1"/>
  <c r="AP452" i="1"/>
  <c r="BO413" i="1"/>
  <c r="CH407" i="1"/>
  <c r="AV439" i="1"/>
  <c r="AY438" i="1"/>
  <c r="AT438" i="1"/>
  <c r="AO438" i="1"/>
  <c r="BH435" i="1"/>
  <c r="CA434" i="1"/>
  <c r="AA417" i="1"/>
  <c r="J438" i="1"/>
  <c r="CC435" i="1"/>
  <c r="AG424" i="1"/>
  <c r="CK414" i="1"/>
  <c r="AK405" i="1"/>
  <c r="G396" i="1"/>
  <c r="BK386" i="1"/>
  <c r="K377" i="1"/>
  <c r="BO367" i="1"/>
  <c r="F397" i="1"/>
  <c r="BJ387" i="1"/>
  <c r="J378" i="1"/>
  <c r="BN368" i="1"/>
  <c r="CK397" i="1"/>
  <c r="AK388" i="1"/>
  <c r="CO378" i="1"/>
  <c r="J418" i="1"/>
  <c r="AO431" i="1"/>
  <c r="CS421" i="1"/>
  <c r="AS412" i="1"/>
  <c r="O403" i="1"/>
  <c r="BS393" i="1"/>
  <c r="S384" i="1"/>
  <c r="BW374" i="1"/>
  <c r="N404" i="1"/>
  <c r="BR394" i="1"/>
  <c r="R385" i="1"/>
  <c r="BV375" i="1"/>
  <c r="CS404" i="1"/>
  <c r="AS395" i="1"/>
  <c r="CW385" i="1"/>
  <c r="AW376" i="1"/>
  <c r="AL417" i="1"/>
  <c r="U431" i="1"/>
  <c r="BY421" i="1"/>
  <c r="Y412" i="1"/>
  <c r="CY402" i="1"/>
  <c r="AY393" i="1"/>
  <c r="DC383" i="1"/>
  <c r="BC374" i="1"/>
  <c r="CX403" i="1"/>
  <c r="AX394" i="1"/>
  <c r="DB384" i="1"/>
  <c r="BB375" i="1"/>
  <c r="BY404" i="1"/>
  <c r="Y395" i="1"/>
  <c r="CC385" i="1"/>
  <c r="AC376" i="1"/>
  <c r="AX485" i="1"/>
  <c r="CG489" i="1"/>
  <c r="CU452" i="1"/>
  <c r="CR499" i="1"/>
  <c r="BC443" i="1"/>
  <c r="BO420" i="1"/>
  <c r="AX446" i="1"/>
  <c r="BW407" i="1"/>
  <c r="AD405" i="1"/>
  <c r="CV436" i="1"/>
  <c r="CY435" i="1"/>
  <c r="CT435" i="1"/>
  <c r="CO435" i="1"/>
  <c r="DH432" i="1"/>
  <c r="CY432" i="1"/>
  <c r="CE415" i="1"/>
  <c r="CT436" i="1"/>
  <c r="AK434" i="1"/>
  <c r="BI423" i="1"/>
  <c r="I414" i="1"/>
  <c r="CI404" i="1"/>
  <c r="AI395" i="1"/>
  <c r="CM385" i="1"/>
  <c r="AM376" i="1"/>
  <c r="CQ366" i="1"/>
  <c r="AH396" i="1"/>
  <c r="CL386" i="1"/>
  <c r="AL377" i="1"/>
  <c r="CP367" i="1"/>
  <c r="I397" i="1"/>
  <c r="BM387" i="1"/>
  <c r="M378" i="1"/>
  <c r="N415" i="1"/>
  <c r="BQ430" i="1"/>
  <c r="Q421" i="1"/>
  <c r="BU411" i="1"/>
  <c r="AQ402" i="1"/>
  <c r="CU392" i="1"/>
  <c r="AU383" i="1"/>
  <c r="CY373" i="1"/>
  <c r="AP403" i="1"/>
  <c r="CT393" i="1"/>
  <c r="AT384" i="1"/>
  <c r="CX374" i="1"/>
  <c r="Q404" i="1"/>
  <c r="BU394" i="1"/>
  <c r="U385" i="1"/>
  <c r="BY375" i="1"/>
  <c r="AP414" i="1"/>
  <c r="AW430" i="1"/>
  <c r="DA420" i="1"/>
  <c r="BA411" i="1"/>
  <c r="W402" i="1"/>
  <c r="CA392" i="1"/>
  <c r="AA383" i="1"/>
  <c r="CE373" i="1"/>
  <c r="V403" i="1"/>
  <c r="BZ393" i="1"/>
  <c r="Z384" i="1"/>
  <c r="CD374" i="1"/>
  <c r="DA403" i="1"/>
  <c r="BA394" i="1"/>
  <c r="DE384" i="1"/>
  <c r="BE375" i="1"/>
  <c r="CM447" i="1"/>
  <c r="DC415" i="1"/>
  <c r="BN439" i="1"/>
  <c r="BG417" i="1"/>
  <c r="M415" i="1"/>
  <c r="AQ377" i="1"/>
  <c r="AP378" i="1"/>
  <c r="Q379" i="1"/>
  <c r="BY412" i="1"/>
  <c r="DC374" i="1"/>
  <c r="DB375" i="1"/>
  <c r="CC376" i="1"/>
  <c r="BE412" i="1"/>
  <c r="CI374" i="1"/>
  <c r="CH375" i="1"/>
  <c r="BE379" i="1"/>
  <c r="DA367" i="1"/>
  <c r="CG434" i="1"/>
  <c r="I425" i="1"/>
  <c r="BM415" i="1"/>
  <c r="M406" i="1"/>
  <c r="CM396" i="1"/>
  <c r="AM387" i="1"/>
  <c r="CQ377" i="1"/>
  <c r="AQ368" i="1"/>
  <c r="CL397" i="1"/>
  <c r="AL388" i="1"/>
  <c r="CP378" i="1"/>
  <c r="AP369" i="1"/>
  <c r="BM398" i="1"/>
  <c r="M389" i="1"/>
  <c r="BQ379" i="1"/>
  <c r="Q370" i="1"/>
  <c r="BP398" i="1"/>
  <c r="P389" i="1"/>
  <c r="BT379" i="1"/>
  <c r="T370" i="1"/>
  <c r="AC360" i="1"/>
  <c r="CG350" i="1"/>
  <c r="AG341" i="1"/>
  <c r="CK331" i="1"/>
  <c r="AK322" i="1"/>
  <c r="CO312" i="1"/>
  <c r="AO303" i="1"/>
  <c r="CS293" i="1"/>
  <c r="BL357" i="1"/>
  <c r="L348" i="1"/>
  <c r="BP338" i="1"/>
  <c r="P329" i="1"/>
  <c r="BT319" i="1"/>
  <c r="T310" i="1"/>
  <c r="AY358" i="1"/>
  <c r="DC348" i="1"/>
  <c r="BC339" i="1"/>
  <c r="DG329" i="1"/>
  <c r="BG320" i="1"/>
  <c r="G311" i="1"/>
  <c r="BK301" i="1"/>
  <c r="K292" i="1"/>
  <c r="AT358" i="1"/>
  <c r="CX348" i="1"/>
  <c r="AX339" i="1"/>
  <c r="DB329" i="1"/>
  <c r="BB320" i="1"/>
  <c r="BH401" i="1"/>
  <c r="H392" i="1"/>
  <c r="BL382" i="1"/>
  <c r="L373" i="1"/>
  <c r="U363" i="1"/>
  <c r="BY353" i="1"/>
  <c r="Y344" i="1"/>
  <c r="CC334" i="1"/>
  <c r="AC325" i="1"/>
  <c r="CG315" i="1"/>
  <c r="AG306" i="1"/>
  <c r="CK296" i="1"/>
  <c r="BD360" i="1"/>
  <c r="DH350" i="1"/>
  <c r="BH341" i="1"/>
  <c r="H332" i="1"/>
  <c r="BL322" i="1"/>
  <c r="L313" i="1"/>
  <c r="AQ361" i="1"/>
  <c r="CU351" i="1"/>
  <c r="AU342" i="1"/>
  <c r="CY332" i="1"/>
  <c r="AY323" i="1"/>
  <c r="DC313" i="1"/>
  <c r="BC304" i="1"/>
  <c r="DG294" i="1"/>
  <c r="AL361" i="1"/>
  <c r="CP351" i="1"/>
  <c r="AP342" i="1"/>
  <c r="CT332" i="1"/>
  <c r="AT323" i="1"/>
  <c r="CX313" i="1"/>
  <c r="AN401" i="1"/>
  <c r="CR391" i="1"/>
  <c r="AR382" i="1"/>
  <c r="CV372" i="1"/>
  <c r="DE362" i="1"/>
  <c r="BE353" i="1"/>
  <c r="DI343" i="1"/>
  <c r="BI334" i="1"/>
  <c r="I325" i="1"/>
  <c r="BM315" i="1"/>
  <c r="M306" i="1"/>
  <c r="BQ296" i="1"/>
  <c r="AJ360" i="1"/>
  <c r="CN350" i="1"/>
  <c r="AN341" i="1"/>
  <c r="CR331" i="1"/>
  <c r="AR322" i="1"/>
  <c r="CV312" i="1"/>
  <c r="W361" i="1"/>
  <c r="CA351" i="1"/>
  <c r="AA342" i="1"/>
  <c r="CE332" i="1"/>
  <c r="AE323" i="1"/>
  <c r="CI313" i="1"/>
  <c r="AI304" i="1"/>
  <c r="CM294" i="1"/>
  <c r="R361" i="1"/>
  <c r="BV351" i="1"/>
  <c r="V342" i="1"/>
  <c r="BZ332" i="1"/>
  <c r="Z323" i="1"/>
  <c r="AF404" i="1"/>
  <c r="CJ394" i="1"/>
  <c r="DD506" i="1"/>
  <c r="AA411" i="1"/>
  <c r="Z437" i="1"/>
  <c r="BS416" i="1"/>
  <c r="BE414" i="1"/>
  <c r="CI376" i="1"/>
  <c r="CH377" i="1"/>
  <c r="BI378" i="1"/>
  <c r="M412" i="1"/>
  <c r="AQ374" i="1"/>
  <c r="AP375" i="1"/>
  <c r="Q376" i="1"/>
  <c r="CW411" i="1"/>
  <c r="W374" i="1"/>
  <c r="V375" i="1"/>
  <c r="AO379" i="1"/>
  <c r="CK367" i="1"/>
  <c r="BM434" i="1"/>
  <c r="CW424" i="1"/>
  <c r="AW415" i="1"/>
  <c r="DA405" i="1"/>
  <c r="BW396" i="1"/>
  <c r="W387" i="1"/>
  <c r="CA377" i="1"/>
  <c r="AA368" i="1"/>
  <c r="BV397" i="1"/>
  <c r="V388" i="1"/>
  <c r="BZ378" i="1"/>
  <c r="Z369" i="1"/>
  <c r="AW398" i="1"/>
  <c r="DA388" i="1"/>
  <c r="BA379" i="1"/>
  <c r="AK372" i="1"/>
  <c r="AZ398" i="1"/>
  <c r="DD388" i="1"/>
  <c r="BD379" i="1"/>
  <c r="DH369" i="1"/>
  <c r="M360" i="1"/>
  <c r="BQ350" i="1"/>
  <c r="Q341" i="1"/>
  <c r="BU331" i="1"/>
  <c r="U322" i="1"/>
  <c r="BY312" i="1"/>
  <c r="Y303" i="1"/>
  <c r="AN367" i="1"/>
  <c r="AV357" i="1"/>
  <c r="CZ347" i="1"/>
  <c r="AZ338" i="1"/>
  <c r="DD328" i="1"/>
  <c r="BD319" i="1"/>
  <c r="DH309" i="1"/>
  <c r="AI358" i="1"/>
  <c r="CM348" i="1"/>
  <c r="AM339" i="1"/>
  <c r="CQ329" i="1"/>
  <c r="AQ320" i="1"/>
  <c r="CU310" i="1"/>
  <c r="AU301" i="1"/>
  <c r="CY291" i="1"/>
  <c r="AD358" i="1"/>
  <c r="CH348" i="1"/>
  <c r="AH339" i="1"/>
  <c r="CL329" i="1"/>
  <c r="AL320" i="1"/>
  <c r="AR401" i="1"/>
  <c r="CV391" i="1"/>
  <c r="AV382" i="1"/>
  <c r="CZ372" i="1"/>
  <c r="DI362" i="1"/>
  <c r="BI353" i="1"/>
  <c r="I344" i="1"/>
  <c r="BM334" i="1"/>
  <c r="M325" i="1"/>
  <c r="BQ315" i="1"/>
  <c r="Q306" i="1"/>
  <c r="BU296" i="1"/>
  <c r="AN360" i="1"/>
  <c r="CR350" i="1"/>
  <c r="AR341" i="1"/>
  <c r="CV331" i="1"/>
  <c r="AV322" i="1"/>
  <c r="CZ312" i="1"/>
  <c r="AA361" i="1"/>
  <c r="CE351" i="1"/>
  <c r="AE342" i="1"/>
  <c r="CI332" i="1"/>
  <c r="AI323" i="1"/>
  <c r="CM313" i="1"/>
  <c r="AM304" i="1"/>
  <c r="CQ294" i="1"/>
  <c r="CX365" i="1"/>
  <c r="V361" i="1"/>
  <c r="AX356" i="1"/>
  <c r="BZ351" i="1"/>
  <c r="DB346" i="1"/>
  <c r="Z342" i="1"/>
  <c r="BB337" i="1"/>
  <c r="CD332" i="1"/>
  <c r="DF327" i="1"/>
  <c r="AD323" i="1"/>
  <c r="BF318" i="1"/>
  <c r="CH313" i="1"/>
  <c r="U368" i="1"/>
  <c r="X401" i="1"/>
  <c r="AZ396" i="1"/>
  <c r="CB391" i="1"/>
  <c r="DD386" i="1"/>
  <c r="AB382" i="1"/>
  <c r="BD377" i="1"/>
  <c r="CF372" i="1"/>
  <c r="DH367" i="1"/>
  <c r="CO362" i="1"/>
  <c r="M358" i="1"/>
  <c r="AO353" i="1"/>
  <c r="BQ348" i="1"/>
  <c r="CS343" i="1"/>
  <c r="Q339" i="1"/>
  <c r="AS334" i="1"/>
  <c r="BU329" i="1"/>
  <c r="CW324" i="1"/>
  <c r="U320" i="1"/>
  <c r="AW315" i="1"/>
  <c r="BY310" i="1"/>
  <c r="DA305" i="1"/>
  <c r="Y301" i="1"/>
  <c r="BA296" i="1"/>
  <c r="CV364" i="1"/>
  <c r="T360" i="1"/>
  <c r="AV355" i="1"/>
  <c r="BX350" i="1"/>
  <c r="CZ345" i="1"/>
  <c r="X341" i="1"/>
  <c r="AZ336" i="1"/>
  <c r="CB331" i="1"/>
  <c r="DD326" i="1"/>
  <c r="AB322" i="1"/>
  <c r="BD317" i="1"/>
  <c r="CF312" i="1"/>
  <c r="CI365" i="1"/>
  <c r="G361" i="1"/>
  <c r="AI356" i="1"/>
  <c r="BK351" i="1"/>
  <c r="CM346" i="1"/>
  <c r="K342" i="1"/>
  <c r="AM337" i="1"/>
  <c r="BO332" i="1"/>
  <c r="CQ327" i="1"/>
  <c r="O323" i="1"/>
  <c r="AQ318" i="1"/>
  <c r="BS313" i="1"/>
  <c r="CU308" i="1"/>
  <c r="S304" i="1"/>
  <c r="AU299" i="1"/>
  <c r="BW294" i="1"/>
  <c r="CD365" i="1"/>
  <c r="DF360" i="1"/>
  <c r="AD356" i="1"/>
  <c r="BF351" i="1"/>
  <c r="CH346" i="1"/>
  <c r="F342" i="1"/>
  <c r="AH337" i="1"/>
  <c r="BJ332" i="1"/>
  <c r="CL327" i="1"/>
  <c r="J323" i="1"/>
  <c r="AL318" i="1"/>
  <c r="P404" i="1"/>
  <c r="AR399" i="1"/>
  <c r="BT394" i="1"/>
  <c r="DI484" i="1"/>
  <c r="BD497" i="1"/>
  <c r="AE419" i="1"/>
  <c r="BC406" i="1"/>
  <c r="CR435" i="1"/>
  <c r="CP434" i="1"/>
  <c r="DD431" i="1"/>
  <c r="BO415" i="1"/>
  <c r="Q434" i="1"/>
  <c r="CW413" i="1"/>
  <c r="S395" i="1"/>
  <c r="W376" i="1"/>
  <c r="R396" i="1"/>
  <c r="V377" i="1"/>
  <c r="CW396" i="1"/>
  <c r="DA377" i="1"/>
  <c r="BA430" i="1"/>
  <c r="BE411" i="1"/>
  <c r="CE392" i="1"/>
  <c r="CI373" i="1"/>
  <c r="CD393" i="1"/>
  <c r="CH374" i="1"/>
  <c r="BE394" i="1"/>
  <c r="BI375" i="1"/>
  <c r="AG430" i="1"/>
  <c r="AK411" i="1"/>
  <c r="BK392" i="1"/>
  <c r="BO373" i="1"/>
  <c r="BJ393" i="1"/>
  <c r="BN374" i="1"/>
  <c r="AK394" i="1"/>
  <c r="CW378" i="1"/>
  <c r="AS372" i="1"/>
  <c r="BR429" i="1"/>
  <c r="BV410" i="1"/>
  <c r="AS434" i="1"/>
  <c r="BE429" i="1"/>
  <c r="CG424" i="1"/>
  <c r="DI419" i="1"/>
  <c r="AG415" i="1"/>
  <c r="BI410" i="1"/>
  <c r="CK405" i="1"/>
  <c r="AE401" i="1"/>
  <c r="BG396" i="1"/>
  <c r="CI391" i="1"/>
  <c r="G387" i="1"/>
  <c r="AI382" i="1"/>
  <c r="BK377" i="1"/>
  <c r="CM372" i="1"/>
  <c r="K368" i="1"/>
  <c r="AD402" i="1"/>
  <c r="BF397" i="1"/>
  <c r="CH392" i="1"/>
  <c r="F388" i="1"/>
  <c r="AH383" i="1"/>
  <c r="BJ378" i="1"/>
  <c r="CL373" i="1"/>
  <c r="J369" i="1"/>
  <c r="DI402" i="1"/>
  <c r="AG398" i="1"/>
  <c r="BI393" i="1"/>
  <c r="CK388" i="1"/>
  <c r="I384" i="1"/>
  <c r="AK379" i="1"/>
  <c r="BM374" i="1"/>
  <c r="CC371" i="1"/>
  <c r="H403" i="1"/>
  <c r="AJ398" i="1"/>
  <c r="BL393" i="1"/>
  <c r="CN388" i="1"/>
  <c r="L384" i="1"/>
  <c r="AN379" i="1"/>
  <c r="BP374" i="1"/>
  <c r="CR369" i="1"/>
  <c r="BY364" i="1"/>
  <c r="DA359" i="1"/>
  <c r="Y355" i="1"/>
  <c r="BA350" i="1"/>
  <c r="CC345" i="1"/>
  <c r="DE340" i="1"/>
  <c r="AC336" i="1"/>
  <c r="BE331" i="1"/>
  <c r="CG326" i="1"/>
  <c r="DI321" i="1"/>
  <c r="AG317" i="1"/>
  <c r="BI312" i="1"/>
  <c r="CK307" i="1"/>
  <c r="I303" i="1"/>
  <c r="AK298" i="1"/>
  <c r="H367" i="1"/>
  <c r="DH361" i="1"/>
  <c r="AF357" i="1"/>
  <c r="BH352" i="1"/>
  <c r="CJ347" i="1"/>
  <c r="H343" i="1"/>
  <c r="AJ338" i="1"/>
  <c r="BL333" i="1"/>
  <c r="CN328" i="1"/>
  <c r="L324" i="1"/>
  <c r="AN319" i="1"/>
  <c r="BP314" i="1"/>
  <c r="CR309" i="1"/>
  <c r="AE365" i="1"/>
  <c r="CU362" i="1"/>
  <c r="BG360" i="1"/>
  <c r="S358" i="1"/>
  <c r="CI355" i="1"/>
  <c r="AU353" i="1"/>
  <c r="G351" i="1"/>
  <c r="BW348" i="1"/>
  <c r="AI346" i="1"/>
  <c r="CY343" i="1"/>
  <c r="BK341" i="1"/>
  <c r="W339" i="1"/>
  <c r="CM336" i="1"/>
  <c r="AY334" i="1"/>
  <c r="K332" i="1"/>
  <c r="CA329" i="1"/>
  <c r="AM327" i="1"/>
  <c r="DC324" i="1"/>
  <c r="BO322" i="1"/>
  <c r="AA320" i="1"/>
  <c r="CQ317" i="1"/>
  <c r="BC315" i="1"/>
  <c r="O313" i="1"/>
  <c r="CE310" i="1"/>
  <c r="AQ308" i="1"/>
  <c r="DG305" i="1"/>
  <c r="BS303" i="1"/>
  <c r="AE301" i="1"/>
  <c r="CU298" i="1"/>
  <c r="BG296" i="1"/>
  <c r="S294" i="1"/>
  <c r="CI291" i="1"/>
  <c r="Z365" i="1"/>
  <c r="CP362" i="1"/>
  <c r="BB360" i="1"/>
  <c r="N358" i="1"/>
  <c r="CD355" i="1"/>
  <c r="AP353" i="1"/>
  <c r="DF350" i="1"/>
  <c r="BR348" i="1"/>
  <c r="AD346" i="1"/>
  <c r="CT343" i="1"/>
  <c r="BF341" i="1"/>
  <c r="R339" i="1"/>
  <c r="CH336" i="1"/>
  <c r="AT334" i="1"/>
  <c r="F332" i="1"/>
  <c r="BV329" i="1"/>
  <c r="AH327" i="1"/>
  <c r="CX324" i="1"/>
  <c r="BJ322" i="1"/>
  <c r="V320" i="1"/>
  <c r="CL317" i="1"/>
  <c r="Y368" i="1"/>
  <c r="BP403" i="1"/>
  <c r="AB401" i="1"/>
  <c r="CR398" i="1"/>
  <c r="BD396" i="1"/>
  <c r="P394" i="1"/>
  <c r="CF391" i="1"/>
  <c r="AR389" i="1"/>
  <c r="DH386" i="1"/>
  <c r="BT384" i="1"/>
  <c r="AF382" i="1"/>
  <c r="CV379" i="1"/>
  <c r="BH377" i="1"/>
  <c r="T375" i="1"/>
  <c r="CJ372" i="1"/>
  <c r="AV370" i="1"/>
  <c r="H368" i="1"/>
  <c r="AC365" i="1"/>
  <c r="CS362" i="1"/>
  <c r="BE360" i="1"/>
  <c r="Q358" i="1"/>
  <c r="CG355" i="1"/>
  <c r="AS353" i="1"/>
  <c r="DI350" i="1"/>
  <c r="BU348" i="1"/>
  <c r="AG346" i="1"/>
  <c r="CW343" i="1"/>
  <c r="BI341" i="1"/>
  <c r="U339" i="1"/>
  <c r="CK336" i="1"/>
  <c r="AW334" i="1"/>
  <c r="I332" i="1"/>
  <c r="BY329" i="1"/>
  <c r="AK327" i="1"/>
  <c r="DA324" i="1"/>
  <c r="BM322" i="1"/>
  <c r="Y320" i="1"/>
  <c r="CO317" i="1"/>
  <c r="BA315" i="1"/>
  <c r="M313" i="1"/>
  <c r="CC310" i="1"/>
  <c r="AO308" i="1"/>
  <c r="DE305" i="1"/>
  <c r="BQ303" i="1"/>
  <c r="AC301" i="1"/>
  <c r="CS298" i="1"/>
  <c r="BE296" i="1"/>
  <c r="Q294" i="1"/>
  <c r="CZ364" i="1"/>
  <c r="BL362" i="1"/>
  <c r="X360" i="1"/>
  <c r="CN357" i="1"/>
  <c r="AZ355" i="1"/>
  <c r="L353" i="1"/>
  <c r="CB350" i="1"/>
  <c r="AN348" i="1"/>
  <c r="DD345" i="1"/>
  <c r="BP343" i="1"/>
  <c r="AB341" i="1"/>
  <c r="CR338" i="1"/>
  <c r="BD336" i="1"/>
  <c r="P334" i="1"/>
  <c r="CF331" i="1"/>
  <c r="AR329" i="1"/>
  <c r="DH326" i="1"/>
  <c r="BT324" i="1"/>
  <c r="AF322" i="1"/>
  <c r="CV319" i="1"/>
  <c r="BH317" i="1"/>
  <c r="T315" i="1"/>
  <c r="CJ312" i="1"/>
  <c r="AV310" i="1"/>
  <c r="CM365" i="1"/>
  <c r="AY363" i="1"/>
  <c r="K361" i="1"/>
  <c r="CA358" i="1"/>
  <c r="AM356" i="1"/>
  <c r="DC353" i="1"/>
  <c r="BO351" i="1"/>
  <c r="AA349" i="1"/>
  <c r="CQ346" i="1"/>
  <c r="BC344" i="1"/>
  <c r="O342" i="1"/>
  <c r="CE339" i="1"/>
  <c r="AQ337" i="1"/>
  <c r="DG334" i="1"/>
  <c r="BS332" i="1"/>
  <c r="AE330" i="1"/>
  <c r="CU327" i="1"/>
  <c r="BG325" i="1"/>
  <c r="S323" i="1"/>
  <c r="CI320" i="1"/>
  <c r="AU318" i="1"/>
  <c r="G316" i="1"/>
  <c r="BW313" i="1"/>
  <c r="AI311" i="1"/>
  <c r="CY308" i="1"/>
  <c r="BK306" i="1"/>
  <c r="W304" i="1"/>
  <c r="CM301" i="1"/>
  <c r="AY299" i="1"/>
  <c r="K297" i="1"/>
  <c r="CA294" i="1"/>
  <c r="AM292" i="1"/>
  <c r="CH365" i="1"/>
  <c r="AT363" i="1"/>
  <c r="F361" i="1"/>
  <c r="BV358" i="1"/>
  <c r="AH356" i="1"/>
  <c r="CX353" i="1"/>
  <c r="BJ351" i="1"/>
  <c r="V349" i="1"/>
  <c r="CL346" i="1"/>
  <c r="AX344" i="1"/>
  <c r="J342" i="1"/>
  <c r="BZ339" i="1"/>
  <c r="AL337" i="1"/>
  <c r="DB334" i="1"/>
  <c r="BN332" i="1"/>
  <c r="Z330" i="1"/>
  <c r="CP327" i="1"/>
  <c r="BB325" i="1"/>
  <c r="N323" i="1"/>
  <c r="CD320" i="1"/>
  <c r="AP318" i="1"/>
  <c r="DF315" i="1"/>
  <c r="BR313" i="1"/>
  <c r="AD311" i="1"/>
  <c r="DE367" i="1"/>
  <c r="AV403" i="1"/>
  <c r="H401" i="1"/>
  <c r="BX398" i="1"/>
  <c r="AJ396" i="1"/>
  <c r="CZ393" i="1"/>
  <c r="BL391" i="1"/>
  <c r="X389" i="1"/>
  <c r="CN386" i="1"/>
  <c r="AZ384" i="1"/>
  <c r="L382" i="1"/>
  <c r="CB379" i="1"/>
  <c r="AN377" i="1"/>
  <c r="DD374" i="1"/>
  <c r="BP372" i="1"/>
  <c r="AB370" i="1"/>
  <c r="CR367" i="1"/>
  <c r="I365" i="1"/>
  <c r="BY362" i="1"/>
  <c r="AK360" i="1"/>
  <c r="DA357" i="1"/>
  <c r="BM355" i="1"/>
  <c r="Y353" i="1"/>
  <c r="CO350" i="1"/>
  <c r="BA348" i="1"/>
  <c r="M346" i="1"/>
  <c r="CC343" i="1"/>
  <c r="AO341" i="1"/>
  <c r="DE338" i="1"/>
  <c r="BQ336" i="1"/>
  <c r="AC334" i="1"/>
  <c r="CS331" i="1"/>
  <c r="BE329" i="1"/>
  <c r="Q327" i="1"/>
  <c r="CG324" i="1"/>
  <c r="AS322" i="1"/>
  <c r="DI319" i="1"/>
  <c r="BU317" i="1"/>
  <c r="AG315" i="1"/>
  <c r="CW312" i="1"/>
  <c r="BI310" i="1"/>
  <c r="U308" i="1"/>
  <c r="CK305" i="1"/>
  <c r="AW303" i="1"/>
  <c r="I301" i="1"/>
  <c r="BY298" i="1"/>
  <c r="AK296" i="1"/>
  <c r="DA293" i="1"/>
  <c r="CF364" i="1"/>
  <c r="AR362" i="1"/>
  <c r="DH359" i="1"/>
  <c r="BT357" i="1"/>
  <c r="AF355" i="1"/>
  <c r="CV352" i="1"/>
  <c r="BH350" i="1"/>
  <c r="T348" i="1"/>
  <c r="CJ345" i="1"/>
  <c r="AV343" i="1"/>
  <c r="H341" i="1"/>
  <c r="BX338" i="1"/>
  <c r="AJ336" i="1"/>
  <c r="CZ333" i="1"/>
  <c r="BL331" i="1"/>
  <c r="X329" i="1"/>
  <c r="CN326" i="1"/>
  <c r="AZ324" i="1"/>
  <c r="L322" i="1"/>
  <c r="CB319" i="1"/>
  <c r="AN317" i="1"/>
  <c r="DD314" i="1"/>
  <c r="BP312" i="1"/>
  <c r="AB310" i="1"/>
  <c r="BS365" i="1"/>
  <c r="AE363" i="1"/>
  <c r="CU360" i="1"/>
  <c r="BG358" i="1"/>
  <c r="S356" i="1"/>
  <c r="CI353" i="1"/>
  <c r="AU351" i="1"/>
  <c r="G349" i="1"/>
  <c r="BW346" i="1"/>
  <c r="AI344" i="1"/>
  <c r="CY341" i="1"/>
  <c r="BK339" i="1"/>
  <c r="W337" i="1"/>
  <c r="CM334" i="1"/>
  <c r="AY332" i="1"/>
  <c r="K330" i="1"/>
  <c r="CA327" i="1"/>
  <c r="AM325" i="1"/>
  <c r="DC322" i="1"/>
  <c r="BO320" i="1"/>
  <c r="AA318" i="1"/>
  <c r="CQ315" i="1"/>
  <c r="BC313" i="1"/>
  <c r="O311" i="1"/>
  <c r="CE308" i="1"/>
  <c r="AQ306" i="1"/>
  <c r="DG303" i="1"/>
  <c r="BS301" i="1"/>
  <c r="AE299" i="1"/>
  <c r="CU296" i="1"/>
  <c r="BG294" i="1"/>
  <c r="S292" i="1"/>
  <c r="BN365" i="1"/>
  <c r="Z363" i="1"/>
  <c r="CP360" i="1"/>
  <c r="BB358" i="1"/>
  <c r="N356" i="1"/>
  <c r="CD353" i="1"/>
  <c r="AP351" i="1"/>
  <c r="DF348" i="1"/>
  <c r="BR346" i="1"/>
  <c r="AD344" i="1"/>
  <c r="CT341" i="1"/>
  <c r="BF339" i="1"/>
  <c r="R337" i="1"/>
  <c r="CH334" i="1"/>
  <c r="AT332" i="1"/>
  <c r="F330" i="1"/>
  <c r="BV327" i="1"/>
  <c r="AH325" i="1"/>
  <c r="CX322" i="1"/>
  <c r="BJ320" i="1"/>
  <c r="V318" i="1"/>
  <c r="CC368" i="1"/>
  <c r="Y565" i="1"/>
  <c r="I446" i="1"/>
  <c r="AH430" i="1"/>
  <c r="DF422" i="1"/>
  <c r="AE410" i="1"/>
  <c r="DA410" i="1"/>
  <c r="AA373" i="1"/>
  <c r="Z374" i="1"/>
  <c r="DE374" i="1"/>
  <c r="BI408" i="1"/>
  <c r="CM370" i="1"/>
  <c r="CL371" i="1"/>
  <c r="BM372" i="1"/>
  <c r="AO408" i="1"/>
  <c r="BS370" i="1"/>
  <c r="BR371" i="1"/>
  <c r="BM377" i="1"/>
  <c r="BV426" i="1"/>
  <c r="BE433" i="1"/>
  <c r="DI423" i="1"/>
  <c r="BI414" i="1"/>
  <c r="CZ405" i="1"/>
  <c r="CI395" i="1"/>
  <c r="AI386" i="1"/>
  <c r="CM376" i="1"/>
  <c r="AM367" i="1"/>
  <c r="CH396" i="1"/>
  <c r="AH387" i="1"/>
  <c r="CL377" i="1"/>
  <c r="AL368" i="1"/>
  <c r="BI397" i="1"/>
  <c r="I388" i="1"/>
  <c r="BM378" i="1"/>
  <c r="BU369" i="1"/>
  <c r="BL397" i="1"/>
  <c r="L388" i="1"/>
  <c r="BP378" i="1"/>
  <c r="P369" i="1"/>
  <c r="Y359" i="1"/>
  <c r="CC349" i="1"/>
  <c r="AC340" i="1"/>
  <c r="CG330" i="1"/>
  <c r="AG321" i="1"/>
  <c r="CK311" i="1"/>
  <c r="AK302" i="1"/>
  <c r="DH365" i="1"/>
  <c r="BH356" i="1"/>
  <c r="H347" i="1"/>
  <c r="BL337" i="1"/>
  <c r="L328" i="1"/>
  <c r="BP318" i="1"/>
  <c r="AK367" i="1"/>
  <c r="AU357" i="1"/>
  <c r="CY347" i="1"/>
  <c r="AY338" i="1"/>
  <c r="DC328" i="1"/>
  <c r="BC319" i="1"/>
  <c r="DG309" i="1"/>
  <c r="BG300" i="1"/>
  <c r="AB367" i="1"/>
  <c r="AP357" i="1"/>
  <c r="CT347" i="1"/>
  <c r="AT338" i="1"/>
  <c r="CX328" i="1"/>
  <c r="AX319" i="1"/>
  <c r="BD400" i="1"/>
  <c r="DH390" i="1"/>
  <c r="BH381" i="1"/>
  <c r="H372" i="1"/>
  <c r="Q362" i="1"/>
  <c r="BU352" i="1"/>
  <c r="U343" i="1"/>
  <c r="BY333" i="1"/>
  <c r="Y324" i="1"/>
  <c r="CC314" i="1"/>
  <c r="AC305" i="1"/>
  <c r="CG295" i="1"/>
  <c r="AZ359" i="1"/>
  <c r="DD349" i="1"/>
  <c r="BD340" i="1"/>
  <c r="DH330" i="1"/>
  <c r="BH321" i="1"/>
  <c r="H312" i="1"/>
  <c r="AM360" i="1"/>
  <c r="CQ350" i="1"/>
  <c r="AQ341" i="1"/>
  <c r="CU331" i="1"/>
  <c r="AU322" i="1"/>
  <c r="CY312" i="1"/>
  <c r="AY303" i="1"/>
  <c r="DC293" i="1"/>
  <c r="AH360" i="1"/>
  <c r="CL350" i="1"/>
  <c r="AL341" i="1"/>
  <c r="CP331" i="1"/>
  <c r="AP322" i="1"/>
  <c r="CT312" i="1"/>
  <c r="AJ400" i="1"/>
  <c r="CN390" i="1"/>
  <c r="AN381" i="1"/>
  <c r="CR371" i="1"/>
  <c r="DA361" i="1"/>
  <c r="BA352" i="1"/>
  <c r="DE342" i="1"/>
  <c r="BE333" i="1"/>
  <c r="DI323" i="1"/>
  <c r="BI314" i="1"/>
  <c r="I305" i="1"/>
  <c r="BM295" i="1"/>
  <c r="AF359" i="1"/>
  <c r="CJ349" i="1"/>
  <c r="AJ340" i="1"/>
  <c r="CN330" i="1"/>
  <c r="AN321" i="1"/>
  <c r="CR311" i="1"/>
  <c r="S360" i="1"/>
  <c r="BW350" i="1"/>
  <c r="W341" i="1"/>
  <c r="CA331" i="1"/>
  <c r="AA322" i="1"/>
  <c r="CE312" i="1"/>
  <c r="AE303" i="1"/>
  <c r="CI293" i="1"/>
  <c r="N360" i="1"/>
  <c r="BR350" i="1"/>
  <c r="R341" i="1"/>
  <c r="BV331" i="1"/>
  <c r="V322" i="1"/>
  <c r="CN403" i="1"/>
  <c r="L399" i="1"/>
  <c r="AN394" i="1"/>
  <c r="DD391" i="1"/>
  <c r="BP389" i="1"/>
  <c r="AB387" i="1"/>
  <c r="CR384" i="1"/>
  <c r="BD382" i="1"/>
  <c r="P380" i="1"/>
  <c r="CF377" i="1"/>
  <c r="AR375" i="1"/>
  <c r="DH372" i="1"/>
  <c r="BT370" i="1"/>
  <c r="AF368" i="1"/>
  <c r="BA365" i="1"/>
  <c r="M363" i="1"/>
  <c r="CC360" i="1"/>
  <c r="AO358" i="1"/>
  <c r="DE355" i="1"/>
  <c r="BQ353" i="1"/>
  <c r="AC351" i="1"/>
  <c r="CS348" i="1"/>
  <c r="BE346" i="1"/>
  <c r="Q344" i="1"/>
  <c r="CG341" i="1"/>
  <c r="AS339" i="1"/>
  <c r="DI336" i="1"/>
  <c r="BU334" i="1"/>
  <c r="AG332" i="1"/>
  <c r="CW329" i="1"/>
  <c r="BI327" i="1"/>
  <c r="U325" i="1"/>
  <c r="CK322" i="1"/>
  <c r="AW320" i="1"/>
  <c r="I318" i="1"/>
  <c r="BY315" i="1"/>
  <c r="AK313" i="1"/>
  <c r="DA310" i="1"/>
  <c r="BM308" i="1"/>
  <c r="Y306" i="1"/>
  <c r="CO303" i="1"/>
  <c r="BA301" i="1"/>
  <c r="M299" i="1"/>
  <c r="CC296" i="1"/>
  <c r="AO294" i="1"/>
  <c r="T365" i="1"/>
  <c r="CJ362" i="1"/>
  <c r="AV360" i="1"/>
  <c r="H358" i="1"/>
  <c r="BX355" i="1"/>
  <c r="AJ353" i="1"/>
  <c r="CZ350" i="1"/>
  <c r="BL348" i="1"/>
  <c r="X346" i="1"/>
  <c r="CN343" i="1"/>
  <c r="AZ341" i="1"/>
  <c r="L339" i="1"/>
  <c r="CB336" i="1"/>
  <c r="AN334" i="1"/>
  <c r="DD331" i="1"/>
  <c r="BP329" i="1"/>
  <c r="AB327" i="1"/>
  <c r="CR324" i="1"/>
  <c r="BD322" i="1"/>
  <c r="P320" i="1"/>
  <c r="CF317" i="1"/>
  <c r="AR315" i="1"/>
  <c r="DH312" i="1"/>
  <c r="BT310" i="1"/>
  <c r="G366" i="1"/>
  <c r="BW363" i="1"/>
  <c r="AI361" i="1"/>
  <c r="CY358" i="1"/>
  <c r="BK356" i="1"/>
  <c r="W354" i="1"/>
  <c r="CM351" i="1"/>
  <c r="AY349" i="1"/>
  <c r="K347" i="1"/>
  <c r="CA344" i="1"/>
  <c r="AM342" i="1"/>
  <c r="DC339" i="1"/>
  <c r="BO337" i="1"/>
  <c r="AA335" i="1"/>
  <c r="CQ332" i="1"/>
  <c r="BC330" i="1"/>
  <c r="O328" i="1"/>
  <c r="CE325" i="1"/>
  <c r="AQ323" i="1"/>
  <c r="DG320" i="1"/>
  <c r="BS318" i="1"/>
  <c r="AE316" i="1"/>
  <c r="CU313" i="1"/>
  <c r="BG311" i="1"/>
  <c r="S309" i="1"/>
  <c r="CI306" i="1"/>
  <c r="AU304" i="1"/>
  <c r="G302" i="1"/>
  <c r="BW299" i="1"/>
  <c r="AI297" i="1"/>
  <c r="CY294" i="1"/>
  <c r="BK292" i="1"/>
  <c r="DF365" i="1"/>
  <c r="BR363" i="1"/>
  <c r="AD361" i="1"/>
  <c r="CT358" i="1"/>
  <c r="BF356" i="1"/>
  <c r="R354" i="1"/>
  <c r="CH351" i="1"/>
  <c r="AT349" i="1"/>
  <c r="F347" i="1"/>
  <c r="BV344" i="1"/>
  <c r="AH342" i="1"/>
  <c r="CX339" i="1"/>
  <c r="BJ337" i="1"/>
  <c r="V335" i="1"/>
  <c r="CL332" i="1"/>
  <c r="AX330" i="1"/>
  <c r="J328" i="1"/>
  <c r="BZ325" i="1"/>
  <c r="AL323" i="1"/>
  <c r="DB320" i="1"/>
  <c r="BN318" i="1"/>
  <c r="AD316" i="1"/>
  <c r="N313" i="1"/>
  <c r="Z310" i="1"/>
  <c r="CP307" i="1"/>
  <c r="BB305" i="1"/>
  <c r="N303" i="1"/>
  <c r="CD300" i="1"/>
  <c r="AP298" i="1"/>
  <c r="DF295" i="1"/>
  <c r="AB300" i="1"/>
  <c r="AZ293" i="1"/>
  <c r="BD290" i="1"/>
  <c r="P288" i="1"/>
  <c r="CF285" i="1"/>
  <c r="AR283" i="1"/>
  <c r="DH280" i="1"/>
  <c r="BT278" i="1"/>
  <c r="AF276" i="1"/>
  <c r="CV273" i="1"/>
  <c r="BH271" i="1"/>
  <c r="T269" i="1"/>
  <c r="CJ266" i="1"/>
  <c r="AV264" i="1"/>
  <c r="H262" i="1"/>
  <c r="BX259" i="1"/>
  <c r="AJ257" i="1"/>
  <c r="CZ254" i="1"/>
  <c r="BL252" i="1"/>
  <c r="X250" i="1"/>
  <c r="CN247" i="1"/>
  <c r="AZ245" i="1"/>
  <c r="L243" i="1"/>
  <c r="CB240" i="1"/>
  <c r="AN238" i="1"/>
  <c r="DD235" i="1"/>
  <c r="BP233" i="1"/>
  <c r="AB231" i="1"/>
  <c r="CR228" i="1"/>
  <c r="BD226" i="1"/>
  <c r="P224" i="1"/>
  <c r="CF221" i="1"/>
  <c r="H300" i="1"/>
  <c r="AS293" i="1"/>
  <c r="AY290" i="1"/>
  <c r="K288" i="1"/>
  <c r="CA285" i="1"/>
  <c r="AM283" i="1"/>
  <c r="DC280" i="1"/>
  <c r="BO278" i="1"/>
  <c r="AA276" i="1"/>
  <c r="CQ273" i="1"/>
  <c r="BC271" i="1"/>
  <c r="O269" i="1"/>
  <c r="CE266" i="1"/>
  <c r="AQ264" i="1"/>
  <c r="DG261" i="1"/>
  <c r="BS259" i="1"/>
  <c r="AE257" i="1"/>
  <c r="CU254" i="1"/>
  <c r="BG252" i="1"/>
  <c r="S250" i="1"/>
  <c r="CI247" i="1"/>
  <c r="AU245" i="1"/>
  <c r="G243" i="1"/>
  <c r="BW240" i="1"/>
  <c r="AI238" i="1"/>
  <c r="CY235" i="1"/>
  <c r="BK233" i="1"/>
  <c r="W231" i="1"/>
  <c r="CM228" i="1"/>
  <c r="CZ301" i="1"/>
  <c r="T294" i="1"/>
  <c r="CX290" i="1"/>
  <c r="BJ288" i="1"/>
  <c r="V286" i="1"/>
  <c r="CL283" i="1"/>
  <c r="AX281" i="1"/>
  <c r="J279" i="1"/>
  <c r="BZ276" i="1"/>
  <c r="AL274" i="1"/>
  <c r="DB271" i="1"/>
  <c r="BN269" i="1"/>
  <c r="Z267" i="1"/>
  <c r="CP264" i="1"/>
  <c r="BB262" i="1"/>
  <c r="N260" i="1"/>
  <c r="CD257" i="1"/>
  <c r="AP255" i="1"/>
  <c r="DF252" i="1"/>
  <c r="BR250" i="1"/>
  <c r="AD248" i="1"/>
  <c r="CT245" i="1"/>
  <c r="BF243" i="1"/>
  <c r="R241" i="1"/>
  <c r="CH238" i="1"/>
  <c r="AT236" i="1"/>
  <c r="F234" i="1"/>
  <c r="BV231" i="1"/>
  <c r="AH229" i="1"/>
  <c r="CX226" i="1"/>
  <c r="BJ224" i="1"/>
  <c r="V222" i="1"/>
  <c r="CL219" i="1"/>
  <c r="AX217" i="1"/>
  <c r="J215" i="1"/>
  <c r="BX303" i="1"/>
  <c r="F295" i="1"/>
  <c r="AX291" i="1"/>
  <c r="DE288" i="1"/>
  <c r="BQ286" i="1"/>
  <c r="AC284" i="1"/>
  <c r="CS281" i="1"/>
  <c r="BE279" i="1"/>
  <c r="Q277" i="1"/>
  <c r="CG274" i="1"/>
  <c r="AS272" i="1"/>
  <c r="DI269" i="1"/>
  <c r="BU267" i="1"/>
  <c r="AG265" i="1"/>
  <c r="CW262" i="1"/>
  <c r="BI260" i="1"/>
  <c r="U258" i="1"/>
  <c r="CK255" i="1"/>
  <c r="AW253" i="1"/>
  <c r="I251" i="1"/>
  <c r="BY248" i="1"/>
  <c r="AK245" i="1"/>
  <c r="CO235" i="1"/>
  <c r="BR315" i="1"/>
  <c r="BB312" i="1"/>
  <c r="CD309" i="1"/>
  <c r="AP307" i="1"/>
  <c r="DF304" i="1"/>
  <c r="BR302" i="1"/>
  <c r="AD300" i="1"/>
  <c r="CT297" i="1"/>
  <c r="CJ307" i="1"/>
  <c r="AJ298" i="1"/>
  <c r="CL292" i="1"/>
  <c r="DH289" i="1"/>
  <c r="BT287" i="1"/>
  <c r="AF285" i="1"/>
  <c r="CV282" i="1"/>
  <c r="BH280" i="1"/>
  <c r="T278" i="1"/>
  <c r="CJ275" i="1"/>
  <c r="AV273" i="1"/>
  <c r="H271" i="1"/>
  <c r="BX268" i="1"/>
  <c r="AJ266" i="1"/>
  <c r="CZ263" i="1"/>
  <c r="BL261" i="1"/>
  <c r="X259" i="1"/>
  <c r="CN256" i="1"/>
  <c r="AZ254" i="1"/>
  <c r="L252" i="1"/>
  <c r="CB249" i="1"/>
  <c r="AN247" i="1"/>
  <c r="DD244" i="1"/>
  <c r="BP242" i="1"/>
  <c r="AB240" i="1"/>
  <c r="CR237" i="1"/>
  <c r="BD235" i="1"/>
  <c r="P233" i="1"/>
  <c r="CF230" i="1"/>
  <c r="AR228" i="1"/>
  <c r="DH225" i="1"/>
  <c r="BT223" i="1"/>
  <c r="BP307" i="1"/>
  <c r="P298" i="1"/>
  <c r="CF292" i="1"/>
  <c r="DC289" i="1"/>
  <c r="BO287" i="1"/>
  <c r="AA285" i="1"/>
  <c r="CQ282" i="1"/>
  <c r="BC280" i="1"/>
  <c r="O278" i="1"/>
  <c r="CE275" i="1"/>
  <c r="AQ273" i="1"/>
  <c r="DG270" i="1"/>
  <c r="BS268" i="1"/>
  <c r="AE266" i="1"/>
  <c r="CU263" i="1"/>
  <c r="BG261" i="1"/>
  <c r="S259" i="1"/>
  <c r="CI256" i="1"/>
  <c r="AU254" i="1"/>
  <c r="G252" i="1"/>
  <c r="BW249" i="1"/>
  <c r="AI247" i="1"/>
  <c r="CY244" i="1"/>
  <c r="BK242" i="1"/>
  <c r="W240" i="1"/>
  <c r="CM237" i="1"/>
  <c r="AY235" i="1"/>
  <c r="K233" i="1"/>
  <c r="CA230" i="1"/>
  <c r="AM228" i="1"/>
  <c r="DH299" i="1"/>
  <c r="AR293" i="1"/>
  <c r="AX290" i="1"/>
  <c r="J288" i="1"/>
  <c r="BZ285" i="1"/>
  <c r="AL283" i="1"/>
  <c r="DB280" i="1"/>
  <c r="BN278" i="1"/>
  <c r="Z276" i="1"/>
  <c r="CP273" i="1"/>
  <c r="BB271" i="1"/>
  <c r="N269" i="1"/>
  <c r="CD266" i="1"/>
  <c r="AP264" i="1"/>
  <c r="DF261" i="1"/>
  <c r="BR259" i="1"/>
  <c r="AD257" i="1"/>
  <c r="CT254" i="1"/>
  <c r="BF252" i="1"/>
  <c r="R250" i="1"/>
  <c r="CH247" i="1"/>
  <c r="AT245" i="1"/>
  <c r="F243" i="1"/>
  <c r="BV240" i="1"/>
  <c r="AH238" i="1"/>
  <c r="CX235" i="1"/>
  <c r="BJ233" i="1"/>
  <c r="V231" i="1"/>
  <c r="CL228" i="1"/>
  <c r="AX226" i="1"/>
  <c r="J224" i="1"/>
  <c r="BZ221" i="1"/>
  <c r="AL219" i="1"/>
  <c r="DB216" i="1"/>
  <c r="BN214" i="1"/>
  <c r="CF301" i="1"/>
  <c r="J294" i="1"/>
  <c r="CS290" i="1"/>
  <c r="BE288" i="1"/>
  <c r="Q286" i="1"/>
  <c r="CG283" i="1"/>
  <c r="AS281" i="1"/>
  <c r="DI278" i="1"/>
  <c r="BU276" i="1"/>
  <c r="AG274" i="1"/>
  <c r="CW271" i="1"/>
  <c r="BI269" i="1"/>
  <c r="V315" i="1"/>
  <c r="F312" i="1"/>
  <c r="AT309" i="1"/>
  <c r="F307" i="1"/>
  <c r="BV304" i="1"/>
  <c r="AH302" i="1"/>
  <c r="CX299" i="1"/>
  <c r="BJ297" i="1"/>
  <c r="AZ306" i="1"/>
  <c r="DD296" i="1"/>
  <c r="AP292" i="1"/>
  <c r="BX289" i="1"/>
  <c r="AJ287" i="1"/>
  <c r="CZ284" i="1"/>
  <c r="BL282" i="1"/>
  <c r="X280" i="1"/>
  <c r="CN277" i="1"/>
  <c r="AZ275" i="1"/>
  <c r="L273" i="1"/>
  <c r="CB270" i="1"/>
  <c r="AN268" i="1"/>
  <c r="DD265" i="1"/>
  <c r="BP263" i="1"/>
  <c r="AB261" i="1"/>
  <c r="CR258" i="1"/>
  <c r="BD256" i="1"/>
  <c r="P254" i="1"/>
  <c r="CF251" i="1"/>
  <c r="AR249" i="1"/>
  <c r="DH246" i="1"/>
  <c r="BT244" i="1"/>
  <c r="AF242" i="1"/>
  <c r="CV239" i="1"/>
  <c r="BH237" i="1"/>
  <c r="T235" i="1"/>
  <c r="CJ232" i="1"/>
  <c r="AV230" i="1"/>
  <c r="H228" i="1"/>
  <c r="BX225" i="1"/>
  <c r="AJ223" i="1"/>
  <c r="AF306" i="1"/>
  <c r="CJ296" i="1"/>
  <c r="AJ292" i="1"/>
  <c r="BS289" i="1"/>
  <c r="AE287" i="1"/>
  <c r="CU284" i="1"/>
  <c r="BG282" i="1"/>
  <c r="S280" i="1"/>
  <c r="CI277" i="1"/>
  <c r="AU275" i="1"/>
  <c r="G273" i="1"/>
  <c r="BW270" i="1"/>
  <c r="AI268" i="1"/>
  <c r="CY265" i="1"/>
  <c r="BK263" i="1"/>
  <c r="W261" i="1"/>
  <c r="CM258" i="1"/>
  <c r="AY256" i="1"/>
  <c r="K254" i="1"/>
  <c r="CA251" i="1"/>
  <c r="AM249" i="1"/>
  <c r="DC246" i="1"/>
  <c r="BO244" i="1"/>
  <c r="AA242" i="1"/>
  <c r="CQ239" i="1"/>
  <c r="BC237" i="1"/>
  <c r="O235" i="1"/>
  <c r="CE232" i="1"/>
  <c r="AQ230" i="1"/>
  <c r="T308" i="1"/>
  <c r="BX298" i="1"/>
  <c r="CZ292" i="1"/>
  <c r="N290" i="1"/>
  <c r="CD287" i="1"/>
  <c r="AP285" i="1"/>
  <c r="DF282" i="1"/>
  <c r="BR280" i="1"/>
  <c r="AD278" i="1"/>
  <c r="CT275" i="1"/>
  <c r="BF273" i="1"/>
  <c r="R271" i="1"/>
  <c r="CH268" i="1"/>
  <c r="AT266" i="1"/>
  <c r="F264" i="1"/>
  <c r="BV261" i="1"/>
  <c r="AH259" i="1"/>
  <c r="CX256" i="1"/>
  <c r="BJ254" i="1"/>
  <c r="V252" i="1"/>
  <c r="CL249" i="1"/>
  <c r="AX247" i="1"/>
  <c r="J245" i="1"/>
  <c r="BZ242" i="1"/>
  <c r="AL240" i="1"/>
  <c r="DB237" i="1"/>
  <c r="BN235" i="1"/>
  <c r="Z233" i="1"/>
  <c r="CP230" i="1"/>
  <c r="BB228" i="1"/>
  <c r="N226" i="1"/>
  <c r="CD223" i="1"/>
  <c r="AP221" i="1"/>
  <c r="DF218" i="1"/>
  <c r="BR216" i="1"/>
  <c r="AD214" i="1"/>
  <c r="AV300" i="1"/>
  <c r="BF293" i="1"/>
  <c r="BI290" i="1"/>
  <c r="U288" i="1"/>
  <c r="CK285" i="1"/>
  <c r="AW283" i="1"/>
  <c r="I281" i="1"/>
  <c r="BY278" i="1"/>
  <c r="AK276" i="1"/>
  <c r="DA273" i="1"/>
  <c r="BM271" i="1"/>
  <c r="AZ464" i="1"/>
  <c r="BW439" i="1"/>
  <c r="BK413" i="1"/>
  <c r="CQ422" i="1"/>
  <c r="I418" i="1"/>
  <c r="AM380" i="1"/>
  <c r="AL381" i="1"/>
  <c r="M382" i="1"/>
  <c r="BU415" i="1"/>
  <c r="CY377" i="1"/>
  <c r="CX378" i="1"/>
  <c r="BY379" i="1"/>
  <c r="BA415" i="1"/>
  <c r="CE377" i="1"/>
  <c r="CD378" i="1"/>
  <c r="Q381" i="1"/>
  <c r="BY368" i="1"/>
  <c r="CG435" i="1"/>
  <c r="CK425" i="1"/>
  <c r="AK416" i="1"/>
  <c r="CO406" i="1"/>
  <c r="BK397" i="1"/>
  <c r="K388" i="1"/>
  <c r="BO378" i="1"/>
  <c r="O369" i="1"/>
  <c r="BJ398" i="1"/>
  <c r="J389" i="1"/>
  <c r="BN379" i="1"/>
  <c r="N370" i="1"/>
  <c r="AK399" i="1"/>
  <c r="CO389" i="1"/>
  <c r="AO380" i="1"/>
  <c r="CS370" i="1"/>
  <c r="AN399" i="1"/>
  <c r="CR389" i="1"/>
  <c r="AR380" i="1"/>
  <c r="CV370" i="1"/>
  <c r="DE360" i="1"/>
  <c r="BE351" i="1"/>
  <c r="DI341" i="1"/>
  <c r="BI332" i="1"/>
  <c r="I323" i="1"/>
  <c r="BM313" i="1"/>
  <c r="M304" i="1"/>
  <c r="BQ294" i="1"/>
  <c r="AJ358" i="1"/>
  <c r="CN348" i="1"/>
  <c r="AN339" i="1"/>
  <c r="CR329" i="1"/>
  <c r="AR320" i="1"/>
  <c r="CV310" i="1"/>
  <c r="W359" i="1"/>
  <c r="CA349" i="1"/>
  <c r="AA340" i="1"/>
  <c r="CE330" i="1"/>
  <c r="AE321" i="1"/>
  <c r="CI311" i="1"/>
  <c r="AI302" i="1"/>
  <c r="CM292" i="1"/>
  <c r="R359" i="1"/>
  <c r="BV349" i="1"/>
  <c r="V340" i="1"/>
  <c r="BZ330" i="1"/>
  <c r="Z321" i="1"/>
  <c r="AF402" i="1"/>
  <c r="CJ392" i="1"/>
  <c r="AJ383" i="1"/>
  <c r="CN373" i="1"/>
  <c r="CW363" i="1"/>
  <c r="AW354" i="1"/>
  <c r="DA344" i="1"/>
  <c r="BA335" i="1"/>
  <c r="DE325" i="1"/>
  <c r="BE316" i="1"/>
  <c r="DI306" i="1"/>
  <c r="BI297" i="1"/>
  <c r="AB361" i="1"/>
  <c r="CF351" i="1"/>
  <c r="AF342" i="1"/>
  <c r="CJ332" i="1"/>
  <c r="AJ323" i="1"/>
  <c r="CN313" i="1"/>
  <c r="O362" i="1"/>
  <c r="BS352" i="1"/>
  <c r="S343" i="1"/>
  <c r="BW333" i="1"/>
  <c r="W324" i="1"/>
  <c r="CA314" i="1"/>
  <c r="AA305" i="1"/>
  <c r="CE295" i="1"/>
  <c r="J362" i="1"/>
  <c r="BN352" i="1"/>
  <c r="N343" i="1"/>
  <c r="BR333" i="1"/>
  <c r="R324" i="1"/>
  <c r="BV314" i="1"/>
  <c r="L402" i="1"/>
  <c r="BP392" i="1"/>
  <c r="P383" i="1"/>
  <c r="BT373" i="1"/>
  <c r="CC363" i="1"/>
  <c r="AC354" i="1"/>
  <c r="CG344" i="1"/>
  <c r="AG335" i="1"/>
  <c r="CK325" i="1"/>
  <c r="AK316" i="1"/>
  <c r="CO306" i="1"/>
  <c r="AO297" i="1"/>
  <c r="H361" i="1"/>
  <c r="BL351" i="1"/>
  <c r="L342" i="1"/>
  <c r="BP332" i="1"/>
  <c r="P323" i="1"/>
  <c r="BT313" i="1"/>
  <c r="CY361" i="1"/>
  <c r="AY352" i="1"/>
  <c r="DC342" i="1"/>
  <c r="BC333" i="1"/>
  <c r="DG323" i="1"/>
  <c r="BG314" i="1"/>
  <c r="G305" i="1"/>
  <c r="BK295" i="1"/>
  <c r="CT361" i="1"/>
  <c r="AT352" i="1"/>
  <c r="CX342" i="1"/>
  <c r="AX333" i="1"/>
  <c r="DB323" i="1"/>
  <c r="DH404" i="1"/>
  <c r="CN399" i="1"/>
  <c r="L395" i="1"/>
  <c r="AV392" i="1"/>
  <c r="H390" i="1"/>
  <c r="BX387" i="1"/>
  <c r="AJ385" i="1"/>
  <c r="CZ382" i="1"/>
  <c r="BL380" i="1"/>
  <c r="X378" i="1"/>
  <c r="CN375" i="1"/>
  <c r="AZ373" i="1"/>
  <c r="L371" i="1"/>
  <c r="CB368" i="1"/>
  <c r="CW365" i="1"/>
  <c r="BI363" i="1"/>
  <c r="U361" i="1"/>
  <c r="CK358" i="1"/>
  <c r="AW356" i="1"/>
  <c r="I354" i="1"/>
  <c r="BY351" i="1"/>
  <c r="AK349" i="1"/>
  <c r="DA346" i="1"/>
  <c r="BM344" i="1"/>
  <c r="Y342" i="1"/>
  <c r="CO339" i="1"/>
  <c r="BA337" i="1"/>
  <c r="M335" i="1"/>
  <c r="CC332" i="1"/>
  <c r="AO330" i="1"/>
  <c r="DE327" i="1"/>
  <c r="BQ325" i="1"/>
  <c r="AC323" i="1"/>
  <c r="CS320" i="1"/>
  <c r="BE318" i="1"/>
  <c r="Q316" i="1"/>
  <c r="CG313" i="1"/>
  <c r="AS311" i="1"/>
  <c r="DI308" i="1"/>
  <c r="BU306" i="1"/>
  <c r="AG304" i="1"/>
  <c r="AA423" i="1"/>
  <c r="AT504" i="1"/>
  <c r="BG458" i="1"/>
  <c r="AY446" i="1"/>
  <c r="CL448" i="1"/>
  <c r="AX406" i="1"/>
  <c r="O437" i="1"/>
  <c r="DI436" i="1"/>
  <c r="CM433" i="1"/>
  <c r="AL437" i="1"/>
  <c r="CO423" i="1"/>
  <c r="X405" i="1"/>
  <c r="O386" i="1"/>
  <c r="S367" i="1"/>
  <c r="N387" i="1"/>
  <c r="R368" i="1"/>
  <c r="CS387" i="1"/>
  <c r="AH416" i="1"/>
  <c r="AW421" i="1"/>
  <c r="BW402" i="1"/>
  <c r="CA383" i="1"/>
  <c r="BV403" i="1"/>
  <c r="BZ384" i="1"/>
  <c r="AW404" i="1"/>
  <c r="BA385" i="1"/>
  <c r="BJ415" i="1"/>
  <c r="AC421" i="1"/>
  <c r="BC402" i="1"/>
  <c r="BG383" i="1"/>
  <c r="BB403" i="1"/>
  <c r="BF384" i="1"/>
  <c r="BB371" i="1"/>
  <c r="BY400" i="1"/>
  <c r="Y391" i="1"/>
  <c r="CZ565" i="1"/>
  <c r="CG519" i="1"/>
  <c r="DI477" i="1"/>
  <c r="X496" i="1"/>
  <c r="CC472" i="1"/>
  <c r="CD474" i="1"/>
  <c r="AH441" i="1"/>
  <c r="BH433" i="1"/>
  <c r="Z436" i="1"/>
  <c r="BB475" i="1"/>
  <c r="CZ429" i="1"/>
  <c r="DC428" i="1"/>
  <c r="CX428" i="1"/>
  <c r="CX467" i="1"/>
  <c r="H426" i="1"/>
  <c r="CM429" i="1"/>
  <c r="CI412" i="1"/>
  <c r="CX433" i="1"/>
  <c r="Q432" i="1"/>
  <c r="CW421" i="1"/>
  <c r="AW412" i="1"/>
  <c r="S403" i="1"/>
  <c r="BW393" i="1"/>
  <c r="W384" i="1"/>
  <c r="CA374" i="1"/>
  <c r="R404" i="1"/>
  <c r="BV394" i="1"/>
  <c r="V385" i="1"/>
  <c r="BZ375" i="1"/>
  <c r="CW404" i="1"/>
  <c r="AW395" i="1"/>
  <c r="DA385" i="1"/>
  <c r="BA376" i="1"/>
  <c r="BN408" i="1"/>
  <c r="DE428" i="1"/>
  <c r="BE419" i="1"/>
  <c r="DI409" i="1"/>
  <c r="CE400" i="1"/>
  <c r="AE391" i="1"/>
  <c r="CI381" i="1"/>
  <c r="AI372" i="1"/>
  <c r="CD401" i="1"/>
  <c r="AD392" i="1"/>
  <c r="CH382" i="1"/>
  <c r="AH373" i="1"/>
  <c r="BE402" i="1"/>
  <c r="DI392" i="1"/>
  <c r="BI383" i="1"/>
  <c r="I374" i="1"/>
  <c r="CP407" i="1"/>
  <c r="CK428" i="1"/>
  <c r="AK419" i="1"/>
  <c r="CO409" i="1"/>
  <c r="BK400" i="1"/>
  <c r="K391" i="1"/>
  <c r="BO381" i="1"/>
  <c r="O372" i="1"/>
  <c r="BJ401" i="1"/>
  <c r="J392" i="1"/>
  <c r="BN382" i="1"/>
  <c r="N373" i="1"/>
  <c r="AK402" i="1"/>
  <c r="CO392" i="1"/>
  <c r="AO383" i="1"/>
  <c r="CH561" i="1"/>
  <c r="CM495" i="1"/>
  <c r="AG449" i="1"/>
  <c r="AN484" i="1"/>
  <c r="CW457" i="1"/>
  <c r="AT460" i="1"/>
  <c r="AX433" i="1"/>
  <c r="BP427" i="1"/>
  <c r="BZ433" i="1"/>
  <c r="CX469" i="1"/>
  <c r="AV427" i="1"/>
  <c r="AY426" i="1"/>
  <c r="AT426" i="1"/>
  <c r="BJ463" i="1"/>
  <c r="BH423" i="1"/>
  <c r="BC428" i="1"/>
  <c r="BO411" i="1"/>
  <c r="BN432" i="1"/>
  <c r="M431" i="1"/>
  <c r="U421" i="1"/>
  <c r="BY411" i="1"/>
  <c r="AU402" i="1"/>
  <c r="CY392" i="1"/>
  <c r="AY383" i="1"/>
  <c r="DC373" i="1"/>
  <c r="AT403" i="1"/>
  <c r="CX393" i="1"/>
  <c r="AX384" i="1"/>
  <c r="DB374" i="1"/>
  <c r="U404" i="1"/>
  <c r="BY394" i="1"/>
  <c r="Y385" i="1"/>
  <c r="CC375" i="1"/>
  <c r="BR405" i="1"/>
  <c r="AC428" i="1"/>
  <c r="CG418" i="1"/>
  <c r="AG409" i="1"/>
  <c r="DG399" i="1"/>
  <c r="BG390" i="1"/>
  <c r="G381" i="1"/>
  <c r="BK371" i="1"/>
  <c r="DF400" i="1"/>
  <c r="BF391" i="1"/>
  <c r="F382" i="1"/>
  <c r="BJ372" i="1"/>
  <c r="CG401" i="1"/>
  <c r="AG392" i="1"/>
  <c r="CK382" i="1"/>
  <c r="AK373" i="1"/>
  <c r="CG442" i="1"/>
  <c r="I428" i="1"/>
  <c r="BM418" i="1"/>
  <c r="M409" i="1"/>
  <c r="CM399" i="1"/>
  <c r="AM390" i="1"/>
  <c r="CQ380" i="1"/>
  <c r="AQ371" i="1"/>
  <c r="CL400" i="1"/>
  <c r="AL391" i="1"/>
  <c r="CP381" i="1"/>
  <c r="AP372" i="1"/>
  <c r="BM401" i="1"/>
  <c r="M392" i="1"/>
  <c r="BQ382" i="1"/>
  <c r="DE536" i="1"/>
  <c r="BO454" i="1"/>
  <c r="DB408" i="1"/>
  <c r="BI439" i="1"/>
  <c r="BV438" i="1"/>
  <c r="BQ405" i="1"/>
  <c r="CU367" i="1"/>
  <c r="CT368" i="1"/>
  <c r="AD419" i="1"/>
  <c r="AU403" i="1"/>
  <c r="AT404" i="1"/>
  <c r="BL405" i="1"/>
  <c r="BF418" i="1"/>
  <c r="AA403" i="1"/>
  <c r="Z404" i="1"/>
  <c r="DE404" i="1"/>
  <c r="I375" i="1"/>
  <c r="AL421" i="1"/>
  <c r="U432" i="1"/>
  <c r="BY422" i="1"/>
  <c r="Y413" i="1"/>
  <c r="CY403" i="1"/>
  <c r="AY394" i="1"/>
  <c r="DC384" i="1"/>
  <c r="BC375" i="1"/>
  <c r="CX404" i="1"/>
  <c r="AX395" i="1"/>
  <c r="DB385" i="1"/>
  <c r="BB376" i="1"/>
  <c r="DF366" i="1"/>
  <c r="Y396" i="1"/>
  <c r="CC386" i="1"/>
  <c r="AC377" i="1"/>
  <c r="CS367" i="1"/>
  <c r="AB396" i="1"/>
  <c r="CF386" i="1"/>
  <c r="AF377" i="1"/>
  <c r="CJ367" i="1"/>
  <c r="CS357" i="1"/>
  <c r="AS348" i="1"/>
  <c r="CW338" i="1"/>
  <c r="AW329" i="1"/>
  <c r="DA319" i="1"/>
  <c r="BA310" i="1"/>
  <c r="DE300" i="1"/>
  <c r="BX364" i="1"/>
  <c r="X355" i="1"/>
  <c r="CB345" i="1"/>
  <c r="AB336" i="1"/>
  <c r="CF326" i="1"/>
  <c r="AF317" i="1"/>
  <c r="BK365" i="1"/>
  <c r="K356" i="1"/>
  <c r="BO346" i="1"/>
  <c r="O337" i="1"/>
  <c r="BS327" i="1"/>
  <c r="S318" i="1"/>
  <c r="BW308" i="1"/>
  <c r="W299" i="1"/>
  <c r="BF365" i="1"/>
  <c r="F356" i="1"/>
  <c r="BJ346" i="1"/>
  <c r="J337" i="1"/>
  <c r="BN327" i="1"/>
  <c r="N318" i="1"/>
  <c r="T399" i="1"/>
  <c r="BX389" i="1"/>
  <c r="X380" i="1"/>
  <c r="CB370" i="1"/>
  <c r="CK360" i="1"/>
  <c r="AK351" i="1"/>
  <c r="CO341" i="1"/>
  <c r="AO332" i="1"/>
  <c r="CS322" i="1"/>
  <c r="AS313" i="1"/>
  <c r="CW303" i="1"/>
  <c r="AW294" i="1"/>
  <c r="P358" i="1"/>
  <c r="BT348" i="1"/>
  <c r="T339" i="1"/>
  <c r="BX329" i="1"/>
  <c r="X320" i="1"/>
  <c r="CB310" i="1"/>
  <c r="DG358" i="1"/>
  <c r="BG349" i="1"/>
  <c r="G340" i="1"/>
  <c r="BK330" i="1"/>
  <c r="K321" i="1"/>
  <c r="BO311" i="1"/>
  <c r="O302" i="1"/>
  <c r="BS292" i="1"/>
  <c r="DB358" i="1"/>
  <c r="BB349" i="1"/>
  <c r="DF339" i="1"/>
  <c r="BF330" i="1"/>
  <c r="F321" i="1"/>
  <c r="BJ311" i="1"/>
  <c r="DD398" i="1"/>
  <c r="BD389" i="1"/>
  <c r="DH379" i="1"/>
  <c r="BH370" i="1"/>
  <c r="BQ360" i="1"/>
  <c r="Q351" i="1"/>
  <c r="BU341" i="1"/>
  <c r="U332" i="1"/>
  <c r="BY322" i="1"/>
  <c r="Y313" i="1"/>
  <c r="CC303" i="1"/>
  <c r="AC294" i="1"/>
  <c r="CZ357" i="1"/>
  <c r="AZ348" i="1"/>
  <c r="DD338" i="1"/>
  <c r="BD329" i="1"/>
  <c r="DH319" i="1"/>
  <c r="BH310" i="1"/>
  <c r="CM358" i="1"/>
  <c r="AM349" i="1"/>
  <c r="CQ339" i="1"/>
  <c r="AQ330" i="1"/>
  <c r="CU320" i="1"/>
  <c r="AU311" i="1"/>
  <c r="CY301" i="1"/>
  <c r="AY292" i="1"/>
  <c r="CH358" i="1"/>
  <c r="AH349" i="1"/>
  <c r="CL339" i="1"/>
  <c r="AL330" i="1"/>
  <c r="CP320" i="1"/>
  <c r="CV401" i="1"/>
  <c r="CT513" i="1"/>
  <c r="AA448" i="1"/>
  <c r="BN406" i="1"/>
  <c r="U437" i="1"/>
  <c r="BR437" i="1"/>
  <c r="CJ405" i="1"/>
  <c r="AI367" i="1"/>
  <c r="AH368" i="1"/>
  <c r="CT416" i="1"/>
  <c r="CM402" i="1"/>
  <c r="CL403" i="1"/>
  <c r="BM404" i="1"/>
  <c r="R416" i="1"/>
  <c r="BS402" i="1"/>
  <c r="BR403" i="1"/>
  <c r="AS404" i="1"/>
  <c r="CW374" i="1"/>
  <c r="CD420" i="1"/>
  <c r="DI431" i="1"/>
  <c r="BI422" i="1"/>
  <c r="I413" i="1"/>
  <c r="CI403" i="1"/>
  <c r="AI394" i="1"/>
  <c r="CM384" i="1"/>
  <c r="AM375" i="1"/>
  <c r="CH404" i="1"/>
  <c r="AH395" i="1"/>
  <c r="CL385" i="1"/>
  <c r="AL376" i="1"/>
  <c r="CP366" i="1"/>
  <c r="I396" i="1"/>
  <c r="BM386" i="1"/>
  <c r="M377" i="1"/>
  <c r="BY367" i="1"/>
  <c r="L396" i="1"/>
  <c r="BP386" i="1"/>
  <c r="P377" i="1"/>
  <c r="BT367" i="1"/>
  <c r="CC357" i="1"/>
  <c r="AC348" i="1"/>
  <c r="CG338" i="1"/>
  <c r="AG329" i="1"/>
  <c r="CK319" i="1"/>
  <c r="AK310" i="1"/>
  <c r="CO300" i="1"/>
  <c r="BH364" i="1"/>
  <c r="H355" i="1"/>
  <c r="BL345" i="1"/>
  <c r="L336" i="1"/>
  <c r="BP326" i="1"/>
  <c r="P317" i="1"/>
  <c r="AU365" i="1"/>
  <c r="CY355" i="1"/>
  <c r="AY346" i="1"/>
  <c r="DC336" i="1"/>
  <c r="BC327" i="1"/>
  <c r="DG317" i="1"/>
  <c r="BG308" i="1"/>
  <c r="G299" i="1"/>
  <c r="AP365" i="1"/>
  <c r="CT355" i="1"/>
  <c r="AT346" i="1"/>
  <c r="CX336" i="1"/>
  <c r="AX327" i="1"/>
  <c r="DB317" i="1"/>
  <c r="DH398" i="1"/>
  <c r="BH389" i="1"/>
  <c r="H380" i="1"/>
  <c r="BL370" i="1"/>
  <c r="BU360" i="1"/>
  <c r="U351" i="1"/>
  <c r="BY341" i="1"/>
  <c r="Y332" i="1"/>
  <c r="CC322" i="1"/>
  <c r="AC313" i="1"/>
  <c r="CG303" i="1"/>
  <c r="AG294" i="1"/>
  <c r="DD357" i="1"/>
  <c r="BD348" i="1"/>
  <c r="DH338" i="1"/>
  <c r="BH329" i="1"/>
  <c r="H320" i="1"/>
  <c r="BL310" i="1"/>
  <c r="CQ358" i="1"/>
  <c r="AQ349" i="1"/>
  <c r="CU339" i="1"/>
  <c r="AU330" i="1"/>
  <c r="CY320" i="1"/>
  <c r="AY311" i="1"/>
  <c r="DC301" i="1"/>
  <c r="AE294" i="1"/>
  <c r="AL365" i="1"/>
  <c r="BN360" i="1"/>
  <c r="CP355" i="1"/>
  <c r="N351" i="1"/>
  <c r="AP346" i="1"/>
  <c r="BR341" i="1"/>
  <c r="CT336" i="1"/>
  <c r="R332" i="1"/>
  <c r="AT327" i="1"/>
  <c r="BV322" i="1"/>
  <c r="CX317" i="1"/>
  <c r="V313" i="1"/>
  <c r="BA367" i="1"/>
  <c r="BP400" i="1"/>
  <c r="CR395" i="1"/>
  <c r="P391" i="1"/>
  <c r="AR386" i="1"/>
  <c r="BT381" i="1"/>
  <c r="CV376" i="1"/>
  <c r="T372" i="1"/>
  <c r="AV367" i="1"/>
  <c r="AC362" i="1"/>
  <c r="BE357" i="1"/>
  <c r="CG352" i="1"/>
  <c r="DI347" i="1"/>
  <c r="AG343" i="1"/>
  <c r="BI338" i="1"/>
  <c r="CK333" i="1"/>
  <c r="I329" i="1"/>
  <c r="AK324" i="1"/>
  <c r="BM319" i="1"/>
  <c r="CO314" i="1"/>
  <c r="M310" i="1"/>
  <c r="AO305" i="1"/>
  <c r="BQ300" i="1"/>
  <c r="CS295" i="1"/>
  <c r="AJ364" i="1"/>
  <c r="BL359" i="1"/>
  <c r="CN354" i="1"/>
  <c r="L350" i="1"/>
  <c r="AN345" i="1"/>
  <c r="BP340" i="1"/>
  <c r="CR335" i="1"/>
  <c r="P331" i="1"/>
  <c r="AR326" i="1"/>
  <c r="BT321" i="1"/>
  <c r="CV316" i="1"/>
  <c r="T312" i="1"/>
  <c r="W365" i="1"/>
  <c r="AY360" i="1"/>
  <c r="CA355" i="1"/>
  <c r="DC350" i="1"/>
  <c r="AA346" i="1"/>
  <c r="BC341" i="1"/>
  <c r="CE336" i="1"/>
  <c r="DG331" i="1"/>
  <c r="AE327" i="1"/>
  <c r="BG322" i="1"/>
  <c r="CI317" i="1"/>
  <c r="G313" i="1"/>
  <c r="AI308" i="1"/>
  <c r="BK303" i="1"/>
  <c r="CM298" i="1"/>
  <c r="K294" i="1"/>
  <c r="R365" i="1"/>
  <c r="AT360" i="1"/>
  <c r="BV355" i="1"/>
  <c r="CX350" i="1"/>
  <c r="V346" i="1"/>
  <c r="AX341" i="1"/>
  <c r="BZ336" i="1"/>
  <c r="DB331" i="1"/>
  <c r="Z327" i="1"/>
  <c r="BB322" i="1"/>
  <c r="CD317" i="1"/>
  <c r="BH403" i="1"/>
  <c r="CJ398" i="1"/>
  <c r="AS561" i="1"/>
  <c r="BI444" i="1"/>
  <c r="BE454" i="1"/>
  <c r="AD432" i="1"/>
  <c r="BV432" i="1"/>
  <c r="AR426" i="1"/>
  <c r="AP425" i="1"/>
  <c r="BD422" i="1"/>
  <c r="AI411" i="1"/>
  <c r="DA430" i="1"/>
  <c r="BI411" i="1"/>
  <c r="CI392" i="1"/>
  <c r="CM373" i="1"/>
  <c r="CH393" i="1"/>
  <c r="CL374" i="1"/>
  <c r="BI394" i="1"/>
  <c r="BM375" i="1"/>
  <c r="M428" i="1"/>
  <c r="Q409" i="1"/>
  <c r="AQ390" i="1"/>
  <c r="AU371" i="1"/>
  <c r="AP391" i="1"/>
  <c r="AT372" i="1"/>
  <c r="Q392" i="1"/>
  <c r="U373" i="1"/>
  <c r="CW427" i="1"/>
  <c r="DA408" i="1"/>
  <c r="W390" i="1"/>
  <c r="AA371" i="1"/>
  <c r="V391" i="1"/>
  <c r="Z372" i="1"/>
  <c r="DA391" i="1"/>
  <c r="CC377" i="1"/>
  <c r="CK371" i="1"/>
  <c r="AD427" i="1"/>
  <c r="AH408" i="1"/>
  <c r="BU433" i="1"/>
  <c r="CW428" i="1"/>
  <c r="U424" i="1"/>
  <c r="AW419" i="1"/>
  <c r="BY414" i="1"/>
  <c r="DA409" i="1"/>
  <c r="Y405" i="1"/>
  <c r="BW400" i="1"/>
  <c r="CY395" i="1"/>
  <c r="W391" i="1"/>
  <c r="AY386" i="1"/>
  <c r="CA381" i="1"/>
  <c r="DC376" i="1"/>
  <c r="AA372" i="1"/>
  <c r="BC367" i="1"/>
  <c r="BV401" i="1"/>
  <c r="CX396" i="1"/>
  <c r="V392" i="1"/>
  <c r="AX387" i="1"/>
  <c r="BZ382" i="1"/>
  <c r="DB377" i="1"/>
  <c r="Z373" i="1"/>
  <c r="BB368" i="1"/>
  <c r="AW402" i="1"/>
  <c r="BY397" i="1"/>
  <c r="DA392" i="1"/>
  <c r="Y388" i="1"/>
  <c r="BA383" i="1"/>
  <c r="CC378" i="1"/>
  <c r="DE373" i="1"/>
  <c r="CO369" i="1"/>
  <c r="AZ402" i="1"/>
  <c r="CB397" i="1"/>
  <c r="DD392" i="1"/>
  <c r="AB388" i="1"/>
  <c r="BD383" i="1"/>
  <c r="CF378" i="1"/>
  <c r="DH373" i="1"/>
  <c r="AF369" i="1"/>
  <c r="M364" i="1"/>
  <c r="AO359" i="1"/>
  <c r="BQ354" i="1"/>
  <c r="CS349" i="1"/>
  <c r="Q345" i="1"/>
  <c r="AS340" i="1"/>
  <c r="BU335" i="1"/>
  <c r="CW330" i="1"/>
  <c r="U326" i="1"/>
  <c r="AW321" i="1"/>
  <c r="BY316" i="1"/>
  <c r="DA311" i="1"/>
  <c r="Y307" i="1"/>
  <c r="BA302" i="1"/>
  <c r="CC297" i="1"/>
  <c r="T366" i="1"/>
  <c r="AV361" i="1"/>
  <c r="BX356" i="1"/>
  <c r="CZ351" i="1"/>
  <c r="X347" i="1"/>
  <c r="AZ342" i="1"/>
  <c r="CB337" i="1"/>
  <c r="DD332" i="1"/>
  <c r="AB328" i="1"/>
  <c r="BD323" i="1"/>
  <c r="CF318" i="1"/>
  <c r="DH313" i="1"/>
  <c r="AF309" i="1"/>
  <c r="BW364" i="1"/>
  <c r="AI362" i="1"/>
  <c r="CY359" i="1"/>
  <c r="BK357" i="1"/>
  <c r="W355" i="1"/>
  <c r="CM352" i="1"/>
  <c r="AY350" i="1"/>
  <c r="K348" i="1"/>
  <c r="CA345" i="1"/>
  <c r="AM343" i="1"/>
  <c r="DC340" i="1"/>
  <c r="BO338" i="1"/>
  <c r="AA336" i="1"/>
  <c r="CQ333" i="1"/>
  <c r="BC331" i="1"/>
  <c r="O329" i="1"/>
  <c r="CE326" i="1"/>
  <c r="AQ324" i="1"/>
  <c r="DG321" i="1"/>
  <c r="BS319" i="1"/>
  <c r="AE317" i="1"/>
  <c r="CU314" i="1"/>
  <c r="BG312" i="1"/>
  <c r="S310" i="1"/>
  <c r="CI307" i="1"/>
  <c r="AU305" i="1"/>
  <c r="G303" i="1"/>
  <c r="BW300" i="1"/>
  <c r="AI298" i="1"/>
  <c r="CY295" i="1"/>
  <c r="BK293" i="1"/>
  <c r="W291" i="1"/>
  <c r="BR364" i="1"/>
  <c r="AD362" i="1"/>
  <c r="CT359" i="1"/>
  <c r="BF357" i="1"/>
  <c r="R355" i="1"/>
  <c r="CH352" i="1"/>
  <c r="AT350" i="1"/>
  <c r="F348" i="1"/>
  <c r="BV345" i="1"/>
  <c r="AH343" i="1"/>
  <c r="CX340" i="1"/>
  <c r="BJ338" i="1"/>
  <c r="V336" i="1"/>
  <c r="CL333" i="1"/>
  <c r="AX331" i="1"/>
  <c r="J329" i="1"/>
  <c r="BZ326" i="1"/>
  <c r="AL324" i="1"/>
  <c r="DB321" i="1"/>
  <c r="BN319" i="1"/>
  <c r="BM371" i="1"/>
  <c r="BE367" i="1"/>
  <c r="DH402" i="1"/>
  <c r="BT400" i="1"/>
  <c r="AF398" i="1"/>
  <c r="CV395" i="1"/>
  <c r="BH393" i="1"/>
  <c r="T391" i="1"/>
  <c r="CJ388" i="1"/>
  <c r="AV386" i="1"/>
  <c r="H384" i="1"/>
  <c r="BX381" i="1"/>
  <c r="AJ379" i="1"/>
  <c r="CZ376" i="1"/>
  <c r="BL374" i="1"/>
  <c r="X372" i="1"/>
  <c r="CN369" i="1"/>
  <c r="AZ367" i="1"/>
  <c r="BU364" i="1"/>
  <c r="AG362" i="1"/>
  <c r="CW359" i="1"/>
  <c r="BI357" i="1"/>
  <c r="U355" i="1"/>
  <c r="CK352" i="1"/>
  <c r="AW350" i="1"/>
  <c r="I348" i="1"/>
  <c r="BY345" i="1"/>
  <c r="AK343" i="1"/>
  <c r="DA340" i="1"/>
  <c r="BM338" i="1"/>
  <c r="Y336" i="1"/>
  <c r="CO333" i="1"/>
  <c r="BA331" i="1"/>
  <c r="M329" i="1"/>
  <c r="CC326" i="1"/>
  <c r="AO324" i="1"/>
  <c r="DE321" i="1"/>
  <c r="BQ319" i="1"/>
  <c r="AC317" i="1"/>
  <c r="CS314" i="1"/>
  <c r="BE312" i="1"/>
  <c r="Q310" i="1"/>
  <c r="CG307" i="1"/>
  <c r="AS305" i="1"/>
  <c r="DI302" i="1"/>
  <c r="BU300" i="1"/>
  <c r="AG298" i="1"/>
  <c r="CW295" i="1"/>
  <c r="DD366" i="1"/>
  <c r="AN364" i="1"/>
  <c r="DD361" i="1"/>
  <c r="BP359" i="1"/>
  <c r="AB357" i="1"/>
  <c r="CR354" i="1"/>
  <c r="BD352" i="1"/>
  <c r="P350" i="1"/>
  <c r="CF347" i="1"/>
  <c r="AR345" i="1"/>
  <c r="DH342" i="1"/>
  <c r="BT340" i="1"/>
  <c r="AF338" i="1"/>
  <c r="CV335" i="1"/>
  <c r="BH333" i="1"/>
  <c r="T331" i="1"/>
  <c r="CJ328" i="1"/>
  <c r="AV326" i="1"/>
  <c r="H324" i="1"/>
  <c r="BX321" i="1"/>
  <c r="AJ319" i="1"/>
  <c r="CZ316" i="1"/>
  <c r="BL314" i="1"/>
  <c r="X312" i="1"/>
  <c r="CN309" i="1"/>
  <c r="AA365" i="1"/>
  <c r="CQ362" i="1"/>
  <c r="BC360" i="1"/>
  <c r="O358" i="1"/>
  <c r="CE355" i="1"/>
  <c r="AQ353" i="1"/>
  <c r="DG350" i="1"/>
  <c r="BS348" i="1"/>
  <c r="AE346" i="1"/>
  <c r="CU343" i="1"/>
  <c r="BG341" i="1"/>
  <c r="S339" i="1"/>
  <c r="CI336" i="1"/>
  <c r="AU334" i="1"/>
  <c r="G332" i="1"/>
  <c r="BW329" i="1"/>
  <c r="AI327" i="1"/>
  <c r="CY324" i="1"/>
  <c r="BK322" i="1"/>
  <c r="W320" i="1"/>
  <c r="CM317" i="1"/>
  <c r="AY315" i="1"/>
  <c r="K313" i="1"/>
  <c r="CA310" i="1"/>
  <c r="AM308" i="1"/>
  <c r="DC305" i="1"/>
  <c r="BO303" i="1"/>
  <c r="AA301" i="1"/>
  <c r="CQ298" i="1"/>
  <c r="BC296" i="1"/>
  <c r="O294" i="1"/>
  <c r="CE291" i="1"/>
  <c r="V365" i="1"/>
  <c r="CL362" i="1"/>
  <c r="AX360" i="1"/>
  <c r="J358" i="1"/>
  <c r="BZ355" i="1"/>
  <c r="AL353" i="1"/>
  <c r="DB350" i="1"/>
  <c r="BN348" i="1"/>
  <c r="Z346" i="1"/>
  <c r="CP343" i="1"/>
  <c r="BB341" i="1"/>
  <c r="N339" i="1"/>
  <c r="CD336" i="1"/>
  <c r="AP334" i="1"/>
  <c r="DF331" i="1"/>
  <c r="BR329" i="1"/>
  <c r="AD327" i="1"/>
  <c r="CT324" i="1"/>
  <c r="BF322" i="1"/>
  <c r="R320" i="1"/>
  <c r="CH317" i="1"/>
  <c r="AT315" i="1"/>
  <c r="F313" i="1"/>
  <c r="CO370" i="1"/>
  <c r="BX405" i="1"/>
  <c r="CN402" i="1"/>
  <c r="AZ400" i="1"/>
  <c r="L398" i="1"/>
  <c r="CB395" i="1"/>
  <c r="AN393" i="1"/>
  <c r="DD390" i="1"/>
  <c r="BP388" i="1"/>
  <c r="AB386" i="1"/>
  <c r="CR383" i="1"/>
  <c r="BD381" i="1"/>
  <c r="P379" i="1"/>
  <c r="CF376" i="1"/>
  <c r="AR374" i="1"/>
  <c r="DH371" i="1"/>
  <c r="BT369" i="1"/>
  <c r="Y367" i="1"/>
  <c r="BA364" i="1"/>
  <c r="M362" i="1"/>
  <c r="CC359" i="1"/>
  <c r="AO357" i="1"/>
  <c r="DE354" i="1"/>
  <c r="BQ352" i="1"/>
  <c r="AC350" i="1"/>
  <c r="CS347" i="1"/>
  <c r="BE345" i="1"/>
  <c r="Q343" i="1"/>
  <c r="CG340" i="1"/>
  <c r="AS338" i="1"/>
  <c r="DI335" i="1"/>
  <c r="BU333" i="1"/>
  <c r="AG331" i="1"/>
  <c r="CW328" i="1"/>
  <c r="BI326" i="1"/>
  <c r="U324" i="1"/>
  <c r="CK321" i="1"/>
  <c r="AW319" i="1"/>
  <c r="I317" i="1"/>
  <c r="BY314" i="1"/>
  <c r="AK312" i="1"/>
  <c r="DA309" i="1"/>
  <c r="BM307" i="1"/>
  <c r="Y305" i="1"/>
  <c r="CO302" i="1"/>
  <c r="BA300" i="1"/>
  <c r="M298" i="1"/>
  <c r="CC295" i="1"/>
  <c r="BP366" i="1"/>
  <c r="T364" i="1"/>
  <c r="CJ361" i="1"/>
  <c r="AV359" i="1"/>
  <c r="H357" i="1"/>
  <c r="BX354" i="1"/>
  <c r="AJ352" i="1"/>
  <c r="CZ349" i="1"/>
  <c r="BL347" i="1"/>
  <c r="X345" i="1"/>
  <c r="CN342" i="1"/>
  <c r="AZ340" i="1"/>
  <c r="L338" i="1"/>
  <c r="CB335" i="1"/>
  <c r="AN333" i="1"/>
  <c r="DD330" i="1"/>
  <c r="BP328" i="1"/>
  <c r="AB326" i="1"/>
  <c r="CR323" i="1"/>
  <c r="BD321" i="1"/>
  <c r="P319" i="1"/>
  <c r="CF316" i="1"/>
  <c r="AR314" i="1"/>
  <c r="DH311" i="1"/>
  <c r="BT309" i="1"/>
  <c r="G365" i="1"/>
  <c r="BW362" i="1"/>
  <c r="AI360" i="1"/>
  <c r="CY357" i="1"/>
  <c r="BK355" i="1"/>
  <c r="W353" i="1"/>
  <c r="CM350" i="1"/>
  <c r="AY348" i="1"/>
  <c r="K346" i="1"/>
  <c r="CA343" i="1"/>
  <c r="AM341" i="1"/>
  <c r="DC338" i="1"/>
  <c r="BO336" i="1"/>
  <c r="AA334" i="1"/>
  <c r="CQ331" i="1"/>
  <c r="BC329" i="1"/>
  <c r="O327" i="1"/>
  <c r="CE324" i="1"/>
  <c r="AQ322" i="1"/>
  <c r="DG319" i="1"/>
  <c r="BS317" i="1"/>
  <c r="AE315" i="1"/>
  <c r="CU312" i="1"/>
  <c r="BG310" i="1"/>
  <c r="S308" i="1"/>
  <c r="CI305" i="1"/>
  <c r="AU303" i="1"/>
  <c r="G301" i="1"/>
  <c r="BW298" i="1"/>
  <c r="AI296" i="1"/>
  <c r="CY293" i="1"/>
  <c r="BK291" i="1"/>
  <c r="DF364" i="1"/>
  <c r="BR362" i="1"/>
  <c r="AD360" i="1"/>
  <c r="CT357" i="1"/>
  <c r="BF355" i="1"/>
  <c r="R353" i="1"/>
  <c r="CH350" i="1"/>
  <c r="AT348" i="1"/>
  <c r="F346" i="1"/>
  <c r="BV343" i="1"/>
  <c r="AH341" i="1"/>
  <c r="CX338" i="1"/>
  <c r="BJ336" i="1"/>
  <c r="V334" i="1"/>
  <c r="CL331" i="1"/>
  <c r="AX329" i="1"/>
  <c r="J327" i="1"/>
  <c r="BZ324" i="1"/>
  <c r="AL322" i="1"/>
  <c r="DB319" i="1"/>
  <c r="BN317" i="1"/>
  <c r="CW367" i="1"/>
  <c r="DF509" i="1"/>
  <c r="BV451" i="1"/>
  <c r="AT464" i="1"/>
  <c r="CL458" i="1"/>
  <c r="AT431" i="1"/>
  <c r="BW401" i="1"/>
  <c r="BV402" i="1"/>
  <c r="AW403" i="1"/>
  <c r="BI440" i="1"/>
  <c r="AE399" i="1"/>
  <c r="AD400" i="1"/>
  <c r="DI400" i="1"/>
  <c r="CK439" i="1"/>
  <c r="K399" i="1"/>
  <c r="J400" i="1"/>
  <c r="CO400" i="1"/>
  <c r="DI373" i="1"/>
  <c r="V417" i="1"/>
  <c r="Q431" i="1"/>
  <c r="BU421" i="1"/>
  <c r="U412" i="1"/>
  <c r="CU402" i="1"/>
  <c r="AU393" i="1"/>
  <c r="CY383" i="1"/>
  <c r="AY374" i="1"/>
  <c r="CT403" i="1"/>
  <c r="AT394" i="1"/>
  <c r="CX384" i="1"/>
  <c r="AX375" i="1"/>
  <c r="BU404" i="1"/>
  <c r="U395" i="1"/>
  <c r="BY385" i="1"/>
  <c r="Y376" i="1"/>
  <c r="BX404" i="1"/>
  <c r="X395" i="1"/>
  <c r="CB385" i="1"/>
  <c r="AB376" i="1"/>
  <c r="AK366" i="1"/>
  <c r="CO356" i="1"/>
  <c r="AO347" i="1"/>
  <c r="CS337" i="1"/>
  <c r="AS328" i="1"/>
  <c r="CW318" i="1"/>
  <c r="AW309" i="1"/>
  <c r="DA299" i="1"/>
  <c r="BT363" i="1"/>
  <c r="T354" i="1"/>
  <c r="BX344" i="1"/>
  <c r="X335" i="1"/>
  <c r="CB325" i="1"/>
  <c r="AB316" i="1"/>
  <c r="BG364" i="1"/>
  <c r="G355" i="1"/>
  <c r="BK345" i="1"/>
  <c r="K336" i="1"/>
  <c r="BO326" i="1"/>
  <c r="O317" i="1"/>
  <c r="BS307" i="1"/>
  <c r="S298" i="1"/>
  <c r="BB364" i="1"/>
  <c r="DF354" i="1"/>
  <c r="BF345" i="1"/>
  <c r="F336" i="1"/>
  <c r="BJ326" i="1"/>
  <c r="DE370" i="1"/>
  <c r="P398" i="1"/>
  <c r="BT388" i="1"/>
  <c r="T379" i="1"/>
  <c r="BX369" i="1"/>
  <c r="CG359" i="1"/>
  <c r="AG350" i="1"/>
  <c r="CK340" i="1"/>
  <c r="AK331" i="1"/>
  <c r="CO321" i="1"/>
  <c r="AO312" i="1"/>
  <c r="CS302" i="1"/>
  <c r="BX366" i="1"/>
  <c r="L357" i="1"/>
  <c r="BP347" i="1"/>
  <c r="P338" i="1"/>
  <c r="BT328" i="1"/>
  <c r="T319" i="1"/>
  <c r="BX309" i="1"/>
  <c r="DC357" i="1"/>
  <c r="BC348" i="1"/>
  <c r="DG338" i="1"/>
  <c r="BG329" i="1"/>
  <c r="G320" i="1"/>
  <c r="BK310" i="1"/>
  <c r="K301" i="1"/>
  <c r="BO291" i="1"/>
  <c r="CX357" i="1"/>
  <c r="AX348" i="1"/>
  <c r="DB338" i="1"/>
  <c r="BB329" i="1"/>
  <c r="DF319" i="1"/>
  <c r="AC370" i="1"/>
  <c r="CZ397" i="1"/>
  <c r="AZ388" i="1"/>
  <c r="DD378" i="1"/>
  <c r="BD369" i="1"/>
  <c r="BM359" i="1"/>
  <c r="M350" i="1"/>
  <c r="BQ340" i="1"/>
  <c r="Q331" i="1"/>
  <c r="BU321" i="1"/>
  <c r="U312" i="1"/>
  <c r="BY302" i="1"/>
  <c r="AS366" i="1"/>
  <c r="CV356" i="1"/>
  <c r="AV347" i="1"/>
  <c r="CZ337" i="1"/>
  <c r="AZ328" i="1"/>
  <c r="DD318" i="1"/>
  <c r="BD309" i="1"/>
  <c r="CI357" i="1"/>
  <c r="AI348" i="1"/>
  <c r="CM338" i="1"/>
  <c r="AM329" i="1"/>
  <c r="CQ319" i="1"/>
  <c r="AQ310" i="1"/>
  <c r="CU300" i="1"/>
  <c r="AU291" i="1"/>
  <c r="CD357" i="1"/>
  <c r="AD348" i="1"/>
  <c r="CH338" i="1"/>
  <c r="AH329" i="1"/>
  <c r="CL319" i="1"/>
  <c r="BT402" i="1"/>
  <c r="CV397" i="1"/>
  <c r="CF393" i="1"/>
  <c r="AR391" i="1"/>
  <c r="DH388" i="1"/>
  <c r="BT386" i="1"/>
  <c r="AF384" i="1"/>
  <c r="CV381" i="1"/>
  <c r="BH379" i="1"/>
  <c r="T377" i="1"/>
  <c r="CJ374" i="1"/>
  <c r="AV372" i="1"/>
  <c r="H370" i="1"/>
  <c r="BX367" i="1"/>
  <c r="CS364" i="1"/>
  <c r="BE362" i="1"/>
  <c r="Q360" i="1"/>
  <c r="CG357" i="1"/>
  <c r="AS355" i="1"/>
  <c r="DI352" i="1"/>
  <c r="BU350" i="1"/>
  <c r="AG348" i="1"/>
  <c r="CW345" i="1"/>
  <c r="BI343" i="1"/>
  <c r="U341" i="1"/>
  <c r="CK338" i="1"/>
  <c r="AW336" i="1"/>
  <c r="I334" i="1"/>
  <c r="BY331" i="1"/>
  <c r="AK329" i="1"/>
  <c r="DA326" i="1"/>
  <c r="BM324" i="1"/>
  <c r="Y322" i="1"/>
  <c r="CO319" i="1"/>
  <c r="BA317" i="1"/>
  <c r="M315" i="1"/>
  <c r="CC312" i="1"/>
  <c r="AO310" i="1"/>
  <c r="DE307" i="1"/>
  <c r="BQ305" i="1"/>
  <c r="AC303" i="1"/>
  <c r="CS300" i="1"/>
  <c r="BE298" i="1"/>
  <c r="Q296" i="1"/>
  <c r="CG293" i="1"/>
  <c r="BL364" i="1"/>
  <c r="X362" i="1"/>
  <c r="CN359" i="1"/>
  <c r="AZ357" i="1"/>
  <c r="L355" i="1"/>
  <c r="CB352" i="1"/>
  <c r="AN350" i="1"/>
  <c r="DD347" i="1"/>
  <c r="BP345" i="1"/>
  <c r="AB343" i="1"/>
  <c r="CR340" i="1"/>
  <c r="BD338" i="1"/>
  <c r="P336" i="1"/>
  <c r="CF333" i="1"/>
  <c r="AR331" i="1"/>
  <c r="DH328" i="1"/>
  <c r="BT326" i="1"/>
  <c r="AF324" i="1"/>
  <c r="CV321" i="1"/>
  <c r="BH319" i="1"/>
  <c r="T317" i="1"/>
  <c r="CJ314" i="1"/>
  <c r="AV312" i="1"/>
  <c r="H310" i="1"/>
  <c r="AY365" i="1"/>
  <c r="K363" i="1"/>
  <c r="CA360" i="1"/>
  <c r="AM358" i="1"/>
  <c r="DC355" i="1"/>
  <c r="BO353" i="1"/>
  <c r="AA351" i="1"/>
  <c r="CQ348" i="1"/>
  <c r="BC346" i="1"/>
  <c r="O344" i="1"/>
  <c r="CE341" i="1"/>
  <c r="AQ339" i="1"/>
  <c r="DG336" i="1"/>
  <c r="BS334" i="1"/>
  <c r="AE332" i="1"/>
  <c r="CU329" i="1"/>
  <c r="BG327" i="1"/>
  <c r="S325" i="1"/>
  <c r="CI322" i="1"/>
  <c r="AU320" i="1"/>
  <c r="G318" i="1"/>
  <c r="BW315" i="1"/>
  <c r="AI313" i="1"/>
  <c r="CY310" i="1"/>
  <c r="BK308" i="1"/>
  <c r="W306" i="1"/>
  <c r="CM303" i="1"/>
  <c r="AY301" i="1"/>
  <c r="K299" i="1"/>
  <c r="CA296" i="1"/>
  <c r="AM294" i="1"/>
  <c r="DC291" i="1"/>
  <c r="AT365" i="1"/>
  <c r="F363" i="1"/>
  <c r="BV360" i="1"/>
  <c r="AH358" i="1"/>
  <c r="CX355" i="1"/>
  <c r="BJ353" i="1"/>
  <c r="V351" i="1"/>
  <c r="CL348" i="1"/>
  <c r="AX346" i="1"/>
  <c r="J344" i="1"/>
  <c r="BZ341" i="1"/>
  <c r="AL339" i="1"/>
  <c r="DB336" i="1"/>
  <c r="BN334" i="1"/>
  <c r="Z332" i="1"/>
  <c r="CP329" i="1"/>
  <c r="BB327" i="1"/>
  <c r="N325" i="1"/>
  <c r="CD322" i="1"/>
  <c r="AP320" i="1"/>
  <c r="DF317" i="1"/>
  <c r="BB315" i="1"/>
  <c r="AL312" i="1"/>
  <c r="BR309" i="1"/>
  <c r="AD307" i="1"/>
  <c r="CT304" i="1"/>
  <c r="BF302" i="1"/>
  <c r="R300" i="1"/>
  <c r="CH297" i="1"/>
  <c r="AN307" i="1"/>
  <c r="CR297" i="1"/>
  <c r="BV292" i="1"/>
  <c r="CV289" i="1"/>
  <c r="BH287" i="1"/>
  <c r="T285" i="1"/>
  <c r="CJ282" i="1"/>
  <c r="AV280" i="1"/>
  <c r="H278" i="1"/>
  <c r="BX275" i="1"/>
  <c r="AJ273" i="1"/>
  <c r="CZ270" i="1"/>
  <c r="BL268" i="1"/>
  <c r="X266" i="1"/>
  <c r="CN263" i="1"/>
  <c r="AZ261" i="1"/>
  <c r="L259" i="1"/>
  <c r="CB256" i="1"/>
  <c r="AN254" i="1"/>
  <c r="DD251" i="1"/>
  <c r="BP249" i="1"/>
  <c r="AB247" i="1"/>
  <c r="CR244" i="1"/>
  <c r="BD242" i="1"/>
  <c r="P240" i="1"/>
  <c r="CF237" i="1"/>
  <c r="AR235" i="1"/>
  <c r="DH232" i="1"/>
  <c r="BT230" i="1"/>
  <c r="AF228" i="1"/>
  <c r="CV225" i="1"/>
  <c r="BH223" i="1"/>
  <c r="T307" i="1"/>
  <c r="BX297" i="1"/>
  <c r="BP292" i="1"/>
  <c r="CQ289" i="1"/>
  <c r="BC287" i="1"/>
  <c r="O285" i="1"/>
  <c r="CE282" i="1"/>
  <c r="AQ280" i="1"/>
  <c r="DG277" i="1"/>
  <c r="BS275" i="1"/>
  <c r="AE273" i="1"/>
  <c r="CU270" i="1"/>
  <c r="BG268" i="1"/>
  <c r="S266" i="1"/>
  <c r="CI263" i="1"/>
  <c r="AU261" i="1"/>
  <c r="G259" i="1"/>
  <c r="BW256" i="1"/>
  <c r="AI254" i="1"/>
  <c r="CY251" i="1"/>
  <c r="BK249" i="1"/>
  <c r="W247" i="1"/>
  <c r="CM244" i="1"/>
  <c r="AY242" i="1"/>
  <c r="K240" i="1"/>
  <c r="CA237" i="1"/>
  <c r="AM235" i="1"/>
  <c r="DC232" i="1"/>
  <c r="BO230" i="1"/>
  <c r="H309" i="1"/>
  <c r="BL299" i="1"/>
  <c r="AB293" i="1"/>
  <c r="AL290" i="1"/>
  <c r="DB287" i="1"/>
  <c r="BN285" i="1"/>
  <c r="Z283" i="1"/>
  <c r="CP280" i="1"/>
  <c r="BB278" i="1"/>
  <c r="N276" i="1"/>
  <c r="CD273" i="1"/>
  <c r="AP271" i="1"/>
  <c r="DF268" i="1"/>
  <c r="BR266" i="1"/>
  <c r="AD264" i="1"/>
  <c r="CT261" i="1"/>
  <c r="BF259" i="1"/>
  <c r="R257" i="1"/>
  <c r="CH254" i="1"/>
  <c r="AT252" i="1"/>
  <c r="F250" i="1"/>
  <c r="BV247" i="1"/>
  <c r="AH245" i="1"/>
  <c r="CX242" i="1"/>
  <c r="BJ240" i="1"/>
  <c r="V238" i="1"/>
  <c r="CL235" i="1"/>
  <c r="AX233" i="1"/>
  <c r="J231" i="1"/>
  <c r="BZ228" i="1"/>
  <c r="AL226" i="1"/>
  <c r="DB223" i="1"/>
  <c r="BN221" i="1"/>
  <c r="Z219" i="1"/>
  <c r="CP216" i="1"/>
  <c r="BB214" i="1"/>
  <c r="AJ301" i="1"/>
  <c r="CP293" i="1"/>
  <c r="CG290" i="1"/>
  <c r="AS288" i="1"/>
  <c r="DI285" i="1"/>
  <c r="BU283" i="1"/>
  <c r="AG281" i="1"/>
  <c r="CW278" i="1"/>
  <c r="BI276" i="1"/>
  <c r="U274" i="1"/>
  <c r="CK271" i="1"/>
  <c r="AW269" i="1"/>
  <c r="I267" i="1"/>
  <c r="BY264" i="1"/>
  <c r="AK262" i="1"/>
  <c r="DA259" i="1"/>
  <c r="BM257" i="1"/>
  <c r="Y255" i="1"/>
  <c r="CO252" i="1"/>
  <c r="BA250" i="1"/>
  <c r="M248" i="1"/>
  <c r="DA242" i="1"/>
  <c r="BA233" i="1"/>
  <c r="CP314" i="1"/>
  <c r="BV311" i="1"/>
  <c r="R309" i="1"/>
  <c r="CH306" i="1"/>
  <c r="AT304" i="1"/>
  <c r="F302" i="1"/>
  <c r="BV299" i="1"/>
  <c r="AH297" i="1"/>
  <c r="AV305" i="1"/>
  <c r="CZ295" i="1"/>
  <c r="DI291" i="1"/>
  <c r="AV289" i="1"/>
  <c r="H287" i="1"/>
  <c r="BX284" i="1"/>
  <c r="AJ282" i="1"/>
  <c r="CZ279" i="1"/>
  <c r="BL277" i="1"/>
  <c r="X275" i="1"/>
  <c r="CN272" i="1"/>
  <c r="AZ270" i="1"/>
  <c r="L268" i="1"/>
  <c r="CB265" i="1"/>
  <c r="AN263" i="1"/>
  <c r="DD260" i="1"/>
  <c r="BP258" i="1"/>
  <c r="AB256" i="1"/>
  <c r="CR253" i="1"/>
  <c r="BD251" i="1"/>
  <c r="P249" i="1"/>
  <c r="CF246" i="1"/>
  <c r="AR244" i="1"/>
  <c r="DH241" i="1"/>
  <c r="BT239" i="1"/>
  <c r="AF237" i="1"/>
  <c r="CV234" i="1"/>
  <c r="BH232" i="1"/>
  <c r="T230" i="1"/>
  <c r="CJ227" i="1"/>
  <c r="AV225" i="1"/>
  <c r="H223" i="1"/>
  <c r="AB305" i="1"/>
  <c r="CL295" i="1"/>
  <c r="DB291" i="1"/>
  <c r="AQ289" i="1"/>
  <c r="DG286" i="1"/>
  <c r="BS284" i="1"/>
  <c r="AE282" i="1"/>
  <c r="CU279" i="1"/>
  <c r="BG277" i="1"/>
  <c r="S275" i="1"/>
  <c r="CI272" i="1"/>
  <c r="AU270" i="1"/>
  <c r="G268" i="1"/>
  <c r="BW265" i="1"/>
  <c r="AI263" i="1"/>
  <c r="CY260" i="1"/>
  <c r="BK258" i="1"/>
  <c r="W256" i="1"/>
  <c r="CM253" i="1"/>
  <c r="AY251" i="1"/>
  <c r="K249" i="1"/>
  <c r="CA246" i="1"/>
  <c r="AM244" i="1"/>
  <c r="DC241" i="1"/>
  <c r="BO239" i="1"/>
  <c r="AA237" i="1"/>
  <c r="CQ234" i="1"/>
  <c r="BC232" i="1"/>
  <c r="O230" i="1"/>
  <c r="P307" i="1"/>
  <c r="BT297" i="1"/>
  <c r="BN292" i="1"/>
  <c r="CP289" i="1"/>
  <c r="BB287" i="1"/>
  <c r="N285" i="1"/>
  <c r="CD282" i="1"/>
  <c r="AP280" i="1"/>
  <c r="DF277" i="1"/>
  <c r="BR275" i="1"/>
  <c r="AD273" i="1"/>
  <c r="CT270" i="1"/>
  <c r="BF268" i="1"/>
  <c r="R266" i="1"/>
  <c r="CH263" i="1"/>
  <c r="AT261" i="1"/>
  <c r="F259" i="1"/>
  <c r="BV256" i="1"/>
  <c r="AH254" i="1"/>
  <c r="CX251" i="1"/>
  <c r="BJ249" i="1"/>
  <c r="V247" i="1"/>
  <c r="CL244" i="1"/>
  <c r="AX242" i="1"/>
  <c r="J240" i="1"/>
  <c r="BZ237" i="1"/>
  <c r="AL235" i="1"/>
  <c r="DB232" i="1"/>
  <c r="BN230" i="1"/>
  <c r="Z228" i="1"/>
  <c r="CP225" i="1"/>
  <c r="BB223" i="1"/>
  <c r="N221" i="1"/>
  <c r="CD218" i="1"/>
  <c r="AP216" i="1"/>
  <c r="CR308" i="1"/>
  <c r="AR299" i="1"/>
  <c r="U293" i="1"/>
  <c r="AG290" i="1"/>
  <c r="CW287" i="1"/>
  <c r="BI285" i="1"/>
  <c r="U283" i="1"/>
  <c r="CK280" i="1"/>
  <c r="AW278" i="1"/>
  <c r="I276" i="1"/>
  <c r="BY273" i="1"/>
  <c r="AK271" i="1"/>
  <c r="DA268" i="1"/>
  <c r="AT314" i="1"/>
  <c r="Z311" i="1"/>
  <c r="CL308" i="1"/>
  <c r="AX306" i="1"/>
  <c r="J304" i="1"/>
  <c r="BZ301" i="1"/>
  <c r="AL299" i="1"/>
  <c r="DB296" i="1"/>
  <c r="L304" i="1"/>
  <c r="AB295" i="1"/>
  <c r="BM291" i="1"/>
  <c r="L289" i="1"/>
  <c r="CB286" i="1"/>
  <c r="AN284" i="1"/>
  <c r="DD281" i="1"/>
  <c r="BP279" i="1"/>
  <c r="AB277" i="1"/>
  <c r="CR274" i="1"/>
  <c r="BD272" i="1"/>
  <c r="P270" i="1"/>
  <c r="CF267" i="1"/>
  <c r="AR265" i="1"/>
  <c r="DH262" i="1"/>
  <c r="BT260" i="1"/>
  <c r="AF258" i="1"/>
  <c r="CV255" i="1"/>
  <c r="BH253" i="1"/>
  <c r="T251" i="1"/>
  <c r="CJ248" i="1"/>
  <c r="AV246" i="1"/>
  <c r="H244" i="1"/>
  <c r="BX241" i="1"/>
  <c r="AJ239" i="1"/>
  <c r="CZ236" i="1"/>
  <c r="BL234" i="1"/>
  <c r="X232" i="1"/>
  <c r="CN229" i="1"/>
  <c r="AZ227" i="1"/>
  <c r="L225" i="1"/>
  <c r="CB222" i="1"/>
  <c r="CV303" i="1"/>
  <c r="R295" i="1"/>
  <c r="BF291" i="1"/>
  <c r="G289" i="1"/>
  <c r="BW286" i="1"/>
  <c r="AI284" i="1"/>
  <c r="CY281" i="1"/>
  <c r="BK279" i="1"/>
  <c r="W277" i="1"/>
  <c r="CM274" i="1"/>
  <c r="AY272" i="1"/>
  <c r="K270" i="1"/>
  <c r="CA267" i="1"/>
  <c r="AM265" i="1"/>
  <c r="DC262" i="1"/>
  <c r="BO260" i="1"/>
  <c r="AA258" i="1"/>
  <c r="CQ255" i="1"/>
  <c r="BC253" i="1"/>
  <c r="O251" i="1"/>
  <c r="CE248" i="1"/>
  <c r="AQ246" i="1"/>
  <c r="DG243" i="1"/>
  <c r="BS241" i="1"/>
  <c r="AE239" i="1"/>
  <c r="CU236" i="1"/>
  <c r="BG234" i="1"/>
  <c r="S232" i="1"/>
  <c r="CI229" i="1"/>
  <c r="CJ305" i="1"/>
  <c r="AJ296" i="1"/>
  <c r="R292" i="1"/>
  <c r="BF289" i="1"/>
  <c r="R287" i="1"/>
  <c r="CH284" i="1"/>
  <c r="AT282" i="1"/>
  <c r="F280" i="1"/>
  <c r="BV277" i="1"/>
  <c r="AH275" i="1"/>
  <c r="CX272" i="1"/>
  <c r="BJ270" i="1"/>
  <c r="V268" i="1"/>
  <c r="CL265" i="1"/>
  <c r="AX263" i="1"/>
  <c r="J261" i="1"/>
  <c r="BZ258" i="1"/>
  <c r="AL256" i="1"/>
  <c r="DB253" i="1"/>
  <c r="BN251" i="1"/>
  <c r="Z249" i="1"/>
  <c r="CP246" i="1"/>
  <c r="BB244" i="1"/>
  <c r="N242" i="1"/>
  <c r="CD239" i="1"/>
  <c r="AP237" i="1"/>
  <c r="DF234" i="1"/>
  <c r="BR232" i="1"/>
  <c r="AD230" i="1"/>
  <c r="CT227" i="1"/>
  <c r="BF225" i="1"/>
  <c r="R223" i="1"/>
  <c r="CH220" i="1"/>
  <c r="AT218" i="1"/>
  <c r="F216" i="1"/>
  <c r="BH307" i="1"/>
  <c r="H298" i="1"/>
  <c r="CC292" i="1"/>
  <c r="DA289" i="1"/>
  <c r="BM287" i="1"/>
  <c r="Y285" i="1"/>
  <c r="CO282" i="1"/>
  <c r="BA280" i="1"/>
  <c r="M278" i="1"/>
  <c r="CC275" i="1"/>
  <c r="AO273" i="1"/>
  <c r="AR553" i="1"/>
  <c r="AZ453" i="1"/>
  <c r="CL420" i="1"/>
  <c r="BF413" i="1"/>
  <c r="O406" i="1"/>
  <c r="BM408" i="1"/>
  <c r="CQ370" i="1"/>
  <c r="CP371" i="1"/>
  <c r="BQ372" i="1"/>
  <c r="U406" i="1"/>
  <c r="AY368" i="1"/>
  <c r="AX369" i="1"/>
  <c r="Y370" i="1"/>
  <c r="DE405" i="1"/>
  <c r="AE368" i="1"/>
  <c r="AD369" i="1"/>
  <c r="AS376" i="1"/>
  <c r="AH424" i="1"/>
  <c r="CW432" i="1"/>
  <c r="AW423" i="1"/>
  <c r="DA413" i="1"/>
  <c r="BW404" i="1"/>
  <c r="W395" i="1"/>
  <c r="CA385" i="1"/>
  <c r="AA376" i="1"/>
  <c r="CE366" i="1"/>
  <c r="V396" i="1"/>
  <c r="BZ386" i="1"/>
  <c r="Z377" i="1"/>
  <c r="CD367" i="1"/>
  <c r="DA396" i="1"/>
  <c r="BA387" i="1"/>
  <c r="DE377" i="1"/>
  <c r="CS368" i="1"/>
  <c r="DD396" i="1"/>
  <c r="BD387" i="1"/>
  <c r="DH377" i="1"/>
  <c r="BH368" i="1"/>
  <c r="BQ358" i="1"/>
  <c r="Q349" i="1"/>
  <c r="BU339" i="1"/>
  <c r="U330" i="1"/>
  <c r="BY320" i="1"/>
  <c r="Y311" i="1"/>
  <c r="CC301" i="1"/>
  <c r="AV365" i="1"/>
  <c r="CZ355" i="1"/>
  <c r="AZ346" i="1"/>
  <c r="DD336" i="1"/>
  <c r="BD327" i="1"/>
  <c r="DH317" i="1"/>
  <c r="AI366" i="1"/>
  <c r="CM356" i="1"/>
  <c r="AM347" i="1"/>
  <c r="CQ337" i="1"/>
  <c r="AQ328" i="1"/>
  <c r="CU318" i="1"/>
  <c r="AU309" i="1"/>
  <c r="CY299" i="1"/>
  <c r="AD366" i="1"/>
  <c r="CH356" i="1"/>
  <c r="AH347" i="1"/>
  <c r="CL337" i="1"/>
  <c r="AL328" i="1"/>
  <c r="CP318" i="1"/>
  <c r="CV399" i="1"/>
  <c r="AV390" i="1"/>
  <c r="CZ380" i="1"/>
  <c r="AZ371" i="1"/>
  <c r="BI361" i="1"/>
  <c r="I352" i="1"/>
  <c r="BM342" i="1"/>
  <c r="M333" i="1"/>
  <c r="BQ323" i="1"/>
  <c r="Q314" i="1"/>
  <c r="BU304" i="1"/>
  <c r="U295" i="1"/>
  <c r="CR358" i="1"/>
  <c r="AR349" i="1"/>
  <c r="CV339" i="1"/>
  <c r="AV330" i="1"/>
  <c r="CZ320" i="1"/>
  <c r="AZ311" i="1"/>
  <c r="CE359" i="1"/>
  <c r="AE350" i="1"/>
  <c r="CI340" i="1"/>
  <c r="AI331" i="1"/>
  <c r="CM321" i="1"/>
  <c r="AM312" i="1"/>
  <c r="CQ302" i="1"/>
  <c r="AQ293" i="1"/>
  <c r="BZ359" i="1"/>
  <c r="Z350" i="1"/>
  <c r="CD340" i="1"/>
  <c r="AD331" i="1"/>
  <c r="CH321" i="1"/>
  <c r="AH312" i="1"/>
  <c r="CB399" i="1"/>
  <c r="AB390" i="1"/>
  <c r="CF380" i="1"/>
  <c r="AF371" i="1"/>
  <c r="AO361" i="1"/>
  <c r="CS351" i="1"/>
  <c r="AS342" i="1"/>
  <c r="CW332" i="1"/>
  <c r="AW323" i="1"/>
  <c r="DA313" i="1"/>
  <c r="BA304" i="1"/>
  <c r="DE294" i="1"/>
  <c r="BX358" i="1"/>
  <c r="X349" i="1"/>
  <c r="CB339" i="1"/>
  <c r="AB330" i="1"/>
  <c r="CF320" i="1"/>
  <c r="AF311" i="1"/>
  <c r="BK359" i="1"/>
  <c r="K350" i="1"/>
  <c r="BO340" i="1"/>
  <c r="O331" i="1"/>
  <c r="BS321" i="1"/>
  <c r="S312" i="1"/>
  <c r="BW302" i="1"/>
  <c r="W293" i="1"/>
  <c r="BF359" i="1"/>
  <c r="F350" i="1"/>
  <c r="BJ340" i="1"/>
  <c r="J331" i="1"/>
  <c r="BN321" i="1"/>
  <c r="AR403" i="1"/>
  <c r="BT398" i="1"/>
  <c r="X394" i="1"/>
  <c r="CN391" i="1"/>
  <c r="AZ389" i="1"/>
  <c r="L387" i="1"/>
  <c r="CB384" i="1"/>
  <c r="AN382" i="1"/>
  <c r="DD379" i="1"/>
  <c r="BP377" i="1"/>
  <c r="AB375" i="1"/>
  <c r="CR372" i="1"/>
  <c r="BD370" i="1"/>
  <c r="P368" i="1"/>
  <c r="AK365" i="1"/>
  <c r="DA362" i="1"/>
  <c r="BM360" i="1"/>
  <c r="Y358" i="1"/>
  <c r="CO355" i="1"/>
  <c r="BA353" i="1"/>
  <c r="M351" i="1"/>
  <c r="CC348" i="1"/>
  <c r="AO346" i="1"/>
  <c r="DE343" i="1"/>
  <c r="BQ341" i="1"/>
  <c r="AC339" i="1"/>
  <c r="CS336" i="1"/>
  <c r="BE334" i="1"/>
  <c r="Q332" i="1"/>
  <c r="CG329" i="1"/>
  <c r="AS327" i="1"/>
  <c r="DI324" i="1"/>
  <c r="BU322" i="1"/>
  <c r="AG320" i="1"/>
  <c r="CW317" i="1"/>
  <c r="BI315" i="1"/>
  <c r="U313" i="1"/>
  <c r="CK310" i="1"/>
  <c r="AW308" i="1"/>
  <c r="I306" i="1"/>
  <c r="BY303" i="1"/>
  <c r="AK301" i="1"/>
  <c r="DA298" i="1"/>
  <c r="BM296" i="1"/>
  <c r="Y294" i="1"/>
  <c r="DH364" i="1"/>
  <c r="BT362" i="1"/>
  <c r="AF360" i="1"/>
  <c r="CV357" i="1"/>
  <c r="BH355" i="1"/>
  <c r="T353" i="1"/>
  <c r="CJ350" i="1"/>
  <c r="AV348" i="1"/>
  <c r="H346" i="1"/>
  <c r="BX343" i="1"/>
  <c r="AJ341" i="1"/>
  <c r="CZ338" i="1"/>
  <c r="BL336" i="1"/>
  <c r="X334" i="1"/>
  <c r="CN331" i="1"/>
  <c r="AZ329" i="1"/>
  <c r="L327" i="1"/>
  <c r="CB324" i="1"/>
  <c r="AN322" i="1"/>
  <c r="DD319" i="1"/>
  <c r="BP317" i="1"/>
  <c r="AB315" i="1"/>
  <c r="CR312" i="1"/>
  <c r="BD310" i="1"/>
  <c r="CU365" i="1"/>
  <c r="BG363" i="1"/>
  <c r="S361" i="1"/>
  <c r="CI358" i="1"/>
  <c r="AU356" i="1"/>
  <c r="G354" i="1"/>
  <c r="BW351" i="1"/>
  <c r="AI349" i="1"/>
  <c r="CY346" i="1"/>
  <c r="BK344" i="1"/>
  <c r="W342" i="1"/>
  <c r="CM339" i="1"/>
  <c r="AY337" i="1"/>
  <c r="K335" i="1"/>
  <c r="CA332" i="1"/>
  <c r="AM330" i="1"/>
  <c r="DC327" i="1"/>
  <c r="BO325" i="1"/>
  <c r="AA323" i="1"/>
  <c r="CQ320" i="1"/>
  <c r="BC318" i="1"/>
  <c r="O316" i="1"/>
  <c r="CE313" i="1"/>
  <c r="AQ311" i="1"/>
  <c r="DG308" i="1"/>
  <c r="BS306" i="1"/>
  <c r="AE304" i="1"/>
  <c r="CU301" i="1"/>
  <c r="BG299" i="1"/>
  <c r="S297" i="1"/>
  <c r="CI294" i="1"/>
  <c r="AU292" i="1"/>
  <c r="CP365" i="1"/>
  <c r="BB363" i="1"/>
  <c r="N361" i="1"/>
  <c r="CD358" i="1"/>
  <c r="AP356" i="1"/>
  <c r="DF353" i="1"/>
  <c r="BR351" i="1"/>
  <c r="AD349" i="1"/>
  <c r="CT346" i="1"/>
  <c r="BF344" i="1"/>
  <c r="R342" i="1"/>
  <c r="CH339" i="1"/>
  <c r="AT337" i="1"/>
  <c r="F335" i="1"/>
  <c r="BV332" i="1"/>
  <c r="AH330" i="1"/>
  <c r="CX327" i="1"/>
  <c r="BJ325" i="1"/>
  <c r="V323" i="1"/>
  <c r="CL320" i="1"/>
  <c r="AX318" i="1"/>
  <c r="J316" i="1"/>
  <c r="CX312" i="1"/>
  <c r="J310" i="1"/>
  <c r="BZ307" i="1"/>
  <c r="AL305" i="1"/>
  <c r="DB302" i="1"/>
  <c r="BN300" i="1"/>
  <c r="Z298" i="1"/>
  <c r="P309" i="1"/>
  <c r="BT299" i="1"/>
  <c r="AD293" i="1"/>
  <c r="AN290" i="1"/>
  <c r="DD287" i="1"/>
  <c r="BP285" i="1"/>
  <c r="AB283" i="1"/>
  <c r="CR280" i="1"/>
  <c r="BD278" i="1"/>
  <c r="P276" i="1"/>
  <c r="CF273" i="1"/>
  <c r="AR271" i="1"/>
  <c r="DH268" i="1"/>
  <c r="BT266" i="1"/>
  <c r="AF264" i="1"/>
  <c r="CV261" i="1"/>
  <c r="BH259" i="1"/>
  <c r="T257" i="1"/>
  <c r="CJ254" i="1"/>
  <c r="AV252" i="1"/>
  <c r="H250" i="1"/>
  <c r="BX247" i="1"/>
  <c r="AJ245" i="1"/>
  <c r="CZ242" i="1"/>
  <c r="BL240" i="1"/>
  <c r="X238" i="1"/>
  <c r="CN235" i="1"/>
  <c r="AZ233" i="1"/>
  <c r="L231" i="1"/>
  <c r="CB228" i="1"/>
  <c r="AN226" i="1"/>
  <c r="DD223" i="1"/>
  <c r="CZ308" i="1"/>
  <c r="AZ299" i="1"/>
  <c r="X293" i="1"/>
  <c r="AI290" i="1"/>
  <c r="CY287" i="1"/>
  <c r="BK285" i="1"/>
  <c r="W283" i="1"/>
  <c r="CM280" i="1"/>
  <c r="AY278" i="1"/>
  <c r="K276" i="1"/>
  <c r="CA273" i="1"/>
  <c r="AM271" i="1"/>
  <c r="DC268" i="1"/>
  <c r="BO266" i="1"/>
  <c r="AA264" i="1"/>
  <c r="CQ261" i="1"/>
  <c r="BC259" i="1"/>
  <c r="O257" i="1"/>
  <c r="CE254" i="1"/>
  <c r="AQ252" i="1"/>
  <c r="DG249" i="1"/>
  <c r="BS247" i="1"/>
  <c r="AE245" i="1"/>
  <c r="CU242" i="1"/>
  <c r="BG240" i="1"/>
  <c r="S238" i="1"/>
  <c r="CI235" i="1"/>
  <c r="AU233" i="1"/>
  <c r="G231" i="1"/>
  <c r="BW228" i="1"/>
  <c r="AN301" i="1"/>
  <c r="CR293" i="1"/>
  <c r="CH290" i="1"/>
  <c r="AT288" i="1"/>
  <c r="F286" i="1"/>
  <c r="BV283" i="1"/>
  <c r="AH281" i="1"/>
  <c r="CX278" i="1"/>
  <c r="BJ276" i="1"/>
  <c r="V274" i="1"/>
  <c r="CL271" i="1"/>
  <c r="AX269" i="1"/>
  <c r="J267" i="1"/>
  <c r="BZ264" i="1"/>
  <c r="AL262" i="1"/>
  <c r="DB259" i="1"/>
  <c r="BN257" i="1"/>
  <c r="Z255" i="1"/>
  <c r="CP252" i="1"/>
  <c r="BB250" i="1"/>
  <c r="N248" i="1"/>
  <c r="CD245" i="1"/>
  <c r="AP243" i="1"/>
  <c r="DF240" i="1"/>
  <c r="BR238" i="1"/>
  <c r="AD236" i="1"/>
  <c r="CT233" i="1"/>
  <c r="BF231" i="1"/>
  <c r="R229" i="1"/>
  <c r="CH226" i="1"/>
  <c r="AT224" i="1"/>
  <c r="F222" i="1"/>
  <c r="BV219" i="1"/>
  <c r="AH217" i="1"/>
  <c r="CX214" i="1"/>
  <c r="L303" i="1"/>
  <c r="CD294" i="1"/>
  <c r="AC291" i="1"/>
  <c r="CO288" i="1"/>
  <c r="BA286" i="1"/>
  <c r="M284" i="1"/>
  <c r="CC281" i="1"/>
  <c r="AO279" i="1"/>
  <c r="DE276" i="1"/>
  <c r="BQ274" i="1"/>
  <c r="AC272" i="1"/>
  <c r="CS269" i="1"/>
  <c r="BE267" i="1"/>
  <c r="Q265" i="1"/>
  <c r="CG262" i="1"/>
  <c r="AS260" i="1"/>
  <c r="DI257" i="1"/>
  <c r="BU255" i="1"/>
  <c r="AG253" i="1"/>
  <c r="CW250" i="1"/>
  <c r="BI248" i="1"/>
  <c r="CC244" i="1"/>
  <c r="AC235" i="1"/>
  <c r="AX315" i="1"/>
  <c r="AD312" i="1"/>
  <c r="BN309" i="1"/>
  <c r="Z307" i="1"/>
  <c r="CP304" i="1"/>
  <c r="BB302" i="1"/>
  <c r="N300" i="1"/>
  <c r="CD297" i="1"/>
  <c r="X307" i="1"/>
  <c r="CB297" i="1"/>
  <c r="BQ292" i="1"/>
  <c r="CR289" i="1"/>
  <c r="BD287" i="1"/>
  <c r="P285" i="1"/>
  <c r="CF282" i="1"/>
  <c r="AR280" i="1"/>
  <c r="DH277" i="1"/>
  <c r="BT275" i="1"/>
  <c r="AF273" i="1"/>
  <c r="CV270" i="1"/>
  <c r="BH268" i="1"/>
  <c r="T266" i="1"/>
  <c r="CJ263" i="1"/>
  <c r="AV261" i="1"/>
  <c r="H259" i="1"/>
  <c r="BX256" i="1"/>
  <c r="AJ254" i="1"/>
  <c r="CZ251" i="1"/>
  <c r="BL249" i="1"/>
  <c r="X247" i="1"/>
  <c r="CN244" i="1"/>
  <c r="AZ242" i="1"/>
  <c r="L240" i="1"/>
  <c r="CB237" i="1"/>
  <c r="AN235" i="1"/>
  <c r="DD232" i="1"/>
  <c r="BP230" i="1"/>
  <c r="AB228" i="1"/>
  <c r="CR225" i="1"/>
  <c r="BD223" i="1"/>
  <c r="DH306" i="1"/>
  <c r="BH297" i="1"/>
  <c r="BJ292" i="1"/>
  <c r="CM289" i="1"/>
  <c r="AY287" i="1"/>
  <c r="K285" i="1"/>
  <c r="CA282" i="1"/>
  <c r="AM280" i="1"/>
  <c r="DC277" i="1"/>
  <c r="BO275" i="1"/>
  <c r="AA273" i="1"/>
  <c r="CQ270" i="1"/>
  <c r="BC268" i="1"/>
  <c r="O266" i="1"/>
  <c r="CE263" i="1"/>
  <c r="AQ261" i="1"/>
  <c r="DG258" i="1"/>
  <c r="BS256" i="1"/>
  <c r="AE254" i="1"/>
  <c r="CU251" i="1"/>
  <c r="BG249" i="1"/>
  <c r="S247" i="1"/>
  <c r="CI244" i="1"/>
  <c r="AU242" i="1"/>
  <c r="G240" i="1"/>
  <c r="BW237" i="1"/>
  <c r="AI235" i="1"/>
  <c r="CY232" i="1"/>
  <c r="BK230" i="1"/>
  <c r="CV308" i="1"/>
  <c r="AV299" i="1"/>
  <c r="V293" i="1"/>
  <c r="AH290" i="1"/>
  <c r="CX287" i="1"/>
  <c r="BJ285" i="1"/>
  <c r="V283" i="1"/>
  <c r="CL280" i="1"/>
  <c r="AX278" i="1"/>
  <c r="J276" i="1"/>
  <c r="BZ273" i="1"/>
  <c r="AL271" i="1"/>
  <c r="DB268" i="1"/>
  <c r="BN266" i="1"/>
  <c r="Z264" i="1"/>
  <c r="CP261" i="1"/>
  <c r="BB259" i="1"/>
  <c r="N257" i="1"/>
  <c r="CD254" i="1"/>
  <c r="CE413" i="1"/>
  <c r="Y505" i="1"/>
  <c r="AC446" i="1"/>
  <c r="BL437" i="1"/>
  <c r="DH410" i="1"/>
  <c r="DB457" i="1"/>
  <c r="S418" i="1"/>
  <c r="F453" i="1"/>
  <c r="BS424" i="1"/>
  <c r="CX425" i="1"/>
  <c r="M419" i="1"/>
  <c r="AM400" i="1"/>
  <c r="AQ381" i="1"/>
  <c r="AL401" i="1"/>
  <c r="AP382" i="1"/>
  <c r="M402" i="1"/>
  <c r="Q383" i="1"/>
  <c r="AC436" i="1"/>
  <c r="BY416" i="1"/>
  <c r="CY397" i="1"/>
  <c r="DC378" i="1"/>
  <c r="CX398" i="1"/>
  <c r="DB379" i="1"/>
  <c r="BY399" i="1"/>
  <c r="CC380" i="1"/>
  <c r="DI435" i="1"/>
  <c r="BE416" i="1"/>
  <c r="CE397" i="1"/>
  <c r="CI378" i="1"/>
  <c r="CD398" i="1"/>
  <c r="CH379" i="1"/>
  <c r="N369" i="1"/>
  <c r="AK398" i="1"/>
  <c r="CO388" i="1"/>
  <c r="CD545" i="1"/>
  <c r="BJ481" i="1"/>
  <c r="BS464" i="1"/>
  <c r="AO453" i="1"/>
  <c r="AJ473" i="1"/>
  <c r="AJ442" i="1"/>
  <c r="AT420" i="1"/>
  <c r="BL414" i="1"/>
  <c r="CD426" i="1"/>
  <c r="AH459" i="1"/>
  <c r="AZ420" i="1"/>
  <c r="BC419" i="1"/>
  <c r="AX419" i="1"/>
  <c r="AP454" i="1"/>
  <c r="BL416" i="1"/>
  <c r="BG425" i="1"/>
  <c r="BS408" i="1"/>
  <c r="CT428" i="1"/>
  <c r="DI428" i="1"/>
  <c r="BI419" i="1"/>
  <c r="I410" i="1"/>
  <c r="CI400" i="1"/>
  <c r="AI391" i="1"/>
  <c r="CM381" i="1"/>
  <c r="AM372" i="1"/>
  <c r="CH401" i="1"/>
  <c r="AH392" i="1"/>
  <c r="CL382" i="1"/>
  <c r="AL373" i="1"/>
  <c r="BI402" i="1"/>
  <c r="I393" i="1"/>
  <c r="BM383" i="1"/>
  <c r="M374" i="1"/>
  <c r="DE436" i="1"/>
  <c r="BQ426" i="1"/>
  <c r="Q417" i="1"/>
  <c r="BU407" i="1"/>
  <c r="AQ398" i="1"/>
  <c r="CU388" i="1"/>
  <c r="AU379" i="1"/>
  <c r="CY369" i="1"/>
  <c r="AP399" i="1"/>
  <c r="CT389" i="1"/>
  <c r="AT380" i="1"/>
  <c r="CX370" i="1"/>
  <c r="Q400" i="1"/>
  <c r="BU390" i="1"/>
  <c r="U381" i="1"/>
  <c r="BY371" i="1"/>
  <c r="BQ436" i="1"/>
  <c r="AW426" i="1"/>
  <c r="DA416" i="1"/>
  <c r="BA407" i="1"/>
  <c r="W398" i="1"/>
  <c r="CA388" i="1"/>
  <c r="AA379" i="1"/>
  <c r="CE369" i="1"/>
  <c r="V399" i="1"/>
  <c r="BZ389" i="1"/>
  <c r="Z380" i="1"/>
  <c r="CD370" i="1"/>
  <c r="DA399" i="1"/>
  <c r="BA390" i="1"/>
  <c r="DE380" i="1"/>
  <c r="BM542" i="1"/>
  <c r="CC495" i="1"/>
  <c r="BZ475" i="1"/>
  <c r="AF479" i="1"/>
  <c r="L463" i="1"/>
  <c r="AZ434" i="1"/>
  <c r="BB414" i="1"/>
  <c r="BT408" i="1"/>
  <c r="Z424" i="1"/>
  <c r="CD455" i="1"/>
  <c r="CZ417" i="1"/>
  <c r="DC416" i="1"/>
  <c r="CX416" i="1"/>
  <c r="CP451" i="1"/>
  <c r="H414" i="1"/>
  <c r="AM424" i="1"/>
  <c r="AI407" i="1"/>
  <c r="BJ423" i="1"/>
  <c r="AG428" i="1"/>
  <c r="CK418" i="1"/>
  <c r="AK409" i="1"/>
  <c r="G400" i="1"/>
  <c r="BK390" i="1"/>
  <c r="K381" i="1"/>
  <c r="BO371" i="1"/>
  <c r="F401" i="1"/>
  <c r="BJ391" i="1"/>
  <c r="J382" i="1"/>
  <c r="BN372" i="1"/>
  <c r="CK401" i="1"/>
  <c r="AK392" i="1"/>
  <c r="CO382" i="1"/>
  <c r="AO373" i="1"/>
  <c r="CS435" i="1"/>
  <c r="CS425" i="1"/>
  <c r="AS416" i="1"/>
  <c r="CW406" i="1"/>
  <c r="BS397" i="1"/>
  <c r="S388" i="1"/>
  <c r="BW378" i="1"/>
  <c r="W369" i="1"/>
  <c r="BR398" i="1"/>
  <c r="R389" i="1"/>
  <c r="BV379" i="1"/>
  <c r="V370" i="1"/>
  <c r="AS399" i="1"/>
  <c r="CW389" i="1"/>
  <c r="AW380" i="1"/>
  <c r="DA370" i="1"/>
  <c r="BQ435" i="1"/>
  <c r="BY425" i="1"/>
  <c r="Y416" i="1"/>
  <c r="CC406" i="1"/>
  <c r="AY397" i="1"/>
  <c r="DC387" i="1"/>
  <c r="BC378" i="1"/>
  <c r="DG368" i="1"/>
  <c r="AX398" i="1"/>
  <c r="DB388" i="1"/>
  <c r="BB379" i="1"/>
  <c r="DF369" i="1"/>
  <c r="Y399" i="1"/>
  <c r="CC389" i="1"/>
  <c r="AC380" i="1"/>
  <c r="J485" i="1"/>
  <c r="CQ431" i="1"/>
  <c r="BP440" i="1"/>
  <c r="CB436" i="1"/>
  <c r="AK436" i="1"/>
  <c r="AM396" i="1"/>
  <c r="AL397" i="1"/>
  <c r="M398" i="1"/>
  <c r="BU431" i="1"/>
  <c r="CY393" i="1"/>
  <c r="CX394" i="1"/>
  <c r="BY395" i="1"/>
  <c r="BA431" i="1"/>
  <c r="CE393" i="1"/>
  <c r="CD394" i="1"/>
  <c r="BE395" i="1"/>
  <c r="BY372" i="1"/>
  <c r="CP411" i="1"/>
  <c r="CK429" i="1"/>
  <c r="AK420" i="1"/>
  <c r="CO410" i="1"/>
  <c r="BK401" i="1"/>
  <c r="K392" i="1"/>
  <c r="BO382" i="1"/>
  <c r="O373" i="1"/>
  <c r="BJ402" i="1"/>
  <c r="J393" i="1"/>
  <c r="BN383" i="1"/>
  <c r="N374" i="1"/>
  <c r="AK403" i="1"/>
  <c r="CO393" i="1"/>
  <c r="AO384" i="1"/>
  <c r="CS374" i="1"/>
  <c r="AN403" i="1"/>
  <c r="CR393" i="1"/>
  <c r="AR384" i="1"/>
  <c r="CV374" i="1"/>
  <c r="DE364" i="1"/>
  <c r="BE355" i="1"/>
  <c r="DI345" i="1"/>
  <c r="BI336" i="1"/>
  <c r="I327" i="1"/>
  <c r="BM317" i="1"/>
  <c r="M308" i="1"/>
  <c r="BQ298" i="1"/>
  <c r="AJ362" i="1"/>
  <c r="CN352" i="1"/>
  <c r="AN343" i="1"/>
  <c r="CR333" i="1"/>
  <c r="AR324" i="1"/>
  <c r="CV314" i="1"/>
  <c r="W363" i="1"/>
  <c r="CA353" i="1"/>
  <c r="AA344" i="1"/>
  <c r="CE334" i="1"/>
  <c r="AE325" i="1"/>
  <c r="CI315" i="1"/>
  <c r="AI306" i="1"/>
  <c r="CM296" i="1"/>
  <c r="R363" i="1"/>
  <c r="BV353" i="1"/>
  <c r="V344" i="1"/>
  <c r="BZ334" i="1"/>
  <c r="Z325" i="1"/>
  <c r="BQ368" i="1"/>
  <c r="CJ396" i="1"/>
  <c r="AJ387" i="1"/>
  <c r="CN377" i="1"/>
  <c r="AN368" i="1"/>
  <c r="AW358" i="1"/>
  <c r="DA348" i="1"/>
  <c r="BA339" i="1"/>
  <c r="DE329" i="1"/>
  <c r="BE320" i="1"/>
  <c r="DI310" i="1"/>
  <c r="BI301" i="1"/>
  <c r="AB365" i="1"/>
  <c r="CF355" i="1"/>
  <c r="AF346" i="1"/>
  <c r="CJ336" i="1"/>
  <c r="AJ327" i="1"/>
  <c r="CN317" i="1"/>
  <c r="O366" i="1"/>
  <c r="BS356" i="1"/>
  <c r="S347" i="1"/>
  <c r="BW337" i="1"/>
  <c r="W328" i="1"/>
  <c r="CA318" i="1"/>
  <c r="AA309" i="1"/>
  <c r="CE299" i="1"/>
  <c r="J366" i="1"/>
  <c r="BN356" i="1"/>
  <c r="N347" i="1"/>
  <c r="BR337" i="1"/>
  <c r="R328" i="1"/>
  <c r="BV318" i="1"/>
  <c r="AO368" i="1"/>
  <c r="BP396" i="1"/>
  <c r="P387" i="1"/>
  <c r="BT377" i="1"/>
  <c r="T368" i="1"/>
  <c r="AC358" i="1"/>
  <c r="CG348" i="1"/>
  <c r="AG339" i="1"/>
  <c r="CK329" i="1"/>
  <c r="AK320" i="1"/>
  <c r="CO310" i="1"/>
  <c r="AO301" i="1"/>
  <c r="H365" i="1"/>
  <c r="BL355" i="1"/>
  <c r="L346" i="1"/>
  <c r="BP336" i="1"/>
  <c r="P327" i="1"/>
  <c r="BT317" i="1"/>
  <c r="CY365" i="1"/>
  <c r="AY356" i="1"/>
  <c r="DC346" i="1"/>
  <c r="BC337" i="1"/>
  <c r="DG327" i="1"/>
  <c r="BG318" i="1"/>
  <c r="G309" i="1"/>
  <c r="BK299" i="1"/>
  <c r="CT365" i="1"/>
  <c r="AT356" i="1"/>
  <c r="CX346" i="1"/>
  <c r="AX337" i="1"/>
  <c r="DB327" i="1"/>
  <c r="BB318" i="1"/>
  <c r="BH399" i="1"/>
  <c r="DE503" i="1"/>
  <c r="AM425" i="1"/>
  <c r="AB438" i="1"/>
  <c r="AN434" i="1"/>
  <c r="Q435" i="1"/>
  <c r="CE395" i="1"/>
  <c r="CD396" i="1"/>
  <c r="BE397" i="1"/>
  <c r="I431" i="1"/>
  <c r="AM393" i="1"/>
  <c r="AL394" i="1"/>
  <c r="M395" i="1"/>
  <c r="CS430" i="1"/>
  <c r="S393" i="1"/>
  <c r="R394" i="1"/>
  <c r="CW394" i="1"/>
  <c r="BI372" i="1"/>
  <c r="AD411" i="1"/>
  <c r="BU429" i="1"/>
  <c r="U420" i="1"/>
  <c r="BY410" i="1"/>
  <c r="AU401" i="1"/>
  <c r="CY391" i="1"/>
  <c r="AY382" i="1"/>
  <c r="DC372" i="1"/>
  <c r="AT402" i="1"/>
  <c r="CX392" i="1"/>
  <c r="AX383" i="1"/>
  <c r="DB373" i="1"/>
  <c r="U403" i="1"/>
  <c r="BY393" i="1"/>
  <c r="Y384" i="1"/>
  <c r="CC374" i="1"/>
  <c r="X403" i="1"/>
  <c r="CB393" i="1"/>
  <c r="AB384" i="1"/>
  <c r="CF374" i="1"/>
  <c r="CO364" i="1"/>
  <c r="AO355" i="1"/>
  <c r="CS345" i="1"/>
  <c r="AS336" i="1"/>
  <c r="CW326" i="1"/>
  <c r="AW317" i="1"/>
  <c r="DA307" i="1"/>
  <c r="BA298" i="1"/>
  <c r="T362" i="1"/>
  <c r="BX352" i="1"/>
  <c r="X343" i="1"/>
  <c r="CB333" i="1"/>
  <c r="AB324" i="1"/>
  <c r="CF314" i="1"/>
  <c r="G363" i="1"/>
  <c r="BK353" i="1"/>
  <c r="K344" i="1"/>
  <c r="BO334" i="1"/>
  <c r="O325" i="1"/>
  <c r="BS315" i="1"/>
  <c r="S306" i="1"/>
  <c r="BW296" i="1"/>
  <c r="DF362" i="1"/>
  <c r="BF353" i="1"/>
  <c r="F344" i="1"/>
  <c r="BJ334" i="1"/>
  <c r="J325" i="1"/>
  <c r="AW368" i="1"/>
  <c r="BT396" i="1"/>
  <c r="T387" i="1"/>
  <c r="BX377" i="1"/>
  <c r="X368" i="1"/>
  <c r="AG358" i="1"/>
  <c r="CK348" i="1"/>
  <c r="AK339" i="1"/>
  <c r="CO329" i="1"/>
  <c r="AO320" i="1"/>
  <c r="CS310" i="1"/>
  <c r="AS301" i="1"/>
  <c r="L365" i="1"/>
  <c r="BP355" i="1"/>
  <c r="P346" i="1"/>
  <c r="BT336" i="1"/>
  <c r="T327" i="1"/>
  <c r="BX317" i="1"/>
  <c r="DC365" i="1"/>
  <c r="BC356" i="1"/>
  <c r="DG346" i="1"/>
  <c r="BG337" i="1"/>
  <c r="G328" i="1"/>
  <c r="BK318" i="1"/>
  <c r="K309" i="1"/>
  <c r="BO299" i="1"/>
  <c r="BC292" i="1"/>
  <c r="BJ363" i="1"/>
  <c r="CL358" i="1"/>
  <c r="J354" i="1"/>
  <c r="AL349" i="1"/>
  <c r="BN344" i="1"/>
  <c r="CP339" i="1"/>
  <c r="N335" i="1"/>
  <c r="AP330" i="1"/>
  <c r="BR325" i="1"/>
  <c r="CT320" i="1"/>
  <c r="R316" i="1"/>
  <c r="AT311" i="1"/>
  <c r="BL403" i="1"/>
  <c r="CN398" i="1"/>
  <c r="L394" i="1"/>
  <c r="AN389" i="1"/>
  <c r="BP384" i="1"/>
  <c r="CR379" i="1"/>
  <c r="P375" i="1"/>
  <c r="AR370" i="1"/>
  <c r="Y365" i="1"/>
  <c r="BA360" i="1"/>
  <c r="CC355" i="1"/>
  <c r="DE350" i="1"/>
  <c r="AC346" i="1"/>
  <c r="BE341" i="1"/>
  <c r="CG336" i="1"/>
  <c r="DI331" i="1"/>
  <c r="AG327" i="1"/>
  <c r="BI322" i="1"/>
  <c r="CK317" i="1"/>
  <c r="I313" i="1"/>
  <c r="AK308" i="1"/>
  <c r="BM303" i="1"/>
  <c r="CO298" i="1"/>
  <c r="M294" i="1"/>
  <c r="BH362" i="1"/>
  <c r="CJ357" i="1"/>
  <c r="H353" i="1"/>
  <c r="AJ348" i="1"/>
  <c r="BL343" i="1"/>
  <c r="CN338" i="1"/>
  <c r="L334" i="1"/>
  <c r="AN329" i="1"/>
  <c r="BP324" i="1"/>
  <c r="CR319" i="1"/>
  <c r="P315" i="1"/>
  <c r="AR310" i="1"/>
  <c r="AU363" i="1"/>
  <c r="BW358" i="1"/>
  <c r="CY353" i="1"/>
  <c r="W349" i="1"/>
  <c r="AY344" i="1"/>
  <c r="CA339" i="1"/>
  <c r="DC334" i="1"/>
  <c r="AA330" i="1"/>
  <c r="BC325" i="1"/>
  <c r="CE320" i="1"/>
  <c r="DG315" i="1"/>
  <c r="AE311" i="1"/>
  <c r="BG306" i="1"/>
  <c r="CI301" i="1"/>
  <c r="G297" i="1"/>
  <c r="AI292" i="1"/>
  <c r="AP363" i="1"/>
  <c r="BR358" i="1"/>
  <c r="CT353" i="1"/>
  <c r="R349" i="1"/>
  <c r="AT344" i="1"/>
  <c r="BV339" i="1"/>
  <c r="CX334" i="1"/>
  <c r="V330" i="1"/>
  <c r="AX325" i="1"/>
  <c r="BZ320" i="1"/>
  <c r="CW368" i="1"/>
  <c r="CF401" i="1"/>
  <c r="DH396" i="1"/>
  <c r="CO513" i="1"/>
  <c r="BG450" i="1"/>
  <c r="AX479" i="1"/>
  <c r="AD445" i="1"/>
  <c r="M442" i="1"/>
  <c r="CU434" i="1"/>
  <c r="CK434" i="1"/>
  <c r="AM432" i="1"/>
  <c r="AX436" i="1"/>
  <c r="AS423" i="1"/>
  <c r="BS404" i="1"/>
  <c r="BW385" i="1"/>
  <c r="CA366" i="1"/>
  <c r="BV386" i="1"/>
  <c r="BZ367" i="1"/>
  <c r="AW387" i="1"/>
  <c r="BF414" i="1"/>
  <c r="DE420" i="1"/>
  <c r="AA402" i="1"/>
  <c r="AE383" i="1"/>
  <c r="Z403" i="1"/>
  <c r="AD384" i="1"/>
  <c r="DE403" i="1"/>
  <c r="DI384" i="1"/>
  <c r="CH413" i="1"/>
  <c r="CK420" i="1"/>
  <c r="G402" i="1"/>
  <c r="K383" i="1"/>
  <c r="F403" i="1"/>
  <c r="J384" i="1"/>
  <c r="CK403" i="1"/>
  <c r="CO384" i="1"/>
  <c r="CG374" i="1"/>
  <c r="DI369" i="1"/>
  <c r="R420" i="1"/>
  <c r="I439" i="1"/>
  <c r="CS431" i="1"/>
  <c r="Q427" i="1"/>
  <c r="AS422" i="1"/>
  <c r="BU417" i="1"/>
  <c r="CW412" i="1"/>
  <c r="U408" i="1"/>
  <c r="BS403" i="1"/>
  <c r="CU398" i="1"/>
  <c r="S394" i="1"/>
  <c r="AU389" i="1"/>
  <c r="BW384" i="1"/>
  <c r="CY379" i="1"/>
  <c r="W375" i="1"/>
  <c r="AY370" i="1"/>
  <c r="BR404" i="1"/>
  <c r="CT399" i="1"/>
  <c r="R395" i="1"/>
  <c r="AT390" i="1"/>
  <c r="BV385" i="1"/>
  <c r="CX380" i="1"/>
  <c r="V376" i="1"/>
  <c r="AX371" i="1"/>
  <c r="BZ366" i="1"/>
  <c r="BU400" i="1"/>
  <c r="CW395" i="1"/>
  <c r="U391" i="1"/>
  <c r="AW386" i="1"/>
  <c r="BY381" i="1"/>
  <c r="DA376" i="1"/>
  <c r="Y372" i="1"/>
  <c r="BI367" i="1"/>
  <c r="BX400" i="1"/>
  <c r="CZ395" i="1"/>
  <c r="X391" i="1"/>
  <c r="AZ386" i="1"/>
  <c r="CB381" i="1"/>
  <c r="DD376" i="1"/>
  <c r="AB372" i="1"/>
  <c r="BD367" i="1"/>
  <c r="AK362" i="1"/>
  <c r="BM357" i="1"/>
  <c r="CO352" i="1"/>
  <c r="M348" i="1"/>
  <c r="AO343" i="1"/>
  <c r="BQ338" i="1"/>
  <c r="CS333" i="1"/>
  <c r="Q329" i="1"/>
  <c r="AS324" i="1"/>
  <c r="BU319" i="1"/>
  <c r="CW314" i="1"/>
  <c r="U310" i="1"/>
  <c r="AW305" i="1"/>
  <c r="BY300" i="1"/>
  <c r="DA295" i="1"/>
  <c r="AR364" i="1"/>
  <c r="BT359" i="1"/>
  <c r="CV354" i="1"/>
  <c r="T350" i="1"/>
  <c r="AV345" i="1"/>
  <c r="BX340" i="1"/>
  <c r="CZ335" i="1"/>
  <c r="X331" i="1"/>
  <c r="AZ326" i="1"/>
  <c r="CB321" i="1"/>
  <c r="DD316" i="1"/>
  <c r="AB312" i="1"/>
  <c r="BB366" i="1"/>
  <c r="K364" i="1"/>
  <c r="CA361" i="1"/>
  <c r="AM359" i="1"/>
  <c r="DC356" i="1"/>
  <c r="BO354" i="1"/>
  <c r="AA352" i="1"/>
  <c r="CQ349" i="1"/>
  <c r="BC347" i="1"/>
  <c r="O345" i="1"/>
  <c r="CE342" i="1"/>
  <c r="AQ340" i="1"/>
  <c r="DG337" i="1"/>
  <c r="BS335" i="1"/>
  <c r="AE333" i="1"/>
  <c r="CU330" i="1"/>
  <c r="BG328" i="1"/>
  <c r="S326" i="1"/>
  <c r="CI323" i="1"/>
  <c r="AU321" i="1"/>
  <c r="G319" i="1"/>
  <c r="BW316" i="1"/>
  <c r="AI314" i="1"/>
  <c r="CY311" i="1"/>
  <c r="BK309" i="1"/>
  <c r="W307" i="1"/>
  <c r="CM304" i="1"/>
  <c r="AY302" i="1"/>
  <c r="K300" i="1"/>
  <c r="CA297" i="1"/>
  <c r="AM295" i="1"/>
  <c r="DC292" i="1"/>
  <c r="AV366" i="1"/>
  <c r="F364" i="1"/>
  <c r="BV361" i="1"/>
  <c r="AH359" i="1"/>
  <c r="CX356" i="1"/>
  <c r="BJ354" i="1"/>
  <c r="V352" i="1"/>
  <c r="CL349" i="1"/>
  <c r="AX347" i="1"/>
  <c r="J345" i="1"/>
  <c r="BZ342" i="1"/>
  <c r="AL340" i="1"/>
  <c r="DB337" i="1"/>
  <c r="BN335" i="1"/>
  <c r="Z333" i="1"/>
  <c r="CP330" i="1"/>
  <c r="BB328" i="1"/>
  <c r="N326" i="1"/>
  <c r="CD323" i="1"/>
  <c r="AP321" i="1"/>
  <c r="DF318" i="1"/>
  <c r="CK369" i="1"/>
  <c r="CJ404" i="1"/>
  <c r="AV402" i="1"/>
  <c r="H400" i="1"/>
  <c r="BX397" i="1"/>
  <c r="AJ395" i="1"/>
  <c r="CZ392" i="1"/>
  <c r="BL390" i="1"/>
  <c r="X388" i="1"/>
  <c r="CN385" i="1"/>
  <c r="AZ383" i="1"/>
  <c r="L381" i="1"/>
  <c r="CB378" i="1"/>
  <c r="AN376" i="1"/>
  <c r="DD373" i="1"/>
  <c r="BP371" i="1"/>
  <c r="AB369" i="1"/>
  <c r="AZ366" i="1"/>
  <c r="I364" i="1"/>
  <c r="BY361" i="1"/>
  <c r="AK359" i="1"/>
  <c r="DA356" i="1"/>
  <c r="BM354" i="1"/>
  <c r="Y352" i="1"/>
  <c r="CO349" i="1"/>
  <c r="BA347" i="1"/>
  <c r="M345" i="1"/>
  <c r="CC342" i="1"/>
  <c r="AO340" i="1"/>
  <c r="DE337" i="1"/>
  <c r="BQ335" i="1"/>
  <c r="AC333" i="1"/>
  <c r="CS330" i="1"/>
  <c r="BE328" i="1"/>
  <c r="Q326" i="1"/>
  <c r="CG323" i="1"/>
  <c r="AS321" i="1"/>
  <c r="DI318" i="1"/>
  <c r="BU316" i="1"/>
  <c r="AG314" i="1"/>
  <c r="CW311" i="1"/>
  <c r="BI309" i="1"/>
  <c r="U307" i="1"/>
  <c r="CK304" i="1"/>
  <c r="AW302" i="1"/>
  <c r="I300" i="1"/>
  <c r="BY297" i="1"/>
  <c r="AK295" i="1"/>
  <c r="P366" i="1"/>
  <c r="CF363" i="1"/>
  <c r="AR361" i="1"/>
  <c r="DH358" i="1"/>
  <c r="BT356" i="1"/>
  <c r="AF354" i="1"/>
  <c r="CV351" i="1"/>
  <c r="BH349" i="1"/>
  <c r="T347" i="1"/>
  <c r="CJ344" i="1"/>
  <c r="AV342" i="1"/>
  <c r="H340" i="1"/>
  <c r="BX337" i="1"/>
  <c r="AJ335" i="1"/>
  <c r="CZ332" i="1"/>
  <c r="BL330" i="1"/>
  <c r="X328" i="1"/>
  <c r="CN325" i="1"/>
  <c r="AZ323" i="1"/>
  <c r="L321" i="1"/>
  <c r="CB318" i="1"/>
  <c r="AN316" i="1"/>
  <c r="DD313" i="1"/>
  <c r="BP311" i="1"/>
  <c r="AB309" i="1"/>
  <c r="BS364" i="1"/>
  <c r="AE362" i="1"/>
  <c r="CU359" i="1"/>
  <c r="BG357" i="1"/>
  <c r="S355" i="1"/>
  <c r="CI352" i="1"/>
  <c r="AU350" i="1"/>
  <c r="G348" i="1"/>
  <c r="BW345" i="1"/>
  <c r="AI343" i="1"/>
  <c r="CY340" i="1"/>
  <c r="BK338" i="1"/>
  <c r="W336" i="1"/>
  <c r="CM333" i="1"/>
  <c r="AY331" i="1"/>
  <c r="K329" i="1"/>
  <c r="CA326" i="1"/>
  <c r="AM324" i="1"/>
  <c r="DC321" i="1"/>
  <c r="BO319" i="1"/>
  <c r="AA317" i="1"/>
  <c r="CQ314" i="1"/>
  <c r="BC312" i="1"/>
  <c r="O310" i="1"/>
  <c r="CE307" i="1"/>
  <c r="AQ305" i="1"/>
  <c r="DG302" i="1"/>
  <c r="BS300" i="1"/>
  <c r="AE298" i="1"/>
  <c r="CU295" i="1"/>
  <c r="BG293" i="1"/>
  <c r="S291" i="1"/>
  <c r="BN364" i="1"/>
  <c r="Z362" i="1"/>
  <c r="CP359" i="1"/>
  <c r="BB357" i="1"/>
  <c r="N355" i="1"/>
  <c r="CD352" i="1"/>
  <c r="AP350" i="1"/>
  <c r="DF347" i="1"/>
  <c r="BR345" i="1"/>
  <c r="AD343" i="1"/>
  <c r="CT340" i="1"/>
  <c r="BF338" i="1"/>
  <c r="R336" i="1"/>
  <c r="CH333" i="1"/>
  <c r="AT331" i="1"/>
  <c r="F329" i="1"/>
  <c r="BV326" i="1"/>
  <c r="AH324" i="1"/>
  <c r="CX321" i="1"/>
  <c r="BJ319" i="1"/>
  <c r="V317" i="1"/>
  <c r="CL314" i="1"/>
  <c r="AX312" i="1"/>
  <c r="BI369" i="1"/>
  <c r="BP404" i="1"/>
  <c r="AB402" i="1"/>
  <c r="CR399" i="1"/>
  <c r="BD397" i="1"/>
  <c r="P395" i="1"/>
  <c r="CF392" i="1"/>
  <c r="AR390" i="1"/>
  <c r="DH387" i="1"/>
  <c r="BT385" i="1"/>
  <c r="AF383" i="1"/>
  <c r="CV380" i="1"/>
  <c r="BH378" i="1"/>
  <c r="T376" i="1"/>
  <c r="CJ373" i="1"/>
  <c r="AV371" i="1"/>
  <c r="H369" i="1"/>
  <c r="AC366" i="1"/>
  <c r="CS363" i="1"/>
  <c r="BE361" i="1"/>
  <c r="Q359" i="1"/>
  <c r="CG356" i="1"/>
  <c r="AS354" i="1"/>
  <c r="DI351" i="1"/>
  <c r="BU349" i="1"/>
  <c r="AG347" i="1"/>
  <c r="CW344" i="1"/>
  <c r="BI342" i="1"/>
  <c r="U340" i="1"/>
  <c r="CK337" i="1"/>
  <c r="AW335" i="1"/>
  <c r="I333" i="1"/>
  <c r="BY330" i="1"/>
  <c r="AK328" i="1"/>
  <c r="DA325" i="1"/>
  <c r="BM323" i="1"/>
  <c r="Y321" i="1"/>
  <c r="CO318" i="1"/>
  <c r="BA316" i="1"/>
  <c r="M314" i="1"/>
  <c r="CC311" i="1"/>
  <c r="AO309" i="1"/>
  <c r="DE306" i="1"/>
  <c r="BQ304" i="1"/>
  <c r="AC302" i="1"/>
  <c r="CS299" i="1"/>
  <c r="BE297" i="1"/>
  <c r="Q295" i="1"/>
  <c r="CZ365" i="1"/>
  <c r="BL363" i="1"/>
  <c r="X361" i="1"/>
  <c r="CN358" i="1"/>
  <c r="AZ356" i="1"/>
  <c r="L354" i="1"/>
  <c r="CB351" i="1"/>
  <c r="AN349" i="1"/>
  <c r="DD346" i="1"/>
  <c r="BP344" i="1"/>
  <c r="AB342" i="1"/>
  <c r="CR339" i="1"/>
  <c r="BD337" i="1"/>
  <c r="P335" i="1"/>
  <c r="CF332" i="1"/>
  <c r="AR330" i="1"/>
  <c r="DH327" i="1"/>
  <c r="BT325" i="1"/>
  <c r="AF323" i="1"/>
  <c r="CV320" i="1"/>
  <c r="BH318" i="1"/>
  <c r="T316" i="1"/>
  <c r="CJ313" i="1"/>
  <c r="AV311" i="1"/>
  <c r="U367" i="1"/>
  <c r="AY364" i="1"/>
  <c r="K362" i="1"/>
  <c r="CA359" i="1"/>
  <c r="AM357" i="1"/>
  <c r="DC354" i="1"/>
  <c r="BO352" i="1"/>
  <c r="AA350" i="1"/>
  <c r="CQ347" i="1"/>
  <c r="BC345" i="1"/>
  <c r="O343" i="1"/>
  <c r="CE340" i="1"/>
  <c r="AQ338" i="1"/>
  <c r="DG335" i="1"/>
  <c r="BS333" i="1"/>
  <c r="AE331" i="1"/>
  <c r="CU328" i="1"/>
  <c r="BG326" i="1"/>
  <c r="S324" i="1"/>
  <c r="CI321" i="1"/>
  <c r="AU319" i="1"/>
  <c r="G317" i="1"/>
  <c r="BW314" i="1"/>
  <c r="AI312" i="1"/>
  <c r="CY309" i="1"/>
  <c r="BK307" i="1"/>
  <c r="W305" i="1"/>
  <c r="CM302" i="1"/>
  <c r="AY300" i="1"/>
  <c r="K298" i="1"/>
  <c r="CA295" i="1"/>
  <c r="AM293" i="1"/>
  <c r="L367" i="1"/>
  <c r="AT364" i="1"/>
  <c r="F362" i="1"/>
  <c r="BV359" i="1"/>
  <c r="AH357" i="1"/>
  <c r="CX354" i="1"/>
  <c r="BJ352" i="1"/>
  <c r="V350" i="1"/>
  <c r="CL347" i="1"/>
  <c r="AX345" i="1"/>
  <c r="J343" i="1"/>
  <c r="BZ340" i="1"/>
  <c r="AL338" i="1"/>
  <c r="DB335" i="1"/>
  <c r="BN333" i="1"/>
  <c r="Z331" i="1"/>
  <c r="CP328" i="1"/>
  <c r="BB326" i="1"/>
  <c r="N324" i="1"/>
  <c r="CD321" i="1"/>
  <c r="AP319" i="1"/>
  <c r="BY370" i="1"/>
  <c r="BH405" i="1"/>
  <c r="AN459" i="1"/>
  <c r="BF427" i="1"/>
  <c r="DH423" i="1"/>
  <c r="P420" i="1"/>
  <c r="I430" i="1"/>
  <c r="W392" i="1"/>
  <c r="V393" i="1"/>
  <c r="DA393" i="1"/>
  <c r="BE427" i="1"/>
  <c r="CI389" i="1"/>
  <c r="CH390" i="1"/>
  <c r="BI391" i="1"/>
  <c r="AK427" i="1"/>
  <c r="BO389" i="1"/>
  <c r="BN390" i="1"/>
  <c r="AO391" i="1"/>
  <c r="BU371" i="1"/>
  <c r="BZ407" i="1"/>
  <c r="CG428" i="1"/>
  <c r="AG419" i="1"/>
  <c r="CK409" i="1"/>
  <c r="BG400" i="1"/>
  <c r="G391" i="1"/>
  <c r="BK381" i="1"/>
  <c r="K372" i="1"/>
  <c r="BF401" i="1"/>
  <c r="F392" i="1"/>
  <c r="BJ382" i="1"/>
  <c r="J373" i="1"/>
  <c r="AG402" i="1"/>
  <c r="CK392" i="1"/>
  <c r="AK383" i="1"/>
  <c r="CO373" i="1"/>
  <c r="AJ402" i="1"/>
  <c r="CN392" i="1"/>
  <c r="AN383" i="1"/>
  <c r="CR373" i="1"/>
  <c r="DA363" i="1"/>
  <c r="BA354" i="1"/>
  <c r="DE344" i="1"/>
  <c r="BE335" i="1"/>
  <c r="DI325" i="1"/>
  <c r="BI316" i="1"/>
  <c r="I307" i="1"/>
  <c r="BM297" i="1"/>
  <c r="AF361" i="1"/>
  <c r="CJ351" i="1"/>
  <c r="AJ342" i="1"/>
  <c r="CN332" i="1"/>
  <c r="AN323" i="1"/>
  <c r="CR313" i="1"/>
  <c r="S362" i="1"/>
  <c r="BW352" i="1"/>
  <c r="W343" i="1"/>
  <c r="CA333" i="1"/>
  <c r="AA324" i="1"/>
  <c r="CE314" i="1"/>
  <c r="AE305" i="1"/>
  <c r="CI295" i="1"/>
  <c r="N362" i="1"/>
  <c r="BR352" i="1"/>
  <c r="R343" i="1"/>
  <c r="BV333" i="1"/>
  <c r="V324" i="1"/>
  <c r="CN405" i="1"/>
  <c r="CF395" i="1"/>
  <c r="AF386" i="1"/>
  <c r="CJ376" i="1"/>
  <c r="AG367" i="1"/>
  <c r="AS357" i="1"/>
  <c r="CW347" i="1"/>
  <c r="AW338" i="1"/>
  <c r="DA328" i="1"/>
  <c r="BA319" i="1"/>
  <c r="DE309" i="1"/>
  <c r="BE300" i="1"/>
  <c r="X364" i="1"/>
  <c r="CB354" i="1"/>
  <c r="AB345" i="1"/>
  <c r="CF335" i="1"/>
  <c r="AF326" i="1"/>
  <c r="CJ316" i="1"/>
  <c r="K365" i="1"/>
  <c r="BO355" i="1"/>
  <c r="O346" i="1"/>
  <c r="BS336" i="1"/>
  <c r="S327" i="1"/>
  <c r="BW317" i="1"/>
  <c r="W308" i="1"/>
  <c r="CA298" i="1"/>
  <c r="F365" i="1"/>
  <c r="BJ355" i="1"/>
  <c r="J346" i="1"/>
  <c r="BN336" i="1"/>
  <c r="N327" i="1"/>
  <c r="BR317" i="1"/>
  <c r="L405" i="1"/>
  <c r="BL395" i="1"/>
  <c r="L386" i="1"/>
  <c r="BP376" i="1"/>
  <c r="CW366" i="1"/>
  <c r="Y357" i="1"/>
  <c r="CC347" i="1"/>
  <c r="AC338" i="1"/>
  <c r="CG328" i="1"/>
  <c r="AG319" i="1"/>
  <c r="CK309" i="1"/>
  <c r="AK300" i="1"/>
  <c r="DH363" i="1"/>
  <c r="BH354" i="1"/>
  <c r="H345" i="1"/>
  <c r="BL335" i="1"/>
  <c r="L326" i="1"/>
  <c r="BP316" i="1"/>
  <c r="CU364" i="1"/>
  <c r="AU355" i="1"/>
  <c r="CY345" i="1"/>
  <c r="AY336" i="1"/>
  <c r="DC326" i="1"/>
  <c r="BC317" i="1"/>
  <c r="DG307" i="1"/>
  <c r="BG298" i="1"/>
  <c r="CP364" i="1"/>
  <c r="AP355" i="1"/>
  <c r="CT345" i="1"/>
  <c r="AT336" i="1"/>
  <c r="CX326" i="1"/>
  <c r="AX317" i="1"/>
  <c r="AZ401" i="1"/>
  <c r="CB396" i="1"/>
  <c r="T393" i="1"/>
  <c r="CJ390" i="1"/>
  <c r="AV388" i="1"/>
  <c r="H386" i="1"/>
  <c r="BX383" i="1"/>
  <c r="AJ381" i="1"/>
  <c r="CZ378" i="1"/>
  <c r="BL376" i="1"/>
  <c r="X374" i="1"/>
  <c r="CN371" i="1"/>
  <c r="AZ369" i="1"/>
  <c r="CO366" i="1"/>
  <c r="AG364" i="1"/>
  <c r="CW361" i="1"/>
  <c r="BI359" i="1"/>
  <c r="U357" i="1"/>
  <c r="CK354" i="1"/>
  <c r="AW352" i="1"/>
  <c r="I350" i="1"/>
  <c r="BY347" i="1"/>
  <c r="AK345" i="1"/>
  <c r="DA342" i="1"/>
  <c r="BM340" i="1"/>
  <c r="Y338" i="1"/>
  <c r="CO335" i="1"/>
  <c r="BA333" i="1"/>
  <c r="M331" i="1"/>
  <c r="CC328" i="1"/>
  <c r="AO326" i="1"/>
  <c r="DE323" i="1"/>
  <c r="BQ321" i="1"/>
  <c r="AC319" i="1"/>
  <c r="CS316" i="1"/>
  <c r="BE314" i="1"/>
  <c r="Q312" i="1"/>
  <c r="CG309" i="1"/>
  <c r="AS307" i="1"/>
  <c r="DI304" i="1"/>
  <c r="BU302" i="1"/>
  <c r="AG300" i="1"/>
  <c r="CW297" i="1"/>
  <c r="BI295" i="1"/>
  <c r="AN366" i="1"/>
  <c r="DD363" i="1"/>
  <c r="BP361" i="1"/>
  <c r="AB359" i="1"/>
  <c r="CR356" i="1"/>
  <c r="BD354" i="1"/>
  <c r="P352" i="1"/>
  <c r="CF349" i="1"/>
  <c r="AR347" i="1"/>
  <c r="DH344" i="1"/>
  <c r="BT342" i="1"/>
  <c r="AF340" i="1"/>
  <c r="CV337" i="1"/>
  <c r="BH335" i="1"/>
  <c r="T333" i="1"/>
  <c r="CJ330" i="1"/>
  <c r="AV328" i="1"/>
  <c r="H326" i="1"/>
  <c r="BX323" i="1"/>
  <c r="AJ321" i="1"/>
  <c r="CZ318" i="1"/>
  <c r="BL316" i="1"/>
  <c r="X314" i="1"/>
  <c r="CN311" i="1"/>
  <c r="AZ309" i="1"/>
  <c r="CQ364" i="1"/>
  <c r="BC362" i="1"/>
  <c r="O360" i="1"/>
  <c r="CE357" i="1"/>
  <c r="AQ355" i="1"/>
  <c r="DG352" i="1"/>
  <c r="BS350" i="1"/>
  <c r="AE348" i="1"/>
  <c r="CU345" i="1"/>
  <c r="BG343" i="1"/>
  <c r="S341" i="1"/>
  <c r="CI338" i="1"/>
  <c r="AU336" i="1"/>
  <c r="G334" i="1"/>
  <c r="BW331" i="1"/>
  <c r="AI329" i="1"/>
  <c r="CY326" i="1"/>
  <c r="BK324" i="1"/>
  <c r="W322" i="1"/>
  <c r="CM319" i="1"/>
  <c r="AY317" i="1"/>
  <c r="K315" i="1"/>
  <c r="CA312" i="1"/>
  <c r="AM310" i="1"/>
  <c r="DC307" i="1"/>
  <c r="BO305" i="1"/>
  <c r="AA303" i="1"/>
  <c r="CQ300" i="1"/>
  <c r="BC298" i="1"/>
  <c r="O296" i="1"/>
  <c r="CE293" i="1"/>
  <c r="AQ291" i="1"/>
  <c r="CL364" i="1"/>
  <c r="AX362" i="1"/>
  <c r="J360" i="1"/>
  <c r="BZ357" i="1"/>
  <c r="AL355" i="1"/>
  <c r="DB352" i="1"/>
  <c r="BN350" i="1"/>
  <c r="Z348" i="1"/>
  <c r="CP345" i="1"/>
  <c r="BB343" i="1"/>
  <c r="N341" i="1"/>
  <c r="CD338" i="1"/>
  <c r="AP336" i="1"/>
  <c r="DF333" i="1"/>
  <c r="BR331" i="1"/>
  <c r="AD329" i="1"/>
  <c r="CT326" i="1"/>
  <c r="BF324" i="1"/>
  <c r="R322" i="1"/>
  <c r="CH319" i="1"/>
  <c r="AT317" i="1"/>
  <c r="BZ314" i="1"/>
  <c r="BF311" i="1"/>
  <c r="F309" i="1"/>
  <c r="BV306" i="1"/>
  <c r="AH304" i="1"/>
  <c r="CX301" i="1"/>
  <c r="BJ299" i="1"/>
  <c r="V297" i="1"/>
  <c r="DD304" i="1"/>
  <c r="BX295" i="1"/>
  <c r="CS291" i="1"/>
  <c r="AJ289" i="1"/>
  <c r="CZ286" i="1"/>
  <c r="BL284" i="1"/>
  <c r="X282" i="1"/>
  <c r="CN279" i="1"/>
  <c r="AZ277" i="1"/>
  <c r="L275" i="1"/>
  <c r="CB272" i="1"/>
  <c r="AN270" i="1"/>
  <c r="DD267" i="1"/>
  <c r="BP265" i="1"/>
  <c r="AB263" i="1"/>
  <c r="CR260" i="1"/>
  <c r="BD258" i="1"/>
  <c r="P256" i="1"/>
  <c r="CF253" i="1"/>
  <c r="AR251" i="1"/>
  <c r="DH248" i="1"/>
  <c r="BT246" i="1"/>
  <c r="AF244" i="1"/>
  <c r="CV241" i="1"/>
  <c r="BH239" i="1"/>
  <c r="T237" i="1"/>
  <c r="CJ234" i="1"/>
  <c r="AV232" i="1"/>
  <c r="H230" i="1"/>
  <c r="BX227" i="1"/>
  <c r="AJ225" i="1"/>
  <c r="CZ222" i="1"/>
  <c r="CJ304" i="1"/>
  <c r="BN295" i="1"/>
  <c r="CL291" i="1"/>
  <c r="AE289" i="1"/>
  <c r="CU286" i="1"/>
  <c r="BG284" i="1"/>
  <c r="S282" i="1"/>
  <c r="CI279" i="1"/>
  <c r="AU277" i="1"/>
  <c r="G275" i="1"/>
  <c r="BW272" i="1"/>
  <c r="AI270" i="1"/>
  <c r="CY267" i="1"/>
  <c r="BK265" i="1"/>
  <c r="W263" i="1"/>
  <c r="CM260" i="1"/>
  <c r="AY258" i="1"/>
  <c r="K256" i="1"/>
  <c r="CA253" i="1"/>
  <c r="AM251" i="1"/>
  <c r="DC248" i="1"/>
  <c r="BO246" i="1"/>
  <c r="AA244" i="1"/>
  <c r="CQ241" i="1"/>
  <c r="BC239" i="1"/>
  <c r="O237" i="1"/>
  <c r="CE234" i="1"/>
  <c r="AQ232" i="1"/>
  <c r="DG229" i="1"/>
  <c r="BX306" i="1"/>
  <c r="X297" i="1"/>
  <c r="AX292" i="1"/>
  <c r="CD289" i="1"/>
  <c r="AP287" i="1"/>
  <c r="DF284" i="1"/>
  <c r="BR282" i="1"/>
  <c r="AD280" i="1"/>
  <c r="CT277" i="1"/>
  <c r="BF275" i="1"/>
  <c r="R273" i="1"/>
  <c r="CH270" i="1"/>
  <c r="AT268" i="1"/>
  <c r="F266" i="1"/>
  <c r="BV263" i="1"/>
  <c r="AH261" i="1"/>
  <c r="CX258" i="1"/>
  <c r="BJ256" i="1"/>
  <c r="V254" i="1"/>
  <c r="CL251" i="1"/>
  <c r="AX249" i="1"/>
  <c r="J247" i="1"/>
  <c r="BZ244" i="1"/>
  <c r="AL242" i="1"/>
  <c r="DB239" i="1"/>
  <c r="BN237" i="1"/>
  <c r="Z235" i="1"/>
  <c r="CP232" i="1"/>
  <c r="BB230" i="1"/>
  <c r="N228" i="1"/>
  <c r="CD225" i="1"/>
  <c r="AP223" i="1"/>
  <c r="DF220" i="1"/>
  <c r="BR218" i="1"/>
  <c r="AD216" i="1"/>
  <c r="AV308" i="1"/>
  <c r="CZ298" i="1"/>
  <c r="DI292" i="1"/>
  <c r="U290" i="1"/>
  <c r="CK287" i="1"/>
  <c r="AW285" i="1"/>
  <c r="I283" i="1"/>
  <c r="BY280" i="1"/>
  <c r="AK278" i="1"/>
  <c r="DA275" i="1"/>
  <c r="BM273" i="1"/>
  <c r="Y271" i="1"/>
  <c r="CO268" i="1"/>
  <c r="BA266" i="1"/>
  <c r="M264" i="1"/>
  <c r="CC261" i="1"/>
  <c r="AO259" i="1"/>
  <c r="DE256" i="1"/>
  <c r="BQ254" i="1"/>
  <c r="AC252" i="1"/>
  <c r="CS249" i="1"/>
  <c r="BE247" i="1"/>
  <c r="BM240" i="1"/>
  <c r="AH317" i="1"/>
  <c r="F314" i="1"/>
  <c r="CX310" i="1"/>
  <c r="BJ308" i="1"/>
  <c r="V306" i="1"/>
  <c r="CL303" i="1"/>
  <c r="AX301" i="1"/>
  <c r="J299" i="1"/>
  <c r="BZ296" i="1"/>
  <c r="H303" i="1"/>
  <c r="CB294" i="1"/>
  <c r="AB291" i="1"/>
  <c r="CN288" i="1"/>
  <c r="AZ286" i="1"/>
  <c r="L284" i="1"/>
  <c r="CB281" i="1"/>
  <c r="AN279" i="1"/>
  <c r="DD276" i="1"/>
  <c r="BP274" i="1"/>
  <c r="AB272" i="1"/>
  <c r="CR269" i="1"/>
  <c r="BD267" i="1"/>
  <c r="P265" i="1"/>
  <c r="CF262" i="1"/>
  <c r="AR260" i="1"/>
  <c r="DH257" i="1"/>
  <c r="BT255" i="1"/>
  <c r="AF253" i="1"/>
  <c r="CV250" i="1"/>
  <c r="BH248" i="1"/>
  <c r="T246" i="1"/>
  <c r="CJ243" i="1"/>
  <c r="AV241" i="1"/>
  <c r="H239" i="1"/>
  <c r="BX236" i="1"/>
  <c r="AJ234" i="1"/>
  <c r="CZ231" i="1"/>
  <c r="R442" i="1"/>
  <c r="AC499" i="1"/>
  <c r="BP504" i="1"/>
  <c r="DG423" i="1"/>
  <c r="G410" i="1"/>
  <c r="L438" i="1"/>
  <c r="J437" i="1"/>
  <c r="X434" i="1"/>
  <c r="AM416" i="1"/>
  <c r="CW434" i="1"/>
  <c r="AO414" i="1"/>
  <c r="BO395" i="1"/>
  <c r="BS376" i="1"/>
  <c r="BN396" i="1"/>
  <c r="BR377" i="1"/>
  <c r="AO397" i="1"/>
  <c r="AS378" i="1"/>
  <c r="CW430" i="1"/>
  <c r="DA411" i="1"/>
  <c r="W393" i="1"/>
  <c r="AA374" i="1"/>
  <c r="V394" i="1"/>
  <c r="Z375" i="1"/>
  <c r="DA394" i="1"/>
  <c r="DE375" i="1"/>
  <c r="CC430" i="1"/>
  <c r="CG411" i="1"/>
  <c r="DG392" i="1"/>
  <c r="G374" i="1"/>
  <c r="DF393" i="1"/>
  <c r="Z376" i="1"/>
  <c r="CD366" i="1"/>
  <c r="DA395" i="1"/>
  <c r="BA386" i="1"/>
  <c r="CE532" i="1"/>
  <c r="BK513" i="1"/>
  <c r="M457" i="1"/>
  <c r="AJ448" i="1"/>
  <c r="DD443" i="1"/>
  <c r="CN416" i="1"/>
  <c r="AK439" i="1"/>
  <c r="BK432" i="1"/>
  <c r="AD417" i="1"/>
  <c r="CH448" i="1"/>
  <c r="DD410" i="1"/>
  <c r="DG409" i="1"/>
  <c r="DB409" i="1"/>
  <c r="CT444" i="1"/>
  <c r="L407" i="1"/>
  <c r="AQ421" i="1"/>
  <c r="AP442" i="1"/>
  <c r="BZ411" i="1"/>
  <c r="BU426" i="1"/>
  <c r="U417" i="1"/>
  <c r="BY407" i="1"/>
  <c r="AU398" i="1"/>
  <c r="CY388" i="1"/>
  <c r="AY379" i="1"/>
  <c r="DC369" i="1"/>
  <c r="AT399" i="1"/>
  <c r="CX389" i="1"/>
  <c r="AX380" i="1"/>
  <c r="DB370" i="1"/>
  <c r="U400" i="1"/>
  <c r="BY390" i="1"/>
  <c r="Y381" i="1"/>
  <c r="BJ427" i="1"/>
  <c r="CC433" i="1"/>
  <c r="AC424" i="1"/>
  <c r="CG414" i="1"/>
  <c r="AG405" i="1"/>
  <c r="DG395" i="1"/>
  <c r="BG386" i="1"/>
  <c r="G377" i="1"/>
  <c r="BK367" i="1"/>
  <c r="DF396" i="1"/>
  <c r="BF387" i="1"/>
  <c r="F378" i="1"/>
  <c r="BJ368" i="1"/>
  <c r="CG397" i="1"/>
  <c r="AG388" i="1"/>
  <c r="CK378" i="1"/>
  <c r="CL426" i="1"/>
  <c r="BI433" i="1"/>
  <c r="I424" i="1"/>
  <c r="BM414" i="1"/>
  <c r="M405" i="1"/>
  <c r="CM395" i="1"/>
  <c r="AM386" i="1"/>
  <c r="CQ376" i="1"/>
  <c r="AQ367" i="1"/>
  <c r="CL396" i="1"/>
  <c r="AL387" i="1"/>
  <c r="CP377" i="1"/>
  <c r="AP368" i="1"/>
  <c r="BM397" i="1"/>
  <c r="M388" i="1"/>
  <c r="BQ378" i="1"/>
  <c r="CT532" i="1"/>
  <c r="CQ489" i="1"/>
  <c r="X468" i="1"/>
  <c r="S473" i="1"/>
  <c r="CM472" i="1"/>
  <c r="P409" i="1"/>
  <c r="V470" i="1"/>
  <c r="BS426" i="1"/>
  <c r="CD414" i="1"/>
  <c r="AD446" i="1"/>
  <c r="AZ408" i="1"/>
  <c r="BC407" i="1"/>
  <c r="AX407" i="1"/>
  <c r="BD442" i="1"/>
  <c r="BG441" i="1"/>
  <c r="CU419" i="1"/>
  <c r="F441" i="1"/>
  <c r="DB406" i="1"/>
  <c r="CW425" i="1"/>
  <c r="AW416" i="1"/>
  <c r="DA406" i="1"/>
  <c r="BW397" i="1"/>
  <c r="W388" i="1"/>
  <c r="CA378" i="1"/>
  <c r="AA369" i="1"/>
  <c r="BV398" i="1"/>
  <c r="V389" i="1"/>
  <c r="BZ379" i="1"/>
  <c r="Z370" i="1"/>
  <c r="AW399" i="1"/>
  <c r="DA389" i="1"/>
  <c r="BA380" i="1"/>
  <c r="BN424" i="1"/>
  <c r="DE432" i="1"/>
  <c r="BE423" i="1"/>
  <c r="DI413" i="1"/>
  <c r="CE404" i="1"/>
  <c r="AE395" i="1"/>
  <c r="CI385" i="1"/>
  <c r="AI376" i="1"/>
  <c r="CM366" i="1"/>
  <c r="AD396" i="1"/>
  <c r="CH386" i="1"/>
  <c r="AH377" i="1"/>
  <c r="CL367" i="1"/>
  <c r="DI396" i="1"/>
  <c r="BI387" i="1"/>
  <c r="I378" i="1"/>
  <c r="CP423" i="1"/>
  <c r="CK432" i="1"/>
  <c r="AK423" i="1"/>
  <c r="CO413" i="1"/>
  <c r="BK404" i="1"/>
  <c r="K395" i="1"/>
  <c r="BO385" i="1"/>
  <c r="O376" i="1"/>
  <c r="BS366" i="1"/>
  <c r="J396" i="1"/>
  <c r="BN386" i="1"/>
  <c r="N377" i="1"/>
  <c r="BR367" i="1"/>
  <c r="CO396" i="1"/>
  <c r="AO387" i="1"/>
  <c r="CS377" i="1"/>
  <c r="BC473" i="1"/>
  <c r="CD454" i="1"/>
  <c r="BS439" i="1"/>
  <c r="CE435" i="1"/>
  <c r="BM424" i="1"/>
  <c r="CQ386" i="1"/>
  <c r="CP387" i="1"/>
  <c r="BQ388" i="1"/>
  <c r="U422" i="1"/>
  <c r="AY384" i="1"/>
  <c r="AX385" i="1"/>
  <c r="Y386" i="1"/>
  <c r="DE421" i="1"/>
  <c r="AE384" i="1"/>
  <c r="AD385" i="1"/>
  <c r="DI385" i="1"/>
  <c r="AK370" i="1"/>
  <c r="AC440" i="1"/>
  <c r="AW427" i="1"/>
  <c r="DA417" i="1"/>
  <c r="BA408" i="1"/>
  <c r="W399" i="1"/>
  <c r="CA389" i="1"/>
  <c r="AA380" i="1"/>
  <c r="CE370" i="1"/>
  <c r="V400" i="1"/>
  <c r="BZ390" i="1"/>
  <c r="Z381" i="1"/>
  <c r="CD371" i="1"/>
  <c r="DA400" i="1"/>
  <c r="BA391" i="1"/>
  <c r="DE381" i="1"/>
  <c r="BE372" i="1"/>
  <c r="DD400" i="1"/>
  <c r="BD391" i="1"/>
  <c r="DH381" i="1"/>
  <c r="BH372" i="1"/>
  <c r="BQ362" i="1"/>
  <c r="Q353" i="1"/>
  <c r="BU343" i="1"/>
  <c r="U334" i="1"/>
  <c r="BY324" i="1"/>
  <c r="Y315" i="1"/>
  <c r="CC305" i="1"/>
  <c r="AC296" i="1"/>
  <c r="CZ359" i="1"/>
  <c r="AZ350" i="1"/>
  <c r="DD340" i="1"/>
  <c r="BD331" i="1"/>
  <c r="DH321" i="1"/>
  <c r="BH312" i="1"/>
  <c r="CM360" i="1"/>
  <c r="AM351" i="1"/>
  <c r="CQ341" i="1"/>
  <c r="AQ332" i="1"/>
  <c r="CU322" i="1"/>
  <c r="AU313" i="1"/>
  <c r="CY303" i="1"/>
  <c r="AY294" i="1"/>
  <c r="CH360" i="1"/>
  <c r="AH351" i="1"/>
  <c r="CL341" i="1"/>
  <c r="AL332" i="1"/>
  <c r="CP322" i="1"/>
  <c r="CV403" i="1"/>
  <c r="AV394" i="1"/>
  <c r="CZ384" i="1"/>
  <c r="AZ375" i="1"/>
  <c r="BI365" i="1"/>
  <c r="I356" i="1"/>
  <c r="BM346" i="1"/>
  <c r="M337" i="1"/>
  <c r="BQ327" i="1"/>
  <c r="Q318" i="1"/>
  <c r="BU308" i="1"/>
  <c r="U299" i="1"/>
  <c r="CR362" i="1"/>
  <c r="AR353" i="1"/>
  <c r="CV343" i="1"/>
  <c r="AV334" i="1"/>
  <c r="CZ324" i="1"/>
  <c r="AZ315" i="1"/>
  <c r="CE363" i="1"/>
  <c r="AE354" i="1"/>
  <c r="CI344" i="1"/>
  <c r="AI335" i="1"/>
  <c r="CM325" i="1"/>
  <c r="AM316" i="1"/>
  <c r="CQ306" i="1"/>
  <c r="AQ297" i="1"/>
  <c r="BZ363" i="1"/>
  <c r="Z354" i="1"/>
  <c r="CD344" i="1"/>
  <c r="AD335" i="1"/>
  <c r="CH325" i="1"/>
  <c r="AH316" i="1"/>
  <c r="CB403" i="1"/>
  <c r="AB394" i="1"/>
  <c r="CF384" i="1"/>
  <c r="AF375" i="1"/>
  <c r="AO365" i="1"/>
  <c r="CS355" i="1"/>
  <c r="AS346" i="1"/>
  <c r="CW336" i="1"/>
  <c r="AW327" i="1"/>
  <c r="DA317" i="1"/>
  <c r="BA308" i="1"/>
  <c r="DE298" i="1"/>
  <c r="BX362" i="1"/>
  <c r="X353" i="1"/>
  <c r="CB343" i="1"/>
  <c r="AB334" i="1"/>
  <c r="CF324" i="1"/>
  <c r="AF315" i="1"/>
  <c r="BK363" i="1"/>
  <c r="K354" i="1"/>
  <c r="BO344" i="1"/>
  <c r="O335" i="1"/>
  <c r="BS325" i="1"/>
  <c r="S316" i="1"/>
  <c r="BW306" i="1"/>
  <c r="W297" i="1"/>
  <c r="BF363" i="1"/>
  <c r="F354" i="1"/>
  <c r="BJ344" i="1"/>
  <c r="J335" i="1"/>
  <c r="BN325" i="1"/>
  <c r="M369" i="1"/>
  <c r="T397" i="1"/>
  <c r="CU460" i="1"/>
  <c r="DF449" i="1"/>
  <c r="AE437" i="1"/>
  <c r="DC433" i="1"/>
  <c r="DE423" i="1"/>
  <c r="AE386" i="1"/>
  <c r="AD387" i="1"/>
  <c r="DI387" i="1"/>
  <c r="BM421" i="1"/>
  <c r="CQ383" i="1"/>
  <c r="CP384" i="1"/>
  <c r="BQ385" i="1"/>
  <c r="AS421" i="1"/>
  <c r="BW383" i="1"/>
  <c r="BV384" i="1"/>
  <c r="AW385" i="1"/>
  <c r="U370" i="1"/>
  <c r="BU439" i="1"/>
  <c r="AG427" i="1"/>
  <c r="CK417" i="1"/>
  <c r="AK408" i="1"/>
  <c r="G399" i="1"/>
  <c r="BK389" i="1"/>
  <c r="K380" i="1"/>
  <c r="BO370" i="1"/>
  <c r="F400" i="1"/>
  <c r="BJ390" i="1"/>
  <c r="J381" i="1"/>
  <c r="BN371" i="1"/>
  <c r="CK400" i="1"/>
  <c r="AK391" i="1"/>
  <c r="CO381" i="1"/>
  <c r="AO372" i="1"/>
  <c r="CN400" i="1"/>
  <c r="AN391" i="1"/>
  <c r="CR381" i="1"/>
  <c r="AR372" i="1"/>
  <c r="BA362" i="1"/>
  <c r="DE352" i="1"/>
  <c r="BE343" i="1"/>
  <c r="DI333" i="1"/>
  <c r="BI324" i="1"/>
  <c r="I315" i="1"/>
  <c r="BM305" i="1"/>
  <c r="M296" i="1"/>
  <c r="CJ359" i="1"/>
  <c r="AJ350" i="1"/>
  <c r="CN340" i="1"/>
  <c r="AN331" i="1"/>
  <c r="CR321" i="1"/>
  <c r="AR312" i="1"/>
  <c r="BW360" i="1"/>
  <c r="W351" i="1"/>
  <c r="CA341" i="1"/>
  <c r="AA332" i="1"/>
  <c r="CE322" i="1"/>
  <c r="AE313" i="1"/>
  <c r="CI303" i="1"/>
  <c r="AI294" i="1"/>
  <c r="BR360" i="1"/>
  <c r="R351" i="1"/>
  <c r="BV341" i="1"/>
  <c r="V332" i="1"/>
  <c r="BZ322" i="1"/>
  <c r="CF403" i="1"/>
  <c r="AF394" i="1"/>
  <c r="CJ384" i="1"/>
  <c r="AJ375" i="1"/>
  <c r="AS365" i="1"/>
  <c r="CW355" i="1"/>
  <c r="AW346" i="1"/>
  <c r="DA336" i="1"/>
  <c r="BA327" i="1"/>
  <c r="DE317" i="1"/>
  <c r="BE308" i="1"/>
  <c r="DI298" i="1"/>
  <c r="CB362" i="1"/>
  <c r="AB353" i="1"/>
  <c r="CF343" i="1"/>
  <c r="AF334" i="1"/>
  <c r="CJ324" i="1"/>
  <c r="AJ315" i="1"/>
  <c r="BO363" i="1"/>
  <c r="O354" i="1"/>
  <c r="BS344" i="1"/>
  <c r="S335" i="1"/>
  <c r="BW325" i="1"/>
  <c r="W316" i="1"/>
  <c r="CA306" i="1"/>
  <c r="AA297" i="1"/>
  <c r="CU291" i="1"/>
  <c r="DB362" i="1"/>
  <c r="Z358" i="1"/>
  <c r="BB353" i="1"/>
  <c r="CD348" i="1"/>
  <c r="DF343" i="1"/>
  <c r="AD339" i="1"/>
  <c r="BF334" i="1"/>
  <c r="CH329" i="1"/>
  <c r="F325" i="1"/>
  <c r="AH320" i="1"/>
  <c r="BJ315" i="1"/>
  <c r="AW371" i="1"/>
  <c r="DD402" i="1"/>
  <c r="AB398" i="1"/>
  <c r="BD393" i="1"/>
  <c r="CF388" i="1"/>
  <c r="DH383" i="1"/>
  <c r="AF379" i="1"/>
  <c r="BH374" i="1"/>
  <c r="CJ369" i="1"/>
  <c r="BQ364" i="1"/>
  <c r="CS359" i="1"/>
  <c r="Q355" i="1"/>
  <c r="AS350" i="1"/>
  <c r="BU345" i="1"/>
  <c r="CW340" i="1"/>
  <c r="U336" i="1"/>
  <c r="AW331" i="1"/>
  <c r="BY326" i="1"/>
  <c r="DA321" i="1"/>
  <c r="Y317" i="1"/>
  <c r="BA312" i="1"/>
  <c r="CC307" i="1"/>
  <c r="DE302" i="1"/>
  <c r="AC298" i="1"/>
  <c r="CV366" i="1"/>
  <c r="CZ361" i="1"/>
  <c r="X357" i="1"/>
  <c r="AZ352" i="1"/>
  <c r="CB347" i="1"/>
  <c r="DD342" i="1"/>
  <c r="AB338" i="1"/>
  <c r="BD333" i="1"/>
  <c r="CF328" i="1"/>
  <c r="DH323" i="1"/>
  <c r="AF319" i="1"/>
  <c r="BH314" i="1"/>
  <c r="CJ309" i="1"/>
  <c r="CM362" i="1"/>
  <c r="K358" i="1"/>
  <c r="AM353" i="1"/>
  <c r="BO348" i="1"/>
  <c r="CQ343" i="1"/>
  <c r="O339" i="1"/>
  <c r="AQ334" i="1"/>
  <c r="BS329" i="1"/>
  <c r="CU324" i="1"/>
  <c r="S320" i="1"/>
  <c r="AU315" i="1"/>
  <c r="BW310" i="1"/>
  <c r="CY305" i="1"/>
  <c r="W301" i="1"/>
  <c r="AY296" i="1"/>
  <c r="CA291" i="1"/>
  <c r="CH362" i="1"/>
  <c r="F358" i="1"/>
  <c r="AH353" i="1"/>
  <c r="BJ348" i="1"/>
  <c r="CL343" i="1"/>
  <c r="J339" i="1"/>
  <c r="AL334" i="1"/>
  <c r="BN329" i="1"/>
  <c r="CP324" i="1"/>
  <c r="N320" i="1"/>
  <c r="Q368" i="1"/>
  <c r="T401" i="1"/>
  <c r="AV396" i="1"/>
  <c r="K491" i="1"/>
  <c r="DD481" i="1"/>
  <c r="J459" i="1"/>
  <c r="AV426" i="1"/>
  <c r="BJ468" i="1"/>
  <c r="AU425" i="1"/>
  <c r="Z462" i="1"/>
  <c r="W428" i="1"/>
  <c r="AH432" i="1"/>
  <c r="DI420" i="1"/>
  <c r="AE402" i="1"/>
  <c r="AI383" i="1"/>
  <c r="AD403" i="1"/>
  <c r="AH384" i="1"/>
  <c r="DI403" i="1"/>
  <c r="I385" i="1"/>
  <c r="F405" i="1"/>
  <c r="BQ418" i="1"/>
  <c r="CQ399" i="1"/>
  <c r="CU380" i="1"/>
  <c r="CP400" i="1"/>
  <c r="CT381" i="1"/>
  <c r="BQ401" i="1"/>
  <c r="BU382" i="1"/>
  <c r="U442" i="1"/>
  <c r="AW418" i="1"/>
  <c r="BW399" i="1"/>
  <c r="CA380" i="1"/>
  <c r="BV400" i="1"/>
  <c r="BZ381" i="1"/>
  <c r="AW401" i="1"/>
  <c r="BA382" i="1"/>
  <c r="U374" i="1"/>
  <c r="AW369" i="1"/>
  <c r="CH417" i="1"/>
  <c r="CO436" i="1"/>
  <c r="AG431" i="1"/>
  <c r="BI426" i="1"/>
  <c r="CK421" i="1"/>
  <c r="I417" i="1"/>
  <c r="AK412" i="1"/>
  <c r="BM407" i="1"/>
  <c r="G403" i="1"/>
  <c r="AI398" i="1"/>
  <c r="BK393" i="1"/>
  <c r="CM388" i="1"/>
  <c r="K384" i="1"/>
  <c r="AM379" i="1"/>
  <c r="BO374" i="1"/>
  <c r="CQ369" i="1"/>
  <c r="F404" i="1"/>
  <c r="AH399" i="1"/>
  <c r="BJ394" i="1"/>
  <c r="CL389" i="1"/>
  <c r="J385" i="1"/>
  <c r="AL380" i="1"/>
  <c r="BN375" i="1"/>
  <c r="CP370" i="1"/>
  <c r="CK404" i="1"/>
  <c r="I400" i="1"/>
  <c r="AK395" i="1"/>
  <c r="BM390" i="1"/>
  <c r="CO385" i="1"/>
  <c r="M381" i="1"/>
  <c r="AO376" i="1"/>
  <c r="BQ371" i="1"/>
  <c r="CN404" i="1"/>
  <c r="L400" i="1"/>
  <c r="AN395" i="1"/>
  <c r="BP390" i="1"/>
  <c r="CR385" i="1"/>
  <c r="P381" i="1"/>
  <c r="AR376" i="1"/>
  <c r="BT371" i="1"/>
  <c r="BE366" i="1"/>
  <c r="CC361" i="1"/>
  <c r="DE356" i="1"/>
  <c r="AC352" i="1"/>
  <c r="BE347" i="1"/>
  <c r="CG342" i="1"/>
  <c r="DI337" i="1"/>
  <c r="AG333" i="1"/>
  <c r="BI328" i="1"/>
  <c r="CK323" i="1"/>
  <c r="I319" i="1"/>
  <c r="AK314" i="1"/>
  <c r="BM309" i="1"/>
  <c r="CO304" i="1"/>
  <c r="M300" i="1"/>
  <c r="AO295" i="1"/>
  <c r="CJ363" i="1"/>
  <c r="H359" i="1"/>
  <c r="AJ354" i="1"/>
  <c r="BL349" i="1"/>
  <c r="CN344" i="1"/>
  <c r="L340" i="1"/>
  <c r="AN335" i="1"/>
  <c r="BP330" i="1"/>
  <c r="CR325" i="1"/>
  <c r="P321" i="1"/>
  <c r="AR316" i="1"/>
  <c r="BT311" i="1"/>
  <c r="CQ365" i="1"/>
  <c r="BC363" i="1"/>
  <c r="O361" i="1"/>
  <c r="CE358" i="1"/>
  <c r="AQ356" i="1"/>
  <c r="DG353" i="1"/>
  <c r="BS351" i="1"/>
  <c r="AE349" i="1"/>
  <c r="CU346" i="1"/>
  <c r="BG344" i="1"/>
  <c r="S342" i="1"/>
  <c r="CI339" i="1"/>
  <c r="AU337" i="1"/>
  <c r="G335" i="1"/>
  <c r="BW332" i="1"/>
  <c r="AI330" i="1"/>
  <c r="CY327" i="1"/>
  <c r="BK325" i="1"/>
  <c r="W323" i="1"/>
  <c r="CM320" i="1"/>
  <c r="AY318" i="1"/>
  <c r="K316" i="1"/>
  <c r="CA313" i="1"/>
  <c r="AM311" i="1"/>
  <c r="DC308" i="1"/>
  <c r="BO306" i="1"/>
  <c r="AA304" i="1"/>
  <c r="CQ301" i="1"/>
  <c r="BC299" i="1"/>
  <c r="O297" i="1"/>
  <c r="CE294" i="1"/>
  <c r="AQ292" i="1"/>
  <c r="CL365" i="1"/>
  <c r="AX363" i="1"/>
  <c r="J361" i="1"/>
  <c r="BZ358" i="1"/>
  <c r="AL356" i="1"/>
  <c r="DB353" i="1"/>
  <c r="BN351" i="1"/>
  <c r="Z349" i="1"/>
  <c r="CP346" i="1"/>
  <c r="BB344" i="1"/>
  <c r="N342" i="1"/>
  <c r="CD339" i="1"/>
  <c r="AP337" i="1"/>
  <c r="DF334" i="1"/>
  <c r="BR332" i="1"/>
  <c r="AD330" i="1"/>
  <c r="CT327" i="1"/>
  <c r="BF325" i="1"/>
  <c r="R323" i="1"/>
  <c r="CH320" i="1"/>
  <c r="AT318" i="1"/>
  <c r="DI368" i="1"/>
  <c r="X404" i="1"/>
  <c r="CN401" i="1"/>
  <c r="AZ399" i="1"/>
  <c r="L397" i="1"/>
  <c r="CB394" i="1"/>
  <c r="AN392" i="1"/>
  <c r="DD389" i="1"/>
  <c r="BP387" i="1"/>
  <c r="AB385" i="1"/>
  <c r="CR382" i="1"/>
  <c r="BD380" i="1"/>
  <c r="P378" i="1"/>
  <c r="CF375" i="1"/>
  <c r="AR373" i="1"/>
  <c r="DH370" i="1"/>
  <c r="BT368" i="1"/>
  <c r="CO365" i="1"/>
  <c r="BA363" i="1"/>
  <c r="M361" i="1"/>
  <c r="CC358" i="1"/>
  <c r="AO356" i="1"/>
  <c r="DE353" i="1"/>
  <c r="BQ351" i="1"/>
  <c r="AC349" i="1"/>
  <c r="CS346" i="1"/>
  <c r="BE344" i="1"/>
  <c r="Q342" i="1"/>
  <c r="CG339" i="1"/>
  <c r="AS337" i="1"/>
  <c r="DI334" i="1"/>
  <c r="BU332" i="1"/>
  <c r="AG330" i="1"/>
  <c r="CW327" i="1"/>
  <c r="BI325" i="1"/>
  <c r="U323" i="1"/>
  <c r="CK320" i="1"/>
  <c r="AW318" i="1"/>
  <c r="I316" i="1"/>
  <c r="BY313" i="1"/>
  <c r="AK311" i="1"/>
  <c r="DA308" i="1"/>
  <c r="BM306" i="1"/>
  <c r="Y304" i="1"/>
  <c r="CO301" i="1"/>
  <c r="BA299" i="1"/>
  <c r="M297" i="1"/>
  <c r="CC294" i="1"/>
  <c r="BH365" i="1"/>
  <c r="T363" i="1"/>
  <c r="CJ360" i="1"/>
  <c r="AV358" i="1"/>
  <c r="H356" i="1"/>
  <c r="BX353" i="1"/>
  <c r="AJ351" i="1"/>
  <c r="CZ348" i="1"/>
  <c r="BL346" i="1"/>
  <c r="X344" i="1"/>
  <c r="CN341" i="1"/>
  <c r="AZ339" i="1"/>
  <c r="L337" i="1"/>
  <c r="CB334" i="1"/>
  <c r="AN332" i="1"/>
  <c r="DD329" i="1"/>
  <c r="BP327" i="1"/>
  <c r="AB325" i="1"/>
  <c r="CR322" i="1"/>
  <c r="BD320" i="1"/>
  <c r="P318" i="1"/>
  <c r="CF315" i="1"/>
  <c r="AR313" i="1"/>
  <c r="DH310" i="1"/>
  <c r="AW366" i="1"/>
  <c r="G364" i="1"/>
  <c r="BW361" i="1"/>
  <c r="AI359" i="1"/>
  <c r="CY356" i="1"/>
  <c r="BK354" i="1"/>
  <c r="W352" i="1"/>
  <c r="CM349" i="1"/>
  <c r="AY347" i="1"/>
  <c r="K345" i="1"/>
  <c r="CA342" i="1"/>
  <c r="AM340" i="1"/>
  <c r="DC337" i="1"/>
  <c r="BO335" i="1"/>
  <c r="AA333" i="1"/>
  <c r="CQ330" i="1"/>
  <c r="BC328" i="1"/>
  <c r="O326" i="1"/>
  <c r="CE323" i="1"/>
  <c r="AQ321" i="1"/>
  <c r="DG318" i="1"/>
  <c r="BS316" i="1"/>
  <c r="AE314" i="1"/>
  <c r="CU311" i="1"/>
  <c r="BG309" i="1"/>
  <c r="S307" i="1"/>
  <c r="CI304" i="1"/>
  <c r="AU302" i="1"/>
  <c r="G300" i="1"/>
  <c r="BW297" i="1"/>
  <c r="AI295" i="1"/>
  <c r="CY292" i="1"/>
  <c r="AP366" i="1"/>
  <c r="DF363" i="1"/>
  <c r="BR361" i="1"/>
  <c r="AD359" i="1"/>
  <c r="CT356" i="1"/>
  <c r="BF354" i="1"/>
  <c r="R352" i="1"/>
  <c r="CH349" i="1"/>
  <c r="AT347" i="1"/>
  <c r="F345" i="1"/>
  <c r="BV342" i="1"/>
  <c r="AH340" i="1"/>
  <c r="CX337" i="1"/>
  <c r="BJ335" i="1"/>
  <c r="V333" i="1"/>
  <c r="CL330" i="1"/>
  <c r="AX328" i="1"/>
  <c r="J326" i="1"/>
  <c r="BZ323" i="1"/>
  <c r="AL321" i="1"/>
  <c r="DB318" i="1"/>
  <c r="BN316" i="1"/>
  <c r="Z314" i="1"/>
  <c r="CP311" i="1"/>
  <c r="CG368" i="1"/>
  <c r="DH403" i="1"/>
  <c r="BT401" i="1"/>
  <c r="AF399" i="1"/>
  <c r="CV396" i="1"/>
  <c r="BH394" i="1"/>
  <c r="T392" i="1"/>
  <c r="CJ389" i="1"/>
  <c r="AV387" i="1"/>
  <c r="H385" i="1"/>
  <c r="BX382" i="1"/>
  <c r="AJ380" i="1"/>
  <c r="CZ377" i="1"/>
  <c r="BL375" i="1"/>
  <c r="X373" i="1"/>
  <c r="CN370" i="1"/>
  <c r="AZ368" i="1"/>
  <c r="BU365" i="1"/>
  <c r="AG363" i="1"/>
  <c r="CW360" i="1"/>
  <c r="BI358" i="1"/>
  <c r="U356" i="1"/>
  <c r="CK353" i="1"/>
  <c r="AW351" i="1"/>
  <c r="I349" i="1"/>
  <c r="BY346" i="1"/>
  <c r="AK344" i="1"/>
  <c r="DA341" i="1"/>
  <c r="BM339" i="1"/>
  <c r="Y337" i="1"/>
  <c r="CO334" i="1"/>
  <c r="BA332" i="1"/>
  <c r="M330" i="1"/>
  <c r="CC327" i="1"/>
  <c r="AO325" i="1"/>
  <c r="DE322" i="1"/>
  <c r="BQ320" i="1"/>
  <c r="AC318" i="1"/>
  <c r="CS315" i="1"/>
  <c r="BE313" i="1"/>
  <c r="Q311" i="1"/>
  <c r="CG308" i="1"/>
  <c r="AS306" i="1"/>
  <c r="DI303" i="1"/>
  <c r="BU301" i="1"/>
  <c r="AG299" i="1"/>
  <c r="CW296" i="1"/>
  <c r="BI294" i="1"/>
  <c r="AN365" i="1"/>
  <c r="DD362" i="1"/>
  <c r="BP360" i="1"/>
  <c r="AB358" i="1"/>
  <c r="CR355" i="1"/>
  <c r="BD353" i="1"/>
  <c r="P351" i="1"/>
  <c r="CF348" i="1"/>
  <c r="AR346" i="1"/>
  <c r="DH343" i="1"/>
  <c r="BT341" i="1"/>
  <c r="AF339" i="1"/>
  <c r="CV336" i="1"/>
  <c r="BH334" i="1"/>
  <c r="T332" i="1"/>
  <c r="CJ329" i="1"/>
  <c r="AV327" i="1"/>
  <c r="H325" i="1"/>
  <c r="BX322" i="1"/>
  <c r="AJ320" i="1"/>
  <c r="CZ317" i="1"/>
  <c r="BL315" i="1"/>
  <c r="X313" i="1"/>
  <c r="CN310" i="1"/>
  <c r="AA366" i="1"/>
  <c r="CQ363" i="1"/>
  <c r="BC361" i="1"/>
  <c r="O359" i="1"/>
  <c r="CE356" i="1"/>
  <c r="AQ354" i="1"/>
  <c r="DG351" i="1"/>
  <c r="BS349" i="1"/>
  <c r="AE347" i="1"/>
  <c r="CU344" i="1"/>
  <c r="BG342" i="1"/>
  <c r="S340" i="1"/>
  <c r="CI337" i="1"/>
  <c r="AU335" i="1"/>
  <c r="G333" i="1"/>
  <c r="BW330" i="1"/>
  <c r="AI328" i="1"/>
  <c r="CY325" i="1"/>
  <c r="BK323" i="1"/>
  <c r="W321" i="1"/>
  <c r="CM318" i="1"/>
  <c r="AY316" i="1"/>
  <c r="K314" i="1"/>
  <c r="CA311" i="1"/>
  <c r="AM309" i="1"/>
  <c r="DC306" i="1"/>
  <c r="BO304" i="1"/>
  <c r="AA302" i="1"/>
  <c r="CQ299" i="1"/>
  <c r="BC297" i="1"/>
  <c r="O295" i="1"/>
  <c r="CE292" i="1"/>
  <c r="V366" i="1"/>
  <c r="CL363" i="1"/>
  <c r="AX361" i="1"/>
  <c r="J359" i="1"/>
  <c r="BZ356" i="1"/>
  <c r="AL354" i="1"/>
  <c r="DB351" i="1"/>
  <c r="BN349" i="1"/>
  <c r="Z347" i="1"/>
  <c r="CP344" i="1"/>
  <c r="BB342" i="1"/>
  <c r="N340" i="1"/>
  <c r="CD337" i="1"/>
  <c r="AP335" i="1"/>
  <c r="DF332" i="1"/>
  <c r="BR330" i="1"/>
  <c r="AD328" i="1"/>
  <c r="CT325" i="1"/>
  <c r="BF323" i="1"/>
  <c r="R321" i="1"/>
  <c r="CH318" i="1"/>
  <c r="BE369" i="1"/>
  <c r="BL404" i="1"/>
  <c r="BI470" i="1"/>
  <c r="BX421" i="1"/>
  <c r="G423" i="1"/>
  <c r="DG426" i="1"/>
  <c r="AW420" i="1"/>
  <c r="CA382" i="1"/>
  <c r="BZ383" i="1"/>
  <c r="BA384" i="1"/>
  <c r="DI417" i="1"/>
  <c r="AI380" i="1"/>
  <c r="AH381" i="1"/>
  <c r="I382" i="1"/>
  <c r="CO417" i="1"/>
  <c r="O380" i="1"/>
  <c r="N381" i="1"/>
  <c r="AK382" i="1"/>
  <c r="AG369" i="1"/>
  <c r="BI436" i="1"/>
  <c r="AS426" i="1"/>
  <c r="CW416" i="1"/>
  <c r="AW407" i="1"/>
  <c r="S398" i="1"/>
  <c r="BW388" i="1"/>
  <c r="W379" i="1"/>
  <c r="CA369" i="1"/>
  <c r="R399" i="1"/>
  <c r="BV389" i="1"/>
  <c r="V380" i="1"/>
  <c r="BZ370" i="1"/>
  <c r="CW399" i="1"/>
  <c r="AW390" i="1"/>
  <c r="DA380" i="1"/>
  <c r="BA371" i="1"/>
  <c r="CZ399" i="1"/>
  <c r="AZ390" i="1"/>
  <c r="DD380" i="1"/>
  <c r="BD371" i="1"/>
  <c r="BM361" i="1"/>
  <c r="M352" i="1"/>
  <c r="BQ342" i="1"/>
  <c r="Q333" i="1"/>
  <c r="BU323" i="1"/>
  <c r="U314" i="1"/>
  <c r="BY304" i="1"/>
  <c r="Y295" i="1"/>
  <c r="CV358" i="1"/>
  <c r="AV349" i="1"/>
  <c r="CZ339" i="1"/>
  <c r="AZ330" i="1"/>
  <c r="DD320" i="1"/>
  <c r="BD311" i="1"/>
  <c r="CI359" i="1"/>
  <c r="AI350" i="1"/>
  <c r="CM340" i="1"/>
  <c r="AM331" i="1"/>
  <c r="CQ321" i="1"/>
  <c r="AQ312" i="1"/>
  <c r="CU302" i="1"/>
  <c r="AU293" i="1"/>
  <c r="CD359" i="1"/>
  <c r="AD350" i="1"/>
  <c r="CH340" i="1"/>
  <c r="AH331" i="1"/>
  <c r="CL321" i="1"/>
  <c r="CR402" i="1"/>
  <c r="AR393" i="1"/>
  <c r="CV383" i="1"/>
  <c r="AV374" i="1"/>
  <c r="BE364" i="1"/>
  <c r="DI354" i="1"/>
  <c r="BI345" i="1"/>
  <c r="I336" i="1"/>
  <c r="BM326" i="1"/>
  <c r="M317" i="1"/>
  <c r="BQ307" i="1"/>
  <c r="Q298" i="1"/>
  <c r="CN361" i="1"/>
  <c r="AN352" i="1"/>
  <c r="CR342" i="1"/>
  <c r="AR333" i="1"/>
  <c r="CV323" i="1"/>
  <c r="AV314" i="1"/>
  <c r="CA362" i="1"/>
  <c r="AA353" i="1"/>
  <c r="CE343" i="1"/>
  <c r="AE334" i="1"/>
  <c r="CI324" i="1"/>
  <c r="AI315" i="1"/>
  <c r="CM305" i="1"/>
  <c r="AM296" i="1"/>
  <c r="BV362" i="1"/>
  <c r="V353" i="1"/>
  <c r="BZ343" i="1"/>
  <c r="Z334" i="1"/>
  <c r="CD324" i="1"/>
  <c r="AD315" i="1"/>
  <c r="BX402" i="1"/>
  <c r="X393" i="1"/>
  <c r="CB383" i="1"/>
  <c r="AB374" i="1"/>
  <c r="AK364" i="1"/>
  <c r="CO354" i="1"/>
  <c r="AO345" i="1"/>
  <c r="CS335" i="1"/>
  <c r="AS326" i="1"/>
  <c r="CW316" i="1"/>
  <c r="AW307" i="1"/>
  <c r="DA297" i="1"/>
  <c r="BT361" i="1"/>
  <c r="T352" i="1"/>
  <c r="BX342" i="1"/>
  <c r="X333" i="1"/>
  <c r="CB323" i="1"/>
  <c r="AB314" i="1"/>
  <c r="BG362" i="1"/>
  <c r="G353" i="1"/>
  <c r="BK343" i="1"/>
  <c r="K334" i="1"/>
  <c r="BO324" i="1"/>
  <c r="O315" i="1"/>
  <c r="BS305" i="1"/>
  <c r="S296" i="1"/>
  <c r="BB362" i="1"/>
  <c r="DF352" i="1"/>
  <c r="BF343" i="1"/>
  <c r="F334" i="1"/>
  <c r="BJ324" i="1"/>
  <c r="CC367" i="1"/>
  <c r="AF400" i="1"/>
  <c r="BH395" i="1"/>
  <c r="BL392" i="1"/>
  <c r="X390" i="1"/>
  <c r="CN387" i="1"/>
  <c r="AZ385" i="1"/>
  <c r="L383" i="1"/>
  <c r="CB380" i="1"/>
  <c r="AN378" i="1"/>
  <c r="DD375" i="1"/>
  <c r="BP373" i="1"/>
  <c r="AB371" i="1"/>
  <c r="CR368" i="1"/>
  <c r="I366" i="1"/>
  <c r="BY363" i="1"/>
  <c r="AK361" i="1"/>
  <c r="DA358" i="1"/>
  <c r="BM356" i="1"/>
  <c r="Y354" i="1"/>
  <c r="CO351" i="1"/>
  <c r="BA349" i="1"/>
  <c r="M347" i="1"/>
  <c r="CC344" i="1"/>
  <c r="AO342" i="1"/>
  <c r="DE339" i="1"/>
  <c r="BQ337" i="1"/>
  <c r="AC335" i="1"/>
  <c r="CS332" i="1"/>
  <c r="BE330" i="1"/>
  <c r="Q328" i="1"/>
  <c r="CG325" i="1"/>
  <c r="AS323" i="1"/>
  <c r="DI320" i="1"/>
  <c r="BU318" i="1"/>
  <c r="AG316" i="1"/>
  <c r="CW313" i="1"/>
  <c r="BI311" i="1"/>
  <c r="U309" i="1"/>
  <c r="CK306" i="1"/>
  <c r="AW304" i="1"/>
  <c r="I302" i="1"/>
  <c r="BY299" i="1"/>
  <c r="AK297" i="1"/>
  <c r="DA294" i="1"/>
  <c r="CF365" i="1"/>
  <c r="AR363" i="1"/>
  <c r="DH360" i="1"/>
  <c r="BT358" i="1"/>
  <c r="AF356" i="1"/>
  <c r="CV353" i="1"/>
  <c r="BH351" i="1"/>
  <c r="T349" i="1"/>
  <c r="CJ346" i="1"/>
  <c r="AV344" i="1"/>
  <c r="H342" i="1"/>
  <c r="BX339" i="1"/>
  <c r="AJ337" i="1"/>
  <c r="CZ334" i="1"/>
  <c r="BL332" i="1"/>
  <c r="X330" i="1"/>
  <c r="CN327" i="1"/>
  <c r="AZ325" i="1"/>
  <c r="L323" i="1"/>
  <c r="CB320" i="1"/>
  <c r="AN318" i="1"/>
  <c r="DD315" i="1"/>
  <c r="BP313" i="1"/>
  <c r="AB311" i="1"/>
  <c r="CK366" i="1"/>
  <c r="AE364" i="1"/>
  <c r="CU361" i="1"/>
  <c r="BG359" i="1"/>
  <c r="S357" i="1"/>
  <c r="CI354" i="1"/>
  <c r="AU352" i="1"/>
  <c r="G350" i="1"/>
  <c r="BW347" i="1"/>
  <c r="AI345" i="1"/>
  <c r="CY342" i="1"/>
  <c r="BK340" i="1"/>
  <c r="W338" i="1"/>
  <c r="CM335" i="1"/>
  <c r="AY333" i="1"/>
  <c r="K331" i="1"/>
  <c r="CA328" i="1"/>
  <c r="AM326" i="1"/>
  <c r="DC323" i="1"/>
  <c r="BO321" i="1"/>
  <c r="AA319" i="1"/>
  <c r="CQ316" i="1"/>
  <c r="BC314" i="1"/>
  <c r="O312" i="1"/>
  <c r="CE309" i="1"/>
  <c r="AQ307" i="1"/>
  <c r="DG304" i="1"/>
  <c r="BS302" i="1"/>
  <c r="AE300" i="1"/>
  <c r="CU297" i="1"/>
  <c r="BG295" i="1"/>
  <c r="S293" i="1"/>
  <c r="CB366" i="1"/>
  <c r="Z364" i="1"/>
  <c r="CP361" i="1"/>
  <c r="BB359" i="1"/>
  <c r="N357" i="1"/>
  <c r="CD354" i="1"/>
  <c r="AP352" i="1"/>
  <c r="DF349" i="1"/>
  <c r="BR347" i="1"/>
  <c r="AD345" i="1"/>
  <c r="CT342" i="1"/>
  <c r="BF340" i="1"/>
  <c r="R338" i="1"/>
  <c r="CH335" i="1"/>
  <c r="AT333" i="1"/>
  <c r="F331" i="1"/>
  <c r="BV328" i="1"/>
  <c r="AH326" i="1"/>
  <c r="CX323" i="1"/>
  <c r="BJ321" i="1"/>
  <c r="V319" i="1"/>
  <c r="J317" i="1"/>
  <c r="CT313" i="1"/>
  <c r="CL310" i="1"/>
  <c r="AX308" i="1"/>
  <c r="J306" i="1"/>
  <c r="BZ303" i="1"/>
  <c r="AL301" i="1"/>
  <c r="DB298" i="1"/>
  <c r="BN296" i="1"/>
  <c r="BP302" i="1"/>
  <c r="BD294" i="1"/>
  <c r="L291" i="1"/>
  <c r="CB288" i="1"/>
  <c r="AN286" i="1"/>
  <c r="DD283" i="1"/>
  <c r="BP281" i="1"/>
  <c r="AB279" i="1"/>
  <c r="CR276" i="1"/>
  <c r="BD274" i="1"/>
  <c r="P272" i="1"/>
  <c r="CF269" i="1"/>
  <c r="AR267" i="1"/>
  <c r="DH264" i="1"/>
  <c r="BT262" i="1"/>
  <c r="AF260" i="1"/>
  <c r="CV257" i="1"/>
  <c r="BH255" i="1"/>
  <c r="T253" i="1"/>
  <c r="CJ250" i="1"/>
  <c r="AV248" i="1"/>
  <c r="H246" i="1"/>
  <c r="BX243" i="1"/>
  <c r="AJ241" i="1"/>
  <c r="CZ238" i="1"/>
  <c r="BL236" i="1"/>
  <c r="X234" i="1"/>
  <c r="CN231" i="1"/>
  <c r="AZ229" i="1"/>
  <c r="L227" i="1"/>
  <c r="CB224" i="1"/>
  <c r="AN222" i="1"/>
  <c r="AV302" i="1"/>
  <c r="AT294" i="1"/>
  <c r="G291" i="1"/>
  <c r="BW288" i="1"/>
  <c r="AI286" i="1"/>
  <c r="CY283" i="1"/>
  <c r="BK281" i="1"/>
  <c r="W279" i="1"/>
  <c r="CM276" i="1"/>
  <c r="AY274" i="1"/>
  <c r="K272" i="1"/>
  <c r="CA269" i="1"/>
  <c r="AM267" i="1"/>
  <c r="DC264" i="1"/>
  <c r="BO262" i="1"/>
  <c r="AA260" i="1"/>
  <c r="CQ257" i="1"/>
  <c r="BC255" i="1"/>
  <c r="O253" i="1"/>
  <c r="CE250" i="1"/>
  <c r="AQ248" i="1"/>
  <c r="DG245" i="1"/>
  <c r="BS243" i="1"/>
  <c r="AE241" i="1"/>
  <c r="CU238" i="1"/>
  <c r="BG236" i="1"/>
  <c r="S234" i="1"/>
  <c r="CI231" i="1"/>
  <c r="AU229" i="1"/>
  <c r="AJ304" i="1"/>
  <c r="AN295" i="1"/>
  <c r="BU291" i="1"/>
  <c r="R289" i="1"/>
  <c r="CH286" i="1"/>
  <c r="AT284" i="1"/>
  <c r="F282" i="1"/>
  <c r="BV279" i="1"/>
  <c r="AH277" i="1"/>
  <c r="CX274" i="1"/>
  <c r="BJ272" i="1"/>
  <c r="V270" i="1"/>
  <c r="CL267" i="1"/>
  <c r="AX265" i="1"/>
  <c r="J263" i="1"/>
  <c r="BZ260" i="1"/>
  <c r="AL258" i="1"/>
  <c r="DB255" i="1"/>
  <c r="BN253" i="1"/>
  <c r="Z251" i="1"/>
  <c r="CP248" i="1"/>
  <c r="BB246" i="1"/>
  <c r="N244" i="1"/>
  <c r="CD241" i="1"/>
  <c r="AP239" i="1"/>
  <c r="DF236" i="1"/>
  <c r="BR234" i="1"/>
  <c r="AD232" i="1"/>
  <c r="CT229" i="1"/>
  <c r="BF227" i="1"/>
  <c r="R225" i="1"/>
  <c r="CH222" i="1"/>
  <c r="AT220" i="1"/>
  <c r="F218" i="1"/>
  <c r="BV215" i="1"/>
  <c r="H306" i="1"/>
  <c r="BL296" i="1"/>
  <c r="AB292" i="1"/>
  <c r="BM289" i="1"/>
  <c r="Y287" i="1"/>
  <c r="CO284" i="1"/>
  <c r="BA282" i="1"/>
  <c r="M280" i="1"/>
  <c r="CC277" i="1"/>
  <c r="AO275" i="1"/>
  <c r="DE272" i="1"/>
  <c r="BQ270" i="1"/>
  <c r="AC268" i="1"/>
  <c r="CS265" i="1"/>
  <c r="BE263" i="1"/>
  <c r="Q261" i="1"/>
  <c r="CG258" i="1"/>
  <c r="AS256" i="1"/>
  <c r="DI253" i="1"/>
  <c r="BU251" i="1"/>
  <c r="AG249" i="1"/>
  <c r="CW246" i="1"/>
  <c r="Y238" i="1"/>
  <c r="AT316" i="1"/>
  <c r="AD313" i="1"/>
  <c r="AL310" i="1"/>
  <c r="DB307" i="1"/>
  <c r="BN305" i="1"/>
  <c r="Z303" i="1"/>
  <c r="CP300" i="1"/>
  <c r="BB298" i="1"/>
  <c r="N296" i="1"/>
  <c r="BX300" i="1"/>
  <c r="BP293" i="1"/>
  <c r="BP290" i="1"/>
  <c r="AB288" i="1"/>
  <c r="CR285" i="1"/>
  <c r="BD283" i="1"/>
  <c r="P281" i="1"/>
  <c r="CF278" i="1"/>
  <c r="AR276" i="1"/>
  <c r="DH273" i="1"/>
  <c r="BT271" i="1"/>
  <c r="AF269" i="1"/>
  <c r="CV266" i="1"/>
  <c r="BH264" i="1"/>
  <c r="T262" i="1"/>
  <c r="CJ259" i="1"/>
  <c r="AV257" i="1"/>
  <c r="H255" i="1"/>
  <c r="BX252" i="1"/>
  <c r="AJ250" i="1"/>
  <c r="CZ247" i="1"/>
  <c r="BL245" i="1"/>
  <c r="X243" i="1"/>
  <c r="CN240" i="1"/>
  <c r="AZ238" i="1"/>
  <c r="L236" i="1"/>
  <c r="CB233" i="1"/>
  <c r="AN231" i="1"/>
  <c r="DD228" i="1"/>
  <c r="BP226" i="1"/>
  <c r="AB224" i="1"/>
  <c r="CR221" i="1"/>
  <c r="BD300" i="1"/>
  <c r="BI293" i="1"/>
  <c r="BK290" i="1"/>
  <c r="W288" i="1"/>
  <c r="CM285" i="1"/>
  <c r="AY283" i="1"/>
  <c r="K281" i="1"/>
  <c r="CA278" i="1"/>
  <c r="AM276" i="1"/>
  <c r="DC273" i="1"/>
  <c r="BO271" i="1"/>
  <c r="AA269" i="1"/>
  <c r="CQ266" i="1"/>
  <c r="BC264" i="1"/>
  <c r="O262" i="1"/>
  <c r="CE259" i="1"/>
  <c r="AQ257" i="1"/>
  <c r="DG254" i="1"/>
  <c r="BS252" i="1"/>
  <c r="AE250" i="1"/>
  <c r="CU247" i="1"/>
  <c r="BG245" i="1"/>
  <c r="S243" i="1"/>
  <c r="CI240" i="1"/>
  <c r="AU238" i="1"/>
  <c r="G236" i="1"/>
  <c r="BW233" i="1"/>
  <c r="AI231" i="1"/>
  <c r="CY228" i="1"/>
  <c r="AR302" i="1"/>
  <c r="AR294" i="1"/>
  <c r="F291" i="1"/>
  <c r="BV288" i="1"/>
  <c r="AH286" i="1"/>
  <c r="CX283" i="1"/>
  <c r="BJ281" i="1"/>
  <c r="V279" i="1"/>
  <c r="CL276" i="1"/>
  <c r="AX274" i="1"/>
  <c r="J272" i="1"/>
  <c r="BZ269" i="1"/>
  <c r="AL267" i="1"/>
  <c r="DB264" i="1"/>
  <c r="BN262" i="1"/>
  <c r="Z260" i="1"/>
  <c r="CP257" i="1"/>
  <c r="BB255" i="1"/>
  <c r="N253" i="1"/>
  <c r="CD250" i="1"/>
  <c r="AP248" i="1"/>
  <c r="DF245" i="1"/>
  <c r="BR243" i="1"/>
  <c r="AD241" i="1"/>
  <c r="CT238" i="1"/>
  <c r="BF236" i="1"/>
  <c r="R234" i="1"/>
  <c r="CH231" i="1"/>
  <c r="AT229" i="1"/>
  <c r="F227" i="1"/>
  <c r="BV224" i="1"/>
  <c r="AH222" i="1"/>
  <c r="CX219" i="1"/>
  <c r="BJ217" i="1"/>
  <c r="V215" i="1"/>
  <c r="P304" i="1"/>
  <c r="AD295" i="1"/>
  <c r="BN291" i="1"/>
  <c r="M289" i="1"/>
  <c r="CC286" i="1"/>
  <c r="AO284" i="1"/>
  <c r="DE281" i="1"/>
  <c r="BQ279" i="1"/>
  <c r="AC277" i="1"/>
  <c r="CS274" i="1"/>
  <c r="BE272" i="1"/>
  <c r="Q270" i="1"/>
  <c r="DB315" i="1"/>
  <c r="CL312" i="1"/>
  <c r="DF309" i="1"/>
  <c r="BR307" i="1"/>
  <c r="AD305" i="1"/>
  <c r="CT302" i="1"/>
  <c r="BF300" i="1"/>
  <c r="R298" i="1"/>
  <c r="CN308" i="1"/>
  <c r="AN299" i="1"/>
  <c r="T293" i="1"/>
  <c r="AF290" i="1"/>
  <c r="CV287" i="1"/>
  <c r="BH285" i="1"/>
  <c r="T283" i="1"/>
  <c r="CJ280" i="1"/>
  <c r="AV278" i="1"/>
  <c r="H276" i="1"/>
  <c r="BX273" i="1"/>
  <c r="AJ271" i="1"/>
  <c r="CZ268" i="1"/>
  <c r="BL266" i="1"/>
  <c r="X264" i="1"/>
  <c r="CN261" i="1"/>
  <c r="AZ259" i="1"/>
  <c r="L257" i="1"/>
  <c r="CB254" i="1"/>
  <c r="AN252" i="1"/>
  <c r="DD249" i="1"/>
  <c r="BP247" i="1"/>
  <c r="AB245" i="1"/>
  <c r="CR242" i="1"/>
  <c r="BD240" i="1"/>
  <c r="P238" i="1"/>
  <c r="CF235" i="1"/>
  <c r="AR233" i="1"/>
  <c r="DH230" i="1"/>
  <c r="BT228" i="1"/>
  <c r="AF226" i="1"/>
  <c r="CV223" i="1"/>
  <c r="BT308" i="1"/>
  <c r="T299" i="1"/>
  <c r="M293" i="1"/>
  <c r="AA290" i="1"/>
  <c r="CQ287" i="1"/>
  <c r="BC285" i="1"/>
  <c r="O283" i="1"/>
  <c r="CE280" i="1"/>
  <c r="AQ278" i="1"/>
  <c r="DG275" i="1"/>
  <c r="BS273" i="1"/>
  <c r="AE271" i="1"/>
  <c r="CU268" i="1"/>
  <c r="BG266" i="1"/>
  <c r="S264" i="1"/>
  <c r="CI261" i="1"/>
  <c r="AU259" i="1"/>
  <c r="G257" i="1"/>
  <c r="BW254" i="1"/>
  <c r="AI252" i="1"/>
  <c r="CY249" i="1"/>
  <c r="BK247" i="1"/>
  <c r="W245" i="1"/>
  <c r="CM242" i="1"/>
  <c r="AY240" i="1"/>
  <c r="K238" i="1"/>
  <c r="CA235" i="1"/>
  <c r="AM233" i="1"/>
  <c r="DC230" i="1"/>
  <c r="BO228" i="1"/>
  <c r="H301" i="1"/>
  <c r="CC293" i="1"/>
  <c r="BZ290" i="1"/>
  <c r="AL288" i="1"/>
  <c r="DB285" i="1"/>
  <c r="BN283" i="1"/>
  <c r="Z281" i="1"/>
  <c r="CP278" i="1"/>
  <c r="BB276" i="1"/>
  <c r="N274" i="1"/>
  <c r="CD271" i="1"/>
  <c r="AP269" i="1"/>
  <c r="DF266" i="1"/>
  <c r="BR264" i="1"/>
  <c r="AD262" i="1"/>
  <c r="CT259" i="1"/>
  <c r="BF257" i="1"/>
  <c r="R255" i="1"/>
  <c r="CH252" i="1"/>
  <c r="AT250" i="1"/>
  <c r="F248" i="1"/>
  <c r="BV245" i="1"/>
  <c r="AH243" i="1"/>
  <c r="CX240" i="1"/>
  <c r="BJ238" i="1"/>
  <c r="V236" i="1"/>
  <c r="CL233" i="1"/>
  <c r="AX231" i="1"/>
  <c r="J229" i="1"/>
  <c r="BZ226" i="1"/>
  <c r="AL224" i="1"/>
  <c r="DB221" i="1"/>
  <c r="BN219" i="1"/>
  <c r="Z217" i="1"/>
  <c r="CP214" i="1"/>
  <c r="CJ302" i="1"/>
  <c r="BN294" i="1"/>
  <c r="R291" i="1"/>
  <c r="CG288" i="1"/>
  <c r="AS286" i="1"/>
  <c r="DI283" i="1"/>
  <c r="BU281" i="1"/>
  <c r="AG279" i="1"/>
  <c r="CW276" i="1"/>
  <c r="BI274" i="1"/>
  <c r="U272" i="1"/>
  <c r="BL489" i="1"/>
  <c r="BJ408" i="1"/>
  <c r="BH414" i="1"/>
  <c r="BT410" i="1"/>
  <c r="BI427" i="1"/>
  <c r="CM389" i="1"/>
  <c r="CL390" i="1"/>
  <c r="BM391" i="1"/>
  <c r="Q425" i="1"/>
  <c r="AU387" i="1"/>
  <c r="AT388" i="1"/>
  <c r="U389" i="1"/>
  <c r="DA424" i="1"/>
  <c r="AA387" i="1"/>
  <c r="Z388" i="1"/>
  <c r="DE388" i="1"/>
  <c r="I371" i="1"/>
  <c r="AL405" i="1"/>
  <c r="U428" i="1"/>
  <c r="BY418" i="1"/>
  <c r="Y409" i="1"/>
  <c r="CY399" i="1"/>
  <c r="AY390" i="1"/>
  <c r="DC380" i="1"/>
  <c r="BC371" i="1"/>
  <c r="CX400" i="1"/>
  <c r="AX391" i="1"/>
  <c r="DB381" i="1"/>
  <c r="BB372" i="1"/>
  <c r="BY401" i="1"/>
  <c r="Y392" i="1"/>
  <c r="CC382" i="1"/>
  <c r="AC373" i="1"/>
  <c r="CB401" i="1"/>
  <c r="AB392" i="1"/>
  <c r="CF382" i="1"/>
  <c r="AF373" i="1"/>
  <c r="AO363" i="1"/>
  <c r="CS353" i="1"/>
  <c r="AS344" i="1"/>
  <c r="CW334" i="1"/>
  <c r="AW325" i="1"/>
  <c r="DA315" i="1"/>
  <c r="BA306" i="1"/>
  <c r="DE296" i="1"/>
  <c r="BX360" i="1"/>
  <c r="X351" i="1"/>
  <c r="CB341" i="1"/>
  <c r="AB332" i="1"/>
  <c r="CF322" i="1"/>
  <c r="AF313" i="1"/>
  <c r="BK361" i="1"/>
  <c r="K352" i="1"/>
  <c r="BO342" i="1"/>
  <c r="O333" i="1"/>
  <c r="BS323" i="1"/>
  <c r="S314" i="1"/>
  <c r="BW304" i="1"/>
  <c r="W295" i="1"/>
  <c r="BF361" i="1"/>
  <c r="F352" i="1"/>
  <c r="BJ342" i="1"/>
  <c r="J333" i="1"/>
  <c r="BN323" i="1"/>
  <c r="BT404" i="1"/>
  <c r="T395" i="1"/>
  <c r="BX385" i="1"/>
  <c r="X376" i="1"/>
  <c r="AG366" i="1"/>
  <c r="CK356" i="1"/>
  <c r="AK347" i="1"/>
  <c r="CO337" i="1"/>
  <c r="AO328" i="1"/>
  <c r="CS318" i="1"/>
  <c r="AS309" i="1"/>
  <c r="CW299" i="1"/>
  <c r="BP363" i="1"/>
  <c r="P354" i="1"/>
  <c r="BT344" i="1"/>
  <c r="T335" i="1"/>
  <c r="BX325" i="1"/>
  <c r="X316" i="1"/>
  <c r="BC364" i="1"/>
  <c r="DG354" i="1"/>
  <c r="BG345" i="1"/>
  <c r="G336" i="1"/>
  <c r="BK326" i="1"/>
  <c r="K317" i="1"/>
  <c r="BO307" i="1"/>
  <c r="O298" i="1"/>
  <c r="AX364" i="1"/>
  <c r="DB354" i="1"/>
  <c r="BB345" i="1"/>
  <c r="DF335" i="1"/>
  <c r="BF326" i="1"/>
  <c r="F317" i="1"/>
  <c r="AZ404" i="1"/>
  <c r="DD394" i="1"/>
  <c r="BD385" i="1"/>
  <c r="DH375" i="1"/>
  <c r="M366" i="1"/>
  <c r="BQ356" i="1"/>
  <c r="Q347" i="1"/>
  <c r="BU337" i="1"/>
  <c r="U328" i="1"/>
  <c r="BY318" i="1"/>
  <c r="Y309" i="1"/>
  <c r="CC299" i="1"/>
  <c r="AV363" i="1"/>
  <c r="CZ353" i="1"/>
  <c r="AZ344" i="1"/>
  <c r="DD334" i="1"/>
  <c r="BD325" i="1"/>
  <c r="DH315" i="1"/>
  <c r="AI364" i="1"/>
  <c r="CM354" i="1"/>
  <c r="AM345" i="1"/>
  <c r="CQ335" i="1"/>
  <c r="AQ326" i="1"/>
  <c r="CU316" i="1"/>
  <c r="AU307" i="1"/>
  <c r="CY297" i="1"/>
  <c r="AD364" i="1"/>
  <c r="CH354" i="1"/>
  <c r="AH345" i="1"/>
  <c r="CL335" i="1"/>
  <c r="AL326" i="1"/>
  <c r="M370" i="1"/>
  <c r="DH400" i="1"/>
  <c r="AF396" i="1"/>
  <c r="DH392" i="1"/>
  <c r="BT390" i="1"/>
  <c r="AF388" i="1"/>
  <c r="CV385" i="1"/>
  <c r="BH383" i="1"/>
  <c r="T381" i="1"/>
  <c r="CJ378" i="1"/>
  <c r="AV376" i="1"/>
  <c r="H374" i="1"/>
  <c r="BX371" i="1"/>
  <c r="AJ369" i="1"/>
  <c r="BJ366" i="1"/>
  <c r="Q364" i="1"/>
  <c r="CG361" i="1"/>
  <c r="AS359" i="1"/>
  <c r="DI356" i="1"/>
  <c r="BU354" i="1"/>
  <c r="AG352" i="1"/>
  <c r="CW349" i="1"/>
  <c r="BI347" i="1"/>
  <c r="U345" i="1"/>
  <c r="CK342" i="1"/>
  <c r="AW340" i="1"/>
  <c r="I338" i="1"/>
  <c r="BY335" i="1"/>
  <c r="AK333" i="1"/>
  <c r="DA330" i="1"/>
  <c r="BM328" i="1"/>
  <c r="Y326" i="1"/>
  <c r="CO323" i="1"/>
  <c r="BA321" i="1"/>
  <c r="M319" i="1"/>
  <c r="CC316" i="1"/>
  <c r="AO314" i="1"/>
  <c r="DE311" i="1"/>
  <c r="BQ309" i="1"/>
  <c r="AC307" i="1"/>
  <c r="CS304" i="1"/>
  <c r="BE302" i="1"/>
  <c r="Q300" i="1"/>
  <c r="CG297" i="1"/>
  <c r="AS295" i="1"/>
  <c r="X366" i="1"/>
  <c r="CN363" i="1"/>
  <c r="AZ361" i="1"/>
  <c r="L359" i="1"/>
  <c r="CB356" i="1"/>
  <c r="AN354" i="1"/>
  <c r="DD351" i="1"/>
  <c r="BP349" i="1"/>
  <c r="AB347" i="1"/>
  <c r="CR344" i="1"/>
  <c r="BD342" i="1"/>
  <c r="P340" i="1"/>
  <c r="CF337" i="1"/>
  <c r="AR335" i="1"/>
  <c r="DH332" i="1"/>
  <c r="BT330" i="1"/>
  <c r="AF328" i="1"/>
  <c r="CV325" i="1"/>
  <c r="BH323" i="1"/>
  <c r="T321" i="1"/>
  <c r="CJ318" i="1"/>
  <c r="AV316" i="1"/>
  <c r="H314" i="1"/>
  <c r="BX311" i="1"/>
  <c r="AJ309" i="1"/>
  <c r="CA364" i="1"/>
  <c r="AM362" i="1"/>
  <c r="DC359" i="1"/>
  <c r="BO357" i="1"/>
  <c r="AA355" i="1"/>
  <c r="CQ352" i="1"/>
  <c r="BC350" i="1"/>
  <c r="O348" i="1"/>
  <c r="CE345" i="1"/>
  <c r="AQ343" i="1"/>
  <c r="DG340" i="1"/>
  <c r="BS338" i="1"/>
  <c r="AE336" i="1"/>
  <c r="CU333" i="1"/>
  <c r="BG331" i="1"/>
  <c r="S329" i="1"/>
  <c r="CI326" i="1"/>
  <c r="AU324" i="1"/>
  <c r="G322" i="1"/>
  <c r="BW319" i="1"/>
  <c r="AI317" i="1"/>
  <c r="CY314" i="1"/>
  <c r="BK312" i="1"/>
  <c r="W310" i="1"/>
  <c r="CM307" i="1"/>
  <c r="AY305" i="1"/>
  <c r="K303" i="1"/>
  <c r="CA300" i="1"/>
  <c r="AM298" i="1"/>
  <c r="DC295" i="1"/>
  <c r="BO293" i="1"/>
  <c r="AA291" i="1"/>
  <c r="BV364" i="1"/>
  <c r="AH362" i="1"/>
  <c r="CX359" i="1"/>
  <c r="BJ357" i="1"/>
  <c r="V355" i="1"/>
  <c r="CL352" i="1"/>
  <c r="AX350" i="1"/>
  <c r="J348" i="1"/>
  <c r="BZ345" i="1"/>
  <c r="AL343" i="1"/>
  <c r="DB340" i="1"/>
  <c r="BN338" i="1"/>
  <c r="Z336" i="1"/>
  <c r="CP333" i="1"/>
  <c r="BB331" i="1"/>
  <c r="N329" i="1"/>
  <c r="CD326" i="1"/>
  <c r="AP324" i="1"/>
  <c r="DF321" i="1"/>
  <c r="BR319" i="1"/>
  <c r="AD317" i="1"/>
  <c r="BB314" i="1"/>
  <c r="AL311" i="1"/>
  <c r="CT308" i="1"/>
  <c r="BF306" i="1"/>
  <c r="R304" i="1"/>
  <c r="CH301" i="1"/>
  <c r="AT299" i="1"/>
  <c r="F297" i="1"/>
  <c r="AR304" i="1"/>
  <c r="AR295" i="1"/>
  <c r="BX291" i="1"/>
  <c r="T289" i="1"/>
  <c r="CJ286" i="1"/>
  <c r="AV284" i="1"/>
  <c r="H282" i="1"/>
  <c r="BX279" i="1"/>
  <c r="AJ277" i="1"/>
  <c r="CZ274" i="1"/>
  <c r="BL272" i="1"/>
  <c r="X270" i="1"/>
  <c r="CN267" i="1"/>
  <c r="AZ265" i="1"/>
  <c r="L263" i="1"/>
  <c r="CB260" i="1"/>
  <c r="AN258" i="1"/>
  <c r="DD255" i="1"/>
  <c r="BP253" i="1"/>
  <c r="AB251" i="1"/>
  <c r="CR248" i="1"/>
  <c r="BD246" i="1"/>
  <c r="P244" i="1"/>
  <c r="CF241" i="1"/>
  <c r="AR239" i="1"/>
  <c r="DH236" i="1"/>
  <c r="BT234" i="1"/>
  <c r="AF232" i="1"/>
  <c r="CV229" i="1"/>
  <c r="BH227" i="1"/>
  <c r="T225" i="1"/>
  <c r="CJ222" i="1"/>
  <c r="X304" i="1"/>
  <c r="AH295" i="1"/>
  <c r="BQ291" i="1"/>
  <c r="O289" i="1"/>
  <c r="CE286" i="1"/>
  <c r="AQ284" i="1"/>
  <c r="DG281" i="1"/>
  <c r="BS279" i="1"/>
  <c r="AE277" i="1"/>
  <c r="CU274" i="1"/>
  <c r="BG272" i="1"/>
  <c r="S270" i="1"/>
  <c r="CI267" i="1"/>
  <c r="AU265" i="1"/>
  <c r="G263" i="1"/>
  <c r="BW260" i="1"/>
  <c r="AI258" i="1"/>
  <c r="CY255" i="1"/>
  <c r="BK253" i="1"/>
  <c r="W251" i="1"/>
  <c r="CM248" i="1"/>
  <c r="AY246" i="1"/>
  <c r="K244" i="1"/>
  <c r="CA241" i="1"/>
  <c r="AM239" i="1"/>
  <c r="DC236" i="1"/>
  <c r="BO234" i="1"/>
  <c r="AA232" i="1"/>
  <c r="CQ229" i="1"/>
  <c r="L306" i="1"/>
  <c r="BP296" i="1"/>
  <c r="AC292" i="1"/>
  <c r="BN289" i="1"/>
  <c r="Z287" i="1"/>
  <c r="CP284" i="1"/>
  <c r="BB282" i="1"/>
  <c r="N280" i="1"/>
  <c r="CD277" i="1"/>
  <c r="AP275" i="1"/>
  <c r="DF272" i="1"/>
  <c r="BR270" i="1"/>
  <c r="AD268" i="1"/>
  <c r="CT265" i="1"/>
  <c r="BF263" i="1"/>
  <c r="R261" i="1"/>
  <c r="CH258" i="1"/>
  <c r="AT256" i="1"/>
  <c r="F254" i="1"/>
  <c r="BV251" i="1"/>
  <c r="AH249" i="1"/>
  <c r="CX246" i="1"/>
  <c r="BJ244" i="1"/>
  <c r="V242" i="1"/>
  <c r="CL239" i="1"/>
  <c r="AX237" i="1"/>
  <c r="J235" i="1"/>
  <c r="BZ232" i="1"/>
  <c r="AL230" i="1"/>
  <c r="DB227" i="1"/>
  <c r="BN225" i="1"/>
  <c r="Z223" i="1"/>
  <c r="CP220" i="1"/>
  <c r="BB218" i="1"/>
  <c r="N216" i="1"/>
  <c r="CN307" i="1"/>
  <c r="AN298" i="1"/>
  <c r="CN292" i="1"/>
  <c r="DI289" i="1"/>
  <c r="BU287" i="1"/>
  <c r="AG285" i="1"/>
  <c r="CW282" i="1"/>
  <c r="BI280" i="1"/>
  <c r="U278" i="1"/>
  <c r="CK275" i="1"/>
  <c r="AW273" i="1"/>
  <c r="I271" i="1"/>
  <c r="BY268" i="1"/>
  <c r="AK266" i="1"/>
  <c r="DA263" i="1"/>
  <c r="BM261" i="1"/>
  <c r="Y259" i="1"/>
  <c r="CO256" i="1"/>
  <c r="BA254" i="1"/>
  <c r="M252" i="1"/>
  <c r="CC249" i="1"/>
  <c r="AO247" i="1"/>
  <c r="DE239" i="1"/>
  <c r="DF316" i="1"/>
  <c r="CP313" i="1"/>
  <c r="CH310" i="1"/>
  <c r="AT308" i="1"/>
  <c r="F306" i="1"/>
  <c r="BV303" i="1"/>
  <c r="AH301" i="1"/>
  <c r="CX298" i="1"/>
  <c r="BJ296" i="1"/>
  <c r="AZ302" i="1"/>
  <c r="AV294" i="1"/>
  <c r="H291" i="1"/>
  <c r="BX288" i="1"/>
  <c r="AJ286" i="1"/>
  <c r="CZ283" i="1"/>
  <c r="BL281" i="1"/>
  <c r="X279" i="1"/>
  <c r="CN276" i="1"/>
  <c r="AZ274" i="1"/>
  <c r="L272" i="1"/>
  <c r="CB269" i="1"/>
  <c r="AN267" i="1"/>
  <c r="DD264" i="1"/>
  <c r="BP262" i="1"/>
  <c r="AB260" i="1"/>
  <c r="CR257" i="1"/>
  <c r="BD255" i="1"/>
  <c r="P253" i="1"/>
  <c r="CF250" i="1"/>
  <c r="AR248" i="1"/>
  <c r="DH245" i="1"/>
  <c r="BT243" i="1"/>
  <c r="AF241" i="1"/>
  <c r="CV238" i="1"/>
  <c r="BH236" i="1"/>
  <c r="T234" i="1"/>
  <c r="CJ231" i="1"/>
  <c r="AV229" i="1"/>
  <c r="H227" i="1"/>
  <c r="BX224" i="1"/>
  <c r="AJ222" i="1"/>
  <c r="AF302" i="1"/>
  <c r="AL294" i="1"/>
  <c r="DG290" i="1"/>
  <c r="BS288" i="1"/>
  <c r="AE286" i="1"/>
  <c r="CU283" i="1"/>
  <c r="BG281" i="1"/>
  <c r="S279" i="1"/>
  <c r="CI276" i="1"/>
  <c r="AU274" i="1"/>
  <c r="G272" i="1"/>
  <c r="BW269" i="1"/>
  <c r="AI267" i="1"/>
  <c r="CY264" i="1"/>
  <c r="BK262" i="1"/>
  <c r="W260" i="1"/>
  <c r="CM257" i="1"/>
  <c r="AY255" i="1"/>
  <c r="K253" i="1"/>
  <c r="CA250" i="1"/>
  <c r="AM248" i="1"/>
  <c r="DC245" i="1"/>
  <c r="BO243" i="1"/>
  <c r="AA241" i="1"/>
  <c r="CQ238" i="1"/>
  <c r="BC236" i="1"/>
  <c r="O234" i="1"/>
  <c r="CE231" i="1"/>
  <c r="AQ229" i="1"/>
  <c r="T304" i="1"/>
  <c r="AF295" i="1"/>
  <c r="BP291" i="1"/>
  <c r="N289" i="1"/>
  <c r="CD286" i="1"/>
  <c r="AP284" i="1"/>
  <c r="DF281" i="1"/>
  <c r="BR279" i="1"/>
  <c r="AD277" i="1"/>
  <c r="CT274" i="1"/>
  <c r="BF272" i="1"/>
  <c r="R270" i="1"/>
  <c r="CH267" i="1"/>
  <c r="AT265" i="1"/>
  <c r="F263" i="1"/>
  <c r="BV260" i="1"/>
  <c r="AH258" i="1"/>
  <c r="CX255" i="1"/>
  <c r="BJ253" i="1"/>
  <c r="V251" i="1"/>
  <c r="CL248" i="1"/>
  <c r="AX246" i="1"/>
  <c r="J244" i="1"/>
  <c r="BZ241" i="1"/>
  <c r="AL239" i="1"/>
  <c r="DB236" i="1"/>
  <c r="BN234" i="1"/>
  <c r="Z232" i="1"/>
  <c r="CP229" i="1"/>
  <c r="BB227" i="1"/>
  <c r="N225" i="1"/>
  <c r="CD222" i="1"/>
  <c r="AP220" i="1"/>
  <c r="DF217" i="1"/>
  <c r="BR215" i="1"/>
  <c r="CV305" i="1"/>
  <c r="AV296" i="1"/>
  <c r="V292" i="1"/>
  <c r="BI289" i="1"/>
  <c r="U287" i="1"/>
  <c r="CK284" i="1"/>
  <c r="AW282" i="1"/>
  <c r="I280" i="1"/>
  <c r="BY277" i="1"/>
  <c r="AK275" i="1"/>
  <c r="DA272" i="1"/>
  <c r="BM270" i="1"/>
  <c r="BJ316" i="1"/>
  <c r="AT313" i="1"/>
  <c r="AX310" i="1"/>
  <c r="J308" i="1"/>
  <c r="BZ305" i="1"/>
  <c r="AL303" i="1"/>
  <c r="DB300" i="1"/>
  <c r="BN298" i="1"/>
  <c r="Z296" i="1"/>
  <c r="P301" i="1"/>
  <c r="CF293" i="1"/>
  <c r="CB290" i="1"/>
  <c r="AN288" i="1"/>
  <c r="DD285" i="1"/>
  <c r="BP283" i="1"/>
  <c r="AB281" i="1"/>
  <c r="CR278" i="1"/>
  <c r="BD276" i="1"/>
  <c r="P274" i="1"/>
  <c r="CF271" i="1"/>
  <c r="AR269" i="1"/>
  <c r="DH266" i="1"/>
  <c r="BT264" i="1"/>
  <c r="AF262" i="1"/>
  <c r="CV259" i="1"/>
  <c r="BH257" i="1"/>
  <c r="T255" i="1"/>
  <c r="CJ252" i="1"/>
  <c r="AV250" i="1"/>
  <c r="H248" i="1"/>
  <c r="BX245" i="1"/>
  <c r="AJ243" i="1"/>
  <c r="CZ240" i="1"/>
  <c r="BL238" i="1"/>
  <c r="X236" i="1"/>
  <c r="CN233" i="1"/>
  <c r="AZ231" i="1"/>
  <c r="L229" i="1"/>
  <c r="CB226" i="1"/>
  <c r="AN224" i="1"/>
  <c r="DD221" i="1"/>
  <c r="CZ300" i="1"/>
  <c r="BY293" i="1"/>
  <c r="BW290" i="1"/>
  <c r="AI288" i="1"/>
  <c r="CY285" i="1"/>
  <c r="BK283" i="1"/>
  <c r="W281" i="1"/>
  <c r="CM278" i="1"/>
  <c r="AY276" i="1"/>
  <c r="K274" i="1"/>
  <c r="CA271" i="1"/>
  <c r="AM269" i="1"/>
  <c r="DC266" i="1"/>
  <c r="BO264" i="1"/>
  <c r="AA262" i="1"/>
  <c r="CQ259" i="1"/>
  <c r="BC257" i="1"/>
  <c r="O255" i="1"/>
  <c r="CE252" i="1"/>
  <c r="AQ250" i="1"/>
  <c r="DG247" i="1"/>
  <c r="BS245" i="1"/>
  <c r="AE243" i="1"/>
  <c r="CU240" i="1"/>
  <c r="BG238" i="1"/>
  <c r="S236" i="1"/>
  <c r="CI233" i="1"/>
  <c r="AU231" i="1"/>
  <c r="G229" i="1"/>
  <c r="CN302" i="1"/>
  <c r="BP294" i="1"/>
  <c r="T291" i="1"/>
  <c r="CH288" i="1"/>
  <c r="BL229" i="1"/>
  <c r="CR302" i="1"/>
  <c r="AU286" i="1"/>
  <c r="CY276" i="1"/>
  <c r="AY267" i="1"/>
  <c r="DC257" i="1"/>
  <c r="BC248" i="1"/>
  <c r="DG238" i="1"/>
  <c r="BG229" i="1"/>
  <c r="AD289" i="1"/>
  <c r="CH279" i="1"/>
  <c r="AH270" i="1"/>
  <c r="CL260" i="1"/>
  <c r="AL251" i="1"/>
  <c r="CP241" i="1"/>
  <c r="AP232" i="1"/>
  <c r="CT222" i="1"/>
  <c r="BD306" i="1"/>
  <c r="AK287" i="1"/>
  <c r="CO277" i="1"/>
  <c r="CH316" i="1"/>
  <c r="CP305" i="1"/>
  <c r="AP296" i="1"/>
  <c r="BD288" i="1"/>
  <c r="DH278" i="1"/>
  <c r="BH269" i="1"/>
  <c r="H260" i="1"/>
  <c r="BL250" i="1"/>
  <c r="L241" i="1"/>
  <c r="BP231" i="1"/>
  <c r="P222" i="1"/>
  <c r="AY288" i="1"/>
  <c r="DC278" i="1"/>
  <c r="BC269" i="1"/>
  <c r="DG259" i="1"/>
  <c r="BG250" i="1"/>
  <c r="G241" i="1"/>
  <c r="BK231" i="1"/>
  <c r="AO291" i="1"/>
  <c r="CL281" i="1"/>
  <c r="AL272" i="1"/>
  <c r="CP262" i="1"/>
  <c r="AP253" i="1"/>
  <c r="CT243" i="1"/>
  <c r="AT234" i="1"/>
  <c r="CX224" i="1"/>
  <c r="AX215" i="1"/>
  <c r="AO289" i="1"/>
  <c r="CS279" i="1"/>
  <c r="CD523" i="1"/>
  <c r="BR417" i="1"/>
  <c r="CS434" i="1"/>
  <c r="BQ434" i="1"/>
  <c r="AW373" i="1"/>
  <c r="BM411" i="1"/>
  <c r="CQ373" i="1"/>
  <c r="CP374" i="1"/>
  <c r="BQ375" i="1"/>
  <c r="BT375" i="1"/>
  <c r="AG337" i="1"/>
  <c r="AO299" i="1"/>
  <c r="BP334" i="1"/>
  <c r="AY354" i="1"/>
  <c r="BG316" i="1"/>
  <c r="AT354" i="1"/>
  <c r="BQ369" i="1"/>
  <c r="L369" i="1"/>
  <c r="CC330" i="1"/>
  <c r="DD365" i="1"/>
  <c r="H328" i="1"/>
  <c r="CU347" i="1"/>
  <c r="DC309" i="1"/>
  <c r="CP347" i="1"/>
  <c r="AO369" i="1"/>
  <c r="CV368" i="1"/>
  <c r="BI330" i="1"/>
  <c r="CJ365" i="1"/>
  <c r="CR327" i="1"/>
  <c r="CA347" i="1"/>
  <c r="CI309" i="1"/>
  <c r="BV347" i="1"/>
  <c r="X402" i="1"/>
  <c r="CR388" i="1"/>
  <c r="AR379" i="1"/>
  <c r="CV369" i="1"/>
  <c r="DE359" i="1"/>
  <c r="BE350" i="1"/>
  <c r="DI340" i="1"/>
  <c r="BI331" i="1"/>
  <c r="I322" i="1"/>
  <c r="BM312" i="1"/>
  <c r="M303" i="1"/>
  <c r="AO298" i="1"/>
  <c r="P367" i="1"/>
  <c r="H362" i="1"/>
  <c r="AJ357" i="1"/>
  <c r="BL352" i="1"/>
  <c r="CN347" i="1"/>
  <c r="L343" i="1"/>
  <c r="AN338" i="1"/>
  <c r="BP333" i="1"/>
  <c r="CR328" i="1"/>
  <c r="P324" i="1"/>
  <c r="AR319" i="1"/>
  <c r="BT314" i="1"/>
  <c r="CV309" i="1"/>
  <c r="CY362" i="1"/>
  <c r="W358" i="1"/>
  <c r="AY353" i="1"/>
  <c r="CA348" i="1"/>
  <c r="DC343" i="1"/>
  <c r="AA339" i="1"/>
  <c r="BC334" i="1"/>
  <c r="CE329" i="1"/>
  <c r="DG324" i="1"/>
  <c r="AE320" i="1"/>
  <c r="BG315" i="1"/>
  <c r="CI310" i="1"/>
  <c r="G306" i="1"/>
  <c r="AI301" i="1"/>
  <c r="BK296" i="1"/>
  <c r="CM291" i="1"/>
  <c r="CT362" i="1"/>
  <c r="R358" i="1"/>
  <c r="AT353" i="1"/>
  <c r="BV348" i="1"/>
  <c r="CX343" i="1"/>
  <c r="V339" i="1"/>
  <c r="AX334" i="1"/>
  <c r="BZ329" i="1"/>
  <c r="DB324" i="1"/>
  <c r="Z320" i="1"/>
  <c r="AH315" i="1"/>
  <c r="BB309" i="1"/>
  <c r="CD304" i="1"/>
  <c r="DF299" i="1"/>
  <c r="CF306" i="1"/>
  <c r="BA292" i="1"/>
  <c r="AR287" i="1"/>
  <c r="BT282" i="1"/>
  <c r="CV277" i="1"/>
  <c r="T273" i="1"/>
  <c r="AV268" i="1"/>
  <c r="BX263" i="1"/>
  <c r="CZ258" i="1"/>
  <c r="X254" i="1"/>
  <c r="AZ249" i="1"/>
  <c r="CB244" i="1"/>
  <c r="DD239" i="1"/>
  <c r="AB235" i="1"/>
  <c r="BD230" i="1"/>
  <c r="CF225" i="1"/>
  <c r="BL306" i="1"/>
  <c r="AT292" i="1"/>
  <c r="AM287" i="1"/>
  <c r="BO282" i="1"/>
  <c r="CQ277" i="1"/>
  <c r="O273" i="1"/>
  <c r="AQ268" i="1"/>
  <c r="BS263" i="1"/>
  <c r="CU258" i="1"/>
  <c r="S254" i="1"/>
  <c r="AU249" i="1"/>
  <c r="BW244" i="1"/>
  <c r="CY239" i="1"/>
  <c r="W235" i="1"/>
  <c r="AY230" i="1"/>
  <c r="DD298" i="1"/>
  <c r="V290" i="1"/>
  <c r="AX285" i="1"/>
  <c r="BZ280" i="1"/>
  <c r="DB275" i="1"/>
  <c r="Z271" i="1"/>
  <c r="BB266" i="1"/>
  <c r="CD261" i="1"/>
  <c r="DF256" i="1"/>
  <c r="AD252" i="1"/>
  <c r="BF247" i="1"/>
  <c r="CH242" i="1"/>
  <c r="F238" i="1"/>
  <c r="AH233" i="1"/>
  <c r="BJ228" i="1"/>
  <c r="CL223" i="1"/>
  <c r="J219" i="1"/>
  <c r="AL214" i="1"/>
  <c r="BQ293" i="1"/>
  <c r="AC288" i="1"/>
  <c r="BE283" i="1"/>
  <c r="CG278" i="1"/>
  <c r="DI273" i="1"/>
  <c r="AG269" i="1"/>
  <c r="BI264" i="1"/>
  <c r="CK259" i="1"/>
  <c r="I255" i="1"/>
  <c r="AK250" i="1"/>
  <c r="AO242" i="1"/>
  <c r="BR314" i="1"/>
  <c r="DF308" i="1"/>
  <c r="AD304" i="1"/>
  <c r="BF299" i="1"/>
  <c r="CN304" i="1"/>
  <c r="CN291" i="1"/>
  <c r="CV286" i="1"/>
  <c r="T282" i="1"/>
  <c r="AV277" i="1"/>
  <c r="BX272" i="1"/>
  <c r="CZ267" i="1"/>
  <c r="X263" i="1"/>
  <c r="AZ258" i="1"/>
  <c r="CB253" i="1"/>
  <c r="DD248" i="1"/>
  <c r="AB244" i="1"/>
  <c r="BD239" i="1"/>
  <c r="CF234" i="1"/>
  <c r="DH229" i="1"/>
  <c r="AF225" i="1"/>
  <c r="BT304" i="1"/>
  <c r="CG291" i="1"/>
  <c r="CQ286" i="1"/>
  <c r="O282" i="1"/>
  <c r="AQ277" i="1"/>
  <c r="BS272" i="1"/>
  <c r="CU267" i="1"/>
  <c r="S263" i="1"/>
  <c r="AU258" i="1"/>
  <c r="BW253" i="1"/>
  <c r="CY248" i="1"/>
  <c r="W244" i="1"/>
  <c r="AY239" i="1"/>
  <c r="CA234" i="1"/>
  <c r="DC229" i="1"/>
  <c r="H297" i="1"/>
  <c r="BZ289" i="1"/>
  <c r="DB284" i="1"/>
  <c r="Z280" i="1"/>
  <c r="BB275" i="1"/>
  <c r="CD270" i="1"/>
  <c r="DF265" i="1"/>
  <c r="AD261" i="1"/>
  <c r="BF256" i="1"/>
  <c r="AP252" i="1"/>
  <c r="AT249" i="1"/>
  <c r="CP245" i="1"/>
  <c r="CT242" i="1"/>
  <c r="CX239" i="1"/>
  <c r="AP236" i="1"/>
  <c r="AT233" i="1"/>
  <c r="AX230" i="1"/>
  <c r="CT226" i="1"/>
  <c r="CX223" i="1"/>
  <c r="DB220" i="1"/>
  <c r="AT217" i="1"/>
  <c r="AX214" i="1"/>
  <c r="CJ298" i="1"/>
  <c r="AS291" i="1"/>
  <c r="AO288" i="1"/>
  <c r="AS285" i="1"/>
  <c r="CO281" i="1"/>
  <c r="CS278" i="1"/>
  <c r="CW275" i="1"/>
  <c r="AO272" i="1"/>
  <c r="AS269" i="1"/>
  <c r="V314" i="1"/>
  <c r="CP309" i="1"/>
  <c r="CT306" i="1"/>
  <c r="CX303" i="1"/>
  <c r="AP300" i="1"/>
  <c r="AT297" i="1"/>
  <c r="BD303" i="1"/>
  <c r="DB292" i="1"/>
  <c r="BH289" i="1"/>
  <c r="BL286" i="1"/>
  <c r="DH282" i="1"/>
  <c r="H280" i="1"/>
  <c r="L277" i="1"/>
  <c r="BH273" i="1"/>
  <c r="BL270" i="1"/>
  <c r="BP267" i="1"/>
  <c r="H264" i="1"/>
  <c r="L261" i="1"/>
  <c r="P258" i="1"/>
  <c r="BL254" i="1"/>
  <c r="BP251" i="1"/>
  <c r="BT248" i="1"/>
  <c r="L245" i="1"/>
  <c r="P242" i="1"/>
  <c r="T239" i="1"/>
  <c r="BP235" i="1"/>
  <c r="BT232" i="1"/>
  <c r="BX229" i="1"/>
  <c r="P226" i="1"/>
  <c r="T223" i="1"/>
  <c r="AJ303" i="1"/>
  <c r="CV292" i="1"/>
  <c r="BC289" i="1"/>
  <c r="BG286" i="1"/>
  <c r="DC282" i="1"/>
  <c r="DG279" i="1"/>
  <c r="G277" i="1"/>
  <c r="BC273" i="1"/>
  <c r="BG270" i="1"/>
  <c r="BK267" i="1"/>
  <c r="DG263" i="1"/>
  <c r="G261" i="1"/>
  <c r="K258" i="1"/>
  <c r="BG254" i="1"/>
  <c r="BK251" i="1"/>
  <c r="BO248" i="1"/>
  <c r="G245" i="1"/>
  <c r="K242" i="1"/>
  <c r="O239" i="1"/>
  <c r="BK235" i="1"/>
  <c r="BO232" i="1"/>
  <c r="BS229" i="1"/>
  <c r="AZ300" i="1"/>
  <c r="CD292" i="1"/>
  <c r="AP289" i="1"/>
  <c r="AT286" i="1"/>
  <c r="F284" i="1"/>
  <c r="BV281" i="1"/>
  <c r="AH279" i="1"/>
  <c r="CX276" i="1"/>
  <c r="BJ274" i="1"/>
  <c r="V272" i="1"/>
  <c r="CL269" i="1"/>
  <c r="AX267" i="1"/>
  <c r="J265" i="1"/>
  <c r="BZ262" i="1"/>
  <c r="AL260" i="1"/>
  <c r="DB257" i="1"/>
  <c r="BN255" i="1"/>
  <c r="Z253" i="1"/>
  <c r="CP250" i="1"/>
  <c r="BB248" i="1"/>
  <c r="N246" i="1"/>
  <c r="CD243" i="1"/>
  <c r="AP241" i="1"/>
  <c r="DF238" i="1"/>
  <c r="BR236" i="1"/>
  <c r="AD234" i="1"/>
  <c r="CT231" i="1"/>
  <c r="BF229" i="1"/>
  <c r="R227" i="1"/>
  <c r="CH224" i="1"/>
  <c r="AT222" i="1"/>
  <c r="F220" i="1"/>
  <c r="BV217" i="1"/>
  <c r="AH215" i="1"/>
  <c r="BL304" i="1"/>
  <c r="BB295" i="1"/>
  <c r="CD291" i="1"/>
  <c r="Y289" i="1"/>
  <c r="CO286" i="1"/>
  <c r="BA284" i="1"/>
  <c r="M282" i="1"/>
  <c r="CC279" i="1"/>
  <c r="AO277" i="1"/>
  <c r="DE274" i="1"/>
  <c r="BQ272" i="1"/>
  <c r="AC270" i="1"/>
  <c r="P446" i="1"/>
  <c r="BF460" i="1"/>
  <c r="DG441" i="1"/>
  <c r="O438" i="1"/>
  <c r="U425" i="1"/>
  <c r="AY387" i="1"/>
  <c r="AX388" i="1"/>
  <c r="Y389" i="1"/>
  <c r="CG422" i="1"/>
  <c r="G385" i="1"/>
  <c r="F386" i="1"/>
  <c r="CK386" i="1"/>
  <c r="BM422" i="1"/>
  <c r="CQ384" i="1"/>
  <c r="CP385" i="1"/>
  <c r="BQ386" i="1"/>
  <c r="BA370" i="1"/>
  <c r="CO440" i="1"/>
  <c r="BM427" i="1"/>
  <c r="M418" i="1"/>
  <c r="BQ408" i="1"/>
  <c r="AM399" i="1"/>
  <c r="CQ389" i="1"/>
  <c r="AQ380" i="1"/>
  <c r="CU370" i="1"/>
  <c r="AL400" i="1"/>
  <c r="CP390" i="1"/>
  <c r="AP381" i="1"/>
  <c r="CT371" i="1"/>
  <c r="M401" i="1"/>
  <c r="BQ391" i="1"/>
  <c r="Q382" i="1"/>
  <c r="BU372" i="1"/>
  <c r="P401" i="1"/>
  <c r="BT391" i="1"/>
  <c r="T382" i="1"/>
  <c r="BX372" i="1"/>
  <c r="CG362" i="1"/>
  <c r="AG353" i="1"/>
  <c r="CK343" i="1"/>
  <c r="AK334" i="1"/>
  <c r="CO324" i="1"/>
  <c r="AO315" i="1"/>
  <c r="CS305" i="1"/>
  <c r="AS296" i="1"/>
  <c r="L360" i="1"/>
  <c r="BP350" i="1"/>
  <c r="P341" i="1"/>
  <c r="BT331" i="1"/>
  <c r="T322" i="1"/>
  <c r="BX312" i="1"/>
  <c r="DC360" i="1"/>
  <c r="BC351" i="1"/>
  <c r="DG341" i="1"/>
  <c r="BG332" i="1"/>
  <c r="G323" i="1"/>
  <c r="BK313" i="1"/>
  <c r="K304" i="1"/>
  <c r="BO294" i="1"/>
  <c r="CX360" i="1"/>
  <c r="AX351" i="1"/>
  <c r="DB341" i="1"/>
  <c r="BB332" i="1"/>
  <c r="DF322" i="1"/>
  <c r="H404" i="1"/>
  <c r="BL394" i="1"/>
  <c r="L385" i="1"/>
  <c r="BP375" i="1"/>
  <c r="BY365" i="1"/>
  <c r="Y356" i="1"/>
  <c r="CC346" i="1"/>
  <c r="AC337" i="1"/>
  <c r="CG327" i="1"/>
  <c r="AG318" i="1"/>
  <c r="CK308" i="1"/>
  <c r="AK299" i="1"/>
  <c r="DH362" i="1"/>
  <c r="BH353" i="1"/>
  <c r="H344" i="1"/>
  <c r="BL334" i="1"/>
  <c r="L325" i="1"/>
  <c r="BP315" i="1"/>
  <c r="CU363" i="1"/>
  <c r="AU354" i="1"/>
  <c r="CY344" i="1"/>
  <c r="AY335" i="1"/>
  <c r="DC325" i="1"/>
  <c r="BC316" i="1"/>
  <c r="DG306" i="1"/>
  <c r="BG297" i="1"/>
  <c r="CP363" i="1"/>
  <c r="AP354" i="1"/>
  <c r="CT344" i="1"/>
  <c r="AT335" i="1"/>
  <c r="CX325" i="1"/>
  <c r="AX316" i="1"/>
  <c r="CR403" i="1"/>
  <c r="AR394" i="1"/>
  <c r="CV384" i="1"/>
  <c r="AV375" i="1"/>
  <c r="BE365" i="1"/>
  <c r="DI355" i="1"/>
  <c r="BI346" i="1"/>
  <c r="I337" i="1"/>
  <c r="BM327" i="1"/>
  <c r="M318" i="1"/>
  <c r="BQ308" i="1"/>
  <c r="Q299" i="1"/>
  <c r="CN362" i="1"/>
  <c r="AN353" i="1"/>
  <c r="CR343" i="1"/>
  <c r="AR334" i="1"/>
  <c r="CV324" i="1"/>
  <c r="AV315" i="1"/>
  <c r="CA363" i="1"/>
  <c r="AA354" i="1"/>
  <c r="CE344" i="1"/>
  <c r="AE335" i="1"/>
  <c r="CI325" i="1"/>
  <c r="AI316" i="1"/>
  <c r="CM306" i="1"/>
  <c r="AM297" i="1"/>
  <c r="BV363" i="1"/>
  <c r="V354" i="1"/>
  <c r="BZ344" i="1"/>
  <c r="Z335" i="1"/>
  <c r="CD325" i="1"/>
  <c r="AK369" i="1"/>
  <c r="CR400" i="1"/>
  <c r="P396" i="1"/>
  <c r="CR392" i="1"/>
  <c r="BD390" i="1"/>
  <c r="P388" i="1"/>
  <c r="CF385" i="1"/>
  <c r="AR383" i="1"/>
  <c r="DH380" i="1"/>
  <c r="BT378" i="1"/>
  <c r="AF376" i="1"/>
  <c r="CV373" i="1"/>
  <c r="BH371" i="1"/>
  <c r="T369" i="1"/>
  <c r="AO366" i="1"/>
  <c r="DE363" i="1"/>
  <c r="BQ361" i="1"/>
  <c r="AC359" i="1"/>
  <c r="CS356" i="1"/>
  <c r="BE354" i="1"/>
  <c r="Q352" i="1"/>
  <c r="CG349" i="1"/>
  <c r="AS347" i="1"/>
  <c r="DI344" i="1"/>
  <c r="BU342" i="1"/>
  <c r="AG340" i="1"/>
  <c r="CW337" i="1"/>
  <c r="BI335" i="1"/>
  <c r="U333" i="1"/>
  <c r="CK330" i="1"/>
  <c r="AW328" i="1"/>
  <c r="I326" i="1"/>
  <c r="BY323" i="1"/>
  <c r="AK321" i="1"/>
  <c r="DA318" i="1"/>
  <c r="BM316" i="1"/>
  <c r="Y314" i="1"/>
  <c r="CO311" i="1"/>
  <c r="BA309" i="1"/>
  <c r="M307" i="1"/>
  <c r="CC304" i="1"/>
  <c r="AO302" i="1"/>
  <c r="DE299" i="1"/>
  <c r="BQ297" i="1"/>
  <c r="AC295" i="1"/>
  <c r="H366" i="1"/>
  <c r="BX363" i="1"/>
  <c r="AJ361" i="1"/>
  <c r="CZ358" i="1"/>
  <c r="BL356" i="1"/>
  <c r="X354" i="1"/>
  <c r="CN351" i="1"/>
  <c r="AZ349" i="1"/>
  <c r="L347" i="1"/>
  <c r="CB344" i="1"/>
  <c r="AN342" i="1"/>
  <c r="DD339" i="1"/>
  <c r="BP337" i="1"/>
  <c r="AB335" i="1"/>
  <c r="CR332" i="1"/>
  <c r="BD330" i="1"/>
  <c r="P328" i="1"/>
  <c r="CF325" i="1"/>
  <c r="AR323" i="1"/>
  <c r="DH320" i="1"/>
  <c r="BT318" i="1"/>
  <c r="AF316" i="1"/>
  <c r="CV313" i="1"/>
  <c r="BH311" i="1"/>
  <c r="T309" i="1"/>
  <c r="BK364" i="1"/>
  <c r="W362" i="1"/>
  <c r="CM359" i="1"/>
  <c r="AY357" i="1"/>
  <c r="K355" i="1"/>
  <c r="CA352" i="1"/>
  <c r="AM350" i="1"/>
  <c r="DC347" i="1"/>
  <c r="BO345" i="1"/>
  <c r="AA343" i="1"/>
  <c r="CQ340" i="1"/>
  <c r="BC338" i="1"/>
  <c r="O336" i="1"/>
  <c r="CE333" i="1"/>
  <c r="AQ331" i="1"/>
  <c r="DG328" i="1"/>
  <c r="BS326" i="1"/>
  <c r="AE324" i="1"/>
  <c r="CU321" i="1"/>
  <c r="BG319" i="1"/>
  <c r="S317" i="1"/>
  <c r="CI314" i="1"/>
  <c r="AU312" i="1"/>
  <c r="G310" i="1"/>
  <c r="BW307" i="1"/>
  <c r="AI305" i="1"/>
  <c r="CY302" i="1"/>
  <c r="BK300" i="1"/>
  <c r="W298" i="1"/>
  <c r="CM295" i="1"/>
  <c r="AY293" i="1"/>
  <c r="AJ367" i="1"/>
  <c r="BF364" i="1"/>
  <c r="R362" i="1"/>
  <c r="CH359" i="1"/>
  <c r="AT357" i="1"/>
  <c r="F355" i="1"/>
  <c r="BV352" i="1"/>
  <c r="AH350" i="1"/>
  <c r="CX347" i="1"/>
  <c r="BJ345" i="1"/>
  <c r="V343" i="1"/>
  <c r="CL340" i="1"/>
  <c r="AX338" i="1"/>
  <c r="J336" i="1"/>
  <c r="BZ333" i="1"/>
  <c r="AL331" i="1"/>
  <c r="DB328" i="1"/>
  <c r="BN326" i="1"/>
  <c r="Z324" i="1"/>
  <c r="CP321" i="1"/>
  <c r="BB319" i="1"/>
  <c r="N317" i="1"/>
  <c r="AH314" i="1"/>
  <c r="R311" i="1"/>
  <c r="CD308" i="1"/>
  <c r="AP306" i="1"/>
  <c r="DF303" i="1"/>
  <c r="BR301" i="1"/>
  <c r="AD299" i="1"/>
  <c r="CT296" i="1"/>
  <c r="CJ303" i="1"/>
  <c r="L295" i="1"/>
  <c r="BB291" i="1"/>
  <c r="DH288" i="1"/>
  <c r="BT286" i="1"/>
  <c r="AF284" i="1"/>
  <c r="CV281" i="1"/>
  <c r="BH279" i="1"/>
  <c r="T277" i="1"/>
  <c r="CJ274" i="1"/>
  <c r="AV272" i="1"/>
  <c r="H270" i="1"/>
  <c r="BX267" i="1"/>
  <c r="AJ265" i="1"/>
  <c r="CZ262" i="1"/>
  <c r="BL260" i="1"/>
  <c r="X258" i="1"/>
  <c r="CN255" i="1"/>
  <c r="AZ253" i="1"/>
  <c r="L251" i="1"/>
  <c r="CB248" i="1"/>
  <c r="AN246" i="1"/>
  <c r="DD243" i="1"/>
  <c r="BP241" i="1"/>
  <c r="AB239" i="1"/>
  <c r="CR236" i="1"/>
  <c r="BD234" i="1"/>
  <c r="P232" i="1"/>
  <c r="CF229" i="1"/>
  <c r="AR227" i="1"/>
  <c r="DH224" i="1"/>
  <c r="BT222" i="1"/>
  <c r="BP303" i="1"/>
  <c r="DF294" i="1"/>
  <c r="AV291" i="1"/>
  <c r="DC288" i="1"/>
  <c r="BO286" i="1"/>
  <c r="AA284" i="1"/>
  <c r="CQ281" i="1"/>
  <c r="BC279" i="1"/>
  <c r="O277" i="1"/>
  <c r="CE274" i="1"/>
  <c r="AQ272" i="1"/>
  <c r="DG269" i="1"/>
  <c r="BS267" i="1"/>
  <c r="AE265" i="1"/>
  <c r="CU262" i="1"/>
  <c r="BG260" i="1"/>
  <c r="S258" i="1"/>
  <c r="CI255" i="1"/>
  <c r="AU253" i="1"/>
  <c r="G251" i="1"/>
  <c r="BW248" i="1"/>
  <c r="AI246" i="1"/>
  <c r="CY243" i="1"/>
  <c r="BK241" i="1"/>
  <c r="W239" i="1"/>
  <c r="CM236" i="1"/>
  <c r="AY234" i="1"/>
  <c r="K232" i="1"/>
  <c r="CA229" i="1"/>
  <c r="BD305" i="1"/>
  <c r="DH295" i="1"/>
  <c r="H292" i="1"/>
  <c r="AX289" i="1"/>
  <c r="J287" i="1"/>
  <c r="BZ284" i="1"/>
  <c r="AL282" i="1"/>
  <c r="DB279" i="1"/>
  <c r="BN277" i="1"/>
  <c r="Z275" i="1"/>
  <c r="CP272" i="1"/>
  <c r="BB270" i="1"/>
  <c r="N268" i="1"/>
  <c r="CD265" i="1"/>
  <c r="AP263" i="1"/>
  <c r="DF260" i="1"/>
  <c r="BR258" i="1"/>
  <c r="AD256" i="1"/>
  <c r="CT253" i="1"/>
  <c r="BF251" i="1"/>
  <c r="R249" i="1"/>
  <c r="CH246" i="1"/>
  <c r="AT244" i="1"/>
  <c r="F242" i="1"/>
  <c r="BV239" i="1"/>
  <c r="AH237" i="1"/>
  <c r="CX234" i="1"/>
  <c r="BJ232" i="1"/>
  <c r="V230" i="1"/>
  <c r="CL227" i="1"/>
  <c r="AX225" i="1"/>
  <c r="J223" i="1"/>
  <c r="BZ220" i="1"/>
  <c r="AL218" i="1"/>
  <c r="DB215" i="1"/>
  <c r="AB307" i="1"/>
  <c r="CF297" i="1"/>
  <c r="BR292" i="1"/>
  <c r="CS289" i="1"/>
  <c r="BE287" i="1"/>
  <c r="Q285" i="1"/>
  <c r="CG282" i="1"/>
  <c r="AS280" i="1"/>
  <c r="DI277" i="1"/>
  <c r="BU275" i="1"/>
  <c r="AG273" i="1"/>
  <c r="CW270" i="1"/>
  <c r="BI268" i="1"/>
  <c r="U266" i="1"/>
  <c r="CK263" i="1"/>
  <c r="AW261" i="1"/>
  <c r="I259" i="1"/>
  <c r="BY256" i="1"/>
  <c r="AK254" i="1"/>
  <c r="DA251" i="1"/>
  <c r="BM249" i="1"/>
  <c r="Y247" i="1"/>
  <c r="AS239" i="1"/>
  <c r="CL316" i="1"/>
  <c r="BV313" i="1"/>
  <c r="BR310" i="1"/>
  <c r="AD308" i="1"/>
  <c r="CT305" i="1"/>
  <c r="BF303" i="1"/>
  <c r="R301" i="1"/>
  <c r="CH298" i="1"/>
  <c r="AT296" i="1"/>
  <c r="CR301" i="1"/>
  <c r="P294" i="1"/>
  <c r="CV290" i="1"/>
  <c r="BH288" i="1"/>
  <c r="T286" i="1"/>
  <c r="CJ283" i="1"/>
  <c r="AV281" i="1"/>
  <c r="H279" i="1"/>
  <c r="BX276" i="1"/>
  <c r="AJ274" i="1"/>
  <c r="CZ271" i="1"/>
  <c r="BL269" i="1"/>
  <c r="X267" i="1"/>
  <c r="CN264" i="1"/>
  <c r="AZ262" i="1"/>
  <c r="L260" i="1"/>
  <c r="CB257" i="1"/>
  <c r="AN255" i="1"/>
  <c r="DD252" i="1"/>
  <c r="BP250" i="1"/>
  <c r="AB248" i="1"/>
  <c r="CR245" i="1"/>
  <c r="BD243" i="1"/>
  <c r="P241" i="1"/>
  <c r="CF238" i="1"/>
  <c r="AR236" i="1"/>
  <c r="DH233" i="1"/>
  <c r="BT231" i="1"/>
  <c r="AF229" i="1"/>
  <c r="CV226" i="1"/>
  <c r="BH224" i="1"/>
  <c r="T222" i="1"/>
  <c r="BX301" i="1"/>
  <c r="F294" i="1"/>
  <c r="CQ290" i="1"/>
  <c r="BC288" i="1"/>
  <c r="O286" i="1"/>
  <c r="CE283" i="1"/>
  <c r="AQ281" i="1"/>
  <c r="DG278" i="1"/>
  <c r="BS276" i="1"/>
  <c r="AE274" i="1"/>
  <c r="CU271" i="1"/>
  <c r="BG269" i="1"/>
  <c r="S267" i="1"/>
  <c r="CI264" i="1"/>
  <c r="AU262" i="1"/>
  <c r="G260" i="1"/>
  <c r="BW257" i="1"/>
  <c r="AI255" i="1"/>
  <c r="CY252" i="1"/>
  <c r="BK250" i="1"/>
  <c r="W248" i="1"/>
  <c r="CM245" i="1"/>
  <c r="AY243" i="1"/>
  <c r="K241" i="1"/>
  <c r="CA238" i="1"/>
  <c r="AM236" i="1"/>
  <c r="DC233" i="1"/>
  <c r="BO231" i="1"/>
  <c r="AA229" i="1"/>
  <c r="BL303" i="1"/>
  <c r="DD294" i="1"/>
  <c r="AT291" i="1"/>
  <c r="DB288" i="1"/>
  <c r="BN286" i="1"/>
  <c r="Z284" i="1"/>
  <c r="CP281" i="1"/>
  <c r="BB279" i="1"/>
  <c r="N277" i="1"/>
  <c r="CD274" i="1"/>
  <c r="AP272" i="1"/>
  <c r="DF269" i="1"/>
  <c r="BR267" i="1"/>
  <c r="AD265" i="1"/>
  <c r="CT262" i="1"/>
  <c r="BF260" i="1"/>
  <c r="R258" i="1"/>
  <c r="CH255" i="1"/>
  <c r="AT253" i="1"/>
  <c r="F251" i="1"/>
  <c r="BV248" i="1"/>
  <c r="AH246" i="1"/>
  <c r="CX243" i="1"/>
  <c r="BJ241" i="1"/>
  <c r="V239" i="1"/>
  <c r="CL236" i="1"/>
  <c r="AX234" i="1"/>
  <c r="J232" i="1"/>
  <c r="BZ229" i="1"/>
  <c r="AL227" i="1"/>
  <c r="DB224" i="1"/>
  <c r="BN222" i="1"/>
  <c r="Z220" i="1"/>
  <c r="CP217" i="1"/>
  <c r="BB215" i="1"/>
  <c r="AJ305" i="1"/>
  <c r="CP295" i="1"/>
  <c r="DE291" i="1"/>
  <c r="AS289" i="1"/>
  <c r="DI286" i="1"/>
  <c r="BU284" i="1"/>
  <c r="AG282" i="1"/>
  <c r="CW279" i="1"/>
  <c r="BI277" i="1"/>
  <c r="U275" i="1"/>
  <c r="CK272" i="1"/>
  <c r="AW270" i="1"/>
  <c r="AP316" i="1"/>
  <c r="Z313" i="1"/>
  <c r="AH310" i="1"/>
  <c r="CX307" i="1"/>
  <c r="BJ305" i="1"/>
  <c r="V303" i="1"/>
  <c r="CL300" i="1"/>
  <c r="AX298" i="1"/>
  <c r="J296" i="1"/>
  <c r="BH300" i="1"/>
  <c r="BJ293" i="1"/>
  <c r="BL290" i="1"/>
  <c r="X288" i="1"/>
  <c r="CN285" i="1"/>
  <c r="AZ283" i="1"/>
  <c r="L281" i="1"/>
  <c r="CB278" i="1"/>
  <c r="AN276" i="1"/>
  <c r="DD273" i="1"/>
  <c r="BP271" i="1"/>
  <c r="AB269" i="1"/>
  <c r="CR266" i="1"/>
  <c r="BD264" i="1"/>
  <c r="P262" i="1"/>
  <c r="CF259" i="1"/>
  <c r="AR257" i="1"/>
  <c r="DH254" i="1"/>
  <c r="BT252" i="1"/>
  <c r="AF250" i="1"/>
  <c r="CV247" i="1"/>
  <c r="BH245" i="1"/>
  <c r="T243" i="1"/>
  <c r="CJ240" i="1"/>
  <c r="AV238" i="1"/>
  <c r="H236" i="1"/>
  <c r="BX233" i="1"/>
  <c r="AJ231" i="1"/>
  <c r="CZ228" i="1"/>
  <c r="BL226" i="1"/>
  <c r="X224" i="1"/>
  <c r="CN221" i="1"/>
  <c r="AN300" i="1"/>
  <c r="BD293" i="1"/>
  <c r="BG290" i="1"/>
  <c r="S288" i="1"/>
  <c r="CI285" i="1"/>
  <c r="AU283" i="1"/>
  <c r="G281" i="1"/>
  <c r="BW278" i="1"/>
  <c r="AI276" i="1"/>
  <c r="CY273" i="1"/>
  <c r="BK271" i="1"/>
  <c r="W269" i="1"/>
  <c r="CM266" i="1"/>
  <c r="AY264" i="1"/>
  <c r="K262" i="1"/>
  <c r="CA259" i="1"/>
  <c r="AM257" i="1"/>
  <c r="DC254" i="1"/>
  <c r="BO252" i="1"/>
  <c r="AA250" i="1"/>
  <c r="CQ247" i="1"/>
  <c r="BC245" i="1"/>
  <c r="O243" i="1"/>
  <c r="CE240" i="1"/>
  <c r="AQ238" i="1"/>
  <c r="DG235" i="1"/>
  <c r="BS233" i="1"/>
  <c r="AE231" i="1"/>
  <c r="CU228" i="1"/>
  <c r="AB302" i="1"/>
  <c r="AJ294" i="1"/>
  <c r="DF290" i="1"/>
  <c r="BR288" i="1"/>
  <c r="AD286" i="1"/>
  <c r="CT283" i="1"/>
  <c r="BF281" i="1"/>
  <c r="R279" i="1"/>
  <c r="CH276" i="1"/>
  <c r="AT274" i="1"/>
  <c r="F272" i="1"/>
  <c r="BV269" i="1"/>
  <c r="AH267" i="1"/>
  <c r="CX264" i="1"/>
  <c r="BJ262" i="1"/>
  <c r="V260" i="1"/>
  <c r="CL257" i="1"/>
  <c r="AX255" i="1"/>
  <c r="J253" i="1"/>
  <c r="BZ250" i="1"/>
  <c r="AL248" i="1"/>
  <c r="DB245" i="1"/>
  <c r="BN243" i="1"/>
  <c r="Z241" i="1"/>
  <c r="CP238" i="1"/>
  <c r="BB236" i="1"/>
  <c r="N234" i="1"/>
  <c r="CD231" i="1"/>
  <c r="AP229" i="1"/>
  <c r="DF226" i="1"/>
  <c r="BR224" i="1"/>
  <c r="AD222" i="1"/>
  <c r="CT219" i="1"/>
  <c r="BF217" i="1"/>
  <c r="R215" i="1"/>
  <c r="DD303" i="1"/>
  <c r="V295" i="1"/>
  <c r="BI291" i="1"/>
  <c r="I289" i="1"/>
  <c r="BY286" i="1"/>
  <c r="AK284" i="1"/>
  <c r="DA281" i="1"/>
  <c r="BM279" i="1"/>
  <c r="Y277" i="1"/>
  <c r="CO274" i="1"/>
  <c r="BA272" i="1"/>
  <c r="M270" i="1"/>
  <c r="CC267" i="1"/>
  <c r="AO265" i="1"/>
  <c r="BD506" i="1"/>
  <c r="CU412" i="1"/>
  <c r="BD433" i="1"/>
  <c r="BP429" i="1"/>
  <c r="AK433" i="1"/>
  <c r="BK394" i="1"/>
  <c r="BJ395" i="1"/>
  <c r="AK396" i="1"/>
  <c r="CS429" i="1"/>
  <c r="S392" i="1"/>
  <c r="R393" i="1"/>
  <c r="CW393" i="1"/>
  <c r="BY429" i="1"/>
  <c r="DC391" i="1"/>
  <c r="DB392" i="1"/>
  <c r="CC393" i="1"/>
  <c r="AC372" i="1"/>
  <c r="J410" i="1"/>
  <c r="AO429" i="1"/>
  <c r="CS419" i="1"/>
  <c r="AS410" i="1"/>
  <c r="O401" i="1"/>
  <c r="BS391" i="1"/>
  <c r="S382" i="1"/>
  <c r="BW372" i="1"/>
  <c r="N402" i="1"/>
  <c r="BR392" i="1"/>
  <c r="R383" i="1"/>
  <c r="BV373" i="1"/>
  <c r="CS402" i="1"/>
  <c r="AS393" i="1"/>
  <c r="CW383" i="1"/>
  <c r="T398" i="1"/>
  <c r="CK359" i="1"/>
  <c r="CS321" i="1"/>
  <c r="P357" i="1"/>
  <c r="X319" i="1"/>
  <c r="G339" i="1"/>
  <c r="O301" i="1"/>
  <c r="DF338" i="1"/>
  <c r="BP391" i="1"/>
  <c r="AC353" i="1"/>
  <c r="AK315" i="1"/>
  <c r="BL350" i="1"/>
  <c r="BT312" i="1"/>
  <c r="BC332" i="1"/>
  <c r="BK294" i="1"/>
  <c r="AX332" i="1"/>
  <c r="AV391" i="1"/>
  <c r="I353" i="1"/>
  <c r="Q315" i="1"/>
  <c r="AR350" i="1"/>
  <c r="AZ312" i="1"/>
  <c r="AI332" i="1"/>
  <c r="AQ294" i="1"/>
  <c r="AD332" i="1"/>
  <c r="BD394" i="1"/>
  <c r="DH384" i="1"/>
  <c r="BH375" i="1"/>
  <c r="BQ365" i="1"/>
  <c r="Q356" i="1"/>
  <c r="BU346" i="1"/>
  <c r="U337" i="1"/>
  <c r="BY327" i="1"/>
  <c r="Y318" i="1"/>
  <c r="CC308" i="1"/>
  <c r="AC299" i="1"/>
  <c r="CZ362" i="1"/>
  <c r="AZ353" i="1"/>
  <c r="DD343" i="1"/>
  <c r="BD334" i="1"/>
  <c r="DH324" i="1"/>
  <c r="BH315" i="1"/>
  <c r="CM363" i="1"/>
  <c r="AM354" i="1"/>
  <c r="CQ344" i="1"/>
  <c r="AQ335" i="1"/>
  <c r="CU325" i="1"/>
  <c r="AU316" i="1"/>
  <c r="CY306" i="1"/>
  <c r="AY297" i="1"/>
  <c r="CH363" i="1"/>
  <c r="AH354" i="1"/>
  <c r="CL344" i="1"/>
  <c r="AL335" i="1"/>
  <c r="CP325" i="1"/>
  <c r="BB316" i="1"/>
  <c r="BR305" i="1"/>
  <c r="R296" i="1"/>
  <c r="AF288" i="1"/>
  <c r="CJ278" i="1"/>
  <c r="AJ269" i="1"/>
  <c r="CN259" i="1"/>
  <c r="AN250" i="1"/>
  <c r="CR240" i="1"/>
  <c r="AR231" i="1"/>
  <c r="CV221" i="1"/>
  <c r="AA288" i="1"/>
  <c r="CE278" i="1"/>
  <c r="AE269" i="1"/>
  <c r="CI259" i="1"/>
  <c r="AI250" i="1"/>
  <c r="CM240" i="1"/>
  <c r="AS367" i="1"/>
  <c r="AO367" i="1"/>
  <c r="DE328" i="1"/>
  <c r="AB364" i="1"/>
  <c r="AJ326" i="1"/>
  <c r="S346" i="1"/>
  <c r="AA308" i="1"/>
  <c r="N346" i="1"/>
  <c r="CB398" i="1"/>
  <c r="AO360" i="1"/>
  <c r="AW322" i="1"/>
  <c r="BX357" i="1"/>
  <c r="CF319" i="1"/>
  <c r="BO339" i="1"/>
  <c r="BW301" i="1"/>
  <c r="BJ339" i="1"/>
  <c r="BH398" i="1"/>
  <c r="U360" i="1"/>
  <c r="AC322" i="1"/>
  <c r="BD357" i="1"/>
  <c r="BL319" i="1"/>
  <c r="AU339" i="1"/>
  <c r="BC301" i="1"/>
  <c r="AP339" i="1"/>
  <c r="H398" i="1"/>
  <c r="CJ386" i="1"/>
  <c r="AJ377" i="1"/>
  <c r="CN367" i="1"/>
  <c r="CW357" i="1"/>
  <c r="AW348" i="1"/>
  <c r="DA338" i="1"/>
  <c r="BA329" i="1"/>
  <c r="DE319" i="1"/>
  <c r="BE310" i="1"/>
  <c r="DI300" i="1"/>
  <c r="CB364" i="1"/>
  <c r="AB355" i="1"/>
  <c r="CF345" i="1"/>
  <c r="AF336" i="1"/>
  <c r="CJ326" i="1"/>
  <c r="AJ317" i="1"/>
  <c r="BO365" i="1"/>
  <c r="O356" i="1"/>
  <c r="BS346" i="1"/>
  <c r="S337" i="1"/>
  <c r="BW327" i="1"/>
  <c r="W318" i="1"/>
  <c r="CA308" i="1"/>
  <c r="AA299" i="1"/>
  <c r="BJ365" i="1"/>
  <c r="J356" i="1"/>
  <c r="BN346" i="1"/>
  <c r="N337" i="1"/>
  <c r="BR327" i="1"/>
  <c r="R318" i="1"/>
  <c r="AT307" i="1"/>
  <c r="CX297" i="1"/>
  <c r="H290" i="1"/>
  <c r="BL280" i="1"/>
  <c r="L271" i="1"/>
  <c r="BP261" i="1"/>
  <c r="P252" i="1"/>
  <c r="BT242" i="1"/>
  <c r="T233" i="1"/>
  <c r="BX223" i="1"/>
  <c r="DG289" i="1"/>
  <c r="AV393" i="1"/>
  <c r="I355" i="1"/>
  <c r="Q317" i="1"/>
  <c r="AR352" i="1"/>
  <c r="AZ314" i="1"/>
  <c r="AI334" i="1"/>
  <c r="AQ296" i="1"/>
  <c r="AD334" i="1"/>
  <c r="CR386" i="1"/>
  <c r="BE348" i="1"/>
  <c r="BM310" i="1"/>
  <c r="CN345" i="1"/>
  <c r="BW365" i="1"/>
  <c r="CE327" i="1"/>
  <c r="BR365" i="1"/>
  <c r="BZ327" i="1"/>
  <c r="BX386" i="1"/>
  <c r="AK348" i="1"/>
  <c r="AS310" i="1"/>
  <c r="BT345" i="1"/>
  <c r="BC365" i="1"/>
  <c r="BK327" i="1"/>
  <c r="AX365" i="1"/>
  <c r="BF327" i="1"/>
  <c r="AJ393" i="1"/>
  <c r="CN383" i="1"/>
  <c r="AN374" i="1"/>
  <c r="AW364" i="1"/>
  <c r="DA354" i="1"/>
  <c r="BA345" i="1"/>
  <c r="DE335" i="1"/>
  <c r="BE326" i="1"/>
  <c r="DI316" i="1"/>
  <c r="BI307" i="1"/>
  <c r="I298" i="1"/>
  <c r="CF361" i="1"/>
  <c r="AF352" i="1"/>
  <c r="CJ342" i="1"/>
  <c r="AJ333" i="1"/>
  <c r="CN323" i="1"/>
  <c r="AN314" i="1"/>
  <c r="BS362" i="1"/>
  <c r="S353" i="1"/>
  <c r="BW343" i="1"/>
  <c r="W334" i="1"/>
  <c r="CA324" i="1"/>
  <c r="AA315" i="1"/>
  <c r="CE305" i="1"/>
  <c r="AE296" i="1"/>
  <c r="BN362" i="1"/>
  <c r="N353" i="1"/>
  <c r="BR343" i="1"/>
  <c r="R334" i="1"/>
  <c r="BV324" i="1"/>
  <c r="CT314" i="1"/>
  <c r="AX304" i="1"/>
  <c r="BL305" i="1"/>
  <c r="L287" i="1"/>
  <c r="BP277" i="1"/>
  <c r="P268" i="1"/>
  <c r="BT258" i="1"/>
  <c r="T249" i="1"/>
  <c r="BX239" i="1"/>
  <c r="X230" i="1"/>
  <c r="AR305" i="1"/>
  <c r="G287" i="1"/>
  <c r="BH400" i="1"/>
  <c r="U362" i="1"/>
  <c r="AC324" i="1"/>
  <c r="BD359" i="1"/>
  <c r="BL321" i="1"/>
  <c r="AU341" i="1"/>
  <c r="BC303" i="1"/>
  <c r="AP341" i="1"/>
  <c r="DD393" i="1"/>
  <c r="BQ355" i="1"/>
  <c r="BY317" i="1"/>
  <c r="CZ352" i="1"/>
  <c r="DH314" i="1"/>
  <c r="CQ334" i="1"/>
  <c r="CY296" i="1"/>
  <c r="CL334" i="1"/>
  <c r="CJ393" i="1"/>
  <c r="AW355" i="1"/>
  <c r="BE317" i="1"/>
  <c r="CF352" i="1"/>
  <c r="CN314" i="1"/>
  <c r="BW334" i="1"/>
  <c r="CE296" i="1"/>
  <c r="BR334" i="1"/>
  <c r="BX395" i="1"/>
  <c r="BP385" i="1"/>
  <c r="P376" i="1"/>
  <c r="Y366" i="1"/>
  <c r="CC356" i="1"/>
  <c r="AC347" i="1"/>
  <c r="CG337" i="1"/>
  <c r="AG328" i="1"/>
  <c r="CK318" i="1"/>
  <c r="AK309" i="1"/>
  <c r="CO299" i="1"/>
  <c r="BH363" i="1"/>
  <c r="H354" i="1"/>
  <c r="BL344" i="1"/>
  <c r="L335" i="1"/>
  <c r="BP325" i="1"/>
  <c r="P316" i="1"/>
  <c r="AU364" i="1"/>
  <c r="CY354" i="1"/>
  <c r="AY345" i="1"/>
  <c r="DC335" i="1"/>
  <c r="BC326" i="1"/>
  <c r="DG316" i="1"/>
  <c r="BG307" i="1"/>
  <c r="G298" i="1"/>
  <c r="AP364" i="1"/>
  <c r="CT354" i="1"/>
  <c r="AT345" i="1"/>
  <c r="CX335" i="1"/>
  <c r="AX326" i="1"/>
  <c r="AP317" i="1"/>
  <c r="Z306" i="1"/>
  <c r="CD296" i="1"/>
  <c r="CR288" i="1"/>
  <c r="AR279" i="1"/>
  <c r="CV269" i="1"/>
  <c r="AV260" i="1"/>
  <c r="CZ250" i="1"/>
  <c r="AZ241" i="1"/>
  <c r="DD231" i="1"/>
  <c r="AE285" i="1"/>
  <c r="G271" i="1"/>
  <c r="BO258" i="1"/>
  <c r="S246" i="1"/>
  <c r="CA233" i="1"/>
  <c r="AZ294" i="1"/>
  <c r="DB283" i="1"/>
  <c r="BB274" i="1"/>
  <c r="DF264" i="1"/>
  <c r="BF255" i="1"/>
  <c r="F246" i="1"/>
  <c r="BJ236" i="1"/>
  <c r="J227" i="1"/>
  <c r="BN217" i="1"/>
  <c r="BT291" i="1"/>
  <c r="DI281" i="1"/>
  <c r="BI272" i="1"/>
  <c r="I263" i="1"/>
  <c r="BM253" i="1"/>
  <c r="AW236" i="1"/>
  <c r="BF307" i="1"/>
  <c r="F298" i="1"/>
  <c r="T290" i="1"/>
  <c r="BX280" i="1"/>
  <c r="X271" i="1"/>
  <c r="CB261" i="1"/>
  <c r="AB252" i="1"/>
  <c r="CF242" i="1"/>
  <c r="AF233" i="1"/>
  <c r="CJ223" i="1"/>
  <c r="O290" i="1"/>
  <c r="BS280" i="1"/>
  <c r="S271" i="1"/>
  <c r="BW261" i="1"/>
  <c r="W252" i="1"/>
  <c r="CA242" i="1"/>
  <c r="AA233" i="1"/>
  <c r="BM293" i="1"/>
  <c r="BB283" i="1"/>
  <c r="DF273" i="1"/>
  <c r="BF264" i="1"/>
  <c r="F255" i="1"/>
  <c r="BJ245" i="1"/>
  <c r="J236" i="1"/>
  <c r="BN226" i="1"/>
  <c r="N217" i="1"/>
  <c r="DI290" i="1"/>
  <c r="BI281" i="1"/>
  <c r="I272" i="1"/>
  <c r="BJ309" i="1"/>
  <c r="J300" i="1"/>
  <c r="BL292" i="1"/>
  <c r="CB282" i="1"/>
  <c r="AB273" i="1"/>
  <c r="CF263" i="1"/>
  <c r="AF254" i="1"/>
  <c r="CJ244" i="1"/>
  <c r="AJ235" i="1"/>
  <c r="CN225" i="1"/>
  <c r="BE292" i="1"/>
  <c r="BW282" i="1"/>
  <c r="W273" i="1"/>
  <c r="CA263" i="1"/>
  <c r="AA254" i="1"/>
  <c r="CE244" i="1"/>
  <c r="AE235" i="1"/>
  <c r="AF299" i="1"/>
  <c r="BF285" i="1"/>
  <c r="F276" i="1"/>
  <c r="BJ266" i="1"/>
  <c r="J257" i="1"/>
  <c r="BN247" i="1"/>
  <c r="N238" i="1"/>
  <c r="BR228" i="1"/>
  <c r="R219" i="1"/>
  <c r="CB293" i="1"/>
  <c r="BM283" i="1"/>
  <c r="M274" i="1"/>
  <c r="BA268" i="1"/>
  <c r="Y265" i="1"/>
  <c r="BI262" i="1"/>
  <c r="U260" i="1"/>
  <c r="CK257" i="1"/>
  <c r="AW255" i="1"/>
  <c r="I253" i="1"/>
  <c r="BY250" i="1"/>
  <c r="AK248" i="1"/>
  <c r="CO243" i="1"/>
  <c r="AO234" i="1"/>
  <c r="BF315" i="1"/>
  <c r="AP312" i="1"/>
  <c r="BV309" i="1"/>
  <c r="AH307" i="1"/>
  <c r="CX304" i="1"/>
  <c r="BJ302" i="1"/>
  <c r="V300" i="1"/>
  <c r="CL297" i="1"/>
  <c r="BD307" i="1"/>
  <c r="DH297" i="1"/>
  <c r="CB292" i="1"/>
  <c r="CZ289" i="1"/>
  <c r="BL287" i="1"/>
  <c r="X285" i="1"/>
  <c r="CN282" i="1"/>
  <c r="AZ280" i="1"/>
  <c r="L278" i="1"/>
  <c r="CB275" i="1"/>
  <c r="AN273" i="1"/>
  <c r="DD270" i="1"/>
  <c r="BP268" i="1"/>
  <c r="AB266" i="1"/>
  <c r="CR263" i="1"/>
  <c r="BD261" i="1"/>
  <c r="P259" i="1"/>
  <c r="CF256" i="1"/>
  <c r="AR254" i="1"/>
  <c r="DH251" i="1"/>
  <c r="BT249" i="1"/>
  <c r="AF247" i="1"/>
  <c r="CV244" i="1"/>
  <c r="BH242" i="1"/>
  <c r="T240" i="1"/>
  <c r="CJ237" i="1"/>
  <c r="AV235" i="1"/>
  <c r="H233" i="1"/>
  <c r="BX230" i="1"/>
  <c r="AJ228" i="1"/>
  <c r="CZ225" i="1"/>
  <c r="BL223" i="1"/>
  <c r="AJ307" i="1"/>
  <c r="CN297" i="1"/>
  <c r="BU292" i="1"/>
  <c r="CU289" i="1"/>
  <c r="BG287" i="1"/>
  <c r="S285" i="1"/>
  <c r="CI282" i="1"/>
  <c r="AU280" i="1"/>
  <c r="Z291" i="1"/>
  <c r="AU273" i="1"/>
  <c r="DC260" i="1"/>
  <c r="BG248" i="1"/>
  <c r="BC235" i="1"/>
  <c r="T300" i="1"/>
  <c r="CD285" i="1"/>
  <c r="AD276" i="1"/>
  <c r="CH266" i="1"/>
  <c r="AH257" i="1"/>
  <c r="CL247" i="1"/>
  <c r="AL238" i="1"/>
  <c r="CP228" i="1"/>
  <c r="AP219" i="1"/>
  <c r="R294" i="1"/>
  <c r="CK283" i="1"/>
  <c r="AK274" i="1"/>
  <c r="CO264" i="1"/>
  <c r="AO255" i="1"/>
  <c r="BI243" i="1"/>
  <c r="AH309" i="1"/>
  <c r="CL299" i="1"/>
  <c r="Z292" i="1"/>
  <c r="AZ282" i="1"/>
  <c r="DD272" i="1"/>
  <c r="BD263" i="1"/>
  <c r="DH253" i="1"/>
  <c r="BH244" i="1"/>
  <c r="H235" i="1"/>
  <c r="BL225" i="1"/>
  <c r="T292" i="1"/>
  <c r="AU282" i="1"/>
  <c r="CY272" i="1"/>
  <c r="AY263" i="1"/>
  <c r="DC253" i="1"/>
  <c r="BC244" i="1"/>
  <c r="DG234" i="1"/>
  <c r="AB298" i="1"/>
  <c r="AD285" i="1"/>
  <c r="CH275" i="1"/>
  <c r="AH266" i="1"/>
  <c r="CL256" i="1"/>
  <c r="AL247" i="1"/>
  <c r="CP237" i="1"/>
  <c r="AP228" i="1"/>
  <c r="CT218" i="1"/>
  <c r="AP293" i="1"/>
  <c r="AK283" i="1"/>
  <c r="CO273" i="1"/>
  <c r="AX311" i="1"/>
  <c r="CP301" i="1"/>
  <c r="BH295" i="1"/>
  <c r="BD284" i="1"/>
  <c r="DH274" i="1"/>
  <c r="BH265" i="1"/>
  <c r="H256" i="1"/>
  <c r="BL246" i="1"/>
  <c r="L237" i="1"/>
  <c r="BP227" i="1"/>
  <c r="AX295" i="1"/>
  <c r="AY284" i="1"/>
  <c r="DC274" i="1"/>
  <c r="BC265" i="1"/>
  <c r="DG255" i="1"/>
  <c r="BG246" i="1"/>
  <c r="G237" i="1"/>
  <c r="AR306" i="1"/>
  <c r="AH287" i="1"/>
  <c r="CL277" i="1"/>
  <c r="AL268" i="1"/>
  <c r="CP258" i="1"/>
  <c r="AP249" i="1"/>
  <c r="CT239" i="1"/>
  <c r="AT230" i="1"/>
  <c r="CX220" i="1"/>
  <c r="BT298" i="1"/>
  <c r="AO285" i="1"/>
  <c r="CS275" i="1"/>
  <c r="I269" i="1"/>
  <c r="CK265" i="1"/>
  <c r="DE262" i="1"/>
  <c r="BQ260" i="1"/>
  <c r="AC258" i="1"/>
  <c r="CS255" i="1"/>
  <c r="BE253" i="1"/>
  <c r="Q251" i="1"/>
  <c r="CG248" i="1"/>
  <c r="BQ245" i="1"/>
  <c r="Q236" i="1"/>
  <c r="N316" i="1"/>
  <c r="DB312" i="1"/>
  <c r="N310" i="1"/>
  <c r="CD307" i="1"/>
  <c r="AP305" i="1"/>
  <c r="DF302" i="1"/>
  <c r="BR300" i="1"/>
  <c r="AD298" i="1"/>
  <c r="CT295" i="1"/>
  <c r="CJ299" i="1"/>
  <c r="AJ293" i="1"/>
  <c r="AR290" i="1"/>
  <c r="DH287" i="1"/>
  <c r="BT285" i="1"/>
  <c r="AF283" i="1"/>
  <c r="CV280" i="1"/>
  <c r="BH278" i="1"/>
  <c r="T276" i="1"/>
  <c r="CJ273" i="1"/>
  <c r="AV271" i="1"/>
  <c r="H269" i="1"/>
  <c r="BX266" i="1"/>
  <c r="AJ264" i="1"/>
  <c r="CZ261" i="1"/>
  <c r="BL259" i="1"/>
  <c r="X257" i="1"/>
  <c r="CN254" i="1"/>
  <c r="AZ252" i="1"/>
  <c r="L250" i="1"/>
  <c r="CB247" i="1"/>
  <c r="AN245" i="1"/>
  <c r="DD242" i="1"/>
  <c r="BP240" i="1"/>
  <c r="AB238" i="1"/>
  <c r="CR235" i="1"/>
  <c r="BD233" i="1"/>
  <c r="P231" i="1"/>
  <c r="CF228" i="1"/>
  <c r="AR226" i="1"/>
  <c r="DH223" i="1"/>
  <c r="L309" i="1"/>
  <c r="BP299" i="1"/>
  <c r="AC293" i="1"/>
  <c r="BD222" i="1"/>
  <c r="CI275" i="1"/>
  <c r="AM263" i="1"/>
  <c r="CU250" i="1"/>
  <c r="CQ237" i="1"/>
  <c r="AF307" i="1"/>
  <c r="BF287" i="1"/>
  <c r="F278" i="1"/>
  <c r="BJ268" i="1"/>
  <c r="J259" i="1"/>
  <c r="BN249" i="1"/>
  <c r="N240" i="1"/>
  <c r="BR230" i="1"/>
  <c r="R221" i="1"/>
  <c r="BH299" i="1"/>
  <c r="BM285" i="1"/>
  <c r="M276" i="1"/>
  <c r="BQ266" i="1"/>
  <c r="Q257" i="1"/>
  <c r="BU247" i="1"/>
  <c r="J311" i="1"/>
  <c r="BN301" i="1"/>
  <c r="DH294" i="1"/>
  <c r="AB284" i="1"/>
  <c r="CF274" i="1"/>
  <c r="AF265" i="1"/>
  <c r="CJ255" i="1"/>
  <c r="AJ246" i="1"/>
  <c r="CN236" i="1"/>
  <c r="AN227" i="1"/>
  <c r="CX294" i="1"/>
  <c r="W284" i="1"/>
  <c r="CA274" i="1"/>
  <c r="AA265" i="1"/>
  <c r="CE255" i="1"/>
  <c r="AE246" i="1"/>
  <c r="CI236" i="1"/>
  <c r="AN305" i="1"/>
  <c r="F287" i="1"/>
  <c r="BJ277" i="1"/>
  <c r="J268" i="1"/>
  <c r="BN258" i="1"/>
  <c r="N249" i="1"/>
  <c r="BR239" i="1"/>
  <c r="R230" i="1"/>
  <c r="BV220" i="1"/>
  <c r="BP297" i="1"/>
  <c r="M285" i="1"/>
  <c r="BQ275" i="1"/>
  <c r="CL313" i="1"/>
  <c r="BR303" i="1"/>
  <c r="AJ302" i="1"/>
  <c r="AF286" i="1"/>
  <c r="CJ276" i="1"/>
  <c r="AJ267" i="1"/>
  <c r="CN257" i="1"/>
  <c r="AN248" i="1"/>
  <c r="CR238" i="1"/>
  <c r="AR229" i="1"/>
  <c r="P302" i="1"/>
  <c r="AA286" i="1"/>
  <c r="CE276" i="1"/>
  <c r="AE267" i="1"/>
  <c r="CI257" i="1"/>
  <c r="AI248" i="1"/>
  <c r="CM238" i="1"/>
  <c r="AM229" i="1"/>
  <c r="J289" i="1"/>
  <c r="BN279" i="1"/>
  <c r="N270" i="1"/>
  <c r="BR260" i="1"/>
  <c r="R251" i="1"/>
  <c r="BV241" i="1"/>
  <c r="V232" i="1"/>
  <c r="BZ222" i="1"/>
  <c r="CF305" i="1"/>
  <c r="Q287" i="1"/>
  <c r="BU277" i="1"/>
  <c r="CK269" i="1"/>
  <c r="AS266" i="1"/>
  <c r="AW263" i="1"/>
  <c r="I261" i="1"/>
  <c r="BY258" i="1"/>
  <c r="AK256" i="1"/>
  <c r="DA253" i="1"/>
  <c r="BM251" i="1"/>
  <c r="Y249" i="1"/>
  <c r="CO246" i="1"/>
  <c r="CW237" i="1"/>
  <c r="BZ316" i="1"/>
  <c r="BJ313" i="1"/>
  <c r="BJ310" i="1"/>
  <c r="V308" i="1"/>
  <c r="CL305" i="1"/>
  <c r="AX303" i="1"/>
  <c r="J301" i="1"/>
  <c r="BZ298" i="1"/>
  <c r="AL296" i="1"/>
  <c r="BL301" i="1"/>
  <c r="DD293" i="1"/>
  <c r="CN290" i="1"/>
  <c r="AZ288" i="1"/>
  <c r="L286" i="1"/>
  <c r="CB283" i="1"/>
  <c r="AN281" i="1"/>
  <c r="DD278" i="1"/>
  <c r="BP276" i="1"/>
  <c r="AB274" i="1"/>
  <c r="CR271" i="1"/>
  <c r="BD269" i="1"/>
  <c r="P267" i="1"/>
  <c r="CF264" i="1"/>
  <c r="AR262" i="1"/>
  <c r="DH259" i="1"/>
  <c r="BT257" i="1"/>
  <c r="AF255" i="1"/>
  <c r="CV252" i="1"/>
  <c r="BH250" i="1"/>
  <c r="T248" i="1"/>
  <c r="CJ245" i="1"/>
  <c r="AV243" i="1"/>
  <c r="H241" i="1"/>
  <c r="BX238" i="1"/>
  <c r="AJ236" i="1"/>
  <c r="CZ233" i="1"/>
  <c r="BL231" i="1"/>
  <c r="X229" i="1"/>
  <c r="CN226" i="1"/>
  <c r="AZ224" i="1"/>
  <c r="L222" i="1"/>
  <c r="S278" i="1"/>
  <c r="CA265" i="1"/>
  <c r="AE253" i="1"/>
  <c r="AA240" i="1"/>
  <c r="BK229" i="1"/>
  <c r="AH289" i="1"/>
  <c r="CL279" i="1"/>
  <c r="AL270" i="1"/>
  <c r="CP260" i="1"/>
  <c r="AP251" i="1"/>
  <c r="CT241" i="1"/>
  <c r="AT232" i="1"/>
  <c r="CX222" i="1"/>
  <c r="BT306" i="1"/>
  <c r="AO287" i="1"/>
  <c r="CS277" i="1"/>
  <c r="AS268" i="1"/>
  <c r="CW258" i="1"/>
  <c r="AW249" i="1"/>
  <c r="AX313" i="1"/>
  <c r="AP303" i="1"/>
  <c r="AF301" i="1"/>
  <c r="DH285" i="1"/>
  <c r="BH276" i="1"/>
  <c r="H267" i="1"/>
  <c r="BL257" i="1"/>
  <c r="L248" i="1"/>
  <c r="BP238" i="1"/>
  <c r="P229" i="1"/>
  <c r="L301" i="1"/>
  <c r="DC285" i="1"/>
  <c r="BC276" i="1"/>
  <c r="DG266" i="1"/>
  <c r="BG257" i="1"/>
  <c r="G248" i="1"/>
  <c r="BK238" i="1"/>
  <c r="K229" i="1"/>
  <c r="CL288" i="1"/>
  <c r="AL279" i="1"/>
  <c r="CP269" i="1"/>
  <c r="AP260" i="1"/>
  <c r="CT250" i="1"/>
  <c r="AT241" i="1"/>
  <c r="CX231" i="1"/>
  <c r="AX222" i="1"/>
  <c r="CB304" i="1"/>
  <c r="CS286" i="1"/>
  <c r="AS277" i="1"/>
  <c r="V316" i="1"/>
  <c r="AT305" i="1"/>
  <c r="CX295" i="1"/>
  <c r="H288" i="1"/>
  <c r="BL278" i="1"/>
  <c r="L269" i="1"/>
  <c r="BP259" i="1"/>
  <c r="P250" i="1"/>
  <c r="BT240" i="1"/>
  <c r="T231" i="1"/>
  <c r="BX221" i="1"/>
  <c r="DG287" i="1"/>
  <c r="BG278" i="1"/>
  <c r="G269" i="1"/>
  <c r="BK259" i="1"/>
  <c r="K250" i="1"/>
  <c r="BO240" i="1"/>
  <c r="O231" i="1"/>
  <c r="CP290" i="1"/>
  <c r="AP281" i="1"/>
  <c r="CT271" i="1"/>
  <c r="AT262" i="1"/>
  <c r="CX252" i="1"/>
  <c r="AX243" i="1"/>
  <c r="DB233" i="1"/>
  <c r="BB224" i="1"/>
  <c r="DF214" i="1"/>
  <c r="CW288" i="1"/>
  <c r="AW279" i="1"/>
  <c r="BI270" i="1"/>
  <c r="DE266" i="1"/>
  <c r="CS263" i="1"/>
  <c r="BE261" i="1"/>
  <c r="Q259" i="1"/>
  <c r="CG256" i="1"/>
  <c r="AS254" i="1"/>
  <c r="DI251" i="1"/>
  <c r="BU249" i="1"/>
  <c r="AG247" i="1"/>
  <c r="BY239" i="1"/>
  <c r="Y230" i="1"/>
  <c r="R314" i="1"/>
  <c r="DF310" i="1"/>
  <c r="BR308" i="1"/>
  <c r="AD306" i="1"/>
  <c r="CT303" i="1"/>
  <c r="BF301" i="1"/>
  <c r="R299" i="1"/>
  <c r="CH296" i="1"/>
  <c r="AN303" i="1"/>
  <c r="CR294" i="1"/>
  <c r="AL291" i="1"/>
  <c r="CV288" i="1"/>
  <c r="BH286" i="1"/>
  <c r="T284" i="1"/>
  <c r="CJ281" i="1"/>
  <c r="AV279" i="1"/>
  <c r="H277" i="1"/>
  <c r="BX274" i="1"/>
  <c r="AJ272" i="1"/>
  <c r="CZ269" i="1"/>
  <c r="BL267" i="1"/>
  <c r="X265" i="1"/>
  <c r="CN262" i="1"/>
  <c r="AZ260" i="1"/>
  <c r="L258" i="1"/>
  <c r="CB255" i="1"/>
  <c r="AN253" i="1"/>
  <c r="DD250" i="1"/>
  <c r="BP248" i="1"/>
  <c r="AB246" i="1"/>
  <c r="CR243" i="1"/>
  <c r="BD241" i="1"/>
  <c r="P239" i="1"/>
  <c r="CF236" i="1"/>
  <c r="AR234" i="1"/>
  <c r="DH231" i="1"/>
  <c r="BT229" i="1"/>
  <c r="AF227" i="1"/>
  <c r="CV224" i="1"/>
  <c r="BT296" i="1"/>
  <c r="G290" i="1"/>
  <c r="CI286" i="1"/>
  <c r="BW283" i="1"/>
  <c r="BK280" i="1"/>
  <c r="CE277" i="1"/>
  <c r="AQ275" i="1"/>
  <c r="DG272" i="1"/>
  <c r="BS270" i="1"/>
  <c r="AE268" i="1"/>
  <c r="CU265" i="1"/>
  <c r="BG263" i="1"/>
  <c r="S261" i="1"/>
  <c r="CI258" i="1"/>
  <c r="AU256" i="1"/>
  <c r="G254" i="1"/>
  <c r="BW251" i="1"/>
  <c r="AI249" i="1"/>
  <c r="CY246" i="1"/>
  <c r="BK244" i="1"/>
  <c r="W242" i="1"/>
  <c r="CM239" i="1"/>
  <c r="AY237" i="1"/>
  <c r="K235" i="1"/>
  <c r="CA232" i="1"/>
  <c r="AM230" i="1"/>
  <c r="DH307" i="1"/>
  <c r="BH298" i="1"/>
  <c r="CT292" i="1"/>
  <c r="J290" i="1"/>
  <c r="BZ287" i="1"/>
  <c r="AL285" i="1"/>
  <c r="DB282" i="1"/>
  <c r="BN280" i="1"/>
  <c r="Z278" i="1"/>
  <c r="CP275" i="1"/>
  <c r="BB273" i="1"/>
  <c r="N271" i="1"/>
  <c r="CD268" i="1"/>
  <c r="AP266" i="1"/>
  <c r="DF263" i="1"/>
  <c r="BR261" i="1"/>
  <c r="AD259" i="1"/>
  <c r="CT256" i="1"/>
  <c r="BF254" i="1"/>
  <c r="R252" i="1"/>
  <c r="CH249" i="1"/>
  <c r="AT247" i="1"/>
  <c r="F245" i="1"/>
  <c r="BV242" i="1"/>
  <c r="AH240" i="1"/>
  <c r="CX237" i="1"/>
  <c r="BJ235" i="1"/>
  <c r="V233" i="1"/>
  <c r="CL230" i="1"/>
  <c r="AX228" i="1"/>
  <c r="J226" i="1"/>
  <c r="BZ223" i="1"/>
  <c r="AL221" i="1"/>
  <c r="DB218" i="1"/>
  <c r="BN216" i="1"/>
  <c r="Z214" i="1"/>
  <c r="AF300" i="1"/>
  <c r="BA293" i="1"/>
  <c r="BE290" i="1"/>
  <c r="Q288" i="1"/>
  <c r="CG285" i="1"/>
  <c r="AS283" i="1"/>
  <c r="DI280" i="1"/>
  <c r="AW272" i="1"/>
  <c r="CO265" i="1"/>
  <c r="M261" i="1"/>
  <c r="AO256" i="1"/>
  <c r="BQ251" i="1"/>
  <c r="CS246" i="1"/>
  <c r="BQ229" i="1"/>
  <c r="W224" i="1"/>
  <c r="W220" i="1"/>
  <c r="DI216" i="1"/>
  <c r="CW213" i="1"/>
  <c r="BI211" i="1"/>
  <c r="U209" i="1"/>
  <c r="CK206" i="1"/>
  <c r="AW204" i="1"/>
  <c r="I202" i="1"/>
  <c r="BY199" i="1"/>
  <c r="AK197" i="1"/>
  <c r="DA194" i="1"/>
  <c r="BM192" i="1"/>
  <c r="Y190" i="1"/>
  <c r="CO187" i="1"/>
  <c r="BA185" i="1"/>
  <c r="M183" i="1"/>
  <c r="CC180" i="1"/>
  <c r="AO178" i="1"/>
  <c r="DE175" i="1"/>
  <c r="BQ173" i="1"/>
  <c r="AC171" i="1"/>
  <c r="CS168" i="1"/>
  <c r="BE166" i="1"/>
  <c r="Q164" i="1"/>
  <c r="CG161" i="1"/>
  <c r="AS159" i="1"/>
  <c r="DI156" i="1"/>
  <c r="BU154" i="1"/>
  <c r="AG152" i="1"/>
  <c r="DA239" i="1"/>
  <c r="BA230" i="1"/>
  <c r="BQ224" i="1"/>
  <c r="BA220" i="1"/>
  <c r="AJ217" i="1"/>
  <c r="S214" i="1"/>
  <c r="CF211" i="1"/>
  <c r="AR209" i="1"/>
  <c r="DH206" i="1"/>
  <c r="BT204" i="1"/>
  <c r="AF202" i="1"/>
  <c r="CV199" i="1"/>
  <c r="BH197" i="1"/>
  <c r="T195" i="1"/>
  <c r="CJ192" i="1"/>
  <c r="AV190" i="1"/>
  <c r="H188" i="1"/>
  <c r="BX185" i="1"/>
  <c r="AJ183" i="1"/>
  <c r="CZ180" i="1"/>
  <c r="BL178" i="1"/>
  <c r="X176" i="1"/>
  <c r="CN173" i="1"/>
  <c r="AZ171" i="1"/>
  <c r="L169" i="1"/>
  <c r="CB166" i="1"/>
  <c r="AN164" i="1"/>
  <c r="DD161" i="1"/>
  <c r="BP159" i="1"/>
  <c r="AB157" i="1"/>
  <c r="CR154" i="1"/>
  <c r="BD152" i="1"/>
  <c r="AK239" i="1"/>
  <c r="CO229" i="1"/>
  <c r="AI224" i="1"/>
  <c r="AE220" i="1"/>
  <c r="M217" i="1"/>
  <c r="DC213" i="1"/>
  <c r="BO211" i="1"/>
  <c r="AA209" i="1"/>
  <c r="CQ206" i="1"/>
  <c r="BC204" i="1"/>
  <c r="O202" i="1"/>
  <c r="CE199" i="1"/>
  <c r="AQ197" i="1"/>
  <c r="DG194" i="1"/>
  <c r="BS192" i="1"/>
  <c r="AE190" i="1"/>
  <c r="CU187" i="1"/>
  <c r="BG185" i="1"/>
  <c r="S183" i="1"/>
  <c r="CI180" i="1"/>
  <c r="AU178" i="1"/>
  <c r="G176" i="1"/>
  <c r="BW173" i="1"/>
  <c r="AI171" i="1"/>
  <c r="CY168" i="1"/>
  <c r="BK166" i="1"/>
  <c r="W164" i="1"/>
  <c r="CM161" i="1"/>
  <c r="AY159" i="1"/>
  <c r="K157" i="1"/>
  <c r="CA154" i="1"/>
  <c r="AM152" i="1"/>
  <c r="Q239" i="1"/>
  <c r="BU229" i="1"/>
  <c r="Y224" i="1"/>
  <c r="X220" i="1"/>
  <c r="G217" i="1"/>
  <c r="CX213" i="1"/>
  <c r="BJ211" i="1"/>
  <c r="V209" i="1"/>
  <c r="CL206" i="1"/>
  <c r="AX204" i="1"/>
  <c r="J202" i="1"/>
  <c r="BZ199" i="1"/>
  <c r="AL197" i="1"/>
  <c r="DB194" i="1"/>
  <c r="BN192" i="1"/>
  <c r="Z190" i="1"/>
  <c r="CP187" i="1"/>
  <c r="BB185" i="1"/>
  <c r="N183" i="1"/>
  <c r="CD180" i="1"/>
  <c r="AP178" i="1"/>
  <c r="DF175" i="1"/>
  <c r="BR173" i="1"/>
  <c r="AD171" i="1"/>
  <c r="CT168" i="1"/>
  <c r="BF166" i="1"/>
  <c r="R164" i="1"/>
  <c r="BY271" i="1"/>
  <c r="BA265" i="1"/>
  <c r="CC260" i="1"/>
  <c r="DE255" i="1"/>
  <c r="AC251" i="1"/>
  <c r="I246" i="1"/>
  <c r="CS228" i="1"/>
  <c r="CM223" i="1"/>
  <c r="CZ219" i="1"/>
  <c r="CI216" i="1"/>
  <c r="CC213" i="1"/>
  <c r="AO211" i="1"/>
  <c r="DE208" i="1"/>
  <c r="BQ206" i="1"/>
  <c r="AC204" i="1"/>
  <c r="CS201" i="1"/>
  <c r="BE199" i="1"/>
  <c r="Q197" i="1"/>
  <c r="CG194" i="1"/>
  <c r="AS192" i="1"/>
  <c r="DI189" i="1"/>
  <c r="BU187" i="1"/>
  <c r="AG185" i="1"/>
  <c r="CW182" i="1"/>
  <c r="BI180" i="1"/>
  <c r="U178" i="1"/>
  <c r="CK175" i="1"/>
  <c r="AW173" i="1"/>
  <c r="I171" i="1"/>
  <c r="BY168" i="1"/>
  <c r="AK166" i="1"/>
  <c r="DA163" i="1"/>
  <c r="BM161" i="1"/>
  <c r="Y159" i="1"/>
  <c r="CO156" i="1"/>
  <c r="BA154" i="1"/>
  <c r="M152" i="1"/>
  <c r="Y239" i="1"/>
  <c r="CC229" i="1"/>
  <c r="AC224" i="1"/>
  <c r="AA220" i="1"/>
  <c r="I217" i="1"/>
  <c r="CZ213" i="1"/>
  <c r="BL211" i="1"/>
  <c r="X209" i="1"/>
  <c r="CN206" i="1"/>
  <c r="AZ204" i="1"/>
  <c r="L202" i="1"/>
  <c r="CB199" i="1"/>
  <c r="AN197" i="1"/>
  <c r="DD194" i="1"/>
  <c r="X227" i="1"/>
  <c r="BR294" i="1"/>
  <c r="G284" i="1"/>
  <c r="BK274" i="1"/>
  <c r="K265" i="1"/>
  <c r="BO255" i="1"/>
  <c r="O246" i="1"/>
  <c r="BS236" i="1"/>
  <c r="CF304" i="1"/>
  <c r="CT286" i="1"/>
  <c r="AT277" i="1"/>
  <c r="CX267" i="1"/>
  <c r="AX258" i="1"/>
  <c r="DB248" i="1"/>
  <c r="BB239" i="1"/>
  <c r="DF229" i="1"/>
  <c r="BF220" i="1"/>
  <c r="DH296" i="1"/>
  <c r="DA284" i="1"/>
  <c r="BA275" i="1"/>
  <c r="BN313" i="1"/>
  <c r="BB303" i="1"/>
  <c r="CB301" i="1"/>
  <c r="P286" i="1"/>
  <c r="BT276" i="1"/>
  <c r="T267" i="1"/>
  <c r="BX257" i="1"/>
  <c r="X248" i="1"/>
  <c r="CB238" i="1"/>
  <c r="AB229" i="1"/>
  <c r="BH301" i="1"/>
  <c r="K286" i="1"/>
  <c r="BO276" i="1"/>
  <c r="O267" i="1"/>
  <c r="BS257" i="1"/>
  <c r="S248" i="1"/>
  <c r="BW238" i="1"/>
  <c r="W229" i="1"/>
  <c r="CX288" i="1"/>
  <c r="AX279" i="1"/>
  <c r="DB269" i="1"/>
  <c r="BB260" i="1"/>
  <c r="DF250" i="1"/>
  <c r="BF241" i="1"/>
  <c r="F232" i="1"/>
  <c r="BJ222" i="1"/>
  <c r="T305" i="1"/>
  <c r="DE286" i="1"/>
  <c r="BE277" i="1"/>
  <c r="AJ426" i="1"/>
  <c r="AI399" i="1"/>
  <c r="CU396" i="1"/>
  <c r="CA396" i="1"/>
  <c r="CL414" i="1"/>
  <c r="AI402" i="1"/>
  <c r="AH403" i="1"/>
  <c r="I404" i="1"/>
  <c r="L404" i="1"/>
  <c r="CC365" i="1"/>
  <c r="CK327" i="1"/>
  <c r="H363" i="1"/>
  <c r="P325" i="1"/>
  <c r="DC344" i="1"/>
  <c r="G307" i="1"/>
  <c r="CX344" i="1"/>
  <c r="BH397" i="1"/>
  <c r="U359" i="1"/>
  <c r="AC321" i="1"/>
  <c r="BD356" i="1"/>
  <c r="BL318" i="1"/>
  <c r="AU338" i="1"/>
  <c r="BC300" i="1"/>
  <c r="AP338" i="1"/>
  <c r="AN397" i="1"/>
  <c r="DE358" i="1"/>
  <c r="I321" i="1"/>
  <c r="AJ356" i="1"/>
  <c r="AR318" i="1"/>
  <c r="AA338" i="1"/>
  <c r="AI300" i="1"/>
  <c r="V338" i="1"/>
  <c r="AZ397" i="1"/>
  <c r="BD386" i="1"/>
  <c r="DH376" i="1"/>
  <c r="BH367" i="1"/>
  <c r="BQ357" i="1"/>
  <c r="Q348" i="1"/>
  <c r="BU338" i="1"/>
  <c r="U329" i="1"/>
  <c r="BY319" i="1"/>
  <c r="Y310" i="1"/>
  <c r="CW301" i="1"/>
  <c r="U297" i="1"/>
  <c r="BP365" i="1"/>
  <c r="CR360" i="1"/>
  <c r="P356" i="1"/>
  <c r="AR351" i="1"/>
  <c r="BT346" i="1"/>
  <c r="CV341" i="1"/>
  <c r="T337" i="1"/>
  <c r="AV332" i="1"/>
  <c r="BX327" i="1"/>
  <c r="CZ322" i="1"/>
  <c r="X318" i="1"/>
  <c r="AZ313" i="1"/>
  <c r="BH366" i="1"/>
  <c r="CE361" i="1"/>
  <c r="DG356" i="1"/>
  <c r="AE352" i="1"/>
  <c r="BG347" i="1"/>
  <c r="CI342" i="1"/>
  <c r="G338" i="1"/>
  <c r="AI333" i="1"/>
  <c r="BK328" i="1"/>
  <c r="CM323" i="1"/>
  <c r="K319" i="1"/>
  <c r="AM314" i="1"/>
  <c r="BO309" i="1"/>
  <c r="CQ304" i="1"/>
  <c r="O300" i="1"/>
  <c r="AQ295" i="1"/>
  <c r="BA366" i="1"/>
  <c r="BZ361" i="1"/>
  <c r="DB356" i="1"/>
  <c r="Z352" i="1"/>
  <c r="BB347" i="1"/>
  <c r="CD342" i="1"/>
  <c r="DF337" i="1"/>
  <c r="AD333" i="1"/>
  <c r="BF328" i="1"/>
  <c r="CH323" i="1"/>
  <c r="F319" i="1"/>
  <c r="BZ313" i="1"/>
  <c r="AH308" i="1"/>
  <c r="BJ303" i="1"/>
  <c r="CL298" i="1"/>
  <c r="DH301" i="1"/>
  <c r="CZ290" i="1"/>
  <c r="X286" i="1"/>
  <c r="AZ281" i="1"/>
  <c r="CB276" i="1"/>
  <c r="DD271" i="1"/>
  <c r="AB267" i="1"/>
  <c r="BD262" i="1"/>
  <c r="CF257" i="1"/>
  <c r="DH252" i="1"/>
  <c r="AF248" i="1"/>
  <c r="BH243" i="1"/>
  <c r="CJ238" i="1"/>
  <c r="H234" i="1"/>
  <c r="AJ229" i="1"/>
  <c r="BL224" i="1"/>
  <c r="CN301" i="1"/>
  <c r="CU290" i="1"/>
  <c r="S286" i="1"/>
  <c r="AU281" i="1"/>
  <c r="BW276" i="1"/>
  <c r="CY271" i="1"/>
  <c r="W267" i="1"/>
  <c r="AY262" i="1"/>
  <c r="CA257" i="1"/>
  <c r="DC252" i="1"/>
  <c r="AA248" i="1"/>
  <c r="BC243" i="1"/>
  <c r="CE238" i="1"/>
  <c r="DG233" i="1"/>
  <c r="AE229" i="1"/>
  <c r="H295" i="1"/>
  <c r="DF288" i="1"/>
  <c r="AD284" i="1"/>
  <c r="BF279" i="1"/>
  <c r="CH274" i="1"/>
  <c r="F270" i="1"/>
  <c r="AH265" i="1"/>
  <c r="BJ260" i="1"/>
  <c r="CL255" i="1"/>
  <c r="J251" i="1"/>
  <c r="AL246" i="1"/>
  <c r="BN241" i="1"/>
  <c r="CP236" i="1"/>
  <c r="N232" i="1"/>
  <c r="AP227" i="1"/>
  <c r="BR222" i="1"/>
  <c r="CT217" i="1"/>
  <c r="AZ305" i="1"/>
  <c r="F292" i="1"/>
  <c r="I287" i="1"/>
  <c r="AK282" i="1"/>
  <c r="BM277" i="1"/>
  <c r="CO272" i="1"/>
  <c r="M268" i="1"/>
  <c r="AO263" i="1"/>
  <c r="BQ258" i="1"/>
  <c r="CS253" i="1"/>
  <c r="Q249" i="1"/>
  <c r="BQ237" i="1"/>
  <c r="J313" i="1"/>
  <c r="CL307" i="1"/>
  <c r="J303" i="1"/>
  <c r="AL298" i="1"/>
  <c r="L300" i="1"/>
  <c r="AZ290" i="1"/>
  <c r="CB285" i="1"/>
  <c r="DD280" i="1"/>
  <c r="AB276" i="1"/>
  <c r="BD271" i="1"/>
  <c r="CF266" i="1"/>
  <c r="DH261" i="1"/>
  <c r="AF257" i="1"/>
  <c r="BH252" i="1"/>
  <c r="CJ247" i="1"/>
  <c r="H243" i="1"/>
  <c r="AJ238" i="1"/>
  <c r="BL233" i="1"/>
  <c r="CN228" i="1"/>
  <c r="L224" i="1"/>
  <c r="CV299" i="1"/>
  <c r="AU290" i="1"/>
  <c r="BW285" i="1"/>
  <c r="CY280" i="1"/>
  <c r="W276" i="1"/>
  <c r="AY271" i="1"/>
  <c r="CA266" i="1"/>
  <c r="DC261" i="1"/>
  <c r="AA257" i="1"/>
  <c r="BC252" i="1"/>
  <c r="CE247" i="1"/>
  <c r="DG242" i="1"/>
  <c r="AE238" i="1"/>
  <c r="BG233" i="1"/>
  <c r="CI228" i="1"/>
  <c r="L294" i="1"/>
  <c r="BF288" i="1"/>
  <c r="CH283" i="1"/>
  <c r="F279" i="1"/>
  <c r="AH274" i="1"/>
  <c r="BJ269" i="1"/>
  <c r="CL264" i="1"/>
  <c r="J260" i="1"/>
  <c r="AL255" i="1"/>
  <c r="CH251" i="1"/>
  <c r="Z248" i="1"/>
  <c r="AD245" i="1"/>
  <c r="AH242" i="1"/>
  <c r="CD238" i="1"/>
  <c r="CH235" i="1"/>
  <c r="CL232" i="1"/>
  <c r="AD229" i="1"/>
  <c r="AH226" i="1"/>
  <c r="AL223" i="1"/>
  <c r="CH219" i="1"/>
  <c r="CL216" i="1"/>
  <c r="AF308" i="1"/>
  <c r="DB294" i="1"/>
  <c r="CC290" i="1"/>
  <c r="CG287" i="1"/>
  <c r="Y284" i="1"/>
  <c r="AC281" i="1"/>
  <c r="AG278" i="1"/>
  <c r="CC274" i="1"/>
  <c r="CG271" i="1"/>
  <c r="CK268" i="1"/>
  <c r="BR312" i="1"/>
  <c r="AD309" i="1"/>
  <c r="AH306" i="1"/>
  <c r="CD302" i="1"/>
  <c r="CH299" i="1"/>
  <c r="CL296" i="1"/>
  <c r="CF298" i="1"/>
  <c r="U292" i="1"/>
  <c r="CZ288" i="1"/>
  <c r="AR285" i="1"/>
  <c r="AV282" i="1"/>
  <c r="AZ279" i="1"/>
  <c r="CV275" i="1"/>
  <c r="CZ272" i="1"/>
  <c r="DD269" i="1"/>
  <c r="AV266" i="1"/>
  <c r="AZ263" i="1"/>
  <c r="BD260" i="1"/>
  <c r="CZ256" i="1"/>
  <c r="DD253" i="1"/>
  <c r="DH250" i="1"/>
  <c r="AZ247" i="1"/>
  <c r="BD244" i="1"/>
  <c r="BH241" i="1"/>
  <c r="DD237" i="1"/>
  <c r="DH234" i="1"/>
  <c r="H232" i="1"/>
  <c r="BD228" i="1"/>
  <c r="BH225" i="1"/>
  <c r="BL222" i="1"/>
  <c r="BL298" i="1"/>
  <c r="N292" i="1"/>
  <c r="CU288" i="1"/>
  <c r="AM285" i="1"/>
  <c r="AQ282" i="1"/>
  <c r="AU279" i="1"/>
  <c r="CQ275" i="1"/>
  <c r="CU272" i="1"/>
  <c r="CY269" i="1"/>
  <c r="AQ266" i="1"/>
  <c r="AU263" i="1"/>
  <c r="AY260" i="1"/>
  <c r="CU256" i="1"/>
  <c r="CY253" i="1"/>
  <c r="DC250" i="1"/>
  <c r="AU247" i="1"/>
  <c r="AY244" i="1"/>
  <c r="BC241" i="1"/>
  <c r="CY237" i="1"/>
  <c r="DC234" i="1"/>
  <c r="DG231" i="1"/>
  <c r="AY228" i="1"/>
  <c r="L298" i="1"/>
  <c r="DA291" i="1"/>
  <c r="V288" i="1"/>
  <c r="CL285" i="1"/>
  <c r="AX283" i="1"/>
  <c r="J281" i="1"/>
  <c r="BZ278" i="1"/>
  <c r="AL276" i="1"/>
  <c r="DB273" i="1"/>
  <c r="BN271" i="1"/>
  <c r="Z269" i="1"/>
  <c r="CP266" i="1"/>
  <c r="BB264" i="1"/>
  <c r="N262" i="1"/>
  <c r="CD259" i="1"/>
  <c r="AP257" i="1"/>
  <c r="DF254" i="1"/>
  <c r="BR252" i="1"/>
  <c r="AD250" i="1"/>
  <c r="CT247" i="1"/>
  <c r="BF245" i="1"/>
  <c r="R243" i="1"/>
  <c r="CH240" i="1"/>
  <c r="AT238" i="1"/>
  <c r="F236" i="1"/>
  <c r="BV233" i="1"/>
  <c r="AH231" i="1"/>
  <c r="CX228" i="1"/>
  <c r="BJ226" i="1"/>
  <c r="V224" i="1"/>
  <c r="CL221" i="1"/>
  <c r="AX219" i="1"/>
  <c r="J217" i="1"/>
  <c r="BZ214" i="1"/>
  <c r="X302" i="1"/>
  <c r="AH294" i="1"/>
  <c r="DE290" i="1"/>
  <c r="BQ288" i="1"/>
  <c r="AC286" i="1"/>
  <c r="CS283" i="1"/>
  <c r="BE281" i="1"/>
  <c r="Q279" i="1"/>
  <c r="CG276" i="1"/>
  <c r="AS274" i="1"/>
  <c r="DI271" i="1"/>
  <c r="BU269" i="1"/>
  <c r="AM458" i="1"/>
  <c r="CA420" i="1"/>
  <c r="DB441" i="1"/>
  <c r="CA418" i="1"/>
  <c r="BY415" i="1"/>
  <c r="DC377" i="1"/>
  <c r="DB378" i="1"/>
  <c r="CC379" i="1"/>
  <c r="AG413" i="1"/>
  <c r="BK375" i="1"/>
  <c r="BJ376" i="1"/>
  <c r="AK377" i="1"/>
  <c r="M413" i="1"/>
  <c r="AQ375" i="1"/>
  <c r="AP376" i="1"/>
  <c r="DA379" i="1"/>
  <c r="M368" i="1"/>
  <c r="DE434" i="1"/>
  <c r="Y425" i="1"/>
  <c r="CC415" i="1"/>
  <c r="AC406" i="1"/>
  <c r="DC396" i="1"/>
  <c r="BC387" i="1"/>
  <c r="DG377" i="1"/>
  <c r="BG368" i="1"/>
  <c r="DB397" i="1"/>
  <c r="BB388" i="1"/>
  <c r="DF378" i="1"/>
  <c r="BF369" i="1"/>
  <c r="CC398" i="1"/>
  <c r="AC389" i="1"/>
  <c r="CG379" i="1"/>
  <c r="AG370" i="1"/>
  <c r="CF398" i="1"/>
  <c r="AF389" i="1"/>
  <c r="CJ379" i="1"/>
  <c r="AJ370" i="1"/>
  <c r="AS360" i="1"/>
  <c r="CW350" i="1"/>
  <c r="AW341" i="1"/>
  <c r="DA331" i="1"/>
  <c r="BA322" i="1"/>
  <c r="DE312" i="1"/>
  <c r="BE303" i="1"/>
  <c r="DI293" i="1"/>
  <c r="CB357" i="1"/>
  <c r="AB348" i="1"/>
  <c r="CF338" i="1"/>
  <c r="AF329" i="1"/>
  <c r="CJ319" i="1"/>
  <c r="AJ310" i="1"/>
  <c r="BO358" i="1"/>
  <c r="O349" i="1"/>
  <c r="BS339" i="1"/>
  <c r="S330" i="1"/>
  <c r="BW320" i="1"/>
  <c r="W311" i="1"/>
  <c r="CA301" i="1"/>
  <c r="AA292" i="1"/>
  <c r="BJ358" i="1"/>
  <c r="J349" i="1"/>
  <c r="BN339" i="1"/>
  <c r="N330" i="1"/>
  <c r="BR320" i="1"/>
  <c r="BX401" i="1"/>
  <c r="X392" i="1"/>
  <c r="CB382" i="1"/>
  <c r="AB373" i="1"/>
  <c r="AK363" i="1"/>
  <c r="CO353" i="1"/>
  <c r="AO344" i="1"/>
  <c r="CS334" i="1"/>
  <c r="AS325" i="1"/>
  <c r="CW315" i="1"/>
  <c r="AW306" i="1"/>
  <c r="DA296" i="1"/>
  <c r="BT360" i="1"/>
  <c r="T351" i="1"/>
  <c r="BX341" i="1"/>
  <c r="X332" i="1"/>
  <c r="CB322" i="1"/>
  <c r="AB313" i="1"/>
  <c r="BG361" i="1"/>
  <c r="G352" i="1"/>
  <c r="BK342" i="1"/>
  <c r="K333" i="1"/>
  <c r="BO323" i="1"/>
  <c r="O314" i="1"/>
  <c r="BS304" i="1"/>
  <c r="S295" i="1"/>
  <c r="BB361" i="1"/>
  <c r="DF351" i="1"/>
  <c r="BF342" i="1"/>
  <c r="F333" i="1"/>
  <c r="BJ323" i="1"/>
  <c r="J314" i="1"/>
  <c r="BD401" i="1"/>
  <c r="DH391" i="1"/>
  <c r="BH382" i="1"/>
  <c r="H373" i="1"/>
  <c r="Q363" i="1"/>
  <c r="BU353" i="1"/>
  <c r="U344" i="1"/>
  <c r="BY334" i="1"/>
  <c r="Y325" i="1"/>
  <c r="CC315" i="1"/>
  <c r="AC306" i="1"/>
  <c r="CG296" i="1"/>
  <c r="AZ360" i="1"/>
  <c r="DD350" i="1"/>
  <c r="BD341" i="1"/>
  <c r="DH331" i="1"/>
  <c r="BH322" i="1"/>
  <c r="H313" i="1"/>
  <c r="AM361" i="1"/>
  <c r="CQ351" i="1"/>
  <c r="AQ342" i="1"/>
  <c r="CU332" i="1"/>
  <c r="AU323" i="1"/>
  <c r="CY313" i="1"/>
  <c r="AY304" i="1"/>
  <c r="DC294" i="1"/>
  <c r="AH361" i="1"/>
  <c r="CL351" i="1"/>
  <c r="AL342" i="1"/>
  <c r="CP332" i="1"/>
  <c r="AP323" i="1"/>
  <c r="AV404" i="1"/>
  <c r="BX399" i="1"/>
  <c r="CZ394" i="1"/>
  <c r="AF392" i="1"/>
  <c r="CV389" i="1"/>
  <c r="BH387" i="1"/>
  <c r="T385" i="1"/>
  <c r="CJ382" i="1"/>
  <c r="AV380" i="1"/>
  <c r="H378" i="1"/>
  <c r="BX375" i="1"/>
  <c r="AJ373" i="1"/>
  <c r="CZ370" i="1"/>
  <c r="BL368" i="1"/>
  <c r="CG365" i="1"/>
  <c r="AS363" i="1"/>
  <c r="DI360" i="1"/>
  <c r="BU358" i="1"/>
  <c r="AG356" i="1"/>
  <c r="CW353" i="1"/>
  <c r="BI351" i="1"/>
  <c r="U349" i="1"/>
  <c r="CK346" i="1"/>
  <c r="AW344" i="1"/>
  <c r="I342" i="1"/>
  <c r="BY339" i="1"/>
  <c r="AK337" i="1"/>
  <c r="DA334" i="1"/>
  <c r="BM332" i="1"/>
  <c r="Y330" i="1"/>
  <c r="CO327" i="1"/>
  <c r="BA325" i="1"/>
  <c r="M323" i="1"/>
  <c r="CC320" i="1"/>
  <c r="AO318" i="1"/>
  <c r="DE315" i="1"/>
  <c r="BQ313" i="1"/>
  <c r="AC311" i="1"/>
  <c r="CS308" i="1"/>
  <c r="BE306" i="1"/>
  <c r="Q304" i="1"/>
  <c r="CG301" i="1"/>
  <c r="AS299" i="1"/>
  <c r="DI296" i="1"/>
  <c r="BU294" i="1"/>
  <c r="AZ365" i="1"/>
  <c r="L363" i="1"/>
  <c r="CB360" i="1"/>
  <c r="AN358" i="1"/>
  <c r="DD355" i="1"/>
  <c r="BP353" i="1"/>
  <c r="AB351" i="1"/>
  <c r="CR348" i="1"/>
  <c r="BD346" i="1"/>
  <c r="P344" i="1"/>
  <c r="CF341" i="1"/>
  <c r="AR339" i="1"/>
  <c r="DH336" i="1"/>
  <c r="BT334" i="1"/>
  <c r="AF332" i="1"/>
  <c r="CV329" i="1"/>
  <c r="BH327" i="1"/>
  <c r="T325" i="1"/>
  <c r="CJ322" i="1"/>
  <c r="AV320" i="1"/>
  <c r="H318" i="1"/>
  <c r="BX315" i="1"/>
  <c r="AJ313" i="1"/>
  <c r="CZ310" i="1"/>
  <c r="AM366" i="1"/>
  <c r="DC363" i="1"/>
  <c r="BO361" i="1"/>
  <c r="AA359" i="1"/>
  <c r="CQ356" i="1"/>
  <c r="BC354" i="1"/>
  <c r="O352" i="1"/>
  <c r="CE349" i="1"/>
  <c r="AQ347" i="1"/>
  <c r="DG344" i="1"/>
  <c r="BS342" i="1"/>
  <c r="AE340" i="1"/>
  <c r="CU337" i="1"/>
  <c r="BG335" i="1"/>
  <c r="S333" i="1"/>
  <c r="CI330" i="1"/>
  <c r="AU328" i="1"/>
  <c r="G326" i="1"/>
  <c r="BW323" i="1"/>
  <c r="AI321" i="1"/>
  <c r="CY318" i="1"/>
  <c r="BK316" i="1"/>
  <c r="W314" i="1"/>
  <c r="CM311" i="1"/>
  <c r="AY309" i="1"/>
  <c r="K307" i="1"/>
  <c r="CA304" i="1"/>
  <c r="AM302" i="1"/>
  <c r="DC299" i="1"/>
  <c r="BO297" i="1"/>
  <c r="AA295" i="1"/>
  <c r="CQ292" i="1"/>
  <c r="AH366" i="1"/>
  <c r="CX363" i="1"/>
  <c r="BJ361" i="1"/>
  <c r="V359" i="1"/>
  <c r="CL356" i="1"/>
  <c r="AX354" i="1"/>
  <c r="J352" i="1"/>
  <c r="BZ349" i="1"/>
  <c r="AL347" i="1"/>
  <c r="DB344" i="1"/>
  <c r="BN342" i="1"/>
  <c r="Z340" i="1"/>
  <c r="CP337" i="1"/>
  <c r="BB335" i="1"/>
  <c r="N333" i="1"/>
  <c r="CD330" i="1"/>
  <c r="AP328" i="1"/>
  <c r="DF325" i="1"/>
  <c r="BR323" i="1"/>
  <c r="AD321" i="1"/>
  <c r="CT318" i="1"/>
  <c r="BV316" i="1"/>
  <c r="BF313" i="1"/>
  <c r="BF310" i="1"/>
  <c r="R308" i="1"/>
  <c r="CH305" i="1"/>
  <c r="AT303" i="1"/>
  <c r="F301" i="1"/>
  <c r="BV298" i="1"/>
  <c r="AH296" i="1"/>
  <c r="AV301" i="1"/>
  <c r="CV293" i="1"/>
  <c r="CJ290" i="1"/>
  <c r="AV288" i="1"/>
  <c r="H286" i="1"/>
  <c r="BX283" i="1"/>
  <c r="AJ281" i="1"/>
  <c r="CZ278" i="1"/>
  <c r="BL276" i="1"/>
  <c r="X274" i="1"/>
  <c r="CN271" i="1"/>
  <c r="AZ269" i="1"/>
  <c r="L267" i="1"/>
  <c r="CB264" i="1"/>
  <c r="AN262" i="1"/>
  <c r="DD259" i="1"/>
  <c r="BP257" i="1"/>
  <c r="AB255" i="1"/>
  <c r="CR252" i="1"/>
  <c r="BD250" i="1"/>
  <c r="P248" i="1"/>
  <c r="CF245" i="1"/>
  <c r="AR243" i="1"/>
  <c r="DH240" i="1"/>
  <c r="BT238" i="1"/>
  <c r="AF236" i="1"/>
  <c r="CV233" i="1"/>
  <c r="BH231" i="1"/>
  <c r="T229" i="1"/>
  <c r="CJ226" i="1"/>
  <c r="AV224" i="1"/>
  <c r="H222" i="1"/>
  <c r="AB301" i="1"/>
  <c r="CL293" i="1"/>
  <c r="CE290" i="1"/>
  <c r="AQ288" i="1"/>
  <c r="DG285" i="1"/>
  <c r="BS283" i="1"/>
  <c r="AE281" i="1"/>
  <c r="CU278" i="1"/>
  <c r="BG276" i="1"/>
  <c r="S274" i="1"/>
  <c r="CI271" i="1"/>
  <c r="AU269" i="1"/>
  <c r="G267" i="1"/>
  <c r="BW264" i="1"/>
  <c r="AI262" i="1"/>
  <c r="CY259" i="1"/>
  <c r="BK257" i="1"/>
  <c r="W255" i="1"/>
  <c r="CM252" i="1"/>
  <c r="AY250" i="1"/>
  <c r="K248" i="1"/>
  <c r="CA245" i="1"/>
  <c r="AM243" i="1"/>
  <c r="DC240" i="1"/>
  <c r="BO238" i="1"/>
  <c r="AA236" i="1"/>
  <c r="CQ233" i="1"/>
  <c r="BC231" i="1"/>
  <c r="O229" i="1"/>
  <c r="P303" i="1"/>
  <c r="CF294" i="1"/>
  <c r="AD291" i="1"/>
  <c r="CP288" i="1"/>
  <c r="BB286" i="1"/>
  <c r="N284" i="1"/>
  <c r="CD281" i="1"/>
  <c r="AP279" i="1"/>
  <c r="DF276" i="1"/>
  <c r="BR274" i="1"/>
  <c r="AD272" i="1"/>
  <c r="CT269" i="1"/>
  <c r="BF267" i="1"/>
  <c r="R265" i="1"/>
  <c r="CH262" i="1"/>
  <c r="AT260" i="1"/>
  <c r="F258" i="1"/>
  <c r="BV255" i="1"/>
  <c r="AH253" i="1"/>
  <c r="CX250" i="1"/>
  <c r="BJ248" i="1"/>
  <c r="V246" i="1"/>
  <c r="CL243" i="1"/>
  <c r="AX241" i="1"/>
  <c r="J239" i="1"/>
  <c r="BZ236" i="1"/>
  <c r="AL234" i="1"/>
  <c r="DB231" i="1"/>
  <c r="BN229" i="1"/>
  <c r="Z227" i="1"/>
  <c r="CP224" i="1"/>
  <c r="BB222" i="1"/>
  <c r="N220" i="1"/>
  <c r="CD217" i="1"/>
  <c r="AP215" i="1"/>
  <c r="CR304" i="1"/>
  <c r="BR295" i="1"/>
  <c r="CO291" i="1"/>
  <c r="AG289" i="1"/>
  <c r="CW286" i="1"/>
  <c r="BI284" i="1"/>
  <c r="U282" i="1"/>
  <c r="CK279" i="1"/>
  <c r="AW277" i="1"/>
  <c r="I275" i="1"/>
  <c r="BY272" i="1"/>
  <c r="AK270" i="1"/>
  <c r="DA267" i="1"/>
  <c r="BM265" i="1"/>
  <c r="Y263" i="1"/>
  <c r="CO260" i="1"/>
  <c r="BA258" i="1"/>
  <c r="M256" i="1"/>
  <c r="CC253" i="1"/>
  <c r="AO251" i="1"/>
  <c r="DE248" i="1"/>
  <c r="BE246" i="1"/>
  <c r="DI236" i="1"/>
  <c r="F316" i="1"/>
  <c r="CP312" i="1"/>
  <c r="F310" i="1"/>
  <c r="BV307" i="1"/>
  <c r="AH305" i="1"/>
  <c r="CX302" i="1"/>
  <c r="BJ300" i="1"/>
  <c r="V298" i="1"/>
  <c r="DD308" i="1"/>
  <c r="BD299" i="1"/>
  <c r="Y293" i="1"/>
  <c r="AJ290" i="1"/>
  <c r="CZ287" i="1"/>
  <c r="BL285" i="1"/>
  <c r="X283" i="1"/>
  <c r="CN280" i="1"/>
  <c r="AZ278" i="1"/>
  <c r="L276" i="1"/>
  <c r="CB273" i="1"/>
  <c r="AN271" i="1"/>
  <c r="DD268" i="1"/>
  <c r="BP266" i="1"/>
  <c r="AB264" i="1"/>
  <c r="CR261" i="1"/>
  <c r="BD259" i="1"/>
  <c r="P257" i="1"/>
  <c r="CF254" i="1"/>
  <c r="AR252" i="1"/>
  <c r="DH249" i="1"/>
  <c r="BT247" i="1"/>
  <c r="AF245" i="1"/>
  <c r="CV242" i="1"/>
  <c r="BH240" i="1"/>
  <c r="T238" i="1"/>
  <c r="CJ235" i="1"/>
  <c r="AV233" i="1"/>
  <c r="H231" i="1"/>
  <c r="BX228" i="1"/>
  <c r="AJ226" i="1"/>
  <c r="CZ223" i="1"/>
  <c r="CJ308" i="1"/>
  <c r="AJ299" i="1"/>
  <c r="R293" i="1"/>
  <c r="AE290" i="1"/>
  <c r="CU287" i="1"/>
  <c r="BG285" i="1"/>
  <c r="S283" i="1"/>
  <c r="CI280" i="1"/>
  <c r="AU278" i="1"/>
  <c r="G276" i="1"/>
  <c r="BW273" i="1"/>
  <c r="AI271" i="1"/>
  <c r="CY268" i="1"/>
  <c r="BK266" i="1"/>
  <c r="W264" i="1"/>
  <c r="CM261" i="1"/>
  <c r="AY259" i="1"/>
  <c r="K257" i="1"/>
  <c r="CA254" i="1"/>
  <c r="AM252" i="1"/>
  <c r="DC249" i="1"/>
  <c r="BO247" i="1"/>
  <c r="AA245" i="1"/>
  <c r="CQ242" i="1"/>
  <c r="BC240" i="1"/>
  <c r="O238" i="1"/>
  <c r="CE235" i="1"/>
  <c r="AQ233" i="1"/>
  <c r="DG230" i="1"/>
  <c r="BS228" i="1"/>
  <c r="X301" i="1"/>
  <c r="CJ293" i="1"/>
  <c r="CD290" i="1"/>
  <c r="AP288" i="1"/>
  <c r="DF285" i="1"/>
  <c r="BR283" i="1"/>
  <c r="AD281" i="1"/>
  <c r="CT278" i="1"/>
  <c r="BF276" i="1"/>
  <c r="R274" i="1"/>
  <c r="CH271" i="1"/>
  <c r="AT269" i="1"/>
  <c r="F267" i="1"/>
  <c r="BV264" i="1"/>
  <c r="AH262" i="1"/>
  <c r="CX259" i="1"/>
  <c r="BJ257" i="1"/>
  <c r="V255" i="1"/>
  <c r="CL252" i="1"/>
  <c r="AX250" i="1"/>
  <c r="J248" i="1"/>
  <c r="BZ245" i="1"/>
  <c r="AL243" i="1"/>
  <c r="DB240" i="1"/>
  <c r="BN238" i="1"/>
  <c r="Z236" i="1"/>
  <c r="CP233" i="1"/>
  <c r="BB231" i="1"/>
  <c r="N229" i="1"/>
  <c r="CD226" i="1"/>
  <c r="AP224" i="1"/>
  <c r="DF221" i="1"/>
  <c r="BR219" i="1"/>
  <c r="AD217" i="1"/>
  <c r="CT214" i="1"/>
  <c r="CZ302" i="1"/>
  <c r="BV294" i="1"/>
  <c r="X291" i="1"/>
  <c r="CK288" i="1"/>
  <c r="AW286" i="1"/>
  <c r="I284" i="1"/>
  <c r="BY281" i="1"/>
  <c r="AK279" i="1"/>
  <c r="DA276" i="1"/>
  <c r="BM274" i="1"/>
  <c r="Y272" i="1"/>
  <c r="CO269" i="1"/>
  <c r="BN315" i="1"/>
  <c r="AT312" i="1"/>
  <c r="BZ309" i="1"/>
  <c r="AL307" i="1"/>
  <c r="DB304" i="1"/>
  <c r="BN302" i="1"/>
  <c r="Z300" i="1"/>
  <c r="CP297" i="1"/>
  <c r="BT307" i="1"/>
  <c r="T298" i="1"/>
  <c r="CG292" i="1"/>
  <c r="DD289" i="1"/>
  <c r="BP287" i="1"/>
  <c r="AB285" i="1"/>
  <c r="CR282" i="1"/>
  <c r="BD280" i="1"/>
  <c r="P278" i="1"/>
  <c r="CF275" i="1"/>
  <c r="AR273" i="1"/>
  <c r="DH270" i="1"/>
  <c r="BT268" i="1"/>
  <c r="AF266" i="1"/>
  <c r="CV263" i="1"/>
  <c r="BH261" i="1"/>
  <c r="T259" i="1"/>
  <c r="CJ256" i="1"/>
  <c r="AV254" i="1"/>
  <c r="H252" i="1"/>
  <c r="BX249" i="1"/>
  <c r="AJ247" i="1"/>
  <c r="CZ244" i="1"/>
  <c r="BL242" i="1"/>
  <c r="X240" i="1"/>
  <c r="CN237" i="1"/>
  <c r="AZ235" i="1"/>
  <c r="L233" i="1"/>
  <c r="CB230" i="1"/>
  <c r="AN228" i="1"/>
  <c r="DD225" i="1"/>
  <c r="BP223" i="1"/>
  <c r="AZ307" i="1"/>
  <c r="DD297" i="1"/>
  <c r="BZ292" i="1"/>
  <c r="CY289" i="1"/>
  <c r="BK287" i="1"/>
  <c r="W285" i="1"/>
  <c r="CM282" i="1"/>
  <c r="AY280" i="1"/>
  <c r="K278" i="1"/>
  <c r="CA275" i="1"/>
  <c r="AM273" i="1"/>
  <c r="DC270" i="1"/>
  <c r="BO268" i="1"/>
  <c r="AA266" i="1"/>
  <c r="CQ263" i="1"/>
  <c r="BC261" i="1"/>
  <c r="O259" i="1"/>
  <c r="CE256" i="1"/>
  <c r="AQ254" i="1"/>
  <c r="DG251" i="1"/>
  <c r="BS249" i="1"/>
  <c r="AE247" i="1"/>
  <c r="CU244" i="1"/>
  <c r="BG242" i="1"/>
  <c r="S240" i="1"/>
  <c r="CI237" i="1"/>
  <c r="AU235" i="1"/>
  <c r="G233" i="1"/>
  <c r="BW230" i="1"/>
  <c r="AI228" i="1"/>
  <c r="CR299" i="1"/>
  <c r="AL293" i="1"/>
  <c r="AT290" i="1"/>
  <c r="F288" i="1"/>
  <c r="BV285" i="1"/>
  <c r="AH283" i="1"/>
  <c r="CX280" i="1"/>
  <c r="BJ278" i="1"/>
  <c r="V276" i="1"/>
  <c r="CL273" i="1"/>
  <c r="AX271" i="1"/>
  <c r="J269" i="1"/>
  <c r="BZ266" i="1"/>
  <c r="AL264" i="1"/>
  <c r="DB261" i="1"/>
  <c r="BN259" i="1"/>
  <c r="Z257" i="1"/>
  <c r="CP254" i="1"/>
  <c r="BB252" i="1"/>
  <c r="N250" i="1"/>
  <c r="CD247" i="1"/>
  <c r="AP245" i="1"/>
  <c r="DF242" i="1"/>
  <c r="BR240" i="1"/>
  <c r="AD238" i="1"/>
  <c r="CT235" i="1"/>
  <c r="BF233" i="1"/>
  <c r="R231" i="1"/>
  <c r="CH228" i="1"/>
  <c r="AT226" i="1"/>
  <c r="F224" i="1"/>
  <c r="BV221" i="1"/>
  <c r="AH219" i="1"/>
  <c r="CX216" i="1"/>
  <c r="BJ214" i="1"/>
  <c r="BP301" i="1"/>
  <c r="DF293" i="1"/>
  <c r="CO290" i="1"/>
  <c r="BA288" i="1"/>
  <c r="M286" i="1"/>
  <c r="CC283" i="1"/>
  <c r="AO281" i="1"/>
  <c r="DE278" i="1"/>
  <c r="BQ276" i="1"/>
  <c r="AC274" i="1"/>
  <c r="CS271" i="1"/>
  <c r="BE269" i="1"/>
  <c r="Q267" i="1"/>
  <c r="CG264" i="1"/>
  <c r="CH478" i="1"/>
  <c r="BT440" i="1"/>
  <c r="BG432" i="1"/>
  <c r="AY431" i="1"/>
  <c r="CK422" i="1"/>
  <c r="K385" i="1"/>
  <c r="J386" i="1"/>
  <c r="CO386" i="1"/>
  <c r="AS420" i="1"/>
  <c r="BW382" i="1"/>
  <c r="BV383" i="1"/>
  <c r="AW384" i="1"/>
  <c r="Y420" i="1"/>
  <c r="BC382" i="1"/>
  <c r="BB383" i="1"/>
  <c r="AC384" i="1"/>
  <c r="CS369" i="1"/>
  <c r="BA438" i="1"/>
  <c r="DE426" i="1"/>
  <c r="BE417" i="1"/>
  <c r="DI407" i="1"/>
  <c r="CE398" i="1"/>
  <c r="AE389" i="1"/>
  <c r="CI379" i="1"/>
  <c r="AI370" i="1"/>
  <c r="CD399" i="1"/>
  <c r="AD390" i="1"/>
  <c r="CH380" i="1"/>
  <c r="AH371" i="1"/>
  <c r="BE400" i="1"/>
  <c r="DI390" i="1"/>
  <c r="BI381" i="1"/>
  <c r="BX388" i="1"/>
  <c r="AK350" i="1"/>
  <c r="AS312" i="1"/>
  <c r="BT347" i="1"/>
  <c r="CB309" i="1"/>
  <c r="BK329" i="1"/>
  <c r="BS291" i="1"/>
  <c r="BF329" i="1"/>
  <c r="P382" i="1"/>
  <c r="CG343" i="1"/>
  <c r="CO305" i="1"/>
  <c r="L341" i="1"/>
  <c r="CY360" i="1"/>
  <c r="DG322" i="1"/>
  <c r="CT360" i="1"/>
  <c r="DB322" i="1"/>
  <c r="CZ381" i="1"/>
  <c r="BM343" i="1"/>
  <c r="BU305" i="1"/>
  <c r="CV340" i="1"/>
  <c r="CE360" i="1"/>
  <c r="CM322" i="1"/>
  <c r="BZ360" i="1"/>
  <c r="CH322" i="1"/>
  <c r="P392" i="1"/>
  <c r="BT382" i="1"/>
  <c r="T373" i="1"/>
  <c r="AC363" i="1"/>
  <c r="CG353" i="1"/>
  <c r="AG344" i="1"/>
  <c r="CK334" i="1"/>
  <c r="AK325" i="1"/>
  <c r="CO315" i="1"/>
  <c r="AO306" i="1"/>
  <c r="CS296" i="1"/>
  <c r="BL360" i="1"/>
  <c r="L351" i="1"/>
  <c r="BP341" i="1"/>
  <c r="P332" i="1"/>
  <c r="BT322" i="1"/>
  <c r="T313" i="1"/>
  <c r="AY361" i="1"/>
  <c r="DC351" i="1"/>
  <c r="BC342" i="1"/>
  <c r="DG332" i="1"/>
  <c r="BG323" i="1"/>
  <c r="G314" i="1"/>
  <c r="BK304" i="1"/>
  <c r="K295" i="1"/>
  <c r="AT361" i="1"/>
  <c r="CX351" i="1"/>
  <c r="AX342" i="1"/>
  <c r="DB332" i="1"/>
  <c r="BB323" i="1"/>
  <c r="AH313" i="1"/>
  <c r="AD303" i="1"/>
  <c r="CN300" i="1"/>
  <c r="CV285" i="1"/>
  <c r="AV276" i="1"/>
  <c r="CZ266" i="1"/>
  <c r="AZ257" i="1"/>
  <c r="DD247" i="1"/>
  <c r="BD238" i="1"/>
  <c r="DH228" i="1"/>
  <c r="BT300" i="1"/>
  <c r="CQ285" i="1"/>
  <c r="AQ276" i="1"/>
  <c r="CU266" i="1"/>
  <c r="AU257" i="1"/>
  <c r="CY247" i="1"/>
  <c r="AY238" i="1"/>
  <c r="CJ395" i="1"/>
  <c r="AW357" i="1"/>
  <c r="BE319" i="1"/>
  <c r="CF354" i="1"/>
  <c r="CN316" i="1"/>
  <c r="BW336" i="1"/>
  <c r="CE298" i="1"/>
  <c r="BR336" i="1"/>
  <c r="AB389" i="1"/>
  <c r="CS350" i="1"/>
  <c r="DA312" i="1"/>
  <c r="X348" i="1"/>
  <c r="AF310" i="1"/>
  <c r="O330" i="1"/>
  <c r="W292" i="1"/>
  <c r="J330" i="1"/>
  <c r="H389" i="1"/>
  <c r="BY350" i="1"/>
  <c r="CG312" i="1"/>
  <c r="DH347" i="1"/>
  <c r="L310" i="1"/>
  <c r="CY329" i="1"/>
  <c r="DG291" i="1"/>
  <c r="CT329" i="1"/>
  <c r="CV393" i="1"/>
  <c r="AV384" i="1"/>
  <c r="CZ374" i="1"/>
  <c r="DI364" i="1"/>
  <c r="BI355" i="1"/>
  <c r="I346" i="1"/>
  <c r="BM336" i="1"/>
  <c r="M327" i="1"/>
  <c r="BQ317" i="1"/>
  <c r="Q308" i="1"/>
  <c r="BU298" i="1"/>
  <c r="AN362" i="1"/>
  <c r="CR352" i="1"/>
  <c r="AR343" i="1"/>
  <c r="CV333" i="1"/>
  <c r="AV324" i="1"/>
  <c r="CZ314" i="1"/>
  <c r="AA363" i="1"/>
  <c r="CE353" i="1"/>
  <c r="AE344" i="1"/>
  <c r="CI334" i="1"/>
  <c r="AI325" i="1"/>
  <c r="CM315" i="1"/>
  <c r="AM306" i="1"/>
  <c r="CQ296" i="1"/>
  <c r="V363" i="1"/>
  <c r="BZ353" i="1"/>
  <c r="Z344" i="1"/>
  <c r="CD334" i="1"/>
  <c r="AD325" i="1"/>
  <c r="BV315" i="1"/>
  <c r="F305" i="1"/>
  <c r="CZ307" i="1"/>
  <c r="BX287" i="1"/>
  <c r="X278" i="1"/>
  <c r="CB268" i="1"/>
  <c r="AB259" i="1"/>
  <c r="CF249" i="1"/>
  <c r="AF240" i="1"/>
  <c r="CJ230" i="1"/>
  <c r="CF307" i="1"/>
  <c r="BS287" i="1"/>
  <c r="CZ383" i="1"/>
  <c r="BM345" i="1"/>
  <c r="BU307" i="1"/>
  <c r="CV342" i="1"/>
  <c r="CE362" i="1"/>
  <c r="CM324" i="1"/>
  <c r="BZ362" i="1"/>
  <c r="CH324" i="1"/>
  <c r="AR377" i="1"/>
  <c r="DI338" i="1"/>
  <c r="M301" i="1"/>
  <c r="AN336" i="1"/>
  <c r="W356" i="1"/>
  <c r="AE318" i="1"/>
  <c r="R356" i="1"/>
  <c r="Z318" i="1"/>
  <c r="X377" i="1"/>
  <c r="CO338" i="1"/>
  <c r="CW300" i="1"/>
  <c r="T336" i="1"/>
  <c r="DG355" i="1"/>
  <c r="K318" i="1"/>
  <c r="DB355" i="1"/>
  <c r="F318" i="1"/>
  <c r="CZ390" i="1"/>
  <c r="AZ381" i="1"/>
  <c r="DD371" i="1"/>
  <c r="I362" i="1"/>
  <c r="BM352" i="1"/>
  <c r="M343" i="1"/>
  <c r="BQ333" i="1"/>
  <c r="Q324" i="1"/>
  <c r="BU314" i="1"/>
  <c r="U305" i="1"/>
  <c r="BY295" i="1"/>
  <c r="AR359" i="1"/>
  <c r="CV349" i="1"/>
  <c r="AV340" i="1"/>
  <c r="CZ330" i="1"/>
  <c r="AZ321" i="1"/>
  <c r="DD311" i="1"/>
  <c r="AE360" i="1"/>
  <c r="CI350" i="1"/>
  <c r="AI341" i="1"/>
  <c r="CM331" i="1"/>
  <c r="AM322" i="1"/>
  <c r="CQ312" i="1"/>
  <c r="AQ303" i="1"/>
  <c r="CU293" i="1"/>
  <c r="Z360" i="1"/>
  <c r="CD350" i="1"/>
  <c r="AD341" i="1"/>
  <c r="CH331" i="1"/>
  <c r="AH322" i="1"/>
  <c r="CD311" i="1"/>
  <c r="J302" i="1"/>
  <c r="L296" i="1"/>
  <c r="CB284" i="1"/>
  <c r="AB275" i="1"/>
  <c r="CF265" i="1"/>
  <c r="AF256" i="1"/>
  <c r="CJ246" i="1"/>
  <c r="AJ237" i="1"/>
  <c r="CN227" i="1"/>
  <c r="CV295" i="1"/>
  <c r="BW284" i="1"/>
  <c r="H391" i="1"/>
  <c r="BY352" i="1"/>
  <c r="CG314" i="1"/>
  <c r="DH349" i="1"/>
  <c r="L312" i="1"/>
  <c r="CY331" i="1"/>
  <c r="DG293" i="1"/>
  <c r="CT331" i="1"/>
  <c r="BD384" i="1"/>
  <c r="Q346" i="1"/>
  <c r="Y308" i="1"/>
  <c r="AZ343" i="1"/>
  <c r="AI363" i="1"/>
  <c r="AQ325" i="1"/>
  <c r="AD363" i="1"/>
  <c r="AL325" i="1"/>
  <c r="AJ384" i="1"/>
  <c r="DA345" i="1"/>
  <c r="DI307" i="1"/>
  <c r="AF343" i="1"/>
  <c r="O363" i="1"/>
  <c r="W325" i="1"/>
  <c r="J363" i="1"/>
  <c r="R325" i="1"/>
  <c r="CB392" i="1"/>
  <c r="AB383" i="1"/>
  <c r="CF373" i="1"/>
  <c r="CO363" i="1"/>
  <c r="AO354" i="1"/>
  <c r="CS344" i="1"/>
  <c r="AS335" i="1"/>
  <c r="CW325" i="1"/>
  <c r="AW316" i="1"/>
  <c r="DA306" i="1"/>
  <c r="BA297" i="1"/>
  <c r="T361" i="1"/>
  <c r="BX351" i="1"/>
  <c r="X342" i="1"/>
  <c r="CB332" i="1"/>
  <c r="AB323" i="1"/>
  <c r="CF313" i="1"/>
  <c r="G362" i="1"/>
  <c r="BK352" i="1"/>
  <c r="K343" i="1"/>
  <c r="BO333" i="1"/>
  <c r="O324" i="1"/>
  <c r="BS314" i="1"/>
  <c r="S305" i="1"/>
  <c r="BW295" i="1"/>
  <c r="DF361" i="1"/>
  <c r="BF352" i="1"/>
  <c r="F343" i="1"/>
  <c r="BJ333" i="1"/>
  <c r="J324" i="1"/>
  <c r="N314" i="1"/>
  <c r="CP303" i="1"/>
  <c r="X303" i="1"/>
  <c r="BD286" i="1"/>
  <c r="DH276" i="1"/>
  <c r="BH267" i="1"/>
  <c r="H258" i="1"/>
  <c r="BL248" i="1"/>
  <c r="L239" i="1"/>
  <c r="BP229" i="1"/>
  <c r="BG280" i="1"/>
  <c r="K268" i="1"/>
  <c r="BS255" i="1"/>
  <c r="BO242" i="1"/>
  <c r="AM231" i="1"/>
  <c r="J291" i="1"/>
  <c r="BN281" i="1"/>
  <c r="N272" i="1"/>
  <c r="BR262" i="1"/>
  <c r="R253" i="1"/>
  <c r="BV243" i="1"/>
  <c r="V234" i="1"/>
  <c r="BZ224" i="1"/>
  <c r="Z215" i="1"/>
  <c r="Q289" i="1"/>
  <c r="BU279" i="1"/>
  <c r="U270" i="1"/>
  <c r="BY260" i="1"/>
  <c r="Y251" i="1"/>
  <c r="CL315" i="1"/>
  <c r="R305" i="1"/>
  <c r="AR308" i="1"/>
  <c r="CJ287" i="1"/>
  <c r="AJ278" i="1"/>
  <c r="CN268" i="1"/>
  <c r="AN259" i="1"/>
  <c r="CR249" i="1"/>
  <c r="AR240" i="1"/>
  <c r="CV230" i="1"/>
  <c r="X308" i="1"/>
  <c r="CE287" i="1"/>
  <c r="AE278" i="1"/>
  <c r="CI268" i="1"/>
  <c r="AI259" i="1"/>
  <c r="CM249" i="1"/>
  <c r="AM240" i="1"/>
  <c r="CQ230" i="1"/>
  <c r="BN290" i="1"/>
  <c r="N281" i="1"/>
  <c r="BR271" i="1"/>
  <c r="R262" i="1"/>
  <c r="BV252" i="1"/>
  <c r="V243" i="1"/>
  <c r="BZ233" i="1"/>
  <c r="Z224" i="1"/>
  <c r="CD214" i="1"/>
  <c r="BU288" i="1"/>
  <c r="U279" i="1"/>
  <c r="BY269" i="1"/>
  <c r="V307" i="1"/>
  <c r="BZ297" i="1"/>
  <c r="CN289" i="1"/>
  <c r="AN280" i="1"/>
  <c r="CR270" i="1"/>
  <c r="AR261" i="1"/>
  <c r="CV251" i="1"/>
  <c r="AV242" i="1"/>
  <c r="CZ232" i="1"/>
  <c r="AZ223" i="1"/>
  <c r="CI289" i="1"/>
  <c r="AI280" i="1"/>
  <c r="CM270" i="1"/>
  <c r="AM261" i="1"/>
  <c r="CQ251" i="1"/>
  <c r="AQ242" i="1"/>
  <c r="CU232" i="1"/>
  <c r="Q293" i="1"/>
  <c r="R283" i="1"/>
  <c r="BV273" i="1"/>
  <c r="V264" i="1"/>
  <c r="BZ254" i="1"/>
  <c r="Z245" i="1"/>
  <c r="CD235" i="1"/>
  <c r="AD226" i="1"/>
  <c r="CH216" i="1"/>
  <c r="BY290" i="1"/>
  <c r="Y281" i="1"/>
  <c r="CC271" i="1"/>
  <c r="BM267" i="1"/>
  <c r="BA264" i="1"/>
  <c r="DA261" i="1"/>
  <c r="BM259" i="1"/>
  <c r="Y257" i="1"/>
  <c r="CO254" i="1"/>
  <c r="BA252" i="1"/>
  <c r="M250" i="1"/>
  <c r="CC247" i="1"/>
  <c r="BA241" i="1"/>
  <c r="DE231" i="1"/>
  <c r="CD314" i="1"/>
  <c r="BN311" i="1"/>
  <c r="J309" i="1"/>
  <c r="BZ306" i="1"/>
  <c r="AL304" i="1"/>
  <c r="DB301" i="1"/>
  <c r="BN299" i="1"/>
  <c r="Z297" i="1"/>
  <c r="P305" i="1"/>
  <c r="CF295" i="1"/>
  <c r="CX291" i="1"/>
  <c r="AN289" i="1"/>
  <c r="DD286" i="1"/>
  <c r="BP284" i="1"/>
  <c r="AB282" i="1"/>
  <c r="CR279" i="1"/>
  <c r="BD277" i="1"/>
  <c r="P275" i="1"/>
  <c r="CF272" i="1"/>
  <c r="AR270" i="1"/>
  <c r="DH267" i="1"/>
  <c r="BT265" i="1"/>
  <c r="AF263" i="1"/>
  <c r="CV260" i="1"/>
  <c r="BH258" i="1"/>
  <c r="T256" i="1"/>
  <c r="CJ253" i="1"/>
  <c r="AV251" i="1"/>
  <c r="H249" i="1"/>
  <c r="BX246" i="1"/>
  <c r="AJ244" i="1"/>
  <c r="CZ241" i="1"/>
  <c r="BL239" i="1"/>
  <c r="X237" i="1"/>
  <c r="CN234" i="1"/>
  <c r="AZ232" i="1"/>
  <c r="L230" i="1"/>
  <c r="CB227" i="1"/>
  <c r="AN225" i="1"/>
  <c r="DD222" i="1"/>
  <c r="CZ304" i="1"/>
  <c r="BV295" i="1"/>
  <c r="CR291" i="1"/>
  <c r="AI289" i="1"/>
  <c r="CY286" i="1"/>
  <c r="BK284" i="1"/>
  <c r="W282" i="1"/>
  <c r="CM279" i="1"/>
  <c r="K284" i="1"/>
  <c r="AY270" i="1"/>
  <c r="DG257" i="1"/>
  <c r="DC244" i="1"/>
  <c r="O233" i="1"/>
  <c r="AW293" i="1"/>
  <c r="AP283" i="1"/>
  <c r="CT273" i="1"/>
  <c r="AT264" i="1"/>
  <c r="CX254" i="1"/>
  <c r="AX245" i="1"/>
  <c r="DB235" i="1"/>
  <c r="BB226" i="1"/>
  <c r="DF216" i="1"/>
  <c r="CW290" i="1"/>
  <c r="AW281" i="1"/>
  <c r="DA271" i="1"/>
  <c r="BA262" i="1"/>
  <c r="DE252" i="1"/>
  <c r="I234" i="1"/>
  <c r="CX306" i="1"/>
  <c r="AX297" i="1"/>
  <c r="BL289" i="1"/>
  <c r="L280" i="1"/>
  <c r="BP270" i="1"/>
  <c r="P261" i="1"/>
  <c r="BT251" i="1"/>
  <c r="T242" i="1"/>
  <c r="BX232" i="1"/>
  <c r="X223" i="1"/>
  <c r="BG289" i="1"/>
  <c r="G280" i="1"/>
  <c r="BK270" i="1"/>
  <c r="K261" i="1"/>
  <c r="BO251" i="1"/>
  <c r="O242" i="1"/>
  <c r="BS232" i="1"/>
  <c r="CJ292" i="1"/>
  <c r="CT282" i="1"/>
  <c r="AT273" i="1"/>
  <c r="CX263" i="1"/>
  <c r="AX254" i="1"/>
  <c r="DB244" i="1"/>
  <c r="BB235" i="1"/>
  <c r="DF225" i="1"/>
  <c r="BF216" i="1"/>
  <c r="AW290" i="1"/>
  <c r="DA280" i="1"/>
  <c r="BA271" i="1"/>
  <c r="DB308" i="1"/>
  <c r="BB299" i="1"/>
  <c r="CH291" i="1"/>
  <c r="P282" i="1"/>
  <c r="BT272" i="1"/>
  <c r="T263" i="1"/>
  <c r="BX253" i="1"/>
  <c r="X244" i="1"/>
  <c r="CB234" i="1"/>
  <c r="AB225" i="1"/>
  <c r="CB291" i="1"/>
  <c r="K282" i="1"/>
  <c r="BO272" i="1"/>
  <c r="O263" i="1"/>
  <c r="BS253" i="1"/>
  <c r="S244" i="1"/>
  <c r="BW234" i="1"/>
  <c r="CV296" i="1"/>
  <c r="CX284" i="1"/>
  <c r="AX275" i="1"/>
  <c r="DB265" i="1"/>
  <c r="BB256" i="1"/>
  <c r="DF246" i="1"/>
  <c r="BF237" i="1"/>
  <c r="F228" i="1"/>
  <c r="BJ218" i="1"/>
  <c r="CX292" i="1"/>
  <c r="DE282" i="1"/>
  <c r="BE273" i="1"/>
  <c r="U268" i="1"/>
  <c r="I265" i="1"/>
  <c r="AS262" i="1"/>
  <c r="DI259" i="1"/>
  <c r="BU257" i="1"/>
  <c r="AG255" i="1"/>
  <c r="CW252" i="1"/>
  <c r="BI250" i="1"/>
  <c r="U248" i="1"/>
  <c r="AC243" i="1"/>
  <c r="CG233" i="1"/>
  <c r="AL315" i="1"/>
  <c r="V312" i="1"/>
  <c r="BF309" i="1"/>
  <c r="R307" i="1"/>
  <c r="CH304" i="1"/>
  <c r="AT302" i="1"/>
  <c r="F300" i="1"/>
  <c r="BV297" i="1"/>
  <c r="CV306" i="1"/>
  <c r="AV297" i="1"/>
  <c r="BF292" i="1"/>
  <c r="CJ289" i="1"/>
  <c r="AV287" i="1"/>
  <c r="H285" i="1"/>
  <c r="BX282" i="1"/>
  <c r="AJ280" i="1"/>
  <c r="CZ277" i="1"/>
  <c r="BL275" i="1"/>
  <c r="X273" i="1"/>
  <c r="CN270" i="1"/>
  <c r="AZ268" i="1"/>
  <c r="L266" i="1"/>
  <c r="CB263" i="1"/>
  <c r="AN261" i="1"/>
  <c r="DD258" i="1"/>
  <c r="BP256" i="1"/>
  <c r="AB254" i="1"/>
  <c r="CR251" i="1"/>
  <c r="BD249" i="1"/>
  <c r="P247" i="1"/>
  <c r="CF244" i="1"/>
  <c r="AR242" i="1"/>
  <c r="DH239" i="1"/>
  <c r="BT237" i="1"/>
  <c r="AF235" i="1"/>
  <c r="CV232" i="1"/>
  <c r="BH230" i="1"/>
  <c r="T228" i="1"/>
  <c r="CJ225" i="1"/>
  <c r="AV223" i="1"/>
  <c r="CB306" i="1"/>
  <c r="AB297" i="1"/>
  <c r="AZ292" i="1"/>
  <c r="CM288" i="1"/>
  <c r="CM272" i="1"/>
  <c r="AQ260" i="1"/>
  <c r="AM247" i="1"/>
  <c r="CU234" i="1"/>
  <c r="CJ297" i="1"/>
  <c r="R285" i="1"/>
  <c r="BV275" i="1"/>
  <c r="V266" i="1"/>
  <c r="BZ256" i="1"/>
  <c r="Z247" i="1"/>
  <c r="CD237" i="1"/>
  <c r="AD228" i="1"/>
  <c r="CH218" i="1"/>
  <c r="Z293" i="1"/>
  <c r="Y283" i="1"/>
  <c r="CC273" i="1"/>
  <c r="AC264" i="1"/>
  <c r="CG254" i="1"/>
  <c r="U241" i="1"/>
  <c r="BZ308" i="1"/>
  <c r="Z299" i="1"/>
  <c r="AW291" i="1"/>
  <c r="CR281" i="1"/>
  <c r="AR272" i="1"/>
  <c r="CV262" i="1"/>
  <c r="AV253" i="1"/>
  <c r="CZ243" i="1"/>
  <c r="AZ234" i="1"/>
  <c r="DD224" i="1"/>
  <c r="AP291" i="1"/>
  <c r="CM281" i="1"/>
  <c r="AM272" i="1"/>
  <c r="CQ262" i="1"/>
  <c r="AQ253" i="1"/>
  <c r="CU243" i="1"/>
  <c r="AU234" i="1"/>
  <c r="CR295" i="1"/>
  <c r="BV284" i="1"/>
  <c r="V275" i="1"/>
  <c r="BZ265" i="1"/>
  <c r="Z256" i="1"/>
  <c r="CD246" i="1"/>
  <c r="AD237" i="1"/>
  <c r="CH227" i="1"/>
  <c r="AH218" i="1"/>
  <c r="BM292" i="1"/>
  <c r="CC282" i="1"/>
  <c r="AC273" i="1"/>
  <c r="CD310" i="1"/>
  <c r="AD301" i="1"/>
  <c r="AN294" i="1"/>
  <c r="CV283" i="1"/>
  <c r="AV274" i="1"/>
  <c r="CZ264" i="1"/>
  <c r="AZ255" i="1"/>
  <c r="DD245" i="1"/>
  <c r="BD236" i="1"/>
  <c r="DH226" i="1"/>
  <c r="AD294" i="1"/>
  <c r="CQ283" i="1"/>
  <c r="AQ274" i="1"/>
  <c r="CU264" i="1"/>
  <c r="AU255" i="1"/>
  <c r="CY245" i="1"/>
  <c r="AY236" i="1"/>
  <c r="DH303" i="1"/>
  <c r="BZ286" i="1"/>
  <c r="Z277" i="1"/>
  <c r="CD267" i="1"/>
  <c r="AD258" i="1"/>
  <c r="CH248" i="1"/>
  <c r="AH239" i="1"/>
  <c r="CL229" i="1"/>
  <c r="AL220" i="1"/>
  <c r="AF296" i="1"/>
  <c r="CG284" i="1"/>
  <c r="AG275" i="1"/>
  <c r="CG268" i="1"/>
  <c r="BU265" i="1"/>
  <c r="CO262" i="1"/>
  <c r="BA260" i="1"/>
  <c r="M258" i="1"/>
  <c r="CC255" i="1"/>
  <c r="AO253" i="1"/>
  <c r="DE250" i="1"/>
  <c r="BQ248" i="1"/>
  <c r="DI244" i="1"/>
  <c r="BI235" i="1"/>
  <c r="CX315" i="1"/>
  <c r="CH312" i="1"/>
  <c r="DB309" i="1"/>
  <c r="BN307" i="1"/>
  <c r="Z305" i="1"/>
  <c r="CP302" i="1"/>
  <c r="BB300" i="1"/>
  <c r="N298" i="1"/>
  <c r="BX308" i="1"/>
  <c r="X299" i="1"/>
  <c r="N293" i="1"/>
  <c r="AB290" i="1"/>
  <c r="CR287" i="1"/>
  <c r="BD285" i="1"/>
  <c r="P283" i="1"/>
  <c r="CF280" i="1"/>
  <c r="AR278" i="1"/>
  <c r="DH275" i="1"/>
  <c r="BT273" i="1"/>
  <c r="AF271" i="1"/>
  <c r="CV268" i="1"/>
  <c r="BH266" i="1"/>
  <c r="T264" i="1"/>
  <c r="CJ261" i="1"/>
  <c r="AV259" i="1"/>
  <c r="H257" i="1"/>
  <c r="BX254" i="1"/>
  <c r="AJ252" i="1"/>
  <c r="CZ249" i="1"/>
  <c r="BL247" i="1"/>
  <c r="X245" i="1"/>
  <c r="CN242" i="1"/>
  <c r="AZ240" i="1"/>
  <c r="L238" i="1"/>
  <c r="CB235" i="1"/>
  <c r="AN233" i="1"/>
  <c r="DD230" i="1"/>
  <c r="BP228" i="1"/>
  <c r="AB226" i="1"/>
  <c r="CR223" i="1"/>
  <c r="DH302" i="1"/>
  <c r="W275" i="1"/>
  <c r="CE262" i="1"/>
  <c r="CA249" i="1"/>
  <c r="AE237" i="1"/>
  <c r="CV304" i="1"/>
  <c r="CX286" i="1"/>
  <c r="AX277" i="1"/>
  <c r="DB267" i="1"/>
  <c r="BB258" i="1"/>
  <c r="DF248" i="1"/>
  <c r="BF239" i="1"/>
  <c r="F230" i="1"/>
  <c r="BJ220" i="1"/>
  <c r="T297" i="1"/>
  <c r="DE284" i="1"/>
  <c r="BE275" i="1"/>
  <c r="DI265" i="1"/>
  <c r="BI256" i="1"/>
  <c r="I247" i="1"/>
  <c r="BB310" i="1"/>
  <c r="DF300" i="1"/>
  <c r="CN293" i="1"/>
  <c r="BT283" i="1"/>
  <c r="T274" i="1"/>
  <c r="BX264" i="1"/>
  <c r="X255" i="1"/>
  <c r="CB245" i="1"/>
  <c r="AB236" i="1"/>
  <c r="CF226" i="1"/>
  <c r="CD293" i="1"/>
  <c r="BO283" i="1"/>
  <c r="O274" i="1"/>
  <c r="BS264" i="1"/>
  <c r="S255" i="1"/>
  <c r="BW245" i="1"/>
  <c r="W236" i="1"/>
  <c r="DD302" i="1"/>
  <c r="AX286" i="1"/>
  <c r="DB276" i="1"/>
  <c r="BB267" i="1"/>
  <c r="DF257" i="1"/>
  <c r="BF248" i="1"/>
  <c r="F239" i="1"/>
  <c r="BJ229" i="1"/>
  <c r="J220" i="1"/>
  <c r="BJ295" i="1"/>
  <c r="BE284" i="1"/>
  <c r="DI274" i="1"/>
  <c r="DF312" i="1"/>
  <c r="F303" i="1"/>
  <c r="CZ299" i="1"/>
  <c r="BX285" i="1"/>
  <c r="X276" i="1"/>
  <c r="CB266" i="1"/>
  <c r="AB257" i="1"/>
  <c r="CF247" i="1"/>
  <c r="AF238" i="1"/>
  <c r="CJ228" i="1"/>
  <c r="CN224" i="1"/>
  <c r="U291" i="1"/>
  <c r="BW281" i="1"/>
  <c r="W272" i="1"/>
  <c r="CA262" i="1"/>
  <c r="AA253" i="1"/>
  <c r="CE243" i="1"/>
  <c r="AE234" i="1"/>
  <c r="BL295" i="1"/>
  <c r="BF284" i="1"/>
  <c r="F275" i="1"/>
  <c r="BJ265" i="1"/>
  <c r="J256" i="1"/>
  <c r="BN246" i="1"/>
  <c r="N237" i="1"/>
  <c r="BR227" i="1"/>
  <c r="R218" i="1"/>
  <c r="AR292" i="1"/>
  <c r="BM282" i="1"/>
  <c r="M273" i="1"/>
  <c r="BN310" i="1"/>
  <c r="N301" i="1"/>
  <c r="H294" i="1"/>
  <c r="CF283" i="1"/>
  <c r="AF274" i="1"/>
  <c r="CJ264" i="1"/>
  <c r="AJ255" i="1"/>
  <c r="CN245" i="1"/>
  <c r="AN236" i="1"/>
  <c r="CR226" i="1"/>
  <c r="DB293" i="1"/>
  <c r="CA283" i="1"/>
  <c r="AA274" i="1"/>
  <c r="CE264" i="1"/>
  <c r="AE255" i="1"/>
  <c r="CI245" i="1"/>
  <c r="AI236" i="1"/>
  <c r="AV303" i="1"/>
  <c r="BJ286" i="1"/>
  <c r="J277" i="1"/>
  <c r="BN267" i="1"/>
  <c r="N258" i="1"/>
  <c r="BR248" i="1"/>
  <c r="R239" i="1"/>
  <c r="BV229" i="1"/>
  <c r="V220" i="1"/>
  <c r="CH295" i="1"/>
  <c r="BQ284" i="1"/>
  <c r="Q275" i="1"/>
  <c r="AL452" i="1"/>
  <c r="AH400" i="1"/>
  <c r="CT397" i="1"/>
  <c r="BZ397" i="1"/>
  <c r="BI430" i="1"/>
  <c r="CM392" i="1"/>
  <c r="CL393" i="1"/>
  <c r="BM394" i="1"/>
  <c r="BP394" i="1"/>
  <c r="AC356" i="1"/>
  <c r="AK318" i="1"/>
  <c r="BL353" i="1"/>
  <c r="BT315" i="1"/>
  <c r="BC335" i="1"/>
  <c r="BK297" i="1"/>
  <c r="AX335" i="1"/>
  <c r="H388" i="1"/>
  <c r="BY349" i="1"/>
  <c r="CG311" i="1"/>
  <c r="DH346" i="1"/>
  <c r="AC367" i="1"/>
  <c r="CY328" i="1"/>
  <c r="T367" i="1"/>
  <c r="CT328" i="1"/>
  <c r="CR387" i="1"/>
  <c r="BE349" i="1"/>
  <c r="BM311" i="1"/>
  <c r="CN346" i="1"/>
  <c r="CS366" i="1"/>
  <c r="CE328" i="1"/>
  <c r="CJ366" i="1"/>
  <c r="BZ328" i="1"/>
  <c r="BP393" i="1"/>
  <c r="P384" i="1"/>
  <c r="BT374" i="1"/>
  <c r="CC364" i="1"/>
  <c r="AC355" i="1"/>
  <c r="CG345" i="1"/>
  <c r="AG336" i="1"/>
  <c r="CK326" i="1"/>
  <c r="AK317" i="1"/>
  <c r="CO307" i="1"/>
  <c r="CC300" i="1"/>
  <c r="DE295" i="1"/>
  <c r="AV364" i="1"/>
  <c r="BX359" i="1"/>
  <c r="CZ354" i="1"/>
  <c r="X350" i="1"/>
  <c r="AZ345" i="1"/>
  <c r="CB340" i="1"/>
  <c r="DD335" i="1"/>
  <c r="AB331" i="1"/>
  <c r="BD326" i="1"/>
  <c r="CF321" i="1"/>
  <c r="DH316" i="1"/>
  <c r="AF312" i="1"/>
  <c r="AI365" i="1"/>
  <c r="BK360" i="1"/>
  <c r="CM355" i="1"/>
  <c r="K351" i="1"/>
  <c r="AM346" i="1"/>
  <c r="BO341" i="1"/>
  <c r="CQ336" i="1"/>
  <c r="O332" i="1"/>
  <c r="AQ327" i="1"/>
  <c r="BS322" i="1"/>
  <c r="CU317" i="1"/>
  <c r="S313" i="1"/>
  <c r="AU308" i="1"/>
  <c r="BW303" i="1"/>
  <c r="CY298" i="1"/>
  <c r="W294" i="1"/>
  <c r="AD365" i="1"/>
  <c r="BF360" i="1"/>
  <c r="CH355" i="1"/>
  <c r="F351" i="1"/>
  <c r="AH346" i="1"/>
  <c r="BJ341" i="1"/>
  <c r="CL336" i="1"/>
  <c r="J332" i="1"/>
  <c r="AL327" i="1"/>
  <c r="BN322" i="1"/>
  <c r="CP317" i="1"/>
  <c r="N312" i="1"/>
  <c r="N307" i="1"/>
  <c r="AP302" i="1"/>
  <c r="BR297" i="1"/>
  <c r="AF297" i="1"/>
  <c r="CF289" i="1"/>
  <c r="DH284" i="1"/>
  <c r="AF280" i="1"/>
  <c r="BH275" i="1"/>
  <c r="CJ270" i="1"/>
  <c r="H266" i="1"/>
  <c r="AJ261" i="1"/>
  <c r="BL256" i="1"/>
  <c r="CN251" i="1"/>
  <c r="L247" i="1"/>
  <c r="AN242" i="1"/>
  <c r="BP237" i="1"/>
  <c r="CR232" i="1"/>
  <c r="P228" i="1"/>
  <c r="AR223" i="1"/>
  <c r="L297" i="1"/>
  <c r="CA289" i="1"/>
  <c r="DC284" i="1"/>
  <c r="AA280" i="1"/>
  <c r="BC275" i="1"/>
  <c r="CE270" i="1"/>
  <c r="DG265" i="1"/>
  <c r="AE261" i="1"/>
  <c r="BG256" i="1"/>
  <c r="CI251" i="1"/>
  <c r="G247" i="1"/>
  <c r="AI242" i="1"/>
  <c r="BK237" i="1"/>
  <c r="CM232" i="1"/>
  <c r="AZ308" i="1"/>
  <c r="F293" i="1"/>
  <c r="CL287" i="1"/>
  <c r="J283" i="1"/>
  <c r="AL278" i="1"/>
  <c r="BN273" i="1"/>
  <c r="CP268" i="1"/>
  <c r="N264" i="1"/>
  <c r="AP259" i="1"/>
  <c r="BR254" i="1"/>
  <c r="CT249" i="1"/>
  <c r="R245" i="1"/>
  <c r="AT240" i="1"/>
  <c r="BV235" i="1"/>
  <c r="CX230" i="1"/>
  <c r="V226" i="1"/>
  <c r="AX221" i="1"/>
  <c r="BZ216" i="1"/>
  <c r="CB300" i="1"/>
  <c r="BQ290" i="1"/>
  <c r="CS285" i="1"/>
  <c r="Q281" i="1"/>
  <c r="AS276" i="1"/>
  <c r="BU271" i="1"/>
  <c r="CW266" i="1"/>
  <c r="U262" i="1"/>
  <c r="AW257" i="1"/>
  <c r="BY252" i="1"/>
  <c r="DA247" i="1"/>
  <c r="CS232" i="1"/>
  <c r="BB311" i="1"/>
  <c r="BR306" i="1"/>
  <c r="CT301" i="1"/>
  <c r="R297" i="1"/>
  <c r="BP295" i="1"/>
  <c r="AF289" i="1"/>
  <c r="BH284" i="1"/>
  <c r="CJ279" i="1"/>
  <c r="H275" i="1"/>
  <c r="AJ270" i="1"/>
  <c r="BL265" i="1"/>
  <c r="CN260" i="1"/>
  <c r="L256" i="1"/>
  <c r="AN251" i="1"/>
  <c r="BP246" i="1"/>
  <c r="CR241" i="1"/>
  <c r="P237" i="1"/>
  <c r="AR232" i="1"/>
  <c r="BT227" i="1"/>
  <c r="CV222" i="1"/>
  <c r="BF295" i="1"/>
  <c r="AA289" i="1"/>
  <c r="BC284" i="1"/>
  <c r="CE279" i="1"/>
  <c r="DG274" i="1"/>
  <c r="AE270" i="1"/>
  <c r="BG265" i="1"/>
  <c r="CI260" i="1"/>
  <c r="G256" i="1"/>
  <c r="AI251" i="1"/>
  <c r="BK246" i="1"/>
  <c r="CM241" i="1"/>
  <c r="K237" i="1"/>
  <c r="AM232" i="1"/>
  <c r="BH306" i="1"/>
  <c r="AS292" i="1"/>
  <c r="AL287" i="1"/>
  <c r="BN282" i="1"/>
  <c r="CP277" i="1"/>
  <c r="N273" i="1"/>
  <c r="AP268" i="1"/>
  <c r="BR263" i="1"/>
  <c r="CT258" i="1"/>
  <c r="R254" i="1"/>
  <c r="BN250" i="1"/>
  <c r="BR247" i="1"/>
  <c r="BV244" i="1"/>
  <c r="N241" i="1"/>
  <c r="R238" i="1"/>
  <c r="V235" i="1"/>
  <c r="BR231" i="1"/>
  <c r="BV228" i="1"/>
  <c r="BZ225" i="1"/>
  <c r="R222" i="1"/>
  <c r="V219" i="1"/>
  <c r="Z216" i="1"/>
  <c r="BH303" i="1"/>
  <c r="CH293" i="1"/>
  <c r="Q290" i="1"/>
  <c r="BM286" i="1"/>
  <c r="BQ283" i="1"/>
  <c r="BU280" i="1"/>
  <c r="M277" i="1"/>
  <c r="Q274" i="1"/>
  <c r="U271" i="1"/>
  <c r="CH315" i="1"/>
  <c r="CL311" i="1"/>
  <c r="BV308" i="1"/>
  <c r="N305" i="1"/>
  <c r="R302" i="1"/>
  <c r="V299" i="1"/>
  <c r="AB308" i="1"/>
  <c r="AR296" i="1"/>
  <c r="AR291" i="1"/>
  <c r="CF287" i="1"/>
  <c r="CJ284" i="1"/>
  <c r="CN281" i="1"/>
  <c r="AF278" i="1"/>
  <c r="AJ275" i="1"/>
  <c r="AN272" i="1"/>
  <c r="CJ268" i="1"/>
  <c r="CN265" i="1"/>
  <c r="CR262" i="1"/>
  <c r="AJ259" i="1"/>
  <c r="AN256" i="1"/>
  <c r="AR253" i="1"/>
  <c r="CN249" i="1"/>
  <c r="CR246" i="1"/>
  <c r="CV243" i="1"/>
  <c r="AN240" i="1"/>
  <c r="AR237" i="1"/>
  <c r="AV234" i="1"/>
  <c r="CR230" i="1"/>
  <c r="CV227" i="1"/>
  <c r="CZ224" i="1"/>
  <c r="H308" i="1"/>
  <c r="X296" i="1"/>
  <c r="AK291" i="1"/>
  <c r="CA287" i="1"/>
  <c r="CE284" i="1"/>
  <c r="CI281" i="1"/>
  <c r="AA278" i="1"/>
  <c r="AE275" i="1"/>
  <c r="AI272" i="1"/>
  <c r="CE268" i="1"/>
  <c r="CI265" i="1"/>
  <c r="CM262" i="1"/>
  <c r="AE259" i="1"/>
  <c r="AI256" i="1"/>
  <c r="AM253" i="1"/>
  <c r="CI249" i="1"/>
  <c r="CM246" i="1"/>
  <c r="CQ243" i="1"/>
  <c r="AI240" i="1"/>
  <c r="AM237" i="1"/>
  <c r="AQ234" i="1"/>
  <c r="CM230" i="1"/>
  <c r="BL307" i="1"/>
  <c r="CJ295" i="1"/>
  <c r="BJ290" i="1"/>
  <c r="BN287" i="1"/>
  <c r="Z285" i="1"/>
  <c r="CP282" i="1"/>
  <c r="BB280" i="1"/>
  <c r="N278" i="1"/>
  <c r="CD275" i="1"/>
  <c r="AP273" i="1"/>
  <c r="DF270" i="1"/>
  <c r="BR268" i="1"/>
  <c r="AD266" i="1"/>
  <c r="CT263" i="1"/>
  <c r="BF261" i="1"/>
  <c r="R259" i="1"/>
  <c r="CH256" i="1"/>
  <c r="AT254" i="1"/>
  <c r="F252" i="1"/>
  <c r="BV249" i="1"/>
  <c r="AH247" i="1"/>
  <c r="CX244" i="1"/>
  <c r="BJ242" i="1"/>
  <c r="V240" i="1"/>
  <c r="CL237" i="1"/>
  <c r="AX235" i="1"/>
  <c r="J233" i="1"/>
  <c r="BZ230" i="1"/>
  <c r="AL228" i="1"/>
  <c r="DB225" i="1"/>
  <c r="BN223" i="1"/>
  <c r="Z221" i="1"/>
  <c r="CP218" i="1"/>
  <c r="BB216" i="1"/>
  <c r="N214" i="1"/>
  <c r="CN299" i="1"/>
  <c r="AK293" i="1"/>
  <c r="AS290" i="1"/>
  <c r="DI287" i="1"/>
  <c r="BU285" i="1"/>
  <c r="AG283" i="1"/>
  <c r="CW280" i="1"/>
  <c r="BI278" i="1"/>
  <c r="U276" i="1"/>
  <c r="CK273" i="1"/>
  <c r="AW271" i="1"/>
  <c r="BJ499" i="1"/>
  <c r="CE462" i="1"/>
  <c r="AL411" i="1"/>
  <c r="CW441" i="1"/>
  <c r="BZ439" i="1"/>
  <c r="Y406" i="1"/>
  <c r="BC368" i="1"/>
  <c r="BB369" i="1"/>
  <c r="BR421" i="1"/>
  <c r="DG403" i="1"/>
  <c r="DF404" i="1"/>
  <c r="J367" i="1"/>
  <c r="CT420" i="1"/>
  <c r="CM403" i="1"/>
  <c r="CL404" i="1"/>
  <c r="CT366" i="1"/>
  <c r="Y375" i="1"/>
  <c r="CX421" i="1"/>
  <c r="AK432" i="1"/>
  <c r="CO422" i="1"/>
  <c r="AO413" i="1"/>
  <c r="K404" i="1"/>
  <c r="BO394" i="1"/>
  <c r="O385" i="1"/>
  <c r="BS375" i="1"/>
  <c r="T405" i="1"/>
  <c r="BN395" i="1"/>
  <c r="N386" i="1"/>
  <c r="BR376" i="1"/>
  <c r="R367" i="1"/>
  <c r="AO396" i="1"/>
  <c r="CS386" i="1"/>
  <c r="AS377" i="1"/>
  <c r="I368" i="1"/>
  <c r="AR396" i="1"/>
  <c r="CV386" i="1"/>
  <c r="AV377" i="1"/>
  <c r="CZ367" i="1"/>
  <c r="DI357" i="1"/>
  <c r="BI348" i="1"/>
  <c r="I339" i="1"/>
  <c r="BM329" i="1"/>
  <c r="M320" i="1"/>
  <c r="BQ310" i="1"/>
  <c r="Q301" i="1"/>
  <c r="CN364" i="1"/>
  <c r="AN355" i="1"/>
  <c r="CR345" i="1"/>
  <c r="AR336" i="1"/>
  <c r="CV326" i="1"/>
  <c r="AV317" i="1"/>
  <c r="CA365" i="1"/>
  <c r="AA356" i="1"/>
  <c r="CE346" i="1"/>
  <c r="AE337" i="1"/>
  <c r="CI327" i="1"/>
  <c r="AI318" i="1"/>
  <c r="CM308" i="1"/>
  <c r="AM299" i="1"/>
  <c r="BV365" i="1"/>
  <c r="V356" i="1"/>
  <c r="BZ346" i="1"/>
  <c r="Z337" i="1"/>
  <c r="CD327" i="1"/>
  <c r="AD318" i="1"/>
  <c r="AJ399" i="1"/>
  <c r="CN389" i="1"/>
  <c r="AN380" i="1"/>
  <c r="CR370" i="1"/>
  <c r="DA360" i="1"/>
  <c r="BA351" i="1"/>
  <c r="DE341" i="1"/>
  <c r="BE332" i="1"/>
  <c r="DI322" i="1"/>
  <c r="BI313" i="1"/>
  <c r="I304" i="1"/>
  <c r="BM294" i="1"/>
  <c r="AF358" i="1"/>
  <c r="CJ348" i="1"/>
  <c r="AJ339" i="1"/>
  <c r="CN329" i="1"/>
  <c r="AN320" i="1"/>
  <c r="CR310" i="1"/>
  <c r="S359" i="1"/>
  <c r="BW349" i="1"/>
  <c r="W340" i="1"/>
  <c r="CA330" i="1"/>
  <c r="AA321" i="1"/>
  <c r="CE311" i="1"/>
  <c r="AE302" i="1"/>
  <c r="CI292" i="1"/>
  <c r="N359" i="1"/>
  <c r="BR349" i="1"/>
  <c r="R340" i="1"/>
  <c r="BV330" i="1"/>
  <c r="V321" i="1"/>
  <c r="BZ311" i="1"/>
  <c r="P399" i="1"/>
  <c r="BT389" i="1"/>
  <c r="T380" i="1"/>
  <c r="BX370" i="1"/>
  <c r="CG360" i="1"/>
  <c r="AG351" i="1"/>
  <c r="CK341" i="1"/>
  <c r="AK332" i="1"/>
  <c r="CO322" i="1"/>
  <c r="AO313" i="1"/>
  <c r="CS303" i="1"/>
  <c r="AS294" i="1"/>
  <c r="L358" i="1"/>
  <c r="BP348" i="1"/>
  <c r="P339" i="1"/>
  <c r="BT329" i="1"/>
  <c r="T320" i="1"/>
  <c r="BX310" i="1"/>
  <c r="DC358" i="1"/>
  <c r="BC349" i="1"/>
  <c r="DG339" i="1"/>
  <c r="BG330" i="1"/>
  <c r="G321" i="1"/>
  <c r="BK311" i="1"/>
  <c r="K302" i="1"/>
  <c r="BO292" i="1"/>
  <c r="CX358" i="1"/>
  <c r="AX349" i="1"/>
  <c r="DB339" i="1"/>
  <c r="BB330" i="1"/>
  <c r="DF320" i="1"/>
  <c r="AB403" i="1"/>
  <c r="BD398" i="1"/>
  <c r="H394" i="1"/>
  <c r="BX391" i="1"/>
  <c r="AJ389" i="1"/>
  <c r="CZ386" i="1"/>
  <c r="BL384" i="1"/>
  <c r="X382" i="1"/>
  <c r="CN379" i="1"/>
  <c r="AZ377" i="1"/>
  <c r="L375" i="1"/>
  <c r="CB372" i="1"/>
  <c r="AN370" i="1"/>
  <c r="DD367" i="1"/>
  <c r="U365" i="1"/>
  <c r="CK362" i="1"/>
  <c r="AW360" i="1"/>
  <c r="I358" i="1"/>
  <c r="BY355" i="1"/>
  <c r="AK353" i="1"/>
  <c r="DA350" i="1"/>
  <c r="BM348" i="1"/>
  <c r="Y346" i="1"/>
  <c r="CO343" i="1"/>
  <c r="BA341" i="1"/>
  <c r="M339" i="1"/>
  <c r="CC336" i="1"/>
  <c r="AO334" i="1"/>
  <c r="DE331" i="1"/>
  <c r="BQ329" i="1"/>
  <c r="AC327" i="1"/>
  <c r="CS324" i="1"/>
  <c r="BE322" i="1"/>
  <c r="Q320" i="1"/>
  <c r="CG317" i="1"/>
  <c r="AS315" i="1"/>
  <c r="DI312" i="1"/>
  <c r="BU310" i="1"/>
  <c r="AG308" i="1"/>
  <c r="CW305" i="1"/>
  <c r="BI303" i="1"/>
  <c r="U301" i="1"/>
  <c r="CK298" i="1"/>
  <c r="AW296" i="1"/>
  <c r="I294" i="1"/>
  <c r="CR364" i="1"/>
  <c r="BD362" i="1"/>
  <c r="P360" i="1"/>
  <c r="CF357" i="1"/>
  <c r="AR355" i="1"/>
  <c r="DH352" i="1"/>
  <c r="BT350" i="1"/>
  <c r="AF348" i="1"/>
  <c r="CV345" i="1"/>
  <c r="BH343" i="1"/>
  <c r="T341" i="1"/>
  <c r="CJ338" i="1"/>
  <c r="AV336" i="1"/>
  <c r="H334" i="1"/>
  <c r="BX331" i="1"/>
  <c r="AJ329" i="1"/>
  <c r="CZ326" i="1"/>
  <c r="BL324" i="1"/>
  <c r="X322" i="1"/>
  <c r="CN319" i="1"/>
  <c r="AZ317" i="1"/>
  <c r="L315" i="1"/>
  <c r="CB312" i="1"/>
  <c r="AN310" i="1"/>
  <c r="CE365" i="1"/>
  <c r="AQ363" i="1"/>
  <c r="DG360" i="1"/>
  <c r="BS358" i="1"/>
  <c r="AE356" i="1"/>
  <c r="CU353" i="1"/>
  <c r="BG351" i="1"/>
  <c r="S349" i="1"/>
  <c r="CI346" i="1"/>
  <c r="AU344" i="1"/>
  <c r="G342" i="1"/>
  <c r="BW339" i="1"/>
  <c r="AI337" i="1"/>
  <c r="CY334" i="1"/>
  <c r="BK332" i="1"/>
  <c r="W330" i="1"/>
  <c r="CM327" i="1"/>
  <c r="AY325" i="1"/>
  <c r="K323" i="1"/>
  <c r="CA320" i="1"/>
  <c r="AM318" i="1"/>
  <c r="DC315" i="1"/>
  <c r="BO313" i="1"/>
  <c r="AA311" i="1"/>
  <c r="CQ308" i="1"/>
  <c r="BC306" i="1"/>
  <c r="O304" i="1"/>
  <c r="CE301" i="1"/>
  <c r="AQ299" i="1"/>
  <c r="DG296" i="1"/>
  <c r="BS294" i="1"/>
  <c r="AE292" i="1"/>
  <c r="BZ365" i="1"/>
  <c r="AL363" i="1"/>
  <c r="DB360" i="1"/>
  <c r="BN358" i="1"/>
  <c r="Z356" i="1"/>
  <c r="CP353" i="1"/>
  <c r="BB351" i="1"/>
  <c r="N349" i="1"/>
  <c r="CD346" i="1"/>
  <c r="AP344" i="1"/>
  <c r="DF341" i="1"/>
  <c r="BR339" i="1"/>
  <c r="AD337" i="1"/>
  <c r="CT334" i="1"/>
  <c r="BF332" i="1"/>
  <c r="R330" i="1"/>
  <c r="CH327" i="1"/>
  <c r="AT325" i="1"/>
  <c r="F323" i="1"/>
  <c r="BV320" i="1"/>
  <c r="AH318" i="1"/>
  <c r="CT315" i="1"/>
  <c r="BZ312" i="1"/>
  <c r="CX309" i="1"/>
  <c r="BJ307" i="1"/>
  <c r="V305" i="1"/>
  <c r="CL302" i="1"/>
  <c r="AX300" i="1"/>
  <c r="J298" i="1"/>
  <c r="BH308" i="1"/>
  <c r="H299" i="1"/>
  <c r="I293" i="1"/>
  <c r="X290" i="1"/>
  <c r="CN287" i="1"/>
  <c r="AZ285" i="1"/>
  <c r="L283" i="1"/>
  <c r="CB280" i="1"/>
  <c r="AN278" i="1"/>
  <c r="DD275" i="1"/>
  <c r="BP273" i="1"/>
  <c r="AB271" i="1"/>
  <c r="CR268" i="1"/>
  <c r="BD266" i="1"/>
  <c r="P264" i="1"/>
  <c r="CF261" i="1"/>
  <c r="AR259" i="1"/>
  <c r="DH256" i="1"/>
  <c r="BT254" i="1"/>
  <c r="AF252" i="1"/>
  <c r="CV249" i="1"/>
  <c r="BH247" i="1"/>
  <c r="T245" i="1"/>
  <c r="CJ242" i="1"/>
  <c r="AV240" i="1"/>
  <c r="H238" i="1"/>
  <c r="BX235" i="1"/>
  <c r="AJ233" i="1"/>
  <c r="CZ230" i="1"/>
  <c r="BL228" i="1"/>
  <c r="X226" i="1"/>
  <c r="CN223" i="1"/>
  <c r="AN308" i="1"/>
  <c r="CR298" i="1"/>
  <c r="DF292" i="1"/>
  <c r="S290" i="1"/>
  <c r="CI287" i="1"/>
  <c r="AU285" i="1"/>
  <c r="G283" i="1"/>
  <c r="BW280" i="1"/>
  <c r="AI278" i="1"/>
  <c r="CY275" i="1"/>
  <c r="BK273" i="1"/>
  <c r="W271" i="1"/>
  <c r="CM268" i="1"/>
  <c r="AY266" i="1"/>
  <c r="K264" i="1"/>
  <c r="CA261" i="1"/>
  <c r="AM259" i="1"/>
  <c r="DC256" i="1"/>
  <c r="BO254" i="1"/>
  <c r="AA252" i="1"/>
  <c r="CQ249" i="1"/>
  <c r="BC247" i="1"/>
  <c r="O245" i="1"/>
  <c r="CE242" i="1"/>
  <c r="AQ240" i="1"/>
  <c r="DG237" i="1"/>
  <c r="BS235" i="1"/>
  <c r="AE233" i="1"/>
  <c r="CU230" i="1"/>
  <c r="BG228" i="1"/>
  <c r="CF300" i="1"/>
  <c r="BR293" i="1"/>
  <c r="BR290" i="1"/>
  <c r="AD288" i="1"/>
  <c r="CT285" i="1"/>
  <c r="BF283" i="1"/>
  <c r="R281" i="1"/>
  <c r="CH278" i="1"/>
  <c r="AT276" i="1"/>
  <c r="F274" i="1"/>
  <c r="BV271" i="1"/>
  <c r="AH269" i="1"/>
  <c r="CX266" i="1"/>
  <c r="BJ264" i="1"/>
  <c r="V262" i="1"/>
  <c r="CL259" i="1"/>
  <c r="AX257" i="1"/>
  <c r="J255" i="1"/>
  <c r="BZ252" i="1"/>
  <c r="AL250" i="1"/>
  <c r="DB247" i="1"/>
  <c r="BN245" i="1"/>
  <c r="Z243" i="1"/>
  <c r="CP240" i="1"/>
  <c r="BB238" i="1"/>
  <c r="N236" i="1"/>
  <c r="CD233" i="1"/>
  <c r="AP231" i="1"/>
  <c r="DF228" i="1"/>
  <c r="BR226" i="1"/>
  <c r="AD224" i="1"/>
  <c r="CT221" i="1"/>
  <c r="BF219" i="1"/>
  <c r="R217" i="1"/>
  <c r="CH214" i="1"/>
  <c r="BD302" i="1"/>
  <c r="AX294" i="1"/>
  <c r="I291" i="1"/>
  <c r="BY288" i="1"/>
  <c r="AK286" i="1"/>
  <c r="DA283" i="1"/>
  <c r="BM281" i="1"/>
  <c r="Y279" i="1"/>
  <c r="CO276" i="1"/>
  <c r="BA274" i="1"/>
  <c r="M272" i="1"/>
  <c r="CC269" i="1"/>
  <c r="AO267" i="1"/>
  <c r="DE264" i="1"/>
  <c r="BQ262" i="1"/>
  <c r="AC260" i="1"/>
  <c r="CS257" i="1"/>
  <c r="BE255" i="1"/>
  <c r="Q253" i="1"/>
  <c r="CG250" i="1"/>
  <c r="AS248" i="1"/>
  <c r="Q244" i="1"/>
  <c r="BU234" i="1"/>
  <c r="Z315" i="1"/>
  <c r="J312" i="1"/>
  <c r="AX309" i="1"/>
  <c r="J307" i="1"/>
  <c r="BZ304" i="1"/>
  <c r="AL302" i="1"/>
  <c r="DB299" i="1"/>
  <c r="BN297" i="1"/>
  <c r="BP306" i="1"/>
  <c r="P297" i="1"/>
  <c r="AV292" i="1"/>
  <c r="CB289" i="1"/>
  <c r="AN287" i="1"/>
  <c r="DD284" i="1"/>
  <c r="BP282" i="1"/>
  <c r="AB280" i="1"/>
  <c r="CR277" i="1"/>
  <c r="BD275" i="1"/>
  <c r="P273" i="1"/>
  <c r="CF270" i="1"/>
  <c r="AR268" i="1"/>
  <c r="DH265" i="1"/>
  <c r="BT263" i="1"/>
  <c r="AF261" i="1"/>
  <c r="CV258" i="1"/>
  <c r="BH256" i="1"/>
  <c r="T254" i="1"/>
  <c r="CJ251" i="1"/>
  <c r="AV249" i="1"/>
  <c r="H247" i="1"/>
  <c r="BX244" i="1"/>
  <c r="AJ242" i="1"/>
  <c r="CZ239" i="1"/>
  <c r="BL237" i="1"/>
  <c r="X235" i="1"/>
  <c r="CN232" i="1"/>
  <c r="AZ230" i="1"/>
  <c r="L228" i="1"/>
  <c r="CB225" i="1"/>
  <c r="AN223" i="1"/>
  <c r="AV306" i="1"/>
  <c r="CZ296" i="1"/>
  <c r="AO292" i="1"/>
  <c r="BW289" i="1"/>
  <c r="AI287" i="1"/>
  <c r="CY284" i="1"/>
  <c r="BK282" i="1"/>
  <c r="W280" i="1"/>
  <c r="CM277" i="1"/>
  <c r="AY275" i="1"/>
  <c r="K273" i="1"/>
  <c r="CA270" i="1"/>
  <c r="AM268" i="1"/>
  <c r="DC265" i="1"/>
  <c r="BO263" i="1"/>
  <c r="AA261" i="1"/>
  <c r="CQ258" i="1"/>
  <c r="BC256" i="1"/>
  <c r="O254" i="1"/>
  <c r="CE251" i="1"/>
  <c r="AQ249" i="1"/>
  <c r="DG246" i="1"/>
  <c r="BS244" i="1"/>
  <c r="AE242" i="1"/>
  <c r="CU239" i="1"/>
  <c r="BG237" i="1"/>
  <c r="S235" i="1"/>
  <c r="CI232" i="1"/>
  <c r="AU230" i="1"/>
  <c r="AJ308" i="1"/>
  <c r="CN298" i="1"/>
  <c r="DE292" i="1"/>
  <c r="R290" i="1"/>
  <c r="CH287" i="1"/>
  <c r="AT285" i="1"/>
  <c r="F283" i="1"/>
  <c r="BV280" i="1"/>
  <c r="AH278" i="1"/>
  <c r="CX275" i="1"/>
  <c r="BJ273" i="1"/>
  <c r="V271" i="1"/>
  <c r="CL268" i="1"/>
  <c r="AX266" i="1"/>
  <c r="J264" i="1"/>
  <c r="BZ261" i="1"/>
  <c r="AL259" i="1"/>
  <c r="DB256" i="1"/>
  <c r="BN254" i="1"/>
  <c r="Z252" i="1"/>
  <c r="CP249" i="1"/>
  <c r="BB247" i="1"/>
  <c r="N245" i="1"/>
  <c r="CD242" i="1"/>
  <c r="AP240" i="1"/>
  <c r="DF237" i="1"/>
  <c r="BR235" i="1"/>
  <c r="AD233" i="1"/>
  <c r="CT230" i="1"/>
  <c r="BF228" i="1"/>
  <c r="R226" i="1"/>
  <c r="CH223" i="1"/>
  <c r="AT221" i="1"/>
  <c r="F219" i="1"/>
  <c r="BV216" i="1"/>
  <c r="AH214" i="1"/>
  <c r="BL300" i="1"/>
  <c r="BL293" i="1"/>
  <c r="BM290" i="1"/>
  <c r="Y288" i="1"/>
  <c r="CO285" i="1"/>
  <c r="BA283" i="1"/>
  <c r="M281" i="1"/>
  <c r="CC278" i="1"/>
  <c r="AO276" i="1"/>
  <c r="DE273" i="1"/>
  <c r="BQ271" i="1"/>
  <c r="AC269" i="1"/>
  <c r="CH314" i="1"/>
  <c r="BR311" i="1"/>
  <c r="N309" i="1"/>
  <c r="CD306" i="1"/>
  <c r="AP304" i="1"/>
  <c r="DF301" i="1"/>
  <c r="BR299" i="1"/>
  <c r="AD297" i="1"/>
  <c r="AF305" i="1"/>
  <c r="CN295" i="1"/>
  <c r="DD291" i="1"/>
  <c r="AR289" i="1"/>
  <c r="DH286" i="1"/>
  <c r="BT284" i="1"/>
  <c r="AF282" i="1"/>
  <c r="CV279" i="1"/>
  <c r="BH277" i="1"/>
  <c r="T275" i="1"/>
  <c r="CJ272" i="1"/>
  <c r="AV270" i="1"/>
  <c r="H268" i="1"/>
  <c r="BX265" i="1"/>
  <c r="AJ263" i="1"/>
  <c r="CZ260" i="1"/>
  <c r="BL258" i="1"/>
  <c r="X256" i="1"/>
  <c r="CN253" i="1"/>
  <c r="AZ251" i="1"/>
  <c r="L249" i="1"/>
  <c r="CB246" i="1"/>
  <c r="AN244" i="1"/>
  <c r="DD241" i="1"/>
  <c r="BP239" i="1"/>
  <c r="AB237" i="1"/>
  <c r="CR234" i="1"/>
  <c r="BD232" i="1"/>
  <c r="P230" i="1"/>
  <c r="CF227" i="1"/>
  <c r="AR225" i="1"/>
  <c r="DH222" i="1"/>
  <c r="L305" i="1"/>
  <c r="CD295" i="1"/>
  <c r="CW291" i="1"/>
  <c r="AM289" i="1"/>
  <c r="DC286" i="1"/>
  <c r="BO284" i="1"/>
  <c r="AA282" i="1"/>
  <c r="CQ279" i="1"/>
  <c r="BC277" i="1"/>
  <c r="O275" i="1"/>
  <c r="CE272" i="1"/>
  <c r="AQ270" i="1"/>
  <c r="DG267" i="1"/>
  <c r="BS265" i="1"/>
  <c r="AE263" i="1"/>
  <c r="CU260" i="1"/>
  <c r="BG258" i="1"/>
  <c r="S256" i="1"/>
  <c r="CI253" i="1"/>
  <c r="AU251" i="1"/>
  <c r="G249" i="1"/>
  <c r="BW246" i="1"/>
  <c r="AI244" i="1"/>
  <c r="CY241" i="1"/>
  <c r="BK239" i="1"/>
  <c r="W237" i="1"/>
  <c r="CM234" i="1"/>
  <c r="AY232" i="1"/>
  <c r="K230" i="1"/>
  <c r="DD306" i="1"/>
  <c r="BD297" i="1"/>
  <c r="BI292" i="1"/>
  <c r="CL289" i="1"/>
  <c r="AX287" i="1"/>
  <c r="J285" i="1"/>
  <c r="BZ282" i="1"/>
  <c r="AL280" i="1"/>
  <c r="DB277" i="1"/>
  <c r="BN275" i="1"/>
  <c r="Z273" i="1"/>
  <c r="CP270" i="1"/>
  <c r="BB268" i="1"/>
  <c r="N266" i="1"/>
  <c r="CD263" i="1"/>
  <c r="AP261" i="1"/>
  <c r="DF258" i="1"/>
  <c r="BR256" i="1"/>
  <c r="AD254" i="1"/>
  <c r="CT251" i="1"/>
  <c r="BF249" i="1"/>
  <c r="R247" i="1"/>
  <c r="CH244" i="1"/>
  <c r="AT242" i="1"/>
  <c r="F240" i="1"/>
  <c r="BV237" i="1"/>
  <c r="AH235" i="1"/>
  <c r="CX232" i="1"/>
  <c r="BJ230" i="1"/>
  <c r="V228" i="1"/>
  <c r="CL225" i="1"/>
  <c r="AX223" i="1"/>
  <c r="J221" i="1"/>
  <c r="BZ218" i="1"/>
  <c r="AL216" i="1"/>
  <c r="CB308" i="1"/>
  <c r="AB299" i="1"/>
  <c r="P293" i="1"/>
  <c r="AC290" i="1"/>
  <c r="CS287" i="1"/>
  <c r="BE285" i="1"/>
  <c r="Q283" i="1"/>
  <c r="CG280" i="1"/>
  <c r="AS278" i="1"/>
  <c r="DI275" i="1"/>
  <c r="BU273" i="1"/>
  <c r="AG271" i="1"/>
  <c r="CW268" i="1"/>
  <c r="BI266" i="1"/>
  <c r="U264" i="1"/>
  <c r="DH487" i="1"/>
  <c r="CH439" i="1"/>
  <c r="BB432" i="1"/>
  <c r="AU414" i="1"/>
  <c r="AK413" i="1"/>
  <c r="BO375" i="1"/>
  <c r="BN376" i="1"/>
  <c r="AO377" i="1"/>
  <c r="CW410" i="1"/>
  <c r="W373" i="1"/>
  <c r="V374" i="1"/>
  <c r="DA374" i="1"/>
  <c r="CC410" i="1"/>
  <c r="DG372" i="1"/>
  <c r="DF373" i="1"/>
  <c r="CG378" i="1"/>
  <c r="F429" i="1"/>
  <c r="U434" i="1"/>
  <c r="BQ424" i="1"/>
  <c r="Q415" i="1"/>
  <c r="BU405" i="1"/>
  <c r="AQ396" i="1"/>
  <c r="CU386" i="1"/>
  <c r="AU377" i="1"/>
  <c r="CY367" i="1"/>
  <c r="AP397" i="1"/>
  <c r="CT387" i="1"/>
  <c r="AT378" i="1"/>
  <c r="CX368" i="1"/>
  <c r="Q398" i="1"/>
  <c r="BU388" i="1"/>
  <c r="U379" i="1"/>
  <c r="X379" i="1"/>
  <c r="CO340" i="1"/>
  <c r="CW302" i="1"/>
  <c r="T338" i="1"/>
  <c r="DG357" i="1"/>
  <c r="K320" i="1"/>
  <c r="DB357" i="1"/>
  <c r="F320" i="1"/>
  <c r="BT372" i="1"/>
  <c r="AG334" i="1"/>
  <c r="AO296" i="1"/>
  <c r="BP331" i="1"/>
  <c r="AY351" i="1"/>
  <c r="BG313" i="1"/>
  <c r="AT351" i="1"/>
  <c r="BB313" i="1"/>
  <c r="AZ372" i="1"/>
  <c r="M334" i="1"/>
  <c r="U296" i="1"/>
  <c r="AV331" i="1"/>
  <c r="AE351" i="1"/>
  <c r="AM313" i="1"/>
  <c r="Z351" i="1"/>
  <c r="DD403" i="1"/>
  <c r="CF389" i="1"/>
  <c r="AF380" i="1"/>
  <c r="CJ370" i="1"/>
  <c r="CS360" i="1"/>
  <c r="AS351" i="1"/>
  <c r="CW341" i="1"/>
  <c r="AW332" i="1"/>
  <c r="DA322" i="1"/>
  <c r="BA313" i="1"/>
  <c r="DE303" i="1"/>
  <c r="BE294" i="1"/>
  <c r="X358" i="1"/>
  <c r="CB348" i="1"/>
  <c r="AB339" i="1"/>
  <c r="CF329" i="1"/>
  <c r="AF320" i="1"/>
  <c r="CJ310" i="1"/>
  <c r="K359" i="1"/>
  <c r="BO349" i="1"/>
  <c r="O340" i="1"/>
  <c r="BS330" i="1"/>
  <c r="S321" i="1"/>
  <c r="BW311" i="1"/>
  <c r="W302" i="1"/>
  <c r="CA292" i="1"/>
  <c r="F359" i="1"/>
  <c r="BJ349" i="1"/>
  <c r="J340" i="1"/>
  <c r="BN330" i="1"/>
  <c r="N321" i="1"/>
  <c r="AP310" i="1"/>
  <c r="CT300" i="1"/>
  <c r="BU293" i="1"/>
  <c r="BH283" i="1"/>
  <c r="H274" i="1"/>
  <c r="BL264" i="1"/>
  <c r="L255" i="1"/>
  <c r="BP245" i="1"/>
  <c r="P236" i="1"/>
  <c r="BT226" i="1"/>
  <c r="BN293" i="1"/>
  <c r="BC283" i="1"/>
  <c r="DG273" i="1"/>
  <c r="BG264" i="1"/>
  <c r="G255" i="1"/>
  <c r="BK245" i="1"/>
  <c r="K236" i="1"/>
  <c r="AJ386" i="1"/>
  <c r="DA347" i="1"/>
  <c r="DI309" i="1"/>
  <c r="AF345" i="1"/>
  <c r="O365" i="1"/>
  <c r="W327" i="1"/>
  <c r="J365" i="1"/>
  <c r="R327" i="1"/>
  <c r="CF379" i="1"/>
  <c r="AS341" i="1"/>
  <c r="BA303" i="1"/>
  <c r="CB338" i="1"/>
  <c r="BK358" i="1"/>
  <c r="BS320" i="1"/>
  <c r="BF358" i="1"/>
  <c r="BN320" i="1"/>
  <c r="BL379" i="1"/>
  <c r="Y341" i="1"/>
  <c r="AG303" i="1"/>
  <c r="BH338" i="1"/>
  <c r="AQ358" i="1"/>
  <c r="AY320" i="1"/>
  <c r="AL358" i="1"/>
  <c r="AT320" i="1"/>
  <c r="BH391" i="1"/>
  <c r="H382" i="1"/>
  <c r="BL372" i="1"/>
  <c r="BU362" i="1"/>
  <c r="U353" i="1"/>
  <c r="BY343" i="1"/>
  <c r="Y334" i="1"/>
  <c r="CC324" i="1"/>
  <c r="AC315" i="1"/>
  <c r="CG305" i="1"/>
  <c r="AG296" i="1"/>
  <c r="DD359" i="1"/>
  <c r="BD350" i="1"/>
  <c r="DH340" i="1"/>
  <c r="BH331" i="1"/>
  <c r="H322" i="1"/>
  <c r="BL312" i="1"/>
  <c r="CQ360" i="1"/>
  <c r="AQ351" i="1"/>
  <c r="CU341" i="1"/>
  <c r="AU332" i="1"/>
  <c r="CY322" i="1"/>
  <c r="AY313" i="1"/>
  <c r="DC303" i="1"/>
  <c r="BC294" i="1"/>
  <c r="CL360" i="1"/>
  <c r="AL351" i="1"/>
  <c r="CP341" i="1"/>
  <c r="AP332" i="1"/>
  <c r="CT322" i="1"/>
  <c r="BF312" i="1"/>
  <c r="BV302" i="1"/>
  <c r="AZ298" i="1"/>
  <c r="AJ285" i="1"/>
  <c r="CN275" i="1"/>
  <c r="AN266" i="1"/>
  <c r="CR256" i="1"/>
  <c r="AR247" i="1"/>
  <c r="CV237" i="1"/>
  <c r="AV228" i="1"/>
  <c r="AF298" i="1"/>
  <c r="AW374" i="1"/>
  <c r="AZ374" i="1"/>
  <c r="M336" i="1"/>
  <c r="U298" i="1"/>
  <c r="AV333" i="1"/>
  <c r="AE353" i="1"/>
  <c r="AM315" i="1"/>
  <c r="Z353" i="1"/>
  <c r="DI367" i="1"/>
  <c r="CV367" i="1"/>
  <c r="BI329" i="1"/>
  <c r="CJ364" i="1"/>
  <c r="CR326" i="1"/>
  <c r="CA346" i="1"/>
  <c r="CI308" i="1"/>
  <c r="BV346" i="1"/>
  <c r="CG367" i="1"/>
  <c r="CB367" i="1"/>
  <c r="AO329" i="1"/>
  <c r="BP364" i="1"/>
  <c r="BX326" i="1"/>
  <c r="BG346" i="1"/>
  <c r="BO308" i="1"/>
  <c r="BB346" i="1"/>
  <c r="BP401" i="1"/>
  <c r="BL388" i="1"/>
  <c r="L379" i="1"/>
  <c r="BP369" i="1"/>
  <c r="BY359" i="1"/>
  <c r="Y350" i="1"/>
  <c r="CC340" i="1"/>
  <c r="AC331" i="1"/>
  <c r="CG321" i="1"/>
  <c r="AG312" i="1"/>
  <c r="CK302" i="1"/>
  <c r="BI366" i="1"/>
  <c r="DH356" i="1"/>
  <c r="BH347" i="1"/>
  <c r="H338" i="1"/>
  <c r="BL328" i="1"/>
  <c r="L319" i="1"/>
  <c r="BP309" i="1"/>
  <c r="CU357" i="1"/>
  <c r="AU348" i="1"/>
  <c r="CY338" i="1"/>
  <c r="AY329" i="1"/>
  <c r="DC319" i="1"/>
  <c r="BC310" i="1"/>
  <c r="DG300" i="1"/>
  <c r="BG291" i="1"/>
  <c r="CP357" i="1"/>
  <c r="AP348" i="1"/>
  <c r="CT338" i="1"/>
  <c r="AT329" i="1"/>
  <c r="CX319" i="1"/>
  <c r="V309" i="1"/>
  <c r="BZ299" i="1"/>
  <c r="J292" i="1"/>
  <c r="AN282" i="1"/>
  <c r="CR272" i="1"/>
  <c r="AR263" i="1"/>
  <c r="CV253" i="1"/>
  <c r="AV244" i="1"/>
  <c r="CZ234" i="1"/>
  <c r="AZ225" i="1"/>
  <c r="DH291" i="1"/>
  <c r="AI282" i="1"/>
  <c r="BL381" i="1"/>
  <c r="Y343" i="1"/>
  <c r="AG305" i="1"/>
  <c r="BH340" i="1"/>
  <c r="AQ360" i="1"/>
  <c r="AY322" i="1"/>
  <c r="AL360" i="1"/>
  <c r="AT322" i="1"/>
  <c r="DH374" i="1"/>
  <c r="BU336" i="1"/>
  <c r="CC298" i="1"/>
  <c r="DD333" i="1"/>
  <c r="CM353" i="1"/>
  <c r="CU315" i="1"/>
  <c r="CH353" i="1"/>
  <c r="CP315" i="1"/>
  <c r="CN374" i="1"/>
  <c r="BA336" i="1"/>
  <c r="BI298" i="1"/>
  <c r="CJ333" i="1"/>
  <c r="BS353" i="1"/>
  <c r="CA315" i="1"/>
  <c r="BN353" i="1"/>
  <c r="BE368" i="1"/>
  <c r="AN390" i="1"/>
  <c r="CR380" i="1"/>
  <c r="AR371" i="1"/>
  <c r="BA361" i="1"/>
  <c r="DE351" i="1"/>
  <c r="BE342" i="1"/>
  <c r="DI332" i="1"/>
  <c r="BI323" i="1"/>
  <c r="I314" i="1"/>
  <c r="BM304" i="1"/>
  <c r="M295" i="1"/>
  <c r="CJ358" i="1"/>
  <c r="AJ349" i="1"/>
  <c r="CN339" i="1"/>
  <c r="AN330" i="1"/>
  <c r="CR320" i="1"/>
  <c r="AR311" i="1"/>
  <c r="BW359" i="1"/>
  <c r="W350" i="1"/>
  <c r="CA340" i="1"/>
  <c r="AA331" i="1"/>
  <c r="CE321" i="1"/>
  <c r="AE312" i="1"/>
  <c r="CI302" i="1"/>
  <c r="AI293" i="1"/>
  <c r="BR359" i="1"/>
  <c r="R350" i="1"/>
  <c r="BV340" i="1"/>
  <c r="V331" i="1"/>
  <c r="BZ321" i="1"/>
  <c r="DB310" i="1"/>
  <c r="BB301" i="1"/>
  <c r="CJ294" i="1"/>
  <c r="P284" i="1"/>
  <c r="BT274" i="1"/>
  <c r="T265" i="1"/>
  <c r="BX255" i="1"/>
  <c r="X246" i="1"/>
  <c r="CB236" i="1"/>
  <c r="AB227" i="1"/>
  <c r="BK277" i="1"/>
  <c r="O265" i="1"/>
  <c r="K252" i="1"/>
  <c r="BS239" i="1"/>
  <c r="DC228" i="1"/>
  <c r="BZ288" i="1"/>
  <c r="Z279" i="1"/>
  <c r="CD269" i="1"/>
  <c r="AD260" i="1"/>
  <c r="CH250" i="1"/>
  <c r="AH241" i="1"/>
  <c r="CL231" i="1"/>
  <c r="AL222" i="1"/>
  <c r="AF304" i="1"/>
  <c r="CG286" i="1"/>
  <c r="AG277" i="1"/>
  <c r="CK267" i="1"/>
  <c r="AK258" i="1"/>
  <c r="CO248" i="1"/>
  <c r="BV312" i="1"/>
  <c r="CH302" i="1"/>
  <c r="CV298" i="1"/>
  <c r="AV285" i="1"/>
  <c r="CZ275" i="1"/>
  <c r="AZ266" i="1"/>
  <c r="DD256" i="1"/>
  <c r="BD247" i="1"/>
  <c r="DH237" i="1"/>
  <c r="BH228" i="1"/>
  <c r="CB298" i="1"/>
  <c r="AQ285" i="1"/>
  <c r="CU275" i="1"/>
  <c r="AU266" i="1"/>
  <c r="CY256" i="1"/>
  <c r="AY247" i="1"/>
  <c r="DC237" i="1"/>
  <c r="BC228" i="1"/>
  <c r="Z288" i="1"/>
  <c r="CD278" i="1"/>
  <c r="AD269" i="1"/>
  <c r="CH259" i="1"/>
  <c r="AH250" i="1"/>
  <c r="CL240" i="1"/>
  <c r="AL231" i="1"/>
  <c r="CP221" i="1"/>
  <c r="AN302" i="1"/>
  <c r="AG286" i="1"/>
  <c r="CK276" i="1"/>
  <c r="AP315" i="1"/>
  <c r="CL304" i="1"/>
  <c r="H307" i="1"/>
  <c r="AZ287" i="1"/>
  <c r="DD277" i="1"/>
  <c r="BD268" i="1"/>
  <c r="DH258" i="1"/>
  <c r="BH249" i="1"/>
  <c r="H240" i="1"/>
  <c r="BL230" i="1"/>
  <c r="CR306" i="1"/>
  <c r="AU287" i="1"/>
  <c r="CY277" i="1"/>
  <c r="AY268" i="1"/>
  <c r="DC258" i="1"/>
  <c r="BC249" i="1"/>
  <c r="DG239" i="1"/>
  <c r="BG230" i="1"/>
  <c r="AD290" i="1"/>
  <c r="CH280" i="1"/>
  <c r="AH271" i="1"/>
  <c r="CL261" i="1"/>
  <c r="AL252" i="1"/>
  <c r="CP242" i="1"/>
  <c r="AP233" i="1"/>
  <c r="CT223" i="1"/>
  <c r="AT214" i="1"/>
  <c r="AK288" i="1"/>
  <c r="CO278" i="1"/>
  <c r="AS270" i="1"/>
  <c r="CO266" i="1"/>
  <c r="CC263" i="1"/>
  <c r="AO261" i="1"/>
  <c r="DE258" i="1"/>
  <c r="BQ256" i="1"/>
  <c r="AC254" i="1"/>
  <c r="CS251" i="1"/>
  <c r="BE249" i="1"/>
  <c r="Q247" i="1"/>
  <c r="M239" i="1"/>
  <c r="R317" i="1"/>
  <c r="DB313" i="1"/>
  <c r="CP310" i="1"/>
  <c r="BB308" i="1"/>
  <c r="N306" i="1"/>
  <c r="CD303" i="1"/>
  <c r="AP301" i="1"/>
  <c r="DF298" i="1"/>
  <c r="BR296" i="1"/>
  <c r="CF302" i="1"/>
  <c r="BL294" i="1"/>
  <c r="Q291" i="1"/>
  <c r="CF288" i="1"/>
  <c r="AR286" i="1"/>
  <c r="DH283" i="1"/>
  <c r="BT281" i="1"/>
  <c r="AF279" i="1"/>
  <c r="AZ222" i="1"/>
  <c r="CI288" i="1"/>
  <c r="AI279" i="1"/>
  <c r="CM269" i="1"/>
  <c r="AM260" i="1"/>
  <c r="CQ250" i="1"/>
  <c r="AQ241" i="1"/>
  <c r="CU231" i="1"/>
  <c r="CK291" i="1"/>
  <c r="R282" i="1"/>
  <c r="BV272" i="1"/>
  <c r="V263" i="1"/>
  <c r="BZ253" i="1"/>
  <c r="Z244" i="1"/>
  <c r="CD234" i="1"/>
  <c r="AD225" i="1"/>
  <c r="CH215" i="1"/>
  <c r="BY289" i="1"/>
  <c r="Y280" i="1"/>
  <c r="CC270" i="1"/>
  <c r="Z308" i="1"/>
  <c r="CD298" i="1"/>
  <c r="CR290" i="1"/>
  <c r="AR281" i="1"/>
  <c r="CV271" i="1"/>
  <c r="AV262" i="1"/>
  <c r="CZ252" i="1"/>
  <c r="AZ243" i="1"/>
  <c r="DD233" i="1"/>
  <c r="BD224" i="1"/>
  <c r="CM290" i="1"/>
  <c r="AM281" i="1"/>
  <c r="CQ271" i="1"/>
  <c r="AQ262" i="1"/>
  <c r="CU252" i="1"/>
  <c r="AU243" i="1"/>
  <c r="CY233" i="1"/>
  <c r="CV294" i="1"/>
  <c r="V284" i="1"/>
  <c r="BZ274" i="1"/>
  <c r="Z265" i="1"/>
  <c r="CD255" i="1"/>
  <c r="AD246" i="1"/>
  <c r="CH236" i="1"/>
  <c r="AH227" i="1"/>
  <c r="CL217" i="1"/>
  <c r="CZ291" i="1"/>
  <c r="AC282" i="1"/>
  <c r="CG272" i="1"/>
  <c r="AX448" i="1"/>
  <c r="I401" i="1"/>
  <c r="BU398" i="1"/>
  <c r="BA398" i="1"/>
  <c r="I421" i="1"/>
  <c r="AM383" i="1"/>
  <c r="AL384" i="1"/>
  <c r="M385" i="1"/>
  <c r="P385" i="1"/>
  <c r="CG346" i="1"/>
  <c r="CO308" i="1"/>
  <c r="L344" i="1"/>
  <c r="CY363" i="1"/>
  <c r="DG325" i="1"/>
  <c r="CT363" i="1"/>
  <c r="DB325" i="1"/>
  <c r="BL378" i="1"/>
  <c r="Y340" i="1"/>
  <c r="AG302" i="1"/>
  <c r="BH337" i="1"/>
  <c r="AQ357" i="1"/>
  <c r="AY319" i="1"/>
  <c r="AL357" i="1"/>
  <c r="AT319" i="1"/>
  <c r="AR378" i="1"/>
  <c r="DI339" i="1"/>
  <c r="M302" i="1"/>
  <c r="AN337" i="1"/>
  <c r="W357" i="1"/>
  <c r="AE319" i="1"/>
  <c r="R357" i="1"/>
  <c r="Z319" i="1"/>
  <c r="AB391" i="1"/>
  <c r="CF381" i="1"/>
  <c r="AF372" i="1"/>
  <c r="AO362" i="1"/>
  <c r="CS352" i="1"/>
  <c r="AS343" i="1"/>
  <c r="CW333" i="1"/>
  <c r="AW324" i="1"/>
  <c r="DA314" i="1"/>
  <c r="BA305" i="1"/>
  <c r="BI299" i="1"/>
  <c r="CK294" i="1"/>
  <c r="AB363" i="1"/>
  <c r="BD358" i="1"/>
  <c r="CF353" i="1"/>
  <c r="DH348" i="1"/>
  <c r="AF344" i="1"/>
  <c r="BH339" i="1"/>
  <c r="CJ334" i="1"/>
  <c r="H330" i="1"/>
  <c r="AJ325" i="1"/>
  <c r="BL320" i="1"/>
  <c r="CN315" i="1"/>
  <c r="L311" i="1"/>
  <c r="O364" i="1"/>
  <c r="AQ359" i="1"/>
  <c r="BS354" i="1"/>
  <c r="CU349" i="1"/>
  <c r="S345" i="1"/>
  <c r="AU340" i="1"/>
  <c r="BW335" i="1"/>
  <c r="CY330" i="1"/>
  <c r="W326" i="1"/>
  <c r="AY321" i="1"/>
  <c r="CA316" i="1"/>
  <c r="DC311" i="1"/>
  <c r="AA307" i="1"/>
  <c r="BC302" i="1"/>
  <c r="CE297" i="1"/>
  <c r="DG292" i="1"/>
  <c r="J364" i="1"/>
  <c r="AL359" i="1"/>
  <c r="BN354" i="1"/>
  <c r="CP349" i="1"/>
  <c r="N345" i="1"/>
  <c r="AP340" i="1"/>
  <c r="BR335" i="1"/>
  <c r="CT330" i="1"/>
  <c r="R326" i="1"/>
  <c r="AT321" i="1"/>
  <c r="CP316" i="1"/>
  <c r="BV310" i="1"/>
  <c r="CX305" i="1"/>
  <c r="V301" i="1"/>
  <c r="AX296" i="1"/>
  <c r="X294" i="1"/>
  <c r="BL288" i="1"/>
  <c r="CN283" i="1"/>
  <c r="L279" i="1"/>
  <c r="AN274" i="1"/>
  <c r="BP269" i="1"/>
  <c r="CR264" i="1"/>
  <c r="P260" i="1"/>
  <c r="AR255" i="1"/>
  <c r="BT250" i="1"/>
  <c r="CV245" i="1"/>
  <c r="T241" i="1"/>
  <c r="AV236" i="1"/>
  <c r="BX231" i="1"/>
  <c r="CZ226" i="1"/>
  <c r="X222" i="1"/>
  <c r="N294" i="1"/>
  <c r="BG288" i="1"/>
  <c r="CI283" i="1"/>
  <c r="G279" i="1"/>
  <c r="AI274" i="1"/>
  <c r="BK269" i="1"/>
  <c r="CM264" i="1"/>
  <c r="K260" i="1"/>
  <c r="AM255" i="1"/>
  <c r="BO250" i="1"/>
  <c r="CQ245" i="1"/>
  <c r="O241" i="1"/>
  <c r="AQ236" i="1"/>
  <c r="BS231" i="1"/>
  <c r="CB303" i="1"/>
  <c r="AZ291" i="1"/>
  <c r="BR286" i="1"/>
  <c r="CT281" i="1"/>
  <c r="R277" i="1"/>
  <c r="AT272" i="1"/>
  <c r="BV267" i="1"/>
  <c r="CX262" i="1"/>
  <c r="V258" i="1"/>
  <c r="AX253" i="1"/>
  <c r="BZ248" i="1"/>
  <c r="DB243" i="1"/>
  <c r="Z239" i="1"/>
  <c r="BB234" i="1"/>
  <c r="CD229" i="1"/>
  <c r="DF224" i="1"/>
  <c r="AD220" i="1"/>
  <c r="BF215" i="1"/>
  <c r="DD295" i="1"/>
  <c r="AW289" i="1"/>
  <c r="BY284" i="1"/>
  <c r="DA279" i="1"/>
  <c r="Y275" i="1"/>
  <c r="BA270" i="1"/>
  <c r="CC265" i="1"/>
  <c r="DE260" i="1"/>
  <c r="AC256" i="1"/>
  <c r="BE251" i="1"/>
  <c r="CG246" i="1"/>
  <c r="Z316" i="1"/>
  <c r="V310" i="1"/>
  <c r="AX305" i="1"/>
  <c r="BZ300" i="1"/>
  <c r="DB295" i="1"/>
  <c r="AT293" i="1"/>
  <c r="L288" i="1"/>
  <c r="AN283" i="1"/>
  <c r="BP278" i="1"/>
  <c r="CR273" i="1"/>
  <c r="P269" i="1"/>
  <c r="AR264" i="1"/>
  <c r="BT259" i="1"/>
  <c r="CV254" i="1"/>
  <c r="T250" i="1"/>
  <c r="AV245" i="1"/>
  <c r="BX240" i="1"/>
  <c r="CZ235" i="1"/>
  <c r="X231" i="1"/>
  <c r="AZ226" i="1"/>
  <c r="CB221" i="1"/>
  <c r="AN293" i="1"/>
  <c r="G288" i="1"/>
  <c r="AI283" i="1"/>
  <c r="BK278" i="1"/>
  <c r="CM273" i="1"/>
  <c r="K269" i="1"/>
  <c r="AM264" i="1"/>
  <c r="BO259" i="1"/>
  <c r="CQ254" i="1"/>
  <c r="O250" i="1"/>
  <c r="AQ245" i="1"/>
  <c r="BS240" i="1"/>
  <c r="CU235" i="1"/>
  <c r="S231" i="1"/>
  <c r="CJ301" i="1"/>
  <c r="CT290" i="1"/>
  <c r="R286" i="1"/>
  <c r="AT281" i="1"/>
  <c r="BV276" i="1"/>
  <c r="CX271" i="1"/>
  <c r="V267" i="1"/>
  <c r="AX262" i="1"/>
  <c r="BZ257" i="1"/>
  <c r="DB252" i="1"/>
  <c r="DF249" i="1"/>
  <c r="F247" i="1"/>
  <c r="BB243" i="1"/>
  <c r="BF240" i="1"/>
  <c r="BJ237" i="1"/>
  <c r="DF233" i="1"/>
  <c r="F231" i="1"/>
  <c r="J228" i="1"/>
  <c r="BF224" i="1"/>
  <c r="BJ221" i="1"/>
  <c r="BN218" i="1"/>
  <c r="F215" i="1"/>
  <c r="T301" i="1"/>
  <c r="DD292" i="1"/>
  <c r="DA288" i="1"/>
  <c r="DE285" i="1"/>
  <c r="DI282" i="1"/>
  <c r="BA279" i="1"/>
  <c r="BE276" i="1"/>
  <c r="BI273" i="1"/>
  <c r="DE269" i="1"/>
  <c r="DF314" i="1"/>
  <c r="F311" i="1"/>
  <c r="BB307" i="1"/>
  <c r="BF304" i="1"/>
  <c r="BJ301" i="1"/>
  <c r="DF297" i="1"/>
  <c r="CR305" i="1"/>
  <c r="CZ294" i="1"/>
  <c r="P290" i="1"/>
  <c r="T287" i="1"/>
  <c r="X284" i="1"/>
  <c r="BT280" i="1"/>
  <c r="BX277" i="1"/>
  <c r="CB274" i="1"/>
  <c r="T271" i="1"/>
  <c r="X268" i="1"/>
  <c r="AB265" i="1"/>
  <c r="BX261" i="1"/>
  <c r="CB258" i="1"/>
  <c r="CF255" i="1"/>
  <c r="X252" i="1"/>
  <c r="AB249" i="1"/>
  <c r="AF246" i="1"/>
  <c r="CB242" i="1"/>
  <c r="CF239" i="1"/>
  <c r="CJ236" i="1"/>
  <c r="AB233" i="1"/>
  <c r="AF230" i="1"/>
  <c r="AJ227" i="1"/>
  <c r="CF223" i="1"/>
  <c r="BX305" i="1"/>
  <c r="CP294" i="1"/>
  <c r="K290" i="1"/>
  <c r="O287" i="1"/>
  <c r="S284" i="1"/>
  <c r="BO280" i="1"/>
  <c r="BS277" i="1"/>
  <c r="BW274" i="1"/>
  <c r="O271" i="1"/>
  <c r="S268" i="1"/>
  <c r="W265" i="1"/>
  <c r="BS261" i="1"/>
  <c r="BW258" i="1"/>
  <c r="CA255" i="1"/>
  <c r="S252" i="1"/>
  <c r="W249" i="1"/>
  <c r="AA246" i="1"/>
  <c r="BW242" i="1"/>
  <c r="CA239" i="1"/>
  <c r="CE236" i="1"/>
  <c r="W233" i="1"/>
  <c r="AA230" i="1"/>
  <c r="X305" i="1"/>
  <c r="BH293" i="1"/>
  <c r="DB289" i="1"/>
  <c r="DF286" i="1"/>
  <c r="BR284" i="1"/>
  <c r="AD282" i="1"/>
  <c r="CT279" i="1"/>
  <c r="BF277" i="1"/>
  <c r="R275" i="1"/>
  <c r="CH272" i="1"/>
  <c r="AT270" i="1"/>
  <c r="F268" i="1"/>
  <c r="BV265" i="1"/>
  <c r="AH263" i="1"/>
  <c r="CX260" i="1"/>
  <c r="BJ258" i="1"/>
  <c r="V256" i="1"/>
  <c r="CL253" i="1"/>
  <c r="AX251" i="1"/>
  <c r="J249" i="1"/>
  <c r="BZ246" i="1"/>
  <c r="AL244" i="1"/>
  <c r="DB241" i="1"/>
  <c r="BN239" i="1"/>
  <c r="Z237" i="1"/>
  <c r="CP234" i="1"/>
  <c r="BB232" i="1"/>
  <c r="N230" i="1"/>
  <c r="CD227" i="1"/>
  <c r="AP225" i="1"/>
  <c r="DF222" i="1"/>
  <c r="BR220" i="1"/>
  <c r="AD218" i="1"/>
  <c r="CT215" i="1"/>
  <c r="CZ306" i="1"/>
  <c r="AZ297" i="1"/>
  <c r="BH292" i="1"/>
  <c r="CK289" i="1"/>
  <c r="AW287" i="1"/>
  <c r="I285" i="1"/>
  <c r="BY282" i="1"/>
  <c r="AK280" i="1"/>
  <c r="DA277" i="1"/>
  <c r="BM275" i="1"/>
  <c r="Y273" i="1"/>
  <c r="CO270" i="1"/>
  <c r="F504" i="1"/>
  <c r="AA438" i="1"/>
  <c r="CP442" i="1"/>
  <c r="L439" i="1"/>
  <c r="CW438" i="1"/>
  <c r="CY396" i="1"/>
  <c r="CX397" i="1"/>
  <c r="BY398" i="1"/>
  <c r="AC432" i="1"/>
  <c r="BG394" i="1"/>
  <c r="BF395" i="1"/>
  <c r="AG396" i="1"/>
  <c r="I432" i="1"/>
  <c r="AM394" i="1"/>
  <c r="AL395" i="1"/>
  <c r="M396" i="1"/>
  <c r="CO372" i="1"/>
  <c r="AX412" i="1"/>
  <c r="DA429" i="1"/>
  <c r="BA420" i="1"/>
  <c r="DE410" i="1"/>
  <c r="CA401" i="1"/>
  <c r="AA392" i="1"/>
  <c r="CE382" i="1"/>
  <c r="AE373" i="1"/>
  <c r="BZ402" i="1"/>
  <c r="Z393" i="1"/>
  <c r="CD383" i="1"/>
  <c r="AD374" i="1"/>
  <c r="BA403" i="1"/>
  <c r="DE393" i="1"/>
  <c r="BE384" i="1"/>
  <c r="DI374" i="1"/>
  <c r="BD403" i="1"/>
  <c r="DH393" i="1"/>
  <c r="BH384" i="1"/>
  <c r="H375" i="1"/>
  <c r="Q365" i="1"/>
  <c r="BU355" i="1"/>
  <c r="U346" i="1"/>
  <c r="BY336" i="1"/>
  <c r="Y327" i="1"/>
  <c r="CC317" i="1"/>
  <c r="AC308" i="1"/>
  <c r="CG298" i="1"/>
  <c r="AZ362" i="1"/>
  <c r="DD352" i="1"/>
  <c r="BD343" i="1"/>
  <c r="DH333" i="1"/>
  <c r="BH324" i="1"/>
  <c r="H315" i="1"/>
  <c r="AM363" i="1"/>
  <c r="CQ353" i="1"/>
  <c r="AQ344" i="1"/>
  <c r="CU334" i="1"/>
  <c r="AU325" i="1"/>
  <c r="CY315" i="1"/>
  <c r="AY306" i="1"/>
  <c r="DC296" i="1"/>
  <c r="AH363" i="1"/>
  <c r="CL353" i="1"/>
  <c r="AL344" i="1"/>
  <c r="CP334" i="1"/>
  <c r="AP325" i="1"/>
  <c r="CK368" i="1"/>
  <c r="CZ396" i="1"/>
  <c r="AZ387" i="1"/>
  <c r="DD377" i="1"/>
  <c r="BD368" i="1"/>
  <c r="BM358" i="1"/>
  <c r="M349" i="1"/>
  <c r="BQ339" i="1"/>
  <c r="Q330" i="1"/>
  <c r="BU320" i="1"/>
  <c r="U311" i="1"/>
  <c r="BY301" i="1"/>
  <c r="AR365" i="1"/>
  <c r="CV355" i="1"/>
  <c r="AV346" i="1"/>
  <c r="CZ336" i="1"/>
  <c r="AZ327" i="1"/>
  <c r="DD317" i="1"/>
  <c r="AE366" i="1"/>
  <c r="CI356" i="1"/>
  <c r="AI347" i="1"/>
  <c r="CM337" i="1"/>
  <c r="AM328" i="1"/>
  <c r="CQ318" i="1"/>
  <c r="AQ309" i="1"/>
  <c r="CU299" i="1"/>
  <c r="Z366" i="1"/>
  <c r="CD356" i="1"/>
  <c r="AD347" i="1"/>
  <c r="CH337" i="1"/>
  <c r="AH328" i="1"/>
  <c r="CL318" i="1"/>
  <c r="BM368" i="1"/>
  <c r="CF396" i="1"/>
  <c r="AF387" i="1"/>
  <c r="CJ377" i="1"/>
  <c r="AJ368" i="1"/>
  <c r="AS358" i="1"/>
  <c r="CW348" i="1"/>
  <c r="AW339" i="1"/>
  <c r="DA329" i="1"/>
  <c r="BA320" i="1"/>
  <c r="DE310" i="1"/>
  <c r="BE301" i="1"/>
  <c r="X365" i="1"/>
  <c r="CB355" i="1"/>
  <c r="AB346" i="1"/>
  <c r="CF336" i="1"/>
  <c r="AF327" i="1"/>
  <c r="CJ317" i="1"/>
  <c r="K366" i="1"/>
  <c r="BO356" i="1"/>
  <c r="O347" i="1"/>
  <c r="BS337" i="1"/>
  <c r="S328" i="1"/>
  <c r="BW318" i="1"/>
  <c r="W309" i="1"/>
  <c r="CA299" i="1"/>
  <c r="F366" i="1"/>
  <c r="BJ356" i="1"/>
  <c r="J347" i="1"/>
  <c r="BN337" i="1"/>
  <c r="N328" i="1"/>
  <c r="BR318" i="1"/>
  <c r="H402" i="1"/>
  <c r="AJ397" i="1"/>
  <c r="AZ393" i="1"/>
  <c r="L391" i="1"/>
  <c r="CB388" i="1"/>
  <c r="AN386" i="1"/>
  <c r="DD383" i="1"/>
  <c r="BP381" i="1"/>
  <c r="AB379" i="1"/>
  <c r="CR376" i="1"/>
  <c r="BD374" i="1"/>
  <c r="P372" i="1"/>
  <c r="CF369" i="1"/>
  <c r="AR367" i="1"/>
  <c r="BM364" i="1"/>
  <c r="Y362" i="1"/>
  <c r="CO359" i="1"/>
  <c r="BA357" i="1"/>
  <c r="M355" i="1"/>
  <c r="CC352" i="1"/>
  <c r="AO350" i="1"/>
  <c r="DE347" i="1"/>
  <c r="BQ345" i="1"/>
  <c r="AC343" i="1"/>
  <c r="CS340" i="1"/>
  <c r="BE338" i="1"/>
  <c r="Q336" i="1"/>
  <c r="CG333" i="1"/>
  <c r="AS331" i="1"/>
  <c r="DI328" i="1"/>
  <c r="BU326" i="1"/>
  <c r="AG324" i="1"/>
  <c r="CW321" i="1"/>
  <c r="BI319" i="1"/>
  <c r="U317" i="1"/>
  <c r="CK314" i="1"/>
  <c r="AW312" i="1"/>
  <c r="I310" i="1"/>
  <c r="BY307" i="1"/>
  <c r="AK305" i="1"/>
  <c r="DA302" i="1"/>
  <c r="BM300" i="1"/>
  <c r="Y298" i="1"/>
  <c r="CO295" i="1"/>
  <c r="CN366" i="1"/>
  <c r="AF364" i="1"/>
  <c r="CV361" i="1"/>
  <c r="BH359" i="1"/>
  <c r="T357" i="1"/>
  <c r="CJ354" i="1"/>
  <c r="AV352" i="1"/>
  <c r="H350" i="1"/>
  <c r="BX347" i="1"/>
  <c r="AJ345" i="1"/>
  <c r="CZ342" i="1"/>
  <c r="BL340" i="1"/>
  <c r="X338" i="1"/>
  <c r="CN335" i="1"/>
  <c r="AZ333" i="1"/>
  <c r="L331" i="1"/>
  <c r="CB328" i="1"/>
  <c r="AN326" i="1"/>
  <c r="DD323" i="1"/>
  <c r="BP321" i="1"/>
  <c r="AB319" i="1"/>
  <c r="CR316" i="1"/>
  <c r="BD314" i="1"/>
  <c r="P312" i="1"/>
  <c r="CF309" i="1"/>
  <c r="S365" i="1"/>
  <c r="CI362" i="1"/>
  <c r="AU360" i="1"/>
  <c r="G358" i="1"/>
  <c r="BW355" i="1"/>
  <c r="AI353" i="1"/>
  <c r="CY350" i="1"/>
  <c r="BK348" i="1"/>
  <c r="W346" i="1"/>
  <c r="CM343" i="1"/>
  <c r="AY341" i="1"/>
  <c r="K339" i="1"/>
  <c r="CA336" i="1"/>
  <c r="AM334" i="1"/>
  <c r="DC331" i="1"/>
  <c r="BO329" i="1"/>
  <c r="AA327" i="1"/>
  <c r="CQ324" i="1"/>
  <c r="BC322" i="1"/>
  <c r="O320" i="1"/>
  <c r="CE317" i="1"/>
  <c r="AQ315" i="1"/>
  <c r="DG312" i="1"/>
  <c r="BS310" i="1"/>
  <c r="AE308" i="1"/>
  <c r="CU305" i="1"/>
  <c r="BG303" i="1"/>
  <c r="S301" i="1"/>
  <c r="CI298" i="1"/>
  <c r="AU296" i="1"/>
  <c r="G294" i="1"/>
  <c r="BW291" i="1"/>
  <c r="N365" i="1"/>
  <c r="CD362" i="1"/>
  <c r="AP360" i="1"/>
  <c r="DF357" i="1"/>
  <c r="BR355" i="1"/>
  <c r="AD353" i="1"/>
  <c r="CT350" i="1"/>
  <c r="BF348" i="1"/>
  <c r="R346" i="1"/>
  <c r="CH343" i="1"/>
  <c r="AT341" i="1"/>
  <c r="F339" i="1"/>
  <c r="BV336" i="1"/>
  <c r="AH334" i="1"/>
  <c r="CX331" i="1"/>
  <c r="BJ329" i="1"/>
  <c r="V327" i="1"/>
  <c r="CL324" i="1"/>
  <c r="AX322" i="1"/>
  <c r="J320" i="1"/>
  <c r="BZ317" i="1"/>
  <c r="J315" i="1"/>
  <c r="CX311" i="1"/>
  <c r="AL309" i="1"/>
  <c r="DB306" i="1"/>
  <c r="BN304" i="1"/>
  <c r="Z302" i="1"/>
  <c r="CP299" i="1"/>
  <c r="BB297" i="1"/>
  <c r="T306" i="1"/>
  <c r="BX296" i="1"/>
  <c r="AF292" i="1"/>
  <c r="BP289" i="1"/>
  <c r="AB287" i="1"/>
  <c r="CR284" i="1"/>
  <c r="BD282" i="1"/>
  <c r="P280" i="1"/>
  <c r="CF277" i="1"/>
  <c r="AR275" i="1"/>
  <c r="DH272" i="1"/>
  <c r="BT270" i="1"/>
  <c r="AF268" i="1"/>
  <c r="CV265" i="1"/>
  <c r="BH263" i="1"/>
  <c r="T261" i="1"/>
  <c r="CJ258" i="1"/>
  <c r="AV256" i="1"/>
  <c r="H254" i="1"/>
  <c r="BX251" i="1"/>
  <c r="AJ249" i="1"/>
  <c r="CZ246" i="1"/>
  <c r="BL244" i="1"/>
  <c r="X242" i="1"/>
  <c r="CN239" i="1"/>
  <c r="AZ237" i="1"/>
  <c r="L235" i="1"/>
  <c r="CB232" i="1"/>
  <c r="AN230" i="1"/>
  <c r="DD227" i="1"/>
  <c r="BP225" i="1"/>
  <c r="AB223" i="1"/>
  <c r="DD305" i="1"/>
  <c r="BD296" i="1"/>
  <c r="Y292" i="1"/>
  <c r="BK289" i="1"/>
  <c r="W287" i="1"/>
  <c r="CM284" i="1"/>
  <c r="AY282" i="1"/>
  <c r="K280" i="1"/>
  <c r="CA277" i="1"/>
  <c r="AM275" i="1"/>
  <c r="DC272" i="1"/>
  <c r="BO270" i="1"/>
  <c r="AA268" i="1"/>
  <c r="CQ265" i="1"/>
  <c r="BC263" i="1"/>
  <c r="O261" i="1"/>
  <c r="CE258" i="1"/>
  <c r="AQ256" i="1"/>
  <c r="DG253" i="1"/>
  <c r="BS251" i="1"/>
  <c r="AE249" i="1"/>
  <c r="CU246" i="1"/>
  <c r="BG244" i="1"/>
  <c r="S242" i="1"/>
  <c r="CI239" i="1"/>
  <c r="AU237" i="1"/>
  <c r="G235" i="1"/>
  <c r="BW232" i="1"/>
  <c r="AI230" i="1"/>
  <c r="CR307" i="1"/>
  <c r="AR298" i="1"/>
  <c r="CO292" i="1"/>
  <c r="F290" i="1"/>
  <c r="BV287" i="1"/>
  <c r="AH285" i="1"/>
  <c r="CX282" i="1"/>
  <c r="BJ280" i="1"/>
  <c r="V278" i="1"/>
  <c r="CL275" i="1"/>
  <c r="AX273" i="1"/>
  <c r="J271" i="1"/>
  <c r="BZ268" i="1"/>
  <c r="AL266" i="1"/>
  <c r="DB263" i="1"/>
  <c r="BN261" i="1"/>
  <c r="Z259" i="1"/>
  <c r="CP256" i="1"/>
  <c r="BB254" i="1"/>
  <c r="N252" i="1"/>
  <c r="CD249" i="1"/>
  <c r="AP247" i="1"/>
  <c r="DF244" i="1"/>
  <c r="BR242" i="1"/>
  <c r="AD240" i="1"/>
  <c r="CT237" i="1"/>
  <c r="BF235" i="1"/>
  <c r="R233" i="1"/>
  <c r="CH230" i="1"/>
  <c r="AT228" i="1"/>
  <c r="F226" i="1"/>
  <c r="BV223" i="1"/>
  <c r="AH221" i="1"/>
  <c r="CX218" i="1"/>
  <c r="BJ216" i="1"/>
  <c r="V214" i="1"/>
  <c r="P300" i="1"/>
  <c r="AV293" i="1"/>
  <c r="BA290" i="1"/>
  <c r="M288" i="1"/>
  <c r="CC285" i="1"/>
  <c r="AO283" i="1"/>
  <c r="DE280" i="1"/>
  <c r="BQ278" i="1"/>
  <c r="AC276" i="1"/>
  <c r="CS273" i="1"/>
  <c r="BE271" i="1"/>
  <c r="Q269" i="1"/>
  <c r="CG266" i="1"/>
  <c r="AS264" i="1"/>
  <c r="DI261" i="1"/>
  <c r="BU259" i="1"/>
  <c r="AG257" i="1"/>
  <c r="CW254" i="1"/>
  <c r="BI252" i="1"/>
  <c r="U250" i="1"/>
  <c r="CK247" i="1"/>
  <c r="CG241" i="1"/>
  <c r="AG232" i="1"/>
  <c r="AX314" i="1"/>
  <c r="AH311" i="1"/>
  <c r="CP308" i="1"/>
  <c r="BB306" i="1"/>
  <c r="N304" i="1"/>
  <c r="CD301" i="1"/>
  <c r="AP299" i="1"/>
  <c r="DF296" i="1"/>
  <c r="AB304" i="1"/>
  <c r="AJ295" i="1"/>
  <c r="BR291" i="1"/>
  <c r="P289" i="1"/>
  <c r="CF286" i="1"/>
  <c r="AR284" i="1"/>
  <c r="DH281" i="1"/>
  <c r="BT279" i="1"/>
  <c r="AF277" i="1"/>
  <c r="CV274" i="1"/>
  <c r="BH272" i="1"/>
  <c r="T270" i="1"/>
  <c r="CJ267" i="1"/>
  <c r="AV265" i="1"/>
  <c r="H263" i="1"/>
  <c r="BX260" i="1"/>
  <c r="AJ258" i="1"/>
  <c r="CZ255" i="1"/>
  <c r="BL253" i="1"/>
  <c r="X251" i="1"/>
  <c r="CN248" i="1"/>
  <c r="AZ246" i="1"/>
  <c r="L244" i="1"/>
  <c r="CB241" i="1"/>
  <c r="AN239" i="1"/>
  <c r="DD236" i="1"/>
  <c r="BP234" i="1"/>
  <c r="AB232" i="1"/>
  <c r="CR229" i="1"/>
  <c r="BD227" i="1"/>
  <c r="P225" i="1"/>
  <c r="CF222" i="1"/>
  <c r="H304" i="1"/>
  <c r="Z295" i="1"/>
  <c r="BL291" i="1"/>
  <c r="K289" i="1"/>
  <c r="CA286" i="1"/>
  <c r="AM284" i="1"/>
  <c r="DC281" i="1"/>
  <c r="BO279" i="1"/>
  <c r="AA277" i="1"/>
  <c r="CQ274" i="1"/>
  <c r="BC272" i="1"/>
  <c r="O270" i="1"/>
  <c r="CE267" i="1"/>
  <c r="AQ265" i="1"/>
  <c r="DG262" i="1"/>
  <c r="BS260" i="1"/>
  <c r="AE258" i="1"/>
  <c r="CU255" i="1"/>
  <c r="BG253" i="1"/>
  <c r="S251" i="1"/>
  <c r="CI248" i="1"/>
  <c r="AU246" i="1"/>
  <c r="G244" i="1"/>
  <c r="BW241" i="1"/>
  <c r="AI239" i="1"/>
  <c r="CY236" i="1"/>
  <c r="BK234" i="1"/>
  <c r="W232" i="1"/>
  <c r="CM229" i="1"/>
  <c r="CZ305" i="1"/>
  <c r="AZ296" i="1"/>
  <c r="X292" i="1"/>
  <c r="BJ289" i="1"/>
  <c r="V287" i="1"/>
  <c r="CL284" i="1"/>
  <c r="AX282" i="1"/>
  <c r="J280" i="1"/>
  <c r="BZ277" i="1"/>
  <c r="AL275" i="1"/>
  <c r="DB272" i="1"/>
  <c r="BN270" i="1"/>
  <c r="Z268" i="1"/>
  <c r="CP265" i="1"/>
  <c r="BB263" i="1"/>
  <c r="N261" i="1"/>
  <c r="CD258" i="1"/>
  <c r="AP256" i="1"/>
  <c r="DF253" i="1"/>
  <c r="BR251" i="1"/>
  <c r="AD249" i="1"/>
  <c r="CT246" i="1"/>
  <c r="BF244" i="1"/>
  <c r="R242" i="1"/>
  <c r="CH239" i="1"/>
  <c r="AT237" i="1"/>
  <c r="F235" i="1"/>
  <c r="BV232" i="1"/>
  <c r="AH230" i="1"/>
  <c r="CX227" i="1"/>
  <c r="BJ225" i="1"/>
  <c r="V223" i="1"/>
  <c r="CL220" i="1"/>
  <c r="AX218" i="1"/>
  <c r="J216" i="1"/>
  <c r="BX307" i="1"/>
  <c r="X298" i="1"/>
  <c r="CH292" i="1"/>
  <c r="DE289" i="1"/>
  <c r="BQ287" i="1"/>
  <c r="AC285" i="1"/>
  <c r="CS282" i="1"/>
  <c r="BE280" i="1"/>
  <c r="Q278" i="1"/>
  <c r="CG275" i="1"/>
  <c r="AS273" i="1"/>
  <c r="DI270" i="1"/>
  <c r="Z317" i="1"/>
  <c r="DF313" i="1"/>
  <c r="CT310" i="1"/>
  <c r="BF308" i="1"/>
  <c r="R306" i="1"/>
  <c r="CH303" i="1"/>
  <c r="AT301" i="1"/>
  <c r="F299" i="1"/>
  <c r="BV296" i="1"/>
  <c r="CV302" i="1"/>
  <c r="BT294" i="1"/>
  <c r="V291" i="1"/>
  <c r="CJ288" i="1"/>
  <c r="AV286" i="1"/>
  <c r="H284" i="1"/>
  <c r="BX281" i="1"/>
  <c r="AJ279" i="1"/>
  <c r="CZ276" i="1"/>
  <c r="BL274" i="1"/>
  <c r="X272" i="1"/>
  <c r="CN269" i="1"/>
  <c r="AZ267" i="1"/>
  <c r="L265" i="1"/>
  <c r="CB262" i="1"/>
  <c r="AN260" i="1"/>
  <c r="DD257" i="1"/>
  <c r="BP255" i="1"/>
  <c r="AB253" i="1"/>
  <c r="CR250" i="1"/>
  <c r="BD248" i="1"/>
  <c r="P246" i="1"/>
  <c r="CF243" i="1"/>
  <c r="AR241" i="1"/>
  <c r="DH238" i="1"/>
  <c r="BT236" i="1"/>
  <c r="AF234" i="1"/>
  <c r="CV231" i="1"/>
  <c r="BH229" i="1"/>
  <c r="T227" i="1"/>
  <c r="CJ224" i="1"/>
  <c r="AV222" i="1"/>
  <c r="CB302" i="1"/>
  <c r="BJ294" i="1"/>
  <c r="P291" i="1"/>
  <c r="CE288" i="1"/>
  <c r="AQ286" i="1"/>
  <c r="DG283" i="1"/>
  <c r="BS281" i="1"/>
  <c r="AE279" i="1"/>
  <c r="CU276" i="1"/>
  <c r="BG274" i="1"/>
  <c r="S272" i="1"/>
  <c r="CI269" i="1"/>
  <c r="AU267" i="1"/>
  <c r="G265" i="1"/>
  <c r="BW262" i="1"/>
  <c r="AI260" i="1"/>
  <c r="CY257" i="1"/>
  <c r="BK255" i="1"/>
  <c r="W253" i="1"/>
  <c r="CM250" i="1"/>
  <c r="AY248" i="1"/>
  <c r="K246" i="1"/>
  <c r="CA243" i="1"/>
  <c r="AM241" i="1"/>
  <c r="DC238" i="1"/>
  <c r="BO236" i="1"/>
  <c r="AA234" i="1"/>
  <c r="CQ231" i="1"/>
  <c r="BC229" i="1"/>
  <c r="BP304" i="1"/>
  <c r="BD295" i="1"/>
  <c r="CF291" i="1"/>
  <c r="Z289" i="1"/>
  <c r="CP286" i="1"/>
  <c r="BB284" i="1"/>
  <c r="N282" i="1"/>
  <c r="CD279" i="1"/>
  <c r="AP277" i="1"/>
  <c r="DF274" i="1"/>
  <c r="BR272" i="1"/>
  <c r="AD270" i="1"/>
  <c r="CT267" i="1"/>
  <c r="BF265" i="1"/>
  <c r="R263" i="1"/>
  <c r="CH260" i="1"/>
  <c r="AT258" i="1"/>
  <c r="F256" i="1"/>
  <c r="BV253" i="1"/>
  <c r="AH251" i="1"/>
  <c r="CX248" i="1"/>
  <c r="BJ246" i="1"/>
  <c r="V244" i="1"/>
  <c r="CL241" i="1"/>
  <c r="AX239" i="1"/>
  <c r="J237" i="1"/>
  <c r="BZ234" i="1"/>
  <c r="AL232" i="1"/>
  <c r="DB229" i="1"/>
  <c r="BN227" i="1"/>
  <c r="Z225" i="1"/>
  <c r="CP222" i="1"/>
  <c r="BB220" i="1"/>
  <c r="N218" i="1"/>
  <c r="CD215" i="1"/>
  <c r="AN306" i="1"/>
  <c r="CR296" i="1"/>
  <c r="AL292" i="1"/>
  <c r="BU289" i="1"/>
  <c r="AG287" i="1"/>
  <c r="CW284" i="1"/>
  <c r="BI282" i="1"/>
  <c r="U280" i="1"/>
  <c r="CK277" i="1"/>
  <c r="AW275" i="1"/>
  <c r="I273" i="1"/>
  <c r="BY270" i="1"/>
  <c r="AK268" i="1"/>
  <c r="DA265" i="1"/>
  <c r="CN513" i="1"/>
  <c r="AL472" i="1"/>
  <c r="CC439" i="1"/>
  <c r="BB474" i="1"/>
  <c r="BJ435" i="1"/>
  <c r="G404" i="1"/>
  <c r="H405" i="1"/>
  <c r="N367" i="1"/>
  <c r="R412" i="1"/>
  <c r="BS401" i="1"/>
  <c r="BR402" i="1"/>
  <c r="AS403" i="1"/>
  <c r="AT411" i="1"/>
  <c r="AY401" i="1"/>
  <c r="AX402" i="1"/>
  <c r="Y403" i="1"/>
  <c r="BQ374" i="1"/>
  <c r="BJ419" i="1"/>
  <c r="CC431" i="1"/>
  <c r="AC422" i="1"/>
  <c r="CG412" i="1"/>
  <c r="BC403" i="1"/>
  <c r="DG393" i="1"/>
  <c r="BG384" i="1"/>
  <c r="G375" i="1"/>
  <c r="BB404" i="1"/>
  <c r="DF394" i="1"/>
  <c r="BF385" i="1"/>
  <c r="F376" i="1"/>
  <c r="CR405" i="1"/>
  <c r="CG395" i="1"/>
  <c r="AG386" i="1"/>
  <c r="Q371" i="1"/>
  <c r="CB369" i="1"/>
  <c r="AO331" i="1"/>
  <c r="CF366" i="1"/>
  <c r="BX328" i="1"/>
  <c r="BG348" i="1"/>
  <c r="BO310" i="1"/>
  <c r="BB348" i="1"/>
  <c r="L401" i="1"/>
  <c r="CC362" i="1"/>
  <c r="CK324" i="1"/>
  <c r="H360" i="1"/>
  <c r="P322" i="1"/>
  <c r="DC341" i="1"/>
  <c r="G304" i="1"/>
  <c r="CX341" i="1"/>
  <c r="CV400" i="1"/>
  <c r="BI362" i="1"/>
  <c r="BQ324" i="1"/>
  <c r="CR359" i="1"/>
  <c r="CZ321" i="1"/>
  <c r="CI341" i="1"/>
  <c r="CQ303" i="1"/>
  <c r="CD341" i="1"/>
  <c r="AB399" i="1"/>
  <c r="AR387" i="1"/>
  <c r="CV377" i="1"/>
  <c r="AV368" i="1"/>
  <c r="BE358" i="1"/>
  <c r="DI348" i="1"/>
  <c r="BI339" i="1"/>
  <c r="I330" i="1"/>
  <c r="BM320" i="1"/>
  <c r="M311" i="1"/>
  <c r="BQ301" i="1"/>
  <c r="AJ365" i="1"/>
  <c r="CN355" i="1"/>
  <c r="AN346" i="1"/>
  <c r="CR336" i="1"/>
  <c r="AR327" i="1"/>
  <c r="CV317" i="1"/>
  <c r="W366" i="1"/>
  <c r="CA356" i="1"/>
  <c r="AA347" i="1"/>
  <c r="CE337" i="1"/>
  <c r="AE328" i="1"/>
  <c r="CI318" i="1"/>
  <c r="AI309" i="1"/>
  <c r="CM299" i="1"/>
  <c r="R366" i="1"/>
  <c r="BV356" i="1"/>
  <c r="V347" i="1"/>
  <c r="BZ337" i="1"/>
  <c r="Z328" i="1"/>
  <c r="CD318" i="1"/>
  <c r="DF307" i="1"/>
  <c r="BF298" i="1"/>
  <c r="BT290" i="1"/>
  <c r="T281" i="1"/>
  <c r="BX271" i="1"/>
  <c r="X262" i="1"/>
  <c r="CB252" i="1"/>
  <c r="AB243" i="1"/>
  <c r="CF233" i="1"/>
  <c r="AF224" i="1"/>
  <c r="BO290" i="1"/>
  <c r="O281" i="1"/>
  <c r="BS271" i="1"/>
  <c r="S262" i="1"/>
  <c r="BW252" i="1"/>
  <c r="W243" i="1"/>
  <c r="CK376" i="1"/>
  <c r="CN376" i="1"/>
  <c r="BA338" i="1"/>
  <c r="BI300" i="1"/>
  <c r="CJ335" i="1"/>
  <c r="BS355" i="1"/>
  <c r="CA317" i="1"/>
  <c r="BN355" i="1"/>
  <c r="BV317" i="1"/>
  <c r="AF370" i="1"/>
  <c r="CW331" i="1"/>
  <c r="DE293" i="1"/>
  <c r="AB329" i="1"/>
  <c r="K349" i="1"/>
  <c r="S311" i="1"/>
  <c r="F349" i="1"/>
  <c r="N311" i="1"/>
  <c r="L370" i="1"/>
  <c r="CC331" i="1"/>
  <c r="CK293" i="1"/>
  <c r="H329" i="1"/>
  <c r="CU348" i="1"/>
  <c r="DC310" i="1"/>
  <c r="CP348" i="1"/>
  <c r="CJ402" i="1"/>
  <c r="T389" i="1"/>
  <c r="BX379" i="1"/>
  <c r="X370" i="1"/>
  <c r="AG360" i="1"/>
  <c r="CK350" i="1"/>
  <c r="AK341" i="1"/>
  <c r="CO331" i="1"/>
  <c r="AO322" i="1"/>
  <c r="CS312" i="1"/>
  <c r="AS303" i="1"/>
  <c r="CW293" i="1"/>
  <c r="BP357" i="1"/>
  <c r="P348" i="1"/>
  <c r="BT338" i="1"/>
  <c r="T329" i="1"/>
  <c r="BX319" i="1"/>
  <c r="X310" i="1"/>
  <c r="BC358" i="1"/>
  <c r="DG348" i="1"/>
  <c r="BG339" i="1"/>
  <c r="G330" i="1"/>
  <c r="BK320" i="1"/>
  <c r="K311" i="1"/>
  <c r="BO301" i="1"/>
  <c r="O292" i="1"/>
  <c r="AX358" i="1"/>
  <c r="DB348" i="1"/>
  <c r="BB339" i="1"/>
  <c r="DF329" i="1"/>
  <c r="BF320" i="1"/>
  <c r="CH309" i="1"/>
  <c r="AH300" i="1"/>
  <c r="CR292" i="1"/>
  <c r="CZ282" i="1"/>
  <c r="AZ273" i="1"/>
  <c r="DD263" i="1"/>
  <c r="BD254" i="1"/>
  <c r="DH244" i="1"/>
  <c r="BH235" i="1"/>
  <c r="H226" i="1"/>
  <c r="CK292" i="1"/>
  <c r="CV402" i="1"/>
  <c r="BI364" i="1"/>
  <c r="BQ326" i="1"/>
  <c r="CR361" i="1"/>
  <c r="CZ323" i="1"/>
  <c r="CI343" i="1"/>
  <c r="CQ305" i="1"/>
  <c r="CD343" i="1"/>
  <c r="AN396" i="1"/>
  <c r="DE357" i="1"/>
  <c r="I320" i="1"/>
  <c r="AJ355" i="1"/>
  <c r="AR317" i="1"/>
  <c r="AA337" i="1"/>
  <c r="AI299" i="1"/>
  <c r="V337" i="1"/>
  <c r="T396" i="1"/>
  <c r="CK357" i="1"/>
  <c r="CS319" i="1"/>
  <c r="P355" i="1"/>
  <c r="X317" i="1"/>
  <c r="G337" i="1"/>
  <c r="O299" i="1"/>
  <c r="DF336" i="1"/>
  <c r="CR396" i="1"/>
  <c r="X386" i="1"/>
  <c r="CB376" i="1"/>
  <c r="Q367" i="1"/>
  <c r="AK357" i="1"/>
  <c r="CO347" i="1"/>
  <c r="AO338" i="1"/>
  <c r="CS328" i="1"/>
  <c r="AS319" i="1"/>
  <c r="CW309" i="1"/>
  <c r="AW300" i="1"/>
  <c r="P364" i="1"/>
  <c r="BT354" i="1"/>
  <c r="T345" i="1"/>
  <c r="BX335" i="1"/>
  <c r="X326" i="1"/>
  <c r="CB316" i="1"/>
  <c r="DG364" i="1"/>
  <c r="BG355" i="1"/>
  <c r="G346" i="1"/>
  <c r="BK336" i="1"/>
  <c r="K327" i="1"/>
  <c r="BO317" i="1"/>
  <c r="O308" i="1"/>
  <c r="BS298" i="1"/>
  <c r="DB364" i="1"/>
  <c r="BB355" i="1"/>
  <c r="DF345" i="1"/>
  <c r="BF336" i="1"/>
  <c r="F327" i="1"/>
  <c r="BJ317" i="1"/>
  <c r="CL306" i="1"/>
  <c r="AL297" i="1"/>
  <c r="AZ289" i="1"/>
  <c r="DD279" i="1"/>
  <c r="BD270" i="1"/>
  <c r="DH260" i="1"/>
  <c r="BH251" i="1"/>
  <c r="H242" i="1"/>
  <c r="BL232" i="1"/>
  <c r="L223" i="1"/>
  <c r="AU289" i="1"/>
  <c r="I372" i="1"/>
  <c r="L372" i="1"/>
  <c r="CC333" i="1"/>
  <c r="CK295" i="1"/>
  <c r="H331" i="1"/>
  <c r="CU350" i="1"/>
  <c r="DC312" i="1"/>
  <c r="CP350" i="1"/>
  <c r="AZ403" i="1"/>
  <c r="M365" i="1"/>
  <c r="U327" i="1"/>
  <c r="AV362" i="1"/>
  <c r="BD324" i="1"/>
  <c r="AM344" i="1"/>
  <c r="AU306" i="1"/>
  <c r="AH344" i="1"/>
  <c r="AF403" i="1"/>
  <c r="CW364" i="1"/>
  <c r="DE326" i="1"/>
  <c r="AB362" i="1"/>
  <c r="AJ324" i="1"/>
  <c r="S344" i="1"/>
  <c r="AA306" i="1"/>
  <c r="N344" i="1"/>
  <c r="AV400" i="1"/>
  <c r="DD387" i="1"/>
  <c r="BD378" i="1"/>
  <c r="DH368" i="1"/>
  <c r="M359" i="1"/>
  <c r="BQ349" i="1"/>
  <c r="Q340" i="1"/>
  <c r="BU330" i="1"/>
  <c r="U321" i="1"/>
  <c r="BY311" i="1"/>
  <c r="Y302" i="1"/>
  <c r="CV365" i="1"/>
  <c r="AV356" i="1"/>
  <c r="CZ346" i="1"/>
  <c r="AZ337" i="1"/>
  <c r="DD327" i="1"/>
  <c r="BD318" i="1"/>
  <c r="M367" i="1"/>
  <c r="AI357" i="1"/>
  <c r="CM347" i="1"/>
  <c r="AM338" i="1"/>
  <c r="CQ328" i="1"/>
  <c r="AQ319" i="1"/>
  <c r="CU309" i="1"/>
  <c r="AU300" i="1"/>
  <c r="DH366" i="1"/>
  <c r="AD357" i="1"/>
  <c r="CH347" i="1"/>
  <c r="AH338" i="1"/>
  <c r="CL328" i="1"/>
  <c r="AL319" i="1"/>
  <c r="BN308" i="1"/>
  <c r="N299" i="1"/>
  <c r="AG291" i="1"/>
  <c r="CF281" i="1"/>
  <c r="AF272" i="1"/>
  <c r="CJ262" i="1"/>
  <c r="AJ253" i="1"/>
  <c r="CN243" i="1"/>
  <c r="AN234" i="1"/>
  <c r="BZ294" i="1"/>
  <c r="BO274" i="1"/>
  <c r="BK261" i="1"/>
  <c r="O249" i="1"/>
  <c r="BW236" i="1"/>
  <c r="BH302" i="1"/>
  <c r="AL286" i="1"/>
  <c r="CP276" i="1"/>
  <c r="AP267" i="1"/>
  <c r="CT257" i="1"/>
  <c r="AT248" i="1"/>
  <c r="CX238" i="1"/>
  <c r="AX229" i="1"/>
  <c r="DB219" i="1"/>
  <c r="AL295" i="1"/>
  <c r="AS284" i="1"/>
  <c r="CW274" i="1"/>
  <c r="AW265" i="1"/>
  <c r="DA255" i="1"/>
  <c r="CW245" i="1"/>
  <c r="CT309" i="1"/>
  <c r="AT300" i="1"/>
  <c r="DH292" i="1"/>
  <c r="H283" i="1"/>
  <c r="BL273" i="1"/>
  <c r="L264" i="1"/>
  <c r="BP254" i="1"/>
  <c r="P245" i="1"/>
  <c r="BT235" i="1"/>
  <c r="T226" i="1"/>
  <c r="DA292" i="1"/>
  <c r="DG282" i="1"/>
  <c r="BG273" i="1"/>
  <c r="G264" i="1"/>
  <c r="BK254" i="1"/>
  <c r="K245" i="1"/>
  <c r="BO235" i="1"/>
  <c r="BP300" i="1"/>
  <c r="CP285" i="1"/>
  <c r="AP276" i="1"/>
  <c r="CT266" i="1"/>
  <c r="AT257" i="1"/>
  <c r="CX247" i="1"/>
  <c r="AX238" i="1"/>
  <c r="DB228" i="1"/>
  <c r="BB219" i="1"/>
  <c r="AP294" i="1"/>
  <c r="CW283" i="1"/>
  <c r="AW274" i="1"/>
  <c r="Z312" i="1"/>
  <c r="AX302" i="1"/>
  <c r="BL297" i="1"/>
  <c r="L285" i="1"/>
  <c r="BP275" i="1"/>
  <c r="P266" i="1"/>
  <c r="BT256" i="1"/>
  <c r="T247" i="1"/>
  <c r="BX237" i="1"/>
  <c r="X228" i="1"/>
  <c r="AR297" i="1"/>
  <c r="G285" i="1"/>
  <c r="BK275" i="1"/>
  <c r="K266" i="1"/>
  <c r="BO256" i="1"/>
  <c r="O247" i="1"/>
  <c r="BS237" i="1"/>
  <c r="CF308" i="1"/>
  <c r="CT287" i="1"/>
  <c r="AT278" i="1"/>
  <c r="CX268" i="1"/>
  <c r="AX259" i="1"/>
  <c r="DB249" i="1"/>
  <c r="BB240" i="1"/>
  <c r="DF230" i="1"/>
  <c r="BF221" i="1"/>
  <c r="DH300" i="1"/>
  <c r="DA285" i="1"/>
  <c r="BA276" i="1"/>
  <c r="Y269" i="1"/>
  <c r="M266" i="1"/>
  <c r="Q263" i="1"/>
  <c r="CG260" i="1"/>
  <c r="AS258" i="1"/>
  <c r="DI255" i="1"/>
  <c r="BU253" i="1"/>
  <c r="AG251" i="1"/>
  <c r="CW248" i="1"/>
  <c r="Y246" i="1"/>
  <c r="CC236" i="1"/>
  <c r="AL316" i="1"/>
  <c r="R313" i="1"/>
  <c r="AD310" i="1"/>
  <c r="CT307" i="1"/>
  <c r="BF305" i="1"/>
  <c r="R303" i="1"/>
  <c r="CH300" i="1"/>
  <c r="AT298" i="1"/>
  <c r="F296" i="1"/>
  <c r="AR300" i="1"/>
  <c r="BE293" i="1"/>
  <c r="BH290" i="1"/>
  <c r="T288" i="1"/>
  <c r="CJ285" i="1"/>
  <c r="AV283" i="1"/>
  <c r="H281" i="1"/>
  <c r="BX278" i="1"/>
  <c r="AJ276" i="1"/>
  <c r="CZ273" i="1"/>
  <c r="BL271" i="1"/>
  <c r="X269" i="1"/>
  <c r="CN266" i="1"/>
  <c r="AZ264" i="1"/>
  <c r="L262" i="1"/>
  <c r="CB259" i="1"/>
  <c r="AN257" i="1"/>
  <c r="DD254" i="1"/>
  <c r="BP252" i="1"/>
  <c r="AB250" i="1"/>
  <c r="CR247" i="1"/>
  <c r="BD245" i="1"/>
  <c r="CV276" i="1"/>
  <c r="AV267" i="1"/>
  <c r="CZ257" i="1"/>
  <c r="AZ248" i="1"/>
  <c r="AN241" i="1"/>
  <c r="BP236" i="1"/>
  <c r="CR231" i="1"/>
  <c r="P227" i="1"/>
  <c r="AR222" i="1"/>
  <c r="BB294" i="1"/>
  <c r="CA288" i="1"/>
  <c r="DC283" i="1"/>
  <c r="AA279" i="1"/>
  <c r="BC267" i="1"/>
  <c r="DG241" i="1"/>
  <c r="BB290" i="1"/>
  <c r="BF271" i="1"/>
  <c r="BJ252" i="1"/>
  <c r="BN233" i="1"/>
  <c r="BR214" i="1"/>
  <c r="I279" i="1"/>
  <c r="M260" i="1"/>
  <c r="F315" i="1"/>
  <c r="DH305" i="1"/>
  <c r="CB277" i="1"/>
  <c r="CF258" i="1"/>
  <c r="CJ239" i="1"/>
  <c r="CN305" i="1"/>
  <c r="BW277" i="1"/>
  <c r="CA258" i="1"/>
  <c r="CE239" i="1"/>
  <c r="DF289" i="1"/>
  <c r="F271" i="1"/>
  <c r="J252" i="1"/>
  <c r="N233" i="1"/>
  <c r="R214" i="1"/>
  <c r="BM278" i="1"/>
  <c r="BN306" i="1"/>
  <c r="AB289" i="1"/>
  <c r="AF270" i="1"/>
  <c r="AJ251" i="1"/>
  <c r="AN232" i="1"/>
  <c r="W289" i="1"/>
  <c r="AA270" i="1"/>
  <c r="AE251" i="1"/>
  <c r="AI232" i="1"/>
  <c r="BJ282" i="1"/>
  <c r="BN263" i="1"/>
  <c r="BR244" i="1"/>
  <c r="BV225" i="1"/>
  <c r="M290" i="1"/>
  <c r="Q271" i="1"/>
  <c r="AK264" i="1"/>
  <c r="AW259" i="1"/>
  <c r="BY254" i="1"/>
  <c r="DA249" i="1"/>
  <c r="CS240" i="1"/>
  <c r="BJ314" i="1"/>
  <c r="CX308" i="1"/>
  <c r="V304" i="1"/>
  <c r="AX299" i="1"/>
  <c r="BH304" i="1"/>
  <c r="CC291" i="1"/>
  <c r="CN286" i="1"/>
  <c r="L282" i="1"/>
  <c r="AN277" i="1"/>
  <c r="BP272" i="1"/>
  <c r="CR267" i="1"/>
  <c r="P263" i="1"/>
  <c r="AR258" i="1"/>
  <c r="BT253" i="1"/>
  <c r="CV248" i="1"/>
  <c r="T244" i="1"/>
  <c r="AV239" i="1"/>
  <c r="BX234" i="1"/>
  <c r="CZ229" i="1"/>
  <c r="X225" i="1"/>
  <c r="AN304" i="1"/>
  <c r="BV291" i="1"/>
  <c r="CQ269" i="1"/>
  <c r="AQ244" i="1"/>
  <c r="BT292" i="1"/>
  <c r="AH273" i="1"/>
  <c r="AL254" i="1"/>
  <c r="AP235" i="1"/>
  <c r="AT216" i="1"/>
  <c r="CO280" i="1"/>
  <c r="CS261" i="1"/>
  <c r="BY231" i="1"/>
  <c r="CP296" i="1"/>
  <c r="BD279" i="1"/>
  <c r="BH260" i="1"/>
  <c r="BL241" i="1"/>
  <c r="BP222" i="1"/>
  <c r="AY279" i="1"/>
  <c r="BC260" i="1"/>
  <c r="BG241" i="1"/>
  <c r="DF291" i="1"/>
  <c r="CL272" i="1"/>
  <c r="CP253" i="1"/>
  <c r="CT234" i="1"/>
  <c r="CX215" i="1"/>
  <c r="AO280" i="1"/>
  <c r="AP308" i="1"/>
  <c r="DH290" i="1"/>
  <c r="H272" i="1"/>
  <c r="L253" i="1"/>
  <c r="P234" i="1"/>
  <c r="DC290" i="1"/>
  <c r="DG271" i="1"/>
  <c r="G253" i="1"/>
  <c r="K234" i="1"/>
  <c r="AL284" i="1"/>
  <c r="AP265" i="1"/>
  <c r="AT246" i="1"/>
  <c r="AX227" i="1"/>
  <c r="Q292" i="1"/>
  <c r="CW272" i="1"/>
  <c r="CW264" i="1"/>
  <c r="CS259" i="1"/>
  <c r="Q255" i="1"/>
  <c r="AS250" i="1"/>
  <c r="BU242" i="1"/>
  <c r="R315" i="1"/>
  <c r="AP309" i="1"/>
  <c r="BR304" i="1"/>
  <c r="CT299" i="1"/>
  <c r="AJ306" i="1"/>
  <c r="AK292" i="1"/>
  <c r="AF287" i="1"/>
  <c r="BH282" i="1"/>
  <c r="CJ277" i="1"/>
  <c r="H273" i="1"/>
  <c r="AJ268" i="1"/>
  <c r="BL263" i="1"/>
  <c r="CN258" i="1"/>
  <c r="L254" i="1"/>
  <c r="AN249" i="1"/>
  <c r="BP244" i="1"/>
  <c r="CR239" i="1"/>
  <c r="P235" i="1"/>
  <c r="AR230" i="1"/>
  <c r="BT225" i="1"/>
  <c r="AY286" i="1"/>
  <c r="W259" i="1"/>
  <c r="AI234" i="1"/>
  <c r="BJ284" i="1"/>
  <c r="BN265" i="1"/>
  <c r="BR246" i="1"/>
  <c r="BV227" i="1"/>
  <c r="AW292" i="1"/>
  <c r="Q273" i="1"/>
  <c r="U254" i="1"/>
  <c r="N308" i="1"/>
  <c r="CF290" i="1"/>
  <c r="CJ271" i="1"/>
  <c r="CN252" i="1"/>
  <c r="CR233" i="1"/>
  <c r="CA290" i="1"/>
  <c r="CE271" i="1"/>
  <c r="CI252" i="1"/>
  <c r="CM233" i="1"/>
  <c r="J284" i="1"/>
  <c r="N265" i="1"/>
  <c r="R246" i="1"/>
  <c r="V227" i="1"/>
  <c r="CJ291" i="1"/>
  <c r="BU272" i="1"/>
  <c r="BV300" i="1"/>
  <c r="AJ283" i="1"/>
  <c r="AN264" i="1"/>
  <c r="AR245" i="1"/>
  <c r="AV226" i="1"/>
  <c r="AQ290" i="1"/>
  <c r="S276" i="1"/>
  <c r="AI264" i="1"/>
  <c r="AY252" i="1"/>
  <c r="AA238" i="1"/>
  <c r="BT301" i="1"/>
  <c r="CD283" i="1"/>
  <c r="BF269" i="1"/>
  <c r="BV257" i="1"/>
  <c r="CL245" i="1"/>
  <c r="BN231" i="1"/>
  <c r="CD219" i="1"/>
  <c r="AN291" i="1"/>
  <c r="I277" i="1"/>
  <c r="BQ268" i="1"/>
  <c r="BQ264" i="1"/>
  <c r="CW260" i="1"/>
  <c r="DA257" i="1"/>
  <c r="DE254" i="1"/>
  <c r="AW251" i="1"/>
  <c r="BA248" i="1"/>
  <c r="I242" i="1"/>
  <c r="BF316" i="1"/>
  <c r="BJ312" i="1"/>
  <c r="Z309" i="1"/>
  <c r="BV305" i="1"/>
  <c r="BZ302" i="1"/>
  <c r="CD299" i="1"/>
  <c r="V296" i="1"/>
  <c r="BP298" i="1"/>
  <c r="P292" i="1"/>
  <c r="AJ288" i="1"/>
  <c r="AN285" i="1"/>
  <c r="AR282" i="1"/>
  <c r="CN278" i="1"/>
  <c r="CR275" i="1"/>
  <c r="CV272" i="1"/>
  <c r="AN269" i="1"/>
  <c r="AR266" i="1"/>
  <c r="AV263" i="1"/>
  <c r="CR259" i="1"/>
  <c r="CV256" i="1"/>
  <c r="CZ253" i="1"/>
  <c r="AR250" i="1"/>
  <c r="AV247" i="1"/>
  <c r="AZ244" i="1"/>
  <c r="CV240" i="1"/>
  <c r="CZ237" i="1"/>
  <c r="DD234" i="1"/>
  <c r="AV231" i="1"/>
  <c r="AZ228" i="1"/>
  <c r="BD225" i="1"/>
  <c r="CT293" i="1"/>
  <c r="AU288" i="1"/>
  <c r="AU284" i="1"/>
  <c r="BW279" i="1"/>
  <c r="BK276" i="1"/>
  <c r="BO273" i="1"/>
  <c r="G270" i="1"/>
  <c r="K267" i="1"/>
  <c r="O264" i="1"/>
  <c r="BK260" i="1"/>
  <c r="BO257" i="1"/>
  <c r="BS254" i="1"/>
  <c r="K251" i="1"/>
  <c r="O248" i="1"/>
  <c r="S245" i="1"/>
  <c r="BO241" i="1"/>
  <c r="BS238" i="1"/>
  <c r="BW235" i="1"/>
  <c r="O232" i="1"/>
  <c r="S229" i="1"/>
  <c r="CV300" i="1"/>
  <c r="M292" i="1"/>
  <c r="CT288" i="1"/>
  <c r="CX285" i="1"/>
  <c r="AP282" i="1"/>
  <c r="AT279" i="1"/>
  <c r="AX276" i="1"/>
  <c r="CT272" i="1"/>
  <c r="CX269" i="1"/>
  <c r="DB266" i="1"/>
  <c r="AT263" i="1"/>
  <c r="AX260" i="1"/>
  <c r="BB257" i="1"/>
  <c r="CX253" i="1"/>
  <c r="DB250" i="1"/>
  <c r="DF247" i="1"/>
  <c r="AX244" i="1"/>
  <c r="BB241" i="1"/>
  <c r="BF238" i="1"/>
  <c r="DB234" i="1"/>
  <c r="DF231" i="1"/>
  <c r="F229" i="1"/>
  <c r="BB225" i="1"/>
  <c r="BF222" i="1"/>
  <c r="BJ219" i="1"/>
  <c r="DF215" i="1"/>
  <c r="DH304" i="1"/>
  <c r="BF294" i="1"/>
  <c r="CW289" i="1"/>
  <c r="DA286" i="1"/>
  <c r="DE283" i="1"/>
  <c r="BI279" i="1"/>
  <c r="Y268" i="1"/>
  <c r="AG262" i="1"/>
  <c r="U255" i="1"/>
  <c r="AC249" i="1"/>
  <c r="AK233" i="1"/>
  <c r="DG222" i="1"/>
  <c r="BP218" i="1"/>
  <c r="BU214" i="1"/>
  <c r="DA210" i="1"/>
  <c r="DE207" i="1"/>
  <c r="DI204" i="1"/>
  <c r="BA201" i="1"/>
  <c r="BE198" i="1"/>
  <c r="BI195" i="1"/>
  <c r="DE191" i="1"/>
  <c r="DI188" i="1"/>
  <c r="I186" i="1"/>
  <c r="BE182" i="1"/>
  <c r="BI179" i="1"/>
  <c r="BM176" i="1"/>
  <c r="DI172" i="1"/>
  <c r="I170" i="1"/>
  <c r="M167" i="1"/>
  <c r="BI163" i="1"/>
  <c r="BM160" i="1"/>
  <c r="BQ157" i="1"/>
  <c r="I154" i="1"/>
  <c r="BY244" i="1"/>
  <c r="CO232" i="1"/>
  <c r="AW223" i="1"/>
  <c r="CU218" i="1"/>
  <c r="CZ214" i="1"/>
  <c r="T211" i="1"/>
  <c r="X208" i="1"/>
  <c r="AB205" i="1"/>
  <c r="BX201" i="1"/>
  <c r="CB198" i="1"/>
  <c r="CF195" i="1"/>
  <c r="X192" i="1"/>
  <c r="AB189" i="1"/>
  <c r="AF186" i="1"/>
  <c r="CB182" i="1"/>
  <c r="CF179" i="1"/>
  <c r="CJ176" i="1"/>
  <c r="AB173" i="1"/>
  <c r="AF170" i="1"/>
  <c r="AJ167" i="1"/>
  <c r="CF163" i="1"/>
  <c r="CJ160" i="1"/>
  <c r="CN157" i="1"/>
  <c r="AF154" i="1"/>
  <c r="I244" i="1"/>
  <c r="Y232" i="1"/>
  <c r="O223" i="1"/>
  <c r="BX218" i="1"/>
  <c r="CC214" i="1"/>
  <c r="DG210" i="1"/>
  <c r="G208" i="1"/>
  <c r="K205" i="1"/>
  <c r="BG201" i="1"/>
  <c r="BK198" i="1"/>
  <c r="BO195" i="1"/>
  <c r="G192" i="1"/>
  <c r="K189" i="1"/>
  <c r="O186" i="1"/>
  <c r="BK182" i="1"/>
  <c r="BO179" i="1"/>
  <c r="BS176" i="1"/>
  <c r="K173" i="1"/>
  <c r="O170" i="1"/>
  <c r="S167" i="1"/>
  <c r="BO163" i="1"/>
  <c r="BS160" i="1"/>
  <c r="BW157" i="1"/>
  <c r="O154" i="1"/>
  <c r="CS243" i="1"/>
  <c r="DI231" i="1"/>
  <c r="DI222" i="1"/>
  <c r="BQ218" i="1"/>
  <c r="BW214" i="1"/>
  <c r="DB210" i="1"/>
  <c r="DF207" i="1"/>
  <c r="F205" i="1"/>
  <c r="BB201" i="1"/>
  <c r="BF198" i="1"/>
  <c r="BJ195" i="1"/>
  <c r="DF191" i="1"/>
  <c r="F189" i="1"/>
  <c r="J186" i="1"/>
  <c r="BF182" i="1"/>
  <c r="BJ179" i="1"/>
  <c r="BN176" i="1"/>
  <c r="F173" i="1"/>
  <c r="J170" i="1"/>
  <c r="N167" i="1"/>
  <c r="CK278" i="1"/>
  <c r="CO267" i="1"/>
  <c r="CW261" i="1"/>
  <c r="CK254" i="1"/>
  <c r="CS248" i="1"/>
  <c r="CO231" i="1"/>
  <c r="BS222" i="1"/>
  <c r="AO218" i="1"/>
  <c r="AU214" i="1"/>
  <c r="CG210" i="1"/>
  <c r="CK207" i="1"/>
  <c r="CO204" i="1"/>
  <c r="AG201" i="1"/>
  <c r="AK198" i="1"/>
  <c r="AO195" i="1"/>
  <c r="CK191" i="1"/>
  <c r="CO188" i="1"/>
  <c r="CS185" i="1"/>
  <c r="AK182" i="1"/>
  <c r="AO179" i="1"/>
  <c r="AS176" i="1"/>
  <c r="CO172" i="1"/>
  <c r="CS169" i="1"/>
  <c r="CW166" i="1"/>
  <c r="AO163" i="1"/>
  <c r="AS160" i="1"/>
  <c r="AW157" i="1"/>
  <c r="CS153" i="1"/>
  <c r="DA243" i="1"/>
  <c r="M232" i="1"/>
  <c r="I223" i="1"/>
  <c r="BT218" i="1"/>
  <c r="BY214" i="1"/>
  <c r="DD210" i="1"/>
  <c r="DH207" i="1"/>
  <c r="H205" i="1"/>
  <c r="BD201" i="1"/>
  <c r="BH198" i="1"/>
  <c r="BL195" i="1"/>
  <c r="BP192" i="1"/>
  <c r="AB190" i="1"/>
  <c r="CR187" i="1"/>
  <c r="BD185" i="1"/>
  <c r="P183" i="1"/>
  <c r="CF180" i="1"/>
  <c r="AR178" i="1"/>
  <c r="DH175" i="1"/>
  <c r="CJ300" i="1"/>
  <c r="BS290" i="1"/>
  <c r="AQ287" i="1"/>
  <c r="AE284" i="1"/>
  <c r="S281" i="1"/>
  <c r="W278" i="1"/>
  <c r="CM275" i="1"/>
  <c r="AY273" i="1"/>
  <c r="K271" i="1"/>
  <c r="CA268" i="1"/>
  <c r="AM266" i="1"/>
  <c r="DC263" i="1"/>
  <c r="BO261" i="1"/>
  <c r="AA259" i="1"/>
  <c r="CQ256" i="1"/>
  <c r="BC254" i="1"/>
  <c r="O252" i="1"/>
  <c r="CE249" i="1"/>
  <c r="AQ247" i="1"/>
  <c r="DG244" i="1"/>
  <c r="BS242" i="1"/>
  <c r="AE240" i="1"/>
  <c r="CU237" i="1"/>
  <c r="BG235" i="1"/>
  <c r="S233" i="1"/>
  <c r="CI230" i="1"/>
  <c r="AU228" i="1"/>
  <c r="AJ300" i="1"/>
  <c r="BB293" i="1"/>
  <c r="BF290" i="1"/>
  <c r="R288" i="1"/>
  <c r="CH285" i="1"/>
  <c r="AT283" i="1"/>
  <c r="F281" i="1"/>
  <c r="BV278" i="1"/>
  <c r="AH276" i="1"/>
  <c r="CX273" i="1"/>
  <c r="BJ271" i="1"/>
  <c r="V269" i="1"/>
  <c r="CL266" i="1"/>
  <c r="AX264" i="1"/>
  <c r="J262" i="1"/>
  <c r="BZ259" i="1"/>
  <c r="AL257" i="1"/>
  <c r="DB254" i="1"/>
  <c r="BN252" i="1"/>
  <c r="Z250" i="1"/>
  <c r="CP247" i="1"/>
  <c r="BB245" i="1"/>
  <c r="N243" i="1"/>
  <c r="CD240" i="1"/>
  <c r="AP238" i="1"/>
  <c r="DF235" i="1"/>
  <c r="BR233" i="1"/>
  <c r="AD231" i="1"/>
  <c r="CT228" i="1"/>
  <c r="BF226" i="1"/>
  <c r="R224" i="1"/>
  <c r="CH221" i="1"/>
  <c r="AT219" i="1"/>
  <c r="F217" i="1"/>
  <c r="BV214" i="1"/>
  <c r="H302" i="1"/>
  <c r="Z294" i="1"/>
  <c r="DA290" i="1"/>
  <c r="BM288" i="1"/>
  <c r="Y286" i="1"/>
  <c r="CO283" i="1"/>
  <c r="BA281" i="1"/>
  <c r="Y274" i="1"/>
  <c r="CC266" i="1"/>
  <c r="DE261" i="1"/>
  <c r="AC257" i="1"/>
  <c r="BE252" i="1"/>
  <c r="CG247" i="1"/>
  <c r="Q232" i="1"/>
  <c r="K225" i="1"/>
  <c r="CI220" i="1"/>
  <c r="BQ217" i="1"/>
  <c r="AZ214" i="1"/>
  <c r="DE211" i="1"/>
  <c r="BQ209" i="1"/>
  <c r="AC207" i="1"/>
  <c r="CS204" i="1"/>
  <c r="BE202" i="1"/>
  <c r="Q200" i="1"/>
  <c r="CG197" i="1"/>
  <c r="AS195" i="1"/>
  <c r="DI192" i="1"/>
  <c r="BU190" i="1"/>
  <c r="AG188" i="1"/>
  <c r="CW185" i="1"/>
  <c r="BI183" i="1"/>
  <c r="U181" i="1"/>
  <c r="CK178" i="1"/>
  <c r="AW176" i="1"/>
  <c r="I174" i="1"/>
  <c r="BY171" i="1"/>
  <c r="AK169" i="1"/>
  <c r="DA166" i="1"/>
  <c r="BM164" i="1"/>
  <c r="Y162" i="1"/>
  <c r="CO159" i="1"/>
  <c r="BA157" i="1"/>
  <c r="M155" i="1"/>
  <c r="CC152" i="1"/>
  <c r="CC241" i="1"/>
  <c r="AC232" i="1"/>
  <c r="BE225" i="1"/>
  <c r="I221" i="1"/>
  <c r="CV217" i="1"/>
  <c r="CE214" i="1"/>
  <c r="X212" i="1"/>
  <c r="CN209" i="1"/>
  <c r="AZ207" i="1"/>
  <c r="L205" i="1"/>
  <c r="CB202" i="1"/>
  <c r="AN200" i="1"/>
  <c r="DD197" i="1"/>
  <c r="BP195" i="1"/>
  <c r="AB193" i="1"/>
  <c r="CR190" i="1"/>
  <c r="BD188" i="1"/>
  <c r="P186" i="1"/>
  <c r="CF183" i="1"/>
  <c r="AR181" i="1"/>
  <c r="DH178" i="1"/>
  <c r="BT176" i="1"/>
  <c r="AF174" i="1"/>
  <c r="CV171" i="1"/>
  <c r="BH169" i="1"/>
  <c r="T167" i="1"/>
  <c r="CJ164" i="1"/>
  <c r="AV162" i="1"/>
  <c r="H160" i="1"/>
  <c r="BX157" i="1"/>
  <c r="AJ155" i="1"/>
  <c r="CZ152" i="1"/>
  <c r="M241" i="1"/>
  <c r="BQ231" i="1"/>
  <c r="W225" i="1"/>
  <c r="CQ220" i="1"/>
  <c r="BY217" i="1"/>
  <c r="BH214" i="1"/>
  <c r="G212" i="1"/>
  <c r="BW209" i="1"/>
  <c r="AI207" i="1"/>
  <c r="CY204" i="1"/>
  <c r="BK202" i="1"/>
  <c r="W200" i="1"/>
  <c r="CM197" i="1"/>
  <c r="AY195" i="1"/>
  <c r="K193" i="1"/>
  <c r="CA190" i="1"/>
  <c r="AM188" i="1"/>
  <c r="DC185" i="1"/>
  <c r="BO183" i="1"/>
  <c r="AA181" i="1"/>
  <c r="CQ178" i="1"/>
  <c r="BC176" i="1"/>
  <c r="O174" i="1"/>
  <c r="CE171" i="1"/>
  <c r="AQ169" i="1"/>
  <c r="DG166" i="1"/>
  <c r="BS164" i="1"/>
  <c r="AE162" i="1"/>
  <c r="CU159" i="1"/>
  <c r="BG157" i="1"/>
  <c r="S155" i="1"/>
  <c r="CI152" i="1"/>
  <c r="CW240" i="1"/>
  <c r="AW231" i="1"/>
  <c r="M225" i="1"/>
  <c r="CJ220" i="1"/>
  <c r="BS217" i="1"/>
  <c r="BA214" i="1"/>
  <c r="DF211" i="1"/>
  <c r="BR209" i="1"/>
  <c r="AD207" i="1"/>
  <c r="CT204" i="1"/>
  <c r="BF202" i="1"/>
  <c r="R200" i="1"/>
  <c r="CH197" i="1"/>
  <c r="AT195" i="1"/>
  <c r="F193" i="1"/>
  <c r="BV190" i="1"/>
  <c r="AH188" i="1"/>
  <c r="CX185" i="1"/>
  <c r="BJ183" i="1"/>
  <c r="V181" i="1"/>
  <c r="CL178" i="1"/>
  <c r="AX176" i="1"/>
  <c r="J174" i="1"/>
  <c r="BZ171" i="1"/>
  <c r="AL169" i="1"/>
  <c r="DB166" i="1"/>
  <c r="BN164" i="1"/>
  <c r="BA273" i="1"/>
  <c r="AO266" i="1"/>
  <c r="BQ261" i="1"/>
  <c r="CS256" i="1"/>
  <c r="Q252" i="1"/>
  <c r="AS247" i="1"/>
  <c r="DA230" i="1"/>
  <c r="CA224" i="1"/>
  <c r="BH220" i="1"/>
  <c r="AQ217" i="1"/>
  <c r="Y214" i="1"/>
  <c r="CK211" i="1"/>
  <c r="AW209" i="1"/>
  <c r="I207" i="1"/>
  <c r="BY204" i="1"/>
  <c r="AK202" i="1"/>
  <c r="DA199" i="1"/>
  <c r="BM197" i="1"/>
  <c r="Y195" i="1"/>
  <c r="CO192" i="1"/>
  <c r="BA190" i="1"/>
  <c r="M188" i="1"/>
  <c r="CC185" i="1"/>
  <c r="AO183" i="1"/>
  <c r="DE180" i="1"/>
  <c r="BQ178" i="1"/>
  <c r="AC176" i="1"/>
  <c r="CS173" i="1"/>
  <c r="BE171" i="1"/>
  <c r="Q169" i="1"/>
  <c r="CG166" i="1"/>
  <c r="AS164" i="1"/>
  <c r="DI161" i="1"/>
  <c r="BU159" i="1"/>
  <c r="AG157" i="1"/>
  <c r="CW154" i="1"/>
  <c r="BI152" i="1"/>
  <c r="DE240" i="1"/>
  <c r="BE231" i="1"/>
  <c r="Q225" i="1"/>
  <c r="CM220" i="1"/>
  <c r="BU217" i="1"/>
  <c r="BD214" i="1"/>
  <c r="DH211" i="1"/>
  <c r="BT209" i="1"/>
  <c r="AF207" i="1"/>
  <c r="CV204" i="1"/>
  <c r="BH202" i="1"/>
  <c r="T200" i="1"/>
  <c r="CJ197" i="1"/>
  <c r="AV195" i="1"/>
  <c r="H193" i="1"/>
  <c r="BX190" i="1"/>
  <c r="AJ188" i="1"/>
  <c r="CZ185" i="1"/>
  <c r="BL183" i="1"/>
  <c r="X181" i="1"/>
  <c r="CN178" i="1"/>
  <c r="AZ176" i="1"/>
  <c r="BD308" i="1"/>
  <c r="H293" i="1"/>
  <c r="CQ288" i="1"/>
  <c r="BO285" i="1"/>
  <c r="BC282" i="1"/>
  <c r="AQ279" i="1"/>
  <c r="CQ276" i="1"/>
  <c r="BC274" i="1"/>
  <c r="O272" i="1"/>
  <c r="CE269" i="1"/>
  <c r="AQ267" i="1"/>
  <c r="DG264" i="1"/>
  <c r="BS262" i="1"/>
  <c r="AE260" i="1"/>
  <c r="CU257" i="1"/>
  <c r="BG255" i="1"/>
  <c r="S253" i="1"/>
  <c r="CI250" i="1"/>
  <c r="AU248" i="1"/>
  <c r="G246" i="1"/>
  <c r="BW243" i="1"/>
  <c r="AI241" i="1"/>
  <c r="CY238" i="1"/>
  <c r="BK236" i="1"/>
  <c r="W234" i="1"/>
  <c r="CM231" i="1"/>
  <c r="AY229" i="1"/>
  <c r="AZ304" i="1"/>
  <c r="AV295" i="1"/>
  <c r="BZ291" i="1"/>
  <c r="V289" i="1"/>
  <c r="CL286" i="1"/>
  <c r="AX284" i="1"/>
  <c r="J282" i="1"/>
  <c r="BZ279" i="1"/>
  <c r="AL277" i="1"/>
  <c r="DB274" i="1"/>
  <c r="BN272" i="1"/>
  <c r="Z270" i="1"/>
  <c r="CP267" i="1"/>
  <c r="BB265" i="1"/>
  <c r="N263" i="1"/>
  <c r="CD260" i="1"/>
  <c r="AP258" i="1"/>
  <c r="DF255" i="1"/>
  <c r="BR253" i="1"/>
  <c r="AD251" i="1"/>
  <c r="CT248" i="1"/>
  <c r="BF246" i="1"/>
  <c r="R244" i="1"/>
  <c r="CH241" i="1"/>
  <c r="AT239" i="1"/>
  <c r="F237" i="1"/>
  <c r="BV234" i="1"/>
  <c r="AH232" i="1"/>
  <c r="CX229" i="1"/>
  <c r="BJ227" i="1"/>
  <c r="V225" i="1"/>
  <c r="CL222" i="1"/>
  <c r="AX220" i="1"/>
  <c r="J218" i="1"/>
  <c r="BZ215" i="1"/>
  <c r="X306" i="1"/>
  <c r="CB296" i="1"/>
  <c r="AG292" i="1"/>
  <c r="BQ289" i="1"/>
  <c r="AC287" i="1"/>
  <c r="CS284" i="1"/>
  <c r="BE282" i="1"/>
  <c r="AO278" i="1"/>
  <c r="CS268" i="1"/>
  <c r="I264" i="1"/>
  <c r="AK259" i="1"/>
  <c r="BM254" i="1"/>
  <c r="CO249" i="1"/>
  <c r="AW240" i="1"/>
  <c r="S227" i="1"/>
  <c r="AU222" i="1"/>
  <c r="DG218" i="1"/>
  <c r="CO215" i="1"/>
  <c r="DI212" i="1"/>
  <c r="BU210" i="1"/>
  <c r="AG208" i="1"/>
  <c r="CW205" i="1"/>
  <c r="BI203" i="1"/>
  <c r="U201" i="1"/>
  <c r="CK198" i="1"/>
  <c r="AW196" i="1"/>
  <c r="I194" i="1"/>
  <c r="BY191" i="1"/>
  <c r="AK189" i="1"/>
  <c r="DA186" i="1"/>
  <c r="BM184" i="1"/>
  <c r="Y182" i="1"/>
  <c r="CO179" i="1"/>
  <c r="BA177" i="1"/>
  <c r="M175" i="1"/>
  <c r="CC172" i="1"/>
  <c r="AO170" i="1"/>
  <c r="DE167" i="1"/>
  <c r="BQ165" i="1"/>
  <c r="AC163" i="1"/>
  <c r="CS160" i="1"/>
  <c r="BE158" i="1"/>
  <c r="Q156" i="1"/>
  <c r="CG153" i="1"/>
  <c r="CS245" i="1"/>
  <c r="AS236" i="1"/>
  <c r="BM227" i="1"/>
  <c r="CO222" i="1"/>
  <c r="AG219" i="1"/>
  <c r="P216" i="1"/>
  <c r="AB213" i="1"/>
  <c r="CR210" i="1"/>
  <c r="BD208" i="1"/>
  <c r="P206" i="1"/>
  <c r="CF203" i="1"/>
  <c r="AR201" i="1"/>
  <c r="DH198" i="1"/>
  <c r="BT196" i="1"/>
  <c r="AF194" i="1"/>
  <c r="CV191" i="1"/>
  <c r="BH189" i="1"/>
  <c r="T187" i="1"/>
  <c r="CJ184" i="1"/>
  <c r="AV182" i="1"/>
  <c r="H180" i="1"/>
  <c r="BX177" i="1"/>
  <c r="AJ175" i="1"/>
  <c r="CZ172" i="1"/>
  <c r="BL170" i="1"/>
  <c r="X168" i="1"/>
  <c r="CN165" i="1"/>
  <c r="AZ163" i="1"/>
  <c r="L161" i="1"/>
  <c r="CB158" i="1"/>
  <c r="AN156" i="1"/>
  <c r="DD153" i="1"/>
  <c r="AC245" i="1"/>
  <c r="CG235" i="1"/>
  <c r="AE227" i="1"/>
  <c r="BG222" i="1"/>
  <c r="K219" i="1"/>
  <c r="CW215" i="1"/>
  <c r="K213" i="1"/>
  <c r="CA210" i="1"/>
  <c r="AM208" i="1"/>
  <c r="DC205" i="1"/>
  <c r="BO203" i="1"/>
  <c r="AA201" i="1"/>
  <c r="CQ198" i="1"/>
  <c r="BC196" i="1"/>
  <c r="O194" i="1"/>
  <c r="CE191" i="1"/>
  <c r="AQ189" i="1"/>
  <c r="DG186" i="1"/>
  <c r="BS184" i="1"/>
  <c r="AE182" i="1"/>
  <c r="CU179" i="1"/>
  <c r="BG177" i="1"/>
  <c r="S175" i="1"/>
  <c r="CI172" i="1"/>
  <c r="AU170" i="1"/>
  <c r="G168" i="1"/>
  <c r="BW165" i="1"/>
  <c r="AI163" i="1"/>
  <c r="CY160" i="1"/>
  <c r="BK158" i="1"/>
  <c r="W156" i="1"/>
  <c r="CM153" i="1"/>
  <c r="I245" i="1"/>
  <c r="BM235" i="1"/>
  <c r="U227" i="1"/>
  <c r="AW222" i="1"/>
  <c r="DH218" i="1"/>
  <c r="CQ215" i="1"/>
  <c r="F213" i="1"/>
  <c r="BV210" i="1"/>
  <c r="AH208" i="1"/>
  <c r="CX205" i="1"/>
  <c r="BJ203" i="1"/>
  <c r="V201" i="1"/>
  <c r="CL198" i="1"/>
  <c r="AX196" i="1"/>
  <c r="J194" i="1"/>
  <c r="BZ191" i="1"/>
  <c r="AL189" i="1"/>
  <c r="DB186" i="1"/>
  <c r="BN184" i="1"/>
  <c r="Z182" i="1"/>
  <c r="CP179" i="1"/>
  <c r="BB177" i="1"/>
  <c r="N175" i="1"/>
  <c r="CD172" i="1"/>
  <c r="AP170" i="1"/>
  <c r="DF167" i="1"/>
  <c r="BR165" i="1"/>
  <c r="BQ277" i="1"/>
  <c r="AW268" i="1"/>
  <c r="BY263" i="1"/>
  <c r="DA258" i="1"/>
  <c r="Y254" i="1"/>
  <c r="BA249" i="1"/>
  <c r="DA238" i="1"/>
  <c r="CI226" i="1"/>
  <c r="G222" i="1"/>
  <c r="CF218" i="1"/>
  <c r="BO215" i="1"/>
  <c r="CO212" i="1"/>
  <c r="BA210" i="1"/>
  <c r="M208" i="1"/>
  <c r="CC205" i="1"/>
  <c r="AO203" i="1"/>
  <c r="DE200" i="1"/>
  <c r="BQ198" i="1"/>
  <c r="AC196" i="1"/>
  <c r="CS193" i="1"/>
  <c r="BE191" i="1"/>
  <c r="Q189" i="1"/>
  <c r="CG186" i="1"/>
  <c r="AS184" i="1"/>
  <c r="DI181" i="1"/>
  <c r="BU179" i="1"/>
  <c r="AG177" i="1"/>
  <c r="CW174" i="1"/>
  <c r="BI172" i="1"/>
  <c r="U170" i="1"/>
  <c r="CK167" i="1"/>
  <c r="AW165" i="1"/>
  <c r="I163" i="1"/>
  <c r="BY160" i="1"/>
  <c r="AK158" i="1"/>
  <c r="DA155" i="1"/>
  <c r="BM153" i="1"/>
  <c r="Q245" i="1"/>
  <c r="BU235" i="1"/>
  <c r="Y227" i="1"/>
  <c r="BA222" i="1"/>
  <c r="G219" i="1"/>
  <c r="CS215" i="1"/>
  <c r="H213" i="1"/>
  <c r="BX210" i="1"/>
  <c r="AJ208" i="1"/>
  <c r="CZ205" i="1"/>
  <c r="BL203" i="1"/>
  <c r="X201" i="1"/>
  <c r="CN198" i="1"/>
  <c r="AZ196" i="1"/>
  <c r="L194" i="1"/>
  <c r="CB191" i="1"/>
  <c r="AN189" i="1"/>
  <c r="DD186" i="1"/>
  <c r="BP184" i="1"/>
  <c r="AB182" i="1"/>
  <c r="CR179" i="1"/>
  <c r="BD177" i="1"/>
  <c r="P175" i="1"/>
  <c r="CV307" i="1"/>
  <c r="CP292" i="1"/>
  <c r="BK288" i="1"/>
  <c r="AY285" i="1"/>
  <c r="AM282" i="1"/>
  <c r="K279" i="1"/>
  <c r="CA276" i="1"/>
  <c r="AM274" i="1"/>
  <c r="DC271" i="1"/>
  <c r="BO269" i="1"/>
  <c r="AA267" i="1"/>
  <c r="CQ264" i="1"/>
  <c r="BC262" i="1"/>
  <c r="O260" i="1"/>
  <c r="CE257" i="1"/>
  <c r="AQ255" i="1"/>
  <c r="DG252" i="1"/>
  <c r="BS250" i="1"/>
  <c r="AE248" i="1"/>
  <c r="CU245" i="1"/>
  <c r="BG243" i="1"/>
  <c r="S241" i="1"/>
  <c r="CI238" i="1"/>
  <c r="AU236" i="1"/>
  <c r="G234" i="1"/>
  <c r="BW231" i="1"/>
  <c r="AI229" i="1"/>
  <c r="CR303" i="1"/>
  <c r="P295" i="1"/>
  <c r="BE291" i="1"/>
  <c r="F289" i="1"/>
  <c r="BV286" i="1"/>
  <c r="AH284" i="1"/>
  <c r="CX281" i="1"/>
  <c r="BJ279" i="1"/>
  <c r="V277" i="1"/>
  <c r="CL274" i="1"/>
  <c r="AX272" i="1"/>
  <c r="J270" i="1"/>
  <c r="BZ267" i="1"/>
  <c r="AL265" i="1"/>
  <c r="DB262" i="1"/>
  <c r="BN260" i="1"/>
  <c r="Z258" i="1"/>
  <c r="CP255" i="1"/>
  <c r="BB253" i="1"/>
  <c r="N251" i="1"/>
  <c r="CD248" i="1"/>
  <c r="AP246" i="1"/>
  <c r="DF243" i="1"/>
  <c r="BR241" i="1"/>
  <c r="AD239" i="1"/>
  <c r="CT236" i="1"/>
  <c r="BF234" i="1"/>
  <c r="R232" i="1"/>
  <c r="CH229" i="1"/>
  <c r="AT227" i="1"/>
  <c r="F225" i="1"/>
  <c r="BV222" i="1"/>
  <c r="AH220" i="1"/>
  <c r="CX217" i="1"/>
  <c r="BJ215" i="1"/>
  <c r="BP305" i="1"/>
  <c r="P296" i="1"/>
  <c r="L292" i="1"/>
  <c r="BA289" i="1"/>
  <c r="M287" i="1"/>
  <c r="CC284" i="1"/>
  <c r="AO282" i="1"/>
  <c r="CG277" i="1"/>
  <c r="BE268" i="1"/>
  <c r="CG263" i="1"/>
  <c r="DI258" i="1"/>
  <c r="AG254" i="1"/>
  <c r="BI249" i="1"/>
  <c r="AC239" i="1"/>
  <c r="CQ226" i="1"/>
  <c r="O222" i="1"/>
  <c r="CK218" i="1"/>
  <c r="BT215" i="1"/>
  <c r="CS212" i="1"/>
  <c r="BE210" i="1"/>
  <c r="Q208" i="1"/>
  <c r="CG205" i="1"/>
  <c r="AS203" i="1"/>
  <c r="DI200" i="1"/>
  <c r="BU198" i="1"/>
  <c r="AG196" i="1"/>
  <c r="CW193" i="1"/>
  <c r="BI191" i="1"/>
  <c r="U189" i="1"/>
  <c r="CK186" i="1"/>
  <c r="AW184" i="1"/>
  <c r="I182" i="1"/>
  <c r="BY179" i="1"/>
  <c r="AK177" i="1"/>
  <c r="DA174" i="1"/>
  <c r="BM172" i="1"/>
  <c r="Y170" i="1"/>
  <c r="CO167" i="1"/>
  <c r="BA165" i="1"/>
  <c r="M163" i="1"/>
  <c r="CC160" i="1"/>
  <c r="AO158" i="1"/>
  <c r="DE155" i="1"/>
  <c r="BQ153" i="1"/>
  <c r="AG245" i="1"/>
  <c r="CK235" i="1"/>
  <c r="AG227" i="1"/>
  <c r="BI222" i="1"/>
  <c r="L219" i="1"/>
  <c r="CY215" i="1"/>
  <c r="L213" i="1"/>
  <c r="CB210" i="1"/>
  <c r="AN208" i="1"/>
  <c r="DD205" i="1"/>
  <c r="BP203" i="1"/>
  <c r="AB201" i="1"/>
  <c r="CR198" i="1"/>
  <c r="BD196" i="1"/>
  <c r="P194" i="1"/>
  <c r="CF191" i="1"/>
  <c r="AR189" i="1"/>
  <c r="DH186" i="1"/>
  <c r="BT184" i="1"/>
  <c r="AF182" i="1"/>
  <c r="CV179" i="1"/>
  <c r="BH177" i="1"/>
  <c r="T175" i="1"/>
  <c r="CJ172" i="1"/>
  <c r="AV170" i="1"/>
  <c r="H168" i="1"/>
  <c r="BX165" i="1"/>
  <c r="AJ163" i="1"/>
  <c r="CZ160" i="1"/>
  <c r="BL158" i="1"/>
  <c r="X156" i="1"/>
  <c r="CN153" i="1"/>
  <c r="BU244" i="1"/>
  <c r="U235" i="1"/>
  <c r="DC226" i="1"/>
  <c r="AA222" i="1"/>
  <c r="CS218" i="1"/>
  <c r="CB215" i="1"/>
  <c r="CY212" i="1"/>
  <c r="BK210" i="1"/>
  <c r="W208" i="1"/>
  <c r="CM205" i="1"/>
  <c r="AY203" i="1"/>
  <c r="K201" i="1"/>
  <c r="CA198" i="1"/>
  <c r="AM196" i="1"/>
  <c r="DC193" i="1"/>
  <c r="BO191" i="1"/>
  <c r="AA189" i="1"/>
  <c r="CQ186" i="1"/>
  <c r="BC184" i="1"/>
  <c r="O182" i="1"/>
  <c r="CE179" i="1"/>
  <c r="AQ177" i="1"/>
  <c r="DG174" i="1"/>
  <c r="BS172" i="1"/>
  <c r="AE170" i="1"/>
  <c r="CU167" i="1"/>
  <c r="BG165" i="1"/>
  <c r="S163" i="1"/>
  <c r="CI160" i="1"/>
  <c r="AU158" i="1"/>
  <c r="G156" i="1"/>
  <c r="BW153" i="1"/>
  <c r="BA244" i="1"/>
  <c r="DE234" i="1"/>
  <c r="CS226" i="1"/>
  <c r="Q222" i="1"/>
  <c r="CM218" i="1"/>
  <c r="BU215" i="1"/>
  <c r="CT212" i="1"/>
  <c r="BF210" i="1"/>
  <c r="R208" i="1"/>
  <c r="CH205" i="1"/>
  <c r="AT203" i="1"/>
  <c r="F201" i="1"/>
  <c r="BV198" i="1"/>
  <c r="AH196" i="1"/>
  <c r="CX193" i="1"/>
  <c r="BJ191" i="1"/>
  <c r="V189" i="1"/>
  <c r="CL186" i="1"/>
  <c r="AX184" i="1"/>
  <c r="J182" i="1"/>
  <c r="BZ179" i="1"/>
  <c r="AL177" i="1"/>
  <c r="DB174" i="1"/>
  <c r="BN172" i="1"/>
  <c r="Z170" i="1"/>
  <c r="CP167" i="1"/>
  <c r="BB165" i="1"/>
  <c r="DI276" i="1"/>
  <c r="Q268" i="1"/>
  <c r="AS263" i="1"/>
  <c r="BU258" i="1"/>
  <c r="CW253" i="1"/>
  <c r="U249" i="1"/>
  <c r="CG237" i="1"/>
  <c r="BC226" i="1"/>
  <c r="CE221" i="1"/>
  <c r="BK218" i="1"/>
  <c r="AS215" i="1"/>
  <c r="BY212" i="1"/>
  <c r="AK210" i="1"/>
  <c r="DA207" i="1"/>
  <c r="BM205" i="1"/>
  <c r="Y203" i="1"/>
  <c r="CO200" i="1"/>
  <c r="BA198" i="1"/>
  <c r="M196" i="1"/>
  <c r="CC193" i="1"/>
  <c r="AO191" i="1"/>
  <c r="DE188" i="1"/>
  <c r="BQ186" i="1"/>
  <c r="AC184" i="1"/>
  <c r="CS181" i="1"/>
  <c r="BE179" i="1"/>
  <c r="Q177" i="1"/>
  <c r="CG174" i="1"/>
  <c r="AS172" i="1"/>
  <c r="DI169" i="1"/>
  <c r="BU167" i="1"/>
  <c r="AG165" i="1"/>
  <c r="CW162" i="1"/>
  <c r="BI160" i="1"/>
  <c r="U158" i="1"/>
  <c r="CK155" i="1"/>
  <c r="AW153" i="1"/>
  <c r="BI244" i="1"/>
  <c r="I235" i="1"/>
  <c r="CW226" i="1"/>
  <c r="U222" i="1"/>
  <c r="CO218" i="1"/>
  <c r="BX215" i="1"/>
  <c r="CV212" i="1"/>
  <c r="BH210" i="1"/>
  <c r="T208" i="1"/>
  <c r="CJ205" i="1"/>
  <c r="AV203" i="1"/>
  <c r="H201" i="1"/>
  <c r="BX198" i="1"/>
  <c r="AJ196" i="1"/>
  <c r="CZ193" i="1"/>
  <c r="BL191" i="1"/>
  <c r="X189" i="1"/>
  <c r="CN186" i="1"/>
  <c r="AZ184" i="1"/>
  <c r="L182" i="1"/>
  <c r="CB179" i="1"/>
  <c r="AN177" i="1"/>
  <c r="L174" i="1"/>
  <c r="BL171" i="1"/>
  <c r="X169" i="1"/>
  <c r="CN166" i="1"/>
  <c r="AZ164" i="1"/>
  <c r="L162" i="1"/>
  <c r="CB159" i="1"/>
  <c r="AN157" i="1"/>
  <c r="DD154" i="1"/>
  <c r="BP152" i="1"/>
  <c r="CG239" i="1"/>
  <c r="AG230" i="1"/>
  <c r="BG224" i="1"/>
  <c r="AU220" i="1"/>
  <c r="AC217" i="1"/>
  <c r="L214" i="1"/>
  <c r="CA211" i="1"/>
  <c r="AM209" i="1"/>
  <c r="DC206" i="1"/>
  <c r="BO204" i="1"/>
  <c r="AA202" i="1"/>
  <c r="CQ199" i="1"/>
  <c r="BC197" i="1"/>
  <c r="O195" i="1"/>
  <c r="CE192" i="1"/>
  <c r="AQ190" i="1"/>
  <c r="DG187" i="1"/>
  <c r="BS185" i="1"/>
  <c r="AE183" i="1"/>
  <c r="CU180" i="1"/>
  <c r="BG178" i="1"/>
  <c r="S176" i="1"/>
  <c r="CI173" i="1"/>
  <c r="AU171" i="1"/>
  <c r="G169" i="1"/>
  <c r="BW166" i="1"/>
  <c r="AI164" i="1"/>
  <c r="CY161" i="1"/>
  <c r="BK159" i="1"/>
  <c r="W157" i="1"/>
  <c r="CM154" i="1"/>
  <c r="AY152" i="1"/>
  <c r="BM239" i="1"/>
  <c r="M230" i="1"/>
  <c r="AW224" i="1"/>
  <c r="AN220" i="1"/>
  <c r="W217" i="1"/>
  <c r="F214" i="1"/>
  <c r="BV211" i="1"/>
  <c r="AH209" i="1"/>
  <c r="CX206" i="1"/>
  <c r="BJ204" i="1"/>
  <c r="V202" i="1"/>
  <c r="CL199" i="1"/>
  <c r="AX197" i="1"/>
  <c r="J195" i="1"/>
  <c r="BZ192" i="1"/>
  <c r="AL190" i="1"/>
  <c r="DB187" i="1"/>
  <c r="BN185" i="1"/>
  <c r="Z183" i="1"/>
  <c r="CP180" i="1"/>
  <c r="BB178" i="1"/>
  <c r="N176" i="1"/>
  <c r="CD173" i="1"/>
  <c r="AP171" i="1"/>
  <c r="DF168" i="1"/>
  <c r="BR166" i="1"/>
  <c r="AD164" i="1"/>
  <c r="CT161" i="1"/>
  <c r="BF159" i="1"/>
  <c r="R157" i="1"/>
  <c r="CH154" i="1"/>
  <c r="Q272" i="1"/>
  <c r="BY265" i="1"/>
  <c r="DA260" i="1"/>
  <c r="Y256" i="1"/>
  <c r="BA251" i="1"/>
  <c r="CC246" i="1"/>
  <c r="AK229" i="1"/>
  <c r="G224" i="1"/>
  <c r="L220" i="1"/>
  <c r="CY216" i="1"/>
  <c r="CO213" i="1"/>
  <c r="BA211" i="1"/>
  <c r="M209" i="1"/>
  <c r="CC206" i="1"/>
  <c r="AO204" i="1"/>
  <c r="DE201" i="1"/>
  <c r="BQ199" i="1"/>
  <c r="AC197" i="1"/>
  <c r="CS194" i="1"/>
  <c r="BE192" i="1"/>
  <c r="Q190" i="1"/>
  <c r="CG187" i="1"/>
  <c r="AS185" i="1"/>
  <c r="DI182" i="1"/>
  <c r="BU180" i="1"/>
  <c r="AG178" i="1"/>
  <c r="CW175" i="1"/>
  <c r="BI173" i="1"/>
  <c r="U171" i="1"/>
  <c r="CK168" i="1"/>
  <c r="AW166" i="1"/>
  <c r="I164" i="1"/>
  <c r="BY161" i="1"/>
  <c r="AK159" i="1"/>
  <c r="DA156" i="1"/>
  <c r="BM154" i="1"/>
  <c r="Y152" i="1"/>
  <c r="BU239" i="1"/>
  <c r="U230" i="1"/>
  <c r="BA224" i="1"/>
  <c r="AQ220" i="1"/>
  <c r="Y217" i="1"/>
  <c r="H214" i="1"/>
  <c r="BX211" i="1"/>
  <c r="AJ209" i="1"/>
  <c r="CZ206" i="1"/>
  <c r="BL204" i="1"/>
  <c r="X202" i="1"/>
  <c r="CN199" i="1"/>
  <c r="AZ197" i="1"/>
  <c r="L195" i="1"/>
  <c r="CB192" i="1"/>
  <c r="AN190" i="1"/>
  <c r="DD187" i="1"/>
  <c r="BP185" i="1"/>
  <c r="AB183" i="1"/>
  <c r="CR180" i="1"/>
  <c r="BD178" i="1"/>
  <c r="P176" i="1"/>
  <c r="CF173" i="1"/>
  <c r="AR171" i="1"/>
  <c r="DH168" i="1"/>
  <c r="BT166" i="1"/>
  <c r="AF164" i="1"/>
  <c r="CV161" i="1"/>
  <c r="BH159" i="1"/>
  <c r="T157" i="1"/>
  <c r="CJ154" i="1"/>
  <c r="AV152" i="1"/>
  <c r="DI238" i="1"/>
  <c r="BI229" i="1"/>
  <c r="S224" i="1"/>
  <c r="T220" i="1"/>
  <c r="DG216" i="1"/>
  <c r="CU213" i="1"/>
  <c r="BG211" i="1"/>
  <c r="S209" i="1"/>
  <c r="CI206" i="1"/>
  <c r="AU204" i="1"/>
  <c r="G202" i="1"/>
  <c r="BW199" i="1"/>
  <c r="AI197" i="1"/>
  <c r="CY194" i="1"/>
  <c r="BK192" i="1"/>
  <c r="W190" i="1"/>
  <c r="CM187" i="1"/>
  <c r="AY185" i="1"/>
  <c r="K183" i="1"/>
  <c r="CA180" i="1"/>
  <c r="AM178" i="1"/>
  <c r="DC175" i="1"/>
  <c r="BO173" i="1"/>
  <c r="AA171" i="1"/>
  <c r="CQ168" i="1"/>
  <c r="BC166" i="1"/>
  <c r="O164" i="1"/>
  <c r="CE161" i="1"/>
  <c r="AQ159" i="1"/>
  <c r="DG156" i="1"/>
  <c r="BS154" i="1"/>
  <c r="AE152" i="1"/>
  <c r="CO238" i="1"/>
  <c r="AO229" i="1"/>
  <c r="I224" i="1"/>
  <c r="M220" i="1"/>
  <c r="CZ216" i="1"/>
  <c r="CP213" i="1"/>
  <c r="BB211" i="1"/>
  <c r="N209" i="1"/>
  <c r="CD206" i="1"/>
  <c r="AP204" i="1"/>
  <c r="DF201" i="1"/>
  <c r="BR199" i="1"/>
  <c r="AD197" i="1"/>
  <c r="CT194" i="1"/>
  <c r="BF192" i="1"/>
  <c r="R190" i="1"/>
  <c r="CH187" i="1"/>
  <c r="AT185" i="1"/>
  <c r="F183" i="1"/>
  <c r="BV180" i="1"/>
  <c r="AH178" i="1"/>
  <c r="CX175" i="1"/>
  <c r="BJ173" i="1"/>
  <c r="V171" i="1"/>
  <c r="CL168" i="1"/>
  <c r="AX166" i="1"/>
  <c r="J164" i="1"/>
  <c r="CC276" i="1"/>
  <c r="DE267" i="1"/>
  <c r="AC263" i="1"/>
  <c r="BE258" i="1"/>
  <c r="CG253" i="1"/>
  <c r="DI248" i="1"/>
  <c r="U237" i="1"/>
  <c r="AM226" i="1"/>
  <c r="BQ221" i="1"/>
  <c r="AZ218" i="1"/>
  <c r="AI215" i="1"/>
  <c r="BQ212" i="1"/>
  <c r="AC210" i="1"/>
  <c r="CS207" i="1"/>
  <c r="BE205" i="1"/>
  <c r="Q203" i="1"/>
  <c r="CG200" i="1"/>
  <c r="AS198" i="1"/>
  <c r="DI195" i="1"/>
  <c r="BU193" i="1"/>
  <c r="AG191" i="1"/>
  <c r="CW188" i="1"/>
  <c r="BI186" i="1"/>
  <c r="U184" i="1"/>
  <c r="CK181" i="1"/>
  <c r="AW179" i="1"/>
  <c r="I177" i="1"/>
  <c r="BY174" i="1"/>
  <c r="AK172" i="1"/>
  <c r="DA169" i="1"/>
  <c r="BM167" i="1"/>
  <c r="Y165" i="1"/>
  <c r="CO162" i="1"/>
  <c r="BA160" i="1"/>
  <c r="M158" i="1"/>
  <c r="CC155" i="1"/>
  <c r="AO153" i="1"/>
  <c r="AC244" i="1"/>
  <c r="CG234" i="1"/>
  <c r="CG226" i="1"/>
  <c r="DI221" i="1"/>
  <c r="CE218" i="1"/>
  <c r="BM215" i="1"/>
  <c r="CN212" i="1"/>
  <c r="AZ210" i="1"/>
  <c r="L208" i="1"/>
  <c r="CB205" i="1"/>
  <c r="AN203" i="1"/>
  <c r="DD200" i="1"/>
  <c r="BP198" i="1"/>
  <c r="AB196" i="1"/>
  <c r="CR193" i="1"/>
  <c r="BD191" i="1"/>
  <c r="P189" i="1"/>
  <c r="CF186" i="1"/>
  <c r="AR184" i="1"/>
  <c r="DH181" i="1"/>
  <c r="BT179" i="1"/>
  <c r="AF177" i="1"/>
  <c r="CV174" i="1"/>
  <c r="BH172" i="1"/>
  <c r="T170" i="1"/>
  <c r="CJ167" i="1"/>
  <c r="AV165" i="1"/>
  <c r="H163" i="1"/>
  <c r="BX160" i="1"/>
  <c r="AJ158" i="1"/>
  <c r="CZ155" i="1"/>
  <c r="BL153" i="1"/>
  <c r="BQ243" i="1"/>
  <c r="Q234" i="1"/>
  <c r="AY226" i="1"/>
  <c r="CA221" i="1"/>
  <c r="BH218" i="1"/>
  <c r="AQ215" i="1"/>
  <c r="BW212" i="1"/>
  <c r="AI210" i="1"/>
  <c r="CY207" i="1"/>
  <c r="BK205" i="1"/>
  <c r="W203" i="1"/>
  <c r="CM200" i="1"/>
  <c r="AY198" i="1"/>
  <c r="K196" i="1"/>
  <c r="CA193" i="1"/>
  <c r="AM191" i="1"/>
  <c r="DC188" i="1"/>
  <c r="BO186" i="1"/>
  <c r="AA184" i="1"/>
  <c r="CQ181" i="1"/>
  <c r="BC179" i="1"/>
  <c r="O177" i="1"/>
  <c r="CE174" i="1"/>
  <c r="AQ172" i="1"/>
  <c r="DG169" i="1"/>
  <c r="BS167" i="1"/>
  <c r="AE165" i="1"/>
  <c r="CU162" i="1"/>
  <c r="BG160" i="1"/>
  <c r="S158" i="1"/>
  <c r="CI155" i="1"/>
  <c r="AU153" i="1"/>
  <c r="AW243" i="1"/>
  <c r="DA233" i="1"/>
  <c r="AO226" i="1"/>
  <c r="BS221" i="1"/>
  <c r="BA218" i="1"/>
  <c r="AJ215" i="1"/>
  <c r="BR212" i="1"/>
  <c r="AD210" i="1"/>
  <c r="CT207" i="1"/>
  <c r="BF205" i="1"/>
  <c r="R203" i="1"/>
  <c r="CH200" i="1"/>
  <c r="AT198" i="1"/>
  <c r="F196" i="1"/>
  <c r="BV193" i="1"/>
  <c r="AH191" i="1"/>
  <c r="CX188" i="1"/>
  <c r="BJ186" i="1"/>
  <c r="V184" i="1"/>
  <c r="CL181" i="1"/>
  <c r="AX179" i="1"/>
  <c r="J177" i="1"/>
  <c r="BZ174" i="1"/>
  <c r="AL172" i="1"/>
  <c r="DB169" i="1"/>
  <c r="BN167" i="1"/>
  <c r="Z165" i="1"/>
  <c r="R162" i="1"/>
  <c r="DF158" i="1"/>
  <c r="CP155" i="1"/>
  <c r="R153" i="1"/>
  <c r="CG150" i="1"/>
  <c r="AS148" i="1"/>
  <c r="DI145" i="1"/>
  <c r="BU143" i="1"/>
  <c r="AG141" i="1"/>
  <c r="CW138" i="1"/>
  <c r="BI136" i="1"/>
  <c r="U134" i="1"/>
  <c r="CK131" i="1"/>
  <c r="AW129" i="1"/>
  <c r="I127" i="1"/>
  <c r="BY124" i="1"/>
  <c r="AK122" i="1"/>
  <c r="DA119" i="1"/>
  <c r="BM117" i="1"/>
  <c r="Y115" i="1"/>
  <c r="CO112" i="1"/>
  <c r="BA110" i="1"/>
  <c r="M108" i="1"/>
  <c r="CC105" i="1"/>
  <c r="AO103" i="1"/>
  <c r="DE100" i="1"/>
  <c r="BQ98" i="1"/>
  <c r="AC96" i="1"/>
  <c r="CS93" i="1"/>
  <c r="BE91" i="1"/>
  <c r="Q89" i="1"/>
  <c r="CG86" i="1"/>
  <c r="AS84" i="1"/>
  <c r="DI81" i="1"/>
  <c r="BU79" i="1"/>
  <c r="AG77" i="1"/>
  <c r="H150" i="1"/>
  <c r="BX147" i="1"/>
  <c r="AJ145" i="1"/>
  <c r="CZ142" i="1"/>
  <c r="BL140" i="1"/>
  <c r="X138" i="1"/>
  <c r="CN135" i="1"/>
  <c r="AZ133" i="1"/>
  <c r="L131" i="1"/>
  <c r="CB128" i="1"/>
  <c r="AN126" i="1"/>
  <c r="DD123" i="1"/>
  <c r="BP121" i="1"/>
  <c r="AB119" i="1"/>
  <c r="CR116" i="1"/>
  <c r="BD114" i="1"/>
  <c r="P112" i="1"/>
  <c r="CF109" i="1"/>
  <c r="AR107" i="1"/>
  <c r="DH104" i="1"/>
  <c r="BT102" i="1"/>
  <c r="AF100" i="1"/>
  <c r="CV97" i="1"/>
  <c r="BH95" i="1"/>
  <c r="T93" i="1"/>
  <c r="CJ90" i="1"/>
  <c r="AV88" i="1"/>
  <c r="H86" i="1"/>
  <c r="BX83" i="1"/>
  <c r="AJ81" i="1"/>
  <c r="CZ78" i="1"/>
  <c r="BL76" i="1"/>
  <c r="DG149" i="1"/>
  <c r="BS147" i="1"/>
  <c r="AE145" i="1"/>
  <c r="CU142" i="1"/>
  <c r="BG140" i="1"/>
  <c r="S138" i="1"/>
  <c r="CI135" i="1"/>
  <c r="AU133" i="1"/>
  <c r="G131" i="1"/>
  <c r="BW128" i="1"/>
  <c r="AI126" i="1"/>
  <c r="CY123" i="1"/>
  <c r="BK121" i="1"/>
  <c r="W119" i="1"/>
  <c r="CM116" i="1"/>
  <c r="AY114" i="1"/>
  <c r="K112" i="1"/>
  <c r="CA109" i="1"/>
  <c r="AM107" i="1"/>
  <c r="DC104" i="1"/>
  <c r="BO102" i="1"/>
  <c r="AA100" i="1"/>
  <c r="CQ97" i="1"/>
  <c r="BC95" i="1"/>
  <c r="O93" i="1"/>
  <c r="CE90" i="1"/>
  <c r="AQ88" i="1"/>
  <c r="DG85" i="1"/>
  <c r="BS83" i="1"/>
  <c r="AE81" i="1"/>
  <c r="CU78" i="1"/>
  <c r="CT150" i="1"/>
  <c r="AT141" i="1"/>
  <c r="CX131" i="1"/>
  <c r="AX122" i="1"/>
  <c r="DB112" i="1"/>
  <c r="BB103" i="1"/>
  <c r="DF93" i="1"/>
  <c r="BF84" i="1"/>
  <c r="S76" i="1"/>
  <c r="CE73" i="1"/>
  <c r="AQ71" i="1"/>
  <c r="DG68" i="1"/>
  <c r="BS66" i="1"/>
  <c r="AE64" i="1"/>
  <c r="CU61" i="1"/>
  <c r="BG59" i="1"/>
  <c r="S57" i="1"/>
  <c r="CI54" i="1"/>
  <c r="AU52" i="1"/>
  <c r="G50" i="1"/>
  <c r="BW47" i="1"/>
  <c r="AI45" i="1"/>
  <c r="CY42" i="1"/>
  <c r="BK40" i="1"/>
  <c r="W38" i="1"/>
  <c r="CM35" i="1"/>
  <c r="AY33" i="1"/>
  <c r="K31" i="1"/>
  <c r="CA28" i="1"/>
  <c r="CX161" i="1"/>
  <c r="CD158" i="1"/>
  <c r="BN155" i="1"/>
  <c r="DB152" i="1"/>
  <c r="BM150" i="1"/>
  <c r="Y148" i="1"/>
  <c r="CO145" i="1"/>
  <c r="BA143" i="1"/>
  <c r="M141" i="1"/>
  <c r="CC138" i="1"/>
  <c r="AO136" i="1"/>
  <c r="DE133" i="1"/>
  <c r="BQ131" i="1"/>
  <c r="AC129" i="1"/>
  <c r="CS126" i="1"/>
  <c r="BE124" i="1"/>
  <c r="Q122" i="1"/>
  <c r="CG119" i="1"/>
  <c r="AS117" i="1"/>
  <c r="DI114" i="1"/>
  <c r="BU112" i="1"/>
  <c r="AG110" i="1"/>
  <c r="CW107" i="1"/>
  <c r="BI105" i="1"/>
  <c r="U103" i="1"/>
  <c r="CK100" i="1"/>
  <c r="AW98" i="1"/>
  <c r="I96" i="1"/>
  <c r="BY93" i="1"/>
  <c r="AK91" i="1"/>
  <c r="DA88" i="1"/>
  <c r="BM86" i="1"/>
  <c r="Y84" i="1"/>
  <c r="CO81" i="1"/>
  <c r="BA79" i="1"/>
  <c r="M77" i="1"/>
  <c r="CR149" i="1"/>
  <c r="BD147" i="1"/>
  <c r="P145" i="1"/>
  <c r="CF142" i="1"/>
  <c r="AR140" i="1"/>
  <c r="DH137" i="1"/>
  <c r="BT135" i="1"/>
  <c r="AF133" i="1"/>
  <c r="CV130" i="1"/>
  <c r="BH128" i="1"/>
  <c r="T126" i="1"/>
  <c r="CJ123" i="1"/>
  <c r="AV121" i="1"/>
  <c r="H119" i="1"/>
  <c r="BX116" i="1"/>
  <c r="AJ114" i="1"/>
  <c r="CZ111" i="1"/>
  <c r="BL109" i="1"/>
  <c r="X173" i="1"/>
  <c r="CN170" i="1"/>
  <c r="AZ168" i="1"/>
  <c r="L166" i="1"/>
  <c r="CB163" i="1"/>
  <c r="AN161" i="1"/>
  <c r="DD158" i="1"/>
  <c r="BP156" i="1"/>
  <c r="AB154" i="1"/>
  <c r="AG246" i="1"/>
  <c r="CK236" i="1"/>
  <c r="CI227" i="1"/>
  <c r="G223" i="1"/>
  <c r="AV219" i="1"/>
  <c r="AE216" i="1"/>
  <c r="AM213" i="1"/>
  <c r="DC210" i="1"/>
  <c r="BO208" i="1"/>
  <c r="AA206" i="1"/>
  <c r="CQ203" i="1"/>
  <c r="BC201" i="1"/>
  <c r="O199" i="1"/>
  <c r="CE196" i="1"/>
  <c r="AQ194" i="1"/>
  <c r="DG191" i="1"/>
  <c r="BS189" i="1"/>
  <c r="AE187" i="1"/>
  <c r="CU184" i="1"/>
  <c r="BG182" i="1"/>
  <c r="S180" i="1"/>
  <c r="CI177" i="1"/>
  <c r="AU175" i="1"/>
  <c r="G173" i="1"/>
  <c r="BW170" i="1"/>
  <c r="AI168" i="1"/>
  <c r="CY165" i="1"/>
  <c r="BK163" i="1"/>
  <c r="W161" i="1"/>
  <c r="CM158" i="1"/>
  <c r="AY156" i="1"/>
  <c r="K154" i="1"/>
  <c r="M246" i="1"/>
  <c r="BQ236" i="1"/>
  <c r="BY227" i="1"/>
  <c r="DA222" i="1"/>
  <c r="AO219" i="1"/>
  <c r="X216" i="1"/>
  <c r="AH213" i="1"/>
  <c r="CX210" i="1"/>
  <c r="BJ208" i="1"/>
  <c r="V206" i="1"/>
  <c r="CL203" i="1"/>
  <c r="AX201" i="1"/>
  <c r="J199" i="1"/>
  <c r="BZ196" i="1"/>
  <c r="AL194" i="1"/>
  <c r="DB191" i="1"/>
  <c r="BN189" i="1"/>
  <c r="Z187" i="1"/>
  <c r="CP184" i="1"/>
  <c r="BB182" i="1"/>
  <c r="N180" i="1"/>
  <c r="CD177" i="1"/>
  <c r="AP175" i="1"/>
  <c r="DF172" i="1"/>
  <c r="BR170" i="1"/>
  <c r="AD168" i="1"/>
  <c r="CT165" i="1"/>
  <c r="BF163" i="1"/>
  <c r="R161" i="1"/>
  <c r="CH158" i="1"/>
  <c r="AT156" i="1"/>
  <c r="BU278" i="1"/>
  <c r="U269" i="1"/>
  <c r="Y264" i="1"/>
  <c r="BA259" i="1"/>
  <c r="CC254" i="1"/>
  <c r="DE249" i="1"/>
  <c r="DI240" i="1"/>
  <c r="AI227" i="1"/>
  <c r="BK222" i="1"/>
  <c r="M219" i="1"/>
  <c r="CZ215" i="1"/>
  <c r="M213" i="1"/>
  <c r="CC210" i="1"/>
  <c r="AO208" i="1"/>
  <c r="DE205" i="1"/>
  <c r="BQ203" i="1"/>
  <c r="AC201" i="1"/>
  <c r="CS198" i="1"/>
  <c r="BE196" i="1"/>
  <c r="Q194" i="1"/>
  <c r="CG191" i="1"/>
  <c r="AS189" i="1"/>
  <c r="DI186" i="1"/>
  <c r="BU184" i="1"/>
  <c r="AG182" i="1"/>
  <c r="CW179" i="1"/>
  <c r="BI177" i="1"/>
  <c r="U175" i="1"/>
  <c r="CK172" i="1"/>
  <c r="AW170" i="1"/>
  <c r="I168" i="1"/>
  <c r="BY165" i="1"/>
  <c r="AK163" i="1"/>
  <c r="DA160" i="1"/>
  <c r="BM158" i="1"/>
  <c r="Y156" i="1"/>
  <c r="CO153" i="1"/>
  <c r="U246" i="1"/>
  <c r="BY236" i="1"/>
  <c r="CC227" i="1"/>
  <c r="DE222" i="1"/>
  <c r="AR219" i="1"/>
  <c r="AA216" i="1"/>
  <c r="AJ213" i="1"/>
  <c r="CZ210" i="1"/>
  <c r="BL208" i="1"/>
  <c r="X206" i="1"/>
  <c r="CN203" i="1"/>
  <c r="AZ201" i="1"/>
  <c r="L199" i="1"/>
  <c r="CB196" i="1"/>
  <c r="AN194" i="1"/>
  <c r="DD191" i="1"/>
  <c r="BP189" i="1"/>
  <c r="AB187" i="1"/>
  <c r="CR184" i="1"/>
  <c r="BD182" i="1"/>
  <c r="P180" i="1"/>
  <c r="CF177" i="1"/>
  <c r="AR175" i="1"/>
  <c r="DH172" i="1"/>
  <c r="BT170" i="1"/>
  <c r="AF168" i="1"/>
  <c r="CV165" i="1"/>
  <c r="BH163" i="1"/>
  <c r="T161" i="1"/>
  <c r="CJ158" i="1"/>
  <c r="AV156" i="1"/>
  <c r="H154" i="1"/>
  <c r="BI245" i="1"/>
  <c r="I236" i="1"/>
  <c r="AU227" i="1"/>
  <c r="BW222" i="1"/>
  <c r="U219" i="1"/>
  <c r="DH215" i="1"/>
  <c r="S213" i="1"/>
  <c r="CI210" i="1"/>
  <c r="AU208" i="1"/>
  <c r="G206" i="1"/>
  <c r="BW203" i="1"/>
  <c r="AI201" i="1"/>
  <c r="CY198" i="1"/>
  <c r="BK196" i="1"/>
  <c r="W194" i="1"/>
  <c r="CM191" i="1"/>
  <c r="AY189" i="1"/>
  <c r="K187" i="1"/>
  <c r="CA184" i="1"/>
  <c r="AM182" i="1"/>
  <c r="DC179" i="1"/>
  <c r="BO177" i="1"/>
  <c r="AA175" i="1"/>
  <c r="CQ172" i="1"/>
  <c r="BC170" i="1"/>
  <c r="O168" i="1"/>
  <c r="CE165" i="1"/>
  <c r="AQ163" i="1"/>
  <c r="DG160" i="1"/>
  <c r="BS158" i="1"/>
  <c r="AE156" i="1"/>
  <c r="CU153" i="1"/>
  <c r="AO245" i="1"/>
  <c r="CS235" i="1"/>
  <c r="AK227" i="1"/>
  <c r="BM222" i="1"/>
  <c r="O219" i="1"/>
  <c r="DA215" i="1"/>
  <c r="N213" i="1"/>
  <c r="CD210" i="1"/>
  <c r="AP208" i="1"/>
  <c r="DF205" i="1"/>
  <c r="BR203" i="1"/>
  <c r="AD201" i="1"/>
  <c r="CT198" i="1"/>
  <c r="BF196" i="1"/>
  <c r="R194" i="1"/>
  <c r="CH191" i="1"/>
  <c r="AT189" i="1"/>
  <c r="F187" i="1"/>
  <c r="BV184" i="1"/>
  <c r="AH182" i="1"/>
  <c r="CX179" i="1"/>
  <c r="BJ177" i="1"/>
  <c r="V175" i="1"/>
  <c r="CL172" i="1"/>
  <c r="AX170" i="1"/>
  <c r="J168" i="1"/>
  <c r="BZ165" i="1"/>
  <c r="AL163" i="1"/>
  <c r="CG273" i="1"/>
  <c r="BE266" i="1"/>
  <c r="CG261" i="1"/>
  <c r="DI256" i="1"/>
  <c r="AG252" i="1"/>
  <c r="BI247" i="1"/>
  <c r="AC231" i="1"/>
  <c r="CQ224" i="1"/>
  <c r="BS220" i="1"/>
  <c r="BA217" i="1"/>
  <c r="AJ214" i="1"/>
  <c r="CS211" i="1"/>
  <c r="BE209" i="1"/>
  <c r="Q207" i="1"/>
  <c r="CG204" i="1"/>
  <c r="AS202" i="1"/>
  <c r="DI199" i="1"/>
  <c r="BU197" i="1"/>
  <c r="AG195" i="1"/>
  <c r="CW192" i="1"/>
  <c r="BI190" i="1"/>
  <c r="U188" i="1"/>
  <c r="CK185" i="1"/>
  <c r="AW183" i="1"/>
  <c r="I181" i="1"/>
  <c r="BY178" i="1"/>
  <c r="AK176" i="1"/>
  <c r="DA173" i="1"/>
  <c r="BM171" i="1"/>
  <c r="Y169" i="1"/>
  <c r="CO166" i="1"/>
  <c r="BA164" i="1"/>
  <c r="M162" i="1"/>
  <c r="CC159" i="1"/>
  <c r="AO157" i="1"/>
  <c r="DE154" i="1"/>
  <c r="BQ152" i="1"/>
  <c r="AG241" i="1"/>
  <c r="CK231" i="1"/>
  <c r="AG225" i="1"/>
  <c r="CW220" i="1"/>
  <c r="CF217" i="1"/>
  <c r="BO214" i="1"/>
  <c r="L212" i="1"/>
  <c r="CB209" i="1"/>
  <c r="AN207" i="1"/>
  <c r="DD204" i="1"/>
  <c r="BP202" i="1"/>
  <c r="AB200" i="1"/>
  <c r="CR197" i="1"/>
  <c r="BD195" i="1"/>
  <c r="P193" i="1"/>
  <c r="CF190" i="1"/>
  <c r="AR188" i="1"/>
  <c r="DH185" i="1"/>
  <c r="BT183" i="1"/>
  <c r="AF181" i="1"/>
  <c r="CV178" i="1"/>
  <c r="BH176" i="1"/>
  <c r="T174" i="1"/>
  <c r="CJ171" i="1"/>
  <c r="AV169" i="1"/>
  <c r="H167" i="1"/>
  <c r="BX164" i="1"/>
  <c r="AJ162" i="1"/>
  <c r="CZ159" i="1"/>
  <c r="BL157" i="1"/>
  <c r="X155" i="1"/>
  <c r="CN152" i="1"/>
  <c r="BU240" i="1"/>
  <c r="U231" i="1"/>
  <c r="DC224" i="1"/>
  <c r="CA220" i="1"/>
  <c r="BI217" i="1"/>
  <c r="AR214" i="1"/>
  <c r="CY211" i="1"/>
  <c r="BK209" i="1"/>
  <c r="W207" i="1"/>
  <c r="CM204" i="1"/>
  <c r="AY202" i="1"/>
  <c r="K200" i="1"/>
  <c r="CA197" i="1"/>
  <c r="AM195" i="1"/>
  <c r="DC192" i="1"/>
  <c r="BO190" i="1"/>
  <c r="AA188" i="1"/>
  <c r="CQ185" i="1"/>
  <c r="BC183" i="1"/>
  <c r="O181" i="1"/>
  <c r="CE178" i="1"/>
  <c r="AQ176" i="1"/>
  <c r="DG173" i="1"/>
  <c r="BS171" i="1"/>
  <c r="AE169" i="1"/>
  <c r="CU166" i="1"/>
  <c r="BG164" i="1"/>
  <c r="S162" i="1"/>
  <c r="CI159" i="1"/>
  <c r="AU157" i="1"/>
  <c r="G155" i="1"/>
  <c r="BW152" i="1"/>
  <c r="BA240" i="1"/>
  <c r="DE230" i="1"/>
  <c r="CS224" i="1"/>
  <c r="BT220" i="1"/>
  <c r="BC217" i="1"/>
  <c r="AK214" i="1"/>
  <c r="CT211" i="1"/>
  <c r="BF209" i="1"/>
  <c r="R207" i="1"/>
  <c r="CH204" i="1"/>
  <c r="AT202" i="1"/>
  <c r="F200" i="1"/>
  <c r="BV197" i="1"/>
  <c r="AH195" i="1"/>
  <c r="CX192" i="1"/>
  <c r="BJ190" i="1"/>
  <c r="V188" i="1"/>
  <c r="CL185" i="1"/>
  <c r="AX183" i="1"/>
  <c r="J181" i="1"/>
  <c r="BZ178" i="1"/>
  <c r="AL176" i="1"/>
  <c r="DB173" i="1"/>
  <c r="BN171" i="1"/>
  <c r="Z169" i="1"/>
  <c r="CP166" i="1"/>
  <c r="BB164" i="1"/>
  <c r="V161" i="1"/>
  <c r="DF157" i="1"/>
  <c r="CP154" i="1"/>
  <c r="AT152" i="1"/>
  <c r="DI149" i="1"/>
  <c r="BU147" i="1"/>
  <c r="AG145" i="1"/>
  <c r="CW142" i="1"/>
  <c r="BI140" i="1"/>
  <c r="U138" i="1"/>
  <c r="CK135" i="1"/>
  <c r="AW133" i="1"/>
  <c r="I131" i="1"/>
  <c r="BY128" i="1"/>
  <c r="AK126" i="1"/>
  <c r="DA123" i="1"/>
  <c r="BM121" i="1"/>
  <c r="Y119" i="1"/>
  <c r="CO116" i="1"/>
  <c r="BA114" i="1"/>
  <c r="M112" i="1"/>
  <c r="CC109" i="1"/>
  <c r="AO107" i="1"/>
  <c r="DE104" i="1"/>
  <c r="BQ102" i="1"/>
  <c r="AC100" i="1"/>
  <c r="CS97" i="1"/>
  <c r="BE95" i="1"/>
  <c r="Q93" i="1"/>
  <c r="CG90" i="1"/>
  <c r="AS88" i="1"/>
  <c r="DI85" i="1"/>
  <c r="BU83" i="1"/>
  <c r="AG81" i="1"/>
  <c r="CW78" i="1"/>
  <c r="CA151" i="1"/>
  <c r="AJ149" i="1"/>
  <c r="CZ146" i="1"/>
  <c r="BL144" i="1"/>
  <c r="X142" i="1"/>
  <c r="CN139" i="1"/>
  <c r="AZ137" i="1"/>
  <c r="L135" i="1"/>
  <c r="CB132" i="1"/>
  <c r="AN130" i="1"/>
  <c r="DD127" i="1"/>
  <c r="BP125" i="1"/>
  <c r="AB123" i="1"/>
  <c r="CR120" i="1"/>
  <c r="BD118" i="1"/>
  <c r="P116" i="1"/>
  <c r="CF113" i="1"/>
  <c r="AR111" i="1"/>
  <c r="DH108" i="1"/>
  <c r="BT106" i="1"/>
  <c r="AF104" i="1"/>
  <c r="CV101" i="1"/>
  <c r="BH99" i="1"/>
  <c r="T97" i="1"/>
  <c r="CJ94" i="1"/>
  <c r="AV92" i="1"/>
  <c r="H90" i="1"/>
  <c r="BX87" i="1"/>
  <c r="AJ85" i="1"/>
  <c r="CZ82" i="1"/>
  <c r="BL80" i="1"/>
  <c r="X78" i="1"/>
  <c r="BT151" i="1"/>
  <c r="AE149" i="1"/>
  <c r="CU146" i="1"/>
  <c r="BG144" i="1"/>
  <c r="S142" i="1"/>
  <c r="CI139" i="1"/>
  <c r="AU137" i="1"/>
  <c r="G135" i="1"/>
  <c r="BW132" i="1"/>
  <c r="AI130" i="1"/>
  <c r="CY127" i="1"/>
  <c r="BK125" i="1"/>
  <c r="W123" i="1"/>
  <c r="CM120" i="1"/>
  <c r="AY118" i="1"/>
  <c r="K116" i="1"/>
  <c r="CA113" i="1"/>
  <c r="AM111" i="1"/>
  <c r="DC108" i="1"/>
  <c r="BO106" i="1"/>
  <c r="AA104" i="1"/>
  <c r="CQ101" i="1"/>
  <c r="BC99" i="1"/>
  <c r="O97" i="1"/>
  <c r="CE94" i="1"/>
  <c r="AQ92" i="1"/>
  <c r="DG89" i="1"/>
  <c r="BS87" i="1"/>
  <c r="AE85" i="1"/>
  <c r="CU82" i="1"/>
  <c r="BG80" i="1"/>
  <c r="S78" i="1"/>
  <c r="CX147" i="1"/>
  <c r="AX138" i="1"/>
  <c r="DB128" i="1"/>
  <c r="BB119" i="1"/>
  <c r="DF109" i="1"/>
  <c r="BF100" i="1"/>
  <c r="F91" i="1"/>
  <c r="BJ81" i="1"/>
  <c r="AQ75" i="1"/>
  <c r="DG72" i="1"/>
  <c r="BS70" i="1"/>
  <c r="AE68" i="1"/>
  <c r="CU65" i="1"/>
  <c r="BG63" i="1"/>
  <c r="S61" i="1"/>
  <c r="CI58" i="1"/>
  <c r="AU56" i="1"/>
  <c r="G54" i="1"/>
  <c r="BW51" i="1"/>
  <c r="AI49" i="1"/>
  <c r="CY46" i="1"/>
  <c r="BK44" i="1"/>
  <c r="W42" i="1"/>
  <c r="CM39" i="1"/>
  <c r="AY37" i="1"/>
  <c r="K35" i="1"/>
  <c r="CA32" i="1"/>
  <c r="AM30" i="1"/>
  <c r="DC27" i="1"/>
  <c r="CX160" i="1"/>
  <c r="CH157" i="1"/>
  <c r="BN154" i="1"/>
  <c r="Z152" i="1"/>
  <c r="CO149" i="1"/>
  <c r="BA147" i="1"/>
  <c r="M145" i="1"/>
  <c r="CC142" i="1"/>
  <c r="AO140" i="1"/>
  <c r="DE137" i="1"/>
  <c r="BQ135" i="1"/>
  <c r="AC133" i="1"/>
  <c r="CS130" i="1"/>
  <c r="BE128" i="1"/>
  <c r="Q126" i="1"/>
  <c r="CG123" i="1"/>
  <c r="AS121" i="1"/>
  <c r="DI118" i="1"/>
  <c r="BU116" i="1"/>
  <c r="AG114" i="1"/>
  <c r="CW111" i="1"/>
  <c r="BI109" i="1"/>
  <c r="U107" i="1"/>
  <c r="CK104" i="1"/>
  <c r="AW102" i="1"/>
  <c r="I100" i="1"/>
  <c r="BY97" i="1"/>
  <c r="AK95" i="1"/>
  <c r="DA92" i="1"/>
  <c r="BM90" i="1"/>
  <c r="Y88" i="1"/>
  <c r="CO85" i="1"/>
  <c r="BA83" i="1"/>
  <c r="M81" i="1"/>
  <c r="CC78" i="1"/>
  <c r="BD151" i="1"/>
  <c r="P149" i="1"/>
  <c r="CF146" i="1"/>
  <c r="AR144" i="1"/>
  <c r="DH141" i="1"/>
  <c r="BT139" i="1"/>
  <c r="AF137" i="1"/>
  <c r="CV134" i="1"/>
  <c r="BH132" i="1"/>
  <c r="T130" i="1"/>
  <c r="CJ127" i="1"/>
  <c r="AV125" i="1"/>
  <c r="H123" i="1"/>
  <c r="BX120" i="1"/>
  <c r="AJ118" i="1"/>
  <c r="CZ115" i="1"/>
  <c r="BL113" i="1"/>
  <c r="X111" i="1"/>
  <c r="CN108" i="1"/>
  <c r="BT173" i="1"/>
  <c r="AF171" i="1"/>
  <c r="CV168" i="1"/>
  <c r="BH166" i="1"/>
  <c r="T164" i="1"/>
  <c r="CJ161" i="1"/>
  <c r="AV159" i="1"/>
  <c r="H157" i="1"/>
  <c r="BX154" i="1"/>
  <c r="AJ152" i="1"/>
  <c r="BM238" i="1"/>
  <c r="M229" i="1"/>
  <c r="CY223" i="1"/>
  <c r="DH219" i="1"/>
  <c r="CQ216" i="1"/>
  <c r="CI213" i="1"/>
  <c r="AU211" i="1"/>
  <c r="G209" i="1"/>
  <c r="BW206" i="1"/>
  <c r="AI204" i="1"/>
  <c r="BH274" i="1"/>
  <c r="H265" i="1"/>
  <c r="BL255" i="1"/>
  <c r="L246" i="1"/>
  <c r="CF240" i="1"/>
  <c r="DH235" i="1"/>
  <c r="AF231" i="1"/>
  <c r="BH226" i="1"/>
  <c r="CJ221" i="1"/>
  <c r="AX293" i="1"/>
  <c r="O288" i="1"/>
  <c r="AQ283" i="1"/>
  <c r="CR224" i="1"/>
  <c r="CY263" i="1"/>
  <c r="G239" i="1"/>
  <c r="N288" i="1"/>
  <c r="R269" i="1"/>
  <c r="V250" i="1"/>
  <c r="Z231" i="1"/>
  <c r="CV301" i="1"/>
  <c r="BY276" i="1"/>
  <c r="CC257" i="1"/>
  <c r="CT311" i="1"/>
  <c r="BH296" i="1"/>
  <c r="AN275" i="1"/>
  <c r="AR256" i="1"/>
  <c r="AV237" i="1"/>
  <c r="AN296" i="1"/>
  <c r="AI275" i="1"/>
  <c r="AM256" i="1"/>
  <c r="AQ237" i="1"/>
  <c r="BR287" i="1"/>
  <c r="BV268" i="1"/>
  <c r="BZ249" i="1"/>
  <c r="CD230" i="1"/>
  <c r="DD299" i="1"/>
  <c r="Y276" i="1"/>
  <c r="Z304" i="1"/>
  <c r="CR286" i="1"/>
  <c r="CV267" i="1"/>
  <c r="CZ248" i="1"/>
  <c r="DD229" i="1"/>
  <c r="CM286" i="1"/>
  <c r="CQ267" i="1"/>
  <c r="CU248" i="1"/>
  <c r="CY229" i="1"/>
  <c r="V280" i="1"/>
  <c r="Z261" i="1"/>
  <c r="AD242" i="1"/>
  <c r="AH223" i="1"/>
  <c r="CC287" i="1"/>
  <c r="DA269" i="1"/>
  <c r="BM263" i="1"/>
  <c r="CO258" i="1"/>
  <c r="M254" i="1"/>
  <c r="AO249" i="1"/>
  <c r="BE238" i="1"/>
  <c r="CD313" i="1"/>
  <c r="AL308" i="1"/>
  <c r="BN303" i="1"/>
  <c r="CP298" i="1"/>
  <c r="T302" i="1"/>
  <c r="DD290" i="1"/>
  <c r="AB286" i="1"/>
  <c r="BD281" i="1"/>
  <c r="CF276" i="1"/>
  <c r="DH271" i="1"/>
  <c r="AF267" i="1"/>
  <c r="BH262" i="1"/>
  <c r="CJ257" i="1"/>
  <c r="H253" i="1"/>
  <c r="AJ248" i="1"/>
  <c r="BL243" i="1"/>
  <c r="CN238" i="1"/>
  <c r="L234" i="1"/>
  <c r="AN229" i="1"/>
  <c r="BP224" i="1"/>
  <c r="DD301" i="1"/>
  <c r="CY290" i="1"/>
  <c r="AI266" i="1"/>
  <c r="AU241" i="1"/>
  <c r="CT289" i="1"/>
  <c r="CX270" i="1"/>
  <c r="DB251" i="1"/>
  <c r="DF232" i="1"/>
  <c r="DH308" i="1"/>
  <c r="BA278" i="1"/>
  <c r="BE259" i="1"/>
  <c r="AD314" i="1"/>
  <c r="BT303" i="1"/>
  <c r="P277" i="1"/>
  <c r="T258" i="1"/>
  <c r="X239" i="1"/>
  <c r="AZ303" i="1"/>
  <c r="K277" i="1"/>
  <c r="O258" i="1"/>
  <c r="S239" i="1"/>
  <c r="AT289" i="1"/>
  <c r="AX270" i="1"/>
  <c r="BB251" i="1"/>
  <c r="BF232" i="1"/>
  <c r="L307" i="1"/>
  <c r="DE277" i="1"/>
  <c r="DF305" i="1"/>
  <c r="BT288" i="1"/>
  <c r="BX269" i="1"/>
  <c r="CB250" i="1"/>
  <c r="CF231" i="1"/>
  <c r="BO288" i="1"/>
  <c r="BS269" i="1"/>
  <c r="BW250" i="1"/>
  <c r="CA231" i="1"/>
  <c r="DB281" i="1"/>
  <c r="DF262" i="1"/>
  <c r="F244" i="1"/>
  <c r="J225" i="1"/>
  <c r="BE289" i="1"/>
  <c r="DE270" i="1"/>
  <c r="DI263" i="1"/>
  <c r="AG259" i="1"/>
  <c r="BI254" i="1"/>
  <c r="CK249" i="1"/>
  <c r="AG240" i="1"/>
  <c r="AL314" i="1"/>
  <c r="CH308" i="1"/>
  <c r="F304" i="1"/>
  <c r="AH299" i="1"/>
  <c r="CZ303" i="1"/>
  <c r="BH291" i="1"/>
  <c r="BX286" i="1"/>
  <c r="CZ281" i="1"/>
  <c r="X277" i="1"/>
  <c r="AZ272" i="1"/>
  <c r="CB267" i="1"/>
  <c r="DD262" i="1"/>
  <c r="AB258" i="1"/>
  <c r="BD253" i="1"/>
  <c r="CF248" i="1"/>
  <c r="DH243" i="1"/>
  <c r="AF239" i="1"/>
  <c r="BH234" i="1"/>
  <c r="CJ229" i="1"/>
  <c r="H225" i="1"/>
  <c r="CA281" i="1"/>
  <c r="AA256" i="1"/>
  <c r="CY231" i="1"/>
  <c r="V282" i="1"/>
  <c r="Z263" i="1"/>
  <c r="AD244" i="1"/>
  <c r="AH225" i="1"/>
  <c r="CC289" i="1"/>
  <c r="CG270" i="1"/>
  <c r="CK251" i="1"/>
  <c r="CD305" i="1"/>
  <c r="AR288" i="1"/>
  <c r="AV269" i="1"/>
  <c r="AZ250" i="1"/>
  <c r="BD231" i="1"/>
  <c r="AM288" i="1"/>
  <c r="AQ269" i="1"/>
  <c r="AU250" i="1"/>
  <c r="AY231" i="1"/>
  <c r="BZ281" i="1"/>
  <c r="CD262" i="1"/>
  <c r="CH243" i="1"/>
  <c r="CL224" i="1"/>
  <c r="AC289" i="1"/>
  <c r="AG270" i="1"/>
  <c r="AH298" i="1"/>
  <c r="CZ280" i="1"/>
  <c r="DD261" i="1"/>
  <c r="DH242" i="1"/>
  <c r="H224" i="1"/>
  <c r="BS285" i="1"/>
  <c r="CI273" i="1"/>
  <c r="CY261" i="1"/>
  <c r="CA247" i="1"/>
  <c r="CQ235" i="1"/>
  <c r="DH293" i="1"/>
  <c r="DF278" i="1"/>
  <c r="R267" i="1"/>
  <c r="AH255" i="1"/>
  <c r="J241" i="1"/>
  <c r="Z229" i="1"/>
  <c r="AP217" i="1"/>
  <c r="BI286" i="1"/>
  <c r="BY274" i="1"/>
  <c r="CS267" i="1"/>
  <c r="AG263" i="1"/>
  <c r="AK260" i="1"/>
  <c r="AO257" i="1"/>
  <c r="CK253" i="1"/>
  <c r="CO250" i="1"/>
  <c r="CS247" i="1"/>
  <c r="AK237" i="1"/>
  <c r="CD315" i="1"/>
  <c r="CH311" i="1"/>
  <c r="F308" i="1"/>
  <c r="J305" i="1"/>
  <c r="N302" i="1"/>
  <c r="BJ298" i="1"/>
  <c r="L308" i="1"/>
  <c r="AB296" i="1"/>
  <c r="BX290" i="1"/>
  <c r="CB287" i="1"/>
  <c r="CF284" i="1"/>
  <c r="X281" i="1"/>
  <c r="AB278" i="1"/>
  <c r="AF275" i="1"/>
  <c r="CB271" i="1"/>
  <c r="CF268" i="1"/>
  <c r="CJ265" i="1"/>
  <c r="AB262" i="1"/>
  <c r="AF259" i="1"/>
  <c r="AJ256" i="1"/>
  <c r="CF252" i="1"/>
  <c r="CJ249" i="1"/>
  <c r="CN246" i="1"/>
  <c r="AF243" i="1"/>
  <c r="AJ240" i="1"/>
  <c r="AN237" i="1"/>
  <c r="CJ233" i="1"/>
  <c r="CN230" i="1"/>
  <c r="CR227" i="1"/>
  <c r="BH222" i="1"/>
  <c r="AD292" i="1"/>
  <c r="BW287" i="1"/>
  <c r="CY282" i="1"/>
  <c r="CY278" i="1"/>
  <c r="DC275" i="1"/>
  <c r="AU272" i="1"/>
  <c r="AY269" i="1"/>
  <c r="BC266" i="1"/>
  <c r="CY262" i="1"/>
  <c r="DC259" i="1"/>
  <c r="DG256" i="1"/>
  <c r="AY253" i="1"/>
  <c r="BC250" i="1"/>
  <c r="BG247" i="1"/>
  <c r="DC243" i="1"/>
  <c r="DG240" i="1"/>
  <c r="G238" i="1"/>
  <c r="BC234" i="1"/>
  <c r="BG231" i="1"/>
  <c r="BK228" i="1"/>
  <c r="T296" i="1"/>
  <c r="AJ291" i="1"/>
  <c r="AH288" i="1"/>
  <c r="CD284" i="1"/>
  <c r="CH281" i="1"/>
  <c r="CL278" i="1"/>
  <c r="AD275" i="1"/>
  <c r="AH272" i="1"/>
  <c r="AL269" i="1"/>
  <c r="CH265" i="1"/>
  <c r="CL262" i="1"/>
  <c r="CP259" i="1"/>
  <c r="AH256" i="1"/>
  <c r="AL253" i="1"/>
  <c r="AP250" i="1"/>
  <c r="CL246" i="1"/>
  <c r="CP243" i="1"/>
  <c r="CT240" i="1"/>
  <c r="AL237" i="1"/>
  <c r="AP234" i="1"/>
  <c r="AT231" i="1"/>
  <c r="CP227" i="1"/>
  <c r="CT224" i="1"/>
  <c r="CX221" i="1"/>
  <c r="AP218" i="1"/>
  <c r="AT215" i="1"/>
  <c r="BT302" i="1"/>
  <c r="BX292" i="1"/>
  <c r="AK289" i="1"/>
  <c r="AO286" i="1"/>
  <c r="CK282" i="1"/>
  <c r="U277" i="1"/>
  <c r="DI266" i="1"/>
  <c r="CW259" i="1"/>
  <c r="DE253" i="1"/>
  <c r="I248" i="1"/>
  <c r="CE227" i="1"/>
  <c r="CM221" i="1"/>
  <c r="CM217" i="1"/>
  <c r="AK213" i="1"/>
  <c r="AO210" i="1"/>
  <c r="AS207" i="1"/>
  <c r="CO203" i="1"/>
  <c r="CS200" i="1"/>
  <c r="CW197" i="1"/>
  <c r="AO194" i="1"/>
  <c r="AS191" i="1"/>
  <c r="AW188" i="1"/>
  <c r="CS184" i="1"/>
  <c r="CW181" i="1"/>
  <c r="DA178" i="1"/>
  <c r="AS175" i="1"/>
  <c r="AW172" i="1"/>
  <c r="BA169" i="1"/>
  <c r="CW165" i="1"/>
  <c r="DA162" i="1"/>
  <c r="DE159" i="1"/>
  <c r="AW156" i="1"/>
  <c r="BA153" i="1"/>
  <c r="AK242" i="1"/>
  <c r="U228" i="1"/>
  <c r="AC222" i="1"/>
  <c r="M218" i="1"/>
  <c r="BH213" i="1"/>
  <c r="BL210" i="1"/>
  <c r="BP207" i="1"/>
  <c r="H204" i="1"/>
  <c r="L201" i="1"/>
  <c r="P198" i="1"/>
  <c r="BL194" i="1"/>
  <c r="BP191" i="1"/>
  <c r="BT188" i="1"/>
  <c r="L185" i="1"/>
  <c r="P182" i="1"/>
  <c r="T179" i="1"/>
  <c r="BP175" i="1"/>
  <c r="BT172" i="1"/>
  <c r="BX169" i="1"/>
  <c r="P166" i="1"/>
  <c r="T163" i="1"/>
  <c r="X160" i="1"/>
  <c r="BT156" i="1"/>
  <c r="BX153" i="1"/>
  <c r="BY241" i="1"/>
  <c r="CQ227" i="1"/>
  <c r="CY221" i="1"/>
  <c r="CU217" i="1"/>
  <c r="AQ213" i="1"/>
  <c r="AU210" i="1"/>
  <c r="AY207" i="1"/>
  <c r="CU203" i="1"/>
  <c r="CY200" i="1"/>
  <c r="DC197" i="1"/>
  <c r="AU194" i="1"/>
  <c r="AY191" i="1"/>
  <c r="BC188" i="1"/>
  <c r="CY184" i="1"/>
  <c r="DC181" i="1"/>
  <c r="DG178" i="1"/>
  <c r="AY175" i="1"/>
  <c r="BC172" i="1"/>
  <c r="BG169" i="1"/>
  <c r="DC165" i="1"/>
  <c r="DG162" i="1"/>
  <c r="G160" i="1"/>
  <c r="BC156" i="1"/>
  <c r="BG153" i="1"/>
  <c r="BE241" i="1"/>
  <c r="CG227" i="1"/>
  <c r="CO221" i="1"/>
  <c r="CN217" i="1"/>
  <c r="AL213" i="1"/>
  <c r="AP210" i="1"/>
  <c r="AT207" i="1"/>
  <c r="CP203" i="1"/>
  <c r="CT200" i="1"/>
  <c r="CX197" i="1"/>
  <c r="AP194" i="1"/>
  <c r="AT191" i="1"/>
  <c r="AX188" i="1"/>
  <c r="CT184" i="1"/>
  <c r="CX181" i="1"/>
  <c r="DB178" i="1"/>
  <c r="AT175" i="1"/>
  <c r="AX172" i="1"/>
  <c r="BB169" i="1"/>
  <c r="CX165" i="1"/>
  <c r="AW276" i="1"/>
  <c r="BU266" i="1"/>
  <c r="BI259" i="1"/>
  <c r="BQ253" i="1"/>
  <c r="BY247" i="1"/>
  <c r="AQ227" i="1"/>
  <c r="BG221" i="1"/>
  <c r="BL217" i="1"/>
  <c r="Q213" i="1"/>
  <c r="U210" i="1"/>
  <c r="Y207" i="1"/>
  <c r="BU203" i="1"/>
  <c r="BY200" i="1"/>
  <c r="CC197" i="1"/>
  <c r="U194" i="1"/>
  <c r="Y191" i="1"/>
  <c r="AC188" i="1"/>
  <c r="BY184" i="1"/>
  <c r="CC181" i="1"/>
  <c r="CG178" i="1"/>
  <c r="Y175" i="1"/>
  <c r="AC172" i="1"/>
  <c r="AG169" i="1"/>
  <c r="CC165" i="1"/>
  <c r="CG162" i="1"/>
  <c r="CK159" i="1"/>
  <c r="AC156" i="1"/>
  <c r="AG153" i="1"/>
  <c r="BM241" i="1"/>
  <c r="CK227" i="1"/>
  <c r="CS221" i="1"/>
  <c r="CQ217" i="1"/>
  <c r="AN213" i="1"/>
  <c r="AR210" i="1"/>
  <c r="AV207" i="1"/>
  <c r="CR203" i="1"/>
  <c r="CV200" i="1"/>
  <c r="CZ197" i="1"/>
  <c r="AR194" i="1"/>
  <c r="DH191" i="1"/>
  <c r="BT189" i="1"/>
  <c r="AF187" i="1"/>
  <c r="CV184" i="1"/>
  <c r="BH182" i="1"/>
  <c r="T180" i="1"/>
  <c r="CJ177" i="1"/>
  <c r="AJ224" i="1"/>
  <c r="H296" i="1"/>
  <c r="CE289" i="1"/>
  <c r="BS286" i="1"/>
  <c r="BG283" i="1"/>
  <c r="AE280" i="1"/>
  <c r="BO277" i="1"/>
  <c r="AA275" i="1"/>
  <c r="CQ272" i="1"/>
  <c r="BC270" i="1"/>
  <c r="O268" i="1"/>
  <c r="CE265" i="1"/>
  <c r="AQ263" i="1"/>
  <c r="DG260" i="1"/>
  <c r="BS258" i="1"/>
  <c r="AE256" i="1"/>
  <c r="CU253" i="1"/>
  <c r="BG251" i="1"/>
  <c r="S249" i="1"/>
  <c r="CI246" i="1"/>
  <c r="AU244" i="1"/>
  <c r="G242" i="1"/>
  <c r="BW239" i="1"/>
  <c r="AI237" i="1"/>
  <c r="CY234" i="1"/>
  <c r="BK232" i="1"/>
  <c r="W230" i="1"/>
  <c r="AV307" i="1"/>
  <c r="CZ297" i="1"/>
  <c r="BY292" i="1"/>
  <c r="CX289" i="1"/>
  <c r="BJ287" i="1"/>
  <c r="V285" i="1"/>
  <c r="CL282" i="1"/>
  <c r="AX280" i="1"/>
  <c r="J278" i="1"/>
  <c r="BZ275" i="1"/>
  <c r="AL273" i="1"/>
  <c r="DB270" i="1"/>
  <c r="BN268" i="1"/>
  <c r="Z266" i="1"/>
  <c r="CP263" i="1"/>
  <c r="BB261" i="1"/>
  <c r="N259" i="1"/>
  <c r="CD256" i="1"/>
  <c r="AP254" i="1"/>
  <c r="DF251" i="1"/>
  <c r="BR249" i="1"/>
  <c r="AD247" i="1"/>
  <c r="CT244" i="1"/>
  <c r="BF242" i="1"/>
  <c r="R240" i="1"/>
  <c r="CH237" i="1"/>
  <c r="AT235" i="1"/>
  <c r="F233" i="1"/>
  <c r="BV230" i="1"/>
  <c r="AH228" i="1"/>
  <c r="CX225" i="1"/>
  <c r="BJ223" i="1"/>
  <c r="V221" i="1"/>
  <c r="CL218" i="1"/>
  <c r="AX216" i="1"/>
  <c r="J214" i="1"/>
  <c r="BX299" i="1"/>
  <c r="AF293" i="1"/>
  <c r="AO290" i="1"/>
  <c r="DE287" i="1"/>
  <c r="BQ285" i="1"/>
  <c r="AC283" i="1"/>
  <c r="CS280" i="1"/>
  <c r="CO271" i="1"/>
  <c r="BI265" i="1"/>
  <c r="CK260" i="1"/>
  <c r="I256" i="1"/>
  <c r="AK251" i="1"/>
  <c r="AO246" i="1"/>
  <c r="DI228" i="1"/>
  <c r="CU223" i="1"/>
  <c r="DE219" i="1"/>
  <c r="CN216" i="1"/>
  <c r="CG213" i="1"/>
  <c r="AS211" i="1"/>
  <c r="DI208" i="1"/>
  <c r="BU206" i="1"/>
  <c r="AG204" i="1"/>
  <c r="CW201" i="1"/>
  <c r="BI199" i="1"/>
  <c r="U197" i="1"/>
  <c r="CK194" i="1"/>
  <c r="AW192" i="1"/>
  <c r="I190" i="1"/>
  <c r="BY187" i="1"/>
  <c r="AK185" i="1"/>
  <c r="DA182" i="1"/>
  <c r="BM180" i="1"/>
  <c r="Y178" i="1"/>
  <c r="CO175" i="1"/>
  <c r="BA173" i="1"/>
  <c r="M171" i="1"/>
  <c r="CC168" i="1"/>
  <c r="AO166" i="1"/>
  <c r="DE163" i="1"/>
  <c r="BQ161" i="1"/>
  <c r="AC159" i="1"/>
  <c r="CS156" i="1"/>
  <c r="BE154" i="1"/>
  <c r="Q152" i="1"/>
  <c r="AO239" i="1"/>
  <c r="CS229" i="1"/>
  <c r="AK224" i="1"/>
  <c r="AF220" i="1"/>
  <c r="O217" i="1"/>
  <c r="DD213" i="1"/>
  <c r="BP211" i="1"/>
  <c r="AB209" i="1"/>
  <c r="CR206" i="1"/>
  <c r="BD204" i="1"/>
  <c r="P202" i="1"/>
  <c r="CF199" i="1"/>
  <c r="AR197" i="1"/>
  <c r="DH194" i="1"/>
  <c r="BT192" i="1"/>
  <c r="AF190" i="1"/>
  <c r="CV187" i="1"/>
  <c r="BH185" i="1"/>
  <c r="T183" i="1"/>
  <c r="CJ180" i="1"/>
  <c r="AV178" i="1"/>
  <c r="H176" i="1"/>
  <c r="BX173" i="1"/>
  <c r="AJ171" i="1"/>
  <c r="CZ168" i="1"/>
  <c r="BL166" i="1"/>
  <c r="X164" i="1"/>
  <c r="CN161" i="1"/>
  <c r="AZ159" i="1"/>
  <c r="L157" i="1"/>
  <c r="CB154" i="1"/>
  <c r="AN152" i="1"/>
  <c r="CC238" i="1"/>
  <c r="AC229" i="1"/>
  <c r="DG223" i="1"/>
  <c r="I220" i="1"/>
  <c r="CV216" i="1"/>
  <c r="CM213" i="1"/>
  <c r="AY211" i="1"/>
  <c r="K209" i="1"/>
  <c r="CA206" i="1"/>
  <c r="AM204" i="1"/>
  <c r="DC201" i="1"/>
  <c r="BO199" i="1"/>
  <c r="AA197" i="1"/>
  <c r="CQ194" i="1"/>
  <c r="BC192" i="1"/>
  <c r="O190" i="1"/>
  <c r="CE187" i="1"/>
  <c r="AQ185" i="1"/>
  <c r="DG182" i="1"/>
  <c r="BS180" i="1"/>
  <c r="AE178" i="1"/>
  <c r="CU175" i="1"/>
  <c r="BG173" i="1"/>
  <c r="S171" i="1"/>
  <c r="CI168" i="1"/>
  <c r="AU166" i="1"/>
  <c r="G164" i="1"/>
  <c r="BW161" i="1"/>
  <c r="AI159" i="1"/>
  <c r="CY156" i="1"/>
  <c r="BK154" i="1"/>
  <c r="W152" i="1"/>
  <c r="BI238" i="1"/>
  <c r="I229" i="1"/>
  <c r="CW223" i="1"/>
  <c r="DG219" i="1"/>
  <c r="CO216" i="1"/>
  <c r="CH213" i="1"/>
  <c r="AT211" i="1"/>
  <c r="F209" i="1"/>
  <c r="BV206" i="1"/>
  <c r="AH204" i="1"/>
  <c r="CX201" i="1"/>
  <c r="BJ199" i="1"/>
  <c r="V197" i="1"/>
  <c r="CL194" i="1"/>
  <c r="AX192" i="1"/>
  <c r="J190" i="1"/>
  <c r="BZ187" i="1"/>
  <c r="AL185" i="1"/>
  <c r="DB182" i="1"/>
  <c r="BN180" i="1"/>
  <c r="Z178" i="1"/>
  <c r="CP175" i="1"/>
  <c r="BB173" i="1"/>
  <c r="N171" i="1"/>
  <c r="CD168" i="1"/>
  <c r="AP166" i="1"/>
  <c r="BM280" i="1"/>
  <c r="M271" i="1"/>
  <c r="U265" i="1"/>
  <c r="AW260" i="1"/>
  <c r="BY255" i="1"/>
  <c r="DA250" i="1"/>
  <c r="CS244" i="1"/>
  <c r="AG228" i="1"/>
  <c r="BG223" i="1"/>
  <c r="CE219" i="1"/>
  <c r="BM216" i="1"/>
  <c r="BM213" i="1"/>
  <c r="Y211" i="1"/>
  <c r="CO208" i="1"/>
  <c r="BA206" i="1"/>
  <c r="M204" i="1"/>
  <c r="CC201" i="1"/>
  <c r="AO199" i="1"/>
  <c r="DE196" i="1"/>
  <c r="BQ194" i="1"/>
  <c r="AC192" i="1"/>
  <c r="CS189" i="1"/>
  <c r="BE187" i="1"/>
  <c r="Q185" i="1"/>
  <c r="CG182" i="1"/>
  <c r="AS180" i="1"/>
  <c r="DI177" i="1"/>
  <c r="BU175" i="1"/>
  <c r="AG173" i="1"/>
  <c r="CW170" i="1"/>
  <c r="BI168" i="1"/>
  <c r="U166" i="1"/>
  <c r="CK163" i="1"/>
  <c r="AW161" i="1"/>
  <c r="I159" i="1"/>
  <c r="BY156" i="1"/>
  <c r="AK154" i="1"/>
  <c r="DA151" i="1"/>
  <c r="BQ238" i="1"/>
  <c r="Q229" i="1"/>
  <c r="DA223" i="1"/>
  <c r="DI219" i="1"/>
  <c r="CR216" i="1"/>
  <c r="CJ213" i="1"/>
  <c r="AV211" i="1"/>
  <c r="H209" i="1"/>
  <c r="BX206" i="1"/>
  <c r="AJ204" i="1"/>
  <c r="CZ201" i="1"/>
  <c r="BL199" i="1"/>
  <c r="X197" i="1"/>
  <c r="CN194" i="1"/>
  <c r="AZ192" i="1"/>
  <c r="L190" i="1"/>
  <c r="CB187" i="1"/>
  <c r="AN185" i="1"/>
  <c r="DD182" i="1"/>
  <c r="BP180" i="1"/>
  <c r="AB178" i="1"/>
  <c r="CR175" i="1"/>
  <c r="CF303" i="1"/>
  <c r="BA291" i="1"/>
  <c r="DC287" i="1"/>
  <c r="CQ284" i="1"/>
  <c r="CE281" i="1"/>
  <c r="BS278" i="1"/>
  <c r="AE276" i="1"/>
  <c r="CU273" i="1"/>
  <c r="BG271" i="1"/>
  <c r="S269" i="1"/>
  <c r="CI266" i="1"/>
  <c r="AU264" i="1"/>
  <c r="G262" i="1"/>
  <c r="BW259" i="1"/>
  <c r="AI257" i="1"/>
  <c r="CY254" i="1"/>
  <c r="BK252" i="1"/>
  <c r="W250" i="1"/>
  <c r="CM247" i="1"/>
  <c r="AY245" i="1"/>
  <c r="K243" i="1"/>
  <c r="CA240" i="1"/>
  <c r="AM238" i="1"/>
  <c r="DC235" i="1"/>
  <c r="BO233" i="1"/>
  <c r="AA231" i="1"/>
  <c r="CQ228" i="1"/>
  <c r="L302" i="1"/>
  <c r="AB294" i="1"/>
  <c r="DB290" i="1"/>
  <c r="BN288" i="1"/>
  <c r="Z286" i="1"/>
  <c r="CP283" i="1"/>
  <c r="BB281" i="1"/>
  <c r="N279" i="1"/>
  <c r="CD276" i="1"/>
  <c r="AP274" i="1"/>
  <c r="DF271" i="1"/>
  <c r="BR269" i="1"/>
  <c r="AD267" i="1"/>
  <c r="CT264" i="1"/>
  <c r="BF262" i="1"/>
  <c r="R260" i="1"/>
  <c r="CH257" i="1"/>
  <c r="AT255" i="1"/>
  <c r="F253" i="1"/>
  <c r="BV250" i="1"/>
  <c r="AH248" i="1"/>
  <c r="CX245" i="1"/>
  <c r="BJ243" i="1"/>
  <c r="V241" i="1"/>
  <c r="CL238" i="1"/>
  <c r="AX236" i="1"/>
  <c r="J234" i="1"/>
  <c r="BZ231" i="1"/>
  <c r="AL229" i="1"/>
  <c r="DB226" i="1"/>
  <c r="BN224" i="1"/>
  <c r="Z222" i="1"/>
  <c r="CP219" i="1"/>
  <c r="BB217" i="1"/>
  <c r="N215" i="1"/>
  <c r="CN303" i="1"/>
  <c r="N295" i="1"/>
  <c r="BD291" i="1"/>
  <c r="DI288" i="1"/>
  <c r="BU286" i="1"/>
  <c r="AG284" i="1"/>
  <c r="CW281" i="1"/>
  <c r="DE275" i="1"/>
  <c r="BQ267" i="1"/>
  <c r="CS262" i="1"/>
  <c r="Q258" i="1"/>
  <c r="AS253" i="1"/>
  <c r="BU248" i="1"/>
  <c r="BY235" i="1"/>
  <c r="DC225" i="1"/>
  <c r="AQ221" i="1"/>
  <c r="Y218" i="1"/>
  <c r="H215" i="1"/>
  <c r="AW212" i="1"/>
  <c r="I210" i="1"/>
  <c r="BY207" i="1"/>
  <c r="AK205" i="1"/>
  <c r="DA202" i="1"/>
  <c r="BM200" i="1"/>
  <c r="Y198" i="1"/>
  <c r="CO195" i="1"/>
  <c r="BA193" i="1"/>
  <c r="M191" i="1"/>
  <c r="CC188" i="1"/>
  <c r="AO186" i="1"/>
  <c r="DE183" i="1"/>
  <c r="BQ181" i="1"/>
  <c r="AC179" i="1"/>
  <c r="CS176" i="1"/>
  <c r="BE174" i="1"/>
  <c r="Q172" i="1"/>
  <c r="CG169" i="1"/>
  <c r="AS167" i="1"/>
  <c r="DI164" i="1"/>
  <c r="BU162" i="1"/>
  <c r="AG160" i="1"/>
  <c r="CW157" i="1"/>
  <c r="BI155" i="1"/>
  <c r="U153" i="1"/>
  <c r="BE243" i="1"/>
  <c r="DI233" i="1"/>
  <c r="AS226" i="1"/>
  <c r="BU221" i="1"/>
  <c r="BD218" i="1"/>
  <c r="AM215" i="1"/>
  <c r="BT212" i="1"/>
  <c r="AF210" i="1"/>
  <c r="CV207" i="1"/>
  <c r="BH205" i="1"/>
  <c r="T203" i="1"/>
  <c r="CJ200" i="1"/>
  <c r="AV198" i="1"/>
  <c r="H196" i="1"/>
  <c r="BX193" i="1"/>
  <c r="AJ191" i="1"/>
  <c r="CZ188" i="1"/>
  <c r="BL186" i="1"/>
  <c r="X184" i="1"/>
  <c r="CN181" i="1"/>
  <c r="AZ179" i="1"/>
  <c r="L177" i="1"/>
  <c r="CB174" i="1"/>
  <c r="AN172" i="1"/>
  <c r="DD169" i="1"/>
  <c r="BP167" i="1"/>
  <c r="AB165" i="1"/>
  <c r="CR162" i="1"/>
  <c r="BD160" i="1"/>
  <c r="P158" i="1"/>
  <c r="CF155" i="1"/>
  <c r="AR153" i="1"/>
  <c r="CS242" i="1"/>
  <c r="AS233" i="1"/>
  <c r="K226" i="1"/>
  <c r="AY221" i="1"/>
  <c r="AG218" i="1"/>
  <c r="P215" i="1"/>
  <c r="BC212" i="1"/>
  <c r="O210" i="1"/>
  <c r="CE207" i="1"/>
  <c r="AQ205" i="1"/>
  <c r="DG202" i="1"/>
  <c r="BS200" i="1"/>
  <c r="AE198" i="1"/>
  <c r="CU195" i="1"/>
  <c r="BG193" i="1"/>
  <c r="S191" i="1"/>
  <c r="CI188" i="1"/>
  <c r="AU186" i="1"/>
  <c r="G184" i="1"/>
  <c r="BW181" i="1"/>
  <c r="AI179" i="1"/>
  <c r="CY176" i="1"/>
  <c r="BK174" i="1"/>
  <c r="W172" i="1"/>
  <c r="CM169" i="1"/>
  <c r="AY167" i="1"/>
  <c r="K165" i="1"/>
  <c r="CA162" i="1"/>
  <c r="AM160" i="1"/>
  <c r="DC157" i="1"/>
  <c r="BO155" i="1"/>
  <c r="AA153" i="1"/>
  <c r="BY242" i="1"/>
  <c r="Y233" i="1"/>
  <c r="DE225" i="1"/>
  <c r="AR221" i="1"/>
  <c r="AA218" i="1"/>
  <c r="I215" i="1"/>
  <c r="AX212" i="1"/>
  <c r="J210" i="1"/>
  <c r="BZ207" i="1"/>
  <c r="AL205" i="1"/>
  <c r="DB202" i="1"/>
  <c r="BN200" i="1"/>
  <c r="Z198" i="1"/>
  <c r="CP195" i="1"/>
  <c r="BB193" i="1"/>
  <c r="N191" i="1"/>
  <c r="CD188" i="1"/>
  <c r="AP186" i="1"/>
  <c r="DF183" i="1"/>
  <c r="BR181" i="1"/>
  <c r="AD179" i="1"/>
  <c r="CT176" i="1"/>
  <c r="BF174" i="1"/>
  <c r="R172" i="1"/>
  <c r="CH169" i="1"/>
  <c r="AT167" i="1"/>
  <c r="F165" i="1"/>
  <c r="AC275" i="1"/>
  <c r="AC267" i="1"/>
  <c r="BE262" i="1"/>
  <c r="CG257" i="1"/>
  <c r="DI252" i="1"/>
  <c r="AG248" i="1"/>
  <c r="Y234" i="1"/>
  <c r="BO225" i="1"/>
  <c r="P221" i="1"/>
  <c r="DC217" i="1"/>
  <c r="CK214" i="1"/>
  <c r="AC212" i="1"/>
  <c r="CS209" i="1"/>
  <c r="BE207" i="1"/>
  <c r="Q205" i="1"/>
  <c r="CG202" i="1"/>
  <c r="AS200" i="1"/>
  <c r="DI197" i="1"/>
  <c r="BU195" i="1"/>
  <c r="AG193" i="1"/>
  <c r="CW190" i="1"/>
  <c r="BI188" i="1"/>
  <c r="U186" i="1"/>
  <c r="CK183" i="1"/>
  <c r="AW181" i="1"/>
  <c r="I179" i="1"/>
  <c r="BY176" i="1"/>
  <c r="AK174" i="1"/>
  <c r="DA171" i="1"/>
  <c r="BM169" i="1"/>
  <c r="Y167" i="1"/>
  <c r="CO164" i="1"/>
  <c r="BA162" i="1"/>
  <c r="M160" i="1"/>
  <c r="CC157" i="1"/>
  <c r="AO155" i="1"/>
  <c r="DE152" i="1"/>
  <c r="CG242" i="1"/>
  <c r="AG233" i="1"/>
  <c r="DI225" i="1"/>
  <c r="AU221" i="1"/>
  <c r="AC218" i="1"/>
  <c r="L215" i="1"/>
  <c r="AZ212" i="1"/>
  <c r="L210" i="1"/>
  <c r="CB207" i="1"/>
  <c r="AN205" i="1"/>
  <c r="DD202" i="1"/>
  <c r="BP200" i="1"/>
  <c r="AB198" i="1"/>
  <c r="CR195" i="1"/>
  <c r="BD193" i="1"/>
  <c r="P191" i="1"/>
  <c r="CF188" i="1"/>
  <c r="AR186" i="1"/>
  <c r="DH183" i="1"/>
  <c r="BT181" i="1"/>
  <c r="AF179" i="1"/>
  <c r="CV176" i="1"/>
  <c r="BH174" i="1"/>
  <c r="T303" i="1"/>
  <c r="AF291" i="1"/>
  <c r="CM287" i="1"/>
  <c r="CA284" i="1"/>
  <c r="AY281" i="1"/>
  <c r="BC278" i="1"/>
  <c r="O276" i="1"/>
  <c r="CE273" i="1"/>
  <c r="AQ271" i="1"/>
  <c r="DG268" i="1"/>
  <c r="BS266" i="1"/>
  <c r="AE264" i="1"/>
  <c r="CU261" i="1"/>
  <c r="BG259" i="1"/>
  <c r="S257" i="1"/>
  <c r="CI254" i="1"/>
  <c r="AU252" i="1"/>
  <c r="G250" i="1"/>
  <c r="BW247" i="1"/>
  <c r="AI245" i="1"/>
  <c r="CY242" i="1"/>
  <c r="BK240" i="1"/>
  <c r="W238" i="1"/>
  <c r="CM235" i="1"/>
  <c r="AY233" i="1"/>
  <c r="K231" i="1"/>
  <c r="CA228" i="1"/>
  <c r="BD301" i="1"/>
  <c r="CZ293" i="1"/>
  <c r="CL290" i="1"/>
  <c r="AX288" i="1"/>
  <c r="J286" i="1"/>
  <c r="BZ283" i="1"/>
  <c r="AL281" i="1"/>
  <c r="DB278" i="1"/>
  <c r="BN276" i="1"/>
  <c r="Z274" i="1"/>
  <c r="CP271" i="1"/>
  <c r="BB269" i="1"/>
  <c r="N267" i="1"/>
  <c r="CD264" i="1"/>
  <c r="AP262" i="1"/>
  <c r="DF259" i="1"/>
  <c r="BR257" i="1"/>
  <c r="AD255" i="1"/>
  <c r="CT252" i="1"/>
  <c r="BF250" i="1"/>
  <c r="R248" i="1"/>
  <c r="CH245" i="1"/>
  <c r="AT243" i="1"/>
  <c r="F241" i="1"/>
  <c r="BV238" i="1"/>
  <c r="AH236" i="1"/>
  <c r="CX233" i="1"/>
  <c r="BJ231" i="1"/>
  <c r="V229" i="1"/>
  <c r="CL226" i="1"/>
  <c r="AX224" i="1"/>
  <c r="J222" i="1"/>
  <c r="BZ219" i="1"/>
  <c r="AL217" i="1"/>
  <c r="DB214" i="1"/>
  <c r="AB303" i="1"/>
  <c r="CL294" i="1"/>
  <c r="AH291" i="1"/>
  <c r="CS288" i="1"/>
  <c r="BE286" i="1"/>
  <c r="Q284" i="1"/>
  <c r="CG281" i="1"/>
  <c r="AS275" i="1"/>
  <c r="AK267" i="1"/>
  <c r="BM262" i="1"/>
  <c r="CO257" i="1"/>
  <c r="M253" i="1"/>
  <c r="AO248" i="1"/>
  <c r="BE234" i="1"/>
  <c r="BW225" i="1"/>
  <c r="U221" i="1"/>
  <c r="DH217" i="1"/>
  <c r="CQ214" i="1"/>
  <c r="AG212" i="1"/>
  <c r="CW209" i="1"/>
  <c r="BI207" i="1"/>
  <c r="U205" i="1"/>
  <c r="CK202" i="1"/>
  <c r="AW200" i="1"/>
  <c r="I198" i="1"/>
  <c r="BY195" i="1"/>
  <c r="AK193" i="1"/>
  <c r="DA190" i="1"/>
  <c r="BM188" i="1"/>
  <c r="Y186" i="1"/>
  <c r="CO183" i="1"/>
  <c r="BA181" i="1"/>
  <c r="M179" i="1"/>
  <c r="CC176" i="1"/>
  <c r="AO174" i="1"/>
  <c r="DE171" i="1"/>
  <c r="BQ169" i="1"/>
  <c r="AC167" i="1"/>
  <c r="CS164" i="1"/>
  <c r="BE162" i="1"/>
  <c r="Q160" i="1"/>
  <c r="CG157" i="1"/>
  <c r="AS155" i="1"/>
  <c r="DI152" i="1"/>
  <c r="CW242" i="1"/>
  <c r="AW233" i="1"/>
  <c r="M226" i="1"/>
  <c r="AZ221" i="1"/>
  <c r="AI218" i="1"/>
  <c r="Q215" i="1"/>
  <c r="BD212" i="1"/>
  <c r="P210" i="1"/>
  <c r="CF207" i="1"/>
  <c r="AR205" i="1"/>
  <c r="DH202" i="1"/>
  <c r="BT200" i="1"/>
  <c r="AF198" i="1"/>
  <c r="CV195" i="1"/>
  <c r="BH193" i="1"/>
  <c r="T191" i="1"/>
  <c r="CJ188" i="1"/>
  <c r="AV186" i="1"/>
  <c r="H184" i="1"/>
  <c r="BX181" i="1"/>
  <c r="AJ179" i="1"/>
  <c r="CZ176" i="1"/>
  <c r="BL174" i="1"/>
  <c r="X172" i="1"/>
  <c r="CN169" i="1"/>
  <c r="AZ167" i="1"/>
  <c r="L165" i="1"/>
  <c r="CB162" i="1"/>
  <c r="AN160" i="1"/>
  <c r="DD157" i="1"/>
  <c r="BP155" i="1"/>
  <c r="AB153" i="1"/>
  <c r="AG242" i="1"/>
  <c r="CK232" i="1"/>
  <c r="CI225" i="1"/>
  <c r="AC221" i="1"/>
  <c r="L218" i="1"/>
  <c r="CY214" i="1"/>
  <c r="AM212" i="1"/>
  <c r="DC209" i="1"/>
  <c r="BO207" i="1"/>
  <c r="AA205" i="1"/>
  <c r="CQ202" i="1"/>
  <c r="BC200" i="1"/>
  <c r="O198" i="1"/>
  <c r="CE195" i="1"/>
  <c r="AQ193" i="1"/>
  <c r="DG190" i="1"/>
  <c r="BS188" i="1"/>
  <c r="AE186" i="1"/>
  <c r="CU183" i="1"/>
  <c r="BG181" i="1"/>
  <c r="S179" i="1"/>
  <c r="CI176" i="1"/>
  <c r="AU174" i="1"/>
  <c r="G172" i="1"/>
  <c r="BW169" i="1"/>
  <c r="AI167" i="1"/>
  <c r="CY164" i="1"/>
  <c r="BK162" i="1"/>
  <c r="W160" i="1"/>
  <c r="CM157" i="1"/>
  <c r="AY155" i="1"/>
  <c r="K153" i="1"/>
  <c r="M242" i="1"/>
  <c r="BQ232" i="1"/>
  <c r="BY225" i="1"/>
  <c r="W221" i="1"/>
  <c r="DI217" i="1"/>
  <c r="CR214" i="1"/>
  <c r="AH212" i="1"/>
  <c r="CX209" i="1"/>
  <c r="BJ207" i="1"/>
  <c r="V205" i="1"/>
  <c r="CL202" i="1"/>
  <c r="AX200" i="1"/>
  <c r="J198" i="1"/>
  <c r="BZ195" i="1"/>
  <c r="AL193" i="1"/>
  <c r="DB190" i="1"/>
  <c r="BN188" i="1"/>
  <c r="Z186" i="1"/>
  <c r="CP183" i="1"/>
  <c r="BB181" i="1"/>
  <c r="N179" i="1"/>
  <c r="CD176" i="1"/>
  <c r="AP174" i="1"/>
  <c r="DF171" i="1"/>
  <c r="BR169" i="1"/>
  <c r="AD167" i="1"/>
  <c r="CT164" i="1"/>
  <c r="BU274" i="1"/>
  <c r="DA266" i="1"/>
  <c r="Y262" i="1"/>
  <c r="BA257" i="1"/>
  <c r="CC252" i="1"/>
  <c r="DE247" i="1"/>
  <c r="DI232" i="1"/>
  <c r="AI225" i="1"/>
  <c r="CY220" i="1"/>
  <c r="CG217" i="1"/>
  <c r="BP214" i="1"/>
  <c r="M212" i="1"/>
  <c r="CC209" i="1"/>
  <c r="AO207" i="1"/>
  <c r="DE204" i="1"/>
  <c r="BQ202" i="1"/>
  <c r="AC200" i="1"/>
  <c r="CS197" i="1"/>
  <c r="BE195" i="1"/>
  <c r="Q193" i="1"/>
  <c r="CG190" i="1"/>
  <c r="AS188" i="1"/>
  <c r="DI185" i="1"/>
  <c r="BU183" i="1"/>
  <c r="AG181" i="1"/>
  <c r="CW178" i="1"/>
  <c r="BI176" i="1"/>
  <c r="U174" i="1"/>
  <c r="CK171" i="1"/>
  <c r="AW169" i="1"/>
  <c r="I167" i="1"/>
  <c r="BY164" i="1"/>
  <c r="AK162" i="1"/>
  <c r="DA159" i="1"/>
  <c r="BM157" i="1"/>
  <c r="Y155" i="1"/>
  <c r="CO152" i="1"/>
  <c r="U242" i="1"/>
  <c r="BY232" i="1"/>
  <c r="CC225" i="1"/>
  <c r="Y221" i="1"/>
  <c r="H218" i="1"/>
  <c r="CU214" i="1"/>
  <c r="AJ212" i="1"/>
  <c r="CZ209" i="1"/>
  <c r="BL207" i="1"/>
  <c r="X205" i="1"/>
  <c r="CN202" i="1"/>
  <c r="AZ200" i="1"/>
  <c r="L198" i="1"/>
  <c r="CB195" i="1"/>
  <c r="AN193" i="1"/>
  <c r="DD190" i="1"/>
  <c r="BP188" i="1"/>
  <c r="AB186" i="1"/>
  <c r="CR183" i="1"/>
  <c r="BD181" i="1"/>
  <c r="P179" i="1"/>
  <c r="CF176" i="1"/>
  <c r="AN173" i="1"/>
  <c r="DD170" i="1"/>
  <c r="BP168" i="1"/>
  <c r="AB166" i="1"/>
  <c r="CR163" i="1"/>
  <c r="BD161" i="1"/>
  <c r="P159" i="1"/>
  <c r="CF156" i="1"/>
  <c r="AR154" i="1"/>
  <c r="DH151" i="1"/>
  <c r="AS237" i="1"/>
  <c r="K228" i="1"/>
  <c r="AM223" i="1"/>
  <c r="BQ219" i="1"/>
  <c r="AZ216" i="1"/>
  <c r="BC213" i="1"/>
  <c r="O211" i="1"/>
  <c r="CE208" i="1"/>
  <c r="AQ206" i="1"/>
  <c r="DG203" i="1"/>
  <c r="BS201" i="1"/>
  <c r="AE199" i="1"/>
  <c r="CU196" i="1"/>
  <c r="BG194" i="1"/>
  <c r="S192" i="1"/>
  <c r="CI189" i="1"/>
  <c r="AU187" i="1"/>
  <c r="G185" i="1"/>
  <c r="BW182" i="1"/>
  <c r="AI180" i="1"/>
  <c r="CY177" i="1"/>
  <c r="BK175" i="1"/>
  <c r="W173" i="1"/>
  <c r="CM170" i="1"/>
  <c r="AY168" i="1"/>
  <c r="K166" i="1"/>
  <c r="CA163" i="1"/>
  <c r="AM161" i="1"/>
  <c r="DC158" i="1"/>
  <c r="BO156" i="1"/>
  <c r="AA154" i="1"/>
  <c r="CQ151" i="1"/>
  <c r="Y237" i="1"/>
  <c r="DE227" i="1"/>
  <c r="AC223" i="1"/>
  <c r="BK219" i="1"/>
  <c r="AS216" i="1"/>
  <c r="AX213" i="1"/>
  <c r="J211" i="1"/>
  <c r="BZ208" i="1"/>
  <c r="AL206" i="1"/>
  <c r="DB203" i="1"/>
  <c r="BN201" i="1"/>
  <c r="Z199" i="1"/>
  <c r="CP196" i="1"/>
  <c r="BB194" i="1"/>
  <c r="N192" i="1"/>
  <c r="CD189" i="1"/>
  <c r="AP187" i="1"/>
  <c r="DF184" i="1"/>
  <c r="BR182" i="1"/>
  <c r="AD180" i="1"/>
  <c r="CT177" i="1"/>
  <c r="BF175" i="1"/>
  <c r="R173" i="1"/>
  <c r="CH170" i="1"/>
  <c r="AT168" i="1"/>
  <c r="F166" i="1"/>
  <c r="BV163" i="1"/>
  <c r="AH161" i="1"/>
  <c r="CX158" i="1"/>
  <c r="BJ156" i="1"/>
  <c r="AC279" i="1"/>
  <c r="CG269" i="1"/>
  <c r="BE264" i="1"/>
  <c r="CG259" i="1"/>
  <c r="DI254" i="1"/>
  <c r="AG250" i="1"/>
  <c r="Y242" i="1"/>
  <c r="BO227" i="1"/>
  <c r="CQ222" i="1"/>
  <c r="AI219" i="1"/>
  <c r="Q216" i="1"/>
  <c r="AC213" i="1"/>
  <c r="CS210" i="1"/>
  <c r="BE208" i="1"/>
  <c r="Q206" i="1"/>
  <c r="CG203" i="1"/>
  <c r="AS201" i="1"/>
  <c r="DI198" i="1"/>
  <c r="BU196" i="1"/>
  <c r="AG194" i="1"/>
  <c r="CW191" i="1"/>
  <c r="BI189" i="1"/>
  <c r="U187" i="1"/>
  <c r="CK184" i="1"/>
  <c r="AW182" i="1"/>
  <c r="I180" i="1"/>
  <c r="BY177" i="1"/>
  <c r="AK175" i="1"/>
  <c r="DA172" i="1"/>
  <c r="BM170" i="1"/>
  <c r="Y168" i="1"/>
  <c r="CO165" i="1"/>
  <c r="BA163" i="1"/>
  <c r="M161" i="1"/>
  <c r="CC158" i="1"/>
  <c r="AO156" i="1"/>
  <c r="DE153" i="1"/>
  <c r="BQ151" i="1"/>
  <c r="AG237" i="1"/>
  <c r="DI227" i="1"/>
  <c r="AG223" i="1"/>
  <c r="BM219" i="1"/>
  <c r="AV216" i="1"/>
  <c r="AZ213" i="1"/>
  <c r="L211" i="1"/>
  <c r="CB208" i="1"/>
  <c r="AN206" i="1"/>
  <c r="DD203" i="1"/>
  <c r="BP201" i="1"/>
  <c r="AB199" i="1"/>
  <c r="CR196" i="1"/>
  <c r="BD194" i="1"/>
  <c r="P192" i="1"/>
  <c r="CF189" i="1"/>
  <c r="AR187" i="1"/>
  <c r="DH184" i="1"/>
  <c r="BT182" i="1"/>
  <c r="AF180" i="1"/>
  <c r="CV177" i="1"/>
  <c r="BH175" i="1"/>
  <c r="T173" i="1"/>
  <c r="CJ170" i="1"/>
  <c r="AV168" i="1"/>
  <c r="H166" i="1"/>
  <c r="BX163" i="1"/>
  <c r="AJ161" i="1"/>
  <c r="CZ158" i="1"/>
  <c r="BL156" i="1"/>
  <c r="X154" i="1"/>
  <c r="Q246" i="1"/>
  <c r="BU236" i="1"/>
  <c r="CA227" i="1"/>
  <c r="DC222" i="1"/>
  <c r="AQ219" i="1"/>
  <c r="Y216" i="1"/>
  <c r="AI213" i="1"/>
  <c r="CY210" i="1"/>
  <c r="BK208" i="1"/>
  <c r="W206" i="1"/>
  <c r="CM203" i="1"/>
  <c r="AY201" i="1"/>
  <c r="K199" i="1"/>
  <c r="CA196" i="1"/>
  <c r="AM194" i="1"/>
  <c r="DC191" i="1"/>
  <c r="BO189" i="1"/>
  <c r="AA187" i="1"/>
  <c r="CQ184" i="1"/>
  <c r="BC182" i="1"/>
  <c r="O180" i="1"/>
  <c r="CE177" i="1"/>
  <c r="AQ175" i="1"/>
  <c r="DG172" i="1"/>
  <c r="BS170" i="1"/>
  <c r="AE168" i="1"/>
  <c r="CU165" i="1"/>
  <c r="BG163" i="1"/>
  <c r="S161" i="1"/>
  <c r="CI158" i="1"/>
  <c r="AU156" i="1"/>
  <c r="G154" i="1"/>
  <c r="DA245" i="1"/>
  <c r="BA236" i="1"/>
  <c r="BQ227" i="1"/>
  <c r="CS222" i="1"/>
  <c r="AJ219" i="1"/>
  <c r="S216" i="1"/>
  <c r="AD213" i="1"/>
  <c r="CT210" i="1"/>
  <c r="BF208" i="1"/>
  <c r="R206" i="1"/>
  <c r="CH203" i="1"/>
  <c r="AT201" i="1"/>
  <c r="F199" i="1"/>
  <c r="BV196" i="1"/>
  <c r="AH194" i="1"/>
  <c r="CX191" i="1"/>
  <c r="BJ189" i="1"/>
  <c r="V187" i="1"/>
  <c r="CL184" i="1"/>
  <c r="AX182" i="1"/>
  <c r="J180" i="1"/>
  <c r="BZ177" i="1"/>
  <c r="AL175" i="1"/>
  <c r="DB172" i="1"/>
  <c r="BN170" i="1"/>
  <c r="Z168" i="1"/>
  <c r="CP165" i="1"/>
  <c r="BB163" i="1"/>
  <c r="AO274" i="1"/>
  <c r="CK266" i="1"/>
  <c r="I262" i="1"/>
  <c r="AK257" i="1"/>
  <c r="BM252" i="1"/>
  <c r="CO247" i="1"/>
  <c r="AW232" i="1"/>
  <c r="S225" i="1"/>
  <c r="CN220" i="1"/>
  <c r="BW217" i="1"/>
  <c r="BE214" i="1"/>
  <c r="DI211" i="1"/>
  <c r="BU209" i="1"/>
  <c r="AG207" i="1"/>
  <c r="CW204" i="1"/>
  <c r="BI202" i="1"/>
  <c r="U200" i="1"/>
  <c r="CK197" i="1"/>
  <c r="AW195" i="1"/>
  <c r="I193" i="1"/>
  <c r="BY190" i="1"/>
  <c r="AK188" i="1"/>
  <c r="DA185" i="1"/>
  <c r="BM183" i="1"/>
  <c r="Y181" i="1"/>
  <c r="CO178" i="1"/>
  <c r="BA176" i="1"/>
  <c r="M174" i="1"/>
  <c r="CC171" i="1"/>
  <c r="AO169" i="1"/>
  <c r="DE166" i="1"/>
  <c r="BQ164" i="1"/>
  <c r="AC162" i="1"/>
  <c r="CS159" i="1"/>
  <c r="BE157" i="1"/>
  <c r="Q155" i="1"/>
  <c r="CG152" i="1"/>
  <c r="CS241" i="1"/>
  <c r="AS232" i="1"/>
  <c r="BM225" i="1"/>
  <c r="O221" i="1"/>
  <c r="DA217" i="1"/>
  <c r="CJ214" i="1"/>
  <c r="AB212" i="1"/>
  <c r="CR209" i="1"/>
  <c r="BD207" i="1"/>
  <c r="P205" i="1"/>
  <c r="CF202" i="1"/>
  <c r="AR200" i="1"/>
  <c r="DH197" i="1"/>
  <c r="BT195" i="1"/>
  <c r="AF193" i="1"/>
  <c r="CV190" i="1"/>
  <c r="BH188" i="1"/>
  <c r="T186" i="1"/>
  <c r="CJ183" i="1"/>
  <c r="AV181" i="1"/>
  <c r="H179" i="1"/>
  <c r="BX176" i="1"/>
  <c r="AJ174" i="1"/>
  <c r="CZ171" i="1"/>
  <c r="BL169" i="1"/>
  <c r="X167" i="1"/>
  <c r="CN164" i="1"/>
  <c r="AZ162" i="1"/>
  <c r="L160" i="1"/>
  <c r="CB157" i="1"/>
  <c r="AN155" i="1"/>
  <c r="DD152" i="1"/>
  <c r="AC241" i="1"/>
  <c r="CG231" i="1"/>
  <c r="AE225" i="1"/>
  <c r="CV220" i="1"/>
  <c r="CE217" i="1"/>
  <c r="BM214" i="1"/>
  <c r="K212" i="1"/>
  <c r="CA209" i="1"/>
  <c r="AM207" i="1"/>
  <c r="DC204" i="1"/>
  <c r="BO202" i="1"/>
  <c r="AA200" i="1"/>
  <c r="CQ197" i="1"/>
  <c r="BC195" i="1"/>
  <c r="O193" i="1"/>
  <c r="CE190" i="1"/>
  <c r="AQ188" i="1"/>
  <c r="DG185" i="1"/>
  <c r="BS183" i="1"/>
  <c r="AE181" i="1"/>
  <c r="CU178" i="1"/>
  <c r="BG176" i="1"/>
  <c r="S174" i="1"/>
  <c r="CI171" i="1"/>
  <c r="AU169" i="1"/>
  <c r="G167" i="1"/>
  <c r="BW164" i="1"/>
  <c r="AI162" i="1"/>
  <c r="CY159" i="1"/>
  <c r="BK157" i="1"/>
  <c r="W155" i="1"/>
  <c r="CM152" i="1"/>
  <c r="I241" i="1"/>
  <c r="BM231" i="1"/>
  <c r="U225" i="1"/>
  <c r="CO220" i="1"/>
  <c r="BX217" i="1"/>
  <c r="BG214" i="1"/>
  <c r="F212" i="1"/>
  <c r="BV209" i="1"/>
  <c r="AH207" i="1"/>
  <c r="CX204" i="1"/>
  <c r="BJ202" i="1"/>
  <c r="V200" i="1"/>
  <c r="CL197" i="1"/>
  <c r="AX195" i="1"/>
  <c r="J193" i="1"/>
  <c r="BZ190" i="1"/>
  <c r="AL188" i="1"/>
  <c r="DB185" i="1"/>
  <c r="BN183" i="1"/>
  <c r="Z181" i="1"/>
  <c r="CP178" i="1"/>
  <c r="BB176" i="1"/>
  <c r="N174" i="1"/>
  <c r="CD171" i="1"/>
  <c r="AP169" i="1"/>
  <c r="DF166" i="1"/>
  <c r="BR164" i="1"/>
  <c r="AP161" i="1"/>
  <c r="Z158" i="1"/>
  <c r="F155" i="1"/>
  <c r="BJ152" i="1"/>
  <c r="U150" i="1"/>
  <c r="CK147" i="1"/>
  <c r="AW145" i="1"/>
  <c r="I143" i="1"/>
  <c r="BY140" i="1"/>
  <c r="AK138" i="1"/>
  <c r="DA135" i="1"/>
  <c r="BM133" i="1"/>
  <c r="Y131" i="1"/>
  <c r="CO128" i="1"/>
  <c r="BA126" i="1"/>
  <c r="M124" i="1"/>
  <c r="CC121" i="1"/>
  <c r="AO119" i="1"/>
  <c r="DE116" i="1"/>
  <c r="BQ114" i="1"/>
  <c r="AC112" i="1"/>
  <c r="CS109" i="1"/>
  <c r="BE107" i="1"/>
  <c r="Q105" i="1"/>
  <c r="CG102" i="1"/>
  <c r="AS100" i="1"/>
  <c r="DI97" i="1"/>
  <c r="BU95" i="1"/>
  <c r="AG93" i="1"/>
  <c r="CW90" i="1"/>
  <c r="BI88" i="1"/>
  <c r="U86" i="1"/>
  <c r="CK83" i="1"/>
  <c r="AW81" i="1"/>
  <c r="I79" i="1"/>
  <c r="BY76" i="1"/>
  <c r="AZ149" i="1"/>
  <c r="L147" i="1"/>
  <c r="CB144" i="1"/>
  <c r="AN142" i="1"/>
  <c r="DD139" i="1"/>
  <c r="BP137" i="1"/>
  <c r="AB135" i="1"/>
  <c r="CR132" i="1"/>
  <c r="BD130" i="1"/>
  <c r="P128" i="1"/>
  <c r="CF125" i="1"/>
  <c r="AR123" i="1"/>
  <c r="DH120" i="1"/>
  <c r="BT118" i="1"/>
  <c r="AF116" i="1"/>
  <c r="CV113" i="1"/>
  <c r="BH111" i="1"/>
  <c r="T109" i="1"/>
  <c r="CJ106" i="1"/>
  <c r="AV104" i="1"/>
  <c r="H102" i="1"/>
  <c r="BX99" i="1"/>
  <c r="AJ97" i="1"/>
  <c r="CZ94" i="1"/>
  <c r="BL92" i="1"/>
  <c r="X90" i="1"/>
  <c r="CN87" i="1"/>
  <c r="AZ85" i="1"/>
  <c r="L83" i="1"/>
  <c r="CB80" i="1"/>
  <c r="AN78" i="1"/>
  <c r="CR151" i="1"/>
  <c r="AU149" i="1"/>
  <c r="G147" i="1"/>
  <c r="BW144" i="1"/>
  <c r="AI142" i="1"/>
  <c r="CY139" i="1"/>
  <c r="BK137" i="1"/>
  <c r="W135" i="1"/>
  <c r="CM132" i="1"/>
  <c r="AY130" i="1"/>
  <c r="K128" i="1"/>
  <c r="CA125" i="1"/>
  <c r="AM123" i="1"/>
  <c r="DC120" i="1"/>
  <c r="BO118" i="1"/>
  <c r="AA116" i="1"/>
  <c r="CQ113" i="1"/>
  <c r="BC111" i="1"/>
  <c r="O109" i="1"/>
  <c r="CE106" i="1"/>
  <c r="AQ104" i="1"/>
  <c r="DG101" i="1"/>
  <c r="BS99" i="1"/>
  <c r="AE97" i="1"/>
  <c r="CU94" i="1"/>
  <c r="BG92" i="1"/>
  <c r="S90" i="1"/>
  <c r="CI87" i="1"/>
  <c r="AU85" i="1"/>
  <c r="G83" i="1"/>
  <c r="BW80" i="1"/>
  <c r="AI78" i="1"/>
  <c r="BF148" i="1"/>
  <c r="F139" i="1"/>
  <c r="BJ129" i="1"/>
  <c r="J120" i="1"/>
  <c r="BN110" i="1"/>
  <c r="N101" i="1"/>
  <c r="BR91" i="1"/>
  <c r="R82" i="1"/>
  <c r="BG75" i="1"/>
  <c r="S73" i="1"/>
  <c r="CI70" i="1"/>
  <c r="AU68" i="1"/>
  <c r="G66" i="1"/>
  <c r="BW63" i="1"/>
  <c r="AI61" i="1"/>
  <c r="CY58" i="1"/>
  <c r="BK56" i="1"/>
  <c r="W54" i="1"/>
  <c r="CM51" i="1"/>
  <c r="AY49" i="1"/>
  <c r="K47" i="1"/>
  <c r="CA44" i="1"/>
  <c r="AM42" i="1"/>
  <c r="DC39" i="1"/>
  <c r="BO37" i="1"/>
  <c r="AA35" i="1"/>
  <c r="CQ32" i="1"/>
  <c r="BC30" i="1"/>
  <c r="O28" i="1"/>
  <c r="N161" i="1"/>
  <c r="DB157" i="1"/>
  <c r="CL154" i="1"/>
  <c r="AP152" i="1"/>
  <c r="DE149" i="1"/>
  <c r="BQ147" i="1"/>
  <c r="AC145" i="1"/>
  <c r="CS142" i="1"/>
  <c r="BE140" i="1"/>
  <c r="Q138" i="1"/>
  <c r="CG135" i="1"/>
  <c r="AS133" i="1"/>
  <c r="DI130" i="1"/>
  <c r="BU128" i="1"/>
  <c r="AG126" i="1"/>
  <c r="CW123" i="1"/>
  <c r="BI121" i="1"/>
  <c r="U119" i="1"/>
  <c r="CK116" i="1"/>
  <c r="AW114" i="1"/>
  <c r="I112" i="1"/>
  <c r="BY109" i="1"/>
  <c r="AK107" i="1"/>
  <c r="DA104" i="1"/>
  <c r="BM102" i="1"/>
  <c r="Y100" i="1"/>
  <c r="CO97" i="1"/>
  <c r="BA95" i="1"/>
  <c r="M93" i="1"/>
  <c r="CC90" i="1"/>
  <c r="AO88" i="1"/>
  <c r="DE85" i="1"/>
  <c r="BQ83" i="1"/>
  <c r="AC81" i="1"/>
  <c r="CS78" i="1"/>
  <c r="BV151" i="1"/>
  <c r="AF149" i="1"/>
  <c r="CV146" i="1"/>
  <c r="BH144" i="1"/>
  <c r="T142" i="1"/>
  <c r="CJ139" i="1"/>
  <c r="AV137" i="1"/>
  <c r="H135" i="1"/>
  <c r="BX132" i="1"/>
  <c r="AJ130" i="1"/>
  <c r="CZ127" i="1"/>
  <c r="BL125" i="1"/>
  <c r="X123" i="1"/>
  <c r="CN120" i="1"/>
  <c r="AZ118" i="1"/>
  <c r="L116" i="1"/>
  <c r="CB113" i="1"/>
  <c r="AN111" i="1"/>
  <c r="BL175" i="1"/>
  <c r="BP172" i="1"/>
  <c r="AB170" i="1"/>
  <c r="CR167" i="1"/>
  <c r="BD165" i="1"/>
  <c r="P163" i="1"/>
  <c r="CF160" i="1"/>
  <c r="AR158" i="1"/>
  <c r="DH155" i="1"/>
  <c r="BT153" i="1"/>
  <c r="CW243" i="1"/>
  <c r="AW234" i="1"/>
  <c r="BO226" i="1"/>
  <c r="CQ221" i="1"/>
  <c r="BS218" i="1"/>
  <c r="BA215" i="1"/>
  <c r="CE212" i="1"/>
  <c r="AQ210" i="1"/>
  <c r="DG207" i="1"/>
  <c r="BS205" i="1"/>
  <c r="AE203" i="1"/>
  <c r="CU200" i="1"/>
  <c r="BG198" i="1"/>
  <c r="S196" i="1"/>
  <c r="CI193" i="1"/>
  <c r="AU191" i="1"/>
  <c r="G189" i="1"/>
  <c r="BW186" i="1"/>
  <c r="AI184" i="1"/>
  <c r="CY181" i="1"/>
  <c r="BK179" i="1"/>
  <c r="W177" i="1"/>
  <c r="CM174" i="1"/>
  <c r="AY172" i="1"/>
  <c r="K170" i="1"/>
  <c r="CA167" i="1"/>
  <c r="AM165" i="1"/>
  <c r="DC162" i="1"/>
  <c r="BO160" i="1"/>
  <c r="AA158" i="1"/>
  <c r="CQ155" i="1"/>
  <c r="BC153" i="1"/>
  <c r="CC243" i="1"/>
  <c r="AC234" i="1"/>
  <c r="BE226" i="1"/>
  <c r="CG221" i="1"/>
  <c r="BL218" i="1"/>
  <c r="AU215" i="1"/>
  <c r="BZ212" i="1"/>
  <c r="AL210" i="1"/>
  <c r="DB207" i="1"/>
  <c r="BN205" i="1"/>
  <c r="Z203" i="1"/>
  <c r="CP200" i="1"/>
  <c r="BB198" i="1"/>
  <c r="N196" i="1"/>
  <c r="CD193" i="1"/>
  <c r="AP191" i="1"/>
  <c r="DF188" i="1"/>
  <c r="BR186" i="1"/>
  <c r="AD184" i="1"/>
  <c r="CT181" i="1"/>
  <c r="BF179" i="1"/>
  <c r="R177" i="1"/>
  <c r="CH174" i="1"/>
  <c r="AT172" i="1"/>
  <c r="F170" i="1"/>
  <c r="BV167" i="1"/>
  <c r="AH165" i="1"/>
  <c r="CX162" i="1"/>
  <c r="BJ160" i="1"/>
  <c r="V158" i="1"/>
  <c r="CL155" i="1"/>
  <c r="AG276" i="1"/>
  <c r="CG267" i="1"/>
  <c r="DI262" i="1"/>
  <c r="AG258" i="1"/>
  <c r="BI253" i="1"/>
  <c r="CK248" i="1"/>
  <c r="AG236" i="1"/>
  <c r="O226" i="1"/>
  <c r="BA221" i="1"/>
  <c r="AJ218" i="1"/>
  <c r="S215" i="1"/>
  <c r="BE212" i="1"/>
  <c r="Q210" i="1"/>
  <c r="CG207" i="1"/>
  <c r="AS205" i="1"/>
  <c r="DI202" i="1"/>
  <c r="BU200" i="1"/>
  <c r="AG198" i="1"/>
  <c r="CW195" i="1"/>
  <c r="BI193" i="1"/>
  <c r="U191" i="1"/>
  <c r="CK188" i="1"/>
  <c r="AW186" i="1"/>
  <c r="I184" i="1"/>
  <c r="BY181" i="1"/>
  <c r="AK179" i="1"/>
  <c r="DA176" i="1"/>
  <c r="BM174" i="1"/>
  <c r="Y172" i="1"/>
  <c r="CO169" i="1"/>
  <c r="BA167" i="1"/>
  <c r="M165" i="1"/>
  <c r="CC162" i="1"/>
  <c r="AO160" i="1"/>
  <c r="DE157" i="1"/>
  <c r="BQ155" i="1"/>
  <c r="AC153" i="1"/>
  <c r="CK243" i="1"/>
  <c r="AK234" i="1"/>
  <c r="BI226" i="1"/>
  <c r="CK221" i="1"/>
  <c r="BO218" i="1"/>
  <c r="AW215" i="1"/>
  <c r="CB212" i="1"/>
  <c r="AN210" i="1"/>
  <c r="DD207" i="1"/>
  <c r="BP205" i="1"/>
  <c r="AB203" i="1"/>
  <c r="CR200" i="1"/>
  <c r="BD198" i="1"/>
  <c r="P196" i="1"/>
  <c r="CF193" i="1"/>
  <c r="AR191" i="1"/>
  <c r="DH188" i="1"/>
  <c r="BT186" i="1"/>
  <c r="AF184" i="1"/>
  <c r="CV181" i="1"/>
  <c r="BH179" i="1"/>
  <c r="T177" i="1"/>
  <c r="CJ174" i="1"/>
  <c r="AV172" i="1"/>
  <c r="H170" i="1"/>
  <c r="BX167" i="1"/>
  <c r="AJ165" i="1"/>
  <c r="CZ162" i="1"/>
  <c r="BL160" i="1"/>
  <c r="X158" i="1"/>
  <c r="CN155" i="1"/>
  <c r="AZ153" i="1"/>
  <c r="U243" i="1"/>
  <c r="BY233" i="1"/>
  <c r="AA226" i="1"/>
  <c r="BI221" i="1"/>
  <c r="AR218" i="1"/>
  <c r="AA215" i="1"/>
  <c r="BK212" i="1"/>
  <c r="W210" i="1"/>
  <c r="CM207" i="1"/>
  <c r="AY205" i="1"/>
  <c r="K203" i="1"/>
  <c r="CA200" i="1"/>
  <c r="AM198" i="1"/>
  <c r="DC195" i="1"/>
  <c r="BO193" i="1"/>
  <c r="AA191" i="1"/>
  <c r="CQ188" i="1"/>
  <c r="BC186" i="1"/>
  <c r="O184" i="1"/>
  <c r="CE181" i="1"/>
  <c r="AQ179" i="1"/>
  <c r="DG176" i="1"/>
  <c r="BS174" i="1"/>
  <c r="AE172" i="1"/>
  <c r="CU169" i="1"/>
  <c r="BG167" i="1"/>
  <c r="S165" i="1"/>
  <c r="CI162" i="1"/>
  <c r="AU160" i="1"/>
  <c r="G158" i="1"/>
  <c r="BW155" i="1"/>
  <c r="AI153" i="1"/>
  <c r="DE242" i="1"/>
  <c r="BE233" i="1"/>
  <c r="Q226" i="1"/>
  <c r="BC221" i="1"/>
  <c r="AK218" i="1"/>
  <c r="T215" i="1"/>
  <c r="BF212" i="1"/>
  <c r="R210" i="1"/>
  <c r="CH207" i="1"/>
  <c r="AT205" i="1"/>
  <c r="F203" i="1"/>
  <c r="BV200" i="1"/>
  <c r="AH198" i="1"/>
  <c r="CX195" i="1"/>
  <c r="BJ193" i="1"/>
  <c r="V191" i="1"/>
  <c r="CL188" i="1"/>
  <c r="AX186" i="1"/>
  <c r="J184" i="1"/>
  <c r="BZ181" i="1"/>
  <c r="AL179" i="1"/>
  <c r="DB176" i="1"/>
  <c r="BN174" i="1"/>
  <c r="Z172" i="1"/>
  <c r="CP169" i="1"/>
  <c r="BB167" i="1"/>
  <c r="N165" i="1"/>
  <c r="CD162" i="1"/>
  <c r="AS271" i="1"/>
  <c r="AK265" i="1"/>
  <c r="BM260" i="1"/>
  <c r="CO255" i="1"/>
  <c r="M251" i="1"/>
  <c r="BA245" i="1"/>
  <c r="BM228" i="1"/>
  <c r="BW223" i="1"/>
  <c r="CO219" i="1"/>
  <c r="BX216" i="1"/>
  <c r="BU213" i="1"/>
  <c r="AG211" i="1"/>
  <c r="CW208" i="1"/>
  <c r="BI206" i="1"/>
  <c r="U204" i="1"/>
  <c r="CK201" i="1"/>
  <c r="AW199" i="1"/>
  <c r="I197" i="1"/>
  <c r="BY194" i="1"/>
  <c r="AK192" i="1"/>
  <c r="DA189" i="1"/>
  <c r="BM187" i="1"/>
  <c r="Y185" i="1"/>
  <c r="CO182" i="1"/>
  <c r="BA180" i="1"/>
  <c r="M178" i="1"/>
  <c r="CC175" i="1"/>
  <c r="AO173" i="1"/>
  <c r="DE170" i="1"/>
  <c r="BQ168" i="1"/>
  <c r="AC166" i="1"/>
  <c r="CS163" i="1"/>
  <c r="BE161" i="1"/>
  <c r="Q159" i="1"/>
  <c r="CG156" i="1"/>
  <c r="AS154" i="1"/>
  <c r="DI151" i="1"/>
  <c r="CW238" i="1"/>
  <c r="AW229" i="1"/>
  <c r="M224" i="1"/>
  <c r="P220" i="1"/>
  <c r="DC216" i="1"/>
  <c r="CR213" i="1"/>
  <c r="BD211" i="1"/>
  <c r="P209" i="1"/>
  <c r="CF206" i="1"/>
  <c r="AR204" i="1"/>
  <c r="DH201" i="1"/>
  <c r="BT199" i="1"/>
  <c r="AF197" i="1"/>
  <c r="CV194" i="1"/>
  <c r="BH192" i="1"/>
  <c r="T190" i="1"/>
  <c r="CJ187" i="1"/>
  <c r="AV185" i="1"/>
  <c r="H183" i="1"/>
  <c r="BX180" i="1"/>
  <c r="AJ178" i="1"/>
  <c r="CZ175" i="1"/>
  <c r="BL173" i="1"/>
  <c r="X171" i="1"/>
  <c r="CN168" i="1"/>
  <c r="AZ166" i="1"/>
  <c r="L164" i="1"/>
  <c r="CB161" i="1"/>
  <c r="AN159" i="1"/>
  <c r="DD156" i="1"/>
  <c r="BP154" i="1"/>
  <c r="AB152" i="1"/>
  <c r="AG238" i="1"/>
  <c r="CK228" i="1"/>
  <c r="CI223" i="1"/>
  <c r="CW219" i="1"/>
  <c r="CF216" i="1"/>
  <c r="CA213" i="1"/>
  <c r="AM211" i="1"/>
  <c r="DC208" i="1"/>
  <c r="BO206" i="1"/>
  <c r="AA204" i="1"/>
  <c r="CQ201" i="1"/>
  <c r="BC199" i="1"/>
  <c r="O197" i="1"/>
  <c r="CE194" i="1"/>
  <c r="AQ192" i="1"/>
  <c r="DG189" i="1"/>
  <c r="BS187" i="1"/>
  <c r="AE185" i="1"/>
  <c r="CU182" i="1"/>
  <c r="BG180" i="1"/>
  <c r="S178" i="1"/>
  <c r="CI175" i="1"/>
  <c r="AU173" i="1"/>
  <c r="G171" i="1"/>
  <c r="BW168" i="1"/>
  <c r="AI166" i="1"/>
  <c r="CY163" i="1"/>
  <c r="BK161" i="1"/>
  <c r="W159" i="1"/>
  <c r="CM156" i="1"/>
  <c r="AY154" i="1"/>
  <c r="K152" i="1"/>
  <c r="M238" i="1"/>
  <c r="BQ228" i="1"/>
  <c r="BY223" i="1"/>
  <c r="CQ219" i="1"/>
  <c r="BY216" i="1"/>
  <c r="BV213" i="1"/>
  <c r="AH211" i="1"/>
  <c r="CX208" i="1"/>
  <c r="BJ206" i="1"/>
  <c r="V204" i="1"/>
  <c r="CL201" i="1"/>
  <c r="AX199" i="1"/>
  <c r="J197" i="1"/>
  <c r="BZ194" i="1"/>
  <c r="AL192" i="1"/>
  <c r="DB189" i="1"/>
  <c r="BN187" i="1"/>
  <c r="Z185" i="1"/>
  <c r="CP182" i="1"/>
  <c r="BB180" i="1"/>
  <c r="N178" i="1"/>
  <c r="CD175" i="1"/>
  <c r="AP173" i="1"/>
  <c r="DF170" i="1"/>
  <c r="BR168" i="1"/>
  <c r="AD166" i="1"/>
  <c r="DF163" i="1"/>
  <c r="AP160" i="1"/>
  <c r="Z157" i="1"/>
  <c r="V154" i="1"/>
  <c r="CZ151" i="1"/>
  <c r="AW149" i="1"/>
  <c r="I147" i="1"/>
  <c r="BY144" i="1"/>
  <c r="AK142" i="1"/>
  <c r="DA139" i="1"/>
  <c r="BM137" i="1"/>
  <c r="Y135" i="1"/>
  <c r="CO132" i="1"/>
  <c r="BA130" i="1"/>
  <c r="M128" i="1"/>
  <c r="CC125" i="1"/>
  <c r="AO123" i="1"/>
  <c r="DE120" i="1"/>
  <c r="BQ118" i="1"/>
  <c r="AC116" i="1"/>
  <c r="CS113" i="1"/>
  <c r="BE111" i="1"/>
  <c r="Q109" i="1"/>
  <c r="CG106" i="1"/>
  <c r="AS104" i="1"/>
  <c r="DI101" i="1"/>
  <c r="BU99" i="1"/>
  <c r="AG97" i="1"/>
  <c r="CW94" i="1"/>
  <c r="BI92" i="1"/>
  <c r="U90" i="1"/>
  <c r="CK87" i="1"/>
  <c r="AW85" i="1"/>
  <c r="I83" i="1"/>
  <c r="BY80" i="1"/>
  <c r="AK78" i="1"/>
  <c r="L151" i="1"/>
  <c r="CB148" i="1"/>
  <c r="AN146" i="1"/>
  <c r="DD143" i="1"/>
  <c r="BP141" i="1"/>
  <c r="AB139" i="1"/>
  <c r="CR136" i="1"/>
  <c r="BD134" i="1"/>
  <c r="P132" i="1"/>
  <c r="CF129" i="1"/>
  <c r="AR127" i="1"/>
  <c r="DH124" i="1"/>
  <c r="BT122" i="1"/>
  <c r="AF120" i="1"/>
  <c r="CV117" i="1"/>
  <c r="BH115" i="1"/>
  <c r="T113" i="1"/>
  <c r="CJ110" i="1"/>
  <c r="AV108" i="1"/>
  <c r="H106" i="1"/>
  <c r="BX103" i="1"/>
  <c r="AJ101" i="1"/>
  <c r="CZ98" i="1"/>
  <c r="BL96" i="1"/>
  <c r="X94" i="1"/>
  <c r="CN91" i="1"/>
  <c r="AZ89" i="1"/>
  <c r="L87" i="1"/>
  <c r="CB84" i="1"/>
  <c r="AN82" i="1"/>
  <c r="DD79" i="1"/>
  <c r="BP77" i="1"/>
  <c r="G151" i="1"/>
  <c r="BW148" i="1"/>
  <c r="AI146" i="1"/>
  <c r="CY143" i="1"/>
  <c r="BK141" i="1"/>
  <c r="W139" i="1"/>
  <c r="CM136" i="1"/>
  <c r="AY134" i="1"/>
  <c r="K132" i="1"/>
  <c r="CA129" i="1"/>
  <c r="AM127" i="1"/>
  <c r="DC124" i="1"/>
  <c r="BO122" i="1"/>
  <c r="AA120" i="1"/>
  <c r="CQ117" i="1"/>
  <c r="BC115" i="1"/>
  <c r="O113" i="1"/>
  <c r="CE110" i="1"/>
  <c r="AQ108" i="1"/>
  <c r="DG105" i="1"/>
  <c r="BS103" i="1"/>
  <c r="AE101" i="1"/>
  <c r="CU98" i="1"/>
  <c r="BG96" i="1"/>
  <c r="S94" i="1"/>
  <c r="CI91" i="1"/>
  <c r="AU89" i="1"/>
  <c r="G87" i="1"/>
  <c r="BW84" i="1"/>
  <c r="AI82" i="1"/>
  <c r="CY79" i="1"/>
  <c r="BK77" i="1"/>
  <c r="BJ145" i="1"/>
  <c r="J136" i="1"/>
  <c r="BN126" i="1"/>
  <c r="N117" i="1"/>
  <c r="BR107" i="1"/>
  <c r="R98" i="1"/>
  <c r="BV88" i="1"/>
  <c r="V79" i="1"/>
  <c r="CI74" i="1"/>
  <c r="AU72" i="1"/>
  <c r="G70" i="1"/>
  <c r="BW67" i="1"/>
  <c r="AI65" i="1"/>
  <c r="CY62" i="1"/>
  <c r="BK60" i="1"/>
  <c r="W58" i="1"/>
  <c r="CM55" i="1"/>
  <c r="AY53" i="1"/>
  <c r="K51" i="1"/>
  <c r="CA48" i="1"/>
  <c r="AM46" i="1"/>
  <c r="DC43" i="1"/>
  <c r="BO41" i="1"/>
  <c r="AA39" i="1"/>
  <c r="CQ36" i="1"/>
  <c r="BC34" i="1"/>
  <c r="O32" i="1"/>
  <c r="CE29" i="1"/>
  <c r="BN163" i="1"/>
  <c r="R160" i="1"/>
  <c r="DB156" i="1"/>
  <c r="DF153" i="1"/>
  <c r="BR151" i="1"/>
  <c r="AC149" i="1"/>
  <c r="CS146" i="1"/>
  <c r="BE144" i="1"/>
  <c r="Q142" i="1"/>
  <c r="CG139" i="1"/>
  <c r="AS137" i="1"/>
  <c r="DI134" i="1"/>
  <c r="BU132" i="1"/>
  <c r="AG130" i="1"/>
  <c r="CW127" i="1"/>
  <c r="BI125" i="1"/>
  <c r="U123" i="1"/>
  <c r="CK120" i="1"/>
  <c r="AW118" i="1"/>
  <c r="I116" i="1"/>
  <c r="BY113" i="1"/>
  <c r="AK111" i="1"/>
  <c r="DA108" i="1"/>
  <c r="BM106" i="1"/>
  <c r="Y104" i="1"/>
  <c r="CO101" i="1"/>
  <c r="BA99" i="1"/>
  <c r="M97" i="1"/>
  <c r="CC94" i="1"/>
  <c r="AO92" i="1"/>
  <c r="DE89" i="1"/>
  <c r="BQ87" i="1"/>
  <c r="AC85" i="1"/>
  <c r="CS82" i="1"/>
  <c r="BE80" i="1"/>
  <c r="Q78" i="1"/>
  <c r="CV150" i="1"/>
  <c r="BH148" i="1"/>
  <c r="T146" i="1"/>
  <c r="CJ143" i="1"/>
  <c r="AV141" i="1"/>
  <c r="H139" i="1"/>
  <c r="BX136" i="1"/>
  <c r="AJ134" i="1"/>
  <c r="CZ131" i="1"/>
  <c r="BL129" i="1"/>
  <c r="X127" i="1"/>
  <c r="CN124" i="1"/>
  <c r="AZ122" i="1"/>
  <c r="L120" i="1"/>
  <c r="CB117" i="1"/>
  <c r="AN115" i="1"/>
  <c r="DD112" i="1"/>
  <c r="BP110" i="1"/>
  <c r="AB108" i="1"/>
  <c r="H173" i="1"/>
  <c r="BX170" i="1"/>
  <c r="AJ168" i="1"/>
  <c r="CZ165" i="1"/>
  <c r="BL163" i="1"/>
  <c r="X161" i="1"/>
  <c r="CN158" i="1"/>
  <c r="AZ156" i="1"/>
  <c r="L154" i="1"/>
  <c r="BY245" i="1"/>
  <c r="Y236" i="1"/>
  <c r="BC227" i="1"/>
  <c r="CE222" i="1"/>
  <c r="AA219" i="1"/>
  <c r="I216" i="1"/>
  <c r="W213" i="1"/>
  <c r="CM210" i="1"/>
  <c r="AY208" i="1"/>
  <c r="K206" i="1"/>
  <c r="CA203" i="1"/>
  <c r="T272" i="1"/>
  <c r="BX262" i="1"/>
  <c r="X253" i="1"/>
  <c r="CB243" i="1"/>
  <c r="DD238" i="1"/>
  <c r="AB234" i="1"/>
  <c r="BD229" i="1"/>
  <c r="CF224" i="1"/>
  <c r="BL302" i="1"/>
  <c r="K291" i="1"/>
  <c r="AM286" i="1"/>
  <c r="BO281" i="1"/>
  <c r="CY279" i="1"/>
  <c r="AY254" i="1"/>
  <c r="CE230" i="1"/>
  <c r="DF280" i="1"/>
  <c r="F262" i="1"/>
  <c r="J243" i="1"/>
  <c r="N224" i="1"/>
  <c r="BI288" i="1"/>
  <c r="BM269" i="1"/>
  <c r="BQ250" i="1"/>
  <c r="BJ304" i="1"/>
  <c r="X287" i="1"/>
  <c r="AB268" i="1"/>
  <c r="AF249" i="1"/>
  <c r="AJ230" i="1"/>
  <c r="S287" i="1"/>
  <c r="W268" i="1"/>
  <c r="AA249" i="1"/>
  <c r="AE230" i="1"/>
  <c r="BF280" i="1"/>
  <c r="BJ261" i="1"/>
  <c r="BN242" i="1"/>
  <c r="BR223" i="1"/>
  <c r="I288" i="1"/>
  <c r="M269" i="1"/>
  <c r="N297" i="1"/>
  <c r="CF279" i="1"/>
  <c r="CJ260" i="1"/>
  <c r="CN241" i="1"/>
  <c r="CR222" i="1"/>
  <c r="CA279" i="1"/>
  <c r="CE260" i="1"/>
  <c r="CI241" i="1"/>
  <c r="AN292" i="1"/>
  <c r="J273" i="1"/>
  <c r="N254" i="1"/>
  <c r="R235" i="1"/>
  <c r="V216" i="1"/>
  <c r="BQ280" i="1"/>
  <c r="AW267" i="1"/>
  <c r="CK261" i="1"/>
  <c r="I257" i="1"/>
  <c r="AK252" i="1"/>
  <c r="BM247" i="1"/>
  <c r="AS231" i="1"/>
  <c r="AP311" i="1"/>
  <c r="BJ306" i="1"/>
  <c r="CL301" i="1"/>
  <c r="J297" i="1"/>
  <c r="AZ295" i="1"/>
  <c r="X289" i="1"/>
  <c r="AZ284" i="1"/>
  <c r="CB279" i="1"/>
  <c r="DD274" i="1"/>
  <c r="AB270" i="1"/>
  <c r="BD265" i="1"/>
  <c r="CF260" i="1"/>
  <c r="DH255" i="1"/>
  <c r="AF251" i="1"/>
  <c r="BH246" i="1"/>
  <c r="CJ241" i="1"/>
  <c r="H237" i="1"/>
  <c r="AJ232" i="1"/>
  <c r="BL227" i="1"/>
  <c r="CN222" i="1"/>
  <c r="AP295" i="1"/>
  <c r="CU282" i="1"/>
  <c r="CM256" i="1"/>
  <c r="BG232" i="1"/>
  <c r="CH282" i="1"/>
  <c r="CL263" i="1"/>
  <c r="CP244" i="1"/>
  <c r="CT225" i="1"/>
  <c r="AK290" i="1"/>
  <c r="AO271" i="1"/>
  <c r="AS252" i="1"/>
  <c r="AL306" i="1"/>
  <c r="DD288" i="1"/>
  <c r="DH269" i="1"/>
  <c r="H251" i="1"/>
  <c r="L232" i="1"/>
  <c r="CY288" i="1"/>
  <c r="DC269" i="1"/>
  <c r="DG250" i="1"/>
  <c r="G232" i="1"/>
  <c r="AH282" i="1"/>
  <c r="AL263" i="1"/>
  <c r="AP244" i="1"/>
  <c r="AT225" i="1"/>
  <c r="CO289" i="1"/>
  <c r="CS270" i="1"/>
  <c r="CT298" i="1"/>
  <c r="BH281" i="1"/>
  <c r="BL262" i="1"/>
  <c r="BP243" i="1"/>
  <c r="BT224" i="1"/>
  <c r="BC281" i="1"/>
  <c r="BG262" i="1"/>
  <c r="BK243" i="1"/>
  <c r="X295" i="1"/>
  <c r="CP274" i="1"/>
  <c r="CT255" i="1"/>
  <c r="CX236" i="1"/>
  <c r="DB217" i="1"/>
  <c r="AS282" i="1"/>
  <c r="DI267" i="1"/>
  <c r="AC262" i="1"/>
  <c r="BE257" i="1"/>
  <c r="CG252" i="1"/>
  <c r="DI247" i="1"/>
  <c r="U233" i="1"/>
  <c r="DB311" i="1"/>
  <c r="DF306" i="1"/>
  <c r="AD302" i="1"/>
  <c r="BF297" i="1"/>
  <c r="CN296" i="1"/>
  <c r="BT289" i="1"/>
  <c r="CV284" i="1"/>
  <c r="T280" i="1"/>
  <c r="AV275" i="1"/>
  <c r="BX270" i="1"/>
  <c r="CZ265" i="1"/>
  <c r="X261" i="1"/>
  <c r="AZ256" i="1"/>
  <c r="CB251" i="1"/>
  <c r="DD246" i="1"/>
  <c r="AB242" i="1"/>
  <c r="BD237" i="1"/>
  <c r="CF232" i="1"/>
  <c r="DH227" i="1"/>
  <c r="AF223" i="1"/>
  <c r="AA272" i="1"/>
  <c r="CE246" i="1"/>
  <c r="BT295" i="1"/>
  <c r="J275" i="1"/>
  <c r="N256" i="1"/>
  <c r="R237" i="1"/>
  <c r="V218" i="1"/>
  <c r="BQ282" i="1"/>
  <c r="BU263" i="1"/>
  <c r="CK238" i="1"/>
  <c r="BR298" i="1"/>
  <c r="AF281" i="1"/>
  <c r="AJ262" i="1"/>
  <c r="AN243" i="1"/>
  <c r="AR224" i="1"/>
  <c r="AA281" i="1"/>
  <c r="AE262" i="1"/>
  <c r="AI243" i="1"/>
  <c r="BX294" i="1"/>
  <c r="BN274" i="1"/>
  <c r="BR255" i="1"/>
  <c r="BV236" i="1"/>
  <c r="BZ217" i="1"/>
  <c r="Q282" i="1"/>
  <c r="R310" i="1"/>
  <c r="AO293" i="1"/>
  <c r="CN273" i="1"/>
  <c r="CR254" i="1"/>
  <c r="CV235" i="1"/>
  <c r="CF299" i="1"/>
  <c r="AE283" i="1"/>
  <c r="AU271" i="1"/>
  <c r="W257" i="1"/>
  <c r="AM245" i="1"/>
  <c r="BC233" i="1"/>
  <c r="BB288" i="1"/>
  <c r="BR276" i="1"/>
  <c r="CH264" i="1"/>
  <c r="BJ250" i="1"/>
  <c r="BZ238" i="1"/>
  <c r="CP226" i="1"/>
  <c r="AR303" i="1"/>
  <c r="U284" i="1"/>
  <c r="AK272" i="1"/>
  <c r="AC266" i="1"/>
  <c r="BY262" i="1"/>
  <c r="CC259" i="1"/>
  <c r="U256" i="1"/>
  <c r="Y253" i="1"/>
  <c r="AC250" i="1"/>
  <c r="BY246" i="1"/>
  <c r="DA234" i="1"/>
  <c r="CX314" i="1"/>
  <c r="AT310" i="1"/>
  <c r="AX307" i="1"/>
  <c r="BB304" i="1"/>
  <c r="CX300" i="1"/>
  <c r="DB297" i="1"/>
  <c r="CB305" i="1"/>
  <c r="BZ293" i="1"/>
  <c r="L290" i="1"/>
  <c r="P287" i="1"/>
  <c r="BL283" i="1"/>
  <c r="BP280" i="1"/>
  <c r="BT277" i="1"/>
  <c r="L274" i="1"/>
  <c r="P271" i="1"/>
  <c r="T268" i="1"/>
  <c r="BP264" i="1"/>
  <c r="BT261" i="1"/>
  <c r="BX258" i="1"/>
  <c r="P255" i="1"/>
  <c r="T252" i="1"/>
  <c r="X249" i="1"/>
  <c r="BT245" i="1"/>
  <c r="BX242" i="1"/>
  <c r="CB239" i="1"/>
  <c r="T236" i="1"/>
  <c r="X233" i="1"/>
  <c r="AB230" i="1"/>
  <c r="BX226" i="1"/>
  <c r="P306" i="1"/>
  <c r="CI290" i="1"/>
  <c r="G286" i="1"/>
  <c r="G282" i="1"/>
  <c r="AM278" i="1"/>
  <c r="CI274" i="1"/>
  <c r="CM271" i="1"/>
  <c r="CQ268" i="1"/>
  <c r="AI265" i="1"/>
  <c r="AM262" i="1"/>
  <c r="AQ259" i="1"/>
  <c r="CM255" i="1"/>
  <c r="CQ252" i="1"/>
  <c r="CU249" i="1"/>
  <c r="AM246" i="1"/>
  <c r="AQ243" i="1"/>
  <c r="AU240" i="1"/>
  <c r="CQ236" i="1"/>
  <c r="CU233" i="1"/>
  <c r="CY230" i="1"/>
  <c r="BT305" i="1"/>
  <c r="CN294" i="1"/>
  <c r="BV290" i="1"/>
  <c r="N287" i="1"/>
  <c r="R284" i="1"/>
  <c r="V281" i="1"/>
  <c r="BR277" i="1"/>
  <c r="BV274" i="1"/>
  <c r="BZ271" i="1"/>
  <c r="R268" i="1"/>
  <c r="V265" i="1"/>
  <c r="Z262" i="1"/>
  <c r="BV258" i="1"/>
  <c r="BZ255" i="1"/>
  <c r="CD252" i="1"/>
  <c r="V249" i="1"/>
  <c r="Z246" i="1"/>
  <c r="AD243" i="1"/>
  <c r="BZ239" i="1"/>
  <c r="CD236" i="1"/>
  <c r="CH233" i="1"/>
  <c r="Z230" i="1"/>
  <c r="AD227" i="1"/>
  <c r="AH224" i="1"/>
  <c r="CD220" i="1"/>
  <c r="CH217" i="1"/>
  <c r="CL214" i="1"/>
  <c r="CV297" i="1"/>
  <c r="CT291" i="1"/>
  <c r="CC288" i="1"/>
  <c r="U285" i="1"/>
  <c r="Y282" i="1"/>
  <c r="CK274" i="1"/>
  <c r="BU264" i="1"/>
  <c r="CC258" i="1"/>
  <c r="CK252" i="1"/>
  <c r="CK242" i="1"/>
  <c r="BK226" i="1"/>
  <c r="DD220" i="1"/>
  <c r="AB216" i="1"/>
  <c r="CC212" i="1"/>
  <c r="CG209" i="1"/>
  <c r="Y206" i="1"/>
  <c r="AC203" i="1"/>
  <c r="AG200" i="1"/>
  <c r="CC196" i="1"/>
  <c r="CG193" i="1"/>
  <c r="CK190" i="1"/>
  <c r="AC187" i="1"/>
  <c r="AG184" i="1"/>
  <c r="AK181" i="1"/>
  <c r="CG177" i="1"/>
  <c r="CK174" i="1"/>
  <c r="CO171" i="1"/>
  <c r="AG168" i="1"/>
  <c r="AK165" i="1"/>
  <c r="AO162" i="1"/>
  <c r="CK158" i="1"/>
  <c r="CO155" i="1"/>
  <c r="CS152" i="1"/>
  <c r="BM237" i="1"/>
  <c r="DE226" i="1"/>
  <c r="AE221" i="1"/>
  <c r="BG216" i="1"/>
  <c r="CZ212" i="1"/>
  <c r="DD209" i="1"/>
  <c r="AV206" i="1"/>
  <c r="AZ203" i="1"/>
  <c r="BD200" i="1"/>
  <c r="CZ196" i="1"/>
  <c r="DD193" i="1"/>
  <c r="DH190" i="1"/>
  <c r="AZ187" i="1"/>
  <c r="BD184" i="1"/>
  <c r="BH181" i="1"/>
  <c r="DD177" i="1"/>
  <c r="DH174" i="1"/>
  <c r="H172" i="1"/>
  <c r="BD168" i="1"/>
  <c r="BH165" i="1"/>
  <c r="BL162" i="1"/>
  <c r="DH158" i="1"/>
  <c r="H156" i="1"/>
  <c r="L153" i="1"/>
  <c r="DA236" i="1"/>
  <c r="BW226" i="1"/>
  <c r="H221" i="1"/>
  <c r="AJ216" i="1"/>
  <c r="CI212" i="1"/>
  <c r="CM209" i="1"/>
  <c r="AE206" i="1"/>
  <c r="AI203" i="1"/>
  <c r="AM200" i="1"/>
  <c r="CI196" i="1"/>
  <c r="CM193" i="1"/>
  <c r="CQ190" i="1"/>
  <c r="AI187" i="1"/>
  <c r="AM184" i="1"/>
  <c r="AQ181" i="1"/>
  <c r="CM177" i="1"/>
  <c r="CQ174" i="1"/>
  <c r="CU171" i="1"/>
  <c r="AM168" i="1"/>
  <c r="AQ165" i="1"/>
  <c r="AU162" i="1"/>
  <c r="CQ158" i="1"/>
  <c r="CU155" i="1"/>
  <c r="CY152" i="1"/>
  <c r="CG236" i="1"/>
  <c r="BM226" i="1"/>
  <c r="DE220" i="1"/>
  <c r="AC216" i="1"/>
  <c r="CD212" i="1"/>
  <c r="CH209" i="1"/>
  <c r="Z206" i="1"/>
  <c r="AD203" i="1"/>
  <c r="AH200" i="1"/>
  <c r="CD196" i="1"/>
  <c r="CH193" i="1"/>
  <c r="CL190" i="1"/>
  <c r="AD187" i="1"/>
  <c r="AH184" i="1"/>
  <c r="AL181" i="1"/>
  <c r="CH177" i="1"/>
  <c r="CL174" i="1"/>
  <c r="CP171" i="1"/>
  <c r="AH168" i="1"/>
  <c r="AL165" i="1"/>
  <c r="I274" i="1"/>
  <c r="AG264" i="1"/>
  <c r="AO258" i="1"/>
  <c r="AW252" i="1"/>
  <c r="AK241" i="1"/>
  <c r="W226" i="1"/>
  <c r="CC220" i="1"/>
  <c r="DE215" i="1"/>
  <c r="BI212" i="1"/>
  <c r="BM209" i="1"/>
  <c r="DI205" i="1"/>
  <c r="I203" i="1"/>
  <c r="M200" i="1"/>
  <c r="BI196" i="1"/>
  <c r="BM193" i="1"/>
  <c r="BQ190" i="1"/>
  <c r="I187" i="1"/>
  <c r="M184" i="1"/>
  <c r="Q181" i="1"/>
  <c r="BM177" i="1"/>
  <c r="BQ174" i="1"/>
  <c r="BU171" i="1"/>
  <c r="M168" i="1"/>
  <c r="Q165" i="1"/>
  <c r="U162" i="1"/>
  <c r="BQ158" i="1"/>
  <c r="BU155" i="1"/>
  <c r="BY152" i="1"/>
  <c r="CO236" i="1"/>
  <c r="BQ226" i="1"/>
  <c r="DH220" i="1"/>
  <c r="AF216" i="1"/>
  <c r="CF212" i="1"/>
  <c r="CJ209" i="1"/>
  <c r="AB206" i="1"/>
  <c r="AF203" i="1"/>
  <c r="AJ200" i="1"/>
  <c r="CF196" i="1"/>
  <c r="CJ193" i="1"/>
  <c r="AV191" i="1"/>
  <c r="H189" i="1"/>
  <c r="BX186" i="1"/>
  <c r="AJ184" i="1"/>
  <c r="CZ181" i="1"/>
  <c r="BL179" i="1"/>
  <c r="X177" i="1"/>
  <c r="CZ221" i="1"/>
  <c r="BT293" i="1"/>
  <c r="DG288" i="1"/>
  <c r="CU285" i="1"/>
  <c r="BS282" i="1"/>
  <c r="BG279" i="1"/>
  <c r="DG276" i="1"/>
  <c r="BS274" i="1"/>
  <c r="AE272" i="1"/>
  <c r="CU269" i="1"/>
  <c r="BG267" i="1"/>
  <c r="S265" i="1"/>
  <c r="CI262" i="1"/>
  <c r="AU260" i="1"/>
  <c r="G258" i="1"/>
  <c r="BW255" i="1"/>
  <c r="AI253" i="1"/>
  <c r="CY250" i="1"/>
  <c r="BK248" i="1"/>
  <c r="W246" i="1"/>
  <c r="CM243" i="1"/>
  <c r="AY241" i="1"/>
  <c r="K239" i="1"/>
  <c r="CA236" i="1"/>
  <c r="AM234" i="1"/>
  <c r="DC231" i="1"/>
  <c r="BO229" i="1"/>
  <c r="H305" i="1"/>
  <c r="CB295" i="1"/>
  <c r="CV291" i="1"/>
  <c r="AL289" i="1"/>
  <c r="DB286" i="1"/>
  <c r="BN284" i="1"/>
  <c r="Z282" i="1"/>
  <c r="CP279" i="1"/>
  <c r="BB277" i="1"/>
  <c r="N275" i="1"/>
  <c r="CD272" i="1"/>
  <c r="AP270" i="1"/>
  <c r="DF267" i="1"/>
  <c r="BR265" i="1"/>
  <c r="AD263" i="1"/>
  <c r="CT260" i="1"/>
  <c r="BF258" i="1"/>
  <c r="R256" i="1"/>
  <c r="CH253" i="1"/>
  <c r="AT251" i="1"/>
  <c r="F249" i="1"/>
  <c r="BV246" i="1"/>
  <c r="AH244" i="1"/>
  <c r="CX241" i="1"/>
  <c r="BJ239" i="1"/>
  <c r="V237" i="1"/>
  <c r="CL234" i="1"/>
  <c r="AX232" i="1"/>
  <c r="J230" i="1"/>
  <c r="BZ227" i="1"/>
  <c r="AL225" i="1"/>
  <c r="DB222" i="1"/>
  <c r="BN220" i="1"/>
  <c r="Z218" i="1"/>
  <c r="CP215" i="1"/>
  <c r="CJ306" i="1"/>
  <c r="AJ297" i="1"/>
  <c r="BB292" i="1"/>
  <c r="CG289" i="1"/>
  <c r="AS287" i="1"/>
  <c r="DI284" i="1"/>
  <c r="BU282" i="1"/>
  <c r="DA278" i="1"/>
  <c r="BA269" i="1"/>
  <c r="AO264" i="1"/>
  <c r="BQ259" i="1"/>
  <c r="CS254" i="1"/>
  <c r="Q250" i="1"/>
  <c r="BQ241" i="1"/>
  <c r="AY227" i="1"/>
  <c r="CA222" i="1"/>
  <c r="X219" i="1"/>
  <c r="G216" i="1"/>
  <c r="U213" i="1"/>
  <c r="CK210" i="1"/>
  <c r="AW208" i="1"/>
  <c r="I206" i="1"/>
  <c r="BY203" i="1"/>
  <c r="AK201" i="1"/>
  <c r="DA198" i="1"/>
  <c r="BM196" i="1"/>
  <c r="Y194" i="1"/>
  <c r="CO191" i="1"/>
  <c r="BA189" i="1"/>
  <c r="M187" i="1"/>
  <c r="CC184" i="1"/>
  <c r="AO182" i="1"/>
  <c r="DE179" i="1"/>
  <c r="BQ177" i="1"/>
  <c r="AC175" i="1"/>
  <c r="CS172" i="1"/>
  <c r="BE170" i="1"/>
  <c r="Q168" i="1"/>
  <c r="CG165" i="1"/>
  <c r="AS163" i="1"/>
  <c r="DI160" i="1"/>
  <c r="BU158" i="1"/>
  <c r="AG156" i="1"/>
  <c r="CW153" i="1"/>
  <c r="BA246" i="1"/>
  <c r="DE236" i="1"/>
  <c r="CS227" i="1"/>
  <c r="Q223" i="1"/>
  <c r="BC219" i="1"/>
  <c r="AK216" i="1"/>
  <c r="AR213" i="1"/>
  <c r="DH210" i="1"/>
  <c r="BT208" i="1"/>
  <c r="AF206" i="1"/>
  <c r="CV203" i="1"/>
  <c r="BH201" i="1"/>
  <c r="T199" i="1"/>
  <c r="CJ196" i="1"/>
  <c r="AV194" i="1"/>
  <c r="H192" i="1"/>
  <c r="BX189" i="1"/>
  <c r="AJ187" i="1"/>
  <c r="CZ184" i="1"/>
  <c r="BL182" i="1"/>
  <c r="X180" i="1"/>
  <c r="CN177" i="1"/>
  <c r="AZ175" i="1"/>
  <c r="L173" i="1"/>
  <c r="CB170" i="1"/>
  <c r="AN168" i="1"/>
  <c r="DD165" i="1"/>
  <c r="BP163" i="1"/>
  <c r="AB161" i="1"/>
  <c r="CR158" i="1"/>
  <c r="BD156" i="1"/>
  <c r="P154" i="1"/>
  <c r="CO245" i="1"/>
  <c r="AO236" i="1"/>
  <c r="BK227" i="1"/>
  <c r="CM222" i="1"/>
  <c r="AF219" i="1"/>
  <c r="O216" i="1"/>
  <c r="AA213" i="1"/>
  <c r="CQ210" i="1"/>
  <c r="BC208" i="1"/>
  <c r="O206" i="1"/>
  <c r="CE203" i="1"/>
  <c r="AQ201" i="1"/>
  <c r="DG198" i="1"/>
  <c r="BS196" i="1"/>
  <c r="AE194" i="1"/>
  <c r="CU191" i="1"/>
  <c r="BG189" i="1"/>
  <c r="S187" i="1"/>
  <c r="CI184" i="1"/>
  <c r="AU182" i="1"/>
  <c r="G180" i="1"/>
  <c r="BW177" i="1"/>
  <c r="AI175" i="1"/>
  <c r="CY172" i="1"/>
  <c r="BK170" i="1"/>
  <c r="W168" i="1"/>
  <c r="CM165" i="1"/>
  <c r="AY163" i="1"/>
  <c r="K161" i="1"/>
  <c r="CA158" i="1"/>
  <c r="AM156" i="1"/>
  <c r="DC153" i="1"/>
  <c r="BU245" i="1"/>
  <c r="U236" i="1"/>
  <c r="BA227" i="1"/>
  <c r="CC222" i="1"/>
  <c r="Y219" i="1"/>
  <c r="H216" i="1"/>
  <c r="V213" i="1"/>
  <c r="CL210" i="1"/>
  <c r="AX208" i="1"/>
  <c r="J206" i="1"/>
  <c r="BZ203" i="1"/>
  <c r="AL201" i="1"/>
  <c r="DB198" i="1"/>
  <c r="BN196" i="1"/>
  <c r="Z194" i="1"/>
  <c r="CP191" i="1"/>
  <c r="BB189" i="1"/>
  <c r="N187" i="1"/>
  <c r="CD184" i="1"/>
  <c r="AP182" i="1"/>
  <c r="DF179" i="1"/>
  <c r="BR177" i="1"/>
  <c r="AD175" i="1"/>
  <c r="CT172" i="1"/>
  <c r="BF170" i="1"/>
  <c r="R168" i="1"/>
  <c r="CH165" i="1"/>
  <c r="Y278" i="1"/>
  <c r="CC268" i="1"/>
  <c r="DE263" i="1"/>
  <c r="AC259" i="1"/>
  <c r="BE254" i="1"/>
  <c r="CG249" i="1"/>
  <c r="Q240" i="1"/>
  <c r="K227" i="1"/>
  <c r="AM222" i="1"/>
  <c r="DA218" i="1"/>
  <c r="CJ215" i="1"/>
  <c r="DE212" i="1"/>
  <c r="BQ210" i="1"/>
  <c r="AC208" i="1"/>
  <c r="CS205" i="1"/>
  <c r="BE203" i="1"/>
  <c r="Q201" i="1"/>
  <c r="CG198" i="1"/>
  <c r="AS196" i="1"/>
  <c r="DI193" i="1"/>
  <c r="BU191" i="1"/>
  <c r="AG189" i="1"/>
  <c r="CW186" i="1"/>
  <c r="BI184" i="1"/>
  <c r="U182" i="1"/>
  <c r="CK179" i="1"/>
  <c r="AW177" i="1"/>
  <c r="I175" i="1"/>
  <c r="BY172" i="1"/>
  <c r="AK170" i="1"/>
  <c r="DA167" i="1"/>
  <c r="BM165" i="1"/>
  <c r="Y163" i="1"/>
  <c r="CO160" i="1"/>
  <c r="BA158" i="1"/>
  <c r="M156" i="1"/>
  <c r="CC153" i="1"/>
  <c r="CC245" i="1"/>
  <c r="AC236" i="1"/>
  <c r="BE227" i="1"/>
  <c r="CG222" i="1"/>
  <c r="AB219" i="1"/>
  <c r="K216" i="1"/>
  <c r="X213" i="1"/>
  <c r="CN210" i="1"/>
  <c r="AZ208" i="1"/>
  <c r="L206" i="1"/>
  <c r="CB203" i="1"/>
  <c r="AN201" i="1"/>
  <c r="DD198" i="1"/>
  <c r="BP196" i="1"/>
  <c r="AB194" i="1"/>
  <c r="CR191" i="1"/>
  <c r="BD189" i="1"/>
  <c r="P187" i="1"/>
  <c r="CF184" i="1"/>
  <c r="AR182" i="1"/>
  <c r="DH179" i="1"/>
  <c r="BT177" i="1"/>
  <c r="AF175" i="1"/>
  <c r="DH298" i="1"/>
  <c r="AM290" i="1"/>
  <c r="AA287" i="1"/>
  <c r="O284" i="1"/>
  <c r="CQ280" i="1"/>
  <c r="G278" i="1"/>
  <c r="BW275" i="1"/>
  <c r="AI273" i="1"/>
  <c r="CY270" i="1"/>
  <c r="BK268" i="1"/>
  <c r="W266" i="1"/>
  <c r="CM263" i="1"/>
  <c r="AY261" i="1"/>
  <c r="K259" i="1"/>
  <c r="CA256" i="1"/>
  <c r="AM254" i="1"/>
  <c r="DC251" i="1"/>
  <c r="BO249" i="1"/>
  <c r="AA247" i="1"/>
  <c r="CQ244" i="1"/>
  <c r="BC242" i="1"/>
  <c r="O240" i="1"/>
  <c r="CE237" i="1"/>
  <c r="AQ235" i="1"/>
  <c r="DG232" i="1"/>
  <c r="BS230" i="1"/>
  <c r="AE228" i="1"/>
  <c r="CB299" i="1"/>
  <c r="AG293" i="1"/>
  <c r="AP290" i="1"/>
  <c r="DF287" i="1"/>
  <c r="BR285" i="1"/>
  <c r="AD283" i="1"/>
  <c r="CT280" i="1"/>
  <c r="BF278" i="1"/>
  <c r="R276" i="1"/>
  <c r="CH273" i="1"/>
  <c r="AT271" i="1"/>
  <c r="F269" i="1"/>
  <c r="BV266" i="1"/>
  <c r="AH264" i="1"/>
  <c r="CX261" i="1"/>
  <c r="BJ259" i="1"/>
  <c r="V257" i="1"/>
  <c r="CL254" i="1"/>
  <c r="AX252" i="1"/>
  <c r="J250" i="1"/>
  <c r="BZ247" i="1"/>
  <c r="AL245" i="1"/>
  <c r="DB242" i="1"/>
  <c r="BN240" i="1"/>
  <c r="Z238" i="1"/>
  <c r="CP235" i="1"/>
  <c r="BB233" i="1"/>
  <c r="N231" i="1"/>
  <c r="CD228" i="1"/>
  <c r="AP226" i="1"/>
  <c r="DF223" i="1"/>
  <c r="BR221" i="1"/>
  <c r="AD219" i="1"/>
  <c r="CT216" i="1"/>
  <c r="BF214" i="1"/>
  <c r="AZ301" i="1"/>
  <c r="CX293" i="1"/>
  <c r="CK290" i="1"/>
  <c r="AW288" i="1"/>
  <c r="I286" i="1"/>
  <c r="BY283" i="1"/>
  <c r="AK281" i="1"/>
  <c r="BQ273" i="1"/>
  <c r="AW266" i="1"/>
  <c r="BY261" i="1"/>
  <c r="DA256" i="1"/>
  <c r="Y252" i="1"/>
  <c r="BA247" i="1"/>
  <c r="M231" i="1"/>
  <c r="CI224" i="1"/>
  <c r="BM220" i="1"/>
  <c r="AV217" i="1"/>
  <c r="AE214" i="1"/>
  <c r="CO211" i="1"/>
  <c r="BA209" i="1"/>
  <c r="M207" i="1"/>
  <c r="CC204" i="1"/>
  <c r="AO202" i="1"/>
  <c r="DE199" i="1"/>
  <c r="BQ197" i="1"/>
  <c r="AC195" i="1"/>
  <c r="CS192" i="1"/>
  <c r="BE190" i="1"/>
  <c r="Q188" i="1"/>
  <c r="CG185" i="1"/>
  <c r="AS183" i="1"/>
  <c r="DI180" i="1"/>
  <c r="BU178" i="1"/>
  <c r="AG176" i="1"/>
  <c r="CW173" i="1"/>
  <c r="BI171" i="1"/>
  <c r="U169" i="1"/>
  <c r="CK166" i="1"/>
  <c r="AW164" i="1"/>
  <c r="I162" i="1"/>
  <c r="BY159" i="1"/>
  <c r="AK157" i="1"/>
  <c r="DA154" i="1"/>
  <c r="BM152" i="1"/>
  <c r="Q241" i="1"/>
  <c r="BU231" i="1"/>
  <c r="Y225" i="1"/>
  <c r="CR220" i="1"/>
  <c r="CA217" i="1"/>
  <c r="BI214" i="1"/>
  <c r="H212" i="1"/>
  <c r="BX209" i="1"/>
  <c r="AJ207" i="1"/>
  <c r="CZ204" i="1"/>
  <c r="BL202" i="1"/>
  <c r="X200" i="1"/>
  <c r="CN197" i="1"/>
  <c r="AZ195" i="1"/>
  <c r="L193" i="1"/>
  <c r="CB190" i="1"/>
  <c r="AN188" i="1"/>
  <c r="DD185" i="1"/>
  <c r="BP183" i="1"/>
  <c r="AB181" i="1"/>
  <c r="CR178" i="1"/>
  <c r="BD176" i="1"/>
  <c r="P174" i="1"/>
  <c r="CF171" i="1"/>
  <c r="AR169" i="1"/>
  <c r="DH166" i="1"/>
  <c r="BT164" i="1"/>
  <c r="AF162" i="1"/>
  <c r="CV159" i="1"/>
  <c r="BH157" i="1"/>
  <c r="T155" i="1"/>
  <c r="CJ152" i="1"/>
  <c r="BE240" i="1"/>
  <c r="DI230" i="1"/>
  <c r="CU224" i="1"/>
  <c r="BU220" i="1"/>
  <c r="BD217" i="1"/>
  <c r="AM214" i="1"/>
  <c r="CU211" i="1"/>
  <c r="BG209" i="1"/>
  <c r="S207" i="1"/>
  <c r="CI204" i="1"/>
  <c r="AU202" i="1"/>
  <c r="G200" i="1"/>
  <c r="BW197" i="1"/>
  <c r="AI195" i="1"/>
  <c r="CY192" i="1"/>
  <c r="BK190" i="1"/>
  <c r="W188" i="1"/>
  <c r="CM185" i="1"/>
  <c r="AY183" i="1"/>
  <c r="K181" i="1"/>
  <c r="CA178" i="1"/>
  <c r="AM176" i="1"/>
  <c r="DC173" i="1"/>
  <c r="BO171" i="1"/>
  <c r="AA169" i="1"/>
  <c r="CQ166" i="1"/>
  <c r="BC164" i="1"/>
  <c r="O162" i="1"/>
  <c r="CE159" i="1"/>
  <c r="AQ157" i="1"/>
  <c r="DG154" i="1"/>
  <c r="BS152" i="1"/>
  <c r="AK240" i="1"/>
  <c r="CO230" i="1"/>
  <c r="CK224" i="1"/>
  <c r="BO220" i="1"/>
  <c r="AW217" i="1"/>
  <c r="AF214" i="1"/>
  <c r="CP211" i="1"/>
  <c r="BB209" i="1"/>
  <c r="N207" i="1"/>
  <c r="CD204" i="1"/>
  <c r="AP202" i="1"/>
  <c r="DF199" i="1"/>
  <c r="BR197" i="1"/>
  <c r="AD195" i="1"/>
  <c r="CT192" i="1"/>
  <c r="BF190" i="1"/>
  <c r="R188" i="1"/>
  <c r="CH185" i="1"/>
  <c r="AT183" i="1"/>
  <c r="F181" i="1"/>
  <c r="BV178" i="1"/>
  <c r="AH176" i="1"/>
  <c r="CX173" i="1"/>
  <c r="BJ171" i="1"/>
  <c r="V169" i="1"/>
  <c r="CL166" i="1"/>
  <c r="AX164" i="1"/>
  <c r="CS272" i="1"/>
  <c r="I266" i="1"/>
  <c r="AK261" i="1"/>
  <c r="BM256" i="1"/>
  <c r="CO251" i="1"/>
  <c r="M247" i="1"/>
  <c r="I230" i="1"/>
  <c r="AU224" i="1"/>
  <c r="AM220" i="1"/>
  <c r="U217" i="1"/>
  <c r="DI213" i="1"/>
  <c r="BU211" i="1"/>
  <c r="AG209" i="1"/>
  <c r="CW206" i="1"/>
  <c r="BI204" i="1"/>
  <c r="U202" i="1"/>
  <c r="CK199" i="1"/>
  <c r="AW197" i="1"/>
  <c r="I195" i="1"/>
  <c r="BY192" i="1"/>
  <c r="AK190" i="1"/>
  <c r="DA187" i="1"/>
  <c r="BM185" i="1"/>
  <c r="Y183" i="1"/>
  <c r="CO180" i="1"/>
  <c r="BA178" i="1"/>
  <c r="M176" i="1"/>
  <c r="CC173" i="1"/>
  <c r="AO171" i="1"/>
  <c r="DE168" i="1"/>
  <c r="BQ166" i="1"/>
  <c r="AC164" i="1"/>
  <c r="CS161" i="1"/>
  <c r="BE159" i="1"/>
  <c r="Q157" i="1"/>
  <c r="CG154" i="1"/>
  <c r="AS152" i="1"/>
  <c r="AS240" i="1"/>
  <c r="CW230" i="1"/>
  <c r="CO224" i="1"/>
  <c r="BQ220" i="1"/>
  <c r="AZ217" i="1"/>
  <c r="AI214" i="1"/>
  <c r="CR211" i="1"/>
  <c r="BD209" i="1"/>
  <c r="P207" i="1"/>
  <c r="CF204" i="1"/>
  <c r="AR202" i="1"/>
  <c r="DH199" i="1"/>
  <c r="BT197" i="1"/>
  <c r="AF195" i="1"/>
  <c r="CV192" i="1"/>
  <c r="BH190" i="1"/>
  <c r="T188" i="1"/>
  <c r="CJ185" i="1"/>
  <c r="AV183" i="1"/>
  <c r="H181" i="1"/>
  <c r="BX178" i="1"/>
  <c r="AJ176" i="1"/>
  <c r="CZ173" i="1"/>
  <c r="AV298" i="1"/>
  <c r="W290" i="1"/>
  <c r="K287" i="1"/>
  <c r="CM283" i="1"/>
  <c r="CA280" i="1"/>
  <c r="CU277" i="1"/>
  <c r="BG275" i="1"/>
  <c r="S273" i="1"/>
  <c r="CI270" i="1"/>
  <c r="AU268" i="1"/>
  <c r="G266" i="1"/>
  <c r="BW263" i="1"/>
  <c r="AI261" i="1"/>
  <c r="CY258" i="1"/>
  <c r="BK256" i="1"/>
  <c r="W254" i="1"/>
  <c r="CM251" i="1"/>
  <c r="AY249" i="1"/>
  <c r="K247" i="1"/>
  <c r="CA244" i="1"/>
  <c r="AM242" i="1"/>
  <c r="DC239" i="1"/>
  <c r="BO237" i="1"/>
  <c r="AA235" i="1"/>
  <c r="CQ232" i="1"/>
  <c r="BC230" i="1"/>
  <c r="BP308" i="1"/>
  <c r="P299" i="1"/>
  <c r="L293" i="1"/>
  <c r="Z290" i="1"/>
  <c r="CP287" i="1"/>
  <c r="BB285" i="1"/>
  <c r="N283" i="1"/>
  <c r="CD280" i="1"/>
  <c r="AP278" i="1"/>
  <c r="DF275" i="1"/>
  <c r="BR273" i="1"/>
  <c r="AD271" i="1"/>
  <c r="CT268" i="1"/>
  <c r="BF266" i="1"/>
  <c r="R264" i="1"/>
  <c r="CH261" i="1"/>
  <c r="AT259" i="1"/>
  <c r="F257" i="1"/>
  <c r="BV254" i="1"/>
  <c r="AH252" i="1"/>
  <c r="CX249" i="1"/>
  <c r="BJ247" i="1"/>
  <c r="V245" i="1"/>
  <c r="CL242" i="1"/>
  <c r="AX240" i="1"/>
  <c r="J238" i="1"/>
  <c r="BZ235" i="1"/>
  <c r="AL233" i="1"/>
  <c r="DB230" i="1"/>
  <c r="BN228" i="1"/>
  <c r="Z226" i="1"/>
  <c r="CP223" i="1"/>
  <c r="BB221" i="1"/>
  <c r="N219" i="1"/>
  <c r="CD216" i="1"/>
  <c r="AP214" i="1"/>
  <c r="CR300" i="1"/>
  <c r="BV293" i="1"/>
  <c r="BU290" i="1"/>
  <c r="AG288" i="1"/>
  <c r="CW285" i="1"/>
  <c r="BI283" i="1"/>
  <c r="U281" i="1"/>
  <c r="DI272" i="1"/>
  <c r="Q266" i="1"/>
  <c r="AS261" i="1"/>
  <c r="BU256" i="1"/>
  <c r="CW251" i="1"/>
  <c r="U247" i="1"/>
  <c r="AO230" i="1"/>
  <c r="BC224" i="1"/>
  <c r="AR220" i="1"/>
  <c r="AA217" i="1"/>
  <c r="I214" i="1"/>
  <c r="BY211" i="1"/>
  <c r="AK209" i="1"/>
  <c r="DA206" i="1"/>
  <c r="BM204" i="1"/>
  <c r="Y202" i="1"/>
  <c r="CO199" i="1"/>
  <c r="BA197" i="1"/>
  <c r="M195" i="1"/>
  <c r="CC192" i="1"/>
  <c r="AO190" i="1"/>
  <c r="DE187" i="1"/>
  <c r="BQ185" i="1"/>
  <c r="AC183" i="1"/>
  <c r="CS180" i="1"/>
  <c r="BE178" i="1"/>
  <c r="Q176" i="1"/>
  <c r="CG173" i="1"/>
  <c r="AS171" i="1"/>
  <c r="DI168" i="1"/>
  <c r="BU166" i="1"/>
  <c r="AG164" i="1"/>
  <c r="CW161" i="1"/>
  <c r="BI159" i="1"/>
  <c r="U157" i="1"/>
  <c r="CK154" i="1"/>
  <c r="AW152" i="1"/>
  <c r="BI240" i="1"/>
  <c r="I231" i="1"/>
  <c r="CW224" i="1"/>
  <c r="BW220" i="1"/>
  <c r="BE217" i="1"/>
  <c r="AN214" i="1"/>
  <c r="CV211" i="1"/>
  <c r="BH209" i="1"/>
  <c r="T207" i="1"/>
  <c r="CJ204" i="1"/>
  <c r="AV202" i="1"/>
  <c r="H200" i="1"/>
  <c r="BX197" i="1"/>
  <c r="AJ195" i="1"/>
  <c r="CZ192" i="1"/>
  <c r="BL190" i="1"/>
  <c r="X188" i="1"/>
  <c r="CN185" i="1"/>
  <c r="AZ183" i="1"/>
  <c r="L181" i="1"/>
  <c r="CB178" i="1"/>
  <c r="AN176" i="1"/>
  <c r="DD173" i="1"/>
  <c r="BP171" i="1"/>
  <c r="AB169" i="1"/>
  <c r="CR166" i="1"/>
  <c r="BD164" i="1"/>
  <c r="P162" i="1"/>
  <c r="CF159" i="1"/>
  <c r="AR157" i="1"/>
  <c r="DH154" i="1"/>
  <c r="BT152" i="1"/>
  <c r="CW239" i="1"/>
  <c r="AW230" i="1"/>
  <c r="BO224" i="1"/>
  <c r="AZ220" i="1"/>
  <c r="AI217" i="1"/>
  <c r="Q214" i="1"/>
  <c r="CE211" i="1"/>
  <c r="AQ209" i="1"/>
  <c r="DG206" i="1"/>
  <c r="BS204" i="1"/>
  <c r="AE202" i="1"/>
  <c r="CU199" i="1"/>
  <c r="BG197" i="1"/>
  <c r="S195" i="1"/>
  <c r="CI192" i="1"/>
  <c r="AU190" i="1"/>
  <c r="G188" i="1"/>
  <c r="BW185" i="1"/>
  <c r="AI183" i="1"/>
  <c r="CY180" i="1"/>
  <c r="BK178" i="1"/>
  <c r="W176" i="1"/>
  <c r="CM173" i="1"/>
  <c r="AY171" i="1"/>
  <c r="K169" i="1"/>
  <c r="CA166" i="1"/>
  <c r="AM164" i="1"/>
  <c r="DC161" i="1"/>
  <c r="BO159" i="1"/>
  <c r="AA157" i="1"/>
  <c r="CQ154" i="1"/>
  <c r="BC152" i="1"/>
  <c r="CC239" i="1"/>
  <c r="AC230" i="1"/>
  <c r="BE224" i="1"/>
  <c r="AS220" i="1"/>
  <c r="AB217" i="1"/>
  <c r="K214" i="1"/>
  <c r="BZ211" i="1"/>
  <c r="AL209" i="1"/>
  <c r="DB206" i="1"/>
  <c r="BN204" i="1"/>
  <c r="Z202" i="1"/>
  <c r="CP199" i="1"/>
  <c r="BB197" i="1"/>
  <c r="N195" i="1"/>
  <c r="CD192" i="1"/>
  <c r="AP190" i="1"/>
  <c r="DF187" i="1"/>
  <c r="BR185" i="1"/>
  <c r="AD183" i="1"/>
  <c r="CT180" i="1"/>
  <c r="BF178" i="1"/>
  <c r="R176" i="1"/>
  <c r="CH173" i="1"/>
  <c r="AT171" i="1"/>
  <c r="F169" i="1"/>
  <c r="BV166" i="1"/>
  <c r="AH164" i="1"/>
  <c r="AG272" i="1"/>
  <c r="CG265" i="1"/>
  <c r="DI260" i="1"/>
  <c r="AG256" i="1"/>
  <c r="BI251" i="1"/>
  <c r="CK246" i="1"/>
  <c r="BA229" i="1"/>
  <c r="O224" i="1"/>
  <c r="Q220" i="1"/>
  <c r="DD216" i="1"/>
  <c r="CS213" i="1"/>
  <c r="BE211" i="1"/>
  <c r="Q209" i="1"/>
  <c r="CG206" i="1"/>
  <c r="AS204" i="1"/>
  <c r="DI201" i="1"/>
  <c r="BU199" i="1"/>
  <c r="AG197" i="1"/>
  <c r="CW194" i="1"/>
  <c r="BI192" i="1"/>
  <c r="U190" i="1"/>
  <c r="CK187" i="1"/>
  <c r="AW185" i="1"/>
  <c r="I183" i="1"/>
  <c r="BY180" i="1"/>
  <c r="AK178" i="1"/>
  <c r="DA175" i="1"/>
  <c r="BM173" i="1"/>
  <c r="Y171" i="1"/>
  <c r="CO168" i="1"/>
  <c r="BA166" i="1"/>
  <c r="M164" i="1"/>
  <c r="CC161" i="1"/>
  <c r="AO159" i="1"/>
  <c r="DE156" i="1"/>
  <c r="BQ154" i="1"/>
  <c r="AC152" i="1"/>
  <c r="CK239" i="1"/>
  <c r="AK230" i="1"/>
  <c r="BI224" i="1"/>
  <c r="AV220" i="1"/>
  <c r="AE217" i="1"/>
  <c r="M214" i="1"/>
  <c r="CB211" i="1"/>
  <c r="AN209" i="1"/>
  <c r="DD206" i="1"/>
  <c r="BP204" i="1"/>
  <c r="AB202" i="1"/>
  <c r="CR199" i="1"/>
  <c r="BD197" i="1"/>
  <c r="P195" i="1"/>
  <c r="CF192" i="1"/>
  <c r="AR190" i="1"/>
  <c r="DH187" i="1"/>
  <c r="BT185" i="1"/>
  <c r="AF183" i="1"/>
  <c r="CV180" i="1"/>
  <c r="BH178" i="1"/>
  <c r="T176" i="1"/>
  <c r="CF172" i="1"/>
  <c r="AR170" i="1"/>
  <c r="DH167" i="1"/>
  <c r="BT165" i="1"/>
  <c r="AF163" i="1"/>
  <c r="CV160" i="1"/>
  <c r="BH158" i="1"/>
  <c r="T156" i="1"/>
  <c r="CJ153" i="1"/>
  <c r="BE244" i="1"/>
  <c r="DI234" i="1"/>
  <c r="CU226" i="1"/>
  <c r="S222" i="1"/>
  <c r="CN218" i="1"/>
  <c r="BW215" i="1"/>
  <c r="CU212" i="1"/>
  <c r="BG210" i="1"/>
  <c r="S208" i="1"/>
  <c r="CI205" i="1"/>
  <c r="AU203" i="1"/>
  <c r="G201" i="1"/>
  <c r="BW198" i="1"/>
  <c r="AI196" i="1"/>
  <c r="CY193" i="1"/>
  <c r="BK191" i="1"/>
  <c r="W189" i="1"/>
  <c r="CM186" i="1"/>
  <c r="AY184" i="1"/>
  <c r="K182" i="1"/>
  <c r="CA179" i="1"/>
  <c r="AM177" i="1"/>
  <c r="DC174" i="1"/>
  <c r="BO172" i="1"/>
  <c r="AA170" i="1"/>
  <c r="CQ167" i="1"/>
  <c r="BC165" i="1"/>
  <c r="O163" i="1"/>
  <c r="CE160" i="1"/>
  <c r="AQ158" i="1"/>
  <c r="DG155" i="1"/>
  <c r="BS153" i="1"/>
  <c r="AK244" i="1"/>
  <c r="CO234" i="1"/>
  <c r="CK226" i="1"/>
  <c r="I222" i="1"/>
  <c r="CG218" i="1"/>
  <c r="BP215" i="1"/>
  <c r="CP212" i="1"/>
  <c r="BB210" i="1"/>
  <c r="N208" i="1"/>
  <c r="CD205" i="1"/>
  <c r="AP203" i="1"/>
  <c r="DF200" i="1"/>
  <c r="BR198" i="1"/>
  <c r="AD196" i="1"/>
  <c r="CT193" i="1"/>
  <c r="BF191" i="1"/>
  <c r="R189" i="1"/>
  <c r="CH186" i="1"/>
  <c r="AT184" i="1"/>
  <c r="F182" i="1"/>
  <c r="BV179" i="1"/>
  <c r="AH177" i="1"/>
  <c r="CX174" i="1"/>
  <c r="BJ172" i="1"/>
  <c r="V170" i="1"/>
  <c r="CL167" i="1"/>
  <c r="AX165" i="1"/>
  <c r="J163" i="1"/>
  <c r="BZ160" i="1"/>
  <c r="AL158" i="1"/>
  <c r="DB155" i="1"/>
  <c r="CS276" i="1"/>
  <c r="I268" i="1"/>
  <c r="AK263" i="1"/>
  <c r="BM258" i="1"/>
  <c r="CO253" i="1"/>
  <c r="M249" i="1"/>
  <c r="BA237" i="1"/>
  <c r="AU226" i="1"/>
  <c r="BW221" i="1"/>
  <c r="BE218" i="1"/>
  <c r="AN215" i="1"/>
  <c r="BU212" i="1"/>
  <c r="AG210" i="1"/>
  <c r="CW207" i="1"/>
  <c r="BI205" i="1"/>
  <c r="U203" i="1"/>
  <c r="CK200" i="1"/>
  <c r="AW198" i="1"/>
  <c r="I196" i="1"/>
  <c r="BY193" i="1"/>
  <c r="AK191" i="1"/>
  <c r="DA188" i="1"/>
  <c r="BM186" i="1"/>
  <c r="Y184" i="1"/>
  <c r="CO181" i="1"/>
  <c r="BA179" i="1"/>
  <c r="M177" i="1"/>
  <c r="CC174" i="1"/>
  <c r="AO172" i="1"/>
  <c r="DE169" i="1"/>
  <c r="BQ167" i="1"/>
  <c r="AC165" i="1"/>
  <c r="CS162" i="1"/>
  <c r="BE160" i="1"/>
  <c r="Q158" i="1"/>
  <c r="CG155" i="1"/>
  <c r="AS153" i="1"/>
  <c r="AS244" i="1"/>
  <c r="CW234" i="1"/>
  <c r="CO226" i="1"/>
  <c r="M222" i="1"/>
  <c r="CJ218" i="1"/>
  <c r="BS215" i="1"/>
  <c r="CR212" i="1"/>
  <c r="BD210" i="1"/>
  <c r="P208" i="1"/>
  <c r="CF205" i="1"/>
  <c r="AR203" i="1"/>
  <c r="DH200" i="1"/>
  <c r="BT198" i="1"/>
  <c r="AF196" i="1"/>
  <c r="CV193" i="1"/>
  <c r="BH191" i="1"/>
  <c r="T189" i="1"/>
  <c r="CJ186" i="1"/>
  <c r="AV184" i="1"/>
  <c r="H182" i="1"/>
  <c r="BX179" i="1"/>
  <c r="AJ177" i="1"/>
  <c r="CZ174" i="1"/>
  <c r="BL172" i="1"/>
  <c r="X170" i="1"/>
  <c r="CN167" i="1"/>
  <c r="AZ165" i="1"/>
  <c r="L163" i="1"/>
  <c r="CB160" i="1"/>
  <c r="AN158" i="1"/>
  <c r="DD155" i="1"/>
  <c r="BP153" i="1"/>
  <c r="CG243" i="1"/>
  <c r="AG234" i="1"/>
  <c r="BG226" i="1"/>
  <c r="CI221" i="1"/>
  <c r="BM218" i="1"/>
  <c r="AV215" i="1"/>
  <c r="CA212" i="1"/>
  <c r="AM210" i="1"/>
  <c r="DC207" i="1"/>
  <c r="BO205" i="1"/>
  <c r="AA203" i="1"/>
  <c r="CQ200" i="1"/>
  <c r="BC198" i="1"/>
  <c r="O196" i="1"/>
  <c r="CE193" i="1"/>
  <c r="AQ191" i="1"/>
  <c r="DG188" i="1"/>
  <c r="BS186" i="1"/>
  <c r="AE184" i="1"/>
  <c r="CU181" i="1"/>
  <c r="BG179" i="1"/>
  <c r="S177" i="1"/>
  <c r="CI174" i="1"/>
  <c r="AU172" i="1"/>
  <c r="G170" i="1"/>
  <c r="BW167" i="1"/>
  <c r="AI165" i="1"/>
  <c r="CY162" i="1"/>
  <c r="BK160" i="1"/>
  <c r="W158" i="1"/>
  <c r="CM155" i="1"/>
  <c r="AY153" i="1"/>
  <c r="BM243" i="1"/>
  <c r="M234" i="1"/>
  <c r="AW226" i="1"/>
  <c r="BY221" i="1"/>
  <c r="BG218" i="1"/>
  <c r="AO215" i="1"/>
  <c r="BV212" i="1"/>
  <c r="AH210" i="1"/>
  <c r="CX207" i="1"/>
  <c r="BJ205" i="1"/>
  <c r="V203" i="1"/>
  <c r="CL200" i="1"/>
  <c r="AX198" i="1"/>
  <c r="J196" i="1"/>
  <c r="BZ193" i="1"/>
  <c r="AL191" i="1"/>
  <c r="DB188" i="1"/>
  <c r="BN186" i="1"/>
  <c r="Z184" i="1"/>
  <c r="CP181" i="1"/>
  <c r="BB179" i="1"/>
  <c r="N177" i="1"/>
  <c r="CD174" i="1"/>
  <c r="AP172" i="1"/>
  <c r="DF169" i="1"/>
  <c r="BR167" i="1"/>
  <c r="AD165" i="1"/>
  <c r="CT162" i="1"/>
  <c r="DE271" i="1"/>
  <c r="BQ265" i="1"/>
  <c r="CS260" i="1"/>
  <c r="Q256" i="1"/>
  <c r="AS251" i="1"/>
  <c r="BU246" i="1"/>
  <c r="U229" i="1"/>
  <c r="DC223" i="1"/>
  <c r="G220" i="1"/>
  <c r="CS216" i="1"/>
  <c r="CK213" i="1"/>
  <c r="AW211" i="1"/>
  <c r="I209" i="1"/>
  <c r="BY206" i="1"/>
  <c r="AK204" i="1"/>
  <c r="DA201" i="1"/>
  <c r="BM199" i="1"/>
  <c r="Y197" i="1"/>
  <c r="CO194" i="1"/>
  <c r="BA192" i="1"/>
  <c r="M190" i="1"/>
  <c r="CC187" i="1"/>
  <c r="AO185" i="1"/>
  <c r="DE182" i="1"/>
  <c r="BQ180" i="1"/>
  <c r="AC178" i="1"/>
  <c r="CS175" i="1"/>
  <c r="BE173" i="1"/>
  <c r="Q171" i="1"/>
  <c r="CG168" i="1"/>
  <c r="AS166" i="1"/>
  <c r="DI163" i="1"/>
  <c r="BU161" i="1"/>
  <c r="AG159" i="1"/>
  <c r="CW156" i="1"/>
  <c r="BI154" i="1"/>
  <c r="U152" i="1"/>
  <c r="BE239" i="1"/>
  <c r="DI229" i="1"/>
  <c r="AS224" i="1"/>
  <c r="AK220" i="1"/>
  <c r="T217" i="1"/>
  <c r="DH213" i="1"/>
  <c r="BT211" i="1"/>
  <c r="AF209" i="1"/>
  <c r="CV206" i="1"/>
  <c r="BH204" i="1"/>
  <c r="T202" i="1"/>
  <c r="CJ199" i="1"/>
  <c r="AV197" i="1"/>
  <c r="H195" i="1"/>
  <c r="BX192" i="1"/>
  <c r="AJ190" i="1"/>
  <c r="CZ187" i="1"/>
  <c r="BL185" i="1"/>
  <c r="X183" i="1"/>
  <c r="CN180" i="1"/>
  <c r="AZ178" i="1"/>
  <c r="L176" i="1"/>
  <c r="CB173" i="1"/>
  <c r="AN171" i="1"/>
  <c r="DD168" i="1"/>
  <c r="BP166" i="1"/>
  <c r="AB164" i="1"/>
  <c r="CR161" i="1"/>
  <c r="BD159" i="1"/>
  <c r="P157" i="1"/>
  <c r="CF154" i="1"/>
  <c r="AR152" i="1"/>
  <c r="CS238" i="1"/>
  <c r="AS229" i="1"/>
  <c r="K224" i="1"/>
  <c r="O220" i="1"/>
  <c r="DA216" i="1"/>
  <c r="CQ213" i="1"/>
  <c r="BC211" i="1"/>
  <c r="O209" i="1"/>
  <c r="CE206" i="1"/>
  <c r="AQ204" i="1"/>
  <c r="DG201" i="1"/>
  <c r="BS199" i="1"/>
  <c r="AE197" i="1"/>
  <c r="CU194" i="1"/>
  <c r="BG192" i="1"/>
  <c r="S190" i="1"/>
  <c r="CI187" i="1"/>
  <c r="AU185" i="1"/>
  <c r="G183" i="1"/>
  <c r="BW180" i="1"/>
  <c r="AI178" i="1"/>
  <c r="CY175" i="1"/>
  <c r="BK173" i="1"/>
  <c r="W171" i="1"/>
  <c r="CM168" i="1"/>
  <c r="AY166" i="1"/>
  <c r="K164" i="1"/>
  <c r="CA161" i="1"/>
  <c r="AM159" i="1"/>
  <c r="DC156" i="1"/>
  <c r="BO154" i="1"/>
  <c r="AA152" i="1"/>
  <c r="BY238" i="1"/>
  <c r="Y229" i="1"/>
  <c r="DE223" i="1"/>
  <c r="H220" i="1"/>
  <c r="CU216" i="1"/>
  <c r="CL213" i="1"/>
  <c r="AX211" i="1"/>
  <c r="J209" i="1"/>
  <c r="BZ206" i="1"/>
  <c r="AL204" i="1"/>
  <c r="DB201" i="1"/>
  <c r="BN199" i="1"/>
  <c r="Z197" i="1"/>
  <c r="CP194" i="1"/>
  <c r="BB192" i="1"/>
  <c r="N190" i="1"/>
  <c r="CD187" i="1"/>
  <c r="AP185" i="1"/>
  <c r="DF182" i="1"/>
  <c r="BR180" i="1"/>
  <c r="AD178" i="1"/>
  <c r="CT175" i="1"/>
  <c r="BF173" i="1"/>
  <c r="R171" i="1"/>
  <c r="CH168" i="1"/>
  <c r="AT166" i="1"/>
  <c r="F164" i="1"/>
  <c r="BN160" i="1"/>
  <c r="AT157" i="1"/>
  <c r="AL154" i="1"/>
  <c r="DB151" i="1"/>
  <c r="BM149" i="1"/>
  <c r="Y147" i="1"/>
  <c r="CO144" i="1"/>
  <c r="BA142" i="1"/>
  <c r="M140" i="1"/>
  <c r="CC137" i="1"/>
  <c r="AO135" i="1"/>
  <c r="DE132" i="1"/>
  <c r="BQ130" i="1"/>
  <c r="AC128" i="1"/>
  <c r="CS125" i="1"/>
  <c r="BE123" i="1"/>
  <c r="Q121" i="1"/>
  <c r="CG118" i="1"/>
  <c r="AS116" i="1"/>
  <c r="DI113" i="1"/>
  <c r="BU111" i="1"/>
  <c r="AG109" i="1"/>
  <c r="CW106" i="1"/>
  <c r="BI104" i="1"/>
  <c r="U102" i="1"/>
  <c r="CK99" i="1"/>
  <c r="AW97" i="1"/>
  <c r="I95" i="1"/>
  <c r="BY92" i="1"/>
  <c r="AK90" i="1"/>
  <c r="DA87" i="1"/>
  <c r="BM85" i="1"/>
  <c r="Y83" i="1"/>
  <c r="CO80" i="1"/>
  <c r="BA78" i="1"/>
  <c r="AB151" i="1"/>
  <c r="CR148" i="1"/>
  <c r="BD146" i="1"/>
  <c r="P144" i="1"/>
  <c r="CF141" i="1"/>
  <c r="AR139" i="1"/>
  <c r="DH136" i="1"/>
  <c r="BT134" i="1"/>
  <c r="AF132" i="1"/>
  <c r="CV129" i="1"/>
  <c r="BH127" i="1"/>
  <c r="T125" i="1"/>
  <c r="CJ122" i="1"/>
  <c r="AV120" i="1"/>
  <c r="H118" i="1"/>
  <c r="BX115" i="1"/>
  <c r="AJ113" i="1"/>
  <c r="CZ110" i="1"/>
  <c r="BL108" i="1"/>
  <c r="X106" i="1"/>
  <c r="CN103" i="1"/>
  <c r="AZ101" i="1"/>
  <c r="L99" i="1"/>
  <c r="CB96" i="1"/>
  <c r="AN94" i="1"/>
  <c r="DD91" i="1"/>
  <c r="BP89" i="1"/>
  <c r="AB87" i="1"/>
  <c r="CR84" i="1"/>
  <c r="BD82" i="1"/>
  <c r="P80" i="1"/>
  <c r="CF77" i="1"/>
  <c r="W151" i="1"/>
  <c r="CM148" i="1"/>
  <c r="AY146" i="1"/>
  <c r="K144" i="1"/>
  <c r="CA141" i="1"/>
  <c r="AM139" i="1"/>
  <c r="DC136" i="1"/>
  <c r="BO134" i="1"/>
  <c r="AA132" i="1"/>
  <c r="CQ129" i="1"/>
  <c r="BC127" i="1"/>
  <c r="O125" i="1"/>
  <c r="CE122" i="1"/>
  <c r="AQ120" i="1"/>
  <c r="DG117" i="1"/>
  <c r="BS115" i="1"/>
  <c r="AE113" i="1"/>
  <c r="CU110" i="1"/>
  <c r="BG108" i="1"/>
  <c r="S106" i="1"/>
  <c r="CI103" i="1"/>
  <c r="AU101" i="1"/>
  <c r="G99" i="1"/>
  <c r="BW96" i="1"/>
  <c r="AI94" i="1"/>
  <c r="CY91" i="1"/>
  <c r="BK89" i="1"/>
  <c r="W87" i="1"/>
  <c r="CM84" i="1"/>
  <c r="AY82" i="1"/>
  <c r="K80" i="1"/>
  <c r="CA77" i="1"/>
  <c r="R146" i="1"/>
  <c r="BV136" i="1"/>
  <c r="V127" i="1"/>
  <c r="BZ117" i="1"/>
  <c r="Z108" i="1"/>
  <c r="CD98" i="1"/>
  <c r="AD89" i="1"/>
  <c r="CH79" i="1"/>
  <c r="CY74" i="1"/>
  <c r="BK72" i="1"/>
  <c r="W70" i="1"/>
  <c r="CM67" i="1"/>
  <c r="AY65" i="1"/>
  <c r="K63" i="1"/>
  <c r="CA60" i="1"/>
  <c r="AM58" i="1"/>
  <c r="DC55" i="1"/>
  <c r="BO53" i="1"/>
  <c r="AA51" i="1"/>
  <c r="CQ48" i="1"/>
  <c r="BC46" i="1"/>
  <c r="O44" i="1"/>
  <c r="CE41" i="1"/>
  <c r="AQ39" i="1"/>
  <c r="DG36" i="1"/>
  <c r="BS34" i="1"/>
  <c r="AE32" i="1"/>
  <c r="CU29" i="1"/>
  <c r="CT163" i="1"/>
  <c r="AL160" i="1"/>
  <c r="V157" i="1"/>
  <c r="R154" i="1"/>
  <c r="CM151" i="1"/>
  <c r="AS149" i="1"/>
  <c r="DI146" i="1"/>
  <c r="BU144" i="1"/>
  <c r="AG142" i="1"/>
  <c r="CW139" i="1"/>
  <c r="BI137" i="1"/>
  <c r="U135" i="1"/>
  <c r="CK132" i="1"/>
  <c r="AW130" i="1"/>
  <c r="I128" i="1"/>
  <c r="BY125" i="1"/>
  <c r="AK123" i="1"/>
  <c r="DA120" i="1"/>
  <c r="BM118" i="1"/>
  <c r="Y116" i="1"/>
  <c r="CO113" i="1"/>
  <c r="BA111" i="1"/>
  <c r="M109" i="1"/>
  <c r="CC106" i="1"/>
  <c r="AO104" i="1"/>
  <c r="DE101" i="1"/>
  <c r="BQ99" i="1"/>
  <c r="AC97" i="1"/>
  <c r="CS94" i="1"/>
  <c r="BE92" i="1"/>
  <c r="Q90" i="1"/>
  <c r="CG87" i="1"/>
  <c r="AS85" i="1"/>
  <c r="DI82" i="1"/>
  <c r="BU80" i="1"/>
  <c r="AG78" i="1"/>
  <c r="H151" i="1"/>
  <c r="BX148" i="1"/>
  <c r="AJ146" i="1"/>
  <c r="CZ143" i="1"/>
  <c r="BL141" i="1"/>
  <c r="X139" i="1"/>
  <c r="CN136" i="1"/>
  <c r="AZ134" i="1"/>
  <c r="L132" i="1"/>
  <c r="CB129" i="1"/>
  <c r="AN127" i="1"/>
  <c r="DD124" i="1"/>
  <c r="BP122" i="1"/>
  <c r="AB120" i="1"/>
  <c r="CR117" i="1"/>
  <c r="BD115" i="1"/>
  <c r="P113" i="1"/>
  <c r="CF110" i="1"/>
  <c r="BX174" i="1"/>
  <c r="DH171" i="1"/>
  <c r="BT169" i="1"/>
  <c r="AF167" i="1"/>
  <c r="CV164" i="1"/>
  <c r="BH162" i="1"/>
  <c r="T160" i="1"/>
  <c r="CJ157" i="1"/>
  <c r="AV155" i="1"/>
  <c r="H153" i="1"/>
  <c r="BI241" i="1"/>
  <c r="I232" i="1"/>
  <c r="AU225" i="1"/>
  <c r="DG220" i="1"/>
  <c r="CO217" i="1"/>
  <c r="BX214" i="1"/>
  <c r="S212" i="1"/>
  <c r="CI209" i="1"/>
  <c r="AU207" i="1"/>
  <c r="G205" i="1"/>
  <c r="BW202" i="1"/>
  <c r="AI200" i="1"/>
  <c r="CY197" i="1"/>
  <c r="BK195" i="1"/>
  <c r="W193" i="1"/>
  <c r="CM190" i="1"/>
  <c r="AY188" i="1"/>
  <c r="K186" i="1"/>
  <c r="CA183" i="1"/>
  <c r="AM181" i="1"/>
  <c r="DC178" i="1"/>
  <c r="BO176" i="1"/>
  <c r="AA174" i="1"/>
  <c r="CQ171" i="1"/>
  <c r="BC169" i="1"/>
  <c r="O167" i="1"/>
  <c r="CE164" i="1"/>
  <c r="AQ162" i="1"/>
  <c r="DG159" i="1"/>
  <c r="BS157" i="1"/>
  <c r="AE155" i="1"/>
  <c r="CU152" i="1"/>
  <c r="AO241" i="1"/>
  <c r="CS231" i="1"/>
  <c r="AK225" i="1"/>
  <c r="CZ220" i="1"/>
  <c r="CI217" i="1"/>
  <c r="BQ214" i="1"/>
  <c r="N212" i="1"/>
  <c r="CD209" i="1"/>
  <c r="AP207" i="1"/>
  <c r="DF204" i="1"/>
  <c r="BR202" i="1"/>
  <c r="AD200" i="1"/>
  <c r="CT197" i="1"/>
  <c r="BF195" i="1"/>
  <c r="R193" i="1"/>
  <c r="CH190" i="1"/>
  <c r="AT188" i="1"/>
  <c r="F186" i="1"/>
  <c r="BV183" i="1"/>
  <c r="AH181" i="1"/>
  <c r="CX178" i="1"/>
  <c r="BJ176" i="1"/>
  <c r="V174" i="1"/>
  <c r="CL171" i="1"/>
  <c r="AX169" i="1"/>
  <c r="J167" i="1"/>
  <c r="BZ164" i="1"/>
  <c r="AL162" i="1"/>
  <c r="DB159" i="1"/>
  <c r="BN157" i="1"/>
  <c r="Z155" i="1"/>
  <c r="CW273" i="1"/>
  <c r="BM266" i="1"/>
  <c r="CO261" i="1"/>
  <c r="M257" i="1"/>
  <c r="AO252" i="1"/>
  <c r="BQ247" i="1"/>
  <c r="BI231" i="1"/>
  <c r="CY224" i="1"/>
  <c r="BX220" i="1"/>
  <c r="BG217" i="1"/>
  <c r="AO214" i="1"/>
  <c r="CW211" i="1"/>
  <c r="BI209" i="1"/>
  <c r="U207" i="1"/>
  <c r="CK204" i="1"/>
  <c r="AW202" i="1"/>
  <c r="I200" i="1"/>
  <c r="BY197" i="1"/>
  <c r="AK195" i="1"/>
  <c r="DA192" i="1"/>
  <c r="BM190" i="1"/>
  <c r="Y188" i="1"/>
  <c r="CO185" i="1"/>
  <c r="BA183" i="1"/>
  <c r="M181" i="1"/>
  <c r="CC178" i="1"/>
  <c r="AO176" i="1"/>
  <c r="DE173" i="1"/>
  <c r="BQ171" i="1"/>
  <c r="AC169" i="1"/>
  <c r="CS166" i="1"/>
  <c r="BE164" i="1"/>
  <c r="Q162" i="1"/>
  <c r="CG159" i="1"/>
  <c r="AS157" i="1"/>
  <c r="DI154" i="1"/>
  <c r="BU152" i="1"/>
  <c r="AW241" i="1"/>
  <c r="DA231" i="1"/>
  <c r="AO225" i="1"/>
  <c r="DC220" i="1"/>
  <c r="CK217" i="1"/>
  <c r="BT214" i="1"/>
  <c r="P212" i="1"/>
  <c r="CF209" i="1"/>
  <c r="AR207" i="1"/>
  <c r="DH204" i="1"/>
  <c r="BT202" i="1"/>
  <c r="AF200" i="1"/>
  <c r="CV197" i="1"/>
  <c r="BH195" i="1"/>
  <c r="T193" i="1"/>
  <c r="CJ190" i="1"/>
  <c r="AV188" i="1"/>
  <c r="H186" i="1"/>
  <c r="BX183" i="1"/>
  <c r="AJ181" i="1"/>
  <c r="CZ178" i="1"/>
  <c r="BL176" i="1"/>
  <c r="X174" i="1"/>
  <c r="CN171" i="1"/>
  <c r="AZ169" i="1"/>
  <c r="L167" i="1"/>
  <c r="CB164" i="1"/>
  <c r="AN162" i="1"/>
  <c r="DD159" i="1"/>
  <c r="BP157" i="1"/>
  <c r="AB155" i="1"/>
  <c r="CR152" i="1"/>
  <c r="CK240" i="1"/>
  <c r="AK231" i="1"/>
  <c r="G225" i="1"/>
  <c r="CF220" i="1"/>
  <c r="BO217" i="1"/>
  <c r="AW214" i="1"/>
  <c r="DC211" i="1"/>
  <c r="BO209" i="1"/>
  <c r="AA207" i="1"/>
  <c r="CQ204" i="1"/>
  <c r="BC202" i="1"/>
  <c r="O200" i="1"/>
  <c r="CE197" i="1"/>
  <c r="AQ195" i="1"/>
  <c r="DG192" i="1"/>
  <c r="BS190" i="1"/>
  <c r="AE188" i="1"/>
  <c r="CU185" i="1"/>
  <c r="BG183" i="1"/>
  <c r="S181" i="1"/>
  <c r="CI178" i="1"/>
  <c r="AU176" i="1"/>
  <c r="G174" i="1"/>
  <c r="BW171" i="1"/>
  <c r="AI169" i="1"/>
  <c r="CY166" i="1"/>
  <c r="BK164" i="1"/>
  <c r="W162" i="1"/>
  <c r="CM159" i="1"/>
  <c r="AY157" i="1"/>
  <c r="K155" i="1"/>
  <c r="CA152" i="1"/>
  <c r="BQ240" i="1"/>
  <c r="Q231" i="1"/>
  <c r="DA224" i="1"/>
  <c r="BY220" i="1"/>
  <c r="BH217" i="1"/>
  <c r="AQ214" i="1"/>
  <c r="CX211" i="1"/>
  <c r="BJ209" i="1"/>
  <c r="V207" i="1"/>
  <c r="CL204" i="1"/>
  <c r="AX202" i="1"/>
  <c r="J200" i="1"/>
  <c r="BZ197" i="1"/>
  <c r="AL195" i="1"/>
  <c r="DB192" i="1"/>
  <c r="BN190" i="1"/>
  <c r="Z188" i="1"/>
  <c r="CP185" i="1"/>
  <c r="BB183" i="1"/>
  <c r="N181" i="1"/>
  <c r="CD178" i="1"/>
  <c r="AP176" i="1"/>
  <c r="DF173" i="1"/>
  <c r="BR171" i="1"/>
  <c r="AD169" i="1"/>
  <c r="CT166" i="1"/>
  <c r="BF164" i="1"/>
  <c r="BE278" i="1"/>
  <c r="DI268" i="1"/>
  <c r="Q264" i="1"/>
  <c r="AS259" i="1"/>
  <c r="BU254" i="1"/>
  <c r="CW249" i="1"/>
  <c r="CC240" i="1"/>
  <c r="AA227" i="1"/>
  <c r="BC222" i="1"/>
  <c r="H219" i="1"/>
  <c r="CU215" i="1"/>
  <c r="I213" i="1"/>
  <c r="BY210" i="1"/>
  <c r="AK208" i="1"/>
  <c r="DA205" i="1"/>
  <c r="BM203" i="1"/>
  <c r="Y201" i="1"/>
  <c r="CO198" i="1"/>
  <c r="BA196" i="1"/>
  <c r="M194" i="1"/>
  <c r="CC191" i="1"/>
  <c r="AO189" i="1"/>
  <c r="DE186" i="1"/>
  <c r="BQ184" i="1"/>
  <c r="AC182" i="1"/>
  <c r="CS179" i="1"/>
  <c r="BE177" i="1"/>
  <c r="Q175" i="1"/>
  <c r="CG172" i="1"/>
  <c r="AS170" i="1"/>
  <c r="DI167" i="1"/>
  <c r="BU165" i="1"/>
  <c r="AG163" i="1"/>
  <c r="CW160" i="1"/>
  <c r="BI158" i="1"/>
  <c r="U156" i="1"/>
  <c r="CK153" i="1"/>
  <c r="DI245" i="1"/>
  <c r="BI236" i="1"/>
  <c r="BU227" i="1"/>
  <c r="CW222" i="1"/>
  <c r="AM219" i="1"/>
  <c r="U216" i="1"/>
  <c r="AF213" i="1"/>
  <c r="CV210" i="1"/>
  <c r="BH208" i="1"/>
  <c r="T206" i="1"/>
  <c r="CJ203" i="1"/>
  <c r="AV201" i="1"/>
  <c r="H199" i="1"/>
  <c r="BX196" i="1"/>
  <c r="AJ194" i="1"/>
  <c r="CZ191" i="1"/>
  <c r="BL189" i="1"/>
  <c r="X187" i="1"/>
  <c r="CN184" i="1"/>
  <c r="AZ182" i="1"/>
  <c r="L180" i="1"/>
  <c r="CB177" i="1"/>
  <c r="AN175" i="1"/>
  <c r="DD172" i="1"/>
  <c r="BP170" i="1"/>
  <c r="AB168" i="1"/>
  <c r="CR165" i="1"/>
  <c r="BD163" i="1"/>
  <c r="P161" i="1"/>
  <c r="CF158" i="1"/>
  <c r="AR156" i="1"/>
  <c r="DH153" i="1"/>
  <c r="AS245" i="1"/>
  <c r="CW235" i="1"/>
  <c r="AM227" i="1"/>
  <c r="BO222" i="1"/>
  <c r="P219" i="1"/>
  <c r="DC215" i="1"/>
  <c r="O213" i="1"/>
  <c r="CE210" i="1"/>
  <c r="AQ208" i="1"/>
  <c r="DG205" i="1"/>
  <c r="BS203" i="1"/>
  <c r="AE201" i="1"/>
  <c r="CU198" i="1"/>
  <c r="BG196" i="1"/>
  <c r="S194" i="1"/>
  <c r="CI191" i="1"/>
  <c r="AU189" i="1"/>
  <c r="G187" i="1"/>
  <c r="BW184" i="1"/>
  <c r="AI182" i="1"/>
  <c r="CY179" i="1"/>
  <c r="BK177" i="1"/>
  <c r="W175" i="1"/>
  <c r="CM172" i="1"/>
  <c r="AY170" i="1"/>
  <c r="K168" i="1"/>
  <c r="CA165" i="1"/>
  <c r="AM163" i="1"/>
  <c r="DC160" i="1"/>
  <c r="BO158" i="1"/>
  <c r="AA156" i="1"/>
  <c r="CQ153" i="1"/>
  <c r="Y245" i="1"/>
  <c r="CC235" i="1"/>
  <c r="AC227" i="1"/>
  <c r="BE222" i="1"/>
  <c r="I219" i="1"/>
  <c r="CV215" i="1"/>
  <c r="J213" i="1"/>
  <c r="BZ210" i="1"/>
  <c r="AL208" i="1"/>
  <c r="DB205" i="1"/>
  <c r="BN203" i="1"/>
  <c r="Z201" i="1"/>
  <c r="CP198" i="1"/>
  <c r="BB196" i="1"/>
  <c r="N194" i="1"/>
  <c r="CD191" i="1"/>
  <c r="AP189" i="1"/>
  <c r="DF186" i="1"/>
  <c r="BR184" i="1"/>
  <c r="AD182" i="1"/>
  <c r="CT179" i="1"/>
  <c r="BF177" i="1"/>
  <c r="R175" i="1"/>
  <c r="CH172" i="1"/>
  <c r="AT170" i="1"/>
  <c r="F168" i="1"/>
  <c r="BV165" i="1"/>
  <c r="CL162" i="1"/>
  <c r="BN159" i="1"/>
  <c r="AX156" i="1"/>
  <c r="BN153" i="1"/>
  <c r="Y151" i="1"/>
  <c r="CO148" i="1"/>
  <c r="BA146" i="1"/>
  <c r="M144" i="1"/>
  <c r="CC141" i="1"/>
  <c r="AO139" i="1"/>
  <c r="DE136" i="1"/>
  <c r="BQ134" i="1"/>
  <c r="AC132" i="1"/>
  <c r="CS129" i="1"/>
  <c r="BE127" i="1"/>
  <c r="Q125" i="1"/>
  <c r="CG122" i="1"/>
  <c r="AS120" i="1"/>
  <c r="DI117" i="1"/>
  <c r="BU115" i="1"/>
  <c r="CJ269" i="1"/>
  <c r="AJ260" i="1"/>
  <c r="CN250" i="1"/>
  <c r="P243" i="1"/>
  <c r="AR238" i="1"/>
  <c r="BT233" i="1"/>
  <c r="CV228" i="1"/>
  <c r="T224" i="1"/>
  <c r="X300" i="1"/>
  <c r="BC290" i="1"/>
  <c r="CE285" i="1"/>
  <c r="DG280" i="1"/>
  <c r="DC276" i="1"/>
  <c r="BC251" i="1"/>
  <c r="AQ228" i="1"/>
  <c r="BR278" i="1"/>
  <c r="BV259" i="1"/>
  <c r="BZ240" i="1"/>
  <c r="CD221" i="1"/>
  <c r="U286" i="1"/>
  <c r="Y267" i="1"/>
  <c r="AC248" i="1"/>
  <c r="V302" i="1"/>
  <c r="CN284" i="1"/>
  <c r="CR265" i="1"/>
  <c r="CV246" i="1"/>
  <c r="CZ227" i="1"/>
  <c r="CI284" i="1"/>
  <c r="CM265" i="1"/>
  <c r="CQ246" i="1"/>
  <c r="CB307" i="1"/>
  <c r="R278" i="1"/>
  <c r="V259" i="1"/>
  <c r="Z240" i="1"/>
  <c r="AD221" i="1"/>
  <c r="BY285" i="1"/>
  <c r="BN314" i="1"/>
  <c r="BX304" i="1"/>
  <c r="AR277" i="1"/>
  <c r="AV258" i="1"/>
  <c r="AZ239" i="1"/>
  <c r="BD304" i="1"/>
  <c r="AM277" i="1"/>
  <c r="AQ258" i="1"/>
  <c r="AU239" i="1"/>
  <c r="BV289" i="1"/>
  <c r="BZ270" i="1"/>
  <c r="CD251" i="1"/>
  <c r="CH232" i="1"/>
  <c r="P308" i="1"/>
  <c r="AC278" i="1"/>
  <c r="BY266" i="1"/>
  <c r="Y261" i="1"/>
  <c r="BA256" i="1"/>
  <c r="CC251" i="1"/>
  <c r="DE246" i="1"/>
  <c r="CX316" i="1"/>
  <c r="BZ310" i="1"/>
  <c r="DB305" i="1"/>
  <c r="Z301" i="1"/>
  <c r="BB296" i="1"/>
  <c r="AF294" i="1"/>
  <c r="BP288" i="1"/>
  <c r="CR283" i="1"/>
  <c r="P279" i="1"/>
  <c r="AR274" i="1"/>
  <c r="BT269" i="1"/>
  <c r="CV264" i="1"/>
  <c r="T260" i="1"/>
  <c r="AV255" i="1"/>
  <c r="BX250" i="1"/>
  <c r="CZ245" i="1"/>
  <c r="X241" i="1"/>
  <c r="AZ236" i="1"/>
  <c r="CB231" i="1"/>
  <c r="DD226" i="1"/>
  <c r="AB222" i="1"/>
  <c r="V294" i="1"/>
  <c r="AM279" i="1"/>
  <c r="CQ253" i="1"/>
  <c r="S230" i="1"/>
  <c r="AT280" i="1"/>
  <c r="AX261" i="1"/>
  <c r="BB242" i="1"/>
  <c r="BF223" i="1"/>
  <c r="DA287" i="1"/>
  <c r="DE268" i="1"/>
  <c r="DI249" i="1"/>
  <c r="DB303" i="1"/>
  <c r="BP286" i="1"/>
  <c r="BT267" i="1"/>
  <c r="BX248" i="1"/>
  <c r="CB229" i="1"/>
  <c r="BK286" i="1"/>
  <c r="BO267" i="1"/>
  <c r="BS248" i="1"/>
  <c r="BW229" i="1"/>
  <c r="CX279" i="1"/>
  <c r="DB260" i="1"/>
  <c r="DF241" i="1"/>
  <c r="F223" i="1"/>
  <c r="BA287" i="1"/>
  <c r="DB316" i="1"/>
  <c r="BF296" i="1"/>
  <c r="T279" i="1"/>
  <c r="X260" i="1"/>
  <c r="AB241" i="1"/>
  <c r="AF222" i="1"/>
  <c r="O279" i="1"/>
  <c r="S260" i="1"/>
  <c r="W241" i="1"/>
  <c r="BJ291" i="1"/>
  <c r="BB272" i="1"/>
  <c r="BF253" i="1"/>
  <c r="BJ234" i="1"/>
  <c r="BN215" i="1"/>
  <c r="DI279" i="1"/>
  <c r="AG267" i="1"/>
  <c r="BU261" i="1"/>
  <c r="CW256" i="1"/>
  <c r="U252" i="1"/>
  <c r="AW247" i="1"/>
  <c r="CK230" i="1"/>
  <c r="V311" i="1"/>
  <c r="AT306" i="1"/>
  <c r="BV301" i="1"/>
  <c r="CX296" i="1"/>
  <c r="T295" i="1"/>
  <c r="H289" i="1"/>
  <c r="AJ284" i="1"/>
  <c r="BL279" i="1"/>
  <c r="CN274" i="1"/>
  <c r="L270" i="1"/>
  <c r="AN265" i="1"/>
  <c r="BP260" i="1"/>
  <c r="CR255" i="1"/>
  <c r="P251" i="1"/>
  <c r="AR246" i="1"/>
  <c r="BT241" i="1"/>
  <c r="CV236" i="1"/>
  <c r="T232" i="1"/>
  <c r="AV227" i="1"/>
  <c r="BX222" i="1"/>
  <c r="BW268" i="1"/>
  <c r="CI243" i="1"/>
  <c r="CP291" i="1"/>
  <c r="BZ272" i="1"/>
  <c r="CD253" i="1"/>
  <c r="CH234" i="1"/>
  <c r="CL215" i="1"/>
  <c r="AC280" i="1"/>
  <c r="AG261" i="1"/>
  <c r="BR316" i="1"/>
  <c r="AD296" i="1"/>
  <c r="CV278" i="1"/>
  <c r="CZ259" i="1"/>
  <c r="DD240" i="1"/>
  <c r="DH221" i="1"/>
  <c r="CQ278" i="1"/>
  <c r="CU259" i="1"/>
  <c r="CY240" i="1"/>
  <c r="Y291" i="1"/>
  <c r="Z272" i="1"/>
  <c r="AD253" i="1"/>
  <c r="AH234" i="1"/>
  <c r="AL215" i="1"/>
  <c r="CG279" i="1"/>
  <c r="CH307" i="1"/>
  <c r="AV290" i="1"/>
  <c r="AZ271" i="1"/>
  <c r="BD252" i="1"/>
  <c r="BH233" i="1"/>
  <c r="AH293" i="1"/>
  <c r="CU280" i="1"/>
  <c r="BW266" i="1"/>
  <c r="CM254" i="1"/>
  <c r="DC242" i="1"/>
  <c r="CE228" i="1"/>
  <c r="N286" i="1"/>
  <c r="AD274" i="1"/>
  <c r="F260" i="1"/>
  <c r="V248" i="1"/>
  <c r="AL236" i="1"/>
  <c r="N222" i="1"/>
  <c r="CT294" i="1"/>
  <c r="CK281" i="1"/>
  <c r="AO269" i="1"/>
  <c r="BE265" i="1"/>
  <c r="M262" i="1"/>
  <c r="BI258" i="1"/>
  <c r="BM255" i="1"/>
  <c r="BQ252" i="1"/>
  <c r="I249" i="1"/>
  <c r="AW244" i="1"/>
  <c r="BM232" i="1"/>
  <c r="AP313" i="1"/>
  <c r="CL309" i="1"/>
  <c r="CP306" i="1"/>
  <c r="AH303" i="1"/>
  <c r="AL300" i="1"/>
  <c r="AP297" i="1"/>
  <c r="DD300" i="1"/>
  <c r="CW292" i="1"/>
  <c r="BD289" i="1"/>
  <c r="CZ285" i="1"/>
  <c r="DD282" i="1"/>
  <c r="DH279" i="1"/>
  <c r="AZ276" i="1"/>
  <c r="BD273" i="1"/>
  <c r="BH270" i="1"/>
  <c r="DD266" i="1"/>
  <c r="DH263" i="1"/>
  <c r="H261" i="1"/>
  <c r="BD257" i="1"/>
  <c r="BH254" i="1"/>
  <c r="BL251" i="1"/>
  <c r="DH247" i="1"/>
  <c r="H245" i="1"/>
  <c r="L242" i="1"/>
  <c r="BH238" i="1"/>
  <c r="BL235" i="1"/>
  <c r="BP232" i="1"/>
  <c r="H229" i="1"/>
  <c r="L226" i="1"/>
  <c r="AR301" i="1"/>
  <c r="S289" i="1"/>
  <c r="AI285" i="1"/>
  <c r="AI281" i="1"/>
  <c r="S277" i="1"/>
  <c r="W274" i="1"/>
  <c r="AA271" i="1"/>
  <c r="BW267" i="1"/>
  <c r="CA264" i="1"/>
  <c r="CE261" i="1"/>
  <c r="W258" i="1"/>
  <c r="AA255" i="1"/>
  <c r="AE252" i="1"/>
  <c r="CA248" i="1"/>
  <c r="CE245" i="1"/>
  <c r="CI242" i="1"/>
  <c r="AA239" i="1"/>
  <c r="AE236" i="1"/>
  <c r="AI233" i="1"/>
  <c r="CE229" i="1"/>
  <c r="AF303" i="1"/>
  <c r="BX293" i="1"/>
  <c r="BB289" i="1"/>
  <c r="BF286" i="1"/>
  <c r="BJ283" i="1"/>
  <c r="DF279" i="1"/>
  <c r="F277" i="1"/>
  <c r="J274" i="1"/>
  <c r="BF270" i="1"/>
  <c r="BJ267" i="1"/>
  <c r="BN264" i="1"/>
  <c r="F261" i="1"/>
  <c r="J258" i="1"/>
  <c r="N255" i="1"/>
  <c r="BJ251" i="1"/>
  <c r="BN248" i="1"/>
  <c r="BR245" i="1"/>
  <c r="J242" i="1"/>
  <c r="N239" i="1"/>
  <c r="R236" i="1"/>
  <c r="BN232" i="1"/>
  <c r="BR229" i="1"/>
  <c r="BV226" i="1"/>
  <c r="N223" i="1"/>
  <c r="R220" i="1"/>
  <c r="V217" i="1"/>
  <c r="AR307" i="1"/>
  <c r="BZ295" i="1"/>
  <c r="M291" i="1"/>
  <c r="BI287" i="1"/>
  <c r="BM284" i="1"/>
  <c r="BQ281" i="1"/>
  <c r="I270" i="1"/>
  <c r="BA263" i="1"/>
  <c r="BI257" i="1"/>
  <c r="AW250" i="1"/>
  <c r="I238" i="1"/>
  <c r="AQ225" i="1"/>
  <c r="AS219" i="1"/>
  <c r="AY215" i="1"/>
  <c r="Q212" i="1"/>
  <c r="BM208" i="1"/>
  <c r="BQ205" i="1"/>
  <c r="BU202" i="1"/>
  <c r="M199" i="1"/>
  <c r="Q196" i="1"/>
  <c r="U193" i="1"/>
  <c r="BQ189" i="1"/>
  <c r="BU186" i="1"/>
  <c r="BY183" i="1"/>
  <c r="Q180" i="1"/>
  <c r="U177" i="1"/>
  <c r="Y174" i="1"/>
  <c r="BU170" i="1"/>
  <c r="BY167" i="1"/>
  <c r="CC164" i="1"/>
  <c r="U161" i="1"/>
  <c r="Y158" i="1"/>
  <c r="AC155" i="1"/>
  <c r="BY151" i="1"/>
  <c r="Y235" i="1"/>
  <c r="CK225" i="1"/>
  <c r="BX219" i="1"/>
  <c r="CC215" i="1"/>
  <c r="AN212" i="1"/>
  <c r="CJ208" i="1"/>
  <c r="CN205" i="1"/>
  <c r="CR202" i="1"/>
  <c r="AJ199" i="1"/>
  <c r="AN196" i="1"/>
  <c r="AR193" i="1"/>
  <c r="CN189" i="1"/>
  <c r="CR186" i="1"/>
  <c r="CV183" i="1"/>
  <c r="AN180" i="1"/>
  <c r="AR177" i="1"/>
  <c r="AV174" i="1"/>
  <c r="CR170" i="1"/>
  <c r="CV167" i="1"/>
  <c r="CZ164" i="1"/>
  <c r="AR161" i="1"/>
  <c r="AV158" i="1"/>
  <c r="AZ155" i="1"/>
  <c r="AW246" i="1"/>
  <c r="BM234" i="1"/>
  <c r="BC225" i="1"/>
  <c r="BA219" i="1"/>
  <c r="BG215" i="1"/>
  <c r="W212" i="1"/>
  <c r="BS208" i="1"/>
  <c r="BW205" i="1"/>
  <c r="CA202" i="1"/>
  <c r="S199" i="1"/>
  <c r="W196" i="1"/>
  <c r="AA193" i="1"/>
  <c r="BW189" i="1"/>
  <c r="CA186" i="1"/>
  <c r="CE183" i="1"/>
  <c r="W180" i="1"/>
  <c r="AA177" i="1"/>
  <c r="AE174" i="1"/>
  <c r="CA170" i="1"/>
  <c r="CE167" i="1"/>
  <c r="CI164" i="1"/>
  <c r="AA161" i="1"/>
  <c r="AE158" i="1"/>
  <c r="AI155" i="1"/>
  <c r="AC246" i="1"/>
  <c r="AS234" i="1"/>
  <c r="AS225" i="1"/>
  <c r="AU219" i="1"/>
  <c r="AZ215" i="1"/>
  <c r="R212" i="1"/>
  <c r="BN208" i="1"/>
  <c r="BR205" i="1"/>
  <c r="BV202" i="1"/>
  <c r="N199" i="1"/>
  <c r="R196" i="1"/>
  <c r="V193" i="1"/>
  <c r="BR189" i="1"/>
  <c r="BV186" i="1"/>
  <c r="BZ183" i="1"/>
  <c r="R180" i="1"/>
  <c r="V177" i="1"/>
  <c r="Z174" i="1"/>
  <c r="BV170" i="1"/>
  <c r="BZ167" i="1"/>
  <c r="CD164" i="1"/>
  <c r="AK269" i="1"/>
  <c r="M263" i="1"/>
  <c r="U257" i="1"/>
  <c r="I250" i="1"/>
  <c r="BM236" i="1"/>
  <c r="DG224" i="1"/>
  <c r="S219" i="1"/>
  <c r="X215" i="1"/>
  <c r="DA211" i="1"/>
  <c r="AS208" i="1"/>
  <c r="AW205" i="1"/>
  <c r="BA202" i="1"/>
  <c r="CW198" i="1"/>
  <c r="DA195" i="1"/>
  <c r="DE192" i="1"/>
  <c r="AW189" i="1"/>
  <c r="BA186" i="1"/>
  <c r="BE183" i="1"/>
  <c r="DA179" i="1"/>
  <c r="DE176" i="1"/>
  <c r="DI173" i="1"/>
  <c r="BA170" i="1"/>
  <c r="BE167" i="1"/>
  <c r="BI164" i="1"/>
  <c r="DE160" i="1"/>
  <c r="DI157" i="1"/>
  <c r="I155" i="1"/>
  <c r="AK246" i="1"/>
  <c r="BA234" i="1"/>
  <c r="AW225" i="1"/>
  <c r="AW219" i="1"/>
  <c r="BC215" i="1"/>
  <c r="T212" i="1"/>
  <c r="BP208" i="1"/>
  <c r="BT205" i="1"/>
  <c r="BX202" i="1"/>
  <c r="P199" i="1"/>
  <c r="T196" i="1"/>
  <c r="X193" i="1"/>
  <c r="CN190" i="1"/>
  <c r="AZ188" i="1"/>
  <c r="L186" i="1"/>
  <c r="CB183" i="1"/>
  <c r="AN181" i="1"/>
  <c r="DD178" i="1"/>
  <c r="BP176" i="1"/>
  <c r="BH305" i="1"/>
  <c r="I292" i="1"/>
  <c r="AE288" i="1"/>
  <c r="DG284" i="1"/>
  <c r="CU281" i="1"/>
  <c r="CI278" i="1"/>
  <c r="AU276" i="1"/>
  <c r="G274" i="1"/>
  <c r="BW271" i="1"/>
  <c r="AI269" i="1"/>
  <c r="CY266" i="1"/>
  <c r="BK264" i="1"/>
  <c r="W262" i="1"/>
  <c r="CM259" i="1"/>
  <c r="AY257" i="1"/>
  <c r="K255" i="1"/>
  <c r="CA252" i="1"/>
  <c r="AM250" i="1"/>
  <c r="DC247" i="1"/>
  <c r="BO245" i="1"/>
  <c r="AA243" i="1"/>
  <c r="CQ240" i="1"/>
  <c r="BC238" i="1"/>
  <c r="O236" i="1"/>
  <c r="CE233" i="1"/>
  <c r="AQ231" i="1"/>
  <c r="DG228" i="1"/>
  <c r="BX302" i="1"/>
  <c r="BH294" i="1"/>
  <c r="N291" i="1"/>
  <c r="CD288" i="1"/>
  <c r="AP286" i="1"/>
  <c r="DF283" i="1"/>
  <c r="BR281" i="1"/>
  <c r="AD279" i="1"/>
  <c r="CT276" i="1"/>
  <c r="BF274" i="1"/>
  <c r="R272" i="1"/>
  <c r="CH269" i="1"/>
  <c r="AT267" i="1"/>
  <c r="F265" i="1"/>
  <c r="BV262" i="1"/>
  <c r="AH260" i="1"/>
  <c r="CX257" i="1"/>
  <c r="BJ255" i="1"/>
  <c r="V253" i="1"/>
  <c r="CL250" i="1"/>
  <c r="AX248" i="1"/>
  <c r="J246" i="1"/>
  <c r="BZ243" i="1"/>
  <c r="AL241" i="1"/>
  <c r="DB238" i="1"/>
  <c r="BN236" i="1"/>
  <c r="Z234" i="1"/>
  <c r="CP231" i="1"/>
  <c r="BB229" i="1"/>
  <c r="N227" i="1"/>
  <c r="CD224" i="1"/>
  <c r="AP222" i="1"/>
  <c r="DF219" i="1"/>
  <c r="BR217" i="1"/>
  <c r="AD215" i="1"/>
  <c r="AV304" i="1"/>
  <c r="AT295" i="1"/>
  <c r="BY291" i="1"/>
  <c r="U289" i="1"/>
  <c r="CK286" i="1"/>
  <c r="AW284" i="1"/>
  <c r="I282" i="1"/>
  <c r="BM276" i="1"/>
  <c r="CW267" i="1"/>
  <c r="U263" i="1"/>
  <c r="AW258" i="1"/>
  <c r="BY253" i="1"/>
  <c r="DA248" i="1"/>
  <c r="CS236" i="1"/>
  <c r="AE226" i="1"/>
  <c r="BL221" i="1"/>
  <c r="AU218" i="1"/>
  <c r="AC215" i="1"/>
  <c r="BM212" i="1"/>
  <c r="Y210" i="1"/>
  <c r="CO207" i="1"/>
  <c r="BA205" i="1"/>
  <c r="M203" i="1"/>
  <c r="CC200" i="1"/>
  <c r="AO198" i="1"/>
  <c r="DE195" i="1"/>
  <c r="BQ193" i="1"/>
  <c r="AC191" i="1"/>
  <c r="CS188" i="1"/>
  <c r="BE186" i="1"/>
  <c r="Q184" i="1"/>
  <c r="CG181" i="1"/>
  <c r="AS179" i="1"/>
  <c r="DI176" i="1"/>
  <c r="BU174" i="1"/>
  <c r="AG172" i="1"/>
  <c r="CW169" i="1"/>
  <c r="BI167" i="1"/>
  <c r="U165" i="1"/>
  <c r="CK162" i="1"/>
  <c r="AW160" i="1"/>
  <c r="I158" i="1"/>
  <c r="BY155" i="1"/>
  <c r="AK153" i="1"/>
  <c r="M244" i="1"/>
  <c r="BQ234" i="1"/>
  <c r="BY226" i="1"/>
  <c r="DA221" i="1"/>
  <c r="BY218" i="1"/>
  <c r="BH215" i="1"/>
  <c r="CJ212" i="1"/>
  <c r="AV210" i="1"/>
  <c r="H208" i="1"/>
  <c r="BX205" i="1"/>
  <c r="AJ203" i="1"/>
  <c r="CZ200" i="1"/>
  <c r="BL198" i="1"/>
  <c r="X196" i="1"/>
  <c r="CN193" i="1"/>
  <c r="AZ191" i="1"/>
  <c r="L189" i="1"/>
  <c r="CB186" i="1"/>
  <c r="AN184" i="1"/>
  <c r="DD181" i="1"/>
  <c r="BP179" i="1"/>
  <c r="AB177" i="1"/>
  <c r="CR174" i="1"/>
  <c r="BD172" i="1"/>
  <c r="P170" i="1"/>
  <c r="CF167" i="1"/>
  <c r="AR165" i="1"/>
  <c r="DH162" i="1"/>
  <c r="BT160" i="1"/>
  <c r="AF158" i="1"/>
  <c r="CV155" i="1"/>
  <c r="BH153" i="1"/>
  <c r="BA243" i="1"/>
  <c r="DE233" i="1"/>
  <c r="AQ226" i="1"/>
  <c r="BT221" i="1"/>
  <c r="BC218" i="1"/>
  <c r="AK215" i="1"/>
  <c r="BS212" i="1"/>
  <c r="AE210" i="1"/>
  <c r="CU207" i="1"/>
  <c r="BG205" i="1"/>
  <c r="S203" i="1"/>
  <c r="CI200" i="1"/>
  <c r="AU198" i="1"/>
  <c r="G196" i="1"/>
  <c r="BW193" i="1"/>
  <c r="AI191" i="1"/>
  <c r="CY188" i="1"/>
  <c r="BK186" i="1"/>
  <c r="W184" i="1"/>
  <c r="CM181" i="1"/>
  <c r="AY179" i="1"/>
  <c r="K177" i="1"/>
  <c r="CA174" i="1"/>
  <c r="AM172" i="1"/>
  <c r="DC169" i="1"/>
  <c r="BO167" i="1"/>
  <c r="AA165" i="1"/>
  <c r="CQ162" i="1"/>
  <c r="BC160" i="1"/>
  <c r="O158" i="1"/>
  <c r="CE155" i="1"/>
  <c r="AQ153" i="1"/>
  <c r="AG243" i="1"/>
  <c r="CK233" i="1"/>
  <c r="AG226" i="1"/>
  <c r="BM221" i="1"/>
  <c r="AV218" i="1"/>
  <c r="AE215" i="1"/>
  <c r="BN212" i="1"/>
  <c r="Z210" i="1"/>
  <c r="CP207" i="1"/>
  <c r="BB205" i="1"/>
  <c r="N203" i="1"/>
  <c r="CD200" i="1"/>
  <c r="AP198" i="1"/>
  <c r="DF195" i="1"/>
  <c r="BR193" i="1"/>
  <c r="AD191" i="1"/>
  <c r="CT188" i="1"/>
  <c r="BF186" i="1"/>
  <c r="R184" i="1"/>
  <c r="CH181" i="1"/>
  <c r="AT179" i="1"/>
  <c r="F177" i="1"/>
  <c r="BV174" i="1"/>
  <c r="AH172" i="1"/>
  <c r="CX169" i="1"/>
  <c r="BJ167" i="1"/>
  <c r="V165" i="1"/>
  <c r="CO275" i="1"/>
  <c r="BI267" i="1"/>
  <c r="CK262" i="1"/>
  <c r="I258" i="1"/>
  <c r="AK253" i="1"/>
  <c r="BM248" i="1"/>
  <c r="AS235" i="1"/>
  <c r="CU225" i="1"/>
  <c r="AK221" i="1"/>
  <c r="T218" i="1"/>
  <c r="DG214" i="1"/>
  <c r="AS212" i="1"/>
  <c r="DI209" i="1"/>
  <c r="BU207" i="1"/>
  <c r="AG205" i="1"/>
  <c r="CW202" i="1"/>
  <c r="BI200" i="1"/>
  <c r="U198" i="1"/>
  <c r="CK195" i="1"/>
  <c r="AW193" i="1"/>
  <c r="I191" i="1"/>
  <c r="BY188" i="1"/>
  <c r="AK186" i="1"/>
  <c r="DA183" i="1"/>
  <c r="BM181" i="1"/>
  <c r="Y179" i="1"/>
  <c r="CO176" i="1"/>
  <c r="BA174" i="1"/>
  <c r="M172" i="1"/>
  <c r="CC169" i="1"/>
  <c r="AO167" i="1"/>
  <c r="DE164" i="1"/>
  <c r="BQ162" i="1"/>
  <c r="AC160" i="1"/>
  <c r="CS157" i="1"/>
  <c r="BE155" i="1"/>
  <c r="Q153" i="1"/>
  <c r="AO243" i="1"/>
  <c r="CS233" i="1"/>
  <c r="AK226" i="1"/>
  <c r="BP221" i="1"/>
  <c r="AY218" i="1"/>
  <c r="AG215" i="1"/>
  <c r="BP212" i="1"/>
  <c r="AB210" i="1"/>
  <c r="CR207" i="1"/>
  <c r="BD205" i="1"/>
  <c r="P203" i="1"/>
  <c r="CF200" i="1"/>
  <c r="AR198" i="1"/>
  <c r="DH195" i="1"/>
  <c r="BT193" i="1"/>
  <c r="AF191" i="1"/>
  <c r="CV188" i="1"/>
  <c r="BH186" i="1"/>
  <c r="T184" i="1"/>
  <c r="CJ181" i="1"/>
  <c r="AV179" i="1"/>
  <c r="H177" i="1"/>
  <c r="CB223" i="1"/>
  <c r="J295" i="1"/>
  <c r="BO289" i="1"/>
  <c r="BC286" i="1"/>
  <c r="AA283" i="1"/>
  <c r="O280" i="1"/>
  <c r="AY277" i="1"/>
  <c r="K275" i="1"/>
  <c r="CA272" i="1"/>
  <c r="AM270" i="1"/>
  <c r="DC267" i="1"/>
  <c r="BO265" i="1"/>
  <c r="AA263" i="1"/>
  <c r="CQ260" i="1"/>
  <c r="BC258" i="1"/>
  <c r="O256" i="1"/>
  <c r="CE253" i="1"/>
  <c r="AQ251" i="1"/>
  <c r="DG248" i="1"/>
  <c r="BS246" i="1"/>
  <c r="AE244" i="1"/>
  <c r="CU241" i="1"/>
  <c r="BG239" i="1"/>
  <c r="S237" i="1"/>
  <c r="CI234" i="1"/>
  <c r="AU232" i="1"/>
  <c r="G230" i="1"/>
  <c r="CN306" i="1"/>
  <c r="AN297" i="1"/>
  <c r="BD292" i="1"/>
  <c r="CH289" i="1"/>
  <c r="AT287" i="1"/>
  <c r="F285" i="1"/>
  <c r="BV282" i="1"/>
  <c r="AH280" i="1"/>
  <c r="CX277" i="1"/>
  <c r="BJ275" i="1"/>
  <c r="V273" i="1"/>
  <c r="CL270" i="1"/>
  <c r="AX268" i="1"/>
  <c r="J266" i="1"/>
  <c r="BZ263" i="1"/>
  <c r="AL261" i="1"/>
  <c r="DB258" i="1"/>
  <c r="BN256" i="1"/>
  <c r="Z254" i="1"/>
  <c r="CP251" i="1"/>
  <c r="BB249" i="1"/>
  <c r="N247" i="1"/>
  <c r="CD244" i="1"/>
  <c r="AP242" i="1"/>
  <c r="DF239" i="1"/>
  <c r="BR237" i="1"/>
  <c r="AD235" i="1"/>
  <c r="CT232" i="1"/>
  <c r="BF230" i="1"/>
  <c r="R228" i="1"/>
  <c r="CH225" i="1"/>
  <c r="AT223" i="1"/>
  <c r="F221" i="1"/>
  <c r="BV218" i="1"/>
  <c r="AH216" i="1"/>
  <c r="BL308" i="1"/>
  <c r="L299" i="1"/>
  <c r="J293" i="1"/>
  <c r="Y290" i="1"/>
  <c r="CO287" i="1"/>
  <c r="BA285" i="1"/>
  <c r="M283" i="1"/>
  <c r="CC280" i="1"/>
  <c r="AC271" i="1"/>
  <c r="AC265" i="1"/>
  <c r="BE260" i="1"/>
  <c r="CG255" i="1"/>
  <c r="DI250" i="1"/>
  <c r="U245" i="1"/>
  <c r="AW228" i="1"/>
  <c r="BO223" i="1"/>
  <c r="CJ219" i="1"/>
  <c r="BS216" i="1"/>
  <c r="BQ213" i="1"/>
  <c r="AC211" i="1"/>
  <c r="CS208" i="1"/>
  <c r="BE206" i="1"/>
  <c r="Q204" i="1"/>
  <c r="CG201" i="1"/>
  <c r="AS199" i="1"/>
  <c r="DI196" i="1"/>
  <c r="BU194" i="1"/>
  <c r="AG192" i="1"/>
  <c r="CW189" i="1"/>
  <c r="BI187" i="1"/>
  <c r="U185" i="1"/>
  <c r="CK182" i="1"/>
  <c r="AW180" i="1"/>
  <c r="I178" i="1"/>
  <c r="BY175" i="1"/>
  <c r="AK173" i="1"/>
  <c r="DA170" i="1"/>
  <c r="BM168" i="1"/>
  <c r="Y166" i="1"/>
  <c r="CO163" i="1"/>
  <c r="BA161" i="1"/>
  <c r="M159" i="1"/>
  <c r="CC156" i="1"/>
  <c r="AO154" i="1"/>
  <c r="DE151" i="1"/>
  <c r="CG238" i="1"/>
  <c r="AG229" i="1"/>
  <c r="DI223" i="1"/>
  <c r="K220" i="1"/>
  <c r="CW216" i="1"/>
  <c r="CN213" i="1"/>
  <c r="AZ211" i="1"/>
  <c r="L209" i="1"/>
  <c r="CB206" i="1"/>
  <c r="AN204" i="1"/>
  <c r="DD201" i="1"/>
  <c r="BP199" i="1"/>
  <c r="AB197" i="1"/>
  <c r="CR194" i="1"/>
  <c r="BD192" i="1"/>
  <c r="P190" i="1"/>
  <c r="CF187" i="1"/>
  <c r="AR185" i="1"/>
  <c r="DH182" i="1"/>
  <c r="BT180" i="1"/>
  <c r="AF178" i="1"/>
  <c r="CV175" i="1"/>
  <c r="BH173" i="1"/>
  <c r="T171" i="1"/>
  <c r="CJ168" i="1"/>
  <c r="AV166" i="1"/>
  <c r="H164" i="1"/>
  <c r="BX161" i="1"/>
  <c r="AJ159" i="1"/>
  <c r="CZ156" i="1"/>
  <c r="BL154" i="1"/>
  <c r="X152" i="1"/>
  <c r="Q238" i="1"/>
  <c r="BU228" i="1"/>
  <c r="CA223" i="1"/>
  <c r="CR219" i="1"/>
  <c r="CA216" i="1"/>
  <c r="BW213" i="1"/>
  <c r="AI211" i="1"/>
  <c r="CY208" i="1"/>
  <c r="BK206" i="1"/>
  <c r="W204" i="1"/>
  <c r="CM201" i="1"/>
  <c r="AY199" i="1"/>
  <c r="K197" i="1"/>
  <c r="CA194" i="1"/>
  <c r="AM192" i="1"/>
  <c r="DC189" i="1"/>
  <c r="BO187" i="1"/>
  <c r="AA185" i="1"/>
  <c r="CQ182" i="1"/>
  <c r="BC180" i="1"/>
  <c r="O178" i="1"/>
  <c r="CE175" i="1"/>
  <c r="AQ173" i="1"/>
  <c r="DG170" i="1"/>
  <c r="BS168" i="1"/>
  <c r="AE166" i="1"/>
  <c r="CU163" i="1"/>
  <c r="BG161" i="1"/>
  <c r="S159" i="1"/>
  <c r="CI156" i="1"/>
  <c r="AU154" i="1"/>
  <c r="G152" i="1"/>
  <c r="DA237" i="1"/>
  <c r="BA228" i="1"/>
  <c r="BQ223" i="1"/>
  <c r="CK219" i="1"/>
  <c r="BT216" i="1"/>
  <c r="BR213" i="1"/>
  <c r="AD211" i="1"/>
  <c r="CT208" i="1"/>
  <c r="BF206" i="1"/>
  <c r="R204" i="1"/>
  <c r="CH201" i="1"/>
  <c r="AT199" i="1"/>
  <c r="F197" i="1"/>
  <c r="BV194" i="1"/>
  <c r="AH192" i="1"/>
  <c r="CX189" i="1"/>
  <c r="BJ187" i="1"/>
  <c r="V185" i="1"/>
  <c r="CL182" i="1"/>
  <c r="AX180" i="1"/>
  <c r="J178" i="1"/>
  <c r="BZ175" i="1"/>
  <c r="AL173" i="1"/>
  <c r="DB170" i="1"/>
  <c r="BN168" i="1"/>
  <c r="Z166" i="1"/>
  <c r="DE279" i="1"/>
  <c r="BE270" i="1"/>
  <c r="CS264" i="1"/>
  <c r="Q260" i="1"/>
  <c r="AS255" i="1"/>
  <c r="BU250" i="1"/>
  <c r="BY243" i="1"/>
  <c r="DC227" i="1"/>
  <c r="AA223" i="1"/>
  <c r="BI219" i="1"/>
  <c r="AR216" i="1"/>
  <c r="AW213" i="1"/>
  <c r="I211" i="1"/>
  <c r="BY208" i="1"/>
  <c r="AK206" i="1"/>
  <c r="DA203" i="1"/>
  <c r="BM201" i="1"/>
  <c r="Y199" i="1"/>
  <c r="CO196" i="1"/>
  <c r="BA194" i="1"/>
  <c r="M192" i="1"/>
  <c r="CC189" i="1"/>
  <c r="AO187" i="1"/>
  <c r="DE184" i="1"/>
  <c r="BQ182" i="1"/>
  <c r="AC180" i="1"/>
  <c r="CS177" i="1"/>
  <c r="BE175" i="1"/>
  <c r="Q173" i="1"/>
  <c r="CG170" i="1"/>
  <c r="AS168" i="1"/>
  <c r="DI165" i="1"/>
  <c r="BU163" i="1"/>
  <c r="AG161" i="1"/>
  <c r="CW158" i="1"/>
  <c r="BI156" i="1"/>
  <c r="U154" i="1"/>
  <c r="CK151" i="1"/>
  <c r="DI237" i="1"/>
  <c r="BI228" i="1"/>
  <c r="BU223" i="1"/>
  <c r="CN219" i="1"/>
  <c r="BW216" i="1"/>
  <c r="BT213" i="1"/>
  <c r="AF211" i="1"/>
  <c r="CV208" i="1"/>
  <c r="BH206" i="1"/>
  <c r="T204" i="1"/>
  <c r="CJ201" i="1"/>
  <c r="AV199" i="1"/>
  <c r="H197" i="1"/>
  <c r="BX194" i="1"/>
  <c r="AJ192" i="1"/>
  <c r="CZ189" i="1"/>
  <c r="BL187" i="1"/>
  <c r="X185" i="1"/>
  <c r="CN182" i="1"/>
  <c r="AZ180" i="1"/>
  <c r="L178" i="1"/>
  <c r="CB175" i="1"/>
  <c r="P223" i="1"/>
  <c r="CH294" i="1"/>
  <c r="AY289" i="1"/>
  <c r="W286" i="1"/>
  <c r="K283" i="1"/>
  <c r="DC279" i="1"/>
  <c r="AI277" i="1"/>
  <c r="CY274" i="1"/>
  <c r="BK272" i="1"/>
  <c r="W270" i="1"/>
  <c r="CM267" i="1"/>
  <c r="AY265" i="1"/>
  <c r="K263" i="1"/>
  <c r="CA260" i="1"/>
  <c r="AM258" i="1"/>
  <c r="DC255" i="1"/>
  <c r="BO253" i="1"/>
  <c r="AA251" i="1"/>
  <c r="CQ248" i="1"/>
  <c r="BC246" i="1"/>
  <c r="O244" i="1"/>
  <c r="CE241" i="1"/>
  <c r="AQ239" i="1"/>
  <c r="DG236" i="1"/>
  <c r="BS234" i="1"/>
  <c r="AE232" i="1"/>
  <c r="CU229" i="1"/>
  <c r="AB306" i="1"/>
  <c r="CF296" i="1"/>
  <c r="AH292" i="1"/>
  <c r="BR289" i="1"/>
  <c r="AD287" i="1"/>
  <c r="CT284" i="1"/>
  <c r="BF282" i="1"/>
  <c r="R280" i="1"/>
  <c r="CH277" i="1"/>
  <c r="AT275" i="1"/>
  <c r="F273" i="1"/>
  <c r="BV270" i="1"/>
  <c r="AH268" i="1"/>
  <c r="CX265" i="1"/>
  <c r="BJ263" i="1"/>
  <c r="V261" i="1"/>
  <c r="CL258" i="1"/>
  <c r="AX256" i="1"/>
  <c r="J254" i="1"/>
  <c r="BZ251" i="1"/>
  <c r="AL249" i="1"/>
  <c r="DB246" i="1"/>
  <c r="BN244" i="1"/>
  <c r="Z242" i="1"/>
  <c r="CP239" i="1"/>
  <c r="BB237" i="1"/>
  <c r="N235" i="1"/>
  <c r="CD232" i="1"/>
  <c r="AP230" i="1"/>
  <c r="DF227" i="1"/>
  <c r="BR225" i="1"/>
  <c r="AD223" i="1"/>
  <c r="CT220" i="1"/>
  <c r="BF218" i="1"/>
  <c r="R216" i="1"/>
  <c r="DD307" i="1"/>
  <c r="BD298" i="1"/>
  <c r="CS292" i="1"/>
  <c r="I290" i="1"/>
  <c r="BY287" i="1"/>
  <c r="AK285" i="1"/>
  <c r="DA282" i="1"/>
  <c r="Q280" i="1"/>
  <c r="BU270" i="1"/>
  <c r="DA264" i="1"/>
  <c r="Y260" i="1"/>
  <c r="BA255" i="1"/>
  <c r="CC250" i="1"/>
  <c r="DE243" i="1"/>
  <c r="G228" i="1"/>
  <c r="AI223" i="1"/>
  <c r="BO219" i="1"/>
  <c r="AW216" i="1"/>
  <c r="BA213" i="1"/>
  <c r="M211" i="1"/>
  <c r="CC208" i="1"/>
  <c r="AO206" i="1"/>
  <c r="DE203" i="1"/>
  <c r="BQ201" i="1"/>
  <c r="AC199" i="1"/>
  <c r="CS196" i="1"/>
  <c r="BE194" i="1"/>
  <c r="Q192" i="1"/>
  <c r="CG189" i="1"/>
  <c r="AS187" i="1"/>
  <c r="DI184" i="1"/>
  <c r="BU182" i="1"/>
  <c r="AG180" i="1"/>
  <c r="CW177" i="1"/>
  <c r="BI175" i="1"/>
  <c r="U173" i="1"/>
  <c r="CK170" i="1"/>
  <c r="AW168" i="1"/>
  <c r="I166" i="1"/>
  <c r="BY163" i="1"/>
  <c r="AK161" i="1"/>
  <c r="DA158" i="1"/>
  <c r="BM156" i="1"/>
  <c r="Y154" i="1"/>
  <c r="CO151" i="1"/>
  <c r="U238" i="1"/>
  <c r="BY228" i="1"/>
  <c r="CC223" i="1"/>
  <c r="CS219" i="1"/>
  <c r="CB216" i="1"/>
  <c r="BX213" i="1"/>
  <c r="AJ211" i="1"/>
  <c r="CZ208" i="1"/>
  <c r="BL206" i="1"/>
  <c r="X204" i="1"/>
  <c r="CN201" i="1"/>
  <c r="AZ199" i="1"/>
  <c r="L197" i="1"/>
  <c r="CB194" i="1"/>
  <c r="AN192" i="1"/>
  <c r="DD189" i="1"/>
  <c r="BP187" i="1"/>
  <c r="AB185" i="1"/>
  <c r="CR182" i="1"/>
  <c r="BD180" i="1"/>
  <c r="P178" i="1"/>
  <c r="CF175" i="1"/>
  <c r="AR173" i="1"/>
  <c r="DH170" i="1"/>
  <c r="BT168" i="1"/>
  <c r="AF166" i="1"/>
  <c r="CV163" i="1"/>
  <c r="BH161" i="1"/>
  <c r="T159" i="1"/>
  <c r="CJ156" i="1"/>
  <c r="AV154" i="1"/>
  <c r="H152" i="1"/>
  <c r="BI237" i="1"/>
  <c r="S228" i="1"/>
  <c r="AU223" i="1"/>
  <c r="BW219" i="1"/>
  <c r="BE216" i="1"/>
  <c r="BG213" i="1"/>
  <c r="S211" i="1"/>
  <c r="CI208" i="1"/>
  <c r="AU206" i="1"/>
  <c r="G204" i="1"/>
  <c r="BW201" i="1"/>
  <c r="AI199" i="1"/>
  <c r="CY196" i="1"/>
  <c r="BK194" i="1"/>
  <c r="W192" i="1"/>
  <c r="CM189" i="1"/>
  <c r="AY187" i="1"/>
  <c r="K185" i="1"/>
  <c r="CA182" i="1"/>
  <c r="AM180" i="1"/>
  <c r="DC177" i="1"/>
  <c r="BO175" i="1"/>
  <c r="AA173" i="1"/>
  <c r="CQ170" i="1"/>
  <c r="BC168" i="1"/>
  <c r="O166" i="1"/>
  <c r="CE163" i="1"/>
  <c r="AQ161" i="1"/>
  <c r="DG158" i="1"/>
  <c r="BS156" i="1"/>
  <c r="AE154" i="1"/>
  <c r="CU151" i="1"/>
  <c r="AO237" i="1"/>
  <c r="I228" i="1"/>
  <c r="AK223" i="1"/>
  <c r="BP219" i="1"/>
  <c r="AY216" i="1"/>
  <c r="BB213" i="1"/>
  <c r="N211" i="1"/>
  <c r="CD208" i="1"/>
  <c r="AP206" i="1"/>
  <c r="DF203" i="1"/>
  <c r="BR201" i="1"/>
  <c r="AD199" i="1"/>
  <c r="CT196" i="1"/>
  <c r="BF194" i="1"/>
  <c r="R192" i="1"/>
  <c r="CH189" i="1"/>
  <c r="AT187" i="1"/>
  <c r="F185" i="1"/>
  <c r="BV182" i="1"/>
  <c r="AH180" i="1"/>
  <c r="CX177" i="1"/>
  <c r="BJ175" i="1"/>
  <c r="V173" i="1"/>
  <c r="CL170" i="1"/>
  <c r="AX168" i="1"/>
  <c r="J166" i="1"/>
  <c r="AS279" i="1"/>
  <c r="CW269" i="1"/>
  <c r="BM264" i="1"/>
  <c r="CO259" i="1"/>
  <c r="M255" i="1"/>
  <c r="AO250" i="1"/>
  <c r="BE242" i="1"/>
  <c r="BW227" i="1"/>
  <c r="CY222" i="1"/>
  <c r="AN219" i="1"/>
  <c r="W216" i="1"/>
  <c r="AG213" i="1"/>
  <c r="CW210" i="1"/>
  <c r="BI208" i="1"/>
  <c r="U206" i="1"/>
  <c r="CK203" i="1"/>
  <c r="AW201" i="1"/>
  <c r="I199" i="1"/>
  <c r="BY196" i="1"/>
  <c r="AK194" i="1"/>
  <c r="DA191" i="1"/>
  <c r="BM189" i="1"/>
  <c r="Y187" i="1"/>
  <c r="CO184" i="1"/>
  <c r="BA182" i="1"/>
  <c r="M180" i="1"/>
  <c r="CC177" i="1"/>
  <c r="AO175" i="1"/>
  <c r="DE172" i="1"/>
  <c r="BQ170" i="1"/>
  <c r="AC168" i="1"/>
  <c r="CS165" i="1"/>
  <c r="BE163" i="1"/>
  <c r="Q161" i="1"/>
  <c r="CG158" i="1"/>
  <c r="AS156" i="1"/>
  <c r="DI153" i="1"/>
  <c r="BU151" i="1"/>
  <c r="AW237" i="1"/>
  <c r="M228" i="1"/>
  <c r="AO223" i="1"/>
  <c r="BS219" i="1"/>
  <c r="BA216" i="1"/>
  <c r="BD213" i="1"/>
  <c r="P211" i="1"/>
  <c r="CF208" i="1"/>
  <c r="AR206" i="1"/>
  <c r="DH203" i="1"/>
  <c r="BT201" i="1"/>
  <c r="AF199" i="1"/>
  <c r="CV196" i="1"/>
  <c r="BH194" i="1"/>
  <c r="T192" i="1"/>
  <c r="CJ189" i="1"/>
  <c r="AV187" i="1"/>
  <c r="H185" i="1"/>
  <c r="BX182" i="1"/>
  <c r="AJ180" i="1"/>
  <c r="CZ177" i="1"/>
  <c r="CN174" i="1"/>
  <c r="T172" i="1"/>
  <c r="CJ169" i="1"/>
  <c r="AV167" i="1"/>
  <c r="H165" i="1"/>
  <c r="BX162" i="1"/>
  <c r="AJ160" i="1"/>
  <c r="CZ157" i="1"/>
  <c r="BL155" i="1"/>
  <c r="X153" i="1"/>
  <c r="Q242" i="1"/>
  <c r="BU232" i="1"/>
  <c r="CA225" i="1"/>
  <c r="X221" i="1"/>
  <c r="G218" i="1"/>
  <c r="CS214" i="1"/>
  <c r="AI212" i="1"/>
  <c r="CY209" i="1"/>
  <c r="BK207" i="1"/>
  <c r="W205" i="1"/>
  <c r="CM202" i="1"/>
  <c r="AY200" i="1"/>
  <c r="K198" i="1"/>
  <c r="CA195" i="1"/>
  <c r="AM193" i="1"/>
  <c r="DC190" i="1"/>
  <c r="BO188" i="1"/>
  <c r="AA186" i="1"/>
  <c r="CQ183" i="1"/>
  <c r="BC181" i="1"/>
  <c r="O179" i="1"/>
  <c r="CE176" i="1"/>
  <c r="AQ174" i="1"/>
  <c r="DG171" i="1"/>
  <c r="BS169" i="1"/>
  <c r="AE167" i="1"/>
  <c r="CU164" i="1"/>
  <c r="BG162" i="1"/>
  <c r="S160" i="1"/>
  <c r="CI157" i="1"/>
  <c r="AU155" i="1"/>
  <c r="G153" i="1"/>
  <c r="DA241" i="1"/>
  <c r="BA232" i="1"/>
  <c r="BQ225" i="1"/>
  <c r="Q221" i="1"/>
  <c r="DD217" i="1"/>
  <c r="CM214" i="1"/>
  <c r="AD212" i="1"/>
  <c r="CT209" i="1"/>
  <c r="BF207" i="1"/>
  <c r="R205" i="1"/>
  <c r="CH202" i="1"/>
  <c r="AT200" i="1"/>
  <c r="F198" i="1"/>
  <c r="BV195" i="1"/>
  <c r="AH193" i="1"/>
  <c r="CX190" i="1"/>
  <c r="BJ188" i="1"/>
  <c r="V186" i="1"/>
  <c r="CL183" i="1"/>
  <c r="AX181" i="1"/>
  <c r="J179" i="1"/>
  <c r="BZ176" i="1"/>
  <c r="AL174" i="1"/>
  <c r="DB171" i="1"/>
  <c r="BN169" i="1"/>
  <c r="Z167" i="1"/>
  <c r="CP164" i="1"/>
  <c r="BB162" i="1"/>
  <c r="N160" i="1"/>
  <c r="CD157" i="1"/>
  <c r="AP155" i="1"/>
  <c r="BE274" i="1"/>
  <c r="CS266" i="1"/>
  <c r="Q262" i="1"/>
  <c r="AS257" i="1"/>
  <c r="BU252" i="1"/>
  <c r="CW247" i="1"/>
  <c r="CC232" i="1"/>
  <c r="AA225" i="1"/>
  <c r="CS220" i="1"/>
  <c r="CB217" i="1"/>
  <c r="BK214" i="1"/>
  <c r="I212" i="1"/>
  <c r="BY209" i="1"/>
  <c r="AK207" i="1"/>
  <c r="DA204" i="1"/>
  <c r="BM202" i="1"/>
  <c r="Y200" i="1"/>
  <c r="CO197" i="1"/>
  <c r="BA195" i="1"/>
  <c r="M193" i="1"/>
  <c r="CC190" i="1"/>
  <c r="AO188" i="1"/>
  <c r="DE185" i="1"/>
  <c r="BQ183" i="1"/>
  <c r="AC181" i="1"/>
  <c r="CS178" i="1"/>
  <c r="BE176" i="1"/>
  <c r="Q174" i="1"/>
  <c r="CG171" i="1"/>
  <c r="AS169" i="1"/>
  <c r="DI166" i="1"/>
  <c r="BU164" i="1"/>
  <c r="AG162" i="1"/>
  <c r="CW159" i="1"/>
  <c r="BI157" i="1"/>
  <c r="U155" i="1"/>
  <c r="CK152" i="1"/>
  <c r="DI241" i="1"/>
  <c r="BI232" i="1"/>
  <c r="BU225" i="1"/>
  <c r="T221" i="1"/>
  <c r="DG217" i="1"/>
  <c r="CO214" i="1"/>
  <c r="AF212" i="1"/>
  <c r="CV209" i="1"/>
  <c r="BH207" i="1"/>
  <c r="T205" i="1"/>
  <c r="CJ202" i="1"/>
  <c r="AV200" i="1"/>
  <c r="H198" i="1"/>
  <c r="BX195" i="1"/>
  <c r="AJ193" i="1"/>
  <c r="CZ190" i="1"/>
  <c r="BL188" i="1"/>
  <c r="X186" i="1"/>
  <c r="CN183" i="1"/>
  <c r="AZ181" i="1"/>
  <c r="L179" i="1"/>
  <c r="CB176" i="1"/>
  <c r="AN174" i="1"/>
  <c r="DD171" i="1"/>
  <c r="BP169" i="1"/>
  <c r="AB167" i="1"/>
  <c r="CR164" i="1"/>
  <c r="BD162" i="1"/>
  <c r="P160" i="1"/>
  <c r="CF157" i="1"/>
  <c r="AR155" i="1"/>
  <c r="DH152" i="1"/>
  <c r="AS241" i="1"/>
  <c r="CW231" i="1"/>
  <c r="AM225" i="1"/>
  <c r="DA220" i="1"/>
  <c r="CJ217" i="1"/>
  <c r="BS214" i="1"/>
  <c r="O212" i="1"/>
  <c r="CE209" i="1"/>
  <c r="AQ207" i="1"/>
  <c r="DG204" i="1"/>
  <c r="BS202" i="1"/>
  <c r="AE200" i="1"/>
  <c r="CU197" i="1"/>
  <c r="BG195" i="1"/>
  <c r="S193" i="1"/>
  <c r="CI190" i="1"/>
  <c r="AU188" i="1"/>
  <c r="G186" i="1"/>
  <c r="BW183" i="1"/>
  <c r="AI181" i="1"/>
  <c r="CY178" i="1"/>
  <c r="BK176" i="1"/>
  <c r="W174" i="1"/>
  <c r="CM171" i="1"/>
  <c r="AY169" i="1"/>
  <c r="K167" i="1"/>
  <c r="CA164" i="1"/>
  <c r="AM162" i="1"/>
  <c r="DC159" i="1"/>
  <c r="BO157" i="1"/>
  <c r="AA155" i="1"/>
  <c r="CQ152" i="1"/>
  <c r="Y241" i="1"/>
  <c r="CC231" i="1"/>
  <c r="AC225" i="1"/>
  <c r="CU220" i="1"/>
  <c r="CC217" i="1"/>
  <c r="BL214" i="1"/>
  <c r="J212" i="1"/>
  <c r="BZ209" i="1"/>
  <c r="AL207" i="1"/>
  <c r="DB204" i="1"/>
  <c r="BN202" i="1"/>
  <c r="Z200" i="1"/>
  <c r="CP197" i="1"/>
  <c r="BB195" i="1"/>
  <c r="N193" i="1"/>
  <c r="CD190" i="1"/>
  <c r="AP188" i="1"/>
  <c r="DF185" i="1"/>
  <c r="BR183" i="1"/>
  <c r="AD181" i="1"/>
  <c r="CT178" i="1"/>
  <c r="BF176" i="1"/>
  <c r="R174" i="1"/>
  <c r="CH171" i="1"/>
  <c r="AT169" i="1"/>
  <c r="F167" i="1"/>
  <c r="BV164" i="1"/>
  <c r="M279" i="1"/>
  <c r="BQ269" i="1"/>
  <c r="AW264" i="1"/>
  <c r="BY259" i="1"/>
  <c r="DA254" i="1"/>
  <c r="Y250" i="1"/>
  <c r="CW241" i="1"/>
  <c r="BG227" i="1"/>
  <c r="CI222" i="1"/>
  <c r="AC219" i="1"/>
  <c r="L216" i="1"/>
  <c r="Y213" i="1"/>
  <c r="CO210" i="1"/>
  <c r="BA208" i="1"/>
  <c r="M206" i="1"/>
  <c r="CC203" i="1"/>
  <c r="AO201" i="1"/>
  <c r="DE198" i="1"/>
  <c r="BQ196" i="1"/>
  <c r="AC194" i="1"/>
  <c r="CS191" i="1"/>
  <c r="BE189" i="1"/>
  <c r="Q187" i="1"/>
  <c r="CG184" i="1"/>
  <c r="AS182" i="1"/>
  <c r="DI179" i="1"/>
  <c r="BU177" i="1"/>
  <c r="AG175" i="1"/>
  <c r="CW172" i="1"/>
  <c r="BI170" i="1"/>
  <c r="U168" i="1"/>
  <c r="CK165" i="1"/>
  <c r="AW163" i="1"/>
  <c r="I161" i="1"/>
  <c r="BY158" i="1"/>
  <c r="AK156" i="1"/>
  <c r="DA153" i="1"/>
  <c r="BQ246" i="1"/>
  <c r="Q237" i="1"/>
  <c r="DA227" i="1"/>
  <c r="Y223" i="1"/>
  <c r="BH219" i="1"/>
  <c r="AQ216" i="1"/>
  <c r="AV213" i="1"/>
  <c r="H211" i="1"/>
  <c r="BX208" i="1"/>
  <c r="AJ206" i="1"/>
  <c r="CZ203" i="1"/>
  <c r="BL201" i="1"/>
  <c r="X199" i="1"/>
  <c r="CN196" i="1"/>
  <c r="AZ194" i="1"/>
  <c r="L192" i="1"/>
  <c r="CB189" i="1"/>
  <c r="AN187" i="1"/>
  <c r="DD184" i="1"/>
  <c r="BP182" i="1"/>
  <c r="AB180" i="1"/>
  <c r="CR177" i="1"/>
  <c r="BD175" i="1"/>
  <c r="P173" i="1"/>
  <c r="CF170" i="1"/>
  <c r="AR168" i="1"/>
  <c r="DH165" i="1"/>
  <c r="BT163" i="1"/>
  <c r="AF161" i="1"/>
  <c r="CV158" i="1"/>
  <c r="BH156" i="1"/>
  <c r="T154" i="1"/>
  <c r="CU222" i="1"/>
  <c r="CU210" i="1"/>
  <c r="AU201" i="1"/>
  <c r="CY191" i="1"/>
  <c r="AY182" i="1"/>
  <c r="DC172" i="1"/>
  <c r="BC163" i="1"/>
  <c r="DG153" i="1"/>
  <c r="CK222" i="1"/>
  <c r="CP210" i="1"/>
  <c r="AP201" i="1"/>
  <c r="CT191" i="1"/>
  <c r="AT182" i="1"/>
  <c r="CX172" i="1"/>
  <c r="N163" i="1"/>
  <c r="AO151" i="1"/>
  <c r="CS141" i="1"/>
  <c r="AS132" i="1"/>
  <c r="CW122" i="1"/>
  <c r="AW113" i="1"/>
  <c r="DA103" i="1"/>
  <c r="BA94" i="1"/>
  <c r="DE84" i="1"/>
  <c r="BT150" i="1"/>
  <c r="T141" i="1"/>
  <c r="BX131" i="1"/>
  <c r="X122" i="1"/>
  <c r="CB112" i="1"/>
  <c r="AB103" i="1"/>
  <c r="CF93" i="1"/>
  <c r="AF84" i="1"/>
  <c r="BO150" i="1"/>
  <c r="O141" i="1"/>
  <c r="BS131" i="1"/>
  <c r="S122" i="1"/>
  <c r="BW112" i="1"/>
  <c r="W103" i="1"/>
  <c r="CA93" i="1"/>
  <c r="AA84" i="1"/>
  <c r="CH143" i="1"/>
  <c r="CP105" i="1"/>
  <c r="AM74" i="1"/>
  <c r="CQ64" i="1"/>
  <c r="AQ55" i="1"/>
  <c r="CU45" i="1"/>
  <c r="AU36" i="1"/>
  <c r="BZ162" i="1"/>
  <c r="U151" i="1"/>
  <c r="BY141" i="1"/>
  <c r="Y132" i="1"/>
  <c r="CC122" i="1"/>
  <c r="AC113" i="1"/>
  <c r="CG103" i="1"/>
  <c r="AG94" i="1"/>
  <c r="CK84" i="1"/>
  <c r="AZ150" i="1"/>
  <c r="DD140" i="1"/>
  <c r="BD131" i="1"/>
  <c r="DH121" i="1"/>
  <c r="BH112" i="1"/>
  <c r="H169" i="1"/>
  <c r="BL159" i="1"/>
  <c r="U239" i="1"/>
  <c r="H217" i="1"/>
  <c r="CM206" i="1"/>
  <c r="AM197" i="1"/>
  <c r="CQ187" i="1"/>
  <c r="AQ178" i="1"/>
  <c r="CU168" i="1"/>
  <c r="AU159" i="1"/>
  <c r="DE238" i="1"/>
  <c r="DE216" i="1"/>
  <c r="CH206" i="1"/>
  <c r="AH197" i="1"/>
  <c r="CL187" i="1"/>
  <c r="AL178" i="1"/>
  <c r="CP168" i="1"/>
  <c r="AP159" i="1"/>
  <c r="AS265" i="1"/>
  <c r="CG245" i="1"/>
  <c r="CC216" i="1"/>
  <c r="BM206" i="1"/>
  <c r="M197" i="1"/>
  <c r="BQ187" i="1"/>
  <c r="Q178" i="1"/>
  <c r="BU168" i="1"/>
  <c r="U159" i="1"/>
  <c r="I239" i="1"/>
  <c r="DH216" i="1"/>
  <c r="CJ206" i="1"/>
  <c r="AJ197" i="1"/>
  <c r="CN187" i="1"/>
  <c r="AN178" i="1"/>
  <c r="CR168" i="1"/>
  <c r="AR159" i="1"/>
  <c r="AW238" i="1"/>
  <c r="CK216" i="1"/>
  <c r="BS206" i="1"/>
  <c r="S197" i="1"/>
  <c r="BW187" i="1"/>
  <c r="W178" i="1"/>
  <c r="CA168" i="1"/>
  <c r="AA159" i="1"/>
  <c r="AC238" i="1"/>
  <c r="CE216" i="1"/>
  <c r="BN206" i="1"/>
  <c r="N197" i="1"/>
  <c r="BR187" i="1"/>
  <c r="R178" i="1"/>
  <c r="BV168" i="1"/>
  <c r="BY267" i="1"/>
  <c r="CC248" i="1"/>
  <c r="AE218" i="1"/>
  <c r="CC207" i="1"/>
  <c r="AC198" i="1"/>
  <c r="CG188" i="1"/>
  <c r="AG179" i="1"/>
  <c r="CK169" i="1"/>
  <c r="AK160" i="1"/>
  <c r="BU243" i="1"/>
  <c r="BI218" i="1"/>
  <c r="CZ207" i="1"/>
  <c r="AZ198" i="1"/>
  <c r="DD188" i="1"/>
  <c r="BD179" i="1"/>
  <c r="DH169" i="1"/>
  <c r="BH160" i="1"/>
  <c r="DI242" i="1"/>
  <c r="AM218" i="1"/>
  <c r="CI207" i="1"/>
  <c r="AI198" i="1"/>
  <c r="CM188" i="1"/>
  <c r="AM179" i="1"/>
  <c r="CQ169" i="1"/>
  <c r="AQ160" i="1"/>
  <c r="CO242" i="1"/>
  <c r="AF218" i="1"/>
  <c r="CD207" i="1"/>
  <c r="AD198" i="1"/>
  <c r="CH188" i="1"/>
  <c r="AH179" i="1"/>
  <c r="CL169" i="1"/>
  <c r="CL158" i="1"/>
  <c r="AC148" i="1"/>
  <c r="CG138" i="1"/>
  <c r="AG129" i="1"/>
  <c r="CK119" i="1"/>
  <c r="BY112" i="1"/>
  <c r="DA107" i="1"/>
  <c r="Y103" i="1"/>
  <c r="BA98" i="1"/>
  <c r="CC93" i="1"/>
  <c r="DE88" i="1"/>
  <c r="AC84" i="1"/>
  <c r="BE79" i="1"/>
  <c r="CV149" i="1"/>
  <c r="T145" i="1"/>
  <c r="AV140" i="1"/>
  <c r="BX135" i="1"/>
  <c r="CZ130" i="1"/>
  <c r="X126" i="1"/>
  <c r="AZ121" i="1"/>
  <c r="CB116" i="1"/>
  <c r="DD111" i="1"/>
  <c r="AB107" i="1"/>
  <c r="BD102" i="1"/>
  <c r="CF97" i="1"/>
  <c r="DH92" i="1"/>
  <c r="AF88" i="1"/>
  <c r="BH83" i="1"/>
  <c r="CJ78" i="1"/>
  <c r="CQ149" i="1"/>
  <c r="O145" i="1"/>
  <c r="AQ140" i="1"/>
  <c r="BS135" i="1"/>
  <c r="CU130" i="1"/>
  <c r="S126" i="1"/>
  <c r="AU121" i="1"/>
  <c r="BW116" i="1"/>
  <c r="CY111" i="1"/>
  <c r="W107" i="1"/>
  <c r="AY102" i="1"/>
  <c r="CA97" i="1"/>
  <c r="DC92" i="1"/>
  <c r="AA88" i="1"/>
  <c r="BC83" i="1"/>
  <c r="CE78" i="1"/>
  <c r="CL140" i="1"/>
  <c r="CP121" i="1"/>
  <c r="CT102" i="1"/>
  <c r="CX83" i="1"/>
  <c r="BO73" i="1"/>
  <c r="CQ68" i="1"/>
  <c r="O64" i="1"/>
  <c r="AQ59" i="1"/>
  <c r="BS54" i="1"/>
  <c r="CU49" i="1"/>
  <c r="S45" i="1"/>
  <c r="AU40" i="1"/>
  <c r="BW35" i="1"/>
  <c r="CY30" i="1"/>
  <c r="BZ161" i="1"/>
  <c r="AT155" i="1"/>
  <c r="AW150" i="1"/>
  <c r="BY145" i="1"/>
  <c r="DA140" i="1"/>
  <c r="Y136" i="1"/>
  <c r="BA131" i="1"/>
  <c r="CC126" i="1"/>
  <c r="DE121" i="1"/>
  <c r="AC117" i="1"/>
  <c r="BE112" i="1"/>
  <c r="CG107" i="1"/>
  <c r="DI102" i="1"/>
  <c r="AG98" i="1"/>
  <c r="BI93" i="1"/>
  <c r="CK88" i="1"/>
  <c r="I84" i="1"/>
  <c r="AK79" i="1"/>
  <c r="CB149" i="1"/>
  <c r="DD144" i="1"/>
  <c r="AB140" i="1"/>
  <c r="BD135" i="1"/>
  <c r="CF130" i="1"/>
  <c r="DH125" i="1"/>
  <c r="AF121" i="1"/>
  <c r="BH116" i="1"/>
  <c r="CJ111" i="1"/>
  <c r="AR174" i="1"/>
  <c r="BD169" i="1"/>
  <c r="CF164" i="1"/>
  <c r="DH159" i="1"/>
  <c r="AF155" i="1"/>
  <c r="DA240" i="1"/>
  <c r="O225" i="1"/>
  <c r="BT217" i="1"/>
  <c r="DG211" i="1"/>
  <c r="AE207" i="1"/>
  <c r="BG202" i="1"/>
  <c r="S200" i="1"/>
  <c r="CI197" i="1"/>
  <c r="AU195" i="1"/>
  <c r="G193" i="1"/>
  <c r="BW190" i="1"/>
  <c r="AI188" i="1"/>
  <c r="CY185" i="1"/>
  <c r="BK183" i="1"/>
  <c r="W181" i="1"/>
  <c r="CM178" i="1"/>
  <c r="AY176" i="1"/>
  <c r="K174" i="1"/>
  <c r="CA171" i="1"/>
  <c r="AM169" i="1"/>
  <c r="DC166" i="1"/>
  <c r="BO164" i="1"/>
  <c r="AA162" i="1"/>
  <c r="CQ159" i="1"/>
  <c r="BC157" i="1"/>
  <c r="O155" i="1"/>
  <c r="CE152" i="1"/>
  <c r="CG240" i="1"/>
  <c r="AG231" i="1"/>
  <c r="DI224" i="1"/>
  <c r="CE220" i="1"/>
  <c r="BM217" i="1"/>
  <c r="AV214" i="1"/>
  <c r="DB211" i="1"/>
  <c r="BN209" i="1"/>
  <c r="Z207" i="1"/>
  <c r="CP204" i="1"/>
  <c r="BB202" i="1"/>
  <c r="N200" i="1"/>
  <c r="CD197" i="1"/>
  <c r="AP195" i="1"/>
  <c r="DF192" i="1"/>
  <c r="BR190" i="1"/>
  <c r="AD188" i="1"/>
  <c r="CT185" i="1"/>
  <c r="BF183" i="1"/>
  <c r="R181" i="1"/>
  <c r="CH178" i="1"/>
  <c r="AT176" i="1"/>
  <c r="F174" i="1"/>
  <c r="BV171" i="1"/>
  <c r="AH169" i="1"/>
  <c r="CX166" i="1"/>
  <c r="BJ164" i="1"/>
  <c r="V162" i="1"/>
  <c r="CL159" i="1"/>
  <c r="AX157" i="1"/>
  <c r="J155" i="1"/>
  <c r="AK273" i="1"/>
  <c r="AG266" i="1"/>
  <c r="BI261" i="1"/>
  <c r="CK256" i="1"/>
  <c r="I252" i="1"/>
  <c r="AK247" i="1"/>
  <c r="BU230" i="1"/>
  <c r="BS224" i="1"/>
  <c r="BC220" i="1"/>
  <c r="AK217" i="1"/>
  <c r="T214" i="1"/>
  <c r="CG211" i="1"/>
  <c r="AS209" i="1"/>
  <c r="DI206" i="1"/>
  <c r="BU204" i="1"/>
  <c r="AG202" i="1"/>
  <c r="CW199" i="1"/>
  <c r="BI197" i="1"/>
  <c r="U195" i="1"/>
  <c r="CK192" i="1"/>
  <c r="AW190" i="1"/>
  <c r="I188" i="1"/>
  <c r="BY185" i="1"/>
  <c r="AK183" i="1"/>
  <c r="DA180" i="1"/>
  <c r="BM178" i="1"/>
  <c r="Y176" i="1"/>
  <c r="CO173" i="1"/>
  <c r="BA171" i="1"/>
  <c r="M169" i="1"/>
  <c r="CC166" i="1"/>
  <c r="AO164" i="1"/>
  <c r="DE161" i="1"/>
  <c r="BQ159" i="1"/>
  <c r="AC157" i="1"/>
  <c r="CS154" i="1"/>
  <c r="BE152" i="1"/>
  <c r="CO240" i="1"/>
  <c r="AO231" i="1"/>
  <c r="I225" i="1"/>
  <c r="CG220" i="1"/>
  <c r="BP217" i="1"/>
  <c r="AY214" i="1"/>
  <c r="DD211" i="1"/>
  <c r="BP209" i="1"/>
  <c r="AB207" i="1"/>
  <c r="CR204" i="1"/>
  <c r="BD202" i="1"/>
  <c r="P200" i="1"/>
  <c r="CF197" i="1"/>
  <c r="AR195" i="1"/>
  <c r="DH192" i="1"/>
  <c r="BT190" i="1"/>
  <c r="AF188" i="1"/>
  <c r="CV185" i="1"/>
  <c r="BH183" i="1"/>
  <c r="T181" i="1"/>
  <c r="CJ178" i="1"/>
  <c r="AV176" i="1"/>
  <c r="H174" i="1"/>
  <c r="BX171" i="1"/>
  <c r="AJ169" i="1"/>
  <c r="CZ166" i="1"/>
  <c r="BL164" i="1"/>
  <c r="X162" i="1"/>
  <c r="CN159" i="1"/>
  <c r="AZ157" i="1"/>
  <c r="L155" i="1"/>
  <c r="CB152" i="1"/>
  <c r="Y240" i="1"/>
  <c r="CC230" i="1"/>
  <c r="CE224" i="1"/>
  <c r="BK220" i="1"/>
  <c r="AS217" i="1"/>
  <c r="AB214" i="1"/>
  <c r="CM211" i="1"/>
  <c r="AY209" i="1"/>
  <c r="K207" i="1"/>
  <c r="CA204" i="1"/>
  <c r="AM202" i="1"/>
  <c r="DC199" i="1"/>
  <c r="BO197" i="1"/>
  <c r="AA195" i="1"/>
  <c r="CQ192" i="1"/>
  <c r="BC190" i="1"/>
  <c r="O188" i="1"/>
  <c r="CE185" i="1"/>
  <c r="AQ183" i="1"/>
  <c r="DG180" i="1"/>
  <c r="BS178" i="1"/>
  <c r="AE176" i="1"/>
  <c r="CU173" i="1"/>
  <c r="BG171" i="1"/>
  <c r="S169" i="1"/>
  <c r="CI166" i="1"/>
  <c r="AU164" i="1"/>
  <c r="G162" i="1"/>
  <c r="BW159" i="1"/>
  <c r="AI157" i="1"/>
  <c r="CY154" i="1"/>
  <c r="BK152" i="1"/>
  <c r="DI239" i="1"/>
  <c r="BI230" i="1"/>
  <c r="BU224" i="1"/>
  <c r="BD220" i="1"/>
  <c r="AM217" i="1"/>
  <c r="U214" i="1"/>
  <c r="CH211" i="1"/>
  <c r="AT209" i="1"/>
  <c r="F207" i="1"/>
  <c r="BV204" i="1"/>
  <c r="AH202" i="1"/>
  <c r="CX199" i="1"/>
  <c r="BJ197" i="1"/>
  <c r="V195" i="1"/>
  <c r="CL192" i="1"/>
  <c r="AX190" i="1"/>
  <c r="J188" i="1"/>
  <c r="BZ185" i="1"/>
  <c r="AL183" i="1"/>
  <c r="DB180" i="1"/>
  <c r="BN178" i="1"/>
  <c r="Z176" i="1"/>
  <c r="CP173" i="1"/>
  <c r="BB171" i="1"/>
  <c r="N169" i="1"/>
  <c r="CD166" i="1"/>
  <c r="AP164" i="1"/>
  <c r="CW277" i="1"/>
  <c r="BM268" i="1"/>
  <c r="CO263" i="1"/>
  <c r="M259" i="1"/>
  <c r="AO254" i="1"/>
  <c r="BQ249" i="1"/>
  <c r="BI239" i="1"/>
  <c r="CY226" i="1"/>
  <c r="W222" i="1"/>
  <c r="CQ218" i="1"/>
  <c r="BY215" i="1"/>
  <c r="CW212" i="1"/>
  <c r="BI210" i="1"/>
  <c r="U208" i="1"/>
  <c r="CK205" i="1"/>
  <c r="AW203" i="1"/>
  <c r="I201" i="1"/>
  <c r="BY198" i="1"/>
  <c r="AK196" i="1"/>
  <c r="DA193" i="1"/>
  <c r="BM191" i="1"/>
  <c r="Y189" i="1"/>
  <c r="CO186" i="1"/>
  <c r="BA184" i="1"/>
  <c r="M182" i="1"/>
  <c r="CC179" i="1"/>
  <c r="AO177" i="1"/>
  <c r="DE174" i="1"/>
  <c r="BQ172" i="1"/>
  <c r="AC170" i="1"/>
  <c r="CS167" i="1"/>
  <c r="BE165" i="1"/>
  <c r="Q163" i="1"/>
  <c r="CG160" i="1"/>
  <c r="AS158" i="1"/>
  <c r="DI155" i="1"/>
  <c r="BU153" i="1"/>
  <c r="AW245" i="1"/>
  <c r="DA235" i="1"/>
  <c r="AO227" i="1"/>
  <c r="BQ222" i="1"/>
  <c r="Q219" i="1"/>
  <c r="DD215" i="1"/>
  <c r="P213" i="1"/>
  <c r="CF210" i="1"/>
  <c r="AR208" i="1"/>
  <c r="DH205" i="1"/>
  <c r="BT203" i="1"/>
  <c r="AF201" i="1"/>
  <c r="CV198" i="1"/>
  <c r="BH196" i="1"/>
  <c r="T194" i="1"/>
  <c r="CJ191" i="1"/>
  <c r="AV189" i="1"/>
  <c r="H187" i="1"/>
  <c r="BX184" i="1"/>
  <c r="AJ182" i="1"/>
  <c r="CZ179" i="1"/>
  <c r="BL177" i="1"/>
  <c r="X175" i="1"/>
  <c r="CN172" i="1"/>
  <c r="AZ170" i="1"/>
  <c r="L168" i="1"/>
  <c r="CB165" i="1"/>
  <c r="AN163" i="1"/>
  <c r="DD160" i="1"/>
  <c r="BP158" i="1"/>
  <c r="AB156" i="1"/>
  <c r="CR153" i="1"/>
  <c r="CK244" i="1"/>
  <c r="AK235" i="1"/>
  <c r="G227" i="1"/>
  <c r="AI222" i="1"/>
  <c r="CY218" i="1"/>
  <c r="CG215" i="1"/>
  <c r="DC212" i="1"/>
  <c r="BO210" i="1"/>
  <c r="AA208" i="1"/>
  <c r="CQ205" i="1"/>
  <c r="BC203" i="1"/>
  <c r="O201" i="1"/>
  <c r="CE198" i="1"/>
  <c r="AQ196" i="1"/>
  <c r="DG193" i="1"/>
  <c r="BS191" i="1"/>
  <c r="AE189" i="1"/>
  <c r="CU186" i="1"/>
  <c r="BG184" i="1"/>
  <c r="S182" i="1"/>
  <c r="CI179" i="1"/>
  <c r="AU177" i="1"/>
  <c r="G175" i="1"/>
  <c r="BW172" i="1"/>
  <c r="AI170" i="1"/>
  <c r="CY167" i="1"/>
  <c r="BK165" i="1"/>
  <c r="W163" i="1"/>
  <c r="CM160" i="1"/>
  <c r="AY158" i="1"/>
  <c r="K156" i="1"/>
  <c r="CA153" i="1"/>
  <c r="BQ244" i="1"/>
  <c r="Q235" i="1"/>
  <c r="DA226" i="1"/>
  <c r="Y222" i="1"/>
  <c r="CR218" i="1"/>
  <c r="CA215" i="1"/>
  <c r="CX212" i="1"/>
  <c r="BJ210" i="1"/>
  <c r="V208" i="1"/>
  <c r="CL205" i="1"/>
  <c r="AX203" i="1"/>
  <c r="J201" i="1"/>
  <c r="BZ198" i="1"/>
  <c r="AL196" i="1"/>
  <c r="DB193" i="1"/>
  <c r="BN191" i="1"/>
  <c r="Z189" i="1"/>
  <c r="CP186" i="1"/>
  <c r="BB184" i="1"/>
  <c r="N182" i="1"/>
  <c r="CD179" i="1"/>
  <c r="AP177" i="1"/>
  <c r="DF174" i="1"/>
  <c r="BR172" i="1"/>
  <c r="AD170" i="1"/>
  <c r="CT167" i="1"/>
  <c r="BF165" i="1"/>
  <c r="BJ162" i="1"/>
  <c r="AT159" i="1"/>
  <c r="Z156" i="1"/>
  <c r="AX153" i="1"/>
  <c r="I151" i="1"/>
  <c r="BY148" i="1"/>
  <c r="AK146" i="1"/>
  <c r="DA143" i="1"/>
  <c r="BM141" i="1"/>
  <c r="Y139" i="1"/>
  <c r="CO136" i="1"/>
  <c r="BA134" i="1"/>
  <c r="M132" i="1"/>
  <c r="CC129" i="1"/>
  <c r="AO127" i="1"/>
  <c r="DE124" i="1"/>
  <c r="BQ122" i="1"/>
  <c r="AC120" i="1"/>
  <c r="CS117" i="1"/>
  <c r="BE115" i="1"/>
  <c r="Q113" i="1"/>
  <c r="CG110" i="1"/>
  <c r="AS108" i="1"/>
  <c r="DI105" i="1"/>
  <c r="BU103" i="1"/>
  <c r="AG101" i="1"/>
  <c r="CW98" i="1"/>
  <c r="BI96" i="1"/>
  <c r="U94" i="1"/>
  <c r="CK91" i="1"/>
  <c r="AW89" i="1"/>
  <c r="I87" i="1"/>
  <c r="BY84" i="1"/>
  <c r="AK82" i="1"/>
  <c r="DA79" i="1"/>
  <c r="BM77" i="1"/>
  <c r="AN150" i="1"/>
  <c r="DD147" i="1"/>
  <c r="BP145" i="1"/>
  <c r="AB143" i="1"/>
  <c r="CR140" i="1"/>
  <c r="BD138" i="1"/>
  <c r="P136" i="1"/>
  <c r="CF133" i="1"/>
  <c r="AR131" i="1"/>
  <c r="DH128" i="1"/>
  <c r="BT126" i="1"/>
  <c r="AF124" i="1"/>
  <c r="CV121" i="1"/>
  <c r="BH119" i="1"/>
  <c r="T117" i="1"/>
  <c r="CJ114" i="1"/>
  <c r="AV112" i="1"/>
  <c r="H110" i="1"/>
  <c r="BX107" i="1"/>
  <c r="AJ105" i="1"/>
  <c r="CZ102" i="1"/>
  <c r="BL100" i="1"/>
  <c r="X98" i="1"/>
  <c r="CN95" i="1"/>
  <c r="AZ93" i="1"/>
  <c r="L91" i="1"/>
  <c r="CB88" i="1"/>
  <c r="AN86" i="1"/>
  <c r="DD83" i="1"/>
  <c r="BP81" i="1"/>
  <c r="AB79" i="1"/>
  <c r="CR76" i="1"/>
  <c r="AI150" i="1"/>
  <c r="CY147" i="1"/>
  <c r="BK145" i="1"/>
  <c r="W143" i="1"/>
  <c r="CM140" i="1"/>
  <c r="AY138" i="1"/>
  <c r="K136" i="1"/>
  <c r="CA133" i="1"/>
  <c r="AM131" i="1"/>
  <c r="DC128" i="1"/>
  <c r="BO126" i="1"/>
  <c r="AA124" i="1"/>
  <c r="CQ121" i="1"/>
  <c r="BC119" i="1"/>
  <c r="O117" i="1"/>
  <c r="CE114" i="1"/>
  <c r="AQ112" i="1"/>
  <c r="DG109" i="1"/>
  <c r="BS107" i="1"/>
  <c r="AE105" i="1"/>
  <c r="CU102" i="1"/>
  <c r="BG100" i="1"/>
  <c r="S98" i="1"/>
  <c r="CI95" i="1"/>
  <c r="AU93" i="1"/>
  <c r="G91" i="1"/>
  <c r="BW88" i="1"/>
  <c r="AI86" i="1"/>
  <c r="CY83" i="1"/>
  <c r="BK81" i="1"/>
  <c r="W79" i="1"/>
  <c r="CM76" i="1"/>
  <c r="BN142" i="1"/>
  <c r="N133" i="1"/>
  <c r="BR123" i="1"/>
  <c r="R114" i="1"/>
  <c r="BV104" i="1"/>
  <c r="V95" i="1"/>
  <c r="BZ85" i="1"/>
  <c r="BJ76" i="1"/>
  <c r="G74" i="1"/>
  <c r="BW71" i="1"/>
  <c r="AI69" i="1"/>
  <c r="CY66" i="1"/>
  <c r="BK64" i="1"/>
  <c r="W62" i="1"/>
  <c r="CM59" i="1"/>
  <c r="AY57" i="1"/>
  <c r="K55" i="1"/>
  <c r="CA52" i="1"/>
  <c r="AM50" i="1"/>
  <c r="DC47" i="1"/>
  <c r="BO45" i="1"/>
  <c r="AA43" i="1"/>
  <c r="CQ40" i="1"/>
  <c r="BC38" i="1"/>
  <c r="O36" i="1"/>
  <c r="CE33" i="1"/>
  <c r="AQ31" i="1"/>
  <c r="DG28" i="1"/>
  <c r="AH162" i="1"/>
  <c r="R159" i="1"/>
  <c r="DF155" i="1"/>
  <c r="AD153" i="1"/>
  <c r="CS150" i="1"/>
  <c r="BE148" i="1"/>
  <c r="Q146" i="1"/>
  <c r="CG143" i="1"/>
  <c r="AS141" i="1"/>
  <c r="DI138" i="1"/>
  <c r="BU136" i="1"/>
  <c r="AG134" i="1"/>
  <c r="CW131" i="1"/>
  <c r="BI129" i="1"/>
  <c r="U127" i="1"/>
  <c r="CK124" i="1"/>
  <c r="AW122" i="1"/>
  <c r="I120" i="1"/>
  <c r="BY117" i="1"/>
  <c r="AK115" i="1"/>
  <c r="DA112" i="1"/>
  <c r="BM110" i="1"/>
  <c r="Y108" i="1"/>
  <c r="CO105" i="1"/>
  <c r="BA103" i="1"/>
  <c r="M101" i="1"/>
  <c r="CC98" i="1"/>
  <c r="AO96" i="1"/>
  <c r="DE93" i="1"/>
  <c r="BQ91" i="1"/>
  <c r="AC89" i="1"/>
  <c r="CS86" i="1"/>
  <c r="BE84" i="1"/>
  <c r="Q82" i="1"/>
  <c r="CG79" i="1"/>
  <c r="AS77" i="1"/>
  <c r="T150" i="1"/>
  <c r="CJ147" i="1"/>
  <c r="AV145" i="1"/>
  <c r="H143" i="1"/>
  <c r="BX140" i="1"/>
  <c r="AJ138" i="1"/>
  <c r="CZ135" i="1"/>
  <c r="BL133" i="1"/>
  <c r="X131" i="1"/>
  <c r="CN128" i="1"/>
  <c r="AZ126" i="1"/>
  <c r="L124" i="1"/>
  <c r="CB121" i="1"/>
  <c r="AN119" i="1"/>
  <c r="DD116" i="1"/>
  <c r="BP114" i="1"/>
  <c r="AB112" i="1"/>
  <c r="CR109" i="1"/>
  <c r="BD173" i="1"/>
  <c r="P171" i="1"/>
  <c r="CF168" i="1"/>
  <c r="AR166" i="1"/>
  <c r="DH163" i="1"/>
  <c r="BT161" i="1"/>
  <c r="AF159" i="1"/>
  <c r="CV156" i="1"/>
  <c r="BH154" i="1"/>
  <c r="T152" i="1"/>
  <c r="DE237" i="1"/>
  <c r="BE228" i="1"/>
  <c r="BS223" i="1"/>
  <c r="CM219" i="1"/>
  <c r="BU216" i="1"/>
  <c r="BS213" i="1"/>
  <c r="AE211" i="1"/>
  <c r="CU208" i="1"/>
  <c r="BG206" i="1"/>
  <c r="S204" i="1"/>
  <c r="CI201" i="1"/>
  <c r="AU199" i="1"/>
  <c r="G197" i="1"/>
  <c r="BW194" i="1"/>
  <c r="AI192" i="1"/>
  <c r="CY189" i="1"/>
  <c r="BK187" i="1"/>
  <c r="W185" i="1"/>
  <c r="CM182" i="1"/>
  <c r="AY180" i="1"/>
  <c r="K178" i="1"/>
  <c r="CA175" i="1"/>
  <c r="AM173" i="1"/>
  <c r="DC170" i="1"/>
  <c r="BO168" i="1"/>
  <c r="AA166" i="1"/>
  <c r="CQ163" i="1"/>
  <c r="BC161" i="1"/>
  <c r="O159" i="1"/>
  <c r="CE156" i="1"/>
  <c r="AQ154" i="1"/>
  <c r="DG151" i="1"/>
  <c r="CK237" i="1"/>
  <c r="AK228" i="1"/>
  <c r="BI223" i="1"/>
  <c r="CF219" i="1"/>
  <c r="BO216" i="1"/>
  <c r="BN213" i="1"/>
  <c r="Z211" i="1"/>
  <c r="CP208" i="1"/>
  <c r="BB206" i="1"/>
  <c r="N204" i="1"/>
  <c r="CD201" i="1"/>
  <c r="AP199" i="1"/>
  <c r="DF196" i="1"/>
  <c r="BR194" i="1"/>
  <c r="AD192" i="1"/>
  <c r="CT189" i="1"/>
  <c r="BF187" i="1"/>
  <c r="R185" i="1"/>
  <c r="CH182" i="1"/>
  <c r="AT180" i="1"/>
  <c r="F178" i="1"/>
  <c r="BV175" i="1"/>
  <c r="AH173" i="1"/>
  <c r="CX170" i="1"/>
  <c r="BJ168" i="1"/>
  <c r="V166" i="1"/>
  <c r="CL163" i="1"/>
  <c r="AX161" i="1"/>
  <c r="J159" i="1"/>
  <c r="BZ156" i="1"/>
  <c r="CO279" i="1"/>
  <c r="AO270" i="1"/>
  <c r="CK264" i="1"/>
  <c r="I260" i="1"/>
  <c r="AK255" i="1"/>
  <c r="BM250" i="1"/>
  <c r="AS243" i="1"/>
  <c r="CU227" i="1"/>
  <c r="S223" i="1"/>
  <c r="BD219" i="1"/>
  <c r="AM216" i="1"/>
  <c r="AS213" i="1"/>
  <c r="DI210" i="1"/>
  <c r="BU208" i="1"/>
  <c r="AG206" i="1"/>
  <c r="CW203" i="1"/>
  <c r="BI201" i="1"/>
  <c r="U199" i="1"/>
  <c r="CK196" i="1"/>
  <c r="AW194" i="1"/>
  <c r="I192" i="1"/>
  <c r="BY189" i="1"/>
  <c r="AK187" i="1"/>
  <c r="DA184" i="1"/>
  <c r="BM182" i="1"/>
  <c r="Y180" i="1"/>
  <c r="CO177" i="1"/>
  <c r="BA175" i="1"/>
  <c r="M173" i="1"/>
  <c r="CC170" i="1"/>
  <c r="AO168" i="1"/>
  <c r="DE165" i="1"/>
  <c r="BQ163" i="1"/>
  <c r="AC161" i="1"/>
  <c r="CS158" i="1"/>
  <c r="BE156" i="1"/>
  <c r="Q154" i="1"/>
  <c r="CG151" i="1"/>
  <c r="CS237" i="1"/>
  <c r="AS228" i="1"/>
  <c r="BM223" i="1"/>
  <c r="CI219" i="1"/>
  <c r="BQ216" i="1"/>
  <c r="BP213" i="1"/>
  <c r="AB211" i="1"/>
  <c r="CR208" i="1"/>
  <c r="BD206" i="1"/>
  <c r="P204" i="1"/>
  <c r="CF201" i="1"/>
  <c r="AR199" i="1"/>
  <c r="DH196" i="1"/>
  <c r="BT194" i="1"/>
  <c r="AF192" i="1"/>
  <c r="CV189" i="1"/>
  <c r="BH187" i="1"/>
  <c r="T185" i="1"/>
  <c r="CJ182" i="1"/>
  <c r="AV180" i="1"/>
  <c r="H178" i="1"/>
  <c r="BX175" i="1"/>
  <c r="AJ173" i="1"/>
  <c r="CZ170" i="1"/>
  <c r="BL168" i="1"/>
  <c r="X166" i="1"/>
  <c r="CN163" i="1"/>
  <c r="AZ161" i="1"/>
  <c r="L159" i="1"/>
  <c r="CB156" i="1"/>
  <c r="AN154" i="1"/>
  <c r="DD151" i="1"/>
  <c r="AC237" i="1"/>
  <c r="DG227" i="1"/>
  <c r="AE223" i="1"/>
  <c r="BL219" i="1"/>
  <c r="AU216" i="1"/>
  <c r="AY213" i="1"/>
  <c r="K211" i="1"/>
  <c r="CA208" i="1"/>
  <c r="AM206" i="1"/>
  <c r="DC203" i="1"/>
  <c r="BO201" i="1"/>
  <c r="AA199" i="1"/>
  <c r="CQ196" i="1"/>
  <c r="BC194" i="1"/>
  <c r="O192" i="1"/>
  <c r="CE189" i="1"/>
  <c r="AQ187" i="1"/>
  <c r="DG184" i="1"/>
  <c r="BS182" i="1"/>
  <c r="AE180" i="1"/>
  <c r="CU177" i="1"/>
  <c r="BG175" i="1"/>
  <c r="S173" i="1"/>
  <c r="CI170" i="1"/>
  <c r="AU168" i="1"/>
  <c r="G166" i="1"/>
  <c r="BW163" i="1"/>
  <c r="AI161" i="1"/>
  <c r="CY158" i="1"/>
  <c r="BK156" i="1"/>
  <c r="W154" i="1"/>
  <c r="BI246" i="1"/>
  <c r="I237" i="1"/>
  <c r="CW227" i="1"/>
  <c r="U223" i="1"/>
  <c r="BE219" i="1"/>
  <c r="AN216" i="1"/>
  <c r="AT213" i="1"/>
  <c r="F211" i="1"/>
  <c r="BV208" i="1"/>
  <c r="AH206" i="1"/>
  <c r="CX203" i="1"/>
  <c r="BJ201" i="1"/>
  <c r="V199" i="1"/>
  <c r="CL196" i="1"/>
  <c r="AX194" i="1"/>
  <c r="J192" i="1"/>
  <c r="BZ189" i="1"/>
  <c r="AL187" i="1"/>
  <c r="DB184" i="1"/>
  <c r="BN182" i="1"/>
  <c r="Z180" i="1"/>
  <c r="CP177" i="1"/>
  <c r="BB175" i="1"/>
  <c r="N173" i="1"/>
  <c r="CD170" i="1"/>
  <c r="AP168" i="1"/>
  <c r="DF165" i="1"/>
  <c r="BR163" i="1"/>
  <c r="DA274" i="1"/>
  <c r="M267" i="1"/>
  <c r="AO262" i="1"/>
  <c r="BQ257" i="1"/>
  <c r="CS252" i="1"/>
  <c r="Q248" i="1"/>
  <c r="BQ233" i="1"/>
  <c r="AY225" i="1"/>
  <c r="DI220" i="1"/>
  <c r="CR217" i="1"/>
  <c r="CA214" i="1"/>
  <c r="U212" i="1"/>
  <c r="CK209" i="1"/>
  <c r="AW207" i="1"/>
  <c r="I205" i="1"/>
  <c r="BY202" i="1"/>
  <c r="AK200" i="1"/>
  <c r="DA197" i="1"/>
  <c r="BM195" i="1"/>
  <c r="Y193" i="1"/>
  <c r="CO190" i="1"/>
  <c r="BA188" i="1"/>
  <c r="M186" i="1"/>
  <c r="CC183" i="1"/>
  <c r="AO181" i="1"/>
  <c r="DE178" i="1"/>
  <c r="BQ176" i="1"/>
  <c r="AC174" i="1"/>
  <c r="CS171" i="1"/>
  <c r="BE169" i="1"/>
  <c r="Q167" i="1"/>
  <c r="CG164" i="1"/>
  <c r="AS162" i="1"/>
  <c r="DI159" i="1"/>
  <c r="BU157" i="1"/>
  <c r="AG155" i="1"/>
  <c r="CW152" i="1"/>
  <c r="BA242" i="1"/>
  <c r="DE232" i="1"/>
  <c r="CS225" i="1"/>
  <c r="AJ221" i="1"/>
  <c r="S218" i="1"/>
  <c r="DE214" i="1"/>
  <c r="AR212" i="1"/>
  <c r="DH209" i="1"/>
  <c r="BT207" i="1"/>
  <c r="AF205" i="1"/>
  <c r="CV202" i="1"/>
  <c r="BH200" i="1"/>
  <c r="T198" i="1"/>
  <c r="CJ195" i="1"/>
  <c r="AV193" i="1"/>
  <c r="H191" i="1"/>
  <c r="BX188" i="1"/>
  <c r="AJ186" i="1"/>
  <c r="CZ183" i="1"/>
  <c r="BL181" i="1"/>
  <c r="X179" i="1"/>
  <c r="CN176" i="1"/>
  <c r="AZ174" i="1"/>
  <c r="L172" i="1"/>
  <c r="CB169" i="1"/>
  <c r="AN167" i="1"/>
  <c r="DD164" i="1"/>
  <c r="BP162" i="1"/>
  <c r="AB160" i="1"/>
  <c r="CR157" i="1"/>
  <c r="BD155" i="1"/>
  <c r="P153" i="1"/>
  <c r="CO241" i="1"/>
  <c r="AO232" i="1"/>
  <c r="BK225" i="1"/>
  <c r="M221" i="1"/>
  <c r="CZ217" i="1"/>
  <c r="CI214" i="1"/>
  <c r="AA212" i="1"/>
  <c r="CQ209" i="1"/>
  <c r="BC207" i="1"/>
  <c r="O205" i="1"/>
  <c r="CE202" i="1"/>
  <c r="AQ200" i="1"/>
  <c r="DG197" i="1"/>
  <c r="BS195" i="1"/>
  <c r="AE193" i="1"/>
  <c r="CU190" i="1"/>
  <c r="BG188" i="1"/>
  <c r="S186" i="1"/>
  <c r="CI183" i="1"/>
  <c r="AU181" i="1"/>
  <c r="G179" i="1"/>
  <c r="BW176" i="1"/>
  <c r="AI174" i="1"/>
  <c r="CY171" i="1"/>
  <c r="BK169" i="1"/>
  <c r="W167" i="1"/>
  <c r="CM164" i="1"/>
  <c r="AY162" i="1"/>
  <c r="K160" i="1"/>
  <c r="CA157" i="1"/>
  <c r="AM155" i="1"/>
  <c r="DC152" i="1"/>
  <c r="BU241" i="1"/>
  <c r="U232" i="1"/>
  <c r="BA225" i="1"/>
  <c r="G221" i="1"/>
  <c r="CS217" i="1"/>
  <c r="CB214" i="1"/>
  <c r="V212" i="1"/>
  <c r="CL209" i="1"/>
  <c r="AX207" i="1"/>
  <c r="J205" i="1"/>
  <c r="BZ202" i="1"/>
  <c r="AL200" i="1"/>
  <c r="DB197" i="1"/>
  <c r="BN195" i="1"/>
  <c r="Z193" i="1"/>
  <c r="CP190" i="1"/>
  <c r="BB188" i="1"/>
  <c r="N186" i="1"/>
  <c r="CD183" i="1"/>
  <c r="AP181" i="1"/>
  <c r="DF178" i="1"/>
  <c r="BR176" i="1"/>
  <c r="AD174" i="1"/>
  <c r="CT171" i="1"/>
  <c r="BF169" i="1"/>
  <c r="R167" i="1"/>
  <c r="CH164" i="1"/>
  <c r="BJ161" i="1"/>
  <c r="AT158" i="1"/>
  <c r="AD155" i="1"/>
  <c r="BZ152" i="1"/>
  <c r="AK150" i="1"/>
  <c r="DA147" i="1"/>
  <c r="BM145" i="1"/>
  <c r="Y143" i="1"/>
  <c r="CO140" i="1"/>
  <c r="BA138" i="1"/>
  <c r="M136" i="1"/>
  <c r="CC133" i="1"/>
  <c r="AO131" i="1"/>
  <c r="DE128" i="1"/>
  <c r="BQ126" i="1"/>
  <c r="AC124" i="1"/>
  <c r="CS121" i="1"/>
  <c r="BE119" i="1"/>
  <c r="Q117" i="1"/>
  <c r="CG114" i="1"/>
  <c r="AS112" i="1"/>
  <c r="DI109" i="1"/>
  <c r="BU107" i="1"/>
  <c r="AG105" i="1"/>
  <c r="CW102" i="1"/>
  <c r="BI100" i="1"/>
  <c r="U98" i="1"/>
  <c r="CK95" i="1"/>
  <c r="AW93" i="1"/>
  <c r="I91" i="1"/>
  <c r="BY88" i="1"/>
  <c r="AK86" i="1"/>
  <c r="DA83" i="1"/>
  <c r="BM81" i="1"/>
  <c r="Y79" i="1"/>
  <c r="CO76" i="1"/>
  <c r="BP149" i="1"/>
  <c r="AB147" i="1"/>
  <c r="CR144" i="1"/>
  <c r="BD142" i="1"/>
  <c r="P140" i="1"/>
  <c r="CF137" i="1"/>
  <c r="AR135" i="1"/>
  <c r="DH132" i="1"/>
  <c r="BT130" i="1"/>
  <c r="AF128" i="1"/>
  <c r="CV125" i="1"/>
  <c r="BH123" i="1"/>
  <c r="T121" i="1"/>
  <c r="CJ118" i="1"/>
  <c r="AV116" i="1"/>
  <c r="H114" i="1"/>
  <c r="BX111" i="1"/>
  <c r="AJ109" i="1"/>
  <c r="CZ106" i="1"/>
  <c r="BL104" i="1"/>
  <c r="X102" i="1"/>
  <c r="CN99" i="1"/>
  <c r="AZ97" i="1"/>
  <c r="L95" i="1"/>
  <c r="CB92" i="1"/>
  <c r="AN90" i="1"/>
  <c r="DD87" i="1"/>
  <c r="BP85" i="1"/>
  <c r="AB83" i="1"/>
  <c r="CR80" i="1"/>
  <c r="BD78" i="1"/>
  <c r="P76" i="1"/>
  <c r="BK149" i="1"/>
  <c r="W147" i="1"/>
  <c r="CM144" i="1"/>
  <c r="AY142" i="1"/>
  <c r="K140" i="1"/>
  <c r="CA137" i="1"/>
  <c r="AM135" i="1"/>
  <c r="DC132" i="1"/>
  <c r="BO130" i="1"/>
  <c r="AA128" i="1"/>
  <c r="CQ125" i="1"/>
  <c r="BC123" i="1"/>
  <c r="O121" i="1"/>
  <c r="CE118" i="1"/>
  <c r="AQ116" i="1"/>
  <c r="DG113" i="1"/>
  <c r="BS111" i="1"/>
  <c r="AE109" i="1"/>
  <c r="CU106" i="1"/>
  <c r="BG104" i="1"/>
  <c r="S102" i="1"/>
  <c r="CI99" i="1"/>
  <c r="AU97" i="1"/>
  <c r="G95" i="1"/>
  <c r="BW92" i="1"/>
  <c r="AI90" i="1"/>
  <c r="CY87" i="1"/>
  <c r="BK85" i="1"/>
  <c r="W83" i="1"/>
  <c r="CM80" i="1"/>
  <c r="AY78" i="1"/>
  <c r="N149" i="1"/>
  <c r="BR139" i="1"/>
  <c r="R130" i="1"/>
  <c r="BV120" i="1"/>
  <c r="V111" i="1"/>
  <c r="BZ101" i="1"/>
  <c r="Z92" i="1"/>
  <c r="CD82" i="1"/>
  <c r="BW75" i="1"/>
  <c r="AI73" i="1"/>
  <c r="CY70" i="1"/>
  <c r="BK68" i="1"/>
  <c r="W66" i="1"/>
  <c r="CM63" i="1"/>
  <c r="AY61" i="1"/>
  <c r="K59" i="1"/>
  <c r="CA56" i="1"/>
  <c r="AM54" i="1"/>
  <c r="DC51" i="1"/>
  <c r="BO49" i="1"/>
  <c r="AA47" i="1"/>
  <c r="CQ44" i="1"/>
  <c r="BC42" i="1"/>
  <c r="O40" i="1"/>
  <c r="CE37" i="1"/>
  <c r="AQ35" i="1"/>
  <c r="DG32" i="1"/>
  <c r="BS30" i="1"/>
  <c r="AE28" i="1"/>
  <c r="AL161" i="1"/>
  <c r="R158" i="1"/>
  <c r="DF154" i="1"/>
  <c r="BF152" i="1"/>
  <c r="Q150" i="1"/>
  <c r="CG147" i="1"/>
  <c r="AS145" i="1"/>
  <c r="DI142" i="1"/>
  <c r="BU140" i="1"/>
  <c r="AG138" i="1"/>
  <c r="CW135" i="1"/>
  <c r="BI133" i="1"/>
  <c r="U131" i="1"/>
  <c r="CK128" i="1"/>
  <c r="AW126" i="1"/>
  <c r="I124" i="1"/>
  <c r="BY121" i="1"/>
  <c r="AK119" i="1"/>
  <c r="DA116" i="1"/>
  <c r="BM114" i="1"/>
  <c r="Y112" i="1"/>
  <c r="CO109" i="1"/>
  <c r="BA107" i="1"/>
  <c r="M105" i="1"/>
  <c r="CC102" i="1"/>
  <c r="AO100" i="1"/>
  <c r="DE97" i="1"/>
  <c r="BQ95" i="1"/>
  <c r="AC93" i="1"/>
  <c r="CS90" i="1"/>
  <c r="BE88" i="1"/>
  <c r="Q86" i="1"/>
  <c r="CG83" i="1"/>
  <c r="AS81" i="1"/>
  <c r="DI78" i="1"/>
  <c r="CV151" i="1"/>
  <c r="AV149" i="1"/>
  <c r="H147" i="1"/>
  <c r="BX144" i="1"/>
  <c r="AJ142" i="1"/>
  <c r="CZ139" i="1"/>
  <c r="BL137" i="1"/>
  <c r="X135" i="1"/>
  <c r="CN132" i="1"/>
  <c r="AZ130" i="1"/>
  <c r="L128" i="1"/>
  <c r="CB125" i="1"/>
  <c r="AN123" i="1"/>
  <c r="DD120" i="1"/>
  <c r="BP118" i="1"/>
  <c r="AB116" i="1"/>
  <c r="CR113" i="1"/>
  <c r="BD111" i="1"/>
  <c r="P109" i="1"/>
  <c r="CF106" i="1"/>
  <c r="AJ106" i="1"/>
  <c r="CZ103" i="1"/>
  <c r="BL101" i="1"/>
  <c r="X99" i="1"/>
  <c r="CN96" i="1"/>
  <c r="AZ94" i="1"/>
  <c r="L92" i="1"/>
  <c r="CB89" i="1"/>
  <c r="AN87" i="1"/>
  <c r="DD84" i="1"/>
  <c r="BP82" i="1"/>
  <c r="AB80" i="1"/>
  <c r="CR77" i="1"/>
  <c r="AI151" i="1"/>
  <c r="CY148" i="1"/>
  <c r="BK146" i="1"/>
  <c r="W144" i="1"/>
  <c r="CM141" i="1"/>
  <c r="AY139" i="1"/>
  <c r="K137" i="1"/>
  <c r="CA134" i="1"/>
  <c r="AM132" i="1"/>
  <c r="DC129" i="1"/>
  <c r="BO127" i="1"/>
  <c r="AA125" i="1"/>
  <c r="CQ122" i="1"/>
  <c r="BC120" i="1"/>
  <c r="O118" i="1"/>
  <c r="CE115" i="1"/>
  <c r="AQ113" i="1"/>
  <c r="DG110" i="1"/>
  <c r="BS108" i="1"/>
  <c r="AE106" i="1"/>
  <c r="CU103" i="1"/>
  <c r="BG101" i="1"/>
  <c r="S99" i="1"/>
  <c r="CI96" i="1"/>
  <c r="AU94" i="1"/>
  <c r="G92" i="1"/>
  <c r="BW89" i="1"/>
  <c r="AI87" i="1"/>
  <c r="CY84" i="1"/>
  <c r="BK82" i="1"/>
  <c r="W80" i="1"/>
  <c r="CM77" i="1"/>
  <c r="BN146" i="1"/>
  <c r="N137" i="1"/>
  <c r="BR127" i="1"/>
  <c r="R118" i="1"/>
  <c r="BV108" i="1"/>
  <c r="V99" i="1"/>
  <c r="BZ89" i="1"/>
  <c r="Z80" i="1"/>
  <c r="G75" i="1"/>
  <c r="BW72" i="1"/>
  <c r="AI70" i="1"/>
  <c r="CY67" i="1"/>
  <c r="BK65" i="1"/>
  <c r="W63" i="1"/>
  <c r="CM60" i="1"/>
  <c r="AY58" i="1"/>
  <c r="K56" i="1"/>
  <c r="CA53" i="1"/>
  <c r="AM51" i="1"/>
  <c r="DC48" i="1"/>
  <c r="BO46" i="1"/>
  <c r="AA44" i="1"/>
  <c r="CQ41" i="1"/>
  <c r="BC39" i="1"/>
  <c r="O37" i="1"/>
  <c r="CE34" i="1"/>
  <c r="AQ32" i="1"/>
  <c r="DG29" i="1"/>
  <c r="BS27" i="1"/>
  <c r="BB160" i="1"/>
  <c r="AL157" i="1"/>
  <c r="AD154" i="1"/>
  <c r="CT151" i="1"/>
  <c r="BE149" i="1"/>
  <c r="Q147" i="1"/>
  <c r="CG144" i="1"/>
  <c r="AS142" i="1"/>
  <c r="DI139" i="1"/>
  <c r="BU137" i="1"/>
  <c r="AG135" i="1"/>
  <c r="CW132" i="1"/>
  <c r="BI130" i="1"/>
  <c r="U128" i="1"/>
  <c r="CK125" i="1"/>
  <c r="AW123" i="1"/>
  <c r="I121" i="1"/>
  <c r="BY118" i="1"/>
  <c r="AK116" i="1"/>
  <c r="DA113" i="1"/>
  <c r="BM111" i="1"/>
  <c r="Y109" i="1"/>
  <c r="CO106" i="1"/>
  <c r="BA104" i="1"/>
  <c r="M102" i="1"/>
  <c r="CC99" i="1"/>
  <c r="AO97" i="1"/>
  <c r="DE94" i="1"/>
  <c r="BQ92" i="1"/>
  <c r="AC90" i="1"/>
  <c r="CS87" i="1"/>
  <c r="BE85" i="1"/>
  <c r="Q83" i="1"/>
  <c r="CG80" i="1"/>
  <c r="AS78" i="1"/>
  <c r="T151" i="1"/>
  <c r="CJ148" i="1"/>
  <c r="AV146" i="1"/>
  <c r="H144" i="1"/>
  <c r="BX141" i="1"/>
  <c r="AJ139" i="1"/>
  <c r="CZ136" i="1"/>
  <c r="BL134" i="1"/>
  <c r="X132" i="1"/>
  <c r="CN129" i="1"/>
  <c r="AZ127" i="1"/>
  <c r="L125" i="1"/>
  <c r="CB122" i="1"/>
  <c r="AN120" i="1"/>
  <c r="DD117" i="1"/>
  <c r="BP115" i="1"/>
  <c r="AB113" i="1"/>
  <c r="CR110" i="1"/>
  <c r="BD108" i="1"/>
  <c r="P106" i="1"/>
  <c r="CF103" i="1"/>
  <c r="AR101" i="1"/>
  <c r="DH98" i="1"/>
  <c r="BT96" i="1"/>
  <c r="AF94" i="1"/>
  <c r="CV91" i="1"/>
  <c r="BH89" i="1"/>
  <c r="T87" i="1"/>
  <c r="CJ84" i="1"/>
  <c r="AV82" i="1"/>
  <c r="H80" i="1"/>
  <c r="BX77" i="1"/>
  <c r="O151" i="1"/>
  <c r="CE148" i="1"/>
  <c r="AQ146" i="1"/>
  <c r="DG143" i="1"/>
  <c r="BS141" i="1"/>
  <c r="AE139" i="1"/>
  <c r="CU136" i="1"/>
  <c r="BG134" i="1"/>
  <c r="S132" i="1"/>
  <c r="CI129" i="1"/>
  <c r="AU127" i="1"/>
  <c r="G125" i="1"/>
  <c r="BW122" i="1"/>
  <c r="AI120" i="1"/>
  <c r="CY117" i="1"/>
  <c r="BK115" i="1"/>
  <c r="W113" i="1"/>
  <c r="CM110" i="1"/>
  <c r="AY108" i="1"/>
  <c r="K106" i="1"/>
  <c r="CA103" i="1"/>
  <c r="AM101" i="1"/>
  <c r="DC98" i="1"/>
  <c r="BO96" i="1"/>
  <c r="AA94" i="1"/>
  <c r="CQ91" i="1"/>
  <c r="BC89" i="1"/>
  <c r="O87" i="1"/>
  <c r="CE84" i="1"/>
  <c r="AQ82" i="1"/>
  <c r="DG79" i="1"/>
  <c r="BS77" i="1"/>
  <c r="CP145" i="1"/>
  <c r="AP136" i="1"/>
  <c r="CT126" i="1"/>
  <c r="AT117" i="1"/>
  <c r="CX107" i="1"/>
  <c r="AX98" i="1"/>
  <c r="DB88" i="1"/>
  <c r="BB79" i="1"/>
  <c r="CQ74" i="1"/>
  <c r="BC72" i="1"/>
  <c r="O70" i="1"/>
  <c r="CE67" i="1"/>
  <c r="AQ65" i="1"/>
  <c r="DG62" i="1"/>
  <c r="BS60" i="1"/>
  <c r="AE58" i="1"/>
  <c r="CU55" i="1"/>
  <c r="BG53" i="1"/>
  <c r="S51" i="1"/>
  <c r="CI48" i="1"/>
  <c r="AU46" i="1"/>
  <c r="G44" i="1"/>
  <c r="BW41" i="1"/>
  <c r="AI39" i="1"/>
  <c r="CY36" i="1"/>
  <c r="BK34" i="1"/>
  <c r="W32" i="1"/>
  <c r="CM29" i="1"/>
  <c r="CD163" i="1"/>
  <c r="Z160" i="1"/>
  <c r="J157" i="1"/>
  <c r="J154" i="1"/>
  <c r="CB151" i="1"/>
  <c r="AK149" i="1"/>
  <c r="DA146" i="1"/>
  <c r="BM144" i="1"/>
  <c r="Y142" i="1"/>
  <c r="CO139" i="1"/>
  <c r="BA137" i="1"/>
  <c r="M135" i="1"/>
  <c r="CC132" i="1"/>
  <c r="AO130" i="1"/>
  <c r="DE127" i="1"/>
  <c r="BQ125" i="1"/>
  <c r="AC123" i="1"/>
  <c r="CS120" i="1"/>
  <c r="BE118" i="1"/>
  <c r="Q116" i="1"/>
  <c r="CG113" i="1"/>
  <c r="AS111" i="1"/>
  <c r="DI108" i="1"/>
  <c r="BU106" i="1"/>
  <c r="AG104" i="1"/>
  <c r="CW101" i="1"/>
  <c r="BI99" i="1"/>
  <c r="U97" i="1"/>
  <c r="CK94" i="1"/>
  <c r="AW92" i="1"/>
  <c r="I90" i="1"/>
  <c r="BY87" i="1"/>
  <c r="AK85" i="1"/>
  <c r="DA82" i="1"/>
  <c r="BM80" i="1"/>
  <c r="Y78" i="1"/>
  <c r="DD150" i="1"/>
  <c r="BP148" i="1"/>
  <c r="AB146" i="1"/>
  <c r="CR143" i="1"/>
  <c r="BD141" i="1"/>
  <c r="P139" i="1"/>
  <c r="CF136" i="1"/>
  <c r="AR134" i="1"/>
  <c r="DH131" i="1"/>
  <c r="BT129" i="1"/>
  <c r="AF127" i="1"/>
  <c r="CV124" i="1"/>
  <c r="BH122" i="1"/>
  <c r="T120" i="1"/>
  <c r="CJ117" i="1"/>
  <c r="AV115" i="1"/>
  <c r="H113" i="1"/>
  <c r="BX110" i="1"/>
  <c r="AJ108" i="1"/>
  <c r="CZ105" i="1"/>
  <c r="BL103" i="1"/>
  <c r="X101" i="1"/>
  <c r="CN98" i="1"/>
  <c r="AZ96" i="1"/>
  <c r="L94" i="1"/>
  <c r="CB91" i="1"/>
  <c r="AN89" i="1"/>
  <c r="DD86" i="1"/>
  <c r="BP84" i="1"/>
  <c r="AB82" i="1"/>
  <c r="CR79" i="1"/>
  <c r="BD77" i="1"/>
  <c r="CY150" i="1"/>
  <c r="BK148" i="1"/>
  <c r="W146" i="1"/>
  <c r="CM143" i="1"/>
  <c r="AY141" i="1"/>
  <c r="K139" i="1"/>
  <c r="CA136" i="1"/>
  <c r="AM134" i="1"/>
  <c r="DC131" i="1"/>
  <c r="BO129" i="1"/>
  <c r="AA127" i="1"/>
  <c r="CQ124" i="1"/>
  <c r="BC122" i="1"/>
  <c r="O120" i="1"/>
  <c r="CE117" i="1"/>
  <c r="AQ115" i="1"/>
  <c r="DG112" i="1"/>
  <c r="BS110" i="1"/>
  <c r="AE108" i="1"/>
  <c r="CU105" i="1"/>
  <c r="BG103" i="1"/>
  <c r="S101" i="1"/>
  <c r="CI98" i="1"/>
  <c r="AU96" i="1"/>
  <c r="G94" i="1"/>
  <c r="BW91" i="1"/>
  <c r="AI89" i="1"/>
  <c r="CY86" i="1"/>
  <c r="BK84" i="1"/>
  <c r="W82" i="1"/>
  <c r="CM79" i="1"/>
  <c r="AY77" i="1"/>
  <c r="N145" i="1"/>
  <c r="BR135" i="1"/>
  <c r="R126" i="1"/>
  <c r="BV116" i="1"/>
  <c r="V107" i="1"/>
  <c r="BZ97" i="1"/>
  <c r="Z88" i="1"/>
  <c r="CD78" i="1"/>
  <c r="BW74" i="1"/>
  <c r="AI72" i="1"/>
  <c r="CY69" i="1"/>
  <c r="BK67" i="1"/>
  <c r="W65" i="1"/>
  <c r="CM62" i="1"/>
  <c r="AY60" i="1"/>
  <c r="K58" i="1"/>
  <c r="CA55" i="1"/>
  <c r="AM53" i="1"/>
  <c r="DC50" i="1"/>
  <c r="BO48" i="1"/>
  <c r="AA46" i="1"/>
  <c r="CQ43" i="1"/>
  <c r="BC41" i="1"/>
  <c r="O39" i="1"/>
  <c r="CE36" i="1"/>
  <c r="AQ34" i="1"/>
  <c r="DG31" i="1"/>
  <c r="BS29" i="1"/>
  <c r="AQ27" i="1"/>
  <c r="DG24" i="1"/>
  <c r="BS22" i="1"/>
  <c r="AE20" i="1"/>
  <c r="CU17" i="1"/>
  <c r="BG15" i="1"/>
  <c r="S13" i="1"/>
  <c r="CT143" i="1"/>
  <c r="AT134" i="1"/>
  <c r="CX124" i="1"/>
  <c r="AX115" i="1"/>
  <c r="DB105" i="1"/>
  <c r="BB96" i="1"/>
  <c r="DF86" i="1"/>
  <c r="BF77" i="1"/>
  <c r="AP74" i="1"/>
  <c r="DF71" i="1"/>
  <c r="BR69" i="1"/>
  <c r="AD67" i="1"/>
  <c r="CT64" i="1"/>
  <c r="BF62" i="1"/>
  <c r="R60" i="1"/>
  <c r="CH57" i="1"/>
  <c r="AT55" i="1"/>
  <c r="F53" i="1"/>
  <c r="BV50" i="1"/>
  <c r="AH48" i="1"/>
  <c r="CX45" i="1"/>
  <c r="BJ43" i="1"/>
  <c r="V41" i="1"/>
  <c r="CL38" i="1"/>
  <c r="AX36" i="1"/>
  <c r="J34" i="1"/>
  <c r="BZ31" i="1"/>
  <c r="AL29" i="1"/>
  <c r="DB26" i="1"/>
  <c r="BN24" i="1"/>
  <c r="Z22" i="1"/>
  <c r="CP19" i="1"/>
  <c r="BB17" i="1"/>
  <c r="N15" i="1"/>
  <c r="CD12" i="1"/>
  <c r="AP10" i="1"/>
  <c r="DF7" i="1"/>
  <c r="BR5" i="1"/>
  <c r="AD3" i="1"/>
  <c r="K6" i="1"/>
  <c r="J146" i="1"/>
  <c r="BN136" i="1"/>
  <c r="N127" i="1"/>
  <c r="BR117" i="1"/>
  <c r="R108" i="1"/>
  <c r="BV98" i="1"/>
  <c r="V89" i="1"/>
  <c r="BZ79" i="1"/>
  <c r="CW74" i="1"/>
  <c r="BI72" i="1"/>
  <c r="U70" i="1"/>
  <c r="CK67" i="1"/>
  <c r="AW65" i="1"/>
  <c r="I63" i="1"/>
  <c r="BY60" i="1"/>
  <c r="AK58" i="1"/>
  <c r="DA55" i="1"/>
  <c r="BM53" i="1"/>
  <c r="Y51" i="1"/>
  <c r="CO48" i="1"/>
  <c r="BA46" i="1"/>
  <c r="M44" i="1"/>
  <c r="CC41" i="1"/>
  <c r="AO39" i="1"/>
  <c r="DE36" i="1"/>
  <c r="BQ34" i="1"/>
  <c r="AC32" i="1"/>
  <c r="CS29" i="1"/>
  <c r="BE27" i="1"/>
  <c r="Q25" i="1"/>
  <c r="CG22" i="1"/>
  <c r="AS20" i="1"/>
  <c r="DI17" i="1"/>
  <c r="BU15" i="1"/>
  <c r="AG13" i="1"/>
  <c r="CW10" i="1"/>
  <c r="BI8" i="1"/>
  <c r="U6" i="1"/>
  <c r="CK3" i="1"/>
  <c r="AY7" i="1"/>
  <c r="AT148" i="1"/>
  <c r="CX138" i="1"/>
  <c r="AX129" i="1"/>
  <c r="DB119" i="1"/>
  <c r="BB110" i="1"/>
  <c r="DF100" i="1"/>
  <c r="BF91" i="1"/>
  <c r="F82" i="1"/>
  <c r="BD75" i="1"/>
  <c r="P73" i="1"/>
  <c r="CF70" i="1"/>
  <c r="AR68" i="1"/>
  <c r="DH65" i="1"/>
  <c r="BT63" i="1"/>
  <c r="AF61" i="1"/>
  <c r="CV58" i="1"/>
  <c r="BH56" i="1"/>
  <c r="T54" i="1"/>
  <c r="CJ51" i="1"/>
  <c r="AV49" i="1"/>
  <c r="H47" i="1"/>
  <c r="BX44" i="1"/>
  <c r="AJ42" i="1"/>
  <c r="CZ39" i="1"/>
  <c r="BL37" i="1"/>
  <c r="X35" i="1"/>
  <c r="CN32" i="1"/>
  <c r="AZ30" i="1"/>
  <c r="L28" i="1"/>
  <c r="CB25" i="1"/>
  <c r="AN23" i="1"/>
  <c r="DD20" i="1"/>
  <c r="AZ18" i="1"/>
  <c r="DH13" i="1"/>
  <c r="H11" i="1"/>
  <c r="T6" i="1"/>
  <c r="CM8" i="1"/>
  <c r="BO9" i="1"/>
  <c r="W27" i="1"/>
  <c r="CM24" i="1"/>
  <c r="AY22" i="1"/>
  <c r="K20" i="1"/>
  <c r="CA17" i="1"/>
  <c r="AM15" i="1"/>
  <c r="DC12" i="1"/>
  <c r="R143" i="1"/>
  <c r="BV133" i="1"/>
  <c r="V124" i="1"/>
  <c r="BZ114" i="1"/>
  <c r="Z105" i="1"/>
  <c r="CD95" i="1"/>
  <c r="AD86" i="1"/>
  <c r="CH76" i="1"/>
  <c r="V74" i="1"/>
  <c r="CL71" i="1"/>
  <c r="AX69" i="1"/>
  <c r="J67" i="1"/>
  <c r="BZ64" i="1"/>
  <c r="AL62" i="1"/>
  <c r="DB59" i="1"/>
  <c r="BN57" i="1"/>
  <c r="Z55" i="1"/>
  <c r="CP52" i="1"/>
  <c r="BB50" i="1"/>
  <c r="N48" i="1"/>
  <c r="CD45" i="1"/>
  <c r="AP43" i="1"/>
  <c r="DF40" i="1"/>
  <c r="BR38" i="1"/>
  <c r="AD36" i="1"/>
  <c r="CT33" i="1"/>
  <c r="BF31" i="1"/>
  <c r="R29" i="1"/>
  <c r="CH26" i="1"/>
  <c r="AT24" i="1"/>
  <c r="F22" i="1"/>
  <c r="BV19" i="1"/>
  <c r="AH17" i="1"/>
  <c r="CX14" i="1"/>
  <c r="BJ12" i="1"/>
  <c r="V10" i="1"/>
  <c r="CL7" i="1"/>
  <c r="AX5" i="1"/>
  <c r="J3" i="1"/>
  <c r="BC5" i="1"/>
  <c r="AL145" i="1"/>
  <c r="CP135" i="1"/>
  <c r="AP126" i="1"/>
  <c r="CT116" i="1"/>
  <c r="AT107" i="1"/>
  <c r="CX97" i="1"/>
  <c r="AX88" i="1"/>
  <c r="DB78" i="1"/>
  <c r="CC74" i="1"/>
  <c r="AO72" i="1"/>
  <c r="DE69" i="1"/>
  <c r="BQ67" i="1"/>
  <c r="AC65" i="1"/>
  <c r="CS62" i="1"/>
  <c r="BE60" i="1"/>
  <c r="Q58" i="1"/>
  <c r="CG55" i="1"/>
  <c r="AS53" i="1"/>
  <c r="DI50" i="1"/>
  <c r="BU48" i="1"/>
  <c r="AG46" i="1"/>
  <c r="CW43" i="1"/>
  <c r="BI41" i="1"/>
  <c r="U39" i="1"/>
  <c r="CK36" i="1"/>
  <c r="AW34" i="1"/>
  <c r="I32" i="1"/>
  <c r="BY29" i="1"/>
  <c r="AK27" i="1"/>
  <c r="DA24" i="1"/>
  <c r="BM22" i="1"/>
  <c r="Y20" i="1"/>
  <c r="CO17" i="1"/>
  <c r="BA15" i="1"/>
  <c r="M13" i="1"/>
  <c r="CC10" i="1"/>
  <c r="AO8" i="1"/>
  <c r="DE5" i="1"/>
  <c r="BQ3" i="1"/>
  <c r="CY6" i="1"/>
  <c r="BV147" i="1"/>
  <c r="V138" i="1"/>
  <c r="BZ128" i="1"/>
  <c r="Z119" i="1"/>
  <c r="CD109" i="1"/>
  <c r="AD100" i="1"/>
  <c r="CH90" i="1"/>
  <c r="AH81" i="1"/>
  <c r="AJ75" i="1"/>
  <c r="CZ72" i="1"/>
  <c r="BL70" i="1"/>
  <c r="X68" i="1"/>
  <c r="CN65" i="1"/>
  <c r="AZ63" i="1"/>
  <c r="L61" i="1"/>
  <c r="CB58" i="1"/>
  <c r="AN56" i="1"/>
  <c r="DD53" i="1"/>
  <c r="BP51" i="1"/>
  <c r="AB49" i="1"/>
  <c r="CR46" i="1"/>
  <c r="BD44" i="1"/>
  <c r="P42" i="1"/>
  <c r="CF39" i="1"/>
  <c r="AR37" i="1"/>
  <c r="DH34" i="1"/>
  <c r="BT32" i="1"/>
  <c r="AF30" i="1"/>
  <c r="CV27" i="1"/>
  <c r="BH25" i="1"/>
  <c r="T23" i="1"/>
  <c r="CJ20" i="1"/>
  <c r="AV18" i="1"/>
  <c r="H16" i="1"/>
  <c r="BX13" i="1"/>
  <c r="AJ11" i="1"/>
  <c r="CZ8" i="1"/>
  <c r="AF6" i="1"/>
  <c r="CB3" i="1"/>
  <c r="O26" i="1"/>
  <c r="CE23" i="1"/>
  <c r="AQ21" i="1"/>
  <c r="DG18" i="1"/>
  <c r="BS16" i="1"/>
  <c r="AE14" i="1"/>
  <c r="AL148" i="1"/>
  <c r="CP138" i="1"/>
  <c r="AP129" i="1"/>
  <c r="CT119" i="1"/>
  <c r="AT110" i="1"/>
  <c r="CX100" i="1"/>
  <c r="AX91" i="1"/>
  <c r="DB81" i="1"/>
  <c r="BB75" i="1"/>
  <c r="N73" i="1"/>
  <c r="CD70" i="1"/>
  <c r="AP68" i="1"/>
  <c r="DF65" i="1"/>
  <c r="BR63" i="1"/>
  <c r="AD61" i="1"/>
  <c r="CT58" i="1"/>
  <c r="BF56" i="1"/>
  <c r="R54" i="1"/>
  <c r="CH51" i="1"/>
  <c r="AT49" i="1"/>
  <c r="F47" i="1"/>
  <c r="BV44" i="1"/>
  <c r="AH42" i="1"/>
  <c r="CX39" i="1"/>
  <c r="BJ37" i="1"/>
  <c r="V35" i="1"/>
  <c r="CL32" i="1"/>
  <c r="AX30" i="1"/>
  <c r="J28" i="1"/>
  <c r="BZ25" i="1"/>
  <c r="AL23" i="1"/>
  <c r="DB20" i="1"/>
  <c r="BN18" i="1"/>
  <c r="Z16" i="1"/>
  <c r="CP13" i="1"/>
  <c r="BB11" i="1"/>
  <c r="N9" i="1"/>
  <c r="CD6" i="1"/>
  <c r="AP4" i="1"/>
  <c r="AI9" i="1"/>
  <c r="BF150" i="1"/>
  <c r="F141" i="1"/>
  <c r="BJ131" i="1"/>
  <c r="J122" i="1"/>
  <c r="BN112" i="1"/>
  <c r="N103" i="1"/>
  <c r="BR93" i="1"/>
  <c r="R84" i="1"/>
  <c r="F76" i="1"/>
  <c r="BU73" i="1"/>
  <c r="AG71" i="1"/>
  <c r="CW68" i="1"/>
  <c r="BI66" i="1"/>
  <c r="U64" i="1"/>
  <c r="CK61" i="1"/>
  <c r="AW59" i="1"/>
  <c r="I57" i="1"/>
  <c r="BY54" i="1"/>
  <c r="AK52" i="1"/>
  <c r="DA49" i="1"/>
  <c r="BM47" i="1"/>
  <c r="Y45" i="1"/>
  <c r="CO42" i="1"/>
  <c r="BA40" i="1"/>
  <c r="M38" i="1"/>
  <c r="CC35" i="1"/>
  <c r="AO33" i="1"/>
  <c r="DE30" i="1"/>
  <c r="BQ28" i="1"/>
  <c r="AC26" i="1"/>
  <c r="CS23" i="1"/>
  <c r="BE21" i="1"/>
  <c r="Q19" i="1"/>
  <c r="CG16" i="1"/>
  <c r="AS14" i="1"/>
  <c r="DI11" i="1"/>
  <c r="BU9" i="1"/>
  <c r="AG7" i="1"/>
  <c r="CW4" i="1"/>
  <c r="CE10" i="1"/>
  <c r="CQ3" i="1"/>
  <c r="AP143" i="1"/>
  <c r="CT133" i="1"/>
  <c r="AT124" i="1"/>
  <c r="CX114" i="1"/>
  <c r="AX105" i="1"/>
  <c r="DB95" i="1"/>
  <c r="BB86" i="1"/>
  <c r="DF76" i="1"/>
  <c r="AB74" i="1"/>
  <c r="CR71" i="1"/>
  <c r="BD69" i="1"/>
  <c r="P67" i="1"/>
  <c r="CF64" i="1"/>
  <c r="AR62" i="1"/>
  <c r="DH59" i="1"/>
  <c r="BT57" i="1"/>
  <c r="AF55" i="1"/>
  <c r="CV52" i="1"/>
  <c r="BH50" i="1"/>
  <c r="T48" i="1"/>
  <c r="CJ45" i="1"/>
  <c r="AV43" i="1"/>
  <c r="H41" i="1"/>
  <c r="BX38" i="1"/>
  <c r="AJ36" i="1"/>
  <c r="CZ33" i="1"/>
  <c r="BL31" i="1"/>
  <c r="X29" i="1"/>
  <c r="CN26" i="1"/>
  <c r="AZ24" i="1"/>
  <c r="L22" i="1"/>
  <c r="CB19" i="1"/>
  <c r="AN17" i="1"/>
  <c r="DD14" i="1"/>
  <c r="BP12" i="1"/>
  <c r="AB10" i="1"/>
  <c r="CR7" i="1"/>
  <c r="BD5" i="1"/>
  <c r="CI5" i="1"/>
  <c r="AM25" i="1"/>
  <c r="DC22" i="1"/>
  <c r="BO20" i="1"/>
  <c r="AA18" i="1"/>
  <c r="CQ15" i="1"/>
  <c r="BC13" i="1"/>
  <c r="Z145" i="1"/>
  <c r="CD135" i="1"/>
  <c r="AD126" i="1"/>
  <c r="CH116" i="1"/>
  <c r="AH107" i="1"/>
  <c r="CL97" i="1"/>
  <c r="AL88" i="1"/>
  <c r="CP78" i="1"/>
  <c r="BZ74" i="1"/>
  <c r="AL72" i="1"/>
  <c r="DB69" i="1"/>
  <c r="BN67" i="1"/>
  <c r="Z65" i="1"/>
  <c r="CP62" i="1"/>
  <c r="BB60" i="1"/>
  <c r="N58" i="1"/>
  <c r="CD55" i="1"/>
  <c r="AP53" i="1"/>
  <c r="DF50" i="1"/>
  <c r="BR48" i="1"/>
  <c r="AD46" i="1"/>
  <c r="CT43" i="1"/>
  <c r="BF41" i="1"/>
  <c r="R39" i="1"/>
  <c r="CH36" i="1"/>
  <c r="AT34" i="1"/>
  <c r="F32" i="1"/>
  <c r="BV29" i="1"/>
  <c r="AH27" i="1"/>
  <c r="CX24" i="1"/>
  <c r="BJ22" i="1"/>
  <c r="V20" i="1"/>
  <c r="CL17" i="1"/>
  <c r="AX15" i="1"/>
  <c r="J13" i="1"/>
  <c r="BZ10" i="1"/>
  <c r="AL8" i="1"/>
  <c r="DB5" i="1"/>
  <c r="BN3" i="1"/>
  <c r="K7" i="1"/>
  <c r="AT147" i="1"/>
  <c r="CX137" i="1"/>
  <c r="AX128" i="1"/>
  <c r="DB118" i="1"/>
  <c r="BB109" i="1"/>
  <c r="DF99" i="1"/>
  <c r="BF90" i="1"/>
  <c r="F81" i="1"/>
  <c r="AC75" i="1"/>
  <c r="CS72" i="1"/>
  <c r="BE70" i="1"/>
  <c r="Q68" i="1"/>
  <c r="CG65" i="1"/>
  <c r="AS63" i="1"/>
  <c r="DI60" i="1"/>
  <c r="BU58" i="1"/>
  <c r="AG56" i="1"/>
  <c r="CW53" i="1"/>
  <c r="BI51" i="1"/>
  <c r="U49" i="1"/>
  <c r="CK46" i="1"/>
  <c r="AW44" i="1"/>
  <c r="I42" i="1"/>
  <c r="BY39" i="1"/>
  <c r="AK37" i="1"/>
  <c r="DA34" i="1"/>
  <c r="BM32" i="1"/>
  <c r="Y30" i="1"/>
  <c r="CO27" i="1"/>
  <c r="BA25" i="1"/>
  <c r="M23" i="1"/>
  <c r="CC20" i="1"/>
  <c r="AO18" i="1"/>
  <c r="DE15" i="1"/>
  <c r="BQ13" i="1"/>
  <c r="AC11" i="1"/>
  <c r="CS8" i="1"/>
  <c r="BE6" i="1"/>
  <c r="Q4" i="1"/>
  <c r="AY8" i="1"/>
  <c r="CD149" i="1"/>
  <c r="AD140" i="1"/>
  <c r="CH130" i="1"/>
  <c r="AH121" i="1"/>
  <c r="CL111" i="1"/>
  <c r="AL102" i="1"/>
  <c r="CP92" i="1"/>
  <c r="AP83" i="1"/>
  <c r="CN75" i="1"/>
  <c r="AZ73" i="1"/>
  <c r="L71" i="1"/>
  <c r="CB68" i="1"/>
  <c r="AN66" i="1"/>
  <c r="DD63" i="1"/>
  <c r="BP61" i="1"/>
  <c r="AB59" i="1"/>
  <c r="CR56" i="1"/>
  <c r="BD54" i="1"/>
  <c r="P52" i="1"/>
  <c r="CF49" i="1"/>
  <c r="AR47" i="1"/>
  <c r="DH44" i="1"/>
  <c r="BT42" i="1"/>
  <c r="AF40" i="1"/>
  <c r="CV37" i="1"/>
  <c r="BH35" i="1"/>
  <c r="T33" i="1"/>
  <c r="CJ30" i="1"/>
  <c r="AV28" i="1"/>
  <c r="H26" i="1"/>
  <c r="BX23" i="1"/>
  <c r="AJ21" i="1"/>
  <c r="CZ18" i="1"/>
  <c r="BL16" i="1"/>
  <c r="X14" i="1"/>
  <c r="CN11" i="1"/>
  <c r="AZ9" i="1"/>
  <c r="L7" i="1"/>
  <c r="CB4" i="1"/>
  <c r="DC7" i="1"/>
  <c r="AR8" i="1"/>
  <c r="BH5" i="1"/>
  <c r="CU3" i="1"/>
  <c r="CY8" i="1"/>
  <c r="BP6" i="1"/>
  <c r="BX108" i="1"/>
  <c r="BL105" i="1"/>
  <c r="X103" i="1"/>
  <c r="CN100" i="1"/>
  <c r="AZ98" i="1"/>
  <c r="L96" i="1"/>
  <c r="CB93" i="1"/>
  <c r="AN91" i="1"/>
  <c r="DD88" i="1"/>
  <c r="BP86" i="1"/>
  <c r="AB84" i="1"/>
  <c r="CR81" i="1"/>
  <c r="BD79" i="1"/>
  <c r="P77" i="1"/>
  <c r="BK150" i="1"/>
  <c r="W148" i="1"/>
  <c r="CM145" i="1"/>
  <c r="AY143" i="1"/>
  <c r="K141" i="1"/>
  <c r="CA138" i="1"/>
  <c r="AM136" i="1"/>
  <c r="DC133" i="1"/>
  <c r="BO131" i="1"/>
  <c r="AA129" i="1"/>
  <c r="CQ126" i="1"/>
  <c r="BC124" i="1"/>
  <c r="O122" i="1"/>
  <c r="CE119" i="1"/>
  <c r="AQ117" i="1"/>
  <c r="DG114" i="1"/>
  <c r="BS112" i="1"/>
  <c r="AE110" i="1"/>
  <c r="CU107" i="1"/>
  <c r="BG105" i="1"/>
  <c r="S103" i="1"/>
  <c r="CI100" i="1"/>
  <c r="AU98" i="1"/>
  <c r="G96" i="1"/>
  <c r="BW93" i="1"/>
  <c r="AI91" i="1"/>
  <c r="CY88" i="1"/>
  <c r="BK86" i="1"/>
  <c r="W84" i="1"/>
  <c r="CM81" i="1"/>
  <c r="AY79" i="1"/>
  <c r="K77" i="1"/>
  <c r="BR143" i="1"/>
  <c r="R134" i="1"/>
  <c r="BV124" i="1"/>
  <c r="V115" i="1"/>
  <c r="BZ105" i="1"/>
  <c r="Z96" i="1"/>
  <c r="CD86" i="1"/>
  <c r="AD77" i="1"/>
  <c r="AI74" i="1"/>
  <c r="CY71" i="1"/>
  <c r="BK69" i="1"/>
  <c r="W67" i="1"/>
  <c r="CM64" i="1"/>
  <c r="AY62" i="1"/>
  <c r="K60" i="1"/>
  <c r="CA57" i="1"/>
  <c r="AM55" i="1"/>
  <c r="DC52" i="1"/>
  <c r="BO50" i="1"/>
  <c r="AA48" i="1"/>
  <c r="CQ45" i="1"/>
  <c r="BC43" i="1"/>
  <c r="O41" i="1"/>
  <c r="CE38" i="1"/>
  <c r="AQ36" i="1"/>
  <c r="DG33" i="1"/>
  <c r="BS31" i="1"/>
  <c r="AE29" i="1"/>
  <c r="BV162" i="1"/>
  <c r="BB159" i="1"/>
  <c r="AL156" i="1"/>
  <c r="BF153" i="1"/>
  <c r="Q151" i="1"/>
  <c r="CG148" i="1"/>
  <c r="AS146" i="1"/>
  <c r="DI143" i="1"/>
  <c r="BU141" i="1"/>
  <c r="AG139" i="1"/>
  <c r="CW136" i="1"/>
  <c r="BI134" i="1"/>
  <c r="U132" i="1"/>
  <c r="CK129" i="1"/>
  <c r="AW127" i="1"/>
  <c r="I125" i="1"/>
  <c r="BY122" i="1"/>
  <c r="AK120" i="1"/>
  <c r="DA117" i="1"/>
  <c r="BM115" i="1"/>
  <c r="Y113" i="1"/>
  <c r="CO110" i="1"/>
  <c r="BA108" i="1"/>
  <c r="M106" i="1"/>
  <c r="CC103" i="1"/>
  <c r="AO101" i="1"/>
  <c r="DE98" i="1"/>
  <c r="BQ96" i="1"/>
  <c r="AC94" i="1"/>
  <c r="CS91" i="1"/>
  <c r="BE89" i="1"/>
  <c r="Q87" i="1"/>
  <c r="CG84" i="1"/>
  <c r="AS82" i="1"/>
  <c r="DI79" i="1"/>
  <c r="BU77" i="1"/>
  <c r="AV150" i="1"/>
  <c r="H148" i="1"/>
  <c r="BX145" i="1"/>
  <c r="AJ143" i="1"/>
  <c r="CZ140" i="1"/>
  <c r="BL138" i="1"/>
  <c r="X136" i="1"/>
  <c r="CN133" i="1"/>
  <c r="AZ131" i="1"/>
  <c r="L129" i="1"/>
  <c r="CB126" i="1"/>
  <c r="AN124" i="1"/>
  <c r="DD121" i="1"/>
  <c r="BP119" i="1"/>
  <c r="AB117" i="1"/>
  <c r="CR114" i="1"/>
  <c r="BD112" i="1"/>
  <c r="P110" i="1"/>
  <c r="CF107" i="1"/>
  <c r="AR105" i="1"/>
  <c r="DH102" i="1"/>
  <c r="BT100" i="1"/>
  <c r="AF98" i="1"/>
  <c r="CV95" i="1"/>
  <c r="BH93" i="1"/>
  <c r="T91" i="1"/>
  <c r="CJ88" i="1"/>
  <c r="AV86" i="1"/>
  <c r="H84" i="1"/>
  <c r="BX81" i="1"/>
  <c r="AJ79" i="1"/>
  <c r="CZ76" i="1"/>
  <c r="AQ150" i="1"/>
  <c r="DG147" i="1"/>
  <c r="BS145" i="1"/>
  <c r="AE143" i="1"/>
  <c r="CU140" i="1"/>
  <c r="BG138" i="1"/>
  <c r="S136" i="1"/>
  <c r="CI133" i="1"/>
  <c r="AU131" i="1"/>
  <c r="G129" i="1"/>
  <c r="BW126" i="1"/>
  <c r="AI124" i="1"/>
  <c r="CY121" i="1"/>
  <c r="BK119" i="1"/>
  <c r="W117" i="1"/>
  <c r="CM114" i="1"/>
  <c r="AY112" i="1"/>
  <c r="K110" i="1"/>
  <c r="CA107" i="1"/>
  <c r="AM105" i="1"/>
  <c r="DC102" i="1"/>
  <c r="BO100" i="1"/>
  <c r="AA98" i="1"/>
  <c r="CQ95" i="1"/>
  <c r="BC93" i="1"/>
  <c r="O91" i="1"/>
  <c r="CE88" i="1"/>
  <c r="AQ86" i="1"/>
  <c r="DG83" i="1"/>
  <c r="BS81" i="1"/>
  <c r="AE79" i="1"/>
  <c r="CU76" i="1"/>
  <c r="CT142" i="1"/>
  <c r="AT133" i="1"/>
  <c r="CX123" i="1"/>
  <c r="AX114" i="1"/>
  <c r="DB104" i="1"/>
  <c r="BB95" i="1"/>
  <c r="DF85" i="1"/>
  <c r="BU76" i="1"/>
  <c r="O74" i="1"/>
  <c r="CE71" i="1"/>
  <c r="AQ69" i="1"/>
  <c r="DG66" i="1"/>
  <c r="BS64" i="1"/>
  <c r="AE62" i="1"/>
  <c r="CU59" i="1"/>
  <c r="BG57" i="1"/>
  <c r="S55" i="1"/>
  <c r="CI52" i="1"/>
  <c r="AU50" i="1"/>
  <c r="G48" i="1"/>
  <c r="BW45" i="1"/>
  <c r="AI43" i="1"/>
  <c r="CY40" i="1"/>
  <c r="BK38" i="1"/>
  <c r="W36" i="1"/>
  <c r="CM33" i="1"/>
  <c r="AY31" i="1"/>
  <c r="K29" i="1"/>
  <c r="AT162" i="1"/>
  <c r="AD159" i="1"/>
  <c r="J156" i="1"/>
  <c r="AL153" i="1"/>
  <c r="DA150" i="1"/>
  <c r="BM148" i="1"/>
  <c r="Y146" i="1"/>
  <c r="CO143" i="1"/>
  <c r="BA141" i="1"/>
  <c r="M139" i="1"/>
  <c r="CC136" i="1"/>
  <c r="AO134" i="1"/>
  <c r="DE131" i="1"/>
  <c r="BQ129" i="1"/>
  <c r="AC127" i="1"/>
  <c r="CS124" i="1"/>
  <c r="BE122" i="1"/>
  <c r="Q120" i="1"/>
  <c r="CG117" i="1"/>
  <c r="AS115" i="1"/>
  <c r="DI112" i="1"/>
  <c r="BU110" i="1"/>
  <c r="AG108" i="1"/>
  <c r="CW105" i="1"/>
  <c r="BI103" i="1"/>
  <c r="U101" i="1"/>
  <c r="CK98" i="1"/>
  <c r="AW96" i="1"/>
  <c r="I94" i="1"/>
  <c r="BY91" i="1"/>
  <c r="AK89" i="1"/>
  <c r="DA86" i="1"/>
  <c r="BM84" i="1"/>
  <c r="Y82" i="1"/>
  <c r="CO79" i="1"/>
  <c r="BA77" i="1"/>
  <c r="AB150" i="1"/>
  <c r="CR147" i="1"/>
  <c r="BD145" i="1"/>
  <c r="P143" i="1"/>
  <c r="CF140" i="1"/>
  <c r="AR138" i="1"/>
  <c r="DH135" i="1"/>
  <c r="BT133" i="1"/>
  <c r="AF131" i="1"/>
  <c r="CV128" i="1"/>
  <c r="BH126" i="1"/>
  <c r="T124" i="1"/>
  <c r="CJ121" i="1"/>
  <c r="AV119" i="1"/>
  <c r="H117" i="1"/>
  <c r="BX114" i="1"/>
  <c r="AJ112" i="1"/>
  <c r="CZ109" i="1"/>
  <c r="BL107" i="1"/>
  <c r="X105" i="1"/>
  <c r="CN102" i="1"/>
  <c r="AZ100" i="1"/>
  <c r="L98" i="1"/>
  <c r="CB95" i="1"/>
  <c r="AN93" i="1"/>
  <c r="DD90" i="1"/>
  <c r="BP88" i="1"/>
  <c r="AB86" i="1"/>
  <c r="CR83" i="1"/>
  <c r="BD81" i="1"/>
  <c r="P79" i="1"/>
  <c r="CF76" i="1"/>
  <c r="W150" i="1"/>
  <c r="CM147" i="1"/>
  <c r="AY145" i="1"/>
  <c r="K143" i="1"/>
  <c r="CA140" i="1"/>
  <c r="AM138" i="1"/>
  <c r="DC135" i="1"/>
  <c r="BO133" i="1"/>
  <c r="AA131" i="1"/>
  <c r="CQ128" i="1"/>
  <c r="BC126" i="1"/>
  <c r="O124" i="1"/>
  <c r="CE121" i="1"/>
  <c r="AQ119" i="1"/>
  <c r="DG116" i="1"/>
  <c r="BS114" i="1"/>
  <c r="AE112" i="1"/>
  <c r="CU109" i="1"/>
  <c r="BG107" i="1"/>
  <c r="S105" i="1"/>
  <c r="CI102" i="1"/>
  <c r="AU100" i="1"/>
  <c r="G98" i="1"/>
  <c r="BW95" i="1"/>
  <c r="AI93" i="1"/>
  <c r="CY90" i="1"/>
  <c r="BK88" i="1"/>
  <c r="W86" i="1"/>
  <c r="CM83" i="1"/>
  <c r="AY81" i="1"/>
  <c r="K79" i="1"/>
  <c r="BS151" i="1"/>
  <c r="R142" i="1"/>
  <c r="BV132" i="1"/>
  <c r="V123" i="1"/>
  <c r="BZ113" i="1"/>
  <c r="Z104" i="1"/>
  <c r="CD94" i="1"/>
  <c r="AD85" i="1"/>
  <c r="AT76" i="1"/>
  <c r="CY73" i="1"/>
  <c r="BK71" i="1"/>
  <c r="W69" i="1"/>
  <c r="CM66" i="1"/>
  <c r="AY64" i="1"/>
  <c r="K62" i="1"/>
  <c r="CA59" i="1"/>
  <c r="AM57" i="1"/>
  <c r="DC54" i="1"/>
  <c r="BO52" i="1"/>
  <c r="AA50" i="1"/>
  <c r="CQ47" i="1"/>
  <c r="BC45" i="1"/>
  <c r="O43" i="1"/>
  <c r="CE40" i="1"/>
  <c r="AQ38" i="1"/>
  <c r="DG35" i="1"/>
  <c r="BS33" i="1"/>
  <c r="AE31" i="1"/>
  <c r="CU28" i="1"/>
  <c r="BS26" i="1"/>
  <c r="AE24" i="1"/>
  <c r="CU21" i="1"/>
  <c r="BG19" i="1"/>
  <c r="S17" i="1"/>
  <c r="CI14" i="1"/>
  <c r="AT150" i="1"/>
  <c r="CX140" i="1"/>
  <c r="AX131" i="1"/>
  <c r="DB121" i="1"/>
  <c r="BB112" i="1"/>
  <c r="DF102" i="1"/>
  <c r="BF93" i="1"/>
  <c r="F84" i="1"/>
  <c r="DF75" i="1"/>
  <c r="BR73" i="1"/>
  <c r="AD71" i="1"/>
  <c r="CT68" i="1"/>
  <c r="BF66" i="1"/>
  <c r="R64" i="1"/>
  <c r="CH61" i="1"/>
  <c r="AT59" i="1"/>
  <c r="F57" i="1"/>
  <c r="BV54" i="1"/>
  <c r="AH52" i="1"/>
  <c r="CX49" i="1"/>
  <c r="BJ47" i="1"/>
  <c r="V45" i="1"/>
  <c r="CL42" i="1"/>
  <c r="AX40" i="1"/>
  <c r="J38" i="1"/>
  <c r="BZ35" i="1"/>
  <c r="AL33" i="1"/>
  <c r="DB30" i="1"/>
  <c r="BN28" i="1"/>
  <c r="Z26" i="1"/>
  <c r="CP23" i="1"/>
  <c r="BB21" i="1"/>
  <c r="N19" i="1"/>
  <c r="CD16" i="1"/>
  <c r="AP14" i="1"/>
  <c r="DF11" i="1"/>
  <c r="BR9" i="1"/>
  <c r="AD7" i="1"/>
  <c r="CT4" i="1"/>
  <c r="CM10" i="1"/>
  <c r="BW3" i="1"/>
  <c r="N143" i="1"/>
  <c r="BR133" i="1"/>
  <c r="R124" i="1"/>
  <c r="BV114" i="1"/>
  <c r="V105" i="1"/>
  <c r="BZ95" i="1"/>
  <c r="Z86" i="1"/>
  <c r="CE76" i="1"/>
  <c r="U74" i="1"/>
  <c r="CK71" i="1"/>
  <c r="AW69" i="1"/>
  <c r="I67" i="1"/>
  <c r="BY64" i="1"/>
  <c r="AK62" i="1"/>
  <c r="DA59" i="1"/>
  <c r="BM57" i="1"/>
  <c r="Y55" i="1"/>
  <c r="CO52" i="1"/>
  <c r="BA50" i="1"/>
  <c r="M48" i="1"/>
  <c r="CC45" i="1"/>
  <c r="AO43" i="1"/>
  <c r="DE40" i="1"/>
  <c r="BQ38" i="1"/>
  <c r="AC36" i="1"/>
  <c r="CS33" i="1"/>
  <c r="BE31" i="1"/>
  <c r="Q29" i="1"/>
  <c r="CG26" i="1"/>
  <c r="AS24" i="1"/>
  <c r="DI21" i="1"/>
  <c r="BU19" i="1"/>
  <c r="AG17" i="1"/>
  <c r="CW14" i="1"/>
  <c r="BI12" i="1"/>
  <c r="U10" i="1"/>
  <c r="CK7" i="1"/>
  <c r="AW5" i="1"/>
  <c r="I3" i="1"/>
  <c r="AI5" i="1"/>
  <c r="AX145" i="1"/>
  <c r="DB135" i="1"/>
  <c r="BB126" i="1"/>
  <c r="DF116" i="1"/>
  <c r="BF107" i="1"/>
  <c r="F98" i="1"/>
  <c r="BJ88" i="1"/>
  <c r="J79" i="1"/>
  <c r="CF74" i="1"/>
  <c r="AR72" i="1"/>
  <c r="DH69" i="1"/>
  <c r="BT67" i="1"/>
  <c r="AF65" i="1"/>
  <c r="CV62" i="1"/>
  <c r="BH60" i="1"/>
  <c r="T58" i="1"/>
  <c r="CJ55" i="1"/>
  <c r="AV53" i="1"/>
  <c r="H51" i="1"/>
  <c r="BX48" i="1"/>
  <c r="AJ46" i="1"/>
  <c r="CZ43" i="1"/>
  <c r="BL41" i="1"/>
  <c r="X39" i="1"/>
  <c r="CN36" i="1"/>
  <c r="AZ34" i="1"/>
  <c r="L32" i="1"/>
  <c r="CB29" i="1"/>
  <c r="AN27" i="1"/>
  <c r="DD24" i="1"/>
  <c r="BP22" i="1"/>
  <c r="AB20" i="1"/>
  <c r="AF17" i="1"/>
  <c r="AF13" i="1"/>
  <c r="AV9" i="1"/>
  <c r="BH4" i="1"/>
  <c r="AM4" i="1"/>
  <c r="CE3" i="1"/>
  <c r="AY26" i="1"/>
  <c r="K24" i="1"/>
  <c r="CA21" i="1"/>
  <c r="AM19" i="1"/>
  <c r="DC16" i="1"/>
  <c r="BO14" i="1"/>
  <c r="BV149" i="1"/>
  <c r="V140" i="1"/>
  <c r="BZ130" i="1"/>
  <c r="Z121" i="1"/>
  <c r="CD111" i="1"/>
  <c r="AD102" i="1"/>
  <c r="CH92" i="1"/>
  <c r="AH83" i="1"/>
  <c r="CL75" i="1"/>
  <c r="AX73" i="1"/>
  <c r="J71" i="1"/>
  <c r="BZ68" i="1"/>
  <c r="AL66" i="1"/>
  <c r="DB63" i="1"/>
  <c r="BN61" i="1"/>
  <c r="Z59" i="1"/>
  <c r="CP56" i="1"/>
  <c r="BB54" i="1"/>
  <c r="N52" i="1"/>
  <c r="CD49" i="1"/>
  <c r="AP47" i="1"/>
  <c r="DF44" i="1"/>
  <c r="BR42" i="1"/>
  <c r="AD40" i="1"/>
  <c r="CT37" i="1"/>
  <c r="BF35" i="1"/>
  <c r="R33" i="1"/>
  <c r="CH30" i="1"/>
  <c r="AT28" i="1"/>
  <c r="F26" i="1"/>
  <c r="BV23" i="1"/>
  <c r="AH21" i="1"/>
  <c r="CX18" i="1"/>
  <c r="BJ16" i="1"/>
  <c r="V14" i="1"/>
  <c r="CL11" i="1"/>
  <c r="AX9" i="1"/>
  <c r="J7" i="1"/>
  <c r="BZ4" i="1"/>
  <c r="AE10" i="1"/>
  <c r="O3" i="1"/>
  <c r="AP142" i="1"/>
  <c r="CT132" i="1"/>
  <c r="AT123" i="1"/>
  <c r="CX113" i="1"/>
  <c r="AX104" i="1"/>
  <c r="DB94" i="1"/>
  <c r="BB85" i="1"/>
  <c r="BB76" i="1"/>
  <c r="DE73" i="1"/>
  <c r="BQ71" i="1"/>
  <c r="AC69" i="1"/>
  <c r="CS66" i="1"/>
  <c r="BE64" i="1"/>
  <c r="Q62" i="1"/>
  <c r="CG59" i="1"/>
  <c r="AS57" i="1"/>
  <c r="DI54" i="1"/>
  <c r="BU52" i="1"/>
  <c r="AG50" i="1"/>
  <c r="CW47" i="1"/>
  <c r="BI45" i="1"/>
  <c r="U43" i="1"/>
  <c r="CK40" i="1"/>
  <c r="AW38" i="1"/>
  <c r="I36" i="1"/>
  <c r="BY33" i="1"/>
  <c r="AK31" i="1"/>
  <c r="DA28" i="1"/>
  <c r="BM26" i="1"/>
  <c r="Y24" i="1"/>
  <c r="CO21" i="1"/>
  <c r="BA19" i="1"/>
  <c r="M17" i="1"/>
  <c r="CC14" i="1"/>
  <c r="AO12" i="1"/>
  <c r="DE9" i="1"/>
  <c r="BQ7" i="1"/>
  <c r="AC5" i="1"/>
  <c r="CM11" i="1"/>
  <c r="CM4" i="1"/>
  <c r="BZ144" i="1"/>
  <c r="Z135" i="1"/>
  <c r="CD125" i="1"/>
  <c r="AD116" i="1"/>
  <c r="CH106" i="1"/>
  <c r="AH97" i="1"/>
  <c r="CL87" i="1"/>
  <c r="AL78" i="1"/>
  <c r="BL74" i="1"/>
  <c r="X72" i="1"/>
  <c r="CN69" i="1"/>
  <c r="AZ67" i="1"/>
  <c r="L65" i="1"/>
  <c r="CB62" i="1"/>
  <c r="AN60" i="1"/>
  <c r="DD57" i="1"/>
  <c r="BP55" i="1"/>
  <c r="AB53" i="1"/>
  <c r="CR50" i="1"/>
  <c r="BD48" i="1"/>
  <c r="P46" i="1"/>
  <c r="CF43" i="1"/>
  <c r="AR41" i="1"/>
  <c r="DH38" i="1"/>
  <c r="BT36" i="1"/>
  <c r="AF34" i="1"/>
  <c r="CV31" i="1"/>
  <c r="BH29" i="1"/>
  <c r="T27" i="1"/>
  <c r="CJ24" i="1"/>
  <c r="AV22" i="1"/>
  <c r="H20" i="1"/>
  <c r="BX17" i="1"/>
  <c r="AJ15" i="1"/>
  <c r="CZ12" i="1"/>
  <c r="BL10" i="1"/>
  <c r="X8" i="1"/>
  <c r="CJ4" i="1"/>
  <c r="AA6" i="1"/>
  <c r="AQ25" i="1"/>
  <c r="DG22" i="1"/>
  <c r="BS20" i="1"/>
  <c r="AE18" i="1"/>
  <c r="CU15" i="1"/>
  <c r="BG13" i="1"/>
  <c r="AP145" i="1"/>
  <c r="CT135" i="1"/>
  <c r="AT126" i="1"/>
  <c r="CX116" i="1"/>
  <c r="AX107" i="1"/>
  <c r="DB97" i="1"/>
  <c r="BB88" i="1"/>
  <c r="DF78" i="1"/>
  <c r="CD74" i="1"/>
  <c r="AP72" i="1"/>
  <c r="DF69" i="1"/>
  <c r="BR67" i="1"/>
  <c r="AD65" i="1"/>
  <c r="CT62" i="1"/>
  <c r="BF60" i="1"/>
  <c r="R58" i="1"/>
  <c r="CH55" i="1"/>
  <c r="AT53" i="1"/>
  <c r="F51" i="1"/>
  <c r="BV48" i="1"/>
  <c r="AH46" i="1"/>
  <c r="CX43" i="1"/>
  <c r="BJ41" i="1"/>
  <c r="V39" i="1"/>
  <c r="CL36" i="1"/>
  <c r="AX34" i="1"/>
  <c r="J32" i="1"/>
  <c r="BZ29" i="1"/>
  <c r="AL27" i="1"/>
  <c r="DB24" i="1"/>
  <c r="BN22" i="1"/>
  <c r="Z20" i="1"/>
  <c r="CP17" i="1"/>
  <c r="BB15" i="1"/>
  <c r="N13" i="1"/>
  <c r="CD10" i="1"/>
  <c r="AP8" i="1"/>
  <c r="DF5" i="1"/>
  <c r="BR3" i="1"/>
  <c r="W7" i="1"/>
  <c r="BJ147" i="1"/>
  <c r="J138" i="1"/>
  <c r="BN128" i="1"/>
  <c r="N119" i="1"/>
  <c r="BR109" i="1"/>
  <c r="R100" i="1"/>
  <c r="BV90" i="1"/>
  <c r="V81" i="1"/>
  <c r="AG75" i="1"/>
  <c r="CW72" i="1"/>
  <c r="BI70" i="1"/>
  <c r="U68" i="1"/>
  <c r="CK65" i="1"/>
  <c r="AW63" i="1"/>
  <c r="I61" i="1"/>
  <c r="BY58" i="1"/>
  <c r="AK56" i="1"/>
  <c r="DA53" i="1"/>
  <c r="BM51" i="1"/>
  <c r="Y49" i="1"/>
  <c r="CO46" i="1"/>
  <c r="BA44" i="1"/>
  <c r="M42" i="1"/>
  <c r="CC39" i="1"/>
  <c r="AO37" i="1"/>
  <c r="DE34" i="1"/>
  <c r="BQ32" i="1"/>
  <c r="AC30" i="1"/>
  <c r="CS27" i="1"/>
  <c r="BE25" i="1"/>
  <c r="Q23" i="1"/>
  <c r="CG20" i="1"/>
  <c r="AS18" i="1"/>
  <c r="DI15" i="1"/>
  <c r="BU13" i="1"/>
  <c r="AG11" i="1"/>
  <c r="CW8" i="1"/>
  <c r="BI6" i="1"/>
  <c r="U4" i="1"/>
  <c r="BG8" i="1"/>
  <c r="CT149" i="1"/>
  <c r="AT140" i="1"/>
  <c r="CX130" i="1"/>
  <c r="AX121" i="1"/>
  <c r="DB111" i="1"/>
  <c r="BB102" i="1"/>
  <c r="DF92" i="1"/>
  <c r="BF83" i="1"/>
  <c r="CR75" i="1"/>
  <c r="BD73" i="1"/>
  <c r="P71" i="1"/>
  <c r="CF68" i="1"/>
  <c r="AR66" i="1"/>
  <c r="DH63" i="1"/>
  <c r="BT61" i="1"/>
  <c r="AF59" i="1"/>
  <c r="CV56" i="1"/>
  <c r="BH54" i="1"/>
  <c r="T52" i="1"/>
  <c r="CJ49" i="1"/>
  <c r="AV47" i="1"/>
  <c r="H45" i="1"/>
  <c r="BX42" i="1"/>
  <c r="AJ40" i="1"/>
  <c r="CZ37" i="1"/>
  <c r="BL35" i="1"/>
  <c r="X33" i="1"/>
  <c r="CN30" i="1"/>
  <c r="AZ28" i="1"/>
  <c r="L26" i="1"/>
  <c r="CB23" i="1"/>
  <c r="AN21" i="1"/>
  <c r="DD18" i="1"/>
  <c r="BP16" i="1"/>
  <c r="AB14" i="1"/>
  <c r="CR11" i="1"/>
  <c r="BD9" i="1"/>
  <c r="P7" i="1"/>
  <c r="CF4" i="1"/>
  <c r="DC26" i="1"/>
  <c r="BO24" i="1"/>
  <c r="AA22" i="1"/>
  <c r="CQ19" i="1"/>
  <c r="BC17" i="1"/>
  <c r="O15" i="1"/>
  <c r="CI151" i="1"/>
  <c r="AD142" i="1"/>
  <c r="CH132" i="1"/>
  <c r="AH123" i="1"/>
  <c r="CL113" i="1"/>
  <c r="AL104" i="1"/>
  <c r="CP94" i="1"/>
  <c r="AP85" i="1"/>
  <c r="AX76" i="1"/>
  <c r="DB73" i="1"/>
  <c r="BN71" i="1"/>
  <c r="Z69" i="1"/>
  <c r="CP66" i="1"/>
  <c r="BB64" i="1"/>
  <c r="N62" i="1"/>
  <c r="CD59" i="1"/>
  <c r="AP57" i="1"/>
  <c r="DF54" i="1"/>
  <c r="BR52" i="1"/>
  <c r="AD50" i="1"/>
  <c r="CT47" i="1"/>
  <c r="BF45" i="1"/>
  <c r="R43" i="1"/>
  <c r="CH40" i="1"/>
  <c r="AT38" i="1"/>
  <c r="F36" i="1"/>
  <c r="BV33" i="1"/>
  <c r="AH31" i="1"/>
  <c r="CX28" i="1"/>
  <c r="BJ26" i="1"/>
  <c r="V24" i="1"/>
  <c r="CL21" i="1"/>
  <c r="AX19" i="1"/>
  <c r="J17" i="1"/>
  <c r="BZ14" i="1"/>
  <c r="AL12" i="1"/>
  <c r="DB9" i="1"/>
  <c r="BN7" i="1"/>
  <c r="Z5" i="1"/>
  <c r="CI11" i="1"/>
  <c r="BO4" i="1"/>
  <c r="AX144" i="1"/>
  <c r="DB134" i="1"/>
  <c r="BB125" i="1"/>
  <c r="DF115" i="1"/>
  <c r="BF106" i="1"/>
  <c r="F97" i="1"/>
  <c r="BJ87" i="1"/>
  <c r="J78" i="1"/>
  <c r="BE74" i="1"/>
  <c r="Q72" i="1"/>
  <c r="CG69" i="1"/>
  <c r="AS67" i="1"/>
  <c r="DI64" i="1"/>
  <c r="BU62" i="1"/>
  <c r="AG60" i="1"/>
  <c r="CW57" i="1"/>
  <c r="BI55" i="1"/>
  <c r="U53" i="1"/>
  <c r="CK50" i="1"/>
  <c r="AW48" i="1"/>
  <c r="I46" i="1"/>
  <c r="BY43" i="1"/>
  <c r="AK41" i="1"/>
  <c r="DA38" i="1"/>
  <c r="BM36" i="1"/>
  <c r="Y34" i="1"/>
  <c r="CO31" i="1"/>
  <c r="BA29" i="1"/>
  <c r="M27" i="1"/>
  <c r="CC24" i="1"/>
  <c r="AO22" i="1"/>
  <c r="DE19" i="1"/>
  <c r="BQ17" i="1"/>
  <c r="AC15" i="1"/>
  <c r="CS12" i="1"/>
  <c r="BE10" i="1"/>
  <c r="Q8" i="1"/>
  <c r="CG5" i="1"/>
  <c r="AS3" i="1"/>
  <c r="AI6" i="1"/>
  <c r="CH146" i="1"/>
  <c r="AH137" i="1"/>
  <c r="CL127" i="1"/>
  <c r="AL118" i="1"/>
  <c r="CP108" i="1"/>
  <c r="AP99" i="1"/>
  <c r="CT89" i="1"/>
  <c r="AT80" i="1"/>
  <c r="L75" i="1"/>
  <c r="CB72" i="1"/>
  <c r="AN70" i="1"/>
  <c r="DD67" i="1"/>
  <c r="BP65" i="1"/>
  <c r="AB63" i="1"/>
  <c r="CR60" i="1"/>
  <c r="BD58" i="1"/>
  <c r="P56" i="1"/>
  <c r="CF53" i="1"/>
  <c r="AR51" i="1"/>
  <c r="DH48" i="1"/>
  <c r="BT46" i="1"/>
  <c r="AF44" i="1"/>
  <c r="CV41" i="1"/>
  <c r="BH39" i="1"/>
  <c r="T37" i="1"/>
  <c r="CJ34" i="1"/>
  <c r="AV32" i="1"/>
  <c r="H30" i="1"/>
  <c r="BX27" i="1"/>
  <c r="AJ25" i="1"/>
  <c r="CZ22" i="1"/>
  <c r="BL20" i="1"/>
  <c r="X18" i="1"/>
  <c r="CN15" i="1"/>
  <c r="AZ13" i="1"/>
  <c r="L11" i="1"/>
  <c r="CB8" i="1"/>
  <c r="AN6" i="1"/>
  <c r="DD3" i="1"/>
  <c r="AQ9" i="1"/>
  <c r="T18" i="1"/>
  <c r="BD11" i="1"/>
  <c r="CV6" i="1"/>
  <c r="DC4" i="1"/>
  <c r="AR16" i="1"/>
  <c r="S9" i="1"/>
  <c r="DH105" i="1"/>
  <c r="BT103" i="1"/>
  <c r="AF101" i="1"/>
  <c r="CV98" i="1"/>
  <c r="BH96" i="1"/>
  <c r="T94" i="1"/>
  <c r="CJ91" i="1"/>
  <c r="AV89" i="1"/>
  <c r="H87" i="1"/>
  <c r="BX84" i="1"/>
  <c r="AJ82" i="1"/>
  <c r="CZ79" i="1"/>
  <c r="BL77" i="1"/>
  <c r="DG150" i="1"/>
  <c r="BS148" i="1"/>
  <c r="AE146" i="1"/>
  <c r="CU143" i="1"/>
  <c r="BG141" i="1"/>
  <c r="S139" i="1"/>
  <c r="CI136" i="1"/>
  <c r="AU134" i="1"/>
  <c r="G132" i="1"/>
  <c r="BW129" i="1"/>
  <c r="AI127" i="1"/>
  <c r="CY124" i="1"/>
  <c r="BK122" i="1"/>
  <c r="W120" i="1"/>
  <c r="CM117" i="1"/>
  <c r="AY115" i="1"/>
  <c r="K113" i="1"/>
  <c r="CA110" i="1"/>
  <c r="AM108" i="1"/>
  <c r="DC105" i="1"/>
  <c r="BO103" i="1"/>
  <c r="AA101" i="1"/>
  <c r="CQ98" i="1"/>
  <c r="BC96" i="1"/>
  <c r="O94" i="1"/>
  <c r="CE91" i="1"/>
  <c r="AQ89" i="1"/>
  <c r="DG86" i="1"/>
  <c r="BS84" i="1"/>
  <c r="AE82" i="1"/>
  <c r="CU79" i="1"/>
  <c r="BG77" i="1"/>
  <c r="AT145" i="1"/>
  <c r="CX135" i="1"/>
  <c r="AX126" i="1"/>
  <c r="DB116" i="1"/>
  <c r="BB107" i="1"/>
  <c r="DF97" i="1"/>
  <c r="BF88" i="1"/>
  <c r="F79" i="1"/>
  <c r="CE74" i="1"/>
  <c r="AQ72" i="1"/>
  <c r="DG69" i="1"/>
  <c r="BS67" i="1"/>
  <c r="AE65" i="1"/>
  <c r="CU62" i="1"/>
  <c r="BG60" i="1"/>
  <c r="S58" i="1"/>
  <c r="CI55" i="1"/>
  <c r="AU53" i="1"/>
  <c r="G51" i="1"/>
  <c r="BW48" i="1"/>
  <c r="AI46" i="1"/>
  <c r="CY43" i="1"/>
  <c r="BK41" i="1"/>
  <c r="W39" i="1"/>
  <c r="CM36" i="1"/>
  <c r="AY34" i="1"/>
  <c r="K32" i="1"/>
  <c r="CA29" i="1"/>
  <c r="BJ163" i="1"/>
  <c r="J160" i="1"/>
  <c r="CX156" i="1"/>
  <c r="DB153" i="1"/>
  <c r="BM151" i="1"/>
  <c r="Y149" i="1"/>
  <c r="CO146" i="1"/>
  <c r="BA144" i="1"/>
  <c r="M142" i="1"/>
  <c r="CC139" i="1"/>
  <c r="AO137" i="1"/>
  <c r="DE134" i="1"/>
  <c r="BQ132" i="1"/>
  <c r="AC130" i="1"/>
  <c r="CS127" i="1"/>
  <c r="BE125" i="1"/>
  <c r="Q123" i="1"/>
  <c r="CG120" i="1"/>
  <c r="AS118" i="1"/>
  <c r="DI115" i="1"/>
  <c r="BU113" i="1"/>
  <c r="AG111" i="1"/>
  <c r="CW108" i="1"/>
  <c r="BI106" i="1"/>
  <c r="U104" i="1"/>
  <c r="CK101" i="1"/>
  <c r="AW99" i="1"/>
  <c r="I97" i="1"/>
  <c r="BY94" i="1"/>
  <c r="AK92" i="1"/>
  <c r="DA89" i="1"/>
  <c r="BM87" i="1"/>
  <c r="Y85" i="1"/>
  <c r="CO82" i="1"/>
  <c r="BA80" i="1"/>
  <c r="M78" i="1"/>
  <c r="CR150" i="1"/>
  <c r="BD148" i="1"/>
  <c r="P146" i="1"/>
  <c r="CF143" i="1"/>
  <c r="AR141" i="1"/>
  <c r="DH138" i="1"/>
  <c r="BT136" i="1"/>
  <c r="AF134" i="1"/>
  <c r="CV131" i="1"/>
  <c r="BH129" i="1"/>
  <c r="T127" i="1"/>
  <c r="CJ124" i="1"/>
  <c r="AV122" i="1"/>
  <c r="H120" i="1"/>
  <c r="BX117" i="1"/>
  <c r="AJ115" i="1"/>
  <c r="CZ112" i="1"/>
  <c r="BL110" i="1"/>
  <c r="X108" i="1"/>
  <c r="CN105" i="1"/>
  <c r="AZ103" i="1"/>
  <c r="L101" i="1"/>
  <c r="CB98" i="1"/>
  <c r="AN96" i="1"/>
  <c r="DD93" i="1"/>
  <c r="BP91" i="1"/>
  <c r="AB89" i="1"/>
  <c r="CR86" i="1"/>
  <c r="BD84" i="1"/>
  <c r="P82" i="1"/>
  <c r="CF79" i="1"/>
  <c r="AR77" i="1"/>
  <c r="CM150" i="1"/>
  <c r="AY148" i="1"/>
  <c r="K146" i="1"/>
  <c r="CA143" i="1"/>
  <c r="AM141" i="1"/>
  <c r="DC138" i="1"/>
  <c r="BO136" i="1"/>
  <c r="AA134" i="1"/>
  <c r="CQ131" i="1"/>
  <c r="BC129" i="1"/>
  <c r="O127" i="1"/>
  <c r="CE124" i="1"/>
  <c r="AQ122" i="1"/>
  <c r="DG119" i="1"/>
  <c r="BS117" i="1"/>
  <c r="AE115" i="1"/>
  <c r="CU112" i="1"/>
  <c r="BG110" i="1"/>
  <c r="S108" i="1"/>
  <c r="CI105" i="1"/>
  <c r="AU103" i="1"/>
  <c r="G101" i="1"/>
  <c r="BW98" i="1"/>
  <c r="AI96" i="1"/>
  <c r="CY93" i="1"/>
  <c r="BK91" i="1"/>
  <c r="W89" i="1"/>
  <c r="CM86" i="1"/>
  <c r="AY84" i="1"/>
  <c r="K82" i="1"/>
  <c r="CA79" i="1"/>
  <c r="AM77" i="1"/>
  <c r="BV144" i="1"/>
  <c r="V135" i="1"/>
  <c r="BZ125" i="1"/>
  <c r="Z116" i="1"/>
  <c r="CD106" i="1"/>
  <c r="AD97" i="1"/>
  <c r="CH87" i="1"/>
  <c r="AH78" i="1"/>
  <c r="BK74" i="1"/>
  <c r="W72" i="1"/>
  <c r="CM69" i="1"/>
  <c r="AY67" i="1"/>
  <c r="K65" i="1"/>
  <c r="CA62" i="1"/>
  <c r="AM60" i="1"/>
  <c r="DC57" i="1"/>
  <c r="BO55" i="1"/>
  <c r="AA53" i="1"/>
  <c r="CQ50" i="1"/>
  <c r="BC48" i="1"/>
  <c r="O46" i="1"/>
  <c r="CE43" i="1"/>
  <c r="AQ41" i="1"/>
  <c r="DG38" i="1"/>
  <c r="BS36" i="1"/>
  <c r="AE34" i="1"/>
  <c r="CU31" i="1"/>
  <c r="BG29" i="1"/>
  <c r="R163" i="1"/>
  <c r="CP159" i="1"/>
  <c r="BV156" i="1"/>
  <c r="CH153" i="1"/>
  <c r="AS151" i="1"/>
  <c r="DI148" i="1"/>
  <c r="BU146" i="1"/>
  <c r="AG144" i="1"/>
  <c r="CW141" i="1"/>
  <c r="BI139" i="1"/>
  <c r="U137" i="1"/>
  <c r="CK134" i="1"/>
  <c r="AW132" i="1"/>
  <c r="I130" i="1"/>
  <c r="BY127" i="1"/>
  <c r="AK125" i="1"/>
  <c r="DA122" i="1"/>
  <c r="BM120" i="1"/>
  <c r="Y118" i="1"/>
  <c r="CO115" i="1"/>
  <c r="BA113" i="1"/>
  <c r="M111" i="1"/>
  <c r="CC108" i="1"/>
  <c r="AO106" i="1"/>
  <c r="DE103" i="1"/>
  <c r="BQ101" i="1"/>
  <c r="AC99" i="1"/>
  <c r="CS96" i="1"/>
  <c r="BE94" i="1"/>
  <c r="Q92" i="1"/>
  <c r="CG89" i="1"/>
  <c r="AS87" i="1"/>
  <c r="DI84" i="1"/>
  <c r="BU82" i="1"/>
  <c r="AG80" i="1"/>
  <c r="CW77" i="1"/>
  <c r="BX150" i="1"/>
  <c r="AJ148" i="1"/>
  <c r="CZ145" i="1"/>
  <c r="BL143" i="1"/>
  <c r="X141" i="1"/>
  <c r="CN138" i="1"/>
  <c r="AZ136" i="1"/>
  <c r="L134" i="1"/>
  <c r="CB131" i="1"/>
  <c r="AN129" i="1"/>
  <c r="DD126" i="1"/>
  <c r="BP124" i="1"/>
  <c r="AB122" i="1"/>
  <c r="CR119" i="1"/>
  <c r="BD117" i="1"/>
  <c r="P115" i="1"/>
  <c r="CF112" i="1"/>
  <c r="AR110" i="1"/>
  <c r="DH107" i="1"/>
  <c r="BT105" i="1"/>
  <c r="AF103" i="1"/>
  <c r="CV100" i="1"/>
  <c r="BH98" i="1"/>
  <c r="T96" i="1"/>
  <c r="CJ93" i="1"/>
  <c r="AV91" i="1"/>
  <c r="H89" i="1"/>
  <c r="BX86" i="1"/>
  <c r="AJ84" i="1"/>
  <c r="CZ81" i="1"/>
  <c r="BL79" i="1"/>
  <c r="X77" i="1"/>
  <c r="BS150" i="1"/>
  <c r="AE148" i="1"/>
  <c r="CU145" i="1"/>
  <c r="BG143" i="1"/>
  <c r="S141" i="1"/>
  <c r="CI138" i="1"/>
  <c r="AU136" i="1"/>
  <c r="G134" i="1"/>
  <c r="BW131" i="1"/>
  <c r="AI129" i="1"/>
  <c r="CY126" i="1"/>
  <c r="BK124" i="1"/>
  <c r="W122" i="1"/>
  <c r="CM119" i="1"/>
  <c r="AY117" i="1"/>
  <c r="K115" i="1"/>
  <c r="CA112" i="1"/>
  <c r="AM110" i="1"/>
  <c r="DC107" i="1"/>
  <c r="BO105" i="1"/>
  <c r="AA103" i="1"/>
  <c r="CQ100" i="1"/>
  <c r="BC98" i="1"/>
  <c r="O96" i="1"/>
  <c r="CE93" i="1"/>
  <c r="AQ91" i="1"/>
  <c r="DG88" i="1"/>
  <c r="BS86" i="1"/>
  <c r="AE84" i="1"/>
  <c r="CU81" i="1"/>
  <c r="BG79" i="1"/>
  <c r="S77" i="1"/>
  <c r="CX143" i="1"/>
  <c r="AX134" i="1"/>
  <c r="DB124" i="1"/>
  <c r="BB115" i="1"/>
  <c r="DF105" i="1"/>
  <c r="BF96" i="1"/>
  <c r="F87" i="1"/>
  <c r="BJ77" i="1"/>
  <c r="AQ74" i="1"/>
  <c r="DG71" i="1"/>
  <c r="BS69" i="1"/>
  <c r="AE67" i="1"/>
  <c r="CU64" i="1"/>
  <c r="BG62" i="1"/>
  <c r="S60" i="1"/>
  <c r="CI57" i="1"/>
  <c r="AU55" i="1"/>
  <c r="G53" i="1"/>
  <c r="BW50" i="1"/>
  <c r="AI48" i="1"/>
  <c r="CY45" i="1"/>
  <c r="BK43" i="1"/>
  <c r="W41" i="1"/>
  <c r="CM38" i="1"/>
  <c r="AY36" i="1"/>
  <c r="K34" i="1"/>
  <c r="CA31" i="1"/>
  <c r="AM29" i="1"/>
  <c r="K27" i="1"/>
  <c r="CA24" i="1"/>
  <c r="AM22" i="1"/>
  <c r="DC19" i="1"/>
  <c r="BO17" i="1"/>
  <c r="AA15" i="1"/>
  <c r="CQ12" i="1"/>
  <c r="BZ142" i="1"/>
  <c r="Z133" i="1"/>
  <c r="CD123" i="1"/>
  <c r="AD114" i="1"/>
  <c r="CH104" i="1"/>
  <c r="AH95" i="1"/>
  <c r="CL85" i="1"/>
  <c r="BN76" i="1"/>
  <c r="J74" i="1"/>
  <c r="BZ71" i="1"/>
  <c r="AL69" i="1"/>
  <c r="DB66" i="1"/>
  <c r="BN64" i="1"/>
  <c r="Z62" i="1"/>
  <c r="CP59" i="1"/>
  <c r="BB57" i="1"/>
  <c r="N55" i="1"/>
  <c r="CD52" i="1"/>
  <c r="AP50" i="1"/>
  <c r="DF47" i="1"/>
  <c r="BR45" i="1"/>
  <c r="AD43" i="1"/>
  <c r="CT40" i="1"/>
  <c r="BF38" i="1"/>
  <c r="R36" i="1"/>
  <c r="CH33" i="1"/>
  <c r="AT31" i="1"/>
  <c r="F29" i="1"/>
  <c r="BV26" i="1"/>
  <c r="AH24" i="1"/>
  <c r="CX21" i="1"/>
  <c r="BJ19" i="1"/>
  <c r="V17" i="1"/>
  <c r="CL14" i="1"/>
  <c r="AX12" i="1"/>
  <c r="J10" i="1"/>
  <c r="BZ7" i="1"/>
  <c r="AL5" i="1"/>
  <c r="S12" i="1"/>
  <c r="S5" i="1"/>
  <c r="CT144" i="1"/>
  <c r="AT135" i="1"/>
  <c r="CX125" i="1"/>
  <c r="AX116" i="1"/>
  <c r="DB106" i="1"/>
  <c r="BB97" i="1"/>
  <c r="DF87" i="1"/>
  <c r="BF78" i="1"/>
  <c r="BQ74" i="1"/>
  <c r="AC72" i="1"/>
  <c r="CS69" i="1"/>
  <c r="BE67" i="1"/>
  <c r="Q65" i="1"/>
  <c r="CG62" i="1"/>
  <c r="AS60" i="1"/>
  <c r="DI57" i="1"/>
  <c r="BU55" i="1"/>
  <c r="AG53" i="1"/>
  <c r="CW50" i="1"/>
  <c r="BI48" i="1"/>
  <c r="U46" i="1"/>
  <c r="CK43" i="1"/>
  <c r="AW41" i="1"/>
  <c r="I39" i="1"/>
  <c r="BY36" i="1"/>
  <c r="AK34" i="1"/>
  <c r="DA31" i="1"/>
  <c r="BM29" i="1"/>
  <c r="Y27" i="1"/>
  <c r="CO24" i="1"/>
  <c r="BA22" i="1"/>
  <c r="M20" i="1"/>
  <c r="CC17" i="1"/>
  <c r="AO15" i="1"/>
  <c r="DE12" i="1"/>
  <c r="BQ10" i="1"/>
  <c r="AC8" i="1"/>
  <c r="CS5" i="1"/>
  <c r="BE3" i="1"/>
  <c r="BO6" i="1"/>
  <c r="Z147" i="1"/>
  <c r="CD137" i="1"/>
  <c r="AD128" i="1"/>
  <c r="CH118" i="1"/>
  <c r="AH109" i="1"/>
  <c r="CL99" i="1"/>
  <c r="AL90" i="1"/>
  <c r="CP80" i="1"/>
  <c r="X75" i="1"/>
  <c r="CN72" i="1"/>
  <c r="AZ70" i="1"/>
  <c r="L68" i="1"/>
  <c r="CB65" i="1"/>
  <c r="AN63" i="1"/>
  <c r="DD60" i="1"/>
  <c r="BP58" i="1"/>
  <c r="AB56" i="1"/>
  <c r="CR53" i="1"/>
  <c r="BD51" i="1"/>
  <c r="P49" i="1"/>
  <c r="CF46" i="1"/>
  <c r="AR44" i="1"/>
  <c r="DH41" i="1"/>
  <c r="BT39" i="1"/>
  <c r="AF37" i="1"/>
  <c r="CV34" i="1"/>
  <c r="BH32" i="1"/>
  <c r="T30" i="1"/>
  <c r="CJ27" i="1"/>
  <c r="AV25" i="1"/>
  <c r="H23" i="1"/>
  <c r="BX20" i="1"/>
  <c r="DH17" i="1"/>
  <c r="CB13" i="1"/>
  <c r="AZ10" i="1"/>
  <c r="BL5" i="1"/>
  <c r="CU6" i="1"/>
  <c r="AA7" i="1"/>
  <c r="CU26" i="1"/>
  <c r="BG24" i="1"/>
  <c r="S22" i="1"/>
  <c r="CI19" i="1"/>
  <c r="AU17" i="1"/>
  <c r="G15" i="1"/>
  <c r="AX151" i="1"/>
  <c r="DB141" i="1"/>
  <c r="BB132" i="1"/>
  <c r="DF122" i="1"/>
  <c r="BF113" i="1"/>
  <c r="F104" i="1"/>
  <c r="BJ94" i="1"/>
  <c r="J85" i="1"/>
  <c r="AM76" i="1"/>
  <c r="CT73" i="1"/>
  <c r="BF71" i="1"/>
  <c r="R69" i="1"/>
  <c r="CH66" i="1"/>
  <c r="AT64" i="1"/>
  <c r="F62" i="1"/>
  <c r="BV59" i="1"/>
  <c r="AH57" i="1"/>
  <c r="CX54" i="1"/>
  <c r="BJ52" i="1"/>
  <c r="V50" i="1"/>
  <c r="CL47" i="1"/>
  <c r="AX45" i="1"/>
  <c r="J43" i="1"/>
  <c r="BZ40" i="1"/>
  <c r="AL38" i="1"/>
  <c r="DB35" i="1"/>
  <c r="BN33" i="1"/>
  <c r="Z31" i="1"/>
  <c r="CP28" i="1"/>
  <c r="BB26" i="1"/>
  <c r="N24" i="1"/>
  <c r="CD21" i="1"/>
  <c r="AP19" i="1"/>
  <c r="DF16" i="1"/>
  <c r="BR14" i="1"/>
  <c r="AD12" i="1"/>
  <c r="CT9" i="1"/>
  <c r="BF7" i="1"/>
  <c r="R5" i="1"/>
  <c r="BO11" i="1"/>
  <c r="AU4" i="1"/>
  <c r="R144" i="1"/>
  <c r="BV134" i="1"/>
  <c r="V125" i="1"/>
  <c r="BZ115" i="1"/>
  <c r="Z106" i="1"/>
  <c r="CD96" i="1"/>
  <c r="AD87" i="1"/>
  <c r="CH77" i="1"/>
  <c r="AW74" i="1"/>
  <c r="I72" i="1"/>
  <c r="BY69" i="1"/>
  <c r="AK67" i="1"/>
  <c r="DA64" i="1"/>
  <c r="BM62" i="1"/>
  <c r="Y60" i="1"/>
  <c r="CO57" i="1"/>
  <c r="BA55" i="1"/>
  <c r="M53" i="1"/>
  <c r="CC50" i="1"/>
  <c r="AO48" i="1"/>
  <c r="DE45" i="1"/>
  <c r="BQ43" i="1"/>
  <c r="AC41" i="1"/>
  <c r="CS38" i="1"/>
  <c r="BE36" i="1"/>
  <c r="Q34" i="1"/>
  <c r="CG31" i="1"/>
  <c r="AS29" i="1"/>
  <c r="DI26" i="1"/>
  <c r="BU24" i="1"/>
  <c r="AG22" i="1"/>
  <c r="CW19" i="1"/>
  <c r="BI17" i="1"/>
  <c r="U15" i="1"/>
  <c r="CK12" i="1"/>
  <c r="AW10" i="1"/>
  <c r="I8" i="1"/>
  <c r="BY5" i="1"/>
  <c r="AK3" i="1"/>
  <c r="G6" i="1"/>
  <c r="BB146" i="1"/>
  <c r="DF136" i="1"/>
  <c r="BF127" i="1"/>
  <c r="F118" i="1"/>
  <c r="BJ108" i="1"/>
  <c r="J99" i="1"/>
  <c r="BN89" i="1"/>
  <c r="N80" i="1"/>
  <c r="DH74" i="1"/>
  <c r="BT72" i="1"/>
  <c r="AF70" i="1"/>
  <c r="CV67" i="1"/>
  <c r="BH65" i="1"/>
  <c r="T63" i="1"/>
  <c r="CJ60" i="1"/>
  <c r="AV58" i="1"/>
  <c r="H56" i="1"/>
  <c r="BX53" i="1"/>
  <c r="AJ51" i="1"/>
  <c r="CZ48" i="1"/>
  <c r="BL46" i="1"/>
  <c r="X44" i="1"/>
  <c r="CN41" i="1"/>
  <c r="AZ39" i="1"/>
  <c r="L37" i="1"/>
  <c r="CB34" i="1"/>
  <c r="AN32" i="1"/>
  <c r="DD29" i="1"/>
  <c r="BP27" i="1"/>
  <c r="AB25" i="1"/>
  <c r="CR22" i="1"/>
  <c r="BD20" i="1"/>
  <c r="P18" i="1"/>
  <c r="CF15" i="1"/>
  <c r="AR13" i="1"/>
  <c r="DH10" i="1"/>
  <c r="BT8" i="1"/>
  <c r="DD5" i="1"/>
  <c r="W12" i="1"/>
  <c r="CM25" i="1"/>
  <c r="AY23" i="1"/>
  <c r="K21" i="1"/>
  <c r="CA18" i="1"/>
  <c r="AM16" i="1"/>
  <c r="DC13" i="1"/>
  <c r="R147" i="1"/>
  <c r="BV137" i="1"/>
  <c r="V128" i="1"/>
  <c r="BZ118" i="1"/>
  <c r="Z109" i="1"/>
  <c r="CD99" i="1"/>
  <c r="AD90" i="1"/>
  <c r="CH80" i="1"/>
  <c r="V75" i="1"/>
  <c r="CL72" i="1"/>
  <c r="AX70" i="1"/>
  <c r="J68" i="1"/>
  <c r="BZ65" i="1"/>
  <c r="AL63" i="1"/>
  <c r="DB60" i="1"/>
  <c r="BN58" i="1"/>
  <c r="Z56" i="1"/>
  <c r="CP53" i="1"/>
  <c r="BB51" i="1"/>
  <c r="N49" i="1"/>
  <c r="CD46" i="1"/>
  <c r="AP44" i="1"/>
  <c r="DF41" i="1"/>
  <c r="BR39" i="1"/>
  <c r="AD37" i="1"/>
  <c r="CT34" i="1"/>
  <c r="BF32" i="1"/>
  <c r="R30" i="1"/>
  <c r="CH27" i="1"/>
  <c r="AT25" i="1"/>
  <c r="F23" i="1"/>
  <c r="BV20" i="1"/>
  <c r="AH18" i="1"/>
  <c r="CX15" i="1"/>
  <c r="BJ13" i="1"/>
  <c r="V11" i="1"/>
  <c r="CL8" i="1"/>
  <c r="AX6" i="1"/>
  <c r="J4" i="1"/>
  <c r="AU8" i="1"/>
  <c r="AL149" i="1"/>
  <c r="CP139" i="1"/>
  <c r="AP130" i="1"/>
  <c r="CT120" i="1"/>
  <c r="AT111" i="1"/>
  <c r="CX101" i="1"/>
  <c r="AX92" i="1"/>
  <c r="DB82" i="1"/>
  <c r="CC75" i="1"/>
  <c r="AO73" i="1"/>
  <c r="DE70" i="1"/>
  <c r="BQ68" i="1"/>
  <c r="AC66" i="1"/>
  <c r="CS63" i="1"/>
  <c r="BE61" i="1"/>
  <c r="Q59" i="1"/>
  <c r="CG56" i="1"/>
  <c r="AS54" i="1"/>
  <c r="DI51" i="1"/>
  <c r="BU49" i="1"/>
  <c r="AG47" i="1"/>
  <c r="CW44" i="1"/>
  <c r="BI42" i="1"/>
  <c r="U40" i="1"/>
  <c r="CK37" i="1"/>
  <c r="AW35" i="1"/>
  <c r="I33" i="1"/>
  <c r="BY30" i="1"/>
  <c r="AK28" i="1"/>
  <c r="DA25" i="1"/>
  <c r="BM23" i="1"/>
  <c r="Y21" i="1"/>
  <c r="CO18" i="1"/>
  <c r="BA16" i="1"/>
  <c r="M14" i="1"/>
  <c r="CC11" i="1"/>
  <c r="AO9" i="1"/>
  <c r="DE6" i="1"/>
  <c r="BQ4" i="1"/>
  <c r="CU9" i="1"/>
  <c r="BX151" i="1"/>
  <c r="V142" i="1"/>
  <c r="BZ132" i="1"/>
  <c r="Z123" i="1"/>
  <c r="CD113" i="1"/>
  <c r="AD104" i="1"/>
  <c r="CH94" i="1"/>
  <c r="AH85" i="1"/>
  <c r="AU76" i="1"/>
  <c r="CZ73" i="1"/>
  <c r="BL71" i="1"/>
  <c r="X69" i="1"/>
  <c r="CN66" i="1"/>
  <c r="AZ64" i="1"/>
  <c r="L62" i="1"/>
  <c r="CB59" i="1"/>
  <c r="AN57" i="1"/>
  <c r="DD54" i="1"/>
  <c r="BP52" i="1"/>
  <c r="AB50" i="1"/>
  <c r="CR47" i="1"/>
  <c r="BD45" i="1"/>
  <c r="P43" i="1"/>
  <c r="CF40" i="1"/>
  <c r="AR38" i="1"/>
  <c r="DH35" i="1"/>
  <c r="BT33" i="1"/>
  <c r="AF31" i="1"/>
  <c r="CV28" i="1"/>
  <c r="BH26" i="1"/>
  <c r="T24" i="1"/>
  <c r="CJ21" i="1"/>
  <c r="AV19" i="1"/>
  <c r="H17" i="1"/>
  <c r="BX14" i="1"/>
  <c r="AJ12" i="1"/>
  <c r="CZ9" i="1"/>
  <c r="BL7" i="1"/>
  <c r="X5" i="1"/>
  <c r="AU27" i="1"/>
  <c r="G25" i="1"/>
  <c r="BW22" i="1"/>
  <c r="AI20" i="1"/>
  <c r="CY17" i="1"/>
  <c r="BK15" i="1"/>
  <c r="W13" i="1"/>
  <c r="F144" i="1"/>
  <c r="BJ134" i="1"/>
  <c r="J125" i="1"/>
  <c r="BN115" i="1"/>
  <c r="N106" i="1"/>
  <c r="BR96" i="1"/>
  <c r="R87" i="1"/>
  <c r="BV77" i="1"/>
  <c r="AT74" i="1"/>
  <c r="F72" i="1"/>
  <c r="BV69" i="1"/>
  <c r="AH67" i="1"/>
  <c r="CX64" i="1"/>
  <c r="BJ62" i="1"/>
  <c r="V60" i="1"/>
  <c r="CL57" i="1"/>
  <c r="AX55" i="1"/>
  <c r="J53" i="1"/>
  <c r="BZ50" i="1"/>
  <c r="AL48" i="1"/>
  <c r="DB45" i="1"/>
  <c r="BN43" i="1"/>
  <c r="Z41" i="1"/>
  <c r="CP38" i="1"/>
  <c r="BB36" i="1"/>
  <c r="N34" i="1"/>
  <c r="CD31" i="1"/>
  <c r="AP29" i="1"/>
  <c r="DF26" i="1"/>
  <c r="BR24" i="1"/>
  <c r="AD22" i="1"/>
  <c r="CT19" i="1"/>
  <c r="BF17" i="1"/>
  <c r="R15" i="1"/>
  <c r="CH12" i="1"/>
  <c r="AT10" i="1"/>
  <c r="F8" i="1"/>
  <c r="BV5" i="1"/>
  <c r="AH3" i="1"/>
  <c r="S6" i="1"/>
  <c r="Z146" i="1"/>
  <c r="CD136" i="1"/>
  <c r="AD127" i="1"/>
  <c r="CH117" i="1"/>
  <c r="AH108" i="1"/>
  <c r="CL98" i="1"/>
  <c r="AL89" i="1"/>
  <c r="CP79" i="1"/>
  <c r="DA74" i="1"/>
  <c r="BM72" i="1"/>
  <c r="Y70" i="1"/>
  <c r="CO67" i="1"/>
  <c r="BA65" i="1"/>
  <c r="M63" i="1"/>
  <c r="CC60" i="1"/>
  <c r="AO58" i="1"/>
  <c r="DE55" i="1"/>
  <c r="BQ53" i="1"/>
  <c r="AC51" i="1"/>
  <c r="CS48" i="1"/>
  <c r="BE46" i="1"/>
  <c r="Q44" i="1"/>
  <c r="CG41" i="1"/>
  <c r="AS39" i="1"/>
  <c r="DI36" i="1"/>
  <c r="BU34" i="1"/>
  <c r="AG32" i="1"/>
  <c r="CW29" i="1"/>
  <c r="BI27" i="1"/>
  <c r="U25" i="1"/>
  <c r="CK22" i="1"/>
  <c r="AW20" i="1"/>
  <c r="I18" i="1"/>
  <c r="BY15" i="1"/>
  <c r="AK13" i="1"/>
  <c r="DA10" i="1"/>
  <c r="BM8" i="1"/>
  <c r="Y6" i="1"/>
  <c r="CO3" i="1"/>
  <c r="BK7" i="1"/>
  <c r="BJ148" i="1"/>
  <c r="J139" i="1"/>
  <c r="BN129" i="1"/>
  <c r="N120" i="1"/>
  <c r="BR110" i="1"/>
  <c r="R101" i="1"/>
  <c r="BV91" i="1"/>
  <c r="V82" i="1"/>
  <c r="BH75" i="1"/>
  <c r="T73" i="1"/>
  <c r="CJ70" i="1"/>
  <c r="AV68" i="1"/>
  <c r="H66" i="1"/>
  <c r="BX63" i="1"/>
  <c r="AJ61" i="1"/>
  <c r="CZ58" i="1"/>
  <c r="BL56" i="1"/>
  <c r="X54" i="1"/>
  <c r="CN51" i="1"/>
  <c r="AZ49" i="1"/>
  <c r="L47" i="1"/>
  <c r="CB44" i="1"/>
  <c r="AN42" i="1"/>
  <c r="DD39" i="1"/>
  <c r="BP37" i="1"/>
  <c r="AB35" i="1"/>
  <c r="CR32" i="1"/>
  <c r="BD30" i="1"/>
  <c r="P28" i="1"/>
  <c r="CF25" i="1"/>
  <c r="AR23" i="1"/>
  <c r="DH20" i="1"/>
  <c r="BT18" i="1"/>
  <c r="AF16" i="1"/>
  <c r="CV13" i="1"/>
  <c r="BH11" i="1"/>
  <c r="T9" i="1"/>
  <c r="CJ6" i="1"/>
  <c r="DG6" i="1"/>
  <c r="DC9" i="1"/>
  <c r="CR105" i="1"/>
  <c r="BD103" i="1"/>
  <c r="P101" i="1"/>
  <c r="CF98" i="1"/>
  <c r="AR96" i="1"/>
  <c r="DH93" i="1"/>
  <c r="BT91" i="1"/>
  <c r="AF89" i="1"/>
  <c r="CV86" i="1"/>
  <c r="BH84" i="1"/>
  <c r="T82" i="1"/>
  <c r="CJ79" i="1"/>
  <c r="AV77" i="1"/>
  <c r="CQ150" i="1"/>
  <c r="BC148" i="1"/>
  <c r="O146" i="1"/>
  <c r="CE143" i="1"/>
  <c r="AQ141" i="1"/>
  <c r="DG138" i="1"/>
  <c r="BS136" i="1"/>
  <c r="AE134" i="1"/>
  <c r="CU131" i="1"/>
  <c r="BG129" i="1"/>
  <c r="S127" i="1"/>
  <c r="CI124" i="1"/>
  <c r="AU122" i="1"/>
  <c r="G120" i="1"/>
  <c r="BW117" i="1"/>
  <c r="AI115" i="1"/>
  <c r="CY112" i="1"/>
  <c r="BK110" i="1"/>
  <c r="W108" i="1"/>
  <c r="CM105" i="1"/>
  <c r="AY103" i="1"/>
  <c r="K101" i="1"/>
  <c r="CA98" i="1"/>
  <c r="AM96" i="1"/>
  <c r="DC93" i="1"/>
  <c r="BO91" i="1"/>
  <c r="AA89" i="1"/>
  <c r="CQ86" i="1"/>
  <c r="BC84" i="1"/>
  <c r="O82" i="1"/>
  <c r="CE79" i="1"/>
  <c r="AQ77" i="1"/>
  <c r="CL144" i="1"/>
  <c r="AL135" i="1"/>
  <c r="CP125" i="1"/>
  <c r="AP116" i="1"/>
  <c r="CT106" i="1"/>
  <c r="AT97" i="1"/>
  <c r="CX87" i="1"/>
  <c r="AX78" i="1"/>
  <c r="BO74" i="1"/>
  <c r="AA72" i="1"/>
  <c r="CQ69" i="1"/>
  <c r="BC67" i="1"/>
  <c r="O65" i="1"/>
  <c r="CE62" i="1"/>
  <c r="AQ60" i="1"/>
  <c r="DG57" i="1"/>
  <c r="BS55" i="1"/>
  <c r="AE53" i="1"/>
  <c r="CU50" i="1"/>
  <c r="BG48" i="1"/>
  <c r="S46" i="1"/>
  <c r="CI43" i="1"/>
  <c r="AU41" i="1"/>
  <c r="G39" i="1"/>
  <c r="BW36" i="1"/>
  <c r="AI34" i="1"/>
  <c r="CY31" i="1"/>
  <c r="BK29" i="1"/>
  <c r="AD163" i="1"/>
  <c r="CT159" i="1"/>
  <c r="CD156" i="1"/>
  <c r="CL153" i="1"/>
  <c r="AW151" i="1"/>
  <c r="I149" i="1"/>
  <c r="BY146" i="1"/>
  <c r="AK144" i="1"/>
  <c r="DA141" i="1"/>
  <c r="BM139" i="1"/>
  <c r="Y137" i="1"/>
  <c r="CO134" i="1"/>
  <c r="BA132" i="1"/>
  <c r="M130" i="1"/>
  <c r="CC127" i="1"/>
  <c r="AO125" i="1"/>
  <c r="DE122" i="1"/>
  <c r="BQ120" i="1"/>
  <c r="AC118" i="1"/>
  <c r="CS115" i="1"/>
  <c r="BE113" i="1"/>
  <c r="Q111" i="1"/>
  <c r="CG108" i="1"/>
  <c r="AS106" i="1"/>
  <c r="DI103" i="1"/>
  <c r="BU101" i="1"/>
  <c r="AG99" i="1"/>
  <c r="CW96" i="1"/>
  <c r="BI94" i="1"/>
  <c r="U92" i="1"/>
  <c r="CK89" i="1"/>
  <c r="AW87" i="1"/>
  <c r="I85" i="1"/>
  <c r="BY82" i="1"/>
  <c r="AK80" i="1"/>
  <c r="DA77" i="1"/>
  <c r="CB150" i="1"/>
  <c r="AN148" i="1"/>
  <c r="DD145" i="1"/>
  <c r="BP143" i="1"/>
  <c r="AB141" i="1"/>
  <c r="CR138" i="1"/>
  <c r="BD136" i="1"/>
  <c r="P134" i="1"/>
  <c r="CF131" i="1"/>
  <c r="AR129" i="1"/>
  <c r="DH126" i="1"/>
  <c r="BT124" i="1"/>
  <c r="AF122" i="1"/>
  <c r="CV119" i="1"/>
  <c r="BH117" i="1"/>
  <c r="T115" i="1"/>
  <c r="CJ112" i="1"/>
  <c r="AV110" i="1"/>
  <c r="H108" i="1"/>
  <c r="BX105" i="1"/>
  <c r="AJ103" i="1"/>
  <c r="CZ100" i="1"/>
  <c r="BL98" i="1"/>
  <c r="X96" i="1"/>
  <c r="CN93" i="1"/>
  <c r="AZ91" i="1"/>
  <c r="L89" i="1"/>
  <c r="CB86" i="1"/>
  <c r="AN84" i="1"/>
  <c r="DD81" i="1"/>
  <c r="BP79" i="1"/>
  <c r="AB77" i="1"/>
  <c r="BW150" i="1"/>
  <c r="AI148" i="1"/>
  <c r="CY145" i="1"/>
  <c r="BK143" i="1"/>
  <c r="W141" i="1"/>
  <c r="CM138" i="1"/>
  <c r="AY136" i="1"/>
  <c r="K134" i="1"/>
  <c r="CA131" i="1"/>
  <c r="AM129" i="1"/>
  <c r="DC126" i="1"/>
  <c r="BO124" i="1"/>
  <c r="AA122" i="1"/>
  <c r="CQ119" i="1"/>
  <c r="BC117" i="1"/>
  <c r="O115" i="1"/>
  <c r="CE112" i="1"/>
  <c r="AQ110" i="1"/>
  <c r="DG107" i="1"/>
  <c r="BS105" i="1"/>
  <c r="AE103" i="1"/>
  <c r="CU100" i="1"/>
  <c r="BG98" i="1"/>
  <c r="S96" i="1"/>
  <c r="CI93" i="1"/>
  <c r="AU91" i="1"/>
  <c r="G89" i="1"/>
  <c r="BW86" i="1"/>
  <c r="AI84" i="1"/>
  <c r="CY81" i="1"/>
  <c r="BK79" i="1"/>
  <c r="W77" i="1"/>
  <c r="J144" i="1"/>
  <c r="BN134" i="1"/>
  <c r="N125" i="1"/>
  <c r="BR115" i="1"/>
  <c r="R106" i="1"/>
  <c r="BV96" i="1"/>
  <c r="V87" i="1"/>
  <c r="BZ77" i="1"/>
  <c r="AU74" i="1"/>
  <c r="G72" i="1"/>
  <c r="BW69" i="1"/>
  <c r="AI67" i="1"/>
  <c r="CY64" i="1"/>
  <c r="BK62" i="1"/>
  <c r="W60" i="1"/>
  <c r="CM57" i="1"/>
  <c r="AY55" i="1"/>
  <c r="K53" i="1"/>
  <c r="CA50" i="1"/>
  <c r="AM48" i="1"/>
  <c r="DC45" i="1"/>
  <c r="BO43" i="1"/>
  <c r="AA41" i="1"/>
  <c r="CQ38" i="1"/>
  <c r="BC36" i="1"/>
  <c r="O34" i="1"/>
  <c r="CE31" i="1"/>
  <c r="AQ29" i="1"/>
  <c r="CP162" i="1"/>
  <c r="BR159" i="1"/>
  <c r="BB156" i="1"/>
  <c r="BR153" i="1"/>
  <c r="AC151" i="1"/>
  <c r="CS148" i="1"/>
  <c r="BE146" i="1"/>
  <c r="Q144" i="1"/>
  <c r="CG141" i="1"/>
  <c r="AS139" i="1"/>
  <c r="DI136" i="1"/>
  <c r="BU134" i="1"/>
  <c r="AG132" i="1"/>
  <c r="CW129" i="1"/>
  <c r="BI127" i="1"/>
  <c r="U125" i="1"/>
  <c r="CK122" i="1"/>
  <c r="AW120" i="1"/>
  <c r="I118" i="1"/>
  <c r="BY115" i="1"/>
  <c r="AK113" i="1"/>
  <c r="DA110" i="1"/>
  <c r="BM108" i="1"/>
  <c r="Y106" i="1"/>
  <c r="CO103" i="1"/>
  <c r="BA101" i="1"/>
  <c r="M99" i="1"/>
  <c r="CC96" i="1"/>
  <c r="AO94" i="1"/>
  <c r="DE91" i="1"/>
  <c r="BQ89" i="1"/>
  <c r="AC87" i="1"/>
  <c r="CS84" i="1"/>
  <c r="BE82" i="1"/>
  <c r="Q80" i="1"/>
  <c r="CG77" i="1"/>
  <c r="BH150" i="1"/>
  <c r="T148" i="1"/>
  <c r="CJ145" i="1"/>
  <c r="AV143" i="1"/>
  <c r="H141" i="1"/>
  <c r="BX138" i="1"/>
  <c r="AJ136" i="1"/>
  <c r="CZ133" i="1"/>
  <c r="BL131" i="1"/>
  <c r="X129" i="1"/>
  <c r="CN126" i="1"/>
  <c r="AZ124" i="1"/>
  <c r="L122" i="1"/>
  <c r="CB119" i="1"/>
  <c r="AN117" i="1"/>
  <c r="DD114" i="1"/>
  <c r="BP112" i="1"/>
  <c r="AB110" i="1"/>
  <c r="CR107" i="1"/>
  <c r="BD105" i="1"/>
  <c r="P103" i="1"/>
  <c r="CF100" i="1"/>
  <c r="AR98" i="1"/>
  <c r="DH95" i="1"/>
  <c r="BT93" i="1"/>
  <c r="AF91" i="1"/>
  <c r="CV88" i="1"/>
  <c r="BH86" i="1"/>
  <c r="T84" i="1"/>
  <c r="CJ81" i="1"/>
  <c r="AV79" i="1"/>
  <c r="H77" i="1"/>
  <c r="BC150" i="1"/>
  <c r="O148" i="1"/>
  <c r="CE145" i="1"/>
  <c r="AQ143" i="1"/>
  <c r="DG140" i="1"/>
  <c r="BS138" i="1"/>
  <c r="AE136" i="1"/>
  <c r="CU133" i="1"/>
  <c r="BG131" i="1"/>
  <c r="S129" i="1"/>
  <c r="CI126" i="1"/>
  <c r="AU124" i="1"/>
  <c r="G122" i="1"/>
  <c r="BW119" i="1"/>
  <c r="AI117" i="1"/>
  <c r="CY114" i="1"/>
  <c r="BK112" i="1"/>
  <c r="W110" i="1"/>
  <c r="CM107" i="1"/>
  <c r="AY105" i="1"/>
  <c r="K103" i="1"/>
  <c r="CA100" i="1"/>
  <c r="AM98" i="1"/>
  <c r="DC95" i="1"/>
  <c r="BO93" i="1"/>
  <c r="AA91" i="1"/>
  <c r="CQ88" i="1"/>
  <c r="BC86" i="1"/>
  <c r="O84" i="1"/>
  <c r="CE81" i="1"/>
  <c r="AQ79" i="1"/>
  <c r="DG76" i="1"/>
  <c r="AL143" i="1"/>
  <c r="CP133" i="1"/>
  <c r="AP124" i="1"/>
  <c r="CT114" i="1"/>
  <c r="AT105" i="1"/>
  <c r="CX95" i="1"/>
  <c r="AX86" i="1"/>
  <c r="DB76" i="1"/>
  <c r="AA74" i="1"/>
  <c r="CQ71" i="1"/>
  <c r="BC69" i="1"/>
  <c r="O67" i="1"/>
  <c r="CE64" i="1"/>
  <c r="AQ62" i="1"/>
  <c r="DG59" i="1"/>
  <c r="BS57" i="1"/>
  <c r="AE55" i="1"/>
  <c r="CU52" i="1"/>
  <c r="BG50" i="1"/>
  <c r="S48" i="1"/>
  <c r="CI45" i="1"/>
  <c r="AU43" i="1"/>
  <c r="G41" i="1"/>
  <c r="BW38" i="1"/>
  <c r="AI36" i="1"/>
  <c r="CY33" i="1"/>
  <c r="BK31" i="1"/>
  <c r="W29" i="1"/>
  <c r="CY26" i="1"/>
  <c r="BK24" i="1"/>
  <c r="W22" i="1"/>
  <c r="CM19" i="1"/>
  <c r="AY17" i="1"/>
  <c r="K15" i="1"/>
  <c r="BN151" i="1"/>
  <c r="N142" i="1"/>
  <c r="BR132" i="1"/>
  <c r="R123" i="1"/>
  <c r="BV113" i="1"/>
  <c r="V104" i="1"/>
  <c r="BZ94" i="1"/>
  <c r="Z85" i="1"/>
  <c r="AS76" i="1"/>
  <c r="CX73" i="1"/>
  <c r="DE245" i="1"/>
  <c r="AK219" i="1"/>
  <c r="BG208" i="1"/>
  <c r="G199" i="1"/>
  <c r="BK189" i="1"/>
  <c r="K180" i="1"/>
  <c r="BO170" i="1"/>
  <c r="O161" i="1"/>
  <c r="CK245" i="1"/>
  <c r="AE219" i="1"/>
  <c r="BB208" i="1"/>
  <c r="DF198" i="1"/>
  <c r="BF189" i="1"/>
  <c r="F180" i="1"/>
  <c r="BJ170" i="1"/>
  <c r="CH159" i="1"/>
  <c r="DE148" i="1"/>
  <c r="BE139" i="1"/>
  <c r="DI129" i="1"/>
  <c r="BI120" i="1"/>
  <c r="I111" i="1"/>
  <c r="BM101" i="1"/>
  <c r="M92" i="1"/>
  <c r="BQ82" i="1"/>
  <c r="AF148" i="1"/>
  <c r="CJ138" i="1"/>
  <c r="AJ129" i="1"/>
  <c r="CN119" i="1"/>
  <c r="AN110" i="1"/>
  <c r="CR100" i="1"/>
  <c r="AR91" i="1"/>
  <c r="CV81" i="1"/>
  <c r="AA148" i="1"/>
  <c r="CE138" i="1"/>
  <c r="AE129" i="1"/>
  <c r="CI119" i="1"/>
  <c r="AI110" i="1"/>
  <c r="CM100" i="1"/>
  <c r="AM91" i="1"/>
  <c r="CQ81" i="1"/>
  <c r="AH134" i="1"/>
  <c r="AP96" i="1"/>
  <c r="DC71" i="1"/>
  <c r="BC62" i="1"/>
  <c r="DG52" i="1"/>
  <c r="BG43" i="1"/>
  <c r="G34" i="1"/>
  <c r="BJ159" i="1"/>
  <c r="CK148" i="1"/>
  <c r="AK139" i="1"/>
  <c r="CO129" i="1"/>
  <c r="AO120" i="1"/>
  <c r="CS110" i="1"/>
  <c r="AS101" i="1"/>
  <c r="CW91" i="1"/>
  <c r="AW82" i="1"/>
  <c r="L148" i="1"/>
  <c r="BP138" i="1"/>
  <c r="P129" i="1"/>
  <c r="BT119" i="1"/>
  <c r="T110" i="1"/>
  <c r="BX166" i="1"/>
  <c r="X157" i="1"/>
  <c r="BY229" i="1"/>
  <c r="CY213" i="1"/>
  <c r="AY204" i="1"/>
  <c r="DC194" i="1"/>
  <c r="BC185" i="1"/>
  <c r="DG175" i="1"/>
  <c r="BG166" i="1"/>
  <c r="G157" i="1"/>
  <c r="BE229" i="1"/>
  <c r="CT213" i="1"/>
  <c r="AT204" i="1"/>
  <c r="CX194" i="1"/>
  <c r="AX185" i="1"/>
  <c r="DB175" i="1"/>
  <c r="BB166" i="1"/>
  <c r="DF156" i="1"/>
  <c r="BU260" i="1"/>
  <c r="CC228" i="1"/>
  <c r="BY213" i="1"/>
  <c r="Y204" i="1"/>
  <c r="CC194" i="1"/>
  <c r="AC185" i="1"/>
  <c r="CG175" i="1"/>
  <c r="AG166" i="1"/>
  <c r="CK156" i="1"/>
  <c r="BM229" i="1"/>
  <c r="CV213" i="1"/>
  <c r="AV204" i="1"/>
  <c r="CZ194" i="1"/>
  <c r="AZ185" i="1"/>
  <c r="DD175" i="1"/>
  <c r="BD166" i="1"/>
  <c r="DH156" i="1"/>
  <c r="DA228" i="1"/>
  <c r="CE213" i="1"/>
  <c r="AE204" i="1"/>
  <c r="CI194" i="1"/>
  <c r="AI185" i="1"/>
  <c r="CM175" i="1"/>
  <c r="AM166" i="1"/>
  <c r="CQ156" i="1"/>
  <c r="CG228" i="1"/>
  <c r="BZ213" i="1"/>
  <c r="Z204" i="1"/>
  <c r="CD194" i="1"/>
  <c r="AD185" i="1"/>
  <c r="CH175" i="1"/>
  <c r="AH166" i="1"/>
  <c r="DA262" i="1"/>
  <c r="DE235" i="1"/>
  <c r="M215" i="1"/>
  <c r="AO205" i="1"/>
  <c r="CS195" i="1"/>
  <c r="AS186" i="1"/>
  <c r="CW176" i="1"/>
  <c r="AW167" i="1"/>
  <c r="DA157" i="1"/>
  <c r="U234" i="1"/>
  <c r="AR215" i="1"/>
  <c r="BL205" i="1"/>
  <c r="L196" i="1"/>
  <c r="BP186" i="1"/>
  <c r="P177" i="1"/>
  <c r="BT167" i="1"/>
  <c r="T158" i="1"/>
  <c r="BI233" i="1"/>
  <c r="U215" i="1"/>
  <c r="AU205" i="1"/>
  <c r="CY195" i="1"/>
  <c r="AY186" i="1"/>
  <c r="DC176" i="1"/>
  <c r="BC167" i="1"/>
  <c r="DG157" i="1"/>
  <c r="AO233" i="1"/>
  <c r="O215" i="1"/>
  <c r="AP205" i="1"/>
  <c r="CT195" i="1"/>
  <c r="AT186" i="1"/>
  <c r="CX176" i="1"/>
  <c r="AX167" i="1"/>
  <c r="BR155" i="1"/>
  <c r="CS145" i="1"/>
  <c r="AS136" i="1"/>
  <c r="CW126" i="1"/>
  <c r="AW117" i="1"/>
  <c r="CW110" i="1"/>
  <c r="U106" i="1"/>
  <c r="AW101" i="1"/>
  <c r="BY96" i="1"/>
  <c r="DA91" i="1"/>
  <c r="Y87" i="1"/>
  <c r="BA82" i="1"/>
  <c r="CC77" i="1"/>
  <c r="P148" i="1"/>
  <c r="AR143" i="1"/>
  <c r="BT138" i="1"/>
  <c r="CV133" i="1"/>
  <c r="T129" i="1"/>
  <c r="AV124" i="1"/>
  <c r="BX119" i="1"/>
  <c r="CZ114" i="1"/>
  <c r="X110" i="1"/>
  <c r="AZ105" i="1"/>
  <c r="CB100" i="1"/>
  <c r="DD95" i="1"/>
  <c r="AB91" i="1"/>
  <c r="BD86" i="1"/>
  <c r="CF81" i="1"/>
  <c r="DH76" i="1"/>
  <c r="K148" i="1"/>
  <c r="AM143" i="1"/>
  <c r="BO138" i="1"/>
  <c r="CQ133" i="1"/>
  <c r="O129" i="1"/>
  <c r="AQ124" i="1"/>
  <c r="BS119" i="1"/>
  <c r="CU114" i="1"/>
  <c r="S110" i="1"/>
  <c r="AU105" i="1"/>
  <c r="BW100" i="1"/>
  <c r="CY95" i="1"/>
  <c r="W91" i="1"/>
  <c r="AY86" i="1"/>
  <c r="CA81" i="1"/>
  <c r="DC76" i="1"/>
  <c r="BZ133" i="1"/>
  <c r="CD114" i="1"/>
  <c r="CH95" i="1"/>
  <c r="CL76" i="1"/>
  <c r="CM71" i="1"/>
  <c r="K67" i="1"/>
  <c r="AM62" i="1"/>
  <c r="BO57" i="1"/>
  <c r="CQ52" i="1"/>
  <c r="O48" i="1"/>
  <c r="AQ43" i="1"/>
  <c r="BS38" i="1"/>
  <c r="CU33" i="1"/>
  <c r="S29" i="1"/>
  <c r="AL159" i="1"/>
  <c r="AT153" i="1"/>
  <c r="BU148" i="1"/>
  <c r="CW143" i="1"/>
  <c r="U139" i="1"/>
  <c r="AW134" i="1"/>
  <c r="BY129" i="1"/>
  <c r="DA124" i="1"/>
  <c r="Y120" i="1"/>
  <c r="BA115" i="1"/>
  <c r="CC110" i="1"/>
  <c r="DE105" i="1"/>
  <c r="AC101" i="1"/>
  <c r="BE96" i="1"/>
  <c r="CG91" i="1"/>
  <c r="DI86" i="1"/>
  <c r="AG82" i="1"/>
  <c r="BI77" i="1"/>
  <c r="CZ147" i="1"/>
  <c r="X143" i="1"/>
  <c r="AZ138" i="1"/>
  <c r="CB133" i="1"/>
  <c r="DD128" i="1"/>
  <c r="AB124" i="1"/>
  <c r="BD119" i="1"/>
  <c r="CF114" i="1"/>
  <c r="DH109" i="1"/>
  <c r="AZ172" i="1"/>
  <c r="CB167" i="1"/>
  <c r="DD162" i="1"/>
  <c r="AB158" i="1"/>
  <c r="BD153" i="1"/>
  <c r="CO233" i="1"/>
  <c r="BO221" i="1"/>
  <c r="AF215" i="1"/>
  <c r="AA210" i="1"/>
  <c r="BC205" i="1"/>
  <c r="CY201" i="1"/>
  <c r="BK199" i="1"/>
  <c r="W197" i="1"/>
  <c r="CM194" i="1"/>
  <c r="AY192" i="1"/>
  <c r="K190" i="1"/>
  <c r="CA187" i="1"/>
  <c r="AM185" i="1"/>
  <c r="DC182" i="1"/>
  <c r="BO180" i="1"/>
  <c r="AA178" i="1"/>
  <c r="CQ175" i="1"/>
  <c r="BC173" i="1"/>
  <c r="O171" i="1"/>
  <c r="CE168" i="1"/>
  <c r="AQ166" i="1"/>
  <c r="DG163" i="1"/>
  <c r="BS161" i="1"/>
  <c r="AE159" i="1"/>
  <c r="CU156" i="1"/>
  <c r="BG154" i="1"/>
  <c r="S152" i="1"/>
  <c r="AS238" i="1"/>
  <c r="CW228" i="1"/>
  <c r="CO223" i="1"/>
  <c r="DA219" i="1"/>
  <c r="CJ216" i="1"/>
  <c r="CD213" i="1"/>
  <c r="AP211" i="1"/>
  <c r="DF208" i="1"/>
  <c r="BR206" i="1"/>
  <c r="AD204" i="1"/>
  <c r="CT201" i="1"/>
  <c r="BF199" i="1"/>
  <c r="R197" i="1"/>
  <c r="CH194" i="1"/>
  <c r="AT192" i="1"/>
  <c r="F190" i="1"/>
  <c r="BV187" i="1"/>
  <c r="AH185" i="1"/>
  <c r="CX182" i="1"/>
  <c r="BJ180" i="1"/>
  <c r="V178" i="1"/>
  <c r="CL175" i="1"/>
  <c r="AX173" i="1"/>
  <c r="J171" i="1"/>
  <c r="BZ168" i="1"/>
  <c r="AL166" i="1"/>
  <c r="DB163" i="1"/>
  <c r="BN161" i="1"/>
  <c r="Z159" i="1"/>
  <c r="CP156" i="1"/>
  <c r="AW280" i="1"/>
  <c r="DA270" i="1"/>
  <c r="M265" i="1"/>
  <c r="AO260" i="1"/>
  <c r="BQ255" i="1"/>
  <c r="CS250" i="1"/>
  <c r="BM244" i="1"/>
  <c r="W228" i="1"/>
  <c r="AY223" i="1"/>
  <c r="BY219" i="1"/>
  <c r="BH216" i="1"/>
  <c r="BI213" i="1"/>
  <c r="U211" i="1"/>
  <c r="CK208" i="1"/>
  <c r="AW206" i="1"/>
  <c r="I204" i="1"/>
  <c r="BY201" i="1"/>
  <c r="AK199" i="1"/>
  <c r="DA196" i="1"/>
  <c r="BM194" i="1"/>
  <c r="Y192" i="1"/>
  <c r="CO189" i="1"/>
  <c r="BA187" i="1"/>
  <c r="M185" i="1"/>
  <c r="CC182" i="1"/>
  <c r="AO180" i="1"/>
  <c r="DE177" i="1"/>
  <c r="BQ175" i="1"/>
  <c r="AC173" i="1"/>
  <c r="CS170" i="1"/>
  <c r="BE168" i="1"/>
  <c r="Q166" i="1"/>
  <c r="CG163" i="1"/>
  <c r="AS161" i="1"/>
  <c r="DI158" i="1"/>
  <c r="BU156" i="1"/>
  <c r="AG154" i="1"/>
  <c r="CW151" i="1"/>
  <c r="BA238" i="1"/>
  <c r="DE228" i="1"/>
  <c r="CS223" i="1"/>
  <c r="DD219" i="1"/>
  <c r="CM216" i="1"/>
  <c r="CF213" i="1"/>
  <c r="AR211" i="1"/>
  <c r="DH208" i="1"/>
  <c r="BT206" i="1"/>
  <c r="AF204" i="1"/>
  <c r="CV201" i="1"/>
  <c r="BH199" i="1"/>
  <c r="T197" i="1"/>
  <c r="CJ194" i="1"/>
  <c r="AV192" i="1"/>
  <c r="H190" i="1"/>
  <c r="BX187" i="1"/>
  <c r="AJ185" i="1"/>
  <c r="CZ182" i="1"/>
  <c r="BL180" i="1"/>
  <c r="X178" i="1"/>
  <c r="CN175" i="1"/>
  <c r="AZ173" i="1"/>
  <c r="L171" i="1"/>
  <c r="CB168" i="1"/>
  <c r="AN166" i="1"/>
  <c r="DD163" i="1"/>
  <c r="BP161" i="1"/>
  <c r="AB159" i="1"/>
  <c r="CR156" i="1"/>
  <c r="BD154" i="1"/>
  <c r="P152" i="1"/>
  <c r="CO237" i="1"/>
  <c r="AO228" i="1"/>
  <c r="BK223" i="1"/>
  <c r="CG219" i="1"/>
  <c r="BP216" i="1"/>
  <c r="BO213" i="1"/>
  <c r="AA211" i="1"/>
  <c r="CQ208" i="1"/>
  <c r="BC206" i="1"/>
  <c r="O204" i="1"/>
  <c r="CE201" i="1"/>
  <c r="AQ199" i="1"/>
  <c r="DG196" i="1"/>
  <c r="BS194" i="1"/>
  <c r="AE192" i="1"/>
  <c r="CU189" i="1"/>
  <c r="BG187" i="1"/>
  <c r="S185" i="1"/>
  <c r="CI182" i="1"/>
  <c r="AU180" i="1"/>
  <c r="G178" i="1"/>
  <c r="BW175" i="1"/>
  <c r="AI173" i="1"/>
  <c r="CY170" i="1"/>
  <c r="BK168" i="1"/>
  <c r="W166" i="1"/>
  <c r="CM163" i="1"/>
  <c r="AY161" i="1"/>
  <c r="K159" i="1"/>
  <c r="CA156" i="1"/>
  <c r="AM154" i="1"/>
  <c r="DC151" i="1"/>
  <c r="BU237" i="1"/>
  <c r="Y228" i="1"/>
  <c r="BA223" i="1"/>
  <c r="CA219" i="1"/>
  <c r="BI216" i="1"/>
  <c r="BJ213" i="1"/>
  <c r="V211" i="1"/>
  <c r="CL208" i="1"/>
  <c r="AX206" i="1"/>
  <c r="J204" i="1"/>
  <c r="BZ201" i="1"/>
  <c r="AL199" i="1"/>
  <c r="DB196" i="1"/>
  <c r="BN194" i="1"/>
  <c r="Z192" i="1"/>
  <c r="CP189" i="1"/>
  <c r="BB187" i="1"/>
  <c r="N185" i="1"/>
  <c r="CD182" i="1"/>
  <c r="AP180" i="1"/>
  <c r="DF177" i="1"/>
  <c r="BR175" i="1"/>
  <c r="AD173" i="1"/>
  <c r="CT170" i="1"/>
  <c r="BF168" i="1"/>
  <c r="R166" i="1"/>
  <c r="CH163" i="1"/>
  <c r="BI275" i="1"/>
  <c r="AS267" i="1"/>
  <c r="BU262" i="1"/>
  <c r="CW257" i="1"/>
  <c r="U253" i="1"/>
  <c r="AW248" i="1"/>
  <c r="CK234" i="1"/>
  <c r="CE225" i="1"/>
  <c r="AA221" i="1"/>
  <c r="I218" i="1"/>
  <c r="CV214" i="1"/>
  <c r="AK212" i="1"/>
  <c r="DA209" i="1"/>
  <c r="BM207" i="1"/>
  <c r="Y205" i="1"/>
  <c r="CO202" i="1"/>
  <c r="BA200" i="1"/>
  <c r="M198" i="1"/>
  <c r="CC195" i="1"/>
  <c r="AO193" i="1"/>
  <c r="DE190" i="1"/>
  <c r="BQ188" i="1"/>
  <c r="AC186" i="1"/>
  <c r="CS183" i="1"/>
  <c r="BE181" i="1"/>
  <c r="Q179" i="1"/>
  <c r="CG176" i="1"/>
  <c r="AS174" i="1"/>
  <c r="DI171" i="1"/>
  <c r="BU169" i="1"/>
  <c r="AG167" i="1"/>
  <c r="CW164" i="1"/>
  <c r="BI162" i="1"/>
  <c r="U160" i="1"/>
  <c r="CK157" i="1"/>
  <c r="AW155" i="1"/>
  <c r="I153" i="1"/>
  <c r="I243" i="1"/>
  <c r="BM233" i="1"/>
  <c r="U226" i="1"/>
  <c r="BE221" i="1"/>
  <c r="AN218" i="1"/>
  <c r="W215" i="1"/>
  <c r="BH212" i="1"/>
  <c r="T210" i="1"/>
  <c r="CJ207" i="1"/>
  <c r="AV205" i="1"/>
  <c r="H203" i="1"/>
  <c r="BX200" i="1"/>
  <c r="AJ198" i="1"/>
  <c r="CZ195" i="1"/>
  <c r="BL193" i="1"/>
  <c r="X191" i="1"/>
  <c r="CN188" i="1"/>
  <c r="AZ186" i="1"/>
  <c r="L184" i="1"/>
  <c r="CB181" i="1"/>
  <c r="AN179" i="1"/>
  <c r="DD176" i="1"/>
  <c r="BP174" i="1"/>
  <c r="AB172" i="1"/>
  <c r="CR169" i="1"/>
  <c r="BD167" i="1"/>
  <c r="P165" i="1"/>
  <c r="CF162" i="1"/>
  <c r="AR160" i="1"/>
  <c r="DH157" i="1"/>
  <c r="BT155" i="1"/>
  <c r="AF153" i="1"/>
  <c r="AW242" i="1"/>
  <c r="DA232" i="1"/>
  <c r="CQ225" i="1"/>
  <c r="AI221" i="1"/>
  <c r="Q218" i="1"/>
  <c r="DD214" i="1"/>
  <c r="AQ212" i="1"/>
  <c r="DG209" i="1"/>
  <c r="BS207" i="1"/>
  <c r="AE205" i="1"/>
  <c r="CU202" i="1"/>
  <c r="BG200" i="1"/>
  <c r="S198" i="1"/>
  <c r="CI195" i="1"/>
  <c r="AU193" i="1"/>
  <c r="G191" i="1"/>
  <c r="BW188" i="1"/>
  <c r="AI186" i="1"/>
  <c r="CY183" i="1"/>
  <c r="BK181" i="1"/>
  <c r="W179" i="1"/>
  <c r="CM176" i="1"/>
  <c r="AY174" i="1"/>
  <c r="K172" i="1"/>
  <c r="CA169" i="1"/>
  <c r="AM167" i="1"/>
  <c r="DC164" i="1"/>
  <c r="BO162" i="1"/>
  <c r="AA160" i="1"/>
  <c r="CQ157" i="1"/>
  <c r="BC155" i="1"/>
  <c r="O153" i="1"/>
  <c r="AC242" i="1"/>
  <c r="CG232" i="1"/>
  <c r="CG225" i="1"/>
  <c r="AB221" i="1"/>
  <c r="K218" i="1"/>
  <c r="CW214" i="1"/>
  <c r="AL212" i="1"/>
  <c r="DB209" i="1"/>
  <c r="BN207" i="1"/>
  <c r="Z205" i="1"/>
  <c r="CP202" i="1"/>
  <c r="BB200" i="1"/>
  <c r="N198" i="1"/>
  <c r="CD195" i="1"/>
  <c r="AP193" i="1"/>
  <c r="DF190" i="1"/>
  <c r="BR188" i="1"/>
  <c r="AD186" i="1"/>
  <c r="CT183" i="1"/>
  <c r="BF181" i="1"/>
  <c r="R179" i="1"/>
  <c r="CH176" i="1"/>
  <c r="AT174" i="1"/>
  <c r="F172" i="1"/>
  <c r="BV169" i="1"/>
  <c r="AH167" i="1"/>
  <c r="CX164" i="1"/>
  <c r="CH161" i="1"/>
  <c r="BN158" i="1"/>
  <c r="AX155" i="1"/>
  <c r="CP152" i="1"/>
  <c r="BA150" i="1"/>
  <c r="M148" i="1"/>
  <c r="CC145" i="1"/>
  <c r="AO143" i="1"/>
  <c r="DE140" i="1"/>
  <c r="BQ138" i="1"/>
  <c r="AC136" i="1"/>
  <c r="CS133" i="1"/>
  <c r="BE131" i="1"/>
  <c r="Q129" i="1"/>
  <c r="CG126" i="1"/>
  <c r="AS124" i="1"/>
  <c r="DI121" i="1"/>
  <c r="BU119" i="1"/>
  <c r="AG117" i="1"/>
  <c r="CW114" i="1"/>
  <c r="BI112" i="1"/>
  <c r="U110" i="1"/>
  <c r="CK107" i="1"/>
  <c r="AW105" i="1"/>
  <c r="I103" i="1"/>
  <c r="BY100" i="1"/>
  <c r="AK98" i="1"/>
  <c r="DA95" i="1"/>
  <c r="BM93" i="1"/>
  <c r="Y91" i="1"/>
  <c r="CO88" i="1"/>
  <c r="BA86" i="1"/>
  <c r="M84" i="1"/>
  <c r="CC81" i="1"/>
  <c r="AO79" i="1"/>
  <c r="DE76" i="1"/>
  <c r="CF149" i="1"/>
  <c r="AR147" i="1"/>
  <c r="DH144" i="1"/>
  <c r="BT142" i="1"/>
  <c r="AF140" i="1"/>
  <c r="CV137" i="1"/>
  <c r="BH135" i="1"/>
  <c r="T133" i="1"/>
  <c r="CJ130" i="1"/>
  <c r="AV128" i="1"/>
  <c r="H126" i="1"/>
  <c r="BX123" i="1"/>
  <c r="AJ121" i="1"/>
  <c r="CZ118" i="1"/>
  <c r="BL116" i="1"/>
  <c r="X114" i="1"/>
  <c r="CN111" i="1"/>
  <c r="AZ109" i="1"/>
  <c r="L107" i="1"/>
  <c r="CB104" i="1"/>
  <c r="AN102" i="1"/>
  <c r="DD99" i="1"/>
  <c r="BP97" i="1"/>
  <c r="AB95" i="1"/>
  <c r="CR92" i="1"/>
  <c r="BD90" i="1"/>
  <c r="P88" i="1"/>
  <c r="CF85" i="1"/>
  <c r="AR83" i="1"/>
  <c r="DH80" i="1"/>
  <c r="BT78" i="1"/>
  <c r="AF76" i="1"/>
  <c r="CA149" i="1"/>
  <c r="AM147" i="1"/>
  <c r="DC144" i="1"/>
  <c r="BO142" i="1"/>
  <c r="AA140" i="1"/>
  <c r="CQ137" i="1"/>
  <c r="BC135" i="1"/>
  <c r="O133" i="1"/>
  <c r="CE130" i="1"/>
  <c r="AQ128" i="1"/>
  <c r="DG125" i="1"/>
  <c r="BS123" i="1"/>
  <c r="AE121" i="1"/>
  <c r="CU118" i="1"/>
  <c r="BG116" i="1"/>
  <c r="S114" i="1"/>
  <c r="CI111" i="1"/>
  <c r="AU109" i="1"/>
  <c r="G107" i="1"/>
  <c r="BW104" i="1"/>
  <c r="AI102" i="1"/>
  <c r="CY99" i="1"/>
  <c r="BK97" i="1"/>
  <c r="W95" i="1"/>
  <c r="CM92" i="1"/>
  <c r="AY90" i="1"/>
  <c r="K88" i="1"/>
  <c r="CA85" i="1"/>
  <c r="AM83" i="1"/>
  <c r="DC80" i="1"/>
  <c r="BO78" i="1"/>
  <c r="BZ149" i="1"/>
  <c r="Z140" i="1"/>
  <c r="CD130" i="1"/>
  <c r="AD121" i="1"/>
  <c r="CH111" i="1"/>
  <c r="AH102" i="1"/>
  <c r="CL92" i="1"/>
  <c r="AL83" i="1"/>
  <c r="CM75" i="1"/>
  <c r="AY73" i="1"/>
  <c r="K71" i="1"/>
  <c r="CA68" i="1"/>
  <c r="AM66" i="1"/>
  <c r="DC63" i="1"/>
  <c r="BO61" i="1"/>
  <c r="AA59" i="1"/>
  <c r="CQ56" i="1"/>
  <c r="BC54" i="1"/>
  <c r="O52" i="1"/>
  <c r="CE49" i="1"/>
  <c r="AQ47" i="1"/>
  <c r="DG44" i="1"/>
  <c r="BS42" i="1"/>
  <c r="AE40" i="1"/>
  <c r="CU37" i="1"/>
  <c r="BG35" i="1"/>
  <c r="S33" i="1"/>
  <c r="CI30" i="1"/>
  <c r="AU28" i="1"/>
  <c r="BF161" i="1"/>
  <c r="AP158" i="1"/>
  <c r="V155" i="1"/>
  <c r="BV152" i="1"/>
  <c r="AG150" i="1"/>
  <c r="CW147" i="1"/>
  <c r="BI145" i="1"/>
  <c r="U143" i="1"/>
  <c r="CK140" i="1"/>
  <c r="AW138" i="1"/>
  <c r="I136" i="1"/>
  <c r="BY133" i="1"/>
  <c r="AK131" i="1"/>
  <c r="DA128" i="1"/>
  <c r="BM126" i="1"/>
  <c r="Y124" i="1"/>
  <c r="CO121" i="1"/>
  <c r="BA119" i="1"/>
  <c r="M117" i="1"/>
  <c r="CC114" i="1"/>
  <c r="AO112" i="1"/>
  <c r="DE109" i="1"/>
  <c r="BQ107" i="1"/>
  <c r="AC105" i="1"/>
  <c r="CS102" i="1"/>
  <c r="BE100" i="1"/>
  <c r="Q98" i="1"/>
  <c r="CG95" i="1"/>
  <c r="AS93" i="1"/>
  <c r="DI90" i="1"/>
  <c r="BU88" i="1"/>
  <c r="AG86" i="1"/>
  <c r="CW83" i="1"/>
  <c r="BI81" i="1"/>
  <c r="U79" i="1"/>
  <c r="CK76" i="1"/>
  <c r="BL149" i="1"/>
  <c r="X147" i="1"/>
  <c r="CN144" i="1"/>
  <c r="AZ142" i="1"/>
  <c r="L140" i="1"/>
  <c r="CB137" i="1"/>
  <c r="AN135" i="1"/>
  <c r="DD132" i="1"/>
  <c r="BP130" i="1"/>
  <c r="AB128" i="1"/>
  <c r="CR125" i="1"/>
  <c r="BD123" i="1"/>
  <c r="P121" i="1"/>
  <c r="CF118" i="1"/>
  <c r="AR116" i="1"/>
  <c r="DH113" i="1"/>
  <c r="BT111" i="1"/>
  <c r="AF109" i="1"/>
  <c r="CV172" i="1"/>
  <c r="BH170" i="1"/>
  <c r="T168" i="1"/>
  <c r="CJ165" i="1"/>
  <c r="AV163" i="1"/>
  <c r="H161" i="1"/>
  <c r="BX158" i="1"/>
  <c r="AJ156" i="1"/>
  <c r="CZ153" i="1"/>
  <c r="M245" i="1"/>
  <c r="BQ235" i="1"/>
  <c r="W227" i="1"/>
  <c r="AY222" i="1"/>
  <c r="DI218" i="1"/>
  <c r="CR215" i="1"/>
  <c r="G213" i="1"/>
  <c r="BW210" i="1"/>
  <c r="AI208" i="1"/>
  <c r="CY205" i="1"/>
  <c r="BK203" i="1"/>
  <c r="W201" i="1"/>
  <c r="CM198" i="1"/>
  <c r="AY196" i="1"/>
  <c r="K194" i="1"/>
  <c r="CA191" i="1"/>
  <c r="AM189" i="1"/>
  <c r="DC186" i="1"/>
  <c r="BO184" i="1"/>
  <c r="AA182" i="1"/>
  <c r="CQ179" i="1"/>
  <c r="BC177" i="1"/>
  <c r="O175" i="1"/>
  <c r="CE172" i="1"/>
  <c r="AQ170" i="1"/>
  <c r="DG167" i="1"/>
  <c r="BS165" i="1"/>
  <c r="AE163" i="1"/>
  <c r="CU160" i="1"/>
  <c r="BG158" i="1"/>
  <c r="S156" i="1"/>
  <c r="CI153" i="1"/>
  <c r="CW244" i="1"/>
  <c r="AW235" i="1"/>
  <c r="M227" i="1"/>
  <c r="AO222" i="1"/>
  <c r="DC218" i="1"/>
  <c r="CK215" i="1"/>
  <c r="DF212" i="1"/>
  <c r="BR210" i="1"/>
  <c r="AD208" i="1"/>
  <c r="CT205" i="1"/>
  <c r="BF203" i="1"/>
  <c r="R201" i="1"/>
  <c r="CH198" i="1"/>
  <c r="AT196" i="1"/>
  <c r="F194" i="1"/>
  <c r="BV191" i="1"/>
  <c r="AH189" i="1"/>
  <c r="CX186" i="1"/>
  <c r="BJ184" i="1"/>
  <c r="V182" i="1"/>
  <c r="CL179" i="1"/>
  <c r="AX177" i="1"/>
  <c r="J175" i="1"/>
  <c r="BZ172" i="1"/>
  <c r="AL170" i="1"/>
  <c r="DB167" i="1"/>
  <c r="BN165" i="1"/>
  <c r="Z163" i="1"/>
  <c r="CP160" i="1"/>
  <c r="BB158" i="1"/>
  <c r="N156" i="1"/>
  <c r="BA277" i="1"/>
  <c r="AO268" i="1"/>
  <c r="BQ263" i="1"/>
  <c r="CS258" i="1"/>
  <c r="Q254" i="1"/>
  <c r="AS249" i="1"/>
  <c r="BU238" i="1"/>
  <c r="CA226" i="1"/>
  <c r="DC221" i="1"/>
  <c r="CA218" i="1"/>
  <c r="BI215" i="1"/>
  <c r="CK212" i="1"/>
  <c r="AW210" i="1"/>
  <c r="I208" i="1"/>
  <c r="BY205" i="1"/>
  <c r="AK203" i="1"/>
  <c r="DA200" i="1"/>
  <c r="BM198" i="1"/>
  <c r="Y196" i="1"/>
  <c r="CO193" i="1"/>
  <c r="BA191" i="1"/>
  <c r="M189" i="1"/>
  <c r="CC186" i="1"/>
  <c r="AO184" i="1"/>
  <c r="DE181" i="1"/>
  <c r="BQ179" i="1"/>
  <c r="AC177" i="1"/>
  <c r="CS174" i="1"/>
  <c r="BE172" i="1"/>
  <c r="Q170" i="1"/>
  <c r="CG167" i="1"/>
  <c r="AS165" i="1"/>
  <c r="DI162" i="1"/>
  <c r="BU160" i="1"/>
  <c r="AG158" i="1"/>
  <c r="CW155" i="1"/>
  <c r="BI153" i="1"/>
  <c r="DE244" i="1"/>
  <c r="BE235" i="1"/>
  <c r="Q227" i="1"/>
  <c r="AS222" i="1"/>
  <c r="DE218" i="1"/>
  <c r="CN215" i="1"/>
  <c r="DH212" i="1"/>
  <c r="BT210" i="1"/>
  <c r="AF208" i="1"/>
  <c r="CV205" i="1"/>
  <c r="BH203" i="1"/>
  <c r="T201" i="1"/>
  <c r="CJ198" i="1"/>
  <c r="AV196" i="1"/>
  <c r="H194" i="1"/>
  <c r="BX191" i="1"/>
  <c r="AJ189" i="1"/>
  <c r="CZ186" i="1"/>
  <c r="BL184" i="1"/>
  <c r="X182" i="1"/>
  <c r="CN179" i="1"/>
  <c r="AZ177" i="1"/>
  <c r="L175" i="1"/>
  <c r="CB172" i="1"/>
  <c r="AN170" i="1"/>
  <c r="DD167" i="1"/>
  <c r="BP165" i="1"/>
  <c r="AB163" i="1"/>
  <c r="CR160" i="1"/>
  <c r="BD158" i="1"/>
  <c r="P156" i="1"/>
  <c r="CF153" i="1"/>
  <c r="AO244" i="1"/>
  <c r="CS234" i="1"/>
  <c r="CM226" i="1"/>
  <c r="K222" i="1"/>
  <c r="CI218" i="1"/>
  <c r="BQ215" i="1"/>
  <c r="CQ212" i="1"/>
  <c r="BC210" i="1"/>
  <c r="O208" i="1"/>
  <c r="CE205" i="1"/>
  <c r="AQ203" i="1"/>
  <c r="DG200" i="1"/>
  <c r="BS198" i="1"/>
  <c r="AE196" i="1"/>
  <c r="CU193" i="1"/>
  <c r="BG191" i="1"/>
  <c r="S189" i="1"/>
  <c r="CI186" i="1"/>
  <c r="AU184" i="1"/>
  <c r="G182" i="1"/>
  <c r="BW179" i="1"/>
  <c r="AI177" i="1"/>
  <c r="CY174" i="1"/>
  <c r="BK172" i="1"/>
  <c r="W170" i="1"/>
  <c r="CM167" i="1"/>
  <c r="AY165" i="1"/>
  <c r="K163" i="1"/>
  <c r="CA160" i="1"/>
  <c r="AM158" i="1"/>
  <c r="DC155" i="1"/>
  <c r="BO153" i="1"/>
  <c r="U244" i="1"/>
  <c r="BY234" i="1"/>
  <c r="CC226" i="1"/>
  <c r="DE221" i="1"/>
  <c r="CB218" i="1"/>
  <c r="BK215" i="1"/>
  <c r="CL212" i="1"/>
  <c r="AX210" i="1"/>
  <c r="J208" i="1"/>
  <c r="BZ205" i="1"/>
  <c r="AL203" i="1"/>
  <c r="DB200" i="1"/>
  <c r="BN198" i="1"/>
  <c r="Z196" i="1"/>
  <c r="CP193" i="1"/>
  <c r="BB191" i="1"/>
  <c r="N189" i="1"/>
  <c r="CD186" i="1"/>
  <c r="AP184" i="1"/>
  <c r="DF181" i="1"/>
  <c r="BR179" i="1"/>
  <c r="AD177" i="1"/>
  <c r="CT174" i="1"/>
  <c r="BF172" i="1"/>
  <c r="R170" i="1"/>
  <c r="CH167" i="1"/>
  <c r="AT165" i="1"/>
  <c r="F163" i="1"/>
  <c r="BM272" i="1"/>
  <c r="CW265" i="1"/>
  <c r="U261" i="1"/>
  <c r="AW256" i="1"/>
  <c r="BY251" i="1"/>
  <c r="DA246" i="1"/>
  <c r="CG229" i="1"/>
  <c r="AE224" i="1"/>
  <c r="AB220" i="1"/>
  <c r="K217" i="1"/>
  <c r="DA213" i="1"/>
  <c r="BM211" i="1"/>
  <c r="Y209" i="1"/>
  <c r="CO206" i="1"/>
  <c r="BA204" i="1"/>
  <c r="M202" i="1"/>
  <c r="CC199" i="1"/>
  <c r="AO197" i="1"/>
  <c r="DE194" i="1"/>
  <c r="BQ192" i="1"/>
  <c r="AC190" i="1"/>
  <c r="CS187" i="1"/>
  <c r="BE185" i="1"/>
  <c r="Q183" i="1"/>
  <c r="CG180" i="1"/>
  <c r="AS178" i="1"/>
  <c r="DI175" i="1"/>
  <c r="BU173" i="1"/>
  <c r="AG171" i="1"/>
  <c r="CW168" i="1"/>
  <c r="BI166" i="1"/>
  <c r="U164" i="1"/>
  <c r="CK161" i="1"/>
  <c r="AW159" i="1"/>
  <c r="I157" i="1"/>
  <c r="BY154" i="1"/>
  <c r="AK152" i="1"/>
  <c r="M240" i="1"/>
  <c r="BQ230" i="1"/>
  <c r="BY224" i="1"/>
  <c r="BG220" i="1"/>
  <c r="AO217" i="1"/>
  <c r="X214" i="1"/>
  <c r="CJ211" i="1"/>
  <c r="AV209" i="1"/>
  <c r="H207" i="1"/>
  <c r="BX204" i="1"/>
  <c r="AJ202" i="1"/>
  <c r="CZ199" i="1"/>
  <c r="BL197" i="1"/>
  <c r="X195" i="1"/>
  <c r="CN192" i="1"/>
  <c r="AZ190" i="1"/>
  <c r="L188" i="1"/>
  <c r="CB185" i="1"/>
  <c r="AN183" i="1"/>
  <c r="DD180" i="1"/>
  <c r="BP178" i="1"/>
  <c r="AB176" i="1"/>
  <c r="CR173" i="1"/>
  <c r="BD171" i="1"/>
  <c r="P169" i="1"/>
  <c r="CF166" i="1"/>
  <c r="AR164" i="1"/>
  <c r="DH161" i="1"/>
  <c r="BT159" i="1"/>
  <c r="AF157" i="1"/>
  <c r="CV154" i="1"/>
  <c r="BH152" i="1"/>
  <c r="BA239" i="1"/>
  <c r="DE229" i="1"/>
  <c r="AQ224" i="1"/>
  <c r="AJ220" i="1"/>
  <c r="S217" i="1"/>
  <c r="DG213" i="1"/>
  <c r="BS211" i="1"/>
  <c r="AE209" i="1"/>
  <c r="CU206" i="1"/>
  <c r="BG204" i="1"/>
  <c r="S202" i="1"/>
  <c r="CI199" i="1"/>
  <c r="AU197" i="1"/>
  <c r="G195" i="1"/>
  <c r="BW192" i="1"/>
  <c r="AI190" i="1"/>
  <c r="CY187" i="1"/>
  <c r="BK185" i="1"/>
  <c r="W183" i="1"/>
  <c r="CM180" i="1"/>
  <c r="AY178" i="1"/>
  <c r="K176" i="1"/>
  <c r="CA173" i="1"/>
  <c r="AM171" i="1"/>
  <c r="DC168" i="1"/>
  <c r="BO166" i="1"/>
  <c r="AA164" i="1"/>
  <c r="CQ161" i="1"/>
  <c r="BC159" i="1"/>
  <c r="O157" i="1"/>
  <c r="CE154" i="1"/>
  <c r="AQ152" i="1"/>
  <c r="AG239" i="1"/>
  <c r="CK229" i="1"/>
  <c r="AG224" i="1"/>
  <c r="AC220" i="1"/>
  <c r="L217" i="1"/>
  <c r="DB213" i="1"/>
  <c r="BN211" i="1"/>
  <c r="Z209" i="1"/>
  <c r="CP206" i="1"/>
  <c r="BB204" i="1"/>
  <c r="N202" i="1"/>
  <c r="CD199" i="1"/>
  <c r="AP197" i="1"/>
  <c r="DF194" i="1"/>
  <c r="BR192" i="1"/>
  <c r="AD190" i="1"/>
  <c r="CT187" i="1"/>
  <c r="BF185" i="1"/>
  <c r="R183" i="1"/>
  <c r="CH180" i="1"/>
  <c r="AT178" i="1"/>
  <c r="F176" i="1"/>
  <c r="BV173" i="1"/>
  <c r="AH171" i="1"/>
  <c r="CX168" i="1"/>
  <c r="BJ166" i="1"/>
  <c r="V164" i="1"/>
  <c r="CH160" i="1"/>
  <c r="BR157" i="1"/>
  <c r="BB154" i="1"/>
  <c r="N152" i="1"/>
  <c r="CC149" i="1"/>
  <c r="AO147" i="1"/>
  <c r="DE144" i="1"/>
  <c r="BQ142" i="1"/>
  <c r="AC140" i="1"/>
  <c r="CS137" i="1"/>
  <c r="BE135" i="1"/>
  <c r="Q133" i="1"/>
  <c r="CG130" i="1"/>
  <c r="AS128" i="1"/>
  <c r="DI125" i="1"/>
  <c r="BU123" i="1"/>
  <c r="AG121" i="1"/>
  <c r="CW118" i="1"/>
  <c r="BI116" i="1"/>
  <c r="U114" i="1"/>
  <c r="CK111" i="1"/>
  <c r="AW109" i="1"/>
  <c r="I107" i="1"/>
  <c r="BY104" i="1"/>
  <c r="AK102" i="1"/>
  <c r="DA99" i="1"/>
  <c r="BM97" i="1"/>
  <c r="Y95" i="1"/>
  <c r="CO92" i="1"/>
  <c r="BA90" i="1"/>
  <c r="M88" i="1"/>
  <c r="CC85" i="1"/>
  <c r="AO83" i="1"/>
  <c r="DE80" i="1"/>
  <c r="BQ78" i="1"/>
  <c r="AR151" i="1"/>
  <c r="DH148" i="1"/>
  <c r="BT146" i="1"/>
  <c r="AF144" i="1"/>
  <c r="CV141" i="1"/>
  <c r="BH139" i="1"/>
  <c r="T137" i="1"/>
  <c r="CJ134" i="1"/>
  <c r="AV132" i="1"/>
  <c r="H130" i="1"/>
  <c r="BX127" i="1"/>
  <c r="AJ125" i="1"/>
  <c r="CZ122" i="1"/>
  <c r="BL120" i="1"/>
  <c r="X118" i="1"/>
  <c r="CN115" i="1"/>
  <c r="AZ113" i="1"/>
  <c r="L111" i="1"/>
  <c r="CB108" i="1"/>
  <c r="AN106" i="1"/>
  <c r="DD103" i="1"/>
  <c r="BP101" i="1"/>
  <c r="AB99" i="1"/>
  <c r="CR96" i="1"/>
  <c r="BD94" i="1"/>
  <c r="P92" i="1"/>
  <c r="CF89" i="1"/>
  <c r="AR87" i="1"/>
  <c r="DH84" i="1"/>
  <c r="BT82" i="1"/>
  <c r="AF80" i="1"/>
  <c r="CV77" i="1"/>
  <c r="AM151" i="1"/>
  <c r="DC148" i="1"/>
  <c r="BO146" i="1"/>
  <c r="AA144" i="1"/>
  <c r="CQ141" i="1"/>
  <c r="BC139" i="1"/>
  <c r="O137" i="1"/>
  <c r="CE134" i="1"/>
  <c r="AQ132" i="1"/>
  <c r="DG129" i="1"/>
  <c r="BS127" i="1"/>
  <c r="AE125" i="1"/>
  <c r="CU122" i="1"/>
  <c r="BG120" i="1"/>
  <c r="S118" i="1"/>
  <c r="CI115" i="1"/>
  <c r="AU113" i="1"/>
  <c r="G111" i="1"/>
  <c r="BW108" i="1"/>
  <c r="AI106" i="1"/>
  <c r="CY103" i="1"/>
  <c r="BK101" i="1"/>
  <c r="W99" i="1"/>
  <c r="CM96" i="1"/>
  <c r="AY94" i="1"/>
  <c r="K92" i="1"/>
  <c r="CA89" i="1"/>
  <c r="AM87" i="1"/>
  <c r="DC84" i="1"/>
  <c r="BO82" i="1"/>
  <c r="AA80" i="1"/>
  <c r="CQ77" i="1"/>
  <c r="CD146" i="1"/>
  <c r="AD137" i="1"/>
  <c r="CH127" i="1"/>
  <c r="AH118" i="1"/>
  <c r="CL108" i="1"/>
  <c r="AL99" i="1"/>
  <c r="CP89" i="1"/>
  <c r="AP80" i="1"/>
  <c r="K75" i="1"/>
  <c r="CA72" i="1"/>
  <c r="AM70" i="1"/>
  <c r="DC67" i="1"/>
  <c r="BO65" i="1"/>
  <c r="AA63" i="1"/>
  <c r="CQ60" i="1"/>
  <c r="BC58" i="1"/>
  <c r="O56" i="1"/>
  <c r="CE53" i="1"/>
  <c r="AQ51" i="1"/>
  <c r="DG48" i="1"/>
  <c r="BS46" i="1"/>
  <c r="AE44" i="1"/>
  <c r="CU41" i="1"/>
  <c r="BG39" i="1"/>
  <c r="S37" i="1"/>
  <c r="CI34" i="1"/>
  <c r="AU32" i="1"/>
  <c r="G30" i="1"/>
  <c r="BW27" i="1"/>
  <c r="BF160" i="1"/>
  <c r="AP157" i="1"/>
  <c r="AH154" i="1"/>
  <c r="CX151" i="1"/>
  <c r="BI149" i="1"/>
  <c r="U147" i="1"/>
  <c r="CK144" i="1"/>
  <c r="AW142" i="1"/>
  <c r="I140" i="1"/>
  <c r="BY137" i="1"/>
  <c r="AK135" i="1"/>
  <c r="DA132" i="1"/>
  <c r="BM130" i="1"/>
  <c r="Y128" i="1"/>
  <c r="CO125" i="1"/>
  <c r="BA123" i="1"/>
  <c r="M121" i="1"/>
  <c r="CC118" i="1"/>
  <c r="AO116" i="1"/>
  <c r="DE113" i="1"/>
  <c r="BQ111" i="1"/>
  <c r="AC109" i="1"/>
  <c r="CS106" i="1"/>
  <c r="BE104" i="1"/>
  <c r="Q102" i="1"/>
  <c r="CG99" i="1"/>
  <c r="AS97" i="1"/>
  <c r="DI94" i="1"/>
  <c r="BU92" i="1"/>
  <c r="AG90" i="1"/>
  <c r="CW87" i="1"/>
  <c r="BI85" i="1"/>
  <c r="U83" i="1"/>
  <c r="CK80" i="1"/>
  <c r="AW78" i="1"/>
  <c r="X151" i="1"/>
  <c r="CN148" i="1"/>
  <c r="AZ146" i="1"/>
  <c r="L144" i="1"/>
  <c r="CB141" i="1"/>
  <c r="AN139" i="1"/>
  <c r="DD136" i="1"/>
  <c r="BP134" i="1"/>
  <c r="AB132" i="1"/>
  <c r="CR129" i="1"/>
  <c r="BD127" i="1"/>
  <c r="P125" i="1"/>
  <c r="CF122" i="1"/>
  <c r="AR120" i="1"/>
  <c r="DH117" i="1"/>
  <c r="BT115" i="1"/>
  <c r="AF113" i="1"/>
  <c r="CV110" i="1"/>
  <c r="BH108" i="1"/>
  <c r="DD108" i="1"/>
  <c r="CB105" i="1"/>
  <c r="AN103" i="1"/>
  <c r="DD100" i="1"/>
  <c r="BP98" i="1"/>
  <c r="AB96" i="1"/>
  <c r="CR93" i="1"/>
  <c r="BD91" i="1"/>
  <c r="P89" i="1"/>
  <c r="CF86" i="1"/>
  <c r="AR84" i="1"/>
  <c r="DH81" i="1"/>
  <c r="BT79" i="1"/>
  <c r="AF77" i="1"/>
  <c r="CA150" i="1"/>
  <c r="AM148" i="1"/>
  <c r="DC145" i="1"/>
  <c r="BO143" i="1"/>
  <c r="AA141" i="1"/>
  <c r="CQ138" i="1"/>
  <c r="BC136" i="1"/>
  <c r="O134" i="1"/>
  <c r="CE131" i="1"/>
  <c r="AQ129" i="1"/>
  <c r="DG126" i="1"/>
  <c r="BS124" i="1"/>
  <c r="AE122" i="1"/>
  <c r="CU119" i="1"/>
  <c r="BG117" i="1"/>
  <c r="S115" i="1"/>
  <c r="CI112" i="1"/>
  <c r="AU110" i="1"/>
  <c r="G108" i="1"/>
  <c r="BW105" i="1"/>
  <c r="AI103" i="1"/>
  <c r="CY100" i="1"/>
  <c r="BK98" i="1"/>
  <c r="W96" i="1"/>
  <c r="CM93" i="1"/>
  <c r="AY91" i="1"/>
  <c r="K89" i="1"/>
  <c r="CA86" i="1"/>
  <c r="AM84" i="1"/>
  <c r="DC81" i="1"/>
  <c r="BO79" i="1"/>
  <c r="AA77" i="1"/>
  <c r="Z144" i="1"/>
  <c r="CD134" i="1"/>
  <c r="AD125" i="1"/>
  <c r="CH115" i="1"/>
  <c r="AH106" i="1"/>
  <c r="CL96" i="1"/>
  <c r="AL87" i="1"/>
  <c r="CP77" i="1"/>
  <c r="AY74" i="1"/>
  <c r="K72" i="1"/>
  <c r="CA69" i="1"/>
  <c r="AM67" i="1"/>
  <c r="DC64" i="1"/>
  <c r="BO62" i="1"/>
  <c r="AA60" i="1"/>
  <c r="CQ57" i="1"/>
  <c r="BC55" i="1"/>
  <c r="O53" i="1"/>
  <c r="CE50" i="1"/>
  <c r="AQ48" i="1"/>
  <c r="DG45" i="1"/>
  <c r="BS43" i="1"/>
  <c r="AE41" i="1"/>
  <c r="CU38" i="1"/>
  <c r="BG36" i="1"/>
  <c r="S34" i="1"/>
  <c r="CI31" i="1"/>
  <c r="AU29" i="1"/>
  <c r="DB162" i="1"/>
  <c r="BZ159" i="1"/>
  <c r="BF156" i="1"/>
  <c r="BV153" i="1"/>
  <c r="AG151" i="1"/>
  <c r="CW148" i="1"/>
  <c r="BI146" i="1"/>
  <c r="U144" i="1"/>
  <c r="CK141" i="1"/>
  <c r="AW139" i="1"/>
  <c r="I137" i="1"/>
  <c r="BY134" i="1"/>
  <c r="AK132" i="1"/>
  <c r="DA129" i="1"/>
  <c r="BM127" i="1"/>
  <c r="Y125" i="1"/>
  <c r="CO122" i="1"/>
  <c r="BA120" i="1"/>
  <c r="M118" i="1"/>
  <c r="CC115" i="1"/>
  <c r="AO113" i="1"/>
  <c r="DE110" i="1"/>
  <c r="BQ108" i="1"/>
  <c r="AC106" i="1"/>
  <c r="CS103" i="1"/>
  <c r="BE101" i="1"/>
  <c r="Q99" i="1"/>
  <c r="CG96" i="1"/>
  <c r="AS94" i="1"/>
  <c r="DI91" i="1"/>
  <c r="BU89" i="1"/>
  <c r="AG87" i="1"/>
  <c r="CW84" i="1"/>
  <c r="BI82" i="1"/>
  <c r="U80" i="1"/>
  <c r="CK77" i="1"/>
  <c r="BL150" i="1"/>
  <c r="X148" i="1"/>
  <c r="CN145" i="1"/>
  <c r="AZ143" i="1"/>
  <c r="L141" i="1"/>
  <c r="CB138" i="1"/>
  <c r="AN136" i="1"/>
  <c r="DD133" i="1"/>
  <c r="BP131" i="1"/>
  <c r="AB129" i="1"/>
  <c r="CR126" i="1"/>
  <c r="BD124" i="1"/>
  <c r="P122" i="1"/>
  <c r="CF119" i="1"/>
  <c r="AR117" i="1"/>
  <c r="DH114" i="1"/>
  <c r="BT112" i="1"/>
  <c r="AF110" i="1"/>
  <c r="CV107" i="1"/>
  <c r="BH105" i="1"/>
  <c r="T103" i="1"/>
  <c r="CJ100" i="1"/>
  <c r="AV98" i="1"/>
  <c r="H96" i="1"/>
  <c r="BX93" i="1"/>
  <c r="AJ91" i="1"/>
  <c r="CZ88" i="1"/>
  <c r="BL86" i="1"/>
  <c r="X84" i="1"/>
  <c r="CN81" i="1"/>
  <c r="AZ79" i="1"/>
  <c r="L77" i="1"/>
  <c r="BG150" i="1"/>
  <c r="S148" i="1"/>
  <c r="CI145" i="1"/>
  <c r="AU143" i="1"/>
  <c r="G141" i="1"/>
  <c r="BW138" i="1"/>
  <c r="AI136" i="1"/>
  <c r="CY133" i="1"/>
  <c r="BK131" i="1"/>
  <c r="W129" i="1"/>
  <c r="CM126" i="1"/>
  <c r="AY124" i="1"/>
  <c r="K122" i="1"/>
  <c r="CA119" i="1"/>
  <c r="AM117" i="1"/>
  <c r="DC114" i="1"/>
  <c r="BO112" i="1"/>
  <c r="AA110" i="1"/>
  <c r="CQ107" i="1"/>
  <c r="BC105" i="1"/>
  <c r="O103" i="1"/>
  <c r="CE100" i="1"/>
  <c r="AQ98" i="1"/>
  <c r="DG95" i="1"/>
  <c r="BS93" i="1"/>
  <c r="AE91" i="1"/>
  <c r="CU88" i="1"/>
  <c r="BG86" i="1"/>
  <c r="S84" i="1"/>
  <c r="CI81" i="1"/>
  <c r="AU79" i="1"/>
  <c r="G77" i="1"/>
  <c r="BB143" i="1"/>
  <c r="DF133" i="1"/>
  <c r="BF124" i="1"/>
  <c r="F115" i="1"/>
  <c r="BJ105" i="1"/>
  <c r="J96" i="1"/>
  <c r="BN86" i="1"/>
  <c r="N77" i="1"/>
  <c r="AE74" i="1"/>
  <c r="CU71" i="1"/>
  <c r="BG69" i="1"/>
  <c r="S67" i="1"/>
  <c r="CI64" i="1"/>
  <c r="AU62" i="1"/>
  <c r="G60" i="1"/>
  <c r="BW57" i="1"/>
  <c r="AI55" i="1"/>
  <c r="CY52" i="1"/>
  <c r="BK50" i="1"/>
  <c r="W48" i="1"/>
  <c r="CM45" i="1"/>
  <c r="AY43" i="1"/>
  <c r="K41" i="1"/>
  <c r="CA38" i="1"/>
  <c r="AM36" i="1"/>
  <c r="DC33" i="1"/>
  <c r="BO31" i="1"/>
  <c r="AA29" i="1"/>
  <c r="BN162" i="1"/>
  <c r="AX159" i="1"/>
  <c r="AH156" i="1"/>
  <c r="BB153" i="1"/>
  <c r="M151" i="1"/>
  <c r="CC148" i="1"/>
  <c r="AO146" i="1"/>
  <c r="DE143" i="1"/>
  <c r="BQ141" i="1"/>
  <c r="AC139" i="1"/>
  <c r="CS136" i="1"/>
  <c r="BE134" i="1"/>
  <c r="Q132" i="1"/>
  <c r="CG129" i="1"/>
  <c r="AS127" i="1"/>
  <c r="DI124" i="1"/>
  <c r="BU122" i="1"/>
  <c r="AG120" i="1"/>
  <c r="CW117" i="1"/>
  <c r="BI115" i="1"/>
  <c r="U113" i="1"/>
  <c r="CK110" i="1"/>
  <c r="AW108" i="1"/>
  <c r="I106" i="1"/>
  <c r="BY103" i="1"/>
  <c r="AK101" i="1"/>
  <c r="DA98" i="1"/>
  <c r="BM96" i="1"/>
  <c r="Y94" i="1"/>
  <c r="CO91" i="1"/>
  <c r="BA89" i="1"/>
  <c r="M87" i="1"/>
  <c r="CC84" i="1"/>
  <c r="AO82" i="1"/>
  <c r="DE79" i="1"/>
  <c r="BQ77" i="1"/>
  <c r="AR150" i="1"/>
  <c r="DH147" i="1"/>
  <c r="BT145" i="1"/>
  <c r="AF143" i="1"/>
  <c r="CV140" i="1"/>
  <c r="BH138" i="1"/>
  <c r="T136" i="1"/>
  <c r="CJ133" i="1"/>
  <c r="AV131" i="1"/>
  <c r="H129" i="1"/>
  <c r="BX126" i="1"/>
  <c r="AJ124" i="1"/>
  <c r="CZ121" i="1"/>
  <c r="BL119" i="1"/>
  <c r="X117" i="1"/>
  <c r="CN114" i="1"/>
  <c r="AZ112" i="1"/>
  <c r="L110" i="1"/>
  <c r="CB107" i="1"/>
  <c r="AN105" i="1"/>
  <c r="DD102" i="1"/>
  <c r="BP100" i="1"/>
  <c r="AB98" i="1"/>
  <c r="CR95" i="1"/>
  <c r="BD93" i="1"/>
  <c r="P91" i="1"/>
  <c r="CF88" i="1"/>
  <c r="AR86" i="1"/>
  <c r="DH83" i="1"/>
  <c r="BT81" i="1"/>
  <c r="AF79" i="1"/>
  <c r="CV76" i="1"/>
  <c r="AM150" i="1"/>
  <c r="DC147" i="1"/>
  <c r="BO145" i="1"/>
  <c r="AA143" i="1"/>
  <c r="CQ140" i="1"/>
  <c r="BC138" i="1"/>
  <c r="O136" i="1"/>
  <c r="CE133" i="1"/>
  <c r="AQ131" i="1"/>
  <c r="DG128" i="1"/>
  <c r="BS126" i="1"/>
  <c r="AE124" i="1"/>
  <c r="CU121" i="1"/>
  <c r="BG119" i="1"/>
  <c r="S117" i="1"/>
  <c r="CI114" i="1"/>
  <c r="AU112" i="1"/>
  <c r="G110" i="1"/>
  <c r="BW107" i="1"/>
  <c r="AI105" i="1"/>
  <c r="CY102" i="1"/>
  <c r="BK100" i="1"/>
  <c r="W98" i="1"/>
  <c r="CM95" i="1"/>
  <c r="AY93" i="1"/>
  <c r="K91" i="1"/>
  <c r="CA88" i="1"/>
  <c r="AM86" i="1"/>
  <c r="DC83" i="1"/>
  <c r="BO81" i="1"/>
  <c r="AA79" i="1"/>
  <c r="CQ76" i="1"/>
  <c r="CD142" i="1"/>
  <c r="AD133" i="1"/>
  <c r="CH123" i="1"/>
  <c r="AH114" i="1"/>
  <c r="CL104" i="1"/>
  <c r="AL95" i="1"/>
  <c r="CP85" i="1"/>
  <c r="BO76" i="1"/>
  <c r="K74" i="1"/>
  <c r="CA71" i="1"/>
  <c r="AM69" i="1"/>
  <c r="DC66" i="1"/>
  <c r="BO64" i="1"/>
  <c r="AA62" i="1"/>
  <c r="CQ59" i="1"/>
  <c r="BC57" i="1"/>
  <c r="O55" i="1"/>
  <c r="CE52" i="1"/>
  <c r="AQ50" i="1"/>
  <c r="DG47" i="1"/>
  <c r="BS45" i="1"/>
  <c r="AE43" i="1"/>
  <c r="CU40" i="1"/>
  <c r="BG38" i="1"/>
  <c r="S36" i="1"/>
  <c r="CI33" i="1"/>
  <c r="AU31" i="1"/>
  <c r="G29" i="1"/>
  <c r="CI26" i="1"/>
  <c r="AU24" i="1"/>
  <c r="G22" i="1"/>
  <c r="BW19" i="1"/>
  <c r="AI17" i="1"/>
  <c r="CY14" i="1"/>
  <c r="DF150" i="1"/>
  <c r="BF141" i="1"/>
  <c r="F132" i="1"/>
  <c r="BJ122" i="1"/>
  <c r="J113" i="1"/>
  <c r="BN103" i="1"/>
  <c r="N94" i="1"/>
  <c r="BR84" i="1"/>
  <c r="W76" i="1"/>
  <c r="CH73" i="1"/>
  <c r="AT71" i="1"/>
  <c r="F69" i="1"/>
  <c r="BV66" i="1"/>
  <c r="AH64" i="1"/>
  <c r="CX61" i="1"/>
  <c r="BJ59" i="1"/>
  <c r="V57" i="1"/>
  <c r="CL54" i="1"/>
  <c r="AX52" i="1"/>
  <c r="J50" i="1"/>
  <c r="BZ47" i="1"/>
  <c r="AL45" i="1"/>
  <c r="DB42" i="1"/>
  <c r="BN40" i="1"/>
  <c r="Z38" i="1"/>
  <c r="CP35" i="1"/>
  <c r="BB33" i="1"/>
  <c r="N31" i="1"/>
  <c r="CD28" i="1"/>
  <c r="AP26" i="1"/>
  <c r="DF23" i="1"/>
  <c r="BR21" i="1"/>
  <c r="AD19" i="1"/>
  <c r="CT16" i="1"/>
  <c r="BF14" i="1"/>
  <c r="R12" i="1"/>
  <c r="CH9" i="1"/>
  <c r="AT7" i="1"/>
  <c r="F5" i="1"/>
  <c r="AE11" i="1"/>
  <c r="G4" i="1"/>
  <c r="BZ143" i="1"/>
  <c r="Z134" i="1"/>
  <c r="CD124" i="1"/>
  <c r="AD115" i="1"/>
  <c r="CH105" i="1"/>
  <c r="AH96" i="1"/>
  <c r="CL86" i="1"/>
  <c r="AL77" i="1"/>
  <c r="AK74" i="1"/>
  <c r="DA71" i="1"/>
  <c r="BM69" i="1"/>
  <c r="Y67" i="1"/>
  <c r="CO64" i="1"/>
  <c r="BA62" i="1"/>
  <c r="M60" i="1"/>
  <c r="CC57" i="1"/>
  <c r="AO55" i="1"/>
  <c r="DE52" i="1"/>
  <c r="BQ50" i="1"/>
  <c r="AC48" i="1"/>
  <c r="CS45" i="1"/>
  <c r="BE43" i="1"/>
  <c r="Q41" i="1"/>
  <c r="CG38" i="1"/>
  <c r="AS36" i="1"/>
  <c r="DI33" i="1"/>
  <c r="BU31" i="1"/>
  <c r="AG29" i="1"/>
  <c r="CW26" i="1"/>
  <c r="BI24" i="1"/>
  <c r="U22" i="1"/>
  <c r="CK19" i="1"/>
  <c r="AW17" i="1"/>
  <c r="I15" i="1"/>
  <c r="BY12" i="1"/>
  <c r="AK10" i="1"/>
  <c r="DA7" i="1"/>
  <c r="BM5" i="1"/>
  <c r="Y3" i="1"/>
  <c r="CE5" i="1"/>
  <c r="F146" i="1"/>
  <c r="BJ136" i="1"/>
  <c r="J127" i="1"/>
  <c r="BN117" i="1"/>
  <c r="N108" i="1"/>
  <c r="BR98" i="1"/>
  <c r="R89" i="1"/>
  <c r="BV79" i="1"/>
  <c r="CV74" i="1"/>
  <c r="BH72" i="1"/>
  <c r="T70" i="1"/>
  <c r="CJ67" i="1"/>
  <c r="AV65" i="1"/>
  <c r="H63" i="1"/>
  <c r="BX60" i="1"/>
  <c r="AJ58" i="1"/>
  <c r="CZ55" i="1"/>
  <c r="BL53" i="1"/>
  <c r="X51" i="1"/>
  <c r="CN48" i="1"/>
  <c r="AZ46" i="1"/>
  <c r="L44" i="1"/>
  <c r="CB41" i="1"/>
  <c r="AN39" i="1"/>
  <c r="DD36" i="1"/>
  <c r="BP34" i="1"/>
  <c r="AB32" i="1"/>
  <c r="CR29" i="1"/>
  <c r="BD27" i="1"/>
  <c r="P25" i="1"/>
  <c r="CF22" i="1"/>
  <c r="AR20" i="1"/>
  <c r="BL17" i="1"/>
  <c r="AV13" i="1"/>
  <c r="CR9" i="1"/>
  <c r="CN4" i="1"/>
  <c r="O5" i="1"/>
  <c r="G5" i="1"/>
  <c r="BO26" i="1"/>
  <c r="AA24" i="1"/>
  <c r="CQ21" i="1"/>
  <c r="BC19" i="1"/>
  <c r="O17" i="1"/>
  <c r="CE14" i="1"/>
  <c r="AD150" i="1"/>
  <c r="CH140" i="1"/>
  <c r="AH131" i="1"/>
  <c r="CL121" i="1"/>
  <c r="AL112" i="1"/>
  <c r="CP102" i="1"/>
  <c r="AP93" i="1"/>
  <c r="CT83" i="1"/>
  <c r="DB75" i="1"/>
  <c r="BN73" i="1"/>
  <c r="Z71" i="1"/>
  <c r="CP68" i="1"/>
  <c r="BB66" i="1"/>
  <c r="N64" i="1"/>
  <c r="CD61" i="1"/>
  <c r="AP59" i="1"/>
  <c r="DF56" i="1"/>
  <c r="BR54" i="1"/>
  <c r="AD52" i="1"/>
  <c r="CT49" i="1"/>
  <c r="BF47" i="1"/>
  <c r="R45" i="1"/>
  <c r="CH42" i="1"/>
  <c r="AT40" i="1"/>
  <c r="F38" i="1"/>
  <c r="BV35" i="1"/>
  <c r="AH33" i="1"/>
  <c r="CX30" i="1"/>
  <c r="BJ28" i="1"/>
  <c r="V26" i="1"/>
  <c r="CL23" i="1"/>
  <c r="AX21" i="1"/>
  <c r="J19" i="1"/>
  <c r="BZ16" i="1"/>
  <c r="AL14" i="1"/>
  <c r="DB11" i="1"/>
  <c r="BN9" i="1"/>
  <c r="Z7" i="1"/>
  <c r="CP4" i="1"/>
  <c r="CA10" i="1"/>
  <c r="BK3" i="1"/>
  <c r="DB142" i="1"/>
  <c r="BB133" i="1"/>
  <c r="DF123" i="1"/>
  <c r="BF114" i="1"/>
  <c r="F105" i="1"/>
  <c r="BJ95" i="1"/>
  <c r="J86" i="1"/>
  <c r="BW76" i="1"/>
  <c r="Q74" i="1"/>
  <c r="CG71" i="1"/>
  <c r="AS69" i="1"/>
  <c r="DI66" i="1"/>
  <c r="BU64" i="1"/>
  <c r="AG62" i="1"/>
  <c r="CW59" i="1"/>
  <c r="BI57" i="1"/>
  <c r="U55" i="1"/>
  <c r="CK52" i="1"/>
  <c r="AW50" i="1"/>
  <c r="I48" i="1"/>
  <c r="BY45" i="1"/>
  <c r="AK43" i="1"/>
  <c r="DA40" i="1"/>
  <c r="BM38" i="1"/>
  <c r="Y36" i="1"/>
  <c r="CO33" i="1"/>
  <c r="BA31" i="1"/>
  <c r="M29" i="1"/>
  <c r="CC26" i="1"/>
  <c r="AO24" i="1"/>
  <c r="DE21" i="1"/>
  <c r="BQ19" i="1"/>
  <c r="AC17" i="1"/>
  <c r="CS14" i="1"/>
  <c r="BE12" i="1"/>
  <c r="Q10" i="1"/>
  <c r="CG7" i="1"/>
  <c r="AS5" i="1"/>
  <c r="BO12" i="1"/>
  <c r="W5" i="1"/>
  <c r="AH145" i="1"/>
  <c r="CL135" i="1"/>
  <c r="AL126" i="1"/>
  <c r="CP116" i="1"/>
  <c r="AP107" i="1"/>
  <c r="CT97" i="1"/>
  <c r="AT88" i="1"/>
  <c r="CX78" i="1"/>
  <c r="CB74" i="1"/>
  <c r="AN72" i="1"/>
  <c r="DD69" i="1"/>
  <c r="BP67" i="1"/>
  <c r="AB65" i="1"/>
  <c r="CR62" i="1"/>
  <c r="BD60" i="1"/>
  <c r="P58" i="1"/>
  <c r="CF55" i="1"/>
  <c r="AR53" i="1"/>
  <c r="DH50" i="1"/>
  <c r="BT48" i="1"/>
  <c r="AF46" i="1"/>
  <c r="CV43" i="1"/>
  <c r="BH41" i="1"/>
  <c r="T39" i="1"/>
  <c r="CJ36" i="1"/>
  <c r="AV34" i="1"/>
  <c r="H32" i="1"/>
  <c r="BX29" i="1"/>
  <c r="AJ27" i="1"/>
  <c r="CZ24" i="1"/>
  <c r="BL22" i="1"/>
  <c r="X20" i="1"/>
  <c r="CN17" i="1"/>
  <c r="AZ15" i="1"/>
  <c r="L13" i="1"/>
  <c r="CB10" i="1"/>
  <c r="AN8" i="1"/>
  <c r="AB5" i="1"/>
  <c r="BS7" i="1"/>
  <c r="BG25" i="1"/>
  <c r="S23" i="1"/>
  <c r="CI20" i="1"/>
  <c r="AU18" i="1"/>
  <c r="G16" i="1"/>
  <c r="BW13" i="1"/>
  <c r="DB145" i="1"/>
  <c r="BB136" i="1"/>
  <c r="DF126" i="1"/>
  <c r="BF117" i="1"/>
  <c r="F108" i="1"/>
  <c r="BJ98" i="1"/>
  <c r="J89" i="1"/>
  <c r="BN79" i="1"/>
  <c r="CT74" i="1"/>
  <c r="BF72" i="1"/>
  <c r="R70" i="1"/>
  <c r="CH67" i="1"/>
  <c r="AT65" i="1"/>
  <c r="F63" i="1"/>
  <c r="BV60" i="1"/>
  <c r="AH58" i="1"/>
  <c r="CX55" i="1"/>
  <c r="BJ53" i="1"/>
  <c r="V51" i="1"/>
  <c r="CL48" i="1"/>
  <c r="AX46" i="1"/>
  <c r="J44" i="1"/>
  <c r="BZ41" i="1"/>
  <c r="AL39" i="1"/>
  <c r="DB36" i="1"/>
  <c r="BN34" i="1"/>
  <c r="Z32" i="1"/>
  <c r="CP29" i="1"/>
  <c r="BB27" i="1"/>
  <c r="N25" i="1"/>
  <c r="CD22" i="1"/>
  <c r="AP20" i="1"/>
  <c r="DF17" i="1"/>
  <c r="BR15" i="1"/>
  <c r="AD13" i="1"/>
  <c r="CT10" i="1"/>
  <c r="BF8" i="1"/>
  <c r="R6" i="1"/>
  <c r="CH3" i="1"/>
  <c r="BO7" i="1"/>
  <c r="R148" i="1"/>
  <c r="BV138" i="1"/>
  <c r="V129" i="1"/>
  <c r="BZ119" i="1"/>
  <c r="Z110" i="1"/>
  <c r="CD100" i="1"/>
  <c r="AD91" i="1"/>
  <c r="CH81" i="1"/>
  <c r="AW75" i="1"/>
  <c r="I73" i="1"/>
  <c r="BY70" i="1"/>
  <c r="AK68" i="1"/>
  <c r="DA65" i="1"/>
  <c r="BM63" i="1"/>
  <c r="Y61" i="1"/>
  <c r="CO58" i="1"/>
  <c r="BA56" i="1"/>
  <c r="M54" i="1"/>
  <c r="CC51" i="1"/>
  <c r="AO49" i="1"/>
  <c r="DE46" i="1"/>
  <c r="BQ44" i="1"/>
  <c r="AC42" i="1"/>
  <c r="CS39" i="1"/>
  <c r="BE37" i="1"/>
  <c r="Q35" i="1"/>
  <c r="CG32" i="1"/>
  <c r="AS30" i="1"/>
  <c r="DI27" i="1"/>
  <c r="BU25" i="1"/>
  <c r="AG23" i="1"/>
  <c r="CW20" i="1"/>
  <c r="BI18" i="1"/>
  <c r="U16" i="1"/>
  <c r="CK13" i="1"/>
  <c r="AW11" i="1"/>
  <c r="I9" i="1"/>
  <c r="BY6" i="1"/>
  <c r="AK4" i="1"/>
  <c r="DC8" i="1"/>
  <c r="BB150" i="1"/>
  <c r="DF140" i="1"/>
  <c r="BF131" i="1"/>
  <c r="F122" i="1"/>
  <c r="BJ112" i="1"/>
  <c r="J103" i="1"/>
  <c r="BN93" i="1"/>
  <c r="N84" i="1"/>
  <c r="DI75" i="1"/>
  <c r="BT73" i="1"/>
  <c r="AF71" i="1"/>
  <c r="CV68" i="1"/>
  <c r="BH66" i="1"/>
  <c r="T64" i="1"/>
  <c r="CJ61" i="1"/>
  <c r="AV59" i="1"/>
  <c r="H57" i="1"/>
  <c r="BX54" i="1"/>
  <c r="AJ52" i="1"/>
  <c r="CZ49" i="1"/>
  <c r="BL47" i="1"/>
  <c r="X45" i="1"/>
  <c r="CN42" i="1"/>
  <c r="AZ40" i="1"/>
  <c r="L38" i="1"/>
  <c r="CB35" i="1"/>
  <c r="AN33" i="1"/>
  <c r="DD30" i="1"/>
  <c r="BP28" i="1"/>
  <c r="AB26" i="1"/>
  <c r="CR23" i="1"/>
  <c r="BD21" i="1"/>
  <c r="P19" i="1"/>
  <c r="CF16" i="1"/>
  <c r="AR14" i="1"/>
  <c r="DH11" i="1"/>
  <c r="BT9" i="1"/>
  <c r="AF7" i="1"/>
  <c r="CV4" i="1"/>
  <c r="O27" i="1"/>
  <c r="CE24" i="1"/>
  <c r="AQ22" i="1"/>
  <c r="DG19" i="1"/>
  <c r="BS17" i="1"/>
  <c r="AE15" i="1"/>
  <c r="CU12" i="1"/>
  <c r="CP142" i="1"/>
  <c r="AP133" i="1"/>
  <c r="CT123" i="1"/>
  <c r="AT114" i="1"/>
  <c r="CX104" i="1"/>
  <c r="AX95" i="1"/>
  <c r="DB85" i="1"/>
  <c r="BS76" i="1"/>
  <c r="N74" i="1"/>
  <c r="CD71" i="1"/>
  <c r="AP69" i="1"/>
  <c r="DF66" i="1"/>
  <c r="BR64" i="1"/>
  <c r="AD62" i="1"/>
  <c r="CT59" i="1"/>
  <c r="BF57" i="1"/>
  <c r="R55" i="1"/>
  <c r="CH52" i="1"/>
  <c r="AT50" i="1"/>
  <c r="F48" i="1"/>
  <c r="BV45" i="1"/>
  <c r="AH43" i="1"/>
  <c r="CX40" i="1"/>
  <c r="BJ38" i="1"/>
  <c r="V36" i="1"/>
  <c r="CL33" i="1"/>
  <c r="AX31" i="1"/>
  <c r="J29" i="1"/>
  <c r="BZ26" i="1"/>
  <c r="AL24" i="1"/>
  <c r="DB21" i="1"/>
  <c r="BN19" i="1"/>
  <c r="Z17" i="1"/>
  <c r="CP14" i="1"/>
  <c r="BB12" i="1"/>
  <c r="N10" i="1"/>
  <c r="CD7" i="1"/>
  <c r="AP5" i="1"/>
  <c r="BG12" i="1"/>
  <c r="AE5" i="1"/>
  <c r="F145" i="1"/>
  <c r="BJ135" i="1"/>
  <c r="J126" i="1"/>
  <c r="BN116" i="1"/>
  <c r="N107" i="1"/>
  <c r="BR97" i="1"/>
  <c r="R88" i="1"/>
  <c r="BV78" i="1"/>
  <c r="BU74" i="1"/>
  <c r="AG72" i="1"/>
  <c r="CW69" i="1"/>
  <c r="BI67" i="1"/>
  <c r="U65" i="1"/>
  <c r="CK62" i="1"/>
  <c r="AW60" i="1"/>
  <c r="I58" i="1"/>
  <c r="BY55" i="1"/>
  <c r="AK53" i="1"/>
  <c r="DA50" i="1"/>
  <c r="BM48" i="1"/>
  <c r="Y46" i="1"/>
  <c r="CO43" i="1"/>
  <c r="BA41" i="1"/>
  <c r="M39" i="1"/>
  <c r="CC36" i="1"/>
  <c r="AO34" i="1"/>
  <c r="DE31" i="1"/>
  <c r="BQ29" i="1"/>
  <c r="AC27" i="1"/>
  <c r="CS24" i="1"/>
  <c r="BE22" i="1"/>
  <c r="Q20" i="1"/>
  <c r="CG17" i="1"/>
  <c r="AS15" i="1"/>
  <c r="DI12" i="1"/>
  <c r="BU10" i="1"/>
  <c r="AG8" i="1"/>
  <c r="CW5" i="1"/>
  <c r="BI3" i="1"/>
  <c r="CA6" i="1"/>
  <c r="AP147" i="1"/>
  <c r="CT137" i="1"/>
  <c r="AT128" i="1"/>
  <c r="CX118" i="1"/>
  <c r="AX109" i="1"/>
  <c r="DB99" i="1"/>
  <c r="BB90" i="1"/>
  <c r="DF80" i="1"/>
  <c r="AB75" i="1"/>
  <c r="CR72" i="1"/>
  <c r="BD70" i="1"/>
  <c r="P68" i="1"/>
  <c r="CF65" i="1"/>
  <c r="AR63" i="1"/>
  <c r="DH60" i="1"/>
  <c r="BT58" i="1"/>
  <c r="AF56" i="1"/>
  <c r="CV53" i="1"/>
  <c r="BH51" i="1"/>
  <c r="T49" i="1"/>
  <c r="CJ46" i="1"/>
  <c r="AV44" i="1"/>
  <c r="H42" i="1"/>
  <c r="BX39" i="1"/>
  <c r="AJ37" i="1"/>
  <c r="CZ34" i="1"/>
  <c r="BL32" i="1"/>
  <c r="X30" i="1"/>
  <c r="CN27" i="1"/>
  <c r="AZ25" i="1"/>
  <c r="L23" i="1"/>
  <c r="CB20" i="1"/>
  <c r="AN18" i="1"/>
  <c r="DD15" i="1"/>
  <c r="BP13" i="1"/>
  <c r="AB11" i="1"/>
  <c r="CR8" i="1"/>
  <c r="BD6" i="1"/>
  <c r="P4" i="1"/>
  <c r="X19" i="1"/>
  <c r="DH5" i="1"/>
  <c r="AM6" i="1"/>
  <c r="BK10" i="1"/>
  <c r="BG3" i="1"/>
  <c r="W10" i="1"/>
  <c r="BT107" i="1"/>
  <c r="DD104" i="1"/>
  <c r="BP102" i="1"/>
  <c r="AB100" i="1"/>
  <c r="CR97" i="1"/>
  <c r="BD95" i="1"/>
  <c r="P93" i="1"/>
  <c r="CF90" i="1"/>
  <c r="AR88" i="1"/>
  <c r="DH85" i="1"/>
  <c r="BT83" i="1"/>
  <c r="AF81" i="1"/>
  <c r="CV78" i="1"/>
  <c r="BH76" i="1"/>
  <c r="DC149" i="1"/>
  <c r="BO147" i="1"/>
  <c r="AA145" i="1"/>
  <c r="CQ142" i="1"/>
  <c r="BC140" i="1"/>
  <c r="O138" i="1"/>
  <c r="CE135" i="1"/>
  <c r="AQ133" i="1"/>
  <c r="DG130" i="1"/>
  <c r="BS128" i="1"/>
  <c r="AE126" i="1"/>
  <c r="CU123" i="1"/>
  <c r="BG121" i="1"/>
  <c r="S119" i="1"/>
  <c r="CI116" i="1"/>
  <c r="AU114" i="1"/>
  <c r="G112" i="1"/>
  <c r="BW109" i="1"/>
  <c r="AI107" i="1"/>
  <c r="CY104" i="1"/>
  <c r="BK102" i="1"/>
  <c r="W100" i="1"/>
  <c r="CM97" i="1"/>
  <c r="AY95" i="1"/>
  <c r="K93" i="1"/>
  <c r="CA90" i="1"/>
  <c r="AM88" i="1"/>
  <c r="DC85" i="1"/>
  <c r="BO83" i="1"/>
  <c r="AA81" i="1"/>
  <c r="CQ78" i="1"/>
  <c r="CD150" i="1"/>
  <c r="AD141" i="1"/>
  <c r="CH131" i="1"/>
  <c r="AH122" i="1"/>
  <c r="CL112" i="1"/>
  <c r="AL103" i="1"/>
  <c r="CP93" i="1"/>
  <c r="AP84" i="1"/>
  <c r="N76" i="1"/>
  <c r="CA73" i="1"/>
  <c r="AM71" i="1"/>
  <c r="DC68" i="1"/>
  <c r="BO66" i="1"/>
  <c r="AA64" i="1"/>
  <c r="CQ61" i="1"/>
  <c r="BC59" i="1"/>
  <c r="O57" i="1"/>
  <c r="CE54" i="1"/>
  <c r="AQ52" i="1"/>
  <c r="DG49" i="1"/>
  <c r="BS47" i="1"/>
  <c r="AE45" i="1"/>
  <c r="CU42" i="1"/>
  <c r="BG40" i="1"/>
  <c r="S38" i="1"/>
  <c r="CI35" i="1"/>
  <c r="AU33" i="1"/>
  <c r="G31" i="1"/>
  <c r="BW28" i="1"/>
  <c r="CP161" i="1"/>
  <c r="BZ158" i="1"/>
  <c r="BJ155" i="1"/>
  <c r="CX152" i="1"/>
  <c r="BI150" i="1"/>
  <c r="U148" i="1"/>
  <c r="CK145" i="1"/>
  <c r="AW143" i="1"/>
  <c r="I141" i="1"/>
  <c r="BY138" i="1"/>
  <c r="AK136" i="1"/>
  <c r="DA133" i="1"/>
  <c r="BM131" i="1"/>
  <c r="Y129" i="1"/>
  <c r="CO126" i="1"/>
  <c r="BA124" i="1"/>
  <c r="M122" i="1"/>
  <c r="CC119" i="1"/>
  <c r="AO117" i="1"/>
  <c r="DE114" i="1"/>
  <c r="BQ112" i="1"/>
  <c r="AC110" i="1"/>
  <c r="CS107" i="1"/>
  <c r="BE105" i="1"/>
  <c r="Q103" i="1"/>
  <c r="CG100" i="1"/>
  <c r="AS98" i="1"/>
  <c r="DI95" i="1"/>
  <c r="BU93" i="1"/>
  <c r="AG91" i="1"/>
  <c r="CW88" i="1"/>
  <c r="BI86" i="1"/>
  <c r="U84" i="1"/>
  <c r="CK81" i="1"/>
  <c r="AW79" i="1"/>
  <c r="I77" i="1"/>
  <c r="CN149" i="1"/>
  <c r="AZ147" i="1"/>
  <c r="L145" i="1"/>
  <c r="CB142" i="1"/>
  <c r="AN140" i="1"/>
  <c r="DD137" i="1"/>
  <c r="BP135" i="1"/>
  <c r="AB133" i="1"/>
  <c r="CR130" i="1"/>
  <c r="BD128" i="1"/>
  <c r="P126" i="1"/>
  <c r="CF123" i="1"/>
  <c r="AR121" i="1"/>
  <c r="DH118" i="1"/>
  <c r="BT116" i="1"/>
  <c r="AF114" i="1"/>
  <c r="CV111" i="1"/>
  <c r="BH109" i="1"/>
  <c r="T107" i="1"/>
  <c r="CJ104" i="1"/>
  <c r="AV102" i="1"/>
  <c r="H100" i="1"/>
  <c r="BX97" i="1"/>
  <c r="AJ95" i="1"/>
  <c r="CZ92" i="1"/>
  <c r="BL90" i="1"/>
  <c r="X88" i="1"/>
  <c r="CN85" i="1"/>
  <c r="AZ83" i="1"/>
  <c r="L81" i="1"/>
  <c r="CB78" i="1"/>
  <c r="AN76" i="1"/>
  <c r="CI149" i="1"/>
  <c r="AU147" i="1"/>
  <c r="G145" i="1"/>
  <c r="BW142" i="1"/>
  <c r="AI140" i="1"/>
  <c r="CY137" i="1"/>
  <c r="BK135" i="1"/>
  <c r="W133" i="1"/>
  <c r="CM130" i="1"/>
  <c r="AY128" i="1"/>
  <c r="K126" i="1"/>
  <c r="CA123" i="1"/>
  <c r="AM121" i="1"/>
  <c r="DC118" i="1"/>
  <c r="BO116" i="1"/>
  <c r="AA114" i="1"/>
  <c r="CQ111" i="1"/>
  <c r="BC109" i="1"/>
  <c r="O107" i="1"/>
  <c r="CE104" i="1"/>
  <c r="AQ102" i="1"/>
  <c r="DG99" i="1"/>
  <c r="BS97" i="1"/>
  <c r="AE95" i="1"/>
  <c r="CU92" i="1"/>
  <c r="BG90" i="1"/>
  <c r="S88" i="1"/>
  <c r="CI85" i="1"/>
  <c r="AU83" i="1"/>
  <c r="G81" i="1"/>
  <c r="BW78" i="1"/>
  <c r="DF149" i="1"/>
  <c r="BF140" i="1"/>
  <c r="F131" i="1"/>
  <c r="BJ121" i="1"/>
  <c r="J112" i="1"/>
  <c r="BN102" i="1"/>
  <c r="N93" i="1"/>
  <c r="BR83" i="1"/>
  <c r="CU75" i="1"/>
  <c r="BG73" i="1"/>
  <c r="S71" i="1"/>
  <c r="CI68" i="1"/>
  <c r="AU66" i="1"/>
  <c r="G64" i="1"/>
  <c r="BW61" i="1"/>
  <c r="AI59" i="1"/>
  <c r="CY56" i="1"/>
  <c r="BK54" i="1"/>
  <c r="W52" i="1"/>
  <c r="CM49" i="1"/>
  <c r="AY47" i="1"/>
  <c r="K45" i="1"/>
  <c r="CA42" i="1"/>
  <c r="AM40" i="1"/>
  <c r="DC37" i="1"/>
  <c r="BO35" i="1"/>
  <c r="AA33" i="1"/>
  <c r="CQ30" i="1"/>
  <c r="BC28" i="1"/>
  <c r="BR161" i="1"/>
  <c r="AX158" i="1"/>
  <c r="AH155" i="1"/>
  <c r="CD152" i="1"/>
  <c r="AO150" i="1"/>
  <c r="DE147" i="1"/>
  <c r="BQ145" i="1"/>
  <c r="AC143" i="1"/>
  <c r="CS140" i="1"/>
  <c r="BE138" i="1"/>
  <c r="Q136" i="1"/>
  <c r="CG133" i="1"/>
  <c r="AS131" i="1"/>
  <c r="DI128" i="1"/>
  <c r="BU126" i="1"/>
  <c r="AG124" i="1"/>
  <c r="CW121" i="1"/>
  <c r="BI119" i="1"/>
  <c r="U117" i="1"/>
  <c r="CK114" i="1"/>
  <c r="AW112" i="1"/>
  <c r="I110" i="1"/>
  <c r="BY107" i="1"/>
  <c r="AK105" i="1"/>
  <c r="DA102" i="1"/>
  <c r="BM100" i="1"/>
  <c r="Y98" i="1"/>
  <c r="CO95" i="1"/>
  <c r="BA93" i="1"/>
  <c r="M91" i="1"/>
  <c r="CC88" i="1"/>
  <c r="AO86" i="1"/>
  <c r="DE83" i="1"/>
  <c r="BQ81" i="1"/>
  <c r="AC79" i="1"/>
  <c r="CS76" i="1"/>
  <c r="BT149" i="1"/>
  <c r="AF147" i="1"/>
  <c r="CV144" i="1"/>
  <c r="BH142" i="1"/>
  <c r="T140" i="1"/>
  <c r="CJ137" i="1"/>
  <c r="AV135" i="1"/>
  <c r="H133" i="1"/>
  <c r="BX130" i="1"/>
  <c r="AJ128" i="1"/>
  <c r="CZ125" i="1"/>
  <c r="BL123" i="1"/>
  <c r="X121" i="1"/>
  <c r="CN118" i="1"/>
  <c r="AZ116" i="1"/>
  <c r="L114" i="1"/>
  <c r="CB111" i="1"/>
  <c r="AN109" i="1"/>
  <c r="DD106" i="1"/>
  <c r="BP104" i="1"/>
  <c r="AB102" i="1"/>
  <c r="CR99" i="1"/>
  <c r="BD97" i="1"/>
  <c r="P95" i="1"/>
  <c r="CF92" i="1"/>
  <c r="AR90" i="1"/>
  <c r="DH87" i="1"/>
  <c r="BT85" i="1"/>
  <c r="AF83" i="1"/>
  <c r="CV80" i="1"/>
  <c r="BH78" i="1"/>
  <c r="T76" i="1"/>
  <c r="BO149" i="1"/>
  <c r="AA147" i="1"/>
  <c r="CQ144" i="1"/>
  <c r="BC142" i="1"/>
  <c r="O140" i="1"/>
  <c r="CE137" i="1"/>
  <c r="AQ135" i="1"/>
  <c r="DG132" i="1"/>
  <c r="BS130" i="1"/>
  <c r="AE128" i="1"/>
  <c r="CU125" i="1"/>
  <c r="BG123" i="1"/>
  <c r="S121" i="1"/>
  <c r="CI118" i="1"/>
  <c r="AU116" i="1"/>
  <c r="G114" i="1"/>
  <c r="BW111" i="1"/>
  <c r="AI109" i="1"/>
  <c r="CY106" i="1"/>
  <c r="BK104" i="1"/>
  <c r="W102" i="1"/>
  <c r="CM99" i="1"/>
  <c r="AY97" i="1"/>
  <c r="K95" i="1"/>
  <c r="CA92" i="1"/>
  <c r="AM90" i="1"/>
  <c r="DC87" i="1"/>
  <c r="BO85" i="1"/>
  <c r="AA83" i="1"/>
  <c r="CQ80" i="1"/>
  <c r="BC78" i="1"/>
  <c r="AD149" i="1"/>
  <c r="CH139" i="1"/>
  <c r="AH130" i="1"/>
  <c r="CL120" i="1"/>
  <c r="AL111" i="1"/>
  <c r="CP101" i="1"/>
  <c r="AP92" i="1"/>
  <c r="CT82" i="1"/>
  <c r="CA75" i="1"/>
  <c r="AM73" i="1"/>
  <c r="DC70" i="1"/>
  <c r="BO68" i="1"/>
  <c r="AA66" i="1"/>
  <c r="CQ63" i="1"/>
  <c r="BC61" i="1"/>
  <c r="O59" i="1"/>
  <c r="CE56" i="1"/>
  <c r="AQ54" i="1"/>
  <c r="DG51" i="1"/>
  <c r="BS49" i="1"/>
  <c r="AE47" i="1"/>
  <c r="CU44" i="1"/>
  <c r="BG42" i="1"/>
  <c r="S40" i="1"/>
  <c r="CI37" i="1"/>
  <c r="AU35" i="1"/>
  <c r="G33" i="1"/>
  <c r="BW30" i="1"/>
  <c r="AI28" i="1"/>
  <c r="G26" i="1"/>
  <c r="BW23" i="1"/>
  <c r="AI21" i="1"/>
  <c r="CY18" i="1"/>
  <c r="BK16" i="1"/>
  <c r="W14" i="1"/>
  <c r="F148" i="1"/>
  <c r="BJ138" i="1"/>
  <c r="J129" i="1"/>
  <c r="BN119" i="1"/>
  <c r="N110" i="1"/>
  <c r="BR100" i="1"/>
  <c r="R91" i="1"/>
  <c r="BV81" i="1"/>
  <c r="AT75" i="1"/>
  <c r="F73" i="1"/>
  <c r="BV70" i="1"/>
  <c r="AH68" i="1"/>
  <c r="CX65" i="1"/>
  <c r="BJ63" i="1"/>
  <c r="V61" i="1"/>
  <c r="CL58" i="1"/>
  <c r="AX56" i="1"/>
  <c r="J54" i="1"/>
  <c r="BZ51" i="1"/>
  <c r="AL49" i="1"/>
  <c r="DB46" i="1"/>
  <c r="BN44" i="1"/>
  <c r="Z42" i="1"/>
  <c r="CP39" i="1"/>
  <c r="BB37" i="1"/>
  <c r="N35" i="1"/>
  <c r="CD32" i="1"/>
  <c r="AP30" i="1"/>
  <c r="DF27" i="1"/>
  <c r="BR25" i="1"/>
  <c r="AD23" i="1"/>
  <c r="CT20" i="1"/>
  <c r="BF18" i="1"/>
  <c r="R16" i="1"/>
  <c r="CH13" i="1"/>
  <c r="AT11" i="1"/>
  <c r="F9" i="1"/>
  <c r="BV6" i="1"/>
  <c r="AH4" i="1"/>
  <c r="O9" i="1"/>
  <c r="Z150" i="1"/>
  <c r="CD140" i="1"/>
  <c r="AD131" i="1"/>
  <c r="CH121" i="1"/>
  <c r="AH112" i="1"/>
  <c r="CL102" i="1"/>
  <c r="AL93" i="1"/>
  <c r="CP83" i="1"/>
  <c r="DA75" i="1"/>
  <c r="BM73" i="1"/>
  <c r="Y71" i="1"/>
  <c r="CO68" i="1"/>
  <c r="BA66" i="1"/>
  <c r="M64" i="1"/>
  <c r="CC61" i="1"/>
  <c r="AO59" i="1"/>
  <c r="DE56" i="1"/>
  <c r="BQ54" i="1"/>
  <c r="AC52" i="1"/>
  <c r="CS49" i="1"/>
  <c r="BE47" i="1"/>
  <c r="Q45" i="1"/>
  <c r="CG42" i="1"/>
  <c r="AS40" i="1"/>
  <c r="DI37" i="1"/>
  <c r="BU35" i="1"/>
  <c r="AG33" i="1"/>
  <c r="CW30" i="1"/>
  <c r="BI28" i="1"/>
  <c r="U26" i="1"/>
  <c r="CK23" i="1"/>
  <c r="AW21" i="1"/>
  <c r="I19" i="1"/>
  <c r="BY16" i="1"/>
  <c r="AK14" i="1"/>
  <c r="DA11" i="1"/>
  <c r="BM9" i="1"/>
  <c r="Y7" i="1"/>
  <c r="CO4" i="1"/>
  <c r="BG10" i="1"/>
  <c r="BO3" i="1"/>
  <c r="J143" i="1"/>
  <c r="BN133" i="1"/>
  <c r="N124" i="1"/>
  <c r="BR114" i="1"/>
  <c r="R105" i="1"/>
  <c r="BV95" i="1"/>
  <c r="V86" i="1"/>
  <c r="CD76" i="1"/>
  <c r="T74" i="1"/>
  <c r="CJ71" i="1"/>
  <c r="AV69" i="1"/>
  <c r="H67" i="1"/>
  <c r="BX64" i="1"/>
  <c r="AJ62" i="1"/>
  <c r="CZ59" i="1"/>
  <c r="BL57" i="1"/>
  <c r="X55" i="1"/>
  <c r="CN52" i="1"/>
  <c r="AZ50" i="1"/>
  <c r="L48" i="1"/>
  <c r="CB45" i="1"/>
  <c r="AN43" i="1"/>
  <c r="DD40" i="1"/>
  <c r="BP38" i="1"/>
  <c r="AB36" i="1"/>
  <c r="CR33" i="1"/>
  <c r="BD31" i="1"/>
  <c r="P29" i="1"/>
  <c r="CF26" i="1"/>
  <c r="AR24" i="1"/>
  <c r="DH21" i="1"/>
  <c r="BT19" i="1"/>
  <c r="AB16" i="1"/>
  <c r="BX12" i="1"/>
  <c r="AB8" i="1"/>
  <c r="AN3" i="1"/>
  <c r="CZ4" i="1"/>
  <c r="AY10" i="1"/>
  <c r="CQ25" i="1"/>
  <c r="BC23" i="1"/>
  <c r="O21" i="1"/>
  <c r="CE18" i="1"/>
  <c r="AQ16" i="1"/>
  <c r="DG13" i="1"/>
  <c r="AH147" i="1"/>
  <c r="CL137" i="1"/>
  <c r="AL128" i="1"/>
  <c r="CP118" i="1"/>
  <c r="AP109" i="1"/>
  <c r="CT99" i="1"/>
  <c r="AT90" i="1"/>
  <c r="CX80" i="1"/>
  <c r="Z75" i="1"/>
  <c r="CP72" i="1"/>
  <c r="BB70" i="1"/>
  <c r="N68" i="1"/>
  <c r="CD65" i="1"/>
  <c r="AP63" i="1"/>
  <c r="DF60" i="1"/>
  <c r="BR58" i="1"/>
  <c r="AD56" i="1"/>
  <c r="CT53" i="1"/>
  <c r="BF51" i="1"/>
  <c r="R49" i="1"/>
  <c r="CH46" i="1"/>
  <c r="AT44" i="1"/>
  <c r="F42" i="1"/>
  <c r="BV39" i="1"/>
  <c r="AH37" i="1"/>
  <c r="CX34" i="1"/>
  <c r="BJ32" i="1"/>
  <c r="V30" i="1"/>
  <c r="CL27" i="1"/>
  <c r="AX25" i="1"/>
  <c r="J23" i="1"/>
  <c r="BZ20" i="1"/>
  <c r="AL18" i="1"/>
  <c r="DB15" i="1"/>
  <c r="BN13" i="1"/>
  <c r="Z11" i="1"/>
  <c r="CP8" i="1"/>
  <c r="BB6" i="1"/>
  <c r="N4" i="1"/>
  <c r="BK8" i="1"/>
  <c r="BB149" i="1"/>
  <c r="DF139" i="1"/>
  <c r="BF130" i="1"/>
  <c r="F121" i="1"/>
  <c r="BJ111" i="1"/>
  <c r="J102" i="1"/>
  <c r="BN92" i="1"/>
  <c r="N83" i="1"/>
  <c r="CG75" i="1"/>
  <c r="AS73" i="1"/>
  <c r="DI70" i="1"/>
  <c r="BU68" i="1"/>
  <c r="AG66" i="1"/>
  <c r="CW63" i="1"/>
  <c r="BI61" i="1"/>
  <c r="U59" i="1"/>
  <c r="CK56" i="1"/>
  <c r="AW54" i="1"/>
  <c r="I52" i="1"/>
  <c r="BY49" i="1"/>
  <c r="AK47" i="1"/>
  <c r="DA44" i="1"/>
  <c r="BM42" i="1"/>
  <c r="Y40" i="1"/>
  <c r="CO37" i="1"/>
  <c r="BA35" i="1"/>
  <c r="M33" i="1"/>
  <c r="CC30" i="1"/>
  <c r="AO28" i="1"/>
  <c r="DE25" i="1"/>
  <c r="BQ23" i="1"/>
  <c r="AC21" i="1"/>
  <c r="CS18" i="1"/>
  <c r="BE16" i="1"/>
  <c r="Q14" i="1"/>
  <c r="CG11" i="1"/>
  <c r="AS9" i="1"/>
  <c r="DI6" i="1"/>
  <c r="BU4" i="1"/>
  <c r="DG9" i="1"/>
  <c r="K3" i="1"/>
  <c r="AL142" i="1"/>
  <c r="CP132" i="1"/>
  <c r="AP123" i="1"/>
  <c r="CT113" i="1"/>
  <c r="AT104" i="1"/>
  <c r="CX94" i="1"/>
  <c r="AX85" i="1"/>
  <c r="BA76" i="1"/>
  <c r="DD73" i="1"/>
  <c r="BP71" i="1"/>
  <c r="AB69" i="1"/>
  <c r="CR66" i="1"/>
  <c r="BD64" i="1"/>
  <c r="P62" i="1"/>
  <c r="CF59" i="1"/>
  <c r="AR57" i="1"/>
  <c r="DH54" i="1"/>
  <c r="BT52" i="1"/>
  <c r="AF50" i="1"/>
  <c r="CV47" i="1"/>
  <c r="BH45" i="1"/>
  <c r="T43" i="1"/>
  <c r="CJ40" i="1"/>
  <c r="AV38" i="1"/>
  <c r="H36" i="1"/>
  <c r="BX33" i="1"/>
  <c r="AJ31" i="1"/>
  <c r="CZ28" i="1"/>
  <c r="BL26" i="1"/>
  <c r="X24" i="1"/>
  <c r="CN21" i="1"/>
  <c r="AZ19" i="1"/>
  <c r="L17" i="1"/>
  <c r="CB14" i="1"/>
  <c r="AN12" i="1"/>
  <c r="DD9" i="1"/>
  <c r="BP7" i="1"/>
  <c r="BK12" i="1"/>
  <c r="S27" i="1"/>
  <c r="CI24" i="1"/>
  <c r="AU22" i="1"/>
  <c r="G20" i="1"/>
  <c r="BW17" i="1"/>
  <c r="AI15" i="1"/>
  <c r="CY12" i="1"/>
  <c r="DF142" i="1"/>
  <c r="BF133" i="1"/>
  <c r="F124" i="1"/>
  <c r="BJ114" i="1"/>
  <c r="J105" i="1"/>
  <c r="BN95" i="1"/>
  <c r="N86" i="1"/>
  <c r="BZ76" i="1"/>
  <c r="R74" i="1"/>
  <c r="CH71" i="1"/>
  <c r="AT69" i="1"/>
  <c r="F67" i="1"/>
  <c r="BV64" i="1"/>
  <c r="AH62" i="1"/>
  <c r="CX59" i="1"/>
  <c r="BJ57" i="1"/>
  <c r="V55" i="1"/>
  <c r="CL52" i="1"/>
  <c r="AX50" i="1"/>
  <c r="J48" i="1"/>
  <c r="BZ45" i="1"/>
  <c r="AL43" i="1"/>
  <c r="DB40" i="1"/>
  <c r="BN38" i="1"/>
  <c r="Z36" i="1"/>
  <c r="CP33" i="1"/>
  <c r="BB31" i="1"/>
  <c r="N29" i="1"/>
  <c r="CD26" i="1"/>
  <c r="AP24" i="1"/>
  <c r="DF21" i="1"/>
  <c r="BR19" i="1"/>
  <c r="AD17" i="1"/>
  <c r="CT14" i="1"/>
  <c r="BF12" i="1"/>
  <c r="R10" i="1"/>
  <c r="CH7" i="1"/>
  <c r="AT5" i="1"/>
  <c r="F3" i="1"/>
  <c r="AU5" i="1"/>
  <c r="V145" i="1"/>
  <c r="BZ135" i="1"/>
  <c r="Z126" i="1"/>
  <c r="CD116" i="1"/>
  <c r="AD107" i="1"/>
  <c r="CH97" i="1"/>
  <c r="AH88" i="1"/>
  <c r="CL78" i="1"/>
  <c r="BY74" i="1"/>
  <c r="AK72" i="1"/>
  <c r="DA69" i="1"/>
  <c r="BM67" i="1"/>
  <c r="Y65" i="1"/>
  <c r="CO62" i="1"/>
  <c r="BA60" i="1"/>
  <c r="M58" i="1"/>
  <c r="CC55" i="1"/>
  <c r="AO53" i="1"/>
  <c r="DE50" i="1"/>
  <c r="BQ48" i="1"/>
  <c r="AC46" i="1"/>
  <c r="CS43" i="1"/>
  <c r="BE41" i="1"/>
  <c r="Q39" i="1"/>
  <c r="CG36" i="1"/>
  <c r="AS34" i="1"/>
  <c r="DI31" i="1"/>
  <c r="BU29" i="1"/>
  <c r="AG27" i="1"/>
  <c r="CW24" i="1"/>
  <c r="BI22" i="1"/>
  <c r="U20" i="1"/>
  <c r="CK17" i="1"/>
  <c r="AW15" i="1"/>
  <c r="I13" i="1"/>
  <c r="BY10" i="1"/>
  <c r="AK8" i="1"/>
  <c r="DA5" i="1"/>
  <c r="BM3" i="1"/>
  <c r="CM6" i="1"/>
  <c r="BF147" i="1"/>
  <c r="F138" i="1"/>
  <c r="BJ128" i="1"/>
  <c r="J119" i="1"/>
  <c r="BN109" i="1"/>
  <c r="N100" i="1"/>
  <c r="BR90" i="1"/>
  <c r="R81" i="1"/>
  <c r="AF75" i="1"/>
  <c r="CV72" i="1"/>
  <c r="BH70" i="1"/>
  <c r="T68" i="1"/>
  <c r="CJ65" i="1"/>
  <c r="AV63" i="1"/>
  <c r="H61" i="1"/>
  <c r="BX58" i="1"/>
  <c r="AJ56" i="1"/>
  <c r="CZ53" i="1"/>
  <c r="BL51" i="1"/>
  <c r="X49" i="1"/>
  <c r="CN46" i="1"/>
  <c r="AZ44" i="1"/>
  <c r="L42" i="1"/>
  <c r="CB39" i="1"/>
  <c r="AN37" i="1"/>
  <c r="DD34" i="1"/>
  <c r="BP32" i="1"/>
  <c r="AB30" i="1"/>
  <c r="CR27" i="1"/>
  <c r="BD25" i="1"/>
  <c r="P23" i="1"/>
  <c r="CF20" i="1"/>
  <c r="AR18" i="1"/>
  <c r="DH15" i="1"/>
  <c r="BT13" i="1"/>
  <c r="AF11" i="1"/>
  <c r="CV8" i="1"/>
  <c r="BH6" i="1"/>
  <c r="T4" i="1"/>
  <c r="AQ26" i="1"/>
  <c r="DG23" i="1"/>
  <c r="BS21" i="1"/>
  <c r="AE19" i="1"/>
  <c r="CU16" i="1"/>
  <c r="BG14" i="1"/>
  <c r="AP149" i="1"/>
  <c r="CT139" i="1"/>
  <c r="AT130" i="1"/>
  <c r="CX120" i="1"/>
  <c r="AX111" i="1"/>
  <c r="DB101" i="1"/>
  <c r="BB92" i="1"/>
  <c r="DF82" i="1"/>
  <c r="CD75" i="1"/>
  <c r="AP73" i="1"/>
  <c r="DF70" i="1"/>
  <c r="BR68" i="1"/>
  <c r="AD66" i="1"/>
  <c r="CT63" i="1"/>
  <c r="BF61" i="1"/>
  <c r="R59" i="1"/>
  <c r="CH56" i="1"/>
  <c r="AT54" i="1"/>
  <c r="F52" i="1"/>
  <c r="BV49" i="1"/>
  <c r="AH47" i="1"/>
  <c r="CX44" i="1"/>
  <c r="BJ42" i="1"/>
  <c r="V40" i="1"/>
  <c r="CL37" i="1"/>
  <c r="AX35" i="1"/>
  <c r="J33" i="1"/>
  <c r="BZ30" i="1"/>
  <c r="AL28" i="1"/>
  <c r="DB25" i="1"/>
  <c r="BN23" i="1"/>
  <c r="Z21" i="1"/>
  <c r="CP18" i="1"/>
  <c r="BB16" i="1"/>
  <c r="N14" i="1"/>
  <c r="CD11" i="1"/>
  <c r="AP9" i="1"/>
  <c r="DF6" i="1"/>
  <c r="BR4" i="1"/>
  <c r="G10" i="1"/>
  <c r="BJ151" i="1"/>
  <c r="J142" i="1"/>
  <c r="BN132" i="1"/>
  <c r="N123" i="1"/>
  <c r="BR113" i="1"/>
  <c r="R104" i="1"/>
  <c r="BV94" i="1"/>
  <c r="V85" i="1"/>
  <c r="AQ76" i="1"/>
  <c r="CW73" i="1"/>
  <c r="BI71" i="1"/>
  <c r="U69" i="1"/>
  <c r="CK66" i="1"/>
  <c r="AW64" i="1"/>
  <c r="I62" i="1"/>
  <c r="BY59" i="1"/>
  <c r="AK57" i="1"/>
  <c r="DA54" i="1"/>
  <c r="BM52" i="1"/>
  <c r="Y50" i="1"/>
  <c r="CO47" i="1"/>
  <c r="BA45" i="1"/>
  <c r="M43" i="1"/>
  <c r="CC40" i="1"/>
  <c r="AO38" i="1"/>
  <c r="DE35" i="1"/>
  <c r="BQ33" i="1"/>
  <c r="AC31" i="1"/>
  <c r="CS28" i="1"/>
  <c r="BE26" i="1"/>
  <c r="Q24" i="1"/>
  <c r="CG21" i="1"/>
  <c r="AS19" i="1"/>
  <c r="DI16" i="1"/>
  <c r="BU14" i="1"/>
  <c r="AG12" i="1"/>
  <c r="CW9" i="1"/>
  <c r="BI7" i="1"/>
  <c r="U5" i="1"/>
  <c r="BK11" i="1"/>
  <c r="BS4" i="1"/>
  <c r="AT144" i="1"/>
  <c r="CX134" i="1"/>
  <c r="AX125" i="1"/>
  <c r="DB115" i="1"/>
  <c r="BB106" i="1"/>
  <c r="DF96" i="1"/>
  <c r="BF87" i="1"/>
  <c r="F78" i="1"/>
  <c r="BD74" i="1"/>
  <c r="P72" i="1"/>
  <c r="CF69" i="1"/>
  <c r="AR67" i="1"/>
  <c r="DH64" i="1"/>
  <c r="BT62" i="1"/>
  <c r="AF60" i="1"/>
  <c r="CV57" i="1"/>
  <c r="BH55" i="1"/>
  <c r="T53" i="1"/>
  <c r="CJ50" i="1"/>
  <c r="AV48" i="1"/>
  <c r="H46" i="1"/>
  <c r="BX43" i="1"/>
  <c r="AJ41" i="1"/>
  <c r="CZ38" i="1"/>
  <c r="BL36" i="1"/>
  <c r="X34" i="1"/>
  <c r="CN31" i="1"/>
  <c r="AZ29" i="1"/>
  <c r="L27" i="1"/>
  <c r="CB24" i="1"/>
  <c r="AN22" i="1"/>
  <c r="DD19" i="1"/>
  <c r="BP17" i="1"/>
  <c r="AB15" i="1"/>
  <c r="CR12" i="1"/>
  <c r="BD10" i="1"/>
  <c r="P8" i="1"/>
  <c r="CF5" i="1"/>
  <c r="AR3" i="1"/>
  <c r="BC7" i="1"/>
  <c r="CN16" i="1"/>
  <c r="AJ10" i="1"/>
  <c r="BD3" i="1"/>
  <c r="AV4" i="1"/>
  <c r="CN8" i="1"/>
  <c r="AR108" i="1"/>
  <c r="AV105" i="1"/>
  <c r="H103" i="1"/>
  <c r="BX100" i="1"/>
  <c r="AJ98" i="1"/>
  <c r="CZ95" i="1"/>
  <c r="BL93" i="1"/>
  <c r="X91" i="1"/>
  <c r="CN88" i="1"/>
  <c r="AZ86" i="1"/>
  <c r="L84" i="1"/>
  <c r="CB81" i="1"/>
  <c r="AN79" i="1"/>
  <c r="DD76" i="1"/>
  <c r="AU150" i="1"/>
  <c r="G148" i="1"/>
  <c r="BW145" i="1"/>
  <c r="AI143" i="1"/>
  <c r="CY140" i="1"/>
  <c r="BK138" i="1"/>
  <c r="W136" i="1"/>
  <c r="CM133" i="1"/>
  <c r="AY131" i="1"/>
  <c r="K129" i="1"/>
  <c r="CA126" i="1"/>
  <c r="AM124" i="1"/>
  <c r="DC121" i="1"/>
  <c r="BO119" i="1"/>
  <c r="AA117" i="1"/>
  <c r="CQ114" i="1"/>
  <c r="BC112" i="1"/>
  <c r="O110" i="1"/>
  <c r="CE107" i="1"/>
  <c r="AQ105" i="1"/>
  <c r="DG102" i="1"/>
  <c r="BS100" i="1"/>
  <c r="AE98" i="1"/>
  <c r="CU95" i="1"/>
  <c r="BG93" i="1"/>
  <c r="S91" i="1"/>
  <c r="CI88" i="1"/>
  <c r="AU86" i="1"/>
  <c r="G84" i="1"/>
  <c r="BW81" i="1"/>
  <c r="AI79" i="1"/>
  <c r="CY76" i="1"/>
  <c r="F143" i="1"/>
  <c r="BJ133" i="1"/>
  <c r="J124" i="1"/>
  <c r="BN114" i="1"/>
  <c r="N105" i="1"/>
  <c r="BR95" i="1"/>
  <c r="R86" i="1"/>
  <c r="CA76" i="1"/>
  <c r="S74" i="1"/>
  <c r="CI71" i="1"/>
  <c r="AU69" i="1"/>
  <c r="G67" i="1"/>
  <c r="BW64" i="1"/>
  <c r="AI62" i="1"/>
  <c r="CY59" i="1"/>
  <c r="BK57" i="1"/>
  <c r="W55" i="1"/>
  <c r="CM52" i="1"/>
  <c r="AY50" i="1"/>
  <c r="K48" i="1"/>
  <c r="CA45" i="1"/>
  <c r="AM43" i="1"/>
  <c r="DC40" i="1"/>
  <c r="BO38" i="1"/>
  <c r="AA36" i="1"/>
  <c r="CQ33" i="1"/>
  <c r="BC31" i="1"/>
  <c r="O29" i="1"/>
  <c r="AX162" i="1"/>
  <c r="AH159" i="1"/>
  <c r="R156" i="1"/>
  <c r="AP153" i="1"/>
  <c r="DE150" i="1"/>
  <c r="BQ148" i="1"/>
  <c r="AC146" i="1"/>
  <c r="CS143" i="1"/>
  <c r="BE141" i="1"/>
  <c r="Q139" i="1"/>
  <c r="CG136" i="1"/>
  <c r="AS134" i="1"/>
  <c r="DI131" i="1"/>
  <c r="BU129" i="1"/>
  <c r="AG127" i="1"/>
  <c r="CW124" i="1"/>
  <c r="BI122" i="1"/>
  <c r="U120" i="1"/>
  <c r="CK117" i="1"/>
  <c r="AW115" i="1"/>
  <c r="I113" i="1"/>
  <c r="BY110" i="1"/>
  <c r="AK108" i="1"/>
  <c r="DA105" i="1"/>
  <c r="BM103" i="1"/>
  <c r="Y101" i="1"/>
  <c r="CO98" i="1"/>
  <c r="BA96" i="1"/>
  <c r="M94" i="1"/>
  <c r="CC91" i="1"/>
  <c r="AO89" i="1"/>
  <c r="DE86" i="1"/>
  <c r="BQ84" i="1"/>
  <c r="AC82" i="1"/>
  <c r="CS79" i="1"/>
  <c r="BE77" i="1"/>
  <c r="AF150" i="1"/>
  <c r="CV147" i="1"/>
  <c r="BH145" i="1"/>
  <c r="T143" i="1"/>
  <c r="CJ140" i="1"/>
  <c r="AV138" i="1"/>
  <c r="H136" i="1"/>
  <c r="BX133" i="1"/>
  <c r="AJ131" i="1"/>
  <c r="CZ128" i="1"/>
  <c r="BL126" i="1"/>
  <c r="X124" i="1"/>
  <c r="CN121" i="1"/>
  <c r="AZ119" i="1"/>
  <c r="L117" i="1"/>
  <c r="CB114" i="1"/>
  <c r="AN112" i="1"/>
  <c r="DD109" i="1"/>
  <c r="BP107" i="1"/>
  <c r="AB105" i="1"/>
  <c r="CR102" i="1"/>
  <c r="BD100" i="1"/>
  <c r="P98" i="1"/>
  <c r="CF95" i="1"/>
  <c r="AR93" i="1"/>
  <c r="DH90" i="1"/>
  <c r="BT88" i="1"/>
  <c r="AF86" i="1"/>
  <c r="CV83" i="1"/>
  <c r="BH81" i="1"/>
  <c r="T79" i="1"/>
  <c r="CJ76" i="1"/>
  <c r="AA150" i="1"/>
  <c r="CQ147" i="1"/>
  <c r="BC145" i="1"/>
  <c r="O143" i="1"/>
  <c r="CE140" i="1"/>
  <c r="AQ138" i="1"/>
  <c r="DG135" i="1"/>
  <c r="BS133" i="1"/>
  <c r="AE131" i="1"/>
  <c r="CU128" i="1"/>
  <c r="BG126" i="1"/>
  <c r="S124" i="1"/>
  <c r="CI121" i="1"/>
  <c r="AU119" i="1"/>
  <c r="G117" i="1"/>
  <c r="BW114" i="1"/>
  <c r="AI112" i="1"/>
  <c r="CY109" i="1"/>
  <c r="BK107" i="1"/>
  <c r="W105" i="1"/>
  <c r="CM102" i="1"/>
  <c r="AY100" i="1"/>
  <c r="K98" i="1"/>
  <c r="CA95" i="1"/>
  <c r="AM93" i="1"/>
  <c r="DC90" i="1"/>
  <c r="BO88" i="1"/>
  <c r="AA86" i="1"/>
  <c r="CQ83" i="1"/>
  <c r="BC81" i="1"/>
  <c r="O79" i="1"/>
  <c r="CN151" i="1"/>
  <c r="AH142" i="1"/>
  <c r="CL132" i="1"/>
  <c r="AL123" i="1"/>
  <c r="CP113" i="1"/>
  <c r="AP104" i="1"/>
  <c r="CT94" i="1"/>
  <c r="AT85" i="1"/>
  <c r="AY76" i="1"/>
  <c r="DC73" i="1"/>
  <c r="BO71" i="1"/>
  <c r="AA69" i="1"/>
  <c r="CQ66" i="1"/>
  <c r="BC64" i="1"/>
  <c r="O62" i="1"/>
  <c r="CE59" i="1"/>
  <c r="AQ57" i="1"/>
  <c r="DG54" i="1"/>
  <c r="BS52" i="1"/>
  <c r="AE50" i="1"/>
  <c r="CU47" i="1"/>
  <c r="BG45" i="1"/>
  <c r="S43" i="1"/>
  <c r="CI40" i="1"/>
  <c r="AU38" i="1"/>
  <c r="G36" i="1"/>
  <c r="BW33" i="1"/>
  <c r="AI31" i="1"/>
  <c r="CY28" i="1"/>
  <c r="Z162" i="1"/>
  <c r="F159" i="1"/>
  <c r="CT155" i="1"/>
  <c r="V153" i="1"/>
  <c r="CK150" i="1"/>
  <c r="AW148" i="1"/>
  <c r="I146" i="1"/>
  <c r="BY143" i="1"/>
  <c r="AK141" i="1"/>
  <c r="DA138" i="1"/>
  <c r="BM136" i="1"/>
  <c r="Y134" i="1"/>
  <c r="CO131" i="1"/>
  <c r="BA129" i="1"/>
  <c r="M127" i="1"/>
  <c r="CC124" i="1"/>
  <c r="AO122" i="1"/>
  <c r="DE119" i="1"/>
  <c r="BQ117" i="1"/>
  <c r="AC115" i="1"/>
  <c r="CS112" i="1"/>
  <c r="BE110" i="1"/>
  <c r="Q108" i="1"/>
  <c r="CG105" i="1"/>
  <c r="AS103" i="1"/>
  <c r="DI100" i="1"/>
  <c r="BU98" i="1"/>
  <c r="AG96" i="1"/>
  <c r="CW93" i="1"/>
  <c r="BI91" i="1"/>
  <c r="U89" i="1"/>
  <c r="CK86" i="1"/>
  <c r="AW84" i="1"/>
  <c r="I82" i="1"/>
  <c r="BY79" i="1"/>
  <c r="AK77" i="1"/>
  <c r="L150" i="1"/>
  <c r="CB147" i="1"/>
  <c r="AN145" i="1"/>
  <c r="DD142" i="1"/>
  <c r="BP140" i="1"/>
  <c r="AB138" i="1"/>
  <c r="CR135" i="1"/>
  <c r="BD133" i="1"/>
  <c r="P131" i="1"/>
  <c r="CF128" i="1"/>
  <c r="AR126" i="1"/>
  <c r="DH123" i="1"/>
  <c r="BT121" i="1"/>
  <c r="AF119" i="1"/>
  <c r="CV116" i="1"/>
  <c r="BH114" i="1"/>
  <c r="T112" i="1"/>
  <c r="CJ109" i="1"/>
  <c r="AV107" i="1"/>
  <c r="H105" i="1"/>
  <c r="BX102" i="1"/>
  <c r="AJ100" i="1"/>
  <c r="CZ97" i="1"/>
  <c r="BL95" i="1"/>
  <c r="X93" i="1"/>
  <c r="CN90" i="1"/>
  <c r="AZ88" i="1"/>
  <c r="L86" i="1"/>
  <c r="CB83" i="1"/>
  <c r="AN81" i="1"/>
  <c r="DD78" i="1"/>
  <c r="BP76" i="1"/>
  <c r="G150" i="1"/>
  <c r="BW147" i="1"/>
  <c r="AI145" i="1"/>
  <c r="CY142" i="1"/>
  <c r="BK140" i="1"/>
  <c r="W138" i="1"/>
  <c r="CM135" i="1"/>
  <c r="AY133" i="1"/>
  <c r="K131" i="1"/>
  <c r="CA128" i="1"/>
  <c r="AM126" i="1"/>
  <c r="DC123" i="1"/>
  <c r="BO121" i="1"/>
  <c r="AA119" i="1"/>
  <c r="CQ116" i="1"/>
  <c r="BC114" i="1"/>
  <c r="O112" i="1"/>
  <c r="CE109" i="1"/>
  <c r="AQ107" i="1"/>
  <c r="DG104" i="1"/>
  <c r="BS102" i="1"/>
  <c r="AE100" i="1"/>
  <c r="CU97" i="1"/>
  <c r="BG95" i="1"/>
  <c r="S93" i="1"/>
  <c r="CI90" i="1"/>
  <c r="AU88" i="1"/>
  <c r="G86" i="1"/>
  <c r="BW83" i="1"/>
  <c r="AI81" i="1"/>
  <c r="CY78" i="1"/>
  <c r="F151" i="1"/>
  <c r="BJ141" i="1"/>
  <c r="J132" i="1"/>
  <c r="BN122" i="1"/>
  <c r="N113" i="1"/>
  <c r="BR103" i="1"/>
  <c r="R94" i="1"/>
  <c r="BV84" i="1"/>
  <c r="Y76" i="1"/>
  <c r="CI73" i="1"/>
  <c r="AU71" i="1"/>
  <c r="G69" i="1"/>
  <c r="BW66" i="1"/>
  <c r="AI64" i="1"/>
  <c r="CY61" i="1"/>
  <c r="BK59" i="1"/>
  <c r="W57" i="1"/>
  <c r="CM54" i="1"/>
  <c r="AY52" i="1"/>
  <c r="K50" i="1"/>
  <c r="CA47" i="1"/>
  <c r="AM45" i="1"/>
  <c r="DC42" i="1"/>
  <c r="BO40" i="1"/>
  <c r="AA38" i="1"/>
  <c r="CQ35" i="1"/>
  <c r="BC33" i="1"/>
  <c r="O31" i="1"/>
  <c r="CE28" i="1"/>
  <c r="BC26" i="1"/>
  <c r="O24" i="1"/>
  <c r="CE21" i="1"/>
  <c r="AQ19" i="1"/>
  <c r="DG16" i="1"/>
  <c r="BS14" i="1"/>
  <c r="CL149" i="1"/>
  <c r="AL140" i="1"/>
  <c r="CP130" i="1"/>
  <c r="AP121" i="1"/>
  <c r="CT111" i="1"/>
  <c r="AT102" i="1"/>
  <c r="CX92" i="1"/>
  <c r="AX83" i="1"/>
  <c r="CP75" i="1"/>
  <c r="BB73" i="1"/>
  <c r="N71" i="1"/>
  <c r="CD68" i="1"/>
  <c r="AP66" i="1"/>
  <c r="DF63" i="1"/>
  <c r="BR61" i="1"/>
  <c r="AD59" i="1"/>
  <c r="CT56" i="1"/>
  <c r="BF54" i="1"/>
  <c r="R52" i="1"/>
  <c r="CH49" i="1"/>
  <c r="AT47" i="1"/>
  <c r="F45" i="1"/>
  <c r="BV42" i="1"/>
  <c r="AH40" i="1"/>
  <c r="CX37" i="1"/>
  <c r="BJ35" i="1"/>
  <c r="V33" i="1"/>
  <c r="CL30" i="1"/>
  <c r="AX28" i="1"/>
  <c r="J26" i="1"/>
  <c r="BZ23" i="1"/>
  <c r="AL21" i="1"/>
  <c r="DB18" i="1"/>
  <c r="BN16" i="1"/>
  <c r="Z14" i="1"/>
  <c r="CP11" i="1"/>
  <c r="BB9" i="1"/>
  <c r="N7" i="1"/>
  <c r="CD4" i="1"/>
  <c r="AQ10" i="1"/>
  <c r="AA3" i="1"/>
  <c r="BF142" i="1"/>
  <c r="F133" i="1"/>
  <c r="BJ123" i="1"/>
  <c r="J114" i="1"/>
  <c r="BN104" i="1"/>
  <c r="N95" i="1"/>
  <c r="BR85" i="1"/>
  <c r="BG76" i="1"/>
  <c r="DI73" i="1"/>
  <c r="BU71" i="1"/>
  <c r="AG69" i="1"/>
  <c r="CW66" i="1"/>
  <c r="BI64" i="1"/>
  <c r="U62" i="1"/>
  <c r="CK59" i="1"/>
  <c r="AW57" i="1"/>
  <c r="I55" i="1"/>
  <c r="BY52" i="1"/>
  <c r="AK50" i="1"/>
  <c r="DA47" i="1"/>
  <c r="BM45" i="1"/>
  <c r="Y43" i="1"/>
  <c r="CO40" i="1"/>
  <c r="BA38" i="1"/>
  <c r="M36" i="1"/>
  <c r="CC33" i="1"/>
  <c r="AO31" i="1"/>
  <c r="DE28" i="1"/>
  <c r="BQ26" i="1"/>
  <c r="AC24" i="1"/>
  <c r="CS21" i="1"/>
  <c r="BE19" i="1"/>
  <c r="Q17" i="1"/>
  <c r="CG14" i="1"/>
  <c r="AS12" i="1"/>
  <c r="DI9" i="1"/>
  <c r="BU7" i="1"/>
  <c r="AG5" i="1"/>
  <c r="CU11" i="1"/>
  <c r="CY4" i="1"/>
  <c r="CP144" i="1"/>
  <c r="AP135" i="1"/>
  <c r="CT125" i="1"/>
  <c r="AT116" i="1"/>
  <c r="CX106" i="1"/>
  <c r="AX97" i="1"/>
  <c r="DB87" i="1"/>
  <c r="BB78" i="1"/>
  <c r="BP74" i="1"/>
  <c r="AB72" i="1"/>
  <c r="CR69" i="1"/>
  <c r="BD67" i="1"/>
  <c r="P65" i="1"/>
  <c r="CF62" i="1"/>
  <c r="AR60" i="1"/>
  <c r="DH57" i="1"/>
  <c r="BT55" i="1"/>
  <c r="AF53" i="1"/>
  <c r="CV50" i="1"/>
  <c r="BH48" i="1"/>
  <c r="T46" i="1"/>
  <c r="CJ43" i="1"/>
  <c r="AV41" i="1"/>
  <c r="H39" i="1"/>
  <c r="BX36" i="1"/>
  <c r="AJ34" i="1"/>
  <c r="CZ31" i="1"/>
  <c r="BL29" i="1"/>
  <c r="X27" i="1"/>
  <c r="CN24" i="1"/>
  <c r="AZ22" i="1"/>
  <c r="L20" i="1"/>
  <c r="DD16" i="1"/>
  <c r="P13" i="1"/>
  <c r="AF9" i="1"/>
  <c r="AB4" i="1"/>
  <c r="AU3" i="1"/>
  <c r="AV3" i="1"/>
  <c r="AI26" i="1"/>
  <c r="CY23" i="1"/>
  <c r="BK21" i="1"/>
  <c r="W19" i="1"/>
  <c r="CM16" i="1"/>
  <c r="AY14" i="1"/>
  <c r="J149" i="1"/>
  <c r="BN139" i="1"/>
  <c r="N130" i="1"/>
  <c r="BR120" i="1"/>
  <c r="R111" i="1"/>
  <c r="BV101" i="1"/>
  <c r="V92" i="1"/>
  <c r="BZ82" i="1"/>
  <c r="BV75" i="1"/>
  <c r="AH73" i="1"/>
  <c r="CX70" i="1"/>
  <c r="BJ68" i="1"/>
  <c r="V66" i="1"/>
  <c r="CL63" i="1"/>
  <c r="AX61" i="1"/>
  <c r="J59" i="1"/>
  <c r="BZ56" i="1"/>
  <c r="AL54" i="1"/>
  <c r="DB51" i="1"/>
  <c r="BN49" i="1"/>
  <c r="Z47" i="1"/>
  <c r="CP44" i="1"/>
  <c r="BB42" i="1"/>
  <c r="N40" i="1"/>
  <c r="CD37" i="1"/>
  <c r="AP35" i="1"/>
  <c r="DF32" i="1"/>
  <c r="BR30" i="1"/>
  <c r="AD28" i="1"/>
  <c r="CT25" i="1"/>
  <c r="BF23" i="1"/>
  <c r="R21" i="1"/>
  <c r="CH18" i="1"/>
  <c r="AT16" i="1"/>
  <c r="F14" i="1"/>
  <c r="BV11" i="1"/>
  <c r="AH9" i="1"/>
  <c r="CX6" i="1"/>
  <c r="BJ4" i="1"/>
  <c r="CM9" i="1"/>
  <c r="AD151" i="1"/>
  <c r="CH141" i="1"/>
  <c r="AH132" i="1"/>
  <c r="CL122" i="1"/>
  <c r="AL113" i="1"/>
  <c r="CP103" i="1"/>
  <c r="AP94" i="1"/>
  <c r="CT84" i="1"/>
  <c r="AG76" i="1"/>
  <c r="CO73" i="1"/>
  <c r="BA71" i="1"/>
  <c r="M69" i="1"/>
  <c r="CC66" i="1"/>
  <c r="AO64" i="1"/>
  <c r="DE61" i="1"/>
  <c r="BQ59" i="1"/>
  <c r="AC57" i="1"/>
  <c r="CS54" i="1"/>
  <c r="BE52" i="1"/>
  <c r="Q50" i="1"/>
  <c r="CG47" i="1"/>
  <c r="AS45" i="1"/>
  <c r="DI42" i="1"/>
  <c r="BU40" i="1"/>
  <c r="AG38" i="1"/>
  <c r="CW35" i="1"/>
  <c r="BI33" i="1"/>
  <c r="U31" i="1"/>
  <c r="CK28" i="1"/>
  <c r="AW26" i="1"/>
  <c r="I24" i="1"/>
  <c r="BY21" i="1"/>
  <c r="AK19" i="1"/>
  <c r="DA16" i="1"/>
  <c r="BM14" i="1"/>
  <c r="Y12" i="1"/>
  <c r="CO9" i="1"/>
  <c r="BA7" i="1"/>
  <c r="M5" i="1"/>
  <c r="AM11" i="1"/>
  <c r="AQ4" i="1"/>
  <c r="N144" i="1"/>
  <c r="BR134" i="1"/>
  <c r="R125" i="1"/>
  <c r="BV115" i="1"/>
  <c r="V106" i="1"/>
  <c r="BZ96" i="1"/>
  <c r="Z87" i="1"/>
  <c r="CD77" i="1"/>
  <c r="AV74" i="1"/>
  <c r="H72" i="1"/>
  <c r="BX69" i="1"/>
  <c r="AJ67" i="1"/>
  <c r="CZ64" i="1"/>
  <c r="BE236" i="1"/>
  <c r="T216" i="1"/>
  <c r="S206" i="1"/>
  <c r="BW196" i="1"/>
  <c r="W187" i="1"/>
  <c r="CA177" i="1"/>
  <c r="AA168" i="1"/>
  <c r="CE158" i="1"/>
  <c r="AK236" i="1"/>
  <c r="M216" i="1"/>
  <c r="N206" i="1"/>
  <c r="BR196" i="1"/>
  <c r="R187" i="1"/>
  <c r="BV177" i="1"/>
  <c r="V168" i="1"/>
  <c r="BR156" i="1"/>
  <c r="BQ146" i="1"/>
  <c r="Q137" i="1"/>
  <c r="BU127" i="1"/>
  <c r="U118" i="1"/>
  <c r="BY108" i="1"/>
  <c r="Y99" i="1"/>
  <c r="CC89" i="1"/>
  <c r="AC80" i="1"/>
  <c r="CV145" i="1"/>
  <c r="AV136" i="1"/>
  <c r="CZ126" i="1"/>
  <c r="AZ117" i="1"/>
  <c r="DD107" i="1"/>
  <c r="BD98" i="1"/>
  <c r="DH88" i="1"/>
  <c r="BH79" i="1"/>
  <c r="CQ145" i="1"/>
  <c r="AQ136" i="1"/>
  <c r="CU126" i="1"/>
  <c r="AU117" i="1"/>
  <c r="CY107" i="1"/>
  <c r="AY98" i="1"/>
  <c r="DC88" i="1"/>
  <c r="BC79" i="1"/>
  <c r="CL124" i="1"/>
  <c r="CT86" i="1"/>
  <c r="BO69" i="1"/>
  <c r="O60" i="1"/>
  <c r="BS50" i="1"/>
  <c r="S41" i="1"/>
  <c r="BW31" i="1"/>
  <c r="AP156" i="1"/>
  <c r="AW146" i="1"/>
  <c r="DA136" i="1"/>
  <c r="BA127" i="1"/>
  <c r="DE117" i="1"/>
  <c r="BE108" i="1"/>
  <c r="DI98" i="1"/>
  <c r="BI89" i="1"/>
  <c r="I80" i="1"/>
  <c r="CB145" i="1"/>
  <c r="AB136" i="1"/>
  <c r="CF126" i="1"/>
  <c r="AF117" i="1"/>
  <c r="CJ173" i="1"/>
  <c r="AJ164" i="1"/>
  <c r="CN154" i="1"/>
  <c r="AA224" i="1"/>
  <c r="BK211" i="1"/>
  <c r="K202" i="1"/>
  <c r="BO192" i="1"/>
  <c r="O183" i="1"/>
  <c r="BS173" i="1"/>
  <c r="S164" i="1"/>
  <c r="BW154" i="1"/>
  <c r="Q224" i="1"/>
  <c r="BF211" i="1"/>
  <c r="F202" i="1"/>
  <c r="BJ192" i="1"/>
  <c r="J183" i="1"/>
  <c r="BN173" i="1"/>
  <c r="N164" i="1"/>
  <c r="BR154" i="1"/>
  <c r="CW255" i="1"/>
  <c r="CE223" i="1"/>
  <c r="AK211" i="1"/>
  <c r="CO201" i="1"/>
  <c r="AO192" i="1"/>
  <c r="CS182" i="1"/>
  <c r="AS173" i="1"/>
  <c r="CW163" i="1"/>
  <c r="AW154" i="1"/>
  <c r="U224" i="1"/>
  <c r="BH211" i="1"/>
  <c r="H202" i="1"/>
  <c r="BL192" i="1"/>
  <c r="L183" i="1"/>
  <c r="BP173" i="1"/>
  <c r="P164" i="1"/>
  <c r="BT154" i="1"/>
  <c r="CQ223" i="1"/>
  <c r="AQ211" i="1"/>
  <c r="CU201" i="1"/>
  <c r="AU192" i="1"/>
  <c r="CY182" i="1"/>
  <c r="AY173" i="1"/>
  <c r="DC163" i="1"/>
  <c r="BC154" i="1"/>
  <c r="CG223" i="1"/>
  <c r="AL211" i="1"/>
  <c r="CP201" i="1"/>
  <c r="AP192" i="1"/>
  <c r="CT182" i="1"/>
  <c r="AT173" i="1"/>
  <c r="CX163" i="1"/>
  <c r="Y258" i="1"/>
  <c r="G226" i="1"/>
  <c r="BA212" i="1"/>
  <c r="DE202" i="1"/>
  <c r="BE193" i="1"/>
  <c r="DI183" i="1"/>
  <c r="BI174" i="1"/>
  <c r="I165" i="1"/>
  <c r="BM155" i="1"/>
  <c r="BA226" i="1"/>
  <c r="BX212" i="1"/>
  <c r="X203" i="1"/>
  <c r="CB193" i="1"/>
  <c r="AB184" i="1"/>
  <c r="CF174" i="1"/>
  <c r="AF165" i="1"/>
  <c r="CJ155" i="1"/>
  <c r="S226" i="1"/>
  <c r="BG212" i="1"/>
  <c r="G203" i="1"/>
  <c r="BK193" i="1"/>
  <c r="K184" i="1"/>
  <c r="BO174" i="1"/>
  <c r="O165" i="1"/>
  <c r="BS155" i="1"/>
  <c r="I226" i="1"/>
  <c r="BB212" i="1"/>
  <c r="DF202" i="1"/>
  <c r="BF193" i="1"/>
  <c r="F184" i="1"/>
  <c r="BJ174" i="1"/>
  <c r="J165" i="1"/>
  <c r="DF152" i="1"/>
  <c r="BE143" i="1"/>
  <c r="DI133" i="1"/>
  <c r="BI124" i="1"/>
  <c r="I115" i="1"/>
  <c r="AK110" i="1"/>
  <c r="BM105" i="1"/>
  <c r="CO100" i="1"/>
  <c r="M96" i="1"/>
  <c r="AO91" i="1"/>
  <c r="BQ86" i="1"/>
  <c r="CS81" i="1"/>
  <c r="Q77" i="1"/>
  <c r="BH147" i="1"/>
  <c r="CJ142" i="1"/>
  <c r="H138" i="1"/>
  <c r="AJ133" i="1"/>
  <c r="BL128" i="1"/>
  <c r="CN123" i="1"/>
  <c r="L119" i="1"/>
  <c r="AN114" i="1"/>
  <c r="BP109" i="1"/>
  <c r="CR104" i="1"/>
  <c r="P100" i="1"/>
  <c r="AR95" i="1"/>
  <c r="BT90" i="1"/>
  <c r="CV85" i="1"/>
  <c r="T81" i="1"/>
  <c r="AV76" i="1"/>
  <c r="BC147" i="1"/>
  <c r="CE142" i="1"/>
  <c r="DG137" i="1"/>
  <c r="AE133" i="1"/>
  <c r="BG128" i="1"/>
  <c r="CI123" i="1"/>
  <c r="G119" i="1"/>
  <c r="AI114" i="1"/>
  <c r="BK109" i="1"/>
  <c r="CM104" i="1"/>
  <c r="K100" i="1"/>
  <c r="AM95" i="1"/>
  <c r="BO90" i="1"/>
  <c r="CQ85" i="1"/>
  <c r="O81" i="1"/>
  <c r="AH150" i="1"/>
  <c r="AL131" i="1"/>
  <c r="AP112" i="1"/>
  <c r="AT93" i="1"/>
  <c r="DC75" i="1"/>
  <c r="AA71" i="1"/>
  <c r="BC66" i="1"/>
  <c r="CE61" i="1"/>
  <c r="DG56" i="1"/>
  <c r="AE52" i="1"/>
  <c r="BG47" i="1"/>
  <c r="CI42" i="1"/>
  <c r="G38" i="1"/>
  <c r="AI33" i="1"/>
  <c r="BK28" i="1"/>
  <c r="BJ158" i="1"/>
  <c r="CL152" i="1"/>
  <c r="I148" i="1"/>
  <c r="AK143" i="1"/>
  <c r="BM138" i="1"/>
  <c r="CO133" i="1"/>
  <c r="M129" i="1"/>
  <c r="AO124" i="1"/>
  <c r="BQ119" i="1"/>
  <c r="CS114" i="1"/>
  <c r="Q110" i="1"/>
  <c r="AS105" i="1"/>
  <c r="BU100" i="1"/>
  <c r="CW95" i="1"/>
  <c r="U91" i="1"/>
  <c r="AW86" i="1"/>
  <c r="BY81" i="1"/>
  <c r="DA76" i="1"/>
  <c r="AN147" i="1"/>
  <c r="BP142" i="1"/>
  <c r="CR137" i="1"/>
  <c r="P133" i="1"/>
  <c r="AR128" i="1"/>
  <c r="BT123" i="1"/>
  <c r="CV118" i="1"/>
  <c r="T114" i="1"/>
  <c r="AV109" i="1"/>
  <c r="CR171" i="1"/>
  <c r="P167" i="1"/>
  <c r="AR162" i="1"/>
  <c r="BT157" i="1"/>
  <c r="CV152" i="1"/>
  <c r="BA231" i="1"/>
  <c r="CK220" i="1"/>
  <c r="BC214" i="1"/>
  <c r="BS209" i="1"/>
  <c r="CU204" i="1"/>
  <c r="AM201" i="1"/>
  <c r="DC198" i="1"/>
  <c r="BO196" i="1"/>
  <c r="AA194" i="1"/>
  <c r="CQ191" i="1"/>
  <c r="BC189" i="1"/>
  <c r="O187" i="1"/>
  <c r="CE184" i="1"/>
  <c r="AQ182" i="1"/>
  <c r="DG179" i="1"/>
  <c r="BS177" i="1"/>
  <c r="AE175" i="1"/>
  <c r="CU172" i="1"/>
  <c r="BG170" i="1"/>
  <c r="S168" i="1"/>
  <c r="CI165" i="1"/>
  <c r="AU163" i="1"/>
  <c r="G161" i="1"/>
  <c r="BW158" i="1"/>
  <c r="AI156" i="1"/>
  <c r="CY153" i="1"/>
  <c r="BE245" i="1"/>
  <c r="DI235" i="1"/>
  <c r="AS227" i="1"/>
  <c r="BU222" i="1"/>
  <c r="T219" i="1"/>
  <c r="DG215" i="1"/>
  <c r="R213" i="1"/>
  <c r="CH210" i="1"/>
  <c r="AT208" i="1"/>
  <c r="F206" i="1"/>
  <c r="BV203" i="1"/>
  <c r="AH201" i="1"/>
  <c r="CX198" i="1"/>
  <c r="BJ196" i="1"/>
  <c r="V194" i="1"/>
  <c r="CL191" i="1"/>
  <c r="AX189" i="1"/>
  <c r="J187" i="1"/>
  <c r="BZ184" i="1"/>
  <c r="AL182" i="1"/>
  <c r="DB179" i="1"/>
  <c r="BN177" i="1"/>
  <c r="Z175" i="1"/>
  <c r="CP172" i="1"/>
  <c r="BB170" i="1"/>
  <c r="N168" i="1"/>
  <c r="CD165" i="1"/>
  <c r="AP163" i="1"/>
  <c r="DF160" i="1"/>
  <c r="BR158" i="1"/>
  <c r="AD156" i="1"/>
  <c r="I278" i="1"/>
  <c r="BU268" i="1"/>
  <c r="CW263" i="1"/>
  <c r="U259" i="1"/>
  <c r="AW254" i="1"/>
  <c r="BY249" i="1"/>
  <c r="CO239" i="1"/>
  <c r="DG226" i="1"/>
  <c r="AE222" i="1"/>
  <c r="CV218" i="1"/>
  <c r="CE215" i="1"/>
  <c r="DA212" i="1"/>
  <c r="BM210" i="1"/>
  <c r="Y208" i="1"/>
  <c r="CO205" i="1"/>
  <c r="BA203" i="1"/>
  <c r="M201" i="1"/>
  <c r="CC198" i="1"/>
  <c r="AO196" i="1"/>
  <c r="DE193" i="1"/>
  <c r="BQ191" i="1"/>
  <c r="AC189" i="1"/>
  <c r="CS186" i="1"/>
  <c r="BE184" i="1"/>
  <c r="Q182" i="1"/>
  <c r="CG179" i="1"/>
  <c r="AS177" i="1"/>
  <c r="DI174" i="1"/>
  <c r="BU172" i="1"/>
  <c r="AG170" i="1"/>
  <c r="CW167" i="1"/>
  <c r="BI165" i="1"/>
  <c r="U163" i="1"/>
  <c r="CK160" i="1"/>
  <c r="AW158" i="1"/>
  <c r="I156" i="1"/>
  <c r="BY153" i="1"/>
  <c r="BM245" i="1"/>
  <c r="M236" i="1"/>
  <c r="AW227" i="1"/>
  <c r="BY222" i="1"/>
  <c r="W219" i="1"/>
  <c r="DI215" i="1"/>
  <c r="T213" i="1"/>
  <c r="CJ210" i="1"/>
  <c r="AV208" i="1"/>
  <c r="H206" i="1"/>
  <c r="BX203" i="1"/>
  <c r="AJ201" i="1"/>
  <c r="CZ198" i="1"/>
  <c r="BL196" i="1"/>
  <c r="X194" i="1"/>
  <c r="CN191" i="1"/>
  <c r="AZ189" i="1"/>
  <c r="L187" i="1"/>
  <c r="CB184" i="1"/>
  <c r="AN182" i="1"/>
  <c r="DD179" i="1"/>
  <c r="BP177" i="1"/>
  <c r="AB175" i="1"/>
  <c r="CR172" i="1"/>
  <c r="BD170" i="1"/>
  <c r="P168" i="1"/>
  <c r="CF165" i="1"/>
  <c r="AR163" i="1"/>
  <c r="DH160" i="1"/>
  <c r="BT158" i="1"/>
  <c r="AF156" i="1"/>
  <c r="CV153" i="1"/>
  <c r="DA244" i="1"/>
  <c r="BA235" i="1"/>
  <c r="O227" i="1"/>
  <c r="AQ222" i="1"/>
  <c r="DD218" i="1"/>
  <c r="CM215" i="1"/>
  <c r="DG212" i="1"/>
  <c r="BS210" i="1"/>
  <c r="AE208" i="1"/>
  <c r="CU205" i="1"/>
  <c r="BG203" i="1"/>
  <c r="S201" i="1"/>
  <c r="CI198" i="1"/>
  <c r="AU196" i="1"/>
  <c r="G194" i="1"/>
  <c r="BW191" i="1"/>
  <c r="AI189" i="1"/>
  <c r="CY186" i="1"/>
  <c r="BK184" i="1"/>
  <c r="W182" i="1"/>
  <c r="CM179" i="1"/>
  <c r="AY177" i="1"/>
  <c r="K175" i="1"/>
  <c r="CA172" i="1"/>
  <c r="AM170" i="1"/>
  <c r="DC167" i="1"/>
  <c r="BO165" i="1"/>
  <c r="AA163" i="1"/>
  <c r="CQ160" i="1"/>
  <c r="BC158" i="1"/>
  <c r="O156" i="1"/>
  <c r="CE153" i="1"/>
  <c r="CG244" i="1"/>
  <c r="AG235" i="1"/>
  <c r="DI226" i="1"/>
  <c r="AG222" i="1"/>
  <c r="CW218" i="1"/>
  <c r="CF215" i="1"/>
  <c r="DB212" i="1"/>
  <c r="BN210" i="1"/>
  <c r="Z208" i="1"/>
  <c r="CP205" i="1"/>
  <c r="BB203" i="1"/>
  <c r="N201" i="1"/>
  <c r="CD198" i="1"/>
  <c r="AP196" i="1"/>
  <c r="DF193" i="1"/>
  <c r="BR191" i="1"/>
  <c r="AD189" i="1"/>
  <c r="CT186" i="1"/>
  <c r="BF184" i="1"/>
  <c r="R182" i="1"/>
  <c r="CH179" i="1"/>
  <c r="AT177" i="1"/>
  <c r="F175" i="1"/>
  <c r="BV172" i="1"/>
  <c r="AH170" i="1"/>
  <c r="CX167" i="1"/>
  <c r="BJ165" i="1"/>
  <c r="V163" i="1"/>
  <c r="U273" i="1"/>
  <c r="Y266" i="1"/>
  <c r="BA261" i="1"/>
  <c r="CC256" i="1"/>
  <c r="DE251" i="1"/>
  <c r="AC247" i="1"/>
  <c r="BE230" i="1"/>
  <c r="BK224" i="1"/>
  <c r="AW220" i="1"/>
  <c r="AF217" i="1"/>
  <c r="O214" i="1"/>
  <c r="CC211" i="1"/>
  <c r="AO209" i="1"/>
  <c r="DE206" i="1"/>
  <c r="BQ204" i="1"/>
  <c r="AC202" i="1"/>
  <c r="CS199" i="1"/>
  <c r="BE197" i="1"/>
  <c r="Q195" i="1"/>
  <c r="CG192" i="1"/>
  <c r="AS190" i="1"/>
  <c r="DI187" i="1"/>
  <c r="BU185" i="1"/>
  <c r="AG183" i="1"/>
  <c r="CW180" i="1"/>
  <c r="BI178" i="1"/>
  <c r="U176" i="1"/>
  <c r="CK173" i="1"/>
  <c r="AW171" i="1"/>
  <c r="I169" i="1"/>
  <c r="BY166" i="1"/>
  <c r="AK164" i="1"/>
  <c r="DA161" i="1"/>
  <c r="BM159" i="1"/>
  <c r="Y157" i="1"/>
  <c r="CO154" i="1"/>
  <c r="BA152" i="1"/>
  <c r="BY240" i="1"/>
  <c r="Y231" i="1"/>
  <c r="DE224" i="1"/>
  <c r="CB220" i="1"/>
  <c r="BK217" i="1"/>
  <c r="AS214" i="1"/>
  <c r="CZ211" i="1"/>
  <c r="BL209" i="1"/>
  <c r="X207" i="1"/>
  <c r="CN204" i="1"/>
  <c r="AZ202" i="1"/>
  <c r="L200" i="1"/>
  <c r="CB197" i="1"/>
  <c r="AN195" i="1"/>
  <c r="DD192" i="1"/>
  <c r="BP190" i="1"/>
  <c r="AB188" i="1"/>
  <c r="CR185" i="1"/>
  <c r="BD183" i="1"/>
  <c r="P181" i="1"/>
  <c r="CF178" i="1"/>
  <c r="AR176" i="1"/>
  <c r="DH173" i="1"/>
  <c r="BT171" i="1"/>
  <c r="AF169" i="1"/>
  <c r="CV166" i="1"/>
  <c r="BH164" i="1"/>
  <c r="T162" i="1"/>
  <c r="CJ159" i="1"/>
  <c r="AV157" i="1"/>
  <c r="H155" i="1"/>
  <c r="BX152" i="1"/>
  <c r="I240" i="1"/>
  <c r="BM230" i="1"/>
  <c r="BW224" i="1"/>
  <c r="BE220" i="1"/>
  <c r="AN217" i="1"/>
  <c r="W214" i="1"/>
  <c r="CI211" i="1"/>
  <c r="AU209" i="1"/>
  <c r="G207" i="1"/>
  <c r="BW204" i="1"/>
  <c r="AI202" i="1"/>
  <c r="CY199" i="1"/>
  <c r="BK197" i="1"/>
  <c r="W195" i="1"/>
  <c r="CM192" i="1"/>
  <c r="AY190" i="1"/>
  <c r="K188" i="1"/>
  <c r="CA185" i="1"/>
  <c r="AM183" i="1"/>
  <c r="DC180" i="1"/>
  <c r="BO178" i="1"/>
  <c r="AA176" i="1"/>
  <c r="CQ173" i="1"/>
  <c r="BC171" i="1"/>
  <c r="O169" i="1"/>
  <c r="CE166" i="1"/>
  <c r="AQ164" i="1"/>
  <c r="DG161" i="1"/>
  <c r="BS159" i="1"/>
  <c r="AE157" i="1"/>
  <c r="CU154" i="1"/>
  <c r="BG152" i="1"/>
  <c r="CS239" i="1"/>
  <c r="AS230" i="1"/>
  <c r="BM224" i="1"/>
  <c r="AY220" i="1"/>
  <c r="AG217" i="1"/>
  <c r="P214" i="1"/>
  <c r="CD211" i="1"/>
  <c r="AP209" i="1"/>
  <c r="DF206" i="1"/>
  <c r="BR204" i="1"/>
  <c r="AD202" i="1"/>
  <c r="CT199" i="1"/>
  <c r="BF197" i="1"/>
  <c r="R195" i="1"/>
  <c r="CH192" i="1"/>
  <c r="AT190" i="1"/>
  <c r="F188" i="1"/>
  <c r="BV185" i="1"/>
  <c r="AH183" i="1"/>
  <c r="CX180" i="1"/>
  <c r="BJ178" i="1"/>
  <c r="V176" i="1"/>
  <c r="CL173" i="1"/>
  <c r="AX171" i="1"/>
  <c r="J169" i="1"/>
  <c r="BZ166" i="1"/>
  <c r="AL164" i="1"/>
  <c r="DB160" i="1"/>
  <c r="CL157" i="1"/>
  <c r="BV154" i="1"/>
  <c r="AD152" i="1"/>
  <c r="CS149" i="1"/>
  <c r="BE147" i="1"/>
  <c r="Q145" i="1"/>
  <c r="CG142" i="1"/>
  <c r="AS140" i="1"/>
  <c r="DI137" i="1"/>
  <c r="BU135" i="1"/>
  <c r="AG133" i="1"/>
  <c r="CW130" i="1"/>
  <c r="BI128" i="1"/>
  <c r="U126" i="1"/>
  <c r="CK123" i="1"/>
  <c r="AW121" i="1"/>
  <c r="I119" i="1"/>
  <c r="BY116" i="1"/>
  <c r="AK114" i="1"/>
  <c r="DA111" i="1"/>
  <c r="BM109" i="1"/>
  <c r="Y107" i="1"/>
  <c r="CO104" i="1"/>
  <c r="BA102" i="1"/>
  <c r="M100" i="1"/>
  <c r="CC97" i="1"/>
  <c r="AO95" i="1"/>
  <c r="DE92" i="1"/>
  <c r="BQ90" i="1"/>
  <c r="AC88" i="1"/>
  <c r="CS85" i="1"/>
  <c r="BE83" i="1"/>
  <c r="Q81" i="1"/>
  <c r="CG78" i="1"/>
  <c r="BH151" i="1"/>
  <c r="T149" i="1"/>
  <c r="CJ146" i="1"/>
  <c r="AV144" i="1"/>
  <c r="H142" i="1"/>
  <c r="BX139" i="1"/>
  <c r="AJ137" i="1"/>
  <c r="CZ134" i="1"/>
  <c r="BL132" i="1"/>
  <c r="X130" i="1"/>
  <c r="CN127" i="1"/>
  <c r="AZ125" i="1"/>
  <c r="L123" i="1"/>
  <c r="CB120" i="1"/>
  <c r="AN118" i="1"/>
  <c r="DD115" i="1"/>
  <c r="BP113" i="1"/>
  <c r="AB111" i="1"/>
  <c r="CR108" i="1"/>
  <c r="BD106" i="1"/>
  <c r="P104" i="1"/>
  <c r="CF101" i="1"/>
  <c r="AR99" i="1"/>
  <c r="DH96" i="1"/>
  <c r="BT94" i="1"/>
  <c r="AF92" i="1"/>
  <c r="CV89" i="1"/>
  <c r="BH87" i="1"/>
  <c r="T85" i="1"/>
  <c r="CJ82" i="1"/>
  <c r="AV80" i="1"/>
  <c r="H78" i="1"/>
  <c r="BC151" i="1"/>
  <c r="O149" i="1"/>
  <c r="CE146" i="1"/>
  <c r="AQ144" i="1"/>
  <c r="DG141" i="1"/>
  <c r="BS139" i="1"/>
  <c r="AE137" i="1"/>
  <c r="CU134" i="1"/>
  <c r="BG132" i="1"/>
  <c r="S130" i="1"/>
  <c r="CI127" i="1"/>
  <c r="AU125" i="1"/>
  <c r="G123" i="1"/>
  <c r="BW120" i="1"/>
  <c r="AI118" i="1"/>
  <c r="CY115" i="1"/>
  <c r="BK113" i="1"/>
  <c r="W111" i="1"/>
  <c r="CM108" i="1"/>
  <c r="AY106" i="1"/>
  <c r="K104" i="1"/>
  <c r="CA101" i="1"/>
  <c r="AM99" i="1"/>
  <c r="DC96" i="1"/>
  <c r="BO94" i="1"/>
  <c r="AA92" i="1"/>
  <c r="CQ89" i="1"/>
  <c r="BC87" i="1"/>
  <c r="O85" i="1"/>
  <c r="CE82" i="1"/>
  <c r="AQ80" i="1"/>
  <c r="DG77" i="1"/>
  <c r="AL147" i="1"/>
  <c r="CP137" i="1"/>
  <c r="AP128" i="1"/>
  <c r="CT118" i="1"/>
  <c r="AT109" i="1"/>
  <c r="CX99" i="1"/>
  <c r="AX90" i="1"/>
  <c r="DB80" i="1"/>
  <c r="AA75" i="1"/>
  <c r="CQ72" i="1"/>
  <c r="BC70" i="1"/>
  <c r="O68" i="1"/>
  <c r="CE65" i="1"/>
  <c r="AQ63" i="1"/>
  <c r="DG60" i="1"/>
  <c r="BS58" i="1"/>
  <c r="AE56" i="1"/>
  <c r="CU53" i="1"/>
  <c r="BG51" i="1"/>
  <c r="S49" i="1"/>
  <c r="CI46" i="1"/>
  <c r="AU44" i="1"/>
  <c r="G42" i="1"/>
  <c r="BW39" i="1"/>
  <c r="AI37" i="1"/>
  <c r="CY34" i="1"/>
  <c r="BK32" i="1"/>
  <c r="W30" i="1"/>
  <c r="CM27" i="1"/>
  <c r="CD160" i="1"/>
  <c r="BJ157" i="1"/>
  <c r="AX154" i="1"/>
  <c r="J152" i="1"/>
  <c r="BY149" i="1"/>
  <c r="AK147" i="1"/>
  <c r="DA144" i="1"/>
  <c r="BM142" i="1"/>
  <c r="Y140" i="1"/>
  <c r="CO137" i="1"/>
  <c r="BA135" i="1"/>
  <c r="M133" i="1"/>
  <c r="CC130" i="1"/>
  <c r="AO128" i="1"/>
  <c r="DE125" i="1"/>
  <c r="BQ123" i="1"/>
  <c r="AC121" i="1"/>
  <c r="CS118" i="1"/>
  <c r="BE116" i="1"/>
  <c r="Q114" i="1"/>
  <c r="CG111" i="1"/>
  <c r="AS109" i="1"/>
  <c r="DI106" i="1"/>
  <c r="BU104" i="1"/>
  <c r="AG102" i="1"/>
  <c r="CW99" i="1"/>
  <c r="BI97" i="1"/>
  <c r="U95" i="1"/>
  <c r="CK92" i="1"/>
  <c r="AW90" i="1"/>
  <c r="I88" i="1"/>
  <c r="BY85" i="1"/>
  <c r="AK83" i="1"/>
  <c r="DA80" i="1"/>
  <c r="BM78" i="1"/>
  <c r="AN151" i="1"/>
  <c r="DD148" i="1"/>
  <c r="BP146" i="1"/>
  <c r="AB144" i="1"/>
  <c r="CR141" i="1"/>
  <c r="BD139" i="1"/>
  <c r="P137" i="1"/>
  <c r="CF134" i="1"/>
  <c r="AR132" i="1"/>
  <c r="DH129" i="1"/>
  <c r="BT127" i="1"/>
  <c r="AF125" i="1"/>
  <c r="CV122" i="1"/>
  <c r="BH120" i="1"/>
  <c r="T118" i="1"/>
  <c r="CJ115" i="1"/>
  <c r="AV113" i="1"/>
  <c r="H111" i="1"/>
  <c r="DD174" i="1"/>
  <c r="AJ172" i="1"/>
  <c r="CZ169" i="1"/>
  <c r="BL167" i="1"/>
  <c r="X165" i="1"/>
  <c r="CN162" i="1"/>
  <c r="AZ160" i="1"/>
  <c r="L158" i="1"/>
  <c r="CB155" i="1"/>
  <c r="AN153" i="1"/>
  <c r="CC242" i="1"/>
  <c r="AC233" i="1"/>
  <c r="DG225" i="1"/>
  <c r="AS221" i="1"/>
  <c r="AB218" i="1"/>
  <c r="K215" i="1"/>
  <c r="AY212" i="1"/>
  <c r="K210" i="1"/>
  <c r="CA207" i="1"/>
  <c r="AM205" i="1"/>
  <c r="DC202" i="1"/>
  <c r="BO200" i="1"/>
  <c r="AA198" i="1"/>
  <c r="CQ195" i="1"/>
  <c r="BC193" i="1"/>
  <c r="O191" i="1"/>
  <c r="CE188" i="1"/>
  <c r="AQ186" i="1"/>
  <c r="DG183" i="1"/>
  <c r="BS181" i="1"/>
  <c r="AE179" i="1"/>
  <c r="CU176" i="1"/>
  <c r="BG174" i="1"/>
  <c r="S172" i="1"/>
  <c r="CI169" i="1"/>
  <c r="AU167" i="1"/>
  <c r="G165" i="1"/>
  <c r="BW162" i="1"/>
  <c r="AI160" i="1"/>
  <c r="CY157" i="1"/>
  <c r="BK155" i="1"/>
  <c r="W153" i="1"/>
  <c r="BI242" i="1"/>
  <c r="I233" i="1"/>
  <c r="CW225" i="1"/>
  <c r="AM221" i="1"/>
  <c r="U218" i="1"/>
  <c r="DH214" i="1"/>
  <c r="AT212" i="1"/>
  <c r="F210" i="1"/>
  <c r="BV207" i="1"/>
  <c r="AH205" i="1"/>
  <c r="CX202" i="1"/>
  <c r="BJ200" i="1"/>
  <c r="V198" i="1"/>
  <c r="CL195" i="1"/>
  <c r="AX193" i="1"/>
  <c r="J191" i="1"/>
  <c r="BZ188" i="1"/>
  <c r="AL186" i="1"/>
  <c r="DB183" i="1"/>
  <c r="BN181" i="1"/>
  <c r="Z179" i="1"/>
  <c r="CP176" i="1"/>
  <c r="BB174" i="1"/>
  <c r="N172" i="1"/>
  <c r="CD169" i="1"/>
  <c r="AP167" i="1"/>
  <c r="DF164" i="1"/>
  <c r="BR162" i="1"/>
  <c r="AD160" i="1"/>
  <c r="CT157" i="1"/>
  <c r="BF155" i="1"/>
  <c r="M275" i="1"/>
  <c r="U267" i="1"/>
  <c r="AW262" i="1"/>
  <c r="BY257" i="1"/>
  <c r="DA252" i="1"/>
  <c r="Y248" i="1"/>
  <c r="CW233" i="1"/>
  <c r="BG225" i="1"/>
  <c r="K221" i="1"/>
  <c r="CW217" i="1"/>
  <c r="CF214" i="1"/>
  <c r="Y212" i="1"/>
  <c r="CO209" i="1"/>
  <c r="BA207" i="1"/>
  <c r="M205" i="1"/>
  <c r="CC202" i="1"/>
  <c r="AO200" i="1"/>
  <c r="DE197" i="1"/>
  <c r="BQ195" i="1"/>
  <c r="AC193" i="1"/>
  <c r="CS190" i="1"/>
  <c r="BE188" i="1"/>
  <c r="Q186" i="1"/>
  <c r="CG183" i="1"/>
  <c r="AS181" i="1"/>
  <c r="DI178" i="1"/>
  <c r="BU176" i="1"/>
  <c r="AG174" i="1"/>
  <c r="CW171" i="1"/>
  <c r="BI169" i="1"/>
  <c r="U167" i="1"/>
  <c r="CK164" i="1"/>
  <c r="AW162" i="1"/>
  <c r="I160" i="1"/>
  <c r="BY157" i="1"/>
  <c r="AK155" i="1"/>
  <c r="DA152" i="1"/>
  <c r="BQ242" i="1"/>
  <c r="Q233" i="1"/>
  <c r="DA225" i="1"/>
  <c r="AO221" i="1"/>
  <c r="X218" i="1"/>
  <c r="G215" i="1"/>
  <c r="AV212" i="1"/>
  <c r="H210" i="1"/>
  <c r="BX207" i="1"/>
  <c r="AJ205" i="1"/>
  <c r="CZ202" i="1"/>
  <c r="BL200" i="1"/>
  <c r="X198" i="1"/>
  <c r="CN195" i="1"/>
  <c r="AZ193" i="1"/>
  <c r="L191" i="1"/>
  <c r="CB188" i="1"/>
  <c r="AN186" i="1"/>
  <c r="DD183" i="1"/>
  <c r="BP181" i="1"/>
  <c r="AB179" i="1"/>
  <c r="CR176" i="1"/>
  <c r="BD174" i="1"/>
  <c r="P172" i="1"/>
  <c r="CF169" i="1"/>
  <c r="AR167" i="1"/>
  <c r="DH164" i="1"/>
  <c r="BT162" i="1"/>
  <c r="AF160" i="1"/>
  <c r="CV157" i="1"/>
  <c r="BH155" i="1"/>
  <c r="T153" i="1"/>
  <c r="DE241" i="1"/>
  <c r="BE232" i="1"/>
  <c r="BS225" i="1"/>
  <c r="S221" i="1"/>
  <c r="DE217" i="1"/>
  <c r="CN214" i="1"/>
  <c r="AE212" i="1"/>
  <c r="CU209" i="1"/>
  <c r="BG207" i="1"/>
  <c r="S205" i="1"/>
  <c r="CI202" i="1"/>
  <c r="AU200" i="1"/>
  <c r="G198" i="1"/>
  <c r="BW195" i="1"/>
  <c r="AI193" i="1"/>
  <c r="CY190" i="1"/>
  <c r="BK188" i="1"/>
  <c r="W186" i="1"/>
  <c r="CM183" i="1"/>
  <c r="AY181" i="1"/>
  <c r="K179" i="1"/>
  <c r="CA176" i="1"/>
  <c r="AM174" i="1"/>
  <c r="DC171" i="1"/>
  <c r="BO169" i="1"/>
  <c r="AA167" i="1"/>
  <c r="CQ164" i="1"/>
  <c r="BC162" i="1"/>
  <c r="O160" i="1"/>
  <c r="CE157" i="1"/>
  <c r="AQ155" i="1"/>
  <c r="DG152" i="1"/>
  <c r="CK241" i="1"/>
  <c r="AK232" i="1"/>
  <c r="BI225" i="1"/>
  <c r="L221" i="1"/>
  <c r="CY217" i="1"/>
  <c r="CG214" i="1"/>
  <c r="Z212" i="1"/>
  <c r="CP209" i="1"/>
  <c r="BB207" i="1"/>
  <c r="N205" i="1"/>
  <c r="CD202" i="1"/>
  <c r="AP200" i="1"/>
  <c r="DF197" i="1"/>
  <c r="BR195" i="1"/>
  <c r="AD193" i="1"/>
  <c r="CT190" i="1"/>
  <c r="BF188" i="1"/>
  <c r="R186" i="1"/>
  <c r="CH183" i="1"/>
  <c r="AT181" i="1"/>
  <c r="F179" i="1"/>
  <c r="BV176" i="1"/>
  <c r="AH174" i="1"/>
  <c r="CX171" i="1"/>
  <c r="BJ169" i="1"/>
  <c r="V167" i="1"/>
  <c r="CL164" i="1"/>
  <c r="BY279" i="1"/>
  <c r="Y270" i="1"/>
  <c r="CC264" i="1"/>
  <c r="DE259" i="1"/>
  <c r="AC255" i="1"/>
  <c r="BE250" i="1"/>
  <c r="M243" i="1"/>
  <c r="CM227" i="1"/>
  <c r="K223" i="1"/>
  <c r="AY219" i="1"/>
  <c r="AG216" i="1"/>
  <c r="AO213" i="1"/>
  <c r="DE210" i="1"/>
  <c r="BQ208" i="1"/>
  <c r="AC206" i="1"/>
  <c r="CS203" i="1"/>
  <c r="BE201" i="1"/>
  <c r="Q199" i="1"/>
  <c r="CG196" i="1"/>
  <c r="AS194" i="1"/>
  <c r="DI191" i="1"/>
  <c r="BU189" i="1"/>
  <c r="AG187" i="1"/>
  <c r="CW184" i="1"/>
  <c r="BI182" i="1"/>
  <c r="U180" i="1"/>
  <c r="CK177" i="1"/>
  <c r="AW175" i="1"/>
  <c r="I173" i="1"/>
  <c r="BY170" i="1"/>
  <c r="AK168" i="1"/>
  <c r="DA165" i="1"/>
  <c r="BM163" i="1"/>
  <c r="Y161" i="1"/>
  <c r="CO158" i="1"/>
  <c r="BA156" i="1"/>
  <c r="M154" i="1"/>
  <c r="CC151" i="1"/>
  <c r="CC237" i="1"/>
  <c r="AC228" i="1"/>
  <c r="BE223" i="1"/>
  <c r="CC219" i="1"/>
  <c r="BL216" i="1"/>
  <c r="BL213" i="1"/>
  <c r="X211" i="1"/>
  <c r="CN208" i="1"/>
  <c r="AZ206" i="1"/>
  <c r="L204" i="1"/>
  <c r="CB201" i="1"/>
  <c r="AN199" i="1"/>
  <c r="DD196" i="1"/>
  <c r="BP194" i="1"/>
  <c r="AB192" i="1"/>
  <c r="CR189" i="1"/>
  <c r="BD187" i="1"/>
  <c r="P185" i="1"/>
  <c r="CF182" i="1"/>
  <c r="AR180" i="1"/>
  <c r="DH177" i="1"/>
  <c r="BT175" i="1"/>
  <c r="AF173" i="1"/>
  <c r="CV170" i="1"/>
  <c r="BH168" i="1"/>
  <c r="T166" i="1"/>
  <c r="CJ163" i="1"/>
  <c r="AV161" i="1"/>
  <c r="H159" i="1"/>
  <c r="BX156" i="1"/>
  <c r="AJ154" i="1"/>
  <c r="BM246" i="1"/>
  <c r="M237" i="1"/>
  <c r="CY227" i="1"/>
  <c r="W223" i="1"/>
  <c r="BG219" i="1"/>
  <c r="AO216" i="1"/>
  <c r="AU213" i="1"/>
  <c r="G211" i="1"/>
  <c r="BW208" i="1"/>
  <c r="AI206" i="1"/>
  <c r="CY203" i="1"/>
  <c r="BK201" i="1"/>
  <c r="W199" i="1"/>
  <c r="CM196" i="1"/>
  <c r="AY194" i="1"/>
  <c r="K192" i="1"/>
  <c r="CA189" i="1"/>
  <c r="AM187" i="1"/>
  <c r="DC184" i="1"/>
  <c r="BO182" i="1"/>
  <c r="AA180" i="1"/>
  <c r="CQ177" i="1"/>
  <c r="BC175" i="1"/>
  <c r="O173" i="1"/>
  <c r="CE170" i="1"/>
  <c r="AQ168" i="1"/>
  <c r="DG165" i="1"/>
  <c r="BS163" i="1"/>
  <c r="AE161" i="1"/>
  <c r="CU158" i="1"/>
  <c r="BG156" i="1"/>
  <c r="S154" i="1"/>
  <c r="AS246" i="1"/>
  <c r="CW236" i="1"/>
  <c r="CO227" i="1"/>
  <c r="M223" i="1"/>
  <c r="AZ219" i="1"/>
  <c r="AI216" i="1"/>
  <c r="AP213" i="1"/>
  <c r="DF210" i="1"/>
  <c r="BR208" i="1"/>
  <c r="AD206" i="1"/>
  <c r="CT203" i="1"/>
  <c r="BF201" i="1"/>
  <c r="R199" i="1"/>
  <c r="CH196" i="1"/>
  <c r="AT194" i="1"/>
  <c r="F192" i="1"/>
  <c r="BV189" i="1"/>
  <c r="AH187" i="1"/>
  <c r="CX184" i="1"/>
  <c r="BJ182" i="1"/>
  <c r="V180" i="1"/>
  <c r="CL177" i="1"/>
  <c r="AX175" i="1"/>
  <c r="J173" i="1"/>
  <c r="BZ170" i="1"/>
  <c r="AL168" i="1"/>
  <c r="DB165" i="1"/>
  <c r="AT163" i="1"/>
  <c r="DF159" i="1"/>
  <c r="CL156" i="1"/>
  <c r="CT153" i="1"/>
  <c r="BE151" i="1"/>
  <c r="Q149" i="1"/>
  <c r="CG146" i="1"/>
  <c r="AS144" i="1"/>
  <c r="DI141" i="1"/>
  <c r="BU139" i="1"/>
  <c r="AG137" i="1"/>
  <c r="CW134" i="1"/>
  <c r="BI132" i="1"/>
  <c r="U130" i="1"/>
  <c r="CK127" i="1"/>
  <c r="AW125" i="1"/>
  <c r="I123" i="1"/>
  <c r="BY120" i="1"/>
  <c r="AK118" i="1"/>
  <c r="DA115" i="1"/>
  <c r="BM113" i="1"/>
  <c r="Y111" i="1"/>
  <c r="CO108" i="1"/>
  <c r="BA106" i="1"/>
  <c r="M104" i="1"/>
  <c r="CC101" i="1"/>
  <c r="AO99" i="1"/>
  <c r="DE96" i="1"/>
  <c r="BQ94" i="1"/>
  <c r="AC92" i="1"/>
  <c r="CS89" i="1"/>
  <c r="BE87" i="1"/>
  <c r="Q85" i="1"/>
  <c r="CG82" i="1"/>
  <c r="AS80" i="1"/>
  <c r="DI77" i="1"/>
  <c r="CJ150" i="1"/>
  <c r="AV148" i="1"/>
  <c r="H146" i="1"/>
  <c r="BX143" i="1"/>
  <c r="AJ141" i="1"/>
  <c r="CZ138" i="1"/>
  <c r="BL136" i="1"/>
  <c r="X134" i="1"/>
  <c r="CN131" i="1"/>
  <c r="AZ129" i="1"/>
  <c r="L127" i="1"/>
  <c r="CB124" i="1"/>
  <c r="AN122" i="1"/>
  <c r="DD119" i="1"/>
  <c r="BP117" i="1"/>
  <c r="AB115" i="1"/>
  <c r="CR112" i="1"/>
  <c r="BD110" i="1"/>
  <c r="P108" i="1"/>
  <c r="CF105" i="1"/>
  <c r="AR103" i="1"/>
  <c r="DH100" i="1"/>
  <c r="BT98" i="1"/>
  <c r="AF96" i="1"/>
  <c r="CV93" i="1"/>
  <c r="BH91" i="1"/>
  <c r="T89" i="1"/>
  <c r="CJ86" i="1"/>
  <c r="AV84" i="1"/>
  <c r="H82" i="1"/>
  <c r="BX79" i="1"/>
  <c r="AJ77" i="1"/>
  <c r="CE150" i="1"/>
  <c r="AQ148" i="1"/>
  <c r="DG145" i="1"/>
  <c r="BS143" i="1"/>
  <c r="AE141" i="1"/>
  <c r="CU138" i="1"/>
  <c r="BG136" i="1"/>
  <c r="S134" i="1"/>
  <c r="CI131" i="1"/>
  <c r="AU129" i="1"/>
  <c r="G127" i="1"/>
  <c r="BW124" i="1"/>
  <c r="AI122" i="1"/>
  <c r="CY119" i="1"/>
  <c r="BK117" i="1"/>
  <c r="W115" i="1"/>
  <c r="CM112" i="1"/>
  <c r="AY110" i="1"/>
  <c r="K108" i="1"/>
  <c r="CA105" i="1"/>
  <c r="AM103" i="1"/>
  <c r="DC100" i="1"/>
  <c r="BO98" i="1"/>
  <c r="AA96" i="1"/>
  <c r="CQ93" i="1"/>
  <c r="BC91" i="1"/>
  <c r="O89" i="1"/>
  <c r="CE86" i="1"/>
  <c r="AQ84" i="1"/>
  <c r="DG81" i="1"/>
  <c r="BS79" i="1"/>
  <c r="AE77" i="1"/>
  <c r="AP144" i="1"/>
  <c r="CT134" i="1"/>
  <c r="AT125" i="1"/>
  <c r="CX115" i="1"/>
  <c r="AX106" i="1"/>
  <c r="DB96" i="1"/>
  <c r="BB87" i="1"/>
  <c r="DF77" i="1"/>
  <c r="BC74" i="1"/>
  <c r="O72" i="1"/>
  <c r="CE69" i="1"/>
  <c r="AQ67" i="1"/>
  <c r="DG64" i="1"/>
  <c r="BS62" i="1"/>
  <c r="AE60" i="1"/>
  <c r="CU57" i="1"/>
  <c r="BG55" i="1"/>
  <c r="S53" i="1"/>
  <c r="CI50" i="1"/>
  <c r="AU48" i="1"/>
  <c r="G46" i="1"/>
  <c r="BW43" i="1"/>
  <c r="AI41" i="1"/>
  <c r="CY38" i="1"/>
  <c r="BK36" i="1"/>
  <c r="W34" i="1"/>
  <c r="CM31" i="1"/>
  <c r="AY29" i="1"/>
  <c r="DF162" i="1"/>
  <c r="CD159" i="1"/>
  <c r="BN156" i="1"/>
  <c r="BZ153" i="1"/>
  <c r="AK151" i="1"/>
  <c r="DA148" i="1"/>
  <c r="BM146" i="1"/>
  <c r="Y144" i="1"/>
  <c r="CO141" i="1"/>
  <c r="BA139" i="1"/>
  <c r="M137" i="1"/>
  <c r="CC134" i="1"/>
  <c r="AO132" i="1"/>
  <c r="DE129" i="1"/>
  <c r="BQ127" i="1"/>
  <c r="AC125" i="1"/>
  <c r="CS122" i="1"/>
  <c r="BE120" i="1"/>
  <c r="Q118" i="1"/>
  <c r="CG115" i="1"/>
  <c r="AS113" i="1"/>
  <c r="DI110" i="1"/>
  <c r="BU108" i="1"/>
  <c r="AG106" i="1"/>
  <c r="CW103" i="1"/>
  <c r="BI101" i="1"/>
  <c r="U99" i="1"/>
  <c r="CK96" i="1"/>
  <c r="AW94" i="1"/>
  <c r="I92" i="1"/>
  <c r="BY89" i="1"/>
  <c r="AK87" i="1"/>
  <c r="DA84" i="1"/>
  <c r="BM82" i="1"/>
  <c r="Y80" i="1"/>
  <c r="CO77" i="1"/>
  <c r="BP150" i="1"/>
  <c r="AB148" i="1"/>
  <c r="CR145" i="1"/>
  <c r="BD143" i="1"/>
  <c r="P141" i="1"/>
  <c r="CF138" i="1"/>
  <c r="AR136" i="1"/>
  <c r="DH133" i="1"/>
  <c r="BT131" i="1"/>
  <c r="AF129" i="1"/>
  <c r="CV126" i="1"/>
  <c r="BH124" i="1"/>
  <c r="T122" i="1"/>
  <c r="CJ119" i="1"/>
  <c r="AV117" i="1"/>
  <c r="H115" i="1"/>
  <c r="BX112" i="1"/>
  <c r="AJ110" i="1"/>
  <c r="CZ107" i="1"/>
  <c r="CJ107" i="1"/>
  <c r="P105" i="1"/>
  <c r="CF102" i="1"/>
  <c r="AR100" i="1"/>
  <c r="DH97" i="1"/>
  <c r="BT95" i="1"/>
  <c r="AF93" i="1"/>
  <c r="CV90" i="1"/>
  <c r="BH88" i="1"/>
  <c r="T86" i="1"/>
  <c r="CJ83" i="1"/>
  <c r="AV81" i="1"/>
  <c r="H79" i="1"/>
  <c r="BX76" i="1"/>
  <c r="O150" i="1"/>
  <c r="CE147" i="1"/>
  <c r="AQ145" i="1"/>
  <c r="DG142" i="1"/>
  <c r="BS140" i="1"/>
  <c r="AE138" i="1"/>
  <c r="CU135" i="1"/>
  <c r="BG133" i="1"/>
  <c r="S131" i="1"/>
  <c r="CI128" i="1"/>
  <c r="AU126" i="1"/>
  <c r="G124" i="1"/>
  <c r="BW121" i="1"/>
  <c r="AI119" i="1"/>
  <c r="CY116" i="1"/>
  <c r="BK114" i="1"/>
  <c r="W112" i="1"/>
  <c r="CM109" i="1"/>
  <c r="AY107" i="1"/>
  <c r="K105" i="1"/>
  <c r="CA102" i="1"/>
  <c r="AM100" i="1"/>
  <c r="DC97" i="1"/>
  <c r="BO95" i="1"/>
  <c r="AA93" i="1"/>
  <c r="CQ90" i="1"/>
  <c r="BC88" i="1"/>
  <c r="O86" i="1"/>
  <c r="CE83" i="1"/>
  <c r="AQ81" i="1"/>
  <c r="DG78" i="1"/>
  <c r="AL151" i="1"/>
  <c r="CP141" i="1"/>
  <c r="AP132" i="1"/>
  <c r="CT122" i="1"/>
  <c r="AT113" i="1"/>
  <c r="CX103" i="1"/>
  <c r="AX94" i="1"/>
  <c r="DB84" i="1"/>
  <c r="AI76" i="1"/>
  <c r="CQ73" i="1"/>
  <c r="BC71" i="1"/>
  <c r="O69" i="1"/>
  <c r="CE66" i="1"/>
  <c r="AQ64" i="1"/>
  <c r="DG61" i="1"/>
  <c r="BS59" i="1"/>
  <c r="AE57" i="1"/>
  <c r="CU54" i="1"/>
  <c r="BG52" i="1"/>
  <c r="S50" i="1"/>
  <c r="CI47" i="1"/>
  <c r="AU45" i="1"/>
  <c r="G43" i="1"/>
  <c r="BW40" i="1"/>
  <c r="AI38" i="1"/>
  <c r="CY35" i="1"/>
  <c r="BK33" i="1"/>
  <c r="W31" i="1"/>
  <c r="CM28" i="1"/>
  <c r="J162" i="1"/>
  <c r="CT158" i="1"/>
  <c r="CD155" i="1"/>
  <c r="J153" i="1"/>
  <c r="BY150" i="1"/>
  <c r="AK148" i="1"/>
  <c r="DA145" i="1"/>
  <c r="BM143" i="1"/>
  <c r="Y141" i="1"/>
  <c r="CO138" i="1"/>
  <c r="BA136" i="1"/>
  <c r="M134" i="1"/>
  <c r="CC131" i="1"/>
  <c r="AO129" i="1"/>
  <c r="DE126" i="1"/>
  <c r="BQ124" i="1"/>
  <c r="AC122" i="1"/>
  <c r="CS119" i="1"/>
  <c r="BE117" i="1"/>
  <c r="Q115" i="1"/>
  <c r="CG112" i="1"/>
  <c r="AS110" i="1"/>
  <c r="DI107" i="1"/>
  <c r="BU105" i="1"/>
  <c r="AG103" i="1"/>
  <c r="CW100" i="1"/>
  <c r="BI98" i="1"/>
  <c r="U96" i="1"/>
  <c r="CK93" i="1"/>
  <c r="AW91" i="1"/>
  <c r="I89" i="1"/>
  <c r="BY86" i="1"/>
  <c r="AK84" i="1"/>
  <c r="DA81" i="1"/>
  <c r="BM79" i="1"/>
  <c r="Y77" i="1"/>
  <c r="DD149" i="1"/>
  <c r="BP147" i="1"/>
  <c r="AB145" i="1"/>
  <c r="CR142" i="1"/>
  <c r="BD140" i="1"/>
  <c r="P138" i="1"/>
  <c r="CF135" i="1"/>
  <c r="AR133" i="1"/>
  <c r="DH130" i="1"/>
  <c r="BT128" i="1"/>
  <c r="AF126" i="1"/>
  <c r="CV123" i="1"/>
  <c r="BH121" i="1"/>
  <c r="T119" i="1"/>
  <c r="CJ116" i="1"/>
  <c r="AV114" i="1"/>
  <c r="H112" i="1"/>
  <c r="BX109" i="1"/>
  <c r="AJ107" i="1"/>
  <c r="CZ104" i="1"/>
  <c r="BL102" i="1"/>
  <c r="X100" i="1"/>
  <c r="CN97" i="1"/>
  <c r="AZ95" i="1"/>
  <c r="L93" i="1"/>
  <c r="CB90" i="1"/>
  <c r="AN88" i="1"/>
  <c r="DD85" i="1"/>
  <c r="BP83" i="1"/>
  <c r="AB81" i="1"/>
  <c r="CR78" i="1"/>
  <c r="BD76" i="1"/>
  <c r="CY149" i="1"/>
  <c r="BK147" i="1"/>
  <c r="W145" i="1"/>
  <c r="CM142" i="1"/>
  <c r="AY140" i="1"/>
  <c r="K138" i="1"/>
  <c r="CA135" i="1"/>
  <c r="AM133" i="1"/>
  <c r="DC130" i="1"/>
  <c r="BO128" i="1"/>
  <c r="AA126" i="1"/>
  <c r="CQ123" i="1"/>
  <c r="BC121" i="1"/>
  <c r="O119" i="1"/>
  <c r="CE116" i="1"/>
  <c r="AQ114" i="1"/>
  <c r="DG111" i="1"/>
  <c r="BS109" i="1"/>
  <c r="AE107" i="1"/>
  <c r="CU104" i="1"/>
  <c r="BG102" i="1"/>
  <c r="S100" i="1"/>
  <c r="CI97" i="1"/>
  <c r="AU95" i="1"/>
  <c r="G93" i="1"/>
  <c r="BW90" i="1"/>
  <c r="AI88" i="1"/>
  <c r="CY85" i="1"/>
  <c r="BK83" i="1"/>
  <c r="W81" i="1"/>
  <c r="CM78" i="1"/>
  <c r="BN150" i="1"/>
  <c r="N141" i="1"/>
  <c r="BR131" i="1"/>
  <c r="R122" i="1"/>
  <c r="BV112" i="1"/>
  <c r="V103" i="1"/>
  <c r="BZ93" i="1"/>
  <c r="Z84" i="1"/>
  <c r="I76" i="1"/>
  <c r="BW73" i="1"/>
  <c r="AI71" i="1"/>
  <c r="CY68" i="1"/>
  <c r="BK66" i="1"/>
  <c r="W64" i="1"/>
  <c r="CM61" i="1"/>
  <c r="AY59" i="1"/>
  <c r="K57" i="1"/>
  <c r="CA54" i="1"/>
  <c r="AM52" i="1"/>
  <c r="DC49" i="1"/>
  <c r="BO47" i="1"/>
  <c r="AA45" i="1"/>
  <c r="CQ42" i="1"/>
  <c r="BC40" i="1"/>
  <c r="O38" i="1"/>
  <c r="CE35" i="1"/>
  <c r="AQ33" i="1"/>
  <c r="DG30" i="1"/>
  <c r="BS28" i="1"/>
  <c r="CL161" i="1"/>
  <c r="BV158" i="1"/>
  <c r="BB155" i="1"/>
  <c r="CT152" i="1"/>
  <c r="BE150" i="1"/>
  <c r="Q148" i="1"/>
  <c r="CG145" i="1"/>
  <c r="AS143" i="1"/>
  <c r="DI140" i="1"/>
  <c r="BU138" i="1"/>
  <c r="AG136" i="1"/>
  <c r="CW133" i="1"/>
  <c r="BI131" i="1"/>
  <c r="U129" i="1"/>
  <c r="CK126" i="1"/>
  <c r="AW124" i="1"/>
  <c r="I122" i="1"/>
  <c r="BY119" i="1"/>
  <c r="AK117" i="1"/>
  <c r="DA114" i="1"/>
  <c r="BM112" i="1"/>
  <c r="Y110" i="1"/>
  <c r="CO107" i="1"/>
  <c r="BA105" i="1"/>
  <c r="M103" i="1"/>
  <c r="CC100" i="1"/>
  <c r="AO98" i="1"/>
  <c r="DE95" i="1"/>
  <c r="BQ93" i="1"/>
  <c r="AC91" i="1"/>
  <c r="CS88" i="1"/>
  <c r="BE86" i="1"/>
  <c r="Q84" i="1"/>
  <c r="CG81" i="1"/>
  <c r="AS79" i="1"/>
  <c r="DI76" i="1"/>
  <c r="CJ149" i="1"/>
  <c r="AV147" i="1"/>
  <c r="H145" i="1"/>
  <c r="BX142" i="1"/>
  <c r="AJ140" i="1"/>
  <c r="CZ137" i="1"/>
  <c r="BL135" i="1"/>
  <c r="X133" i="1"/>
  <c r="CN130" i="1"/>
  <c r="AZ128" i="1"/>
  <c r="L126" i="1"/>
  <c r="CB123" i="1"/>
  <c r="AN121" i="1"/>
  <c r="DD118" i="1"/>
  <c r="BP116" i="1"/>
  <c r="AB114" i="1"/>
  <c r="CR111" i="1"/>
  <c r="BD109" i="1"/>
  <c r="P107" i="1"/>
  <c r="CF104" i="1"/>
  <c r="AR102" i="1"/>
  <c r="DH99" i="1"/>
  <c r="BT97" i="1"/>
  <c r="AF95" i="1"/>
  <c r="CV92" i="1"/>
  <c r="BH90" i="1"/>
  <c r="T88" i="1"/>
  <c r="CJ85" i="1"/>
  <c r="AV83" i="1"/>
  <c r="H81" i="1"/>
  <c r="BX78" i="1"/>
  <c r="AJ76" i="1"/>
  <c r="CE149" i="1"/>
  <c r="AQ147" i="1"/>
  <c r="DG144" i="1"/>
  <c r="BS142" i="1"/>
  <c r="AE140" i="1"/>
  <c r="CU137" i="1"/>
  <c r="BG135" i="1"/>
  <c r="S133" i="1"/>
  <c r="CI130" i="1"/>
  <c r="AU128" i="1"/>
  <c r="G126" i="1"/>
  <c r="BW123" i="1"/>
  <c r="AI121" i="1"/>
  <c r="CY118" i="1"/>
  <c r="BK116" i="1"/>
  <c r="W114" i="1"/>
  <c r="CM111" i="1"/>
  <c r="AY109" i="1"/>
  <c r="K107" i="1"/>
  <c r="CA104" i="1"/>
  <c r="AM102" i="1"/>
  <c r="DC99" i="1"/>
  <c r="BO97" i="1"/>
  <c r="AA95" i="1"/>
  <c r="CQ92" i="1"/>
  <c r="BC90" i="1"/>
  <c r="O88" i="1"/>
  <c r="CE85" i="1"/>
  <c r="AQ83" i="1"/>
  <c r="DG80" i="1"/>
  <c r="BS78" i="1"/>
  <c r="CP149" i="1"/>
  <c r="AP140" i="1"/>
  <c r="CT130" i="1"/>
  <c r="AT121" i="1"/>
  <c r="CX111" i="1"/>
  <c r="AX102" i="1"/>
  <c r="DB92" i="1"/>
  <c r="BB83" i="1"/>
  <c r="CQ75" i="1"/>
  <c r="BC73" i="1"/>
  <c r="O71" i="1"/>
  <c r="CE68" i="1"/>
  <c r="AQ66" i="1"/>
  <c r="DG63" i="1"/>
  <c r="BS61" i="1"/>
  <c r="AE59" i="1"/>
  <c r="CU56" i="1"/>
  <c r="BG54" i="1"/>
  <c r="S52" i="1"/>
  <c r="CI49" i="1"/>
  <c r="AU47" i="1"/>
  <c r="G45" i="1"/>
  <c r="BW42" i="1"/>
  <c r="AI40" i="1"/>
  <c r="CY37" i="1"/>
  <c r="BK35" i="1"/>
  <c r="W33" i="1"/>
  <c r="CM30" i="1"/>
  <c r="AY28" i="1"/>
  <c r="W26" i="1"/>
  <c r="CM23" i="1"/>
  <c r="AY21" i="1"/>
  <c r="K19" i="1"/>
  <c r="CA16" i="1"/>
  <c r="AM14" i="1"/>
  <c r="BR148" i="1"/>
  <c r="R139" i="1"/>
  <c r="BV129" i="1"/>
  <c r="V120" i="1"/>
  <c r="BZ110" i="1"/>
  <c r="Z101" i="1"/>
  <c r="CD91" i="1"/>
  <c r="AD82" i="1"/>
  <c r="BJ75" i="1"/>
  <c r="V73" i="1"/>
  <c r="CL70" i="1"/>
  <c r="AX68" i="1"/>
  <c r="J66" i="1"/>
  <c r="BZ63" i="1"/>
  <c r="AL61" i="1"/>
  <c r="DB58" i="1"/>
  <c r="BN56" i="1"/>
  <c r="Z54" i="1"/>
  <c r="CP51" i="1"/>
  <c r="BB49" i="1"/>
  <c r="N47" i="1"/>
  <c r="CD44" i="1"/>
  <c r="AP42" i="1"/>
  <c r="DF39" i="1"/>
  <c r="BR37" i="1"/>
  <c r="AD35" i="1"/>
  <c r="CT32" i="1"/>
  <c r="BF30" i="1"/>
  <c r="R28" i="1"/>
  <c r="CH25" i="1"/>
  <c r="AT23" i="1"/>
  <c r="F21" i="1"/>
  <c r="BV18" i="1"/>
  <c r="AH16" i="1"/>
  <c r="CX13" i="1"/>
  <c r="BJ11" i="1"/>
  <c r="V9" i="1"/>
  <c r="CL6" i="1"/>
  <c r="AX4" i="1"/>
  <c r="BG9" i="1"/>
  <c r="CL150" i="1"/>
  <c r="AL141" i="1"/>
  <c r="CP131" i="1"/>
  <c r="AP122" i="1"/>
  <c r="CT112" i="1"/>
  <c r="AT103" i="1"/>
  <c r="CX93" i="1"/>
  <c r="AX84" i="1"/>
  <c r="Q76" i="1"/>
  <c r="CC73" i="1"/>
  <c r="AO71" i="1"/>
  <c r="DE68" i="1"/>
  <c r="BQ66" i="1"/>
  <c r="AC64" i="1"/>
  <c r="CS61" i="1"/>
  <c r="BE59" i="1"/>
  <c r="Q57" i="1"/>
  <c r="CG54" i="1"/>
  <c r="AS52" i="1"/>
  <c r="DI49" i="1"/>
  <c r="BU47" i="1"/>
  <c r="AG45" i="1"/>
  <c r="CW42" i="1"/>
  <c r="BI40" i="1"/>
  <c r="U38" i="1"/>
  <c r="CK35" i="1"/>
  <c r="AW33" i="1"/>
  <c r="I31" i="1"/>
  <c r="BY28" i="1"/>
  <c r="AK26" i="1"/>
  <c r="DA23" i="1"/>
  <c r="BM21" i="1"/>
  <c r="Y19" i="1"/>
  <c r="CO16" i="1"/>
  <c r="BA14" i="1"/>
  <c r="M12" i="1"/>
  <c r="CC9" i="1"/>
  <c r="AO7" i="1"/>
  <c r="DE4" i="1"/>
  <c r="DG10" i="1"/>
  <c r="K4" i="1"/>
  <c r="BV143" i="1"/>
  <c r="V134" i="1"/>
  <c r="BZ124" i="1"/>
  <c r="Z115" i="1"/>
  <c r="CD105" i="1"/>
  <c r="AD96" i="1"/>
  <c r="CH86" i="1"/>
  <c r="AH77" i="1"/>
  <c r="AJ74" i="1"/>
  <c r="CZ71" i="1"/>
  <c r="BL69" i="1"/>
  <c r="X67" i="1"/>
  <c r="CN64" i="1"/>
  <c r="AZ62" i="1"/>
  <c r="L60" i="1"/>
  <c r="CB57" i="1"/>
  <c r="AN55" i="1"/>
  <c r="DD52" i="1"/>
  <c r="BP50" i="1"/>
  <c r="AB48" i="1"/>
  <c r="CR45" i="1"/>
  <c r="BD43" i="1"/>
  <c r="P41" i="1"/>
  <c r="CF38" i="1"/>
  <c r="AR36" i="1"/>
  <c r="DH33" i="1"/>
  <c r="BT31" i="1"/>
  <c r="AF29" i="1"/>
  <c r="CV26" i="1"/>
  <c r="BH24" i="1"/>
  <c r="T22" i="1"/>
  <c r="CJ19" i="1"/>
  <c r="BH16" i="1"/>
  <c r="CN12" i="1"/>
  <c r="BX8" i="1"/>
  <c r="BT3" i="1"/>
  <c r="AR5" i="1"/>
  <c r="CE11" i="1"/>
  <c r="DG25" i="1"/>
  <c r="BS23" i="1"/>
  <c r="AE21" i="1"/>
  <c r="CU18" i="1"/>
  <c r="BG16" i="1"/>
  <c r="S14" i="1"/>
  <c r="CT147" i="1"/>
  <c r="AT138" i="1"/>
  <c r="CX128" i="1"/>
  <c r="AX119" i="1"/>
  <c r="DB109" i="1"/>
  <c r="BB100" i="1"/>
  <c r="DF90" i="1"/>
  <c r="BF81" i="1"/>
  <c r="AP75" i="1"/>
  <c r="DF72" i="1"/>
  <c r="BR70" i="1"/>
  <c r="AD68" i="1"/>
  <c r="CT65" i="1"/>
  <c r="BF63" i="1"/>
  <c r="R61" i="1"/>
  <c r="CH58" i="1"/>
  <c r="AT56" i="1"/>
  <c r="F54" i="1"/>
  <c r="BV51" i="1"/>
  <c r="AH49" i="1"/>
  <c r="CX46" i="1"/>
  <c r="BJ44" i="1"/>
  <c r="V42" i="1"/>
  <c r="CL39" i="1"/>
  <c r="AX37" i="1"/>
  <c r="J35" i="1"/>
  <c r="BZ32" i="1"/>
  <c r="AL30" i="1"/>
  <c r="DB27" i="1"/>
  <c r="BN25" i="1"/>
  <c r="Z23" i="1"/>
  <c r="CP20" i="1"/>
  <c r="BB18" i="1"/>
  <c r="N16" i="1"/>
  <c r="CD13" i="1"/>
  <c r="AP11" i="1"/>
  <c r="DF8" i="1"/>
  <c r="BR6" i="1"/>
  <c r="AD4" i="1"/>
  <c r="DG8" i="1"/>
  <c r="J150" i="1"/>
  <c r="BN140" i="1"/>
  <c r="N131" i="1"/>
  <c r="BR121" i="1"/>
  <c r="R112" i="1"/>
  <c r="BV102" i="1"/>
  <c r="V93" i="1"/>
  <c r="BZ83" i="1"/>
  <c r="CW75" i="1"/>
  <c r="BI73" i="1"/>
  <c r="U71" i="1"/>
  <c r="CK68" i="1"/>
  <c r="AW66" i="1"/>
  <c r="I64" i="1"/>
  <c r="BY61" i="1"/>
  <c r="AK59" i="1"/>
  <c r="DA56" i="1"/>
  <c r="BM54" i="1"/>
  <c r="Y52" i="1"/>
  <c r="CO49" i="1"/>
  <c r="BA47" i="1"/>
  <c r="M45" i="1"/>
  <c r="CC42" i="1"/>
  <c r="AO40" i="1"/>
  <c r="DE37" i="1"/>
  <c r="BQ35" i="1"/>
  <c r="AC33" i="1"/>
  <c r="CS30" i="1"/>
  <c r="BE28" i="1"/>
  <c r="Q26" i="1"/>
  <c r="CG23" i="1"/>
  <c r="AS21" i="1"/>
  <c r="DI18" i="1"/>
  <c r="BU16" i="1"/>
  <c r="AG14" i="1"/>
  <c r="CW11" i="1"/>
  <c r="BI9" i="1"/>
  <c r="U7" i="1"/>
  <c r="CK4" i="1"/>
  <c r="AU10" i="1"/>
  <c r="BC3" i="1"/>
  <c r="CX142" i="1"/>
  <c r="AX133" i="1"/>
  <c r="DB123" i="1"/>
  <c r="BB114" i="1"/>
  <c r="DF104" i="1"/>
  <c r="BF95" i="1"/>
  <c r="F86" i="1"/>
  <c r="BV76" i="1"/>
  <c r="P74" i="1"/>
  <c r="CF71" i="1"/>
  <c r="AR69" i="1"/>
  <c r="DH66" i="1"/>
  <c r="BT64" i="1"/>
  <c r="AF62" i="1"/>
  <c r="CV59" i="1"/>
  <c r="BH57" i="1"/>
  <c r="T55" i="1"/>
  <c r="CJ52" i="1"/>
  <c r="AV50" i="1"/>
  <c r="H48" i="1"/>
  <c r="BX45" i="1"/>
  <c r="AJ43" i="1"/>
  <c r="CZ40" i="1"/>
  <c r="BL38" i="1"/>
  <c r="X36" i="1"/>
  <c r="CN33" i="1"/>
  <c r="AZ31" i="1"/>
  <c r="L29" i="1"/>
  <c r="CB26" i="1"/>
  <c r="AN24" i="1"/>
  <c r="DD21" i="1"/>
  <c r="BP19" i="1"/>
  <c r="AB17" i="1"/>
  <c r="CR14" i="1"/>
  <c r="BD12" i="1"/>
  <c r="P10" i="1"/>
  <c r="CF7" i="1"/>
  <c r="AZ3" i="1"/>
  <c r="AI27" i="1"/>
  <c r="CY24" i="1"/>
  <c r="BK22" i="1"/>
  <c r="W20" i="1"/>
  <c r="CM17" i="1"/>
  <c r="AY15" i="1"/>
  <c r="K13" i="1"/>
  <c r="BN143" i="1"/>
  <c r="N134" i="1"/>
  <c r="BR124" i="1"/>
  <c r="R115" i="1"/>
  <c r="BV105" i="1"/>
  <c r="V96" i="1"/>
  <c r="BZ86" i="1"/>
  <c r="Z77" i="1"/>
  <c r="AH74" i="1"/>
  <c r="CX71" i="1"/>
  <c r="BJ69" i="1"/>
  <c r="V67" i="1"/>
  <c r="CL64" i="1"/>
  <c r="AX62" i="1"/>
  <c r="J60" i="1"/>
  <c r="BZ57" i="1"/>
  <c r="AL55" i="1"/>
  <c r="DB52" i="1"/>
  <c r="BN50" i="1"/>
  <c r="Z48" i="1"/>
  <c r="CP45" i="1"/>
  <c r="BB43" i="1"/>
  <c r="N41" i="1"/>
  <c r="CD38" i="1"/>
  <c r="AP36" i="1"/>
  <c r="DF33" i="1"/>
  <c r="BR31" i="1"/>
  <c r="AD29" i="1"/>
  <c r="CT26" i="1"/>
  <c r="BF24" i="1"/>
  <c r="R22" i="1"/>
  <c r="CH19" i="1"/>
  <c r="AT17" i="1"/>
  <c r="F15" i="1"/>
  <c r="BV12" i="1"/>
  <c r="AH10" i="1"/>
  <c r="CX7" i="1"/>
  <c r="BJ5" i="1"/>
  <c r="V3" i="1"/>
  <c r="CQ5" i="1"/>
  <c r="CH145" i="1"/>
  <c r="AH136" i="1"/>
  <c r="CL126" i="1"/>
  <c r="AL117" i="1"/>
  <c r="CP107" i="1"/>
  <c r="AP98" i="1"/>
  <c r="CT88" i="1"/>
  <c r="AT79" i="1"/>
  <c r="CO74" i="1"/>
  <c r="BA72" i="1"/>
  <c r="M70" i="1"/>
  <c r="CC67" i="1"/>
  <c r="AO65" i="1"/>
  <c r="DE62" i="1"/>
  <c r="BQ60" i="1"/>
  <c r="AC58" i="1"/>
  <c r="CS55" i="1"/>
  <c r="BE53" i="1"/>
  <c r="Q51" i="1"/>
  <c r="CG48" i="1"/>
  <c r="AS46" i="1"/>
  <c r="DI43" i="1"/>
  <c r="BU41" i="1"/>
  <c r="AG39" i="1"/>
  <c r="CW36" i="1"/>
  <c r="BI34" i="1"/>
  <c r="U32" i="1"/>
  <c r="CK29" i="1"/>
  <c r="AW27" i="1"/>
  <c r="I25" i="1"/>
  <c r="BY22" i="1"/>
  <c r="AK20" i="1"/>
  <c r="DA17" i="1"/>
  <c r="BM15" i="1"/>
  <c r="Y13" i="1"/>
  <c r="CO10" i="1"/>
  <c r="BA8" i="1"/>
  <c r="M6" i="1"/>
  <c r="CC3" i="1"/>
  <c r="AE7" i="1"/>
  <c r="N148" i="1"/>
  <c r="BR138" i="1"/>
  <c r="R129" i="1"/>
  <c r="BV119" i="1"/>
  <c r="V110" i="1"/>
  <c r="BZ100" i="1"/>
  <c r="Z91" i="1"/>
  <c r="CD81" i="1"/>
  <c r="AV75" i="1"/>
  <c r="H73" i="1"/>
  <c r="BX70" i="1"/>
  <c r="AJ68" i="1"/>
  <c r="CZ65" i="1"/>
  <c r="BL63" i="1"/>
  <c r="X61" i="1"/>
  <c r="CN58" i="1"/>
  <c r="AZ56" i="1"/>
  <c r="L54" i="1"/>
  <c r="CB51" i="1"/>
  <c r="AN49" i="1"/>
  <c r="DD46" i="1"/>
  <c r="BP44" i="1"/>
  <c r="AB42" i="1"/>
  <c r="CR39" i="1"/>
  <c r="BD37" i="1"/>
  <c r="P35" i="1"/>
  <c r="CF32" i="1"/>
  <c r="AR30" i="1"/>
  <c r="DH27" i="1"/>
  <c r="BT25" i="1"/>
  <c r="AF23" i="1"/>
  <c r="CV20" i="1"/>
  <c r="BH18" i="1"/>
  <c r="T16" i="1"/>
  <c r="CJ13" i="1"/>
  <c r="AV11" i="1"/>
  <c r="H9" i="1"/>
  <c r="BX6" i="1"/>
  <c r="AJ4" i="1"/>
  <c r="BG26" i="1"/>
  <c r="S24" i="1"/>
  <c r="CI21" i="1"/>
  <c r="AU19" i="1"/>
  <c r="G17" i="1"/>
  <c r="BW14" i="1"/>
  <c r="DB149" i="1"/>
  <c r="BB140" i="1"/>
  <c r="DF130" i="1"/>
  <c r="BF121" i="1"/>
  <c r="F112" i="1"/>
  <c r="BJ102" i="1"/>
  <c r="J93" i="1"/>
  <c r="BN83" i="1"/>
  <c r="CT75" i="1"/>
  <c r="BF73" i="1"/>
  <c r="R71" i="1"/>
  <c r="CH68" i="1"/>
  <c r="AT66" i="1"/>
  <c r="F64" i="1"/>
  <c r="BV61" i="1"/>
  <c r="AH59" i="1"/>
  <c r="CX56" i="1"/>
  <c r="BJ54" i="1"/>
  <c r="V52" i="1"/>
  <c r="CL49" i="1"/>
  <c r="AX47" i="1"/>
  <c r="J45" i="1"/>
  <c r="BZ42" i="1"/>
  <c r="AL40" i="1"/>
  <c r="DB37" i="1"/>
  <c r="BN35" i="1"/>
  <c r="Z33" i="1"/>
  <c r="CP30" i="1"/>
  <c r="BB28" i="1"/>
  <c r="N26" i="1"/>
  <c r="CD23" i="1"/>
  <c r="AP21" i="1"/>
  <c r="DF18" i="1"/>
  <c r="BR16" i="1"/>
  <c r="AD14" i="1"/>
  <c r="CT11" i="1"/>
  <c r="BF9" i="1"/>
  <c r="R7" i="1"/>
  <c r="CH4" i="1"/>
  <c r="BC10" i="1"/>
  <c r="AM3" i="1"/>
  <c r="BV142" i="1"/>
  <c r="V133" i="1"/>
  <c r="BZ123" i="1"/>
  <c r="Z114" i="1"/>
  <c r="CD104" i="1"/>
  <c r="AD95" i="1"/>
  <c r="CH85" i="1"/>
  <c r="BM76" i="1"/>
  <c r="I74" i="1"/>
  <c r="BY71" i="1"/>
  <c r="AK69" i="1"/>
  <c r="DA66" i="1"/>
  <c r="BM64" i="1"/>
  <c r="Y62" i="1"/>
  <c r="CO59" i="1"/>
  <c r="BA57" i="1"/>
  <c r="M55" i="1"/>
  <c r="CC52" i="1"/>
  <c r="AO50" i="1"/>
  <c r="DE47" i="1"/>
  <c r="BQ45" i="1"/>
  <c r="AC43" i="1"/>
  <c r="CS40" i="1"/>
  <c r="BE38" i="1"/>
  <c r="Q36" i="1"/>
  <c r="CG33" i="1"/>
  <c r="AS31" i="1"/>
  <c r="DI28" i="1"/>
  <c r="BU26" i="1"/>
  <c r="AG24" i="1"/>
  <c r="CW21" i="1"/>
  <c r="BI19" i="1"/>
  <c r="U17" i="1"/>
  <c r="CK14" i="1"/>
  <c r="AW12" i="1"/>
  <c r="I10" i="1"/>
  <c r="BY7" i="1"/>
  <c r="AK5" i="1"/>
  <c r="DG11" i="1"/>
  <c r="DG4" i="1"/>
  <c r="DF144" i="1"/>
  <c r="BF135" i="1"/>
  <c r="F126" i="1"/>
  <c r="BJ116" i="1"/>
  <c r="J107" i="1"/>
  <c r="BN97" i="1"/>
  <c r="N88" i="1"/>
  <c r="BR78" i="1"/>
  <c r="BT74" i="1"/>
  <c r="AF72" i="1"/>
  <c r="CV69" i="1"/>
  <c r="BH67" i="1"/>
  <c r="T65" i="1"/>
  <c r="CJ62" i="1"/>
  <c r="AV60" i="1"/>
  <c r="H58" i="1"/>
  <c r="BX55" i="1"/>
  <c r="AJ53" i="1"/>
  <c r="CZ50" i="1"/>
  <c r="BL48" i="1"/>
  <c r="X46" i="1"/>
  <c r="CN43" i="1"/>
  <c r="AZ41" i="1"/>
  <c r="L39" i="1"/>
  <c r="CB36" i="1"/>
  <c r="AN34" i="1"/>
  <c r="DD31" i="1"/>
  <c r="BP29" i="1"/>
  <c r="AB27" i="1"/>
  <c r="CR24" i="1"/>
  <c r="BD22" i="1"/>
  <c r="P20" i="1"/>
  <c r="CF17" i="1"/>
  <c r="AR15" i="1"/>
  <c r="DH12" i="1"/>
  <c r="BT10" i="1"/>
  <c r="AF8" i="1"/>
  <c r="CV5" i="1"/>
  <c r="BW12" i="1"/>
  <c r="CJ15" i="1"/>
  <c r="CJ3" i="1"/>
  <c r="BW6" i="1"/>
  <c r="AI11" i="1"/>
  <c r="AN15" i="1"/>
  <c r="CE12" i="1"/>
  <c r="CV106" i="1"/>
  <c r="AR104" i="1"/>
  <c r="DH101" i="1"/>
  <c r="BT99" i="1"/>
  <c r="AF97" i="1"/>
  <c r="CV94" i="1"/>
  <c r="BH92" i="1"/>
  <c r="T90" i="1"/>
  <c r="CJ87" i="1"/>
  <c r="AV85" i="1"/>
  <c r="H83" i="1"/>
  <c r="BX80" i="1"/>
  <c r="AJ78" i="1"/>
  <c r="CJ151" i="1"/>
  <c r="AQ149" i="1"/>
  <c r="DG146" i="1"/>
  <c r="BS144" i="1"/>
  <c r="AE142" i="1"/>
  <c r="CU139" i="1"/>
  <c r="BG137" i="1"/>
  <c r="S135" i="1"/>
  <c r="CI132" i="1"/>
  <c r="AU130" i="1"/>
  <c r="G128" i="1"/>
  <c r="BW125" i="1"/>
  <c r="AI123" i="1"/>
  <c r="CY120" i="1"/>
  <c r="BK118" i="1"/>
  <c r="W116" i="1"/>
  <c r="CM113" i="1"/>
  <c r="AY111" i="1"/>
  <c r="K109" i="1"/>
  <c r="CA106" i="1"/>
  <c r="AM104" i="1"/>
  <c r="DC101" i="1"/>
  <c r="BO99" i="1"/>
  <c r="AA97" i="1"/>
  <c r="CQ94" i="1"/>
  <c r="BC92" i="1"/>
  <c r="O90" i="1"/>
  <c r="CE87" i="1"/>
  <c r="AQ85" i="1"/>
  <c r="DG82" i="1"/>
  <c r="BS80" i="1"/>
  <c r="AE78" i="1"/>
  <c r="AP148" i="1"/>
  <c r="CT138" i="1"/>
  <c r="AT129" i="1"/>
  <c r="CX119" i="1"/>
  <c r="AX110" i="1"/>
  <c r="DB100" i="1"/>
  <c r="BB91" i="1"/>
  <c r="DF81" i="1"/>
  <c r="BC75" i="1"/>
  <c r="O73" i="1"/>
  <c r="CE70" i="1"/>
  <c r="AQ68" i="1"/>
  <c r="DG65" i="1"/>
  <c r="BS63" i="1"/>
  <c r="AE61" i="1"/>
  <c r="CU58" i="1"/>
  <c r="BG56" i="1"/>
  <c r="S54" i="1"/>
  <c r="CI51" i="1"/>
  <c r="AU49" i="1"/>
  <c r="G47" i="1"/>
  <c r="BW44" i="1"/>
  <c r="AI42" i="1"/>
  <c r="CY39" i="1"/>
  <c r="BK37" i="1"/>
  <c r="W35" i="1"/>
  <c r="CM32" i="1"/>
  <c r="AY30" i="1"/>
  <c r="K28" i="1"/>
  <c r="J161" i="1"/>
  <c r="CX157" i="1"/>
  <c r="CD154" i="1"/>
  <c r="AL152" i="1"/>
  <c r="DA149" i="1"/>
  <c r="BM147" i="1"/>
  <c r="Y145" i="1"/>
  <c r="CO142" i="1"/>
  <c r="BA140" i="1"/>
  <c r="M138" i="1"/>
  <c r="CC135" i="1"/>
  <c r="AO133" i="1"/>
  <c r="DE130" i="1"/>
  <c r="BQ128" i="1"/>
  <c r="AC126" i="1"/>
  <c r="CS123" i="1"/>
  <c r="BE121" i="1"/>
  <c r="Q119" i="1"/>
  <c r="CG116" i="1"/>
  <c r="AS114" i="1"/>
  <c r="DI111" i="1"/>
  <c r="BU109" i="1"/>
  <c r="AG107" i="1"/>
  <c r="CW104" i="1"/>
  <c r="BI102" i="1"/>
  <c r="U100" i="1"/>
  <c r="CK97" i="1"/>
  <c r="AW95" i="1"/>
  <c r="I93" i="1"/>
  <c r="BY90" i="1"/>
  <c r="AK88" i="1"/>
  <c r="DA85" i="1"/>
  <c r="BM83" i="1"/>
  <c r="Y81" i="1"/>
  <c r="CO78" i="1"/>
  <c r="BP151" i="1"/>
  <c r="AB149" i="1"/>
  <c r="CR146" i="1"/>
  <c r="BD144" i="1"/>
  <c r="P142" i="1"/>
  <c r="CF139" i="1"/>
  <c r="AR137" i="1"/>
  <c r="DH134" i="1"/>
  <c r="BT132" i="1"/>
  <c r="AF130" i="1"/>
  <c r="CV127" i="1"/>
  <c r="BH125" i="1"/>
  <c r="T123" i="1"/>
  <c r="CJ120" i="1"/>
  <c r="AV118" i="1"/>
  <c r="H116" i="1"/>
  <c r="BX113" i="1"/>
  <c r="AJ111" i="1"/>
  <c r="CZ108" i="1"/>
  <c r="BL106" i="1"/>
  <c r="X104" i="1"/>
  <c r="CN101" i="1"/>
  <c r="AZ99" i="1"/>
  <c r="L97" i="1"/>
  <c r="CB94" i="1"/>
  <c r="AN92" i="1"/>
  <c r="DD89" i="1"/>
  <c r="BP87" i="1"/>
  <c r="AB85" i="1"/>
  <c r="CR82" i="1"/>
  <c r="BD80" i="1"/>
  <c r="P78" i="1"/>
  <c r="BK151" i="1"/>
  <c r="W149" i="1"/>
  <c r="CM146" i="1"/>
  <c r="AY144" i="1"/>
  <c r="K142" i="1"/>
  <c r="CA139" i="1"/>
  <c r="AM137" i="1"/>
  <c r="DC134" i="1"/>
  <c r="BO132" i="1"/>
  <c r="AA130" i="1"/>
  <c r="CQ127" i="1"/>
  <c r="BC125" i="1"/>
  <c r="O123" i="1"/>
  <c r="CE120" i="1"/>
  <c r="AQ118" i="1"/>
  <c r="DG115" i="1"/>
  <c r="BS113" i="1"/>
  <c r="AE111" i="1"/>
  <c r="CU108" i="1"/>
  <c r="BG106" i="1"/>
  <c r="S104" i="1"/>
  <c r="CI101" i="1"/>
  <c r="AU99" i="1"/>
  <c r="G97" i="1"/>
  <c r="BW94" i="1"/>
  <c r="AI92" i="1"/>
  <c r="CY89" i="1"/>
  <c r="BK87" i="1"/>
  <c r="W85" i="1"/>
  <c r="CM82" i="1"/>
  <c r="AY80" i="1"/>
  <c r="K78" i="1"/>
  <c r="BR147" i="1"/>
  <c r="R138" i="1"/>
  <c r="BV128" i="1"/>
  <c r="V119" i="1"/>
  <c r="BZ109" i="1"/>
  <c r="Z100" i="1"/>
  <c r="CD90" i="1"/>
  <c r="AD81" i="1"/>
  <c r="AI75" i="1"/>
  <c r="CY72" i="1"/>
  <c r="BK70" i="1"/>
  <c r="W68" i="1"/>
  <c r="CM65" i="1"/>
  <c r="AY63" i="1"/>
  <c r="K61" i="1"/>
  <c r="CA58" i="1"/>
  <c r="AM56" i="1"/>
  <c r="DC53" i="1"/>
  <c r="BO51" i="1"/>
  <c r="AA49" i="1"/>
  <c r="CQ46" i="1"/>
  <c r="BC44" i="1"/>
  <c r="O42" i="1"/>
  <c r="CE39" i="1"/>
  <c r="AQ37" i="1"/>
  <c r="DG34" i="1"/>
  <c r="BS32" i="1"/>
  <c r="AE30" i="1"/>
  <c r="CU27" i="1"/>
  <c r="CL160" i="1"/>
  <c r="BV157" i="1"/>
  <c r="BF154" i="1"/>
  <c r="R152" i="1"/>
  <c r="CG149" i="1"/>
  <c r="AS147" i="1"/>
  <c r="DI144" i="1"/>
  <c r="BU142" i="1"/>
  <c r="AG140" i="1"/>
  <c r="CW137" i="1"/>
  <c r="BI135" i="1"/>
  <c r="U133" i="1"/>
  <c r="CK130" i="1"/>
  <c r="AW128" i="1"/>
  <c r="I126" i="1"/>
  <c r="BY123" i="1"/>
  <c r="AK121" i="1"/>
  <c r="DA118" i="1"/>
  <c r="BM116" i="1"/>
  <c r="Y114" i="1"/>
  <c r="CO111" i="1"/>
  <c r="BA109" i="1"/>
  <c r="M107" i="1"/>
  <c r="CC104" i="1"/>
  <c r="AO102" i="1"/>
  <c r="DE99" i="1"/>
  <c r="BQ97" i="1"/>
  <c r="AC95" i="1"/>
  <c r="CS92" i="1"/>
  <c r="BE90" i="1"/>
  <c r="Q88" i="1"/>
  <c r="CG85" i="1"/>
  <c r="AS83" i="1"/>
  <c r="DI80" i="1"/>
  <c r="BU78" i="1"/>
  <c r="AV151" i="1"/>
  <c r="H149" i="1"/>
  <c r="BX146" i="1"/>
  <c r="AJ144" i="1"/>
  <c r="CZ141" i="1"/>
  <c r="BL139" i="1"/>
  <c r="X137" i="1"/>
  <c r="CN134" i="1"/>
  <c r="AZ132" i="1"/>
  <c r="L130" i="1"/>
  <c r="CB127" i="1"/>
  <c r="AN125" i="1"/>
  <c r="DD122" i="1"/>
  <c r="BP120" i="1"/>
  <c r="AB118" i="1"/>
  <c r="CR115" i="1"/>
  <c r="BD113" i="1"/>
  <c r="P111" i="1"/>
  <c r="CF108" i="1"/>
  <c r="AR106" i="1"/>
  <c r="DH103" i="1"/>
  <c r="BT101" i="1"/>
  <c r="AF99" i="1"/>
  <c r="CV96" i="1"/>
  <c r="BH94" i="1"/>
  <c r="T92" i="1"/>
  <c r="CJ89" i="1"/>
  <c r="AV87" i="1"/>
  <c r="H85" i="1"/>
  <c r="BX82" i="1"/>
  <c r="AJ80" i="1"/>
  <c r="CZ77" i="1"/>
  <c r="AQ151" i="1"/>
  <c r="DG148" i="1"/>
  <c r="BS146" i="1"/>
  <c r="AE144" i="1"/>
  <c r="CU141" i="1"/>
  <c r="BG139" i="1"/>
  <c r="S137" i="1"/>
  <c r="CI134" i="1"/>
  <c r="AU132" i="1"/>
  <c r="G130" i="1"/>
  <c r="BW127" i="1"/>
  <c r="AI125" i="1"/>
  <c r="CY122" i="1"/>
  <c r="BK120" i="1"/>
  <c r="W118" i="1"/>
  <c r="CM115" i="1"/>
  <c r="AY113" i="1"/>
  <c r="K111" i="1"/>
  <c r="CA108" i="1"/>
  <c r="AM106" i="1"/>
  <c r="DC103" i="1"/>
  <c r="BO101" i="1"/>
  <c r="AA99" i="1"/>
  <c r="CQ96" i="1"/>
  <c r="BC94" i="1"/>
  <c r="O92" i="1"/>
  <c r="CE89" i="1"/>
  <c r="AQ87" i="1"/>
  <c r="DG84" i="1"/>
  <c r="BS82" i="1"/>
  <c r="AE80" i="1"/>
  <c r="CU77" i="1"/>
  <c r="CT146" i="1"/>
  <c r="AT137" i="1"/>
  <c r="CX127" i="1"/>
  <c r="AX118" i="1"/>
  <c r="DB108" i="1"/>
  <c r="BB99" i="1"/>
  <c r="DF89" i="1"/>
  <c r="BF80" i="1"/>
  <c r="O75" i="1"/>
  <c r="CE72" i="1"/>
  <c r="AQ70" i="1"/>
  <c r="DG67" i="1"/>
  <c r="BS65" i="1"/>
  <c r="AE63" i="1"/>
  <c r="CU60" i="1"/>
  <c r="BG58" i="1"/>
  <c r="S56" i="1"/>
  <c r="CI53" i="1"/>
  <c r="AU51" i="1"/>
  <c r="G49" i="1"/>
  <c r="BW46" i="1"/>
  <c r="AI44" i="1"/>
  <c r="CY41" i="1"/>
  <c r="BK39" i="1"/>
  <c r="W37" i="1"/>
  <c r="CM34" i="1"/>
  <c r="AY32" i="1"/>
  <c r="K30" i="1"/>
  <c r="CA27" i="1"/>
  <c r="AY25" i="1"/>
  <c r="K23" i="1"/>
  <c r="CA20" i="1"/>
  <c r="AM18" i="1"/>
  <c r="DC15" i="1"/>
  <c r="BO13" i="1"/>
  <c r="BV145" i="1"/>
  <c r="V136" i="1"/>
  <c r="BZ126" i="1"/>
  <c r="Z117" i="1"/>
  <c r="CD107" i="1"/>
  <c r="AD98" i="1"/>
  <c r="CH88" i="1"/>
  <c r="AH79" i="1"/>
  <c r="CL74" i="1"/>
  <c r="AX72" i="1"/>
  <c r="J70" i="1"/>
  <c r="BZ67" i="1"/>
  <c r="AL65" i="1"/>
  <c r="DB62" i="1"/>
  <c r="BN60" i="1"/>
  <c r="Z58" i="1"/>
  <c r="CP55" i="1"/>
  <c r="BB53" i="1"/>
  <c r="N51" i="1"/>
  <c r="CD48" i="1"/>
  <c r="AP46" i="1"/>
  <c r="DF43" i="1"/>
  <c r="BR41" i="1"/>
  <c r="AD39" i="1"/>
  <c r="CT36" i="1"/>
  <c r="BF34" i="1"/>
  <c r="R32" i="1"/>
  <c r="CH29" i="1"/>
  <c r="AT27" i="1"/>
  <c r="F25" i="1"/>
  <c r="BV22" i="1"/>
  <c r="AH20" i="1"/>
  <c r="CX17" i="1"/>
  <c r="BJ15" i="1"/>
  <c r="V13" i="1"/>
  <c r="CL10" i="1"/>
  <c r="AX8" i="1"/>
  <c r="J6" i="1"/>
  <c r="BZ3" i="1"/>
  <c r="AU7" i="1"/>
  <c r="CP147" i="1"/>
  <c r="AP138" i="1"/>
  <c r="CT128" i="1"/>
  <c r="AT119" i="1"/>
  <c r="CX109" i="1"/>
  <c r="AX100" i="1"/>
  <c r="DB90" i="1"/>
  <c r="BB81" i="1"/>
  <c r="AO75" i="1"/>
  <c r="DE72" i="1"/>
  <c r="BQ70" i="1"/>
  <c r="AC68" i="1"/>
  <c r="CS65" i="1"/>
  <c r="BE63" i="1"/>
  <c r="Q61" i="1"/>
  <c r="CG58" i="1"/>
  <c r="AS56" i="1"/>
  <c r="DI53" i="1"/>
  <c r="BU51" i="1"/>
  <c r="AG49" i="1"/>
  <c r="CW46" i="1"/>
  <c r="BI44" i="1"/>
  <c r="U42" i="1"/>
  <c r="CK39" i="1"/>
  <c r="AW37" i="1"/>
  <c r="I35" i="1"/>
  <c r="BY32" i="1"/>
  <c r="AK30" i="1"/>
  <c r="DA27" i="1"/>
  <c r="BM25" i="1"/>
  <c r="Y23" i="1"/>
  <c r="CO20" i="1"/>
  <c r="BA18" i="1"/>
  <c r="M16" i="1"/>
  <c r="CC13" i="1"/>
  <c r="AO11" i="1"/>
  <c r="DE8" i="1"/>
  <c r="BQ6" i="1"/>
  <c r="AC4" i="1"/>
  <c r="CE8" i="1"/>
  <c r="V150" i="1"/>
  <c r="BZ140" i="1"/>
  <c r="Z131" i="1"/>
  <c r="CD121" i="1"/>
  <c r="AD112" i="1"/>
  <c r="CH102" i="1"/>
  <c r="AH93" i="1"/>
  <c r="CL83" i="1"/>
  <c r="CZ75" i="1"/>
  <c r="BL73" i="1"/>
  <c r="X71" i="1"/>
  <c r="CN68" i="1"/>
  <c r="AZ66" i="1"/>
  <c r="L64" i="1"/>
  <c r="CB61" i="1"/>
  <c r="AN59" i="1"/>
  <c r="DD56" i="1"/>
  <c r="BP54" i="1"/>
  <c r="AB52" i="1"/>
  <c r="CR49" i="1"/>
  <c r="BD47" i="1"/>
  <c r="P45" i="1"/>
  <c r="CF42" i="1"/>
  <c r="AR40" i="1"/>
  <c r="DH37" i="1"/>
  <c r="BT35" i="1"/>
  <c r="AF33" i="1"/>
  <c r="CV30" i="1"/>
  <c r="BH28" i="1"/>
  <c r="T26" i="1"/>
  <c r="CJ23" i="1"/>
  <c r="AV21" i="1"/>
  <c r="CV18" i="1"/>
  <c r="CF14" i="1"/>
  <c r="CZ11" i="1"/>
  <c r="H7" i="1"/>
  <c r="BG11" i="1"/>
  <c r="T3" i="1"/>
  <c r="O4" i="1"/>
  <c r="AE25" i="1"/>
  <c r="CU22" i="1"/>
  <c r="BG20" i="1"/>
  <c r="S18" i="1"/>
  <c r="CI15" i="1"/>
  <c r="AU13" i="1"/>
  <c r="CX144" i="1"/>
  <c r="AX135" i="1"/>
  <c r="DB125" i="1"/>
  <c r="BB116" i="1"/>
  <c r="DF106" i="1"/>
  <c r="BF97" i="1"/>
  <c r="F88" i="1"/>
  <c r="BJ78" i="1"/>
  <c r="BR74" i="1"/>
  <c r="AD72" i="1"/>
  <c r="CT69" i="1"/>
  <c r="BF67" i="1"/>
  <c r="R65" i="1"/>
  <c r="CH62" i="1"/>
  <c r="AT60" i="1"/>
  <c r="F58" i="1"/>
  <c r="BV55" i="1"/>
  <c r="AH53" i="1"/>
  <c r="CX50" i="1"/>
  <c r="BJ48" i="1"/>
  <c r="V46" i="1"/>
  <c r="CL43" i="1"/>
  <c r="AX41" i="1"/>
  <c r="J39" i="1"/>
  <c r="BZ36" i="1"/>
  <c r="AL34" i="1"/>
  <c r="DB31" i="1"/>
  <c r="BN29" i="1"/>
  <c r="Z27" i="1"/>
  <c r="CP24" i="1"/>
  <c r="BB22" i="1"/>
  <c r="N20" i="1"/>
  <c r="CD17" i="1"/>
  <c r="AP15" i="1"/>
  <c r="DF12" i="1"/>
  <c r="BR10" i="1"/>
  <c r="AD8" i="1"/>
  <c r="CT5" i="1"/>
  <c r="BF3" i="1"/>
  <c r="CQ6" i="1"/>
  <c r="N147" i="1"/>
  <c r="BR137" i="1"/>
  <c r="R128" i="1"/>
  <c r="BV118" i="1"/>
  <c r="V109" i="1"/>
  <c r="BZ99" i="1"/>
  <c r="Z90" i="1"/>
  <c r="CD80" i="1"/>
  <c r="U75" i="1"/>
  <c r="CK72" i="1"/>
  <c r="AW70" i="1"/>
  <c r="I68" i="1"/>
  <c r="BY65" i="1"/>
  <c r="AK63" i="1"/>
  <c r="DA60" i="1"/>
  <c r="BM58" i="1"/>
  <c r="Y56" i="1"/>
  <c r="CO53" i="1"/>
  <c r="BA51" i="1"/>
  <c r="M49" i="1"/>
  <c r="CC46" i="1"/>
  <c r="AO44" i="1"/>
  <c r="DE41" i="1"/>
  <c r="BQ39" i="1"/>
  <c r="AC37" i="1"/>
  <c r="CS34" i="1"/>
  <c r="BE32" i="1"/>
  <c r="Q30" i="1"/>
  <c r="CG27" i="1"/>
  <c r="AS25" i="1"/>
  <c r="DI22" i="1"/>
  <c r="BU20" i="1"/>
  <c r="AG18" i="1"/>
  <c r="CW15" i="1"/>
  <c r="BI13" i="1"/>
  <c r="U11" i="1"/>
  <c r="CK8" i="1"/>
  <c r="AW6" i="1"/>
  <c r="I4" i="1"/>
  <c r="W8" i="1"/>
  <c r="AX149" i="1"/>
  <c r="DB139" i="1"/>
  <c r="BB130" i="1"/>
  <c r="DF120" i="1"/>
  <c r="BF111" i="1"/>
  <c r="F102" i="1"/>
  <c r="BJ92" i="1"/>
  <c r="J83" i="1"/>
  <c r="CF75" i="1"/>
  <c r="AR73" i="1"/>
  <c r="DH70" i="1"/>
  <c r="BT68" i="1"/>
  <c r="AF66" i="1"/>
  <c r="CV63" i="1"/>
  <c r="BH61" i="1"/>
  <c r="T59" i="1"/>
  <c r="CJ56" i="1"/>
  <c r="AV54" i="1"/>
  <c r="H52" i="1"/>
  <c r="BX49" i="1"/>
  <c r="AJ47" i="1"/>
  <c r="CZ44" i="1"/>
  <c r="BL42" i="1"/>
  <c r="X40" i="1"/>
  <c r="CN37" i="1"/>
  <c r="AZ35" i="1"/>
  <c r="L33" i="1"/>
  <c r="CB30" i="1"/>
  <c r="AN28" i="1"/>
  <c r="DD25" i="1"/>
  <c r="BP23" i="1"/>
  <c r="AB21" i="1"/>
  <c r="CR18" i="1"/>
  <c r="BD16" i="1"/>
  <c r="P14" i="1"/>
  <c r="CF11" i="1"/>
  <c r="AR9" i="1"/>
  <c r="DH6" i="1"/>
  <c r="CI6" i="1"/>
  <c r="BK26" i="1"/>
  <c r="W24" i="1"/>
  <c r="CM21" i="1"/>
  <c r="AY19" i="1"/>
  <c r="K17" i="1"/>
  <c r="CA14" i="1"/>
  <c r="N150" i="1"/>
  <c r="BR140" i="1"/>
  <c r="R131" i="1"/>
  <c r="BV121" i="1"/>
  <c r="V112" i="1"/>
  <c r="BZ102" i="1"/>
  <c r="Z93" i="1"/>
  <c r="CD83" i="1"/>
  <c r="CX75" i="1"/>
  <c r="BJ73" i="1"/>
  <c r="V71" i="1"/>
  <c r="CL68" i="1"/>
  <c r="AX66" i="1"/>
  <c r="J64" i="1"/>
  <c r="BZ61" i="1"/>
  <c r="AL59" i="1"/>
  <c r="DB56" i="1"/>
  <c r="BN54" i="1"/>
  <c r="Z52" i="1"/>
  <c r="CP49" i="1"/>
  <c r="BB47" i="1"/>
  <c r="N45" i="1"/>
  <c r="CD42" i="1"/>
  <c r="AP40" i="1"/>
  <c r="DF37" i="1"/>
  <c r="BR35" i="1"/>
  <c r="AD33" i="1"/>
  <c r="CT30" i="1"/>
  <c r="BF28" i="1"/>
  <c r="R26" i="1"/>
  <c r="CH23" i="1"/>
  <c r="AT21" i="1"/>
  <c r="F19" i="1"/>
  <c r="BV16" i="1"/>
  <c r="AH14" i="1"/>
  <c r="CX11" i="1"/>
  <c r="BJ9" i="1"/>
  <c r="V7" i="1"/>
  <c r="CL4" i="1"/>
  <c r="BO10" i="1"/>
  <c r="AY3" i="1"/>
  <c r="CL142" i="1"/>
  <c r="AL133" i="1"/>
  <c r="CP123" i="1"/>
  <c r="AP114" i="1"/>
  <c r="CT104" i="1"/>
  <c r="AT95" i="1"/>
  <c r="CX85" i="1"/>
  <c r="BR76" i="1"/>
  <c r="M74" i="1"/>
  <c r="CC71" i="1"/>
  <c r="AO69" i="1"/>
  <c r="DE66" i="1"/>
  <c r="BQ64" i="1"/>
  <c r="AC62" i="1"/>
  <c r="CS59" i="1"/>
  <c r="BE57" i="1"/>
  <c r="Q55" i="1"/>
  <c r="CG52" i="1"/>
  <c r="AS50" i="1"/>
  <c r="DI47" i="1"/>
  <c r="BU45" i="1"/>
  <c r="AG43" i="1"/>
  <c r="CW40" i="1"/>
  <c r="BI38" i="1"/>
  <c r="U36" i="1"/>
  <c r="CK33" i="1"/>
  <c r="AW31" i="1"/>
  <c r="I29" i="1"/>
  <c r="BY26" i="1"/>
  <c r="AK24" i="1"/>
  <c r="DA21" i="1"/>
  <c r="BM19" i="1"/>
  <c r="Y17" i="1"/>
  <c r="CO14" i="1"/>
  <c r="BA12" i="1"/>
  <c r="M10" i="1"/>
  <c r="CC7" i="1"/>
  <c r="AO5" i="1"/>
  <c r="O12" i="1"/>
  <c r="K5" i="1"/>
  <c r="R145" i="1"/>
  <c r="BV135" i="1"/>
  <c r="V126" i="1"/>
  <c r="BZ116" i="1"/>
  <c r="Z107" i="1"/>
  <c r="CD97" i="1"/>
  <c r="AD88" i="1"/>
  <c r="CH78" i="1"/>
  <c r="BX74" i="1"/>
  <c r="AJ72" i="1"/>
  <c r="CZ69" i="1"/>
  <c r="BL67" i="1"/>
  <c r="X65" i="1"/>
  <c r="CN62" i="1"/>
  <c r="AZ60" i="1"/>
  <c r="L58" i="1"/>
  <c r="CB55" i="1"/>
  <c r="AN53" i="1"/>
  <c r="DD50" i="1"/>
  <c r="BP48" i="1"/>
  <c r="AB46" i="1"/>
  <c r="CR43" i="1"/>
  <c r="BD41" i="1"/>
  <c r="P39" i="1"/>
  <c r="CF36" i="1"/>
  <c r="AR34" i="1"/>
  <c r="DH31" i="1"/>
  <c r="BT29" i="1"/>
  <c r="AF27" i="1"/>
  <c r="CV24" i="1"/>
  <c r="BH22" i="1"/>
  <c r="T20" i="1"/>
  <c r="CJ17" i="1"/>
  <c r="AV15" i="1"/>
  <c r="H13" i="1"/>
  <c r="BX10" i="1"/>
  <c r="AJ8" i="1"/>
  <c r="CZ5" i="1"/>
  <c r="AM12" i="1"/>
  <c r="CI25" i="1"/>
  <c r="AU23" i="1"/>
  <c r="G21" i="1"/>
  <c r="BW18" i="1"/>
  <c r="AI16" i="1"/>
  <c r="CY13" i="1"/>
  <c r="DF146" i="1"/>
  <c r="BF137" i="1"/>
  <c r="F128" i="1"/>
  <c r="BJ118" i="1"/>
  <c r="J109" i="1"/>
  <c r="BN99" i="1"/>
  <c r="N90" i="1"/>
  <c r="BR80" i="1"/>
  <c r="R75" i="1"/>
  <c r="CH72" i="1"/>
  <c r="AT70" i="1"/>
  <c r="F68" i="1"/>
  <c r="BV65" i="1"/>
  <c r="AH63" i="1"/>
  <c r="CX60" i="1"/>
  <c r="BJ58" i="1"/>
  <c r="V56" i="1"/>
  <c r="CL53" i="1"/>
  <c r="AX51" i="1"/>
  <c r="J49" i="1"/>
  <c r="BZ46" i="1"/>
  <c r="AL44" i="1"/>
  <c r="DB41" i="1"/>
  <c r="BN39" i="1"/>
  <c r="Z37" i="1"/>
  <c r="CP34" i="1"/>
  <c r="BB32" i="1"/>
  <c r="N30" i="1"/>
  <c r="CD27" i="1"/>
  <c r="AP25" i="1"/>
  <c r="DF22" i="1"/>
  <c r="BR20" i="1"/>
  <c r="AD18" i="1"/>
  <c r="CT15" i="1"/>
  <c r="BF13" i="1"/>
  <c r="R11" i="1"/>
  <c r="CH8" i="1"/>
  <c r="AT6" i="1"/>
  <c r="F4" i="1"/>
  <c r="AI8" i="1"/>
  <c r="V149" i="1"/>
  <c r="BZ139" i="1"/>
  <c r="Z130" i="1"/>
  <c r="CD120" i="1"/>
  <c r="AD111" i="1"/>
  <c r="CH101" i="1"/>
  <c r="AH92" i="1"/>
  <c r="CL82" i="1"/>
  <c r="BY75" i="1"/>
  <c r="AK73" i="1"/>
  <c r="DA70" i="1"/>
  <c r="BM68" i="1"/>
  <c r="Y66" i="1"/>
  <c r="CO63" i="1"/>
  <c r="BA61" i="1"/>
  <c r="M59" i="1"/>
  <c r="CC56" i="1"/>
  <c r="AO54" i="1"/>
  <c r="DE51" i="1"/>
  <c r="BQ49" i="1"/>
  <c r="AC47" i="1"/>
  <c r="CS44" i="1"/>
  <c r="BE42" i="1"/>
  <c r="Q40" i="1"/>
  <c r="CG37" i="1"/>
  <c r="AS35" i="1"/>
  <c r="DI32" i="1"/>
  <c r="BU30" i="1"/>
  <c r="AG28" i="1"/>
  <c r="CW25" i="1"/>
  <c r="BI23" i="1"/>
  <c r="U21" i="1"/>
  <c r="CK18" i="1"/>
  <c r="AW16" i="1"/>
  <c r="I14" i="1"/>
  <c r="BY11" i="1"/>
  <c r="AK9" i="1"/>
  <c r="DA6" i="1"/>
  <c r="BM4" i="1"/>
  <c r="CI9" i="1"/>
  <c r="BF151" i="1"/>
  <c r="F142" i="1"/>
  <c r="BJ132" i="1"/>
  <c r="J123" i="1"/>
  <c r="BN113" i="1"/>
  <c r="N104" i="1"/>
  <c r="BR94" i="1"/>
  <c r="R85" i="1"/>
  <c r="AP76" i="1"/>
  <c r="CV73" i="1"/>
  <c r="BH71" i="1"/>
  <c r="T69" i="1"/>
  <c r="CJ66" i="1"/>
  <c r="AV64" i="1"/>
  <c r="H62" i="1"/>
  <c r="BX59" i="1"/>
  <c r="AJ57" i="1"/>
  <c r="CZ54" i="1"/>
  <c r="BL52" i="1"/>
  <c r="X50" i="1"/>
  <c r="CN47" i="1"/>
  <c r="AZ45" i="1"/>
  <c r="L43" i="1"/>
  <c r="CB40" i="1"/>
  <c r="AN38" i="1"/>
  <c r="DD35" i="1"/>
  <c r="BP33" i="1"/>
  <c r="AB31" i="1"/>
  <c r="CR28" i="1"/>
  <c r="BD26" i="1"/>
  <c r="P24" i="1"/>
  <c r="CF21" i="1"/>
  <c r="AR19" i="1"/>
  <c r="DH16" i="1"/>
  <c r="BT14" i="1"/>
  <c r="AF12" i="1"/>
  <c r="CV9" i="1"/>
  <c r="BH7" i="1"/>
  <c r="T5" i="1"/>
  <c r="AY12" i="1"/>
  <c r="BW5" i="1"/>
  <c r="BT15" i="1"/>
  <c r="P9" i="1"/>
  <c r="K11" i="1"/>
  <c r="CI10" i="1"/>
  <c r="H3" i="1"/>
  <c r="BD107" i="1"/>
  <c r="CN104" i="1"/>
  <c r="AZ102" i="1"/>
  <c r="L100" i="1"/>
  <c r="CB97" i="1"/>
  <c r="AN95" i="1"/>
  <c r="DD92" i="1"/>
  <c r="BP90" i="1"/>
  <c r="AB88" i="1"/>
  <c r="CR85" i="1"/>
  <c r="BD83" i="1"/>
  <c r="P81" i="1"/>
  <c r="CF78" i="1"/>
  <c r="AR76" i="1"/>
  <c r="CM149" i="1"/>
  <c r="AY147" i="1"/>
  <c r="K145" i="1"/>
  <c r="CA142" i="1"/>
  <c r="AM140" i="1"/>
  <c r="DC137" i="1"/>
  <c r="BO135" i="1"/>
  <c r="AA133" i="1"/>
  <c r="CQ130" i="1"/>
  <c r="BC128" i="1"/>
  <c r="O126" i="1"/>
  <c r="CE123" i="1"/>
  <c r="AQ121" i="1"/>
  <c r="DG118" i="1"/>
  <c r="BS116" i="1"/>
  <c r="AE114" i="1"/>
  <c r="CU111" i="1"/>
  <c r="BG109" i="1"/>
  <c r="S107" i="1"/>
  <c r="CI104" i="1"/>
  <c r="AU102" i="1"/>
  <c r="G100" i="1"/>
  <c r="BW97" i="1"/>
  <c r="AI95" i="1"/>
  <c r="CY92" i="1"/>
  <c r="BK90" i="1"/>
  <c r="W88" i="1"/>
  <c r="CM85" i="1"/>
  <c r="AY83" i="1"/>
  <c r="K81" i="1"/>
  <c r="CA78" i="1"/>
  <c r="R150" i="1"/>
  <c r="BV140" i="1"/>
  <c r="V131" i="1"/>
  <c r="BZ121" i="1"/>
  <c r="Z112" i="1"/>
  <c r="CD102" i="1"/>
  <c r="AD93" i="1"/>
  <c r="CH83" i="1"/>
  <c r="CY75" i="1"/>
  <c r="BK73" i="1"/>
  <c r="W71" i="1"/>
  <c r="CM68" i="1"/>
  <c r="AY66" i="1"/>
  <c r="K64" i="1"/>
  <c r="CA61" i="1"/>
  <c r="AM59" i="1"/>
  <c r="DC56" i="1"/>
  <c r="BO54" i="1"/>
  <c r="AA52" i="1"/>
  <c r="CQ49" i="1"/>
  <c r="BC47" i="1"/>
  <c r="O45" i="1"/>
  <c r="CE42" i="1"/>
  <c r="AQ40" i="1"/>
  <c r="DG37" i="1"/>
  <c r="BS35" i="1"/>
  <c r="AE33" i="1"/>
  <c r="CU30" i="1"/>
  <c r="BG28" i="1"/>
  <c r="BV161" i="1"/>
  <c r="BF158" i="1"/>
  <c r="AL155" i="1"/>
  <c r="CH152" i="1"/>
  <c r="AS150" i="1"/>
  <c r="DI147" i="1"/>
  <c r="BU145" i="1"/>
  <c r="AG143" i="1"/>
  <c r="CW140" i="1"/>
  <c r="BI138" i="1"/>
  <c r="U136" i="1"/>
  <c r="CK133" i="1"/>
  <c r="AW131" i="1"/>
  <c r="I129" i="1"/>
  <c r="BY126" i="1"/>
  <c r="AK124" i="1"/>
  <c r="DA121" i="1"/>
  <c r="BM119" i="1"/>
  <c r="Y117" i="1"/>
  <c r="CO114" i="1"/>
  <c r="BA112" i="1"/>
  <c r="M110" i="1"/>
  <c r="CC107" i="1"/>
  <c r="AO105" i="1"/>
  <c r="DE102" i="1"/>
  <c r="BQ100" i="1"/>
  <c r="AC98" i="1"/>
  <c r="CS95" i="1"/>
  <c r="BE93" i="1"/>
  <c r="Q91" i="1"/>
  <c r="CG88" i="1"/>
  <c r="AS86" i="1"/>
  <c r="DI83" i="1"/>
  <c r="BU81" i="1"/>
  <c r="AG79" i="1"/>
  <c r="CW76" i="1"/>
  <c r="BX149" i="1"/>
  <c r="AJ147" i="1"/>
  <c r="CZ144" i="1"/>
  <c r="BL142" i="1"/>
  <c r="X140" i="1"/>
  <c r="CN137" i="1"/>
  <c r="AZ135" i="1"/>
  <c r="L133" i="1"/>
  <c r="CB130" i="1"/>
  <c r="AN128" i="1"/>
  <c r="DD125" i="1"/>
  <c r="BP123" i="1"/>
  <c r="AB121" i="1"/>
  <c r="CR118" i="1"/>
  <c r="BD116" i="1"/>
  <c r="P114" i="1"/>
  <c r="CF111" i="1"/>
  <c r="AR109" i="1"/>
  <c r="DH106" i="1"/>
  <c r="BT104" i="1"/>
  <c r="AF102" i="1"/>
  <c r="CV99" i="1"/>
  <c r="BH97" i="1"/>
  <c r="T95" i="1"/>
  <c r="CJ92" i="1"/>
  <c r="AV90" i="1"/>
  <c r="H88" i="1"/>
  <c r="BX85" i="1"/>
  <c r="AJ83" i="1"/>
  <c r="CZ80" i="1"/>
  <c r="BL78" i="1"/>
  <c r="X76" i="1"/>
  <c r="BS149" i="1"/>
  <c r="AE147" i="1"/>
  <c r="CU144" i="1"/>
  <c r="BG142" i="1"/>
  <c r="S140" i="1"/>
  <c r="CI137" i="1"/>
  <c r="AU135" i="1"/>
  <c r="G133" i="1"/>
  <c r="BW130" i="1"/>
  <c r="AI128" i="1"/>
  <c r="CY125" i="1"/>
  <c r="BK123" i="1"/>
  <c r="W121" i="1"/>
  <c r="CM118" i="1"/>
  <c r="AY116" i="1"/>
  <c r="K114" i="1"/>
  <c r="CA111" i="1"/>
  <c r="AM109" i="1"/>
  <c r="DC106" i="1"/>
  <c r="BO104" i="1"/>
  <c r="AA102" i="1"/>
  <c r="CQ99" i="1"/>
  <c r="BC97" i="1"/>
  <c r="O95" i="1"/>
  <c r="CE92" i="1"/>
  <c r="AQ90" i="1"/>
  <c r="DG87" i="1"/>
  <c r="BS85" i="1"/>
  <c r="AE83" i="1"/>
  <c r="CU80" i="1"/>
  <c r="BG78" i="1"/>
  <c r="AT149" i="1"/>
  <c r="CX139" i="1"/>
  <c r="AX130" i="1"/>
  <c r="DB120" i="1"/>
  <c r="BB111" i="1"/>
  <c r="DF101" i="1"/>
  <c r="BF92" i="1"/>
  <c r="F83" i="1"/>
  <c r="CE75" i="1"/>
  <c r="AQ73" i="1"/>
  <c r="DG70" i="1"/>
  <c r="BS68" i="1"/>
  <c r="AE66" i="1"/>
  <c r="CU63" i="1"/>
  <c r="BG61" i="1"/>
  <c r="S59" i="1"/>
  <c r="CI56" i="1"/>
  <c r="AU54" i="1"/>
  <c r="G52" i="1"/>
  <c r="BW49" i="1"/>
  <c r="AI47" i="1"/>
  <c r="CY44" i="1"/>
  <c r="BK42" i="1"/>
  <c r="W40" i="1"/>
  <c r="CM37" i="1"/>
  <c r="AY35" i="1"/>
  <c r="K33" i="1"/>
  <c r="CA30" i="1"/>
  <c r="AM28" i="1"/>
  <c r="AT161" i="1"/>
  <c r="AD158" i="1"/>
  <c r="N155" i="1"/>
  <c r="BN152" i="1"/>
  <c r="Y150" i="1"/>
  <c r="CO147" i="1"/>
  <c r="BA145" i="1"/>
  <c r="M143" i="1"/>
  <c r="CC140" i="1"/>
  <c r="AO138" i="1"/>
  <c r="DE135" i="1"/>
  <c r="BQ133" i="1"/>
  <c r="AC131" i="1"/>
  <c r="CS128" i="1"/>
  <c r="BE126" i="1"/>
  <c r="Q124" i="1"/>
  <c r="CG121" i="1"/>
  <c r="AS119" i="1"/>
  <c r="DI116" i="1"/>
  <c r="BU114" i="1"/>
  <c r="AG112" i="1"/>
  <c r="CW109" i="1"/>
  <c r="BI107" i="1"/>
  <c r="U105" i="1"/>
  <c r="CK102" i="1"/>
  <c r="AW100" i="1"/>
  <c r="I98" i="1"/>
  <c r="BY95" i="1"/>
  <c r="AK93" i="1"/>
  <c r="DA90" i="1"/>
  <c r="BM88" i="1"/>
  <c r="Y86" i="1"/>
  <c r="CO83" i="1"/>
  <c r="BA81" i="1"/>
  <c r="M79" i="1"/>
  <c r="CC76" i="1"/>
  <c r="BD149" i="1"/>
  <c r="P147" i="1"/>
  <c r="CF144" i="1"/>
  <c r="AR142" i="1"/>
  <c r="DH139" i="1"/>
  <c r="BT137" i="1"/>
  <c r="AF135" i="1"/>
  <c r="CV132" i="1"/>
  <c r="BH130" i="1"/>
  <c r="T128" i="1"/>
  <c r="CJ125" i="1"/>
  <c r="AV123" i="1"/>
  <c r="H121" i="1"/>
  <c r="BX118" i="1"/>
  <c r="AJ116" i="1"/>
  <c r="CZ113" i="1"/>
  <c r="BL111" i="1"/>
  <c r="X109" i="1"/>
  <c r="CN106" i="1"/>
  <c r="AZ104" i="1"/>
  <c r="L102" i="1"/>
  <c r="CB99" i="1"/>
  <c r="AN97" i="1"/>
  <c r="DD94" i="1"/>
  <c r="BP92" i="1"/>
  <c r="AB90" i="1"/>
  <c r="CR87" i="1"/>
  <c r="BD85" i="1"/>
  <c r="P83" i="1"/>
  <c r="CF80" i="1"/>
  <c r="AR78" i="1"/>
  <c r="DH75" i="1"/>
  <c r="AY149" i="1"/>
  <c r="K147" i="1"/>
  <c r="CA144" i="1"/>
  <c r="AM142" i="1"/>
  <c r="DC139" i="1"/>
  <c r="BO137" i="1"/>
  <c r="AA135" i="1"/>
  <c r="CQ132" i="1"/>
  <c r="BC130" i="1"/>
  <c r="O128" i="1"/>
  <c r="CE125" i="1"/>
  <c r="AQ123" i="1"/>
  <c r="DG120" i="1"/>
  <c r="BS118" i="1"/>
  <c r="AE116" i="1"/>
  <c r="CU113" i="1"/>
  <c r="BG111" i="1"/>
  <c r="S109" i="1"/>
  <c r="CI106" i="1"/>
  <c r="AU104" i="1"/>
  <c r="G102" i="1"/>
  <c r="BW99" i="1"/>
  <c r="AI97" i="1"/>
  <c r="CY94" i="1"/>
  <c r="BK92" i="1"/>
  <c r="W90" i="1"/>
  <c r="CM87" i="1"/>
  <c r="AY85" i="1"/>
  <c r="K83" i="1"/>
  <c r="CA80" i="1"/>
  <c r="AM78" i="1"/>
  <c r="BV148" i="1"/>
  <c r="V139" i="1"/>
  <c r="BZ129" i="1"/>
  <c r="Z120" i="1"/>
  <c r="CD110" i="1"/>
  <c r="AD101" i="1"/>
  <c r="CH91" i="1"/>
  <c r="AH82" i="1"/>
  <c r="BK75" i="1"/>
  <c r="W73" i="1"/>
  <c r="CM70" i="1"/>
  <c r="AY68" i="1"/>
  <c r="K66" i="1"/>
  <c r="CA63" i="1"/>
  <c r="AM61" i="1"/>
  <c r="DC58" i="1"/>
  <c r="BO56" i="1"/>
  <c r="AA54" i="1"/>
  <c r="CQ51" i="1"/>
  <c r="BC49" i="1"/>
  <c r="O47" i="1"/>
  <c r="CE44" i="1"/>
  <c r="AQ42" i="1"/>
  <c r="DG39" i="1"/>
  <c r="BS37" i="1"/>
  <c r="AE35" i="1"/>
  <c r="CU32" i="1"/>
  <c r="BG30" i="1"/>
  <c r="S28" i="1"/>
  <c r="CU25" i="1"/>
  <c r="BG23" i="1"/>
  <c r="S21" i="1"/>
  <c r="CI18" i="1"/>
  <c r="AU16" i="1"/>
  <c r="G14" i="1"/>
  <c r="AX147" i="1"/>
  <c r="DB137" i="1"/>
  <c r="BB128" i="1"/>
  <c r="DF118" i="1"/>
  <c r="BF109" i="1"/>
  <c r="F100" i="1"/>
  <c r="BJ90" i="1"/>
  <c r="J81" i="1"/>
  <c r="AD75" i="1"/>
  <c r="CT72" i="1"/>
  <c r="BF70" i="1"/>
  <c r="R68" i="1"/>
  <c r="CH65" i="1"/>
  <c r="AT63" i="1"/>
  <c r="F61" i="1"/>
  <c r="BV58" i="1"/>
  <c r="AH56" i="1"/>
  <c r="CX53" i="1"/>
  <c r="BJ51" i="1"/>
  <c r="V49" i="1"/>
  <c r="CL46" i="1"/>
  <c r="AX44" i="1"/>
  <c r="J42" i="1"/>
  <c r="BZ39" i="1"/>
  <c r="AL37" i="1"/>
  <c r="DB34" i="1"/>
  <c r="BN32" i="1"/>
  <c r="Z30" i="1"/>
  <c r="CP27" i="1"/>
  <c r="BB25" i="1"/>
  <c r="N23" i="1"/>
  <c r="CD20" i="1"/>
  <c r="AP18" i="1"/>
  <c r="DF15" i="1"/>
  <c r="BR13" i="1"/>
  <c r="AD11" i="1"/>
  <c r="CT8" i="1"/>
  <c r="BF6" i="1"/>
  <c r="R4" i="1"/>
  <c r="BW8" i="1"/>
  <c r="BR149" i="1"/>
  <c r="R140" i="1"/>
  <c r="BV130" i="1"/>
  <c r="V121" i="1"/>
  <c r="BZ111" i="1"/>
  <c r="Z102" i="1"/>
  <c r="CD92" i="1"/>
  <c r="AD83" i="1"/>
  <c r="CK75" i="1"/>
  <c r="AW73" i="1"/>
  <c r="I71" i="1"/>
  <c r="BY68" i="1"/>
  <c r="AK66" i="1"/>
  <c r="DA63" i="1"/>
  <c r="BM61" i="1"/>
  <c r="Y59" i="1"/>
  <c r="CO56" i="1"/>
  <c r="BA54" i="1"/>
  <c r="M52" i="1"/>
  <c r="CC49" i="1"/>
  <c r="AO47" i="1"/>
  <c r="DE44" i="1"/>
  <c r="BQ42" i="1"/>
  <c r="AC40" i="1"/>
  <c r="CS37" i="1"/>
  <c r="BE35" i="1"/>
  <c r="Q33" i="1"/>
  <c r="CG30" i="1"/>
  <c r="AS28" i="1"/>
  <c r="DI25" i="1"/>
  <c r="BU23" i="1"/>
  <c r="AG21" i="1"/>
  <c r="CW18" i="1"/>
  <c r="BI16" i="1"/>
  <c r="U14" i="1"/>
  <c r="CK11" i="1"/>
  <c r="AW9" i="1"/>
  <c r="I7" i="1"/>
  <c r="BY4" i="1"/>
  <c r="O10" i="1"/>
  <c r="W3" i="1"/>
  <c r="BB142" i="1"/>
  <c r="DF132" i="1"/>
  <c r="BF123" i="1"/>
  <c r="F114" i="1"/>
  <c r="BJ104" i="1"/>
  <c r="J95" i="1"/>
  <c r="BN85" i="1"/>
  <c r="BF76" i="1"/>
  <c r="DH73" i="1"/>
  <c r="BT71" i="1"/>
  <c r="AF69" i="1"/>
  <c r="CV66" i="1"/>
  <c r="BH64" i="1"/>
  <c r="T62" i="1"/>
  <c r="CJ59" i="1"/>
  <c r="AV57" i="1"/>
  <c r="H55" i="1"/>
  <c r="BX52" i="1"/>
  <c r="AJ50" i="1"/>
  <c r="CZ47" i="1"/>
  <c r="BL45" i="1"/>
  <c r="X43" i="1"/>
  <c r="CN40" i="1"/>
  <c r="AZ38" i="1"/>
  <c r="L36" i="1"/>
  <c r="CB33" i="1"/>
  <c r="AN31" i="1"/>
  <c r="DD28" i="1"/>
  <c r="BP26" i="1"/>
  <c r="AB24" i="1"/>
  <c r="CR21" i="1"/>
  <c r="BD19" i="1"/>
  <c r="CZ15" i="1"/>
  <c r="BH12" i="1"/>
  <c r="CZ7" i="1"/>
  <c r="X3" i="1"/>
  <c r="BD4" i="1"/>
  <c r="G9" i="1"/>
  <c r="CA25" i="1"/>
  <c r="AM23" i="1"/>
  <c r="DC20" i="1"/>
  <c r="BO18" i="1"/>
  <c r="AA16" i="1"/>
  <c r="CQ13" i="1"/>
  <c r="BZ146" i="1"/>
  <c r="Z137" i="1"/>
  <c r="CD127" i="1"/>
  <c r="AD118" i="1"/>
  <c r="CH108" i="1"/>
  <c r="AH99" i="1"/>
  <c r="CL89" i="1"/>
  <c r="AL80" i="1"/>
  <c r="J75" i="1"/>
  <c r="BZ72" i="1"/>
  <c r="AL70" i="1"/>
  <c r="DB67" i="1"/>
  <c r="BN65" i="1"/>
  <c r="Z63" i="1"/>
  <c r="CP60" i="1"/>
  <c r="BB58" i="1"/>
  <c r="N56" i="1"/>
  <c r="CD53" i="1"/>
  <c r="AP51" i="1"/>
  <c r="DF48" i="1"/>
  <c r="BR46" i="1"/>
  <c r="AD44" i="1"/>
  <c r="CT41" i="1"/>
  <c r="BF39" i="1"/>
  <c r="R37" i="1"/>
  <c r="CH34" i="1"/>
  <c r="AT32" i="1"/>
  <c r="F30" i="1"/>
  <c r="BV27" i="1"/>
  <c r="AH25" i="1"/>
  <c r="CX22" i="1"/>
  <c r="BJ20" i="1"/>
  <c r="V18" i="1"/>
  <c r="CL15" i="1"/>
  <c r="AX13" i="1"/>
  <c r="J11" i="1"/>
  <c r="BZ8" i="1"/>
  <c r="AL6" i="1"/>
  <c r="DB3" i="1"/>
  <c r="S8" i="1"/>
  <c r="CT148" i="1"/>
  <c r="AT139" i="1"/>
  <c r="CX129" i="1"/>
  <c r="AX120" i="1"/>
  <c r="DB110" i="1"/>
  <c r="BB101" i="1"/>
  <c r="DF91" i="1"/>
  <c r="BF82" i="1"/>
  <c r="BQ75" i="1"/>
  <c r="AC73" i="1"/>
  <c r="CS70" i="1"/>
  <c r="BE68" i="1"/>
  <c r="Q66" i="1"/>
  <c r="CG63" i="1"/>
  <c r="AS61" i="1"/>
  <c r="DI58" i="1"/>
  <c r="BU56" i="1"/>
  <c r="AG54" i="1"/>
  <c r="CW51" i="1"/>
  <c r="BI49" i="1"/>
  <c r="U47" i="1"/>
  <c r="CK44" i="1"/>
  <c r="AW42" i="1"/>
  <c r="I40" i="1"/>
  <c r="BY37" i="1"/>
  <c r="AK35" i="1"/>
  <c r="DA32" i="1"/>
  <c r="BM30" i="1"/>
  <c r="Y28" i="1"/>
  <c r="CO25" i="1"/>
  <c r="BA23" i="1"/>
  <c r="M21" i="1"/>
  <c r="CC18" i="1"/>
  <c r="AO16" i="1"/>
  <c r="DE13" i="1"/>
  <c r="BQ11" i="1"/>
  <c r="AC9" i="1"/>
  <c r="CS6" i="1"/>
  <c r="BE4" i="1"/>
  <c r="BK9" i="1"/>
  <c r="Z151" i="1"/>
  <c r="CD141" i="1"/>
  <c r="AD132" i="1"/>
  <c r="CH122" i="1"/>
  <c r="AH113" i="1"/>
  <c r="CL103" i="1"/>
  <c r="AL94" i="1"/>
  <c r="CP84" i="1"/>
  <c r="AE76" i="1"/>
  <c r="CN73" i="1"/>
  <c r="AZ71" i="1"/>
  <c r="L69" i="1"/>
  <c r="CB66" i="1"/>
  <c r="AN64" i="1"/>
  <c r="DD61" i="1"/>
  <c r="BP59" i="1"/>
  <c r="AB57" i="1"/>
  <c r="CR54" i="1"/>
  <c r="BD52" i="1"/>
  <c r="P50" i="1"/>
  <c r="CF47" i="1"/>
  <c r="AR45" i="1"/>
  <c r="DH42" i="1"/>
  <c r="BT40" i="1"/>
  <c r="AF38" i="1"/>
  <c r="CV35" i="1"/>
  <c r="BH33" i="1"/>
  <c r="T31" i="1"/>
  <c r="CJ28" i="1"/>
  <c r="AV26" i="1"/>
  <c r="H24" i="1"/>
  <c r="BX21" i="1"/>
  <c r="AJ19" i="1"/>
  <c r="CZ16" i="1"/>
  <c r="BL14" i="1"/>
  <c r="X12" i="1"/>
  <c r="CN9" i="1"/>
  <c r="AZ7" i="1"/>
  <c r="AU11" i="1"/>
  <c r="DG26" i="1"/>
  <c r="BS24" i="1"/>
  <c r="AE22" i="1"/>
  <c r="CU19" i="1"/>
  <c r="BG17" i="1"/>
  <c r="S15" i="1"/>
  <c r="CI12" i="1"/>
  <c r="AT142" i="1"/>
  <c r="CX132" i="1"/>
  <c r="AX123" i="1"/>
  <c r="DB113" i="1"/>
  <c r="BB104" i="1"/>
  <c r="DF94" i="1"/>
  <c r="BF85" i="1"/>
  <c r="BC76" i="1"/>
  <c r="DF73" i="1"/>
  <c r="BR71" i="1"/>
  <c r="AD69" i="1"/>
  <c r="CT66" i="1"/>
  <c r="BF64" i="1"/>
  <c r="R62" i="1"/>
  <c r="CH59" i="1"/>
  <c r="AT57" i="1"/>
  <c r="F55" i="1"/>
  <c r="BV52" i="1"/>
  <c r="AH50" i="1"/>
  <c r="CX47" i="1"/>
  <c r="BJ45" i="1"/>
  <c r="V43" i="1"/>
  <c r="CL40" i="1"/>
  <c r="AX38" i="1"/>
  <c r="J36" i="1"/>
  <c r="BZ33" i="1"/>
  <c r="AL31" i="1"/>
  <c r="DB28" i="1"/>
  <c r="BN26" i="1"/>
  <c r="Z24" i="1"/>
  <c r="CP21" i="1"/>
  <c r="BB19" i="1"/>
  <c r="N17" i="1"/>
  <c r="CD14" i="1"/>
  <c r="AP12" i="1"/>
  <c r="DF9" i="1"/>
  <c r="BR7" i="1"/>
  <c r="AD5" i="1"/>
  <c r="CY11" i="1"/>
  <c r="CA4" i="1"/>
  <c r="BN144" i="1"/>
  <c r="N135" i="1"/>
  <c r="BR125" i="1"/>
  <c r="R116" i="1"/>
  <c r="BV106" i="1"/>
  <c r="V97" i="1"/>
  <c r="BZ87" i="1"/>
  <c r="Z78" i="1"/>
  <c r="BI74" i="1"/>
  <c r="U72" i="1"/>
  <c r="CK69" i="1"/>
  <c r="AW67" i="1"/>
  <c r="I65" i="1"/>
  <c r="BY62" i="1"/>
  <c r="AK60" i="1"/>
  <c r="DA57" i="1"/>
  <c r="BM55" i="1"/>
  <c r="Y53" i="1"/>
  <c r="CO50" i="1"/>
  <c r="BA48" i="1"/>
  <c r="M46" i="1"/>
  <c r="CC43" i="1"/>
  <c r="AO41" i="1"/>
  <c r="DE38" i="1"/>
  <c r="BQ36" i="1"/>
  <c r="AC34" i="1"/>
  <c r="CS31" i="1"/>
  <c r="BE29" i="1"/>
  <c r="Q27" i="1"/>
  <c r="CG24" i="1"/>
  <c r="AS22" i="1"/>
  <c r="DI19" i="1"/>
  <c r="BU17" i="1"/>
  <c r="AG15" i="1"/>
  <c r="CW12" i="1"/>
  <c r="BI10" i="1"/>
  <c r="U8" i="1"/>
  <c r="CK5" i="1"/>
  <c r="AW3" i="1"/>
  <c r="AU6" i="1"/>
  <c r="CX146" i="1"/>
  <c r="AX137" i="1"/>
  <c r="DB127" i="1"/>
  <c r="BB118" i="1"/>
  <c r="DF108" i="1"/>
  <c r="BF99" i="1"/>
  <c r="F90" i="1"/>
  <c r="BJ80" i="1"/>
  <c r="P75" i="1"/>
  <c r="CF72" i="1"/>
  <c r="AR70" i="1"/>
  <c r="DH67" i="1"/>
  <c r="BT65" i="1"/>
  <c r="AF63" i="1"/>
  <c r="CV60" i="1"/>
  <c r="BH58" i="1"/>
  <c r="T56" i="1"/>
  <c r="CJ53" i="1"/>
  <c r="AV51" i="1"/>
  <c r="H49" i="1"/>
  <c r="BX46" i="1"/>
  <c r="AJ44" i="1"/>
  <c r="CZ41" i="1"/>
  <c r="BL39" i="1"/>
  <c r="X37" i="1"/>
  <c r="CN34" i="1"/>
  <c r="AZ32" i="1"/>
  <c r="L30" i="1"/>
  <c r="CB27" i="1"/>
  <c r="AN25" i="1"/>
  <c r="DD22" i="1"/>
  <c r="BP20" i="1"/>
  <c r="AB18" i="1"/>
  <c r="CR15" i="1"/>
  <c r="BD13" i="1"/>
  <c r="P11" i="1"/>
  <c r="CF8" i="1"/>
  <c r="AR6" i="1"/>
  <c r="DH3" i="1"/>
  <c r="AA26" i="1"/>
  <c r="CQ23" i="1"/>
  <c r="BC21" i="1"/>
  <c r="O19" i="1"/>
  <c r="CE16" i="1"/>
  <c r="AQ14" i="1"/>
  <c r="CH148" i="1"/>
  <c r="AH139" i="1"/>
  <c r="CL129" i="1"/>
  <c r="AL120" i="1"/>
  <c r="CP110" i="1"/>
  <c r="AP101" i="1"/>
  <c r="CT91" i="1"/>
  <c r="AT82" i="1"/>
  <c r="BN75" i="1"/>
  <c r="Z73" i="1"/>
  <c r="CP70" i="1"/>
  <c r="BB68" i="1"/>
  <c r="N66" i="1"/>
  <c r="CD63" i="1"/>
  <c r="AP61" i="1"/>
  <c r="DF58" i="1"/>
  <c r="BR56" i="1"/>
  <c r="AD54" i="1"/>
  <c r="CT51" i="1"/>
  <c r="BF49" i="1"/>
  <c r="R47" i="1"/>
  <c r="CH44" i="1"/>
  <c r="AT42" i="1"/>
  <c r="F40" i="1"/>
  <c r="BV37" i="1"/>
  <c r="AH35" i="1"/>
  <c r="CX32" i="1"/>
  <c r="BJ30" i="1"/>
  <c r="V28" i="1"/>
  <c r="CL25" i="1"/>
  <c r="AX23" i="1"/>
  <c r="J21" i="1"/>
  <c r="BZ18" i="1"/>
  <c r="AL16" i="1"/>
  <c r="DB13" i="1"/>
  <c r="BN11" i="1"/>
  <c r="Z9" i="1"/>
  <c r="CP6" i="1"/>
  <c r="BB4" i="1"/>
  <c r="BS9" i="1"/>
  <c r="DB150" i="1"/>
  <c r="BB141" i="1"/>
  <c r="DF131" i="1"/>
  <c r="BF122" i="1"/>
  <c r="F113" i="1"/>
  <c r="BJ103" i="1"/>
  <c r="J94" i="1"/>
  <c r="BN84" i="1"/>
  <c r="V76" i="1"/>
  <c r="CG73" i="1"/>
  <c r="AS71" i="1"/>
  <c r="DI68" i="1"/>
  <c r="BU66" i="1"/>
  <c r="AG64" i="1"/>
  <c r="CW61" i="1"/>
  <c r="BI59" i="1"/>
  <c r="U57" i="1"/>
  <c r="CK54" i="1"/>
  <c r="AW52" i="1"/>
  <c r="I50" i="1"/>
  <c r="BY47" i="1"/>
  <c r="AK45" i="1"/>
  <c r="DA42" i="1"/>
  <c r="BM40" i="1"/>
  <c r="Y38" i="1"/>
  <c r="CO35" i="1"/>
  <c r="BA33" i="1"/>
  <c r="M31" i="1"/>
  <c r="CC28" i="1"/>
  <c r="AO26" i="1"/>
  <c r="DE23" i="1"/>
  <c r="BQ21" i="1"/>
  <c r="AC19" i="1"/>
  <c r="CS16" i="1"/>
  <c r="BE14" i="1"/>
  <c r="Q12" i="1"/>
  <c r="CG9" i="1"/>
  <c r="AS7" i="1"/>
  <c r="DI4" i="1"/>
  <c r="S11" i="1"/>
  <c r="S4" i="1"/>
  <c r="CL143" i="1"/>
  <c r="AL134" i="1"/>
  <c r="CP124" i="1"/>
  <c r="AP115" i="1"/>
  <c r="CT105" i="1"/>
  <c r="AT96" i="1"/>
  <c r="CX86" i="1"/>
  <c r="AX77" i="1"/>
  <c r="AN74" i="1"/>
  <c r="DD71" i="1"/>
  <c r="BP69" i="1"/>
  <c r="AB67" i="1"/>
  <c r="CR64" i="1"/>
  <c r="BD62" i="1"/>
  <c r="P60" i="1"/>
  <c r="CF57" i="1"/>
  <c r="AR55" i="1"/>
  <c r="DH52" i="1"/>
  <c r="BT50" i="1"/>
  <c r="AF48" i="1"/>
  <c r="CV45" i="1"/>
  <c r="BH43" i="1"/>
  <c r="T41" i="1"/>
  <c r="CJ38" i="1"/>
  <c r="AV36" i="1"/>
  <c r="H34" i="1"/>
  <c r="BX31" i="1"/>
  <c r="AJ29" i="1"/>
  <c r="CZ26" i="1"/>
  <c r="BL24" i="1"/>
  <c r="X22" i="1"/>
  <c r="CN19" i="1"/>
  <c r="AZ17" i="1"/>
  <c r="L15" i="1"/>
  <c r="CB12" i="1"/>
  <c r="AN10" i="1"/>
  <c r="DD7" i="1"/>
  <c r="CN3" i="1"/>
  <c r="AV5" i="1"/>
  <c r="X107" i="1"/>
  <c r="BX104" i="1"/>
  <c r="AJ102" i="1"/>
  <c r="CZ99" i="1"/>
  <c r="BL97" i="1"/>
  <c r="X95" i="1"/>
  <c r="CN92" i="1"/>
  <c r="AZ90" i="1"/>
  <c r="L88" i="1"/>
  <c r="CB85" i="1"/>
  <c r="AN83" i="1"/>
  <c r="DD80" i="1"/>
  <c r="BP78" i="1"/>
  <c r="AB76" i="1"/>
  <c r="BW149" i="1"/>
  <c r="AI147" i="1"/>
  <c r="CY144" i="1"/>
  <c r="BK142" i="1"/>
  <c r="W140" i="1"/>
  <c r="CM137" i="1"/>
  <c r="AY135" i="1"/>
  <c r="K133" i="1"/>
  <c r="CA130" i="1"/>
  <c r="AM128" i="1"/>
  <c r="DC125" i="1"/>
  <c r="BO123" i="1"/>
  <c r="AA121" i="1"/>
  <c r="CQ118" i="1"/>
  <c r="BC116" i="1"/>
  <c r="O114" i="1"/>
  <c r="CE111" i="1"/>
  <c r="AQ109" i="1"/>
  <c r="DG106" i="1"/>
  <c r="BS104" i="1"/>
  <c r="AE102" i="1"/>
  <c r="CU99" i="1"/>
  <c r="BG97" i="1"/>
  <c r="S95" i="1"/>
  <c r="CI92" i="1"/>
  <c r="AU90" i="1"/>
  <c r="G88" i="1"/>
  <c r="BW85" i="1"/>
  <c r="AI83" i="1"/>
  <c r="CY80" i="1"/>
  <c r="BK78" i="1"/>
  <c r="BJ149" i="1"/>
  <c r="J140" i="1"/>
  <c r="BN130" i="1"/>
  <c r="N121" i="1"/>
  <c r="BR111" i="1"/>
  <c r="R102" i="1"/>
  <c r="BV92" i="1"/>
  <c r="V83" i="1"/>
  <c r="CI75" i="1"/>
  <c r="AU73" i="1"/>
  <c r="G71" i="1"/>
  <c r="BW68" i="1"/>
  <c r="AI66" i="1"/>
  <c r="CY63" i="1"/>
  <c r="BK61" i="1"/>
  <c r="W59" i="1"/>
  <c r="CM56" i="1"/>
  <c r="AY54" i="1"/>
  <c r="K52" i="1"/>
  <c r="CA49" i="1"/>
  <c r="AM47" i="1"/>
  <c r="DC44" i="1"/>
  <c r="BO42" i="1"/>
  <c r="AA40" i="1"/>
  <c r="CQ37" i="1"/>
  <c r="BC35" i="1"/>
  <c r="O33" i="1"/>
  <c r="CE30" i="1"/>
  <c r="AQ28" i="1"/>
  <c r="BB161" i="1"/>
  <c r="AH158" i="1"/>
  <c r="R155" i="1"/>
  <c r="BR152" i="1"/>
  <c r="AC150" i="1"/>
  <c r="CS147" i="1"/>
  <c r="BE145" i="1"/>
  <c r="Q143" i="1"/>
  <c r="CG140" i="1"/>
  <c r="AS138" i="1"/>
  <c r="DI135" i="1"/>
  <c r="BU133" i="1"/>
  <c r="AG131" i="1"/>
  <c r="CW128" i="1"/>
  <c r="BI126" i="1"/>
  <c r="U124" i="1"/>
  <c r="CK121" i="1"/>
  <c r="AW119" i="1"/>
  <c r="I117" i="1"/>
  <c r="BY114" i="1"/>
  <c r="AK112" i="1"/>
  <c r="DA109" i="1"/>
  <c r="BM107" i="1"/>
  <c r="Y105" i="1"/>
  <c r="CO102" i="1"/>
  <c r="BA100" i="1"/>
  <c r="M98" i="1"/>
  <c r="CC95" i="1"/>
  <c r="AO93" i="1"/>
  <c r="DE90" i="1"/>
  <c r="BQ88" i="1"/>
  <c r="AC86" i="1"/>
  <c r="CS83" i="1"/>
  <c r="BE81" i="1"/>
  <c r="Q79" i="1"/>
  <c r="CG76" i="1"/>
  <c r="BH149" i="1"/>
  <c r="T147" i="1"/>
  <c r="CJ144" i="1"/>
  <c r="AV142" i="1"/>
  <c r="H140" i="1"/>
  <c r="BX137" i="1"/>
  <c r="AJ135" i="1"/>
  <c r="CZ132" i="1"/>
  <c r="BL130" i="1"/>
  <c r="X128" i="1"/>
  <c r="CN125" i="1"/>
  <c r="AZ123" i="1"/>
  <c r="L121" i="1"/>
  <c r="CB118" i="1"/>
  <c r="AN116" i="1"/>
  <c r="DD113" i="1"/>
  <c r="BP111" i="1"/>
  <c r="AB109" i="1"/>
  <c r="CR106" i="1"/>
  <c r="BD104" i="1"/>
  <c r="P102" i="1"/>
  <c r="CF99" i="1"/>
  <c r="AR97" i="1"/>
  <c r="DH94" i="1"/>
  <c r="BT92" i="1"/>
  <c r="AF90" i="1"/>
  <c r="CV87" i="1"/>
  <c r="BH85" i="1"/>
  <c r="T83" i="1"/>
  <c r="CJ80" i="1"/>
  <c r="AV78" i="1"/>
  <c r="H76" i="1"/>
  <c r="BC149" i="1"/>
  <c r="O147" i="1"/>
  <c r="CE144" i="1"/>
  <c r="AQ142" i="1"/>
  <c r="DG139" i="1"/>
  <c r="BS137" i="1"/>
  <c r="AE135" i="1"/>
  <c r="CU132" i="1"/>
  <c r="BG130" i="1"/>
  <c r="S128" i="1"/>
  <c r="CI125" i="1"/>
  <c r="AU123" i="1"/>
  <c r="G121" i="1"/>
  <c r="BW118" i="1"/>
  <c r="AI116" i="1"/>
  <c r="CY113" i="1"/>
  <c r="BK111" i="1"/>
  <c r="W109" i="1"/>
  <c r="CM106" i="1"/>
  <c r="AY104" i="1"/>
  <c r="K102" i="1"/>
  <c r="CA99" i="1"/>
  <c r="AM97" i="1"/>
  <c r="DC94" i="1"/>
  <c r="BO92" i="1"/>
  <c r="AA90" i="1"/>
  <c r="CQ87" i="1"/>
  <c r="BC85" i="1"/>
  <c r="O83" i="1"/>
  <c r="CE80" i="1"/>
  <c r="AQ78" i="1"/>
  <c r="CL148" i="1"/>
  <c r="AL139" i="1"/>
  <c r="CP129" i="1"/>
  <c r="AP120" i="1"/>
  <c r="CT110" i="1"/>
  <c r="AT101" i="1"/>
  <c r="CX91" i="1"/>
  <c r="AX82" i="1"/>
  <c r="BO75" i="1"/>
  <c r="AA73" i="1"/>
  <c r="CQ70" i="1"/>
  <c r="BC68" i="1"/>
  <c r="O66" i="1"/>
  <c r="CE63" i="1"/>
  <c r="AQ61" i="1"/>
  <c r="DG58" i="1"/>
  <c r="BS56" i="1"/>
  <c r="AE54" i="1"/>
  <c r="CU51" i="1"/>
  <c r="BG49" i="1"/>
  <c r="S47" i="1"/>
  <c r="CI44" i="1"/>
  <c r="AU42" i="1"/>
  <c r="G40" i="1"/>
  <c r="BW37" i="1"/>
  <c r="AI35" i="1"/>
  <c r="CY32" i="1"/>
  <c r="BK30" i="1"/>
  <c r="W28" i="1"/>
  <c r="Z161" i="1"/>
  <c r="J158" i="1"/>
  <c r="CT154" i="1"/>
  <c r="AX152" i="1"/>
  <c r="I150" i="1"/>
  <c r="BY147" i="1"/>
  <c r="AK145" i="1"/>
  <c r="DA142" i="1"/>
  <c r="BM140" i="1"/>
  <c r="Y138" i="1"/>
  <c r="CO135" i="1"/>
  <c r="BA133" i="1"/>
  <c r="M131" i="1"/>
  <c r="CC128" i="1"/>
  <c r="AO126" i="1"/>
  <c r="DE123" i="1"/>
  <c r="BQ121" i="1"/>
  <c r="AC119" i="1"/>
  <c r="CS116" i="1"/>
  <c r="BE114" i="1"/>
  <c r="Q112" i="1"/>
  <c r="CG109" i="1"/>
  <c r="AS107" i="1"/>
  <c r="DI104" i="1"/>
  <c r="BU102" i="1"/>
  <c r="AG100" i="1"/>
  <c r="CW97" i="1"/>
  <c r="BI95" i="1"/>
  <c r="U93" i="1"/>
  <c r="CK90" i="1"/>
  <c r="AW88" i="1"/>
  <c r="I86" i="1"/>
  <c r="BY83" i="1"/>
  <c r="AK81" i="1"/>
  <c r="DA78" i="1"/>
  <c r="CF151" i="1"/>
  <c r="AN149" i="1"/>
  <c r="DD146" i="1"/>
  <c r="BP144" i="1"/>
  <c r="AB142" i="1"/>
  <c r="CR139" i="1"/>
  <c r="BD137" i="1"/>
  <c r="P135" i="1"/>
  <c r="CF132" i="1"/>
  <c r="AR130" i="1"/>
  <c r="DH127" i="1"/>
  <c r="BT125" i="1"/>
  <c r="AF123" i="1"/>
  <c r="CV120" i="1"/>
  <c r="BH118" i="1"/>
  <c r="T116" i="1"/>
  <c r="CJ113" i="1"/>
  <c r="AV111" i="1"/>
  <c r="H109" i="1"/>
  <c r="BX106" i="1"/>
  <c r="AJ104" i="1"/>
  <c r="CZ101" i="1"/>
  <c r="BL99" i="1"/>
  <c r="X97" i="1"/>
  <c r="CN94" i="1"/>
  <c r="AZ92" i="1"/>
  <c r="L90" i="1"/>
  <c r="CB87" i="1"/>
  <c r="AN85" i="1"/>
  <c r="DD82" i="1"/>
  <c r="BP80" i="1"/>
  <c r="AB78" i="1"/>
  <c r="BZ151" i="1"/>
  <c r="AI149" i="1"/>
  <c r="CY146" i="1"/>
  <c r="BK144" i="1"/>
  <c r="W142" i="1"/>
  <c r="CM139" i="1"/>
  <c r="AY137" i="1"/>
  <c r="K135" i="1"/>
  <c r="CA132" i="1"/>
  <c r="AM130" i="1"/>
  <c r="DC127" i="1"/>
  <c r="BO125" i="1"/>
  <c r="AA123" i="1"/>
  <c r="CQ120" i="1"/>
  <c r="BC118" i="1"/>
  <c r="O116" i="1"/>
  <c r="CE113" i="1"/>
  <c r="AQ111" i="1"/>
  <c r="DG108" i="1"/>
  <c r="BS106" i="1"/>
  <c r="AE104" i="1"/>
  <c r="CU101" i="1"/>
  <c r="BG99" i="1"/>
  <c r="S97" i="1"/>
  <c r="CI94" i="1"/>
  <c r="AU92" i="1"/>
  <c r="G90" i="1"/>
  <c r="BW87" i="1"/>
  <c r="AI85" i="1"/>
  <c r="CY82" i="1"/>
  <c r="BK80" i="1"/>
  <c r="W78" i="1"/>
  <c r="J148" i="1"/>
  <c r="BN138" i="1"/>
  <c r="N129" i="1"/>
  <c r="BR119" i="1"/>
  <c r="R110" i="1"/>
  <c r="BV100" i="1"/>
  <c r="V91" i="1"/>
  <c r="BZ81" i="1"/>
  <c r="AU75" i="1"/>
  <c r="G73" i="1"/>
  <c r="BW70" i="1"/>
  <c r="BS227" i="1"/>
  <c r="AE213" i="1"/>
  <c r="CI203" i="1"/>
  <c r="AI194" i="1"/>
  <c r="CM184" i="1"/>
  <c r="AM175" i="1"/>
  <c r="CQ165" i="1"/>
  <c r="AQ156" i="1"/>
  <c r="BI227" i="1"/>
  <c r="Z213" i="1"/>
  <c r="CD203" i="1"/>
  <c r="AD194" i="1"/>
  <c r="CH184" i="1"/>
  <c r="AH175" i="1"/>
  <c r="CL165" i="1"/>
  <c r="CD153" i="1"/>
  <c r="AC144" i="1"/>
  <c r="CG134" i="1"/>
  <c r="AG125" i="1"/>
  <c r="CK115" i="1"/>
  <c r="AK106" i="1"/>
  <c r="CO96" i="1"/>
  <c r="AO87" i="1"/>
  <c r="CS77" i="1"/>
  <c r="BH143" i="1"/>
  <c r="H134" i="1"/>
  <c r="BL124" i="1"/>
  <c r="L115" i="1"/>
  <c r="BP105" i="1"/>
  <c r="P96" i="1"/>
  <c r="BT86" i="1"/>
  <c r="T77" i="1"/>
  <c r="BC143" i="1"/>
  <c r="DG133" i="1"/>
  <c r="BG124" i="1"/>
  <c r="G115" i="1"/>
  <c r="BK105" i="1"/>
  <c r="K96" i="1"/>
  <c r="BO86" i="1"/>
  <c r="O77" i="1"/>
  <c r="AL115" i="1"/>
  <c r="AT77" i="1"/>
  <c r="AA67" i="1"/>
  <c r="CE57" i="1"/>
  <c r="AE48" i="1"/>
  <c r="CI38" i="1"/>
  <c r="AI29" i="1"/>
  <c r="BJ153" i="1"/>
  <c r="I144" i="1"/>
  <c r="BM134" i="1"/>
  <c r="M125" i="1"/>
  <c r="BQ115" i="1"/>
  <c r="Q106" i="1"/>
  <c r="BU96" i="1"/>
  <c r="U87" i="1"/>
  <c r="BY77" i="1"/>
  <c r="AN143" i="1"/>
  <c r="CR133" i="1"/>
  <c r="AR124" i="1"/>
  <c r="CV114" i="1"/>
  <c r="AV171" i="1"/>
  <c r="CZ161" i="1"/>
  <c r="AZ152" i="1"/>
  <c r="Y220" i="1"/>
  <c r="W209" i="1"/>
  <c r="CA199" i="1"/>
  <c r="AA190" i="1"/>
  <c r="CE180" i="1"/>
  <c r="AE171" i="1"/>
  <c r="CI161" i="1"/>
  <c r="AI152" i="1"/>
  <c r="S220" i="1"/>
  <c r="R209" i="1"/>
  <c r="BV199" i="1"/>
  <c r="V190" i="1"/>
  <c r="BZ180" i="1"/>
  <c r="Z171" i="1"/>
  <c r="CD161" i="1"/>
  <c r="BI271" i="1"/>
  <c r="U251" i="1"/>
  <c r="CU219" i="1"/>
  <c r="DA208" i="1"/>
  <c r="BA199" i="1"/>
  <c r="DE189" i="1"/>
  <c r="BE180" i="1"/>
  <c r="DI170" i="1"/>
  <c r="BI161" i="1"/>
  <c r="I152" i="1"/>
  <c r="U220" i="1"/>
  <c r="T209" i="1"/>
  <c r="BX199" i="1"/>
  <c r="X190" i="1"/>
  <c r="CB180" i="1"/>
  <c r="AB171" i="1"/>
  <c r="CF161" i="1"/>
  <c r="AF152" i="1"/>
  <c r="DC219" i="1"/>
  <c r="DG208" i="1"/>
  <c r="BG199" i="1"/>
  <c r="G190" i="1"/>
  <c r="BK180" i="1"/>
  <c r="K171" i="1"/>
  <c r="BO161" i="1"/>
  <c r="O152" i="1"/>
  <c r="CV219" i="1"/>
  <c r="DB208" i="1"/>
  <c r="BB199" i="1"/>
  <c r="DF189" i="1"/>
  <c r="BF180" i="1"/>
  <c r="F171" i="1"/>
  <c r="Q276" i="1"/>
  <c r="BA253" i="1"/>
  <c r="AV221" i="1"/>
  <c r="M210" i="1"/>
  <c r="BQ200" i="1"/>
  <c r="Q191" i="1"/>
  <c r="BU181" i="1"/>
  <c r="U172" i="1"/>
  <c r="BY162" i="1"/>
  <c r="Y153" i="1"/>
  <c r="CC221" i="1"/>
  <c r="AJ210" i="1"/>
  <c r="CN200" i="1"/>
  <c r="AN191" i="1"/>
  <c r="CR181" i="1"/>
  <c r="AR172" i="1"/>
  <c r="CV162" i="1"/>
  <c r="AV153" i="1"/>
  <c r="BD221" i="1"/>
  <c r="S210" i="1"/>
  <c r="BW200" i="1"/>
  <c r="W191" i="1"/>
  <c r="CA181" i="1"/>
  <c r="AA172" i="1"/>
  <c r="CE162" i="1"/>
  <c r="AE153" i="1"/>
  <c r="AW221" i="1"/>
  <c r="N210" i="1"/>
  <c r="BR200" i="1"/>
  <c r="R191" i="1"/>
  <c r="BV181" i="1"/>
  <c r="V172" i="1"/>
  <c r="DB161" i="1"/>
  <c r="BQ150" i="1"/>
  <c r="Q141" i="1"/>
  <c r="BU131" i="1"/>
  <c r="U122" i="1"/>
  <c r="AG113" i="1"/>
  <c r="BI108" i="1"/>
  <c r="CK103" i="1"/>
  <c r="I99" i="1"/>
  <c r="AK94" i="1"/>
  <c r="BM89" i="1"/>
  <c r="CO84" i="1"/>
  <c r="M80" i="1"/>
  <c r="BD150" i="1"/>
  <c r="CF145" i="1"/>
  <c r="DH140" i="1"/>
  <c r="AF136" i="1"/>
  <c r="BH131" i="1"/>
  <c r="CJ126" i="1"/>
  <c r="H122" i="1"/>
  <c r="AJ117" i="1"/>
  <c r="BL112" i="1"/>
  <c r="CN107" i="1"/>
  <c r="L103" i="1"/>
  <c r="AN98" i="1"/>
  <c r="BP93" i="1"/>
  <c r="CR88" i="1"/>
  <c r="P84" i="1"/>
  <c r="AR79" i="1"/>
  <c r="AY150" i="1"/>
  <c r="CA145" i="1"/>
  <c r="DC140" i="1"/>
  <c r="AA136" i="1"/>
  <c r="BC131" i="1"/>
  <c r="CE126" i="1"/>
  <c r="DG121" i="1"/>
  <c r="AE117" i="1"/>
  <c r="BG112" i="1"/>
  <c r="CI107" i="1"/>
  <c r="G103" i="1"/>
  <c r="AI98" i="1"/>
  <c r="BK93" i="1"/>
  <c r="CM88" i="1"/>
  <c r="K84" i="1"/>
  <c r="AM79" i="1"/>
  <c r="V143" i="1"/>
  <c r="Z124" i="1"/>
  <c r="AD105" i="1"/>
  <c r="AH86" i="1"/>
  <c r="W74" i="1"/>
  <c r="AY69" i="1"/>
  <c r="CA64" i="1"/>
  <c r="DC59" i="1"/>
  <c r="AA55" i="1"/>
  <c r="BC50" i="1"/>
  <c r="CE45" i="1"/>
  <c r="DG40" i="1"/>
  <c r="AE36" i="1"/>
  <c r="BG31" i="1"/>
  <c r="BF162" i="1"/>
  <c r="V156" i="1"/>
  <c r="DI150" i="1"/>
  <c r="AG146" i="1"/>
  <c r="BI141" i="1"/>
  <c r="CK136" i="1"/>
  <c r="I132" i="1"/>
  <c r="AK127" i="1"/>
  <c r="BM122" i="1"/>
  <c r="CO117" i="1"/>
  <c r="M113" i="1"/>
  <c r="AO108" i="1"/>
  <c r="BQ103" i="1"/>
  <c r="CS98" i="1"/>
  <c r="Q94" i="1"/>
  <c r="AS89" i="1"/>
  <c r="BU84" i="1"/>
  <c r="CW79" i="1"/>
  <c r="AJ150" i="1"/>
  <c r="BL145" i="1"/>
  <c r="CN140" i="1"/>
  <c r="L136" i="1"/>
  <c r="AN131" i="1"/>
  <c r="BP126" i="1"/>
  <c r="CR121" i="1"/>
  <c r="P117" i="1"/>
  <c r="AR112" i="1"/>
  <c r="AV175" i="1"/>
  <c r="L170" i="1"/>
  <c r="AN165" i="1"/>
  <c r="BP160" i="1"/>
  <c r="CR155" i="1"/>
  <c r="AK243" i="1"/>
  <c r="AI226" i="1"/>
  <c r="AW218" i="1"/>
  <c r="BO212" i="1"/>
  <c r="CQ207" i="1"/>
  <c r="O203" i="1"/>
  <c r="CE200" i="1"/>
  <c r="AQ198" i="1"/>
  <c r="DG195" i="1"/>
  <c r="BS193" i="1"/>
  <c r="AE191" i="1"/>
  <c r="CU188" i="1"/>
  <c r="BG186" i="1"/>
  <c r="S184" i="1"/>
  <c r="CI181" i="1"/>
  <c r="AU179" i="1"/>
  <c r="G177" i="1"/>
  <c r="BW174" i="1"/>
  <c r="AI172" i="1"/>
  <c r="CY169" i="1"/>
  <c r="BK167" i="1"/>
  <c r="W165" i="1"/>
  <c r="CM162" i="1"/>
  <c r="AY160" i="1"/>
  <c r="K158" i="1"/>
  <c r="CA155" i="1"/>
  <c r="AM153" i="1"/>
  <c r="Q243" i="1"/>
  <c r="BU233" i="1"/>
  <c r="Y226" i="1"/>
  <c r="BH221" i="1"/>
  <c r="AQ218" i="1"/>
  <c r="Y215" i="1"/>
  <c r="BJ212" i="1"/>
  <c r="V210" i="1"/>
  <c r="CL207" i="1"/>
  <c r="AX205" i="1"/>
  <c r="J203" i="1"/>
  <c r="BZ200" i="1"/>
  <c r="AL198" i="1"/>
  <c r="DB195" i="1"/>
  <c r="BN193" i="1"/>
  <c r="Z191" i="1"/>
  <c r="CP188" i="1"/>
  <c r="BB186" i="1"/>
  <c r="N184" i="1"/>
  <c r="CD181" i="1"/>
  <c r="AP179" i="1"/>
  <c r="DF176" i="1"/>
  <c r="BR174" i="1"/>
  <c r="AD172" i="1"/>
  <c r="CT169" i="1"/>
  <c r="BF167" i="1"/>
  <c r="R165" i="1"/>
  <c r="CH162" i="1"/>
  <c r="AT160" i="1"/>
  <c r="F158" i="1"/>
  <c r="BV155" i="1"/>
  <c r="BY275" i="1"/>
  <c r="BA267" i="1"/>
  <c r="CC262" i="1"/>
  <c r="DE257" i="1"/>
  <c r="AC253" i="1"/>
  <c r="BE248" i="1"/>
  <c r="M235" i="1"/>
  <c r="CM225" i="1"/>
  <c r="AF221" i="1"/>
  <c r="O218" i="1"/>
  <c r="DA214" i="1"/>
  <c r="AO212" i="1"/>
  <c r="DE209" i="1"/>
  <c r="BQ207" i="1"/>
  <c r="AC205" i="1"/>
  <c r="CS202" i="1"/>
  <c r="BE200" i="1"/>
  <c r="Q198" i="1"/>
  <c r="CG195" i="1"/>
  <c r="AS193" i="1"/>
  <c r="DI190" i="1"/>
  <c r="BU188" i="1"/>
  <c r="AG186" i="1"/>
  <c r="CW183" i="1"/>
  <c r="BI181" i="1"/>
  <c r="U179" i="1"/>
  <c r="CK176" i="1"/>
  <c r="AW174" i="1"/>
  <c r="I172" i="1"/>
  <c r="BY169" i="1"/>
  <c r="AK167" i="1"/>
  <c r="DA164" i="1"/>
  <c r="BM162" i="1"/>
  <c r="Y160" i="1"/>
  <c r="CO157" i="1"/>
  <c r="BA155" i="1"/>
  <c r="M153" i="1"/>
  <c r="Y243" i="1"/>
  <c r="CC233" i="1"/>
  <c r="AC226" i="1"/>
  <c r="BK221" i="1"/>
  <c r="AS218" i="1"/>
  <c r="AB215" i="1"/>
  <c r="BL212" i="1"/>
  <c r="X210" i="1"/>
  <c r="CN207" i="1"/>
  <c r="AZ205" i="1"/>
  <c r="L203" i="1"/>
  <c r="CB200" i="1"/>
  <c r="AN198" i="1"/>
  <c r="DD195" i="1"/>
  <c r="BP193" i="1"/>
  <c r="AB191" i="1"/>
  <c r="CR188" i="1"/>
  <c r="BD186" i="1"/>
  <c r="P184" i="1"/>
  <c r="CF181" i="1"/>
  <c r="AR179" i="1"/>
  <c r="DH176" i="1"/>
  <c r="BT174" i="1"/>
  <c r="AF172" i="1"/>
  <c r="CV169" i="1"/>
  <c r="BH167" i="1"/>
  <c r="T165" i="1"/>
  <c r="CJ162" i="1"/>
  <c r="AV160" i="1"/>
  <c r="H158" i="1"/>
  <c r="BX155" i="1"/>
  <c r="AJ153" i="1"/>
  <c r="BM242" i="1"/>
  <c r="M233" i="1"/>
  <c r="CY225" i="1"/>
  <c r="AN221" i="1"/>
  <c r="W218" i="1"/>
  <c r="DI214" i="1"/>
  <c r="AU212" i="1"/>
  <c r="G210" i="1"/>
  <c r="BW207" i="1"/>
  <c r="AI205" i="1"/>
  <c r="CY202" i="1"/>
  <c r="BK200" i="1"/>
  <c r="W198" i="1"/>
  <c r="CM195" i="1"/>
  <c r="AY193" i="1"/>
  <c r="K191" i="1"/>
  <c r="CA188" i="1"/>
  <c r="AM186" i="1"/>
  <c r="DC183" i="1"/>
  <c r="BO181" i="1"/>
  <c r="AA179" i="1"/>
  <c r="CQ176" i="1"/>
  <c r="BC174" i="1"/>
  <c r="O172" i="1"/>
  <c r="CE169" i="1"/>
  <c r="AQ167" i="1"/>
  <c r="DG164" i="1"/>
  <c r="BS162" i="1"/>
  <c r="AE160" i="1"/>
  <c r="CU157" i="1"/>
  <c r="BG155" i="1"/>
  <c r="S153" i="1"/>
  <c r="AS242" i="1"/>
  <c r="CW232" i="1"/>
  <c r="CO225" i="1"/>
  <c r="AG221" i="1"/>
  <c r="P218" i="1"/>
  <c r="DC214" i="1"/>
  <c r="AP212" i="1"/>
  <c r="DF209" i="1"/>
  <c r="BR207" i="1"/>
  <c r="AD205" i="1"/>
  <c r="CT202" i="1"/>
  <c r="BF200" i="1"/>
  <c r="R198" i="1"/>
  <c r="CH195" i="1"/>
  <c r="AT193" i="1"/>
  <c r="F191" i="1"/>
  <c r="BV188" i="1"/>
  <c r="AH186" i="1"/>
  <c r="CX183" i="1"/>
  <c r="BJ181" i="1"/>
  <c r="V179" i="1"/>
  <c r="CL176" i="1"/>
  <c r="AX174" i="1"/>
  <c r="J172" i="1"/>
  <c r="BZ169" i="1"/>
  <c r="AL167" i="1"/>
  <c r="DB164" i="1"/>
  <c r="AG280" i="1"/>
  <c r="CK270" i="1"/>
  <c r="DI264" i="1"/>
  <c r="AG260" i="1"/>
  <c r="BI255" i="1"/>
  <c r="CK250" i="1"/>
  <c r="AG244" i="1"/>
  <c r="O228" i="1"/>
  <c r="AQ223" i="1"/>
  <c r="BT219" i="1"/>
  <c r="BC216" i="1"/>
  <c r="BE213" i="1"/>
  <c r="Q211" i="1"/>
  <c r="CG208" i="1"/>
  <c r="AS206" i="1"/>
  <c r="DI203" i="1"/>
  <c r="BU201" i="1"/>
  <c r="AG199" i="1"/>
  <c r="CW196" i="1"/>
  <c r="BI194" i="1"/>
  <c r="U192" i="1"/>
  <c r="CK189" i="1"/>
  <c r="AW187" i="1"/>
  <c r="I185" i="1"/>
  <c r="BY182" i="1"/>
  <c r="AK180" i="1"/>
  <c r="DA177" i="1"/>
  <c r="BM175" i="1"/>
  <c r="Y173" i="1"/>
  <c r="CO170" i="1"/>
  <c r="BA168" i="1"/>
  <c r="M166" i="1"/>
  <c r="CC163" i="1"/>
  <c r="AO161" i="1"/>
  <c r="DE158" i="1"/>
  <c r="BQ156" i="1"/>
  <c r="AC154" i="1"/>
  <c r="CS151" i="1"/>
  <c r="AK238" i="1"/>
  <c r="CO228" i="1"/>
  <c r="CK223" i="1"/>
  <c r="CY219" i="1"/>
  <c r="CG216" i="1"/>
  <c r="CB213" i="1"/>
  <c r="AN211" i="1"/>
  <c r="DD208" i="1"/>
  <c r="BP206" i="1"/>
  <c r="AB204" i="1"/>
  <c r="CR201" i="1"/>
  <c r="BD199" i="1"/>
  <c r="P197" i="1"/>
  <c r="CF194" i="1"/>
  <c r="AR192" i="1"/>
  <c r="DH189" i="1"/>
  <c r="BT187" i="1"/>
  <c r="AF185" i="1"/>
  <c r="CV182" i="1"/>
  <c r="BH180" i="1"/>
  <c r="T178" i="1"/>
  <c r="CJ175" i="1"/>
  <c r="AV173" i="1"/>
  <c r="H171" i="1"/>
  <c r="BX168" i="1"/>
  <c r="AJ166" i="1"/>
  <c r="CZ163" i="1"/>
  <c r="BL161" i="1"/>
  <c r="X159" i="1"/>
  <c r="CN156" i="1"/>
  <c r="AZ154" i="1"/>
  <c r="L152" i="1"/>
  <c r="BY237" i="1"/>
  <c r="AA228" i="1"/>
  <c r="BC223" i="1"/>
  <c r="CB219" i="1"/>
  <c r="BK216" i="1"/>
  <c r="BK213" i="1"/>
  <c r="W211" i="1"/>
  <c r="CM208" i="1"/>
  <c r="AY206" i="1"/>
  <c r="K204" i="1"/>
  <c r="CA201" i="1"/>
  <c r="AM199" i="1"/>
  <c r="DC196" i="1"/>
  <c r="BO194" i="1"/>
  <c r="AA192" i="1"/>
  <c r="CQ189" i="1"/>
  <c r="BC187" i="1"/>
  <c r="O185" i="1"/>
  <c r="CE182" i="1"/>
  <c r="AQ180" i="1"/>
  <c r="DG177" i="1"/>
  <c r="BS175" i="1"/>
  <c r="AE173" i="1"/>
  <c r="CU170" i="1"/>
  <c r="BG168" i="1"/>
  <c r="S166" i="1"/>
  <c r="CI163" i="1"/>
  <c r="AU161" i="1"/>
  <c r="G159" i="1"/>
  <c r="BW156" i="1"/>
  <c r="AI154" i="1"/>
  <c r="CY151" i="1"/>
  <c r="BE237" i="1"/>
  <c r="Q228" i="1"/>
  <c r="AS223" i="1"/>
  <c r="BU219" i="1"/>
  <c r="BD216" i="1"/>
  <c r="BF213" i="1"/>
  <c r="R211" i="1"/>
  <c r="CH208" i="1"/>
  <c r="AT206" i="1"/>
  <c r="F204" i="1"/>
  <c r="BV201" i="1"/>
  <c r="AH199" i="1"/>
  <c r="CX196" i="1"/>
  <c r="BJ194" i="1"/>
  <c r="V192" i="1"/>
  <c r="CL189" i="1"/>
  <c r="AX187" i="1"/>
  <c r="J185" i="1"/>
  <c r="BZ182" i="1"/>
  <c r="AL180" i="1"/>
  <c r="DB177" i="1"/>
  <c r="BN175" i="1"/>
  <c r="Z173" i="1"/>
  <c r="CP170" i="1"/>
  <c r="BB168" i="1"/>
  <c r="N166" i="1"/>
  <c r="BZ163" i="1"/>
  <c r="V160" i="1"/>
  <c r="F157" i="1"/>
  <c r="F154" i="1"/>
  <c r="BW151" i="1"/>
  <c r="AG149" i="1"/>
  <c r="CW146" i="1"/>
  <c r="BI144" i="1"/>
  <c r="U142" i="1"/>
  <c r="CK139" i="1"/>
  <c r="AW137" i="1"/>
  <c r="I135" i="1"/>
  <c r="BY132" i="1"/>
  <c r="AK130" i="1"/>
  <c r="DA127" i="1"/>
  <c r="BM125" i="1"/>
  <c r="Y123" i="1"/>
  <c r="CO120" i="1"/>
  <c r="BA118" i="1"/>
  <c r="M116" i="1"/>
  <c r="CC113" i="1"/>
  <c r="AO111" i="1"/>
  <c r="DE108" i="1"/>
  <c r="BQ106" i="1"/>
  <c r="AC104" i="1"/>
  <c r="CS101" i="1"/>
  <c r="BE99" i="1"/>
  <c r="Q97" i="1"/>
  <c r="CG94" i="1"/>
  <c r="AS92" i="1"/>
  <c r="DI89" i="1"/>
  <c r="BU87" i="1"/>
  <c r="AG85" i="1"/>
  <c r="CW82" i="1"/>
  <c r="BI80" i="1"/>
  <c r="U78" i="1"/>
  <c r="CZ150" i="1"/>
  <c r="BL148" i="1"/>
  <c r="X146" i="1"/>
  <c r="CN143" i="1"/>
  <c r="AZ141" i="1"/>
  <c r="L139" i="1"/>
  <c r="CB136" i="1"/>
  <c r="AN134" i="1"/>
  <c r="DD131" i="1"/>
  <c r="BP129" i="1"/>
  <c r="AB127" i="1"/>
  <c r="CR124" i="1"/>
  <c r="BD122" i="1"/>
  <c r="P120" i="1"/>
  <c r="CF117" i="1"/>
  <c r="AR115" i="1"/>
  <c r="DH112" i="1"/>
  <c r="BT110" i="1"/>
  <c r="AF108" i="1"/>
  <c r="CV105" i="1"/>
  <c r="BH103" i="1"/>
  <c r="T101" i="1"/>
  <c r="CJ98" i="1"/>
  <c r="AV96" i="1"/>
  <c r="H94" i="1"/>
  <c r="BX91" i="1"/>
  <c r="AJ89" i="1"/>
  <c r="CZ86" i="1"/>
  <c r="BL84" i="1"/>
  <c r="X82" i="1"/>
  <c r="CN79" i="1"/>
  <c r="AZ77" i="1"/>
  <c r="CU150" i="1"/>
  <c r="BG148" i="1"/>
  <c r="S146" i="1"/>
  <c r="CI143" i="1"/>
  <c r="AU141" i="1"/>
  <c r="G139" i="1"/>
  <c r="BW136" i="1"/>
  <c r="AI134" i="1"/>
  <c r="CY131" i="1"/>
  <c r="BK129" i="1"/>
  <c r="W127" i="1"/>
  <c r="CM124" i="1"/>
  <c r="AY122" i="1"/>
  <c r="K120" i="1"/>
  <c r="CA117" i="1"/>
  <c r="AM115" i="1"/>
  <c r="DC112" i="1"/>
  <c r="BO110" i="1"/>
  <c r="AA108" i="1"/>
  <c r="CQ105" i="1"/>
  <c r="BC103" i="1"/>
  <c r="O101" i="1"/>
  <c r="CE98" i="1"/>
  <c r="AQ96" i="1"/>
  <c r="DG93" i="1"/>
  <c r="BS91" i="1"/>
  <c r="AE89" i="1"/>
  <c r="CU86" i="1"/>
  <c r="BG84" i="1"/>
  <c r="S82" i="1"/>
  <c r="CI79" i="1"/>
  <c r="AU77" i="1"/>
  <c r="DB144" i="1"/>
  <c r="BB135" i="1"/>
  <c r="DF125" i="1"/>
  <c r="BF116" i="1"/>
  <c r="F107" i="1"/>
  <c r="BJ97" i="1"/>
  <c r="J88" i="1"/>
  <c r="BN78" i="1"/>
  <c r="BS74" i="1"/>
  <c r="AE72" i="1"/>
  <c r="CU69" i="1"/>
  <c r="BG67" i="1"/>
  <c r="S65" i="1"/>
  <c r="CI62" i="1"/>
  <c r="AU60" i="1"/>
  <c r="G58" i="1"/>
  <c r="BW55" i="1"/>
  <c r="AI53" i="1"/>
  <c r="CY50" i="1"/>
  <c r="BK48" i="1"/>
  <c r="W46" i="1"/>
  <c r="CM43" i="1"/>
  <c r="AY41" i="1"/>
  <c r="K39" i="1"/>
  <c r="CA36" i="1"/>
  <c r="AM34" i="1"/>
  <c r="DC31" i="1"/>
  <c r="BO29" i="1"/>
  <c r="AH163" i="1"/>
  <c r="CX159" i="1"/>
  <c r="CH156" i="1"/>
  <c r="CP153" i="1"/>
  <c r="BA151" i="1"/>
  <c r="M149" i="1"/>
  <c r="CC146" i="1"/>
  <c r="AO144" i="1"/>
  <c r="DE141" i="1"/>
  <c r="BQ139" i="1"/>
  <c r="AC137" i="1"/>
  <c r="CS134" i="1"/>
  <c r="BE132" i="1"/>
  <c r="Q130" i="1"/>
  <c r="CG127" i="1"/>
  <c r="AS125" i="1"/>
  <c r="DI122" i="1"/>
  <c r="BU120" i="1"/>
  <c r="AG118" i="1"/>
  <c r="CW115" i="1"/>
  <c r="BI113" i="1"/>
  <c r="U111" i="1"/>
  <c r="CK108" i="1"/>
  <c r="AW106" i="1"/>
  <c r="I104" i="1"/>
  <c r="BY101" i="1"/>
  <c r="AK99" i="1"/>
  <c r="DA96" i="1"/>
  <c r="BM94" i="1"/>
  <c r="Y92" i="1"/>
  <c r="CO89" i="1"/>
  <c r="BA87" i="1"/>
  <c r="M85" i="1"/>
  <c r="CC82" i="1"/>
  <c r="AO80" i="1"/>
  <c r="DE77" i="1"/>
  <c r="CF150" i="1"/>
  <c r="AR148" i="1"/>
  <c r="DH145" i="1"/>
  <c r="BT143" i="1"/>
  <c r="AF141" i="1"/>
  <c r="CV138" i="1"/>
  <c r="BH136" i="1"/>
  <c r="T134" i="1"/>
  <c r="CJ131" i="1"/>
  <c r="AV129" i="1"/>
  <c r="H127" i="1"/>
  <c r="BX124" i="1"/>
  <c r="AJ122" i="1"/>
  <c r="CZ119" i="1"/>
  <c r="BL117" i="1"/>
  <c r="X115" i="1"/>
  <c r="CN112" i="1"/>
  <c r="AZ110" i="1"/>
  <c r="AB174" i="1"/>
  <c r="CB171" i="1"/>
  <c r="AN169" i="1"/>
  <c r="DD166" i="1"/>
  <c r="BP164" i="1"/>
  <c r="AB162" i="1"/>
  <c r="CR159" i="1"/>
  <c r="BD157" i="1"/>
  <c r="P155" i="1"/>
  <c r="CF152" i="1"/>
  <c r="AO240" i="1"/>
  <c r="CS230" i="1"/>
  <c r="CM224" i="1"/>
  <c r="BP220" i="1"/>
  <c r="AY217" i="1"/>
  <c r="AG214" i="1"/>
  <c r="CQ211" i="1"/>
  <c r="BC209" i="1"/>
  <c r="O207" i="1"/>
  <c r="CE204" i="1"/>
  <c r="AQ202" i="1"/>
  <c r="DG199" i="1"/>
  <c r="BS197" i="1"/>
  <c r="AE195" i="1"/>
  <c r="CU192" i="1"/>
  <c r="BG190" i="1"/>
  <c r="S188" i="1"/>
  <c r="CI185" i="1"/>
  <c r="AU183" i="1"/>
  <c r="G181" i="1"/>
  <c r="BW178" i="1"/>
  <c r="AI176" i="1"/>
  <c r="CY173" i="1"/>
  <c r="BK171" i="1"/>
  <c r="W169" i="1"/>
  <c r="CM166" i="1"/>
  <c r="AY164" i="1"/>
  <c r="K162" i="1"/>
  <c r="CA159" i="1"/>
  <c r="AM157" i="1"/>
  <c r="DC154" i="1"/>
  <c r="BO152" i="1"/>
  <c r="U240" i="1"/>
  <c r="BY230" i="1"/>
  <c r="CC224" i="1"/>
  <c r="BI220" i="1"/>
  <c r="AR217" i="1"/>
  <c r="AA214" i="1"/>
  <c r="CL211" i="1"/>
  <c r="AX209" i="1"/>
  <c r="J207" i="1"/>
  <c r="BZ204" i="1"/>
  <c r="AL202" i="1"/>
  <c r="DB199" i="1"/>
  <c r="BN197" i="1"/>
  <c r="Z195" i="1"/>
  <c r="CP192" i="1"/>
  <c r="BB190" i="1"/>
  <c r="N188" i="1"/>
  <c r="CD185" i="1"/>
  <c r="AP183" i="1"/>
  <c r="DF180" i="1"/>
  <c r="BR178" i="1"/>
  <c r="AD176" i="1"/>
  <c r="CT173" i="1"/>
  <c r="BF171" i="1"/>
  <c r="R169" i="1"/>
  <c r="CH166" i="1"/>
  <c r="AT164" i="1"/>
  <c r="F162" i="1"/>
  <c r="BV159" i="1"/>
  <c r="AH157" i="1"/>
  <c r="CX154" i="1"/>
  <c r="CC272" i="1"/>
  <c r="DE265" i="1"/>
  <c r="AC261" i="1"/>
  <c r="BE256" i="1"/>
  <c r="CG251" i="1"/>
  <c r="DI246" i="1"/>
  <c r="CW229" i="1"/>
  <c r="AM224" i="1"/>
  <c r="AG220" i="1"/>
  <c r="P217" i="1"/>
  <c r="DE213" i="1"/>
  <c r="BQ211" i="1"/>
  <c r="AC209" i="1"/>
  <c r="CS206" i="1"/>
  <c r="BE204" i="1"/>
  <c r="Q202" i="1"/>
  <c r="CG199" i="1"/>
  <c r="AS197" i="1"/>
  <c r="DI194" i="1"/>
  <c r="BU192" i="1"/>
  <c r="AG190" i="1"/>
  <c r="CW187" i="1"/>
  <c r="BI185" i="1"/>
  <c r="U183" i="1"/>
  <c r="CK180" i="1"/>
  <c r="AW178" i="1"/>
  <c r="I176" i="1"/>
  <c r="BY173" i="1"/>
  <c r="AK171" i="1"/>
  <c r="DA168" i="1"/>
  <c r="BM166" i="1"/>
  <c r="Y164" i="1"/>
  <c r="CO161" i="1"/>
  <c r="BA159" i="1"/>
  <c r="M157" i="1"/>
  <c r="CC154" i="1"/>
  <c r="AO152" i="1"/>
  <c r="AC240" i="1"/>
  <c r="CG230" i="1"/>
  <c r="CG224" i="1"/>
  <c r="BL220" i="1"/>
  <c r="AU217" i="1"/>
  <c r="AC214" i="1"/>
  <c r="CN211" i="1"/>
  <c r="AZ209" i="1"/>
  <c r="L207" i="1"/>
  <c r="CB204" i="1"/>
  <c r="AN202" i="1"/>
  <c r="DD199" i="1"/>
  <c r="BP197" i="1"/>
  <c r="AB195" i="1"/>
  <c r="CR192" i="1"/>
  <c r="BD190" i="1"/>
  <c r="P188" i="1"/>
  <c r="CF185" i="1"/>
  <c r="AR183" i="1"/>
  <c r="DH180" i="1"/>
  <c r="BT178" i="1"/>
  <c r="AF176" i="1"/>
  <c r="CV173" i="1"/>
  <c r="BH171" i="1"/>
  <c r="T169" i="1"/>
  <c r="CJ166" i="1"/>
  <c r="AV164" i="1"/>
  <c r="H162" i="1"/>
  <c r="BX159" i="1"/>
  <c r="AJ157" i="1"/>
  <c r="CZ154" i="1"/>
  <c r="BL152" i="1"/>
  <c r="BQ239" i="1"/>
  <c r="Q230" i="1"/>
  <c r="AY224" i="1"/>
  <c r="AO220" i="1"/>
  <c r="X217" i="1"/>
  <c r="G214" i="1"/>
  <c r="BW211" i="1"/>
  <c r="AI209" i="1"/>
  <c r="CY206" i="1"/>
  <c r="BK204" i="1"/>
  <c r="W202" i="1"/>
  <c r="CM199" i="1"/>
  <c r="AY197" i="1"/>
  <c r="K195" i="1"/>
  <c r="CA192" i="1"/>
  <c r="AM190" i="1"/>
  <c r="DC187" i="1"/>
  <c r="BO185" i="1"/>
  <c r="AA183" i="1"/>
  <c r="CQ180" i="1"/>
  <c r="BC178" i="1"/>
  <c r="O176" i="1"/>
  <c r="CE173" i="1"/>
  <c r="AQ171" i="1"/>
  <c r="DG168" i="1"/>
  <c r="BS166" i="1"/>
  <c r="AE164" i="1"/>
  <c r="CU161" i="1"/>
  <c r="BG159" i="1"/>
  <c r="S157" i="1"/>
  <c r="CI154" i="1"/>
  <c r="AU152" i="1"/>
  <c r="AW239" i="1"/>
  <c r="DA229" i="1"/>
  <c r="AO224" i="1"/>
  <c r="AI220" i="1"/>
  <c r="Q217" i="1"/>
  <c r="DF213" i="1"/>
  <c r="BR211" i="1"/>
  <c r="AD209" i="1"/>
  <c r="CT206" i="1"/>
  <c r="BF204" i="1"/>
  <c r="R202" i="1"/>
  <c r="CH199" i="1"/>
  <c r="AT197" i="1"/>
  <c r="F195" i="1"/>
  <c r="BV192" i="1"/>
  <c r="AH190" i="1"/>
  <c r="CX187" i="1"/>
  <c r="BJ185" i="1"/>
  <c r="V183" i="1"/>
  <c r="CL180" i="1"/>
  <c r="AX178" i="1"/>
  <c r="J176" i="1"/>
  <c r="BZ173" i="1"/>
  <c r="AL171" i="1"/>
  <c r="DB168" i="1"/>
  <c r="BN166" i="1"/>
  <c r="Z164" i="1"/>
  <c r="AK277" i="1"/>
  <c r="AG268" i="1"/>
  <c r="BI263" i="1"/>
  <c r="CK258" i="1"/>
  <c r="I254" i="1"/>
  <c r="AK249" i="1"/>
  <c r="AO238" i="1"/>
  <c r="BS226" i="1"/>
  <c r="CU221" i="1"/>
  <c r="BU218" i="1"/>
  <c r="BD215" i="1"/>
  <c r="CG212" i="1"/>
  <c r="AS210" i="1"/>
  <c r="DI207" i="1"/>
  <c r="BU205" i="1"/>
  <c r="AG203" i="1"/>
  <c r="CW200" i="1"/>
  <c r="BI198" i="1"/>
  <c r="U196" i="1"/>
  <c r="CK193" i="1"/>
  <c r="AW191" i="1"/>
  <c r="I189" i="1"/>
  <c r="BY186" i="1"/>
  <c r="AK184" i="1"/>
  <c r="DA181" i="1"/>
  <c r="BM179" i="1"/>
  <c r="Y177" i="1"/>
  <c r="CO174" i="1"/>
  <c r="BA172" i="1"/>
  <c r="M170" i="1"/>
  <c r="CC167" i="1"/>
  <c r="AO165" i="1"/>
  <c r="DE162" i="1"/>
  <c r="BQ160" i="1"/>
  <c r="AC158" i="1"/>
  <c r="CS155" i="1"/>
  <c r="BE153" i="1"/>
  <c r="CO244" i="1"/>
  <c r="AO235" i="1"/>
  <c r="I227" i="1"/>
  <c r="AK222" i="1"/>
  <c r="CZ218" i="1"/>
  <c r="CI215" i="1"/>
  <c r="DD212" i="1"/>
  <c r="BP210" i="1"/>
  <c r="AB208" i="1"/>
  <c r="CR205" i="1"/>
  <c r="BD203" i="1"/>
  <c r="P201" i="1"/>
  <c r="CF198" i="1"/>
  <c r="AR196" i="1"/>
  <c r="DH193" i="1"/>
  <c r="BT191" i="1"/>
  <c r="AF189" i="1"/>
  <c r="CV186" i="1"/>
  <c r="BH184" i="1"/>
  <c r="T182" i="1"/>
  <c r="CJ179" i="1"/>
  <c r="AV177" i="1"/>
  <c r="H175" i="1"/>
  <c r="BX172" i="1"/>
  <c r="AJ170" i="1"/>
  <c r="CZ167" i="1"/>
  <c r="BL165" i="1"/>
  <c r="X163" i="1"/>
  <c r="CN160" i="1"/>
  <c r="AZ158" i="1"/>
  <c r="L156" i="1"/>
  <c r="CB153" i="1"/>
  <c r="Y244" i="1"/>
  <c r="CC234" i="1"/>
  <c r="CE226" i="1"/>
  <c r="DG221" i="1"/>
  <c r="CC218" i="1"/>
  <c r="BL215" i="1"/>
  <c r="CM212" i="1"/>
  <c r="AY210" i="1"/>
  <c r="K208" i="1"/>
  <c r="CA205" i="1"/>
  <c r="AM203" i="1"/>
  <c r="DC200" i="1"/>
  <c r="BO198" i="1"/>
  <c r="AA196" i="1"/>
  <c r="CQ193" i="1"/>
  <c r="BC191" i="1"/>
  <c r="O189" i="1"/>
  <c r="CE186" i="1"/>
  <c r="AQ184" i="1"/>
  <c r="DG181" i="1"/>
  <c r="BS179" i="1"/>
  <c r="AE177" i="1"/>
  <c r="CU174" i="1"/>
  <c r="BG172" i="1"/>
  <c r="S170" i="1"/>
  <c r="CI167" i="1"/>
  <c r="AU165" i="1"/>
  <c r="G163" i="1"/>
  <c r="BW160" i="1"/>
  <c r="AI158" i="1"/>
  <c r="CY155" i="1"/>
  <c r="BK153" i="1"/>
  <c r="DI243" i="1"/>
  <c r="BI234" i="1"/>
  <c r="BU226" i="1"/>
  <c r="CW221" i="1"/>
  <c r="BW218" i="1"/>
  <c r="BE215" i="1"/>
  <c r="CH212" i="1"/>
  <c r="AT210" i="1"/>
  <c r="F208" i="1"/>
  <c r="BV205" i="1"/>
  <c r="AH203" i="1"/>
  <c r="CX200" i="1"/>
  <c r="BJ198" i="1"/>
  <c r="V196" i="1"/>
  <c r="CL193" i="1"/>
  <c r="AX191" i="1"/>
  <c r="J189" i="1"/>
  <c r="BZ186" i="1"/>
  <c r="AL184" i="1"/>
  <c r="DB181" i="1"/>
  <c r="BN179" i="1"/>
  <c r="Z177" i="1"/>
  <c r="CP174" i="1"/>
  <c r="BB172" i="1"/>
  <c r="N170" i="1"/>
  <c r="CD167" i="1"/>
  <c r="AP165" i="1"/>
  <c r="AP162" i="1"/>
  <c r="V159" i="1"/>
  <c r="F156" i="1"/>
  <c r="AH153" i="1"/>
  <c r="CW150" i="1"/>
  <c r="BI148" i="1"/>
  <c r="U146" i="1"/>
  <c r="CK143" i="1"/>
  <c r="AW141" i="1"/>
  <c r="I139" i="1"/>
  <c r="BY136" i="1"/>
  <c r="AK134" i="1"/>
  <c r="DA131" i="1"/>
  <c r="BM129" i="1"/>
  <c r="Y127" i="1"/>
  <c r="CO124" i="1"/>
  <c r="BA122" i="1"/>
  <c r="M120" i="1"/>
  <c r="CC117" i="1"/>
  <c r="AO115" i="1"/>
  <c r="DE112" i="1"/>
  <c r="BQ110" i="1"/>
  <c r="AC108" i="1"/>
  <c r="CS105" i="1"/>
  <c r="BE103" i="1"/>
  <c r="Q101" i="1"/>
  <c r="CG98" i="1"/>
  <c r="AS96" i="1"/>
  <c r="DI93" i="1"/>
  <c r="BU91" i="1"/>
  <c r="AG89" i="1"/>
  <c r="CW86" i="1"/>
  <c r="BI84" i="1"/>
  <c r="U82" i="1"/>
  <c r="CK79" i="1"/>
  <c r="AW77" i="1"/>
  <c r="X150" i="1"/>
  <c r="CN147" i="1"/>
  <c r="AZ145" i="1"/>
  <c r="L143" i="1"/>
  <c r="CB140" i="1"/>
  <c r="AN138" i="1"/>
  <c r="DD135" i="1"/>
  <c r="BP133" i="1"/>
  <c r="AB131" i="1"/>
  <c r="CR128" i="1"/>
  <c r="BD126" i="1"/>
  <c r="P124" i="1"/>
  <c r="CF121" i="1"/>
  <c r="AR119" i="1"/>
  <c r="DH116" i="1"/>
  <c r="BT114" i="1"/>
  <c r="AF112" i="1"/>
  <c r="CV109" i="1"/>
  <c r="BH107" i="1"/>
  <c r="T105" i="1"/>
  <c r="CJ102" i="1"/>
  <c r="AV100" i="1"/>
  <c r="H98" i="1"/>
  <c r="BX95" i="1"/>
  <c r="AJ93" i="1"/>
  <c r="CZ90" i="1"/>
  <c r="BL88" i="1"/>
  <c r="X86" i="1"/>
  <c r="CN83" i="1"/>
  <c r="AZ81" i="1"/>
  <c r="L79" i="1"/>
  <c r="CB76" i="1"/>
  <c r="S150" i="1"/>
  <c r="CI147" i="1"/>
  <c r="AU145" i="1"/>
  <c r="G143" i="1"/>
  <c r="BW140" i="1"/>
  <c r="AI138" i="1"/>
  <c r="CY135" i="1"/>
  <c r="BK133" i="1"/>
  <c r="W131" i="1"/>
  <c r="CM128" i="1"/>
  <c r="AY126" i="1"/>
  <c r="K124" i="1"/>
  <c r="CA121" i="1"/>
  <c r="AM119" i="1"/>
  <c r="DC116" i="1"/>
  <c r="BO114" i="1"/>
  <c r="AA112" i="1"/>
  <c r="CQ109" i="1"/>
  <c r="BC107" i="1"/>
  <c r="O105" i="1"/>
  <c r="CE102" i="1"/>
  <c r="AQ100" i="1"/>
  <c r="DG97" i="1"/>
  <c r="BS95" i="1"/>
  <c r="AE93" i="1"/>
  <c r="CU90" i="1"/>
  <c r="BG88" i="1"/>
  <c r="S86" i="1"/>
  <c r="CI83" i="1"/>
  <c r="AU81" i="1"/>
  <c r="G79" i="1"/>
  <c r="BB151" i="1"/>
  <c r="DF141" i="1"/>
  <c r="BF132" i="1"/>
  <c r="F123" i="1"/>
  <c r="BJ113" i="1"/>
  <c r="J104" i="1"/>
  <c r="BN94" i="1"/>
  <c r="N85" i="1"/>
  <c r="AO76" i="1"/>
  <c r="CU73" i="1"/>
  <c r="BG71" i="1"/>
  <c r="S69" i="1"/>
  <c r="CI66" i="1"/>
  <c r="AU64" i="1"/>
  <c r="G62" i="1"/>
  <c r="BW59" i="1"/>
  <c r="AI57" i="1"/>
  <c r="CY54" i="1"/>
  <c r="BK52" i="1"/>
  <c r="W50" i="1"/>
  <c r="CM47" i="1"/>
  <c r="AY45" i="1"/>
  <c r="K43" i="1"/>
  <c r="CA40" i="1"/>
  <c r="AM38" i="1"/>
  <c r="DC35" i="1"/>
  <c r="BO33" i="1"/>
  <c r="AA31" i="1"/>
  <c r="CQ28" i="1"/>
  <c r="N162" i="1"/>
  <c r="DB158" i="1"/>
  <c r="CH155" i="1"/>
  <c r="N153" i="1"/>
  <c r="CC150" i="1"/>
  <c r="AO148" i="1"/>
  <c r="DE145" i="1"/>
  <c r="BQ143" i="1"/>
  <c r="AC141" i="1"/>
  <c r="CS138" i="1"/>
  <c r="BE136" i="1"/>
  <c r="Q134" i="1"/>
  <c r="CG131" i="1"/>
  <c r="AS129" i="1"/>
  <c r="DI126" i="1"/>
  <c r="BU124" i="1"/>
  <c r="AG122" i="1"/>
  <c r="CW119" i="1"/>
  <c r="BI117" i="1"/>
  <c r="U115" i="1"/>
  <c r="CK112" i="1"/>
  <c r="AW110" i="1"/>
  <c r="I108" i="1"/>
  <c r="BY105" i="1"/>
  <c r="AK103" i="1"/>
  <c r="DA100" i="1"/>
  <c r="BM98" i="1"/>
  <c r="Y96" i="1"/>
  <c r="CO93" i="1"/>
  <c r="BA91" i="1"/>
  <c r="M89" i="1"/>
  <c r="CC86" i="1"/>
  <c r="AO84" i="1"/>
  <c r="DE81" i="1"/>
  <c r="BQ79" i="1"/>
  <c r="AC77" i="1"/>
  <c r="DH149" i="1"/>
  <c r="BT147" i="1"/>
  <c r="AF145" i="1"/>
  <c r="CV142" i="1"/>
  <c r="BH140" i="1"/>
  <c r="T138" i="1"/>
  <c r="CJ135" i="1"/>
  <c r="AV133" i="1"/>
  <c r="H131" i="1"/>
  <c r="BX128" i="1"/>
  <c r="AJ126" i="1"/>
  <c r="CZ123" i="1"/>
  <c r="BL121" i="1"/>
  <c r="X119" i="1"/>
  <c r="CN116" i="1"/>
  <c r="AZ114" i="1"/>
  <c r="L112" i="1"/>
  <c r="CB109" i="1"/>
  <c r="AN107" i="1"/>
  <c r="H107" i="1"/>
  <c r="BH104" i="1"/>
  <c r="T102" i="1"/>
  <c r="CJ99" i="1"/>
  <c r="AV97" i="1"/>
  <c r="H95" i="1"/>
  <c r="BX92" i="1"/>
  <c r="AJ90" i="1"/>
  <c r="CZ87" i="1"/>
  <c r="BL85" i="1"/>
  <c r="X83" i="1"/>
  <c r="CN80" i="1"/>
  <c r="AZ78" i="1"/>
  <c r="L76" i="1"/>
  <c r="BG149" i="1"/>
  <c r="S147" i="1"/>
  <c r="CI144" i="1"/>
  <c r="AU142" i="1"/>
  <c r="G140" i="1"/>
  <c r="BW137" i="1"/>
  <c r="AI135" i="1"/>
  <c r="CY132" i="1"/>
  <c r="BK130" i="1"/>
  <c r="W128" i="1"/>
  <c r="CM125" i="1"/>
  <c r="AY123" i="1"/>
  <c r="K121" i="1"/>
  <c r="CA118" i="1"/>
  <c r="AM116" i="1"/>
  <c r="DC113" i="1"/>
  <c r="BO111" i="1"/>
  <c r="AA109" i="1"/>
  <c r="CQ106" i="1"/>
  <c r="BC104" i="1"/>
  <c r="O102" i="1"/>
  <c r="CE99" i="1"/>
  <c r="AQ97" i="1"/>
  <c r="DG94" i="1"/>
  <c r="BS92" i="1"/>
  <c r="AE90" i="1"/>
  <c r="CU87" i="1"/>
  <c r="BG85" i="1"/>
  <c r="S83" i="1"/>
  <c r="CI80" i="1"/>
  <c r="AU78" i="1"/>
  <c r="DB148" i="1"/>
  <c r="BB139" i="1"/>
  <c r="DF129" i="1"/>
  <c r="BF120" i="1"/>
  <c r="F111" i="1"/>
  <c r="BJ101" i="1"/>
  <c r="J92" i="1"/>
  <c r="BN82" i="1"/>
  <c r="BS75" i="1"/>
  <c r="AE73" i="1"/>
  <c r="CU70" i="1"/>
  <c r="BG68" i="1"/>
  <c r="S66" i="1"/>
  <c r="CI63" i="1"/>
  <c r="AU61" i="1"/>
  <c r="G59" i="1"/>
  <c r="BW56" i="1"/>
  <c r="AI54" i="1"/>
  <c r="CY51" i="1"/>
  <c r="BK49" i="1"/>
  <c r="W47" i="1"/>
  <c r="CM44" i="1"/>
  <c r="AY42" i="1"/>
  <c r="K40" i="1"/>
  <c r="CA37" i="1"/>
  <c r="AM35" i="1"/>
  <c r="DC32" i="1"/>
  <c r="BO30" i="1"/>
  <c r="AA28" i="1"/>
  <c r="AD161" i="1"/>
  <c r="N158" i="1"/>
  <c r="DB154" i="1"/>
  <c r="BB152" i="1"/>
  <c r="M150" i="1"/>
  <c r="CC147" i="1"/>
  <c r="AO145" i="1"/>
  <c r="DE142" i="1"/>
  <c r="BQ140" i="1"/>
  <c r="AC138" i="1"/>
  <c r="CS135" i="1"/>
  <c r="BE133" i="1"/>
  <c r="Q131" i="1"/>
  <c r="CG128" i="1"/>
  <c r="AS126" i="1"/>
  <c r="DI123" i="1"/>
  <c r="BU121" i="1"/>
  <c r="AG119" i="1"/>
  <c r="CW116" i="1"/>
  <c r="BI114" i="1"/>
  <c r="U112" i="1"/>
  <c r="CK109" i="1"/>
  <c r="AW107" i="1"/>
  <c r="I105" i="1"/>
  <c r="BY102" i="1"/>
  <c r="AK100" i="1"/>
  <c r="DA97" i="1"/>
  <c r="BM95" i="1"/>
  <c r="Y93" i="1"/>
  <c r="CO90" i="1"/>
  <c r="BA88" i="1"/>
  <c r="M86" i="1"/>
  <c r="CC83" i="1"/>
  <c r="AO81" i="1"/>
  <c r="DE78" i="1"/>
  <c r="CL151" i="1"/>
  <c r="AR149" i="1"/>
  <c r="DH146" i="1"/>
  <c r="BT144" i="1"/>
  <c r="AF142" i="1"/>
  <c r="CV139" i="1"/>
  <c r="BH137" i="1"/>
  <c r="T135" i="1"/>
  <c r="CJ132" i="1"/>
  <c r="AV130" i="1"/>
  <c r="H128" i="1"/>
  <c r="BX125" i="1"/>
  <c r="AJ123" i="1"/>
  <c r="CZ120" i="1"/>
  <c r="BL118" i="1"/>
  <c r="X116" i="1"/>
  <c r="CN113" i="1"/>
  <c r="AZ111" i="1"/>
  <c r="L109" i="1"/>
  <c r="CB106" i="1"/>
  <c r="AN104" i="1"/>
  <c r="DD101" i="1"/>
  <c r="BP99" i="1"/>
  <c r="AB97" i="1"/>
  <c r="CR94" i="1"/>
  <c r="BD92" i="1"/>
  <c r="P90" i="1"/>
  <c r="CF87" i="1"/>
  <c r="AR85" i="1"/>
  <c r="DH82" i="1"/>
  <c r="BT80" i="1"/>
  <c r="AF78" i="1"/>
  <c r="CE151" i="1"/>
  <c r="AM149" i="1"/>
  <c r="DC146" i="1"/>
  <c r="BO144" i="1"/>
  <c r="AA142" i="1"/>
  <c r="CQ139" i="1"/>
  <c r="BC137" i="1"/>
  <c r="O135" i="1"/>
  <c r="CE132" i="1"/>
  <c r="AQ130" i="1"/>
  <c r="DG127" i="1"/>
  <c r="BS125" i="1"/>
  <c r="AE123" i="1"/>
  <c r="CU120" i="1"/>
  <c r="BG118" i="1"/>
  <c r="S116" i="1"/>
  <c r="CI113" i="1"/>
  <c r="AU111" i="1"/>
  <c r="G109" i="1"/>
  <c r="BW106" i="1"/>
  <c r="AI104" i="1"/>
  <c r="CY101" i="1"/>
  <c r="BK99" i="1"/>
  <c r="W97" i="1"/>
  <c r="CM94" i="1"/>
  <c r="AY92" i="1"/>
  <c r="K90" i="1"/>
  <c r="CA87" i="1"/>
  <c r="AM85" i="1"/>
  <c r="DC82" i="1"/>
  <c r="BO80" i="1"/>
  <c r="AA78" i="1"/>
  <c r="Z148" i="1"/>
  <c r="CD138" i="1"/>
  <c r="AD129" i="1"/>
  <c r="CH119" i="1"/>
  <c r="AH110" i="1"/>
  <c r="CL100" i="1"/>
  <c r="AL91" i="1"/>
  <c r="CP81" i="1"/>
  <c r="AY75" i="1"/>
  <c r="K73" i="1"/>
  <c r="CA70" i="1"/>
  <c r="AM68" i="1"/>
  <c r="DC65" i="1"/>
  <c r="BO63" i="1"/>
  <c r="AA61" i="1"/>
  <c r="CQ58" i="1"/>
  <c r="BC56" i="1"/>
  <c r="O54" i="1"/>
  <c r="CE51" i="1"/>
  <c r="AQ49" i="1"/>
  <c r="DG46" i="1"/>
  <c r="BS44" i="1"/>
  <c r="AE42" i="1"/>
  <c r="CU39" i="1"/>
  <c r="BG37" i="1"/>
  <c r="S35" i="1"/>
  <c r="CI32" i="1"/>
  <c r="AU30" i="1"/>
  <c r="G28" i="1"/>
  <c r="F161" i="1"/>
  <c r="CP157" i="1"/>
  <c r="BZ154" i="1"/>
  <c r="AH152" i="1"/>
  <c r="CW149" i="1"/>
  <c r="BI147" i="1"/>
  <c r="U145" i="1"/>
  <c r="CK142" i="1"/>
  <c r="AW140" i="1"/>
  <c r="I138" i="1"/>
  <c r="BY135" i="1"/>
  <c r="AK133" i="1"/>
  <c r="DA130" i="1"/>
  <c r="BM128" i="1"/>
  <c r="Y126" i="1"/>
  <c r="CO123" i="1"/>
  <c r="BA121" i="1"/>
  <c r="M119" i="1"/>
  <c r="CC116" i="1"/>
  <c r="AO114" i="1"/>
  <c r="DE111" i="1"/>
  <c r="BQ109" i="1"/>
  <c r="AC107" i="1"/>
  <c r="CS104" i="1"/>
  <c r="BE102" i="1"/>
  <c r="Q100" i="1"/>
  <c r="CG97" i="1"/>
  <c r="AS95" i="1"/>
  <c r="DI92" i="1"/>
  <c r="BU90" i="1"/>
  <c r="AG88" i="1"/>
  <c r="CW85" i="1"/>
  <c r="BI83" i="1"/>
  <c r="U81" i="1"/>
  <c r="CK78" i="1"/>
  <c r="BL151" i="1"/>
  <c r="X149" i="1"/>
  <c r="CN146" i="1"/>
  <c r="AZ144" i="1"/>
  <c r="L142" i="1"/>
  <c r="CB139" i="1"/>
  <c r="AN137" i="1"/>
  <c r="DD134" i="1"/>
  <c r="BP132" i="1"/>
  <c r="AB130" i="1"/>
  <c r="CR127" i="1"/>
  <c r="BD125" i="1"/>
  <c r="P123" i="1"/>
  <c r="CF120" i="1"/>
  <c r="AR118" i="1"/>
  <c r="DH115" i="1"/>
  <c r="BT113" i="1"/>
  <c r="AF111" i="1"/>
  <c r="CV108" i="1"/>
  <c r="BH106" i="1"/>
  <c r="T104" i="1"/>
  <c r="CJ101" i="1"/>
  <c r="AV99" i="1"/>
  <c r="H97" i="1"/>
  <c r="BX94" i="1"/>
  <c r="AJ92" i="1"/>
  <c r="CZ89" i="1"/>
  <c r="BL87" i="1"/>
  <c r="X85" i="1"/>
  <c r="CN82" i="1"/>
  <c r="AZ80" i="1"/>
  <c r="L78" i="1"/>
  <c r="BG151" i="1"/>
  <c r="S149" i="1"/>
  <c r="CI146" i="1"/>
  <c r="AU144" i="1"/>
  <c r="G142" i="1"/>
  <c r="BW139" i="1"/>
  <c r="AI137" i="1"/>
  <c r="CY134" i="1"/>
  <c r="BK132" i="1"/>
  <c r="W130" i="1"/>
  <c r="CM127" i="1"/>
  <c r="AY125" i="1"/>
  <c r="K123" i="1"/>
  <c r="CA120" i="1"/>
  <c r="AM118" i="1"/>
  <c r="DC115" i="1"/>
  <c r="BO113" i="1"/>
  <c r="AA111" i="1"/>
  <c r="CQ108" i="1"/>
  <c r="BC106" i="1"/>
  <c r="O104" i="1"/>
  <c r="CE101" i="1"/>
  <c r="AQ99" i="1"/>
  <c r="DG96" i="1"/>
  <c r="BS94" i="1"/>
  <c r="AE92" i="1"/>
  <c r="CU89" i="1"/>
  <c r="BG87" i="1"/>
  <c r="S85" i="1"/>
  <c r="CI82" i="1"/>
  <c r="AU80" i="1"/>
  <c r="G78" i="1"/>
  <c r="BB147" i="1"/>
  <c r="DF137" i="1"/>
  <c r="BF128" i="1"/>
  <c r="F119" i="1"/>
  <c r="BJ109" i="1"/>
  <c r="J100" i="1"/>
  <c r="BN90" i="1"/>
  <c r="N81" i="1"/>
  <c r="AE75" i="1"/>
  <c r="CU72" i="1"/>
  <c r="BG70" i="1"/>
  <c r="S68" i="1"/>
  <c r="CI65" i="1"/>
  <c r="AU63" i="1"/>
  <c r="G61" i="1"/>
  <c r="BW58" i="1"/>
  <c r="AI56" i="1"/>
  <c r="CY53" i="1"/>
  <c r="BK51" i="1"/>
  <c r="W49" i="1"/>
  <c r="CM46" i="1"/>
  <c r="AY44" i="1"/>
  <c r="K42" i="1"/>
  <c r="CA39" i="1"/>
  <c r="AM37" i="1"/>
  <c r="DC34" i="1"/>
  <c r="BO32" i="1"/>
  <c r="AA30" i="1"/>
  <c r="CQ27" i="1"/>
  <c r="BO25" i="1"/>
  <c r="AA23" i="1"/>
  <c r="CQ20" i="1"/>
  <c r="BC18" i="1"/>
  <c r="O16" i="1"/>
  <c r="CE13" i="1"/>
  <c r="AD146" i="1"/>
  <c r="CH136" i="1"/>
  <c r="AH127" i="1"/>
  <c r="CL117" i="1"/>
  <c r="AL108" i="1"/>
  <c r="CP98" i="1"/>
  <c r="AP89" i="1"/>
  <c r="CT79" i="1"/>
  <c r="DB74" i="1"/>
  <c r="BN72" i="1"/>
  <c r="Z70" i="1"/>
  <c r="CP67" i="1"/>
  <c r="BB65" i="1"/>
  <c r="N63" i="1"/>
  <c r="CD60" i="1"/>
  <c r="AP58" i="1"/>
  <c r="DF55" i="1"/>
  <c r="BR53" i="1"/>
  <c r="AD51" i="1"/>
  <c r="CT48" i="1"/>
  <c r="BF46" i="1"/>
  <c r="R44" i="1"/>
  <c r="CH41" i="1"/>
  <c r="AT39" i="1"/>
  <c r="F37" i="1"/>
  <c r="BV34" i="1"/>
  <c r="AH32" i="1"/>
  <c r="CX29" i="1"/>
  <c r="BJ27" i="1"/>
  <c r="V25" i="1"/>
  <c r="CL22" i="1"/>
  <c r="AX20" i="1"/>
  <c r="J18" i="1"/>
  <c r="BZ15" i="1"/>
  <c r="AL13" i="1"/>
  <c r="DB10" i="1"/>
  <c r="BN8" i="1"/>
  <c r="Z6" i="1"/>
  <c r="CP3" i="1"/>
  <c r="CM7" i="1"/>
  <c r="AX148" i="1"/>
  <c r="DB138" i="1"/>
  <c r="BB129" i="1"/>
  <c r="DF119" i="1"/>
  <c r="BF110" i="1"/>
  <c r="F101" i="1"/>
  <c r="BJ91" i="1"/>
  <c r="J82" i="1"/>
  <c r="BE75" i="1"/>
  <c r="Q73" i="1"/>
  <c r="CG70" i="1"/>
  <c r="AS68" i="1"/>
  <c r="DI65" i="1"/>
  <c r="BU63" i="1"/>
  <c r="AG61" i="1"/>
  <c r="CW58" i="1"/>
  <c r="BI56" i="1"/>
  <c r="U54" i="1"/>
  <c r="CK51" i="1"/>
  <c r="AW49" i="1"/>
  <c r="I47" i="1"/>
  <c r="BY44" i="1"/>
  <c r="AK42" i="1"/>
  <c r="DA39" i="1"/>
  <c r="BM37" i="1"/>
  <c r="Y35" i="1"/>
  <c r="CO32" i="1"/>
  <c r="BA30" i="1"/>
  <c r="M28" i="1"/>
  <c r="CC25" i="1"/>
  <c r="AO23" i="1"/>
  <c r="DE20" i="1"/>
  <c r="BQ18" i="1"/>
  <c r="AC16" i="1"/>
  <c r="CS13" i="1"/>
  <c r="BE11" i="1"/>
  <c r="Q9" i="1"/>
  <c r="CG6" i="1"/>
  <c r="AS4" i="1"/>
  <c r="AA9" i="1"/>
  <c r="CH150" i="1"/>
  <c r="AH141" i="1"/>
  <c r="CL131" i="1"/>
  <c r="AL122" i="1"/>
  <c r="CP112" i="1"/>
  <c r="AP103" i="1"/>
  <c r="CT93" i="1"/>
  <c r="AT84" i="1"/>
  <c r="O76" i="1"/>
  <c r="CB73" i="1"/>
  <c r="AN71" i="1"/>
  <c r="DD68" i="1"/>
  <c r="BP66" i="1"/>
  <c r="AB64" i="1"/>
  <c r="CR61" i="1"/>
  <c r="BD59" i="1"/>
  <c r="P57" i="1"/>
  <c r="CF54" i="1"/>
  <c r="AR52" i="1"/>
  <c r="DH49" i="1"/>
  <c r="BT47" i="1"/>
  <c r="AF45" i="1"/>
  <c r="CV42" i="1"/>
  <c r="BH40" i="1"/>
  <c r="T38" i="1"/>
  <c r="CJ35" i="1"/>
  <c r="AV33" i="1"/>
  <c r="H31" i="1"/>
  <c r="BX28" i="1"/>
  <c r="AJ26" i="1"/>
  <c r="CZ23" i="1"/>
  <c r="BL21" i="1"/>
  <c r="H19" i="1"/>
  <c r="X15" i="1"/>
  <c r="L12" i="1"/>
  <c r="AN7" i="1"/>
  <c r="AE12" i="1"/>
  <c r="BP3" i="1"/>
  <c r="AM5" i="1"/>
  <c r="AU25" i="1"/>
  <c r="G23" i="1"/>
  <c r="BW20" i="1"/>
  <c r="AI18" i="1"/>
  <c r="CY15" i="1"/>
  <c r="BK13" i="1"/>
  <c r="BF145" i="1"/>
  <c r="F136" i="1"/>
  <c r="BJ126" i="1"/>
  <c r="J117" i="1"/>
  <c r="BN107" i="1"/>
  <c r="N98" i="1"/>
  <c r="BR88" i="1"/>
  <c r="R79" i="1"/>
  <c r="CH74" i="1"/>
  <c r="AT72" i="1"/>
  <c r="F70" i="1"/>
  <c r="BV67" i="1"/>
  <c r="AH65" i="1"/>
  <c r="CX62" i="1"/>
  <c r="BJ60" i="1"/>
  <c r="V58" i="1"/>
  <c r="CL55" i="1"/>
  <c r="AX53" i="1"/>
  <c r="J51" i="1"/>
  <c r="BZ48" i="1"/>
  <c r="AL46" i="1"/>
  <c r="DB43" i="1"/>
  <c r="BN41" i="1"/>
  <c r="Z39" i="1"/>
  <c r="CP36" i="1"/>
  <c r="BB34" i="1"/>
  <c r="N32" i="1"/>
  <c r="CD29" i="1"/>
  <c r="AP27" i="1"/>
  <c r="DF24" i="1"/>
  <c r="BR22" i="1"/>
  <c r="AD20" i="1"/>
  <c r="CT17" i="1"/>
  <c r="BF15" i="1"/>
  <c r="R13" i="1"/>
  <c r="CH10" i="1"/>
  <c r="AT8" i="1"/>
  <c r="F6" i="1"/>
  <c r="BV3" i="1"/>
  <c r="AI7" i="1"/>
  <c r="BZ147" i="1"/>
  <c r="Z138" i="1"/>
  <c r="CD128" i="1"/>
  <c r="AD119" i="1"/>
  <c r="CH109" i="1"/>
  <c r="AH100" i="1"/>
  <c r="CL90" i="1"/>
  <c r="AL81" i="1"/>
  <c r="AK75" i="1"/>
  <c r="DA72" i="1"/>
  <c r="BM70" i="1"/>
  <c r="Y68" i="1"/>
  <c r="CO65" i="1"/>
  <c r="BA63" i="1"/>
  <c r="M61" i="1"/>
  <c r="CC58" i="1"/>
  <c r="AO56" i="1"/>
  <c r="DE53" i="1"/>
  <c r="BQ51" i="1"/>
  <c r="AC49" i="1"/>
  <c r="CS46" i="1"/>
  <c r="BE44" i="1"/>
  <c r="Q42" i="1"/>
  <c r="CG39" i="1"/>
  <c r="AS37" i="1"/>
  <c r="DI34" i="1"/>
  <c r="BU32" i="1"/>
  <c r="AG30" i="1"/>
  <c r="CW27" i="1"/>
  <c r="BI25" i="1"/>
  <c r="U23" i="1"/>
  <c r="CK20" i="1"/>
  <c r="AW18" i="1"/>
  <c r="I16" i="1"/>
  <c r="BY13" i="1"/>
  <c r="AK11" i="1"/>
  <c r="DA8" i="1"/>
  <c r="BM6" i="1"/>
  <c r="Y4" i="1"/>
  <c r="BS8" i="1"/>
  <c r="F150" i="1"/>
  <c r="BJ140" i="1"/>
  <c r="J131" i="1"/>
  <c r="BN121" i="1"/>
  <c r="N112" i="1"/>
  <c r="BR102" i="1"/>
  <c r="R93" i="1"/>
  <c r="BV83" i="1"/>
  <c r="CV75" i="1"/>
  <c r="BH73" i="1"/>
  <c r="T71" i="1"/>
  <c r="CJ68" i="1"/>
  <c r="AV66" i="1"/>
  <c r="H64" i="1"/>
  <c r="BX61" i="1"/>
  <c r="AJ59" i="1"/>
  <c r="CZ56" i="1"/>
  <c r="BL54" i="1"/>
  <c r="X52" i="1"/>
  <c r="CN49" i="1"/>
  <c r="AZ47" i="1"/>
  <c r="L45" i="1"/>
  <c r="CB42" i="1"/>
  <c r="AN40" i="1"/>
  <c r="DD37" i="1"/>
  <c r="BP35" i="1"/>
  <c r="AB33" i="1"/>
  <c r="CR30" i="1"/>
  <c r="BD28" i="1"/>
  <c r="P26" i="1"/>
  <c r="CF23" i="1"/>
  <c r="AR21" i="1"/>
  <c r="DH18" i="1"/>
  <c r="BT16" i="1"/>
  <c r="AF14" i="1"/>
  <c r="CV11" i="1"/>
  <c r="BH9" i="1"/>
  <c r="T7" i="1"/>
  <c r="AE8" i="1"/>
  <c r="CA26" i="1"/>
  <c r="AM24" i="1"/>
  <c r="DC21" i="1"/>
  <c r="BO19" i="1"/>
  <c r="AA17" i="1"/>
  <c r="CQ14" i="1"/>
  <c r="BZ150" i="1"/>
  <c r="Z141" i="1"/>
  <c r="CD131" i="1"/>
  <c r="AD122" i="1"/>
  <c r="CH112" i="1"/>
  <c r="AH103" i="1"/>
  <c r="CL93" i="1"/>
  <c r="AL84" i="1"/>
  <c r="M76" i="1"/>
  <c r="BZ73" i="1"/>
  <c r="AL71" i="1"/>
  <c r="DB68" i="1"/>
  <c r="BN66" i="1"/>
  <c r="Z64" i="1"/>
  <c r="CP61" i="1"/>
  <c r="BB59" i="1"/>
  <c r="N57" i="1"/>
  <c r="CD54" i="1"/>
  <c r="AP52" i="1"/>
  <c r="DF49" i="1"/>
  <c r="BR47" i="1"/>
  <c r="AD45" i="1"/>
  <c r="CT42" i="1"/>
  <c r="BF40" i="1"/>
  <c r="R38" i="1"/>
  <c r="CH35" i="1"/>
  <c r="AT33" i="1"/>
  <c r="F31" i="1"/>
  <c r="BV28" i="1"/>
  <c r="AH26" i="1"/>
  <c r="CX23" i="1"/>
  <c r="BJ21" i="1"/>
  <c r="V19" i="1"/>
  <c r="CL16" i="1"/>
  <c r="AX14" i="1"/>
  <c r="J12" i="1"/>
  <c r="BZ9" i="1"/>
  <c r="AL7" i="1"/>
  <c r="DB4" i="1"/>
  <c r="G11" i="1"/>
  <c r="CM3" i="1"/>
  <c r="AT143" i="1"/>
  <c r="CX133" i="1"/>
  <c r="AX124" i="1"/>
  <c r="DB114" i="1"/>
  <c r="BB105" i="1"/>
  <c r="DF95" i="1"/>
  <c r="BF86" i="1"/>
  <c r="F77" i="1"/>
  <c r="AC74" i="1"/>
  <c r="CS71" i="1"/>
  <c r="BE69" i="1"/>
  <c r="Q67" i="1"/>
  <c r="CG64" i="1"/>
  <c r="AS62" i="1"/>
  <c r="DI59" i="1"/>
  <c r="BU57" i="1"/>
  <c r="AG55" i="1"/>
  <c r="CW52" i="1"/>
  <c r="BI50" i="1"/>
  <c r="U48" i="1"/>
  <c r="CK45" i="1"/>
  <c r="AW43" i="1"/>
  <c r="I41" i="1"/>
  <c r="BY38" i="1"/>
  <c r="AK36" i="1"/>
  <c r="DA33" i="1"/>
  <c r="BM31" i="1"/>
  <c r="Y29" i="1"/>
  <c r="CO26" i="1"/>
  <c r="BA24" i="1"/>
  <c r="M22" i="1"/>
  <c r="CC19" i="1"/>
  <c r="AO17" i="1"/>
  <c r="DE14" i="1"/>
  <c r="BQ12" i="1"/>
  <c r="AC10" i="1"/>
  <c r="CS7" i="1"/>
  <c r="BE5" i="1"/>
  <c r="Q3" i="1"/>
  <c r="BG5" i="1"/>
  <c r="CD145" i="1"/>
  <c r="AD136" i="1"/>
  <c r="CH126" i="1"/>
  <c r="AH117" i="1"/>
  <c r="CL107" i="1"/>
  <c r="AL98" i="1"/>
  <c r="CP88" i="1"/>
  <c r="AP79" i="1"/>
  <c r="CN74" i="1"/>
  <c r="AZ72" i="1"/>
  <c r="L70" i="1"/>
  <c r="CB67" i="1"/>
  <c r="AN65" i="1"/>
  <c r="DD62" i="1"/>
  <c r="BP60" i="1"/>
  <c r="AB58" i="1"/>
  <c r="CR55" i="1"/>
  <c r="BD53" i="1"/>
  <c r="P51" i="1"/>
  <c r="CF48" i="1"/>
  <c r="AR46" i="1"/>
  <c r="DH43" i="1"/>
  <c r="BT41" i="1"/>
  <c r="AF39" i="1"/>
  <c r="CV36" i="1"/>
  <c r="BH34" i="1"/>
  <c r="T32" i="1"/>
  <c r="CJ29" i="1"/>
  <c r="AV27" i="1"/>
  <c r="H25" i="1"/>
  <c r="BX22" i="1"/>
  <c r="AJ20" i="1"/>
  <c r="CZ17" i="1"/>
  <c r="BL15" i="1"/>
  <c r="X13" i="1"/>
  <c r="CN10" i="1"/>
  <c r="AZ8" i="1"/>
  <c r="L6" i="1"/>
  <c r="AF3" i="1"/>
  <c r="CY25" i="1"/>
  <c r="BK23" i="1"/>
  <c r="W21" i="1"/>
  <c r="CM18" i="1"/>
  <c r="AY16" i="1"/>
  <c r="K14" i="1"/>
  <c r="BN147" i="1"/>
  <c r="N138" i="1"/>
  <c r="BR128" i="1"/>
  <c r="R119" i="1"/>
  <c r="BV109" i="1"/>
  <c r="V100" i="1"/>
  <c r="BZ90" i="1"/>
  <c r="Z81" i="1"/>
  <c r="AH75" i="1"/>
  <c r="CX72" i="1"/>
  <c r="BJ70" i="1"/>
  <c r="V68" i="1"/>
  <c r="CL65" i="1"/>
  <c r="AX63" i="1"/>
  <c r="J61" i="1"/>
  <c r="BZ58" i="1"/>
  <c r="AL56" i="1"/>
  <c r="DB53" i="1"/>
  <c r="BN51" i="1"/>
  <c r="Z49" i="1"/>
  <c r="CP46" i="1"/>
  <c r="BB44" i="1"/>
  <c r="N42" i="1"/>
  <c r="CD39" i="1"/>
  <c r="AP37" i="1"/>
  <c r="DF34" i="1"/>
  <c r="BR32" i="1"/>
  <c r="AD30" i="1"/>
  <c r="CT27" i="1"/>
  <c r="BF25" i="1"/>
  <c r="R23" i="1"/>
  <c r="CH20" i="1"/>
  <c r="AT18" i="1"/>
  <c r="F16" i="1"/>
  <c r="BV13" i="1"/>
  <c r="AH11" i="1"/>
  <c r="CX8" i="1"/>
  <c r="BJ6" i="1"/>
  <c r="V4" i="1"/>
  <c r="CI8" i="1"/>
  <c r="CH149" i="1"/>
  <c r="AH140" i="1"/>
  <c r="CL130" i="1"/>
  <c r="AL121" i="1"/>
  <c r="CP111" i="1"/>
  <c r="AP102" i="1"/>
  <c r="CT92" i="1"/>
  <c r="AT83" i="1"/>
  <c r="CO75" i="1"/>
  <c r="BA73" i="1"/>
  <c r="M71" i="1"/>
  <c r="CC68" i="1"/>
  <c r="AO66" i="1"/>
  <c r="DE63" i="1"/>
  <c r="BQ61" i="1"/>
  <c r="AC59" i="1"/>
  <c r="CS56" i="1"/>
  <c r="BE54" i="1"/>
  <c r="Q52" i="1"/>
  <c r="CG49" i="1"/>
  <c r="AS47" i="1"/>
  <c r="DI44" i="1"/>
  <c r="BU42" i="1"/>
  <c r="AG40" i="1"/>
  <c r="CW37" i="1"/>
  <c r="BI35" i="1"/>
  <c r="U33" i="1"/>
  <c r="CK30" i="1"/>
  <c r="AW28" i="1"/>
  <c r="I26" i="1"/>
  <c r="BY23" i="1"/>
  <c r="AK21" i="1"/>
  <c r="DA18" i="1"/>
  <c r="BM16" i="1"/>
  <c r="Y14" i="1"/>
  <c r="CO11" i="1"/>
  <c r="BA9" i="1"/>
  <c r="M7" i="1"/>
  <c r="CC4" i="1"/>
  <c r="AA10" i="1"/>
  <c r="AI3" i="1"/>
  <c r="BR142" i="1"/>
  <c r="R133" i="1"/>
  <c r="BV123" i="1"/>
  <c r="V114" i="1"/>
  <c r="BZ104" i="1"/>
  <c r="Z95" i="1"/>
  <c r="CD85" i="1"/>
  <c r="BK76" i="1"/>
  <c r="H74" i="1"/>
  <c r="BX71" i="1"/>
  <c r="AJ69" i="1"/>
  <c r="CZ66" i="1"/>
  <c r="BL64" i="1"/>
  <c r="X62" i="1"/>
  <c r="CN59" i="1"/>
  <c r="AZ57" i="1"/>
  <c r="L55" i="1"/>
  <c r="CB52" i="1"/>
  <c r="AN50" i="1"/>
  <c r="DD47" i="1"/>
  <c r="BP45" i="1"/>
  <c r="AB43" i="1"/>
  <c r="CR40" i="1"/>
  <c r="BD38" i="1"/>
  <c r="P36" i="1"/>
  <c r="CF33" i="1"/>
  <c r="AR31" i="1"/>
  <c r="DH28" i="1"/>
  <c r="BT26" i="1"/>
  <c r="AF24" i="1"/>
  <c r="CV21" i="1"/>
  <c r="BH19" i="1"/>
  <c r="T17" i="1"/>
  <c r="CJ14" i="1"/>
  <c r="AV12" i="1"/>
  <c r="H10" i="1"/>
  <c r="BX7" i="1"/>
  <c r="AJ5" i="1"/>
  <c r="BS11" i="1"/>
  <c r="BP10" i="1"/>
  <c r="AQ8" i="1"/>
  <c r="BX4" i="1"/>
  <c r="BP5" i="1"/>
  <c r="DH9" i="1"/>
  <c r="BS3" i="1"/>
  <c r="T106" i="1"/>
  <c r="CJ103" i="1"/>
  <c r="AV101" i="1"/>
  <c r="H99" i="1"/>
  <c r="BX96" i="1"/>
  <c r="AJ94" i="1"/>
  <c r="CZ91" i="1"/>
  <c r="BL89" i="1"/>
  <c r="X87" i="1"/>
  <c r="CN84" i="1"/>
  <c r="AZ82" i="1"/>
  <c r="L80" i="1"/>
  <c r="CB77" i="1"/>
  <c r="S151" i="1"/>
  <c r="CI148" i="1"/>
  <c r="AU146" i="1"/>
  <c r="G144" i="1"/>
  <c r="BW141" i="1"/>
  <c r="AI139" i="1"/>
  <c r="CY136" i="1"/>
  <c r="BK134" i="1"/>
  <c r="W132" i="1"/>
  <c r="CM129" i="1"/>
  <c r="AY127" i="1"/>
  <c r="K125" i="1"/>
  <c r="CA122" i="1"/>
  <c r="AM120" i="1"/>
  <c r="DC117" i="1"/>
  <c r="BO115" i="1"/>
  <c r="AA113" i="1"/>
  <c r="CQ110" i="1"/>
  <c r="BC108" i="1"/>
  <c r="O106" i="1"/>
  <c r="CE103" i="1"/>
  <c r="AQ101" i="1"/>
  <c r="DG98" i="1"/>
  <c r="BS96" i="1"/>
  <c r="AE94" i="1"/>
  <c r="CU91" i="1"/>
  <c r="BG89" i="1"/>
  <c r="S87" i="1"/>
  <c r="CI84" i="1"/>
  <c r="AU82" i="1"/>
  <c r="G80" i="1"/>
  <c r="BW77" i="1"/>
  <c r="DF145" i="1"/>
  <c r="BF136" i="1"/>
  <c r="F127" i="1"/>
  <c r="BJ117" i="1"/>
  <c r="J108" i="1"/>
  <c r="BN98" i="1"/>
  <c r="N89" i="1"/>
  <c r="BR79" i="1"/>
  <c r="CU74" i="1"/>
  <c r="BG72" i="1"/>
  <c r="S70" i="1"/>
  <c r="CI67" i="1"/>
  <c r="AU65" i="1"/>
  <c r="G63" i="1"/>
  <c r="BW60" i="1"/>
  <c r="AI58" i="1"/>
  <c r="CY55" i="1"/>
  <c r="BK53" i="1"/>
  <c r="W51" i="1"/>
  <c r="CM48" i="1"/>
  <c r="AY46" i="1"/>
  <c r="K44" i="1"/>
  <c r="CA41" i="1"/>
  <c r="AM39" i="1"/>
  <c r="DC36" i="1"/>
  <c r="BO34" i="1"/>
  <c r="AA32" i="1"/>
  <c r="CQ29" i="1"/>
  <c r="CP163" i="1"/>
  <c r="AH160" i="1"/>
  <c r="N157" i="1"/>
  <c r="N154" i="1"/>
  <c r="CH151" i="1"/>
  <c r="AO149" i="1"/>
  <c r="DE146" i="1"/>
  <c r="BQ144" i="1"/>
  <c r="AC142" i="1"/>
  <c r="CS139" i="1"/>
  <c r="BE137" i="1"/>
  <c r="Q135" i="1"/>
  <c r="CG132" i="1"/>
  <c r="AS130" i="1"/>
  <c r="DI127" i="1"/>
  <c r="BU125" i="1"/>
  <c r="AG123" i="1"/>
  <c r="CW120" i="1"/>
  <c r="BI118" i="1"/>
  <c r="U116" i="1"/>
  <c r="CK113" i="1"/>
  <c r="AW111" i="1"/>
  <c r="I109" i="1"/>
  <c r="BY106" i="1"/>
  <c r="AK104" i="1"/>
  <c r="DA101" i="1"/>
  <c r="BM99" i="1"/>
  <c r="Y97" i="1"/>
  <c r="CO94" i="1"/>
  <c r="BA92" i="1"/>
  <c r="M90" i="1"/>
  <c r="CC87" i="1"/>
  <c r="AO85" i="1"/>
  <c r="DE82" i="1"/>
  <c r="BQ80" i="1"/>
  <c r="AC78" i="1"/>
  <c r="DH150" i="1"/>
  <c r="BT148" i="1"/>
  <c r="AF146" i="1"/>
  <c r="CV143" i="1"/>
  <c r="BH141" i="1"/>
  <c r="T139" i="1"/>
  <c r="CJ136" i="1"/>
  <c r="AV134" i="1"/>
  <c r="H132" i="1"/>
  <c r="BX129" i="1"/>
  <c r="AJ127" i="1"/>
  <c r="CZ124" i="1"/>
  <c r="BL122" i="1"/>
  <c r="X120" i="1"/>
  <c r="CN117" i="1"/>
  <c r="AZ115" i="1"/>
  <c r="L113" i="1"/>
  <c r="CB110" i="1"/>
  <c r="AN108" i="1"/>
  <c r="DD105" i="1"/>
  <c r="BP103" i="1"/>
  <c r="AB101" i="1"/>
  <c r="CR98" i="1"/>
  <c r="BD96" i="1"/>
  <c r="P94" i="1"/>
  <c r="CF91" i="1"/>
  <c r="AR89" i="1"/>
  <c r="DH86" i="1"/>
  <c r="BT84" i="1"/>
  <c r="AF82" i="1"/>
  <c r="CV79" i="1"/>
  <c r="BH77" i="1"/>
  <c r="DC150" i="1"/>
  <c r="BO148" i="1"/>
  <c r="AA146" i="1"/>
  <c r="CQ143" i="1"/>
  <c r="BC141" i="1"/>
  <c r="O139" i="1"/>
  <c r="CE136" i="1"/>
  <c r="AQ134" i="1"/>
  <c r="DG131" i="1"/>
  <c r="BS129" i="1"/>
  <c r="AE127" i="1"/>
  <c r="CU124" i="1"/>
  <c r="BG122" i="1"/>
  <c r="S120" i="1"/>
  <c r="CI117" i="1"/>
  <c r="AU115" i="1"/>
  <c r="G113" i="1"/>
  <c r="BW110" i="1"/>
  <c r="AI108" i="1"/>
  <c r="CY105" i="1"/>
  <c r="BK103" i="1"/>
  <c r="W101" i="1"/>
  <c r="CM98" i="1"/>
  <c r="AY96" i="1"/>
  <c r="K94" i="1"/>
  <c r="CA91" i="1"/>
  <c r="AM89" i="1"/>
  <c r="DC86" i="1"/>
  <c r="BO84" i="1"/>
  <c r="AA82" i="1"/>
  <c r="CQ79" i="1"/>
  <c r="BC77" i="1"/>
  <c r="AD145" i="1"/>
  <c r="CH135" i="1"/>
  <c r="AH126" i="1"/>
  <c r="CL116" i="1"/>
  <c r="AL107" i="1"/>
  <c r="CP97" i="1"/>
  <c r="AP88" i="1"/>
  <c r="CT78" i="1"/>
  <c r="CA74" i="1"/>
  <c r="AM72" i="1"/>
  <c r="DC69" i="1"/>
  <c r="BO67" i="1"/>
  <c r="AA65" i="1"/>
  <c r="CQ62" i="1"/>
  <c r="BC60" i="1"/>
  <c r="O58" i="1"/>
  <c r="CE55" i="1"/>
  <c r="AQ53" i="1"/>
  <c r="DG50" i="1"/>
  <c r="BS48" i="1"/>
  <c r="AE46" i="1"/>
  <c r="CU43" i="1"/>
  <c r="BG41" i="1"/>
  <c r="S39" i="1"/>
  <c r="CI36" i="1"/>
  <c r="AU34" i="1"/>
  <c r="G32" i="1"/>
  <c r="BW29" i="1"/>
  <c r="AX163" i="1"/>
  <c r="F160" i="1"/>
  <c r="CT156" i="1"/>
  <c r="CX153" i="1"/>
  <c r="BI151" i="1"/>
  <c r="U149" i="1"/>
  <c r="CK146" i="1"/>
  <c r="AW144" i="1"/>
  <c r="I142" i="1"/>
  <c r="BY139" i="1"/>
  <c r="AK137" i="1"/>
  <c r="DA134" i="1"/>
  <c r="BM132" i="1"/>
  <c r="Y130" i="1"/>
  <c r="CO127" i="1"/>
  <c r="BA125" i="1"/>
  <c r="M123" i="1"/>
  <c r="CC120" i="1"/>
  <c r="AO118" i="1"/>
  <c r="DE115" i="1"/>
  <c r="BQ113" i="1"/>
  <c r="AC111" i="1"/>
  <c r="CS108" i="1"/>
  <c r="BE106" i="1"/>
  <c r="Q104" i="1"/>
  <c r="CG101" i="1"/>
  <c r="AS99" i="1"/>
  <c r="DI96" i="1"/>
  <c r="BU94" i="1"/>
  <c r="AG92" i="1"/>
  <c r="CW89" i="1"/>
  <c r="BI87" i="1"/>
  <c r="U85" i="1"/>
  <c r="CK82" i="1"/>
  <c r="AW80" i="1"/>
  <c r="I78" i="1"/>
  <c r="CN150" i="1"/>
  <c r="AZ148" i="1"/>
  <c r="L146" i="1"/>
  <c r="CB143" i="1"/>
  <c r="AN141" i="1"/>
  <c r="DD138" i="1"/>
  <c r="BP136" i="1"/>
  <c r="AB134" i="1"/>
  <c r="CR131" i="1"/>
  <c r="BD129" i="1"/>
  <c r="P127" i="1"/>
  <c r="CF124" i="1"/>
  <c r="AR122" i="1"/>
  <c r="DH119" i="1"/>
  <c r="BT117" i="1"/>
  <c r="AF115" i="1"/>
  <c r="CV112" i="1"/>
  <c r="BH110" i="1"/>
  <c r="T108" i="1"/>
  <c r="CJ105" i="1"/>
  <c r="AV103" i="1"/>
  <c r="H101" i="1"/>
  <c r="BX98" i="1"/>
  <c r="AJ96" i="1"/>
  <c r="CZ93" i="1"/>
  <c r="BL91" i="1"/>
  <c r="X89" i="1"/>
  <c r="CN86" i="1"/>
  <c r="AZ84" i="1"/>
  <c r="L82" i="1"/>
  <c r="CB79" i="1"/>
  <c r="AN77" i="1"/>
  <c r="CI150" i="1"/>
  <c r="AU148" i="1"/>
  <c r="G146" i="1"/>
  <c r="BW143" i="1"/>
  <c r="AI141" i="1"/>
  <c r="CY138" i="1"/>
  <c r="BK136" i="1"/>
  <c r="W134" i="1"/>
  <c r="CM131" i="1"/>
  <c r="AY129" i="1"/>
  <c r="K127" i="1"/>
  <c r="CA124" i="1"/>
  <c r="AM122" i="1"/>
  <c r="DC119" i="1"/>
  <c r="BO117" i="1"/>
  <c r="AA115" i="1"/>
  <c r="CQ112" i="1"/>
  <c r="BC110" i="1"/>
  <c r="O108" i="1"/>
  <c r="CE105" i="1"/>
  <c r="AQ103" i="1"/>
  <c r="DG100" i="1"/>
  <c r="BS98" i="1"/>
  <c r="AE96" i="1"/>
  <c r="CU93" i="1"/>
  <c r="BG91" i="1"/>
  <c r="S89" i="1"/>
  <c r="CI86" i="1"/>
  <c r="AU84" i="1"/>
  <c r="G82" i="1"/>
  <c r="BW79" i="1"/>
  <c r="AI77" i="1"/>
  <c r="BF144" i="1"/>
  <c r="F135" i="1"/>
  <c r="BJ125" i="1"/>
  <c r="J116" i="1"/>
  <c r="BN106" i="1"/>
  <c r="N97" i="1"/>
  <c r="BR87" i="1"/>
  <c r="R78" i="1"/>
  <c r="BG74" i="1"/>
  <c r="S72" i="1"/>
  <c r="CI69" i="1"/>
  <c r="AU67" i="1"/>
  <c r="G65" i="1"/>
  <c r="BW62" i="1"/>
  <c r="AI60" i="1"/>
  <c r="CY57" i="1"/>
  <c r="BK55" i="1"/>
  <c r="W53" i="1"/>
  <c r="CM50" i="1"/>
  <c r="AY48" i="1"/>
  <c r="K46" i="1"/>
  <c r="CA43" i="1"/>
  <c r="AM41" i="1"/>
  <c r="DC38" i="1"/>
  <c r="BO36" i="1"/>
  <c r="AA34" i="1"/>
  <c r="CQ31" i="1"/>
  <c r="BC29" i="1"/>
  <c r="AA27" i="1"/>
  <c r="CQ24" i="1"/>
  <c r="BC22" i="1"/>
  <c r="O20" i="1"/>
  <c r="CE17" i="1"/>
  <c r="AQ15" i="1"/>
  <c r="DG12" i="1"/>
  <c r="AH143" i="1"/>
  <c r="CL133" i="1"/>
  <c r="AL124" i="1"/>
  <c r="CP114" i="1"/>
  <c r="AP105" i="1"/>
  <c r="CT95" i="1"/>
  <c r="AT86" i="1"/>
  <c r="CX76" i="1"/>
  <c r="Z74" i="1"/>
  <c r="CP71" i="1"/>
  <c r="BB69" i="1"/>
  <c r="N67" i="1"/>
  <c r="CD64" i="1"/>
  <c r="AP62" i="1"/>
  <c r="DF59" i="1"/>
  <c r="BR57" i="1"/>
  <c r="AD55" i="1"/>
  <c r="CT52" i="1"/>
  <c r="BF50" i="1"/>
  <c r="R48" i="1"/>
  <c r="CH45" i="1"/>
  <c r="AT43" i="1"/>
  <c r="F41" i="1"/>
  <c r="BV38" i="1"/>
  <c r="AH36" i="1"/>
  <c r="CX33" i="1"/>
  <c r="BJ31" i="1"/>
  <c r="V29" i="1"/>
  <c r="CL26" i="1"/>
  <c r="AX24" i="1"/>
  <c r="J22" i="1"/>
  <c r="BZ19" i="1"/>
  <c r="AL17" i="1"/>
  <c r="DB14" i="1"/>
  <c r="BN12" i="1"/>
  <c r="Z10" i="1"/>
  <c r="CP7" i="1"/>
  <c r="BB5" i="1"/>
  <c r="N3" i="1"/>
  <c r="BO5" i="1"/>
  <c r="BB145" i="1"/>
  <c r="DF135" i="1"/>
  <c r="BF126" i="1"/>
  <c r="F117" i="1"/>
  <c r="BJ107" i="1"/>
  <c r="J98" i="1"/>
  <c r="BN88" i="1"/>
  <c r="N79" i="1"/>
  <c r="CG74" i="1"/>
  <c r="AS72" i="1"/>
  <c r="DI69" i="1"/>
  <c r="BU67" i="1"/>
  <c r="AG65" i="1"/>
  <c r="CW62" i="1"/>
  <c r="BI60" i="1"/>
  <c r="U58" i="1"/>
  <c r="CK55" i="1"/>
  <c r="AW53" i="1"/>
  <c r="I51" i="1"/>
  <c r="BY48" i="1"/>
  <c r="AK46" i="1"/>
  <c r="DA43" i="1"/>
  <c r="BM41" i="1"/>
  <c r="Y39" i="1"/>
  <c r="CO36" i="1"/>
  <c r="BA34" i="1"/>
  <c r="M32" i="1"/>
  <c r="CC29" i="1"/>
  <c r="AO27" i="1"/>
  <c r="DE24" i="1"/>
  <c r="BQ22" i="1"/>
  <c r="AC20" i="1"/>
  <c r="CS17" i="1"/>
  <c r="BE15" i="1"/>
  <c r="Q13" i="1"/>
  <c r="CG10" i="1"/>
  <c r="AS8" i="1"/>
  <c r="DI5" i="1"/>
  <c r="BU3" i="1"/>
  <c r="G7" i="1"/>
  <c r="CL147" i="1"/>
  <c r="AL138" i="1"/>
  <c r="CP128" i="1"/>
  <c r="AP119" i="1"/>
  <c r="CT109" i="1"/>
  <c r="AT100" i="1"/>
  <c r="CX90" i="1"/>
  <c r="AX81" i="1"/>
  <c r="AN75" i="1"/>
  <c r="DD72" i="1"/>
  <c r="BP70" i="1"/>
  <c r="AB68" i="1"/>
  <c r="CR65" i="1"/>
  <c r="BD63" i="1"/>
  <c r="P61" i="1"/>
  <c r="CF58" i="1"/>
  <c r="AR56" i="1"/>
  <c r="DH53" i="1"/>
  <c r="BT51" i="1"/>
  <c r="AF49" i="1"/>
  <c r="CV46" i="1"/>
  <c r="BH44" i="1"/>
  <c r="T42" i="1"/>
  <c r="CJ39" i="1"/>
  <c r="AV37" i="1"/>
  <c r="H35" i="1"/>
  <c r="BX32" i="1"/>
  <c r="AJ30" i="1"/>
  <c r="CZ27" i="1"/>
  <c r="BL25" i="1"/>
  <c r="X23" i="1"/>
  <c r="CN20" i="1"/>
  <c r="AJ18" i="1"/>
  <c r="CR13" i="1"/>
  <c r="CF10" i="1"/>
  <c r="CR5" i="1"/>
  <c r="CQ7" i="1"/>
  <c r="CA8" i="1"/>
  <c r="G27" i="1"/>
  <c r="BW24" i="1"/>
  <c r="AI22" i="1"/>
  <c r="CY19" i="1"/>
  <c r="BK17" i="1"/>
  <c r="W15" i="1"/>
  <c r="CM12" i="1"/>
  <c r="BJ142" i="1"/>
  <c r="J133" i="1"/>
  <c r="BN123" i="1"/>
  <c r="N114" i="1"/>
  <c r="BR104" i="1"/>
  <c r="R95" i="1"/>
  <c r="BV85" i="1"/>
  <c r="BI76" i="1"/>
  <c r="F74" i="1"/>
  <c r="BV71" i="1"/>
  <c r="AH69" i="1"/>
  <c r="CX66" i="1"/>
  <c r="BJ64" i="1"/>
  <c r="V62" i="1"/>
  <c r="CL59" i="1"/>
  <c r="AX57" i="1"/>
  <c r="J55" i="1"/>
  <c r="BZ52" i="1"/>
  <c r="AL50" i="1"/>
  <c r="DB47" i="1"/>
  <c r="BN45" i="1"/>
  <c r="Z43" i="1"/>
  <c r="CP40" i="1"/>
  <c r="BB38" i="1"/>
  <c r="N36" i="1"/>
  <c r="CD33" i="1"/>
  <c r="AP31" i="1"/>
  <c r="DF28" i="1"/>
  <c r="BR26" i="1"/>
  <c r="AD24" i="1"/>
  <c r="CT21" i="1"/>
  <c r="BF19" i="1"/>
  <c r="R17" i="1"/>
  <c r="CH14" i="1"/>
  <c r="AT12" i="1"/>
  <c r="F10" i="1"/>
  <c r="BV7" i="1"/>
  <c r="AH5" i="1"/>
  <c r="G12" i="1"/>
  <c r="CQ4" i="1"/>
  <c r="CD144" i="1"/>
  <c r="AD135" i="1"/>
  <c r="CH125" i="1"/>
  <c r="AH116" i="1"/>
  <c r="CL106" i="1"/>
  <c r="AL97" i="1"/>
  <c r="CP87" i="1"/>
  <c r="AP78" i="1"/>
  <c r="BM74" i="1"/>
  <c r="Y72" i="1"/>
  <c r="CO69" i="1"/>
  <c r="BA67" i="1"/>
  <c r="M65" i="1"/>
  <c r="CC62" i="1"/>
  <c r="AO60" i="1"/>
  <c r="DE57" i="1"/>
  <c r="BQ55" i="1"/>
  <c r="AC53" i="1"/>
  <c r="CS50" i="1"/>
  <c r="BE48" i="1"/>
  <c r="Q46" i="1"/>
  <c r="CG43" i="1"/>
  <c r="AS41" i="1"/>
  <c r="DI38" i="1"/>
  <c r="BU36" i="1"/>
  <c r="AG34" i="1"/>
  <c r="CW31" i="1"/>
  <c r="BI29" i="1"/>
  <c r="U27" i="1"/>
  <c r="CK24" i="1"/>
  <c r="AW22" i="1"/>
  <c r="I20" i="1"/>
  <c r="BY17" i="1"/>
  <c r="AK15" i="1"/>
  <c r="DA12" i="1"/>
  <c r="BM10" i="1"/>
  <c r="Y8" i="1"/>
  <c r="CO5" i="1"/>
  <c r="BA3" i="1"/>
  <c r="BC6" i="1"/>
  <c r="J147" i="1"/>
  <c r="BN137" i="1"/>
  <c r="N128" i="1"/>
  <c r="BR118" i="1"/>
  <c r="R109" i="1"/>
  <c r="BV99" i="1"/>
  <c r="V90" i="1"/>
  <c r="BZ80" i="1"/>
  <c r="T75" i="1"/>
  <c r="CJ72" i="1"/>
  <c r="AV70" i="1"/>
  <c r="H68" i="1"/>
  <c r="BX65" i="1"/>
  <c r="AJ63" i="1"/>
  <c r="CZ60" i="1"/>
  <c r="BL58" i="1"/>
  <c r="X56" i="1"/>
  <c r="CN53" i="1"/>
  <c r="AZ51" i="1"/>
  <c r="L49" i="1"/>
  <c r="CB46" i="1"/>
  <c r="AN44" i="1"/>
  <c r="DD41" i="1"/>
  <c r="BP39" i="1"/>
  <c r="AB37" i="1"/>
  <c r="CR34" i="1"/>
  <c r="BD32" i="1"/>
  <c r="P30" i="1"/>
  <c r="CF27" i="1"/>
  <c r="AR25" i="1"/>
  <c r="DH22" i="1"/>
  <c r="BT20" i="1"/>
  <c r="AF18" i="1"/>
  <c r="CV15" i="1"/>
  <c r="BH13" i="1"/>
  <c r="T11" i="1"/>
  <c r="CJ8" i="1"/>
  <c r="P6" i="1"/>
  <c r="P3" i="1"/>
  <c r="DC25" i="1"/>
  <c r="BO23" i="1"/>
  <c r="AA21" i="1"/>
  <c r="CQ18" i="1"/>
  <c r="BC16" i="1"/>
  <c r="O14" i="1"/>
  <c r="CD147" i="1"/>
  <c r="AD138" i="1"/>
  <c r="CH128" i="1"/>
  <c r="AH119" i="1"/>
  <c r="CL109" i="1"/>
  <c r="AL100" i="1"/>
  <c r="CP90" i="1"/>
  <c r="AP81" i="1"/>
  <c r="AL75" i="1"/>
  <c r="DB72" i="1"/>
  <c r="BN70" i="1"/>
  <c r="Z68" i="1"/>
  <c r="CP65" i="1"/>
  <c r="BB63" i="1"/>
  <c r="N61" i="1"/>
  <c r="CD58" i="1"/>
  <c r="AP56" i="1"/>
  <c r="DF53" i="1"/>
  <c r="BR51" i="1"/>
  <c r="AD49" i="1"/>
  <c r="CT46" i="1"/>
  <c r="BF44" i="1"/>
  <c r="R42" i="1"/>
  <c r="CH39" i="1"/>
  <c r="AT37" i="1"/>
  <c r="F35" i="1"/>
  <c r="BV32" i="1"/>
  <c r="AH30" i="1"/>
  <c r="CX27" i="1"/>
  <c r="BJ25" i="1"/>
  <c r="V23" i="1"/>
  <c r="CL20" i="1"/>
  <c r="AX18" i="1"/>
  <c r="J16" i="1"/>
  <c r="BZ13" i="1"/>
  <c r="AL11" i="1"/>
  <c r="DB8" i="1"/>
  <c r="BN6" i="1"/>
  <c r="Z4" i="1"/>
  <c r="CU8" i="1"/>
  <c r="CX149" i="1"/>
  <c r="AX140" i="1"/>
  <c r="DB130" i="1"/>
  <c r="BB121" i="1"/>
  <c r="DF111" i="1"/>
  <c r="BF102" i="1"/>
  <c r="F93" i="1"/>
  <c r="BJ83" i="1"/>
  <c r="CS75" i="1"/>
  <c r="BE73" i="1"/>
  <c r="Q71" i="1"/>
  <c r="CG68" i="1"/>
  <c r="AS66" i="1"/>
  <c r="DI63" i="1"/>
  <c r="BU61" i="1"/>
  <c r="AG59" i="1"/>
  <c r="CW56" i="1"/>
  <c r="BI54" i="1"/>
  <c r="U52" i="1"/>
  <c r="CK49" i="1"/>
  <c r="AW47" i="1"/>
  <c r="I45" i="1"/>
  <c r="BY42" i="1"/>
  <c r="AK40" i="1"/>
  <c r="DA37" i="1"/>
  <c r="BM35" i="1"/>
  <c r="Y33" i="1"/>
  <c r="CO30" i="1"/>
  <c r="BA28" i="1"/>
  <c r="M26" i="1"/>
  <c r="CC23" i="1"/>
  <c r="AO21" i="1"/>
  <c r="DE18" i="1"/>
  <c r="BQ16" i="1"/>
  <c r="AC14" i="1"/>
  <c r="CS11" i="1"/>
  <c r="BE9" i="1"/>
  <c r="Q7" i="1"/>
  <c r="CG4" i="1"/>
  <c r="AI10" i="1"/>
  <c r="AQ3" i="1"/>
  <c r="CH142" i="1"/>
  <c r="AH133" i="1"/>
  <c r="CL123" i="1"/>
  <c r="AL114" i="1"/>
  <c r="CP104" i="1"/>
  <c r="AP95" i="1"/>
  <c r="CT85" i="1"/>
  <c r="BQ76" i="1"/>
  <c r="L74" i="1"/>
  <c r="CB71" i="1"/>
  <c r="AN69" i="1"/>
  <c r="DD66" i="1"/>
  <c r="BP64" i="1"/>
  <c r="AB62" i="1"/>
  <c r="CR59" i="1"/>
  <c r="BD57" i="1"/>
  <c r="P55" i="1"/>
  <c r="CF52" i="1"/>
  <c r="AR50" i="1"/>
  <c r="DH47" i="1"/>
  <c r="BT45" i="1"/>
  <c r="AF43" i="1"/>
  <c r="CV40" i="1"/>
  <c r="BH38" i="1"/>
  <c r="T36" i="1"/>
  <c r="CJ33" i="1"/>
  <c r="AV31" i="1"/>
  <c r="H29" i="1"/>
  <c r="BX26" i="1"/>
  <c r="AJ24" i="1"/>
  <c r="CZ21" i="1"/>
  <c r="BL19" i="1"/>
  <c r="X17" i="1"/>
  <c r="CN14" i="1"/>
  <c r="AZ12" i="1"/>
  <c r="L10" i="1"/>
  <c r="CB7" i="1"/>
  <c r="AN5" i="1"/>
  <c r="S3" i="1"/>
  <c r="W25" i="1"/>
  <c r="CM22" i="1"/>
  <c r="AY20" i="1"/>
  <c r="K18" i="1"/>
  <c r="CA15" i="1"/>
  <c r="AM13" i="1"/>
  <c r="BR144" i="1"/>
  <c r="R135" i="1"/>
  <c r="BV125" i="1"/>
  <c r="V116" i="1"/>
  <c r="BZ106" i="1"/>
  <c r="Z97" i="1"/>
  <c r="CD87" i="1"/>
  <c r="AD78" i="1"/>
  <c r="BJ74" i="1"/>
  <c r="V72" i="1"/>
  <c r="CL69" i="1"/>
  <c r="AX67" i="1"/>
  <c r="J65" i="1"/>
  <c r="BZ62" i="1"/>
  <c r="AL60" i="1"/>
  <c r="DB57" i="1"/>
  <c r="BN55" i="1"/>
  <c r="Z53" i="1"/>
  <c r="CP50" i="1"/>
  <c r="BB48" i="1"/>
  <c r="N46" i="1"/>
  <c r="CD43" i="1"/>
  <c r="AP41" i="1"/>
  <c r="DF38" i="1"/>
  <c r="BR36" i="1"/>
  <c r="AD34" i="1"/>
  <c r="CT31" i="1"/>
  <c r="BF29" i="1"/>
  <c r="R27" i="1"/>
  <c r="CH24" i="1"/>
  <c r="AT22" i="1"/>
  <c r="F20" i="1"/>
  <c r="BV17" i="1"/>
  <c r="AH15" i="1"/>
  <c r="CX12" i="1"/>
  <c r="BJ10" i="1"/>
  <c r="V8" i="1"/>
  <c r="CL5" i="1"/>
  <c r="AX3" i="1"/>
  <c r="BS6" i="1"/>
  <c r="CL146" i="1"/>
  <c r="AL137" i="1"/>
  <c r="CP127" i="1"/>
  <c r="AP118" i="1"/>
  <c r="CT108" i="1"/>
  <c r="AT99" i="1"/>
  <c r="CX89" i="1"/>
  <c r="AX80" i="1"/>
  <c r="M75" i="1"/>
  <c r="CC72" i="1"/>
  <c r="AO70" i="1"/>
  <c r="DE67" i="1"/>
  <c r="BQ65" i="1"/>
  <c r="AC63" i="1"/>
  <c r="CS60" i="1"/>
  <c r="BE58" i="1"/>
  <c r="Q56" i="1"/>
  <c r="CG53" i="1"/>
  <c r="AS51" i="1"/>
  <c r="DI48" i="1"/>
  <c r="BU46" i="1"/>
  <c r="AG44" i="1"/>
  <c r="CW41" i="1"/>
  <c r="BI39" i="1"/>
  <c r="U37" i="1"/>
  <c r="CK34" i="1"/>
  <c r="AW32" i="1"/>
  <c r="I30" i="1"/>
  <c r="BY27" i="1"/>
  <c r="AK25" i="1"/>
  <c r="DA22" i="1"/>
  <c r="BM20" i="1"/>
  <c r="Y18" i="1"/>
  <c r="CO15" i="1"/>
  <c r="BA13" i="1"/>
  <c r="M11" i="1"/>
  <c r="CC8" i="1"/>
  <c r="AO6" i="1"/>
  <c r="DE3" i="1"/>
  <c r="DG7" i="1"/>
  <c r="R149" i="1"/>
  <c r="BV139" i="1"/>
  <c r="V130" i="1"/>
  <c r="BZ120" i="1"/>
  <c r="Z111" i="1"/>
  <c r="CD101" i="1"/>
  <c r="AD92" i="1"/>
  <c r="CH82" i="1"/>
  <c r="BX75" i="1"/>
  <c r="AJ73" i="1"/>
  <c r="CZ70" i="1"/>
  <c r="BL68" i="1"/>
  <c r="X66" i="1"/>
  <c r="CN63" i="1"/>
  <c r="AZ61" i="1"/>
  <c r="L59" i="1"/>
  <c r="CB56" i="1"/>
  <c r="AN54" i="1"/>
  <c r="DD51" i="1"/>
  <c r="BP49" i="1"/>
  <c r="AB47" i="1"/>
  <c r="CR44" i="1"/>
  <c r="BD42" i="1"/>
  <c r="P40" i="1"/>
  <c r="CF37" i="1"/>
  <c r="AR35" i="1"/>
  <c r="DH32" i="1"/>
  <c r="BT30" i="1"/>
  <c r="AF28" i="1"/>
  <c r="CV25" i="1"/>
  <c r="BH23" i="1"/>
  <c r="T21" i="1"/>
  <c r="CJ18" i="1"/>
  <c r="AV16" i="1"/>
  <c r="H14" i="1"/>
  <c r="BX11" i="1"/>
  <c r="AJ9" i="1"/>
  <c r="CZ6" i="1"/>
  <c r="BL4" i="1"/>
  <c r="W11" i="1"/>
  <c r="DG3" i="1"/>
  <c r="BP14" i="1"/>
  <c r="L8" i="1"/>
  <c r="AJ3" i="1"/>
  <c r="AA5" i="1"/>
  <c r="BL6" i="1"/>
  <c r="BP106" i="1"/>
  <c r="AB104" i="1"/>
  <c r="CR101" i="1"/>
  <c r="BD99" i="1"/>
  <c r="P97" i="1"/>
  <c r="CF94" i="1"/>
  <c r="AR92" i="1"/>
  <c r="DH89" i="1"/>
  <c r="BT87" i="1"/>
  <c r="AF85" i="1"/>
  <c r="CV82" i="1"/>
  <c r="BH80" i="1"/>
  <c r="T78" i="1"/>
  <c r="BO151" i="1"/>
  <c r="AA149" i="1"/>
  <c r="CQ146" i="1"/>
  <c r="BC144" i="1"/>
  <c r="O142" i="1"/>
  <c r="CE139" i="1"/>
  <c r="AQ137" i="1"/>
  <c r="DG134" i="1"/>
  <c r="BS132" i="1"/>
  <c r="AE130" i="1"/>
  <c r="CU127" i="1"/>
  <c r="BG125" i="1"/>
  <c r="S123" i="1"/>
  <c r="CI120" i="1"/>
  <c r="AU118" i="1"/>
  <c r="G116" i="1"/>
  <c r="BW113" i="1"/>
  <c r="AI111" i="1"/>
  <c r="CY108" i="1"/>
  <c r="BK106" i="1"/>
  <c r="W104" i="1"/>
  <c r="CM101" i="1"/>
  <c r="AY99" i="1"/>
  <c r="K97" i="1"/>
  <c r="CA94" i="1"/>
  <c r="AM92" i="1"/>
  <c r="DC89" i="1"/>
  <c r="BO87" i="1"/>
  <c r="AA85" i="1"/>
  <c r="CQ82" i="1"/>
  <c r="BC80" i="1"/>
  <c r="O78" i="1"/>
  <c r="CH147" i="1"/>
  <c r="AH138" i="1"/>
  <c r="CL128" i="1"/>
  <c r="AL119" i="1"/>
  <c r="CP109" i="1"/>
  <c r="AP100" i="1"/>
  <c r="CT90" i="1"/>
  <c r="AT81" i="1"/>
  <c r="AM75" i="1"/>
  <c r="DC72" i="1"/>
  <c r="BO70" i="1"/>
  <c r="AA68" i="1"/>
  <c r="CQ65" i="1"/>
  <c r="BC63" i="1"/>
  <c r="O61" i="1"/>
  <c r="CE58" i="1"/>
  <c r="AQ56" i="1"/>
  <c r="DG53" i="1"/>
  <c r="BS51" i="1"/>
  <c r="AE49" i="1"/>
  <c r="CU46" i="1"/>
  <c r="BG44" i="1"/>
  <c r="S42" i="1"/>
  <c r="CI39" i="1"/>
  <c r="AU37" i="1"/>
  <c r="G35" i="1"/>
  <c r="BW32" i="1"/>
  <c r="AI30" i="1"/>
  <c r="CY27" i="1"/>
  <c r="CT160" i="1"/>
  <c r="BZ157" i="1"/>
  <c r="BJ154" i="1"/>
  <c r="V152" i="1"/>
  <c r="CK149" i="1"/>
  <c r="AW147" i="1"/>
  <c r="I145" i="1"/>
  <c r="BY142" i="1"/>
  <c r="AK140" i="1"/>
  <c r="DA137" i="1"/>
  <c r="BM135" i="1"/>
  <c r="Y133" i="1"/>
  <c r="CO130" i="1"/>
  <c r="BA128" i="1"/>
  <c r="M126" i="1"/>
  <c r="CC123" i="1"/>
  <c r="AO121" i="1"/>
  <c r="DE118" i="1"/>
  <c r="BQ116" i="1"/>
  <c r="AC114" i="1"/>
  <c r="CS111" i="1"/>
  <c r="BE109" i="1"/>
  <c r="Q107" i="1"/>
  <c r="CG104" i="1"/>
  <c r="AS102" i="1"/>
  <c r="DI99" i="1"/>
  <c r="BU97" i="1"/>
  <c r="AG95" i="1"/>
  <c r="CW92" i="1"/>
  <c r="BI90" i="1"/>
  <c r="U88" i="1"/>
  <c r="CK85" i="1"/>
  <c r="AW83" i="1"/>
  <c r="I81" i="1"/>
  <c r="BY78" i="1"/>
  <c r="AZ151" i="1"/>
  <c r="L149" i="1"/>
  <c r="CB146" i="1"/>
  <c r="AN144" i="1"/>
  <c r="DD141" i="1"/>
  <c r="BP139" i="1"/>
  <c r="AB137" i="1"/>
  <c r="CR134" i="1"/>
  <c r="BD132" i="1"/>
  <c r="P130" i="1"/>
  <c r="CF127" i="1"/>
  <c r="AR125" i="1"/>
  <c r="DH122" i="1"/>
  <c r="BT120" i="1"/>
  <c r="AF118" i="1"/>
  <c r="CV115" i="1"/>
  <c r="BH113" i="1"/>
  <c r="T111" i="1"/>
  <c r="CJ108" i="1"/>
  <c r="AV106" i="1"/>
  <c r="H104" i="1"/>
  <c r="BX101" i="1"/>
  <c r="AJ99" i="1"/>
  <c r="CZ96" i="1"/>
  <c r="BL94" i="1"/>
  <c r="X92" i="1"/>
  <c r="CN89" i="1"/>
  <c r="AZ87" i="1"/>
  <c r="L85" i="1"/>
  <c r="CB82" i="1"/>
  <c r="AN80" i="1"/>
  <c r="DD77" i="1"/>
  <c r="AU151" i="1"/>
  <c r="G149" i="1"/>
  <c r="BW146" i="1"/>
  <c r="AI144" i="1"/>
  <c r="CY141" i="1"/>
  <c r="BK139" i="1"/>
  <c r="W137" i="1"/>
  <c r="CM134" i="1"/>
  <c r="AY132" i="1"/>
  <c r="K130" i="1"/>
  <c r="CA127" i="1"/>
  <c r="AM125" i="1"/>
  <c r="DC122" i="1"/>
  <c r="BO120" i="1"/>
  <c r="AA118" i="1"/>
  <c r="CQ115" i="1"/>
  <c r="BC113" i="1"/>
  <c r="O111" i="1"/>
  <c r="CE108" i="1"/>
  <c r="AQ106" i="1"/>
  <c r="DG103" i="1"/>
  <c r="BS101" i="1"/>
  <c r="AE99" i="1"/>
  <c r="CU96" i="1"/>
  <c r="BG94" i="1"/>
  <c r="S92" i="1"/>
  <c r="CI89" i="1"/>
  <c r="AU87" i="1"/>
  <c r="G85" i="1"/>
  <c r="BW82" i="1"/>
  <c r="AI80" i="1"/>
  <c r="CY77" i="1"/>
  <c r="F147" i="1"/>
  <c r="BJ137" i="1"/>
  <c r="J128" i="1"/>
  <c r="BN118" i="1"/>
  <c r="N109" i="1"/>
  <c r="BR99" i="1"/>
  <c r="R90" i="1"/>
  <c r="BV80" i="1"/>
  <c r="S75" i="1"/>
  <c r="CI72" i="1"/>
  <c r="AU70" i="1"/>
  <c r="G68" i="1"/>
  <c r="BW65" i="1"/>
  <c r="AI63" i="1"/>
  <c r="CY60" i="1"/>
  <c r="BK58" i="1"/>
  <c r="W56" i="1"/>
  <c r="CM53" i="1"/>
  <c r="AY51" i="1"/>
  <c r="K49" i="1"/>
  <c r="CA46" i="1"/>
  <c r="AM44" i="1"/>
  <c r="DC41" i="1"/>
  <c r="BO39" i="1"/>
  <c r="AA37" i="1"/>
  <c r="CQ34" i="1"/>
  <c r="BC32" i="1"/>
  <c r="O30" i="1"/>
  <c r="CE27" i="1"/>
  <c r="BR160" i="1"/>
  <c r="BB157" i="1"/>
  <c r="AP154" i="1"/>
  <c r="DF151" i="1"/>
  <c r="BQ149" i="1"/>
  <c r="AC147" i="1"/>
  <c r="CS144" i="1"/>
  <c r="BE142" i="1"/>
  <c r="Q140" i="1"/>
  <c r="CG137" i="1"/>
  <c r="AS135" i="1"/>
  <c r="DI132" i="1"/>
  <c r="BU130" i="1"/>
  <c r="AG128" i="1"/>
  <c r="CW125" i="1"/>
  <c r="BI123" i="1"/>
  <c r="U121" i="1"/>
  <c r="CK118" i="1"/>
  <c r="AW116" i="1"/>
  <c r="I114" i="1"/>
  <c r="BY111" i="1"/>
  <c r="AK109" i="1"/>
  <c r="DA106" i="1"/>
  <c r="BM104" i="1"/>
  <c r="Y102" i="1"/>
  <c r="CO99" i="1"/>
  <c r="BA97" i="1"/>
  <c r="M95" i="1"/>
  <c r="CC92" i="1"/>
  <c r="AO90" i="1"/>
  <c r="DE87" i="1"/>
  <c r="BQ85" i="1"/>
  <c r="AC83" i="1"/>
  <c r="CS80" i="1"/>
  <c r="BE78" i="1"/>
  <c r="AF151" i="1"/>
  <c r="CV148" i="1"/>
  <c r="BH146" i="1"/>
  <c r="T144" i="1"/>
  <c r="CJ141" i="1"/>
  <c r="AV139" i="1"/>
  <c r="H137" i="1"/>
  <c r="BX134" i="1"/>
  <c r="AJ132" i="1"/>
  <c r="CZ129" i="1"/>
  <c r="BL127" i="1"/>
  <c r="X125" i="1"/>
  <c r="CN122" i="1"/>
  <c r="AZ120" i="1"/>
  <c r="L118" i="1"/>
  <c r="CB115" i="1"/>
  <c r="AN113" i="1"/>
  <c r="DD110" i="1"/>
  <c r="BP108" i="1"/>
  <c r="AB106" i="1"/>
  <c r="CR103" i="1"/>
  <c r="BD101" i="1"/>
  <c r="P99" i="1"/>
  <c r="CF96" i="1"/>
  <c r="AR94" i="1"/>
  <c r="DH91" i="1"/>
  <c r="BT89" i="1"/>
  <c r="AF87" i="1"/>
  <c r="CV84" i="1"/>
  <c r="BH82" i="1"/>
  <c r="T80" i="1"/>
  <c r="CJ77" i="1"/>
  <c r="AA151" i="1"/>
  <c r="CQ148" i="1"/>
  <c r="BC146" i="1"/>
  <c r="O144" i="1"/>
  <c r="CE141" i="1"/>
  <c r="AQ139" i="1"/>
  <c r="DG136" i="1"/>
  <c r="BS134" i="1"/>
  <c r="AE132" i="1"/>
  <c r="CU129" i="1"/>
  <c r="BG127" i="1"/>
  <c r="S125" i="1"/>
  <c r="CI122" i="1"/>
  <c r="AU120" i="1"/>
  <c r="G118" i="1"/>
  <c r="BW115" i="1"/>
  <c r="AI113" i="1"/>
  <c r="CY110" i="1"/>
  <c r="BK108" i="1"/>
  <c r="W106" i="1"/>
  <c r="CM103" i="1"/>
  <c r="AY101" i="1"/>
  <c r="K99" i="1"/>
  <c r="CA96" i="1"/>
  <c r="AM94" i="1"/>
  <c r="DC91" i="1"/>
  <c r="BO89" i="1"/>
  <c r="AA87" i="1"/>
  <c r="CQ84" i="1"/>
  <c r="BC82" i="1"/>
  <c r="O80" i="1"/>
  <c r="CE77" i="1"/>
  <c r="AH146" i="1"/>
  <c r="CL136" i="1"/>
  <c r="AL127" i="1"/>
  <c r="CP117" i="1"/>
  <c r="AP108" i="1"/>
  <c r="CT98" i="1"/>
  <c r="AT89" i="1"/>
  <c r="CX79" i="1"/>
  <c r="DC74" i="1"/>
  <c r="BO72" i="1"/>
  <c r="AA70" i="1"/>
  <c r="CQ67" i="1"/>
  <c r="BC65" i="1"/>
  <c r="O63" i="1"/>
  <c r="CE60" i="1"/>
  <c r="AQ58" i="1"/>
  <c r="DG55" i="1"/>
  <c r="BS53" i="1"/>
  <c r="AE51" i="1"/>
  <c r="CU48" i="1"/>
  <c r="BG46" i="1"/>
  <c r="S44" i="1"/>
  <c r="CI41" i="1"/>
  <c r="AU39" i="1"/>
  <c r="G37" i="1"/>
  <c r="BW34" i="1"/>
  <c r="AI32" i="1"/>
  <c r="CY29" i="1"/>
  <c r="BK27" i="1"/>
  <c r="AI25" i="1"/>
  <c r="CY22" i="1"/>
  <c r="BK20" i="1"/>
  <c r="W18" i="1"/>
  <c r="CM15" i="1"/>
  <c r="AY13" i="1"/>
  <c r="J145" i="1"/>
  <c r="BN135" i="1"/>
  <c r="N126" i="1"/>
  <c r="BR116" i="1"/>
  <c r="R107" i="1"/>
  <c r="BV97" i="1"/>
  <c r="V88" i="1"/>
  <c r="BZ78" i="1"/>
  <c r="BV74" i="1"/>
  <c r="AH72" i="1"/>
  <c r="CX69" i="1"/>
  <c r="BJ67" i="1"/>
  <c r="V65" i="1"/>
  <c r="CL62" i="1"/>
  <c r="AX60" i="1"/>
  <c r="J58" i="1"/>
  <c r="BZ55" i="1"/>
  <c r="AL53" i="1"/>
  <c r="DB50" i="1"/>
  <c r="BN48" i="1"/>
  <c r="Z46" i="1"/>
  <c r="CP43" i="1"/>
  <c r="BB41" i="1"/>
  <c r="N39" i="1"/>
  <c r="CD36" i="1"/>
  <c r="AP34" i="1"/>
  <c r="DF31" i="1"/>
  <c r="BR29" i="1"/>
  <c r="AD27" i="1"/>
  <c r="CT24" i="1"/>
  <c r="BF22" i="1"/>
  <c r="R20" i="1"/>
  <c r="CH17" i="1"/>
  <c r="AT15" i="1"/>
  <c r="F13" i="1"/>
  <c r="BV10" i="1"/>
  <c r="AH8" i="1"/>
  <c r="CX5" i="1"/>
  <c r="BJ3" i="1"/>
  <c r="DC6" i="1"/>
  <c r="AD147" i="1"/>
  <c r="CH137" i="1"/>
  <c r="AH128" i="1"/>
  <c r="CL118" i="1"/>
  <c r="AL109" i="1"/>
  <c r="CP99" i="1"/>
  <c r="AP90" i="1"/>
  <c r="CT80" i="1"/>
  <c r="Y75" i="1"/>
  <c r="CO72" i="1"/>
  <c r="BA70" i="1"/>
  <c r="M68" i="1"/>
  <c r="CC65" i="1"/>
  <c r="AO63" i="1"/>
  <c r="DE60" i="1"/>
  <c r="BQ58" i="1"/>
  <c r="AC56" i="1"/>
  <c r="CS53" i="1"/>
  <c r="BE51" i="1"/>
  <c r="Q49" i="1"/>
  <c r="CG46" i="1"/>
  <c r="AS44" i="1"/>
  <c r="DI41" i="1"/>
  <c r="BU39" i="1"/>
  <c r="AG37" i="1"/>
  <c r="CW34" i="1"/>
  <c r="BI32" i="1"/>
  <c r="U30" i="1"/>
  <c r="CK27" i="1"/>
  <c r="AW25" i="1"/>
  <c r="I23" i="1"/>
  <c r="BY20" i="1"/>
  <c r="AK18" i="1"/>
  <c r="DA15" i="1"/>
  <c r="BM13" i="1"/>
  <c r="Y11" i="1"/>
  <c r="CO8" i="1"/>
  <c r="BA6" i="1"/>
  <c r="M4" i="1"/>
  <c r="AM8" i="1"/>
  <c r="BN149" i="1"/>
  <c r="N140" i="1"/>
  <c r="BR130" i="1"/>
  <c r="R121" i="1"/>
  <c r="BV111" i="1"/>
  <c r="V102" i="1"/>
  <c r="BZ92" i="1"/>
  <c r="Z83" i="1"/>
  <c r="CJ75" i="1"/>
  <c r="AV73" i="1"/>
  <c r="H71" i="1"/>
  <c r="BX68" i="1"/>
  <c r="AJ66" i="1"/>
  <c r="CZ63" i="1"/>
  <c r="BL61" i="1"/>
  <c r="X59" i="1"/>
  <c r="CN56" i="1"/>
  <c r="AZ54" i="1"/>
  <c r="L52" i="1"/>
  <c r="CB49" i="1"/>
  <c r="AN47" i="1"/>
  <c r="DD44" i="1"/>
  <c r="BP42" i="1"/>
  <c r="AB40" i="1"/>
  <c r="CR37" i="1"/>
  <c r="BD35" i="1"/>
  <c r="P33" i="1"/>
  <c r="CF30" i="1"/>
  <c r="AR28" i="1"/>
  <c r="DH25" i="1"/>
  <c r="BT23" i="1"/>
  <c r="AF21" i="1"/>
  <c r="CF18" i="1"/>
  <c r="AZ14" i="1"/>
  <c r="BT11" i="1"/>
  <c r="CF6" i="1"/>
  <c r="BW10" i="1"/>
  <c r="AQ12" i="1"/>
  <c r="BC27" i="1"/>
  <c r="O25" i="1"/>
  <c r="CE22" i="1"/>
  <c r="AQ20" i="1"/>
  <c r="DG17" i="1"/>
  <c r="BS15" i="1"/>
  <c r="AE13" i="1"/>
  <c r="AL144" i="1"/>
  <c r="CP134" i="1"/>
  <c r="AP125" i="1"/>
  <c r="CT115" i="1"/>
  <c r="AT106" i="1"/>
  <c r="CX96" i="1"/>
  <c r="AX87" i="1"/>
  <c r="DB77" i="1"/>
  <c r="BB74" i="1"/>
  <c r="N72" i="1"/>
  <c r="CD69" i="1"/>
  <c r="AP67" i="1"/>
  <c r="DF64" i="1"/>
  <c r="BR62" i="1"/>
  <c r="AD60" i="1"/>
  <c r="CT57" i="1"/>
  <c r="BF55" i="1"/>
  <c r="R53" i="1"/>
  <c r="CH50" i="1"/>
  <c r="AT48" i="1"/>
  <c r="F46" i="1"/>
  <c r="BV43" i="1"/>
  <c r="AH41" i="1"/>
  <c r="CX38" i="1"/>
  <c r="BJ36" i="1"/>
  <c r="V34" i="1"/>
  <c r="CL31" i="1"/>
  <c r="AX29" i="1"/>
  <c r="J27" i="1"/>
  <c r="BZ24" i="1"/>
  <c r="AL22" i="1"/>
  <c r="DB19" i="1"/>
  <c r="BN17" i="1"/>
  <c r="Z15" i="1"/>
  <c r="CP12" i="1"/>
  <c r="BB10" i="1"/>
  <c r="N8" i="1"/>
  <c r="CD5" i="1"/>
  <c r="AP3" i="1"/>
  <c r="AQ6" i="1"/>
  <c r="BF146" i="1"/>
  <c r="F137" i="1"/>
  <c r="BJ127" i="1"/>
  <c r="J118" i="1"/>
  <c r="BN108" i="1"/>
  <c r="N99" i="1"/>
  <c r="BR89" i="1"/>
  <c r="R80" i="1"/>
  <c r="DI74" i="1"/>
  <c r="BU72" i="1"/>
  <c r="AG70" i="1"/>
  <c r="CW67" i="1"/>
  <c r="BI65" i="1"/>
  <c r="U63" i="1"/>
  <c r="CK60" i="1"/>
  <c r="AW58" i="1"/>
  <c r="I56" i="1"/>
  <c r="BY53" i="1"/>
  <c r="AK51" i="1"/>
  <c r="DA48" i="1"/>
  <c r="BM46" i="1"/>
  <c r="Y44" i="1"/>
  <c r="CO41" i="1"/>
  <c r="BA39" i="1"/>
  <c r="M37" i="1"/>
  <c r="CC34" i="1"/>
  <c r="AO32" i="1"/>
  <c r="DE29" i="1"/>
  <c r="BQ27" i="1"/>
  <c r="AC25" i="1"/>
  <c r="CS22" i="1"/>
  <c r="BE20" i="1"/>
  <c r="Q18" i="1"/>
  <c r="CG15" i="1"/>
  <c r="AS13" i="1"/>
  <c r="DI10" i="1"/>
  <c r="BU8" i="1"/>
  <c r="AG6" i="1"/>
  <c r="CW3" i="1"/>
  <c r="CI7" i="1"/>
  <c r="CP148" i="1"/>
  <c r="AP139" i="1"/>
  <c r="CT129" i="1"/>
  <c r="AT120" i="1"/>
  <c r="CX110" i="1"/>
  <c r="AX101" i="1"/>
  <c r="DB91" i="1"/>
  <c r="BB82" i="1"/>
  <c r="BP75" i="1"/>
  <c r="AB73" i="1"/>
  <c r="CR70" i="1"/>
  <c r="BD68" i="1"/>
  <c r="P66" i="1"/>
  <c r="CF63" i="1"/>
  <c r="AR61" i="1"/>
  <c r="DH58" i="1"/>
  <c r="BT56" i="1"/>
  <c r="AF54" i="1"/>
  <c r="CV51" i="1"/>
  <c r="BH49" i="1"/>
  <c r="T47" i="1"/>
  <c r="CJ44" i="1"/>
  <c r="AV42" i="1"/>
  <c r="H40" i="1"/>
  <c r="BX37" i="1"/>
  <c r="AJ35" i="1"/>
  <c r="CZ32" i="1"/>
  <c r="BL30" i="1"/>
  <c r="X28" i="1"/>
  <c r="CN25" i="1"/>
  <c r="AZ23" i="1"/>
  <c r="L21" i="1"/>
  <c r="CB18" i="1"/>
  <c r="AN16" i="1"/>
  <c r="DD13" i="1"/>
  <c r="BP11" i="1"/>
  <c r="AB9" i="1"/>
  <c r="CR6" i="1"/>
  <c r="AY5" i="1"/>
  <c r="AU26" i="1"/>
  <c r="G24" i="1"/>
  <c r="BW21" i="1"/>
  <c r="AI19" i="1"/>
  <c r="CY16" i="1"/>
  <c r="BK14" i="1"/>
  <c r="BF149" i="1"/>
  <c r="F140" i="1"/>
  <c r="BJ130" i="1"/>
  <c r="J121" i="1"/>
  <c r="BN111" i="1"/>
  <c r="N102" i="1"/>
  <c r="BR92" i="1"/>
  <c r="R83" i="1"/>
  <c r="CH75" i="1"/>
  <c r="AT73" i="1"/>
  <c r="F71" i="1"/>
  <c r="BV68" i="1"/>
  <c r="AH66" i="1"/>
  <c r="CX63" i="1"/>
  <c r="BJ61" i="1"/>
  <c r="V59" i="1"/>
  <c r="CL56" i="1"/>
  <c r="AX54" i="1"/>
  <c r="J52" i="1"/>
  <c r="BZ49" i="1"/>
  <c r="AL47" i="1"/>
  <c r="DB44" i="1"/>
  <c r="BN42" i="1"/>
  <c r="Z40" i="1"/>
  <c r="CP37" i="1"/>
  <c r="BB35" i="1"/>
  <c r="N33" i="1"/>
  <c r="CD30" i="1"/>
  <c r="AP28" i="1"/>
  <c r="DF25" i="1"/>
  <c r="BR23" i="1"/>
  <c r="AD21" i="1"/>
  <c r="CT18" i="1"/>
  <c r="BF16" i="1"/>
  <c r="R14" i="1"/>
  <c r="CH11" i="1"/>
  <c r="AT9" i="1"/>
  <c r="F7" i="1"/>
  <c r="BV4" i="1"/>
  <c r="S10" i="1"/>
  <c r="CD151" i="1"/>
  <c r="Z142" i="1"/>
  <c r="CD132" i="1"/>
  <c r="AD123" i="1"/>
  <c r="CH113" i="1"/>
  <c r="AH104" i="1"/>
  <c r="CL94" i="1"/>
  <c r="AL85" i="1"/>
  <c r="AW76" i="1"/>
  <c r="DA73" i="1"/>
  <c r="BM71" i="1"/>
  <c r="Y69" i="1"/>
  <c r="CO66" i="1"/>
  <c r="BA64" i="1"/>
  <c r="M62" i="1"/>
  <c r="CC59" i="1"/>
  <c r="AO57" i="1"/>
  <c r="DE54" i="1"/>
  <c r="BQ52" i="1"/>
  <c r="AC50" i="1"/>
  <c r="CS47" i="1"/>
  <c r="BE45" i="1"/>
  <c r="Q43" i="1"/>
  <c r="CG40" i="1"/>
  <c r="AS38" i="1"/>
  <c r="DI35" i="1"/>
  <c r="BU33" i="1"/>
  <c r="AG31" i="1"/>
  <c r="CW28" i="1"/>
  <c r="BI26" i="1"/>
  <c r="U24" i="1"/>
  <c r="CK21" i="1"/>
  <c r="AW19" i="1"/>
  <c r="I17" i="1"/>
  <c r="BY14" i="1"/>
  <c r="AK12" i="1"/>
  <c r="DA9" i="1"/>
  <c r="BM7" i="1"/>
  <c r="Y5" i="1"/>
  <c r="CA11" i="1"/>
  <c r="CE4" i="1"/>
  <c r="BJ144" i="1"/>
  <c r="J135" i="1"/>
  <c r="BN125" i="1"/>
  <c r="N116" i="1"/>
  <c r="BR106" i="1"/>
  <c r="R97" i="1"/>
  <c r="BV87" i="1"/>
  <c r="V78" i="1"/>
  <c r="BH74" i="1"/>
  <c r="T72" i="1"/>
  <c r="CJ69" i="1"/>
  <c r="AV67" i="1"/>
  <c r="H65" i="1"/>
  <c r="BX62" i="1"/>
  <c r="AJ60" i="1"/>
  <c r="CZ57" i="1"/>
  <c r="BL55" i="1"/>
  <c r="X53" i="1"/>
  <c r="CN50" i="1"/>
  <c r="AZ48" i="1"/>
  <c r="L46" i="1"/>
  <c r="CB43" i="1"/>
  <c r="AN41" i="1"/>
  <c r="DD38" i="1"/>
  <c r="BP36" i="1"/>
  <c r="AB34" i="1"/>
  <c r="CR31" i="1"/>
  <c r="BD29" i="1"/>
  <c r="P27" i="1"/>
  <c r="CF24" i="1"/>
  <c r="AR22" i="1"/>
  <c r="DH19" i="1"/>
  <c r="BT17" i="1"/>
  <c r="AF15" i="1"/>
  <c r="CV12" i="1"/>
  <c r="BH10" i="1"/>
  <c r="T8" i="1"/>
  <c r="CJ5" i="1"/>
  <c r="CQ10" i="1"/>
  <c r="BS25" i="1"/>
  <c r="AE23" i="1"/>
  <c r="CU20" i="1"/>
  <c r="BG18" i="1"/>
  <c r="S16" i="1"/>
  <c r="CI13" i="1"/>
  <c r="AT146" i="1"/>
  <c r="CX136" i="1"/>
  <c r="AX127" i="1"/>
  <c r="DB117" i="1"/>
  <c r="BB108" i="1"/>
  <c r="DF98" i="1"/>
  <c r="BF89" i="1"/>
  <c r="F80" i="1"/>
  <c r="DF74" i="1"/>
  <c r="BR72" i="1"/>
  <c r="AD70" i="1"/>
  <c r="CT67" i="1"/>
  <c r="BF65" i="1"/>
  <c r="R63" i="1"/>
  <c r="CH60" i="1"/>
  <c r="AT58" i="1"/>
  <c r="F56" i="1"/>
  <c r="BV53" i="1"/>
  <c r="AH51" i="1"/>
  <c r="CX48" i="1"/>
  <c r="BJ46" i="1"/>
  <c r="V44" i="1"/>
  <c r="CL41" i="1"/>
  <c r="AX39" i="1"/>
  <c r="J37" i="1"/>
  <c r="BZ34" i="1"/>
  <c r="AL32" i="1"/>
  <c r="DB29" i="1"/>
  <c r="BN27" i="1"/>
  <c r="Z25" i="1"/>
  <c r="CP22" i="1"/>
  <c r="BB20" i="1"/>
  <c r="N18" i="1"/>
  <c r="CD15" i="1"/>
  <c r="AP13" i="1"/>
  <c r="DF10" i="1"/>
  <c r="BR8" i="1"/>
  <c r="AD6" i="1"/>
  <c r="CT3" i="1"/>
  <c r="CY7" i="1"/>
  <c r="BN148" i="1"/>
  <c r="N139" i="1"/>
  <c r="BR129" i="1"/>
  <c r="R120" i="1"/>
  <c r="BV110" i="1"/>
  <c r="V101" i="1"/>
  <c r="BZ91" i="1"/>
  <c r="Z82" i="1"/>
  <c r="BI75" i="1"/>
  <c r="U73" i="1"/>
  <c r="CK70" i="1"/>
  <c r="AW68" i="1"/>
  <c r="I66" i="1"/>
  <c r="BY63" i="1"/>
  <c r="AK61" i="1"/>
  <c r="DA58" i="1"/>
  <c r="BM56" i="1"/>
  <c r="Y54" i="1"/>
  <c r="CO51" i="1"/>
  <c r="BA49" i="1"/>
  <c r="M47" i="1"/>
  <c r="CC44" i="1"/>
  <c r="AO42" i="1"/>
  <c r="DE39" i="1"/>
  <c r="BQ37" i="1"/>
  <c r="AC35" i="1"/>
  <c r="CS32" i="1"/>
  <c r="BE30" i="1"/>
  <c r="Q28" i="1"/>
  <c r="CG25" i="1"/>
  <c r="AS23" i="1"/>
  <c r="DI20" i="1"/>
  <c r="BU18" i="1"/>
  <c r="AG16" i="1"/>
  <c r="CW13" i="1"/>
  <c r="BI11" i="1"/>
  <c r="U9" i="1"/>
  <c r="CK6" i="1"/>
  <c r="AW4" i="1"/>
  <c r="AM9" i="1"/>
  <c r="CX150" i="1"/>
  <c r="AX141" i="1"/>
  <c r="DB131" i="1"/>
  <c r="BB122" i="1"/>
  <c r="DF112" i="1"/>
  <c r="BF103" i="1"/>
  <c r="F94" i="1"/>
  <c r="BJ84" i="1"/>
  <c r="U76" i="1"/>
  <c r="CF73" i="1"/>
  <c r="AR71" i="1"/>
  <c r="DH68" i="1"/>
  <c r="BT66" i="1"/>
  <c r="AF64" i="1"/>
  <c r="CV61" i="1"/>
  <c r="BH59" i="1"/>
  <c r="T57" i="1"/>
  <c r="CJ54" i="1"/>
  <c r="AV52" i="1"/>
  <c r="H50" i="1"/>
  <c r="BX47" i="1"/>
  <c r="AJ45" i="1"/>
  <c r="CZ42" i="1"/>
  <c r="BL40" i="1"/>
  <c r="X38" i="1"/>
  <c r="CN35" i="1"/>
  <c r="AZ33" i="1"/>
  <c r="L31" i="1"/>
  <c r="CB28" i="1"/>
  <c r="AN26" i="1"/>
  <c r="DD23" i="1"/>
  <c r="BP21" i="1"/>
  <c r="AB19" i="1"/>
  <c r="CR16" i="1"/>
  <c r="BD14" i="1"/>
  <c r="P12" i="1"/>
  <c r="CF9" i="1"/>
  <c r="AR7" i="1"/>
  <c r="AB3" i="1"/>
  <c r="BT4" i="1"/>
  <c r="AZ106" i="1"/>
  <c r="L104" i="1"/>
  <c r="CB101" i="1"/>
  <c r="AN99" i="1"/>
  <c r="DD96" i="1"/>
  <c r="BP94" i="1"/>
  <c r="AB92" i="1"/>
  <c r="CR89" i="1"/>
  <c r="BD87" i="1"/>
  <c r="P85" i="1"/>
  <c r="CF82" i="1"/>
  <c r="AR80" i="1"/>
  <c r="DH77" i="1"/>
  <c r="AY151" i="1"/>
  <c r="K149" i="1"/>
  <c r="CA146" i="1"/>
  <c r="AM144" i="1"/>
  <c r="DC141" i="1"/>
  <c r="BO139" i="1"/>
  <c r="AA137" i="1"/>
  <c r="CQ134" i="1"/>
  <c r="BC132" i="1"/>
  <c r="O130" i="1"/>
  <c r="CE127" i="1"/>
  <c r="AQ125" i="1"/>
  <c r="DG122" i="1"/>
  <c r="BS120" i="1"/>
  <c r="AE118" i="1"/>
  <c r="CU115" i="1"/>
  <c r="BG113" i="1"/>
  <c r="S111" i="1"/>
  <c r="CI108" i="1"/>
  <c r="AU106" i="1"/>
  <c r="G104" i="1"/>
  <c r="BW101" i="1"/>
  <c r="AI99" i="1"/>
  <c r="CY96" i="1"/>
  <c r="BK94" i="1"/>
  <c r="W92" i="1"/>
  <c r="CM89" i="1"/>
  <c r="AY87" i="1"/>
  <c r="K85" i="1"/>
  <c r="CA82" i="1"/>
  <c r="AM80" i="1"/>
  <c r="DC77" i="1"/>
  <c r="V147" i="1"/>
  <c r="BZ137" i="1"/>
  <c r="Z128" i="1"/>
  <c r="CD118" i="1"/>
  <c r="AD109" i="1"/>
  <c r="CH99" i="1"/>
  <c r="AH90" i="1"/>
  <c r="CL80" i="1"/>
  <c r="W75" i="1"/>
  <c r="CM72" i="1"/>
  <c r="AY70" i="1"/>
  <c r="K68" i="1"/>
  <c r="CA65" i="1"/>
  <c r="AM63" i="1"/>
  <c r="DC60" i="1"/>
  <c r="BO58" i="1"/>
  <c r="AA56" i="1"/>
  <c r="CQ53" i="1"/>
  <c r="BC51" i="1"/>
  <c r="O49" i="1"/>
  <c r="CE46" i="1"/>
  <c r="AQ44" i="1"/>
  <c r="DG41" i="1"/>
  <c r="BS39" i="1"/>
  <c r="AE37" i="1"/>
  <c r="CU34" i="1"/>
  <c r="BG32" i="1"/>
  <c r="S30" i="1"/>
  <c r="CI27" i="1"/>
  <c r="BV160" i="1"/>
  <c r="BF157" i="1"/>
  <c r="AT154" i="1"/>
  <c r="F152" i="1"/>
  <c r="BU149" i="1"/>
  <c r="AG147" i="1"/>
  <c r="CW144" i="1"/>
  <c r="BI142" i="1"/>
  <c r="U140" i="1"/>
  <c r="CK137" i="1"/>
  <c r="AW135" i="1"/>
  <c r="I133" i="1"/>
  <c r="BY130" i="1"/>
  <c r="AK128" i="1"/>
  <c r="DA125" i="1"/>
  <c r="BM123" i="1"/>
  <c r="Y121" i="1"/>
  <c r="CO118" i="1"/>
  <c r="BA116" i="1"/>
  <c r="M114" i="1"/>
  <c r="CC111" i="1"/>
  <c r="AO109" i="1"/>
  <c r="DE106" i="1"/>
  <c r="BQ104" i="1"/>
  <c r="AC102" i="1"/>
  <c r="CS99" i="1"/>
  <c r="BE97" i="1"/>
  <c r="Q95" i="1"/>
  <c r="CG92" i="1"/>
  <c r="AS90" i="1"/>
  <c r="DI87" i="1"/>
  <c r="BU85" i="1"/>
  <c r="AG83" i="1"/>
  <c r="CW80" i="1"/>
  <c r="BI78" i="1"/>
  <c r="AJ151" i="1"/>
  <c r="CZ148" i="1"/>
  <c r="BL146" i="1"/>
  <c r="X144" i="1"/>
  <c r="CN141" i="1"/>
  <c r="AZ139" i="1"/>
  <c r="L137" i="1"/>
  <c r="CB134" i="1"/>
  <c r="AN132" i="1"/>
  <c r="DD129" i="1"/>
  <c r="BP127" i="1"/>
  <c r="AB125" i="1"/>
  <c r="CR122" i="1"/>
  <c r="BD120" i="1"/>
  <c r="P118" i="1"/>
  <c r="CF115" i="1"/>
  <c r="AR113" i="1"/>
  <c r="DH110" i="1"/>
  <c r="BT108" i="1"/>
  <c r="AF106" i="1"/>
  <c r="CV103" i="1"/>
  <c r="BH101" i="1"/>
  <c r="T99" i="1"/>
  <c r="CJ96" i="1"/>
  <c r="AV94" i="1"/>
  <c r="H92" i="1"/>
  <c r="BX89" i="1"/>
  <c r="AJ87" i="1"/>
  <c r="CZ84" i="1"/>
  <c r="BL82" i="1"/>
  <c r="X80" i="1"/>
  <c r="CN77" i="1"/>
  <c r="AE151" i="1"/>
  <c r="CU148" i="1"/>
  <c r="BG146" i="1"/>
  <c r="S144" i="1"/>
  <c r="CI141" i="1"/>
  <c r="AU139" i="1"/>
  <c r="G137" i="1"/>
  <c r="BW134" i="1"/>
  <c r="AI132" i="1"/>
  <c r="CY129" i="1"/>
  <c r="BK127" i="1"/>
  <c r="W125" i="1"/>
  <c r="CM122" i="1"/>
  <c r="AY120" i="1"/>
  <c r="K118" i="1"/>
  <c r="CA115" i="1"/>
  <c r="AM113" i="1"/>
  <c r="DC110" i="1"/>
  <c r="BO108" i="1"/>
  <c r="AA106" i="1"/>
  <c r="CQ103" i="1"/>
  <c r="BC101" i="1"/>
  <c r="O99" i="1"/>
  <c r="CE96" i="1"/>
  <c r="AQ94" i="1"/>
  <c r="DG91" i="1"/>
  <c r="BS89" i="1"/>
  <c r="AE87" i="1"/>
  <c r="CU84" i="1"/>
  <c r="BG82" i="1"/>
  <c r="S80" i="1"/>
  <c r="CI77" i="1"/>
  <c r="AX146" i="1"/>
  <c r="DB136" i="1"/>
  <c r="BB127" i="1"/>
  <c r="DF117" i="1"/>
  <c r="BF108" i="1"/>
  <c r="F99" i="1"/>
  <c r="BJ89" i="1"/>
  <c r="J80" i="1"/>
  <c r="DG74" i="1"/>
  <c r="BS72" i="1"/>
  <c r="AE70" i="1"/>
  <c r="CU67" i="1"/>
  <c r="BG65" i="1"/>
  <c r="S63" i="1"/>
  <c r="CI60" i="1"/>
  <c r="AU58" i="1"/>
  <c r="G56" i="1"/>
  <c r="BW53" i="1"/>
  <c r="AI51" i="1"/>
  <c r="CY48" i="1"/>
  <c r="BK46" i="1"/>
  <c r="W44" i="1"/>
  <c r="CM41" i="1"/>
  <c r="AY39" i="1"/>
  <c r="K37" i="1"/>
  <c r="CA34" i="1"/>
  <c r="AM32" i="1"/>
  <c r="DC29" i="1"/>
  <c r="BO27" i="1"/>
  <c r="AX160" i="1"/>
  <c r="AD157" i="1"/>
  <c r="Z154" i="1"/>
  <c r="CP151" i="1"/>
  <c r="BA149" i="1"/>
  <c r="M147" i="1"/>
  <c r="CC144" i="1"/>
  <c r="AO142" i="1"/>
  <c r="DE139" i="1"/>
  <c r="BQ137" i="1"/>
  <c r="AC135" i="1"/>
  <c r="CS132" i="1"/>
  <c r="BE130" i="1"/>
  <c r="Q128" i="1"/>
  <c r="CG125" i="1"/>
  <c r="AS123" i="1"/>
  <c r="DI120" i="1"/>
  <c r="BU118" i="1"/>
  <c r="AG116" i="1"/>
  <c r="CW113" i="1"/>
  <c r="BI111" i="1"/>
  <c r="U109" i="1"/>
  <c r="CK106" i="1"/>
  <c r="AW104" i="1"/>
  <c r="I102" i="1"/>
  <c r="BY99" i="1"/>
  <c r="AK97" i="1"/>
  <c r="DA94" i="1"/>
  <c r="BM92" i="1"/>
  <c r="Y90" i="1"/>
  <c r="CO87" i="1"/>
  <c r="BA85" i="1"/>
  <c r="M83" i="1"/>
  <c r="CC80" i="1"/>
  <c r="AO78" i="1"/>
  <c r="P151" i="1"/>
  <c r="CF148" i="1"/>
  <c r="AR146" i="1"/>
  <c r="DH143" i="1"/>
  <c r="BT141" i="1"/>
  <c r="AF139" i="1"/>
  <c r="CV136" i="1"/>
  <c r="BH134" i="1"/>
  <c r="T132" i="1"/>
  <c r="CJ129" i="1"/>
  <c r="AV127" i="1"/>
  <c r="H125" i="1"/>
  <c r="BX122" i="1"/>
  <c r="AJ120" i="1"/>
  <c r="CZ117" i="1"/>
  <c r="BL115" i="1"/>
  <c r="X113" i="1"/>
  <c r="CN110" i="1"/>
  <c r="AZ108" i="1"/>
  <c r="L106" i="1"/>
  <c r="CB103" i="1"/>
  <c r="AN101" i="1"/>
  <c r="DD98" i="1"/>
  <c r="BP96" i="1"/>
  <c r="AB94" i="1"/>
  <c r="CR91" i="1"/>
  <c r="BD89" i="1"/>
  <c r="P87" i="1"/>
  <c r="CF84" i="1"/>
  <c r="AR82" i="1"/>
  <c r="DH79" i="1"/>
  <c r="BT77" i="1"/>
  <c r="K151" i="1"/>
  <c r="CA148" i="1"/>
  <c r="AM146" i="1"/>
  <c r="DC143" i="1"/>
  <c r="BO141" i="1"/>
  <c r="AA139" i="1"/>
  <c r="CQ136" i="1"/>
  <c r="BC134" i="1"/>
  <c r="O132" i="1"/>
  <c r="CE129" i="1"/>
  <c r="AQ127" i="1"/>
  <c r="DG124" i="1"/>
  <c r="BS122" i="1"/>
  <c r="AE120" i="1"/>
  <c r="CU117" i="1"/>
  <c r="BG115" i="1"/>
  <c r="S113" i="1"/>
  <c r="CI110" i="1"/>
  <c r="AU108" i="1"/>
  <c r="G106" i="1"/>
  <c r="BW103" i="1"/>
  <c r="AI101" i="1"/>
  <c r="CY98" i="1"/>
  <c r="BK96" i="1"/>
  <c r="W94" i="1"/>
  <c r="CM91" i="1"/>
  <c r="AY89" i="1"/>
  <c r="K87" i="1"/>
  <c r="CA84" i="1"/>
  <c r="AM82" i="1"/>
  <c r="DC79" i="1"/>
  <c r="BO77" i="1"/>
  <c r="BZ145" i="1"/>
  <c r="Z136" i="1"/>
  <c r="CD126" i="1"/>
  <c r="AD117" i="1"/>
  <c r="CH107" i="1"/>
  <c r="AH98" i="1"/>
  <c r="CL88" i="1"/>
  <c r="AL79" i="1"/>
  <c r="CM74" i="1"/>
  <c r="AY72" i="1"/>
  <c r="K70" i="1"/>
  <c r="CA67" i="1"/>
  <c r="AM65" i="1"/>
  <c r="DC62" i="1"/>
  <c r="BO60" i="1"/>
  <c r="AA58" i="1"/>
  <c r="CQ55" i="1"/>
  <c r="BC53" i="1"/>
  <c r="O51" i="1"/>
  <c r="CE48" i="1"/>
  <c r="AQ46" i="1"/>
  <c r="DG43" i="1"/>
  <c r="BS41" i="1"/>
  <c r="AE39" i="1"/>
  <c r="CU36" i="1"/>
  <c r="BG34" i="1"/>
  <c r="S32" i="1"/>
  <c r="CI29" i="1"/>
  <c r="BG27" i="1"/>
  <c r="S25" i="1"/>
  <c r="CI22" i="1"/>
  <c r="AU20" i="1"/>
  <c r="G18" i="1"/>
  <c r="BW15" i="1"/>
  <c r="AI13" i="1"/>
  <c r="BB144" i="1"/>
  <c r="DF134" i="1"/>
  <c r="BF125" i="1"/>
  <c r="F116" i="1"/>
  <c r="BJ106" i="1"/>
  <c r="J97" i="1"/>
  <c r="BN87" i="1"/>
  <c r="N78" i="1"/>
  <c r="BF74" i="1"/>
  <c r="R72" i="1"/>
  <c r="BL62" i="1"/>
  <c r="L53" i="1"/>
  <c r="BP43" i="1"/>
  <c r="P34" i="1"/>
  <c r="BT24" i="1"/>
  <c r="T15" i="1"/>
  <c r="AN4" i="1"/>
  <c r="BC20" i="1"/>
  <c r="CH144" i="1"/>
  <c r="CP106" i="1"/>
  <c r="BN74" i="1"/>
  <c r="N65" i="1"/>
  <c r="BR55" i="1"/>
  <c r="R46" i="1"/>
  <c r="BV36" i="1"/>
  <c r="V27" i="1"/>
  <c r="BZ17" i="1"/>
  <c r="Z8" i="1"/>
  <c r="DB146" i="1"/>
  <c r="F109" i="1"/>
  <c r="Q75" i="1"/>
  <c r="BU65" i="1"/>
  <c r="U56" i="1"/>
  <c r="BY46" i="1"/>
  <c r="Y37" i="1"/>
  <c r="CC27" i="1"/>
  <c r="AC18" i="1"/>
  <c r="CG8" i="1"/>
  <c r="AH149" i="1"/>
  <c r="AP111" i="1"/>
  <c r="CB75" i="1"/>
  <c r="AB66" i="1"/>
  <c r="CF56" i="1"/>
  <c r="AF47" i="1"/>
  <c r="CJ37" i="1"/>
  <c r="AJ28" i="1"/>
  <c r="CN18" i="1"/>
  <c r="AN9" i="1"/>
  <c r="AY24" i="1"/>
  <c r="DC14" i="1"/>
  <c r="BZ122" i="1"/>
  <c r="CH84" i="1"/>
  <c r="J69" i="1"/>
  <c r="BN59" i="1"/>
  <c r="N50" i="1"/>
  <c r="BR40" i="1"/>
  <c r="R31" i="1"/>
  <c r="BV21" i="1"/>
  <c r="V12" i="1"/>
  <c r="AQ11" i="1"/>
  <c r="CT124" i="1"/>
  <c r="DB86" i="1"/>
  <c r="BQ69" i="1"/>
  <c r="Q60" i="1"/>
  <c r="BU50" i="1"/>
  <c r="U41" i="1"/>
  <c r="BY31" i="1"/>
  <c r="Y22" i="1"/>
  <c r="CC12" i="1"/>
  <c r="AC3" i="1"/>
  <c r="Z127" i="1"/>
  <c r="AH89" i="1"/>
  <c r="X70" i="1"/>
  <c r="CB60" i="1"/>
  <c r="AB51" i="1"/>
  <c r="CF41" i="1"/>
  <c r="AF32" i="1"/>
  <c r="CJ22" i="1"/>
  <c r="AJ13" i="1"/>
  <c r="X11" i="1"/>
  <c r="BH100" i="1"/>
  <c r="H91" i="1"/>
  <c r="BL81" i="1"/>
  <c r="CU147" i="1"/>
  <c r="AU138" i="1"/>
  <c r="CY128" i="1"/>
  <c r="AY119" i="1"/>
  <c r="DC109" i="1"/>
  <c r="BC100" i="1"/>
  <c r="DG90" i="1"/>
  <c r="BG81" i="1"/>
  <c r="DB132" i="1"/>
  <c r="F95" i="1"/>
  <c r="BS71" i="1"/>
  <c r="S62" i="1"/>
  <c r="BW52" i="1"/>
  <c r="W43" i="1"/>
  <c r="CA33" i="1"/>
  <c r="N159" i="1"/>
  <c r="BA148" i="1"/>
  <c r="DE138" i="1"/>
  <c r="BE129" i="1"/>
  <c r="DI119" i="1"/>
  <c r="BI110" i="1"/>
  <c r="I101" i="1"/>
  <c r="BM91" i="1"/>
  <c r="M82" i="1"/>
  <c r="CF147" i="1"/>
  <c r="AF138" i="1"/>
  <c r="CJ128" i="1"/>
  <c r="AJ119" i="1"/>
  <c r="CN109" i="1"/>
  <c r="AN100" i="1"/>
  <c r="CR90" i="1"/>
  <c r="AR81" i="1"/>
  <c r="CA147" i="1"/>
  <c r="AA138" i="1"/>
  <c r="CE128" i="1"/>
  <c r="AE119" i="1"/>
  <c r="CI109" i="1"/>
  <c r="AI100" i="1"/>
  <c r="CM90" i="1"/>
  <c r="AM81" i="1"/>
  <c r="Z132" i="1"/>
  <c r="AH94" i="1"/>
  <c r="AY71" i="1"/>
  <c r="DC61" i="1"/>
  <c r="BC52" i="1"/>
  <c r="DG42" i="1"/>
  <c r="BG33" i="1"/>
  <c r="CP158" i="1"/>
  <c r="AG148" i="1"/>
  <c r="CK138" i="1"/>
  <c r="AK129" i="1"/>
  <c r="CO119" i="1"/>
  <c r="AO110" i="1"/>
  <c r="CS100" i="1"/>
  <c r="AS91" i="1"/>
  <c r="CW81" i="1"/>
  <c r="BL147" i="1"/>
  <c r="L138" i="1"/>
  <c r="BP128" i="1"/>
  <c r="P119" i="1"/>
  <c r="BT109" i="1"/>
  <c r="T100" i="1"/>
  <c r="BX90" i="1"/>
  <c r="X81" i="1"/>
  <c r="BG147" i="1"/>
  <c r="G138" i="1"/>
  <c r="BK128" i="1"/>
  <c r="K119" i="1"/>
  <c r="BO109" i="1"/>
  <c r="O100" i="1"/>
  <c r="BS90" i="1"/>
  <c r="S81" i="1"/>
  <c r="BB131" i="1"/>
  <c r="BJ93" i="1"/>
  <c r="AE71" i="1"/>
  <c r="CY65" i="1"/>
  <c r="W61" i="1"/>
  <c r="AY56" i="1"/>
  <c r="CA51" i="1"/>
  <c r="DC46" i="1"/>
  <c r="AA42" i="1"/>
  <c r="BC37" i="1"/>
  <c r="CE32" i="1"/>
  <c r="DG27" i="1"/>
  <c r="AQ23" i="1"/>
  <c r="BS18" i="1"/>
  <c r="CU13" i="1"/>
  <c r="AP137" i="1"/>
  <c r="AT118" i="1"/>
  <c r="AX99" i="1"/>
  <c r="BB80" i="1"/>
  <c r="CD72" i="1"/>
  <c r="CH69" i="1"/>
  <c r="AT67" i="1"/>
  <c r="F65" i="1"/>
  <c r="BV62" i="1"/>
  <c r="AH60" i="1"/>
  <c r="CX57" i="1"/>
  <c r="BJ55" i="1"/>
  <c r="V53" i="1"/>
  <c r="CL50" i="1"/>
  <c r="AX48" i="1"/>
  <c r="J46" i="1"/>
  <c r="BZ43" i="1"/>
  <c r="AL41" i="1"/>
  <c r="DB38" i="1"/>
  <c r="BN36" i="1"/>
  <c r="Z34" i="1"/>
  <c r="CP31" i="1"/>
  <c r="BB29" i="1"/>
  <c r="N27" i="1"/>
  <c r="CD24" i="1"/>
  <c r="AP22" i="1"/>
  <c r="DF19" i="1"/>
  <c r="BR17" i="1"/>
  <c r="AD15" i="1"/>
  <c r="CT12" i="1"/>
  <c r="BF10" i="1"/>
  <c r="R8" i="1"/>
  <c r="CH5" i="1"/>
  <c r="AT3" i="1"/>
  <c r="BG6" i="1"/>
  <c r="BV146" i="1"/>
  <c r="V137" i="1"/>
  <c r="BZ127" i="1"/>
  <c r="Z118" i="1"/>
  <c r="CD108" i="1"/>
  <c r="AD99" i="1"/>
  <c r="CH89" i="1"/>
  <c r="AH80" i="1"/>
  <c r="I75" i="1"/>
  <c r="BY72" i="1"/>
  <c r="AK70" i="1"/>
  <c r="DA67" i="1"/>
  <c r="BM65" i="1"/>
  <c r="Y63" i="1"/>
  <c r="CO60" i="1"/>
  <c r="BA58" i="1"/>
  <c r="M56" i="1"/>
  <c r="CC53" i="1"/>
  <c r="AO51" i="1"/>
  <c r="DE48" i="1"/>
  <c r="BQ46" i="1"/>
  <c r="AC44" i="1"/>
  <c r="CS41" i="1"/>
  <c r="BE39" i="1"/>
  <c r="Q37" i="1"/>
  <c r="CG34" i="1"/>
  <c r="AS32" i="1"/>
  <c r="DI29" i="1"/>
  <c r="BU27" i="1"/>
  <c r="AG25" i="1"/>
  <c r="CW22" i="1"/>
  <c r="BI20" i="1"/>
  <c r="U18" i="1"/>
  <c r="CK15" i="1"/>
  <c r="AW13" i="1"/>
  <c r="I11" i="1"/>
  <c r="BY8" i="1"/>
  <c r="AK6" i="1"/>
  <c r="DA3" i="1"/>
  <c r="CU7" i="1"/>
  <c r="DF148" i="1"/>
  <c r="BF139" i="1"/>
  <c r="F130" i="1"/>
  <c r="BJ120" i="1"/>
  <c r="J111" i="1"/>
  <c r="BN101" i="1"/>
  <c r="N92" i="1"/>
  <c r="BR82" i="1"/>
  <c r="BT75" i="1"/>
  <c r="AF73" i="1"/>
  <c r="CV70" i="1"/>
  <c r="BH68" i="1"/>
  <c r="T66" i="1"/>
  <c r="CJ63" i="1"/>
  <c r="AV61" i="1"/>
  <c r="H59" i="1"/>
  <c r="BX56" i="1"/>
  <c r="AJ54" i="1"/>
  <c r="CZ51" i="1"/>
  <c r="BL49" i="1"/>
  <c r="X47" i="1"/>
  <c r="CN44" i="1"/>
  <c r="AZ42" i="1"/>
  <c r="L40" i="1"/>
  <c r="CB37" i="1"/>
  <c r="AN35" i="1"/>
  <c r="DD32" i="1"/>
  <c r="BP30" i="1"/>
  <c r="AB28" i="1"/>
  <c r="CR25" i="1"/>
  <c r="BD23" i="1"/>
  <c r="P21" i="1"/>
  <c r="BP18" i="1"/>
  <c r="T14" i="1"/>
  <c r="AN11" i="1"/>
  <c r="AZ6" i="1"/>
  <c r="CA9" i="1"/>
  <c r="DC10" i="1"/>
  <c r="AM27" i="1"/>
  <c r="DC24" i="1"/>
  <c r="BO22" i="1"/>
  <c r="AA20" i="1"/>
  <c r="CQ17" i="1"/>
  <c r="BC15" i="1"/>
  <c r="O13" i="1"/>
  <c r="CD143" i="1"/>
  <c r="AD134" i="1"/>
  <c r="CH124" i="1"/>
  <c r="AH115" i="1"/>
  <c r="CL105" i="1"/>
  <c r="AL96" i="1"/>
  <c r="CP86" i="1"/>
  <c r="AP77" i="1"/>
  <c r="AL74" i="1"/>
  <c r="DB71" i="1"/>
  <c r="BN69" i="1"/>
  <c r="Z67" i="1"/>
  <c r="CP64" i="1"/>
  <c r="BB62" i="1"/>
  <c r="N60" i="1"/>
  <c r="CD57" i="1"/>
  <c r="AP55" i="1"/>
  <c r="DF52" i="1"/>
  <c r="BR50" i="1"/>
  <c r="AD48" i="1"/>
  <c r="CT45" i="1"/>
  <c r="BF43" i="1"/>
  <c r="R41" i="1"/>
  <c r="CH38" i="1"/>
  <c r="AT36" i="1"/>
  <c r="F34" i="1"/>
  <c r="BV31" i="1"/>
  <c r="AH29" i="1"/>
  <c r="CX26" i="1"/>
  <c r="BJ24" i="1"/>
  <c r="V22" i="1"/>
  <c r="CL19" i="1"/>
  <c r="AX17" i="1"/>
  <c r="J15" i="1"/>
  <c r="BZ12" i="1"/>
  <c r="AL10" i="1"/>
  <c r="DB7" i="1"/>
  <c r="BN5" i="1"/>
  <c r="Z3" i="1"/>
  <c r="CY5" i="1"/>
  <c r="CX145" i="1"/>
  <c r="AX136" i="1"/>
  <c r="DB126" i="1"/>
  <c r="BB117" i="1"/>
  <c r="DF107" i="1"/>
  <c r="BF98" i="1"/>
  <c r="F89" i="1"/>
  <c r="BJ79" i="1"/>
  <c r="CS74" i="1"/>
  <c r="BE72" i="1"/>
  <c r="Q70" i="1"/>
  <c r="CG67" i="1"/>
  <c r="AS65" i="1"/>
  <c r="DI62" i="1"/>
  <c r="BU60" i="1"/>
  <c r="AG58" i="1"/>
  <c r="CW55" i="1"/>
  <c r="BI53" i="1"/>
  <c r="U51" i="1"/>
  <c r="CK48" i="1"/>
  <c r="AW46" i="1"/>
  <c r="I44" i="1"/>
  <c r="BY41" i="1"/>
  <c r="AK39" i="1"/>
  <c r="DA36" i="1"/>
  <c r="BM34" i="1"/>
  <c r="Y32" i="1"/>
  <c r="CO29" i="1"/>
  <c r="BA27" i="1"/>
  <c r="M25" i="1"/>
  <c r="CC22" i="1"/>
  <c r="AO20" i="1"/>
  <c r="DE17" i="1"/>
  <c r="BQ15" i="1"/>
  <c r="AC13" i="1"/>
  <c r="CS10" i="1"/>
  <c r="BE8" i="1"/>
  <c r="Q6" i="1"/>
  <c r="CG3" i="1"/>
  <c r="AQ7" i="1"/>
  <c r="AD148" i="1"/>
  <c r="CH138" i="1"/>
  <c r="AH129" i="1"/>
  <c r="CL119" i="1"/>
  <c r="AL110" i="1"/>
  <c r="CP100" i="1"/>
  <c r="AP91" i="1"/>
  <c r="CT81" i="1"/>
  <c r="AZ75" i="1"/>
  <c r="L73" i="1"/>
  <c r="CB70" i="1"/>
  <c r="AN68" i="1"/>
  <c r="DD65" i="1"/>
  <c r="BP63" i="1"/>
  <c r="AB61" i="1"/>
  <c r="CR58" i="1"/>
  <c r="BD56" i="1"/>
  <c r="P54" i="1"/>
  <c r="CF51" i="1"/>
  <c r="AR49" i="1"/>
  <c r="DH46" i="1"/>
  <c r="BT44" i="1"/>
  <c r="AF42" i="1"/>
  <c r="CV39" i="1"/>
  <c r="BH37" i="1"/>
  <c r="T35" i="1"/>
  <c r="CJ32" i="1"/>
  <c r="AV30" i="1"/>
  <c r="H28" i="1"/>
  <c r="BX25" i="1"/>
  <c r="AJ23" i="1"/>
  <c r="CZ20" i="1"/>
  <c r="BL18" i="1"/>
  <c r="X16" i="1"/>
  <c r="CN13" i="1"/>
  <c r="AZ11" i="1"/>
  <c r="L9" i="1"/>
  <c r="CB6" i="1"/>
  <c r="AA4" i="1"/>
  <c r="AE26" i="1"/>
  <c r="CU23" i="1"/>
  <c r="BG21" i="1"/>
  <c r="S19" i="1"/>
  <c r="CI16" i="1"/>
  <c r="AU14" i="1"/>
  <c r="CX148" i="1"/>
  <c r="AX139" i="1"/>
  <c r="DB129" i="1"/>
  <c r="BB120" i="1"/>
  <c r="DF110" i="1"/>
  <c r="BF101" i="1"/>
  <c r="F92" i="1"/>
  <c r="BJ82" i="1"/>
  <c r="BR75" i="1"/>
  <c r="AD73" i="1"/>
  <c r="CT70" i="1"/>
  <c r="BF68" i="1"/>
  <c r="R66" i="1"/>
  <c r="CH63" i="1"/>
  <c r="AT61" i="1"/>
  <c r="F59" i="1"/>
  <c r="BV56" i="1"/>
  <c r="AH54" i="1"/>
  <c r="CX51" i="1"/>
  <c r="BJ49" i="1"/>
  <c r="V47" i="1"/>
  <c r="CL44" i="1"/>
  <c r="AX42" i="1"/>
  <c r="J40" i="1"/>
  <c r="BZ37" i="1"/>
  <c r="AL35" i="1"/>
  <c r="DB32" i="1"/>
  <c r="BN30" i="1"/>
  <c r="Z28" i="1"/>
  <c r="CP25" i="1"/>
  <c r="BB23" i="1"/>
  <c r="N21" i="1"/>
  <c r="CD18" i="1"/>
  <c r="AP16" i="1"/>
  <c r="DF13" i="1"/>
  <c r="BR11" i="1"/>
  <c r="AD9" i="1"/>
  <c r="CT6" i="1"/>
  <c r="BF4" i="1"/>
  <c r="CE9" i="1"/>
  <c r="N151" i="1"/>
  <c r="BR141" i="1"/>
  <c r="R132" i="1"/>
  <c r="BV122" i="1"/>
  <c r="V113" i="1"/>
  <c r="BZ103" i="1"/>
  <c r="Z94" i="1"/>
  <c r="CD84" i="1"/>
  <c r="AA76" i="1"/>
  <c r="CK73" i="1"/>
  <c r="AW71" i="1"/>
  <c r="I69" i="1"/>
  <c r="BY66" i="1"/>
  <c r="AK64" i="1"/>
  <c r="DA61" i="1"/>
  <c r="BM59" i="1"/>
  <c r="Y57" i="1"/>
  <c r="CO54" i="1"/>
  <c r="BA52" i="1"/>
  <c r="M50" i="1"/>
  <c r="CC47" i="1"/>
  <c r="AO45" i="1"/>
  <c r="DE42" i="1"/>
  <c r="BQ40" i="1"/>
  <c r="AC38" i="1"/>
  <c r="CS35" i="1"/>
  <c r="BE33" i="1"/>
  <c r="Q31" i="1"/>
  <c r="CG28" i="1"/>
  <c r="AS26" i="1"/>
  <c r="DI23" i="1"/>
  <c r="BU21" i="1"/>
  <c r="AG19" i="1"/>
  <c r="CW16" i="1"/>
  <c r="BI14" i="1"/>
  <c r="U12" i="1"/>
  <c r="CK9" i="1"/>
  <c r="AW7" i="1"/>
  <c r="I5" i="1"/>
  <c r="AA11" i="1"/>
  <c r="AE4" i="1"/>
  <c r="DB143" i="1"/>
  <c r="BB134" i="1"/>
  <c r="DF124" i="1"/>
  <c r="BF115" i="1"/>
  <c r="F106" i="1"/>
  <c r="BJ96" i="1"/>
  <c r="J87" i="1"/>
  <c r="BN77" i="1"/>
  <c r="AR74" i="1"/>
  <c r="DH71" i="1"/>
  <c r="BT69" i="1"/>
  <c r="AF67" i="1"/>
  <c r="CV64" i="1"/>
  <c r="BH62" i="1"/>
  <c r="T60" i="1"/>
  <c r="CJ57" i="1"/>
  <c r="AV55" i="1"/>
  <c r="H53" i="1"/>
  <c r="BX50" i="1"/>
  <c r="AJ48" i="1"/>
  <c r="CZ45" i="1"/>
  <c r="BL43" i="1"/>
  <c r="X41" i="1"/>
  <c r="CN38" i="1"/>
  <c r="AZ36" i="1"/>
  <c r="L34" i="1"/>
  <c r="CB31" i="1"/>
  <c r="AN29" i="1"/>
  <c r="DD26" i="1"/>
  <c r="BP24" i="1"/>
  <c r="AB22" i="1"/>
  <c r="CR19" i="1"/>
  <c r="BD17" i="1"/>
  <c r="P15" i="1"/>
  <c r="CF12" i="1"/>
  <c r="AR10" i="1"/>
  <c r="DH7" i="1"/>
  <c r="BT5" i="1"/>
  <c r="BO8" i="1"/>
  <c r="BC25" i="1"/>
  <c r="O23" i="1"/>
  <c r="CE20" i="1"/>
  <c r="AQ18" i="1"/>
  <c r="DG15" i="1"/>
  <c r="BS13" i="1"/>
  <c r="CL145" i="1"/>
  <c r="AL136" i="1"/>
  <c r="CP126" i="1"/>
  <c r="AP117" i="1"/>
  <c r="CT107" i="1"/>
  <c r="AT98" i="1"/>
  <c r="CX88" i="1"/>
  <c r="AX79" i="1"/>
  <c r="CP74" i="1"/>
  <c r="BB72" i="1"/>
  <c r="N70" i="1"/>
  <c r="CD67" i="1"/>
  <c r="AP65" i="1"/>
  <c r="DF62" i="1"/>
  <c r="BR60" i="1"/>
  <c r="AD58" i="1"/>
  <c r="CT55" i="1"/>
  <c r="BF53" i="1"/>
  <c r="R51" i="1"/>
  <c r="CH48" i="1"/>
  <c r="AT46" i="1"/>
  <c r="F44" i="1"/>
  <c r="BV41" i="1"/>
  <c r="AH39" i="1"/>
  <c r="CX36" i="1"/>
  <c r="BJ34" i="1"/>
  <c r="V32" i="1"/>
  <c r="CL29" i="1"/>
  <c r="AX27" i="1"/>
  <c r="J25" i="1"/>
  <c r="BZ22" i="1"/>
  <c r="AL20" i="1"/>
  <c r="DB17" i="1"/>
  <c r="BN15" i="1"/>
  <c r="Z13" i="1"/>
  <c r="CP10" i="1"/>
  <c r="BB8" i="1"/>
  <c r="N6" i="1"/>
  <c r="CD3" i="1"/>
  <c r="BG7" i="1"/>
  <c r="DF147" i="1"/>
  <c r="BF138" i="1"/>
  <c r="F129" i="1"/>
  <c r="BJ119" i="1"/>
  <c r="J110" i="1"/>
  <c r="BN100" i="1"/>
  <c r="N91" i="1"/>
  <c r="BR81" i="1"/>
  <c r="AS75" i="1"/>
  <c r="DI72" i="1"/>
  <c r="BU70" i="1"/>
  <c r="AG68" i="1"/>
  <c r="CW65" i="1"/>
  <c r="BI63" i="1"/>
  <c r="U61" i="1"/>
  <c r="CK58" i="1"/>
  <c r="AW56" i="1"/>
  <c r="I54" i="1"/>
  <c r="BY51" i="1"/>
  <c r="AK49" i="1"/>
  <c r="DA46" i="1"/>
  <c r="BM44" i="1"/>
  <c r="Y42" i="1"/>
  <c r="CO39" i="1"/>
  <c r="BA37" i="1"/>
  <c r="M35" i="1"/>
  <c r="CC32" i="1"/>
  <c r="AO30" i="1"/>
  <c r="DE27" i="1"/>
  <c r="BQ25" i="1"/>
  <c r="AC23" i="1"/>
  <c r="CS20" i="1"/>
  <c r="BE18" i="1"/>
  <c r="Q16" i="1"/>
  <c r="CG13" i="1"/>
  <c r="AS11" i="1"/>
  <c r="DI8" i="1"/>
  <c r="BU6" i="1"/>
  <c r="AG4" i="1"/>
  <c r="CQ8" i="1"/>
  <c r="AL150" i="1"/>
  <c r="CP140" i="1"/>
  <c r="AP131" i="1"/>
  <c r="CT121" i="1"/>
  <c r="AT112" i="1"/>
  <c r="CX102" i="1"/>
  <c r="AX93" i="1"/>
  <c r="DB83" i="1"/>
  <c r="DD75" i="1"/>
  <c r="BP73" i="1"/>
  <c r="AB71" i="1"/>
  <c r="CR68" i="1"/>
  <c r="BD66" i="1"/>
  <c r="P64" i="1"/>
  <c r="CF61" i="1"/>
  <c r="AR59" i="1"/>
  <c r="DH56" i="1"/>
  <c r="BT54" i="1"/>
  <c r="AF52" i="1"/>
  <c r="CV49" i="1"/>
  <c r="BH47" i="1"/>
  <c r="T45" i="1"/>
  <c r="CJ42" i="1"/>
  <c r="AV40" i="1"/>
  <c r="H38" i="1"/>
  <c r="BX35" i="1"/>
  <c r="AJ33" i="1"/>
  <c r="CZ30" i="1"/>
  <c r="BL28" i="1"/>
  <c r="X26" i="1"/>
  <c r="CN23" i="1"/>
  <c r="AZ21" i="1"/>
  <c r="L19" i="1"/>
  <c r="CB16" i="1"/>
  <c r="AN14" i="1"/>
  <c r="DD11" i="1"/>
  <c r="BP9" i="1"/>
  <c r="AB7" i="1"/>
  <c r="CR4" i="1"/>
  <c r="K12" i="1"/>
  <c r="CU4" i="1"/>
  <c r="H15" i="1"/>
  <c r="BH8" i="1"/>
  <c r="L4" i="1"/>
  <c r="CN5" i="1"/>
  <c r="BL3" i="1"/>
  <c r="O6" i="1"/>
  <c r="CJ11" i="1"/>
  <c r="DC11" i="1"/>
  <c r="BC12" i="1"/>
  <c r="BW4" i="1"/>
  <c r="AJ14" i="1"/>
  <c r="AE3" i="1"/>
  <c r="DB102" i="1"/>
  <c r="CW49" i="1"/>
  <c r="I38" i="1"/>
  <c r="Y26" i="1"/>
  <c r="M19" i="1"/>
  <c r="DE11" i="1"/>
  <c r="CS4" i="1"/>
  <c r="Z143" i="1"/>
  <c r="AH105" i="1"/>
  <c r="X74" i="1"/>
  <c r="L67" i="1"/>
  <c r="AB55" i="1"/>
  <c r="P48" i="1"/>
  <c r="AF36" i="1"/>
  <c r="T29" i="1"/>
  <c r="H22" i="1"/>
  <c r="CZ14" i="1"/>
  <c r="CN7" i="1"/>
  <c r="BK6" i="1"/>
  <c r="AF5" i="1"/>
  <c r="CQ9" i="1"/>
  <c r="CQ11" i="1"/>
  <c r="AY6" i="1"/>
  <c r="X60" i="1"/>
  <c r="CB50" i="1"/>
  <c r="AB41" i="1"/>
  <c r="CF31" i="1"/>
  <c r="AF22" i="1"/>
  <c r="CJ12" i="1"/>
  <c r="BK4" i="1"/>
  <c r="O18" i="1"/>
  <c r="AH135" i="1"/>
  <c r="AP97" i="1"/>
  <c r="Z72" i="1"/>
  <c r="CD62" i="1"/>
  <c r="AD53" i="1"/>
  <c r="CH43" i="1"/>
  <c r="AH34" i="1"/>
  <c r="CL24" i="1"/>
  <c r="AL15" i="1"/>
  <c r="CP5" i="1"/>
  <c r="BB137" i="1"/>
  <c r="BJ99" i="1"/>
  <c r="CG72" i="1"/>
  <c r="AG63" i="1"/>
  <c r="CK53" i="1"/>
  <c r="AK44" i="1"/>
  <c r="CO34" i="1"/>
  <c r="AO25" i="1"/>
  <c r="CS15" i="1"/>
  <c r="AS6" i="1"/>
  <c r="CL139" i="1"/>
  <c r="CT101" i="1"/>
  <c r="AN73" i="1"/>
  <c r="CR63" i="1"/>
  <c r="AR54" i="1"/>
  <c r="CV44" i="1"/>
  <c r="AV35" i="1"/>
  <c r="CZ25" i="1"/>
  <c r="AZ16" i="1"/>
  <c r="DD6" i="1"/>
  <c r="K22" i="1"/>
  <c r="R151" i="1"/>
  <c r="Z113" i="1"/>
  <c r="AC76" i="1"/>
  <c r="BZ66" i="1"/>
  <c r="Z57" i="1"/>
  <c r="CD47" i="1"/>
  <c r="AD38" i="1"/>
  <c r="CH28" i="1"/>
  <c r="AH19" i="1"/>
  <c r="CL9" i="1"/>
  <c r="W4" i="1"/>
  <c r="AT115" i="1"/>
  <c r="BB77" i="1"/>
  <c r="AC67" i="1"/>
  <c r="CG57" i="1"/>
  <c r="AG48" i="1"/>
  <c r="CK38" i="1"/>
  <c r="AK29" i="1"/>
  <c r="CO19" i="1"/>
  <c r="AO10" i="1"/>
  <c r="CM5" i="1"/>
  <c r="CD117" i="1"/>
  <c r="CL79" i="1"/>
  <c r="CN67" i="1"/>
  <c r="AN58" i="1"/>
  <c r="CR48" i="1"/>
  <c r="AR39" i="1"/>
  <c r="CV29" i="1"/>
  <c r="AV20" i="1"/>
  <c r="CZ10" i="1"/>
  <c r="L108" i="1"/>
  <c r="T98" i="1"/>
  <c r="BX88" i="1"/>
  <c r="X79" i="1"/>
  <c r="BG145" i="1"/>
  <c r="G136" i="1"/>
  <c r="BK126" i="1"/>
  <c r="K117" i="1"/>
  <c r="BO107" i="1"/>
  <c r="O98" i="1"/>
  <c r="BS88" i="1"/>
  <c r="S79" i="1"/>
  <c r="BB123" i="1"/>
  <c r="BJ85" i="1"/>
  <c r="AE69" i="1"/>
  <c r="CI59" i="1"/>
  <c r="AI50" i="1"/>
  <c r="CM40" i="1"/>
  <c r="AM31" i="1"/>
  <c r="CX155" i="1"/>
  <c r="M146" i="1"/>
  <c r="BQ136" i="1"/>
  <c r="Q127" i="1"/>
  <c r="BU117" i="1"/>
  <c r="U108" i="1"/>
  <c r="BY98" i="1"/>
  <c r="Y89" i="1"/>
  <c r="CC79" i="1"/>
  <c r="AR145" i="1"/>
  <c r="CV135" i="1"/>
  <c r="AV126" i="1"/>
  <c r="CZ116" i="1"/>
  <c r="AZ107" i="1"/>
  <c r="DD97" i="1"/>
  <c r="BD88" i="1"/>
  <c r="DH78" i="1"/>
  <c r="AM145" i="1"/>
  <c r="CQ135" i="1"/>
  <c r="AQ126" i="1"/>
  <c r="CU116" i="1"/>
  <c r="AU107" i="1"/>
  <c r="CY97" i="1"/>
  <c r="AY88" i="1"/>
  <c r="DC78" i="1"/>
  <c r="CD122" i="1"/>
  <c r="CL84" i="1"/>
  <c r="K69" i="1"/>
  <c r="BO59" i="1"/>
  <c r="O50" i="1"/>
  <c r="BS40" i="1"/>
  <c r="S31" i="1"/>
  <c r="BZ155" i="1"/>
  <c r="CW145" i="1"/>
  <c r="AW136" i="1"/>
  <c r="DA126" i="1"/>
  <c r="BA117" i="1"/>
  <c r="DE107" i="1"/>
  <c r="BE98" i="1"/>
  <c r="DI88" i="1"/>
  <c r="BI79" i="1"/>
  <c r="X145" i="1"/>
  <c r="CB135" i="1"/>
  <c r="AB126" i="1"/>
  <c r="CF116" i="1"/>
  <c r="AF107" i="1"/>
  <c r="CJ97" i="1"/>
  <c r="AJ88" i="1"/>
  <c r="CN78" i="1"/>
  <c r="S145" i="1"/>
  <c r="BW135" i="1"/>
  <c r="W126" i="1"/>
  <c r="CA116" i="1"/>
  <c r="AA107" i="1"/>
  <c r="CE97" i="1"/>
  <c r="AE88" i="1"/>
  <c r="CI78" i="1"/>
  <c r="DF121" i="1"/>
  <c r="J84" i="1"/>
  <c r="CU68" i="1"/>
  <c r="S64" i="1"/>
  <c r="AU59" i="1"/>
  <c r="BW54" i="1"/>
  <c r="CY49" i="1"/>
  <c r="W45" i="1"/>
  <c r="AY40" i="1"/>
  <c r="CA35" i="1"/>
  <c r="DC30" i="1"/>
  <c r="AM26" i="1"/>
  <c r="BO21" i="1"/>
  <c r="CQ16" i="1"/>
  <c r="Z149" i="1"/>
  <c r="AD130" i="1"/>
  <c r="AH111" i="1"/>
  <c r="AL92" i="1"/>
  <c r="BZ75" i="1"/>
  <c r="BJ71" i="1"/>
  <c r="V69" i="1"/>
  <c r="CL66" i="1"/>
  <c r="AX64" i="1"/>
  <c r="J62" i="1"/>
  <c r="BZ59" i="1"/>
  <c r="AL57" i="1"/>
  <c r="DB54" i="1"/>
  <c r="BN52" i="1"/>
  <c r="Z50" i="1"/>
  <c r="CP47" i="1"/>
  <c r="BB45" i="1"/>
  <c r="N43" i="1"/>
  <c r="CD40" i="1"/>
  <c r="AP38" i="1"/>
  <c r="DF35" i="1"/>
  <c r="BR33" i="1"/>
  <c r="AD31" i="1"/>
  <c r="CT28" i="1"/>
  <c r="BF26" i="1"/>
  <c r="R24" i="1"/>
  <c r="CH21" i="1"/>
  <c r="AT19" i="1"/>
  <c r="F17" i="1"/>
  <c r="BV14" i="1"/>
  <c r="AH12" i="1"/>
  <c r="CX9" i="1"/>
  <c r="BJ7" i="1"/>
  <c r="V5" i="1"/>
  <c r="BW11" i="1"/>
  <c r="BG4" i="1"/>
  <c r="AH144" i="1"/>
  <c r="CL134" i="1"/>
  <c r="AL125" i="1"/>
  <c r="CP115" i="1"/>
  <c r="AP106" i="1"/>
  <c r="CT96" i="1"/>
  <c r="AT87" i="1"/>
  <c r="CX77" i="1"/>
  <c r="BA74" i="1"/>
  <c r="M72" i="1"/>
  <c r="CC69" i="1"/>
  <c r="AO67" i="1"/>
  <c r="DE64" i="1"/>
  <c r="BQ62" i="1"/>
  <c r="AC60" i="1"/>
  <c r="CS57" i="1"/>
  <c r="BE55" i="1"/>
  <c r="Q53" i="1"/>
  <c r="CG50" i="1"/>
  <c r="AS48" i="1"/>
  <c r="DI45" i="1"/>
  <c r="BU43" i="1"/>
  <c r="AG41" i="1"/>
  <c r="CW38" i="1"/>
  <c r="BI36" i="1"/>
  <c r="U34" i="1"/>
  <c r="CK31" i="1"/>
  <c r="AW29" i="1"/>
  <c r="I27" i="1"/>
  <c r="BY24" i="1"/>
  <c r="AK22" i="1"/>
  <c r="DA19" i="1"/>
  <c r="BM17" i="1"/>
  <c r="Y15" i="1"/>
  <c r="CO12" i="1"/>
  <c r="BA10" i="1"/>
  <c r="M8" i="1"/>
  <c r="CC5" i="1"/>
  <c r="AO3" i="1"/>
  <c r="W6" i="1"/>
  <c r="BR146" i="1"/>
  <c r="R137" i="1"/>
  <c r="BV127" i="1"/>
  <c r="V118" i="1"/>
  <c r="BZ108" i="1"/>
  <c r="Z99" i="1"/>
  <c r="CD89" i="1"/>
  <c r="AD80" i="1"/>
  <c r="H75" i="1"/>
  <c r="BX72" i="1"/>
  <c r="AJ70" i="1"/>
  <c r="CZ67" i="1"/>
  <c r="BL65" i="1"/>
  <c r="X63" i="1"/>
  <c r="CN60" i="1"/>
  <c r="AZ58" i="1"/>
  <c r="L56" i="1"/>
  <c r="CB53" i="1"/>
  <c r="AN51" i="1"/>
  <c r="DD48" i="1"/>
  <c r="BP46" i="1"/>
  <c r="AB44" i="1"/>
  <c r="CR41" i="1"/>
  <c r="BD39" i="1"/>
  <c r="P37" i="1"/>
  <c r="CF34" i="1"/>
  <c r="AR32" i="1"/>
  <c r="DH29" i="1"/>
  <c r="BT27" i="1"/>
  <c r="AF25" i="1"/>
  <c r="CV22" i="1"/>
  <c r="BH20" i="1"/>
  <c r="CB17" i="1"/>
  <c r="BL13" i="1"/>
  <c r="T10" i="1"/>
  <c r="P5" i="1"/>
  <c r="DG5" i="1"/>
  <c r="CU5" i="1"/>
  <c r="CE26" i="1"/>
  <c r="AQ24" i="1"/>
  <c r="DG21" i="1"/>
  <c r="BS19" i="1"/>
  <c r="AE17" i="1"/>
  <c r="CU14" i="1"/>
  <c r="CP150" i="1"/>
  <c r="AP141" i="1"/>
  <c r="CT131" i="1"/>
  <c r="AT122" i="1"/>
  <c r="CX112" i="1"/>
  <c r="AX103" i="1"/>
  <c r="DB93" i="1"/>
  <c r="BB84" i="1"/>
  <c r="R76" i="1"/>
  <c r="CD73" i="1"/>
  <c r="AP71" i="1"/>
  <c r="DF68" i="1"/>
  <c r="BR66" i="1"/>
  <c r="AD64" i="1"/>
  <c r="CT61" i="1"/>
  <c r="BF59" i="1"/>
  <c r="R57" i="1"/>
  <c r="CH54" i="1"/>
  <c r="AT52" i="1"/>
  <c r="F50" i="1"/>
  <c r="BV47" i="1"/>
  <c r="AH45" i="1"/>
  <c r="CX42" i="1"/>
  <c r="BJ40" i="1"/>
  <c r="V38" i="1"/>
  <c r="CL35" i="1"/>
  <c r="AX33" i="1"/>
  <c r="J31" i="1"/>
  <c r="BZ28" i="1"/>
  <c r="AL26" i="1"/>
  <c r="DB23" i="1"/>
  <c r="BN21" i="1"/>
  <c r="Z19" i="1"/>
  <c r="CP16" i="1"/>
  <c r="BB14" i="1"/>
  <c r="N12" i="1"/>
  <c r="CD9" i="1"/>
  <c r="AP7" i="1"/>
  <c r="DF4" i="1"/>
  <c r="O11" i="1"/>
  <c r="DC3" i="1"/>
  <c r="BJ143" i="1"/>
  <c r="J134" i="1"/>
  <c r="BN124" i="1"/>
  <c r="N115" i="1"/>
  <c r="BR105" i="1"/>
  <c r="R96" i="1"/>
  <c r="BV86" i="1"/>
  <c r="V77" i="1"/>
  <c r="AG74" i="1"/>
  <c r="CW71" i="1"/>
  <c r="BI69" i="1"/>
  <c r="U67" i="1"/>
  <c r="CK64" i="1"/>
  <c r="AW62" i="1"/>
  <c r="I60" i="1"/>
  <c r="BY57" i="1"/>
  <c r="AK55" i="1"/>
  <c r="DA52" i="1"/>
  <c r="BM50" i="1"/>
  <c r="Y48" i="1"/>
  <c r="CO45" i="1"/>
  <c r="BA43" i="1"/>
  <c r="M41" i="1"/>
  <c r="CC38" i="1"/>
  <c r="AO36" i="1"/>
  <c r="DE33" i="1"/>
  <c r="BQ31" i="1"/>
  <c r="AC29" i="1"/>
  <c r="CS26" i="1"/>
  <c r="BE24" i="1"/>
  <c r="Q22" i="1"/>
  <c r="CG19" i="1"/>
  <c r="AS17" i="1"/>
  <c r="DI14" i="1"/>
  <c r="BU12" i="1"/>
  <c r="AG10" i="1"/>
  <c r="CW7" i="1"/>
  <c r="BI5" i="1"/>
  <c r="U3" i="1"/>
  <c r="BS5" i="1"/>
  <c r="CT145" i="1"/>
  <c r="AT136" i="1"/>
  <c r="CX126" i="1"/>
  <c r="AX117" i="1"/>
  <c r="DB107" i="1"/>
  <c r="BB98" i="1"/>
  <c r="DF88" i="1"/>
  <c r="BF79" i="1"/>
  <c r="CR74" i="1"/>
  <c r="BD72" i="1"/>
  <c r="P70" i="1"/>
  <c r="CF67" i="1"/>
  <c r="AR65" i="1"/>
  <c r="DH62" i="1"/>
  <c r="BT60" i="1"/>
  <c r="AF58" i="1"/>
  <c r="CV55" i="1"/>
  <c r="BH53" i="1"/>
  <c r="T51" i="1"/>
  <c r="CJ48" i="1"/>
  <c r="AV46" i="1"/>
  <c r="H44" i="1"/>
  <c r="BX41" i="1"/>
  <c r="AJ39" i="1"/>
  <c r="CZ36" i="1"/>
  <c r="BL34" i="1"/>
  <c r="X32" i="1"/>
  <c r="CN29" i="1"/>
  <c r="AZ27" i="1"/>
  <c r="L25" i="1"/>
  <c r="CB22" i="1"/>
  <c r="AN20" i="1"/>
  <c r="DD17" i="1"/>
  <c r="BP15" i="1"/>
  <c r="AB13" i="1"/>
  <c r="CR10" i="1"/>
  <c r="BD8" i="1"/>
  <c r="BX5" i="1"/>
  <c r="BC9" i="1"/>
  <c r="BW25" i="1"/>
  <c r="AI23" i="1"/>
  <c r="CY20" i="1"/>
  <c r="BK18" i="1"/>
  <c r="W16" i="1"/>
  <c r="CM13" i="1"/>
  <c r="BJ146" i="1"/>
  <c r="J137" i="1"/>
  <c r="BN127" i="1"/>
  <c r="N118" i="1"/>
  <c r="BR108" i="1"/>
  <c r="R99" i="1"/>
  <c r="BV89" i="1"/>
  <c r="V80" i="1"/>
  <c r="F75" i="1"/>
  <c r="BV72" i="1"/>
  <c r="AH70" i="1"/>
  <c r="CX67" i="1"/>
  <c r="BJ65" i="1"/>
  <c r="V63" i="1"/>
  <c r="CL60" i="1"/>
  <c r="AX58" i="1"/>
  <c r="J56" i="1"/>
  <c r="BZ53" i="1"/>
  <c r="AL51" i="1"/>
  <c r="DB48" i="1"/>
  <c r="BN46" i="1"/>
  <c r="Z44" i="1"/>
  <c r="CP41" i="1"/>
  <c r="BB39" i="1"/>
  <c r="N37" i="1"/>
  <c r="CD34" i="1"/>
  <c r="AP32" i="1"/>
  <c r="DF29" i="1"/>
  <c r="BR27" i="1"/>
  <c r="AD25" i="1"/>
  <c r="CT22" i="1"/>
  <c r="BF20" i="1"/>
  <c r="R18" i="1"/>
  <c r="CH15" i="1"/>
  <c r="AT13" i="1"/>
  <c r="F11" i="1"/>
  <c r="BV8" i="1"/>
  <c r="AH6" i="1"/>
  <c r="CX3" i="1"/>
  <c r="G8" i="1"/>
  <c r="CD148" i="1"/>
  <c r="AD139" i="1"/>
  <c r="CH129" i="1"/>
  <c r="AH120" i="1"/>
  <c r="CL110" i="1"/>
  <c r="AL101" i="1"/>
  <c r="CP91" i="1"/>
  <c r="AP82" i="1"/>
  <c r="BM75" i="1"/>
  <c r="Y73" i="1"/>
  <c r="CO70" i="1"/>
  <c r="BA68" i="1"/>
  <c r="M66" i="1"/>
  <c r="CC63" i="1"/>
  <c r="AO61" i="1"/>
  <c r="DE58" i="1"/>
  <c r="BQ56" i="1"/>
  <c r="AC54" i="1"/>
  <c r="CS51" i="1"/>
  <c r="BE49" i="1"/>
  <c r="Q47" i="1"/>
  <c r="CG44" i="1"/>
  <c r="AS42" i="1"/>
  <c r="DI39" i="1"/>
  <c r="BU37" i="1"/>
  <c r="AG35" i="1"/>
  <c r="CW32" i="1"/>
  <c r="BI30" i="1"/>
  <c r="U28" i="1"/>
  <c r="CK25" i="1"/>
  <c r="AW23" i="1"/>
  <c r="I21" i="1"/>
  <c r="BY18" i="1"/>
  <c r="AK16" i="1"/>
  <c r="DA13" i="1"/>
  <c r="BM11" i="1"/>
  <c r="Y9" i="1"/>
  <c r="CO6" i="1"/>
  <c r="BA4" i="1"/>
  <c r="AY9" i="1"/>
  <c r="J151" i="1"/>
  <c r="BN141" i="1"/>
  <c r="N132" i="1"/>
  <c r="BR122" i="1"/>
  <c r="R113" i="1"/>
  <c r="BV103" i="1"/>
  <c r="V94" i="1"/>
  <c r="BZ84" i="1"/>
  <c r="Z76" i="1"/>
  <c r="CJ73" i="1"/>
  <c r="AV71" i="1"/>
  <c r="H69" i="1"/>
  <c r="BX66" i="1"/>
  <c r="AJ64" i="1"/>
  <c r="CZ61" i="1"/>
  <c r="BL59" i="1"/>
  <c r="X57" i="1"/>
  <c r="CN54" i="1"/>
  <c r="AZ52" i="1"/>
  <c r="L50" i="1"/>
  <c r="CB47" i="1"/>
  <c r="AN45" i="1"/>
  <c r="DD42" i="1"/>
  <c r="BP40" i="1"/>
  <c r="AB38" i="1"/>
  <c r="CR35" i="1"/>
  <c r="BD33" i="1"/>
  <c r="P31" i="1"/>
  <c r="CF28" i="1"/>
  <c r="AR26" i="1"/>
  <c r="DH23" i="1"/>
  <c r="BT21" i="1"/>
  <c r="AF19" i="1"/>
  <c r="CV16" i="1"/>
  <c r="BH14" i="1"/>
  <c r="T12" i="1"/>
  <c r="CJ9" i="1"/>
  <c r="AV7" i="1"/>
  <c r="H5" i="1"/>
  <c r="AE27" i="1"/>
  <c r="CU24" i="1"/>
  <c r="BG22" i="1"/>
  <c r="S20" i="1"/>
  <c r="CI17" i="1"/>
  <c r="AU15" i="1"/>
  <c r="G13" i="1"/>
  <c r="AX143" i="1"/>
  <c r="DB133" i="1"/>
  <c r="BB124" i="1"/>
  <c r="DF114" i="1"/>
  <c r="BF105" i="1"/>
  <c r="F96" i="1"/>
  <c r="BJ86" i="1"/>
  <c r="J77" i="1"/>
  <c r="AD74" i="1"/>
  <c r="CT71" i="1"/>
  <c r="BF69" i="1"/>
  <c r="R67" i="1"/>
  <c r="CH64" i="1"/>
  <c r="AT62" i="1"/>
  <c r="F60" i="1"/>
  <c r="BV57" i="1"/>
  <c r="AH55" i="1"/>
  <c r="CX52" i="1"/>
  <c r="BJ50" i="1"/>
  <c r="V48" i="1"/>
  <c r="CL45" i="1"/>
  <c r="AX43" i="1"/>
  <c r="J41" i="1"/>
  <c r="BZ38" i="1"/>
  <c r="AL36" i="1"/>
  <c r="DB33" i="1"/>
  <c r="BN31" i="1"/>
  <c r="Z29" i="1"/>
  <c r="CP26" i="1"/>
  <c r="BB24" i="1"/>
  <c r="N22" i="1"/>
  <c r="CD19" i="1"/>
  <c r="AP17" i="1"/>
  <c r="DF14" i="1"/>
  <c r="BR12" i="1"/>
  <c r="AD10" i="1"/>
  <c r="CT7" i="1"/>
  <c r="BF5" i="1"/>
  <c r="R3" i="1"/>
  <c r="CA5" i="1"/>
  <c r="BR145" i="1"/>
  <c r="R136" i="1"/>
  <c r="BV126" i="1"/>
  <c r="V117" i="1"/>
  <c r="BZ107" i="1"/>
  <c r="Z98" i="1"/>
  <c r="CD88" i="1"/>
  <c r="AD79" i="1"/>
  <c r="CK74" i="1"/>
  <c r="AW72" i="1"/>
  <c r="I70" i="1"/>
  <c r="BY67" i="1"/>
  <c r="AK65" i="1"/>
  <c r="DA62" i="1"/>
  <c r="BM60" i="1"/>
  <c r="Y58" i="1"/>
  <c r="CO55" i="1"/>
  <c r="BA53" i="1"/>
  <c r="M51" i="1"/>
  <c r="CC48" i="1"/>
  <c r="AO46" i="1"/>
  <c r="DE43" i="1"/>
  <c r="BQ41" i="1"/>
  <c r="AC39" i="1"/>
  <c r="CS36" i="1"/>
  <c r="BE34" i="1"/>
  <c r="Q32" i="1"/>
  <c r="CG29" i="1"/>
  <c r="AS27" i="1"/>
  <c r="DI24" i="1"/>
  <c r="BU22" i="1"/>
  <c r="AG20" i="1"/>
  <c r="CW17" i="1"/>
  <c r="BI15" i="1"/>
  <c r="U13" i="1"/>
  <c r="CK10" i="1"/>
  <c r="AW8" i="1"/>
  <c r="I6" i="1"/>
  <c r="BY3" i="1"/>
  <c r="S7" i="1"/>
  <c r="DB147" i="1"/>
  <c r="BB138" i="1"/>
  <c r="DF128" i="1"/>
  <c r="BF119" i="1"/>
  <c r="F110" i="1"/>
  <c r="BJ100" i="1"/>
  <c r="J91" i="1"/>
  <c r="BN81" i="1"/>
  <c r="AR75" i="1"/>
  <c r="DH72" i="1"/>
  <c r="BT70" i="1"/>
  <c r="AF68" i="1"/>
  <c r="CV65" i="1"/>
  <c r="BH63" i="1"/>
  <c r="T61" i="1"/>
  <c r="CJ58" i="1"/>
  <c r="AV56" i="1"/>
  <c r="H54" i="1"/>
  <c r="BX51" i="1"/>
  <c r="AJ49" i="1"/>
  <c r="CZ46" i="1"/>
  <c r="BL44" i="1"/>
  <c r="X42" i="1"/>
  <c r="CN39" i="1"/>
  <c r="AZ37" i="1"/>
  <c r="L35" i="1"/>
  <c r="CB32" i="1"/>
  <c r="AN30" i="1"/>
  <c r="DD27" i="1"/>
  <c r="BP25" i="1"/>
  <c r="AB23" i="1"/>
  <c r="CR20" i="1"/>
  <c r="BD18" i="1"/>
  <c r="P16" i="1"/>
  <c r="CF13" i="1"/>
  <c r="AR11" i="1"/>
  <c r="DH8" i="1"/>
  <c r="BT6" i="1"/>
  <c r="AF4" i="1"/>
  <c r="AM10" i="1"/>
  <c r="G3" i="1"/>
  <c r="AR12" i="1"/>
  <c r="BD7" i="1"/>
  <c r="AU12" i="1"/>
  <c r="X4" i="1"/>
  <c r="O8" i="1"/>
  <c r="AY4" i="1"/>
  <c r="BL9" i="1"/>
  <c r="CI4" i="1"/>
  <c r="CB5" i="1"/>
  <c r="DH4" i="1"/>
  <c r="CJ7" i="1"/>
  <c r="AZ55" i="1"/>
  <c r="CQ102" i="1"/>
  <c r="AQ93" i="1"/>
  <c r="CU83" i="1"/>
  <c r="AX142" i="1"/>
  <c r="DG73" i="1"/>
  <c r="BG64" i="1"/>
  <c r="K36" i="1"/>
  <c r="CO150" i="1"/>
  <c r="AS122" i="1"/>
  <c r="AW103" i="1"/>
  <c r="BA84" i="1"/>
  <c r="K150" i="1"/>
  <c r="BS121" i="1"/>
  <c r="BW102" i="1"/>
  <c r="CA83" i="1"/>
  <c r="CH103" i="1"/>
  <c r="CM73" i="1"/>
  <c r="AM64" i="1"/>
  <c r="CQ54" i="1"/>
  <c r="AQ45" i="1"/>
  <c r="DF161" i="1"/>
  <c r="BU150" i="1"/>
  <c r="BY131" i="1"/>
  <c r="Y122" i="1"/>
  <c r="AC103" i="1"/>
  <c r="AG84" i="1"/>
  <c r="CZ149" i="1"/>
  <c r="DD130" i="1"/>
  <c r="DH111" i="1"/>
  <c r="BH102" i="1"/>
  <c r="BL83" i="1"/>
  <c r="CU149" i="1"/>
  <c r="CY130" i="1"/>
  <c r="DC111" i="1"/>
  <c r="BC102" i="1"/>
  <c r="BG83" i="1"/>
  <c r="F103" i="1"/>
  <c r="BS73" i="1"/>
  <c r="CI61" i="1"/>
  <c r="AI52" i="1"/>
  <c r="CM42" i="1"/>
  <c r="K38" i="1"/>
  <c r="BO28" i="1"/>
  <c r="AA19" i="1"/>
  <c r="BC14" i="1"/>
  <c r="CH120" i="1"/>
  <c r="CP82" i="1"/>
  <c r="AL73" i="1"/>
  <c r="AP70" i="1"/>
  <c r="DF67" i="1"/>
  <c r="BR65" i="1"/>
  <c r="AD63" i="1"/>
  <c r="CT60" i="1"/>
  <c r="BF58" i="1"/>
  <c r="CH53" i="1"/>
  <c r="AT51" i="1"/>
  <c r="F49" i="1"/>
  <c r="BV46" i="1"/>
  <c r="AH44" i="1"/>
  <c r="BJ39" i="1"/>
  <c r="V37" i="1"/>
  <c r="CL34" i="1"/>
  <c r="J30" i="1"/>
  <c r="BZ27" i="1"/>
  <c r="DB22" i="1"/>
  <c r="Z18" i="1"/>
  <c r="CP15" i="1"/>
  <c r="N11" i="1"/>
  <c r="AP6" i="1"/>
  <c r="DF3" i="1"/>
  <c r="F149" i="1"/>
  <c r="BJ139" i="1"/>
  <c r="J130" i="1"/>
  <c r="BN120" i="1"/>
  <c r="N111" i="1"/>
  <c r="BR101" i="1"/>
  <c r="R92" i="1"/>
  <c r="BV82" i="1"/>
  <c r="AG73" i="1"/>
  <c r="CW70" i="1"/>
  <c r="BI68" i="1"/>
  <c r="U66" i="1"/>
  <c r="CK63" i="1"/>
  <c r="AW61" i="1"/>
  <c r="BY56" i="1"/>
  <c r="AK54" i="1"/>
  <c r="BM49" i="1"/>
  <c r="CO44" i="1"/>
  <c r="M40" i="1"/>
  <c r="CC37" i="1"/>
  <c r="DE32" i="1"/>
  <c r="BQ30" i="1"/>
  <c r="CS25" i="1"/>
  <c r="BE23" i="1"/>
  <c r="Q21" i="1"/>
  <c r="CG18" i="1"/>
  <c r="AS16" i="1"/>
  <c r="DI13" i="1"/>
  <c r="BU11" i="1"/>
  <c r="AG9" i="1"/>
  <c r="CW6" i="1"/>
  <c r="BI4" i="1"/>
  <c r="BW9" i="1"/>
  <c r="AP151" i="1"/>
  <c r="CT141" i="1"/>
  <c r="AT132" i="1"/>
  <c r="CX122" i="1"/>
  <c r="AX113" i="1"/>
  <c r="DB103" i="1"/>
  <c r="BB94" i="1"/>
  <c r="DF84" i="1"/>
  <c r="AK76" i="1"/>
  <c r="CR73" i="1"/>
  <c r="BD71" i="1"/>
  <c r="P69" i="1"/>
  <c r="CF66" i="1"/>
  <c r="AR64" i="1"/>
  <c r="DH61" i="1"/>
  <c r="BT59" i="1"/>
  <c r="AF57" i="1"/>
  <c r="CV54" i="1"/>
  <c r="BH52" i="1"/>
  <c r="T50" i="1"/>
  <c r="CJ47" i="1"/>
  <c r="AV45" i="1"/>
  <c r="H43" i="1"/>
  <c r="BX40" i="1"/>
  <c r="AJ38" i="1"/>
  <c r="CZ35" i="1"/>
  <c r="BL33" i="1"/>
  <c r="X31" i="1"/>
  <c r="CN28" i="1"/>
  <c r="AZ26" i="1"/>
  <c r="L24" i="1"/>
  <c r="CB21" i="1"/>
  <c r="AN19" i="1"/>
  <c r="BD15" i="1"/>
  <c r="AB12" i="1"/>
  <c r="BT7" i="1"/>
  <c r="BS12" i="1"/>
  <c r="H4" i="1"/>
  <c r="O7" i="1"/>
  <c r="BK25" i="1"/>
  <c r="W23" i="1"/>
  <c r="CM20" i="1"/>
  <c r="AY18" i="1"/>
  <c r="K16" i="1"/>
  <c r="CA13" i="1"/>
  <c r="N146" i="1"/>
  <c r="BR136" i="1"/>
  <c r="R127" i="1"/>
  <c r="BV117" i="1"/>
  <c r="V108" i="1"/>
  <c r="BZ98" i="1"/>
  <c r="Z89" i="1"/>
  <c r="CD79" i="1"/>
  <c r="CX74" i="1"/>
  <c r="BJ72" i="1"/>
  <c r="V70" i="1"/>
  <c r="CL67" i="1"/>
  <c r="AX65" i="1"/>
  <c r="J63" i="1"/>
  <c r="BZ60" i="1"/>
  <c r="AL58" i="1"/>
  <c r="DB55" i="1"/>
  <c r="BN53" i="1"/>
  <c r="Z51" i="1"/>
  <c r="CP48" i="1"/>
  <c r="BB46" i="1"/>
  <c r="N44" i="1"/>
  <c r="CD41" i="1"/>
  <c r="AP39" i="1"/>
  <c r="DF36" i="1"/>
  <c r="BR34" i="1"/>
  <c r="AD32" i="1"/>
  <c r="CT29" i="1"/>
  <c r="BF27" i="1"/>
  <c r="R25" i="1"/>
  <c r="CH22" i="1"/>
  <c r="AT20" i="1"/>
  <c r="F18" i="1"/>
  <c r="BV15" i="1"/>
  <c r="AH13" i="1"/>
  <c r="CX10" i="1"/>
  <c r="BJ8" i="1"/>
  <c r="V6" i="1"/>
  <c r="CL3" i="1"/>
  <c r="CA7" i="1"/>
  <c r="AH148" i="1"/>
  <c r="AL129" i="1"/>
  <c r="CP119" i="1"/>
  <c r="AP110" i="1"/>
  <c r="CT100" i="1"/>
  <c r="AT91" i="1"/>
  <c r="CX81" i="1"/>
  <c r="BA75" i="1"/>
  <c r="M73" i="1"/>
  <c r="CC70" i="1"/>
  <c r="DE65" i="1"/>
  <c r="BQ63" i="1"/>
  <c r="CS58" i="1"/>
  <c r="Q54" i="1"/>
  <c r="AS49" i="1"/>
  <c r="BU44" i="1"/>
  <c r="CW39" i="1"/>
  <c r="U35" i="1"/>
  <c r="AW30" i="1"/>
  <c r="BY25" i="1"/>
  <c r="DA20" i="1"/>
  <c r="Y16" i="1"/>
  <c r="BA11" i="1"/>
  <c r="CC6" i="1"/>
  <c r="K9" i="1"/>
  <c r="R141" i="1"/>
  <c r="V122" i="1"/>
  <c r="Z103" i="1"/>
  <c r="AD84" i="1"/>
  <c r="BX73" i="1"/>
  <c r="CZ68" i="1"/>
  <c r="X64" i="1"/>
  <c r="AZ59" i="1"/>
  <c r="CB54" i="1"/>
  <c r="DD49" i="1"/>
  <c r="CR42" i="1"/>
  <c r="P38" i="1"/>
  <c r="AR33" i="1"/>
  <c r="BT28" i="1"/>
  <c r="CV23" i="1"/>
  <c r="T19" i="1"/>
  <c r="AV14" i="1"/>
  <c r="BX9" i="1"/>
  <c r="K10" i="1"/>
  <c r="BC24" i="1"/>
  <c r="CE19" i="1"/>
  <c r="DG14" i="1"/>
  <c r="CL141" i="1"/>
  <c r="CP122" i="1"/>
  <c r="CT103" i="1"/>
  <c r="CX84" i="1"/>
  <c r="CP73" i="1"/>
  <c r="N69" i="1"/>
  <c r="AP64" i="1"/>
  <c r="BR59" i="1"/>
  <c r="CT54" i="1"/>
  <c r="R50" i="1"/>
  <c r="AT45" i="1"/>
  <c r="BV40" i="1"/>
  <c r="CX35" i="1"/>
  <c r="V31" i="1"/>
  <c r="AX26" i="1"/>
  <c r="J24" i="1"/>
  <c r="AL19" i="1"/>
  <c r="BN14" i="1"/>
  <c r="CP9" i="1"/>
  <c r="N5" i="1"/>
  <c r="AI4" i="1"/>
  <c r="BF134" i="1"/>
  <c r="BJ115" i="1"/>
  <c r="BN96" i="1"/>
  <c r="BR77" i="1"/>
  <c r="DI71" i="1"/>
  <c r="AG67" i="1"/>
  <c r="BI62" i="1"/>
  <c r="CK57" i="1"/>
  <c r="I53" i="1"/>
  <c r="AK48" i="1"/>
  <c r="BM43" i="1"/>
  <c r="CO38" i="1"/>
  <c r="M34" i="1"/>
  <c r="AO29" i="1"/>
  <c r="BQ24" i="1"/>
  <c r="CS19" i="1"/>
  <c r="Q15" i="1"/>
  <c r="AS10" i="1"/>
  <c r="BU5" i="1"/>
  <c r="DC5" i="1"/>
  <c r="CP136" i="1"/>
  <c r="CT117" i="1"/>
  <c r="AX89" i="1"/>
  <c r="DD74" i="1"/>
  <c r="AB70" i="1"/>
  <c r="BD65" i="1"/>
  <c r="CF60" i="1"/>
  <c r="DH55" i="1"/>
  <c r="AF51" i="1"/>
  <c r="BH46" i="1"/>
  <c r="CJ41" i="1"/>
  <c r="H37" i="1"/>
  <c r="AJ32" i="1"/>
  <c r="BL27" i="1"/>
  <c r="CN22" i="1"/>
  <c r="L18" i="1"/>
  <c r="AN13" i="1"/>
  <c r="BP8" i="1"/>
  <c r="CR3" i="1"/>
  <c r="CA23" i="1"/>
  <c r="DC18" i="1"/>
  <c r="AA14" i="1"/>
  <c r="BZ138" i="1"/>
  <c r="CD119" i="1"/>
  <c r="CH100" i="1"/>
  <c r="CL81" i="1"/>
  <c r="J73" i="1"/>
  <c r="AL68" i="1"/>
  <c r="BN63" i="1"/>
  <c r="CP58" i="1"/>
  <c r="CD51" i="1"/>
  <c r="DF46" i="1"/>
  <c r="BR44" i="1"/>
  <c r="CT39" i="1"/>
  <c r="R35" i="1"/>
  <c r="AT30" i="1"/>
  <c r="BV25" i="1"/>
  <c r="CX20" i="1"/>
  <c r="V16" i="1"/>
  <c r="AX11" i="1"/>
  <c r="BZ6" i="1"/>
  <c r="W9" i="1"/>
  <c r="CT140" i="1"/>
  <c r="CX121" i="1"/>
  <c r="BB93" i="1"/>
  <c r="DE75" i="1"/>
  <c r="AC71" i="1"/>
  <c r="BE66" i="1"/>
  <c r="CG61" i="1"/>
  <c r="DI56" i="1"/>
  <c r="AG52" i="1"/>
  <c r="U45" i="1"/>
  <c r="AW40" i="1"/>
  <c r="AK33" i="1"/>
  <c r="BM28" i="1"/>
  <c r="BA21" i="1"/>
  <c r="AO14" i="1"/>
  <c r="AC7" i="1"/>
  <c r="CA3" i="1"/>
  <c r="AD124" i="1"/>
  <c r="CL95" i="1"/>
  <c r="CP76" i="1"/>
  <c r="AZ69" i="1"/>
  <c r="AN62" i="1"/>
  <c r="BP57" i="1"/>
  <c r="BD50" i="1"/>
  <c r="AR43" i="1"/>
  <c r="DH40" i="1"/>
  <c r="BH31" i="1"/>
  <c r="CJ26" i="1"/>
  <c r="BX19" i="1"/>
  <c r="BL12" i="1"/>
  <c r="L3" i="1"/>
  <c r="CB9" i="1"/>
  <c r="CE7" i="1"/>
  <c r="DD4" i="1"/>
  <c r="CR17" i="1"/>
  <c r="CN57" i="1"/>
  <c r="AN48" i="1"/>
  <c r="CR38" i="1"/>
  <c r="AR29" i="1"/>
  <c r="CV19" i="1"/>
  <c r="AV10" i="1"/>
  <c r="AA25" i="1"/>
  <c r="CE15" i="1"/>
  <c r="CL125" i="1"/>
  <c r="CT87" i="1"/>
  <c r="CP69" i="1"/>
  <c r="AP60" i="1"/>
  <c r="CT50" i="1"/>
  <c r="AT41" i="1"/>
  <c r="CX31" i="1"/>
  <c r="AX22" i="1"/>
  <c r="DB12" i="1"/>
  <c r="BB3" i="1"/>
  <c r="DF127" i="1"/>
  <c r="J90" i="1"/>
  <c r="AS70" i="1"/>
  <c r="CW60" i="1"/>
  <c r="AW51" i="1"/>
  <c r="DA41" i="1"/>
  <c r="BA32" i="1"/>
  <c r="DE22" i="1"/>
  <c r="BE13" i="1"/>
  <c r="DI3" i="1"/>
  <c r="AL130" i="1"/>
  <c r="AT92" i="1"/>
  <c r="DD70" i="1"/>
  <c r="BD61" i="1"/>
  <c r="DH51" i="1"/>
  <c r="BH42" i="1"/>
  <c r="H33" i="1"/>
  <c r="BL23" i="1"/>
  <c r="L14" i="1"/>
  <c r="BP4" i="1"/>
  <c r="CA19" i="1"/>
  <c r="BV141" i="1"/>
  <c r="CD103" i="1"/>
  <c r="CL73" i="1"/>
  <c r="AL64" i="1"/>
  <c r="CP54" i="1"/>
  <c r="AP45" i="1"/>
  <c r="CT35" i="1"/>
  <c r="AT26" i="1"/>
  <c r="CX16" i="1"/>
  <c r="AX7" i="1"/>
  <c r="CP143" i="1"/>
  <c r="CX105" i="1"/>
  <c r="AO74" i="1"/>
  <c r="CS64" i="1"/>
  <c r="AS55" i="1"/>
  <c r="CW45" i="1"/>
  <c r="AW36" i="1"/>
  <c r="DA26" i="1"/>
  <c r="BA17" i="1"/>
  <c r="DE7" i="1"/>
  <c r="V146" i="1"/>
  <c r="AD108" i="1"/>
  <c r="CZ74" i="1"/>
  <c r="AZ65" i="1"/>
  <c r="DD55" i="1"/>
  <c r="BD46" i="1"/>
  <c r="DH36" i="1"/>
  <c r="BH27" i="1"/>
  <c r="H18" i="1"/>
  <c r="BL8" i="1"/>
  <c r="AF105" i="1"/>
  <c r="CJ95" i="1"/>
  <c r="AJ86" i="1"/>
  <c r="CN76" i="1"/>
  <c r="S143" i="1"/>
  <c r="BW133" i="1"/>
  <c r="W124" i="1"/>
  <c r="CA114" i="1"/>
  <c r="AA105" i="1"/>
  <c r="CE95" i="1"/>
  <c r="AE86" i="1"/>
  <c r="CI76" i="1"/>
  <c r="DF113" i="1"/>
  <c r="BE76" i="1"/>
  <c r="CU66" i="1"/>
  <c r="AU57" i="1"/>
  <c r="CY47" i="1"/>
  <c r="AY38" i="1"/>
  <c r="DC28" i="1"/>
  <c r="Z153" i="1"/>
  <c r="CC143" i="1"/>
  <c r="AC134" i="1"/>
  <c r="CG124" i="1"/>
  <c r="AG115" i="1"/>
  <c r="CK105" i="1"/>
  <c r="AK96" i="1"/>
  <c r="CO86" i="1"/>
  <c r="AO77" i="1"/>
  <c r="DH142" i="1"/>
  <c r="BH133" i="1"/>
  <c r="H124" i="1"/>
  <c r="BL114" i="1"/>
  <c r="L105" i="1"/>
  <c r="BP95" i="1"/>
  <c r="P86" i="1"/>
  <c r="BT76" i="1"/>
  <c r="DC142" i="1"/>
  <c r="BC133" i="1"/>
  <c r="DG123" i="1"/>
  <c r="BG114" i="1"/>
  <c r="G105" i="1"/>
  <c r="BK95" i="1"/>
  <c r="K86" i="1"/>
  <c r="V151" i="1"/>
  <c r="AD113" i="1"/>
  <c r="AD76" i="1"/>
  <c r="CA66" i="1"/>
  <c r="AA57" i="1"/>
  <c r="CE47" i="1"/>
  <c r="AE38" i="1"/>
  <c r="CI28" i="1"/>
  <c r="F153" i="1"/>
  <c r="BI143" i="1"/>
  <c r="I134" i="1"/>
  <c r="BM124" i="1"/>
  <c r="M115" i="1"/>
  <c r="BQ105" i="1"/>
  <c r="Q96" i="1"/>
  <c r="BU86" i="1"/>
  <c r="U77" i="1"/>
  <c r="CN142" i="1"/>
  <c r="AN133" i="1"/>
  <c r="CR123" i="1"/>
  <c r="AR114" i="1"/>
  <c r="CV104" i="1"/>
  <c r="AV95" i="1"/>
  <c r="CZ85" i="1"/>
  <c r="AZ76" i="1"/>
  <c r="CI142" i="1"/>
  <c r="AI133" i="1"/>
  <c r="CM123" i="1"/>
  <c r="AM114" i="1"/>
  <c r="CQ104" i="1"/>
  <c r="AQ95" i="1"/>
  <c r="CU85" i="1"/>
  <c r="AX150" i="1"/>
  <c r="BF112" i="1"/>
  <c r="DG75" i="1"/>
  <c r="AI68" i="1"/>
  <c r="BK63" i="1"/>
  <c r="CM58" i="1"/>
  <c r="K54" i="1"/>
  <c r="AM49" i="1"/>
  <c r="BO44" i="1"/>
  <c r="CQ39" i="1"/>
  <c r="O35" i="1"/>
  <c r="AQ30" i="1"/>
  <c r="CE25" i="1"/>
  <c r="DG20" i="1"/>
  <c r="AE16" i="1"/>
  <c r="CP146" i="1"/>
  <c r="CT127" i="1"/>
  <c r="CX108" i="1"/>
  <c r="DB89" i="1"/>
  <c r="N75" i="1"/>
  <c r="DB70" i="1"/>
  <c r="BN68" i="1"/>
  <c r="Z66" i="1"/>
  <c r="CP63" i="1"/>
  <c r="BB61" i="1"/>
  <c r="N59" i="1"/>
  <c r="CD56" i="1"/>
  <c r="AP54" i="1"/>
  <c r="DF51" i="1"/>
  <c r="BR49" i="1"/>
  <c r="AD47" i="1"/>
  <c r="CT44" i="1"/>
  <c r="BF42" i="1"/>
  <c r="R40" i="1"/>
  <c r="CH37" i="1"/>
  <c r="AT35" i="1"/>
  <c r="F33" i="1"/>
  <c r="BV30" i="1"/>
  <c r="AH28" i="1"/>
  <c r="CX25" i="1"/>
  <c r="BJ23" i="1"/>
  <c r="V21" i="1"/>
  <c r="CL18" i="1"/>
  <c r="AX16" i="1"/>
  <c r="J14" i="1"/>
  <c r="BZ11" i="1"/>
  <c r="AL9" i="1"/>
  <c r="DB6" i="1"/>
  <c r="BN4" i="1"/>
  <c r="CY9" i="1"/>
  <c r="AT151" i="1"/>
  <c r="CX141" i="1"/>
  <c r="AX132" i="1"/>
  <c r="DB122" i="1"/>
  <c r="BB113" i="1"/>
  <c r="DF103" i="1"/>
  <c r="BF94" i="1"/>
  <c r="F85" i="1"/>
  <c r="AL76" i="1"/>
  <c r="CS73" i="1"/>
  <c r="BE71" i="1"/>
  <c r="Q69" i="1"/>
  <c r="CG66" i="1"/>
  <c r="AS64" i="1"/>
  <c r="DI61" i="1"/>
  <c r="BU59" i="1"/>
  <c r="AG57" i="1"/>
  <c r="CW54" i="1"/>
  <c r="BI52" i="1"/>
  <c r="U50" i="1"/>
  <c r="CK47" i="1"/>
  <c r="AW45" i="1"/>
  <c r="I43" i="1"/>
  <c r="BY40" i="1"/>
  <c r="AK38" i="1"/>
  <c r="DA35" i="1"/>
  <c r="BM33" i="1"/>
  <c r="Y31" i="1"/>
  <c r="CO28" i="1"/>
  <c r="BA26" i="1"/>
  <c r="M24" i="1"/>
  <c r="CC21" i="1"/>
  <c r="AO19" i="1"/>
  <c r="DE16" i="1"/>
  <c r="BQ14" i="1"/>
  <c r="AC12" i="1"/>
  <c r="CS9" i="1"/>
  <c r="BE7" i="1"/>
  <c r="Q5" i="1"/>
  <c r="AY11" i="1"/>
  <c r="BC4" i="1"/>
  <c r="AD144" i="1"/>
  <c r="CH134" i="1"/>
  <c r="AH125" i="1"/>
  <c r="CL115" i="1"/>
  <c r="AL106" i="1"/>
  <c r="CP96" i="1"/>
  <c r="AP87" i="1"/>
  <c r="CT77" i="1"/>
  <c r="AZ74" i="1"/>
  <c r="L72" i="1"/>
  <c r="CB69" i="1"/>
  <c r="AN67" i="1"/>
  <c r="DD64" i="1"/>
  <c r="BP62" i="1"/>
  <c r="AB60" i="1"/>
  <c r="CR57" i="1"/>
  <c r="BD55" i="1"/>
  <c r="P53" i="1"/>
  <c r="CF50" i="1"/>
  <c r="AR48" i="1"/>
  <c r="DH45" i="1"/>
  <c r="BT43" i="1"/>
  <c r="AF41" i="1"/>
  <c r="CV38" i="1"/>
  <c r="BH36" i="1"/>
  <c r="T34" i="1"/>
  <c r="CJ31" i="1"/>
  <c r="AV29" i="1"/>
  <c r="H27" i="1"/>
  <c r="BX24" i="1"/>
  <c r="AJ22" i="1"/>
  <c r="CZ19" i="1"/>
  <c r="BX16" i="1"/>
  <c r="DD12" i="1"/>
  <c r="DD8" i="1"/>
  <c r="CZ3" i="1"/>
  <c r="AV6" i="1"/>
  <c r="CA12" i="1"/>
  <c r="S26" i="1"/>
  <c r="CI23" i="1"/>
  <c r="AU21" i="1"/>
  <c r="G19" i="1"/>
  <c r="BW16" i="1"/>
  <c r="AI14" i="1"/>
  <c r="BB148" i="1"/>
  <c r="DF138" i="1"/>
  <c r="BF129" i="1"/>
  <c r="F120" i="1"/>
  <c r="BJ110" i="1"/>
  <c r="J101" i="1"/>
  <c r="BN91" i="1"/>
  <c r="N82" i="1"/>
  <c r="BF75" i="1"/>
  <c r="R73" i="1"/>
  <c r="CH70" i="1"/>
  <c r="AT68" i="1"/>
  <c r="F66" i="1"/>
  <c r="BV63" i="1"/>
  <c r="AH61" i="1"/>
  <c r="CX58" i="1"/>
  <c r="BJ56" i="1"/>
  <c r="V54" i="1"/>
  <c r="CL51" i="1"/>
  <c r="AX49" i="1"/>
  <c r="J47" i="1"/>
  <c r="BZ44" i="1"/>
  <c r="AL42" i="1"/>
  <c r="DB39" i="1"/>
  <c r="BN37" i="1"/>
  <c r="Z35" i="1"/>
  <c r="CP32" i="1"/>
  <c r="BB30" i="1"/>
  <c r="N28" i="1"/>
  <c r="CD25" i="1"/>
  <c r="AP23" i="1"/>
  <c r="DF20" i="1"/>
  <c r="BR18" i="1"/>
  <c r="AD16" i="1"/>
  <c r="CT13" i="1"/>
  <c r="BF11" i="1"/>
  <c r="R9" i="1"/>
  <c r="CH6" i="1"/>
  <c r="AT4" i="1"/>
  <c r="AU9" i="1"/>
  <c r="BV150" i="1"/>
  <c r="V141" i="1"/>
  <c r="BZ131" i="1"/>
  <c r="Z122" i="1"/>
  <c r="CD112" i="1"/>
  <c r="AD103" i="1"/>
  <c r="CH93" i="1"/>
  <c r="AH84" i="1"/>
  <c r="K76" i="1"/>
  <c r="BY73" i="1"/>
  <c r="AK71" i="1"/>
  <c r="DA68" i="1"/>
  <c r="BM66" i="1"/>
  <c r="Y64" i="1"/>
  <c r="CO61" i="1"/>
  <c r="BA59" i="1"/>
  <c r="M57" i="1"/>
  <c r="CC54" i="1"/>
  <c r="AO52" i="1"/>
  <c r="DE49" i="1"/>
  <c r="BQ47" i="1"/>
  <c r="AC45" i="1"/>
  <c r="CS42" i="1"/>
  <c r="BE40" i="1"/>
  <c r="Q38" i="1"/>
  <c r="CG35" i="1"/>
  <c r="AS33" i="1"/>
  <c r="DI30" i="1"/>
  <c r="BU28" i="1"/>
  <c r="AG26" i="1"/>
  <c r="CW23" i="1"/>
  <c r="BI21" i="1"/>
  <c r="U19" i="1"/>
  <c r="CK16" i="1"/>
  <c r="AW14" i="1"/>
  <c r="I12" i="1"/>
  <c r="BY9" i="1"/>
  <c r="AK7" i="1"/>
  <c r="DA4" i="1"/>
  <c r="CU10" i="1"/>
  <c r="CY3" i="1"/>
  <c r="BF143" i="1"/>
  <c r="F134" i="1"/>
  <c r="BJ124" i="1"/>
  <c r="J115" i="1"/>
  <c r="BN105" i="1"/>
  <c r="N96" i="1"/>
  <c r="BR86" i="1"/>
  <c r="R77" i="1"/>
  <c r="AF74" i="1"/>
  <c r="CV71" i="1"/>
  <c r="BH69" i="1"/>
  <c r="T67" i="1"/>
  <c r="CJ64" i="1"/>
  <c r="AV62" i="1"/>
  <c r="H60" i="1"/>
  <c r="BX57" i="1"/>
  <c r="AJ55" i="1"/>
  <c r="CZ52" i="1"/>
  <c r="BL50" i="1"/>
  <c r="X48" i="1"/>
  <c r="CN45" i="1"/>
  <c r="AZ43" i="1"/>
  <c r="L41" i="1"/>
  <c r="CB38" i="1"/>
  <c r="AN36" i="1"/>
  <c r="DD33" i="1"/>
  <c r="BP31" i="1"/>
  <c r="AB29" i="1"/>
  <c r="CR26" i="1"/>
  <c r="BD24" i="1"/>
  <c r="P22" i="1"/>
  <c r="CF19" i="1"/>
  <c r="AR17" i="1"/>
  <c r="DH14" i="1"/>
  <c r="BT12" i="1"/>
  <c r="AF10" i="1"/>
  <c r="CV7" i="1"/>
  <c r="CV3" i="1"/>
  <c r="AY27" i="1"/>
  <c r="K25" i="1"/>
  <c r="CA22" i="1"/>
  <c r="AM20" i="1"/>
  <c r="DC17" i="1"/>
  <c r="BO15" i="1"/>
  <c r="AA13" i="1"/>
  <c r="V144" i="1"/>
  <c r="BZ134" i="1"/>
  <c r="Z125" i="1"/>
  <c r="CD115" i="1"/>
  <c r="AD106" i="1"/>
  <c r="CH96" i="1"/>
  <c r="AH87" i="1"/>
  <c r="CL77" i="1"/>
  <c r="AX74" i="1"/>
  <c r="J72" i="1"/>
  <c r="BZ69" i="1"/>
  <c r="AL67" i="1"/>
  <c r="DB64" i="1"/>
  <c r="BN62" i="1"/>
  <c r="Z60" i="1"/>
  <c r="CP57" i="1"/>
  <c r="BB55" i="1"/>
  <c r="N53" i="1"/>
  <c r="CD50" i="1"/>
  <c r="AP48" i="1"/>
  <c r="DF45" i="1"/>
  <c r="BR43" i="1"/>
  <c r="AD41" i="1"/>
  <c r="CT38" i="1"/>
  <c r="BF36" i="1"/>
  <c r="R34" i="1"/>
  <c r="CH31" i="1"/>
  <c r="AT29" i="1"/>
  <c r="F27" i="1"/>
  <c r="BV24" i="1"/>
  <c r="AH22" i="1"/>
  <c r="CX19" i="1"/>
  <c r="BJ17" i="1"/>
  <c r="V15" i="1"/>
  <c r="CL12" i="1"/>
  <c r="AX10" i="1"/>
  <c r="J8" i="1"/>
  <c r="BZ5" i="1"/>
  <c r="AL3" i="1"/>
  <c r="AE6" i="1"/>
  <c r="AP146" i="1"/>
  <c r="CT136" i="1"/>
  <c r="AT127" i="1"/>
  <c r="CX117" i="1"/>
  <c r="AX108" i="1"/>
  <c r="DB98" i="1"/>
  <c r="BB89" i="1"/>
  <c r="DF79" i="1"/>
  <c r="DE74" i="1"/>
  <c r="BQ72" i="1"/>
  <c r="AC70" i="1"/>
  <c r="CS67" i="1"/>
  <c r="BE65" i="1"/>
  <c r="Q63" i="1"/>
  <c r="CG60" i="1"/>
  <c r="AS58" i="1"/>
  <c r="DI55" i="1"/>
  <c r="BU53" i="1"/>
  <c r="AG51" i="1"/>
  <c r="CW48" i="1"/>
  <c r="BI46" i="1"/>
  <c r="U44" i="1"/>
  <c r="CK41" i="1"/>
  <c r="AW39" i="1"/>
  <c r="I37" i="1"/>
  <c r="BY34" i="1"/>
  <c r="AK32" i="1"/>
  <c r="DA29" i="1"/>
  <c r="BM27" i="1"/>
  <c r="Y25" i="1"/>
  <c r="CO22" i="1"/>
  <c r="BA20" i="1"/>
  <c r="M18" i="1"/>
  <c r="CC15" i="1"/>
  <c r="AO13" i="1"/>
  <c r="DE10" i="1"/>
  <c r="BQ8" i="1"/>
  <c r="AC6" i="1"/>
  <c r="CS3" i="1"/>
  <c r="BW7" i="1"/>
  <c r="BZ148" i="1"/>
  <c r="Z139" i="1"/>
  <c r="CD129" i="1"/>
  <c r="AD120" i="1"/>
  <c r="CH110" i="1"/>
  <c r="AH101" i="1"/>
  <c r="CL91" i="1"/>
  <c r="AL82" i="1"/>
  <c r="BL75" i="1"/>
  <c r="X73" i="1"/>
  <c r="CN70" i="1"/>
  <c r="AZ68" i="1"/>
  <c r="L66" i="1"/>
  <c r="CB63" i="1"/>
  <c r="AN61" i="1"/>
  <c r="DD58" i="1"/>
  <c r="BP56" i="1"/>
  <c r="AB54" i="1"/>
  <c r="CR51" i="1"/>
  <c r="BD49" i="1"/>
  <c r="P47" i="1"/>
  <c r="CF44" i="1"/>
  <c r="AR42" i="1"/>
  <c r="DH39" i="1"/>
  <c r="BT37" i="1"/>
  <c r="AF35" i="1"/>
  <c r="CV32" i="1"/>
  <c r="BH30" i="1"/>
  <c r="T28" i="1"/>
  <c r="CJ25" i="1"/>
  <c r="AV23" i="1"/>
  <c r="H21" i="1"/>
  <c r="BX18" i="1"/>
  <c r="AJ16" i="1"/>
  <c r="CZ13" i="1"/>
  <c r="BL11" i="1"/>
  <c r="X9" i="1"/>
  <c r="CN6" i="1"/>
  <c r="AZ4" i="1"/>
  <c r="BW26" i="1"/>
  <c r="AI24" i="1"/>
  <c r="CY21" i="1"/>
  <c r="BK19" i="1"/>
  <c r="W17" i="1"/>
  <c r="CM14" i="1"/>
  <c r="BJ150" i="1"/>
  <c r="J141" i="1"/>
  <c r="BN131" i="1"/>
  <c r="N122" i="1"/>
  <c r="BR112" i="1"/>
  <c r="R103" i="1"/>
  <c r="BV93" i="1"/>
  <c r="V84" i="1"/>
  <c r="G76" i="1"/>
  <c r="BV73" i="1"/>
  <c r="AH71" i="1"/>
  <c r="CX68" i="1"/>
  <c r="BJ66" i="1"/>
  <c r="V64" i="1"/>
  <c r="CL61" i="1"/>
  <c r="AX59" i="1"/>
  <c r="J57" i="1"/>
  <c r="BZ54" i="1"/>
  <c r="AL52" i="1"/>
  <c r="DB49" i="1"/>
  <c r="BN47" i="1"/>
  <c r="Z45" i="1"/>
  <c r="CP42" i="1"/>
  <c r="BB40" i="1"/>
  <c r="N38" i="1"/>
  <c r="CD35" i="1"/>
  <c r="AP33" i="1"/>
  <c r="DF30" i="1"/>
  <c r="BR28" i="1"/>
  <c r="AD26" i="1"/>
  <c r="CT23" i="1"/>
  <c r="BF21" i="1"/>
  <c r="R19" i="1"/>
  <c r="CH16" i="1"/>
  <c r="AT14" i="1"/>
  <c r="F12" i="1"/>
  <c r="BV9" i="1"/>
  <c r="AH7" i="1"/>
  <c r="CX4" i="1"/>
  <c r="CY10" i="1"/>
  <c r="CI3" i="1"/>
  <c r="AD143" i="1"/>
  <c r="CH133" i="1"/>
  <c r="AH124" i="1"/>
  <c r="CL114" i="1"/>
  <c r="AL105" i="1"/>
  <c r="CP95" i="1"/>
  <c r="AP86" i="1"/>
  <c r="CT76" i="1"/>
  <c r="Y74" i="1"/>
  <c r="CO71" i="1"/>
  <c r="BA69" i="1"/>
  <c r="M67" i="1"/>
  <c r="CC64" i="1"/>
  <c r="AO62" i="1"/>
  <c r="DE59" i="1"/>
  <c r="BQ57" i="1"/>
  <c r="AC55" i="1"/>
  <c r="CS52" i="1"/>
  <c r="BE50" i="1"/>
  <c r="Q48" i="1"/>
  <c r="CG45" i="1"/>
  <c r="AS43" i="1"/>
  <c r="DI40" i="1"/>
  <c r="BU38" i="1"/>
  <c r="AG36" i="1"/>
  <c r="CW33" i="1"/>
  <c r="BI31" i="1"/>
  <c r="U29" i="1"/>
  <c r="CK26" i="1"/>
  <c r="AW24" i="1"/>
  <c r="I22" i="1"/>
  <c r="BY19" i="1"/>
  <c r="AK17" i="1"/>
  <c r="DA14" i="1"/>
  <c r="BM12" i="1"/>
  <c r="Y10" i="1"/>
  <c r="CO7" i="1"/>
  <c r="BA5" i="1"/>
  <c r="M3" i="1"/>
  <c r="AQ5" i="1"/>
  <c r="BN145" i="1"/>
  <c r="N136" i="1"/>
  <c r="BR126" i="1"/>
  <c r="R117" i="1"/>
  <c r="BV107" i="1"/>
  <c r="V98" i="1"/>
  <c r="BZ88" i="1"/>
  <c r="Z79" i="1"/>
  <c r="CJ74" i="1"/>
  <c r="AV72" i="1"/>
  <c r="H70" i="1"/>
  <c r="BX67" i="1"/>
  <c r="AJ65" i="1"/>
  <c r="CZ62" i="1"/>
  <c r="BL60" i="1"/>
  <c r="X58" i="1"/>
  <c r="CN55" i="1"/>
  <c r="AZ53" i="1"/>
  <c r="L51" i="1"/>
  <c r="CB48" i="1"/>
  <c r="AN46" i="1"/>
  <c r="DD43" i="1"/>
  <c r="BP41" i="1"/>
  <c r="AB39" i="1"/>
  <c r="CR36" i="1"/>
  <c r="BD34" i="1"/>
  <c r="P32" i="1"/>
  <c r="CF29" i="1"/>
  <c r="AR27" i="1"/>
  <c r="DH24" i="1"/>
  <c r="BT22" i="1"/>
  <c r="AF20" i="1"/>
  <c r="CV17" i="1"/>
  <c r="BH15" i="1"/>
  <c r="T13" i="1"/>
  <c r="CJ10" i="1"/>
  <c r="AV8" i="1"/>
  <c r="H6" i="1"/>
  <c r="BX3" i="1"/>
  <c r="BC8" i="1"/>
  <c r="AV17" i="1"/>
  <c r="CV10" i="1"/>
  <c r="AJ6" i="1"/>
  <c r="AE9" i="1"/>
  <c r="AA12" i="1"/>
  <c r="BH3" i="1"/>
  <c r="P17" i="1"/>
  <c r="X7" i="1"/>
  <c r="CF3" i="1"/>
  <c r="AM7" i="1"/>
  <c r="AI12" i="1"/>
  <c r="AR4" i="1"/>
  <c r="DD45" i="1"/>
  <c r="BD36" i="1"/>
  <c r="DH26" i="1"/>
  <c r="BH17" i="1"/>
  <c r="H8" i="1"/>
  <c r="CQ22" i="1"/>
  <c r="AQ13" i="1"/>
  <c r="AL116" i="1"/>
  <c r="AT78" i="1"/>
  <c r="BB67" i="1"/>
  <c r="DF57" i="1"/>
  <c r="BF48" i="1"/>
  <c r="F39" i="1"/>
  <c r="BJ29" i="1"/>
  <c r="J20" i="1"/>
  <c r="BN10" i="1"/>
  <c r="CE6" i="1"/>
  <c r="BF118" i="1"/>
  <c r="BN80" i="1"/>
  <c r="DI67" i="1"/>
  <c r="BI58" i="1"/>
  <c r="I49" i="1"/>
  <c r="BM39" i="1"/>
  <c r="M30" i="1"/>
  <c r="BQ20" i="1"/>
  <c r="Q11" i="1"/>
  <c r="K8" i="1"/>
  <c r="CP120" i="1"/>
  <c r="CX82" i="1"/>
  <c r="BP68" i="1"/>
  <c r="P59" i="1"/>
  <c r="BT49" i="1"/>
  <c r="T40" i="1"/>
  <c r="BX30" i="1"/>
  <c r="X21" i="1"/>
  <c r="CB11" i="1"/>
  <c r="CM26" i="1"/>
  <c r="AM17" i="1"/>
  <c r="V132" i="1"/>
  <c r="AD94" i="1"/>
  <c r="AX71" i="1"/>
  <c r="DB61" i="1"/>
  <c r="BB52" i="1"/>
  <c r="DF42" i="1"/>
  <c r="BF33" i="1"/>
  <c r="F24" i="1"/>
  <c r="BJ14" i="1"/>
  <c r="J5" i="1"/>
  <c r="AP134" i="1"/>
  <c r="AX96" i="1"/>
  <c r="DE71" i="1"/>
  <c r="BE62" i="1"/>
  <c r="DI52" i="1"/>
  <c r="BI43" i="1"/>
  <c r="I34" i="1"/>
  <c r="BM24" i="1"/>
  <c r="M15" i="1"/>
  <c r="BQ5" i="1"/>
  <c r="BZ136" i="1"/>
  <c r="CH98" i="1"/>
  <c r="BL72" i="1"/>
  <c r="L63" i="1"/>
  <c r="BP53" i="1"/>
  <c r="P44" i="1"/>
  <c r="BT34" i="1"/>
  <c r="T25" i="1"/>
  <c r="BX15" i="1"/>
  <c r="X6" i="1"/>
  <c r="CV102" i="1"/>
  <c r="AV93" i="1"/>
  <c r="CZ83" i="1"/>
  <c r="AE150" i="1"/>
  <c r="CI140" i="1"/>
  <c r="AI131" i="1"/>
  <c r="CM121" i="1"/>
  <c r="AM112" i="1"/>
  <c r="BF104" i="1"/>
  <c r="G55" i="1"/>
  <c r="BK45" i="1"/>
  <c r="AD162" i="1"/>
  <c r="AO141" i="1"/>
  <c r="CS131" i="1"/>
  <c r="CW112" i="1"/>
  <c r="DA93" i="1"/>
  <c r="P150" i="1"/>
  <c r="BT140" i="1"/>
  <c r="T131" i="1"/>
  <c r="BX121" i="1"/>
  <c r="X112" i="1"/>
  <c r="CB102" i="1"/>
  <c r="AB93" i="1"/>
  <c r="CF83" i="1"/>
  <c r="BO140" i="1"/>
  <c r="O131" i="1"/>
  <c r="S112" i="1"/>
  <c r="W93" i="1"/>
  <c r="BZ141" i="1"/>
  <c r="CU35" i="1"/>
  <c r="U141" i="1"/>
  <c r="CC112" i="1"/>
  <c r="CG93" i="1"/>
  <c r="AZ140" i="1"/>
  <c r="BD121" i="1"/>
  <c r="H93" i="1"/>
  <c r="AU140" i="1"/>
  <c r="AY121" i="1"/>
  <c r="DG92" i="1"/>
  <c r="DB140" i="1"/>
  <c r="BG66" i="1"/>
  <c r="G57" i="1"/>
  <c r="BK47" i="1"/>
  <c r="AM33" i="1"/>
  <c r="DC23" i="1"/>
  <c r="CD139" i="1"/>
  <c r="CL101" i="1"/>
  <c r="R56" i="1"/>
  <c r="CX41" i="1"/>
  <c r="AX32" i="1"/>
  <c r="AL25" i="1"/>
  <c r="BN20" i="1"/>
  <c r="BB13" i="1"/>
  <c r="CD8" i="1"/>
  <c r="AA8" i="1"/>
  <c r="BU75" i="1"/>
  <c r="I59" i="1"/>
  <c r="DA51" i="1"/>
  <c r="Y47" i="1"/>
  <c r="BA42" i="1"/>
  <c r="AO35" i="1"/>
  <c r="AC28" i="1"/>
  <c r="CL138" i="1"/>
  <c r="AO68" i="1"/>
  <c r="AC61" i="1"/>
  <c r="BE56" i="1"/>
  <c r="CG51" i="1"/>
  <c r="DI46" i="1"/>
  <c r="AG42" i="1"/>
  <c r="BI37" i="1"/>
  <c r="CK32" i="1"/>
  <c r="I28" i="1"/>
  <c r="AK23" i="1"/>
  <c r="BM18" i="1"/>
  <c r="CO13" i="1"/>
  <c r="M9" i="1"/>
  <c r="AO4" i="1"/>
  <c r="BR150" i="1"/>
  <c r="BV131" i="1"/>
  <c r="BZ112" i="1"/>
  <c r="CD93" i="1"/>
  <c r="J76" i="1"/>
  <c r="AJ71" i="1"/>
  <c r="BL66" i="1"/>
  <c r="CN61" i="1"/>
  <c r="L57" i="1"/>
  <c r="AN52" i="1"/>
  <c r="BP47" i="1"/>
  <c r="AB45" i="1"/>
  <c r="BD40" i="1"/>
  <c r="CF35" i="1"/>
  <c r="DH30" i="1"/>
  <c r="AF26" i="1"/>
  <c r="BH21" i="1"/>
  <c r="CJ16" i="1"/>
  <c r="H12" i="1"/>
  <c r="AJ7" i="1"/>
  <c r="CQ26" i="1"/>
  <c r="O22" i="1"/>
  <c r="AQ17" i="1"/>
  <c r="AH151" i="1"/>
  <c r="AL132" i="1"/>
  <c r="AP113" i="1"/>
  <c r="AT94" i="1"/>
  <c r="AH76" i="1"/>
  <c r="BB71" i="1"/>
  <c r="CD66" i="1"/>
  <c r="DF61" i="1"/>
  <c r="AD57" i="1"/>
  <c r="BF52" i="1"/>
  <c r="CH47" i="1"/>
  <c r="F43" i="1"/>
  <c r="AH38" i="1"/>
  <c r="BJ33" i="1"/>
  <c r="CL28" i="1"/>
  <c r="BZ21" i="1"/>
  <c r="DB16" i="1"/>
  <c r="Z12" i="1"/>
  <c r="BB7" i="1"/>
  <c r="BC11" i="1"/>
  <c r="DF143" i="1"/>
  <c r="F125" i="1"/>
  <c r="J106" i="1"/>
  <c r="N87" i="1"/>
  <c r="AS74" i="1"/>
  <c r="BU69" i="1"/>
  <c r="CW64" i="1"/>
  <c r="U60" i="1"/>
  <c r="AW55" i="1"/>
  <c r="BY50" i="1"/>
  <c r="DA45" i="1"/>
  <c r="Y41" i="1"/>
  <c r="BA36" i="1"/>
  <c r="CC31" i="1"/>
  <c r="DE26" i="1"/>
  <c r="AC22" i="1"/>
  <c r="BE17" i="1"/>
  <c r="CG12" i="1"/>
  <c r="DI7" i="1"/>
  <c r="AG3" i="1"/>
  <c r="AL146" i="1"/>
  <c r="AP127" i="1"/>
  <c r="AT108" i="1"/>
  <c r="CX98" i="1"/>
  <c r="DB79" i="1"/>
  <c r="BP72" i="1"/>
  <c r="CR67" i="1"/>
  <c r="P63" i="1"/>
  <c r="AR58" i="1"/>
  <c r="BT53" i="1"/>
  <c r="CV48" i="1"/>
  <c r="T44" i="1"/>
  <c r="AV39" i="1"/>
  <c r="BX34" i="1"/>
  <c r="CZ29" i="1"/>
  <c r="X25" i="1"/>
  <c r="AZ20" i="1"/>
  <c r="CB15" i="1"/>
  <c r="DD10" i="1"/>
  <c r="AB6" i="1"/>
  <c r="K26" i="1"/>
  <c r="AM21" i="1"/>
  <c r="BO16" i="1"/>
  <c r="V148" i="1"/>
  <c r="Z129" i="1"/>
  <c r="AD110" i="1"/>
  <c r="AH91" i="1"/>
  <c r="AX75" i="1"/>
  <c r="BZ70" i="1"/>
  <c r="DB65" i="1"/>
  <c r="Z61" i="1"/>
  <c r="BB56" i="1"/>
  <c r="N54" i="1"/>
  <c r="AP49" i="1"/>
  <c r="AD42" i="1"/>
  <c r="BF37" i="1"/>
  <c r="CH32" i="1"/>
  <c r="F28" i="1"/>
  <c r="AH23" i="1"/>
  <c r="BJ18" i="1"/>
  <c r="CL13" i="1"/>
  <c r="J9" i="1"/>
  <c r="AL4" i="1"/>
  <c r="AP150" i="1"/>
  <c r="AT131" i="1"/>
  <c r="AX112" i="1"/>
  <c r="DF83" i="1"/>
  <c r="BQ73" i="1"/>
  <c r="CS68" i="1"/>
  <c r="Q64" i="1"/>
  <c r="AS59" i="1"/>
  <c r="BU54" i="1"/>
  <c r="BI47" i="1"/>
  <c r="CK42" i="1"/>
  <c r="BY35" i="1"/>
  <c r="DA30" i="1"/>
  <c r="CO23" i="1"/>
  <c r="CC16" i="1"/>
  <c r="BQ9" i="1"/>
  <c r="BS10" i="1"/>
  <c r="CD133" i="1"/>
  <c r="CH114" i="1"/>
  <c r="AL86" i="1"/>
  <c r="CN71" i="1"/>
  <c r="CB64" i="1"/>
  <c r="DD59" i="1"/>
  <c r="CR52" i="1"/>
  <c r="CF45" i="1"/>
  <c r="BT38" i="1"/>
  <c r="CV33" i="1"/>
  <c r="AV24" i="1"/>
  <c r="AJ17" i="1"/>
  <c r="X10" i="1"/>
  <c r="AZ5" i="1"/>
  <c r="L16" i="1"/>
  <c r="BK5" i="1"/>
  <c r="CV14" i="1"/>
  <c r="L5" i="1"/>
</calcChain>
</file>

<file path=xl/sharedStrings.xml><?xml version="1.0" encoding="utf-8"?>
<sst xmlns="http://schemas.openxmlformats.org/spreadsheetml/2006/main" count="43074" uniqueCount="139">
  <si>
    <t>Sr.No</t>
  </si>
  <si>
    <t>Company</t>
  </si>
  <si>
    <t>Ticker</t>
  </si>
  <si>
    <t>Year</t>
  </si>
  <si>
    <t>Quarters</t>
  </si>
  <si>
    <t>Return on Common Equity</t>
  </si>
  <si>
    <t>Return on Assets</t>
  </si>
  <si>
    <t>Return on Capital</t>
  </si>
  <si>
    <t>Return on Invested Capital</t>
  </si>
  <si>
    <t>EBITDA Margin</t>
  </si>
  <si>
    <t>Operating Margin</t>
  </si>
  <si>
    <t>Incremental Operating Margin</t>
  </si>
  <si>
    <t>Pretax Margin</t>
  </si>
  <si>
    <t>Income before XO Margin</t>
  </si>
  <si>
    <t>Net Income Margin</t>
  </si>
  <si>
    <t>Net Income to Common Margin</t>
  </si>
  <si>
    <t>Effective Tax Rate</t>
  </si>
  <si>
    <t>Dvd Payout Ratio</t>
  </si>
  <si>
    <t>Sustainable Growth Rate</t>
  </si>
  <si>
    <t>Revenue</t>
  </si>
  <si>
    <t>EBITDA</t>
  </si>
  <si>
    <t>Operating Income</t>
  </si>
  <si>
    <t>Net Income to Common</t>
  </si>
  <si>
    <t>EPS Diluted</t>
  </si>
  <si>
    <t>Dividend per Share</t>
  </si>
  <si>
    <t>Accounts Receivable</t>
  </si>
  <si>
    <t>Inventory</t>
  </si>
  <si>
    <t>Fixed Assets</t>
  </si>
  <si>
    <t>Total Assets</t>
  </si>
  <si>
    <t>Modified Working Capital</t>
  </si>
  <si>
    <t>Working Capital</t>
  </si>
  <si>
    <t>Accounts Payable</t>
  </si>
  <si>
    <t>Short-Term Debt</t>
  </si>
  <si>
    <t>Total Debt</t>
  </si>
  <si>
    <t>Total Equity</t>
  </si>
  <si>
    <t>Capital</t>
  </si>
  <si>
    <t>Book Value per Share</t>
  </si>
  <si>
    <t>Cash From Operations</t>
  </si>
  <si>
    <t>Short and Long Term Debt</t>
  </si>
  <si>
    <t xml:space="preserve">  Short-Term Debt</t>
  </si>
  <si>
    <t xml:space="preserve">  Long Term Debt</t>
  </si>
  <si>
    <t>Total Debt/T12M EBITDA</t>
  </si>
  <si>
    <t>Net Debt/EBITDA</t>
  </si>
  <si>
    <t>Total Debt/EBIT</t>
  </si>
  <si>
    <t>Net Debt/EBIT</t>
  </si>
  <si>
    <t>EBITDA to 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</si>
  <si>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</si>
  <si>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</si>
  <si>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</si>
  <si>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</si>
  <si>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</si>
  <si>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</si>
  <si>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</si>
  <si>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Net Debt/Equity</t>
  </si>
  <si>
    <t>Net Debt/Capital</t>
  </si>
  <si>
    <t>EBITDA-CapEx</t>
  </si>
  <si>
    <t>EBIT</t>
  </si>
  <si>
    <t>Cash Ratio</t>
  </si>
  <si>
    <t>Current Ratio</t>
  </si>
  <si>
    <t>Quick Ratio</t>
  </si>
  <si>
    <t>Altman's Z-Score</t>
  </si>
  <si>
    <t>Accounts Receivable Turnover</t>
  </si>
  <si>
    <t xml:space="preserve">  Days Sales Outstanding</t>
  </si>
  <si>
    <t>Inventory Turnover</t>
  </si>
  <si>
    <t xml:space="preserve">  Days Inventory Outstanding</t>
  </si>
  <si>
    <t>Accounts Payable Turnover</t>
  </si>
  <si>
    <t xml:space="preserve">  Accounts Payable Turnover Days</t>
  </si>
  <si>
    <t>Cash Conversion Cycle</t>
  </si>
  <si>
    <t>Inventory to Cash Days</t>
  </si>
  <si>
    <t>Total Inventory</t>
  </si>
  <si>
    <t xml:space="preserve">  Inventory Raw Materials</t>
  </si>
  <si>
    <t xml:space="preserve">  Inventory In Progress</t>
  </si>
  <si>
    <t xml:space="preserve">  Inventory Finished Goods</t>
  </si>
  <si>
    <t xml:space="preserve">  Other Inventory</t>
  </si>
  <si>
    <t>Power Grid Corporation of India Ltd</t>
  </si>
  <si>
    <t>PWGR IN Equity</t>
  </si>
  <si>
    <t>03/31/2014</t>
  </si>
  <si>
    <t>Yearly</t>
  </si>
  <si>
    <t>Q1</t>
  </si>
  <si>
    <t>Q2</t>
  </si>
  <si>
    <t>Q3</t>
  </si>
  <si>
    <t>Q4</t>
  </si>
  <si>
    <t>03/31/2015</t>
  </si>
  <si>
    <t>03/31/2016</t>
  </si>
  <si>
    <t>03/31/2017</t>
  </si>
  <si>
    <t>03/31/2018</t>
  </si>
  <si>
    <t>Procter &amp; Gamble Hygiene &amp; Health Care Ltd</t>
  </si>
  <si>
    <t>PG IN Equity</t>
  </si>
  <si>
    <t>Reliance Industries Ltd</t>
  </si>
  <si>
    <t>RIL IN Equity</t>
  </si>
  <si>
    <t>SBI Life Insurance Company Ltd</t>
  </si>
  <si>
    <t>SBILIFE IN Equity</t>
  </si>
  <si>
    <t>Shree Cement Ltd</t>
  </si>
  <si>
    <t>SRCM IN Equity</t>
  </si>
  <si>
    <t>Shriram Transport Finance Co Ltd</t>
  </si>
  <si>
    <t>SHTF IN Equity</t>
  </si>
  <si>
    <t>Siemens Ltd</t>
  </si>
  <si>
    <t>SIEM IN Equity</t>
  </si>
  <si>
    <t>State Bank of India</t>
  </si>
  <si>
    <t>SBIN IN Equity</t>
  </si>
  <si>
    <t>Steel Authority of India Ltd</t>
  </si>
  <si>
    <t>SAIL IN Equity</t>
  </si>
  <si>
    <t>Sun Pharmaceutical Industries Ltd</t>
  </si>
  <si>
    <t>SPADV IN Equity</t>
  </si>
  <si>
    <t>Sun TV Network Ltd</t>
  </si>
  <si>
    <t>SUNTV IN Equity</t>
  </si>
  <si>
    <t>Tata Consultancy Services Ltd</t>
  </si>
  <si>
    <t>TCS IN Equity</t>
  </si>
  <si>
    <t>Tata Motors Ltd DVR</t>
  </si>
  <si>
    <t>TTMT IN Equity</t>
  </si>
  <si>
    <t>Tata Motors Ltd</t>
  </si>
  <si>
    <t>Tata Steel Ltd</t>
  </si>
  <si>
    <t>TATA IN Equity</t>
  </si>
  <si>
    <t>Tech Mahindra Ltd</t>
  </si>
  <si>
    <t>TECHM IN Equity</t>
  </si>
  <si>
    <t>The New India Assurance Company Ltd</t>
  </si>
  <si>
    <t>NIACL IN Equity</t>
  </si>
  <si>
    <t>Titan Company Ltd</t>
  </si>
  <si>
    <t>TTAN IN Equity</t>
  </si>
  <si>
    <t>UPL Ltd</t>
  </si>
  <si>
    <t>UPLL IN Equity</t>
  </si>
  <si>
    <t>UltraTech Cement Ltd</t>
  </si>
  <si>
    <t>UTCEM IN Equity</t>
  </si>
  <si>
    <t>United Spirits Ltd</t>
  </si>
  <si>
    <t>UBBL IN Equity</t>
  </si>
  <si>
    <t>Vedanta Ltd</t>
  </si>
  <si>
    <t>VEDL IN Equity</t>
  </si>
  <si>
    <t>Vodafone Idea Ltd</t>
  </si>
  <si>
    <t>IDEA IN Equity</t>
  </si>
  <si>
    <t>Wipro Ltd</t>
  </si>
  <si>
    <t>WPRO IN Equity</t>
  </si>
  <si>
    <t>Yes Bank Ltd</t>
  </si>
  <si>
    <t>YES IN Equity</t>
  </si>
  <si>
    <t>Zee Entertainment Enterprises Ltd</t>
  </si>
  <si>
    <t>Z IN Equity</t>
  </si>
  <si>
    <t>—</t>
  </si>
  <si>
    <t>1 Year Growth</t>
  </si>
  <si>
    <t>5 Year Growth</t>
  </si>
  <si>
    <t>Sequential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</si>
</sst>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" fontId="2" fillId="2" borderId="1">
      <alignment horizontal="right"/>
    </xf>
    <xf numFmtId="164" fontId="2" fillId="2" borderId="1">
      <alignment horizontal="right"/>
    </xf>
    <xf numFmtId="4" fontId="3" fillId="2" borderId="1">
      <alignment horizontal="right"/>
    </xf>
    <xf numFmtId="164" fontId="3" fillId="2" borderId="1">
      <alignment horizontal="right"/>
    </xf>
  </cellStyleXfs>
  <cellXfs count="8">
    <xf numFmtId="0" fontId="0" fillId="0" borderId="0" xfId="0"/>
    <xf numFmtId="0" fontId="1" fillId="0" borderId="0" xfId="0" applyFont="1"/>
    <xf numFmtId="4" fontId="2" fillId="2" borderId="1" xfId="1">
      <alignment horizontal="right"/>
    </xf>
    <xf numFmtId="164" fontId="2" fillId="2" borderId="1" xfId="2">
      <alignment horizontal="right"/>
    </xf>
    <xf numFmtId="4" fontId="2" fillId="2" borderId="1" xfId="3" applyFont="1">
      <alignment horizontal="right"/>
    </xf>
    <xf numFmtId="164" fontId="2" fillId="2" borderId="1" xfId="4" applyFo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fa_data_bold_1_grouped" xfId="4"/>
    <cellStyle name="fa_data_bold_2_grouped" xfId="3"/>
    <cellStyle name="fa_data_standard_1_grouped" xfId="2"/>
    <cellStyle name="fa_data_standard_2_grouped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I652"/>
  <sheetViews>
    <sheetView topLeftCell="A616" workbookViewId="0">
      <selection activeCell="J636" sqref="J636"/>
    </sheetView>
  </sheetViews>
  <sheetFormatPr defaultRowHeight="14.4" x14ac:dyDescent="0.3"/>
  <cols>
    <col min="77" max="77" width="24.109375" bestFit="1" customWidth="1"/>
    <col min="79" max="79" width="15.88671875" bestFit="1" customWidth="1"/>
  </cols>
  <sheetData>
    <row r="2" spans="1:113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19</v>
      </c>
      <c r="AN2" t="s">
        <v>20</v>
      </c>
      <c r="AO2" t="s">
        <v>21</v>
      </c>
      <c r="AP2" t="s">
        <v>22</v>
      </c>
      <c r="AQ2" t="s">
        <v>23</v>
      </c>
      <c r="AR2" t="s">
        <v>24</v>
      </c>
      <c r="AS2" t="s">
        <v>25</v>
      </c>
      <c r="AT2" t="s">
        <v>26</v>
      </c>
      <c r="AU2" t="s">
        <v>27</v>
      </c>
      <c r="AV2" t="s">
        <v>28</v>
      </c>
      <c r="AW2" t="s">
        <v>29</v>
      </c>
      <c r="AX2" t="s">
        <v>30</v>
      </c>
      <c r="AY2" t="s">
        <v>31</v>
      </c>
      <c r="AZ2" t="s">
        <v>32</v>
      </c>
      <c r="BA2" t="s">
        <v>33</v>
      </c>
      <c r="BB2" t="s">
        <v>34</v>
      </c>
      <c r="BC2" t="s">
        <v>35</v>
      </c>
      <c r="BD2" t="s">
        <v>36</v>
      </c>
      <c r="BE2" t="s">
        <v>37</v>
      </c>
      <c r="BF2" t="s">
        <v>19</v>
      </c>
      <c r="BG2" t="s">
        <v>20</v>
      </c>
      <c r="BH2" t="s">
        <v>21</v>
      </c>
      <c r="BI2" t="s">
        <v>22</v>
      </c>
      <c r="BJ2" t="s">
        <v>23</v>
      </c>
      <c r="BK2" t="s">
        <v>24</v>
      </c>
      <c r="BL2" t="s">
        <v>25</v>
      </c>
      <c r="BM2" t="s">
        <v>26</v>
      </c>
      <c r="BN2" t="s">
        <v>27</v>
      </c>
      <c r="BO2" t="s">
        <v>28</v>
      </c>
      <c r="BP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36</v>
      </c>
      <c r="BX2" t="s">
        <v>37</v>
      </c>
      <c r="BY2" t="s">
        <v>38</v>
      </c>
      <c r="BZ2" t="s">
        <v>39</v>
      </c>
      <c r="CA2" t="s">
        <v>40</v>
      </c>
      <c r="CB2" t="s">
        <v>41</v>
      </c>
      <c r="CC2" t="s">
        <v>42</v>
      </c>
      <c r="CD2" t="s">
        <v>43</v>
      </c>
      <c r="CE2" t="s">
        <v>44</v>
      </c>
      <c r="CF2" t="s">
        <v>45</v>
      </c>
      <c r="CG2" t="s">
        <v>46</v>
      </c>
      <c r="CH2" t="s">
        <v>47</v>
      </c>
      <c r="CI2" t="s">
        <v>48</v>
      </c>
      <c r="CJ2" t="s">
        <v>49</v>
      </c>
      <c r="CK2" t="s">
        <v>50</v>
      </c>
      <c r="CL2" t="s">
        <v>51</v>
      </c>
      <c r="CM2" t="s">
        <v>52</v>
      </c>
      <c r="CN2" t="s">
        <v>53</v>
      </c>
      <c r="CO2" t="s">
        <v>54</v>
      </c>
      <c r="CP2" t="s">
        <v>20</v>
      </c>
      <c r="CQ2" t="s">
        <v>55</v>
      </c>
      <c r="CR2" t="s">
        <v>56</v>
      </c>
      <c r="CS2" t="s">
        <v>57</v>
      </c>
      <c r="CT2" t="s">
        <v>58</v>
      </c>
      <c r="CU2" t="s">
        <v>59</v>
      </c>
      <c r="CV2" t="s">
        <v>60</v>
      </c>
      <c r="CW2" t="s">
        <v>61</v>
      </c>
      <c r="CX2" t="s">
        <v>62</v>
      </c>
      <c r="CY2" t="s">
        <v>63</v>
      </c>
      <c r="CZ2" t="s">
        <v>64</v>
      </c>
      <c r="DA2" t="s">
        <v>65</v>
      </c>
      <c r="DB2" t="s">
        <v>66</v>
      </c>
      <c r="DC2" t="s">
        <v>67</v>
      </c>
      <c r="DD2" t="s">
        <v>68</v>
      </c>
      <c r="DE2" t="s">
        <v>69</v>
      </c>
      <c r="DF2" t="s">
        <v>70</v>
      </c>
      <c r="DG2" t="s">
        <v>71</v>
      </c>
      <c r="DH2" t="s">
        <v>72</v>
      </c>
      <c r="DI2" t="s">
        <v>73</v>
      </c>
    </row>
    <row r="3" spans="1:113" x14ac:dyDescent="0.3">
      <c r="A3" s="6">
        <v>76</v>
      </c>
      <c r="B3" s="6" t="s">
        <v>74</v>
      </c>
      <c r="C3" s="6" t="s">
        <v>75</v>
      </c>
      <c r="D3" s="6" t="s">
        <v>76</v>
      </c>
      <c r="E3" t="s">
        <v>77</v>
      </c>
      <c r="F3" t="e">
        <f ca="1">_xll.BDH($C$3,"RETURN_COM_EQY","FY 2014","FY 2014","Currency=INR","Period=FY","BEST_FPERIOD_OVERRIDE=FY","FILING_STATUS=OR","EQY_CONSOLIDATED=Y","FA_ADJUSTED=GAAP","Sort=A","Dates=H","DateFormat=P","Fill=—","Direction=H","UseDPDF=Y")</f>
        <v>#NAME?</v>
      </c>
      <c r="G3" t="e">
        <f ca="1">_xll.BDH($C$3,"RETURN_ON_ASSET","FY 2014","FY 2014","Currency=INR","Period=FY","BEST_FPERIOD_OVERRIDE=FY","FILING_STATUS=OR","EQY_CONSOLIDATED=Y","FA_ADJUSTED=GAAP","Sort=A","Dates=H","DateFormat=P","Fill=—","Direction=H","UseDPDF=Y")</f>
        <v>#NAME?</v>
      </c>
      <c r="H3" t="e">
        <f ca="1">_xll.BDH($C$3,"RETURN_ON_CAP","FY 2014","FY 2014","Currency=INR","Period=FY","BEST_FPERIOD_OVERRIDE=FY","FILING_STATUS=OR","EQY_CONSOLIDATED=Y","FA_ADJUSTED=GAAP","Sort=A","Dates=H","DateFormat=P","Fill=—","Direction=H","UseDPDF=Y")</f>
        <v>#NAME?</v>
      </c>
      <c r="I3" t="e">
        <f ca="1">_xll.BDH($C$3,"RETURN_ON_INV_CAPITAL","FY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" t="e">
        <f ca="1">_xll.BDH($C$3,"EBITDA_TO_REVENUE","FY 2014","FY 2014","Currency=INR","Period=FY","BEST_FPERIOD_OVERRIDE=FY","FILING_STATUS=OR","EQY_CONSOLIDATED=Y","FA_ADJUSTED=GAAP","Sort=A","Dates=H","DateFormat=P","Fill=—","Direction=H","UseDPDF=Y")</f>
        <v>#NAME?</v>
      </c>
      <c r="K3" t="e">
        <f ca="1">_xll.BDH($C$3,"OPER_MARGIN","FY 2014","FY 2014","Currency=INR","Period=FY","BEST_FPERIOD_OVERRIDE=FY","FILING_STATUS=OR","EQY_CONSOLIDATED=Y","FA_ADJUSTED=GAAP","Sort=A","Dates=H","DateFormat=P","Fill=—","Direction=H","UseDPDF=Y")</f>
        <v>#NAME?</v>
      </c>
      <c r="L3" t="e">
        <f ca="1">_xll.BDH($C$3,"INCREMENTAL_OPERATING_MARGIN","FY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" t="e">
        <f ca="1">_xll.BDH($C$3,"PRETAX_INC_TO_NET_SALES","FY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" t="e">
        <f ca="1">_xll.BDH($C$3,"INC_BEF_XO_ITEMS_TO_NET_SALES","FY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" t="e">
        <f ca="1">_xll.BDH($C$3,"PROF_MARGIN","FY 2014","FY 2014","Currency=INR","Period=FY","BEST_FPERIOD_OVERRIDE=FY","FILING_STATUS=OR","EQY_CONSOLIDATED=Y","FA_ADJUSTED=GAAP","Sort=A","Dates=H","DateFormat=P","Fill=—","Direction=H","UseDPDF=Y")</f>
        <v>#NAME?</v>
      </c>
      <c r="P3" t="e">
        <f ca="1">_xll.BDH($C$3,"NET_INCOME_TO_COMMON_MARGIN","FY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" t="e">
        <f ca="1">_xll.BDH($C$3,"EFF_TAX_RATE","FY 2014","FY 2014","Currency=INR","Period=FY","BEST_FPERIOD_OVERRIDE=FY","FILING_STATUS=OR","EQY_CONSOLIDATED=Y","FA_ADJUSTED=GAAP","Sort=A","Dates=H","DateFormat=P","Fill=—","Direction=H","UseDPDF=Y")</f>
        <v>#NAME?</v>
      </c>
      <c r="R3" t="e">
        <f ca="1">_xll.BDH($C$3,"DVD_PAYOUT_RATIO","FY 2014","FY 2014","Currency=INR","Period=FY","BEST_FPERIOD_OVERRIDE=FY","FILING_STATUS=OR","EQY_CONSOLIDATED=Y","FA_ADJUSTED=GAAP","Sort=A","Dates=H","DateFormat=P","Fill=—","Direction=H","UseDPDF=Y")</f>
        <v>#NAME?</v>
      </c>
      <c r="S3" t="e">
        <f ca="1">_xll.BDH($C$3,"SUSTAIN_GROWTH_RT","FY 2014","FY 2014","Currency=INR","Period=FY","BEST_FPERIOD_OVERRIDE=FY","FILING_STATUS=OR","EQY_CONSOLIDATED=Y","FA_ADJUSTED=GAAP","Sort=A","Dates=H","DateFormat=P","Fill=—","Direction=H","UseDPDF=Y")</f>
        <v>#NAME?</v>
      </c>
      <c r="T3" s="2" t="e">
        <f ca="1">_xll.BDH($C$3,"SALES_GROWTH","FY 2014","FY 2014","Currency=INR","Period=FY","BEST_FPERIOD_OVERRIDE=FY","FILING_STATUS=OR","EQY_CONSOLIDATED=Y","FA_ADJUSTED=GAAP","Sort=A","Dates=H","DateFormat=P","Fill=—","Direction=H","UseDPDF=Y")</f>
        <v>#NAME?</v>
      </c>
      <c r="U3" s="2" t="e">
        <f ca="1">_xll.BDH($C$3,"EBITDA_GROWTH","FY 2014","FY 2014","Currency=INR","Period=FY","BEST_FPERIOD_OVERRIDE=FY","FILING_STATUS=OR","EQY_CONSOLIDATED=Y","FA_ADJUSTED=GAAP","Sort=A","Dates=H","DateFormat=P","Fill=—","Direction=H","UseDPDF=Y")</f>
        <v>#NAME?</v>
      </c>
      <c r="V3" s="2" t="e">
        <f ca="1">_xll.BDH($C$3,"OPER_INC_GROWTH","FY 2014","FY 2014","Currency=INR","Period=FY","BEST_FPERIOD_OVERRIDE=FY","FILING_STATUS=OR","EQY_CONSOLIDATED=Y","FA_ADJUSTED=GAAP","Sort=A","Dates=H","DateFormat=P","Fill=—","Direction=H","UseDPDF=Y")</f>
        <v>#NAME?</v>
      </c>
      <c r="W3" s="2" t="e">
        <f ca="1">_xll.BDH($C$3,"EARN_FOR_COM_GROWTH","FY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" s="2" t="e">
        <f ca="1">_xll.BDH($C$3,"DILUTED_EPS_AFT_XO_ITEMS_GROWTH","FY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" s="2" t="e">
        <f ca="1">_xll.BDH($C$3,"DIVIDEND_PER_SHARE_1_YEAR_GROWTH","FY 2014","FY 2014","Currency=INR","Period=FY","BEST_FPERIOD_OVERRIDE=FY","FILING_STATUS=OR","EQY_CONSOLIDATED=Y","Sort=A","Dates=H","DateFormat=P","Fill=—","Direction=H","UseDPDF=Y")</f>
        <v>#NAME?</v>
      </c>
      <c r="Z3" s="2" t="e">
        <f ca="1">_xll.BDH($C$3,"ACCOUNTS_RECEIVABLE_GROWTH","FY 2014","FY 2014","Currency=INR","Period=FY","BEST_FPERIOD_OVERRIDE=FY","FILING_STATUS=OR","EQY_CONSOLIDATED=Y","Sort=A","Dates=H","DateFormat=P","Fill=—","Direction=H","UseDPDF=Y")</f>
        <v>#NAME?</v>
      </c>
      <c r="AA3" s="2" t="e">
        <f ca="1">_xll.BDH($C$3,"INVENTORY_GROWTH","FY 2014","FY 2014","Currency=INR","Period=FY","BEST_FPERIOD_OVERRIDE=FY","FILING_STATUS=OR","EQY_CONSOLIDATED=Y","Sort=A","Dates=H","DateFormat=P","Fill=—","Direction=H","UseDPDF=Y")</f>
        <v>#NAME?</v>
      </c>
      <c r="AB3" s="2" t="e">
        <f ca="1">_xll.BDH($C$3,"NET_FIXED_ASSETS_1_YEAR_GROWTH","FY 2014","FY 2014","Currency=INR","Period=FY","BEST_FPERIOD_OVERRIDE=FY","FILING_STATUS=OR","EQY_CONSOLIDATED=Y","Sort=A","Dates=H","DateFormat=P","Fill=—","Direction=H","UseDPDF=Y")</f>
        <v>#NAME?</v>
      </c>
      <c r="AC3" s="2" t="e">
        <f ca="1">_xll.BDH($C$3,"ASSET_GROWTH","FY 2014","FY 2014","Currency=INR","Period=FY","BEST_FPERIOD_OVERRIDE=FY","FILING_STATUS=OR","EQY_CONSOLIDATED=Y","Sort=A","Dates=H","DateFormat=P","Fill=—","Direction=H","UseDPDF=Y")</f>
        <v>#NAME?</v>
      </c>
      <c r="AD3" s="2" t="e">
        <f ca="1">_xll.BDH($C$3,"MODIFIED_WORK_CAP_GROWTH","FY 2014","FY 2014","Currency=INR","Period=FY","BEST_FPERIOD_OVERRIDE=FY","FILING_STATUS=OR","EQY_CONSOLIDATED=Y","Sort=A","Dates=H","DateFormat=P","Fill=—","Direction=H","UseDPDF=Y")</f>
        <v>#NAME?</v>
      </c>
      <c r="AE3" s="2" t="e">
        <f ca="1">_xll.BDH($C$3,"WORK_CAP_GROWTH","FY 2014","FY 2014","Currency=INR","Period=FY","BEST_FPERIOD_OVERRIDE=FY","FILING_STATUS=OR","EQY_CONSOLIDATED=Y","Sort=A","Dates=H","DateFormat=P","Fill=—","Direction=H","UseDPDF=Y")</f>
        <v>#NAME?</v>
      </c>
      <c r="AF3" s="2" t="e">
        <f ca="1">_xll.BDH($C$3,"ACCOUNTS_PAYABLE_GROWTH_1YR","FY 2014","FY 2014","Currency=INR","Period=FY","BEST_FPERIOD_OVERRIDE=FY","FILING_STATUS=OR","EQY_CONSOLIDATED=Y","Sort=A","Dates=H","DateFormat=P","Fill=—","Direction=H","UseDPDF=Y")</f>
        <v>#NAME?</v>
      </c>
      <c r="AG3" s="2" t="e">
        <f ca="1">_xll.BDH($C$3,"SHORT_TERM_DEBT_1_YEAR_GROWTH","FY 2014","FY 2014","Currency=INR","Period=FY","BEST_FPERIOD_OVERRIDE=FY","FILING_STATUS=OR","EQY_CONSOLIDATED=Y","Sort=A","Dates=H","DateFormat=P","Fill=—","Direction=H","UseDPDF=Y")</f>
        <v>#NAME?</v>
      </c>
      <c r="AH3" s="2" t="e">
        <f ca="1">_xll.BDH($C$3,"TOTAL_DEBT_1_YEAR_GROWTH","FY 2014","FY 2014","Currency=INR","Period=FY","BEST_FPERIOD_OVERRIDE=FY","FILING_STATUS=OR","EQY_CONSOLIDATED=Y","Sort=A","Dates=H","DateFormat=P","Fill=—","Direction=H","UseDPDF=Y")</f>
        <v>#NAME?</v>
      </c>
      <c r="AI3" s="2" t="e">
        <f ca="1">_xll.BDH($C$3,"TOTAL_EQUITY_1_YEAR_GROWTH","FY 2014","FY 2014","Currency=INR","Period=FY","BEST_FPERIOD_OVERRIDE=FY","FILING_STATUS=OR","EQY_CONSOLIDATED=Y","Sort=A","Dates=H","DateFormat=P","Fill=—","Direction=H","UseDPDF=Y")</f>
        <v>#NAME?</v>
      </c>
      <c r="AJ3" s="2" t="e">
        <f ca="1">_xll.BDH($C$3,"GROWTH_IN_CAP","FY 2014","FY 2014","Currency=INR","Period=FY","BEST_FPERIOD_OVERRIDE=FY","FILING_STATUS=OR","EQY_CONSOLIDATED=Y","Sort=A","Dates=H","DateFormat=P","Fill=—","Direction=H","UseDPDF=Y")</f>
        <v>#NAME?</v>
      </c>
      <c r="AK3" s="2" t="e">
        <f ca="1">_xll.BDH($C$3,"BVPS_GROWTH","FY 2014","FY 2014","Currency=INR","Period=FY","BEST_FPERIOD_OVERRIDE=FY","FILING_STATUS=OR","EQY_CONSOLIDATED=Y","Sort=A","Dates=H","DateFormat=P","Fill=—","Direction=H","UseDPDF=Y")</f>
        <v>#NAME?</v>
      </c>
      <c r="AL3" s="2" t="e">
        <f ca="1">_xll.BDH($C$3,"CASH_FLOW_GROWTH","FY 2014","FY 2014","Currency=INR","Period=FY","BEST_FPERIOD_OVERRIDE=FY","FILING_STATUS=OR","EQY_CONSOLIDATED=Y","Sort=A","Dates=H","DateFormat=P","Fill=—","Direction=H","UseDPDF=Y")</f>
        <v>#NAME?</v>
      </c>
      <c r="AM3" s="2" t="e">
        <f ca="1">_xll.BDH($C$3,"GEO_GROW_NET_SALES","FY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" s="2" t="e">
        <f ca="1">_xll.BDH($C$3,"GEO_GROW_EBITDA","FY 2014","FY 2014","Currency=INR","Period=FY","BEST_FPERIOD_OVERRIDE=FY","FILING_STATUS=OR","EQY_CONSOLIDATED=Y","FA_ADJUSTED=GAAP","Sort=A","Dates=H","DateFormat=P","Fill=—","Direction=H","UseDPDF=Y")</f>
        <v>#NAME?</v>
      </c>
      <c r="AO3" s="2" t="e">
        <f ca="1">_xll.BDH($C$3,"GEO_GROW_OPER_INC","FY 2014","FY 2014","Currency=INR","Period=FY","BEST_FPERIOD_OVERRIDE=FY","FILING_STATUS=OR","EQY_CONSOLIDATED=Y","FA_ADJUSTED=GAAP","Sort=A","Dates=H","DateFormat=P","Fill=—","Direction=H","UseDPDF=Y")</f>
        <v>#NAME?</v>
      </c>
      <c r="AP3" s="2" t="e">
        <f ca="1">_xll.BDH($C$3,"NET_INCOME_TO_COMMON_5_YR_GROWTH","FY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" s="2" t="e">
        <f ca="1">_xll.BDH($C$3,"5Y_GEO_GROWTH_DILUTED_EPS","FY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" s="2" t="e">
        <f ca="1">_xll.BDH($C$3,"GEO_GROW_DVD_PER_SH","FY 2014","FY 2014","Currency=INR","Period=FY","BEST_FPERIOD_OVERRIDE=FY","FILING_STATUS=OR","EQY_CONSOLIDATED=Y","Sort=A","Dates=H","DateFormat=P","Fill=—","Direction=H","UseDPDF=Y")</f>
        <v>#NAME?</v>
      </c>
      <c r="AS3" s="2" t="e">
        <f ca="1">_xll.BDH($C$3,"ACCOUNTS_RECEIVABLE_5_YR_GROWTH","FY 2014","FY 2014","Currency=INR","Period=FY","BEST_FPERIOD_OVERRIDE=FY","FILING_STATUS=OR","EQY_CONSOLIDATED=Y","Sort=A","Dates=H","DateFormat=P","Fill=—","Direction=H","UseDPDF=Y")</f>
        <v>#NAME?</v>
      </c>
      <c r="AT3" s="2" t="e">
        <f ca="1">_xll.BDH($C$3,"INVENTORY_5_YEAR_GROWTH","FY 2014","FY 2014","Currency=INR","Period=FY","BEST_FPERIOD_OVERRIDE=FY","FILING_STATUS=OR","EQY_CONSOLIDATED=Y","Sort=A","Dates=H","DateFormat=P","Fill=—","Direction=H","UseDPDF=Y")</f>
        <v>#NAME?</v>
      </c>
      <c r="AU3" s="2" t="e">
        <f ca="1">_xll.BDH($C$3,"NET_FIXED_ASSETS_5_YEAR_GROWTH","FY 2014","FY 2014","Currency=INR","Period=FY","BEST_FPERIOD_OVERRIDE=FY","FILING_STATUS=OR","EQY_CONSOLIDATED=Y","Sort=A","Dates=H","DateFormat=P","Fill=—","Direction=H","UseDPDF=Y")</f>
        <v>#NAME?</v>
      </c>
      <c r="AV3" s="2" t="e">
        <f ca="1">_xll.BDH($C$3,"GEO_GROW_TOT_ASSET","FY 2014","FY 2014","Currency=INR","Period=FY","BEST_FPERIOD_OVERRIDE=FY","FILING_STATUS=OR","EQY_CONSOLIDATED=Y","Sort=A","Dates=H","DateFormat=P","Fill=—","Direction=H","UseDPDF=Y")</f>
        <v>#NAME?</v>
      </c>
      <c r="AW3" s="2" t="e">
        <f ca="1">_xll.BDH($C$3,"MODIFIED_WORKING_CPTL_5YR_GRWTH","FY 2014","FY 2014","Currency=INR","Period=FY","BEST_FPERIOD_OVERRIDE=FY","FILING_STATUS=OR","EQY_CONSOLIDATED=Y","Sort=A","Dates=H","DateFormat=P","Fill=—","Direction=H","UseDPDF=Y")</f>
        <v>#NAME?</v>
      </c>
      <c r="AX3" s="2" t="e">
        <f ca="1">_xll.BDH($C$3,"WORKING_CAPITAL_5_YEAR_GROWTH","FY 2014","FY 2014","Currency=INR","Period=FY","BEST_FPERIOD_OVERRIDE=FY","FILING_STATUS=OR","EQY_CONSOLIDATED=Y","Sort=A","Dates=H","DateFormat=P","Fill=—","Direction=H","UseDPDF=Y")</f>
        <v>#NAME?</v>
      </c>
      <c r="AY3" s="2" t="e">
        <f ca="1">_xll.BDH($C$3,"ACCOUNTS_PAYABLE_5_YEAR_GROWTH","FY 2014","FY 2014","Currency=INR","Period=FY","BEST_FPERIOD_OVERRIDE=FY","FILING_STATUS=OR","EQY_CONSOLIDATED=Y","Sort=A","Dates=H","DateFormat=P","Fill=—","Direction=H","UseDPDF=Y")</f>
        <v>#NAME?</v>
      </c>
      <c r="AZ3" s="2" t="e">
        <f ca="1">_xll.BDH($C$3,"SHORT_TERM_DEBT_5_YEAR_GROWTH","FY 2014","FY 2014","Currency=INR","Period=FY","BEST_FPERIOD_OVERRIDE=FY","FILING_STATUS=OR","EQY_CONSOLIDATED=Y","Sort=A","Dates=H","DateFormat=P","Fill=—","Direction=H","UseDPDF=Y")</f>
        <v>#NAME?</v>
      </c>
      <c r="BA3" s="2" t="e">
        <f ca="1">_xll.BDH($C$3,"TOTAL_DEBT_5_YEAR_GROWTH","FY 2014","FY 2014","Currency=INR","Period=FY","BEST_FPERIOD_OVERRIDE=FY","FILING_STATUS=OR","EQY_CONSOLIDATED=Y","Sort=A","Dates=H","DateFormat=P","Fill=—","Direction=H","UseDPDF=Y")</f>
        <v>#NAME?</v>
      </c>
      <c r="BB3" s="2" t="e">
        <f ca="1">_xll.BDH($C$3,"GEO_GROW_TOT_SHRHLDR_EQY","FY 2014","FY 2014","Currency=INR","Period=FY","BEST_FPERIOD_OVERRIDE=FY","FILING_STATUS=OR","EQY_CONSOLIDATED=Y","Sort=A","Dates=H","DateFormat=P","Fill=—","Direction=H","UseDPDF=Y")</f>
        <v>#NAME?</v>
      </c>
      <c r="BC3" s="2" t="e">
        <f ca="1">_xll.BDH($C$3,"TOTAL_CAPITAL_5_YEAR_GROWTH","FY 2014","FY 2014","Currency=INR","Period=FY","BEST_FPERIOD_OVERRIDE=FY","FILING_STATUS=OR","EQY_CONSOLIDATED=Y","Sort=A","Dates=H","DateFormat=P","Fill=—","Direction=H","UseDPDF=Y")</f>
        <v>#NAME?</v>
      </c>
      <c r="BD3" s="2" t="e">
        <f ca="1">_xll.BDH($C$3,"GEO_GROW_BOOK_VAL","FY 2014","FY 2014","Currency=INR","Period=FY","BEST_FPERIOD_OVERRIDE=FY","FILING_STATUS=OR","EQY_CONSOLIDATED=Y","Sort=A","Dates=H","DateFormat=P","Fill=—","Direction=H","UseDPDF=Y")</f>
        <v>#NAME?</v>
      </c>
      <c r="BE3" s="2" t="e">
        <f ca="1">_xll.BDH($C$3,"GEO_GROW_CASH_OPER_ACT","FY 2014","FY 2014","Currency=INR","Period=FY","BEST_FPERIOD_OVERRIDE=FY","FILING_STATUS=OR","EQY_CONSOLIDATED=Y","Sort=A","Dates=H","DateFormat=P","Fill=—","Direction=H","UseDPDF=Y")</f>
        <v>#NAME?</v>
      </c>
      <c r="BF3" s="2" t="e">
        <f ca="1">_xll.BDH($C$3,"REVENUE_SEQUENTIAL_GROWTH","FY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" s="2" t="e">
        <f ca="1">_xll.BDH($C$3,"EBITDA_SEQUENTIAL_GROWTH","FY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" s="2" t="e">
        <f ca="1">_xll.BDH($C$3,"OPERATING_INCOME_SEQ_GROWTH","FY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" s="2" t="e">
        <f ca="1">_xll.BDH($C$3,"NET_INCOME_TO_COMMON_SEQ_GROWTH","FY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" s="2" t="e">
        <f ca="1">_xll.BDH($C$3,"EPS_DILUTED_SEQUENTIAL_GROWTH","FY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" s="2" t="e">
        <f ca="1">_xll.BDH($C$3,"DPS_SEQUENTIAL_GROWTH","FY 2014","FY 2014","Currency=INR","Period=FY","BEST_FPERIOD_OVERRIDE=FY","FILING_STATUS=OR","EQY_CONSOLIDATED=Y","Sort=A","Dates=H","DateFormat=P","Fill=—","Direction=H","UseDPDF=Y")</f>
        <v>#NAME?</v>
      </c>
      <c r="BL3" s="2" t="e">
        <f ca="1">_xll.BDH($C$3,"ACCOUNTS_RECEIVABLE_SEQ_GROWTH","FY 2014","FY 2014","Currency=INR","Period=FY","BEST_FPERIOD_OVERRIDE=FY","FILING_STATUS=OR","EQY_CONSOLIDATED=Y","Sort=A","Dates=H","DateFormat=P","Fill=—","Direction=H","UseDPDF=Y")</f>
        <v>#NAME?</v>
      </c>
      <c r="BM3" s="2" t="e">
        <f ca="1">_xll.BDH($C$3,"INVENTORY_SEQUENTIAL_GROWTH","FY 2014","FY 2014","Currency=INR","Period=FY","BEST_FPERIOD_OVERRIDE=FY","FILING_STATUS=OR","EQY_CONSOLIDATED=Y","Sort=A","Dates=H","DateFormat=P","Fill=—","Direction=H","UseDPDF=Y")</f>
        <v>#NAME?</v>
      </c>
      <c r="BN3" s="2" t="e">
        <f ca="1">_xll.BDH($C$3,"FIXED_ASSETS_SEQUENTIAL_GROWTH","FY 2014","FY 2014","Currency=INR","Period=FY","BEST_FPERIOD_OVERRIDE=FY","FILING_STATUS=OR","EQY_CONSOLIDATED=Y","Sort=A","Dates=H","DateFormat=P","Fill=—","Direction=H","UseDPDF=Y")</f>
        <v>#NAME?</v>
      </c>
      <c r="BO3" s="2" t="e">
        <f ca="1">_xll.BDH($C$3,"TOTAL_ASSETS_SEQUENTIAL_GROWTH","FY 2014","FY 2014","Currency=INR","Period=FY","BEST_FPERIOD_OVERRIDE=FY","FILING_STATUS=OR","EQY_CONSOLIDATED=Y","Sort=A","Dates=H","DateFormat=P","Fill=—","Direction=H","UseDPDF=Y")</f>
        <v>#NAME?</v>
      </c>
      <c r="BP3" s="2" t="e">
        <f ca="1">_xll.BDH($C$3,"MODIFIED_WORKING_CPTL_SEQ_GRWTH","FY 2014","FY 2014","Currency=INR","Period=FY","BEST_FPERIOD_OVERRIDE=FY","FILING_STATUS=OR","EQY_CONSOLIDATED=Y","Sort=A","Dates=H","DateFormat=P","Fill=—","Direction=H","UseDPDF=Y")</f>
        <v>#NAME?</v>
      </c>
      <c r="BQ3" s="2" t="e">
        <f ca="1">_xll.BDH($C$3,"WORKING_CAPITAL_SEQ_GROWTH","FY 2014","FY 2014","Currency=INR","Period=FY","BEST_FPERIOD_OVERRIDE=FY","FILING_STATUS=OR","EQY_CONSOLIDATED=Y","Sort=A","Dates=H","DateFormat=P","Fill=—","Direction=H","UseDPDF=Y")</f>
        <v>#NAME?</v>
      </c>
      <c r="BR3" s="2" t="e">
        <f ca="1">_xll.BDH($C$3,"ACCOUNTS_PAYABLE_SEQ_GROWTH","FY 2014","FY 2014","Currency=INR","Period=FY","BEST_FPERIOD_OVERRIDE=FY","FILING_STATUS=OR","EQY_CONSOLIDATED=Y","Sort=A","Dates=H","DateFormat=P","Fill=—","Direction=H","UseDPDF=Y")</f>
        <v>#NAME?</v>
      </c>
      <c r="BS3" s="2" t="e">
        <f ca="1">_xll.BDH($C$3,"ST_DEBT_SEQUENTIAL_GROWTH","FY 2014","FY 2014","Currency=INR","Period=FY","BEST_FPERIOD_OVERRIDE=FY","FILING_STATUS=OR","EQY_CONSOLIDATED=Y","Sort=A","Dates=H","DateFormat=P","Fill=—","Direction=H","UseDPDF=Y")</f>
        <v>#NAME?</v>
      </c>
      <c r="BT3" s="2" t="e">
        <f ca="1">_xll.BDH($C$3,"TOTAL_DEBT_SEQUENTIAL_GROWTH","FY 2014","FY 2014","Currency=INR","Period=FY","BEST_FPERIOD_OVERRIDE=FY","FILING_STATUS=OR","EQY_CONSOLIDATED=Y","Sort=A","Dates=H","DateFormat=P","Fill=—","Direction=H","UseDPDF=Y")</f>
        <v>#NAME?</v>
      </c>
      <c r="BU3" s="2" t="e">
        <f ca="1">_xll.BDH($C$3,"TOTAL_EQUITY_SEQUENTIAL_GROWTH","FY 2014","FY 2014","Currency=INR","Period=FY","BEST_FPERIOD_OVERRIDE=FY","FILING_STATUS=OR","EQY_CONSOLIDATED=Y","Sort=A","Dates=H","DateFormat=P","Fill=—","Direction=H","UseDPDF=Y")</f>
        <v>#NAME?</v>
      </c>
      <c r="BV3" s="2" t="e">
        <f ca="1">_xll.BDH($C$3,"TOTAL_CAPITAL_SEQUENTIAL_GROWTH","FY 2014","FY 2014","Currency=INR","Period=FY","BEST_FPERIOD_OVERRIDE=FY","FILING_STATUS=OR","EQY_CONSOLIDATED=Y","Sort=A","Dates=H","DateFormat=P","Fill=—","Direction=H","UseDPDF=Y")</f>
        <v>#NAME?</v>
      </c>
      <c r="BW3" s="2" t="e">
        <f ca="1">_xll.BDH($C$3,"BPS_SEQUENTIAL_GROWTH","FY 2014","FY 2014","Currency=INR","Period=FY","BEST_FPERIOD_OVERRIDE=FY","FILING_STATUS=OR","EQY_CONSOLIDATED=Y","Sort=A","Dates=H","DateFormat=P","Fill=—","Direction=H","UseDPDF=Y")</f>
        <v>#NAME?</v>
      </c>
      <c r="BX3" s="2" t="e">
        <f ca="1">_xll.BDH($C$3,"CFO_SEQUENTIAL_GROWTH","FY 2014","FY 2014","Currency=INR","Period=FY","BEST_FPERIOD_OVERRIDE=FY","FILING_STATUS=OR","EQY_CONSOLIDATED=Y","Sort=A","Dates=H","DateFormat=P","Fill=—","Direction=H","UseDPDF=Y")</f>
        <v>#NAME?</v>
      </c>
      <c r="BY3" s="3" t="e">
        <f ca="1">_xll.BDH($C$3,"SHORT_AND_LONG_TERM_DEBT","FY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" s="3" t="e">
        <f ca="1">_xll.BDH($C$3,"BS_ST_BORROW","FY 2014","FY 2014","Currency=INR","Period=FY","BEST_FPERIOD_OVERRIDE=FY","FILING_STATUS=OR","EQY_CONSOLIDATED=Y","SCALING_FORMAT=MLN","Sort=A","Dates=H","DateFormat=P","Fill=—","Direction=H","UseDPDF=Y")</f>
        <v>#NAME?</v>
      </c>
      <c r="CA3" s="3" t="e">
        <f ca="1">_xll.BDH($C$3,"BS_LT_BORROW","FY 2014","FY 2014","Currency=INR","Period=FY","BEST_FPERIOD_OVERRIDE=FY","FILING_STATUS=OR","EQY_CONSOLIDATED=Y","SCALING_FORMAT=MLN","Sort=A","Dates=H","DateFormat=P","Fill=—","Direction=H","UseDPDF=Y")</f>
        <v>#NAME?</v>
      </c>
      <c r="CB3" s="2" t="e">
        <f ca="1">_xll.BDH($C$3,"TOT_DEBT_TO_EBITDA","FY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" s="2" t="e">
        <f ca="1">_xll.BDH($C$3,"NET_DEBT_TO_EBITDA","FY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" s="2" t="e">
        <f ca="1">_xll.BDH($C$3,"TOTAL_DEBT_TO_EBIT","FY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" s="2" t="e">
        <f ca="1">_xll.BDH($C$3,"NET_DEBT_TO_EBIT","FY 2014","FY 2014","Currency=INR","Period=FY","BEST_FPERIOD_OVERRIDE=FY","FILING_STATUS=OR","EQY_CONSOLIDATED=Y","FA_ADJUSTED=GAAP","Sort=A","Dates=H","DateFormat=P","Fill=—","Direction=H","UseDPDF=Y")</f>
        <v>#NAME?</v>
      </c>
      <c r="CF3" s="2" t="e">
        <f ca="1">_xll.BDH($C$3,"EBITDA_TO_INTEREST_EXPN","FY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" s="2" t="e">
        <f ca="1">_xll.BDH($C$3,"COM_EQY_TO_TOT_ASSET","FY 2014","FY 2014","Currency=INR","Period=FY","BEST_FPERIOD_OVERRIDE=FY","FILING_STATUS=OR","EQY_CONSOLIDATED=Y","Sort=A","Dates=H","DateFormat=P","Fill=—","Direction=H","UseDPDF=Y")</f>
        <v>#NAME?</v>
      </c>
      <c r="CH3" s="2" t="e">
        <f ca="1">_xll.BDH($C$3,"LT_DEBT_TO_TOT_EQY","FY 2014","FY 2014","Currency=INR","Period=FY","BEST_FPERIOD_OVERRIDE=FY","FILING_STATUS=OR","EQY_CONSOLIDATED=Y","Sort=A","Dates=H","DateFormat=P","Fill=—","Direction=H","UseDPDF=Y")</f>
        <v>#NAME?</v>
      </c>
      <c r="CI3" s="2" t="e">
        <f ca="1">_xll.BDH($C$3,"LT_DEBT_TO_TOT_CAP","FY 2014","FY 2014","Currency=INR","Period=FY","BEST_FPERIOD_OVERRIDE=FY","FILING_STATUS=OR","EQY_CONSOLIDATED=Y","Sort=A","Dates=H","DateFormat=P","Fill=—","Direction=H","UseDPDF=Y")</f>
        <v>#NAME?</v>
      </c>
      <c r="CJ3" s="2" t="e">
        <f ca="1">_xll.BDH($C$3,"LT_DEBT_TO_TOT_ASSET","FY 2014","FY 2014","Currency=INR","Period=FY","BEST_FPERIOD_OVERRIDE=FY","FILING_STATUS=OR","EQY_CONSOLIDATED=Y","Sort=A","Dates=H","DateFormat=P","Fill=—","Direction=H","UseDPDF=Y")</f>
        <v>#NAME?</v>
      </c>
      <c r="CK3" s="2" t="e">
        <f ca="1">_xll.BDH($C$3,"TOT_DEBT_TO_TOT_EQY","FY 2014","FY 2014","Currency=INR","Period=FY","BEST_FPERIOD_OVERRIDE=FY","FILING_STATUS=OR","EQY_CONSOLIDATED=Y","Sort=A","Dates=H","DateFormat=P","Fill=—","Direction=H","UseDPDF=Y")</f>
        <v>#NAME?</v>
      </c>
      <c r="CL3" s="2" t="e">
        <f ca="1">_xll.BDH($C$3,"TOT_DEBT_TO_TOT_CAP","FY 2014","FY 2014","Currency=INR","Period=FY","BEST_FPERIOD_OVERRIDE=FY","FILING_STATUS=OR","EQY_CONSOLIDATED=Y","Sort=A","Dates=H","DateFormat=P","Fill=—","Direction=H","UseDPDF=Y")</f>
        <v>#NAME?</v>
      </c>
      <c r="CM3" s="2" t="e">
        <f ca="1">_xll.BDH($C$3,"TOT_DEBT_TO_TOT_ASSET","FY 2014","FY 2014","Currency=INR","Period=FY","BEST_FPERIOD_OVERRIDE=FY","FILING_STATUS=OR","EQY_CONSOLIDATED=Y","Sort=A","Dates=H","DateFormat=P","Fill=—","Direction=H","UseDPDF=Y")</f>
        <v>#NAME?</v>
      </c>
      <c r="CN3" s="2" t="e">
        <f ca="1">_xll.BDH($C$3,"NET_DEBT_TO_SHRHLDR_EQTY","FY 2014","FY 2014","Currency=INR","Period=FY","BEST_FPERIOD_OVERRIDE=FY","FILING_STATUS=OR","EQY_CONSOLIDATED=Y","Sort=A","Dates=H","DateFormat=P","Fill=—","Direction=H","UseDPDF=Y")</f>
        <v>#NAME?</v>
      </c>
      <c r="CO3" s="2" t="e">
        <f ca="1">_xll.BDH($C$3,"NET_DEBT_%_CAPITAL","FY 2014","FY 2014","Currency=INR","Period=FY","BEST_FPERIOD_OVERRIDE=FY","FILING_STATUS=OR","EQY_CONSOLIDATED=Y","Sort=A","Dates=H","DateFormat=P","Fill=—","Direction=H","UseDPDF=Y")</f>
        <v>#NAME?</v>
      </c>
      <c r="CP3" s="3" t="e">
        <f ca="1">_xll.BDH($C$3,"EBITDA","FY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" s="3" t="e">
        <f ca="1">_xll.BDH($C$3,"EBITDA_AFTER_CAPEX","FY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" s="3" t="e">
        <f ca="1">_xll.BDH($C$3,"IS_OPER_INC","FY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" s="2" t="e">
        <f ca="1">_xll.BDH($C$3,"CASH_RATIO","FY 2014","FY 2014","Currency=INR","Period=FY","BEST_FPERIOD_OVERRIDE=FY","FILING_STATUS=OR","EQY_CONSOLIDATED=Y","Sort=A","Dates=H","DateFormat=P","Fill=—","Direction=H","UseDPDF=Y")</f>
        <v>#NAME?</v>
      </c>
      <c r="CT3" s="2" t="e">
        <f ca="1">_xll.BDH($C$3,"CUR_RATIO","FY 2014","FY 2014","Currency=INR","Period=FY","BEST_FPERIOD_OVERRIDE=FY","FILING_STATUS=OR","EQY_CONSOLIDATED=Y","Sort=A","Dates=H","DateFormat=P","Fill=—","Direction=H","UseDPDF=Y")</f>
        <v>#NAME?</v>
      </c>
      <c r="CU3" s="2" t="e">
        <f ca="1">_xll.BDH($C$3,"QUICK_RATIO","FY 2014","FY 2014","Currency=INR","Period=FY","BEST_FPERIOD_OVERRIDE=FY","FILING_STATUS=OR","EQY_CONSOLIDATED=Y","Sort=A","Dates=H","DateFormat=P","Fill=—","Direction=H","UseDPDF=Y")</f>
        <v>#NAME?</v>
      </c>
      <c r="CV3" s="2" t="e">
        <f ca="1">_xll.BDH($C$3,"ALTMAN_Z_SCORE","FY 2014","FY 2014","Currency=INR","Period=FY","BEST_FPERIOD_OVERRIDE=FY","FILING_STATUS=OR","EQY_CONSOLIDATED=Y","Sort=A","Dates=H","DateFormat=P","Fill=—","Direction=H","UseDPDF=Y")</f>
        <v>#NAME?</v>
      </c>
      <c r="CW3" s="4" t="e">
        <f ca="1">_xll.BDH($C$3,"ACCT_RCV_TURN","FY 2014","FY 2014","Currency=INR","Period=FY","BEST_FPERIOD_OVERRIDE=FY","FILING_STATUS=OR","EQY_CONSOLIDATED=Y","FA_ADJUSTED=GAAP","Sort=A","Dates=H","DateFormat=P","Fill=—","Direction=H","UseDPDF=Y")</f>
        <v>#NAME?</v>
      </c>
      <c r="CX3" s="2" t="e">
        <f ca="1">_xll.BDH($C$3,"ACCT_RCV_DAYS","FY 2014","FY 2014","Currency=INR","Period=FY","BEST_FPERIOD_OVERRIDE=FY","FILING_STATUS=OR","EQY_CONSOLIDATED=Y","FA_ADJUSTED=GAAP","Sort=A","Dates=H","DateFormat=P","Fill=—","Direction=H","UseDPDF=Y")</f>
        <v>#NAME?</v>
      </c>
      <c r="CY3" s="4" t="e">
        <f ca="1">_xll.BDH($C$3,"INVENT_TURN","FY 2014","FY 2014","Currency=INR","Period=FY","BEST_FPERIOD_OVERRIDE=FY","FILING_STATUS=OR","EQY_CONSOLIDATED=Y","FA_ADJUSTED=GAAP","Sort=A","Dates=H","DateFormat=P","Fill=—","Direction=H","UseDPDF=Y")</f>
        <v>#NAME?</v>
      </c>
      <c r="CZ3" s="2" t="e">
        <f ca="1">_xll.BDH($C$3,"INVENT_DAYS","FY 2014","FY 2014","Currency=INR","Period=FY","BEST_FPERIOD_OVERRIDE=FY","FILING_STATUS=OR","EQY_CONSOLIDATED=Y","FA_ADJUSTED=GAAP","Sort=A","Dates=H","DateFormat=P","Fill=—","Direction=H","UseDPDF=Y")</f>
        <v>#NAME?</v>
      </c>
      <c r="DA3" s="4" t="e">
        <f ca="1">_xll.BDH($C$3,"ACCOUNTS_PAYABLE_TURNOVER","FY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" s="2" t="e">
        <f ca="1">_xll.BDH($C$3,"ACCOUNTS_PAYABLE_TURNOVER_DAYS","FY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" s="4" t="e">
        <f ca="1">_xll.BDH($C$3,"CASH_CONVERSION_CYCLE","FY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" s="4" t="e">
        <f ca="1">_xll.BDH($C$3,"INV_TO_CASH_DAYS","FY 2014","FY 2014","Currency=INR","Period=FY","BEST_FPERIOD_OVERRIDE=FY","FILING_STATUS=OR","EQY_CONSOLIDATED=Y","FA_ADJUSTED=GAAP","Sort=A","Dates=H","DateFormat=P","Fill=—","Direction=H","UseDPDF=Y")</f>
        <v>#NAME?</v>
      </c>
      <c r="DE3" s="5" t="e">
        <f ca="1">_xll.BDH($C$3,"BS_INVENTORIES","FY 2014","FY 2014","Currency=INR","Period=FY","BEST_FPERIOD_OVERRIDE=FY","FILING_STATUS=OR","EQY_CONSOLIDATED=Y","SCALING_FORMAT=MLN","Sort=A","Dates=H","DateFormat=P","Fill=—","Direction=H","UseDPDF=Y")</f>
        <v>#NAME?</v>
      </c>
      <c r="DF3" s="3" t="e">
        <f ca="1">_xll.BDH($C$3,"INVTRY_RAW_MATERIALS","FY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" s="3" t="e">
        <f ca="1">_xll.BDH($C$3,"INVTRY_IN_PROGRESS","FY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" s="3" t="e">
        <f ca="1">_xll.BDH($C$3,"INVTRY_FINISHED_GOODS","FY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" s="3" t="e">
        <f ca="1">_xll.BDH($C$3,"BS_OTHER_INV","FY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" spans="1:113" x14ac:dyDescent="0.3">
      <c r="A4" s="6"/>
      <c r="B4" s="6"/>
      <c r="C4" s="6"/>
      <c r="D4" s="6"/>
      <c r="E4" t="s">
        <v>78</v>
      </c>
      <c r="F4" t="e">
        <f ca="1">_xll.BDH($C$3,"RETURN_COM_EQY","FQ1 2014","FQ1 2014","Currency=INR","Period=FQ","BEST_FPERIOD_OVERRIDE=FQ","FILING_STATUS=OR","EQY_CONSOLIDATED=Y","FA_ADJUSTED=GAAP","Sort=A","Dates=H","DateFormat=P","Fill=—","Direction=H","UseDPDF=Y")</f>
        <v>#NAME?</v>
      </c>
      <c r="G4" t="e">
        <f ca="1">_xll.BDH($C$3,"RETURN_ON_ASSET","FQ1 2014","FQ1 2014","Currency=INR","Period=FQ","BEST_FPERIOD_OVERRIDE=FQ","FILING_STATUS=OR","EQY_CONSOLIDATED=Y","FA_ADJUSTED=GAAP","Sort=A","Dates=H","DateFormat=P","Fill=—","Direction=H","UseDPDF=Y")</f>
        <v>#NAME?</v>
      </c>
      <c r="H4" t="e">
        <f ca="1">_xll.BDH($C$3,"RETURN_ON_CAP","FQ1 2014","FQ1 2014","Currency=INR","Period=FQ","BEST_FPERIOD_OVERRIDE=FQ","FILING_STATUS=OR","EQY_CONSOLIDATED=Y","FA_ADJUSTED=GAAP","Sort=A","Dates=H","DateFormat=P","Fill=—","Direction=H","UseDPDF=Y")</f>
        <v>#NAME?</v>
      </c>
      <c r="I4" t="e">
        <f ca="1">_xll.BDH($C$3,"RETURN_ON_INV_CAPITAL","FQ1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" t="e">
        <f ca="1">_xll.BDH($C$3,"EBITDA_TO_REVENUE","FQ1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" t="e">
        <f ca="1">_xll.BDH($C$3,"OPER_MARGIN","FQ1 2014","FQ1 2014","Currency=INR","Period=FQ","BEST_FPERIOD_OVERRIDE=FQ","FILING_STATUS=OR","EQY_CONSOLIDATED=Y","FA_ADJUSTED=GAAP","Sort=A","Dates=H","DateFormat=P","Fill=—","Direction=H","UseDPDF=Y")</f>
        <v>#NAME?</v>
      </c>
      <c r="L4" t="e">
        <f ca="1">_xll.BDH($C$3,"INCREMENTAL_OPERATING_MARGIN","FQ1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" t="e">
        <f ca="1">_xll.BDH($C$3,"PRETAX_INC_TO_NET_SALES","FQ1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" t="e">
        <f ca="1">_xll.BDH($C$3,"INC_BEF_XO_ITEMS_TO_NET_SALES","FQ1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" t="e">
        <f ca="1">_xll.BDH($C$3,"PROF_MARGIN","FQ1 2014","FQ1 2014","Currency=INR","Period=FQ","BEST_FPERIOD_OVERRIDE=FQ","FILING_STATUS=OR","EQY_CONSOLIDATED=Y","FA_ADJUSTED=GAAP","Sort=A","Dates=H","DateFormat=P","Fill=—","Direction=H","UseDPDF=Y")</f>
        <v>#NAME?</v>
      </c>
      <c r="P4" t="e">
        <f ca="1">_xll.BDH($C$3,"NET_INCOME_TO_COMMON_MARGIN","FQ1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" t="e">
        <f ca="1">_xll.BDH($C$3,"EFF_TAX_RATE","FQ1 2014","FQ1 2014","Currency=INR","Period=FQ","BEST_FPERIOD_OVERRIDE=FQ","FILING_STATUS=OR","EQY_CONSOLIDATED=Y","FA_ADJUSTED=GAAP","Sort=A","Dates=H","DateFormat=P","Fill=—","Direction=H","UseDPDF=Y")</f>
        <v>#NAME?</v>
      </c>
      <c r="R4" t="e">
        <f ca="1">_xll.BDH($C$3,"DVD_PAYOUT_RATIO","FQ1 2014","FQ1 2014","Currency=INR","Period=FQ","BEST_FPERIOD_OVERRIDE=FQ","FILING_STATUS=OR","EQY_CONSOLIDATED=Y","FA_ADJUSTED=GAAP","Sort=A","Dates=H","DateFormat=P","Fill=—","Direction=H","UseDPDF=Y")</f>
        <v>#NAME?</v>
      </c>
      <c r="S4" t="e">
        <f ca="1">_xll.BDH($C$3,"SUSTAIN_GROWTH_RT","FQ1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" s="2" t="e">
        <f ca="1">_xll.BDH($C$3,"SALES_GROWTH","FQ1 2014","FQ1 2014","Currency=INR","Period=FQ","BEST_FPERIOD_OVERRIDE=FQ","FILING_STATUS=OR","EQY_CONSOLIDATED=Y","FA_ADJUSTED=GAAP","Sort=A","Dates=H","DateFormat=P","Fill=—","Direction=H","UseDPDF=Y")</f>
        <v>#NAME?</v>
      </c>
      <c r="U4" s="2" t="e">
        <f ca="1">_xll.BDH($C$3,"EBITDA_GROWTH","FQ1 2014","FQ1 2014","Currency=INR","Period=FQ","BEST_FPERIOD_OVERRIDE=FQ","FILING_STATUS=OR","EQY_CONSOLIDATED=Y","FA_ADJUSTED=GAAP","Sort=A","Dates=H","DateFormat=P","Fill=—","Direction=H","UseDPDF=Y")</f>
        <v>#NAME?</v>
      </c>
      <c r="V4" s="2" t="e">
        <f ca="1">_xll.BDH($C$3,"OPER_INC_GROWTH","FQ1 2014","FQ1 2014","Currency=INR","Period=FQ","BEST_FPERIOD_OVERRIDE=FQ","FILING_STATUS=OR","EQY_CONSOLIDATED=Y","FA_ADJUSTED=GAAP","Sort=A","Dates=H","DateFormat=P","Fill=—","Direction=H","UseDPDF=Y")</f>
        <v>#NAME?</v>
      </c>
      <c r="W4" s="2" t="e">
        <f ca="1">_xll.BDH($C$3,"EARN_FOR_COM_GROWTH","FQ1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" s="2" t="e">
        <f ca="1">_xll.BDH($C$3,"DILUTED_EPS_AFT_XO_ITEMS_GROWTH","FQ1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" s="2" t="e">
        <f ca="1">_xll.BDH($C$3,"DIVIDEND_PER_SHARE_1_YEAR_GROWTH","FQ1 2014","FQ1 2014","Currency=INR","Period=FQ","BEST_FPERIOD_OVERRIDE=FQ","FILING_STATUS=OR","EQY_CONSOLIDATED=Y","Sort=A","Dates=H","DateFormat=P","Fill=—","Direction=H","UseDPDF=Y")</f>
        <v>#NAME?</v>
      </c>
      <c r="Z4" s="2" t="e">
        <f ca="1">_xll.BDH($C$3,"ACCOUNTS_RECEIVABLE_GROWTH","FQ1 2014","FQ1 2014","Currency=INR","Period=FQ","BEST_FPERIOD_OVERRIDE=FQ","FILING_STATUS=OR","EQY_CONSOLIDATED=Y","Sort=A","Dates=H","DateFormat=P","Fill=—","Direction=H","UseDPDF=Y")</f>
        <v>#NAME?</v>
      </c>
      <c r="AA4" s="2" t="e">
        <f ca="1">_xll.BDH($C$3,"INVENTORY_GROWTH","FQ1 2014","FQ1 2014","Currency=INR","Period=FQ","BEST_FPERIOD_OVERRIDE=FQ","FILING_STATUS=OR","EQY_CONSOLIDATED=Y","Sort=A","Dates=H","DateFormat=P","Fill=—","Direction=H","UseDPDF=Y")</f>
        <v>#NAME?</v>
      </c>
      <c r="AB4" s="2" t="e">
        <f ca="1">_xll.BDH($C$3,"NET_FIXED_ASSETS_1_YEAR_GROWTH","FQ1 2014","FQ1 2014","Currency=INR","Period=FQ","BEST_FPERIOD_OVERRIDE=FQ","FILING_STATUS=OR","EQY_CONSOLIDATED=Y","Sort=A","Dates=H","DateFormat=P","Fill=—","Direction=H","UseDPDF=Y")</f>
        <v>#NAME?</v>
      </c>
      <c r="AC4" s="2" t="e">
        <f ca="1">_xll.BDH($C$3,"ASSET_GROWTH","FQ1 2014","FQ1 2014","Currency=INR","Period=FQ","BEST_FPERIOD_OVERRIDE=FQ","FILING_STATUS=OR","EQY_CONSOLIDATED=Y","Sort=A","Dates=H","DateFormat=P","Fill=—","Direction=H","UseDPDF=Y")</f>
        <v>#NAME?</v>
      </c>
      <c r="AD4" s="2" t="e">
        <f ca="1">_xll.BDH($C$3,"MODIFIED_WORK_CAP_GROWTH","FQ1 2014","FQ1 2014","Currency=INR","Period=FQ","BEST_FPERIOD_OVERRIDE=FQ","FILING_STATUS=OR","EQY_CONSOLIDATED=Y","Sort=A","Dates=H","DateFormat=P","Fill=—","Direction=H","UseDPDF=Y")</f>
        <v>#NAME?</v>
      </c>
      <c r="AE4" s="2" t="e">
        <f ca="1">_xll.BDH($C$3,"WORK_CAP_GROWTH","FQ1 2014","FQ1 2014","Currency=INR","Period=FQ","BEST_FPERIOD_OVERRIDE=FQ","FILING_STATUS=OR","EQY_CONSOLIDATED=Y","Sort=A","Dates=H","DateFormat=P","Fill=—","Direction=H","UseDPDF=Y")</f>
        <v>#NAME?</v>
      </c>
      <c r="AF4" s="2" t="e">
        <f ca="1">_xll.BDH($C$3,"ACCOUNTS_PAYABLE_GROWTH_1YR","FQ1 2014","FQ1 2014","Currency=INR","Period=FQ","BEST_FPERIOD_OVERRIDE=FQ","FILING_STATUS=OR","EQY_CONSOLIDATED=Y","Sort=A","Dates=H","DateFormat=P","Fill=—","Direction=H","UseDPDF=Y")</f>
        <v>#NAME?</v>
      </c>
      <c r="AG4" s="2" t="e">
        <f ca="1">_xll.BDH($C$3,"SHORT_TERM_DEBT_1_YEAR_GROWTH","FQ1 2014","FQ1 2014","Currency=INR","Period=FQ","BEST_FPERIOD_OVERRIDE=FQ","FILING_STATUS=OR","EQY_CONSOLIDATED=Y","Sort=A","Dates=H","DateFormat=P","Fill=—","Direction=H","UseDPDF=Y")</f>
        <v>#NAME?</v>
      </c>
      <c r="AH4" s="2" t="e">
        <f ca="1">_xll.BDH($C$3,"TOTAL_DEBT_1_YEAR_GROWTH","FQ1 2014","FQ1 2014","Currency=INR","Period=FQ","BEST_FPERIOD_OVERRIDE=FQ","FILING_STATUS=OR","EQY_CONSOLIDATED=Y","Sort=A","Dates=H","DateFormat=P","Fill=—","Direction=H","UseDPDF=Y")</f>
        <v>#NAME?</v>
      </c>
      <c r="AI4" s="2" t="e">
        <f ca="1">_xll.BDH($C$3,"TOTAL_EQUITY_1_YEAR_GROWTH","FQ1 2014","FQ1 2014","Currency=INR","Period=FQ","BEST_FPERIOD_OVERRIDE=FQ","FILING_STATUS=OR","EQY_CONSOLIDATED=Y","Sort=A","Dates=H","DateFormat=P","Fill=—","Direction=H","UseDPDF=Y")</f>
        <v>#NAME?</v>
      </c>
      <c r="AJ4" s="2" t="e">
        <f ca="1">_xll.BDH($C$3,"GROWTH_IN_CAP","FQ1 2014","FQ1 2014","Currency=INR","Period=FQ","BEST_FPERIOD_OVERRIDE=FQ","FILING_STATUS=OR","EQY_CONSOLIDATED=Y","Sort=A","Dates=H","DateFormat=P","Fill=—","Direction=H","UseDPDF=Y")</f>
        <v>#NAME?</v>
      </c>
      <c r="AK4" s="2" t="e">
        <f ca="1">_xll.BDH($C$3,"BVPS_GROWTH","FQ1 2014","FQ1 2014","Currency=INR","Period=FQ","BEST_FPERIOD_OVERRIDE=FQ","FILING_STATUS=OR","EQY_CONSOLIDATED=Y","Sort=A","Dates=H","DateFormat=P","Fill=—","Direction=H","UseDPDF=Y")</f>
        <v>#NAME?</v>
      </c>
      <c r="AL4" s="2" t="e">
        <f ca="1">_xll.BDH($C$3,"CASH_FLOW_GROWTH","FQ1 2014","FQ1 2014","Currency=INR","Period=FQ","BEST_FPERIOD_OVERRIDE=FQ","FILING_STATUS=OR","EQY_CONSOLIDATED=Y","Sort=A","Dates=H","DateFormat=P","Fill=—","Direction=H","UseDPDF=Y")</f>
        <v>#NAME?</v>
      </c>
      <c r="AM4" s="2" t="e">
        <f ca="1">_xll.BDH($C$3,"GEO_GROW_NET_SALES","FQ1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" s="2" t="e">
        <f ca="1">_xll.BDH($C$3,"GEO_GROW_EBITDA","FQ1 2014","FQ1 2014","Currency=INR","Period=FQ","BEST_FPERIOD_OVERRIDE=FQ","FILING_STATUS=OR","EQY_CONSOLIDATED=Y","FA_ADJUSTED=GAAP","Sort=A","Dates=H","DateFormat=P","Fill=—","Direction=H","UseDPDF=Y")</f>
        <v>#NAME?</v>
      </c>
      <c r="AO4" s="2" t="e">
        <f ca="1">_xll.BDH($C$3,"GEO_GROW_OPER_INC","FQ1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" s="2" t="e">
        <f ca="1">_xll.BDH($C$3,"NET_INCOME_TO_COMMON_5_YR_GROWTH","FQ1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" s="2" t="e">
        <f ca="1">_xll.BDH($C$3,"5Y_GEO_GROWTH_DILUTED_EPS","FQ1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" s="2" t="e">
        <f ca="1">_xll.BDH($C$3,"GEO_GROW_DVD_PER_SH","FQ1 2014","FQ1 2014","Currency=INR","Period=FQ","BEST_FPERIOD_OVERRIDE=FQ","FILING_STATUS=OR","EQY_CONSOLIDATED=Y","Sort=A","Dates=H","DateFormat=P","Fill=—","Direction=H","UseDPDF=Y")</f>
        <v>#NAME?</v>
      </c>
      <c r="AS4" s="2" t="e">
        <f ca="1">_xll.BDH($C$3,"ACCOUNTS_RECEIVABLE_5_YR_GROWTH","FQ1 2014","FQ1 2014","Currency=INR","Period=FQ","BEST_FPERIOD_OVERRIDE=FQ","FILING_STATUS=OR","EQY_CONSOLIDATED=Y","Sort=A","Dates=H","DateFormat=P","Fill=—","Direction=H","UseDPDF=Y")</f>
        <v>#NAME?</v>
      </c>
      <c r="AT4" s="2" t="e">
        <f ca="1">_xll.BDH($C$3,"INVENTORY_5_YEAR_GROWTH","FQ1 2014","FQ1 2014","Currency=INR","Period=FQ","BEST_FPERIOD_OVERRIDE=FQ","FILING_STATUS=OR","EQY_CONSOLIDATED=Y","Sort=A","Dates=H","DateFormat=P","Fill=—","Direction=H","UseDPDF=Y")</f>
        <v>#NAME?</v>
      </c>
      <c r="AU4" s="2" t="e">
        <f ca="1">_xll.BDH($C$3,"NET_FIXED_ASSETS_5_YEAR_GROWTH","FQ1 2014","FQ1 2014","Currency=INR","Period=FQ","BEST_FPERIOD_OVERRIDE=FQ","FILING_STATUS=OR","EQY_CONSOLIDATED=Y","Sort=A","Dates=H","DateFormat=P","Fill=—","Direction=H","UseDPDF=Y")</f>
        <v>#NAME?</v>
      </c>
      <c r="AV4" s="2" t="e">
        <f ca="1">_xll.BDH($C$3,"GEO_GROW_TOT_ASSET","FQ1 2014","FQ1 2014","Currency=INR","Period=FQ","BEST_FPERIOD_OVERRIDE=FQ","FILING_STATUS=OR","EQY_CONSOLIDATED=Y","Sort=A","Dates=H","DateFormat=P","Fill=—","Direction=H","UseDPDF=Y")</f>
        <v>#NAME?</v>
      </c>
      <c r="AW4" s="2" t="e">
        <f ca="1">_xll.BDH($C$3,"MODIFIED_WORKING_CPTL_5YR_GRWTH","FQ1 2014","FQ1 2014","Currency=INR","Period=FQ","BEST_FPERIOD_OVERRIDE=FQ","FILING_STATUS=OR","EQY_CONSOLIDATED=Y","Sort=A","Dates=H","DateFormat=P","Fill=—","Direction=H","UseDPDF=Y")</f>
        <v>#NAME?</v>
      </c>
      <c r="AX4" s="2" t="e">
        <f ca="1">_xll.BDH($C$3,"WORKING_CAPITAL_5_YEAR_GROWTH","FQ1 2014","FQ1 2014","Currency=INR","Period=FQ","BEST_FPERIOD_OVERRIDE=FQ","FILING_STATUS=OR","EQY_CONSOLIDATED=Y","Sort=A","Dates=H","DateFormat=P","Fill=—","Direction=H","UseDPDF=Y")</f>
        <v>#NAME?</v>
      </c>
      <c r="AY4" s="2" t="e">
        <f ca="1">_xll.BDH($C$3,"ACCOUNTS_PAYABLE_5_YEAR_GROWTH","FQ1 2014","FQ1 2014","Currency=INR","Period=FQ","BEST_FPERIOD_OVERRIDE=FQ","FILING_STATUS=OR","EQY_CONSOLIDATED=Y","Sort=A","Dates=H","DateFormat=P","Fill=—","Direction=H","UseDPDF=Y")</f>
        <v>#NAME?</v>
      </c>
      <c r="AZ4" s="2" t="e">
        <f ca="1">_xll.BDH($C$3,"SHORT_TERM_DEBT_5_YEAR_GROWTH","FQ1 2014","FQ1 2014","Currency=INR","Period=FQ","BEST_FPERIOD_OVERRIDE=FQ","FILING_STATUS=OR","EQY_CONSOLIDATED=Y","Sort=A","Dates=H","DateFormat=P","Fill=—","Direction=H","UseDPDF=Y")</f>
        <v>#NAME?</v>
      </c>
      <c r="BA4" s="2" t="e">
        <f ca="1">_xll.BDH($C$3,"TOTAL_DEBT_5_YEAR_GROWTH","FQ1 2014","FQ1 2014","Currency=INR","Period=FQ","BEST_FPERIOD_OVERRIDE=FQ","FILING_STATUS=OR","EQY_CONSOLIDATED=Y","Sort=A","Dates=H","DateFormat=P","Fill=—","Direction=H","UseDPDF=Y")</f>
        <v>#NAME?</v>
      </c>
      <c r="BB4" s="2" t="e">
        <f ca="1">_xll.BDH($C$3,"GEO_GROW_TOT_SHRHLDR_EQY","FQ1 2014","FQ1 2014","Currency=INR","Period=FQ","BEST_FPERIOD_OVERRIDE=FQ","FILING_STATUS=OR","EQY_CONSOLIDATED=Y","Sort=A","Dates=H","DateFormat=P","Fill=—","Direction=H","UseDPDF=Y")</f>
        <v>#NAME?</v>
      </c>
      <c r="BC4" s="2" t="e">
        <f ca="1">_xll.BDH($C$3,"TOTAL_CAPITAL_5_YEAR_GROWTH","FQ1 2014","FQ1 2014","Currency=INR","Period=FQ","BEST_FPERIOD_OVERRIDE=FQ","FILING_STATUS=OR","EQY_CONSOLIDATED=Y","Sort=A","Dates=H","DateFormat=P","Fill=—","Direction=H","UseDPDF=Y")</f>
        <v>#NAME?</v>
      </c>
      <c r="BD4" s="2" t="e">
        <f ca="1">_xll.BDH($C$3,"GEO_GROW_BOOK_VAL","FQ1 2014","FQ1 2014","Currency=INR","Period=FQ","BEST_FPERIOD_OVERRIDE=FQ","FILING_STATUS=OR","EQY_CONSOLIDATED=Y","Sort=A","Dates=H","DateFormat=P","Fill=—","Direction=H","UseDPDF=Y")</f>
        <v>#NAME?</v>
      </c>
      <c r="BE4" s="2" t="e">
        <f ca="1">_xll.BDH($C$3,"GEO_GROW_CASH_OPER_ACT","FQ1 2014","FQ1 2014","Currency=INR","Period=FQ","BEST_FPERIOD_OVERRIDE=FQ","FILING_STATUS=OR","EQY_CONSOLIDATED=Y","Sort=A","Dates=H","DateFormat=P","Fill=—","Direction=H","UseDPDF=Y")</f>
        <v>#NAME?</v>
      </c>
      <c r="BF4" s="2" t="e">
        <f ca="1">_xll.BDH($C$3,"REVENUE_SEQUENTIAL_GROWTH","FQ1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" s="2" t="e">
        <f ca="1">_xll.BDH($C$3,"EBITDA_SEQUENTIAL_GROWTH","FQ1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" s="2" t="e">
        <f ca="1">_xll.BDH($C$3,"OPERATING_INCOME_SEQ_GROWTH","FQ1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" s="2" t="e">
        <f ca="1">_xll.BDH($C$3,"NET_INCOME_TO_COMMON_SEQ_GROWTH","FQ1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" s="2" t="e">
        <f ca="1">_xll.BDH($C$3,"EPS_DILUTED_SEQUENTIAL_GROWTH","FQ1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" s="2" t="e">
        <f ca="1">_xll.BDH($C$3,"DPS_SEQUENTIAL_GROWTH","FQ1 2014","FQ1 2014","Currency=INR","Period=FQ","BEST_FPERIOD_OVERRIDE=FQ","FILING_STATUS=OR","EQY_CONSOLIDATED=Y","Sort=A","Dates=H","DateFormat=P","Fill=—","Direction=H","UseDPDF=Y")</f>
        <v>#NAME?</v>
      </c>
      <c r="BL4" s="2" t="e">
        <f ca="1">_xll.BDH($C$3,"ACCOUNTS_RECEIVABLE_SEQ_GROWTH","FQ1 2014","FQ1 2014","Currency=INR","Period=FQ","BEST_FPERIOD_OVERRIDE=FQ","FILING_STATUS=OR","EQY_CONSOLIDATED=Y","Sort=A","Dates=H","DateFormat=P","Fill=—","Direction=H","UseDPDF=Y")</f>
        <v>#NAME?</v>
      </c>
      <c r="BM4" s="2" t="e">
        <f ca="1">_xll.BDH($C$3,"INVENTORY_SEQUENTIAL_GROWTH","FQ1 2014","FQ1 2014","Currency=INR","Period=FQ","BEST_FPERIOD_OVERRIDE=FQ","FILING_STATUS=OR","EQY_CONSOLIDATED=Y","Sort=A","Dates=H","DateFormat=P","Fill=—","Direction=H","UseDPDF=Y")</f>
        <v>#NAME?</v>
      </c>
      <c r="BN4" s="2" t="e">
        <f ca="1">_xll.BDH($C$3,"FIXED_ASSETS_SEQUENTIAL_GROWTH","FQ1 2014","FQ1 2014","Currency=INR","Period=FQ","BEST_FPERIOD_OVERRIDE=FQ","FILING_STATUS=OR","EQY_CONSOLIDATED=Y","Sort=A","Dates=H","DateFormat=P","Fill=—","Direction=H","UseDPDF=Y")</f>
        <v>#NAME?</v>
      </c>
      <c r="BO4" s="2" t="e">
        <f ca="1">_xll.BDH($C$3,"TOTAL_ASSETS_SEQUENTIAL_GROWTH","FQ1 2014","FQ1 2014","Currency=INR","Period=FQ","BEST_FPERIOD_OVERRIDE=FQ","FILING_STATUS=OR","EQY_CONSOLIDATED=Y","Sort=A","Dates=H","DateFormat=P","Fill=—","Direction=H","UseDPDF=Y")</f>
        <v>#NAME?</v>
      </c>
      <c r="BP4" s="2" t="e">
        <f ca="1">_xll.BDH($C$3,"MODIFIED_WORKING_CPTL_SEQ_GRWTH","FQ1 2014","FQ1 2014","Currency=INR","Period=FQ","BEST_FPERIOD_OVERRIDE=FQ","FILING_STATUS=OR","EQY_CONSOLIDATED=Y","Sort=A","Dates=H","DateFormat=P","Fill=—","Direction=H","UseDPDF=Y")</f>
        <v>#NAME?</v>
      </c>
      <c r="BQ4" s="2" t="e">
        <f ca="1">_xll.BDH($C$3,"WORKING_CAPITAL_SEQ_GROWTH","FQ1 2014","FQ1 2014","Currency=INR","Period=FQ","BEST_FPERIOD_OVERRIDE=FQ","FILING_STATUS=OR","EQY_CONSOLIDATED=Y","Sort=A","Dates=H","DateFormat=P","Fill=—","Direction=H","UseDPDF=Y")</f>
        <v>#NAME?</v>
      </c>
      <c r="BR4" s="2" t="e">
        <f ca="1">_xll.BDH($C$3,"ACCOUNTS_PAYABLE_SEQ_GROWTH","FQ1 2014","FQ1 2014","Currency=INR","Period=FQ","BEST_FPERIOD_OVERRIDE=FQ","FILING_STATUS=OR","EQY_CONSOLIDATED=Y","Sort=A","Dates=H","DateFormat=P","Fill=—","Direction=H","UseDPDF=Y")</f>
        <v>#NAME?</v>
      </c>
      <c r="BS4" s="2" t="e">
        <f ca="1">_xll.BDH($C$3,"ST_DEBT_SEQUENTIAL_GROWTH","FQ1 2014","FQ1 2014","Currency=INR","Period=FQ","BEST_FPERIOD_OVERRIDE=FQ","FILING_STATUS=OR","EQY_CONSOLIDATED=Y","Sort=A","Dates=H","DateFormat=P","Fill=—","Direction=H","UseDPDF=Y")</f>
        <v>#NAME?</v>
      </c>
      <c r="BT4" s="2" t="e">
        <f ca="1">_xll.BDH($C$3,"TOTAL_DEBT_SEQUENTIAL_GROWTH","FQ1 2014","FQ1 2014","Currency=INR","Period=FQ","BEST_FPERIOD_OVERRIDE=FQ","FILING_STATUS=OR","EQY_CONSOLIDATED=Y","Sort=A","Dates=H","DateFormat=P","Fill=—","Direction=H","UseDPDF=Y")</f>
        <v>#NAME?</v>
      </c>
      <c r="BU4" s="2" t="e">
        <f ca="1">_xll.BDH($C$3,"TOTAL_EQUITY_SEQUENTIAL_GROWTH","FQ1 2014","FQ1 2014","Currency=INR","Period=FQ","BEST_FPERIOD_OVERRIDE=FQ","FILING_STATUS=OR","EQY_CONSOLIDATED=Y","Sort=A","Dates=H","DateFormat=P","Fill=—","Direction=H","UseDPDF=Y")</f>
        <v>#NAME?</v>
      </c>
      <c r="BV4" s="2" t="e">
        <f ca="1">_xll.BDH($C$3,"TOTAL_CAPITAL_SEQUENTIAL_GROWTH","FQ1 2014","FQ1 2014","Currency=INR","Period=FQ","BEST_FPERIOD_OVERRIDE=FQ","FILING_STATUS=OR","EQY_CONSOLIDATED=Y","Sort=A","Dates=H","DateFormat=P","Fill=—","Direction=H","UseDPDF=Y")</f>
        <v>#NAME?</v>
      </c>
      <c r="BW4" s="2" t="e">
        <f ca="1">_xll.BDH($C$3,"BPS_SEQUENTIAL_GROWTH","FQ1 2014","FQ1 2014","Currency=INR","Period=FQ","BEST_FPERIOD_OVERRIDE=FQ","FILING_STATUS=OR","EQY_CONSOLIDATED=Y","Sort=A","Dates=H","DateFormat=P","Fill=—","Direction=H","UseDPDF=Y")</f>
        <v>#NAME?</v>
      </c>
      <c r="BX4" s="2" t="e">
        <f ca="1">_xll.BDH($C$3,"CFO_SEQUENTIAL_GROWTH","FQ1 2014","FQ1 2014","Currency=INR","Period=FQ","BEST_FPERIOD_OVERRIDE=FQ","FILING_STATUS=OR","EQY_CONSOLIDATED=Y","Sort=A","Dates=H","DateFormat=P","Fill=—","Direction=H","UseDPDF=Y")</f>
        <v>#NAME?</v>
      </c>
      <c r="BY4" s="3" t="e">
        <f ca="1">_xll.BDH($C$3,"SHORT_AND_LONG_TERM_DEBT","FQ1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" s="3" t="e">
        <f ca="1">_xll.BDH($C$3,"BS_ST_BORROW","FQ1 2014","FQ1 2014","Currency=INR","Period=FQ","BEST_FPERIOD_OVERRIDE=FQ","FILING_STATUS=OR","EQY_CONSOLIDATED=Y","SCALING_FORMAT=MLN","Sort=A","Dates=H","DateFormat=P","Fill=—","Direction=H","UseDPDF=Y")</f>
        <v>#NAME?</v>
      </c>
      <c r="CA4" s="3" t="e">
        <f ca="1">_xll.BDH($C$3,"BS_LT_BORROW","FQ1 2014","FQ1 2014","Currency=INR","Period=FQ","BEST_FPERIOD_OVERRIDE=FQ","FILING_STATUS=OR","EQY_CONSOLIDATED=Y","SCALING_FORMAT=MLN","Sort=A","Dates=H","DateFormat=P","Fill=—","Direction=H","UseDPDF=Y")</f>
        <v>#NAME?</v>
      </c>
      <c r="CB4" s="2" t="e">
        <f ca="1">_xll.BDH($C$3,"TOT_DEBT_TO_EBITDA","FQ1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" s="2" t="e">
        <f ca="1">_xll.BDH($C$3,"NET_DEBT_TO_EBITDA","FQ1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" s="2" t="e">
        <f ca="1">_xll.BDH($C$3,"TOTAL_DEBT_TO_EBIT","FQ1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" s="2" t="e">
        <f ca="1">_xll.BDH($C$3,"NET_DEBT_TO_EBIT","FQ1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" s="2" t="e">
        <f ca="1">_xll.BDH($C$3,"EBITDA_TO_INTEREST_EXPN","FQ1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" s="2" t="e">
        <f ca="1">_xll.BDH($C$3,"COM_EQY_TO_TOT_ASSET","FQ1 2014","FQ1 2014","Currency=INR","Period=FQ","BEST_FPERIOD_OVERRIDE=FQ","FILING_STATUS=OR","EQY_CONSOLIDATED=Y","Sort=A","Dates=H","DateFormat=P","Fill=—","Direction=H","UseDPDF=Y")</f>
        <v>#NAME?</v>
      </c>
      <c r="CH4" s="2" t="e">
        <f ca="1">_xll.BDH($C$3,"LT_DEBT_TO_TOT_EQY","FQ1 2014","FQ1 2014","Currency=INR","Period=FQ","BEST_FPERIOD_OVERRIDE=FQ","FILING_STATUS=OR","EQY_CONSOLIDATED=Y","Sort=A","Dates=H","DateFormat=P","Fill=—","Direction=H","UseDPDF=Y")</f>
        <v>#NAME?</v>
      </c>
      <c r="CI4" s="2" t="e">
        <f ca="1">_xll.BDH($C$3,"LT_DEBT_TO_TOT_CAP","FQ1 2014","FQ1 2014","Currency=INR","Period=FQ","BEST_FPERIOD_OVERRIDE=FQ","FILING_STATUS=OR","EQY_CONSOLIDATED=Y","Sort=A","Dates=H","DateFormat=P","Fill=—","Direction=H","UseDPDF=Y")</f>
        <v>#NAME?</v>
      </c>
      <c r="CJ4" s="2" t="e">
        <f ca="1">_xll.BDH($C$3,"LT_DEBT_TO_TOT_ASSET","FQ1 2014","FQ1 2014","Currency=INR","Period=FQ","BEST_FPERIOD_OVERRIDE=FQ","FILING_STATUS=OR","EQY_CONSOLIDATED=Y","Sort=A","Dates=H","DateFormat=P","Fill=—","Direction=H","UseDPDF=Y")</f>
        <v>#NAME?</v>
      </c>
      <c r="CK4" s="2" t="e">
        <f ca="1">_xll.BDH($C$3,"TOT_DEBT_TO_TOT_EQY","FQ1 2014","FQ1 2014","Currency=INR","Period=FQ","BEST_FPERIOD_OVERRIDE=FQ","FILING_STATUS=OR","EQY_CONSOLIDATED=Y","Sort=A","Dates=H","DateFormat=P","Fill=—","Direction=H","UseDPDF=Y")</f>
        <v>#NAME?</v>
      </c>
      <c r="CL4" s="2" t="e">
        <f ca="1">_xll.BDH($C$3,"TOT_DEBT_TO_TOT_CAP","FQ1 2014","FQ1 2014","Currency=INR","Period=FQ","BEST_FPERIOD_OVERRIDE=FQ","FILING_STATUS=OR","EQY_CONSOLIDATED=Y","Sort=A","Dates=H","DateFormat=P","Fill=—","Direction=H","UseDPDF=Y")</f>
        <v>#NAME?</v>
      </c>
      <c r="CM4" s="2" t="e">
        <f ca="1">_xll.BDH($C$3,"TOT_DEBT_TO_TOT_ASSET","FQ1 2014","FQ1 2014","Currency=INR","Period=FQ","BEST_FPERIOD_OVERRIDE=FQ","FILING_STATUS=OR","EQY_CONSOLIDATED=Y","Sort=A","Dates=H","DateFormat=P","Fill=—","Direction=H","UseDPDF=Y")</f>
        <v>#NAME?</v>
      </c>
      <c r="CN4" s="2" t="e">
        <f ca="1">_xll.BDH($C$3,"NET_DEBT_TO_SHRHLDR_EQTY","FQ1 2014","FQ1 2014","Currency=INR","Period=FQ","BEST_FPERIOD_OVERRIDE=FQ","FILING_STATUS=OR","EQY_CONSOLIDATED=Y","Sort=A","Dates=H","DateFormat=P","Fill=—","Direction=H","UseDPDF=Y")</f>
        <v>#NAME?</v>
      </c>
      <c r="CO4" s="2" t="e">
        <f ca="1">_xll.BDH($C$3,"NET_DEBT_%_CAPITAL","FQ1 2014","FQ1 2014","Currency=INR","Period=FQ","BEST_FPERIOD_OVERRIDE=FQ","FILING_STATUS=OR","EQY_CONSOLIDATED=Y","Sort=A","Dates=H","DateFormat=P","Fill=—","Direction=H","UseDPDF=Y")</f>
        <v>#NAME?</v>
      </c>
      <c r="CP4" s="3" t="e">
        <f ca="1">_xll.BDH($C$3,"EBITDA","FQ1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" s="3" t="e">
        <f ca="1">_xll.BDH($C$3,"EBITDA_AFTER_CAPEX","FQ1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" s="3" t="e">
        <f ca="1">_xll.BDH($C$3,"IS_OPER_INC","FQ1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" s="2" t="e">
        <f ca="1">_xll.BDH($C$3,"CASH_RATIO","FQ1 2014","FQ1 2014","Currency=INR","Period=FQ","BEST_FPERIOD_OVERRIDE=FQ","FILING_STATUS=OR","EQY_CONSOLIDATED=Y","Sort=A","Dates=H","DateFormat=P","Fill=—","Direction=H","UseDPDF=Y")</f>
        <v>#NAME?</v>
      </c>
      <c r="CT4" s="2" t="e">
        <f ca="1">_xll.BDH($C$3,"CUR_RATIO","FQ1 2014","FQ1 2014","Currency=INR","Period=FQ","BEST_FPERIOD_OVERRIDE=FQ","FILING_STATUS=OR","EQY_CONSOLIDATED=Y","Sort=A","Dates=H","DateFormat=P","Fill=—","Direction=H","UseDPDF=Y")</f>
        <v>#NAME?</v>
      </c>
      <c r="CU4" s="2" t="e">
        <f ca="1">_xll.BDH($C$3,"QUICK_RATIO","FQ1 2014","FQ1 2014","Currency=INR","Period=FQ","BEST_FPERIOD_OVERRIDE=FQ","FILING_STATUS=OR","EQY_CONSOLIDATED=Y","Sort=A","Dates=H","DateFormat=P","Fill=—","Direction=H","UseDPDF=Y")</f>
        <v>#NAME?</v>
      </c>
      <c r="CV4" s="2" t="e">
        <f ca="1">_xll.BDH($C$3,"ALTMAN_Z_SCORE","FQ1 2014","FQ1 2014","Currency=INR","Period=FQ","BEST_FPERIOD_OVERRIDE=FQ","FILING_STATUS=OR","EQY_CONSOLIDATED=Y","Sort=A","Dates=H","DateFormat=P","Fill=—","Direction=H","UseDPDF=Y")</f>
        <v>#NAME?</v>
      </c>
      <c r="CW4" s="4" t="e">
        <f ca="1">_xll.BDH($C$3,"ACCT_RCV_TURN","FQ1 2014","FQ1 2014","Currency=INR","Period=FQ","BEST_FPERIOD_OVERRIDE=FQ","FILING_STATUS=OR","EQY_CONSOLIDATED=Y","FA_ADJUSTED=GAAP","Sort=A","Dates=H","DateFormat=P","Fill=—","Direction=H","UseDPDF=Y")</f>
        <v>#NAME?</v>
      </c>
      <c r="CX4" s="2" t="e">
        <f ca="1">_xll.BDH($C$3,"ACCT_RCV_DAYS","FQ1 2014","FQ1 2014","Currency=INR","Period=FQ","BEST_FPERIOD_OVERRIDE=FQ","FILING_STATUS=OR","EQY_CONSOLIDATED=Y","FA_ADJUSTED=GAAP","Sort=A","Dates=H","DateFormat=P","Fill=—","Direction=H","UseDPDF=Y")</f>
        <v>#NAME?</v>
      </c>
      <c r="CY4" s="4" t="e">
        <f ca="1">_xll.BDH($C$3,"INVENT_TURN","FQ1 2014","FQ1 2014","Currency=INR","Period=FQ","BEST_FPERIOD_OVERRIDE=FQ","FILING_STATUS=OR","EQY_CONSOLIDATED=Y","FA_ADJUSTED=GAAP","Sort=A","Dates=H","DateFormat=P","Fill=—","Direction=H","UseDPDF=Y")</f>
        <v>#NAME?</v>
      </c>
      <c r="CZ4" s="2" t="e">
        <f ca="1">_xll.BDH($C$3,"INVENT_DAYS","FQ1 2014","FQ1 2014","Currency=INR","Period=FQ","BEST_FPERIOD_OVERRIDE=FQ","FILING_STATUS=OR","EQY_CONSOLIDATED=Y","FA_ADJUSTED=GAAP","Sort=A","Dates=H","DateFormat=P","Fill=—","Direction=H","UseDPDF=Y")</f>
        <v>#NAME?</v>
      </c>
      <c r="DA4" s="4" t="e">
        <f ca="1">_xll.BDH($C$3,"ACCOUNTS_PAYABLE_TURNOVER","FQ1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" s="2" t="e">
        <f ca="1">_xll.BDH($C$3,"ACCOUNTS_PAYABLE_TURNOVER_DAYS","FQ1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" s="4" t="e">
        <f ca="1">_xll.BDH($C$3,"CASH_CONVERSION_CYCLE","FQ1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" s="4" t="e">
        <f ca="1">_xll.BDH($C$3,"INV_TO_CASH_DAYS","FQ1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" s="5" t="e">
        <f ca="1">_xll.BDH($C$3,"BS_INVENTORIES","FQ1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" s="3" t="e">
        <f ca="1">_xll.BDH($C$3,"INVTRY_RAW_MATERIALS","FQ1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" s="3" t="e">
        <f ca="1">_xll.BDH($C$3,"INVTRY_IN_PROGRESS","FQ1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" s="3" t="e">
        <f ca="1">_xll.BDH($C$3,"INVTRY_FINISHED_GOODS","FQ1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" s="3" t="e">
        <f ca="1">_xll.BDH($C$3,"BS_OTHER_INV","FQ1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" spans="1:113" x14ac:dyDescent="0.3">
      <c r="A5" s="6"/>
      <c r="B5" s="6"/>
      <c r="C5" s="6"/>
      <c r="D5" s="6"/>
      <c r="E5" t="s">
        <v>79</v>
      </c>
      <c r="F5" t="e">
        <f ca="1">_xll.BDH($C$3,"RETURN_COM_EQY","FQ2 2014","FQ2 2014","Currency=INR","Period=FQ","BEST_FPERIOD_OVERRIDE=FQ","FILING_STATUS=OR","EQY_CONSOLIDATED=Y","FA_ADJUSTED=GAAP","Sort=A","Dates=H","DateFormat=P","Fill=—","Direction=H","UseDPDF=Y")</f>
        <v>#NAME?</v>
      </c>
      <c r="G5" t="e">
        <f ca="1">_xll.BDH($C$3,"RETURN_ON_ASSET","FQ2 2014","FQ2 2014","Currency=INR","Period=FQ","BEST_FPERIOD_OVERRIDE=FQ","FILING_STATUS=OR","EQY_CONSOLIDATED=Y","FA_ADJUSTED=GAAP","Sort=A","Dates=H","DateFormat=P","Fill=—","Direction=H","UseDPDF=Y")</f>
        <v>#NAME?</v>
      </c>
      <c r="H5" t="e">
        <f ca="1">_xll.BDH($C$3,"RETURN_ON_CAP","FQ2 2014","FQ2 2014","Currency=INR","Period=FQ","BEST_FPERIOD_OVERRIDE=FQ","FILING_STATUS=OR","EQY_CONSOLIDATED=Y","FA_ADJUSTED=GAAP","Sort=A","Dates=H","DateFormat=P","Fill=—","Direction=H","UseDPDF=Y")</f>
        <v>#NAME?</v>
      </c>
      <c r="I5" t="e">
        <f ca="1">_xll.BDH($C$3,"RETURN_ON_INV_CAPITAL","FQ2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" t="e">
        <f ca="1">_xll.BDH($C$3,"EBITDA_TO_REVENUE","FQ2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" t="e">
        <f ca="1">_xll.BDH($C$3,"OPER_MARGIN","FQ2 2014","FQ2 2014","Currency=INR","Period=FQ","BEST_FPERIOD_OVERRIDE=FQ","FILING_STATUS=OR","EQY_CONSOLIDATED=Y","FA_ADJUSTED=GAAP","Sort=A","Dates=H","DateFormat=P","Fill=—","Direction=H","UseDPDF=Y")</f>
        <v>#NAME?</v>
      </c>
      <c r="L5" t="e">
        <f ca="1">_xll.BDH($C$3,"INCREMENTAL_OPERATING_MARGIN","FQ2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" t="e">
        <f ca="1">_xll.BDH($C$3,"PRETAX_INC_TO_NET_SALES","FQ2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" t="e">
        <f ca="1">_xll.BDH($C$3,"INC_BEF_XO_ITEMS_TO_NET_SALES","FQ2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" t="e">
        <f ca="1">_xll.BDH($C$3,"PROF_MARGIN","FQ2 2014","FQ2 2014","Currency=INR","Period=FQ","BEST_FPERIOD_OVERRIDE=FQ","FILING_STATUS=OR","EQY_CONSOLIDATED=Y","FA_ADJUSTED=GAAP","Sort=A","Dates=H","DateFormat=P","Fill=—","Direction=H","UseDPDF=Y")</f>
        <v>#NAME?</v>
      </c>
      <c r="P5" t="e">
        <f ca="1">_xll.BDH($C$3,"NET_INCOME_TO_COMMON_MARGIN","FQ2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" t="e">
        <f ca="1">_xll.BDH($C$3,"EFF_TAX_RATE","FQ2 2014","FQ2 2014","Currency=INR","Period=FQ","BEST_FPERIOD_OVERRIDE=FQ","FILING_STATUS=OR","EQY_CONSOLIDATED=Y","FA_ADJUSTED=GAAP","Sort=A","Dates=H","DateFormat=P","Fill=—","Direction=H","UseDPDF=Y")</f>
        <v>#NAME?</v>
      </c>
      <c r="R5" t="e">
        <f ca="1">_xll.BDH($C$3,"DVD_PAYOUT_RATIO","FQ2 2014","FQ2 2014","Currency=INR","Period=FQ","BEST_FPERIOD_OVERRIDE=FQ","FILING_STATUS=OR","EQY_CONSOLIDATED=Y","FA_ADJUSTED=GAAP","Sort=A","Dates=H","DateFormat=P","Fill=—","Direction=H","UseDPDF=Y")</f>
        <v>#NAME?</v>
      </c>
      <c r="S5" t="e">
        <f ca="1">_xll.BDH($C$3,"SUSTAIN_GROWTH_RT","FQ2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" s="2" t="e">
        <f ca="1">_xll.BDH($C$3,"SALES_GROWTH","FQ2 2014","FQ2 2014","Currency=INR","Period=FQ","BEST_FPERIOD_OVERRIDE=FQ","FILING_STATUS=OR","EQY_CONSOLIDATED=Y","FA_ADJUSTED=GAAP","Sort=A","Dates=H","DateFormat=P","Fill=—","Direction=H","UseDPDF=Y")</f>
        <v>#NAME?</v>
      </c>
      <c r="U5" s="2" t="e">
        <f ca="1">_xll.BDH($C$3,"EBITDA_GROWTH","FQ2 2014","FQ2 2014","Currency=INR","Period=FQ","BEST_FPERIOD_OVERRIDE=FQ","FILING_STATUS=OR","EQY_CONSOLIDATED=Y","FA_ADJUSTED=GAAP","Sort=A","Dates=H","DateFormat=P","Fill=—","Direction=H","UseDPDF=Y")</f>
        <v>#NAME?</v>
      </c>
      <c r="V5" s="2" t="e">
        <f ca="1">_xll.BDH($C$3,"OPER_INC_GROWTH","FQ2 2014","FQ2 2014","Currency=INR","Period=FQ","BEST_FPERIOD_OVERRIDE=FQ","FILING_STATUS=OR","EQY_CONSOLIDATED=Y","FA_ADJUSTED=GAAP","Sort=A","Dates=H","DateFormat=P","Fill=—","Direction=H","UseDPDF=Y")</f>
        <v>#NAME?</v>
      </c>
      <c r="W5" s="2" t="e">
        <f ca="1">_xll.BDH($C$3,"EARN_FOR_COM_GROWTH","FQ2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" s="2" t="e">
        <f ca="1">_xll.BDH($C$3,"DILUTED_EPS_AFT_XO_ITEMS_GROWTH","FQ2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" s="2" t="e">
        <f ca="1">_xll.BDH($C$3,"DIVIDEND_PER_SHARE_1_YEAR_GROWTH","FQ2 2014","FQ2 2014","Currency=INR","Period=FQ","BEST_FPERIOD_OVERRIDE=FQ","FILING_STATUS=OR","EQY_CONSOLIDATED=Y","Sort=A","Dates=H","DateFormat=P","Fill=—","Direction=H","UseDPDF=Y")</f>
        <v>#NAME?</v>
      </c>
      <c r="Z5" s="2" t="e">
        <f ca="1">_xll.BDH($C$3,"ACCOUNTS_RECEIVABLE_GROWTH","FQ2 2014","FQ2 2014","Currency=INR","Period=FQ","BEST_FPERIOD_OVERRIDE=FQ","FILING_STATUS=OR","EQY_CONSOLIDATED=Y","Sort=A","Dates=H","DateFormat=P","Fill=—","Direction=H","UseDPDF=Y")</f>
        <v>#NAME?</v>
      </c>
      <c r="AA5" s="2" t="e">
        <f ca="1">_xll.BDH($C$3,"INVENTORY_GROWTH","FQ2 2014","FQ2 2014","Currency=INR","Period=FQ","BEST_FPERIOD_OVERRIDE=FQ","FILING_STATUS=OR","EQY_CONSOLIDATED=Y","Sort=A","Dates=H","DateFormat=P","Fill=—","Direction=H","UseDPDF=Y")</f>
        <v>#NAME?</v>
      </c>
      <c r="AB5" s="2" t="e">
        <f ca="1">_xll.BDH($C$3,"NET_FIXED_ASSETS_1_YEAR_GROWTH","FQ2 2014","FQ2 2014","Currency=INR","Period=FQ","BEST_FPERIOD_OVERRIDE=FQ","FILING_STATUS=OR","EQY_CONSOLIDATED=Y","Sort=A","Dates=H","DateFormat=P","Fill=—","Direction=H","UseDPDF=Y")</f>
        <v>#NAME?</v>
      </c>
      <c r="AC5" s="2" t="e">
        <f ca="1">_xll.BDH($C$3,"ASSET_GROWTH","FQ2 2014","FQ2 2014","Currency=INR","Period=FQ","BEST_FPERIOD_OVERRIDE=FQ","FILING_STATUS=OR","EQY_CONSOLIDATED=Y","Sort=A","Dates=H","DateFormat=P","Fill=—","Direction=H","UseDPDF=Y")</f>
        <v>#NAME?</v>
      </c>
      <c r="AD5" s="2" t="e">
        <f ca="1">_xll.BDH($C$3,"MODIFIED_WORK_CAP_GROWTH","FQ2 2014","FQ2 2014","Currency=INR","Period=FQ","BEST_FPERIOD_OVERRIDE=FQ","FILING_STATUS=OR","EQY_CONSOLIDATED=Y","Sort=A","Dates=H","DateFormat=P","Fill=—","Direction=H","UseDPDF=Y")</f>
        <v>#NAME?</v>
      </c>
      <c r="AE5" s="2" t="e">
        <f ca="1">_xll.BDH($C$3,"WORK_CAP_GROWTH","FQ2 2014","FQ2 2014","Currency=INR","Period=FQ","BEST_FPERIOD_OVERRIDE=FQ","FILING_STATUS=OR","EQY_CONSOLIDATED=Y","Sort=A","Dates=H","DateFormat=P","Fill=—","Direction=H","UseDPDF=Y")</f>
        <v>#NAME?</v>
      </c>
      <c r="AF5" s="2" t="e">
        <f ca="1">_xll.BDH($C$3,"ACCOUNTS_PAYABLE_GROWTH_1YR","FQ2 2014","FQ2 2014","Currency=INR","Period=FQ","BEST_FPERIOD_OVERRIDE=FQ","FILING_STATUS=OR","EQY_CONSOLIDATED=Y","Sort=A","Dates=H","DateFormat=P","Fill=—","Direction=H","UseDPDF=Y")</f>
        <v>#NAME?</v>
      </c>
      <c r="AG5" s="2" t="e">
        <f ca="1">_xll.BDH($C$3,"SHORT_TERM_DEBT_1_YEAR_GROWTH","FQ2 2014","FQ2 2014","Currency=INR","Period=FQ","BEST_FPERIOD_OVERRIDE=FQ","FILING_STATUS=OR","EQY_CONSOLIDATED=Y","Sort=A","Dates=H","DateFormat=P","Fill=—","Direction=H","UseDPDF=Y")</f>
        <v>#NAME?</v>
      </c>
      <c r="AH5" s="2" t="e">
        <f ca="1">_xll.BDH($C$3,"TOTAL_DEBT_1_YEAR_GROWTH","FQ2 2014","FQ2 2014","Currency=INR","Period=FQ","BEST_FPERIOD_OVERRIDE=FQ","FILING_STATUS=OR","EQY_CONSOLIDATED=Y","Sort=A","Dates=H","DateFormat=P","Fill=—","Direction=H","UseDPDF=Y")</f>
        <v>#NAME?</v>
      </c>
      <c r="AI5" s="2" t="e">
        <f ca="1">_xll.BDH($C$3,"TOTAL_EQUITY_1_YEAR_GROWTH","FQ2 2014","FQ2 2014","Currency=INR","Period=FQ","BEST_FPERIOD_OVERRIDE=FQ","FILING_STATUS=OR","EQY_CONSOLIDATED=Y","Sort=A","Dates=H","DateFormat=P","Fill=—","Direction=H","UseDPDF=Y")</f>
        <v>#NAME?</v>
      </c>
      <c r="AJ5" s="2" t="e">
        <f ca="1">_xll.BDH($C$3,"GROWTH_IN_CAP","FQ2 2014","FQ2 2014","Currency=INR","Period=FQ","BEST_FPERIOD_OVERRIDE=FQ","FILING_STATUS=OR","EQY_CONSOLIDATED=Y","Sort=A","Dates=H","DateFormat=P","Fill=—","Direction=H","UseDPDF=Y")</f>
        <v>#NAME?</v>
      </c>
      <c r="AK5" s="2" t="e">
        <f ca="1">_xll.BDH($C$3,"BVPS_GROWTH","FQ2 2014","FQ2 2014","Currency=INR","Period=FQ","BEST_FPERIOD_OVERRIDE=FQ","FILING_STATUS=OR","EQY_CONSOLIDATED=Y","Sort=A","Dates=H","DateFormat=P","Fill=—","Direction=H","UseDPDF=Y")</f>
        <v>#NAME?</v>
      </c>
      <c r="AL5" s="2" t="e">
        <f ca="1">_xll.BDH($C$3,"CASH_FLOW_GROWTH","FQ2 2014","FQ2 2014","Currency=INR","Period=FQ","BEST_FPERIOD_OVERRIDE=FQ","FILING_STATUS=OR","EQY_CONSOLIDATED=Y","Sort=A","Dates=H","DateFormat=P","Fill=—","Direction=H","UseDPDF=Y")</f>
        <v>#NAME?</v>
      </c>
      <c r="AM5" s="2" t="e">
        <f ca="1">_xll.BDH($C$3,"GEO_GROW_NET_SALES","FQ2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" s="2" t="e">
        <f ca="1">_xll.BDH($C$3,"GEO_GROW_EBITDA","FQ2 2014","FQ2 2014","Currency=INR","Period=FQ","BEST_FPERIOD_OVERRIDE=FQ","FILING_STATUS=OR","EQY_CONSOLIDATED=Y","FA_ADJUSTED=GAAP","Sort=A","Dates=H","DateFormat=P","Fill=—","Direction=H","UseDPDF=Y")</f>
        <v>#NAME?</v>
      </c>
      <c r="AO5" s="2" t="e">
        <f ca="1">_xll.BDH($C$3,"GEO_GROW_OPER_INC","FQ2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" s="2" t="e">
        <f ca="1">_xll.BDH($C$3,"NET_INCOME_TO_COMMON_5_YR_GROWTH","FQ2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" s="2" t="e">
        <f ca="1">_xll.BDH($C$3,"5Y_GEO_GROWTH_DILUTED_EPS","FQ2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" s="2" t="e">
        <f ca="1">_xll.BDH($C$3,"GEO_GROW_DVD_PER_SH","FQ2 2014","FQ2 2014","Currency=INR","Period=FQ","BEST_FPERIOD_OVERRIDE=FQ","FILING_STATUS=OR","EQY_CONSOLIDATED=Y","Sort=A","Dates=H","DateFormat=P","Fill=—","Direction=H","UseDPDF=Y")</f>
        <v>#NAME?</v>
      </c>
      <c r="AS5" s="2" t="e">
        <f ca="1">_xll.BDH($C$3,"ACCOUNTS_RECEIVABLE_5_YR_GROWTH","FQ2 2014","FQ2 2014","Currency=INR","Period=FQ","BEST_FPERIOD_OVERRIDE=FQ","FILING_STATUS=OR","EQY_CONSOLIDATED=Y","Sort=A","Dates=H","DateFormat=P","Fill=—","Direction=H","UseDPDF=Y")</f>
        <v>#NAME?</v>
      </c>
      <c r="AT5" s="2" t="e">
        <f ca="1">_xll.BDH($C$3,"INVENTORY_5_YEAR_GROWTH","FQ2 2014","FQ2 2014","Currency=INR","Period=FQ","BEST_FPERIOD_OVERRIDE=FQ","FILING_STATUS=OR","EQY_CONSOLIDATED=Y","Sort=A","Dates=H","DateFormat=P","Fill=—","Direction=H","UseDPDF=Y")</f>
        <v>#NAME?</v>
      </c>
      <c r="AU5" s="2" t="e">
        <f ca="1">_xll.BDH($C$3,"NET_FIXED_ASSETS_5_YEAR_GROWTH","FQ2 2014","FQ2 2014","Currency=INR","Period=FQ","BEST_FPERIOD_OVERRIDE=FQ","FILING_STATUS=OR","EQY_CONSOLIDATED=Y","Sort=A","Dates=H","DateFormat=P","Fill=—","Direction=H","UseDPDF=Y")</f>
        <v>#NAME?</v>
      </c>
      <c r="AV5" s="2" t="e">
        <f ca="1">_xll.BDH($C$3,"GEO_GROW_TOT_ASSET","FQ2 2014","FQ2 2014","Currency=INR","Period=FQ","BEST_FPERIOD_OVERRIDE=FQ","FILING_STATUS=OR","EQY_CONSOLIDATED=Y","Sort=A","Dates=H","DateFormat=P","Fill=—","Direction=H","UseDPDF=Y")</f>
        <v>#NAME?</v>
      </c>
      <c r="AW5" s="2" t="e">
        <f ca="1">_xll.BDH($C$3,"MODIFIED_WORKING_CPTL_5YR_GRWTH","FQ2 2014","FQ2 2014","Currency=INR","Period=FQ","BEST_FPERIOD_OVERRIDE=FQ","FILING_STATUS=OR","EQY_CONSOLIDATED=Y","Sort=A","Dates=H","DateFormat=P","Fill=—","Direction=H","UseDPDF=Y")</f>
        <v>#NAME?</v>
      </c>
      <c r="AX5" s="2" t="e">
        <f ca="1">_xll.BDH($C$3,"WORKING_CAPITAL_5_YEAR_GROWTH","FQ2 2014","FQ2 2014","Currency=INR","Period=FQ","BEST_FPERIOD_OVERRIDE=FQ","FILING_STATUS=OR","EQY_CONSOLIDATED=Y","Sort=A","Dates=H","DateFormat=P","Fill=—","Direction=H","UseDPDF=Y")</f>
        <v>#NAME?</v>
      </c>
      <c r="AY5" s="2" t="e">
        <f ca="1">_xll.BDH($C$3,"ACCOUNTS_PAYABLE_5_YEAR_GROWTH","FQ2 2014","FQ2 2014","Currency=INR","Period=FQ","BEST_FPERIOD_OVERRIDE=FQ","FILING_STATUS=OR","EQY_CONSOLIDATED=Y","Sort=A","Dates=H","DateFormat=P","Fill=—","Direction=H","UseDPDF=Y")</f>
        <v>#NAME?</v>
      </c>
      <c r="AZ5" s="2" t="e">
        <f ca="1">_xll.BDH($C$3,"SHORT_TERM_DEBT_5_YEAR_GROWTH","FQ2 2014","FQ2 2014","Currency=INR","Period=FQ","BEST_FPERIOD_OVERRIDE=FQ","FILING_STATUS=OR","EQY_CONSOLIDATED=Y","Sort=A","Dates=H","DateFormat=P","Fill=—","Direction=H","UseDPDF=Y")</f>
        <v>#NAME?</v>
      </c>
      <c r="BA5" s="2" t="e">
        <f ca="1">_xll.BDH($C$3,"TOTAL_DEBT_5_YEAR_GROWTH","FQ2 2014","FQ2 2014","Currency=INR","Period=FQ","BEST_FPERIOD_OVERRIDE=FQ","FILING_STATUS=OR","EQY_CONSOLIDATED=Y","Sort=A","Dates=H","DateFormat=P","Fill=—","Direction=H","UseDPDF=Y")</f>
        <v>#NAME?</v>
      </c>
      <c r="BB5" s="2" t="e">
        <f ca="1">_xll.BDH($C$3,"GEO_GROW_TOT_SHRHLDR_EQY","FQ2 2014","FQ2 2014","Currency=INR","Period=FQ","BEST_FPERIOD_OVERRIDE=FQ","FILING_STATUS=OR","EQY_CONSOLIDATED=Y","Sort=A","Dates=H","DateFormat=P","Fill=—","Direction=H","UseDPDF=Y")</f>
        <v>#NAME?</v>
      </c>
      <c r="BC5" s="2" t="e">
        <f ca="1">_xll.BDH($C$3,"TOTAL_CAPITAL_5_YEAR_GROWTH","FQ2 2014","FQ2 2014","Currency=INR","Period=FQ","BEST_FPERIOD_OVERRIDE=FQ","FILING_STATUS=OR","EQY_CONSOLIDATED=Y","Sort=A","Dates=H","DateFormat=P","Fill=—","Direction=H","UseDPDF=Y")</f>
        <v>#NAME?</v>
      </c>
      <c r="BD5" s="2" t="e">
        <f ca="1">_xll.BDH($C$3,"GEO_GROW_BOOK_VAL","FQ2 2014","FQ2 2014","Currency=INR","Period=FQ","BEST_FPERIOD_OVERRIDE=FQ","FILING_STATUS=OR","EQY_CONSOLIDATED=Y","Sort=A","Dates=H","DateFormat=P","Fill=—","Direction=H","UseDPDF=Y")</f>
        <v>#NAME?</v>
      </c>
      <c r="BE5" s="2" t="e">
        <f ca="1">_xll.BDH($C$3,"GEO_GROW_CASH_OPER_ACT","FQ2 2014","FQ2 2014","Currency=INR","Period=FQ","BEST_FPERIOD_OVERRIDE=FQ","FILING_STATUS=OR","EQY_CONSOLIDATED=Y","Sort=A","Dates=H","DateFormat=P","Fill=—","Direction=H","UseDPDF=Y")</f>
        <v>#NAME?</v>
      </c>
      <c r="BF5" s="2" t="e">
        <f ca="1">_xll.BDH($C$3,"REVENUE_SEQUENTIAL_GROWTH","FQ2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" s="2" t="e">
        <f ca="1">_xll.BDH($C$3,"EBITDA_SEQUENTIAL_GROWTH","FQ2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" s="2" t="e">
        <f ca="1">_xll.BDH($C$3,"OPERATING_INCOME_SEQ_GROWTH","FQ2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" s="2" t="e">
        <f ca="1">_xll.BDH($C$3,"NET_INCOME_TO_COMMON_SEQ_GROWTH","FQ2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" s="2" t="e">
        <f ca="1">_xll.BDH($C$3,"EPS_DILUTED_SEQUENTIAL_GROWTH","FQ2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" s="2" t="e">
        <f ca="1">_xll.BDH($C$3,"DPS_SEQUENTIAL_GROWTH","FQ2 2014","FQ2 2014","Currency=INR","Period=FQ","BEST_FPERIOD_OVERRIDE=FQ","FILING_STATUS=OR","EQY_CONSOLIDATED=Y","Sort=A","Dates=H","DateFormat=P","Fill=—","Direction=H","UseDPDF=Y")</f>
        <v>#NAME?</v>
      </c>
      <c r="BL5" s="2" t="e">
        <f ca="1">_xll.BDH($C$3,"ACCOUNTS_RECEIVABLE_SEQ_GROWTH","FQ2 2014","FQ2 2014","Currency=INR","Period=FQ","BEST_FPERIOD_OVERRIDE=FQ","FILING_STATUS=OR","EQY_CONSOLIDATED=Y","Sort=A","Dates=H","DateFormat=P","Fill=—","Direction=H","UseDPDF=Y")</f>
        <v>#NAME?</v>
      </c>
      <c r="BM5" s="2" t="e">
        <f ca="1">_xll.BDH($C$3,"INVENTORY_SEQUENTIAL_GROWTH","FQ2 2014","FQ2 2014","Currency=INR","Period=FQ","BEST_FPERIOD_OVERRIDE=FQ","FILING_STATUS=OR","EQY_CONSOLIDATED=Y","Sort=A","Dates=H","DateFormat=P","Fill=—","Direction=H","UseDPDF=Y")</f>
        <v>#NAME?</v>
      </c>
      <c r="BN5" s="2" t="e">
        <f ca="1">_xll.BDH($C$3,"FIXED_ASSETS_SEQUENTIAL_GROWTH","FQ2 2014","FQ2 2014","Currency=INR","Period=FQ","BEST_FPERIOD_OVERRIDE=FQ","FILING_STATUS=OR","EQY_CONSOLIDATED=Y","Sort=A","Dates=H","DateFormat=P","Fill=—","Direction=H","UseDPDF=Y")</f>
        <v>#NAME?</v>
      </c>
      <c r="BO5" s="2" t="e">
        <f ca="1">_xll.BDH($C$3,"TOTAL_ASSETS_SEQUENTIAL_GROWTH","FQ2 2014","FQ2 2014","Currency=INR","Period=FQ","BEST_FPERIOD_OVERRIDE=FQ","FILING_STATUS=OR","EQY_CONSOLIDATED=Y","Sort=A","Dates=H","DateFormat=P","Fill=—","Direction=H","UseDPDF=Y")</f>
        <v>#NAME?</v>
      </c>
      <c r="BP5" s="2" t="e">
        <f ca="1">_xll.BDH($C$3,"MODIFIED_WORKING_CPTL_SEQ_GRWTH","FQ2 2014","FQ2 2014","Currency=INR","Period=FQ","BEST_FPERIOD_OVERRIDE=FQ","FILING_STATUS=OR","EQY_CONSOLIDATED=Y","Sort=A","Dates=H","DateFormat=P","Fill=—","Direction=H","UseDPDF=Y")</f>
        <v>#NAME?</v>
      </c>
      <c r="BQ5" s="2" t="e">
        <f ca="1">_xll.BDH($C$3,"WORKING_CAPITAL_SEQ_GROWTH","FQ2 2014","FQ2 2014","Currency=INR","Period=FQ","BEST_FPERIOD_OVERRIDE=FQ","FILING_STATUS=OR","EQY_CONSOLIDATED=Y","Sort=A","Dates=H","DateFormat=P","Fill=—","Direction=H","UseDPDF=Y")</f>
        <v>#NAME?</v>
      </c>
      <c r="BR5" s="2" t="e">
        <f ca="1">_xll.BDH($C$3,"ACCOUNTS_PAYABLE_SEQ_GROWTH","FQ2 2014","FQ2 2014","Currency=INR","Period=FQ","BEST_FPERIOD_OVERRIDE=FQ","FILING_STATUS=OR","EQY_CONSOLIDATED=Y","Sort=A","Dates=H","DateFormat=P","Fill=—","Direction=H","UseDPDF=Y")</f>
        <v>#NAME?</v>
      </c>
      <c r="BS5" s="2" t="e">
        <f ca="1">_xll.BDH($C$3,"ST_DEBT_SEQUENTIAL_GROWTH","FQ2 2014","FQ2 2014","Currency=INR","Period=FQ","BEST_FPERIOD_OVERRIDE=FQ","FILING_STATUS=OR","EQY_CONSOLIDATED=Y","Sort=A","Dates=H","DateFormat=P","Fill=—","Direction=H","UseDPDF=Y")</f>
        <v>#NAME?</v>
      </c>
      <c r="BT5" s="2" t="e">
        <f ca="1">_xll.BDH($C$3,"TOTAL_DEBT_SEQUENTIAL_GROWTH","FQ2 2014","FQ2 2014","Currency=INR","Period=FQ","BEST_FPERIOD_OVERRIDE=FQ","FILING_STATUS=OR","EQY_CONSOLIDATED=Y","Sort=A","Dates=H","DateFormat=P","Fill=—","Direction=H","UseDPDF=Y")</f>
        <v>#NAME?</v>
      </c>
      <c r="BU5" s="2" t="e">
        <f ca="1">_xll.BDH($C$3,"TOTAL_EQUITY_SEQUENTIAL_GROWTH","FQ2 2014","FQ2 2014","Currency=INR","Period=FQ","BEST_FPERIOD_OVERRIDE=FQ","FILING_STATUS=OR","EQY_CONSOLIDATED=Y","Sort=A","Dates=H","DateFormat=P","Fill=—","Direction=H","UseDPDF=Y")</f>
        <v>#NAME?</v>
      </c>
      <c r="BV5" s="2" t="e">
        <f ca="1">_xll.BDH($C$3,"TOTAL_CAPITAL_SEQUENTIAL_GROWTH","FQ2 2014","FQ2 2014","Currency=INR","Period=FQ","BEST_FPERIOD_OVERRIDE=FQ","FILING_STATUS=OR","EQY_CONSOLIDATED=Y","Sort=A","Dates=H","DateFormat=P","Fill=—","Direction=H","UseDPDF=Y")</f>
        <v>#NAME?</v>
      </c>
      <c r="BW5" s="2" t="e">
        <f ca="1">_xll.BDH($C$3,"BPS_SEQUENTIAL_GROWTH","FQ2 2014","FQ2 2014","Currency=INR","Period=FQ","BEST_FPERIOD_OVERRIDE=FQ","FILING_STATUS=OR","EQY_CONSOLIDATED=Y","Sort=A","Dates=H","DateFormat=P","Fill=—","Direction=H","UseDPDF=Y")</f>
        <v>#NAME?</v>
      </c>
      <c r="BX5" s="2" t="e">
        <f ca="1">_xll.BDH($C$3,"CFO_SEQUENTIAL_GROWTH","FQ2 2014","FQ2 2014","Currency=INR","Period=FQ","BEST_FPERIOD_OVERRIDE=FQ","FILING_STATUS=OR","EQY_CONSOLIDATED=Y","Sort=A","Dates=H","DateFormat=P","Fill=—","Direction=H","UseDPDF=Y")</f>
        <v>#NAME?</v>
      </c>
      <c r="BY5" s="3" t="e">
        <f ca="1">_xll.BDH($C$3,"SHORT_AND_LONG_TERM_DEBT","FQ2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" s="3" t="e">
        <f ca="1">_xll.BDH($C$3,"BS_ST_BORROW","FQ2 2014","FQ2 2014","Currency=INR","Period=FQ","BEST_FPERIOD_OVERRIDE=FQ","FILING_STATUS=OR","EQY_CONSOLIDATED=Y","SCALING_FORMAT=MLN","Sort=A","Dates=H","DateFormat=P","Fill=—","Direction=H","UseDPDF=Y")</f>
        <v>#NAME?</v>
      </c>
      <c r="CA5" s="3" t="e">
        <f ca="1">_xll.BDH($C$3,"BS_LT_BORROW","FQ2 2014","FQ2 2014","Currency=INR","Period=FQ","BEST_FPERIOD_OVERRIDE=FQ","FILING_STATUS=OR","EQY_CONSOLIDATED=Y","SCALING_FORMAT=MLN","Sort=A","Dates=H","DateFormat=P","Fill=—","Direction=H","UseDPDF=Y")</f>
        <v>#NAME?</v>
      </c>
      <c r="CB5" s="2" t="e">
        <f ca="1">_xll.BDH($C$3,"TOT_DEBT_TO_EBITDA","FQ2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" s="2" t="e">
        <f ca="1">_xll.BDH($C$3,"NET_DEBT_TO_EBITDA","FQ2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" s="2" t="e">
        <f ca="1">_xll.BDH($C$3,"TOTAL_DEBT_TO_EBIT","FQ2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" s="2" t="e">
        <f ca="1">_xll.BDH($C$3,"NET_DEBT_TO_EBIT","FQ2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" s="2" t="e">
        <f ca="1">_xll.BDH($C$3,"EBITDA_TO_INTEREST_EXPN","FQ2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" s="2" t="e">
        <f ca="1">_xll.BDH($C$3,"COM_EQY_TO_TOT_ASSET","FQ2 2014","FQ2 2014","Currency=INR","Period=FQ","BEST_FPERIOD_OVERRIDE=FQ","FILING_STATUS=OR","EQY_CONSOLIDATED=Y","Sort=A","Dates=H","DateFormat=P","Fill=—","Direction=H","UseDPDF=Y")</f>
        <v>#NAME?</v>
      </c>
      <c r="CH5" s="2" t="e">
        <f ca="1">_xll.BDH($C$3,"LT_DEBT_TO_TOT_EQY","FQ2 2014","FQ2 2014","Currency=INR","Period=FQ","BEST_FPERIOD_OVERRIDE=FQ","FILING_STATUS=OR","EQY_CONSOLIDATED=Y","Sort=A","Dates=H","DateFormat=P","Fill=—","Direction=H","UseDPDF=Y")</f>
        <v>#NAME?</v>
      </c>
      <c r="CI5" s="2" t="e">
        <f ca="1">_xll.BDH($C$3,"LT_DEBT_TO_TOT_CAP","FQ2 2014","FQ2 2014","Currency=INR","Period=FQ","BEST_FPERIOD_OVERRIDE=FQ","FILING_STATUS=OR","EQY_CONSOLIDATED=Y","Sort=A","Dates=H","DateFormat=P","Fill=—","Direction=H","UseDPDF=Y")</f>
        <v>#NAME?</v>
      </c>
      <c r="CJ5" s="2" t="e">
        <f ca="1">_xll.BDH($C$3,"LT_DEBT_TO_TOT_ASSET","FQ2 2014","FQ2 2014","Currency=INR","Period=FQ","BEST_FPERIOD_OVERRIDE=FQ","FILING_STATUS=OR","EQY_CONSOLIDATED=Y","Sort=A","Dates=H","DateFormat=P","Fill=—","Direction=H","UseDPDF=Y")</f>
        <v>#NAME?</v>
      </c>
      <c r="CK5" s="2" t="e">
        <f ca="1">_xll.BDH($C$3,"TOT_DEBT_TO_TOT_EQY","FQ2 2014","FQ2 2014","Currency=INR","Period=FQ","BEST_FPERIOD_OVERRIDE=FQ","FILING_STATUS=OR","EQY_CONSOLIDATED=Y","Sort=A","Dates=H","DateFormat=P","Fill=—","Direction=H","UseDPDF=Y")</f>
        <v>#NAME?</v>
      </c>
      <c r="CL5" s="2" t="e">
        <f ca="1">_xll.BDH($C$3,"TOT_DEBT_TO_TOT_CAP","FQ2 2014","FQ2 2014","Currency=INR","Period=FQ","BEST_FPERIOD_OVERRIDE=FQ","FILING_STATUS=OR","EQY_CONSOLIDATED=Y","Sort=A","Dates=H","DateFormat=P","Fill=—","Direction=H","UseDPDF=Y")</f>
        <v>#NAME?</v>
      </c>
      <c r="CM5" s="2" t="e">
        <f ca="1">_xll.BDH($C$3,"TOT_DEBT_TO_TOT_ASSET","FQ2 2014","FQ2 2014","Currency=INR","Period=FQ","BEST_FPERIOD_OVERRIDE=FQ","FILING_STATUS=OR","EQY_CONSOLIDATED=Y","Sort=A","Dates=H","DateFormat=P","Fill=—","Direction=H","UseDPDF=Y")</f>
        <v>#NAME?</v>
      </c>
      <c r="CN5" s="2" t="e">
        <f ca="1">_xll.BDH($C$3,"NET_DEBT_TO_SHRHLDR_EQTY","FQ2 2014","FQ2 2014","Currency=INR","Period=FQ","BEST_FPERIOD_OVERRIDE=FQ","FILING_STATUS=OR","EQY_CONSOLIDATED=Y","Sort=A","Dates=H","DateFormat=P","Fill=—","Direction=H","UseDPDF=Y")</f>
        <v>#NAME?</v>
      </c>
      <c r="CO5" s="2" t="e">
        <f ca="1">_xll.BDH($C$3,"NET_DEBT_%_CAPITAL","FQ2 2014","FQ2 2014","Currency=INR","Period=FQ","BEST_FPERIOD_OVERRIDE=FQ","FILING_STATUS=OR","EQY_CONSOLIDATED=Y","Sort=A","Dates=H","DateFormat=P","Fill=—","Direction=H","UseDPDF=Y")</f>
        <v>#NAME?</v>
      </c>
      <c r="CP5" s="3" t="e">
        <f ca="1">_xll.BDH($C$3,"EBITDA","FQ2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" s="3" t="e">
        <f ca="1">_xll.BDH($C$3,"EBITDA_AFTER_CAPEX","FQ2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" s="3" t="e">
        <f ca="1">_xll.BDH($C$3,"IS_OPER_INC","FQ2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" s="2" t="e">
        <f ca="1">_xll.BDH($C$3,"CASH_RATIO","FQ2 2014","FQ2 2014","Currency=INR","Period=FQ","BEST_FPERIOD_OVERRIDE=FQ","FILING_STATUS=OR","EQY_CONSOLIDATED=Y","Sort=A","Dates=H","DateFormat=P","Fill=—","Direction=H","UseDPDF=Y")</f>
        <v>#NAME?</v>
      </c>
      <c r="CT5" s="2" t="e">
        <f ca="1">_xll.BDH($C$3,"CUR_RATIO","FQ2 2014","FQ2 2014","Currency=INR","Period=FQ","BEST_FPERIOD_OVERRIDE=FQ","FILING_STATUS=OR","EQY_CONSOLIDATED=Y","Sort=A","Dates=H","DateFormat=P","Fill=—","Direction=H","UseDPDF=Y")</f>
        <v>#NAME?</v>
      </c>
      <c r="CU5" s="2" t="e">
        <f ca="1">_xll.BDH($C$3,"QUICK_RATIO","FQ2 2014","FQ2 2014","Currency=INR","Period=FQ","BEST_FPERIOD_OVERRIDE=FQ","FILING_STATUS=OR","EQY_CONSOLIDATED=Y","Sort=A","Dates=H","DateFormat=P","Fill=—","Direction=H","UseDPDF=Y")</f>
        <v>#NAME?</v>
      </c>
      <c r="CV5" s="2" t="e">
        <f ca="1">_xll.BDH($C$3,"ALTMAN_Z_SCORE","FQ2 2014","FQ2 2014","Currency=INR","Period=FQ","BEST_FPERIOD_OVERRIDE=FQ","FILING_STATUS=OR","EQY_CONSOLIDATED=Y","Sort=A","Dates=H","DateFormat=P","Fill=—","Direction=H","UseDPDF=Y")</f>
        <v>#NAME?</v>
      </c>
      <c r="CW5" s="4" t="e">
        <f ca="1">_xll.BDH($C$3,"ACCT_RCV_TURN","FQ2 2014","FQ2 2014","Currency=INR","Period=FQ","BEST_FPERIOD_OVERRIDE=FQ","FILING_STATUS=OR","EQY_CONSOLIDATED=Y","FA_ADJUSTED=GAAP","Sort=A","Dates=H","DateFormat=P","Fill=—","Direction=H","UseDPDF=Y")</f>
        <v>#NAME?</v>
      </c>
      <c r="CX5" s="2" t="e">
        <f ca="1">_xll.BDH($C$3,"ACCT_RCV_DAYS","FQ2 2014","FQ2 2014","Currency=INR","Period=FQ","BEST_FPERIOD_OVERRIDE=FQ","FILING_STATUS=OR","EQY_CONSOLIDATED=Y","FA_ADJUSTED=GAAP","Sort=A","Dates=H","DateFormat=P","Fill=—","Direction=H","UseDPDF=Y")</f>
        <v>#NAME?</v>
      </c>
      <c r="CY5" s="4" t="e">
        <f ca="1">_xll.BDH($C$3,"INVENT_TURN","FQ2 2014","FQ2 2014","Currency=INR","Period=FQ","BEST_FPERIOD_OVERRIDE=FQ","FILING_STATUS=OR","EQY_CONSOLIDATED=Y","FA_ADJUSTED=GAAP","Sort=A","Dates=H","DateFormat=P","Fill=—","Direction=H","UseDPDF=Y")</f>
        <v>#NAME?</v>
      </c>
      <c r="CZ5" s="2" t="e">
        <f ca="1">_xll.BDH($C$3,"INVENT_DAYS","FQ2 2014","FQ2 2014","Currency=INR","Period=FQ","BEST_FPERIOD_OVERRIDE=FQ","FILING_STATUS=OR","EQY_CONSOLIDATED=Y","FA_ADJUSTED=GAAP","Sort=A","Dates=H","DateFormat=P","Fill=—","Direction=H","UseDPDF=Y")</f>
        <v>#NAME?</v>
      </c>
      <c r="DA5" s="4" t="e">
        <f ca="1">_xll.BDH($C$3,"ACCOUNTS_PAYABLE_TURNOVER","FQ2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" s="2" t="e">
        <f ca="1">_xll.BDH($C$3,"ACCOUNTS_PAYABLE_TURNOVER_DAYS","FQ2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" s="4" t="e">
        <f ca="1">_xll.BDH($C$3,"CASH_CONVERSION_CYCLE","FQ2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" s="4" t="e">
        <f ca="1">_xll.BDH($C$3,"INV_TO_CASH_DAYS","FQ2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" s="5" t="e">
        <f ca="1">_xll.BDH($C$3,"BS_INVENTORIES","FQ2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" s="3" t="e">
        <f ca="1">_xll.BDH($C$3,"INVTRY_RAW_MATERIALS","FQ2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" s="3" t="e">
        <f ca="1">_xll.BDH($C$3,"INVTRY_IN_PROGRESS","FQ2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" s="3" t="e">
        <f ca="1">_xll.BDH($C$3,"INVTRY_FINISHED_GOODS","FQ2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" s="3" t="e">
        <f ca="1">_xll.BDH($C$3,"BS_OTHER_INV","FQ2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" spans="1:113" x14ac:dyDescent="0.3">
      <c r="A6" s="6"/>
      <c r="B6" s="6"/>
      <c r="C6" s="6"/>
      <c r="D6" s="6"/>
      <c r="E6" t="s">
        <v>80</v>
      </c>
      <c r="F6" t="e">
        <f ca="1">_xll.BDH($C$3,"RETURN_COM_EQY","FQ3 2014","FQ3 2014","Currency=INR","Period=FQ","BEST_FPERIOD_OVERRIDE=FQ","FILING_STATUS=OR","EQY_CONSOLIDATED=Y","FA_ADJUSTED=GAAP","Sort=A","Dates=H","DateFormat=P","Fill=—","Direction=H","UseDPDF=Y")</f>
        <v>#NAME?</v>
      </c>
      <c r="G6" t="e">
        <f ca="1">_xll.BDH($C$3,"RETURN_ON_ASSET","FQ3 2014","FQ3 2014","Currency=INR","Period=FQ","BEST_FPERIOD_OVERRIDE=FQ","FILING_STATUS=OR","EQY_CONSOLIDATED=Y","FA_ADJUSTED=GAAP","Sort=A","Dates=H","DateFormat=P","Fill=—","Direction=H","UseDPDF=Y")</f>
        <v>#NAME?</v>
      </c>
      <c r="H6" t="e">
        <f ca="1">_xll.BDH($C$3,"RETURN_ON_CAP","FQ3 2014","FQ3 2014","Currency=INR","Period=FQ","BEST_FPERIOD_OVERRIDE=FQ","FILING_STATUS=OR","EQY_CONSOLIDATED=Y","FA_ADJUSTED=GAAP","Sort=A","Dates=H","DateFormat=P","Fill=—","Direction=H","UseDPDF=Y")</f>
        <v>#NAME?</v>
      </c>
      <c r="I6" t="e">
        <f ca="1">_xll.BDH($C$3,"RETURN_ON_INV_CAPITAL","FQ3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" t="e">
        <f ca="1">_xll.BDH($C$3,"EBITDA_TO_REVENUE","FQ3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" t="e">
        <f ca="1">_xll.BDH($C$3,"OPER_MARGIN","FQ3 2014","FQ3 2014","Currency=INR","Period=FQ","BEST_FPERIOD_OVERRIDE=FQ","FILING_STATUS=OR","EQY_CONSOLIDATED=Y","FA_ADJUSTED=GAAP","Sort=A","Dates=H","DateFormat=P","Fill=—","Direction=H","UseDPDF=Y")</f>
        <v>#NAME?</v>
      </c>
      <c r="L6" t="e">
        <f ca="1">_xll.BDH($C$3,"INCREMENTAL_OPERATING_MARGIN","FQ3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" t="e">
        <f ca="1">_xll.BDH($C$3,"PRETAX_INC_TO_NET_SALES","FQ3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" t="e">
        <f ca="1">_xll.BDH($C$3,"INC_BEF_XO_ITEMS_TO_NET_SALES","FQ3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" t="e">
        <f ca="1">_xll.BDH($C$3,"PROF_MARGIN","FQ3 2014","FQ3 2014","Currency=INR","Period=FQ","BEST_FPERIOD_OVERRIDE=FQ","FILING_STATUS=OR","EQY_CONSOLIDATED=Y","FA_ADJUSTED=GAAP","Sort=A","Dates=H","DateFormat=P","Fill=—","Direction=H","UseDPDF=Y")</f>
        <v>#NAME?</v>
      </c>
      <c r="P6" t="e">
        <f ca="1">_xll.BDH($C$3,"NET_INCOME_TO_COMMON_MARGIN","FQ3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" t="e">
        <f ca="1">_xll.BDH($C$3,"EFF_TAX_RATE","FQ3 2014","FQ3 2014","Currency=INR","Period=FQ","BEST_FPERIOD_OVERRIDE=FQ","FILING_STATUS=OR","EQY_CONSOLIDATED=Y","FA_ADJUSTED=GAAP","Sort=A","Dates=H","DateFormat=P","Fill=—","Direction=H","UseDPDF=Y")</f>
        <v>#NAME?</v>
      </c>
      <c r="R6" t="e">
        <f ca="1">_xll.BDH($C$3,"DVD_PAYOUT_RATIO","FQ3 2014","FQ3 2014","Currency=INR","Period=FQ","BEST_FPERIOD_OVERRIDE=FQ","FILING_STATUS=OR","EQY_CONSOLIDATED=Y","FA_ADJUSTED=GAAP","Sort=A","Dates=H","DateFormat=P","Fill=—","Direction=H","UseDPDF=Y")</f>
        <v>#NAME?</v>
      </c>
      <c r="S6" t="e">
        <f ca="1">_xll.BDH($C$3,"SUSTAIN_GROWTH_RT","FQ3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" s="2" t="e">
        <f ca="1">_xll.BDH($C$3,"SALES_GROWTH","FQ3 2014","FQ3 2014","Currency=INR","Period=FQ","BEST_FPERIOD_OVERRIDE=FQ","FILING_STATUS=OR","EQY_CONSOLIDATED=Y","FA_ADJUSTED=GAAP","Sort=A","Dates=H","DateFormat=P","Fill=—","Direction=H","UseDPDF=Y")</f>
        <v>#NAME?</v>
      </c>
      <c r="U6" s="2" t="e">
        <f ca="1">_xll.BDH($C$3,"EBITDA_GROWTH","FQ3 2014","FQ3 2014","Currency=INR","Period=FQ","BEST_FPERIOD_OVERRIDE=FQ","FILING_STATUS=OR","EQY_CONSOLIDATED=Y","FA_ADJUSTED=GAAP","Sort=A","Dates=H","DateFormat=P","Fill=—","Direction=H","UseDPDF=Y")</f>
        <v>#NAME?</v>
      </c>
      <c r="V6" s="2" t="e">
        <f ca="1">_xll.BDH($C$3,"OPER_INC_GROWTH","FQ3 2014","FQ3 2014","Currency=INR","Period=FQ","BEST_FPERIOD_OVERRIDE=FQ","FILING_STATUS=OR","EQY_CONSOLIDATED=Y","FA_ADJUSTED=GAAP","Sort=A","Dates=H","DateFormat=P","Fill=—","Direction=H","UseDPDF=Y")</f>
        <v>#NAME?</v>
      </c>
      <c r="W6" s="2" t="e">
        <f ca="1">_xll.BDH($C$3,"EARN_FOR_COM_GROWTH","FQ3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" s="2" t="e">
        <f ca="1">_xll.BDH($C$3,"DILUTED_EPS_AFT_XO_ITEMS_GROWTH","FQ3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" s="2" t="e">
        <f ca="1">_xll.BDH($C$3,"DIVIDEND_PER_SHARE_1_YEAR_GROWTH","FQ3 2014","FQ3 2014","Currency=INR","Period=FQ","BEST_FPERIOD_OVERRIDE=FQ","FILING_STATUS=OR","EQY_CONSOLIDATED=Y","Sort=A","Dates=H","DateFormat=P","Fill=—","Direction=H","UseDPDF=Y")</f>
        <v>#NAME?</v>
      </c>
      <c r="Z6" s="2" t="e">
        <f ca="1">_xll.BDH($C$3,"ACCOUNTS_RECEIVABLE_GROWTH","FQ3 2014","FQ3 2014","Currency=INR","Period=FQ","BEST_FPERIOD_OVERRIDE=FQ","FILING_STATUS=OR","EQY_CONSOLIDATED=Y","Sort=A","Dates=H","DateFormat=P","Fill=—","Direction=H","UseDPDF=Y")</f>
        <v>#NAME?</v>
      </c>
      <c r="AA6" s="2" t="e">
        <f ca="1">_xll.BDH($C$3,"INVENTORY_GROWTH","FQ3 2014","FQ3 2014","Currency=INR","Period=FQ","BEST_FPERIOD_OVERRIDE=FQ","FILING_STATUS=OR","EQY_CONSOLIDATED=Y","Sort=A","Dates=H","DateFormat=P","Fill=—","Direction=H","UseDPDF=Y")</f>
        <v>#NAME?</v>
      </c>
      <c r="AB6" s="2" t="e">
        <f ca="1">_xll.BDH($C$3,"NET_FIXED_ASSETS_1_YEAR_GROWTH","FQ3 2014","FQ3 2014","Currency=INR","Period=FQ","BEST_FPERIOD_OVERRIDE=FQ","FILING_STATUS=OR","EQY_CONSOLIDATED=Y","Sort=A","Dates=H","DateFormat=P","Fill=—","Direction=H","UseDPDF=Y")</f>
        <v>#NAME?</v>
      </c>
      <c r="AC6" s="2" t="e">
        <f ca="1">_xll.BDH($C$3,"ASSET_GROWTH","FQ3 2014","FQ3 2014","Currency=INR","Period=FQ","BEST_FPERIOD_OVERRIDE=FQ","FILING_STATUS=OR","EQY_CONSOLIDATED=Y","Sort=A","Dates=H","DateFormat=P","Fill=—","Direction=H","UseDPDF=Y")</f>
        <v>#NAME?</v>
      </c>
      <c r="AD6" s="2" t="e">
        <f ca="1">_xll.BDH($C$3,"MODIFIED_WORK_CAP_GROWTH","FQ3 2014","FQ3 2014","Currency=INR","Period=FQ","BEST_FPERIOD_OVERRIDE=FQ","FILING_STATUS=OR","EQY_CONSOLIDATED=Y","Sort=A","Dates=H","DateFormat=P","Fill=—","Direction=H","UseDPDF=Y")</f>
        <v>#NAME?</v>
      </c>
      <c r="AE6" s="2" t="e">
        <f ca="1">_xll.BDH($C$3,"WORK_CAP_GROWTH","FQ3 2014","FQ3 2014","Currency=INR","Period=FQ","BEST_FPERIOD_OVERRIDE=FQ","FILING_STATUS=OR","EQY_CONSOLIDATED=Y","Sort=A","Dates=H","DateFormat=P","Fill=—","Direction=H","UseDPDF=Y")</f>
        <v>#NAME?</v>
      </c>
      <c r="AF6" s="2" t="e">
        <f ca="1">_xll.BDH($C$3,"ACCOUNTS_PAYABLE_GROWTH_1YR","FQ3 2014","FQ3 2014","Currency=INR","Period=FQ","BEST_FPERIOD_OVERRIDE=FQ","FILING_STATUS=OR","EQY_CONSOLIDATED=Y","Sort=A","Dates=H","DateFormat=P","Fill=—","Direction=H","UseDPDF=Y")</f>
        <v>#NAME?</v>
      </c>
      <c r="AG6" s="2" t="e">
        <f ca="1">_xll.BDH($C$3,"SHORT_TERM_DEBT_1_YEAR_GROWTH","FQ3 2014","FQ3 2014","Currency=INR","Period=FQ","BEST_FPERIOD_OVERRIDE=FQ","FILING_STATUS=OR","EQY_CONSOLIDATED=Y","Sort=A","Dates=H","DateFormat=P","Fill=—","Direction=H","UseDPDF=Y")</f>
        <v>#NAME?</v>
      </c>
      <c r="AH6" s="2" t="e">
        <f ca="1">_xll.BDH($C$3,"TOTAL_DEBT_1_YEAR_GROWTH","FQ3 2014","FQ3 2014","Currency=INR","Period=FQ","BEST_FPERIOD_OVERRIDE=FQ","FILING_STATUS=OR","EQY_CONSOLIDATED=Y","Sort=A","Dates=H","DateFormat=P","Fill=—","Direction=H","UseDPDF=Y")</f>
        <v>#NAME?</v>
      </c>
      <c r="AI6" s="2" t="e">
        <f ca="1">_xll.BDH($C$3,"TOTAL_EQUITY_1_YEAR_GROWTH","FQ3 2014","FQ3 2014","Currency=INR","Period=FQ","BEST_FPERIOD_OVERRIDE=FQ","FILING_STATUS=OR","EQY_CONSOLIDATED=Y","Sort=A","Dates=H","DateFormat=P","Fill=—","Direction=H","UseDPDF=Y")</f>
        <v>#NAME?</v>
      </c>
      <c r="AJ6" s="2" t="e">
        <f ca="1">_xll.BDH($C$3,"GROWTH_IN_CAP","FQ3 2014","FQ3 2014","Currency=INR","Period=FQ","BEST_FPERIOD_OVERRIDE=FQ","FILING_STATUS=OR","EQY_CONSOLIDATED=Y","Sort=A","Dates=H","DateFormat=P","Fill=—","Direction=H","UseDPDF=Y")</f>
        <v>#NAME?</v>
      </c>
      <c r="AK6" s="2" t="e">
        <f ca="1">_xll.BDH($C$3,"BVPS_GROWTH","FQ3 2014","FQ3 2014","Currency=INR","Period=FQ","BEST_FPERIOD_OVERRIDE=FQ","FILING_STATUS=OR","EQY_CONSOLIDATED=Y","Sort=A","Dates=H","DateFormat=P","Fill=—","Direction=H","UseDPDF=Y")</f>
        <v>#NAME?</v>
      </c>
      <c r="AL6" s="2" t="e">
        <f ca="1">_xll.BDH($C$3,"CASH_FLOW_GROWTH","FQ3 2014","FQ3 2014","Currency=INR","Period=FQ","BEST_FPERIOD_OVERRIDE=FQ","FILING_STATUS=OR","EQY_CONSOLIDATED=Y","Sort=A","Dates=H","DateFormat=P","Fill=—","Direction=H","UseDPDF=Y")</f>
        <v>#NAME?</v>
      </c>
      <c r="AM6" s="2" t="e">
        <f ca="1">_xll.BDH($C$3,"GEO_GROW_NET_SALES","FQ3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" s="2" t="e">
        <f ca="1">_xll.BDH($C$3,"GEO_GROW_EBITDA","FQ3 2014","FQ3 2014","Currency=INR","Period=FQ","BEST_FPERIOD_OVERRIDE=FQ","FILING_STATUS=OR","EQY_CONSOLIDATED=Y","FA_ADJUSTED=GAAP","Sort=A","Dates=H","DateFormat=P","Fill=—","Direction=H","UseDPDF=Y")</f>
        <v>#NAME?</v>
      </c>
      <c r="AO6" s="2" t="e">
        <f ca="1">_xll.BDH($C$3,"GEO_GROW_OPER_INC","FQ3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" s="2" t="e">
        <f ca="1">_xll.BDH($C$3,"NET_INCOME_TO_COMMON_5_YR_GROWTH","FQ3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" s="2" t="e">
        <f ca="1">_xll.BDH($C$3,"5Y_GEO_GROWTH_DILUTED_EPS","FQ3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" s="2" t="e">
        <f ca="1">_xll.BDH($C$3,"GEO_GROW_DVD_PER_SH","FQ3 2014","FQ3 2014","Currency=INR","Period=FQ","BEST_FPERIOD_OVERRIDE=FQ","FILING_STATUS=OR","EQY_CONSOLIDATED=Y","Sort=A","Dates=H","DateFormat=P","Fill=—","Direction=H","UseDPDF=Y")</f>
        <v>#NAME?</v>
      </c>
      <c r="AS6" s="2" t="e">
        <f ca="1">_xll.BDH($C$3,"ACCOUNTS_RECEIVABLE_5_YR_GROWTH","FQ3 2014","FQ3 2014","Currency=INR","Period=FQ","BEST_FPERIOD_OVERRIDE=FQ","FILING_STATUS=OR","EQY_CONSOLIDATED=Y","Sort=A","Dates=H","DateFormat=P","Fill=—","Direction=H","UseDPDF=Y")</f>
        <v>#NAME?</v>
      </c>
      <c r="AT6" s="2" t="e">
        <f ca="1">_xll.BDH($C$3,"INVENTORY_5_YEAR_GROWTH","FQ3 2014","FQ3 2014","Currency=INR","Period=FQ","BEST_FPERIOD_OVERRIDE=FQ","FILING_STATUS=OR","EQY_CONSOLIDATED=Y","Sort=A","Dates=H","DateFormat=P","Fill=—","Direction=H","UseDPDF=Y")</f>
        <v>#NAME?</v>
      </c>
      <c r="AU6" s="2" t="e">
        <f ca="1">_xll.BDH($C$3,"NET_FIXED_ASSETS_5_YEAR_GROWTH","FQ3 2014","FQ3 2014","Currency=INR","Period=FQ","BEST_FPERIOD_OVERRIDE=FQ","FILING_STATUS=OR","EQY_CONSOLIDATED=Y","Sort=A","Dates=H","DateFormat=P","Fill=—","Direction=H","UseDPDF=Y")</f>
        <v>#NAME?</v>
      </c>
      <c r="AV6" s="2" t="e">
        <f ca="1">_xll.BDH($C$3,"GEO_GROW_TOT_ASSET","FQ3 2014","FQ3 2014","Currency=INR","Period=FQ","BEST_FPERIOD_OVERRIDE=FQ","FILING_STATUS=OR","EQY_CONSOLIDATED=Y","Sort=A","Dates=H","DateFormat=P","Fill=—","Direction=H","UseDPDF=Y")</f>
        <v>#NAME?</v>
      </c>
      <c r="AW6" s="2" t="e">
        <f ca="1">_xll.BDH($C$3,"MODIFIED_WORKING_CPTL_5YR_GRWTH","FQ3 2014","FQ3 2014","Currency=INR","Period=FQ","BEST_FPERIOD_OVERRIDE=FQ","FILING_STATUS=OR","EQY_CONSOLIDATED=Y","Sort=A","Dates=H","DateFormat=P","Fill=—","Direction=H","UseDPDF=Y")</f>
        <v>#NAME?</v>
      </c>
      <c r="AX6" s="2" t="e">
        <f ca="1">_xll.BDH($C$3,"WORKING_CAPITAL_5_YEAR_GROWTH","FQ3 2014","FQ3 2014","Currency=INR","Period=FQ","BEST_FPERIOD_OVERRIDE=FQ","FILING_STATUS=OR","EQY_CONSOLIDATED=Y","Sort=A","Dates=H","DateFormat=P","Fill=—","Direction=H","UseDPDF=Y")</f>
        <v>#NAME?</v>
      </c>
      <c r="AY6" s="2" t="e">
        <f ca="1">_xll.BDH($C$3,"ACCOUNTS_PAYABLE_5_YEAR_GROWTH","FQ3 2014","FQ3 2014","Currency=INR","Period=FQ","BEST_FPERIOD_OVERRIDE=FQ","FILING_STATUS=OR","EQY_CONSOLIDATED=Y","Sort=A","Dates=H","DateFormat=P","Fill=—","Direction=H","UseDPDF=Y")</f>
        <v>#NAME?</v>
      </c>
      <c r="AZ6" s="2" t="e">
        <f ca="1">_xll.BDH($C$3,"SHORT_TERM_DEBT_5_YEAR_GROWTH","FQ3 2014","FQ3 2014","Currency=INR","Period=FQ","BEST_FPERIOD_OVERRIDE=FQ","FILING_STATUS=OR","EQY_CONSOLIDATED=Y","Sort=A","Dates=H","DateFormat=P","Fill=—","Direction=H","UseDPDF=Y")</f>
        <v>#NAME?</v>
      </c>
      <c r="BA6" s="2" t="e">
        <f ca="1">_xll.BDH($C$3,"TOTAL_DEBT_5_YEAR_GROWTH","FQ3 2014","FQ3 2014","Currency=INR","Period=FQ","BEST_FPERIOD_OVERRIDE=FQ","FILING_STATUS=OR","EQY_CONSOLIDATED=Y","Sort=A","Dates=H","DateFormat=P","Fill=—","Direction=H","UseDPDF=Y")</f>
        <v>#NAME?</v>
      </c>
      <c r="BB6" s="2" t="e">
        <f ca="1">_xll.BDH($C$3,"GEO_GROW_TOT_SHRHLDR_EQY","FQ3 2014","FQ3 2014","Currency=INR","Period=FQ","BEST_FPERIOD_OVERRIDE=FQ","FILING_STATUS=OR","EQY_CONSOLIDATED=Y","Sort=A","Dates=H","DateFormat=P","Fill=—","Direction=H","UseDPDF=Y")</f>
        <v>#NAME?</v>
      </c>
      <c r="BC6" s="2" t="e">
        <f ca="1">_xll.BDH($C$3,"TOTAL_CAPITAL_5_YEAR_GROWTH","FQ3 2014","FQ3 2014","Currency=INR","Period=FQ","BEST_FPERIOD_OVERRIDE=FQ","FILING_STATUS=OR","EQY_CONSOLIDATED=Y","Sort=A","Dates=H","DateFormat=P","Fill=—","Direction=H","UseDPDF=Y")</f>
        <v>#NAME?</v>
      </c>
      <c r="BD6" s="2" t="e">
        <f ca="1">_xll.BDH($C$3,"GEO_GROW_BOOK_VAL","FQ3 2014","FQ3 2014","Currency=INR","Period=FQ","BEST_FPERIOD_OVERRIDE=FQ","FILING_STATUS=OR","EQY_CONSOLIDATED=Y","Sort=A","Dates=H","DateFormat=P","Fill=—","Direction=H","UseDPDF=Y")</f>
        <v>#NAME?</v>
      </c>
      <c r="BE6" s="2" t="e">
        <f ca="1">_xll.BDH($C$3,"GEO_GROW_CASH_OPER_ACT","FQ3 2014","FQ3 2014","Currency=INR","Period=FQ","BEST_FPERIOD_OVERRIDE=FQ","FILING_STATUS=OR","EQY_CONSOLIDATED=Y","Sort=A","Dates=H","DateFormat=P","Fill=—","Direction=H","UseDPDF=Y")</f>
        <v>#NAME?</v>
      </c>
      <c r="BF6" s="2" t="e">
        <f ca="1">_xll.BDH($C$3,"REVENUE_SEQUENTIAL_GROWTH","FQ3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" s="2" t="e">
        <f ca="1">_xll.BDH($C$3,"EBITDA_SEQUENTIAL_GROWTH","FQ3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" s="2" t="e">
        <f ca="1">_xll.BDH($C$3,"OPERATING_INCOME_SEQ_GROWTH","FQ3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" s="2" t="e">
        <f ca="1">_xll.BDH($C$3,"NET_INCOME_TO_COMMON_SEQ_GROWTH","FQ3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" s="2" t="e">
        <f ca="1">_xll.BDH($C$3,"EPS_DILUTED_SEQUENTIAL_GROWTH","FQ3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" s="2" t="e">
        <f ca="1">_xll.BDH($C$3,"DPS_SEQUENTIAL_GROWTH","FQ3 2014","FQ3 2014","Currency=INR","Period=FQ","BEST_FPERIOD_OVERRIDE=FQ","FILING_STATUS=OR","EQY_CONSOLIDATED=Y","Sort=A","Dates=H","DateFormat=P","Fill=—","Direction=H","UseDPDF=Y")</f>
        <v>#NAME?</v>
      </c>
      <c r="BL6" s="2" t="e">
        <f ca="1">_xll.BDH($C$3,"ACCOUNTS_RECEIVABLE_SEQ_GROWTH","FQ3 2014","FQ3 2014","Currency=INR","Period=FQ","BEST_FPERIOD_OVERRIDE=FQ","FILING_STATUS=OR","EQY_CONSOLIDATED=Y","Sort=A","Dates=H","DateFormat=P","Fill=—","Direction=H","UseDPDF=Y")</f>
        <v>#NAME?</v>
      </c>
      <c r="BM6" s="2" t="e">
        <f ca="1">_xll.BDH($C$3,"INVENTORY_SEQUENTIAL_GROWTH","FQ3 2014","FQ3 2014","Currency=INR","Period=FQ","BEST_FPERIOD_OVERRIDE=FQ","FILING_STATUS=OR","EQY_CONSOLIDATED=Y","Sort=A","Dates=H","DateFormat=P","Fill=—","Direction=H","UseDPDF=Y")</f>
        <v>#NAME?</v>
      </c>
      <c r="BN6" s="2" t="e">
        <f ca="1">_xll.BDH($C$3,"FIXED_ASSETS_SEQUENTIAL_GROWTH","FQ3 2014","FQ3 2014","Currency=INR","Period=FQ","BEST_FPERIOD_OVERRIDE=FQ","FILING_STATUS=OR","EQY_CONSOLIDATED=Y","Sort=A","Dates=H","DateFormat=P","Fill=—","Direction=H","UseDPDF=Y")</f>
        <v>#NAME?</v>
      </c>
      <c r="BO6" s="2" t="e">
        <f ca="1">_xll.BDH($C$3,"TOTAL_ASSETS_SEQUENTIAL_GROWTH","FQ3 2014","FQ3 2014","Currency=INR","Period=FQ","BEST_FPERIOD_OVERRIDE=FQ","FILING_STATUS=OR","EQY_CONSOLIDATED=Y","Sort=A","Dates=H","DateFormat=P","Fill=—","Direction=H","UseDPDF=Y")</f>
        <v>#NAME?</v>
      </c>
      <c r="BP6" s="2" t="e">
        <f ca="1">_xll.BDH($C$3,"MODIFIED_WORKING_CPTL_SEQ_GRWTH","FQ3 2014","FQ3 2014","Currency=INR","Period=FQ","BEST_FPERIOD_OVERRIDE=FQ","FILING_STATUS=OR","EQY_CONSOLIDATED=Y","Sort=A","Dates=H","DateFormat=P","Fill=—","Direction=H","UseDPDF=Y")</f>
        <v>#NAME?</v>
      </c>
      <c r="BQ6" s="2" t="e">
        <f ca="1">_xll.BDH($C$3,"WORKING_CAPITAL_SEQ_GROWTH","FQ3 2014","FQ3 2014","Currency=INR","Period=FQ","BEST_FPERIOD_OVERRIDE=FQ","FILING_STATUS=OR","EQY_CONSOLIDATED=Y","Sort=A","Dates=H","DateFormat=P","Fill=—","Direction=H","UseDPDF=Y")</f>
        <v>#NAME?</v>
      </c>
      <c r="BR6" s="2" t="e">
        <f ca="1">_xll.BDH($C$3,"ACCOUNTS_PAYABLE_SEQ_GROWTH","FQ3 2014","FQ3 2014","Currency=INR","Period=FQ","BEST_FPERIOD_OVERRIDE=FQ","FILING_STATUS=OR","EQY_CONSOLIDATED=Y","Sort=A","Dates=H","DateFormat=P","Fill=—","Direction=H","UseDPDF=Y")</f>
        <v>#NAME?</v>
      </c>
      <c r="BS6" s="2" t="e">
        <f ca="1">_xll.BDH($C$3,"ST_DEBT_SEQUENTIAL_GROWTH","FQ3 2014","FQ3 2014","Currency=INR","Period=FQ","BEST_FPERIOD_OVERRIDE=FQ","FILING_STATUS=OR","EQY_CONSOLIDATED=Y","Sort=A","Dates=H","DateFormat=P","Fill=—","Direction=H","UseDPDF=Y")</f>
        <v>#NAME?</v>
      </c>
      <c r="BT6" s="2" t="e">
        <f ca="1">_xll.BDH($C$3,"TOTAL_DEBT_SEQUENTIAL_GROWTH","FQ3 2014","FQ3 2014","Currency=INR","Period=FQ","BEST_FPERIOD_OVERRIDE=FQ","FILING_STATUS=OR","EQY_CONSOLIDATED=Y","Sort=A","Dates=H","DateFormat=P","Fill=—","Direction=H","UseDPDF=Y")</f>
        <v>#NAME?</v>
      </c>
      <c r="BU6" s="2" t="e">
        <f ca="1">_xll.BDH($C$3,"TOTAL_EQUITY_SEQUENTIAL_GROWTH","FQ3 2014","FQ3 2014","Currency=INR","Period=FQ","BEST_FPERIOD_OVERRIDE=FQ","FILING_STATUS=OR","EQY_CONSOLIDATED=Y","Sort=A","Dates=H","DateFormat=P","Fill=—","Direction=H","UseDPDF=Y")</f>
        <v>#NAME?</v>
      </c>
      <c r="BV6" s="2" t="e">
        <f ca="1">_xll.BDH($C$3,"TOTAL_CAPITAL_SEQUENTIAL_GROWTH","FQ3 2014","FQ3 2014","Currency=INR","Period=FQ","BEST_FPERIOD_OVERRIDE=FQ","FILING_STATUS=OR","EQY_CONSOLIDATED=Y","Sort=A","Dates=H","DateFormat=P","Fill=—","Direction=H","UseDPDF=Y")</f>
        <v>#NAME?</v>
      </c>
      <c r="BW6" s="2" t="e">
        <f ca="1">_xll.BDH($C$3,"BPS_SEQUENTIAL_GROWTH","FQ3 2014","FQ3 2014","Currency=INR","Period=FQ","BEST_FPERIOD_OVERRIDE=FQ","FILING_STATUS=OR","EQY_CONSOLIDATED=Y","Sort=A","Dates=H","DateFormat=P","Fill=—","Direction=H","UseDPDF=Y")</f>
        <v>#NAME?</v>
      </c>
      <c r="BX6" s="2" t="e">
        <f ca="1">_xll.BDH($C$3,"CFO_SEQUENTIAL_GROWTH","FQ3 2014","FQ3 2014","Currency=INR","Period=FQ","BEST_FPERIOD_OVERRIDE=FQ","FILING_STATUS=OR","EQY_CONSOLIDATED=Y","Sort=A","Dates=H","DateFormat=P","Fill=—","Direction=H","UseDPDF=Y")</f>
        <v>#NAME?</v>
      </c>
      <c r="BY6" s="3" t="e">
        <f ca="1">_xll.BDH($C$3,"SHORT_AND_LONG_TERM_DEBT","FQ3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" s="3" t="e">
        <f ca="1">_xll.BDH($C$3,"BS_ST_BORROW","FQ3 2014","FQ3 2014","Currency=INR","Period=FQ","BEST_FPERIOD_OVERRIDE=FQ","FILING_STATUS=OR","EQY_CONSOLIDATED=Y","SCALING_FORMAT=MLN","Sort=A","Dates=H","DateFormat=P","Fill=—","Direction=H","UseDPDF=Y")</f>
        <v>#NAME?</v>
      </c>
      <c r="CA6" s="3" t="e">
        <f ca="1">_xll.BDH($C$3,"BS_LT_BORROW","FQ3 2014","FQ3 2014","Currency=INR","Period=FQ","BEST_FPERIOD_OVERRIDE=FQ","FILING_STATUS=OR","EQY_CONSOLIDATED=Y","SCALING_FORMAT=MLN","Sort=A","Dates=H","DateFormat=P","Fill=—","Direction=H","UseDPDF=Y")</f>
        <v>#NAME?</v>
      </c>
      <c r="CB6" s="2" t="e">
        <f ca="1">_xll.BDH($C$3,"TOT_DEBT_TO_EBITDA","FQ3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" s="2" t="e">
        <f ca="1">_xll.BDH($C$3,"NET_DEBT_TO_EBITDA","FQ3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" s="2" t="e">
        <f ca="1">_xll.BDH($C$3,"TOTAL_DEBT_TO_EBIT","FQ3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" s="2" t="e">
        <f ca="1">_xll.BDH($C$3,"NET_DEBT_TO_EBIT","FQ3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" s="2" t="e">
        <f ca="1">_xll.BDH($C$3,"EBITDA_TO_INTEREST_EXPN","FQ3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" s="2" t="e">
        <f ca="1">_xll.BDH($C$3,"COM_EQY_TO_TOT_ASSET","FQ3 2014","FQ3 2014","Currency=INR","Period=FQ","BEST_FPERIOD_OVERRIDE=FQ","FILING_STATUS=OR","EQY_CONSOLIDATED=Y","Sort=A","Dates=H","DateFormat=P","Fill=—","Direction=H","UseDPDF=Y")</f>
        <v>#NAME?</v>
      </c>
      <c r="CH6" s="2" t="e">
        <f ca="1">_xll.BDH($C$3,"LT_DEBT_TO_TOT_EQY","FQ3 2014","FQ3 2014","Currency=INR","Period=FQ","BEST_FPERIOD_OVERRIDE=FQ","FILING_STATUS=OR","EQY_CONSOLIDATED=Y","Sort=A","Dates=H","DateFormat=P","Fill=—","Direction=H","UseDPDF=Y")</f>
        <v>#NAME?</v>
      </c>
      <c r="CI6" s="2" t="e">
        <f ca="1">_xll.BDH($C$3,"LT_DEBT_TO_TOT_CAP","FQ3 2014","FQ3 2014","Currency=INR","Period=FQ","BEST_FPERIOD_OVERRIDE=FQ","FILING_STATUS=OR","EQY_CONSOLIDATED=Y","Sort=A","Dates=H","DateFormat=P","Fill=—","Direction=H","UseDPDF=Y")</f>
        <v>#NAME?</v>
      </c>
      <c r="CJ6" s="2" t="e">
        <f ca="1">_xll.BDH($C$3,"LT_DEBT_TO_TOT_ASSET","FQ3 2014","FQ3 2014","Currency=INR","Period=FQ","BEST_FPERIOD_OVERRIDE=FQ","FILING_STATUS=OR","EQY_CONSOLIDATED=Y","Sort=A","Dates=H","DateFormat=P","Fill=—","Direction=H","UseDPDF=Y")</f>
        <v>#NAME?</v>
      </c>
      <c r="CK6" s="2" t="e">
        <f ca="1">_xll.BDH($C$3,"TOT_DEBT_TO_TOT_EQY","FQ3 2014","FQ3 2014","Currency=INR","Period=FQ","BEST_FPERIOD_OVERRIDE=FQ","FILING_STATUS=OR","EQY_CONSOLIDATED=Y","Sort=A","Dates=H","DateFormat=P","Fill=—","Direction=H","UseDPDF=Y")</f>
        <v>#NAME?</v>
      </c>
      <c r="CL6" s="2" t="e">
        <f ca="1">_xll.BDH($C$3,"TOT_DEBT_TO_TOT_CAP","FQ3 2014","FQ3 2014","Currency=INR","Period=FQ","BEST_FPERIOD_OVERRIDE=FQ","FILING_STATUS=OR","EQY_CONSOLIDATED=Y","Sort=A","Dates=H","DateFormat=P","Fill=—","Direction=H","UseDPDF=Y")</f>
        <v>#NAME?</v>
      </c>
      <c r="CM6" s="2" t="e">
        <f ca="1">_xll.BDH($C$3,"TOT_DEBT_TO_TOT_ASSET","FQ3 2014","FQ3 2014","Currency=INR","Period=FQ","BEST_FPERIOD_OVERRIDE=FQ","FILING_STATUS=OR","EQY_CONSOLIDATED=Y","Sort=A","Dates=H","DateFormat=P","Fill=—","Direction=H","UseDPDF=Y")</f>
        <v>#NAME?</v>
      </c>
      <c r="CN6" s="2" t="e">
        <f ca="1">_xll.BDH($C$3,"NET_DEBT_TO_SHRHLDR_EQTY","FQ3 2014","FQ3 2014","Currency=INR","Period=FQ","BEST_FPERIOD_OVERRIDE=FQ","FILING_STATUS=OR","EQY_CONSOLIDATED=Y","Sort=A","Dates=H","DateFormat=P","Fill=—","Direction=H","UseDPDF=Y")</f>
        <v>#NAME?</v>
      </c>
      <c r="CO6" s="2" t="e">
        <f ca="1">_xll.BDH($C$3,"NET_DEBT_%_CAPITAL","FQ3 2014","FQ3 2014","Currency=INR","Period=FQ","BEST_FPERIOD_OVERRIDE=FQ","FILING_STATUS=OR","EQY_CONSOLIDATED=Y","Sort=A","Dates=H","DateFormat=P","Fill=—","Direction=H","UseDPDF=Y")</f>
        <v>#NAME?</v>
      </c>
      <c r="CP6" s="3" t="e">
        <f ca="1">_xll.BDH($C$3,"EBITDA","FQ3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" s="3" t="e">
        <f ca="1">_xll.BDH($C$3,"EBITDA_AFTER_CAPEX","FQ3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" s="3" t="e">
        <f ca="1">_xll.BDH($C$3,"IS_OPER_INC","FQ3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" s="2" t="e">
        <f ca="1">_xll.BDH($C$3,"CASH_RATIO","FQ3 2014","FQ3 2014","Currency=INR","Period=FQ","BEST_FPERIOD_OVERRIDE=FQ","FILING_STATUS=OR","EQY_CONSOLIDATED=Y","Sort=A","Dates=H","DateFormat=P","Fill=—","Direction=H","UseDPDF=Y")</f>
        <v>#NAME?</v>
      </c>
      <c r="CT6" s="2" t="e">
        <f ca="1">_xll.BDH($C$3,"CUR_RATIO","FQ3 2014","FQ3 2014","Currency=INR","Period=FQ","BEST_FPERIOD_OVERRIDE=FQ","FILING_STATUS=OR","EQY_CONSOLIDATED=Y","Sort=A","Dates=H","DateFormat=P","Fill=—","Direction=H","UseDPDF=Y")</f>
        <v>#NAME?</v>
      </c>
      <c r="CU6" s="2" t="e">
        <f ca="1">_xll.BDH($C$3,"QUICK_RATIO","FQ3 2014","FQ3 2014","Currency=INR","Period=FQ","BEST_FPERIOD_OVERRIDE=FQ","FILING_STATUS=OR","EQY_CONSOLIDATED=Y","Sort=A","Dates=H","DateFormat=P","Fill=—","Direction=H","UseDPDF=Y")</f>
        <v>#NAME?</v>
      </c>
      <c r="CV6" s="2" t="e">
        <f ca="1">_xll.BDH($C$3,"ALTMAN_Z_SCORE","FQ3 2014","FQ3 2014","Currency=INR","Period=FQ","BEST_FPERIOD_OVERRIDE=FQ","FILING_STATUS=OR","EQY_CONSOLIDATED=Y","Sort=A","Dates=H","DateFormat=P","Fill=—","Direction=H","UseDPDF=Y")</f>
        <v>#NAME?</v>
      </c>
      <c r="CW6" s="4" t="e">
        <f ca="1">_xll.BDH($C$3,"ACCT_RCV_TURN","FQ3 2014","FQ3 2014","Currency=INR","Period=FQ","BEST_FPERIOD_OVERRIDE=FQ","FILING_STATUS=OR","EQY_CONSOLIDATED=Y","FA_ADJUSTED=GAAP","Sort=A","Dates=H","DateFormat=P","Fill=—","Direction=H","UseDPDF=Y")</f>
        <v>#NAME?</v>
      </c>
      <c r="CX6" s="2" t="e">
        <f ca="1">_xll.BDH($C$3,"ACCT_RCV_DAYS","FQ3 2014","FQ3 2014","Currency=INR","Period=FQ","BEST_FPERIOD_OVERRIDE=FQ","FILING_STATUS=OR","EQY_CONSOLIDATED=Y","FA_ADJUSTED=GAAP","Sort=A","Dates=H","DateFormat=P","Fill=—","Direction=H","UseDPDF=Y")</f>
        <v>#NAME?</v>
      </c>
      <c r="CY6" s="4" t="e">
        <f ca="1">_xll.BDH($C$3,"INVENT_TURN","FQ3 2014","FQ3 2014","Currency=INR","Period=FQ","BEST_FPERIOD_OVERRIDE=FQ","FILING_STATUS=OR","EQY_CONSOLIDATED=Y","FA_ADJUSTED=GAAP","Sort=A","Dates=H","DateFormat=P","Fill=—","Direction=H","UseDPDF=Y")</f>
        <v>#NAME?</v>
      </c>
      <c r="CZ6" s="2" t="e">
        <f ca="1">_xll.BDH($C$3,"INVENT_DAYS","FQ3 2014","FQ3 2014","Currency=INR","Period=FQ","BEST_FPERIOD_OVERRIDE=FQ","FILING_STATUS=OR","EQY_CONSOLIDATED=Y","FA_ADJUSTED=GAAP","Sort=A","Dates=H","DateFormat=P","Fill=—","Direction=H","UseDPDF=Y")</f>
        <v>#NAME?</v>
      </c>
      <c r="DA6" s="4" t="e">
        <f ca="1">_xll.BDH($C$3,"ACCOUNTS_PAYABLE_TURNOVER","FQ3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" s="2" t="e">
        <f ca="1">_xll.BDH($C$3,"ACCOUNTS_PAYABLE_TURNOVER_DAYS","FQ3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" s="4" t="e">
        <f ca="1">_xll.BDH($C$3,"CASH_CONVERSION_CYCLE","FQ3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" s="4" t="e">
        <f ca="1">_xll.BDH($C$3,"INV_TO_CASH_DAYS","FQ3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" s="5" t="e">
        <f ca="1">_xll.BDH($C$3,"BS_INVENTORIES","FQ3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" s="3" t="e">
        <f ca="1">_xll.BDH($C$3,"INVTRY_RAW_MATERIALS","FQ3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" s="3" t="e">
        <f ca="1">_xll.BDH($C$3,"INVTRY_IN_PROGRESS","FQ3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" s="3" t="e">
        <f ca="1">_xll.BDH($C$3,"INVTRY_FINISHED_GOODS","FQ3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" s="3" t="e">
        <f ca="1">_xll.BDH($C$3,"BS_OTHER_INV","FQ3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7" spans="1:113" x14ac:dyDescent="0.3">
      <c r="A7" s="6"/>
      <c r="B7" s="6"/>
      <c r="C7" s="6"/>
      <c r="D7" s="6"/>
      <c r="E7" t="s">
        <v>81</v>
      </c>
      <c r="F7" t="e">
        <f ca="1">_xll.BDH($C$3,"RETURN_COM_EQY","FQ4 2014","FQ4 2014","Currency=INR","Period=FQ","BEST_FPERIOD_OVERRIDE=FQ","FILING_STATUS=OR","EQY_CONSOLIDATED=Y","FA_ADJUSTED=GAAP","Sort=A","Dates=H","DateFormat=P","Fill=—","Direction=H","UseDPDF=Y")</f>
        <v>#NAME?</v>
      </c>
      <c r="G7" t="e">
        <f ca="1">_xll.BDH($C$3,"RETURN_ON_ASSET","FQ4 2014","FQ4 2014","Currency=INR","Period=FQ","BEST_FPERIOD_OVERRIDE=FQ","FILING_STATUS=OR","EQY_CONSOLIDATED=Y","FA_ADJUSTED=GAAP","Sort=A","Dates=H","DateFormat=P","Fill=—","Direction=H","UseDPDF=Y")</f>
        <v>#NAME?</v>
      </c>
      <c r="H7" t="e">
        <f ca="1">_xll.BDH($C$3,"RETURN_ON_CAP","FQ4 2014","FQ4 2014","Currency=INR","Period=FQ","BEST_FPERIOD_OVERRIDE=FQ","FILING_STATUS=OR","EQY_CONSOLIDATED=Y","FA_ADJUSTED=GAAP","Sort=A","Dates=H","DateFormat=P","Fill=—","Direction=H","UseDPDF=Y")</f>
        <v>#NAME?</v>
      </c>
      <c r="I7" t="e">
        <f ca="1">_xll.BDH($C$3,"RETURN_ON_INV_CAPITAL","FQ4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7" t="e">
        <f ca="1">_xll.BDH($C$3,"EBITDA_TO_REVENUE","FQ4 2014","FQ4 2014","Currency=INR","Period=FQ","BEST_FPERIOD_OVERRIDE=FQ","FILING_STATUS=OR","EQY_CONSOLIDATED=Y","FA_ADJUSTED=GAAP","Sort=A","Dates=H","DateFormat=P","Fill=—","Direction=H","UseDPDF=Y")</f>
        <v>#NAME?</v>
      </c>
      <c r="K7" t="e">
        <f ca="1">_xll.BDH($C$3,"OPER_MARGIN","FQ4 2014","FQ4 2014","Currency=INR","Period=FQ","BEST_FPERIOD_OVERRIDE=FQ","FILING_STATUS=OR","EQY_CONSOLIDATED=Y","FA_ADJUSTED=GAAP","Sort=A","Dates=H","DateFormat=P","Fill=—","Direction=H","UseDPDF=Y")</f>
        <v>#NAME?</v>
      </c>
      <c r="L7" t="e">
        <f ca="1">_xll.BDH($C$3,"INCREMENTAL_OPERATING_MARGIN","FQ4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7" t="e">
        <f ca="1">_xll.BDH($C$3,"PRETAX_INC_TO_NET_SALES","FQ4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7" t="e">
        <f ca="1">_xll.BDH($C$3,"INC_BEF_XO_ITEMS_TO_NET_SALES","FQ4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7" t="e">
        <f ca="1">_xll.BDH($C$3,"PROF_MARGIN","FQ4 2014","FQ4 2014","Currency=INR","Period=FQ","BEST_FPERIOD_OVERRIDE=FQ","FILING_STATUS=OR","EQY_CONSOLIDATED=Y","FA_ADJUSTED=GAAP","Sort=A","Dates=H","DateFormat=P","Fill=—","Direction=H","UseDPDF=Y")</f>
        <v>#NAME?</v>
      </c>
      <c r="P7" t="e">
        <f ca="1">_xll.BDH($C$3,"NET_INCOME_TO_COMMON_MARGIN","FQ4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7" t="e">
        <f ca="1">_xll.BDH($C$3,"EFF_TAX_RATE","FQ4 2014","FQ4 2014","Currency=INR","Period=FQ","BEST_FPERIOD_OVERRIDE=FQ","FILING_STATUS=OR","EQY_CONSOLIDATED=Y","FA_ADJUSTED=GAAP","Sort=A","Dates=H","DateFormat=P","Fill=—","Direction=H","UseDPDF=Y")</f>
        <v>#NAME?</v>
      </c>
      <c r="R7" t="e">
        <f ca="1">_xll.BDH($C$3,"DVD_PAYOUT_RATIO","FQ4 2014","FQ4 2014","Currency=INR","Period=FQ","BEST_FPERIOD_OVERRIDE=FQ","FILING_STATUS=OR","EQY_CONSOLIDATED=Y","FA_ADJUSTED=GAAP","Sort=A","Dates=H","DateFormat=P","Fill=—","Direction=H","UseDPDF=Y")</f>
        <v>#NAME?</v>
      </c>
      <c r="S7" t="e">
        <f ca="1">_xll.BDH($C$3,"SUSTAIN_GROWTH_RT","FQ4 2014","FQ4 2014","Currency=INR","Period=FQ","BEST_FPERIOD_OVERRIDE=FQ","FILING_STATUS=OR","EQY_CONSOLIDATED=Y","FA_ADJUSTED=GAAP","Sort=A","Dates=H","DateFormat=P","Fill=—","Direction=H","UseDPDF=Y")</f>
        <v>#NAME?</v>
      </c>
      <c r="T7" s="2" t="e">
        <f ca="1">_xll.BDH($C$3,"SALES_GROWTH","FQ4 2014","FQ4 2014","Currency=INR","Period=FQ","BEST_FPERIOD_OVERRIDE=FQ","FILING_STATUS=OR","EQY_CONSOLIDATED=Y","FA_ADJUSTED=GAAP","Sort=A","Dates=H","DateFormat=P","Fill=—","Direction=H","UseDPDF=Y")</f>
        <v>#NAME?</v>
      </c>
      <c r="U7" s="2" t="e">
        <f ca="1">_xll.BDH($C$3,"EBITDA_GROWTH","FQ4 2014","FQ4 2014","Currency=INR","Period=FQ","BEST_FPERIOD_OVERRIDE=FQ","FILING_STATUS=OR","EQY_CONSOLIDATED=Y","FA_ADJUSTED=GAAP","Sort=A","Dates=H","DateFormat=P","Fill=—","Direction=H","UseDPDF=Y")</f>
        <v>#NAME?</v>
      </c>
      <c r="V7" s="2" t="e">
        <f ca="1">_xll.BDH($C$3,"OPER_INC_GROWTH","FQ4 2014","FQ4 2014","Currency=INR","Period=FQ","BEST_FPERIOD_OVERRIDE=FQ","FILING_STATUS=OR","EQY_CONSOLIDATED=Y","FA_ADJUSTED=GAAP","Sort=A","Dates=H","DateFormat=P","Fill=—","Direction=H","UseDPDF=Y")</f>
        <v>#NAME?</v>
      </c>
      <c r="W7" s="2" t="e">
        <f ca="1">_xll.BDH($C$3,"EARN_FOR_COM_GROWTH","FQ4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7" s="2" t="e">
        <f ca="1">_xll.BDH($C$3,"DILUTED_EPS_AFT_XO_ITEMS_GROWTH","FQ4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7" s="2" t="e">
        <f ca="1">_xll.BDH($C$3,"DIVIDEND_PER_SHARE_1_YEAR_GROWTH","FQ4 2014","FQ4 2014","Currency=INR","Period=FQ","BEST_FPERIOD_OVERRIDE=FQ","FILING_STATUS=OR","EQY_CONSOLIDATED=Y","Sort=A","Dates=H","DateFormat=P","Fill=—","Direction=H","UseDPDF=Y")</f>
        <v>#NAME?</v>
      </c>
      <c r="Z7" s="2" t="e">
        <f ca="1">_xll.BDH($C$3,"ACCOUNTS_RECEIVABLE_GROWTH","FQ4 2014","FQ4 2014","Currency=INR","Period=FQ","BEST_FPERIOD_OVERRIDE=FQ","FILING_STATUS=OR","EQY_CONSOLIDATED=Y","Sort=A","Dates=H","DateFormat=P","Fill=—","Direction=H","UseDPDF=Y")</f>
        <v>#NAME?</v>
      </c>
      <c r="AA7" s="2" t="e">
        <f ca="1">_xll.BDH($C$3,"INVENTORY_GROWTH","FQ4 2014","FQ4 2014","Currency=INR","Period=FQ","BEST_FPERIOD_OVERRIDE=FQ","FILING_STATUS=OR","EQY_CONSOLIDATED=Y","Sort=A","Dates=H","DateFormat=P","Fill=—","Direction=H","UseDPDF=Y")</f>
        <v>#NAME?</v>
      </c>
      <c r="AB7" s="2" t="e">
        <f ca="1">_xll.BDH($C$3,"NET_FIXED_ASSETS_1_YEAR_GROWTH","FQ4 2014","FQ4 2014","Currency=INR","Period=FQ","BEST_FPERIOD_OVERRIDE=FQ","FILING_STATUS=OR","EQY_CONSOLIDATED=Y","Sort=A","Dates=H","DateFormat=P","Fill=—","Direction=H","UseDPDF=Y")</f>
        <v>#NAME?</v>
      </c>
      <c r="AC7" s="2" t="e">
        <f ca="1">_xll.BDH($C$3,"ASSET_GROWTH","FQ4 2014","FQ4 2014","Currency=INR","Period=FQ","BEST_FPERIOD_OVERRIDE=FQ","FILING_STATUS=OR","EQY_CONSOLIDATED=Y","Sort=A","Dates=H","DateFormat=P","Fill=—","Direction=H","UseDPDF=Y")</f>
        <v>#NAME?</v>
      </c>
      <c r="AD7" s="2" t="e">
        <f ca="1">_xll.BDH($C$3,"MODIFIED_WORK_CAP_GROWTH","FQ4 2014","FQ4 2014","Currency=INR","Period=FQ","BEST_FPERIOD_OVERRIDE=FQ","FILING_STATUS=OR","EQY_CONSOLIDATED=Y","Sort=A","Dates=H","DateFormat=P","Fill=—","Direction=H","UseDPDF=Y")</f>
        <v>#NAME?</v>
      </c>
      <c r="AE7" s="2" t="e">
        <f ca="1">_xll.BDH($C$3,"WORK_CAP_GROWTH","FQ4 2014","FQ4 2014","Currency=INR","Period=FQ","BEST_FPERIOD_OVERRIDE=FQ","FILING_STATUS=OR","EQY_CONSOLIDATED=Y","Sort=A","Dates=H","DateFormat=P","Fill=—","Direction=H","UseDPDF=Y")</f>
        <v>#NAME?</v>
      </c>
      <c r="AF7" s="2" t="e">
        <f ca="1">_xll.BDH($C$3,"ACCOUNTS_PAYABLE_GROWTH_1YR","FQ4 2014","FQ4 2014","Currency=INR","Period=FQ","BEST_FPERIOD_OVERRIDE=FQ","FILING_STATUS=OR","EQY_CONSOLIDATED=Y","Sort=A","Dates=H","DateFormat=P","Fill=—","Direction=H","UseDPDF=Y")</f>
        <v>#NAME?</v>
      </c>
      <c r="AG7" s="2" t="e">
        <f ca="1">_xll.BDH($C$3,"SHORT_TERM_DEBT_1_YEAR_GROWTH","FQ4 2014","FQ4 2014","Currency=INR","Period=FQ","BEST_FPERIOD_OVERRIDE=FQ","FILING_STATUS=OR","EQY_CONSOLIDATED=Y","Sort=A","Dates=H","DateFormat=P","Fill=—","Direction=H","UseDPDF=Y")</f>
        <v>#NAME?</v>
      </c>
      <c r="AH7" s="2" t="e">
        <f ca="1">_xll.BDH($C$3,"TOTAL_DEBT_1_YEAR_GROWTH","FQ4 2014","FQ4 2014","Currency=INR","Period=FQ","BEST_FPERIOD_OVERRIDE=FQ","FILING_STATUS=OR","EQY_CONSOLIDATED=Y","Sort=A","Dates=H","DateFormat=P","Fill=—","Direction=H","UseDPDF=Y")</f>
        <v>#NAME?</v>
      </c>
      <c r="AI7" s="2" t="e">
        <f ca="1">_xll.BDH($C$3,"TOTAL_EQUITY_1_YEAR_GROWTH","FQ4 2014","FQ4 2014","Currency=INR","Period=FQ","BEST_FPERIOD_OVERRIDE=FQ","FILING_STATUS=OR","EQY_CONSOLIDATED=Y","Sort=A","Dates=H","DateFormat=P","Fill=—","Direction=H","UseDPDF=Y")</f>
        <v>#NAME?</v>
      </c>
      <c r="AJ7" s="2" t="e">
        <f ca="1">_xll.BDH($C$3,"GROWTH_IN_CAP","FQ4 2014","FQ4 2014","Currency=INR","Period=FQ","BEST_FPERIOD_OVERRIDE=FQ","FILING_STATUS=OR","EQY_CONSOLIDATED=Y","Sort=A","Dates=H","DateFormat=P","Fill=—","Direction=H","UseDPDF=Y")</f>
        <v>#NAME?</v>
      </c>
      <c r="AK7" s="2" t="e">
        <f ca="1">_xll.BDH($C$3,"BVPS_GROWTH","FQ4 2014","FQ4 2014","Currency=INR","Period=FQ","BEST_FPERIOD_OVERRIDE=FQ","FILING_STATUS=OR","EQY_CONSOLIDATED=Y","Sort=A","Dates=H","DateFormat=P","Fill=—","Direction=H","UseDPDF=Y")</f>
        <v>#NAME?</v>
      </c>
      <c r="AL7" s="2" t="e">
        <f ca="1">_xll.BDH($C$3,"CASH_FLOW_GROWTH","FQ4 2014","FQ4 2014","Currency=INR","Period=FQ","BEST_FPERIOD_OVERRIDE=FQ","FILING_STATUS=OR","EQY_CONSOLIDATED=Y","Sort=A","Dates=H","DateFormat=P","Fill=—","Direction=H","UseDPDF=Y")</f>
        <v>#NAME?</v>
      </c>
      <c r="AM7" s="2" t="e">
        <f ca="1">_xll.BDH($C$3,"GEO_GROW_NET_SALES","FQ4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7" s="2" t="e">
        <f ca="1">_xll.BDH($C$3,"GEO_GROW_EBITDA","FQ4 2014","FQ4 2014","Currency=INR","Period=FQ","BEST_FPERIOD_OVERRIDE=FQ","FILING_STATUS=OR","EQY_CONSOLIDATED=Y","FA_ADJUSTED=GAAP","Sort=A","Dates=H","DateFormat=P","Fill=—","Direction=H","UseDPDF=Y")</f>
        <v>#NAME?</v>
      </c>
      <c r="AO7" s="2" t="e">
        <f ca="1">_xll.BDH($C$3,"GEO_GROW_OPER_INC","FQ4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7" s="2" t="e">
        <f ca="1">_xll.BDH($C$3,"NET_INCOME_TO_COMMON_5_YR_GROWTH","FQ4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7" s="2" t="e">
        <f ca="1">_xll.BDH($C$3,"5Y_GEO_GROWTH_DILUTED_EPS","FQ4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7" s="2" t="e">
        <f ca="1">_xll.BDH($C$3,"GEO_GROW_DVD_PER_SH","FQ4 2014","FQ4 2014","Currency=INR","Period=FQ","BEST_FPERIOD_OVERRIDE=FQ","FILING_STATUS=OR","EQY_CONSOLIDATED=Y","Sort=A","Dates=H","DateFormat=P","Fill=—","Direction=H","UseDPDF=Y")</f>
        <v>#NAME?</v>
      </c>
      <c r="AS7" s="2" t="e">
        <f ca="1">_xll.BDH($C$3,"ACCOUNTS_RECEIVABLE_5_YR_GROWTH","FQ4 2014","FQ4 2014","Currency=INR","Period=FQ","BEST_FPERIOD_OVERRIDE=FQ","FILING_STATUS=OR","EQY_CONSOLIDATED=Y","Sort=A","Dates=H","DateFormat=P","Fill=—","Direction=H","UseDPDF=Y")</f>
        <v>#NAME?</v>
      </c>
      <c r="AT7" s="2" t="e">
        <f ca="1">_xll.BDH($C$3,"INVENTORY_5_YEAR_GROWTH","FQ4 2014","FQ4 2014","Currency=INR","Period=FQ","BEST_FPERIOD_OVERRIDE=FQ","FILING_STATUS=OR","EQY_CONSOLIDATED=Y","Sort=A","Dates=H","DateFormat=P","Fill=—","Direction=H","UseDPDF=Y")</f>
        <v>#NAME?</v>
      </c>
      <c r="AU7" s="2" t="e">
        <f ca="1">_xll.BDH($C$3,"NET_FIXED_ASSETS_5_YEAR_GROWTH","FQ4 2014","FQ4 2014","Currency=INR","Period=FQ","BEST_FPERIOD_OVERRIDE=FQ","FILING_STATUS=OR","EQY_CONSOLIDATED=Y","Sort=A","Dates=H","DateFormat=P","Fill=—","Direction=H","UseDPDF=Y")</f>
        <v>#NAME?</v>
      </c>
      <c r="AV7" s="2" t="e">
        <f ca="1">_xll.BDH($C$3,"GEO_GROW_TOT_ASSET","FQ4 2014","FQ4 2014","Currency=INR","Period=FQ","BEST_FPERIOD_OVERRIDE=FQ","FILING_STATUS=OR","EQY_CONSOLIDATED=Y","Sort=A","Dates=H","DateFormat=P","Fill=—","Direction=H","UseDPDF=Y")</f>
        <v>#NAME?</v>
      </c>
      <c r="AW7" s="2" t="e">
        <f ca="1">_xll.BDH($C$3,"MODIFIED_WORKING_CPTL_5YR_GRWTH","FQ4 2014","FQ4 2014","Currency=INR","Period=FQ","BEST_FPERIOD_OVERRIDE=FQ","FILING_STATUS=OR","EQY_CONSOLIDATED=Y","Sort=A","Dates=H","DateFormat=P","Fill=—","Direction=H","UseDPDF=Y")</f>
        <v>#NAME?</v>
      </c>
      <c r="AX7" s="2" t="e">
        <f ca="1">_xll.BDH($C$3,"WORKING_CAPITAL_5_YEAR_GROWTH","FQ4 2014","FQ4 2014","Currency=INR","Period=FQ","BEST_FPERIOD_OVERRIDE=FQ","FILING_STATUS=OR","EQY_CONSOLIDATED=Y","Sort=A","Dates=H","DateFormat=P","Fill=—","Direction=H","UseDPDF=Y")</f>
        <v>#NAME?</v>
      </c>
      <c r="AY7" s="2" t="e">
        <f ca="1">_xll.BDH($C$3,"ACCOUNTS_PAYABLE_5_YEAR_GROWTH","FQ4 2014","FQ4 2014","Currency=INR","Period=FQ","BEST_FPERIOD_OVERRIDE=FQ","FILING_STATUS=OR","EQY_CONSOLIDATED=Y","Sort=A","Dates=H","DateFormat=P","Fill=—","Direction=H","UseDPDF=Y")</f>
        <v>#NAME?</v>
      </c>
      <c r="AZ7" s="2" t="e">
        <f ca="1">_xll.BDH($C$3,"SHORT_TERM_DEBT_5_YEAR_GROWTH","FQ4 2014","FQ4 2014","Currency=INR","Period=FQ","BEST_FPERIOD_OVERRIDE=FQ","FILING_STATUS=OR","EQY_CONSOLIDATED=Y","Sort=A","Dates=H","DateFormat=P","Fill=—","Direction=H","UseDPDF=Y")</f>
        <v>#NAME?</v>
      </c>
      <c r="BA7" s="2" t="e">
        <f ca="1">_xll.BDH($C$3,"TOTAL_DEBT_5_YEAR_GROWTH","FQ4 2014","FQ4 2014","Currency=INR","Period=FQ","BEST_FPERIOD_OVERRIDE=FQ","FILING_STATUS=OR","EQY_CONSOLIDATED=Y","Sort=A","Dates=H","DateFormat=P","Fill=—","Direction=H","UseDPDF=Y")</f>
        <v>#NAME?</v>
      </c>
      <c r="BB7" s="2" t="e">
        <f ca="1">_xll.BDH($C$3,"GEO_GROW_TOT_SHRHLDR_EQY","FQ4 2014","FQ4 2014","Currency=INR","Period=FQ","BEST_FPERIOD_OVERRIDE=FQ","FILING_STATUS=OR","EQY_CONSOLIDATED=Y","Sort=A","Dates=H","DateFormat=P","Fill=—","Direction=H","UseDPDF=Y")</f>
        <v>#NAME?</v>
      </c>
      <c r="BC7" s="2" t="e">
        <f ca="1">_xll.BDH($C$3,"TOTAL_CAPITAL_5_YEAR_GROWTH","FQ4 2014","FQ4 2014","Currency=INR","Period=FQ","BEST_FPERIOD_OVERRIDE=FQ","FILING_STATUS=OR","EQY_CONSOLIDATED=Y","Sort=A","Dates=H","DateFormat=P","Fill=—","Direction=H","UseDPDF=Y")</f>
        <v>#NAME?</v>
      </c>
      <c r="BD7" s="2" t="e">
        <f ca="1">_xll.BDH($C$3,"GEO_GROW_BOOK_VAL","FQ4 2014","FQ4 2014","Currency=INR","Period=FQ","BEST_FPERIOD_OVERRIDE=FQ","FILING_STATUS=OR","EQY_CONSOLIDATED=Y","Sort=A","Dates=H","DateFormat=P","Fill=—","Direction=H","UseDPDF=Y")</f>
        <v>#NAME?</v>
      </c>
      <c r="BE7" s="2" t="e">
        <f ca="1">_xll.BDH($C$3,"GEO_GROW_CASH_OPER_ACT","FQ4 2014","FQ4 2014","Currency=INR","Period=FQ","BEST_FPERIOD_OVERRIDE=FQ","FILING_STATUS=OR","EQY_CONSOLIDATED=Y","Sort=A","Dates=H","DateFormat=P","Fill=—","Direction=H","UseDPDF=Y")</f>
        <v>#NAME?</v>
      </c>
      <c r="BF7" s="2" t="e">
        <f ca="1">_xll.BDH($C$3,"REVENUE_SEQUENTIAL_GROWTH","FQ4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7" s="2" t="e">
        <f ca="1">_xll.BDH($C$3,"EBITDA_SEQUENTIAL_GROWTH","FQ4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7" s="2" t="e">
        <f ca="1">_xll.BDH($C$3,"OPERATING_INCOME_SEQ_GROWTH","FQ4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7" s="2" t="e">
        <f ca="1">_xll.BDH($C$3,"NET_INCOME_TO_COMMON_SEQ_GROWTH","FQ4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7" s="2" t="e">
        <f ca="1">_xll.BDH($C$3,"EPS_DILUTED_SEQUENTIAL_GROWTH","FQ4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7" s="2" t="e">
        <f ca="1">_xll.BDH($C$3,"DPS_SEQUENTIAL_GROWTH","FQ4 2014","FQ4 2014","Currency=INR","Period=FQ","BEST_FPERIOD_OVERRIDE=FQ","FILING_STATUS=OR","EQY_CONSOLIDATED=Y","Sort=A","Dates=H","DateFormat=P","Fill=—","Direction=H","UseDPDF=Y")</f>
        <v>#NAME?</v>
      </c>
      <c r="BL7" s="2" t="e">
        <f ca="1">_xll.BDH($C$3,"ACCOUNTS_RECEIVABLE_SEQ_GROWTH","FQ4 2014","FQ4 2014","Currency=INR","Period=FQ","BEST_FPERIOD_OVERRIDE=FQ","FILING_STATUS=OR","EQY_CONSOLIDATED=Y","Sort=A","Dates=H","DateFormat=P","Fill=—","Direction=H","UseDPDF=Y")</f>
        <v>#NAME?</v>
      </c>
      <c r="BM7" s="2" t="e">
        <f ca="1">_xll.BDH($C$3,"INVENTORY_SEQUENTIAL_GROWTH","FQ4 2014","FQ4 2014","Currency=INR","Period=FQ","BEST_FPERIOD_OVERRIDE=FQ","FILING_STATUS=OR","EQY_CONSOLIDATED=Y","Sort=A","Dates=H","DateFormat=P","Fill=—","Direction=H","UseDPDF=Y")</f>
        <v>#NAME?</v>
      </c>
      <c r="BN7" s="2" t="e">
        <f ca="1">_xll.BDH($C$3,"FIXED_ASSETS_SEQUENTIAL_GROWTH","FQ4 2014","FQ4 2014","Currency=INR","Period=FQ","BEST_FPERIOD_OVERRIDE=FQ","FILING_STATUS=OR","EQY_CONSOLIDATED=Y","Sort=A","Dates=H","DateFormat=P","Fill=—","Direction=H","UseDPDF=Y")</f>
        <v>#NAME?</v>
      </c>
      <c r="BO7" s="2" t="e">
        <f ca="1">_xll.BDH($C$3,"TOTAL_ASSETS_SEQUENTIAL_GROWTH","FQ4 2014","FQ4 2014","Currency=INR","Period=FQ","BEST_FPERIOD_OVERRIDE=FQ","FILING_STATUS=OR","EQY_CONSOLIDATED=Y","Sort=A","Dates=H","DateFormat=P","Fill=—","Direction=H","UseDPDF=Y")</f>
        <v>#NAME?</v>
      </c>
      <c r="BP7" s="2" t="e">
        <f ca="1">_xll.BDH($C$3,"MODIFIED_WORKING_CPTL_SEQ_GRWTH","FQ4 2014","FQ4 2014","Currency=INR","Period=FQ","BEST_FPERIOD_OVERRIDE=FQ","FILING_STATUS=OR","EQY_CONSOLIDATED=Y","Sort=A","Dates=H","DateFormat=P","Fill=—","Direction=H","UseDPDF=Y")</f>
        <v>#NAME?</v>
      </c>
      <c r="BQ7" s="2" t="e">
        <f ca="1">_xll.BDH($C$3,"WORKING_CAPITAL_SEQ_GROWTH","FQ4 2014","FQ4 2014","Currency=INR","Period=FQ","BEST_FPERIOD_OVERRIDE=FQ","FILING_STATUS=OR","EQY_CONSOLIDATED=Y","Sort=A","Dates=H","DateFormat=P","Fill=—","Direction=H","UseDPDF=Y")</f>
        <v>#NAME?</v>
      </c>
      <c r="BR7" s="2" t="e">
        <f ca="1">_xll.BDH($C$3,"ACCOUNTS_PAYABLE_SEQ_GROWTH","FQ4 2014","FQ4 2014","Currency=INR","Period=FQ","BEST_FPERIOD_OVERRIDE=FQ","FILING_STATUS=OR","EQY_CONSOLIDATED=Y","Sort=A","Dates=H","DateFormat=P","Fill=—","Direction=H","UseDPDF=Y")</f>
        <v>#NAME?</v>
      </c>
      <c r="BS7" s="2" t="e">
        <f ca="1">_xll.BDH($C$3,"ST_DEBT_SEQUENTIAL_GROWTH","FQ4 2014","FQ4 2014","Currency=INR","Period=FQ","BEST_FPERIOD_OVERRIDE=FQ","FILING_STATUS=OR","EQY_CONSOLIDATED=Y","Sort=A","Dates=H","DateFormat=P","Fill=—","Direction=H","UseDPDF=Y")</f>
        <v>#NAME?</v>
      </c>
      <c r="BT7" s="2" t="e">
        <f ca="1">_xll.BDH($C$3,"TOTAL_DEBT_SEQUENTIAL_GROWTH","FQ4 2014","FQ4 2014","Currency=INR","Period=FQ","BEST_FPERIOD_OVERRIDE=FQ","FILING_STATUS=OR","EQY_CONSOLIDATED=Y","Sort=A","Dates=H","DateFormat=P","Fill=—","Direction=H","UseDPDF=Y")</f>
        <v>#NAME?</v>
      </c>
      <c r="BU7" s="2" t="e">
        <f ca="1">_xll.BDH($C$3,"TOTAL_EQUITY_SEQUENTIAL_GROWTH","FQ4 2014","FQ4 2014","Currency=INR","Period=FQ","BEST_FPERIOD_OVERRIDE=FQ","FILING_STATUS=OR","EQY_CONSOLIDATED=Y","Sort=A","Dates=H","DateFormat=P","Fill=—","Direction=H","UseDPDF=Y")</f>
        <v>#NAME?</v>
      </c>
      <c r="BV7" s="2" t="e">
        <f ca="1">_xll.BDH($C$3,"TOTAL_CAPITAL_SEQUENTIAL_GROWTH","FQ4 2014","FQ4 2014","Currency=INR","Period=FQ","BEST_FPERIOD_OVERRIDE=FQ","FILING_STATUS=OR","EQY_CONSOLIDATED=Y","Sort=A","Dates=H","DateFormat=P","Fill=—","Direction=H","UseDPDF=Y")</f>
        <v>#NAME?</v>
      </c>
      <c r="BW7" s="2" t="e">
        <f ca="1">_xll.BDH($C$3,"BPS_SEQUENTIAL_GROWTH","FQ4 2014","FQ4 2014","Currency=INR","Period=FQ","BEST_FPERIOD_OVERRIDE=FQ","FILING_STATUS=OR","EQY_CONSOLIDATED=Y","Sort=A","Dates=H","DateFormat=P","Fill=—","Direction=H","UseDPDF=Y")</f>
        <v>#NAME?</v>
      </c>
      <c r="BX7" s="2" t="e">
        <f ca="1">_xll.BDH($C$3,"CFO_SEQUENTIAL_GROWTH","FQ4 2014","FQ4 2014","Currency=INR","Period=FQ","BEST_FPERIOD_OVERRIDE=FQ","FILING_STATUS=OR","EQY_CONSOLIDATED=Y","Sort=A","Dates=H","DateFormat=P","Fill=—","Direction=H","UseDPDF=Y")</f>
        <v>#NAME?</v>
      </c>
      <c r="BY7" s="3" t="e">
        <f ca="1">_xll.BDH($C$3,"SHORT_AND_LONG_TERM_DEBT","FQ4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7" s="3" t="e">
        <f ca="1">_xll.BDH($C$3,"BS_ST_BORROW","FQ4 2014","FQ4 2014","Currency=INR","Period=FQ","BEST_FPERIOD_OVERRIDE=FQ","FILING_STATUS=OR","EQY_CONSOLIDATED=Y","SCALING_FORMAT=MLN","Sort=A","Dates=H","DateFormat=P","Fill=—","Direction=H","UseDPDF=Y")</f>
        <v>#NAME?</v>
      </c>
      <c r="CA7" s="3" t="e">
        <f ca="1">_xll.BDH($C$3,"BS_LT_BORROW","FQ4 2014","FQ4 2014","Currency=INR","Period=FQ","BEST_FPERIOD_OVERRIDE=FQ","FILING_STATUS=OR","EQY_CONSOLIDATED=Y","SCALING_FORMAT=MLN","Sort=A","Dates=H","DateFormat=P","Fill=—","Direction=H","UseDPDF=Y")</f>
        <v>#NAME?</v>
      </c>
      <c r="CB7" s="2" t="e">
        <f ca="1">_xll.BDH($C$3,"TOT_DEBT_TO_EBITDA","FQ4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7" s="2" t="e">
        <f ca="1">_xll.BDH($C$3,"NET_DEBT_TO_EBITDA","FQ4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7" s="2" t="e">
        <f ca="1">_xll.BDH($C$3,"TOTAL_DEBT_TO_EBIT","FQ4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7" s="2" t="e">
        <f ca="1">_xll.BDH($C$3,"NET_DEBT_TO_EBIT","FQ4 2014","FQ4 2014","Currency=INR","Period=FQ","BEST_FPERIOD_OVERRIDE=FQ","FILING_STATUS=OR","EQY_CONSOLIDATED=Y","FA_ADJUSTED=GAAP","Sort=A","Dates=H","DateFormat=P","Fill=—","Direction=H","UseDPDF=Y")</f>
        <v>#NAME?</v>
      </c>
      <c r="CF7" s="2" t="e">
        <f ca="1">_xll.BDH($C$3,"EBITDA_TO_INTEREST_EXPN","FQ4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7" s="2" t="e">
        <f ca="1">_xll.BDH($C$3,"COM_EQY_TO_TOT_ASSET","FQ4 2014","FQ4 2014","Currency=INR","Period=FQ","BEST_FPERIOD_OVERRIDE=FQ","FILING_STATUS=OR","EQY_CONSOLIDATED=Y","Sort=A","Dates=H","DateFormat=P","Fill=—","Direction=H","UseDPDF=Y")</f>
        <v>#NAME?</v>
      </c>
      <c r="CH7" s="2" t="e">
        <f ca="1">_xll.BDH($C$3,"LT_DEBT_TO_TOT_EQY","FQ4 2014","FQ4 2014","Currency=INR","Period=FQ","BEST_FPERIOD_OVERRIDE=FQ","FILING_STATUS=OR","EQY_CONSOLIDATED=Y","Sort=A","Dates=H","DateFormat=P","Fill=—","Direction=H","UseDPDF=Y")</f>
        <v>#NAME?</v>
      </c>
      <c r="CI7" s="2" t="e">
        <f ca="1">_xll.BDH($C$3,"LT_DEBT_TO_TOT_CAP","FQ4 2014","FQ4 2014","Currency=INR","Period=FQ","BEST_FPERIOD_OVERRIDE=FQ","FILING_STATUS=OR","EQY_CONSOLIDATED=Y","Sort=A","Dates=H","DateFormat=P","Fill=—","Direction=H","UseDPDF=Y")</f>
        <v>#NAME?</v>
      </c>
      <c r="CJ7" s="2" t="e">
        <f ca="1">_xll.BDH($C$3,"LT_DEBT_TO_TOT_ASSET","FQ4 2014","FQ4 2014","Currency=INR","Period=FQ","BEST_FPERIOD_OVERRIDE=FQ","FILING_STATUS=OR","EQY_CONSOLIDATED=Y","Sort=A","Dates=H","DateFormat=P","Fill=—","Direction=H","UseDPDF=Y")</f>
        <v>#NAME?</v>
      </c>
      <c r="CK7" s="2" t="e">
        <f ca="1">_xll.BDH($C$3,"TOT_DEBT_TO_TOT_EQY","FQ4 2014","FQ4 2014","Currency=INR","Period=FQ","BEST_FPERIOD_OVERRIDE=FQ","FILING_STATUS=OR","EQY_CONSOLIDATED=Y","Sort=A","Dates=H","DateFormat=P","Fill=—","Direction=H","UseDPDF=Y")</f>
        <v>#NAME?</v>
      </c>
      <c r="CL7" s="2" t="e">
        <f ca="1">_xll.BDH($C$3,"TOT_DEBT_TO_TOT_CAP","FQ4 2014","FQ4 2014","Currency=INR","Period=FQ","BEST_FPERIOD_OVERRIDE=FQ","FILING_STATUS=OR","EQY_CONSOLIDATED=Y","Sort=A","Dates=H","DateFormat=P","Fill=—","Direction=H","UseDPDF=Y")</f>
        <v>#NAME?</v>
      </c>
      <c r="CM7" s="2" t="e">
        <f ca="1">_xll.BDH($C$3,"TOT_DEBT_TO_TOT_ASSET","FQ4 2014","FQ4 2014","Currency=INR","Period=FQ","BEST_FPERIOD_OVERRIDE=FQ","FILING_STATUS=OR","EQY_CONSOLIDATED=Y","Sort=A","Dates=H","DateFormat=P","Fill=—","Direction=H","UseDPDF=Y")</f>
        <v>#NAME?</v>
      </c>
      <c r="CN7" s="2" t="e">
        <f ca="1">_xll.BDH($C$3,"NET_DEBT_TO_SHRHLDR_EQTY","FQ4 2014","FQ4 2014","Currency=INR","Period=FQ","BEST_FPERIOD_OVERRIDE=FQ","FILING_STATUS=OR","EQY_CONSOLIDATED=Y","Sort=A","Dates=H","DateFormat=P","Fill=—","Direction=H","UseDPDF=Y")</f>
        <v>#NAME?</v>
      </c>
      <c r="CO7" s="2" t="e">
        <f ca="1">_xll.BDH($C$3,"NET_DEBT_%_CAPITAL","FQ4 2014","FQ4 2014","Currency=INR","Period=FQ","BEST_FPERIOD_OVERRIDE=FQ","FILING_STATUS=OR","EQY_CONSOLIDATED=Y","Sort=A","Dates=H","DateFormat=P","Fill=—","Direction=H","UseDPDF=Y")</f>
        <v>#NAME?</v>
      </c>
      <c r="CP7" s="3" t="e">
        <f ca="1">_xll.BDH($C$3,"EBITDA","FQ4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7" s="3" t="e">
        <f ca="1">_xll.BDH($C$3,"EBITDA_AFTER_CAPEX","FQ4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7" s="3" t="e">
        <f ca="1">_xll.BDH($C$3,"IS_OPER_INC","FQ4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7" s="2" t="e">
        <f ca="1">_xll.BDH($C$3,"CASH_RATIO","FQ4 2014","FQ4 2014","Currency=INR","Period=FQ","BEST_FPERIOD_OVERRIDE=FQ","FILING_STATUS=OR","EQY_CONSOLIDATED=Y","Sort=A","Dates=H","DateFormat=P","Fill=—","Direction=H","UseDPDF=Y")</f>
        <v>#NAME?</v>
      </c>
      <c r="CT7" s="2" t="e">
        <f ca="1">_xll.BDH($C$3,"CUR_RATIO","FQ4 2014","FQ4 2014","Currency=INR","Period=FQ","BEST_FPERIOD_OVERRIDE=FQ","FILING_STATUS=OR","EQY_CONSOLIDATED=Y","Sort=A","Dates=H","DateFormat=P","Fill=—","Direction=H","UseDPDF=Y")</f>
        <v>#NAME?</v>
      </c>
      <c r="CU7" s="2" t="e">
        <f ca="1">_xll.BDH($C$3,"QUICK_RATIO","FQ4 2014","FQ4 2014","Currency=INR","Period=FQ","BEST_FPERIOD_OVERRIDE=FQ","FILING_STATUS=OR","EQY_CONSOLIDATED=Y","Sort=A","Dates=H","DateFormat=P","Fill=—","Direction=H","UseDPDF=Y")</f>
        <v>#NAME?</v>
      </c>
      <c r="CV7" s="2" t="e">
        <f ca="1">_xll.BDH($C$3,"ALTMAN_Z_SCORE","FQ4 2014","FQ4 2014","Currency=INR","Period=FQ","BEST_FPERIOD_OVERRIDE=FQ","FILING_STATUS=OR","EQY_CONSOLIDATED=Y","Sort=A","Dates=H","DateFormat=P","Fill=—","Direction=H","UseDPDF=Y")</f>
        <v>#NAME?</v>
      </c>
      <c r="CW7" s="4" t="e">
        <f ca="1">_xll.BDH($C$3,"ACCT_RCV_TURN","FQ4 2014","FQ4 2014","Currency=INR","Period=FQ","BEST_FPERIOD_OVERRIDE=FQ","FILING_STATUS=OR","EQY_CONSOLIDATED=Y","FA_ADJUSTED=GAAP","Sort=A","Dates=H","DateFormat=P","Fill=—","Direction=H","UseDPDF=Y")</f>
        <v>#NAME?</v>
      </c>
      <c r="CX7" s="2" t="e">
        <f ca="1">_xll.BDH($C$3,"ACCT_RCV_DAYS","FQ4 2014","FQ4 2014","Currency=INR","Period=FQ","BEST_FPERIOD_OVERRIDE=FQ","FILING_STATUS=OR","EQY_CONSOLIDATED=Y","FA_ADJUSTED=GAAP","Sort=A","Dates=H","DateFormat=P","Fill=—","Direction=H","UseDPDF=Y")</f>
        <v>#NAME?</v>
      </c>
      <c r="CY7" s="4" t="e">
        <f ca="1">_xll.BDH($C$3,"INVENT_TURN","FQ4 2014","FQ4 2014","Currency=INR","Period=FQ","BEST_FPERIOD_OVERRIDE=FQ","FILING_STATUS=OR","EQY_CONSOLIDATED=Y","FA_ADJUSTED=GAAP","Sort=A","Dates=H","DateFormat=P","Fill=—","Direction=H","UseDPDF=Y")</f>
        <v>#NAME?</v>
      </c>
      <c r="CZ7" s="2" t="e">
        <f ca="1">_xll.BDH($C$3,"INVENT_DAYS","FQ4 2014","FQ4 2014","Currency=INR","Period=FQ","BEST_FPERIOD_OVERRIDE=FQ","FILING_STATUS=OR","EQY_CONSOLIDATED=Y","FA_ADJUSTED=GAAP","Sort=A","Dates=H","DateFormat=P","Fill=—","Direction=H","UseDPDF=Y")</f>
        <v>#NAME?</v>
      </c>
      <c r="DA7" s="4" t="e">
        <f ca="1">_xll.BDH($C$3,"ACCOUNTS_PAYABLE_TURNOVER","FQ4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7" s="2" t="e">
        <f ca="1">_xll.BDH($C$3,"ACCOUNTS_PAYABLE_TURNOVER_DAYS","FQ4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7" s="4" t="e">
        <f ca="1">_xll.BDH($C$3,"CASH_CONVERSION_CYCLE","FQ4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7" s="4" t="e">
        <f ca="1">_xll.BDH($C$3,"INV_TO_CASH_DAYS","FQ4 2014","FQ4 2014","Currency=INR","Period=FQ","BEST_FPERIOD_OVERRIDE=FQ","FILING_STATUS=OR","EQY_CONSOLIDATED=Y","FA_ADJUSTED=GAAP","Sort=A","Dates=H","DateFormat=P","Fill=—","Direction=H","UseDPDF=Y")</f>
        <v>#NAME?</v>
      </c>
      <c r="DE7" s="5" t="e">
        <f ca="1">_xll.BDH($C$3,"BS_INVENTORIES","FQ4 2014","FQ4 2014","Currency=INR","Period=FQ","BEST_FPERIOD_OVERRIDE=FQ","FILING_STATUS=OR","EQY_CONSOLIDATED=Y","SCALING_FORMAT=MLN","Sort=A","Dates=H","DateFormat=P","Fill=—","Direction=H","UseDPDF=Y")</f>
        <v>#NAME?</v>
      </c>
      <c r="DF7" s="3" t="e">
        <f ca="1">_xll.BDH($C$3,"INVTRY_RAW_MATERIALS","FQ4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7" s="3" t="e">
        <f ca="1">_xll.BDH($C$3,"INVTRY_IN_PROGRESS","FQ4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7" s="3" t="e">
        <f ca="1">_xll.BDH($C$3,"INVTRY_FINISHED_GOODS","FQ4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7" s="3" t="e">
        <f ca="1">_xll.BDH($C$3,"BS_OTHER_INV","FQ4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" spans="1:113" x14ac:dyDescent="0.3">
      <c r="A8" s="6"/>
      <c r="B8" s="6"/>
      <c r="C8" s="6"/>
      <c r="D8" s="6" t="s">
        <v>82</v>
      </c>
      <c r="E8" t="s">
        <v>77</v>
      </c>
      <c r="F8" t="e">
        <f ca="1">_xll.BDH($C$3,"RETURN_COM_EQY","FY 2015","FY 2015","Currency=INR","Period=FY","BEST_FPERIOD_OVERRIDE=FY","FILING_STATUS=OR","EQY_CONSOLIDATED=Y","FA_ADJUSTED=GAAP","Sort=A","Dates=H","DateFormat=P","Fill=—","Direction=H","UseDPDF=Y")</f>
        <v>#NAME?</v>
      </c>
      <c r="G8" t="e">
        <f ca="1">_xll.BDH($C$3,"RETURN_ON_ASSET","FY 2015","FY 2015","Currency=INR","Period=FY","BEST_FPERIOD_OVERRIDE=FY","FILING_STATUS=OR","EQY_CONSOLIDATED=Y","FA_ADJUSTED=GAAP","Sort=A","Dates=H","DateFormat=P","Fill=—","Direction=H","UseDPDF=Y")</f>
        <v>#NAME?</v>
      </c>
      <c r="H8" t="e">
        <f ca="1">_xll.BDH($C$3,"RETURN_ON_CAP","FY 2015","FY 2015","Currency=INR","Period=FY","BEST_FPERIOD_OVERRIDE=FY","FILING_STATUS=OR","EQY_CONSOLIDATED=Y","FA_ADJUSTED=GAAP","Sort=A","Dates=H","DateFormat=P","Fill=—","Direction=H","UseDPDF=Y")</f>
        <v>#NAME?</v>
      </c>
      <c r="I8" t="e">
        <f ca="1">_xll.BDH($C$3,"RETURN_ON_INV_CAPITAL","FY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" t="e">
        <f ca="1">_xll.BDH($C$3,"EBITDA_TO_REVENUE","FY 2015","FY 2015","Currency=INR","Period=FY","BEST_FPERIOD_OVERRIDE=FY","FILING_STATUS=OR","EQY_CONSOLIDATED=Y","FA_ADJUSTED=GAAP","Sort=A","Dates=H","DateFormat=P","Fill=—","Direction=H","UseDPDF=Y")</f>
        <v>#NAME?</v>
      </c>
      <c r="K8" t="e">
        <f ca="1">_xll.BDH($C$3,"OPER_MARGIN","FY 2015","FY 2015","Currency=INR","Period=FY","BEST_FPERIOD_OVERRIDE=FY","FILING_STATUS=OR","EQY_CONSOLIDATED=Y","FA_ADJUSTED=GAAP","Sort=A","Dates=H","DateFormat=P","Fill=—","Direction=H","UseDPDF=Y")</f>
        <v>#NAME?</v>
      </c>
      <c r="L8" t="e">
        <f ca="1">_xll.BDH($C$3,"INCREMENTAL_OPERATING_MARGIN","FY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" t="e">
        <f ca="1">_xll.BDH($C$3,"PRETAX_INC_TO_NET_SALES","FY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" t="e">
        <f ca="1">_xll.BDH($C$3,"INC_BEF_XO_ITEMS_TO_NET_SALES","FY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" t="e">
        <f ca="1">_xll.BDH($C$3,"PROF_MARGIN","FY 2015","FY 2015","Currency=INR","Period=FY","BEST_FPERIOD_OVERRIDE=FY","FILING_STATUS=OR","EQY_CONSOLIDATED=Y","FA_ADJUSTED=GAAP","Sort=A","Dates=H","DateFormat=P","Fill=—","Direction=H","UseDPDF=Y")</f>
        <v>#NAME?</v>
      </c>
      <c r="P8" t="e">
        <f ca="1">_xll.BDH($C$3,"NET_INCOME_TO_COMMON_MARGIN","FY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" t="e">
        <f ca="1">_xll.BDH($C$3,"EFF_TAX_RATE","FY 2015","FY 2015","Currency=INR","Period=FY","BEST_FPERIOD_OVERRIDE=FY","FILING_STATUS=OR","EQY_CONSOLIDATED=Y","FA_ADJUSTED=GAAP","Sort=A","Dates=H","DateFormat=P","Fill=—","Direction=H","UseDPDF=Y")</f>
        <v>#NAME?</v>
      </c>
      <c r="R8" t="e">
        <f ca="1">_xll.BDH($C$3,"DVD_PAYOUT_RATIO","FY 2015","FY 2015","Currency=INR","Period=FY","BEST_FPERIOD_OVERRIDE=FY","FILING_STATUS=OR","EQY_CONSOLIDATED=Y","FA_ADJUSTED=GAAP","Sort=A","Dates=H","DateFormat=P","Fill=—","Direction=H","UseDPDF=Y")</f>
        <v>#NAME?</v>
      </c>
      <c r="S8" t="e">
        <f ca="1">_xll.BDH($C$3,"SUSTAIN_GROWTH_RT","FY 2015","FY 2015","Currency=INR","Period=FY","BEST_FPERIOD_OVERRIDE=FY","FILING_STATUS=OR","EQY_CONSOLIDATED=Y","FA_ADJUSTED=GAAP","Sort=A","Dates=H","DateFormat=P","Fill=—","Direction=H","UseDPDF=Y")</f>
        <v>#NAME?</v>
      </c>
      <c r="T8" s="2" t="e">
        <f ca="1">_xll.BDH($C$3,"SALES_GROWTH","FY 2015","FY 2015","Currency=INR","Period=FY","BEST_FPERIOD_OVERRIDE=FY","FILING_STATUS=OR","EQY_CONSOLIDATED=Y","FA_ADJUSTED=GAAP","Sort=A","Dates=H","DateFormat=P","Fill=—","Direction=H","UseDPDF=Y")</f>
        <v>#NAME?</v>
      </c>
      <c r="U8" s="2" t="e">
        <f ca="1">_xll.BDH($C$3,"EBITDA_GROWTH","FY 2015","FY 2015","Currency=INR","Period=FY","BEST_FPERIOD_OVERRIDE=FY","FILING_STATUS=OR","EQY_CONSOLIDATED=Y","FA_ADJUSTED=GAAP","Sort=A","Dates=H","DateFormat=P","Fill=—","Direction=H","UseDPDF=Y")</f>
        <v>#NAME?</v>
      </c>
      <c r="V8" s="2" t="e">
        <f ca="1">_xll.BDH($C$3,"OPER_INC_GROWTH","FY 2015","FY 2015","Currency=INR","Period=FY","BEST_FPERIOD_OVERRIDE=FY","FILING_STATUS=OR","EQY_CONSOLIDATED=Y","FA_ADJUSTED=GAAP","Sort=A","Dates=H","DateFormat=P","Fill=—","Direction=H","UseDPDF=Y")</f>
        <v>#NAME?</v>
      </c>
      <c r="W8" s="2" t="e">
        <f ca="1">_xll.BDH($C$3,"EARN_FOR_COM_GROWTH","FY 2015","FY 2015","Currency=INR","Period=FY","BEST_FPERIOD_OVERRIDE=FY","FILING_STATUS=OR","EQY_CONSOLIDATED=Y","FA_ADJUSTED=GAAP","Sort=A","Dates=H","DateFormat=P","Fill=—","Direction=H","UseDPDF=Y")</f>
        <v>#NAME?</v>
      </c>
      <c r="X8" s="2" t="e">
        <f ca="1">_xll.BDH($C$3,"DILUTED_EPS_AFT_XO_ITEMS_GROWTH","FY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" s="2" t="e">
        <f ca="1">_xll.BDH($C$3,"DIVIDEND_PER_SHARE_1_YEAR_GROWTH","FY 2015","FY 2015","Currency=INR","Period=FY","BEST_FPERIOD_OVERRIDE=FY","FILING_STATUS=OR","EQY_CONSOLIDATED=Y","Sort=A","Dates=H","DateFormat=P","Fill=—","Direction=H","UseDPDF=Y")</f>
        <v>#NAME?</v>
      </c>
      <c r="Z8" s="2" t="e">
        <f ca="1">_xll.BDH($C$3,"ACCOUNTS_RECEIVABLE_GROWTH","FY 2015","FY 2015","Currency=INR","Period=FY","BEST_FPERIOD_OVERRIDE=FY","FILING_STATUS=OR","EQY_CONSOLIDATED=Y","Sort=A","Dates=H","DateFormat=P","Fill=—","Direction=H","UseDPDF=Y")</f>
        <v>#NAME?</v>
      </c>
      <c r="AA8" s="2" t="e">
        <f ca="1">_xll.BDH($C$3,"INVENTORY_GROWTH","FY 2015","FY 2015","Currency=INR","Period=FY","BEST_FPERIOD_OVERRIDE=FY","FILING_STATUS=OR","EQY_CONSOLIDATED=Y","Sort=A","Dates=H","DateFormat=P","Fill=—","Direction=H","UseDPDF=Y")</f>
        <v>#NAME?</v>
      </c>
      <c r="AB8" s="2" t="e">
        <f ca="1">_xll.BDH($C$3,"NET_FIXED_ASSETS_1_YEAR_GROWTH","FY 2015","FY 2015","Currency=INR","Period=FY","BEST_FPERIOD_OVERRIDE=FY","FILING_STATUS=OR","EQY_CONSOLIDATED=Y","Sort=A","Dates=H","DateFormat=P","Fill=—","Direction=H","UseDPDF=Y")</f>
        <v>#NAME?</v>
      </c>
      <c r="AC8" s="2" t="e">
        <f ca="1">_xll.BDH($C$3,"ASSET_GROWTH","FY 2015","FY 2015","Currency=INR","Period=FY","BEST_FPERIOD_OVERRIDE=FY","FILING_STATUS=OR","EQY_CONSOLIDATED=Y","Sort=A","Dates=H","DateFormat=P","Fill=—","Direction=H","UseDPDF=Y")</f>
        <v>#NAME?</v>
      </c>
      <c r="AD8" s="2" t="e">
        <f ca="1">_xll.BDH($C$3,"MODIFIED_WORK_CAP_GROWTH","FY 2015","FY 2015","Currency=INR","Period=FY","BEST_FPERIOD_OVERRIDE=FY","FILING_STATUS=OR","EQY_CONSOLIDATED=Y","Sort=A","Dates=H","DateFormat=P","Fill=—","Direction=H","UseDPDF=Y")</f>
        <v>#NAME?</v>
      </c>
      <c r="AE8" s="2" t="e">
        <f ca="1">_xll.BDH($C$3,"WORK_CAP_GROWTH","FY 2015","FY 2015","Currency=INR","Period=FY","BEST_FPERIOD_OVERRIDE=FY","FILING_STATUS=OR","EQY_CONSOLIDATED=Y","Sort=A","Dates=H","DateFormat=P","Fill=—","Direction=H","UseDPDF=Y")</f>
        <v>#NAME?</v>
      </c>
      <c r="AF8" s="2" t="e">
        <f ca="1">_xll.BDH($C$3,"ACCOUNTS_PAYABLE_GROWTH_1YR","FY 2015","FY 2015","Currency=INR","Period=FY","BEST_FPERIOD_OVERRIDE=FY","FILING_STATUS=OR","EQY_CONSOLIDATED=Y","Sort=A","Dates=H","DateFormat=P","Fill=—","Direction=H","UseDPDF=Y")</f>
        <v>#NAME?</v>
      </c>
      <c r="AG8" s="2" t="e">
        <f ca="1">_xll.BDH($C$3,"SHORT_TERM_DEBT_1_YEAR_GROWTH","FY 2015","FY 2015","Currency=INR","Period=FY","BEST_FPERIOD_OVERRIDE=FY","FILING_STATUS=OR","EQY_CONSOLIDATED=Y","Sort=A","Dates=H","DateFormat=P","Fill=—","Direction=H","UseDPDF=Y")</f>
        <v>#NAME?</v>
      </c>
      <c r="AH8" s="2" t="e">
        <f ca="1">_xll.BDH($C$3,"TOTAL_DEBT_1_YEAR_GROWTH","FY 2015","FY 2015","Currency=INR","Period=FY","BEST_FPERIOD_OVERRIDE=FY","FILING_STATUS=OR","EQY_CONSOLIDATED=Y","Sort=A","Dates=H","DateFormat=P","Fill=—","Direction=H","UseDPDF=Y")</f>
        <v>#NAME?</v>
      </c>
      <c r="AI8" s="2" t="e">
        <f ca="1">_xll.BDH($C$3,"TOTAL_EQUITY_1_YEAR_GROWTH","FY 2015","FY 2015","Currency=INR","Period=FY","BEST_FPERIOD_OVERRIDE=FY","FILING_STATUS=OR","EQY_CONSOLIDATED=Y","Sort=A","Dates=H","DateFormat=P","Fill=—","Direction=H","UseDPDF=Y")</f>
        <v>#NAME?</v>
      </c>
      <c r="AJ8" s="2" t="e">
        <f ca="1">_xll.BDH($C$3,"GROWTH_IN_CAP","FY 2015","FY 2015","Currency=INR","Period=FY","BEST_FPERIOD_OVERRIDE=FY","FILING_STATUS=OR","EQY_CONSOLIDATED=Y","Sort=A","Dates=H","DateFormat=P","Fill=—","Direction=H","UseDPDF=Y")</f>
        <v>#NAME?</v>
      </c>
      <c r="AK8" s="2" t="e">
        <f ca="1">_xll.BDH($C$3,"BVPS_GROWTH","FY 2015","FY 2015","Currency=INR","Period=FY","BEST_FPERIOD_OVERRIDE=FY","FILING_STATUS=OR","EQY_CONSOLIDATED=Y","Sort=A","Dates=H","DateFormat=P","Fill=—","Direction=H","UseDPDF=Y")</f>
        <v>#NAME?</v>
      </c>
      <c r="AL8" s="2" t="e">
        <f ca="1">_xll.BDH($C$3,"CASH_FLOW_GROWTH","FY 2015","FY 2015","Currency=INR","Period=FY","BEST_FPERIOD_OVERRIDE=FY","FILING_STATUS=OR","EQY_CONSOLIDATED=Y","Sort=A","Dates=H","DateFormat=P","Fill=—","Direction=H","UseDPDF=Y")</f>
        <v>#NAME?</v>
      </c>
      <c r="AM8" s="2" t="e">
        <f ca="1">_xll.BDH($C$3,"GEO_GROW_NET_SALES","FY 2015","FY 2015","Currency=INR","Period=FY","BEST_FPERIOD_OVERRIDE=FY","FILING_STATUS=OR","EQY_CONSOLIDATED=Y","FA_ADJUSTED=GAAP","Sort=A","Dates=H","DateFormat=P","Fill=—","Direction=H","UseDPDF=Y")</f>
        <v>#NAME?</v>
      </c>
      <c r="AN8" s="2" t="e">
        <f ca="1">_xll.BDH($C$3,"GEO_GROW_EBITDA","FY 2015","FY 2015","Currency=INR","Period=FY","BEST_FPERIOD_OVERRIDE=FY","FILING_STATUS=OR","EQY_CONSOLIDATED=Y","FA_ADJUSTED=GAAP","Sort=A","Dates=H","DateFormat=P","Fill=—","Direction=H","UseDPDF=Y")</f>
        <v>#NAME?</v>
      </c>
      <c r="AO8" s="2" t="e">
        <f ca="1">_xll.BDH($C$3,"GEO_GROW_OPER_INC","FY 2015","FY 2015","Currency=INR","Period=FY","BEST_FPERIOD_OVERRIDE=FY","FILING_STATUS=OR","EQY_CONSOLIDATED=Y","FA_ADJUSTED=GAAP","Sort=A","Dates=H","DateFormat=P","Fill=—","Direction=H","UseDPDF=Y")</f>
        <v>#NAME?</v>
      </c>
      <c r="AP8" s="2" t="e">
        <f ca="1">_xll.BDH($C$3,"NET_INCOME_TO_COMMON_5_YR_GROWTH","FY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" s="2" t="e">
        <f ca="1">_xll.BDH($C$3,"5Y_GEO_GROWTH_DILUTED_EPS","FY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" s="2" t="e">
        <f ca="1">_xll.BDH($C$3,"GEO_GROW_DVD_PER_SH","FY 2015","FY 2015","Currency=INR","Period=FY","BEST_FPERIOD_OVERRIDE=FY","FILING_STATUS=OR","EQY_CONSOLIDATED=Y","Sort=A","Dates=H","DateFormat=P","Fill=—","Direction=H","UseDPDF=Y")</f>
        <v>#NAME?</v>
      </c>
      <c r="AS8" s="2" t="e">
        <f ca="1">_xll.BDH($C$3,"ACCOUNTS_RECEIVABLE_5_YR_GROWTH","FY 2015","FY 2015","Currency=INR","Period=FY","BEST_FPERIOD_OVERRIDE=FY","FILING_STATUS=OR","EQY_CONSOLIDATED=Y","Sort=A","Dates=H","DateFormat=P","Fill=—","Direction=H","UseDPDF=Y")</f>
        <v>#NAME?</v>
      </c>
      <c r="AT8" s="2" t="e">
        <f ca="1">_xll.BDH($C$3,"INVENTORY_5_YEAR_GROWTH","FY 2015","FY 2015","Currency=INR","Period=FY","BEST_FPERIOD_OVERRIDE=FY","FILING_STATUS=OR","EQY_CONSOLIDATED=Y","Sort=A","Dates=H","DateFormat=P","Fill=—","Direction=H","UseDPDF=Y")</f>
        <v>#NAME?</v>
      </c>
      <c r="AU8" s="2" t="e">
        <f ca="1">_xll.BDH($C$3,"NET_FIXED_ASSETS_5_YEAR_GROWTH","FY 2015","FY 2015","Currency=INR","Period=FY","BEST_FPERIOD_OVERRIDE=FY","FILING_STATUS=OR","EQY_CONSOLIDATED=Y","Sort=A","Dates=H","DateFormat=P","Fill=—","Direction=H","UseDPDF=Y")</f>
        <v>#NAME?</v>
      </c>
      <c r="AV8" s="2" t="e">
        <f ca="1">_xll.BDH($C$3,"GEO_GROW_TOT_ASSET","FY 2015","FY 2015","Currency=INR","Period=FY","BEST_FPERIOD_OVERRIDE=FY","FILING_STATUS=OR","EQY_CONSOLIDATED=Y","Sort=A","Dates=H","DateFormat=P","Fill=—","Direction=H","UseDPDF=Y")</f>
        <v>#NAME?</v>
      </c>
      <c r="AW8" s="2" t="e">
        <f ca="1">_xll.BDH($C$3,"MODIFIED_WORKING_CPTL_5YR_GRWTH","FY 2015","FY 2015","Currency=INR","Period=FY","BEST_FPERIOD_OVERRIDE=FY","FILING_STATUS=OR","EQY_CONSOLIDATED=Y","Sort=A","Dates=H","DateFormat=P","Fill=—","Direction=H","UseDPDF=Y")</f>
        <v>#NAME?</v>
      </c>
      <c r="AX8" s="2" t="e">
        <f ca="1">_xll.BDH($C$3,"WORKING_CAPITAL_5_YEAR_GROWTH","FY 2015","FY 2015","Currency=INR","Period=FY","BEST_FPERIOD_OVERRIDE=FY","FILING_STATUS=OR","EQY_CONSOLIDATED=Y","Sort=A","Dates=H","DateFormat=P","Fill=—","Direction=H","UseDPDF=Y")</f>
        <v>#NAME?</v>
      </c>
      <c r="AY8" s="2" t="e">
        <f ca="1">_xll.BDH($C$3,"ACCOUNTS_PAYABLE_5_YEAR_GROWTH","FY 2015","FY 2015","Currency=INR","Period=FY","BEST_FPERIOD_OVERRIDE=FY","FILING_STATUS=OR","EQY_CONSOLIDATED=Y","Sort=A","Dates=H","DateFormat=P","Fill=—","Direction=H","UseDPDF=Y")</f>
        <v>#NAME?</v>
      </c>
      <c r="AZ8" s="2" t="e">
        <f ca="1">_xll.BDH($C$3,"SHORT_TERM_DEBT_5_YEAR_GROWTH","FY 2015","FY 2015","Currency=INR","Period=FY","BEST_FPERIOD_OVERRIDE=FY","FILING_STATUS=OR","EQY_CONSOLIDATED=Y","Sort=A","Dates=H","DateFormat=P","Fill=—","Direction=H","UseDPDF=Y")</f>
        <v>#NAME?</v>
      </c>
      <c r="BA8" s="2" t="e">
        <f ca="1">_xll.BDH($C$3,"TOTAL_DEBT_5_YEAR_GROWTH","FY 2015","FY 2015","Currency=INR","Period=FY","BEST_FPERIOD_OVERRIDE=FY","FILING_STATUS=OR","EQY_CONSOLIDATED=Y","Sort=A","Dates=H","DateFormat=P","Fill=—","Direction=H","UseDPDF=Y")</f>
        <v>#NAME?</v>
      </c>
      <c r="BB8" s="2" t="e">
        <f ca="1">_xll.BDH($C$3,"GEO_GROW_TOT_SHRHLDR_EQY","FY 2015","FY 2015","Currency=INR","Period=FY","BEST_FPERIOD_OVERRIDE=FY","FILING_STATUS=OR","EQY_CONSOLIDATED=Y","Sort=A","Dates=H","DateFormat=P","Fill=—","Direction=H","UseDPDF=Y")</f>
        <v>#NAME?</v>
      </c>
      <c r="BC8" s="2" t="e">
        <f ca="1">_xll.BDH($C$3,"TOTAL_CAPITAL_5_YEAR_GROWTH","FY 2015","FY 2015","Currency=INR","Period=FY","BEST_FPERIOD_OVERRIDE=FY","FILING_STATUS=OR","EQY_CONSOLIDATED=Y","Sort=A","Dates=H","DateFormat=P","Fill=—","Direction=H","UseDPDF=Y")</f>
        <v>#NAME?</v>
      </c>
      <c r="BD8" s="2" t="e">
        <f ca="1">_xll.BDH($C$3,"GEO_GROW_BOOK_VAL","FY 2015","FY 2015","Currency=INR","Period=FY","BEST_FPERIOD_OVERRIDE=FY","FILING_STATUS=OR","EQY_CONSOLIDATED=Y","Sort=A","Dates=H","DateFormat=P","Fill=—","Direction=H","UseDPDF=Y")</f>
        <v>#NAME?</v>
      </c>
      <c r="BE8" s="2" t="e">
        <f ca="1">_xll.BDH($C$3,"GEO_GROW_CASH_OPER_ACT","FY 2015","FY 2015","Currency=INR","Period=FY","BEST_FPERIOD_OVERRIDE=FY","FILING_STATUS=OR","EQY_CONSOLIDATED=Y","Sort=A","Dates=H","DateFormat=P","Fill=—","Direction=H","UseDPDF=Y")</f>
        <v>#NAME?</v>
      </c>
      <c r="BF8" s="2" t="e">
        <f ca="1">_xll.BDH($C$3,"REVENUE_SEQUENTIAL_GROWTH","FY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" s="2" t="e">
        <f ca="1">_xll.BDH($C$3,"EBITDA_SEQUENTIAL_GROWTH","FY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" s="2" t="e">
        <f ca="1">_xll.BDH($C$3,"OPERATING_INCOME_SEQ_GROWTH","FY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" s="2" t="e">
        <f ca="1">_xll.BDH($C$3,"NET_INCOME_TO_COMMON_SEQ_GROWTH","FY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" s="2" t="e">
        <f ca="1">_xll.BDH($C$3,"EPS_DILUTED_SEQUENTIAL_GROWTH","FY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" s="2" t="e">
        <f ca="1">_xll.BDH($C$3,"DPS_SEQUENTIAL_GROWTH","FY 2015","FY 2015","Currency=INR","Period=FY","BEST_FPERIOD_OVERRIDE=FY","FILING_STATUS=OR","EQY_CONSOLIDATED=Y","Sort=A","Dates=H","DateFormat=P","Fill=—","Direction=H","UseDPDF=Y")</f>
        <v>#NAME?</v>
      </c>
      <c r="BL8" s="2" t="e">
        <f ca="1">_xll.BDH($C$3,"ACCOUNTS_RECEIVABLE_SEQ_GROWTH","FY 2015","FY 2015","Currency=INR","Period=FY","BEST_FPERIOD_OVERRIDE=FY","FILING_STATUS=OR","EQY_CONSOLIDATED=Y","Sort=A","Dates=H","DateFormat=P","Fill=—","Direction=H","UseDPDF=Y")</f>
        <v>#NAME?</v>
      </c>
      <c r="BM8" s="2" t="e">
        <f ca="1">_xll.BDH($C$3,"INVENTORY_SEQUENTIAL_GROWTH","FY 2015","FY 2015","Currency=INR","Period=FY","BEST_FPERIOD_OVERRIDE=FY","FILING_STATUS=OR","EQY_CONSOLIDATED=Y","Sort=A","Dates=H","DateFormat=P","Fill=—","Direction=H","UseDPDF=Y")</f>
        <v>#NAME?</v>
      </c>
      <c r="BN8" s="2" t="e">
        <f ca="1">_xll.BDH($C$3,"FIXED_ASSETS_SEQUENTIAL_GROWTH","FY 2015","FY 2015","Currency=INR","Period=FY","BEST_FPERIOD_OVERRIDE=FY","FILING_STATUS=OR","EQY_CONSOLIDATED=Y","Sort=A","Dates=H","DateFormat=P","Fill=—","Direction=H","UseDPDF=Y")</f>
        <v>#NAME?</v>
      </c>
      <c r="BO8" s="2" t="e">
        <f ca="1">_xll.BDH($C$3,"TOTAL_ASSETS_SEQUENTIAL_GROWTH","FY 2015","FY 2015","Currency=INR","Period=FY","BEST_FPERIOD_OVERRIDE=FY","FILING_STATUS=OR","EQY_CONSOLIDATED=Y","Sort=A","Dates=H","DateFormat=P","Fill=—","Direction=H","UseDPDF=Y")</f>
        <v>#NAME?</v>
      </c>
      <c r="BP8" s="2" t="e">
        <f ca="1">_xll.BDH($C$3,"MODIFIED_WORKING_CPTL_SEQ_GRWTH","FY 2015","FY 2015","Currency=INR","Period=FY","BEST_FPERIOD_OVERRIDE=FY","FILING_STATUS=OR","EQY_CONSOLIDATED=Y","Sort=A","Dates=H","DateFormat=P","Fill=—","Direction=H","UseDPDF=Y")</f>
        <v>#NAME?</v>
      </c>
      <c r="BQ8" s="2" t="e">
        <f ca="1">_xll.BDH($C$3,"WORKING_CAPITAL_SEQ_GROWTH","FY 2015","FY 2015","Currency=INR","Period=FY","BEST_FPERIOD_OVERRIDE=FY","FILING_STATUS=OR","EQY_CONSOLIDATED=Y","Sort=A","Dates=H","DateFormat=P","Fill=—","Direction=H","UseDPDF=Y")</f>
        <v>#NAME?</v>
      </c>
      <c r="BR8" s="2" t="e">
        <f ca="1">_xll.BDH($C$3,"ACCOUNTS_PAYABLE_SEQ_GROWTH","FY 2015","FY 2015","Currency=INR","Period=FY","BEST_FPERIOD_OVERRIDE=FY","FILING_STATUS=OR","EQY_CONSOLIDATED=Y","Sort=A","Dates=H","DateFormat=P","Fill=—","Direction=H","UseDPDF=Y")</f>
        <v>#NAME?</v>
      </c>
      <c r="BS8" s="2" t="e">
        <f ca="1">_xll.BDH($C$3,"ST_DEBT_SEQUENTIAL_GROWTH","FY 2015","FY 2015","Currency=INR","Period=FY","BEST_FPERIOD_OVERRIDE=FY","FILING_STATUS=OR","EQY_CONSOLIDATED=Y","Sort=A","Dates=H","DateFormat=P","Fill=—","Direction=H","UseDPDF=Y")</f>
        <v>#NAME?</v>
      </c>
      <c r="BT8" s="2" t="e">
        <f ca="1">_xll.BDH($C$3,"TOTAL_DEBT_SEQUENTIAL_GROWTH","FY 2015","FY 2015","Currency=INR","Period=FY","BEST_FPERIOD_OVERRIDE=FY","FILING_STATUS=OR","EQY_CONSOLIDATED=Y","Sort=A","Dates=H","DateFormat=P","Fill=—","Direction=H","UseDPDF=Y")</f>
        <v>#NAME?</v>
      </c>
      <c r="BU8" s="2" t="e">
        <f ca="1">_xll.BDH($C$3,"TOTAL_EQUITY_SEQUENTIAL_GROWTH","FY 2015","FY 2015","Currency=INR","Period=FY","BEST_FPERIOD_OVERRIDE=FY","FILING_STATUS=OR","EQY_CONSOLIDATED=Y","Sort=A","Dates=H","DateFormat=P","Fill=—","Direction=H","UseDPDF=Y")</f>
        <v>#NAME?</v>
      </c>
      <c r="BV8" s="2" t="e">
        <f ca="1">_xll.BDH($C$3,"TOTAL_CAPITAL_SEQUENTIAL_GROWTH","FY 2015","FY 2015","Currency=INR","Period=FY","BEST_FPERIOD_OVERRIDE=FY","FILING_STATUS=OR","EQY_CONSOLIDATED=Y","Sort=A","Dates=H","DateFormat=P","Fill=—","Direction=H","UseDPDF=Y")</f>
        <v>#NAME?</v>
      </c>
      <c r="BW8" s="2" t="e">
        <f ca="1">_xll.BDH($C$3,"BPS_SEQUENTIAL_GROWTH","FY 2015","FY 2015","Currency=INR","Period=FY","BEST_FPERIOD_OVERRIDE=FY","FILING_STATUS=OR","EQY_CONSOLIDATED=Y","Sort=A","Dates=H","DateFormat=P","Fill=—","Direction=H","UseDPDF=Y")</f>
        <v>#NAME?</v>
      </c>
      <c r="BX8" s="2" t="e">
        <f ca="1">_xll.BDH($C$3,"CFO_SEQUENTIAL_GROWTH","FY 2015","FY 2015","Currency=INR","Period=FY","BEST_FPERIOD_OVERRIDE=FY","FILING_STATUS=OR","EQY_CONSOLIDATED=Y","Sort=A","Dates=H","DateFormat=P","Fill=—","Direction=H","UseDPDF=Y")</f>
        <v>#NAME?</v>
      </c>
      <c r="BY8" s="3" t="e">
        <f ca="1">_xll.BDH($C$3,"SHORT_AND_LONG_TERM_DEBT","FY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" s="3" t="e">
        <f ca="1">_xll.BDH($C$3,"BS_ST_BORROW","FY 2015","FY 2015","Currency=INR","Period=FY","BEST_FPERIOD_OVERRIDE=FY","FILING_STATUS=OR","EQY_CONSOLIDATED=Y","SCALING_FORMAT=MLN","Sort=A","Dates=H","DateFormat=P","Fill=—","Direction=H","UseDPDF=Y")</f>
        <v>#NAME?</v>
      </c>
      <c r="CA8" s="3" t="e">
        <f ca="1">_xll.BDH($C$3,"BS_LT_BORROW","FY 2015","FY 2015","Currency=INR","Period=FY","BEST_FPERIOD_OVERRIDE=FY","FILING_STATUS=OR","EQY_CONSOLIDATED=Y","SCALING_FORMAT=MLN","Sort=A","Dates=H","DateFormat=P","Fill=—","Direction=H","UseDPDF=Y")</f>
        <v>#NAME?</v>
      </c>
      <c r="CB8" s="2" t="e">
        <f ca="1">_xll.BDH($C$3,"TOT_DEBT_TO_EBITDA","FY 2015","FY 2015","Currency=INR","Period=FY","BEST_FPERIOD_OVERRIDE=FY","FILING_STATUS=OR","EQY_CONSOLIDATED=Y","FA_ADJUSTED=GAAP","Sort=A","Dates=H","DateFormat=P","Fill=—","Direction=H","UseDPDF=Y")</f>
        <v>#NAME?</v>
      </c>
      <c r="CC8" s="2" t="e">
        <f ca="1">_xll.BDH($C$3,"NET_DEBT_TO_EBITDA","FY 2015","FY 2015","Currency=INR","Period=FY","BEST_FPERIOD_OVERRIDE=FY","FILING_STATUS=OR","EQY_CONSOLIDATED=Y","FA_ADJUSTED=GAAP","Sort=A","Dates=H","DateFormat=P","Fill=—","Direction=H","UseDPDF=Y")</f>
        <v>#NAME?</v>
      </c>
      <c r="CD8" s="2" t="e">
        <f ca="1">_xll.BDH($C$3,"TOTAL_DEBT_TO_EBIT","FY 2015","FY 2015","Currency=INR","Period=FY","BEST_FPERIOD_OVERRIDE=FY","FILING_STATUS=OR","EQY_CONSOLIDATED=Y","FA_ADJUSTED=GAAP","Sort=A","Dates=H","DateFormat=P","Fill=—","Direction=H","UseDPDF=Y")</f>
        <v>#NAME?</v>
      </c>
      <c r="CE8" s="2" t="e">
        <f ca="1">_xll.BDH($C$3,"NET_DEBT_TO_EBIT","FY 2015","FY 2015","Currency=INR","Period=FY","BEST_FPERIOD_OVERRIDE=FY","FILING_STATUS=OR","EQY_CONSOLIDATED=Y","FA_ADJUSTED=GAAP","Sort=A","Dates=H","DateFormat=P","Fill=—","Direction=H","UseDPDF=Y")</f>
        <v>#NAME?</v>
      </c>
      <c r="CF8" s="2" t="e">
        <f ca="1">_xll.BDH($C$3,"EBITDA_TO_INTEREST_EXPN","FY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" s="2" t="e">
        <f ca="1">_xll.BDH($C$3,"COM_EQY_TO_TOT_ASSET","FY 2015","FY 2015","Currency=INR","Period=FY","BEST_FPERIOD_OVERRIDE=FY","FILING_STATUS=OR","EQY_CONSOLIDATED=Y","Sort=A","Dates=H","DateFormat=P","Fill=—","Direction=H","UseDPDF=Y")</f>
        <v>#NAME?</v>
      </c>
      <c r="CH8" s="2" t="e">
        <f ca="1">_xll.BDH($C$3,"LT_DEBT_TO_TOT_EQY","FY 2015","FY 2015","Currency=INR","Period=FY","BEST_FPERIOD_OVERRIDE=FY","FILING_STATUS=OR","EQY_CONSOLIDATED=Y","Sort=A","Dates=H","DateFormat=P","Fill=—","Direction=H","UseDPDF=Y")</f>
        <v>#NAME?</v>
      </c>
      <c r="CI8" s="2" t="e">
        <f ca="1">_xll.BDH($C$3,"LT_DEBT_TO_TOT_CAP","FY 2015","FY 2015","Currency=INR","Period=FY","BEST_FPERIOD_OVERRIDE=FY","FILING_STATUS=OR","EQY_CONSOLIDATED=Y","Sort=A","Dates=H","DateFormat=P","Fill=—","Direction=H","UseDPDF=Y")</f>
        <v>#NAME?</v>
      </c>
      <c r="CJ8" s="2" t="e">
        <f ca="1">_xll.BDH($C$3,"LT_DEBT_TO_TOT_ASSET","FY 2015","FY 2015","Currency=INR","Period=FY","BEST_FPERIOD_OVERRIDE=FY","FILING_STATUS=OR","EQY_CONSOLIDATED=Y","Sort=A","Dates=H","DateFormat=P","Fill=—","Direction=H","UseDPDF=Y")</f>
        <v>#NAME?</v>
      </c>
      <c r="CK8" s="2" t="e">
        <f ca="1">_xll.BDH($C$3,"TOT_DEBT_TO_TOT_EQY","FY 2015","FY 2015","Currency=INR","Period=FY","BEST_FPERIOD_OVERRIDE=FY","FILING_STATUS=OR","EQY_CONSOLIDATED=Y","Sort=A","Dates=H","DateFormat=P","Fill=—","Direction=H","UseDPDF=Y")</f>
        <v>#NAME?</v>
      </c>
      <c r="CL8" s="2" t="e">
        <f ca="1">_xll.BDH($C$3,"TOT_DEBT_TO_TOT_CAP","FY 2015","FY 2015","Currency=INR","Period=FY","BEST_FPERIOD_OVERRIDE=FY","FILING_STATUS=OR","EQY_CONSOLIDATED=Y","Sort=A","Dates=H","DateFormat=P","Fill=—","Direction=H","UseDPDF=Y")</f>
        <v>#NAME?</v>
      </c>
      <c r="CM8" s="2" t="e">
        <f ca="1">_xll.BDH($C$3,"TOT_DEBT_TO_TOT_ASSET","FY 2015","FY 2015","Currency=INR","Period=FY","BEST_FPERIOD_OVERRIDE=FY","FILING_STATUS=OR","EQY_CONSOLIDATED=Y","Sort=A","Dates=H","DateFormat=P","Fill=—","Direction=H","UseDPDF=Y")</f>
        <v>#NAME?</v>
      </c>
      <c r="CN8" s="2" t="e">
        <f ca="1">_xll.BDH($C$3,"NET_DEBT_TO_SHRHLDR_EQTY","FY 2015","FY 2015","Currency=INR","Period=FY","BEST_FPERIOD_OVERRIDE=FY","FILING_STATUS=OR","EQY_CONSOLIDATED=Y","Sort=A","Dates=H","DateFormat=P","Fill=—","Direction=H","UseDPDF=Y")</f>
        <v>#NAME?</v>
      </c>
      <c r="CO8" s="2" t="e">
        <f ca="1">_xll.BDH($C$3,"NET_DEBT_%_CAPITAL","FY 2015","FY 2015","Currency=INR","Period=FY","BEST_FPERIOD_OVERRIDE=FY","FILING_STATUS=OR","EQY_CONSOLIDATED=Y","Sort=A","Dates=H","DateFormat=P","Fill=—","Direction=H","UseDPDF=Y")</f>
        <v>#NAME?</v>
      </c>
      <c r="CP8" s="3" t="e">
        <f ca="1">_xll.BDH($C$3,"EBITDA","FY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" s="3" t="e">
        <f ca="1">_xll.BDH($C$3,"EBITDA_AFTER_CAPEX","FY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" s="3" t="e">
        <f ca="1">_xll.BDH($C$3,"IS_OPER_INC","FY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" s="2" t="e">
        <f ca="1">_xll.BDH($C$3,"CASH_RATIO","FY 2015","FY 2015","Currency=INR","Period=FY","BEST_FPERIOD_OVERRIDE=FY","FILING_STATUS=OR","EQY_CONSOLIDATED=Y","Sort=A","Dates=H","DateFormat=P","Fill=—","Direction=H","UseDPDF=Y")</f>
        <v>#NAME?</v>
      </c>
      <c r="CT8" s="2" t="e">
        <f ca="1">_xll.BDH($C$3,"CUR_RATIO","FY 2015","FY 2015","Currency=INR","Period=FY","BEST_FPERIOD_OVERRIDE=FY","FILING_STATUS=OR","EQY_CONSOLIDATED=Y","Sort=A","Dates=H","DateFormat=P","Fill=—","Direction=H","UseDPDF=Y")</f>
        <v>#NAME?</v>
      </c>
      <c r="CU8" s="2" t="e">
        <f ca="1">_xll.BDH($C$3,"QUICK_RATIO","FY 2015","FY 2015","Currency=INR","Period=FY","BEST_FPERIOD_OVERRIDE=FY","FILING_STATUS=OR","EQY_CONSOLIDATED=Y","Sort=A","Dates=H","DateFormat=P","Fill=—","Direction=H","UseDPDF=Y")</f>
        <v>#NAME?</v>
      </c>
      <c r="CV8" s="2" t="e">
        <f ca="1">_xll.BDH($C$3,"ALTMAN_Z_SCORE","FY 2015","FY 2015","Currency=INR","Period=FY","BEST_FPERIOD_OVERRIDE=FY","FILING_STATUS=OR","EQY_CONSOLIDATED=Y","Sort=A","Dates=H","DateFormat=P","Fill=—","Direction=H","UseDPDF=Y")</f>
        <v>#NAME?</v>
      </c>
      <c r="CW8" s="4" t="e">
        <f ca="1">_xll.BDH($C$3,"ACCT_RCV_TURN","FY 2015","FY 2015","Currency=INR","Period=FY","BEST_FPERIOD_OVERRIDE=FY","FILING_STATUS=OR","EQY_CONSOLIDATED=Y","FA_ADJUSTED=GAAP","Sort=A","Dates=H","DateFormat=P","Fill=—","Direction=H","UseDPDF=Y")</f>
        <v>#NAME?</v>
      </c>
      <c r="CX8" s="2" t="e">
        <f ca="1">_xll.BDH($C$3,"ACCT_RCV_DAYS","FY 2015","FY 2015","Currency=INR","Period=FY","BEST_FPERIOD_OVERRIDE=FY","FILING_STATUS=OR","EQY_CONSOLIDATED=Y","FA_ADJUSTED=GAAP","Sort=A","Dates=H","DateFormat=P","Fill=—","Direction=H","UseDPDF=Y")</f>
        <v>#NAME?</v>
      </c>
      <c r="CY8" s="4" t="e">
        <f ca="1">_xll.BDH($C$3,"INVENT_TURN","FY 2015","FY 2015","Currency=INR","Period=FY","BEST_FPERIOD_OVERRIDE=FY","FILING_STATUS=OR","EQY_CONSOLIDATED=Y","FA_ADJUSTED=GAAP","Sort=A","Dates=H","DateFormat=P","Fill=—","Direction=H","UseDPDF=Y")</f>
        <v>#NAME?</v>
      </c>
      <c r="CZ8" s="2" t="e">
        <f ca="1">_xll.BDH($C$3,"INVENT_DAYS","FY 2015","FY 2015","Currency=INR","Period=FY","BEST_FPERIOD_OVERRIDE=FY","FILING_STATUS=OR","EQY_CONSOLIDATED=Y","FA_ADJUSTED=GAAP","Sort=A","Dates=H","DateFormat=P","Fill=—","Direction=H","UseDPDF=Y")</f>
        <v>#NAME?</v>
      </c>
      <c r="DA8" s="4" t="e">
        <f ca="1">_xll.BDH($C$3,"ACCOUNTS_PAYABLE_TURNOVER","FY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" s="2" t="e">
        <f ca="1">_xll.BDH($C$3,"ACCOUNTS_PAYABLE_TURNOVER_DAYS","FY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" s="4" t="e">
        <f ca="1">_xll.BDH($C$3,"CASH_CONVERSION_CYCLE","FY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" s="4" t="e">
        <f ca="1">_xll.BDH($C$3,"INV_TO_CASH_DAYS","FY 2015","FY 2015","Currency=INR","Period=FY","BEST_FPERIOD_OVERRIDE=FY","FILING_STATUS=OR","EQY_CONSOLIDATED=Y","FA_ADJUSTED=GAAP","Sort=A","Dates=H","DateFormat=P","Fill=—","Direction=H","UseDPDF=Y")</f>
        <v>#NAME?</v>
      </c>
      <c r="DE8" s="5" t="e">
        <f ca="1">_xll.BDH($C$3,"BS_INVENTORIES","FY 2015","FY 2015","Currency=INR","Period=FY","BEST_FPERIOD_OVERRIDE=FY","FILING_STATUS=OR","EQY_CONSOLIDATED=Y","SCALING_FORMAT=MLN","Sort=A","Dates=H","DateFormat=P","Fill=—","Direction=H","UseDPDF=Y")</f>
        <v>#NAME?</v>
      </c>
      <c r="DF8" s="3" t="e">
        <f ca="1">_xll.BDH($C$3,"INVTRY_RAW_MATERIALS","FY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" s="3" t="e">
        <f ca="1">_xll.BDH($C$3,"INVTRY_IN_PROGRESS","FY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" s="3" t="e">
        <f ca="1">_xll.BDH($C$3,"INVTRY_FINISHED_GOODS","FY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" s="3" t="e">
        <f ca="1">_xll.BDH($C$3,"BS_OTHER_INV","FY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9" spans="1:113" x14ac:dyDescent="0.3">
      <c r="A9" s="6"/>
      <c r="B9" s="6"/>
      <c r="C9" s="6"/>
      <c r="D9" s="6"/>
      <c r="E9" t="s">
        <v>78</v>
      </c>
      <c r="F9" t="e">
        <f ca="1">_xll.BDH($C$3,"RETURN_COM_EQY","FQ1 2015","FQ1 2015","Currency=INR","Period=FQ","BEST_FPERIOD_OVERRIDE=FQ","FILING_STATUS=OR","EQY_CONSOLIDATED=Y","FA_ADJUSTED=GAAP","Sort=A","Dates=H","DateFormat=P","Fill=—","Direction=H","UseDPDF=Y")</f>
        <v>#NAME?</v>
      </c>
      <c r="G9" t="e">
        <f ca="1">_xll.BDH($C$3,"RETURN_ON_ASSET","FQ1 2015","FQ1 2015","Currency=INR","Period=FQ","BEST_FPERIOD_OVERRIDE=FQ","FILING_STATUS=OR","EQY_CONSOLIDATED=Y","FA_ADJUSTED=GAAP","Sort=A","Dates=H","DateFormat=P","Fill=—","Direction=H","UseDPDF=Y")</f>
        <v>#NAME?</v>
      </c>
      <c r="H9" t="e">
        <f ca="1">_xll.BDH($C$3,"RETURN_ON_CAP","FQ1 2015","FQ1 2015","Currency=INR","Period=FQ","BEST_FPERIOD_OVERRIDE=FQ","FILING_STATUS=OR","EQY_CONSOLIDATED=Y","FA_ADJUSTED=GAAP","Sort=A","Dates=H","DateFormat=P","Fill=—","Direction=H","UseDPDF=Y")</f>
        <v>#NAME?</v>
      </c>
      <c r="I9" t="e">
        <f ca="1">_xll.BDH($C$3,"RETURN_ON_INV_CAPITAL","FQ1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9" t="e">
        <f ca="1">_xll.BDH($C$3,"EBITDA_TO_REVENUE","FQ1 2015","FQ1 2015","Currency=INR","Period=FQ","BEST_FPERIOD_OVERRIDE=FQ","FILING_STATUS=OR","EQY_CONSOLIDATED=Y","FA_ADJUSTED=GAAP","Sort=A","Dates=H","DateFormat=P","Fill=—","Direction=H","UseDPDF=Y")</f>
        <v>#NAME?</v>
      </c>
      <c r="K9" t="e">
        <f ca="1">_xll.BDH($C$3,"OPER_MARGIN","FQ1 2015","FQ1 2015","Currency=INR","Period=FQ","BEST_FPERIOD_OVERRIDE=FQ","FILING_STATUS=OR","EQY_CONSOLIDATED=Y","FA_ADJUSTED=GAAP","Sort=A","Dates=H","DateFormat=P","Fill=—","Direction=H","UseDPDF=Y")</f>
        <v>#NAME?</v>
      </c>
      <c r="L9" t="e">
        <f ca="1">_xll.BDH($C$3,"INCREMENTAL_OPERATING_MARGIN","FQ1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9" t="e">
        <f ca="1">_xll.BDH($C$3,"PRETAX_INC_TO_NET_SALES","FQ1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9" t="e">
        <f ca="1">_xll.BDH($C$3,"INC_BEF_XO_ITEMS_TO_NET_SALES","FQ1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9" t="e">
        <f ca="1">_xll.BDH($C$3,"PROF_MARGIN","FQ1 2015","FQ1 2015","Currency=INR","Period=FQ","BEST_FPERIOD_OVERRIDE=FQ","FILING_STATUS=OR","EQY_CONSOLIDATED=Y","FA_ADJUSTED=GAAP","Sort=A","Dates=H","DateFormat=P","Fill=—","Direction=H","UseDPDF=Y")</f>
        <v>#NAME?</v>
      </c>
      <c r="P9" t="e">
        <f ca="1">_xll.BDH($C$3,"NET_INCOME_TO_COMMON_MARGIN","FQ1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9" t="e">
        <f ca="1">_xll.BDH($C$3,"EFF_TAX_RATE","FQ1 2015","FQ1 2015","Currency=INR","Period=FQ","BEST_FPERIOD_OVERRIDE=FQ","FILING_STATUS=OR","EQY_CONSOLIDATED=Y","FA_ADJUSTED=GAAP","Sort=A","Dates=H","DateFormat=P","Fill=—","Direction=H","UseDPDF=Y")</f>
        <v>#NAME?</v>
      </c>
      <c r="R9" t="e">
        <f ca="1">_xll.BDH($C$3,"DVD_PAYOUT_RATIO","FQ1 2015","FQ1 2015","Currency=INR","Period=FQ","BEST_FPERIOD_OVERRIDE=FQ","FILING_STATUS=OR","EQY_CONSOLIDATED=Y","FA_ADJUSTED=GAAP","Sort=A","Dates=H","DateFormat=P","Fill=—","Direction=H","UseDPDF=Y")</f>
        <v>#NAME?</v>
      </c>
      <c r="S9" t="e">
        <f ca="1">_xll.BDH($C$3,"SUSTAIN_GROWTH_RT","FQ1 2015","FQ1 2015","Currency=INR","Period=FQ","BEST_FPERIOD_OVERRIDE=FQ","FILING_STATUS=OR","EQY_CONSOLIDATED=Y","FA_ADJUSTED=GAAP","Sort=A","Dates=H","DateFormat=P","Fill=—","Direction=H","UseDPDF=Y")</f>
        <v>#NAME?</v>
      </c>
      <c r="T9" s="2" t="e">
        <f ca="1">_xll.BDH($C$3,"SALES_GROWTH","FQ1 2015","FQ1 2015","Currency=INR","Period=FQ","BEST_FPERIOD_OVERRIDE=FQ","FILING_STATUS=OR","EQY_CONSOLIDATED=Y","FA_ADJUSTED=GAAP","Sort=A","Dates=H","DateFormat=P","Fill=—","Direction=H","UseDPDF=Y")</f>
        <v>#NAME?</v>
      </c>
      <c r="U9" s="2" t="e">
        <f ca="1">_xll.BDH($C$3,"EBITDA_GROWTH","FQ1 2015","FQ1 2015","Currency=INR","Period=FQ","BEST_FPERIOD_OVERRIDE=FQ","FILING_STATUS=OR","EQY_CONSOLIDATED=Y","FA_ADJUSTED=GAAP","Sort=A","Dates=H","DateFormat=P","Fill=—","Direction=H","UseDPDF=Y")</f>
        <v>#NAME?</v>
      </c>
      <c r="V9" s="2" t="e">
        <f ca="1">_xll.BDH($C$3,"OPER_INC_GROWTH","FQ1 2015","FQ1 2015","Currency=INR","Period=FQ","BEST_FPERIOD_OVERRIDE=FQ","FILING_STATUS=OR","EQY_CONSOLIDATED=Y","FA_ADJUSTED=GAAP","Sort=A","Dates=H","DateFormat=P","Fill=—","Direction=H","UseDPDF=Y")</f>
        <v>#NAME?</v>
      </c>
      <c r="W9" s="2" t="e">
        <f ca="1">_xll.BDH($C$3,"EARN_FOR_COM_GROWTH","FQ1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9" s="2" t="e">
        <f ca="1">_xll.BDH($C$3,"DILUTED_EPS_AFT_XO_ITEMS_GROWTH","FQ1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9" s="2" t="e">
        <f ca="1">_xll.BDH($C$3,"DIVIDEND_PER_SHARE_1_YEAR_GROWTH","FQ1 2015","FQ1 2015","Currency=INR","Period=FQ","BEST_FPERIOD_OVERRIDE=FQ","FILING_STATUS=OR","EQY_CONSOLIDATED=Y","Sort=A","Dates=H","DateFormat=P","Fill=—","Direction=H","UseDPDF=Y")</f>
        <v>#NAME?</v>
      </c>
      <c r="Z9" s="2" t="e">
        <f ca="1">_xll.BDH($C$3,"ACCOUNTS_RECEIVABLE_GROWTH","FQ1 2015","FQ1 2015","Currency=INR","Period=FQ","BEST_FPERIOD_OVERRIDE=FQ","FILING_STATUS=OR","EQY_CONSOLIDATED=Y","Sort=A","Dates=H","DateFormat=P","Fill=—","Direction=H","UseDPDF=Y")</f>
        <v>#NAME?</v>
      </c>
      <c r="AA9" s="2" t="e">
        <f ca="1">_xll.BDH($C$3,"INVENTORY_GROWTH","FQ1 2015","FQ1 2015","Currency=INR","Period=FQ","BEST_FPERIOD_OVERRIDE=FQ","FILING_STATUS=OR","EQY_CONSOLIDATED=Y","Sort=A","Dates=H","DateFormat=P","Fill=—","Direction=H","UseDPDF=Y")</f>
        <v>#NAME?</v>
      </c>
      <c r="AB9" s="2" t="e">
        <f ca="1">_xll.BDH($C$3,"NET_FIXED_ASSETS_1_YEAR_GROWTH","FQ1 2015","FQ1 2015","Currency=INR","Period=FQ","BEST_FPERIOD_OVERRIDE=FQ","FILING_STATUS=OR","EQY_CONSOLIDATED=Y","Sort=A","Dates=H","DateFormat=P","Fill=—","Direction=H","UseDPDF=Y")</f>
        <v>#NAME?</v>
      </c>
      <c r="AC9" s="2" t="e">
        <f ca="1">_xll.BDH($C$3,"ASSET_GROWTH","FQ1 2015","FQ1 2015","Currency=INR","Period=FQ","BEST_FPERIOD_OVERRIDE=FQ","FILING_STATUS=OR","EQY_CONSOLIDATED=Y","Sort=A","Dates=H","DateFormat=P","Fill=—","Direction=H","UseDPDF=Y")</f>
        <v>#NAME?</v>
      </c>
      <c r="AD9" s="2" t="e">
        <f ca="1">_xll.BDH($C$3,"MODIFIED_WORK_CAP_GROWTH","FQ1 2015","FQ1 2015","Currency=INR","Period=FQ","BEST_FPERIOD_OVERRIDE=FQ","FILING_STATUS=OR","EQY_CONSOLIDATED=Y","Sort=A","Dates=H","DateFormat=P","Fill=—","Direction=H","UseDPDF=Y")</f>
        <v>#NAME?</v>
      </c>
      <c r="AE9" s="2" t="e">
        <f ca="1">_xll.BDH($C$3,"WORK_CAP_GROWTH","FQ1 2015","FQ1 2015","Currency=INR","Period=FQ","BEST_FPERIOD_OVERRIDE=FQ","FILING_STATUS=OR","EQY_CONSOLIDATED=Y","Sort=A","Dates=H","DateFormat=P","Fill=—","Direction=H","UseDPDF=Y")</f>
        <v>#NAME?</v>
      </c>
      <c r="AF9" s="2" t="e">
        <f ca="1">_xll.BDH($C$3,"ACCOUNTS_PAYABLE_GROWTH_1YR","FQ1 2015","FQ1 2015","Currency=INR","Period=FQ","BEST_FPERIOD_OVERRIDE=FQ","FILING_STATUS=OR","EQY_CONSOLIDATED=Y","Sort=A","Dates=H","DateFormat=P","Fill=—","Direction=H","UseDPDF=Y")</f>
        <v>#NAME?</v>
      </c>
      <c r="AG9" s="2" t="e">
        <f ca="1">_xll.BDH($C$3,"SHORT_TERM_DEBT_1_YEAR_GROWTH","FQ1 2015","FQ1 2015","Currency=INR","Period=FQ","BEST_FPERIOD_OVERRIDE=FQ","FILING_STATUS=OR","EQY_CONSOLIDATED=Y","Sort=A","Dates=H","DateFormat=P","Fill=—","Direction=H","UseDPDF=Y")</f>
        <v>#NAME?</v>
      </c>
      <c r="AH9" s="2" t="e">
        <f ca="1">_xll.BDH($C$3,"TOTAL_DEBT_1_YEAR_GROWTH","FQ1 2015","FQ1 2015","Currency=INR","Period=FQ","BEST_FPERIOD_OVERRIDE=FQ","FILING_STATUS=OR","EQY_CONSOLIDATED=Y","Sort=A","Dates=H","DateFormat=P","Fill=—","Direction=H","UseDPDF=Y")</f>
        <v>#NAME?</v>
      </c>
      <c r="AI9" s="2" t="e">
        <f ca="1">_xll.BDH($C$3,"TOTAL_EQUITY_1_YEAR_GROWTH","FQ1 2015","FQ1 2015","Currency=INR","Period=FQ","BEST_FPERIOD_OVERRIDE=FQ","FILING_STATUS=OR","EQY_CONSOLIDATED=Y","Sort=A","Dates=H","DateFormat=P","Fill=—","Direction=H","UseDPDF=Y")</f>
        <v>#NAME?</v>
      </c>
      <c r="AJ9" s="2" t="e">
        <f ca="1">_xll.BDH($C$3,"GROWTH_IN_CAP","FQ1 2015","FQ1 2015","Currency=INR","Period=FQ","BEST_FPERIOD_OVERRIDE=FQ","FILING_STATUS=OR","EQY_CONSOLIDATED=Y","Sort=A","Dates=H","DateFormat=P","Fill=—","Direction=H","UseDPDF=Y")</f>
        <v>#NAME?</v>
      </c>
      <c r="AK9" s="2" t="e">
        <f ca="1">_xll.BDH($C$3,"BVPS_GROWTH","FQ1 2015","FQ1 2015","Currency=INR","Period=FQ","BEST_FPERIOD_OVERRIDE=FQ","FILING_STATUS=OR","EQY_CONSOLIDATED=Y","Sort=A","Dates=H","DateFormat=P","Fill=—","Direction=H","UseDPDF=Y")</f>
        <v>#NAME?</v>
      </c>
      <c r="AL9" s="2" t="e">
        <f ca="1">_xll.BDH($C$3,"CASH_FLOW_GROWTH","FQ1 2015","FQ1 2015","Currency=INR","Period=FQ","BEST_FPERIOD_OVERRIDE=FQ","FILING_STATUS=OR","EQY_CONSOLIDATED=Y","Sort=A","Dates=H","DateFormat=P","Fill=—","Direction=H","UseDPDF=Y")</f>
        <v>#NAME?</v>
      </c>
      <c r="AM9" s="2" t="e">
        <f ca="1">_xll.BDH($C$3,"GEO_GROW_NET_SALES","FQ1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9" s="2" t="e">
        <f ca="1">_xll.BDH($C$3,"GEO_GROW_EBITDA","FQ1 2015","FQ1 2015","Currency=INR","Period=FQ","BEST_FPERIOD_OVERRIDE=FQ","FILING_STATUS=OR","EQY_CONSOLIDATED=Y","FA_ADJUSTED=GAAP","Sort=A","Dates=H","DateFormat=P","Fill=—","Direction=H","UseDPDF=Y")</f>
        <v>#NAME?</v>
      </c>
      <c r="AO9" s="2" t="e">
        <f ca="1">_xll.BDH($C$3,"GEO_GROW_OPER_INC","FQ1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9" s="2" t="e">
        <f ca="1">_xll.BDH($C$3,"NET_INCOME_TO_COMMON_5_YR_GROWTH","FQ1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9" s="2" t="e">
        <f ca="1">_xll.BDH($C$3,"5Y_GEO_GROWTH_DILUTED_EPS","FQ1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9" s="2" t="e">
        <f ca="1">_xll.BDH($C$3,"GEO_GROW_DVD_PER_SH","FQ1 2015","FQ1 2015","Currency=INR","Period=FQ","BEST_FPERIOD_OVERRIDE=FQ","FILING_STATUS=OR","EQY_CONSOLIDATED=Y","Sort=A","Dates=H","DateFormat=P","Fill=—","Direction=H","UseDPDF=Y")</f>
        <v>#NAME?</v>
      </c>
      <c r="AS9" s="2" t="e">
        <f ca="1">_xll.BDH($C$3,"ACCOUNTS_RECEIVABLE_5_YR_GROWTH","FQ1 2015","FQ1 2015","Currency=INR","Period=FQ","BEST_FPERIOD_OVERRIDE=FQ","FILING_STATUS=OR","EQY_CONSOLIDATED=Y","Sort=A","Dates=H","DateFormat=P","Fill=—","Direction=H","UseDPDF=Y")</f>
        <v>#NAME?</v>
      </c>
      <c r="AT9" s="2" t="e">
        <f ca="1">_xll.BDH($C$3,"INVENTORY_5_YEAR_GROWTH","FQ1 2015","FQ1 2015","Currency=INR","Period=FQ","BEST_FPERIOD_OVERRIDE=FQ","FILING_STATUS=OR","EQY_CONSOLIDATED=Y","Sort=A","Dates=H","DateFormat=P","Fill=—","Direction=H","UseDPDF=Y")</f>
        <v>#NAME?</v>
      </c>
      <c r="AU9" s="2" t="e">
        <f ca="1">_xll.BDH($C$3,"NET_FIXED_ASSETS_5_YEAR_GROWTH","FQ1 2015","FQ1 2015","Currency=INR","Period=FQ","BEST_FPERIOD_OVERRIDE=FQ","FILING_STATUS=OR","EQY_CONSOLIDATED=Y","Sort=A","Dates=H","DateFormat=P","Fill=—","Direction=H","UseDPDF=Y")</f>
        <v>#NAME?</v>
      </c>
      <c r="AV9" s="2" t="e">
        <f ca="1">_xll.BDH($C$3,"GEO_GROW_TOT_ASSET","FQ1 2015","FQ1 2015","Currency=INR","Period=FQ","BEST_FPERIOD_OVERRIDE=FQ","FILING_STATUS=OR","EQY_CONSOLIDATED=Y","Sort=A","Dates=H","DateFormat=P","Fill=—","Direction=H","UseDPDF=Y")</f>
        <v>#NAME?</v>
      </c>
      <c r="AW9" s="2" t="e">
        <f ca="1">_xll.BDH($C$3,"MODIFIED_WORKING_CPTL_5YR_GRWTH","FQ1 2015","FQ1 2015","Currency=INR","Period=FQ","BEST_FPERIOD_OVERRIDE=FQ","FILING_STATUS=OR","EQY_CONSOLIDATED=Y","Sort=A","Dates=H","DateFormat=P","Fill=—","Direction=H","UseDPDF=Y")</f>
        <v>#NAME?</v>
      </c>
      <c r="AX9" s="2" t="e">
        <f ca="1">_xll.BDH($C$3,"WORKING_CAPITAL_5_YEAR_GROWTH","FQ1 2015","FQ1 2015","Currency=INR","Period=FQ","BEST_FPERIOD_OVERRIDE=FQ","FILING_STATUS=OR","EQY_CONSOLIDATED=Y","Sort=A","Dates=H","DateFormat=P","Fill=—","Direction=H","UseDPDF=Y")</f>
        <v>#NAME?</v>
      </c>
      <c r="AY9" s="2" t="e">
        <f ca="1">_xll.BDH($C$3,"ACCOUNTS_PAYABLE_5_YEAR_GROWTH","FQ1 2015","FQ1 2015","Currency=INR","Period=FQ","BEST_FPERIOD_OVERRIDE=FQ","FILING_STATUS=OR","EQY_CONSOLIDATED=Y","Sort=A","Dates=H","DateFormat=P","Fill=—","Direction=H","UseDPDF=Y")</f>
        <v>#NAME?</v>
      </c>
      <c r="AZ9" s="2" t="e">
        <f ca="1">_xll.BDH($C$3,"SHORT_TERM_DEBT_5_YEAR_GROWTH","FQ1 2015","FQ1 2015","Currency=INR","Period=FQ","BEST_FPERIOD_OVERRIDE=FQ","FILING_STATUS=OR","EQY_CONSOLIDATED=Y","Sort=A","Dates=H","DateFormat=P","Fill=—","Direction=H","UseDPDF=Y")</f>
        <v>#NAME?</v>
      </c>
      <c r="BA9" s="2" t="e">
        <f ca="1">_xll.BDH($C$3,"TOTAL_DEBT_5_YEAR_GROWTH","FQ1 2015","FQ1 2015","Currency=INR","Period=FQ","BEST_FPERIOD_OVERRIDE=FQ","FILING_STATUS=OR","EQY_CONSOLIDATED=Y","Sort=A","Dates=H","DateFormat=P","Fill=—","Direction=H","UseDPDF=Y")</f>
        <v>#NAME?</v>
      </c>
      <c r="BB9" s="2" t="e">
        <f ca="1">_xll.BDH($C$3,"GEO_GROW_TOT_SHRHLDR_EQY","FQ1 2015","FQ1 2015","Currency=INR","Period=FQ","BEST_FPERIOD_OVERRIDE=FQ","FILING_STATUS=OR","EQY_CONSOLIDATED=Y","Sort=A","Dates=H","DateFormat=P","Fill=—","Direction=H","UseDPDF=Y")</f>
        <v>#NAME?</v>
      </c>
      <c r="BC9" s="2" t="e">
        <f ca="1">_xll.BDH($C$3,"TOTAL_CAPITAL_5_YEAR_GROWTH","FQ1 2015","FQ1 2015","Currency=INR","Period=FQ","BEST_FPERIOD_OVERRIDE=FQ","FILING_STATUS=OR","EQY_CONSOLIDATED=Y","Sort=A","Dates=H","DateFormat=P","Fill=—","Direction=H","UseDPDF=Y")</f>
        <v>#NAME?</v>
      </c>
      <c r="BD9" s="2" t="e">
        <f ca="1">_xll.BDH($C$3,"GEO_GROW_BOOK_VAL","FQ1 2015","FQ1 2015","Currency=INR","Period=FQ","BEST_FPERIOD_OVERRIDE=FQ","FILING_STATUS=OR","EQY_CONSOLIDATED=Y","Sort=A","Dates=H","DateFormat=P","Fill=—","Direction=H","UseDPDF=Y")</f>
        <v>#NAME?</v>
      </c>
      <c r="BE9" s="2" t="e">
        <f ca="1">_xll.BDH($C$3,"GEO_GROW_CASH_OPER_ACT","FQ1 2015","FQ1 2015","Currency=INR","Period=FQ","BEST_FPERIOD_OVERRIDE=FQ","FILING_STATUS=OR","EQY_CONSOLIDATED=Y","Sort=A","Dates=H","DateFormat=P","Fill=—","Direction=H","UseDPDF=Y")</f>
        <v>#NAME?</v>
      </c>
      <c r="BF9" s="2" t="e">
        <f ca="1">_xll.BDH($C$3,"REVENUE_SEQUENTIAL_GROWTH","FQ1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9" s="2" t="e">
        <f ca="1">_xll.BDH($C$3,"EBITDA_SEQUENTIAL_GROWTH","FQ1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9" s="2" t="e">
        <f ca="1">_xll.BDH($C$3,"OPERATING_INCOME_SEQ_GROWTH","FQ1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9" s="2" t="e">
        <f ca="1">_xll.BDH($C$3,"NET_INCOME_TO_COMMON_SEQ_GROWTH","FQ1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9" s="2" t="e">
        <f ca="1">_xll.BDH($C$3,"EPS_DILUTED_SEQUENTIAL_GROWTH","FQ1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9" s="2" t="e">
        <f ca="1">_xll.BDH($C$3,"DPS_SEQUENTIAL_GROWTH","FQ1 2015","FQ1 2015","Currency=INR","Period=FQ","BEST_FPERIOD_OVERRIDE=FQ","FILING_STATUS=OR","EQY_CONSOLIDATED=Y","Sort=A","Dates=H","DateFormat=P","Fill=—","Direction=H","UseDPDF=Y")</f>
        <v>#NAME?</v>
      </c>
      <c r="BL9" s="2" t="e">
        <f ca="1">_xll.BDH($C$3,"ACCOUNTS_RECEIVABLE_SEQ_GROWTH","FQ1 2015","FQ1 2015","Currency=INR","Period=FQ","BEST_FPERIOD_OVERRIDE=FQ","FILING_STATUS=OR","EQY_CONSOLIDATED=Y","Sort=A","Dates=H","DateFormat=P","Fill=—","Direction=H","UseDPDF=Y")</f>
        <v>#NAME?</v>
      </c>
      <c r="BM9" s="2" t="e">
        <f ca="1">_xll.BDH($C$3,"INVENTORY_SEQUENTIAL_GROWTH","FQ1 2015","FQ1 2015","Currency=INR","Period=FQ","BEST_FPERIOD_OVERRIDE=FQ","FILING_STATUS=OR","EQY_CONSOLIDATED=Y","Sort=A","Dates=H","DateFormat=P","Fill=—","Direction=H","UseDPDF=Y")</f>
        <v>#NAME?</v>
      </c>
      <c r="BN9" s="2" t="e">
        <f ca="1">_xll.BDH($C$3,"FIXED_ASSETS_SEQUENTIAL_GROWTH","FQ1 2015","FQ1 2015","Currency=INR","Period=FQ","BEST_FPERIOD_OVERRIDE=FQ","FILING_STATUS=OR","EQY_CONSOLIDATED=Y","Sort=A","Dates=H","DateFormat=P","Fill=—","Direction=H","UseDPDF=Y")</f>
        <v>#NAME?</v>
      </c>
      <c r="BO9" s="2" t="e">
        <f ca="1">_xll.BDH($C$3,"TOTAL_ASSETS_SEQUENTIAL_GROWTH","FQ1 2015","FQ1 2015","Currency=INR","Period=FQ","BEST_FPERIOD_OVERRIDE=FQ","FILING_STATUS=OR","EQY_CONSOLIDATED=Y","Sort=A","Dates=H","DateFormat=P","Fill=—","Direction=H","UseDPDF=Y")</f>
        <v>#NAME?</v>
      </c>
      <c r="BP9" s="2" t="e">
        <f ca="1">_xll.BDH($C$3,"MODIFIED_WORKING_CPTL_SEQ_GRWTH","FQ1 2015","FQ1 2015","Currency=INR","Period=FQ","BEST_FPERIOD_OVERRIDE=FQ","FILING_STATUS=OR","EQY_CONSOLIDATED=Y","Sort=A","Dates=H","DateFormat=P","Fill=—","Direction=H","UseDPDF=Y")</f>
        <v>#NAME?</v>
      </c>
      <c r="BQ9" s="2" t="e">
        <f ca="1">_xll.BDH($C$3,"WORKING_CAPITAL_SEQ_GROWTH","FQ1 2015","FQ1 2015","Currency=INR","Period=FQ","BEST_FPERIOD_OVERRIDE=FQ","FILING_STATUS=OR","EQY_CONSOLIDATED=Y","Sort=A","Dates=H","DateFormat=P","Fill=—","Direction=H","UseDPDF=Y")</f>
        <v>#NAME?</v>
      </c>
      <c r="BR9" s="2" t="e">
        <f ca="1">_xll.BDH($C$3,"ACCOUNTS_PAYABLE_SEQ_GROWTH","FQ1 2015","FQ1 2015","Currency=INR","Period=FQ","BEST_FPERIOD_OVERRIDE=FQ","FILING_STATUS=OR","EQY_CONSOLIDATED=Y","Sort=A","Dates=H","DateFormat=P","Fill=—","Direction=H","UseDPDF=Y")</f>
        <v>#NAME?</v>
      </c>
      <c r="BS9" s="2" t="e">
        <f ca="1">_xll.BDH($C$3,"ST_DEBT_SEQUENTIAL_GROWTH","FQ1 2015","FQ1 2015","Currency=INR","Period=FQ","BEST_FPERIOD_OVERRIDE=FQ","FILING_STATUS=OR","EQY_CONSOLIDATED=Y","Sort=A","Dates=H","DateFormat=P","Fill=—","Direction=H","UseDPDF=Y")</f>
        <v>#NAME?</v>
      </c>
      <c r="BT9" s="2" t="e">
        <f ca="1">_xll.BDH($C$3,"TOTAL_DEBT_SEQUENTIAL_GROWTH","FQ1 2015","FQ1 2015","Currency=INR","Period=FQ","BEST_FPERIOD_OVERRIDE=FQ","FILING_STATUS=OR","EQY_CONSOLIDATED=Y","Sort=A","Dates=H","DateFormat=P","Fill=—","Direction=H","UseDPDF=Y")</f>
        <v>#NAME?</v>
      </c>
      <c r="BU9" s="2" t="e">
        <f ca="1">_xll.BDH($C$3,"TOTAL_EQUITY_SEQUENTIAL_GROWTH","FQ1 2015","FQ1 2015","Currency=INR","Period=FQ","BEST_FPERIOD_OVERRIDE=FQ","FILING_STATUS=OR","EQY_CONSOLIDATED=Y","Sort=A","Dates=H","DateFormat=P","Fill=—","Direction=H","UseDPDF=Y")</f>
        <v>#NAME?</v>
      </c>
      <c r="BV9" s="2" t="e">
        <f ca="1">_xll.BDH($C$3,"TOTAL_CAPITAL_SEQUENTIAL_GROWTH","FQ1 2015","FQ1 2015","Currency=INR","Period=FQ","BEST_FPERIOD_OVERRIDE=FQ","FILING_STATUS=OR","EQY_CONSOLIDATED=Y","Sort=A","Dates=H","DateFormat=P","Fill=—","Direction=H","UseDPDF=Y")</f>
        <v>#NAME?</v>
      </c>
      <c r="BW9" s="2" t="e">
        <f ca="1">_xll.BDH($C$3,"BPS_SEQUENTIAL_GROWTH","FQ1 2015","FQ1 2015","Currency=INR","Period=FQ","BEST_FPERIOD_OVERRIDE=FQ","FILING_STATUS=OR","EQY_CONSOLIDATED=Y","Sort=A","Dates=H","DateFormat=P","Fill=—","Direction=H","UseDPDF=Y")</f>
        <v>#NAME?</v>
      </c>
      <c r="BX9" s="2" t="e">
        <f ca="1">_xll.BDH($C$3,"CFO_SEQUENTIAL_GROWTH","FQ1 2015","FQ1 2015","Currency=INR","Period=FQ","BEST_FPERIOD_OVERRIDE=FQ","FILING_STATUS=OR","EQY_CONSOLIDATED=Y","Sort=A","Dates=H","DateFormat=P","Fill=—","Direction=H","UseDPDF=Y")</f>
        <v>#NAME?</v>
      </c>
      <c r="BY9" s="3" t="e">
        <f ca="1">_xll.BDH($C$3,"SHORT_AND_LONG_TERM_DEBT","FQ1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9" s="3" t="e">
        <f ca="1">_xll.BDH($C$3,"BS_ST_BORROW","FQ1 2015","FQ1 2015","Currency=INR","Period=FQ","BEST_FPERIOD_OVERRIDE=FQ","FILING_STATUS=OR","EQY_CONSOLIDATED=Y","SCALING_FORMAT=MLN","Sort=A","Dates=H","DateFormat=P","Fill=—","Direction=H","UseDPDF=Y")</f>
        <v>#NAME?</v>
      </c>
      <c r="CA9" s="3" t="e">
        <f ca="1">_xll.BDH($C$3,"BS_LT_BORROW","FQ1 2015","FQ1 2015","Currency=INR","Period=FQ","BEST_FPERIOD_OVERRIDE=FQ","FILING_STATUS=OR","EQY_CONSOLIDATED=Y","SCALING_FORMAT=MLN","Sort=A","Dates=H","DateFormat=P","Fill=—","Direction=H","UseDPDF=Y")</f>
        <v>#NAME?</v>
      </c>
      <c r="CB9" s="2" t="e">
        <f ca="1">_xll.BDH($C$3,"TOT_DEBT_TO_EBITDA","FQ1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9" s="2" t="e">
        <f ca="1">_xll.BDH($C$3,"NET_DEBT_TO_EBITDA","FQ1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9" s="2" t="e">
        <f ca="1">_xll.BDH($C$3,"TOTAL_DEBT_TO_EBIT","FQ1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9" s="2" t="e">
        <f ca="1">_xll.BDH($C$3,"NET_DEBT_TO_EBIT","FQ1 2015","FQ1 2015","Currency=INR","Period=FQ","BEST_FPERIOD_OVERRIDE=FQ","FILING_STATUS=OR","EQY_CONSOLIDATED=Y","FA_ADJUSTED=GAAP","Sort=A","Dates=H","DateFormat=P","Fill=—","Direction=H","UseDPDF=Y")</f>
        <v>#NAME?</v>
      </c>
      <c r="CF9" s="2" t="e">
        <f ca="1">_xll.BDH($C$3,"EBITDA_TO_INTEREST_EXPN","FQ1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9" s="2" t="e">
        <f ca="1">_xll.BDH($C$3,"COM_EQY_TO_TOT_ASSET","FQ1 2015","FQ1 2015","Currency=INR","Period=FQ","BEST_FPERIOD_OVERRIDE=FQ","FILING_STATUS=OR","EQY_CONSOLIDATED=Y","Sort=A","Dates=H","DateFormat=P","Fill=—","Direction=H","UseDPDF=Y")</f>
        <v>#NAME?</v>
      </c>
      <c r="CH9" s="2" t="e">
        <f ca="1">_xll.BDH($C$3,"LT_DEBT_TO_TOT_EQY","FQ1 2015","FQ1 2015","Currency=INR","Period=FQ","BEST_FPERIOD_OVERRIDE=FQ","FILING_STATUS=OR","EQY_CONSOLIDATED=Y","Sort=A","Dates=H","DateFormat=P","Fill=—","Direction=H","UseDPDF=Y")</f>
        <v>#NAME?</v>
      </c>
      <c r="CI9" s="2" t="e">
        <f ca="1">_xll.BDH($C$3,"LT_DEBT_TO_TOT_CAP","FQ1 2015","FQ1 2015","Currency=INR","Period=FQ","BEST_FPERIOD_OVERRIDE=FQ","FILING_STATUS=OR","EQY_CONSOLIDATED=Y","Sort=A","Dates=H","DateFormat=P","Fill=—","Direction=H","UseDPDF=Y")</f>
        <v>#NAME?</v>
      </c>
      <c r="CJ9" s="2" t="e">
        <f ca="1">_xll.BDH($C$3,"LT_DEBT_TO_TOT_ASSET","FQ1 2015","FQ1 2015","Currency=INR","Period=FQ","BEST_FPERIOD_OVERRIDE=FQ","FILING_STATUS=OR","EQY_CONSOLIDATED=Y","Sort=A","Dates=H","DateFormat=P","Fill=—","Direction=H","UseDPDF=Y")</f>
        <v>#NAME?</v>
      </c>
      <c r="CK9" s="2" t="e">
        <f ca="1">_xll.BDH($C$3,"TOT_DEBT_TO_TOT_EQY","FQ1 2015","FQ1 2015","Currency=INR","Period=FQ","BEST_FPERIOD_OVERRIDE=FQ","FILING_STATUS=OR","EQY_CONSOLIDATED=Y","Sort=A","Dates=H","DateFormat=P","Fill=—","Direction=H","UseDPDF=Y")</f>
        <v>#NAME?</v>
      </c>
      <c r="CL9" s="2" t="e">
        <f ca="1">_xll.BDH($C$3,"TOT_DEBT_TO_TOT_CAP","FQ1 2015","FQ1 2015","Currency=INR","Period=FQ","BEST_FPERIOD_OVERRIDE=FQ","FILING_STATUS=OR","EQY_CONSOLIDATED=Y","Sort=A","Dates=H","DateFormat=P","Fill=—","Direction=H","UseDPDF=Y")</f>
        <v>#NAME?</v>
      </c>
      <c r="CM9" s="2" t="e">
        <f ca="1">_xll.BDH($C$3,"TOT_DEBT_TO_TOT_ASSET","FQ1 2015","FQ1 2015","Currency=INR","Period=FQ","BEST_FPERIOD_OVERRIDE=FQ","FILING_STATUS=OR","EQY_CONSOLIDATED=Y","Sort=A","Dates=H","DateFormat=P","Fill=—","Direction=H","UseDPDF=Y")</f>
        <v>#NAME?</v>
      </c>
      <c r="CN9" s="2" t="e">
        <f ca="1">_xll.BDH($C$3,"NET_DEBT_TO_SHRHLDR_EQTY","FQ1 2015","FQ1 2015","Currency=INR","Period=FQ","BEST_FPERIOD_OVERRIDE=FQ","FILING_STATUS=OR","EQY_CONSOLIDATED=Y","Sort=A","Dates=H","DateFormat=P","Fill=—","Direction=H","UseDPDF=Y")</f>
        <v>#NAME?</v>
      </c>
      <c r="CO9" s="2" t="e">
        <f ca="1">_xll.BDH($C$3,"NET_DEBT_%_CAPITAL","FQ1 2015","FQ1 2015","Currency=INR","Period=FQ","BEST_FPERIOD_OVERRIDE=FQ","FILING_STATUS=OR","EQY_CONSOLIDATED=Y","Sort=A","Dates=H","DateFormat=P","Fill=—","Direction=H","UseDPDF=Y")</f>
        <v>#NAME?</v>
      </c>
      <c r="CP9" s="3" t="e">
        <f ca="1">_xll.BDH($C$3,"EBITDA","FQ1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9" s="3" t="e">
        <f ca="1">_xll.BDH($C$3,"EBITDA_AFTER_CAPEX","FQ1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9" s="3" t="e">
        <f ca="1">_xll.BDH($C$3,"IS_OPER_INC","FQ1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9" s="2" t="e">
        <f ca="1">_xll.BDH($C$3,"CASH_RATIO","FQ1 2015","FQ1 2015","Currency=INR","Period=FQ","BEST_FPERIOD_OVERRIDE=FQ","FILING_STATUS=OR","EQY_CONSOLIDATED=Y","Sort=A","Dates=H","DateFormat=P","Fill=—","Direction=H","UseDPDF=Y")</f>
        <v>#NAME?</v>
      </c>
      <c r="CT9" s="2" t="e">
        <f ca="1">_xll.BDH($C$3,"CUR_RATIO","FQ1 2015","FQ1 2015","Currency=INR","Period=FQ","BEST_FPERIOD_OVERRIDE=FQ","FILING_STATUS=OR","EQY_CONSOLIDATED=Y","Sort=A","Dates=H","DateFormat=P","Fill=—","Direction=H","UseDPDF=Y")</f>
        <v>#NAME?</v>
      </c>
      <c r="CU9" s="2" t="e">
        <f ca="1">_xll.BDH($C$3,"QUICK_RATIO","FQ1 2015","FQ1 2015","Currency=INR","Period=FQ","BEST_FPERIOD_OVERRIDE=FQ","FILING_STATUS=OR","EQY_CONSOLIDATED=Y","Sort=A","Dates=H","DateFormat=P","Fill=—","Direction=H","UseDPDF=Y")</f>
        <v>#NAME?</v>
      </c>
      <c r="CV9" s="2" t="e">
        <f ca="1">_xll.BDH($C$3,"ALTMAN_Z_SCORE","FQ1 2015","FQ1 2015","Currency=INR","Period=FQ","BEST_FPERIOD_OVERRIDE=FQ","FILING_STATUS=OR","EQY_CONSOLIDATED=Y","Sort=A","Dates=H","DateFormat=P","Fill=—","Direction=H","UseDPDF=Y")</f>
        <v>#NAME?</v>
      </c>
      <c r="CW9" s="4" t="e">
        <f ca="1">_xll.BDH($C$3,"ACCT_RCV_TURN","FQ1 2015","FQ1 2015","Currency=INR","Period=FQ","BEST_FPERIOD_OVERRIDE=FQ","FILING_STATUS=OR","EQY_CONSOLIDATED=Y","FA_ADJUSTED=GAAP","Sort=A","Dates=H","DateFormat=P","Fill=—","Direction=H","UseDPDF=Y")</f>
        <v>#NAME?</v>
      </c>
      <c r="CX9" s="2" t="e">
        <f ca="1">_xll.BDH($C$3,"ACCT_RCV_DAYS","FQ1 2015","FQ1 2015","Currency=INR","Period=FQ","BEST_FPERIOD_OVERRIDE=FQ","FILING_STATUS=OR","EQY_CONSOLIDATED=Y","FA_ADJUSTED=GAAP","Sort=A","Dates=H","DateFormat=P","Fill=—","Direction=H","UseDPDF=Y")</f>
        <v>#NAME?</v>
      </c>
      <c r="CY9" s="4" t="e">
        <f ca="1">_xll.BDH($C$3,"INVENT_TURN","FQ1 2015","FQ1 2015","Currency=INR","Period=FQ","BEST_FPERIOD_OVERRIDE=FQ","FILING_STATUS=OR","EQY_CONSOLIDATED=Y","FA_ADJUSTED=GAAP","Sort=A","Dates=H","DateFormat=P","Fill=—","Direction=H","UseDPDF=Y")</f>
        <v>#NAME?</v>
      </c>
      <c r="CZ9" s="2" t="e">
        <f ca="1">_xll.BDH($C$3,"INVENT_DAYS","FQ1 2015","FQ1 2015","Currency=INR","Period=FQ","BEST_FPERIOD_OVERRIDE=FQ","FILING_STATUS=OR","EQY_CONSOLIDATED=Y","FA_ADJUSTED=GAAP","Sort=A","Dates=H","DateFormat=P","Fill=—","Direction=H","UseDPDF=Y")</f>
        <v>#NAME?</v>
      </c>
      <c r="DA9" s="4" t="e">
        <f ca="1">_xll.BDH($C$3,"ACCOUNTS_PAYABLE_TURNOVER","FQ1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9" s="2" t="e">
        <f ca="1">_xll.BDH($C$3,"ACCOUNTS_PAYABLE_TURNOVER_DAYS","FQ1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9" s="4" t="e">
        <f ca="1">_xll.BDH($C$3,"CASH_CONVERSION_CYCLE","FQ1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9" s="4" t="e">
        <f ca="1">_xll.BDH($C$3,"INV_TO_CASH_DAYS","FQ1 2015","FQ1 2015","Currency=INR","Period=FQ","BEST_FPERIOD_OVERRIDE=FQ","FILING_STATUS=OR","EQY_CONSOLIDATED=Y","FA_ADJUSTED=GAAP","Sort=A","Dates=H","DateFormat=P","Fill=—","Direction=H","UseDPDF=Y")</f>
        <v>#NAME?</v>
      </c>
      <c r="DE9" s="5" t="e">
        <f ca="1">_xll.BDH($C$3,"BS_INVENTORIES","FQ1 2015","FQ1 2015","Currency=INR","Period=FQ","BEST_FPERIOD_OVERRIDE=FQ","FILING_STATUS=OR","EQY_CONSOLIDATED=Y","SCALING_FORMAT=MLN","Sort=A","Dates=H","DateFormat=P","Fill=—","Direction=H","UseDPDF=Y")</f>
        <v>#NAME?</v>
      </c>
      <c r="DF9" s="3" t="e">
        <f ca="1">_xll.BDH($C$3,"INVTRY_RAW_MATERIALS","FQ1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9" s="3" t="e">
        <f ca="1">_xll.BDH($C$3,"INVTRY_IN_PROGRESS","FQ1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9" s="3" t="e">
        <f ca="1">_xll.BDH($C$3,"INVTRY_FINISHED_GOODS","FQ1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9" s="3" t="e">
        <f ca="1">_xll.BDH($C$3,"BS_OTHER_INV","FQ1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0" spans="1:113" x14ac:dyDescent="0.3">
      <c r="A10" s="6"/>
      <c r="B10" s="6"/>
      <c r="C10" s="6"/>
      <c r="D10" s="6"/>
      <c r="E10" t="s">
        <v>79</v>
      </c>
      <c r="F10" t="e">
        <f ca="1">_xll.BDH($C$3,"RETURN_COM_EQY","FQ2 2015","FQ2 2015","Currency=INR","Period=FQ","BEST_FPERIOD_OVERRIDE=FQ","FILING_STATUS=OR","EQY_CONSOLIDATED=Y","FA_ADJUSTED=GAAP","Sort=A","Dates=H","DateFormat=P","Fill=—","Direction=H","UseDPDF=Y")</f>
        <v>#NAME?</v>
      </c>
      <c r="G10" t="e">
        <f ca="1">_xll.BDH($C$3,"RETURN_ON_ASSET","FQ2 2015","FQ2 2015","Currency=INR","Period=FQ","BEST_FPERIOD_OVERRIDE=FQ","FILING_STATUS=OR","EQY_CONSOLIDATED=Y","FA_ADJUSTED=GAAP","Sort=A","Dates=H","DateFormat=P","Fill=—","Direction=H","UseDPDF=Y")</f>
        <v>#NAME?</v>
      </c>
      <c r="H10" t="e">
        <f ca="1">_xll.BDH($C$3,"RETURN_ON_CAP","FQ2 2015","FQ2 2015","Currency=INR","Period=FQ","BEST_FPERIOD_OVERRIDE=FQ","FILING_STATUS=OR","EQY_CONSOLIDATED=Y","FA_ADJUSTED=GAAP","Sort=A","Dates=H","DateFormat=P","Fill=—","Direction=H","UseDPDF=Y")</f>
        <v>#NAME?</v>
      </c>
      <c r="I10" t="e">
        <f ca="1">_xll.BDH($C$3,"RETURN_ON_INV_CAPITAL","FQ2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0" t="e">
        <f ca="1">_xll.BDH($C$3,"EBITDA_TO_REVENUE","FQ2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0" t="e">
        <f ca="1">_xll.BDH($C$3,"OPER_MARGIN","FQ2 2015","FQ2 2015","Currency=INR","Period=FQ","BEST_FPERIOD_OVERRIDE=FQ","FILING_STATUS=OR","EQY_CONSOLIDATED=Y","FA_ADJUSTED=GAAP","Sort=A","Dates=H","DateFormat=P","Fill=—","Direction=H","UseDPDF=Y")</f>
        <v>#NAME?</v>
      </c>
      <c r="L10" t="e">
        <f ca="1">_xll.BDH($C$3,"INCREMENTAL_OPERATING_MARGIN","FQ2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0" t="e">
        <f ca="1">_xll.BDH($C$3,"PRETAX_INC_TO_NET_SALES","FQ2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0" t="e">
        <f ca="1">_xll.BDH($C$3,"INC_BEF_XO_ITEMS_TO_NET_SALES","FQ2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0" t="e">
        <f ca="1">_xll.BDH($C$3,"PROF_MARGIN","FQ2 2015","FQ2 2015","Currency=INR","Period=FQ","BEST_FPERIOD_OVERRIDE=FQ","FILING_STATUS=OR","EQY_CONSOLIDATED=Y","FA_ADJUSTED=GAAP","Sort=A","Dates=H","DateFormat=P","Fill=—","Direction=H","UseDPDF=Y")</f>
        <v>#NAME?</v>
      </c>
      <c r="P10" t="e">
        <f ca="1">_xll.BDH($C$3,"NET_INCOME_TO_COMMON_MARGIN","FQ2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0" t="e">
        <f ca="1">_xll.BDH($C$3,"EFF_TAX_RATE","FQ2 2015","FQ2 2015","Currency=INR","Period=FQ","BEST_FPERIOD_OVERRIDE=FQ","FILING_STATUS=OR","EQY_CONSOLIDATED=Y","FA_ADJUSTED=GAAP","Sort=A","Dates=H","DateFormat=P","Fill=—","Direction=H","UseDPDF=Y")</f>
        <v>#NAME?</v>
      </c>
      <c r="R10" t="e">
        <f ca="1">_xll.BDH($C$3,"DVD_PAYOUT_RATIO","FQ2 2015","FQ2 2015","Currency=INR","Period=FQ","BEST_FPERIOD_OVERRIDE=FQ","FILING_STATUS=OR","EQY_CONSOLIDATED=Y","FA_ADJUSTED=GAAP","Sort=A","Dates=H","DateFormat=P","Fill=—","Direction=H","UseDPDF=Y")</f>
        <v>#NAME?</v>
      </c>
      <c r="S10" t="e">
        <f ca="1">_xll.BDH($C$3,"SUSTAIN_GROWTH_RT","FQ2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0" s="2" t="e">
        <f ca="1">_xll.BDH($C$3,"SALES_GROWTH","FQ2 2015","FQ2 2015","Currency=INR","Period=FQ","BEST_FPERIOD_OVERRIDE=FQ","FILING_STATUS=OR","EQY_CONSOLIDATED=Y","FA_ADJUSTED=GAAP","Sort=A","Dates=H","DateFormat=P","Fill=—","Direction=H","UseDPDF=Y")</f>
        <v>#NAME?</v>
      </c>
      <c r="U10" s="2" t="e">
        <f ca="1">_xll.BDH($C$3,"EBITDA_GROWTH","FQ2 2015","FQ2 2015","Currency=INR","Period=FQ","BEST_FPERIOD_OVERRIDE=FQ","FILING_STATUS=OR","EQY_CONSOLIDATED=Y","FA_ADJUSTED=GAAP","Sort=A","Dates=H","DateFormat=P","Fill=—","Direction=H","UseDPDF=Y")</f>
        <v>#NAME?</v>
      </c>
      <c r="V10" s="2" t="e">
        <f ca="1">_xll.BDH($C$3,"OPER_INC_GROWTH","FQ2 2015","FQ2 2015","Currency=INR","Period=FQ","BEST_FPERIOD_OVERRIDE=FQ","FILING_STATUS=OR","EQY_CONSOLIDATED=Y","FA_ADJUSTED=GAAP","Sort=A","Dates=H","DateFormat=P","Fill=—","Direction=H","UseDPDF=Y")</f>
        <v>#NAME?</v>
      </c>
      <c r="W10" s="2" t="e">
        <f ca="1">_xll.BDH($C$3,"EARN_FOR_COM_GROWTH","FQ2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0" s="2" t="e">
        <f ca="1">_xll.BDH($C$3,"DILUTED_EPS_AFT_XO_ITEMS_GROWTH","FQ2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0" s="2" t="e">
        <f ca="1">_xll.BDH($C$3,"DIVIDEND_PER_SHARE_1_YEAR_GROWTH","FQ2 2015","FQ2 2015","Currency=INR","Period=FQ","BEST_FPERIOD_OVERRIDE=FQ","FILING_STATUS=OR","EQY_CONSOLIDATED=Y","Sort=A","Dates=H","DateFormat=P","Fill=—","Direction=H","UseDPDF=Y")</f>
        <v>#NAME?</v>
      </c>
      <c r="Z10" s="2" t="e">
        <f ca="1">_xll.BDH($C$3,"ACCOUNTS_RECEIVABLE_GROWTH","FQ2 2015","FQ2 2015","Currency=INR","Period=FQ","BEST_FPERIOD_OVERRIDE=FQ","FILING_STATUS=OR","EQY_CONSOLIDATED=Y","Sort=A","Dates=H","DateFormat=P","Fill=—","Direction=H","UseDPDF=Y")</f>
        <v>#NAME?</v>
      </c>
      <c r="AA10" s="2" t="e">
        <f ca="1">_xll.BDH($C$3,"INVENTORY_GROWTH","FQ2 2015","FQ2 2015","Currency=INR","Period=FQ","BEST_FPERIOD_OVERRIDE=FQ","FILING_STATUS=OR","EQY_CONSOLIDATED=Y","Sort=A","Dates=H","DateFormat=P","Fill=—","Direction=H","UseDPDF=Y")</f>
        <v>#NAME?</v>
      </c>
      <c r="AB10" s="2" t="e">
        <f ca="1">_xll.BDH($C$3,"NET_FIXED_ASSETS_1_YEAR_GROWTH","FQ2 2015","FQ2 2015","Currency=INR","Period=FQ","BEST_FPERIOD_OVERRIDE=FQ","FILING_STATUS=OR","EQY_CONSOLIDATED=Y","Sort=A","Dates=H","DateFormat=P","Fill=—","Direction=H","UseDPDF=Y")</f>
        <v>#NAME?</v>
      </c>
      <c r="AC10" s="2" t="e">
        <f ca="1">_xll.BDH($C$3,"ASSET_GROWTH","FQ2 2015","FQ2 2015","Currency=INR","Period=FQ","BEST_FPERIOD_OVERRIDE=FQ","FILING_STATUS=OR","EQY_CONSOLIDATED=Y","Sort=A","Dates=H","DateFormat=P","Fill=—","Direction=H","UseDPDF=Y")</f>
        <v>#NAME?</v>
      </c>
      <c r="AD10" s="2" t="e">
        <f ca="1">_xll.BDH($C$3,"MODIFIED_WORK_CAP_GROWTH","FQ2 2015","FQ2 2015","Currency=INR","Period=FQ","BEST_FPERIOD_OVERRIDE=FQ","FILING_STATUS=OR","EQY_CONSOLIDATED=Y","Sort=A","Dates=H","DateFormat=P","Fill=—","Direction=H","UseDPDF=Y")</f>
        <v>#NAME?</v>
      </c>
      <c r="AE10" s="2" t="e">
        <f ca="1">_xll.BDH($C$3,"WORK_CAP_GROWTH","FQ2 2015","FQ2 2015","Currency=INR","Period=FQ","BEST_FPERIOD_OVERRIDE=FQ","FILING_STATUS=OR","EQY_CONSOLIDATED=Y","Sort=A","Dates=H","DateFormat=P","Fill=—","Direction=H","UseDPDF=Y")</f>
        <v>#NAME?</v>
      </c>
      <c r="AF10" s="2" t="e">
        <f ca="1">_xll.BDH($C$3,"ACCOUNTS_PAYABLE_GROWTH_1YR","FQ2 2015","FQ2 2015","Currency=INR","Period=FQ","BEST_FPERIOD_OVERRIDE=FQ","FILING_STATUS=OR","EQY_CONSOLIDATED=Y","Sort=A","Dates=H","DateFormat=P","Fill=—","Direction=H","UseDPDF=Y")</f>
        <v>#NAME?</v>
      </c>
      <c r="AG10" s="2" t="e">
        <f ca="1">_xll.BDH($C$3,"SHORT_TERM_DEBT_1_YEAR_GROWTH","FQ2 2015","FQ2 2015","Currency=INR","Period=FQ","BEST_FPERIOD_OVERRIDE=FQ","FILING_STATUS=OR","EQY_CONSOLIDATED=Y","Sort=A","Dates=H","DateFormat=P","Fill=—","Direction=H","UseDPDF=Y")</f>
        <v>#NAME?</v>
      </c>
      <c r="AH10" s="2" t="e">
        <f ca="1">_xll.BDH($C$3,"TOTAL_DEBT_1_YEAR_GROWTH","FQ2 2015","FQ2 2015","Currency=INR","Period=FQ","BEST_FPERIOD_OVERRIDE=FQ","FILING_STATUS=OR","EQY_CONSOLIDATED=Y","Sort=A","Dates=H","DateFormat=P","Fill=—","Direction=H","UseDPDF=Y")</f>
        <v>#NAME?</v>
      </c>
      <c r="AI10" s="2" t="e">
        <f ca="1">_xll.BDH($C$3,"TOTAL_EQUITY_1_YEAR_GROWTH","FQ2 2015","FQ2 2015","Currency=INR","Period=FQ","BEST_FPERIOD_OVERRIDE=FQ","FILING_STATUS=OR","EQY_CONSOLIDATED=Y","Sort=A","Dates=H","DateFormat=P","Fill=—","Direction=H","UseDPDF=Y")</f>
        <v>#NAME?</v>
      </c>
      <c r="AJ10" s="2" t="e">
        <f ca="1">_xll.BDH($C$3,"GROWTH_IN_CAP","FQ2 2015","FQ2 2015","Currency=INR","Period=FQ","BEST_FPERIOD_OVERRIDE=FQ","FILING_STATUS=OR","EQY_CONSOLIDATED=Y","Sort=A","Dates=H","DateFormat=P","Fill=—","Direction=H","UseDPDF=Y")</f>
        <v>#NAME?</v>
      </c>
      <c r="AK10" s="2" t="e">
        <f ca="1">_xll.BDH($C$3,"BVPS_GROWTH","FQ2 2015","FQ2 2015","Currency=INR","Period=FQ","BEST_FPERIOD_OVERRIDE=FQ","FILING_STATUS=OR","EQY_CONSOLIDATED=Y","Sort=A","Dates=H","DateFormat=P","Fill=—","Direction=H","UseDPDF=Y")</f>
        <v>#NAME?</v>
      </c>
      <c r="AL10" s="2" t="e">
        <f ca="1">_xll.BDH($C$3,"CASH_FLOW_GROWTH","FQ2 2015","FQ2 2015","Currency=INR","Period=FQ","BEST_FPERIOD_OVERRIDE=FQ","FILING_STATUS=OR","EQY_CONSOLIDATED=Y","Sort=A","Dates=H","DateFormat=P","Fill=—","Direction=H","UseDPDF=Y")</f>
        <v>#NAME?</v>
      </c>
      <c r="AM10" s="2" t="e">
        <f ca="1">_xll.BDH($C$3,"GEO_GROW_NET_SALES","FQ2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0" s="2" t="e">
        <f ca="1">_xll.BDH($C$3,"GEO_GROW_EBITDA","FQ2 2015","FQ2 2015","Currency=INR","Period=FQ","BEST_FPERIOD_OVERRIDE=FQ","FILING_STATUS=OR","EQY_CONSOLIDATED=Y","FA_ADJUSTED=GAAP","Sort=A","Dates=H","DateFormat=P","Fill=—","Direction=H","UseDPDF=Y")</f>
        <v>#NAME?</v>
      </c>
      <c r="AO10" s="2" t="e">
        <f ca="1">_xll.BDH($C$3,"GEO_GROW_OPER_INC","FQ2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0" s="2" t="e">
        <f ca="1">_xll.BDH($C$3,"NET_INCOME_TO_COMMON_5_YR_GROWTH","FQ2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0" s="2" t="e">
        <f ca="1">_xll.BDH($C$3,"5Y_GEO_GROWTH_DILUTED_EPS","FQ2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0" s="2" t="e">
        <f ca="1">_xll.BDH($C$3,"GEO_GROW_DVD_PER_SH","FQ2 2015","FQ2 2015","Currency=INR","Period=FQ","BEST_FPERIOD_OVERRIDE=FQ","FILING_STATUS=OR","EQY_CONSOLIDATED=Y","Sort=A","Dates=H","DateFormat=P","Fill=—","Direction=H","UseDPDF=Y")</f>
        <v>#NAME?</v>
      </c>
      <c r="AS10" s="2" t="e">
        <f ca="1">_xll.BDH($C$3,"ACCOUNTS_RECEIVABLE_5_YR_GROWTH","FQ2 2015","FQ2 2015","Currency=INR","Period=FQ","BEST_FPERIOD_OVERRIDE=FQ","FILING_STATUS=OR","EQY_CONSOLIDATED=Y","Sort=A","Dates=H","DateFormat=P","Fill=—","Direction=H","UseDPDF=Y")</f>
        <v>#NAME?</v>
      </c>
      <c r="AT10" s="2" t="e">
        <f ca="1">_xll.BDH($C$3,"INVENTORY_5_YEAR_GROWTH","FQ2 2015","FQ2 2015","Currency=INR","Period=FQ","BEST_FPERIOD_OVERRIDE=FQ","FILING_STATUS=OR","EQY_CONSOLIDATED=Y","Sort=A","Dates=H","DateFormat=P","Fill=—","Direction=H","UseDPDF=Y")</f>
        <v>#NAME?</v>
      </c>
      <c r="AU10" s="2" t="e">
        <f ca="1">_xll.BDH($C$3,"NET_FIXED_ASSETS_5_YEAR_GROWTH","FQ2 2015","FQ2 2015","Currency=INR","Period=FQ","BEST_FPERIOD_OVERRIDE=FQ","FILING_STATUS=OR","EQY_CONSOLIDATED=Y","Sort=A","Dates=H","DateFormat=P","Fill=—","Direction=H","UseDPDF=Y")</f>
        <v>#NAME?</v>
      </c>
      <c r="AV10" s="2" t="e">
        <f ca="1">_xll.BDH($C$3,"GEO_GROW_TOT_ASSET","FQ2 2015","FQ2 2015","Currency=INR","Period=FQ","BEST_FPERIOD_OVERRIDE=FQ","FILING_STATUS=OR","EQY_CONSOLIDATED=Y","Sort=A","Dates=H","DateFormat=P","Fill=—","Direction=H","UseDPDF=Y")</f>
        <v>#NAME?</v>
      </c>
      <c r="AW10" s="2" t="e">
        <f ca="1">_xll.BDH($C$3,"MODIFIED_WORKING_CPTL_5YR_GRWTH","FQ2 2015","FQ2 2015","Currency=INR","Period=FQ","BEST_FPERIOD_OVERRIDE=FQ","FILING_STATUS=OR","EQY_CONSOLIDATED=Y","Sort=A","Dates=H","DateFormat=P","Fill=—","Direction=H","UseDPDF=Y")</f>
        <v>#NAME?</v>
      </c>
      <c r="AX10" s="2" t="e">
        <f ca="1">_xll.BDH($C$3,"WORKING_CAPITAL_5_YEAR_GROWTH","FQ2 2015","FQ2 2015","Currency=INR","Period=FQ","BEST_FPERIOD_OVERRIDE=FQ","FILING_STATUS=OR","EQY_CONSOLIDATED=Y","Sort=A","Dates=H","DateFormat=P","Fill=—","Direction=H","UseDPDF=Y")</f>
        <v>#NAME?</v>
      </c>
      <c r="AY10" s="2" t="e">
        <f ca="1">_xll.BDH($C$3,"ACCOUNTS_PAYABLE_5_YEAR_GROWTH","FQ2 2015","FQ2 2015","Currency=INR","Period=FQ","BEST_FPERIOD_OVERRIDE=FQ","FILING_STATUS=OR","EQY_CONSOLIDATED=Y","Sort=A","Dates=H","DateFormat=P","Fill=—","Direction=H","UseDPDF=Y")</f>
        <v>#NAME?</v>
      </c>
      <c r="AZ10" s="2" t="e">
        <f ca="1">_xll.BDH($C$3,"SHORT_TERM_DEBT_5_YEAR_GROWTH","FQ2 2015","FQ2 2015","Currency=INR","Period=FQ","BEST_FPERIOD_OVERRIDE=FQ","FILING_STATUS=OR","EQY_CONSOLIDATED=Y","Sort=A","Dates=H","DateFormat=P","Fill=—","Direction=H","UseDPDF=Y")</f>
        <v>#NAME?</v>
      </c>
      <c r="BA10" s="2" t="e">
        <f ca="1">_xll.BDH($C$3,"TOTAL_DEBT_5_YEAR_GROWTH","FQ2 2015","FQ2 2015","Currency=INR","Period=FQ","BEST_FPERIOD_OVERRIDE=FQ","FILING_STATUS=OR","EQY_CONSOLIDATED=Y","Sort=A","Dates=H","DateFormat=P","Fill=—","Direction=H","UseDPDF=Y")</f>
        <v>#NAME?</v>
      </c>
      <c r="BB10" s="2" t="e">
        <f ca="1">_xll.BDH($C$3,"GEO_GROW_TOT_SHRHLDR_EQY","FQ2 2015","FQ2 2015","Currency=INR","Period=FQ","BEST_FPERIOD_OVERRIDE=FQ","FILING_STATUS=OR","EQY_CONSOLIDATED=Y","Sort=A","Dates=H","DateFormat=P","Fill=—","Direction=H","UseDPDF=Y")</f>
        <v>#NAME?</v>
      </c>
      <c r="BC10" s="2" t="e">
        <f ca="1">_xll.BDH($C$3,"TOTAL_CAPITAL_5_YEAR_GROWTH","FQ2 2015","FQ2 2015","Currency=INR","Period=FQ","BEST_FPERIOD_OVERRIDE=FQ","FILING_STATUS=OR","EQY_CONSOLIDATED=Y","Sort=A","Dates=H","DateFormat=P","Fill=—","Direction=H","UseDPDF=Y")</f>
        <v>#NAME?</v>
      </c>
      <c r="BD10" s="2" t="e">
        <f ca="1">_xll.BDH($C$3,"GEO_GROW_BOOK_VAL","FQ2 2015","FQ2 2015","Currency=INR","Period=FQ","BEST_FPERIOD_OVERRIDE=FQ","FILING_STATUS=OR","EQY_CONSOLIDATED=Y","Sort=A","Dates=H","DateFormat=P","Fill=—","Direction=H","UseDPDF=Y")</f>
        <v>#NAME?</v>
      </c>
      <c r="BE10" s="2" t="e">
        <f ca="1">_xll.BDH($C$3,"GEO_GROW_CASH_OPER_ACT","FQ2 2015","FQ2 2015","Currency=INR","Period=FQ","BEST_FPERIOD_OVERRIDE=FQ","FILING_STATUS=OR","EQY_CONSOLIDATED=Y","Sort=A","Dates=H","DateFormat=P","Fill=—","Direction=H","UseDPDF=Y")</f>
        <v>#NAME?</v>
      </c>
      <c r="BF10" s="2" t="e">
        <f ca="1">_xll.BDH($C$3,"REVENUE_SEQUENTIAL_GROWTH","FQ2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0" s="2" t="e">
        <f ca="1">_xll.BDH($C$3,"EBITDA_SEQUENTIAL_GROWTH","FQ2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0" s="2" t="e">
        <f ca="1">_xll.BDH($C$3,"OPERATING_INCOME_SEQ_GROWTH","FQ2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0" s="2" t="e">
        <f ca="1">_xll.BDH($C$3,"NET_INCOME_TO_COMMON_SEQ_GROWTH","FQ2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0" s="2" t="e">
        <f ca="1">_xll.BDH($C$3,"EPS_DILUTED_SEQUENTIAL_GROWTH","FQ2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0" s="2" t="e">
        <f ca="1">_xll.BDH($C$3,"DPS_SEQUENTIAL_GROWTH","FQ2 2015","FQ2 2015","Currency=INR","Period=FQ","BEST_FPERIOD_OVERRIDE=FQ","FILING_STATUS=OR","EQY_CONSOLIDATED=Y","Sort=A","Dates=H","DateFormat=P","Fill=—","Direction=H","UseDPDF=Y")</f>
        <v>#NAME?</v>
      </c>
      <c r="BL10" s="2" t="e">
        <f ca="1">_xll.BDH($C$3,"ACCOUNTS_RECEIVABLE_SEQ_GROWTH","FQ2 2015","FQ2 2015","Currency=INR","Period=FQ","BEST_FPERIOD_OVERRIDE=FQ","FILING_STATUS=OR","EQY_CONSOLIDATED=Y","Sort=A","Dates=H","DateFormat=P","Fill=—","Direction=H","UseDPDF=Y")</f>
        <v>#NAME?</v>
      </c>
      <c r="BM10" s="2" t="e">
        <f ca="1">_xll.BDH($C$3,"INVENTORY_SEQUENTIAL_GROWTH","FQ2 2015","FQ2 2015","Currency=INR","Period=FQ","BEST_FPERIOD_OVERRIDE=FQ","FILING_STATUS=OR","EQY_CONSOLIDATED=Y","Sort=A","Dates=H","DateFormat=P","Fill=—","Direction=H","UseDPDF=Y")</f>
        <v>#NAME?</v>
      </c>
      <c r="BN10" s="2" t="e">
        <f ca="1">_xll.BDH($C$3,"FIXED_ASSETS_SEQUENTIAL_GROWTH","FQ2 2015","FQ2 2015","Currency=INR","Period=FQ","BEST_FPERIOD_OVERRIDE=FQ","FILING_STATUS=OR","EQY_CONSOLIDATED=Y","Sort=A","Dates=H","DateFormat=P","Fill=—","Direction=H","UseDPDF=Y")</f>
        <v>#NAME?</v>
      </c>
      <c r="BO10" s="2" t="e">
        <f ca="1">_xll.BDH($C$3,"TOTAL_ASSETS_SEQUENTIAL_GROWTH","FQ2 2015","FQ2 2015","Currency=INR","Period=FQ","BEST_FPERIOD_OVERRIDE=FQ","FILING_STATUS=OR","EQY_CONSOLIDATED=Y","Sort=A","Dates=H","DateFormat=P","Fill=—","Direction=H","UseDPDF=Y")</f>
        <v>#NAME?</v>
      </c>
      <c r="BP10" s="2" t="e">
        <f ca="1">_xll.BDH($C$3,"MODIFIED_WORKING_CPTL_SEQ_GRWTH","FQ2 2015","FQ2 2015","Currency=INR","Period=FQ","BEST_FPERIOD_OVERRIDE=FQ","FILING_STATUS=OR","EQY_CONSOLIDATED=Y","Sort=A","Dates=H","DateFormat=P","Fill=—","Direction=H","UseDPDF=Y")</f>
        <v>#NAME?</v>
      </c>
      <c r="BQ10" s="2" t="e">
        <f ca="1">_xll.BDH($C$3,"WORKING_CAPITAL_SEQ_GROWTH","FQ2 2015","FQ2 2015","Currency=INR","Period=FQ","BEST_FPERIOD_OVERRIDE=FQ","FILING_STATUS=OR","EQY_CONSOLIDATED=Y","Sort=A","Dates=H","DateFormat=P","Fill=—","Direction=H","UseDPDF=Y")</f>
        <v>#NAME?</v>
      </c>
      <c r="BR10" s="2" t="e">
        <f ca="1">_xll.BDH($C$3,"ACCOUNTS_PAYABLE_SEQ_GROWTH","FQ2 2015","FQ2 2015","Currency=INR","Period=FQ","BEST_FPERIOD_OVERRIDE=FQ","FILING_STATUS=OR","EQY_CONSOLIDATED=Y","Sort=A","Dates=H","DateFormat=P","Fill=—","Direction=H","UseDPDF=Y")</f>
        <v>#NAME?</v>
      </c>
      <c r="BS10" s="2" t="e">
        <f ca="1">_xll.BDH($C$3,"ST_DEBT_SEQUENTIAL_GROWTH","FQ2 2015","FQ2 2015","Currency=INR","Period=FQ","BEST_FPERIOD_OVERRIDE=FQ","FILING_STATUS=OR","EQY_CONSOLIDATED=Y","Sort=A","Dates=H","DateFormat=P","Fill=—","Direction=H","UseDPDF=Y")</f>
        <v>#NAME?</v>
      </c>
      <c r="BT10" s="2" t="e">
        <f ca="1">_xll.BDH($C$3,"TOTAL_DEBT_SEQUENTIAL_GROWTH","FQ2 2015","FQ2 2015","Currency=INR","Period=FQ","BEST_FPERIOD_OVERRIDE=FQ","FILING_STATUS=OR","EQY_CONSOLIDATED=Y","Sort=A","Dates=H","DateFormat=P","Fill=—","Direction=H","UseDPDF=Y")</f>
        <v>#NAME?</v>
      </c>
      <c r="BU10" s="2" t="e">
        <f ca="1">_xll.BDH($C$3,"TOTAL_EQUITY_SEQUENTIAL_GROWTH","FQ2 2015","FQ2 2015","Currency=INR","Period=FQ","BEST_FPERIOD_OVERRIDE=FQ","FILING_STATUS=OR","EQY_CONSOLIDATED=Y","Sort=A","Dates=H","DateFormat=P","Fill=—","Direction=H","UseDPDF=Y")</f>
        <v>#NAME?</v>
      </c>
      <c r="BV10" s="2" t="e">
        <f ca="1">_xll.BDH($C$3,"TOTAL_CAPITAL_SEQUENTIAL_GROWTH","FQ2 2015","FQ2 2015","Currency=INR","Period=FQ","BEST_FPERIOD_OVERRIDE=FQ","FILING_STATUS=OR","EQY_CONSOLIDATED=Y","Sort=A","Dates=H","DateFormat=P","Fill=—","Direction=H","UseDPDF=Y")</f>
        <v>#NAME?</v>
      </c>
      <c r="BW10" s="2" t="e">
        <f ca="1">_xll.BDH($C$3,"BPS_SEQUENTIAL_GROWTH","FQ2 2015","FQ2 2015","Currency=INR","Period=FQ","BEST_FPERIOD_OVERRIDE=FQ","FILING_STATUS=OR","EQY_CONSOLIDATED=Y","Sort=A","Dates=H","DateFormat=P","Fill=—","Direction=H","UseDPDF=Y")</f>
        <v>#NAME?</v>
      </c>
      <c r="BX10" s="2" t="e">
        <f ca="1">_xll.BDH($C$3,"CFO_SEQUENTIAL_GROWTH","FQ2 2015","FQ2 2015","Currency=INR","Period=FQ","BEST_FPERIOD_OVERRIDE=FQ","FILING_STATUS=OR","EQY_CONSOLIDATED=Y","Sort=A","Dates=H","DateFormat=P","Fill=—","Direction=H","UseDPDF=Y")</f>
        <v>#NAME?</v>
      </c>
      <c r="BY10" s="3" t="e">
        <f ca="1">_xll.BDH($C$3,"SHORT_AND_LONG_TERM_DEBT","FQ2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0" s="3" t="e">
        <f ca="1">_xll.BDH($C$3,"BS_ST_BORROW","FQ2 2015","FQ2 2015","Currency=INR","Period=FQ","BEST_FPERIOD_OVERRIDE=FQ","FILING_STATUS=OR","EQY_CONSOLIDATED=Y","SCALING_FORMAT=MLN","Sort=A","Dates=H","DateFormat=P","Fill=—","Direction=H","UseDPDF=Y")</f>
        <v>#NAME?</v>
      </c>
      <c r="CA10" s="3" t="e">
        <f ca="1">_xll.BDH($C$3,"BS_LT_BORROW","FQ2 2015","FQ2 2015","Currency=INR","Period=FQ","BEST_FPERIOD_OVERRIDE=FQ","FILING_STATUS=OR","EQY_CONSOLIDATED=Y","SCALING_FORMAT=MLN","Sort=A","Dates=H","DateFormat=P","Fill=—","Direction=H","UseDPDF=Y")</f>
        <v>#NAME?</v>
      </c>
      <c r="CB10" s="2" t="e">
        <f ca="1">_xll.BDH($C$3,"TOT_DEBT_TO_EBITDA","FQ2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0" s="2" t="e">
        <f ca="1">_xll.BDH($C$3,"NET_DEBT_TO_EBITDA","FQ2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0" s="2" t="e">
        <f ca="1">_xll.BDH($C$3,"TOTAL_DEBT_TO_EBIT","FQ2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0" s="2" t="e">
        <f ca="1">_xll.BDH($C$3,"NET_DEBT_TO_EBIT","FQ2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0" s="2" t="e">
        <f ca="1">_xll.BDH($C$3,"EBITDA_TO_INTEREST_EXPN","FQ2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0" s="2" t="e">
        <f ca="1">_xll.BDH($C$3,"COM_EQY_TO_TOT_ASSET","FQ2 2015","FQ2 2015","Currency=INR","Period=FQ","BEST_FPERIOD_OVERRIDE=FQ","FILING_STATUS=OR","EQY_CONSOLIDATED=Y","Sort=A","Dates=H","DateFormat=P","Fill=—","Direction=H","UseDPDF=Y")</f>
        <v>#NAME?</v>
      </c>
      <c r="CH10" s="2" t="e">
        <f ca="1">_xll.BDH($C$3,"LT_DEBT_TO_TOT_EQY","FQ2 2015","FQ2 2015","Currency=INR","Period=FQ","BEST_FPERIOD_OVERRIDE=FQ","FILING_STATUS=OR","EQY_CONSOLIDATED=Y","Sort=A","Dates=H","DateFormat=P","Fill=—","Direction=H","UseDPDF=Y")</f>
        <v>#NAME?</v>
      </c>
      <c r="CI10" s="2" t="e">
        <f ca="1">_xll.BDH($C$3,"LT_DEBT_TO_TOT_CAP","FQ2 2015","FQ2 2015","Currency=INR","Period=FQ","BEST_FPERIOD_OVERRIDE=FQ","FILING_STATUS=OR","EQY_CONSOLIDATED=Y","Sort=A","Dates=H","DateFormat=P","Fill=—","Direction=H","UseDPDF=Y")</f>
        <v>#NAME?</v>
      </c>
      <c r="CJ10" s="2" t="e">
        <f ca="1">_xll.BDH($C$3,"LT_DEBT_TO_TOT_ASSET","FQ2 2015","FQ2 2015","Currency=INR","Period=FQ","BEST_FPERIOD_OVERRIDE=FQ","FILING_STATUS=OR","EQY_CONSOLIDATED=Y","Sort=A","Dates=H","DateFormat=P","Fill=—","Direction=H","UseDPDF=Y")</f>
        <v>#NAME?</v>
      </c>
      <c r="CK10" s="2" t="e">
        <f ca="1">_xll.BDH($C$3,"TOT_DEBT_TO_TOT_EQY","FQ2 2015","FQ2 2015","Currency=INR","Period=FQ","BEST_FPERIOD_OVERRIDE=FQ","FILING_STATUS=OR","EQY_CONSOLIDATED=Y","Sort=A","Dates=H","DateFormat=P","Fill=—","Direction=H","UseDPDF=Y")</f>
        <v>#NAME?</v>
      </c>
      <c r="CL10" s="2" t="e">
        <f ca="1">_xll.BDH($C$3,"TOT_DEBT_TO_TOT_CAP","FQ2 2015","FQ2 2015","Currency=INR","Period=FQ","BEST_FPERIOD_OVERRIDE=FQ","FILING_STATUS=OR","EQY_CONSOLIDATED=Y","Sort=A","Dates=H","DateFormat=P","Fill=—","Direction=H","UseDPDF=Y")</f>
        <v>#NAME?</v>
      </c>
      <c r="CM10" s="2" t="e">
        <f ca="1">_xll.BDH($C$3,"TOT_DEBT_TO_TOT_ASSET","FQ2 2015","FQ2 2015","Currency=INR","Period=FQ","BEST_FPERIOD_OVERRIDE=FQ","FILING_STATUS=OR","EQY_CONSOLIDATED=Y","Sort=A","Dates=H","DateFormat=P","Fill=—","Direction=H","UseDPDF=Y")</f>
        <v>#NAME?</v>
      </c>
      <c r="CN10" s="2" t="e">
        <f ca="1">_xll.BDH($C$3,"NET_DEBT_TO_SHRHLDR_EQTY","FQ2 2015","FQ2 2015","Currency=INR","Period=FQ","BEST_FPERIOD_OVERRIDE=FQ","FILING_STATUS=OR","EQY_CONSOLIDATED=Y","Sort=A","Dates=H","DateFormat=P","Fill=—","Direction=H","UseDPDF=Y")</f>
        <v>#NAME?</v>
      </c>
      <c r="CO10" s="2" t="e">
        <f ca="1">_xll.BDH($C$3,"NET_DEBT_%_CAPITAL","FQ2 2015","FQ2 2015","Currency=INR","Period=FQ","BEST_FPERIOD_OVERRIDE=FQ","FILING_STATUS=OR","EQY_CONSOLIDATED=Y","Sort=A","Dates=H","DateFormat=P","Fill=—","Direction=H","UseDPDF=Y")</f>
        <v>#NAME?</v>
      </c>
      <c r="CP10" s="3" t="e">
        <f ca="1">_xll.BDH($C$3,"EBITDA","FQ2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0" s="3" t="e">
        <f ca="1">_xll.BDH($C$3,"EBITDA_AFTER_CAPEX","FQ2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0" s="3" t="e">
        <f ca="1">_xll.BDH($C$3,"IS_OPER_INC","FQ2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0" s="2" t="e">
        <f ca="1">_xll.BDH($C$3,"CASH_RATIO","FQ2 2015","FQ2 2015","Currency=INR","Period=FQ","BEST_FPERIOD_OVERRIDE=FQ","FILING_STATUS=OR","EQY_CONSOLIDATED=Y","Sort=A","Dates=H","DateFormat=P","Fill=—","Direction=H","UseDPDF=Y")</f>
        <v>#NAME?</v>
      </c>
      <c r="CT10" s="2" t="e">
        <f ca="1">_xll.BDH($C$3,"CUR_RATIO","FQ2 2015","FQ2 2015","Currency=INR","Period=FQ","BEST_FPERIOD_OVERRIDE=FQ","FILING_STATUS=OR","EQY_CONSOLIDATED=Y","Sort=A","Dates=H","DateFormat=P","Fill=—","Direction=H","UseDPDF=Y")</f>
        <v>#NAME?</v>
      </c>
      <c r="CU10" s="2" t="e">
        <f ca="1">_xll.BDH($C$3,"QUICK_RATIO","FQ2 2015","FQ2 2015","Currency=INR","Period=FQ","BEST_FPERIOD_OVERRIDE=FQ","FILING_STATUS=OR","EQY_CONSOLIDATED=Y","Sort=A","Dates=H","DateFormat=P","Fill=—","Direction=H","UseDPDF=Y")</f>
        <v>#NAME?</v>
      </c>
      <c r="CV10" s="2" t="e">
        <f ca="1">_xll.BDH($C$3,"ALTMAN_Z_SCORE","FQ2 2015","FQ2 2015","Currency=INR","Period=FQ","BEST_FPERIOD_OVERRIDE=FQ","FILING_STATUS=OR","EQY_CONSOLIDATED=Y","Sort=A","Dates=H","DateFormat=P","Fill=—","Direction=H","UseDPDF=Y")</f>
        <v>#NAME?</v>
      </c>
      <c r="CW10" s="4" t="e">
        <f ca="1">_xll.BDH($C$3,"ACCT_RCV_TURN","FQ2 2015","FQ2 2015","Currency=INR","Period=FQ","BEST_FPERIOD_OVERRIDE=FQ","FILING_STATUS=OR","EQY_CONSOLIDATED=Y","FA_ADJUSTED=GAAP","Sort=A","Dates=H","DateFormat=P","Fill=—","Direction=H","UseDPDF=Y")</f>
        <v>#NAME?</v>
      </c>
      <c r="CX10" s="2" t="e">
        <f ca="1">_xll.BDH($C$3,"ACCT_RCV_DAYS","FQ2 2015","FQ2 2015","Currency=INR","Period=FQ","BEST_FPERIOD_OVERRIDE=FQ","FILING_STATUS=OR","EQY_CONSOLIDATED=Y","FA_ADJUSTED=GAAP","Sort=A","Dates=H","DateFormat=P","Fill=—","Direction=H","UseDPDF=Y")</f>
        <v>#NAME?</v>
      </c>
      <c r="CY10" s="4" t="e">
        <f ca="1">_xll.BDH($C$3,"INVENT_TURN","FQ2 2015","FQ2 2015","Currency=INR","Period=FQ","BEST_FPERIOD_OVERRIDE=FQ","FILING_STATUS=OR","EQY_CONSOLIDATED=Y","FA_ADJUSTED=GAAP","Sort=A","Dates=H","DateFormat=P","Fill=—","Direction=H","UseDPDF=Y")</f>
        <v>#NAME?</v>
      </c>
      <c r="CZ10" s="2" t="e">
        <f ca="1">_xll.BDH($C$3,"INVENT_DAYS","FQ2 2015","FQ2 2015","Currency=INR","Period=FQ","BEST_FPERIOD_OVERRIDE=FQ","FILING_STATUS=OR","EQY_CONSOLIDATED=Y","FA_ADJUSTED=GAAP","Sort=A","Dates=H","DateFormat=P","Fill=—","Direction=H","UseDPDF=Y")</f>
        <v>#NAME?</v>
      </c>
      <c r="DA10" s="4" t="e">
        <f ca="1">_xll.BDH($C$3,"ACCOUNTS_PAYABLE_TURNOVER","FQ2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0" s="2" t="e">
        <f ca="1">_xll.BDH($C$3,"ACCOUNTS_PAYABLE_TURNOVER_DAYS","FQ2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0" s="4" t="e">
        <f ca="1">_xll.BDH($C$3,"CASH_CONVERSION_CYCLE","FQ2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0" s="4" t="e">
        <f ca="1">_xll.BDH($C$3,"INV_TO_CASH_DAYS","FQ2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0" s="5" t="e">
        <f ca="1">_xll.BDH($C$3,"BS_INVENTORIES","FQ2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0" s="3" t="e">
        <f ca="1">_xll.BDH($C$3,"INVTRY_RAW_MATERIALS","FQ2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0" s="3" t="e">
        <f ca="1">_xll.BDH($C$3,"INVTRY_IN_PROGRESS","FQ2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0" s="3" t="e">
        <f ca="1">_xll.BDH($C$3,"INVTRY_FINISHED_GOODS","FQ2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0" s="3" t="e">
        <f ca="1">_xll.BDH($C$3,"BS_OTHER_INV","FQ2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" spans="1:113" x14ac:dyDescent="0.3">
      <c r="A11" s="6"/>
      <c r="B11" s="6"/>
      <c r="C11" s="6"/>
      <c r="D11" s="6"/>
      <c r="E11" t="s">
        <v>80</v>
      </c>
      <c r="F11" t="e">
        <f ca="1">_xll.BDH($C$3,"RETURN_COM_EQY","FQ3 2015","FQ3 2015","Currency=INR","Period=FQ","BEST_FPERIOD_OVERRIDE=FQ","FILING_STATUS=OR","EQY_CONSOLIDATED=Y","FA_ADJUSTED=GAAP","Sort=A","Dates=H","DateFormat=P","Fill=—","Direction=H","UseDPDF=Y")</f>
        <v>#NAME?</v>
      </c>
      <c r="G11" t="e">
        <f ca="1">_xll.BDH($C$3,"RETURN_ON_ASSET","FQ3 2015","FQ3 2015","Currency=INR","Period=FQ","BEST_FPERIOD_OVERRIDE=FQ","FILING_STATUS=OR","EQY_CONSOLIDATED=Y","FA_ADJUSTED=GAAP","Sort=A","Dates=H","DateFormat=P","Fill=—","Direction=H","UseDPDF=Y")</f>
        <v>#NAME?</v>
      </c>
      <c r="H11" t="e">
        <f ca="1">_xll.BDH($C$3,"RETURN_ON_CAP","FQ3 2015","FQ3 2015","Currency=INR","Period=FQ","BEST_FPERIOD_OVERRIDE=FQ","FILING_STATUS=OR","EQY_CONSOLIDATED=Y","FA_ADJUSTED=GAAP","Sort=A","Dates=H","DateFormat=P","Fill=—","Direction=H","UseDPDF=Y")</f>
        <v>#NAME?</v>
      </c>
      <c r="I11" t="e">
        <f ca="1">_xll.BDH($C$3,"RETURN_ON_INV_CAPITAL","FQ3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" t="e">
        <f ca="1">_xll.BDH($C$3,"EBITDA_TO_REVENUE","FQ3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" t="e">
        <f ca="1">_xll.BDH($C$3,"OPER_MARGIN","FQ3 2015","FQ3 2015","Currency=INR","Period=FQ","BEST_FPERIOD_OVERRIDE=FQ","FILING_STATUS=OR","EQY_CONSOLIDATED=Y","FA_ADJUSTED=GAAP","Sort=A","Dates=H","DateFormat=P","Fill=—","Direction=H","UseDPDF=Y")</f>
        <v>#NAME?</v>
      </c>
      <c r="L11" t="e">
        <f ca="1">_xll.BDH($C$3,"INCREMENTAL_OPERATING_MARGIN","FQ3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" t="e">
        <f ca="1">_xll.BDH($C$3,"PRETAX_INC_TO_NET_SALES","FQ3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" t="e">
        <f ca="1">_xll.BDH($C$3,"INC_BEF_XO_ITEMS_TO_NET_SALES","FQ3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" t="e">
        <f ca="1">_xll.BDH($C$3,"PROF_MARGIN","FQ3 2015","FQ3 2015","Currency=INR","Period=FQ","BEST_FPERIOD_OVERRIDE=FQ","FILING_STATUS=OR","EQY_CONSOLIDATED=Y","FA_ADJUSTED=GAAP","Sort=A","Dates=H","DateFormat=P","Fill=—","Direction=H","UseDPDF=Y")</f>
        <v>#NAME?</v>
      </c>
      <c r="P11" t="e">
        <f ca="1">_xll.BDH($C$3,"NET_INCOME_TO_COMMON_MARGIN","FQ3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" t="e">
        <f ca="1">_xll.BDH($C$3,"EFF_TAX_RATE","FQ3 2015","FQ3 2015","Currency=INR","Period=FQ","BEST_FPERIOD_OVERRIDE=FQ","FILING_STATUS=OR","EQY_CONSOLIDATED=Y","FA_ADJUSTED=GAAP","Sort=A","Dates=H","DateFormat=P","Fill=—","Direction=H","UseDPDF=Y")</f>
        <v>#NAME?</v>
      </c>
      <c r="R11" t="e">
        <f ca="1">_xll.BDH($C$3,"DVD_PAYOUT_RATIO","FQ3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" t="e">
        <f ca="1">_xll.BDH($C$3,"SUSTAIN_GROWTH_RT","FQ3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" s="2" t="e">
        <f ca="1">_xll.BDH($C$3,"SALES_GROWTH","FQ3 2015","FQ3 2015","Currency=INR","Period=FQ","BEST_FPERIOD_OVERRIDE=FQ","FILING_STATUS=OR","EQY_CONSOLIDATED=Y","FA_ADJUSTED=GAAP","Sort=A","Dates=H","DateFormat=P","Fill=—","Direction=H","UseDPDF=Y")</f>
        <v>#NAME?</v>
      </c>
      <c r="U11" s="2" t="e">
        <f ca="1">_xll.BDH($C$3,"EBITDA_GROWTH","FQ3 2015","FQ3 2015","Currency=INR","Period=FQ","BEST_FPERIOD_OVERRIDE=FQ","FILING_STATUS=OR","EQY_CONSOLIDATED=Y","FA_ADJUSTED=GAAP","Sort=A","Dates=H","DateFormat=P","Fill=—","Direction=H","UseDPDF=Y")</f>
        <v>#NAME?</v>
      </c>
      <c r="V11" s="2" t="e">
        <f ca="1">_xll.BDH($C$3,"OPER_INC_GROWTH","FQ3 2015","FQ3 2015","Currency=INR","Period=FQ","BEST_FPERIOD_OVERRIDE=FQ","FILING_STATUS=OR","EQY_CONSOLIDATED=Y","FA_ADJUSTED=GAAP","Sort=A","Dates=H","DateFormat=P","Fill=—","Direction=H","UseDPDF=Y")</f>
        <v>#NAME?</v>
      </c>
      <c r="W11" s="2" t="e">
        <f ca="1">_xll.BDH($C$3,"EARN_FOR_COM_GROWTH","FQ3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" s="2" t="e">
        <f ca="1">_xll.BDH($C$3,"DILUTED_EPS_AFT_XO_ITEMS_GROWTH","FQ3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" s="2" t="e">
        <f ca="1">_xll.BDH($C$3,"DIVIDEND_PER_SHARE_1_YEAR_GROWTH","FQ3 2015","FQ3 2015","Currency=INR","Period=FQ","BEST_FPERIOD_OVERRIDE=FQ","FILING_STATUS=OR","EQY_CONSOLIDATED=Y","Sort=A","Dates=H","DateFormat=P","Fill=—","Direction=H","UseDPDF=Y")</f>
        <v>#NAME?</v>
      </c>
      <c r="Z11" s="2" t="e">
        <f ca="1">_xll.BDH($C$3,"ACCOUNTS_RECEIVABLE_GROWTH","FQ3 2015","FQ3 2015","Currency=INR","Period=FQ","BEST_FPERIOD_OVERRIDE=FQ","FILING_STATUS=OR","EQY_CONSOLIDATED=Y","Sort=A","Dates=H","DateFormat=P","Fill=—","Direction=H","UseDPDF=Y")</f>
        <v>#NAME?</v>
      </c>
      <c r="AA11" s="2" t="e">
        <f ca="1">_xll.BDH($C$3,"INVENTORY_GROWTH","FQ3 2015","FQ3 2015","Currency=INR","Period=FQ","BEST_FPERIOD_OVERRIDE=FQ","FILING_STATUS=OR","EQY_CONSOLIDATED=Y","Sort=A","Dates=H","DateFormat=P","Fill=—","Direction=H","UseDPDF=Y")</f>
        <v>#NAME?</v>
      </c>
      <c r="AB11" s="2" t="e">
        <f ca="1">_xll.BDH($C$3,"NET_FIXED_ASSETS_1_YEAR_GROWTH","FQ3 2015","FQ3 2015","Currency=INR","Period=FQ","BEST_FPERIOD_OVERRIDE=FQ","FILING_STATUS=OR","EQY_CONSOLIDATED=Y","Sort=A","Dates=H","DateFormat=P","Fill=—","Direction=H","UseDPDF=Y")</f>
        <v>#NAME?</v>
      </c>
      <c r="AC11" s="2" t="e">
        <f ca="1">_xll.BDH($C$3,"ASSET_GROWTH","FQ3 2015","FQ3 2015","Currency=INR","Period=FQ","BEST_FPERIOD_OVERRIDE=FQ","FILING_STATUS=OR","EQY_CONSOLIDATED=Y","Sort=A","Dates=H","DateFormat=P","Fill=—","Direction=H","UseDPDF=Y")</f>
        <v>#NAME?</v>
      </c>
      <c r="AD11" s="2" t="e">
        <f ca="1">_xll.BDH($C$3,"MODIFIED_WORK_CAP_GROWTH","FQ3 2015","FQ3 2015","Currency=INR","Period=FQ","BEST_FPERIOD_OVERRIDE=FQ","FILING_STATUS=OR","EQY_CONSOLIDATED=Y","Sort=A","Dates=H","DateFormat=P","Fill=—","Direction=H","UseDPDF=Y")</f>
        <v>#NAME?</v>
      </c>
      <c r="AE11" s="2" t="e">
        <f ca="1">_xll.BDH($C$3,"WORK_CAP_GROWTH","FQ3 2015","FQ3 2015","Currency=INR","Period=FQ","BEST_FPERIOD_OVERRIDE=FQ","FILING_STATUS=OR","EQY_CONSOLIDATED=Y","Sort=A","Dates=H","DateFormat=P","Fill=—","Direction=H","UseDPDF=Y")</f>
        <v>#NAME?</v>
      </c>
      <c r="AF11" s="2" t="e">
        <f ca="1">_xll.BDH($C$3,"ACCOUNTS_PAYABLE_GROWTH_1YR","FQ3 2015","FQ3 2015","Currency=INR","Period=FQ","BEST_FPERIOD_OVERRIDE=FQ","FILING_STATUS=OR","EQY_CONSOLIDATED=Y","Sort=A","Dates=H","DateFormat=P","Fill=—","Direction=H","UseDPDF=Y")</f>
        <v>#NAME?</v>
      </c>
      <c r="AG11" s="2" t="e">
        <f ca="1">_xll.BDH($C$3,"SHORT_TERM_DEBT_1_YEAR_GROWTH","FQ3 2015","FQ3 2015","Currency=INR","Period=FQ","BEST_FPERIOD_OVERRIDE=FQ","FILING_STATUS=OR","EQY_CONSOLIDATED=Y","Sort=A","Dates=H","DateFormat=P","Fill=—","Direction=H","UseDPDF=Y")</f>
        <v>#NAME?</v>
      </c>
      <c r="AH11" s="2" t="e">
        <f ca="1">_xll.BDH($C$3,"TOTAL_DEBT_1_YEAR_GROWTH","FQ3 2015","FQ3 2015","Currency=INR","Period=FQ","BEST_FPERIOD_OVERRIDE=FQ","FILING_STATUS=OR","EQY_CONSOLIDATED=Y","Sort=A","Dates=H","DateFormat=P","Fill=—","Direction=H","UseDPDF=Y")</f>
        <v>#NAME?</v>
      </c>
      <c r="AI11" s="2" t="e">
        <f ca="1">_xll.BDH($C$3,"TOTAL_EQUITY_1_YEAR_GROWTH","FQ3 2015","FQ3 2015","Currency=INR","Period=FQ","BEST_FPERIOD_OVERRIDE=FQ","FILING_STATUS=OR","EQY_CONSOLIDATED=Y","Sort=A","Dates=H","DateFormat=P","Fill=—","Direction=H","UseDPDF=Y")</f>
        <v>#NAME?</v>
      </c>
      <c r="AJ11" s="2" t="e">
        <f ca="1">_xll.BDH($C$3,"GROWTH_IN_CAP","FQ3 2015","FQ3 2015","Currency=INR","Period=FQ","BEST_FPERIOD_OVERRIDE=FQ","FILING_STATUS=OR","EQY_CONSOLIDATED=Y","Sort=A","Dates=H","DateFormat=P","Fill=—","Direction=H","UseDPDF=Y")</f>
        <v>#NAME?</v>
      </c>
      <c r="AK11" s="2" t="e">
        <f ca="1">_xll.BDH($C$3,"BVPS_GROWTH","FQ3 2015","FQ3 2015","Currency=INR","Period=FQ","BEST_FPERIOD_OVERRIDE=FQ","FILING_STATUS=OR","EQY_CONSOLIDATED=Y","Sort=A","Dates=H","DateFormat=P","Fill=—","Direction=H","UseDPDF=Y")</f>
        <v>#NAME?</v>
      </c>
      <c r="AL11" s="2" t="e">
        <f ca="1">_xll.BDH($C$3,"CASH_FLOW_GROWTH","FQ3 2015","FQ3 2015","Currency=INR","Period=FQ","BEST_FPERIOD_OVERRIDE=FQ","FILING_STATUS=OR","EQY_CONSOLIDATED=Y","Sort=A","Dates=H","DateFormat=P","Fill=—","Direction=H","UseDPDF=Y")</f>
        <v>#NAME?</v>
      </c>
      <c r="AM11" s="2" t="e">
        <f ca="1">_xll.BDH($C$3,"GEO_GROW_NET_SALES","FQ3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" s="2" t="e">
        <f ca="1">_xll.BDH($C$3,"GEO_GROW_EBITDA","FQ3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" s="2" t="e">
        <f ca="1">_xll.BDH($C$3,"GEO_GROW_OPER_INC","FQ3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" s="2" t="e">
        <f ca="1">_xll.BDH($C$3,"NET_INCOME_TO_COMMON_5_YR_GROWTH","FQ3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" s="2" t="e">
        <f ca="1">_xll.BDH($C$3,"5Y_GEO_GROWTH_DILUTED_EPS","FQ3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" s="2" t="e">
        <f ca="1">_xll.BDH($C$3,"GEO_GROW_DVD_PER_SH","FQ3 2015","FQ3 2015","Currency=INR","Period=FQ","BEST_FPERIOD_OVERRIDE=FQ","FILING_STATUS=OR","EQY_CONSOLIDATED=Y","Sort=A","Dates=H","DateFormat=P","Fill=—","Direction=H","UseDPDF=Y")</f>
        <v>#NAME?</v>
      </c>
      <c r="AS11" s="2" t="e">
        <f ca="1">_xll.BDH($C$3,"ACCOUNTS_RECEIVABLE_5_YR_GROWTH","FQ3 2015","FQ3 2015","Currency=INR","Period=FQ","BEST_FPERIOD_OVERRIDE=FQ","FILING_STATUS=OR","EQY_CONSOLIDATED=Y","Sort=A","Dates=H","DateFormat=P","Fill=—","Direction=H","UseDPDF=Y")</f>
        <v>#NAME?</v>
      </c>
      <c r="AT11" s="2" t="e">
        <f ca="1">_xll.BDH($C$3,"INVENTORY_5_YEAR_GROWTH","FQ3 2015","FQ3 2015","Currency=INR","Period=FQ","BEST_FPERIOD_OVERRIDE=FQ","FILING_STATUS=OR","EQY_CONSOLIDATED=Y","Sort=A","Dates=H","DateFormat=P","Fill=—","Direction=H","UseDPDF=Y")</f>
        <v>#NAME?</v>
      </c>
      <c r="AU11" s="2" t="e">
        <f ca="1">_xll.BDH($C$3,"NET_FIXED_ASSETS_5_YEAR_GROWTH","FQ3 2015","FQ3 2015","Currency=INR","Period=FQ","BEST_FPERIOD_OVERRIDE=FQ","FILING_STATUS=OR","EQY_CONSOLIDATED=Y","Sort=A","Dates=H","DateFormat=P","Fill=—","Direction=H","UseDPDF=Y")</f>
        <v>#NAME?</v>
      </c>
      <c r="AV11" s="2" t="e">
        <f ca="1">_xll.BDH($C$3,"GEO_GROW_TOT_ASSET","FQ3 2015","FQ3 2015","Currency=INR","Period=FQ","BEST_FPERIOD_OVERRIDE=FQ","FILING_STATUS=OR","EQY_CONSOLIDATED=Y","Sort=A","Dates=H","DateFormat=P","Fill=—","Direction=H","UseDPDF=Y")</f>
        <v>#NAME?</v>
      </c>
      <c r="AW11" s="2" t="e">
        <f ca="1">_xll.BDH($C$3,"MODIFIED_WORKING_CPTL_5YR_GRWTH","FQ3 2015","FQ3 2015","Currency=INR","Period=FQ","BEST_FPERIOD_OVERRIDE=FQ","FILING_STATUS=OR","EQY_CONSOLIDATED=Y","Sort=A","Dates=H","DateFormat=P","Fill=—","Direction=H","UseDPDF=Y")</f>
        <v>#NAME?</v>
      </c>
      <c r="AX11" s="2" t="e">
        <f ca="1">_xll.BDH($C$3,"WORKING_CAPITAL_5_YEAR_GROWTH","FQ3 2015","FQ3 2015","Currency=INR","Period=FQ","BEST_FPERIOD_OVERRIDE=FQ","FILING_STATUS=OR","EQY_CONSOLIDATED=Y","Sort=A","Dates=H","DateFormat=P","Fill=—","Direction=H","UseDPDF=Y")</f>
        <v>#NAME?</v>
      </c>
      <c r="AY11" s="2" t="e">
        <f ca="1">_xll.BDH($C$3,"ACCOUNTS_PAYABLE_5_YEAR_GROWTH","FQ3 2015","FQ3 2015","Currency=INR","Period=FQ","BEST_FPERIOD_OVERRIDE=FQ","FILING_STATUS=OR","EQY_CONSOLIDATED=Y","Sort=A","Dates=H","DateFormat=P","Fill=—","Direction=H","UseDPDF=Y")</f>
        <v>#NAME?</v>
      </c>
      <c r="AZ11" s="2" t="e">
        <f ca="1">_xll.BDH($C$3,"SHORT_TERM_DEBT_5_YEAR_GROWTH","FQ3 2015","FQ3 2015","Currency=INR","Period=FQ","BEST_FPERIOD_OVERRIDE=FQ","FILING_STATUS=OR","EQY_CONSOLIDATED=Y","Sort=A","Dates=H","DateFormat=P","Fill=—","Direction=H","UseDPDF=Y")</f>
        <v>#NAME?</v>
      </c>
      <c r="BA11" s="2" t="e">
        <f ca="1">_xll.BDH($C$3,"TOTAL_DEBT_5_YEAR_GROWTH","FQ3 2015","FQ3 2015","Currency=INR","Period=FQ","BEST_FPERIOD_OVERRIDE=FQ","FILING_STATUS=OR","EQY_CONSOLIDATED=Y","Sort=A","Dates=H","DateFormat=P","Fill=—","Direction=H","UseDPDF=Y")</f>
        <v>#NAME?</v>
      </c>
      <c r="BB11" s="2" t="e">
        <f ca="1">_xll.BDH($C$3,"GEO_GROW_TOT_SHRHLDR_EQY","FQ3 2015","FQ3 2015","Currency=INR","Period=FQ","BEST_FPERIOD_OVERRIDE=FQ","FILING_STATUS=OR","EQY_CONSOLIDATED=Y","Sort=A","Dates=H","DateFormat=P","Fill=—","Direction=H","UseDPDF=Y")</f>
        <v>#NAME?</v>
      </c>
      <c r="BC11" s="2" t="e">
        <f ca="1">_xll.BDH($C$3,"TOTAL_CAPITAL_5_YEAR_GROWTH","FQ3 2015","FQ3 2015","Currency=INR","Period=FQ","BEST_FPERIOD_OVERRIDE=FQ","FILING_STATUS=OR","EQY_CONSOLIDATED=Y","Sort=A","Dates=H","DateFormat=P","Fill=—","Direction=H","UseDPDF=Y")</f>
        <v>#NAME?</v>
      </c>
      <c r="BD11" s="2" t="e">
        <f ca="1">_xll.BDH($C$3,"GEO_GROW_BOOK_VAL","FQ3 2015","FQ3 2015","Currency=INR","Period=FQ","BEST_FPERIOD_OVERRIDE=FQ","FILING_STATUS=OR","EQY_CONSOLIDATED=Y","Sort=A","Dates=H","DateFormat=P","Fill=—","Direction=H","UseDPDF=Y")</f>
        <v>#NAME?</v>
      </c>
      <c r="BE11" s="2" t="e">
        <f ca="1">_xll.BDH($C$3,"GEO_GROW_CASH_OPER_ACT","FQ3 2015","FQ3 2015","Currency=INR","Period=FQ","BEST_FPERIOD_OVERRIDE=FQ","FILING_STATUS=OR","EQY_CONSOLIDATED=Y","Sort=A","Dates=H","DateFormat=P","Fill=—","Direction=H","UseDPDF=Y")</f>
        <v>#NAME?</v>
      </c>
      <c r="BF11" s="2" t="e">
        <f ca="1">_xll.BDH($C$3,"REVENUE_SEQUENTIAL_GROWTH","FQ3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" s="2" t="e">
        <f ca="1">_xll.BDH($C$3,"EBITDA_SEQUENTIAL_GROWTH","FQ3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" s="2" t="e">
        <f ca="1">_xll.BDH($C$3,"OPERATING_INCOME_SEQ_GROWTH","FQ3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" s="2" t="e">
        <f ca="1">_xll.BDH($C$3,"NET_INCOME_TO_COMMON_SEQ_GROWTH","FQ3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" s="2" t="e">
        <f ca="1">_xll.BDH($C$3,"EPS_DILUTED_SEQUENTIAL_GROWTH","FQ3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" s="2" t="e">
        <f ca="1">_xll.BDH($C$3,"DPS_SEQUENTIAL_GROWTH","FQ3 2015","FQ3 2015","Currency=INR","Period=FQ","BEST_FPERIOD_OVERRIDE=FQ","FILING_STATUS=OR","EQY_CONSOLIDATED=Y","Sort=A","Dates=H","DateFormat=P","Fill=—","Direction=H","UseDPDF=Y")</f>
        <v>#NAME?</v>
      </c>
      <c r="BL11" s="2" t="e">
        <f ca="1">_xll.BDH($C$3,"ACCOUNTS_RECEIVABLE_SEQ_GROWTH","FQ3 2015","FQ3 2015","Currency=INR","Period=FQ","BEST_FPERIOD_OVERRIDE=FQ","FILING_STATUS=OR","EQY_CONSOLIDATED=Y","Sort=A","Dates=H","DateFormat=P","Fill=—","Direction=H","UseDPDF=Y")</f>
        <v>#NAME?</v>
      </c>
      <c r="BM11" s="2" t="e">
        <f ca="1">_xll.BDH($C$3,"INVENTORY_SEQUENTIAL_GROWTH","FQ3 2015","FQ3 2015","Currency=INR","Period=FQ","BEST_FPERIOD_OVERRIDE=FQ","FILING_STATUS=OR","EQY_CONSOLIDATED=Y","Sort=A","Dates=H","DateFormat=P","Fill=—","Direction=H","UseDPDF=Y")</f>
        <v>#NAME?</v>
      </c>
      <c r="BN11" s="2" t="e">
        <f ca="1">_xll.BDH($C$3,"FIXED_ASSETS_SEQUENTIAL_GROWTH","FQ3 2015","FQ3 2015","Currency=INR","Period=FQ","BEST_FPERIOD_OVERRIDE=FQ","FILING_STATUS=OR","EQY_CONSOLIDATED=Y","Sort=A","Dates=H","DateFormat=P","Fill=—","Direction=H","UseDPDF=Y")</f>
        <v>#NAME?</v>
      </c>
      <c r="BO11" s="2" t="e">
        <f ca="1">_xll.BDH($C$3,"TOTAL_ASSETS_SEQUENTIAL_GROWTH","FQ3 2015","FQ3 2015","Currency=INR","Period=FQ","BEST_FPERIOD_OVERRIDE=FQ","FILING_STATUS=OR","EQY_CONSOLIDATED=Y","Sort=A","Dates=H","DateFormat=P","Fill=—","Direction=H","UseDPDF=Y")</f>
        <v>#NAME?</v>
      </c>
      <c r="BP11" s="2" t="e">
        <f ca="1">_xll.BDH($C$3,"MODIFIED_WORKING_CPTL_SEQ_GRWTH","FQ3 2015","FQ3 2015","Currency=INR","Period=FQ","BEST_FPERIOD_OVERRIDE=FQ","FILING_STATUS=OR","EQY_CONSOLIDATED=Y","Sort=A","Dates=H","DateFormat=P","Fill=—","Direction=H","UseDPDF=Y")</f>
        <v>#NAME?</v>
      </c>
      <c r="BQ11" s="2" t="e">
        <f ca="1">_xll.BDH($C$3,"WORKING_CAPITAL_SEQ_GROWTH","FQ3 2015","FQ3 2015","Currency=INR","Period=FQ","BEST_FPERIOD_OVERRIDE=FQ","FILING_STATUS=OR","EQY_CONSOLIDATED=Y","Sort=A","Dates=H","DateFormat=P","Fill=—","Direction=H","UseDPDF=Y")</f>
        <v>#NAME?</v>
      </c>
      <c r="BR11" s="2" t="e">
        <f ca="1">_xll.BDH($C$3,"ACCOUNTS_PAYABLE_SEQ_GROWTH","FQ3 2015","FQ3 2015","Currency=INR","Period=FQ","BEST_FPERIOD_OVERRIDE=FQ","FILING_STATUS=OR","EQY_CONSOLIDATED=Y","Sort=A","Dates=H","DateFormat=P","Fill=—","Direction=H","UseDPDF=Y")</f>
        <v>#NAME?</v>
      </c>
      <c r="BS11" s="2" t="e">
        <f ca="1">_xll.BDH($C$3,"ST_DEBT_SEQUENTIAL_GROWTH","FQ3 2015","FQ3 2015","Currency=INR","Period=FQ","BEST_FPERIOD_OVERRIDE=FQ","FILING_STATUS=OR","EQY_CONSOLIDATED=Y","Sort=A","Dates=H","DateFormat=P","Fill=—","Direction=H","UseDPDF=Y")</f>
        <v>#NAME?</v>
      </c>
      <c r="BT11" s="2" t="e">
        <f ca="1">_xll.BDH($C$3,"TOTAL_DEBT_SEQUENTIAL_GROWTH","FQ3 2015","FQ3 2015","Currency=INR","Period=FQ","BEST_FPERIOD_OVERRIDE=FQ","FILING_STATUS=OR","EQY_CONSOLIDATED=Y","Sort=A","Dates=H","DateFormat=P","Fill=—","Direction=H","UseDPDF=Y")</f>
        <v>#NAME?</v>
      </c>
      <c r="BU11" s="2" t="e">
        <f ca="1">_xll.BDH($C$3,"TOTAL_EQUITY_SEQUENTIAL_GROWTH","FQ3 2015","FQ3 2015","Currency=INR","Period=FQ","BEST_FPERIOD_OVERRIDE=FQ","FILING_STATUS=OR","EQY_CONSOLIDATED=Y","Sort=A","Dates=H","DateFormat=P","Fill=—","Direction=H","UseDPDF=Y")</f>
        <v>#NAME?</v>
      </c>
      <c r="BV11" s="2" t="e">
        <f ca="1">_xll.BDH($C$3,"TOTAL_CAPITAL_SEQUENTIAL_GROWTH","FQ3 2015","FQ3 2015","Currency=INR","Period=FQ","BEST_FPERIOD_OVERRIDE=FQ","FILING_STATUS=OR","EQY_CONSOLIDATED=Y","Sort=A","Dates=H","DateFormat=P","Fill=—","Direction=H","UseDPDF=Y")</f>
        <v>#NAME?</v>
      </c>
      <c r="BW11" s="2" t="e">
        <f ca="1">_xll.BDH($C$3,"BPS_SEQUENTIAL_GROWTH","FQ3 2015","FQ3 2015","Currency=INR","Period=FQ","BEST_FPERIOD_OVERRIDE=FQ","FILING_STATUS=OR","EQY_CONSOLIDATED=Y","Sort=A","Dates=H","DateFormat=P","Fill=—","Direction=H","UseDPDF=Y")</f>
        <v>#NAME?</v>
      </c>
      <c r="BX11" s="2" t="e">
        <f ca="1">_xll.BDH($C$3,"CFO_SEQUENTIAL_GROWTH","FQ3 2015","FQ3 2015","Currency=INR","Period=FQ","BEST_FPERIOD_OVERRIDE=FQ","FILING_STATUS=OR","EQY_CONSOLIDATED=Y","Sort=A","Dates=H","DateFormat=P","Fill=—","Direction=H","UseDPDF=Y")</f>
        <v>#NAME?</v>
      </c>
      <c r="BY11" s="3" t="e">
        <f ca="1">_xll.BDH($C$3,"SHORT_AND_LONG_TERM_DEBT","FQ3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" s="3" t="e">
        <f ca="1">_xll.BDH($C$3,"BS_ST_BORROW","FQ3 2015","FQ3 2015","Currency=INR","Period=FQ","BEST_FPERIOD_OVERRIDE=FQ","FILING_STATUS=OR","EQY_CONSOLIDATED=Y","SCALING_FORMAT=MLN","Sort=A","Dates=H","DateFormat=P","Fill=—","Direction=H","UseDPDF=Y")</f>
        <v>#NAME?</v>
      </c>
      <c r="CA11" s="3" t="e">
        <f ca="1">_xll.BDH($C$3,"BS_LT_BORROW","FQ3 2015","FQ3 2015","Currency=INR","Period=FQ","BEST_FPERIOD_OVERRIDE=FQ","FILING_STATUS=OR","EQY_CONSOLIDATED=Y","SCALING_FORMAT=MLN","Sort=A","Dates=H","DateFormat=P","Fill=—","Direction=H","UseDPDF=Y")</f>
        <v>#NAME?</v>
      </c>
      <c r="CB11" s="2" t="e">
        <f ca="1">_xll.BDH($C$3,"TOT_DEBT_TO_EBITDA","FQ3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" s="2" t="e">
        <f ca="1">_xll.BDH($C$3,"NET_DEBT_TO_EBITDA","FQ3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" s="2" t="e">
        <f ca="1">_xll.BDH($C$3,"TOTAL_DEBT_TO_EBIT","FQ3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" s="2" t="e">
        <f ca="1">_xll.BDH($C$3,"NET_DEBT_TO_EBIT","FQ3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" s="2" t="e">
        <f ca="1">_xll.BDH($C$3,"EBITDA_TO_INTEREST_EXPN","FQ3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" s="2" t="e">
        <f ca="1">_xll.BDH($C$3,"COM_EQY_TO_TOT_ASSET","FQ3 2015","FQ3 2015","Currency=INR","Period=FQ","BEST_FPERIOD_OVERRIDE=FQ","FILING_STATUS=OR","EQY_CONSOLIDATED=Y","Sort=A","Dates=H","DateFormat=P","Fill=—","Direction=H","UseDPDF=Y")</f>
        <v>#NAME?</v>
      </c>
      <c r="CH11" s="2" t="e">
        <f ca="1">_xll.BDH($C$3,"LT_DEBT_TO_TOT_EQY","FQ3 2015","FQ3 2015","Currency=INR","Period=FQ","BEST_FPERIOD_OVERRIDE=FQ","FILING_STATUS=OR","EQY_CONSOLIDATED=Y","Sort=A","Dates=H","DateFormat=P","Fill=—","Direction=H","UseDPDF=Y")</f>
        <v>#NAME?</v>
      </c>
      <c r="CI11" s="2" t="e">
        <f ca="1">_xll.BDH($C$3,"LT_DEBT_TO_TOT_CAP","FQ3 2015","FQ3 2015","Currency=INR","Period=FQ","BEST_FPERIOD_OVERRIDE=FQ","FILING_STATUS=OR","EQY_CONSOLIDATED=Y","Sort=A","Dates=H","DateFormat=P","Fill=—","Direction=H","UseDPDF=Y")</f>
        <v>#NAME?</v>
      </c>
      <c r="CJ11" s="2" t="e">
        <f ca="1">_xll.BDH($C$3,"LT_DEBT_TO_TOT_ASSET","FQ3 2015","FQ3 2015","Currency=INR","Period=FQ","BEST_FPERIOD_OVERRIDE=FQ","FILING_STATUS=OR","EQY_CONSOLIDATED=Y","Sort=A","Dates=H","DateFormat=P","Fill=—","Direction=H","UseDPDF=Y")</f>
        <v>#NAME?</v>
      </c>
      <c r="CK11" s="2" t="e">
        <f ca="1">_xll.BDH($C$3,"TOT_DEBT_TO_TOT_EQY","FQ3 2015","FQ3 2015","Currency=INR","Period=FQ","BEST_FPERIOD_OVERRIDE=FQ","FILING_STATUS=OR","EQY_CONSOLIDATED=Y","Sort=A","Dates=H","DateFormat=P","Fill=—","Direction=H","UseDPDF=Y")</f>
        <v>#NAME?</v>
      </c>
      <c r="CL11" s="2" t="e">
        <f ca="1">_xll.BDH($C$3,"TOT_DEBT_TO_TOT_CAP","FQ3 2015","FQ3 2015","Currency=INR","Period=FQ","BEST_FPERIOD_OVERRIDE=FQ","FILING_STATUS=OR","EQY_CONSOLIDATED=Y","Sort=A","Dates=H","DateFormat=P","Fill=—","Direction=H","UseDPDF=Y")</f>
        <v>#NAME?</v>
      </c>
      <c r="CM11" s="2" t="e">
        <f ca="1">_xll.BDH($C$3,"TOT_DEBT_TO_TOT_ASSET","FQ3 2015","FQ3 2015","Currency=INR","Period=FQ","BEST_FPERIOD_OVERRIDE=FQ","FILING_STATUS=OR","EQY_CONSOLIDATED=Y","Sort=A","Dates=H","DateFormat=P","Fill=—","Direction=H","UseDPDF=Y")</f>
        <v>#NAME?</v>
      </c>
      <c r="CN11" s="2" t="e">
        <f ca="1">_xll.BDH($C$3,"NET_DEBT_TO_SHRHLDR_EQTY","FQ3 2015","FQ3 2015","Currency=INR","Period=FQ","BEST_FPERIOD_OVERRIDE=FQ","FILING_STATUS=OR","EQY_CONSOLIDATED=Y","Sort=A","Dates=H","DateFormat=P","Fill=—","Direction=H","UseDPDF=Y")</f>
        <v>#NAME?</v>
      </c>
      <c r="CO11" s="2" t="e">
        <f ca="1">_xll.BDH($C$3,"NET_DEBT_%_CAPITAL","FQ3 2015","FQ3 2015","Currency=INR","Period=FQ","BEST_FPERIOD_OVERRIDE=FQ","FILING_STATUS=OR","EQY_CONSOLIDATED=Y","Sort=A","Dates=H","DateFormat=P","Fill=—","Direction=H","UseDPDF=Y")</f>
        <v>#NAME?</v>
      </c>
      <c r="CP11" s="3" t="e">
        <f ca="1">_xll.BDH($C$3,"EBITDA","FQ3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" s="3" t="e">
        <f ca="1">_xll.BDH($C$3,"EBITDA_AFTER_CAPEX","FQ3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" s="3" t="e">
        <f ca="1">_xll.BDH($C$3,"IS_OPER_INC","FQ3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" s="2" t="e">
        <f ca="1">_xll.BDH($C$3,"CASH_RATIO","FQ3 2015","FQ3 2015","Currency=INR","Period=FQ","BEST_FPERIOD_OVERRIDE=FQ","FILING_STATUS=OR","EQY_CONSOLIDATED=Y","Sort=A","Dates=H","DateFormat=P","Fill=—","Direction=H","UseDPDF=Y")</f>
        <v>#NAME?</v>
      </c>
      <c r="CT11" s="2" t="e">
        <f ca="1">_xll.BDH($C$3,"CUR_RATIO","FQ3 2015","FQ3 2015","Currency=INR","Period=FQ","BEST_FPERIOD_OVERRIDE=FQ","FILING_STATUS=OR","EQY_CONSOLIDATED=Y","Sort=A","Dates=H","DateFormat=P","Fill=—","Direction=H","UseDPDF=Y")</f>
        <v>#NAME?</v>
      </c>
      <c r="CU11" s="2" t="e">
        <f ca="1">_xll.BDH($C$3,"QUICK_RATIO","FQ3 2015","FQ3 2015","Currency=INR","Period=FQ","BEST_FPERIOD_OVERRIDE=FQ","FILING_STATUS=OR","EQY_CONSOLIDATED=Y","Sort=A","Dates=H","DateFormat=P","Fill=—","Direction=H","UseDPDF=Y")</f>
        <v>#NAME?</v>
      </c>
      <c r="CV11" s="2" t="e">
        <f ca="1">_xll.BDH($C$3,"ALTMAN_Z_SCORE","FQ3 2015","FQ3 2015","Currency=INR","Period=FQ","BEST_FPERIOD_OVERRIDE=FQ","FILING_STATUS=OR","EQY_CONSOLIDATED=Y","Sort=A","Dates=H","DateFormat=P","Fill=—","Direction=H","UseDPDF=Y")</f>
        <v>#NAME?</v>
      </c>
      <c r="CW11" s="4" t="e">
        <f ca="1">_xll.BDH($C$3,"ACCT_RCV_TURN","FQ3 2015","FQ3 2015","Currency=INR","Period=FQ","BEST_FPERIOD_OVERRIDE=FQ","FILING_STATUS=OR","EQY_CONSOLIDATED=Y","FA_ADJUSTED=GAAP","Sort=A","Dates=H","DateFormat=P","Fill=—","Direction=H","UseDPDF=Y")</f>
        <v>#NAME?</v>
      </c>
      <c r="CX11" s="2" t="e">
        <f ca="1">_xll.BDH($C$3,"ACCT_RCV_DAYS","FQ3 2015","FQ3 2015","Currency=INR","Period=FQ","BEST_FPERIOD_OVERRIDE=FQ","FILING_STATUS=OR","EQY_CONSOLIDATED=Y","FA_ADJUSTED=GAAP","Sort=A","Dates=H","DateFormat=P","Fill=—","Direction=H","UseDPDF=Y")</f>
        <v>#NAME?</v>
      </c>
      <c r="CY11" s="4" t="e">
        <f ca="1">_xll.BDH($C$3,"INVENT_TURN","FQ3 2015","FQ3 2015","Currency=INR","Period=FQ","BEST_FPERIOD_OVERRIDE=FQ","FILING_STATUS=OR","EQY_CONSOLIDATED=Y","FA_ADJUSTED=GAAP","Sort=A","Dates=H","DateFormat=P","Fill=—","Direction=H","UseDPDF=Y")</f>
        <v>#NAME?</v>
      </c>
      <c r="CZ11" s="2" t="e">
        <f ca="1">_xll.BDH($C$3,"INVENT_DAYS","FQ3 2015","FQ3 2015","Currency=INR","Period=FQ","BEST_FPERIOD_OVERRIDE=FQ","FILING_STATUS=OR","EQY_CONSOLIDATED=Y","FA_ADJUSTED=GAAP","Sort=A","Dates=H","DateFormat=P","Fill=—","Direction=H","UseDPDF=Y")</f>
        <v>#NAME?</v>
      </c>
      <c r="DA11" s="4" t="e">
        <f ca="1">_xll.BDH($C$3,"ACCOUNTS_PAYABLE_TURNOVER","FQ3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" s="2" t="e">
        <f ca="1">_xll.BDH($C$3,"ACCOUNTS_PAYABLE_TURNOVER_DAYS","FQ3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" s="4" t="e">
        <f ca="1">_xll.BDH($C$3,"CASH_CONVERSION_CYCLE","FQ3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" s="4" t="e">
        <f ca="1">_xll.BDH($C$3,"INV_TO_CASH_DAYS","FQ3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" s="5" t="e">
        <f ca="1">_xll.BDH($C$3,"BS_INVENTORIES","FQ3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" s="3" t="e">
        <f ca="1">_xll.BDH($C$3,"INVTRY_RAW_MATERIALS","FQ3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" s="3" t="e">
        <f ca="1">_xll.BDH($C$3,"INVTRY_IN_PROGRESS","FQ3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" s="3" t="e">
        <f ca="1">_xll.BDH($C$3,"INVTRY_FINISHED_GOODS","FQ3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" s="3" t="e">
        <f ca="1">_xll.BDH($C$3,"BS_OTHER_INV","FQ3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2" spans="1:113" x14ac:dyDescent="0.3">
      <c r="A12" s="6"/>
      <c r="B12" s="6"/>
      <c r="C12" s="6"/>
      <c r="D12" s="6"/>
      <c r="E12" t="s">
        <v>81</v>
      </c>
      <c r="F12" t="e">
        <f ca="1">_xll.BDH($C$3,"RETURN_COM_EQY","FQ4 2015","FQ4 2015","Currency=INR","Period=FQ","BEST_FPERIOD_OVERRIDE=FQ","FILING_STATUS=OR","EQY_CONSOLIDATED=Y","FA_ADJUSTED=GAAP","Sort=A","Dates=H","DateFormat=P","Fill=—","Direction=H","UseDPDF=Y")</f>
        <v>#NAME?</v>
      </c>
      <c r="G12" t="e">
        <f ca="1">_xll.BDH($C$3,"RETURN_ON_ASSET","FQ4 2015","FQ4 2015","Currency=INR","Period=FQ","BEST_FPERIOD_OVERRIDE=FQ","FILING_STATUS=OR","EQY_CONSOLIDATED=Y","FA_ADJUSTED=GAAP","Sort=A","Dates=H","DateFormat=P","Fill=—","Direction=H","UseDPDF=Y")</f>
        <v>#NAME?</v>
      </c>
      <c r="H12" t="e">
        <f ca="1">_xll.BDH($C$3,"RETURN_ON_CAP","FQ4 2015","FQ4 2015","Currency=INR","Period=FQ","BEST_FPERIOD_OVERRIDE=FQ","FILING_STATUS=OR","EQY_CONSOLIDATED=Y","FA_ADJUSTED=GAAP","Sort=A","Dates=H","DateFormat=P","Fill=—","Direction=H","UseDPDF=Y")</f>
        <v>#NAME?</v>
      </c>
      <c r="I12" t="e">
        <f ca="1">_xll.BDH($C$3,"RETURN_ON_INV_CAPITAL","FQ4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2" t="e">
        <f ca="1">_xll.BDH($C$3,"EBITDA_TO_REVENUE","FQ4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2" t="e">
        <f ca="1">_xll.BDH($C$3,"OPER_MARGIN","FQ4 2015","FQ4 2015","Currency=INR","Period=FQ","BEST_FPERIOD_OVERRIDE=FQ","FILING_STATUS=OR","EQY_CONSOLIDATED=Y","FA_ADJUSTED=GAAP","Sort=A","Dates=H","DateFormat=P","Fill=—","Direction=H","UseDPDF=Y")</f>
        <v>#NAME?</v>
      </c>
      <c r="L12" t="e">
        <f ca="1">_xll.BDH($C$3,"INCREMENTAL_OPERATING_MARGIN","FQ4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2" t="e">
        <f ca="1">_xll.BDH($C$3,"PRETAX_INC_TO_NET_SALES","FQ4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2" t="e">
        <f ca="1">_xll.BDH($C$3,"INC_BEF_XO_ITEMS_TO_NET_SALES","FQ4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2" t="e">
        <f ca="1">_xll.BDH($C$3,"PROF_MARGIN","FQ4 2015","FQ4 2015","Currency=INR","Period=FQ","BEST_FPERIOD_OVERRIDE=FQ","FILING_STATUS=OR","EQY_CONSOLIDATED=Y","FA_ADJUSTED=GAAP","Sort=A","Dates=H","DateFormat=P","Fill=—","Direction=H","UseDPDF=Y")</f>
        <v>#NAME?</v>
      </c>
      <c r="P12" t="e">
        <f ca="1">_xll.BDH($C$3,"NET_INCOME_TO_COMMON_MARGIN","FQ4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2" t="e">
        <f ca="1">_xll.BDH($C$3,"EFF_TAX_RATE","FQ4 2015","FQ4 2015","Currency=INR","Period=FQ","BEST_FPERIOD_OVERRIDE=FQ","FILING_STATUS=OR","EQY_CONSOLIDATED=Y","FA_ADJUSTED=GAAP","Sort=A","Dates=H","DateFormat=P","Fill=—","Direction=H","UseDPDF=Y")</f>
        <v>#NAME?</v>
      </c>
      <c r="R12" t="e">
        <f ca="1">_xll.BDH($C$3,"DVD_PAYOUT_RATIO","FQ4 2015","FQ4 2015","Currency=INR","Period=FQ","BEST_FPERIOD_OVERRIDE=FQ","FILING_STATUS=OR","EQY_CONSOLIDATED=Y","FA_ADJUSTED=GAAP","Sort=A","Dates=H","DateFormat=P","Fill=—","Direction=H","UseDPDF=Y")</f>
        <v>#NAME?</v>
      </c>
      <c r="S12" t="e">
        <f ca="1">_xll.BDH($C$3,"SUSTAIN_GROWTH_RT","FQ4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2" s="2" t="e">
        <f ca="1">_xll.BDH($C$3,"SALES_GROWTH","FQ4 2015","FQ4 2015","Currency=INR","Period=FQ","BEST_FPERIOD_OVERRIDE=FQ","FILING_STATUS=OR","EQY_CONSOLIDATED=Y","FA_ADJUSTED=GAAP","Sort=A","Dates=H","DateFormat=P","Fill=—","Direction=H","UseDPDF=Y")</f>
        <v>#NAME?</v>
      </c>
      <c r="U12" s="2" t="e">
        <f ca="1">_xll.BDH($C$3,"EBITDA_GROWTH","FQ4 2015","FQ4 2015","Currency=INR","Period=FQ","BEST_FPERIOD_OVERRIDE=FQ","FILING_STATUS=OR","EQY_CONSOLIDATED=Y","FA_ADJUSTED=GAAP","Sort=A","Dates=H","DateFormat=P","Fill=—","Direction=H","UseDPDF=Y")</f>
        <v>#NAME?</v>
      </c>
      <c r="V12" s="2" t="e">
        <f ca="1">_xll.BDH($C$3,"OPER_INC_GROWTH","FQ4 2015","FQ4 2015","Currency=INR","Period=FQ","BEST_FPERIOD_OVERRIDE=FQ","FILING_STATUS=OR","EQY_CONSOLIDATED=Y","FA_ADJUSTED=GAAP","Sort=A","Dates=H","DateFormat=P","Fill=—","Direction=H","UseDPDF=Y")</f>
        <v>#NAME?</v>
      </c>
      <c r="W12" s="2" t="e">
        <f ca="1">_xll.BDH($C$3,"EARN_FOR_COM_GROWTH","FQ4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2" s="2" t="e">
        <f ca="1">_xll.BDH($C$3,"DILUTED_EPS_AFT_XO_ITEMS_GROWTH","FQ4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2" s="2" t="e">
        <f ca="1">_xll.BDH($C$3,"DIVIDEND_PER_SHARE_1_YEAR_GROWTH","FQ4 2015","FQ4 2015","Currency=INR","Period=FQ","BEST_FPERIOD_OVERRIDE=FQ","FILING_STATUS=OR","EQY_CONSOLIDATED=Y","Sort=A","Dates=H","DateFormat=P","Fill=—","Direction=H","UseDPDF=Y")</f>
        <v>#NAME?</v>
      </c>
      <c r="Z12" s="2" t="e">
        <f ca="1">_xll.BDH($C$3,"ACCOUNTS_RECEIVABLE_GROWTH","FQ4 2015","FQ4 2015","Currency=INR","Period=FQ","BEST_FPERIOD_OVERRIDE=FQ","FILING_STATUS=OR","EQY_CONSOLIDATED=Y","Sort=A","Dates=H","DateFormat=P","Fill=—","Direction=H","UseDPDF=Y")</f>
        <v>#NAME?</v>
      </c>
      <c r="AA12" s="2" t="e">
        <f ca="1">_xll.BDH($C$3,"INVENTORY_GROWTH","FQ4 2015","FQ4 2015","Currency=INR","Period=FQ","BEST_FPERIOD_OVERRIDE=FQ","FILING_STATUS=OR","EQY_CONSOLIDATED=Y","Sort=A","Dates=H","DateFormat=P","Fill=—","Direction=H","UseDPDF=Y")</f>
        <v>#NAME?</v>
      </c>
      <c r="AB12" s="2" t="e">
        <f ca="1">_xll.BDH($C$3,"NET_FIXED_ASSETS_1_YEAR_GROWTH","FQ4 2015","FQ4 2015","Currency=INR","Period=FQ","BEST_FPERIOD_OVERRIDE=FQ","FILING_STATUS=OR","EQY_CONSOLIDATED=Y","Sort=A","Dates=H","DateFormat=P","Fill=—","Direction=H","UseDPDF=Y")</f>
        <v>#NAME?</v>
      </c>
      <c r="AC12" s="2" t="e">
        <f ca="1">_xll.BDH($C$3,"ASSET_GROWTH","FQ4 2015","FQ4 2015","Currency=INR","Period=FQ","BEST_FPERIOD_OVERRIDE=FQ","FILING_STATUS=OR","EQY_CONSOLIDATED=Y","Sort=A","Dates=H","DateFormat=P","Fill=—","Direction=H","UseDPDF=Y")</f>
        <v>#NAME?</v>
      </c>
      <c r="AD12" s="2" t="e">
        <f ca="1">_xll.BDH($C$3,"MODIFIED_WORK_CAP_GROWTH","FQ4 2015","FQ4 2015","Currency=INR","Period=FQ","BEST_FPERIOD_OVERRIDE=FQ","FILING_STATUS=OR","EQY_CONSOLIDATED=Y","Sort=A","Dates=H","DateFormat=P","Fill=—","Direction=H","UseDPDF=Y")</f>
        <v>#NAME?</v>
      </c>
      <c r="AE12" s="2" t="e">
        <f ca="1">_xll.BDH($C$3,"WORK_CAP_GROWTH","FQ4 2015","FQ4 2015","Currency=INR","Period=FQ","BEST_FPERIOD_OVERRIDE=FQ","FILING_STATUS=OR","EQY_CONSOLIDATED=Y","Sort=A","Dates=H","DateFormat=P","Fill=—","Direction=H","UseDPDF=Y")</f>
        <v>#NAME?</v>
      </c>
      <c r="AF12" s="2" t="e">
        <f ca="1">_xll.BDH($C$3,"ACCOUNTS_PAYABLE_GROWTH_1YR","FQ4 2015","FQ4 2015","Currency=INR","Period=FQ","BEST_FPERIOD_OVERRIDE=FQ","FILING_STATUS=OR","EQY_CONSOLIDATED=Y","Sort=A","Dates=H","DateFormat=P","Fill=—","Direction=H","UseDPDF=Y")</f>
        <v>#NAME?</v>
      </c>
      <c r="AG12" s="2" t="e">
        <f ca="1">_xll.BDH($C$3,"SHORT_TERM_DEBT_1_YEAR_GROWTH","FQ4 2015","FQ4 2015","Currency=INR","Period=FQ","BEST_FPERIOD_OVERRIDE=FQ","FILING_STATUS=OR","EQY_CONSOLIDATED=Y","Sort=A","Dates=H","DateFormat=P","Fill=—","Direction=H","UseDPDF=Y")</f>
        <v>#NAME?</v>
      </c>
      <c r="AH12" s="2" t="e">
        <f ca="1">_xll.BDH($C$3,"TOTAL_DEBT_1_YEAR_GROWTH","FQ4 2015","FQ4 2015","Currency=INR","Period=FQ","BEST_FPERIOD_OVERRIDE=FQ","FILING_STATUS=OR","EQY_CONSOLIDATED=Y","Sort=A","Dates=H","DateFormat=P","Fill=—","Direction=H","UseDPDF=Y")</f>
        <v>#NAME?</v>
      </c>
      <c r="AI12" s="2" t="e">
        <f ca="1">_xll.BDH($C$3,"TOTAL_EQUITY_1_YEAR_GROWTH","FQ4 2015","FQ4 2015","Currency=INR","Period=FQ","BEST_FPERIOD_OVERRIDE=FQ","FILING_STATUS=OR","EQY_CONSOLIDATED=Y","Sort=A","Dates=H","DateFormat=P","Fill=—","Direction=H","UseDPDF=Y")</f>
        <v>#NAME?</v>
      </c>
      <c r="AJ12" s="2" t="e">
        <f ca="1">_xll.BDH($C$3,"GROWTH_IN_CAP","FQ4 2015","FQ4 2015","Currency=INR","Period=FQ","BEST_FPERIOD_OVERRIDE=FQ","FILING_STATUS=OR","EQY_CONSOLIDATED=Y","Sort=A","Dates=H","DateFormat=P","Fill=—","Direction=H","UseDPDF=Y")</f>
        <v>#NAME?</v>
      </c>
      <c r="AK12" s="2" t="e">
        <f ca="1">_xll.BDH($C$3,"BVPS_GROWTH","FQ4 2015","FQ4 2015","Currency=INR","Period=FQ","BEST_FPERIOD_OVERRIDE=FQ","FILING_STATUS=OR","EQY_CONSOLIDATED=Y","Sort=A","Dates=H","DateFormat=P","Fill=—","Direction=H","UseDPDF=Y")</f>
        <v>#NAME?</v>
      </c>
      <c r="AL12" s="2" t="e">
        <f ca="1">_xll.BDH($C$3,"CASH_FLOW_GROWTH","FQ4 2015","FQ4 2015","Currency=INR","Period=FQ","BEST_FPERIOD_OVERRIDE=FQ","FILING_STATUS=OR","EQY_CONSOLIDATED=Y","Sort=A","Dates=H","DateFormat=P","Fill=—","Direction=H","UseDPDF=Y")</f>
        <v>#NAME?</v>
      </c>
      <c r="AM12" s="2" t="e">
        <f ca="1">_xll.BDH($C$3,"GEO_GROW_NET_SALES","FQ4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2" s="2" t="e">
        <f ca="1">_xll.BDH($C$3,"GEO_GROW_EBITDA","FQ4 2015","FQ4 2015","Currency=INR","Period=FQ","BEST_FPERIOD_OVERRIDE=FQ","FILING_STATUS=OR","EQY_CONSOLIDATED=Y","FA_ADJUSTED=GAAP","Sort=A","Dates=H","DateFormat=P","Fill=—","Direction=H","UseDPDF=Y")</f>
        <v>#NAME?</v>
      </c>
      <c r="AO12" s="2" t="e">
        <f ca="1">_xll.BDH($C$3,"GEO_GROW_OPER_INC","FQ4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2" s="2" t="e">
        <f ca="1">_xll.BDH($C$3,"NET_INCOME_TO_COMMON_5_YR_GROWTH","FQ4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2" s="2" t="e">
        <f ca="1">_xll.BDH($C$3,"5Y_GEO_GROWTH_DILUTED_EPS","FQ4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2" s="2" t="e">
        <f ca="1">_xll.BDH($C$3,"GEO_GROW_DVD_PER_SH","FQ4 2015","FQ4 2015","Currency=INR","Period=FQ","BEST_FPERIOD_OVERRIDE=FQ","FILING_STATUS=OR","EQY_CONSOLIDATED=Y","Sort=A","Dates=H","DateFormat=P","Fill=—","Direction=H","UseDPDF=Y")</f>
        <v>#NAME?</v>
      </c>
      <c r="AS12" s="2" t="e">
        <f ca="1">_xll.BDH($C$3,"ACCOUNTS_RECEIVABLE_5_YR_GROWTH","FQ4 2015","FQ4 2015","Currency=INR","Period=FQ","BEST_FPERIOD_OVERRIDE=FQ","FILING_STATUS=OR","EQY_CONSOLIDATED=Y","Sort=A","Dates=H","DateFormat=P","Fill=—","Direction=H","UseDPDF=Y")</f>
        <v>#NAME?</v>
      </c>
      <c r="AT12" s="2" t="e">
        <f ca="1">_xll.BDH($C$3,"INVENTORY_5_YEAR_GROWTH","FQ4 2015","FQ4 2015","Currency=INR","Period=FQ","BEST_FPERIOD_OVERRIDE=FQ","FILING_STATUS=OR","EQY_CONSOLIDATED=Y","Sort=A","Dates=H","DateFormat=P","Fill=—","Direction=H","UseDPDF=Y")</f>
        <v>#NAME?</v>
      </c>
      <c r="AU12" s="2" t="e">
        <f ca="1">_xll.BDH($C$3,"NET_FIXED_ASSETS_5_YEAR_GROWTH","FQ4 2015","FQ4 2015","Currency=INR","Period=FQ","BEST_FPERIOD_OVERRIDE=FQ","FILING_STATUS=OR","EQY_CONSOLIDATED=Y","Sort=A","Dates=H","DateFormat=P","Fill=—","Direction=H","UseDPDF=Y")</f>
        <v>#NAME?</v>
      </c>
      <c r="AV12" s="2" t="e">
        <f ca="1">_xll.BDH($C$3,"GEO_GROW_TOT_ASSET","FQ4 2015","FQ4 2015","Currency=INR","Period=FQ","BEST_FPERIOD_OVERRIDE=FQ","FILING_STATUS=OR","EQY_CONSOLIDATED=Y","Sort=A","Dates=H","DateFormat=P","Fill=—","Direction=H","UseDPDF=Y")</f>
        <v>#NAME?</v>
      </c>
      <c r="AW12" s="2" t="e">
        <f ca="1">_xll.BDH($C$3,"MODIFIED_WORKING_CPTL_5YR_GRWTH","FQ4 2015","FQ4 2015","Currency=INR","Period=FQ","BEST_FPERIOD_OVERRIDE=FQ","FILING_STATUS=OR","EQY_CONSOLIDATED=Y","Sort=A","Dates=H","DateFormat=P","Fill=—","Direction=H","UseDPDF=Y")</f>
        <v>#NAME?</v>
      </c>
      <c r="AX12" s="2" t="e">
        <f ca="1">_xll.BDH($C$3,"WORKING_CAPITAL_5_YEAR_GROWTH","FQ4 2015","FQ4 2015","Currency=INR","Period=FQ","BEST_FPERIOD_OVERRIDE=FQ","FILING_STATUS=OR","EQY_CONSOLIDATED=Y","Sort=A","Dates=H","DateFormat=P","Fill=—","Direction=H","UseDPDF=Y")</f>
        <v>#NAME?</v>
      </c>
      <c r="AY12" s="2" t="e">
        <f ca="1">_xll.BDH($C$3,"ACCOUNTS_PAYABLE_5_YEAR_GROWTH","FQ4 2015","FQ4 2015","Currency=INR","Period=FQ","BEST_FPERIOD_OVERRIDE=FQ","FILING_STATUS=OR","EQY_CONSOLIDATED=Y","Sort=A","Dates=H","DateFormat=P","Fill=—","Direction=H","UseDPDF=Y")</f>
        <v>#NAME?</v>
      </c>
      <c r="AZ12" s="2" t="e">
        <f ca="1">_xll.BDH($C$3,"SHORT_TERM_DEBT_5_YEAR_GROWTH","FQ4 2015","FQ4 2015","Currency=INR","Period=FQ","BEST_FPERIOD_OVERRIDE=FQ","FILING_STATUS=OR","EQY_CONSOLIDATED=Y","Sort=A","Dates=H","DateFormat=P","Fill=—","Direction=H","UseDPDF=Y")</f>
        <v>#NAME?</v>
      </c>
      <c r="BA12" s="2" t="e">
        <f ca="1">_xll.BDH($C$3,"TOTAL_DEBT_5_YEAR_GROWTH","FQ4 2015","FQ4 2015","Currency=INR","Period=FQ","BEST_FPERIOD_OVERRIDE=FQ","FILING_STATUS=OR","EQY_CONSOLIDATED=Y","Sort=A","Dates=H","DateFormat=P","Fill=—","Direction=H","UseDPDF=Y")</f>
        <v>#NAME?</v>
      </c>
      <c r="BB12" s="2" t="e">
        <f ca="1">_xll.BDH($C$3,"GEO_GROW_TOT_SHRHLDR_EQY","FQ4 2015","FQ4 2015","Currency=INR","Period=FQ","BEST_FPERIOD_OVERRIDE=FQ","FILING_STATUS=OR","EQY_CONSOLIDATED=Y","Sort=A","Dates=H","DateFormat=P","Fill=—","Direction=H","UseDPDF=Y")</f>
        <v>#NAME?</v>
      </c>
      <c r="BC12" s="2" t="e">
        <f ca="1">_xll.BDH($C$3,"TOTAL_CAPITAL_5_YEAR_GROWTH","FQ4 2015","FQ4 2015","Currency=INR","Period=FQ","BEST_FPERIOD_OVERRIDE=FQ","FILING_STATUS=OR","EQY_CONSOLIDATED=Y","Sort=A","Dates=H","DateFormat=P","Fill=—","Direction=H","UseDPDF=Y")</f>
        <v>#NAME?</v>
      </c>
      <c r="BD12" s="2" t="e">
        <f ca="1">_xll.BDH($C$3,"GEO_GROW_BOOK_VAL","FQ4 2015","FQ4 2015","Currency=INR","Period=FQ","BEST_FPERIOD_OVERRIDE=FQ","FILING_STATUS=OR","EQY_CONSOLIDATED=Y","Sort=A","Dates=H","DateFormat=P","Fill=—","Direction=H","UseDPDF=Y")</f>
        <v>#NAME?</v>
      </c>
      <c r="BE12" s="2" t="e">
        <f ca="1">_xll.BDH($C$3,"GEO_GROW_CASH_OPER_ACT","FQ4 2015","FQ4 2015","Currency=INR","Period=FQ","BEST_FPERIOD_OVERRIDE=FQ","FILING_STATUS=OR","EQY_CONSOLIDATED=Y","Sort=A","Dates=H","DateFormat=P","Fill=—","Direction=H","UseDPDF=Y")</f>
        <v>#NAME?</v>
      </c>
      <c r="BF12" s="2" t="e">
        <f ca="1">_xll.BDH($C$3,"REVENUE_SEQUENTIAL_GROWTH","FQ4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2" s="2" t="e">
        <f ca="1">_xll.BDH($C$3,"EBITDA_SEQUENTIAL_GROWTH","FQ4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2" s="2" t="e">
        <f ca="1">_xll.BDH($C$3,"OPERATING_INCOME_SEQ_GROWTH","FQ4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2" s="2" t="e">
        <f ca="1">_xll.BDH($C$3,"NET_INCOME_TO_COMMON_SEQ_GROWTH","FQ4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2" s="2" t="e">
        <f ca="1">_xll.BDH($C$3,"EPS_DILUTED_SEQUENTIAL_GROWTH","FQ4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2" s="2" t="e">
        <f ca="1">_xll.BDH($C$3,"DPS_SEQUENTIAL_GROWTH","FQ4 2015","FQ4 2015","Currency=INR","Period=FQ","BEST_FPERIOD_OVERRIDE=FQ","FILING_STATUS=OR","EQY_CONSOLIDATED=Y","Sort=A","Dates=H","DateFormat=P","Fill=—","Direction=H","UseDPDF=Y")</f>
        <v>#NAME?</v>
      </c>
      <c r="BL12" s="2" t="e">
        <f ca="1">_xll.BDH($C$3,"ACCOUNTS_RECEIVABLE_SEQ_GROWTH","FQ4 2015","FQ4 2015","Currency=INR","Period=FQ","BEST_FPERIOD_OVERRIDE=FQ","FILING_STATUS=OR","EQY_CONSOLIDATED=Y","Sort=A","Dates=H","DateFormat=P","Fill=—","Direction=H","UseDPDF=Y")</f>
        <v>#NAME?</v>
      </c>
      <c r="BM12" s="2" t="e">
        <f ca="1">_xll.BDH($C$3,"INVENTORY_SEQUENTIAL_GROWTH","FQ4 2015","FQ4 2015","Currency=INR","Period=FQ","BEST_FPERIOD_OVERRIDE=FQ","FILING_STATUS=OR","EQY_CONSOLIDATED=Y","Sort=A","Dates=H","DateFormat=P","Fill=—","Direction=H","UseDPDF=Y")</f>
        <v>#NAME?</v>
      </c>
      <c r="BN12" s="2" t="e">
        <f ca="1">_xll.BDH($C$3,"FIXED_ASSETS_SEQUENTIAL_GROWTH","FQ4 2015","FQ4 2015","Currency=INR","Period=FQ","BEST_FPERIOD_OVERRIDE=FQ","FILING_STATUS=OR","EQY_CONSOLIDATED=Y","Sort=A","Dates=H","DateFormat=P","Fill=—","Direction=H","UseDPDF=Y")</f>
        <v>#NAME?</v>
      </c>
      <c r="BO12" s="2" t="e">
        <f ca="1">_xll.BDH($C$3,"TOTAL_ASSETS_SEQUENTIAL_GROWTH","FQ4 2015","FQ4 2015","Currency=INR","Period=FQ","BEST_FPERIOD_OVERRIDE=FQ","FILING_STATUS=OR","EQY_CONSOLIDATED=Y","Sort=A","Dates=H","DateFormat=P","Fill=—","Direction=H","UseDPDF=Y")</f>
        <v>#NAME?</v>
      </c>
      <c r="BP12" s="2" t="e">
        <f ca="1">_xll.BDH($C$3,"MODIFIED_WORKING_CPTL_SEQ_GRWTH","FQ4 2015","FQ4 2015","Currency=INR","Period=FQ","BEST_FPERIOD_OVERRIDE=FQ","FILING_STATUS=OR","EQY_CONSOLIDATED=Y","Sort=A","Dates=H","DateFormat=P","Fill=—","Direction=H","UseDPDF=Y")</f>
        <v>#NAME?</v>
      </c>
      <c r="BQ12" s="2" t="e">
        <f ca="1">_xll.BDH($C$3,"WORKING_CAPITAL_SEQ_GROWTH","FQ4 2015","FQ4 2015","Currency=INR","Period=FQ","BEST_FPERIOD_OVERRIDE=FQ","FILING_STATUS=OR","EQY_CONSOLIDATED=Y","Sort=A","Dates=H","DateFormat=P","Fill=—","Direction=H","UseDPDF=Y")</f>
        <v>#NAME?</v>
      </c>
      <c r="BR12" s="2" t="e">
        <f ca="1">_xll.BDH($C$3,"ACCOUNTS_PAYABLE_SEQ_GROWTH","FQ4 2015","FQ4 2015","Currency=INR","Period=FQ","BEST_FPERIOD_OVERRIDE=FQ","FILING_STATUS=OR","EQY_CONSOLIDATED=Y","Sort=A","Dates=H","DateFormat=P","Fill=—","Direction=H","UseDPDF=Y")</f>
        <v>#NAME?</v>
      </c>
      <c r="BS12" s="2" t="e">
        <f ca="1">_xll.BDH($C$3,"ST_DEBT_SEQUENTIAL_GROWTH","FQ4 2015","FQ4 2015","Currency=INR","Period=FQ","BEST_FPERIOD_OVERRIDE=FQ","FILING_STATUS=OR","EQY_CONSOLIDATED=Y","Sort=A","Dates=H","DateFormat=P","Fill=—","Direction=H","UseDPDF=Y")</f>
        <v>#NAME?</v>
      </c>
      <c r="BT12" s="2" t="e">
        <f ca="1">_xll.BDH($C$3,"TOTAL_DEBT_SEQUENTIAL_GROWTH","FQ4 2015","FQ4 2015","Currency=INR","Period=FQ","BEST_FPERIOD_OVERRIDE=FQ","FILING_STATUS=OR","EQY_CONSOLIDATED=Y","Sort=A","Dates=H","DateFormat=P","Fill=—","Direction=H","UseDPDF=Y")</f>
        <v>#NAME?</v>
      </c>
      <c r="BU12" s="2" t="e">
        <f ca="1">_xll.BDH($C$3,"TOTAL_EQUITY_SEQUENTIAL_GROWTH","FQ4 2015","FQ4 2015","Currency=INR","Period=FQ","BEST_FPERIOD_OVERRIDE=FQ","FILING_STATUS=OR","EQY_CONSOLIDATED=Y","Sort=A","Dates=H","DateFormat=P","Fill=—","Direction=H","UseDPDF=Y")</f>
        <v>#NAME?</v>
      </c>
      <c r="BV12" s="2" t="e">
        <f ca="1">_xll.BDH($C$3,"TOTAL_CAPITAL_SEQUENTIAL_GROWTH","FQ4 2015","FQ4 2015","Currency=INR","Period=FQ","BEST_FPERIOD_OVERRIDE=FQ","FILING_STATUS=OR","EQY_CONSOLIDATED=Y","Sort=A","Dates=H","DateFormat=P","Fill=—","Direction=H","UseDPDF=Y")</f>
        <v>#NAME?</v>
      </c>
      <c r="BW12" s="2" t="e">
        <f ca="1">_xll.BDH($C$3,"BPS_SEQUENTIAL_GROWTH","FQ4 2015","FQ4 2015","Currency=INR","Period=FQ","BEST_FPERIOD_OVERRIDE=FQ","FILING_STATUS=OR","EQY_CONSOLIDATED=Y","Sort=A","Dates=H","DateFormat=P","Fill=—","Direction=H","UseDPDF=Y")</f>
        <v>#NAME?</v>
      </c>
      <c r="BX12" s="2" t="e">
        <f ca="1">_xll.BDH($C$3,"CFO_SEQUENTIAL_GROWTH","FQ4 2015","FQ4 2015","Currency=INR","Period=FQ","BEST_FPERIOD_OVERRIDE=FQ","FILING_STATUS=OR","EQY_CONSOLIDATED=Y","Sort=A","Dates=H","DateFormat=P","Fill=—","Direction=H","UseDPDF=Y")</f>
        <v>#NAME?</v>
      </c>
      <c r="BY12" s="3" t="e">
        <f ca="1">_xll.BDH($C$3,"SHORT_AND_LONG_TERM_DEBT","FQ4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2" s="3" t="e">
        <f ca="1">_xll.BDH($C$3,"BS_ST_BORROW","FQ4 2015","FQ4 2015","Currency=INR","Period=FQ","BEST_FPERIOD_OVERRIDE=FQ","FILING_STATUS=OR","EQY_CONSOLIDATED=Y","SCALING_FORMAT=MLN","Sort=A","Dates=H","DateFormat=P","Fill=—","Direction=H","UseDPDF=Y")</f>
        <v>#NAME?</v>
      </c>
      <c r="CA12" s="3" t="e">
        <f ca="1">_xll.BDH($C$3,"BS_LT_BORROW","FQ4 2015","FQ4 2015","Currency=INR","Period=FQ","BEST_FPERIOD_OVERRIDE=FQ","FILING_STATUS=OR","EQY_CONSOLIDATED=Y","SCALING_FORMAT=MLN","Sort=A","Dates=H","DateFormat=P","Fill=—","Direction=H","UseDPDF=Y")</f>
        <v>#NAME?</v>
      </c>
      <c r="CB12" s="2" t="e">
        <f ca="1">_xll.BDH($C$3,"TOT_DEBT_TO_EBITDA","FQ4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2" s="2" t="e">
        <f ca="1">_xll.BDH($C$3,"NET_DEBT_TO_EBITDA","FQ4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2" s="2" t="e">
        <f ca="1">_xll.BDH($C$3,"TOTAL_DEBT_TO_EBIT","FQ4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2" s="2" t="e">
        <f ca="1">_xll.BDH($C$3,"NET_DEBT_TO_EBIT","FQ4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2" s="2" t="e">
        <f ca="1">_xll.BDH($C$3,"EBITDA_TO_INTEREST_EXPN","FQ4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2" s="2" t="e">
        <f ca="1">_xll.BDH($C$3,"COM_EQY_TO_TOT_ASSET","FQ4 2015","FQ4 2015","Currency=INR","Period=FQ","BEST_FPERIOD_OVERRIDE=FQ","FILING_STATUS=OR","EQY_CONSOLIDATED=Y","Sort=A","Dates=H","DateFormat=P","Fill=—","Direction=H","UseDPDF=Y")</f>
        <v>#NAME?</v>
      </c>
      <c r="CH12" s="2" t="e">
        <f ca="1">_xll.BDH($C$3,"LT_DEBT_TO_TOT_EQY","FQ4 2015","FQ4 2015","Currency=INR","Period=FQ","BEST_FPERIOD_OVERRIDE=FQ","FILING_STATUS=OR","EQY_CONSOLIDATED=Y","Sort=A","Dates=H","DateFormat=P","Fill=—","Direction=H","UseDPDF=Y")</f>
        <v>#NAME?</v>
      </c>
      <c r="CI12" s="2" t="e">
        <f ca="1">_xll.BDH($C$3,"LT_DEBT_TO_TOT_CAP","FQ4 2015","FQ4 2015","Currency=INR","Period=FQ","BEST_FPERIOD_OVERRIDE=FQ","FILING_STATUS=OR","EQY_CONSOLIDATED=Y","Sort=A","Dates=H","DateFormat=P","Fill=—","Direction=H","UseDPDF=Y")</f>
        <v>#NAME?</v>
      </c>
      <c r="CJ12" s="2" t="e">
        <f ca="1">_xll.BDH($C$3,"LT_DEBT_TO_TOT_ASSET","FQ4 2015","FQ4 2015","Currency=INR","Period=FQ","BEST_FPERIOD_OVERRIDE=FQ","FILING_STATUS=OR","EQY_CONSOLIDATED=Y","Sort=A","Dates=H","DateFormat=P","Fill=—","Direction=H","UseDPDF=Y")</f>
        <v>#NAME?</v>
      </c>
      <c r="CK12" s="2" t="e">
        <f ca="1">_xll.BDH($C$3,"TOT_DEBT_TO_TOT_EQY","FQ4 2015","FQ4 2015","Currency=INR","Period=FQ","BEST_FPERIOD_OVERRIDE=FQ","FILING_STATUS=OR","EQY_CONSOLIDATED=Y","Sort=A","Dates=H","DateFormat=P","Fill=—","Direction=H","UseDPDF=Y")</f>
        <v>#NAME?</v>
      </c>
      <c r="CL12" s="2" t="e">
        <f ca="1">_xll.BDH($C$3,"TOT_DEBT_TO_TOT_CAP","FQ4 2015","FQ4 2015","Currency=INR","Period=FQ","BEST_FPERIOD_OVERRIDE=FQ","FILING_STATUS=OR","EQY_CONSOLIDATED=Y","Sort=A","Dates=H","DateFormat=P","Fill=—","Direction=H","UseDPDF=Y")</f>
        <v>#NAME?</v>
      </c>
      <c r="CM12" s="2" t="e">
        <f ca="1">_xll.BDH($C$3,"TOT_DEBT_TO_TOT_ASSET","FQ4 2015","FQ4 2015","Currency=INR","Period=FQ","BEST_FPERIOD_OVERRIDE=FQ","FILING_STATUS=OR","EQY_CONSOLIDATED=Y","Sort=A","Dates=H","DateFormat=P","Fill=—","Direction=H","UseDPDF=Y")</f>
        <v>#NAME?</v>
      </c>
      <c r="CN12" s="2" t="e">
        <f ca="1">_xll.BDH($C$3,"NET_DEBT_TO_SHRHLDR_EQTY","FQ4 2015","FQ4 2015","Currency=INR","Period=FQ","BEST_FPERIOD_OVERRIDE=FQ","FILING_STATUS=OR","EQY_CONSOLIDATED=Y","Sort=A","Dates=H","DateFormat=P","Fill=—","Direction=H","UseDPDF=Y")</f>
        <v>#NAME?</v>
      </c>
      <c r="CO12" s="2" t="e">
        <f ca="1">_xll.BDH($C$3,"NET_DEBT_%_CAPITAL","FQ4 2015","FQ4 2015","Currency=INR","Period=FQ","BEST_FPERIOD_OVERRIDE=FQ","FILING_STATUS=OR","EQY_CONSOLIDATED=Y","Sort=A","Dates=H","DateFormat=P","Fill=—","Direction=H","UseDPDF=Y")</f>
        <v>#NAME?</v>
      </c>
      <c r="CP12" s="3" t="e">
        <f ca="1">_xll.BDH($C$3,"EBITDA","FQ4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2" s="3" t="e">
        <f ca="1">_xll.BDH($C$3,"EBITDA_AFTER_CAPEX","FQ4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2" s="3" t="e">
        <f ca="1">_xll.BDH($C$3,"IS_OPER_INC","FQ4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2" s="2" t="e">
        <f ca="1">_xll.BDH($C$3,"CASH_RATIO","FQ4 2015","FQ4 2015","Currency=INR","Period=FQ","BEST_FPERIOD_OVERRIDE=FQ","FILING_STATUS=OR","EQY_CONSOLIDATED=Y","Sort=A","Dates=H","DateFormat=P","Fill=—","Direction=H","UseDPDF=Y")</f>
        <v>#NAME?</v>
      </c>
      <c r="CT12" s="2" t="e">
        <f ca="1">_xll.BDH($C$3,"CUR_RATIO","FQ4 2015","FQ4 2015","Currency=INR","Period=FQ","BEST_FPERIOD_OVERRIDE=FQ","FILING_STATUS=OR","EQY_CONSOLIDATED=Y","Sort=A","Dates=H","DateFormat=P","Fill=—","Direction=H","UseDPDF=Y")</f>
        <v>#NAME?</v>
      </c>
      <c r="CU12" s="2" t="e">
        <f ca="1">_xll.BDH($C$3,"QUICK_RATIO","FQ4 2015","FQ4 2015","Currency=INR","Period=FQ","BEST_FPERIOD_OVERRIDE=FQ","FILING_STATUS=OR","EQY_CONSOLIDATED=Y","Sort=A","Dates=H","DateFormat=P","Fill=—","Direction=H","UseDPDF=Y")</f>
        <v>#NAME?</v>
      </c>
      <c r="CV12" s="2" t="e">
        <f ca="1">_xll.BDH($C$3,"ALTMAN_Z_SCORE","FQ4 2015","FQ4 2015","Currency=INR","Period=FQ","BEST_FPERIOD_OVERRIDE=FQ","FILING_STATUS=OR","EQY_CONSOLIDATED=Y","Sort=A","Dates=H","DateFormat=P","Fill=—","Direction=H","UseDPDF=Y")</f>
        <v>#NAME?</v>
      </c>
      <c r="CW12" s="4" t="e">
        <f ca="1">_xll.BDH($C$3,"ACCT_RCV_TURN","FQ4 2015","FQ4 2015","Currency=INR","Period=FQ","BEST_FPERIOD_OVERRIDE=FQ","FILING_STATUS=OR","EQY_CONSOLIDATED=Y","FA_ADJUSTED=GAAP","Sort=A","Dates=H","DateFormat=P","Fill=—","Direction=H","UseDPDF=Y")</f>
        <v>#NAME?</v>
      </c>
      <c r="CX12" s="2" t="e">
        <f ca="1">_xll.BDH($C$3,"ACCT_RCV_DAYS","FQ4 2015","FQ4 2015","Currency=INR","Period=FQ","BEST_FPERIOD_OVERRIDE=FQ","FILING_STATUS=OR","EQY_CONSOLIDATED=Y","FA_ADJUSTED=GAAP","Sort=A","Dates=H","DateFormat=P","Fill=—","Direction=H","UseDPDF=Y")</f>
        <v>#NAME?</v>
      </c>
      <c r="CY12" s="4" t="e">
        <f ca="1">_xll.BDH($C$3,"INVENT_TURN","FQ4 2015","FQ4 2015","Currency=INR","Period=FQ","BEST_FPERIOD_OVERRIDE=FQ","FILING_STATUS=OR","EQY_CONSOLIDATED=Y","FA_ADJUSTED=GAAP","Sort=A","Dates=H","DateFormat=P","Fill=—","Direction=H","UseDPDF=Y")</f>
        <v>#NAME?</v>
      </c>
      <c r="CZ12" s="2" t="e">
        <f ca="1">_xll.BDH($C$3,"INVENT_DAYS","FQ4 2015","FQ4 2015","Currency=INR","Period=FQ","BEST_FPERIOD_OVERRIDE=FQ","FILING_STATUS=OR","EQY_CONSOLIDATED=Y","FA_ADJUSTED=GAAP","Sort=A","Dates=H","DateFormat=P","Fill=—","Direction=H","UseDPDF=Y")</f>
        <v>#NAME?</v>
      </c>
      <c r="DA12" s="4" t="e">
        <f ca="1">_xll.BDH($C$3,"ACCOUNTS_PAYABLE_TURNOVER","FQ4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2" s="2" t="e">
        <f ca="1">_xll.BDH($C$3,"ACCOUNTS_PAYABLE_TURNOVER_DAYS","FQ4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2" s="4" t="e">
        <f ca="1">_xll.BDH($C$3,"CASH_CONVERSION_CYCLE","FQ4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2" s="4" t="e">
        <f ca="1">_xll.BDH($C$3,"INV_TO_CASH_DAYS","FQ4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2" s="5" t="e">
        <f ca="1">_xll.BDH($C$3,"BS_INVENTORIES","FQ4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2" s="3" t="e">
        <f ca="1">_xll.BDH($C$3,"INVTRY_RAW_MATERIALS","FQ4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2" s="3" t="e">
        <f ca="1">_xll.BDH($C$3,"INVTRY_IN_PROGRESS","FQ4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2" s="3" t="e">
        <f ca="1">_xll.BDH($C$3,"INVTRY_FINISHED_GOODS","FQ4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2" s="3" t="e">
        <f ca="1">_xll.BDH($C$3,"BS_OTHER_INV","FQ4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" spans="1:113" x14ac:dyDescent="0.3">
      <c r="A13" s="6"/>
      <c r="B13" s="6"/>
      <c r="C13" s="6"/>
      <c r="D13" s="6" t="s">
        <v>83</v>
      </c>
      <c r="E13" t="s">
        <v>77</v>
      </c>
      <c r="F13" t="e">
        <f ca="1">_xll.BDH($C$3,"RETURN_COM_EQY","FY 2016","FY 2016","Currency=INR","Period=FY","BEST_FPERIOD_OVERRIDE=FY","FILING_STATUS=OR","EQY_CONSOLIDATED=Y","FA_ADJUSTED=GAAP","Sort=A","Dates=H","DateFormat=P","Fill=—","Direction=H","UseDPDF=Y")</f>
        <v>#NAME?</v>
      </c>
      <c r="G13" t="e">
        <f ca="1">_xll.BDH($C$3,"RETURN_ON_ASSET","FY 2016","FY 2016","Currency=INR","Period=FY","BEST_FPERIOD_OVERRIDE=FY","FILING_STATUS=OR","EQY_CONSOLIDATED=Y","FA_ADJUSTED=GAAP","Sort=A","Dates=H","DateFormat=P","Fill=—","Direction=H","UseDPDF=Y")</f>
        <v>#NAME?</v>
      </c>
      <c r="H13" t="e">
        <f ca="1">_xll.BDH($C$3,"RETURN_ON_CAP","FY 2016","FY 2016","Currency=INR","Period=FY","BEST_FPERIOD_OVERRIDE=FY","FILING_STATUS=OR","EQY_CONSOLIDATED=Y","FA_ADJUSTED=GAAP","Sort=A","Dates=H","DateFormat=P","Fill=—","Direction=H","UseDPDF=Y")</f>
        <v>#NAME?</v>
      </c>
      <c r="I13" t="e">
        <f ca="1">_xll.BDH($C$3,"RETURN_ON_INV_CAPITAL","FY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" t="e">
        <f ca="1">_xll.BDH($C$3,"EBITDA_TO_REVENUE","FY 2016","FY 2016","Currency=INR","Period=FY","BEST_FPERIOD_OVERRIDE=FY","FILING_STATUS=OR","EQY_CONSOLIDATED=Y","FA_ADJUSTED=GAAP","Sort=A","Dates=H","DateFormat=P","Fill=—","Direction=H","UseDPDF=Y")</f>
        <v>#NAME?</v>
      </c>
      <c r="K13" t="e">
        <f ca="1">_xll.BDH($C$3,"OPER_MARGIN","FY 2016","FY 2016","Currency=INR","Period=FY","BEST_FPERIOD_OVERRIDE=FY","FILING_STATUS=OR","EQY_CONSOLIDATED=Y","FA_ADJUSTED=GAAP","Sort=A","Dates=H","DateFormat=P","Fill=—","Direction=H","UseDPDF=Y")</f>
        <v>#NAME?</v>
      </c>
      <c r="L13" t="e">
        <f ca="1">_xll.BDH($C$3,"INCREMENTAL_OPERATING_MARGIN","FY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" t="e">
        <f ca="1">_xll.BDH($C$3,"PRETAX_INC_TO_NET_SALES","FY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" t="e">
        <f ca="1">_xll.BDH($C$3,"INC_BEF_XO_ITEMS_TO_NET_SALES","FY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" t="e">
        <f ca="1">_xll.BDH($C$3,"PROF_MARGIN","FY 2016","FY 2016","Currency=INR","Period=FY","BEST_FPERIOD_OVERRIDE=FY","FILING_STATUS=OR","EQY_CONSOLIDATED=Y","FA_ADJUSTED=GAAP","Sort=A","Dates=H","DateFormat=P","Fill=—","Direction=H","UseDPDF=Y")</f>
        <v>#NAME?</v>
      </c>
      <c r="P13" t="e">
        <f ca="1">_xll.BDH($C$3,"NET_INCOME_TO_COMMON_MARGIN","FY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" t="e">
        <f ca="1">_xll.BDH($C$3,"EFF_TAX_RATE","FY 2016","FY 2016","Currency=INR","Period=FY","BEST_FPERIOD_OVERRIDE=FY","FILING_STATUS=OR","EQY_CONSOLIDATED=Y","FA_ADJUSTED=GAAP","Sort=A","Dates=H","DateFormat=P","Fill=—","Direction=H","UseDPDF=Y")</f>
        <v>#NAME?</v>
      </c>
      <c r="R13" t="e">
        <f ca="1">_xll.BDH($C$3,"DVD_PAYOUT_RATIO","FY 2016","FY 2016","Currency=INR","Period=FY","BEST_FPERIOD_OVERRIDE=FY","FILING_STATUS=OR","EQY_CONSOLIDATED=Y","FA_ADJUSTED=GAAP","Sort=A","Dates=H","DateFormat=P","Fill=—","Direction=H","UseDPDF=Y")</f>
        <v>#NAME?</v>
      </c>
      <c r="S13" t="e">
        <f ca="1">_xll.BDH($C$3,"SUSTAIN_GROWTH_RT","FY 2016","FY 2016","Currency=INR","Period=FY","BEST_FPERIOD_OVERRIDE=FY","FILING_STATUS=OR","EQY_CONSOLIDATED=Y","FA_ADJUSTED=GAAP","Sort=A","Dates=H","DateFormat=P","Fill=—","Direction=H","UseDPDF=Y")</f>
        <v>#NAME?</v>
      </c>
      <c r="T13" s="2" t="e">
        <f ca="1">_xll.BDH($C$3,"SALES_GROWTH","FY 2016","FY 2016","Currency=INR","Period=FY","BEST_FPERIOD_OVERRIDE=FY","FILING_STATUS=OR","EQY_CONSOLIDATED=Y","FA_ADJUSTED=GAAP","Sort=A","Dates=H","DateFormat=P","Fill=—","Direction=H","UseDPDF=Y")</f>
        <v>#NAME?</v>
      </c>
      <c r="U13" s="2" t="e">
        <f ca="1">_xll.BDH($C$3,"EBITDA_GROWTH","FY 2016","FY 2016","Currency=INR","Period=FY","BEST_FPERIOD_OVERRIDE=FY","FILING_STATUS=OR","EQY_CONSOLIDATED=Y","FA_ADJUSTED=GAAP","Sort=A","Dates=H","DateFormat=P","Fill=—","Direction=H","UseDPDF=Y")</f>
        <v>#NAME?</v>
      </c>
      <c r="V13" s="2" t="e">
        <f ca="1">_xll.BDH($C$3,"OPER_INC_GROWTH","FY 2016","FY 2016","Currency=INR","Period=FY","BEST_FPERIOD_OVERRIDE=FY","FILING_STATUS=OR","EQY_CONSOLIDATED=Y","FA_ADJUSTED=GAAP","Sort=A","Dates=H","DateFormat=P","Fill=—","Direction=H","UseDPDF=Y")</f>
        <v>#NAME?</v>
      </c>
      <c r="W13" s="2" t="e">
        <f ca="1">_xll.BDH($C$3,"EARN_FOR_COM_GROWTH","FY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" s="2" t="e">
        <f ca="1">_xll.BDH($C$3,"DILUTED_EPS_AFT_XO_ITEMS_GROWTH","FY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" s="2" t="e">
        <f ca="1">_xll.BDH($C$3,"DIVIDEND_PER_SHARE_1_YEAR_GROWTH","FY 2016","FY 2016","Currency=INR","Period=FY","BEST_FPERIOD_OVERRIDE=FY","FILING_STATUS=OR","EQY_CONSOLIDATED=Y","Sort=A","Dates=H","DateFormat=P","Fill=—","Direction=H","UseDPDF=Y")</f>
        <v>#NAME?</v>
      </c>
      <c r="Z13" s="2" t="e">
        <f ca="1">_xll.BDH($C$3,"ACCOUNTS_RECEIVABLE_GROWTH","FY 2016","FY 2016","Currency=INR","Period=FY","BEST_FPERIOD_OVERRIDE=FY","FILING_STATUS=OR","EQY_CONSOLIDATED=Y","Sort=A","Dates=H","DateFormat=P","Fill=—","Direction=H","UseDPDF=Y")</f>
        <v>#NAME?</v>
      </c>
      <c r="AA13" s="2" t="e">
        <f ca="1">_xll.BDH($C$3,"INVENTORY_GROWTH","FY 2016","FY 2016","Currency=INR","Period=FY","BEST_FPERIOD_OVERRIDE=FY","FILING_STATUS=OR","EQY_CONSOLIDATED=Y","Sort=A","Dates=H","DateFormat=P","Fill=—","Direction=H","UseDPDF=Y")</f>
        <v>#NAME?</v>
      </c>
      <c r="AB13" s="2" t="e">
        <f ca="1">_xll.BDH($C$3,"NET_FIXED_ASSETS_1_YEAR_GROWTH","FY 2016","FY 2016","Currency=INR","Period=FY","BEST_FPERIOD_OVERRIDE=FY","FILING_STATUS=OR","EQY_CONSOLIDATED=Y","Sort=A","Dates=H","DateFormat=P","Fill=—","Direction=H","UseDPDF=Y")</f>
        <v>#NAME?</v>
      </c>
      <c r="AC13" s="2" t="e">
        <f ca="1">_xll.BDH($C$3,"ASSET_GROWTH","FY 2016","FY 2016","Currency=INR","Period=FY","BEST_FPERIOD_OVERRIDE=FY","FILING_STATUS=OR","EQY_CONSOLIDATED=Y","Sort=A","Dates=H","DateFormat=P","Fill=—","Direction=H","UseDPDF=Y")</f>
        <v>#NAME?</v>
      </c>
      <c r="AD13" s="2" t="e">
        <f ca="1">_xll.BDH($C$3,"MODIFIED_WORK_CAP_GROWTH","FY 2016","FY 2016","Currency=INR","Period=FY","BEST_FPERIOD_OVERRIDE=FY","FILING_STATUS=OR","EQY_CONSOLIDATED=Y","Sort=A","Dates=H","DateFormat=P","Fill=—","Direction=H","UseDPDF=Y")</f>
        <v>#NAME?</v>
      </c>
      <c r="AE13" s="2" t="e">
        <f ca="1">_xll.BDH($C$3,"WORK_CAP_GROWTH","FY 2016","FY 2016","Currency=INR","Period=FY","BEST_FPERIOD_OVERRIDE=FY","FILING_STATUS=OR","EQY_CONSOLIDATED=Y","Sort=A","Dates=H","DateFormat=P","Fill=—","Direction=H","UseDPDF=Y")</f>
        <v>#NAME?</v>
      </c>
      <c r="AF13" s="2" t="e">
        <f ca="1">_xll.BDH($C$3,"ACCOUNTS_PAYABLE_GROWTH_1YR","FY 2016","FY 2016","Currency=INR","Period=FY","BEST_FPERIOD_OVERRIDE=FY","FILING_STATUS=OR","EQY_CONSOLIDATED=Y","Sort=A","Dates=H","DateFormat=P","Fill=—","Direction=H","UseDPDF=Y")</f>
        <v>#NAME?</v>
      </c>
      <c r="AG13" s="2" t="e">
        <f ca="1">_xll.BDH($C$3,"SHORT_TERM_DEBT_1_YEAR_GROWTH","FY 2016","FY 2016","Currency=INR","Period=FY","BEST_FPERIOD_OVERRIDE=FY","FILING_STATUS=OR","EQY_CONSOLIDATED=Y","Sort=A","Dates=H","DateFormat=P","Fill=—","Direction=H","UseDPDF=Y")</f>
        <v>#NAME?</v>
      </c>
      <c r="AH13" s="2" t="e">
        <f ca="1">_xll.BDH($C$3,"TOTAL_DEBT_1_YEAR_GROWTH","FY 2016","FY 2016","Currency=INR","Period=FY","BEST_FPERIOD_OVERRIDE=FY","FILING_STATUS=OR","EQY_CONSOLIDATED=Y","Sort=A","Dates=H","DateFormat=P","Fill=—","Direction=H","UseDPDF=Y")</f>
        <v>#NAME?</v>
      </c>
      <c r="AI13" s="2" t="e">
        <f ca="1">_xll.BDH($C$3,"TOTAL_EQUITY_1_YEAR_GROWTH","FY 2016","FY 2016","Currency=INR","Period=FY","BEST_FPERIOD_OVERRIDE=FY","FILING_STATUS=OR","EQY_CONSOLIDATED=Y","Sort=A","Dates=H","DateFormat=P","Fill=—","Direction=H","UseDPDF=Y")</f>
        <v>#NAME?</v>
      </c>
      <c r="AJ13" s="2" t="e">
        <f ca="1">_xll.BDH($C$3,"GROWTH_IN_CAP","FY 2016","FY 2016","Currency=INR","Period=FY","BEST_FPERIOD_OVERRIDE=FY","FILING_STATUS=OR","EQY_CONSOLIDATED=Y","Sort=A","Dates=H","DateFormat=P","Fill=—","Direction=H","UseDPDF=Y")</f>
        <v>#NAME?</v>
      </c>
      <c r="AK13" s="2" t="e">
        <f ca="1">_xll.BDH($C$3,"BVPS_GROWTH","FY 2016","FY 2016","Currency=INR","Period=FY","BEST_FPERIOD_OVERRIDE=FY","FILING_STATUS=OR","EQY_CONSOLIDATED=Y","Sort=A","Dates=H","DateFormat=P","Fill=—","Direction=H","UseDPDF=Y")</f>
        <v>#NAME?</v>
      </c>
      <c r="AL13" s="2" t="e">
        <f ca="1">_xll.BDH($C$3,"CASH_FLOW_GROWTH","FY 2016","FY 2016","Currency=INR","Period=FY","BEST_FPERIOD_OVERRIDE=FY","FILING_STATUS=OR","EQY_CONSOLIDATED=Y","Sort=A","Dates=H","DateFormat=P","Fill=—","Direction=H","UseDPDF=Y")</f>
        <v>#NAME?</v>
      </c>
      <c r="AM13" s="2" t="e">
        <f ca="1">_xll.BDH($C$3,"GEO_GROW_NET_SALES","FY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" s="2" t="e">
        <f ca="1">_xll.BDH($C$3,"GEO_GROW_EBITDA","FY 2016","FY 2016","Currency=INR","Period=FY","BEST_FPERIOD_OVERRIDE=FY","FILING_STATUS=OR","EQY_CONSOLIDATED=Y","FA_ADJUSTED=GAAP","Sort=A","Dates=H","DateFormat=P","Fill=—","Direction=H","UseDPDF=Y")</f>
        <v>#NAME?</v>
      </c>
      <c r="AO13" s="2" t="e">
        <f ca="1">_xll.BDH($C$3,"GEO_GROW_OPER_INC","FY 2016","FY 2016","Currency=INR","Period=FY","BEST_FPERIOD_OVERRIDE=FY","FILING_STATUS=OR","EQY_CONSOLIDATED=Y","FA_ADJUSTED=GAAP","Sort=A","Dates=H","DateFormat=P","Fill=—","Direction=H","UseDPDF=Y")</f>
        <v>#NAME?</v>
      </c>
      <c r="AP13" s="2" t="e">
        <f ca="1">_xll.BDH($C$3,"NET_INCOME_TO_COMMON_5_YR_GROWTH","FY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" s="2" t="e">
        <f ca="1">_xll.BDH($C$3,"5Y_GEO_GROWTH_DILUTED_EPS","FY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" s="2" t="e">
        <f ca="1">_xll.BDH($C$3,"GEO_GROW_DVD_PER_SH","FY 2016","FY 2016","Currency=INR","Period=FY","BEST_FPERIOD_OVERRIDE=FY","FILING_STATUS=OR","EQY_CONSOLIDATED=Y","Sort=A","Dates=H","DateFormat=P","Fill=—","Direction=H","UseDPDF=Y")</f>
        <v>#NAME?</v>
      </c>
      <c r="AS13" s="2" t="e">
        <f ca="1">_xll.BDH($C$3,"ACCOUNTS_RECEIVABLE_5_YR_GROWTH","FY 2016","FY 2016","Currency=INR","Period=FY","BEST_FPERIOD_OVERRIDE=FY","FILING_STATUS=OR","EQY_CONSOLIDATED=Y","Sort=A","Dates=H","DateFormat=P","Fill=—","Direction=H","UseDPDF=Y")</f>
        <v>#NAME?</v>
      </c>
      <c r="AT13" s="2" t="e">
        <f ca="1">_xll.BDH($C$3,"INVENTORY_5_YEAR_GROWTH","FY 2016","FY 2016","Currency=INR","Period=FY","BEST_FPERIOD_OVERRIDE=FY","FILING_STATUS=OR","EQY_CONSOLIDATED=Y","Sort=A","Dates=H","DateFormat=P","Fill=—","Direction=H","UseDPDF=Y")</f>
        <v>#NAME?</v>
      </c>
      <c r="AU13" s="2" t="e">
        <f ca="1">_xll.BDH($C$3,"NET_FIXED_ASSETS_5_YEAR_GROWTH","FY 2016","FY 2016","Currency=INR","Period=FY","BEST_FPERIOD_OVERRIDE=FY","FILING_STATUS=OR","EQY_CONSOLIDATED=Y","Sort=A","Dates=H","DateFormat=P","Fill=—","Direction=H","UseDPDF=Y")</f>
        <v>#NAME?</v>
      </c>
      <c r="AV13" s="2" t="e">
        <f ca="1">_xll.BDH($C$3,"GEO_GROW_TOT_ASSET","FY 2016","FY 2016","Currency=INR","Period=FY","BEST_FPERIOD_OVERRIDE=FY","FILING_STATUS=OR","EQY_CONSOLIDATED=Y","Sort=A","Dates=H","DateFormat=P","Fill=—","Direction=H","UseDPDF=Y")</f>
        <v>#NAME?</v>
      </c>
      <c r="AW13" s="2" t="e">
        <f ca="1">_xll.BDH($C$3,"MODIFIED_WORKING_CPTL_5YR_GRWTH","FY 2016","FY 2016","Currency=INR","Period=FY","BEST_FPERIOD_OVERRIDE=FY","FILING_STATUS=OR","EQY_CONSOLIDATED=Y","Sort=A","Dates=H","DateFormat=P","Fill=—","Direction=H","UseDPDF=Y")</f>
        <v>#NAME?</v>
      </c>
      <c r="AX13" s="2" t="e">
        <f ca="1">_xll.BDH($C$3,"WORKING_CAPITAL_5_YEAR_GROWTH","FY 2016","FY 2016","Currency=INR","Period=FY","BEST_FPERIOD_OVERRIDE=FY","FILING_STATUS=OR","EQY_CONSOLIDATED=Y","Sort=A","Dates=H","DateFormat=P","Fill=—","Direction=H","UseDPDF=Y")</f>
        <v>#NAME?</v>
      </c>
      <c r="AY13" s="2" t="e">
        <f ca="1">_xll.BDH($C$3,"ACCOUNTS_PAYABLE_5_YEAR_GROWTH","FY 2016","FY 2016","Currency=INR","Period=FY","BEST_FPERIOD_OVERRIDE=FY","FILING_STATUS=OR","EQY_CONSOLIDATED=Y","Sort=A","Dates=H","DateFormat=P","Fill=—","Direction=H","UseDPDF=Y")</f>
        <v>#NAME?</v>
      </c>
      <c r="AZ13" s="2" t="e">
        <f ca="1">_xll.BDH($C$3,"SHORT_TERM_DEBT_5_YEAR_GROWTH","FY 2016","FY 2016","Currency=INR","Period=FY","BEST_FPERIOD_OVERRIDE=FY","FILING_STATUS=OR","EQY_CONSOLIDATED=Y","Sort=A","Dates=H","DateFormat=P","Fill=—","Direction=H","UseDPDF=Y")</f>
        <v>#NAME?</v>
      </c>
      <c r="BA13" s="2" t="e">
        <f ca="1">_xll.BDH($C$3,"TOTAL_DEBT_5_YEAR_GROWTH","FY 2016","FY 2016","Currency=INR","Period=FY","BEST_FPERIOD_OVERRIDE=FY","FILING_STATUS=OR","EQY_CONSOLIDATED=Y","Sort=A","Dates=H","DateFormat=P","Fill=—","Direction=H","UseDPDF=Y")</f>
        <v>#NAME?</v>
      </c>
      <c r="BB13" s="2" t="e">
        <f ca="1">_xll.BDH($C$3,"GEO_GROW_TOT_SHRHLDR_EQY","FY 2016","FY 2016","Currency=INR","Period=FY","BEST_FPERIOD_OVERRIDE=FY","FILING_STATUS=OR","EQY_CONSOLIDATED=Y","Sort=A","Dates=H","DateFormat=P","Fill=—","Direction=H","UseDPDF=Y")</f>
        <v>#NAME?</v>
      </c>
      <c r="BC13" s="2" t="e">
        <f ca="1">_xll.BDH($C$3,"TOTAL_CAPITAL_5_YEAR_GROWTH","FY 2016","FY 2016","Currency=INR","Period=FY","BEST_FPERIOD_OVERRIDE=FY","FILING_STATUS=OR","EQY_CONSOLIDATED=Y","Sort=A","Dates=H","DateFormat=P","Fill=—","Direction=H","UseDPDF=Y")</f>
        <v>#NAME?</v>
      </c>
      <c r="BD13" s="2" t="e">
        <f ca="1">_xll.BDH($C$3,"GEO_GROW_BOOK_VAL","FY 2016","FY 2016","Currency=INR","Period=FY","BEST_FPERIOD_OVERRIDE=FY","FILING_STATUS=OR","EQY_CONSOLIDATED=Y","Sort=A","Dates=H","DateFormat=P","Fill=—","Direction=H","UseDPDF=Y")</f>
        <v>#NAME?</v>
      </c>
      <c r="BE13" s="2" t="e">
        <f ca="1">_xll.BDH($C$3,"GEO_GROW_CASH_OPER_ACT","FY 2016","FY 2016","Currency=INR","Period=FY","BEST_FPERIOD_OVERRIDE=FY","FILING_STATUS=OR","EQY_CONSOLIDATED=Y","Sort=A","Dates=H","DateFormat=P","Fill=—","Direction=H","UseDPDF=Y")</f>
        <v>#NAME?</v>
      </c>
      <c r="BF13" s="2" t="e">
        <f ca="1">_xll.BDH($C$3,"REVENUE_SEQUENTIAL_GROWTH","FY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" s="2" t="e">
        <f ca="1">_xll.BDH($C$3,"EBITDA_SEQUENTIAL_GROWTH","FY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" s="2" t="e">
        <f ca="1">_xll.BDH($C$3,"OPERATING_INCOME_SEQ_GROWTH","FY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" s="2" t="e">
        <f ca="1">_xll.BDH($C$3,"NET_INCOME_TO_COMMON_SEQ_GROWTH","FY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" s="2" t="e">
        <f ca="1">_xll.BDH($C$3,"EPS_DILUTED_SEQUENTIAL_GROWTH","FY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" s="2" t="e">
        <f ca="1">_xll.BDH($C$3,"DPS_SEQUENTIAL_GROWTH","FY 2016","FY 2016","Currency=INR","Period=FY","BEST_FPERIOD_OVERRIDE=FY","FILING_STATUS=OR","EQY_CONSOLIDATED=Y","Sort=A","Dates=H","DateFormat=P","Fill=—","Direction=H","UseDPDF=Y")</f>
        <v>#NAME?</v>
      </c>
      <c r="BL13" s="2" t="e">
        <f ca="1">_xll.BDH($C$3,"ACCOUNTS_RECEIVABLE_SEQ_GROWTH","FY 2016","FY 2016","Currency=INR","Period=FY","BEST_FPERIOD_OVERRIDE=FY","FILING_STATUS=OR","EQY_CONSOLIDATED=Y","Sort=A","Dates=H","DateFormat=P","Fill=—","Direction=H","UseDPDF=Y")</f>
        <v>#NAME?</v>
      </c>
      <c r="BM13" s="2" t="e">
        <f ca="1">_xll.BDH($C$3,"INVENTORY_SEQUENTIAL_GROWTH","FY 2016","FY 2016","Currency=INR","Period=FY","BEST_FPERIOD_OVERRIDE=FY","FILING_STATUS=OR","EQY_CONSOLIDATED=Y","Sort=A","Dates=H","DateFormat=P","Fill=—","Direction=H","UseDPDF=Y")</f>
        <v>#NAME?</v>
      </c>
      <c r="BN13" s="2" t="e">
        <f ca="1">_xll.BDH($C$3,"FIXED_ASSETS_SEQUENTIAL_GROWTH","FY 2016","FY 2016","Currency=INR","Period=FY","BEST_FPERIOD_OVERRIDE=FY","FILING_STATUS=OR","EQY_CONSOLIDATED=Y","Sort=A","Dates=H","DateFormat=P","Fill=—","Direction=H","UseDPDF=Y")</f>
        <v>#NAME?</v>
      </c>
      <c r="BO13" s="2" t="e">
        <f ca="1">_xll.BDH($C$3,"TOTAL_ASSETS_SEQUENTIAL_GROWTH","FY 2016","FY 2016","Currency=INR","Period=FY","BEST_FPERIOD_OVERRIDE=FY","FILING_STATUS=OR","EQY_CONSOLIDATED=Y","Sort=A","Dates=H","DateFormat=P","Fill=—","Direction=H","UseDPDF=Y")</f>
        <v>#NAME?</v>
      </c>
      <c r="BP13" s="2" t="e">
        <f ca="1">_xll.BDH($C$3,"MODIFIED_WORKING_CPTL_SEQ_GRWTH","FY 2016","FY 2016","Currency=INR","Period=FY","BEST_FPERIOD_OVERRIDE=FY","FILING_STATUS=OR","EQY_CONSOLIDATED=Y","Sort=A","Dates=H","DateFormat=P","Fill=—","Direction=H","UseDPDF=Y")</f>
        <v>#NAME?</v>
      </c>
      <c r="BQ13" s="2" t="e">
        <f ca="1">_xll.BDH($C$3,"WORKING_CAPITAL_SEQ_GROWTH","FY 2016","FY 2016","Currency=INR","Period=FY","BEST_FPERIOD_OVERRIDE=FY","FILING_STATUS=OR","EQY_CONSOLIDATED=Y","Sort=A","Dates=H","DateFormat=P","Fill=—","Direction=H","UseDPDF=Y")</f>
        <v>#NAME?</v>
      </c>
      <c r="BR13" s="2" t="e">
        <f ca="1">_xll.BDH($C$3,"ACCOUNTS_PAYABLE_SEQ_GROWTH","FY 2016","FY 2016","Currency=INR","Period=FY","BEST_FPERIOD_OVERRIDE=FY","FILING_STATUS=OR","EQY_CONSOLIDATED=Y","Sort=A","Dates=H","DateFormat=P","Fill=—","Direction=H","UseDPDF=Y")</f>
        <v>#NAME?</v>
      </c>
      <c r="BS13" s="2" t="e">
        <f ca="1">_xll.BDH($C$3,"ST_DEBT_SEQUENTIAL_GROWTH","FY 2016","FY 2016","Currency=INR","Period=FY","BEST_FPERIOD_OVERRIDE=FY","FILING_STATUS=OR","EQY_CONSOLIDATED=Y","Sort=A","Dates=H","DateFormat=P","Fill=—","Direction=H","UseDPDF=Y")</f>
        <v>#NAME?</v>
      </c>
      <c r="BT13" s="2" t="e">
        <f ca="1">_xll.BDH($C$3,"TOTAL_DEBT_SEQUENTIAL_GROWTH","FY 2016","FY 2016","Currency=INR","Period=FY","BEST_FPERIOD_OVERRIDE=FY","FILING_STATUS=OR","EQY_CONSOLIDATED=Y","Sort=A","Dates=H","DateFormat=P","Fill=—","Direction=H","UseDPDF=Y")</f>
        <v>#NAME?</v>
      </c>
      <c r="BU13" s="2" t="e">
        <f ca="1">_xll.BDH($C$3,"TOTAL_EQUITY_SEQUENTIAL_GROWTH","FY 2016","FY 2016","Currency=INR","Period=FY","BEST_FPERIOD_OVERRIDE=FY","FILING_STATUS=OR","EQY_CONSOLIDATED=Y","Sort=A","Dates=H","DateFormat=P","Fill=—","Direction=H","UseDPDF=Y")</f>
        <v>#NAME?</v>
      </c>
      <c r="BV13" s="2" t="e">
        <f ca="1">_xll.BDH($C$3,"TOTAL_CAPITAL_SEQUENTIAL_GROWTH","FY 2016","FY 2016","Currency=INR","Period=FY","BEST_FPERIOD_OVERRIDE=FY","FILING_STATUS=OR","EQY_CONSOLIDATED=Y","Sort=A","Dates=H","DateFormat=P","Fill=—","Direction=H","UseDPDF=Y")</f>
        <v>#NAME?</v>
      </c>
      <c r="BW13" s="2" t="e">
        <f ca="1">_xll.BDH($C$3,"BPS_SEQUENTIAL_GROWTH","FY 2016","FY 2016","Currency=INR","Period=FY","BEST_FPERIOD_OVERRIDE=FY","FILING_STATUS=OR","EQY_CONSOLIDATED=Y","Sort=A","Dates=H","DateFormat=P","Fill=—","Direction=H","UseDPDF=Y")</f>
        <v>#NAME?</v>
      </c>
      <c r="BX13" s="2" t="e">
        <f ca="1">_xll.BDH($C$3,"CFO_SEQUENTIAL_GROWTH","FY 2016","FY 2016","Currency=INR","Period=FY","BEST_FPERIOD_OVERRIDE=FY","FILING_STATUS=OR","EQY_CONSOLIDATED=Y","Sort=A","Dates=H","DateFormat=P","Fill=—","Direction=H","UseDPDF=Y")</f>
        <v>#NAME?</v>
      </c>
      <c r="BY13" s="3" t="e">
        <f ca="1">_xll.BDH($C$3,"SHORT_AND_LONG_TERM_DEBT","FY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" s="3" t="e">
        <f ca="1">_xll.BDH($C$3,"BS_ST_BORROW","FY 2016","FY 2016","Currency=INR","Period=FY","BEST_FPERIOD_OVERRIDE=FY","FILING_STATUS=OR","EQY_CONSOLIDATED=Y","SCALING_FORMAT=MLN","Sort=A","Dates=H","DateFormat=P","Fill=—","Direction=H","UseDPDF=Y")</f>
        <v>#NAME?</v>
      </c>
      <c r="CA13" s="3" t="e">
        <f ca="1">_xll.BDH($C$3,"BS_LT_BORROW","FY 2016","FY 2016","Currency=INR","Period=FY","BEST_FPERIOD_OVERRIDE=FY","FILING_STATUS=OR","EQY_CONSOLIDATED=Y","SCALING_FORMAT=MLN","Sort=A","Dates=H","DateFormat=P","Fill=—","Direction=H","UseDPDF=Y")</f>
        <v>#NAME?</v>
      </c>
      <c r="CB13" s="2" t="e">
        <f ca="1">_xll.BDH($C$3,"TOT_DEBT_TO_EBITDA","FY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" s="2" t="e">
        <f ca="1">_xll.BDH($C$3,"NET_DEBT_TO_EBITDA","FY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" s="2" t="e">
        <f ca="1">_xll.BDH($C$3,"TOTAL_DEBT_TO_EBIT","FY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" s="2" t="e">
        <f ca="1">_xll.BDH($C$3,"NET_DEBT_TO_EBIT","FY 2016","FY 2016","Currency=INR","Period=FY","BEST_FPERIOD_OVERRIDE=FY","FILING_STATUS=OR","EQY_CONSOLIDATED=Y","FA_ADJUSTED=GAAP","Sort=A","Dates=H","DateFormat=P","Fill=—","Direction=H","UseDPDF=Y")</f>
        <v>#NAME?</v>
      </c>
      <c r="CF13" s="2" t="e">
        <f ca="1">_xll.BDH($C$3,"EBITDA_TO_INTEREST_EXPN","FY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" s="2" t="e">
        <f ca="1">_xll.BDH($C$3,"COM_EQY_TO_TOT_ASSET","FY 2016","FY 2016","Currency=INR","Period=FY","BEST_FPERIOD_OVERRIDE=FY","FILING_STATUS=OR","EQY_CONSOLIDATED=Y","Sort=A","Dates=H","DateFormat=P","Fill=—","Direction=H","UseDPDF=Y")</f>
        <v>#NAME?</v>
      </c>
      <c r="CH13" s="2" t="e">
        <f ca="1">_xll.BDH($C$3,"LT_DEBT_TO_TOT_EQY","FY 2016","FY 2016","Currency=INR","Period=FY","BEST_FPERIOD_OVERRIDE=FY","FILING_STATUS=OR","EQY_CONSOLIDATED=Y","Sort=A","Dates=H","DateFormat=P","Fill=—","Direction=H","UseDPDF=Y")</f>
        <v>#NAME?</v>
      </c>
      <c r="CI13" s="2" t="e">
        <f ca="1">_xll.BDH($C$3,"LT_DEBT_TO_TOT_CAP","FY 2016","FY 2016","Currency=INR","Period=FY","BEST_FPERIOD_OVERRIDE=FY","FILING_STATUS=OR","EQY_CONSOLIDATED=Y","Sort=A","Dates=H","DateFormat=P","Fill=—","Direction=H","UseDPDF=Y")</f>
        <v>#NAME?</v>
      </c>
      <c r="CJ13" s="2" t="e">
        <f ca="1">_xll.BDH($C$3,"LT_DEBT_TO_TOT_ASSET","FY 2016","FY 2016","Currency=INR","Period=FY","BEST_FPERIOD_OVERRIDE=FY","FILING_STATUS=OR","EQY_CONSOLIDATED=Y","Sort=A","Dates=H","DateFormat=P","Fill=—","Direction=H","UseDPDF=Y")</f>
        <v>#NAME?</v>
      </c>
      <c r="CK13" s="2" t="e">
        <f ca="1">_xll.BDH($C$3,"TOT_DEBT_TO_TOT_EQY","FY 2016","FY 2016","Currency=INR","Period=FY","BEST_FPERIOD_OVERRIDE=FY","FILING_STATUS=OR","EQY_CONSOLIDATED=Y","Sort=A","Dates=H","DateFormat=P","Fill=—","Direction=H","UseDPDF=Y")</f>
        <v>#NAME?</v>
      </c>
      <c r="CL13" s="2" t="e">
        <f ca="1">_xll.BDH($C$3,"TOT_DEBT_TO_TOT_CAP","FY 2016","FY 2016","Currency=INR","Period=FY","BEST_FPERIOD_OVERRIDE=FY","FILING_STATUS=OR","EQY_CONSOLIDATED=Y","Sort=A","Dates=H","DateFormat=P","Fill=—","Direction=H","UseDPDF=Y")</f>
        <v>#NAME?</v>
      </c>
      <c r="CM13" s="2" t="e">
        <f ca="1">_xll.BDH($C$3,"TOT_DEBT_TO_TOT_ASSET","FY 2016","FY 2016","Currency=INR","Period=FY","BEST_FPERIOD_OVERRIDE=FY","FILING_STATUS=OR","EQY_CONSOLIDATED=Y","Sort=A","Dates=H","DateFormat=P","Fill=—","Direction=H","UseDPDF=Y")</f>
        <v>#NAME?</v>
      </c>
      <c r="CN13" s="2" t="e">
        <f ca="1">_xll.BDH($C$3,"NET_DEBT_TO_SHRHLDR_EQTY","FY 2016","FY 2016","Currency=INR","Period=FY","BEST_FPERIOD_OVERRIDE=FY","FILING_STATUS=OR","EQY_CONSOLIDATED=Y","Sort=A","Dates=H","DateFormat=P","Fill=—","Direction=H","UseDPDF=Y")</f>
        <v>#NAME?</v>
      </c>
      <c r="CO13" s="2" t="e">
        <f ca="1">_xll.BDH($C$3,"NET_DEBT_%_CAPITAL","FY 2016","FY 2016","Currency=INR","Period=FY","BEST_FPERIOD_OVERRIDE=FY","FILING_STATUS=OR","EQY_CONSOLIDATED=Y","Sort=A","Dates=H","DateFormat=P","Fill=—","Direction=H","UseDPDF=Y")</f>
        <v>#NAME?</v>
      </c>
      <c r="CP13" s="3" t="e">
        <f ca="1">_xll.BDH($C$3,"EBITDA","FY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" s="3" t="e">
        <f ca="1">_xll.BDH($C$3,"EBITDA_AFTER_CAPEX","FY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" s="3" t="e">
        <f ca="1">_xll.BDH($C$3,"IS_OPER_INC","FY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" s="2" t="e">
        <f ca="1">_xll.BDH($C$3,"CASH_RATIO","FY 2016","FY 2016","Currency=INR","Period=FY","BEST_FPERIOD_OVERRIDE=FY","FILING_STATUS=OR","EQY_CONSOLIDATED=Y","Sort=A","Dates=H","DateFormat=P","Fill=—","Direction=H","UseDPDF=Y")</f>
        <v>#NAME?</v>
      </c>
      <c r="CT13" s="2" t="e">
        <f ca="1">_xll.BDH($C$3,"CUR_RATIO","FY 2016","FY 2016","Currency=INR","Period=FY","BEST_FPERIOD_OVERRIDE=FY","FILING_STATUS=OR","EQY_CONSOLIDATED=Y","Sort=A","Dates=H","DateFormat=P","Fill=—","Direction=H","UseDPDF=Y")</f>
        <v>#NAME?</v>
      </c>
      <c r="CU13" s="2" t="e">
        <f ca="1">_xll.BDH($C$3,"QUICK_RATIO","FY 2016","FY 2016","Currency=INR","Period=FY","BEST_FPERIOD_OVERRIDE=FY","FILING_STATUS=OR","EQY_CONSOLIDATED=Y","Sort=A","Dates=H","DateFormat=P","Fill=—","Direction=H","UseDPDF=Y")</f>
        <v>#NAME?</v>
      </c>
      <c r="CV13" s="2" t="e">
        <f ca="1">_xll.BDH($C$3,"ALTMAN_Z_SCORE","FY 2016","FY 2016","Currency=INR","Period=FY","BEST_FPERIOD_OVERRIDE=FY","FILING_STATUS=OR","EQY_CONSOLIDATED=Y","Sort=A","Dates=H","DateFormat=P","Fill=—","Direction=H","UseDPDF=Y")</f>
        <v>#NAME?</v>
      </c>
      <c r="CW13" s="4" t="e">
        <f ca="1">_xll.BDH($C$3,"ACCT_RCV_TURN","FY 2016","FY 2016","Currency=INR","Period=FY","BEST_FPERIOD_OVERRIDE=FY","FILING_STATUS=OR","EQY_CONSOLIDATED=Y","FA_ADJUSTED=GAAP","Sort=A","Dates=H","DateFormat=P","Fill=—","Direction=H","UseDPDF=Y")</f>
        <v>#NAME?</v>
      </c>
      <c r="CX13" s="2" t="e">
        <f ca="1">_xll.BDH($C$3,"ACCT_RCV_DAYS","FY 2016","FY 2016","Currency=INR","Period=FY","BEST_FPERIOD_OVERRIDE=FY","FILING_STATUS=OR","EQY_CONSOLIDATED=Y","FA_ADJUSTED=GAAP","Sort=A","Dates=H","DateFormat=P","Fill=—","Direction=H","UseDPDF=Y")</f>
        <v>#NAME?</v>
      </c>
      <c r="CY13" s="4" t="e">
        <f ca="1">_xll.BDH($C$3,"INVENT_TURN","FY 2016","FY 2016","Currency=INR","Period=FY","BEST_FPERIOD_OVERRIDE=FY","FILING_STATUS=OR","EQY_CONSOLIDATED=Y","FA_ADJUSTED=GAAP","Sort=A","Dates=H","DateFormat=P","Fill=—","Direction=H","UseDPDF=Y")</f>
        <v>#NAME?</v>
      </c>
      <c r="CZ13" s="2" t="e">
        <f ca="1">_xll.BDH($C$3,"INVENT_DAYS","FY 2016","FY 2016","Currency=INR","Period=FY","BEST_FPERIOD_OVERRIDE=FY","FILING_STATUS=OR","EQY_CONSOLIDATED=Y","FA_ADJUSTED=GAAP","Sort=A","Dates=H","DateFormat=P","Fill=—","Direction=H","UseDPDF=Y")</f>
        <v>#NAME?</v>
      </c>
      <c r="DA13" s="4" t="e">
        <f ca="1">_xll.BDH($C$3,"ACCOUNTS_PAYABLE_TURNOVER","FY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" s="2" t="e">
        <f ca="1">_xll.BDH($C$3,"ACCOUNTS_PAYABLE_TURNOVER_DAYS","FY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" s="4" t="e">
        <f ca="1">_xll.BDH($C$3,"CASH_CONVERSION_CYCLE","FY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" s="4" t="e">
        <f ca="1">_xll.BDH($C$3,"INV_TO_CASH_DAYS","FY 2016","FY 2016","Currency=INR","Period=FY","BEST_FPERIOD_OVERRIDE=FY","FILING_STATUS=OR","EQY_CONSOLIDATED=Y","FA_ADJUSTED=GAAP","Sort=A","Dates=H","DateFormat=P","Fill=—","Direction=H","UseDPDF=Y")</f>
        <v>#NAME?</v>
      </c>
      <c r="DE13" s="5" t="e">
        <f ca="1">_xll.BDH($C$3,"BS_INVENTORIES","FY 2016","FY 2016","Currency=INR","Period=FY","BEST_FPERIOD_OVERRIDE=FY","FILING_STATUS=OR","EQY_CONSOLIDATED=Y","SCALING_FORMAT=MLN","Sort=A","Dates=H","DateFormat=P","Fill=—","Direction=H","UseDPDF=Y")</f>
        <v>#NAME?</v>
      </c>
      <c r="DF13" s="3" t="e">
        <f ca="1">_xll.BDH($C$3,"INVTRY_RAW_MATERIALS","FY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" s="3" t="e">
        <f ca="1">_xll.BDH($C$3,"INVTRY_IN_PROGRESS","FY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" s="3" t="e">
        <f ca="1">_xll.BDH($C$3,"INVTRY_FINISHED_GOODS","FY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" s="3" t="e">
        <f ca="1">_xll.BDH($C$3,"BS_OTHER_INV","FY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4" spans="1:113" x14ac:dyDescent="0.3">
      <c r="A14" s="6"/>
      <c r="B14" s="6"/>
      <c r="C14" s="6"/>
      <c r="D14" s="6"/>
      <c r="E14" t="s">
        <v>78</v>
      </c>
      <c r="F14" t="e">
        <f ca="1">_xll.BDH($C$3,"RETURN_COM_EQY","FQ1 2016","FQ1 2016","Currency=INR","Period=FQ","BEST_FPERIOD_OVERRIDE=FQ","FILING_STATUS=OR","EQY_CONSOLIDATED=Y","FA_ADJUSTED=GAAP","Sort=A","Dates=H","DateFormat=P","Fill=—","Direction=H","UseDPDF=Y")</f>
        <v>#NAME?</v>
      </c>
      <c r="G14" t="e">
        <f ca="1">_xll.BDH($C$3,"RETURN_ON_ASSET","FQ1 2016","FQ1 2016","Currency=INR","Period=FQ","BEST_FPERIOD_OVERRIDE=FQ","FILING_STATUS=OR","EQY_CONSOLIDATED=Y","FA_ADJUSTED=GAAP","Sort=A","Dates=H","DateFormat=P","Fill=—","Direction=H","UseDPDF=Y")</f>
        <v>#NAME?</v>
      </c>
      <c r="H14" t="e">
        <f ca="1">_xll.BDH($C$3,"RETURN_ON_CAP","FQ1 2016","FQ1 2016","Currency=INR","Period=FQ","BEST_FPERIOD_OVERRIDE=FQ","FILING_STATUS=OR","EQY_CONSOLIDATED=Y","FA_ADJUSTED=GAAP","Sort=A","Dates=H","DateFormat=P","Fill=—","Direction=H","UseDPDF=Y")</f>
        <v>#NAME?</v>
      </c>
      <c r="I14" t="e">
        <f ca="1">_xll.BDH($C$3,"RETURN_ON_INV_CAPITAL","FQ1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4" t="e">
        <f ca="1">_xll.BDH($C$3,"EBITDA_TO_REVENUE","FQ1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4" t="e">
        <f ca="1">_xll.BDH($C$3,"OPER_MARGIN","FQ1 2016","FQ1 2016","Currency=INR","Period=FQ","BEST_FPERIOD_OVERRIDE=FQ","FILING_STATUS=OR","EQY_CONSOLIDATED=Y","FA_ADJUSTED=GAAP","Sort=A","Dates=H","DateFormat=P","Fill=—","Direction=H","UseDPDF=Y")</f>
        <v>#NAME?</v>
      </c>
      <c r="L14" t="e">
        <f ca="1">_xll.BDH($C$3,"INCREMENTAL_OPERATING_MARGIN","FQ1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4" t="e">
        <f ca="1">_xll.BDH($C$3,"PRETAX_INC_TO_NET_SALES","FQ1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4" t="e">
        <f ca="1">_xll.BDH($C$3,"INC_BEF_XO_ITEMS_TO_NET_SALES","FQ1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4" t="e">
        <f ca="1">_xll.BDH($C$3,"PROF_MARGIN","FQ1 2016","FQ1 2016","Currency=INR","Period=FQ","BEST_FPERIOD_OVERRIDE=FQ","FILING_STATUS=OR","EQY_CONSOLIDATED=Y","FA_ADJUSTED=GAAP","Sort=A","Dates=H","DateFormat=P","Fill=—","Direction=H","UseDPDF=Y")</f>
        <v>#NAME?</v>
      </c>
      <c r="P14" t="e">
        <f ca="1">_xll.BDH($C$3,"NET_INCOME_TO_COMMON_MARGIN","FQ1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4" t="e">
        <f ca="1">_xll.BDH($C$3,"EFF_TAX_RATE","FQ1 2016","FQ1 2016","Currency=INR","Period=FQ","BEST_FPERIOD_OVERRIDE=FQ","FILING_STATUS=OR","EQY_CONSOLIDATED=Y","FA_ADJUSTED=GAAP","Sort=A","Dates=H","DateFormat=P","Fill=—","Direction=H","UseDPDF=Y")</f>
        <v>#NAME?</v>
      </c>
      <c r="R14" t="e">
        <f ca="1">_xll.BDH($C$3,"DVD_PAYOUT_RATIO","FQ1 2016","FQ1 2016","Currency=INR","Period=FQ","BEST_FPERIOD_OVERRIDE=FQ","FILING_STATUS=OR","EQY_CONSOLIDATED=Y","FA_ADJUSTED=GAAP","Sort=A","Dates=H","DateFormat=P","Fill=—","Direction=H","UseDPDF=Y")</f>
        <v>#NAME?</v>
      </c>
      <c r="S14" t="e">
        <f ca="1">_xll.BDH($C$3,"SUSTAIN_GROWTH_RT","FQ1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4" s="2" t="e">
        <f ca="1">_xll.BDH($C$3,"SALES_GROWTH","FQ1 2016","FQ1 2016","Currency=INR","Period=FQ","BEST_FPERIOD_OVERRIDE=FQ","FILING_STATUS=OR","EQY_CONSOLIDATED=Y","FA_ADJUSTED=GAAP","Sort=A","Dates=H","DateFormat=P","Fill=—","Direction=H","UseDPDF=Y")</f>
        <v>#NAME?</v>
      </c>
      <c r="U14" s="2" t="e">
        <f ca="1">_xll.BDH($C$3,"EBITDA_GROWTH","FQ1 2016","FQ1 2016","Currency=INR","Period=FQ","BEST_FPERIOD_OVERRIDE=FQ","FILING_STATUS=OR","EQY_CONSOLIDATED=Y","FA_ADJUSTED=GAAP","Sort=A","Dates=H","DateFormat=P","Fill=—","Direction=H","UseDPDF=Y")</f>
        <v>#NAME?</v>
      </c>
      <c r="V14" s="2" t="e">
        <f ca="1">_xll.BDH($C$3,"OPER_INC_GROWTH","FQ1 2016","FQ1 2016","Currency=INR","Period=FQ","BEST_FPERIOD_OVERRIDE=FQ","FILING_STATUS=OR","EQY_CONSOLIDATED=Y","FA_ADJUSTED=GAAP","Sort=A","Dates=H","DateFormat=P","Fill=—","Direction=H","UseDPDF=Y")</f>
        <v>#NAME?</v>
      </c>
      <c r="W14" s="2" t="e">
        <f ca="1">_xll.BDH($C$3,"EARN_FOR_COM_GROWTH","FQ1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4" s="2" t="e">
        <f ca="1">_xll.BDH($C$3,"DILUTED_EPS_AFT_XO_ITEMS_GROWTH","FQ1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4" s="2" t="e">
        <f ca="1">_xll.BDH($C$3,"DIVIDEND_PER_SHARE_1_YEAR_GROWTH","FQ1 2016","FQ1 2016","Currency=INR","Period=FQ","BEST_FPERIOD_OVERRIDE=FQ","FILING_STATUS=OR","EQY_CONSOLIDATED=Y","Sort=A","Dates=H","DateFormat=P","Fill=—","Direction=H","UseDPDF=Y")</f>
        <v>#NAME?</v>
      </c>
      <c r="Z14" s="2" t="e">
        <f ca="1">_xll.BDH($C$3,"ACCOUNTS_RECEIVABLE_GROWTH","FQ1 2016","FQ1 2016","Currency=INR","Period=FQ","BEST_FPERIOD_OVERRIDE=FQ","FILING_STATUS=OR","EQY_CONSOLIDATED=Y","Sort=A","Dates=H","DateFormat=P","Fill=—","Direction=H","UseDPDF=Y")</f>
        <v>#NAME?</v>
      </c>
      <c r="AA14" s="2" t="e">
        <f ca="1">_xll.BDH($C$3,"INVENTORY_GROWTH","FQ1 2016","FQ1 2016","Currency=INR","Period=FQ","BEST_FPERIOD_OVERRIDE=FQ","FILING_STATUS=OR","EQY_CONSOLIDATED=Y","Sort=A","Dates=H","DateFormat=P","Fill=—","Direction=H","UseDPDF=Y")</f>
        <v>#NAME?</v>
      </c>
      <c r="AB14" s="2" t="e">
        <f ca="1">_xll.BDH($C$3,"NET_FIXED_ASSETS_1_YEAR_GROWTH","FQ1 2016","FQ1 2016","Currency=INR","Period=FQ","BEST_FPERIOD_OVERRIDE=FQ","FILING_STATUS=OR","EQY_CONSOLIDATED=Y","Sort=A","Dates=H","DateFormat=P","Fill=—","Direction=H","UseDPDF=Y")</f>
        <v>#NAME?</v>
      </c>
      <c r="AC14" s="2" t="e">
        <f ca="1">_xll.BDH($C$3,"ASSET_GROWTH","FQ1 2016","FQ1 2016","Currency=INR","Period=FQ","BEST_FPERIOD_OVERRIDE=FQ","FILING_STATUS=OR","EQY_CONSOLIDATED=Y","Sort=A","Dates=H","DateFormat=P","Fill=—","Direction=H","UseDPDF=Y")</f>
        <v>#NAME?</v>
      </c>
      <c r="AD14" s="2" t="e">
        <f ca="1">_xll.BDH($C$3,"MODIFIED_WORK_CAP_GROWTH","FQ1 2016","FQ1 2016","Currency=INR","Period=FQ","BEST_FPERIOD_OVERRIDE=FQ","FILING_STATUS=OR","EQY_CONSOLIDATED=Y","Sort=A","Dates=H","DateFormat=P","Fill=—","Direction=H","UseDPDF=Y")</f>
        <v>#NAME?</v>
      </c>
      <c r="AE14" s="2" t="e">
        <f ca="1">_xll.BDH($C$3,"WORK_CAP_GROWTH","FQ1 2016","FQ1 2016","Currency=INR","Period=FQ","BEST_FPERIOD_OVERRIDE=FQ","FILING_STATUS=OR","EQY_CONSOLIDATED=Y","Sort=A","Dates=H","DateFormat=P","Fill=—","Direction=H","UseDPDF=Y")</f>
        <v>#NAME?</v>
      </c>
      <c r="AF14" s="2" t="e">
        <f ca="1">_xll.BDH($C$3,"ACCOUNTS_PAYABLE_GROWTH_1YR","FQ1 2016","FQ1 2016","Currency=INR","Period=FQ","BEST_FPERIOD_OVERRIDE=FQ","FILING_STATUS=OR","EQY_CONSOLIDATED=Y","Sort=A","Dates=H","DateFormat=P","Fill=—","Direction=H","UseDPDF=Y")</f>
        <v>#NAME?</v>
      </c>
      <c r="AG14" s="2" t="e">
        <f ca="1">_xll.BDH($C$3,"SHORT_TERM_DEBT_1_YEAR_GROWTH","FQ1 2016","FQ1 2016","Currency=INR","Period=FQ","BEST_FPERIOD_OVERRIDE=FQ","FILING_STATUS=OR","EQY_CONSOLIDATED=Y","Sort=A","Dates=H","DateFormat=P","Fill=—","Direction=H","UseDPDF=Y")</f>
        <v>#NAME?</v>
      </c>
      <c r="AH14" s="2" t="e">
        <f ca="1">_xll.BDH($C$3,"TOTAL_DEBT_1_YEAR_GROWTH","FQ1 2016","FQ1 2016","Currency=INR","Period=FQ","BEST_FPERIOD_OVERRIDE=FQ","FILING_STATUS=OR","EQY_CONSOLIDATED=Y","Sort=A","Dates=H","DateFormat=P","Fill=—","Direction=H","UseDPDF=Y")</f>
        <v>#NAME?</v>
      </c>
      <c r="AI14" s="2" t="e">
        <f ca="1">_xll.BDH($C$3,"TOTAL_EQUITY_1_YEAR_GROWTH","FQ1 2016","FQ1 2016","Currency=INR","Period=FQ","BEST_FPERIOD_OVERRIDE=FQ","FILING_STATUS=OR","EQY_CONSOLIDATED=Y","Sort=A","Dates=H","DateFormat=P","Fill=—","Direction=H","UseDPDF=Y")</f>
        <v>#NAME?</v>
      </c>
      <c r="AJ14" s="2" t="e">
        <f ca="1">_xll.BDH($C$3,"GROWTH_IN_CAP","FQ1 2016","FQ1 2016","Currency=INR","Period=FQ","BEST_FPERIOD_OVERRIDE=FQ","FILING_STATUS=OR","EQY_CONSOLIDATED=Y","Sort=A","Dates=H","DateFormat=P","Fill=—","Direction=H","UseDPDF=Y")</f>
        <v>#NAME?</v>
      </c>
      <c r="AK14" s="2" t="e">
        <f ca="1">_xll.BDH($C$3,"BVPS_GROWTH","FQ1 2016","FQ1 2016","Currency=INR","Period=FQ","BEST_FPERIOD_OVERRIDE=FQ","FILING_STATUS=OR","EQY_CONSOLIDATED=Y","Sort=A","Dates=H","DateFormat=P","Fill=—","Direction=H","UseDPDF=Y")</f>
        <v>#NAME?</v>
      </c>
      <c r="AL14" s="2" t="e">
        <f ca="1">_xll.BDH($C$3,"CASH_FLOW_GROWTH","FQ1 2016","FQ1 2016","Currency=INR","Period=FQ","BEST_FPERIOD_OVERRIDE=FQ","FILING_STATUS=OR","EQY_CONSOLIDATED=Y","Sort=A","Dates=H","DateFormat=P","Fill=—","Direction=H","UseDPDF=Y")</f>
        <v>#NAME?</v>
      </c>
      <c r="AM14" s="2" t="e">
        <f ca="1">_xll.BDH($C$3,"GEO_GROW_NET_SALES","FQ1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4" s="2" t="e">
        <f ca="1">_xll.BDH($C$3,"GEO_GROW_EBITDA","FQ1 2016","FQ1 2016","Currency=INR","Period=FQ","BEST_FPERIOD_OVERRIDE=FQ","FILING_STATUS=OR","EQY_CONSOLIDATED=Y","FA_ADJUSTED=GAAP","Sort=A","Dates=H","DateFormat=P","Fill=—","Direction=H","UseDPDF=Y")</f>
        <v>#NAME?</v>
      </c>
      <c r="AO14" s="2" t="e">
        <f ca="1">_xll.BDH($C$3,"GEO_GROW_OPER_INC","FQ1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4" s="2" t="e">
        <f ca="1">_xll.BDH($C$3,"NET_INCOME_TO_COMMON_5_YR_GROWTH","FQ1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4" s="2" t="e">
        <f ca="1">_xll.BDH($C$3,"5Y_GEO_GROWTH_DILUTED_EPS","FQ1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4" s="2" t="e">
        <f ca="1">_xll.BDH($C$3,"GEO_GROW_DVD_PER_SH","FQ1 2016","FQ1 2016","Currency=INR","Period=FQ","BEST_FPERIOD_OVERRIDE=FQ","FILING_STATUS=OR","EQY_CONSOLIDATED=Y","Sort=A","Dates=H","DateFormat=P","Fill=—","Direction=H","UseDPDF=Y")</f>
        <v>#NAME?</v>
      </c>
      <c r="AS14" s="2" t="e">
        <f ca="1">_xll.BDH($C$3,"ACCOUNTS_RECEIVABLE_5_YR_GROWTH","FQ1 2016","FQ1 2016","Currency=INR","Period=FQ","BEST_FPERIOD_OVERRIDE=FQ","FILING_STATUS=OR","EQY_CONSOLIDATED=Y","Sort=A","Dates=H","DateFormat=P","Fill=—","Direction=H","UseDPDF=Y")</f>
        <v>#NAME?</v>
      </c>
      <c r="AT14" s="2" t="e">
        <f ca="1">_xll.BDH($C$3,"INVENTORY_5_YEAR_GROWTH","FQ1 2016","FQ1 2016","Currency=INR","Period=FQ","BEST_FPERIOD_OVERRIDE=FQ","FILING_STATUS=OR","EQY_CONSOLIDATED=Y","Sort=A","Dates=H","DateFormat=P","Fill=—","Direction=H","UseDPDF=Y")</f>
        <v>#NAME?</v>
      </c>
      <c r="AU14" s="2" t="e">
        <f ca="1">_xll.BDH($C$3,"NET_FIXED_ASSETS_5_YEAR_GROWTH","FQ1 2016","FQ1 2016","Currency=INR","Period=FQ","BEST_FPERIOD_OVERRIDE=FQ","FILING_STATUS=OR","EQY_CONSOLIDATED=Y","Sort=A","Dates=H","DateFormat=P","Fill=—","Direction=H","UseDPDF=Y")</f>
        <v>#NAME?</v>
      </c>
      <c r="AV14" s="2" t="e">
        <f ca="1">_xll.BDH($C$3,"GEO_GROW_TOT_ASSET","FQ1 2016","FQ1 2016","Currency=INR","Period=FQ","BEST_FPERIOD_OVERRIDE=FQ","FILING_STATUS=OR","EQY_CONSOLIDATED=Y","Sort=A","Dates=H","DateFormat=P","Fill=—","Direction=H","UseDPDF=Y")</f>
        <v>#NAME?</v>
      </c>
      <c r="AW14" s="2" t="e">
        <f ca="1">_xll.BDH($C$3,"MODIFIED_WORKING_CPTL_5YR_GRWTH","FQ1 2016","FQ1 2016","Currency=INR","Period=FQ","BEST_FPERIOD_OVERRIDE=FQ","FILING_STATUS=OR","EQY_CONSOLIDATED=Y","Sort=A","Dates=H","DateFormat=P","Fill=—","Direction=H","UseDPDF=Y")</f>
        <v>#NAME?</v>
      </c>
      <c r="AX14" s="2" t="e">
        <f ca="1">_xll.BDH($C$3,"WORKING_CAPITAL_5_YEAR_GROWTH","FQ1 2016","FQ1 2016","Currency=INR","Period=FQ","BEST_FPERIOD_OVERRIDE=FQ","FILING_STATUS=OR","EQY_CONSOLIDATED=Y","Sort=A","Dates=H","DateFormat=P","Fill=—","Direction=H","UseDPDF=Y")</f>
        <v>#NAME?</v>
      </c>
      <c r="AY14" s="2" t="e">
        <f ca="1">_xll.BDH($C$3,"ACCOUNTS_PAYABLE_5_YEAR_GROWTH","FQ1 2016","FQ1 2016","Currency=INR","Period=FQ","BEST_FPERIOD_OVERRIDE=FQ","FILING_STATUS=OR","EQY_CONSOLIDATED=Y","Sort=A","Dates=H","DateFormat=P","Fill=—","Direction=H","UseDPDF=Y")</f>
        <v>#NAME?</v>
      </c>
      <c r="AZ14" s="2" t="e">
        <f ca="1">_xll.BDH($C$3,"SHORT_TERM_DEBT_5_YEAR_GROWTH","FQ1 2016","FQ1 2016","Currency=INR","Period=FQ","BEST_FPERIOD_OVERRIDE=FQ","FILING_STATUS=OR","EQY_CONSOLIDATED=Y","Sort=A","Dates=H","DateFormat=P","Fill=—","Direction=H","UseDPDF=Y")</f>
        <v>#NAME?</v>
      </c>
      <c r="BA14" s="2" t="e">
        <f ca="1">_xll.BDH($C$3,"TOTAL_DEBT_5_YEAR_GROWTH","FQ1 2016","FQ1 2016","Currency=INR","Period=FQ","BEST_FPERIOD_OVERRIDE=FQ","FILING_STATUS=OR","EQY_CONSOLIDATED=Y","Sort=A","Dates=H","DateFormat=P","Fill=—","Direction=H","UseDPDF=Y")</f>
        <v>#NAME?</v>
      </c>
      <c r="BB14" s="2" t="e">
        <f ca="1">_xll.BDH($C$3,"GEO_GROW_TOT_SHRHLDR_EQY","FQ1 2016","FQ1 2016","Currency=INR","Period=FQ","BEST_FPERIOD_OVERRIDE=FQ","FILING_STATUS=OR","EQY_CONSOLIDATED=Y","Sort=A","Dates=H","DateFormat=P","Fill=—","Direction=H","UseDPDF=Y")</f>
        <v>#NAME?</v>
      </c>
      <c r="BC14" s="2" t="e">
        <f ca="1">_xll.BDH($C$3,"TOTAL_CAPITAL_5_YEAR_GROWTH","FQ1 2016","FQ1 2016","Currency=INR","Period=FQ","BEST_FPERIOD_OVERRIDE=FQ","FILING_STATUS=OR","EQY_CONSOLIDATED=Y","Sort=A","Dates=H","DateFormat=P","Fill=—","Direction=H","UseDPDF=Y")</f>
        <v>#NAME?</v>
      </c>
      <c r="BD14" s="2" t="e">
        <f ca="1">_xll.BDH($C$3,"GEO_GROW_BOOK_VAL","FQ1 2016","FQ1 2016","Currency=INR","Period=FQ","BEST_FPERIOD_OVERRIDE=FQ","FILING_STATUS=OR","EQY_CONSOLIDATED=Y","Sort=A","Dates=H","DateFormat=P","Fill=—","Direction=H","UseDPDF=Y")</f>
        <v>#NAME?</v>
      </c>
      <c r="BE14" s="2" t="e">
        <f ca="1">_xll.BDH($C$3,"GEO_GROW_CASH_OPER_ACT","FQ1 2016","FQ1 2016","Currency=INR","Period=FQ","BEST_FPERIOD_OVERRIDE=FQ","FILING_STATUS=OR","EQY_CONSOLIDATED=Y","Sort=A","Dates=H","DateFormat=P","Fill=—","Direction=H","UseDPDF=Y")</f>
        <v>#NAME?</v>
      </c>
      <c r="BF14" s="2" t="e">
        <f ca="1">_xll.BDH($C$3,"REVENUE_SEQUENTIAL_GROWTH","FQ1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4" s="2" t="e">
        <f ca="1">_xll.BDH($C$3,"EBITDA_SEQUENTIAL_GROWTH","FQ1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4" s="2" t="e">
        <f ca="1">_xll.BDH($C$3,"OPERATING_INCOME_SEQ_GROWTH","FQ1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4" s="2" t="e">
        <f ca="1">_xll.BDH($C$3,"NET_INCOME_TO_COMMON_SEQ_GROWTH","FQ1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4" s="2" t="e">
        <f ca="1">_xll.BDH($C$3,"EPS_DILUTED_SEQUENTIAL_GROWTH","FQ1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4" s="2" t="e">
        <f ca="1">_xll.BDH($C$3,"DPS_SEQUENTIAL_GROWTH","FQ1 2016","FQ1 2016","Currency=INR","Period=FQ","BEST_FPERIOD_OVERRIDE=FQ","FILING_STATUS=OR","EQY_CONSOLIDATED=Y","Sort=A","Dates=H","DateFormat=P","Fill=—","Direction=H","UseDPDF=Y")</f>
        <v>#NAME?</v>
      </c>
      <c r="BL14" s="2" t="e">
        <f ca="1">_xll.BDH($C$3,"ACCOUNTS_RECEIVABLE_SEQ_GROWTH","FQ1 2016","FQ1 2016","Currency=INR","Period=FQ","BEST_FPERIOD_OVERRIDE=FQ","FILING_STATUS=OR","EQY_CONSOLIDATED=Y","Sort=A","Dates=H","DateFormat=P","Fill=—","Direction=H","UseDPDF=Y")</f>
        <v>#NAME?</v>
      </c>
      <c r="BM14" s="2" t="e">
        <f ca="1">_xll.BDH($C$3,"INVENTORY_SEQUENTIAL_GROWTH","FQ1 2016","FQ1 2016","Currency=INR","Period=FQ","BEST_FPERIOD_OVERRIDE=FQ","FILING_STATUS=OR","EQY_CONSOLIDATED=Y","Sort=A","Dates=H","DateFormat=P","Fill=—","Direction=H","UseDPDF=Y")</f>
        <v>#NAME?</v>
      </c>
      <c r="BN14" s="2" t="e">
        <f ca="1">_xll.BDH($C$3,"FIXED_ASSETS_SEQUENTIAL_GROWTH","FQ1 2016","FQ1 2016","Currency=INR","Period=FQ","BEST_FPERIOD_OVERRIDE=FQ","FILING_STATUS=OR","EQY_CONSOLIDATED=Y","Sort=A","Dates=H","DateFormat=P","Fill=—","Direction=H","UseDPDF=Y")</f>
        <v>#NAME?</v>
      </c>
      <c r="BO14" s="2" t="e">
        <f ca="1">_xll.BDH($C$3,"TOTAL_ASSETS_SEQUENTIAL_GROWTH","FQ1 2016","FQ1 2016","Currency=INR","Period=FQ","BEST_FPERIOD_OVERRIDE=FQ","FILING_STATUS=OR","EQY_CONSOLIDATED=Y","Sort=A","Dates=H","DateFormat=P","Fill=—","Direction=H","UseDPDF=Y")</f>
        <v>#NAME?</v>
      </c>
      <c r="BP14" s="2" t="e">
        <f ca="1">_xll.BDH($C$3,"MODIFIED_WORKING_CPTL_SEQ_GRWTH","FQ1 2016","FQ1 2016","Currency=INR","Period=FQ","BEST_FPERIOD_OVERRIDE=FQ","FILING_STATUS=OR","EQY_CONSOLIDATED=Y","Sort=A","Dates=H","DateFormat=P","Fill=—","Direction=H","UseDPDF=Y")</f>
        <v>#NAME?</v>
      </c>
      <c r="BQ14" s="2" t="e">
        <f ca="1">_xll.BDH($C$3,"WORKING_CAPITAL_SEQ_GROWTH","FQ1 2016","FQ1 2016","Currency=INR","Period=FQ","BEST_FPERIOD_OVERRIDE=FQ","FILING_STATUS=OR","EQY_CONSOLIDATED=Y","Sort=A","Dates=H","DateFormat=P","Fill=—","Direction=H","UseDPDF=Y")</f>
        <v>#NAME?</v>
      </c>
      <c r="BR14" s="2" t="e">
        <f ca="1">_xll.BDH($C$3,"ACCOUNTS_PAYABLE_SEQ_GROWTH","FQ1 2016","FQ1 2016","Currency=INR","Period=FQ","BEST_FPERIOD_OVERRIDE=FQ","FILING_STATUS=OR","EQY_CONSOLIDATED=Y","Sort=A","Dates=H","DateFormat=P","Fill=—","Direction=H","UseDPDF=Y")</f>
        <v>#NAME?</v>
      </c>
      <c r="BS14" s="2" t="e">
        <f ca="1">_xll.BDH($C$3,"ST_DEBT_SEQUENTIAL_GROWTH","FQ1 2016","FQ1 2016","Currency=INR","Period=FQ","BEST_FPERIOD_OVERRIDE=FQ","FILING_STATUS=OR","EQY_CONSOLIDATED=Y","Sort=A","Dates=H","DateFormat=P","Fill=—","Direction=H","UseDPDF=Y")</f>
        <v>#NAME?</v>
      </c>
      <c r="BT14" s="2" t="e">
        <f ca="1">_xll.BDH($C$3,"TOTAL_DEBT_SEQUENTIAL_GROWTH","FQ1 2016","FQ1 2016","Currency=INR","Period=FQ","BEST_FPERIOD_OVERRIDE=FQ","FILING_STATUS=OR","EQY_CONSOLIDATED=Y","Sort=A","Dates=H","DateFormat=P","Fill=—","Direction=H","UseDPDF=Y")</f>
        <v>#NAME?</v>
      </c>
      <c r="BU14" s="2" t="e">
        <f ca="1">_xll.BDH($C$3,"TOTAL_EQUITY_SEQUENTIAL_GROWTH","FQ1 2016","FQ1 2016","Currency=INR","Period=FQ","BEST_FPERIOD_OVERRIDE=FQ","FILING_STATUS=OR","EQY_CONSOLIDATED=Y","Sort=A","Dates=H","DateFormat=P","Fill=—","Direction=H","UseDPDF=Y")</f>
        <v>#NAME?</v>
      </c>
      <c r="BV14" s="2" t="e">
        <f ca="1">_xll.BDH($C$3,"TOTAL_CAPITAL_SEQUENTIAL_GROWTH","FQ1 2016","FQ1 2016","Currency=INR","Period=FQ","BEST_FPERIOD_OVERRIDE=FQ","FILING_STATUS=OR","EQY_CONSOLIDATED=Y","Sort=A","Dates=H","DateFormat=P","Fill=—","Direction=H","UseDPDF=Y")</f>
        <v>#NAME?</v>
      </c>
      <c r="BW14" s="2" t="e">
        <f ca="1">_xll.BDH($C$3,"BPS_SEQUENTIAL_GROWTH","FQ1 2016","FQ1 2016","Currency=INR","Period=FQ","BEST_FPERIOD_OVERRIDE=FQ","FILING_STATUS=OR","EQY_CONSOLIDATED=Y","Sort=A","Dates=H","DateFormat=P","Fill=—","Direction=H","UseDPDF=Y")</f>
        <v>#NAME?</v>
      </c>
      <c r="BX14" s="2" t="e">
        <f ca="1">_xll.BDH($C$3,"CFO_SEQUENTIAL_GROWTH","FQ1 2016","FQ1 2016","Currency=INR","Period=FQ","BEST_FPERIOD_OVERRIDE=FQ","FILING_STATUS=OR","EQY_CONSOLIDATED=Y","Sort=A","Dates=H","DateFormat=P","Fill=—","Direction=H","UseDPDF=Y")</f>
        <v>#NAME?</v>
      </c>
      <c r="BY14" s="3" t="e">
        <f ca="1">_xll.BDH($C$3,"SHORT_AND_LONG_TERM_DEBT","FQ1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4" s="3" t="e">
        <f ca="1">_xll.BDH($C$3,"BS_ST_BORROW","FQ1 2016","FQ1 2016","Currency=INR","Period=FQ","BEST_FPERIOD_OVERRIDE=FQ","FILING_STATUS=OR","EQY_CONSOLIDATED=Y","SCALING_FORMAT=MLN","Sort=A","Dates=H","DateFormat=P","Fill=—","Direction=H","UseDPDF=Y")</f>
        <v>#NAME?</v>
      </c>
      <c r="CA14" s="3" t="e">
        <f ca="1">_xll.BDH($C$3,"BS_LT_BORROW","FQ1 2016","FQ1 2016","Currency=INR","Period=FQ","BEST_FPERIOD_OVERRIDE=FQ","FILING_STATUS=OR","EQY_CONSOLIDATED=Y","SCALING_FORMAT=MLN","Sort=A","Dates=H","DateFormat=P","Fill=—","Direction=H","UseDPDF=Y")</f>
        <v>#NAME?</v>
      </c>
      <c r="CB14" s="2" t="e">
        <f ca="1">_xll.BDH($C$3,"TOT_DEBT_TO_EBITDA","FQ1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4" s="2" t="e">
        <f ca="1">_xll.BDH($C$3,"NET_DEBT_TO_EBITDA","FQ1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4" s="2" t="e">
        <f ca="1">_xll.BDH($C$3,"TOTAL_DEBT_TO_EBIT","FQ1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4" s="2" t="e">
        <f ca="1">_xll.BDH($C$3,"NET_DEBT_TO_EBIT","FQ1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4" s="2" t="e">
        <f ca="1">_xll.BDH($C$3,"EBITDA_TO_INTEREST_EXPN","FQ1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4" s="2" t="e">
        <f ca="1">_xll.BDH($C$3,"COM_EQY_TO_TOT_ASSET","FQ1 2016","FQ1 2016","Currency=INR","Period=FQ","BEST_FPERIOD_OVERRIDE=FQ","FILING_STATUS=OR","EQY_CONSOLIDATED=Y","Sort=A","Dates=H","DateFormat=P","Fill=—","Direction=H","UseDPDF=Y")</f>
        <v>#NAME?</v>
      </c>
      <c r="CH14" s="2" t="e">
        <f ca="1">_xll.BDH($C$3,"LT_DEBT_TO_TOT_EQY","FQ1 2016","FQ1 2016","Currency=INR","Period=FQ","BEST_FPERIOD_OVERRIDE=FQ","FILING_STATUS=OR","EQY_CONSOLIDATED=Y","Sort=A","Dates=H","DateFormat=P","Fill=—","Direction=H","UseDPDF=Y")</f>
        <v>#NAME?</v>
      </c>
      <c r="CI14" s="2" t="e">
        <f ca="1">_xll.BDH($C$3,"LT_DEBT_TO_TOT_CAP","FQ1 2016","FQ1 2016","Currency=INR","Period=FQ","BEST_FPERIOD_OVERRIDE=FQ","FILING_STATUS=OR","EQY_CONSOLIDATED=Y","Sort=A","Dates=H","DateFormat=P","Fill=—","Direction=H","UseDPDF=Y")</f>
        <v>#NAME?</v>
      </c>
      <c r="CJ14" s="2" t="e">
        <f ca="1">_xll.BDH($C$3,"LT_DEBT_TO_TOT_ASSET","FQ1 2016","FQ1 2016","Currency=INR","Period=FQ","BEST_FPERIOD_OVERRIDE=FQ","FILING_STATUS=OR","EQY_CONSOLIDATED=Y","Sort=A","Dates=H","DateFormat=P","Fill=—","Direction=H","UseDPDF=Y")</f>
        <v>#NAME?</v>
      </c>
      <c r="CK14" s="2" t="e">
        <f ca="1">_xll.BDH($C$3,"TOT_DEBT_TO_TOT_EQY","FQ1 2016","FQ1 2016","Currency=INR","Period=FQ","BEST_FPERIOD_OVERRIDE=FQ","FILING_STATUS=OR","EQY_CONSOLIDATED=Y","Sort=A","Dates=H","DateFormat=P","Fill=—","Direction=H","UseDPDF=Y")</f>
        <v>#NAME?</v>
      </c>
      <c r="CL14" s="2" t="e">
        <f ca="1">_xll.BDH($C$3,"TOT_DEBT_TO_TOT_CAP","FQ1 2016","FQ1 2016","Currency=INR","Period=FQ","BEST_FPERIOD_OVERRIDE=FQ","FILING_STATUS=OR","EQY_CONSOLIDATED=Y","Sort=A","Dates=H","DateFormat=P","Fill=—","Direction=H","UseDPDF=Y")</f>
        <v>#NAME?</v>
      </c>
      <c r="CM14" s="2" t="e">
        <f ca="1">_xll.BDH($C$3,"TOT_DEBT_TO_TOT_ASSET","FQ1 2016","FQ1 2016","Currency=INR","Period=FQ","BEST_FPERIOD_OVERRIDE=FQ","FILING_STATUS=OR","EQY_CONSOLIDATED=Y","Sort=A","Dates=H","DateFormat=P","Fill=—","Direction=H","UseDPDF=Y")</f>
        <v>#NAME?</v>
      </c>
      <c r="CN14" s="2" t="e">
        <f ca="1">_xll.BDH($C$3,"NET_DEBT_TO_SHRHLDR_EQTY","FQ1 2016","FQ1 2016","Currency=INR","Period=FQ","BEST_FPERIOD_OVERRIDE=FQ","FILING_STATUS=OR","EQY_CONSOLIDATED=Y","Sort=A","Dates=H","DateFormat=P","Fill=—","Direction=H","UseDPDF=Y")</f>
        <v>#NAME?</v>
      </c>
      <c r="CO14" s="2" t="e">
        <f ca="1">_xll.BDH($C$3,"NET_DEBT_%_CAPITAL","FQ1 2016","FQ1 2016","Currency=INR","Period=FQ","BEST_FPERIOD_OVERRIDE=FQ","FILING_STATUS=OR","EQY_CONSOLIDATED=Y","Sort=A","Dates=H","DateFormat=P","Fill=—","Direction=H","UseDPDF=Y")</f>
        <v>#NAME?</v>
      </c>
      <c r="CP14" s="3" t="e">
        <f ca="1">_xll.BDH($C$3,"EBITDA","FQ1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4" s="3" t="e">
        <f ca="1">_xll.BDH($C$3,"EBITDA_AFTER_CAPEX","FQ1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4" s="3" t="e">
        <f ca="1">_xll.BDH($C$3,"IS_OPER_INC","FQ1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4" s="2" t="e">
        <f ca="1">_xll.BDH($C$3,"CASH_RATIO","FQ1 2016","FQ1 2016","Currency=INR","Period=FQ","BEST_FPERIOD_OVERRIDE=FQ","FILING_STATUS=OR","EQY_CONSOLIDATED=Y","Sort=A","Dates=H","DateFormat=P","Fill=—","Direction=H","UseDPDF=Y")</f>
        <v>#NAME?</v>
      </c>
      <c r="CT14" s="2" t="e">
        <f ca="1">_xll.BDH($C$3,"CUR_RATIO","FQ1 2016","FQ1 2016","Currency=INR","Period=FQ","BEST_FPERIOD_OVERRIDE=FQ","FILING_STATUS=OR","EQY_CONSOLIDATED=Y","Sort=A","Dates=H","DateFormat=P","Fill=—","Direction=H","UseDPDF=Y")</f>
        <v>#NAME?</v>
      </c>
      <c r="CU14" s="2" t="e">
        <f ca="1">_xll.BDH($C$3,"QUICK_RATIO","FQ1 2016","FQ1 2016","Currency=INR","Period=FQ","BEST_FPERIOD_OVERRIDE=FQ","FILING_STATUS=OR","EQY_CONSOLIDATED=Y","Sort=A","Dates=H","DateFormat=P","Fill=—","Direction=H","UseDPDF=Y")</f>
        <v>#NAME?</v>
      </c>
      <c r="CV14" s="2" t="e">
        <f ca="1">_xll.BDH($C$3,"ALTMAN_Z_SCORE","FQ1 2016","FQ1 2016","Currency=INR","Period=FQ","BEST_FPERIOD_OVERRIDE=FQ","FILING_STATUS=OR","EQY_CONSOLIDATED=Y","Sort=A","Dates=H","DateFormat=P","Fill=—","Direction=H","UseDPDF=Y")</f>
        <v>#NAME?</v>
      </c>
      <c r="CW14" s="4" t="e">
        <f ca="1">_xll.BDH($C$3,"ACCT_RCV_TURN","FQ1 2016","FQ1 2016","Currency=INR","Period=FQ","BEST_FPERIOD_OVERRIDE=FQ","FILING_STATUS=OR","EQY_CONSOLIDATED=Y","FA_ADJUSTED=GAAP","Sort=A","Dates=H","DateFormat=P","Fill=—","Direction=H","UseDPDF=Y")</f>
        <v>#NAME?</v>
      </c>
      <c r="CX14" s="2" t="e">
        <f ca="1">_xll.BDH($C$3,"ACCT_RCV_DAYS","FQ1 2016","FQ1 2016","Currency=INR","Period=FQ","BEST_FPERIOD_OVERRIDE=FQ","FILING_STATUS=OR","EQY_CONSOLIDATED=Y","FA_ADJUSTED=GAAP","Sort=A","Dates=H","DateFormat=P","Fill=—","Direction=H","UseDPDF=Y")</f>
        <v>#NAME?</v>
      </c>
      <c r="CY14" s="4" t="e">
        <f ca="1">_xll.BDH($C$3,"INVENT_TURN","FQ1 2016","FQ1 2016","Currency=INR","Period=FQ","BEST_FPERIOD_OVERRIDE=FQ","FILING_STATUS=OR","EQY_CONSOLIDATED=Y","FA_ADJUSTED=GAAP","Sort=A","Dates=H","DateFormat=P","Fill=—","Direction=H","UseDPDF=Y")</f>
        <v>#NAME?</v>
      </c>
      <c r="CZ14" s="2" t="e">
        <f ca="1">_xll.BDH($C$3,"INVENT_DAYS","FQ1 2016","FQ1 2016","Currency=INR","Period=FQ","BEST_FPERIOD_OVERRIDE=FQ","FILING_STATUS=OR","EQY_CONSOLIDATED=Y","FA_ADJUSTED=GAAP","Sort=A","Dates=H","DateFormat=P","Fill=—","Direction=H","UseDPDF=Y")</f>
        <v>#NAME?</v>
      </c>
      <c r="DA14" s="4" t="e">
        <f ca="1">_xll.BDH($C$3,"ACCOUNTS_PAYABLE_TURNOVER","FQ1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4" s="2" t="e">
        <f ca="1">_xll.BDH($C$3,"ACCOUNTS_PAYABLE_TURNOVER_DAYS","FQ1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4" s="4" t="e">
        <f ca="1">_xll.BDH($C$3,"CASH_CONVERSION_CYCLE","FQ1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4" s="4" t="e">
        <f ca="1">_xll.BDH($C$3,"INV_TO_CASH_DAYS","FQ1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4" s="5" t="e">
        <f ca="1">_xll.BDH($C$3,"BS_INVENTORIES","FQ1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4" s="3" t="e">
        <f ca="1">_xll.BDH($C$3,"INVTRY_RAW_MATERIALS","FQ1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4" s="3" t="e">
        <f ca="1">_xll.BDH($C$3,"INVTRY_IN_PROGRESS","FQ1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4" s="3" t="e">
        <f ca="1">_xll.BDH($C$3,"INVTRY_FINISHED_GOODS","FQ1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4" s="3" t="e">
        <f ca="1">_xll.BDH($C$3,"BS_OTHER_INV","FQ1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5" spans="1:113" x14ac:dyDescent="0.3">
      <c r="A15" s="6"/>
      <c r="B15" s="6"/>
      <c r="C15" s="6"/>
      <c r="D15" s="6"/>
      <c r="E15" t="s">
        <v>79</v>
      </c>
      <c r="F15" t="e">
        <f ca="1">_xll.BDH($C$3,"RETURN_COM_EQY","FQ2 2016","FQ2 2016","Currency=INR","Period=FQ","BEST_FPERIOD_OVERRIDE=FQ","FILING_STATUS=OR","EQY_CONSOLIDATED=Y","FA_ADJUSTED=GAAP","Sort=A","Dates=H","DateFormat=P","Fill=—","Direction=H","UseDPDF=Y")</f>
        <v>#NAME?</v>
      </c>
      <c r="G15" t="e">
        <f ca="1">_xll.BDH($C$3,"RETURN_ON_ASSET","FQ2 2016","FQ2 2016","Currency=INR","Period=FQ","BEST_FPERIOD_OVERRIDE=FQ","FILING_STATUS=OR","EQY_CONSOLIDATED=Y","FA_ADJUSTED=GAAP","Sort=A","Dates=H","DateFormat=P","Fill=—","Direction=H","UseDPDF=Y")</f>
        <v>#NAME?</v>
      </c>
      <c r="H15" t="e">
        <f ca="1">_xll.BDH($C$3,"RETURN_ON_CAP","FQ2 2016","FQ2 2016","Currency=INR","Period=FQ","BEST_FPERIOD_OVERRIDE=FQ","FILING_STATUS=OR","EQY_CONSOLIDATED=Y","FA_ADJUSTED=GAAP","Sort=A","Dates=H","DateFormat=P","Fill=—","Direction=H","UseDPDF=Y")</f>
        <v>#NAME?</v>
      </c>
      <c r="I15" t="e">
        <f ca="1">_xll.BDH($C$3,"RETURN_ON_INV_CAPITAL","FQ2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5" t="e">
        <f ca="1">_xll.BDH($C$3,"EBITDA_TO_REVENUE","FQ2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5" t="e">
        <f ca="1">_xll.BDH($C$3,"OPER_MARGIN","FQ2 2016","FQ2 2016","Currency=INR","Period=FQ","BEST_FPERIOD_OVERRIDE=FQ","FILING_STATUS=OR","EQY_CONSOLIDATED=Y","FA_ADJUSTED=GAAP","Sort=A","Dates=H","DateFormat=P","Fill=—","Direction=H","UseDPDF=Y")</f>
        <v>#NAME?</v>
      </c>
      <c r="L15" t="e">
        <f ca="1">_xll.BDH($C$3,"INCREMENTAL_OPERATING_MARGIN","FQ2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5" t="e">
        <f ca="1">_xll.BDH($C$3,"PRETAX_INC_TO_NET_SALES","FQ2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5" t="e">
        <f ca="1">_xll.BDH($C$3,"INC_BEF_XO_ITEMS_TO_NET_SALES","FQ2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5" t="e">
        <f ca="1">_xll.BDH($C$3,"PROF_MARGIN","FQ2 2016","FQ2 2016","Currency=INR","Period=FQ","BEST_FPERIOD_OVERRIDE=FQ","FILING_STATUS=OR","EQY_CONSOLIDATED=Y","FA_ADJUSTED=GAAP","Sort=A","Dates=H","DateFormat=P","Fill=—","Direction=H","UseDPDF=Y")</f>
        <v>#NAME?</v>
      </c>
      <c r="P15" t="e">
        <f ca="1">_xll.BDH($C$3,"NET_INCOME_TO_COMMON_MARGIN","FQ2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5" t="e">
        <f ca="1">_xll.BDH($C$3,"EFF_TAX_RATE","FQ2 2016","FQ2 2016","Currency=INR","Period=FQ","BEST_FPERIOD_OVERRIDE=FQ","FILING_STATUS=OR","EQY_CONSOLIDATED=Y","FA_ADJUSTED=GAAP","Sort=A","Dates=H","DateFormat=P","Fill=—","Direction=H","UseDPDF=Y")</f>
        <v>#NAME?</v>
      </c>
      <c r="R15" t="e">
        <f ca="1">_xll.BDH($C$3,"DVD_PAYOUT_RATIO","FQ2 2016","FQ2 2016","Currency=INR","Period=FQ","BEST_FPERIOD_OVERRIDE=FQ","FILING_STATUS=OR","EQY_CONSOLIDATED=Y","FA_ADJUSTED=GAAP","Sort=A","Dates=H","DateFormat=P","Fill=—","Direction=H","UseDPDF=Y")</f>
        <v>#NAME?</v>
      </c>
      <c r="S15" t="e">
        <f ca="1">_xll.BDH($C$3,"SUSTAIN_GROWTH_RT","FQ2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5" s="2" t="e">
        <f ca="1">_xll.BDH($C$3,"SALES_GROWTH","FQ2 2016","FQ2 2016","Currency=INR","Period=FQ","BEST_FPERIOD_OVERRIDE=FQ","FILING_STATUS=OR","EQY_CONSOLIDATED=Y","FA_ADJUSTED=GAAP","Sort=A","Dates=H","DateFormat=P","Fill=—","Direction=H","UseDPDF=Y")</f>
        <v>#NAME?</v>
      </c>
      <c r="U15" s="2" t="e">
        <f ca="1">_xll.BDH($C$3,"EBITDA_GROWTH","FQ2 2016","FQ2 2016","Currency=INR","Period=FQ","BEST_FPERIOD_OVERRIDE=FQ","FILING_STATUS=OR","EQY_CONSOLIDATED=Y","FA_ADJUSTED=GAAP","Sort=A","Dates=H","DateFormat=P","Fill=—","Direction=H","UseDPDF=Y")</f>
        <v>#NAME?</v>
      </c>
      <c r="V15" s="2" t="e">
        <f ca="1">_xll.BDH($C$3,"OPER_INC_GROWTH","FQ2 2016","FQ2 2016","Currency=INR","Period=FQ","BEST_FPERIOD_OVERRIDE=FQ","FILING_STATUS=OR","EQY_CONSOLIDATED=Y","FA_ADJUSTED=GAAP","Sort=A","Dates=H","DateFormat=P","Fill=—","Direction=H","UseDPDF=Y")</f>
        <v>#NAME?</v>
      </c>
      <c r="W15" s="2" t="e">
        <f ca="1">_xll.BDH($C$3,"EARN_FOR_COM_GROWTH","FQ2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5" s="2" t="e">
        <f ca="1">_xll.BDH($C$3,"DILUTED_EPS_AFT_XO_ITEMS_GROWTH","FQ2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5" s="2" t="e">
        <f ca="1">_xll.BDH($C$3,"DIVIDEND_PER_SHARE_1_YEAR_GROWTH","FQ2 2016","FQ2 2016","Currency=INR","Period=FQ","BEST_FPERIOD_OVERRIDE=FQ","FILING_STATUS=OR","EQY_CONSOLIDATED=Y","Sort=A","Dates=H","DateFormat=P","Fill=—","Direction=H","UseDPDF=Y")</f>
        <v>#NAME?</v>
      </c>
      <c r="Z15" s="2" t="e">
        <f ca="1">_xll.BDH($C$3,"ACCOUNTS_RECEIVABLE_GROWTH","FQ2 2016","FQ2 2016","Currency=INR","Period=FQ","BEST_FPERIOD_OVERRIDE=FQ","FILING_STATUS=OR","EQY_CONSOLIDATED=Y","Sort=A","Dates=H","DateFormat=P","Fill=—","Direction=H","UseDPDF=Y")</f>
        <v>#NAME?</v>
      </c>
      <c r="AA15" s="2" t="e">
        <f ca="1">_xll.BDH($C$3,"INVENTORY_GROWTH","FQ2 2016","FQ2 2016","Currency=INR","Period=FQ","BEST_FPERIOD_OVERRIDE=FQ","FILING_STATUS=OR","EQY_CONSOLIDATED=Y","Sort=A","Dates=H","DateFormat=P","Fill=—","Direction=H","UseDPDF=Y")</f>
        <v>#NAME?</v>
      </c>
      <c r="AB15" s="2" t="e">
        <f ca="1">_xll.BDH($C$3,"NET_FIXED_ASSETS_1_YEAR_GROWTH","FQ2 2016","FQ2 2016","Currency=INR","Period=FQ","BEST_FPERIOD_OVERRIDE=FQ","FILING_STATUS=OR","EQY_CONSOLIDATED=Y","Sort=A","Dates=H","DateFormat=P","Fill=—","Direction=H","UseDPDF=Y")</f>
        <v>#NAME?</v>
      </c>
      <c r="AC15" s="2" t="e">
        <f ca="1">_xll.BDH($C$3,"ASSET_GROWTH","FQ2 2016","FQ2 2016","Currency=INR","Period=FQ","BEST_FPERIOD_OVERRIDE=FQ","FILING_STATUS=OR","EQY_CONSOLIDATED=Y","Sort=A","Dates=H","DateFormat=P","Fill=—","Direction=H","UseDPDF=Y")</f>
        <v>#NAME?</v>
      </c>
      <c r="AD15" s="2" t="e">
        <f ca="1">_xll.BDH($C$3,"MODIFIED_WORK_CAP_GROWTH","FQ2 2016","FQ2 2016","Currency=INR","Period=FQ","BEST_FPERIOD_OVERRIDE=FQ","FILING_STATUS=OR","EQY_CONSOLIDATED=Y","Sort=A","Dates=H","DateFormat=P","Fill=—","Direction=H","UseDPDF=Y")</f>
        <v>#NAME?</v>
      </c>
      <c r="AE15" s="2" t="e">
        <f ca="1">_xll.BDH($C$3,"WORK_CAP_GROWTH","FQ2 2016","FQ2 2016","Currency=INR","Period=FQ","BEST_FPERIOD_OVERRIDE=FQ","FILING_STATUS=OR","EQY_CONSOLIDATED=Y","Sort=A","Dates=H","DateFormat=P","Fill=—","Direction=H","UseDPDF=Y")</f>
        <v>#NAME?</v>
      </c>
      <c r="AF15" s="2" t="e">
        <f ca="1">_xll.BDH($C$3,"ACCOUNTS_PAYABLE_GROWTH_1YR","FQ2 2016","FQ2 2016","Currency=INR","Period=FQ","BEST_FPERIOD_OVERRIDE=FQ","FILING_STATUS=OR","EQY_CONSOLIDATED=Y","Sort=A","Dates=H","DateFormat=P","Fill=—","Direction=H","UseDPDF=Y")</f>
        <v>#NAME?</v>
      </c>
      <c r="AG15" s="2" t="e">
        <f ca="1">_xll.BDH($C$3,"SHORT_TERM_DEBT_1_YEAR_GROWTH","FQ2 2016","FQ2 2016","Currency=INR","Period=FQ","BEST_FPERIOD_OVERRIDE=FQ","FILING_STATUS=OR","EQY_CONSOLIDATED=Y","Sort=A","Dates=H","DateFormat=P","Fill=—","Direction=H","UseDPDF=Y")</f>
        <v>#NAME?</v>
      </c>
      <c r="AH15" s="2" t="e">
        <f ca="1">_xll.BDH($C$3,"TOTAL_DEBT_1_YEAR_GROWTH","FQ2 2016","FQ2 2016","Currency=INR","Period=FQ","BEST_FPERIOD_OVERRIDE=FQ","FILING_STATUS=OR","EQY_CONSOLIDATED=Y","Sort=A","Dates=H","DateFormat=P","Fill=—","Direction=H","UseDPDF=Y")</f>
        <v>#NAME?</v>
      </c>
      <c r="AI15" s="2" t="e">
        <f ca="1">_xll.BDH($C$3,"TOTAL_EQUITY_1_YEAR_GROWTH","FQ2 2016","FQ2 2016","Currency=INR","Period=FQ","BEST_FPERIOD_OVERRIDE=FQ","FILING_STATUS=OR","EQY_CONSOLIDATED=Y","Sort=A","Dates=H","DateFormat=P","Fill=—","Direction=H","UseDPDF=Y")</f>
        <v>#NAME?</v>
      </c>
      <c r="AJ15" s="2" t="e">
        <f ca="1">_xll.BDH($C$3,"GROWTH_IN_CAP","FQ2 2016","FQ2 2016","Currency=INR","Period=FQ","BEST_FPERIOD_OVERRIDE=FQ","FILING_STATUS=OR","EQY_CONSOLIDATED=Y","Sort=A","Dates=H","DateFormat=P","Fill=—","Direction=H","UseDPDF=Y")</f>
        <v>#NAME?</v>
      </c>
      <c r="AK15" s="2" t="e">
        <f ca="1">_xll.BDH($C$3,"BVPS_GROWTH","FQ2 2016","FQ2 2016","Currency=INR","Period=FQ","BEST_FPERIOD_OVERRIDE=FQ","FILING_STATUS=OR","EQY_CONSOLIDATED=Y","Sort=A","Dates=H","DateFormat=P","Fill=—","Direction=H","UseDPDF=Y")</f>
        <v>#NAME?</v>
      </c>
      <c r="AL15" s="2" t="e">
        <f ca="1">_xll.BDH($C$3,"CASH_FLOW_GROWTH","FQ2 2016","FQ2 2016","Currency=INR","Period=FQ","BEST_FPERIOD_OVERRIDE=FQ","FILING_STATUS=OR","EQY_CONSOLIDATED=Y","Sort=A","Dates=H","DateFormat=P","Fill=—","Direction=H","UseDPDF=Y")</f>
        <v>#NAME?</v>
      </c>
      <c r="AM15" s="2" t="e">
        <f ca="1">_xll.BDH($C$3,"GEO_GROW_NET_SALES","FQ2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5" s="2" t="e">
        <f ca="1">_xll.BDH($C$3,"GEO_GROW_EBITDA","FQ2 2016","FQ2 2016","Currency=INR","Period=FQ","BEST_FPERIOD_OVERRIDE=FQ","FILING_STATUS=OR","EQY_CONSOLIDATED=Y","FA_ADJUSTED=GAAP","Sort=A","Dates=H","DateFormat=P","Fill=—","Direction=H","UseDPDF=Y")</f>
        <v>#NAME?</v>
      </c>
      <c r="AO15" s="2" t="e">
        <f ca="1">_xll.BDH($C$3,"GEO_GROW_OPER_INC","FQ2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5" s="2" t="e">
        <f ca="1">_xll.BDH($C$3,"NET_INCOME_TO_COMMON_5_YR_GROWTH","FQ2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5" s="2" t="e">
        <f ca="1">_xll.BDH($C$3,"5Y_GEO_GROWTH_DILUTED_EPS","FQ2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5" s="2" t="e">
        <f ca="1">_xll.BDH($C$3,"GEO_GROW_DVD_PER_SH","FQ2 2016","FQ2 2016","Currency=INR","Period=FQ","BEST_FPERIOD_OVERRIDE=FQ","FILING_STATUS=OR","EQY_CONSOLIDATED=Y","Sort=A","Dates=H","DateFormat=P","Fill=—","Direction=H","UseDPDF=Y")</f>
        <v>#NAME?</v>
      </c>
      <c r="AS15" s="2" t="e">
        <f ca="1">_xll.BDH($C$3,"ACCOUNTS_RECEIVABLE_5_YR_GROWTH","FQ2 2016","FQ2 2016","Currency=INR","Period=FQ","BEST_FPERIOD_OVERRIDE=FQ","FILING_STATUS=OR","EQY_CONSOLIDATED=Y","Sort=A","Dates=H","DateFormat=P","Fill=—","Direction=H","UseDPDF=Y")</f>
        <v>#NAME?</v>
      </c>
      <c r="AT15" s="2" t="e">
        <f ca="1">_xll.BDH($C$3,"INVENTORY_5_YEAR_GROWTH","FQ2 2016","FQ2 2016","Currency=INR","Period=FQ","BEST_FPERIOD_OVERRIDE=FQ","FILING_STATUS=OR","EQY_CONSOLIDATED=Y","Sort=A","Dates=H","DateFormat=P","Fill=—","Direction=H","UseDPDF=Y")</f>
        <v>#NAME?</v>
      </c>
      <c r="AU15" s="2" t="e">
        <f ca="1">_xll.BDH($C$3,"NET_FIXED_ASSETS_5_YEAR_GROWTH","FQ2 2016","FQ2 2016","Currency=INR","Period=FQ","BEST_FPERIOD_OVERRIDE=FQ","FILING_STATUS=OR","EQY_CONSOLIDATED=Y","Sort=A","Dates=H","DateFormat=P","Fill=—","Direction=H","UseDPDF=Y")</f>
        <v>#NAME?</v>
      </c>
      <c r="AV15" s="2" t="e">
        <f ca="1">_xll.BDH($C$3,"GEO_GROW_TOT_ASSET","FQ2 2016","FQ2 2016","Currency=INR","Period=FQ","BEST_FPERIOD_OVERRIDE=FQ","FILING_STATUS=OR","EQY_CONSOLIDATED=Y","Sort=A","Dates=H","DateFormat=P","Fill=—","Direction=H","UseDPDF=Y")</f>
        <v>#NAME?</v>
      </c>
      <c r="AW15" s="2" t="e">
        <f ca="1">_xll.BDH($C$3,"MODIFIED_WORKING_CPTL_5YR_GRWTH","FQ2 2016","FQ2 2016","Currency=INR","Period=FQ","BEST_FPERIOD_OVERRIDE=FQ","FILING_STATUS=OR","EQY_CONSOLIDATED=Y","Sort=A","Dates=H","DateFormat=P","Fill=—","Direction=H","UseDPDF=Y")</f>
        <v>#NAME?</v>
      </c>
      <c r="AX15" s="2" t="e">
        <f ca="1">_xll.BDH($C$3,"WORKING_CAPITAL_5_YEAR_GROWTH","FQ2 2016","FQ2 2016","Currency=INR","Period=FQ","BEST_FPERIOD_OVERRIDE=FQ","FILING_STATUS=OR","EQY_CONSOLIDATED=Y","Sort=A","Dates=H","DateFormat=P","Fill=—","Direction=H","UseDPDF=Y")</f>
        <v>#NAME?</v>
      </c>
      <c r="AY15" s="2" t="e">
        <f ca="1">_xll.BDH($C$3,"ACCOUNTS_PAYABLE_5_YEAR_GROWTH","FQ2 2016","FQ2 2016","Currency=INR","Period=FQ","BEST_FPERIOD_OVERRIDE=FQ","FILING_STATUS=OR","EQY_CONSOLIDATED=Y","Sort=A","Dates=H","DateFormat=P","Fill=—","Direction=H","UseDPDF=Y")</f>
        <v>#NAME?</v>
      </c>
      <c r="AZ15" s="2" t="e">
        <f ca="1">_xll.BDH($C$3,"SHORT_TERM_DEBT_5_YEAR_GROWTH","FQ2 2016","FQ2 2016","Currency=INR","Period=FQ","BEST_FPERIOD_OVERRIDE=FQ","FILING_STATUS=OR","EQY_CONSOLIDATED=Y","Sort=A","Dates=H","DateFormat=P","Fill=—","Direction=H","UseDPDF=Y")</f>
        <v>#NAME?</v>
      </c>
      <c r="BA15" s="2" t="e">
        <f ca="1">_xll.BDH($C$3,"TOTAL_DEBT_5_YEAR_GROWTH","FQ2 2016","FQ2 2016","Currency=INR","Period=FQ","BEST_FPERIOD_OVERRIDE=FQ","FILING_STATUS=OR","EQY_CONSOLIDATED=Y","Sort=A","Dates=H","DateFormat=P","Fill=—","Direction=H","UseDPDF=Y")</f>
        <v>#NAME?</v>
      </c>
      <c r="BB15" s="2" t="e">
        <f ca="1">_xll.BDH($C$3,"GEO_GROW_TOT_SHRHLDR_EQY","FQ2 2016","FQ2 2016","Currency=INR","Period=FQ","BEST_FPERIOD_OVERRIDE=FQ","FILING_STATUS=OR","EQY_CONSOLIDATED=Y","Sort=A","Dates=H","DateFormat=P","Fill=—","Direction=H","UseDPDF=Y")</f>
        <v>#NAME?</v>
      </c>
      <c r="BC15" s="2" t="e">
        <f ca="1">_xll.BDH($C$3,"TOTAL_CAPITAL_5_YEAR_GROWTH","FQ2 2016","FQ2 2016","Currency=INR","Period=FQ","BEST_FPERIOD_OVERRIDE=FQ","FILING_STATUS=OR","EQY_CONSOLIDATED=Y","Sort=A","Dates=H","DateFormat=P","Fill=—","Direction=H","UseDPDF=Y")</f>
        <v>#NAME?</v>
      </c>
      <c r="BD15" s="2" t="e">
        <f ca="1">_xll.BDH($C$3,"GEO_GROW_BOOK_VAL","FQ2 2016","FQ2 2016","Currency=INR","Period=FQ","BEST_FPERIOD_OVERRIDE=FQ","FILING_STATUS=OR","EQY_CONSOLIDATED=Y","Sort=A","Dates=H","DateFormat=P","Fill=—","Direction=H","UseDPDF=Y")</f>
        <v>#NAME?</v>
      </c>
      <c r="BE15" s="2" t="e">
        <f ca="1">_xll.BDH($C$3,"GEO_GROW_CASH_OPER_ACT","FQ2 2016","FQ2 2016","Currency=INR","Period=FQ","BEST_FPERIOD_OVERRIDE=FQ","FILING_STATUS=OR","EQY_CONSOLIDATED=Y","Sort=A","Dates=H","DateFormat=P","Fill=—","Direction=H","UseDPDF=Y")</f>
        <v>#NAME?</v>
      </c>
      <c r="BF15" s="2" t="e">
        <f ca="1">_xll.BDH($C$3,"REVENUE_SEQUENTIAL_GROWTH","FQ2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5" s="2" t="e">
        <f ca="1">_xll.BDH($C$3,"EBITDA_SEQUENTIAL_GROWTH","FQ2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5" s="2" t="e">
        <f ca="1">_xll.BDH($C$3,"OPERATING_INCOME_SEQ_GROWTH","FQ2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5" s="2" t="e">
        <f ca="1">_xll.BDH($C$3,"NET_INCOME_TO_COMMON_SEQ_GROWTH","FQ2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5" s="2" t="e">
        <f ca="1">_xll.BDH($C$3,"EPS_DILUTED_SEQUENTIAL_GROWTH","FQ2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5" s="2" t="e">
        <f ca="1">_xll.BDH($C$3,"DPS_SEQUENTIAL_GROWTH","FQ2 2016","FQ2 2016","Currency=INR","Period=FQ","BEST_FPERIOD_OVERRIDE=FQ","FILING_STATUS=OR","EQY_CONSOLIDATED=Y","Sort=A","Dates=H","DateFormat=P","Fill=—","Direction=H","UseDPDF=Y")</f>
        <v>#NAME?</v>
      </c>
      <c r="BL15" s="2" t="e">
        <f ca="1">_xll.BDH($C$3,"ACCOUNTS_RECEIVABLE_SEQ_GROWTH","FQ2 2016","FQ2 2016","Currency=INR","Period=FQ","BEST_FPERIOD_OVERRIDE=FQ","FILING_STATUS=OR","EQY_CONSOLIDATED=Y","Sort=A","Dates=H","DateFormat=P","Fill=—","Direction=H","UseDPDF=Y")</f>
        <v>#NAME?</v>
      </c>
      <c r="BM15" s="2" t="e">
        <f ca="1">_xll.BDH($C$3,"INVENTORY_SEQUENTIAL_GROWTH","FQ2 2016","FQ2 2016","Currency=INR","Period=FQ","BEST_FPERIOD_OVERRIDE=FQ","FILING_STATUS=OR","EQY_CONSOLIDATED=Y","Sort=A","Dates=H","DateFormat=P","Fill=—","Direction=H","UseDPDF=Y")</f>
        <v>#NAME?</v>
      </c>
      <c r="BN15" s="2" t="e">
        <f ca="1">_xll.BDH($C$3,"FIXED_ASSETS_SEQUENTIAL_GROWTH","FQ2 2016","FQ2 2016","Currency=INR","Period=FQ","BEST_FPERIOD_OVERRIDE=FQ","FILING_STATUS=OR","EQY_CONSOLIDATED=Y","Sort=A","Dates=H","DateFormat=P","Fill=—","Direction=H","UseDPDF=Y")</f>
        <v>#NAME?</v>
      </c>
      <c r="BO15" s="2" t="e">
        <f ca="1">_xll.BDH($C$3,"TOTAL_ASSETS_SEQUENTIAL_GROWTH","FQ2 2016","FQ2 2016","Currency=INR","Period=FQ","BEST_FPERIOD_OVERRIDE=FQ","FILING_STATUS=OR","EQY_CONSOLIDATED=Y","Sort=A","Dates=H","DateFormat=P","Fill=—","Direction=H","UseDPDF=Y")</f>
        <v>#NAME?</v>
      </c>
      <c r="BP15" s="2" t="e">
        <f ca="1">_xll.BDH($C$3,"MODIFIED_WORKING_CPTL_SEQ_GRWTH","FQ2 2016","FQ2 2016","Currency=INR","Period=FQ","BEST_FPERIOD_OVERRIDE=FQ","FILING_STATUS=OR","EQY_CONSOLIDATED=Y","Sort=A","Dates=H","DateFormat=P","Fill=—","Direction=H","UseDPDF=Y")</f>
        <v>#NAME?</v>
      </c>
      <c r="BQ15" s="2" t="e">
        <f ca="1">_xll.BDH($C$3,"WORKING_CAPITAL_SEQ_GROWTH","FQ2 2016","FQ2 2016","Currency=INR","Period=FQ","BEST_FPERIOD_OVERRIDE=FQ","FILING_STATUS=OR","EQY_CONSOLIDATED=Y","Sort=A","Dates=H","DateFormat=P","Fill=—","Direction=H","UseDPDF=Y")</f>
        <v>#NAME?</v>
      </c>
      <c r="BR15" s="2" t="e">
        <f ca="1">_xll.BDH($C$3,"ACCOUNTS_PAYABLE_SEQ_GROWTH","FQ2 2016","FQ2 2016","Currency=INR","Period=FQ","BEST_FPERIOD_OVERRIDE=FQ","FILING_STATUS=OR","EQY_CONSOLIDATED=Y","Sort=A","Dates=H","DateFormat=P","Fill=—","Direction=H","UseDPDF=Y")</f>
        <v>#NAME?</v>
      </c>
      <c r="BS15" s="2" t="e">
        <f ca="1">_xll.BDH($C$3,"ST_DEBT_SEQUENTIAL_GROWTH","FQ2 2016","FQ2 2016","Currency=INR","Period=FQ","BEST_FPERIOD_OVERRIDE=FQ","FILING_STATUS=OR","EQY_CONSOLIDATED=Y","Sort=A","Dates=H","DateFormat=P","Fill=—","Direction=H","UseDPDF=Y")</f>
        <v>#NAME?</v>
      </c>
      <c r="BT15" s="2" t="e">
        <f ca="1">_xll.BDH($C$3,"TOTAL_DEBT_SEQUENTIAL_GROWTH","FQ2 2016","FQ2 2016","Currency=INR","Period=FQ","BEST_FPERIOD_OVERRIDE=FQ","FILING_STATUS=OR","EQY_CONSOLIDATED=Y","Sort=A","Dates=H","DateFormat=P","Fill=—","Direction=H","UseDPDF=Y")</f>
        <v>#NAME?</v>
      </c>
      <c r="BU15" s="2" t="e">
        <f ca="1">_xll.BDH($C$3,"TOTAL_EQUITY_SEQUENTIAL_GROWTH","FQ2 2016","FQ2 2016","Currency=INR","Period=FQ","BEST_FPERIOD_OVERRIDE=FQ","FILING_STATUS=OR","EQY_CONSOLIDATED=Y","Sort=A","Dates=H","DateFormat=P","Fill=—","Direction=H","UseDPDF=Y")</f>
        <v>#NAME?</v>
      </c>
      <c r="BV15" s="2" t="e">
        <f ca="1">_xll.BDH($C$3,"TOTAL_CAPITAL_SEQUENTIAL_GROWTH","FQ2 2016","FQ2 2016","Currency=INR","Period=FQ","BEST_FPERIOD_OVERRIDE=FQ","FILING_STATUS=OR","EQY_CONSOLIDATED=Y","Sort=A","Dates=H","DateFormat=P","Fill=—","Direction=H","UseDPDF=Y")</f>
        <v>#NAME?</v>
      </c>
      <c r="BW15" s="2" t="e">
        <f ca="1">_xll.BDH($C$3,"BPS_SEQUENTIAL_GROWTH","FQ2 2016","FQ2 2016","Currency=INR","Period=FQ","BEST_FPERIOD_OVERRIDE=FQ","FILING_STATUS=OR","EQY_CONSOLIDATED=Y","Sort=A","Dates=H","DateFormat=P","Fill=—","Direction=H","UseDPDF=Y")</f>
        <v>#NAME?</v>
      </c>
      <c r="BX15" s="2" t="e">
        <f ca="1">_xll.BDH($C$3,"CFO_SEQUENTIAL_GROWTH","FQ2 2016","FQ2 2016","Currency=INR","Period=FQ","BEST_FPERIOD_OVERRIDE=FQ","FILING_STATUS=OR","EQY_CONSOLIDATED=Y","Sort=A","Dates=H","DateFormat=P","Fill=—","Direction=H","UseDPDF=Y")</f>
        <v>#NAME?</v>
      </c>
      <c r="BY15" s="3" t="e">
        <f ca="1">_xll.BDH($C$3,"SHORT_AND_LONG_TERM_DEBT","FQ2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5" s="3" t="e">
        <f ca="1">_xll.BDH($C$3,"BS_ST_BORROW","FQ2 2016","FQ2 2016","Currency=INR","Period=FQ","BEST_FPERIOD_OVERRIDE=FQ","FILING_STATUS=OR","EQY_CONSOLIDATED=Y","SCALING_FORMAT=MLN","Sort=A","Dates=H","DateFormat=P","Fill=—","Direction=H","UseDPDF=Y")</f>
        <v>#NAME?</v>
      </c>
      <c r="CA15" s="3" t="e">
        <f ca="1">_xll.BDH($C$3,"BS_LT_BORROW","FQ2 2016","FQ2 2016","Currency=INR","Period=FQ","BEST_FPERIOD_OVERRIDE=FQ","FILING_STATUS=OR","EQY_CONSOLIDATED=Y","SCALING_FORMAT=MLN","Sort=A","Dates=H","DateFormat=P","Fill=—","Direction=H","UseDPDF=Y")</f>
        <v>#NAME?</v>
      </c>
      <c r="CB15" s="2" t="e">
        <f ca="1">_xll.BDH($C$3,"TOT_DEBT_TO_EBITDA","FQ2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5" s="2" t="e">
        <f ca="1">_xll.BDH($C$3,"NET_DEBT_TO_EBITDA","FQ2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5" s="2" t="e">
        <f ca="1">_xll.BDH($C$3,"TOTAL_DEBT_TO_EBIT","FQ2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5" s="2" t="e">
        <f ca="1">_xll.BDH($C$3,"NET_DEBT_TO_EBIT","FQ2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5" s="2" t="e">
        <f ca="1">_xll.BDH($C$3,"EBITDA_TO_INTEREST_EXPN","FQ2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5" s="2" t="e">
        <f ca="1">_xll.BDH($C$3,"COM_EQY_TO_TOT_ASSET","FQ2 2016","FQ2 2016","Currency=INR","Period=FQ","BEST_FPERIOD_OVERRIDE=FQ","FILING_STATUS=OR","EQY_CONSOLIDATED=Y","Sort=A","Dates=H","DateFormat=P","Fill=—","Direction=H","UseDPDF=Y")</f>
        <v>#NAME?</v>
      </c>
      <c r="CH15" s="2" t="e">
        <f ca="1">_xll.BDH($C$3,"LT_DEBT_TO_TOT_EQY","FQ2 2016","FQ2 2016","Currency=INR","Period=FQ","BEST_FPERIOD_OVERRIDE=FQ","FILING_STATUS=OR","EQY_CONSOLIDATED=Y","Sort=A","Dates=H","DateFormat=P","Fill=—","Direction=H","UseDPDF=Y")</f>
        <v>#NAME?</v>
      </c>
      <c r="CI15" s="2" t="e">
        <f ca="1">_xll.BDH($C$3,"LT_DEBT_TO_TOT_CAP","FQ2 2016","FQ2 2016","Currency=INR","Period=FQ","BEST_FPERIOD_OVERRIDE=FQ","FILING_STATUS=OR","EQY_CONSOLIDATED=Y","Sort=A","Dates=H","DateFormat=P","Fill=—","Direction=H","UseDPDF=Y")</f>
        <v>#NAME?</v>
      </c>
      <c r="CJ15" s="2" t="e">
        <f ca="1">_xll.BDH($C$3,"LT_DEBT_TO_TOT_ASSET","FQ2 2016","FQ2 2016","Currency=INR","Period=FQ","BEST_FPERIOD_OVERRIDE=FQ","FILING_STATUS=OR","EQY_CONSOLIDATED=Y","Sort=A","Dates=H","DateFormat=P","Fill=—","Direction=H","UseDPDF=Y")</f>
        <v>#NAME?</v>
      </c>
      <c r="CK15" s="2" t="e">
        <f ca="1">_xll.BDH($C$3,"TOT_DEBT_TO_TOT_EQY","FQ2 2016","FQ2 2016","Currency=INR","Period=FQ","BEST_FPERIOD_OVERRIDE=FQ","FILING_STATUS=OR","EQY_CONSOLIDATED=Y","Sort=A","Dates=H","DateFormat=P","Fill=—","Direction=H","UseDPDF=Y")</f>
        <v>#NAME?</v>
      </c>
      <c r="CL15" s="2" t="e">
        <f ca="1">_xll.BDH($C$3,"TOT_DEBT_TO_TOT_CAP","FQ2 2016","FQ2 2016","Currency=INR","Period=FQ","BEST_FPERIOD_OVERRIDE=FQ","FILING_STATUS=OR","EQY_CONSOLIDATED=Y","Sort=A","Dates=H","DateFormat=P","Fill=—","Direction=H","UseDPDF=Y")</f>
        <v>#NAME?</v>
      </c>
      <c r="CM15" s="2" t="e">
        <f ca="1">_xll.BDH($C$3,"TOT_DEBT_TO_TOT_ASSET","FQ2 2016","FQ2 2016","Currency=INR","Period=FQ","BEST_FPERIOD_OVERRIDE=FQ","FILING_STATUS=OR","EQY_CONSOLIDATED=Y","Sort=A","Dates=H","DateFormat=P","Fill=—","Direction=H","UseDPDF=Y")</f>
        <v>#NAME?</v>
      </c>
      <c r="CN15" s="2" t="e">
        <f ca="1">_xll.BDH($C$3,"NET_DEBT_TO_SHRHLDR_EQTY","FQ2 2016","FQ2 2016","Currency=INR","Period=FQ","BEST_FPERIOD_OVERRIDE=FQ","FILING_STATUS=OR","EQY_CONSOLIDATED=Y","Sort=A","Dates=H","DateFormat=P","Fill=—","Direction=H","UseDPDF=Y")</f>
        <v>#NAME?</v>
      </c>
      <c r="CO15" s="2" t="e">
        <f ca="1">_xll.BDH($C$3,"NET_DEBT_%_CAPITAL","FQ2 2016","FQ2 2016","Currency=INR","Period=FQ","BEST_FPERIOD_OVERRIDE=FQ","FILING_STATUS=OR","EQY_CONSOLIDATED=Y","Sort=A","Dates=H","DateFormat=P","Fill=—","Direction=H","UseDPDF=Y")</f>
        <v>#NAME?</v>
      </c>
      <c r="CP15" s="3" t="e">
        <f ca="1">_xll.BDH($C$3,"EBITDA","FQ2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5" s="3" t="e">
        <f ca="1">_xll.BDH($C$3,"EBITDA_AFTER_CAPEX","FQ2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5" s="3" t="e">
        <f ca="1">_xll.BDH($C$3,"IS_OPER_INC","FQ2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5" s="2" t="e">
        <f ca="1">_xll.BDH($C$3,"CASH_RATIO","FQ2 2016","FQ2 2016","Currency=INR","Period=FQ","BEST_FPERIOD_OVERRIDE=FQ","FILING_STATUS=OR","EQY_CONSOLIDATED=Y","Sort=A","Dates=H","DateFormat=P","Fill=—","Direction=H","UseDPDF=Y")</f>
        <v>#NAME?</v>
      </c>
      <c r="CT15" s="2" t="e">
        <f ca="1">_xll.BDH($C$3,"CUR_RATIO","FQ2 2016","FQ2 2016","Currency=INR","Period=FQ","BEST_FPERIOD_OVERRIDE=FQ","FILING_STATUS=OR","EQY_CONSOLIDATED=Y","Sort=A","Dates=H","DateFormat=P","Fill=—","Direction=H","UseDPDF=Y")</f>
        <v>#NAME?</v>
      </c>
      <c r="CU15" s="2" t="e">
        <f ca="1">_xll.BDH($C$3,"QUICK_RATIO","FQ2 2016","FQ2 2016","Currency=INR","Period=FQ","BEST_FPERIOD_OVERRIDE=FQ","FILING_STATUS=OR","EQY_CONSOLIDATED=Y","Sort=A","Dates=H","DateFormat=P","Fill=—","Direction=H","UseDPDF=Y")</f>
        <v>#NAME?</v>
      </c>
      <c r="CV15" s="2" t="e">
        <f ca="1">_xll.BDH($C$3,"ALTMAN_Z_SCORE","FQ2 2016","FQ2 2016","Currency=INR","Period=FQ","BEST_FPERIOD_OVERRIDE=FQ","FILING_STATUS=OR","EQY_CONSOLIDATED=Y","Sort=A","Dates=H","DateFormat=P","Fill=—","Direction=H","UseDPDF=Y")</f>
        <v>#NAME?</v>
      </c>
      <c r="CW15" s="4" t="e">
        <f ca="1">_xll.BDH($C$3,"ACCT_RCV_TURN","FQ2 2016","FQ2 2016","Currency=INR","Period=FQ","BEST_FPERIOD_OVERRIDE=FQ","FILING_STATUS=OR","EQY_CONSOLIDATED=Y","FA_ADJUSTED=GAAP","Sort=A","Dates=H","DateFormat=P","Fill=—","Direction=H","UseDPDF=Y")</f>
        <v>#NAME?</v>
      </c>
      <c r="CX15" s="2" t="e">
        <f ca="1">_xll.BDH($C$3,"ACCT_RCV_DAYS","FQ2 2016","FQ2 2016","Currency=INR","Period=FQ","BEST_FPERIOD_OVERRIDE=FQ","FILING_STATUS=OR","EQY_CONSOLIDATED=Y","FA_ADJUSTED=GAAP","Sort=A","Dates=H","DateFormat=P","Fill=—","Direction=H","UseDPDF=Y")</f>
        <v>#NAME?</v>
      </c>
      <c r="CY15" s="4" t="e">
        <f ca="1">_xll.BDH($C$3,"INVENT_TURN","FQ2 2016","FQ2 2016","Currency=INR","Period=FQ","BEST_FPERIOD_OVERRIDE=FQ","FILING_STATUS=OR","EQY_CONSOLIDATED=Y","FA_ADJUSTED=GAAP","Sort=A","Dates=H","DateFormat=P","Fill=—","Direction=H","UseDPDF=Y")</f>
        <v>#NAME?</v>
      </c>
      <c r="CZ15" s="2" t="e">
        <f ca="1">_xll.BDH($C$3,"INVENT_DAYS","FQ2 2016","FQ2 2016","Currency=INR","Period=FQ","BEST_FPERIOD_OVERRIDE=FQ","FILING_STATUS=OR","EQY_CONSOLIDATED=Y","FA_ADJUSTED=GAAP","Sort=A","Dates=H","DateFormat=P","Fill=—","Direction=H","UseDPDF=Y")</f>
        <v>#NAME?</v>
      </c>
      <c r="DA15" s="4" t="e">
        <f ca="1">_xll.BDH($C$3,"ACCOUNTS_PAYABLE_TURNOVER","FQ2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5" s="2" t="e">
        <f ca="1">_xll.BDH($C$3,"ACCOUNTS_PAYABLE_TURNOVER_DAYS","FQ2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5" s="4" t="e">
        <f ca="1">_xll.BDH($C$3,"CASH_CONVERSION_CYCLE","FQ2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5" s="4" t="e">
        <f ca="1">_xll.BDH($C$3,"INV_TO_CASH_DAYS","FQ2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5" s="5" t="e">
        <f ca="1">_xll.BDH($C$3,"BS_INVENTORIES","FQ2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5" s="3" t="e">
        <f ca="1">_xll.BDH($C$3,"INVTRY_RAW_MATERIALS","FQ2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5" s="3" t="e">
        <f ca="1">_xll.BDH($C$3,"INVTRY_IN_PROGRESS","FQ2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5" s="3" t="e">
        <f ca="1">_xll.BDH($C$3,"INVTRY_FINISHED_GOODS","FQ2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5" s="3" t="e">
        <f ca="1">_xll.BDH($C$3,"BS_OTHER_INV","FQ2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" spans="1:113" x14ac:dyDescent="0.3">
      <c r="A16" s="6"/>
      <c r="B16" s="6"/>
      <c r="C16" s="6"/>
      <c r="D16" s="6"/>
      <c r="E16" t="s">
        <v>80</v>
      </c>
      <c r="F16" t="e">
        <f ca="1">_xll.BDH($C$3,"RETURN_COM_EQY","FQ3 2016","FQ3 2016","Currency=INR","Period=FQ","BEST_FPERIOD_OVERRIDE=FQ","FILING_STATUS=OR","EQY_CONSOLIDATED=Y","FA_ADJUSTED=GAAP","Sort=A","Dates=H","DateFormat=P","Fill=—","Direction=H","UseDPDF=Y")</f>
        <v>#NAME?</v>
      </c>
      <c r="G16" t="e">
        <f ca="1">_xll.BDH($C$3,"RETURN_ON_ASSET","FQ3 2016","FQ3 2016","Currency=INR","Period=FQ","BEST_FPERIOD_OVERRIDE=FQ","FILING_STATUS=OR","EQY_CONSOLIDATED=Y","FA_ADJUSTED=GAAP","Sort=A","Dates=H","DateFormat=P","Fill=—","Direction=H","UseDPDF=Y")</f>
        <v>#NAME?</v>
      </c>
      <c r="H16" t="e">
        <f ca="1">_xll.BDH($C$3,"RETURN_ON_CAP","FQ3 2016","FQ3 2016","Currency=INR","Period=FQ","BEST_FPERIOD_OVERRIDE=FQ","FILING_STATUS=OR","EQY_CONSOLIDATED=Y","FA_ADJUSTED=GAAP","Sort=A","Dates=H","DateFormat=P","Fill=—","Direction=H","UseDPDF=Y")</f>
        <v>#NAME?</v>
      </c>
      <c r="I16" t="e">
        <f ca="1">_xll.BDH($C$3,"RETURN_ON_INV_CAPITAL","FQ3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" t="e">
        <f ca="1">_xll.BDH($C$3,"EBITDA_TO_REVENUE","FQ3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" t="e">
        <f ca="1">_xll.BDH($C$3,"OPER_MARGIN","FQ3 2016","FQ3 2016","Currency=INR","Period=FQ","BEST_FPERIOD_OVERRIDE=FQ","FILING_STATUS=OR","EQY_CONSOLIDATED=Y","FA_ADJUSTED=GAAP","Sort=A","Dates=H","DateFormat=P","Fill=—","Direction=H","UseDPDF=Y")</f>
        <v>#NAME?</v>
      </c>
      <c r="L16" t="e">
        <f ca="1">_xll.BDH($C$3,"INCREMENTAL_OPERATING_MARGIN","FQ3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" t="e">
        <f ca="1">_xll.BDH($C$3,"PRETAX_INC_TO_NET_SALES","FQ3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" t="e">
        <f ca="1">_xll.BDH($C$3,"INC_BEF_XO_ITEMS_TO_NET_SALES","FQ3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" t="e">
        <f ca="1">_xll.BDH($C$3,"PROF_MARGIN","FQ3 2016","FQ3 2016","Currency=INR","Period=FQ","BEST_FPERIOD_OVERRIDE=FQ","FILING_STATUS=OR","EQY_CONSOLIDATED=Y","FA_ADJUSTED=GAAP","Sort=A","Dates=H","DateFormat=P","Fill=—","Direction=H","UseDPDF=Y")</f>
        <v>#NAME?</v>
      </c>
      <c r="P16" t="e">
        <f ca="1">_xll.BDH($C$3,"NET_INCOME_TO_COMMON_MARGIN","FQ3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" t="e">
        <f ca="1">_xll.BDH($C$3,"EFF_TAX_RATE","FQ3 2016","FQ3 2016","Currency=INR","Period=FQ","BEST_FPERIOD_OVERRIDE=FQ","FILING_STATUS=OR","EQY_CONSOLIDATED=Y","FA_ADJUSTED=GAAP","Sort=A","Dates=H","DateFormat=P","Fill=—","Direction=H","UseDPDF=Y")</f>
        <v>#NAME?</v>
      </c>
      <c r="R16" t="e">
        <f ca="1">_xll.BDH($C$3,"DVD_PAYOUT_RATIO","FQ3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" t="e">
        <f ca="1">_xll.BDH($C$3,"SUSTAIN_GROWTH_RT","FQ3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" s="2" t="e">
        <f ca="1">_xll.BDH($C$3,"SALES_GROWTH","FQ3 2016","FQ3 2016","Currency=INR","Period=FQ","BEST_FPERIOD_OVERRIDE=FQ","FILING_STATUS=OR","EQY_CONSOLIDATED=Y","FA_ADJUSTED=GAAP","Sort=A","Dates=H","DateFormat=P","Fill=—","Direction=H","UseDPDF=Y")</f>
        <v>#NAME?</v>
      </c>
      <c r="U16" s="2" t="e">
        <f ca="1">_xll.BDH($C$3,"EBITDA_GROWTH","FQ3 2016","FQ3 2016","Currency=INR","Period=FQ","BEST_FPERIOD_OVERRIDE=FQ","FILING_STATUS=OR","EQY_CONSOLIDATED=Y","FA_ADJUSTED=GAAP","Sort=A","Dates=H","DateFormat=P","Fill=—","Direction=H","UseDPDF=Y")</f>
        <v>#NAME?</v>
      </c>
      <c r="V16" s="2" t="e">
        <f ca="1">_xll.BDH($C$3,"OPER_INC_GROWTH","FQ3 2016","FQ3 2016","Currency=INR","Period=FQ","BEST_FPERIOD_OVERRIDE=FQ","FILING_STATUS=OR","EQY_CONSOLIDATED=Y","FA_ADJUSTED=GAAP","Sort=A","Dates=H","DateFormat=P","Fill=—","Direction=H","UseDPDF=Y")</f>
        <v>#NAME?</v>
      </c>
      <c r="W16" s="2" t="e">
        <f ca="1">_xll.BDH($C$3,"EARN_FOR_COM_GROWTH","FQ3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" s="2" t="e">
        <f ca="1">_xll.BDH($C$3,"DILUTED_EPS_AFT_XO_ITEMS_GROWTH","FQ3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" s="2" t="e">
        <f ca="1">_xll.BDH($C$3,"DIVIDEND_PER_SHARE_1_YEAR_GROWTH","FQ3 2016","FQ3 2016","Currency=INR","Period=FQ","BEST_FPERIOD_OVERRIDE=FQ","FILING_STATUS=OR","EQY_CONSOLIDATED=Y","Sort=A","Dates=H","DateFormat=P","Fill=—","Direction=H","UseDPDF=Y")</f>
        <v>#NAME?</v>
      </c>
      <c r="Z16" s="2" t="e">
        <f ca="1">_xll.BDH($C$3,"ACCOUNTS_RECEIVABLE_GROWTH","FQ3 2016","FQ3 2016","Currency=INR","Period=FQ","BEST_FPERIOD_OVERRIDE=FQ","FILING_STATUS=OR","EQY_CONSOLIDATED=Y","Sort=A","Dates=H","DateFormat=P","Fill=—","Direction=H","UseDPDF=Y")</f>
        <v>#NAME?</v>
      </c>
      <c r="AA16" s="2" t="e">
        <f ca="1">_xll.BDH($C$3,"INVENTORY_GROWTH","FQ3 2016","FQ3 2016","Currency=INR","Period=FQ","BEST_FPERIOD_OVERRIDE=FQ","FILING_STATUS=OR","EQY_CONSOLIDATED=Y","Sort=A","Dates=H","DateFormat=P","Fill=—","Direction=H","UseDPDF=Y")</f>
        <v>#NAME?</v>
      </c>
      <c r="AB16" s="2" t="e">
        <f ca="1">_xll.BDH($C$3,"NET_FIXED_ASSETS_1_YEAR_GROWTH","FQ3 2016","FQ3 2016","Currency=INR","Period=FQ","BEST_FPERIOD_OVERRIDE=FQ","FILING_STATUS=OR","EQY_CONSOLIDATED=Y","Sort=A","Dates=H","DateFormat=P","Fill=—","Direction=H","UseDPDF=Y")</f>
        <v>#NAME?</v>
      </c>
      <c r="AC16" s="2" t="e">
        <f ca="1">_xll.BDH($C$3,"ASSET_GROWTH","FQ3 2016","FQ3 2016","Currency=INR","Period=FQ","BEST_FPERIOD_OVERRIDE=FQ","FILING_STATUS=OR","EQY_CONSOLIDATED=Y","Sort=A","Dates=H","DateFormat=P","Fill=—","Direction=H","UseDPDF=Y")</f>
        <v>#NAME?</v>
      </c>
      <c r="AD16" s="2" t="e">
        <f ca="1">_xll.BDH($C$3,"MODIFIED_WORK_CAP_GROWTH","FQ3 2016","FQ3 2016","Currency=INR","Period=FQ","BEST_FPERIOD_OVERRIDE=FQ","FILING_STATUS=OR","EQY_CONSOLIDATED=Y","Sort=A","Dates=H","DateFormat=P","Fill=—","Direction=H","UseDPDF=Y")</f>
        <v>#NAME?</v>
      </c>
      <c r="AE16" s="2" t="e">
        <f ca="1">_xll.BDH($C$3,"WORK_CAP_GROWTH","FQ3 2016","FQ3 2016","Currency=INR","Period=FQ","BEST_FPERIOD_OVERRIDE=FQ","FILING_STATUS=OR","EQY_CONSOLIDATED=Y","Sort=A","Dates=H","DateFormat=P","Fill=—","Direction=H","UseDPDF=Y")</f>
        <v>#NAME?</v>
      </c>
      <c r="AF16" s="2" t="e">
        <f ca="1">_xll.BDH($C$3,"ACCOUNTS_PAYABLE_GROWTH_1YR","FQ3 2016","FQ3 2016","Currency=INR","Period=FQ","BEST_FPERIOD_OVERRIDE=FQ","FILING_STATUS=OR","EQY_CONSOLIDATED=Y","Sort=A","Dates=H","DateFormat=P","Fill=—","Direction=H","UseDPDF=Y")</f>
        <v>#NAME?</v>
      </c>
      <c r="AG16" s="2" t="e">
        <f ca="1">_xll.BDH($C$3,"SHORT_TERM_DEBT_1_YEAR_GROWTH","FQ3 2016","FQ3 2016","Currency=INR","Period=FQ","BEST_FPERIOD_OVERRIDE=FQ","FILING_STATUS=OR","EQY_CONSOLIDATED=Y","Sort=A","Dates=H","DateFormat=P","Fill=—","Direction=H","UseDPDF=Y")</f>
        <v>#NAME?</v>
      </c>
      <c r="AH16" s="2" t="e">
        <f ca="1">_xll.BDH($C$3,"TOTAL_DEBT_1_YEAR_GROWTH","FQ3 2016","FQ3 2016","Currency=INR","Period=FQ","BEST_FPERIOD_OVERRIDE=FQ","FILING_STATUS=OR","EQY_CONSOLIDATED=Y","Sort=A","Dates=H","DateFormat=P","Fill=—","Direction=H","UseDPDF=Y")</f>
        <v>#NAME?</v>
      </c>
      <c r="AI16" s="2" t="e">
        <f ca="1">_xll.BDH($C$3,"TOTAL_EQUITY_1_YEAR_GROWTH","FQ3 2016","FQ3 2016","Currency=INR","Period=FQ","BEST_FPERIOD_OVERRIDE=FQ","FILING_STATUS=OR","EQY_CONSOLIDATED=Y","Sort=A","Dates=H","DateFormat=P","Fill=—","Direction=H","UseDPDF=Y")</f>
        <v>#NAME?</v>
      </c>
      <c r="AJ16" s="2" t="e">
        <f ca="1">_xll.BDH($C$3,"GROWTH_IN_CAP","FQ3 2016","FQ3 2016","Currency=INR","Period=FQ","BEST_FPERIOD_OVERRIDE=FQ","FILING_STATUS=OR","EQY_CONSOLIDATED=Y","Sort=A","Dates=H","DateFormat=P","Fill=—","Direction=H","UseDPDF=Y")</f>
        <v>#NAME?</v>
      </c>
      <c r="AK16" s="2" t="e">
        <f ca="1">_xll.BDH($C$3,"BVPS_GROWTH","FQ3 2016","FQ3 2016","Currency=INR","Period=FQ","BEST_FPERIOD_OVERRIDE=FQ","FILING_STATUS=OR","EQY_CONSOLIDATED=Y","Sort=A","Dates=H","DateFormat=P","Fill=—","Direction=H","UseDPDF=Y")</f>
        <v>#NAME?</v>
      </c>
      <c r="AL16" s="2" t="e">
        <f ca="1">_xll.BDH($C$3,"CASH_FLOW_GROWTH","FQ3 2016","FQ3 2016","Currency=INR","Period=FQ","BEST_FPERIOD_OVERRIDE=FQ","FILING_STATUS=OR","EQY_CONSOLIDATED=Y","Sort=A","Dates=H","DateFormat=P","Fill=—","Direction=H","UseDPDF=Y")</f>
        <v>#NAME?</v>
      </c>
      <c r="AM16" s="2" t="e">
        <f ca="1">_xll.BDH($C$3,"GEO_GROW_NET_SALES","FQ3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" s="2" t="e">
        <f ca="1">_xll.BDH($C$3,"GEO_GROW_EBITDA","FQ3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" s="2" t="e">
        <f ca="1">_xll.BDH($C$3,"GEO_GROW_OPER_INC","FQ3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" s="2" t="e">
        <f ca="1">_xll.BDH($C$3,"NET_INCOME_TO_COMMON_5_YR_GROWTH","FQ3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" s="2" t="e">
        <f ca="1">_xll.BDH($C$3,"5Y_GEO_GROWTH_DILUTED_EPS","FQ3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" s="2" t="e">
        <f ca="1">_xll.BDH($C$3,"GEO_GROW_DVD_PER_SH","FQ3 2016","FQ3 2016","Currency=INR","Period=FQ","BEST_FPERIOD_OVERRIDE=FQ","FILING_STATUS=OR","EQY_CONSOLIDATED=Y","Sort=A","Dates=H","DateFormat=P","Fill=—","Direction=H","UseDPDF=Y")</f>
        <v>#NAME?</v>
      </c>
      <c r="AS16" s="2" t="e">
        <f ca="1">_xll.BDH($C$3,"ACCOUNTS_RECEIVABLE_5_YR_GROWTH","FQ3 2016","FQ3 2016","Currency=INR","Period=FQ","BEST_FPERIOD_OVERRIDE=FQ","FILING_STATUS=OR","EQY_CONSOLIDATED=Y","Sort=A","Dates=H","DateFormat=P","Fill=—","Direction=H","UseDPDF=Y")</f>
        <v>#NAME?</v>
      </c>
      <c r="AT16" s="2" t="e">
        <f ca="1">_xll.BDH($C$3,"INVENTORY_5_YEAR_GROWTH","FQ3 2016","FQ3 2016","Currency=INR","Period=FQ","BEST_FPERIOD_OVERRIDE=FQ","FILING_STATUS=OR","EQY_CONSOLIDATED=Y","Sort=A","Dates=H","DateFormat=P","Fill=—","Direction=H","UseDPDF=Y")</f>
        <v>#NAME?</v>
      </c>
      <c r="AU16" s="2" t="e">
        <f ca="1">_xll.BDH($C$3,"NET_FIXED_ASSETS_5_YEAR_GROWTH","FQ3 2016","FQ3 2016","Currency=INR","Period=FQ","BEST_FPERIOD_OVERRIDE=FQ","FILING_STATUS=OR","EQY_CONSOLIDATED=Y","Sort=A","Dates=H","DateFormat=P","Fill=—","Direction=H","UseDPDF=Y")</f>
        <v>#NAME?</v>
      </c>
      <c r="AV16" s="2" t="e">
        <f ca="1">_xll.BDH($C$3,"GEO_GROW_TOT_ASSET","FQ3 2016","FQ3 2016","Currency=INR","Period=FQ","BEST_FPERIOD_OVERRIDE=FQ","FILING_STATUS=OR","EQY_CONSOLIDATED=Y","Sort=A","Dates=H","DateFormat=P","Fill=—","Direction=H","UseDPDF=Y")</f>
        <v>#NAME?</v>
      </c>
      <c r="AW16" s="2" t="e">
        <f ca="1">_xll.BDH($C$3,"MODIFIED_WORKING_CPTL_5YR_GRWTH","FQ3 2016","FQ3 2016","Currency=INR","Period=FQ","BEST_FPERIOD_OVERRIDE=FQ","FILING_STATUS=OR","EQY_CONSOLIDATED=Y","Sort=A","Dates=H","DateFormat=P","Fill=—","Direction=H","UseDPDF=Y")</f>
        <v>#NAME?</v>
      </c>
      <c r="AX16" s="2" t="e">
        <f ca="1">_xll.BDH($C$3,"WORKING_CAPITAL_5_YEAR_GROWTH","FQ3 2016","FQ3 2016","Currency=INR","Period=FQ","BEST_FPERIOD_OVERRIDE=FQ","FILING_STATUS=OR","EQY_CONSOLIDATED=Y","Sort=A","Dates=H","DateFormat=P","Fill=—","Direction=H","UseDPDF=Y")</f>
        <v>#NAME?</v>
      </c>
      <c r="AY16" s="2" t="e">
        <f ca="1">_xll.BDH($C$3,"ACCOUNTS_PAYABLE_5_YEAR_GROWTH","FQ3 2016","FQ3 2016","Currency=INR","Period=FQ","BEST_FPERIOD_OVERRIDE=FQ","FILING_STATUS=OR","EQY_CONSOLIDATED=Y","Sort=A","Dates=H","DateFormat=P","Fill=—","Direction=H","UseDPDF=Y")</f>
        <v>#NAME?</v>
      </c>
      <c r="AZ16" s="2" t="e">
        <f ca="1">_xll.BDH($C$3,"SHORT_TERM_DEBT_5_YEAR_GROWTH","FQ3 2016","FQ3 2016","Currency=INR","Period=FQ","BEST_FPERIOD_OVERRIDE=FQ","FILING_STATUS=OR","EQY_CONSOLIDATED=Y","Sort=A","Dates=H","DateFormat=P","Fill=—","Direction=H","UseDPDF=Y")</f>
        <v>#NAME?</v>
      </c>
      <c r="BA16" s="2" t="e">
        <f ca="1">_xll.BDH($C$3,"TOTAL_DEBT_5_YEAR_GROWTH","FQ3 2016","FQ3 2016","Currency=INR","Period=FQ","BEST_FPERIOD_OVERRIDE=FQ","FILING_STATUS=OR","EQY_CONSOLIDATED=Y","Sort=A","Dates=H","DateFormat=P","Fill=—","Direction=H","UseDPDF=Y")</f>
        <v>#NAME?</v>
      </c>
      <c r="BB16" s="2" t="e">
        <f ca="1">_xll.BDH($C$3,"GEO_GROW_TOT_SHRHLDR_EQY","FQ3 2016","FQ3 2016","Currency=INR","Period=FQ","BEST_FPERIOD_OVERRIDE=FQ","FILING_STATUS=OR","EQY_CONSOLIDATED=Y","Sort=A","Dates=H","DateFormat=P","Fill=—","Direction=H","UseDPDF=Y")</f>
        <v>#NAME?</v>
      </c>
      <c r="BC16" s="2" t="e">
        <f ca="1">_xll.BDH($C$3,"TOTAL_CAPITAL_5_YEAR_GROWTH","FQ3 2016","FQ3 2016","Currency=INR","Period=FQ","BEST_FPERIOD_OVERRIDE=FQ","FILING_STATUS=OR","EQY_CONSOLIDATED=Y","Sort=A","Dates=H","DateFormat=P","Fill=—","Direction=H","UseDPDF=Y")</f>
        <v>#NAME?</v>
      </c>
      <c r="BD16" s="2" t="e">
        <f ca="1">_xll.BDH($C$3,"GEO_GROW_BOOK_VAL","FQ3 2016","FQ3 2016","Currency=INR","Period=FQ","BEST_FPERIOD_OVERRIDE=FQ","FILING_STATUS=OR","EQY_CONSOLIDATED=Y","Sort=A","Dates=H","DateFormat=P","Fill=—","Direction=H","UseDPDF=Y")</f>
        <v>#NAME?</v>
      </c>
      <c r="BE16" s="2" t="e">
        <f ca="1">_xll.BDH($C$3,"GEO_GROW_CASH_OPER_ACT","FQ3 2016","FQ3 2016","Currency=INR","Period=FQ","BEST_FPERIOD_OVERRIDE=FQ","FILING_STATUS=OR","EQY_CONSOLIDATED=Y","Sort=A","Dates=H","DateFormat=P","Fill=—","Direction=H","UseDPDF=Y")</f>
        <v>#NAME?</v>
      </c>
      <c r="BF16" s="2" t="e">
        <f ca="1">_xll.BDH($C$3,"REVENUE_SEQUENTIAL_GROWTH","FQ3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" s="2" t="e">
        <f ca="1">_xll.BDH($C$3,"EBITDA_SEQUENTIAL_GROWTH","FQ3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" s="2" t="e">
        <f ca="1">_xll.BDH($C$3,"OPERATING_INCOME_SEQ_GROWTH","FQ3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" s="2" t="e">
        <f ca="1">_xll.BDH($C$3,"NET_INCOME_TO_COMMON_SEQ_GROWTH","FQ3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" s="2" t="e">
        <f ca="1">_xll.BDH($C$3,"EPS_DILUTED_SEQUENTIAL_GROWTH","FQ3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" s="2" t="e">
        <f ca="1">_xll.BDH($C$3,"DPS_SEQUENTIAL_GROWTH","FQ3 2016","FQ3 2016","Currency=INR","Period=FQ","BEST_FPERIOD_OVERRIDE=FQ","FILING_STATUS=OR","EQY_CONSOLIDATED=Y","Sort=A","Dates=H","DateFormat=P","Fill=—","Direction=H","UseDPDF=Y")</f>
        <v>#NAME?</v>
      </c>
      <c r="BL16" s="2" t="e">
        <f ca="1">_xll.BDH($C$3,"ACCOUNTS_RECEIVABLE_SEQ_GROWTH","FQ3 2016","FQ3 2016","Currency=INR","Period=FQ","BEST_FPERIOD_OVERRIDE=FQ","FILING_STATUS=OR","EQY_CONSOLIDATED=Y","Sort=A","Dates=H","DateFormat=P","Fill=—","Direction=H","UseDPDF=Y")</f>
        <v>#NAME?</v>
      </c>
      <c r="BM16" s="2" t="e">
        <f ca="1">_xll.BDH($C$3,"INVENTORY_SEQUENTIAL_GROWTH","FQ3 2016","FQ3 2016","Currency=INR","Period=FQ","BEST_FPERIOD_OVERRIDE=FQ","FILING_STATUS=OR","EQY_CONSOLIDATED=Y","Sort=A","Dates=H","DateFormat=P","Fill=—","Direction=H","UseDPDF=Y")</f>
        <v>#NAME?</v>
      </c>
      <c r="BN16" s="2" t="e">
        <f ca="1">_xll.BDH($C$3,"FIXED_ASSETS_SEQUENTIAL_GROWTH","FQ3 2016","FQ3 2016","Currency=INR","Period=FQ","BEST_FPERIOD_OVERRIDE=FQ","FILING_STATUS=OR","EQY_CONSOLIDATED=Y","Sort=A","Dates=H","DateFormat=P","Fill=—","Direction=H","UseDPDF=Y")</f>
        <v>#NAME?</v>
      </c>
      <c r="BO16" s="2" t="e">
        <f ca="1">_xll.BDH($C$3,"TOTAL_ASSETS_SEQUENTIAL_GROWTH","FQ3 2016","FQ3 2016","Currency=INR","Period=FQ","BEST_FPERIOD_OVERRIDE=FQ","FILING_STATUS=OR","EQY_CONSOLIDATED=Y","Sort=A","Dates=H","DateFormat=P","Fill=—","Direction=H","UseDPDF=Y")</f>
        <v>#NAME?</v>
      </c>
      <c r="BP16" s="2" t="e">
        <f ca="1">_xll.BDH($C$3,"MODIFIED_WORKING_CPTL_SEQ_GRWTH","FQ3 2016","FQ3 2016","Currency=INR","Period=FQ","BEST_FPERIOD_OVERRIDE=FQ","FILING_STATUS=OR","EQY_CONSOLIDATED=Y","Sort=A","Dates=H","DateFormat=P","Fill=—","Direction=H","UseDPDF=Y")</f>
        <v>#NAME?</v>
      </c>
      <c r="BQ16" s="2" t="e">
        <f ca="1">_xll.BDH($C$3,"WORKING_CAPITAL_SEQ_GROWTH","FQ3 2016","FQ3 2016","Currency=INR","Period=FQ","BEST_FPERIOD_OVERRIDE=FQ","FILING_STATUS=OR","EQY_CONSOLIDATED=Y","Sort=A","Dates=H","DateFormat=P","Fill=—","Direction=H","UseDPDF=Y")</f>
        <v>#NAME?</v>
      </c>
      <c r="BR16" s="2" t="e">
        <f ca="1">_xll.BDH($C$3,"ACCOUNTS_PAYABLE_SEQ_GROWTH","FQ3 2016","FQ3 2016","Currency=INR","Period=FQ","BEST_FPERIOD_OVERRIDE=FQ","FILING_STATUS=OR","EQY_CONSOLIDATED=Y","Sort=A","Dates=H","DateFormat=P","Fill=—","Direction=H","UseDPDF=Y")</f>
        <v>#NAME?</v>
      </c>
      <c r="BS16" s="2" t="e">
        <f ca="1">_xll.BDH($C$3,"ST_DEBT_SEQUENTIAL_GROWTH","FQ3 2016","FQ3 2016","Currency=INR","Period=FQ","BEST_FPERIOD_OVERRIDE=FQ","FILING_STATUS=OR","EQY_CONSOLIDATED=Y","Sort=A","Dates=H","DateFormat=P","Fill=—","Direction=H","UseDPDF=Y")</f>
        <v>#NAME?</v>
      </c>
      <c r="BT16" s="2" t="e">
        <f ca="1">_xll.BDH($C$3,"TOTAL_DEBT_SEQUENTIAL_GROWTH","FQ3 2016","FQ3 2016","Currency=INR","Period=FQ","BEST_FPERIOD_OVERRIDE=FQ","FILING_STATUS=OR","EQY_CONSOLIDATED=Y","Sort=A","Dates=H","DateFormat=P","Fill=—","Direction=H","UseDPDF=Y")</f>
        <v>#NAME?</v>
      </c>
      <c r="BU16" s="2" t="e">
        <f ca="1">_xll.BDH($C$3,"TOTAL_EQUITY_SEQUENTIAL_GROWTH","FQ3 2016","FQ3 2016","Currency=INR","Period=FQ","BEST_FPERIOD_OVERRIDE=FQ","FILING_STATUS=OR","EQY_CONSOLIDATED=Y","Sort=A","Dates=H","DateFormat=P","Fill=—","Direction=H","UseDPDF=Y")</f>
        <v>#NAME?</v>
      </c>
      <c r="BV16" s="2" t="e">
        <f ca="1">_xll.BDH($C$3,"TOTAL_CAPITAL_SEQUENTIAL_GROWTH","FQ3 2016","FQ3 2016","Currency=INR","Period=FQ","BEST_FPERIOD_OVERRIDE=FQ","FILING_STATUS=OR","EQY_CONSOLIDATED=Y","Sort=A","Dates=H","DateFormat=P","Fill=—","Direction=H","UseDPDF=Y")</f>
        <v>#NAME?</v>
      </c>
      <c r="BW16" s="2" t="e">
        <f ca="1">_xll.BDH($C$3,"BPS_SEQUENTIAL_GROWTH","FQ3 2016","FQ3 2016","Currency=INR","Period=FQ","BEST_FPERIOD_OVERRIDE=FQ","FILING_STATUS=OR","EQY_CONSOLIDATED=Y","Sort=A","Dates=H","DateFormat=P","Fill=—","Direction=H","UseDPDF=Y")</f>
        <v>#NAME?</v>
      </c>
      <c r="BX16" s="2" t="e">
        <f ca="1">_xll.BDH($C$3,"CFO_SEQUENTIAL_GROWTH","FQ3 2016","FQ3 2016","Currency=INR","Period=FQ","BEST_FPERIOD_OVERRIDE=FQ","FILING_STATUS=OR","EQY_CONSOLIDATED=Y","Sort=A","Dates=H","DateFormat=P","Fill=—","Direction=H","UseDPDF=Y")</f>
        <v>#NAME?</v>
      </c>
      <c r="BY16" s="3" t="e">
        <f ca="1">_xll.BDH($C$3,"SHORT_AND_LONG_TERM_DEBT","FQ3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" s="3" t="e">
        <f ca="1">_xll.BDH($C$3,"BS_ST_BORROW","FQ3 2016","FQ3 2016","Currency=INR","Period=FQ","BEST_FPERIOD_OVERRIDE=FQ","FILING_STATUS=OR","EQY_CONSOLIDATED=Y","SCALING_FORMAT=MLN","Sort=A","Dates=H","DateFormat=P","Fill=—","Direction=H","UseDPDF=Y")</f>
        <v>#NAME?</v>
      </c>
      <c r="CA16" s="3" t="e">
        <f ca="1">_xll.BDH($C$3,"BS_LT_BORROW","FQ3 2016","FQ3 2016","Currency=INR","Period=FQ","BEST_FPERIOD_OVERRIDE=FQ","FILING_STATUS=OR","EQY_CONSOLIDATED=Y","SCALING_FORMAT=MLN","Sort=A","Dates=H","DateFormat=P","Fill=—","Direction=H","UseDPDF=Y")</f>
        <v>#NAME?</v>
      </c>
      <c r="CB16" s="2" t="e">
        <f ca="1">_xll.BDH($C$3,"TOT_DEBT_TO_EBITDA","FQ3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" s="2" t="e">
        <f ca="1">_xll.BDH($C$3,"NET_DEBT_TO_EBITDA","FQ3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" s="2" t="e">
        <f ca="1">_xll.BDH($C$3,"TOTAL_DEBT_TO_EBIT","FQ3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" s="2" t="e">
        <f ca="1">_xll.BDH($C$3,"NET_DEBT_TO_EBIT","FQ3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" s="2" t="e">
        <f ca="1">_xll.BDH($C$3,"EBITDA_TO_INTEREST_EXPN","FQ3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" s="2" t="e">
        <f ca="1">_xll.BDH($C$3,"COM_EQY_TO_TOT_ASSET","FQ3 2016","FQ3 2016","Currency=INR","Period=FQ","BEST_FPERIOD_OVERRIDE=FQ","FILING_STATUS=OR","EQY_CONSOLIDATED=Y","Sort=A","Dates=H","DateFormat=P","Fill=—","Direction=H","UseDPDF=Y")</f>
        <v>#NAME?</v>
      </c>
      <c r="CH16" s="2" t="e">
        <f ca="1">_xll.BDH($C$3,"LT_DEBT_TO_TOT_EQY","FQ3 2016","FQ3 2016","Currency=INR","Period=FQ","BEST_FPERIOD_OVERRIDE=FQ","FILING_STATUS=OR","EQY_CONSOLIDATED=Y","Sort=A","Dates=H","DateFormat=P","Fill=—","Direction=H","UseDPDF=Y")</f>
        <v>#NAME?</v>
      </c>
      <c r="CI16" s="2" t="e">
        <f ca="1">_xll.BDH($C$3,"LT_DEBT_TO_TOT_CAP","FQ3 2016","FQ3 2016","Currency=INR","Period=FQ","BEST_FPERIOD_OVERRIDE=FQ","FILING_STATUS=OR","EQY_CONSOLIDATED=Y","Sort=A","Dates=H","DateFormat=P","Fill=—","Direction=H","UseDPDF=Y")</f>
        <v>#NAME?</v>
      </c>
      <c r="CJ16" s="2" t="e">
        <f ca="1">_xll.BDH($C$3,"LT_DEBT_TO_TOT_ASSET","FQ3 2016","FQ3 2016","Currency=INR","Period=FQ","BEST_FPERIOD_OVERRIDE=FQ","FILING_STATUS=OR","EQY_CONSOLIDATED=Y","Sort=A","Dates=H","DateFormat=P","Fill=—","Direction=H","UseDPDF=Y")</f>
        <v>#NAME?</v>
      </c>
      <c r="CK16" s="2" t="e">
        <f ca="1">_xll.BDH($C$3,"TOT_DEBT_TO_TOT_EQY","FQ3 2016","FQ3 2016","Currency=INR","Period=FQ","BEST_FPERIOD_OVERRIDE=FQ","FILING_STATUS=OR","EQY_CONSOLIDATED=Y","Sort=A","Dates=H","DateFormat=P","Fill=—","Direction=H","UseDPDF=Y")</f>
        <v>#NAME?</v>
      </c>
      <c r="CL16" s="2" t="e">
        <f ca="1">_xll.BDH($C$3,"TOT_DEBT_TO_TOT_CAP","FQ3 2016","FQ3 2016","Currency=INR","Period=FQ","BEST_FPERIOD_OVERRIDE=FQ","FILING_STATUS=OR","EQY_CONSOLIDATED=Y","Sort=A","Dates=H","DateFormat=P","Fill=—","Direction=H","UseDPDF=Y")</f>
        <v>#NAME?</v>
      </c>
      <c r="CM16" s="2" t="e">
        <f ca="1">_xll.BDH($C$3,"TOT_DEBT_TO_TOT_ASSET","FQ3 2016","FQ3 2016","Currency=INR","Period=FQ","BEST_FPERIOD_OVERRIDE=FQ","FILING_STATUS=OR","EQY_CONSOLIDATED=Y","Sort=A","Dates=H","DateFormat=P","Fill=—","Direction=H","UseDPDF=Y")</f>
        <v>#NAME?</v>
      </c>
      <c r="CN16" s="2" t="e">
        <f ca="1">_xll.BDH($C$3,"NET_DEBT_TO_SHRHLDR_EQTY","FQ3 2016","FQ3 2016","Currency=INR","Period=FQ","BEST_FPERIOD_OVERRIDE=FQ","FILING_STATUS=OR","EQY_CONSOLIDATED=Y","Sort=A","Dates=H","DateFormat=P","Fill=—","Direction=H","UseDPDF=Y")</f>
        <v>#NAME?</v>
      </c>
      <c r="CO16" s="2" t="e">
        <f ca="1">_xll.BDH($C$3,"NET_DEBT_%_CAPITAL","FQ3 2016","FQ3 2016","Currency=INR","Period=FQ","BEST_FPERIOD_OVERRIDE=FQ","FILING_STATUS=OR","EQY_CONSOLIDATED=Y","Sort=A","Dates=H","DateFormat=P","Fill=—","Direction=H","UseDPDF=Y")</f>
        <v>#NAME?</v>
      </c>
      <c r="CP16" s="3" t="e">
        <f ca="1">_xll.BDH($C$3,"EBITDA","FQ3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" s="3" t="e">
        <f ca="1">_xll.BDH($C$3,"EBITDA_AFTER_CAPEX","FQ3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" s="3" t="e">
        <f ca="1">_xll.BDH($C$3,"IS_OPER_INC","FQ3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" s="2" t="e">
        <f ca="1">_xll.BDH($C$3,"CASH_RATIO","FQ3 2016","FQ3 2016","Currency=INR","Period=FQ","BEST_FPERIOD_OVERRIDE=FQ","FILING_STATUS=OR","EQY_CONSOLIDATED=Y","Sort=A","Dates=H","DateFormat=P","Fill=—","Direction=H","UseDPDF=Y")</f>
        <v>#NAME?</v>
      </c>
      <c r="CT16" s="2" t="e">
        <f ca="1">_xll.BDH($C$3,"CUR_RATIO","FQ3 2016","FQ3 2016","Currency=INR","Period=FQ","BEST_FPERIOD_OVERRIDE=FQ","FILING_STATUS=OR","EQY_CONSOLIDATED=Y","Sort=A","Dates=H","DateFormat=P","Fill=—","Direction=H","UseDPDF=Y")</f>
        <v>#NAME?</v>
      </c>
      <c r="CU16" s="2" t="e">
        <f ca="1">_xll.BDH($C$3,"QUICK_RATIO","FQ3 2016","FQ3 2016","Currency=INR","Period=FQ","BEST_FPERIOD_OVERRIDE=FQ","FILING_STATUS=OR","EQY_CONSOLIDATED=Y","Sort=A","Dates=H","DateFormat=P","Fill=—","Direction=H","UseDPDF=Y")</f>
        <v>#NAME?</v>
      </c>
      <c r="CV16" s="2" t="e">
        <f ca="1">_xll.BDH($C$3,"ALTMAN_Z_SCORE","FQ3 2016","FQ3 2016","Currency=INR","Period=FQ","BEST_FPERIOD_OVERRIDE=FQ","FILING_STATUS=OR","EQY_CONSOLIDATED=Y","Sort=A","Dates=H","DateFormat=P","Fill=—","Direction=H","UseDPDF=Y")</f>
        <v>#NAME?</v>
      </c>
      <c r="CW16" s="4" t="e">
        <f ca="1">_xll.BDH($C$3,"ACCT_RCV_TURN","FQ3 2016","FQ3 2016","Currency=INR","Period=FQ","BEST_FPERIOD_OVERRIDE=FQ","FILING_STATUS=OR","EQY_CONSOLIDATED=Y","FA_ADJUSTED=GAAP","Sort=A","Dates=H","DateFormat=P","Fill=—","Direction=H","UseDPDF=Y")</f>
        <v>#NAME?</v>
      </c>
      <c r="CX16" s="2" t="e">
        <f ca="1">_xll.BDH($C$3,"ACCT_RCV_DAYS","FQ3 2016","FQ3 2016","Currency=INR","Period=FQ","BEST_FPERIOD_OVERRIDE=FQ","FILING_STATUS=OR","EQY_CONSOLIDATED=Y","FA_ADJUSTED=GAAP","Sort=A","Dates=H","DateFormat=P","Fill=—","Direction=H","UseDPDF=Y")</f>
        <v>#NAME?</v>
      </c>
      <c r="CY16" s="4" t="e">
        <f ca="1">_xll.BDH($C$3,"INVENT_TURN","FQ3 2016","FQ3 2016","Currency=INR","Period=FQ","BEST_FPERIOD_OVERRIDE=FQ","FILING_STATUS=OR","EQY_CONSOLIDATED=Y","FA_ADJUSTED=GAAP","Sort=A","Dates=H","DateFormat=P","Fill=—","Direction=H","UseDPDF=Y")</f>
        <v>#NAME?</v>
      </c>
      <c r="CZ16" s="2" t="e">
        <f ca="1">_xll.BDH($C$3,"INVENT_DAYS","FQ3 2016","FQ3 2016","Currency=INR","Period=FQ","BEST_FPERIOD_OVERRIDE=FQ","FILING_STATUS=OR","EQY_CONSOLIDATED=Y","FA_ADJUSTED=GAAP","Sort=A","Dates=H","DateFormat=P","Fill=—","Direction=H","UseDPDF=Y")</f>
        <v>#NAME?</v>
      </c>
      <c r="DA16" s="4" t="e">
        <f ca="1">_xll.BDH($C$3,"ACCOUNTS_PAYABLE_TURNOVER","FQ3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" s="2" t="e">
        <f ca="1">_xll.BDH($C$3,"ACCOUNTS_PAYABLE_TURNOVER_DAYS","FQ3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" s="4" t="e">
        <f ca="1">_xll.BDH($C$3,"CASH_CONVERSION_CYCLE","FQ3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" s="4" t="e">
        <f ca="1">_xll.BDH($C$3,"INV_TO_CASH_DAYS","FQ3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" s="5" t="e">
        <f ca="1">_xll.BDH($C$3,"BS_INVENTORIES","FQ3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" s="3" t="e">
        <f ca="1">_xll.BDH($C$3,"INVTRY_RAW_MATERIALS","FQ3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" s="3" t="e">
        <f ca="1">_xll.BDH($C$3,"INVTRY_IN_PROGRESS","FQ3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" s="3" t="e">
        <f ca="1">_xll.BDH($C$3,"INVTRY_FINISHED_GOODS","FQ3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" s="3" t="e">
        <f ca="1">_xll.BDH($C$3,"BS_OTHER_INV","FQ3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7" spans="1:113" x14ac:dyDescent="0.3">
      <c r="A17" s="6"/>
      <c r="B17" s="6"/>
      <c r="C17" s="6"/>
      <c r="D17" s="6"/>
      <c r="E17" t="s">
        <v>81</v>
      </c>
      <c r="F17" t="e">
        <f ca="1">_xll.BDH($C$3,"RETURN_COM_EQY","FQ4 2016","FQ4 2016","Currency=INR","Period=FQ","BEST_FPERIOD_OVERRIDE=FQ","FILING_STATUS=OR","EQY_CONSOLIDATED=Y","FA_ADJUSTED=GAAP","Sort=A","Dates=H","DateFormat=P","Fill=—","Direction=H","UseDPDF=Y")</f>
        <v>#NAME?</v>
      </c>
      <c r="G17" t="e">
        <f ca="1">_xll.BDH($C$3,"RETURN_ON_ASSET","FQ4 2016","FQ4 2016","Currency=INR","Period=FQ","BEST_FPERIOD_OVERRIDE=FQ","FILING_STATUS=OR","EQY_CONSOLIDATED=Y","FA_ADJUSTED=GAAP","Sort=A","Dates=H","DateFormat=P","Fill=—","Direction=H","UseDPDF=Y")</f>
        <v>#NAME?</v>
      </c>
      <c r="H17" t="e">
        <f ca="1">_xll.BDH($C$3,"RETURN_ON_CAP","FQ4 2016","FQ4 2016","Currency=INR","Period=FQ","BEST_FPERIOD_OVERRIDE=FQ","FILING_STATUS=OR","EQY_CONSOLIDATED=Y","FA_ADJUSTED=GAAP","Sort=A","Dates=H","DateFormat=P","Fill=—","Direction=H","UseDPDF=Y")</f>
        <v>#NAME?</v>
      </c>
      <c r="I17" t="e">
        <f ca="1">_xll.BDH($C$3,"RETURN_ON_INV_CAPITAL","FQ4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7" t="e">
        <f ca="1">_xll.BDH($C$3,"EBITDA_TO_REVENUE","FQ4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7" t="e">
        <f ca="1">_xll.BDH($C$3,"OPER_MARGIN","FQ4 2016","FQ4 2016","Currency=INR","Period=FQ","BEST_FPERIOD_OVERRIDE=FQ","FILING_STATUS=OR","EQY_CONSOLIDATED=Y","FA_ADJUSTED=GAAP","Sort=A","Dates=H","DateFormat=P","Fill=—","Direction=H","UseDPDF=Y")</f>
        <v>#NAME?</v>
      </c>
      <c r="L17" t="e">
        <f ca="1">_xll.BDH($C$3,"INCREMENTAL_OPERATING_MARGIN","FQ4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7" t="e">
        <f ca="1">_xll.BDH($C$3,"PRETAX_INC_TO_NET_SALES","FQ4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7" t="e">
        <f ca="1">_xll.BDH($C$3,"INC_BEF_XO_ITEMS_TO_NET_SALES","FQ4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7" t="e">
        <f ca="1">_xll.BDH($C$3,"PROF_MARGIN","FQ4 2016","FQ4 2016","Currency=INR","Period=FQ","BEST_FPERIOD_OVERRIDE=FQ","FILING_STATUS=OR","EQY_CONSOLIDATED=Y","FA_ADJUSTED=GAAP","Sort=A","Dates=H","DateFormat=P","Fill=—","Direction=H","UseDPDF=Y")</f>
        <v>#NAME?</v>
      </c>
      <c r="P17" t="e">
        <f ca="1">_xll.BDH($C$3,"NET_INCOME_TO_COMMON_MARGIN","FQ4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7" t="e">
        <f ca="1">_xll.BDH($C$3,"EFF_TAX_RATE","FQ4 2016","FQ4 2016","Currency=INR","Period=FQ","BEST_FPERIOD_OVERRIDE=FQ","FILING_STATUS=OR","EQY_CONSOLIDATED=Y","FA_ADJUSTED=GAAP","Sort=A","Dates=H","DateFormat=P","Fill=—","Direction=H","UseDPDF=Y")</f>
        <v>#NAME?</v>
      </c>
      <c r="R17" t="e">
        <f ca="1">_xll.BDH($C$3,"DVD_PAYOUT_RATIO","FQ4 2016","FQ4 2016","Currency=INR","Period=FQ","BEST_FPERIOD_OVERRIDE=FQ","FILING_STATUS=OR","EQY_CONSOLIDATED=Y","FA_ADJUSTED=GAAP","Sort=A","Dates=H","DateFormat=P","Fill=—","Direction=H","UseDPDF=Y")</f>
        <v>#NAME?</v>
      </c>
      <c r="S17" t="e">
        <f ca="1">_xll.BDH($C$3,"SUSTAIN_GROWTH_RT","FQ4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7" s="2" t="e">
        <f ca="1">_xll.BDH($C$3,"SALES_GROWTH","FQ4 2016","FQ4 2016","Currency=INR","Period=FQ","BEST_FPERIOD_OVERRIDE=FQ","FILING_STATUS=OR","EQY_CONSOLIDATED=Y","FA_ADJUSTED=GAAP","Sort=A","Dates=H","DateFormat=P","Fill=—","Direction=H","UseDPDF=Y")</f>
        <v>#NAME?</v>
      </c>
      <c r="U17" s="2" t="e">
        <f ca="1">_xll.BDH($C$3,"EBITDA_GROWTH","FQ4 2016","FQ4 2016","Currency=INR","Period=FQ","BEST_FPERIOD_OVERRIDE=FQ","FILING_STATUS=OR","EQY_CONSOLIDATED=Y","FA_ADJUSTED=GAAP","Sort=A","Dates=H","DateFormat=P","Fill=—","Direction=H","UseDPDF=Y")</f>
        <v>#NAME?</v>
      </c>
      <c r="V17" s="2" t="e">
        <f ca="1">_xll.BDH($C$3,"OPER_INC_GROWTH","FQ4 2016","FQ4 2016","Currency=INR","Period=FQ","BEST_FPERIOD_OVERRIDE=FQ","FILING_STATUS=OR","EQY_CONSOLIDATED=Y","FA_ADJUSTED=GAAP","Sort=A","Dates=H","DateFormat=P","Fill=—","Direction=H","UseDPDF=Y")</f>
        <v>#NAME?</v>
      </c>
      <c r="W17" s="2" t="e">
        <f ca="1">_xll.BDH($C$3,"EARN_FOR_COM_GROWTH","FQ4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7" s="2" t="e">
        <f ca="1">_xll.BDH($C$3,"DILUTED_EPS_AFT_XO_ITEMS_GROWTH","FQ4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7" s="2" t="e">
        <f ca="1">_xll.BDH($C$3,"DIVIDEND_PER_SHARE_1_YEAR_GROWTH","FQ4 2016","FQ4 2016","Currency=INR","Period=FQ","BEST_FPERIOD_OVERRIDE=FQ","FILING_STATUS=OR","EQY_CONSOLIDATED=Y","Sort=A","Dates=H","DateFormat=P","Fill=—","Direction=H","UseDPDF=Y")</f>
        <v>#NAME?</v>
      </c>
      <c r="Z17" s="2" t="e">
        <f ca="1">_xll.BDH($C$3,"ACCOUNTS_RECEIVABLE_GROWTH","FQ4 2016","FQ4 2016","Currency=INR","Period=FQ","BEST_FPERIOD_OVERRIDE=FQ","FILING_STATUS=OR","EQY_CONSOLIDATED=Y","Sort=A","Dates=H","DateFormat=P","Fill=—","Direction=H","UseDPDF=Y")</f>
        <v>#NAME?</v>
      </c>
      <c r="AA17" s="2" t="e">
        <f ca="1">_xll.BDH($C$3,"INVENTORY_GROWTH","FQ4 2016","FQ4 2016","Currency=INR","Period=FQ","BEST_FPERIOD_OVERRIDE=FQ","FILING_STATUS=OR","EQY_CONSOLIDATED=Y","Sort=A","Dates=H","DateFormat=P","Fill=—","Direction=H","UseDPDF=Y")</f>
        <v>#NAME?</v>
      </c>
      <c r="AB17" s="2" t="e">
        <f ca="1">_xll.BDH($C$3,"NET_FIXED_ASSETS_1_YEAR_GROWTH","FQ4 2016","FQ4 2016","Currency=INR","Period=FQ","BEST_FPERIOD_OVERRIDE=FQ","FILING_STATUS=OR","EQY_CONSOLIDATED=Y","Sort=A","Dates=H","DateFormat=P","Fill=—","Direction=H","UseDPDF=Y")</f>
        <v>#NAME?</v>
      </c>
      <c r="AC17" s="2" t="e">
        <f ca="1">_xll.BDH($C$3,"ASSET_GROWTH","FQ4 2016","FQ4 2016","Currency=INR","Period=FQ","BEST_FPERIOD_OVERRIDE=FQ","FILING_STATUS=OR","EQY_CONSOLIDATED=Y","Sort=A","Dates=H","DateFormat=P","Fill=—","Direction=H","UseDPDF=Y")</f>
        <v>#NAME?</v>
      </c>
      <c r="AD17" s="2" t="e">
        <f ca="1">_xll.BDH($C$3,"MODIFIED_WORK_CAP_GROWTH","FQ4 2016","FQ4 2016","Currency=INR","Period=FQ","BEST_FPERIOD_OVERRIDE=FQ","FILING_STATUS=OR","EQY_CONSOLIDATED=Y","Sort=A","Dates=H","DateFormat=P","Fill=—","Direction=H","UseDPDF=Y")</f>
        <v>#NAME?</v>
      </c>
      <c r="AE17" s="2" t="e">
        <f ca="1">_xll.BDH($C$3,"WORK_CAP_GROWTH","FQ4 2016","FQ4 2016","Currency=INR","Period=FQ","BEST_FPERIOD_OVERRIDE=FQ","FILING_STATUS=OR","EQY_CONSOLIDATED=Y","Sort=A","Dates=H","DateFormat=P","Fill=—","Direction=H","UseDPDF=Y")</f>
        <v>#NAME?</v>
      </c>
      <c r="AF17" s="2" t="e">
        <f ca="1">_xll.BDH($C$3,"ACCOUNTS_PAYABLE_GROWTH_1YR","FQ4 2016","FQ4 2016","Currency=INR","Period=FQ","BEST_FPERIOD_OVERRIDE=FQ","FILING_STATUS=OR","EQY_CONSOLIDATED=Y","Sort=A","Dates=H","DateFormat=P","Fill=—","Direction=H","UseDPDF=Y")</f>
        <v>#NAME?</v>
      </c>
      <c r="AG17" s="2" t="e">
        <f ca="1">_xll.BDH($C$3,"SHORT_TERM_DEBT_1_YEAR_GROWTH","FQ4 2016","FQ4 2016","Currency=INR","Period=FQ","BEST_FPERIOD_OVERRIDE=FQ","FILING_STATUS=OR","EQY_CONSOLIDATED=Y","Sort=A","Dates=H","DateFormat=P","Fill=—","Direction=H","UseDPDF=Y")</f>
        <v>#NAME?</v>
      </c>
      <c r="AH17" s="2" t="e">
        <f ca="1">_xll.BDH($C$3,"TOTAL_DEBT_1_YEAR_GROWTH","FQ4 2016","FQ4 2016","Currency=INR","Period=FQ","BEST_FPERIOD_OVERRIDE=FQ","FILING_STATUS=OR","EQY_CONSOLIDATED=Y","Sort=A","Dates=H","DateFormat=P","Fill=—","Direction=H","UseDPDF=Y")</f>
        <v>#NAME?</v>
      </c>
      <c r="AI17" s="2" t="e">
        <f ca="1">_xll.BDH($C$3,"TOTAL_EQUITY_1_YEAR_GROWTH","FQ4 2016","FQ4 2016","Currency=INR","Period=FQ","BEST_FPERIOD_OVERRIDE=FQ","FILING_STATUS=OR","EQY_CONSOLIDATED=Y","Sort=A","Dates=H","DateFormat=P","Fill=—","Direction=H","UseDPDF=Y")</f>
        <v>#NAME?</v>
      </c>
      <c r="AJ17" s="2" t="e">
        <f ca="1">_xll.BDH($C$3,"GROWTH_IN_CAP","FQ4 2016","FQ4 2016","Currency=INR","Period=FQ","BEST_FPERIOD_OVERRIDE=FQ","FILING_STATUS=OR","EQY_CONSOLIDATED=Y","Sort=A","Dates=H","DateFormat=P","Fill=—","Direction=H","UseDPDF=Y")</f>
        <v>#NAME?</v>
      </c>
      <c r="AK17" s="2" t="e">
        <f ca="1">_xll.BDH($C$3,"BVPS_GROWTH","FQ4 2016","FQ4 2016","Currency=INR","Period=FQ","BEST_FPERIOD_OVERRIDE=FQ","FILING_STATUS=OR","EQY_CONSOLIDATED=Y","Sort=A","Dates=H","DateFormat=P","Fill=—","Direction=H","UseDPDF=Y")</f>
        <v>#NAME?</v>
      </c>
      <c r="AL17" s="2" t="e">
        <f ca="1">_xll.BDH($C$3,"CASH_FLOW_GROWTH","FQ4 2016","FQ4 2016","Currency=INR","Period=FQ","BEST_FPERIOD_OVERRIDE=FQ","FILING_STATUS=OR","EQY_CONSOLIDATED=Y","Sort=A","Dates=H","DateFormat=P","Fill=—","Direction=H","UseDPDF=Y")</f>
        <v>#NAME?</v>
      </c>
      <c r="AM17" s="2" t="e">
        <f ca="1">_xll.BDH($C$3,"GEO_GROW_NET_SALES","FQ4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7" s="2" t="e">
        <f ca="1">_xll.BDH($C$3,"GEO_GROW_EBITDA","FQ4 2016","FQ4 2016","Currency=INR","Period=FQ","BEST_FPERIOD_OVERRIDE=FQ","FILING_STATUS=OR","EQY_CONSOLIDATED=Y","FA_ADJUSTED=GAAP","Sort=A","Dates=H","DateFormat=P","Fill=—","Direction=H","UseDPDF=Y")</f>
        <v>#NAME?</v>
      </c>
      <c r="AO17" s="2" t="e">
        <f ca="1">_xll.BDH($C$3,"GEO_GROW_OPER_INC","FQ4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7" s="2" t="e">
        <f ca="1">_xll.BDH($C$3,"NET_INCOME_TO_COMMON_5_YR_GROWTH","FQ4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7" s="2" t="e">
        <f ca="1">_xll.BDH($C$3,"5Y_GEO_GROWTH_DILUTED_EPS","FQ4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7" s="2" t="e">
        <f ca="1">_xll.BDH($C$3,"GEO_GROW_DVD_PER_SH","FQ4 2016","FQ4 2016","Currency=INR","Period=FQ","BEST_FPERIOD_OVERRIDE=FQ","FILING_STATUS=OR","EQY_CONSOLIDATED=Y","Sort=A","Dates=H","DateFormat=P","Fill=—","Direction=H","UseDPDF=Y")</f>
        <v>#NAME?</v>
      </c>
      <c r="AS17" s="2" t="e">
        <f ca="1">_xll.BDH($C$3,"ACCOUNTS_RECEIVABLE_5_YR_GROWTH","FQ4 2016","FQ4 2016","Currency=INR","Period=FQ","BEST_FPERIOD_OVERRIDE=FQ","FILING_STATUS=OR","EQY_CONSOLIDATED=Y","Sort=A","Dates=H","DateFormat=P","Fill=—","Direction=H","UseDPDF=Y")</f>
        <v>#NAME?</v>
      </c>
      <c r="AT17" s="2" t="e">
        <f ca="1">_xll.BDH($C$3,"INVENTORY_5_YEAR_GROWTH","FQ4 2016","FQ4 2016","Currency=INR","Period=FQ","BEST_FPERIOD_OVERRIDE=FQ","FILING_STATUS=OR","EQY_CONSOLIDATED=Y","Sort=A","Dates=H","DateFormat=P","Fill=—","Direction=H","UseDPDF=Y")</f>
        <v>#NAME?</v>
      </c>
      <c r="AU17" s="2" t="e">
        <f ca="1">_xll.BDH($C$3,"NET_FIXED_ASSETS_5_YEAR_GROWTH","FQ4 2016","FQ4 2016","Currency=INR","Period=FQ","BEST_FPERIOD_OVERRIDE=FQ","FILING_STATUS=OR","EQY_CONSOLIDATED=Y","Sort=A","Dates=H","DateFormat=P","Fill=—","Direction=H","UseDPDF=Y")</f>
        <v>#NAME?</v>
      </c>
      <c r="AV17" s="2" t="e">
        <f ca="1">_xll.BDH($C$3,"GEO_GROW_TOT_ASSET","FQ4 2016","FQ4 2016","Currency=INR","Period=FQ","BEST_FPERIOD_OVERRIDE=FQ","FILING_STATUS=OR","EQY_CONSOLIDATED=Y","Sort=A","Dates=H","DateFormat=P","Fill=—","Direction=H","UseDPDF=Y")</f>
        <v>#NAME?</v>
      </c>
      <c r="AW17" s="2" t="e">
        <f ca="1">_xll.BDH($C$3,"MODIFIED_WORKING_CPTL_5YR_GRWTH","FQ4 2016","FQ4 2016","Currency=INR","Period=FQ","BEST_FPERIOD_OVERRIDE=FQ","FILING_STATUS=OR","EQY_CONSOLIDATED=Y","Sort=A","Dates=H","DateFormat=P","Fill=—","Direction=H","UseDPDF=Y")</f>
        <v>#NAME?</v>
      </c>
      <c r="AX17" s="2" t="e">
        <f ca="1">_xll.BDH($C$3,"WORKING_CAPITAL_5_YEAR_GROWTH","FQ4 2016","FQ4 2016","Currency=INR","Period=FQ","BEST_FPERIOD_OVERRIDE=FQ","FILING_STATUS=OR","EQY_CONSOLIDATED=Y","Sort=A","Dates=H","DateFormat=P","Fill=—","Direction=H","UseDPDF=Y")</f>
        <v>#NAME?</v>
      </c>
      <c r="AY17" s="2" t="e">
        <f ca="1">_xll.BDH($C$3,"ACCOUNTS_PAYABLE_5_YEAR_GROWTH","FQ4 2016","FQ4 2016","Currency=INR","Period=FQ","BEST_FPERIOD_OVERRIDE=FQ","FILING_STATUS=OR","EQY_CONSOLIDATED=Y","Sort=A","Dates=H","DateFormat=P","Fill=—","Direction=H","UseDPDF=Y")</f>
        <v>#NAME?</v>
      </c>
      <c r="AZ17" s="2" t="e">
        <f ca="1">_xll.BDH($C$3,"SHORT_TERM_DEBT_5_YEAR_GROWTH","FQ4 2016","FQ4 2016","Currency=INR","Period=FQ","BEST_FPERIOD_OVERRIDE=FQ","FILING_STATUS=OR","EQY_CONSOLIDATED=Y","Sort=A","Dates=H","DateFormat=P","Fill=—","Direction=H","UseDPDF=Y")</f>
        <v>#NAME?</v>
      </c>
      <c r="BA17" s="2" t="e">
        <f ca="1">_xll.BDH($C$3,"TOTAL_DEBT_5_YEAR_GROWTH","FQ4 2016","FQ4 2016","Currency=INR","Period=FQ","BEST_FPERIOD_OVERRIDE=FQ","FILING_STATUS=OR","EQY_CONSOLIDATED=Y","Sort=A","Dates=H","DateFormat=P","Fill=—","Direction=H","UseDPDF=Y")</f>
        <v>#NAME?</v>
      </c>
      <c r="BB17" s="2" t="e">
        <f ca="1">_xll.BDH($C$3,"GEO_GROW_TOT_SHRHLDR_EQY","FQ4 2016","FQ4 2016","Currency=INR","Period=FQ","BEST_FPERIOD_OVERRIDE=FQ","FILING_STATUS=OR","EQY_CONSOLIDATED=Y","Sort=A","Dates=H","DateFormat=P","Fill=—","Direction=H","UseDPDF=Y")</f>
        <v>#NAME?</v>
      </c>
      <c r="BC17" s="2" t="e">
        <f ca="1">_xll.BDH($C$3,"TOTAL_CAPITAL_5_YEAR_GROWTH","FQ4 2016","FQ4 2016","Currency=INR","Period=FQ","BEST_FPERIOD_OVERRIDE=FQ","FILING_STATUS=OR","EQY_CONSOLIDATED=Y","Sort=A","Dates=H","DateFormat=P","Fill=—","Direction=H","UseDPDF=Y")</f>
        <v>#NAME?</v>
      </c>
      <c r="BD17" s="2" t="e">
        <f ca="1">_xll.BDH($C$3,"GEO_GROW_BOOK_VAL","FQ4 2016","FQ4 2016","Currency=INR","Period=FQ","BEST_FPERIOD_OVERRIDE=FQ","FILING_STATUS=OR","EQY_CONSOLIDATED=Y","Sort=A","Dates=H","DateFormat=P","Fill=—","Direction=H","UseDPDF=Y")</f>
        <v>#NAME?</v>
      </c>
      <c r="BE17" s="2" t="e">
        <f ca="1">_xll.BDH($C$3,"GEO_GROW_CASH_OPER_ACT","FQ4 2016","FQ4 2016","Currency=INR","Period=FQ","BEST_FPERIOD_OVERRIDE=FQ","FILING_STATUS=OR","EQY_CONSOLIDATED=Y","Sort=A","Dates=H","DateFormat=P","Fill=—","Direction=H","UseDPDF=Y")</f>
        <v>#NAME?</v>
      </c>
      <c r="BF17" s="2" t="e">
        <f ca="1">_xll.BDH($C$3,"REVENUE_SEQUENTIAL_GROWTH","FQ4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7" s="2" t="e">
        <f ca="1">_xll.BDH($C$3,"EBITDA_SEQUENTIAL_GROWTH","FQ4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7" s="2" t="e">
        <f ca="1">_xll.BDH($C$3,"OPERATING_INCOME_SEQ_GROWTH","FQ4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7" s="2" t="e">
        <f ca="1">_xll.BDH($C$3,"NET_INCOME_TO_COMMON_SEQ_GROWTH","FQ4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7" s="2" t="e">
        <f ca="1">_xll.BDH($C$3,"EPS_DILUTED_SEQUENTIAL_GROWTH","FQ4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7" s="2" t="e">
        <f ca="1">_xll.BDH($C$3,"DPS_SEQUENTIAL_GROWTH","FQ4 2016","FQ4 2016","Currency=INR","Period=FQ","BEST_FPERIOD_OVERRIDE=FQ","FILING_STATUS=OR","EQY_CONSOLIDATED=Y","Sort=A","Dates=H","DateFormat=P","Fill=—","Direction=H","UseDPDF=Y")</f>
        <v>#NAME?</v>
      </c>
      <c r="BL17" s="2" t="e">
        <f ca="1">_xll.BDH($C$3,"ACCOUNTS_RECEIVABLE_SEQ_GROWTH","FQ4 2016","FQ4 2016","Currency=INR","Period=FQ","BEST_FPERIOD_OVERRIDE=FQ","FILING_STATUS=OR","EQY_CONSOLIDATED=Y","Sort=A","Dates=H","DateFormat=P","Fill=—","Direction=H","UseDPDF=Y")</f>
        <v>#NAME?</v>
      </c>
      <c r="BM17" s="2" t="e">
        <f ca="1">_xll.BDH($C$3,"INVENTORY_SEQUENTIAL_GROWTH","FQ4 2016","FQ4 2016","Currency=INR","Period=FQ","BEST_FPERIOD_OVERRIDE=FQ","FILING_STATUS=OR","EQY_CONSOLIDATED=Y","Sort=A","Dates=H","DateFormat=P","Fill=—","Direction=H","UseDPDF=Y")</f>
        <v>#NAME?</v>
      </c>
      <c r="BN17" s="2" t="e">
        <f ca="1">_xll.BDH($C$3,"FIXED_ASSETS_SEQUENTIAL_GROWTH","FQ4 2016","FQ4 2016","Currency=INR","Period=FQ","BEST_FPERIOD_OVERRIDE=FQ","FILING_STATUS=OR","EQY_CONSOLIDATED=Y","Sort=A","Dates=H","DateFormat=P","Fill=—","Direction=H","UseDPDF=Y")</f>
        <v>#NAME?</v>
      </c>
      <c r="BO17" s="2" t="e">
        <f ca="1">_xll.BDH($C$3,"TOTAL_ASSETS_SEQUENTIAL_GROWTH","FQ4 2016","FQ4 2016","Currency=INR","Period=FQ","BEST_FPERIOD_OVERRIDE=FQ","FILING_STATUS=OR","EQY_CONSOLIDATED=Y","Sort=A","Dates=H","DateFormat=P","Fill=—","Direction=H","UseDPDF=Y")</f>
        <v>#NAME?</v>
      </c>
      <c r="BP17" s="2" t="e">
        <f ca="1">_xll.BDH($C$3,"MODIFIED_WORKING_CPTL_SEQ_GRWTH","FQ4 2016","FQ4 2016","Currency=INR","Period=FQ","BEST_FPERIOD_OVERRIDE=FQ","FILING_STATUS=OR","EQY_CONSOLIDATED=Y","Sort=A","Dates=H","DateFormat=P","Fill=—","Direction=H","UseDPDF=Y")</f>
        <v>#NAME?</v>
      </c>
      <c r="BQ17" s="2" t="e">
        <f ca="1">_xll.BDH($C$3,"WORKING_CAPITAL_SEQ_GROWTH","FQ4 2016","FQ4 2016","Currency=INR","Period=FQ","BEST_FPERIOD_OVERRIDE=FQ","FILING_STATUS=OR","EQY_CONSOLIDATED=Y","Sort=A","Dates=H","DateFormat=P","Fill=—","Direction=H","UseDPDF=Y")</f>
        <v>#NAME?</v>
      </c>
      <c r="BR17" s="2" t="e">
        <f ca="1">_xll.BDH($C$3,"ACCOUNTS_PAYABLE_SEQ_GROWTH","FQ4 2016","FQ4 2016","Currency=INR","Period=FQ","BEST_FPERIOD_OVERRIDE=FQ","FILING_STATUS=OR","EQY_CONSOLIDATED=Y","Sort=A","Dates=H","DateFormat=P","Fill=—","Direction=H","UseDPDF=Y")</f>
        <v>#NAME?</v>
      </c>
      <c r="BS17" s="2" t="e">
        <f ca="1">_xll.BDH($C$3,"ST_DEBT_SEQUENTIAL_GROWTH","FQ4 2016","FQ4 2016","Currency=INR","Period=FQ","BEST_FPERIOD_OVERRIDE=FQ","FILING_STATUS=OR","EQY_CONSOLIDATED=Y","Sort=A","Dates=H","DateFormat=P","Fill=—","Direction=H","UseDPDF=Y")</f>
        <v>#NAME?</v>
      </c>
      <c r="BT17" s="2" t="e">
        <f ca="1">_xll.BDH($C$3,"TOTAL_DEBT_SEQUENTIAL_GROWTH","FQ4 2016","FQ4 2016","Currency=INR","Period=FQ","BEST_FPERIOD_OVERRIDE=FQ","FILING_STATUS=OR","EQY_CONSOLIDATED=Y","Sort=A","Dates=H","DateFormat=P","Fill=—","Direction=H","UseDPDF=Y")</f>
        <v>#NAME?</v>
      </c>
      <c r="BU17" s="2" t="e">
        <f ca="1">_xll.BDH($C$3,"TOTAL_EQUITY_SEQUENTIAL_GROWTH","FQ4 2016","FQ4 2016","Currency=INR","Period=FQ","BEST_FPERIOD_OVERRIDE=FQ","FILING_STATUS=OR","EQY_CONSOLIDATED=Y","Sort=A","Dates=H","DateFormat=P","Fill=—","Direction=H","UseDPDF=Y")</f>
        <v>#NAME?</v>
      </c>
      <c r="BV17" s="2" t="e">
        <f ca="1">_xll.BDH($C$3,"TOTAL_CAPITAL_SEQUENTIAL_GROWTH","FQ4 2016","FQ4 2016","Currency=INR","Period=FQ","BEST_FPERIOD_OVERRIDE=FQ","FILING_STATUS=OR","EQY_CONSOLIDATED=Y","Sort=A","Dates=H","DateFormat=P","Fill=—","Direction=H","UseDPDF=Y")</f>
        <v>#NAME?</v>
      </c>
      <c r="BW17" s="2" t="e">
        <f ca="1">_xll.BDH($C$3,"BPS_SEQUENTIAL_GROWTH","FQ4 2016","FQ4 2016","Currency=INR","Period=FQ","BEST_FPERIOD_OVERRIDE=FQ","FILING_STATUS=OR","EQY_CONSOLIDATED=Y","Sort=A","Dates=H","DateFormat=P","Fill=—","Direction=H","UseDPDF=Y")</f>
        <v>#NAME?</v>
      </c>
      <c r="BX17" s="2" t="e">
        <f ca="1">_xll.BDH($C$3,"CFO_SEQUENTIAL_GROWTH","FQ4 2016","FQ4 2016","Currency=INR","Period=FQ","BEST_FPERIOD_OVERRIDE=FQ","FILING_STATUS=OR","EQY_CONSOLIDATED=Y","Sort=A","Dates=H","DateFormat=P","Fill=—","Direction=H","UseDPDF=Y")</f>
        <v>#NAME?</v>
      </c>
      <c r="BY17" s="3" t="e">
        <f ca="1">_xll.BDH($C$3,"SHORT_AND_LONG_TERM_DEBT","FQ4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7" s="3" t="e">
        <f ca="1">_xll.BDH($C$3,"BS_ST_BORROW","FQ4 2016","FQ4 2016","Currency=INR","Period=FQ","BEST_FPERIOD_OVERRIDE=FQ","FILING_STATUS=OR","EQY_CONSOLIDATED=Y","SCALING_FORMAT=MLN","Sort=A","Dates=H","DateFormat=P","Fill=—","Direction=H","UseDPDF=Y")</f>
        <v>#NAME?</v>
      </c>
      <c r="CA17" s="3" t="e">
        <f ca="1">_xll.BDH($C$3,"BS_LT_BORROW","FQ4 2016","FQ4 2016","Currency=INR","Period=FQ","BEST_FPERIOD_OVERRIDE=FQ","FILING_STATUS=OR","EQY_CONSOLIDATED=Y","SCALING_FORMAT=MLN","Sort=A","Dates=H","DateFormat=P","Fill=—","Direction=H","UseDPDF=Y")</f>
        <v>#NAME?</v>
      </c>
      <c r="CB17" s="2" t="e">
        <f ca="1">_xll.BDH($C$3,"TOT_DEBT_TO_EBITDA","FQ4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7" s="2" t="e">
        <f ca="1">_xll.BDH($C$3,"NET_DEBT_TO_EBITDA","FQ4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7" s="2" t="e">
        <f ca="1">_xll.BDH($C$3,"TOTAL_DEBT_TO_EBIT","FQ4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7" s="2" t="e">
        <f ca="1">_xll.BDH($C$3,"NET_DEBT_TO_EBIT","FQ4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7" s="2" t="e">
        <f ca="1">_xll.BDH($C$3,"EBITDA_TO_INTEREST_EXPN","FQ4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7" s="2" t="e">
        <f ca="1">_xll.BDH($C$3,"COM_EQY_TO_TOT_ASSET","FQ4 2016","FQ4 2016","Currency=INR","Period=FQ","BEST_FPERIOD_OVERRIDE=FQ","FILING_STATUS=OR","EQY_CONSOLIDATED=Y","Sort=A","Dates=H","DateFormat=P","Fill=—","Direction=H","UseDPDF=Y")</f>
        <v>#NAME?</v>
      </c>
      <c r="CH17" s="2" t="e">
        <f ca="1">_xll.BDH($C$3,"LT_DEBT_TO_TOT_EQY","FQ4 2016","FQ4 2016","Currency=INR","Period=FQ","BEST_FPERIOD_OVERRIDE=FQ","FILING_STATUS=OR","EQY_CONSOLIDATED=Y","Sort=A","Dates=H","DateFormat=P","Fill=—","Direction=H","UseDPDF=Y")</f>
        <v>#NAME?</v>
      </c>
      <c r="CI17" s="2" t="e">
        <f ca="1">_xll.BDH($C$3,"LT_DEBT_TO_TOT_CAP","FQ4 2016","FQ4 2016","Currency=INR","Period=FQ","BEST_FPERIOD_OVERRIDE=FQ","FILING_STATUS=OR","EQY_CONSOLIDATED=Y","Sort=A","Dates=H","DateFormat=P","Fill=—","Direction=H","UseDPDF=Y")</f>
        <v>#NAME?</v>
      </c>
      <c r="CJ17" s="2" t="e">
        <f ca="1">_xll.BDH($C$3,"LT_DEBT_TO_TOT_ASSET","FQ4 2016","FQ4 2016","Currency=INR","Period=FQ","BEST_FPERIOD_OVERRIDE=FQ","FILING_STATUS=OR","EQY_CONSOLIDATED=Y","Sort=A","Dates=H","DateFormat=P","Fill=—","Direction=H","UseDPDF=Y")</f>
        <v>#NAME?</v>
      </c>
      <c r="CK17" s="2" t="e">
        <f ca="1">_xll.BDH($C$3,"TOT_DEBT_TO_TOT_EQY","FQ4 2016","FQ4 2016","Currency=INR","Period=FQ","BEST_FPERIOD_OVERRIDE=FQ","FILING_STATUS=OR","EQY_CONSOLIDATED=Y","Sort=A","Dates=H","DateFormat=P","Fill=—","Direction=H","UseDPDF=Y")</f>
        <v>#NAME?</v>
      </c>
      <c r="CL17" s="2" t="e">
        <f ca="1">_xll.BDH($C$3,"TOT_DEBT_TO_TOT_CAP","FQ4 2016","FQ4 2016","Currency=INR","Period=FQ","BEST_FPERIOD_OVERRIDE=FQ","FILING_STATUS=OR","EQY_CONSOLIDATED=Y","Sort=A","Dates=H","DateFormat=P","Fill=—","Direction=H","UseDPDF=Y")</f>
        <v>#NAME?</v>
      </c>
      <c r="CM17" s="2" t="e">
        <f ca="1">_xll.BDH($C$3,"TOT_DEBT_TO_TOT_ASSET","FQ4 2016","FQ4 2016","Currency=INR","Period=FQ","BEST_FPERIOD_OVERRIDE=FQ","FILING_STATUS=OR","EQY_CONSOLIDATED=Y","Sort=A","Dates=H","DateFormat=P","Fill=—","Direction=H","UseDPDF=Y")</f>
        <v>#NAME?</v>
      </c>
      <c r="CN17" s="2" t="e">
        <f ca="1">_xll.BDH($C$3,"NET_DEBT_TO_SHRHLDR_EQTY","FQ4 2016","FQ4 2016","Currency=INR","Period=FQ","BEST_FPERIOD_OVERRIDE=FQ","FILING_STATUS=OR","EQY_CONSOLIDATED=Y","Sort=A","Dates=H","DateFormat=P","Fill=—","Direction=H","UseDPDF=Y")</f>
        <v>#NAME?</v>
      </c>
      <c r="CO17" s="2" t="e">
        <f ca="1">_xll.BDH($C$3,"NET_DEBT_%_CAPITAL","FQ4 2016","FQ4 2016","Currency=INR","Period=FQ","BEST_FPERIOD_OVERRIDE=FQ","FILING_STATUS=OR","EQY_CONSOLIDATED=Y","Sort=A","Dates=H","DateFormat=P","Fill=—","Direction=H","UseDPDF=Y")</f>
        <v>#NAME?</v>
      </c>
      <c r="CP17" s="3" t="e">
        <f ca="1">_xll.BDH($C$3,"EBITDA","FQ4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7" s="3" t="e">
        <f ca="1">_xll.BDH($C$3,"EBITDA_AFTER_CAPEX","FQ4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7" s="3" t="e">
        <f ca="1">_xll.BDH($C$3,"IS_OPER_INC","FQ4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7" s="2" t="e">
        <f ca="1">_xll.BDH($C$3,"CASH_RATIO","FQ4 2016","FQ4 2016","Currency=INR","Period=FQ","BEST_FPERIOD_OVERRIDE=FQ","FILING_STATUS=OR","EQY_CONSOLIDATED=Y","Sort=A","Dates=H","DateFormat=P","Fill=—","Direction=H","UseDPDF=Y")</f>
        <v>#NAME?</v>
      </c>
      <c r="CT17" s="2" t="e">
        <f ca="1">_xll.BDH($C$3,"CUR_RATIO","FQ4 2016","FQ4 2016","Currency=INR","Period=FQ","BEST_FPERIOD_OVERRIDE=FQ","FILING_STATUS=OR","EQY_CONSOLIDATED=Y","Sort=A","Dates=H","DateFormat=P","Fill=—","Direction=H","UseDPDF=Y")</f>
        <v>#NAME?</v>
      </c>
      <c r="CU17" s="2" t="e">
        <f ca="1">_xll.BDH($C$3,"QUICK_RATIO","FQ4 2016","FQ4 2016","Currency=INR","Period=FQ","BEST_FPERIOD_OVERRIDE=FQ","FILING_STATUS=OR","EQY_CONSOLIDATED=Y","Sort=A","Dates=H","DateFormat=P","Fill=—","Direction=H","UseDPDF=Y")</f>
        <v>#NAME?</v>
      </c>
      <c r="CV17" s="2" t="e">
        <f ca="1">_xll.BDH($C$3,"ALTMAN_Z_SCORE","FQ4 2016","FQ4 2016","Currency=INR","Period=FQ","BEST_FPERIOD_OVERRIDE=FQ","FILING_STATUS=OR","EQY_CONSOLIDATED=Y","Sort=A","Dates=H","DateFormat=P","Fill=—","Direction=H","UseDPDF=Y")</f>
        <v>#NAME?</v>
      </c>
      <c r="CW17" s="4" t="e">
        <f ca="1">_xll.BDH($C$3,"ACCT_RCV_TURN","FQ4 2016","FQ4 2016","Currency=INR","Period=FQ","BEST_FPERIOD_OVERRIDE=FQ","FILING_STATUS=OR","EQY_CONSOLIDATED=Y","FA_ADJUSTED=GAAP","Sort=A","Dates=H","DateFormat=P","Fill=—","Direction=H","UseDPDF=Y")</f>
        <v>#NAME?</v>
      </c>
      <c r="CX17" s="2" t="e">
        <f ca="1">_xll.BDH($C$3,"ACCT_RCV_DAYS","FQ4 2016","FQ4 2016","Currency=INR","Period=FQ","BEST_FPERIOD_OVERRIDE=FQ","FILING_STATUS=OR","EQY_CONSOLIDATED=Y","FA_ADJUSTED=GAAP","Sort=A","Dates=H","DateFormat=P","Fill=—","Direction=H","UseDPDF=Y")</f>
        <v>#NAME?</v>
      </c>
      <c r="CY17" s="4" t="e">
        <f ca="1">_xll.BDH($C$3,"INVENT_TURN","FQ4 2016","FQ4 2016","Currency=INR","Period=FQ","BEST_FPERIOD_OVERRIDE=FQ","FILING_STATUS=OR","EQY_CONSOLIDATED=Y","FA_ADJUSTED=GAAP","Sort=A","Dates=H","DateFormat=P","Fill=—","Direction=H","UseDPDF=Y")</f>
        <v>#NAME?</v>
      </c>
      <c r="CZ17" s="2" t="e">
        <f ca="1">_xll.BDH($C$3,"INVENT_DAYS","FQ4 2016","FQ4 2016","Currency=INR","Period=FQ","BEST_FPERIOD_OVERRIDE=FQ","FILING_STATUS=OR","EQY_CONSOLIDATED=Y","FA_ADJUSTED=GAAP","Sort=A","Dates=H","DateFormat=P","Fill=—","Direction=H","UseDPDF=Y")</f>
        <v>#NAME?</v>
      </c>
      <c r="DA17" s="4" t="e">
        <f ca="1">_xll.BDH($C$3,"ACCOUNTS_PAYABLE_TURNOVER","FQ4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7" s="2" t="e">
        <f ca="1">_xll.BDH($C$3,"ACCOUNTS_PAYABLE_TURNOVER_DAYS","FQ4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7" s="4" t="e">
        <f ca="1">_xll.BDH($C$3,"CASH_CONVERSION_CYCLE","FQ4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7" s="4" t="e">
        <f ca="1">_xll.BDH($C$3,"INV_TO_CASH_DAYS","FQ4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7" s="5" t="e">
        <f ca="1">_xll.BDH($C$3,"BS_INVENTORIES","FQ4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7" s="3" t="e">
        <f ca="1">_xll.BDH($C$3,"INVTRY_RAW_MATERIALS","FQ4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7" s="3" t="e">
        <f ca="1">_xll.BDH($C$3,"INVTRY_IN_PROGRESS","FQ4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7" s="3" t="e">
        <f ca="1">_xll.BDH($C$3,"INVTRY_FINISHED_GOODS","FQ4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7" s="3" t="e">
        <f ca="1">_xll.BDH($C$3,"BS_OTHER_INV","FQ4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8" spans="1:113" x14ac:dyDescent="0.3">
      <c r="A18" s="6"/>
      <c r="B18" s="6"/>
      <c r="C18" s="6"/>
      <c r="D18" s="6" t="s">
        <v>84</v>
      </c>
      <c r="E18" t="s">
        <v>77</v>
      </c>
      <c r="F18" t="e">
        <f ca="1">_xll.BDH($C$3,"RETURN_COM_EQY","FY 2017","FY 2017","Currency=INR","Period=FY","BEST_FPERIOD_OVERRIDE=FY","FILING_STATUS=OR","EQY_CONSOLIDATED=Y","FA_ADJUSTED=GAAP","Sort=A","Dates=H","DateFormat=P","Fill=—","Direction=H","UseDPDF=Y")</f>
        <v>#NAME?</v>
      </c>
      <c r="G18" t="e">
        <f ca="1">_xll.BDH($C$3,"RETURN_ON_ASSET","FY 2017","FY 2017","Currency=INR","Period=FY","BEST_FPERIOD_OVERRIDE=FY","FILING_STATUS=OR","EQY_CONSOLIDATED=Y","FA_ADJUSTED=GAAP","Sort=A","Dates=H","DateFormat=P","Fill=—","Direction=H","UseDPDF=Y")</f>
        <v>#NAME?</v>
      </c>
      <c r="H18" t="e">
        <f ca="1">_xll.BDH($C$3,"RETURN_ON_CAP","FY 2017","FY 2017","Currency=INR","Period=FY","BEST_FPERIOD_OVERRIDE=FY","FILING_STATUS=OR","EQY_CONSOLIDATED=Y","FA_ADJUSTED=GAAP","Sort=A","Dates=H","DateFormat=P","Fill=—","Direction=H","UseDPDF=Y")</f>
        <v>#NAME?</v>
      </c>
      <c r="I18" t="e">
        <f ca="1">_xll.BDH($C$3,"RETURN_ON_INV_CAPITAL","FY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8" t="e">
        <f ca="1">_xll.BDH($C$3,"EBITDA_TO_REVENUE","FY 2017","FY 2017","Currency=INR","Period=FY","BEST_FPERIOD_OVERRIDE=FY","FILING_STATUS=OR","EQY_CONSOLIDATED=Y","FA_ADJUSTED=GAAP","Sort=A","Dates=H","DateFormat=P","Fill=—","Direction=H","UseDPDF=Y")</f>
        <v>#NAME?</v>
      </c>
      <c r="K18" t="e">
        <f ca="1">_xll.BDH($C$3,"OPER_MARGIN","FY 2017","FY 2017","Currency=INR","Period=FY","BEST_FPERIOD_OVERRIDE=FY","FILING_STATUS=OR","EQY_CONSOLIDATED=Y","FA_ADJUSTED=GAAP","Sort=A","Dates=H","DateFormat=P","Fill=—","Direction=H","UseDPDF=Y")</f>
        <v>#NAME?</v>
      </c>
      <c r="L18" t="e">
        <f ca="1">_xll.BDH($C$3,"INCREMENTAL_OPERATING_MARGIN","FY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8" t="e">
        <f ca="1">_xll.BDH($C$3,"PRETAX_INC_TO_NET_SALES","FY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8" t="e">
        <f ca="1">_xll.BDH($C$3,"INC_BEF_XO_ITEMS_TO_NET_SALES","FY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8" t="e">
        <f ca="1">_xll.BDH($C$3,"PROF_MARGIN","FY 2017","FY 2017","Currency=INR","Period=FY","BEST_FPERIOD_OVERRIDE=FY","FILING_STATUS=OR","EQY_CONSOLIDATED=Y","FA_ADJUSTED=GAAP","Sort=A","Dates=H","DateFormat=P","Fill=—","Direction=H","UseDPDF=Y")</f>
        <v>#NAME?</v>
      </c>
      <c r="P18" t="e">
        <f ca="1">_xll.BDH($C$3,"NET_INCOME_TO_COMMON_MARGIN","FY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8" t="e">
        <f ca="1">_xll.BDH($C$3,"EFF_TAX_RATE","FY 2017","FY 2017","Currency=INR","Period=FY","BEST_FPERIOD_OVERRIDE=FY","FILING_STATUS=OR","EQY_CONSOLIDATED=Y","FA_ADJUSTED=GAAP","Sort=A","Dates=H","DateFormat=P","Fill=—","Direction=H","UseDPDF=Y")</f>
        <v>#NAME?</v>
      </c>
      <c r="R18" t="e">
        <f ca="1">_xll.BDH($C$3,"DVD_PAYOUT_RATIO","FY 2017","FY 2017","Currency=INR","Period=FY","BEST_FPERIOD_OVERRIDE=FY","FILING_STATUS=OR","EQY_CONSOLIDATED=Y","FA_ADJUSTED=GAAP","Sort=A","Dates=H","DateFormat=P","Fill=—","Direction=H","UseDPDF=Y")</f>
        <v>#NAME?</v>
      </c>
      <c r="S18" t="e">
        <f ca="1">_xll.BDH($C$3,"SUSTAIN_GROWTH_RT","FY 2017","FY 2017","Currency=INR","Period=FY","BEST_FPERIOD_OVERRIDE=FY","FILING_STATUS=OR","EQY_CONSOLIDATED=Y","FA_ADJUSTED=GAAP","Sort=A","Dates=H","DateFormat=P","Fill=—","Direction=H","UseDPDF=Y")</f>
        <v>#NAME?</v>
      </c>
      <c r="T18" s="2" t="e">
        <f ca="1">_xll.BDH($C$3,"SALES_GROWTH","FY 2017","FY 2017","Currency=INR","Period=FY","BEST_FPERIOD_OVERRIDE=FY","FILING_STATUS=OR","EQY_CONSOLIDATED=Y","FA_ADJUSTED=GAAP","Sort=A","Dates=H","DateFormat=P","Fill=—","Direction=H","UseDPDF=Y")</f>
        <v>#NAME?</v>
      </c>
      <c r="U18" s="2" t="e">
        <f ca="1">_xll.BDH($C$3,"EBITDA_GROWTH","FY 2017","FY 2017","Currency=INR","Period=FY","BEST_FPERIOD_OVERRIDE=FY","FILING_STATUS=OR","EQY_CONSOLIDATED=Y","FA_ADJUSTED=GAAP","Sort=A","Dates=H","DateFormat=P","Fill=—","Direction=H","UseDPDF=Y")</f>
        <v>#NAME?</v>
      </c>
      <c r="V18" s="2" t="e">
        <f ca="1">_xll.BDH($C$3,"OPER_INC_GROWTH","FY 2017","FY 2017","Currency=INR","Period=FY","BEST_FPERIOD_OVERRIDE=FY","FILING_STATUS=OR","EQY_CONSOLIDATED=Y","FA_ADJUSTED=GAAP","Sort=A","Dates=H","DateFormat=P","Fill=—","Direction=H","UseDPDF=Y")</f>
        <v>#NAME?</v>
      </c>
      <c r="W18" s="2" t="e">
        <f ca="1">_xll.BDH($C$3,"EARN_FOR_COM_GROWTH","FY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8" s="2" t="e">
        <f ca="1">_xll.BDH($C$3,"DILUTED_EPS_AFT_XO_ITEMS_GROWTH","FY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8" s="2" t="e">
        <f ca="1">_xll.BDH($C$3,"DIVIDEND_PER_SHARE_1_YEAR_GROWTH","FY 2017","FY 2017","Currency=INR","Period=FY","BEST_FPERIOD_OVERRIDE=FY","FILING_STATUS=OR","EQY_CONSOLIDATED=Y","Sort=A","Dates=H","DateFormat=P","Fill=—","Direction=H","UseDPDF=Y")</f>
        <v>#NAME?</v>
      </c>
      <c r="Z18" s="2" t="e">
        <f ca="1">_xll.BDH($C$3,"ACCOUNTS_RECEIVABLE_GROWTH","FY 2017","FY 2017","Currency=INR","Period=FY","BEST_FPERIOD_OVERRIDE=FY","FILING_STATUS=OR","EQY_CONSOLIDATED=Y","Sort=A","Dates=H","DateFormat=P","Fill=—","Direction=H","UseDPDF=Y")</f>
        <v>#NAME?</v>
      </c>
      <c r="AA18" s="2" t="e">
        <f ca="1">_xll.BDH($C$3,"INVENTORY_GROWTH","FY 2017","FY 2017","Currency=INR","Period=FY","BEST_FPERIOD_OVERRIDE=FY","FILING_STATUS=OR","EQY_CONSOLIDATED=Y","Sort=A","Dates=H","DateFormat=P","Fill=—","Direction=H","UseDPDF=Y")</f>
        <v>#NAME?</v>
      </c>
      <c r="AB18" s="2" t="e">
        <f ca="1">_xll.BDH($C$3,"NET_FIXED_ASSETS_1_YEAR_GROWTH","FY 2017","FY 2017","Currency=INR","Period=FY","BEST_FPERIOD_OVERRIDE=FY","FILING_STATUS=OR","EQY_CONSOLIDATED=Y","Sort=A","Dates=H","DateFormat=P","Fill=—","Direction=H","UseDPDF=Y")</f>
        <v>#NAME?</v>
      </c>
      <c r="AC18" s="2" t="e">
        <f ca="1">_xll.BDH($C$3,"ASSET_GROWTH","FY 2017","FY 2017","Currency=INR","Period=FY","BEST_FPERIOD_OVERRIDE=FY","FILING_STATUS=OR","EQY_CONSOLIDATED=Y","Sort=A","Dates=H","DateFormat=P","Fill=—","Direction=H","UseDPDF=Y")</f>
        <v>#NAME?</v>
      </c>
      <c r="AD18" s="2" t="e">
        <f ca="1">_xll.BDH($C$3,"MODIFIED_WORK_CAP_GROWTH","FY 2017","FY 2017","Currency=INR","Period=FY","BEST_FPERIOD_OVERRIDE=FY","FILING_STATUS=OR","EQY_CONSOLIDATED=Y","Sort=A","Dates=H","DateFormat=P","Fill=—","Direction=H","UseDPDF=Y")</f>
        <v>#NAME?</v>
      </c>
      <c r="AE18" s="2" t="e">
        <f ca="1">_xll.BDH($C$3,"WORK_CAP_GROWTH","FY 2017","FY 2017","Currency=INR","Period=FY","BEST_FPERIOD_OVERRIDE=FY","FILING_STATUS=OR","EQY_CONSOLIDATED=Y","Sort=A","Dates=H","DateFormat=P","Fill=—","Direction=H","UseDPDF=Y")</f>
        <v>#NAME?</v>
      </c>
      <c r="AF18" s="2" t="e">
        <f ca="1">_xll.BDH($C$3,"ACCOUNTS_PAYABLE_GROWTH_1YR","FY 2017","FY 2017","Currency=INR","Period=FY","BEST_FPERIOD_OVERRIDE=FY","FILING_STATUS=OR","EQY_CONSOLIDATED=Y","Sort=A","Dates=H","DateFormat=P","Fill=—","Direction=H","UseDPDF=Y")</f>
        <v>#NAME?</v>
      </c>
      <c r="AG18" s="2" t="e">
        <f ca="1">_xll.BDH($C$3,"SHORT_TERM_DEBT_1_YEAR_GROWTH","FY 2017","FY 2017","Currency=INR","Period=FY","BEST_FPERIOD_OVERRIDE=FY","FILING_STATUS=OR","EQY_CONSOLIDATED=Y","Sort=A","Dates=H","DateFormat=P","Fill=—","Direction=H","UseDPDF=Y")</f>
        <v>#NAME?</v>
      </c>
      <c r="AH18" s="2" t="e">
        <f ca="1">_xll.BDH($C$3,"TOTAL_DEBT_1_YEAR_GROWTH","FY 2017","FY 2017","Currency=INR","Period=FY","BEST_FPERIOD_OVERRIDE=FY","FILING_STATUS=OR","EQY_CONSOLIDATED=Y","Sort=A","Dates=H","DateFormat=P","Fill=—","Direction=H","UseDPDF=Y")</f>
        <v>#NAME?</v>
      </c>
      <c r="AI18" s="2" t="e">
        <f ca="1">_xll.BDH($C$3,"TOTAL_EQUITY_1_YEAR_GROWTH","FY 2017","FY 2017","Currency=INR","Period=FY","BEST_FPERIOD_OVERRIDE=FY","FILING_STATUS=OR","EQY_CONSOLIDATED=Y","Sort=A","Dates=H","DateFormat=P","Fill=—","Direction=H","UseDPDF=Y")</f>
        <v>#NAME?</v>
      </c>
      <c r="AJ18" s="2" t="e">
        <f ca="1">_xll.BDH($C$3,"GROWTH_IN_CAP","FY 2017","FY 2017","Currency=INR","Period=FY","BEST_FPERIOD_OVERRIDE=FY","FILING_STATUS=OR","EQY_CONSOLIDATED=Y","Sort=A","Dates=H","DateFormat=P","Fill=—","Direction=H","UseDPDF=Y")</f>
        <v>#NAME?</v>
      </c>
      <c r="AK18" s="2" t="e">
        <f ca="1">_xll.BDH($C$3,"BVPS_GROWTH","FY 2017","FY 2017","Currency=INR","Period=FY","BEST_FPERIOD_OVERRIDE=FY","FILING_STATUS=OR","EQY_CONSOLIDATED=Y","Sort=A","Dates=H","DateFormat=P","Fill=—","Direction=H","UseDPDF=Y")</f>
        <v>#NAME?</v>
      </c>
      <c r="AL18" s="2" t="e">
        <f ca="1">_xll.BDH($C$3,"CASH_FLOW_GROWTH","FY 2017","FY 2017","Currency=INR","Period=FY","BEST_FPERIOD_OVERRIDE=FY","FILING_STATUS=OR","EQY_CONSOLIDATED=Y","Sort=A","Dates=H","DateFormat=P","Fill=—","Direction=H","UseDPDF=Y")</f>
        <v>#NAME?</v>
      </c>
      <c r="AM18" s="2" t="e">
        <f ca="1">_xll.BDH($C$3,"GEO_GROW_NET_SALES","FY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8" s="2" t="e">
        <f ca="1">_xll.BDH($C$3,"GEO_GROW_EBITDA","FY 2017","FY 2017","Currency=INR","Period=FY","BEST_FPERIOD_OVERRIDE=FY","FILING_STATUS=OR","EQY_CONSOLIDATED=Y","FA_ADJUSTED=GAAP","Sort=A","Dates=H","DateFormat=P","Fill=—","Direction=H","UseDPDF=Y")</f>
        <v>#NAME?</v>
      </c>
      <c r="AO18" s="2" t="e">
        <f ca="1">_xll.BDH($C$3,"GEO_GROW_OPER_INC","FY 2017","FY 2017","Currency=INR","Period=FY","BEST_FPERIOD_OVERRIDE=FY","FILING_STATUS=OR","EQY_CONSOLIDATED=Y","FA_ADJUSTED=GAAP","Sort=A","Dates=H","DateFormat=P","Fill=—","Direction=H","UseDPDF=Y")</f>
        <v>#NAME?</v>
      </c>
      <c r="AP18" s="2" t="e">
        <f ca="1">_xll.BDH($C$3,"NET_INCOME_TO_COMMON_5_YR_GROWTH","FY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8" s="2" t="e">
        <f ca="1">_xll.BDH($C$3,"5Y_GEO_GROWTH_DILUTED_EPS","FY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8" s="2" t="e">
        <f ca="1">_xll.BDH($C$3,"GEO_GROW_DVD_PER_SH","FY 2017","FY 2017","Currency=INR","Period=FY","BEST_FPERIOD_OVERRIDE=FY","FILING_STATUS=OR","EQY_CONSOLIDATED=Y","Sort=A","Dates=H","DateFormat=P","Fill=—","Direction=H","UseDPDF=Y")</f>
        <v>#NAME?</v>
      </c>
      <c r="AS18" s="2" t="e">
        <f ca="1">_xll.BDH($C$3,"ACCOUNTS_RECEIVABLE_5_YR_GROWTH","FY 2017","FY 2017","Currency=INR","Period=FY","BEST_FPERIOD_OVERRIDE=FY","FILING_STATUS=OR","EQY_CONSOLIDATED=Y","Sort=A","Dates=H","DateFormat=P","Fill=—","Direction=H","UseDPDF=Y")</f>
        <v>#NAME?</v>
      </c>
      <c r="AT18" s="2" t="e">
        <f ca="1">_xll.BDH($C$3,"INVENTORY_5_YEAR_GROWTH","FY 2017","FY 2017","Currency=INR","Period=FY","BEST_FPERIOD_OVERRIDE=FY","FILING_STATUS=OR","EQY_CONSOLIDATED=Y","Sort=A","Dates=H","DateFormat=P","Fill=—","Direction=H","UseDPDF=Y")</f>
        <v>#NAME?</v>
      </c>
      <c r="AU18" s="2" t="e">
        <f ca="1">_xll.BDH($C$3,"NET_FIXED_ASSETS_5_YEAR_GROWTH","FY 2017","FY 2017","Currency=INR","Period=FY","BEST_FPERIOD_OVERRIDE=FY","FILING_STATUS=OR","EQY_CONSOLIDATED=Y","Sort=A","Dates=H","DateFormat=P","Fill=—","Direction=H","UseDPDF=Y")</f>
        <v>#NAME?</v>
      </c>
      <c r="AV18" s="2" t="e">
        <f ca="1">_xll.BDH($C$3,"GEO_GROW_TOT_ASSET","FY 2017","FY 2017","Currency=INR","Period=FY","BEST_FPERIOD_OVERRIDE=FY","FILING_STATUS=OR","EQY_CONSOLIDATED=Y","Sort=A","Dates=H","DateFormat=P","Fill=—","Direction=H","UseDPDF=Y")</f>
        <v>#NAME?</v>
      </c>
      <c r="AW18" s="2" t="e">
        <f ca="1">_xll.BDH($C$3,"MODIFIED_WORKING_CPTL_5YR_GRWTH","FY 2017","FY 2017","Currency=INR","Period=FY","BEST_FPERIOD_OVERRIDE=FY","FILING_STATUS=OR","EQY_CONSOLIDATED=Y","Sort=A","Dates=H","DateFormat=P","Fill=—","Direction=H","UseDPDF=Y")</f>
        <v>#NAME?</v>
      </c>
      <c r="AX18" s="2" t="e">
        <f ca="1">_xll.BDH($C$3,"WORKING_CAPITAL_5_YEAR_GROWTH","FY 2017","FY 2017","Currency=INR","Period=FY","BEST_FPERIOD_OVERRIDE=FY","FILING_STATUS=OR","EQY_CONSOLIDATED=Y","Sort=A","Dates=H","DateFormat=P","Fill=—","Direction=H","UseDPDF=Y")</f>
        <v>#NAME?</v>
      </c>
      <c r="AY18" s="2" t="e">
        <f ca="1">_xll.BDH($C$3,"ACCOUNTS_PAYABLE_5_YEAR_GROWTH","FY 2017","FY 2017","Currency=INR","Period=FY","BEST_FPERIOD_OVERRIDE=FY","FILING_STATUS=OR","EQY_CONSOLIDATED=Y","Sort=A","Dates=H","DateFormat=P","Fill=—","Direction=H","UseDPDF=Y")</f>
        <v>#NAME?</v>
      </c>
      <c r="AZ18" s="2" t="e">
        <f ca="1">_xll.BDH($C$3,"SHORT_TERM_DEBT_5_YEAR_GROWTH","FY 2017","FY 2017","Currency=INR","Period=FY","BEST_FPERIOD_OVERRIDE=FY","FILING_STATUS=OR","EQY_CONSOLIDATED=Y","Sort=A","Dates=H","DateFormat=P","Fill=—","Direction=H","UseDPDF=Y")</f>
        <v>#NAME?</v>
      </c>
      <c r="BA18" s="2" t="e">
        <f ca="1">_xll.BDH($C$3,"TOTAL_DEBT_5_YEAR_GROWTH","FY 2017","FY 2017","Currency=INR","Period=FY","BEST_FPERIOD_OVERRIDE=FY","FILING_STATUS=OR","EQY_CONSOLIDATED=Y","Sort=A","Dates=H","DateFormat=P","Fill=—","Direction=H","UseDPDF=Y")</f>
        <v>#NAME?</v>
      </c>
      <c r="BB18" s="2" t="e">
        <f ca="1">_xll.BDH($C$3,"GEO_GROW_TOT_SHRHLDR_EQY","FY 2017","FY 2017","Currency=INR","Period=FY","BEST_FPERIOD_OVERRIDE=FY","FILING_STATUS=OR","EQY_CONSOLIDATED=Y","Sort=A","Dates=H","DateFormat=P","Fill=—","Direction=H","UseDPDF=Y")</f>
        <v>#NAME?</v>
      </c>
      <c r="BC18" s="2" t="e">
        <f ca="1">_xll.BDH($C$3,"TOTAL_CAPITAL_5_YEAR_GROWTH","FY 2017","FY 2017","Currency=INR","Period=FY","BEST_FPERIOD_OVERRIDE=FY","FILING_STATUS=OR","EQY_CONSOLIDATED=Y","Sort=A","Dates=H","DateFormat=P","Fill=—","Direction=H","UseDPDF=Y")</f>
        <v>#NAME?</v>
      </c>
      <c r="BD18" s="2" t="e">
        <f ca="1">_xll.BDH($C$3,"GEO_GROW_BOOK_VAL","FY 2017","FY 2017","Currency=INR","Period=FY","BEST_FPERIOD_OVERRIDE=FY","FILING_STATUS=OR","EQY_CONSOLIDATED=Y","Sort=A","Dates=H","DateFormat=P","Fill=—","Direction=H","UseDPDF=Y")</f>
        <v>#NAME?</v>
      </c>
      <c r="BE18" s="2" t="e">
        <f ca="1">_xll.BDH($C$3,"GEO_GROW_CASH_OPER_ACT","FY 2017","FY 2017","Currency=INR","Period=FY","BEST_FPERIOD_OVERRIDE=FY","FILING_STATUS=OR","EQY_CONSOLIDATED=Y","Sort=A","Dates=H","DateFormat=P","Fill=—","Direction=H","UseDPDF=Y")</f>
        <v>#NAME?</v>
      </c>
      <c r="BF18" s="2" t="e">
        <f ca="1">_xll.BDH($C$3,"REVENUE_SEQUENTIAL_GROWTH","FY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8" s="2" t="e">
        <f ca="1">_xll.BDH($C$3,"EBITDA_SEQUENTIAL_GROWTH","FY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8" s="2" t="e">
        <f ca="1">_xll.BDH($C$3,"OPERATING_INCOME_SEQ_GROWTH","FY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8" s="2" t="e">
        <f ca="1">_xll.BDH($C$3,"NET_INCOME_TO_COMMON_SEQ_GROWTH","FY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8" s="2" t="e">
        <f ca="1">_xll.BDH($C$3,"EPS_DILUTED_SEQUENTIAL_GROWTH","FY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8" s="2" t="e">
        <f ca="1">_xll.BDH($C$3,"DPS_SEQUENTIAL_GROWTH","FY 2017","FY 2017","Currency=INR","Period=FY","BEST_FPERIOD_OVERRIDE=FY","FILING_STATUS=OR","EQY_CONSOLIDATED=Y","Sort=A","Dates=H","DateFormat=P","Fill=—","Direction=H","UseDPDF=Y")</f>
        <v>#NAME?</v>
      </c>
      <c r="BL18" s="2" t="e">
        <f ca="1">_xll.BDH($C$3,"ACCOUNTS_RECEIVABLE_SEQ_GROWTH","FY 2017","FY 2017","Currency=INR","Period=FY","BEST_FPERIOD_OVERRIDE=FY","FILING_STATUS=OR","EQY_CONSOLIDATED=Y","Sort=A","Dates=H","DateFormat=P","Fill=—","Direction=H","UseDPDF=Y")</f>
        <v>#NAME?</v>
      </c>
      <c r="BM18" s="2" t="e">
        <f ca="1">_xll.BDH($C$3,"INVENTORY_SEQUENTIAL_GROWTH","FY 2017","FY 2017","Currency=INR","Period=FY","BEST_FPERIOD_OVERRIDE=FY","FILING_STATUS=OR","EQY_CONSOLIDATED=Y","Sort=A","Dates=H","DateFormat=P","Fill=—","Direction=H","UseDPDF=Y")</f>
        <v>#NAME?</v>
      </c>
      <c r="BN18" s="2" t="e">
        <f ca="1">_xll.BDH($C$3,"FIXED_ASSETS_SEQUENTIAL_GROWTH","FY 2017","FY 2017","Currency=INR","Period=FY","BEST_FPERIOD_OVERRIDE=FY","FILING_STATUS=OR","EQY_CONSOLIDATED=Y","Sort=A","Dates=H","DateFormat=P","Fill=—","Direction=H","UseDPDF=Y")</f>
        <v>#NAME?</v>
      </c>
      <c r="BO18" s="2" t="e">
        <f ca="1">_xll.BDH($C$3,"TOTAL_ASSETS_SEQUENTIAL_GROWTH","FY 2017","FY 2017","Currency=INR","Period=FY","BEST_FPERIOD_OVERRIDE=FY","FILING_STATUS=OR","EQY_CONSOLIDATED=Y","Sort=A","Dates=H","DateFormat=P","Fill=—","Direction=H","UseDPDF=Y")</f>
        <v>#NAME?</v>
      </c>
      <c r="BP18" s="2" t="e">
        <f ca="1">_xll.BDH($C$3,"MODIFIED_WORKING_CPTL_SEQ_GRWTH","FY 2017","FY 2017","Currency=INR","Period=FY","BEST_FPERIOD_OVERRIDE=FY","FILING_STATUS=OR","EQY_CONSOLIDATED=Y","Sort=A","Dates=H","DateFormat=P","Fill=—","Direction=H","UseDPDF=Y")</f>
        <v>#NAME?</v>
      </c>
      <c r="BQ18" s="2" t="e">
        <f ca="1">_xll.BDH($C$3,"WORKING_CAPITAL_SEQ_GROWTH","FY 2017","FY 2017","Currency=INR","Period=FY","BEST_FPERIOD_OVERRIDE=FY","FILING_STATUS=OR","EQY_CONSOLIDATED=Y","Sort=A","Dates=H","DateFormat=P","Fill=—","Direction=H","UseDPDF=Y")</f>
        <v>#NAME?</v>
      </c>
      <c r="BR18" s="2" t="e">
        <f ca="1">_xll.BDH($C$3,"ACCOUNTS_PAYABLE_SEQ_GROWTH","FY 2017","FY 2017","Currency=INR","Period=FY","BEST_FPERIOD_OVERRIDE=FY","FILING_STATUS=OR","EQY_CONSOLIDATED=Y","Sort=A","Dates=H","DateFormat=P","Fill=—","Direction=H","UseDPDF=Y")</f>
        <v>#NAME?</v>
      </c>
      <c r="BS18" s="2" t="e">
        <f ca="1">_xll.BDH($C$3,"ST_DEBT_SEQUENTIAL_GROWTH","FY 2017","FY 2017","Currency=INR","Period=FY","BEST_FPERIOD_OVERRIDE=FY","FILING_STATUS=OR","EQY_CONSOLIDATED=Y","Sort=A","Dates=H","DateFormat=P","Fill=—","Direction=H","UseDPDF=Y")</f>
        <v>#NAME?</v>
      </c>
      <c r="BT18" s="2" t="e">
        <f ca="1">_xll.BDH($C$3,"TOTAL_DEBT_SEQUENTIAL_GROWTH","FY 2017","FY 2017","Currency=INR","Period=FY","BEST_FPERIOD_OVERRIDE=FY","FILING_STATUS=OR","EQY_CONSOLIDATED=Y","Sort=A","Dates=H","DateFormat=P","Fill=—","Direction=H","UseDPDF=Y")</f>
        <v>#NAME?</v>
      </c>
      <c r="BU18" s="2" t="e">
        <f ca="1">_xll.BDH($C$3,"TOTAL_EQUITY_SEQUENTIAL_GROWTH","FY 2017","FY 2017","Currency=INR","Period=FY","BEST_FPERIOD_OVERRIDE=FY","FILING_STATUS=OR","EQY_CONSOLIDATED=Y","Sort=A","Dates=H","DateFormat=P","Fill=—","Direction=H","UseDPDF=Y")</f>
        <v>#NAME?</v>
      </c>
      <c r="BV18" s="2" t="e">
        <f ca="1">_xll.BDH($C$3,"TOTAL_CAPITAL_SEQUENTIAL_GROWTH","FY 2017","FY 2017","Currency=INR","Period=FY","BEST_FPERIOD_OVERRIDE=FY","FILING_STATUS=OR","EQY_CONSOLIDATED=Y","Sort=A","Dates=H","DateFormat=P","Fill=—","Direction=H","UseDPDF=Y")</f>
        <v>#NAME?</v>
      </c>
      <c r="BW18" s="2" t="e">
        <f ca="1">_xll.BDH($C$3,"BPS_SEQUENTIAL_GROWTH","FY 2017","FY 2017","Currency=INR","Period=FY","BEST_FPERIOD_OVERRIDE=FY","FILING_STATUS=OR","EQY_CONSOLIDATED=Y","Sort=A","Dates=H","DateFormat=P","Fill=—","Direction=H","UseDPDF=Y")</f>
        <v>#NAME?</v>
      </c>
      <c r="BX18" s="2" t="e">
        <f ca="1">_xll.BDH($C$3,"CFO_SEQUENTIAL_GROWTH","FY 2017","FY 2017","Currency=INR","Period=FY","BEST_FPERIOD_OVERRIDE=FY","FILING_STATUS=OR","EQY_CONSOLIDATED=Y","Sort=A","Dates=H","DateFormat=P","Fill=—","Direction=H","UseDPDF=Y")</f>
        <v>#NAME?</v>
      </c>
      <c r="BY18" s="3" t="e">
        <f ca="1">_xll.BDH($C$3,"SHORT_AND_LONG_TERM_DEBT","FY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8" s="3" t="e">
        <f ca="1">_xll.BDH($C$3,"BS_ST_BORROW","FY 2017","FY 2017","Currency=INR","Period=FY","BEST_FPERIOD_OVERRIDE=FY","FILING_STATUS=OR","EQY_CONSOLIDATED=Y","SCALING_FORMAT=MLN","Sort=A","Dates=H","DateFormat=P","Fill=—","Direction=H","UseDPDF=Y")</f>
        <v>#NAME?</v>
      </c>
      <c r="CA18" s="3" t="e">
        <f ca="1">_xll.BDH($C$3,"BS_LT_BORROW","FY 2017","FY 2017","Currency=INR","Period=FY","BEST_FPERIOD_OVERRIDE=FY","FILING_STATUS=OR","EQY_CONSOLIDATED=Y","SCALING_FORMAT=MLN","Sort=A","Dates=H","DateFormat=P","Fill=—","Direction=H","UseDPDF=Y")</f>
        <v>#NAME?</v>
      </c>
      <c r="CB18" s="2" t="e">
        <f ca="1">_xll.BDH($C$3,"TOT_DEBT_TO_EBITDA","FY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8" s="2" t="e">
        <f ca="1">_xll.BDH($C$3,"NET_DEBT_TO_EBITDA","FY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8" s="2" t="e">
        <f ca="1">_xll.BDH($C$3,"TOTAL_DEBT_TO_EBIT","FY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8" s="2" t="e">
        <f ca="1">_xll.BDH($C$3,"NET_DEBT_TO_EBIT","FY 2017","FY 2017","Currency=INR","Period=FY","BEST_FPERIOD_OVERRIDE=FY","FILING_STATUS=OR","EQY_CONSOLIDATED=Y","FA_ADJUSTED=GAAP","Sort=A","Dates=H","DateFormat=P","Fill=—","Direction=H","UseDPDF=Y")</f>
        <v>#NAME?</v>
      </c>
      <c r="CF18" s="2" t="e">
        <f ca="1">_xll.BDH($C$3,"EBITDA_TO_INTEREST_EXPN","FY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8" s="2" t="e">
        <f ca="1">_xll.BDH($C$3,"COM_EQY_TO_TOT_ASSET","FY 2017","FY 2017","Currency=INR","Period=FY","BEST_FPERIOD_OVERRIDE=FY","FILING_STATUS=OR","EQY_CONSOLIDATED=Y","Sort=A","Dates=H","DateFormat=P","Fill=—","Direction=H","UseDPDF=Y")</f>
        <v>#NAME?</v>
      </c>
      <c r="CH18" s="2" t="e">
        <f ca="1">_xll.BDH($C$3,"LT_DEBT_TO_TOT_EQY","FY 2017","FY 2017","Currency=INR","Period=FY","BEST_FPERIOD_OVERRIDE=FY","FILING_STATUS=OR","EQY_CONSOLIDATED=Y","Sort=A","Dates=H","DateFormat=P","Fill=—","Direction=H","UseDPDF=Y")</f>
        <v>#NAME?</v>
      </c>
      <c r="CI18" s="2" t="e">
        <f ca="1">_xll.BDH($C$3,"LT_DEBT_TO_TOT_CAP","FY 2017","FY 2017","Currency=INR","Period=FY","BEST_FPERIOD_OVERRIDE=FY","FILING_STATUS=OR","EQY_CONSOLIDATED=Y","Sort=A","Dates=H","DateFormat=P","Fill=—","Direction=H","UseDPDF=Y")</f>
        <v>#NAME?</v>
      </c>
      <c r="CJ18" s="2" t="e">
        <f ca="1">_xll.BDH($C$3,"LT_DEBT_TO_TOT_ASSET","FY 2017","FY 2017","Currency=INR","Period=FY","BEST_FPERIOD_OVERRIDE=FY","FILING_STATUS=OR","EQY_CONSOLIDATED=Y","Sort=A","Dates=H","DateFormat=P","Fill=—","Direction=H","UseDPDF=Y")</f>
        <v>#NAME?</v>
      </c>
      <c r="CK18" s="2" t="e">
        <f ca="1">_xll.BDH($C$3,"TOT_DEBT_TO_TOT_EQY","FY 2017","FY 2017","Currency=INR","Period=FY","BEST_FPERIOD_OVERRIDE=FY","FILING_STATUS=OR","EQY_CONSOLIDATED=Y","Sort=A","Dates=H","DateFormat=P","Fill=—","Direction=H","UseDPDF=Y")</f>
        <v>#NAME?</v>
      </c>
      <c r="CL18" s="2" t="e">
        <f ca="1">_xll.BDH($C$3,"TOT_DEBT_TO_TOT_CAP","FY 2017","FY 2017","Currency=INR","Period=FY","BEST_FPERIOD_OVERRIDE=FY","FILING_STATUS=OR","EQY_CONSOLIDATED=Y","Sort=A","Dates=H","DateFormat=P","Fill=—","Direction=H","UseDPDF=Y")</f>
        <v>#NAME?</v>
      </c>
      <c r="CM18" s="2" t="e">
        <f ca="1">_xll.BDH($C$3,"TOT_DEBT_TO_TOT_ASSET","FY 2017","FY 2017","Currency=INR","Period=FY","BEST_FPERIOD_OVERRIDE=FY","FILING_STATUS=OR","EQY_CONSOLIDATED=Y","Sort=A","Dates=H","DateFormat=P","Fill=—","Direction=H","UseDPDF=Y")</f>
        <v>#NAME?</v>
      </c>
      <c r="CN18" s="2" t="e">
        <f ca="1">_xll.BDH($C$3,"NET_DEBT_TO_SHRHLDR_EQTY","FY 2017","FY 2017","Currency=INR","Period=FY","BEST_FPERIOD_OVERRIDE=FY","FILING_STATUS=OR","EQY_CONSOLIDATED=Y","Sort=A","Dates=H","DateFormat=P","Fill=—","Direction=H","UseDPDF=Y")</f>
        <v>#NAME?</v>
      </c>
      <c r="CO18" s="2" t="e">
        <f ca="1">_xll.BDH($C$3,"NET_DEBT_%_CAPITAL","FY 2017","FY 2017","Currency=INR","Period=FY","BEST_FPERIOD_OVERRIDE=FY","FILING_STATUS=OR","EQY_CONSOLIDATED=Y","Sort=A","Dates=H","DateFormat=P","Fill=—","Direction=H","UseDPDF=Y")</f>
        <v>#NAME?</v>
      </c>
      <c r="CP18" s="3" t="e">
        <f ca="1">_xll.BDH($C$3,"EBITDA","FY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8" s="3" t="e">
        <f ca="1">_xll.BDH($C$3,"EBITDA_AFTER_CAPEX","FY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8" s="3" t="e">
        <f ca="1">_xll.BDH($C$3,"IS_OPER_INC","FY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8" s="2" t="e">
        <f ca="1">_xll.BDH($C$3,"CASH_RATIO","FY 2017","FY 2017","Currency=INR","Period=FY","BEST_FPERIOD_OVERRIDE=FY","FILING_STATUS=OR","EQY_CONSOLIDATED=Y","Sort=A","Dates=H","DateFormat=P","Fill=—","Direction=H","UseDPDF=Y")</f>
        <v>#NAME?</v>
      </c>
      <c r="CT18" s="2" t="e">
        <f ca="1">_xll.BDH($C$3,"CUR_RATIO","FY 2017","FY 2017","Currency=INR","Period=FY","BEST_FPERIOD_OVERRIDE=FY","FILING_STATUS=OR","EQY_CONSOLIDATED=Y","Sort=A","Dates=H","DateFormat=P","Fill=—","Direction=H","UseDPDF=Y")</f>
        <v>#NAME?</v>
      </c>
      <c r="CU18" s="2" t="e">
        <f ca="1">_xll.BDH($C$3,"QUICK_RATIO","FY 2017","FY 2017","Currency=INR","Period=FY","BEST_FPERIOD_OVERRIDE=FY","FILING_STATUS=OR","EQY_CONSOLIDATED=Y","Sort=A","Dates=H","DateFormat=P","Fill=—","Direction=H","UseDPDF=Y")</f>
        <v>#NAME?</v>
      </c>
      <c r="CV18" s="2" t="e">
        <f ca="1">_xll.BDH($C$3,"ALTMAN_Z_SCORE","FY 2017","FY 2017","Currency=INR","Period=FY","BEST_FPERIOD_OVERRIDE=FY","FILING_STATUS=OR","EQY_CONSOLIDATED=Y","Sort=A","Dates=H","DateFormat=P","Fill=—","Direction=H","UseDPDF=Y")</f>
        <v>#NAME?</v>
      </c>
      <c r="CW18" s="4" t="e">
        <f ca="1">_xll.BDH($C$3,"ACCT_RCV_TURN","FY 2017","FY 2017","Currency=INR","Period=FY","BEST_FPERIOD_OVERRIDE=FY","FILING_STATUS=OR","EQY_CONSOLIDATED=Y","FA_ADJUSTED=GAAP","Sort=A","Dates=H","DateFormat=P","Fill=—","Direction=H","UseDPDF=Y")</f>
        <v>#NAME?</v>
      </c>
      <c r="CX18" s="2" t="e">
        <f ca="1">_xll.BDH($C$3,"ACCT_RCV_DAYS","FY 2017","FY 2017","Currency=INR","Period=FY","BEST_FPERIOD_OVERRIDE=FY","FILING_STATUS=OR","EQY_CONSOLIDATED=Y","FA_ADJUSTED=GAAP","Sort=A","Dates=H","DateFormat=P","Fill=—","Direction=H","UseDPDF=Y")</f>
        <v>#NAME?</v>
      </c>
      <c r="CY18" s="4" t="e">
        <f ca="1">_xll.BDH($C$3,"INVENT_TURN","FY 2017","FY 2017","Currency=INR","Period=FY","BEST_FPERIOD_OVERRIDE=FY","FILING_STATUS=OR","EQY_CONSOLIDATED=Y","FA_ADJUSTED=GAAP","Sort=A","Dates=H","DateFormat=P","Fill=—","Direction=H","UseDPDF=Y")</f>
        <v>#NAME?</v>
      </c>
      <c r="CZ18" s="2" t="e">
        <f ca="1">_xll.BDH($C$3,"INVENT_DAYS","FY 2017","FY 2017","Currency=INR","Period=FY","BEST_FPERIOD_OVERRIDE=FY","FILING_STATUS=OR","EQY_CONSOLIDATED=Y","FA_ADJUSTED=GAAP","Sort=A","Dates=H","DateFormat=P","Fill=—","Direction=H","UseDPDF=Y")</f>
        <v>#NAME?</v>
      </c>
      <c r="DA18" s="4" t="e">
        <f ca="1">_xll.BDH($C$3,"ACCOUNTS_PAYABLE_TURNOVER","FY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8" s="2" t="e">
        <f ca="1">_xll.BDH($C$3,"ACCOUNTS_PAYABLE_TURNOVER_DAYS","FY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8" s="4" t="e">
        <f ca="1">_xll.BDH($C$3,"CASH_CONVERSION_CYCLE","FY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8" s="4" t="e">
        <f ca="1">_xll.BDH($C$3,"INV_TO_CASH_DAYS","FY 2017","FY 2017","Currency=INR","Period=FY","BEST_FPERIOD_OVERRIDE=FY","FILING_STATUS=OR","EQY_CONSOLIDATED=Y","FA_ADJUSTED=GAAP","Sort=A","Dates=H","DateFormat=P","Fill=—","Direction=H","UseDPDF=Y")</f>
        <v>#NAME?</v>
      </c>
      <c r="DE18" s="5" t="e">
        <f ca="1">_xll.BDH($C$3,"BS_INVENTORIES","FY 2017","FY 2017","Currency=INR","Period=FY","BEST_FPERIOD_OVERRIDE=FY","FILING_STATUS=OR","EQY_CONSOLIDATED=Y","SCALING_FORMAT=MLN","Sort=A","Dates=H","DateFormat=P","Fill=—","Direction=H","UseDPDF=Y")</f>
        <v>#NAME?</v>
      </c>
      <c r="DF18" s="3" t="e">
        <f ca="1">_xll.BDH($C$3,"INVTRY_RAW_MATERIALS","FY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8" s="3" t="e">
        <f ca="1">_xll.BDH($C$3,"INVTRY_IN_PROGRESS","FY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8" s="3" t="e">
        <f ca="1">_xll.BDH($C$3,"INVTRY_FINISHED_GOODS","FY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8" s="3" t="e">
        <f ca="1">_xll.BDH($C$3,"BS_OTHER_INV","FY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" spans="1:113" x14ac:dyDescent="0.3">
      <c r="A19" s="6"/>
      <c r="B19" s="6"/>
      <c r="C19" s="6"/>
      <c r="D19" s="6"/>
      <c r="E19" t="s">
        <v>78</v>
      </c>
      <c r="F19" t="e">
        <f ca="1">_xll.BDH($C$3,"RETURN_COM_EQY","FQ1 2017","FQ1 2017","Currency=INR","Period=FQ","BEST_FPERIOD_OVERRIDE=FQ","FILING_STATUS=OR","EQY_CONSOLIDATED=Y","FA_ADJUSTED=GAAP","Sort=A","Dates=H","DateFormat=P","Fill=—","Direction=H","UseDPDF=Y")</f>
        <v>#NAME?</v>
      </c>
      <c r="G19" t="e">
        <f ca="1">_xll.BDH($C$3,"RETURN_ON_ASSET","FQ1 2017","FQ1 2017","Currency=INR","Period=FQ","BEST_FPERIOD_OVERRIDE=FQ","FILING_STATUS=OR","EQY_CONSOLIDATED=Y","FA_ADJUSTED=GAAP","Sort=A","Dates=H","DateFormat=P","Fill=—","Direction=H","UseDPDF=Y")</f>
        <v>#NAME?</v>
      </c>
      <c r="H19" t="e">
        <f ca="1">_xll.BDH($C$3,"RETURN_ON_CAP","FQ1 2017","FQ1 2017","Currency=INR","Period=FQ","BEST_FPERIOD_OVERRIDE=FQ","FILING_STATUS=OR","EQY_CONSOLIDATED=Y","FA_ADJUSTED=GAAP","Sort=A","Dates=H","DateFormat=P","Fill=—","Direction=H","UseDPDF=Y")</f>
        <v>#NAME?</v>
      </c>
      <c r="I19" t="e">
        <f ca="1">_xll.BDH($C$3,"RETURN_ON_INV_CAPITAL","FQ1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" t="e">
        <f ca="1">_xll.BDH($C$3,"EBITDA_TO_REVENUE","FQ1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" t="e">
        <f ca="1">_xll.BDH($C$3,"OPER_MARGIN","FQ1 2017","FQ1 2017","Currency=INR","Period=FQ","BEST_FPERIOD_OVERRIDE=FQ","FILING_STATUS=OR","EQY_CONSOLIDATED=Y","FA_ADJUSTED=GAAP","Sort=A","Dates=H","DateFormat=P","Fill=—","Direction=H","UseDPDF=Y")</f>
        <v>#NAME?</v>
      </c>
      <c r="L19" t="e">
        <f ca="1">_xll.BDH($C$3,"INCREMENTAL_OPERATING_MARGIN","FQ1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" t="e">
        <f ca="1">_xll.BDH($C$3,"PRETAX_INC_TO_NET_SALES","FQ1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" t="e">
        <f ca="1">_xll.BDH($C$3,"INC_BEF_XO_ITEMS_TO_NET_SALES","FQ1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" t="e">
        <f ca="1">_xll.BDH($C$3,"PROF_MARGIN","FQ1 2017","FQ1 2017","Currency=INR","Period=FQ","BEST_FPERIOD_OVERRIDE=FQ","FILING_STATUS=OR","EQY_CONSOLIDATED=Y","FA_ADJUSTED=GAAP","Sort=A","Dates=H","DateFormat=P","Fill=—","Direction=H","UseDPDF=Y")</f>
        <v>#NAME?</v>
      </c>
      <c r="P19" t="e">
        <f ca="1">_xll.BDH($C$3,"NET_INCOME_TO_COMMON_MARGIN","FQ1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" t="e">
        <f ca="1">_xll.BDH($C$3,"EFF_TAX_RATE","FQ1 2017","FQ1 2017","Currency=INR","Period=FQ","BEST_FPERIOD_OVERRIDE=FQ","FILING_STATUS=OR","EQY_CONSOLIDATED=Y","FA_ADJUSTED=GAAP","Sort=A","Dates=H","DateFormat=P","Fill=—","Direction=H","UseDPDF=Y")</f>
        <v>#NAME?</v>
      </c>
      <c r="R19" t="e">
        <f ca="1">_xll.BDH($C$3,"DVD_PAYOUT_RATIO","FQ1 2017","FQ1 2017","Currency=INR","Period=FQ","BEST_FPERIOD_OVERRIDE=FQ","FILING_STATUS=OR","EQY_CONSOLIDATED=Y","FA_ADJUSTED=GAAP","Sort=A","Dates=H","DateFormat=P","Fill=—","Direction=H","UseDPDF=Y")</f>
        <v>#NAME?</v>
      </c>
      <c r="S19" t="e">
        <f ca="1">_xll.BDH($C$3,"SUSTAIN_GROWTH_RT","FQ1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" s="2" t="e">
        <f ca="1">_xll.BDH($C$3,"SALES_GROWTH","FQ1 2017","FQ1 2017","Currency=INR","Period=FQ","BEST_FPERIOD_OVERRIDE=FQ","FILING_STATUS=OR","EQY_CONSOLIDATED=Y","FA_ADJUSTED=GAAP","Sort=A","Dates=H","DateFormat=P","Fill=—","Direction=H","UseDPDF=Y")</f>
        <v>#NAME?</v>
      </c>
      <c r="U19" s="2" t="e">
        <f ca="1">_xll.BDH($C$3,"EBITDA_GROWTH","FQ1 2017","FQ1 2017","Currency=INR","Period=FQ","BEST_FPERIOD_OVERRIDE=FQ","FILING_STATUS=OR","EQY_CONSOLIDATED=Y","FA_ADJUSTED=GAAP","Sort=A","Dates=H","DateFormat=P","Fill=—","Direction=H","UseDPDF=Y")</f>
        <v>#NAME?</v>
      </c>
      <c r="V19" s="2" t="e">
        <f ca="1">_xll.BDH($C$3,"OPER_INC_GROWTH","FQ1 2017","FQ1 2017","Currency=INR","Period=FQ","BEST_FPERIOD_OVERRIDE=FQ","FILING_STATUS=OR","EQY_CONSOLIDATED=Y","FA_ADJUSTED=GAAP","Sort=A","Dates=H","DateFormat=P","Fill=—","Direction=H","UseDPDF=Y")</f>
        <v>#NAME?</v>
      </c>
      <c r="W19" s="2" t="e">
        <f ca="1">_xll.BDH($C$3,"EARN_FOR_COM_GROWTH","FQ1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" s="2" t="e">
        <f ca="1">_xll.BDH($C$3,"DILUTED_EPS_AFT_XO_ITEMS_GROWTH","FQ1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" s="2" t="e">
        <f ca="1">_xll.BDH($C$3,"DIVIDEND_PER_SHARE_1_YEAR_GROWTH","FQ1 2017","FQ1 2017","Currency=INR","Period=FQ","BEST_FPERIOD_OVERRIDE=FQ","FILING_STATUS=OR","EQY_CONSOLIDATED=Y","Sort=A","Dates=H","DateFormat=P","Fill=—","Direction=H","UseDPDF=Y")</f>
        <v>#NAME?</v>
      </c>
      <c r="Z19" s="2" t="e">
        <f ca="1">_xll.BDH($C$3,"ACCOUNTS_RECEIVABLE_GROWTH","FQ1 2017","FQ1 2017","Currency=INR","Period=FQ","BEST_FPERIOD_OVERRIDE=FQ","FILING_STATUS=OR","EQY_CONSOLIDATED=Y","Sort=A","Dates=H","DateFormat=P","Fill=—","Direction=H","UseDPDF=Y")</f>
        <v>#NAME?</v>
      </c>
      <c r="AA19" s="2" t="e">
        <f ca="1">_xll.BDH($C$3,"INVENTORY_GROWTH","FQ1 2017","FQ1 2017","Currency=INR","Period=FQ","BEST_FPERIOD_OVERRIDE=FQ","FILING_STATUS=OR","EQY_CONSOLIDATED=Y","Sort=A","Dates=H","DateFormat=P","Fill=—","Direction=H","UseDPDF=Y")</f>
        <v>#NAME?</v>
      </c>
      <c r="AB19" s="2" t="e">
        <f ca="1">_xll.BDH($C$3,"NET_FIXED_ASSETS_1_YEAR_GROWTH","FQ1 2017","FQ1 2017","Currency=INR","Period=FQ","BEST_FPERIOD_OVERRIDE=FQ","FILING_STATUS=OR","EQY_CONSOLIDATED=Y","Sort=A","Dates=H","DateFormat=P","Fill=—","Direction=H","UseDPDF=Y")</f>
        <v>#NAME?</v>
      </c>
      <c r="AC19" s="2" t="e">
        <f ca="1">_xll.BDH($C$3,"ASSET_GROWTH","FQ1 2017","FQ1 2017","Currency=INR","Period=FQ","BEST_FPERIOD_OVERRIDE=FQ","FILING_STATUS=OR","EQY_CONSOLIDATED=Y","Sort=A","Dates=H","DateFormat=P","Fill=—","Direction=H","UseDPDF=Y")</f>
        <v>#NAME?</v>
      </c>
      <c r="AD19" s="2" t="e">
        <f ca="1">_xll.BDH($C$3,"MODIFIED_WORK_CAP_GROWTH","FQ1 2017","FQ1 2017","Currency=INR","Period=FQ","BEST_FPERIOD_OVERRIDE=FQ","FILING_STATUS=OR","EQY_CONSOLIDATED=Y","Sort=A","Dates=H","DateFormat=P","Fill=—","Direction=H","UseDPDF=Y")</f>
        <v>#NAME?</v>
      </c>
      <c r="AE19" s="2" t="e">
        <f ca="1">_xll.BDH($C$3,"WORK_CAP_GROWTH","FQ1 2017","FQ1 2017","Currency=INR","Period=FQ","BEST_FPERIOD_OVERRIDE=FQ","FILING_STATUS=OR","EQY_CONSOLIDATED=Y","Sort=A","Dates=H","DateFormat=P","Fill=—","Direction=H","UseDPDF=Y")</f>
        <v>#NAME?</v>
      </c>
      <c r="AF19" s="2" t="e">
        <f ca="1">_xll.BDH($C$3,"ACCOUNTS_PAYABLE_GROWTH_1YR","FQ1 2017","FQ1 2017","Currency=INR","Period=FQ","BEST_FPERIOD_OVERRIDE=FQ","FILING_STATUS=OR","EQY_CONSOLIDATED=Y","Sort=A","Dates=H","DateFormat=P","Fill=—","Direction=H","UseDPDF=Y")</f>
        <v>#NAME?</v>
      </c>
      <c r="AG19" s="2" t="e">
        <f ca="1">_xll.BDH($C$3,"SHORT_TERM_DEBT_1_YEAR_GROWTH","FQ1 2017","FQ1 2017","Currency=INR","Period=FQ","BEST_FPERIOD_OVERRIDE=FQ","FILING_STATUS=OR","EQY_CONSOLIDATED=Y","Sort=A","Dates=H","DateFormat=P","Fill=—","Direction=H","UseDPDF=Y")</f>
        <v>#NAME?</v>
      </c>
      <c r="AH19" s="2" t="e">
        <f ca="1">_xll.BDH($C$3,"TOTAL_DEBT_1_YEAR_GROWTH","FQ1 2017","FQ1 2017","Currency=INR","Period=FQ","BEST_FPERIOD_OVERRIDE=FQ","FILING_STATUS=OR","EQY_CONSOLIDATED=Y","Sort=A","Dates=H","DateFormat=P","Fill=—","Direction=H","UseDPDF=Y")</f>
        <v>#NAME?</v>
      </c>
      <c r="AI19" s="2" t="e">
        <f ca="1">_xll.BDH($C$3,"TOTAL_EQUITY_1_YEAR_GROWTH","FQ1 2017","FQ1 2017","Currency=INR","Period=FQ","BEST_FPERIOD_OVERRIDE=FQ","FILING_STATUS=OR","EQY_CONSOLIDATED=Y","Sort=A","Dates=H","DateFormat=P","Fill=—","Direction=H","UseDPDF=Y")</f>
        <v>#NAME?</v>
      </c>
      <c r="AJ19" s="2" t="e">
        <f ca="1">_xll.BDH($C$3,"GROWTH_IN_CAP","FQ1 2017","FQ1 2017","Currency=INR","Period=FQ","BEST_FPERIOD_OVERRIDE=FQ","FILING_STATUS=OR","EQY_CONSOLIDATED=Y","Sort=A","Dates=H","DateFormat=P","Fill=—","Direction=H","UseDPDF=Y")</f>
        <v>#NAME?</v>
      </c>
      <c r="AK19" s="2" t="e">
        <f ca="1">_xll.BDH($C$3,"BVPS_GROWTH","FQ1 2017","FQ1 2017","Currency=INR","Period=FQ","BEST_FPERIOD_OVERRIDE=FQ","FILING_STATUS=OR","EQY_CONSOLIDATED=Y","Sort=A","Dates=H","DateFormat=P","Fill=—","Direction=H","UseDPDF=Y")</f>
        <v>#NAME?</v>
      </c>
      <c r="AL19" s="2" t="e">
        <f ca="1">_xll.BDH($C$3,"CASH_FLOW_GROWTH","FQ1 2017","FQ1 2017","Currency=INR","Period=FQ","BEST_FPERIOD_OVERRIDE=FQ","FILING_STATUS=OR","EQY_CONSOLIDATED=Y","Sort=A","Dates=H","DateFormat=P","Fill=—","Direction=H","UseDPDF=Y")</f>
        <v>#NAME?</v>
      </c>
      <c r="AM19" s="2" t="e">
        <f ca="1">_xll.BDH($C$3,"GEO_GROW_NET_SALES","FQ1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" s="2" t="e">
        <f ca="1">_xll.BDH($C$3,"GEO_GROW_EBITDA","FQ1 2017","FQ1 2017","Currency=INR","Period=FQ","BEST_FPERIOD_OVERRIDE=FQ","FILING_STATUS=OR","EQY_CONSOLIDATED=Y","FA_ADJUSTED=GAAP","Sort=A","Dates=H","DateFormat=P","Fill=—","Direction=H","UseDPDF=Y")</f>
        <v>#NAME?</v>
      </c>
      <c r="AO19" s="2" t="e">
        <f ca="1">_xll.BDH($C$3,"GEO_GROW_OPER_INC","FQ1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" s="2" t="e">
        <f ca="1">_xll.BDH($C$3,"NET_INCOME_TO_COMMON_5_YR_GROWTH","FQ1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" s="2" t="e">
        <f ca="1">_xll.BDH($C$3,"5Y_GEO_GROWTH_DILUTED_EPS","FQ1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" s="2" t="e">
        <f ca="1">_xll.BDH($C$3,"GEO_GROW_DVD_PER_SH","FQ1 2017","FQ1 2017","Currency=INR","Period=FQ","BEST_FPERIOD_OVERRIDE=FQ","FILING_STATUS=OR","EQY_CONSOLIDATED=Y","Sort=A","Dates=H","DateFormat=P","Fill=—","Direction=H","UseDPDF=Y")</f>
        <v>#NAME?</v>
      </c>
      <c r="AS19" s="2" t="e">
        <f ca="1">_xll.BDH($C$3,"ACCOUNTS_RECEIVABLE_5_YR_GROWTH","FQ1 2017","FQ1 2017","Currency=INR","Period=FQ","BEST_FPERIOD_OVERRIDE=FQ","FILING_STATUS=OR","EQY_CONSOLIDATED=Y","Sort=A","Dates=H","DateFormat=P","Fill=—","Direction=H","UseDPDF=Y")</f>
        <v>#NAME?</v>
      </c>
      <c r="AT19" s="2" t="e">
        <f ca="1">_xll.BDH($C$3,"INVENTORY_5_YEAR_GROWTH","FQ1 2017","FQ1 2017","Currency=INR","Period=FQ","BEST_FPERIOD_OVERRIDE=FQ","FILING_STATUS=OR","EQY_CONSOLIDATED=Y","Sort=A","Dates=H","DateFormat=P","Fill=—","Direction=H","UseDPDF=Y")</f>
        <v>#NAME?</v>
      </c>
      <c r="AU19" s="2" t="e">
        <f ca="1">_xll.BDH($C$3,"NET_FIXED_ASSETS_5_YEAR_GROWTH","FQ1 2017","FQ1 2017","Currency=INR","Period=FQ","BEST_FPERIOD_OVERRIDE=FQ","FILING_STATUS=OR","EQY_CONSOLIDATED=Y","Sort=A","Dates=H","DateFormat=P","Fill=—","Direction=H","UseDPDF=Y")</f>
        <v>#NAME?</v>
      </c>
      <c r="AV19" s="2" t="e">
        <f ca="1">_xll.BDH($C$3,"GEO_GROW_TOT_ASSET","FQ1 2017","FQ1 2017","Currency=INR","Period=FQ","BEST_FPERIOD_OVERRIDE=FQ","FILING_STATUS=OR","EQY_CONSOLIDATED=Y","Sort=A","Dates=H","DateFormat=P","Fill=—","Direction=H","UseDPDF=Y")</f>
        <v>#NAME?</v>
      </c>
      <c r="AW19" s="2" t="e">
        <f ca="1">_xll.BDH($C$3,"MODIFIED_WORKING_CPTL_5YR_GRWTH","FQ1 2017","FQ1 2017","Currency=INR","Period=FQ","BEST_FPERIOD_OVERRIDE=FQ","FILING_STATUS=OR","EQY_CONSOLIDATED=Y","Sort=A","Dates=H","DateFormat=P","Fill=—","Direction=H","UseDPDF=Y")</f>
        <v>#NAME?</v>
      </c>
      <c r="AX19" s="2" t="e">
        <f ca="1">_xll.BDH($C$3,"WORKING_CAPITAL_5_YEAR_GROWTH","FQ1 2017","FQ1 2017","Currency=INR","Period=FQ","BEST_FPERIOD_OVERRIDE=FQ","FILING_STATUS=OR","EQY_CONSOLIDATED=Y","Sort=A","Dates=H","DateFormat=P","Fill=—","Direction=H","UseDPDF=Y")</f>
        <v>#NAME?</v>
      </c>
      <c r="AY19" s="2" t="e">
        <f ca="1">_xll.BDH($C$3,"ACCOUNTS_PAYABLE_5_YEAR_GROWTH","FQ1 2017","FQ1 2017","Currency=INR","Period=FQ","BEST_FPERIOD_OVERRIDE=FQ","FILING_STATUS=OR","EQY_CONSOLIDATED=Y","Sort=A","Dates=H","DateFormat=P","Fill=—","Direction=H","UseDPDF=Y")</f>
        <v>#NAME?</v>
      </c>
      <c r="AZ19" s="2" t="e">
        <f ca="1">_xll.BDH($C$3,"SHORT_TERM_DEBT_5_YEAR_GROWTH","FQ1 2017","FQ1 2017","Currency=INR","Period=FQ","BEST_FPERIOD_OVERRIDE=FQ","FILING_STATUS=OR","EQY_CONSOLIDATED=Y","Sort=A","Dates=H","DateFormat=P","Fill=—","Direction=H","UseDPDF=Y")</f>
        <v>#NAME?</v>
      </c>
      <c r="BA19" s="2" t="e">
        <f ca="1">_xll.BDH($C$3,"TOTAL_DEBT_5_YEAR_GROWTH","FQ1 2017","FQ1 2017","Currency=INR","Period=FQ","BEST_FPERIOD_OVERRIDE=FQ","FILING_STATUS=OR","EQY_CONSOLIDATED=Y","Sort=A","Dates=H","DateFormat=P","Fill=—","Direction=H","UseDPDF=Y")</f>
        <v>#NAME?</v>
      </c>
      <c r="BB19" s="2" t="e">
        <f ca="1">_xll.BDH($C$3,"GEO_GROW_TOT_SHRHLDR_EQY","FQ1 2017","FQ1 2017","Currency=INR","Period=FQ","BEST_FPERIOD_OVERRIDE=FQ","FILING_STATUS=OR","EQY_CONSOLIDATED=Y","Sort=A","Dates=H","DateFormat=P","Fill=—","Direction=H","UseDPDF=Y")</f>
        <v>#NAME?</v>
      </c>
      <c r="BC19" s="2" t="e">
        <f ca="1">_xll.BDH($C$3,"TOTAL_CAPITAL_5_YEAR_GROWTH","FQ1 2017","FQ1 2017","Currency=INR","Period=FQ","BEST_FPERIOD_OVERRIDE=FQ","FILING_STATUS=OR","EQY_CONSOLIDATED=Y","Sort=A","Dates=H","DateFormat=P","Fill=—","Direction=H","UseDPDF=Y")</f>
        <v>#NAME?</v>
      </c>
      <c r="BD19" s="2" t="e">
        <f ca="1">_xll.BDH($C$3,"GEO_GROW_BOOK_VAL","FQ1 2017","FQ1 2017","Currency=INR","Period=FQ","BEST_FPERIOD_OVERRIDE=FQ","FILING_STATUS=OR","EQY_CONSOLIDATED=Y","Sort=A","Dates=H","DateFormat=P","Fill=—","Direction=H","UseDPDF=Y")</f>
        <v>#NAME?</v>
      </c>
      <c r="BE19" s="2" t="e">
        <f ca="1">_xll.BDH($C$3,"GEO_GROW_CASH_OPER_ACT","FQ1 2017","FQ1 2017","Currency=INR","Period=FQ","BEST_FPERIOD_OVERRIDE=FQ","FILING_STATUS=OR","EQY_CONSOLIDATED=Y","Sort=A","Dates=H","DateFormat=P","Fill=—","Direction=H","UseDPDF=Y")</f>
        <v>#NAME?</v>
      </c>
      <c r="BF19" s="2" t="e">
        <f ca="1">_xll.BDH($C$3,"REVENUE_SEQUENTIAL_GROWTH","FQ1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" s="2" t="e">
        <f ca="1">_xll.BDH($C$3,"EBITDA_SEQUENTIAL_GROWTH","FQ1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" s="2" t="e">
        <f ca="1">_xll.BDH($C$3,"OPERATING_INCOME_SEQ_GROWTH","FQ1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" s="2" t="e">
        <f ca="1">_xll.BDH($C$3,"NET_INCOME_TO_COMMON_SEQ_GROWTH","FQ1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" s="2" t="e">
        <f ca="1">_xll.BDH($C$3,"EPS_DILUTED_SEQUENTIAL_GROWTH","FQ1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" s="2" t="e">
        <f ca="1">_xll.BDH($C$3,"DPS_SEQUENTIAL_GROWTH","FQ1 2017","FQ1 2017","Currency=INR","Period=FQ","BEST_FPERIOD_OVERRIDE=FQ","FILING_STATUS=OR","EQY_CONSOLIDATED=Y","Sort=A","Dates=H","DateFormat=P","Fill=—","Direction=H","UseDPDF=Y")</f>
        <v>#NAME?</v>
      </c>
      <c r="BL19" s="2" t="e">
        <f ca="1">_xll.BDH($C$3,"ACCOUNTS_RECEIVABLE_SEQ_GROWTH","FQ1 2017","FQ1 2017","Currency=INR","Period=FQ","BEST_FPERIOD_OVERRIDE=FQ","FILING_STATUS=OR","EQY_CONSOLIDATED=Y","Sort=A","Dates=H","DateFormat=P","Fill=—","Direction=H","UseDPDF=Y")</f>
        <v>#NAME?</v>
      </c>
      <c r="BM19" s="2" t="e">
        <f ca="1">_xll.BDH($C$3,"INVENTORY_SEQUENTIAL_GROWTH","FQ1 2017","FQ1 2017","Currency=INR","Period=FQ","BEST_FPERIOD_OVERRIDE=FQ","FILING_STATUS=OR","EQY_CONSOLIDATED=Y","Sort=A","Dates=H","DateFormat=P","Fill=—","Direction=H","UseDPDF=Y")</f>
        <v>#NAME?</v>
      </c>
      <c r="BN19" s="2" t="e">
        <f ca="1">_xll.BDH($C$3,"FIXED_ASSETS_SEQUENTIAL_GROWTH","FQ1 2017","FQ1 2017","Currency=INR","Period=FQ","BEST_FPERIOD_OVERRIDE=FQ","FILING_STATUS=OR","EQY_CONSOLIDATED=Y","Sort=A","Dates=H","DateFormat=P","Fill=—","Direction=H","UseDPDF=Y")</f>
        <v>#NAME?</v>
      </c>
      <c r="BO19" s="2" t="e">
        <f ca="1">_xll.BDH($C$3,"TOTAL_ASSETS_SEQUENTIAL_GROWTH","FQ1 2017","FQ1 2017","Currency=INR","Period=FQ","BEST_FPERIOD_OVERRIDE=FQ","FILING_STATUS=OR","EQY_CONSOLIDATED=Y","Sort=A","Dates=H","DateFormat=P","Fill=—","Direction=H","UseDPDF=Y")</f>
        <v>#NAME?</v>
      </c>
      <c r="BP19" s="2" t="e">
        <f ca="1">_xll.BDH($C$3,"MODIFIED_WORKING_CPTL_SEQ_GRWTH","FQ1 2017","FQ1 2017","Currency=INR","Period=FQ","BEST_FPERIOD_OVERRIDE=FQ","FILING_STATUS=OR","EQY_CONSOLIDATED=Y","Sort=A","Dates=H","DateFormat=P","Fill=—","Direction=H","UseDPDF=Y")</f>
        <v>#NAME?</v>
      </c>
      <c r="BQ19" s="2" t="e">
        <f ca="1">_xll.BDH($C$3,"WORKING_CAPITAL_SEQ_GROWTH","FQ1 2017","FQ1 2017","Currency=INR","Period=FQ","BEST_FPERIOD_OVERRIDE=FQ","FILING_STATUS=OR","EQY_CONSOLIDATED=Y","Sort=A","Dates=H","DateFormat=P","Fill=—","Direction=H","UseDPDF=Y")</f>
        <v>#NAME?</v>
      </c>
      <c r="BR19" s="2" t="e">
        <f ca="1">_xll.BDH($C$3,"ACCOUNTS_PAYABLE_SEQ_GROWTH","FQ1 2017","FQ1 2017","Currency=INR","Period=FQ","BEST_FPERIOD_OVERRIDE=FQ","FILING_STATUS=OR","EQY_CONSOLIDATED=Y","Sort=A","Dates=H","DateFormat=P","Fill=—","Direction=H","UseDPDF=Y")</f>
        <v>#NAME?</v>
      </c>
      <c r="BS19" s="2" t="e">
        <f ca="1">_xll.BDH($C$3,"ST_DEBT_SEQUENTIAL_GROWTH","FQ1 2017","FQ1 2017","Currency=INR","Period=FQ","BEST_FPERIOD_OVERRIDE=FQ","FILING_STATUS=OR","EQY_CONSOLIDATED=Y","Sort=A","Dates=H","DateFormat=P","Fill=—","Direction=H","UseDPDF=Y")</f>
        <v>#NAME?</v>
      </c>
      <c r="BT19" s="2" t="e">
        <f ca="1">_xll.BDH($C$3,"TOTAL_DEBT_SEQUENTIAL_GROWTH","FQ1 2017","FQ1 2017","Currency=INR","Period=FQ","BEST_FPERIOD_OVERRIDE=FQ","FILING_STATUS=OR","EQY_CONSOLIDATED=Y","Sort=A","Dates=H","DateFormat=P","Fill=—","Direction=H","UseDPDF=Y")</f>
        <v>#NAME?</v>
      </c>
      <c r="BU19" s="2" t="e">
        <f ca="1">_xll.BDH($C$3,"TOTAL_EQUITY_SEQUENTIAL_GROWTH","FQ1 2017","FQ1 2017","Currency=INR","Period=FQ","BEST_FPERIOD_OVERRIDE=FQ","FILING_STATUS=OR","EQY_CONSOLIDATED=Y","Sort=A","Dates=H","DateFormat=P","Fill=—","Direction=H","UseDPDF=Y")</f>
        <v>#NAME?</v>
      </c>
      <c r="BV19" s="2" t="e">
        <f ca="1">_xll.BDH($C$3,"TOTAL_CAPITAL_SEQUENTIAL_GROWTH","FQ1 2017","FQ1 2017","Currency=INR","Period=FQ","BEST_FPERIOD_OVERRIDE=FQ","FILING_STATUS=OR","EQY_CONSOLIDATED=Y","Sort=A","Dates=H","DateFormat=P","Fill=—","Direction=H","UseDPDF=Y")</f>
        <v>#NAME?</v>
      </c>
      <c r="BW19" s="2" t="e">
        <f ca="1">_xll.BDH($C$3,"BPS_SEQUENTIAL_GROWTH","FQ1 2017","FQ1 2017","Currency=INR","Period=FQ","BEST_FPERIOD_OVERRIDE=FQ","FILING_STATUS=OR","EQY_CONSOLIDATED=Y","Sort=A","Dates=H","DateFormat=P","Fill=—","Direction=H","UseDPDF=Y")</f>
        <v>#NAME?</v>
      </c>
      <c r="BX19" s="2" t="e">
        <f ca="1">_xll.BDH($C$3,"CFO_SEQUENTIAL_GROWTH","FQ1 2017","FQ1 2017","Currency=INR","Period=FQ","BEST_FPERIOD_OVERRIDE=FQ","FILING_STATUS=OR","EQY_CONSOLIDATED=Y","Sort=A","Dates=H","DateFormat=P","Fill=—","Direction=H","UseDPDF=Y")</f>
        <v>#NAME?</v>
      </c>
      <c r="BY19" s="3" t="e">
        <f ca="1">_xll.BDH($C$3,"SHORT_AND_LONG_TERM_DEBT","FQ1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" s="3" t="e">
        <f ca="1">_xll.BDH($C$3,"BS_ST_BORROW","FQ1 2017","FQ1 2017","Currency=INR","Period=FQ","BEST_FPERIOD_OVERRIDE=FQ","FILING_STATUS=OR","EQY_CONSOLIDATED=Y","SCALING_FORMAT=MLN","Sort=A","Dates=H","DateFormat=P","Fill=—","Direction=H","UseDPDF=Y")</f>
        <v>#NAME?</v>
      </c>
      <c r="CA19" s="3" t="e">
        <f ca="1">_xll.BDH($C$3,"BS_LT_BORROW","FQ1 2017","FQ1 2017","Currency=INR","Period=FQ","BEST_FPERIOD_OVERRIDE=FQ","FILING_STATUS=OR","EQY_CONSOLIDATED=Y","SCALING_FORMAT=MLN","Sort=A","Dates=H","DateFormat=P","Fill=—","Direction=H","UseDPDF=Y")</f>
        <v>#NAME?</v>
      </c>
      <c r="CB19" s="2" t="e">
        <f ca="1">_xll.BDH($C$3,"TOT_DEBT_TO_EBITDA","FQ1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" s="2" t="e">
        <f ca="1">_xll.BDH($C$3,"NET_DEBT_TO_EBITDA","FQ1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" s="2" t="e">
        <f ca="1">_xll.BDH($C$3,"TOTAL_DEBT_TO_EBIT","FQ1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" s="2" t="e">
        <f ca="1">_xll.BDH($C$3,"NET_DEBT_TO_EBIT","FQ1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" s="2" t="e">
        <f ca="1">_xll.BDH($C$3,"EBITDA_TO_INTEREST_EXPN","FQ1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" s="2" t="e">
        <f ca="1">_xll.BDH($C$3,"COM_EQY_TO_TOT_ASSET","FQ1 2017","FQ1 2017","Currency=INR","Period=FQ","BEST_FPERIOD_OVERRIDE=FQ","FILING_STATUS=OR","EQY_CONSOLIDATED=Y","Sort=A","Dates=H","DateFormat=P","Fill=—","Direction=H","UseDPDF=Y")</f>
        <v>#NAME?</v>
      </c>
      <c r="CH19" s="2" t="e">
        <f ca="1">_xll.BDH($C$3,"LT_DEBT_TO_TOT_EQY","FQ1 2017","FQ1 2017","Currency=INR","Period=FQ","BEST_FPERIOD_OVERRIDE=FQ","FILING_STATUS=OR","EQY_CONSOLIDATED=Y","Sort=A","Dates=H","DateFormat=P","Fill=—","Direction=H","UseDPDF=Y")</f>
        <v>#NAME?</v>
      </c>
      <c r="CI19" s="2" t="e">
        <f ca="1">_xll.BDH($C$3,"LT_DEBT_TO_TOT_CAP","FQ1 2017","FQ1 2017","Currency=INR","Period=FQ","BEST_FPERIOD_OVERRIDE=FQ","FILING_STATUS=OR","EQY_CONSOLIDATED=Y","Sort=A","Dates=H","DateFormat=P","Fill=—","Direction=H","UseDPDF=Y")</f>
        <v>#NAME?</v>
      </c>
      <c r="CJ19" s="2" t="e">
        <f ca="1">_xll.BDH($C$3,"LT_DEBT_TO_TOT_ASSET","FQ1 2017","FQ1 2017","Currency=INR","Period=FQ","BEST_FPERIOD_OVERRIDE=FQ","FILING_STATUS=OR","EQY_CONSOLIDATED=Y","Sort=A","Dates=H","DateFormat=P","Fill=—","Direction=H","UseDPDF=Y")</f>
        <v>#NAME?</v>
      </c>
      <c r="CK19" s="2" t="e">
        <f ca="1">_xll.BDH($C$3,"TOT_DEBT_TO_TOT_EQY","FQ1 2017","FQ1 2017","Currency=INR","Period=FQ","BEST_FPERIOD_OVERRIDE=FQ","FILING_STATUS=OR","EQY_CONSOLIDATED=Y","Sort=A","Dates=H","DateFormat=P","Fill=—","Direction=H","UseDPDF=Y")</f>
        <v>#NAME?</v>
      </c>
      <c r="CL19" s="2" t="e">
        <f ca="1">_xll.BDH($C$3,"TOT_DEBT_TO_TOT_CAP","FQ1 2017","FQ1 2017","Currency=INR","Period=FQ","BEST_FPERIOD_OVERRIDE=FQ","FILING_STATUS=OR","EQY_CONSOLIDATED=Y","Sort=A","Dates=H","DateFormat=P","Fill=—","Direction=H","UseDPDF=Y")</f>
        <v>#NAME?</v>
      </c>
      <c r="CM19" s="2" t="e">
        <f ca="1">_xll.BDH($C$3,"TOT_DEBT_TO_TOT_ASSET","FQ1 2017","FQ1 2017","Currency=INR","Period=FQ","BEST_FPERIOD_OVERRIDE=FQ","FILING_STATUS=OR","EQY_CONSOLIDATED=Y","Sort=A","Dates=H","DateFormat=P","Fill=—","Direction=H","UseDPDF=Y")</f>
        <v>#NAME?</v>
      </c>
      <c r="CN19" s="2" t="e">
        <f ca="1">_xll.BDH($C$3,"NET_DEBT_TO_SHRHLDR_EQTY","FQ1 2017","FQ1 2017","Currency=INR","Period=FQ","BEST_FPERIOD_OVERRIDE=FQ","FILING_STATUS=OR","EQY_CONSOLIDATED=Y","Sort=A","Dates=H","DateFormat=P","Fill=—","Direction=H","UseDPDF=Y")</f>
        <v>#NAME?</v>
      </c>
      <c r="CO19" s="2" t="e">
        <f ca="1">_xll.BDH($C$3,"NET_DEBT_%_CAPITAL","FQ1 2017","FQ1 2017","Currency=INR","Period=FQ","BEST_FPERIOD_OVERRIDE=FQ","FILING_STATUS=OR","EQY_CONSOLIDATED=Y","Sort=A","Dates=H","DateFormat=P","Fill=—","Direction=H","UseDPDF=Y")</f>
        <v>#NAME?</v>
      </c>
      <c r="CP19" s="3" t="e">
        <f ca="1">_xll.BDH($C$3,"EBITDA","FQ1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" s="3" t="e">
        <f ca="1">_xll.BDH($C$3,"EBITDA_AFTER_CAPEX","FQ1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" s="3" t="e">
        <f ca="1">_xll.BDH($C$3,"IS_OPER_INC","FQ1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" s="2" t="e">
        <f ca="1">_xll.BDH($C$3,"CASH_RATIO","FQ1 2017","FQ1 2017","Currency=INR","Period=FQ","BEST_FPERIOD_OVERRIDE=FQ","FILING_STATUS=OR","EQY_CONSOLIDATED=Y","Sort=A","Dates=H","DateFormat=P","Fill=—","Direction=H","UseDPDF=Y")</f>
        <v>#NAME?</v>
      </c>
      <c r="CT19" s="2" t="e">
        <f ca="1">_xll.BDH($C$3,"CUR_RATIO","FQ1 2017","FQ1 2017","Currency=INR","Period=FQ","BEST_FPERIOD_OVERRIDE=FQ","FILING_STATUS=OR","EQY_CONSOLIDATED=Y","Sort=A","Dates=H","DateFormat=P","Fill=—","Direction=H","UseDPDF=Y")</f>
        <v>#NAME?</v>
      </c>
      <c r="CU19" s="2" t="e">
        <f ca="1">_xll.BDH($C$3,"QUICK_RATIO","FQ1 2017","FQ1 2017","Currency=INR","Period=FQ","BEST_FPERIOD_OVERRIDE=FQ","FILING_STATUS=OR","EQY_CONSOLIDATED=Y","Sort=A","Dates=H","DateFormat=P","Fill=—","Direction=H","UseDPDF=Y")</f>
        <v>#NAME?</v>
      </c>
      <c r="CV19" s="2" t="e">
        <f ca="1">_xll.BDH($C$3,"ALTMAN_Z_SCORE","FQ1 2017","FQ1 2017","Currency=INR","Period=FQ","BEST_FPERIOD_OVERRIDE=FQ","FILING_STATUS=OR","EQY_CONSOLIDATED=Y","Sort=A","Dates=H","DateFormat=P","Fill=—","Direction=H","UseDPDF=Y")</f>
        <v>#NAME?</v>
      </c>
      <c r="CW19" s="4" t="e">
        <f ca="1">_xll.BDH($C$3,"ACCT_RCV_TURN","FQ1 2017","FQ1 2017","Currency=INR","Period=FQ","BEST_FPERIOD_OVERRIDE=FQ","FILING_STATUS=OR","EQY_CONSOLIDATED=Y","FA_ADJUSTED=GAAP","Sort=A","Dates=H","DateFormat=P","Fill=—","Direction=H","UseDPDF=Y")</f>
        <v>#NAME?</v>
      </c>
      <c r="CX19" s="2" t="e">
        <f ca="1">_xll.BDH($C$3,"ACCT_RCV_DAYS","FQ1 2017","FQ1 2017","Currency=INR","Period=FQ","BEST_FPERIOD_OVERRIDE=FQ","FILING_STATUS=OR","EQY_CONSOLIDATED=Y","FA_ADJUSTED=GAAP","Sort=A","Dates=H","DateFormat=P","Fill=—","Direction=H","UseDPDF=Y")</f>
        <v>#NAME?</v>
      </c>
      <c r="CY19" s="4" t="e">
        <f ca="1">_xll.BDH($C$3,"INVENT_TURN","FQ1 2017","FQ1 2017","Currency=INR","Period=FQ","BEST_FPERIOD_OVERRIDE=FQ","FILING_STATUS=OR","EQY_CONSOLIDATED=Y","FA_ADJUSTED=GAAP","Sort=A","Dates=H","DateFormat=P","Fill=—","Direction=H","UseDPDF=Y")</f>
        <v>#NAME?</v>
      </c>
      <c r="CZ19" s="2" t="e">
        <f ca="1">_xll.BDH($C$3,"INVENT_DAYS","FQ1 2017","FQ1 2017","Currency=INR","Period=FQ","BEST_FPERIOD_OVERRIDE=FQ","FILING_STATUS=OR","EQY_CONSOLIDATED=Y","FA_ADJUSTED=GAAP","Sort=A","Dates=H","DateFormat=P","Fill=—","Direction=H","UseDPDF=Y")</f>
        <v>#NAME?</v>
      </c>
      <c r="DA19" s="4" t="e">
        <f ca="1">_xll.BDH($C$3,"ACCOUNTS_PAYABLE_TURNOVER","FQ1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" s="2" t="e">
        <f ca="1">_xll.BDH($C$3,"ACCOUNTS_PAYABLE_TURNOVER_DAYS","FQ1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" s="4" t="e">
        <f ca="1">_xll.BDH($C$3,"CASH_CONVERSION_CYCLE","FQ1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" s="4" t="e">
        <f ca="1">_xll.BDH($C$3,"INV_TO_CASH_DAYS","FQ1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" s="5" t="e">
        <f ca="1">_xll.BDH($C$3,"BS_INVENTORIES","FQ1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" s="3" t="e">
        <f ca="1">_xll.BDH($C$3,"INVTRY_RAW_MATERIALS","FQ1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" s="3" t="e">
        <f ca="1">_xll.BDH($C$3,"INVTRY_IN_PROGRESS","FQ1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" s="3" t="e">
        <f ca="1">_xll.BDH($C$3,"INVTRY_FINISHED_GOODS","FQ1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" s="3" t="e">
        <f ca="1">_xll.BDH($C$3,"BS_OTHER_INV","FQ1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0" spans="1:113" x14ac:dyDescent="0.3">
      <c r="A20" s="6"/>
      <c r="B20" s="6"/>
      <c r="C20" s="6"/>
      <c r="D20" s="6"/>
      <c r="E20" t="s">
        <v>79</v>
      </c>
      <c r="F20" t="e">
        <f ca="1">_xll.BDH($C$3,"RETURN_COM_EQY","FQ2 2017","FQ2 2017","Currency=INR","Period=FQ","BEST_FPERIOD_OVERRIDE=FQ","FILING_STATUS=OR","EQY_CONSOLIDATED=Y","FA_ADJUSTED=GAAP","Sort=A","Dates=H","DateFormat=P","Fill=—","Direction=H","UseDPDF=Y")</f>
        <v>#NAME?</v>
      </c>
      <c r="G20" t="e">
        <f ca="1">_xll.BDH($C$3,"RETURN_ON_ASSET","FQ2 2017","FQ2 2017","Currency=INR","Period=FQ","BEST_FPERIOD_OVERRIDE=FQ","FILING_STATUS=OR","EQY_CONSOLIDATED=Y","FA_ADJUSTED=GAAP","Sort=A","Dates=H","DateFormat=P","Fill=—","Direction=H","UseDPDF=Y")</f>
        <v>#NAME?</v>
      </c>
      <c r="H20" t="e">
        <f ca="1">_xll.BDH($C$3,"RETURN_ON_CAP","FQ2 2017","FQ2 2017","Currency=INR","Period=FQ","BEST_FPERIOD_OVERRIDE=FQ","FILING_STATUS=OR","EQY_CONSOLIDATED=Y","FA_ADJUSTED=GAAP","Sort=A","Dates=H","DateFormat=P","Fill=—","Direction=H","UseDPDF=Y")</f>
        <v>#NAME?</v>
      </c>
      <c r="I20" t="e">
        <f ca="1">_xll.BDH($C$3,"RETURN_ON_INV_CAPITAL","FQ2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0" t="e">
        <f ca="1">_xll.BDH($C$3,"EBITDA_TO_REVENUE","FQ2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0" t="e">
        <f ca="1">_xll.BDH($C$3,"OPER_MARGIN","FQ2 2017","FQ2 2017","Currency=INR","Period=FQ","BEST_FPERIOD_OVERRIDE=FQ","FILING_STATUS=OR","EQY_CONSOLIDATED=Y","FA_ADJUSTED=GAAP","Sort=A","Dates=H","DateFormat=P","Fill=—","Direction=H","UseDPDF=Y")</f>
        <v>#NAME?</v>
      </c>
      <c r="L20" t="e">
        <f ca="1">_xll.BDH($C$3,"INCREMENTAL_OPERATING_MARGIN","FQ2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0" t="e">
        <f ca="1">_xll.BDH($C$3,"PRETAX_INC_TO_NET_SALES","FQ2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0" t="e">
        <f ca="1">_xll.BDH($C$3,"INC_BEF_XO_ITEMS_TO_NET_SALES","FQ2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0" t="e">
        <f ca="1">_xll.BDH($C$3,"PROF_MARGIN","FQ2 2017","FQ2 2017","Currency=INR","Period=FQ","BEST_FPERIOD_OVERRIDE=FQ","FILING_STATUS=OR","EQY_CONSOLIDATED=Y","FA_ADJUSTED=GAAP","Sort=A","Dates=H","DateFormat=P","Fill=—","Direction=H","UseDPDF=Y")</f>
        <v>#NAME?</v>
      </c>
      <c r="P20" t="e">
        <f ca="1">_xll.BDH($C$3,"NET_INCOME_TO_COMMON_MARGIN","FQ2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0" t="e">
        <f ca="1">_xll.BDH($C$3,"EFF_TAX_RATE","FQ2 2017","FQ2 2017","Currency=INR","Period=FQ","BEST_FPERIOD_OVERRIDE=FQ","FILING_STATUS=OR","EQY_CONSOLIDATED=Y","FA_ADJUSTED=GAAP","Sort=A","Dates=H","DateFormat=P","Fill=—","Direction=H","UseDPDF=Y")</f>
        <v>#NAME?</v>
      </c>
      <c r="R20" t="e">
        <f ca="1">_xll.BDH($C$3,"DVD_PAYOUT_RATIO","FQ2 2017","FQ2 2017","Currency=INR","Period=FQ","BEST_FPERIOD_OVERRIDE=FQ","FILING_STATUS=OR","EQY_CONSOLIDATED=Y","FA_ADJUSTED=GAAP","Sort=A","Dates=H","DateFormat=P","Fill=—","Direction=H","UseDPDF=Y")</f>
        <v>#NAME?</v>
      </c>
      <c r="S20" t="e">
        <f ca="1">_xll.BDH($C$3,"SUSTAIN_GROWTH_RT","FQ2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0" s="2" t="e">
        <f ca="1">_xll.BDH($C$3,"SALES_GROWTH","FQ2 2017","FQ2 2017","Currency=INR","Period=FQ","BEST_FPERIOD_OVERRIDE=FQ","FILING_STATUS=OR","EQY_CONSOLIDATED=Y","FA_ADJUSTED=GAAP","Sort=A","Dates=H","DateFormat=P","Fill=—","Direction=H","UseDPDF=Y")</f>
        <v>#NAME?</v>
      </c>
      <c r="U20" s="2" t="e">
        <f ca="1">_xll.BDH($C$3,"EBITDA_GROWTH","FQ2 2017","FQ2 2017","Currency=INR","Period=FQ","BEST_FPERIOD_OVERRIDE=FQ","FILING_STATUS=OR","EQY_CONSOLIDATED=Y","FA_ADJUSTED=GAAP","Sort=A","Dates=H","DateFormat=P","Fill=—","Direction=H","UseDPDF=Y")</f>
        <v>#NAME?</v>
      </c>
      <c r="V20" s="2" t="e">
        <f ca="1">_xll.BDH($C$3,"OPER_INC_GROWTH","FQ2 2017","FQ2 2017","Currency=INR","Period=FQ","BEST_FPERIOD_OVERRIDE=FQ","FILING_STATUS=OR","EQY_CONSOLIDATED=Y","FA_ADJUSTED=GAAP","Sort=A","Dates=H","DateFormat=P","Fill=—","Direction=H","UseDPDF=Y")</f>
        <v>#NAME?</v>
      </c>
      <c r="W20" s="2" t="e">
        <f ca="1">_xll.BDH($C$3,"EARN_FOR_COM_GROWTH","FQ2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0" s="2" t="e">
        <f ca="1">_xll.BDH($C$3,"DILUTED_EPS_AFT_XO_ITEMS_GROWTH","FQ2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0" s="2" t="e">
        <f ca="1">_xll.BDH($C$3,"DIVIDEND_PER_SHARE_1_YEAR_GROWTH","FQ2 2017","FQ2 2017","Currency=INR","Period=FQ","BEST_FPERIOD_OVERRIDE=FQ","FILING_STATUS=OR","EQY_CONSOLIDATED=Y","Sort=A","Dates=H","DateFormat=P","Fill=—","Direction=H","UseDPDF=Y")</f>
        <v>#NAME?</v>
      </c>
      <c r="Z20" s="2" t="e">
        <f ca="1">_xll.BDH($C$3,"ACCOUNTS_RECEIVABLE_GROWTH","FQ2 2017","FQ2 2017","Currency=INR","Period=FQ","BEST_FPERIOD_OVERRIDE=FQ","FILING_STATUS=OR","EQY_CONSOLIDATED=Y","Sort=A","Dates=H","DateFormat=P","Fill=—","Direction=H","UseDPDF=Y")</f>
        <v>#NAME?</v>
      </c>
      <c r="AA20" s="2" t="e">
        <f ca="1">_xll.BDH($C$3,"INVENTORY_GROWTH","FQ2 2017","FQ2 2017","Currency=INR","Period=FQ","BEST_FPERIOD_OVERRIDE=FQ","FILING_STATUS=OR","EQY_CONSOLIDATED=Y","Sort=A","Dates=H","DateFormat=P","Fill=—","Direction=H","UseDPDF=Y")</f>
        <v>#NAME?</v>
      </c>
      <c r="AB20" s="2" t="e">
        <f ca="1">_xll.BDH($C$3,"NET_FIXED_ASSETS_1_YEAR_GROWTH","FQ2 2017","FQ2 2017","Currency=INR","Period=FQ","BEST_FPERIOD_OVERRIDE=FQ","FILING_STATUS=OR","EQY_CONSOLIDATED=Y","Sort=A","Dates=H","DateFormat=P","Fill=—","Direction=H","UseDPDF=Y")</f>
        <v>#NAME?</v>
      </c>
      <c r="AC20" s="2" t="e">
        <f ca="1">_xll.BDH($C$3,"ASSET_GROWTH","FQ2 2017","FQ2 2017","Currency=INR","Period=FQ","BEST_FPERIOD_OVERRIDE=FQ","FILING_STATUS=OR","EQY_CONSOLIDATED=Y","Sort=A","Dates=H","DateFormat=P","Fill=—","Direction=H","UseDPDF=Y")</f>
        <v>#NAME?</v>
      </c>
      <c r="AD20" s="2" t="e">
        <f ca="1">_xll.BDH($C$3,"MODIFIED_WORK_CAP_GROWTH","FQ2 2017","FQ2 2017","Currency=INR","Period=FQ","BEST_FPERIOD_OVERRIDE=FQ","FILING_STATUS=OR","EQY_CONSOLIDATED=Y","Sort=A","Dates=H","DateFormat=P","Fill=—","Direction=H","UseDPDF=Y")</f>
        <v>#NAME?</v>
      </c>
      <c r="AE20" s="2" t="e">
        <f ca="1">_xll.BDH($C$3,"WORK_CAP_GROWTH","FQ2 2017","FQ2 2017","Currency=INR","Period=FQ","BEST_FPERIOD_OVERRIDE=FQ","FILING_STATUS=OR","EQY_CONSOLIDATED=Y","Sort=A","Dates=H","DateFormat=P","Fill=—","Direction=H","UseDPDF=Y")</f>
        <v>#NAME?</v>
      </c>
      <c r="AF20" s="2" t="e">
        <f ca="1">_xll.BDH($C$3,"ACCOUNTS_PAYABLE_GROWTH_1YR","FQ2 2017","FQ2 2017","Currency=INR","Period=FQ","BEST_FPERIOD_OVERRIDE=FQ","FILING_STATUS=OR","EQY_CONSOLIDATED=Y","Sort=A","Dates=H","DateFormat=P","Fill=—","Direction=H","UseDPDF=Y")</f>
        <v>#NAME?</v>
      </c>
      <c r="AG20" s="2" t="e">
        <f ca="1">_xll.BDH($C$3,"SHORT_TERM_DEBT_1_YEAR_GROWTH","FQ2 2017","FQ2 2017","Currency=INR","Period=FQ","BEST_FPERIOD_OVERRIDE=FQ","FILING_STATUS=OR","EQY_CONSOLIDATED=Y","Sort=A","Dates=H","DateFormat=P","Fill=—","Direction=H","UseDPDF=Y")</f>
        <v>#NAME?</v>
      </c>
      <c r="AH20" s="2" t="e">
        <f ca="1">_xll.BDH($C$3,"TOTAL_DEBT_1_YEAR_GROWTH","FQ2 2017","FQ2 2017","Currency=INR","Period=FQ","BEST_FPERIOD_OVERRIDE=FQ","FILING_STATUS=OR","EQY_CONSOLIDATED=Y","Sort=A","Dates=H","DateFormat=P","Fill=—","Direction=H","UseDPDF=Y")</f>
        <v>#NAME?</v>
      </c>
      <c r="AI20" s="2" t="e">
        <f ca="1">_xll.BDH($C$3,"TOTAL_EQUITY_1_YEAR_GROWTH","FQ2 2017","FQ2 2017","Currency=INR","Period=FQ","BEST_FPERIOD_OVERRIDE=FQ","FILING_STATUS=OR","EQY_CONSOLIDATED=Y","Sort=A","Dates=H","DateFormat=P","Fill=—","Direction=H","UseDPDF=Y")</f>
        <v>#NAME?</v>
      </c>
      <c r="AJ20" s="2" t="e">
        <f ca="1">_xll.BDH($C$3,"GROWTH_IN_CAP","FQ2 2017","FQ2 2017","Currency=INR","Period=FQ","BEST_FPERIOD_OVERRIDE=FQ","FILING_STATUS=OR","EQY_CONSOLIDATED=Y","Sort=A","Dates=H","DateFormat=P","Fill=—","Direction=H","UseDPDF=Y")</f>
        <v>#NAME?</v>
      </c>
      <c r="AK20" s="2" t="e">
        <f ca="1">_xll.BDH($C$3,"BVPS_GROWTH","FQ2 2017","FQ2 2017","Currency=INR","Period=FQ","BEST_FPERIOD_OVERRIDE=FQ","FILING_STATUS=OR","EQY_CONSOLIDATED=Y","Sort=A","Dates=H","DateFormat=P","Fill=—","Direction=H","UseDPDF=Y")</f>
        <v>#NAME?</v>
      </c>
      <c r="AL20" s="2" t="e">
        <f ca="1">_xll.BDH($C$3,"CASH_FLOW_GROWTH","FQ2 2017","FQ2 2017","Currency=INR","Period=FQ","BEST_FPERIOD_OVERRIDE=FQ","FILING_STATUS=OR","EQY_CONSOLIDATED=Y","Sort=A","Dates=H","DateFormat=P","Fill=—","Direction=H","UseDPDF=Y")</f>
        <v>#NAME?</v>
      </c>
      <c r="AM20" s="2" t="e">
        <f ca="1">_xll.BDH($C$3,"GEO_GROW_NET_SALES","FQ2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0" s="2" t="e">
        <f ca="1">_xll.BDH($C$3,"GEO_GROW_EBITDA","FQ2 2017","FQ2 2017","Currency=INR","Period=FQ","BEST_FPERIOD_OVERRIDE=FQ","FILING_STATUS=OR","EQY_CONSOLIDATED=Y","FA_ADJUSTED=GAAP","Sort=A","Dates=H","DateFormat=P","Fill=—","Direction=H","UseDPDF=Y")</f>
        <v>#NAME?</v>
      </c>
      <c r="AO20" s="2" t="e">
        <f ca="1">_xll.BDH($C$3,"GEO_GROW_OPER_INC","FQ2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0" s="2" t="e">
        <f ca="1">_xll.BDH($C$3,"NET_INCOME_TO_COMMON_5_YR_GROWTH","FQ2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0" s="2" t="e">
        <f ca="1">_xll.BDH($C$3,"5Y_GEO_GROWTH_DILUTED_EPS","FQ2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0" s="2" t="e">
        <f ca="1">_xll.BDH($C$3,"GEO_GROW_DVD_PER_SH","FQ2 2017","FQ2 2017","Currency=INR","Period=FQ","BEST_FPERIOD_OVERRIDE=FQ","FILING_STATUS=OR","EQY_CONSOLIDATED=Y","Sort=A","Dates=H","DateFormat=P","Fill=—","Direction=H","UseDPDF=Y")</f>
        <v>#NAME?</v>
      </c>
      <c r="AS20" s="2" t="e">
        <f ca="1">_xll.BDH($C$3,"ACCOUNTS_RECEIVABLE_5_YR_GROWTH","FQ2 2017","FQ2 2017","Currency=INR","Period=FQ","BEST_FPERIOD_OVERRIDE=FQ","FILING_STATUS=OR","EQY_CONSOLIDATED=Y","Sort=A","Dates=H","DateFormat=P","Fill=—","Direction=H","UseDPDF=Y")</f>
        <v>#NAME?</v>
      </c>
      <c r="AT20" s="2" t="e">
        <f ca="1">_xll.BDH($C$3,"INVENTORY_5_YEAR_GROWTH","FQ2 2017","FQ2 2017","Currency=INR","Period=FQ","BEST_FPERIOD_OVERRIDE=FQ","FILING_STATUS=OR","EQY_CONSOLIDATED=Y","Sort=A","Dates=H","DateFormat=P","Fill=—","Direction=H","UseDPDF=Y")</f>
        <v>#NAME?</v>
      </c>
      <c r="AU20" s="2" t="e">
        <f ca="1">_xll.BDH($C$3,"NET_FIXED_ASSETS_5_YEAR_GROWTH","FQ2 2017","FQ2 2017","Currency=INR","Period=FQ","BEST_FPERIOD_OVERRIDE=FQ","FILING_STATUS=OR","EQY_CONSOLIDATED=Y","Sort=A","Dates=H","DateFormat=P","Fill=—","Direction=H","UseDPDF=Y")</f>
        <v>#NAME?</v>
      </c>
      <c r="AV20" s="2" t="e">
        <f ca="1">_xll.BDH($C$3,"GEO_GROW_TOT_ASSET","FQ2 2017","FQ2 2017","Currency=INR","Period=FQ","BEST_FPERIOD_OVERRIDE=FQ","FILING_STATUS=OR","EQY_CONSOLIDATED=Y","Sort=A","Dates=H","DateFormat=P","Fill=—","Direction=H","UseDPDF=Y")</f>
        <v>#NAME?</v>
      </c>
      <c r="AW20" s="2" t="e">
        <f ca="1">_xll.BDH($C$3,"MODIFIED_WORKING_CPTL_5YR_GRWTH","FQ2 2017","FQ2 2017","Currency=INR","Period=FQ","BEST_FPERIOD_OVERRIDE=FQ","FILING_STATUS=OR","EQY_CONSOLIDATED=Y","Sort=A","Dates=H","DateFormat=P","Fill=—","Direction=H","UseDPDF=Y")</f>
        <v>#NAME?</v>
      </c>
      <c r="AX20" s="2" t="e">
        <f ca="1">_xll.BDH($C$3,"WORKING_CAPITAL_5_YEAR_GROWTH","FQ2 2017","FQ2 2017","Currency=INR","Period=FQ","BEST_FPERIOD_OVERRIDE=FQ","FILING_STATUS=OR","EQY_CONSOLIDATED=Y","Sort=A","Dates=H","DateFormat=P","Fill=—","Direction=H","UseDPDF=Y")</f>
        <v>#NAME?</v>
      </c>
      <c r="AY20" s="2" t="e">
        <f ca="1">_xll.BDH($C$3,"ACCOUNTS_PAYABLE_5_YEAR_GROWTH","FQ2 2017","FQ2 2017","Currency=INR","Period=FQ","BEST_FPERIOD_OVERRIDE=FQ","FILING_STATUS=OR","EQY_CONSOLIDATED=Y","Sort=A","Dates=H","DateFormat=P","Fill=—","Direction=H","UseDPDF=Y")</f>
        <v>#NAME?</v>
      </c>
      <c r="AZ20" s="2" t="e">
        <f ca="1">_xll.BDH($C$3,"SHORT_TERM_DEBT_5_YEAR_GROWTH","FQ2 2017","FQ2 2017","Currency=INR","Period=FQ","BEST_FPERIOD_OVERRIDE=FQ","FILING_STATUS=OR","EQY_CONSOLIDATED=Y","Sort=A","Dates=H","DateFormat=P","Fill=—","Direction=H","UseDPDF=Y")</f>
        <v>#NAME?</v>
      </c>
      <c r="BA20" s="2" t="e">
        <f ca="1">_xll.BDH($C$3,"TOTAL_DEBT_5_YEAR_GROWTH","FQ2 2017","FQ2 2017","Currency=INR","Period=FQ","BEST_FPERIOD_OVERRIDE=FQ","FILING_STATUS=OR","EQY_CONSOLIDATED=Y","Sort=A","Dates=H","DateFormat=P","Fill=—","Direction=H","UseDPDF=Y")</f>
        <v>#NAME?</v>
      </c>
      <c r="BB20" s="2" t="e">
        <f ca="1">_xll.BDH($C$3,"GEO_GROW_TOT_SHRHLDR_EQY","FQ2 2017","FQ2 2017","Currency=INR","Period=FQ","BEST_FPERIOD_OVERRIDE=FQ","FILING_STATUS=OR","EQY_CONSOLIDATED=Y","Sort=A","Dates=H","DateFormat=P","Fill=—","Direction=H","UseDPDF=Y")</f>
        <v>#NAME?</v>
      </c>
      <c r="BC20" s="2" t="e">
        <f ca="1">_xll.BDH($C$3,"TOTAL_CAPITAL_5_YEAR_GROWTH","FQ2 2017","FQ2 2017","Currency=INR","Period=FQ","BEST_FPERIOD_OVERRIDE=FQ","FILING_STATUS=OR","EQY_CONSOLIDATED=Y","Sort=A","Dates=H","DateFormat=P","Fill=—","Direction=H","UseDPDF=Y")</f>
        <v>#NAME?</v>
      </c>
      <c r="BD20" s="2" t="e">
        <f ca="1">_xll.BDH($C$3,"GEO_GROW_BOOK_VAL","FQ2 2017","FQ2 2017","Currency=INR","Period=FQ","BEST_FPERIOD_OVERRIDE=FQ","FILING_STATUS=OR","EQY_CONSOLIDATED=Y","Sort=A","Dates=H","DateFormat=P","Fill=—","Direction=H","UseDPDF=Y")</f>
        <v>#NAME?</v>
      </c>
      <c r="BE20" s="2" t="e">
        <f ca="1">_xll.BDH($C$3,"GEO_GROW_CASH_OPER_ACT","FQ2 2017","FQ2 2017","Currency=INR","Period=FQ","BEST_FPERIOD_OVERRIDE=FQ","FILING_STATUS=OR","EQY_CONSOLIDATED=Y","Sort=A","Dates=H","DateFormat=P","Fill=—","Direction=H","UseDPDF=Y")</f>
        <v>#NAME?</v>
      </c>
      <c r="BF20" s="2" t="e">
        <f ca="1">_xll.BDH($C$3,"REVENUE_SEQUENTIAL_GROWTH","FQ2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0" s="2" t="e">
        <f ca="1">_xll.BDH($C$3,"EBITDA_SEQUENTIAL_GROWTH","FQ2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0" s="2" t="e">
        <f ca="1">_xll.BDH($C$3,"OPERATING_INCOME_SEQ_GROWTH","FQ2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0" s="2" t="e">
        <f ca="1">_xll.BDH($C$3,"NET_INCOME_TO_COMMON_SEQ_GROWTH","FQ2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0" s="2" t="e">
        <f ca="1">_xll.BDH($C$3,"EPS_DILUTED_SEQUENTIAL_GROWTH","FQ2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0" s="2" t="e">
        <f ca="1">_xll.BDH($C$3,"DPS_SEQUENTIAL_GROWTH","FQ2 2017","FQ2 2017","Currency=INR","Period=FQ","BEST_FPERIOD_OVERRIDE=FQ","FILING_STATUS=OR","EQY_CONSOLIDATED=Y","Sort=A","Dates=H","DateFormat=P","Fill=—","Direction=H","UseDPDF=Y")</f>
        <v>#NAME?</v>
      </c>
      <c r="BL20" s="2" t="e">
        <f ca="1">_xll.BDH($C$3,"ACCOUNTS_RECEIVABLE_SEQ_GROWTH","FQ2 2017","FQ2 2017","Currency=INR","Period=FQ","BEST_FPERIOD_OVERRIDE=FQ","FILING_STATUS=OR","EQY_CONSOLIDATED=Y","Sort=A","Dates=H","DateFormat=P","Fill=—","Direction=H","UseDPDF=Y")</f>
        <v>#NAME?</v>
      </c>
      <c r="BM20" s="2" t="e">
        <f ca="1">_xll.BDH($C$3,"INVENTORY_SEQUENTIAL_GROWTH","FQ2 2017","FQ2 2017","Currency=INR","Period=FQ","BEST_FPERIOD_OVERRIDE=FQ","FILING_STATUS=OR","EQY_CONSOLIDATED=Y","Sort=A","Dates=H","DateFormat=P","Fill=—","Direction=H","UseDPDF=Y")</f>
        <v>#NAME?</v>
      </c>
      <c r="BN20" s="2" t="e">
        <f ca="1">_xll.BDH($C$3,"FIXED_ASSETS_SEQUENTIAL_GROWTH","FQ2 2017","FQ2 2017","Currency=INR","Period=FQ","BEST_FPERIOD_OVERRIDE=FQ","FILING_STATUS=OR","EQY_CONSOLIDATED=Y","Sort=A","Dates=H","DateFormat=P","Fill=—","Direction=H","UseDPDF=Y")</f>
        <v>#NAME?</v>
      </c>
      <c r="BO20" s="2" t="e">
        <f ca="1">_xll.BDH($C$3,"TOTAL_ASSETS_SEQUENTIAL_GROWTH","FQ2 2017","FQ2 2017","Currency=INR","Period=FQ","BEST_FPERIOD_OVERRIDE=FQ","FILING_STATUS=OR","EQY_CONSOLIDATED=Y","Sort=A","Dates=H","DateFormat=P","Fill=—","Direction=H","UseDPDF=Y")</f>
        <v>#NAME?</v>
      </c>
      <c r="BP20" s="2" t="e">
        <f ca="1">_xll.BDH($C$3,"MODIFIED_WORKING_CPTL_SEQ_GRWTH","FQ2 2017","FQ2 2017","Currency=INR","Period=FQ","BEST_FPERIOD_OVERRIDE=FQ","FILING_STATUS=OR","EQY_CONSOLIDATED=Y","Sort=A","Dates=H","DateFormat=P","Fill=—","Direction=H","UseDPDF=Y")</f>
        <v>#NAME?</v>
      </c>
      <c r="BQ20" s="2" t="e">
        <f ca="1">_xll.BDH($C$3,"WORKING_CAPITAL_SEQ_GROWTH","FQ2 2017","FQ2 2017","Currency=INR","Period=FQ","BEST_FPERIOD_OVERRIDE=FQ","FILING_STATUS=OR","EQY_CONSOLIDATED=Y","Sort=A","Dates=H","DateFormat=P","Fill=—","Direction=H","UseDPDF=Y")</f>
        <v>#NAME?</v>
      </c>
      <c r="BR20" s="2" t="e">
        <f ca="1">_xll.BDH($C$3,"ACCOUNTS_PAYABLE_SEQ_GROWTH","FQ2 2017","FQ2 2017","Currency=INR","Period=FQ","BEST_FPERIOD_OVERRIDE=FQ","FILING_STATUS=OR","EQY_CONSOLIDATED=Y","Sort=A","Dates=H","DateFormat=P","Fill=—","Direction=H","UseDPDF=Y")</f>
        <v>#NAME?</v>
      </c>
      <c r="BS20" s="2" t="e">
        <f ca="1">_xll.BDH($C$3,"ST_DEBT_SEQUENTIAL_GROWTH","FQ2 2017","FQ2 2017","Currency=INR","Period=FQ","BEST_FPERIOD_OVERRIDE=FQ","FILING_STATUS=OR","EQY_CONSOLIDATED=Y","Sort=A","Dates=H","DateFormat=P","Fill=—","Direction=H","UseDPDF=Y")</f>
        <v>#NAME?</v>
      </c>
      <c r="BT20" s="2" t="e">
        <f ca="1">_xll.BDH($C$3,"TOTAL_DEBT_SEQUENTIAL_GROWTH","FQ2 2017","FQ2 2017","Currency=INR","Period=FQ","BEST_FPERIOD_OVERRIDE=FQ","FILING_STATUS=OR","EQY_CONSOLIDATED=Y","Sort=A","Dates=H","DateFormat=P","Fill=—","Direction=H","UseDPDF=Y")</f>
        <v>#NAME?</v>
      </c>
      <c r="BU20" s="2" t="e">
        <f ca="1">_xll.BDH($C$3,"TOTAL_EQUITY_SEQUENTIAL_GROWTH","FQ2 2017","FQ2 2017","Currency=INR","Period=FQ","BEST_FPERIOD_OVERRIDE=FQ","FILING_STATUS=OR","EQY_CONSOLIDATED=Y","Sort=A","Dates=H","DateFormat=P","Fill=—","Direction=H","UseDPDF=Y")</f>
        <v>#NAME?</v>
      </c>
      <c r="BV20" s="2" t="e">
        <f ca="1">_xll.BDH($C$3,"TOTAL_CAPITAL_SEQUENTIAL_GROWTH","FQ2 2017","FQ2 2017","Currency=INR","Period=FQ","BEST_FPERIOD_OVERRIDE=FQ","FILING_STATUS=OR","EQY_CONSOLIDATED=Y","Sort=A","Dates=H","DateFormat=P","Fill=—","Direction=H","UseDPDF=Y")</f>
        <v>#NAME?</v>
      </c>
      <c r="BW20" s="2" t="e">
        <f ca="1">_xll.BDH($C$3,"BPS_SEQUENTIAL_GROWTH","FQ2 2017","FQ2 2017","Currency=INR","Period=FQ","BEST_FPERIOD_OVERRIDE=FQ","FILING_STATUS=OR","EQY_CONSOLIDATED=Y","Sort=A","Dates=H","DateFormat=P","Fill=—","Direction=H","UseDPDF=Y")</f>
        <v>#NAME?</v>
      </c>
      <c r="BX20" s="2" t="e">
        <f ca="1">_xll.BDH($C$3,"CFO_SEQUENTIAL_GROWTH","FQ2 2017","FQ2 2017","Currency=INR","Period=FQ","BEST_FPERIOD_OVERRIDE=FQ","FILING_STATUS=OR","EQY_CONSOLIDATED=Y","Sort=A","Dates=H","DateFormat=P","Fill=—","Direction=H","UseDPDF=Y")</f>
        <v>#NAME?</v>
      </c>
      <c r="BY20" s="3" t="e">
        <f ca="1">_xll.BDH($C$3,"SHORT_AND_LONG_TERM_DEBT","FQ2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0" s="3" t="e">
        <f ca="1">_xll.BDH($C$3,"BS_ST_BORROW","FQ2 2017","FQ2 2017","Currency=INR","Period=FQ","BEST_FPERIOD_OVERRIDE=FQ","FILING_STATUS=OR","EQY_CONSOLIDATED=Y","SCALING_FORMAT=MLN","Sort=A","Dates=H","DateFormat=P","Fill=—","Direction=H","UseDPDF=Y")</f>
        <v>#NAME?</v>
      </c>
      <c r="CA20" s="3" t="e">
        <f ca="1">_xll.BDH($C$3,"BS_LT_BORROW","FQ2 2017","FQ2 2017","Currency=INR","Period=FQ","BEST_FPERIOD_OVERRIDE=FQ","FILING_STATUS=OR","EQY_CONSOLIDATED=Y","SCALING_FORMAT=MLN","Sort=A","Dates=H","DateFormat=P","Fill=—","Direction=H","UseDPDF=Y")</f>
        <v>#NAME?</v>
      </c>
      <c r="CB20" s="2" t="e">
        <f ca="1">_xll.BDH($C$3,"TOT_DEBT_TO_EBITDA","FQ2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0" s="2" t="e">
        <f ca="1">_xll.BDH($C$3,"NET_DEBT_TO_EBITDA","FQ2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0" s="2" t="e">
        <f ca="1">_xll.BDH($C$3,"TOTAL_DEBT_TO_EBIT","FQ2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0" s="2" t="e">
        <f ca="1">_xll.BDH($C$3,"NET_DEBT_TO_EBIT","FQ2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0" s="2" t="e">
        <f ca="1">_xll.BDH($C$3,"EBITDA_TO_INTEREST_EXPN","FQ2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0" s="2" t="e">
        <f ca="1">_xll.BDH($C$3,"COM_EQY_TO_TOT_ASSET","FQ2 2017","FQ2 2017","Currency=INR","Period=FQ","BEST_FPERIOD_OVERRIDE=FQ","FILING_STATUS=OR","EQY_CONSOLIDATED=Y","Sort=A","Dates=H","DateFormat=P","Fill=—","Direction=H","UseDPDF=Y")</f>
        <v>#NAME?</v>
      </c>
      <c r="CH20" s="2" t="e">
        <f ca="1">_xll.BDH($C$3,"LT_DEBT_TO_TOT_EQY","FQ2 2017","FQ2 2017","Currency=INR","Period=FQ","BEST_FPERIOD_OVERRIDE=FQ","FILING_STATUS=OR","EQY_CONSOLIDATED=Y","Sort=A","Dates=H","DateFormat=P","Fill=—","Direction=H","UseDPDF=Y")</f>
        <v>#NAME?</v>
      </c>
      <c r="CI20" s="2" t="e">
        <f ca="1">_xll.BDH($C$3,"LT_DEBT_TO_TOT_CAP","FQ2 2017","FQ2 2017","Currency=INR","Period=FQ","BEST_FPERIOD_OVERRIDE=FQ","FILING_STATUS=OR","EQY_CONSOLIDATED=Y","Sort=A","Dates=H","DateFormat=P","Fill=—","Direction=H","UseDPDF=Y")</f>
        <v>#NAME?</v>
      </c>
      <c r="CJ20" s="2" t="e">
        <f ca="1">_xll.BDH($C$3,"LT_DEBT_TO_TOT_ASSET","FQ2 2017","FQ2 2017","Currency=INR","Period=FQ","BEST_FPERIOD_OVERRIDE=FQ","FILING_STATUS=OR","EQY_CONSOLIDATED=Y","Sort=A","Dates=H","DateFormat=P","Fill=—","Direction=H","UseDPDF=Y")</f>
        <v>#NAME?</v>
      </c>
      <c r="CK20" s="2" t="e">
        <f ca="1">_xll.BDH($C$3,"TOT_DEBT_TO_TOT_EQY","FQ2 2017","FQ2 2017","Currency=INR","Period=FQ","BEST_FPERIOD_OVERRIDE=FQ","FILING_STATUS=OR","EQY_CONSOLIDATED=Y","Sort=A","Dates=H","DateFormat=P","Fill=—","Direction=H","UseDPDF=Y")</f>
        <v>#NAME?</v>
      </c>
      <c r="CL20" s="2" t="e">
        <f ca="1">_xll.BDH($C$3,"TOT_DEBT_TO_TOT_CAP","FQ2 2017","FQ2 2017","Currency=INR","Period=FQ","BEST_FPERIOD_OVERRIDE=FQ","FILING_STATUS=OR","EQY_CONSOLIDATED=Y","Sort=A","Dates=H","DateFormat=P","Fill=—","Direction=H","UseDPDF=Y")</f>
        <v>#NAME?</v>
      </c>
      <c r="CM20" s="2" t="e">
        <f ca="1">_xll.BDH($C$3,"TOT_DEBT_TO_TOT_ASSET","FQ2 2017","FQ2 2017","Currency=INR","Period=FQ","BEST_FPERIOD_OVERRIDE=FQ","FILING_STATUS=OR","EQY_CONSOLIDATED=Y","Sort=A","Dates=H","DateFormat=P","Fill=—","Direction=H","UseDPDF=Y")</f>
        <v>#NAME?</v>
      </c>
      <c r="CN20" s="2" t="e">
        <f ca="1">_xll.BDH($C$3,"NET_DEBT_TO_SHRHLDR_EQTY","FQ2 2017","FQ2 2017","Currency=INR","Period=FQ","BEST_FPERIOD_OVERRIDE=FQ","FILING_STATUS=OR","EQY_CONSOLIDATED=Y","Sort=A","Dates=H","DateFormat=P","Fill=—","Direction=H","UseDPDF=Y")</f>
        <v>#NAME?</v>
      </c>
      <c r="CO20" s="2" t="e">
        <f ca="1">_xll.BDH($C$3,"NET_DEBT_%_CAPITAL","FQ2 2017","FQ2 2017","Currency=INR","Period=FQ","BEST_FPERIOD_OVERRIDE=FQ","FILING_STATUS=OR","EQY_CONSOLIDATED=Y","Sort=A","Dates=H","DateFormat=P","Fill=—","Direction=H","UseDPDF=Y")</f>
        <v>#NAME?</v>
      </c>
      <c r="CP20" s="3" t="e">
        <f ca="1">_xll.BDH($C$3,"EBITDA","FQ2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0" s="3" t="e">
        <f ca="1">_xll.BDH($C$3,"EBITDA_AFTER_CAPEX","FQ2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0" s="3" t="e">
        <f ca="1">_xll.BDH($C$3,"IS_OPER_INC","FQ2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0" s="2" t="e">
        <f ca="1">_xll.BDH($C$3,"CASH_RATIO","FQ2 2017","FQ2 2017","Currency=INR","Period=FQ","BEST_FPERIOD_OVERRIDE=FQ","FILING_STATUS=OR","EQY_CONSOLIDATED=Y","Sort=A","Dates=H","DateFormat=P","Fill=—","Direction=H","UseDPDF=Y")</f>
        <v>#NAME?</v>
      </c>
      <c r="CT20" s="2" t="e">
        <f ca="1">_xll.BDH($C$3,"CUR_RATIO","FQ2 2017","FQ2 2017","Currency=INR","Period=FQ","BEST_FPERIOD_OVERRIDE=FQ","FILING_STATUS=OR","EQY_CONSOLIDATED=Y","Sort=A","Dates=H","DateFormat=P","Fill=—","Direction=H","UseDPDF=Y")</f>
        <v>#NAME?</v>
      </c>
      <c r="CU20" s="2" t="e">
        <f ca="1">_xll.BDH($C$3,"QUICK_RATIO","FQ2 2017","FQ2 2017","Currency=INR","Period=FQ","BEST_FPERIOD_OVERRIDE=FQ","FILING_STATUS=OR","EQY_CONSOLIDATED=Y","Sort=A","Dates=H","DateFormat=P","Fill=—","Direction=H","UseDPDF=Y")</f>
        <v>#NAME?</v>
      </c>
      <c r="CV20" s="2" t="e">
        <f ca="1">_xll.BDH($C$3,"ALTMAN_Z_SCORE","FQ2 2017","FQ2 2017","Currency=INR","Period=FQ","BEST_FPERIOD_OVERRIDE=FQ","FILING_STATUS=OR","EQY_CONSOLIDATED=Y","Sort=A","Dates=H","DateFormat=P","Fill=—","Direction=H","UseDPDF=Y")</f>
        <v>#NAME?</v>
      </c>
      <c r="CW20" s="4" t="e">
        <f ca="1">_xll.BDH($C$3,"ACCT_RCV_TURN","FQ2 2017","FQ2 2017","Currency=INR","Period=FQ","BEST_FPERIOD_OVERRIDE=FQ","FILING_STATUS=OR","EQY_CONSOLIDATED=Y","FA_ADJUSTED=GAAP","Sort=A","Dates=H","DateFormat=P","Fill=—","Direction=H","UseDPDF=Y")</f>
        <v>#NAME?</v>
      </c>
      <c r="CX20" s="2" t="e">
        <f ca="1">_xll.BDH($C$3,"ACCT_RCV_DAYS","FQ2 2017","FQ2 2017","Currency=INR","Period=FQ","BEST_FPERIOD_OVERRIDE=FQ","FILING_STATUS=OR","EQY_CONSOLIDATED=Y","FA_ADJUSTED=GAAP","Sort=A","Dates=H","DateFormat=P","Fill=—","Direction=H","UseDPDF=Y")</f>
        <v>#NAME?</v>
      </c>
      <c r="CY20" s="4" t="e">
        <f ca="1">_xll.BDH($C$3,"INVENT_TURN","FQ2 2017","FQ2 2017","Currency=INR","Period=FQ","BEST_FPERIOD_OVERRIDE=FQ","FILING_STATUS=OR","EQY_CONSOLIDATED=Y","FA_ADJUSTED=GAAP","Sort=A","Dates=H","DateFormat=P","Fill=—","Direction=H","UseDPDF=Y")</f>
        <v>#NAME?</v>
      </c>
      <c r="CZ20" s="2" t="e">
        <f ca="1">_xll.BDH($C$3,"INVENT_DAYS","FQ2 2017","FQ2 2017","Currency=INR","Period=FQ","BEST_FPERIOD_OVERRIDE=FQ","FILING_STATUS=OR","EQY_CONSOLIDATED=Y","FA_ADJUSTED=GAAP","Sort=A","Dates=H","DateFormat=P","Fill=—","Direction=H","UseDPDF=Y")</f>
        <v>#NAME?</v>
      </c>
      <c r="DA20" s="4" t="e">
        <f ca="1">_xll.BDH($C$3,"ACCOUNTS_PAYABLE_TURNOVER","FQ2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0" s="2" t="e">
        <f ca="1">_xll.BDH($C$3,"ACCOUNTS_PAYABLE_TURNOVER_DAYS","FQ2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0" s="4" t="e">
        <f ca="1">_xll.BDH($C$3,"CASH_CONVERSION_CYCLE","FQ2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0" s="4" t="e">
        <f ca="1">_xll.BDH($C$3,"INV_TO_CASH_DAYS","FQ2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0" s="5" t="e">
        <f ca="1">_xll.BDH($C$3,"BS_INVENTORIES","FQ2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0" s="3" t="e">
        <f ca="1">_xll.BDH($C$3,"INVTRY_RAW_MATERIALS","FQ2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0" s="3" t="e">
        <f ca="1">_xll.BDH($C$3,"INVTRY_IN_PROGRESS","FQ2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0" s="3" t="e">
        <f ca="1">_xll.BDH($C$3,"INVTRY_FINISHED_GOODS","FQ2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0" s="3" t="e">
        <f ca="1">_xll.BDH($C$3,"BS_OTHER_INV","FQ2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1" spans="1:113" x14ac:dyDescent="0.3">
      <c r="A21" s="6"/>
      <c r="B21" s="6"/>
      <c r="C21" s="6"/>
      <c r="D21" s="6"/>
      <c r="E21" t="s">
        <v>80</v>
      </c>
      <c r="F21" t="e">
        <f ca="1">_xll.BDH($C$3,"RETURN_COM_EQY","FQ3 2017","FQ3 2017","Currency=INR","Period=FQ","BEST_FPERIOD_OVERRIDE=FQ","FILING_STATUS=OR","EQY_CONSOLIDATED=Y","FA_ADJUSTED=GAAP","Sort=A","Dates=H","DateFormat=P","Fill=—","Direction=H","UseDPDF=Y")</f>
        <v>#NAME?</v>
      </c>
      <c r="G21" t="e">
        <f ca="1">_xll.BDH($C$3,"RETURN_ON_ASSET","FQ3 2017","FQ3 2017","Currency=INR","Period=FQ","BEST_FPERIOD_OVERRIDE=FQ","FILING_STATUS=OR","EQY_CONSOLIDATED=Y","FA_ADJUSTED=GAAP","Sort=A","Dates=H","DateFormat=P","Fill=—","Direction=H","UseDPDF=Y")</f>
        <v>#NAME?</v>
      </c>
      <c r="H21" t="e">
        <f ca="1">_xll.BDH($C$3,"RETURN_ON_CAP","FQ3 2017","FQ3 2017","Currency=INR","Period=FQ","BEST_FPERIOD_OVERRIDE=FQ","FILING_STATUS=OR","EQY_CONSOLIDATED=Y","FA_ADJUSTED=GAAP","Sort=A","Dates=H","DateFormat=P","Fill=—","Direction=H","UseDPDF=Y")</f>
        <v>#NAME?</v>
      </c>
      <c r="I21" t="e">
        <f ca="1">_xll.BDH($C$3,"RETURN_ON_INV_CAPITAL","FQ3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1" t="e">
        <f ca="1">_xll.BDH($C$3,"EBITDA_TO_REVENUE","FQ3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1" t="e">
        <f ca="1">_xll.BDH($C$3,"OPER_MARGIN","FQ3 2017","FQ3 2017","Currency=INR","Period=FQ","BEST_FPERIOD_OVERRIDE=FQ","FILING_STATUS=OR","EQY_CONSOLIDATED=Y","FA_ADJUSTED=GAAP","Sort=A","Dates=H","DateFormat=P","Fill=—","Direction=H","UseDPDF=Y")</f>
        <v>#NAME?</v>
      </c>
      <c r="L21" t="e">
        <f ca="1">_xll.BDH($C$3,"INCREMENTAL_OPERATING_MARGIN","FQ3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1" t="e">
        <f ca="1">_xll.BDH($C$3,"PRETAX_INC_TO_NET_SALES","FQ3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1" t="e">
        <f ca="1">_xll.BDH($C$3,"INC_BEF_XO_ITEMS_TO_NET_SALES","FQ3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1" t="e">
        <f ca="1">_xll.BDH($C$3,"PROF_MARGIN","FQ3 2017","FQ3 2017","Currency=INR","Period=FQ","BEST_FPERIOD_OVERRIDE=FQ","FILING_STATUS=OR","EQY_CONSOLIDATED=Y","FA_ADJUSTED=GAAP","Sort=A","Dates=H","DateFormat=P","Fill=—","Direction=H","UseDPDF=Y")</f>
        <v>#NAME?</v>
      </c>
      <c r="P21" t="e">
        <f ca="1">_xll.BDH($C$3,"NET_INCOME_TO_COMMON_MARGIN","FQ3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1" t="e">
        <f ca="1">_xll.BDH($C$3,"EFF_TAX_RATE","FQ3 2017","FQ3 2017","Currency=INR","Period=FQ","BEST_FPERIOD_OVERRIDE=FQ","FILING_STATUS=OR","EQY_CONSOLIDATED=Y","FA_ADJUSTED=GAAP","Sort=A","Dates=H","DateFormat=P","Fill=—","Direction=H","UseDPDF=Y")</f>
        <v>#NAME?</v>
      </c>
      <c r="R21" t="e">
        <f ca="1">_xll.BDH($C$3,"DVD_PAYOUT_RATIO","FQ3 2017","FQ3 2017","Currency=INR","Period=FQ","BEST_FPERIOD_OVERRIDE=FQ","FILING_STATUS=OR","EQY_CONSOLIDATED=Y","FA_ADJUSTED=GAAP","Sort=A","Dates=H","DateFormat=P","Fill=—","Direction=H","UseDPDF=Y")</f>
        <v>#NAME?</v>
      </c>
      <c r="S21" t="e">
        <f ca="1">_xll.BDH($C$3,"SUSTAIN_GROWTH_RT","FQ3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1" s="2" t="e">
        <f ca="1">_xll.BDH($C$3,"SALES_GROWTH","FQ3 2017","FQ3 2017","Currency=INR","Period=FQ","BEST_FPERIOD_OVERRIDE=FQ","FILING_STATUS=OR","EQY_CONSOLIDATED=Y","FA_ADJUSTED=GAAP","Sort=A","Dates=H","DateFormat=P","Fill=—","Direction=H","UseDPDF=Y")</f>
        <v>#NAME?</v>
      </c>
      <c r="U21" s="2" t="e">
        <f ca="1">_xll.BDH($C$3,"EBITDA_GROWTH","FQ3 2017","FQ3 2017","Currency=INR","Period=FQ","BEST_FPERIOD_OVERRIDE=FQ","FILING_STATUS=OR","EQY_CONSOLIDATED=Y","FA_ADJUSTED=GAAP","Sort=A","Dates=H","DateFormat=P","Fill=—","Direction=H","UseDPDF=Y")</f>
        <v>#NAME?</v>
      </c>
      <c r="V21" s="2" t="e">
        <f ca="1">_xll.BDH($C$3,"OPER_INC_GROWTH","FQ3 2017","FQ3 2017","Currency=INR","Period=FQ","BEST_FPERIOD_OVERRIDE=FQ","FILING_STATUS=OR","EQY_CONSOLIDATED=Y","FA_ADJUSTED=GAAP","Sort=A","Dates=H","DateFormat=P","Fill=—","Direction=H","UseDPDF=Y")</f>
        <v>#NAME?</v>
      </c>
      <c r="W21" s="2" t="e">
        <f ca="1">_xll.BDH($C$3,"EARN_FOR_COM_GROWTH","FQ3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1" s="2" t="e">
        <f ca="1">_xll.BDH($C$3,"DILUTED_EPS_AFT_XO_ITEMS_GROWTH","FQ3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1" s="2" t="e">
        <f ca="1">_xll.BDH($C$3,"DIVIDEND_PER_SHARE_1_YEAR_GROWTH","FQ3 2017","FQ3 2017","Currency=INR","Period=FQ","BEST_FPERIOD_OVERRIDE=FQ","FILING_STATUS=OR","EQY_CONSOLIDATED=Y","Sort=A","Dates=H","DateFormat=P","Fill=—","Direction=H","UseDPDF=Y")</f>
        <v>#NAME?</v>
      </c>
      <c r="Z21" s="2" t="e">
        <f ca="1">_xll.BDH($C$3,"ACCOUNTS_RECEIVABLE_GROWTH","FQ3 2017","FQ3 2017","Currency=INR","Period=FQ","BEST_FPERIOD_OVERRIDE=FQ","FILING_STATUS=OR","EQY_CONSOLIDATED=Y","Sort=A","Dates=H","DateFormat=P","Fill=—","Direction=H","UseDPDF=Y")</f>
        <v>#NAME?</v>
      </c>
      <c r="AA21" s="2" t="e">
        <f ca="1">_xll.BDH($C$3,"INVENTORY_GROWTH","FQ3 2017","FQ3 2017","Currency=INR","Period=FQ","BEST_FPERIOD_OVERRIDE=FQ","FILING_STATUS=OR","EQY_CONSOLIDATED=Y","Sort=A","Dates=H","DateFormat=P","Fill=—","Direction=H","UseDPDF=Y")</f>
        <v>#NAME?</v>
      </c>
      <c r="AB21" s="2" t="e">
        <f ca="1">_xll.BDH($C$3,"NET_FIXED_ASSETS_1_YEAR_GROWTH","FQ3 2017","FQ3 2017","Currency=INR","Period=FQ","BEST_FPERIOD_OVERRIDE=FQ","FILING_STATUS=OR","EQY_CONSOLIDATED=Y","Sort=A","Dates=H","DateFormat=P","Fill=—","Direction=H","UseDPDF=Y")</f>
        <v>#NAME?</v>
      </c>
      <c r="AC21" s="2" t="e">
        <f ca="1">_xll.BDH($C$3,"ASSET_GROWTH","FQ3 2017","FQ3 2017","Currency=INR","Period=FQ","BEST_FPERIOD_OVERRIDE=FQ","FILING_STATUS=OR","EQY_CONSOLIDATED=Y","Sort=A","Dates=H","DateFormat=P","Fill=—","Direction=H","UseDPDF=Y")</f>
        <v>#NAME?</v>
      </c>
      <c r="AD21" s="2" t="e">
        <f ca="1">_xll.BDH($C$3,"MODIFIED_WORK_CAP_GROWTH","FQ3 2017","FQ3 2017","Currency=INR","Period=FQ","BEST_FPERIOD_OVERRIDE=FQ","FILING_STATUS=OR","EQY_CONSOLIDATED=Y","Sort=A","Dates=H","DateFormat=P","Fill=—","Direction=H","UseDPDF=Y")</f>
        <v>#NAME?</v>
      </c>
      <c r="AE21" s="2" t="e">
        <f ca="1">_xll.BDH($C$3,"WORK_CAP_GROWTH","FQ3 2017","FQ3 2017","Currency=INR","Period=FQ","BEST_FPERIOD_OVERRIDE=FQ","FILING_STATUS=OR","EQY_CONSOLIDATED=Y","Sort=A","Dates=H","DateFormat=P","Fill=—","Direction=H","UseDPDF=Y")</f>
        <v>#NAME?</v>
      </c>
      <c r="AF21" s="2" t="e">
        <f ca="1">_xll.BDH($C$3,"ACCOUNTS_PAYABLE_GROWTH_1YR","FQ3 2017","FQ3 2017","Currency=INR","Period=FQ","BEST_FPERIOD_OVERRIDE=FQ","FILING_STATUS=OR","EQY_CONSOLIDATED=Y","Sort=A","Dates=H","DateFormat=P","Fill=—","Direction=H","UseDPDF=Y")</f>
        <v>#NAME?</v>
      </c>
      <c r="AG21" s="2" t="e">
        <f ca="1">_xll.BDH($C$3,"SHORT_TERM_DEBT_1_YEAR_GROWTH","FQ3 2017","FQ3 2017","Currency=INR","Period=FQ","BEST_FPERIOD_OVERRIDE=FQ","FILING_STATUS=OR","EQY_CONSOLIDATED=Y","Sort=A","Dates=H","DateFormat=P","Fill=—","Direction=H","UseDPDF=Y")</f>
        <v>#NAME?</v>
      </c>
      <c r="AH21" s="2" t="e">
        <f ca="1">_xll.BDH($C$3,"TOTAL_DEBT_1_YEAR_GROWTH","FQ3 2017","FQ3 2017","Currency=INR","Period=FQ","BEST_FPERIOD_OVERRIDE=FQ","FILING_STATUS=OR","EQY_CONSOLIDATED=Y","Sort=A","Dates=H","DateFormat=P","Fill=—","Direction=H","UseDPDF=Y")</f>
        <v>#NAME?</v>
      </c>
      <c r="AI21" s="2" t="e">
        <f ca="1">_xll.BDH($C$3,"TOTAL_EQUITY_1_YEAR_GROWTH","FQ3 2017","FQ3 2017","Currency=INR","Period=FQ","BEST_FPERIOD_OVERRIDE=FQ","FILING_STATUS=OR","EQY_CONSOLIDATED=Y","Sort=A","Dates=H","DateFormat=P","Fill=—","Direction=H","UseDPDF=Y")</f>
        <v>#NAME?</v>
      </c>
      <c r="AJ21" s="2" t="e">
        <f ca="1">_xll.BDH($C$3,"GROWTH_IN_CAP","FQ3 2017","FQ3 2017","Currency=INR","Period=FQ","BEST_FPERIOD_OVERRIDE=FQ","FILING_STATUS=OR","EQY_CONSOLIDATED=Y","Sort=A","Dates=H","DateFormat=P","Fill=—","Direction=H","UseDPDF=Y")</f>
        <v>#NAME?</v>
      </c>
      <c r="AK21" s="2" t="e">
        <f ca="1">_xll.BDH($C$3,"BVPS_GROWTH","FQ3 2017","FQ3 2017","Currency=INR","Period=FQ","BEST_FPERIOD_OVERRIDE=FQ","FILING_STATUS=OR","EQY_CONSOLIDATED=Y","Sort=A","Dates=H","DateFormat=P","Fill=—","Direction=H","UseDPDF=Y")</f>
        <v>#NAME?</v>
      </c>
      <c r="AL21" s="2" t="e">
        <f ca="1">_xll.BDH($C$3,"CASH_FLOW_GROWTH","FQ3 2017","FQ3 2017","Currency=INR","Period=FQ","BEST_FPERIOD_OVERRIDE=FQ","FILING_STATUS=OR","EQY_CONSOLIDATED=Y","Sort=A","Dates=H","DateFormat=P","Fill=—","Direction=H","UseDPDF=Y")</f>
        <v>#NAME?</v>
      </c>
      <c r="AM21" s="2" t="e">
        <f ca="1">_xll.BDH($C$3,"GEO_GROW_NET_SALES","FQ3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1" s="2" t="e">
        <f ca="1">_xll.BDH($C$3,"GEO_GROW_EBITDA","FQ3 2017","FQ3 2017","Currency=INR","Period=FQ","BEST_FPERIOD_OVERRIDE=FQ","FILING_STATUS=OR","EQY_CONSOLIDATED=Y","FA_ADJUSTED=GAAP","Sort=A","Dates=H","DateFormat=P","Fill=—","Direction=H","UseDPDF=Y")</f>
        <v>#NAME?</v>
      </c>
      <c r="AO21" s="2" t="e">
        <f ca="1">_xll.BDH($C$3,"GEO_GROW_OPER_INC","FQ3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1" s="2" t="e">
        <f ca="1">_xll.BDH($C$3,"NET_INCOME_TO_COMMON_5_YR_GROWTH","FQ3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1" s="2" t="e">
        <f ca="1">_xll.BDH($C$3,"5Y_GEO_GROWTH_DILUTED_EPS","FQ3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1" s="2" t="e">
        <f ca="1">_xll.BDH($C$3,"GEO_GROW_DVD_PER_SH","FQ3 2017","FQ3 2017","Currency=INR","Period=FQ","BEST_FPERIOD_OVERRIDE=FQ","FILING_STATUS=OR","EQY_CONSOLIDATED=Y","Sort=A","Dates=H","DateFormat=P","Fill=—","Direction=H","UseDPDF=Y")</f>
        <v>#NAME?</v>
      </c>
      <c r="AS21" s="2" t="e">
        <f ca="1">_xll.BDH($C$3,"ACCOUNTS_RECEIVABLE_5_YR_GROWTH","FQ3 2017","FQ3 2017","Currency=INR","Period=FQ","BEST_FPERIOD_OVERRIDE=FQ","FILING_STATUS=OR","EQY_CONSOLIDATED=Y","Sort=A","Dates=H","DateFormat=P","Fill=—","Direction=H","UseDPDF=Y")</f>
        <v>#NAME?</v>
      </c>
      <c r="AT21" s="2" t="e">
        <f ca="1">_xll.BDH($C$3,"INVENTORY_5_YEAR_GROWTH","FQ3 2017","FQ3 2017","Currency=INR","Period=FQ","BEST_FPERIOD_OVERRIDE=FQ","FILING_STATUS=OR","EQY_CONSOLIDATED=Y","Sort=A","Dates=H","DateFormat=P","Fill=—","Direction=H","UseDPDF=Y")</f>
        <v>#NAME?</v>
      </c>
      <c r="AU21" s="2" t="e">
        <f ca="1">_xll.BDH($C$3,"NET_FIXED_ASSETS_5_YEAR_GROWTH","FQ3 2017","FQ3 2017","Currency=INR","Period=FQ","BEST_FPERIOD_OVERRIDE=FQ","FILING_STATUS=OR","EQY_CONSOLIDATED=Y","Sort=A","Dates=H","DateFormat=P","Fill=—","Direction=H","UseDPDF=Y")</f>
        <v>#NAME?</v>
      </c>
      <c r="AV21" s="2" t="e">
        <f ca="1">_xll.BDH($C$3,"GEO_GROW_TOT_ASSET","FQ3 2017","FQ3 2017","Currency=INR","Period=FQ","BEST_FPERIOD_OVERRIDE=FQ","FILING_STATUS=OR","EQY_CONSOLIDATED=Y","Sort=A","Dates=H","DateFormat=P","Fill=—","Direction=H","UseDPDF=Y")</f>
        <v>#NAME?</v>
      </c>
      <c r="AW21" s="2" t="e">
        <f ca="1">_xll.BDH($C$3,"MODIFIED_WORKING_CPTL_5YR_GRWTH","FQ3 2017","FQ3 2017","Currency=INR","Period=FQ","BEST_FPERIOD_OVERRIDE=FQ","FILING_STATUS=OR","EQY_CONSOLIDATED=Y","Sort=A","Dates=H","DateFormat=P","Fill=—","Direction=H","UseDPDF=Y")</f>
        <v>#NAME?</v>
      </c>
      <c r="AX21" s="2" t="e">
        <f ca="1">_xll.BDH($C$3,"WORKING_CAPITAL_5_YEAR_GROWTH","FQ3 2017","FQ3 2017","Currency=INR","Period=FQ","BEST_FPERIOD_OVERRIDE=FQ","FILING_STATUS=OR","EQY_CONSOLIDATED=Y","Sort=A","Dates=H","DateFormat=P","Fill=—","Direction=H","UseDPDF=Y")</f>
        <v>#NAME?</v>
      </c>
      <c r="AY21" s="2" t="e">
        <f ca="1">_xll.BDH($C$3,"ACCOUNTS_PAYABLE_5_YEAR_GROWTH","FQ3 2017","FQ3 2017","Currency=INR","Period=FQ","BEST_FPERIOD_OVERRIDE=FQ","FILING_STATUS=OR","EQY_CONSOLIDATED=Y","Sort=A","Dates=H","DateFormat=P","Fill=—","Direction=H","UseDPDF=Y")</f>
        <v>#NAME?</v>
      </c>
      <c r="AZ21" s="2" t="e">
        <f ca="1">_xll.BDH($C$3,"SHORT_TERM_DEBT_5_YEAR_GROWTH","FQ3 2017","FQ3 2017","Currency=INR","Period=FQ","BEST_FPERIOD_OVERRIDE=FQ","FILING_STATUS=OR","EQY_CONSOLIDATED=Y","Sort=A","Dates=H","DateFormat=P","Fill=—","Direction=H","UseDPDF=Y")</f>
        <v>#NAME?</v>
      </c>
      <c r="BA21" s="2" t="e">
        <f ca="1">_xll.BDH($C$3,"TOTAL_DEBT_5_YEAR_GROWTH","FQ3 2017","FQ3 2017","Currency=INR","Period=FQ","BEST_FPERIOD_OVERRIDE=FQ","FILING_STATUS=OR","EQY_CONSOLIDATED=Y","Sort=A","Dates=H","DateFormat=P","Fill=—","Direction=H","UseDPDF=Y")</f>
        <v>#NAME?</v>
      </c>
      <c r="BB21" s="2" t="e">
        <f ca="1">_xll.BDH($C$3,"GEO_GROW_TOT_SHRHLDR_EQY","FQ3 2017","FQ3 2017","Currency=INR","Period=FQ","BEST_FPERIOD_OVERRIDE=FQ","FILING_STATUS=OR","EQY_CONSOLIDATED=Y","Sort=A","Dates=H","DateFormat=P","Fill=—","Direction=H","UseDPDF=Y")</f>
        <v>#NAME?</v>
      </c>
      <c r="BC21" s="2" t="e">
        <f ca="1">_xll.BDH($C$3,"TOTAL_CAPITAL_5_YEAR_GROWTH","FQ3 2017","FQ3 2017","Currency=INR","Period=FQ","BEST_FPERIOD_OVERRIDE=FQ","FILING_STATUS=OR","EQY_CONSOLIDATED=Y","Sort=A","Dates=H","DateFormat=P","Fill=—","Direction=H","UseDPDF=Y")</f>
        <v>#NAME?</v>
      </c>
      <c r="BD21" s="2" t="e">
        <f ca="1">_xll.BDH($C$3,"GEO_GROW_BOOK_VAL","FQ3 2017","FQ3 2017","Currency=INR","Period=FQ","BEST_FPERIOD_OVERRIDE=FQ","FILING_STATUS=OR","EQY_CONSOLIDATED=Y","Sort=A","Dates=H","DateFormat=P","Fill=—","Direction=H","UseDPDF=Y")</f>
        <v>#NAME?</v>
      </c>
      <c r="BE21" s="2" t="e">
        <f ca="1">_xll.BDH($C$3,"GEO_GROW_CASH_OPER_ACT","FQ3 2017","FQ3 2017","Currency=INR","Period=FQ","BEST_FPERIOD_OVERRIDE=FQ","FILING_STATUS=OR","EQY_CONSOLIDATED=Y","Sort=A","Dates=H","DateFormat=P","Fill=—","Direction=H","UseDPDF=Y")</f>
        <v>#NAME?</v>
      </c>
      <c r="BF21" s="2" t="e">
        <f ca="1">_xll.BDH($C$3,"REVENUE_SEQUENTIAL_GROWTH","FQ3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1" s="2" t="e">
        <f ca="1">_xll.BDH($C$3,"EBITDA_SEQUENTIAL_GROWTH","FQ3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1" s="2" t="e">
        <f ca="1">_xll.BDH($C$3,"OPERATING_INCOME_SEQ_GROWTH","FQ3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1" s="2" t="e">
        <f ca="1">_xll.BDH($C$3,"NET_INCOME_TO_COMMON_SEQ_GROWTH","FQ3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1" s="2" t="e">
        <f ca="1">_xll.BDH($C$3,"EPS_DILUTED_SEQUENTIAL_GROWTH","FQ3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1" s="2" t="e">
        <f ca="1">_xll.BDH($C$3,"DPS_SEQUENTIAL_GROWTH","FQ3 2017","FQ3 2017","Currency=INR","Period=FQ","BEST_FPERIOD_OVERRIDE=FQ","FILING_STATUS=OR","EQY_CONSOLIDATED=Y","Sort=A","Dates=H","DateFormat=P","Fill=—","Direction=H","UseDPDF=Y")</f>
        <v>#NAME?</v>
      </c>
      <c r="BL21" s="2" t="e">
        <f ca="1">_xll.BDH($C$3,"ACCOUNTS_RECEIVABLE_SEQ_GROWTH","FQ3 2017","FQ3 2017","Currency=INR","Period=FQ","BEST_FPERIOD_OVERRIDE=FQ","FILING_STATUS=OR","EQY_CONSOLIDATED=Y","Sort=A","Dates=H","DateFormat=P","Fill=—","Direction=H","UseDPDF=Y")</f>
        <v>#NAME?</v>
      </c>
      <c r="BM21" s="2" t="e">
        <f ca="1">_xll.BDH($C$3,"INVENTORY_SEQUENTIAL_GROWTH","FQ3 2017","FQ3 2017","Currency=INR","Period=FQ","BEST_FPERIOD_OVERRIDE=FQ","FILING_STATUS=OR","EQY_CONSOLIDATED=Y","Sort=A","Dates=H","DateFormat=P","Fill=—","Direction=H","UseDPDF=Y")</f>
        <v>#NAME?</v>
      </c>
      <c r="BN21" s="2" t="e">
        <f ca="1">_xll.BDH($C$3,"FIXED_ASSETS_SEQUENTIAL_GROWTH","FQ3 2017","FQ3 2017","Currency=INR","Period=FQ","BEST_FPERIOD_OVERRIDE=FQ","FILING_STATUS=OR","EQY_CONSOLIDATED=Y","Sort=A","Dates=H","DateFormat=P","Fill=—","Direction=H","UseDPDF=Y")</f>
        <v>#NAME?</v>
      </c>
      <c r="BO21" s="2" t="e">
        <f ca="1">_xll.BDH($C$3,"TOTAL_ASSETS_SEQUENTIAL_GROWTH","FQ3 2017","FQ3 2017","Currency=INR","Period=FQ","BEST_FPERIOD_OVERRIDE=FQ","FILING_STATUS=OR","EQY_CONSOLIDATED=Y","Sort=A","Dates=H","DateFormat=P","Fill=—","Direction=H","UseDPDF=Y")</f>
        <v>#NAME?</v>
      </c>
      <c r="BP21" s="2" t="e">
        <f ca="1">_xll.BDH($C$3,"MODIFIED_WORKING_CPTL_SEQ_GRWTH","FQ3 2017","FQ3 2017","Currency=INR","Period=FQ","BEST_FPERIOD_OVERRIDE=FQ","FILING_STATUS=OR","EQY_CONSOLIDATED=Y","Sort=A","Dates=H","DateFormat=P","Fill=—","Direction=H","UseDPDF=Y")</f>
        <v>#NAME?</v>
      </c>
      <c r="BQ21" s="2" t="e">
        <f ca="1">_xll.BDH($C$3,"WORKING_CAPITAL_SEQ_GROWTH","FQ3 2017","FQ3 2017","Currency=INR","Period=FQ","BEST_FPERIOD_OVERRIDE=FQ","FILING_STATUS=OR","EQY_CONSOLIDATED=Y","Sort=A","Dates=H","DateFormat=P","Fill=—","Direction=H","UseDPDF=Y")</f>
        <v>#NAME?</v>
      </c>
      <c r="BR21" s="2" t="e">
        <f ca="1">_xll.BDH($C$3,"ACCOUNTS_PAYABLE_SEQ_GROWTH","FQ3 2017","FQ3 2017","Currency=INR","Period=FQ","BEST_FPERIOD_OVERRIDE=FQ","FILING_STATUS=OR","EQY_CONSOLIDATED=Y","Sort=A","Dates=H","DateFormat=P","Fill=—","Direction=H","UseDPDF=Y")</f>
        <v>#NAME?</v>
      </c>
      <c r="BS21" s="2" t="e">
        <f ca="1">_xll.BDH($C$3,"ST_DEBT_SEQUENTIAL_GROWTH","FQ3 2017","FQ3 2017","Currency=INR","Period=FQ","BEST_FPERIOD_OVERRIDE=FQ","FILING_STATUS=OR","EQY_CONSOLIDATED=Y","Sort=A","Dates=H","DateFormat=P","Fill=—","Direction=H","UseDPDF=Y")</f>
        <v>#NAME?</v>
      </c>
      <c r="BT21" s="2" t="e">
        <f ca="1">_xll.BDH($C$3,"TOTAL_DEBT_SEQUENTIAL_GROWTH","FQ3 2017","FQ3 2017","Currency=INR","Period=FQ","BEST_FPERIOD_OVERRIDE=FQ","FILING_STATUS=OR","EQY_CONSOLIDATED=Y","Sort=A","Dates=H","DateFormat=P","Fill=—","Direction=H","UseDPDF=Y")</f>
        <v>#NAME?</v>
      </c>
      <c r="BU21" s="2" t="e">
        <f ca="1">_xll.BDH($C$3,"TOTAL_EQUITY_SEQUENTIAL_GROWTH","FQ3 2017","FQ3 2017","Currency=INR","Period=FQ","BEST_FPERIOD_OVERRIDE=FQ","FILING_STATUS=OR","EQY_CONSOLIDATED=Y","Sort=A","Dates=H","DateFormat=P","Fill=—","Direction=H","UseDPDF=Y")</f>
        <v>#NAME?</v>
      </c>
      <c r="BV21" s="2" t="e">
        <f ca="1">_xll.BDH($C$3,"TOTAL_CAPITAL_SEQUENTIAL_GROWTH","FQ3 2017","FQ3 2017","Currency=INR","Period=FQ","BEST_FPERIOD_OVERRIDE=FQ","FILING_STATUS=OR","EQY_CONSOLIDATED=Y","Sort=A","Dates=H","DateFormat=P","Fill=—","Direction=H","UseDPDF=Y")</f>
        <v>#NAME?</v>
      </c>
      <c r="BW21" s="2" t="e">
        <f ca="1">_xll.BDH($C$3,"BPS_SEQUENTIAL_GROWTH","FQ3 2017","FQ3 2017","Currency=INR","Period=FQ","BEST_FPERIOD_OVERRIDE=FQ","FILING_STATUS=OR","EQY_CONSOLIDATED=Y","Sort=A","Dates=H","DateFormat=P","Fill=—","Direction=H","UseDPDF=Y")</f>
        <v>#NAME?</v>
      </c>
      <c r="BX21" s="2" t="e">
        <f ca="1">_xll.BDH($C$3,"CFO_SEQUENTIAL_GROWTH","FQ3 2017","FQ3 2017","Currency=INR","Period=FQ","BEST_FPERIOD_OVERRIDE=FQ","FILING_STATUS=OR","EQY_CONSOLIDATED=Y","Sort=A","Dates=H","DateFormat=P","Fill=—","Direction=H","UseDPDF=Y")</f>
        <v>#NAME?</v>
      </c>
      <c r="BY21" s="3" t="e">
        <f ca="1">_xll.BDH($C$3,"SHORT_AND_LONG_TERM_DEBT","FQ3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1" s="3" t="e">
        <f ca="1">_xll.BDH($C$3,"BS_ST_BORROW","FQ3 2017","FQ3 2017","Currency=INR","Period=FQ","BEST_FPERIOD_OVERRIDE=FQ","FILING_STATUS=OR","EQY_CONSOLIDATED=Y","SCALING_FORMAT=MLN","Sort=A","Dates=H","DateFormat=P","Fill=—","Direction=H","UseDPDF=Y")</f>
        <v>#NAME?</v>
      </c>
      <c r="CA21" s="3" t="e">
        <f ca="1">_xll.BDH($C$3,"BS_LT_BORROW","FQ3 2017","FQ3 2017","Currency=INR","Period=FQ","BEST_FPERIOD_OVERRIDE=FQ","FILING_STATUS=OR","EQY_CONSOLIDATED=Y","SCALING_FORMAT=MLN","Sort=A","Dates=H","DateFormat=P","Fill=—","Direction=H","UseDPDF=Y")</f>
        <v>#NAME?</v>
      </c>
      <c r="CB21" s="2" t="e">
        <f ca="1">_xll.BDH($C$3,"TOT_DEBT_TO_EBITDA","FQ3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1" s="2" t="e">
        <f ca="1">_xll.BDH($C$3,"NET_DEBT_TO_EBITDA","FQ3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1" s="2" t="e">
        <f ca="1">_xll.BDH($C$3,"TOTAL_DEBT_TO_EBIT","FQ3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1" s="2" t="e">
        <f ca="1">_xll.BDH($C$3,"NET_DEBT_TO_EBIT","FQ3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1" s="2" t="e">
        <f ca="1">_xll.BDH($C$3,"EBITDA_TO_INTEREST_EXPN","FQ3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1" s="2" t="e">
        <f ca="1">_xll.BDH($C$3,"COM_EQY_TO_TOT_ASSET","FQ3 2017","FQ3 2017","Currency=INR","Period=FQ","BEST_FPERIOD_OVERRIDE=FQ","FILING_STATUS=OR","EQY_CONSOLIDATED=Y","Sort=A","Dates=H","DateFormat=P","Fill=—","Direction=H","UseDPDF=Y")</f>
        <v>#NAME?</v>
      </c>
      <c r="CH21" s="2" t="e">
        <f ca="1">_xll.BDH($C$3,"LT_DEBT_TO_TOT_EQY","FQ3 2017","FQ3 2017","Currency=INR","Period=FQ","BEST_FPERIOD_OVERRIDE=FQ","FILING_STATUS=OR","EQY_CONSOLIDATED=Y","Sort=A","Dates=H","DateFormat=P","Fill=—","Direction=H","UseDPDF=Y")</f>
        <v>#NAME?</v>
      </c>
      <c r="CI21" s="2" t="e">
        <f ca="1">_xll.BDH($C$3,"LT_DEBT_TO_TOT_CAP","FQ3 2017","FQ3 2017","Currency=INR","Period=FQ","BEST_FPERIOD_OVERRIDE=FQ","FILING_STATUS=OR","EQY_CONSOLIDATED=Y","Sort=A","Dates=H","DateFormat=P","Fill=—","Direction=H","UseDPDF=Y")</f>
        <v>#NAME?</v>
      </c>
      <c r="CJ21" s="2" t="e">
        <f ca="1">_xll.BDH($C$3,"LT_DEBT_TO_TOT_ASSET","FQ3 2017","FQ3 2017","Currency=INR","Period=FQ","BEST_FPERIOD_OVERRIDE=FQ","FILING_STATUS=OR","EQY_CONSOLIDATED=Y","Sort=A","Dates=H","DateFormat=P","Fill=—","Direction=H","UseDPDF=Y")</f>
        <v>#NAME?</v>
      </c>
      <c r="CK21" s="2" t="e">
        <f ca="1">_xll.BDH($C$3,"TOT_DEBT_TO_TOT_EQY","FQ3 2017","FQ3 2017","Currency=INR","Period=FQ","BEST_FPERIOD_OVERRIDE=FQ","FILING_STATUS=OR","EQY_CONSOLIDATED=Y","Sort=A","Dates=H","DateFormat=P","Fill=—","Direction=H","UseDPDF=Y")</f>
        <v>#NAME?</v>
      </c>
      <c r="CL21" s="2" t="e">
        <f ca="1">_xll.BDH($C$3,"TOT_DEBT_TO_TOT_CAP","FQ3 2017","FQ3 2017","Currency=INR","Period=FQ","BEST_FPERIOD_OVERRIDE=FQ","FILING_STATUS=OR","EQY_CONSOLIDATED=Y","Sort=A","Dates=H","DateFormat=P","Fill=—","Direction=H","UseDPDF=Y")</f>
        <v>#NAME?</v>
      </c>
      <c r="CM21" s="2" t="e">
        <f ca="1">_xll.BDH($C$3,"TOT_DEBT_TO_TOT_ASSET","FQ3 2017","FQ3 2017","Currency=INR","Period=FQ","BEST_FPERIOD_OVERRIDE=FQ","FILING_STATUS=OR","EQY_CONSOLIDATED=Y","Sort=A","Dates=H","DateFormat=P","Fill=—","Direction=H","UseDPDF=Y")</f>
        <v>#NAME?</v>
      </c>
      <c r="CN21" s="2" t="e">
        <f ca="1">_xll.BDH($C$3,"NET_DEBT_TO_SHRHLDR_EQTY","FQ3 2017","FQ3 2017","Currency=INR","Period=FQ","BEST_FPERIOD_OVERRIDE=FQ","FILING_STATUS=OR","EQY_CONSOLIDATED=Y","Sort=A","Dates=H","DateFormat=P","Fill=—","Direction=H","UseDPDF=Y")</f>
        <v>#NAME?</v>
      </c>
      <c r="CO21" s="2" t="e">
        <f ca="1">_xll.BDH($C$3,"NET_DEBT_%_CAPITAL","FQ3 2017","FQ3 2017","Currency=INR","Period=FQ","BEST_FPERIOD_OVERRIDE=FQ","FILING_STATUS=OR","EQY_CONSOLIDATED=Y","Sort=A","Dates=H","DateFormat=P","Fill=—","Direction=H","UseDPDF=Y")</f>
        <v>#NAME?</v>
      </c>
      <c r="CP21" s="3" t="e">
        <f ca="1">_xll.BDH($C$3,"EBITDA","FQ3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1" s="3" t="e">
        <f ca="1">_xll.BDH($C$3,"EBITDA_AFTER_CAPEX","FQ3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1" s="3" t="e">
        <f ca="1">_xll.BDH($C$3,"IS_OPER_INC","FQ3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1" s="2" t="e">
        <f ca="1">_xll.BDH($C$3,"CASH_RATIO","FQ3 2017","FQ3 2017","Currency=INR","Period=FQ","BEST_FPERIOD_OVERRIDE=FQ","FILING_STATUS=OR","EQY_CONSOLIDATED=Y","Sort=A","Dates=H","DateFormat=P","Fill=—","Direction=H","UseDPDF=Y")</f>
        <v>#NAME?</v>
      </c>
      <c r="CT21" s="2" t="e">
        <f ca="1">_xll.BDH($C$3,"CUR_RATIO","FQ3 2017","FQ3 2017","Currency=INR","Period=FQ","BEST_FPERIOD_OVERRIDE=FQ","FILING_STATUS=OR","EQY_CONSOLIDATED=Y","Sort=A","Dates=H","DateFormat=P","Fill=—","Direction=H","UseDPDF=Y")</f>
        <v>#NAME?</v>
      </c>
      <c r="CU21" s="2" t="e">
        <f ca="1">_xll.BDH($C$3,"QUICK_RATIO","FQ3 2017","FQ3 2017","Currency=INR","Period=FQ","BEST_FPERIOD_OVERRIDE=FQ","FILING_STATUS=OR","EQY_CONSOLIDATED=Y","Sort=A","Dates=H","DateFormat=P","Fill=—","Direction=H","UseDPDF=Y")</f>
        <v>#NAME?</v>
      </c>
      <c r="CV21" s="2" t="e">
        <f ca="1">_xll.BDH($C$3,"ALTMAN_Z_SCORE","FQ3 2017","FQ3 2017","Currency=INR","Period=FQ","BEST_FPERIOD_OVERRIDE=FQ","FILING_STATUS=OR","EQY_CONSOLIDATED=Y","Sort=A","Dates=H","DateFormat=P","Fill=—","Direction=H","UseDPDF=Y")</f>
        <v>#NAME?</v>
      </c>
      <c r="CW21" s="4" t="e">
        <f ca="1">_xll.BDH($C$3,"ACCT_RCV_TURN","FQ3 2017","FQ3 2017","Currency=INR","Period=FQ","BEST_FPERIOD_OVERRIDE=FQ","FILING_STATUS=OR","EQY_CONSOLIDATED=Y","FA_ADJUSTED=GAAP","Sort=A","Dates=H","DateFormat=P","Fill=—","Direction=H","UseDPDF=Y")</f>
        <v>#NAME?</v>
      </c>
      <c r="CX21" s="2" t="e">
        <f ca="1">_xll.BDH($C$3,"ACCT_RCV_DAYS","FQ3 2017","FQ3 2017","Currency=INR","Period=FQ","BEST_FPERIOD_OVERRIDE=FQ","FILING_STATUS=OR","EQY_CONSOLIDATED=Y","FA_ADJUSTED=GAAP","Sort=A","Dates=H","DateFormat=P","Fill=—","Direction=H","UseDPDF=Y")</f>
        <v>#NAME?</v>
      </c>
      <c r="CY21" s="4" t="e">
        <f ca="1">_xll.BDH($C$3,"INVENT_TURN","FQ3 2017","FQ3 2017","Currency=INR","Period=FQ","BEST_FPERIOD_OVERRIDE=FQ","FILING_STATUS=OR","EQY_CONSOLIDATED=Y","FA_ADJUSTED=GAAP","Sort=A","Dates=H","DateFormat=P","Fill=—","Direction=H","UseDPDF=Y")</f>
        <v>#NAME?</v>
      </c>
      <c r="CZ21" s="2" t="e">
        <f ca="1">_xll.BDH($C$3,"INVENT_DAYS","FQ3 2017","FQ3 2017","Currency=INR","Period=FQ","BEST_FPERIOD_OVERRIDE=FQ","FILING_STATUS=OR","EQY_CONSOLIDATED=Y","FA_ADJUSTED=GAAP","Sort=A","Dates=H","DateFormat=P","Fill=—","Direction=H","UseDPDF=Y")</f>
        <v>#NAME?</v>
      </c>
      <c r="DA21" s="4" t="e">
        <f ca="1">_xll.BDH($C$3,"ACCOUNTS_PAYABLE_TURNOVER","FQ3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1" s="2" t="e">
        <f ca="1">_xll.BDH($C$3,"ACCOUNTS_PAYABLE_TURNOVER_DAYS","FQ3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1" s="4" t="e">
        <f ca="1">_xll.BDH($C$3,"CASH_CONVERSION_CYCLE","FQ3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1" s="4" t="e">
        <f ca="1">_xll.BDH($C$3,"INV_TO_CASH_DAYS","FQ3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1" s="5" t="e">
        <f ca="1">_xll.BDH($C$3,"BS_INVENTORIES","FQ3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1" s="3" t="e">
        <f ca="1">_xll.BDH($C$3,"INVTRY_RAW_MATERIALS","FQ3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1" s="3" t="e">
        <f ca="1">_xll.BDH($C$3,"INVTRY_IN_PROGRESS","FQ3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1" s="3" t="e">
        <f ca="1">_xll.BDH($C$3,"INVTRY_FINISHED_GOODS","FQ3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1" s="3" t="e">
        <f ca="1">_xll.BDH($C$3,"BS_OTHER_INV","FQ3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" spans="1:113" x14ac:dyDescent="0.3">
      <c r="A22" s="6"/>
      <c r="B22" s="6"/>
      <c r="C22" s="6"/>
      <c r="D22" s="6"/>
      <c r="E22" t="s">
        <v>81</v>
      </c>
      <c r="F22" t="e">
        <f ca="1">_xll.BDH($C$3,"RETURN_COM_EQY","FQ4 2017","FQ4 2017","Currency=INR","Period=FQ","BEST_FPERIOD_OVERRIDE=FQ","FILING_STATUS=OR","EQY_CONSOLIDATED=Y","FA_ADJUSTED=GAAP","Sort=A","Dates=H","DateFormat=P","Fill=—","Direction=H","UseDPDF=Y")</f>
        <v>#NAME?</v>
      </c>
      <c r="G22" t="e">
        <f ca="1">_xll.BDH($C$3,"RETURN_ON_ASSET","FQ4 2017","FQ4 2017","Currency=INR","Period=FQ","BEST_FPERIOD_OVERRIDE=FQ","FILING_STATUS=OR","EQY_CONSOLIDATED=Y","FA_ADJUSTED=GAAP","Sort=A","Dates=H","DateFormat=P","Fill=—","Direction=H","UseDPDF=Y")</f>
        <v>#NAME?</v>
      </c>
      <c r="H22" t="e">
        <f ca="1">_xll.BDH($C$3,"RETURN_ON_CAP","FQ4 2017","FQ4 2017","Currency=INR","Period=FQ","BEST_FPERIOD_OVERRIDE=FQ","FILING_STATUS=OR","EQY_CONSOLIDATED=Y","FA_ADJUSTED=GAAP","Sort=A","Dates=H","DateFormat=P","Fill=—","Direction=H","UseDPDF=Y")</f>
        <v>#NAME?</v>
      </c>
      <c r="I22" t="e">
        <f ca="1">_xll.BDH($C$3,"RETURN_ON_INV_CAPITAL","FQ4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" t="e">
        <f ca="1">_xll.BDH($C$3,"EBITDA_TO_REVENUE","FQ4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" t="e">
        <f ca="1">_xll.BDH($C$3,"OPER_MARGIN","FQ4 2017","FQ4 2017","Currency=INR","Period=FQ","BEST_FPERIOD_OVERRIDE=FQ","FILING_STATUS=OR","EQY_CONSOLIDATED=Y","FA_ADJUSTED=GAAP","Sort=A","Dates=H","DateFormat=P","Fill=—","Direction=H","UseDPDF=Y")</f>
        <v>#NAME?</v>
      </c>
      <c r="L22" t="e">
        <f ca="1">_xll.BDH($C$3,"INCREMENTAL_OPERATING_MARGIN","FQ4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" t="e">
        <f ca="1">_xll.BDH($C$3,"PRETAX_INC_TO_NET_SALES","FQ4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" t="e">
        <f ca="1">_xll.BDH($C$3,"INC_BEF_XO_ITEMS_TO_NET_SALES","FQ4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" t="e">
        <f ca="1">_xll.BDH($C$3,"PROF_MARGIN","FQ4 2017","FQ4 2017","Currency=INR","Period=FQ","BEST_FPERIOD_OVERRIDE=FQ","FILING_STATUS=OR","EQY_CONSOLIDATED=Y","FA_ADJUSTED=GAAP","Sort=A","Dates=H","DateFormat=P","Fill=—","Direction=H","UseDPDF=Y")</f>
        <v>#NAME?</v>
      </c>
      <c r="P22" t="e">
        <f ca="1">_xll.BDH($C$3,"NET_INCOME_TO_COMMON_MARGIN","FQ4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" t="e">
        <f ca="1">_xll.BDH($C$3,"EFF_TAX_RATE","FQ4 2017","FQ4 2017","Currency=INR","Period=FQ","BEST_FPERIOD_OVERRIDE=FQ","FILING_STATUS=OR","EQY_CONSOLIDATED=Y","FA_ADJUSTED=GAAP","Sort=A","Dates=H","DateFormat=P","Fill=—","Direction=H","UseDPDF=Y")</f>
        <v>#NAME?</v>
      </c>
      <c r="R22" t="e">
        <f ca="1">_xll.BDH($C$3,"DVD_PAYOUT_RATIO","FQ4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" t="e">
        <f ca="1">_xll.BDH($C$3,"SUSTAIN_GROWTH_RT","FQ4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" s="2" t="e">
        <f ca="1">_xll.BDH($C$3,"SALES_GROWTH","FQ4 2017","FQ4 2017","Currency=INR","Period=FQ","BEST_FPERIOD_OVERRIDE=FQ","FILING_STATUS=OR","EQY_CONSOLIDATED=Y","FA_ADJUSTED=GAAP","Sort=A","Dates=H","DateFormat=P","Fill=—","Direction=H","UseDPDF=Y")</f>
        <v>#NAME?</v>
      </c>
      <c r="U22" s="2" t="e">
        <f ca="1">_xll.BDH($C$3,"EBITDA_GROWTH","FQ4 2017","FQ4 2017","Currency=INR","Period=FQ","BEST_FPERIOD_OVERRIDE=FQ","FILING_STATUS=OR","EQY_CONSOLIDATED=Y","FA_ADJUSTED=GAAP","Sort=A","Dates=H","DateFormat=P","Fill=—","Direction=H","UseDPDF=Y")</f>
        <v>#NAME?</v>
      </c>
      <c r="V22" s="2" t="e">
        <f ca="1">_xll.BDH($C$3,"OPER_INC_GROWTH","FQ4 2017","FQ4 2017","Currency=INR","Period=FQ","BEST_FPERIOD_OVERRIDE=FQ","FILING_STATUS=OR","EQY_CONSOLIDATED=Y","FA_ADJUSTED=GAAP","Sort=A","Dates=H","DateFormat=P","Fill=—","Direction=H","UseDPDF=Y")</f>
        <v>#NAME?</v>
      </c>
      <c r="W22" s="2" t="e">
        <f ca="1">_xll.BDH($C$3,"EARN_FOR_COM_GROWTH","FQ4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" s="2" t="e">
        <f ca="1">_xll.BDH($C$3,"DILUTED_EPS_AFT_XO_ITEMS_GROWTH","FQ4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" s="2" t="e">
        <f ca="1">_xll.BDH($C$3,"DIVIDEND_PER_SHARE_1_YEAR_GROWTH","FQ4 2017","FQ4 2017","Currency=INR","Period=FQ","BEST_FPERIOD_OVERRIDE=FQ","FILING_STATUS=OR","EQY_CONSOLIDATED=Y","Sort=A","Dates=H","DateFormat=P","Fill=—","Direction=H","UseDPDF=Y")</f>
        <v>#NAME?</v>
      </c>
      <c r="Z22" s="2" t="e">
        <f ca="1">_xll.BDH($C$3,"ACCOUNTS_RECEIVABLE_GROWTH","FQ4 2017","FQ4 2017","Currency=INR","Period=FQ","BEST_FPERIOD_OVERRIDE=FQ","FILING_STATUS=OR","EQY_CONSOLIDATED=Y","Sort=A","Dates=H","DateFormat=P","Fill=—","Direction=H","UseDPDF=Y")</f>
        <v>#NAME?</v>
      </c>
      <c r="AA22" s="2" t="e">
        <f ca="1">_xll.BDH($C$3,"INVENTORY_GROWTH","FQ4 2017","FQ4 2017","Currency=INR","Period=FQ","BEST_FPERIOD_OVERRIDE=FQ","FILING_STATUS=OR","EQY_CONSOLIDATED=Y","Sort=A","Dates=H","DateFormat=P","Fill=—","Direction=H","UseDPDF=Y")</f>
        <v>#NAME?</v>
      </c>
      <c r="AB22" s="2" t="e">
        <f ca="1">_xll.BDH($C$3,"NET_FIXED_ASSETS_1_YEAR_GROWTH","FQ4 2017","FQ4 2017","Currency=INR","Period=FQ","BEST_FPERIOD_OVERRIDE=FQ","FILING_STATUS=OR","EQY_CONSOLIDATED=Y","Sort=A","Dates=H","DateFormat=P","Fill=—","Direction=H","UseDPDF=Y")</f>
        <v>#NAME?</v>
      </c>
      <c r="AC22" s="2" t="e">
        <f ca="1">_xll.BDH($C$3,"ASSET_GROWTH","FQ4 2017","FQ4 2017","Currency=INR","Period=FQ","BEST_FPERIOD_OVERRIDE=FQ","FILING_STATUS=OR","EQY_CONSOLIDATED=Y","Sort=A","Dates=H","DateFormat=P","Fill=—","Direction=H","UseDPDF=Y")</f>
        <v>#NAME?</v>
      </c>
      <c r="AD22" s="2" t="e">
        <f ca="1">_xll.BDH($C$3,"MODIFIED_WORK_CAP_GROWTH","FQ4 2017","FQ4 2017","Currency=INR","Period=FQ","BEST_FPERIOD_OVERRIDE=FQ","FILING_STATUS=OR","EQY_CONSOLIDATED=Y","Sort=A","Dates=H","DateFormat=P","Fill=—","Direction=H","UseDPDF=Y")</f>
        <v>#NAME?</v>
      </c>
      <c r="AE22" s="2" t="e">
        <f ca="1">_xll.BDH($C$3,"WORK_CAP_GROWTH","FQ4 2017","FQ4 2017","Currency=INR","Period=FQ","BEST_FPERIOD_OVERRIDE=FQ","FILING_STATUS=OR","EQY_CONSOLIDATED=Y","Sort=A","Dates=H","DateFormat=P","Fill=—","Direction=H","UseDPDF=Y")</f>
        <v>#NAME?</v>
      </c>
      <c r="AF22" s="2" t="e">
        <f ca="1">_xll.BDH($C$3,"ACCOUNTS_PAYABLE_GROWTH_1YR","FQ4 2017","FQ4 2017","Currency=INR","Period=FQ","BEST_FPERIOD_OVERRIDE=FQ","FILING_STATUS=OR","EQY_CONSOLIDATED=Y","Sort=A","Dates=H","DateFormat=P","Fill=—","Direction=H","UseDPDF=Y")</f>
        <v>#NAME?</v>
      </c>
      <c r="AG22" s="2" t="e">
        <f ca="1">_xll.BDH($C$3,"SHORT_TERM_DEBT_1_YEAR_GROWTH","FQ4 2017","FQ4 2017","Currency=INR","Period=FQ","BEST_FPERIOD_OVERRIDE=FQ","FILING_STATUS=OR","EQY_CONSOLIDATED=Y","Sort=A","Dates=H","DateFormat=P","Fill=—","Direction=H","UseDPDF=Y")</f>
        <v>#NAME?</v>
      </c>
      <c r="AH22" s="2" t="e">
        <f ca="1">_xll.BDH($C$3,"TOTAL_DEBT_1_YEAR_GROWTH","FQ4 2017","FQ4 2017","Currency=INR","Period=FQ","BEST_FPERIOD_OVERRIDE=FQ","FILING_STATUS=OR","EQY_CONSOLIDATED=Y","Sort=A","Dates=H","DateFormat=P","Fill=—","Direction=H","UseDPDF=Y")</f>
        <v>#NAME?</v>
      </c>
      <c r="AI22" s="2" t="e">
        <f ca="1">_xll.BDH($C$3,"TOTAL_EQUITY_1_YEAR_GROWTH","FQ4 2017","FQ4 2017","Currency=INR","Period=FQ","BEST_FPERIOD_OVERRIDE=FQ","FILING_STATUS=OR","EQY_CONSOLIDATED=Y","Sort=A","Dates=H","DateFormat=P","Fill=—","Direction=H","UseDPDF=Y")</f>
        <v>#NAME?</v>
      </c>
      <c r="AJ22" s="2" t="e">
        <f ca="1">_xll.BDH($C$3,"GROWTH_IN_CAP","FQ4 2017","FQ4 2017","Currency=INR","Period=FQ","BEST_FPERIOD_OVERRIDE=FQ","FILING_STATUS=OR","EQY_CONSOLIDATED=Y","Sort=A","Dates=H","DateFormat=P","Fill=—","Direction=H","UseDPDF=Y")</f>
        <v>#NAME?</v>
      </c>
      <c r="AK22" s="2" t="e">
        <f ca="1">_xll.BDH($C$3,"BVPS_GROWTH","FQ4 2017","FQ4 2017","Currency=INR","Period=FQ","BEST_FPERIOD_OVERRIDE=FQ","FILING_STATUS=OR","EQY_CONSOLIDATED=Y","Sort=A","Dates=H","DateFormat=P","Fill=—","Direction=H","UseDPDF=Y")</f>
        <v>#NAME?</v>
      </c>
      <c r="AL22" s="2" t="e">
        <f ca="1">_xll.BDH($C$3,"CASH_FLOW_GROWTH","FQ4 2017","FQ4 2017","Currency=INR","Period=FQ","BEST_FPERIOD_OVERRIDE=FQ","FILING_STATUS=OR","EQY_CONSOLIDATED=Y","Sort=A","Dates=H","DateFormat=P","Fill=—","Direction=H","UseDPDF=Y")</f>
        <v>#NAME?</v>
      </c>
      <c r="AM22" s="2" t="e">
        <f ca="1">_xll.BDH($C$3,"GEO_GROW_NET_SALES","FQ4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" s="2" t="e">
        <f ca="1">_xll.BDH($C$3,"GEO_GROW_EBITDA","FQ4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" s="2" t="e">
        <f ca="1">_xll.BDH($C$3,"GEO_GROW_OPER_INC","FQ4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" s="2" t="e">
        <f ca="1">_xll.BDH($C$3,"NET_INCOME_TO_COMMON_5_YR_GROWTH","FQ4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" s="2" t="e">
        <f ca="1">_xll.BDH($C$3,"5Y_GEO_GROWTH_DILUTED_EPS","FQ4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" s="2" t="e">
        <f ca="1">_xll.BDH($C$3,"GEO_GROW_DVD_PER_SH","FQ4 2017","FQ4 2017","Currency=INR","Period=FQ","BEST_FPERIOD_OVERRIDE=FQ","FILING_STATUS=OR","EQY_CONSOLIDATED=Y","Sort=A","Dates=H","DateFormat=P","Fill=—","Direction=H","UseDPDF=Y")</f>
        <v>#NAME?</v>
      </c>
      <c r="AS22" s="2" t="e">
        <f ca="1">_xll.BDH($C$3,"ACCOUNTS_RECEIVABLE_5_YR_GROWTH","FQ4 2017","FQ4 2017","Currency=INR","Period=FQ","BEST_FPERIOD_OVERRIDE=FQ","FILING_STATUS=OR","EQY_CONSOLIDATED=Y","Sort=A","Dates=H","DateFormat=P","Fill=—","Direction=H","UseDPDF=Y")</f>
        <v>#NAME?</v>
      </c>
      <c r="AT22" s="2" t="e">
        <f ca="1">_xll.BDH($C$3,"INVENTORY_5_YEAR_GROWTH","FQ4 2017","FQ4 2017","Currency=INR","Period=FQ","BEST_FPERIOD_OVERRIDE=FQ","FILING_STATUS=OR","EQY_CONSOLIDATED=Y","Sort=A","Dates=H","DateFormat=P","Fill=—","Direction=H","UseDPDF=Y")</f>
        <v>#NAME?</v>
      </c>
      <c r="AU22" s="2" t="e">
        <f ca="1">_xll.BDH($C$3,"NET_FIXED_ASSETS_5_YEAR_GROWTH","FQ4 2017","FQ4 2017","Currency=INR","Period=FQ","BEST_FPERIOD_OVERRIDE=FQ","FILING_STATUS=OR","EQY_CONSOLIDATED=Y","Sort=A","Dates=H","DateFormat=P","Fill=—","Direction=H","UseDPDF=Y")</f>
        <v>#NAME?</v>
      </c>
      <c r="AV22" s="2" t="e">
        <f ca="1">_xll.BDH($C$3,"GEO_GROW_TOT_ASSET","FQ4 2017","FQ4 2017","Currency=INR","Period=FQ","BEST_FPERIOD_OVERRIDE=FQ","FILING_STATUS=OR","EQY_CONSOLIDATED=Y","Sort=A","Dates=H","DateFormat=P","Fill=—","Direction=H","UseDPDF=Y")</f>
        <v>#NAME?</v>
      </c>
      <c r="AW22" s="2" t="e">
        <f ca="1">_xll.BDH($C$3,"MODIFIED_WORKING_CPTL_5YR_GRWTH","FQ4 2017","FQ4 2017","Currency=INR","Period=FQ","BEST_FPERIOD_OVERRIDE=FQ","FILING_STATUS=OR","EQY_CONSOLIDATED=Y","Sort=A","Dates=H","DateFormat=P","Fill=—","Direction=H","UseDPDF=Y")</f>
        <v>#NAME?</v>
      </c>
      <c r="AX22" s="2" t="e">
        <f ca="1">_xll.BDH($C$3,"WORKING_CAPITAL_5_YEAR_GROWTH","FQ4 2017","FQ4 2017","Currency=INR","Period=FQ","BEST_FPERIOD_OVERRIDE=FQ","FILING_STATUS=OR","EQY_CONSOLIDATED=Y","Sort=A","Dates=H","DateFormat=P","Fill=—","Direction=H","UseDPDF=Y")</f>
        <v>#NAME?</v>
      </c>
      <c r="AY22" s="2" t="e">
        <f ca="1">_xll.BDH($C$3,"ACCOUNTS_PAYABLE_5_YEAR_GROWTH","FQ4 2017","FQ4 2017","Currency=INR","Period=FQ","BEST_FPERIOD_OVERRIDE=FQ","FILING_STATUS=OR","EQY_CONSOLIDATED=Y","Sort=A","Dates=H","DateFormat=P","Fill=—","Direction=H","UseDPDF=Y")</f>
        <v>#NAME?</v>
      </c>
      <c r="AZ22" s="2" t="e">
        <f ca="1">_xll.BDH($C$3,"SHORT_TERM_DEBT_5_YEAR_GROWTH","FQ4 2017","FQ4 2017","Currency=INR","Period=FQ","BEST_FPERIOD_OVERRIDE=FQ","FILING_STATUS=OR","EQY_CONSOLIDATED=Y","Sort=A","Dates=H","DateFormat=P","Fill=—","Direction=H","UseDPDF=Y")</f>
        <v>#NAME?</v>
      </c>
      <c r="BA22" s="2" t="e">
        <f ca="1">_xll.BDH($C$3,"TOTAL_DEBT_5_YEAR_GROWTH","FQ4 2017","FQ4 2017","Currency=INR","Period=FQ","BEST_FPERIOD_OVERRIDE=FQ","FILING_STATUS=OR","EQY_CONSOLIDATED=Y","Sort=A","Dates=H","DateFormat=P","Fill=—","Direction=H","UseDPDF=Y")</f>
        <v>#NAME?</v>
      </c>
      <c r="BB22" s="2" t="e">
        <f ca="1">_xll.BDH($C$3,"GEO_GROW_TOT_SHRHLDR_EQY","FQ4 2017","FQ4 2017","Currency=INR","Period=FQ","BEST_FPERIOD_OVERRIDE=FQ","FILING_STATUS=OR","EQY_CONSOLIDATED=Y","Sort=A","Dates=H","DateFormat=P","Fill=—","Direction=H","UseDPDF=Y")</f>
        <v>#NAME?</v>
      </c>
      <c r="BC22" s="2" t="e">
        <f ca="1">_xll.BDH($C$3,"TOTAL_CAPITAL_5_YEAR_GROWTH","FQ4 2017","FQ4 2017","Currency=INR","Period=FQ","BEST_FPERIOD_OVERRIDE=FQ","FILING_STATUS=OR","EQY_CONSOLIDATED=Y","Sort=A","Dates=H","DateFormat=P","Fill=—","Direction=H","UseDPDF=Y")</f>
        <v>#NAME?</v>
      </c>
      <c r="BD22" s="2" t="e">
        <f ca="1">_xll.BDH($C$3,"GEO_GROW_BOOK_VAL","FQ4 2017","FQ4 2017","Currency=INR","Period=FQ","BEST_FPERIOD_OVERRIDE=FQ","FILING_STATUS=OR","EQY_CONSOLIDATED=Y","Sort=A","Dates=H","DateFormat=P","Fill=—","Direction=H","UseDPDF=Y")</f>
        <v>#NAME?</v>
      </c>
      <c r="BE22" s="2" t="e">
        <f ca="1">_xll.BDH($C$3,"GEO_GROW_CASH_OPER_ACT","FQ4 2017","FQ4 2017","Currency=INR","Period=FQ","BEST_FPERIOD_OVERRIDE=FQ","FILING_STATUS=OR","EQY_CONSOLIDATED=Y","Sort=A","Dates=H","DateFormat=P","Fill=—","Direction=H","UseDPDF=Y")</f>
        <v>#NAME?</v>
      </c>
      <c r="BF22" s="2" t="e">
        <f ca="1">_xll.BDH($C$3,"REVENUE_SEQUENTIAL_GROWTH","FQ4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" s="2" t="e">
        <f ca="1">_xll.BDH($C$3,"EBITDA_SEQUENTIAL_GROWTH","FQ4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" s="2" t="e">
        <f ca="1">_xll.BDH($C$3,"OPERATING_INCOME_SEQ_GROWTH","FQ4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" s="2" t="e">
        <f ca="1">_xll.BDH($C$3,"NET_INCOME_TO_COMMON_SEQ_GROWTH","FQ4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" s="2" t="e">
        <f ca="1">_xll.BDH($C$3,"EPS_DILUTED_SEQUENTIAL_GROWTH","FQ4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" s="2" t="e">
        <f ca="1">_xll.BDH($C$3,"DPS_SEQUENTIAL_GROWTH","FQ4 2017","FQ4 2017","Currency=INR","Period=FQ","BEST_FPERIOD_OVERRIDE=FQ","FILING_STATUS=OR","EQY_CONSOLIDATED=Y","Sort=A","Dates=H","DateFormat=P","Fill=—","Direction=H","UseDPDF=Y")</f>
        <v>#NAME?</v>
      </c>
      <c r="BL22" s="2" t="e">
        <f ca="1">_xll.BDH($C$3,"ACCOUNTS_RECEIVABLE_SEQ_GROWTH","FQ4 2017","FQ4 2017","Currency=INR","Period=FQ","BEST_FPERIOD_OVERRIDE=FQ","FILING_STATUS=OR","EQY_CONSOLIDATED=Y","Sort=A","Dates=H","DateFormat=P","Fill=—","Direction=H","UseDPDF=Y")</f>
        <v>#NAME?</v>
      </c>
      <c r="BM22" s="2" t="e">
        <f ca="1">_xll.BDH($C$3,"INVENTORY_SEQUENTIAL_GROWTH","FQ4 2017","FQ4 2017","Currency=INR","Period=FQ","BEST_FPERIOD_OVERRIDE=FQ","FILING_STATUS=OR","EQY_CONSOLIDATED=Y","Sort=A","Dates=H","DateFormat=P","Fill=—","Direction=H","UseDPDF=Y")</f>
        <v>#NAME?</v>
      </c>
      <c r="BN22" s="2" t="e">
        <f ca="1">_xll.BDH($C$3,"FIXED_ASSETS_SEQUENTIAL_GROWTH","FQ4 2017","FQ4 2017","Currency=INR","Period=FQ","BEST_FPERIOD_OVERRIDE=FQ","FILING_STATUS=OR","EQY_CONSOLIDATED=Y","Sort=A","Dates=H","DateFormat=P","Fill=—","Direction=H","UseDPDF=Y")</f>
        <v>#NAME?</v>
      </c>
      <c r="BO22" s="2" t="e">
        <f ca="1">_xll.BDH($C$3,"TOTAL_ASSETS_SEQUENTIAL_GROWTH","FQ4 2017","FQ4 2017","Currency=INR","Period=FQ","BEST_FPERIOD_OVERRIDE=FQ","FILING_STATUS=OR","EQY_CONSOLIDATED=Y","Sort=A","Dates=H","DateFormat=P","Fill=—","Direction=H","UseDPDF=Y")</f>
        <v>#NAME?</v>
      </c>
      <c r="BP22" s="2" t="e">
        <f ca="1">_xll.BDH($C$3,"MODIFIED_WORKING_CPTL_SEQ_GRWTH","FQ4 2017","FQ4 2017","Currency=INR","Period=FQ","BEST_FPERIOD_OVERRIDE=FQ","FILING_STATUS=OR","EQY_CONSOLIDATED=Y","Sort=A","Dates=H","DateFormat=P","Fill=—","Direction=H","UseDPDF=Y")</f>
        <v>#NAME?</v>
      </c>
      <c r="BQ22" s="2" t="e">
        <f ca="1">_xll.BDH($C$3,"WORKING_CAPITAL_SEQ_GROWTH","FQ4 2017","FQ4 2017","Currency=INR","Period=FQ","BEST_FPERIOD_OVERRIDE=FQ","FILING_STATUS=OR","EQY_CONSOLIDATED=Y","Sort=A","Dates=H","DateFormat=P","Fill=—","Direction=H","UseDPDF=Y")</f>
        <v>#NAME?</v>
      </c>
      <c r="BR22" s="2" t="e">
        <f ca="1">_xll.BDH($C$3,"ACCOUNTS_PAYABLE_SEQ_GROWTH","FQ4 2017","FQ4 2017","Currency=INR","Period=FQ","BEST_FPERIOD_OVERRIDE=FQ","FILING_STATUS=OR","EQY_CONSOLIDATED=Y","Sort=A","Dates=H","DateFormat=P","Fill=—","Direction=H","UseDPDF=Y")</f>
        <v>#NAME?</v>
      </c>
      <c r="BS22" s="2" t="e">
        <f ca="1">_xll.BDH($C$3,"ST_DEBT_SEQUENTIAL_GROWTH","FQ4 2017","FQ4 2017","Currency=INR","Period=FQ","BEST_FPERIOD_OVERRIDE=FQ","FILING_STATUS=OR","EQY_CONSOLIDATED=Y","Sort=A","Dates=H","DateFormat=P","Fill=—","Direction=H","UseDPDF=Y")</f>
        <v>#NAME?</v>
      </c>
      <c r="BT22" s="2" t="e">
        <f ca="1">_xll.BDH($C$3,"TOTAL_DEBT_SEQUENTIAL_GROWTH","FQ4 2017","FQ4 2017","Currency=INR","Period=FQ","BEST_FPERIOD_OVERRIDE=FQ","FILING_STATUS=OR","EQY_CONSOLIDATED=Y","Sort=A","Dates=H","DateFormat=P","Fill=—","Direction=H","UseDPDF=Y")</f>
        <v>#NAME?</v>
      </c>
      <c r="BU22" s="2" t="e">
        <f ca="1">_xll.BDH($C$3,"TOTAL_EQUITY_SEQUENTIAL_GROWTH","FQ4 2017","FQ4 2017","Currency=INR","Period=FQ","BEST_FPERIOD_OVERRIDE=FQ","FILING_STATUS=OR","EQY_CONSOLIDATED=Y","Sort=A","Dates=H","DateFormat=P","Fill=—","Direction=H","UseDPDF=Y")</f>
        <v>#NAME?</v>
      </c>
      <c r="BV22" s="2" t="e">
        <f ca="1">_xll.BDH($C$3,"TOTAL_CAPITAL_SEQUENTIAL_GROWTH","FQ4 2017","FQ4 2017","Currency=INR","Period=FQ","BEST_FPERIOD_OVERRIDE=FQ","FILING_STATUS=OR","EQY_CONSOLIDATED=Y","Sort=A","Dates=H","DateFormat=P","Fill=—","Direction=H","UseDPDF=Y")</f>
        <v>#NAME?</v>
      </c>
      <c r="BW22" s="2" t="e">
        <f ca="1">_xll.BDH($C$3,"BPS_SEQUENTIAL_GROWTH","FQ4 2017","FQ4 2017","Currency=INR","Period=FQ","BEST_FPERIOD_OVERRIDE=FQ","FILING_STATUS=OR","EQY_CONSOLIDATED=Y","Sort=A","Dates=H","DateFormat=P","Fill=—","Direction=H","UseDPDF=Y")</f>
        <v>#NAME?</v>
      </c>
      <c r="BX22" s="2" t="e">
        <f ca="1">_xll.BDH($C$3,"CFO_SEQUENTIAL_GROWTH","FQ4 2017","FQ4 2017","Currency=INR","Period=FQ","BEST_FPERIOD_OVERRIDE=FQ","FILING_STATUS=OR","EQY_CONSOLIDATED=Y","Sort=A","Dates=H","DateFormat=P","Fill=—","Direction=H","UseDPDF=Y")</f>
        <v>#NAME?</v>
      </c>
      <c r="BY22" s="3" t="e">
        <f ca="1">_xll.BDH($C$3,"SHORT_AND_LONG_TERM_DEBT","FQ4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" s="3" t="e">
        <f ca="1">_xll.BDH($C$3,"BS_ST_BORROW","FQ4 2017","FQ4 2017","Currency=INR","Period=FQ","BEST_FPERIOD_OVERRIDE=FQ","FILING_STATUS=OR","EQY_CONSOLIDATED=Y","SCALING_FORMAT=MLN","Sort=A","Dates=H","DateFormat=P","Fill=—","Direction=H","UseDPDF=Y")</f>
        <v>#NAME?</v>
      </c>
      <c r="CA22" s="3" t="e">
        <f ca="1">_xll.BDH($C$3,"BS_LT_BORROW","FQ4 2017","FQ4 2017","Currency=INR","Period=FQ","BEST_FPERIOD_OVERRIDE=FQ","FILING_STATUS=OR","EQY_CONSOLIDATED=Y","SCALING_FORMAT=MLN","Sort=A","Dates=H","DateFormat=P","Fill=—","Direction=H","UseDPDF=Y")</f>
        <v>#NAME?</v>
      </c>
      <c r="CB22" s="2" t="e">
        <f ca="1">_xll.BDH($C$3,"TOT_DEBT_TO_EBITDA","FQ4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" s="2" t="e">
        <f ca="1">_xll.BDH($C$3,"NET_DEBT_TO_EBITDA","FQ4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" s="2" t="e">
        <f ca="1">_xll.BDH($C$3,"TOTAL_DEBT_TO_EBIT","FQ4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" s="2" t="e">
        <f ca="1">_xll.BDH($C$3,"NET_DEBT_TO_EBIT","FQ4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" s="2" t="e">
        <f ca="1">_xll.BDH($C$3,"EBITDA_TO_INTEREST_EXPN","FQ4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" s="2" t="e">
        <f ca="1">_xll.BDH($C$3,"COM_EQY_TO_TOT_ASSET","FQ4 2017","FQ4 2017","Currency=INR","Period=FQ","BEST_FPERIOD_OVERRIDE=FQ","FILING_STATUS=OR","EQY_CONSOLIDATED=Y","Sort=A","Dates=H","DateFormat=P","Fill=—","Direction=H","UseDPDF=Y")</f>
        <v>#NAME?</v>
      </c>
      <c r="CH22" s="2" t="e">
        <f ca="1">_xll.BDH($C$3,"LT_DEBT_TO_TOT_EQY","FQ4 2017","FQ4 2017","Currency=INR","Period=FQ","BEST_FPERIOD_OVERRIDE=FQ","FILING_STATUS=OR","EQY_CONSOLIDATED=Y","Sort=A","Dates=H","DateFormat=P","Fill=—","Direction=H","UseDPDF=Y")</f>
        <v>#NAME?</v>
      </c>
      <c r="CI22" s="2" t="e">
        <f ca="1">_xll.BDH($C$3,"LT_DEBT_TO_TOT_CAP","FQ4 2017","FQ4 2017","Currency=INR","Period=FQ","BEST_FPERIOD_OVERRIDE=FQ","FILING_STATUS=OR","EQY_CONSOLIDATED=Y","Sort=A","Dates=H","DateFormat=P","Fill=—","Direction=H","UseDPDF=Y")</f>
        <v>#NAME?</v>
      </c>
      <c r="CJ22" s="2" t="e">
        <f ca="1">_xll.BDH($C$3,"LT_DEBT_TO_TOT_ASSET","FQ4 2017","FQ4 2017","Currency=INR","Period=FQ","BEST_FPERIOD_OVERRIDE=FQ","FILING_STATUS=OR","EQY_CONSOLIDATED=Y","Sort=A","Dates=H","DateFormat=P","Fill=—","Direction=H","UseDPDF=Y")</f>
        <v>#NAME?</v>
      </c>
      <c r="CK22" s="2" t="e">
        <f ca="1">_xll.BDH($C$3,"TOT_DEBT_TO_TOT_EQY","FQ4 2017","FQ4 2017","Currency=INR","Period=FQ","BEST_FPERIOD_OVERRIDE=FQ","FILING_STATUS=OR","EQY_CONSOLIDATED=Y","Sort=A","Dates=H","DateFormat=P","Fill=—","Direction=H","UseDPDF=Y")</f>
        <v>#NAME?</v>
      </c>
      <c r="CL22" s="2" t="e">
        <f ca="1">_xll.BDH($C$3,"TOT_DEBT_TO_TOT_CAP","FQ4 2017","FQ4 2017","Currency=INR","Period=FQ","BEST_FPERIOD_OVERRIDE=FQ","FILING_STATUS=OR","EQY_CONSOLIDATED=Y","Sort=A","Dates=H","DateFormat=P","Fill=—","Direction=H","UseDPDF=Y")</f>
        <v>#NAME?</v>
      </c>
      <c r="CM22" s="2" t="e">
        <f ca="1">_xll.BDH($C$3,"TOT_DEBT_TO_TOT_ASSET","FQ4 2017","FQ4 2017","Currency=INR","Period=FQ","BEST_FPERIOD_OVERRIDE=FQ","FILING_STATUS=OR","EQY_CONSOLIDATED=Y","Sort=A","Dates=H","DateFormat=P","Fill=—","Direction=H","UseDPDF=Y")</f>
        <v>#NAME?</v>
      </c>
      <c r="CN22" s="2" t="e">
        <f ca="1">_xll.BDH($C$3,"NET_DEBT_TO_SHRHLDR_EQTY","FQ4 2017","FQ4 2017","Currency=INR","Period=FQ","BEST_FPERIOD_OVERRIDE=FQ","FILING_STATUS=OR","EQY_CONSOLIDATED=Y","Sort=A","Dates=H","DateFormat=P","Fill=—","Direction=H","UseDPDF=Y")</f>
        <v>#NAME?</v>
      </c>
      <c r="CO22" s="2" t="e">
        <f ca="1">_xll.BDH($C$3,"NET_DEBT_%_CAPITAL","FQ4 2017","FQ4 2017","Currency=INR","Period=FQ","BEST_FPERIOD_OVERRIDE=FQ","FILING_STATUS=OR","EQY_CONSOLIDATED=Y","Sort=A","Dates=H","DateFormat=P","Fill=—","Direction=H","UseDPDF=Y")</f>
        <v>#NAME?</v>
      </c>
      <c r="CP22" s="3" t="e">
        <f ca="1">_xll.BDH($C$3,"EBITDA","FQ4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" s="3" t="e">
        <f ca="1">_xll.BDH($C$3,"EBITDA_AFTER_CAPEX","FQ4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" s="3" t="e">
        <f ca="1">_xll.BDH($C$3,"IS_OPER_INC","FQ4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" s="2" t="e">
        <f ca="1">_xll.BDH($C$3,"CASH_RATIO","FQ4 2017","FQ4 2017","Currency=INR","Period=FQ","BEST_FPERIOD_OVERRIDE=FQ","FILING_STATUS=OR","EQY_CONSOLIDATED=Y","Sort=A","Dates=H","DateFormat=P","Fill=—","Direction=H","UseDPDF=Y")</f>
        <v>#NAME?</v>
      </c>
      <c r="CT22" s="2" t="e">
        <f ca="1">_xll.BDH($C$3,"CUR_RATIO","FQ4 2017","FQ4 2017","Currency=INR","Period=FQ","BEST_FPERIOD_OVERRIDE=FQ","FILING_STATUS=OR","EQY_CONSOLIDATED=Y","Sort=A","Dates=H","DateFormat=P","Fill=—","Direction=H","UseDPDF=Y")</f>
        <v>#NAME?</v>
      </c>
      <c r="CU22" s="2" t="e">
        <f ca="1">_xll.BDH($C$3,"QUICK_RATIO","FQ4 2017","FQ4 2017","Currency=INR","Period=FQ","BEST_FPERIOD_OVERRIDE=FQ","FILING_STATUS=OR","EQY_CONSOLIDATED=Y","Sort=A","Dates=H","DateFormat=P","Fill=—","Direction=H","UseDPDF=Y")</f>
        <v>#NAME?</v>
      </c>
      <c r="CV22" s="2" t="e">
        <f ca="1">_xll.BDH($C$3,"ALTMAN_Z_SCORE","FQ4 2017","FQ4 2017","Currency=INR","Period=FQ","BEST_FPERIOD_OVERRIDE=FQ","FILING_STATUS=OR","EQY_CONSOLIDATED=Y","Sort=A","Dates=H","DateFormat=P","Fill=—","Direction=H","UseDPDF=Y")</f>
        <v>#NAME?</v>
      </c>
      <c r="CW22" s="4" t="e">
        <f ca="1">_xll.BDH($C$3,"ACCT_RCV_TURN","FQ4 2017","FQ4 2017","Currency=INR","Period=FQ","BEST_FPERIOD_OVERRIDE=FQ","FILING_STATUS=OR","EQY_CONSOLIDATED=Y","FA_ADJUSTED=GAAP","Sort=A","Dates=H","DateFormat=P","Fill=—","Direction=H","UseDPDF=Y")</f>
        <v>#NAME?</v>
      </c>
      <c r="CX22" s="2" t="e">
        <f ca="1">_xll.BDH($C$3,"ACCT_RCV_DAYS","FQ4 2017","FQ4 2017","Currency=INR","Period=FQ","BEST_FPERIOD_OVERRIDE=FQ","FILING_STATUS=OR","EQY_CONSOLIDATED=Y","FA_ADJUSTED=GAAP","Sort=A","Dates=H","DateFormat=P","Fill=—","Direction=H","UseDPDF=Y")</f>
        <v>#NAME?</v>
      </c>
      <c r="CY22" s="4" t="e">
        <f ca="1">_xll.BDH($C$3,"INVENT_TURN","FQ4 2017","FQ4 2017","Currency=INR","Period=FQ","BEST_FPERIOD_OVERRIDE=FQ","FILING_STATUS=OR","EQY_CONSOLIDATED=Y","FA_ADJUSTED=GAAP","Sort=A","Dates=H","DateFormat=P","Fill=—","Direction=H","UseDPDF=Y")</f>
        <v>#NAME?</v>
      </c>
      <c r="CZ22" s="2" t="e">
        <f ca="1">_xll.BDH($C$3,"INVENT_DAYS","FQ4 2017","FQ4 2017","Currency=INR","Period=FQ","BEST_FPERIOD_OVERRIDE=FQ","FILING_STATUS=OR","EQY_CONSOLIDATED=Y","FA_ADJUSTED=GAAP","Sort=A","Dates=H","DateFormat=P","Fill=—","Direction=H","UseDPDF=Y")</f>
        <v>#NAME?</v>
      </c>
      <c r="DA22" s="4" t="e">
        <f ca="1">_xll.BDH($C$3,"ACCOUNTS_PAYABLE_TURNOVER","FQ4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" s="2" t="e">
        <f ca="1">_xll.BDH($C$3,"ACCOUNTS_PAYABLE_TURNOVER_DAYS","FQ4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" s="4" t="e">
        <f ca="1">_xll.BDH($C$3,"CASH_CONVERSION_CYCLE","FQ4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" s="4" t="e">
        <f ca="1">_xll.BDH($C$3,"INV_TO_CASH_DAYS","FQ4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" s="5" t="e">
        <f ca="1">_xll.BDH($C$3,"BS_INVENTORIES","FQ4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" s="3" t="e">
        <f ca="1">_xll.BDH($C$3,"INVTRY_RAW_MATERIALS","FQ4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" s="3" t="e">
        <f ca="1">_xll.BDH($C$3,"INVTRY_IN_PROGRESS","FQ4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" s="3" t="e">
        <f ca="1">_xll.BDH($C$3,"INVTRY_FINISHED_GOODS","FQ4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" s="3" t="e">
        <f ca="1">_xll.BDH($C$3,"BS_OTHER_INV","FQ4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3" spans="1:113" x14ac:dyDescent="0.3">
      <c r="A23" s="6"/>
      <c r="B23" s="6"/>
      <c r="C23" s="6"/>
      <c r="D23" s="6" t="s">
        <v>85</v>
      </c>
      <c r="E23" t="s">
        <v>77</v>
      </c>
      <c r="F23" t="e">
        <f ca="1">_xll.BDH($C$3,"RETURN_COM_EQY","FY 2018","FY 2018","Currency=INR","Period=FY","BEST_FPERIOD_OVERRIDE=FY","FILING_STATUS=OR","EQY_CONSOLIDATED=Y","FA_ADJUSTED=GAAP","Sort=A","Dates=H","DateFormat=P","Fill=—","Direction=H","UseDPDF=Y")</f>
        <v>#NAME?</v>
      </c>
      <c r="G23" t="e">
        <f ca="1">_xll.BDH($C$3,"RETURN_ON_ASSET","FY 2018","FY 2018","Currency=INR","Period=FY","BEST_FPERIOD_OVERRIDE=FY","FILING_STATUS=OR","EQY_CONSOLIDATED=Y","FA_ADJUSTED=GAAP","Sort=A","Dates=H","DateFormat=P","Fill=—","Direction=H","UseDPDF=Y")</f>
        <v>#NAME?</v>
      </c>
      <c r="H23" t="e">
        <f ca="1">_xll.BDH($C$3,"RETURN_ON_CAP","FY 2018","FY 2018","Currency=INR","Period=FY","BEST_FPERIOD_OVERRIDE=FY","FILING_STATUS=OR","EQY_CONSOLIDATED=Y","FA_ADJUSTED=GAAP","Sort=A","Dates=H","DateFormat=P","Fill=—","Direction=H","UseDPDF=Y")</f>
        <v>#NAME?</v>
      </c>
      <c r="I23" t="e">
        <f ca="1">_xll.BDH($C$3,"RETURN_ON_INV_CAPITAL","FY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3" t="e">
        <f ca="1">_xll.BDH($C$3,"EBITDA_TO_REVENUE","FY 2018","FY 2018","Currency=INR","Period=FY","BEST_FPERIOD_OVERRIDE=FY","FILING_STATUS=OR","EQY_CONSOLIDATED=Y","FA_ADJUSTED=GAAP","Sort=A","Dates=H","DateFormat=P","Fill=—","Direction=H","UseDPDF=Y")</f>
        <v>#NAME?</v>
      </c>
      <c r="K23" t="e">
        <f ca="1">_xll.BDH($C$3,"OPER_MARGIN","FY 2018","FY 2018","Currency=INR","Period=FY","BEST_FPERIOD_OVERRIDE=FY","FILING_STATUS=OR","EQY_CONSOLIDATED=Y","FA_ADJUSTED=GAAP","Sort=A","Dates=H","DateFormat=P","Fill=—","Direction=H","UseDPDF=Y")</f>
        <v>#NAME?</v>
      </c>
      <c r="L23" t="e">
        <f ca="1">_xll.BDH($C$3,"INCREMENTAL_OPERATING_MARGIN","FY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3" t="e">
        <f ca="1">_xll.BDH($C$3,"PRETAX_INC_TO_NET_SALES","FY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3" t="e">
        <f ca="1">_xll.BDH($C$3,"INC_BEF_XO_ITEMS_TO_NET_SALES","FY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3" t="e">
        <f ca="1">_xll.BDH($C$3,"PROF_MARGIN","FY 2018","FY 2018","Currency=INR","Period=FY","BEST_FPERIOD_OVERRIDE=FY","FILING_STATUS=OR","EQY_CONSOLIDATED=Y","FA_ADJUSTED=GAAP","Sort=A","Dates=H","DateFormat=P","Fill=—","Direction=H","UseDPDF=Y")</f>
        <v>#NAME?</v>
      </c>
      <c r="P23" t="e">
        <f ca="1">_xll.BDH($C$3,"NET_INCOME_TO_COMMON_MARGIN","FY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3" t="e">
        <f ca="1">_xll.BDH($C$3,"EFF_TAX_RATE","FY 2018","FY 2018","Currency=INR","Period=FY","BEST_FPERIOD_OVERRIDE=FY","FILING_STATUS=OR","EQY_CONSOLIDATED=Y","FA_ADJUSTED=GAAP","Sort=A","Dates=H","DateFormat=P","Fill=—","Direction=H","UseDPDF=Y")</f>
        <v>#NAME?</v>
      </c>
      <c r="R23" t="e">
        <f ca="1">_xll.BDH($C$3,"DVD_PAYOUT_RATIO","FY 2018","FY 2018","Currency=INR","Period=FY","BEST_FPERIOD_OVERRIDE=FY","FILING_STATUS=OR","EQY_CONSOLIDATED=Y","FA_ADJUSTED=GAAP","Sort=A","Dates=H","DateFormat=P","Fill=—","Direction=H","UseDPDF=Y")</f>
        <v>#NAME?</v>
      </c>
      <c r="S23" t="e">
        <f ca="1">_xll.BDH($C$3,"SUSTAIN_GROWTH_RT","FY 2018","FY 2018","Currency=INR","Period=FY","BEST_FPERIOD_OVERRIDE=FY","FILING_STATUS=OR","EQY_CONSOLIDATED=Y","FA_ADJUSTED=GAAP","Sort=A","Dates=H","DateFormat=P","Fill=—","Direction=H","UseDPDF=Y")</f>
        <v>#NAME?</v>
      </c>
      <c r="T23" s="2" t="e">
        <f ca="1">_xll.BDH($C$3,"SALES_GROWTH","FY 2018","FY 2018","Currency=INR","Period=FY","BEST_FPERIOD_OVERRIDE=FY","FILING_STATUS=OR","EQY_CONSOLIDATED=Y","FA_ADJUSTED=GAAP","Sort=A","Dates=H","DateFormat=P","Fill=—","Direction=H","UseDPDF=Y")</f>
        <v>#NAME?</v>
      </c>
      <c r="U23" s="2" t="e">
        <f ca="1">_xll.BDH($C$3,"EBITDA_GROWTH","FY 2018","FY 2018","Currency=INR","Period=FY","BEST_FPERIOD_OVERRIDE=FY","FILING_STATUS=OR","EQY_CONSOLIDATED=Y","FA_ADJUSTED=GAAP","Sort=A","Dates=H","DateFormat=P","Fill=—","Direction=H","UseDPDF=Y")</f>
        <v>#NAME?</v>
      </c>
      <c r="V23" s="2" t="e">
        <f ca="1">_xll.BDH($C$3,"OPER_INC_GROWTH","FY 2018","FY 2018","Currency=INR","Period=FY","BEST_FPERIOD_OVERRIDE=FY","FILING_STATUS=OR","EQY_CONSOLIDATED=Y","FA_ADJUSTED=GAAP","Sort=A","Dates=H","DateFormat=P","Fill=—","Direction=H","UseDPDF=Y")</f>
        <v>#NAME?</v>
      </c>
      <c r="W23" s="2" t="e">
        <f ca="1">_xll.BDH($C$3,"EARN_FOR_COM_GROWTH","FY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3" s="2" t="e">
        <f ca="1">_xll.BDH($C$3,"DILUTED_EPS_AFT_XO_ITEMS_GROWTH","FY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3" s="2" t="e">
        <f ca="1">_xll.BDH($C$3,"DIVIDEND_PER_SHARE_1_YEAR_GROWTH","FY 2018","FY 2018","Currency=INR","Period=FY","BEST_FPERIOD_OVERRIDE=FY","FILING_STATUS=OR","EQY_CONSOLIDATED=Y","Sort=A","Dates=H","DateFormat=P","Fill=—","Direction=H","UseDPDF=Y")</f>
        <v>#NAME?</v>
      </c>
      <c r="Z23" s="2" t="e">
        <f ca="1">_xll.BDH($C$3,"ACCOUNTS_RECEIVABLE_GROWTH","FY 2018","FY 2018","Currency=INR","Period=FY","BEST_FPERIOD_OVERRIDE=FY","FILING_STATUS=OR","EQY_CONSOLIDATED=Y","Sort=A","Dates=H","DateFormat=P","Fill=—","Direction=H","UseDPDF=Y")</f>
        <v>#NAME?</v>
      </c>
      <c r="AA23" s="2" t="e">
        <f ca="1">_xll.BDH($C$3,"INVENTORY_GROWTH","FY 2018","FY 2018","Currency=INR","Period=FY","BEST_FPERIOD_OVERRIDE=FY","FILING_STATUS=OR","EQY_CONSOLIDATED=Y","Sort=A","Dates=H","DateFormat=P","Fill=—","Direction=H","UseDPDF=Y")</f>
        <v>#NAME?</v>
      </c>
      <c r="AB23" s="2" t="e">
        <f ca="1">_xll.BDH($C$3,"NET_FIXED_ASSETS_1_YEAR_GROWTH","FY 2018","FY 2018","Currency=INR","Period=FY","BEST_FPERIOD_OVERRIDE=FY","FILING_STATUS=OR","EQY_CONSOLIDATED=Y","Sort=A","Dates=H","DateFormat=P","Fill=—","Direction=H","UseDPDF=Y")</f>
        <v>#NAME?</v>
      </c>
      <c r="AC23" s="2" t="e">
        <f ca="1">_xll.BDH($C$3,"ASSET_GROWTH","FY 2018","FY 2018","Currency=INR","Period=FY","BEST_FPERIOD_OVERRIDE=FY","FILING_STATUS=OR","EQY_CONSOLIDATED=Y","Sort=A","Dates=H","DateFormat=P","Fill=—","Direction=H","UseDPDF=Y")</f>
        <v>#NAME?</v>
      </c>
      <c r="AD23" s="2" t="e">
        <f ca="1">_xll.BDH($C$3,"MODIFIED_WORK_CAP_GROWTH","FY 2018","FY 2018","Currency=INR","Period=FY","BEST_FPERIOD_OVERRIDE=FY","FILING_STATUS=OR","EQY_CONSOLIDATED=Y","Sort=A","Dates=H","DateFormat=P","Fill=—","Direction=H","UseDPDF=Y")</f>
        <v>#NAME?</v>
      </c>
      <c r="AE23" s="2" t="e">
        <f ca="1">_xll.BDH($C$3,"WORK_CAP_GROWTH","FY 2018","FY 2018","Currency=INR","Period=FY","BEST_FPERIOD_OVERRIDE=FY","FILING_STATUS=OR","EQY_CONSOLIDATED=Y","Sort=A","Dates=H","DateFormat=P","Fill=—","Direction=H","UseDPDF=Y")</f>
        <v>#NAME?</v>
      </c>
      <c r="AF23" s="2" t="e">
        <f ca="1">_xll.BDH($C$3,"ACCOUNTS_PAYABLE_GROWTH_1YR","FY 2018","FY 2018","Currency=INR","Period=FY","BEST_FPERIOD_OVERRIDE=FY","FILING_STATUS=OR","EQY_CONSOLIDATED=Y","Sort=A","Dates=H","DateFormat=P","Fill=—","Direction=H","UseDPDF=Y")</f>
        <v>#NAME?</v>
      </c>
      <c r="AG23" s="2" t="e">
        <f ca="1">_xll.BDH($C$3,"SHORT_TERM_DEBT_1_YEAR_GROWTH","FY 2018","FY 2018","Currency=INR","Period=FY","BEST_FPERIOD_OVERRIDE=FY","FILING_STATUS=OR","EQY_CONSOLIDATED=Y","Sort=A","Dates=H","DateFormat=P","Fill=—","Direction=H","UseDPDF=Y")</f>
        <v>#NAME?</v>
      </c>
      <c r="AH23" s="2" t="e">
        <f ca="1">_xll.BDH($C$3,"TOTAL_DEBT_1_YEAR_GROWTH","FY 2018","FY 2018","Currency=INR","Period=FY","BEST_FPERIOD_OVERRIDE=FY","FILING_STATUS=OR","EQY_CONSOLIDATED=Y","Sort=A","Dates=H","DateFormat=P","Fill=—","Direction=H","UseDPDF=Y")</f>
        <v>#NAME?</v>
      </c>
      <c r="AI23" s="2" t="e">
        <f ca="1">_xll.BDH($C$3,"TOTAL_EQUITY_1_YEAR_GROWTH","FY 2018","FY 2018","Currency=INR","Period=FY","BEST_FPERIOD_OVERRIDE=FY","FILING_STATUS=OR","EQY_CONSOLIDATED=Y","Sort=A","Dates=H","DateFormat=P","Fill=—","Direction=H","UseDPDF=Y")</f>
        <v>#NAME?</v>
      </c>
      <c r="AJ23" s="2" t="e">
        <f ca="1">_xll.BDH($C$3,"GROWTH_IN_CAP","FY 2018","FY 2018","Currency=INR","Period=FY","BEST_FPERIOD_OVERRIDE=FY","FILING_STATUS=OR","EQY_CONSOLIDATED=Y","Sort=A","Dates=H","DateFormat=P","Fill=—","Direction=H","UseDPDF=Y")</f>
        <v>#NAME?</v>
      </c>
      <c r="AK23" s="2" t="e">
        <f ca="1">_xll.BDH($C$3,"BVPS_GROWTH","FY 2018","FY 2018","Currency=INR","Period=FY","BEST_FPERIOD_OVERRIDE=FY","FILING_STATUS=OR","EQY_CONSOLIDATED=Y","Sort=A","Dates=H","DateFormat=P","Fill=—","Direction=H","UseDPDF=Y")</f>
        <v>#NAME?</v>
      </c>
      <c r="AL23" s="2" t="e">
        <f ca="1">_xll.BDH($C$3,"CASH_FLOW_GROWTH","FY 2018","FY 2018","Currency=INR","Period=FY","BEST_FPERIOD_OVERRIDE=FY","FILING_STATUS=OR","EQY_CONSOLIDATED=Y","Sort=A","Dates=H","DateFormat=P","Fill=—","Direction=H","UseDPDF=Y")</f>
        <v>#NAME?</v>
      </c>
      <c r="AM23" s="2" t="e">
        <f ca="1">_xll.BDH($C$3,"GEO_GROW_NET_SALES","FY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3" s="2" t="e">
        <f ca="1">_xll.BDH($C$3,"GEO_GROW_EBITDA","FY 2018","FY 2018","Currency=INR","Period=FY","BEST_FPERIOD_OVERRIDE=FY","FILING_STATUS=OR","EQY_CONSOLIDATED=Y","FA_ADJUSTED=GAAP","Sort=A","Dates=H","DateFormat=P","Fill=—","Direction=H","UseDPDF=Y")</f>
        <v>#NAME?</v>
      </c>
      <c r="AO23" s="2" t="e">
        <f ca="1">_xll.BDH($C$3,"GEO_GROW_OPER_INC","FY 2018","FY 2018","Currency=INR","Period=FY","BEST_FPERIOD_OVERRIDE=FY","FILING_STATUS=OR","EQY_CONSOLIDATED=Y","FA_ADJUSTED=GAAP","Sort=A","Dates=H","DateFormat=P","Fill=—","Direction=H","UseDPDF=Y")</f>
        <v>#NAME?</v>
      </c>
      <c r="AP23" s="2" t="e">
        <f ca="1">_xll.BDH($C$3,"NET_INCOME_TO_COMMON_5_YR_GROWTH","FY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3" s="2" t="e">
        <f ca="1">_xll.BDH($C$3,"5Y_GEO_GROWTH_DILUTED_EPS","FY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3" s="2" t="e">
        <f ca="1">_xll.BDH($C$3,"GEO_GROW_DVD_PER_SH","FY 2018","FY 2018","Currency=INR","Period=FY","BEST_FPERIOD_OVERRIDE=FY","FILING_STATUS=OR","EQY_CONSOLIDATED=Y","Sort=A","Dates=H","DateFormat=P","Fill=—","Direction=H","UseDPDF=Y")</f>
        <v>#NAME?</v>
      </c>
      <c r="AS23" s="2" t="e">
        <f ca="1">_xll.BDH($C$3,"ACCOUNTS_RECEIVABLE_5_YR_GROWTH","FY 2018","FY 2018","Currency=INR","Period=FY","BEST_FPERIOD_OVERRIDE=FY","FILING_STATUS=OR","EQY_CONSOLIDATED=Y","Sort=A","Dates=H","DateFormat=P","Fill=—","Direction=H","UseDPDF=Y")</f>
        <v>#NAME?</v>
      </c>
      <c r="AT23" s="2" t="e">
        <f ca="1">_xll.BDH($C$3,"INVENTORY_5_YEAR_GROWTH","FY 2018","FY 2018","Currency=INR","Period=FY","BEST_FPERIOD_OVERRIDE=FY","FILING_STATUS=OR","EQY_CONSOLIDATED=Y","Sort=A","Dates=H","DateFormat=P","Fill=—","Direction=H","UseDPDF=Y")</f>
        <v>#NAME?</v>
      </c>
      <c r="AU23" s="2" t="e">
        <f ca="1">_xll.BDH($C$3,"NET_FIXED_ASSETS_5_YEAR_GROWTH","FY 2018","FY 2018","Currency=INR","Period=FY","BEST_FPERIOD_OVERRIDE=FY","FILING_STATUS=OR","EQY_CONSOLIDATED=Y","Sort=A","Dates=H","DateFormat=P","Fill=—","Direction=H","UseDPDF=Y")</f>
        <v>#NAME?</v>
      </c>
      <c r="AV23" s="2" t="e">
        <f ca="1">_xll.BDH($C$3,"GEO_GROW_TOT_ASSET","FY 2018","FY 2018","Currency=INR","Period=FY","BEST_FPERIOD_OVERRIDE=FY","FILING_STATUS=OR","EQY_CONSOLIDATED=Y","Sort=A","Dates=H","DateFormat=P","Fill=—","Direction=H","UseDPDF=Y")</f>
        <v>#NAME?</v>
      </c>
      <c r="AW23" s="2" t="e">
        <f ca="1">_xll.BDH($C$3,"MODIFIED_WORKING_CPTL_5YR_GRWTH","FY 2018","FY 2018","Currency=INR","Period=FY","BEST_FPERIOD_OVERRIDE=FY","FILING_STATUS=OR","EQY_CONSOLIDATED=Y","Sort=A","Dates=H","DateFormat=P","Fill=—","Direction=H","UseDPDF=Y")</f>
        <v>#NAME?</v>
      </c>
      <c r="AX23" s="2" t="e">
        <f ca="1">_xll.BDH($C$3,"WORKING_CAPITAL_5_YEAR_GROWTH","FY 2018","FY 2018","Currency=INR","Period=FY","BEST_FPERIOD_OVERRIDE=FY","FILING_STATUS=OR","EQY_CONSOLIDATED=Y","Sort=A","Dates=H","DateFormat=P","Fill=—","Direction=H","UseDPDF=Y")</f>
        <v>#NAME?</v>
      </c>
      <c r="AY23" s="2" t="e">
        <f ca="1">_xll.BDH($C$3,"ACCOUNTS_PAYABLE_5_YEAR_GROWTH","FY 2018","FY 2018","Currency=INR","Period=FY","BEST_FPERIOD_OVERRIDE=FY","FILING_STATUS=OR","EQY_CONSOLIDATED=Y","Sort=A","Dates=H","DateFormat=P","Fill=—","Direction=H","UseDPDF=Y")</f>
        <v>#NAME?</v>
      </c>
      <c r="AZ23" s="2" t="e">
        <f ca="1">_xll.BDH($C$3,"SHORT_TERM_DEBT_5_YEAR_GROWTH","FY 2018","FY 2018","Currency=INR","Period=FY","BEST_FPERIOD_OVERRIDE=FY","FILING_STATUS=OR","EQY_CONSOLIDATED=Y","Sort=A","Dates=H","DateFormat=P","Fill=—","Direction=H","UseDPDF=Y")</f>
        <v>#NAME?</v>
      </c>
      <c r="BA23" s="2" t="e">
        <f ca="1">_xll.BDH($C$3,"TOTAL_DEBT_5_YEAR_GROWTH","FY 2018","FY 2018","Currency=INR","Period=FY","BEST_FPERIOD_OVERRIDE=FY","FILING_STATUS=OR","EQY_CONSOLIDATED=Y","Sort=A","Dates=H","DateFormat=P","Fill=—","Direction=H","UseDPDF=Y")</f>
        <v>#NAME?</v>
      </c>
      <c r="BB23" s="2" t="e">
        <f ca="1">_xll.BDH($C$3,"GEO_GROW_TOT_SHRHLDR_EQY","FY 2018","FY 2018","Currency=INR","Period=FY","BEST_FPERIOD_OVERRIDE=FY","FILING_STATUS=OR","EQY_CONSOLIDATED=Y","Sort=A","Dates=H","DateFormat=P","Fill=—","Direction=H","UseDPDF=Y")</f>
        <v>#NAME?</v>
      </c>
      <c r="BC23" s="2" t="e">
        <f ca="1">_xll.BDH($C$3,"TOTAL_CAPITAL_5_YEAR_GROWTH","FY 2018","FY 2018","Currency=INR","Period=FY","BEST_FPERIOD_OVERRIDE=FY","FILING_STATUS=OR","EQY_CONSOLIDATED=Y","Sort=A","Dates=H","DateFormat=P","Fill=—","Direction=H","UseDPDF=Y")</f>
        <v>#NAME?</v>
      </c>
      <c r="BD23" s="2" t="e">
        <f ca="1">_xll.BDH($C$3,"GEO_GROW_BOOK_VAL","FY 2018","FY 2018","Currency=INR","Period=FY","BEST_FPERIOD_OVERRIDE=FY","FILING_STATUS=OR","EQY_CONSOLIDATED=Y","Sort=A","Dates=H","DateFormat=P","Fill=—","Direction=H","UseDPDF=Y")</f>
        <v>#NAME?</v>
      </c>
      <c r="BE23" s="2" t="e">
        <f ca="1">_xll.BDH($C$3,"GEO_GROW_CASH_OPER_ACT","FY 2018","FY 2018","Currency=INR","Period=FY","BEST_FPERIOD_OVERRIDE=FY","FILING_STATUS=OR","EQY_CONSOLIDATED=Y","Sort=A","Dates=H","DateFormat=P","Fill=—","Direction=H","UseDPDF=Y")</f>
        <v>#NAME?</v>
      </c>
      <c r="BF23" s="2" t="e">
        <f ca="1">_xll.BDH($C$3,"REVENUE_SEQUENTIAL_GROWTH","FY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3" s="2" t="e">
        <f ca="1">_xll.BDH($C$3,"EBITDA_SEQUENTIAL_GROWTH","FY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3" s="2" t="e">
        <f ca="1">_xll.BDH($C$3,"OPERATING_INCOME_SEQ_GROWTH","FY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3" s="2" t="e">
        <f ca="1">_xll.BDH($C$3,"NET_INCOME_TO_COMMON_SEQ_GROWTH","FY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3" s="2" t="e">
        <f ca="1">_xll.BDH($C$3,"EPS_DILUTED_SEQUENTIAL_GROWTH","FY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3" s="2" t="e">
        <f ca="1">_xll.BDH($C$3,"DPS_SEQUENTIAL_GROWTH","FY 2018","FY 2018","Currency=INR","Period=FY","BEST_FPERIOD_OVERRIDE=FY","FILING_STATUS=OR","EQY_CONSOLIDATED=Y","Sort=A","Dates=H","DateFormat=P","Fill=—","Direction=H","UseDPDF=Y")</f>
        <v>#NAME?</v>
      </c>
      <c r="BL23" s="2" t="e">
        <f ca="1">_xll.BDH($C$3,"ACCOUNTS_RECEIVABLE_SEQ_GROWTH","FY 2018","FY 2018","Currency=INR","Period=FY","BEST_FPERIOD_OVERRIDE=FY","FILING_STATUS=OR","EQY_CONSOLIDATED=Y","Sort=A","Dates=H","DateFormat=P","Fill=—","Direction=H","UseDPDF=Y")</f>
        <v>#NAME?</v>
      </c>
      <c r="BM23" s="2" t="e">
        <f ca="1">_xll.BDH($C$3,"INVENTORY_SEQUENTIAL_GROWTH","FY 2018","FY 2018","Currency=INR","Period=FY","BEST_FPERIOD_OVERRIDE=FY","FILING_STATUS=OR","EQY_CONSOLIDATED=Y","Sort=A","Dates=H","DateFormat=P","Fill=—","Direction=H","UseDPDF=Y")</f>
        <v>#NAME?</v>
      </c>
      <c r="BN23" s="2" t="e">
        <f ca="1">_xll.BDH($C$3,"FIXED_ASSETS_SEQUENTIAL_GROWTH","FY 2018","FY 2018","Currency=INR","Period=FY","BEST_FPERIOD_OVERRIDE=FY","FILING_STATUS=OR","EQY_CONSOLIDATED=Y","Sort=A","Dates=H","DateFormat=P","Fill=—","Direction=H","UseDPDF=Y")</f>
        <v>#NAME?</v>
      </c>
      <c r="BO23" s="2" t="e">
        <f ca="1">_xll.BDH($C$3,"TOTAL_ASSETS_SEQUENTIAL_GROWTH","FY 2018","FY 2018","Currency=INR","Period=FY","BEST_FPERIOD_OVERRIDE=FY","FILING_STATUS=OR","EQY_CONSOLIDATED=Y","Sort=A","Dates=H","DateFormat=P","Fill=—","Direction=H","UseDPDF=Y")</f>
        <v>#NAME?</v>
      </c>
      <c r="BP23" s="2" t="e">
        <f ca="1">_xll.BDH($C$3,"MODIFIED_WORKING_CPTL_SEQ_GRWTH","FY 2018","FY 2018","Currency=INR","Period=FY","BEST_FPERIOD_OVERRIDE=FY","FILING_STATUS=OR","EQY_CONSOLIDATED=Y","Sort=A","Dates=H","DateFormat=P","Fill=—","Direction=H","UseDPDF=Y")</f>
        <v>#NAME?</v>
      </c>
      <c r="BQ23" s="2" t="e">
        <f ca="1">_xll.BDH($C$3,"WORKING_CAPITAL_SEQ_GROWTH","FY 2018","FY 2018","Currency=INR","Period=FY","BEST_FPERIOD_OVERRIDE=FY","FILING_STATUS=OR","EQY_CONSOLIDATED=Y","Sort=A","Dates=H","DateFormat=P","Fill=—","Direction=H","UseDPDF=Y")</f>
        <v>#NAME?</v>
      </c>
      <c r="BR23" s="2" t="e">
        <f ca="1">_xll.BDH($C$3,"ACCOUNTS_PAYABLE_SEQ_GROWTH","FY 2018","FY 2018","Currency=INR","Period=FY","BEST_FPERIOD_OVERRIDE=FY","FILING_STATUS=OR","EQY_CONSOLIDATED=Y","Sort=A","Dates=H","DateFormat=P","Fill=—","Direction=H","UseDPDF=Y")</f>
        <v>#NAME?</v>
      </c>
      <c r="BS23" s="2" t="e">
        <f ca="1">_xll.BDH($C$3,"ST_DEBT_SEQUENTIAL_GROWTH","FY 2018","FY 2018","Currency=INR","Period=FY","BEST_FPERIOD_OVERRIDE=FY","FILING_STATUS=OR","EQY_CONSOLIDATED=Y","Sort=A","Dates=H","DateFormat=P","Fill=—","Direction=H","UseDPDF=Y")</f>
        <v>#NAME?</v>
      </c>
      <c r="BT23" s="2" t="e">
        <f ca="1">_xll.BDH($C$3,"TOTAL_DEBT_SEQUENTIAL_GROWTH","FY 2018","FY 2018","Currency=INR","Period=FY","BEST_FPERIOD_OVERRIDE=FY","FILING_STATUS=OR","EQY_CONSOLIDATED=Y","Sort=A","Dates=H","DateFormat=P","Fill=—","Direction=H","UseDPDF=Y")</f>
        <v>#NAME?</v>
      </c>
      <c r="BU23" s="2" t="e">
        <f ca="1">_xll.BDH($C$3,"TOTAL_EQUITY_SEQUENTIAL_GROWTH","FY 2018","FY 2018","Currency=INR","Period=FY","BEST_FPERIOD_OVERRIDE=FY","FILING_STATUS=OR","EQY_CONSOLIDATED=Y","Sort=A","Dates=H","DateFormat=P","Fill=—","Direction=H","UseDPDF=Y")</f>
        <v>#NAME?</v>
      </c>
      <c r="BV23" s="2" t="e">
        <f ca="1">_xll.BDH($C$3,"TOTAL_CAPITAL_SEQUENTIAL_GROWTH","FY 2018","FY 2018","Currency=INR","Period=FY","BEST_FPERIOD_OVERRIDE=FY","FILING_STATUS=OR","EQY_CONSOLIDATED=Y","Sort=A","Dates=H","DateFormat=P","Fill=—","Direction=H","UseDPDF=Y")</f>
        <v>#NAME?</v>
      </c>
      <c r="BW23" s="2" t="e">
        <f ca="1">_xll.BDH($C$3,"BPS_SEQUENTIAL_GROWTH","FY 2018","FY 2018","Currency=INR","Period=FY","BEST_FPERIOD_OVERRIDE=FY","FILING_STATUS=OR","EQY_CONSOLIDATED=Y","Sort=A","Dates=H","DateFormat=P","Fill=—","Direction=H","UseDPDF=Y")</f>
        <v>#NAME?</v>
      </c>
      <c r="BX23" s="2" t="e">
        <f ca="1">_xll.BDH($C$3,"CFO_SEQUENTIAL_GROWTH","FY 2018","FY 2018","Currency=INR","Period=FY","BEST_FPERIOD_OVERRIDE=FY","FILING_STATUS=OR","EQY_CONSOLIDATED=Y","Sort=A","Dates=H","DateFormat=P","Fill=—","Direction=H","UseDPDF=Y")</f>
        <v>#NAME?</v>
      </c>
      <c r="BY23" s="3" t="e">
        <f ca="1">_xll.BDH($C$3,"SHORT_AND_LONG_TERM_DEBT","FY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3" s="3" t="e">
        <f ca="1">_xll.BDH($C$3,"BS_ST_BORROW","FY 2018","FY 2018","Currency=INR","Period=FY","BEST_FPERIOD_OVERRIDE=FY","FILING_STATUS=OR","EQY_CONSOLIDATED=Y","SCALING_FORMAT=MLN","Sort=A","Dates=H","DateFormat=P","Fill=—","Direction=H","UseDPDF=Y")</f>
        <v>#NAME?</v>
      </c>
      <c r="CA23" s="3" t="e">
        <f ca="1">_xll.BDH($C$3,"BS_LT_BORROW","FY 2018","FY 2018","Currency=INR","Period=FY","BEST_FPERIOD_OVERRIDE=FY","FILING_STATUS=OR","EQY_CONSOLIDATED=Y","SCALING_FORMAT=MLN","Sort=A","Dates=H","DateFormat=P","Fill=—","Direction=H","UseDPDF=Y")</f>
        <v>#NAME?</v>
      </c>
      <c r="CB23" s="2" t="e">
        <f ca="1">_xll.BDH($C$3,"TOT_DEBT_TO_EBITDA","FY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3" s="2" t="e">
        <f ca="1">_xll.BDH($C$3,"NET_DEBT_TO_EBITDA","FY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3" s="2" t="e">
        <f ca="1">_xll.BDH($C$3,"TOTAL_DEBT_TO_EBIT","FY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3" s="2" t="e">
        <f ca="1">_xll.BDH($C$3,"NET_DEBT_TO_EBIT","FY 2018","FY 2018","Currency=INR","Period=FY","BEST_FPERIOD_OVERRIDE=FY","FILING_STATUS=OR","EQY_CONSOLIDATED=Y","FA_ADJUSTED=GAAP","Sort=A","Dates=H","DateFormat=P","Fill=—","Direction=H","UseDPDF=Y")</f>
        <v>#NAME?</v>
      </c>
      <c r="CF23" s="2" t="e">
        <f ca="1">_xll.BDH($C$3,"EBITDA_TO_INTEREST_EXPN","FY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3" s="2" t="e">
        <f ca="1">_xll.BDH($C$3,"COM_EQY_TO_TOT_ASSET","FY 2018","FY 2018","Currency=INR","Period=FY","BEST_FPERIOD_OVERRIDE=FY","FILING_STATUS=OR","EQY_CONSOLIDATED=Y","Sort=A","Dates=H","DateFormat=P","Fill=—","Direction=H","UseDPDF=Y")</f>
        <v>#NAME?</v>
      </c>
      <c r="CH23" s="2" t="e">
        <f ca="1">_xll.BDH($C$3,"LT_DEBT_TO_TOT_EQY","FY 2018","FY 2018","Currency=INR","Period=FY","BEST_FPERIOD_OVERRIDE=FY","FILING_STATUS=OR","EQY_CONSOLIDATED=Y","Sort=A","Dates=H","DateFormat=P","Fill=—","Direction=H","UseDPDF=Y")</f>
        <v>#NAME?</v>
      </c>
      <c r="CI23" s="2" t="e">
        <f ca="1">_xll.BDH($C$3,"LT_DEBT_TO_TOT_CAP","FY 2018","FY 2018","Currency=INR","Period=FY","BEST_FPERIOD_OVERRIDE=FY","FILING_STATUS=OR","EQY_CONSOLIDATED=Y","Sort=A","Dates=H","DateFormat=P","Fill=—","Direction=H","UseDPDF=Y")</f>
        <v>#NAME?</v>
      </c>
      <c r="CJ23" s="2" t="e">
        <f ca="1">_xll.BDH($C$3,"LT_DEBT_TO_TOT_ASSET","FY 2018","FY 2018","Currency=INR","Period=FY","BEST_FPERIOD_OVERRIDE=FY","FILING_STATUS=OR","EQY_CONSOLIDATED=Y","Sort=A","Dates=H","DateFormat=P","Fill=—","Direction=H","UseDPDF=Y")</f>
        <v>#NAME?</v>
      </c>
      <c r="CK23" s="2" t="e">
        <f ca="1">_xll.BDH($C$3,"TOT_DEBT_TO_TOT_EQY","FY 2018","FY 2018","Currency=INR","Period=FY","BEST_FPERIOD_OVERRIDE=FY","FILING_STATUS=OR","EQY_CONSOLIDATED=Y","Sort=A","Dates=H","DateFormat=P","Fill=—","Direction=H","UseDPDF=Y")</f>
        <v>#NAME?</v>
      </c>
      <c r="CL23" s="2" t="e">
        <f ca="1">_xll.BDH($C$3,"TOT_DEBT_TO_TOT_CAP","FY 2018","FY 2018","Currency=INR","Period=FY","BEST_FPERIOD_OVERRIDE=FY","FILING_STATUS=OR","EQY_CONSOLIDATED=Y","Sort=A","Dates=H","DateFormat=P","Fill=—","Direction=H","UseDPDF=Y")</f>
        <v>#NAME?</v>
      </c>
      <c r="CM23" s="2" t="e">
        <f ca="1">_xll.BDH($C$3,"TOT_DEBT_TO_TOT_ASSET","FY 2018","FY 2018","Currency=INR","Period=FY","BEST_FPERIOD_OVERRIDE=FY","FILING_STATUS=OR","EQY_CONSOLIDATED=Y","Sort=A","Dates=H","DateFormat=P","Fill=—","Direction=H","UseDPDF=Y")</f>
        <v>#NAME?</v>
      </c>
      <c r="CN23" s="2" t="e">
        <f ca="1">_xll.BDH($C$3,"NET_DEBT_TO_SHRHLDR_EQTY","FY 2018","FY 2018","Currency=INR","Period=FY","BEST_FPERIOD_OVERRIDE=FY","FILING_STATUS=OR","EQY_CONSOLIDATED=Y","Sort=A","Dates=H","DateFormat=P","Fill=—","Direction=H","UseDPDF=Y")</f>
        <v>#NAME?</v>
      </c>
      <c r="CO23" s="2" t="e">
        <f ca="1">_xll.BDH($C$3,"NET_DEBT_%_CAPITAL","FY 2018","FY 2018","Currency=INR","Period=FY","BEST_FPERIOD_OVERRIDE=FY","FILING_STATUS=OR","EQY_CONSOLIDATED=Y","Sort=A","Dates=H","DateFormat=P","Fill=—","Direction=H","UseDPDF=Y")</f>
        <v>#NAME?</v>
      </c>
      <c r="CP23" s="3" t="e">
        <f ca="1">_xll.BDH($C$3,"EBITDA","FY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3" s="3" t="e">
        <f ca="1">_xll.BDH($C$3,"EBITDA_AFTER_CAPEX","FY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3" s="3" t="e">
        <f ca="1">_xll.BDH($C$3,"IS_OPER_INC","FY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3" s="2" t="e">
        <f ca="1">_xll.BDH($C$3,"CASH_RATIO","FY 2018","FY 2018","Currency=INR","Period=FY","BEST_FPERIOD_OVERRIDE=FY","FILING_STATUS=OR","EQY_CONSOLIDATED=Y","Sort=A","Dates=H","DateFormat=P","Fill=—","Direction=H","UseDPDF=Y")</f>
        <v>#NAME?</v>
      </c>
      <c r="CT23" s="2" t="e">
        <f ca="1">_xll.BDH($C$3,"CUR_RATIO","FY 2018","FY 2018","Currency=INR","Period=FY","BEST_FPERIOD_OVERRIDE=FY","FILING_STATUS=OR","EQY_CONSOLIDATED=Y","Sort=A","Dates=H","DateFormat=P","Fill=—","Direction=H","UseDPDF=Y")</f>
        <v>#NAME?</v>
      </c>
      <c r="CU23" s="2" t="e">
        <f ca="1">_xll.BDH($C$3,"QUICK_RATIO","FY 2018","FY 2018","Currency=INR","Period=FY","BEST_FPERIOD_OVERRIDE=FY","FILING_STATUS=OR","EQY_CONSOLIDATED=Y","Sort=A","Dates=H","DateFormat=P","Fill=—","Direction=H","UseDPDF=Y")</f>
        <v>#NAME?</v>
      </c>
      <c r="CV23" s="2" t="e">
        <f ca="1">_xll.BDH($C$3,"ALTMAN_Z_SCORE","FY 2018","FY 2018","Currency=INR","Period=FY","BEST_FPERIOD_OVERRIDE=FY","FILING_STATUS=OR","EQY_CONSOLIDATED=Y","Sort=A","Dates=H","DateFormat=P","Fill=—","Direction=H","UseDPDF=Y")</f>
        <v>#NAME?</v>
      </c>
      <c r="CW23" s="4" t="e">
        <f ca="1">_xll.BDH($C$3,"ACCT_RCV_TURN","FY 2018","FY 2018","Currency=INR","Period=FY","BEST_FPERIOD_OVERRIDE=FY","FILING_STATUS=OR","EQY_CONSOLIDATED=Y","FA_ADJUSTED=GAAP","Sort=A","Dates=H","DateFormat=P","Fill=—","Direction=H","UseDPDF=Y")</f>
        <v>#NAME?</v>
      </c>
      <c r="CX23" s="2" t="e">
        <f ca="1">_xll.BDH($C$3,"ACCT_RCV_DAYS","FY 2018","FY 2018","Currency=INR","Period=FY","BEST_FPERIOD_OVERRIDE=FY","FILING_STATUS=OR","EQY_CONSOLIDATED=Y","FA_ADJUSTED=GAAP","Sort=A","Dates=H","DateFormat=P","Fill=—","Direction=H","UseDPDF=Y")</f>
        <v>#NAME?</v>
      </c>
      <c r="CY23" s="4" t="e">
        <f ca="1">_xll.BDH($C$3,"INVENT_TURN","FY 2018","FY 2018","Currency=INR","Period=FY","BEST_FPERIOD_OVERRIDE=FY","FILING_STATUS=OR","EQY_CONSOLIDATED=Y","FA_ADJUSTED=GAAP","Sort=A","Dates=H","DateFormat=P","Fill=—","Direction=H","UseDPDF=Y")</f>
        <v>#NAME?</v>
      </c>
      <c r="CZ23" s="2" t="e">
        <f ca="1">_xll.BDH($C$3,"INVENT_DAYS","FY 2018","FY 2018","Currency=INR","Period=FY","BEST_FPERIOD_OVERRIDE=FY","FILING_STATUS=OR","EQY_CONSOLIDATED=Y","FA_ADJUSTED=GAAP","Sort=A","Dates=H","DateFormat=P","Fill=—","Direction=H","UseDPDF=Y")</f>
        <v>#NAME?</v>
      </c>
      <c r="DA23" s="4" t="e">
        <f ca="1">_xll.BDH($C$3,"ACCOUNTS_PAYABLE_TURNOVER","FY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3" s="2" t="e">
        <f ca="1">_xll.BDH($C$3,"ACCOUNTS_PAYABLE_TURNOVER_DAYS","FY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3" s="4" t="e">
        <f ca="1">_xll.BDH($C$3,"CASH_CONVERSION_CYCLE","FY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3" s="4" t="e">
        <f ca="1">_xll.BDH($C$3,"INV_TO_CASH_DAYS","FY 2018","FY 2018","Currency=INR","Period=FY","BEST_FPERIOD_OVERRIDE=FY","FILING_STATUS=OR","EQY_CONSOLIDATED=Y","FA_ADJUSTED=GAAP","Sort=A","Dates=H","DateFormat=P","Fill=—","Direction=H","UseDPDF=Y")</f>
        <v>#NAME?</v>
      </c>
      <c r="DE23" s="5" t="e">
        <f ca="1">_xll.BDH($C$3,"BS_INVENTORIES","FY 2018","FY 2018","Currency=INR","Period=FY","BEST_FPERIOD_OVERRIDE=FY","FILING_STATUS=OR","EQY_CONSOLIDATED=Y","SCALING_FORMAT=MLN","Sort=A","Dates=H","DateFormat=P","Fill=—","Direction=H","UseDPDF=Y")</f>
        <v>#NAME?</v>
      </c>
      <c r="DF23" s="3" t="e">
        <f ca="1">_xll.BDH($C$3,"INVTRY_RAW_MATERIALS","FY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3" s="3" t="e">
        <f ca="1">_xll.BDH($C$3,"INVTRY_IN_PROGRESS","FY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3" s="3" t="e">
        <f ca="1">_xll.BDH($C$3,"INVTRY_FINISHED_GOODS","FY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3" s="3" t="e">
        <f ca="1">_xll.BDH($C$3,"BS_OTHER_INV","FY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" spans="1:113" x14ac:dyDescent="0.3">
      <c r="A24" s="6"/>
      <c r="B24" s="6"/>
      <c r="C24" s="6"/>
      <c r="D24" s="6"/>
      <c r="E24" t="s">
        <v>78</v>
      </c>
      <c r="F24" t="e">
        <f ca="1">_xll.BDH($C$3,"RETURN_COM_EQY","FQ1 2018","FQ1 2018","Currency=INR","Period=FQ","BEST_FPERIOD_OVERRIDE=FQ","FILING_STATUS=OR","EQY_CONSOLIDATED=Y","FA_ADJUSTED=GAAP","Sort=A","Dates=H","DateFormat=P","Fill=—","Direction=H","UseDPDF=Y")</f>
        <v>#NAME?</v>
      </c>
      <c r="G24" t="e">
        <f ca="1">_xll.BDH($C$3,"RETURN_ON_ASSET","FQ1 2018","FQ1 2018","Currency=INR","Period=FQ","BEST_FPERIOD_OVERRIDE=FQ","FILING_STATUS=OR","EQY_CONSOLIDATED=Y","FA_ADJUSTED=GAAP","Sort=A","Dates=H","DateFormat=P","Fill=—","Direction=H","UseDPDF=Y")</f>
        <v>#NAME?</v>
      </c>
      <c r="H24" t="e">
        <f ca="1">_xll.BDH($C$3,"RETURN_ON_CAP","FQ1 2018","FQ1 2018","Currency=INR","Period=FQ","BEST_FPERIOD_OVERRIDE=FQ","FILING_STATUS=OR","EQY_CONSOLIDATED=Y","FA_ADJUSTED=GAAP","Sort=A","Dates=H","DateFormat=P","Fill=—","Direction=H","UseDPDF=Y")</f>
        <v>#NAME?</v>
      </c>
      <c r="I24" t="e">
        <f ca="1">_xll.BDH($C$3,"RETURN_ON_INV_CAPITAL","FQ1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" t="e">
        <f ca="1">_xll.BDH($C$3,"EBITDA_TO_REVENUE","FQ1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" t="e">
        <f ca="1">_xll.BDH($C$3,"OPER_MARGIN","FQ1 2018","FQ1 2018","Currency=INR","Period=FQ","BEST_FPERIOD_OVERRIDE=FQ","FILING_STATUS=OR","EQY_CONSOLIDATED=Y","FA_ADJUSTED=GAAP","Sort=A","Dates=H","DateFormat=P","Fill=—","Direction=H","UseDPDF=Y")</f>
        <v>#NAME?</v>
      </c>
      <c r="L24" t="e">
        <f ca="1">_xll.BDH($C$3,"INCREMENTAL_OPERATING_MARGIN","FQ1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" t="e">
        <f ca="1">_xll.BDH($C$3,"PRETAX_INC_TO_NET_SALES","FQ1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" t="e">
        <f ca="1">_xll.BDH($C$3,"INC_BEF_XO_ITEMS_TO_NET_SALES","FQ1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" t="e">
        <f ca="1">_xll.BDH($C$3,"PROF_MARGIN","FQ1 2018","FQ1 2018","Currency=INR","Period=FQ","BEST_FPERIOD_OVERRIDE=FQ","FILING_STATUS=OR","EQY_CONSOLIDATED=Y","FA_ADJUSTED=GAAP","Sort=A","Dates=H","DateFormat=P","Fill=—","Direction=H","UseDPDF=Y")</f>
        <v>#NAME?</v>
      </c>
      <c r="P24" t="e">
        <f ca="1">_xll.BDH($C$3,"NET_INCOME_TO_COMMON_MARGIN","FQ1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" t="e">
        <f ca="1">_xll.BDH($C$3,"EFF_TAX_RATE","FQ1 2018","FQ1 2018","Currency=INR","Period=FQ","BEST_FPERIOD_OVERRIDE=FQ","FILING_STATUS=OR","EQY_CONSOLIDATED=Y","FA_ADJUSTED=GAAP","Sort=A","Dates=H","DateFormat=P","Fill=—","Direction=H","UseDPDF=Y")</f>
        <v>#NAME?</v>
      </c>
      <c r="R24" t="e">
        <f ca="1">_xll.BDH($C$3,"DVD_PAYOUT_RATIO","FQ1 2018","FQ1 2018","Currency=INR","Period=FQ","BEST_FPERIOD_OVERRIDE=FQ","FILING_STATUS=OR","EQY_CONSOLIDATED=Y","FA_ADJUSTED=GAAP","Sort=A","Dates=H","DateFormat=P","Fill=—","Direction=H","UseDPDF=Y")</f>
        <v>#NAME?</v>
      </c>
      <c r="S24" t="e">
        <f ca="1">_xll.BDH($C$3,"SUSTAIN_GROWTH_RT","FQ1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" s="2" t="e">
        <f ca="1">_xll.BDH($C$3,"SALES_GROWTH","FQ1 2018","FQ1 2018","Currency=INR","Period=FQ","BEST_FPERIOD_OVERRIDE=FQ","FILING_STATUS=OR","EQY_CONSOLIDATED=Y","FA_ADJUSTED=GAAP","Sort=A","Dates=H","DateFormat=P","Fill=—","Direction=H","UseDPDF=Y")</f>
        <v>#NAME?</v>
      </c>
      <c r="U24" s="2" t="e">
        <f ca="1">_xll.BDH($C$3,"EBITDA_GROWTH","FQ1 2018","FQ1 2018","Currency=INR","Period=FQ","BEST_FPERIOD_OVERRIDE=FQ","FILING_STATUS=OR","EQY_CONSOLIDATED=Y","FA_ADJUSTED=GAAP","Sort=A","Dates=H","DateFormat=P","Fill=—","Direction=H","UseDPDF=Y")</f>
        <v>#NAME?</v>
      </c>
      <c r="V24" s="2" t="e">
        <f ca="1">_xll.BDH($C$3,"OPER_INC_GROWTH","FQ1 2018","FQ1 2018","Currency=INR","Period=FQ","BEST_FPERIOD_OVERRIDE=FQ","FILING_STATUS=OR","EQY_CONSOLIDATED=Y","FA_ADJUSTED=GAAP","Sort=A","Dates=H","DateFormat=P","Fill=—","Direction=H","UseDPDF=Y")</f>
        <v>#NAME?</v>
      </c>
      <c r="W24" s="2" t="e">
        <f ca="1">_xll.BDH($C$3,"EARN_FOR_COM_GROWTH","FQ1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" s="2" t="e">
        <f ca="1">_xll.BDH($C$3,"DILUTED_EPS_AFT_XO_ITEMS_GROWTH","FQ1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" s="2" t="e">
        <f ca="1">_xll.BDH($C$3,"DIVIDEND_PER_SHARE_1_YEAR_GROWTH","FQ1 2018","FQ1 2018","Currency=INR","Period=FQ","BEST_FPERIOD_OVERRIDE=FQ","FILING_STATUS=OR","EQY_CONSOLIDATED=Y","Sort=A","Dates=H","DateFormat=P","Fill=—","Direction=H","UseDPDF=Y")</f>
        <v>#NAME?</v>
      </c>
      <c r="Z24" s="2" t="e">
        <f ca="1">_xll.BDH($C$3,"ACCOUNTS_RECEIVABLE_GROWTH","FQ1 2018","FQ1 2018","Currency=INR","Period=FQ","BEST_FPERIOD_OVERRIDE=FQ","FILING_STATUS=OR","EQY_CONSOLIDATED=Y","Sort=A","Dates=H","DateFormat=P","Fill=—","Direction=H","UseDPDF=Y")</f>
        <v>#NAME?</v>
      </c>
      <c r="AA24" s="2" t="e">
        <f ca="1">_xll.BDH($C$3,"INVENTORY_GROWTH","FQ1 2018","FQ1 2018","Currency=INR","Period=FQ","BEST_FPERIOD_OVERRIDE=FQ","FILING_STATUS=OR","EQY_CONSOLIDATED=Y","Sort=A","Dates=H","DateFormat=P","Fill=—","Direction=H","UseDPDF=Y")</f>
        <v>#NAME?</v>
      </c>
      <c r="AB24" s="2" t="e">
        <f ca="1">_xll.BDH($C$3,"NET_FIXED_ASSETS_1_YEAR_GROWTH","FQ1 2018","FQ1 2018","Currency=INR","Period=FQ","BEST_FPERIOD_OVERRIDE=FQ","FILING_STATUS=OR","EQY_CONSOLIDATED=Y","Sort=A","Dates=H","DateFormat=P","Fill=—","Direction=H","UseDPDF=Y")</f>
        <v>#NAME?</v>
      </c>
      <c r="AC24" s="2" t="e">
        <f ca="1">_xll.BDH($C$3,"ASSET_GROWTH","FQ1 2018","FQ1 2018","Currency=INR","Period=FQ","BEST_FPERIOD_OVERRIDE=FQ","FILING_STATUS=OR","EQY_CONSOLIDATED=Y","Sort=A","Dates=H","DateFormat=P","Fill=—","Direction=H","UseDPDF=Y")</f>
        <v>#NAME?</v>
      </c>
      <c r="AD24" s="2" t="e">
        <f ca="1">_xll.BDH($C$3,"MODIFIED_WORK_CAP_GROWTH","FQ1 2018","FQ1 2018","Currency=INR","Period=FQ","BEST_FPERIOD_OVERRIDE=FQ","FILING_STATUS=OR","EQY_CONSOLIDATED=Y","Sort=A","Dates=H","DateFormat=P","Fill=—","Direction=H","UseDPDF=Y")</f>
        <v>#NAME?</v>
      </c>
      <c r="AE24" s="2" t="e">
        <f ca="1">_xll.BDH($C$3,"WORK_CAP_GROWTH","FQ1 2018","FQ1 2018","Currency=INR","Period=FQ","BEST_FPERIOD_OVERRIDE=FQ","FILING_STATUS=OR","EQY_CONSOLIDATED=Y","Sort=A","Dates=H","DateFormat=P","Fill=—","Direction=H","UseDPDF=Y")</f>
        <v>#NAME?</v>
      </c>
      <c r="AF24" s="2" t="e">
        <f ca="1">_xll.BDH($C$3,"ACCOUNTS_PAYABLE_GROWTH_1YR","FQ1 2018","FQ1 2018","Currency=INR","Period=FQ","BEST_FPERIOD_OVERRIDE=FQ","FILING_STATUS=OR","EQY_CONSOLIDATED=Y","Sort=A","Dates=H","DateFormat=P","Fill=—","Direction=H","UseDPDF=Y")</f>
        <v>#NAME?</v>
      </c>
      <c r="AG24" s="2" t="e">
        <f ca="1">_xll.BDH($C$3,"SHORT_TERM_DEBT_1_YEAR_GROWTH","FQ1 2018","FQ1 2018","Currency=INR","Period=FQ","BEST_FPERIOD_OVERRIDE=FQ","FILING_STATUS=OR","EQY_CONSOLIDATED=Y","Sort=A","Dates=H","DateFormat=P","Fill=—","Direction=H","UseDPDF=Y")</f>
        <v>#NAME?</v>
      </c>
      <c r="AH24" s="2" t="e">
        <f ca="1">_xll.BDH($C$3,"TOTAL_DEBT_1_YEAR_GROWTH","FQ1 2018","FQ1 2018","Currency=INR","Period=FQ","BEST_FPERIOD_OVERRIDE=FQ","FILING_STATUS=OR","EQY_CONSOLIDATED=Y","Sort=A","Dates=H","DateFormat=P","Fill=—","Direction=H","UseDPDF=Y")</f>
        <v>#NAME?</v>
      </c>
      <c r="AI24" s="2" t="e">
        <f ca="1">_xll.BDH($C$3,"TOTAL_EQUITY_1_YEAR_GROWTH","FQ1 2018","FQ1 2018","Currency=INR","Period=FQ","BEST_FPERIOD_OVERRIDE=FQ","FILING_STATUS=OR","EQY_CONSOLIDATED=Y","Sort=A","Dates=H","DateFormat=P","Fill=—","Direction=H","UseDPDF=Y")</f>
        <v>#NAME?</v>
      </c>
      <c r="AJ24" s="2" t="e">
        <f ca="1">_xll.BDH($C$3,"GROWTH_IN_CAP","FQ1 2018","FQ1 2018","Currency=INR","Period=FQ","BEST_FPERIOD_OVERRIDE=FQ","FILING_STATUS=OR","EQY_CONSOLIDATED=Y","Sort=A","Dates=H","DateFormat=P","Fill=—","Direction=H","UseDPDF=Y")</f>
        <v>#NAME?</v>
      </c>
      <c r="AK24" s="2" t="e">
        <f ca="1">_xll.BDH($C$3,"BVPS_GROWTH","FQ1 2018","FQ1 2018","Currency=INR","Period=FQ","BEST_FPERIOD_OVERRIDE=FQ","FILING_STATUS=OR","EQY_CONSOLIDATED=Y","Sort=A","Dates=H","DateFormat=P","Fill=—","Direction=H","UseDPDF=Y")</f>
        <v>#NAME?</v>
      </c>
      <c r="AL24" s="2" t="e">
        <f ca="1">_xll.BDH($C$3,"CASH_FLOW_GROWTH","FQ1 2018","FQ1 2018","Currency=INR","Period=FQ","BEST_FPERIOD_OVERRIDE=FQ","FILING_STATUS=OR","EQY_CONSOLIDATED=Y","Sort=A","Dates=H","DateFormat=P","Fill=—","Direction=H","UseDPDF=Y")</f>
        <v>#NAME?</v>
      </c>
      <c r="AM24" s="2" t="e">
        <f ca="1">_xll.BDH($C$3,"GEO_GROW_NET_SALES","FQ1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" s="2" t="e">
        <f ca="1">_xll.BDH($C$3,"GEO_GROW_EBITDA","FQ1 2018","FQ1 2018","Currency=INR","Period=FQ","BEST_FPERIOD_OVERRIDE=FQ","FILING_STATUS=OR","EQY_CONSOLIDATED=Y","FA_ADJUSTED=GAAP","Sort=A","Dates=H","DateFormat=P","Fill=—","Direction=H","UseDPDF=Y")</f>
        <v>#NAME?</v>
      </c>
      <c r="AO24" s="2" t="e">
        <f ca="1">_xll.BDH($C$3,"GEO_GROW_OPER_INC","FQ1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" s="2" t="e">
        <f ca="1">_xll.BDH($C$3,"NET_INCOME_TO_COMMON_5_YR_GROWTH","FQ1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" s="2" t="e">
        <f ca="1">_xll.BDH($C$3,"5Y_GEO_GROWTH_DILUTED_EPS","FQ1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" s="2" t="e">
        <f ca="1">_xll.BDH($C$3,"GEO_GROW_DVD_PER_SH","FQ1 2018","FQ1 2018","Currency=INR","Period=FQ","BEST_FPERIOD_OVERRIDE=FQ","FILING_STATUS=OR","EQY_CONSOLIDATED=Y","Sort=A","Dates=H","DateFormat=P","Fill=—","Direction=H","UseDPDF=Y")</f>
        <v>#NAME?</v>
      </c>
      <c r="AS24" s="2" t="e">
        <f ca="1">_xll.BDH($C$3,"ACCOUNTS_RECEIVABLE_5_YR_GROWTH","FQ1 2018","FQ1 2018","Currency=INR","Period=FQ","BEST_FPERIOD_OVERRIDE=FQ","FILING_STATUS=OR","EQY_CONSOLIDATED=Y","Sort=A","Dates=H","DateFormat=P","Fill=—","Direction=H","UseDPDF=Y")</f>
        <v>#NAME?</v>
      </c>
      <c r="AT24" s="2" t="e">
        <f ca="1">_xll.BDH($C$3,"INVENTORY_5_YEAR_GROWTH","FQ1 2018","FQ1 2018","Currency=INR","Period=FQ","BEST_FPERIOD_OVERRIDE=FQ","FILING_STATUS=OR","EQY_CONSOLIDATED=Y","Sort=A","Dates=H","DateFormat=P","Fill=—","Direction=H","UseDPDF=Y")</f>
        <v>#NAME?</v>
      </c>
      <c r="AU24" s="2" t="e">
        <f ca="1">_xll.BDH($C$3,"NET_FIXED_ASSETS_5_YEAR_GROWTH","FQ1 2018","FQ1 2018","Currency=INR","Period=FQ","BEST_FPERIOD_OVERRIDE=FQ","FILING_STATUS=OR","EQY_CONSOLIDATED=Y","Sort=A","Dates=H","DateFormat=P","Fill=—","Direction=H","UseDPDF=Y")</f>
        <v>#NAME?</v>
      </c>
      <c r="AV24" s="2" t="e">
        <f ca="1">_xll.BDH($C$3,"GEO_GROW_TOT_ASSET","FQ1 2018","FQ1 2018","Currency=INR","Period=FQ","BEST_FPERIOD_OVERRIDE=FQ","FILING_STATUS=OR","EQY_CONSOLIDATED=Y","Sort=A","Dates=H","DateFormat=P","Fill=—","Direction=H","UseDPDF=Y")</f>
        <v>#NAME?</v>
      </c>
      <c r="AW24" s="2" t="e">
        <f ca="1">_xll.BDH($C$3,"MODIFIED_WORKING_CPTL_5YR_GRWTH","FQ1 2018","FQ1 2018","Currency=INR","Period=FQ","BEST_FPERIOD_OVERRIDE=FQ","FILING_STATUS=OR","EQY_CONSOLIDATED=Y","Sort=A","Dates=H","DateFormat=P","Fill=—","Direction=H","UseDPDF=Y")</f>
        <v>#NAME?</v>
      </c>
      <c r="AX24" s="2" t="e">
        <f ca="1">_xll.BDH($C$3,"WORKING_CAPITAL_5_YEAR_GROWTH","FQ1 2018","FQ1 2018","Currency=INR","Period=FQ","BEST_FPERIOD_OVERRIDE=FQ","FILING_STATUS=OR","EQY_CONSOLIDATED=Y","Sort=A","Dates=H","DateFormat=P","Fill=—","Direction=H","UseDPDF=Y")</f>
        <v>#NAME?</v>
      </c>
      <c r="AY24" s="2" t="e">
        <f ca="1">_xll.BDH($C$3,"ACCOUNTS_PAYABLE_5_YEAR_GROWTH","FQ1 2018","FQ1 2018","Currency=INR","Period=FQ","BEST_FPERIOD_OVERRIDE=FQ","FILING_STATUS=OR","EQY_CONSOLIDATED=Y","Sort=A","Dates=H","DateFormat=P","Fill=—","Direction=H","UseDPDF=Y")</f>
        <v>#NAME?</v>
      </c>
      <c r="AZ24" s="2" t="e">
        <f ca="1">_xll.BDH($C$3,"SHORT_TERM_DEBT_5_YEAR_GROWTH","FQ1 2018","FQ1 2018","Currency=INR","Period=FQ","BEST_FPERIOD_OVERRIDE=FQ","FILING_STATUS=OR","EQY_CONSOLIDATED=Y","Sort=A","Dates=H","DateFormat=P","Fill=—","Direction=H","UseDPDF=Y")</f>
        <v>#NAME?</v>
      </c>
      <c r="BA24" s="2" t="e">
        <f ca="1">_xll.BDH($C$3,"TOTAL_DEBT_5_YEAR_GROWTH","FQ1 2018","FQ1 2018","Currency=INR","Period=FQ","BEST_FPERIOD_OVERRIDE=FQ","FILING_STATUS=OR","EQY_CONSOLIDATED=Y","Sort=A","Dates=H","DateFormat=P","Fill=—","Direction=H","UseDPDF=Y")</f>
        <v>#NAME?</v>
      </c>
      <c r="BB24" s="2" t="e">
        <f ca="1">_xll.BDH($C$3,"GEO_GROW_TOT_SHRHLDR_EQY","FQ1 2018","FQ1 2018","Currency=INR","Period=FQ","BEST_FPERIOD_OVERRIDE=FQ","FILING_STATUS=OR","EQY_CONSOLIDATED=Y","Sort=A","Dates=H","DateFormat=P","Fill=—","Direction=H","UseDPDF=Y")</f>
        <v>#NAME?</v>
      </c>
      <c r="BC24" s="2" t="e">
        <f ca="1">_xll.BDH($C$3,"TOTAL_CAPITAL_5_YEAR_GROWTH","FQ1 2018","FQ1 2018","Currency=INR","Period=FQ","BEST_FPERIOD_OVERRIDE=FQ","FILING_STATUS=OR","EQY_CONSOLIDATED=Y","Sort=A","Dates=H","DateFormat=P","Fill=—","Direction=H","UseDPDF=Y")</f>
        <v>#NAME?</v>
      </c>
      <c r="BD24" s="2" t="e">
        <f ca="1">_xll.BDH($C$3,"GEO_GROW_BOOK_VAL","FQ1 2018","FQ1 2018","Currency=INR","Period=FQ","BEST_FPERIOD_OVERRIDE=FQ","FILING_STATUS=OR","EQY_CONSOLIDATED=Y","Sort=A","Dates=H","DateFormat=P","Fill=—","Direction=H","UseDPDF=Y")</f>
        <v>#NAME?</v>
      </c>
      <c r="BE24" s="2" t="e">
        <f ca="1">_xll.BDH($C$3,"GEO_GROW_CASH_OPER_ACT","FQ1 2018","FQ1 2018","Currency=INR","Period=FQ","BEST_FPERIOD_OVERRIDE=FQ","FILING_STATUS=OR","EQY_CONSOLIDATED=Y","Sort=A","Dates=H","DateFormat=P","Fill=—","Direction=H","UseDPDF=Y")</f>
        <v>#NAME?</v>
      </c>
      <c r="BF24" s="2" t="e">
        <f ca="1">_xll.BDH($C$3,"REVENUE_SEQUENTIAL_GROWTH","FQ1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" s="2" t="e">
        <f ca="1">_xll.BDH($C$3,"EBITDA_SEQUENTIAL_GROWTH","FQ1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" s="2" t="e">
        <f ca="1">_xll.BDH($C$3,"OPERATING_INCOME_SEQ_GROWTH","FQ1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" s="2" t="e">
        <f ca="1">_xll.BDH($C$3,"NET_INCOME_TO_COMMON_SEQ_GROWTH","FQ1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" s="2" t="e">
        <f ca="1">_xll.BDH($C$3,"EPS_DILUTED_SEQUENTIAL_GROWTH","FQ1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" s="2" t="e">
        <f ca="1">_xll.BDH($C$3,"DPS_SEQUENTIAL_GROWTH","FQ1 2018","FQ1 2018","Currency=INR","Period=FQ","BEST_FPERIOD_OVERRIDE=FQ","FILING_STATUS=OR","EQY_CONSOLIDATED=Y","Sort=A","Dates=H","DateFormat=P","Fill=—","Direction=H","UseDPDF=Y")</f>
        <v>#NAME?</v>
      </c>
      <c r="BL24" s="2" t="e">
        <f ca="1">_xll.BDH($C$3,"ACCOUNTS_RECEIVABLE_SEQ_GROWTH","FQ1 2018","FQ1 2018","Currency=INR","Period=FQ","BEST_FPERIOD_OVERRIDE=FQ","FILING_STATUS=OR","EQY_CONSOLIDATED=Y","Sort=A","Dates=H","DateFormat=P","Fill=—","Direction=H","UseDPDF=Y")</f>
        <v>#NAME?</v>
      </c>
      <c r="BM24" s="2" t="e">
        <f ca="1">_xll.BDH($C$3,"INVENTORY_SEQUENTIAL_GROWTH","FQ1 2018","FQ1 2018","Currency=INR","Period=FQ","BEST_FPERIOD_OVERRIDE=FQ","FILING_STATUS=OR","EQY_CONSOLIDATED=Y","Sort=A","Dates=H","DateFormat=P","Fill=—","Direction=H","UseDPDF=Y")</f>
        <v>#NAME?</v>
      </c>
      <c r="BN24" s="2" t="e">
        <f ca="1">_xll.BDH($C$3,"FIXED_ASSETS_SEQUENTIAL_GROWTH","FQ1 2018","FQ1 2018","Currency=INR","Period=FQ","BEST_FPERIOD_OVERRIDE=FQ","FILING_STATUS=OR","EQY_CONSOLIDATED=Y","Sort=A","Dates=H","DateFormat=P","Fill=—","Direction=H","UseDPDF=Y")</f>
        <v>#NAME?</v>
      </c>
      <c r="BO24" s="2" t="e">
        <f ca="1">_xll.BDH($C$3,"TOTAL_ASSETS_SEQUENTIAL_GROWTH","FQ1 2018","FQ1 2018","Currency=INR","Period=FQ","BEST_FPERIOD_OVERRIDE=FQ","FILING_STATUS=OR","EQY_CONSOLIDATED=Y","Sort=A","Dates=H","DateFormat=P","Fill=—","Direction=H","UseDPDF=Y")</f>
        <v>#NAME?</v>
      </c>
      <c r="BP24" s="2" t="e">
        <f ca="1">_xll.BDH($C$3,"MODIFIED_WORKING_CPTL_SEQ_GRWTH","FQ1 2018","FQ1 2018","Currency=INR","Period=FQ","BEST_FPERIOD_OVERRIDE=FQ","FILING_STATUS=OR","EQY_CONSOLIDATED=Y","Sort=A","Dates=H","DateFormat=P","Fill=—","Direction=H","UseDPDF=Y")</f>
        <v>#NAME?</v>
      </c>
      <c r="BQ24" s="2" t="e">
        <f ca="1">_xll.BDH($C$3,"WORKING_CAPITAL_SEQ_GROWTH","FQ1 2018","FQ1 2018","Currency=INR","Period=FQ","BEST_FPERIOD_OVERRIDE=FQ","FILING_STATUS=OR","EQY_CONSOLIDATED=Y","Sort=A","Dates=H","DateFormat=P","Fill=—","Direction=H","UseDPDF=Y")</f>
        <v>#NAME?</v>
      </c>
      <c r="BR24" s="2" t="e">
        <f ca="1">_xll.BDH($C$3,"ACCOUNTS_PAYABLE_SEQ_GROWTH","FQ1 2018","FQ1 2018","Currency=INR","Period=FQ","BEST_FPERIOD_OVERRIDE=FQ","FILING_STATUS=OR","EQY_CONSOLIDATED=Y","Sort=A","Dates=H","DateFormat=P","Fill=—","Direction=H","UseDPDF=Y")</f>
        <v>#NAME?</v>
      </c>
      <c r="BS24" s="2" t="e">
        <f ca="1">_xll.BDH($C$3,"ST_DEBT_SEQUENTIAL_GROWTH","FQ1 2018","FQ1 2018","Currency=INR","Period=FQ","BEST_FPERIOD_OVERRIDE=FQ","FILING_STATUS=OR","EQY_CONSOLIDATED=Y","Sort=A","Dates=H","DateFormat=P","Fill=—","Direction=H","UseDPDF=Y")</f>
        <v>#NAME?</v>
      </c>
      <c r="BT24" s="2" t="e">
        <f ca="1">_xll.BDH($C$3,"TOTAL_DEBT_SEQUENTIAL_GROWTH","FQ1 2018","FQ1 2018","Currency=INR","Period=FQ","BEST_FPERIOD_OVERRIDE=FQ","FILING_STATUS=OR","EQY_CONSOLIDATED=Y","Sort=A","Dates=H","DateFormat=P","Fill=—","Direction=H","UseDPDF=Y")</f>
        <v>#NAME?</v>
      </c>
      <c r="BU24" s="2" t="e">
        <f ca="1">_xll.BDH($C$3,"TOTAL_EQUITY_SEQUENTIAL_GROWTH","FQ1 2018","FQ1 2018","Currency=INR","Period=FQ","BEST_FPERIOD_OVERRIDE=FQ","FILING_STATUS=OR","EQY_CONSOLIDATED=Y","Sort=A","Dates=H","DateFormat=P","Fill=—","Direction=H","UseDPDF=Y")</f>
        <v>#NAME?</v>
      </c>
      <c r="BV24" s="2" t="e">
        <f ca="1">_xll.BDH($C$3,"TOTAL_CAPITAL_SEQUENTIAL_GROWTH","FQ1 2018","FQ1 2018","Currency=INR","Period=FQ","BEST_FPERIOD_OVERRIDE=FQ","FILING_STATUS=OR","EQY_CONSOLIDATED=Y","Sort=A","Dates=H","DateFormat=P","Fill=—","Direction=H","UseDPDF=Y")</f>
        <v>#NAME?</v>
      </c>
      <c r="BW24" s="2" t="e">
        <f ca="1">_xll.BDH($C$3,"BPS_SEQUENTIAL_GROWTH","FQ1 2018","FQ1 2018","Currency=INR","Period=FQ","BEST_FPERIOD_OVERRIDE=FQ","FILING_STATUS=OR","EQY_CONSOLIDATED=Y","Sort=A","Dates=H","DateFormat=P","Fill=—","Direction=H","UseDPDF=Y")</f>
        <v>#NAME?</v>
      </c>
      <c r="BX24" s="2" t="e">
        <f ca="1">_xll.BDH($C$3,"CFO_SEQUENTIAL_GROWTH","FQ1 2018","FQ1 2018","Currency=INR","Period=FQ","BEST_FPERIOD_OVERRIDE=FQ","FILING_STATUS=OR","EQY_CONSOLIDATED=Y","Sort=A","Dates=H","DateFormat=P","Fill=—","Direction=H","UseDPDF=Y")</f>
        <v>#NAME?</v>
      </c>
      <c r="BY24" s="3" t="e">
        <f ca="1">_xll.BDH($C$3,"SHORT_AND_LONG_TERM_DEBT","FQ1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" s="3" t="e">
        <f ca="1">_xll.BDH($C$3,"BS_ST_BORROW","FQ1 2018","FQ1 2018","Currency=INR","Period=FQ","BEST_FPERIOD_OVERRIDE=FQ","FILING_STATUS=OR","EQY_CONSOLIDATED=Y","SCALING_FORMAT=MLN","Sort=A","Dates=H","DateFormat=P","Fill=—","Direction=H","UseDPDF=Y")</f>
        <v>#NAME?</v>
      </c>
      <c r="CA24" s="3" t="e">
        <f ca="1">_xll.BDH($C$3,"BS_LT_BORROW","FQ1 2018","FQ1 2018","Currency=INR","Period=FQ","BEST_FPERIOD_OVERRIDE=FQ","FILING_STATUS=OR","EQY_CONSOLIDATED=Y","SCALING_FORMAT=MLN","Sort=A","Dates=H","DateFormat=P","Fill=—","Direction=H","UseDPDF=Y")</f>
        <v>#NAME?</v>
      </c>
      <c r="CB24" s="2" t="e">
        <f ca="1">_xll.BDH($C$3,"TOT_DEBT_TO_EBITDA","FQ1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" s="2" t="e">
        <f ca="1">_xll.BDH($C$3,"NET_DEBT_TO_EBITDA","FQ1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" s="2" t="e">
        <f ca="1">_xll.BDH($C$3,"TOTAL_DEBT_TO_EBIT","FQ1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" s="2" t="e">
        <f ca="1">_xll.BDH($C$3,"NET_DEBT_TO_EBIT","FQ1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" s="2" t="e">
        <f ca="1">_xll.BDH($C$3,"EBITDA_TO_INTEREST_EXPN","FQ1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" s="2" t="e">
        <f ca="1">_xll.BDH($C$3,"COM_EQY_TO_TOT_ASSET","FQ1 2018","FQ1 2018","Currency=INR","Period=FQ","BEST_FPERIOD_OVERRIDE=FQ","FILING_STATUS=OR","EQY_CONSOLIDATED=Y","Sort=A","Dates=H","DateFormat=P","Fill=—","Direction=H","UseDPDF=Y")</f>
        <v>#NAME?</v>
      </c>
      <c r="CH24" s="2" t="e">
        <f ca="1">_xll.BDH($C$3,"LT_DEBT_TO_TOT_EQY","FQ1 2018","FQ1 2018","Currency=INR","Period=FQ","BEST_FPERIOD_OVERRIDE=FQ","FILING_STATUS=OR","EQY_CONSOLIDATED=Y","Sort=A","Dates=H","DateFormat=P","Fill=—","Direction=H","UseDPDF=Y")</f>
        <v>#NAME?</v>
      </c>
      <c r="CI24" s="2" t="e">
        <f ca="1">_xll.BDH($C$3,"LT_DEBT_TO_TOT_CAP","FQ1 2018","FQ1 2018","Currency=INR","Period=FQ","BEST_FPERIOD_OVERRIDE=FQ","FILING_STATUS=OR","EQY_CONSOLIDATED=Y","Sort=A","Dates=H","DateFormat=P","Fill=—","Direction=H","UseDPDF=Y")</f>
        <v>#NAME?</v>
      </c>
      <c r="CJ24" s="2" t="e">
        <f ca="1">_xll.BDH($C$3,"LT_DEBT_TO_TOT_ASSET","FQ1 2018","FQ1 2018","Currency=INR","Period=FQ","BEST_FPERIOD_OVERRIDE=FQ","FILING_STATUS=OR","EQY_CONSOLIDATED=Y","Sort=A","Dates=H","DateFormat=P","Fill=—","Direction=H","UseDPDF=Y")</f>
        <v>#NAME?</v>
      </c>
      <c r="CK24" s="2" t="e">
        <f ca="1">_xll.BDH($C$3,"TOT_DEBT_TO_TOT_EQY","FQ1 2018","FQ1 2018","Currency=INR","Period=FQ","BEST_FPERIOD_OVERRIDE=FQ","FILING_STATUS=OR","EQY_CONSOLIDATED=Y","Sort=A","Dates=H","DateFormat=P","Fill=—","Direction=H","UseDPDF=Y")</f>
        <v>#NAME?</v>
      </c>
      <c r="CL24" s="2" t="e">
        <f ca="1">_xll.BDH($C$3,"TOT_DEBT_TO_TOT_CAP","FQ1 2018","FQ1 2018","Currency=INR","Period=FQ","BEST_FPERIOD_OVERRIDE=FQ","FILING_STATUS=OR","EQY_CONSOLIDATED=Y","Sort=A","Dates=H","DateFormat=P","Fill=—","Direction=H","UseDPDF=Y")</f>
        <v>#NAME?</v>
      </c>
      <c r="CM24" s="2" t="e">
        <f ca="1">_xll.BDH($C$3,"TOT_DEBT_TO_TOT_ASSET","FQ1 2018","FQ1 2018","Currency=INR","Period=FQ","BEST_FPERIOD_OVERRIDE=FQ","FILING_STATUS=OR","EQY_CONSOLIDATED=Y","Sort=A","Dates=H","DateFormat=P","Fill=—","Direction=H","UseDPDF=Y")</f>
        <v>#NAME?</v>
      </c>
      <c r="CN24" s="2" t="e">
        <f ca="1">_xll.BDH($C$3,"NET_DEBT_TO_SHRHLDR_EQTY","FQ1 2018","FQ1 2018","Currency=INR","Period=FQ","BEST_FPERIOD_OVERRIDE=FQ","FILING_STATUS=OR","EQY_CONSOLIDATED=Y","Sort=A","Dates=H","DateFormat=P","Fill=—","Direction=H","UseDPDF=Y")</f>
        <v>#NAME?</v>
      </c>
      <c r="CO24" s="2" t="e">
        <f ca="1">_xll.BDH($C$3,"NET_DEBT_%_CAPITAL","FQ1 2018","FQ1 2018","Currency=INR","Period=FQ","BEST_FPERIOD_OVERRIDE=FQ","FILING_STATUS=OR","EQY_CONSOLIDATED=Y","Sort=A","Dates=H","DateFormat=P","Fill=—","Direction=H","UseDPDF=Y")</f>
        <v>#NAME?</v>
      </c>
      <c r="CP24" s="3" t="e">
        <f ca="1">_xll.BDH($C$3,"EBITDA","FQ1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" s="3" t="e">
        <f ca="1">_xll.BDH($C$3,"EBITDA_AFTER_CAPEX","FQ1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" s="3" t="e">
        <f ca="1">_xll.BDH($C$3,"IS_OPER_INC","FQ1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" s="2" t="e">
        <f ca="1">_xll.BDH($C$3,"CASH_RATIO","FQ1 2018","FQ1 2018","Currency=INR","Period=FQ","BEST_FPERIOD_OVERRIDE=FQ","FILING_STATUS=OR","EQY_CONSOLIDATED=Y","Sort=A","Dates=H","DateFormat=P","Fill=—","Direction=H","UseDPDF=Y")</f>
        <v>#NAME?</v>
      </c>
      <c r="CT24" s="2" t="e">
        <f ca="1">_xll.BDH($C$3,"CUR_RATIO","FQ1 2018","FQ1 2018","Currency=INR","Period=FQ","BEST_FPERIOD_OVERRIDE=FQ","FILING_STATUS=OR","EQY_CONSOLIDATED=Y","Sort=A","Dates=H","DateFormat=P","Fill=—","Direction=H","UseDPDF=Y")</f>
        <v>#NAME?</v>
      </c>
      <c r="CU24" s="2" t="e">
        <f ca="1">_xll.BDH($C$3,"QUICK_RATIO","FQ1 2018","FQ1 2018","Currency=INR","Period=FQ","BEST_FPERIOD_OVERRIDE=FQ","FILING_STATUS=OR","EQY_CONSOLIDATED=Y","Sort=A","Dates=H","DateFormat=P","Fill=—","Direction=H","UseDPDF=Y")</f>
        <v>#NAME?</v>
      </c>
      <c r="CV24" s="2" t="e">
        <f ca="1">_xll.BDH($C$3,"ALTMAN_Z_SCORE","FQ1 2018","FQ1 2018","Currency=INR","Period=FQ","BEST_FPERIOD_OVERRIDE=FQ","FILING_STATUS=OR","EQY_CONSOLIDATED=Y","Sort=A","Dates=H","DateFormat=P","Fill=—","Direction=H","UseDPDF=Y")</f>
        <v>#NAME?</v>
      </c>
      <c r="CW24" s="4" t="e">
        <f ca="1">_xll.BDH($C$3,"ACCT_RCV_TURN","FQ1 2018","FQ1 2018","Currency=INR","Period=FQ","BEST_FPERIOD_OVERRIDE=FQ","FILING_STATUS=OR","EQY_CONSOLIDATED=Y","FA_ADJUSTED=GAAP","Sort=A","Dates=H","DateFormat=P","Fill=—","Direction=H","UseDPDF=Y")</f>
        <v>#NAME?</v>
      </c>
      <c r="CX24" s="2" t="e">
        <f ca="1">_xll.BDH($C$3,"ACCT_RCV_DAYS","FQ1 2018","FQ1 2018","Currency=INR","Period=FQ","BEST_FPERIOD_OVERRIDE=FQ","FILING_STATUS=OR","EQY_CONSOLIDATED=Y","FA_ADJUSTED=GAAP","Sort=A","Dates=H","DateFormat=P","Fill=—","Direction=H","UseDPDF=Y")</f>
        <v>#NAME?</v>
      </c>
      <c r="CY24" s="4" t="e">
        <f ca="1">_xll.BDH($C$3,"INVENT_TURN","FQ1 2018","FQ1 2018","Currency=INR","Period=FQ","BEST_FPERIOD_OVERRIDE=FQ","FILING_STATUS=OR","EQY_CONSOLIDATED=Y","FA_ADJUSTED=GAAP","Sort=A","Dates=H","DateFormat=P","Fill=—","Direction=H","UseDPDF=Y")</f>
        <v>#NAME?</v>
      </c>
      <c r="CZ24" s="2" t="e">
        <f ca="1">_xll.BDH($C$3,"INVENT_DAYS","FQ1 2018","FQ1 2018","Currency=INR","Period=FQ","BEST_FPERIOD_OVERRIDE=FQ","FILING_STATUS=OR","EQY_CONSOLIDATED=Y","FA_ADJUSTED=GAAP","Sort=A","Dates=H","DateFormat=P","Fill=—","Direction=H","UseDPDF=Y")</f>
        <v>#NAME?</v>
      </c>
      <c r="DA24" s="4" t="e">
        <f ca="1">_xll.BDH($C$3,"ACCOUNTS_PAYABLE_TURNOVER","FQ1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" s="2" t="e">
        <f ca="1">_xll.BDH($C$3,"ACCOUNTS_PAYABLE_TURNOVER_DAYS","FQ1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" s="4" t="e">
        <f ca="1">_xll.BDH($C$3,"CASH_CONVERSION_CYCLE","FQ1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" s="4" t="e">
        <f ca="1">_xll.BDH($C$3,"INV_TO_CASH_DAYS","FQ1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" s="5" t="e">
        <f ca="1">_xll.BDH($C$3,"BS_INVENTORIES","FQ1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" s="3" t="e">
        <f ca="1">_xll.BDH($C$3,"INVTRY_RAW_MATERIALS","FQ1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" s="3" t="e">
        <f ca="1">_xll.BDH($C$3,"INVTRY_IN_PROGRESS","FQ1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" s="3" t="e">
        <f ca="1">_xll.BDH($C$3,"INVTRY_FINISHED_GOODS","FQ1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" s="3" t="e">
        <f ca="1">_xll.BDH($C$3,"BS_OTHER_INV","FQ1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" spans="1:113" x14ac:dyDescent="0.3">
      <c r="A25" s="6"/>
      <c r="B25" s="6"/>
      <c r="C25" s="6"/>
      <c r="D25" s="6"/>
      <c r="E25" t="s">
        <v>79</v>
      </c>
      <c r="F25" t="e">
        <f ca="1">_xll.BDH($C$3,"RETURN_COM_EQY","FQ2 2018","FQ2 2018","Currency=INR","Period=FQ","BEST_FPERIOD_OVERRIDE=FQ","FILING_STATUS=OR","EQY_CONSOLIDATED=Y","FA_ADJUSTED=GAAP","Sort=A","Dates=H","DateFormat=P","Fill=—","Direction=H","UseDPDF=Y")</f>
        <v>#NAME?</v>
      </c>
      <c r="G25" t="e">
        <f ca="1">_xll.BDH($C$3,"RETURN_ON_ASSET","FQ2 2018","FQ2 2018","Currency=INR","Period=FQ","BEST_FPERIOD_OVERRIDE=FQ","FILING_STATUS=OR","EQY_CONSOLIDATED=Y","FA_ADJUSTED=GAAP","Sort=A","Dates=H","DateFormat=P","Fill=—","Direction=H","UseDPDF=Y")</f>
        <v>#NAME?</v>
      </c>
      <c r="H25" t="e">
        <f ca="1">_xll.BDH($C$3,"RETURN_ON_CAP","FQ2 2018","FQ2 2018","Currency=INR","Period=FQ","BEST_FPERIOD_OVERRIDE=FQ","FILING_STATUS=OR","EQY_CONSOLIDATED=Y","FA_ADJUSTED=GAAP","Sort=A","Dates=H","DateFormat=P","Fill=—","Direction=H","UseDPDF=Y")</f>
        <v>#NAME?</v>
      </c>
      <c r="I25" t="e">
        <f ca="1">_xll.BDH($C$3,"RETURN_ON_INV_CAPITAL","FQ2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" t="e">
        <f ca="1">_xll.BDH($C$3,"EBITDA_TO_REVENUE","FQ2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" t="e">
        <f ca="1">_xll.BDH($C$3,"OPER_MARGIN","FQ2 2018","FQ2 2018","Currency=INR","Period=FQ","BEST_FPERIOD_OVERRIDE=FQ","FILING_STATUS=OR","EQY_CONSOLIDATED=Y","FA_ADJUSTED=GAAP","Sort=A","Dates=H","DateFormat=P","Fill=—","Direction=H","UseDPDF=Y")</f>
        <v>#NAME?</v>
      </c>
      <c r="L25" t="e">
        <f ca="1">_xll.BDH($C$3,"INCREMENTAL_OPERATING_MARGIN","FQ2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" t="e">
        <f ca="1">_xll.BDH($C$3,"PRETAX_INC_TO_NET_SALES","FQ2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" t="e">
        <f ca="1">_xll.BDH($C$3,"INC_BEF_XO_ITEMS_TO_NET_SALES","FQ2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" t="e">
        <f ca="1">_xll.BDH($C$3,"PROF_MARGIN","FQ2 2018","FQ2 2018","Currency=INR","Period=FQ","BEST_FPERIOD_OVERRIDE=FQ","FILING_STATUS=OR","EQY_CONSOLIDATED=Y","FA_ADJUSTED=GAAP","Sort=A","Dates=H","DateFormat=P","Fill=—","Direction=H","UseDPDF=Y")</f>
        <v>#NAME?</v>
      </c>
      <c r="P25" t="e">
        <f ca="1">_xll.BDH($C$3,"NET_INCOME_TO_COMMON_MARGIN","FQ2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" t="e">
        <f ca="1">_xll.BDH($C$3,"EFF_TAX_RATE","FQ2 2018","FQ2 2018","Currency=INR","Period=FQ","BEST_FPERIOD_OVERRIDE=FQ","FILING_STATUS=OR","EQY_CONSOLIDATED=Y","FA_ADJUSTED=GAAP","Sort=A","Dates=H","DateFormat=P","Fill=—","Direction=H","UseDPDF=Y")</f>
        <v>#NAME?</v>
      </c>
      <c r="R25" t="e">
        <f ca="1">_xll.BDH($C$3,"DVD_PAYOUT_RATIO","FQ2 2018","FQ2 2018","Currency=INR","Period=FQ","BEST_FPERIOD_OVERRIDE=FQ","FILING_STATUS=OR","EQY_CONSOLIDATED=Y","FA_ADJUSTED=GAAP","Sort=A","Dates=H","DateFormat=P","Fill=—","Direction=H","UseDPDF=Y")</f>
        <v>#NAME?</v>
      </c>
      <c r="S25" t="e">
        <f ca="1">_xll.BDH($C$3,"SUSTAIN_GROWTH_RT","FQ2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" s="2" t="e">
        <f ca="1">_xll.BDH($C$3,"SALES_GROWTH","FQ2 2018","FQ2 2018","Currency=INR","Period=FQ","BEST_FPERIOD_OVERRIDE=FQ","FILING_STATUS=OR","EQY_CONSOLIDATED=Y","FA_ADJUSTED=GAAP","Sort=A","Dates=H","DateFormat=P","Fill=—","Direction=H","UseDPDF=Y")</f>
        <v>#NAME?</v>
      </c>
      <c r="U25" s="2" t="e">
        <f ca="1">_xll.BDH($C$3,"EBITDA_GROWTH","FQ2 2018","FQ2 2018","Currency=INR","Period=FQ","BEST_FPERIOD_OVERRIDE=FQ","FILING_STATUS=OR","EQY_CONSOLIDATED=Y","FA_ADJUSTED=GAAP","Sort=A","Dates=H","DateFormat=P","Fill=—","Direction=H","UseDPDF=Y")</f>
        <v>#NAME?</v>
      </c>
      <c r="V25" s="2" t="e">
        <f ca="1">_xll.BDH($C$3,"OPER_INC_GROWTH","FQ2 2018","FQ2 2018","Currency=INR","Period=FQ","BEST_FPERIOD_OVERRIDE=FQ","FILING_STATUS=OR","EQY_CONSOLIDATED=Y","FA_ADJUSTED=GAAP","Sort=A","Dates=H","DateFormat=P","Fill=—","Direction=H","UseDPDF=Y")</f>
        <v>#NAME?</v>
      </c>
      <c r="W25" s="2" t="e">
        <f ca="1">_xll.BDH($C$3,"EARN_FOR_COM_GROWTH","FQ2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" s="2" t="e">
        <f ca="1">_xll.BDH($C$3,"DILUTED_EPS_AFT_XO_ITEMS_GROWTH","FQ2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" s="2" t="e">
        <f ca="1">_xll.BDH($C$3,"DIVIDEND_PER_SHARE_1_YEAR_GROWTH","FQ2 2018","FQ2 2018","Currency=INR","Period=FQ","BEST_FPERIOD_OVERRIDE=FQ","FILING_STATUS=OR","EQY_CONSOLIDATED=Y","Sort=A","Dates=H","DateFormat=P","Fill=—","Direction=H","UseDPDF=Y")</f>
        <v>#NAME?</v>
      </c>
      <c r="Z25" s="2" t="e">
        <f ca="1">_xll.BDH($C$3,"ACCOUNTS_RECEIVABLE_GROWTH","FQ2 2018","FQ2 2018","Currency=INR","Period=FQ","BEST_FPERIOD_OVERRIDE=FQ","FILING_STATUS=OR","EQY_CONSOLIDATED=Y","Sort=A","Dates=H","DateFormat=P","Fill=—","Direction=H","UseDPDF=Y")</f>
        <v>#NAME?</v>
      </c>
      <c r="AA25" s="2" t="e">
        <f ca="1">_xll.BDH($C$3,"INVENTORY_GROWTH","FQ2 2018","FQ2 2018","Currency=INR","Period=FQ","BEST_FPERIOD_OVERRIDE=FQ","FILING_STATUS=OR","EQY_CONSOLIDATED=Y","Sort=A","Dates=H","DateFormat=P","Fill=—","Direction=H","UseDPDF=Y")</f>
        <v>#NAME?</v>
      </c>
      <c r="AB25" s="2" t="e">
        <f ca="1">_xll.BDH($C$3,"NET_FIXED_ASSETS_1_YEAR_GROWTH","FQ2 2018","FQ2 2018","Currency=INR","Period=FQ","BEST_FPERIOD_OVERRIDE=FQ","FILING_STATUS=OR","EQY_CONSOLIDATED=Y","Sort=A","Dates=H","DateFormat=P","Fill=—","Direction=H","UseDPDF=Y")</f>
        <v>#NAME?</v>
      </c>
      <c r="AC25" s="2" t="e">
        <f ca="1">_xll.BDH($C$3,"ASSET_GROWTH","FQ2 2018","FQ2 2018","Currency=INR","Period=FQ","BEST_FPERIOD_OVERRIDE=FQ","FILING_STATUS=OR","EQY_CONSOLIDATED=Y","Sort=A","Dates=H","DateFormat=P","Fill=—","Direction=H","UseDPDF=Y")</f>
        <v>#NAME?</v>
      </c>
      <c r="AD25" s="2" t="e">
        <f ca="1">_xll.BDH($C$3,"MODIFIED_WORK_CAP_GROWTH","FQ2 2018","FQ2 2018","Currency=INR","Period=FQ","BEST_FPERIOD_OVERRIDE=FQ","FILING_STATUS=OR","EQY_CONSOLIDATED=Y","Sort=A","Dates=H","DateFormat=P","Fill=—","Direction=H","UseDPDF=Y")</f>
        <v>#NAME?</v>
      </c>
      <c r="AE25" s="2" t="e">
        <f ca="1">_xll.BDH($C$3,"WORK_CAP_GROWTH","FQ2 2018","FQ2 2018","Currency=INR","Period=FQ","BEST_FPERIOD_OVERRIDE=FQ","FILING_STATUS=OR","EQY_CONSOLIDATED=Y","Sort=A","Dates=H","DateFormat=P","Fill=—","Direction=H","UseDPDF=Y")</f>
        <v>#NAME?</v>
      </c>
      <c r="AF25" s="2" t="e">
        <f ca="1">_xll.BDH($C$3,"ACCOUNTS_PAYABLE_GROWTH_1YR","FQ2 2018","FQ2 2018","Currency=INR","Period=FQ","BEST_FPERIOD_OVERRIDE=FQ","FILING_STATUS=OR","EQY_CONSOLIDATED=Y","Sort=A","Dates=H","DateFormat=P","Fill=—","Direction=H","UseDPDF=Y")</f>
        <v>#NAME?</v>
      </c>
      <c r="AG25" s="2" t="e">
        <f ca="1">_xll.BDH($C$3,"SHORT_TERM_DEBT_1_YEAR_GROWTH","FQ2 2018","FQ2 2018","Currency=INR","Period=FQ","BEST_FPERIOD_OVERRIDE=FQ","FILING_STATUS=OR","EQY_CONSOLIDATED=Y","Sort=A","Dates=H","DateFormat=P","Fill=—","Direction=H","UseDPDF=Y")</f>
        <v>#NAME?</v>
      </c>
      <c r="AH25" s="2" t="e">
        <f ca="1">_xll.BDH($C$3,"TOTAL_DEBT_1_YEAR_GROWTH","FQ2 2018","FQ2 2018","Currency=INR","Period=FQ","BEST_FPERIOD_OVERRIDE=FQ","FILING_STATUS=OR","EQY_CONSOLIDATED=Y","Sort=A","Dates=H","DateFormat=P","Fill=—","Direction=H","UseDPDF=Y")</f>
        <v>#NAME?</v>
      </c>
      <c r="AI25" s="2" t="e">
        <f ca="1">_xll.BDH($C$3,"TOTAL_EQUITY_1_YEAR_GROWTH","FQ2 2018","FQ2 2018","Currency=INR","Period=FQ","BEST_FPERIOD_OVERRIDE=FQ","FILING_STATUS=OR","EQY_CONSOLIDATED=Y","Sort=A","Dates=H","DateFormat=P","Fill=—","Direction=H","UseDPDF=Y")</f>
        <v>#NAME?</v>
      </c>
      <c r="AJ25" s="2" t="e">
        <f ca="1">_xll.BDH($C$3,"GROWTH_IN_CAP","FQ2 2018","FQ2 2018","Currency=INR","Period=FQ","BEST_FPERIOD_OVERRIDE=FQ","FILING_STATUS=OR","EQY_CONSOLIDATED=Y","Sort=A","Dates=H","DateFormat=P","Fill=—","Direction=H","UseDPDF=Y")</f>
        <v>#NAME?</v>
      </c>
      <c r="AK25" s="2" t="e">
        <f ca="1">_xll.BDH($C$3,"BVPS_GROWTH","FQ2 2018","FQ2 2018","Currency=INR","Period=FQ","BEST_FPERIOD_OVERRIDE=FQ","FILING_STATUS=OR","EQY_CONSOLIDATED=Y","Sort=A","Dates=H","DateFormat=P","Fill=—","Direction=H","UseDPDF=Y")</f>
        <v>#NAME?</v>
      </c>
      <c r="AL25" s="2" t="e">
        <f ca="1">_xll.BDH($C$3,"CASH_FLOW_GROWTH","FQ2 2018","FQ2 2018","Currency=INR","Period=FQ","BEST_FPERIOD_OVERRIDE=FQ","FILING_STATUS=OR","EQY_CONSOLIDATED=Y","Sort=A","Dates=H","DateFormat=P","Fill=—","Direction=H","UseDPDF=Y")</f>
        <v>#NAME?</v>
      </c>
      <c r="AM25" s="2" t="e">
        <f ca="1">_xll.BDH($C$3,"GEO_GROW_NET_SALES","FQ2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" s="2" t="e">
        <f ca="1">_xll.BDH($C$3,"GEO_GROW_EBITDA","FQ2 2018","FQ2 2018","Currency=INR","Period=FQ","BEST_FPERIOD_OVERRIDE=FQ","FILING_STATUS=OR","EQY_CONSOLIDATED=Y","FA_ADJUSTED=GAAP","Sort=A","Dates=H","DateFormat=P","Fill=—","Direction=H","UseDPDF=Y")</f>
        <v>#NAME?</v>
      </c>
      <c r="AO25" s="2" t="e">
        <f ca="1">_xll.BDH($C$3,"GEO_GROW_OPER_INC","FQ2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" s="2" t="e">
        <f ca="1">_xll.BDH($C$3,"NET_INCOME_TO_COMMON_5_YR_GROWTH","FQ2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" s="2" t="e">
        <f ca="1">_xll.BDH($C$3,"5Y_GEO_GROWTH_DILUTED_EPS","FQ2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" s="2" t="e">
        <f ca="1">_xll.BDH($C$3,"GEO_GROW_DVD_PER_SH","FQ2 2018","FQ2 2018","Currency=INR","Period=FQ","BEST_FPERIOD_OVERRIDE=FQ","FILING_STATUS=OR","EQY_CONSOLIDATED=Y","Sort=A","Dates=H","DateFormat=P","Fill=—","Direction=H","UseDPDF=Y")</f>
        <v>#NAME?</v>
      </c>
      <c r="AS25" s="2" t="e">
        <f ca="1">_xll.BDH($C$3,"ACCOUNTS_RECEIVABLE_5_YR_GROWTH","FQ2 2018","FQ2 2018","Currency=INR","Period=FQ","BEST_FPERIOD_OVERRIDE=FQ","FILING_STATUS=OR","EQY_CONSOLIDATED=Y","Sort=A","Dates=H","DateFormat=P","Fill=—","Direction=H","UseDPDF=Y")</f>
        <v>#NAME?</v>
      </c>
      <c r="AT25" s="2" t="e">
        <f ca="1">_xll.BDH($C$3,"INVENTORY_5_YEAR_GROWTH","FQ2 2018","FQ2 2018","Currency=INR","Period=FQ","BEST_FPERIOD_OVERRIDE=FQ","FILING_STATUS=OR","EQY_CONSOLIDATED=Y","Sort=A","Dates=H","DateFormat=P","Fill=—","Direction=H","UseDPDF=Y")</f>
        <v>#NAME?</v>
      </c>
      <c r="AU25" s="2" t="e">
        <f ca="1">_xll.BDH($C$3,"NET_FIXED_ASSETS_5_YEAR_GROWTH","FQ2 2018","FQ2 2018","Currency=INR","Period=FQ","BEST_FPERIOD_OVERRIDE=FQ","FILING_STATUS=OR","EQY_CONSOLIDATED=Y","Sort=A","Dates=H","DateFormat=P","Fill=—","Direction=H","UseDPDF=Y")</f>
        <v>#NAME?</v>
      </c>
      <c r="AV25" s="2" t="e">
        <f ca="1">_xll.BDH($C$3,"GEO_GROW_TOT_ASSET","FQ2 2018","FQ2 2018","Currency=INR","Period=FQ","BEST_FPERIOD_OVERRIDE=FQ","FILING_STATUS=OR","EQY_CONSOLIDATED=Y","Sort=A","Dates=H","DateFormat=P","Fill=—","Direction=H","UseDPDF=Y")</f>
        <v>#NAME?</v>
      </c>
      <c r="AW25" s="2" t="e">
        <f ca="1">_xll.BDH($C$3,"MODIFIED_WORKING_CPTL_5YR_GRWTH","FQ2 2018","FQ2 2018","Currency=INR","Period=FQ","BEST_FPERIOD_OVERRIDE=FQ","FILING_STATUS=OR","EQY_CONSOLIDATED=Y","Sort=A","Dates=H","DateFormat=P","Fill=—","Direction=H","UseDPDF=Y")</f>
        <v>#NAME?</v>
      </c>
      <c r="AX25" s="2" t="e">
        <f ca="1">_xll.BDH($C$3,"WORKING_CAPITAL_5_YEAR_GROWTH","FQ2 2018","FQ2 2018","Currency=INR","Period=FQ","BEST_FPERIOD_OVERRIDE=FQ","FILING_STATUS=OR","EQY_CONSOLIDATED=Y","Sort=A","Dates=H","DateFormat=P","Fill=—","Direction=H","UseDPDF=Y")</f>
        <v>#NAME?</v>
      </c>
      <c r="AY25" s="2" t="e">
        <f ca="1">_xll.BDH($C$3,"ACCOUNTS_PAYABLE_5_YEAR_GROWTH","FQ2 2018","FQ2 2018","Currency=INR","Period=FQ","BEST_FPERIOD_OVERRIDE=FQ","FILING_STATUS=OR","EQY_CONSOLIDATED=Y","Sort=A","Dates=H","DateFormat=P","Fill=—","Direction=H","UseDPDF=Y")</f>
        <v>#NAME?</v>
      </c>
      <c r="AZ25" s="2" t="e">
        <f ca="1">_xll.BDH($C$3,"SHORT_TERM_DEBT_5_YEAR_GROWTH","FQ2 2018","FQ2 2018","Currency=INR","Period=FQ","BEST_FPERIOD_OVERRIDE=FQ","FILING_STATUS=OR","EQY_CONSOLIDATED=Y","Sort=A","Dates=H","DateFormat=P","Fill=—","Direction=H","UseDPDF=Y")</f>
        <v>#NAME?</v>
      </c>
      <c r="BA25" s="2" t="e">
        <f ca="1">_xll.BDH($C$3,"TOTAL_DEBT_5_YEAR_GROWTH","FQ2 2018","FQ2 2018","Currency=INR","Period=FQ","BEST_FPERIOD_OVERRIDE=FQ","FILING_STATUS=OR","EQY_CONSOLIDATED=Y","Sort=A","Dates=H","DateFormat=P","Fill=—","Direction=H","UseDPDF=Y")</f>
        <v>#NAME?</v>
      </c>
      <c r="BB25" s="2" t="e">
        <f ca="1">_xll.BDH($C$3,"GEO_GROW_TOT_SHRHLDR_EQY","FQ2 2018","FQ2 2018","Currency=INR","Period=FQ","BEST_FPERIOD_OVERRIDE=FQ","FILING_STATUS=OR","EQY_CONSOLIDATED=Y","Sort=A","Dates=H","DateFormat=P","Fill=—","Direction=H","UseDPDF=Y")</f>
        <v>#NAME?</v>
      </c>
      <c r="BC25" s="2" t="e">
        <f ca="1">_xll.BDH($C$3,"TOTAL_CAPITAL_5_YEAR_GROWTH","FQ2 2018","FQ2 2018","Currency=INR","Period=FQ","BEST_FPERIOD_OVERRIDE=FQ","FILING_STATUS=OR","EQY_CONSOLIDATED=Y","Sort=A","Dates=H","DateFormat=P","Fill=—","Direction=H","UseDPDF=Y")</f>
        <v>#NAME?</v>
      </c>
      <c r="BD25" s="2" t="e">
        <f ca="1">_xll.BDH($C$3,"GEO_GROW_BOOK_VAL","FQ2 2018","FQ2 2018","Currency=INR","Period=FQ","BEST_FPERIOD_OVERRIDE=FQ","FILING_STATUS=OR","EQY_CONSOLIDATED=Y","Sort=A","Dates=H","DateFormat=P","Fill=—","Direction=H","UseDPDF=Y")</f>
        <v>#NAME?</v>
      </c>
      <c r="BE25" s="2" t="e">
        <f ca="1">_xll.BDH($C$3,"GEO_GROW_CASH_OPER_ACT","FQ2 2018","FQ2 2018","Currency=INR","Period=FQ","BEST_FPERIOD_OVERRIDE=FQ","FILING_STATUS=OR","EQY_CONSOLIDATED=Y","Sort=A","Dates=H","DateFormat=P","Fill=—","Direction=H","UseDPDF=Y")</f>
        <v>#NAME?</v>
      </c>
      <c r="BF25" s="2" t="e">
        <f ca="1">_xll.BDH($C$3,"REVENUE_SEQUENTIAL_GROWTH","FQ2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" s="2" t="e">
        <f ca="1">_xll.BDH($C$3,"EBITDA_SEQUENTIAL_GROWTH","FQ2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" s="2" t="e">
        <f ca="1">_xll.BDH($C$3,"OPERATING_INCOME_SEQ_GROWTH","FQ2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" s="2" t="e">
        <f ca="1">_xll.BDH($C$3,"NET_INCOME_TO_COMMON_SEQ_GROWTH","FQ2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" s="2" t="e">
        <f ca="1">_xll.BDH($C$3,"EPS_DILUTED_SEQUENTIAL_GROWTH","FQ2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" s="2" t="e">
        <f ca="1">_xll.BDH($C$3,"DPS_SEQUENTIAL_GROWTH","FQ2 2018","FQ2 2018","Currency=INR","Period=FQ","BEST_FPERIOD_OVERRIDE=FQ","FILING_STATUS=OR","EQY_CONSOLIDATED=Y","Sort=A","Dates=H","DateFormat=P","Fill=—","Direction=H","UseDPDF=Y")</f>
        <v>#NAME?</v>
      </c>
      <c r="BL25" s="2" t="e">
        <f ca="1">_xll.BDH($C$3,"ACCOUNTS_RECEIVABLE_SEQ_GROWTH","FQ2 2018","FQ2 2018","Currency=INR","Period=FQ","BEST_FPERIOD_OVERRIDE=FQ","FILING_STATUS=OR","EQY_CONSOLIDATED=Y","Sort=A","Dates=H","DateFormat=P","Fill=—","Direction=H","UseDPDF=Y")</f>
        <v>#NAME?</v>
      </c>
      <c r="BM25" s="2" t="e">
        <f ca="1">_xll.BDH($C$3,"INVENTORY_SEQUENTIAL_GROWTH","FQ2 2018","FQ2 2018","Currency=INR","Period=FQ","BEST_FPERIOD_OVERRIDE=FQ","FILING_STATUS=OR","EQY_CONSOLIDATED=Y","Sort=A","Dates=H","DateFormat=P","Fill=—","Direction=H","UseDPDF=Y")</f>
        <v>#NAME?</v>
      </c>
      <c r="BN25" s="2" t="e">
        <f ca="1">_xll.BDH($C$3,"FIXED_ASSETS_SEQUENTIAL_GROWTH","FQ2 2018","FQ2 2018","Currency=INR","Period=FQ","BEST_FPERIOD_OVERRIDE=FQ","FILING_STATUS=OR","EQY_CONSOLIDATED=Y","Sort=A","Dates=H","DateFormat=P","Fill=—","Direction=H","UseDPDF=Y")</f>
        <v>#NAME?</v>
      </c>
      <c r="BO25" s="2" t="e">
        <f ca="1">_xll.BDH($C$3,"TOTAL_ASSETS_SEQUENTIAL_GROWTH","FQ2 2018","FQ2 2018","Currency=INR","Period=FQ","BEST_FPERIOD_OVERRIDE=FQ","FILING_STATUS=OR","EQY_CONSOLIDATED=Y","Sort=A","Dates=H","DateFormat=P","Fill=—","Direction=H","UseDPDF=Y")</f>
        <v>#NAME?</v>
      </c>
      <c r="BP25" s="2" t="e">
        <f ca="1">_xll.BDH($C$3,"MODIFIED_WORKING_CPTL_SEQ_GRWTH","FQ2 2018","FQ2 2018","Currency=INR","Period=FQ","BEST_FPERIOD_OVERRIDE=FQ","FILING_STATUS=OR","EQY_CONSOLIDATED=Y","Sort=A","Dates=H","DateFormat=P","Fill=—","Direction=H","UseDPDF=Y")</f>
        <v>#NAME?</v>
      </c>
      <c r="BQ25" s="2" t="e">
        <f ca="1">_xll.BDH($C$3,"WORKING_CAPITAL_SEQ_GROWTH","FQ2 2018","FQ2 2018","Currency=INR","Period=FQ","BEST_FPERIOD_OVERRIDE=FQ","FILING_STATUS=OR","EQY_CONSOLIDATED=Y","Sort=A","Dates=H","DateFormat=P","Fill=—","Direction=H","UseDPDF=Y")</f>
        <v>#NAME?</v>
      </c>
      <c r="BR25" s="2" t="e">
        <f ca="1">_xll.BDH($C$3,"ACCOUNTS_PAYABLE_SEQ_GROWTH","FQ2 2018","FQ2 2018","Currency=INR","Period=FQ","BEST_FPERIOD_OVERRIDE=FQ","FILING_STATUS=OR","EQY_CONSOLIDATED=Y","Sort=A","Dates=H","DateFormat=P","Fill=—","Direction=H","UseDPDF=Y")</f>
        <v>#NAME?</v>
      </c>
      <c r="BS25" s="2" t="e">
        <f ca="1">_xll.BDH($C$3,"ST_DEBT_SEQUENTIAL_GROWTH","FQ2 2018","FQ2 2018","Currency=INR","Period=FQ","BEST_FPERIOD_OVERRIDE=FQ","FILING_STATUS=OR","EQY_CONSOLIDATED=Y","Sort=A","Dates=H","DateFormat=P","Fill=—","Direction=H","UseDPDF=Y")</f>
        <v>#NAME?</v>
      </c>
      <c r="BT25" s="2" t="e">
        <f ca="1">_xll.BDH($C$3,"TOTAL_DEBT_SEQUENTIAL_GROWTH","FQ2 2018","FQ2 2018","Currency=INR","Period=FQ","BEST_FPERIOD_OVERRIDE=FQ","FILING_STATUS=OR","EQY_CONSOLIDATED=Y","Sort=A","Dates=H","DateFormat=P","Fill=—","Direction=H","UseDPDF=Y")</f>
        <v>#NAME?</v>
      </c>
      <c r="BU25" s="2" t="e">
        <f ca="1">_xll.BDH($C$3,"TOTAL_EQUITY_SEQUENTIAL_GROWTH","FQ2 2018","FQ2 2018","Currency=INR","Period=FQ","BEST_FPERIOD_OVERRIDE=FQ","FILING_STATUS=OR","EQY_CONSOLIDATED=Y","Sort=A","Dates=H","DateFormat=P","Fill=—","Direction=H","UseDPDF=Y")</f>
        <v>#NAME?</v>
      </c>
      <c r="BV25" s="2" t="e">
        <f ca="1">_xll.BDH($C$3,"TOTAL_CAPITAL_SEQUENTIAL_GROWTH","FQ2 2018","FQ2 2018","Currency=INR","Period=FQ","BEST_FPERIOD_OVERRIDE=FQ","FILING_STATUS=OR","EQY_CONSOLIDATED=Y","Sort=A","Dates=H","DateFormat=P","Fill=—","Direction=H","UseDPDF=Y")</f>
        <v>#NAME?</v>
      </c>
      <c r="BW25" s="2" t="e">
        <f ca="1">_xll.BDH($C$3,"BPS_SEQUENTIAL_GROWTH","FQ2 2018","FQ2 2018","Currency=INR","Period=FQ","BEST_FPERIOD_OVERRIDE=FQ","FILING_STATUS=OR","EQY_CONSOLIDATED=Y","Sort=A","Dates=H","DateFormat=P","Fill=—","Direction=H","UseDPDF=Y")</f>
        <v>#NAME?</v>
      </c>
      <c r="BX25" s="2" t="e">
        <f ca="1">_xll.BDH($C$3,"CFO_SEQUENTIAL_GROWTH","FQ2 2018","FQ2 2018","Currency=INR","Period=FQ","BEST_FPERIOD_OVERRIDE=FQ","FILING_STATUS=OR","EQY_CONSOLIDATED=Y","Sort=A","Dates=H","DateFormat=P","Fill=—","Direction=H","UseDPDF=Y")</f>
        <v>#NAME?</v>
      </c>
      <c r="BY25" s="3" t="e">
        <f ca="1">_xll.BDH($C$3,"SHORT_AND_LONG_TERM_DEBT","FQ2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" s="3" t="e">
        <f ca="1">_xll.BDH($C$3,"BS_ST_BORROW","FQ2 2018","FQ2 2018","Currency=INR","Period=FQ","BEST_FPERIOD_OVERRIDE=FQ","FILING_STATUS=OR","EQY_CONSOLIDATED=Y","SCALING_FORMAT=MLN","Sort=A","Dates=H","DateFormat=P","Fill=—","Direction=H","UseDPDF=Y")</f>
        <v>#NAME?</v>
      </c>
      <c r="CA25" s="3" t="e">
        <f ca="1">_xll.BDH($C$3,"BS_LT_BORROW","FQ2 2018","FQ2 2018","Currency=INR","Period=FQ","BEST_FPERIOD_OVERRIDE=FQ","FILING_STATUS=OR","EQY_CONSOLIDATED=Y","SCALING_FORMAT=MLN","Sort=A","Dates=H","DateFormat=P","Fill=—","Direction=H","UseDPDF=Y")</f>
        <v>#NAME?</v>
      </c>
      <c r="CB25" s="2" t="e">
        <f ca="1">_xll.BDH($C$3,"TOT_DEBT_TO_EBITDA","FQ2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" s="2" t="e">
        <f ca="1">_xll.BDH($C$3,"NET_DEBT_TO_EBITDA","FQ2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" s="2" t="e">
        <f ca="1">_xll.BDH($C$3,"TOTAL_DEBT_TO_EBIT","FQ2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" s="2" t="e">
        <f ca="1">_xll.BDH($C$3,"NET_DEBT_TO_EBIT","FQ2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" s="2" t="e">
        <f ca="1">_xll.BDH($C$3,"EBITDA_TO_INTEREST_EXPN","FQ2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" s="2" t="e">
        <f ca="1">_xll.BDH($C$3,"COM_EQY_TO_TOT_ASSET","FQ2 2018","FQ2 2018","Currency=INR","Period=FQ","BEST_FPERIOD_OVERRIDE=FQ","FILING_STATUS=OR","EQY_CONSOLIDATED=Y","Sort=A","Dates=H","DateFormat=P","Fill=—","Direction=H","UseDPDF=Y")</f>
        <v>#NAME?</v>
      </c>
      <c r="CH25" s="2" t="e">
        <f ca="1">_xll.BDH($C$3,"LT_DEBT_TO_TOT_EQY","FQ2 2018","FQ2 2018","Currency=INR","Period=FQ","BEST_FPERIOD_OVERRIDE=FQ","FILING_STATUS=OR","EQY_CONSOLIDATED=Y","Sort=A","Dates=H","DateFormat=P","Fill=—","Direction=H","UseDPDF=Y")</f>
        <v>#NAME?</v>
      </c>
      <c r="CI25" s="2" t="e">
        <f ca="1">_xll.BDH($C$3,"LT_DEBT_TO_TOT_CAP","FQ2 2018","FQ2 2018","Currency=INR","Period=FQ","BEST_FPERIOD_OVERRIDE=FQ","FILING_STATUS=OR","EQY_CONSOLIDATED=Y","Sort=A","Dates=H","DateFormat=P","Fill=—","Direction=H","UseDPDF=Y")</f>
        <v>#NAME?</v>
      </c>
      <c r="CJ25" s="2" t="e">
        <f ca="1">_xll.BDH($C$3,"LT_DEBT_TO_TOT_ASSET","FQ2 2018","FQ2 2018","Currency=INR","Period=FQ","BEST_FPERIOD_OVERRIDE=FQ","FILING_STATUS=OR","EQY_CONSOLIDATED=Y","Sort=A","Dates=H","DateFormat=P","Fill=—","Direction=H","UseDPDF=Y")</f>
        <v>#NAME?</v>
      </c>
      <c r="CK25" s="2" t="e">
        <f ca="1">_xll.BDH($C$3,"TOT_DEBT_TO_TOT_EQY","FQ2 2018","FQ2 2018","Currency=INR","Period=FQ","BEST_FPERIOD_OVERRIDE=FQ","FILING_STATUS=OR","EQY_CONSOLIDATED=Y","Sort=A","Dates=H","DateFormat=P","Fill=—","Direction=H","UseDPDF=Y")</f>
        <v>#NAME?</v>
      </c>
      <c r="CL25" s="2" t="e">
        <f ca="1">_xll.BDH($C$3,"TOT_DEBT_TO_TOT_CAP","FQ2 2018","FQ2 2018","Currency=INR","Period=FQ","BEST_FPERIOD_OVERRIDE=FQ","FILING_STATUS=OR","EQY_CONSOLIDATED=Y","Sort=A","Dates=H","DateFormat=P","Fill=—","Direction=H","UseDPDF=Y")</f>
        <v>#NAME?</v>
      </c>
      <c r="CM25" s="2" t="e">
        <f ca="1">_xll.BDH($C$3,"TOT_DEBT_TO_TOT_ASSET","FQ2 2018","FQ2 2018","Currency=INR","Period=FQ","BEST_FPERIOD_OVERRIDE=FQ","FILING_STATUS=OR","EQY_CONSOLIDATED=Y","Sort=A","Dates=H","DateFormat=P","Fill=—","Direction=H","UseDPDF=Y")</f>
        <v>#NAME?</v>
      </c>
      <c r="CN25" s="2" t="e">
        <f ca="1">_xll.BDH($C$3,"NET_DEBT_TO_SHRHLDR_EQTY","FQ2 2018","FQ2 2018","Currency=INR","Period=FQ","BEST_FPERIOD_OVERRIDE=FQ","FILING_STATUS=OR","EQY_CONSOLIDATED=Y","Sort=A","Dates=H","DateFormat=P","Fill=—","Direction=H","UseDPDF=Y")</f>
        <v>#NAME?</v>
      </c>
      <c r="CO25" s="2" t="e">
        <f ca="1">_xll.BDH($C$3,"NET_DEBT_%_CAPITAL","FQ2 2018","FQ2 2018","Currency=INR","Period=FQ","BEST_FPERIOD_OVERRIDE=FQ","FILING_STATUS=OR","EQY_CONSOLIDATED=Y","Sort=A","Dates=H","DateFormat=P","Fill=—","Direction=H","UseDPDF=Y")</f>
        <v>#NAME?</v>
      </c>
      <c r="CP25" s="3" t="e">
        <f ca="1">_xll.BDH($C$3,"EBITDA","FQ2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" s="3" t="e">
        <f ca="1">_xll.BDH($C$3,"EBITDA_AFTER_CAPEX","FQ2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" s="3" t="e">
        <f ca="1">_xll.BDH($C$3,"IS_OPER_INC","FQ2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" s="2" t="e">
        <f ca="1">_xll.BDH($C$3,"CASH_RATIO","FQ2 2018","FQ2 2018","Currency=INR","Period=FQ","BEST_FPERIOD_OVERRIDE=FQ","FILING_STATUS=OR","EQY_CONSOLIDATED=Y","Sort=A","Dates=H","DateFormat=P","Fill=—","Direction=H","UseDPDF=Y")</f>
        <v>#NAME?</v>
      </c>
      <c r="CT25" s="2" t="e">
        <f ca="1">_xll.BDH($C$3,"CUR_RATIO","FQ2 2018","FQ2 2018","Currency=INR","Period=FQ","BEST_FPERIOD_OVERRIDE=FQ","FILING_STATUS=OR","EQY_CONSOLIDATED=Y","Sort=A","Dates=H","DateFormat=P","Fill=—","Direction=H","UseDPDF=Y")</f>
        <v>#NAME?</v>
      </c>
      <c r="CU25" s="2" t="e">
        <f ca="1">_xll.BDH($C$3,"QUICK_RATIO","FQ2 2018","FQ2 2018","Currency=INR","Period=FQ","BEST_FPERIOD_OVERRIDE=FQ","FILING_STATUS=OR","EQY_CONSOLIDATED=Y","Sort=A","Dates=H","DateFormat=P","Fill=—","Direction=H","UseDPDF=Y")</f>
        <v>#NAME?</v>
      </c>
      <c r="CV25" s="2" t="e">
        <f ca="1">_xll.BDH($C$3,"ALTMAN_Z_SCORE","FQ2 2018","FQ2 2018","Currency=INR","Period=FQ","BEST_FPERIOD_OVERRIDE=FQ","FILING_STATUS=OR","EQY_CONSOLIDATED=Y","Sort=A","Dates=H","DateFormat=P","Fill=—","Direction=H","UseDPDF=Y")</f>
        <v>#NAME?</v>
      </c>
      <c r="CW25" s="4" t="e">
        <f ca="1">_xll.BDH($C$3,"ACCT_RCV_TURN","FQ2 2018","FQ2 2018","Currency=INR","Period=FQ","BEST_FPERIOD_OVERRIDE=FQ","FILING_STATUS=OR","EQY_CONSOLIDATED=Y","FA_ADJUSTED=GAAP","Sort=A","Dates=H","DateFormat=P","Fill=—","Direction=H","UseDPDF=Y")</f>
        <v>#NAME?</v>
      </c>
      <c r="CX25" s="2" t="e">
        <f ca="1">_xll.BDH($C$3,"ACCT_RCV_DAYS","FQ2 2018","FQ2 2018","Currency=INR","Period=FQ","BEST_FPERIOD_OVERRIDE=FQ","FILING_STATUS=OR","EQY_CONSOLIDATED=Y","FA_ADJUSTED=GAAP","Sort=A","Dates=H","DateFormat=P","Fill=—","Direction=H","UseDPDF=Y")</f>
        <v>#NAME?</v>
      </c>
      <c r="CY25" s="4" t="e">
        <f ca="1">_xll.BDH($C$3,"INVENT_TURN","FQ2 2018","FQ2 2018","Currency=INR","Period=FQ","BEST_FPERIOD_OVERRIDE=FQ","FILING_STATUS=OR","EQY_CONSOLIDATED=Y","FA_ADJUSTED=GAAP","Sort=A","Dates=H","DateFormat=P","Fill=—","Direction=H","UseDPDF=Y")</f>
        <v>#NAME?</v>
      </c>
      <c r="CZ25" s="2" t="e">
        <f ca="1">_xll.BDH($C$3,"INVENT_DAYS","FQ2 2018","FQ2 2018","Currency=INR","Period=FQ","BEST_FPERIOD_OVERRIDE=FQ","FILING_STATUS=OR","EQY_CONSOLIDATED=Y","FA_ADJUSTED=GAAP","Sort=A","Dates=H","DateFormat=P","Fill=—","Direction=H","UseDPDF=Y")</f>
        <v>#NAME?</v>
      </c>
      <c r="DA25" s="4" t="e">
        <f ca="1">_xll.BDH($C$3,"ACCOUNTS_PAYABLE_TURNOVER","FQ2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" s="2" t="e">
        <f ca="1">_xll.BDH($C$3,"ACCOUNTS_PAYABLE_TURNOVER_DAYS","FQ2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" s="4" t="e">
        <f ca="1">_xll.BDH($C$3,"CASH_CONVERSION_CYCLE","FQ2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" s="4" t="e">
        <f ca="1">_xll.BDH($C$3,"INV_TO_CASH_DAYS","FQ2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" s="5" t="e">
        <f ca="1">_xll.BDH($C$3,"BS_INVENTORIES","FQ2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" s="3" t="e">
        <f ca="1">_xll.BDH($C$3,"INVTRY_RAW_MATERIALS","FQ2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" s="3" t="e">
        <f ca="1">_xll.BDH($C$3,"INVTRY_IN_PROGRESS","FQ2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" s="3" t="e">
        <f ca="1">_xll.BDH($C$3,"INVTRY_FINISHED_GOODS","FQ2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" s="3" t="e">
        <f ca="1">_xll.BDH($C$3,"BS_OTHER_INV","FQ2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6" spans="1:113" x14ac:dyDescent="0.3">
      <c r="A26" s="6"/>
      <c r="B26" s="6"/>
      <c r="C26" s="6"/>
      <c r="D26" s="6"/>
      <c r="E26" t="s">
        <v>80</v>
      </c>
      <c r="F26" t="e">
        <f ca="1">_xll.BDH($C$3,"RETURN_COM_EQY","FQ3 2018","FQ3 2018","Currency=INR","Period=FQ","BEST_FPERIOD_OVERRIDE=FQ","FILING_STATUS=OR","EQY_CONSOLIDATED=Y","FA_ADJUSTED=GAAP","Sort=A","Dates=H","DateFormat=P","Fill=—","Direction=H","UseDPDF=Y")</f>
        <v>#NAME?</v>
      </c>
      <c r="G26" t="e">
        <f ca="1">_xll.BDH($C$3,"RETURN_ON_ASSET","FQ3 2018","FQ3 2018","Currency=INR","Period=FQ","BEST_FPERIOD_OVERRIDE=FQ","FILING_STATUS=OR","EQY_CONSOLIDATED=Y","FA_ADJUSTED=GAAP","Sort=A","Dates=H","DateFormat=P","Fill=—","Direction=H","UseDPDF=Y")</f>
        <v>#NAME?</v>
      </c>
      <c r="H26" t="e">
        <f ca="1">_xll.BDH($C$3,"RETURN_ON_CAP","FQ3 2018","FQ3 2018","Currency=INR","Period=FQ","BEST_FPERIOD_OVERRIDE=FQ","FILING_STATUS=OR","EQY_CONSOLIDATED=Y","FA_ADJUSTED=GAAP","Sort=A","Dates=H","DateFormat=P","Fill=—","Direction=H","UseDPDF=Y")</f>
        <v>#NAME?</v>
      </c>
      <c r="I26" t="e">
        <f ca="1">_xll.BDH($C$3,"RETURN_ON_INV_CAPITAL","FQ3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6" t="e">
        <f ca="1">_xll.BDH($C$3,"EBITDA_TO_REVENUE","FQ3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6" t="e">
        <f ca="1">_xll.BDH($C$3,"OPER_MARGIN","FQ3 2018","FQ3 2018","Currency=INR","Period=FQ","BEST_FPERIOD_OVERRIDE=FQ","FILING_STATUS=OR","EQY_CONSOLIDATED=Y","FA_ADJUSTED=GAAP","Sort=A","Dates=H","DateFormat=P","Fill=—","Direction=H","UseDPDF=Y")</f>
        <v>#NAME?</v>
      </c>
      <c r="L26" t="e">
        <f ca="1">_xll.BDH($C$3,"INCREMENTAL_OPERATING_MARGIN","FQ3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6" t="e">
        <f ca="1">_xll.BDH($C$3,"PRETAX_INC_TO_NET_SALES","FQ3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6" t="e">
        <f ca="1">_xll.BDH($C$3,"INC_BEF_XO_ITEMS_TO_NET_SALES","FQ3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6" t="e">
        <f ca="1">_xll.BDH($C$3,"PROF_MARGIN","FQ3 2018","FQ3 2018","Currency=INR","Period=FQ","BEST_FPERIOD_OVERRIDE=FQ","FILING_STATUS=OR","EQY_CONSOLIDATED=Y","FA_ADJUSTED=GAAP","Sort=A","Dates=H","DateFormat=P","Fill=—","Direction=H","UseDPDF=Y")</f>
        <v>#NAME?</v>
      </c>
      <c r="P26" t="e">
        <f ca="1">_xll.BDH($C$3,"NET_INCOME_TO_COMMON_MARGIN","FQ3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6" t="e">
        <f ca="1">_xll.BDH($C$3,"EFF_TAX_RATE","FQ3 2018","FQ3 2018","Currency=INR","Period=FQ","BEST_FPERIOD_OVERRIDE=FQ","FILING_STATUS=OR","EQY_CONSOLIDATED=Y","FA_ADJUSTED=GAAP","Sort=A","Dates=H","DateFormat=P","Fill=—","Direction=H","UseDPDF=Y")</f>
        <v>#NAME?</v>
      </c>
      <c r="R26" t="e">
        <f ca="1">_xll.BDH($C$3,"DVD_PAYOUT_RATIO","FQ3 2018","FQ3 2018","Currency=INR","Period=FQ","BEST_FPERIOD_OVERRIDE=FQ","FILING_STATUS=OR","EQY_CONSOLIDATED=Y","FA_ADJUSTED=GAAP","Sort=A","Dates=H","DateFormat=P","Fill=—","Direction=H","UseDPDF=Y")</f>
        <v>#NAME?</v>
      </c>
      <c r="S26" t="e">
        <f ca="1">_xll.BDH($C$3,"SUSTAIN_GROWTH_RT","FQ3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6" s="2" t="e">
        <f ca="1">_xll.BDH($C$3,"SALES_GROWTH","FQ3 2018","FQ3 2018","Currency=INR","Period=FQ","BEST_FPERIOD_OVERRIDE=FQ","FILING_STATUS=OR","EQY_CONSOLIDATED=Y","FA_ADJUSTED=GAAP","Sort=A","Dates=H","DateFormat=P","Fill=—","Direction=H","UseDPDF=Y")</f>
        <v>#NAME?</v>
      </c>
      <c r="U26" s="2" t="e">
        <f ca="1">_xll.BDH($C$3,"EBITDA_GROWTH","FQ3 2018","FQ3 2018","Currency=INR","Period=FQ","BEST_FPERIOD_OVERRIDE=FQ","FILING_STATUS=OR","EQY_CONSOLIDATED=Y","FA_ADJUSTED=GAAP","Sort=A","Dates=H","DateFormat=P","Fill=—","Direction=H","UseDPDF=Y")</f>
        <v>#NAME?</v>
      </c>
      <c r="V26" s="2" t="e">
        <f ca="1">_xll.BDH($C$3,"OPER_INC_GROWTH","FQ3 2018","FQ3 2018","Currency=INR","Period=FQ","BEST_FPERIOD_OVERRIDE=FQ","FILING_STATUS=OR","EQY_CONSOLIDATED=Y","FA_ADJUSTED=GAAP","Sort=A","Dates=H","DateFormat=P","Fill=—","Direction=H","UseDPDF=Y")</f>
        <v>#NAME?</v>
      </c>
      <c r="W26" s="2" t="e">
        <f ca="1">_xll.BDH($C$3,"EARN_FOR_COM_GROWTH","FQ3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6" s="2" t="e">
        <f ca="1">_xll.BDH($C$3,"DILUTED_EPS_AFT_XO_ITEMS_GROWTH","FQ3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6" s="2" t="e">
        <f ca="1">_xll.BDH($C$3,"DIVIDEND_PER_SHARE_1_YEAR_GROWTH","FQ3 2018","FQ3 2018","Currency=INR","Period=FQ","BEST_FPERIOD_OVERRIDE=FQ","FILING_STATUS=OR","EQY_CONSOLIDATED=Y","Sort=A","Dates=H","DateFormat=P","Fill=—","Direction=H","UseDPDF=Y")</f>
        <v>#NAME?</v>
      </c>
      <c r="Z26" s="2" t="e">
        <f ca="1">_xll.BDH($C$3,"ACCOUNTS_RECEIVABLE_GROWTH","FQ3 2018","FQ3 2018","Currency=INR","Period=FQ","BEST_FPERIOD_OVERRIDE=FQ","FILING_STATUS=OR","EQY_CONSOLIDATED=Y","Sort=A","Dates=H","DateFormat=P","Fill=—","Direction=H","UseDPDF=Y")</f>
        <v>#NAME?</v>
      </c>
      <c r="AA26" s="2" t="e">
        <f ca="1">_xll.BDH($C$3,"INVENTORY_GROWTH","FQ3 2018","FQ3 2018","Currency=INR","Period=FQ","BEST_FPERIOD_OVERRIDE=FQ","FILING_STATUS=OR","EQY_CONSOLIDATED=Y","Sort=A","Dates=H","DateFormat=P","Fill=—","Direction=H","UseDPDF=Y")</f>
        <v>#NAME?</v>
      </c>
      <c r="AB26" s="2" t="e">
        <f ca="1">_xll.BDH($C$3,"NET_FIXED_ASSETS_1_YEAR_GROWTH","FQ3 2018","FQ3 2018","Currency=INR","Period=FQ","BEST_FPERIOD_OVERRIDE=FQ","FILING_STATUS=OR","EQY_CONSOLIDATED=Y","Sort=A","Dates=H","DateFormat=P","Fill=—","Direction=H","UseDPDF=Y")</f>
        <v>#NAME?</v>
      </c>
      <c r="AC26" s="2" t="e">
        <f ca="1">_xll.BDH($C$3,"ASSET_GROWTH","FQ3 2018","FQ3 2018","Currency=INR","Period=FQ","BEST_FPERIOD_OVERRIDE=FQ","FILING_STATUS=OR","EQY_CONSOLIDATED=Y","Sort=A","Dates=H","DateFormat=P","Fill=—","Direction=H","UseDPDF=Y")</f>
        <v>#NAME?</v>
      </c>
      <c r="AD26" s="2" t="e">
        <f ca="1">_xll.BDH($C$3,"MODIFIED_WORK_CAP_GROWTH","FQ3 2018","FQ3 2018","Currency=INR","Period=FQ","BEST_FPERIOD_OVERRIDE=FQ","FILING_STATUS=OR","EQY_CONSOLIDATED=Y","Sort=A","Dates=H","DateFormat=P","Fill=—","Direction=H","UseDPDF=Y")</f>
        <v>#NAME?</v>
      </c>
      <c r="AE26" s="2" t="e">
        <f ca="1">_xll.BDH($C$3,"WORK_CAP_GROWTH","FQ3 2018","FQ3 2018","Currency=INR","Period=FQ","BEST_FPERIOD_OVERRIDE=FQ","FILING_STATUS=OR","EQY_CONSOLIDATED=Y","Sort=A","Dates=H","DateFormat=P","Fill=—","Direction=H","UseDPDF=Y")</f>
        <v>#NAME?</v>
      </c>
      <c r="AF26" s="2" t="e">
        <f ca="1">_xll.BDH($C$3,"ACCOUNTS_PAYABLE_GROWTH_1YR","FQ3 2018","FQ3 2018","Currency=INR","Period=FQ","BEST_FPERIOD_OVERRIDE=FQ","FILING_STATUS=OR","EQY_CONSOLIDATED=Y","Sort=A","Dates=H","DateFormat=P","Fill=—","Direction=H","UseDPDF=Y")</f>
        <v>#NAME?</v>
      </c>
      <c r="AG26" s="2" t="e">
        <f ca="1">_xll.BDH($C$3,"SHORT_TERM_DEBT_1_YEAR_GROWTH","FQ3 2018","FQ3 2018","Currency=INR","Period=FQ","BEST_FPERIOD_OVERRIDE=FQ","FILING_STATUS=OR","EQY_CONSOLIDATED=Y","Sort=A","Dates=H","DateFormat=P","Fill=—","Direction=H","UseDPDF=Y")</f>
        <v>#NAME?</v>
      </c>
      <c r="AH26" s="2" t="e">
        <f ca="1">_xll.BDH($C$3,"TOTAL_DEBT_1_YEAR_GROWTH","FQ3 2018","FQ3 2018","Currency=INR","Period=FQ","BEST_FPERIOD_OVERRIDE=FQ","FILING_STATUS=OR","EQY_CONSOLIDATED=Y","Sort=A","Dates=H","DateFormat=P","Fill=—","Direction=H","UseDPDF=Y")</f>
        <v>#NAME?</v>
      </c>
      <c r="AI26" s="2" t="e">
        <f ca="1">_xll.BDH($C$3,"TOTAL_EQUITY_1_YEAR_GROWTH","FQ3 2018","FQ3 2018","Currency=INR","Period=FQ","BEST_FPERIOD_OVERRIDE=FQ","FILING_STATUS=OR","EQY_CONSOLIDATED=Y","Sort=A","Dates=H","DateFormat=P","Fill=—","Direction=H","UseDPDF=Y")</f>
        <v>#NAME?</v>
      </c>
      <c r="AJ26" s="2" t="e">
        <f ca="1">_xll.BDH($C$3,"GROWTH_IN_CAP","FQ3 2018","FQ3 2018","Currency=INR","Period=FQ","BEST_FPERIOD_OVERRIDE=FQ","FILING_STATUS=OR","EQY_CONSOLIDATED=Y","Sort=A","Dates=H","DateFormat=P","Fill=—","Direction=H","UseDPDF=Y")</f>
        <v>#NAME?</v>
      </c>
      <c r="AK26" s="2" t="e">
        <f ca="1">_xll.BDH($C$3,"BVPS_GROWTH","FQ3 2018","FQ3 2018","Currency=INR","Period=FQ","BEST_FPERIOD_OVERRIDE=FQ","FILING_STATUS=OR","EQY_CONSOLIDATED=Y","Sort=A","Dates=H","DateFormat=P","Fill=—","Direction=H","UseDPDF=Y")</f>
        <v>#NAME?</v>
      </c>
      <c r="AL26" s="2" t="e">
        <f ca="1">_xll.BDH($C$3,"CASH_FLOW_GROWTH","FQ3 2018","FQ3 2018","Currency=INR","Period=FQ","BEST_FPERIOD_OVERRIDE=FQ","FILING_STATUS=OR","EQY_CONSOLIDATED=Y","Sort=A","Dates=H","DateFormat=P","Fill=—","Direction=H","UseDPDF=Y")</f>
        <v>#NAME?</v>
      </c>
      <c r="AM26" s="2" t="e">
        <f ca="1">_xll.BDH($C$3,"GEO_GROW_NET_SALES","FQ3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6" s="2" t="e">
        <f ca="1">_xll.BDH($C$3,"GEO_GROW_EBITDA","FQ3 2018","FQ3 2018","Currency=INR","Period=FQ","BEST_FPERIOD_OVERRIDE=FQ","FILING_STATUS=OR","EQY_CONSOLIDATED=Y","FA_ADJUSTED=GAAP","Sort=A","Dates=H","DateFormat=P","Fill=—","Direction=H","UseDPDF=Y")</f>
        <v>#NAME?</v>
      </c>
      <c r="AO26" s="2" t="e">
        <f ca="1">_xll.BDH($C$3,"GEO_GROW_OPER_INC","FQ3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6" s="2" t="e">
        <f ca="1">_xll.BDH($C$3,"NET_INCOME_TO_COMMON_5_YR_GROWTH","FQ3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6" s="2" t="e">
        <f ca="1">_xll.BDH($C$3,"5Y_GEO_GROWTH_DILUTED_EPS","FQ3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6" s="2" t="e">
        <f ca="1">_xll.BDH($C$3,"GEO_GROW_DVD_PER_SH","FQ3 2018","FQ3 2018","Currency=INR","Period=FQ","BEST_FPERIOD_OVERRIDE=FQ","FILING_STATUS=OR","EQY_CONSOLIDATED=Y","Sort=A","Dates=H","DateFormat=P","Fill=—","Direction=H","UseDPDF=Y")</f>
        <v>#NAME?</v>
      </c>
      <c r="AS26" s="2" t="e">
        <f ca="1">_xll.BDH($C$3,"ACCOUNTS_RECEIVABLE_5_YR_GROWTH","FQ3 2018","FQ3 2018","Currency=INR","Period=FQ","BEST_FPERIOD_OVERRIDE=FQ","FILING_STATUS=OR","EQY_CONSOLIDATED=Y","Sort=A","Dates=H","DateFormat=P","Fill=—","Direction=H","UseDPDF=Y")</f>
        <v>#NAME?</v>
      </c>
      <c r="AT26" s="2" t="e">
        <f ca="1">_xll.BDH($C$3,"INVENTORY_5_YEAR_GROWTH","FQ3 2018","FQ3 2018","Currency=INR","Period=FQ","BEST_FPERIOD_OVERRIDE=FQ","FILING_STATUS=OR","EQY_CONSOLIDATED=Y","Sort=A","Dates=H","DateFormat=P","Fill=—","Direction=H","UseDPDF=Y")</f>
        <v>#NAME?</v>
      </c>
      <c r="AU26" s="2" t="e">
        <f ca="1">_xll.BDH($C$3,"NET_FIXED_ASSETS_5_YEAR_GROWTH","FQ3 2018","FQ3 2018","Currency=INR","Period=FQ","BEST_FPERIOD_OVERRIDE=FQ","FILING_STATUS=OR","EQY_CONSOLIDATED=Y","Sort=A","Dates=H","DateFormat=P","Fill=—","Direction=H","UseDPDF=Y")</f>
        <v>#NAME?</v>
      </c>
      <c r="AV26" s="2" t="e">
        <f ca="1">_xll.BDH($C$3,"GEO_GROW_TOT_ASSET","FQ3 2018","FQ3 2018","Currency=INR","Period=FQ","BEST_FPERIOD_OVERRIDE=FQ","FILING_STATUS=OR","EQY_CONSOLIDATED=Y","Sort=A","Dates=H","DateFormat=P","Fill=—","Direction=H","UseDPDF=Y")</f>
        <v>#NAME?</v>
      </c>
      <c r="AW26" s="2" t="e">
        <f ca="1">_xll.BDH($C$3,"MODIFIED_WORKING_CPTL_5YR_GRWTH","FQ3 2018","FQ3 2018","Currency=INR","Period=FQ","BEST_FPERIOD_OVERRIDE=FQ","FILING_STATUS=OR","EQY_CONSOLIDATED=Y","Sort=A","Dates=H","DateFormat=P","Fill=—","Direction=H","UseDPDF=Y")</f>
        <v>#NAME?</v>
      </c>
      <c r="AX26" s="2" t="e">
        <f ca="1">_xll.BDH($C$3,"WORKING_CAPITAL_5_YEAR_GROWTH","FQ3 2018","FQ3 2018","Currency=INR","Period=FQ","BEST_FPERIOD_OVERRIDE=FQ","FILING_STATUS=OR","EQY_CONSOLIDATED=Y","Sort=A","Dates=H","DateFormat=P","Fill=—","Direction=H","UseDPDF=Y")</f>
        <v>#NAME?</v>
      </c>
      <c r="AY26" s="2" t="e">
        <f ca="1">_xll.BDH($C$3,"ACCOUNTS_PAYABLE_5_YEAR_GROWTH","FQ3 2018","FQ3 2018","Currency=INR","Period=FQ","BEST_FPERIOD_OVERRIDE=FQ","FILING_STATUS=OR","EQY_CONSOLIDATED=Y","Sort=A","Dates=H","DateFormat=P","Fill=—","Direction=H","UseDPDF=Y")</f>
        <v>#NAME?</v>
      </c>
      <c r="AZ26" s="2" t="e">
        <f ca="1">_xll.BDH($C$3,"SHORT_TERM_DEBT_5_YEAR_GROWTH","FQ3 2018","FQ3 2018","Currency=INR","Period=FQ","BEST_FPERIOD_OVERRIDE=FQ","FILING_STATUS=OR","EQY_CONSOLIDATED=Y","Sort=A","Dates=H","DateFormat=P","Fill=—","Direction=H","UseDPDF=Y")</f>
        <v>#NAME?</v>
      </c>
      <c r="BA26" s="2" t="e">
        <f ca="1">_xll.BDH($C$3,"TOTAL_DEBT_5_YEAR_GROWTH","FQ3 2018","FQ3 2018","Currency=INR","Period=FQ","BEST_FPERIOD_OVERRIDE=FQ","FILING_STATUS=OR","EQY_CONSOLIDATED=Y","Sort=A","Dates=H","DateFormat=P","Fill=—","Direction=H","UseDPDF=Y")</f>
        <v>#NAME?</v>
      </c>
      <c r="BB26" s="2" t="e">
        <f ca="1">_xll.BDH($C$3,"GEO_GROW_TOT_SHRHLDR_EQY","FQ3 2018","FQ3 2018","Currency=INR","Period=FQ","BEST_FPERIOD_OVERRIDE=FQ","FILING_STATUS=OR","EQY_CONSOLIDATED=Y","Sort=A","Dates=H","DateFormat=P","Fill=—","Direction=H","UseDPDF=Y")</f>
        <v>#NAME?</v>
      </c>
      <c r="BC26" s="2" t="e">
        <f ca="1">_xll.BDH($C$3,"TOTAL_CAPITAL_5_YEAR_GROWTH","FQ3 2018","FQ3 2018","Currency=INR","Period=FQ","BEST_FPERIOD_OVERRIDE=FQ","FILING_STATUS=OR","EQY_CONSOLIDATED=Y","Sort=A","Dates=H","DateFormat=P","Fill=—","Direction=H","UseDPDF=Y")</f>
        <v>#NAME?</v>
      </c>
      <c r="BD26" s="2" t="e">
        <f ca="1">_xll.BDH($C$3,"GEO_GROW_BOOK_VAL","FQ3 2018","FQ3 2018","Currency=INR","Period=FQ","BEST_FPERIOD_OVERRIDE=FQ","FILING_STATUS=OR","EQY_CONSOLIDATED=Y","Sort=A","Dates=H","DateFormat=P","Fill=—","Direction=H","UseDPDF=Y")</f>
        <v>#NAME?</v>
      </c>
      <c r="BE26" s="2" t="e">
        <f ca="1">_xll.BDH($C$3,"GEO_GROW_CASH_OPER_ACT","FQ3 2018","FQ3 2018","Currency=INR","Period=FQ","BEST_FPERIOD_OVERRIDE=FQ","FILING_STATUS=OR","EQY_CONSOLIDATED=Y","Sort=A","Dates=H","DateFormat=P","Fill=—","Direction=H","UseDPDF=Y")</f>
        <v>#NAME?</v>
      </c>
      <c r="BF26" s="2" t="e">
        <f ca="1">_xll.BDH($C$3,"REVENUE_SEQUENTIAL_GROWTH","FQ3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6" s="2" t="e">
        <f ca="1">_xll.BDH($C$3,"EBITDA_SEQUENTIAL_GROWTH","FQ3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6" s="2" t="e">
        <f ca="1">_xll.BDH($C$3,"OPERATING_INCOME_SEQ_GROWTH","FQ3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6" s="2" t="e">
        <f ca="1">_xll.BDH($C$3,"NET_INCOME_TO_COMMON_SEQ_GROWTH","FQ3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6" s="2" t="e">
        <f ca="1">_xll.BDH($C$3,"EPS_DILUTED_SEQUENTIAL_GROWTH","FQ3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6" s="2" t="e">
        <f ca="1">_xll.BDH($C$3,"DPS_SEQUENTIAL_GROWTH","FQ3 2018","FQ3 2018","Currency=INR","Period=FQ","BEST_FPERIOD_OVERRIDE=FQ","FILING_STATUS=OR","EQY_CONSOLIDATED=Y","Sort=A","Dates=H","DateFormat=P","Fill=—","Direction=H","UseDPDF=Y")</f>
        <v>#NAME?</v>
      </c>
      <c r="BL26" s="2" t="e">
        <f ca="1">_xll.BDH($C$3,"ACCOUNTS_RECEIVABLE_SEQ_GROWTH","FQ3 2018","FQ3 2018","Currency=INR","Period=FQ","BEST_FPERIOD_OVERRIDE=FQ","FILING_STATUS=OR","EQY_CONSOLIDATED=Y","Sort=A","Dates=H","DateFormat=P","Fill=—","Direction=H","UseDPDF=Y")</f>
        <v>#NAME?</v>
      </c>
      <c r="BM26" s="2" t="e">
        <f ca="1">_xll.BDH($C$3,"INVENTORY_SEQUENTIAL_GROWTH","FQ3 2018","FQ3 2018","Currency=INR","Period=FQ","BEST_FPERIOD_OVERRIDE=FQ","FILING_STATUS=OR","EQY_CONSOLIDATED=Y","Sort=A","Dates=H","DateFormat=P","Fill=—","Direction=H","UseDPDF=Y")</f>
        <v>#NAME?</v>
      </c>
      <c r="BN26" s="2" t="e">
        <f ca="1">_xll.BDH($C$3,"FIXED_ASSETS_SEQUENTIAL_GROWTH","FQ3 2018","FQ3 2018","Currency=INR","Period=FQ","BEST_FPERIOD_OVERRIDE=FQ","FILING_STATUS=OR","EQY_CONSOLIDATED=Y","Sort=A","Dates=H","DateFormat=P","Fill=—","Direction=H","UseDPDF=Y")</f>
        <v>#NAME?</v>
      </c>
      <c r="BO26" s="2" t="e">
        <f ca="1">_xll.BDH($C$3,"TOTAL_ASSETS_SEQUENTIAL_GROWTH","FQ3 2018","FQ3 2018","Currency=INR","Period=FQ","BEST_FPERIOD_OVERRIDE=FQ","FILING_STATUS=OR","EQY_CONSOLIDATED=Y","Sort=A","Dates=H","DateFormat=P","Fill=—","Direction=H","UseDPDF=Y")</f>
        <v>#NAME?</v>
      </c>
      <c r="BP26" s="2" t="e">
        <f ca="1">_xll.BDH($C$3,"MODIFIED_WORKING_CPTL_SEQ_GRWTH","FQ3 2018","FQ3 2018","Currency=INR","Period=FQ","BEST_FPERIOD_OVERRIDE=FQ","FILING_STATUS=OR","EQY_CONSOLIDATED=Y","Sort=A","Dates=H","DateFormat=P","Fill=—","Direction=H","UseDPDF=Y")</f>
        <v>#NAME?</v>
      </c>
      <c r="BQ26" s="2" t="e">
        <f ca="1">_xll.BDH($C$3,"WORKING_CAPITAL_SEQ_GROWTH","FQ3 2018","FQ3 2018","Currency=INR","Period=FQ","BEST_FPERIOD_OVERRIDE=FQ","FILING_STATUS=OR","EQY_CONSOLIDATED=Y","Sort=A","Dates=H","DateFormat=P","Fill=—","Direction=H","UseDPDF=Y")</f>
        <v>#NAME?</v>
      </c>
      <c r="BR26" s="2" t="e">
        <f ca="1">_xll.BDH($C$3,"ACCOUNTS_PAYABLE_SEQ_GROWTH","FQ3 2018","FQ3 2018","Currency=INR","Period=FQ","BEST_FPERIOD_OVERRIDE=FQ","FILING_STATUS=OR","EQY_CONSOLIDATED=Y","Sort=A","Dates=H","DateFormat=P","Fill=—","Direction=H","UseDPDF=Y")</f>
        <v>#NAME?</v>
      </c>
      <c r="BS26" s="2" t="e">
        <f ca="1">_xll.BDH($C$3,"ST_DEBT_SEQUENTIAL_GROWTH","FQ3 2018","FQ3 2018","Currency=INR","Period=FQ","BEST_FPERIOD_OVERRIDE=FQ","FILING_STATUS=OR","EQY_CONSOLIDATED=Y","Sort=A","Dates=H","DateFormat=P","Fill=—","Direction=H","UseDPDF=Y")</f>
        <v>#NAME?</v>
      </c>
      <c r="BT26" s="2" t="e">
        <f ca="1">_xll.BDH($C$3,"TOTAL_DEBT_SEQUENTIAL_GROWTH","FQ3 2018","FQ3 2018","Currency=INR","Period=FQ","BEST_FPERIOD_OVERRIDE=FQ","FILING_STATUS=OR","EQY_CONSOLIDATED=Y","Sort=A","Dates=H","DateFormat=P","Fill=—","Direction=H","UseDPDF=Y")</f>
        <v>#NAME?</v>
      </c>
      <c r="BU26" s="2" t="e">
        <f ca="1">_xll.BDH($C$3,"TOTAL_EQUITY_SEQUENTIAL_GROWTH","FQ3 2018","FQ3 2018","Currency=INR","Period=FQ","BEST_FPERIOD_OVERRIDE=FQ","FILING_STATUS=OR","EQY_CONSOLIDATED=Y","Sort=A","Dates=H","DateFormat=P","Fill=—","Direction=H","UseDPDF=Y")</f>
        <v>#NAME?</v>
      </c>
      <c r="BV26" s="2" t="e">
        <f ca="1">_xll.BDH($C$3,"TOTAL_CAPITAL_SEQUENTIAL_GROWTH","FQ3 2018","FQ3 2018","Currency=INR","Period=FQ","BEST_FPERIOD_OVERRIDE=FQ","FILING_STATUS=OR","EQY_CONSOLIDATED=Y","Sort=A","Dates=H","DateFormat=P","Fill=—","Direction=H","UseDPDF=Y")</f>
        <v>#NAME?</v>
      </c>
      <c r="BW26" s="2" t="e">
        <f ca="1">_xll.BDH($C$3,"BPS_SEQUENTIAL_GROWTH","FQ3 2018","FQ3 2018","Currency=INR","Period=FQ","BEST_FPERIOD_OVERRIDE=FQ","FILING_STATUS=OR","EQY_CONSOLIDATED=Y","Sort=A","Dates=H","DateFormat=P","Fill=—","Direction=H","UseDPDF=Y")</f>
        <v>#NAME?</v>
      </c>
      <c r="BX26" s="2" t="e">
        <f ca="1">_xll.BDH($C$3,"CFO_SEQUENTIAL_GROWTH","FQ3 2018","FQ3 2018","Currency=INR","Period=FQ","BEST_FPERIOD_OVERRIDE=FQ","FILING_STATUS=OR","EQY_CONSOLIDATED=Y","Sort=A","Dates=H","DateFormat=P","Fill=—","Direction=H","UseDPDF=Y")</f>
        <v>#NAME?</v>
      </c>
      <c r="BY26" s="3" t="e">
        <f ca="1">_xll.BDH($C$3,"SHORT_AND_LONG_TERM_DEBT","FQ3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6" s="3" t="e">
        <f ca="1">_xll.BDH($C$3,"BS_ST_BORROW","FQ3 2018","FQ3 2018","Currency=INR","Period=FQ","BEST_FPERIOD_OVERRIDE=FQ","FILING_STATUS=OR","EQY_CONSOLIDATED=Y","SCALING_FORMAT=MLN","Sort=A","Dates=H","DateFormat=P","Fill=—","Direction=H","UseDPDF=Y")</f>
        <v>#NAME?</v>
      </c>
      <c r="CA26" s="3" t="e">
        <f ca="1">_xll.BDH($C$3,"BS_LT_BORROW","FQ3 2018","FQ3 2018","Currency=INR","Period=FQ","BEST_FPERIOD_OVERRIDE=FQ","FILING_STATUS=OR","EQY_CONSOLIDATED=Y","SCALING_FORMAT=MLN","Sort=A","Dates=H","DateFormat=P","Fill=—","Direction=H","UseDPDF=Y")</f>
        <v>#NAME?</v>
      </c>
      <c r="CB26" s="2" t="e">
        <f ca="1">_xll.BDH($C$3,"TOT_DEBT_TO_EBITDA","FQ3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6" s="2" t="e">
        <f ca="1">_xll.BDH($C$3,"NET_DEBT_TO_EBITDA","FQ3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6" s="2" t="e">
        <f ca="1">_xll.BDH($C$3,"TOTAL_DEBT_TO_EBIT","FQ3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6" s="2" t="e">
        <f ca="1">_xll.BDH($C$3,"NET_DEBT_TO_EBIT","FQ3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6" s="2" t="e">
        <f ca="1">_xll.BDH($C$3,"EBITDA_TO_INTEREST_EXPN","FQ3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6" s="2" t="e">
        <f ca="1">_xll.BDH($C$3,"COM_EQY_TO_TOT_ASSET","FQ3 2018","FQ3 2018","Currency=INR","Period=FQ","BEST_FPERIOD_OVERRIDE=FQ","FILING_STATUS=OR","EQY_CONSOLIDATED=Y","Sort=A","Dates=H","DateFormat=P","Fill=—","Direction=H","UseDPDF=Y")</f>
        <v>#NAME?</v>
      </c>
      <c r="CH26" s="2" t="e">
        <f ca="1">_xll.BDH($C$3,"LT_DEBT_TO_TOT_EQY","FQ3 2018","FQ3 2018","Currency=INR","Period=FQ","BEST_FPERIOD_OVERRIDE=FQ","FILING_STATUS=OR","EQY_CONSOLIDATED=Y","Sort=A","Dates=H","DateFormat=P","Fill=—","Direction=H","UseDPDF=Y")</f>
        <v>#NAME?</v>
      </c>
      <c r="CI26" s="2" t="e">
        <f ca="1">_xll.BDH($C$3,"LT_DEBT_TO_TOT_CAP","FQ3 2018","FQ3 2018","Currency=INR","Period=FQ","BEST_FPERIOD_OVERRIDE=FQ","FILING_STATUS=OR","EQY_CONSOLIDATED=Y","Sort=A","Dates=H","DateFormat=P","Fill=—","Direction=H","UseDPDF=Y")</f>
        <v>#NAME?</v>
      </c>
      <c r="CJ26" s="2" t="e">
        <f ca="1">_xll.BDH($C$3,"LT_DEBT_TO_TOT_ASSET","FQ3 2018","FQ3 2018","Currency=INR","Period=FQ","BEST_FPERIOD_OVERRIDE=FQ","FILING_STATUS=OR","EQY_CONSOLIDATED=Y","Sort=A","Dates=H","DateFormat=P","Fill=—","Direction=H","UseDPDF=Y")</f>
        <v>#NAME?</v>
      </c>
      <c r="CK26" s="2" t="e">
        <f ca="1">_xll.BDH($C$3,"TOT_DEBT_TO_TOT_EQY","FQ3 2018","FQ3 2018","Currency=INR","Period=FQ","BEST_FPERIOD_OVERRIDE=FQ","FILING_STATUS=OR","EQY_CONSOLIDATED=Y","Sort=A","Dates=H","DateFormat=P","Fill=—","Direction=H","UseDPDF=Y")</f>
        <v>#NAME?</v>
      </c>
      <c r="CL26" s="2" t="e">
        <f ca="1">_xll.BDH($C$3,"TOT_DEBT_TO_TOT_CAP","FQ3 2018","FQ3 2018","Currency=INR","Period=FQ","BEST_FPERIOD_OVERRIDE=FQ","FILING_STATUS=OR","EQY_CONSOLIDATED=Y","Sort=A","Dates=H","DateFormat=P","Fill=—","Direction=H","UseDPDF=Y")</f>
        <v>#NAME?</v>
      </c>
      <c r="CM26" s="2" t="e">
        <f ca="1">_xll.BDH($C$3,"TOT_DEBT_TO_TOT_ASSET","FQ3 2018","FQ3 2018","Currency=INR","Period=FQ","BEST_FPERIOD_OVERRIDE=FQ","FILING_STATUS=OR","EQY_CONSOLIDATED=Y","Sort=A","Dates=H","DateFormat=P","Fill=—","Direction=H","UseDPDF=Y")</f>
        <v>#NAME?</v>
      </c>
      <c r="CN26" s="2" t="e">
        <f ca="1">_xll.BDH($C$3,"NET_DEBT_TO_SHRHLDR_EQTY","FQ3 2018","FQ3 2018","Currency=INR","Period=FQ","BEST_FPERIOD_OVERRIDE=FQ","FILING_STATUS=OR","EQY_CONSOLIDATED=Y","Sort=A","Dates=H","DateFormat=P","Fill=—","Direction=H","UseDPDF=Y")</f>
        <v>#NAME?</v>
      </c>
      <c r="CO26" s="2" t="e">
        <f ca="1">_xll.BDH($C$3,"NET_DEBT_%_CAPITAL","FQ3 2018","FQ3 2018","Currency=INR","Period=FQ","BEST_FPERIOD_OVERRIDE=FQ","FILING_STATUS=OR","EQY_CONSOLIDATED=Y","Sort=A","Dates=H","DateFormat=P","Fill=—","Direction=H","UseDPDF=Y")</f>
        <v>#NAME?</v>
      </c>
      <c r="CP26" s="3" t="e">
        <f ca="1">_xll.BDH($C$3,"EBITDA","FQ3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6" s="3" t="e">
        <f ca="1">_xll.BDH($C$3,"EBITDA_AFTER_CAPEX","FQ3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6" s="3" t="e">
        <f ca="1">_xll.BDH($C$3,"IS_OPER_INC","FQ3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6" s="2" t="e">
        <f ca="1">_xll.BDH($C$3,"CASH_RATIO","FQ3 2018","FQ3 2018","Currency=INR","Period=FQ","BEST_FPERIOD_OVERRIDE=FQ","FILING_STATUS=OR","EQY_CONSOLIDATED=Y","Sort=A","Dates=H","DateFormat=P","Fill=—","Direction=H","UseDPDF=Y")</f>
        <v>#NAME?</v>
      </c>
      <c r="CT26" s="2" t="e">
        <f ca="1">_xll.BDH($C$3,"CUR_RATIO","FQ3 2018","FQ3 2018","Currency=INR","Period=FQ","BEST_FPERIOD_OVERRIDE=FQ","FILING_STATUS=OR","EQY_CONSOLIDATED=Y","Sort=A","Dates=H","DateFormat=P","Fill=—","Direction=H","UseDPDF=Y")</f>
        <v>#NAME?</v>
      </c>
      <c r="CU26" s="2" t="e">
        <f ca="1">_xll.BDH($C$3,"QUICK_RATIO","FQ3 2018","FQ3 2018","Currency=INR","Period=FQ","BEST_FPERIOD_OVERRIDE=FQ","FILING_STATUS=OR","EQY_CONSOLIDATED=Y","Sort=A","Dates=H","DateFormat=P","Fill=—","Direction=H","UseDPDF=Y")</f>
        <v>#NAME?</v>
      </c>
      <c r="CV26" s="2" t="e">
        <f ca="1">_xll.BDH($C$3,"ALTMAN_Z_SCORE","FQ3 2018","FQ3 2018","Currency=INR","Period=FQ","BEST_FPERIOD_OVERRIDE=FQ","FILING_STATUS=OR","EQY_CONSOLIDATED=Y","Sort=A","Dates=H","DateFormat=P","Fill=—","Direction=H","UseDPDF=Y")</f>
        <v>#NAME?</v>
      </c>
      <c r="CW26" s="4" t="e">
        <f ca="1">_xll.BDH($C$3,"ACCT_RCV_TURN","FQ3 2018","FQ3 2018","Currency=INR","Period=FQ","BEST_FPERIOD_OVERRIDE=FQ","FILING_STATUS=OR","EQY_CONSOLIDATED=Y","FA_ADJUSTED=GAAP","Sort=A","Dates=H","DateFormat=P","Fill=—","Direction=H","UseDPDF=Y")</f>
        <v>#NAME?</v>
      </c>
      <c r="CX26" s="2" t="e">
        <f ca="1">_xll.BDH($C$3,"ACCT_RCV_DAYS","FQ3 2018","FQ3 2018","Currency=INR","Period=FQ","BEST_FPERIOD_OVERRIDE=FQ","FILING_STATUS=OR","EQY_CONSOLIDATED=Y","FA_ADJUSTED=GAAP","Sort=A","Dates=H","DateFormat=P","Fill=—","Direction=H","UseDPDF=Y")</f>
        <v>#NAME?</v>
      </c>
      <c r="CY26" s="4" t="e">
        <f ca="1">_xll.BDH($C$3,"INVENT_TURN","FQ3 2018","FQ3 2018","Currency=INR","Period=FQ","BEST_FPERIOD_OVERRIDE=FQ","FILING_STATUS=OR","EQY_CONSOLIDATED=Y","FA_ADJUSTED=GAAP","Sort=A","Dates=H","DateFormat=P","Fill=—","Direction=H","UseDPDF=Y")</f>
        <v>#NAME?</v>
      </c>
      <c r="CZ26" s="2" t="e">
        <f ca="1">_xll.BDH($C$3,"INVENT_DAYS","FQ3 2018","FQ3 2018","Currency=INR","Period=FQ","BEST_FPERIOD_OVERRIDE=FQ","FILING_STATUS=OR","EQY_CONSOLIDATED=Y","FA_ADJUSTED=GAAP","Sort=A","Dates=H","DateFormat=P","Fill=—","Direction=H","UseDPDF=Y")</f>
        <v>#NAME?</v>
      </c>
      <c r="DA26" s="4" t="e">
        <f ca="1">_xll.BDH($C$3,"ACCOUNTS_PAYABLE_TURNOVER","FQ3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6" s="2" t="e">
        <f ca="1">_xll.BDH($C$3,"ACCOUNTS_PAYABLE_TURNOVER_DAYS","FQ3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6" s="4" t="e">
        <f ca="1">_xll.BDH($C$3,"CASH_CONVERSION_CYCLE","FQ3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6" s="4" t="e">
        <f ca="1">_xll.BDH($C$3,"INV_TO_CASH_DAYS","FQ3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6" s="5" t="e">
        <f ca="1">_xll.BDH($C$3,"BS_INVENTORIES","FQ3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6" s="3" t="e">
        <f ca="1">_xll.BDH($C$3,"INVTRY_RAW_MATERIALS","FQ3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6" s="3" t="e">
        <f ca="1">_xll.BDH($C$3,"INVTRY_IN_PROGRESS","FQ3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6" s="3" t="e">
        <f ca="1">_xll.BDH($C$3,"INVTRY_FINISHED_GOODS","FQ3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6" s="3" t="e">
        <f ca="1">_xll.BDH($C$3,"BS_OTHER_INV","FQ3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" spans="1:113" x14ac:dyDescent="0.3">
      <c r="A27" s="6"/>
      <c r="B27" s="6"/>
      <c r="C27" s="6"/>
      <c r="D27" s="6"/>
      <c r="E27" t="s">
        <v>81</v>
      </c>
      <c r="F27" t="e">
        <f ca="1">_xll.BDH($C$3,"RETURN_COM_EQY","FQ4 2018","FQ4 2018","Currency=INR","Period=FQ","BEST_FPERIOD_OVERRIDE=FQ","FILING_STATUS=OR","EQY_CONSOLIDATED=Y","FA_ADJUSTED=GAAP","Sort=A","Dates=H","DateFormat=P","Fill=—","Direction=H","UseDPDF=Y")</f>
        <v>#NAME?</v>
      </c>
      <c r="G27" t="e">
        <f ca="1">_xll.BDH($C$3,"RETURN_ON_ASSET","FQ4 2018","FQ4 2018","Currency=INR","Period=FQ","BEST_FPERIOD_OVERRIDE=FQ","FILING_STATUS=OR","EQY_CONSOLIDATED=Y","FA_ADJUSTED=GAAP","Sort=A","Dates=H","DateFormat=P","Fill=—","Direction=H","UseDPDF=Y")</f>
        <v>#NAME?</v>
      </c>
      <c r="H27" t="e">
        <f ca="1">_xll.BDH($C$3,"RETURN_ON_CAP","FQ4 2018","FQ4 2018","Currency=INR","Period=FQ","BEST_FPERIOD_OVERRIDE=FQ","FILING_STATUS=OR","EQY_CONSOLIDATED=Y","FA_ADJUSTED=GAAP","Sort=A","Dates=H","DateFormat=P","Fill=—","Direction=H","UseDPDF=Y")</f>
        <v>#NAME?</v>
      </c>
      <c r="I27" t="e">
        <f ca="1">_xll.BDH($C$3,"RETURN_ON_INV_CAPITAL","FQ4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" t="e">
        <f ca="1">_xll.BDH($C$3,"EBITDA_TO_REVENUE","FQ4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" t="e">
        <f ca="1">_xll.BDH($C$3,"OPER_MARGIN","FQ4 2018","FQ4 2018","Currency=INR","Period=FQ","BEST_FPERIOD_OVERRIDE=FQ","FILING_STATUS=OR","EQY_CONSOLIDATED=Y","FA_ADJUSTED=GAAP","Sort=A","Dates=H","DateFormat=P","Fill=—","Direction=H","UseDPDF=Y")</f>
        <v>#NAME?</v>
      </c>
      <c r="L27" t="e">
        <f ca="1">_xll.BDH($C$3,"INCREMENTAL_OPERATING_MARGIN","FQ4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" t="e">
        <f ca="1">_xll.BDH($C$3,"PRETAX_INC_TO_NET_SALES","FQ4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" t="e">
        <f ca="1">_xll.BDH($C$3,"INC_BEF_XO_ITEMS_TO_NET_SALES","FQ4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" t="e">
        <f ca="1">_xll.BDH($C$3,"PROF_MARGIN","FQ4 2018","FQ4 2018","Currency=INR","Period=FQ","BEST_FPERIOD_OVERRIDE=FQ","FILING_STATUS=OR","EQY_CONSOLIDATED=Y","FA_ADJUSTED=GAAP","Sort=A","Dates=H","DateFormat=P","Fill=—","Direction=H","UseDPDF=Y")</f>
        <v>#NAME?</v>
      </c>
      <c r="P27" t="e">
        <f ca="1">_xll.BDH($C$3,"NET_INCOME_TO_COMMON_MARGIN","FQ4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" t="e">
        <f ca="1">_xll.BDH($C$3,"EFF_TAX_RATE","FQ4 2018","FQ4 2018","Currency=INR","Period=FQ","BEST_FPERIOD_OVERRIDE=FQ","FILING_STATUS=OR","EQY_CONSOLIDATED=Y","FA_ADJUSTED=GAAP","Sort=A","Dates=H","DateFormat=P","Fill=—","Direction=H","UseDPDF=Y")</f>
        <v>#NAME?</v>
      </c>
      <c r="R27" t="e">
        <f ca="1">_xll.BDH($C$3,"DVD_PAYOUT_RATIO","FQ4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" t="e">
        <f ca="1">_xll.BDH($C$3,"SUSTAIN_GROWTH_RT","FQ4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" s="2" t="e">
        <f ca="1">_xll.BDH($C$3,"SALES_GROWTH","FQ4 2018","FQ4 2018","Currency=INR","Period=FQ","BEST_FPERIOD_OVERRIDE=FQ","FILING_STATUS=OR","EQY_CONSOLIDATED=Y","FA_ADJUSTED=GAAP","Sort=A","Dates=H","DateFormat=P","Fill=—","Direction=H","UseDPDF=Y")</f>
        <v>#NAME?</v>
      </c>
      <c r="U27" s="2" t="e">
        <f ca="1">_xll.BDH($C$3,"EBITDA_GROWTH","FQ4 2018","FQ4 2018","Currency=INR","Period=FQ","BEST_FPERIOD_OVERRIDE=FQ","FILING_STATUS=OR","EQY_CONSOLIDATED=Y","FA_ADJUSTED=GAAP","Sort=A","Dates=H","DateFormat=P","Fill=—","Direction=H","UseDPDF=Y")</f>
        <v>#NAME?</v>
      </c>
      <c r="V27" s="2" t="e">
        <f ca="1">_xll.BDH($C$3,"OPER_INC_GROWTH","FQ4 2018","FQ4 2018","Currency=INR","Period=FQ","BEST_FPERIOD_OVERRIDE=FQ","FILING_STATUS=OR","EQY_CONSOLIDATED=Y","FA_ADJUSTED=GAAP","Sort=A","Dates=H","DateFormat=P","Fill=—","Direction=H","UseDPDF=Y")</f>
        <v>#NAME?</v>
      </c>
      <c r="W27" s="2" t="e">
        <f ca="1">_xll.BDH($C$3,"EARN_FOR_COM_GROWTH","FQ4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" s="2" t="e">
        <f ca="1">_xll.BDH($C$3,"DILUTED_EPS_AFT_XO_ITEMS_GROWTH","FQ4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" s="2" t="e">
        <f ca="1">_xll.BDH($C$3,"DIVIDEND_PER_SHARE_1_YEAR_GROWTH","FQ4 2018","FQ4 2018","Currency=INR","Period=FQ","BEST_FPERIOD_OVERRIDE=FQ","FILING_STATUS=OR","EQY_CONSOLIDATED=Y","Sort=A","Dates=H","DateFormat=P","Fill=—","Direction=H","UseDPDF=Y")</f>
        <v>#NAME?</v>
      </c>
      <c r="Z27" s="2" t="e">
        <f ca="1">_xll.BDH($C$3,"ACCOUNTS_RECEIVABLE_GROWTH","FQ4 2018","FQ4 2018","Currency=INR","Period=FQ","BEST_FPERIOD_OVERRIDE=FQ","FILING_STATUS=OR","EQY_CONSOLIDATED=Y","Sort=A","Dates=H","DateFormat=P","Fill=—","Direction=H","UseDPDF=Y")</f>
        <v>#NAME?</v>
      </c>
      <c r="AA27" s="2" t="e">
        <f ca="1">_xll.BDH($C$3,"INVENTORY_GROWTH","FQ4 2018","FQ4 2018","Currency=INR","Period=FQ","BEST_FPERIOD_OVERRIDE=FQ","FILING_STATUS=OR","EQY_CONSOLIDATED=Y","Sort=A","Dates=H","DateFormat=P","Fill=—","Direction=H","UseDPDF=Y")</f>
        <v>#NAME?</v>
      </c>
      <c r="AB27" s="2" t="e">
        <f ca="1">_xll.BDH($C$3,"NET_FIXED_ASSETS_1_YEAR_GROWTH","FQ4 2018","FQ4 2018","Currency=INR","Period=FQ","BEST_FPERIOD_OVERRIDE=FQ","FILING_STATUS=OR","EQY_CONSOLIDATED=Y","Sort=A","Dates=H","DateFormat=P","Fill=—","Direction=H","UseDPDF=Y")</f>
        <v>#NAME?</v>
      </c>
      <c r="AC27" s="2" t="e">
        <f ca="1">_xll.BDH($C$3,"ASSET_GROWTH","FQ4 2018","FQ4 2018","Currency=INR","Period=FQ","BEST_FPERIOD_OVERRIDE=FQ","FILING_STATUS=OR","EQY_CONSOLIDATED=Y","Sort=A","Dates=H","DateFormat=P","Fill=—","Direction=H","UseDPDF=Y")</f>
        <v>#NAME?</v>
      </c>
      <c r="AD27" s="2" t="e">
        <f ca="1">_xll.BDH($C$3,"MODIFIED_WORK_CAP_GROWTH","FQ4 2018","FQ4 2018","Currency=INR","Period=FQ","BEST_FPERIOD_OVERRIDE=FQ","FILING_STATUS=OR","EQY_CONSOLIDATED=Y","Sort=A","Dates=H","DateFormat=P","Fill=—","Direction=H","UseDPDF=Y")</f>
        <v>#NAME?</v>
      </c>
      <c r="AE27" s="2" t="e">
        <f ca="1">_xll.BDH($C$3,"WORK_CAP_GROWTH","FQ4 2018","FQ4 2018","Currency=INR","Period=FQ","BEST_FPERIOD_OVERRIDE=FQ","FILING_STATUS=OR","EQY_CONSOLIDATED=Y","Sort=A","Dates=H","DateFormat=P","Fill=—","Direction=H","UseDPDF=Y")</f>
        <v>#NAME?</v>
      </c>
      <c r="AF27" s="2" t="e">
        <f ca="1">_xll.BDH($C$3,"ACCOUNTS_PAYABLE_GROWTH_1YR","FQ4 2018","FQ4 2018","Currency=INR","Period=FQ","BEST_FPERIOD_OVERRIDE=FQ","FILING_STATUS=OR","EQY_CONSOLIDATED=Y","Sort=A","Dates=H","DateFormat=P","Fill=—","Direction=H","UseDPDF=Y")</f>
        <v>#NAME?</v>
      </c>
      <c r="AG27" s="2" t="e">
        <f ca="1">_xll.BDH($C$3,"SHORT_TERM_DEBT_1_YEAR_GROWTH","FQ4 2018","FQ4 2018","Currency=INR","Period=FQ","BEST_FPERIOD_OVERRIDE=FQ","FILING_STATUS=OR","EQY_CONSOLIDATED=Y","Sort=A","Dates=H","DateFormat=P","Fill=—","Direction=H","UseDPDF=Y")</f>
        <v>#NAME?</v>
      </c>
      <c r="AH27" s="2" t="e">
        <f ca="1">_xll.BDH($C$3,"TOTAL_DEBT_1_YEAR_GROWTH","FQ4 2018","FQ4 2018","Currency=INR","Period=FQ","BEST_FPERIOD_OVERRIDE=FQ","FILING_STATUS=OR","EQY_CONSOLIDATED=Y","Sort=A","Dates=H","DateFormat=P","Fill=—","Direction=H","UseDPDF=Y")</f>
        <v>#NAME?</v>
      </c>
      <c r="AI27" s="2" t="e">
        <f ca="1">_xll.BDH($C$3,"TOTAL_EQUITY_1_YEAR_GROWTH","FQ4 2018","FQ4 2018","Currency=INR","Period=FQ","BEST_FPERIOD_OVERRIDE=FQ","FILING_STATUS=OR","EQY_CONSOLIDATED=Y","Sort=A","Dates=H","DateFormat=P","Fill=—","Direction=H","UseDPDF=Y")</f>
        <v>#NAME?</v>
      </c>
      <c r="AJ27" s="2" t="e">
        <f ca="1">_xll.BDH($C$3,"GROWTH_IN_CAP","FQ4 2018","FQ4 2018","Currency=INR","Period=FQ","BEST_FPERIOD_OVERRIDE=FQ","FILING_STATUS=OR","EQY_CONSOLIDATED=Y","Sort=A","Dates=H","DateFormat=P","Fill=—","Direction=H","UseDPDF=Y")</f>
        <v>#NAME?</v>
      </c>
      <c r="AK27" s="2" t="e">
        <f ca="1">_xll.BDH($C$3,"BVPS_GROWTH","FQ4 2018","FQ4 2018","Currency=INR","Period=FQ","BEST_FPERIOD_OVERRIDE=FQ","FILING_STATUS=OR","EQY_CONSOLIDATED=Y","Sort=A","Dates=H","DateFormat=P","Fill=—","Direction=H","UseDPDF=Y")</f>
        <v>#NAME?</v>
      </c>
      <c r="AL27" s="2" t="e">
        <f ca="1">_xll.BDH($C$3,"CASH_FLOW_GROWTH","FQ4 2018","FQ4 2018","Currency=INR","Period=FQ","BEST_FPERIOD_OVERRIDE=FQ","FILING_STATUS=OR","EQY_CONSOLIDATED=Y","Sort=A","Dates=H","DateFormat=P","Fill=—","Direction=H","UseDPDF=Y")</f>
        <v>#NAME?</v>
      </c>
      <c r="AM27" s="2" t="e">
        <f ca="1">_xll.BDH($C$3,"GEO_GROW_NET_SALES","FQ4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" s="2" t="e">
        <f ca="1">_xll.BDH($C$3,"GEO_GROW_EBITDA","FQ4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" s="2" t="e">
        <f ca="1">_xll.BDH($C$3,"GEO_GROW_OPER_INC","FQ4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" s="2" t="e">
        <f ca="1">_xll.BDH($C$3,"NET_INCOME_TO_COMMON_5_YR_GROWTH","FQ4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" s="2" t="e">
        <f ca="1">_xll.BDH($C$3,"5Y_GEO_GROWTH_DILUTED_EPS","FQ4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" s="2" t="e">
        <f ca="1">_xll.BDH($C$3,"GEO_GROW_DVD_PER_SH","FQ4 2018","FQ4 2018","Currency=INR","Period=FQ","BEST_FPERIOD_OVERRIDE=FQ","FILING_STATUS=OR","EQY_CONSOLIDATED=Y","Sort=A","Dates=H","DateFormat=P","Fill=—","Direction=H","UseDPDF=Y")</f>
        <v>#NAME?</v>
      </c>
      <c r="AS27" s="2" t="e">
        <f ca="1">_xll.BDH($C$3,"ACCOUNTS_RECEIVABLE_5_YR_GROWTH","FQ4 2018","FQ4 2018","Currency=INR","Period=FQ","BEST_FPERIOD_OVERRIDE=FQ","FILING_STATUS=OR","EQY_CONSOLIDATED=Y","Sort=A","Dates=H","DateFormat=P","Fill=—","Direction=H","UseDPDF=Y")</f>
        <v>#NAME?</v>
      </c>
      <c r="AT27" s="2" t="e">
        <f ca="1">_xll.BDH($C$3,"INVENTORY_5_YEAR_GROWTH","FQ4 2018","FQ4 2018","Currency=INR","Period=FQ","BEST_FPERIOD_OVERRIDE=FQ","FILING_STATUS=OR","EQY_CONSOLIDATED=Y","Sort=A","Dates=H","DateFormat=P","Fill=—","Direction=H","UseDPDF=Y")</f>
        <v>#NAME?</v>
      </c>
      <c r="AU27" s="2" t="e">
        <f ca="1">_xll.BDH($C$3,"NET_FIXED_ASSETS_5_YEAR_GROWTH","FQ4 2018","FQ4 2018","Currency=INR","Period=FQ","BEST_FPERIOD_OVERRIDE=FQ","FILING_STATUS=OR","EQY_CONSOLIDATED=Y","Sort=A","Dates=H","DateFormat=P","Fill=—","Direction=H","UseDPDF=Y")</f>
        <v>#NAME?</v>
      </c>
      <c r="AV27" s="2" t="e">
        <f ca="1">_xll.BDH($C$3,"GEO_GROW_TOT_ASSET","FQ4 2018","FQ4 2018","Currency=INR","Period=FQ","BEST_FPERIOD_OVERRIDE=FQ","FILING_STATUS=OR","EQY_CONSOLIDATED=Y","Sort=A","Dates=H","DateFormat=P","Fill=—","Direction=H","UseDPDF=Y")</f>
        <v>#NAME?</v>
      </c>
      <c r="AW27" s="2" t="e">
        <f ca="1">_xll.BDH($C$3,"MODIFIED_WORKING_CPTL_5YR_GRWTH","FQ4 2018","FQ4 2018","Currency=INR","Period=FQ","BEST_FPERIOD_OVERRIDE=FQ","FILING_STATUS=OR","EQY_CONSOLIDATED=Y","Sort=A","Dates=H","DateFormat=P","Fill=—","Direction=H","UseDPDF=Y")</f>
        <v>#NAME?</v>
      </c>
      <c r="AX27" s="2" t="e">
        <f ca="1">_xll.BDH($C$3,"WORKING_CAPITAL_5_YEAR_GROWTH","FQ4 2018","FQ4 2018","Currency=INR","Period=FQ","BEST_FPERIOD_OVERRIDE=FQ","FILING_STATUS=OR","EQY_CONSOLIDATED=Y","Sort=A","Dates=H","DateFormat=P","Fill=—","Direction=H","UseDPDF=Y")</f>
        <v>#NAME?</v>
      </c>
      <c r="AY27" s="2" t="e">
        <f ca="1">_xll.BDH($C$3,"ACCOUNTS_PAYABLE_5_YEAR_GROWTH","FQ4 2018","FQ4 2018","Currency=INR","Period=FQ","BEST_FPERIOD_OVERRIDE=FQ","FILING_STATUS=OR","EQY_CONSOLIDATED=Y","Sort=A","Dates=H","DateFormat=P","Fill=—","Direction=H","UseDPDF=Y")</f>
        <v>#NAME?</v>
      </c>
      <c r="AZ27" s="2" t="e">
        <f ca="1">_xll.BDH($C$3,"SHORT_TERM_DEBT_5_YEAR_GROWTH","FQ4 2018","FQ4 2018","Currency=INR","Period=FQ","BEST_FPERIOD_OVERRIDE=FQ","FILING_STATUS=OR","EQY_CONSOLIDATED=Y","Sort=A","Dates=H","DateFormat=P","Fill=—","Direction=H","UseDPDF=Y")</f>
        <v>#NAME?</v>
      </c>
      <c r="BA27" s="2" t="e">
        <f ca="1">_xll.BDH($C$3,"TOTAL_DEBT_5_YEAR_GROWTH","FQ4 2018","FQ4 2018","Currency=INR","Period=FQ","BEST_FPERIOD_OVERRIDE=FQ","FILING_STATUS=OR","EQY_CONSOLIDATED=Y","Sort=A","Dates=H","DateFormat=P","Fill=—","Direction=H","UseDPDF=Y")</f>
        <v>#NAME?</v>
      </c>
      <c r="BB27" s="2" t="e">
        <f ca="1">_xll.BDH($C$3,"GEO_GROW_TOT_SHRHLDR_EQY","FQ4 2018","FQ4 2018","Currency=INR","Period=FQ","BEST_FPERIOD_OVERRIDE=FQ","FILING_STATUS=OR","EQY_CONSOLIDATED=Y","Sort=A","Dates=H","DateFormat=P","Fill=—","Direction=H","UseDPDF=Y")</f>
        <v>#NAME?</v>
      </c>
      <c r="BC27" s="2" t="e">
        <f ca="1">_xll.BDH($C$3,"TOTAL_CAPITAL_5_YEAR_GROWTH","FQ4 2018","FQ4 2018","Currency=INR","Period=FQ","BEST_FPERIOD_OVERRIDE=FQ","FILING_STATUS=OR","EQY_CONSOLIDATED=Y","Sort=A","Dates=H","DateFormat=P","Fill=—","Direction=H","UseDPDF=Y")</f>
        <v>#NAME?</v>
      </c>
      <c r="BD27" s="2" t="e">
        <f ca="1">_xll.BDH($C$3,"GEO_GROW_BOOK_VAL","FQ4 2018","FQ4 2018","Currency=INR","Period=FQ","BEST_FPERIOD_OVERRIDE=FQ","FILING_STATUS=OR","EQY_CONSOLIDATED=Y","Sort=A","Dates=H","DateFormat=P","Fill=—","Direction=H","UseDPDF=Y")</f>
        <v>#NAME?</v>
      </c>
      <c r="BE27" s="2" t="e">
        <f ca="1">_xll.BDH($C$3,"GEO_GROW_CASH_OPER_ACT","FQ4 2018","FQ4 2018","Currency=INR","Period=FQ","BEST_FPERIOD_OVERRIDE=FQ","FILING_STATUS=OR","EQY_CONSOLIDATED=Y","Sort=A","Dates=H","DateFormat=P","Fill=—","Direction=H","UseDPDF=Y")</f>
        <v>#NAME?</v>
      </c>
      <c r="BF27" s="2" t="e">
        <f ca="1">_xll.BDH($C$3,"REVENUE_SEQUENTIAL_GROWTH","FQ4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" s="2" t="e">
        <f ca="1">_xll.BDH($C$3,"EBITDA_SEQUENTIAL_GROWTH","FQ4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" s="2" t="e">
        <f ca="1">_xll.BDH($C$3,"OPERATING_INCOME_SEQ_GROWTH","FQ4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" s="2" t="e">
        <f ca="1">_xll.BDH($C$3,"NET_INCOME_TO_COMMON_SEQ_GROWTH","FQ4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" s="2" t="e">
        <f ca="1">_xll.BDH($C$3,"EPS_DILUTED_SEQUENTIAL_GROWTH","FQ4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" s="2" t="e">
        <f ca="1">_xll.BDH($C$3,"DPS_SEQUENTIAL_GROWTH","FQ4 2018","FQ4 2018","Currency=INR","Period=FQ","BEST_FPERIOD_OVERRIDE=FQ","FILING_STATUS=OR","EQY_CONSOLIDATED=Y","Sort=A","Dates=H","DateFormat=P","Fill=—","Direction=H","UseDPDF=Y")</f>
        <v>#NAME?</v>
      </c>
      <c r="BL27" s="2" t="e">
        <f ca="1">_xll.BDH($C$3,"ACCOUNTS_RECEIVABLE_SEQ_GROWTH","FQ4 2018","FQ4 2018","Currency=INR","Period=FQ","BEST_FPERIOD_OVERRIDE=FQ","FILING_STATUS=OR","EQY_CONSOLIDATED=Y","Sort=A","Dates=H","DateFormat=P","Fill=—","Direction=H","UseDPDF=Y")</f>
        <v>#NAME?</v>
      </c>
      <c r="BM27" s="2" t="e">
        <f ca="1">_xll.BDH($C$3,"INVENTORY_SEQUENTIAL_GROWTH","FQ4 2018","FQ4 2018","Currency=INR","Period=FQ","BEST_FPERIOD_OVERRIDE=FQ","FILING_STATUS=OR","EQY_CONSOLIDATED=Y","Sort=A","Dates=H","DateFormat=P","Fill=—","Direction=H","UseDPDF=Y")</f>
        <v>#NAME?</v>
      </c>
      <c r="BN27" s="2" t="e">
        <f ca="1">_xll.BDH($C$3,"FIXED_ASSETS_SEQUENTIAL_GROWTH","FQ4 2018","FQ4 2018","Currency=INR","Period=FQ","BEST_FPERIOD_OVERRIDE=FQ","FILING_STATUS=OR","EQY_CONSOLIDATED=Y","Sort=A","Dates=H","DateFormat=P","Fill=—","Direction=H","UseDPDF=Y")</f>
        <v>#NAME?</v>
      </c>
      <c r="BO27" s="2" t="e">
        <f ca="1">_xll.BDH($C$3,"TOTAL_ASSETS_SEQUENTIAL_GROWTH","FQ4 2018","FQ4 2018","Currency=INR","Period=FQ","BEST_FPERIOD_OVERRIDE=FQ","FILING_STATUS=OR","EQY_CONSOLIDATED=Y","Sort=A","Dates=H","DateFormat=P","Fill=—","Direction=H","UseDPDF=Y")</f>
        <v>#NAME?</v>
      </c>
      <c r="BP27" s="2" t="e">
        <f ca="1">_xll.BDH($C$3,"MODIFIED_WORKING_CPTL_SEQ_GRWTH","FQ4 2018","FQ4 2018","Currency=INR","Period=FQ","BEST_FPERIOD_OVERRIDE=FQ","FILING_STATUS=OR","EQY_CONSOLIDATED=Y","Sort=A","Dates=H","DateFormat=P","Fill=—","Direction=H","UseDPDF=Y")</f>
        <v>#NAME?</v>
      </c>
      <c r="BQ27" s="2" t="e">
        <f ca="1">_xll.BDH($C$3,"WORKING_CAPITAL_SEQ_GROWTH","FQ4 2018","FQ4 2018","Currency=INR","Period=FQ","BEST_FPERIOD_OVERRIDE=FQ","FILING_STATUS=OR","EQY_CONSOLIDATED=Y","Sort=A","Dates=H","DateFormat=P","Fill=—","Direction=H","UseDPDF=Y")</f>
        <v>#NAME?</v>
      </c>
      <c r="BR27" s="2" t="e">
        <f ca="1">_xll.BDH($C$3,"ACCOUNTS_PAYABLE_SEQ_GROWTH","FQ4 2018","FQ4 2018","Currency=INR","Period=FQ","BEST_FPERIOD_OVERRIDE=FQ","FILING_STATUS=OR","EQY_CONSOLIDATED=Y","Sort=A","Dates=H","DateFormat=P","Fill=—","Direction=H","UseDPDF=Y")</f>
        <v>#NAME?</v>
      </c>
      <c r="BS27" s="2" t="e">
        <f ca="1">_xll.BDH($C$3,"ST_DEBT_SEQUENTIAL_GROWTH","FQ4 2018","FQ4 2018","Currency=INR","Period=FQ","BEST_FPERIOD_OVERRIDE=FQ","FILING_STATUS=OR","EQY_CONSOLIDATED=Y","Sort=A","Dates=H","DateFormat=P","Fill=—","Direction=H","UseDPDF=Y")</f>
        <v>#NAME?</v>
      </c>
      <c r="BT27" s="2" t="e">
        <f ca="1">_xll.BDH($C$3,"TOTAL_DEBT_SEQUENTIAL_GROWTH","FQ4 2018","FQ4 2018","Currency=INR","Period=FQ","BEST_FPERIOD_OVERRIDE=FQ","FILING_STATUS=OR","EQY_CONSOLIDATED=Y","Sort=A","Dates=H","DateFormat=P","Fill=—","Direction=H","UseDPDF=Y")</f>
        <v>#NAME?</v>
      </c>
      <c r="BU27" s="2" t="e">
        <f ca="1">_xll.BDH($C$3,"TOTAL_EQUITY_SEQUENTIAL_GROWTH","FQ4 2018","FQ4 2018","Currency=INR","Period=FQ","BEST_FPERIOD_OVERRIDE=FQ","FILING_STATUS=OR","EQY_CONSOLIDATED=Y","Sort=A","Dates=H","DateFormat=P","Fill=—","Direction=H","UseDPDF=Y")</f>
        <v>#NAME?</v>
      </c>
      <c r="BV27" s="2" t="e">
        <f ca="1">_xll.BDH($C$3,"TOTAL_CAPITAL_SEQUENTIAL_GROWTH","FQ4 2018","FQ4 2018","Currency=INR","Period=FQ","BEST_FPERIOD_OVERRIDE=FQ","FILING_STATUS=OR","EQY_CONSOLIDATED=Y","Sort=A","Dates=H","DateFormat=P","Fill=—","Direction=H","UseDPDF=Y")</f>
        <v>#NAME?</v>
      </c>
      <c r="BW27" s="2" t="e">
        <f ca="1">_xll.BDH($C$3,"BPS_SEQUENTIAL_GROWTH","FQ4 2018","FQ4 2018","Currency=INR","Period=FQ","BEST_FPERIOD_OVERRIDE=FQ","FILING_STATUS=OR","EQY_CONSOLIDATED=Y","Sort=A","Dates=H","DateFormat=P","Fill=—","Direction=H","UseDPDF=Y")</f>
        <v>#NAME?</v>
      </c>
      <c r="BX27" s="2" t="e">
        <f ca="1">_xll.BDH($C$3,"CFO_SEQUENTIAL_GROWTH","FQ4 2018","FQ4 2018","Currency=INR","Period=FQ","BEST_FPERIOD_OVERRIDE=FQ","FILING_STATUS=OR","EQY_CONSOLIDATED=Y","Sort=A","Dates=H","DateFormat=P","Fill=—","Direction=H","UseDPDF=Y")</f>
        <v>#NAME?</v>
      </c>
      <c r="BY27" s="3" t="e">
        <f ca="1">_xll.BDH($C$3,"SHORT_AND_LONG_TERM_DEBT","FQ4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" s="3" t="e">
        <f ca="1">_xll.BDH($C$3,"BS_ST_BORROW","FQ4 2018","FQ4 2018","Currency=INR","Period=FQ","BEST_FPERIOD_OVERRIDE=FQ","FILING_STATUS=OR","EQY_CONSOLIDATED=Y","SCALING_FORMAT=MLN","Sort=A","Dates=H","DateFormat=P","Fill=—","Direction=H","UseDPDF=Y")</f>
        <v>#NAME?</v>
      </c>
      <c r="CA27" s="3" t="e">
        <f ca="1">_xll.BDH($C$3,"BS_LT_BORROW","FQ4 2018","FQ4 2018","Currency=INR","Period=FQ","BEST_FPERIOD_OVERRIDE=FQ","FILING_STATUS=OR","EQY_CONSOLIDATED=Y","SCALING_FORMAT=MLN","Sort=A","Dates=H","DateFormat=P","Fill=—","Direction=H","UseDPDF=Y")</f>
        <v>#NAME?</v>
      </c>
      <c r="CB27" s="2" t="e">
        <f ca="1">_xll.BDH($C$3,"TOT_DEBT_TO_EBITDA","FQ4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" s="2" t="e">
        <f ca="1">_xll.BDH($C$3,"NET_DEBT_TO_EBITDA","FQ4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" s="2" t="e">
        <f ca="1">_xll.BDH($C$3,"TOTAL_DEBT_TO_EBIT","FQ4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" s="2" t="e">
        <f ca="1">_xll.BDH($C$3,"NET_DEBT_TO_EBIT","FQ4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" s="2" t="e">
        <f ca="1">_xll.BDH($C$3,"EBITDA_TO_INTEREST_EXPN","FQ4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" s="2" t="e">
        <f ca="1">_xll.BDH($C$3,"COM_EQY_TO_TOT_ASSET","FQ4 2018","FQ4 2018","Currency=INR","Period=FQ","BEST_FPERIOD_OVERRIDE=FQ","FILING_STATUS=OR","EQY_CONSOLIDATED=Y","Sort=A","Dates=H","DateFormat=P","Fill=—","Direction=H","UseDPDF=Y")</f>
        <v>#NAME?</v>
      </c>
      <c r="CH27" s="2" t="e">
        <f ca="1">_xll.BDH($C$3,"LT_DEBT_TO_TOT_EQY","FQ4 2018","FQ4 2018","Currency=INR","Period=FQ","BEST_FPERIOD_OVERRIDE=FQ","FILING_STATUS=OR","EQY_CONSOLIDATED=Y","Sort=A","Dates=H","DateFormat=P","Fill=—","Direction=H","UseDPDF=Y")</f>
        <v>#NAME?</v>
      </c>
      <c r="CI27" s="2" t="e">
        <f ca="1">_xll.BDH($C$3,"LT_DEBT_TO_TOT_CAP","FQ4 2018","FQ4 2018","Currency=INR","Period=FQ","BEST_FPERIOD_OVERRIDE=FQ","FILING_STATUS=OR","EQY_CONSOLIDATED=Y","Sort=A","Dates=H","DateFormat=P","Fill=—","Direction=H","UseDPDF=Y")</f>
        <v>#NAME?</v>
      </c>
      <c r="CJ27" s="2" t="e">
        <f ca="1">_xll.BDH($C$3,"LT_DEBT_TO_TOT_ASSET","FQ4 2018","FQ4 2018","Currency=INR","Period=FQ","BEST_FPERIOD_OVERRIDE=FQ","FILING_STATUS=OR","EQY_CONSOLIDATED=Y","Sort=A","Dates=H","DateFormat=P","Fill=—","Direction=H","UseDPDF=Y")</f>
        <v>#NAME?</v>
      </c>
      <c r="CK27" s="2" t="e">
        <f ca="1">_xll.BDH($C$3,"TOT_DEBT_TO_TOT_EQY","FQ4 2018","FQ4 2018","Currency=INR","Period=FQ","BEST_FPERIOD_OVERRIDE=FQ","FILING_STATUS=OR","EQY_CONSOLIDATED=Y","Sort=A","Dates=H","DateFormat=P","Fill=—","Direction=H","UseDPDF=Y")</f>
        <v>#NAME?</v>
      </c>
      <c r="CL27" s="2" t="e">
        <f ca="1">_xll.BDH($C$3,"TOT_DEBT_TO_TOT_CAP","FQ4 2018","FQ4 2018","Currency=INR","Period=FQ","BEST_FPERIOD_OVERRIDE=FQ","FILING_STATUS=OR","EQY_CONSOLIDATED=Y","Sort=A","Dates=H","DateFormat=P","Fill=—","Direction=H","UseDPDF=Y")</f>
        <v>#NAME?</v>
      </c>
      <c r="CM27" s="2" t="e">
        <f ca="1">_xll.BDH($C$3,"TOT_DEBT_TO_TOT_ASSET","FQ4 2018","FQ4 2018","Currency=INR","Period=FQ","BEST_FPERIOD_OVERRIDE=FQ","FILING_STATUS=OR","EQY_CONSOLIDATED=Y","Sort=A","Dates=H","DateFormat=P","Fill=—","Direction=H","UseDPDF=Y")</f>
        <v>#NAME?</v>
      </c>
      <c r="CN27" s="2" t="e">
        <f ca="1">_xll.BDH($C$3,"NET_DEBT_TO_SHRHLDR_EQTY","FQ4 2018","FQ4 2018","Currency=INR","Period=FQ","BEST_FPERIOD_OVERRIDE=FQ","FILING_STATUS=OR","EQY_CONSOLIDATED=Y","Sort=A","Dates=H","DateFormat=P","Fill=—","Direction=H","UseDPDF=Y")</f>
        <v>#NAME?</v>
      </c>
      <c r="CO27" s="2" t="e">
        <f ca="1">_xll.BDH($C$3,"NET_DEBT_%_CAPITAL","FQ4 2018","FQ4 2018","Currency=INR","Period=FQ","BEST_FPERIOD_OVERRIDE=FQ","FILING_STATUS=OR","EQY_CONSOLIDATED=Y","Sort=A","Dates=H","DateFormat=P","Fill=—","Direction=H","UseDPDF=Y")</f>
        <v>#NAME?</v>
      </c>
      <c r="CP27" s="3" t="e">
        <f ca="1">_xll.BDH($C$3,"EBITDA","FQ4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" s="3" t="e">
        <f ca="1">_xll.BDH($C$3,"EBITDA_AFTER_CAPEX","FQ4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" s="3" t="e">
        <f ca="1">_xll.BDH($C$3,"IS_OPER_INC","FQ4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" s="2" t="e">
        <f ca="1">_xll.BDH($C$3,"CASH_RATIO","FQ4 2018","FQ4 2018","Currency=INR","Period=FQ","BEST_FPERIOD_OVERRIDE=FQ","FILING_STATUS=OR","EQY_CONSOLIDATED=Y","Sort=A","Dates=H","DateFormat=P","Fill=—","Direction=H","UseDPDF=Y")</f>
        <v>#NAME?</v>
      </c>
      <c r="CT27" s="2" t="e">
        <f ca="1">_xll.BDH($C$3,"CUR_RATIO","FQ4 2018","FQ4 2018","Currency=INR","Period=FQ","BEST_FPERIOD_OVERRIDE=FQ","FILING_STATUS=OR","EQY_CONSOLIDATED=Y","Sort=A","Dates=H","DateFormat=P","Fill=—","Direction=H","UseDPDF=Y")</f>
        <v>#NAME?</v>
      </c>
      <c r="CU27" s="2" t="e">
        <f ca="1">_xll.BDH($C$3,"QUICK_RATIO","FQ4 2018","FQ4 2018","Currency=INR","Period=FQ","BEST_FPERIOD_OVERRIDE=FQ","FILING_STATUS=OR","EQY_CONSOLIDATED=Y","Sort=A","Dates=H","DateFormat=P","Fill=—","Direction=H","UseDPDF=Y")</f>
        <v>#NAME?</v>
      </c>
      <c r="CV27" s="2" t="e">
        <f ca="1">_xll.BDH($C$3,"ALTMAN_Z_SCORE","FQ4 2018","FQ4 2018","Currency=INR","Period=FQ","BEST_FPERIOD_OVERRIDE=FQ","FILING_STATUS=OR","EQY_CONSOLIDATED=Y","Sort=A","Dates=H","DateFormat=P","Fill=—","Direction=H","UseDPDF=Y")</f>
        <v>#NAME?</v>
      </c>
      <c r="CW27" s="4" t="e">
        <f ca="1">_xll.BDH($C$3,"ACCT_RCV_TURN","FQ4 2018","FQ4 2018","Currency=INR","Period=FQ","BEST_FPERIOD_OVERRIDE=FQ","FILING_STATUS=OR","EQY_CONSOLIDATED=Y","FA_ADJUSTED=GAAP","Sort=A","Dates=H","DateFormat=P","Fill=—","Direction=H","UseDPDF=Y")</f>
        <v>#NAME?</v>
      </c>
      <c r="CX27" s="2" t="e">
        <f ca="1">_xll.BDH($C$3,"ACCT_RCV_DAYS","FQ4 2018","FQ4 2018","Currency=INR","Period=FQ","BEST_FPERIOD_OVERRIDE=FQ","FILING_STATUS=OR","EQY_CONSOLIDATED=Y","FA_ADJUSTED=GAAP","Sort=A","Dates=H","DateFormat=P","Fill=—","Direction=H","UseDPDF=Y")</f>
        <v>#NAME?</v>
      </c>
      <c r="CY27" s="4" t="e">
        <f ca="1">_xll.BDH($C$3,"INVENT_TURN","FQ4 2018","FQ4 2018","Currency=INR","Period=FQ","BEST_FPERIOD_OVERRIDE=FQ","FILING_STATUS=OR","EQY_CONSOLIDATED=Y","FA_ADJUSTED=GAAP","Sort=A","Dates=H","DateFormat=P","Fill=—","Direction=H","UseDPDF=Y")</f>
        <v>#NAME?</v>
      </c>
      <c r="CZ27" s="2" t="e">
        <f ca="1">_xll.BDH($C$3,"INVENT_DAYS","FQ4 2018","FQ4 2018","Currency=INR","Period=FQ","BEST_FPERIOD_OVERRIDE=FQ","FILING_STATUS=OR","EQY_CONSOLIDATED=Y","FA_ADJUSTED=GAAP","Sort=A","Dates=H","DateFormat=P","Fill=—","Direction=H","UseDPDF=Y")</f>
        <v>#NAME?</v>
      </c>
      <c r="DA27" s="4" t="e">
        <f ca="1">_xll.BDH($C$3,"ACCOUNTS_PAYABLE_TURNOVER","FQ4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" s="2" t="e">
        <f ca="1">_xll.BDH($C$3,"ACCOUNTS_PAYABLE_TURNOVER_DAYS","FQ4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" s="4" t="e">
        <f ca="1">_xll.BDH($C$3,"CASH_CONVERSION_CYCLE","FQ4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" s="4" t="e">
        <f ca="1">_xll.BDH($C$3,"INV_TO_CASH_DAYS","FQ4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" s="5" t="e">
        <f ca="1">_xll.BDH($C$3,"BS_INVENTORIES","FQ4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" s="3" t="e">
        <f ca="1">_xll.BDH($C$3,"INVTRY_RAW_MATERIALS","FQ4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" s="3" t="e">
        <f ca="1">_xll.BDH($C$3,"INVTRY_IN_PROGRESS","FQ4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" s="3" t="e">
        <f ca="1">_xll.BDH($C$3,"INVTRY_FINISHED_GOODS","FQ4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" s="3" t="e">
        <f ca="1">_xll.BDH($C$3,"BS_OTHER_INV","FQ4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8" spans="1:113" x14ac:dyDescent="0.3">
      <c r="A28" s="6">
        <v>77</v>
      </c>
      <c r="B28" s="6" t="s">
        <v>86</v>
      </c>
      <c r="C28" s="6" t="s">
        <v>87</v>
      </c>
      <c r="D28" s="6" t="s">
        <v>76</v>
      </c>
      <c r="E28" t="s">
        <v>77</v>
      </c>
      <c r="F28" t="e">
        <f ca="1">_xll.BDH($C$28,"RETURN_COM_EQY","FY 2014","FY 2014","Currency=INR","Period=FY","BEST_FPERIOD_OVERRIDE=FY","FILING_STATUS=OR","EQY_CONSOLIDATED=Y","FA_ADJUSTED=GAAP","Sort=A","Dates=H","DateFormat=P","Fill=—","Direction=H","UseDPDF=Y")</f>
        <v>#NAME?</v>
      </c>
      <c r="G28" t="e">
        <f ca="1">_xll.BDH($C$28,"RETURN_ON_ASSET","FY 2014","FY 2014","Currency=INR","Period=FY","BEST_FPERIOD_OVERRIDE=FY","FILING_STATUS=OR","EQY_CONSOLIDATED=Y","FA_ADJUSTED=GAAP","Sort=A","Dates=H","DateFormat=P","Fill=—","Direction=H","UseDPDF=Y")</f>
        <v>#NAME?</v>
      </c>
      <c r="H28" t="e">
        <f ca="1">_xll.BDH($C$28,"RETURN_ON_CAP","FY 2014","FY 2014","Currency=INR","Period=FY","BEST_FPERIOD_OVERRIDE=FY","FILING_STATUS=OR","EQY_CONSOLIDATED=Y","FA_ADJUSTED=GAAP","Sort=A","Dates=H","DateFormat=P","Fill=—","Direction=H","UseDPDF=Y")</f>
        <v>#NAME?</v>
      </c>
      <c r="I28" t="e">
        <f ca="1">_xll.BDH($C$28,"RETURN_ON_INV_CAPITAL","FY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8" t="e">
        <f ca="1">_xll.BDH($C$28,"EBITDA_TO_REVENUE","FY 2014","FY 2014","Currency=INR","Period=FY","BEST_FPERIOD_OVERRIDE=FY","FILING_STATUS=OR","EQY_CONSOLIDATED=Y","FA_ADJUSTED=GAAP","Sort=A","Dates=H","DateFormat=P","Fill=—","Direction=H","UseDPDF=Y")</f>
        <v>#NAME?</v>
      </c>
      <c r="K28" t="e">
        <f ca="1">_xll.BDH($C$28,"OPER_MARGIN","FY 2014","FY 2014","Currency=INR","Period=FY","BEST_FPERIOD_OVERRIDE=FY","FILING_STATUS=OR","EQY_CONSOLIDATED=Y","FA_ADJUSTED=GAAP","Sort=A","Dates=H","DateFormat=P","Fill=—","Direction=H","UseDPDF=Y")</f>
        <v>#NAME?</v>
      </c>
      <c r="L28" t="e">
        <f ca="1">_xll.BDH($C$28,"INCREMENTAL_OPERATING_MARGIN","FY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8" t="e">
        <f ca="1">_xll.BDH($C$28,"PRETAX_INC_TO_NET_SALES","FY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8" t="e">
        <f ca="1">_xll.BDH($C$28,"INC_BEF_XO_ITEMS_TO_NET_SALES","FY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8" t="e">
        <f ca="1">_xll.BDH($C$28,"PROF_MARGIN","FY 2014","FY 2014","Currency=INR","Period=FY","BEST_FPERIOD_OVERRIDE=FY","FILING_STATUS=OR","EQY_CONSOLIDATED=Y","FA_ADJUSTED=GAAP","Sort=A","Dates=H","DateFormat=P","Fill=—","Direction=H","UseDPDF=Y")</f>
        <v>#NAME?</v>
      </c>
      <c r="P28" t="e">
        <f ca="1">_xll.BDH($C$28,"NET_INCOME_TO_COMMON_MARGIN","FY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8" t="e">
        <f ca="1">_xll.BDH($C$28,"EFF_TAX_RATE","FY 2014","FY 2014","Currency=INR","Period=FY","BEST_FPERIOD_OVERRIDE=FY","FILING_STATUS=OR","EQY_CONSOLIDATED=Y","FA_ADJUSTED=GAAP","Sort=A","Dates=H","DateFormat=P","Fill=—","Direction=H","UseDPDF=Y")</f>
        <v>#NAME?</v>
      </c>
      <c r="R28" t="e">
        <f ca="1">_xll.BDH($C$28,"DVD_PAYOUT_RATIO","FY 2014","FY 2014","Currency=INR","Period=FY","BEST_FPERIOD_OVERRIDE=FY","FILING_STATUS=OR","EQY_CONSOLIDATED=Y","FA_ADJUSTED=GAAP","Sort=A","Dates=H","DateFormat=P","Fill=—","Direction=H","UseDPDF=Y")</f>
        <v>#NAME?</v>
      </c>
      <c r="S28" t="e">
        <f ca="1">_xll.BDH($C$28,"SUSTAIN_GROWTH_RT","FY 2014","FY 2014","Currency=INR","Period=FY","BEST_FPERIOD_OVERRIDE=FY","FILING_STATUS=OR","EQY_CONSOLIDATED=Y","FA_ADJUSTED=GAAP","Sort=A","Dates=H","DateFormat=P","Fill=—","Direction=H","UseDPDF=Y")</f>
        <v>#NAME?</v>
      </c>
      <c r="T28" s="2" t="e">
        <f ca="1">_xll.BDH($C$28,"SALES_GROWTH","FY 2014","FY 2014","Currency=INR","Period=FY","BEST_FPERIOD_OVERRIDE=FY","FILING_STATUS=OR","EQY_CONSOLIDATED=Y","FA_ADJUSTED=GAAP","Sort=A","Dates=H","DateFormat=P","Fill=—","Direction=H","UseDPDF=Y")</f>
        <v>#NAME?</v>
      </c>
      <c r="U28" s="2" t="e">
        <f ca="1">_xll.BDH($C$28,"EBITDA_GROWTH","FY 2014","FY 2014","Currency=INR","Period=FY","BEST_FPERIOD_OVERRIDE=FY","FILING_STATUS=OR","EQY_CONSOLIDATED=Y","FA_ADJUSTED=GAAP","Sort=A","Dates=H","DateFormat=P","Fill=—","Direction=H","UseDPDF=Y")</f>
        <v>#NAME?</v>
      </c>
      <c r="V28" s="2" t="e">
        <f ca="1">_xll.BDH($C$28,"OPER_INC_GROWTH","FY 2014","FY 2014","Currency=INR","Period=FY","BEST_FPERIOD_OVERRIDE=FY","FILING_STATUS=OR","EQY_CONSOLIDATED=Y","FA_ADJUSTED=GAAP","Sort=A","Dates=H","DateFormat=P","Fill=—","Direction=H","UseDPDF=Y")</f>
        <v>#NAME?</v>
      </c>
      <c r="W28" s="2" t="e">
        <f ca="1">_xll.BDH($C$28,"EARN_FOR_COM_GROWTH","FY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8" s="2" t="e">
        <f ca="1">_xll.BDH($C$28,"DILUTED_EPS_AFT_XO_ITEMS_GROWTH","FY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8" s="2" t="e">
        <f ca="1">_xll.BDH($C$28,"DIVIDEND_PER_SHARE_1_YEAR_GROWTH","FY 2014","FY 2014","Currency=INR","Period=FY","BEST_FPERIOD_OVERRIDE=FY","FILING_STATUS=OR","EQY_CONSOLIDATED=Y","Sort=A","Dates=H","DateFormat=P","Fill=—","Direction=H","UseDPDF=Y")</f>
        <v>#NAME?</v>
      </c>
      <c r="Z28" s="2" t="e">
        <f ca="1">_xll.BDH($C$28,"ACCOUNTS_RECEIVABLE_GROWTH","FY 2014","FY 2014","Currency=INR","Period=FY","BEST_FPERIOD_OVERRIDE=FY","FILING_STATUS=OR","EQY_CONSOLIDATED=Y","Sort=A","Dates=H","DateFormat=P","Fill=—","Direction=H","UseDPDF=Y")</f>
        <v>#NAME?</v>
      </c>
      <c r="AA28" s="2" t="e">
        <f ca="1">_xll.BDH($C$28,"INVENTORY_GROWTH","FY 2014","FY 2014","Currency=INR","Period=FY","BEST_FPERIOD_OVERRIDE=FY","FILING_STATUS=OR","EQY_CONSOLIDATED=Y","Sort=A","Dates=H","DateFormat=P","Fill=—","Direction=H","UseDPDF=Y")</f>
        <v>#NAME?</v>
      </c>
      <c r="AB28" s="2" t="e">
        <f ca="1">_xll.BDH($C$28,"NET_FIXED_ASSETS_1_YEAR_GROWTH","FY 2014","FY 2014","Currency=INR","Period=FY","BEST_FPERIOD_OVERRIDE=FY","FILING_STATUS=OR","EQY_CONSOLIDATED=Y","Sort=A","Dates=H","DateFormat=P","Fill=—","Direction=H","UseDPDF=Y")</f>
        <v>#NAME?</v>
      </c>
      <c r="AC28" s="2" t="e">
        <f ca="1">_xll.BDH($C$28,"ASSET_GROWTH","FY 2014","FY 2014","Currency=INR","Period=FY","BEST_FPERIOD_OVERRIDE=FY","FILING_STATUS=OR","EQY_CONSOLIDATED=Y","Sort=A","Dates=H","DateFormat=P","Fill=—","Direction=H","UseDPDF=Y")</f>
        <v>#NAME?</v>
      </c>
      <c r="AD28" s="2" t="e">
        <f ca="1">_xll.BDH($C$28,"MODIFIED_WORK_CAP_GROWTH","FY 2014","FY 2014","Currency=INR","Period=FY","BEST_FPERIOD_OVERRIDE=FY","FILING_STATUS=OR","EQY_CONSOLIDATED=Y","Sort=A","Dates=H","DateFormat=P","Fill=—","Direction=H","UseDPDF=Y")</f>
        <v>#NAME?</v>
      </c>
      <c r="AE28" s="2" t="e">
        <f ca="1">_xll.BDH($C$28,"WORK_CAP_GROWTH","FY 2014","FY 2014","Currency=INR","Period=FY","BEST_FPERIOD_OVERRIDE=FY","FILING_STATUS=OR","EQY_CONSOLIDATED=Y","Sort=A","Dates=H","DateFormat=P","Fill=—","Direction=H","UseDPDF=Y")</f>
        <v>#NAME?</v>
      </c>
      <c r="AF28" s="2" t="e">
        <f ca="1">_xll.BDH($C$28,"ACCOUNTS_PAYABLE_GROWTH_1YR","FY 2014","FY 2014","Currency=INR","Period=FY","BEST_FPERIOD_OVERRIDE=FY","FILING_STATUS=OR","EQY_CONSOLIDATED=Y","Sort=A","Dates=H","DateFormat=P","Fill=—","Direction=H","UseDPDF=Y")</f>
        <v>#NAME?</v>
      </c>
      <c r="AG28" s="2" t="e">
        <f ca="1">_xll.BDH($C$28,"SHORT_TERM_DEBT_1_YEAR_GROWTH","FY 2014","FY 2014","Currency=INR","Period=FY","BEST_FPERIOD_OVERRIDE=FY","FILING_STATUS=OR","EQY_CONSOLIDATED=Y","Sort=A","Dates=H","DateFormat=P","Fill=—","Direction=H","UseDPDF=Y")</f>
        <v>#NAME?</v>
      </c>
      <c r="AH28" s="2" t="e">
        <f ca="1">_xll.BDH($C$28,"TOTAL_DEBT_1_YEAR_GROWTH","FY 2014","FY 2014","Currency=INR","Period=FY","BEST_FPERIOD_OVERRIDE=FY","FILING_STATUS=OR","EQY_CONSOLIDATED=Y","Sort=A","Dates=H","DateFormat=P","Fill=—","Direction=H","UseDPDF=Y")</f>
        <v>#NAME?</v>
      </c>
      <c r="AI28" s="2" t="e">
        <f ca="1">_xll.BDH($C$28,"TOTAL_EQUITY_1_YEAR_GROWTH","FY 2014","FY 2014","Currency=INR","Period=FY","BEST_FPERIOD_OVERRIDE=FY","FILING_STATUS=OR","EQY_CONSOLIDATED=Y","Sort=A","Dates=H","DateFormat=P","Fill=—","Direction=H","UseDPDF=Y")</f>
        <v>#NAME?</v>
      </c>
      <c r="AJ28" s="2" t="e">
        <f ca="1">_xll.BDH($C$28,"GROWTH_IN_CAP","FY 2014","FY 2014","Currency=INR","Period=FY","BEST_FPERIOD_OVERRIDE=FY","FILING_STATUS=OR","EQY_CONSOLIDATED=Y","Sort=A","Dates=H","DateFormat=P","Fill=—","Direction=H","UseDPDF=Y")</f>
        <v>#NAME?</v>
      </c>
      <c r="AK28" s="2" t="e">
        <f ca="1">_xll.BDH($C$28,"BVPS_GROWTH","FY 2014","FY 2014","Currency=INR","Period=FY","BEST_FPERIOD_OVERRIDE=FY","FILING_STATUS=OR","EQY_CONSOLIDATED=Y","Sort=A","Dates=H","DateFormat=P","Fill=—","Direction=H","UseDPDF=Y")</f>
        <v>#NAME?</v>
      </c>
      <c r="AL28" s="2" t="e">
        <f ca="1">_xll.BDH($C$28,"CASH_FLOW_GROWTH","FY 2014","FY 2014","Currency=INR","Period=FY","BEST_FPERIOD_OVERRIDE=FY","FILING_STATUS=OR","EQY_CONSOLIDATED=Y","Sort=A","Dates=H","DateFormat=P","Fill=—","Direction=H","UseDPDF=Y")</f>
        <v>#NAME?</v>
      </c>
      <c r="AM28" s="2" t="e">
        <f ca="1">_xll.BDH($C$28,"GEO_GROW_NET_SALES","FY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8" s="2" t="e">
        <f ca="1">_xll.BDH($C$28,"GEO_GROW_EBITDA","FY 2014","FY 2014","Currency=INR","Period=FY","BEST_FPERIOD_OVERRIDE=FY","FILING_STATUS=OR","EQY_CONSOLIDATED=Y","FA_ADJUSTED=GAAP","Sort=A","Dates=H","DateFormat=P","Fill=—","Direction=H","UseDPDF=Y")</f>
        <v>#NAME?</v>
      </c>
      <c r="AO28" s="2" t="e">
        <f ca="1">_xll.BDH($C$28,"GEO_GROW_OPER_INC","FY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8" s="2" t="e">
        <f ca="1">_xll.BDH($C$28,"NET_INCOME_TO_COMMON_5_YR_GROWTH","FY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8" s="2" t="e">
        <f ca="1">_xll.BDH($C$28,"5Y_GEO_GROWTH_DILUTED_EPS","FY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8" s="2" t="e">
        <f ca="1">_xll.BDH($C$28,"GEO_GROW_DVD_PER_SH","FY 2014","FY 2014","Currency=INR","Period=FY","BEST_FPERIOD_OVERRIDE=FY","FILING_STATUS=OR","EQY_CONSOLIDATED=Y","Sort=A","Dates=H","DateFormat=P","Fill=—","Direction=H","UseDPDF=Y")</f>
        <v>#NAME?</v>
      </c>
      <c r="AS28" s="2" t="e">
        <f ca="1">_xll.BDH($C$28,"ACCOUNTS_RECEIVABLE_5_YR_GROWTH","FY 2014","FY 2014","Currency=INR","Period=FY","BEST_FPERIOD_OVERRIDE=FY","FILING_STATUS=OR","EQY_CONSOLIDATED=Y","Sort=A","Dates=H","DateFormat=P","Fill=—","Direction=H","UseDPDF=Y")</f>
        <v>#NAME?</v>
      </c>
      <c r="AT28" s="2" t="e">
        <f ca="1">_xll.BDH($C$28,"INVENTORY_5_YEAR_GROWTH","FY 2014","FY 2014","Currency=INR","Period=FY","BEST_FPERIOD_OVERRIDE=FY","FILING_STATUS=OR","EQY_CONSOLIDATED=Y","Sort=A","Dates=H","DateFormat=P","Fill=—","Direction=H","UseDPDF=Y")</f>
        <v>#NAME?</v>
      </c>
      <c r="AU28" s="2" t="e">
        <f ca="1">_xll.BDH($C$28,"NET_FIXED_ASSETS_5_YEAR_GROWTH","FY 2014","FY 2014","Currency=INR","Period=FY","BEST_FPERIOD_OVERRIDE=FY","FILING_STATUS=OR","EQY_CONSOLIDATED=Y","Sort=A","Dates=H","DateFormat=P","Fill=—","Direction=H","UseDPDF=Y")</f>
        <v>#NAME?</v>
      </c>
      <c r="AV28" s="2" t="e">
        <f ca="1">_xll.BDH($C$28,"GEO_GROW_TOT_ASSET","FY 2014","FY 2014","Currency=INR","Period=FY","BEST_FPERIOD_OVERRIDE=FY","FILING_STATUS=OR","EQY_CONSOLIDATED=Y","Sort=A","Dates=H","DateFormat=P","Fill=—","Direction=H","UseDPDF=Y")</f>
        <v>#NAME?</v>
      </c>
      <c r="AW28" s="2" t="e">
        <f ca="1">_xll.BDH($C$28,"MODIFIED_WORKING_CPTL_5YR_GRWTH","FY 2014","FY 2014","Currency=INR","Period=FY","BEST_FPERIOD_OVERRIDE=FY","FILING_STATUS=OR","EQY_CONSOLIDATED=Y","Sort=A","Dates=H","DateFormat=P","Fill=—","Direction=H","UseDPDF=Y")</f>
        <v>#NAME?</v>
      </c>
      <c r="AX28" s="2" t="e">
        <f ca="1">_xll.BDH($C$28,"WORKING_CAPITAL_5_YEAR_GROWTH","FY 2014","FY 2014","Currency=INR","Period=FY","BEST_FPERIOD_OVERRIDE=FY","FILING_STATUS=OR","EQY_CONSOLIDATED=Y","Sort=A","Dates=H","DateFormat=P","Fill=—","Direction=H","UseDPDF=Y")</f>
        <v>#NAME?</v>
      </c>
      <c r="AY28" s="2" t="e">
        <f ca="1">_xll.BDH($C$28,"ACCOUNTS_PAYABLE_5_YEAR_GROWTH","FY 2014","FY 2014","Currency=INR","Period=FY","BEST_FPERIOD_OVERRIDE=FY","FILING_STATUS=OR","EQY_CONSOLIDATED=Y","Sort=A","Dates=H","DateFormat=P","Fill=—","Direction=H","UseDPDF=Y")</f>
        <v>#NAME?</v>
      </c>
      <c r="AZ28" s="2" t="e">
        <f ca="1">_xll.BDH($C$28,"SHORT_TERM_DEBT_5_YEAR_GROWTH","FY 2014","FY 2014","Currency=INR","Period=FY","BEST_FPERIOD_OVERRIDE=FY","FILING_STATUS=OR","EQY_CONSOLIDATED=Y","Sort=A","Dates=H","DateFormat=P","Fill=—","Direction=H","UseDPDF=Y")</f>
        <v>#NAME?</v>
      </c>
      <c r="BA28" s="2" t="e">
        <f ca="1">_xll.BDH($C$28,"TOTAL_DEBT_5_YEAR_GROWTH","FY 2014","FY 2014","Currency=INR","Period=FY","BEST_FPERIOD_OVERRIDE=FY","FILING_STATUS=OR","EQY_CONSOLIDATED=Y","Sort=A","Dates=H","DateFormat=P","Fill=—","Direction=H","UseDPDF=Y")</f>
        <v>#NAME?</v>
      </c>
      <c r="BB28" s="2" t="e">
        <f ca="1">_xll.BDH($C$28,"GEO_GROW_TOT_SHRHLDR_EQY","FY 2014","FY 2014","Currency=INR","Period=FY","BEST_FPERIOD_OVERRIDE=FY","FILING_STATUS=OR","EQY_CONSOLIDATED=Y","Sort=A","Dates=H","DateFormat=P","Fill=—","Direction=H","UseDPDF=Y")</f>
        <v>#NAME?</v>
      </c>
      <c r="BC28" s="2" t="e">
        <f ca="1">_xll.BDH($C$28,"TOTAL_CAPITAL_5_YEAR_GROWTH","FY 2014","FY 2014","Currency=INR","Period=FY","BEST_FPERIOD_OVERRIDE=FY","FILING_STATUS=OR","EQY_CONSOLIDATED=Y","Sort=A","Dates=H","DateFormat=P","Fill=—","Direction=H","UseDPDF=Y")</f>
        <v>#NAME?</v>
      </c>
      <c r="BD28" s="2" t="e">
        <f ca="1">_xll.BDH($C$28,"GEO_GROW_BOOK_VAL","FY 2014","FY 2014","Currency=INR","Period=FY","BEST_FPERIOD_OVERRIDE=FY","FILING_STATUS=OR","EQY_CONSOLIDATED=Y","Sort=A","Dates=H","DateFormat=P","Fill=—","Direction=H","UseDPDF=Y")</f>
        <v>#NAME?</v>
      </c>
      <c r="BE28" s="2" t="e">
        <f ca="1">_xll.BDH($C$28,"GEO_GROW_CASH_OPER_ACT","FY 2014","FY 2014","Currency=INR","Period=FY","BEST_FPERIOD_OVERRIDE=FY","FILING_STATUS=OR","EQY_CONSOLIDATED=Y","Sort=A","Dates=H","DateFormat=P","Fill=—","Direction=H","UseDPDF=Y")</f>
        <v>#NAME?</v>
      </c>
      <c r="BF28" s="2" t="e">
        <f ca="1">_xll.BDH($C$28,"REVENUE_SEQUENTIAL_GROWTH","FY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8" s="2" t="e">
        <f ca="1">_xll.BDH($C$28,"EBITDA_SEQUENTIAL_GROWTH","FY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8" s="2" t="e">
        <f ca="1">_xll.BDH($C$28,"OPERATING_INCOME_SEQ_GROWTH","FY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8" s="2" t="e">
        <f ca="1">_xll.BDH($C$28,"NET_INCOME_TO_COMMON_SEQ_GROWTH","FY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8" s="2" t="e">
        <f ca="1">_xll.BDH($C$28,"EPS_DILUTED_SEQUENTIAL_GROWTH","FY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8" s="2" t="e">
        <f ca="1">_xll.BDH($C$28,"DPS_SEQUENTIAL_GROWTH","FY 2014","FY 2014","Currency=INR","Period=FY","BEST_FPERIOD_OVERRIDE=FY","FILING_STATUS=OR","EQY_CONSOLIDATED=Y","Sort=A","Dates=H","DateFormat=P","Fill=—","Direction=H","UseDPDF=Y")</f>
        <v>#NAME?</v>
      </c>
      <c r="BL28" s="2" t="e">
        <f ca="1">_xll.BDH($C$28,"ACCOUNTS_RECEIVABLE_SEQ_GROWTH","FY 2014","FY 2014","Currency=INR","Period=FY","BEST_FPERIOD_OVERRIDE=FY","FILING_STATUS=OR","EQY_CONSOLIDATED=Y","Sort=A","Dates=H","DateFormat=P","Fill=—","Direction=H","UseDPDF=Y")</f>
        <v>#NAME?</v>
      </c>
      <c r="BM28" s="2" t="e">
        <f ca="1">_xll.BDH($C$28,"INVENTORY_SEQUENTIAL_GROWTH","FY 2014","FY 2014","Currency=INR","Period=FY","BEST_FPERIOD_OVERRIDE=FY","FILING_STATUS=OR","EQY_CONSOLIDATED=Y","Sort=A","Dates=H","DateFormat=P","Fill=—","Direction=H","UseDPDF=Y")</f>
        <v>#NAME?</v>
      </c>
      <c r="BN28" s="2" t="e">
        <f ca="1">_xll.BDH($C$28,"FIXED_ASSETS_SEQUENTIAL_GROWTH","FY 2014","FY 2014","Currency=INR","Period=FY","BEST_FPERIOD_OVERRIDE=FY","FILING_STATUS=OR","EQY_CONSOLIDATED=Y","Sort=A","Dates=H","DateFormat=P","Fill=—","Direction=H","UseDPDF=Y")</f>
        <v>#NAME?</v>
      </c>
      <c r="BO28" s="2" t="e">
        <f ca="1">_xll.BDH($C$28,"TOTAL_ASSETS_SEQUENTIAL_GROWTH","FY 2014","FY 2014","Currency=INR","Period=FY","BEST_FPERIOD_OVERRIDE=FY","FILING_STATUS=OR","EQY_CONSOLIDATED=Y","Sort=A","Dates=H","DateFormat=P","Fill=—","Direction=H","UseDPDF=Y")</f>
        <v>#NAME?</v>
      </c>
      <c r="BP28" s="2" t="e">
        <f ca="1">_xll.BDH($C$28,"MODIFIED_WORKING_CPTL_SEQ_GRWTH","FY 2014","FY 2014","Currency=INR","Period=FY","BEST_FPERIOD_OVERRIDE=FY","FILING_STATUS=OR","EQY_CONSOLIDATED=Y","Sort=A","Dates=H","DateFormat=P","Fill=—","Direction=H","UseDPDF=Y")</f>
        <v>#NAME?</v>
      </c>
      <c r="BQ28" s="2" t="e">
        <f ca="1">_xll.BDH($C$28,"WORKING_CAPITAL_SEQ_GROWTH","FY 2014","FY 2014","Currency=INR","Period=FY","BEST_FPERIOD_OVERRIDE=FY","FILING_STATUS=OR","EQY_CONSOLIDATED=Y","Sort=A","Dates=H","DateFormat=P","Fill=—","Direction=H","UseDPDF=Y")</f>
        <v>#NAME?</v>
      </c>
      <c r="BR28" s="2" t="e">
        <f ca="1">_xll.BDH($C$28,"ACCOUNTS_PAYABLE_SEQ_GROWTH","FY 2014","FY 2014","Currency=INR","Period=FY","BEST_FPERIOD_OVERRIDE=FY","FILING_STATUS=OR","EQY_CONSOLIDATED=Y","Sort=A","Dates=H","DateFormat=P","Fill=—","Direction=H","UseDPDF=Y")</f>
        <v>#NAME?</v>
      </c>
      <c r="BS28" s="2" t="e">
        <f ca="1">_xll.BDH($C$28,"ST_DEBT_SEQUENTIAL_GROWTH","FY 2014","FY 2014","Currency=INR","Period=FY","BEST_FPERIOD_OVERRIDE=FY","FILING_STATUS=OR","EQY_CONSOLIDATED=Y","Sort=A","Dates=H","DateFormat=P","Fill=—","Direction=H","UseDPDF=Y")</f>
        <v>#NAME?</v>
      </c>
      <c r="BT28" s="2" t="e">
        <f ca="1">_xll.BDH($C$28,"TOTAL_DEBT_SEQUENTIAL_GROWTH","FY 2014","FY 2014","Currency=INR","Period=FY","BEST_FPERIOD_OVERRIDE=FY","FILING_STATUS=OR","EQY_CONSOLIDATED=Y","Sort=A","Dates=H","DateFormat=P","Fill=—","Direction=H","UseDPDF=Y")</f>
        <v>#NAME?</v>
      </c>
      <c r="BU28" s="2" t="e">
        <f ca="1">_xll.BDH($C$28,"TOTAL_EQUITY_SEQUENTIAL_GROWTH","FY 2014","FY 2014","Currency=INR","Period=FY","BEST_FPERIOD_OVERRIDE=FY","FILING_STATUS=OR","EQY_CONSOLIDATED=Y","Sort=A","Dates=H","DateFormat=P","Fill=—","Direction=H","UseDPDF=Y")</f>
        <v>#NAME?</v>
      </c>
      <c r="BV28" s="2" t="e">
        <f ca="1">_xll.BDH($C$28,"TOTAL_CAPITAL_SEQUENTIAL_GROWTH","FY 2014","FY 2014","Currency=INR","Period=FY","BEST_FPERIOD_OVERRIDE=FY","FILING_STATUS=OR","EQY_CONSOLIDATED=Y","Sort=A","Dates=H","DateFormat=P","Fill=—","Direction=H","UseDPDF=Y")</f>
        <v>#NAME?</v>
      </c>
      <c r="BW28" s="2" t="e">
        <f ca="1">_xll.BDH($C$28,"BPS_SEQUENTIAL_GROWTH","FY 2014","FY 2014","Currency=INR","Period=FY","BEST_FPERIOD_OVERRIDE=FY","FILING_STATUS=OR","EQY_CONSOLIDATED=Y","Sort=A","Dates=H","DateFormat=P","Fill=—","Direction=H","UseDPDF=Y")</f>
        <v>#NAME?</v>
      </c>
      <c r="BX28" s="2" t="e">
        <f ca="1">_xll.BDH($C$28,"CFO_SEQUENTIAL_GROWTH","FY 2014","FY 2014","Currency=INR","Period=FY","BEST_FPERIOD_OVERRIDE=FY","FILING_STATUS=OR","EQY_CONSOLIDATED=Y","Sort=A","Dates=H","DateFormat=P","Fill=—","Direction=H","UseDPDF=Y")</f>
        <v>#NAME?</v>
      </c>
      <c r="BY28" s="3" t="e">
        <f ca="1">_xll.BDH($C$28,"SHORT_AND_LONG_TERM_DEBT","FY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8" s="3" t="e">
        <f ca="1">_xll.BDH($C$28,"BS_ST_BORROW","FY 2014","FY 2014","Currency=INR","Period=FY","BEST_FPERIOD_OVERRIDE=FY","FILING_STATUS=OR","EQY_CONSOLIDATED=Y","SCALING_FORMAT=MLN","Sort=A","Dates=H","DateFormat=P","Fill=—","Direction=H","UseDPDF=Y")</f>
        <v>#NAME?</v>
      </c>
      <c r="CA28" s="3" t="e">
        <f ca="1">_xll.BDH($C$28,"BS_LT_BORROW","FY 2014","FY 2014","Currency=INR","Period=FY","BEST_FPERIOD_OVERRIDE=FY","FILING_STATUS=OR","EQY_CONSOLIDATED=Y","SCALING_FORMAT=MLN","Sort=A","Dates=H","DateFormat=P","Fill=—","Direction=H","UseDPDF=Y")</f>
        <v>#NAME?</v>
      </c>
      <c r="CB28" s="2" t="e">
        <f ca="1">_xll.BDH($C$28,"TOT_DEBT_TO_EBITDA","FY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8" s="2" t="e">
        <f ca="1">_xll.BDH($C$28,"NET_DEBT_TO_EBITDA","FY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8" s="2" t="e">
        <f ca="1">_xll.BDH($C$28,"TOTAL_DEBT_TO_EBIT","FY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8" s="2" t="e">
        <f ca="1">_xll.BDH($C$28,"NET_DEBT_TO_EBIT","FY 2014","FY 2014","Currency=INR","Period=FY","BEST_FPERIOD_OVERRIDE=FY","FILING_STATUS=OR","EQY_CONSOLIDATED=Y","FA_ADJUSTED=GAAP","Sort=A","Dates=H","DateFormat=P","Fill=—","Direction=H","UseDPDF=Y")</f>
        <v>#NAME?</v>
      </c>
      <c r="CF28" s="2" t="e">
        <f ca="1">_xll.BDH($C$28,"EBITDA_TO_INTEREST_EXPN","FY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8" s="2" t="e">
        <f ca="1">_xll.BDH($C$28,"COM_EQY_TO_TOT_ASSET","FY 2014","FY 2014","Currency=INR","Period=FY","BEST_FPERIOD_OVERRIDE=FY","FILING_STATUS=OR","EQY_CONSOLIDATED=Y","Sort=A","Dates=H","DateFormat=P","Fill=—","Direction=H","UseDPDF=Y")</f>
        <v>#NAME?</v>
      </c>
      <c r="CH28" s="2" t="e">
        <f ca="1">_xll.BDH($C$28,"LT_DEBT_TO_TOT_EQY","FY 2014","FY 2014","Currency=INR","Period=FY","BEST_FPERIOD_OVERRIDE=FY","FILING_STATUS=OR","EQY_CONSOLIDATED=Y","Sort=A","Dates=H","DateFormat=P","Fill=—","Direction=H","UseDPDF=Y")</f>
        <v>#NAME?</v>
      </c>
      <c r="CI28" s="2" t="e">
        <f ca="1">_xll.BDH($C$28,"LT_DEBT_TO_TOT_CAP","FY 2014","FY 2014","Currency=INR","Period=FY","BEST_FPERIOD_OVERRIDE=FY","FILING_STATUS=OR","EQY_CONSOLIDATED=Y","Sort=A","Dates=H","DateFormat=P","Fill=—","Direction=H","UseDPDF=Y")</f>
        <v>#NAME?</v>
      </c>
      <c r="CJ28" s="2" t="e">
        <f ca="1">_xll.BDH($C$28,"LT_DEBT_TO_TOT_ASSET","FY 2014","FY 2014","Currency=INR","Period=FY","BEST_FPERIOD_OVERRIDE=FY","FILING_STATUS=OR","EQY_CONSOLIDATED=Y","Sort=A","Dates=H","DateFormat=P","Fill=—","Direction=H","UseDPDF=Y")</f>
        <v>#NAME?</v>
      </c>
      <c r="CK28" s="2" t="e">
        <f ca="1">_xll.BDH($C$28,"TOT_DEBT_TO_TOT_EQY","FY 2014","FY 2014","Currency=INR","Period=FY","BEST_FPERIOD_OVERRIDE=FY","FILING_STATUS=OR","EQY_CONSOLIDATED=Y","Sort=A","Dates=H","DateFormat=P","Fill=—","Direction=H","UseDPDF=Y")</f>
        <v>#NAME?</v>
      </c>
      <c r="CL28" s="2" t="e">
        <f ca="1">_xll.BDH($C$28,"TOT_DEBT_TO_TOT_CAP","FY 2014","FY 2014","Currency=INR","Period=FY","BEST_FPERIOD_OVERRIDE=FY","FILING_STATUS=OR","EQY_CONSOLIDATED=Y","Sort=A","Dates=H","DateFormat=P","Fill=—","Direction=H","UseDPDF=Y")</f>
        <v>#NAME?</v>
      </c>
      <c r="CM28" s="2" t="e">
        <f ca="1">_xll.BDH($C$28,"TOT_DEBT_TO_TOT_ASSET","FY 2014","FY 2014","Currency=INR","Period=FY","BEST_FPERIOD_OVERRIDE=FY","FILING_STATUS=OR","EQY_CONSOLIDATED=Y","Sort=A","Dates=H","DateFormat=P","Fill=—","Direction=H","UseDPDF=Y")</f>
        <v>#NAME?</v>
      </c>
      <c r="CN28" s="2" t="e">
        <f ca="1">_xll.BDH($C$28,"NET_DEBT_TO_SHRHLDR_EQTY","FY 2014","FY 2014","Currency=INR","Period=FY","BEST_FPERIOD_OVERRIDE=FY","FILING_STATUS=OR","EQY_CONSOLIDATED=Y","Sort=A","Dates=H","DateFormat=P","Fill=—","Direction=H","UseDPDF=Y")</f>
        <v>#NAME?</v>
      </c>
      <c r="CO28" s="2" t="e">
        <f ca="1">_xll.BDH($C$28,"NET_DEBT_%_CAPITAL","FY 2014","FY 2014","Currency=INR","Period=FY","BEST_FPERIOD_OVERRIDE=FY","FILING_STATUS=OR","EQY_CONSOLIDATED=Y","Sort=A","Dates=H","DateFormat=P","Fill=—","Direction=H","UseDPDF=Y")</f>
        <v>#NAME?</v>
      </c>
      <c r="CP28" s="3" t="e">
        <f ca="1">_xll.BDH($C$28,"EBITDA","FY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8" s="3" t="e">
        <f ca="1">_xll.BDH($C$28,"EBITDA_AFTER_CAPEX","FY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8" s="3" t="e">
        <f ca="1">_xll.BDH($C$28,"IS_OPER_INC","FY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8" s="2" t="e">
        <f ca="1">_xll.BDH($C$28,"CASH_RATIO","FY 2014","FY 2014","Currency=INR","Period=FY","BEST_FPERIOD_OVERRIDE=FY","FILING_STATUS=OR","EQY_CONSOLIDATED=Y","Sort=A","Dates=H","DateFormat=P","Fill=—","Direction=H","UseDPDF=Y")</f>
        <v>#NAME?</v>
      </c>
      <c r="CT28" s="2" t="e">
        <f ca="1">_xll.BDH($C$28,"CUR_RATIO","FY 2014","FY 2014","Currency=INR","Period=FY","BEST_FPERIOD_OVERRIDE=FY","FILING_STATUS=OR","EQY_CONSOLIDATED=Y","Sort=A","Dates=H","DateFormat=P","Fill=—","Direction=H","UseDPDF=Y")</f>
        <v>#NAME?</v>
      </c>
      <c r="CU28" s="2" t="e">
        <f ca="1">_xll.BDH($C$28,"QUICK_RATIO","FY 2014","FY 2014","Currency=INR","Period=FY","BEST_FPERIOD_OVERRIDE=FY","FILING_STATUS=OR","EQY_CONSOLIDATED=Y","Sort=A","Dates=H","DateFormat=P","Fill=—","Direction=H","UseDPDF=Y")</f>
        <v>#NAME?</v>
      </c>
      <c r="CV28" s="2" t="e">
        <f ca="1">_xll.BDH($C$28,"ALTMAN_Z_SCORE","FY 2014","FY 2014","Currency=INR","Period=FY","BEST_FPERIOD_OVERRIDE=FY","FILING_STATUS=OR","EQY_CONSOLIDATED=Y","Sort=A","Dates=H","DateFormat=P","Fill=—","Direction=H","UseDPDF=Y")</f>
        <v>#NAME?</v>
      </c>
      <c r="CW28" s="4" t="e">
        <f ca="1">_xll.BDH($C$28,"ACCT_RCV_TURN","FY 2014","FY 2014","Currency=INR","Period=FY","BEST_FPERIOD_OVERRIDE=FY","FILING_STATUS=OR","EQY_CONSOLIDATED=Y","FA_ADJUSTED=GAAP","Sort=A","Dates=H","DateFormat=P","Fill=—","Direction=H","UseDPDF=Y")</f>
        <v>#NAME?</v>
      </c>
      <c r="CX28" s="2" t="e">
        <f ca="1">_xll.BDH($C$28,"ACCT_RCV_DAYS","FY 2014","FY 2014","Currency=INR","Period=FY","BEST_FPERIOD_OVERRIDE=FY","FILING_STATUS=OR","EQY_CONSOLIDATED=Y","FA_ADJUSTED=GAAP","Sort=A","Dates=H","DateFormat=P","Fill=—","Direction=H","UseDPDF=Y")</f>
        <v>#NAME?</v>
      </c>
      <c r="CY28" s="4" t="e">
        <f ca="1">_xll.BDH($C$28,"INVENT_TURN","FY 2014","FY 2014","Currency=INR","Period=FY","BEST_FPERIOD_OVERRIDE=FY","FILING_STATUS=OR","EQY_CONSOLIDATED=Y","FA_ADJUSTED=GAAP","Sort=A","Dates=H","DateFormat=P","Fill=—","Direction=H","UseDPDF=Y")</f>
        <v>#NAME?</v>
      </c>
      <c r="CZ28" s="2" t="e">
        <f ca="1">_xll.BDH($C$28,"INVENT_DAYS","FY 2014","FY 2014","Currency=INR","Period=FY","BEST_FPERIOD_OVERRIDE=FY","FILING_STATUS=OR","EQY_CONSOLIDATED=Y","FA_ADJUSTED=GAAP","Sort=A","Dates=H","DateFormat=P","Fill=—","Direction=H","UseDPDF=Y")</f>
        <v>#NAME?</v>
      </c>
      <c r="DA28" s="4" t="e">
        <f ca="1">_xll.BDH($C$28,"ACCOUNTS_PAYABLE_TURNOVER","FY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8" s="2" t="e">
        <f ca="1">_xll.BDH($C$28,"ACCOUNTS_PAYABLE_TURNOVER_DAYS","FY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8" s="4" t="e">
        <f ca="1">_xll.BDH($C$28,"CASH_CONVERSION_CYCLE","FY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8" s="4" t="e">
        <f ca="1">_xll.BDH($C$28,"INV_TO_CASH_DAYS","FY 2014","FY 2014","Currency=INR","Period=FY","BEST_FPERIOD_OVERRIDE=FY","FILING_STATUS=OR","EQY_CONSOLIDATED=Y","FA_ADJUSTED=GAAP","Sort=A","Dates=H","DateFormat=P","Fill=—","Direction=H","UseDPDF=Y")</f>
        <v>#NAME?</v>
      </c>
      <c r="DE28" s="5" t="e">
        <f ca="1">_xll.BDH($C$28,"BS_INVENTORIES","FY 2014","FY 2014","Currency=INR","Period=FY","BEST_FPERIOD_OVERRIDE=FY","FILING_STATUS=OR","EQY_CONSOLIDATED=Y","SCALING_FORMAT=MLN","Sort=A","Dates=H","DateFormat=P","Fill=—","Direction=H","UseDPDF=Y")</f>
        <v>#NAME?</v>
      </c>
      <c r="DF28" s="3" t="e">
        <f ca="1">_xll.BDH($C$28,"INVTRY_RAW_MATERIALS","FY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8" s="3" t="e">
        <f ca="1">_xll.BDH($C$28,"INVTRY_IN_PROGRESS","FY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8" s="3" t="e">
        <f ca="1">_xll.BDH($C$28,"INVTRY_FINISHED_GOODS","FY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8" s="3" t="e">
        <f ca="1">_xll.BDH($C$28,"BS_OTHER_INV","FY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9" spans="1:113" x14ac:dyDescent="0.3">
      <c r="A29" s="6"/>
      <c r="B29" s="6"/>
      <c r="C29" s="6"/>
      <c r="D29" s="6"/>
      <c r="E29" t="s">
        <v>78</v>
      </c>
      <c r="F29" t="e">
        <f ca="1">_xll.BDH($C$28,"RETURN_COM_EQY","FQ1 2014","FQ1 2014","Currency=INR","Period=FQ","BEST_FPERIOD_OVERRIDE=FQ","FILING_STATUS=OR","EQY_CONSOLIDATED=Y","FA_ADJUSTED=GAAP","Sort=A","Dates=H","DateFormat=P","Fill=—","Direction=H","UseDPDF=Y")</f>
        <v>#NAME?</v>
      </c>
      <c r="G29" t="e">
        <f ca="1">_xll.BDH($C$28,"RETURN_ON_ASSET","FQ1 2014","FQ1 2014","Currency=INR","Period=FQ","BEST_FPERIOD_OVERRIDE=FQ","FILING_STATUS=OR","EQY_CONSOLIDATED=Y","FA_ADJUSTED=GAAP","Sort=A","Dates=H","DateFormat=P","Fill=—","Direction=H","UseDPDF=Y")</f>
        <v>#NAME?</v>
      </c>
      <c r="H29" t="e">
        <f ca="1">_xll.BDH($C$28,"RETURN_ON_CAP","FQ1 2014","FQ1 2014","Currency=INR","Period=FQ","BEST_FPERIOD_OVERRIDE=FQ","FILING_STATUS=OR","EQY_CONSOLIDATED=Y","FA_ADJUSTED=GAAP","Sort=A","Dates=H","DateFormat=P","Fill=—","Direction=H","UseDPDF=Y")</f>
        <v>#NAME?</v>
      </c>
      <c r="I29" t="e">
        <f ca="1">_xll.BDH($C$28,"RETURN_ON_INV_CAPITAL","FQ1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9" t="e">
        <f ca="1">_xll.BDH($C$28,"EBITDA_TO_REVENUE","FQ1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9" t="e">
        <f ca="1">_xll.BDH($C$28,"OPER_MARGIN","FQ1 2014","FQ1 2014","Currency=INR","Period=FQ","BEST_FPERIOD_OVERRIDE=FQ","FILING_STATUS=OR","EQY_CONSOLIDATED=Y","FA_ADJUSTED=GAAP","Sort=A","Dates=H","DateFormat=P","Fill=—","Direction=H","UseDPDF=Y")</f>
        <v>#NAME?</v>
      </c>
      <c r="L29" t="e">
        <f ca="1">_xll.BDH($C$28,"INCREMENTAL_OPERATING_MARGIN","FQ1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9" t="e">
        <f ca="1">_xll.BDH($C$28,"PRETAX_INC_TO_NET_SALES","FQ1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9" t="e">
        <f ca="1">_xll.BDH($C$28,"INC_BEF_XO_ITEMS_TO_NET_SALES","FQ1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9" t="e">
        <f ca="1">_xll.BDH($C$28,"PROF_MARGIN","FQ1 2014","FQ1 2014","Currency=INR","Period=FQ","BEST_FPERIOD_OVERRIDE=FQ","FILING_STATUS=OR","EQY_CONSOLIDATED=Y","FA_ADJUSTED=GAAP","Sort=A","Dates=H","DateFormat=P","Fill=—","Direction=H","UseDPDF=Y")</f>
        <v>#NAME?</v>
      </c>
      <c r="P29" t="e">
        <f ca="1">_xll.BDH($C$28,"NET_INCOME_TO_COMMON_MARGIN","FQ1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9" t="e">
        <f ca="1">_xll.BDH($C$28,"EFF_TAX_RATE","FQ1 2014","FQ1 2014","Currency=INR","Period=FQ","BEST_FPERIOD_OVERRIDE=FQ","FILING_STATUS=OR","EQY_CONSOLIDATED=Y","FA_ADJUSTED=GAAP","Sort=A","Dates=H","DateFormat=P","Fill=—","Direction=H","UseDPDF=Y")</f>
        <v>#NAME?</v>
      </c>
      <c r="R29" t="e">
        <f ca="1">_xll.BDH($C$28,"DVD_PAYOUT_RATIO","FQ1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9" t="e">
        <f ca="1">_xll.BDH($C$28,"SUSTAIN_GROWTH_RT","FQ1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9" s="2" t="e">
        <f ca="1">_xll.BDH($C$28,"SALES_GROWTH","FQ1 2014","FQ1 2014","Currency=INR","Period=FQ","BEST_FPERIOD_OVERRIDE=FQ","FILING_STATUS=OR","EQY_CONSOLIDATED=Y","FA_ADJUSTED=GAAP","Sort=A","Dates=H","DateFormat=P","Fill=—","Direction=H","UseDPDF=Y")</f>
        <v>#NAME?</v>
      </c>
      <c r="U29" s="2" t="e">
        <f ca="1">_xll.BDH($C$28,"EBITDA_GROWTH","FQ1 2014","FQ1 2014","Currency=INR","Period=FQ","BEST_FPERIOD_OVERRIDE=FQ","FILING_STATUS=OR","EQY_CONSOLIDATED=Y","FA_ADJUSTED=GAAP","Sort=A","Dates=H","DateFormat=P","Fill=—","Direction=H","UseDPDF=Y")</f>
        <v>#NAME?</v>
      </c>
      <c r="V29" s="2" t="e">
        <f ca="1">_xll.BDH($C$28,"OPER_INC_GROWTH","FQ1 2014","FQ1 2014","Currency=INR","Period=FQ","BEST_FPERIOD_OVERRIDE=FQ","FILING_STATUS=OR","EQY_CONSOLIDATED=Y","FA_ADJUSTED=GAAP","Sort=A","Dates=H","DateFormat=P","Fill=—","Direction=H","UseDPDF=Y")</f>
        <v>#NAME?</v>
      </c>
      <c r="W29" s="2" t="e">
        <f ca="1">_xll.BDH($C$28,"EARN_FOR_COM_GROWTH","FQ1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9" s="2" t="e">
        <f ca="1">_xll.BDH($C$28,"DILUTED_EPS_AFT_XO_ITEMS_GROWTH","FQ1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9" s="2" t="e">
        <f ca="1">_xll.BDH($C$28,"DIVIDEND_PER_SHARE_1_YEAR_GROWTH","FQ1 2014","FQ1 2014","Currency=INR","Period=FQ","BEST_FPERIOD_OVERRIDE=FQ","FILING_STATUS=OR","EQY_CONSOLIDATED=Y","Sort=A","Dates=H","DateFormat=P","Fill=—","Direction=H","UseDPDF=Y")</f>
        <v>#NAME?</v>
      </c>
      <c r="Z29" s="2" t="e">
        <f ca="1">_xll.BDH($C$28,"ACCOUNTS_RECEIVABLE_GROWTH","FQ1 2014","FQ1 2014","Currency=INR","Period=FQ","BEST_FPERIOD_OVERRIDE=FQ","FILING_STATUS=OR","EQY_CONSOLIDATED=Y","Sort=A","Dates=H","DateFormat=P","Fill=—","Direction=H","UseDPDF=Y")</f>
        <v>#NAME?</v>
      </c>
      <c r="AA29" s="2" t="e">
        <f ca="1">_xll.BDH($C$28,"INVENTORY_GROWTH","FQ1 2014","FQ1 2014","Currency=INR","Period=FQ","BEST_FPERIOD_OVERRIDE=FQ","FILING_STATUS=OR","EQY_CONSOLIDATED=Y","Sort=A","Dates=H","DateFormat=P","Fill=—","Direction=H","UseDPDF=Y")</f>
        <v>#NAME?</v>
      </c>
      <c r="AB29" s="2" t="e">
        <f ca="1">_xll.BDH($C$28,"NET_FIXED_ASSETS_1_YEAR_GROWTH","FQ1 2014","FQ1 2014","Currency=INR","Period=FQ","BEST_FPERIOD_OVERRIDE=FQ","FILING_STATUS=OR","EQY_CONSOLIDATED=Y","Sort=A","Dates=H","DateFormat=P","Fill=—","Direction=H","UseDPDF=Y")</f>
        <v>#NAME?</v>
      </c>
      <c r="AC29" s="2" t="e">
        <f ca="1">_xll.BDH($C$28,"ASSET_GROWTH","FQ1 2014","FQ1 2014","Currency=INR","Period=FQ","BEST_FPERIOD_OVERRIDE=FQ","FILING_STATUS=OR","EQY_CONSOLIDATED=Y","Sort=A","Dates=H","DateFormat=P","Fill=—","Direction=H","UseDPDF=Y")</f>
        <v>#NAME?</v>
      </c>
      <c r="AD29" s="2" t="e">
        <f ca="1">_xll.BDH($C$28,"MODIFIED_WORK_CAP_GROWTH","FQ1 2014","FQ1 2014","Currency=INR","Period=FQ","BEST_FPERIOD_OVERRIDE=FQ","FILING_STATUS=OR","EQY_CONSOLIDATED=Y","Sort=A","Dates=H","DateFormat=P","Fill=—","Direction=H","UseDPDF=Y")</f>
        <v>#NAME?</v>
      </c>
      <c r="AE29" s="2" t="e">
        <f ca="1">_xll.BDH($C$28,"WORK_CAP_GROWTH","FQ1 2014","FQ1 2014","Currency=INR","Period=FQ","BEST_FPERIOD_OVERRIDE=FQ","FILING_STATUS=OR","EQY_CONSOLIDATED=Y","Sort=A","Dates=H","DateFormat=P","Fill=—","Direction=H","UseDPDF=Y")</f>
        <v>#NAME?</v>
      </c>
      <c r="AF29" s="2" t="e">
        <f ca="1">_xll.BDH($C$28,"ACCOUNTS_PAYABLE_GROWTH_1YR","FQ1 2014","FQ1 2014","Currency=INR","Period=FQ","BEST_FPERIOD_OVERRIDE=FQ","FILING_STATUS=OR","EQY_CONSOLIDATED=Y","Sort=A","Dates=H","DateFormat=P","Fill=—","Direction=H","UseDPDF=Y")</f>
        <v>#NAME?</v>
      </c>
      <c r="AG29" s="2" t="e">
        <f ca="1">_xll.BDH($C$28,"SHORT_TERM_DEBT_1_YEAR_GROWTH","FQ1 2014","FQ1 2014","Currency=INR","Period=FQ","BEST_FPERIOD_OVERRIDE=FQ","FILING_STATUS=OR","EQY_CONSOLIDATED=Y","Sort=A","Dates=H","DateFormat=P","Fill=—","Direction=H","UseDPDF=Y")</f>
        <v>#NAME?</v>
      </c>
      <c r="AH29" s="2" t="e">
        <f ca="1">_xll.BDH($C$28,"TOTAL_DEBT_1_YEAR_GROWTH","FQ1 2014","FQ1 2014","Currency=INR","Period=FQ","BEST_FPERIOD_OVERRIDE=FQ","FILING_STATUS=OR","EQY_CONSOLIDATED=Y","Sort=A","Dates=H","DateFormat=P","Fill=—","Direction=H","UseDPDF=Y")</f>
        <v>#NAME?</v>
      </c>
      <c r="AI29" s="2" t="e">
        <f ca="1">_xll.BDH($C$28,"TOTAL_EQUITY_1_YEAR_GROWTH","FQ1 2014","FQ1 2014","Currency=INR","Period=FQ","BEST_FPERIOD_OVERRIDE=FQ","FILING_STATUS=OR","EQY_CONSOLIDATED=Y","Sort=A","Dates=H","DateFormat=P","Fill=—","Direction=H","UseDPDF=Y")</f>
        <v>#NAME?</v>
      </c>
      <c r="AJ29" s="2" t="e">
        <f ca="1">_xll.BDH($C$28,"GROWTH_IN_CAP","FQ1 2014","FQ1 2014","Currency=INR","Period=FQ","BEST_FPERIOD_OVERRIDE=FQ","FILING_STATUS=OR","EQY_CONSOLIDATED=Y","Sort=A","Dates=H","DateFormat=P","Fill=—","Direction=H","UseDPDF=Y")</f>
        <v>#NAME?</v>
      </c>
      <c r="AK29" s="2" t="e">
        <f ca="1">_xll.BDH($C$28,"BVPS_GROWTH","FQ1 2014","FQ1 2014","Currency=INR","Period=FQ","BEST_FPERIOD_OVERRIDE=FQ","FILING_STATUS=OR","EQY_CONSOLIDATED=Y","Sort=A","Dates=H","DateFormat=P","Fill=—","Direction=H","UseDPDF=Y")</f>
        <v>#NAME?</v>
      </c>
      <c r="AL29" s="2" t="e">
        <f ca="1">_xll.BDH($C$28,"CASH_FLOW_GROWTH","FQ1 2014","FQ1 2014","Currency=INR","Period=FQ","BEST_FPERIOD_OVERRIDE=FQ","FILING_STATUS=OR","EQY_CONSOLIDATED=Y","Sort=A","Dates=H","DateFormat=P","Fill=—","Direction=H","UseDPDF=Y")</f>
        <v>#NAME?</v>
      </c>
      <c r="AM29" s="2" t="e">
        <f ca="1">_xll.BDH($C$28,"GEO_GROW_NET_SALES","FQ1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9" s="2" t="e">
        <f ca="1">_xll.BDH($C$28,"GEO_GROW_EBITDA","FQ1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9" s="2" t="e">
        <f ca="1">_xll.BDH($C$28,"GEO_GROW_OPER_INC","FQ1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9" s="2" t="e">
        <f ca="1">_xll.BDH($C$28,"NET_INCOME_TO_COMMON_5_YR_GROWTH","FQ1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9" s="2" t="e">
        <f ca="1">_xll.BDH($C$28,"5Y_GEO_GROWTH_DILUTED_EPS","FQ1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9" s="2" t="e">
        <f ca="1">_xll.BDH($C$28,"GEO_GROW_DVD_PER_SH","FQ1 2014","FQ1 2014","Currency=INR","Period=FQ","BEST_FPERIOD_OVERRIDE=FQ","FILING_STATUS=OR","EQY_CONSOLIDATED=Y","Sort=A","Dates=H","DateFormat=P","Fill=—","Direction=H","UseDPDF=Y")</f>
        <v>#NAME?</v>
      </c>
      <c r="AS29" s="2" t="e">
        <f ca="1">_xll.BDH($C$28,"ACCOUNTS_RECEIVABLE_5_YR_GROWTH","FQ1 2014","FQ1 2014","Currency=INR","Period=FQ","BEST_FPERIOD_OVERRIDE=FQ","FILING_STATUS=OR","EQY_CONSOLIDATED=Y","Sort=A","Dates=H","DateFormat=P","Fill=—","Direction=H","UseDPDF=Y")</f>
        <v>#NAME?</v>
      </c>
      <c r="AT29" s="2" t="e">
        <f ca="1">_xll.BDH($C$28,"INVENTORY_5_YEAR_GROWTH","FQ1 2014","FQ1 2014","Currency=INR","Period=FQ","BEST_FPERIOD_OVERRIDE=FQ","FILING_STATUS=OR","EQY_CONSOLIDATED=Y","Sort=A","Dates=H","DateFormat=P","Fill=—","Direction=H","UseDPDF=Y")</f>
        <v>#NAME?</v>
      </c>
      <c r="AU29" s="2" t="e">
        <f ca="1">_xll.BDH($C$28,"NET_FIXED_ASSETS_5_YEAR_GROWTH","FQ1 2014","FQ1 2014","Currency=INR","Period=FQ","BEST_FPERIOD_OVERRIDE=FQ","FILING_STATUS=OR","EQY_CONSOLIDATED=Y","Sort=A","Dates=H","DateFormat=P","Fill=—","Direction=H","UseDPDF=Y")</f>
        <v>#NAME?</v>
      </c>
      <c r="AV29" s="2" t="e">
        <f ca="1">_xll.BDH($C$28,"GEO_GROW_TOT_ASSET","FQ1 2014","FQ1 2014","Currency=INR","Period=FQ","BEST_FPERIOD_OVERRIDE=FQ","FILING_STATUS=OR","EQY_CONSOLIDATED=Y","Sort=A","Dates=H","DateFormat=P","Fill=—","Direction=H","UseDPDF=Y")</f>
        <v>#NAME?</v>
      </c>
      <c r="AW29" s="2" t="e">
        <f ca="1">_xll.BDH($C$28,"MODIFIED_WORKING_CPTL_5YR_GRWTH","FQ1 2014","FQ1 2014","Currency=INR","Period=FQ","BEST_FPERIOD_OVERRIDE=FQ","FILING_STATUS=OR","EQY_CONSOLIDATED=Y","Sort=A","Dates=H","DateFormat=P","Fill=—","Direction=H","UseDPDF=Y")</f>
        <v>#NAME?</v>
      </c>
      <c r="AX29" s="2" t="e">
        <f ca="1">_xll.BDH($C$28,"WORKING_CAPITAL_5_YEAR_GROWTH","FQ1 2014","FQ1 2014","Currency=INR","Period=FQ","BEST_FPERIOD_OVERRIDE=FQ","FILING_STATUS=OR","EQY_CONSOLIDATED=Y","Sort=A","Dates=H","DateFormat=P","Fill=—","Direction=H","UseDPDF=Y")</f>
        <v>#NAME?</v>
      </c>
      <c r="AY29" s="2" t="e">
        <f ca="1">_xll.BDH($C$28,"ACCOUNTS_PAYABLE_5_YEAR_GROWTH","FQ1 2014","FQ1 2014","Currency=INR","Period=FQ","BEST_FPERIOD_OVERRIDE=FQ","FILING_STATUS=OR","EQY_CONSOLIDATED=Y","Sort=A","Dates=H","DateFormat=P","Fill=—","Direction=H","UseDPDF=Y")</f>
        <v>#NAME?</v>
      </c>
      <c r="AZ29" s="2" t="e">
        <f ca="1">_xll.BDH($C$28,"SHORT_TERM_DEBT_5_YEAR_GROWTH","FQ1 2014","FQ1 2014","Currency=INR","Period=FQ","BEST_FPERIOD_OVERRIDE=FQ","FILING_STATUS=OR","EQY_CONSOLIDATED=Y","Sort=A","Dates=H","DateFormat=P","Fill=—","Direction=H","UseDPDF=Y")</f>
        <v>#NAME?</v>
      </c>
      <c r="BA29" s="2" t="e">
        <f ca="1">_xll.BDH($C$28,"TOTAL_DEBT_5_YEAR_GROWTH","FQ1 2014","FQ1 2014","Currency=INR","Period=FQ","BEST_FPERIOD_OVERRIDE=FQ","FILING_STATUS=OR","EQY_CONSOLIDATED=Y","Sort=A","Dates=H","DateFormat=P","Fill=—","Direction=H","UseDPDF=Y")</f>
        <v>#NAME?</v>
      </c>
      <c r="BB29" s="2" t="e">
        <f ca="1">_xll.BDH($C$28,"GEO_GROW_TOT_SHRHLDR_EQY","FQ1 2014","FQ1 2014","Currency=INR","Period=FQ","BEST_FPERIOD_OVERRIDE=FQ","FILING_STATUS=OR","EQY_CONSOLIDATED=Y","Sort=A","Dates=H","DateFormat=P","Fill=—","Direction=H","UseDPDF=Y")</f>
        <v>#NAME?</v>
      </c>
      <c r="BC29" s="2" t="e">
        <f ca="1">_xll.BDH($C$28,"TOTAL_CAPITAL_5_YEAR_GROWTH","FQ1 2014","FQ1 2014","Currency=INR","Period=FQ","BEST_FPERIOD_OVERRIDE=FQ","FILING_STATUS=OR","EQY_CONSOLIDATED=Y","Sort=A","Dates=H","DateFormat=P","Fill=—","Direction=H","UseDPDF=Y")</f>
        <v>#NAME?</v>
      </c>
      <c r="BD29" s="2" t="e">
        <f ca="1">_xll.BDH($C$28,"GEO_GROW_BOOK_VAL","FQ1 2014","FQ1 2014","Currency=INR","Period=FQ","BEST_FPERIOD_OVERRIDE=FQ","FILING_STATUS=OR","EQY_CONSOLIDATED=Y","Sort=A","Dates=H","DateFormat=P","Fill=—","Direction=H","UseDPDF=Y")</f>
        <v>#NAME?</v>
      </c>
      <c r="BE29" s="2" t="e">
        <f ca="1">_xll.BDH($C$28,"GEO_GROW_CASH_OPER_ACT","FQ1 2014","FQ1 2014","Currency=INR","Period=FQ","BEST_FPERIOD_OVERRIDE=FQ","FILING_STATUS=OR","EQY_CONSOLIDATED=Y","Sort=A","Dates=H","DateFormat=P","Fill=—","Direction=H","UseDPDF=Y")</f>
        <v>#NAME?</v>
      </c>
      <c r="BF29" s="2" t="e">
        <f ca="1">_xll.BDH($C$28,"REVENUE_SEQUENTIAL_GROWTH","FQ1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9" s="2" t="e">
        <f ca="1">_xll.BDH($C$28,"EBITDA_SEQUENTIAL_GROWTH","FQ1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9" s="2" t="e">
        <f ca="1">_xll.BDH($C$28,"OPERATING_INCOME_SEQ_GROWTH","FQ1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9" s="2" t="e">
        <f ca="1">_xll.BDH($C$28,"NET_INCOME_TO_COMMON_SEQ_GROWTH","FQ1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9" s="2" t="e">
        <f ca="1">_xll.BDH($C$28,"EPS_DILUTED_SEQUENTIAL_GROWTH","FQ1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9" s="2" t="e">
        <f ca="1">_xll.BDH($C$28,"DPS_SEQUENTIAL_GROWTH","FQ1 2014","FQ1 2014","Currency=INR","Period=FQ","BEST_FPERIOD_OVERRIDE=FQ","FILING_STATUS=OR","EQY_CONSOLIDATED=Y","Sort=A","Dates=H","DateFormat=P","Fill=—","Direction=H","UseDPDF=Y")</f>
        <v>#NAME?</v>
      </c>
      <c r="BL29" s="2" t="e">
        <f ca="1">_xll.BDH($C$28,"ACCOUNTS_RECEIVABLE_SEQ_GROWTH","FQ1 2014","FQ1 2014","Currency=INR","Period=FQ","BEST_FPERIOD_OVERRIDE=FQ","FILING_STATUS=OR","EQY_CONSOLIDATED=Y","Sort=A","Dates=H","DateFormat=P","Fill=—","Direction=H","UseDPDF=Y")</f>
        <v>#NAME?</v>
      </c>
      <c r="BM29" s="2" t="e">
        <f ca="1">_xll.BDH($C$28,"INVENTORY_SEQUENTIAL_GROWTH","FQ1 2014","FQ1 2014","Currency=INR","Period=FQ","BEST_FPERIOD_OVERRIDE=FQ","FILING_STATUS=OR","EQY_CONSOLIDATED=Y","Sort=A","Dates=H","DateFormat=P","Fill=—","Direction=H","UseDPDF=Y")</f>
        <v>#NAME?</v>
      </c>
      <c r="BN29" s="2" t="e">
        <f ca="1">_xll.BDH($C$28,"FIXED_ASSETS_SEQUENTIAL_GROWTH","FQ1 2014","FQ1 2014","Currency=INR","Period=FQ","BEST_FPERIOD_OVERRIDE=FQ","FILING_STATUS=OR","EQY_CONSOLIDATED=Y","Sort=A","Dates=H","DateFormat=P","Fill=—","Direction=H","UseDPDF=Y")</f>
        <v>#NAME?</v>
      </c>
      <c r="BO29" s="2" t="e">
        <f ca="1">_xll.BDH($C$28,"TOTAL_ASSETS_SEQUENTIAL_GROWTH","FQ1 2014","FQ1 2014","Currency=INR","Period=FQ","BEST_FPERIOD_OVERRIDE=FQ","FILING_STATUS=OR","EQY_CONSOLIDATED=Y","Sort=A","Dates=H","DateFormat=P","Fill=—","Direction=H","UseDPDF=Y")</f>
        <v>#NAME?</v>
      </c>
      <c r="BP29" s="2" t="e">
        <f ca="1">_xll.BDH($C$28,"MODIFIED_WORKING_CPTL_SEQ_GRWTH","FQ1 2014","FQ1 2014","Currency=INR","Period=FQ","BEST_FPERIOD_OVERRIDE=FQ","FILING_STATUS=OR","EQY_CONSOLIDATED=Y","Sort=A","Dates=H","DateFormat=P","Fill=—","Direction=H","UseDPDF=Y")</f>
        <v>#NAME?</v>
      </c>
      <c r="BQ29" s="2" t="e">
        <f ca="1">_xll.BDH($C$28,"WORKING_CAPITAL_SEQ_GROWTH","FQ1 2014","FQ1 2014","Currency=INR","Period=FQ","BEST_FPERIOD_OVERRIDE=FQ","FILING_STATUS=OR","EQY_CONSOLIDATED=Y","Sort=A","Dates=H","DateFormat=P","Fill=—","Direction=H","UseDPDF=Y")</f>
        <v>#NAME?</v>
      </c>
      <c r="BR29" s="2" t="e">
        <f ca="1">_xll.BDH($C$28,"ACCOUNTS_PAYABLE_SEQ_GROWTH","FQ1 2014","FQ1 2014","Currency=INR","Period=FQ","BEST_FPERIOD_OVERRIDE=FQ","FILING_STATUS=OR","EQY_CONSOLIDATED=Y","Sort=A","Dates=H","DateFormat=P","Fill=—","Direction=H","UseDPDF=Y")</f>
        <v>#NAME?</v>
      </c>
      <c r="BS29" s="2" t="e">
        <f ca="1">_xll.BDH($C$28,"ST_DEBT_SEQUENTIAL_GROWTH","FQ1 2014","FQ1 2014","Currency=INR","Period=FQ","BEST_FPERIOD_OVERRIDE=FQ","FILING_STATUS=OR","EQY_CONSOLIDATED=Y","Sort=A","Dates=H","DateFormat=P","Fill=—","Direction=H","UseDPDF=Y")</f>
        <v>#NAME?</v>
      </c>
      <c r="BT29" s="2" t="e">
        <f ca="1">_xll.BDH($C$28,"TOTAL_DEBT_SEQUENTIAL_GROWTH","FQ1 2014","FQ1 2014","Currency=INR","Period=FQ","BEST_FPERIOD_OVERRIDE=FQ","FILING_STATUS=OR","EQY_CONSOLIDATED=Y","Sort=A","Dates=H","DateFormat=P","Fill=—","Direction=H","UseDPDF=Y")</f>
        <v>#NAME?</v>
      </c>
      <c r="BU29" s="2" t="e">
        <f ca="1">_xll.BDH($C$28,"TOTAL_EQUITY_SEQUENTIAL_GROWTH","FQ1 2014","FQ1 2014","Currency=INR","Period=FQ","BEST_FPERIOD_OVERRIDE=FQ","FILING_STATUS=OR","EQY_CONSOLIDATED=Y","Sort=A","Dates=H","DateFormat=P","Fill=—","Direction=H","UseDPDF=Y")</f>
        <v>#NAME?</v>
      </c>
      <c r="BV29" s="2" t="e">
        <f ca="1">_xll.BDH($C$28,"TOTAL_CAPITAL_SEQUENTIAL_GROWTH","FQ1 2014","FQ1 2014","Currency=INR","Period=FQ","BEST_FPERIOD_OVERRIDE=FQ","FILING_STATUS=OR","EQY_CONSOLIDATED=Y","Sort=A","Dates=H","DateFormat=P","Fill=—","Direction=H","UseDPDF=Y")</f>
        <v>#NAME?</v>
      </c>
      <c r="BW29" s="2" t="e">
        <f ca="1">_xll.BDH($C$28,"BPS_SEQUENTIAL_GROWTH","FQ1 2014","FQ1 2014","Currency=INR","Period=FQ","BEST_FPERIOD_OVERRIDE=FQ","FILING_STATUS=OR","EQY_CONSOLIDATED=Y","Sort=A","Dates=H","DateFormat=P","Fill=—","Direction=H","UseDPDF=Y")</f>
        <v>#NAME?</v>
      </c>
      <c r="BX29" s="2" t="e">
        <f ca="1">_xll.BDH($C$28,"CFO_SEQUENTIAL_GROWTH","FQ1 2014","FQ1 2014","Currency=INR","Period=FQ","BEST_FPERIOD_OVERRIDE=FQ","FILING_STATUS=OR","EQY_CONSOLIDATED=Y","Sort=A","Dates=H","DateFormat=P","Fill=—","Direction=H","UseDPDF=Y")</f>
        <v>#NAME?</v>
      </c>
      <c r="BY29" s="3" t="e">
        <f ca="1">_xll.BDH($C$28,"SHORT_AND_LONG_TERM_DEBT","FQ1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9" s="3" t="e">
        <f ca="1">_xll.BDH($C$28,"BS_ST_BORROW","FQ1 2014","FQ1 2014","Currency=INR","Period=FQ","BEST_FPERIOD_OVERRIDE=FQ","FILING_STATUS=OR","EQY_CONSOLIDATED=Y","SCALING_FORMAT=MLN","Sort=A","Dates=H","DateFormat=P","Fill=—","Direction=H","UseDPDF=Y")</f>
        <v>#NAME?</v>
      </c>
      <c r="CA29" s="3" t="e">
        <f ca="1">_xll.BDH($C$28,"BS_LT_BORROW","FQ1 2014","FQ1 2014","Currency=INR","Period=FQ","BEST_FPERIOD_OVERRIDE=FQ","FILING_STATUS=OR","EQY_CONSOLIDATED=Y","SCALING_FORMAT=MLN","Sort=A","Dates=H","DateFormat=P","Fill=—","Direction=H","UseDPDF=Y")</f>
        <v>#NAME?</v>
      </c>
      <c r="CB29" s="2" t="e">
        <f ca="1">_xll.BDH($C$28,"TOT_DEBT_TO_EBITDA","FQ1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9" s="2" t="e">
        <f ca="1">_xll.BDH($C$28,"NET_DEBT_TO_EBITDA","FQ1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9" s="2" t="e">
        <f ca="1">_xll.BDH($C$28,"TOTAL_DEBT_TO_EBIT","FQ1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9" s="2" t="e">
        <f ca="1">_xll.BDH($C$28,"NET_DEBT_TO_EBIT","FQ1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9" s="2" t="e">
        <f ca="1">_xll.BDH($C$28,"EBITDA_TO_INTEREST_EXPN","FQ1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9" s="2" t="e">
        <f ca="1">_xll.BDH($C$28,"COM_EQY_TO_TOT_ASSET","FQ1 2014","FQ1 2014","Currency=INR","Period=FQ","BEST_FPERIOD_OVERRIDE=FQ","FILING_STATUS=OR","EQY_CONSOLIDATED=Y","Sort=A","Dates=H","DateFormat=P","Fill=—","Direction=H","UseDPDF=Y")</f>
        <v>#NAME?</v>
      </c>
      <c r="CH29" s="2" t="e">
        <f ca="1">_xll.BDH($C$28,"LT_DEBT_TO_TOT_EQY","FQ1 2014","FQ1 2014","Currency=INR","Period=FQ","BEST_FPERIOD_OVERRIDE=FQ","FILING_STATUS=OR","EQY_CONSOLIDATED=Y","Sort=A","Dates=H","DateFormat=P","Fill=—","Direction=H","UseDPDF=Y")</f>
        <v>#NAME?</v>
      </c>
      <c r="CI29" s="2" t="e">
        <f ca="1">_xll.BDH($C$28,"LT_DEBT_TO_TOT_CAP","FQ1 2014","FQ1 2014","Currency=INR","Period=FQ","BEST_FPERIOD_OVERRIDE=FQ","FILING_STATUS=OR","EQY_CONSOLIDATED=Y","Sort=A","Dates=H","DateFormat=P","Fill=—","Direction=H","UseDPDF=Y")</f>
        <v>#NAME?</v>
      </c>
      <c r="CJ29" s="2" t="e">
        <f ca="1">_xll.BDH($C$28,"LT_DEBT_TO_TOT_ASSET","FQ1 2014","FQ1 2014","Currency=INR","Period=FQ","BEST_FPERIOD_OVERRIDE=FQ","FILING_STATUS=OR","EQY_CONSOLIDATED=Y","Sort=A","Dates=H","DateFormat=P","Fill=—","Direction=H","UseDPDF=Y")</f>
        <v>#NAME?</v>
      </c>
      <c r="CK29" s="2" t="e">
        <f ca="1">_xll.BDH($C$28,"TOT_DEBT_TO_TOT_EQY","FQ1 2014","FQ1 2014","Currency=INR","Period=FQ","BEST_FPERIOD_OVERRIDE=FQ","FILING_STATUS=OR","EQY_CONSOLIDATED=Y","Sort=A","Dates=H","DateFormat=P","Fill=—","Direction=H","UseDPDF=Y")</f>
        <v>#NAME?</v>
      </c>
      <c r="CL29" s="2" t="e">
        <f ca="1">_xll.BDH($C$28,"TOT_DEBT_TO_TOT_CAP","FQ1 2014","FQ1 2014","Currency=INR","Period=FQ","BEST_FPERIOD_OVERRIDE=FQ","FILING_STATUS=OR","EQY_CONSOLIDATED=Y","Sort=A","Dates=H","DateFormat=P","Fill=—","Direction=H","UseDPDF=Y")</f>
        <v>#NAME?</v>
      </c>
      <c r="CM29" s="2" t="e">
        <f ca="1">_xll.BDH($C$28,"TOT_DEBT_TO_TOT_ASSET","FQ1 2014","FQ1 2014","Currency=INR","Period=FQ","BEST_FPERIOD_OVERRIDE=FQ","FILING_STATUS=OR","EQY_CONSOLIDATED=Y","Sort=A","Dates=H","DateFormat=P","Fill=—","Direction=H","UseDPDF=Y")</f>
        <v>#NAME?</v>
      </c>
      <c r="CN29" s="2" t="e">
        <f ca="1">_xll.BDH($C$28,"NET_DEBT_TO_SHRHLDR_EQTY","FQ1 2014","FQ1 2014","Currency=INR","Period=FQ","BEST_FPERIOD_OVERRIDE=FQ","FILING_STATUS=OR","EQY_CONSOLIDATED=Y","Sort=A","Dates=H","DateFormat=P","Fill=—","Direction=H","UseDPDF=Y")</f>
        <v>#NAME?</v>
      </c>
      <c r="CO29" s="2" t="e">
        <f ca="1">_xll.BDH($C$28,"NET_DEBT_%_CAPITAL","FQ1 2014","FQ1 2014","Currency=INR","Period=FQ","BEST_FPERIOD_OVERRIDE=FQ","FILING_STATUS=OR","EQY_CONSOLIDATED=Y","Sort=A","Dates=H","DateFormat=P","Fill=—","Direction=H","UseDPDF=Y")</f>
        <v>#NAME?</v>
      </c>
      <c r="CP29" s="3" t="e">
        <f ca="1">_xll.BDH($C$28,"EBITDA","FQ1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9" s="3" t="e">
        <f ca="1">_xll.BDH($C$28,"EBITDA_AFTER_CAPEX","FQ1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9" s="3" t="e">
        <f ca="1">_xll.BDH($C$28,"IS_OPER_INC","FQ1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9" s="2" t="e">
        <f ca="1">_xll.BDH($C$28,"CASH_RATIO","FQ1 2014","FQ1 2014","Currency=INR","Period=FQ","BEST_FPERIOD_OVERRIDE=FQ","FILING_STATUS=OR","EQY_CONSOLIDATED=Y","Sort=A","Dates=H","DateFormat=P","Fill=—","Direction=H","UseDPDF=Y")</f>
        <v>#NAME?</v>
      </c>
      <c r="CT29" s="2" t="e">
        <f ca="1">_xll.BDH($C$28,"CUR_RATIO","FQ1 2014","FQ1 2014","Currency=INR","Period=FQ","BEST_FPERIOD_OVERRIDE=FQ","FILING_STATUS=OR","EQY_CONSOLIDATED=Y","Sort=A","Dates=H","DateFormat=P","Fill=—","Direction=H","UseDPDF=Y")</f>
        <v>#NAME?</v>
      </c>
      <c r="CU29" s="2" t="e">
        <f ca="1">_xll.BDH($C$28,"QUICK_RATIO","FQ1 2014","FQ1 2014","Currency=INR","Period=FQ","BEST_FPERIOD_OVERRIDE=FQ","FILING_STATUS=OR","EQY_CONSOLIDATED=Y","Sort=A","Dates=H","DateFormat=P","Fill=—","Direction=H","UseDPDF=Y")</f>
        <v>#NAME?</v>
      </c>
      <c r="CV29" s="2" t="e">
        <f ca="1">_xll.BDH($C$28,"ALTMAN_Z_SCORE","FQ1 2014","FQ1 2014","Currency=INR","Period=FQ","BEST_FPERIOD_OVERRIDE=FQ","FILING_STATUS=OR","EQY_CONSOLIDATED=Y","Sort=A","Dates=H","DateFormat=P","Fill=—","Direction=H","UseDPDF=Y")</f>
        <v>#NAME?</v>
      </c>
      <c r="CW29" s="4" t="e">
        <f ca="1">_xll.BDH($C$28,"ACCT_RCV_TURN","FQ1 2014","FQ1 2014","Currency=INR","Period=FQ","BEST_FPERIOD_OVERRIDE=FQ","FILING_STATUS=OR","EQY_CONSOLIDATED=Y","FA_ADJUSTED=GAAP","Sort=A","Dates=H","DateFormat=P","Fill=—","Direction=H","UseDPDF=Y")</f>
        <v>#NAME?</v>
      </c>
      <c r="CX29" s="2" t="e">
        <f ca="1">_xll.BDH($C$28,"ACCT_RCV_DAYS","FQ1 2014","FQ1 2014","Currency=INR","Period=FQ","BEST_FPERIOD_OVERRIDE=FQ","FILING_STATUS=OR","EQY_CONSOLIDATED=Y","FA_ADJUSTED=GAAP","Sort=A","Dates=H","DateFormat=P","Fill=—","Direction=H","UseDPDF=Y")</f>
        <v>#NAME?</v>
      </c>
      <c r="CY29" s="4" t="e">
        <f ca="1">_xll.BDH($C$28,"INVENT_TURN","FQ1 2014","FQ1 2014","Currency=INR","Period=FQ","BEST_FPERIOD_OVERRIDE=FQ","FILING_STATUS=OR","EQY_CONSOLIDATED=Y","FA_ADJUSTED=GAAP","Sort=A","Dates=H","DateFormat=P","Fill=—","Direction=H","UseDPDF=Y")</f>
        <v>#NAME?</v>
      </c>
      <c r="CZ29" s="2" t="e">
        <f ca="1">_xll.BDH($C$28,"INVENT_DAYS","FQ1 2014","FQ1 2014","Currency=INR","Period=FQ","BEST_FPERIOD_OVERRIDE=FQ","FILING_STATUS=OR","EQY_CONSOLIDATED=Y","FA_ADJUSTED=GAAP","Sort=A","Dates=H","DateFormat=P","Fill=—","Direction=H","UseDPDF=Y")</f>
        <v>#NAME?</v>
      </c>
      <c r="DA29" s="4" t="e">
        <f ca="1">_xll.BDH($C$28,"ACCOUNTS_PAYABLE_TURNOVER","FQ1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9" s="2" t="e">
        <f ca="1">_xll.BDH($C$28,"ACCOUNTS_PAYABLE_TURNOVER_DAYS","FQ1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9" s="4" t="e">
        <f ca="1">_xll.BDH($C$28,"CASH_CONVERSION_CYCLE","FQ1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9" s="4" t="e">
        <f ca="1">_xll.BDH($C$28,"INV_TO_CASH_DAYS","FQ1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9" s="5" t="e">
        <f ca="1">_xll.BDH($C$28,"BS_INVENTORIES","FQ1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9" s="3" t="e">
        <f ca="1">_xll.BDH($C$28,"INVTRY_RAW_MATERIALS","FQ1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9" s="3" t="e">
        <f ca="1">_xll.BDH($C$28,"INVTRY_IN_PROGRESS","FQ1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9" s="3" t="e">
        <f ca="1">_xll.BDH($C$28,"INVTRY_FINISHED_GOODS","FQ1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9" s="3" t="e">
        <f ca="1">_xll.BDH($C$28,"BS_OTHER_INV","FQ1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" spans="1:113" x14ac:dyDescent="0.3">
      <c r="A30" s="6"/>
      <c r="B30" s="6"/>
      <c r="C30" s="6"/>
      <c r="D30" s="6"/>
      <c r="E30" t="s">
        <v>79</v>
      </c>
      <c r="F30" t="e">
        <f ca="1">_xll.BDH($C$28,"RETURN_COM_EQY","FQ2 2014","FQ2 2014","Currency=INR","Period=FQ","BEST_FPERIOD_OVERRIDE=FQ","FILING_STATUS=OR","EQY_CONSOLIDATED=Y","FA_ADJUSTED=GAAP","Sort=A","Dates=H","DateFormat=P","Fill=—","Direction=H","UseDPDF=Y")</f>
        <v>#NAME?</v>
      </c>
      <c r="G30" t="e">
        <f ca="1">_xll.BDH($C$28,"RETURN_ON_ASSET","FQ2 2014","FQ2 2014","Currency=INR","Period=FQ","BEST_FPERIOD_OVERRIDE=FQ","FILING_STATUS=OR","EQY_CONSOLIDATED=Y","FA_ADJUSTED=GAAP","Sort=A","Dates=H","DateFormat=P","Fill=—","Direction=H","UseDPDF=Y")</f>
        <v>#NAME?</v>
      </c>
      <c r="H30" t="e">
        <f ca="1">_xll.BDH($C$28,"RETURN_ON_CAP","FQ2 2014","FQ2 2014","Currency=INR","Period=FQ","BEST_FPERIOD_OVERRIDE=FQ","FILING_STATUS=OR","EQY_CONSOLIDATED=Y","FA_ADJUSTED=GAAP","Sort=A","Dates=H","DateFormat=P","Fill=—","Direction=H","UseDPDF=Y")</f>
        <v>#NAME?</v>
      </c>
      <c r="I30" t="e">
        <f ca="1">_xll.BDH($C$28,"RETURN_ON_INV_CAPITAL","FQ2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" t="e">
        <f ca="1">_xll.BDH($C$28,"EBITDA_TO_REVENUE","FQ2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" t="e">
        <f ca="1">_xll.BDH($C$28,"OPER_MARGIN","FQ2 2014","FQ2 2014","Currency=INR","Period=FQ","BEST_FPERIOD_OVERRIDE=FQ","FILING_STATUS=OR","EQY_CONSOLIDATED=Y","FA_ADJUSTED=GAAP","Sort=A","Dates=H","DateFormat=P","Fill=—","Direction=H","UseDPDF=Y")</f>
        <v>#NAME?</v>
      </c>
      <c r="L30" t="e">
        <f ca="1">_xll.BDH($C$28,"INCREMENTAL_OPERATING_MARGIN","FQ2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" t="e">
        <f ca="1">_xll.BDH($C$28,"PRETAX_INC_TO_NET_SALES","FQ2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" t="e">
        <f ca="1">_xll.BDH($C$28,"INC_BEF_XO_ITEMS_TO_NET_SALES","FQ2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" t="e">
        <f ca="1">_xll.BDH($C$28,"PROF_MARGIN","FQ2 2014","FQ2 2014","Currency=INR","Period=FQ","BEST_FPERIOD_OVERRIDE=FQ","FILING_STATUS=OR","EQY_CONSOLIDATED=Y","FA_ADJUSTED=GAAP","Sort=A","Dates=H","DateFormat=P","Fill=—","Direction=H","UseDPDF=Y")</f>
        <v>#NAME?</v>
      </c>
      <c r="P30" t="e">
        <f ca="1">_xll.BDH($C$28,"NET_INCOME_TO_COMMON_MARGIN","FQ2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" t="e">
        <f ca="1">_xll.BDH($C$28,"EFF_TAX_RATE","FQ2 2014","FQ2 2014","Currency=INR","Period=FQ","BEST_FPERIOD_OVERRIDE=FQ","FILING_STATUS=OR","EQY_CONSOLIDATED=Y","FA_ADJUSTED=GAAP","Sort=A","Dates=H","DateFormat=P","Fill=—","Direction=H","UseDPDF=Y")</f>
        <v>#NAME?</v>
      </c>
      <c r="R30" t="e">
        <f ca="1">_xll.BDH($C$28,"DVD_PAYOUT_RATIO","FQ2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0" t="e">
        <f ca="1">_xll.BDH($C$28,"SUSTAIN_GROWTH_RT","FQ2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" s="2" t="e">
        <f ca="1">_xll.BDH($C$28,"SALES_GROWTH","FQ2 2014","FQ2 2014","Currency=INR","Period=FQ","BEST_FPERIOD_OVERRIDE=FQ","FILING_STATUS=OR","EQY_CONSOLIDATED=Y","FA_ADJUSTED=GAAP","Sort=A","Dates=H","DateFormat=P","Fill=—","Direction=H","UseDPDF=Y")</f>
        <v>#NAME?</v>
      </c>
      <c r="U30" s="2" t="e">
        <f ca="1">_xll.BDH($C$28,"EBITDA_GROWTH","FQ2 2014","FQ2 2014","Currency=INR","Period=FQ","BEST_FPERIOD_OVERRIDE=FQ","FILING_STATUS=OR","EQY_CONSOLIDATED=Y","FA_ADJUSTED=GAAP","Sort=A","Dates=H","DateFormat=P","Fill=—","Direction=H","UseDPDF=Y")</f>
        <v>#NAME?</v>
      </c>
      <c r="V30" s="2" t="e">
        <f ca="1">_xll.BDH($C$28,"OPER_INC_GROWTH","FQ2 2014","FQ2 2014","Currency=INR","Period=FQ","BEST_FPERIOD_OVERRIDE=FQ","FILING_STATUS=OR","EQY_CONSOLIDATED=Y","FA_ADJUSTED=GAAP","Sort=A","Dates=H","DateFormat=P","Fill=—","Direction=H","UseDPDF=Y")</f>
        <v>#NAME?</v>
      </c>
      <c r="W30" s="2" t="e">
        <f ca="1">_xll.BDH($C$28,"EARN_FOR_COM_GROWTH","FQ2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" s="2" t="e">
        <f ca="1">_xll.BDH($C$28,"DILUTED_EPS_AFT_XO_ITEMS_GROWTH","FQ2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" s="2" t="e">
        <f ca="1">_xll.BDH($C$28,"DIVIDEND_PER_SHARE_1_YEAR_GROWTH","FQ2 2014","FQ2 2014","Currency=INR","Period=FQ","BEST_FPERIOD_OVERRIDE=FQ","FILING_STATUS=OR","EQY_CONSOLIDATED=Y","Sort=A","Dates=H","DateFormat=P","Fill=—","Direction=H","UseDPDF=Y")</f>
        <v>#NAME?</v>
      </c>
      <c r="Z30" s="2" t="e">
        <f ca="1">_xll.BDH($C$28,"ACCOUNTS_RECEIVABLE_GROWTH","FQ2 2014","FQ2 2014","Currency=INR","Period=FQ","BEST_FPERIOD_OVERRIDE=FQ","FILING_STATUS=OR","EQY_CONSOLIDATED=Y","Sort=A","Dates=H","DateFormat=P","Fill=—","Direction=H","UseDPDF=Y")</f>
        <v>#NAME?</v>
      </c>
      <c r="AA30" s="2" t="e">
        <f ca="1">_xll.BDH($C$28,"INVENTORY_GROWTH","FQ2 2014","FQ2 2014","Currency=INR","Period=FQ","BEST_FPERIOD_OVERRIDE=FQ","FILING_STATUS=OR","EQY_CONSOLIDATED=Y","Sort=A","Dates=H","DateFormat=P","Fill=—","Direction=H","UseDPDF=Y")</f>
        <v>#NAME?</v>
      </c>
      <c r="AB30" s="2" t="e">
        <f ca="1">_xll.BDH($C$28,"NET_FIXED_ASSETS_1_YEAR_GROWTH","FQ2 2014","FQ2 2014","Currency=INR","Period=FQ","BEST_FPERIOD_OVERRIDE=FQ","FILING_STATUS=OR","EQY_CONSOLIDATED=Y","Sort=A","Dates=H","DateFormat=P","Fill=—","Direction=H","UseDPDF=Y")</f>
        <v>#NAME?</v>
      </c>
      <c r="AC30" s="2" t="e">
        <f ca="1">_xll.BDH($C$28,"ASSET_GROWTH","FQ2 2014","FQ2 2014","Currency=INR","Period=FQ","BEST_FPERIOD_OVERRIDE=FQ","FILING_STATUS=OR","EQY_CONSOLIDATED=Y","Sort=A","Dates=H","DateFormat=P","Fill=—","Direction=H","UseDPDF=Y")</f>
        <v>#NAME?</v>
      </c>
      <c r="AD30" s="2" t="e">
        <f ca="1">_xll.BDH($C$28,"MODIFIED_WORK_CAP_GROWTH","FQ2 2014","FQ2 2014","Currency=INR","Period=FQ","BEST_FPERIOD_OVERRIDE=FQ","FILING_STATUS=OR","EQY_CONSOLIDATED=Y","Sort=A","Dates=H","DateFormat=P","Fill=—","Direction=H","UseDPDF=Y")</f>
        <v>#NAME?</v>
      </c>
      <c r="AE30" s="2" t="e">
        <f ca="1">_xll.BDH($C$28,"WORK_CAP_GROWTH","FQ2 2014","FQ2 2014","Currency=INR","Period=FQ","BEST_FPERIOD_OVERRIDE=FQ","FILING_STATUS=OR","EQY_CONSOLIDATED=Y","Sort=A","Dates=H","DateFormat=P","Fill=—","Direction=H","UseDPDF=Y")</f>
        <v>#NAME?</v>
      </c>
      <c r="AF30" s="2" t="e">
        <f ca="1">_xll.BDH($C$28,"ACCOUNTS_PAYABLE_GROWTH_1YR","FQ2 2014","FQ2 2014","Currency=INR","Period=FQ","BEST_FPERIOD_OVERRIDE=FQ","FILING_STATUS=OR","EQY_CONSOLIDATED=Y","Sort=A","Dates=H","DateFormat=P","Fill=—","Direction=H","UseDPDF=Y")</f>
        <v>#NAME?</v>
      </c>
      <c r="AG30" s="2" t="e">
        <f ca="1">_xll.BDH($C$28,"SHORT_TERM_DEBT_1_YEAR_GROWTH","FQ2 2014","FQ2 2014","Currency=INR","Period=FQ","BEST_FPERIOD_OVERRIDE=FQ","FILING_STATUS=OR","EQY_CONSOLIDATED=Y","Sort=A","Dates=H","DateFormat=P","Fill=—","Direction=H","UseDPDF=Y")</f>
        <v>#NAME?</v>
      </c>
      <c r="AH30" s="2" t="e">
        <f ca="1">_xll.BDH($C$28,"TOTAL_DEBT_1_YEAR_GROWTH","FQ2 2014","FQ2 2014","Currency=INR","Period=FQ","BEST_FPERIOD_OVERRIDE=FQ","FILING_STATUS=OR","EQY_CONSOLIDATED=Y","Sort=A","Dates=H","DateFormat=P","Fill=—","Direction=H","UseDPDF=Y")</f>
        <v>#NAME?</v>
      </c>
      <c r="AI30" s="2" t="e">
        <f ca="1">_xll.BDH($C$28,"TOTAL_EQUITY_1_YEAR_GROWTH","FQ2 2014","FQ2 2014","Currency=INR","Period=FQ","BEST_FPERIOD_OVERRIDE=FQ","FILING_STATUS=OR","EQY_CONSOLIDATED=Y","Sort=A","Dates=H","DateFormat=P","Fill=—","Direction=H","UseDPDF=Y")</f>
        <v>#NAME?</v>
      </c>
      <c r="AJ30" s="2" t="e">
        <f ca="1">_xll.BDH($C$28,"GROWTH_IN_CAP","FQ2 2014","FQ2 2014","Currency=INR","Period=FQ","BEST_FPERIOD_OVERRIDE=FQ","FILING_STATUS=OR","EQY_CONSOLIDATED=Y","Sort=A","Dates=H","DateFormat=P","Fill=—","Direction=H","UseDPDF=Y")</f>
        <v>#NAME?</v>
      </c>
      <c r="AK30" s="2" t="e">
        <f ca="1">_xll.BDH($C$28,"BVPS_GROWTH","FQ2 2014","FQ2 2014","Currency=INR","Period=FQ","BEST_FPERIOD_OVERRIDE=FQ","FILING_STATUS=OR","EQY_CONSOLIDATED=Y","Sort=A","Dates=H","DateFormat=P","Fill=—","Direction=H","UseDPDF=Y")</f>
        <v>#NAME?</v>
      </c>
      <c r="AL30" s="2" t="e">
        <f ca="1">_xll.BDH($C$28,"CASH_FLOW_GROWTH","FQ2 2014","FQ2 2014","Currency=INR","Period=FQ","BEST_FPERIOD_OVERRIDE=FQ","FILING_STATUS=OR","EQY_CONSOLIDATED=Y","Sort=A","Dates=H","DateFormat=P","Fill=—","Direction=H","UseDPDF=Y")</f>
        <v>#NAME?</v>
      </c>
      <c r="AM30" s="2" t="e">
        <f ca="1">_xll.BDH($C$28,"GEO_GROW_NET_SALES","FQ2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" s="2" t="e">
        <f ca="1">_xll.BDH($C$28,"GEO_GROW_EBITDA","FQ2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0" s="2" t="e">
        <f ca="1">_xll.BDH($C$28,"GEO_GROW_OPER_INC","FQ2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" s="2" t="e">
        <f ca="1">_xll.BDH($C$28,"NET_INCOME_TO_COMMON_5_YR_GROWTH","FQ2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" s="2" t="e">
        <f ca="1">_xll.BDH($C$28,"5Y_GEO_GROWTH_DILUTED_EPS","FQ2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" s="2" t="e">
        <f ca="1">_xll.BDH($C$28,"GEO_GROW_DVD_PER_SH","FQ2 2014","FQ2 2014","Currency=INR","Period=FQ","BEST_FPERIOD_OVERRIDE=FQ","FILING_STATUS=OR","EQY_CONSOLIDATED=Y","Sort=A","Dates=H","DateFormat=P","Fill=—","Direction=H","UseDPDF=Y")</f>
        <v>#NAME?</v>
      </c>
      <c r="AS30" s="2" t="e">
        <f ca="1">_xll.BDH($C$28,"ACCOUNTS_RECEIVABLE_5_YR_GROWTH","FQ2 2014","FQ2 2014","Currency=INR","Period=FQ","BEST_FPERIOD_OVERRIDE=FQ","FILING_STATUS=OR","EQY_CONSOLIDATED=Y","Sort=A","Dates=H","DateFormat=P","Fill=—","Direction=H","UseDPDF=Y")</f>
        <v>#NAME?</v>
      </c>
      <c r="AT30" s="2" t="e">
        <f ca="1">_xll.BDH($C$28,"INVENTORY_5_YEAR_GROWTH","FQ2 2014","FQ2 2014","Currency=INR","Period=FQ","BEST_FPERIOD_OVERRIDE=FQ","FILING_STATUS=OR","EQY_CONSOLIDATED=Y","Sort=A","Dates=H","DateFormat=P","Fill=—","Direction=H","UseDPDF=Y")</f>
        <v>#NAME?</v>
      </c>
      <c r="AU30" s="2" t="e">
        <f ca="1">_xll.BDH($C$28,"NET_FIXED_ASSETS_5_YEAR_GROWTH","FQ2 2014","FQ2 2014","Currency=INR","Period=FQ","BEST_FPERIOD_OVERRIDE=FQ","FILING_STATUS=OR","EQY_CONSOLIDATED=Y","Sort=A","Dates=H","DateFormat=P","Fill=—","Direction=H","UseDPDF=Y")</f>
        <v>#NAME?</v>
      </c>
      <c r="AV30" s="2" t="e">
        <f ca="1">_xll.BDH($C$28,"GEO_GROW_TOT_ASSET","FQ2 2014","FQ2 2014","Currency=INR","Period=FQ","BEST_FPERIOD_OVERRIDE=FQ","FILING_STATUS=OR","EQY_CONSOLIDATED=Y","Sort=A","Dates=H","DateFormat=P","Fill=—","Direction=H","UseDPDF=Y")</f>
        <v>#NAME?</v>
      </c>
      <c r="AW30" s="2" t="e">
        <f ca="1">_xll.BDH($C$28,"MODIFIED_WORKING_CPTL_5YR_GRWTH","FQ2 2014","FQ2 2014","Currency=INR","Period=FQ","BEST_FPERIOD_OVERRIDE=FQ","FILING_STATUS=OR","EQY_CONSOLIDATED=Y","Sort=A","Dates=H","DateFormat=P","Fill=—","Direction=H","UseDPDF=Y")</f>
        <v>#NAME?</v>
      </c>
      <c r="AX30" s="2" t="e">
        <f ca="1">_xll.BDH($C$28,"WORKING_CAPITAL_5_YEAR_GROWTH","FQ2 2014","FQ2 2014","Currency=INR","Period=FQ","BEST_FPERIOD_OVERRIDE=FQ","FILING_STATUS=OR","EQY_CONSOLIDATED=Y","Sort=A","Dates=H","DateFormat=P","Fill=—","Direction=H","UseDPDF=Y")</f>
        <v>#NAME?</v>
      </c>
      <c r="AY30" s="2" t="e">
        <f ca="1">_xll.BDH($C$28,"ACCOUNTS_PAYABLE_5_YEAR_GROWTH","FQ2 2014","FQ2 2014","Currency=INR","Period=FQ","BEST_FPERIOD_OVERRIDE=FQ","FILING_STATUS=OR","EQY_CONSOLIDATED=Y","Sort=A","Dates=H","DateFormat=P","Fill=—","Direction=H","UseDPDF=Y")</f>
        <v>#NAME?</v>
      </c>
      <c r="AZ30" s="2" t="e">
        <f ca="1">_xll.BDH($C$28,"SHORT_TERM_DEBT_5_YEAR_GROWTH","FQ2 2014","FQ2 2014","Currency=INR","Period=FQ","BEST_FPERIOD_OVERRIDE=FQ","FILING_STATUS=OR","EQY_CONSOLIDATED=Y","Sort=A","Dates=H","DateFormat=P","Fill=—","Direction=H","UseDPDF=Y")</f>
        <v>#NAME?</v>
      </c>
      <c r="BA30" s="2" t="e">
        <f ca="1">_xll.BDH($C$28,"TOTAL_DEBT_5_YEAR_GROWTH","FQ2 2014","FQ2 2014","Currency=INR","Period=FQ","BEST_FPERIOD_OVERRIDE=FQ","FILING_STATUS=OR","EQY_CONSOLIDATED=Y","Sort=A","Dates=H","DateFormat=P","Fill=—","Direction=H","UseDPDF=Y")</f>
        <v>#NAME?</v>
      </c>
      <c r="BB30" s="2" t="e">
        <f ca="1">_xll.BDH($C$28,"GEO_GROW_TOT_SHRHLDR_EQY","FQ2 2014","FQ2 2014","Currency=INR","Period=FQ","BEST_FPERIOD_OVERRIDE=FQ","FILING_STATUS=OR","EQY_CONSOLIDATED=Y","Sort=A","Dates=H","DateFormat=P","Fill=—","Direction=H","UseDPDF=Y")</f>
        <v>#NAME?</v>
      </c>
      <c r="BC30" s="2" t="e">
        <f ca="1">_xll.BDH($C$28,"TOTAL_CAPITAL_5_YEAR_GROWTH","FQ2 2014","FQ2 2014","Currency=INR","Period=FQ","BEST_FPERIOD_OVERRIDE=FQ","FILING_STATUS=OR","EQY_CONSOLIDATED=Y","Sort=A","Dates=H","DateFormat=P","Fill=—","Direction=H","UseDPDF=Y")</f>
        <v>#NAME?</v>
      </c>
      <c r="BD30" s="2" t="e">
        <f ca="1">_xll.BDH($C$28,"GEO_GROW_BOOK_VAL","FQ2 2014","FQ2 2014","Currency=INR","Period=FQ","BEST_FPERIOD_OVERRIDE=FQ","FILING_STATUS=OR","EQY_CONSOLIDATED=Y","Sort=A","Dates=H","DateFormat=P","Fill=—","Direction=H","UseDPDF=Y")</f>
        <v>#NAME?</v>
      </c>
      <c r="BE30" s="2" t="e">
        <f ca="1">_xll.BDH($C$28,"GEO_GROW_CASH_OPER_ACT","FQ2 2014","FQ2 2014","Currency=INR","Period=FQ","BEST_FPERIOD_OVERRIDE=FQ","FILING_STATUS=OR","EQY_CONSOLIDATED=Y","Sort=A","Dates=H","DateFormat=P","Fill=—","Direction=H","UseDPDF=Y")</f>
        <v>#NAME?</v>
      </c>
      <c r="BF30" s="2" t="e">
        <f ca="1">_xll.BDH($C$28,"REVENUE_SEQUENTIAL_GROWTH","FQ2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" s="2" t="e">
        <f ca="1">_xll.BDH($C$28,"EBITDA_SEQUENTIAL_GROWTH","FQ2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" s="2" t="e">
        <f ca="1">_xll.BDH($C$28,"OPERATING_INCOME_SEQ_GROWTH","FQ2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" s="2" t="e">
        <f ca="1">_xll.BDH($C$28,"NET_INCOME_TO_COMMON_SEQ_GROWTH","FQ2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" s="2" t="e">
        <f ca="1">_xll.BDH($C$28,"EPS_DILUTED_SEQUENTIAL_GROWTH","FQ2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" s="2" t="e">
        <f ca="1">_xll.BDH($C$28,"DPS_SEQUENTIAL_GROWTH","FQ2 2014","FQ2 2014","Currency=INR","Period=FQ","BEST_FPERIOD_OVERRIDE=FQ","FILING_STATUS=OR","EQY_CONSOLIDATED=Y","Sort=A","Dates=H","DateFormat=P","Fill=—","Direction=H","UseDPDF=Y")</f>
        <v>#NAME?</v>
      </c>
      <c r="BL30" s="2" t="e">
        <f ca="1">_xll.BDH($C$28,"ACCOUNTS_RECEIVABLE_SEQ_GROWTH","FQ2 2014","FQ2 2014","Currency=INR","Period=FQ","BEST_FPERIOD_OVERRIDE=FQ","FILING_STATUS=OR","EQY_CONSOLIDATED=Y","Sort=A","Dates=H","DateFormat=P","Fill=—","Direction=H","UseDPDF=Y")</f>
        <v>#NAME?</v>
      </c>
      <c r="BM30" s="2" t="e">
        <f ca="1">_xll.BDH($C$28,"INVENTORY_SEQUENTIAL_GROWTH","FQ2 2014","FQ2 2014","Currency=INR","Period=FQ","BEST_FPERIOD_OVERRIDE=FQ","FILING_STATUS=OR","EQY_CONSOLIDATED=Y","Sort=A","Dates=H","DateFormat=P","Fill=—","Direction=H","UseDPDF=Y")</f>
        <v>#NAME?</v>
      </c>
      <c r="BN30" s="2" t="e">
        <f ca="1">_xll.BDH($C$28,"FIXED_ASSETS_SEQUENTIAL_GROWTH","FQ2 2014","FQ2 2014","Currency=INR","Period=FQ","BEST_FPERIOD_OVERRIDE=FQ","FILING_STATUS=OR","EQY_CONSOLIDATED=Y","Sort=A","Dates=H","DateFormat=P","Fill=—","Direction=H","UseDPDF=Y")</f>
        <v>#NAME?</v>
      </c>
      <c r="BO30" s="2" t="e">
        <f ca="1">_xll.BDH($C$28,"TOTAL_ASSETS_SEQUENTIAL_GROWTH","FQ2 2014","FQ2 2014","Currency=INR","Period=FQ","BEST_FPERIOD_OVERRIDE=FQ","FILING_STATUS=OR","EQY_CONSOLIDATED=Y","Sort=A","Dates=H","DateFormat=P","Fill=—","Direction=H","UseDPDF=Y")</f>
        <v>#NAME?</v>
      </c>
      <c r="BP30" s="2" t="e">
        <f ca="1">_xll.BDH($C$28,"MODIFIED_WORKING_CPTL_SEQ_GRWTH","FQ2 2014","FQ2 2014","Currency=INR","Period=FQ","BEST_FPERIOD_OVERRIDE=FQ","FILING_STATUS=OR","EQY_CONSOLIDATED=Y","Sort=A","Dates=H","DateFormat=P","Fill=—","Direction=H","UseDPDF=Y")</f>
        <v>#NAME?</v>
      </c>
      <c r="BQ30" s="2" t="e">
        <f ca="1">_xll.BDH($C$28,"WORKING_CAPITAL_SEQ_GROWTH","FQ2 2014","FQ2 2014","Currency=INR","Period=FQ","BEST_FPERIOD_OVERRIDE=FQ","FILING_STATUS=OR","EQY_CONSOLIDATED=Y","Sort=A","Dates=H","DateFormat=P","Fill=—","Direction=H","UseDPDF=Y")</f>
        <v>#NAME?</v>
      </c>
      <c r="BR30" s="2" t="e">
        <f ca="1">_xll.BDH($C$28,"ACCOUNTS_PAYABLE_SEQ_GROWTH","FQ2 2014","FQ2 2014","Currency=INR","Period=FQ","BEST_FPERIOD_OVERRIDE=FQ","FILING_STATUS=OR","EQY_CONSOLIDATED=Y","Sort=A","Dates=H","DateFormat=P","Fill=—","Direction=H","UseDPDF=Y")</f>
        <v>#NAME?</v>
      </c>
      <c r="BS30" s="2" t="e">
        <f ca="1">_xll.BDH($C$28,"ST_DEBT_SEQUENTIAL_GROWTH","FQ2 2014","FQ2 2014","Currency=INR","Period=FQ","BEST_FPERIOD_OVERRIDE=FQ","FILING_STATUS=OR","EQY_CONSOLIDATED=Y","Sort=A","Dates=H","DateFormat=P","Fill=—","Direction=H","UseDPDF=Y")</f>
        <v>#NAME?</v>
      </c>
      <c r="BT30" s="2" t="e">
        <f ca="1">_xll.BDH($C$28,"TOTAL_DEBT_SEQUENTIAL_GROWTH","FQ2 2014","FQ2 2014","Currency=INR","Period=FQ","BEST_FPERIOD_OVERRIDE=FQ","FILING_STATUS=OR","EQY_CONSOLIDATED=Y","Sort=A","Dates=H","DateFormat=P","Fill=—","Direction=H","UseDPDF=Y")</f>
        <v>#NAME?</v>
      </c>
      <c r="BU30" s="2" t="e">
        <f ca="1">_xll.BDH($C$28,"TOTAL_EQUITY_SEQUENTIAL_GROWTH","FQ2 2014","FQ2 2014","Currency=INR","Period=FQ","BEST_FPERIOD_OVERRIDE=FQ","FILING_STATUS=OR","EQY_CONSOLIDATED=Y","Sort=A","Dates=H","DateFormat=P","Fill=—","Direction=H","UseDPDF=Y")</f>
        <v>#NAME?</v>
      </c>
      <c r="BV30" s="2" t="e">
        <f ca="1">_xll.BDH($C$28,"TOTAL_CAPITAL_SEQUENTIAL_GROWTH","FQ2 2014","FQ2 2014","Currency=INR","Period=FQ","BEST_FPERIOD_OVERRIDE=FQ","FILING_STATUS=OR","EQY_CONSOLIDATED=Y","Sort=A","Dates=H","DateFormat=P","Fill=—","Direction=H","UseDPDF=Y")</f>
        <v>#NAME?</v>
      </c>
      <c r="BW30" s="2" t="e">
        <f ca="1">_xll.BDH($C$28,"BPS_SEQUENTIAL_GROWTH","FQ2 2014","FQ2 2014","Currency=INR","Period=FQ","BEST_FPERIOD_OVERRIDE=FQ","FILING_STATUS=OR","EQY_CONSOLIDATED=Y","Sort=A","Dates=H","DateFormat=P","Fill=—","Direction=H","UseDPDF=Y")</f>
        <v>#NAME?</v>
      </c>
      <c r="BX30" s="2" t="e">
        <f ca="1">_xll.BDH($C$28,"CFO_SEQUENTIAL_GROWTH","FQ2 2014","FQ2 2014","Currency=INR","Period=FQ","BEST_FPERIOD_OVERRIDE=FQ","FILING_STATUS=OR","EQY_CONSOLIDATED=Y","Sort=A","Dates=H","DateFormat=P","Fill=—","Direction=H","UseDPDF=Y")</f>
        <v>#NAME?</v>
      </c>
      <c r="BY30" s="3" t="e">
        <f ca="1">_xll.BDH($C$28,"SHORT_AND_LONG_TERM_DEBT","FQ2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" s="3" t="e">
        <f ca="1">_xll.BDH($C$28,"BS_ST_BORROW","FQ2 2014","FQ2 2014","Currency=INR","Period=FQ","BEST_FPERIOD_OVERRIDE=FQ","FILING_STATUS=OR","EQY_CONSOLIDATED=Y","SCALING_FORMAT=MLN","Sort=A","Dates=H","DateFormat=P","Fill=—","Direction=H","UseDPDF=Y")</f>
        <v>#NAME?</v>
      </c>
      <c r="CA30" s="3" t="e">
        <f ca="1">_xll.BDH($C$28,"BS_LT_BORROW","FQ2 2014","FQ2 2014","Currency=INR","Period=FQ","BEST_FPERIOD_OVERRIDE=FQ","FILING_STATUS=OR","EQY_CONSOLIDATED=Y","SCALING_FORMAT=MLN","Sort=A","Dates=H","DateFormat=P","Fill=—","Direction=H","UseDPDF=Y")</f>
        <v>#NAME?</v>
      </c>
      <c r="CB30" s="2" t="e">
        <f ca="1">_xll.BDH($C$28,"TOT_DEBT_TO_EBITDA","FQ2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" s="2" t="e">
        <f ca="1">_xll.BDH($C$28,"NET_DEBT_TO_EBITDA","FQ2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" s="2" t="e">
        <f ca="1">_xll.BDH($C$28,"TOTAL_DEBT_TO_EBIT","FQ2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" s="2" t="e">
        <f ca="1">_xll.BDH($C$28,"NET_DEBT_TO_EBIT","FQ2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" s="2" t="e">
        <f ca="1">_xll.BDH($C$28,"EBITDA_TO_INTEREST_EXPN","FQ2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" s="2" t="e">
        <f ca="1">_xll.BDH($C$28,"COM_EQY_TO_TOT_ASSET","FQ2 2014","FQ2 2014","Currency=INR","Period=FQ","BEST_FPERIOD_OVERRIDE=FQ","FILING_STATUS=OR","EQY_CONSOLIDATED=Y","Sort=A","Dates=H","DateFormat=P","Fill=—","Direction=H","UseDPDF=Y")</f>
        <v>#NAME?</v>
      </c>
      <c r="CH30" s="2" t="e">
        <f ca="1">_xll.BDH($C$28,"LT_DEBT_TO_TOT_EQY","FQ2 2014","FQ2 2014","Currency=INR","Period=FQ","BEST_FPERIOD_OVERRIDE=FQ","FILING_STATUS=OR","EQY_CONSOLIDATED=Y","Sort=A","Dates=H","DateFormat=P","Fill=—","Direction=H","UseDPDF=Y")</f>
        <v>#NAME?</v>
      </c>
      <c r="CI30" s="2" t="e">
        <f ca="1">_xll.BDH($C$28,"LT_DEBT_TO_TOT_CAP","FQ2 2014","FQ2 2014","Currency=INR","Period=FQ","BEST_FPERIOD_OVERRIDE=FQ","FILING_STATUS=OR","EQY_CONSOLIDATED=Y","Sort=A","Dates=H","DateFormat=P","Fill=—","Direction=H","UseDPDF=Y")</f>
        <v>#NAME?</v>
      </c>
      <c r="CJ30" s="2" t="e">
        <f ca="1">_xll.BDH($C$28,"LT_DEBT_TO_TOT_ASSET","FQ2 2014","FQ2 2014","Currency=INR","Period=FQ","BEST_FPERIOD_OVERRIDE=FQ","FILING_STATUS=OR","EQY_CONSOLIDATED=Y","Sort=A","Dates=H","DateFormat=P","Fill=—","Direction=H","UseDPDF=Y")</f>
        <v>#NAME?</v>
      </c>
      <c r="CK30" s="2" t="e">
        <f ca="1">_xll.BDH($C$28,"TOT_DEBT_TO_TOT_EQY","FQ2 2014","FQ2 2014","Currency=INR","Period=FQ","BEST_FPERIOD_OVERRIDE=FQ","FILING_STATUS=OR","EQY_CONSOLIDATED=Y","Sort=A","Dates=H","DateFormat=P","Fill=—","Direction=H","UseDPDF=Y")</f>
        <v>#NAME?</v>
      </c>
      <c r="CL30" s="2" t="e">
        <f ca="1">_xll.BDH($C$28,"TOT_DEBT_TO_TOT_CAP","FQ2 2014","FQ2 2014","Currency=INR","Period=FQ","BEST_FPERIOD_OVERRIDE=FQ","FILING_STATUS=OR","EQY_CONSOLIDATED=Y","Sort=A","Dates=H","DateFormat=P","Fill=—","Direction=H","UseDPDF=Y")</f>
        <v>#NAME?</v>
      </c>
      <c r="CM30" s="2" t="e">
        <f ca="1">_xll.BDH($C$28,"TOT_DEBT_TO_TOT_ASSET","FQ2 2014","FQ2 2014","Currency=INR","Period=FQ","BEST_FPERIOD_OVERRIDE=FQ","FILING_STATUS=OR","EQY_CONSOLIDATED=Y","Sort=A","Dates=H","DateFormat=P","Fill=—","Direction=H","UseDPDF=Y")</f>
        <v>#NAME?</v>
      </c>
      <c r="CN30" s="2" t="e">
        <f ca="1">_xll.BDH($C$28,"NET_DEBT_TO_SHRHLDR_EQTY","FQ2 2014","FQ2 2014","Currency=INR","Period=FQ","BEST_FPERIOD_OVERRIDE=FQ","FILING_STATUS=OR","EQY_CONSOLIDATED=Y","Sort=A","Dates=H","DateFormat=P","Fill=—","Direction=H","UseDPDF=Y")</f>
        <v>#NAME?</v>
      </c>
      <c r="CO30" s="2" t="e">
        <f ca="1">_xll.BDH($C$28,"NET_DEBT_%_CAPITAL","FQ2 2014","FQ2 2014","Currency=INR","Period=FQ","BEST_FPERIOD_OVERRIDE=FQ","FILING_STATUS=OR","EQY_CONSOLIDATED=Y","Sort=A","Dates=H","DateFormat=P","Fill=—","Direction=H","UseDPDF=Y")</f>
        <v>#NAME?</v>
      </c>
      <c r="CP30" s="3" t="e">
        <f ca="1">_xll.BDH($C$28,"EBITDA","FQ2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" s="3" t="e">
        <f ca="1">_xll.BDH($C$28,"EBITDA_AFTER_CAPEX","FQ2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" s="3" t="e">
        <f ca="1">_xll.BDH($C$28,"IS_OPER_INC","FQ2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" s="2" t="e">
        <f ca="1">_xll.BDH($C$28,"CASH_RATIO","FQ2 2014","FQ2 2014","Currency=INR","Period=FQ","BEST_FPERIOD_OVERRIDE=FQ","FILING_STATUS=OR","EQY_CONSOLIDATED=Y","Sort=A","Dates=H","DateFormat=P","Fill=—","Direction=H","UseDPDF=Y")</f>
        <v>#NAME?</v>
      </c>
      <c r="CT30" s="2" t="e">
        <f ca="1">_xll.BDH($C$28,"CUR_RATIO","FQ2 2014","FQ2 2014","Currency=INR","Period=FQ","BEST_FPERIOD_OVERRIDE=FQ","FILING_STATUS=OR","EQY_CONSOLIDATED=Y","Sort=A","Dates=H","DateFormat=P","Fill=—","Direction=H","UseDPDF=Y")</f>
        <v>#NAME?</v>
      </c>
      <c r="CU30" s="2" t="e">
        <f ca="1">_xll.BDH($C$28,"QUICK_RATIO","FQ2 2014","FQ2 2014","Currency=INR","Period=FQ","BEST_FPERIOD_OVERRIDE=FQ","FILING_STATUS=OR","EQY_CONSOLIDATED=Y","Sort=A","Dates=H","DateFormat=P","Fill=—","Direction=H","UseDPDF=Y")</f>
        <v>#NAME?</v>
      </c>
      <c r="CV30" s="2" t="e">
        <f ca="1">_xll.BDH($C$28,"ALTMAN_Z_SCORE","FQ2 2014","FQ2 2014","Currency=INR","Period=FQ","BEST_FPERIOD_OVERRIDE=FQ","FILING_STATUS=OR","EQY_CONSOLIDATED=Y","Sort=A","Dates=H","DateFormat=P","Fill=—","Direction=H","UseDPDF=Y")</f>
        <v>#NAME?</v>
      </c>
      <c r="CW30" s="4" t="e">
        <f ca="1">_xll.BDH($C$28,"ACCT_RCV_TURN","FQ2 2014","FQ2 2014","Currency=INR","Period=FQ","BEST_FPERIOD_OVERRIDE=FQ","FILING_STATUS=OR","EQY_CONSOLIDATED=Y","FA_ADJUSTED=GAAP","Sort=A","Dates=H","DateFormat=P","Fill=—","Direction=H","UseDPDF=Y")</f>
        <v>#NAME?</v>
      </c>
      <c r="CX30" s="2" t="e">
        <f ca="1">_xll.BDH($C$28,"ACCT_RCV_DAYS","FQ2 2014","FQ2 2014","Currency=INR","Period=FQ","BEST_FPERIOD_OVERRIDE=FQ","FILING_STATUS=OR","EQY_CONSOLIDATED=Y","FA_ADJUSTED=GAAP","Sort=A","Dates=H","DateFormat=P","Fill=—","Direction=H","UseDPDF=Y")</f>
        <v>#NAME?</v>
      </c>
      <c r="CY30" s="4" t="e">
        <f ca="1">_xll.BDH($C$28,"INVENT_TURN","FQ2 2014","FQ2 2014","Currency=INR","Period=FQ","BEST_FPERIOD_OVERRIDE=FQ","FILING_STATUS=OR","EQY_CONSOLIDATED=Y","FA_ADJUSTED=GAAP","Sort=A","Dates=H","DateFormat=P","Fill=—","Direction=H","UseDPDF=Y")</f>
        <v>#NAME?</v>
      </c>
      <c r="CZ30" s="2" t="e">
        <f ca="1">_xll.BDH($C$28,"INVENT_DAYS","FQ2 2014","FQ2 2014","Currency=INR","Period=FQ","BEST_FPERIOD_OVERRIDE=FQ","FILING_STATUS=OR","EQY_CONSOLIDATED=Y","FA_ADJUSTED=GAAP","Sort=A","Dates=H","DateFormat=P","Fill=—","Direction=H","UseDPDF=Y")</f>
        <v>#NAME?</v>
      </c>
      <c r="DA30" s="4" t="e">
        <f ca="1">_xll.BDH($C$28,"ACCOUNTS_PAYABLE_TURNOVER","FQ2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" s="2" t="e">
        <f ca="1">_xll.BDH($C$28,"ACCOUNTS_PAYABLE_TURNOVER_DAYS","FQ2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" s="4" t="e">
        <f ca="1">_xll.BDH($C$28,"CASH_CONVERSION_CYCLE","FQ2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" s="4" t="e">
        <f ca="1">_xll.BDH($C$28,"INV_TO_CASH_DAYS","FQ2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" s="5" t="e">
        <f ca="1">_xll.BDH($C$28,"BS_INVENTORIES","FQ2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" s="3" t="e">
        <f ca="1">_xll.BDH($C$28,"INVTRY_RAW_MATERIALS","FQ2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" s="3" t="e">
        <f ca="1">_xll.BDH($C$28,"INVTRY_IN_PROGRESS","FQ2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" s="3" t="e">
        <f ca="1">_xll.BDH($C$28,"INVTRY_FINISHED_GOODS","FQ2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" s="3" t="e">
        <f ca="1">_xll.BDH($C$28,"BS_OTHER_INV","FQ2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1" spans="1:113" x14ac:dyDescent="0.3">
      <c r="A31" s="6"/>
      <c r="B31" s="6"/>
      <c r="C31" s="6"/>
      <c r="D31" s="6"/>
      <c r="E31" t="s">
        <v>80</v>
      </c>
      <c r="F31" t="e">
        <f ca="1">_xll.BDH($C$28,"RETURN_COM_EQY","FQ3 2014","FQ3 2014","Currency=INR","Period=FQ","BEST_FPERIOD_OVERRIDE=FQ","FILING_STATUS=OR","EQY_CONSOLIDATED=Y","FA_ADJUSTED=GAAP","Sort=A","Dates=H","DateFormat=P","Fill=—","Direction=H","UseDPDF=Y")</f>
        <v>#NAME?</v>
      </c>
      <c r="G31" t="e">
        <f ca="1">_xll.BDH($C$28,"RETURN_ON_ASSET","FQ3 2014","FQ3 2014","Currency=INR","Period=FQ","BEST_FPERIOD_OVERRIDE=FQ","FILING_STATUS=OR","EQY_CONSOLIDATED=Y","FA_ADJUSTED=GAAP","Sort=A","Dates=H","DateFormat=P","Fill=—","Direction=H","UseDPDF=Y")</f>
        <v>#NAME?</v>
      </c>
      <c r="H31" t="e">
        <f ca="1">_xll.BDH($C$28,"RETURN_ON_CAP","FQ3 2014","FQ3 2014","Currency=INR","Period=FQ","BEST_FPERIOD_OVERRIDE=FQ","FILING_STATUS=OR","EQY_CONSOLIDATED=Y","FA_ADJUSTED=GAAP","Sort=A","Dates=H","DateFormat=P","Fill=—","Direction=H","UseDPDF=Y")</f>
        <v>#NAME?</v>
      </c>
      <c r="I31" t="e">
        <f ca="1">_xll.BDH($C$28,"RETURN_ON_INV_CAPITAL","FQ3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1" t="e">
        <f ca="1">_xll.BDH($C$28,"EBITDA_TO_REVENUE","FQ3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1" t="e">
        <f ca="1">_xll.BDH($C$28,"OPER_MARGIN","FQ3 2014","FQ3 2014","Currency=INR","Period=FQ","BEST_FPERIOD_OVERRIDE=FQ","FILING_STATUS=OR","EQY_CONSOLIDATED=Y","FA_ADJUSTED=GAAP","Sort=A","Dates=H","DateFormat=P","Fill=—","Direction=H","UseDPDF=Y")</f>
        <v>#NAME?</v>
      </c>
      <c r="L31" t="e">
        <f ca="1">_xll.BDH($C$28,"INCREMENTAL_OPERATING_MARGIN","FQ3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1" t="e">
        <f ca="1">_xll.BDH($C$28,"PRETAX_INC_TO_NET_SALES","FQ3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1" t="e">
        <f ca="1">_xll.BDH($C$28,"INC_BEF_XO_ITEMS_TO_NET_SALES","FQ3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1" t="e">
        <f ca="1">_xll.BDH($C$28,"PROF_MARGIN","FQ3 2014","FQ3 2014","Currency=INR","Period=FQ","BEST_FPERIOD_OVERRIDE=FQ","FILING_STATUS=OR","EQY_CONSOLIDATED=Y","FA_ADJUSTED=GAAP","Sort=A","Dates=H","DateFormat=P","Fill=—","Direction=H","UseDPDF=Y")</f>
        <v>#NAME?</v>
      </c>
      <c r="P31" t="e">
        <f ca="1">_xll.BDH($C$28,"NET_INCOME_TO_COMMON_MARGIN","FQ3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1" t="e">
        <f ca="1">_xll.BDH($C$28,"EFF_TAX_RATE","FQ3 2014","FQ3 2014","Currency=INR","Period=FQ","BEST_FPERIOD_OVERRIDE=FQ","FILING_STATUS=OR","EQY_CONSOLIDATED=Y","FA_ADJUSTED=GAAP","Sort=A","Dates=H","DateFormat=P","Fill=—","Direction=H","UseDPDF=Y")</f>
        <v>#NAME?</v>
      </c>
      <c r="R31" t="e">
        <f ca="1">_xll.BDH($C$28,"DVD_PAYOUT_RATIO","FQ3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1" t="e">
        <f ca="1">_xll.BDH($C$28,"SUSTAIN_GROWTH_RT","FQ3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1" s="2" t="e">
        <f ca="1">_xll.BDH($C$28,"SALES_GROWTH","FQ3 2014","FQ3 2014","Currency=INR","Period=FQ","BEST_FPERIOD_OVERRIDE=FQ","FILING_STATUS=OR","EQY_CONSOLIDATED=Y","FA_ADJUSTED=GAAP","Sort=A","Dates=H","DateFormat=P","Fill=—","Direction=H","UseDPDF=Y")</f>
        <v>#NAME?</v>
      </c>
      <c r="U31" s="2" t="e">
        <f ca="1">_xll.BDH($C$28,"EBITDA_GROWTH","FQ3 2014","FQ3 2014","Currency=INR","Period=FQ","BEST_FPERIOD_OVERRIDE=FQ","FILING_STATUS=OR","EQY_CONSOLIDATED=Y","FA_ADJUSTED=GAAP","Sort=A","Dates=H","DateFormat=P","Fill=—","Direction=H","UseDPDF=Y")</f>
        <v>#NAME?</v>
      </c>
      <c r="V31" s="2" t="e">
        <f ca="1">_xll.BDH($C$28,"OPER_INC_GROWTH","FQ3 2014","FQ3 2014","Currency=INR","Period=FQ","BEST_FPERIOD_OVERRIDE=FQ","FILING_STATUS=OR","EQY_CONSOLIDATED=Y","FA_ADJUSTED=GAAP","Sort=A","Dates=H","DateFormat=P","Fill=—","Direction=H","UseDPDF=Y")</f>
        <v>#NAME?</v>
      </c>
      <c r="W31" s="2" t="e">
        <f ca="1">_xll.BDH($C$28,"EARN_FOR_COM_GROWTH","FQ3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1" s="2" t="e">
        <f ca="1">_xll.BDH($C$28,"DILUTED_EPS_AFT_XO_ITEMS_GROWTH","FQ3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1" s="2" t="e">
        <f ca="1">_xll.BDH($C$28,"DIVIDEND_PER_SHARE_1_YEAR_GROWTH","FQ3 2014","FQ3 2014","Currency=INR","Period=FQ","BEST_FPERIOD_OVERRIDE=FQ","FILING_STATUS=OR","EQY_CONSOLIDATED=Y","Sort=A","Dates=H","DateFormat=P","Fill=—","Direction=H","UseDPDF=Y")</f>
        <v>#NAME?</v>
      </c>
      <c r="Z31" s="2" t="e">
        <f ca="1">_xll.BDH($C$28,"ACCOUNTS_RECEIVABLE_GROWTH","FQ3 2014","FQ3 2014","Currency=INR","Period=FQ","BEST_FPERIOD_OVERRIDE=FQ","FILING_STATUS=OR","EQY_CONSOLIDATED=Y","Sort=A","Dates=H","DateFormat=P","Fill=—","Direction=H","UseDPDF=Y")</f>
        <v>#NAME?</v>
      </c>
      <c r="AA31" s="2" t="e">
        <f ca="1">_xll.BDH($C$28,"INVENTORY_GROWTH","FQ3 2014","FQ3 2014","Currency=INR","Period=FQ","BEST_FPERIOD_OVERRIDE=FQ","FILING_STATUS=OR","EQY_CONSOLIDATED=Y","Sort=A","Dates=H","DateFormat=P","Fill=—","Direction=H","UseDPDF=Y")</f>
        <v>#NAME?</v>
      </c>
      <c r="AB31" s="2" t="e">
        <f ca="1">_xll.BDH($C$28,"NET_FIXED_ASSETS_1_YEAR_GROWTH","FQ3 2014","FQ3 2014","Currency=INR","Period=FQ","BEST_FPERIOD_OVERRIDE=FQ","FILING_STATUS=OR","EQY_CONSOLIDATED=Y","Sort=A","Dates=H","DateFormat=P","Fill=—","Direction=H","UseDPDF=Y")</f>
        <v>#NAME?</v>
      </c>
      <c r="AC31" s="2" t="e">
        <f ca="1">_xll.BDH($C$28,"ASSET_GROWTH","FQ3 2014","FQ3 2014","Currency=INR","Period=FQ","BEST_FPERIOD_OVERRIDE=FQ","FILING_STATUS=OR","EQY_CONSOLIDATED=Y","Sort=A","Dates=H","DateFormat=P","Fill=—","Direction=H","UseDPDF=Y")</f>
        <v>#NAME?</v>
      </c>
      <c r="AD31" s="2" t="e">
        <f ca="1">_xll.BDH($C$28,"MODIFIED_WORK_CAP_GROWTH","FQ3 2014","FQ3 2014","Currency=INR","Period=FQ","BEST_FPERIOD_OVERRIDE=FQ","FILING_STATUS=OR","EQY_CONSOLIDATED=Y","Sort=A","Dates=H","DateFormat=P","Fill=—","Direction=H","UseDPDF=Y")</f>
        <v>#NAME?</v>
      </c>
      <c r="AE31" s="2" t="e">
        <f ca="1">_xll.BDH($C$28,"WORK_CAP_GROWTH","FQ3 2014","FQ3 2014","Currency=INR","Period=FQ","BEST_FPERIOD_OVERRIDE=FQ","FILING_STATUS=OR","EQY_CONSOLIDATED=Y","Sort=A","Dates=H","DateFormat=P","Fill=—","Direction=H","UseDPDF=Y")</f>
        <v>#NAME?</v>
      </c>
      <c r="AF31" s="2" t="e">
        <f ca="1">_xll.BDH($C$28,"ACCOUNTS_PAYABLE_GROWTH_1YR","FQ3 2014","FQ3 2014","Currency=INR","Period=FQ","BEST_FPERIOD_OVERRIDE=FQ","FILING_STATUS=OR","EQY_CONSOLIDATED=Y","Sort=A","Dates=H","DateFormat=P","Fill=—","Direction=H","UseDPDF=Y")</f>
        <v>#NAME?</v>
      </c>
      <c r="AG31" s="2" t="e">
        <f ca="1">_xll.BDH($C$28,"SHORT_TERM_DEBT_1_YEAR_GROWTH","FQ3 2014","FQ3 2014","Currency=INR","Period=FQ","BEST_FPERIOD_OVERRIDE=FQ","FILING_STATUS=OR","EQY_CONSOLIDATED=Y","Sort=A","Dates=H","DateFormat=P","Fill=—","Direction=H","UseDPDF=Y")</f>
        <v>#NAME?</v>
      </c>
      <c r="AH31" s="2" t="e">
        <f ca="1">_xll.BDH($C$28,"TOTAL_DEBT_1_YEAR_GROWTH","FQ3 2014","FQ3 2014","Currency=INR","Period=FQ","BEST_FPERIOD_OVERRIDE=FQ","FILING_STATUS=OR","EQY_CONSOLIDATED=Y","Sort=A","Dates=H","DateFormat=P","Fill=—","Direction=H","UseDPDF=Y")</f>
        <v>#NAME?</v>
      </c>
      <c r="AI31" s="2" t="e">
        <f ca="1">_xll.BDH($C$28,"TOTAL_EQUITY_1_YEAR_GROWTH","FQ3 2014","FQ3 2014","Currency=INR","Period=FQ","BEST_FPERIOD_OVERRIDE=FQ","FILING_STATUS=OR","EQY_CONSOLIDATED=Y","Sort=A","Dates=H","DateFormat=P","Fill=—","Direction=H","UseDPDF=Y")</f>
        <v>#NAME?</v>
      </c>
      <c r="AJ31" s="2" t="e">
        <f ca="1">_xll.BDH($C$28,"GROWTH_IN_CAP","FQ3 2014","FQ3 2014","Currency=INR","Period=FQ","BEST_FPERIOD_OVERRIDE=FQ","FILING_STATUS=OR","EQY_CONSOLIDATED=Y","Sort=A","Dates=H","DateFormat=P","Fill=—","Direction=H","UseDPDF=Y")</f>
        <v>#NAME?</v>
      </c>
      <c r="AK31" s="2" t="e">
        <f ca="1">_xll.BDH($C$28,"BVPS_GROWTH","FQ3 2014","FQ3 2014","Currency=INR","Period=FQ","BEST_FPERIOD_OVERRIDE=FQ","FILING_STATUS=OR","EQY_CONSOLIDATED=Y","Sort=A","Dates=H","DateFormat=P","Fill=—","Direction=H","UseDPDF=Y")</f>
        <v>#NAME?</v>
      </c>
      <c r="AL31" s="2" t="e">
        <f ca="1">_xll.BDH($C$28,"CASH_FLOW_GROWTH","FQ3 2014","FQ3 2014","Currency=INR","Period=FQ","BEST_FPERIOD_OVERRIDE=FQ","FILING_STATUS=OR","EQY_CONSOLIDATED=Y","Sort=A","Dates=H","DateFormat=P","Fill=—","Direction=H","UseDPDF=Y")</f>
        <v>#NAME?</v>
      </c>
      <c r="AM31" s="2" t="e">
        <f ca="1">_xll.BDH($C$28,"GEO_GROW_NET_SALES","FQ3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1" s="2" t="e">
        <f ca="1">_xll.BDH($C$28,"GEO_GROW_EBITDA","FQ3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1" s="2" t="e">
        <f ca="1">_xll.BDH($C$28,"GEO_GROW_OPER_INC","FQ3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1" s="2" t="e">
        <f ca="1">_xll.BDH($C$28,"NET_INCOME_TO_COMMON_5_YR_GROWTH","FQ3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1" s="2" t="e">
        <f ca="1">_xll.BDH($C$28,"5Y_GEO_GROWTH_DILUTED_EPS","FQ3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1" s="2" t="e">
        <f ca="1">_xll.BDH($C$28,"GEO_GROW_DVD_PER_SH","FQ3 2014","FQ3 2014","Currency=INR","Period=FQ","BEST_FPERIOD_OVERRIDE=FQ","FILING_STATUS=OR","EQY_CONSOLIDATED=Y","Sort=A","Dates=H","DateFormat=P","Fill=—","Direction=H","UseDPDF=Y")</f>
        <v>#NAME?</v>
      </c>
      <c r="AS31" s="2" t="e">
        <f ca="1">_xll.BDH($C$28,"ACCOUNTS_RECEIVABLE_5_YR_GROWTH","FQ3 2014","FQ3 2014","Currency=INR","Period=FQ","BEST_FPERIOD_OVERRIDE=FQ","FILING_STATUS=OR","EQY_CONSOLIDATED=Y","Sort=A","Dates=H","DateFormat=P","Fill=—","Direction=H","UseDPDF=Y")</f>
        <v>#NAME?</v>
      </c>
      <c r="AT31" s="2" t="e">
        <f ca="1">_xll.BDH($C$28,"INVENTORY_5_YEAR_GROWTH","FQ3 2014","FQ3 2014","Currency=INR","Period=FQ","BEST_FPERIOD_OVERRIDE=FQ","FILING_STATUS=OR","EQY_CONSOLIDATED=Y","Sort=A","Dates=H","DateFormat=P","Fill=—","Direction=H","UseDPDF=Y")</f>
        <v>#NAME?</v>
      </c>
      <c r="AU31" s="2" t="e">
        <f ca="1">_xll.BDH($C$28,"NET_FIXED_ASSETS_5_YEAR_GROWTH","FQ3 2014","FQ3 2014","Currency=INR","Period=FQ","BEST_FPERIOD_OVERRIDE=FQ","FILING_STATUS=OR","EQY_CONSOLIDATED=Y","Sort=A","Dates=H","DateFormat=P","Fill=—","Direction=H","UseDPDF=Y")</f>
        <v>#NAME?</v>
      </c>
      <c r="AV31" s="2" t="e">
        <f ca="1">_xll.BDH($C$28,"GEO_GROW_TOT_ASSET","FQ3 2014","FQ3 2014","Currency=INR","Period=FQ","BEST_FPERIOD_OVERRIDE=FQ","FILING_STATUS=OR","EQY_CONSOLIDATED=Y","Sort=A","Dates=H","DateFormat=P","Fill=—","Direction=H","UseDPDF=Y")</f>
        <v>#NAME?</v>
      </c>
      <c r="AW31" s="2" t="e">
        <f ca="1">_xll.BDH($C$28,"MODIFIED_WORKING_CPTL_5YR_GRWTH","FQ3 2014","FQ3 2014","Currency=INR","Period=FQ","BEST_FPERIOD_OVERRIDE=FQ","FILING_STATUS=OR","EQY_CONSOLIDATED=Y","Sort=A","Dates=H","DateFormat=P","Fill=—","Direction=H","UseDPDF=Y")</f>
        <v>#NAME?</v>
      </c>
      <c r="AX31" s="2" t="e">
        <f ca="1">_xll.BDH($C$28,"WORKING_CAPITAL_5_YEAR_GROWTH","FQ3 2014","FQ3 2014","Currency=INR","Period=FQ","BEST_FPERIOD_OVERRIDE=FQ","FILING_STATUS=OR","EQY_CONSOLIDATED=Y","Sort=A","Dates=H","DateFormat=P","Fill=—","Direction=H","UseDPDF=Y")</f>
        <v>#NAME?</v>
      </c>
      <c r="AY31" s="2" t="e">
        <f ca="1">_xll.BDH($C$28,"ACCOUNTS_PAYABLE_5_YEAR_GROWTH","FQ3 2014","FQ3 2014","Currency=INR","Period=FQ","BEST_FPERIOD_OVERRIDE=FQ","FILING_STATUS=OR","EQY_CONSOLIDATED=Y","Sort=A","Dates=H","DateFormat=P","Fill=—","Direction=H","UseDPDF=Y")</f>
        <v>#NAME?</v>
      </c>
      <c r="AZ31" s="2" t="e">
        <f ca="1">_xll.BDH($C$28,"SHORT_TERM_DEBT_5_YEAR_GROWTH","FQ3 2014","FQ3 2014","Currency=INR","Period=FQ","BEST_FPERIOD_OVERRIDE=FQ","FILING_STATUS=OR","EQY_CONSOLIDATED=Y","Sort=A","Dates=H","DateFormat=P","Fill=—","Direction=H","UseDPDF=Y")</f>
        <v>#NAME?</v>
      </c>
      <c r="BA31" s="2" t="e">
        <f ca="1">_xll.BDH($C$28,"TOTAL_DEBT_5_YEAR_GROWTH","FQ3 2014","FQ3 2014","Currency=INR","Period=FQ","BEST_FPERIOD_OVERRIDE=FQ","FILING_STATUS=OR","EQY_CONSOLIDATED=Y","Sort=A","Dates=H","DateFormat=P","Fill=—","Direction=H","UseDPDF=Y")</f>
        <v>#NAME?</v>
      </c>
      <c r="BB31" s="2" t="e">
        <f ca="1">_xll.BDH($C$28,"GEO_GROW_TOT_SHRHLDR_EQY","FQ3 2014","FQ3 2014","Currency=INR","Period=FQ","BEST_FPERIOD_OVERRIDE=FQ","FILING_STATUS=OR","EQY_CONSOLIDATED=Y","Sort=A","Dates=H","DateFormat=P","Fill=—","Direction=H","UseDPDF=Y")</f>
        <v>#NAME?</v>
      </c>
      <c r="BC31" s="2" t="e">
        <f ca="1">_xll.BDH($C$28,"TOTAL_CAPITAL_5_YEAR_GROWTH","FQ3 2014","FQ3 2014","Currency=INR","Period=FQ","BEST_FPERIOD_OVERRIDE=FQ","FILING_STATUS=OR","EQY_CONSOLIDATED=Y","Sort=A","Dates=H","DateFormat=P","Fill=—","Direction=H","UseDPDF=Y")</f>
        <v>#NAME?</v>
      </c>
      <c r="BD31" s="2" t="e">
        <f ca="1">_xll.BDH($C$28,"GEO_GROW_BOOK_VAL","FQ3 2014","FQ3 2014","Currency=INR","Period=FQ","BEST_FPERIOD_OVERRIDE=FQ","FILING_STATUS=OR","EQY_CONSOLIDATED=Y","Sort=A","Dates=H","DateFormat=P","Fill=—","Direction=H","UseDPDF=Y")</f>
        <v>#NAME?</v>
      </c>
      <c r="BE31" s="2" t="e">
        <f ca="1">_xll.BDH($C$28,"GEO_GROW_CASH_OPER_ACT","FQ3 2014","FQ3 2014","Currency=INR","Period=FQ","BEST_FPERIOD_OVERRIDE=FQ","FILING_STATUS=OR","EQY_CONSOLIDATED=Y","Sort=A","Dates=H","DateFormat=P","Fill=—","Direction=H","UseDPDF=Y")</f>
        <v>#NAME?</v>
      </c>
      <c r="BF31" s="2" t="e">
        <f ca="1">_xll.BDH($C$28,"REVENUE_SEQUENTIAL_GROWTH","FQ3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1" s="2" t="e">
        <f ca="1">_xll.BDH($C$28,"EBITDA_SEQUENTIAL_GROWTH","FQ3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1" s="2" t="e">
        <f ca="1">_xll.BDH($C$28,"OPERATING_INCOME_SEQ_GROWTH","FQ3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1" s="2" t="e">
        <f ca="1">_xll.BDH($C$28,"NET_INCOME_TO_COMMON_SEQ_GROWTH","FQ3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1" s="2" t="e">
        <f ca="1">_xll.BDH($C$28,"EPS_DILUTED_SEQUENTIAL_GROWTH","FQ3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1" s="2" t="e">
        <f ca="1">_xll.BDH($C$28,"DPS_SEQUENTIAL_GROWTH","FQ3 2014","FQ3 2014","Currency=INR","Period=FQ","BEST_FPERIOD_OVERRIDE=FQ","FILING_STATUS=OR","EQY_CONSOLIDATED=Y","Sort=A","Dates=H","DateFormat=P","Fill=—","Direction=H","UseDPDF=Y")</f>
        <v>#NAME?</v>
      </c>
      <c r="BL31" s="2" t="e">
        <f ca="1">_xll.BDH($C$28,"ACCOUNTS_RECEIVABLE_SEQ_GROWTH","FQ3 2014","FQ3 2014","Currency=INR","Period=FQ","BEST_FPERIOD_OVERRIDE=FQ","FILING_STATUS=OR","EQY_CONSOLIDATED=Y","Sort=A","Dates=H","DateFormat=P","Fill=—","Direction=H","UseDPDF=Y")</f>
        <v>#NAME?</v>
      </c>
      <c r="BM31" s="2" t="e">
        <f ca="1">_xll.BDH($C$28,"INVENTORY_SEQUENTIAL_GROWTH","FQ3 2014","FQ3 2014","Currency=INR","Period=FQ","BEST_FPERIOD_OVERRIDE=FQ","FILING_STATUS=OR","EQY_CONSOLIDATED=Y","Sort=A","Dates=H","DateFormat=P","Fill=—","Direction=H","UseDPDF=Y")</f>
        <v>#NAME?</v>
      </c>
      <c r="BN31" s="2" t="e">
        <f ca="1">_xll.BDH($C$28,"FIXED_ASSETS_SEQUENTIAL_GROWTH","FQ3 2014","FQ3 2014","Currency=INR","Period=FQ","BEST_FPERIOD_OVERRIDE=FQ","FILING_STATUS=OR","EQY_CONSOLIDATED=Y","Sort=A","Dates=H","DateFormat=P","Fill=—","Direction=H","UseDPDF=Y")</f>
        <v>#NAME?</v>
      </c>
      <c r="BO31" s="2" t="e">
        <f ca="1">_xll.BDH($C$28,"TOTAL_ASSETS_SEQUENTIAL_GROWTH","FQ3 2014","FQ3 2014","Currency=INR","Period=FQ","BEST_FPERIOD_OVERRIDE=FQ","FILING_STATUS=OR","EQY_CONSOLIDATED=Y","Sort=A","Dates=H","DateFormat=P","Fill=—","Direction=H","UseDPDF=Y")</f>
        <v>#NAME?</v>
      </c>
      <c r="BP31" s="2" t="e">
        <f ca="1">_xll.BDH($C$28,"MODIFIED_WORKING_CPTL_SEQ_GRWTH","FQ3 2014","FQ3 2014","Currency=INR","Period=FQ","BEST_FPERIOD_OVERRIDE=FQ","FILING_STATUS=OR","EQY_CONSOLIDATED=Y","Sort=A","Dates=H","DateFormat=P","Fill=—","Direction=H","UseDPDF=Y")</f>
        <v>#NAME?</v>
      </c>
      <c r="BQ31" s="2" t="e">
        <f ca="1">_xll.BDH($C$28,"WORKING_CAPITAL_SEQ_GROWTH","FQ3 2014","FQ3 2014","Currency=INR","Period=FQ","BEST_FPERIOD_OVERRIDE=FQ","FILING_STATUS=OR","EQY_CONSOLIDATED=Y","Sort=A","Dates=H","DateFormat=P","Fill=—","Direction=H","UseDPDF=Y")</f>
        <v>#NAME?</v>
      </c>
      <c r="BR31" s="2" t="e">
        <f ca="1">_xll.BDH($C$28,"ACCOUNTS_PAYABLE_SEQ_GROWTH","FQ3 2014","FQ3 2014","Currency=INR","Period=FQ","BEST_FPERIOD_OVERRIDE=FQ","FILING_STATUS=OR","EQY_CONSOLIDATED=Y","Sort=A","Dates=H","DateFormat=P","Fill=—","Direction=H","UseDPDF=Y")</f>
        <v>#NAME?</v>
      </c>
      <c r="BS31" s="2" t="e">
        <f ca="1">_xll.BDH($C$28,"ST_DEBT_SEQUENTIAL_GROWTH","FQ3 2014","FQ3 2014","Currency=INR","Period=FQ","BEST_FPERIOD_OVERRIDE=FQ","FILING_STATUS=OR","EQY_CONSOLIDATED=Y","Sort=A","Dates=H","DateFormat=P","Fill=—","Direction=H","UseDPDF=Y")</f>
        <v>#NAME?</v>
      </c>
      <c r="BT31" s="2" t="e">
        <f ca="1">_xll.BDH($C$28,"TOTAL_DEBT_SEQUENTIAL_GROWTH","FQ3 2014","FQ3 2014","Currency=INR","Period=FQ","BEST_FPERIOD_OVERRIDE=FQ","FILING_STATUS=OR","EQY_CONSOLIDATED=Y","Sort=A","Dates=H","DateFormat=P","Fill=—","Direction=H","UseDPDF=Y")</f>
        <v>#NAME?</v>
      </c>
      <c r="BU31" s="2" t="e">
        <f ca="1">_xll.BDH($C$28,"TOTAL_EQUITY_SEQUENTIAL_GROWTH","FQ3 2014","FQ3 2014","Currency=INR","Period=FQ","BEST_FPERIOD_OVERRIDE=FQ","FILING_STATUS=OR","EQY_CONSOLIDATED=Y","Sort=A","Dates=H","DateFormat=P","Fill=—","Direction=H","UseDPDF=Y")</f>
        <v>#NAME?</v>
      </c>
      <c r="BV31" s="2" t="e">
        <f ca="1">_xll.BDH($C$28,"TOTAL_CAPITAL_SEQUENTIAL_GROWTH","FQ3 2014","FQ3 2014","Currency=INR","Period=FQ","BEST_FPERIOD_OVERRIDE=FQ","FILING_STATUS=OR","EQY_CONSOLIDATED=Y","Sort=A","Dates=H","DateFormat=P","Fill=—","Direction=H","UseDPDF=Y")</f>
        <v>#NAME?</v>
      </c>
      <c r="BW31" s="2" t="e">
        <f ca="1">_xll.BDH($C$28,"BPS_SEQUENTIAL_GROWTH","FQ3 2014","FQ3 2014","Currency=INR","Period=FQ","BEST_FPERIOD_OVERRIDE=FQ","FILING_STATUS=OR","EQY_CONSOLIDATED=Y","Sort=A","Dates=H","DateFormat=P","Fill=—","Direction=H","UseDPDF=Y")</f>
        <v>#NAME?</v>
      </c>
      <c r="BX31" s="2" t="e">
        <f ca="1">_xll.BDH($C$28,"CFO_SEQUENTIAL_GROWTH","FQ3 2014","FQ3 2014","Currency=INR","Period=FQ","BEST_FPERIOD_OVERRIDE=FQ","FILING_STATUS=OR","EQY_CONSOLIDATED=Y","Sort=A","Dates=H","DateFormat=P","Fill=—","Direction=H","UseDPDF=Y")</f>
        <v>#NAME?</v>
      </c>
      <c r="BY31" s="3" t="e">
        <f ca="1">_xll.BDH($C$28,"SHORT_AND_LONG_TERM_DEBT","FQ3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1" s="3" t="e">
        <f ca="1">_xll.BDH($C$28,"BS_ST_BORROW","FQ3 2014","FQ3 2014","Currency=INR","Period=FQ","BEST_FPERIOD_OVERRIDE=FQ","FILING_STATUS=OR","EQY_CONSOLIDATED=Y","SCALING_FORMAT=MLN","Sort=A","Dates=H","DateFormat=P","Fill=—","Direction=H","UseDPDF=Y")</f>
        <v>#NAME?</v>
      </c>
      <c r="CA31" s="3" t="e">
        <f ca="1">_xll.BDH($C$28,"BS_LT_BORROW","FQ3 2014","FQ3 2014","Currency=INR","Period=FQ","BEST_FPERIOD_OVERRIDE=FQ","FILING_STATUS=OR","EQY_CONSOLIDATED=Y","SCALING_FORMAT=MLN","Sort=A","Dates=H","DateFormat=P","Fill=—","Direction=H","UseDPDF=Y")</f>
        <v>#NAME?</v>
      </c>
      <c r="CB31" s="2" t="e">
        <f ca="1">_xll.BDH($C$28,"TOT_DEBT_TO_EBITDA","FQ3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1" s="2" t="e">
        <f ca="1">_xll.BDH($C$28,"NET_DEBT_TO_EBITDA","FQ3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1" s="2" t="e">
        <f ca="1">_xll.BDH($C$28,"TOTAL_DEBT_TO_EBIT","FQ3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1" s="2" t="e">
        <f ca="1">_xll.BDH($C$28,"NET_DEBT_TO_EBIT","FQ3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1" s="2" t="e">
        <f ca="1">_xll.BDH($C$28,"EBITDA_TO_INTEREST_EXPN","FQ3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1" s="2" t="e">
        <f ca="1">_xll.BDH($C$28,"COM_EQY_TO_TOT_ASSET","FQ3 2014","FQ3 2014","Currency=INR","Period=FQ","BEST_FPERIOD_OVERRIDE=FQ","FILING_STATUS=OR","EQY_CONSOLIDATED=Y","Sort=A","Dates=H","DateFormat=P","Fill=—","Direction=H","UseDPDF=Y")</f>
        <v>#NAME?</v>
      </c>
      <c r="CH31" s="2" t="e">
        <f ca="1">_xll.BDH($C$28,"LT_DEBT_TO_TOT_EQY","FQ3 2014","FQ3 2014","Currency=INR","Period=FQ","BEST_FPERIOD_OVERRIDE=FQ","FILING_STATUS=OR","EQY_CONSOLIDATED=Y","Sort=A","Dates=H","DateFormat=P","Fill=—","Direction=H","UseDPDF=Y")</f>
        <v>#NAME?</v>
      </c>
      <c r="CI31" s="2" t="e">
        <f ca="1">_xll.BDH($C$28,"LT_DEBT_TO_TOT_CAP","FQ3 2014","FQ3 2014","Currency=INR","Period=FQ","BEST_FPERIOD_OVERRIDE=FQ","FILING_STATUS=OR","EQY_CONSOLIDATED=Y","Sort=A","Dates=H","DateFormat=P","Fill=—","Direction=H","UseDPDF=Y")</f>
        <v>#NAME?</v>
      </c>
      <c r="CJ31" s="2" t="e">
        <f ca="1">_xll.BDH($C$28,"LT_DEBT_TO_TOT_ASSET","FQ3 2014","FQ3 2014","Currency=INR","Period=FQ","BEST_FPERIOD_OVERRIDE=FQ","FILING_STATUS=OR","EQY_CONSOLIDATED=Y","Sort=A","Dates=H","DateFormat=P","Fill=—","Direction=H","UseDPDF=Y")</f>
        <v>#NAME?</v>
      </c>
      <c r="CK31" s="2" t="e">
        <f ca="1">_xll.BDH($C$28,"TOT_DEBT_TO_TOT_EQY","FQ3 2014","FQ3 2014","Currency=INR","Period=FQ","BEST_FPERIOD_OVERRIDE=FQ","FILING_STATUS=OR","EQY_CONSOLIDATED=Y","Sort=A","Dates=H","DateFormat=P","Fill=—","Direction=H","UseDPDF=Y")</f>
        <v>#NAME?</v>
      </c>
      <c r="CL31" s="2" t="e">
        <f ca="1">_xll.BDH($C$28,"TOT_DEBT_TO_TOT_CAP","FQ3 2014","FQ3 2014","Currency=INR","Period=FQ","BEST_FPERIOD_OVERRIDE=FQ","FILING_STATUS=OR","EQY_CONSOLIDATED=Y","Sort=A","Dates=H","DateFormat=P","Fill=—","Direction=H","UseDPDF=Y")</f>
        <v>#NAME?</v>
      </c>
      <c r="CM31" s="2" t="e">
        <f ca="1">_xll.BDH($C$28,"TOT_DEBT_TO_TOT_ASSET","FQ3 2014","FQ3 2014","Currency=INR","Period=FQ","BEST_FPERIOD_OVERRIDE=FQ","FILING_STATUS=OR","EQY_CONSOLIDATED=Y","Sort=A","Dates=H","DateFormat=P","Fill=—","Direction=H","UseDPDF=Y")</f>
        <v>#NAME?</v>
      </c>
      <c r="CN31" s="2" t="e">
        <f ca="1">_xll.BDH($C$28,"NET_DEBT_TO_SHRHLDR_EQTY","FQ3 2014","FQ3 2014","Currency=INR","Period=FQ","BEST_FPERIOD_OVERRIDE=FQ","FILING_STATUS=OR","EQY_CONSOLIDATED=Y","Sort=A","Dates=H","DateFormat=P","Fill=—","Direction=H","UseDPDF=Y")</f>
        <v>#NAME?</v>
      </c>
      <c r="CO31" s="2" t="e">
        <f ca="1">_xll.BDH($C$28,"NET_DEBT_%_CAPITAL","FQ3 2014","FQ3 2014","Currency=INR","Period=FQ","BEST_FPERIOD_OVERRIDE=FQ","FILING_STATUS=OR","EQY_CONSOLIDATED=Y","Sort=A","Dates=H","DateFormat=P","Fill=—","Direction=H","UseDPDF=Y")</f>
        <v>#NAME?</v>
      </c>
      <c r="CP31" s="3" t="e">
        <f ca="1">_xll.BDH($C$28,"EBITDA","FQ3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1" s="3" t="e">
        <f ca="1">_xll.BDH($C$28,"EBITDA_AFTER_CAPEX","FQ3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1" s="3" t="e">
        <f ca="1">_xll.BDH($C$28,"IS_OPER_INC","FQ3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1" s="2" t="e">
        <f ca="1">_xll.BDH($C$28,"CASH_RATIO","FQ3 2014","FQ3 2014","Currency=INR","Period=FQ","BEST_FPERIOD_OVERRIDE=FQ","FILING_STATUS=OR","EQY_CONSOLIDATED=Y","Sort=A","Dates=H","DateFormat=P","Fill=—","Direction=H","UseDPDF=Y")</f>
        <v>#NAME?</v>
      </c>
      <c r="CT31" s="2" t="e">
        <f ca="1">_xll.BDH($C$28,"CUR_RATIO","FQ3 2014","FQ3 2014","Currency=INR","Period=FQ","BEST_FPERIOD_OVERRIDE=FQ","FILING_STATUS=OR","EQY_CONSOLIDATED=Y","Sort=A","Dates=H","DateFormat=P","Fill=—","Direction=H","UseDPDF=Y")</f>
        <v>#NAME?</v>
      </c>
      <c r="CU31" s="2" t="e">
        <f ca="1">_xll.BDH($C$28,"QUICK_RATIO","FQ3 2014","FQ3 2014","Currency=INR","Period=FQ","BEST_FPERIOD_OVERRIDE=FQ","FILING_STATUS=OR","EQY_CONSOLIDATED=Y","Sort=A","Dates=H","DateFormat=P","Fill=—","Direction=H","UseDPDF=Y")</f>
        <v>#NAME?</v>
      </c>
      <c r="CV31" s="2" t="e">
        <f ca="1">_xll.BDH($C$28,"ALTMAN_Z_SCORE","FQ3 2014","FQ3 2014","Currency=INR","Period=FQ","BEST_FPERIOD_OVERRIDE=FQ","FILING_STATUS=OR","EQY_CONSOLIDATED=Y","Sort=A","Dates=H","DateFormat=P","Fill=—","Direction=H","UseDPDF=Y")</f>
        <v>#NAME?</v>
      </c>
      <c r="CW31" s="4" t="e">
        <f ca="1">_xll.BDH($C$28,"ACCT_RCV_TURN","FQ3 2014","FQ3 2014","Currency=INR","Period=FQ","BEST_FPERIOD_OVERRIDE=FQ","FILING_STATUS=OR","EQY_CONSOLIDATED=Y","FA_ADJUSTED=GAAP","Sort=A","Dates=H","DateFormat=P","Fill=—","Direction=H","UseDPDF=Y")</f>
        <v>#NAME?</v>
      </c>
      <c r="CX31" s="2" t="e">
        <f ca="1">_xll.BDH($C$28,"ACCT_RCV_DAYS","FQ3 2014","FQ3 2014","Currency=INR","Period=FQ","BEST_FPERIOD_OVERRIDE=FQ","FILING_STATUS=OR","EQY_CONSOLIDATED=Y","FA_ADJUSTED=GAAP","Sort=A","Dates=H","DateFormat=P","Fill=—","Direction=H","UseDPDF=Y")</f>
        <v>#NAME?</v>
      </c>
      <c r="CY31" s="4" t="e">
        <f ca="1">_xll.BDH($C$28,"INVENT_TURN","FQ3 2014","FQ3 2014","Currency=INR","Period=FQ","BEST_FPERIOD_OVERRIDE=FQ","FILING_STATUS=OR","EQY_CONSOLIDATED=Y","FA_ADJUSTED=GAAP","Sort=A","Dates=H","DateFormat=P","Fill=—","Direction=H","UseDPDF=Y")</f>
        <v>#NAME?</v>
      </c>
      <c r="CZ31" s="2" t="e">
        <f ca="1">_xll.BDH($C$28,"INVENT_DAYS","FQ3 2014","FQ3 2014","Currency=INR","Period=FQ","BEST_FPERIOD_OVERRIDE=FQ","FILING_STATUS=OR","EQY_CONSOLIDATED=Y","FA_ADJUSTED=GAAP","Sort=A","Dates=H","DateFormat=P","Fill=—","Direction=H","UseDPDF=Y")</f>
        <v>#NAME?</v>
      </c>
      <c r="DA31" s="4" t="e">
        <f ca="1">_xll.BDH($C$28,"ACCOUNTS_PAYABLE_TURNOVER","FQ3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1" s="2" t="e">
        <f ca="1">_xll.BDH($C$28,"ACCOUNTS_PAYABLE_TURNOVER_DAYS","FQ3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1" s="4" t="e">
        <f ca="1">_xll.BDH($C$28,"CASH_CONVERSION_CYCLE","FQ3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1" s="4" t="e">
        <f ca="1">_xll.BDH($C$28,"INV_TO_CASH_DAYS","FQ3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1" s="5" t="e">
        <f ca="1">_xll.BDH($C$28,"BS_INVENTORIES","FQ3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1" s="3" t="e">
        <f ca="1">_xll.BDH($C$28,"INVTRY_RAW_MATERIALS","FQ3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1" s="3" t="e">
        <f ca="1">_xll.BDH($C$28,"INVTRY_IN_PROGRESS","FQ3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1" s="3" t="e">
        <f ca="1">_xll.BDH($C$28,"INVTRY_FINISHED_GOODS","FQ3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1" s="3" t="e">
        <f ca="1">_xll.BDH($C$28,"BS_OTHER_INV","FQ3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2" spans="1:113" x14ac:dyDescent="0.3">
      <c r="A32" s="6"/>
      <c r="B32" s="6"/>
      <c r="C32" s="6"/>
      <c r="D32" s="6"/>
      <c r="E32" t="s">
        <v>81</v>
      </c>
      <c r="F32" t="e">
        <f ca="1">_xll.BDH($C$28,"RETURN_COM_EQY","FQ4 2014","FQ4 2014","Currency=INR","Period=FQ","BEST_FPERIOD_OVERRIDE=FQ","FILING_STATUS=OR","EQY_CONSOLIDATED=Y","FA_ADJUSTED=GAAP","Sort=A","Dates=H","DateFormat=P","Fill=—","Direction=H","UseDPDF=Y")</f>
        <v>#NAME?</v>
      </c>
      <c r="G32" t="e">
        <f ca="1">_xll.BDH($C$28,"RETURN_ON_ASSET","FQ4 2014","FQ4 2014","Currency=INR","Period=FQ","BEST_FPERIOD_OVERRIDE=FQ","FILING_STATUS=OR","EQY_CONSOLIDATED=Y","FA_ADJUSTED=GAAP","Sort=A","Dates=H","DateFormat=P","Fill=—","Direction=H","UseDPDF=Y")</f>
        <v>#NAME?</v>
      </c>
      <c r="H32" t="e">
        <f ca="1">_xll.BDH($C$28,"RETURN_ON_CAP","FQ4 2014","FQ4 2014","Currency=INR","Period=FQ","BEST_FPERIOD_OVERRIDE=FQ","FILING_STATUS=OR","EQY_CONSOLIDATED=Y","FA_ADJUSTED=GAAP","Sort=A","Dates=H","DateFormat=P","Fill=—","Direction=H","UseDPDF=Y")</f>
        <v>#NAME?</v>
      </c>
      <c r="I32" t="e">
        <f ca="1">_xll.BDH($C$28,"RETURN_ON_INV_CAPITAL","FQ4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2" t="e">
        <f ca="1">_xll.BDH($C$28,"EBITDA_TO_REVENUE","FQ4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2" t="e">
        <f ca="1">_xll.BDH($C$28,"OPER_MARGIN","FQ4 2014","FQ4 2014","Currency=INR","Period=FQ","BEST_FPERIOD_OVERRIDE=FQ","FILING_STATUS=OR","EQY_CONSOLIDATED=Y","FA_ADJUSTED=GAAP","Sort=A","Dates=H","DateFormat=P","Fill=—","Direction=H","UseDPDF=Y")</f>
        <v>#NAME?</v>
      </c>
      <c r="L32" t="e">
        <f ca="1">_xll.BDH($C$28,"INCREMENTAL_OPERATING_MARGIN","FQ4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2" t="e">
        <f ca="1">_xll.BDH($C$28,"PRETAX_INC_TO_NET_SALES","FQ4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2" t="e">
        <f ca="1">_xll.BDH($C$28,"INC_BEF_XO_ITEMS_TO_NET_SALES","FQ4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2" t="e">
        <f ca="1">_xll.BDH($C$28,"PROF_MARGIN","FQ4 2014","FQ4 2014","Currency=INR","Period=FQ","BEST_FPERIOD_OVERRIDE=FQ","FILING_STATUS=OR","EQY_CONSOLIDATED=Y","FA_ADJUSTED=GAAP","Sort=A","Dates=H","DateFormat=P","Fill=—","Direction=H","UseDPDF=Y")</f>
        <v>#NAME?</v>
      </c>
      <c r="P32" t="e">
        <f ca="1">_xll.BDH($C$28,"NET_INCOME_TO_COMMON_MARGIN","FQ4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2" t="e">
        <f ca="1">_xll.BDH($C$28,"EFF_TAX_RATE","FQ4 2014","FQ4 2014","Currency=INR","Period=FQ","BEST_FPERIOD_OVERRIDE=FQ","FILING_STATUS=OR","EQY_CONSOLIDATED=Y","FA_ADJUSTED=GAAP","Sort=A","Dates=H","DateFormat=P","Fill=—","Direction=H","UseDPDF=Y")</f>
        <v>#NAME?</v>
      </c>
      <c r="R32" t="e">
        <f ca="1">_xll.BDH($C$28,"DVD_PAYOUT_RATIO","FQ4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2" t="e">
        <f ca="1">_xll.BDH($C$28,"SUSTAIN_GROWTH_RT","FQ4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2" s="2" t="e">
        <f ca="1">_xll.BDH($C$28,"SALES_GROWTH","FQ4 2014","FQ4 2014","Currency=INR","Period=FQ","BEST_FPERIOD_OVERRIDE=FQ","FILING_STATUS=OR","EQY_CONSOLIDATED=Y","FA_ADJUSTED=GAAP","Sort=A","Dates=H","DateFormat=P","Fill=—","Direction=H","UseDPDF=Y")</f>
        <v>#NAME?</v>
      </c>
      <c r="U32" s="2" t="e">
        <f ca="1">_xll.BDH($C$28,"EBITDA_GROWTH","FQ4 2014","FQ4 2014","Currency=INR","Period=FQ","BEST_FPERIOD_OVERRIDE=FQ","FILING_STATUS=OR","EQY_CONSOLIDATED=Y","FA_ADJUSTED=GAAP","Sort=A","Dates=H","DateFormat=P","Fill=—","Direction=H","UseDPDF=Y")</f>
        <v>#NAME?</v>
      </c>
      <c r="V32" s="2" t="e">
        <f ca="1">_xll.BDH($C$28,"OPER_INC_GROWTH","FQ4 2014","FQ4 2014","Currency=INR","Period=FQ","BEST_FPERIOD_OVERRIDE=FQ","FILING_STATUS=OR","EQY_CONSOLIDATED=Y","FA_ADJUSTED=GAAP","Sort=A","Dates=H","DateFormat=P","Fill=—","Direction=H","UseDPDF=Y")</f>
        <v>#NAME?</v>
      </c>
      <c r="W32" s="2" t="e">
        <f ca="1">_xll.BDH($C$28,"EARN_FOR_COM_GROWTH","FQ4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2" s="2" t="e">
        <f ca="1">_xll.BDH($C$28,"DILUTED_EPS_AFT_XO_ITEMS_GROWTH","FQ4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2" s="2" t="e">
        <f ca="1">_xll.BDH($C$28,"DIVIDEND_PER_SHARE_1_YEAR_GROWTH","FQ4 2014","FQ4 2014","Currency=INR","Period=FQ","BEST_FPERIOD_OVERRIDE=FQ","FILING_STATUS=OR","EQY_CONSOLIDATED=Y","Sort=A","Dates=H","DateFormat=P","Fill=—","Direction=H","UseDPDF=Y")</f>
        <v>#NAME?</v>
      </c>
      <c r="Z32" s="2" t="e">
        <f ca="1">_xll.BDH($C$28,"ACCOUNTS_RECEIVABLE_GROWTH","FQ4 2014","FQ4 2014","Currency=INR","Period=FQ","BEST_FPERIOD_OVERRIDE=FQ","FILING_STATUS=OR","EQY_CONSOLIDATED=Y","Sort=A","Dates=H","DateFormat=P","Fill=—","Direction=H","UseDPDF=Y")</f>
        <v>#NAME?</v>
      </c>
      <c r="AA32" s="2" t="e">
        <f ca="1">_xll.BDH($C$28,"INVENTORY_GROWTH","FQ4 2014","FQ4 2014","Currency=INR","Period=FQ","BEST_FPERIOD_OVERRIDE=FQ","FILING_STATUS=OR","EQY_CONSOLIDATED=Y","Sort=A","Dates=H","DateFormat=P","Fill=—","Direction=H","UseDPDF=Y")</f>
        <v>#NAME?</v>
      </c>
      <c r="AB32" s="2" t="e">
        <f ca="1">_xll.BDH($C$28,"NET_FIXED_ASSETS_1_YEAR_GROWTH","FQ4 2014","FQ4 2014","Currency=INR","Period=FQ","BEST_FPERIOD_OVERRIDE=FQ","FILING_STATUS=OR","EQY_CONSOLIDATED=Y","Sort=A","Dates=H","DateFormat=P","Fill=—","Direction=H","UseDPDF=Y")</f>
        <v>#NAME?</v>
      </c>
      <c r="AC32" s="2" t="e">
        <f ca="1">_xll.BDH($C$28,"ASSET_GROWTH","FQ4 2014","FQ4 2014","Currency=INR","Period=FQ","BEST_FPERIOD_OVERRIDE=FQ","FILING_STATUS=OR","EQY_CONSOLIDATED=Y","Sort=A","Dates=H","DateFormat=P","Fill=—","Direction=H","UseDPDF=Y")</f>
        <v>#NAME?</v>
      </c>
      <c r="AD32" s="2" t="e">
        <f ca="1">_xll.BDH($C$28,"MODIFIED_WORK_CAP_GROWTH","FQ4 2014","FQ4 2014","Currency=INR","Period=FQ","BEST_FPERIOD_OVERRIDE=FQ","FILING_STATUS=OR","EQY_CONSOLIDATED=Y","Sort=A","Dates=H","DateFormat=P","Fill=—","Direction=H","UseDPDF=Y")</f>
        <v>#NAME?</v>
      </c>
      <c r="AE32" s="2" t="e">
        <f ca="1">_xll.BDH($C$28,"WORK_CAP_GROWTH","FQ4 2014","FQ4 2014","Currency=INR","Period=FQ","BEST_FPERIOD_OVERRIDE=FQ","FILING_STATUS=OR","EQY_CONSOLIDATED=Y","Sort=A","Dates=H","DateFormat=P","Fill=—","Direction=H","UseDPDF=Y")</f>
        <v>#NAME?</v>
      </c>
      <c r="AF32" s="2" t="e">
        <f ca="1">_xll.BDH($C$28,"ACCOUNTS_PAYABLE_GROWTH_1YR","FQ4 2014","FQ4 2014","Currency=INR","Period=FQ","BEST_FPERIOD_OVERRIDE=FQ","FILING_STATUS=OR","EQY_CONSOLIDATED=Y","Sort=A","Dates=H","DateFormat=P","Fill=—","Direction=H","UseDPDF=Y")</f>
        <v>#NAME?</v>
      </c>
      <c r="AG32" s="2" t="e">
        <f ca="1">_xll.BDH($C$28,"SHORT_TERM_DEBT_1_YEAR_GROWTH","FQ4 2014","FQ4 2014","Currency=INR","Period=FQ","BEST_FPERIOD_OVERRIDE=FQ","FILING_STATUS=OR","EQY_CONSOLIDATED=Y","Sort=A","Dates=H","DateFormat=P","Fill=—","Direction=H","UseDPDF=Y")</f>
        <v>#NAME?</v>
      </c>
      <c r="AH32" s="2" t="e">
        <f ca="1">_xll.BDH($C$28,"TOTAL_DEBT_1_YEAR_GROWTH","FQ4 2014","FQ4 2014","Currency=INR","Period=FQ","BEST_FPERIOD_OVERRIDE=FQ","FILING_STATUS=OR","EQY_CONSOLIDATED=Y","Sort=A","Dates=H","DateFormat=P","Fill=—","Direction=H","UseDPDF=Y")</f>
        <v>#NAME?</v>
      </c>
      <c r="AI32" s="2" t="e">
        <f ca="1">_xll.BDH($C$28,"TOTAL_EQUITY_1_YEAR_GROWTH","FQ4 2014","FQ4 2014","Currency=INR","Period=FQ","BEST_FPERIOD_OVERRIDE=FQ","FILING_STATUS=OR","EQY_CONSOLIDATED=Y","Sort=A","Dates=H","DateFormat=P","Fill=—","Direction=H","UseDPDF=Y")</f>
        <v>#NAME?</v>
      </c>
      <c r="AJ32" s="2" t="e">
        <f ca="1">_xll.BDH($C$28,"GROWTH_IN_CAP","FQ4 2014","FQ4 2014","Currency=INR","Period=FQ","BEST_FPERIOD_OVERRIDE=FQ","FILING_STATUS=OR","EQY_CONSOLIDATED=Y","Sort=A","Dates=H","DateFormat=P","Fill=—","Direction=H","UseDPDF=Y")</f>
        <v>#NAME?</v>
      </c>
      <c r="AK32" s="2" t="e">
        <f ca="1">_xll.BDH($C$28,"BVPS_GROWTH","FQ4 2014","FQ4 2014","Currency=INR","Period=FQ","BEST_FPERIOD_OVERRIDE=FQ","FILING_STATUS=OR","EQY_CONSOLIDATED=Y","Sort=A","Dates=H","DateFormat=P","Fill=—","Direction=H","UseDPDF=Y")</f>
        <v>#NAME?</v>
      </c>
      <c r="AL32" s="2" t="e">
        <f ca="1">_xll.BDH($C$28,"CASH_FLOW_GROWTH","FQ4 2014","FQ4 2014","Currency=INR","Period=FQ","BEST_FPERIOD_OVERRIDE=FQ","FILING_STATUS=OR","EQY_CONSOLIDATED=Y","Sort=A","Dates=H","DateFormat=P","Fill=—","Direction=H","UseDPDF=Y")</f>
        <v>#NAME?</v>
      </c>
      <c r="AM32" s="2" t="e">
        <f ca="1">_xll.BDH($C$28,"GEO_GROW_NET_SALES","FQ4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2" s="2" t="e">
        <f ca="1">_xll.BDH($C$28,"GEO_GROW_EBITDA","FQ4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2" s="2" t="e">
        <f ca="1">_xll.BDH($C$28,"GEO_GROW_OPER_INC","FQ4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2" s="2" t="e">
        <f ca="1">_xll.BDH($C$28,"NET_INCOME_TO_COMMON_5_YR_GROWTH","FQ4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2" s="2" t="e">
        <f ca="1">_xll.BDH($C$28,"5Y_GEO_GROWTH_DILUTED_EPS","FQ4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2" s="2" t="e">
        <f ca="1">_xll.BDH($C$28,"GEO_GROW_DVD_PER_SH","FQ4 2014","FQ4 2014","Currency=INR","Period=FQ","BEST_FPERIOD_OVERRIDE=FQ","FILING_STATUS=OR","EQY_CONSOLIDATED=Y","Sort=A","Dates=H","DateFormat=P","Fill=—","Direction=H","UseDPDF=Y")</f>
        <v>#NAME?</v>
      </c>
      <c r="AS32" s="2" t="e">
        <f ca="1">_xll.BDH($C$28,"ACCOUNTS_RECEIVABLE_5_YR_GROWTH","FQ4 2014","FQ4 2014","Currency=INR","Period=FQ","BEST_FPERIOD_OVERRIDE=FQ","FILING_STATUS=OR","EQY_CONSOLIDATED=Y","Sort=A","Dates=H","DateFormat=P","Fill=—","Direction=H","UseDPDF=Y")</f>
        <v>#NAME?</v>
      </c>
      <c r="AT32" s="2" t="e">
        <f ca="1">_xll.BDH($C$28,"INVENTORY_5_YEAR_GROWTH","FQ4 2014","FQ4 2014","Currency=INR","Period=FQ","BEST_FPERIOD_OVERRIDE=FQ","FILING_STATUS=OR","EQY_CONSOLIDATED=Y","Sort=A","Dates=H","DateFormat=P","Fill=—","Direction=H","UseDPDF=Y")</f>
        <v>#NAME?</v>
      </c>
      <c r="AU32" s="2" t="e">
        <f ca="1">_xll.BDH($C$28,"NET_FIXED_ASSETS_5_YEAR_GROWTH","FQ4 2014","FQ4 2014","Currency=INR","Period=FQ","BEST_FPERIOD_OVERRIDE=FQ","FILING_STATUS=OR","EQY_CONSOLIDATED=Y","Sort=A","Dates=H","DateFormat=P","Fill=—","Direction=H","UseDPDF=Y")</f>
        <v>#NAME?</v>
      </c>
      <c r="AV32" s="2" t="e">
        <f ca="1">_xll.BDH($C$28,"GEO_GROW_TOT_ASSET","FQ4 2014","FQ4 2014","Currency=INR","Period=FQ","BEST_FPERIOD_OVERRIDE=FQ","FILING_STATUS=OR","EQY_CONSOLIDATED=Y","Sort=A","Dates=H","DateFormat=P","Fill=—","Direction=H","UseDPDF=Y")</f>
        <v>#NAME?</v>
      </c>
      <c r="AW32" s="2" t="e">
        <f ca="1">_xll.BDH($C$28,"MODIFIED_WORKING_CPTL_5YR_GRWTH","FQ4 2014","FQ4 2014","Currency=INR","Period=FQ","BEST_FPERIOD_OVERRIDE=FQ","FILING_STATUS=OR","EQY_CONSOLIDATED=Y","Sort=A","Dates=H","DateFormat=P","Fill=—","Direction=H","UseDPDF=Y")</f>
        <v>#NAME?</v>
      </c>
      <c r="AX32" s="2" t="e">
        <f ca="1">_xll.BDH($C$28,"WORKING_CAPITAL_5_YEAR_GROWTH","FQ4 2014","FQ4 2014","Currency=INR","Period=FQ","BEST_FPERIOD_OVERRIDE=FQ","FILING_STATUS=OR","EQY_CONSOLIDATED=Y","Sort=A","Dates=H","DateFormat=P","Fill=—","Direction=H","UseDPDF=Y")</f>
        <v>#NAME?</v>
      </c>
      <c r="AY32" s="2" t="e">
        <f ca="1">_xll.BDH($C$28,"ACCOUNTS_PAYABLE_5_YEAR_GROWTH","FQ4 2014","FQ4 2014","Currency=INR","Period=FQ","BEST_FPERIOD_OVERRIDE=FQ","FILING_STATUS=OR","EQY_CONSOLIDATED=Y","Sort=A","Dates=H","DateFormat=P","Fill=—","Direction=H","UseDPDF=Y")</f>
        <v>#NAME?</v>
      </c>
      <c r="AZ32" s="2" t="e">
        <f ca="1">_xll.BDH($C$28,"SHORT_TERM_DEBT_5_YEAR_GROWTH","FQ4 2014","FQ4 2014","Currency=INR","Period=FQ","BEST_FPERIOD_OVERRIDE=FQ","FILING_STATUS=OR","EQY_CONSOLIDATED=Y","Sort=A","Dates=H","DateFormat=P","Fill=—","Direction=H","UseDPDF=Y")</f>
        <v>#NAME?</v>
      </c>
      <c r="BA32" s="2" t="e">
        <f ca="1">_xll.BDH($C$28,"TOTAL_DEBT_5_YEAR_GROWTH","FQ4 2014","FQ4 2014","Currency=INR","Period=FQ","BEST_FPERIOD_OVERRIDE=FQ","FILING_STATUS=OR","EQY_CONSOLIDATED=Y","Sort=A","Dates=H","DateFormat=P","Fill=—","Direction=H","UseDPDF=Y")</f>
        <v>#NAME?</v>
      </c>
      <c r="BB32" s="2" t="e">
        <f ca="1">_xll.BDH($C$28,"GEO_GROW_TOT_SHRHLDR_EQY","FQ4 2014","FQ4 2014","Currency=INR","Period=FQ","BEST_FPERIOD_OVERRIDE=FQ","FILING_STATUS=OR","EQY_CONSOLIDATED=Y","Sort=A","Dates=H","DateFormat=P","Fill=—","Direction=H","UseDPDF=Y")</f>
        <v>#NAME?</v>
      </c>
      <c r="BC32" s="2" t="e">
        <f ca="1">_xll.BDH($C$28,"TOTAL_CAPITAL_5_YEAR_GROWTH","FQ4 2014","FQ4 2014","Currency=INR","Period=FQ","BEST_FPERIOD_OVERRIDE=FQ","FILING_STATUS=OR","EQY_CONSOLIDATED=Y","Sort=A","Dates=H","DateFormat=P","Fill=—","Direction=H","UseDPDF=Y")</f>
        <v>#NAME?</v>
      </c>
      <c r="BD32" s="2" t="e">
        <f ca="1">_xll.BDH($C$28,"GEO_GROW_BOOK_VAL","FQ4 2014","FQ4 2014","Currency=INR","Period=FQ","BEST_FPERIOD_OVERRIDE=FQ","FILING_STATUS=OR","EQY_CONSOLIDATED=Y","Sort=A","Dates=H","DateFormat=P","Fill=—","Direction=H","UseDPDF=Y")</f>
        <v>#NAME?</v>
      </c>
      <c r="BE32" s="2" t="e">
        <f ca="1">_xll.BDH($C$28,"GEO_GROW_CASH_OPER_ACT","FQ4 2014","FQ4 2014","Currency=INR","Period=FQ","BEST_FPERIOD_OVERRIDE=FQ","FILING_STATUS=OR","EQY_CONSOLIDATED=Y","Sort=A","Dates=H","DateFormat=P","Fill=—","Direction=H","UseDPDF=Y")</f>
        <v>#NAME?</v>
      </c>
      <c r="BF32" s="2" t="e">
        <f ca="1">_xll.BDH($C$28,"REVENUE_SEQUENTIAL_GROWTH","FQ4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2" s="2" t="e">
        <f ca="1">_xll.BDH($C$28,"EBITDA_SEQUENTIAL_GROWTH","FQ4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2" s="2" t="e">
        <f ca="1">_xll.BDH($C$28,"OPERATING_INCOME_SEQ_GROWTH","FQ4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2" s="2" t="e">
        <f ca="1">_xll.BDH($C$28,"NET_INCOME_TO_COMMON_SEQ_GROWTH","FQ4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2" s="2" t="e">
        <f ca="1">_xll.BDH($C$28,"EPS_DILUTED_SEQUENTIAL_GROWTH","FQ4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2" s="2" t="e">
        <f ca="1">_xll.BDH($C$28,"DPS_SEQUENTIAL_GROWTH","FQ4 2014","FQ4 2014","Currency=INR","Period=FQ","BEST_FPERIOD_OVERRIDE=FQ","FILING_STATUS=OR","EQY_CONSOLIDATED=Y","Sort=A","Dates=H","DateFormat=P","Fill=—","Direction=H","UseDPDF=Y")</f>
        <v>#NAME?</v>
      </c>
      <c r="BL32" s="2" t="e">
        <f ca="1">_xll.BDH($C$28,"ACCOUNTS_RECEIVABLE_SEQ_GROWTH","FQ4 2014","FQ4 2014","Currency=INR","Period=FQ","BEST_FPERIOD_OVERRIDE=FQ","FILING_STATUS=OR","EQY_CONSOLIDATED=Y","Sort=A","Dates=H","DateFormat=P","Fill=—","Direction=H","UseDPDF=Y")</f>
        <v>#NAME?</v>
      </c>
      <c r="BM32" s="2" t="e">
        <f ca="1">_xll.BDH($C$28,"INVENTORY_SEQUENTIAL_GROWTH","FQ4 2014","FQ4 2014","Currency=INR","Period=FQ","BEST_FPERIOD_OVERRIDE=FQ","FILING_STATUS=OR","EQY_CONSOLIDATED=Y","Sort=A","Dates=H","DateFormat=P","Fill=—","Direction=H","UseDPDF=Y")</f>
        <v>#NAME?</v>
      </c>
      <c r="BN32" s="2" t="e">
        <f ca="1">_xll.BDH($C$28,"FIXED_ASSETS_SEQUENTIAL_GROWTH","FQ4 2014","FQ4 2014","Currency=INR","Period=FQ","BEST_FPERIOD_OVERRIDE=FQ","FILING_STATUS=OR","EQY_CONSOLIDATED=Y","Sort=A","Dates=H","DateFormat=P","Fill=—","Direction=H","UseDPDF=Y")</f>
        <v>#NAME?</v>
      </c>
      <c r="BO32" s="2" t="e">
        <f ca="1">_xll.BDH($C$28,"TOTAL_ASSETS_SEQUENTIAL_GROWTH","FQ4 2014","FQ4 2014","Currency=INR","Period=FQ","BEST_FPERIOD_OVERRIDE=FQ","FILING_STATUS=OR","EQY_CONSOLIDATED=Y","Sort=A","Dates=H","DateFormat=P","Fill=—","Direction=H","UseDPDF=Y")</f>
        <v>#NAME?</v>
      </c>
      <c r="BP32" s="2" t="e">
        <f ca="1">_xll.BDH($C$28,"MODIFIED_WORKING_CPTL_SEQ_GRWTH","FQ4 2014","FQ4 2014","Currency=INR","Period=FQ","BEST_FPERIOD_OVERRIDE=FQ","FILING_STATUS=OR","EQY_CONSOLIDATED=Y","Sort=A","Dates=H","DateFormat=P","Fill=—","Direction=H","UseDPDF=Y")</f>
        <v>#NAME?</v>
      </c>
      <c r="BQ32" s="2" t="e">
        <f ca="1">_xll.BDH($C$28,"WORKING_CAPITAL_SEQ_GROWTH","FQ4 2014","FQ4 2014","Currency=INR","Period=FQ","BEST_FPERIOD_OVERRIDE=FQ","FILING_STATUS=OR","EQY_CONSOLIDATED=Y","Sort=A","Dates=H","DateFormat=P","Fill=—","Direction=H","UseDPDF=Y")</f>
        <v>#NAME?</v>
      </c>
      <c r="BR32" s="2" t="e">
        <f ca="1">_xll.BDH($C$28,"ACCOUNTS_PAYABLE_SEQ_GROWTH","FQ4 2014","FQ4 2014","Currency=INR","Period=FQ","BEST_FPERIOD_OVERRIDE=FQ","FILING_STATUS=OR","EQY_CONSOLIDATED=Y","Sort=A","Dates=H","DateFormat=P","Fill=—","Direction=H","UseDPDF=Y")</f>
        <v>#NAME?</v>
      </c>
      <c r="BS32" s="2" t="e">
        <f ca="1">_xll.BDH($C$28,"ST_DEBT_SEQUENTIAL_GROWTH","FQ4 2014","FQ4 2014","Currency=INR","Period=FQ","BEST_FPERIOD_OVERRIDE=FQ","FILING_STATUS=OR","EQY_CONSOLIDATED=Y","Sort=A","Dates=H","DateFormat=P","Fill=—","Direction=H","UseDPDF=Y")</f>
        <v>#NAME?</v>
      </c>
      <c r="BT32" s="2" t="e">
        <f ca="1">_xll.BDH($C$28,"TOTAL_DEBT_SEQUENTIAL_GROWTH","FQ4 2014","FQ4 2014","Currency=INR","Period=FQ","BEST_FPERIOD_OVERRIDE=FQ","FILING_STATUS=OR","EQY_CONSOLIDATED=Y","Sort=A","Dates=H","DateFormat=P","Fill=—","Direction=H","UseDPDF=Y")</f>
        <v>#NAME?</v>
      </c>
      <c r="BU32" s="2" t="e">
        <f ca="1">_xll.BDH($C$28,"TOTAL_EQUITY_SEQUENTIAL_GROWTH","FQ4 2014","FQ4 2014","Currency=INR","Period=FQ","BEST_FPERIOD_OVERRIDE=FQ","FILING_STATUS=OR","EQY_CONSOLIDATED=Y","Sort=A","Dates=H","DateFormat=P","Fill=—","Direction=H","UseDPDF=Y")</f>
        <v>#NAME?</v>
      </c>
      <c r="BV32" s="2" t="e">
        <f ca="1">_xll.BDH($C$28,"TOTAL_CAPITAL_SEQUENTIAL_GROWTH","FQ4 2014","FQ4 2014","Currency=INR","Period=FQ","BEST_FPERIOD_OVERRIDE=FQ","FILING_STATUS=OR","EQY_CONSOLIDATED=Y","Sort=A","Dates=H","DateFormat=P","Fill=—","Direction=H","UseDPDF=Y")</f>
        <v>#NAME?</v>
      </c>
      <c r="BW32" s="2" t="e">
        <f ca="1">_xll.BDH($C$28,"BPS_SEQUENTIAL_GROWTH","FQ4 2014","FQ4 2014","Currency=INR","Period=FQ","BEST_FPERIOD_OVERRIDE=FQ","FILING_STATUS=OR","EQY_CONSOLIDATED=Y","Sort=A","Dates=H","DateFormat=P","Fill=—","Direction=H","UseDPDF=Y")</f>
        <v>#NAME?</v>
      </c>
      <c r="BX32" s="2" t="e">
        <f ca="1">_xll.BDH($C$28,"CFO_SEQUENTIAL_GROWTH","FQ4 2014","FQ4 2014","Currency=INR","Period=FQ","BEST_FPERIOD_OVERRIDE=FQ","FILING_STATUS=OR","EQY_CONSOLIDATED=Y","Sort=A","Dates=H","DateFormat=P","Fill=—","Direction=H","UseDPDF=Y")</f>
        <v>#NAME?</v>
      </c>
      <c r="BY32" s="3" t="e">
        <f ca="1">_xll.BDH($C$28,"SHORT_AND_LONG_TERM_DEBT","FQ4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2" s="3" t="e">
        <f ca="1">_xll.BDH($C$28,"BS_ST_BORROW","FQ4 2014","FQ4 2014","Currency=INR","Period=FQ","BEST_FPERIOD_OVERRIDE=FQ","FILING_STATUS=OR","EQY_CONSOLIDATED=Y","SCALING_FORMAT=MLN","Sort=A","Dates=H","DateFormat=P","Fill=—","Direction=H","UseDPDF=Y")</f>
        <v>#NAME?</v>
      </c>
      <c r="CA32" s="3" t="e">
        <f ca="1">_xll.BDH($C$28,"BS_LT_BORROW","FQ4 2014","FQ4 2014","Currency=INR","Period=FQ","BEST_FPERIOD_OVERRIDE=FQ","FILING_STATUS=OR","EQY_CONSOLIDATED=Y","SCALING_FORMAT=MLN","Sort=A","Dates=H","DateFormat=P","Fill=—","Direction=H","UseDPDF=Y")</f>
        <v>#NAME?</v>
      </c>
      <c r="CB32" s="2" t="e">
        <f ca="1">_xll.BDH($C$28,"TOT_DEBT_TO_EBITDA","FQ4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2" s="2" t="e">
        <f ca="1">_xll.BDH($C$28,"NET_DEBT_TO_EBITDA","FQ4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2" s="2" t="e">
        <f ca="1">_xll.BDH($C$28,"TOTAL_DEBT_TO_EBIT","FQ4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2" s="2" t="e">
        <f ca="1">_xll.BDH($C$28,"NET_DEBT_TO_EBIT","FQ4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2" s="2" t="e">
        <f ca="1">_xll.BDH($C$28,"EBITDA_TO_INTEREST_EXPN","FQ4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2" s="2" t="e">
        <f ca="1">_xll.BDH($C$28,"COM_EQY_TO_TOT_ASSET","FQ4 2014","FQ4 2014","Currency=INR","Period=FQ","BEST_FPERIOD_OVERRIDE=FQ","FILING_STATUS=OR","EQY_CONSOLIDATED=Y","Sort=A","Dates=H","DateFormat=P","Fill=—","Direction=H","UseDPDF=Y")</f>
        <v>#NAME?</v>
      </c>
      <c r="CH32" s="2" t="e">
        <f ca="1">_xll.BDH($C$28,"LT_DEBT_TO_TOT_EQY","FQ4 2014","FQ4 2014","Currency=INR","Period=FQ","BEST_FPERIOD_OVERRIDE=FQ","FILING_STATUS=OR","EQY_CONSOLIDATED=Y","Sort=A","Dates=H","DateFormat=P","Fill=—","Direction=H","UseDPDF=Y")</f>
        <v>#NAME?</v>
      </c>
      <c r="CI32" s="2" t="e">
        <f ca="1">_xll.BDH($C$28,"LT_DEBT_TO_TOT_CAP","FQ4 2014","FQ4 2014","Currency=INR","Period=FQ","BEST_FPERIOD_OVERRIDE=FQ","FILING_STATUS=OR","EQY_CONSOLIDATED=Y","Sort=A","Dates=H","DateFormat=P","Fill=—","Direction=H","UseDPDF=Y")</f>
        <v>#NAME?</v>
      </c>
      <c r="CJ32" s="2" t="e">
        <f ca="1">_xll.BDH($C$28,"LT_DEBT_TO_TOT_ASSET","FQ4 2014","FQ4 2014","Currency=INR","Period=FQ","BEST_FPERIOD_OVERRIDE=FQ","FILING_STATUS=OR","EQY_CONSOLIDATED=Y","Sort=A","Dates=H","DateFormat=P","Fill=—","Direction=H","UseDPDF=Y")</f>
        <v>#NAME?</v>
      </c>
      <c r="CK32" s="2" t="e">
        <f ca="1">_xll.BDH($C$28,"TOT_DEBT_TO_TOT_EQY","FQ4 2014","FQ4 2014","Currency=INR","Period=FQ","BEST_FPERIOD_OVERRIDE=FQ","FILING_STATUS=OR","EQY_CONSOLIDATED=Y","Sort=A","Dates=H","DateFormat=P","Fill=—","Direction=H","UseDPDF=Y")</f>
        <v>#NAME?</v>
      </c>
      <c r="CL32" s="2" t="e">
        <f ca="1">_xll.BDH($C$28,"TOT_DEBT_TO_TOT_CAP","FQ4 2014","FQ4 2014","Currency=INR","Period=FQ","BEST_FPERIOD_OVERRIDE=FQ","FILING_STATUS=OR","EQY_CONSOLIDATED=Y","Sort=A","Dates=H","DateFormat=P","Fill=—","Direction=H","UseDPDF=Y")</f>
        <v>#NAME?</v>
      </c>
      <c r="CM32" s="2" t="e">
        <f ca="1">_xll.BDH($C$28,"TOT_DEBT_TO_TOT_ASSET","FQ4 2014","FQ4 2014","Currency=INR","Period=FQ","BEST_FPERIOD_OVERRIDE=FQ","FILING_STATUS=OR","EQY_CONSOLIDATED=Y","Sort=A","Dates=H","DateFormat=P","Fill=—","Direction=H","UseDPDF=Y")</f>
        <v>#NAME?</v>
      </c>
      <c r="CN32" s="2" t="e">
        <f ca="1">_xll.BDH($C$28,"NET_DEBT_TO_SHRHLDR_EQTY","FQ4 2014","FQ4 2014","Currency=INR","Period=FQ","BEST_FPERIOD_OVERRIDE=FQ","FILING_STATUS=OR","EQY_CONSOLIDATED=Y","Sort=A","Dates=H","DateFormat=P","Fill=—","Direction=H","UseDPDF=Y")</f>
        <v>#NAME?</v>
      </c>
      <c r="CO32" s="2" t="e">
        <f ca="1">_xll.BDH($C$28,"NET_DEBT_%_CAPITAL","FQ4 2014","FQ4 2014","Currency=INR","Period=FQ","BEST_FPERIOD_OVERRIDE=FQ","FILING_STATUS=OR","EQY_CONSOLIDATED=Y","Sort=A","Dates=H","DateFormat=P","Fill=—","Direction=H","UseDPDF=Y")</f>
        <v>#NAME?</v>
      </c>
      <c r="CP32" s="3" t="e">
        <f ca="1">_xll.BDH($C$28,"EBITDA","FQ4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2" s="3" t="e">
        <f ca="1">_xll.BDH($C$28,"EBITDA_AFTER_CAPEX","FQ4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2" s="3" t="e">
        <f ca="1">_xll.BDH($C$28,"IS_OPER_INC","FQ4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2" s="2" t="e">
        <f ca="1">_xll.BDH($C$28,"CASH_RATIO","FQ4 2014","FQ4 2014","Currency=INR","Period=FQ","BEST_FPERIOD_OVERRIDE=FQ","FILING_STATUS=OR","EQY_CONSOLIDATED=Y","Sort=A","Dates=H","DateFormat=P","Fill=—","Direction=H","UseDPDF=Y")</f>
        <v>#NAME?</v>
      </c>
      <c r="CT32" s="2" t="e">
        <f ca="1">_xll.BDH($C$28,"CUR_RATIO","FQ4 2014","FQ4 2014","Currency=INR","Period=FQ","BEST_FPERIOD_OVERRIDE=FQ","FILING_STATUS=OR","EQY_CONSOLIDATED=Y","Sort=A","Dates=H","DateFormat=P","Fill=—","Direction=H","UseDPDF=Y")</f>
        <v>#NAME?</v>
      </c>
      <c r="CU32" s="2" t="e">
        <f ca="1">_xll.BDH($C$28,"QUICK_RATIO","FQ4 2014","FQ4 2014","Currency=INR","Period=FQ","BEST_FPERIOD_OVERRIDE=FQ","FILING_STATUS=OR","EQY_CONSOLIDATED=Y","Sort=A","Dates=H","DateFormat=P","Fill=—","Direction=H","UseDPDF=Y")</f>
        <v>#NAME?</v>
      </c>
      <c r="CV32" s="2" t="e">
        <f ca="1">_xll.BDH($C$28,"ALTMAN_Z_SCORE","FQ4 2014","FQ4 2014","Currency=INR","Period=FQ","BEST_FPERIOD_OVERRIDE=FQ","FILING_STATUS=OR","EQY_CONSOLIDATED=Y","Sort=A","Dates=H","DateFormat=P","Fill=—","Direction=H","UseDPDF=Y")</f>
        <v>#NAME?</v>
      </c>
      <c r="CW32" s="4" t="e">
        <f ca="1">_xll.BDH($C$28,"ACCT_RCV_TURN","FQ4 2014","FQ4 2014","Currency=INR","Period=FQ","BEST_FPERIOD_OVERRIDE=FQ","FILING_STATUS=OR","EQY_CONSOLIDATED=Y","FA_ADJUSTED=GAAP","Sort=A","Dates=H","DateFormat=P","Fill=—","Direction=H","UseDPDF=Y")</f>
        <v>#NAME?</v>
      </c>
      <c r="CX32" s="2" t="e">
        <f ca="1">_xll.BDH($C$28,"ACCT_RCV_DAYS","FQ4 2014","FQ4 2014","Currency=INR","Period=FQ","BEST_FPERIOD_OVERRIDE=FQ","FILING_STATUS=OR","EQY_CONSOLIDATED=Y","FA_ADJUSTED=GAAP","Sort=A","Dates=H","DateFormat=P","Fill=—","Direction=H","UseDPDF=Y")</f>
        <v>#NAME?</v>
      </c>
      <c r="CY32" s="4" t="e">
        <f ca="1">_xll.BDH($C$28,"INVENT_TURN","FQ4 2014","FQ4 2014","Currency=INR","Period=FQ","BEST_FPERIOD_OVERRIDE=FQ","FILING_STATUS=OR","EQY_CONSOLIDATED=Y","FA_ADJUSTED=GAAP","Sort=A","Dates=H","DateFormat=P","Fill=—","Direction=H","UseDPDF=Y")</f>
        <v>#NAME?</v>
      </c>
      <c r="CZ32" s="2" t="e">
        <f ca="1">_xll.BDH($C$28,"INVENT_DAYS","FQ4 2014","FQ4 2014","Currency=INR","Period=FQ","BEST_FPERIOD_OVERRIDE=FQ","FILING_STATUS=OR","EQY_CONSOLIDATED=Y","FA_ADJUSTED=GAAP","Sort=A","Dates=H","DateFormat=P","Fill=—","Direction=H","UseDPDF=Y")</f>
        <v>#NAME?</v>
      </c>
      <c r="DA32" s="4" t="e">
        <f ca="1">_xll.BDH($C$28,"ACCOUNTS_PAYABLE_TURNOVER","FQ4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2" s="2" t="e">
        <f ca="1">_xll.BDH($C$28,"ACCOUNTS_PAYABLE_TURNOVER_DAYS","FQ4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2" s="4" t="e">
        <f ca="1">_xll.BDH($C$28,"CASH_CONVERSION_CYCLE","FQ4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2" s="4" t="e">
        <f ca="1">_xll.BDH($C$28,"INV_TO_CASH_DAYS","FQ4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2" s="5" t="e">
        <f ca="1">_xll.BDH($C$28,"BS_INVENTORIES","FQ4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2" s="3" t="e">
        <f ca="1">_xll.BDH($C$28,"INVTRY_RAW_MATERIALS","FQ4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2" s="3" t="e">
        <f ca="1">_xll.BDH($C$28,"INVTRY_IN_PROGRESS","FQ4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2" s="3" t="e">
        <f ca="1">_xll.BDH($C$28,"INVTRY_FINISHED_GOODS","FQ4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2" s="3" t="e">
        <f ca="1">_xll.BDH($C$28,"BS_OTHER_INV","FQ4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" spans="1:113" x14ac:dyDescent="0.3">
      <c r="A33" s="6"/>
      <c r="B33" s="6"/>
      <c r="C33" s="6"/>
      <c r="D33" s="6" t="s">
        <v>82</v>
      </c>
      <c r="E33" t="s">
        <v>77</v>
      </c>
      <c r="F33" t="e">
        <f ca="1">_xll.BDH($C$28,"RETURN_COM_EQY","FY 2015","FY 2015","Currency=INR","Period=FY","BEST_FPERIOD_OVERRIDE=FY","FILING_STATUS=OR","EQY_CONSOLIDATED=Y","FA_ADJUSTED=GAAP","Sort=A","Dates=H","DateFormat=P","Fill=—","Direction=H","UseDPDF=Y")</f>
        <v>#NAME?</v>
      </c>
      <c r="G33" t="e">
        <f ca="1">_xll.BDH($C$28,"RETURN_ON_ASSET","FY 2015","FY 2015","Currency=INR","Period=FY","BEST_FPERIOD_OVERRIDE=FY","FILING_STATUS=OR","EQY_CONSOLIDATED=Y","FA_ADJUSTED=GAAP","Sort=A","Dates=H","DateFormat=P","Fill=—","Direction=H","UseDPDF=Y")</f>
        <v>#NAME?</v>
      </c>
      <c r="H33" t="e">
        <f ca="1">_xll.BDH($C$28,"RETURN_ON_CAP","FY 2015","FY 2015","Currency=INR","Period=FY","BEST_FPERIOD_OVERRIDE=FY","FILING_STATUS=OR","EQY_CONSOLIDATED=Y","FA_ADJUSTED=GAAP","Sort=A","Dates=H","DateFormat=P","Fill=—","Direction=H","UseDPDF=Y")</f>
        <v>#NAME?</v>
      </c>
      <c r="I33" t="e">
        <f ca="1">_xll.BDH($C$28,"RETURN_ON_INV_CAPITAL","FY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" t="e">
        <f ca="1">_xll.BDH($C$28,"EBITDA_TO_REVENUE","FY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" t="e">
        <f ca="1">_xll.BDH($C$28,"OPER_MARGIN","FY 2015","FY 2015","Currency=INR","Period=FY","BEST_FPERIOD_OVERRIDE=FY","FILING_STATUS=OR","EQY_CONSOLIDATED=Y","FA_ADJUSTED=GAAP","Sort=A","Dates=H","DateFormat=P","Fill=—","Direction=H","UseDPDF=Y")</f>
        <v>#NAME?</v>
      </c>
      <c r="L33" t="e">
        <f ca="1">_xll.BDH($C$28,"INCREMENTAL_OPERATING_MARGIN","FY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" t="e">
        <f ca="1">_xll.BDH($C$28,"PRETAX_INC_TO_NET_SALES","FY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" t="e">
        <f ca="1">_xll.BDH($C$28,"INC_BEF_XO_ITEMS_TO_NET_SALES","FY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" t="e">
        <f ca="1">_xll.BDH($C$28,"PROF_MARGIN","FY 2015","FY 2015","Currency=INR","Period=FY","BEST_FPERIOD_OVERRIDE=FY","FILING_STATUS=OR","EQY_CONSOLIDATED=Y","FA_ADJUSTED=GAAP","Sort=A","Dates=H","DateFormat=P","Fill=—","Direction=H","UseDPDF=Y")</f>
        <v>#NAME?</v>
      </c>
      <c r="P33" t="e">
        <f ca="1">_xll.BDH($C$28,"NET_INCOME_TO_COMMON_MARGIN","FY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" t="e">
        <f ca="1">_xll.BDH($C$28,"EFF_TAX_RATE","FY 2015","FY 2015","Currency=INR","Period=FY","BEST_FPERIOD_OVERRIDE=FY","FILING_STATUS=OR","EQY_CONSOLIDATED=Y","FA_ADJUSTED=GAAP","Sort=A","Dates=H","DateFormat=P","Fill=—","Direction=H","UseDPDF=Y")</f>
        <v>#NAME?</v>
      </c>
      <c r="R33" t="e">
        <f ca="1">_xll.BDH($C$28,"DVD_PAYOUT_RATIO","FY 2015","FY 2015","Currency=INR","Period=FY","BEST_FPERIOD_OVERRIDE=FY","FILING_STATUS=OR","EQY_CONSOLIDATED=Y","FA_ADJUSTED=GAAP","Sort=A","Dates=H","DateFormat=P","Fill=—","Direction=H","UseDPDF=Y")</f>
        <v>#NAME?</v>
      </c>
      <c r="S33" t="e">
        <f ca="1">_xll.BDH($C$28,"SUSTAIN_GROWTH_RT","FY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" s="2" t="e">
        <f ca="1">_xll.BDH($C$28,"SALES_GROWTH","FY 2015","FY 2015","Currency=INR","Period=FY","BEST_FPERIOD_OVERRIDE=FY","FILING_STATUS=OR","EQY_CONSOLIDATED=Y","FA_ADJUSTED=GAAP","Sort=A","Dates=H","DateFormat=P","Fill=—","Direction=H","UseDPDF=Y")</f>
        <v>#NAME?</v>
      </c>
      <c r="U33" s="2" t="e">
        <f ca="1">_xll.BDH($C$28,"EBITDA_GROWTH","FY 2015","FY 2015","Currency=INR","Period=FY","BEST_FPERIOD_OVERRIDE=FY","FILING_STATUS=OR","EQY_CONSOLIDATED=Y","FA_ADJUSTED=GAAP","Sort=A","Dates=H","DateFormat=P","Fill=—","Direction=H","UseDPDF=Y")</f>
        <v>#NAME?</v>
      </c>
      <c r="V33" s="2" t="e">
        <f ca="1">_xll.BDH($C$28,"OPER_INC_GROWTH","FY 2015","FY 2015","Currency=INR","Period=FY","BEST_FPERIOD_OVERRIDE=FY","FILING_STATUS=OR","EQY_CONSOLIDATED=Y","FA_ADJUSTED=GAAP","Sort=A","Dates=H","DateFormat=P","Fill=—","Direction=H","UseDPDF=Y")</f>
        <v>#NAME?</v>
      </c>
      <c r="W33" s="2" t="e">
        <f ca="1">_xll.BDH($C$28,"EARN_FOR_COM_GROWTH","FY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" s="2" t="e">
        <f ca="1">_xll.BDH($C$28,"DILUTED_EPS_AFT_XO_ITEMS_GROWTH","FY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" s="2" t="e">
        <f ca="1">_xll.BDH($C$28,"DIVIDEND_PER_SHARE_1_YEAR_GROWTH","FY 2015","FY 2015","Currency=INR","Period=FY","BEST_FPERIOD_OVERRIDE=FY","FILING_STATUS=OR","EQY_CONSOLIDATED=Y","Sort=A","Dates=H","DateFormat=P","Fill=—","Direction=H","UseDPDF=Y")</f>
        <v>#NAME?</v>
      </c>
      <c r="Z33" s="2" t="e">
        <f ca="1">_xll.BDH($C$28,"ACCOUNTS_RECEIVABLE_GROWTH","FY 2015","FY 2015","Currency=INR","Period=FY","BEST_FPERIOD_OVERRIDE=FY","FILING_STATUS=OR","EQY_CONSOLIDATED=Y","Sort=A","Dates=H","DateFormat=P","Fill=—","Direction=H","UseDPDF=Y")</f>
        <v>#NAME?</v>
      </c>
      <c r="AA33" s="2" t="e">
        <f ca="1">_xll.BDH($C$28,"INVENTORY_GROWTH","FY 2015","FY 2015","Currency=INR","Period=FY","BEST_FPERIOD_OVERRIDE=FY","FILING_STATUS=OR","EQY_CONSOLIDATED=Y","Sort=A","Dates=H","DateFormat=P","Fill=—","Direction=H","UseDPDF=Y")</f>
        <v>#NAME?</v>
      </c>
      <c r="AB33" s="2" t="e">
        <f ca="1">_xll.BDH($C$28,"NET_FIXED_ASSETS_1_YEAR_GROWTH","FY 2015","FY 2015","Currency=INR","Period=FY","BEST_FPERIOD_OVERRIDE=FY","FILING_STATUS=OR","EQY_CONSOLIDATED=Y","Sort=A","Dates=H","DateFormat=P","Fill=—","Direction=H","UseDPDF=Y")</f>
        <v>#NAME?</v>
      </c>
      <c r="AC33" s="2" t="e">
        <f ca="1">_xll.BDH($C$28,"ASSET_GROWTH","FY 2015","FY 2015","Currency=INR","Period=FY","BEST_FPERIOD_OVERRIDE=FY","FILING_STATUS=OR","EQY_CONSOLIDATED=Y","Sort=A","Dates=H","DateFormat=P","Fill=—","Direction=H","UseDPDF=Y")</f>
        <v>#NAME?</v>
      </c>
      <c r="AD33" s="2" t="e">
        <f ca="1">_xll.BDH($C$28,"MODIFIED_WORK_CAP_GROWTH","FY 2015","FY 2015","Currency=INR","Period=FY","BEST_FPERIOD_OVERRIDE=FY","FILING_STATUS=OR","EQY_CONSOLIDATED=Y","Sort=A","Dates=H","DateFormat=P","Fill=—","Direction=H","UseDPDF=Y")</f>
        <v>#NAME?</v>
      </c>
      <c r="AE33" s="2" t="e">
        <f ca="1">_xll.BDH($C$28,"WORK_CAP_GROWTH","FY 2015","FY 2015","Currency=INR","Period=FY","BEST_FPERIOD_OVERRIDE=FY","FILING_STATUS=OR","EQY_CONSOLIDATED=Y","Sort=A","Dates=H","DateFormat=P","Fill=—","Direction=H","UseDPDF=Y")</f>
        <v>#NAME?</v>
      </c>
      <c r="AF33" s="2" t="e">
        <f ca="1">_xll.BDH($C$28,"ACCOUNTS_PAYABLE_GROWTH_1YR","FY 2015","FY 2015","Currency=INR","Period=FY","BEST_FPERIOD_OVERRIDE=FY","FILING_STATUS=OR","EQY_CONSOLIDATED=Y","Sort=A","Dates=H","DateFormat=P","Fill=—","Direction=H","UseDPDF=Y")</f>
        <v>#NAME?</v>
      </c>
      <c r="AG33" s="2" t="e">
        <f ca="1">_xll.BDH($C$28,"SHORT_TERM_DEBT_1_YEAR_GROWTH","FY 2015","FY 2015","Currency=INR","Period=FY","BEST_FPERIOD_OVERRIDE=FY","FILING_STATUS=OR","EQY_CONSOLIDATED=Y","Sort=A","Dates=H","DateFormat=P","Fill=—","Direction=H","UseDPDF=Y")</f>
        <v>#NAME?</v>
      </c>
      <c r="AH33" s="2" t="e">
        <f ca="1">_xll.BDH($C$28,"TOTAL_DEBT_1_YEAR_GROWTH","FY 2015","FY 2015","Currency=INR","Period=FY","BEST_FPERIOD_OVERRIDE=FY","FILING_STATUS=OR","EQY_CONSOLIDATED=Y","Sort=A","Dates=H","DateFormat=P","Fill=—","Direction=H","UseDPDF=Y")</f>
        <v>#NAME?</v>
      </c>
      <c r="AI33" s="2" t="e">
        <f ca="1">_xll.BDH($C$28,"TOTAL_EQUITY_1_YEAR_GROWTH","FY 2015","FY 2015","Currency=INR","Period=FY","BEST_FPERIOD_OVERRIDE=FY","FILING_STATUS=OR","EQY_CONSOLIDATED=Y","Sort=A","Dates=H","DateFormat=P","Fill=—","Direction=H","UseDPDF=Y")</f>
        <v>#NAME?</v>
      </c>
      <c r="AJ33" s="2" t="e">
        <f ca="1">_xll.BDH($C$28,"GROWTH_IN_CAP","FY 2015","FY 2015","Currency=INR","Period=FY","BEST_FPERIOD_OVERRIDE=FY","FILING_STATUS=OR","EQY_CONSOLIDATED=Y","Sort=A","Dates=H","DateFormat=P","Fill=—","Direction=H","UseDPDF=Y")</f>
        <v>#NAME?</v>
      </c>
      <c r="AK33" s="2" t="e">
        <f ca="1">_xll.BDH($C$28,"BVPS_GROWTH","FY 2015","FY 2015","Currency=INR","Period=FY","BEST_FPERIOD_OVERRIDE=FY","FILING_STATUS=OR","EQY_CONSOLIDATED=Y","Sort=A","Dates=H","DateFormat=P","Fill=—","Direction=H","UseDPDF=Y")</f>
        <v>#NAME?</v>
      </c>
      <c r="AL33" s="2" t="e">
        <f ca="1">_xll.BDH($C$28,"CASH_FLOW_GROWTH","FY 2015","FY 2015","Currency=INR","Period=FY","BEST_FPERIOD_OVERRIDE=FY","FILING_STATUS=OR","EQY_CONSOLIDATED=Y","Sort=A","Dates=H","DateFormat=P","Fill=—","Direction=H","UseDPDF=Y")</f>
        <v>#NAME?</v>
      </c>
      <c r="AM33" s="2" t="e">
        <f ca="1">_xll.BDH($C$28,"GEO_GROW_NET_SALES","FY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" s="2" t="e">
        <f ca="1">_xll.BDH($C$28,"GEO_GROW_EBITDA","FY 2015","FY 2015","Currency=INR","Period=FY","BEST_FPERIOD_OVERRIDE=FY","FILING_STATUS=OR","EQY_CONSOLIDATED=Y","FA_ADJUSTED=GAAP","Sort=A","Dates=H","DateFormat=P","Fill=—","Direction=H","UseDPDF=Y")</f>
        <v>#NAME?</v>
      </c>
      <c r="AO33" s="2" t="e">
        <f ca="1">_xll.BDH($C$28,"GEO_GROW_OPER_INC","FY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" s="2" t="e">
        <f ca="1">_xll.BDH($C$28,"NET_INCOME_TO_COMMON_5_YR_GROWTH","FY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" s="2" t="e">
        <f ca="1">_xll.BDH($C$28,"5Y_GEO_GROWTH_DILUTED_EPS","FY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" s="2" t="e">
        <f ca="1">_xll.BDH($C$28,"GEO_GROW_DVD_PER_SH","FY 2015","FY 2015","Currency=INR","Period=FY","BEST_FPERIOD_OVERRIDE=FY","FILING_STATUS=OR","EQY_CONSOLIDATED=Y","Sort=A","Dates=H","DateFormat=P","Fill=—","Direction=H","UseDPDF=Y")</f>
        <v>#NAME?</v>
      </c>
      <c r="AS33" s="2" t="e">
        <f ca="1">_xll.BDH($C$28,"ACCOUNTS_RECEIVABLE_5_YR_GROWTH","FY 2015","FY 2015","Currency=INR","Period=FY","BEST_FPERIOD_OVERRIDE=FY","FILING_STATUS=OR","EQY_CONSOLIDATED=Y","Sort=A","Dates=H","DateFormat=P","Fill=—","Direction=H","UseDPDF=Y")</f>
        <v>#NAME?</v>
      </c>
      <c r="AT33" s="2" t="e">
        <f ca="1">_xll.BDH($C$28,"INVENTORY_5_YEAR_GROWTH","FY 2015","FY 2015","Currency=INR","Period=FY","BEST_FPERIOD_OVERRIDE=FY","FILING_STATUS=OR","EQY_CONSOLIDATED=Y","Sort=A","Dates=H","DateFormat=P","Fill=—","Direction=H","UseDPDF=Y")</f>
        <v>#NAME?</v>
      </c>
      <c r="AU33" s="2" t="e">
        <f ca="1">_xll.BDH($C$28,"NET_FIXED_ASSETS_5_YEAR_GROWTH","FY 2015","FY 2015","Currency=INR","Period=FY","BEST_FPERIOD_OVERRIDE=FY","FILING_STATUS=OR","EQY_CONSOLIDATED=Y","Sort=A","Dates=H","DateFormat=P","Fill=—","Direction=H","UseDPDF=Y")</f>
        <v>#NAME?</v>
      </c>
      <c r="AV33" s="2" t="e">
        <f ca="1">_xll.BDH($C$28,"GEO_GROW_TOT_ASSET","FY 2015","FY 2015","Currency=INR","Period=FY","BEST_FPERIOD_OVERRIDE=FY","FILING_STATUS=OR","EQY_CONSOLIDATED=Y","Sort=A","Dates=H","DateFormat=P","Fill=—","Direction=H","UseDPDF=Y")</f>
        <v>#NAME?</v>
      </c>
      <c r="AW33" s="2" t="e">
        <f ca="1">_xll.BDH($C$28,"MODIFIED_WORKING_CPTL_5YR_GRWTH","FY 2015","FY 2015","Currency=INR","Period=FY","BEST_FPERIOD_OVERRIDE=FY","FILING_STATUS=OR","EQY_CONSOLIDATED=Y","Sort=A","Dates=H","DateFormat=P","Fill=—","Direction=H","UseDPDF=Y")</f>
        <v>#NAME?</v>
      </c>
      <c r="AX33" s="2" t="e">
        <f ca="1">_xll.BDH($C$28,"WORKING_CAPITAL_5_YEAR_GROWTH","FY 2015","FY 2015","Currency=INR","Period=FY","BEST_FPERIOD_OVERRIDE=FY","FILING_STATUS=OR","EQY_CONSOLIDATED=Y","Sort=A","Dates=H","DateFormat=P","Fill=—","Direction=H","UseDPDF=Y")</f>
        <v>#NAME?</v>
      </c>
      <c r="AY33" s="2" t="e">
        <f ca="1">_xll.BDH($C$28,"ACCOUNTS_PAYABLE_5_YEAR_GROWTH","FY 2015","FY 2015","Currency=INR","Period=FY","BEST_FPERIOD_OVERRIDE=FY","FILING_STATUS=OR","EQY_CONSOLIDATED=Y","Sort=A","Dates=H","DateFormat=P","Fill=—","Direction=H","UseDPDF=Y")</f>
        <v>#NAME?</v>
      </c>
      <c r="AZ33" s="2" t="e">
        <f ca="1">_xll.BDH($C$28,"SHORT_TERM_DEBT_5_YEAR_GROWTH","FY 2015","FY 2015","Currency=INR","Period=FY","BEST_FPERIOD_OVERRIDE=FY","FILING_STATUS=OR","EQY_CONSOLIDATED=Y","Sort=A","Dates=H","DateFormat=P","Fill=—","Direction=H","UseDPDF=Y")</f>
        <v>#NAME?</v>
      </c>
      <c r="BA33" s="2" t="e">
        <f ca="1">_xll.BDH($C$28,"TOTAL_DEBT_5_YEAR_GROWTH","FY 2015","FY 2015","Currency=INR","Period=FY","BEST_FPERIOD_OVERRIDE=FY","FILING_STATUS=OR","EQY_CONSOLIDATED=Y","Sort=A","Dates=H","DateFormat=P","Fill=—","Direction=H","UseDPDF=Y")</f>
        <v>#NAME?</v>
      </c>
      <c r="BB33" s="2" t="e">
        <f ca="1">_xll.BDH($C$28,"GEO_GROW_TOT_SHRHLDR_EQY","FY 2015","FY 2015","Currency=INR","Period=FY","BEST_FPERIOD_OVERRIDE=FY","FILING_STATUS=OR","EQY_CONSOLIDATED=Y","Sort=A","Dates=H","DateFormat=P","Fill=—","Direction=H","UseDPDF=Y")</f>
        <v>#NAME?</v>
      </c>
      <c r="BC33" s="2" t="e">
        <f ca="1">_xll.BDH($C$28,"TOTAL_CAPITAL_5_YEAR_GROWTH","FY 2015","FY 2015","Currency=INR","Period=FY","BEST_FPERIOD_OVERRIDE=FY","FILING_STATUS=OR","EQY_CONSOLIDATED=Y","Sort=A","Dates=H","DateFormat=P","Fill=—","Direction=H","UseDPDF=Y")</f>
        <v>#NAME?</v>
      </c>
      <c r="BD33" s="2" t="e">
        <f ca="1">_xll.BDH($C$28,"GEO_GROW_BOOK_VAL","FY 2015","FY 2015","Currency=INR","Period=FY","BEST_FPERIOD_OVERRIDE=FY","FILING_STATUS=OR","EQY_CONSOLIDATED=Y","Sort=A","Dates=H","DateFormat=P","Fill=—","Direction=H","UseDPDF=Y")</f>
        <v>#NAME?</v>
      </c>
      <c r="BE33" s="2" t="e">
        <f ca="1">_xll.BDH($C$28,"GEO_GROW_CASH_OPER_ACT","FY 2015","FY 2015","Currency=INR","Period=FY","BEST_FPERIOD_OVERRIDE=FY","FILING_STATUS=OR","EQY_CONSOLIDATED=Y","Sort=A","Dates=H","DateFormat=P","Fill=—","Direction=H","UseDPDF=Y")</f>
        <v>#NAME?</v>
      </c>
      <c r="BF33" s="2" t="e">
        <f ca="1">_xll.BDH($C$28,"REVENUE_SEQUENTIAL_GROWTH","FY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" s="2" t="e">
        <f ca="1">_xll.BDH($C$28,"EBITDA_SEQUENTIAL_GROWTH","FY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" s="2" t="e">
        <f ca="1">_xll.BDH($C$28,"OPERATING_INCOME_SEQ_GROWTH","FY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" s="2" t="e">
        <f ca="1">_xll.BDH($C$28,"NET_INCOME_TO_COMMON_SEQ_GROWTH","FY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" s="2" t="e">
        <f ca="1">_xll.BDH($C$28,"EPS_DILUTED_SEQUENTIAL_GROWTH","FY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" s="2" t="e">
        <f ca="1">_xll.BDH($C$28,"DPS_SEQUENTIAL_GROWTH","FY 2015","FY 2015","Currency=INR","Period=FY","BEST_FPERIOD_OVERRIDE=FY","FILING_STATUS=OR","EQY_CONSOLIDATED=Y","Sort=A","Dates=H","DateFormat=P","Fill=—","Direction=H","UseDPDF=Y")</f>
        <v>#NAME?</v>
      </c>
      <c r="BL33" s="2" t="e">
        <f ca="1">_xll.BDH($C$28,"ACCOUNTS_RECEIVABLE_SEQ_GROWTH","FY 2015","FY 2015","Currency=INR","Period=FY","BEST_FPERIOD_OVERRIDE=FY","FILING_STATUS=OR","EQY_CONSOLIDATED=Y","Sort=A","Dates=H","DateFormat=P","Fill=—","Direction=H","UseDPDF=Y")</f>
        <v>#NAME?</v>
      </c>
      <c r="BM33" s="2" t="e">
        <f ca="1">_xll.BDH($C$28,"INVENTORY_SEQUENTIAL_GROWTH","FY 2015","FY 2015","Currency=INR","Period=FY","BEST_FPERIOD_OVERRIDE=FY","FILING_STATUS=OR","EQY_CONSOLIDATED=Y","Sort=A","Dates=H","DateFormat=P","Fill=—","Direction=H","UseDPDF=Y")</f>
        <v>#NAME?</v>
      </c>
      <c r="BN33" s="2" t="e">
        <f ca="1">_xll.BDH($C$28,"FIXED_ASSETS_SEQUENTIAL_GROWTH","FY 2015","FY 2015","Currency=INR","Period=FY","BEST_FPERIOD_OVERRIDE=FY","FILING_STATUS=OR","EQY_CONSOLIDATED=Y","Sort=A","Dates=H","DateFormat=P","Fill=—","Direction=H","UseDPDF=Y")</f>
        <v>#NAME?</v>
      </c>
      <c r="BO33" s="2" t="e">
        <f ca="1">_xll.BDH($C$28,"TOTAL_ASSETS_SEQUENTIAL_GROWTH","FY 2015","FY 2015","Currency=INR","Period=FY","BEST_FPERIOD_OVERRIDE=FY","FILING_STATUS=OR","EQY_CONSOLIDATED=Y","Sort=A","Dates=H","DateFormat=P","Fill=—","Direction=H","UseDPDF=Y")</f>
        <v>#NAME?</v>
      </c>
      <c r="BP33" s="2" t="e">
        <f ca="1">_xll.BDH($C$28,"MODIFIED_WORKING_CPTL_SEQ_GRWTH","FY 2015","FY 2015","Currency=INR","Period=FY","BEST_FPERIOD_OVERRIDE=FY","FILING_STATUS=OR","EQY_CONSOLIDATED=Y","Sort=A","Dates=H","DateFormat=P","Fill=—","Direction=H","UseDPDF=Y")</f>
        <v>#NAME?</v>
      </c>
      <c r="BQ33" s="2" t="e">
        <f ca="1">_xll.BDH($C$28,"WORKING_CAPITAL_SEQ_GROWTH","FY 2015","FY 2015","Currency=INR","Period=FY","BEST_FPERIOD_OVERRIDE=FY","FILING_STATUS=OR","EQY_CONSOLIDATED=Y","Sort=A","Dates=H","DateFormat=P","Fill=—","Direction=H","UseDPDF=Y")</f>
        <v>#NAME?</v>
      </c>
      <c r="BR33" s="2" t="e">
        <f ca="1">_xll.BDH($C$28,"ACCOUNTS_PAYABLE_SEQ_GROWTH","FY 2015","FY 2015","Currency=INR","Period=FY","BEST_FPERIOD_OVERRIDE=FY","FILING_STATUS=OR","EQY_CONSOLIDATED=Y","Sort=A","Dates=H","DateFormat=P","Fill=—","Direction=H","UseDPDF=Y")</f>
        <v>#NAME?</v>
      </c>
      <c r="BS33" s="2" t="e">
        <f ca="1">_xll.BDH($C$28,"ST_DEBT_SEQUENTIAL_GROWTH","FY 2015","FY 2015","Currency=INR","Period=FY","BEST_FPERIOD_OVERRIDE=FY","FILING_STATUS=OR","EQY_CONSOLIDATED=Y","Sort=A","Dates=H","DateFormat=P","Fill=—","Direction=H","UseDPDF=Y")</f>
        <v>#NAME?</v>
      </c>
      <c r="BT33" s="2" t="e">
        <f ca="1">_xll.BDH($C$28,"TOTAL_DEBT_SEQUENTIAL_GROWTH","FY 2015","FY 2015","Currency=INR","Period=FY","BEST_FPERIOD_OVERRIDE=FY","FILING_STATUS=OR","EQY_CONSOLIDATED=Y","Sort=A","Dates=H","DateFormat=P","Fill=—","Direction=H","UseDPDF=Y")</f>
        <v>#NAME?</v>
      </c>
      <c r="BU33" s="2" t="e">
        <f ca="1">_xll.BDH($C$28,"TOTAL_EQUITY_SEQUENTIAL_GROWTH","FY 2015","FY 2015","Currency=INR","Period=FY","BEST_FPERIOD_OVERRIDE=FY","FILING_STATUS=OR","EQY_CONSOLIDATED=Y","Sort=A","Dates=H","DateFormat=P","Fill=—","Direction=H","UseDPDF=Y")</f>
        <v>#NAME?</v>
      </c>
      <c r="BV33" s="2" t="e">
        <f ca="1">_xll.BDH($C$28,"TOTAL_CAPITAL_SEQUENTIAL_GROWTH","FY 2015","FY 2015","Currency=INR","Period=FY","BEST_FPERIOD_OVERRIDE=FY","FILING_STATUS=OR","EQY_CONSOLIDATED=Y","Sort=A","Dates=H","DateFormat=P","Fill=—","Direction=H","UseDPDF=Y")</f>
        <v>#NAME?</v>
      </c>
      <c r="BW33" s="2" t="e">
        <f ca="1">_xll.BDH($C$28,"BPS_SEQUENTIAL_GROWTH","FY 2015","FY 2015","Currency=INR","Period=FY","BEST_FPERIOD_OVERRIDE=FY","FILING_STATUS=OR","EQY_CONSOLIDATED=Y","Sort=A","Dates=H","DateFormat=P","Fill=—","Direction=H","UseDPDF=Y")</f>
        <v>#NAME?</v>
      </c>
      <c r="BX33" s="2" t="e">
        <f ca="1">_xll.BDH($C$28,"CFO_SEQUENTIAL_GROWTH","FY 2015","FY 2015","Currency=INR","Period=FY","BEST_FPERIOD_OVERRIDE=FY","FILING_STATUS=OR","EQY_CONSOLIDATED=Y","Sort=A","Dates=H","DateFormat=P","Fill=—","Direction=H","UseDPDF=Y")</f>
        <v>#NAME?</v>
      </c>
      <c r="BY33" s="3" t="e">
        <f ca="1">_xll.BDH($C$28,"SHORT_AND_LONG_TERM_DEBT","FY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" s="3" t="e">
        <f ca="1">_xll.BDH($C$28,"BS_ST_BORROW","FY 2015","FY 2015","Currency=INR","Period=FY","BEST_FPERIOD_OVERRIDE=FY","FILING_STATUS=OR","EQY_CONSOLIDATED=Y","SCALING_FORMAT=MLN","Sort=A","Dates=H","DateFormat=P","Fill=—","Direction=H","UseDPDF=Y")</f>
        <v>#NAME?</v>
      </c>
      <c r="CA33" s="3" t="e">
        <f ca="1">_xll.BDH($C$28,"BS_LT_BORROW","FY 2015","FY 2015","Currency=INR","Period=FY","BEST_FPERIOD_OVERRIDE=FY","FILING_STATUS=OR","EQY_CONSOLIDATED=Y","SCALING_FORMAT=MLN","Sort=A","Dates=H","DateFormat=P","Fill=—","Direction=H","UseDPDF=Y")</f>
        <v>#NAME?</v>
      </c>
      <c r="CB33" s="2" t="e">
        <f ca="1">_xll.BDH($C$28,"TOT_DEBT_TO_EBITDA","FY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" s="2" t="e">
        <f ca="1">_xll.BDH($C$28,"NET_DEBT_TO_EBITDA","FY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" s="2" t="e">
        <f ca="1">_xll.BDH($C$28,"TOTAL_DEBT_TO_EBIT","FY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" s="2" t="e">
        <f ca="1">_xll.BDH($C$28,"NET_DEBT_TO_EBIT","FY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" s="2" t="e">
        <f ca="1">_xll.BDH($C$28,"EBITDA_TO_INTEREST_EXPN","FY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" s="2" t="e">
        <f ca="1">_xll.BDH($C$28,"COM_EQY_TO_TOT_ASSET","FY 2015","FY 2015","Currency=INR","Period=FY","BEST_FPERIOD_OVERRIDE=FY","FILING_STATUS=OR","EQY_CONSOLIDATED=Y","Sort=A","Dates=H","DateFormat=P","Fill=—","Direction=H","UseDPDF=Y")</f>
        <v>#NAME?</v>
      </c>
      <c r="CH33" s="2" t="e">
        <f ca="1">_xll.BDH($C$28,"LT_DEBT_TO_TOT_EQY","FY 2015","FY 2015","Currency=INR","Period=FY","BEST_FPERIOD_OVERRIDE=FY","FILING_STATUS=OR","EQY_CONSOLIDATED=Y","Sort=A","Dates=H","DateFormat=P","Fill=—","Direction=H","UseDPDF=Y")</f>
        <v>#NAME?</v>
      </c>
      <c r="CI33" s="2" t="e">
        <f ca="1">_xll.BDH($C$28,"LT_DEBT_TO_TOT_CAP","FY 2015","FY 2015","Currency=INR","Period=FY","BEST_FPERIOD_OVERRIDE=FY","FILING_STATUS=OR","EQY_CONSOLIDATED=Y","Sort=A","Dates=H","DateFormat=P","Fill=—","Direction=H","UseDPDF=Y")</f>
        <v>#NAME?</v>
      </c>
      <c r="CJ33" s="2" t="e">
        <f ca="1">_xll.BDH($C$28,"LT_DEBT_TO_TOT_ASSET","FY 2015","FY 2015","Currency=INR","Period=FY","BEST_FPERIOD_OVERRIDE=FY","FILING_STATUS=OR","EQY_CONSOLIDATED=Y","Sort=A","Dates=H","DateFormat=P","Fill=—","Direction=H","UseDPDF=Y")</f>
        <v>#NAME?</v>
      </c>
      <c r="CK33" s="2" t="e">
        <f ca="1">_xll.BDH($C$28,"TOT_DEBT_TO_TOT_EQY","FY 2015","FY 2015","Currency=INR","Period=FY","BEST_FPERIOD_OVERRIDE=FY","FILING_STATUS=OR","EQY_CONSOLIDATED=Y","Sort=A","Dates=H","DateFormat=P","Fill=—","Direction=H","UseDPDF=Y")</f>
        <v>#NAME?</v>
      </c>
      <c r="CL33" s="2" t="e">
        <f ca="1">_xll.BDH($C$28,"TOT_DEBT_TO_TOT_CAP","FY 2015","FY 2015","Currency=INR","Period=FY","BEST_FPERIOD_OVERRIDE=FY","FILING_STATUS=OR","EQY_CONSOLIDATED=Y","Sort=A","Dates=H","DateFormat=P","Fill=—","Direction=H","UseDPDF=Y")</f>
        <v>#NAME?</v>
      </c>
      <c r="CM33" s="2" t="e">
        <f ca="1">_xll.BDH($C$28,"TOT_DEBT_TO_TOT_ASSET","FY 2015","FY 2015","Currency=INR","Period=FY","BEST_FPERIOD_OVERRIDE=FY","FILING_STATUS=OR","EQY_CONSOLIDATED=Y","Sort=A","Dates=H","DateFormat=P","Fill=—","Direction=H","UseDPDF=Y")</f>
        <v>#NAME?</v>
      </c>
      <c r="CN33" s="2" t="e">
        <f ca="1">_xll.BDH($C$28,"NET_DEBT_TO_SHRHLDR_EQTY","FY 2015","FY 2015","Currency=INR","Period=FY","BEST_FPERIOD_OVERRIDE=FY","FILING_STATUS=OR","EQY_CONSOLIDATED=Y","Sort=A","Dates=H","DateFormat=P","Fill=—","Direction=H","UseDPDF=Y")</f>
        <v>#NAME?</v>
      </c>
      <c r="CO33" s="2" t="e">
        <f ca="1">_xll.BDH($C$28,"NET_DEBT_%_CAPITAL","FY 2015","FY 2015","Currency=INR","Period=FY","BEST_FPERIOD_OVERRIDE=FY","FILING_STATUS=OR","EQY_CONSOLIDATED=Y","Sort=A","Dates=H","DateFormat=P","Fill=—","Direction=H","UseDPDF=Y")</f>
        <v>#NAME?</v>
      </c>
      <c r="CP33" s="3" t="e">
        <f ca="1">_xll.BDH($C$28,"EBITDA","FY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" s="3" t="e">
        <f ca="1">_xll.BDH($C$28,"EBITDA_AFTER_CAPEX","FY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" s="3" t="e">
        <f ca="1">_xll.BDH($C$28,"IS_OPER_INC","FY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" s="2" t="e">
        <f ca="1">_xll.BDH($C$28,"CASH_RATIO","FY 2015","FY 2015","Currency=INR","Period=FY","BEST_FPERIOD_OVERRIDE=FY","FILING_STATUS=OR","EQY_CONSOLIDATED=Y","Sort=A","Dates=H","DateFormat=P","Fill=—","Direction=H","UseDPDF=Y")</f>
        <v>#NAME?</v>
      </c>
      <c r="CT33" s="2" t="e">
        <f ca="1">_xll.BDH($C$28,"CUR_RATIO","FY 2015","FY 2015","Currency=INR","Period=FY","BEST_FPERIOD_OVERRIDE=FY","FILING_STATUS=OR","EQY_CONSOLIDATED=Y","Sort=A","Dates=H","DateFormat=P","Fill=—","Direction=H","UseDPDF=Y")</f>
        <v>#NAME?</v>
      </c>
      <c r="CU33" s="2" t="e">
        <f ca="1">_xll.BDH($C$28,"QUICK_RATIO","FY 2015","FY 2015","Currency=INR","Period=FY","BEST_FPERIOD_OVERRIDE=FY","FILING_STATUS=OR","EQY_CONSOLIDATED=Y","Sort=A","Dates=H","DateFormat=P","Fill=—","Direction=H","UseDPDF=Y")</f>
        <v>#NAME?</v>
      </c>
      <c r="CV33" s="2" t="e">
        <f ca="1">_xll.BDH($C$28,"ALTMAN_Z_SCORE","FY 2015","FY 2015","Currency=INR","Period=FY","BEST_FPERIOD_OVERRIDE=FY","FILING_STATUS=OR","EQY_CONSOLIDATED=Y","Sort=A","Dates=H","DateFormat=P","Fill=—","Direction=H","UseDPDF=Y")</f>
        <v>#NAME?</v>
      </c>
      <c r="CW33" s="4" t="e">
        <f ca="1">_xll.BDH($C$28,"ACCT_RCV_TURN","FY 2015","FY 2015","Currency=INR","Period=FY","BEST_FPERIOD_OVERRIDE=FY","FILING_STATUS=OR","EQY_CONSOLIDATED=Y","FA_ADJUSTED=GAAP","Sort=A","Dates=H","DateFormat=P","Fill=—","Direction=H","UseDPDF=Y")</f>
        <v>#NAME?</v>
      </c>
      <c r="CX33" s="2" t="e">
        <f ca="1">_xll.BDH($C$28,"ACCT_RCV_DAYS","FY 2015","FY 2015","Currency=INR","Period=FY","BEST_FPERIOD_OVERRIDE=FY","FILING_STATUS=OR","EQY_CONSOLIDATED=Y","FA_ADJUSTED=GAAP","Sort=A","Dates=H","DateFormat=P","Fill=—","Direction=H","UseDPDF=Y")</f>
        <v>#NAME?</v>
      </c>
      <c r="CY33" s="4" t="e">
        <f ca="1">_xll.BDH($C$28,"INVENT_TURN","FY 2015","FY 2015","Currency=INR","Period=FY","BEST_FPERIOD_OVERRIDE=FY","FILING_STATUS=OR","EQY_CONSOLIDATED=Y","FA_ADJUSTED=GAAP","Sort=A","Dates=H","DateFormat=P","Fill=—","Direction=H","UseDPDF=Y")</f>
        <v>#NAME?</v>
      </c>
      <c r="CZ33" s="2" t="e">
        <f ca="1">_xll.BDH($C$28,"INVENT_DAYS","FY 2015","FY 2015","Currency=INR","Period=FY","BEST_FPERIOD_OVERRIDE=FY","FILING_STATUS=OR","EQY_CONSOLIDATED=Y","FA_ADJUSTED=GAAP","Sort=A","Dates=H","DateFormat=P","Fill=—","Direction=H","UseDPDF=Y")</f>
        <v>#NAME?</v>
      </c>
      <c r="DA33" s="4" t="e">
        <f ca="1">_xll.BDH($C$28,"ACCOUNTS_PAYABLE_TURNOVER","FY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" s="2" t="e">
        <f ca="1">_xll.BDH($C$28,"ACCOUNTS_PAYABLE_TURNOVER_DAYS","FY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" s="4" t="e">
        <f ca="1">_xll.BDH($C$28,"CASH_CONVERSION_CYCLE","FY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" s="4" t="e">
        <f ca="1">_xll.BDH($C$28,"INV_TO_CASH_DAYS","FY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" s="5" t="e">
        <f ca="1">_xll.BDH($C$28,"BS_INVENTORIES","FY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" s="3" t="e">
        <f ca="1">_xll.BDH($C$28,"INVTRY_RAW_MATERIALS","FY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" s="3" t="e">
        <f ca="1">_xll.BDH($C$28,"INVTRY_IN_PROGRESS","FY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" s="3" t="e">
        <f ca="1">_xll.BDH($C$28,"INVTRY_FINISHED_GOODS","FY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" s="3" t="e">
        <f ca="1">_xll.BDH($C$28,"BS_OTHER_INV","FY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4" spans="1:113" x14ac:dyDescent="0.3">
      <c r="A34" s="6"/>
      <c r="B34" s="6"/>
      <c r="C34" s="6"/>
      <c r="D34" s="6"/>
      <c r="E34" t="s">
        <v>78</v>
      </c>
      <c r="F34" t="e">
        <f ca="1">_xll.BDH($C$28,"RETURN_COM_EQY","FQ1 2015","FQ1 2015","Currency=INR","Period=FQ","BEST_FPERIOD_OVERRIDE=FQ","FILING_STATUS=OR","EQY_CONSOLIDATED=Y","FA_ADJUSTED=GAAP","Sort=A","Dates=H","DateFormat=P","Fill=—","Direction=H","UseDPDF=Y")</f>
        <v>#NAME?</v>
      </c>
      <c r="G34" t="e">
        <f ca="1">_xll.BDH($C$28,"RETURN_ON_ASSET","FQ1 2015","FQ1 2015","Currency=INR","Period=FQ","BEST_FPERIOD_OVERRIDE=FQ","FILING_STATUS=OR","EQY_CONSOLIDATED=Y","FA_ADJUSTED=GAAP","Sort=A","Dates=H","DateFormat=P","Fill=—","Direction=H","UseDPDF=Y")</f>
        <v>#NAME?</v>
      </c>
      <c r="H34" t="e">
        <f ca="1">_xll.BDH($C$28,"RETURN_ON_CAP","FQ1 2015","FQ1 2015","Currency=INR","Period=FQ","BEST_FPERIOD_OVERRIDE=FQ","FILING_STATUS=OR","EQY_CONSOLIDATED=Y","FA_ADJUSTED=GAAP","Sort=A","Dates=H","DateFormat=P","Fill=—","Direction=H","UseDPDF=Y")</f>
        <v>#NAME?</v>
      </c>
      <c r="I34" t="e">
        <f ca="1">_xll.BDH($C$28,"RETURN_ON_INV_CAPITAL","FQ1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4" t="e">
        <f ca="1">_xll.BDH($C$28,"EBITDA_TO_REVENUE","FQ1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4" t="e">
        <f ca="1">_xll.BDH($C$28,"OPER_MARGIN","FQ1 2015","FQ1 2015","Currency=INR","Period=FQ","BEST_FPERIOD_OVERRIDE=FQ","FILING_STATUS=OR","EQY_CONSOLIDATED=Y","FA_ADJUSTED=GAAP","Sort=A","Dates=H","DateFormat=P","Fill=—","Direction=H","UseDPDF=Y")</f>
        <v>#NAME?</v>
      </c>
      <c r="L34" t="e">
        <f ca="1">_xll.BDH($C$28,"INCREMENTAL_OPERATING_MARGIN","FQ1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4" t="e">
        <f ca="1">_xll.BDH($C$28,"PRETAX_INC_TO_NET_SALES","FQ1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4" t="e">
        <f ca="1">_xll.BDH($C$28,"INC_BEF_XO_ITEMS_TO_NET_SALES","FQ1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4" t="e">
        <f ca="1">_xll.BDH($C$28,"PROF_MARGIN","FQ1 2015","FQ1 2015","Currency=INR","Period=FQ","BEST_FPERIOD_OVERRIDE=FQ","FILING_STATUS=OR","EQY_CONSOLIDATED=Y","FA_ADJUSTED=GAAP","Sort=A","Dates=H","DateFormat=P","Fill=—","Direction=H","UseDPDF=Y")</f>
        <v>#NAME?</v>
      </c>
      <c r="P34" t="e">
        <f ca="1">_xll.BDH($C$28,"NET_INCOME_TO_COMMON_MARGIN","FQ1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4" t="e">
        <f ca="1">_xll.BDH($C$28,"EFF_TAX_RATE","FQ1 2015","FQ1 2015","Currency=INR","Period=FQ","BEST_FPERIOD_OVERRIDE=FQ","FILING_STATUS=OR","EQY_CONSOLIDATED=Y","FA_ADJUSTED=GAAP","Sort=A","Dates=H","DateFormat=P","Fill=—","Direction=H","UseDPDF=Y")</f>
        <v>#NAME?</v>
      </c>
      <c r="R34" t="e">
        <f ca="1">_xll.BDH($C$28,"DVD_PAYOUT_RATIO","FQ1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4" t="e">
        <f ca="1">_xll.BDH($C$28,"SUSTAIN_GROWTH_RT","FQ1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4" s="2" t="e">
        <f ca="1">_xll.BDH($C$28,"SALES_GROWTH","FQ1 2015","FQ1 2015","Currency=INR","Period=FQ","BEST_FPERIOD_OVERRIDE=FQ","FILING_STATUS=OR","EQY_CONSOLIDATED=Y","FA_ADJUSTED=GAAP","Sort=A","Dates=H","DateFormat=P","Fill=—","Direction=H","UseDPDF=Y")</f>
        <v>#NAME?</v>
      </c>
      <c r="U34" s="2" t="e">
        <f ca="1">_xll.BDH($C$28,"EBITDA_GROWTH","FQ1 2015","FQ1 2015","Currency=INR","Period=FQ","BEST_FPERIOD_OVERRIDE=FQ","FILING_STATUS=OR","EQY_CONSOLIDATED=Y","FA_ADJUSTED=GAAP","Sort=A","Dates=H","DateFormat=P","Fill=—","Direction=H","UseDPDF=Y")</f>
        <v>#NAME?</v>
      </c>
      <c r="V34" s="2" t="e">
        <f ca="1">_xll.BDH($C$28,"OPER_INC_GROWTH","FQ1 2015","FQ1 2015","Currency=INR","Period=FQ","BEST_FPERIOD_OVERRIDE=FQ","FILING_STATUS=OR","EQY_CONSOLIDATED=Y","FA_ADJUSTED=GAAP","Sort=A","Dates=H","DateFormat=P","Fill=—","Direction=H","UseDPDF=Y")</f>
        <v>#NAME?</v>
      </c>
      <c r="W34" s="2" t="e">
        <f ca="1">_xll.BDH($C$28,"EARN_FOR_COM_GROWTH","FQ1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4" s="2" t="e">
        <f ca="1">_xll.BDH($C$28,"DILUTED_EPS_AFT_XO_ITEMS_GROWTH","FQ1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4" s="2" t="e">
        <f ca="1">_xll.BDH($C$28,"DIVIDEND_PER_SHARE_1_YEAR_GROWTH","FQ1 2015","FQ1 2015","Currency=INR","Period=FQ","BEST_FPERIOD_OVERRIDE=FQ","FILING_STATUS=OR","EQY_CONSOLIDATED=Y","Sort=A","Dates=H","DateFormat=P","Fill=—","Direction=H","UseDPDF=Y")</f>
        <v>#NAME?</v>
      </c>
      <c r="Z34" s="2" t="e">
        <f ca="1">_xll.BDH($C$28,"ACCOUNTS_RECEIVABLE_GROWTH","FQ1 2015","FQ1 2015","Currency=INR","Period=FQ","BEST_FPERIOD_OVERRIDE=FQ","FILING_STATUS=OR","EQY_CONSOLIDATED=Y","Sort=A","Dates=H","DateFormat=P","Fill=—","Direction=H","UseDPDF=Y")</f>
        <v>#NAME?</v>
      </c>
      <c r="AA34" s="2" t="e">
        <f ca="1">_xll.BDH($C$28,"INVENTORY_GROWTH","FQ1 2015","FQ1 2015","Currency=INR","Period=FQ","BEST_FPERIOD_OVERRIDE=FQ","FILING_STATUS=OR","EQY_CONSOLIDATED=Y","Sort=A","Dates=H","DateFormat=P","Fill=—","Direction=H","UseDPDF=Y")</f>
        <v>#NAME?</v>
      </c>
      <c r="AB34" s="2" t="e">
        <f ca="1">_xll.BDH($C$28,"NET_FIXED_ASSETS_1_YEAR_GROWTH","FQ1 2015","FQ1 2015","Currency=INR","Period=FQ","BEST_FPERIOD_OVERRIDE=FQ","FILING_STATUS=OR","EQY_CONSOLIDATED=Y","Sort=A","Dates=H","DateFormat=P","Fill=—","Direction=H","UseDPDF=Y")</f>
        <v>#NAME?</v>
      </c>
      <c r="AC34" s="2" t="e">
        <f ca="1">_xll.BDH($C$28,"ASSET_GROWTH","FQ1 2015","FQ1 2015","Currency=INR","Period=FQ","BEST_FPERIOD_OVERRIDE=FQ","FILING_STATUS=OR","EQY_CONSOLIDATED=Y","Sort=A","Dates=H","DateFormat=P","Fill=—","Direction=H","UseDPDF=Y")</f>
        <v>#NAME?</v>
      </c>
      <c r="AD34" s="2" t="e">
        <f ca="1">_xll.BDH($C$28,"MODIFIED_WORK_CAP_GROWTH","FQ1 2015","FQ1 2015","Currency=INR","Period=FQ","BEST_FPERIOD_OVERRIDE=FQ","FILING_STATUS=OR","EQY_CONSOLIDATED=Y","Sort=A","Dates=H","DateFormat=P","Fill=—","Direction=H","UseDPDF=Y")</f>
        <v>#NAME?</v>
      </c>
      <c r="AE34" s="2" t="e">
        <f ca="1">_xll.BDH($C$28,"WORK_CAP_GROWTH","FQ1 2015","FQ1 2015","Currency=INR","Period=FQ","BEST_FPERIOD_OVERRIDE=FQ","FILING_STATUS=OR","EQY_CONSOLIDATED=Y","Sort=A","Dates=H","DateFormat=P","Fill=—","Direction=H","UseDPDF=Y")</f>
        <v>#NAME?</v>
      </c>
      <c r="AF34" s="2" t="e">
        <f ca="1">_xll.BDH($C$28,"ACCOUNTS_PAYABLE_GROWTH_1YR","FQ1 2015","FQ1 2015","Currency=INR","Period=FQ","BEST_FPERIOD_OVERRIDE=FQ","FILING_STATUS=OR","EQY_CONSOLIDATED=Y","Sort=A","Dates=H","DateFormat=P","Fill=—","Direction=H","UseDPDF=Y")</f>
        <v>#NAME?</v>
      </c>
      <c r="AG34" s="2" t="e">
        <f ca="1">_xll.BDH($C$28,"SHORT_TERM_DEBT_1_YEAR_GROWTH","FQ1 2015","FQ1 2015","Currency=INR","Period=FQ","BEST_FPERIOD_OVERRIDE=FQ","FILING_STATUS=OR","EQY_CONSOLIDATED=Y","Sort=A","Dates=H","DateFormat=P","Fill=—","Direction=H","UseDPDF=Y")</f>
        <v>#NAME?</v>
      </c>
      <c r="AH34" s="2" t="e">
        <f ca="1">_xll.BDH($C$28,"TOTAL_DEBT_1_YEAR_GROWTH","FQ1 2015","FQ1 2015","Currency=INR","Period=FQ","BEST_FPERIOD_OVERRIDE=FQ","FILING_STATUS=OR","EQY_CONSOLIDATED=Y","Sort=A","Dates=H","DateFormat=P","Fill=—","Direction=H","UseDPDF=Y")</f>
        <v>#NAME?</v>
      </c>
      <c r="AI34" s="2" t="e">
        <f ca="1">_xll.BDH($C$28,"TOTAL_EQUITY_1_YEAR_GROWTH","FQ1 2015","FQ1 2015","Currency=INR","Period=FQ","BEST_FPERIOD_OVERRIDE=FQ","FILING_STATUS=OR","EQY_CONSOLIDATED=Y","Sort=A","Dates=H","DateFormat=P","Fill=—","Direction=H","UseDPDF=Y")</f>
        <v>#NAME?</v>
      </c>
      <c r="AJ34" s="2" t="e">
        <f ca="1">_xll.BDH($C$28,"GROWTH_IN_CAP","FQ1 2015","FQ1 2015","Currency=INR","Period=FQ","BEST_FPERIOD_OVERRIDE=FQ","FILING_STATUS=OR","EQY_CONSOLIDATED=Y","Sort=A","Dates=H","DateFormat=P","Fill=—","Direction=H","UseDPDF=Y")</f>
        <v>#NAME?</v>
      </c>
      <c r="AK34" s="2" t="e">
        <f ca="1">_xll.BDH($C$28,"BVPS_GROWTH","FQ1 2015","FQ1 2015","Currency=INR","Period=FQ","BEST_FPERIOD_OVERRIDE=FQ","FILING_STATUS=OR","EQY_CONSOLIDATED=Y","Sort=A","Dates=H","DateFormat=P","Fill=—","Direction=H","UseDPDF=Y")</f>
        <v>#NAME?</v>
      </c>
      <c r="AL34" s="2" t="e">
        <f ca="1">_xll.BDH($C$28,"CASH_FLOW_GROWTH","FQ1 2015","FQ1 2015","Currency=INR","Period=FQ","BEST_FPERIOD_OVERRIDE=FQ","FILING_STATUS=OR","EQY_CONSOLIDATED=Y","Sort=A","Dates=H","DateFormat=P","Fill=—","Direction=H","UseDPDF=Y")</f>
        <v>#NAME?</v>
      </c>
      <c r="AM34" s="2" t="e">
        <f ca="1">_xll.BDH($C$28,"GEO_GROW_NET_SALES","FQ1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4" s="2" t="e">
        <f ca="1">_xll.BDH($C$28,"GEO_GROW_EBITDA","FQ1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4" s="2" t="e">
        <f ca="1">_xll.BDH($C$28,"GEO_GROW_OPER_INC","FQ1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4" s="2" t="e">
        <f ca="1">_xll.BDH($C$28,"NET_INCOME_TO_COMMON_5_YR_GROWTH","FQ1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4" s="2" t="e">
        <f ca="1">_xll.BDH($C$28,"5Y_GEO_GROWTH_DILUTED_EPS","FQ1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4" s="2" t="e">
        <f ca="1">_xll.BDH($C$28,"GEO_GROW_DVD_PER_SH","FQ1 2015","FQ1 2015","Currency=INR","Period=FQ","BEST_FPERIOD_OVERRIDE=FQ","FILING_STATUS=OR","EQY_CONSOLIDATED=Y","Sort=A","Dates=H","DateFormat=P","Fill=—","Direction=H","UseDPDF=Y")</f>
        <v>#NAME?</v>
      </c>
      <c r="AS34" s="2" t="e">
        <f ca="1">_xll.BDH($C$28,"ACCOUNTS_RECEIVABLE_5_YR_GROWTH","FQ1 2015","FQ1 2015","Currency=INR","Period=FQ","BEST_FPERIOD_OVERRIDE=FQ","FILING_STATUS=OR","EQY_CONSOLIDATED=Y","Sort=A","Dates=H","DateFormat=P","Fill=—","Direction=H","UseDPDF=Y")</f>
        <v>#NAME?</v>
      </c>
      <c r="AT34" s="2" t="e">
        <f ca="1">_xll.BDH($C$28,"INVENTORY_5_YEAR_GROWTH","FQ1 2015","FQ1 2015","Currency=INR","Period=FQ","BEST_FPERIOD_OVERRIDE=FQ","FILING_STATUS=OR","EQY_CONSOLIDATED=Y","Sort=A","Dates=H","DateFormat=P","Fill=—","Direction=H","UseDPDF=Y")</f>
        <v>#NAME?</v>
      </c>
      <c r="AU34" s="2" t="e">
        <f ca="1">_xll.BDH($C$28,"NET_FIXED_ASSETS_5_YEAR_GROWTH","FQ1 2015","FQ1 2015","Currency=INR","Period=FQ","BEST_FPERIOD_OVERRIDE=FQ","FILING_STATUS=OR","EQY_CONSOLIDATED=Y","Sort=A","Dates=H","DateFormat=P","Fill=—","Direction=H","UseDPDF=Y")</f>
        <v>#NAME?</v>
      </c>
      <c r="AV34" s="2" t="e">
        <f ca="1">_xll.BDH($C$28,"GEO_GROW_TOT_ASSET","FQ1 2015","FQ1 2015","Currency=INR","Period=FQ","BEST_FPERIOD_OVERRIDE=FQ","FILING_STATUS=OR","EQY_CONSOLIDATED=Y","Sort=A","Dates=H","DateFormat=P","Fill=—","Direction=H","UseDPDF=Y")</f>
        <v>#NAME?</v>
      </c>
      <c r="AW34" s="2" t="e">
        <f ca="1">_xll.BDH($C$28,"MODIFIED_WORKING_CPTL_5YR_GRWTH","FQ1 2015","FQ1 2015","Currency=INR","Period=FQ","BEST_FPERIOD_OVERRIDE=FQ","FILING_STATUS=OR","EQY_CONSOLIDATED=Y","Sort=A","Dates=H","DateFormat=P","Fill=—","Direction=H","UseDPDF=Y")</f>
        <v>#NAME?</v>
      </c>
      <c r="AX34" s="2" t="e">
        <f ca="1">_xll.BDH($C$28,"WORKING_CAPITAL_5_YEAR_GROWTH","FQ1 2015","FQ1 2015","Currency=INR","Period=FQ","BEST_FPERIOD_OVERRIDE=FQ","FILING_STATUS=OR","EQY_CONSOLIDATED=Y","Sort=A","Dates=H","DateFormat=P","Fill=—","Direction=H","UseDPDF=Y")</f>
        <v>#NAME?</v>
      </c>
      <c r="AY34" s="2" t="e">
        <f ca="1">_xll.BDH($C$28,"ACCOUNTS_PAYABLE_5_YEAR_GROWTH","FQ1 2015","FQ1 2015","Currency=INR","Period=FQ","BEST_FPERIOD_OVERRIDE=FQ","FILING_STATUS=OR","EQY_CONSOLIDATED=Y","Sort=A","Dates=H","DateFormat=P","Fill=—","Direction=H","UseDPDF=Y")</f>
        <v>#NAME?</v>
      </c>
      <c r="AZ34" s="2" t="e">
        <f ca="1">_xll.BDH($C$28,"SHORT_TERM_DEBT_5_YEAR_GROWTH","FQ1 2015","FQ1 2015","Currency=INR","Period=FQ","BEST_FPERIOD_OVERRIDE=FQ","FILING_STATUS=OR","EQY_CONSOLIDATED=Y","Sort=A","Dates=H","DateFormat=P","Fill=—","Direction=H","UseDPDF=Y")</f>
        <v>#NAME?</v>
      </c>
      <c r="BA34" s="2" t="e">
        <f ca="1">_xll.BDH($C$28,"TOTAL_DEBT_5_YEAR_GROWTH","FQ1 2015","FQ1 2015","Currency=INR","Period=FQ","BEST_FPERIOD_OVERRIDE=FQ","FILING_STATUS=OR","EQY_CONSOLIDATED=Y","Sort=A","Dates=H","DateFormat=P","Fill=—","Direction=H","UseDPDF=Y")</f>
        <v>#NAME?</v>
      </c>
      <c r="BB34" s="2" t="e">
        <f ca="1">_xll.BDH($C$28,"GEO_GROW_TOT_SHRHLDR_EQY","FQ1 2015","FQ1 2015","Currency=INR","Period=FQ","BEST_FPERIOD_OVERRIDE=FQ","FILING_STATUS=OR","EQY_CONSOLIDATED=Y","Sort=A","Dates=H","DateFormat=P","Fill=—","Direction=H","UseDPDF=Y")</f>
        <v>#NAME?</v>
      </c>
      <c r="BC34" s="2" t="e">
        <f ca="1">_xll.BDH($C$28,"TOTAL_CAPITAL_5_YEAR_GROWTH","FQ1 2015","FQ1 2015","Currency=INR","Period=FQ","BEST_FPERIOD_OVERRIDE=FQ","FILING_STATUS=OR","EQY_CONSOLIDATED=Y","Sort=A","Dates=H","DateFormat=P","Fill=—","Direction=H","UseDPDF=Y")</f>
        <v>#NAME?</v>
      </c>
      <c r="BD34" s="2" t="e">
        <f ca="1">_xll.BDH($C$28,"GEO_GROW_BOOK_VAL","FQ1 2015","FQ1 2015","Currency=INR","Period=FQ","BEST_FPERIOD_OVERRIDE=FQ","FILING_STATUS=OR","EQY_CONSOLIDATED=Y","Sort=A","Dates=H","DateFormat=P","Fill=—","Direction=H","UseDPDF=Y")</f>
        <v>#NAME?</v>
      </c>
      <c r="BE34" s="2" t="e">
        <f ca="1">_xll.BDH($C$28,"GEO_GROW_CASH_OPER_ACT","FQ1 2015","FQ1 2015","Currency=INR","Period=FQ","BEST_FPERIOD_OVERRIDE=FQ","FILING_STATUS=OR","EQY_CONSOLIDATED=Y","Sort=A","Dates=H","DateFormat=P","Fill=—","Direction=H","UseDPDF=Y")</f>
        <v>#NAME?</v>
      </c>
      <c r="BF34" s="2" t="e">
        <f ca="1">_xll.BDH($C$28,"REVENUE_SEQUENTIAL_GROWTH","FQ1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4" s="2" t="e">
        <f ca="1">_xll.BDH($C$28,"EBITDA_SEQUENTIAL_GROWTH","FQ1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4" s="2" t="e">
        <f ca="1">_xll.BDH($C$28,"OPERATING_INCOME_SEQ_GROWTH","FQ1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4" s="2" t="e">
        <f ca="1">_xll.BDH($C$28,"NET_INCOME_TO_COMMON_SEQ_GROWTH","FQ1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4" s="2" t="e">
        <f ca="1">_xll.BDH($C$28,"EPS_DILUTED_SEQUENTIAL_GROWTH","FQ1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4" s="2" t="e">
        <f ca="1">_xll.BDH($C$28,"DPS_SEQUENTIAL_GROWTH","FQ1 2015","FQ1 2015","Currency=INR","Period=FQ","BEST_FPERIOD_OVERRIDE=FQ","FILING_STATUS=OR","EQY_CONSOLIDATED=Y","Sort=A","Dates=H","DateFormat=P","Fill=—","Direction=H","UseDPDF=Y")</f>
        <v>#NAME?</v>
      </c>
      <c r="BL34" s="2" t="e">
        <f ca="1">_xll.BDH($C$28,"ACCOUNTS_RECEIVABLE_SEQ_GROWTH","FQ1 2015","FQ1 2015","Currency=INR","Period=FQ","BEST_FPERIOD_OVERRIDE=FQ","FILING_STATUS=OR","EQY_CONSOLIDATED=Y","Sort=A","Dates=H","DateFormat=P","Fill=—","Direction=H","UseDPDF=Y")</f>
        <v>#NAME?</v>
      </c>
      <c r="BM34" s="2" t="e">
        <f ca="1">_xll.BDH($C$28,"INVENTORY_SEQUENTIAL_GROWTH","FQ1 2015","FQ1 2015","Currency=INR","Period=FQ","BEST_FPERIOD_OVERRIDE=FQ","FILING_STATUS=OR","EQY_CONSOLIDATED=Y","Sort=A","Dates=H","DateFormat=P","Fill=—","Direction=H","UseDPDF=Y")</f>
        <v>#NAME?</v>
      </c>
      <c r="BN34" s="2" t="e">
        <f ca="1">_xll.BDH($C$28,"FIXED_ASSETS_SEQUENTIAL_GROWTH","FQ1 2015","FQ1 2015","Currency=INR","Period=FQ","BEST_FPERIOD_OVERRIDE=FQ","FILING_STATUS=OR","EQY_CONSOLIDATED=Y","Sort=A","Dates=H","DateFormat=P","Fill=—","Direction=H","UseDPDF=Y")</f>
        <v>#NAME?</v>
      </c>
      <c r="BO34" s="2" t="e">
        <f ca="1">_xll.BDH($C$28,"TOTAL_ASSETS_SEQUENTIAL_GROWTH","FQ1 2015","FQ1 2015","Currency=INR","Period=FQ","BEST_FPERIOD_OVERRIDE=FQ","FILING_STATUS=OR","EQY_CONSOLIDATED=Y","Sort=A","Dates=H","DateFormat=P","Fill=—","Direction=H","UseDPDF=Y")</f>
        <v>#NAME?</v>
      </c>
      <c r="BP34" s="2" t="e">
        <f ca="1">_xll.BDH($C$28,"MODIFIED_WORKING_CPTL_SEQ_GRWTH","FQ1 2015","FQ1 2015","Currency=INR","Period=FQ","BEST_FPERIOD_OVERRIDE=FQ","FILING_STATUS=OR","EQY_CONSOLIDATED=Y","Sort=A","Dates=H","DateFormat=P","Fill=—","Direction=H","UseDPDF=Y")</f>
        <v>#NAME?</v>
      </c>
      <c r="BQ34" s="2" t="e">
        <f ca="1">_xll.BDH($C$28,"WORKING_CAPITAL_SEQ_GROWTH","FQ1 2015","FQ1 2015","Currency=INR","Period=FQ","BEST_FPERIOD_OVERRIDE=FQ","FILING_STATUS=OR","EQY_CONSOLIDATED=Y","Sort=A","Dates=H","DateFormat=P","Fill=—","Direction=H","UseDPDF=Y")</f>
        <v>#NAME?</v>
      </c>
      <c r="BR34" s="2" t="e">
        <f ca="1">_xll.BDH($C$28,"ACCOUNTS_PAYABLE_SEQ_GROWTH","FQ1 2015","FQ1 2015","Currency=INR","Period=FQ","BEST_FPERIOD_OVERRIDE=FQ","FILING_STATUS=OR","EQY_CONSOLIDATED=Y","Sort=A","Dates=H","DateFormat=P","Fill=—","Direction=H","UseDPDF=Y")</f>
        <v>#NAME?</v>
      </c>
      <c r="BS34" s="2" t="e">
        <f ca="1">_xll.BDH($C$28,"ST_DEBT_SEQUENTIAL_GROWTH","FQ1 2015","FQ1 2015","Currency=INR","Period=FQ","BEST_FPERIOD_OVERRIDE=FQ","FILING_STATUS=OR","EQY_CONSOLIDATED=Y","Sort=A","Dates=H","DateFormat=P","Fill=—","Direction=H","UseDPDF=Y")</f>
        <v>#NAME?</v>
      </c>
      <c r="BT34" s="2" t="e">
        <f ca="1">_xll.BDH($C$28,"TOTAL_DEBT_SEQUENTIAL_GROWTH","FQ1 2015","FQ1 2015","Currency=INR","Period=FQ","BEST_FPERIOD_OVERRIDE=FQ","FILING_STATUS=OR","EQY_CONSOLIDATED=Y","Sort=A","Dates=H","DateFormat=P","Fill=—","Direction=H","UseDPDF=Y")</f>
        <v>#NAME?</v>
      </c>
      <c r="BU34" s="2" t="e">
        <f ca="1">_xll.BDH($C$28,"TOTAL_EQUITY_SEQUENTIAL_GROWTH","FQ1 2015","FQ1 2015","Currency=INR","Period=FQ","BEST_FPERIOD_OVERRIDE=FQ","FILING_STATUS=OR","EQY_CONSOLIDATED=Y","Sort=A","Dates=H","DateFormat=P","Fill=—","Direction=H","UseDPDF=Y")</f>
        <v>#NAME?</v>
      </c>
      <c r="BV34" s="2" t="e">
        <f ca="1">_xll.BDH($C$28,"TOTAL_CAPITAL_SEQUENTIAL_GROWTH","FQ1 2015","FQ1 2015","Currency=INR","Period=FQ","BEST_FPERIOD_OVERRIDE=FQ","FILING_STATUS=OR","EQY_CONSOLIDATED=Y","Sort=A","Dates=H","DateFormat=P","Fill=—","Direction=H","UseDPDF=Y")</f>
        <v>#NAME?</v>
      </c>
      <c r="BW34" s="2" t="e">
        <f ca="1">_xll.BDH($C$28,"BPS_SEQUENTIAL_GROWTH","FQ1 2015","FQ1 2015","Currency=INR","Period=FQ","BEST_FPERIOD_OVERRIDE=FQ","FILING_STATUS=OR","EQY_CONSOLIDATED=Y","Sort=A","Dates=H","DateFormat=P","Fill=—","Direction=H","UseDPDF=Y")</f>
        <v>#NAME?</v>
      </c>
      <c r="BX34" s="2" t="e">
        <f ca="1">_xll.BDH($C$28,"CFO_SEQUENTIAL_GROWTH","FQ1 2015","FQ1 2015","Currency=INR","Period=FQ","BEST_FPERIOD_OVERRIDE=FQ","FILING_STATUS=OR","EQY_CONSOLIDATED=Y","Sort=A","Dates=H","DateFormat=P","Fill=—","Direction=H","UseDPDF=Y")</f>
        <v>#NAME?</v>
      </c>
      <c r="BY34" s="3" t="e">
        <f ca="1">_xll.BDH($C$28,"SHORT_AND_LONG_TERM_DEBT","FQ1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4" s="3" t="e">
        <f ca="1">_xll.BDH($C$28,"BS_ST_BORROW","FQ1 2015","FQ1 2015","Currency=INR","Period=FQ","BEST_FPERIOD_OVERRIDE=FQ","FILING_STATUS=OR","EQY_CONSOLIDATED=Y","SCALING_FORMAT=MLN","Sort=A","Dates=H","DateFormat=P","Fill=—","Direction=H","UseDPDF=Y")</f>
        <v>#NAME?</v>
      </c>
      <c r="CA34" s="3" t="e">
        <f ca="1">_xll.BDH($C$28,"BS_LT_BORROW","FQ1 2015","FQ1 2015","Currency=INR","Period=FQ","BEST_FPERIOD_OVERRIDE=FQ","FILING_STATUS=OR","EQY_CONSOLIDATED=Y","SCALING_FORMAT=MLN","Sort=A","Dates=H","DateFormat=P","Fill=—","Direction=H","UseDPDF=Y")</f>
        <v>#NAME?</v>
      </c>
      <c r="CB34" s="2" t="e">
        <f ca="1">_xll.BDH($C$28,"TOT_DEBT_TO_EBITDA","FQ1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4" s="2" t="e">
        <f ca="1">_xll.BDH($C$28,"NET_DEBT_TO_EBITDA","FQ1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4" s="2" t="e">
        <f ca="1">_xll.BDH($C$28,"TOTAL_DEBT_TO_EBIT","FQ1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4" s="2" t="e">
        <f ca="1">_xll.BDH($C$28,"NET_DEBT_TO_EBIT","FQ1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4" s="2" t="e">
        <f ca="1">_xll.BDH($C$28,"EBITDA_TO_INTEREST_EXPN","FQ1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4" s="2" t="e">
        <f ca="1">_xll.BDH($C$28,"COM_EQY_TO_TOT_ASSET","FQ1 2015","FQ1 2015","Currency=INR","Period=FQ","BEST_FPERIOD_OVERRIDE=FQ","FILING_STATUS=OR","EQY_CONSOLIDATED=Y","Sort=A","Dates=H","DateFormat=P","Fill=—","Direction=H","UseDPDF=Y")</f>
        <v>#NAME?</v>
      </c>
      <c r="CH34" s="2" t="e">
        <f ca="1">_xll.BDH($C$28,"LT_DEBT_TO_TOT_EQY","FQ1 2015","FQ1 2015","Currency=INR","Period=FQ","BEST_FPERIOD_OVERRIDE=FQ","FILING_STATUS=OR","EQY_CONSOLIDATED=Y","Sort=A","Dates=H","DateFormat=P","Fill=—","Direction=H","UseDPDF=Y")</f>
        <v>#NAME?</v>
      </c>
      <c r="CI34" s="2" t="e">
        <f ca="1">_xll.BDH($C$28,"LT_DEBT_TO_TOT_CAP","FQ1 2015","FQ1 2015","Currency=INR","Period=FQ","BEST_FPERIOD_OVERRIDE=FQ","FILING_STATUS=OR","EQY_CONSOLIDATED=Y","Sort=A","Dates=H","DateFormat=P","Fill=—","Direction=H","UseDPDF=Y")</f>
        <v>#NAME?</v>
      </c>
      <c r="CJ34" s="2" t="e">
        <f ca="1">_xll.BDH($C$28,"LT_DEBT_TO_TOT_ASSET","FQ1 2015","FQ1 2015","Currency=INR","Period=FQ","BEST_FPERIOD_OVERRIDE=FQ","FILING_STATUS=OR","EQY_CONSOLIDATED=Y","Sort=A","Dates=H","DateFormat=P","Fill=—","Direction=H","UseDPDF=Y")</f>
        <v>#NAME?</v>
      </c>
      <c r="CK34" s="2" t="e">
        <f ca="1">_xll.BDH($C$28,"TOT_DEBT_TO_TOT_EQY","FQ1 2015","FQ1 2015","Currency=INR","Period=FQ","BEST_FPERIOD_OVERRIDE=FQ","FILING_STATUS=OR","EQY_CONSOLIDATED=Y","Sort=A","Dates=H","DateFormat=P","Fill=—","Direction=H","UseDPDF=Y")</f>
        <v>#NAME?</v>
      </c>
      <c r="CL34" s="2" t="e">
        <f ca="1">_xll.BDH($C$28,"TOT_DEBT_TO_TOT_CAP","FQ1 2015","FQ1 2015","Currency=INR","Period=FQ","BEST_FPERIOD_OVERRIDE=FQ","FILING_STATUS=OR","EQY_CONSOLIDATED=Y","Sort=A","Dates=H","DateFormat=P","Fill=—","Direction=H","UseDPDF=Y")</f>
        <v>#NAME?</v>
      </c>
      <c r="CM34" s="2" t="e">
        <f ca="1">_xll.BDH($C$28,"TOT_DEBT_TO_TOT_ASSET","FQ1 2015","FQ1 2015","Currency=INR","Period=FQ","BEST_FPERIOD_OVERRIDE=FQ","FILING_STATUS=OR","EQY_CONSOLIDATED=Y","Sort=A","Dates=H","DateFormat=P","Fill=—","Direction=H","UseDPDF=Y")</f>
        <v>#NAME?</v>
      </c>
      <c r="CN34" s="2" t="e">
        <f ca="1">_xll.BDH($C$28,"NET_DEBT_TO_SHRHLDR_EQTY","FQ1 2015","FQ1 2015","Currency=INR","Period=FQ","BEST_FPERIOD_OVERRIDE=FQ","FILING_STATUS=OR","EQY_CONSOLIDATED=Y","Sort=A","Dates=H","DateFormat=P","Fill=—","Direction=H","UseDPDF=Y")</f>
        <v>#NAME?</v>
      </c>
      <c r="CO34" s="2" t="e">
        <f ca="1">_xll.BDH($C$28,"NET_DEBT_%_CAPITAL","FQ1 2015","FQ1 2015","Currency=INR","Period=FQ","BEST_FPERIOD_OVERRIDE=FQ","FILING_STATUS=OR","EQY_CONSOLIDATED=Y","Sort=A","Dates=H","DateFormat=P","Fill=—","Direction=H","UseDPDF=Y")</f>
        <v>#NAME?</v>
      </c>
      <c r="CP34" s="3" t="e">
        <f ca="1">_xll.BDH($C$28,"EBITDA","FQ1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4" s="3" t="e">
        <f ca="1">_xll.BDH($C$28,"EBITDA_AFTER_CAPEX","FQ1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4" s="3" t="e">
        <f ca="1">_xll.BDH($C$28,"IS_OPER_INC","FQ1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4" s="2" t="e">
        <f ca="1">_xll.BDH($C$28,"CASH_RATIO","FQ1 2015","FQ1 2015","Currency=INR","Period=FQ","BEST_FPERIOD_OVERRIDE=FQ","FILING_STATUS=OR","EQY_CONSOLIDATED=Y","Sort=A","Dates=H","DateFormat=P","Fill=—","Direction=H","UseDPDF=Y")</f>
        <v>#NAME?</v>
      </c>
      <c r="CT34" s="2" t="e">
        <f ca="1">_xll.BDH($C$28,"CUR_RATIO","FQ1 2015","FQ1 2015","Currency=INR","Period=FQ","BEST_FPERIOD_OVERRIDE=FQ","FILING_STATUS=OR","EQY_CONSOLIDATED=Y","Sort=A","Dates=H","DateFormat=P","Fill=—","Direction=H","UseDPDF=Y")</f>
        <v>#NAME?</v>
      </c>
      <c r="CU34" s="2" t="e">
        <f ca="1">_xll.BDH($C$28,"QUICK_RATIO","FQ1 2015","FQ1 2015","Currency=INR","Period=FQ","BEST_FPERIOD_OVERRIDE=FQ","FILING_STATUS=OR","EQY_CONSOLIDATED=Y","Sort=A","Dates=H","DateFormat=P","Fill=—","Direction=H","UseDPDF=Y")</f>
        <v>#NAME?</v>
      </c>
      <c r="CV34" s="2" t="e">
        <f ca="1">_xll.BDH($C$28,"ALTMAN_Z_SCORE","FQ1 2015","FQ1 2015","Currency=INR","Period=FQ","BEST_FPERIOD_OVERRIDE=FQ","FILING_STATUS=OR","EQY_CONSOLIDATED=Y","Sort=A","Dates=H","DateFormat=P","Fill=—","Direction=H","UseDPDF=Y")</f>
        <v>#NAME?</v>
      </c>
      <c r="CW34" s="4" t="e">
        <f ca="1">_xll.BDH($C$28,"ACCT_RCV_TURN","FQ1 2015","FQ1 2015","Currency=INR","Period=FQ","BEST_FPERIOD_OVERRIDE=FQ","FILING_STATUS=OR","EQY_CONSOLIDATED=Y","FA_ADJUSTED=GAAP","Sort=A","Dates=H","DateFormat=P","Fill=—","Direction=H","UseDPDF=Y")</f>
        <v>#NAME?</v>
      </c>
      <c r="CX34" s="2" t="e">
        <f ca="1">_xll.BDH($C$28,"ACCT_RCV_DAYS","FQ1 2015","FQ1 2015","Currency=INR","Period=FQ","BEST_FPERIOD_OVERRIDE=FQ","FILING_STATUS=OR","EQY_CONSOLIDATED=Y","FA_ADJUSTED=GAAP","Sort=A","Dates=H","DateFormat=P","Fill=—","Direction=H","UseDPDF=Y")</f>
        <v>#NAME?</v>
      </c>
      <c r="CY34" s="4" t="e">
        <f ca="1">_xll.BDH($C$28,"INVENT_TURN","FQ1 2015","FQ1 2015","Currency=INR","Period=FQ","BEST_FPERIOD_OVERRIDE=FQ","FILING_STATUS=OR","EQY_CONSOLIDATED=Y","FA_ADJUSTED=GAAP","Sort=A","Dates=H","DateFormat=P","Fill=—","Direction=H","UseDPDF=Y")</f>
        <v>#NAME?</v>
      </c>
      <c r="CZ34" s="2" t="e">
        <f ca="1">_xll.BDH($C$28,"INVENT_DAYS","FQ1 2015","FQ1 2015","Currency=INR","Period=FQ","BEST_FPERIOD_OVERRIDE=FQ","FILING_STATUS=OR","EQY_CONSOLIDATED=Y","FA_ADJUSTED=GAAP","Sort=A","Dates=H","DateFormat=P","Fill=—","Direction=H","UseDPDF=Y")</f>
        <v>#NAME?</v>
      </c>
      <c r="DA34" s="4" t="e">
        <f ca="1">_xll.BDH($C$28,"ACCOUNTS_PAYABLE_TURNOVER","FQ1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4" s="2" t="e">
        <f ca="1">_xll.BDH($C$28,"ACCOUNTS_PAYABLE_TURNOVER_DAYS","FQ1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4" s="4" t="e">
        <f ca="1">_xll.BDH($C$28,"CASH_CONVERSION_CYCLE","FQ1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4" s="4" t="e">
        <f ca="1">_xll.BDH($C$28,"INV_TO_CASH_DAYS","FQ1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4" s="5" t="e">
        <f ca="1">_xll.BDH($C$28,"BS_INVENTORIES","FQ1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4" s="3" t="e">
        <f ca="1">_xll.BDH($C$28,"INVTRY_RAW_MATERIALS","FQ1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4" s="3" t="e">
        <f ca="1">_xll.BDH($C$28,"INVTRY_IN_PROGRESS","FQ1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4" s="3" t="e">
        <f ca="1">_xll.BDH($C$28,"INVTRY_FINISHED_GOODS","FQ1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4" s="3" t="e">
        <f ca="1">_xll.BDH($C$28,"BS_OTHER_INV","FQ1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5" spans="1:113" x14ac:dyDescent="0.3">
      <c r="A35" s="6"/>
      <c r="B35" s="6"/>
      <c r="C35" s="6"/>
      <c r="D35" s="6"/>
      <c r="E35" t="s">
        <v>79</v>
      </c>
      <c r="F35" t="e">
        <f ca="1">_xll.BDH($C$28,"RETURN_COM_EQY","FQ2 2015","FQ2 2015","Currency=INR","Period=FQ","BEST_FPERIOD_OVERRIDE=FQ","FILING_STATUS=OR","EQY_CONSOLIDATED=Y","FA_ADJUSTED=GAAP","Sort=A","Dates=H","DateFormat=P","Fill=—","Direction=H","UseDPDF=Y")</f>
        <v>#NAME?</v>
      </c>
      <c r="G35" t="e">
        <f ca="1">_xll.BDH($C$28,"RETURN_ON_ASSET","FQ2 2015","FQ2 2015","Currency=INR","Period=FQ","BEST_FPERIOD_OVERRIDE=FQ","FILING_STATUS=OR","EQY_CONSOLIDATED=Y","FA_ADJUSTED=GAAP","Sort=A","Dates=H","DateFormat=P","Fill=—","Direction=H","UseDPDF=Y")</f>
        <v>#NAME?</v>
      </c>
      <c r="H35" t="e">
        <f ca="1">_xll.BDH($C$28,"RETURN_ON_CAP","FQ2 2015","FQ2 2015","Currency=INR","Period=FQ","BEST_FPERIOD_OVERRIDE=FQ","FILING_STATUS=OR","EQY_CONSOLIDATED=Y","FA_ADJUSTED=GAAP","Sort=A","Dates=H","DateFormat=P","Fill=—","Direction=H","UseDPDF=Y")</f>
        <v>#NAME?</v>
      </c>
      <c r="I35" t="e">
        <f ca="1">_xll.BDH($C$28,"RETURN_ON_INV_CAPITAL","FQ2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5" t="e">
        <f ca="1">_xll.BDH($C$28,"EBITDA_TO_REVENUE","FQ2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5" t="e">
        <f ca="1">_xll.BDH($C$28,"OPER_MARGIN","FQ2 2015","FQ2 2015","Currency=INR","Period=FQ","BEST_FPERIOD_OVERRIDE=FQ","FILING_STATUS=OR","EQY_CONSOLIDATED=Y","FA_ADJUSTED=GAAP","Sort=A","Dates=H","DateFormat=P","Fill=—","Direction=H","UseDPDF=Y")</f>
        <v>#NAME?</v>
      </c>
      <c r="L35" t="e">
        <f ca="1">_xll.BDH($C$28,"INCREMENTAL_OPERATING_MARGIN","FQ2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5" t="e">
        <f ca="1">_xll.BDH($C$28,"PRETAX_INC_TO_NET_SALES","FQ2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5" t="e">
        <f ca="1">_xll.BDH($C$28,"INC_BEF_XO_ITEMS_TO_NET_SALES","FQ2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5" t="e">
        <f ca="1">_xll.BDH($C$28,"PROF_MARGIN","FQ2 2015","FQ2 2015","Currency=INR","Period=FQ","BEST_FPERIOD_OVERRIDE=FQ","FILING_STATUS=OR","EQY_CONSOLIDATED=Y","FA_ADJUSTED=GAAP","Sort=A","Dates=H","DateFormat=P","Fill=—","Direction=H","UseDPDF=Y")</f>
        <v>#NAME?</v>
      </c>
      <c r="P35" t="e">
        <f ca="1">_xll.BDH($C$28,"NET_INCOME_TO_COMMON_MARGIN","FQ2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5" t="e">
        <f ca="1">_xll.BDH($C$28,"EFF_TAX_RATE","FQ2 2015","FQ2 2015","Currency=INR","Period=FQ","BEST_FPERIOD_OVERRIDE=FQ","FILING_STATUS=OR","EQY_CONSOLIDATED=Y","FA_ADJUSTED=GAAP","Sort=A","Dates=H","DateFormat=P","Fill=—","Direction=H","UseDPDF=Y")</f>
        <v>#NAME?</v>
      </c>
      <c r="R35" t="e">
        <f ca="1">_xll.BDH($C$28,"DVD_PAYOUT_RATIO","FQ2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5" t="e">
        <f ca="1">_xll.BDH($C$28,"SUSTAIN_GROWTH_RT","FQ2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5" s="2" t="e">
        <f ca="1">_xll.BDH($C$28,"SALES_GROWTH","FQ2 2015","FQ2 2015","Currency=INR","Period=FQ","BEST_FPERIOD_OVERRIDE=FQ","FILING_STATUS=OR","EQY_CONSOLIDATED=Y","FA_ADJUSTED=GAAP","Sort=A","Dates=H","DateFormat=P","Fill=—","Direction=H","UseDPDF=Y")</f>
        <v>#NAME?</v>
      </c>
      <c r="U35" s="2" t="e">
        <f ca="1">_xll.BDH($C$28,"EBITDA_GROWTH","FQ2 2015","FQ2 2015","Currency=INR","Period=FQ","BEST_FPERIOD_OVERRIDE=FQ","FILING_STATUS=OR","EQY_CONSOLIDATED=Y","FA_ADJUSTED=GAAP","Sort=A","Dates=H","DateFormat=P","Fill=—","Direction=H","UseDPDF=Y")</f>
        <v>#NAME?</v>
      </c>
      <c r="V35" s="2" t="e">
        <f ca="1">_xll.BDH($C$28,"OPER_INC_GROWTH","FQ2 2015","FQ2 2015","Currency=INR","Period=FQ","BEST_FPERIOD_OVERRIDE=FQ","FILING_STATUS=OR","EQY_CONSOLIDATED=Y","FA_ADJUSTED=GAAP","Sort=A","Dates=H","DateFormat=P","Fill=—","Direction=H","UseDPDF=Y")</f>
        <v>#NAME?</v>
      </c>
      <c r="W35" s="2" t="e">
        <f ca="1">_xll.BDH($C$28,"EARN_FOR_COM_GROWTH","FQ2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5" s="2" t="e">
        <f ca="1">_xll.BDH($C$28,"DILUTED_EPS_AFT_XO_ITEMS_GROWTH","FQ2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5" s="2" t="e">
        <f ca="1">_xll.BDH($C$28,"DIVIDEND_PER_SHARE_1_YEAR_GROWTH","FQ2 2015","FQ2 2015","Currency=INR","Period=FQ","BEST_FPERIOD_OVERRIDE=FQ","FILING_STATUS=OR","EQY_CONSOLIDATED=Y","Sort=A","Dates=H","DateFormat=P","Fill=—","Direction=H","UseDPDF=Y")</f>
        <v>#NAME?</v>
      </c>
      <c r="Z35" s="2" t="e">
        <f ca="1">_xll.BDH($C$28,"ACCOUNTS_RECEIVABLE_GROWTH","FQ2 2015","FQ2 2015","Currency=INR","Period=FQ","BEST_FPERIOD_OVERRIDE=FQ","FILING_STATUS=OR","EQY_CONSOLIDATED=Y","Sort=A","Dates=H","DateFormat=P","Fill=—","Direction=H","UseDPDF=Y")</f>
        <v>#NAME?</v>
      </c>
      <c r="AA35" s="2" t="e">
        <f ca="1">_xll.BDH($C$28,"INVENTORY_GROWTH","FQ2 2015","FQ2 2015","Currency=INR","Period=FQ","BEST_FPERIOD_OVERRIDE=FQ","FILING_STATUS=OR","EQY_CONSOLIDATED=Y","Sort=A","Dates=H","DateFormat=P","Fill=—","Direction=H","UseDPDF=Y")</f>
        <v>#NAME?</v>
      </c>
      <c r="AB35" s="2" t="e">
        <f ca="1">_xll.BDH($C$28,"NET_FIXED_ASSETS_1_YEAR_GROWTH","FQ2 2015","FQ2 2015","Currency=INR","Period=FQ","BEST_FPERIOD_OVERRIDE=FQ","FILING_STATUS=OR","EQY_CONSOLIDATED=Y","Sort=A","Dates=H","DateFormat=P","Fill=—","Direction=H","UseDPDF=Y")</f>
        <v>#NAME?</v>
      </c>
      <c r="AC35" s="2" t="e">
        <f ca="1">_xll.BDH($C$28,"ASSET_GROWTH","FQ2 2015","FQ2 2015","Currency=INR","Period=FQ","BEST_FPERIOD_OVERRIDE=FQ","FILING_STATUS=OR","EQY_CONSOLIDATED=Y","Sort=A","Dates=H","DateFormat=P","Fill=—","Direction=H","UseDPDF=Y")</f>
        <v>#NAME?</v>
      </c>
      <c r="AD35" s="2" t="e">
        <f ca="1">_xll.BDH($C$28,"MODIFIED_WORK_CAP_GROWTH","FQ2 2015","FQ2 2015","Currency=INR","Period=FQ","BEST_FPERIOD_OVERRIDE=FQ","FILING_STATUS=OR","EQY_CONSOLIDATED=Y","Sort=A","Dates=H","DateFormat=P","Fill=—","Direction=H","UseDPDF=Y")</f>
        <v>#NAME?</v>
      </c>
      <c r="AE35" s="2" t="e">
        <f ca="1">_xll.BDH($C$28,"WORK_CAP_GROWTH","FQ2 2015","FQ2 2015","Currency=INR","Period=FQ","BEST_FPERIOD_OVERRIDE=FQ","FILING_STATUS=OR","EQY_CONSOLIDATED=Y","Sort=A","Dates=H","DateFormat=P","Fill=—","Direction=H","UseDPDF=Y")</f>
        <v>#NAME?</v>
      </c>
      <c r="AF35" s="2" t="e">
        <f ca="1">_xll.BDH($C$28,"ACCOUNTS_PAYABLE_GROWTH_1YR","FQ2 2015","FQ2 2015","Currency=INR","Period=FQ","BEST_FPERIOD_OVERRIDE=FQ","FILING_STATUS=OR","EQY_CONSOLIDATED=Y","Sort=A","Dates=H","DateFormat=P","Fill=—","Direction=H","UseDPDF=Y")</f>
        <v>#NAME?</v>
      </c>
      <c r="AG35" s="2" t="e">
        <f ca="1">_xll.BDH($C$28,"SHORT_TERM_DEBT_1_YEAR_GROWTH","FQ2 2015","FQ2 2015","Currency=INR","Period=FQ","BEST_FPERIOD_OVERRIDE=FQ","FILING_STATUS=OR","EQY_CONSOLIDATED=Y","Sort=A","Dates=H","DateFormat=P","Fill=—","Direction=H","UseDPDF=Y")</f>
        <v>#NAME?</v>
      </c>
      <c r="AH35" s="2" t="e">
        <f ca="1">_xll.BDH($C$28,"TOTAL_DEBT_1_YEAR_GROWTH","FQ2 2015","FQ2 2015","Currency=INR","Period=FQ","BEST_FPERIOD_OVERRIDE=FQ","FILING_STATUS=OR","EQY_CONSOLIDATED=Y","Sort=A","Dates=H","DateFormat=P","Fill=—","Direction=H","UseDPDF=Y")</f>
        <v>#NAME?</v>
      </c>
      <c r="AI35" s="2" t="e">
        <f ca="1">_xll.BDH($C$28,"TOTAL_EQUITY_1_YEAR_GROWTH","FQ2 2015","FQ2 2015","Currency=INR","Period=FQ","BEST_FPERIOD_OVERRIDE=FQ","FILING_STATUS=OR","EQY_CONSOLIDATED=Y","Sort=A","Dates=H","DateFormat=P","Fill=—","Direction=H","UseDPDF=Y")</f>
        <v>#NAME?</v>
      </c>
      <c r="AJ35" s="2" t="e">
        <f ca="1">_xll.BDH($C$28,"GROWTH_IN_CAP","FQ2 2015","FQ2 2015","Currency=INR","Period=FQ","BEST_FPERIOD_OVERRIDE=FQ","FILING_STATUS=OR","EQY_CONSOLIDATED=Y","Sort=A","Dates=H","DateFormat=P","Fill=—","Direction=H","UseDPDF=Y")</f>
        <v>#NAME?</v>
      </c>
      <c r="AK35" s="2" t="e">
        <f ca="1">_xll.BDH($C$28,"BVPS_GROWTH","FQ2 2015","FQ2 2015","Currency=INR","Period=FQ","BEST_FPERIOD_OVERRIDE=FQ","FILING_STATUS=OR","EQY_CONSOLIDATED=Y","Sort=A","Dates=H","DateFormat=P","Fill=—","Direction=H","UseDPDF=Y")</f>
        <v>#NAME?</v>
      </c>
      <c r="AL35" s="2" t="e">
        <f ca="1">_xll.BDH($C$28,"CASH_FLOW_GROWTH","FQ2 2015","FQ2 2015","Currency=INR","Period=FQ","BEST_FPERIOD_OVERRIDE=FQ","FILING_STATUS=OR","EQY_CONSOLIDATED=Y","Sort=A","Dates=H","DateFormat=P","Fill=—","Direction=H","UseDPDF=Y")</f>
        <v>#NAME?</v>
      </c>
      <c r="AM35" s="2" t="e">
        <f ca="1">_xll.BDH($C$28,"GEO_GROW_NET_SALES","FQ2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5" s="2" t="e">
        <f ca="1">_xll.BDH($C$28,"GEO_GROW_EBITDA","FQ2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5" s="2" t="e">
        <f ca="1">_xll.BDH($C$28,"GEO_GROW_OPER_INC","FQ2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5" s="2" t="e">
        <f ca="1">_xll.BDH($C$28,"NET_INCOME_TO_COMMON_5_YR_GROWTH","FQ2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5" s="2" t="e">
        <f ca="1">_xll.BDH($C$28,"5Y_GEO_GROWTH_DILUTED_EPS","FQ2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5" s="2" t="e">
        <f ca="1">_xll.BDH($C$28,"GEO_GROW_DVD_PER_SH","FQ2 2015","FQ2 2015","Currency=INR","Period=FQ","BEST_FPERIOD_OVERRIDE=FQ","FILING_STATUS=OR","EQY_CONSOLIDATED=Y","Sort=A","Dates=H","DateFormat=P","Fill=—","Direction=H","UseDPDF=Y")</f>
        <v>#NAME?</v>
      </c>
      <c r="AS35" s="2" t="e">
        <f ca="1">_xll.BDH($C$28,"ACCOUNTS_RECEIVABLE_5_YR_GROWTH","FQ2 2015","FQ2 2015","Currency=INR","Period=FQ","BEST_FPERIOD_OVERRIDE=FQ","FILING_STATUS=OR","EQY_CONSOLIDATED=Y","Sort=A","Dates=H","DateFormat=P","Fill=—","Direction=H","UseDPDF=Y")</f>
        <v>#NAME?</v>
      </c>
      <c r="AT35" s="2" t="e">
        <f ca="1">_xll.BDH($C$28,"INVENTORY_5_YEAR_GROWTH","FQ2 2015","FQ2 2015","Currency=INR","Period=FQ","BEST_FPERIOD_OVERRIDE=FQ","FILING_STATUS=OR","EQY_CONSOLIDATED=Y","Sort=A","Dates=H","DateFormat=P","Fill=—","Direction=H","UseDPDF=Y")</f>
        <v>#NAME?</v>
      </c>
      <c r="AU35" s="2" t="e">
        <f ca="1">_xll.BDH($C$28,"NET_FIXED_ASSETS_5_YEAR_GROWTH","FQ2 2015","FQ2 2015","Currency=INR","Period=FQ","BEST_FPERIOD_OVERRIDE=FQ","FILING_STATUS=OR","EQY_CONSOLIDATED=Y","Sort=A","Dates=H","DateFormat=P","Fill=—","Direction=H","UseDPDF=Y")</f>
        <v>#NAME?</v>
      </c>
      <c r="AV35" s="2" t="e">
        <f ca="1">_xll.BDH($C$28,"GEO_GROW_TOT_ASSET","FQ2 2015","FQ2 2015","Currency=INR","Period=FQ","BEST_FPERIOD_OVERRIDE=FQ","FILING_STATUS=OR","EQY_CONSOLIDATED=Y","Sort=A","Dates=H","DateFormat=P","Fill=—","Direction=H","UseDPDF=Y")</f>
        <v>#NAME?</v>
      </c>
      <c r="AW35" s="2" t="e">
        <f ca="1">_xll.BDH($C$28,"MODIFIED_WORKING_CPTL_5YR_GRWTH","FQ2 2015","FQ2 2015","Currency=INR","Period=FQ","BEST_FPERIOD_OVERRIDE=FQ","FILING_STATUS=OR","EQY_CONSOLIDATED=Y","Sort=A","Dates=H","DateFormat=P","Fill=—","Direction=H","UseDPDF=Y")</f>
        <v>#NAME?</v>
      </c>
      <c r="AX35" s="2" t="e">
        <f ca="1">_xll.BDH($C$28,"WORKING_CAPITAL_5_YEAR_GROWTH","FQ2 2015","FQ2 2015","Currency=INR","Period=FQ","BEST_FPERIOD_OVERRIDE=FQ","FILING_STATUS=OR","EQY_CONSOLIDATED=Y","Sort=A","Dates=H","DateFormat=P","Fill=—","Direction=H","UseDPDF=Y")</f>
        <v>#NAME?</v>
      </c>
      <c r="AY35" s="2" t="e">
        <f ca="1">_xll.BDH($C$28,"ACCOUNTS_PAYABLE_5_YEAR_GROWTH","FQ2 2015","FQ2 2015","Currency=INR","Period=FQ","BEST_FPERIOD_OVERRIDE=FQ","FILING_STATUS=OR","EQY_CONSOLIDATED=Y","Sort=A","Dates=H","DateFormat=P","Fill=—","Direction=H","UseDPDF=Y")</f>
        <v>#NAME?</v>
      </c>
      <c r="AZ35" s="2" t="e">
        <f ca="1">_xll.BDH($C$28,"SHORT_TERM_DEBT_5_YEAR_GROWTH","FQ2 2015","FQ2 2015","Currency=INR","Period=FQ","BEST_FPERIOD_OVERRIDE=FQ","FILING_STATUS=OR","EQY_CONSOLIDATED=Y","Sort=A","Dates=H","DateFormat=P","Fill=—","Direction=H","UseDPDF=Y")</f>
        <v>#NAME?</v>
      </c>
      <c r="BA35" s="2" t="e">
        <f ca="1">_xll.BDH($C$28,"TOTAL_DEBT_5_YEAR_GROWTH","FQ2 2015","FQ2 2015","Currency=INR","Period=FQ","BEST_FPERIOD_OVERRIDE=FQ","FILING_STATUS=OR","EQY_CONSOLIDATED=Y","Sort=A","Dates=H","DateFormat=P","Fill=—","Direction=H","UseDPDF=Y")</f>
        <v>#NAME?</v>
      </c>
      <c r="BB35" s="2" t="e">
        <f ca="1">_xll.BDH($C$28,"GEO_GROW_TOT_SHRHLDR_EQY","FQ2 2015","FQ2 2015","Currency=INR","Period=FQ","BEST_FPERIOD_OVERRIDE=FQ","FILING_STATUS=OR","EQY_CONSOLIDATED=Y","Sort=A","Dates=H","DateFormat=P","Fill=—","Direction=H","UseDPDF=Y")</f>
        <v>#NAME?</v>
      </c>
      <c r="BC35" s="2" t="e">
        <f ca="1">_xll.BDH($C$28,"TOTAL_CAPITAL_5_YEAR_GROWTH","FQ2 2015","FQ2 2015","Currency=INR","Period=FQ","BEST_FPERIOD_OVERRIDE=FQ","FILING_STATUS=OR","EQY_CONSOLIDATED=Y","Sort=A","Dates=H","DateFormat=P","Fill=—","Direction=H","UseDPDF=Y")</f>
        <v>#NAME?</v>
      </c>
      <c r="BD35" s="2" t="e">
        <f ca="1">_xll.BDH($C$28,"GEO_GROW_BOOK_VAL","FQ2 2015","FQ2 2015","Currency=INR","Period=FQ","BEST_FPERIOD_OVERRIDE=FQ","FILING_STATUS=OR","EQY_CONSOLIDATED=Y","Sort=A","Dates=H","DateFormat=P","Fill=—","Direction=H","UseDPDF=Y")</f>
        <v>#NAME?</v>
      </c>
      <c r="BE35" s="2" t="e">
        <f ca="1">_xll.BDH($C$28,"GEO_GROW_CASH_OPER_ACT","FQ2 2015","FQ2 2015","Currency=INR","Period=FQ","BEST_FPERIOD_OVERRIDE=FQ","FILING_STATUS=OR","EQY_CONSOLIDATED=Y","Sort=A","Dates=H","DateFormat=P","Fill=—","Direction=H","UseDPDF=Y")</f>
        <v>#NAME?</v>
      </c>
      <c r="BF35" s="2" t="e">
        <f ca="1">_xll.BDH($C$28,"REVENUE_SEQUENTIAL_GROWTH","FQ2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5" s="2" t="e">
        <f ca="1">_xll.BDH($C$28,"EBITDA_SEQUENTIAL_GROWTH","FQ2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5" s="2" t="e">
        <f ca="1">_xll.BDH($C$28,"OPERATING_INCOME_SEQ_GROWTH","FQ2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5" s="2" t="e">
        <f ca="1">_xll.BDH($C$28,"NET_INCOME_TO_COMMON_SEQ_GROWTH","FQ2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5" s="2" t="e">
        <f ca="1">_xll.BDH($C$28,"EPS_DILUTED_SEQUENTIAL_GROWTH","FQ2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5" s="2" t="e">
        <f ca="1">_xll.BDH($C$28,"DPS_SEQUENTIAL_GROWTH","FQ2 2015","FQ2 2015","Currency=INR","Period=FQ","BEST_FPERIOD_OVERRIDE=FQ","FILING_STATUS=OR","EQY_CONSOLIDATED=Y","Sort=A","Dates=H","DateFormat=P","Fill=—","Direction=H","UseDPDF=Y")</f>
        <v>#NAME?</v>
      </c>
      <c r="BL35" s="2" t="e">
        <f ca="1">_xll.BDH($C$28,"ACCOUNTS_RECEIVABLE_SEQ_GROWTH","FQ2 2015","FQ2 2015","Currency=INR","Period=FQ","BEST_FPERIOD_OVERRIDE=FQ","FILING_STATUS=OR","EQY_CONSOLIDATED=Y","Sort=A","Dates=H","DateFormat=P","Fill=—","Direction=H","UseDPDF=Y")</f>
        <v>#NAME?</v>
      </c>
      <c r="BM35" s="2" t="e">
        <f ca="1">_xll.BDH($C$28,"INVENTORY_SEQUENTIAL_GROWTH","FQ2 2015","FQ2 2015","Currency=INR","Period=FQ","BEST_FPERIOD_OVERRIDE=FQ","FILING_STATUS=OR","EQY_CONSOLIDATED=Y","Sort=A","Dates=H","DateFormat=P","Fill=—","Direction=H","UseDPDF=Y")</f>
        <v>#NAME?</v>
      </c>
      <c r="BN35" s="2" t="e">
        <f ca="1">_xll.BDH($C$28,"FIXED_ASSETS_SEQUENTIAL_GROWTH","FQ2 2015","FQ2 2015","Currency=INR","Period=FQ","BEST_FPERIOD_OVERRIDE=FQ","FILING_STATUS=OR","EQY_CONSOLIDATED=Y","Sort=A","Dates=H","DateFormat=P","Fill=—","Direction=H","UseDPDF=Y")</f>
        <v>#NAME?</v>
      </c>
      <c r="BO35" s="2" t="e">
        <f ca="1">_xll.BDH($C$28,"TOTAL_ASSETS_SEQUENTIAL_GROWTH","FQ2 2015","FQ2 2015","Currency=INR","Period=FQ","BEST_FPERIOD_OVERRIDE=FQ","FILING_STATUS=OR","EQY_CONSOLIDATED=Y","Sort=A","Dates=H","DateFormat=P","Fill=—","Direction=H","UseDPDF=Y")</f>
        <v>#NAME?</v>
      </c>
      <c r="BP35" s="2" t="e">
        <f ca="1">_xll.BDH($C$28,"MODIFIED_WORKING_CPTL_SEQ_GRWTH","FQ2 2015","FQ2 2015","Currency=INR","Period=FQ","BEST_FPERIOD_OVERRIDE=FQ","FILING_STATUS=OR","EQY_CONSOLIDATED=Y","Sort=A","Dates=H","DateFormat=P","Fill=—","Direction=H","UseDPDF=Y")</f>
        <v>#NAME?</v>
      </c>
      <c r="BQ35" s="2" t="e">
        <f ca="1">_xll.BDH($C$28,"WORKING_CAPITAL_SEQ_GROWTH","FQ2 2015","FQ2 2015","Currency=INR","Period=FQ","BEST_FPERIOD_OVERRIDE=FQ","FILING_STATUS=OR","EQY_CONSOLIDATED=Y","Sort=A","Dates=H","DateFormat=P","Fill=—","Direction=H","UseDPDF=Y")</f>
        <v>#NAME?</v>
      </c>
      <c r="BR35" s="2" t="e">
        <f ca="1">_xll.BDH($C$28,"ACCOUNTS_PAYABLE_SEQ_GROWTH","FQ2 2015","FQ2 2015","Currency=INR","Period=FQ","BEST_FPERIOD_OVERRIDE=FQ","FILING_STATUS=OR","EQY_CONSOLIDATED=Y","Sort=A","Dates=H","DateFormat=P","Fill=—","Direction=H","UseDPDF=Y")</f>
        <v>#NAME?</v>
      </c>
      <c r="BS35" s="2" t="e">
        <f ca="1">_xll.BDH($C$28,"ST_DEBT_SEQUENTIAL_GROWTH","FQ2 2015","FQ2 2015","Currency=INR","Period=FQ","BEST_FPERIOD_OVERRIDE=FQ","FILING_STATUS=OR","EQY_CONSOLIDATED=Y","Sort=A","Dates=H","DateFormat=P","Fill=—","Direction=H","UseDPDF=Y")</f>
        <v>#NAME?</v>
      </c>
      <c r="BT35" s="2" t="e">
        <f ca="1">_xll.BDH($C$28,"TOTAL_DEBT_SEQUENTIAL_GROWTH","FQ2 2015","FQ2 2015","Currency=INR","Period=FQ","BEST_FPERIOD_OVERRIDE=FQ","FILING_STATUS=OR","EQY_CONSOLIDATED=Y","Sort=A","Dates=H","DateFormat=P","Fill=—","Direction=H","UseDPDF=Y")</f>
        <v>#NAME?</v>
      </c>
      <c r="BU35" s="2" t="e">
        <f ca="1">_xll.BDH($C$28,"TOTAL_EQUITY_SEQUENTIAL_GROWTH","FQ2 2015","FQ2 2015","Currency=INR","Period=FQ","BEST_FPERIOD_OVERRIDE=FQ","FILING_STATUS=OR","EQY_CONSOLIDATED=Y","Sort=A","Dates=H","DateFormat=P","Fill=—","Direction=H","UseDPDF=Y")</f>
        <v>#NAME?</v>
      </c>
      <c r="BV35" s="2" t="e">
        <f ca="1">_xll.BDH($C$28,"TOTAL_CAPITAL_SEQUENTIAL_GROWTH","FQ2 2015","FQ2 2015","Currency=INR","Period=FQ","BEST_FPERIOD_OVERRIDE=FQ","FILING_STATUS=OR","EQY_CONSOLIDATED=Y","Sort=A","Dates=H","DateFormat=P","Fill=—","Direction=H","UseDPDF=Y")</f>
        <v>#NAME?</v>
      </c>
      <c r="BW35" s="2" t="e">
        <f ca="1">_xll.BDH($C$28,"BPS_SEQUENTIAL_GROWTH","FQ2 2015","FQ2 2015","Currency=INR","Period=FQ","BEST_FPERIOD_OVERRIDE=FQ","FILING_STATUS=OR","EQY_CONSOLIDATED=Y","Sort=A","Dates=H","DateFormat=P","Fill=—","Direction=H","UseDPDF=Y")</f>
        <v>#NAME?</v>
      </c>
      <c r="BX35" s="2" t="e">
        <f ca="1">_xll.BDH($C$28,"CFO_SEQUENTIAL_GROWTH","FQ2 2015","FQ2 2015","Currency=INR","Period=FQ","BEST_FPERIOD_OVERRIDE=FQ","FILING_STATUS=OR","EQY_CONSOLIDATED=Y","Sort=A","Dates=H","DateFormat=P","Fill=—","Direction=H","UseDPDF=Y")</f>
        <v>#NAME?</v>
      </c>
      <c r="BY35" s="3" t="e">
        <f ca="1">_xll.BDH($C$28,"SHORT_AND_LONG_TERM_DEBT","FQ2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5" s="3" t="e">
        <f ca="1">_xll.BDH($C$28,"BS_ST_BORROW","FQ2 2015","FQ2 2015","Currency=INR","Period=FQ","BEST_FPERIOD_OVERRIDE=FQ","FILING_STATUS=OR","EQY_CONSOLIDATED=Y","SCALING_FORMAT=MLN","Sort=A","Dates=H","DateFormat=P","Fill=—","Direction=H","UseDPDF=Y")</f>
        <v>#NAME?</v>
      </c>
      <c r="CA35" s="3" t="e">
        <f ca="1">_xll.BDH($C$28,"BS_LT_BORROW","FQ2 2015","FQ2 2015","Currency=INR","Period=FQ","BEST_FPERIOD_OVERRIDE=FQ","FILING_STATUS=OR","EQY_CONSOLIDATED=Y","SCALING_FORMAT=MLN","Sort=A","Dates=H","DateFormat=P","Fill=—","Direction=H","UseDPDF=Y")</f>
        <v>#NAME?</v>
      </c>
      <c r="CB35" s="2" t="e">
        <f ca="1">_xll.BDH($C$28,"TOT_DEBT_TO_EBITDA","FQ2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5" s="2" t="e">
        <f ca="1">_xll.BDH($C$28,"NET_DEBT_TO_EBITDA","FQ2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5" s="2" t="e">
        <f ca="1">_xll.BDH($C$28,"TOTAL_DEBT_TO_EBIT","FQ2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5" s="2" t="e">
        <f ca="1">_xll.BDH($C$28,"NET_DEBT_TO_EBIT","FQ2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5" s="2" t="e">
        <f ca="1">_xll.BDH($C$28,"EBITDA_TO_INTEREST_EXPN","FQ2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5" s="2" t="e">
        <f ca="1">_xll.BDH($C$28,"COM_EQY_TO_TOT_ASSET","FQ2 2015","FQ2 2015","Currency=INR","Period=FQ","BEST_FPERIOD_OVERRIDE=FQ","FILING_STATUS=OR","EQY_CONSOLIDATED=Y","Sort=A","Dates=H","DateFormat=P","Fill=—","Direction=H","UseDPDF=Y")</f>
        <v>#NAME?</v>
      </c>
      <c r="CH35" s="2" t="e">
        <f ca="1">_xll.BDH($C$28,"LT_DEBT_TO_TOT_EQY","FQ2 2015","FQ2 2015","Currency=INR","Period=FQ","BEST_FPERIOD_OVERRIDE=FQ","FILING_STATUS=OR","EQY_CONSOLIDATED=Y","Sort=A","Dates=H","DateFormat=P","Fill=—","Direction=H","UseDPDF=Y")</f>
        <v>#NAME?</v>
      </c>
      <c r="CI35" s="2" t="e">
        <f ca="1">_xll.BDH($C$28,"LT_DEBT_TO_TOT_CAP","FQ2 2015","FQ2 2015","Currency=INR","Period=FQ","BEST_FPERIOD_OVERRIDE=FQ","FILING_STATUS=OR","EQY_CONSOLIDATED=Y","Sort=A","Dates=H","DateFormat=P","Fill=—","Direction=H","UseDPDF=Y")</f>
        <v>#NAME?</v>
      </c>
      <c r="CJ35" s="2" t="e">
        <f ca="1">_xll.BDH($C$28,"LT_DEBT_TO_TOT_ASSET","FQ2 2015","FQ2 2015","Currency=INR","Period=FQ","BEST_FPERIOD_OVERRIDE=FQ","FILING_STATUS=OR","EQY_CONSOLIDATED=Y","Sort=A","Dates=H","DateFormat=P","Fill=—","Direction=H","UseDPDF=Y")</f>
        <v>#NAME?</v>
      </c>
      <c r="CK35" s="2" t="e">
        <f ca="1">_xll.BDH($C$28,"TOT_DEBT_TO_TOT_EQY","FQ2 2015","FQ2 2015","Currency=INR","Period=FQ","BEST_FPERIOD_OVERRIDE=FQ","FILING_STATUS=OR","EQY_CONSOLIDATED=Y","Sort=A","Dates=H","DateFormat=P","Fill=—","Direction=H","UseDPDF=Y")</f>
        <v>#NAME?</v>
      </c>
      <c r="CL35" s="2" t="e">
        <f ca="1">_xll.BDH($C$28,"TOT_DEBT_TO_TOT_CAP","FQ2 2015","FQ2 2015","Currency=INR","Period=FQ","BEST_FPERIOD_OVERRIDE=FQ","FILING_STATUS=OR","EQY_CONSOLIDATED=Y","Sort=A","Dates=H","DateFormat=P","Fill=—","Direction=H","UseDPDF=Y")</f>
        <v>#NAME?</v>
      </c>
      <c r="CM35" s="2" t="e">
        <f ca="1">_xll.BDH($C$28,"TOT_DEBT_TO_TOT_ASSET","FQ2 2015","FQ2 2015","Currency=INR","Period=FQ","BEST_FPERIOD_OVERRIDE=FQ","FILING_STATUS=OR","EQY_CONSOLIDATED=Y","Sort=A","Dates=H","DateFormat=P","Fill=—","Direction=H","UseDPDF=Y")</f>
        <v>#NAME?</v>
      </c>
      <c r="CN35" s="2" t="e">
        <f ca="1">_xll.BDH($C$28,"NET_DEBT_TO_SHRHLDR_EQTY","FQ2 2015","FQ2 2015","Currency=INR","Period=FQ","BEST_FPERIOD_OVERRIDE=FQ","FILING_STATUS=OR","EQY_CONSOLIDATED=Y","Sort=A","Dates=H","DateFormat=P","Fill=—","Direction=H","UseDPDF=Y")</f>
        <v>#NAME?</v>
      </c>
      <c r="CO35" s="2" t="e">
        <f ca="1">_xll.BDH($C$28,"NET_DEBT_%_CAPITAL","FQ2 2015","FQ2 2015","Currency=INR","Period=FQ","BEST_FPERIOD_OVERRIDE=FQ","FILING_STATUS=OR","EQY_CONSOLIDATED=Y","Sort=A","Dates=H","DateFormat=P","Fill=—","Direction=H","UseDPDF=Y")</f>
        <v>#NAME?</v>
      </c>
      <c r="CP35" s="3" t="e">
        <f ca="1">_xll.BDH($C$28,"EBITDA","FQ2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5" s="3" t="e">
        <f ca="1">_xll.BDH($C$28,"EBITDA_AFTER_CAPEX","FQ2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5" s="3" t="e">
        <f ca="1">_xll.BDH($C$28,"IS_OPER_INC","FQ2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5" s="2" t="e">
        <f ca="1">_xll.BDH($C$28,"CASH_RATIO","FQ2 2015","FQ2 2015","Currency=INR","Period=FQ","BEST_FPERIOD_OVERRIDE=FQ","FILING_STATUS=OR","EQY_CONSOLIDATED=Y","Sort=A","Dates=H","DateFormat=P","Fill=—","Direction=H","UseDPDF=Y")</f>
        <v>#NAME?</v>
      </c>
      <c r="CT35" s="2" t="e">
        <f ca="1">_xll.BDH($C$28,"CUR_RATIO","FQ2 2015","FQ2 2015","Currency=INR","Period=FQ","BEST_FPERIOD_OVERRIDE=FQ","FILING_STATUS=OR","EQY_CONSOLIDATED=Y","Sort=A","Dates=H","DateFormat=P","Fill=—","Direction=H","UseDPDF=Y")</f>
        <v>#NAME?</v>
      </c>
      <c r="CU35" s="2" t="e">
        <f ca="1">_xll.BDH($C$28,"QUICK_RATIO","FQ2 2015","FQ2 2015","Currency=INR","Period=FQ","BEST_FPERIOD_OVERRIDE=FQ","FILING_STATUS=OR","EQY_CONSOLIDATED=Y","Sort=A","Dates=H","DateFormat=P","Fill=—","Direction=H","UseDPDF=Y")</f>
        <v>#NAME?</v>
      </c>
      <c r="CV35" s="2" t="e">
        <f ca="1">_xll.BDH($C$28,"ALTMAN_Z_SCORE","FQ2 2015","FQ2 2015","Currency=INR","Period=FQ","BEST_FPERIOD_OVERRIDE=FQ","FILING_STATUS=OR","EQY_CONSOLIDATED=Y","Sort=A","Dates=H","DateFormat=P","Fill=—","Direction=H","UseDPDF=Y")</f>
        <v>#NAME?</v>
      </c>
      <c r="CW35" s="4" t="e">
        <f ca="1">_xll.BDH($C$28,"ACCT_RCV_TURN","FQ2 2015","FQ2 2015","Currency=INR","Period=FQ","BEST_FPERIOD_OVERRIDE=FQ","FILING_STATUS=OR","EQY_CONSOLIDATED=Y","FA_ADJUSTED=GAAP","Sort=A","Dates=H","DateFormat=P","Fill=—","Direction=H","UseDPDF=Y")</f>
        <v>#NAME?</v>
      </c>
      <c r="CX35" s="2" t="e">
        <f ca="1">_xll.BDH($C$28,"ACCT_RCV_DAYS","FQ2 2015","FQ2 2015","Currency=INR","Period=FQ","BEST_FPERIOD_OVERRIDE=FQ","FILING_STATUS=OR","EQY_CONSOLIDATED=Y","FA_ADJUSTED=GAAP","Sort=A","Dates=H","DateFormat=P","Fill=—","Direction=H","UseDPDF=Y")</f>
        <v>#NAME?</v>
      </c>
      <c r="CY35" s="4" t="e">
        <f ca="1">_xll.BDH($C$28,"INVENT_TURN","FQ2 2015","FQ2 2015","Currency=INR","Period=FQ","BEST_FPERIOD_OVERRIDE=FQ","FILING_STATUS=OR","EQY_CONSOLIDATED=Y","FA_ADJUSTED=GAAP","Sort=A","Dates=H","DateFormat=P","Fill=—","Direction=H","UseDPDF=Y")</f>
        <v>#NAME?</v>
      </c>
      <c r="CZ35" s="2" t="e">
        <f ca="1">_xll.BDH($C$28,"INVENT_DAYS","FQ2 2015","FQ2 2015","Currency=INR","Period=FQ","BEST_FPERIOD_OVERRIDE=FQ","FILING_STATUS=OR","EQY_CONSOLIDATED=Y","FA_ADJUSTED=GAAP","Sort=A","Dates=H","DateFormat=P","Fill=—","Direction=H","UseDPDF=Y")</f>
        <v>#NAME?</v>
      </c>
      <c r="DA35" s="4" t="e">
        <f ca="1">_xll.BDH($C$28,"ACCOUNTS_PAYABLE_TURNOVER","FQ2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5" s="2" t="e">
        <f ca="1">_xll.BDH($C$28,"ACCOUNTS_PAYABLE_TURNOVER_DAYS","FQ2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5" s="4" t="e">
        <f ca="1">_xll.BDH($C$28,"CASH_CONVERSION_CYCLE","FQ2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5" s="4" t="e">
        <f ca="1">_xll.BDH($C$28,"INV_TO_CASH_DAYS","FQ2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5" s="5" t="e">
        <f ca="1">_xll.BDH($C$28,"BS_INVENTORIES","FQ2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5" s="3" t="e">
        <f ca="1">_xll.BDH($C$28,"INVTRY_RAW_MATERIALS","FQ2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5" s="3" t="e">
        <f ca="1">_xll.BDH($C$28,"INVTRY_IN_PROGRESS","FQ2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5" s="3" t="e">
        <f ca="1">_xll.BDH($C$28,"INVTRY_FINISHED_GOODS","FQ2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5" s="3" t="e">
        <f ca="1">_xll.BDH($C$28,"BS_OTHER_INV","FQ2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" spans="1:113" x14ac:dyDescent="0.3">
      <c r="A36" s="6"/>
      <c r="B36" s="6"/>
      <c r="C36" s="6"/>
      <c r="D36" s="6"/>
      <c r="E36" t="s">
        <v>80</v>
      </c>
      <c r="F36" t="e">
        <f ca="1">_xll.BDH($C$28,"RETURN_COM_EQY","FQ3 2015","FQ3 2015","Currency=INR","Period=FQ","BEST_FPERIOD_OVERRIDE=FQ","FILING_STATUS=OR","EQY_CONSOLIDATED=Y","FA_ADJUSTED=GAAP","Sort=A","Dates=H","DateFormat=P","Fill=—","Direction=H","UseDPDF=Y")</f>
        <v>#NAME?</v>
      </c>
      <c r="G36" t="e">
        <f ca="1">_xll.BDH($C$28,"RETURN_ON_ASSET","FQ3 2015","FQ3 2015","Currency=INR","Period=FQ","BEST_FPERIOD_OVERRIDE=FQ","FILING_STATUS=OR","EQY_CONSOLIDATED=Y","FA_ADJUSTED=GAAP","Sort=A","Dates=H","DateFormat=P","Fill=—","Direction=H","UseDPDF=Y")</f>
        <v>#NAME?</v>
      </c>
      <c r="H36" t="e">
        <f ca="1">_xll.BDH($C$28,"RETURN_ON_CAP","FQ3 2015","FQ3 2015","Currency=INR","Period=FQ","BEST_FPERIOD_OVERRIDE=FQ","FILING_STATUS=OR","EQY_CONSOLIDATED=Y","FA_ADJUSTED=GAAP","Sort=A","Dates=H","DateFormat=P","Fill=—","Direction=H","UseDPDF=Y")</f>
        <v>#NAME?</v>
      </c>
      <c r="I36" t="e">
        <f ca="1">_xll.BDH($C$28,"RETURN_ON_INV_CAPITAL","FQ3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" t="e">
        <f ca="1">_xll.BDH($C$28,"EBITDA_TO_REVENUE","FQ3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" t="e">
        <f ca="1">_xll.BDH($C$28,"OPER_MARGIN","FQ3 2015","FQ3 2015","Currency=INR","Period=FQ","BEST_FPERIOD_OVERRIDE=FQ","FILING_STATUS=OR","EQY_CONSOLIDATED=Y","FA_ADJUSTED=GAAP","Sort=A","Dates=H","DateFormat=P","Fill=—","Direction=H","UseDPDF=Y")</f>
        <v>#NAME?</v>
      </c>
      <c r="L36" t="e">
        <f ca="1">_xll.BDH($C$28,"INCREMENTAL_OPERATING_MARGIN","FQ3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" t="e">
        <f ca="1">_xll.BDH($C$28,"PRETAX_INC_TO_NET_SALES","FQ3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" t="e">
        <f ca="1">_xll.BDH($C$28,"INC_BEF_XO_ITEMS_TO_NET_SALES","FQ3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" t="e">
        <f ca="1">_xll.BDH($C$28,"PROF_MARGIN","FQ3 2015","FQ3 2015","Currency=INR","Period=FQ","BEST_FPERIOD_OVERRIDE=FQ","FILING_STATUS=OR","EQY_CONSOLIDATED=Y","FA_ADJUSTED=GAAP","Sort=A","Dates=H","DateFormat=P","Fill=—","Direction=H","UseDPDF=Y")</f>
        <v>#NAME?</v>
      </c>
      <c r="P36" t="e">
        <f ca="1">_xll.BDH($C$28,"NET_INCOME_TO_COMMON_MARGIN","FQ3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" t="e">
        <f ca="1">_xll.BDH($C$28,"EFF_TAX_RATE","FQ3 2015","FQ3 2015","Currency=INR","Period=FQ","BEST_FPERIOD_OVERRIDE=FQ","FILING_STATUS=OR","EQY_CONSOLIDATED=Y","FA_ADJUSTED=GAAP","Sort=A","Dates=H","DateFormat=P","Fill=—","Direction=H","UseDPDF=Y")</f>
        <v>#NAME?</v>
      </c>
      <c r="R36" t="e">
        <f ca="1">_xll.BDH($C$28,"DVD_PAYOUT_RATIO","FQ3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6" t="e">
        <f ca="1">_xll.BDH($C$28,"SUSTAIN_GROWTH_RT","FQ3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" s="2" t="e">
        <f ca="1">_xll.BDH($C$28,"SALES_GROWTH","FQ3 2015","FQ3 2015","Currency=INR","Period=FQ","BEST_FPERIOD_OVERRIDE=FQ","FILING_STATUS=OR","EQY_CONSOLIDATED=Y","FA_ADJUSTED=GAAP","Sort=A","Dates=H","DateFormat=P","Fill=—","Direction=H","UseDPDF=Y")</f>
        <v>#NAME?</v>
      </c>
      <c r="U36" s="2" t="e">
        <f ca="1">_xll.BDH($C$28,"EBITDA_GROWTH","FQ3 2015","FQ3 2015","Currency=INR","Period=FQ","BEST_FPERIOD_OVERRIDE=FQ","FILING_STATUS=OR","EQY_CONSOLIDATED=Y","FA_ADJUSTED=GAAP","Sort=A","Dates=H","DateFormat=P","Fill=—","Direction=H","UseDPDF=Y")</f>
        <v>#NAME?</v>
      </c>
      <c r="V36" s="2" t="e">
        <f ca="1">_xll.BDH($C$28,"OPER_INC_GROWTH","FQ3 2015","FQ3 2015","Currency=INR","Period=FQ","BEST_FPERIOD_OVERRIDE=FQ","FILING_STATUS=OR","EQY_CONSOLIDATED=Y","FA_ADJUSTED=GAAP","Sort=A","Dates=H","DateFormat=P","Fill=—","Direction=H","UseDPDF=Y")</f>
        <v>#NAME?</v>
      </c>
      <c r="W36" s="2" t="e">
        <f ca="1">_xll.BDH($C$28,"EARN_FOR_COM_GROWTH","FQ3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" s="2" t="e">
        <f ca="1">_xll.BDH($C$28,"DILUTED_EPS_AFT_XO_ITEMS_GROWTH","FQ3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" s="2" t="e">
        <f ca="1">_xll.BDH($C$28,"DIVIDEND_PER_SHARE_1_YEAR_GROWTH","FQ3 2015","FQ3 2015","Currency=INR","Period=FQ","BEST_FPERIOD_OVERRIDE=FQ","FILING_STATUS=OR","EQY_CONSOLIDATED=Y","Sort=A","Dates=H","DateFormat=P","Fill=—","Direction=H","UseDPDF=Y")</f>
        <v>#NAME?</v>
      </c>
      <c r="Z36" s="2" t="e">
        <f ca="1">_xll.BDH($C$28,"ACCOUNTS_RECEIVABLE_GROWTH","FQ3 2015","FQ3 2015","Currency=INR","Period=FQ","BEST_FPERIOD_OVERRIDE=FQ","FILING_STATUS=OR","EQY_CONSOLIDATED=Y","Sort=A","Dates=H","DateFormat=P","Fill=—","Direction=H","UseDPDF=Y")</f>
        <v>#NAME?</v>
      </c>
      <c r="AA36" s="2" t="e">
        <f ca="1">_xll.BDH($C$28,"INVENTORY_GROWTH","FQ3 2015","FQ3 2015","Currency=INR","Period=FQ","BEST_FPERIOD_OVERRIDE=FQ","FILING_STATUS=OR","EQY_CONSOLIDATED=Y","Sort=A","Dates=H","DateFormat=P","Fill=—","Direction=H","UseDPDF=Y")</f>
        <v>#NAME?</v>
      </c>
      <c r="AB36" s="2" t="e">
        <f ca="1">_xll.BDH($C$28,"NET_FIXED_ASSETS_1_YEAR_GROWTH","FQ3 2015","FQ3 2015","Currency=INR","Period=FQ","BEST_FPERIOD_OVERRIDE=FQ","FILING_STATUS=OR","EQY_CONSOLIDATED=Y","Sort=A","Dates=H","DateFormat=P","Fill=—","Direction=H","UseDPDF=Y")</f>
        <v>#NAME?</v>
      </c>
      <c r="AC36" s="2" t="e">
        <f ca="1">_xll.BDH($C$28,"ASSET_GROWTH","FQ3 2015","FQ3 2015","Currency=INR","Period=FQ","BEST_FPERIOD_OVERRIDE=FQ","FILING_STATUS=OR","EQY_CONSOLIDATED=Y","Sort=A","Dates=H","DateFormat=P","Fill=—","Direction=H","UseDPDF=Y")</f>
        <v>#NAME?</v>
      </c>
      <c r="AD36" s="2" t="e">
        <f ca="1">_xll.BDH($C$28,"MODIFIED_WORK_CAP_GROWTH","FQ3 2015","FQ3 2015","Currency=INR","Period=FQ","BEST_FPERIOD_OVERRIDE=FQ","FILING_STATUS=OR","EQY_CONSOLIDATED=Y","Sort=A","Dates=H","DateFormat=P","Fill=—","Direction=H","UseDPDF=Y")</f>
        <v>#NAME?</v>
      </c>
      <c r="AE36" s="2" t="e">
        <f ca="1">_xll.BDH($C$28,"WORK_CAP_GROWTH","FQ3 2015","FQ3 2015","Currency=INR","Period=FQ","BEST_FPERIOD_OVERRIDE=FQ","FILING_STATUS=OR","EQY_CONSOLIDATED=Y","Sort=A","Dates=H","DateFormat=P","Fill=—","Direction=H","UseDPDF=Y")</f>
        <v>#NAME?</v>
      </c>
      <c r="AF36" s="2" t="e">
        <f ca="1">_xll.BDH($C$28,"ACCOUNTS_PAYABLE_GROWTH_1YR","FQ3 2015","FQ3 2015","Currency=INR","Period=FQ","BEST_FPERIOD_OVERRIDE=FQ","FILING_STATUS=OR","EQY_CONSOLIDATED=Y","Sort=A","Dates=H","DateFormat=P","Fill=—","Direction=H","UseDPDF=Y")</f>
        <v>#NAME?</v>
      </c>
      <c r="AG36" s="2" t="e">
        <f ca="1">_xll.BDH($C$28,"SHORT_TERM_DEBT_1_YEAR_GROWTH","FQ3 2015","FQ3 2015","Currency=INR","Period=FQ","BEST_FPERIOD_OVERRIDE=FQ","FILING_STATUS=OR","EQY_CONSOLIDATED=Y","Sort=A","Dates=H","DateFormat=P","Fill=—","Direction=H","UseDPDF=Y")</f>
        <v>#NAME?</v>
      </c>
      <c r="AH36" s="2" t="e">
        <f ca="1">_xll.BDH($C$28,"TOTAL_DEBT_1_YEAR_GROWTH","FQ3 2015","FQ3 2015","Currency=INR","Period=FQ","BEST_FPERIOD_OVERRIDE=FQ","FILING_STATUS=OR","EQY_CONSOLIDATED=Y","Sort=A","Dates=H","DateFormat=P","Fill=—","Direction=H","UseDPDF=Y")</f>
        <v>#NAME?</v>
      </c>
      <c r="AI36" s="2" t="e">
        <f ca="1">_xll.BDH($C$28,"TOTAL_EQUITY_1_YEAR_GROWTH","FQ3 2015","FQ3 2015","Currency=INR","Period=FQ","BEST_FPERIOD_OVERRIDE=FQ","FILING_STATUS=OR","EQY_CONSOLIDATED=Y","Sort=A","Dates=H","DateFormat=P","Fill=—","Direction=H","UseDPDF=Y")</f>
        <v>#NAME?</v>
      </c>
      <c r="AJ36" s="2" t="e">
        <f ca="1">_xll.BDH($C$28,"GROWTH_IN_CAP","FQ3 2015","FQ3 2015","Currency=INR","Period=FQ","BEST_FPERIOD_OVERRIDE=FQ","FILING_STATUS=OR","EQY_CONSOLIDATED=Y","Sort=A","Dates=H","DateFormat=P","Fill=—","Direction=H","UseDPDF=Y")</f>
        <v>#NAME?</v>
      </c>
      <c r="AK36" s="2" t="e">
        <f ca="1">_xll.BDH($C$28,"BVPS_GROWTH","FQ3 2015","FQ3 2015","Currency=INR","Period=FQ","BEST_FPERIOD_OVERRIDE=FQ","FILING_STATUS=OR","EQY_CONSOLIDATED=Y","Sort=A","Dates=H","DateFormat=P","Fill=—","Direction=H","UseDPDF=Y")</f>
        <v>#NAME?</v>
      </c>
      <c r="AL36" s="2" t="e">
        <f ca="1">_xll.BDH($C$28,"CASH_FLOW_GROWTH","FQ3 2015","FQ3 2015","Currency=INR","Period=FQ","BEST_FPERIOD_OVERRIDE=FQ","FILING_STATUS=OR","EQY_CONSOLIDATED=Y","Sort=A","Dates=H","DateFormat=P","Fill=—","Direction=H","UseDPDF=Y")</f>
        <v>#NAME?</v>
      </c>
      <c r="AM36" s="2" t="e">
        <f ca="1">_xll.BDH($C$28,"GEO_GROW_NET_SALES","FQ3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" s="2" t="e">
        <f ca="1">_xll.BDH($C$28,"GEO_GROW_EBITDA","FQ3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6" s="2" t="e">
        <f ca="1">_xll.BDH($C$28,"GEO_GROW_OPER_INC","FQ3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" s="2" t="e">
        <f ca="1">_xll.BDH($C$28,"NET_INCOME_TO_COMMON_5_YR_GROWTH","FQ3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" s="2" t="e">
        <f ca="1">_xll.BDH($C$28,"5Y_GEO_GROWTH_DILUTED_EPS","FQ3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" s="2" t="e">
        <f ca="1">_xll.BDH($C$28,"GEO_GROW_DVD_PER_SH","FQ3 2015","FQ3 2015","Currency=INR","Period=FQ","BEST_FPERIOD_OVERRIDE=FQ","FILING_STATUS=OR","EQY_CONSOLIDATED=Y","Sort=A","Dates=H","DateFormat=P","Fill=—","Direction=H","UseDPDF=Y")</f>
        <v>#NAME?</v>
      </c>
      <c r="AS36" s="2" t="e">
        <f ca="1">_xll.BDH($C$28,"ACCOUNTS_RECEIVABLE_5_YR_GROWTH","FQ3 2015","FQ3 2015","Currency=INR","Period=FQ","BEST_FPERIOD_OVERRIDE=FQ","FILING_STATUS=OR","EQY_CONSOLIDATED=Y","Sort=A","Dates=H","DateFormat=P","Fill=—","Direction=H","UseDPDF=Y")</f>
        <v>#NAME?</v>
      </c>
      <c r="AT36" s="2" t="e">
        <f ca="1">_xll.BDH($C$28,"INVENTORY_5_YEAR_GROWTH","FQ3 2015","FQ3 2015","Currency=INR","Period=FQ","BEST_FPERIOD_OVERRIDE=FQ","FILING_STATUS=OR","EQY_CONSOLIDATED=Y","Sort=A","Dates=H","DateFormat=P","Fill=—","Direction=H","UseDPDF=Y")</f>
        <v>#NAME?</v>
      </c>
      <c r="AU36" s="2" t="e">
        <f ca="1">_xll.BDH($C$28,"NET_FIXED_ASSETS_5_YEAR_GROWTH","FQ3 2015","FQ3 2015","Currency=INR","Period=FQ","BEST_FPERIOD_OVERRIDE=FQ","FILING_STATUS=OR","EQY_CONSOLIDATED=Y","Sort=A","Dates=H","DateFormat=P","Fill=—","Direction=H","UseDPDF=Y")</f>
        <v>#NAME?</v>
      </c>
      <c r="AV36" s="2" t="e">
        <f ca="1">_xll.BDH($C$28,"GEO_GROW_TOT_ASSET","FQ3 2015","FQ3 2015","Currency=INR","Period=FQ","BEST_FPERIOD_OVERRIDE=FQ","FILING_STATUS=OR","EQY_CONSOLIDATED=Y","Sort=A","Dates=H","DateFormat=P","Fill=—","Direction=H","UseDPDF=Y")</f>
        <v>#NAME?</v>
      </c>
      <c r="AW36" s="2" t="e">
        <f ca="1">_xll.BDH($C$28,"MODIFIED_WORKING_CPTL_5YR_GRWTH","FQ3 2015","FQ3 2015","Currency=INR","Period=FQ","BEST_FPERIOD_OVERRIDE=FQ","FILING_STATUS=OR","EQY_CONSOLIDATED=Y","Sort=A","Dates=H","DateFormat=P","Fill=—","Direction=H","UseDPDF=Y")</f>
        <v>#NAME?</v>
      </c>
      <c r="AX36" s="2" t="e">
        <f ca="1">_xll.BDH($C$28,"WORKING_CAPITAL_5_YEAR_GROWTH","FQ3 2015","FQ3 2015","Currency=INR","Period=FQ","BEST_FPERIOD_OVERRIDE=FQ","FILING_STATUS=OR","EQY_CONSOLIDATED=Y","Sort=A","Dates=H","DateFormat=P","Fill=—","Direction=H","UseDPDF=Y")</f>
        <v>#NAME?</v>
      </c>
      <c r="AY36" s="2" t="e">
        <f ca="1">_xll.BDH($C$28,"ACCOUNTS_PAYABLE_5_YEAR_GROWTH","FQ3 2015","FQ3 2015","Currency=INR","Period=FQ","BEST_FPERIOD_OVERRIDE=FQ","FILING_STATUS=OR","EQY_CONSOLIDATED=Y","Sort=A","Dates=H","DateFormat=P","Fill=—","Direction=H","UseDPDF=Y")</f>
        <v>#NAME?</v>
      </c>
      <c r="AZ36" s="2" t="e">
        <f ca="1">_xll.BDH($C$28,"SHORT_TERM_DEBT_5_YEAR_GROWTH","FQ3 2015","FQ3 2015","Currency=INR","Period=FQ","BEST_FPERIOD_OVERRIDE=FQ","FILING_STATUS=OR","EQY_CONSOLIDATED=Y","Sort=A","Dates=H","DateFormat=P","Fill=—","Direction=H","UseDPDF=Y")</f>
        <v>#NAME?</v>
      </c>
      <c r="BA36" s="2" t="e">
        <f ca="1">_xll.BDH($C$28,"TOTAL_DEBT_5_YEAR_GROWTH","FQ3 2015","FQ3 2015","Currency=INR","Period=FQ","BEST_FPERIOD_OVERRIDE=FQ","FILING_STATUS=OR","EQY_CONSOLIDATED=Y","Sort=A","Dates=H","DateFormat=P","Fill=—","Direction=H","UseDPDF=Y")</f>
        <v>#NAME?</v>
      </c>
      <c r="BB36" s="2" t="e">
        <f ca="1">_xll.BDH($C$28,"GEO_GROW_TOT_SHRHLDR_EQY","FQ3 2015","FQ3 2015","Currency=INR","Period=FQ","BEST_FPERIOD_OVERRIDE=FQ","FILING_STATUS=OR","EQY_CONSOLIDATED=Y","Sort=A","Dates=H","DateFormat=P","Fill=—","Direction=H","UseDPDF=Y")</f>
        <v>#NAME?</v>
      </c>
      <c r="BC36" s="2" t="e">
        <f ca="1">_xll.BDH($C$28,"TOTAL_CAPITAL_5_YEAR_GROWTH","FQ3 2015","FQ3 2015","Currency=INR","Period=FQ","BEST_FPERIOD_OVERRIDE=FQ","FILING_STATUS=OR","EQY_CONSOLIDATED=Y","Sort=A","Dates=H","DateFormat=P","Fill=—","Direction=H","UseDPDF=Y")</f>
        <v>#NAME?</v>
      </c>
      <c r="BD36" s="2" t="e">
        <f ca="1">_xll.BDH($C$28,"GEO_GROW_BOOK_VAL","FQ3 2015","FQ3 2015","Currency=INR","Period=FQ","BEST_FPERIOD_OVERRIDE=FQ","FILING_STATUS=OR","EQY_CONSOLIDATED=Y","Sort=A","Dates=H","DateFormat=P","Fill=—","Direction=H","UseDPDF=Y")</f>
        <v>#NAME?</v>
      </c>
      <c r="BE36" s="2" t="e">
        <f ca="1">_xll.BDH($C$28,"GEO_GROW_CASH_OPER_ACT","FQ3 2015","FQ3 2015","Currency=INR","Period=FQ","BEST_FPERIOD_OVERRIDE=FQ","FILING_STATUS=OR","EQY_CONSOLIDATED=Y","Sort=A","Dates=H","DateFormat=P","Fill=—","Direction=H","UseDPDF=Y")</f>
        <v>#NAME?</v>
      </c>
      <c r="BF36" s="2" t="e">
        <f ca="1">_xll.BDH($C$28,"REVENUE_SEQUENTIAL_GROWTH","FQ3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" s="2" t="e">
        <f ca="1">_xll.BDH($C$28,"EBITDA_SEQUENTIAL_GROWTH","FQ3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" s="2" t="e">
        <f ca="1">_xll.BDH($C$28,"OPERATING_INCOME_SEQ_GROWTH","FQ3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" s="2" t="e">
        <f ca="1">_xll.BDH($C$28,"NET_INCOME_TO_COMMON_SEQ_GROWTH","FQ3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" s="2" t="e">
        <f ca="1">_xll.BDH($C$28,"EPS_DILUTED_SEQUENTIAL_GROWTH","FQ3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" s="2" t="e">
        <f ca="1">_xll.BDH($C$28,"DPS_SEQUENTIAL_GROWTH","FQ3 2015","FQ3 2015","Currency=INR","Period=FQ","BEST_FPERIOD_OVERRIDE=FQ","FILING_STATUS=OR","EQY_CONSOLIDATED=Y","Sort=A","Dates=H","DateFormat=P","Fill=—","Direction=H","UseDPDF=Y")</f>
        <v>#NAME?</v>
      </c>
      <c r="BL36" s="2" t="e">
        <f ca="1">_xll.BDH($C$28,"ACCOUNTS_RECEIVABLE_SEQ_GROWTH","FQ3 2015","FQ3 2015","Currency=INR","Period=FQ","BEST_FPERIOD_OVERRIDE=FQ","FILING_STATUS=OR","EQY_CONSOLIDATED=Y","Sort=A","Dates=H","DateFormat=P","Fill=—","Direction=H","UseDPDF=Y")</f>
        <v>#NAME?</v>
      </c>
      <c r="BM36" s="2" t="e">
        <f ca="1">_xll.BDH($C$28,"INVENTORY_SEQUENTIAL_GROWTH","FQ3 2015","FQ3 2015","Currency=INR","Period=FQ","BEST_FPERIOD_OVERRIDE=FQ","FILING_STATUS=OR","EQY_CONSOLIDATED=Y","Sort=A","Dates=H","DateFormat=P","Fill=—","Direction=H","UseDPDF=Y")</f>
        <v>#NAME?</v>
      </c>
      <c r="BN36" s="2" t="e">
        <f ca="1">_xll.BDH($C$28,"FIXED_ASSETS_SEQUENTIAL_GROWTH","FQ3 2015","FQ3 2015","Currency=INR","Period=FQ","BEST_FPERIOD_OVERRIDE=FQ","FILING_STATUS=OR","EQY_CONSOLIDATED=Y","Sort=A","Dates=H","DateFormat=P","Fill=—","Direction=H","UseDPDF=Y")</f>
        <v>#NAME?</v>
      </c>
      <c r="BO36" s="2" t="e">
        <f ca="1">_xll.BDH($C$28,"TOTAL_ASSETS_SEQUENTIAL_GROWTH","FQ3 2015","FQ3 2015","Currency=INR","Period=FQ","BEST_FPERIOD_OVERRIDE=FQ","FILING_STATUS=OR","EQY_CONSOLIDATED=Y","Sort=A","Dates=H","DateFormat=P","Fill=—","Direction=H","UseDPDF=Y")</f>
        <v>#NAME?</v>
      </c>
      <c r="BP36" s="2" t="e">
        <f ca="1">_xll.BDH($C$28,"MODIFIED_WORKING_CPTL_SEQ_GRWTH","FQ3 2015","FQ3 2015","Currency=INR","Period=FQ","BEST_FPERIOD_OVERRIDE=FQ","FILING_STATUS=OR","EQY_CONSOLIDATED=Y","Sort=A","Dates=H","DateFormat=P","Fill=—","Direction=H","UseDPDF=Y")</f>
        <v>#NAME?</v>
      </c>
      <c r="BQ36" s="2" t="e">
        <f ca="1">_xll.BDH($C$28,"WORKING_CAPITAL_SEQ_GROWTH","FQ3 2015","FQ3 2015","Currency=INR","Period=FQ","BEST_FPERIOD_OVERRIDE=FQ","FILING_STATUS=OR","EQY_CONSOLIDATED=Y","Sort=A","Dates=H","DateFormat=P","Fill=—","Direction=H","UseDPDF=Y")</f>
        <v>#NAME?</v>
      </c>
      <c r="BR36" s="2" t="e">
        <f ca="1">_xll.BDH($C$28,"ACCOUNTS_PAYABLE_SEQ_GROWTH","FQ3 2015","FQ3 2015","Currency=INR","Period=FQ","BEST_FPERIOD_OVERRIDE=FQ","FILING_STATUS=OR","EQY_CONSOLIDATED=Y","Sort=A","Dates=H","DateFormat=P","Fill=—","Direction=H","UseDPDF=Y")</f>
        <v>#NAME?</v>
      </c>
      <c r="BS36" s="2" t="e">
        <f ca="1">_xll.BDH($C$28,"ST_DEBT_SEQUENTIAL_GROWTH","FQ3 2015","FQ3 2015","Currency=INR","Period=FQ","BEST_FPERIOD_OVERRIDE=FQ","FILING_STATUS=OR","EQY_CONSOLIDATED=Y","Sort=A","Dates=H","DateFormat=P","Fill=—","Direction=H","UseDPDF=Y")</f>
        <v>#NAME?</v>
      </c>
      <c r="BT36" s="2" t="e">
        <f ca="1">_xll.BDH($C$28,"TOTAL_DEBT_SEQUENTIAL_GROWTH","FQ3 2015","FQ3 2015","Currency=INR","Period=FQ","BEST_FPERIOD_OVERRIDE=FQ","FILING_STATUS=OR","EQY_CONSOLIDATED=Y","Sort=A","Dates=H","DateFormat=P","Fill=—","Direction=H","UseDPDF=Y")</f>
        <v>#NAME?</v>
      </c>
      <c r="BU36" s="2" t="e">
        <f ca="1">_xll.BDH($C$28,"TOTAL_EQUITY_SEQUENTIAL_GROWTH","FQ3 2015","FQ3 2015","Currency=INR","Period=FQ","BEST_FPERIOD_OVERRIDE=FQ","FILING_STATUS=OR","EQY_CONSOLIDATED=Y","Sort=A","Dates=H","DateFormat=P","Fill=—","Direction=H","UseDPDF=Y")</f>
        <v>#NAME?</v>
      </c>
      <c r="BV36" s="2" t="e">
        <f ca="1">_xll.BDH($C$28,"TOTAL_CAPITAL_SEQUENTIAL_GROWTH","FQ3 2015","FQ3 2015","Currency=INR","Period=FQ","BEST_FPERIOD_OVERRIDE=FQ","FILING_STATUS=OR","EQY_CONSOLIDATED=Y","Sort=A","Dates=H","DateFormat=P","Fill=—","Direction=H","UseDPDF=Y")</f>
        <v>#NAME?</v>
      </c>
      <c r="BW36" s="2" t="e">
        <f ca="1">_xll.BDH($C$28,"BPS_SEQUENTIAL_GROWTH","FQ3 2015","FQ3 2015","Currency=INR","Period=FQ","BEST_FPERIOD_OVERRIDE=FQ","FILING_STATUS=OR","EQY_CONSOLIDATED=Y","Sort=A","Dates=H","DateFormat=P","Fill=—","Direction=H","UseDPDF=Y")</f>
        <v>#NAME?</v>
      </c>
      <c r="BX36" s="2" t="e">
        <f ca="1">_xll.BDH($C$28,"CFO_SEQUENTIAL_GROWTH","FQ3 2015","FQ3 2015","Currency=INR","Period=FQ","BEST_FPERIOD_OVERRIDE=FQ","FILING_STATUS=OR","EQY_CONSOLIDATED=Y","Sort=A","Dates=H","DateFormat=P","Fill=—","Direction=H","UseDPDF=Y")</f>
        <v>#NAME?</v>
      </c>
      <c r="BY36" s="3" t="e">
        <f ca="1">_xll.BDH($C$28,"SHORT_AND_LONG_TERM_DEBT","FQ3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" s="3" t="e">
        <f ca="1">_xll.BDH($C$28,"BS_ST_BORROW","FQ3 2015","FQ3 2015","Currency=INR","Period=FQ","BEST_FPERIOD_OVERRIDE=FQ","FILING_STATUS=OR","EQY_CONSOLIDATED=Y","SCALING_FORMAT=MLN","Sort=A","Dates=H","DateFormat=P","Fill=—","Direction=H","UseDPDF=Y")</f>
        <v>#NAME?</v>
      </c>
      <c r="CA36" s="3" t="e">
        <f ca="1">_xll.BDH($C$28,"BS_LT_BORROW","FQ3 2015","FQ3 2015","Currency=INR","Period=FQ","BEST_FPERIOD_OVERRIDE=FQ","FILING_STATUS=OR","EQY_CONSOLIDATED=Y","SCALING_FORMAT=MLN","Sort=A","Dates=H","DateFormat=P","Fill=—","Direction=H","UseDPDF=Y")</f>
        <v>#NAME?</v>
      </c>
      <c r="CB36" s="2" t="e">
        <f ca="1">_xll.BDH($C$28,"TOT_DEBT_TO_EBITDA","FQ3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" s="2" t="e">
        <f ca="1">_xll.BDH($C$28,"NET_DEBT_TO_EBITDA","FQ3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" s="2" t="e">
        <f ca="1">_xll.BDH($C$28,"TOTAL_DEBT_TO_EBIT","FQ3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" s="2" t="e">
        <f ca="1">_xll.BDH($C$28,"NET_DEBT_TO_EBIT","FQ3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" s="2" t="e">
        <f ca="1">_xll.BDH($C$28,"EBITDA_TO_INTEREST_EXPN","FQ3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" s="2" t="e">
        <f ca="1">_xll.BDH($C$28,"COM_EQY_TO_TOT_ASSET","FQ3 2015","FQ3 2015","Currency=INR","Period=FQ","BEST_FPERIOD_OVERRIDE=FQ","FILING_STATUS=OR","EQY_CONSOLIDATED=Y","Sort=A","Dates=H","DateFormat=P","Fill=—","Direction=H","UseDPDF=Y")</f>
        <v>#NAME?</v>
      </c>
      <c r="CH36" s="2" t="e">
        <f ca="1">_xll.BDH($C$28,"LT_DEBT_TO_TOT_EQY","FQ3 2015","FQ3 2015","Currency=INR","Period=FQ","BEST_FPERIOD_OVERRIDE=FQ","FILING_STATUS=OR","EQY_CONSOLIDATED=Y","Sort=A","Dates=H","DateFormat=P","Fill=—","Direction=H","UseDPDF=Y")</f>
        <v>#NAME?</v>
      </c>
      <c r="CI36" s="2" t="e">
        <f ca="1">_xll.BDH($C$28,"LT_DEBT_TO_TOT_CAP","FQ3 2015","FQ3 2015","Currency=INR","Period=FQ","BEST_FPERIOD_OVERRIDE=FQ","FILING_STATUS=OR","EQY_CONSOLIDATED=Y","Sort=A","Dates=H","DateFormat=P","Fill=—","Direction=H","UseDPDF=Y")</f>
        <v>#NAME?</v>
      </c>
      <c r="CJ36" s="2" t="e">
        <f ca="1">_xll.BDH($C$28,"LT_DEBT_TO_TOT_ASSET","FQ3 2015","FQ3 2015","Currency=INR","Period=FQ","BEST_FPERIOD_OVERRIDE=FQ","FILING_STATUS=OR","EQY_CONSOLIDATED=Y","Sort=A","Dates=H","DateFormat=P","Fill=—","Direction=H","UseDPDF=Y")</f>
        <v>#NAME?</v>
      </c>
      <c r="CK36" s="2" t="e">
        <f ca="1">_xll.BDH($C$28,"TOT_DEBT_TO_TOT_EQY","FQ3 2015","FQ3 2015","Currency=INR","Period=FQ","BEST_FPERIOD_OVERRIDE=FQ","FILING_STATUS=OR","EQY_CONSOLIDATED=Y","Sort=A","Dates=H","DateFormat=P","Fill=—","Direction=H","UseDPDF=Y")</f>
        <v>#NAME?</v>
      </c>
      <c r="CL36" s="2" t="e">
        <f ca="1">_xll.BDH($C$28,"TOT_DEBT_TO_TOT_CAP","FQ3 2015","FQ3 2015","Currency=INR","Period=FQ","BEST_FPERIOD_OVERRIDE=FQ","FILING_STATUS=OR","EQY_CONSOLIDATED=Y","Sort=A","Dates=H","DateFormat=P","Fill=—","Direction=H","UseDPDF=Y")</f>
        <v>#NAME?</v>
      </c>
      <c r="CM36" s="2" t="e">
        <f ca="1">_xll.BDH($C$28,"TOT_DEBT_TO_TOT_ASSET","FQ3 2015","FQ3 2015","Currency=INR","Period=FQ","BEST_FPERIOD_OVERRIDE=FQ","FILING_STATUS=OR","EQY_CONSOLIDATED=Y","Sort=A","Dates=H","DateFormat=P","Fill=—","Direction=H","UseDPDF=Y")</f>
        <v>#NAME?</v>
      </c>
      <c r="CN36" s="2" t="e">
        <f ca="1">_xll.BDH($C$28,"NET_DEBT_TO_SHRHLDR_EQTY","FQ3 2015","FQ3 2015","Currency=INR","Period=FQ","BEST_FPERIOD_OVERRIDE=FQ","FILING_STATUS=OR","EQY_CONSOLIDATED=Y","Sort=A","Dates=H","DateFormat=P","Fill=—","Direction=H","UseDPDF=Y")</f>
        <v>#NAME?</v>
      </c>
      <c r="CO36" s="2" t="e">
        <f ca="1">_xll.BDH($C$28,"NET_DEBT_%_CAPITAL","FQ3 2015","FQ3 2015","Currency=INR","Period=FQ","BEST_FPERIOD_OVERRIDE=FQ","FILING_STATUS=OR","EQY_CONSOLIDATED=Y","Sort=A","Dates=H","DateFormat=P","Fill=—","Direction=H","UseDPDF=Y")</f>
        <v>#NAME?</v>
      </c>
      <c r="CP36" s="3" t="e">
        <f ca="1">_xll.BDH($C$28,"EBITDA","FQ3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" s="3" t="e">
        <f ca="1">_xll.BDH($C$28,"EBITDA_AFTER_CAPEX","FQ3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" s="3" t="e">
        <f ca="1">_xll.BDH($C$28,"IS_OPER_INC","FQ3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" s="2" t="e">
        <f ca="1">_xll.BDH($C$28,"CASH_RATIO","FQ3 2015","FQ3 2015","Currency=INR","Period=FQ","BEST_FPERIOD_OVERRIDE=FQ","FILING_STATUS=OR","EQY_CONSOLIDATED=Y","Sort=A","Dates=H","DateFormat=P","Fill=—","Direction=H","UseDPDF=Y")</f>
        <v>#NAME?</v>
      </c>
      <c r="CT36" s="2" t="e">
        <f ca="1">_xll.BDH($C$28,"CUR_RATIO","FQ3 2015","FQ3 2015","Currency=INR","Period=FQ","BEST_FPERIOD_OVERRIDE=FQ","FILING_STATUS=OR","EQY_CONSOLIDATED=Y","Sort=A","Dates=H","DateFormat=P","Fill=—","Direction=H","UseDPDF=Y")</f>
        <v>#NAME?</v>
      </c>
      <c r="CU36" s="2" t="e">
        <f ca="1">_xll.BDH($C$28,"QUICK_RATIO","FQ3 2015","FQ3 2015","Currency=INR","Period=FQ","BEST_FPERIOD_OVERRIDE=FQ","FILING_STATUS=OR","EQY_CONSOLIDATED=Y","Sort=A","Dates=H","DateFormat=P","Fill=—","Direction=H","UseDPDF=Y")</f>
        <v>#NAME?</v>
      </c>
      <c r="CV36" s="2" t="e">
        <f ca="1">_xll.BDH($C$28,"ALTMAN_Z_SCORE","FQ3 2015","FQ3 2015","Currency=INR","Period=FQ","BEST_FPERIOD_OVERRIDE=FQ","FILING_STATUS=OR","EQY_CONSOLIDATED=Y","Sort=A","Dates=H","DateFormat=P","Fill=—","Direction=H","UseDPDF=Y")</f>
        <v>#NAME?</v>
      </c>
      <c r="CW36" s="4" t="e">
        <f ca="1">_xll.BDH($C$28,"ACCT_RCV_TURN","FQ3 2015","FQ3 2015","Currency=INR","Period=FQ","BEST_FPERIOD_OVERRIDE=FQ","FILING_STATUS=OR","EQY_CONSOLIDATED=Y","FA_ADJUSTED=GAAP","Sort=A","Dates=H","DateFormat=P","Fill=—","Direction=H","UseDPDF=Y")</f>
        <v>#NAME?</v>
      </c>
      <c r="CX36" s="2" t="e">
        <f ca="1">_xll.BDH($C$28,"ACCT_RCV_DAYS","FQ3 2015","FQ3 2015","Currency=INR","Period=FQ","BEST_FPERIOD_OVERRIDE=FQ","FILING_STATUS=OR","EQY_CONSOLIDATED=Y","FA_ADJUSTED=GAAP","Sort=A","Dates=H","DateFormat=P","Fill=—","Direction=H","UseDPDF=Y")</f>
        <v>#NAME?</v>
      </c>
      <c r="CY36" s="4" t="e">
        <f ca="1">_xll.BDH($C$28,"INVENT_TURN","FQ3 2015","FQ3 2015","Currency=INR","Period=FQ","BEST_FPERIOD_OVERRIDE=FQ","FILING_STATUS=OR","EQY_CONSOLIDATED=Y","FA_ADJUSTED=GAAP","Sort=A","Dates=H","DateFormat=P","Fill=—","Direction=H","UseDPDF=Y")</f>
        <v>#NAME?</v>
      </c>
      <c r="CZ36" s="2" t="e">
        <f ca="1">_xll.BDH($C$28,"INVENT_DAYS","FQ3 2015","FQ3 2015","Currency=INR","Period=FQ","BEST_FPERIOD_OVERRIDE=FQ","FILING_STATUS=OR","EQY_CONSOLIDATED=Y","FA_ADJUSTED=GAAP","Sort=A","Dates=H","DateFormat=P","Fill=—","Direction=H","UseDPDF=Y")</f>
        <v>#NAME?</v>
      </c>
      <c r="DA36" s="4" t="e">
        <f ca="1">_xll.BDH($C$28,"ACCOUNTS_PAYABLE_TURNOVER","FQ3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" s="2" t="e">
        <f ca="1">_xll.BDH($C$28,"ACCOUNTS_PAYABLE_TURNOVER_DAYS","FQ3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" s="4" t="e">
        <f ca="1">_xll.BDH($C$28,"CASH_CONVERSION_CYCLE","FQ3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" s="4" t="e">
        <f ca="1">_xll.BDH($C$28,"INV_TO_CASH_DAYS","FQ3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" s="5" t="e">
        <f ca="1">_xll.BDH($C$28,"BS_INVENTORIES","FQ3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" s="3" t="e">
        <f ca="1">_xll.BDH($C$28,"INVTRY_RAW_MATERIALS","FQ3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" s="3" t="e">
        <f ca="1">_xll.BDH($C$28,"INVTRY_IN_PROGRESS","FQ3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" s="3" t="e">
        <f ca="1">_xll.BDH($C$28,"INVTRY_FINISHED_GOODS","FQ3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" s="3" t="e">
        <f ca="1">_xll.BDH($C$28,"BS_OTHER_INV","FQ3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7" spans="1:113" x14ac:dyDescent="0.3">
      <c r="A37" s="6"/>
      <c r="B37" s="6"/>
      <c r="C37" s="6"/>
      <c r="D37" s="6"/>
      <c r="E37" t="s">
        <v>81</v>
      </c>
      <c r="F37" t="e">
        <f ca="1">_xll.BDH($C$28,"RETURN_COM_EQY","FQ4 2015","FQ4 2015","Currency=INR","Period=FQ","BEST_FPERIOD_OVERRIDE=FQ","FILING_STATUS=OR","EQY_CONSOLIDATED=Y","FA_ADJUSTED=GAAP","Sort=A","Dates=H","DateFormat=P","Fill=—","Direction=H","UseDPDF=Y")</f>
        <v>#NAME?</v>
      </c>
      <c r="G37" t="e">
        <f ca="1">_xll.BDH($C$28,"RETURN_ON_ASSET","FQ4 2015","FQ4 2015","Currency=INR","Period=FQ","BEST_FPERIOD_OVERRIDE=FQ","FILING_STATUS=OR","EQY_CONSOLIDATED=Y","FA_ADJUSTED=GAAP","Sort=A","Dates=H","DateFormat=P","Fill=—","Direction=H","UseDPDF=Y")</f>
        <v>#NAME?</v>
      </c>
      <c r="H37" t="e">
        <f ca="1">_xll.BDH($C$28,"RETURN_ON_CAP","FQ4 2015","FQ4 2015","Currency=INR","Period=FQ","BEST_FPERIOD_OVERRIDE=FQ","FILING_STATUS=OR","EQY_CONSOLIDATED=Y","FA_ADJUSTED=GAAP","Sort=A","Dates=H","DateFormat=P","Fill=—","Direction=H","UseDPDF=Y")</f>
        <v>#NAME?</v>
      </c>
      <c r="I37" t="e">
        <f ca="1">_xll.BDH($C$28,"RETURN_ON_INV_CAPITAL","FQ4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7" t="e">
        <f ca="1">_xll.BDH($C$28,"EBITDA_TO_REVENUE","FQ4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7" t="e">
        <f ca="1">_xll.BDH($C$28,"OPER_MARGIN","FQ4 2015","FQ4 2015","Currency=INR","Period=FQ","BEST_FPERIOD_OVERRIDE=FQ","FILING_STATUS=OR","EQY_CONSOLIDATED=Y","FA_ADJUSTED=GAAP","Sort=A","Dates=H","DateFormat=P","Fill=—","Direction=H","UseDPDF=Y")</f>
        <v>#NAME?</v>
      </c>
      <c r="L37" t="e">
        <f ca="1">_xll.BDH($C$28,"INCREMENTAL_OPERATING_MARGIN","FQ4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7" t="e">
        <f ca="1">_xll.BDH($C$28,"PRETAX_INC_TO_NET_SALES","FQ4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7" t="e">
        <f ca="1">_xll.BDH($C$28,"INC_BEF_XO_ITEMS_TO_NET_SALES","FQ4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7" t="e">
        <f ca="1">_xll.BDH($C$28,"PROF_MARGIN","FQ4 2015","FQ4 2015","Currency=INR","Period=FQ","BEST_FPERIOD_OVERRIDE=FQ","FILING_STATUS=OR","EQY_CONSOLIDATED=Y","FA_ADJUSTED=GAAP","Sort=A","Dates=H","DateFormat=P","Fill=—","Direction=H","UseDPDF=Y")</f>
        <v>#NAME?</v>
      </c>
      <c r="P37" t="e">
        <f ca="1">_xll.BDH($C$28,"NET_INCOME_TO_COMMON_MARGIN","FQ4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7" t="e">
        <f ca="1">_xll.BDH($C$28,"EFF_TAX_RATE","FQ4 2015","FQ4 2015","Currency=INR","Period=FQ","BEST_FPERIOD_OVERRIDE=FQ","FILING_STATUS=OR","EQY_CONSOLIDATED=Y","FA_ADJUSTED=GAAP","Sort=A","Dates=H","DateFormat=P","Fill=—","Direction=H","UseDPDF=Y")</f>
        <v>#NAME?</v>
      </c>
      <c r="R37" t="e">
        <f ca="1">_xll.BDH($C$28,"DVD_PAYOUT_RATIO","FQ4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7" t="e">
        <f ca="1">_xll.BDH($C$28,"SUSTAIN_GROWTH_RT","FQ4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7" s="2" t="e">
        <f ca="1">_xll.BDH($C$28,"SALES_GROWTH","FQ4 2015","FQ4 2015","Currency=INR","Period=FQ","BEST_FPERIOD_OVERRIDE=FQ","FILING_STATUS=OR","EQY_CONSOLIDATED=Y","FA_ADJUSTED=GAAP","Sort=A","Dates=H","DateFormat=P","Fill=—","Direction=H","UseDPDF=Y")</f>
        <v>#NAME?</v>
      </c>
      <c r="U37" s="2" t="e">
        <f ca="1">_xll.BDH($C$28,"EBITDA_GROWTH","FQ4 2015","FQ4 2015","Currency=INR","Period=FQ","BEST_FPERIOD_OVERRIDE=FQ","FILING_STATUS=OR","EQY_CONSOLIDATED=Y","FA_ADJUSTED=GAAP","Sort=A","Dates=H","DateFormat=P","Fill=—","Direction=H","UseDPDF=Y")</f>
        <v>#NAME?</v>
      </c>
      <c r="V37" s="2" t="e">
        <f ca="1">_xll.BDH($C$28,"OPER_INC_GROWTH","FQ4 2015","FQ4 2015","Currency=INR","Period=FQ","BEST_FPERIOD_OVERRIDE=FQ","FILING_STATUS=OR","EQY_CONSOLIDATED=Y","FA_ADJUSTED=GAAP","Sort=A","Dates=H","DateFormat=P","Fill=—","Direction=H","UseDPDF=Y")</f>
        <v>#NAME?</v>
      </c>
      <c r="W37" s="2" t="e">
        <f ca="1">_xll.BDH($C$28,"EARN_FOR_COM_GROWTH","FQ4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7" s="2" t="e">
        <f ca="1">_xll.BDH($C$28,"DILUTED_EPS_AFT_XO_ITEMS_GROWTH","FQ4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7" s="2" t="e">
        <f ca="1">_xll.BDH($C$28,"DIVIDEND_PER_SHARE_1_YEAR_GROWTH","FQ4 2015","FQ4 2015","Currency=INR","Period=FQ","BEST_FPERIOD_OVERRIDE=FQ","FILING_STATUS=OR","EQY_CONSOLIDATED=Y","Sort=A","Dates=H","DateFormat=P","Fill=—","Direction=H","UseDPDF=Y")</f>
        <v>#NAME?</v>
      </c>
      <c r="Z37" s="2" t="e">
        <f ca="1">_xll.BDH($C$28,"ACCOUNTS_RECEIVABLE_GROWTH","FQ4 2015","FQ4 2015","Currency=INR","Period=FQ","BEST_FPERIOD_OVERRIDE=FQ","FILING_STATUS=OR","EQY_CONSOLIDATED=Y","Sort=A","Dates=H","DateFormat=P","Fill=—","Direction=H","UseDPDF=Y")</f>
        <v>#NAME?</v>
      </c>
      <c r="AA37" s="2" t="e">
        <f ca="1">_xll.BDH($C$28,"INVENTORY_GROWTH","FQ4 2015","FQ4 2015","Currency=INR","Period=FQ","BEST_FPERIOD_OVERRIDE=FQ","FILING_STATUS=OR","EQY_CONSOLIDATED=Y","Sort=A","Dates=H","DateFormat=P","Fill=—","Direction=H","UseDPDF=Y")</f>
        <v>#NAME?</v>
      </c>
      <c r="AB37" s="2" t="e">
        <f ca="1">_xll.BDH($C$28,"NET_FIXED_ASSETS_1_YEAR_GROWTH","FQ4 2015","FQ4 2015","Currency=INR","Period=FQ","BEST_FPERIOD_OVERRIDE=FQ","FILING_STATUS=OR","EQY_CONSOLIDATED=Y","Sort=A","Dates=H","DateFormat=P","Fill=—","Direction=H","UseDPDF=Y")</f>
        <v>#NAME?</v>
      </c>
      <c r="AC37" s="2" t="e">
        <f ca="1">_xll.BDH($C$28,"ASSET_GROWTH","FQ4 2015","FQ4 2015","Currency=INR","Period=FQ","BEST_FPERIOD_OVERRIDE=FQ","FILING_STATUS=OR","EQY_CONSOLIDATED=Y","Sort=A","Dates=H","DateFormat=P","Fill=—","Direction=H","UseDPDF=Y")</f>
        <v>#NAME?</v>
      </c>
      <c r="AD37" s="2" t="e">
        <f ca="1">_xll.BDH($C$28,"MODIFIED_WORK_CAP_GROWTH","FQ4 2015","FQ4 2015","Currency=INR","Period=FQ","BEST_FPERIOD_OVERRIDE=FQ","FILING_STATUS=OR","EQY_CONSOLIDATED=Y","Sort=A","Dates=H","DateFormat=P","Fill=—","Direction=H","UseDPDF=Y")</f>
        <v>#NAME?</v>
      </c>
      <c r="AE37" s="2" t="e">
        <f ca="1">_xll.BDH($C$28,"WORK_CAP_GROWTH","FQ4 2015","FQ4 2015","Currency=INR","Period=FQ","BEST_FPERIOD_OVERRIDE=FQ","FILING_STATUS=OR","EQY_CONSOLIDATED=Y","Sort=A","Dates=H","DateFormat=P","Fill=—","Direction=H","UseDPDF=Y")</f>
        <v>#NAME?</v>
      </c>
      <c r="AF37" s="2" t="e">
        <f ca="1">_xll.BDH($C$28,"ACCOUNTS_PAYABLE_GROWTH_1YR","FQ4 2015","FQ4 2015","Currency=INR","Period=FQ","BEST_FPERIOD_OVERRIDE=FQ","FILING_STATUS=OR","EQY_CONSOLIDATED=Y","Sort=A","Dates=H","DateFormat=P","Fill=—","Direction=H","UseDPDF=Y")</f>
        <v>#NAME?</v>
      </c>
      <c r="AG37" s="2" t="e">
        <f ca="1">_xll.BDH($C$28,"SHORT_TERM_DEBT_1_YEAR_GROWTH","FQ4 2015","FQ4 2015","Currency=INR","Period=FQ","BEST_FPERIOD_OVERRIDE=FQ","FILING_STATUS=OR","EQY_CONSOLIDATED=Y","Sort=A","Dates=H","DateFormat=P","Fill=—","Direction=H","UseDPDF=Y")</f>
        <v>#NAME?</v>
      </c>
      <c r="AH37" s="2" t="e">
        <f ca="1">_xll.BDH($C$28,"TOTAL_DEBT_1_YEAR_GROWTH","FQ4 2015","FQ4 2015","Currency=INR","Period=FQ","BEST_FPERIOD_OVERRIDE=FQ","FILING_STATUS=OR","EQY_CONSOLIDATED=Y","Sort=A","Dates=H","DateFormat=P","Fill=—","Direction=H","UseDPDF=Y")</f>
        <v>#NAME?</v>
      </c>
      <c r="AI37" s="2" t="e">
        <f ca="1">_xll.BDH($C$28,"TOTAL_EQUITY_1_YEAR_GROWTH","FQ4 2015","FQ4 2015","Currency=INR","Period=FQ","BEST_FPERIOD_OVERRIDE=FQ","FILING_STATUS=OR","EQY_CONSOLIDATED=Y","Sort=A","Dates=H","DateFormat=P","Fill=—","Direction=H","UseDPDF=Y")</f>
        <v>#NAME?</v>
      </c>
      <c r="AJ37" s="2" t="e">
        <f ca="1">_xll.BDH($C$28,"GROWTH_IN_CAP","FQ4 2015","FQ4 2015","Currency=INR","Period=FQ","BEST_FPERIOD_OVERRIDE=FQ","FILING_STATUS=OR","EQY_CONSOLIDATED=Y","Sort=A","Dates=H","DateFormat=P","Fill=—","Direction=H","UseDPDF=Y")</f>
        <v>#NAME?</v>
      </c>
      <c r="AK37" s="2" t="e">
        <f ca="1">_xll.BDH($C$28,"BVPS_GROWTH","FQ4 2015","FQ4 2015","Currency=INR","Period=FQ","BEST_FPERIOD_OVERRIDE=FQ","FILING_STATUS=OR","EQY_CONSOLIDATED=Y","Sort=A","Dates=H","DateFormat=P","Fill=—","Direction=H","UseDPDF=Y")</f>
        <v>#NAME?</v>
      </c>
      <c r="AL37" s="2" t="e">
        <f ca="1">_xll.BDH($C$28,"CASH_FLOW_GROWTH","FQ4 2015","FQ4 2015","Currency=INR","Period=FQ","BEST_FPERIOD_OVERRIDE=FQ","FILING_STATUS=OR","EQY_CONSOLIDATED=Y","Sort=A","Dates=H","DateFormat=P","Fill=—","Direction=H","UseDPDF=Y")</f>
        <v>#NAME?</v>
      </c>
      <c r="AM37" s="2" t="e">
        <f ca="1">_xll.BDH($C$28,"GEO_GROW_NET_SALES","FQ4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7" s="2" t="e">
        <f ca="1">_xll.BDH($C$28,"GEO_GROW_EBITDA","FQ4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7" s="2" t="e">
        <f ca="1">_xll.BDH($C$28,"GEO_GROW_OPER_INC","FQ4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7" s="2" t="e">
        <f ca="1">_xll.BDH($C$28,"NET_INCOME_TO_COMMON_5_YR_GROWTH","FQ4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7" s="2" t="e">
        <f ca="1">_xll.BDH($C$28,"5Y_GEO_GROWTH_DILUTED_EPS","FQ4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7" s="2" t="e">
        <f ca="1">_xll.BDH($C$28,"GEO_GROW_DVD_PER_SH","FQ4 2015","FQ4 2015","Currency=INR","Period=FQ","BEST_FPERIOD_OVERRIDE=FQ","FILING_STATUS=OR","EQY_CONSOLIDATED=Y","Sort=A","Dates=H","DateFormat=P","Fill=—","Direction=H","UseDPDF=Y")</f>
        <v>#NAME?</v>
      </c>
      <c r="AS37" s="2" t="e">
        <f ca="1">_xll.BDH($C$28,"ACCOUNTS_RECEIVABLE_5_YR_GROWTH","FQ4 2015","FQ4 2015","Currency=INR","Period=FQ","BEST_FPERIOD_OVERRIDE=FQ","FILING_STATUS=OR","EQY_CONSOLIDATED=Y","Sort=A","Dates=H","DateFormat=P","Fill=—","Direction=H","UseDPDF=Y")</f>
        <v>#NAME?</v>
      </c>
      <c r="AT37" s="2" t="e">
        <f ca="1">_xll.BDH($C$28,"INVENTORY_5_YEAR_GROWTH","FQ4 2015","FQ4 2015","Currency=INR","Period=FQ","BEST_FPERIOD_OVERRIDE=FQ","FILING_STATUS=OR","EQY_CONSOLIDATED=Y","Sort=A","Dates=H","DateFormat=P","Fill=—","Direction=H","UseDPDF=Y")</f>
        <v>#NAME?</v>
      </c>
      <c r="AU37" s="2" t="e">
        <f ca="1">_xll.BDH($C$28,"NET_FIXED_ASSETS_5_YEAR_GROWTH","FQ4 2015","FQ4 2015","Currency=INR","Period=FQ","BEST_FPERIOD_OVERRIDE=FQ","FILING_STATUS=OR","EQY_CONSOLIDATED=Y","Sort=A","Dates=H","DateFormat=P","Fill=—","Direction=H","UseDPDF=Y")</f>
        <v>#NAME?</v>
      </c>
      <c r="AV37" s="2" t="e">
        <f ca="1">_xll.BDH($C$28,"GEO_GROW_TOT_ASSET","FQ4 2015","FQ4 2015","Currency=INR","Period=FQ","BEST_FPERIOD_OVERRIDE=FQ","FILING_STATUS=OR","EQY_CONSOLIDATED=Y","Sort=A","Dates=H","DateFormat=P","Fill=—","Direction=H","UseDPDF=Y")</f>
        <v>#NAME?</v>
      </c>
      <c r="AW37" s="2" t="e">
        <f ca="1">_xll.BDH($C$28,"MODIFIED_WORKING_CPTL_5YR_GRWTH","FQ4 2015","FQ4 2015","Currency=INR","Period=FQ","BEST_FPERIOD_OVERRIDE=FQ","FILING_STATUS=OR","EQY_CONSOLIDATED=Y","Sort=A","Dates=H","DateFormat=P","Fill=—","Direction=H","UseDPDF=Y")</f>
        <v>#NAME?</v>
      </c>
      <c r="AX37" s="2" t="e">
        <f ca="1">_xll.BDH($C$28,"WORKING_CAPITAL_5_YEAR_GROWTH","FQ4 2015","FQ4 2015","Currency=INR","Period=FQ","BEST_FPERIOD_OVERRIDE=FQ","FILING_STATUS=OR","EQY_CONSOLIDATED=Y","Sort=A","Dates=H","DateFormat=P","Fill=—","Direction=H","UseDPDF=Y")</f>
        <v>#NAME?</v>
      </c>
      <c r="AY37" s="2" t="e">
        <f ca="1">_xll.BDH($C$28,"ACCOUNTS_PAYABLE_5_YEAR_GROWTH","FQ4 2015","FQ4 2015","Currency=INR","Period=FQ","BEST_FPERIOD_OVERRIDE=FQ","FILING_STATUS=OR","EQY_CONSOLIDATED=Y","Sort=A","Dates=H","DateFormat=P","Fill=—","Direction=H","UseDPDF=Y")</f>
        <v>#NAME?</v>
      </c>
      <c r="AZ37" s="2" t="e">
        <f ca="1">_xll.BDH($C$28,"SHORT_TERM_DEBT_5_YEAR_GROWTH","FQ4 2015","FQ4 2015","Currency=INR","Period=FQ","BEST_FPERIOD_OVERRIDE=FQ","FILING_STATUS=OR","EQY_CONSOLIDATED=Y","Sort=A","Dates=H","DateFormat=P","Fill=—","Direction=H","UseDPDF=Y")</f>
        <v>#NAME?</v>
      </c>
      <c r="BA37" s="2" t="e">
        <f ca="1">_xll.BDH($C$28,"TOTAL_DEBT_5_YEAR_GROWTH","FQ4 2015","FQ4 2015","Currency=INR","Period=FQ","BEST_FPERIOD_OVERRIDE=FQ","FILING_STATUS=OR","EQY_CONSOLIDATED=Y","Sort=A","Dates=H","DateFormat=P","Fill=—","Direction=H","UseDPDF=Y")</f>
        <v>#NAME?</v>
      </c>
      <c r="BB37" s="2" t="e">
        <f ca="1">_xll.BDH($C$28,"GEO_GROW_TOT_SHRHLDR_EQY","FQ4 2015","FQ4 2015","Currency=INR","Period=FQ","BEST_FPERIOD_OVERRIDE=FQ","FILING_STATUS=OR","EQY_CONSOLIDATED=Y","Sort=A","Dates=H","DateFormat=P","Fill=—","Direction=H","UseDPDF=Y")</f>
        <v>#NAME?</v>
      </c>
      <c r="BC37" s="2" t="e">
        <f ca="1">_xll.BDH($C$28,"TOTAL_CAPITAL_5_YEAR_GROWTH","FQ4 2015","FQ4 2015","Currency=INR","Period=FQ","BEST_FPERIOD_OVERRIDE=FQ","FILING_STATUS=OR","EQY_CONSOLIDATED=Y","Sort=A","Dates=H","DateFormat=P","Fill=—","Direction=H","UseDPDF=Y")</f>
        <v>#NAME?</v>
      </c>
      <c r="BD37" s="2" t="e">
        <f ca="1">_xll.BDH($C$28,"GEO_GROW_BOOK_VAL","FQ4 2015","FQ4 2015","Currency=INR","Period=FQ","BEST_FPERIOD_OVERRIDE=FQ","FILING_STATUS=OR","EQY_CONSOLIDATED=Y","Sort=A","Dates=H","DateFormat=P","Fill=—","Direction=H","UseDPDF=Y")</f>
        <v>#NAME?</v>
      </c>
      <c r="BE37" s="2" t="e">
        <f ca="1">_xll.BDH($C$28,"GEO_GROW_CASH_OPER_ACT","FQ4 2015","FQ4 2015","Currency=INR","Period=FQ","BEST_FPERIOD_OVERRIDE=FQ","FILING_STATUS=OR","EQY_CONSOLIDATED=Y","Sort=A","Dates=H","DateFormat=P","Fill=—","Direction=H","UseDPDF=Y")</f>
        <v>#NAME?</v>
      </c>
      <c r="BF37" s="2" t="e">
        <f ca="1">_xll.BDH($C$28,"REVENUE_SEQUENTIAL_GROWTH","FQ4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7" s="2" t="e">
        <f ca="1">_xll.BDH($C$28,"EBITDA_SEQUENTIAL_GROWTH","FQ4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7" s="2" t="e">
        <f ca="1">_xll.BDH($C$28,"OPERATING_INCOME_SEQ_GROWTH","FQ4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7" s="2" t="e">
        <f ca="1">_xll.BDH($C$28,"NET_INCOME_TO_COMMON_SEQ_GROWTH","FQ4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7" s="2" t="e">
        <f ca="1">_xll.BDH($C$28,"EPS_DILUTED_SEQUENTIAL_GROWTH","FQ4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7" s="2" t="e">
        <f ca="1">_xll.BDH($C$28,"DPS_SEQUENTIAL_GROWTH","FQ4 2015","FQ4 2015","Currency=INR","Period=FQ","BEST_FPERIOD_OVERRIDE=FQ","FILING_STATUS=OR","EQY_CONSOLIDATED=Y","Sort=A","Dates=H","DateFormat=P","Fill=—","Direction=H","UseDPDF=Y")</f>
        <v>#NAME?</v>
      </c>
      <c r="BL37" s="2" t="e">
        <f ca="1">_xll.BDH($C$28,"ACCOUNTS_RECEIVABLE_SEQ_GROWTH","FQ4 2015","FQ4 2015","Currency=INR","Period=FQ","BEST_FPERIOD_OVERRIDE=FQ","FILING_STATUS=OR","EQY_CONSOLIDATED=Y","Sort=A","Dates=H","DateFormat=P","Fill=—","Direction=H","UseDPDF=Y")</f>
        <v>#NAME?</v>
      </c>
      <c r="BM37" s="2" t="e">
        <f ca="1">_xll.BDH($C$28,"INVENTORY_SEQUENTIAL_GROWTH","FQ4 2015","FQ4 2015","Currency=INR","Period=FQ","BEST_FPERIOD_OVERRIDE=FQ","FILING_STATUS=OR","EQY_CONSOLIDATED=Y","Sort=A","Dates=H","DateFormat=P","Fill=—","Direction=H","UseDPDF=Y")</f>
        <v>#NAME?</v>
      </c>
      <c r="BN37" s="2" t="e">
        <f ca="1">_xll.BDH($C$28,"FIXED_ASSETS_SEQUENTIAL_GROWTH","FQ4 2015","FQ4 2015","Currency=INR","Period=FQ","BEST_FPERIOD_OVERRIDE=FQ","FILING_STATUS=OR","EQY_CONSOLIDATED=Y","Sort=A","Dates=H","DateFormat=P","Fill=—","Direction=H","UseDPDF=Y")</f>
        <v>#NAME?</v>
      </c>
      <c r="BO37" s="2" t="e">
        <f ca="1">_xll.BDH($C$28,"TOTAL_ASSETS_SEQUENTIAL_GROWTH","FQ4 2015","FQ4 2015","Currency=INR","Period=FQ","BEST_FPERIOD_OVERRIDE=FQ","FILING_STATUS=OR","EQY_CONSOLIDATED=Y","Sort=A","Dates=H","DateFormat=P","Fill=—","Direction=H","UseDPDF=Y")</f>
        <v>#NAME?</v>
      </c>
      <c r="BP37" s="2" t="e">
        <f ca="1">_xll.BDH($C$28,"MODIFIED_WORKING_CPTL_SEQ_GRWTH","FQ4 2015","FQ4 2015","Currency=INR","Period=FQ","BEST_FPERIOD_OVERRIDE=FQ","FILING_STATUS=OR","EQY_CONSOLIDATED=Y","Sort=A","Dates=H","DateFormat=P","Fill=—","Direction=H","UseDPDF=Y")</f>
        <v>#NAME?</v>
      </c>
      <c r="BQ37" s="2" t="e">
        <f ca="1">_xll.BDH($C$28,"WORKING_CAPITAL_SEQ_GROWTH","FQ4 2015","FQ4 2015","Currency=INR","Period=FQ","BEST_FPERIOD_OVERRIDE=FQ","FILING_STATUS=OR","EQY_CONSOLIDATED=Y","Sort=A","Dates=H","DateFormat=P","Fill=—","Direction=H","UseDPDF=Y")</f>
        <v>#NAME?</v>
      </c>
      <c r="BR37" s="2" t="e">
        <f ca="1">_xll.BDH($C$28,"ACCOUNTS_PAYABLE_SEQ_GROWTH","FQ4 2015","FQ4 2015","Currency=INR","Period=FQ","BEST_FPERIOD_OVERRIDE=FQ","FILING_STATUS=OR","EQY_CONSOLIDATED=Y","Sort=A","Dates=H","DateFormat=P","Fill=—","Direction=H","UseDPDF=Y")</f>
        <v>#NAME?</v>
      </c>
      <c r="BS37" s="2" t="e">
        <f ca="1">_xll.BDH($C$28,"ST_DEBT_SEQUENTIAL_GROWTH","FQ4 2015","FQ4 2015","Currency=INR","Period=FQ","BEST_FPERIOD_OVERRIDE=FQ","FILING_STATUS=OR","EQY_CONSOLIDATED=Y","Sort=A","Dates=H","DateFormat=P","Fill=—","Direction=H","UseDPDF=Y")</f>
        <v>#NAME?</v>
      </c>
      <c r="BT37" s="2" t="e">
        <f ca="1">_xll.BDH($C$28,"TOTAL_DEBT_SEQUENTIAL_GROWTH","FQ4 2015","FQ4 2015","Currency=INR","Period=FQ","BEST_FPERIOD_OVERRIDE=FQ","FILING_STATUS=OR","EQY_CONSOLIDATED=Y","Sort=A","Dates=H","DateFormat=P","Fill=—","Direction=H","UseDPDF=Y")</f>
        <v>#NAME?</v>
      </c>
      <c r="BU37" s="2" t="e">
        <f ca="1">_xll.BDH($C$28,"TOTAL_EQUITY_SEQUENTIAL_GROWTH","FQ4 2015","FQ4 2015","Currency=INR","Period=FQ","BEST_FPERIOD_OVERRIDE=FQ","FILING_STATUS=OR","EQY_CONSOLIDATED=Y","Sort=A","Dates=H","DateFormat=P","Fill=—","Direction=H","UseDPDF=Y")</f>
        <v>#NAME?</v>
      </c>
      <c r="BV37" s="2" t="e">
        <f ca="1">_xll.BDH($C$28,"TOTAL_CAPITAL_SEQUENTIAL_GROWTH","FQ4 2015","FQ4 2015","Currency=INR","Period=FQ","BEST_FPERIOD_OVERRIDE=FQ","FILING_STATUS=OR","EQY_CONSOLIDATED=Y","Sort=A","Dates=H","DateFormat=P","Fill=—","Direction=H","UseDPDF=Y")</f>
        <v>#NAME?</v>
      </c>
      <c r="BW37" s="2" t="e">
        <f ca="1">_xll.BDH($C$28,"BPS_SEQUENTIAL_GROWTH","FQ4 2015","FQ4 2015","Currency=INR","Period=FQ","BEST_FPERIOD_OVERRIDE=FQ","FILING_STATUS=OR","EQY_CONSOLIDATED=Y","Sort=A","Dates=H","DateFormat=P","Fill=—","Direction=H","UseDPDF=Y")</f>
        <v>#NAME?</v>
      </c>
      <c r="BX37" s="2" t="e">
        <f ca="1">_xll.BDH($C$28,"CFO_SEQUENTIAL_GROWTH","FQ4 2015","FQ4 2015","Currency=INR","Period=FQ","BEST_FPERIOD_OVERRIDE=FQ","FILING_STATUS=OR","EQY_CONSOLIDATED=Y","Sort=A","Dates=H","DateFormat=P","Fill=—","Direction=H","UseDPDF=Y")</f>
        <v>#NAME?</v>
      </c>
      <c r="BY37" s="3" t="e">
        <f ca="1">_xll.BDH($C$28,"SHORT_AND_LONG_TERM_DEBT","FQ4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7" s="3" t="e">
        <f ca="1">_xll.BDH($C$28,"BS_ST_BORROW","FQ4 2015","FQ4 2015","Currency=INR","Period=FQ","BEST_FPERIOD_OVERRIDE=FQ","FILING_STATUS=OR","EQY_CONSOLIDATED=Y","SCALING_FORMAT=MLN","Sort=A","Dates=H","DateFormat=P","Fill=—","Direction=H","UseDPDF=Y")</f>
        <v>#NAME?</v>
      </c>
      <c r="CA37" s="3" t="e">
        <f ca="1">_xll.BDH($C$28,"BS_LT_BORROW","FQ4 2015","FQ4 2015","Currency=INR","Period=FQ","BEST_FPERIOD_OVERRIDE=FQ","FILING_STATUS=OR","EQY_CONSOLIDATED=Y","SCALING_FORMAT=MLN","Sort=A","Dates=H","DateFormat=P","Fill=—","Direction=H","UseDPDF=Y")</f>
        <v>#NAME?</v>
      </c>
      <c r="CB37" s="2" t="e">
        <f ca="1">_xll.BDH($C$28,"TOT_DEBT_TO_EBITDA","FQ4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7" s="2" t="e">
        <f ca="1">_xll.BDH($C$28,"NET_DEBT_TO_EBITDA","FQ4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7" s="2" t="e">
        <f ca="1">_xll.BDH($C$28,"TOTAL_DEBT_TO_EBIT","FQ4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7" s="2" t="e">
        <f ca="1">_xll.BDH($C$28,"NET_DEBT_TO_EBIT","FQ4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7" s="2" t="e">
        <f ca="1">_xll.BDH($C$28,"EBITDA_TO_INTEREST_EXPN","FQ4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7" s="2" t="e">
        <f ca="1">_xll.BDH($C$28,"COM_EQY_TO_TOT_ASSET","FQ4 2015","FQ4 2015","Currency=INR","Period=FQ","BEST_FPERIOD_OVERRIDE=FQ","FILING_STATUS=OR","EQY_CONSOLIDATED=Y","Sort=A","Dates=H","DateFormat=P","Fill=—","Direction=H","UseDPDF=Y")</f>
        <v>#NAME?</v>
      </c>
      <c r="CH37" s="2" t="e">
        <f ca="1">_xll.BDH($C$28,"LT_DEBT_TO_TOT_EQY","FQ4 2015","FQ4 2015","Currency=INR","Period=FQ","BEST_FPERIOD_OVERRIDE=FQ","FILING_STATUS=OR","EQY_CONSOLIDATED=Y","Sort=A","Dates=H","DateFormat=P","Fill=—","Direction=H","UseDPDF=Y")</f>
        <v>#NAME?</v>
      </c>
      <c r="CI37" s="2" t="e">
        <f ca="1">_xll.BDH($C$28,"LT_DEBT_TO_TOT_CAP","FQ4 2015","FQ4 2015","Currency=INR","Period=FQ","BEST_FPERIOD_OVERRIDE=FQ","FILING_STATUS=OR","EQY_CONSOLIDATED=Y","Sort=A","Dates=H","DateFormat=P","Fill=—","Direction=H","UseDPDF=Y")</f>
        <v>#NAME?</v>
      </c>
      <c r="CJ37" s="2" t="e">
        <f ca="1">_xll.BDH($C$28,"LT_DEBT_TO_TOT_ASSET","FQ4 2015","FQ4 2015","Currency=INR","Period=FQ","BEST_FPERIOD_OVERRIDE=FQ","FILING_STATUS=OR","EQY_CONSOLIDATED=Y","Sort=A","Dates=H","DateFormat=P","Fill=—","Direction=H","UseDPDF=Y")</f>
        <v>#NAME?</v>
      </c>
      <c r="CK37" s="2" t="e">
        <f ca="1">_xll.BDH($C$28,"TOT_DEBT_TO_TOT_EQY","FQ4 2015","FQ4 2015","Currency=INR","Period=FQ","BEST_FPERIOD_OVERRIDE=FQ","FILING_STATUS=OR","EQY_CONSOLIDATED=Y","Sort=A","Dates=H","DateFormat=P","Fill=—","Direction=H","UseDPDF=Y")</f>
        <v>#NAME?</v>
      </c>
      <c r="CL37" s="2" t="e">
        <f ca="1">_xll.BDH($C$28,"TOT_DEBT_TO_TOT_CAP","FQ4 2015","FQ4 2015","Currency=INR","Period=FQ","BEST_FPERIOD_OVERRIDE=FQ","FILING_STATUS=OR","EQY_CONSOLIDATED=Y","Sort=A","Dates=H","DateFormat=P","Fill=—","Direction=H","UseDPDF=Y")</f>
        <v>#NAME?</v>
      </c>
      <c r="CM37" s="2" t="e">
        <f ca="1">_xll.BDH($C$28,"TOT_DEBT_TO_TOT_ASSET","FQ4 2015","FQ4 2015","Currency=INR","Period=FQ","BEST_FPERIOD_OVERRIDE=FQ","FILING_STATUS=OR","EQY_CONSOLIDATED=Y","Sort=A","Dates=H","DateFormat=P","Fill=—","Direction=H","UseDPDF=Y")</f>
        <v>#NAME?</v>
      </c>
      <c r="CN37" s="2" t="e">
        <f ca="1">_xll.BDH($C$28,"NET_DEBT_TO_SHRHLDR_EQTY","FQ4 2015","FQ4 2015","Currency=INR","Period=FQ","BEST_FPERIOD_OVERRIDE=FQ","FILING_STATUS=OR","EQY_CONSOLIDATED=Y","Sort=A","Dates=H","DateFormat=P","Fill=—","Direction=H","UseDPDF=Y")</f>
        <v>#NAME?</v>
      </c>
      <c r="CO37" s="2" t="e">
        <f ca="1">_xll.BDH($C$28,"NET_DEBT_%_CAPITAL","FQ4 2015","FQ4 2015","Currency=INR","Period=FQ","BEST_FPERIOD_OVERRIDE=FQ","FILING_STATUS=OR","EQY_CONSOLIDATED=Y","Sort=A","Dates=H","DateFormat=P","Fill=—","Direction=H","UseDPDF=Y")</f>
        <v>#NAME?</v>
      </c>
      <c r="CP37" s="3" t="e">
        <f ca="1">_xll.BDH($C$28,"EBITDA","FQ4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7" s="3" t="e">
        <f ca="1">_xll.BDH($C$28,"EBITDA_AFTER_CAPEX","FQ4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7" s="3" t="e">
        <f ca="1">_xll.BDH($C$28,"IS_OPER_INC","FQ4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7" s="2" t="e">
        <f ca="1">_xll.BDH($C$28,"CASH_RATIO","FQ4 2015","FQ4 2015","Currency=INR","Period=FQ","BEST_FPERIOD_OVERRIDE=FQ","FILING_STATUS=OR","EQY_CONSOLIDATED=Y","Sort=A","Dates=H","DateFormat=P","Fill=—","Direction=H","UseDPDF=Y")</f>
        <v>#NAME?</v>
      </c>
      <c r="CT37" s="2" t="e">
        <f ca="1">_xll.BDH($C$28,"CUR_RATIO","FQ4 2015","FQ4 2015","Currency=INR","Period=FQ","BEST_FPERIOD_OVERRIDE=FQ","FILING_STATUS=OR","EQY_CONSOLIDATED=Y","Sort=A","Dates=H","DateFormat=P","Fill=—","Direction=H","UseDPDF=Y")</f>
        <v>#NAME?</v>
      </c>
      <c r="CU37" s="2" t="e">
        <f ca="1">_xll.BDH($C$28,"QUICK_RATIO","FQ4 2015","FQ4 2015","Currency=INR","Period=FQ","BEST_FPERIOD_OVERRIDE=FQ","FILING_STATUS=OR","EQY_CONSOLIDATED=Y","Sort=A","Dates=H","DateFormat=P","Fill=—","Direction=H","UseDPDF=Y")</f>
        <v>#NAME?</v>
      </c>
      <c r="CV37" s="2" t="e">
        <f ca="1">_xll.BDH($C$28,"ALTMAN_Z_SCORE","FQ4 2015","FQ4 2015","Currency=INR","Period=FQ","BEST_FPERIOD_OVERRIDE=FQ","FILING_STATUS=OR","EQY_CONSOLIDATED=Y","Sort=A","Dates=H","DateFormat=P","Fill=—","Direction=H","UseDPDF=Y")</f>
        <v>#NAME?</v>
      </c>
      <c r="CW37" s="4" t="e">
        <f ca="1">_xll.BDH($C$28,"ACCT_RCV_TURN","FQ4 2015","FQ4 2015","Currency=INR","Period=FQ","BEST_FPERIOD_OVERRIDE=FQ","FILING_STATUS=OR","EQY_CONSOLIDATED=Y","FA_ADJUSTED=GAAP","Sort=A","Dates=H","DateFormat=P","Fill=—","Direction=H","UseDPDF=Y")</f>
        <v>#NAME?</v>
      </c>
      <c r="CX37" s="2" t="e">
        <f ca="1">_xll.BDH($C$28,"ACCT_RCV_DAYS","FQ4 2015","FQ4 2015","Currency=INR","Period=FQ","BEST_FPERIOD_OVERRIDE=FQ","FILING_STATUS=OR","EQY_CONSOLIDATED=Y","FA_ADJUSTED=GAAP","Sort=A","Dates=H","DateFormat=P","Fill=—","Direction=H","UseDPDF=Y")</f>
        <v>#NAME?</v>
      </c>
      <c r="CY37" s="4" t="e">
        <f ca="1">_xll.BDH($C$28,"INVENT_TURN","FQ4 2015","FQ4 2015","Currency=INR","Period=FQ","BEST_FPERIOD_OVERRIDE=FQ","FILING_STATUS=OR","EQY_CONSOLIDATED=Y","FA_ADJUSTED=GAAP","Sort=A","Dates=H","DateFormat=P","Fill=—","Direction=H","UseDPDF=Y")</f>
        <v>#NAME?</v>
      </c>
      <c r="CZ37" s="2" t="e">
        <f ca="1">_xll.BDH($C$28,"INVENT_DAYS","FQ4 2015","FQ4 2015","Currency=INR","Period=FQ","BEST_FPERIOD_OVERRIDE=FQ","FILING_STATUS=OR","EQY_CONSOLIDATED=Y","FA_ADJUSTED=GAAP","Sort=A","Dates=H","DateFormat=P","Fill=—","Direction=H","UseDPDF=Y")</f>
        <v>#NAME?</v>
      </c>
      <c r="DA37" s="4" t="e">
        <f ca="1">_xll.BDH($C$28,"ACCOUNTS_PAYABLE_TURNOVER","FQ4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7" s="2" t="e">
        <f ca="1">_xll.BDH($C$28,"ACCOUNTS_PAYABLE_TURNOVER_DAYS","FQ4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7" s="4" t="e">
        <f ca="1">_xll.BDH($C$28,"CASH_CONVERSION_CYCLE","FQ4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7" s="4" t="e">
        <f ca="1">_xll.BDH($C$28,"INV_TO_CASH_DAYS","FQ4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7" s="5" t="e">
        <f ca="1">_xll.BDH($C$28,"BS_INVENTORIES","FQ4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7" s="3" t="e">
        <f ca="1">_xll.BDH($C$28,"INVTRY_RAW_MATERIALS","FQ4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7" s="3" t="e">
        <f ca="1">_xll.BDH($C$28,"INVTRY_IN_PROGRESS","FQ4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7" s="3" t="e">
        <f ca="1">_xll.BDH($C$28,"INVTRY_FINISHED_GOODS","FQ4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7" s="3" t="e">
        <f ca="1">_xll.BDH($C$28,"BS_OTHER_INV","FQ4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" spans="1:113" x14ac:dyDescent="0.3">
      <c r="A38" s="6"/>
      <c r="B38" s="6"/>
      <c r="C38" s="6"/>
      <c r="D38" s="6" t="s">
        <v>83</v>
      </c>
      <c r="E38" t="s">
        <v>77</v>
      </c>
      <c r="F38" t="e">
        <f ca="1">_xll.BDH($C$28,"RETURN_COM_EQY","FY 2016","FY 2016","Currency=INR","Period=FY","BEST_FPERIOD_OVERRIDE=FY","FILING_STATUS=OR","EQY_CONSOLIDATED=Y","FA_ADJUSTED=GAAP","Sort=A","Dates=H","DateFormat=P","Fill=—","Direction=H","UseDPDF=Y")</f>
        <v>#NAME?</v>
      </c>
      <c r="G38" t="e">
        <f ca="1">_xll.BDH($C$28,"RETURN_ON_ASSET","FY 2016","FY 2016","Currency=INR","Period=FY","BEST_FPERIOD_OVERRIDE=FY","FILING_STATUS=OR","EQY_CONSOLIDATED=Y","FA_ADJUSTED=GAAP","Sort=A","Dates=H","DateFormat=P","Fill=—","Direction=H","UseDPDF=Y")</f>
        <v>#NAME?</v>
      </c>
      <c r="H38" t="e">
        <f ca="1">_xll.BDH($C$28,"RETURN_ON_CAP","FY 2016","FY 2016","Currency=INR","Period=FY","BEST_FPERIOD_OVERRIDE=FY","FILING_STATUS=OR","EQY_CONSOLIDATED=Y","FA_ADJUSTED=GAAP","Sort=A","Dates=H","DateFormat=P","Fill=—","Direction=H","UseDPDF=Y")</f>
        <v>#NAME?</v>
      </c>
      <c r="I38" t="e">
        <f ca="1">_xll.BDH($C$28,"RETURN_ON_INV_CAPITAL","FY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" t="e">
        <f ca="1">_xll.BDH($C$28,"EBITDA_TO_REVENUE","FY 2016","FY 2016","Currency=INR","Period=FY","BEST_FPERIOD_OVERRIDE=FY","FILING_STATUS=OR","EQY_CONSOLIDATED=Y","FA_ADJUSTED=GAAP","Sort=A","Dates=H","DateFormat=P","Fill=—","Direction=H","UseDPDF=Y")</f>
        <v>#NAME?</v>
      </c>
      <c r="K38" t="e">
        <f ca="1">_xll.BDH($C$28,"OPER_MARGIN","FY 2016","FY 2016","Currency=INR","Period=FY","BEST_FPERIOD_OVERRIDE=FY","FILING_STATUS=OR","EQY_CONSOLIDATED=Y","FA_ADJUSTED=GAAP","Sort=A","Dates=H","DateFormat=P","Fill=—","Direction=H","UseDPDF=Y")</f>
        <v>#NAME?</v>
      </c>
      <c r="L38" t="e">
        <f ca="1">_xll.BDH($C$28,"INCREMENTAL_OPERATING_MARGIN","FY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" t="e">
        <f ca="1">_xll.BDH($C$28,"PRETAX_INC_TO_NET_SALES","FY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" t="e">
        <f ca="1">_xll.BDH($C$28,"INC_BEF_XO_ITEMS_TO_NET_SALES","FY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" t="e">
        <f ca="1">_xll.BDH($C$28,"PROF_MARGIN","FY 2016","FY 2016","Currency=INR","Period=FY","BEST_FPERIOD_OVERRIDE=FY","FILING_STATUS=OR","EQY_CONSOLIDATED=Y","FA_ADJUSTED=GAAP","Sort=A","Dates=H","DateFormat=P","Fill=—","Direction=H","UseDPDF=Y")</f>
        <v>#NAME?</v>
      </c>
      <c r="P38" t="e">
        <f ca="1">_xll.BDH($C$28,"NET_INCOME_TO_COMMON_MARGIN","FY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" t="e">
        <f ca="1">_xll.BDH($C$28,"EFF_TAX_RATE","FY 2016","FY 2016","Currency=INR","Period=FY","BEST_FPERIOD_OVERRIDE=FY","FILING_STATUS=OR","EQY_CONSOLIDATED=Y","FA_ADJUSTED=GAAP","Sort=A","Dates=H","DateFormat=P","Fill=—","Direction=H","UseDPDF=Y")</f>
        <v>#NAME?</v>
      </c>
      <c r="R38" t="e">
        <f ca="1">_xll.BDH($C$28,"DVD_PAYOUT_RATIO","FY 2016","FY 2016","Currency=INR","Period=FY","BEST_FPERIOD_OVERRIDE=FY","FILING_STATUS=OR","EQY_CONSOLIDATED=Y","FA_ADJUSTED=GAAP","Sort=A","Dates=H","DateFormat=P","Fill=—","Direction=H","UseDPDF=Y")</f>
        <v>#NAME?</v>
      </c>
      <c r="S38" t="e">
        <f ca="1">_xll.BDH($C$28,"SUSTAIN_GROWTH_RT","FY 2016","FY 2016","Currency=INR","Period=FY","BEST_FPERIOD_OVERRIDE=FY","FILING_STATUS=OR","EQY_CONSOLIDATED=Y","FA_ADJUSTED=GAAP","Sort=A","Dates=H","DateFormat=P","Fill=—","Direction=H","UseDPDF=Y")</f>
        <v>#NAME?</v>
      </c>
      <c r="T38" s="2" t="e">
        <f ca="1">_xll.BDH($C$28,"SALES_GROWTH","FY 2016","FY 2016","Currency=INR","Period=FY","BEST_FPERIOD_OVERRIDE=FY","FILING_STATUS=OR","EQY_CONSOLIDATED=Y","FA_ADJUSTED=GAAP","Sort=A","Dates=H","DateFormat=P","Fill=—","Direction=H","UseDPDF=Y")</f>
        <v>#NAME?</v>
      </c>
      <c r="U38" s="2" t="e">
        <f ca="1">_xll.BDH($C$28,"EBITDA_GROWTH","FY 2016","FY 2016","Currency=INR","Period=FY","BEST_FPERIOD_OVERRIDE=FY","FILING_STATUS=OR","EQY_CONSOLIDATED=Y","FA_ADJUSTED=GAAP","Sort=A","Dates=H","DateFormat=P","Fill=—","Direction=H","UseDPDF=Y")</f>
        <v>#NAME?</v>
      </c>
      <c r="V38" s="2" t="e">
        <f ca="1">_xll.BDH($C$28,"OPER_INC_GROWTH","FY 2016","FY 2016","Currency=INR","Period=FY","BEST_FPERIOD_OVERRIDE=FY","FILING_STATUS=OR","EQY_CONSOLIDATED=Y","FA_ADJUSTED=GAAP","Sort=A","Dates=H","DateFormat=P","Fill=—","Direction=H","UseDPDF=Y")</f>
        <v>#NAME?</v>
      </c>
      <c r="W38" s="2" t="e">
        <f ca="1">_xll.BDH($C$28,"EARN_FOR_COM_GROWTH","FY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" s="2" t="e">
        <f ca="1">_xll.BDH($C$28,"DILUTED_EPS_AFT_XO_ITEMS_GROWTH","FY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" s="2" t="e">
        <f ca="1">_xll.BDH($C$28,"DIVIDEND_PER_SHARE_1_YEAR_GROWTH","FY 2016","FY 2016","Currency=INR","Period=FY","BEST_FPERIOD_OVERRIDE=FY","FILING_STATUS=OR","EQY_CONSOLIDATED=Y","Sort=A","Dates=H","DateFormat=P","Fill=—","Direction=H","UseDPDF=Y")</f>
        <v>#NAME?</v>
      </c>
      <c r="Z38" s="2" t="e">
        <f ca="1">_xll.BDH($C$28,"ACCOUNTS_RECEIVABLE_GROWTH","FY 2016","FY 2016","Currency=INR","Period=FY","BEST_FPERIOD_OVERRIDE=FY","FILING_STATUS=OR","EQY_CONSOLIDATED=Y","Sort=A","Dates=H","DateFormat=P","Fill=—","Direction=H","UseDPDF=Y")</f>
        <v>#NAME?</v>
      </c>
      <c r="AA38" s="2" t="e">
        <f ca="1">_xll.BDH($C$28,"INVENTORY_GROWTH","FY 2016","FY 2016","Currency=INR","Period=FY","BEST_FPERIOD_OVERRIDE=FY","FILING_STATUS=OR","EQY_CONSOLIDATED=Y","Sort=A","Dates=H","DateFormat=P","Fill=—","Direction=H","UseDPDF=Y")</f>
        <v>#NAME?</v>
      </c>
      <c r="AB38" s="2" t="e">
        <f ca="1">_xll.BDH($C$28,"NET_FIXED_ASSETS_1_YEAR_GROWTH","FY 2016","FY 2016","Currency=INR","Period=FY","BEST_FPERIOD_OVERRIDE=FY","FILING_STATUS=OR","EQY_CONSOLIDATED=Y","Sort=A","Dates=H","DateFormat=P","Fill=—","Direction=H","UseDPDF=Y")</f>
        <v>#NAME?</v>
      </c>
      <c r="AC38" s="2" t="e">
        <f ca="1">_xll.BDH($C$28,"ASSET_GROWTH","FY 2016","FY 2016","Currency=INR","Period=FY","BEST_FPERIOD_OVERRIDE=FY","FILING_STATUS=OR","EQY_CONSOLIDATED=Y","Sort=A","Dates=H","DateFormat=P","Fill=—","Direction=H","UseDPDF=Y")</f>
        <v>#NAME?</v>
      </c>
      <c r="AD38" s="2" t="e">
        <f ca="1">_xll.BDH($C$28,"MODIFIED_WORK_CAP_GROWTH","FY 2016","FY 2016","Currency=INR","Period=FY","BEST_FPERIOD_OVERRIDE=FY","FILING_STATUS=OR","EQY_CONSOLIDATED=Y","Sort=A","Dates=H","DateFormat=P","Fill=—","Direction=H","UseDPDF=Y")</f>
        <v>#NAME?</v>
      </c>
      <c r="AE38" s="2" t="e">
        <f ca="1">_xll.BDH($C$28,"WORK_CAP_GROWTH","FY 2016","FY 2016","Currency=INR","Period=FY","BEST_FPERIOD_OVERRIDE=FY","FILING_STATUS=OR","EQY_CONSOLIDATED=Y","Sort=A","Dates=H","DateFormat=P","Fill=—","Direction=H","UseDPDF=Y")</f>
        <v>#NAME?</v>
      </c>
      <c r="AF38" s="2" t="e">
        <f ca="1">_xll.BDH($C$28,"ACCOUNTS_PAYABLE_GROWTH_1YR","FY 2016","FY 2016","Currency=INR","Period=FY","BEST_FPERIOD_OVERRIDE=FY","FILING_STATUS=OR","EQY_CONSOLIDATED=Y","Sort=A","Dates=H","DateFormat=P","Fill=—","Direction=H","UseDPDF=Y")</f>
        <v>#NAME?</v>
      </c>
      <c r="AG38" s="2" t="e">
        <f ca="1">_xll.BDH($C$28,"SHORT_TERM_DEBT_1_YEAR_GROWTH","FY 2016","FY 2016","Currency=INR","Period=FY","BEST_FPERIOD_OVERRIDE=FY","FILING_STATUS=OR","EQY_CONSOLIDATED=Y","Sort=A","Dates=H","DateFormat=P","Fill=—","Direction=H","UseDPDF=Y")</f>
        <v>#NAME?</v>
      </c>
      <c r="AH38" s="2" t="e">
        <f ca="1">_xll.BDH($C$28,"TOTAL_DEBT_1_YEAR_GROWTH","FY 2016","FY 2016","Currency=INR","Period=FY","BEST_FPERIOD_OVERRIDE=FY","FILING_STATUS=OR","EQY_CONSOLIDATED=Y","Sort=A","Dates=H","DateFormat=P","Fill=—","Direction=H","UseDPDF=Y")</f>
        <v>#NAME?</v>
      </c>
      <c r="AI38" s="2" t="e">
        <f ca="1">_xll.BDH($C$28,"TOTAL_EQUITY_1_YEAR_GROWTH","FY 2016","FY 2016","Currency=INR","Period=FY","BEST_FPERIOD_OVERRIDE=FY","FILING_STATUS=OR","EQY_CONSOLIDATED=Y","Sort=A","Dates=H","DateFormat=P","Fill=—","Direction=H","UseDPDF=Y")</f>
        <v>#NAME?</v>
      </c>
      <c r="AJ38" s="2" t="e">
        <f ca="1">_xll.BDH($C$28,"GROWTH_IN_CAP","FY 2016","FY 2016","Currency=INR","Period=FY","BEST_FPERIOD_OVERRIDE=FY","FILING_STATUS=OR","EQY_CONSOLIDATED=Y","Sort=A","Dates=H","DateFormat=P","Fill=—","Direction=H","UseDPDF=Y")</f>
        <v>#NAME?</v>
      </c>
      <c r="AK38" s="2" t="e">
        <f ca="1">_xll.BDH($C$28,"BVPS_GROWTH","FY 2016","FY 2016","Currency=INR","Period=FY","BEST_FPERIOD_OVERRIDE=FY","FILING_STATUS=OR","EQY_CONSOLIDATED=Y","Sort=A","Dates=H","DateFormat=P","Fill=—","Direction=H","UseDPDF=Y")</f>
        <v>#NAME?</v>
      </c>
      <c r="AL38" s="2" t="e">
        <f ca="1">_xll.BDH($C$28,"CASH_FLOW_GROWTH","FY 2016","FY 2016","Currency=INR","Period=FY","BEST_FPERIOD_OVERRIDE=FY","FILING_STATUS=OR","EQY_CONSOLIDATED=Y","Sort=A","Dates=H","DateFormat=P","Fill=—","Direction=H","UseDPDF=Y")</f>
        <v>#NAME?</v>
      </c>
      <c r="AM38" s="2" t="e">
        <f ca="1">_xll.BDH($C$28,"GEO_GROW_NET_SALES","FY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" s="2" t="e">
        <f ca="1">_xll.BDH($C$28,"GEO_GROW_EBITDA","FY 2016","FY 2016","Currency=INR","Period=FY","BEST_FPERIOD_OVERRIDE=FY","FILING_STATUS=OR","EQY_CONSOLIDATED=Y","FA_ADJUSTED=GAAP","Sort=A","Dates=H","DateFormat=P","Fill=—","Direction=H","UseDPDF=Y")</f>
        <v>#NAME?</v>
      </c>
      <c r="AO38" s="2" t="e">
        <f ca="1">_xll.BDH($C$28,"GEO_GROW_OPER_INC","FY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" s="2" t="e">
        <f ca="1">_xll.BDH($C$28,"NET_INCOME_TO_COMMON_5_YR_GROWTH","FY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" s="2" t="e">
        <f ca="1">_xll.BDH($C$28,"5Y_GEO_GROWTH_DILUTED_EPS","FY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" s="2" t="e">
        <f ca="1">_xll.BDH($C$28,"GEO_GROW_DVD_PER_SH","FY 2016","FY 2016","Currency=INR","Period=FY","BEST_FPERIOD_OVERRIDE=FY","FILING_STATUS=OR","EQY_CONSOLIDATED=Y","Sort=A","Dates=H","DateFormat=P","Fill=—","Direction=H","UseDPDF=Y")</f>
        <v>#NAME?</v>
      </c>
      <c r="AS38" s="2" t="e">
        <f ca="1">_xll.BDH($C$28,"ACCOUNTS_RECEIVABLE_5_YR_GROWTH","FY 2016","FY 2016","Currency=INR","Period=FY","BEST_FPERIOD_OVERRIDE=FY","FILING_STATUS=OR","EQY_CONSOLIDATED=Y","Sort=A","Dates=H","DateFormat=P","Fill=—","Direction=H","UseDPDF=Y")</f>
        <v>#NAME?</v>
      </c>
      <c r="AT38" s="2" t="e">
        <f ca="1">_xll.BDH($C$28,"INVENTORY_5_YEAR_GROWTH","FY 2016","FY 2016","Currency=INR","Period=FY","BEST_FPERIOD_OVERRIDE=FY","FILING_STATUS=OR","EQY_CONSOLIDATED=Y","Sort=A","Dates=H","DateFormat=P","Fill=—","Direction=H","UseDPDF=Y")</f>
        <v>#NAME?</v>
      </c>
      <c r="AU38" s="2" t="e">
        <f ca="1">_xll.BDH($C$28,"NET_FIXED_ASSETS_5_YEAR_GROWTH","FY 2016","FY 2016","Currency=INR","Period=FY","BEST_FPERIOD_OVERRIDE=FY","FILING_STATUS=OR","EQY_CONSOLIDATED=Y","Sort=A","Dates=H","DateFormat=P","Fill=—","Direction=H","UseDPDF=Y")</f>
        <v>#NAME?</v>
      </c>
      <c r="AV38" s="2" t="e">
        <f ca="1">_xll.BDH($C$28,"GEO_GROW_TOT_ASSET","FY 2016","FY 2016","Currency=INR","Period=FY","BEST_FPERIOD_OVERRIDE=FY","FILING_STATUS=OR","EQY_CONSOLIDATED=Y","Sort=A","Dates=H","DateFormat=P","Fill=—","Direction=H","UseDPDF=Y")</f>
        <v>#NAME?</v>
      </c>
      <c r="AW38" s="2" t="e">
        <f ca="1">_xll.BDH($C$28,"MODIFIED_WORKING_CPTL_5YR_GRWTH","FY 2016","FY 2016","Currency=INR","Period=FY","BEST_FPERIOD_OVERRIDE=FY","FILING_STATUS=OR","EQY_CONSOLIDATED=Y","Sort=A","Dates=H","DateFormat=P","Fill=—","Direction=H","UseDPDF=Y")</f>
        <v>#NAME?</v>
      </c>
      <c r="AX38" s="2" t="e">
        <f ca="1">_xll.BDH($C$28,"WORKING_CAPITAL_5_YEAR_GROWTH","FY 2016","FY 2016","Currency=INR","Period=FY","BEST_FPERIOD_OVERRIDE=FY","FILING_STATUS=OR","EQY_CONSOLIDATED=Y","Sort=A","Dates=H","DateFormat=P","Fill=—","Direction=H","UseDPDF=Y")</f>
        <v>#NAME?</v>
      </c>
      <c r="AY38" s="2" t="e">
        <f ca="1">_xll.BDH($C$28,"ACCOUNTS_PAYABLE_5_YEAR_GROWTH","FY 2016","FY 2016","Currency=INR","Period=FY","BEST_FPERIOD_OVERRIDE=FY","FILING_STATUS=OR","EQY_CONSOLIDATED=Y","Sort=A","Dates=H","DateFormat=P","Fill=—","Direction=H","UseDPDF=Y")</f>
        <v>#NAME?</v>
      </c>
      <c r="AZ38" s="2" t="e">
        <f ca="1">_xll.BDH($C$28,"SHORT_TERM_DEBT_5_YEAR_GROWTH","FY 2016","FY 2016","Currency=INR","Period=FY","BEST_FPERIOD_OVERRIDE=FY","FILING_STATUS=OR","EQY_CONSOLIDATED=Y","Sort=A","Dates=H","DateFormat=P","Fill=—","Direction=H","UseDPDF=Y")</f>
        <v>#NAME?</v>
      </c>
      <c r="BA38" s="2" t="e">
        <f ca="1">_xll.BDH($C$28,"TOTAL_DEBT_5_YEAR_GROWTH","FY 2016","FY 2016","Currency=INR","Period=FY","BEST_FPERIOD_OVERRIDE=FY","FILING_STATUS=OR","EQY_CONSOLIDATED=Y","Sort=A","Dates=H","DateFormat=P","Fill=—","Direction=H","UseDPDF=Y")</f>
        <v>#NAME?</v>
      </c>
      <c r="BB38" s="2" t="e">
        <f ca="1">_xll.BDH($C$28,"GEO_GROW_TOT_SHRHLDR_EQY","FY 2016","FY 2016","Currency=INR","Period=FY","BEST_FPERIOD_OVERRIDE=FY","FILING_STATUS=OR","EQY_CONSOLIDATED=Y","Sort=A","Dates=H","DateFormat=P","Fill=—","Direction=H","UseDPDF=Y")</f>
        <v>#NAME?</v>
      </c>
      <c r="BC38" s="2" t="e">
        <f ca="1">_xll.BDH($C$28,"TOTAL_CAPITAL_5_YEAR_GROWTH","FY 2016","FY 2016","Currency=INR","Period=FY","BEST_FPERIOD_OVERRIDE=FY","FILING_STATUS=OR","EQY_CONSOLIDATED=Y","Sort=A","Dates=H","DateFormat=P","Fill=—","Direction=H","UseDPDF=Y")</f>
        <v>#NAME?</v>
      </c>
      <c r="BD38" s="2" t="e">
        <f ca="1">_xll.BDH($C$28,"GEO_GROW_BOOK_VAL","FY 2016","FY 2016","Currency=INR","Period=FY","BEST_FPERIOD_OVERRIDE=FY","FILING_STATUS=OR","EQY_CONSOLIDATED=Y","Sort=A","Dates=H","DateFormat=P","Fill=—","Direction=H","UseDPDF=Y")</f>
        <v>#NAME?</v>
      </c>
      <c r="BE38" s="2" t="e">
        <f ca="1">_xll.BDH($C$28,"GEO_GROW_CASH_OPER_ACT","FY 2016","FY 2016","Currency=INR","Period=FY","BEST_FPERIOD_OVERRIDE=FY","FILING_STATUS=OR","EQY_CONSOLIDATED=Y","Sort=A","Dates=H","DateFormat=P","Fill=—","Direction=H","UseDPDF=Y")</f>
        <v>#NAME?</v>
      </c>
      <c r="BF38" s="2" t="e">
        <f ca="1">_xll.BDH($C$28,"REVENUE_SEQUENTIAL_GROWTH","FY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" s="2" t="e">
        <f ca="1">_xll.BDH($C$28,"EBITDA_SEQUENTIAL_GROWTH","FY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" s="2" t="e">
        <f ca="1">_xll.BDH($C$28,"OPERATING_INCOME_SEQ_GROWTH","FY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" s="2" t="e">
        <f ca="1">_xll.BDH($C$28,"NET_INCOME_TO_COMMON_SEQ_GROWTH","FY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" s="2" t="e">
        <f ca="1">_xll.BDH($C$28,"EPS_DILUTED_SEQUENTIAL_GROWTH","FY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" s="2" t="e">
        <f ca="1">_xll.BDH($C$28,"DPS_SEQUENTIAL_GROWTH","FY 2016","FY 2016","Currency=INR","Period=FY","BEST_FPERIOD_OVERRIDE=FY","FILING_STATUS=OR","EQY_CONSOLIDATED=Y","Sort=A","Dates=H","DateFormat=P","Fill=—","Direction=H","UseDPDF=Y")</f>
        <v>#NAME?</v>
      </c>
      <c r="BL38" s="2" t="e">
        <f ca="1">_xll.BDH($C$28,"ACCOUNTS_RECEIVABLE_SEQ_GROWTH","FY 2016","FY 2016","Currency=INR","Period=FY","BEST_FPERIOD_OVERRIDE=FY","FILING_STATUS=OR","EQY_CONSOLIDATED=Y","Sort=A","Dates=H","DateFormat=P","Fill=—","Direction=H","UseDPDF=Y")</f>
        <v>#NAME?</v>
      </c>
      <c r="BM38" s="2" t="e">
        <f ca="1">_xll.BDH($C$28,"INVENTORY_SEQUENTIAL_GROWTH","FY 2016","FY 2016","Currency=INR","Period=FY","BEST_FPERIOD_OVERRIDE=FY","FILING_STATUS=OR","EQY_CONSOLIDATED=Y","Sort=A","Dates=H","DateFormat=P","Fill=—","Direction=H","UseDPDF=Y")</f>
        <v>#NAME?</v>
      </c>
      <c r="BN38" s="2" t="e">
        <f ca="1">_xll.BDH($C$28,"FIXED_ASSETS_SEQUENTIAL_GROWTH","FY 2016","FY 2016","Currency=INR","Period=FY","BEST_FPERIOD_OVERRIDE=FY","FILING_STATUS=OR","EQY_CONSOLIDATED=Y","Sort=A","Dates=H","DateFormat=P","Fill=—","Direction=H","UseDPDF=Y")</f>
        <v>#NAME?</v>
      </c>
      <c r="BO38" s="2" t="e">
        <f ca="1">_xll.BDH($C$28,"TOTAL_ASSETS_SEQUENTIAL_GROWTH","FY 2016","FY 2016","Currency=INR","Period=FY","BEST_FPERIOD_OVERRIDE=FY","FILING_STATUS=OR","EQY_CONSOLIDATED=Y","Sort=A","Dates=H","DateFormat=P","Fill=—","Direction=H","UseDPDF=Y")</f>
        <v>#NAME?</v>
      </c>
      <c r="BP38" s="2" t="e">
        <f ca="1">_xll.BDH($C$28,"MODIFIED_WORKING_CPTL_SEQ_GRWTH","FY 2016","FY 2016","Currency=INR","Period=FY","BEST_FPERIOD_OVERRIDE=FY","FILING_STATUS=OR","EQY_CONSOLIDATED=Y","Sort=A","Dates=H","DateFormat=P","Fill=—","Direction=H","UseDPDF=Y")</f>
        <v>#NAME?</v>
      </c>
      <c r="BQ38" s="2" t="e">
        <f ca="1">_xll.BDH($C$28,"WORKING_CAPITAL_SEQ_GROWTH","FY 2016","FY 2016","Currency=INR","Period=FY","BEST_FPERIOD_OVERRIDE=FY","FILING_STATUS=OR","EQY_CONSOLIDATED=Y","Sort=A","Dates=H","DateFormat=P","Fill=—","Direction=H","UseDPDF=Y")</f>
        <v>#NAME?</v>
      </c>
      <c r="BR38" s="2" t="e">
        <f ca="1">_xll.BDH($C$28,"ACCOUNTS_PAYABLE_SEQ_GROWTH","FY 2016","FY 2016","Currency=INR","Period=FY","BEST_FPERIOD_OVERRIDE=FY","FILING_STATUS=OR","EQY_CONSOLIDATED=Y","Sort=A","Dates=H","DateFormat=P","Fill=—","Direction=H","UseDPDF=Y")</f>
        <v>#NAME?</v>
      </c>
      <c r="BS38" s="2" t="e">
        <f ca="1">_xll.BDH($C$28,"ST_DEBT_SEQUENTIAL_GROWTH","FY 2016","FY 2016","Currency=INR","Period=FY","BEST_FPERIOD_OVERRIDE=FY","FILING_STATUS=OR","EQY_CONSOLIDATED=Y","Sort=A","Dates=H","DateFormat=P","Fill=—","Direction=H","UseDPDF=Y")</f>
        <v>#NAME?</v>
      </c>
      <c r="BT38" s="2" t="e">
        <f ca="1">_xll.BDH($C$28,"TOTAL_DEBT_SEQUENTIAL_GROWTH","FY 2016","FY 2016","Currency=INR","Period=FY","BEST_FPERIOD_OVERRIDE=FY","FILING_STATUS=OR","EQY_CONSOLIDATED=Y","Sort=A","Dates=H","DateFormat=P","Fill=—","Direction=H","UseDPDF=Y")</f>
        <v>#NAME?</v>
      </c>
      <c r="BU38" s="2" t="e">
        <f ca="1">_xll.BDH($C$28,"TOTAL_EQUITY_SEQUENTIAL_GROWTH","FY 2016","FY 2016","Currency=INR","Period=FY","BEST_FPERIOD_OVERRIDE=FY","FILING_STATUS=OR","EQY_CONSOLIDATED=Y","Sort=A","Dates=H","DateFormat=P","Fill=—","Direction=H","UseDPDF=Y")</f>
        <v>#NAME?</v>
      </c>
      <c r="BV38" s="2" t="e">
        <f ca="1">_xll.BDH($C$28,"TOTAL_CAPITAL_SEQUENTIAL_GROWTH","FY 2016","FY 2016","Currency=INR","Period=FY","BEST_FPERIOD_OVERRIDE=FY","FILING_STATUS=OR","EQY_CONSOLIDATED=Y","Sort=A","Dates=H","DateFormat=P","Fill=—","Direction=H","UseDPDF=Y")</f>
        <v>#NAME?</v>
      </c>
      <c r="BW38" s="2" t="e">
        <f ca="1">_xll.BDH($C$28,"BPS_SEQUENTIAL_GROWTH","FY 2016","FY 2016","Currency=INR","Period=FY","BEST_FPERIOD_OVERRIDE=FY","FILING_STATUS=OR","EQY_CONSOLIDATED=Y","Sort=A","Dates=H","DateFormat=P","Fill=—","Direction=H","UseDPDF=Y")</f>
        <v>#NAME?</v>
      </c>
      <c r="BX38" s="2" t="e">
        <f ca="1">_xll.BDH($C$28,"CFO_SEQUENTIAL_GROWTH","FY 2016","FY 2016","Currency=INR","Period=FY","BEST_FPERIOD_OVERRIDE=FY","FILING_STATUS=OR","EQY_CONSOLIDATED=Y","Sort=A","Dates=H","DateFormat=P","Fill=—","Direction=H","UseDPDF=Y")</f>
        <v>#NAME?</v>
      </c>
      <c r="BY38" s="3" t="e">
        <f ca="1">_xll.BDH($C$28,"SHORT_AND_LONG_TERM_DEBT","FY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" s="3" t="e">
        <f ca="1">_xll.BDH($C$28,"BS_ST_BORROW","FY 2016","FY 2016","Currency=INR","Period=FY","BEST_FPERIOD_OVERRIDE=FY","FILING_STATUS=OR","EQY_CONSOLIDATED=Y","SCALING_FORMAT=MLN","Sort=A","Dates=H","DateFormat=P","Fill=—","Direction=H","UseDPDF=Y")</f>
        <v>#NAME?</v>
      </c>
      <c r="CA38" s="3" t="e">
        <f ca="1">_xll.BDH($C$28,"BS_LT_BORROW","FY 2016","FY 2016","Currency=INR","Period=FY","BEST_FPERIOD_OVERRIDE=FY","FILING_STATUS=OR","EQY_CONSOLIDATED=Y","SCALING_FORMAT=MLN","Sort=A","Dates=H","DateFormat=P","Fill=—","Direction=H","UseDPDF=Y")</f>
        <v>#NAME?</v>
      </c>
      <c r="CB38" s="2" t="e">
        <f ca="1">_xll.BDH($C$28,"TOT_DEBT_TO_EBITDA","FY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" s="2" t="e">
        <f ca="1">_xll.BDH($C$28,"NET_DEBT_TO_EBITDA","FY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" s="2" t="e">
        <f ca="1">_xll.BDH($C$28,"TOTAL_DEBT_TO_EBIT","FY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" s="2" t="e">
        <f ca="1">_xll.BDH($C$28,"NET_DEBT_TO_EBIT","FY 2016","FY 2016","Currency=INR","Period=FY","BEST_FPERIOD_OVERRIDE=FY","FILING_STATUS=OR","EQY_CONSOLIDATED=Y","FA_ADJUSTED=GAAP","Sort=A","Dates=H","DateFormat=P","Fill=—","Direction=H","UseDPDF=Y")</f>
        <v>#NAME?</v>
      </c>
      <c r="CF38" s="2" t="e">
        <f ca="1">_xll.BDH($C$28,"EBITDA_TO_INTEREST_EXPN","FY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" s="2" t="e">
        <f ca="1">_xll.BDH($C$28,"COM_EQY_TO_TOT_ASSET","FY 2016","FY 2016","Currency=INR","Period=FY","BEST_FPERIOD_OVERRIDE=FY","FILING_STATUS=OR","EQY_CONSOLIDATED=Y","Sort=A","Dates=H","DateFormat=P","Fill=—","Direction=H","UseDPDF=Y")</f>
        <v>#NAME?</v>
      </c>
      <c r="CH38" s="2" t="e">
        <f ca="1">_xll.BDH($C$28,"LT_DEBT_TO_TOT_EQY","FY 2016","FY 2016","Currency=INR","Period=FY","BEST_FPERIOD_OVERRIDE=FY","FILING_STATUS=OR","EQY_CONSOLIDATED=Y","Sort=A","Dates=H","DateFormat=P","Fill=—","Direction=H","UseDPDF=Y")</f>
        <v>#NAME?</v>
      </c>
      <c r="CI38" s="2" t="e">
        <f ca="1">_xll.BDH($C$28,"LT_DEBT_TO_TOT_CAP","FY 2016","FY 2016","Currency=INR","Period=FY","BEST_FPERIOD_OVERRIDE=FY","FILING_STATUS=OR","EQY_CONSOLIDATED=Y","Sort=A","Dates=H","DateFormat=P","Fill=—","Direction=H","UseDPDF=Y")</f>
        <v>#NAME?</v>
      </c>
      <c r="CJ38" s="2" t="e">
        <f ca="1">_xll.BDH($C$28,"LT_DEBT_TO_TOT_ASSET","FY 2016","FY 2016","Currency=INR","Period=FY","BEST_FPERIOD_OVERRIDE=FY","FILING_STATUS=OR","EQY_CONSOLIDATED=Y","Sort=A","Dates=H","DateFormat=P","Fill=—","Direction=H","UseDPDF=Y")</f>
        <v>#NAME?</v>
      </c>
      <c r="CK38" s="2" t="e">
        <f ca="1">_xll.BDH($C$28,"TOT_DEBT_TO_TOT_EQY","FY 2016","FY 2016","Currency=INR","Period=FY","BEST_FPERIOD_OVERRIDE=FY","FILING_STATUS=OR","EQY_CONSOLIDATED=Y","Sort=A","Dates=H","DateFormat=P","Fill=—","Direction=H","UseDPDF=Y")</f>
        <v>#NAME?</v>
      </c>
      <c r="CL38" s="2" t="e">
        <f ca="1">_xll.BDH($C$28,"TOT_DEBT_TO_TOT_CAP","FY 2016","FY 2016","Currency=INR","Period=FY","BEST_FPERIOD_OVERRIDE=FY","FILING_STATUS=OR","EQY_CONSOLIDATED=Y","Sort=A","Dates=H","DateFormat=P","Fill=—","Direction=H","UseDPDF=Y")</f>
        <v>#NAME?</v>
      </c>
      <c r="CM38" s="2" t="e">
        <f ca="1">_xll.BDH($C$28,"TOT_DEBT_TO_TOT_ASSET","FY 2016","FY 2016","Currency=INR","Period=FY","BEST_FPERIOD_OVERRIDE=FY","FILING_STATUS=OR","EQY_CONSOLIDATED=Y","Sort=A","Dates=H","DateFormat=P","Fill=—","Direction=H","UseDPDF=Y")</f>
        <v>#NAME?</v>
      </c>
      <c r="CN38" s="2" t="e">
        <f ca="1">_xll.BDH($C$28,"NET_DEBT_TO_SHRHLDR_EQTY","FY 2016","FY 2016","Currency=INR","Period=FY","BEST_FPERIOD_OVERRIDE=FY","FILING_STATUS=OR","EQY_CONSOLIDATED=Y","Sort=A","Dates=H","DateFormat=P","Fill=—","Direction=H","UseDPDF=Y")</f>
        <v>#NAME?</v>
      </c>
      <c r="CO38" s="2" t="e">
        <f ca="1">_xll.BDH($C$28,"NET_DEBT_%_CAPITAL","FY 2016","FY 2016","Currency=INR","Period=FY","BEST_FPERIOD_OVERRIDE=FY","FILING_STATUS=OR","EQY_CONSOLIDATED=Y","Sort=A","Dates=H","DateFormat=P","Fill=—","Direction=H","UseDPDF=Y")</f>
        <v>#NAME?</v>
      </c>
      <c r="CP38" s="3" t="e">
        <f ca="1">_xll.BDH($C$28,"EBITDA","FY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" s="3" t="e">
        <f ca="1">_xll.BDH($C$28,"EBITDA_AFTER_CAPEX","FY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" s="3" t="e">
        <f ca="1">_xll.BDH($C$28,"IS_OPER_INC","FY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" s="2" t="e">
        <f ca="1">_xll.BDH($C$28,"CASH_RATIO","FY 2016","FY 2016","Currency=INR","Period=FY","BEST_FPERIOD_OVERRIDE=FY","FILING_STATUS=OR","EQY_CONSOLIDATED=Y","Sort=A","Dates=H","DateFormat=P","Fill=—","Direction=H","UseDPDF=Y")</f>
        <v>#NAME?</v>
      </c>
      <c r="CT38" s="2" t="e">
        <f ca="1">_xll.BDH($C$28,"CUR_RATIO","FY 2016","FY 2016","Currency=INR","Period=FY","BEST_FPERIOD_OVERRIDE=FY","FILING_STATUS=OR","EQY_CONSOLIDATED=Y","Sort=A","Dates=H","DateFormat=P","Fill=—","Direction=H","UseDPDF=Y")</f>
        <v>#NAME?</v>
      </c>
      <c r="CU38" s="2" t="e">
        <f ca="1">_xll.BDH($C$28,"QUICK_RATIO","FY 2016","FY 2016","Currency=INR","Period=FY","BEST_FPERIOD_OVERRIDE=FY","FILING_STATUS=OR","EQY_CONSOLIDATED=Y","Sort=A","Dates=H","DateFormat=P","Fill=—","Direction=H","UseDPDF=Y")</f>
        <v>#NAME?</v>
      </c>
      <c r="CV38" s="2" t="e">
        <f ca="1">_xll.BDH($C$28,"ALTMAN_Z_SCORE","FY 2016","FY 2016","Currency=INR","Period=FY","BEST_FPERIOD_OVERRIDE=FY","FILING_STATUS=OR","EQY_CONSOLIDATED=Y","Sort=A","Dates=H","DateFormat=P","Fill=—","Direction=H","UseDPDF=Y")</f>
        <v>#NAME?</v>
      </c>
      <c r="CW38" s="4" t="e">
        <f ca="1">_xll.BDH($C$28,"ACCT_RCV_TURN","FY 2016","FY 2016","Currency=INR","Period=FY","BEST_FPERIOD_OVERRIDE=FY","FILING_STATUS=OR","EQY_CONSOLIDATED=Y","FA_ADJUSTED=GAAP","Sort=A","Dates=H","DateFormat=P","Fill=—","Direction=H","UseDPDF=Y")</f>
        <v>#NAME?</v>
      </c>
      <c r="CX38" s="2" t="e">
        <f ca="1">_xll.BDH($C$28,"ACCT_RCV_DAYS","FY 2016","FY 2016","Currency=INR","Period=FY","BEST_FPERIOD_OVERRIDE=FY","FILING_STATUS=OR","EQY_CONSOLIDATED=Y","FA_ADJUSTED=GAAP","Sort=A","Dates=H","DateFormat=P","Fill=—","Direction=H","UseDPDF=Y")</f>
        <v>#NAME?</v>
      </c>
      <c r="CY38" s="4" t="e">
        <f ca="1">_xll.BDH($C$28,"INVENT_TURN","FY 2016","FY 2016","Currency=INR","Period=FY","BEST_FPERIOD_OVERRIDE=FY","FILING_STATUS=OR","EQY_CONSOLIDATED=Y","FA_ADJUSTED=GAAP","Sort=A","Dates=H","DateFormat=P","Fill=—","Direction=H","UseDPDF=Y")</f>
        <v>#NAME?</v>
      </c>
      <c r="CZ38" s="2" t="e">
        <f ca="1">_xll.BDH($C$28,"INVENT_DAYS","FY 2016","FY 2016","Currency=INR","Period=FY","BEST_FPERIOD_OVERRIDE=FY","FILING_STATUS=OR","EQY_CONSOLIDATED=Y","FA_ADJUSTED=GAAP","Sort=A","Dates=H","DateFormat=P","Fill=—","Direction=H","UseDPDF=Y")</f>
        <v>#NAME?</v>
      </c>
      <c r="DA38" s="4" t="e">
        <f ca="1">_xll.BDH($C$28,"ACCOUNTS_PAYABLE_TURNOVER","FY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" s="2" t="e">
        <f ca="1">_xll.BDH($C$28,"ACCOUNTS_PAYABLE_TURNOVER_DAYS","FY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" s="4" t="e">
        <f ca="1">_xll.BDH($C$28,"CASH_CONVERSION_CYCLE","FY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" s="4" t="e">
        <f ca="1">_xll.BDH($C$28,"INV_TO_CASH_DAYS","FY 2016","FY 2016","Currency=INR","Period=FY","BEST_FPERIOD_OVERRIDE=FY","FILING_STATUS=OR","EQY_CONSOLIDATED=Y","FA_ADJUSTED=GAAP","Sort=A","Dates=H","DateFormat=P","Fill=—","Direction=H","UseDPDF=Y")</f>
        <v>#NAME?</v>
      </c>
      <c r="DE38" s="5" t="e">
        <f ca="1">_xll.BDH($C$28,"BS_INVENTORIES","FY 2016","FY 2016","Currency=INR","Period=FY","BEST_FPERIOD_OVERRIDE=FY","FILING_STATUS=OR","EQY_CONSOLIDATED=Y","SCALING_FORMAT=MLN","Sort=A","Dates=H","DateFormat=P","Fill=—","Direction=H","UseDPDF=Y")</f>
        <v>#NAME?</v>
      </c>
      <c r="DF38" s="3" t="e">
        <f ca="1">_xll.BDH($C$28,"INVTRY_RAW_MATERIALS","FY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" s="3" t="e">
        <f ca="1">_xll.BDH($C$28,"INVTRY_IN_PROGRESS","FY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" s="3" t="e">
        <f ca="1">_xll.BDH($C$28,"INVTRY_FINISHED_GOODS","FY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" s="3" t="e">
        <f ca="1">_xll.BDH($C$28,"BS_OTHER_INV","FY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9" spans="1:113" x14ac:dyDescent="0.3">
      <c r="A39" s="6"/>
      <c r="B39" s="6"/>
      <c r="C39" s="6"/>
      <c r="D39" s="6"/>
      <c r="E39" t="s">
        <v>78</v>
      </c>
      <c r="F39" t="e">
        <f ca="1">_xll.BDH($C$28,"RETURN_COM_EQY","FQ1 2016","FQ1 2016","Currency=INR","Period=FQ","BEST_FPERIOD_OVERRIDE=FQ","FILING_STATUS=OR","EQY_CONSOLIDATED=Y","FA_ADJUSTED=GAAP","Sort=A","Dates=H","DateFormat=P","Fill=—","Direction=H","UseDPDF=Y")</f>
        <v>#NAME?</v>
      </c>
      <c r="G39" t="e">
        <f ca="1">_xll.BDH($C$28,"RETURN_ON_ASSET","FQ1 2016","FQ1 2016","Currency=INR","Period=FQ","BEST_FPERIOD_OVERRIDE=FQ","FILING_STATUS=OR","EQY_CONSOLIDATED=Y","FA_ADJUSTED=GAAP","Sort=A","Dates=H","DateFormat=P","Fill=—","Direction=H","UseDPDF=Y")</f>
        <v>#NAME?</v>
      </c>
      <c r="H39" t="e">
        <f ca="1">_xll.BDH($C$28,"RETURN_ON_CAP","FQ1 2016","FQ1 2016","Currency=INR","Period=FQ","BEST_FPERIOD_OVERRIDE=FQ","FILING_STATUS=OR","EQY_CONSOLIDATED=Y","FA_ADJUSTED=GAAP","Sort=A","Dates=H","DateFormat=P","Fill=—","Direction=H","UseDPDF=Y")</f>
        <v>#NAME?</v>
      </c>
      <c r="I39" t="e">
        <f ca="1">_xll.BDH($C$28,"RETURN_ON_INV_CAPITAL","FQ1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9" t="e">
        <f ca="1">_xll.BDH($C$28,"EBITDA_TO_REVENUE","FQ1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9" t="e">
        <f ca="1">_xll.BDH($C$28,"OPER_MARGIN","FQ1 2016","FQ1 2016","Currency=INR","Period=FQ","BEST_FPERIOD_OVERRIDE=FQ","FILING_STATUS=OR","EQY_CONSOLIDATED=Y","FA_ADJUSTED=GAAP","Sort=A","Dates=H","DateFormat=P","Fill=—","Direction=H","UseDPDF=Y")</f>
        <v>#NAME?</v>
      </c>
      <c r="L39" t="e">
        <f ca="1">_xll.BDH($C$28,"INCREMENTAL_OPERATING_MARGIN","FQ1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9" t="e">
        <f ca="1">_xll.BDH($C$28,"PRETAX_INC_TO_NET_SALES","FQ1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9" t="e">
        <f ca="1">_xll.BDH($C$28,"INC_BEF_XO_ITEMS_TO_NET_SALES","FQ1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9" t="e">
        <f ca="1">_xll.BDH($C$28,"PROF_MARGIN","FQ1 2016","FQ1 2016","Currency=INR","Period=FQ","BEST_FPERIOD_OVERRIDE=FQ","FILING_STATUS=OR","EQY_CONSOLIDATED=Y","FA_ADJUSTED=GAAP","Sort=A","Dates=H","DateFormat=P","Fill=—","Direction=H","UseDPDF=Y")</f>
        <v>#NAME?</v>
      </c>
      <c r="P39" t="e">
        <f ca="1">_xll.BDH($C$28,"NET_INCOME_TO_COMMON_MARGIN","FQ1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9" t="e">
        <f ca="1">_xll.BDH($C$28,"EFF_TAX_RATE","FQ1 2016","FQ1 2016","Currency=INR","Period=FQ","BEST_FPERIOD_OVERRIDE=FQ","FILING_STATUS=OR","EQY_CONSOLIDATED=Y","FA_ADJUSTED=GAAP","Sort=A","Dates=H","DateFormat=P","Fill=—","Direction=H","UseDPDF=Y")</f>
        <v>#NAME?</v>
      </c>
      <c r="R39" t="e">
        <f ca="1">_xll.BDH($C$28,"DVD_PAYOUT_RATIO","FQ1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9" t="e">
        <f ca="1">_xll.BDH($C$28,"SUSTAIN_GROWTH_RT","FQ1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9" s="2" t="e">
        <f ca="1">_xll.BDH($C$28,"SALES_GROWTH","FQ1 2016","FQ1 2016","Currency=INR","Period=FQ","BEST_FPERIOD_OVERRIDE=FQ","FILING_STATUS=OR","EQY_CONSOLIDATED=Y","FA_ADJUSTED=GAAP","Sort=A","Dates=H","DateFormat=P","Fill=—","Direction=H","UseDPDF=Y")</f>
        <v>#NAME?</v>
      </c>
      <c r="U39" s="2" t="e">
        <f ca="1">_xll.BDH($C$28,"EBITDA_GROWTH","FQ1 2016","FQ1 2016","Currency=INR","Period=FQ","BEST_FPERIOD_OVERRIDE=FQ","FILING_STATUS=OR","EQY_CONSOLIDATED=Y","FA_ADJUSTED=GAAP","Sort=A","Dates=H","DateFormat=P","Fill=—","Direction=H","UseDPDF=Y")</f>
        <v>#NAME?</v>
      </c>
      <c r="V39" s="2" t="e">
        <f ca="1">_xll.BDH($C$28,"OPER_INC_GROWTH","FQ1 2016","FQ1 2016","Currency=INR","Period=FQ","BEST_FPERIOD_OVERRIDE=FQ","FILING_STATUS=OR","EQY_CONSOLIDATED=Y","FA_ADJUSTED=GAAP","Sort=A","Dates=H","DateFormat=P","Fill=—","Direction=H","UseDPDF=Y")</f>
        <v>#NAME?</v>
      </c>
      <c r="W39" s="2" t="e">
        <f ca="1">_xll.BDH($C$28,"EARN_FOR_COM_GROWTH","FQ1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9" s="2" t="e">
        <f ca="1">_xll.BDH($C$28,"DILUTED_EPS_AFT_XO_ITEMS_GROWTH","FQ1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9" s="2" t="e">
        <f ca="1">_xll.BDH($C$28,"DIVIDEND_PER_SHARE_1_YEAR_GROWTH","FQ1 2016","FQ1 2016","Currency=INR","Period=FQ","BEST_FPERIOD_OVERRIDE=FQ","FILING_STATUS=OR","EQY_CONSOLIDATED=Y","Sort=A","Dates=H","DateFormat=P","Fill=—","Direction=H","UseDPDF=Y")</f>
        <v>#NAME?</v>
      </c>
      <c r="Z39" s="2" t="e">
        <f ca="1">_xll.BDH($C$28,"ACCOUNTS_RECEIVABLE_GROWTH","FQ1 2016","FQ1 2016","Currency=INR","Period=FQ","BEST_FPERIOD_OVERRIDE=FQ","FILING_STATUS=OR","EQY_CONSOLIDATED=Y","Sort=A","Dates=H","DateFormat=P","Fill=—","Direction=H","UseDPDF=Y")</f>
        <v>#NAME?</v>
      </c>
      <c r="AA39" s="2" t="e">
        <f ca="1">_xll.BDH($C$28,"INVENTORY_GROWTH","FQ1 2016","FQ1 2016","Currency=INR","Period=FQ","BEST_FPERIOD_OVERRIDE=FQ","FILING_STATUS=OR","EQY_CONSOLIDATED=Y","Sort=A","Dates=H","DateFormat=P","Fill=—","Direction=H","UseDPDF=Y")</f>
        <v>#NAME?</v>
      </c>
      <c r="AB39" s="2" t="e">
        <f ca="1">_xll.BDH($C$28,"NET_FIXED_ASSETS_1_YEAR_GROWTH","FQ1 2016","FQ1 2016","Currency=INR","Period=FQ","BEST_FPERIOD_OVERRIDE=FQ","FILING_STATUS=OR","EQY_CONSOLIDATED=Y","Sort=A","Dates=H","DateFormat=P","Fill=—","Direction=H","UseDPDF=Y")</f>
        <v>#NAME?</v>
      </c>
      <c r="AC39" s="2" t="e">
        <f ca="1">_xll.BDH($C$28,"ASSET_GROWTH","FQ1 2016","FQ1 2016","Currency=INR","Period=FQ","BEST_FPERIOD_OVERRIDE=FQ","FILING_STATUS=OR","EQY_CONSOLIDATED=Y","Sort=A","Dates=H","DateFormat=P","Fill=—","Direction=H","UseDPDF=Y")</f>
        <v>#NAME?</v>
      </c>
      <c r="AD39" s="2" t="e">
        <f ca="1">_xll.BDH($C$28,"MODIFIED_WORK_CAP_GROWTH","FQ1 2016","FQ1 2016","Currency=INR","Period=FQ","BEST_FPERIOD_OVERRIDE=FQ","FILING_STATUS=OR","EQY_CONSOLIDATED=Y","Sort=A","Dates=H","DateFormat=P","Fill=—","Direction=H","UseDPDF=Y")</f>
        <v>#NAME?</v>
      </c>
      <c r="AE39" s="2" t="e">
        <f ca="1">_xll.BDH($C$28,"WORK_CAP_GROWTH","FQ1 2016","FQ1 2016","Currency=INR","Period=FQ","BEST_FPERIOD_OVERRIDE=FQ","FILING_STATUS=OR","EQY_CONSOLIDATED=Y","Sort=A","Dates=H","DateFormat=P","Fill=—","Direction=H","UseDPDF=Y")</f>
        <v>#NAME?</v>
      </c>
      <c r="AF39" s="2" t="e">
        <f ca="1">_xll.BDH($C$28,"ACCOUNTS_PAYABLE_GROWTH_1YR","FQ1 2016","FQ1 2016","Currency=INR","Period=FQ","BEST_FPERIOD_OVERRIDE=FQ","FILING_STATUS=OR","EQY_CONSOLIDATED=Y","Sort=A","Dates=H","DateFormat=P","Fill=—","Direction=H","UseDPDF=Y")</f>
        <v>#NAME?</v>
      </c>
      <c r="AG39" s="2" t="e">
        <f ca="1">_xll.BDH($C$28,"SHORT_TERM_DEBT_1_YEAR_GROWTH","FQ1 2016","FQ1 2016","Currency=INR","Period=FQ","BEST_FPERIOD_OVERRIDE=FQ","FILING_STATUS=OR","EQY_CONSOLIDATED=Y","Sort=A","Dates=H","DateFormat=P","Fill=—","Direction=H","UseDPDF=Y")</f>
        <v>#NAME?</v>
      </c>
      <c r="AH39" s="2" t="e">
        <f ca="1">_xll.BDH($C$28,"TOTAL_DEBT_1_YEAR_GROWTH","FQ1 2016","FQ1 2016","Currency=INR","Period=FQ","BEST_FPERIOD_OVERRIDE=FQ","FILING_STATUS=OR","EQY_CONSOLIDATED=Y","Sort=A","Dates=H","DateFormat=P","Fill=—","Direction=H","UseDPDF=Y")</f>
        <v>#NAME?</v>
      </c>
      <c r="AI39" s="2" t="e">
        <f ca="1">_xll.BDH($C$28,"TOTAL_EQUITY_1_YEAR_GROWTH","FQ1 2016","FQ1 2016","Currency=INR","Period=FQ","BEST_FPERIOD_OVERRIDE=FQ","FILING_STATUS=OR","EQY_CONSOLIDATED=Y","Sort=A","Dates=H","DateFormat=P","Fill=—","Direction=H","UseDPDF=Y")</f>
        <v>#NAME?</v>
      </c>
      <c r="AJ39" s="2" t="e">
        <f ca="1">_xll.BDH($C$28,"GROWTH_IN_CAP","FQ1 2016","FQ1 2016","Currency=INR","Period=FQ","BEST_FPERIOD_OVERRIDE=FQ","FILING_STATUS=OR","EQY_CONSOLIDATED=Y","Sort=A","Dates=H","DateFormat=P","Fill=—","Direction=H","UseDPDF=Y")</f>
        <v>#NAME?</v>
      </c>
      <c r="AK39" s="2" t="e">
        <f ca="1">_xll.BDH($C$28,"BVPS_GROWTH","FQ1 2016","FQ1 2016","Currency=INR","Period=FQ","BEST_FPERIOD_OVERRIDE=FQ","FILING_STATUS=OR","EQY_CONSOLIDATED=Y","Sort=A","Dates=H","DateFormat=P","Fill=—","Direction=H","UseDPDF=Y")</f>
        <v>#NAME?</v>
      </c>
      <c r="AL39" s="2" t="e">
        <f ca="1">_xll.BDH($C$28,"CASH_FLOW_GROWTH","FQ1 2016","FQ1 2016","Currency=INR","Period=FQ","BEST_FPERIOD_OVERRIDE=FQ","FILING_STATUS=OR","EQY_CONSOLIDATED=Y","Sort=A","Dates=H","DateFormat=P","Fill=—","Direction=H","UseDPDF=Y")</f>
        <v>#NAME?</v>
      </c>
      <c r="AM39" s="2" t="e">
        <f ca="1">_xll.BDH($C$28,"GEO_GROW_NET_SALES","FQ1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9" s="2" t="e">
        <f ca="1">_xll.BDH($C$28,"GEO_GROW_EBITDA","FQ1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9" s="2" t="e">
        <f ca="1">_xll.BDH($C$28,"GEO_GROW_OPER_INC","FQ1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9" s="2" t="e">
        <f ca="1">_xll.BDH($C$28,"NET_INCOME_TO_COMMON_5_YR_GROWTH","FQ1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9" s="2" t="e">
        <f ca="1">_xll.BDH($C$28,"5Y_GEO_GROWTH_DILUTED_EPS","FQ1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9" s="2" t="e">
        <f ca="1">_xll.BDH($C$28,"GEO_GROW_DVD_PER_SH","FQ1 2016","FQ1 2016","Currency=INR","Period=FQ","BEST_FPERIOD_OVERRIDE=FQ","FILING_STATUS=OR","EQY_CONSOLIDATED=Y","Sort=A","Dates=H","DateFormat=P","Fill=—","Direction=H","UseDPDF=Y")</f>
        <v>#NAME?</v>
      </c>
      <c r="AS39" s="2" t="e">
        <f ca="1">_xll.BDH($C$28,"ACCOUNTS_RECEIVABLE_5_YR_GROWTH","FQ1 2016","FQ1 2016","Currency=INR","Period=FQ","BEST_FPERIOD_OVERRIDE=FQ","FILING_STATUS=OR","EQY_CONSOLIDATED=Y","Sort=A","Dates=H","DateFormat=P","Fill=—","Direction=H","UseDPDF=Y")</f>
        <v>#NAME?</v>
      </c>
      <c r="AT39" s="2" t="e">
        <f ca="1">_xll.BDH($C$28,"INVENTORY_5_YEAR_GROWTH","FQ1 2016","FQ1 2016","Currency=INR","Period=FQ","BEST_FPERIOD_OVERRIDE=FQ","FILING_STATUS=OR","EQY_CONSOLIDATED=Y","Sort=A","Dates=H","DateFormat=P","Fill=—","Direction=H","UseDPDF=Y")</f>
        <v>#NAME?</v>
      </c>
      <c r="AU39" s="2" t="e">
        <f ca="1">_xll.BDH($C$28,"NET_FIXED_ASSETS_5_YEAR_GROWTH","FQ1 2016","FQ1 2016","Currency=INR","Period=FQ","BEST_FPERIOD_OVERRIDE=FQ","FILING_STATUS=OR","EQY_CONSOLIDATED=Y","Sort=A","Dates=H","DateFormat=P","Fill=—","Direction=H","UseDPDF=Y")</f>
        <v>#NAME?</v>
      </c>
      <c r="AV39" s="2" t="e">
        <f ca="1">_xll.BDH($C$28,"GEO_GROW_TOT_ASSET","FQ1 2016","FQ1 2016","Currency=INR","Period=FQ","BEST_FPERIOD_OVERRIDE=FQ","FILING_STATUS=OR","EQY_CONSOLIDATED=Y","Sort=A","Dates=H","DateFormat=P","Fill=—","Direction=H","UseDPDF=Y")</f>
        <v>#NAME?</v>
      </c>
      <c r="AW39" s="2" t="e">
        <f ca="1">_xll.BDH($C$28,"MODIFIED_WORKING_CPTL_5YR_GRWTH","FQ1 2016","FQ1 2016","Currency=INR","Period=FQ","BEST_FPERIOD_OVERRIDE=FQ","FILING_STATUS=OR","EQY_CONSOLIDATED=Y","Sort=A","Dates=H","DateFormat=P","Fill=—","Direction=H","UseDPDF=Y")</f>
        <v>#NAME?</v>
      </c>
      <c r="AX39" s="2" t="e">
        <f ca="1">_xll.BDH($C$28,"WORKING_CAPITAL_5_YEAR_GROWTH","FQ1 2016","FQ1 2016","Currency=INR","Period=FQ","BEST_FPERIOD_OVERRIDE=FQ","FILING_STATUS=OR","EQY_CONSOLIDATED=Y","Sort=A","Dates=H","DateFormat=P","Fill=—","Direction=H","UseDPDF=Y")</f>
        <v>#NAME?</v>
      </c>
      <c r="AY39" s="2" t="e">
        <f ca="1">_xll.BDH($C$28,"ACCOUNTS_PAYABLE_5_YEAR_GROWTH","FQ1 2016","FQ1 2016","Currency=INR","Period=FQ","BEST_FPERIOD_OVERRIDE=FQ","FILING_STATUS=OR","EQY_CONSOLIDATED=Y","Sort=A","Dates=H","DateFormat=P","Fill=—","Direction=H","UseDPDF=Y")</f>
        <v>#NAME?</v>
      </c>
      <c r="AZ39" s="2" t="e">
        <f ca="1">_xll.BDH($C$28,"SHORT_TERM_DEBT_5_YEAR_GROWTH","FQ1 2016","FQ1 2016","Currency=INR","Period=FQ","BEST_FPERIOD_OVERRIDE=FQ","FILING_STATUS=OR","EQY_CONSOLIDATED=Y","Sort=A","Dates=H","DateFormat=P","Fill=—","Direction=H","UseDPDF=Y")</f>
        <v>#NAME?</v>
      </c>
      <c r="BA39" s="2" t="e">
        <f ca="1">_xll.BDH($C$28,"TOTAL_DEBT_5_YEAR_GROWTH","FQ1 2016","FQ1 2016","Currency=INR","Period=FQ","BEST_FPERIOD_OVERRIDE=FQ","FILING_STATUS=OR","EQY_CONSOLIDATED=Y","Sort=A","Dates=H","DateFormat=P","Fill=—","Direction=H","UseDPDF=Y")</f>
        <v>#NAME?</v>
      </c>
      <c r="BB39" s="2" t="e">
        <f ca="1">_xll.BDH($C$28,"GEO_GROW_TOT_SHRHLDR_EQY","FQ1 2016","FQ1 2016","Currency=INR","Period=FQ","BEST_FPERIOD_OVERRIDE=FQ","FILING_STATUS=OR","EQY_CONSOLIDATED=Y","Sort=A","Dates=H","DateFormat=P","Fill=—","Direction=H","UseDPDF=Y")</f>
        <v>#NAME?</v>
      </c>
      <c r="BC39" s="2" t="e">
        <f ca="1">_xll.BDH($C$28,"TOTAL_CAPITAL_5_YEAR_GROWTH","FQ1 2016","FQ1 2016","Currency=INR","Period=FQ","BEST_FPERIOD_OVERRIDE=FQ","FILING_STATUS=OR","EQY_CONSOLIDATED=Y","Sort=A","Dates=H","DateFormat=P","Fill=—","Direction=H","UseDPDF=Y")</f>
        <v>#NAME?</v>
      </c>
      <c r="BD39" s="2" t="e">
        <f ca="1">_xll.BDH($C$28,"GEO_GROW_BOOK_VAL","FQ1 2016","FQ1 2016","Currency=INR","Period=FQ","BEST_FPERIOD_OVERRIDE=FQ","FILING_STATUS=OR","EQY_CONSOLIDATED=Y","Sort=A","Dates=H","DateFormat=P","Fill=—","Direction=H","UseDPDF=Y")</f>
        <v>#NAME?</v>
      </c>
      <c r="BE39" s="2" t="e">
        <f ca="1">_xll.BDH($C$28,"GEO_GROW_CASH_OPER_ACT","FQ1 2016","FQ1 2016","Currency=INR","Period=FQ","BEST_FPERIOD_OVERRIDE=FQ","FILING_STATUS=OR","EQY_CONSOLIDATED=Y","Sort=A","Dates=H","DateFormat=P","Fill=—","Direction=H","UseDPDF=Y")</f>
        <v>#NAME?</v>
      </c>
      <c r="BF39" s="2" t="e">
        <f ca="1">_xll.BDH($C$28,"REVENUE_SEQUENTIAL_GROWTH","FQ1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9" s="2" t="e">
        <f ca="1">_xll.BDH($C$28,"EBITDA_SEQUENTIAL_GROWTH","FQ1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9" s="2" t="e">
        <f ca="1">_xll.BDH($C$28,"OPERATING_INCOME_SEQ_GROWTH","FQ1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9" s="2" t="e">
        <f ca="1">_xll.BDH($C$28,"NET_INCOME_TO_COMMON_SEQ_GROWTH","FQ1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9" s="2" t="e">
        <f ca="1">_xll.BDH($C$28,"EPS_DILUTED_SEQUENTIAL_GROWTH","FQ1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9" s="2" t="e">
        <f ca="1">_xll.BDH($C$28,"DPS_SEQUENTIAL_GROWTH","FQ1 2016","FQ1 2016","Currency=INR","Period=FQ","BEST_FPERIOD_OVERRIDE=FQ","FILING_STATUS=OR","EQY_CONSOLIDATED=Y","Sort=A","Dates=H","DateFormat=P","Fill=—","Direction=H","UseDPDF=Y")</f>
        <v>#NAME?</v>
      </c>
      <c r="BL39" s="2" t="e">
        <f ca="1">_xll.BDH($C$28,"ACCOUNTS_RECEIVABLE_SEQ_GROWTH","FQ1 2016","FQ1 2016","Currency=INR","Period=FQ","BEST_FPERIOD_OVERRIDE=FQ","FILING_STATUS=OR","EQY_CONSOLIDATED=Y","Sort=A","Dates=H","DateFormat=P","Fill=—","Direction=H","UseDPDF=Y")</f>
        <v>#NAME?</v>
      </c>
      <c r="BM39" s="2" t="e">
        <f ca="1">_xll.BDH($C$28,"INVENTORY_SEQUENTIAL_GROWTH","FQ1 2016","FQ1 2016","Currency=INR","Period=FQ","BEST_FPERIOD_OVERRIDE=FQ","FILING_STATUS=OR","EQY_CONSOLIDATED=Y","Sort=A","Dates=H","DateFormat=P","Fill=—","Direction=H","UseDPDF=Y")</f>
        <v>#NAME?</v>
      </c>
      <c r="BN39" s="2" t="e">
        <f ca="1">_xll.BDH($C$28,"FIXED_ASSETS_SEQUENTIAL_GROWTH","FQ1 2016","FQ1 2016","Currency=INR","Period=FQ","BEST_FPERIOD_OVERRIDE=FQ","FILING_STATUS=OR","EQY_CONSOLIDATED=Y","Sort=A","Dates=H","DateFormat=P","Fill=—","Direction=H","UseDPDF=Y")</f>
        <v>#NAME?</v>
      </c>
      <c r="BO39" s="2" t="e">
        <f ca="1">_xll.BDH($C$28,"TOTAL_ASSETS_SEQUENTIAL_GROWTH","FQ1 2016","FQ1 2016","Currency=INR","Period=FQ","BEST_FPERIOD_OVERRIDE=FQ","FILING_STATUS=OR","EQY_CONSOLIDATED=Y","Sort=A","Dates=H","DateFormat=P","Fill=—","Direction=H","UseDPDF=Y")</f>
        <v>#NAME?</v>
      </c>
      <c r="BP39" s="2" t="e">
        <f ca="1">_xll.BDH($C$28,"MODIFIED_WORKING_CPTL_SEQ_GRWTH","FQ1 2016","FQ1 2016","Currency=INR","Period=FQ","BEST_FPERIOD_OVERRIDE=FQ","FILING_STATUS=OR","EQY_CONSOLIDATED=Y","Sort=A","Dates=H","DateFormat=P","Fill=—","Direction=H","UseDPDF=Y")</f>
        <v>#NAME?</v>
      </c>
      <c r="BQ39" s="2" t="e">
        <f ca="1">_xll.BDH($C$28,"WORKING_CAPITAL_SEQ_GROWTH","FQ1 2016","FQ1 2016","Currency=INR","Period=FQ","BEST_FPERIOD_OVERRIDE=FQ","FILING_STATUS=OR","EQY_CONSOLIDATED=Y","Sort=A","Dates=H","DateFormat=P","Fill=—","Direction=H","UseDPDF=Y")</f>
        <v>#NAME?</v>
      </c>
      <c r="BR39" s="2" t="e">
        <f ca="1">_xll.BDH($C$28,"ACCOUNTS_PAYABLE_SEQ_GROWTH","FQ1 2016","FQ1 2016","Currency=INR","Period=FQ","BEST_FPERIOD_OVERRIDE=FQ","FILING_STATUS=OR","EQY_CONSOLIDATED=Y","Sort=A","Dates=H","DateFormat=P","Fill=—","Direction=H","UseDPDF=Y")</f>
        <v>#NAME?</v>
      </c>
      <c r="BS39" s="2" t="e">
        <f ca="1">_xll.BDH($C$28,"ST_DEBT_SEQUENTIAL_GROWTH","FQ1 2016","FQ1 2016","Currency=INR","Period=FQ","BEST_FPERIOD_OVERRIDE=FQ","FILING_STATUS=OR","EQY_CONSOLIDATED=Y","Sort=A","Dates=H","DateFormat=P","Fill=—","Direction=H","UseDPDF=Y")</f>
        <v>#NAME?</v>
      </c>
      <c r="BT39" s="2" t="e">
        <f ca="1">_xll.BDH($C$28,"TOTAL_DEBT_SEQUENTIAL_GROWTH","FQ1 2016","FQ1 2016","Currency=INR","Period=FQ","BEST_FPERIOD_OVERRIDE=FQ","FILING_STATUS=OR","EQY_CONSOLIDATED=Y","Sort=A","Dates=H","DateFormat=P","Fill=—","Direction=H","UseDPDF=Y")</f>
        <v>#NAME?</v>
      </c>
      <c r="BU39" s="2" t="e">
        <f ca="1">_xll.BDH($C$28,"TOTAL_EQUITY_SEQUENTIAL_GROWTH","FQ1 2016","FQ1 2016","Currency=INR","Period=FQ","BEST_FPERIOD_OVERRIDE=FQ","FILING_STATUS=OR","EQY_CONSOLIDATED=Y","Sort=A","Dates=H","DateFormat=P","Fill=—","Direction=H","UseDPDF=Y")</f>
        <v>#NAME?</v>
      </c>
      <c r="BV39" s="2" t="e">
        <f ca="1">_xll.BDH($C$28,"TOTAL_CAPITAL_SEQUENTIAL_GROWTH","FQ1 2016","FQ1 2016","Currency=INR","Period=FQ","BEST_FPERIOD_OVERRIDE=FQ","FILING_STATUS=OR","EQY_CONSOLIDATED=Y","Sort=A","Dates=H","DateFormat=P","Fill=—","Direction=H","UseDPDF=Y")</f>
        <v>#NAME?</v>
      </c>
      <c r="BW39" s="2" t="e">
        <f ca="1">_xll.BDH($C$28,"BPS_SEQUENTIAL_GROWTH","FQ1 2016","FQ1 2016","Currency=INR","Period=FQ","BEST_FPERIOD_OVERRIDE=FQ","FILING_STATUS=OR","EQY_CONSOLIDATED=Y","Sort=A","Dates=H","DateFormat=P","Fill=—","Direction=H","UseDPDF=Y")</f>
        <v>#NAME?</v>
      </c>
      <c r="BX39" s="2" t="e">
        <f ca="1">_xll.BDH($C$28,"CFO_SEQUENTIAL_GROWTH","FQ1 2016","FQ1 2016","Currency=INR","Period=FQ","BEST_FPERIOD_OVERRIDE=FQ","FILING_STATUS=OR","EQY_CONSOLIDATED=Y","Sort=A","Dates=H","DateFormat=P","Fill=—","Direction=H","UseDPDF=Y")</f>
        <v>#NAME?</v>
      </c>
      <c r="BY39" s="3" t="e">
        <f ca="1">_xll.BDH($C$28,"SHORT_AND_LONG_TERM_DEBT","FQ1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9" s="3" t="e">
        <f ca="1">_xll.BDH($C$28,"BS_ST_BORROW","FQ1 2016","FQ1 2016","Currency=INR","Period=FQ","BEST_FPERIOD_OVERRIDE=FQ","FILING_STATUS=OR","EQY_CONSOLIDATED=Y","SCALING_FORMAT=MLN","Sort=A","Dates=H","DateFormat=P","Fill=—","Direction=H","UseDPDF=Y")</f>
        <v>#NAME?</v>
      </c>
      <c r="CA39" s="3" t="e">
        <f ca="1">_xll.BDH($C$28,"BS_LT_BORROW","FQ1 2016","FQ1 2016","Currency=INR","Period=FQ","BEST_FPERIOD_OVERRIDE=FQ","FILING_STATUS=OR","EQY_CONSOLIDATED=Y","SCALING_FORMAT=MLN","Sort=A","Dates=H","DateFormat=P","Fill=—","Direction=H","UseDPDF=Y")</f>
        <v>#NAME?</v>
      </c>
      <c r="CB39" s="2" t="e">
        <f ca="1">_xll.BDH($C$28,"TOT_DEBT_TO_EBITDA","FQ1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9" s="2" t="e">
        <f ca="1">_xll.BDH($C$28,"NET_DEBT_TO_EBITDA","FQ1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9" s="2" t="e">
        <f ca="1">_xll.BDH($C$28,"TOTAL_DEBT_TO_EBIT","FQ1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9" s="2" t="e">
        <f ca="1">_xll.BDH($C$28,"NET_DEBT_TO_EBIT","FQ1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9" s="2" t="e">
        <f ca="1">_xll.BDH($C$28,"EBITDA_TO_INTEREST_EXPN","FQ1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9" s="2" t="e">
        <f ca="1">_xll.BDH($C$28,"COM_EQY_TO_TOT_ASSET","FQ1 2016","FQ1 2016","Currency=INR","Period=FQ","BEST_FPERIOD_OVERRIDE=FQ","FILING_STATUS=OR","EQY_CONSOLIDATED=Y","Sort=A","Dates=H","DateFormat=P","Fill=—","Direction=H","UseDPDF=Y")</f>
        <v>#NAME?</v>
      </c>
      <c r="CH39" s="2" t="e">
        <f ca="1">_xll.BDH($C$28,"LT_DEBT_TO_TOT_EQY","FQ1 2016","FQ1 2016","Currency=INR","Period=FQ","BEST_FPERIOD_OVERRIDE=FQ","FILING_STATUS=OR","EQY_CONSOLIDATED=Y","Sort=A","Dates=H","DateFormat=P","Fill=—","Direction=H","UseDPDF=Y")</f>
        <v>#NAME?</v>
      </c>
      <c r="CI39" s="2" t="e">
        <f ca="1">_xll.BDH($C$28,"LT_DEBT_TO_TOT_CAP","FQ1 2016","FQ1 2016","Currency=INR","Period=FQ","BEST_FPERIOD_OVERRIDE=FQ","FILING_STATUS=OR","EQY_CONSOLIDATED=Y","Sort=A","Dates=H","DateFormat=P","Fill=—","Direction=H","UseDPDF=Y")</f>
        <v>#NAME?</v>
      </c>
      <c r="CJ39" s="2" t="e">
        <f ca="1">_xll.BDH($C$28,"LT_DEBT_TO_TOT_ASSET","FQ1 2016","FQ1 2016","Currency=INR","Period=FQ","BEST_FPERIOD_OVERRIDE=FQ","FILING_STATUS=OR","EQY_CONSOLIDATED=Y","Sort=A","Dates=H","DateFormat=P","Fill=—","Direction=H","UseDPDF=Y")</f>
        <v>#NAME?</v>
      </c>
      <c r="CK39" s="2" t="e">
        <f ca="1">_xll.BDH($C$28,"TOT_DEBT_TO_TOT_EQY","FQ1 2016","FQ1 2016","Currency=INR","Period=FQ","BEST_FPERIOD_OVERRIDE=FQ","FILING_STATUS=OR","EQY_CONSOLIDATED=Y","Sort=A","Dates=H","DateFormat=P","Fill=—","Direction=H","UseDPDF=Y")</f>
        <v>#NAME?</v>
      </c>
      <c r="CL39" s="2" t="e">
        <f ca="1">_xll.BDH($C$28,"TOT_DEBT_TO_TOT_CAP","FQ1 2016","FQ1 2016","Currency=INR","Period=FQ","BEST_FPERIOD_OVERRIDE=FQ","FILING_STATUS=OR","EQY_CONSOLIDATED=Y","Sort=A","Dates=H","DateFormat=P","Fill=—","Direction=H","UseDPDF=Y")</f>
        <v>#NAME?</v>
      </c>
      <c r="CM39" s="2" t="e">
        <f ca="1">_xll.BDH($C$28,"TOT_DEBT_TO_TOT_ASSET","FQ1 2016","FQ1 2016","Currency=INR","Period=FQ","BEST_FPERIOD_OVERRIDE=FQ","FILING_STATUS=OR","EQY_CONSOLIDATED=Y","Sort=A","Dates=H","DateFormat=P","Fill=—","Direction=H","UseDPDF=Y")</f>
        <v>#NAME?</v>
      </c>
      <c r="CN39" s="2" t="e">
        <f ca="1">_xll.BDH($C$28,"NET_DEBT_TO_SHRHLDR_EQTY","FQ1 2016","FQ1 2016","Currency=INR","Period=FQ","BEST_FPERIOD_OVERRIDE=FQ","FILING_STATUS=OR","EQY_CONSOLIDATED=Y","Sort=A","Dates=H","DateFormat=P","Fill=—","Direction=H","UseDPDF=Y")</f>
        <v>#NAME?</v>
      </c>
      <c r="CO39" s="2" t="e">
        <f ca="1">_xll.BDH($C$28,"NET_DEBT_%_CAPITAL","FQ1 2016","FQ1 2016","Currency=INR","Period=FQ","BEST_FPERIOD_OVERRIDE=FQ","FILING_STATUS=OR","EQY_CONSOLIDATED=Y","Sort=A","Dates=H","DateFormat=P","Fill=—","Direction=H","UseDPDF=Y")</f>
        <v>#NAME?</v>
      </c>
      <c r="CP39" s="3" t="e">
        <f ca="1">_xll.BDH($C$28,"EBITDA","FQ1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9" s="3" t="e">
        <f ca="1">_xll.BDH($C$28,"EBITDA_AFTER_CAPEX","FQ1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9" s="3" t="e">
        <f ca="1">_xll.BDH($C$28,"IS_OPER_INC","FQ1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9" s="2" t="e">
        <f ca="1">_xll.BDH($C$28,"CASH_RATIO","FQ1 2016","FQ1 2016","Currency=INR","Period=FQ","BEST_FPERIOD_OVERRIDE=FQ","FILING_STATUS=OR","EQY_CONSOLIDATED=Y","Sort=A","Dates=H","DateFormat=P","Fill=—","Direction=H","UseDPDF=Y")</f>
        <v>#NAME?</v>
      </c>
      <c r="CT39" s="2" t="e">
        <f ca="1">_xll.BDH($C$28,"CUR_RATIO","FQ1 2016","FQ1 2016","Currency=INR","Period=FQ","BEST_FPERIOD_OVERRIDE=FQ","FILING_STATUS=OR","EQY_CONSOLIDATED=Y","Sort=A","Dates=H","DateFormat=P","Fill=—","Direction=H","UseDPDF=Y")</f>
        <v>#NAME?</v>
      </c>
      <c r="CU39" s="2" t="e">
        <f ca="1">_xll.BDH($C$28,"QUICK_RATIO","FQ1 2016","FQ1 2016","Currency=INR","Period=FQ","BEST_FPERIOD_OVERRIDE=FQ","FILING_STATUS=OR","EQY_CONSOLIDATED=Y","Sort=A","Dates=H","DateFormat=P","Fill=—","Direction=H","UseDPDF=Y")</f>
        <v>#NAME?</v>
      </c>
      <c r="CV39" s="2" t="e">
        <f ca="1">_xll.BDH($C$28,"ALTMAN_Z_SCORE","FQ1 2016","FQ1 2016","Currency=INR","Period=FQ","BEST_FPERIOD_OVERRIDE=FQ","FILING_STATUS=OR","EQY_CONSOLIDATED=Y","Sort=A","Dates=H","DateFormat=P","Fill=—","Direction=H","UseDPDF=Y")</f>
        <v>#NAME?</v>
      </c>
      <c r="CW39" s="4" t="e">
        <f ca="1">_xll.BDH($C$28,"ACCT_RCV_TURN","FQ1 2016","FQ1 2016","Currency=INR","Period=FQ","BEST_FPERIOD_OVERRIDE=FQ","FILING_STATUS=OR","EQY_CONSOLIDATED=Y","FA_ADJUSTED=GAAP","Sort=A","Dates=H","DateFormat=P","Fill=—","Direction=H","UseDPDF=Y")</f>
        <v>#NAME?</v>
      </c>
      <c r="CX39" s="2" t="e">
        <f ca="1">_xll.BDH($C$28,"ACCT_RCV_DAYS","FQ1 2016","FQ1 2016","Currency=INR","Period=FQ","BEST_FPERIOD_OVERRIDE=FQ","FILING_STATUS=OR","EQY_CONSOLIDATED=Y","FA_ADJUSTED=GAAP","Sort=A","Dates=H","DateFormat=P","Fill=—","Direction=H","UseDPDF=Y")</f>
        <v>#NAME?</v>
      </c>
      <c r="CY39" s="4" t="e">
        <f ca="1">_xll.BDH($C$28,"INVENT_TURN","FQ1 2016","FQ1 2016","Currency=INR","Period=FQ","BEST_FPERIOD_OVERRIDE=FQ","FILING_STATUS=OR","EQY_CONSOLIDATED=Y","FA_ADJUSTED=GAAP","Sort=A","Dates=H","DateFormat=P","Fill=—","Direction=H","UseDPDF=Y")</f>
        <v>#NAME?</v>
      </c>
      <c r="CZ39" s="2" t="e">
        <f ca="1">_xll.BDH($C$28,"INVENT_DAYS","FQ1 2016","FQ1 2016","Currency=INR","Period=FQ","BEST_FPERIOD_OVERRIDE=FQ","FILING_STATUS=OR","EQY_CONSOLIDATED=Y","FA_ADJUSTED=GAAP","Sort=A","Dates=H","DateFormat=P","Fill=—","Direction=H","UseDPDF=Y")</f>
        <v>#NAME?</v>
      </c>
      <c r="DA39" s="4" t="e">
        <f ca="1">_xll.BDH($C$28,"ACCOUNTS_PAYABLE_TURNOVER","FQ1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9" s="2" t="e">
        <f ca="1">_xll.BDH($C$28,"ACCOUNTS_PAYABLE_TURNOVER_DAYS","FQ1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9" s="4" t="e">
        <f ca="1">_xll.BDH($C$28,"CASH_CONVERSION_CYCLE","FQ1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9" s="4" t="e">
        <f ca="1">_xll.BDH($C$28,"INV_TO_CASH_DAYS","FQ1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9" s="5" t="e">
        <f ca="1">_xll.BDH($C$28,"BS_INVENTORIES","FQ1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9" s="3" t="e">
        <f ca="1">_xll.BDH($C$28,"INVTRY_RAW_MATERIALS","FQ1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9" s="3" t="e">
        <f ca="1">_xll.BDH($C$28,"INVTRY_IN_PROGRESS","FQ1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9" s="3" t="e">
        <f ca="1">_xll.BDH($C$28,"INVTRY_FINISHED_GOODS","FQ1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9" s="3" t="e">
        <f ca="1">_xll.BDH($C$28,"BS_OTHER_INV","FQ1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0" spans="1:113" x14ac:dyDescent="0.3">
      <c r="A40" s="6"/>
      <c r="B40" s="6"/>
      <c r="C40" s="6"/>
      <c r="D40" s="6"/>
      <c r="E40" t="s">
        <v>79</v>
      </c>
      <c r="F40" t="e">
        <f ca="1">_xll.BDH($C$28,"RETURN_COM_EQY","FQ2 2016","FQ2 2016","Currency=INR","Period=FQ","BEST_FPERIOD_OVERRIDE=FQ","FILING_STATUS=OR","EQY_CONSOLIDATED=Y","FA_ADJUSTED=GAAP","Sort=A","Dates=H","DateFormat=P","Fill=—","Direction=H","UseDPDF=Y")</f>
        <v>#NAME?</v>
      </c>
      <c r="G40" t="e">
        <f ca="1">_xll.BDH($C$28,"RETURN_ON_ASSET","FQ2 2016","FQ2 2016","Currency=INR","Period=FQ","BEST_FPERIOD_OVERRIDE=FQ","FILING_STATUS=OR","EQY_CONSOLIDATED=Y","FA_ADJUSTED=GAAP","Sort=A","Dates=H","DateFormat=P","Fill=—","Direction=H","UseDPDF=Y")</f>
        <v>#NAME?</v>
      </c>
      <c r="H40" t="e">
        <f ca="1">_xll.BDH($C$28,"RETURN_ON_CAP","FQ2 2016","FQ2 2016","Currency=INR","Period=FQ","BEST_FPERIOD_OVERRIDE=FQ","FILING_STATUS=OR","EQY_CONSOLIDATED=Y","FA_ADJUSTED=GAAP","Sort=A","Dates=H","DateFormat=P","Fill=—","Direction=H","UseDPDF=Y")</f>
        <v>#NAME?</v>
      </c>
      <c r="I40" t="e">
        <f ca="1">_xll.BDH($C$28,"RETURN_ON_INV_CAPITAL","FQ2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0" t="e">
        <f ca="1">_xll.BDH($C$28,"EBITDA_TO_REVENUE","FQ2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0" t="e">
        <f ca="1">_xll.BDH($C$28,"OPER_MARGIN","FQ2 2016","FQ2 2016","Currency=INR","Period=FQ","BEST_FPERIOD_OVERRIDE=FQ","FILING_STATUS=OR","EQY_CONSOLIDATED=Y","FA_ADJUSTED=GAAP","Sort=A","Dates=H","DateFormat=P","Fill=—","Direction=H","UseDPDF=Y")</f>
        <v>#NAME?</v>
      </c>
      <c r="L40" t="e">
        <f ca="1">_xll.BDH($C$28,"INCREMENTAL_OPERATING_MARGIN","FQ2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0" t="e">
        <f ca="1">_xll.BDH($C$28,"PRETAX_INC_TO_NET_SALES","FQ2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0" t="e">
        <f ca="1">_xll.BDH($C$28,"INC_BEF_XO_ITEMS_TO_NET_SALES","FQ2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0" t="e">
        <f ca="1">_xll.BDH($C$28,"PROF_MARGIN","FQ2 2016","FQ2 2016","Currency=INR","Period=FQ","BEST_FPERIOD_OVERRIDE=FQ","FILING_STATUS=OR","EQY_CONSOLIDATED=Y","FA_ADJUSTED=GAAP","Sort=A","Dates=H","DateFormat=P","Fill=—","Direction=H","UseDPDF=Y")</f>
        <v>#NAME?</v>
      </c>
      <c r="P40" t="e">
        <f ca="1">_xll.BDH($C$28,"NET_INCOME_TO_COMMON_MARGIN","FQ2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0" t="e">
        <f ca="1">_xll.BDH($C$28,"EFF_TAX_RATE","FQ2 2016","FQ2 2016","Currency=INR","Period=FQ","BEST_FPERIOD_OVERRIDE=FQ","FILING_STATUS=OR","EQY_CONSOLIDATED=Y","FA_ADJUSTED=GAAP","Sort=A","Dates=H","DateFormat=P","Fill=—","Direction=H","UseDPDF=Y")</f>
        <v>#NAME?</v>
      </c>
      <c r="R40" t="e">
        <f ca="1">_xll.BDH($C$28,"DVD_PAYOUT_RATIO","FQ2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0" t="e">
        <f ca="1">_xll.BDH($C$28,"SUSTAIN_GROWTH_RT","FQ2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0" s="2" t="e">
        <f ca="1">_xll.BDH($C$28,"SALES_GROWTH","FQ2 2016","FQ2 2016","Currency=INR","Period=FQ","BEST_FPERIOD_OVERRIDE=FQ","FILING_STATUS=OR","EQY_CONSOLIDATED=Y","FA_ADJUSTED=GAAP","Sort=A","Dates=H","DateFormat=P","Fill=—","Direction=H","UseDPDF=Y")</f>
        <v>#NAME?</v>
      </c>
      <c r="U40" s="2" t="e">
        <f ca="1">_xll.BDH($C$28,"EBITDA_GROWTH","FQ2 2016","FQ2 2016","Currency=INR","Period=FQ","BEST_FPERIOD_OVERRIDE=FQ","FILING_STATUS=OR","EQY_CONSOLIDATED=Y","FA_ADJUSTED=GAAP","Sort=A","Dates=H","DateFormat=P","Fill=—","Direction=H","UseDPDF=Y")</f>
        <v>#NAME?</v>
      </c>
      <c r="V40" s="2" t="e">
        <f ca="1">_xll.BDH($C$28,"OPER_INC_GROWTH","FQ2 2016","FQ2 2016","Currency=INR","Period=FQ","BEST_FPERIOD_OVERRIDE=FQ","FILING_STATUS=OR","EQY_CONSOLIDATED=Y","FA_ADJUSTED=GAAP","Sort=A","Dates=H","DateFormat=P","Fill=—","Direction=H","UseDPDF=Y")</f>
        <v>#NAME?</v>
      </c>
      <c r="W40" s="2" t="e">
        <f ca="1">_xll.BDH($C$28,"EARN_FOR_COM_GROWTH","FQ2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0" s="2" t="e">
        <f ca="1">_xll.BDH($C$28,"DILUTED_EPS_AFT_XO_ITEMS_GROWTH","FQ2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0" s="2" t="e">
        <f ca="1">_xll.BDH($C$28,"DIVIDEND_PER_SHARE_1_YEAR_GROWTH","FQ2 2016","FQ2 2016","Currency=INR","Period=FQ","BEST_FPERIOD_OVERRIDE=FQ","FILING_STATUS=OR","EQY_CONSOLIDATED=Y","Sort=A","Dates=H","DateFormat=P","Fill=—","Direction=H","UseDPDF=Y")</f>
        <v>#NAME?</v>
      </c>
      <c r="Z40" s="2" t="e">
        <f ca="1">_xll.BDH($C$28,"ACCOUNTS_RECEIVABLE_GROWTH","FQ2 2016","FQ2 2016","Currency=INR","Period=FQ","BEST_FPERIOD_OVERRIDE=FQ","FILING_STATUS=OR","EQY_CONSOLIDATED=Y","Sort=A","Dates=H","DateFormat=P","Fill=—","Direction=H","UseDPDF=Y")</f>
        <v>#NAME?</v>
      </c>
      <c r="AA40" s="2" t="e">
        <f ca="1">_xll.BDH($C$28,"INVENTORY_GROWTH","FQ2 2016","FQ2 2016","Currency=INR","Period=FQ","BEST_FPERIOD_OVERRIDE=FQ","FILING_STATUS=OR","EQY_CONSOLIDATED=Y","Sort=A","Dates=H","DateFormat=P","Fill=—","Direction=H","UseDPDF=Y")</f>
        <v>#NAME?</v>
      </c>
      <c r="AB40" s="2" t="e">
        <f ca="1">_xll.BDH($C$28,"NET_FIXED_ASSETS_1_YEAR_GROWTH","FQ2 2016","FQ2 2016","Currency=INR","Period=FQ","BEST_FPERIOD_OVERRIDE=FQ","FILING_STATUS=OR","EQY_CONSOLIDATED=Y","Sort=A","Dates=H","DateFormat=P","Fill=—","Direction=H","UseDPDF=Y")</f>
        <v>#NAME?</v>
      </c>
      <c r="AC40" s="2" t="e">
        <f ca="1">_xll.BDH($C$28,"ASSET_GROWTH","FQ2 2016","FQ2 2016","Currency=INR","Period=FQ","BEST_FPERIOD_OVERRIDE=FQ","FILING_STATUS=OR","EQY_CONSOLIDATED=Y","Sort=A","Dates=H","DateFormat=P","Fill=—","Direction=H","UseDPDF=Y")</f>
        <v>#NAME?</v>
      </c>
      <c r="AD40" s="2" t="e">
        <f ca="1">_xll.BDH($C$28,"MODIFIED_WORK_CAP_GROWTH","FQ2 2016","FQ2 2016","Currency=INR","Period=FQ","BEST_FPERIOD_OVERRIDE=FQ","FILING_STATUS=OR","EQY_CONSOLIDATED=Y","Sort=A","Dates=H","DateFormat=P","Fill=—","Direction=H","UseDPDF=Y")</f>
        <v>#NAME?</v>
      </c>
      <c r="AE40" s="2" t="e">
        <f ca="1">_xll.BDH($C$28,"WORK_CAP_GROWTH","FQ2 2016","FQ2 2016","Currency=INR","Period=FQ","BEST_FPERIOD_OVERRIDE=FQ","FILING_STATUS=OR","EQY_CONSOLIDATED=Y","Sort=A","Dates=H","DateFormat=P","Fill=—","Direction=H","UseDPDF=Y")</f>
        <v>#NAME?</v>
      </c>
      <c r="AF40" s="2" t="e">
        <f ca="1">_xll.BDH($C$28,"ACCOUNTS_PAYABLE_GROWTH_1YR","FQ2 2016","FQ2 2016","Currency=INR","Period=FQ","BEST_FPERIOD_OVERRIDE=FQ","FILING_STATUS=OR","EQY_CONSOLIDATED=Y","Sort=A","Dates=H","DateFormat=P","Fill=—","Direction=H","UseDPDF=Y")</f>
        <v>#NAME?</v>
      </c>
      <c r="AG40" s="2" t="e">
        <f ca="1">_xll.BDH($C$28,"SHORT_TERM_DEBT_1_YEAR_GROWTH","FQ2 2016","FQ2 2016","Currency=INR","Period=FQ","BEST_FPERIOD_OVERRIDE=FQ","FILING_STATUS=OR","EQY_CONSOLIDATED=Y","Sort=A","Dates=H","DateFormat=P","Fill=—","Direction=H","UseDPDF=Y")</f>
        <v>#NAME?</v>
      </c>
      <c r="AH40" s="2" t="e">
        <f ca="1">_xll.BDH($C$28,"TOTAL_DEBT_1_YEAR_GROWTH","FQ2 2016","FQ2 2016","Currency=INR","Period=FQ","BEST_FPERIOD_OVERRIDE=FQ","FILING_STATUS=OR","EQY_CONSOLIDATED=Y","Sort=A","Dates=H","DateFormat=P","Fill=—","Direction=H","UseDPDF=Y")</f>
        <v>#NAME?</v>
      </c>
      <c r="AI40" s="2" t="e">
        <f ca="1">_xll.BDH($C$28,"TOTAL_EQUITY_1_YEAR_GROWTH","FQ2 2016","FQ2 2016","Currency=INR","Period=FQ","BEST_FPERIOD_OVERRIDE=FQ","FILING_STATUS=OR","EQY_CONSOLIDATED=Y","Sort=A","Dates=H","DateFormat=P","Fill=—","Direction=H","UseDPDF=Y")</f>
        <v>#NAME?</v>
      </c>
      <c r="AJ40" s="2" t="e">
        <f ca="1">_xll.BDH($C$28,"GROWTH_IN_CAP","FQ2 2016","FQ2 2016","Currency=INR","Period=FQ","BEST_FPERIOD_OVERRIDE=FQ","FILING_STATUS=OR","EQY_CONSOLIDATED=Y","Sort=A","Dates=H","DateFormat=P","Fill=—","Direction=H","UseDPDF=Y")</f>
        <v>#NAME?</v>
      </c>
      <c r="AK40" s="2" t="e">
        <f ca="1">_xll.BDH($C$28,"BVPS_GROWTH","FQ2 2016","FQ2 2016","Currency=INR","Period=FQ","BEST_FPERIOD_OVERRIDE=FQ","FILING_STATUS=OR","EQY_CONSOLIDATED=Y","Sort=A","Dates=H","DateFormat=P","Fill=—","Direction=H","UseDPDF=Y")</f>
        <v>#NAME?</v>
      </c>
      <c r="AL40" s="2" t="e">
        <f ca="1">_xll.BDH($C$28,"CASH_FLOW_GROWTH","FQ2 2016","FQ2 2016","Currency=INR","Period=FQ","BEST_FPERIOD_OVERRIDE=FQ","FILING_STATUS=OR","EQY_CONSOLIDATED=Y","Sort=A","Dates=H","DateFormat=P","Fill=—","Direction=H","UseDPDF=Y")</f>
        <v>#NAME?</v>
      </c>
      <c r="AM40" s="2" t="e">
        <f ca="1">_xll.BDH($C$28,"GEO_GROW_NET_SALES","FQ2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0" s="2" t="e">
        <f ca="1">_xll.BDH($C$28,"GEO_GROW_EBITDA","FQ2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0" s="2" t="e">
        <f ca="1">_xll.BDH($C$28,"GEO_GROW_OPER_INC","FQ2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0" s="2" t="e">
        <f ca="1">_xll.BDH($C$28,"NET_INCOME_TO_COMMON_5_YR_GROWTH","FQ2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0" s="2" t="e">
        <f ca="1">_xll.BDH($C$28,"5Y_GEO_GROWTH_DILUTED_EPS","FQ2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0" s="2" t="e">
        <f ca="1">_xll.BDH($C$28,"GEO_GROW_DVD_PER_SH","FQ2 2016","FQ2 2016","Currency=INR","Period=FQ","BEST_FPERIOD_OVERRIDE=FQ","FILING_STATUS=OR","EQY_CONSOLIDATED=Y","Sort=A","Dates=H","DateFormat=P","Fill=—","Direction=H","UseDPDF=Y")</f>
        <v>#NAME?</v>
      </c>
      <c r="AS40" s="2" t="e">
        <f ca="1">_xll.BDH($C$28,"ACCOUNTS_RECEIVABLE_5_YR_GROWTH","FQ2 2016","FQ2 2016","Currency=INR","Period=FQ","BEST_FPERIOD_OVERRIDE=FQ","FILING_STATUS=OR","EQY_CONSOLIDATED=Y","Sort=A","Dates=H","DateFormat=P","Fill=—","Direction=H","UseDPDF=Y")</f>
        <v>#NAME?</v>
      </c>
      <c r="AT40" s="2" t="e">
        <f ca="1">_xll.BDH($C$28,"INVENTORY_5_YEAR_GROWTH","FQ2 2016","FQ2 2016","Currency=INR","Period=FQ","BEST_FPERIOD_OVERRIDE=FQ","FILING_STATUS=OR","EQY_CONSOLIDATED=Y","Sort=A","Dates=H","DateFormat=P","Fill=—","Direction=H","UseDPDF=Y")</f>
        <v>#NAME?</v>
      </c>
      <c r="AU40" s="2" t="e">
        <f ca="1">_xll.BDH($C$28,"NET_FIXED_ASSETS_5_YEAR_GROWTH","FQ2 2016","FQ2 2016","Currency=INR","Period=FQ","BEST_FPERIOD_OVERRIDE=FQ","FILING_STATUS=OR","EQY_CONSOLIDATED=Y","Sort=A","Dates=H","DateFormat=P","Fill=—","Direction=H","UseDPDF=Y")</f>
        <v>#NAME?</v>
      </c>
      <c r="AV40" s="2" t="e">
        <f ca="1">_xll.BDH($C$28,"GEO_GROW_TOT_ASSET","FQ2 2016","FQ2 2016","Currency=INR","Period=FQ","BEST_FPERIOD_OVERRIDE=FQ","FILING_STATUS=OR","EQY_CONSOLIDATED=Y","Sort=A","Dates=H","DateFormat=P","Fill=—","Direction=H","UseDPDF=Y")</f>
        <v>#NAME?</v>
      </c>
      <c r="AW40" s="2" t="e">
        <f ca="1">_xll.BDH($C$28,"MODIFIED_WORKING_CPTL_5YR_GRWTH","FQ2 2016","FQ2 2016","Currency=INR","Period=FQ","BEST_FPERIOD_OVERRIDE=FQ","FILING_STATUS=OR","EQY_CONSOLIDATED=Y","Sort=A","Dates=H","DateFormat=P","Fill=—","Direction=H","UseDPDF=Y")</f>
        <v>#NAME?</v>
      </c>
      <c r="AX40" s="2" t="e">
        <f ca="1">_xll.BDH($C$28,"WORKING_CAPITAL_5_YEAR_GROWTH","FQ2 2016","FQ2 2016","Currency=INR","Period=FQ","BEST_FPERIOD_OVERRIDE=FQ","FILING_STATUS=OR","EQY_CONSOLIDATED=Y","Sort=A","Dates=H","DateFormat=P","Fill=—","Direction=H","UseDPDF=Y")</f>
        <v>#NAME?</v>
      </c>
      <c r="AY40" s="2" t="e">
        <f ca="1">_xll.BDH($C$28,"ACCOUNTS_PAYABLE_5_YEAR_GROWTH","FQ2 2016","FQ2 2016","Currency=INR","Period=FQ","BEST_FPERIOD_OVERRIDE=FQ","FILING_STATUS=OR","EQY_CONSOLIDATED=Y","Sort=A","Dates=H","DateFormat=P","Fill=—","Direction=H","UseDPDF=Y")</f>
        <v>#NAME?</v>
      </c>
      <c r="AZ40" s="2" t="e">
        <f ca="1">_xll.BDH($C$28,"SHORT_TERM_DEBT_5_YEAR_GROWTH","FQ2 2016","FQ2 2016","Currency=INR","Period=FQ","BEST_FPERIOD_OVERRIDE=FQ","FILING_STATUS=OR","EQY_CONSOLIDATED=Y","Sort=A","Dates=H","DateFormat=P","Fill=—","Direction=H","UseDPDF=Y")</f>
        <v>#NAME?</v>
      </c>
      <c r="BA40" s="2" t="e">
        <f ca="1">_xll.BDH($C$28,"TOTAL_DEBT_5_YEAR_GROWTH","FQ2 2016","FQ2 2016","Currency=INR","Period=FQ","BEST_FPERIOD_OVERRIDE=FQ","FILING_STATUS=OR","EQY_CONSOLIDATED=Y","Sort=A","Dates=H","DateFormat=P","Fill=—","Direction=H","UseDPDF=Y")</f>
        <v>#NAME?</v>
      </c>
      <c r="BB40" s="2" t="e">
        <f ca="1">_xll.BDH($C$28,"GEO_GROW_TOT_SHRHLDR_EQY","FQ2 2016","FQ2 2016","Currency=INR","Period=FQ","BEST_FPERIOD_OVERRIDE=FQ","FILING_STATUS=OR","EQY_CONSOLIDATED=Y","Sort=A","Dates=H","DateFormat=P","Fill=—","Direction=H","UseDPDF=Y")</f>
        <v>#NAME?</v>
      </c>
      <c r="BC40" s="2" t="e">
        <f ca="1">_xll.BDH($C$28,"TOTAL_CAPITAL_5_YEAR_GROWTH","FQ2 2016","FQ2 2016","Currency=INR","Period=FQ","BEST_FPERIOD_OVERRIDE=FQ","FILING_STATUS=OR","EQY_CONSOLIDATED=Y","Sort=A","Dates=H","DateFormat=P","Fill=—","Direction=H","UseDPDF=Y")</f>
        <v>#NAME?</v>
      </c>
      <c r="BD40" s="2" t="e">
        <f ca="1">_xll.BDH($C$28,"GEO_GROW_BOOK_VAL","FQ2 2016","FQ2 2016","Currency=INR","Period=FQ","BEST_FPERIOD_OVERRIDE=FQ","FILING_STATUS=OR","EQY_CONSOLIDATED=Y","Sort=A","Dates=H","DateFormat=P","Fill=—","Direction=H","UseDPDF=Y")</f>
        <v>#NAME?</v>
      </c>
      <c r="BE40" s="2" t="e">
        <f ca="1">_xll.BDH($C$28,"GEO_GROW_CASH_OPER_ACT","FQ2 2016","FQ2 2016","Currency=INR","Period=FQ","BEST_FPERIOD_OVERRIDE=FQ","FILING_STATUS=OR","EQY_CONSOLIDATED=Y","Sort=A","Dates=H","DateFormat=P","Fill=—","Direction=H","UseDPDF=Y")</f>
        <v>#NAME?</v>
      </c>
      <c r="BF40" s="2" t="e">
        <f ca="1">_xll.BDH($C$28,"REVENUE_SEQUENTIAL_GROWTH","FQ2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0" s="2" t="e">
        <f ca="1">_xll.BDH($C$28,"EBITDA_SEQUENTIAL_GROWTH","FQ2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0" s="2" t="e">
        <f ca="1">_xll.BDH($C$28,"OPERATING_INCOME_SEQ_GROWTH","FQ2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0" s="2" t="e">
        <f ca="1">_xll.BDH($C$28,"NET_INCOME_TO_COMMON_SEQ_GROWTH","FQ2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0" s="2" t="e">
        <f ca="1">_xll.BDH($C$28,"EPS_DILUTED_SEQUENTIAL_GROWTH","FQ2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0" s="2" t="e">
        <f ca="1">_xll.BDH($C$28,"DPS_SEQUENTIAL_GROWTH","FQ2 2016","FQ2 2016","Currency=INR","Period=FQ","BEST_FPERIOD_OVERRIDE=FQ","FILING_STATUS=OR","EQY_CONSOLIDATED=Y","Sort=A","Dates=H","DateFormat=P","Fill=—","Direction=H","UseDPDF=Y")</f>
        <v>#NAME?</v>
      </c>
      <c r="BL40" s="2" t="e">
        <f ca="1">_xll.BDH($C$28,"ACCOUNTS_RECEIVABLE_SEQ_GROWTH","FQ2 2016","FQ2 2016","Currency=INR","Period=FQ","BEST_FPERIOD_OVERRIDE=FQ","FILING_STATUS=OR","EQY_CONSOLIDATED=Y","Sort=A","Dates=H","DateFormat=P","Fill=—","Direction=H","UseDPDF=Y")</f>
        <v>#NAME?</v>
      </c>
      <c r="BM40" s="2" t="e">
        <f ca="1">_xll.BDH($C$28,"INVENTORY_SEQUENTIAL_GROWTH","FQ2 2016","FQ2 2016","Currency=INR","Period=FQ","BEST_FPERIOD_OVERRIDE=FQ","FILING_STATUS=OR","EQY_CONSOLIDATED=Y","Sort=A","Dates=H","DateFormat=P","Fill=—","Direction=H","UseDPDF=Y")</f>
        <v>#NAME?</v>
      </c>
      <c r="BN40" s="2" t="e">
        <f ca="1">_xll.BDH($C$28,"FIXED_ASSETS_SEQUENTIAL_GROWTH","FQ2 2016","FQ2 2016","Currency=INR","Period=FQ","BEST_FPERIOD_OVERRIDE=FQ","FILING_STATUS=OR","EQY_CONSOLIDATED=Y","Sort=A","Dates=H","DateFormat=P","Fill=—","Direction=H","UseDPDF=Y")</f>
        <v>#NAME?</v>
      </c>
      <c r="BO40" s="2" t="e">
        <f ca="1">_xll.BDH($C$28,"TOTAL_ASSETS_SEQUENTIAL_GROWTH","FQ2 2016","FQ2 2016","Currency=INR","Period=FQ","BEST_FPERIOD_OVERRIDE=FQ","FILING_STATUS=OR","EQY_CONSOLIDATED=Y","Sort=A","Dates=H","DateFormat=P","Fill=—","Direction=H","UseDPDF=Y")</f>
        <v>#NAME?</v>
      </c>
      <c r="BP40" s="2" t="e">
        <f ca="1">_xll.BDH($C$28,"MODIFIED_WORKING_CPTL_SEQ_GRWTH","FQ2 2016","FQ2 2016","Currency=INR","Period=FQ","BEST_FPERIOD_OVERRIDE=FQ","FILING_STATUS=OR","EQY_CONSOLIDATED=Y","Sort=A","Dates=H","DateFormat=P","Fill=—","Direction=H","UseDPDF=Y")</f>
        <v>#NAME?</v>
      </c>
      <c r="BQ40" s="2" t="e">
        <f ca="1">_xll.BDH($C$28,"WORKING_CAPITAL_SEQ_GROWTH","FQ2 2016","FQ2 2016","Currency=INR","Period=FQ","BEST_FPERIOD_OVERRIDE=FQ","FILING_STATUS=OR","EQY_CONSOLIDATED=Y","Sort=A","Dates=H","DateFormat=P","Fill=—","Direction=H","UseDPDF=Y")</f>
        <v>#NAME?</v>
      </c>
      <c r="BR40" s="2" t="e">
        <f ca="1">_xll.BDH($C$28,"ACCOUNTS_PAYABLE_SEQ_GROWTH","FQ2 2016","FQ2 2016","Currency=INR","Period=FQ","BEST_FPERIOD_OVERRIDE=FQ","FILING_STATUS=OR","EQY_CONSOLIDATED=Y","Sort=A","Dates=H","DateFormat=P","Fill=—","Direction=H","UseDPDF=Y")</f>
        <v>#NAME?</v>
      </c>
      <c r="BS40" s="2" t="e">
        <f ca="1">_xll.BDH($C$28,"ST_DEBT_SEQUENTIAL_GROWTH","FQ2 2016","FQ2 2016","Currency=INR","Period=FQ","BEST_FPERIOD_OVERRIDE=FQ","FILING_STATUS=OR","EQY_CONSOLIDATED=Y","Sort=A","Dates=H","DateFormat=P","Fill=—","Direction=H","UseDPDF=Y")</f>
        <v>#NAME?</v>
      </c>
      <c r="BT40" s="2" t="e">
        <f ca="1">_xll.BDH($C$28,"TOTAL_DEBT_SEQUENTIAL_GROWTH","FQ2 2016","FQ2 2016","Currency=INR","Period=FQ","BEST_FPERIOD_OVERRIDE=FQ","FILING_STATUS=OR","EQY_CONSOLIDATED=Y","Sort=A","Dates=H","DateFormat=P","Fill=—","Direction=H","UseDPDF=Y")</f>
        <v>#NAME?</v>
      </c>
      <c r="BU40" s="2" t="e">
        <f ca="1">_xll.BDH($C$28,"TOTAL_EQUITY_SEQUENTIAL_GROWTH","FQ2 2016","FQ2 2016","Currency=INR","Period=FQ","BEST_FPERIOD_OVERRIDE=FQ","FILING_STATUS=OR","EQY_CONSOLIDATED=Y","Sort=A","Dates=H","DateFormat=P","Fill=—","Direction=H","UseDPDF=Y")</f>
        <v>#NAME?</v>
      </c>
      <c r="BV40" s="2" t="e">
        <f ca="1">_xll.BDH($C$28,"TOTAL_CAPITAL_SEQUENTIAL_GROWTH","FQ2 2016","FQ2 2016","Currency=INR","Period=FQ","BEST_FPERIOD_OVERRIDE=FQ","FILING_STATUS=OR","EQY_CONSOLIDATED=Y","Sort=A","Dates=H","DateFormat=P","Fill=—","Direction=H","UseDPDF=Y")</f>
        <v>#NAME?</v>
      </c>
      <c r="BW40" s="2" t="e">
        <f ca="1">_xll.BDH($C$28,"BPS_SEQUENTIAL_GROWTH","FQ2 2016","FQ2 2016","Currency=INR","Period=FQ","BEST_FPERIOD_OVERRIDE=FQ","FILING_STATUS=OR","EQY_CONSOLIDATED=Y","Sort=A","Dates=H","DateFormat=P","Fill=—","Direction=H","UseDPDF=Y")</f>
        <v>#NAME?</v>
      </c>
      <c r="BX40" s="2" t="e">
        <f ca="1">_xll.BDH($C$28,"CFO_SEQUENTIAL_GROWTH","FQ2 2016","FQ2 2016","Currency=INR","Period=FQ","BEST_FPERIOD_OVERRIDE=FQ","FILING_STATUS=OR","EQY_CONSOLIDATED=Y","Sort=A","Dates=H","DateFormat=P","Fill=—","Direction=H","UseDPDF=Y")</f>
        <v>#NAME?</v>
      </c>
      <c r="BY40" s="3" t="e">
        <f ca="1">_xll.BDH($C$28,"SHORT_AND_LONG_TERM_DEBT","FQ2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0" s="3" t="e">
        <f ca="1">_xll.BDH($C$28,"BS_ST_BORROW","FQ2 2016","FQ2 2016","Currency=INR","Period=FQ","BEST_FPERIOD_OVERRIDE=FQ","FILING_STATUS=OR","EQY_CONSOLIDATED=Y","SCALING_FORMAT=MLN","Sort=A","Dates=H","DateFormat=P","Fill=—","Direction=H","UseDPDF=Y")</f>
        <v>#NAME?</v>
      </c>
      <c r="CA40" s="3" t="e">
        <f ca="1">_xll.BDH($C$28,"BS_LT_BORROW","FQ2 2016","FQ2 2016","Currency=INR","Period=FQ","BEST_FPERIOD_OVERRIDE=FQ","FILING_STATUS=OR","EQY_CONSOLIDATED=Y","SCALING_FORMAT=MLN","Sort=A","Dates=H","DateFormat=P","Fill=—","Direction=H","UseDPDF=Y")</f>
        <v>#NAME?</v>
      </c>
      <c r="CB40" s="2" t="e">
        <f ca="1">_xll.BDH($C$28,"TOT_DEBT_TO_EBITDA","FQ2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0" s="2" t="e">
        <f ca="1">_xll.BDH($C$28,"NET_DEBT_TO_EBITDA","FQ2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0" s="2" t="e">
        <f ca="1">_xll.BDH($C$28,"TOTAL_DEBT_TO_EBIT","FQ2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0" s="2" t="e">
        <f ca="1">_xll.BDH($C$28,"NET_DEBT_TO_EBIT","FQ2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0" s="2" t="e">
        <f ca="1">_xll.BDH($C$28,"EBITDA_TO_INTEREST_EXPN","FQ2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0" s="2" t="e">
        <f ca="1">_xll.BDH($C$28,"COM_EQY_TO_TOT_ASSET","FQ2 2016","FQ2 2016","Currency=INR","Period=FQ","BEST_FPERIOD_OVERRIDE=FQ","FILING_STATUS=OR","EQY_CONSOLIDATED=Y","Sort=A","Dates=H","DateFormat=P","Fill=—","Direction=H","UseDPDF=Y")</f>
        <v>#NAME?</v>
      </c>
      <c r="CH40" s="2" t="e">
        <f ca="1">_xll.BDH($C$28,"LT_DEBT_TO_TOT_EQY","FQ2 2016","FQ2 2016","Currency=INR","Period=FQ","BEST_FPERIOD_OVERRIDE=FQ","FILING_STATUS=OR","EQY_CONSOLIDATED=Y","Sort=A","Dates=H","DateFormat=P","Fill=—","Direction=H","UseDPDF=Y")</f>
        <v>#NAME?</v>
      </c>
      <c r="CI40" s="2" t="e">
        <f ca="1">_xll.BDH($C$28,"LT_DEBT_TO_TOT_CAP","FQ2 2016","FQ2 2016","Currency=INR","Period=FQ","BEST_FPERIOD_OVERRIDE=FQ","FILING_STATUS=OR","EQY_CONSOLIDATED=Y","Sort=A","Dates=H","DateFormat=P","Fill=—","Direction=H","UseDPDF=Y")</f>
        <v>#NAME?</v>
      </c>
      <c r="CJ40" s="2" t="e">
        <f ca="1">_xll.BDH($C$28,"LT_DEBT_TO_TOT_ASSET","FQ2 2016","FQ2 2016","Currency=INR","Period=FQ","BEST_FPERIOD_OVERRIDE=FQ","FILING_STATUS=OR","EQY_CONSOLIDATED=Y","Sort=A","Dates=H","DateFormat=P","Fill=—","Direction=H","UseDPDF=Y")</f>
        <v>#NAME?</v>
      </c>
      <c r="CK40" s="2" t="e">
        <f ca="1">_xll.BDH($C$28,"TOT_DEBT_TO_TOT_EQY","FQ2 2016","FQ2 2016","Currency=INR","Period=FQ","BEST_FPERIOD_OVERRIDE=FQ","FILING_STATUS=OR","EQY_CONSOLIDATED=Y","Sort=A","Dates=H","DateFormat=P","Fill=—","Direction=H","UseDPDF=Y")</f>
        <v>#NAME?</v>
      </c>
      <c r="CL40" s="2" t="e">
        <f ca="1">_xll.BDH($C$28,"TOT_DEBT_TO_TOT_CAP","FQ2 2016","FQ2 2016","Currency=INR","Period=FQ","BEST_FPERIOD_OVERRIDE=FQ","FILING_STATUS=OR","EQY_CONSOLIDATED=Y","Sort=A","Dates=H","DateFormat=P","Fill=—","Direction=H","UseDPDF=Y")</f>
        <v>#NAME?</v>
      </c>
      <c r="CM40" s="2" t="e">
        <f ca="1">_xll.BDH($C$28,"TOT_DEBT_TO_TOT_ASSET","FQ2 2016","FQ2 2016","Currency=INR","Period=FQ","BEST_FPERIOD_OVERRIDE=FQ","FILING_STATUS=OR","EQY_CONSOLIDATED=Y","Sort=A","Dates=H","DateFormat=P","Fill=—","Direction=H","UseDPDF=Y")</f>
        <v>#NAME?</v>
      </c>
      <c r="CN40" s="2" t="e">
        <f ca="1">_xll.BDH($C$28,"NET_DEBT_TO_SHRHLDR_EQTY","FQ2 2016","FQ2 2016","Currency=INR","Period=FQ","BEST_FPERIOD_OVERRIDE=FQ","FILING_STATUS=OR","EQY_CONSOLIDATED=Y","Sort=A","Dates=H","DateFormat=P","Fill=—","Direction=H","UseDPDF=Y")</f>
        <v>#NAME?</v>
      </c>
      <c r="CO40" s="2" t="e">
        <f ca="1">_xll.BDH($C$28,"NET_DEBT_%_CAPITAL","FQ2 2016","FQ2 2016","Currency=INR","Period=FQ","BEST_FPERIOD_OVERRIDE=FQ","FILING_STATUS=OR","EQY_CONSOLIDATED=Y","Sort=A","Dates=H","DateFormat=P","Fill=—","Direction=H","UseDPDF=Y")</f>
        <v>#NAME?</v>
      </c>
      <c r="CP40" s="3" t="e">
        <f ca="1">_xll.BDH($C$28,"EBITDA","FQ2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0" s="3" t="e">
        <f ca="1">_xll.BDH($C$28,"EBITDA_AFTER_CAPEX","FQ2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0" s="3" t="e">
        <f ca="1">_xll.BDH($C$28,"IS_OPER_INC","FQ2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0" s="2" t="e">
        <f ca="1">_xll.BDH($C$28,"CASH_RATIO","FQ2 2016","FQ2 2016","Currency=INR","Period=FQ","BEST_FPERIOD_OVERRIDE=FQ","FILING_STATUS=OR","EQY_CONSOLIDATED=Y","Sort=A","Dates=H","DateFormat=P","Fill=—","Direction=H","UseDPDF=Y")</f>
        <v>#NAME?</v>
      </c>
      <c r="CT40" s="2" t="e">
        <f ca="1">_xll.BDH($C$28,"CUR_RATIO","FQ2 2016","FQ2 2016","Currency=INR","Period=FQ","BEST_FPERIOD_OVERRIDE=FQ","FILING_STATUS=OR","EQY_CONSOLIDATED=Y","Sort=A","Dates=H","DateFormat=P","Fill=—","Direction=H","UseDPDF=Y")</f>
        <v>#NAME?</v>
      </c>
      <c r="CU40" s="2" t="e">
        <f ca="1">_xll.BDH($C$28,"QUICK_RATIO","FQ2 2016","FQ2 2016","Currency=INR","Period=FQ","BEST_FPERIOD_OVERRIDE=FQ","FILING_STATUS=OR","EQY_CONSOLIDATED=Y","Sort=A","Dates=H","DateFormat=P","Fill=—","Direction=H","UseDPDF=Y")</f>
        <v>#NAME?</v>
      </c>
      <c r="CV40" s="2" t="e">
        <f ca="1">_xll.BDH($C$28,"ALTMAN_Z_SCORE","FQ2 2016","FQ2 2016","Currency=INR","Period=FQ","BEST_FPERIOD_OVERRIDE=FQ","FILING_STATUS=OR","EQY_CONSOLIDATED=Y","Sort=A","Dates=H","DateFormat=P","Fill=—","Direction=H","UseDPDF=Y")</f>
        <v>#NAME?</v>
      </c>
      <c r="CW40" s="4" t="e">
        <f ca="1">_xll.BDH($C$28,"ACCT_RCV_TURN","FQ2 2016","FQ2 2016","Currency=INR","Period=FQ","BEST_FPERIOD_OVERRIDE=FQ","FILING_STATUS=OR","EQY_CONSOLIDATED=Y","FA_ADJUSTED=GAAP","Sort=A","Dates=H","DateFormat=P","Fill=—","Direction=H","UseDPDF=Y")</f>
        <v>#NAME?</v>
      </c>
      <c r="CX40" s="2" t="e">
        <f ca="1">_xll.BDH($C$28,"ACCT_RCV_DAYS","FQ2 2016","FQ2 2016","Currency=INR","Period=FQ","BEST_FPERIOD_OVERRIDE=FQ","FILING_STATUS=OR","EQY_CONSOLIDATED=Y","FA_ADJUSTED=GAAP","Sort=A","Dates=H","DateFormat=P","Fill=—","Direction=H","UseDPDF=Y")</f>
        <v>#NAME?</v>
      </c>
      <c r="CY40" s="4" t="e">
        <f ca="1">_xll.BDH($C$28,"INVENT_TURN","FQ2 2016","FQ2 2016","Currency=INR","Period=FQ","BEST_FPERIOD_OVERRIDE=FQ","FILING_STATUS=OR","EQY_CONSOLIDATED=Y","FA_ADJUSTED=GAAP","Sort=A","Dates=H","DateFormat=P","Fill=—","Direction=H","UseDPDF=Y")</f>
        <v>#NAME?</v>
      </c>
      <c r="CZ40" s="2" t="e">
        <f ca="1">_xll.BDH($C$28,"INVENT_DAYS","FQ2 2016","FQ2 2016","Currency=INR","Period=FQ","BEST_FPERIOD_OVERRIDE=FQ","FILING_STATUS=OR","EQY_CONSOLIDATED=Y","FA_ADJUSTED=GAAP","Sort=A","Dates=H","DateFormat=P","Fill=—","Direction=H","UseDPDF=Y")</f>
        <v>#NAME?</v>
      </c>
      <c r="DA40" s="4" t="e">
        <f ca="1">_xll.BDH($C$28,"ACCOUNTS_PAYABLE_TURNOVER","FQ2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0" s="2" t="e">
        <f ca="1">_xll.BDH($C$28,"ACCOUNTS_PAYABLE_TURNOVER_DAYS","FQ2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0" s="4" t="e">
        <f ca="1">_xll.BDH($C$28,"CASH_CONVERSION_CYCLE","FQ2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0" s="4" t="e">
        <f ca="1">_xll.BDH($C$28,"INV_TO_CASH_DAYS","FQ2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0" s="5" t="e">
        <f ca="1">_xll.BDH($C$28,"BS_INVENTORIES","FQ2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0" s="3" t="e">
        <f ca="1">_xll.BDH($C$28,"INVTRY_RAW_MATERIALS","FQ2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0" s="3" t="e">
        <f ca="1">_xll.BDH($C$28,"INVTRY_IN_PROGRESS","FQ2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0" s="3" t="e">
        <f ca="1">_xll.BDH($C$28,"INVTRY_FINISHED_GOODS","FQ2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0" s="3" t="e">
        <f ca="1">_xll.BDH($C$28,"BS_OTHER_INV","FQ2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" spans="1:113" x14ac:dyDescent="0.3">
      <c r="A41" s="6"/>
      <c r="B41" s="6"/>
      <c r="C41" s="6"/>
      <c r="D41" s="6"/>
      <c r="E41" t="s">
        <v>80</v>
      </c>
      <c r="F41" t="e">
        <f ca="1">_xll.BDH($C$28,"RETURN_COM_EQY","FQ3 2016","FQ3 2016","Currency=INR","Period=FQ","BEST_FPERIOD_OVERRIDE=FQ","FILING_STATUS=OR","EQY_CONSOLIDATED=Y","FA_ADJUSTED=GAAP","Sort=A","Dates=H","DateFormat=P","Fill=—","Direction=H","UseDPDF=Y")</f>
        <v>#NAME?</v>
      </c>
      <c r="G41" t="e">
        <f ca="1">_xll.BDH($C$28,"RETURN_ON_ASSET","FQ3 2016","FQ3 2016","Currency=INR","Period=FQ","BEST_FPERIOD_OVERRIDE=FQ","FILING_STATUS=OR","EQY_CONSOLIDATED=Y","FA_ADJUSTED=GAAP","Sort=A","Dates=H","DateFormat=P","Fill=—","Direction=H","UseDPDF=Y")</f>
        <v>#NAME?</v>
      </c>
      <c r="H41" t="e">
        <f ca="1">_xll.BDH($C$28,"RETURN_ON_CAP","FQ3 2016","FQ3 2016","Currency=INR","Period=FQ","BEST_FPERIOD_OVERRIDE=FQ","FILING_STATUS=OR","EQY_CONSOLIDATED=Y","FA_ADJUSTED=GAAP","Sort=A","Dates=H","DateFormat=P","Fill=—","Direction=H","UseDPDF=Y")</f>
        <v>#NAME?</v>
      </c>
      <c r="I41" t="e">
        <f ca="1">_xll.BDH($C$28,"RETURN_ON_INV_CAPITAL","FQ3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" t="e">
        <f ca="1">_xll.BDH($C$28,"EBITDA_TO_REVENUE","FQ3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" t="e">
        <f ca="1">_xll.BDH($C$28,"OPER_MARGIN","FQ3 2016","FQ3 2016","Currency=INR","Period=FQ","BEST_FPERIOD_OVERRIDE=FQ","FILING_STATUS=OR","EQY_CONSOLIDATED=Y","FA_ADJUSTED=GAAP","Sort=A","Dates=H","DateFormat=P","Fill=—","Direction=H","UseDPDF=Y")</f>
        <v>#NAME?</v>
      </c>
      <c r="L41" t="e">
        <f ca="1">_xll.BDH($C$28,"INCREMENTAL_OPERATING_MARGIN","FQ3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" t="e">
        <f ca="1">_xll.BDH($C$28,"PRETAX_INC_TO_NET_SALES","FQ3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" t="e">
        <f ca="1">_xll.BDH($C$28,"INC_BEF_XO_ITEMS_TO_NET_SALES","FQ3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" t="e">
        <f ca="1">_xll.BDH($C$28,"PROF_MARGIN","FQ3 2016","FQ3 2016","Currency=INR","Period=FQ","BEST_FPERIOD_OVERRIDE=FQ","FILING_STATUS=OR","EQY_CONSOLIDATED=Y","FA_ADJUSTED=GAAP","Sort=A","Dates=H","DateFormat=P","Fill=—","Direction=H","UseDPDF=Y")</f>
        <v>#NAME?</v>
      </c>
      <c r="P41" t="e">
        <f ca="1">_xll.BDH($C$28,"NET_INCOME_TO_COMMON_MARGIN","FQ3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" t="e">
        <f ca="1">_xll.BDH($C$28,"EFF_TAX_RATE","FQ3 2016","FQ3 2016","Currency=INR","Period=FQ","BEST_FPERIOD_OVERRIDE=FQ","FILING_STATUS=OR","EQY_CONSOLIDATED=Y","FA_ADJUSTED=GAAP","Sort=A","Dates=H","DateFormat=P","Fill=—","Direction=H","UseDPDF=Y")</f>
        <v>#NAME?</v>
      </c>
      <c r="R41" t="e">
        <f ca="1">_xll.BDH($C$28,"DVD_PAYOUT_RATIO","FQ3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1" t="e">
        <f ca="1">_xll.BDH($C$28,"SUSTAIN_GROWTH_RT","FQ3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" s="2" t="e">
        <f ca="1">_xll.BDH($C$28,"SALES_GROWTH","FQ3 2016","FQ3 2016","Currency=INR","Period=FQ","BEST_FPERIOD_OVERRIDE=FQ","FILING_STATUS=OR","EQY_CONSOLIDATED=Y","FA_ADJUSTED=GAAP","Sort=A","Dates=H","DateFormat=P","Fill=—","Direction=H","UseDPDF=Y")</f>
        <v>#NAME?</v>
      </c>
      <c r="U41" s="2" t="e">
        <f ca="1">_xll.BDH($C$28,"EBITDA_GROWTH","FQ3 2016","FQ3 2016","Currency=INR","Period=FQ","BEST_FPERIOD_OVERRIDE=FQ","FILING_STATUS=OR","EQY_CONSOLIDATED=Y","FA_ADJUSTED=GAAP","Sort=A","Dates=H","DateFormat=P","Fill=—","Direction=H","UseDPDF=Y")</f>
        <v>#NAME?</v>
      </c>
      <c r="V41" s="2" t="e">
        <f ca="1">_xll.BDH($C$28,"OPER_INC_GROWTH","FQ3 2016","FQ3 2016","Currency=INR","Period=FQ","BEST_FPERIOD_OVERRIDE=FQ","FILING_STATUS=OR","EQY_CONSOLIDATED=Y","FA_ADJUSTED=GAAP","Sort=A","Dates=H","DateFormat=P","Fill=—","Direction=H","UseDPDF=Y")</f>
        <v>#NAME?</v>
      </c>
      <c r="W41" s="2" t="e">
        <f ca="1">_xll.BDH($C$28,"EARN_FOR_COM_GROWTH","FQ3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" s="2" t="e">
        <f ca="1">_xll.BDH($C$28,"DILUTED_EPS_AFT_XO_ITEMS_GROWTH","FQ3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" s="2" t="e">
        <f ca="1">_xll.BDH($C$28,"DIVIDEND_PER_SHARE_1_YEAR_GROWTH","FQ3 2016","FQ3 2016","Currency=INR","Period=FQ","BEST_FPERIOD_OVERRIDE=FQ","FILING_STATUS=OR","EQY_CONSOLIDATED=Y","Sort=A","Dates=H","DateFormat=P","Fill=—","Direction=H","UseDPDF=Y")</f>
        <v>#NAME?</v>
      </c>
      <c r="Z41" s="2" t="e">
        <f ca="1">_xll.BDH($C$28,"ACCOUNTS_RECEIVABLE_GROWTH","FQ3 2016","FQ3 2016","Currency=INR","Period=FQ","BEST_FPERIOD_OVERRIDE=FQ","FILING_STATUS=OR","EQY_CONSOLIDATED=Y","Sort=A","Dates=H","DateFormat=P","Fill=—","Direction=H","UseDPDF=Y")</f>
        <v>#NAME?</v>
      </c>
      <c r="AA41" s="2" t="e">
        <f ca="1">_xll.BDH($C$28,"INVENTORY_GROWTH","FQ3 2016","FQ3 2016","Currency=INR","Period=FQ","BEST_FPERIOD_OVERRIDE=FQ","FILING_STATUS=OR","EQY_CONSOLIDATED=Y","Sort=A","Dates=H","DateFormat=P","Fill=—","Direction=H","UseDPDF=Y")</f>
        <v>#NAME?</v>
      </c>
      <c r="AB41" s="2" t="e">
        <f ca="1">_xll.BDH($C$28,"NET_FIXED_ASSETS_1_YEAR_GROWTH","FQ3 2016","FQ3 2016","Currency=INR","Period=FQ","BEST_FPERIOD_OVERRIDE=FQ","FILING_STATUS=OR","EQY_CONSOLIDATED=Y","Sort=A","Dates=H","DateFormat=P","Fill=—","Direction=H","UseDPDF=Y")</f>
        <v>#NAME?</v>
      </c>
      <c r="AC41" s="2" t="e">
        <f ca="1">_xll.BDH($C$28,"ASSET_GROWTH","FQ3 2016","FQ3 2016","Currency=INR","Period=FQ","BEST_FPERIOD_OVERRIDE=FQ","FILING_STATUS=OR","EQY_CONSOLIDATED=Y","Sort=A","Dates=H","DateFormat=P","Fill=—","Direction=H","UseDPDF=Y")</f>
        <v>#NAME?</v>
      </c>
      <c r="AD41" s="2" t="e">
        <f ca="1">_xll.BDH($C$28,"MODIFIED_WORK_CAP_GROWTH","FQ3 2016","FQ3 2016","Currency=INR","Period=FQ","BEST_FPERIOD_OVERRIDE=FQ","FILING_STATUS=OR","EQY_CONSOLIDATED=Y","Sort=A","Dates=H","DateFormat=P","Fill=—","Direction=H","UseDPDF=Y")</f>
        <v>#NAME?</v>
      </c>
      <c r="AE41" s="2" t="e">
        <f ca="1">_xll.BDH($C$28,"WORK_CAP_GROWTH","FQ3 2016","FQ3 2016","Currency=INR","Period=FQ","BEST_FPERIOD_OVERRIDE=FQ","FILING_STATUS=OR","EQY_CONSOLIDATED=Y","Sort=A","Dates=H","DateFormat=P","Fill=—","Direction=H","UseDPDF=Y")</f>
        <v>#NAME?</v>
      </c>
      <c r="AF41" s="2" t="e">
        <f ca="1">_xll.BDH($C$28,"ACCOUNTS_PAYABLE_GROWTH_1YR","FQ3 2016","FQ3 2016","Currency=INR","Period=FQ","BEST_FPERIOD_OVERRIDE=FQ","FILING_STATUS=OR","EQY_CONSOLIDATED=Y","Sort=A","Dates=H","DateFormat=P","Fill=—","Direction=H","UseDPDF=Y")</f>
        <v>#NAME?</v>
      </c>
      <c r="AG41" s="2" t="e">
        <f ca="1">_xll.BDH($C$28,"SHORT_TERM_DEBT_1_YEAR_GROWTH","FQ3 2016","FQ3 2016","Currency=INR","Period=FQ","BEST_FPERIOD_OVERRIDE=FQ","FILING_STATUS=OR","EQY_CONSOLIDATED=Y","Sort=A","Dates=H","DateFormat=P","Fill=—","Direction=H","UseDPDF=Y")</f>
        <v>#NAME?</v>
      </c>
      <c r="AH41" s="2" t="e">
        <f ca="1">_xll.BDH($C$28,"TOTAL_DEBT_1_YEAR_GROWTH","FQ3 2016","FQ3 2016","Currency=INR","Period=FQ","BEST_FPERIOD_OVERRIDE=FQ","FILING_STATUS=OR","EQY_CONSOLIDATED=Y","Sort=A","Dates=H","DateFormat=P","Fill=—","Direction=H","UseDPDF=Y")</f>
        <v>#NAME?</v>
      </c>
      <c r="AI41" s="2" t="e">
        <f ca="1">_xll.BDH($C$28,"TOTAL_EQUITY_1_YEAR_GROWTH","FQ3 2016","FQ3 2016","Currency=INR","Period=FQ","BEST_FPERIOD_OVERRIDE=FQ","FILING_STATUS=OR","EQY_CONSOLIDATED=Y","Sort=A","Dates=H","DateFormat=P","Fill=—","Direction=H","UseDPDF=Y")</f>
        <v>#NAME?</v>
      </c>
      <c r="AJ41" s="2" t="e">
        <f ca="1">_xll.BDH($C$28,"GROWTH_IN_CAP","FQ3 2016","FQ3 2016","Currency=INR","Period=FQ","BEST_FPERIOD_OVERRIDE=FQ","FILING_STATUS=OR","EQY_CONSOLIDATED=Y","Sort=A","Dates=H","DateFormat=P","Fill=—","Direction=H","UseDPDF=Y")</f>
        <v>#NAME?</v>
      </c>
      <c r="AK41" s="2" t="e">
        <f ca="1">_xll.BDH($C$28,"BVPS_GROWTH","FQ3 2016","FQ3 2016","Currency=INR","Period=FQ","BEST_FPERIOD_OVERRIDE=FQ","FILING_STATUS=OR","EQY_CONSOLIDATED=Y","Sort=A","Dates=H","DateFormat=P","Fill=—","Direction=H","UseDPDF=Y")</f>
        <v>#NAME?</v>
      </c>
      <c r="AL41" s="2" t="e">
        <f ca="1">_xll.BDH($C$28,"CASH_FLOW_GROWTH","FQ3 2016","FQ3 2016","Currency=INR","Period=FQ","BEST_FPERIOD_OVERRIDE=FQ","FILING_STATUS=OR","EQY_CONSOLIDATED=Y","Sort=A","Dates=H","DateFormat=P","Fill=—","Direction=H","UseDPDF=Y")</f>
        <v>#NAME?</v>
      </c>
      <c r="AM41" s="2" t="e">
        <f ca="1">_xll.BDH($C$28,"GEO_GROW_NET_SALES","FQ3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" s="2" t="e">
        <f ca="1">_xll.BDH($C$28,"GEO_GROW_EBITDA","FQ3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1" s="2" t="e">
        <f ca="1">_xll.BDH($C$28,"GEO_GROW_OPER_INC","FQ3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" s="2" t="e">
        <f ca="1">_xll.BDH($C$28,"NET_INCOME_TO_COMMON_5_YR_GROWTH","FQ3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" s="2" t="e">
        <f ca="1">_xll.BDH($C$28,"5Y_GEO_GROWTH_DILUTED_EPS","FQ3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" s="2" t="e">
        <f ca="1">_xll.BDH($C$28,"GEO_GROW_DVD_PER_SH","FQ3 2016","FQ3 2016","Currency=INR","Period=FQ","BEST_FPERIOD_OVERRIDE=FQ","FILING_STATUS=OR","EQY_CONSOLIDATED=Y","Sort=A","Dates=H","DateFormat=P","Fill=—","Direction=H","UseDPDF=Y")</f>
        <v>#NAME?</v>
      </c>
      <c r="AS41" s="2" t="e">
        <f ca="1">_xll.BDH($C$28,"ACCOUNTS_RECEIVABLE_5_YR_GROWTH","FQ3 2016","FQ3 2016","Currency=INR","Period=FQ","BEST_FPERIOD_OVERRIDE=FQ","FILING_STATUS=OR","EQY_CONSOLIDATED=Y","Sort=A","Dates=H","DateFormat=P","Fill=—","Direction=H","UseDPDF=Y")</f>
        <v>#NAME?</v>
      </c>
      <c r="AT41" s="2" t="e">
        <f ca="1">_xll.BDH($C$28,"INVENTORY_5_YEAR_GROWTH","FQ3 2016","FQ3 2016","Currency=INR","Period=FQ","BEST_FPERIOD_OVERRIDE=FQ","FILING_STATUS=OR","EQY_CONSOLIDATED=Y","Sort=A","Dates=H","DateFormat=P","Fill=—","Direction=H","UseDPDF=Y")</f>
        <v>#NAME?</v>
      </c>
      <c r="AU41" s="2" t="e">
        <f ca="1">_xll.BDH($C$28,"NET_FIXED_ASSETS_5_YEAR_GROWTH","FQ3 2016","FQ3 2016","Currency=INR","Period=FQ","BEST_FPERIOD_OVERRIDE=FQ","FILING_STATUS=OR","EQY_CONSOLIDATED=Y","Sort=A","Dates=H","DateFormat=P","Fill=—","Direction=H","UseDPDF=Y")</f>
        <v>#NAME?</v>
      </c>
      <c r="AV41" s="2" t="e">
        <f ca="1">_xll.BDH($C$28,"GEO_GROW_TOT_ASSET","FQ3 2016","FQ3 2016","Currency=INR","Period=FQ","BEST_FPERIOD_OVERRIDE=FQ","FILING_STATUS=OR","EQY_CONSOLIDATED=Y","Sort=A","Dates=H","DateFormat=P","Fill=—","Direction=H","UseDPDF=Y")</f>
        <v>#NAME?</v>
      </c>
      <c r="AW41" s="2" t="e">
        <f ca="1">_xll.BDH($C$28,"MODIFIED_WORKING_CPTL_5YR_GRWTH","FQ3 2016","FQ3 2016","Currency=INR","Period=FQ","BEST_FPERIOD_OVERRIDE=FQ","FILING_STATUS=OR","EQY_CONSOLIDATED=Y","Sort=A","Dates=H","DateFormat=P","Fill=—","Direction=H","UseDPDF=Y")</f>
        <v>#NAME?</v>
      </c>
      <c r="AX41" s="2" t="e">
        <f ca="1">_xll.BDH($C$28,"WORKING_CAPITAL_5_YEAR_GROWTH","FQ3 2016","FQ3 2016","Currency=INR","Period=FQ","BEST_FPERIOD_OVERRIDE=FQ","FILING_STATUS=OR","EQY_CONSOLIDATED=Y","Sort=A","Dates=H","DateFormat=P","Fill=—","Direction=H","UseDPDF=Y")</f>
        <v>#NAME?</v>
      </c>
      <c r="AY41" s="2" t="e">
        <f ca="1">_xll.BDH($C$28,"ACCOUNTS_PAYABLE_5_YEAR_GROWTH","FQ3 2016","FQ3 2016","Currency=INR","Period=FQ","BEST_FPERIOD_OVERRIDE=FQ","FILING_STATUS=OR","EQY_CONSOLIDATED=Y","Sort=A","Dates=H","DateFormat=P","Fill=—","Direction=H","UseDPDF=Y")</f>
        <v>#NAME?</v>
      </c>
      <c r="AZ41" s="2" t="e">
        <f ca="1">_xll.BDH($C$28,"SHORT_TERM_DEBT_5_YEAR_GROWTH","FQ3 2016","FQ3 2016","Currency=INR","Period=FQ","BEST_FPERIOD_OVERRIDE=FQ","FILING_STATUS=OR","EQY_CONSOLIDATED=Y","Sort=A","Dates=H","DateFormat=P","Fill=—","Direction=H","UseDPDF=Y")</f>
        <v>#NAME?</v>
      </c>
      <c r="BA41" s="2" t="e">
        <f ca="1">_xll.BDH($C$28,"TOTAL_DEBT_5_YEAR_GROWTH","FQ3 2016","FQ3 2016","Currency=INR","Period=FQ","BEST_FPERIOD_OVERRIDE=FQ","FILING_STATUS=OR","EQY_CONSOLIDATED=Y","Sort=A","Dates=H","DateFormat=P","Fill=—","Direction=H","UseDPDF=Y")</f>
        <v>#NAME?</v>
      </c>
      <c r="BB41" s="2" t="e">
        <f ca="1">_xll.BDH($C$28,"GEO_GROW_TOT_SHRHLDR_EQY","FQ3 2016","FQ3 2016","Currency=INR","Period=FQ","BEST_FPERIOD_OVERRIDE=FQ","FILING_STATUS=OR","EQY_CONSOLIDATED=Y","Sort=A","Dates=H","DateFormat=P","Fill=—","Direction=H","UseDPDF=Y")</f>
        <v>#NAME?</v>
      </c>
      <c r="BC41" s="2" t="e">
        <f ca="1">_xll.BDH($C$28,"TOTAL_CAPITAL_5_YEAR_GROWTH","FQ3 2016","FQ3 2016","Currency=INR","Period=FQ","BEST_FPERIOD_OVERRIDE=FQ","FILING_STATUS=OR","EQY_CONSOLIDATED=Y","Sort=A","Dates=H","DateFormat=P","Fill=—","Direction=H","UseDPDF=Y")</f>
        <v>#NAME?</v>
      </c>
      <c r="BD41" s="2" t="e">
        <f ca="1">_xll.BDH($C$28,"GEO_GROW_BOOK_VAL","FQ3 2016","FQ3 2016","Currency=INR","Period=FQ","BEST_FPERIOD_OVERRIDE=FQ","FILING_STATUS=OR","EQY_CONSOLIDATED=Y","Sort=A","Dates=H","DateFormat=P","Fill=—","Direction=H","UseDPDF=Y")</f>
        <v>#NAME?</v>
      </c>
      <c r="BE41" s="2" t="e">
        <f ca="1">_xll.BDH($C$28,"GEO_GROW_CASH_OPER_ACT","FQ3 2016","FQ3 2016","Currency=INR","Period=FQ","BEST_FPERIOD_OVERRIDE=FQ","FILING_STATUS=OR","EQY_CONSOLIDATED=Y","Sort=A","Dates=H","DateFormat=P","Fill=—","Direction=H","UseDPDF=Y")</f>
        <v>#NAME?</v>
      </c>
      <c r="BF41" s="2" t="e">
        <f ca="1">_xll.BDH($C$28,"REVENUE_SEQUENTIAL_GROWTH","FQ3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" s="2" t="e">
        <f ca="1">_xll.BDH($C$28,"EBITDA_SEQUENTIAL_GROWTH","FQ3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" s="2" t="e">
        <f ca="1">_xll.BDH($C$28,"OPERATING_INCOME_SEQ_GROWTH","FQ3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" s="2" t="e">
        <f ca="1">_xll.BDH($C$28,"NET_INCOME_TO_COMMON_SEQ_GROWTH","FQ3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" s="2" t="e">
        <f ca="1">_xll.BDH($C$28,"EPS_DILUTED_SEQUENTIAL_GROWTH","FQ3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" s="2" t="e">
        <f ca="1">_xll.BDH($C$28,"DPS_SEQUENTIAL_GROWTH","FQ3 2016","FQ3 2016","Currency=INR","Period=FQ","BEST_FPERIOD_OVERRIDE=FQ","FILING_STATUS=OR","EQY_CONSOLIDATED=Y","Sort=A","Dates=H","DateFormat=P","Fill=—","Direction=H","UseDPDF=Y")</f>
        <v>#NAME?</v>
      </c>
      <c r="BL41" s="2" t="e">
        <f ca="1">_xll.BDH($C$28,"ACCOUNTS_RECEIVABLE_SEQ_GROWTH","FQ3 2016","FQ3 2016","Currency=INR","Period=FQ","BEST_FPERIOD_OVERRIDE=FQ","FILING_STATUS=OR","EQY_CONSOLIDATED=Y","Sort=A","Dates=H","DateFormat=P","Fill=—","Direction=H","UseDPDF=Y")</f>
        <v>#NAME?</v>
      </c>
      <c r="BM41" s="2" t="e">
        <f ca="1">_xll.BDH($C$28,"INVENTORY_SEQUENTIAL_GROWTH","FQ3 2016","FQ3 2016","Currency=INR","Period=FQ","BEST_FPERIOD_OVERRIDE=FQ","FILING_STATUS=OR","EQY_CONSOLIDATED=Y","Sort=A","Dates=H","DateFormat=P","Fill=—","Direction=H","UseDPDF=Y")</f>
        <v>#NAME?</v>
      </c>
      <c r="BN41" s="2" t="e">
        <f ca="1">_xll.BDH($C$28,"FIXED_ASSETS_SEQUENTIAL_GROWTH","FQ3 2016","FQ3 2016","Currency=INR","Period=FQ","BEST_FPERIOD_OVERRIDE=FQ","FILING_STATUS=OR","EQY_CONSOLIDATED=Y","Sort=A","Dates=H","DateFormat=P","Fill=—","Direction=H","UseDPDF=Y")</f>
        <v>#NAME?</v>
      </c>
      <c r="BO41" s="2" t="e">
        <f ca="1">_xll.BDH($C$28,"TOTAL_ASSETS_SEQUENTIAL_GROWTH","FQ3 2016","FQ3 2016","Currency=INR","Period=FQ","BEST_FPERIOD_OVERRIDE=FQ","FILING_STATUS=OR","EQY_CONSOLIDATED=Y","Sort=A","Dates=H","DateFormat=P","Fill=—","Direction=H","UseDPDF=Y")</f>
        <v>#NAME?</v>
      </c>
      <c r="BP41" s="2" t="e">
        <f ca="1">_xll.BDH($C$28,"MODIFIED_WORKING_CPTL_SEQ_GRWTH","FQ3 2016","FQ3 2016","Currency=INR","Period=FQ","BEST_FPERIOD_OVERRIDE=FQ","FILING_STATUS=OR","EQY_CONSOLIDATED=Y","Sort=A","Dates=H","DateFormat=P","Fill=—","Direction=H","UseDPDF=Y")</f>
        <v>#NAME?</v>
      </c>
      <c r="BQ41" s="2" t="e">
        <f ca="1">_xll.BDH($C$28,"WORKING_CAPITAL_SEQ_GROWTH","FQ3 2016","FQ3 2016","Currency=INR","Period=FQ","BEST_FPERIOD_OVERRIDE=FQ","FILING_STATUS=OR","EQY_CONSOLIDATED=Y","Sort=A","Dates=H","DateFormat=P","Fill=—","Direction=H","UseDPDF=Y")</f>
        <v>#NAME?</v>
      </c>
      <c r="BR41" s="2" t="e">
        <f ca="1">_xll.BDH($C$28,"ACCOUNTS_PAYABLE_SEQ_GROWTH","FQ3 2016","FQ3 2016","Currency=INR","Period=FQ","BEST_FPERIOD_OVERRIDE=FQ","FILING_STATUS=OR","EQY_CONSOLIDATED=Y","Sort=A","Dates=H","DateFormat=P","Fill=—","Direction=H","UseDPDF=Y")</f>
        <v>#NAME?</v>
      </c>
      <c r="BS41" s="2" t="e">
        <f ca="1">_xll.BDH($C$28,"ST_DEBT_SEQUENTIAL_GROWTH","FQ3 2016","FQ3 2016","Currency=INR","Period=FQ","BEST_FPERIOD_OVERRIDE=FQ","FILING_STATUS=OR","EQY_CONSOLIDATED=Y","Sort=A","Dates=H","DateFormat=P","Fill=—","Direction=H","UseDPDF=Y")</f>
        <v>#NAME?</v>
      </c>
      <c r="BT41" s="2" t="e">
        <f ca="1">_xll.BDH($C$28,"TOTAL_DEBT_SEQUENTIAL_GROWTH","FQ3 2016","FQ3 2016","Currency=INR","Period=FQ","BEST_FPERIOD_OVERRIDE=FQ","FILING_STATUS=OR","EQY_CONSOLIDATED=Y","Sort=A","Dates=H","DateFormat=P","Fill=—","Direction=H","UseDPDF=Y")</f>
        <v>#NAME?</v>
      </c>
      <c r="BU41" s="2" t="e">
        <f ca="1">_xll.BDH($C$28,"TOTAL_EQUITY_SEQUENTIAL_GROWTH","FQ3 2016","FQ3 2016","Currency=INR","Period=FQ","BEST_FPERIOD_OVERRIDE=FQ","FILING_STATUS=OR","EQY_CONSOLIDATED=Y","Sort=A","Dates=H","DateFormat=P","Fill=—","Direction=H","UseDPDF=Y")</f>
        <v>#NAME?</v>
      </c>
      <c r="BV41" s="2" t="e">
        <f ca="1">_xll.BDH($C$28,"TOTAL_CAPITAL_SEQUENTIAL_GROWTH","FQ3 2016","FQ3 2016","Currency=INR","Period=FQ","BEST_FPERIOD_OVERRIDE=FQ","FILING_STATUS=OR","EQY_CONSOLIDATED=Y","Sort=A","Dates=H","DateFormat=P","Fill=—","Direction=H","UseDPDF=Y")</f>
        <v>#NAME?</v>
      </c>
      <c r="BW41" s="2" t="e">
        <f ca="1">_xll.BDH($C$28,"BPS_SEQUENTIAL_GROWTH","FQ3 2016","FQ3 2016","Currency=INR","Period=FQ","BEST_FPERIOD_OVERRIDE=FQ","FILING_STATUS=OR","EQY_CONSOLIDATED=Y","Sort=A","Dates=H","DateFormat=P","Fill=—","Direction=H","UseDPDF=Y")</f>
        <v>#NAME?</v>
      </c>
      <c r="BX41" s="2" t="e">
        <f ca="1">_xll.BDH($C$28,"CFO_SEQUENTIAL_GROWTH","FQ3 2016","FQ3 2016","Currency=INR","Period=FQ","BEST_FPERIOD_OVERRIDE=FQ","FILING_STATUS=OR","EQY_CONSOLIDATED=Y","Sort=A","Dates=H","DateFormat=P","Fill=—","Direction=H","UseDPDF=Y")</f>
        <v>#NAME?</v>
      </c>
      <c r="BY41" s="3" t="e">
        <f ca="1">_xll.BDH($C$28,"SHORT_AND_LONG_TERM_DEBT","FQ3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" s="3" t="e">
        <f ca="1">_xll.BDH($C$28,"BS_ST_BORROW","FQ3 2016","FQ3 2016","Currency=INR","Period=FQ","BEST_FPERIOD_OVERRIDE=FQ","FILING_STATUS=OR","EQY_CONSOLIDATED=Y","SCALING_FORMAT=MLN","Sort=A","Dates=H","DateFormat=P","Fill=—","Direction=H","UseDPDF=Y")</f>
        <v>#NAME?</v>
      </c>
      <c r="CA41" s="3" t="e">
        <f ca="1">_xll.BDH($C$28,"BS_LT_BORROW","FQ3 2016","FQ3 2016","Currency=INR","Period=FQ","BEST_FPERIOD_OVERRIDE=FQ","FILING_STATUS=OR","EQY_CONSOLIDATED=Y","SCALING_FORMAT=MLN","Sort=A","Dates=H","DateFormat=P","Fill=—","Direction=H","UseDPDF=Y")</f>
        <v>#NAME?</v>
      </c>
      <c r="CB41" s="2" t="e">
        <f ca="1">_xll.BDH($C$28,"TOT_DEBT_TO_EBITDA","FQ3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" s="2" t="e">
        <f ca="1">_xll.BDH($C$28,"NET_DEBT_TO_EBITDA","FQ3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" s="2" t="e">
        <f ca="1">_xll.BDH($C$28,"TOTAL_DEBT_TO_EBIT","FQ3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" s="2" t="e">
        <f ca="1">_xll.BDH($C$28,"NET_DEBT_TO_EBIT","FQ3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" s="2" t="e">
        <f ca="1">_xll.BDH($C$28,"EBITDA_TO_INTEREST_EXPN","FQ3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" s="2" t="e">
        <f ca="1">_xll.BDH($C$28,"COM_EQY_TO_TOT_ASSET","FQ3 2016","FQ3 2016","Currency=INR","Period=FQ","BEST_FPERIOD_OVERRIDE=FQ","FILING_STATUS=OR","EQY_CONSOLIDATED=Y","Sort=A","Dates=H","DateFormat=P","Fill=—","Direction=H","UseDPDF=Y")</f>
        <v>#NAME?</v>
      </c>
      <c r="CH41" s="2" t="e">
        <f ca="1">_xll.BDH($C$28,"LT_DEBT_TO_TOT_EQY","FQ3 2016","FQ3 2016","Currency=INR","Period=FQ","BEST_FPERIOD_OVERRIDE=FQ","FILING_STATUS=OR","EQY_CONSOLIDATED=Y","Sort=A","Dates=H","DateFormat=P","Fill=—","Direction=H","UseDPDF=Y")</f>
        <v>#NAME?</v>
      </c>
      <c r="CI41" s="2" t="e">
        <f ca="1">_xll.BDH($C$28,"LT_DEBT_TO_TOT_CAP","FQ3 2016","FQ3 2016","Currency=INR","Period=FQ","BEST_FPERIOD_OVERRIDE=FQ","FILING_STATUS=OR","EQY_CONSOLIDATED=Y","Sort=A","Dates=H","DateFormat=P","Fill=—","Direction=H","UseDPDF=Y")</f>
        <v>#NAME?</v>
      </c>
      <c r="CJ41" s="2" t="e">
        <f ca="1">_xll.BDH($C$28,"LT_DEBT_TO_TOT_ASSET","FQ3 2016","FQ3 2016","Currency=INR","Period=FQ","BEST_FPERIOD_OVERRIDE=FQ","FILING_STATUS=OR","EQY_CONSOLIDATED=Y","Sort=A","Dates=H","DateFormat=P","Fill=—","Direction=H","UseDPDF=Y")</f>
        <v>#NAME?</v>
      </c>
      <c r="CK41" s="2" t="e">
        <f ca="1">_xll.BDH($C$28,"TOT_DEBT_TO_TOT_EQY","FQ3 2016","FQ3 2016","Currency=INR","Period=FQ","BEST_FPERIOD_OVERRIDE=FQ","FILING_STATUS=OR","EQY_CONSOLIDATED=Y","Sort=A","Dates=H","DateFormat=P","Fill=—","Direction=H","UseDPDF=Y")</f>
        <v>#NAME?</v>
      </c>
      <c r="CL41" s="2" t="e">
        <f ca="1">_xll.BDH($C$28,"TOT_DEBT_TO_TOT_CAP","FQ3 2016","FQ3 2016","Currency=INR","Period=FQ","BEST_FPERIOD_OVERRIDE=FQ","FILING_STATUS=OR","EQY_CONSOLIDATED=Y","Sort=A","Dates=H","DateFormat=P","Fill=—","Direction=H","UseDPDF=Y")</f>
        <v>#NAME?</v>
      </c>
      <c r="CM41" s="2" t="e">
        <f ca="1">_xll.BDH($C$28,"TOT_DEBT_TO_TOT_ASSET","FQ3 2016","FQ3 2016","Currency=INR","Period=FQ","BEST_FPERIOD_OVERRIDE=FQ","FILING_STATUS=OR","EQY_CONSOLIDATED=Y","Sort=A","Dates=H","DateFormat=P","Fill=—","Direction=H","UseDPDF=Y")</f>
        <v>#NAME?</v>
      </c>
      <c r="CN41" s="2" t="e">
        <f ca="1">_xll.BDH($C$28,"NET_DEBT_TO_SHRHLDR_EQTY","FQ3 2016","FQ3 2016","Currency=INR","Period=FQ","BEST_FPERIOD_OVERRIDE=FQ","FILING_STATUS=OR","EQY_CONSOLIDATED=Y","Sort=A","Dates=H","DateFormat=P","Fill=—","Direction=H","UseDPDF=Y")</f>
        <v>#NAME?</v>
      </c>
      <c r="CO41" s="2" t="e">
        <f ca="1">_xll.BDH($C$28,"NET_DEBT_%_CAPITAL","FQ3 2016","FQ3 2016","Currency=INR","Period=FQ","BEST_FPERIOD_OVERRIDE=FQ","FILING_STATUS=OR","EQY_CONSOLIDATED=Y","Sort=A","Dates=H","DateFormat=P","Fill=—","Direction=H","UseDPDF=Y")</f>
        <v>#NAME?</v>
      </c>
      <c r="CP41" s="3" t="e">
        <f ca="1">_xll.BDH($C$28,"EBITDA","FQ3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" s="3" t="e">
        <f ca="1">_xll.BDH($C$28,"EBITDA_AFTER_CAPEX","FQ3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" s="3" t="e">
        <f ca="1">_xll.BDH($C$28,"IS_OPER_INC","FQ3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" s="2" t="e">
        <f ca="1">_xll.BDH($C$28,"CASH_RATIO","FQ3 2016","FQ3 2016","Currency=INR","Period=FQ","BEST_FPERIOD_OVERRIDE=FQ","FILING_STATUS=OR","EQY_CONSOLIDATED=Y","Sort=A","Dates=H","DateFormat=P","Fill=—","Direction=H","UseDPDF=Y")</f>
        <v>#NAME?</v>
      </c>
      <c r="CT41" s="2" t="e">
        <f ca="1">_xll.BDH($C$28,"CUR_RATIO","FQ3 2016","FQ3 2016","Currency=INR","Period=FQ","BEST_FPERIOD_OVERRIDE=FQ","FILING_STATUS=OR","EQY_CONSOLIDATED=Y","Sort=A","Dates=H","DateFormat=P","Fill=—","Direction=H","UseDPDF=Y")</f>
        <v>#NAME?</v>
      </c>
      <c r="CU41" s="2" t="e">
        <f ca="1">_xll.BDH($C$28,"QUICK_RATIO","FQ3 2016","FQ3 2016","Currency=INR","Period=FQ","BEST_FPERIOD_OVERRIDE=FQ","FILING_STATUS=OR","EQY_CONSOLIDATED=Y","Sort=A","Dates=H","DateFormat=P","Fill=—","Direction=H","UseDPDF=Y")</f>
        <v>#NAME?</v>
      </c>
      <c r="CV41" s="2" t="e">
        <f ca="1">_xll.BDH($C$28,"ALTMAN_Z_SCORE","FQ3 2016","FQ3 2016","Currency=INR","Period=FQ","BEST_FPERIOD_OVERRIDE=FQ","FILING_STATUS=OR","EQY_CONSOLIDATED=Y","Sort=A","Dates=H","DateFormat=P","Fill=—","Direction=H","UseDPDF=Y")</f>
        <v>#NAME?</v>
      </c>
      <c r="CW41" s="4" t="e">
        <f ca="1">_xll.BDH($C$28,"ACCT_RCV_TURN","FQ3 2016","FQ3 2016","Currency=INR","Period=FQ","BEST_FPERIOD_OVERRIDE=FQ","FILING_STATUS=OR","EQY_CONSOLIDATED=Y","FA_ADJUSTED=GAAP","Sort=A","Dates=H","DateFormat=P","Fill=—","Direction=H","UseDPDF=Y")</f>
        <v>#NAME?</v>
      </c>
      <c r="CX41" s="2" t="e">
        <f ca="1">_xll.BDH($C$28,"ACCT_RCV_DAYS","FQ3 2016","FQ3 2016","Currency=INR","Period=FQ","BEST_FPERIOD_OVERRIDE=FQ","FILING_STATUS=OR","EQY_CONSOLIDATED=Y","FA_ADJUSTED=GAAP","Sort=A","Dates=H","DateFormat=P","Fill=—","Direction=H","UseDPDF=Y")</f>
        <v>#NAME?</v>
      </c>
      <c r="CY41" s="4" t="e">
        <f ca="1">_xll.BDH($C$28,"INVENT_TURN","FQ3 2016","FQ3 2016","Currency=INR","Period=FQ","BEST_FPERIOD_OVERRIDE=FQ","FILING_STATUS=OR","EQY_CONSOLIDATED=Y","FA_ADJUSTED=GAAP","Sort=A","Dates=H","DateFormat=P","Fill=—","Direction=H","UseDPDF=Y")</f>
        <v>#NAME?</v>
      </c>
      <c r="CZ41" s="2" t="e">
        <f ca="1">_xll.BDH($C$28,"INVENT_DAYS","FQ3 2016","FQ3 2016","Currency=INR","Period=FQ","BEST_FPERIOD_OVERRIDE=FQ","FILING_STATUS=OR","EQY_CONSOLIDATED=Y","FA_ADJUSTED=GAAP","Sort=A","Dates=H","DateFormat=P","Fill=—","Direction=H","UseDPDF=Y")</f>
        <v>#NAME?</v>
      </c>
      <c r="DA41" s="4" t="e">
        <f ca="1">_xll.BDH($C$28,"ACCOUNTS_PAYABLE_TURNOVER","FQ3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" s="2" t="e">
        <f ca="1">_xll.BDH($C$28,"ACCOUNTS_PAYABLE_TURNOVER_DAYS","FQ3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" s="4" t="e">
        <f ca="1">_xll.BDH($C$28,"CASH_CONVERSION_CYCLE","FQ3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" s="4" t="e">
        <f ca="1">_xll.BDH($C$28,"INV_TO_CASH_DAYS","FQ3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" s="5" t="e">
        <f ca="1">_xll.BDH($C$28,"BS_INVENTORIES","FQ3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" s="3" t="e">
        <f ca="1">_xll.BDH($C$28,"INVTRY_RAW_MATERIALS","FQ3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" s="3" t="e">
        <f ca="1">_xll.BDH($C$28,"INVTRY_IN_PROGRESS","FQ3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" s="3" t="e">
        <f ca="1">_xll.BDH($C$28,"INVTRY_FINISHED_GOODS","FQ3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" s="3" t="e">
        <f ca="1">_xll.BDH($C$28,"BS_OTHER_INV","FQ3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2" spans="1:113" x14ac:dyDescent="0.3">
      <c r="A42" s="6"/>
      <c r="B42" s="6"/>
      <c r="C42" s="6"/>
      <c r="D42" s="6"/>
      <c r="E42" t="s">
        <v>81</v>
      </c>
      <c r="F42" t="e">
        <f ca="1">_xll.BDH($C$28,"RETURN_COM_EQY","FQ4 2016","FQ4 2016","Currency=INR","Period=FQ","BEST_FPERIOD_OVERRIDE=FQ","FILING_STATUS=OR","EQY_CONSOLIDATED=Y","FA_ADJUSTED=GAAP","Sort=A","Dates=H","DateFormat=P","Fill=—","Direction=H","UseDPDF=Y")</f>
        <v>#NAME?</v>
      </c>
      <c r="G42" t="e">
        <f ca="1">_xll.BDH($C$28,"RETURN_ON_ASSET","FQ4 2016","FQ4 2016","Currency=INR","Period=FQ","BEST_FPERIOD_OVERRIDE=FQ","FILING_STATUS=OR","EQY_CONSOLIDATED=Y","FA_ADJUSTED=GAAP","Sort=A","Dates=H","DateFormat=P","Fill=—","Direction=H","UseDPDF=Y")</f>
        <v>#NAME?</v>
      </c>
      <c r="H42" t="e">
        <f ca="1">_xll.BDH($C$28,"RETURN_ON_CAP","FQ4 2016","FQ4 2016","Currency=INR","Period=FQ","BEST_FPERIOD_OVERRIDE=FQ","FILING_STATUS=OR","EQY_CONSOLIDATED=Y","FA_ADJUSTED=GAAP","Sort=A","Dates=H","DateFormat=P","Fill=—","Direction=H","UseDPDF=Y")</f>
        <v>#NAME?</v>
      </c>
      <c r="I42" t="e">
        <f ca="1">_xll.BDH($C$28,"RETURN_ON_INV_CAPITAL","FQ4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2" t="e">
        <f ca="1">_xll.BDH($C$28,"EBITDA_TO_REVENUE","FQ4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2" t="e">
        <f ca="1">_xll.BDH($C$28,"OPER_MARGIN","FQ4 2016","FQ4 2016","Currency=INR","Period=FQ","BEST_FPERIOD_OVERRIDE=FQ","FILING_STATUS=OR","EQY_CONSOLIDATED=Y","FA_ADJUSTED=GAAP","Sort=A","Dates=H","DateFormat=P","Fill=—","Direction=H","UseDPDF=Y")</f>
        <v>#NAME?</v>
      </c>
      <c r="L42" t="e">
        <f ca="1">_xll.BDH($C$28,"INCREMENTAL_OPERATING_MARGIN","FQ4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2" t="e">
        <f ca="1">_xll.BDH($C$28,"PRETAX_INC_TO_NET_SALES","FQ4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2" t="e">
        <f ca="1">_xll.BDH($C$28,"INC_BEF_XO_ITEMS_TO_NET_SALES","FQ4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2" t="e">
        <f ca="1">_xll.BDH($C$28,"PROF_MARGIN","FQ4 2016","FQ4 2016","Currency=INR","Period=FQ","BEST_FPERIOD_OVERRIDE=FQ","FILING_STATUS=OR","EQY_CONSOLIDATED=Y","FA_ADJUSTED=GAAP","Sort=A","Dates=H","DateFormat=P","Fill=—","Direction=H","UseDPDF=Y")</f>
        <v>#NAME?</v>
      </c>
      <c r="P42" t="e">
        <f ca="1">_xll.BDH($C$28,"NET_INCOME_TO_COMMON_MARGIN","FQ4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2" t="e">
        <f ca="1">_xll.BDH($C$28,"EFF_TAX_RATE","FQ4 2016","FQ4 2016","Currency=INR","Period=FQ","BEST_FPERIOD_OVERRIDE=FQ","FILING_STATUS=OR","EQY_CONSOLIDATED=Y","FA_ADJUSTED=GAAP","Sort=A","Dates=H","DateFormat=P","Fill=—","Direction=H","UseDPDF=Y")</f>
        <v>#NAME?</v>
      </c>
      <c r="R42" t="e">
        <f ca="1">_xll.BDH($C$28,"DVD_PAYOUT_RATIO","FQ4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2" t="e">
        <f ca="1">_xll.BDH($C$28,"SUSTAIN_GROWTH_RT","FQ4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2" s="2" t="e">
        <f ca="1">_xll.BDH($C$28,"SALES_GROWTH","FQ4 2016","FQ4 2016","Currency=INR","Period=FQ","BEST_FPERIOD_OVERRIDE=FQ","FILING_STATUS=OR","EQY_CONSOLIDATED=Y","FA_ADJUSTED=GAAP","Sort=A","Dates=H","DateFormat=P","Fill=—","Direction=H","UseDPDF=Y")</f>
        <v>#NAME?</v>
      </c>
      <c r="U42" s="2" t="e">
        <f ca="1">_xll.BDH($C$28,"EBITDA_GROWTH","FQ4 2016","FQ4 2016","Currency=INR","Period=FQ","BEST_FPERIOD_OVERRIDE=FQ","FILING_STATUS=OR","EQY_CONSOLIDATED=Y","FA_ADJUSTED=GAAP","Sort=A","Dates=H","DateFormat=P","Fill=—","Direction=H","UseDPDF=Y")</f>
        <v>#NAME?</v>
      </c>
      <c r="V42" s="2" t="e">
        <f ca="1">_xll.BDH($C$28,"OPER_INC_GROWTH","FQ4 2016","FQ4 2016","Currency=INR","Period=FQ","BEST_FPERIOD_OVERRIDE=FQ","FILING_STATUS=OR","EQY_CONSOLIDATED=Y","FA_ADJUSTED=GAAP","Sort=A","Dates=H","DateFormat=P","Fill=—","Direction=H","UseDPDF=Y")</f>
        <v>#NAME?</v>
      </c>
      <c r="W42" s="2" t="e">
        <f ca="1">_xll.BDH($C$28,"EARN_FOR_COM_GROWTH","FQ4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2" s="2" t="e">
        <f ca="1">_xll.BDH($C$28,"DILUTED_EPS_AFT_XO_ITEMS_GROWTH","FQ4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2" s="2" t="e">
        <f ca="1">_xll.BDH($C$28,"DIVIDEND_PER_SHARE_1_YEAR_GROWTH","FQ4 2016","FQ4 2016","Currency=INR","Period=FQ","BEST_FPERIOD_OVERRIDE=FQ","FILING_STATUS=OR","EQY_CONSOLIDATED=Y","Sort=A","Dates=H","DateFormat=P","Fill=—","Direction=H","UseDPDF=Y")</f>
        <v>#NAME?</v>
      </c>
      <c r="Z42" s="2" t="e">
        <f ca="1">_xll.BDH($C$28,"ACCOUNTS_RECEIVABLE_GROWTH","FQ4 2016","FQ4 2016","Currency=INR","Period=FQ","BEST_FPERIOD_OVERRIDE=FQ","FILING_STATUS=OR","EQY_CONSOLIDATED=Y","Sort=A","Dates=H","DateFormat=P","Fill=—","Direction=H","UseDPDF=Y")</f>
        <v>#NAME?</v>
      </c>
      <c r="AA42" s="2" t="e">
        <f ca="1">_xll.BDH($C$28,"INVENTORY_GROWTH","FQ4 2016","FQ4 2016","Currency=INR","Period=FQ","BEST_FPERIOD_OVERRIDE=FQ","FILING_STATUS=OR","EQY_CONSOLIDATED=Y","Sort=A","Dates=H","DateFormat=P","Fill=—","Direction=H","UseDPDF=Y")</f>
        <v>#NAME?</v>
      </c>
      <c r="AB42" s="2" t="e">
        <f ca="1">_xll.BDH($C$28,"NET_FIXED_ASSETS_1_YEAR_GROWTH","FQ4 2016","FQ4 2016","Currency=INR","Period=FQ","BEST_FPERIOD_OVERRIDE=FQ","FILING_STATUS=OR","EQY_CONSOLIDATED=Y","Sort=A","Dates=H","DateFormat=P","Fill=—","Direction=H","UseDPDF=Y")</f>
        <v>#NAME?</v>
      </c>
      <c r="AC42" s="2" t="e">
        <f ca="1">_xll.BDH($C$28,"ASSET_GROWTH","FQ4 2016","FQ4 2016","Currency=INR","Period=FQ","BEST_FPERIOD_OVERRIDE=FQ","FILING_STATUS=OR","EQY_CONSOLIDATED=Y","Sort=A","Dates=H","DateFormat=P","Fill=—","Direction=H","UseDPDF=Y")</f>
        <v>#NAME?</v>
      </c>
      <c r="AD42" s="2" t="e">
        <f ca="1">_xll.BDH($C$28,"MODIFIED_WORK_CAP_GROWTH","FQ4 2016","FQ4 2016","Currency=INR","Period=FQ","BEST_FPERIOD_OVERRIDE=FQ","FILING_STATUS=OR","EQY_CONSOLIDATED=Y","Sort=A","Dates=H","DateFormat=P","Fill=—","Direction=H","UseDPDF=Y")</f>
        <v>#NAME?</v>
      </c>
      <c r="AE42" s="2" t="e">
        <f ca="1">_xll.BDH($C$28,"WORK_CAP_GROWTH","FQ4 2016","FQ4 2016","Currency=INR","Period=FQ","BEST_FPERIOD_OVERRIDE=FQ","FILING_STATUS=OR","EQY_CONSOLIDATED=Y","Sort=A","Dates=H","DateFormat=P","Fill=—","Direction=H","UseDPDF=Y")</f>
        <v>#NAME?</v>
      </c>
      <c r="AF42" s="2" t="e">
        <f ca="1">_xll.BDH($C$28,"ACCOUNTS_PAYABLE_GROWTH_1YR","FQ4 2016","FQ4 2016","Currency=INR","Period=FQ","BEST_FPERIOD_OVERRIDE=FQ","FILING_STATUS=OR","EQY_CONSOLIDATED=Y","Sort=A","Dates=H","DateFormat=P","Fill=—","Direction=H","UseDPDF=Y")</f>
        <v>#NAME?</v>
      </c>
      <c r="AG42" s="2" t="e">
        <f ca="1">_xll.BDH($C$28,"SHORT_TERM_DEBT_1_YEAR_GROWTH","FQ4 2016","FQ4 2016","Currency=INR","Period=FQ","BEST_FPERIOD_OVERRIDE=FQ","FILING_STATUS=OR","EQY_CONSOLIDATED=Y","Sort=A","Dates=H","DateFormat=P","Fill=—","Direction=H","UseDPDF=Y")</f>
        <v>#NAME?</v>
      </c>
      <c r="AH42" s="2" t="e">
        <f ca="1">_xll.BDH($C$28,"TOTAL_DEBT_1_YEAR_GROWTH","FQ4 2016","FQ4 2016","Currency=INR","Period=FQ","BEST_FPERIOD_OVERRIDE=FQ","FILING_STATUS=OR","EQY_CONSOLIDATED=Y","Sort=A","Dates=H","DateFormat=P","Fill=—","Direction=H","UseDPDF=Y")</f>
        <v>#NAME?</v>
      </c>
      <c r="AI42" s="2" t="e">
        <f ca="1">_xll.BDH($C$28,"TOTAL_EQUITY_1_YEAR_GROWTH","FQ4 2016","FQ4 2016","Currency=INR","Period=FQ","BEST_FPERIOD_OVERRIDE=FQ","FILING_STATUS=OR","EQY_CONSOLIDATED=Y","Sort=A","Dates=H","DateFormat=P","Fill=—","Direction=H","UseDPDF=Y")</f>
        <v>#NAME?</v>
      </c>
      <c r="AJ42" s="2" t="e">
        <f ca="1">_xll.BDH($C$28,"GROWTH_IN_CAP","FQ4 2016","FQ4 2016","Currency=INR","Period=FQ","BEST_FPERIOD_OVERRIDE=FQ","FILING_STATUS=OR","EQY_CONSOLIDATED=Y","Sort=A","Dates=H","DateFormat=P","Fill=—","Direction=H","UseDPDF=Y")</f>
        <v>#NAME?</v>
      </c>
      <c r="AK42" s="2" t="e">
        <f ca="1">_xll.BDH($C$28,"BVPS_GROWTH","FQ4 2016","FQ4 2016","Currency=INR","Period=FQ","BEST_FPERIOD_OVERRIDE=FQ","FILING_STATUS=OR","EQY_CONSOLIDATED=Y","Sort=A","Dates=H","DateFormat=P","Fill=—","Direction=H","UseDPDF=Y")</f>
        <v>#NAME?</v>
      </c>
      <c r="AL42" s="2" t="e">
        <f ca="1">_xll.BDH($C$28,"CASH_FLOW_GROWTH","FQ4 2016","FQ4 2016","Currency=INR","Period=FQ","BEST_FPERIOD_OVERRIDE=FQ","FILING_STATUS=OR","EQY_CONSOLIDATED=Y","Sort=A","Dates=H","DateFormat=P","Fill=—","Direction=H","UseDPDF=Y")</f>
        <v>#NAME?</v>
      </c>
      <c r="AM42" s="2" t="e">
        <f ca="1">_xll.BDH($C$28,"GEO_GROW_NET_SALES","FQ4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2" s="2" t="e">
        <f ca="1">_xll.BDH($C$28,"GEO_GROW_EBITDA","FQ4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2" s="2" t="e">
        <f ca="1">_xll.BDH($C$28,"GEO_GROW_OPER_INC","FQ4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2" s="2" t="e">
        <f ca="1">_xll.BDH($C$28,"NET_INCOME_TO_COMMON_5_YR_GROWTH","FQ4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2" s="2" t="e">
        <f ca="1">_xll.BDH($C$28,"5Y_GEO_GROWTH_DILUTED_EPS","FQ4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2" s="2" t="e">
        <f ca="1">_xll.BDH($C$28,"GEO_GROW_DVD_PER_SH","FQ4 2016","FQ4 2016","Currency=INR","Period=FQ","BEST_FPERIOD_OVERRIDE=FQ","FILING_STATUS=OR","EQY_CONSOLIDATED=Y","Sort=A","Dates=H","DateFormat=P","Fill=—","Direction=H","UseDPDF=Y")</f>
        <v>#NAME?</v>
      </c>
      <c r="AS42" s="2" t="e">
        <f ca="1">_xll.BDH($C$28,"ACCOUNTS_RECEIVABLE_5_YR_GROWTH","FQ4 2016","FQ4 2016","Currency=INR","Period=FQ","BEST_FPERIOD_OVERRIDE=FQ","FILING_STATUS=OR","EQY_CONSOLIDATED=Y","Sort=A","Dates=H","DateFormat=P","Fill=—","Direction=H","UseDPDF=Y")</f>
        <v>#NAME?</v>
      </c>
      <c r="AT42" s="2" t="e">
        <f ca="1">_xll.BDH($C$28,"INVENTORY_5_YEAR_GROWTH","FQ4 2016","FQ4 2016","Currency=INR","Period=FQ","BEST_FPERIOD_OVERRIDE=FQ","FILING_STATUS=OR","EQY_CONSOLIDATED=Y","Sort=A","Dates=H","DateFormat=P","Fill=—","Direction=H","UseDPDF=Y")</f>
        <v>#NAME?</v>
      </c>
      <c r="AU42" s="2" t="e">
        <f ca="1">_xll.BDH($C$28,"NET_FIXED_ASSETS_5_YEAR_GROWTH","FQ4 2016","FQ4 2016","Currency=INR","Period=FQ","BEST_FPERIOD_OVERRIDE=FQ","FILING_STATUS=OR","EQY_CONSOLIDATED=Y","Sort=A","Dates=H","DateFormat=P","Fill=—","Direction=H","UseDPDF=Y")</f>
        <v>#NAME?</v>
      </c>
      <c r="AV42" s="2" t="e">
        <f ca="1">_xll.BDH($C$28,"GEO_GROW_TOT_ASSET","FQ4 2016","FQ4 2016","Currency=INR","Period=FQ","BEST_FPERIOD_OVERRIDE=FQ","FILING_STATUS=OR","EQY_CONSOLIDATED=Y","Sort=A","Dates=H","DateFormat=P","Fill=—","Direction=H","UseDPDF=Y")</f>
        <v>#NAME?</v>
      </c>
      <c r="AW42" s="2" t="e">
        <f ca="1">_xll.BDH($C$28,"MODIFIED_WORKING_CPTL_5YR_GRWTH","FQ4 2016","FQ4 2016","Currency=INR","Period=FQ","BEST_FPERIOD_OVERRIDE=FQ","FILING_STATUS=OR","EQY_CONSOLIDATED=Y","Sort=A","Dates=H","DateFormat=P","Fill=—","Direction=H","UseDPDF=Y")</f>
        <v>#NAME?</v>
      </c>
      <c r="AX42" s="2" t="e">
        <f ca="1">_xll.BDH($C$28,"WORKING_CAPITAL_5_YEAR_GROWTH","FQ4 2016","FQ4 2016","Currency=INR","Period=FQ","BEST_FPERIOD_OVERRIDE=FQ","FILING_STATUS=OR","EQY_CONSOLIDATED=Y","Sort=A","Dates=H","DateFormat=P","Fill=—","Direction=H","UseDPDF=Y")</f>
        <v>#NAME?</v>
      </c>
      <c r="AY42" s="2" t="e">
        <f ca="1">_xll.BDH($C$28,"ACCOUNTS_PAYABLE_5_YEAR_GROWTH","FQ4 2016","FQ4 2016","Currency=INR","Period=FQ","BEST_FPERIOD_OVERRIDE=FQ","FILING_STATUS=OR","EQY_CONSOLIDATED=Y","Sort=A","Dates=H","DateFormat=P","Fill=—","Direction=H","UseDPDF=Y")</f>
        <v>#NAME?</v>
      </c>
      <c r="AZ42" s="2" t="e">
        <f ca="1">_xll.BDH($C$28,"SHORT_TERM_DEBT_5_YEAR_GROWTH","FQ4 2016","FQ4 2016","Currency=INR","Period=FQ","BEST_FPERIOD_OVERRIDE=FQ","FILING_STATUS=OR","EQY_CONSOLIDATED=Y","Sort=A","Dates=H","DateFormat=P","Fill=—","Direction=H","UseDPDF=Y")</f>
        <v>#NAME?</v>
      </c>
      <c r="BA42" s="2" t="e">
        <f ca="1">_xll.BDH($C$28,"TOTAL_DEBT_5_YEAR_GROWTH","FQ4 2016","FQ4 2016","Currency=INR","Period=FQ","BEST_FPERIOD_OVERRIDE=FQ","FILING_STATUS=OR","EQY_CONSOLIDATED=Y","Sort=A","Dates=H","DateFormat=P","Fill=—","Direction=H","UseDPDF=Y")</f>
        <v>#NAME?</v>
      </c>
      <c r="BB42" s="2" t="e">
        <f ca="1">_xll.BDH($C$28,"GEO_GROW_TOT_SHRHLDR_EQY","FQ4 2016","FQ4 2016","Currency=INR","Period=FQ","BEST_FPERIOD_OVERRIDE=FQ","FILING_STATUS=OR","EQY_CONSOLIDATED=Y","Sort=A","Dates=H","DateFormat=P","Fill=—","Direction=H","UseDPDF=Y")</f>
        <v>#NAME?</v>
      </c>
      <c r="BC42" s="2" t="e">
        <f ca="1">_xll.BDH($C$28,"TOTAL_CAPITAL_5_YEAR_GROWTH","FQ4 2016","FQ4 2016","Currency=INR","Period=FQ","BEST_FPERIOD_OVERRIDE=FQ","FILING_STATUS=OR","EQY_CONSOLIDATED=Y","Sort=A","Dates=H","DateFormat=P","Fill=—","Direction=H","UseDPDF=Y")</f>
        <v>#NAME?</v>
      </c>
      <c r="BD42" s="2" t="e">
        <f ca="1">_xll.BDH($C$28,"GEO_GROW_BOOK_VAL","FQ4 2016","FQ4 2016","Currency=INR","Period=FQ","BEST_FPERIOD_OVERRIDE=FQ","FILING_STATUS=OR","EQY_CONSOLIDATED=Y","Sort=A","Dates=H","DateFormat=P","Fill=—","Direction=H","UseDPDF=Y")</f>
        <v>#NAME?</v>
      </c>
      <c r="BE42" s="2" t="e">
        <f ca="1">_xll.BDH($C$28,"GEO_GROW_CASH_OPER_ACT","FQ4 2016","FQ4 2016","Currency=INR","Period=FQ","BEST_FPERIOD_OVERRIDE=FQ","FILING_STATUS=OR","EQY_CONSOLIDATED=Y","Sort=A","Dates=H","DateFormat=P","Fill=—","Direction=H","UseDPDF=Y")</f>
        <v>#NAME?</v>
      </c>
      <c r="BF42" s="2" t="e">
        <f ca="1">_xll.BDH($C$28,"REVENUE_SEQUENTIAL_GROWTH","FQ4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2" s="2" t="e">
        <f ca="1">_xll.BDH($C$28,"EBITDA_SEQUENTIAL_GROWTH","FQ4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2" s="2" t="e">
        <f ca="1">_xll.BDH($C$28,"OPERATING_INCOME_SEQ_GROWTH","FQ4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2" s="2" t="e">
        <f ca="1">_xll.BDH($C$28,"NET_INCOME_TO_COMMON_SEQ_GROWTH","FQ4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2" s="2" t="e">
        <f ca="1">_xll.BDH($C$28,"EPS_DILUTED_SEQUENTIAL_GROWTH","FQ4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2" s="2" t="e">
        <f ca="1">_xll.BDH($C$28,"DPS_SEQUENTIAL_GROWTH","FQ4 2016","FQ4 2016","Currency=INR","Period=FQ","BEST_FPERIOD_OVERRIDE=FQ","FILING_STATUS=OR","EQY_CONSOLIDATED=Y","Sort=A","Dates=H","DateFormat=P","Fill=—","Direction=H","UseDPDF=Y")</f>
        <v>#NAME?</v>
      </c>
      <c r="BL42" s="2" t="e">
        <f ca="1">_xll.BDH($C$28,"ACCOUNTS_RECEIVABLE_SEQ_GROWTH","FQ4 2016","FQ4 2016","Currency=INR","Period=FQ","BEST_FPERIOD_OVERRIDE=FQ","FILING_STATUS=OR","EQY_CONSOLIDATED=Y","Sort=A","Dates=H","DateFormat=P","Fill=—","Direction=H","UseDPDF=Y")</f>
        <v>#NAME?</v>
      </c>
      <c r="BM42" s="2" t="e">
        <f ca="1">_xll.BDH($C$28,"INVENTORY_SEQUENTIAL_GROWTH","FQ4 2016","FQ4 2016","Currency=INR","Period=FQ","BEST_FPERIOD_OVERRIDE=FQ","FILING_STATUS=OR","EQY_CONSOLIDATED=Y","Sort=A","Dates=H","DateFormat=P","Fill=—","Direction=H","UseDPDF=Y")</f>
        <v>#NAME?</v>
      </c>
      <c r="BN42" s="2" t="e">
        <f ca="1">_xll.BDH($C$28,"FIXED_ASSETS_SEQUENTIAL_GROWTH","FQ4 2016","FQ4 2016","Currency=INR","Period=FQ","BEST_FPERIOD_OVERRIDE=FQ","FILING_STATUS=OR","EQY_CONSOLIDATED=Y","Sort=A","Dates=H","DateFormat=P","Fill=—","Direction=H","UseDPDF=Y")</f>
        <v>#NAME?</v>
      </c>
      <c r="BO42" s="2" t="e">
        <f ca="1">_xll.BDH($C$28,"TOTAL_ASSETS_SEQUENTIAL_GROWTH","FQ4 2016","FQ4 2016","Currency=INR","Period=FQ","BEST_FPERIOD_OVERRIDE=FQ","FILING_STATUS=OR","EQY_CONSOLIDATED=Y","Sort=A","Dates=H","DateFormat=P","Fill=—","Direction=H","UseDPDF=Y")</f>
        <v>#NAME?</v>
      </c>
      <c r="BP42" s="2" t="e">
        <f ca="1">_xll.BDH($C$28,"MODIFIED_WORKING_CPTL_SEQ_GRWTH","FQ4 2016","FQ4 2016","Currency=INR","Period=FQ","BEST_FPERIOD_OVERRIDE=FQ","FILING_STATUS=OR","EQY_CONSOLIDATED=Y","Sort=A","Dates=H","DateFormat=P","Fill=—","Direction=H","UseDPDF=Y")</f>
        <v>#NAME?</v>
      </c>
      <c r="BQ42" s="2" t="e">
        <f ca="1">_xll.BDH($C$28,"WORKING_CAPITAL_SEQ_GROWTH","FQ4 2016","FQ4 2016","Currency=INR","Period=FQ","BEST_FPERIOD_OVERRIDE=FQ","FILING_STATUS=OR","EQY_CONSOLIDATED=Y","Sort=A","Dates=H","DateFormat=P","Fill=—","Direction=H","UseDPDF=Y")</f>
        <v>#NAME?</v>
      </c>
      <c r="BR42" s="2" t="e">
        <f ca="1">_xll.BDH($C$28,"ACCOUNTS_PAYABLE_SEQ_GROWTH","FQ4 2016","FQ4 2016","Currency=INR","Period=FQ","BEST_FPERIOD_OVERRIDE=FQ","FILING_STATUS=OR","EQY_CONSOLIDATED=Y","Sort=A","Dates=H","DateFormat=P","Fill=—","Direction=H","UseDPDF=Y")</f>
        <v>#NAME?</v>
      </c>
      <c r="BS42" s="2" t="e">
        <f ca="1">_xll.BDH($C$28,"ST_DEBT_SEQUENTIAL_GROWTH","FQ4 2016","FQ4 2016","Currency=INR","Period=FQ","BEST_FPERIOD_OVERRIDE=FQ","FILING_STATUS=OR","EQY_CONSOLIDATED=Y","Sort=A","Dates=H","DateFormat=P","Fill=—","Direction=H","UseDPDF=Y")</f>
        <v>#NAME?</v>
      </c>
      <c r="BT42" s="2" t="e">
        <f ca="1">_xll.BDH($C$28,"TOTAL_DEBT_SEQUENTIAL_GROWTH","FQ4 2016","FQ4 2016","Currency=INR","Period=FQ","BEST_FPERIOD_OVERRIDE=FQ","FILING_STATUS=OR","EQY_CONSOLIDATED=Y","Sort=A","Dates=H","DateFormat=P","Fill=—","Direction=H","UseDPDF=Y")</f>
        <v>#NAME?</v>
      </c>
      <c r="BU42" s="2" t="e">
        <f ca="1">_xll.BDH($C$28,"TOTAL_EQUITY_SEQUENTIAL_GROWTH","FQ4 2016","FQ4 2016","Currency=INR","Period=FQ","BEST_FPERIOD_OVERRIDE=FQ","FILING_STATUS=OR","EQY_CONSOLIDATED=Y","Sort=A","Dates=H","DateFormat=P","Fill=—","Direction=H","UseDPDF=Y")</f>
        <v>#NAME?</v>
      </c>
      <c r="BV42" s="2" t="e">
        <f ca="1">_xll.BDH($C$28,"TOTAL_CAPITAL_SEQUENTIAL_GROWTH","FQ4 2016","FQ4 2016","Currency=INR","Period=FQ","BEST_FPERIOD_OVERRIDE=FQ","FILING_STATUS=OR","EQY_CONSOLIDATED=Y","Sort=A","Dates=H","DateFormat=P","Fill=—","Direction=H","UseDPDF=Y")</f>
        <v>#NAME?</v>
      </c>
      <c r="BW42" s="2" t="e">
        <f ca="1">_xll.BDH($C$28,"BPS_SEQUENTIAL_GROWTH","FQ4 2016","FQ4 2016","Currency=INR","Period=FQ","BEST_FPERIOD_OVERRIDE=FQ","FILING_STATUS=OR","EQY_CONSOLIDATED=Y","Sort=A","Dates=H","DateFormat=P","Fill=—","Direction=H","UseDPDF=Y")</f>
        <v>#NAME?</v>
      </c>
      <c r="BX42" s="2" t="e">
        <f ca="1">_xll.BDH($C$28,"CFO_SEQUENTIAL_GROWTH","FQ4 2016","FQ4 2016","Currency=INR","Period=FQ","BEST_FPERIOD_OVERRIDE=FQ","FILING_STATUS=OR","EQY_CONSOLIDATED=Y","Sort=A","Dates=H","DateFormat=P","Fill=—","Direction=H","UseDPDF=Y")</f>
        <v>#NAME?</v>
      </c>
      <c r="BY42" s="3" t="e">
        <f ca="1">_xll.BDH($C$28,"SHORT_AND_LONG_TERM_DEBT","FQ4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2" s="3" t="e">
        <f ca="1">_xll.BDH($C$28,"BS_ST_BORROW","FQ4 2016","FQ4 2016","Currency=INR","Period=FQ","BEST_FPERIOD_OVERRIDE=FQ","FILING_STATUS=OR","EQY_CONSOLIDATED=Y","SCALING_FORMAT=MLN","Sort=A","Dates=H","DateFormat=P","Fill=—","Direction=H","UseDPDF=Y")</f>
        <v>#NAME?</v>
      </c>
      <c r="CA42" s="3" t="e">
        <f ca="1">_xll.BDH($C$28,"BS_LT_BORROW","FQ4 2016","FQ4 2016","Currency=INR","Period=FQ","BEST_FPERIOD_OVERRIDE=FQ","FILING_STATUS=OR","EQY_CONSOLIDATED=Y","SCALING_FORMAT=MLN","Sort=A","Dates=H","DateFormat=P","Fill=—","Direction=H","UseDPDF=Y")</f>
        <v>#NAME?</v>
      </c>
      <c r="CB42" s="2" t="e">
        <f ca="1">_xll.BDH($C$28,"TOT_DEBT_TO_EBITDA","FQ4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2" s="2" t="e">
        <f ca="1">_xll.BDH($C$28,"NET_DEBT_TO_EBITDA","FQ4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2" s="2" t="e">
        <f ca="1">_xll.BDH($C$28,"TOTAL_DEBT_TO_EBIT","FQ4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2" s="2" t="e">
        <f ca="1">_xll.BDH($C$28,"NET_DEBT_TO_EBIT","FQ4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2" s="2" t="e">
        <f ca="1">_xll.BDH($C$28,"EBITDA_TO_INTEREST_EXPN","FQ4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2" s="2" t="e">
        <f ca="1">_xll.BDH($C$28,"COM_EQY_TO_TOT_ASSET","FQ4 2016","FQ4 2016","Currency=INR","Period=FQ","BEST_FPERIOD_OVERRIDE=FQ","FILING_STATUS=OR","EQY_CONSOLIDATED=Y","Sort=A","Dates=H","DateFormat=P","Fill=—","Direction=H","UseDPDF=Y")</f>
        <v>#NAME?</v>
      </c>
      <c r="CH42" s="2" t="e">
        <f ca="1">_xll.BDH($C$28,"LT_DEBT_TO_TOT_EQY","FQ4 2016","FQ4 2016","Currency=INR","Period=FQ","BEST_FPERIOD_OVERRIDE=FQ","FILING_STATUS=OR","EQY_CONSOLIDATED=Y","Sort=A","Dates=H","DateFormat=P","Fill=—","Direction=H","UseDPDF=Y")</f>
        <v>#NAME?</v>
      </c>
      <c r="CI42" s="2" t="e">
        <f ca="1">_xll.BDH($C$28,"LT_DEBT_TO_TOT_CAP","FQ4 2016","FQ4 2016","Currency=INR","Period=FQ","BEST_FPERIOD_OVERRIDE=FQ","FILING_STATUS=OR","EQY_CONSOLIDATED=Y","Sort=A","Dates=H","DateFormat=P","Fill=—","Direction=H","UseDPDF=Y")</f>
        <v>#NAME?</v>
      </c>
      <c r="CJ42" s="2" t="e">
        <f ca="1">_xll.BDH($C$28,"LT_DEBT_TO_TOT_ASSET","FQ4 2016","FQ4 2016","Currency=INR","Period=FQ","BEST_FPERIOD_OVERRIDE=FQ","FILING_STATUS=OR","EQY_CONSOLIDATED=Y","Sort=A","Dates=H","DateFormat=P","Fill=—","Direction=H","UseDPDF=Y")</f>
        <v>#NAME?</v>
      </c>
      <c r="CK42" s="2" t="e">
        <f ca="1">_xll.BDH($C$28,"TOT_DEBT_TO_TOT_EQY","FQ4 2016","FQ4 2016","Currency=INR","Period=FQ","BEST_FPERIOD_OVERRIDE=FQ","FILING_STATUS=OR","EQY_CONSOLIDATED=Y","Sort=A","Dates=H","DateFormat=P","Fill=—","Direction=H","UseDPDF=Y")</f>
        <v>#NAME?</v>
      </c>
      <c r="CL42" s="2" t="e">
        <f ca="1">_xll.BDH($C$28,"TOT_DEBT_TO_TOT_CAP","FQ4 2016","FQ4 2016","Currency=INR","Period=FQ","BEST_FPERIOD_OVERRIDE=FQ","FILING_STATUS=OR","EQY_CONSOLIDATED=Y","Sort=A","Dates=H","DateFormat=P","Fill=—","Direction=H","UseDPDF=Y")</f>
        <v>#NAME?</v>
      </c>
      <c r="CM42" s="2" t="e">
        <f ca="1">_xll.BDH($C$28,"TOT_DEBT_TO_TOT_ASSET","FQ4 2016","FQ4 2016","Currency=INR","Period=FQ","BEST_FPERIOD_OVERRIDE=FQ","FILING_STATUS=OR","EQY_CONSOLIDATED=Y","Sort=A","Dates=H","DateFormat=P","Fill=—","Direction=H","UseDPDF=Y")</f>
        <v>#NAME?</v>
      </c>
      <c r="CN42" s="2" t="e">
        <f ca="1">_xll.BDH($C$28,"NET_DEBT_TO_SHRHLDR_EQTY","FQ4 2016","FQ4 2016","Currency=INR","Period=FQ","BEST_FPERIOD_OVERRIDE=FQ","FILING_STATUS=OR","EQY_CONSOLIDATED=Y","Sort=A","Dates=H","DateFormat=P","Fill=—","Direction=H","UseDPDF=Y")</f>
        <v>#NAME?</v>
      </c>
      <c r="CO42" s="2" t="e">
        <f ca="1">_xll.BDH($C$28,"NET_DEBT_%_CAPITAL","FQ4 2016","FQ4 2016","Currency=INR","Period=FQ","BEST_FPERIOD_OVERRIDE=FQ","FILING_STATUS=OR","EQY_CONSOLIDATED=Y","Sort=A","Dates=H","DateFormat=P","Fill=—","Direction=H","UseDPDF=Y")</f>
        <v>#NAME?</v>
      </c>
      <c r="CP42" s="3" t="e">
        <f ca="1">_xll.BDH($C$28,"EBITDA","FQ4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2" s="3" t="e">
        <f ca="1">_xll.BDH($C$28,"EBITDA_AFTER_CAPEX","FQ4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2" s="3" t="e">
        <f ca="1">_xll.BDH($C$28,"IS_OPER_INC","FQ4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2" s="2" t="e">
        <f ca="1">_xll.BDH($C$28,"CASH_RATIO","FQ4 2016","FQ4 2016","Currency=INR","Period=FQ","BEST_FPERIOD_OVERRIDE=FQ","FILING_STATUS=OR","EQY_CONSOLIDATED=Y","Sort=A","Dates=H","DateFormat=P","Fill=—","Direction=H","UseDPDF=Y")</f>
        <v>#NAME?</v>
      </c>
      <c r="CT42" s="2" t="e">
        <f ca="1">_xll.BDH($C$28,"CUR_RATIO","FQ4 2016","FQ4 2016","Currency=INR","Period=FQ","BEST_FPERIOD_OVERRIDE=FQ","FILING_STATUS=OR","EQY_CONSOLIDATED=Y","Sort=A","Dates=H","DateFormat=P","Fill=—","Direction=H","UseDPDF=Y")</f>
        <v>#NAME?</v>
      </c>
      <c r="CU42" s="2" t="e">
        <f ca="1">_xll.BDH($C$28,"QUICK_RATIO","FQ4 2016","FQ4 2016","Currency=INR","Period=FQ","BEST_FPERIOD_OVERRIDE=FQ","FILING_STATUS=OR","EQY_CONSOLIDATED=Y","Sort=A","Dates=H","DateFormat=P","Fill=—","Direction=H","UseDPDF=Y")</f>
        <v>#NAME?</v>
      </c>
      <c r="CV42" s="2" t="e">
        <f ca="1">_xll.BDH($C$28,"ALTMAN_Z_SCORE","FQ4 2016","FQ4 2016","Currency=INR","Period=FQ","BEST_FPERIOD_OVERRIDE=FQ","FILING_STATUS=OR","EQY_CONSOLIDATED=Y","Sort=A","Dates=H","DateFormat=P","Fill=—","Direction=H","UseDPDF=Y")</f>
        <v>#NAME?</v>
      </c>
      <c r="CW42" s="4" t="e">
        <f ca="1">_xll.BDH($C$28,"ACCT_RCV_TURN","FQ4 2016","FQ4 2016","Currency=INR","Period=FQ","BEST_FPERIOD_OVERRIDE=FQ","FILING_STATUS=OR","EQY_CONSOLIDATED=Y","FA_ADJUSTED=GAAP","Sort=A","Dates=H","DateFormat=P","Fill=—","Direction=H","UseDPDF=Y")</f>
        <v>#NAME?</v>
      </c>
      <c r="CX42" s="2" t="e">
        <f ca="1">_xll.BDH($C$28,"ACCT_RCV_DAYS","FQ4 2016","FQ4 2016","Currency=INR","Period=FQ","BEST_FPERIOD_OVERRIDE=FQ","FILING_STATUS=OR","EQY_CONSOLIDATED=Y","FA_ADJUSTED=GAAP","Sort=A","Dates=H","DateFormat=P","Fill=—","Direction=H","UseDPDF=Y")</f>
        <v>#NAME?</v>
      </c>
      <c r="CY42" s="4" t="e">
        <f ca="1">_xll.BDH($C$28,"INVENT_TURN","FQ4 2016","FQ4 2016","Currency=INR","Period=FQ","BEST_FPERIOD_OVERRIDE=FQ","FILING_STATUS=OR","EQY_CONSOLIDATED=Y","FA_ADJUSTED=GAAP","Sort=A","Dates=H","DateFormat=P","Fill=—","Direction=H","UseDPDF=Y")</f>
        <v>#NAME?</v>
      </c>
      <c r="CZ42" s="2" t="e">
        <f ca="1">_xll.BDH($C$28,"INVENT_DAYS","FQ4 2016","FQ4 2016","Currency=INR","Period=FQ","BEST_FPERIOD_OVERRIDE=FQ","FILING_STATUS=OR","EQY_CONSOLIDATED=Y","FA_ADJUSTED=GAAP","Sort=A","Dates=H","DateFormat=P","Fill=—","Direction=H","UseDPDF=Y")</f>
        <v>#NAME?</v>
      </c>
      <c r="DA42" s="4" t="e">
        <f ca="1">_xll.BDH($C$28,"ACCOUNTS_PAYABLE_TURNOVER","FQ4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2" s="2" t="e">
        <f ca="1">_xll.BDH($C$28,"ACCOUNTS_PAYABLE_TURNOVER_DAYS","FQ4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2" s="4" t="e">
        <f ca="1">_xll.BDH($C$28,"CASH_CONVERSION_CYCLE","FQ4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2" s="4" t="e">
        <f ca="1">_xll.BDH($C$28,"INV_TO_CASH_DAYS","FQ4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2" s="5" t="e">
        <f ca="1">_xll.BDH($C$28,"BS_INVENTORIES","FQ4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2" s="3" t="e">
        <f ca="1">_xll.BDH($C$28,"INVTRY_RAW_MATERIALS","FQ4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2" s="3" t="e">
        <f ca="1">_xll.BDH($C$28,"INVTRY_IN_PROGRESS","FQ4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2" s="3" t="e">
        <f ca="1">_xll.BDH($C$28,"INVTRY_FINISHED_GOODS","FQ4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2" s="3" t="e">
        <f ca="1">_xll.BDH($C$28,"BS_OTHER_INV","FQ4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3" spans="1:113" x14ac:dyDescent="0.3">
      <c r="A43" s="6"/>
      <c r="B43" s="6"/>
      <c r="C43" s="6"/>
      <c r="D43" s="6" t="s">
        <v>84</v>
      </c>
      <c r="E43" t="s">
        <v>77</v>
      </c>
      <c r="F43" t="e">
        <f ca="1">_xll.BDH($C$28,"RETURN_COM_EQY","FY 2017","FY 2017","Currency=INR","Period=FY","BEST_FPERIOD_OVERRIDE=FY","FILING_STATUS=OR","EQY_CONSOLIDATED=Y","FA_ADJUSTED=GAAP","Sort=A","Dates=H","DateFormat=P","Fill=—","Direction=H","UseDPDF=Y")</f>
        <v>#NAME?</v>
      </c>
      <c r="G43" t="e">
        <f ca="1">_xll.BDH($C$28,"RETURN_ON_ASSET","FY 2017","FY 2017","Currency=INR","Period=FY","BEST_FPERIOD_OVERRIDE=FY","FILING_STATUS=OR","EQY_CONSOLIDATED=Y","FA_ADJUSTED=GAAP","Sort=A","Dates=H","DateFormat=P","Fill=—","Direction=H","UseDPDF=Y")</f>
        <v>#NAME?</v>
      </c>
      <c r="H43" t="e">
        <f ca="1">_xll.BDH($C$28,"RETURN_ON_CAP","FY 2017","FY 2017","Currency=INR","Period=FY","BEST_FPERIOD_OVERRIDE=FY","FILING_STATUS=OR","EQY_CONSOLIDATED=Y","FA_ADJUSTED=GAAP","Sort=A","Dates=H","DateFormat=P","Fill=—","Direction=H","UseDPDF=Y")</f>
        <v>#NAME?</v>
      </c>
      <c r="I43" t="e">
        <f ca="1">_xll.BDH($C$28,"RETURN_ON_INV_CAPITAL","FY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3" t="e">
        <f ca="1">_xll.BDH($C$28,"EBITDA_TO_REVENUE","FY 2017","FY 2017","Currency=INR","Period=FY","BEST_FPERIOD_OVERRIDE=FY","FILING_STATUS=OR","EQY_CONSOLIDATED=Y","FA_ADJUSTED=GAAP","Sort=A","Dates=H","DateFormat=P","Fill=—","Direction=H","UseDPDF=Y")</f>
        <v>#NAME?</v>
      </c>
      <c r="K43" t="e">
        <f ca="1">_xll.BDH($C$28,"OPER_MARGIN","FY 2017","FY 2017","Currency=INR","Period=FY","BEST_FPERIOD_OVERRIDE=FY","FILING_STATUS=OR","EQY_CONSOLIDATED=Y","FA_ADJUSTED=GAAP","Sort=A","Dates=H","DateFormat=P","Fill=—","Direction=H","UseDPDF=Y")</f>
        <v>#NAME?</v>
      </c>
      <c r="L43" t="e">
        <f ca="1">_xll.BDH($C$28,"INCREMENTAL_OPERATING_MARGIN","FY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3" t="e">
        <f ca="1">_xll.BDH($C$28,"PRETAX_INC_TO_NET_SALES","FY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3" t="e">
        <f ca="1">_xll.BDH($C$28,"INC_BEF_XO_ITEMS_TO_NET_SALES","FY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3" t="e">
        <f ca="1">_xll.BDH($C$28,"PROF_MARGIN","FY 2017","FY 2017","Currency=INR","Period=FY","BEST_FPERIOD_OVERRIDE=FY","FILING_STATUS=OR","EQY_CONSOLIDATED=Y","FA_ADJUSTED=GAAP","Sort=A","Dates=H","DateFormat=P","Fill=—","Direction=H","UseDPDF=Y")</f>
        <v>#NAME?</v>
      </c>
      <c r="P43" t="e">
        <f ca="1">_xll.BDH($C$28,"NET_INCOME_TO_COMMON_MARGIN","FY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3" t="e">
        <f ca="1">_xll.BDH($C$28,"EFF_TAX_RATE","FY 2017","FY 2017","Currency=INR","Period=FY","BEST_FPERIOD_OVERRIDE=FY","FILING_STATUS=OR","EQY_CONSOLIDATED=Y","FA_ADJUSTED=GAAP","Sort=A","Dates=H","DateFormat=P","Fill=—","Direction=H","UseDPDF=Y")</f>
        <v>#NAME?</v>
      </c>
      <c r="R43" t="e">
        <f ca="1">_xll.BDH($C$28,"DVD_PAYOUT_RATIO","FY 2017","FY 2017","Currency=INR","Period=FY","BEST_FPERIOD_OVERRIDE=FY","FILING_STATUS=OR","EQY_CONSOLIDATED=Y","FA_ADJUSTED=GAAP","Sort=A","Dates=H","DateFormat=P","Fill=—","Direction=H","UseDPDF=Y")</f>
        <v>#NAME?</v>
      </c>
      <c r="S43" t="e">
        <f ca="1">_xll.BDH($C$28,"SUSTAIN_GROWTH_RT","FY 2017","FY 2017","Currency=INR","Period=FY","BEST_FPERIOD_OVERRIDE=FY","FILING_STATUS=OR","EQY_CONSOLIDATED=Y","FA_ADJUSTED=GAAP","Sort=A","Dates=H","DateFormat=P","Fill=—","Direction=H","UseDPDF=Y")</f>
        <v>#NAME?</v>
      </c>
      <c r="T43" s="2" t="e">
        <f ca="1">_xll.BDH($C$28,"SALES_GROWTH","FY 2017","FY 2017","Currency=INR","Period=FY","BEST_FPERIOD_OVERRIDE=FY","FILING_STATUS=OR","EQY_CONSOLIDATED=Y","FA_ADJUSTED=GAAP","Sort=A","Dates=H","DateFormat=P","Fill=—","Direction=H","UseDPDF=Y")</f>
        <v>#NAME?</v>
      </c>
      <c r="U43" s="2" t="e">
        <f ca="1">_xll.BDH($C$28,"EBITDA_GROWTH","FY 2017","FY 2017","Currency=INR","Period=FY","BEST_FPERIOD_OVERRIDE=FY","FILING_STATUS=OR","EQY_CONSOLIDATED=Y","FA_ADJUSTED=GAAP","Sort=A","Dates=H","DateFormat=P","Fill=—","Direction=H","UseDPDF=Y")</f>
        <v>#NAME?</v>
      </c>
      <c r="V43" s="2" t="e">
        <f ca="1">_xll.BDH($C$28,"OPER_INC_GROWTH","FY 2017","FY 2017","Currency=INR","Period=FY","BEST_FPERIOD_OVERRIDE=FY","FILING_STATUS=OR","EQY_CONSOLIDATED=Y","FA_ADJUSTED=GAAP","Sort=A","Dates=H","DateFormat=P","Fill=—","Direction=H","UseDPDF=Y")</f>
        <v>#NAME?</v>
      </c>
      <c r="W43" s="2" t="e">
        <f ca="1">_xll.BDH($C$28,"EARN_FOR_COM_GROWTH","FY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3" s="2" t="e">
        <f ca="1">_xll.BDH($C$28,"DILUTED_EPS_AFT_XO_ITEMS_GROWTH","FY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3" s="2" t="e">
        <f ca="1">_xll.BDH($C$28,"DIVIDEND_PER_SHARE_1_YEAR_GROWTH","FY 2017","FY 2017","Currency=INR","Period=FY","BEST_FPERIOD_OVERRIDE=FY","FILING_STATUS=OR","EQY_CONSOLIDATED=Y","Sort=A","Dates=H","DateFormat=P","Fill=—","Direction=H","UseDPDF=Y")</f>
        <v>#NAME?</v>
      </c>
      <c r="Z43" s="2" t="e">
        <f ca="1">_xll.BDH($C$28,"ACCOUNTS_RECEIVABLE_GROWTH","FY 2017","FY 2017","Currency=INR","Period=FY","BEST_FPERIOD_OVERRIDE=FY","FILING_STATUS=OR","EQY_CONSOLIDATED=Y","Sort=A","Dates=H","DateFormat=P","Fill=—","Direction=H","UseDPDF=Y")</f>
        <v>#NAME?</v>
      </c>
      <c r="AA43" s="2" t="e">
        <f ca="1">_xll.BDH($C$28,"INVENTORY_GROWTH","FY 2017","FY 2017","Currency=INR","Period=FY","BEST_FPERIOD_OVERRIDE=FY","FILING_STATUS=OR","EQY_CONSOLIDATED=Y","Sort=A","Dates=H","DateFormat=P","Fill=—","Direction=H","UseDPDF=Y")</f>
        <v>#NAME?</v>
      </c>
      <c r="AB43" s="2" t="e">
        <f ca="1">_xll.BDH($C$28,"NET_FIXED_ASSETS_1_YEAR_GROWTH","FY 2017","FY 2017","Currency=INR","Period=FY","BEST_FPERIOD_OVERRIDE=FY","FILING_STATUS=OR","EQY_CONSOLIDATED=Y","Sort=A","Dates=H","DateFormat=P","Fill=—","Direction=H","UseDPDF=Y")</f>
        <v>#NAME?</v>
      </c>
      <c r="AC43" s="2" t="e">
        <f ca="1">_xll.BDH($C$28,"ASSET_GROWTH","FY 2017","FY 2017","Currency=INR","Period=FY","BEST_FPERIOD_OVERRIDE=FY","FILING_STATUS=OR","EQY_CONSOLIDATED=Y","Sort=A","Dates=H","DateFormat=P","Fill=—","Direction=H","UseDPDF=Y")</f>
        <v>#NAME?</v>
      </c>
      <c r="AD43" s="2" t="e">
        <f ca="1">_xll.BDH($C$28,"MODIFIED_WORK_CAP_GROWTH","FY 2017","FY 2017","Currency=INR","Period=FY","BEST_FPERIOD_OVERRIDE=FY","FILING_STATUS=OR","EQY_CONSOLIDATED=Y","Sort=A","Dates=H","DateFormat=P","Fill=—","Direction=H","UseDPDF=Y")</f>
        <v>#NAME?</v>
      </c>
      <c r="AE43" s="2" t="e">
        <f ca="1">_xll.BDH($C$28,"WORK_CAP_GROWTH","FY 2017","FY 2017","Currency=INR","Period=FY","BEST_FPERIOD_OVERRIDE=FY","FILING_STATUS=OR","EQY_CONSOLIDATED=Y","Sort=A","Dates=H","DateFormat=P","Fill=—","Direction=H","UseDPDF=Y")</f>
        <v>#NAME?</v>
      </c>
      <c r="AF43" s="2" t="e">
        <f ca="1">_xll.BDH($C$28,"ACCOUNTS_PAYABLE_GROWTH_1YR","FY 2017","FY 2017","Currency=INR","Period=FY","BEST_FPERIOD_OVERRIDE=FY","FILING_STATUS=OR","EQY_CONSOLIDATED=Y","Sort=A","Dates=H","DateFormat=P","Fill=—","Direction=H","UseDPDF=Y")</f>
        <v>#NAME?</v>
      </c>
      <c r="AG43" s="2" t="e">
        <f ca="1">_xll.BDH($C$28,"SHORT_TERM_DEBT_1_YEAR_GROWTH","FY 2017","FY 2017","Currency=INR","Period=FY","BEST_FPERIOD_OVERRIDE=FY","FILING_STATUS=OR","EQY_CONSOLIDATED=Y","Sort=A","Dates=H","DateFormat=P","Fill=—","Direction=H","UseDPDF=Y")</f>
        <v>#NAME?</v>
      </c>
      <c r="AH43" s="2" t="e">
        <f ca="1">_xll.BDH($C$28,"TOTAL_DEBT_1_YEAR_GROWTH","FY 2017","FY 2017","Currency=INR","Period=FY","BEST_FPERIOD_OVERRIDE=FY","FILING_STATUS=OR","EQY_CONSOLIDATED=Y","Sort=A","Dates=H","DateFormat=P","Fill=—","Direction=H","UseDPDF=Y")</f>
        <v>#NAME?</v>
      </c>
      <c r="AI43" s="2" t="e">
        <f ca="1">_xll.BDH($C$28,"TOTAL_EQUITY_1_YEAR_GROWTH","FY 2017","FY 2017","Currency=INR","Period=FY","BEST_FPERIOD_OVERRIDE=FY","FILING_STATUS=OR","EQY_CONSOLIDATED=Y","Sort=A","Dates=H","DateFormat=P","Fill=—","Direction=H","UseDPDF=Y")</f>
        <v>#NAME?</v>
      </c>
      <c r="AJ43" s="2" t="e">
        <f ca="1">_xll.BDH($C$28,"GROWTH_IN_CAP","FY 2017","FY 2017","Currency=INR","Period=FY","BEST_FPERIOD_OVERRIDE=FY","FILING_STATUS=OR","EQY_CONSOLIDATED=Y","Sort=A","Dates=H","DateFormat=P","Fill=—","Direction=H","UseDPDF=Y")</f>
        <v>#NAME?</v>
      </c>
      <c r="AK43" s="2" t="e">
        <f ca="1">_xll.BDH($C$28,"BVPS_GROWTH","FY 2017","FY 2017","Currency=INR","Period=FY","BEST_FPERIOD_OVERRIDE=FY","FILING_STATUS=OR","EQY_CONSOLIDATED=Y","Sort=A","Dates=H","DateFormat=P","Fill=—","Direction=H","UseDPDF=Y")</f>
        <v>#NAME?</v>
      </c>
      <c r="AL43" s="2" t="e">
        <f ca="1">_xll.BDH($C$28,"CASH_FLOW_GROWTH","FY 2017","FY 2017","Currency=INR","Period=FY","BEST_FPERIOD_OVERRIDE=FY","FILING_STATUS=OR","EQY_CONSOLIDATED=Y","Sort=A","Dates=H","DateFormat=P","Fill=—","Direction=H","UseDPDF=Y")</f>
        <v>#NAME?</v>
      </c>
      <c r="AM43" s="2" t="e">
        <f ca="1">_xll.BDH($C$28,"GEO_GROW_NET_SALES","FY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3" s="2" t="e">
        <f ca="1">_xll.BDH($C$28,"GEO_GROW_EBITDA","FY 2017","FY 2017","Currency=INR","Period=FY","BEST_FPERIOD_OVERRIDE=FY","FILING_STATUS=OR","EQY_CONSOLIDATED=Y","FA_ADJUSTED=GAAP","Sort=A","Dates=H","DateFormat=P","Fill=—","Direction=H","UseDPDF=Y")</f>
        <v>#NAME?</v>
      </c>
      <c r="AO43" s="2" t="e">
        <f ca="1">_xll.BDH($C$28,"GEO_GROW_OPER_INC","FY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3" s="2" t="e">
        <f ca="1">_xll.BDH($C$28,"NET_INCOME_TO_COMMON_5_YR_GROWTH","FY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3" s="2" t="e">
        <f ca="1">_xll.BDH($C$28,"5Y_GEO_GROWTH_DILUTED_EPS","FY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3" s="2" t="e">
        <f ca="1">_xll.BDH($C$28,"GEO_GROW_DVD_PER_SH","FY 2017","FY 2017","Currency=INR","Period=FY","BEST_FPERIOD_OVERRIDE=FY","FILING_STATUS=OR","EQY_CONSOLIDATED=Y","Sort=A","Dates=H","DateFormat=P","Fill=—","Direction=H","UseDPDF=Y")</f>
        <v>#NAME?</v>
      </c>
      <c r="AS43" s="2" t="e">
        <f ca="1">_xll.BDH($C$28,"ACCOUNTS_RECEIVABLE_5_YR_GROWTH","FY 2017","FY 2017","Currency=INR","Period=FY","BEST_FPERIOD_OVERRIDE=FY","FILING_STATUS=OR","EQY_CONSOLIDATED=Y","Sort=A","Dates=H","DateFormat=P","Fill=—","Direction=H","UseDPDF=Y")</f>
        <v>#NAME?</v>
      </c>
      <c r="AT43" s="2" t="e">
        <f ca="1">_xll.BDH($C$28,"INVENTORY_5_YEAR_GROWTH","FY 2017","FY 2017","Currency=INR","Period=FY","BEST_FPERIOD_OVERRIDE=FY","FILING_STATUS=OR","EQY_CONSOLIDATED=Y","Sort=A","Dates=H","DateFormat=P","Fill=—","Direction=H","UseDPDF=Y")</f>
        <v>#NAME?</v>
      </c>
      <c r="AU43" s="2" t="e">
        <f ca="1">_xll.BDH($C$28,"NET_FIXED_ASSETS_5_YEAR_GROWTH","FY 2017","FY 2017","Currency=INR","Period=FY","BEST_FPERIOD_OVERRIDE=FY","FILING_STATUS=OR","EQY_CONSOLIDATED=Y","Sort=A","Dates=H","DateFormat=P","Fill=—","Direction=H","UseDPDF=Y")</f>
        <v>#NAME?</v>
      </c>
      <c r="AV43" s="2" t="e">
        <f ca="1">_xll.BDH($C$28,"GEO_GROW_TOT_ASSET","FY 2017","FY 2017","Currency=INR","Period=FY","BEST_FPERIOD_OVERRIDE=FY","FILING_STATUS=OR","EQY_CONSOLIDATED=Y","Sort=A","Dates=H","DateFormat=P","Fill=—","Direction=H","UseDPDF=Y")</f>
        <v>#NAME?</v>
      </c>
      <c r="AW43" s="2" t="e">
        <f ca="1">_xll.BDH($C$28,"MODIFIED_WORKING_CPTL_5YR_GRWTH","FY 2017","FY 2017","Currency=INR","Period=FY","BEST_FPERIOD_OVERRIDE=FY","FILING_STATUS=OR","EQY_CONSOLIDATED=Y","Sort=A","Dates=H","DateFormat=P","Fill=—","Direction=H","UseDPDF=Y")</f>
        <v>#NAME?</v>
      </c>
      <c r="AX43" s="2" t="e">
        <f ca="1">_xll.BDH($C$28,"WORKING_CAPITAL_5_YEAR_GROWTH","FY 2017","FY 2017","Currency=INR","Period=FY","BEST_FPERIOD_OVERRIDE=FY","FILING_STATUS=OR","EQY_CONSOLIDATED=Y","Sort=A","Dates=H","DateFormat=P","Fill=—","Direction=H","UseDPDF=Y")</f>
        <v>#NAME?</v>
      </c>
      <c r="AY43" s="2" t="e">
        <f ca="1">_xll.BDH($C$28,"ACCOUNTS_PAYABLE_5_YEAR_GROWTH","FY 2017","FY 2017","Currency=INR","Period=FY","BEST_FPERIOD_OVERRIDE=FY","FILING_STATUS=OR","EQY_CONSOLIDATED=Y","Sort=A","Dates=H","DateFormat=P","Fill=—","Direction=H","UseDPDF=Y")</f>
        <v>#NAME?</v>
      </c>
      <c r="AZ43" s="2" t="e">
        <f ca="1">_xll.BDH($C$28,"SHORT_TERM_DEBT_5_YEAR_GROWTH","FY 2017","FY 2017","Currency=INR","Period=FY","BEST_FPERIOD_OVERRIDE=FY","FILING_STATUS=OR","EQY_CONSOLIDATED=Y","Sort=A","Dates=H","DateFormat=P","Fill=—","Direction=H","UseDPDF=Y")</f>
        <v>#NAME?</v>
      </c>
      <c r="BA43" s="2" t="e">
        <f ca="1">_xll.BDH($C$28,"TOTAL_DEBT_5_YEAR_GROWTH","FY 2017","FY 2017","Currency=INR","Period=FY","BEST_FPERIOD_OVERRIDE=FY","FILING_STATUS=OR","EQY_CONSOLIDATED=Y","Sort=A","Dates=H","DateFormat=P","Fill=—","Direction=H","UseDPDF=Y")</f>
        <v>#NAME?</v>
      </c>
      <c r="BB43" s="2" t="e">
        <f ca="1">_xll.BDH($C$28,"GEO_GROW_TOT_SHRHLDR_EQY","FY 2017","FY 2017","Currency=INR","Period=FY","BEST_FPERIOD_OVERRIDE=FY","FILING_STATUS=OR","EQY_CONSOLIDATED=Y","Sort=A","Dates=H","DateFormat=P","Fill=—","Direction=H","UseDPDF=Y")</f>
        <v>#NAME?</v>
      </c>
      <c r="BC43" s="2" t="e">
        <f ca="1">_xll.BDH($C$28,"TOTAL_CAPITAL_5_YEAR_GROWTH","FY 2017","FY 2017","Currency=INR","Period=FY","BEST_FPERIOD_OVERRIDE=FY","FILING_STATUS=OR","EQY_CONSOLIDATED=Y","Sort=A","Dates=H","DateFormat=P","Fill=—","Direction=H","UseDPDF=Y")</f>
        <v>#NAME?</v>
      </c>
      <c r="BD43" s="2" t="e">
        <f ca="1">_xll.BDH($C$28,"GEO_GROW_BOOK_VAL","FY 2017","FY 2017","Currency=INR","Period=FY","BEST_FPERIOD_OVERRIDE=FY","FILING_STATUS=OR","EQY_CONSOLIDATED=Y","Sort=A","Dates=H","DateFormat=P","Fill=—","Direction=H","UseDPDF=Y")</f>
        <v>#NAME?</v>
      </c>
      <c r="BE43" s="2" t="e">
        <f ca="1">_xll.BDH($C$28,"GEO_GROW_CASH_OPER_ACT","FY 2017","FY 2017","Currency=INR","Period=FY","BEST_FPERIOD_OVERRIDE=FY","FILING_STATUS=OR","EQY_CONSOLIDATED=Y","Sort=A","Dates=H","DateFormat=P","Fill=—","Direction=H","UseDPDF=Y")</f>
        <v>#NAME?</v>
      </c>
      <c r="BF43" s="2" t="e">
        <f ca="1">_xll.BDH($C$28,"REVENUE_SEQUENTIAL_GROWTH","FY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3" s="2" t="e">
        <f ca="1">_xll.BDH($C$28,"EBITDA_SEQUENTIAL_GROWTH","FY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3" s="2" t="e">
        <f ca="1">_xll.BDH($C$28,"OPERATING_INCOME_SEQ_GROWTH","FY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3" s="2" t="e">
        <f ca="1">_xll.BDH($C$28,"NET_INCOME_TO_COMMON_SEQ_GROWTH","FY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3" s="2" t="e">
        <f ca="1">_xll.BDH($C$28,"EPS_DILUTED_SEQUENTIAL_GROWTH","FY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3" s="2" t="e">
        <f ca="1">_xll.BDH($C$28,"DPS_SEQUENTIAL_GROWTH","FY 2017","FY 2017","Currency=INR","Period=FY","BEST_FPERIOD_OVERRIDE=FY","FILING_STATUS=OR","EQY_CONSOLIDATED=Y","Sort=A","Dates=H","DateFormat=P","Fill=—","Direction=H","UseDPDF=Y")</f>
        <v>#NAME?</v>
      </c>
      <c r="BL43" s="2" t="e">
        <f ca="1">_xll.BDH($C$28,"ACCOUNTS_RECEIVABLE_SEQ_GROWTH","FY 2017","FY 2017","Currency=INR","Period=FY","BEST_FPERIOD_OVERRIDE=FY","FILING_STATUS=OR","EQY_CONSOLIDATED=Y","Sort=A","Dates=H","DateFormat=P","Fill=—","Direction=H","UseDPDF=Y")</f>
        <v>#NAME?</v>
      </c>
      <c r="BM43" s="2" t="e">
        <f ca="1">_xll.BDH($C$28,"INVENTORY_SEQUENTIAL_GROWTH","FY 2017","FY 2017","Currency=INR","Period=FY","BEST_FPERIOD_OVERRIDE=FY","FILING_STATUS=OR","EQY_CONSOLIDATED=Y","Sort=A","Dates=H","DateFormat=P","Fill=—","Direction=H","UseDPDF=Y")</f>
        <v>#NAME?</v>
      </c>
      <c r="BN43" s="2" t="e">
        <f ca="1">_xll.BDH($C$28,"FIXED_ASSETS_SEQUENTIAL_GROWTH","FY 2017","FY 2017","Currency=INR","Period=FY","BEST_FPERIOD_OVERRIDE=FY","FILING_STATUS=OR","EQY_CONSOLIDATED=Y","Sort=A","Dates=H","DateFormat=P","Fill=—","Direction=H","UseDPDF=Y")</f>
        <v>#NAME?</v>
      </c>
      <c r="BO43" s="2" t="e">
        <f ca="1">_xll.BDH($C$28,"TOTAL_ASSETS_SEQUENTIAL_GROWTH","FY 2017","FY 2017","Currency=INR","Period=FY","BEST_FPERIOD_OVERRIDE=FY","FILING_STATUS=OR","EQY_CONSOLIDATED=Y","Sort=A","Dates=H","DateFormat=P","Fill=—","Direction=H","UseDPDF=Y")</f>
        <v>#NAME?</v>
      </c>
      <c r="BP43" s="2" t="e">
        <f ca="1">_xll.BDH($C$28,"MODIFIED_WORKING_CPTL_SEQ_GRWTH","FY 2017","FY 2017","Currency=INR","Period=FY","BEST_FPERIOD_OVERRIDE=FY","FILING_STATUS=OR","EQY_CONSOLIDATED=Y","Sort=A","Dates=H","DateFormat=P","Fill=—","Direction=H","UseDPDF=Y")</f>
        <v>#NAME?</v>
      </c>
      <c r="BQ43" s="2" t="e">
        <f ca="1">_xll.BDH($C$28,"WORKING_CAPITAL_SEQ_GROWTH","FY 2017","FY 2017","Currency=INR","Period=FY","BEST_FPERIOD_OVERRIDE=FY","FILING_STATUS=OR","EQY_CONSOLIDATED=Y","Sort=A","Dates=H","DateFormat=P","Fill=—","Direction=H","UseDPDF=Y")</f>
        <v>#NAME?</v>
      </c>
      <c r="BR43" s="2" t="e">
        <f ca="1">_xll.BDH($C$28,"ACCOUNTS_PAYABLE_SEQ_GROWTH","FY 2017","FY 2017","Currency=INR","Period=FY","BEST_FPERIOD_OVERRIDE=FY","FILING_STATUS=OR","EQY_CONSOLIDATED=Y","Sort=A","Dates=H","DateFormat=P","Fill=—","Direction=H","UseDPDF=Y")</f>
        <v>#NAME?</v>
      </c>
      <c r="BS43" s="2" t="e">
        <f ca="1">_xll.BDH($C$28,"ST_DEBT_SEQUENTIAL_GROWTH","FY 2017","FY 2017","Currency=INR","Period=FY","BEST_FPERIOD_OVERRIDE=FY","FILING_STATUS=OR","EQY_CONSOLIDATED=Y","Sort=A","Dates=H","DateFormat=P","Fill=—","Direction=H","UseDPDF=Y")</f>
        <v>#NAME?</v>
      </c>
      <c r="BT43" s="2" t="e">
        <f ca="1">_xll.BDH($C$28,"TOTAL_DEBT_SEQUENTIAL_GROWTH","FY 2017","FY 2017","Currency=INR","Period=FY","BEST_FPERIOD_OVERRIDE=FY","FILING_STATUS=OR","EQY_CONSOLIDATED=Y","Sort=A","Dates=H","DateFormat=P","Fill=—","Direction=H","UseDPDF=Y")</f>
        <v>#NAME?</v>
      </c>
      <c r="BU43" s="2" t="e">
        <f ca="1">_xll.BDH($C$28,"TOTAL_EQUITY_SEQUENTIAL_GROWTH","FY 2017","FY 2017","Currency=INR","Period=FY","BEST_FPERIOD_OVERRIDE=FY","FILING_STATUS=OR","EQY_CONSOLIDATED=Y","Sort=A","Dates=H","DateFormat=P","Fill=—","Direction=H","UseDPDF=Y")</f>
        <v>#NAME?</v>
      </c>
      <c r="BV43" s="2" t="e">
        <f ca="1">_xll.BDH($C$28,"TOTAL_CAPITAL_SEQUENTIAL_GROWTH","FY 2017","FY 2017","Currency=INR","Period=FY","BEST_FPERIOD_OVERRIDE=FY","FILING_STATUS=OR","EQY_CONSOLIDATED=Y","Sort=A","Dates=H","DateFormat=P","Fill=—","Direction=H","UseDPDF=Y")</f>
        <v>#NAME?</v>
      </c>
      <c r="BW43" s="2" t="e">
        <f ca="1">_xll.BDH($C$28,"BPS_SEQUENTIAL_GROWTH","FY 2017","FY 2017","Currency=INR","Period=FY","BEST_FPERIOD_OVERRIDE=FY","FILING_STATUS=OR","EQY_CONSOLIDATED=Y","Sort=A","Dates=H","DateFormat=P","Fill=—","Direction=H","UseDPDF=Y")</f>
        <v>#NAME?</v>
      </c>
      <c r="BX43" s="2" t="e">
        <f ca="1">_xll.BDH($C$28,"CFO_SEQUENTIAL_GROWTH","FY 2017","FY 2017","Currency=INR","Period=FY","BEST_FPERIOD_OVERRIDE=FY","FILING_STATUS=OR","EQY_CONSOLIDATED=Y","Sort=A","Dates=H","DateFormat=P","Fill=—","Direction=H","UseDPDF=Y")</f>
        <v>#NAME?</v>
      </c>
      <c r="BY43" s="3" t="e">
        <f ca="1">_xll.BDH($C$28,"SHORT_AND_LONG_TERM_DEBT","FY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3" s="3" t="e">
        <f ca="1">_xll.BDH($C$28,"BS_ST_BORROW","FY 2017","FY 2017","Currency=INR","Period=FY","BEST_FPERIOD_OVERRIDE=FY","FILING_STATUS=OR","EQY_CONSOLIDATED=Y","SCALING_FORMAT=MLN","Sort=A","Dates=H","DateFormat=P","Fill=—","Direction=H","UseDPDF=Y")</f>
        <v>#NAME?</v>
      </c>
      <c r="CA43" s="3" t="e">
        <f ca="1">_xll.BDH($C$28,"BS_LT_BORROW","FY 2017","FY 2017","Currency=INR","Period=FY","BEST_FPERIOD_OVERRIDE=FY","FILING_STATUS=OR","EQY_CONSOLIDATED=Y","SCALING_FORMAT=MLN","Sort=A","Dates=H","DateFormat=P","Fill=—","Direction=H","UseDPDF=Y")</f>
        <v>#NAME?</v>
      </c>
      <c r="CB43" s="2" t="e">
        <f ca="1">_xll.BDH($C$28,"TOT_DEBT_TO_EBITDA","FY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3" s="2" t="e">
        <f ca="1">_xll.BDH($C$28,"NET_DEBT_TO_EBITDA","FY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3" s="2" t="e">
        <f ca="1">_xll.BDH($C$28,"TOTAL_DEBT_TO_EBIT","FY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3" s="2" t="e">
        <f ca="1">_xll.BDH($C$28,"NET_DEBT_TO_EBIT","FY 2017","FY 2017","Currency=INR","Period=FY","BEST_FPERIOD_OVERRIDE=FY","FILING_STATUS=OR","EQY_CONSOLIDATED=Y","FA_ADJUSTED=GAAP","Sort=A","Dates=H","DateFormat=P","Fill=—","Direction=H","UseDPDF=Y")</f>
        <v>#NAME?</v>
      </c>
      <c r="CF43" s="2" t="e">
        <f ca="1">_xll.BDH($C$28,"EBITDA_TO_INTEREST_EXPN","FY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3" s="2" t="e">
        <f ca="1">_xll.BDH($C$28,"COM_EQY_TO_TOT_ASSET","FY 2017","FY 2017","Currency=INR","Period=FY","BEST_FPERIOD_OVERRIDE=FY","FILING_STATUS=OR","EQY_CONSOLIDATED=Y","Sort=A","Dates=H","DateFormat=P","Fill=—","Direction=H","UseDPDF=Y")</f>
        <v>#NAME?</v>
      </c>
      <c r="CH43" s="2" t="e">
        <f ca="1">_xll.BDH($C$28,"LT_DEBT_TO_TOT_EQY","FY 2017","FY 2017","Currency=INR","Period=FY","BEST_FPERIOD_OVERRIDE=FY","FILING_STATUS=OR","EQY_CONSOLIDATED=Y","Sort=A","Dates=H","DateFormat=P","Fill=—","Direction=H","UseDPDF=Y")</f>
        <v>#NAME?</v>
      </c>
      <c r="CI43" s="2" t="e">
        <f ca="1">_xll.BDH($C$28,"LT_DEBT_TO_TOT_CAP","FY 2017","FY 2017","Currency=INR","Period=FY","BEST_FPERIOD_OVERRIDE=FY","FILING_STATUS=OR","EQY_CONSOLIDATED=Y","Sort=A","Dates=H","DateFormat=P","Fill=—","Direction=H","UseDPDF=Y")</f>
        <v>#NAME?</v>
      </c>
      <c r="CJ43" s="2" t="e">
        <f ca="1">_xll.BDH($C$28,"LT_DEBT_TO_TOT_ASSET","FY 2017","FY 2017","Currency=INR","Period=FY","BEST_FPERIOD_OVERRIDE=FY","FILING_STATUS=OR","EQY_CONSOLIDATED=Y","Sort=A","Dates=H","DateFormat=P","Fill=—","Direction=H","UseDPDF=Y")</f>
        <v>#NAME?</v>
      </c>
      <c r="CK43" s="2" t="e">
        <f ca="1">_xll.BDH($C$28,"TOT_DEBT_TO_TOT_EQY","FY 2017","FY 2017","Currency=INR","Period=FY","BEST_FPERIOD_OVERRIDE=FY","FILING_STATUS=OR","EQY_CONSOLIDATED=Y","Sort=A","Dates=H","DateFormat=P","Fill=—","Direction=H","UseDPDF=Y")</f>
        <v>#NAME?</v>
      </c>
      <c r="CL43" s="2" t="e">
        <f ca="1">_xll.BDH($C$28,"TOT_DEBT_TO_TOT_CAP","FY 2017","FY 2017","Currency=INR","Period=FY","BEST_FPERIOD_OVERRIDE=FY","FILING_STATUS=OR","EQY_CONSOLIDATED=Y","Sort=A","Dates=H","DateFormat=P","Fill=—","Direction=H","UseDPDF=Y")</f>
        <v>#NAME?</v>
      </c>
      <c r="CM43" s="2" t="e">
        <f ca="1">_xll.BDH($C$28,"TOT_DEBT_TO_TOT_ASSET","FY 2017","FY 2017","Currency=INR","Period=FY","BEST_FPERIOD_OVERRIDE=FY","FILING_STATUS=OR","EQY_CONSOLIDATED=Y","Sort=A","Dates=H","DateFormat=P","Fill=—","Direction=H","UseDPDF=Y")</f>
        <v>#NAME?</v>
      </c>
      <c r="CN43" s="2" t="e">
        <f ca="1">_xll.BDH($C$28,"NET_DEBT_TO_SHRHLDR_EQTY","FY 2017","FY 2017","Currency=INR","Period=FY","BEST_FPERIOD_OVERRIDE=FY","FILING_STATUS=OR","EQY_CONSOLIDATED=Y","Sort=A","Dates=H","DateFormat=P","Fill=—","Direction=H","UseDPDF=Y")</f>
        <v>#NAME?</v>
      </c>
      <c r="CO43" s="2" t="e">
        <f ca="1">_xll.BDH($C$28,"NET_DEBT_%_CAPITAL","FY 2017","FY 2017","Currency=INR","Period=FY","BEST_FPERIOD_OVERRIDE=FY","FILING_STATUS=OR","EQY_CONSOLIDATED=Y","Sort=A","Dates=H","DateFormat=P","Fill=—","Direction=H","UseDPDF=Y")</f>
        <v>#NAME?</v>
      </c>
      <c r="CP43" s="3" t="e">
        <f ca="1">_xll.BDH($C$28,"EBITDA","FY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3" s="3" t="e">
        <f ca="1">_xll.BDH($C$28,"EBITDA_AFTER_CAPEX","FY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3" s="3" t="e">
        <f ca="1">_xll.BDH($C$28,"IS_OPER_INC","FY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3" s="2" t="e">
        <f ca="1">_xll.BDH($C$28,"CASH_RATIO","FY 2017","FY 2017","Currency=INR","Period=FY","BEST_FPERIOD_OVERRIDE=FY","FILING_STATUS=OR","EQY_CONSOLIDATED=Y","Sort=A","Dates=H","DateFormat=P","Fill=—","Direction=H","UseDPDF=Y")</f>
        <v>#NAME?</v>
      </c>
      <c r="CT43" s="2" t="e">
        <f ca="1">_xll.BDH($C$28,"CUR_RATIO","FY 2017","FY 2017","Currency=INR","Period=FY","BEST_FPERIOD_OVERRIDE=FY","FILING_STATUS=OR","EQY_CONSOLIDATED=Y","Sort=A","Dates=H","DateFormat=P","Fill=—","Direction=H","UseDPDF=Y")</f>
        <v>#NAME?</v>
      </c>
      <c r="CU43" s="2" t="e">
        <f ca="1">_xll.BDH($C$28,"QUICK_RATIO","FY 2017","FY 2017","Currency=INR","Period=FY","BEST_FPERIOD_OVERRIDE=FY","FILING_STATUS=OR","EQY_CONSOLIDATED=Y","Sort=A","Dates=H","DateFormat=P","Fill=—","Direction=H","UseDPDF=Y")</f>
        <v>#NAME?</v>
      </c>
      <c r="CV43" s="2" t="e">
        <f ca="1">_xll.BDH($C$28,"ALTMAN_Z_SCORE","FY 2017","FY 2017","Currency=INR","Period=FY","BEST_FPERIOD_OVERRIDE=FY","FILING_STATUS=OR","EQY_CONSOLIDATED=Y","Sort=A","Dates=H","DateFormat=P","Fill=—","Direction=H","UseDPDF=Y")</f>
        <v>#NAME?</v>
      </c>
      <c r="CW43" s="4" t="e">
        <f ca="1">_xll.BDH($C$28,"ACCT_RCV_TURN","FY 2017","FY 2017","Currency=INR","Period=FY","BEST_FPERIOD_OVERRIDE=FY","FILING_STATUS=OR","EQY_CONSOLIDATED=Y","FA_ADJUSTED=GAAP","Sort=A","Dates=H","DateFormat=P","Fill=—","Direction=H","UseDPDF=Y")</f>
        <v>#NAME?</v>
      </c>
      <c r="CX43" s="2" t="e">
        <f ca="1">_xll.BDH($C$28,"ACCT_RCV_DAYS","FY 2017","FY 2017","Currency=INR","Period=FY","BEST_FPERIOD_OVERRIDE=FY","FILING_STATUS=OR","EQY_CONSOLIDATED=Y","FA_ADJUSTED=GAAP","Sort=A","Dates=H","DateFormat=P","Fill=—","Direction=H","UseDPDF=Y")</f>
        <v>#NAME?</v>
      </c>
      <c r="CY43" s="4" t="e">
        <f ca="1">_xll.BDH($C$28,"INVENT_TURN","FY 2017","FY 2017","Currency=INR","Period=FY","BEST_FPERIOD_OVERRIDE=FY","FILING_STATUS=OR","EQY_CONSOLIDATED=Y","FA_ADJUSTED=GAAP","Sort=A","Dates=H","DateFormat=P","Fill=—","Direction=H","UseDPDF=Y")</f>
        <v>#NAME?</v>
      </c>
      <c r="CZ43" s="2" t="e">
        <f ca="1">_xll.BDH($C$28,"INVENT_DAYS","FY 2017","FY 2017","Currency=INR","Period=FY","BEST_FPERIOD_OVERRIDE=FY","FILING_STATUS=OR","EQY_CONSOLIDATED=Y","FA_ADJUSTED=GAAP","Sort=A","Dates=H","DateFormat=P","Fill=—","Direction=H","UseDPDF=Y")</f>
        <v>#NAME?</v>
      </c>
      <c r="DA43" s="4" t="e">
        <f ca="1">_xll.BDH($C$28,"ACCOUNTS_PAYABLE_TURNOVER","FY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3" s="2" t="e">
        <f ca="1">_xll.BDH($C$28,"ACCOUNTS_PAYABLE_TURNOVER_DAYS","FY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3" s="4" t="e">
        <f ca="1">_xll.BDH($C$28,"CASH_CONVERSION_CYCLE","FY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3" s="4" t="e">
        <f ca="1">_xll.BDH($C$28,"INV_TO_CASH_DAYS","FY 2017","FY 2017","Currency=INR","Period=FY","BEST_FPERIOD_OVERRIDE=FY","FILING_STATUS=OR","EQY_CONSOLIDATED=Y","FA_ADJUSTED=GAAP","Sort=A","Dates=H","DateFormat=P","Fill=—","Direction=H","UseDPDF=Y")</f>
        <v>#NAME?</v>
      </c>
      <c r="DE43" s="5" t="e">
        <f ca="1">_xll.BDH($C$28,"BS_INVENTORIES","FY 2017","FY 2017","Currency=INR","Period=FY","BEST_FPERIOD_OVERRIDE=FY","FILING_STATUS=OR","EQY_CONSOLIDATED=Y","SCALING_FORMAT=MLN","Sort=A","Dates=H","DateFormat=P","Fill=—","Direction=H","UseDPDF=Y")</f>
        <v>#NAME?</v>
      </c>
      <c r="DF43" s="3" t="e">
        <f ca="1">_xll.BDH($C$28,"INVTRY_RAW_MATERIALS","FY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3" s="3" t="e">
        <f ca="1">_xll.BDH($C$28,"INVTRY_IN_PROGRESS","FY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3" s="3" t="e">
        <f ca="1">_xll.BDH($C$28,"INVTRY_FINISHED_GOODS","FY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3" s="3" t="e">
        <f ca="1">_xll.BDH($C$28,"BS_OTHER_INV","FY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" spans="1:113" x14ac:dyDescent="0.3">
      <c r="A44" s="6"/>
      <c r="B44" s="6"/>
      <c r="C44" s="6"/>
      <c r="D44" s="6"/>
      <c r="E44" t="s">
        <v>78</v>
      </c>
      <c r="F44" t="e">
        <f ca="1">_xll.BDH($C$28,"RETURN_COM_EQY","FQ1 2017","FQ1 2017","Currency=INR","Period=FQ","BEST_FPERIOD_OVERRIDE=FQ","FILING_STATUS=OR","EQY_CONSOLIDATED=Y","FA_ADJUSTED=GAAP","Sort=A","Dates=H","DateFormat=P","Fill=—","Direction=H","UseDPDF=Y")</f>
        <v>#NAME?</v>
      </c>
      <c r="G44" t="e">
        <f ca="1">_xll.BDH($C$28,"RETURN_ON_ASSET","FQ1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" t="e">
        <f ca="1">_xll.BDH($C$28,"RETURN_ON_CAP","FQ1 2017","FQ1 2017","Currency=INR","Period=FQ","BEST_FPERIOD_OVERRIDE=FQ","FILING_STATUS=OR","EQY_CONSOLIDATED=Y","FA_ADJUSTED=GAAP","Sort=A","Dates=H","DateFormat=P","Fill=—","Direction=H","UseDPDF=Y")</f>
        <v>#NAME?</v>
      </c>
      <c r="I44" t="e">
        <f ca="1">_xll.BDH($C$28,"RETURN_ON_INV_CAPITAL","FQ1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" t="e">
        <f ca="1">_xll.BDH($C$28,"EBITDA_TO_REVENUE","FQ1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" t="e">
        <f ca="1">_xll.BDH($C$28,"OPER_MARGIN","FQ1 2017","FQ1 2017","Currency=INR","Period=FQ","BEST_FPERIOD_OVERRIDE=FQ","FILING_STATUS=OR","EQY_CONSOLIDATED=Y","FA_ADJUSTED=GAAP","Sort=A","Dates=H","DateFormat=P","Fill=—","Direction=H","UseDPDF=Y")</f>
        <v>#NAME?</v>
      </c>
      <c r="L44" t="e">
        <f ca="1">_xll.BDH($C$28,"INCREMENTAL_OPERATING_MARGIN","FQ1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" t="e">
        <f ca="1">_xll.BDH($C$28,"PRETAX_INC_TO_NET_SALES","FQ1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" t="e">
        <f ca="1">_xll.BDH($C$28,"INC_BEF_XO_ITEMS_TO_NET_SALES","FQ1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" t="e">
        <f ca="1">_xll.BDH($C$28,"PROF_MARGIN","FQ1 2017","FQ1 2017","Currency=INR","Period=FQ","BEST_FPERIOD_OVERRIDE=FQ","FILING_STATUS=OR","EQY_CONSOLIDATED=Y","FA_ADJUSTED=GAAP","Sort=A","Dates=H","DateFormat=P","Fill=—","Direction=H","UseDPDF=Y")</f>
        <v>#NAME?</v>
      </c>
      <c r="P44" t="e">
        <f ca="1">_xll.BDH($C$28,"NET_INCOME_TO_COMMON_MARGIN","FQ1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" t="e">
        <f ca="1">_xll.BDH($C$28,"EFF_TAX_RATE","FQ1 2017","FQ1 2017","Currency=INR","Period=FQ","BEST_FPERIOD_OVERRIDE=FQ","FILING_STATUS=OR","EQY_CONSOLIDATED=Y","FA_ADJUSTED=GAAP","Sort=A","Dates=H","DateFormat=P","Fill=—","Direction=H","UseDPDF=Y")</f>
        <v>#NAME?</v>
      </c>
      <c r="R44" t="e">
        <f ca="1">_xll.BDH($C$28,"DVD_PAYOUT_RATIO","FQ1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" t="e">
        <f ca="1">_xll.BDH($C$28,"SUSTAIN_GROWTH_RT","FQ1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" s="2" t="e">
        <f ca="1">_xll.BDH($C$28,"SALES_GROWTH","FQ1 2017","FQ1 2017","Currency=INR","Period=FQ","BEST_FPERIOD_OVERRIDE=FQ","FILING_STATUS=OR","EQY_CONSOLIDATED=Y","FA_ADJUSTED=GAAP","Sort=A","Dates=H","DateFormat=P","Fill=—","Direction=H","UseDPDF=Y")</f>
        <v>#NAME?</v>
      </c>
      <c r="U44" s="2" t="e">
        <f ca="1">_xll.BDH($C$28,"EBITDA_GROWTH","FQ1 2017","FQ1 2017","Currency=INR","Period=FQ","BEST_FPERIOD_OVERRIDE=FQ","FILING_STATUS=OR","EQY_CONSOLIDATED=Y","FA_ADJUSTED=GAAP","Sort=A","Dates=H","DateFormat=P","Fill=—","Direction=H","UseDPDF=Y")</f>
        <v>#NAME?</v>
      </c>
      <c r="V44" s="2" t="e">
        <f ca="1">_xll.BDH($C$28,"OPER_INC_GROWTH","FQ1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" s="2" t="e">
        <f ca="1">_xll.BDH($C$28,"EARN_FOR_COM_GROWTH","FQ1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" s="2" t="e">
        <f ca="1">_xll.BDH($C$28,"DILUTED_EPS_AFT_XO_ITEMS_GROWTH","FQ1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" s="2" t="e">
        <f ca="1">_xll.BDH($C$28,"DIVIDEND_PER_SHARE_1_YEAR_GROWTH","FQ1 2017","FQ1 2017","Currency=INR","Period=FQ","BEST_FPERIOD_OVERRIDE=FQ","FILING_STATUS=OR","EQY_CONSOLIDATED=Y","Sort=A","Dates=H","DateFormat=P","Fill=—","Direction=H","UseDPDF=Y")</f>
        <v>#NAME?</v>
      </c>
      <c r="Z44" s="2" t="e">
        <f ca="1">_xll.BDH($C$28,"ACCOUNTS_RECEIVABLE_GROWTH","FQ1 2017","FQ1 2017","Currency=INR","Period=FQ","BEST_FPERIOD_OVERRIDE=FQ","FILING_STATUS=OR","EQY_CONSOLIDATED=Y","Sort=A","Dates=H","DateFormat=P","Fill=—","Direction=H","UseDPDF=Y")</f>
        <v>#NAME?</v>
      </c>
      <c r="AA44" s="2" t="e">
        <f ca="1">_xll.BDH($C$28,"INVENTORY_GROWTH","FQ1 2017","FQ1 2017","Currency=INR","Period=FQ","BEST_FPERIOD_OVERRIDE=FQ","FILING_STATUS=OR","EQY_CONSOLIDATED=Y","Sort=A","Dates=H","DateFormat=P","Fill=—","Direction=H","UseDPDF=Y")</f>
        <v>#NAME?</v>
      </c>
      <c r="AB44" s="2" t="e">
        <f ca="1">_xll.BDH($C$28,"NET_FIXED_ASSETS_1_YEAR_GROWTH","FQ1 2017","FQ1 2017","Currency=INR","Period=FQ","BEST_FPERIOD_OVERRIDE=FQ","FILING_STATUS=OR","EQY_CONSOLIDATED=Y","Sort=A","Dates=H","DateFormat=P","Fill=—","Direction=H","UseDPDF=Y")</f>
        <v>#NAME?</v>
      </c>
      <c r="AC44" s="2" t="e">
        <f ca="1">_xll.BDH($C$28,"ASSET_GROWTH","FQ1 2017","FQ1 2017","Currency=INR","Period=FQ","BEST_FPERIOD_OVERRIDE=FQ","FILING_STATUS=OR","EQY_CONSOLIDATED=Y","Sort=A","Dates=H","DateFormat=P","Fill=—","Direction=H","UseDPDF=Y")</f>
        <v>#NAME?</v>
      </c>
      <c r="AD44" s="2" t="e">
        <f ca="1">_xll.BDH($C$28,"MODIFIED_WORK_CAP_GROWTH","FQ1 2017","FQ1 2017","Currency=INR","Period=FQ","BEST_FPERIOD_OVERRIDE=FQ","FILING_STATUS=OR","EQY_CONSOLIDATED=Y","Sort=A","Dates=H","DateFormat=P","Fill=—","Direction=H","UseDPDF=Y")</f>
        <v>#NAME?</v>
      </c>
      <c r="AE44" s="2" t="e">
        <f ca="1">_xll.BDH($C$28,"WORK_CAP_GROWTH","FQ1 2017","FQ1 2017","Currency=INR","Period=FQ","BEST_FPERIOD_OVERRIDE=FQ","FILING_STATUS=OR","EQY_CONSOLIDATED=Y","Sort=A","Dates=H","DateFormat=P","Fill=—","Direction=H","UseDPDF=Y")</f>
        <v>#NAME?</v>
      </c>
      <c r="AF44" s="2" t="e">
        <f ca="1">_xll.BDH($C$28,"ACCOUNTS_PAYABLE_GROWTH_1YR","FQ1 2017","FQ1 2017","Currency=INR","Period=FQ","BEST_FPERIOD_OVERRIDE=FQ","FILING_STATUS=OR","EQY_CONSOLIDATED=Y","Sort=A","Dates=H","DateFormat=P","Fill=—","Direction=H","UseDPDF=Y")</f>
        <v>#NAME?</v>
      </c>
      <c r="AG44" s="2" t="e">
        <f ca="1">_xll.BDH($C$28,"SHORT_TERM_DEBT_1_YEAR_GROWTH","FQ1 2017","FQ1 2017","Currency=INR","Period=FQ","BEST_FPERIOD_OVERRIDE=FQ","FILING_STATUS=OR","EQY_CONSOLIDATED=Y","Sort=A","Dates=H","DateFormat=P","Fill=—","Direction=H","UseDPDF=Y")</f>
        <v>#NAME?</v>
      </c>
      <c r="AH44" s="2" t="e">
        <f ca="1">_xll.BDH($C$28,"TOTAL_DEBT_1_YEAR_GROWTH","FQ1 2017","FQ1 2017","Currency=INR","Period=FQ","BEST_FPERIOD_OVERRIDE=FQ","FILING_STATUS=OR","EQY_CONSOLIDATED=Y","Sort=A","Dates=H","DateFormat=P","Fill=—","Direction=H","UseDPDF=Y")</f>
        <v>#NAME?</v>
      </c>
      <c r="AI44" s="2" t="e">
        <f ca="1">_xll.BDH($C$28,"TOTAL_EQUITY_1_YEAR_GROWTH","FQ1 2017","FQ1 2017","Currency=INR","Period=FQ","BEST_FPERIOD_OVERRIDE=FQ","FILING_STATUS=OR","EQY_CONSOLIDATED=Y","Sort=A","Dates=H","DateFormat=P","Fill=—","Direction=H","UseDPDF=Y")</f>
        <v>#NAME?</v>
      </c>
      <c r="AJ44" s="2" t="e">
        <f ca="1">_xll.BDH($C$28,"GROWTH_IN_CAP","FQ1 2017","FQ1 2017","Currency=INR","Period=FQ","BEST_FPERIOD_OVERRIDE=FQ","FILING_STATUS=OR","EQY_CONSOLIDATED=Y","Sort=A","Dates=H","DateFormat=P","Fill=—","Direction=H","UseDPDF=Y")</f>
        <v>#NAME?</v>
      </c>
      <c r="AK44" s="2" t="e">
        <f ca="1">_xll.BDH($C$28,"BVPS_GROWTH","FQ1 2017","FQ1 2017","Currency=INR","Period=FQ","BEST_FPERIOD_OVERRIDE=FQ","FILING_STATUS=OR","EQY_CONSOLIDATED=Y","Sort=A","Dates=H","DateFormat=P","Fill=—","Direction=H","UseDPDF=Y")</f>
        <v>#NAME?</v>
      </c>
      <c r="AL44" s="2" t="e">
        <f ca="1">_xll.BDH($C$28,"CASH_FLOW_GROWTH","FQ1 2017","FQ1 2017","Currency=INR","Period=FQ","BEST_FPERIOD_OVERRIDE=FQ","FILING_STATUS=OR","EQY_CONSOLIDATED=Y","Sort=A","Dates=H","DateFormat=P","Fill=—","Direction=H","UseDPDF=Y")</f>
        <v>#NAME?</v>
      </c>
      <c r="AM44" s="2" t="e">
        <f ca="1">_xll.BDH($C$28,"GEO_GROW_NET_SALES","FQ1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" s="2" t="e">
        <f ca="1">_xll.BDH($C$28,"GEO_GROW_EBITDA","FQ1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" s="2" t="e">
        <f ca="1">_xll.BDH($C$28,"GEO_GROW_OPER_INC","FQ1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" s="2" t="e">
        <f ca="1">_xll.BDH($C$28,"NET_INCOME_TO_COMMON_5_YR_GROWTH","FQ1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" s="2" t="e">
        <f ca="1">_xll.BDH($C$28,"5Y_GEO_GROWTH_DILUTED_EPS","FQ1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" s="2" t="e">
        <f ca="1">_xll.BDH($C$28,"GEO_GROW_DVD_PER_SH","FQ1 2017","FQ1 2017","Currency=INR","Period=FQ","BEST_FPERIOD_OVERRIDE=FQ","FILING_STATUS=OR","EQY_CONSOLIDATED=Y","Sort=A","Dates=H","DateFormat=P","Fill=—","Direction=H","UseDPDF=Y")</f>
        <v>#NAME?</v>
      </c>
      <c r="AS44" s="2" t="e">
        <f ca="1">_xll.BDH($C$28,"ACCOUNTS_RECEIVABLE_5_YR_GROWTH","FQ1 2017","FQ1 2017","Currency=INR","Period=FQ","BEST_FPERIOD_OVERRIDE=FQ","FILING_STATUS=OR","EQY_CONSOLIDATED=Y","Sort=A","Dates=H","DateFormat=P","Fill=—","Direction=H","UseDPDF=Y")</f>
        <v>#NAME?</v>
      </c>
      <c r="AT44" s="2" t="e">
        <f ca="1">_xll.BDH($C$28,"INVENTORY_5_YEAR_GROWTH","FQ1 2017","FQ1 2017","Currency=INR","Period=FQ","BEST_FPERIOD_OVERRIDE=FQ","FILING_STATUS=OR","EQY_CONSOLIDATED=Y","Sort=A","Dates=H","DateFormat=P","Fill=—","Direction=H","UseDPDF=Y")</f>
        <v>#NAME?</v>
      </c>
      <c r="AU44" s="2" t="e">
        <f ca="1">_xll.BDH($C$28,"NET_FIXED_ASSETS_5_YEAR_GROWTH","FQ1 2017","FQ1 2017","Currency=INR","Period=FQ","BEST_FPERIOD_OVERRIDE=FQ","FILING_STATUS=OR","EQY_CONSOLIDATED=Y","Sort=A","Dates=H","DateFormat=P","Fill=—","Direction=H","UseDPDF=Y")</f>
        <v>#NAME?</v>
      </c>
      <c r="AV44" s="2" t="e">
        <f ca="1">_xll.BDH($C$28,"GEO_GROW_TOT_ASSET","FQ1 2017","FQ1 2017","Currency=INR","Period=FQ","BEST_FPERIOD_OVERRIDE=FQ","FILING_STATUS=OR","EQY_CONSOLIDATED=Y","Sort=A","Dates=H","DateFormat=P","Fill=—","Direction=H","UseDPDF=Y")</f>
        <v>#NAME?</v>
      </c>
      <c r="AW44" s="2" t="e">
        <f ca="1">_xll.BDH($C$28,"MODIFIED_WORKING_CPTL_5YR_GRWTH","FQ1 2017","FQ1 2017","Currency=INR","Period=FQ","BEST_FPERIOD_OVERRIDE=FQ","FILING_STATUS=OR","EQY_CONSOLIDATED=Y","Sort=A","Dates=H","DateFormat=P","Fill=—","Direction=H","UseDPDF=Y")</f>
        <v>#NAME?</v>
      </c>
      <c r="AX44" s="2" t="e">
        <f ca="1">_xll.BDH($C$28,"WORKING_CAPITAL_5_YEAR_GROWTH","FQ1 2017","FQ1 2017","Currency=INR","Period=FQ","BEST_FPERIOD_OVERRIDE=FQ","FILING_STATUS=OR","EQY_CONSOLIDATED=Y","Sort=A","Dates=H","DateFormat=P","Fill=—","Direction=H","UseDPDF=Y")</f>
        <v>#NAME?</v>
      </c>
      <c r="AY44" s="2" t="e">
        <f ca="1">_xll.BDH($C$28,"ACCOUNTS_PAYABLE_5_YEAR_GROWTH","FQ1 2017","FQ1 2017","Currency=INR","Period=FQ","BEST_FPERIOD_OVERRIDE=FQ","FILING_STATUS=OR","EQY_CONSOLIDATED=Y","Sort=A","Dates=H","DateFormat=P","Fill=—","Direction=H","UseDPDF=Y")</f>
        <v>#NAME?</v>
      </c>
      <c r="AZ44" s="2" t="e">
        <f ca="1">_xll.BDH($C$28,"SHORT_TERM_DEBT_5_YEAR_GROWTH","FQ1 2017","FQ1 2017","Currency=INR","Period=FQ","BEST_FPERIOD_OVERRIDE=FQ","FILING_STATUS=OR","EQY_CONSOLIDATED=Y","Sort=A","Dates=H","DateFormat=P","Fill=—","Direction=H","UseDPDF=Y")</f>
        <v>#NAME?</v>
      </c>
      <c r="BA44" s="2" t="e">
        <f ca="1">_xll.BDH($C$28,"TOTAL_DEBT_5_YEAR_GROWTH","FQ1 2017","FQ1 2017","Currency=INR","Period=FQ","BEST_FPERIOD_OVERRIDE=FQ","FILING_STATUS=OR","EQY_CONSOLIDATED=Y","Sort=A","Dates=H","DateFormat=P","Fill=—","Direction=H","UseDPDF=Y")</f>
        <v>#NAME?</v>
      </c>
      <c r="BB44" s="2" t="e">
        <f ca="1">_xll.BDH($C$28,"GEO_GROW_TOT_SHRHLDR_EQY","FQ1 2017","FQ1 2017","Currency=INR","Period=FQ","BEST_FPERIOD_OVERRIDE=FQ","FILING_STATUS=OR","EQY_CONSOLIDATED=Y","Sort=A","Dates=H","DateFormat=P","Fill=—","Direction=H","UseDPDF=Y")</f>
        <v>#NAME?</v>
      </c>
      <c r="BC44" s="2" t="e">
        <f ca="1">_xll.BDH($C$28,"TOTAL_CAPITAL_5_YEAR_GROWTH","FQ1 2017","FQ1 2017","Currency=INR","Period=FQ","BEST_FPERIOD_OVERRIDE=FQ","FILING_STATUS=OR","EQY_CONSOLIDATED=Y","Sort=A","Dates=H","DateFormat=P","Fill=—","Direction=H","UseDPDF=Y")</f>
        <v>#NAME?</v>
      </c>
      <c r="BD44" s="2" t="e">
        <f ca="1">_xll.BDH($C$28,"GEO_GROW_BOOK_VAL","FQ1 2017","FQ1 2017","Currency=INR","Period=FQ","BEST_FPERIOD_OVERRIDE=FQ","FILING_STATUS=OR","EQY_CONSOLIDATED=Y","Sort=A","Dates=H","DateFormat=P","Fill=—","Direction=H","UseDPDF=Y")</f>
        <v>#NAME?</v>
      </c>
      <c r="BE44" s="2" t="e">
        <f ca="1">_xll.BDH($C$28,"GEO_GROW_CASH_OPER_ACT","FQ1 2017","FQ1 2017","Currency=INR","Period=FQ","BEST_FPERIOD_OVERRIDE=FQ","FILING_STATUS=OR","EQY_CONSOLIDATED=Y","Sort=A","Dates=H","DateFormat=P","Fill=—","Direction=H","UseDPDF=Y")</f>
        <v>#NAME?</v>
      </c>
      <c r="BF44" s="2" t="e">
        <f ca="1">_xll.BDH($C$28,"REVENUE_SEQUENTIAL_GROWTH","FQ1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" s="2" t="e">
        <f ca="1">_xll.BDH($C$28,"EBITDA_SEQUENTIAL_GROWTH","FQ1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" s="2" t="e">
        <f ca="1">_xll.BDH($C$28,"OPERATING_INCOME_SEQ_GROWTH","FQ1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" s="2" t="e">
        <f ca="1">_xll.BDH($C$28,"NET_INCOME_TO_COMMON_SEQ_GROWTH","FQ1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" s="2" t="e">
        <f ca="1">_xll.BDH($C$28,"EPS_DILUTED_SEQUENTIAL_GROWTH","FQ1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" s="2" t="e">
        <f ca="1">_xll.BDH($C$28,"DPS_SEQUENTIAL_GROWTH","FQ1 2017","FQ1 2017","Currency=INR","Period=FQ","BEST_FPERIOD_OVERRIDE=FQ","FILING_STATUS=OR","EQY_CONSOLIDATED=Y","Sort=A","Dates=H","DateFormat=P","Fill=—","Direction=H","UseDPDF=Y")</f>
        <v>#NAME?</v>
      </c>
      <c r="BL44" s="2" t="e">
        <f ca="1">_xll.BDH($C$28,"ACCOUNTS_RECEIVABLE_SEQ_GROWTH","FQ1 2017","FQ1 2017","Currency=INR","Period=FQ","BEST_FPERIOD_OVERRIDE=FQ","FILING_STATUS=OR","EQY_CONSOLIDATED=Y","Sort=A","Dates=H","DateFormat=P","Fill=—","Direction=H","UseDPDF=Y")</f>
        <v>#NAME?</v>
      </c>
      <c r="BM44" s="2" t="e">
        <f ca="1">_xll.BDH($C$28,"INVENTORY_SEQUENTIAL_GROWTH","FQ1 2017","FQ1 2017","Currency=INR","Period=FQ","BEST_FPERIOD_OVERRIDE=FQ","FILING_STATUS=OR","EQY_CONSOLIDATED=Y","Sort=A","Dates=H","DateFormat=P","Fill=—","Direction=H","UseDPDF=Y")</f>
        <v>#NAME?</v>
      </c>
      <c r="BN44" s="2" t="e">
        <f ca="1">_xll.BDH($C$28,"FIXED_ASSETS_SEQUENTIAL_GROWTH","FQ1 2017","FQ1 2017","Currency=INR","Period=FQ","BEST_FPERIOD_OVERRIDE=FQ","FILING_STATUS=OR","EQY_CONSOLIDATED=Y","Sort=A","Dates=H","DateFormat=P","Fill=—","Direction=H","UseDPDF=Y")</f>
        <v>#NAME?</v>
      </c>
      <c r="BO44" s="2" t="e">
        <f ca="1">_xll.BDH($C$28,"TOTAL_ASSETS_SEQUENTIAL_GROWTH","FQ1 2017","FQ1 2017","Currency=INR","Period=FQ","BEST_FPERIOD_OVERRIDE=FQ","FILING_STATUS=OR","EQY_CONSOLIDATED=Y","Sort=A","Dates=H","DateFormat=P","Fill=—","Direction=H","UseDPDF=Y")</f>
        <v>#NAME?</v>
      </c>
      <c r="BP44" s="2" t="e">
        <f ca="1">_xll.BDH($C$28,"MODIFIED_WORKING_CPTL_SEQ_GRWTH","FQ1 2017","FQ1 2017","Currency=INR","Period=FQ","BEST_FPERIOD_OVERRIDE=FQ","FILING_STATUS=OR","EQY_CONSOLIDATED=Y","Sort=A","Dates=H","DateFormat=P","Fill=—","Direction=H","UseDPDF=Y")</f>
        <v>#NAME?</v>
      </c>
      <c r="BQ44" s="2" t="e">
        <f ca="1">_xll.BDH($C$28,"WORKING_CAPITAL_SEQ_GROWTH","FQ1 2017","FQ1 2017","Currency=INR","Period=FQ","BEST_FPERIOD_OVERRIDE=FQ","FILING_STATUS=OR","EQY_CONSOLIDATED=Y","Sort=A","Dates=H","DateFormat=P","Fill=—","Direction=H","UseDPDF=Y")</f>
        <v>#NAME?</v>
      </c>
      <c r="BR44" s="2" t="e">
        <f ca="1">_xll.BDH($C$28,"ACCOUNTS_PAYABLE_SEQ_GROWTH","FQ1 2017","FQ1 2017","Currency=INR","Period=FQ","BEST_FPERIOD_OVERRIDE=FQ","FILING_STATUS=OR","EQY_CONSOLIDATED=Y","Sort=A","Dates=H","DateFormat=P","Fill=—","Direction=H","UseDPDF=Y")</f>
        <v>#NAME?</v>
      </c>
      <c r="BS44" s="2" t="e">
        <f ca="1">_xll.BDH($C$28,"ST_DEBT_SEQUENTIAL_GROWTH","FQ1 2017","FQ1 2017","Currency=INR","Period=FQ","BEST_FPERIOD_OVERRIDE=FQ","FILING_STATUS=OR","EQY_CONSOLIDATED=Y","Sort=A","Dates=H","DateFormat=P","Fill=—","Direction=H","UseDPDF=Y")</f>
        <v>#NAME?</v>
      </c>
      <c r="BT44" s="2" t="e">
        <f ca="1">_xll.BDH($C$28,"TOTAL_DEBT_SEQUENTIAL_GROWTH","FQ1 2017","FQ1 2017","Currency=INR","Period=FQ","BEST_FPERIOD_OVERRIDE=FQ","FILING_STATUS=OR","EQY_CONSOLIDATED=Y","Sort=A","Dates=H","DateFormat=P","Fill=—","Direction=H","UseDPDF=Y")</f>
        <v>#NAME?</v>
      </c>
      <c r="BU44" s="2" t="e">
        <f ca="1">_xll.BDH($C$28,"TOTAL_EQUITY_SEQUENTIAL_GROWTH","FQ1 2017","FQ1 2017","Currency=INR","Period=FQ","BEST_FPERIOD_OVERRIDE=FQ","FILING_STATUS=OR","EQY_CONSOLIDATED=Y","Sort=A","Dates=H","DateFormat=P","Fill=—","Direction=H","UseDPDF=Y")</f>
        <v>#NAME?</v>
      </c>
      <c r="BV44" s="2" t="e">
        <f ca="1">_xll.BDH($C$28,"TOTAL_CAPITAL_SEQUENTIAL_GROWTH","FQ1 2017","FQ1 2017","Currency=INR","Period=FQ","BEST_FPERIOD_OVERRIDE=FQ","FILING_STATUS=OR","EQY_CONSOLIDATED=Y","Sort=A","Dates=H","DateFormat=P","Fill=—","Direction=H","UseDPDF=Y")</f>
        <v>#NAME?</v>
      </c>
      <c r="BW44" s="2" t="e">
        <f ca="1">_xll.BDH($C$28,"BPS_SEQUENTIAL_GROWTH","FQ1 2017","FQ1 2017","Currency=INR","Period=FQ","BEST_FPERIOD_OVERRIDE=FQ","FILING_STATUS=OR","EQY_CONSOLIDATED=Y","Sort=A","Dates=H","DateFormat=P","Fill=—","Direction=H","UseDPDF=Y")</f>
        <v>#NAME?</v>
      </c>
      <c r="BX44" s="2" t="e">
        <f ca="1">_xll.BDH($C$28,"CFO_SEQUENTIAL_GROWTH","FQ1 2017","FQ1 2017","Currency=INR","Period=FQ","BEST_FPERIOD_OVERRIDE=FQ","FILING_STATUS=OR","EQY_CONSOLIDATED=Y","Sort=A","Dates=H","DateFormat=P","Fill=—","Direction=H","UseDPDF=Y")</f>
        <v>#NAME?</v>
      </c>
      <c r="BY44" s="3" t="e">
        <f ca="1">_xll.BDH($C$28,"SHORT_AND_LONG_TERM_DEBT","FQ1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" s="3" t="e">
        <f ca="1">_xll.BDH($C$28,"BS_ST_BORROW","FQ1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" s="3" t="e">
        <f ca="1">_xll.BDH($C$28,"BS_LT_BORROW","FQ1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" s="2" t="e">
        <f ca="1">_xll.BDH($C$28,"TOT_DEBT_TO_EBITDA","FQ1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" s="2" t="e">
        <f ca="1">_xll.BDH($C$28,"NET_DEBT_TO_EBITDA","FQ1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" s="2" t="e">
        <f ca="1">_xll.BDH($C$28,"TOTAL_DEBT_TO_EBIT","FQ1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" s="2" t="e">
        <f ca="1">_xll.BDH($C$28,"NET_DEBT_TO_EBIT","FQ1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" s="2" t="e">
        <f ca="1">_xll.BDH($C$28,"EBITDA_TO_INTEREST_EXPN","FQ1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" s="2" t="e">
        <f ca="1">_xll.BDH($C$28,"COM_EQY_TO_TOT_ASSET","FQ1 2017","FQ1 2017","Currency=INR","Period=FQ","BEST_FPERIOD_OVERRIDE=FQ","FILING_STATUS=OR","EQY_CONSOLIDATED=Y","Sort=A","Dates=H","DateFormat=P","Fill=—","Direction=H","UseDPDF=Y")</f>
        <v>#NAME?</v>
      </c>
      <c r="CH44" s="2" t="e">
        <f ca="1">_xll.BDH($C$28,"LT_DEBT_TO_TOT_EQY","FQ1 2017","FQ1 2017","Currency=INR","Period=FQ","BEST_FPERIOD_OVERRIDE=FQ","FILING_STATUS=OR","EQY_CONSOLIDATED=Y","Sort=A","Dates=H","DateFormat=P","Fill=—","Direction=H","UseDPDF=Y")</f>
        <v>#NAME?</v>
      </c>
      <c r="CI44" s="2" t="e">
        <f ca="1">_xll.BDH($C$28,"LT_DEBT_TO_TOT_CAP","FQ1 2017","FQ1 2017","Currency=INR","Period=FQ","BEST_FPERIOD_OVERRIDE=FQ","FILING_STATUS=OR","EQY_CONSOLIDATED=Y","Sort=A","Dates=H","DateFormat=P","Fill=—","Direction=H","UseDPDF=Y")</f>
        <v>#NAME?</v>
      </c>
      <c r="CJ44" s="2" t="e">
        <f ca="1">_xll.BDH($C$28,"LT_DEBT_TO_TOT_ASSET","FQ1 2017","FQ1 2017","Currency=INR","Period=FQ","BEST_FPERIOD_OVERRIDE=FQ","FILING_STATUS=OR","EQY_CONSOLIDATED=Y","Sort=A","Dates=H","DateFormat=P","Fill=—","Direction=H","UseDPDF=Y")</f>
        <v>#NAME?</v>
      </c>
      <c r="CK44" s="2" t="e">
        <f ca="1">_xll.BDH($C$28,"TOT_DEBT_TO_TOT_EQY","FQ1 2017","FQ1 2017","Currency=INR","Period=FQ","BEST_FPERIOD_OVERRIDE=FQ","FILING_STATUS=OR","EQY_CONSOLIDATED=Y","Sort=A","Dates=H","DateFormat=P","Fill=—","Direction=H","UseDPDF=Y")</f>
        <v>#NAME?</v>
      </c>
      <c r="CL44" s="2" t="e">
        <f ca="1">_xll.BDH($C$28,"TOT_DEBT_TO_TOT_CAP","FQ1 2017","FQ1 2017","Currency=INR","Period=FQ","BEST_FPERIOD_OVERRIDE=FQ","FILING_STATUS=OR","EQY_CONSOLIDATED=Y","Sort=A","Dates=H","DateFormat=P","Fill=—","Direction=H","UseDPDF=Y")</f>
        <v>#NAME?</v>
      </c>
      <c r="CM44" s="2" t="e">
        <f ca="1">_xll.BDH($C$28,"TOT_DEBT_TO_TOT_ASSET","FQ1 2017","FQ1 2017","Currency=INR","Period=FQ","BEST_FPERIOD_OVERRIDE=FQ","FILING_STATUS=OR","EQY_CONSOLIDATED=Y","Sort=A","Dates=H","DateFormat=P","Fill=—","Direction=H","UseDPDF=Y")</f>
        <v>#NAME?</v>
      </c>
      <c r="CN44" s="2" t="e">
        <f ca="1">_xll.BDH($C$28,"NET_DEBT_TO_SHRHLDR_EQTY","FQ1 2017","FQ1 2017","Currency=INR","Period=FQ","BEST_FPERIOD_OVERRIDE=FQ","FILING_STATUS=OR","EQY_CONSOLIDATED=Y","Sort=A","Dates=H","DateFormat=P","Fill=—","Direction=H","UseDPDF=Y")</f>
        <v>#NAME?</v>
      </c>
      <c r="CO44" s="2" t="e">
        <f ca="1">_xll.BDH($C$28,"NET_DEBT_%_CAPITAL","FQ1 2017","FQ1 2017","Currency=INR","Period=FQ","BEST_FPERIOD_OVERRIDE=FQ","FILING_STATUS=OR","EQY_CONSOLIDATED=Y","Sort=A","Dates=H","DateFormat=P","Fill=—","Direction=H","UseDPDF=Y")</f>
        <v>#NAME?</v>
      </c>
      <c r="CP44" s="3" t="e">
        <f ca="1">_xll.BDH($C$28,"EBITDA","FQ1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" s="3" t="e">
        <f ca="1">_xll.BDH($C$28,"EBITDA_AFTER_CAPEX","FQ1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" s="3" t="e">
        <f ca="1">_xll.BDH($C$28,"IS_OPER_INC","FQ1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" s="2" t="e">
        <f ca="1">_xll.BDH($C$28,"CASH_RATIO","FQ1 2017","FQ1 2017","Currency=INR","Period=FQ","BEST_FPERIOD_OVERRIDE=FQ","FILING_STATUS=OR","EQY_CONSOLIDATED=Y","Sort=A","Dates=H","DateFormat=P","Fill=—","Direction=H","UseDPDF=Y")</f>
        <v>#NAME?</v>
      </c>
      <c r="CT44" s="2" t="e">
        <f ca="1">_xll.BDH($C$28,"CUR_RATIO","FQ1 2017","FQ1 2017","Currency=INR","Period=FQ","BEST_FPERIOD_OVERRIDE=FQ","FILING_STATUS=OR","EQY_CONSOLIDATED=Y","Sort=A","Dates=H","DateFormat=P","Fill=—","Direction=H","UseDPDF=Y")</f>
        <v>#NAME?</v>
      </c>
      <c r="CU44" s="2" t="e">
        <f ca="1">_xll.BDH($C$28,"QUICK_RATIO","FQ1 2017","FQ1 2017","Currency=INR","Period=FQ","BEST_FPERIOD_OVERRIDE=FQ","FILING_STATUS=OR","EQY_CONSOLIDATED=Y","Sort=A","Dates=H","DateFormat=P","Fill=—","Direction=H","UseDPDF=Y")</f>
        <v>#NAME?</v>
      </c>
      <c r="CV44" s="2" t="e">
        <f ca="1">_xll.BDH($C$28,"ALTMAN_Z_SCORE","FQ1 2017","FQ1 2017","Currency=INR","Period=FQ","BEST_FPERIOD_OVERRIDE=FQ","FILING_STATUS=OR","EQY_CONSOLIDATED=Y","Sort=A","Dates=H","DateFormat=P","Fill=—","Direction=H","UseDPDF=Y")</f>
        <v>#NAME?</v>
      </c>
      <c r="CW44" s="4" t="e">
        <f ca="1">_xll.BDH($C$28,"ACCT_RCV_TURN","FQ1 2017","FQ1 2017","Currency=INR","Period=FQ","BEST_FPERIOD_OVERRIDE=FQ","FILING_STATUS=OR","EQY_CONSOLIDATED=Y","FA_ADJUSTED=GAAP","Sort=A","Dates=H","DateFormat=P","Fill=—","Direction=H","UseDPDF=Y")</f>
        <v>#NAME?</v>
      </c>
      <c r="CX44" s="2" t="e">
        <f ca="1">_xll.BDH($C$28,"ACCT_RCV_DAYS","FQ1 2017","FQ1 2017","Currency=INR","Period=FQ","BEST_FPERIOD_OVERRIDE=FQ","FILING_STATUS=OR","EQY_CONSOLIDATED=Y","FA_ADJUSTED=GAAP","Sort=A","Dates=H","DateFormat=P","Fill=—","Direction=H","UseDPDF=Y")</f>
        <v>#NAME?</v>
      </c>
      <c r="CY44" s="4" t="e">
        <f ca="1">_xll.BDH($C$28,"INVENT_TURN","FQ1 2017","FQ1 2017","Currency=INR","Period=FQ","BEST_FPERIOD_OVERRIDE=FQ","FILING_STATUS=OR","EQY_CONSOLIDATED=Y","FA_ADJUSTED=GAAP","Sort=A","Dates=H","DateFormat=P","Fill=—","Direction=H","UseDPDF=Y")</f>
        <v>#NAME?</v>
      </c>
      <c r="CZ44" s="2" t="e">
        <f ca="1">_xll.BDH($C$28,"INVENT_DAYS","FQ1 2017","FQ1 2017","Currency=INR","Period=FQ","BEST_FPERIOD_OVERRIDE=FQ","FILING_STATUS=OR","EQY_CONSOLIDATED=Y","FA_ADJUSTED=GAAP","Sort=A","Dates=H","DateFormat=P","Fill=—","Direction=H","UseDPDF=Y")</f>
        <v>#NAME?</v>
      </c>
      <c r="DA44" s="4" t="e">
        <f ca="1">_xll.BDH($C$28,"ACCOUNTS_PAYABLE_TURNOVER","FQ1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" s="2" t="e">
        <f ca="1">_xll.BDH($C$28,"ACCOUNTS_PAYABLE_TURNOVER_DAYS","FQ1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" s="4" t="e">
        <f ca="1">_xll.BDH($C$28,"CASH_CONVERSION_CYCLE","FQ1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" s="4" t="e">
        <f ca="1">_xll.BDH($C$28,"INV_TO_CASH_DAYS","FQ1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" s="5" t="e">
        <f ca="1">_xll.BDH($C$28,"BS_INVENTORIES","FQ1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" s="3" t="e">
        <f ca="1">_xll.BDH($C$28,"INVTRY_RAW_MATERIALS","FQ1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" s="3" t="e">
        <f ca="1">_xll.BDH($C$28,"INVTRY_IN_PROGRESS","FQ1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" s="3" t="e">
        <f ca="1">_xll.BDH($C$28,"INVTRY_FINISHED_GOODS","FQ1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" s="3" t="e">
        <f ca="1">_xll.BDH($C$28,"BS_OTHER_INV","FQ1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5" spans="1:113" x14ac:dyDescent="0.3">
      <c r="A45" s="6"/>
      <c r="B45" s="6"/>
      <c r="C45" s="6"/>
      <c r="D45" s="6"/>
      <c r="E45" t="s">
        <v>79</v>
      </c>
      <c r="F45" t="e">
        <f ca="1">_xll.BDH($C$28,"RETURN_COM_EQY","FQ2 2017","FQ2 2017","Currency=INR","Period=FQ","BEST_FPERIOD_OVERRIDE=FQ","FILING_STATUS=OR","EQY_CONSOLIDATED=Y","FA_ADJUSTED=GAAP","Sort=A","Dates=H","DateFormat=P","Fill=—","Direction=H","UseDPDF=Y")</f>
        <v>#NAME?</v>
      </c>
      <c r="G45" t="e">
        <f ca="1">_xll.BDH($C$28,"RETURN_ON_ASSET","FQ2 2017","FQ2 2017","Currency=INR","Period=FQ","BEST_FPERIOD_OVERRIDE=FQ","FILING_STATUS=OR","EQY_CONSOLIDATED=Y","FA_ADJUSTED=GAAP","Sort=A","Dates=H","DateFormat=P","Fill=—","Direction=H","UseDPDF=Y")</f>
        <v>#NAME?</v>
      </c>
      <c r="H45" t="e">
        <f ca="1">_xll.BDH($C$28,"RETURN_ON_CAP","FQ2 2017","FQ2 2017","Currency=INR","Period=FQ","BEST_FPERIOD_OVERRIDE=FQ","FILING_STATUS=OR","EQY_CONSOLIDATED=Y","FA_ADJUSTED=GAAP","Sort=A","Dates=H","DateFormat=P","Fill=—","Direction=H","UseDPDF=Y")</f>
        <v>#NAME?</v>
      </c>
      <c r="I45" t="e">
        <f ca="1">_xll.BDH($C$28,"RETURN_ON_INV_CAPITAL","FQ2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5" t="e">
        <f ca="1">_xll.BDH($C$28,"EBITDA_TO_REVENUE","FQ2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5" t="e">
        <f ca="1">_xll.BDH($C$28,"OPER_MARGIN","FQ2 2017","FQ2 2017","Currency=INR","Period=FQ","BEST_FPERIOD_OVERRIDE=FQ","FILING_STATUS=OR","EQY_CONSOLIDATED=Y","FA_ADJUSTED=GAAP","Sort=A","Dates=H","DateFormat=P","Fill=—","Direction=H","UseDPDF=Y")</f>
        <v>#NAME?</v>
      </c>
      <c r="L45" t="e">
        <f ca="1">_xll.BDH($C$28,"INCREMENTAL_OPERATING_MARGIN","FQ2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5" t="e">
        <f ca="1">_xll.BDH($C$28,"PRETAX_INC_TO_NET_SALES","FQ2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5" t="e">
        <f ca="1">_xll.BDH($C$28,"INC_BEF_XO_ITEMS_TO_NET_SALES","FQ2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5" t="e">
        <f ca="1">_xll.BDH($C$28,"PROF_MARGIN","FQ2 2017","FQ2 2017","Currency=INR","Period=FQ","BEST_FPERIOD_OVERRIDE=FQ","FILING_STATUS=OR","EQY_CONSOLIDATED=Y","FA_ADJUSTED=GAAP","Sort=A","Dates=H","DateFormat=P","Fill=—","Direction=H","UseDPDF=Y")</f>
        <v>#NAME?</v>
      </c>
      <c r="P45" t="e">
        <f ca="1">_xll.BDH($C$28,"NET_INCOME_TO_COMMON_MARGIN","FQ2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5" t="e">
        <f ca="1">_xll.BDH($C$28,"EFF_TAX_RATE","FQ2 2017","FQ2 2017","Currency=INR","Period=FQ","BEST_FPERIOD_OVERRIDE=FQ","FILING_STATUS=OR","EQY_CONSOLIDATED=Y","FA_ADJUSTED=GAAP","Sort=A","Dates=H","DateFormat=P","Fill=—","Direction=H","UseDPDF=Y")</f>
        <v>#NAME?</v>
      </c>
      <c r="R45" t="e">
        <f ca="1">_xll.BDH($C$28,"DVD_PAYOUT_RATIO","FQ2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5" t="e">
        <f ca="1">_xll.BDH($C$28,"SUSTAIN_GROWTH_RT","FQ2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5" s="2" t="e">
        <f ca="1">_xll.BDH($C$28,"SALES_GROWTH","FQ2 2017","FQ2 2017","Currency=INR","Period=FQ","BEST_FPERIOD_OVERRIDE=FQ","FILING_STATUS=OR","EQY_CONSOLIDATED=Y","FA_ADJUSTED=GAAP","Sort=A","Dates=H","DateFormat=P","Fill=—","Direction=H","UseDPDF=Y")</f>
        <v>#NAME?</v>
      </c>
      <c r="U45" s="2" t="e">
        <f ca="1">_xll.BDH($C$28,"EBITDA_GROWTH","FQ2 2017","FQ2 2017","Currency=INR","Period=FQ","BEST_FPERIOD_OVERRIDE=FQ","FILING_STATUS=OR","EQY_CONSOLIDATED=Y","FA_ADJUSTED=GAAP","Sort=A","Dates=H","DateFormat=P","Fill=—","Direction=H","UseDPDF=Y")</f>
        <v>#NAME?</v>
      </c>
      <c r="V45" s="2" t="e">
        <f ca="1">_xll.BDH($C$28,"OPER_INC_GROWTH","FQ2 2017","FQ2 2017","Currency=INR","Period=FQ","BEST_FPERIOD_OVERRIDE=FQ","FILING_STATUS=OR","EQY_CONSOLIDATED=Y","FA_ADJUSTED=GAAP","Sort=A","Dates=H","DateFormat=P","Fill=—","Direction=H","UseDPDF=Y")</f>
        <v>#NAME?</v>
      </c>
      <c r="W45" s="2" t="e">
        <f ca="1">_xll.BDH($C$28,"EARN_FOR_COM_GROWTH","FQ2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5" s="2" t="e">
        <f ca="1">_xll.BDH($C$28,"DILUTED_EPS_AFT_XO_ITEMS_GROWTH","FQ2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5" s="2" t="e">
        <f ca="1">_xll.BDH($C$28,"DIVIDEND_PER_SHARE_1_YEAR_GROWTH","FQ2 2017","FQ2 2017","Currency=INR","Period=FQ","BEST_FPERIOD_OVERRIDE=FQ","FILING_STATUS=OR","EQY_CONSOLIDATED=Y","Sort=A","Dates=H","DateFormat=P","Fill=—","Direction=H","UseDPDF=Y")</f>
        <v>#NAME?</v>
      </c>
      <c r="Z45" s="2" t="e">
        <f ca="1">_xll.BDH($C$28,"ACCOUNTS_RECEIVABLE_GROWTH","FQ2 2017","FQ2 2017","Currency=INR","Period=FQ","BEST_FPERIOD_OVERRIDE=FQ","FILING_STATUS=OR","EQY_CONSOLIDATED=Y","Sort=A","Dates=H","DateFormat=P","Fill=—","Direction=H","UseDPDF=Y")</f>
        <v>#NAME?</v>
      </c>
      <c r="AA45" s="2" t="e">
        <f ca="1">_xll.BDH($C$28,"INVENTORY_GROWTH","FQ2 2017","FQ2 2017","Currency=INR","Period=FQ","BEST_FPERIOD_OVERRIDE=FQ","FILING_STATUS=OR","EQY_CONSOLIDATED=Y","Sort=A","Dates=H","DateFormat=P","Fill=—","Direction=H","UseDPDF=Y")</f>
        <v>#NAME?</v>
      </c>
      <c r="AB45" s="2" t="e">
        <f ca="1">_xll.BDH($C$28,"NET_FIXED_ASSETS_1_YEAR_GROWTH","FQ2 2017","FQ2 2017","Currency=INR","Period=FQ","BEST_FPERIOD_OVERRIDE=FQ","FILING_STATUS=OR","EQY_CONSOLIDATED=Y","Sort=A","Dates=H","DateFormat=P","Fill=—","Direction=H","UseDPDF=Y")</f>
        <v>#NAME?</v>
      </c>
      <c r="AC45" s="2" t="e">
        <f ca="1">_xll.BDH($C$28,"ASSET_GROWTH","FQ2 2017","FQ2 2017","Currency=INR","Period=FQ","BEST_FPERIOD_OVERRIDE=FQ","FILING_STATUS=OR","EQY_CONSOLIDATED=Y","Sort=A","Dates=H","DateFormat=P","Fill=—","Direction=H","UseDPDF=Y")</f>
        <v>#NAME?</v>
      </c>
      <c r="AD45" s="2" t="e">
        <f ca="1">_xll.BDH($C$28,"MODIFIED_WORK_CAP_GROWTH","FQ2 2017","FQ2 2017","Currency=INR","Period=FQ","BEST_FPERIOD_OVERRIDE=FQ","FILING_STATUS=OR","EQY_CONSOLIDATED=Y","Sort=A","Dates=H","DateFormat=P","Fill=—","Direction=H","UseDPDF=Y")</f>
        <v>#NAME?</v>
      </c>
      <c r="AE45" s="2" t="e">
        <f ca="1">_xll.BDH($C$28,"WORK_CAP_GROWTH","FQ2 2017","FQ2 2017","Currency=INR","Period=FQ","BEST_FPERIOD_OVERRIDE=FQ","FILING_STATUS=OR","EQY_CONSOLIDATED=Y","Sort=A","Dates=H","DateFormat=P","Fill=—","Direction=H","UseDPDF=Y")</f>
        <v>#NAME?</v>
      </c>
      <c r="AF45" s="2" t="e">
        <f ca="1">_xll.BDH($C$28,"ACCOUNTS_PAYABLE_GROWTH_1YR","FQ2 2017","FQ2 2017","Currency=INR","Period=FQ","BEST_FPERIOD_OVERRIDE=FQ","FILING_STATUS=OR","EQY_CONSOLIDATED=Y","Sort=A","Dates=H","DateFormat=P","Fill=—","Direction=H","UseDPDF=Y")</f>
        <v>#NAME?</v>
      </c>
      <c r="AG45" s="2" t="e">
        <f ca="1">_xll.BDH($C$28,"SHORT_TERM_DEBT_1_YEAR_GROWTH","FQ2 2017","FQ2 2017","Currency=INR","Period=FQ","BEST_FPERIOD_OVERRIDE=FQ","FILING_STATUS=OR","EQY_CONSOLIDATED=Y","Sort=A","Dates=H","DateFormat=P","Fill=—","Direction=H","UseDPDF=Y")</f>
        <v>#NAME?</v>
      </c>
      <c r="AH45" s="2" t="e">
        <f ca="1">_xll.BDH($C$28,"TOTAL_DEBT_1_YEAR_GROWTH","FQ2 2017","FQ2 2017","Currency=INR","Period=FQ","BEST_FPERIOD_OVERRIDE=FQ","FILING_STATUS=OR","EQY_CONSOLIDATED=Y","Sort=A","Dates=H","DateFormat=P","Fill=—","Direction=H","UseDPDF=Y")</f>
        <v>#NAME?</v>
      </c>
      <c r="AI45" s="2" t="e">
        <f ca="1">_xll.BDH($C$28,"TOTAL_EQUITY_1_YEAR_GROWTH","FQ2 2017","FQ2 2017","Currency=INR","Period=FQ","BEST_FPERIOD_OVERRIDE=FQ","FILING_STATUS=OR","EQY_CONSOLIDATED=Y","Sort=A","Dates=H","DateFormat=P","Fill=—","Direction=H","UseDPDF=Y")</f>
        <v>#NAME?</v>
      </c>
      <c r="AJ45" s="2" t="e">
        <f ca="1">_xll.BDH($C$28,"GROWTH_IN_CAP","FQ2 2017","FQ2 2017","Currency=INR","Period=FQ","BEST_FPERIOD_OVERRIDE=FQ","FILING_STATUS=OR","EQY_CONSOLIDATED=Y","Sort=A","Dates=H","DateFormat=P","Fill=—","Direction=H","UseDPDF=Y")</f>
        <v>#NAME?</v>
      </c>
      <c r="AK45" s="2" t="e">
        <f ca="1">_xll.BDH($C$28,"BVPS_GROWTH","FQ2 2017","FQ2 2017","Currency=INR","Period=FQ","BEST_FPERIOD_OVERRIDE=FQ","FILING_STATUS=OR","EQY_CONSOLIDATED=Y","Sort=A","Dates=H","DateFormat=P","Fill=—","Direction=H","UseDPDF=Y")</f>
        <v>#NAME?</v>
      </c>
      <c r="AL45" s="2" t="e">
        <f ca="1">_xll.BDH($C$28,"CASH_FLOW_GROWTH","FQ2 2017","FQ2 2017","Currency=INR","Period=FQ","BEST_FPERIOD_OVERRIDE=FQ","FILING_STATUS=OR","EQY_CONSOLIDATED=Y","Sort=A","Dates=H","DateFormat=P","Fill=—","Direction=H","UseDPDF=Y")</f>
        <v>#NAME?</v>
      </c>
      <c r="AM45" s="2" t="e">
        <f ca="1">_xll.BDH($C$28,"GEO_GROW_NET_SALES","FQ2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5" s="2" t="e">
        <f ca="1">_xll.BDH($C$28,"GEO_GROW_EBITDA","FQ2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5" s="2" t="e">
        <f ca="1">_xll.BDH($C$28,"GEO_GROW_OPER_INC","FQ2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5" s="2" t="e">
        <f ca="1">_xll.BDH($C$28,"NET_INCOME_TO_COMMON_5_YR_GROWTH","FQ2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5" s="2" t="e">
        <f ca="1">_xll.BDH($C$28,"5Y_GEO_GROWTH_DILUTED_EPS","FQ2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5" s="2" t="e">
        <f ca="1">_xll.BDH($C$28,"GEO_GROW_DVD_PER_SH","FQ2 2017","FQ2 2017","Currency=INR","Period=FQ","BEST_FPERIOD_OVERRIDE=FQ","FILING_STATUS=OR","EQY_CONSOLIDATED=Y","Sort=A","Dates=H","DateFormat=P","Fill=—","Direction=H","UseDPDF=Y")</f>
        <v>#NAME?</v>
      </c>
      <c r="AS45" s="2" t="e">
        <f ca="1">_xll.BDH($C$28,"ACCOUNTS_RECEIVABLE_5_YR_GROWTH","FQ2 2017","FQ2 2017","Currency=INR","Period=FQ","BEST_FPERIOD_OVERRIDE=FQ","FILING_STATUS=OR","EQY_CONSOLIDATED=Y","Sort=A","Dates=H","DateFormat=P","Fill=—","Direction=H","UseDPDF=Y")</f>
        <v>#NAME?</v>
      </c>
      <c r="AT45" s="2" t="e">
        <f ca="1">_xll.BDH($C$28,"INVENTORY_5_YEAR_GROWTH","FQ2 2017","FQ2 2017","Currency=INR","Period=FQ","BEST_FPERIOD_OVERRIDE=FQ","FILING_STATUS=OR","EQY_CONSOLIDATED=Y","Sort=A","Dates=H","DateFormat=P","Fill=—","Direction=H","UseDPDF=Y")</f>
        <v>#NAME?</v>
      </c>
      <c r="AU45" s="2" t="e">
        <f ca="1">_xll.BDH($C$28,"NET_FIXED_ASSETS_5_YEAR_GROWTH","FQ2 2017","FQ2 2017","Currency=INR","Period=FQ","BEST_FPERIOD_OVERRIDE=FQ","FILING_STATUS=OR","EQY_CONSOLIDATED=Y","Sort=A","Dates=H","DateFormat=P","Fill=—","Direction=H","UseDPDF=Y")</f>
        <v>#NAME?</v>
      </c>
      <c r="AV45" s="2" t="e">
        <f ca="1">_xll.BDH($C$28,"GEO_GROW_TOT_ASSET","FQ2 2017","FQ2 2017","Currency=INR","Period=FQ","BEST_FPERIOD_OVERRIDE=FQ","FILING_STATUS=OR","EQY_CONSOLIDATED=Y","Sort=A","Dates=H","DateFormat=P","Fill=—","Direction=H","UseDPDF=Y")</f>
        <v>#NAME?</v>
      </c>
      <c r="AW45" s="2" t="e">
        <f ca="1">_xll.BDH($C$28,"MODIFIED_WORKING_CPTL_5YR_GRWTH","FQ2 2017","FQ2 2017","Currency=INR","Period=FQ","BEST_FPERIOD_OVERRIDE=FQ","FILING_STATUS=OR","EQY_CONSOLIDATED=Y","Sort=A","Dates=H","DateFormat=P","Fill=—","Direction=H","UseDPDF=Y")</f>
        <v>#NAME?</v>
      </c>
      <c r="AX45" s="2" t="e">
        <f ca="1">_xll.BDH($C$28,"WORKING_CAPITAL_5_YEAR_GROWTH","FQ2 2017","FQ2 2017","Currency=INR","Period=FQ","BEST_FPERIOD_OVERRIDE=FQ","FILING_STATUS=OR","EQY_CONSOLIDATED=Y","Sort=A","Dates=H","DateFormat=P","Fill=—","Direction=H","UseDPDF=Y")</f>
        <v>#NAME?</v>
      </c>
      <c r="AY45" s="2" t="e">
        <f ca="1">_xll.BDH($C$28,"ACCOUNTS_PAYABLE_5_YEAR_GROWTH","FQ2 2017","FQ2 2017","Currency=INR","Period=FQ","BEST_FPERIOD_OVERRIDE=FQ","FILING_STATUS=OR","EQY_CONSOLIDATED=Y","Sort=A","Dates=H","DateFormat=P","Fill=—","Direction=H","UseDPDF=Y")</f>
        <v>#NAME?</v>
      </c>
      <c r="AZ45" s="2" t="e">
        <f ca="1">_xll.BDH($C$28,"SHORT_TERM_DEBT_5_YEAR_GROWTH","FQ2 2017","FQ2 2017","Currency=INR","Period=FQ","BEST_FPERIOD_OVERRIDE=FQ","FILING_STATUS=OR","EQY_CONSOLIDATED=Y","Sort=A","Dates=H","DateFormat=P","Fill=—","Direction=H","UseDPDF=Y")</f>
        <v>#NAME?</v>
      </c>
      <c r="BA45" s="2" t="e">
        <f ca="1">_xll.BDH($C$28,"TOTAL_DEBT_5_YEAR_GROWTH","FQ2 2017","FQ2 2017","Currency=INR","Period=FQ","BEST_FPERIOD_OVERRIDE=FQ","FILING_STATUS=OR","EQY_CONSOLIDATED=Y","Sort=A","Dates=H","DateFormat=P","Fill=—","Direction=H","UseDPDF=Y")</f>
        <v>#NAME?</v>
      </c>
      <c r="BB45" s="2" t="e">
        <f ca="1">_xll.BDH($C$28,"GEO_GROW_TOT_SHRHLDR_EQY","FQ2 2017","FQ2 2017","Currency=INR","Period=FQ","BEST_FPERIOD_OVERRIDE=FQ","FILING_STATUS=OR","EQY_CONSOLIDATED=Y","Sort=A","Dates=H","DateFormat=P","Fill=—","Direction=H","UseDPDF=Y")</f>
        <v>#NAME?</v>
      </c>
      <c r="BC45" s="2" t="e">
        <f ca="1">_xll.BDH($C$28,"TOTAL_CAPITAL_5_YEAR_GROWTH","FQ2 2017","FQ2 2017","Currency=INR","Period=FQ","BEST_FPERIOD_OVERRIDE=FQ","FILING_STATUS=OR","EQY_CONSOLIDATED=Y","Sort=A","Dates=H","DateFormat=P","Fill=—","Direction=H","UseDPDF=Y")</f>
        <v>#NAME?</v>
      </c>
      <c r="BD45" s="2" t="e">
        <f ca="1">_xll.BDH($C$28,"GEO_GROW_BOOK_VAL","FQ2 2017","FQ2 2017","Currency=INR","Period=FQ","BEST_FPERIOD_OVERRIDE=FQ","FILING_STATUS=OR","EQY_CONSOLIDATED=Y","Sort=A","Dates=H","DateFormat=P","Fill=—","Direction=H","UseDPDF=Y")</f>
        <v>#NAME?</v>
      </c>
      <c r="BE45" s="2" t="e">
        <f ca="1">_xll.BDH($C$28,"GEO_GROW_CASH_OPER_ACT","FQ2 2017","FQ2 2017","Currency=INR","Period=FQ","BEST_FPERIOD_OVERRIDE=FQ","FILING_STATUS=OR","EQY_CONSOLIDATED=Y","Sort=A","Dates=H","DateFormat=P","Fill=—","Direction=H","UseDPDF=Y")</f>
        <v>#NAME?</v>
      </c>
      <c r="BF45" s="2" t="e">
        <f ca="1">_xll.BDH($C$28,"REVENUE_SEQUENTIAL_GROWTH","FQ2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5" s="2" t="e">
        <f ca="1">_xll.BDH($C$28,"EBITDA_SEQUENTIAL_GROWTH","FQ2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5" s="2" t="e">
        <f ca="1">_xll.BDH($C$28,"OPERATING_INCOME_SEQ_GROWTH","FQ2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5" s="2" t="e">
        <f ca="1">_xll.BDH($C$28,"NET_INCOME_TO_COMMON_SEQ_GROWTH","FQ2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5" s="2" t="e">
        <f ca="1">_xll.BDH($C$28,"EPS_DILUTED_SEQUENTIAL_GROWTH","FQ2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5" s="2" t="e">
        <f ca="1">_xll.BDH($C$28,"DPS_SEQUENTIAL_GROWTH","FQ2 2017","FQ2 2017","Currency=INR","Period=FQ","BEST_FPERIOD_OVERRIDE=FQ","FILING_STATUS=OR","EQY_CONSOLIDATED=Y","Sort=A","Dates=H","DateFormat=P","Fill=—","Direction=H","UseDPDF=Y")</f>
        <v>#NAME?</v>
      </c>
      <c r="BL45" s="2" t="e">
        <f ca="1">_xll.BDH($C$28,"ACCOUNTS_RECEIVABLE_SEQ_GROWTH","FQ2 2017","FQ2 2017","Currency=INR","Period=FQ","BEST_FPERIOD_OVERRIDE=FQ","FILING_STATUS=OR","EQY_CONSOLIDATED=Y","Sort=A","Dates=H","DateFormat=P","Fill=—","Direction=H","UseDPDF=Y")</f>
        <v>#NAME?</v>
      </c>
      <c r="BM45" s="2" t="e">
        <f ca="1">_xll.BDH($C$28,"INVENTORY_SEQUENTIAL_GROWTH","FQ2 2017","FQ2 2017","Currency=INR","Period=FQ","BEST_FPERIOD_OVERRIDE=FQ","FILING_STATUS=OR","EQY_CONSOLIDATED=Y","Sort=A","Dates=H","DateFormat=P","Fill=—","Direction=H","UseDPDF=Y")</f>
        <v>#NAME?</v>
      </c>
      <c r="BN45" s="2" t="e">
        <f ca="1">_xll.BDH($C$28,"FIXED_ASSETS_SEQUENTIAL_GROWTH","FQ2 2017","FQ2 2017","Currency=INR","Period=FQ","BEST_FPERIOD_OVERRIDE=FQ","FILING_STATUS=OR","EQY_CONSOLIDATED=Y","Sort=A","Dates=H","DateFormat=P","Fill=—","Direction=H","UseDPDF=Y")</f>
        <v>#NAME?</v>
      </c>
      <c r="BO45" s="2" t="e">
        <f ca="1">_xll.BDH($C$28,"TOTAL_ASSETS_SEQUENTIAL_GROWTH","FQ2 2017","FQ2 2017","Currency=INR","Period=FQ","BEST_FPERIOD_OVERRIDE=FQ","FILING_STATUS=OR","EQY_CONSOLIDATED=Y","Sort=A","Dates=H","DateFormat=P","Fill=—","Direction=H","UseDPDF=Y")</f>
        <v>#NAME?</v>
      </c>
      <c r="BP45" s="2" t="e">
        <f ca="1">_xll.BDH($C$28,"MODIFIED_WORKING_CPTL_SEQ_GRWTH","FQ2 2017","FQ2 2017","Currency=INR","Period=FQ","BEST_FPERIOD_OVERRIDE=FQ","FILING_STATUS=OR","EQY_CONSOLIDATED=Y","Sort=A","Dates=H","DateFormat=P","Fill=—","Direction=H","UseDPDF=Y")</f>
        <v>#NAME?</v>
      </c>
      <c r="BQ45" s="2" t="e">
        <f ca="1">_xll.BDH($C$28,"WORKING_CAPITAL_SEQ_GROWTH","FQ2 2017","FQ2 2017","Currency=INR","Period=FQ","BEST_FPERIOD_OVERRIDE=FQ","FILING_STATUS=OR","EQY_CONSOLIDATED=Y","Sort=A","Dates=H","DateFormat=P","Fill=—","Direction=H","UseDPDF=Y")</f>
        <v>#NAME?</v>
      </c>
      <c r="BR45" s="2" t="e">
        <f ca="1">_xll.BDH($C$28,"ACCOUNTS_PAYABLE_SEQ_GROWTH","FQ2 2017","FQ2 2017","Currency=INR","Period=FQ","BEST_FPERIOD_OVERRIDE=FQ","FILING_STATUS=OR","EQY_CONSOLIDATED=Y","Sort=A","Dates=H","DateFormat=P","Fill=—","Direction=H","UseDPDF=Y")</f>
        <v>#NAME?</v>
      </c>
      <c r="BS45" s="2" t="e">
        <f ca="1">_xll.BDH($C$28,"ST_DEBT_SEQUENTIAL_GROWTH","FQ2 2017","FQ2 2017","Currency=INR","Period=FQ","BEST_FPERIOD_OVERRIDE=FQ","FILING_STATUS=OR","EQY_CONSOLIDATED=Y","Sort=A","Dates=H","DateFormat=P","Fill=—","Direction=H","UseDPDF=Y")</f>
        <v>#NAME?</v>
      </c>
      <c r="BT45" s="2" t="e">
        <f ca="1">_xll.BDH($C$28,"TOTAL_DEBT_SEQUENTIAL_GROWTH","FQ2 2017","FQ2 2017","Currency=INR","Period=FQ","BEST_FPERIOD_OVERRIDE=FQ","FILING_STATUS=OR","EQY_CONSOLIDATED=Y","Sort=A","Dates=H","DateFormat=P","Fill=—","Direction=H","UseDPDF=Y")</f>
        <v>#NAME?</v>
      </c>
      <c r="BU45" s="2" t="e">
        <f ca="1">_xll.BDH($C$28,"TOTAL_EQUITY_SEQUENTIAL_GROWTH","FQ2 2017","FQ2 2017","Currency=INR","Period=FQ","BEST_FPERIOD_OVERRIDE=FQ","FILING_STATUS=OR","EQY_CONSOLIDATED=Y","Sort=A","Dates=H","DateFormat=P","Fill=—","Direction=H","UseDPDF=Y")</f>
        <v>#NAME?</v>
      </c>
      <c r="BV45" s="2" t="e">
        <f ca="1">_xll.BDH($C$28,"TOTAL_CAPITAL_SEQUENTIAL_GROWTH","FQ2 2017","FQ2 2017","Currency=INR","Period=FQ","BEST_FPERIOD_OVERRIDE=FQ","FILING_STATUS=OR","EQY_CONSOLIDATED=Y","Sort=A","Dates=H","DateFormat=P","Fill=—","Direction=H","UseDPDF=Y")</f>
        <v>#NAME?</v>
      </c>
      <c r="BW45" s="2" t="e">
        <f ca="1">_xll.BDH($C$28,"BPS_SEQUENTIAL_GROWTH","FQ2 2017","FQ2 2017","Currency=INR","Period=FQ","BEST_FPERIOD_OVERRIDE=FQ","FILING_STATUS=OR","EQY_CONSOLIDATED=Y","Sort=A","Dates=H","DateFormat=P","Fill=—","Direction=H","UseDPDF=Y")</f>
        <v>#NAME?</v>
      </c>
      <c r="BX45" s="2" t="e">
        <f ca="1">_xll.BDH($C$28,"CFO_SEQUENTIAL_GROWTH","FQ2 2017","FQ2 2017","Currency=INR","Period=FQ","BEST_FPERIOD_OVERRIDE=FQ","FILING_STATUS=OR","EQY_CONSOLIDATED=Y","Sort=A","Dates=H","DateFormat=P","Fill=—","Direction=H","UseDPDF=Y")</f>
        <v>#NAME?</v>
      </c>
      <c r="BY45" s="3" t="e">
        <f ca="1">_xll.BDH($C$28,"SHORT_AND_LONG_TERM_DEBT","FQ2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5" s="3" t="e">
        <f ca="1">_xll.BDH($C$28,"BS_ST_BORROW","FQ2 2017","FQ2 2017","Currency=INR","Period=FQ","BEST_FPERIOD_OVERRIDE=FQ","FILING_STATUS=OR","EQY_CONSOLIDATED=Y","SCALING_FORMAT=MLN","Sort=A","Dates=H","DateFormat=P","Fill=—","Direction=H","UseDPDF=Y")</f>
        <v>#NAME?</v>
      </c>
      <c r="CA45" s="3" t="e">
        <f ca="1">_xll.BDH($C$28,"BS_LT_BORROW","FQ2 2017","FQ2 2017","Currency=INR","Period=FQ","BEST_FPERIOD_OVERRIDE=FQ","FILING_STATUS=OR","EQY_CONSOLIDATED=Y","SCALING_FORMAT=MLN","Sort=A","Dates=H","DateFormat=P","Fill=—","Direction=H","UseDPDF=Y")</f>
        <v>#NAME?</v>
      </c>
      <c r="CB45" s="2" t="e">
        <f ca="1">_xll.BDH($C$28,"TOT_DEBT_TO_EBITDA","FQ2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5" s="2" t="e">
        <f ca="1">_xll.BDH($C$28,"NET_DEBT_TO_EBITDA","FQ2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5" s="2" t="e">
        <f ca="1">_xll.BDH($C$28,"TOTAL_DEBT_TO_EBIT","FQ2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5" s="2" t="e">
        <f ca="1">_xll.BDH($C$28,"NET_DEBT_TO_EBIT","FQ2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5" s="2" t="e">
        <f ca="1">_xll.BDH($C$28,"EBITDA_TO_INTEREST_EXPN","FQ2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5" s="2" t="e">
        <f ca="1">_xll.BDH($C$28,"COM_EQY_TO_TOT_ASSET","FQ2 2017","FQ2 2017","Currency=INR","Period=FQ","BEST_FPERIOD_OVERRIDE=FQ","FILING_STATUS=OR","EQY_CONSOLIDATED=Y","Sort=A","Dates=H","DateFormat=P","Fill=—","Direction=H","UseDPDF=Y")</f>
        <v>#NAME?</v>
      </c>
      <c r="CH45" s="2" t="e">
        <f ca="1">_xll.BDH($C$28,"LT_DEBT_TO_TOT_EQY","FQ2 2017","FQ2 2017","Currency=INR","Period=FQ","BEST_FPERIOD_OVERRIDE=FQ","FILING_STATUS=OR","EQY_CONSOLIDATED=Y","Sort=A","Dates=H","DateFormat=P","Fill=—","Direction=H","UseDPDF=Y")</f>
        <v>#NAME?</v>
      </c>
      <c r="CI45" s="2" t="e">
        <f ca="1">_xll.BDH($C$28,"LT_DEBT_TO_TOT_CAP","FQ2 2017","FQ2 2017","Currency=INR","Period=FQ","BEST_FPERIOD_OVERRIDE=FQ","FILING_STATUS=OR","EQY_CONSOLIDATED=Y","Sort=A","Dates=H","DateFormat=P","Fill=—","Direction=H","UseDPDF=Y")</f>
        <v>#NAME?</v>
      </c>
      <c r="CJ45" s="2" t="e">
        <f ca="1">_xll.BDH($C$28,"LT_DEBT_TO_TOT_ASSET","FQ2 2017","FQ2 2017","Currency=INR","Period=FQ","BEST_FPERIOD_OVERRIDE=FQ","FILING_STATUS=OR","EQY_CONSOLIDATED=Y","Sort=A","Dates=H","DateFormat=P","Fill=—","Direction=H","UseDPDF=Y")</f>
        <v>#NAME?</v>
      </c>
      <c r="CK45" s="2" t="e">
        <f ca="1">_xll.BDH($C$28,"TOT_DEBT_TO_TOT_EQY","FQ2 2017","FQ2 2017","Currency=INR","Period=FQ","BEST_FPERIOD_OVERRIDE=FQ","FILING_STATUS=OR","EQY_CONSOLIDATED=Y","Sort=A","Dates=H","DateFormat=P","Fill=—","Direction=H","UseDPDF=Y")</f>
        <v>#NAME?</v>
      </c>
      <c r="CL45" s="2" t="e">
        <f ca="1">_xll.BDH($C$28,"TOT_DEBT_TO_TOT_CAP","FQ2 2017","FQ2 2017","Currency=INR","Period=FQ","BEST_FPERIOD_OVERRIDE=FQ","FILING_STATUS=OR","EQY_CONSOLIDATED=Y","Sort=A","Dates=H","DateFormat=P","Fill=—","Direction=H","UseDPDF=Y")</f>
        <v>#NAME?</v>
      </c>
      <c r="CM45" s="2" t="e">
        <f ca="1">_xll.BDH($C$28,"TOT_DEBT_TO_TOT_ASSET","FQ2 2017","FQ2 2017","Currency=INR","Period=FQ","BEST_FPERIOD_OVERRIDE=FQ","FILING_STATUS=OR","EQY_CONSOLIDATED=Y","Sort=A","Dates=H","DateFormat=P","Fill=—","Direction=H","UseDPDF=Y")</f>
        <v>#NAME?</v>
      </c>
      <c r="CN45" s="2" t="e">
        <f ca="1">_xll.BDH($C$28,"NET_DEBT_TO_SHRHLDR_EQTY","FQ2 2017","FQ2 2017","Currency=INR","Period=FQ","BEST_FPERIOD_OVERRIDE=FQ","FILING_STATUS=OR","EQY_CONSOLIDATED=Y","Sort=A","Dates=H","DateFormat=P","Fill=—","Direction=H","UseDPDF=Y")</f>
        <v>#NAME?</v>
      </c>
      <c r="CO45" s="2" t="e">
        <f ca="1">_xll.BDH($C$28,"NET_DEBT_%_CAPITAL","FQ2 2017","FQ2 2017","Currency=INR","Period=FQ","BEST_FPERIOD_OVERRIDE=FQ","FILING_STATUS=OR","EQY_CONSOLIDATED=Y","Sort=A","Dates=H","DateFormat=P","Fill=—","Direction=H","UseDPDF=Y")</f>
        <v>#NAME?</v>
      </c>
      <c r="CP45" s="3" t="e">
        <f ca="1">_xll.BDH($C$28,"EBITDA","FQ2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5" s="3" t="e">
        <f ca="1">_xll.BDH($C$28,"EBITDA_AFTER_CAPEX","FQ2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5" s="3" t="e">
        <f ca="1">_xll.BDH($C$28,"IS_OPER_INC","FQ2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5" s="2" t="e">
        <f ca="1">_xll.BDH($C$28,"CASH_RATIO","FQ2 2017","FQ2 2017","Currency=INR","Period=FQ","BEST_FPERIOD_OVERRIDE=FQ","FILING_STATUS=OR","EQY_CONSOLIDATED=Y","Sort=A","Dates=H","DateFormat=P","Fill=—","Direction=H","UseDPDF=Y")</f>
        <v>#NAME?</v>
      </c>
      <c r="CT45" s="2" t="e">
        <f ca="1">_xll.BDH($C$28,"CUR_RATIO","FQ2 2017","FQ2 2017","Currency=INR","Period=FQ","BEST_FPERIOD_OVERRIDE=FQ","FILING_STATUS=OR","EQY_CONSOLIDATED=Y","Sort=A","Dates=H","DateFormat=P","Fill=—","Direction=H","UseDPDF=Y")</f>
        <v>#NAME?</v>
      </c>
      <c r="CU45" s="2" t="e">
        <f ca="1">_xll.BDH($C$28,"QUICK_RATIO","FQ2 2017","FQ2 2017","Currency=INR","Period=FQ","BEST_FPERIOD_OVERRIDE=FQ","FILING_STATUS=OR","EQY_CONSOLIDATED=Y","Sort=A","Dates=H","DateFormat=P","Fill=—","Direction=H","UseDPDF=Y")</f>
        <v>#NAME?</v>
      </c>
      <c r="CV45" s="2" t="e">
        <f ca="1">_xll.BDH($C$28,"ALTMAN_Z_SCORE","FQ2 2017","FQ2 2017","Currency=INR","Period=FQ","BEST_FPERIOD_OVERRIDE=FQ","FILING_STATUS=OR","EQY_CONSOLIDATED=Y","Sort=A","Dates=H","DateFormat=P","Fill=—","Direction=H","UseDPDF=Y")</f>
        <v>#NAME?</v>
      </c>
      <c r="CW45" s="4" t="e">
        <f ca="1">_xll.BDH($C$28,"ACCT_RCV_TURN","FQ2 2017","FQ2 2017","Currency=INR","Period=FQ","BEST_FPERIOD_OVERRIDE=FQ","FILING_STATUS=OR","EQY_CONSOLIDATED=Y","FA_ADJUSTED=GAAP","Sort=A","Dates=H","DateFormat=P","Fill=—","Direction=H","UseDPDF=Y")</f>
        <v>#NAME?</v>
      </c>
      <c r="CX45" s="2" t="e">
        <f ca="1">_xll.BDH($C$28,"ACCT_RCV_DAYS","FQ2 2017","FQ2 2017","Currency=INR","Period=FQ","BEST_FPERIOD_OVERRIDE=FQ","FILING_STATUS=OR","EQY_CONSOLIDATED=Y","FA_ADJUSTED=GAAP","Sort=A","Dates=H","DateFormat=P","Fill=—","Direction=H","UseDPDF=Y")</f>
        <v>#NAME?</v>
      </c>
      <c r="CY45" s="4" t="e">
        <f ca="1">_xll.BDH($C$28,"INVENT_TURN","FQ2 2017","FQ2 2017","Currency=INR","Period=FQ","BEST_FPERIOD_OVERRIDE=FQ","FILING_STATUS=OR","EQY_CONSOLIDATED=Y","FA_ADJUSTED=GAAP","Sort=A","Dates=H","DateFormat=P","Fill=—","Direction=H","UseDPDF=Y")</f>
        <v>#NAME?</v>
      </c>
      <c r="CZ45" s="2" t="e">
        <f ca="1">_xll.BDH($C$28,"INVENT_DAYS","FQ2 2017","FQ2 2017","Currency=INR","Period=FQ","BEST_FPERIOD_OVERRIDE=FQ","FILING_STATUS=OR","EQY_CONSOLIDATED=Y","FA_ADJUSTED=GAAP","Sort=A","Dates=H","DateFormat=P","Fill=—","Direction=H","UseDPDF=Y")</f>
        <v>#NAME?</v>
      </c>
      <c r="DA45" s="4" t="e">
        <f ca="1">_xll.BDH($C$28,"ACCOUNTS_PAYABLE_TURNOVER","FQ2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5" s="2" t="e">
        <f ca="1">_xll.BDH($C$28,"ACCOUNTS_PAYABLE_TURNOVER_DAYS","FQ2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5" s="4" t="e">
        <f ca="1">_xll.BDH($C$28,"CASH_CONVERSION_CYCLE","FQ2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5" s="4" t="e">
        <f ca="1">_xll.BDH($C$28,"INV_TO_CASH_DAYS","FQ2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5" s="5" t="e">
        <f ca="1">_xll.BDH($C$28,"BS_INVENTORIES","FQ2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5" s="3" t="e">
        <f ca="1">_xll.BDH($C$28,"INVTRY_RAW_MATERIALS","FQ2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5" s="3" t="e">
        <f ca="1">_xll.BDH($C$28,"INVTRY_IN_PROGRESS","FQ2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5" s="3" t="e">
        <f ca="1">_xll.BDH($C$28,"INVTRY_FINISHED_GOODS","FQ2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5" s="3" t="e">
        <f ca="1">_xll.BDH($C$28,"BS_OTHER_INV","FQ2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6" spans="1:113" x14ac:dyDescent="0.3">
      <c r="A46" s="6"/>
      <c r="B46" s="6"/>
      <c r="C46" s="6"/>
      <c r="D46" s="6"/>
      <c r="E46" t="s">
        <v>80</v>
      </c>
      <c r="F46" t="e">
        <f ca="1">_xll.BDH($C$28,"RETURN_COM_EQY","FQ3 2017","FQ3 2017","Currency=INR","Period=FQ","BEST_FPERIOD_OVERRIDE=FQ","FILING_STATUS=OR","EQY_CONSOLIDATED=Y","FA_ADJUSTED=GAAP","Sort=A","Dates=H","DateFormat=P","Fill=—","Direction=H","UseDPDF=Y")</f>
        <v>#NAME?</v>
      </c>
      <c r="G46" t="e">
        <f ca="1">_xll.BDH($C$28,"RETURN_ON_ASSET","FQ3 2017","FQ3 2017","Currency=INR","Period=FQ","BEST_FPERIOD_OVERRIDE=FQ","FILING_STATUS=OR","EQY_CONSOLIDATED=Y","FA_ADJUSTED=GAAP","Sort=A","Dates=H","DateFormat=P","Fill=—","Direction=H","UseDPDF=Y")</f>
        <v>#NAME?</v>
      </c>
      <c r="H46" t="e">
        <f ca="1">_xll.BDH($C$28,"RETURN_ON_CAP","FQ3 2017","FQ3 2017","Currency=INR","Period=FQ","BEST_FPERIOD_OVERRIDE=FQ","FILING_STATUS=OR","EQY_CONSOLIDATED=Y","FA_ADJUSTED=GAAP","Sort=A","Dates=H","DateFormat=P","Fill=—","Direction=H","UseDPDF=Y")</f>
        <v>#NAME?</v>
      </c>
      <c r="I46" t="e">
        <f ca="1">_xll.BDH($C$28,"RETURN_ON_INV_CAPITAL","FQ3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6" t="e">
        <f ca="1">_xll.BDH($C$28,"EBITDA_TO_REVENUE","FQ3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6" t="e">
        <f ca="1">_xll.BDH($C$28,"OPER_MARGIN","FQ3 2017","FQ3 2017","Currency=INR","Period=FQ","BEST_FPERIOD_OVERRIDE=FQ","FILING_STATUS=OR","EQY_CONSOLIDATED=Y","FA_ADJUSTED=GAAP","Sort=A","Dates=H","DateFormat=P","Fill=—","Direction=H","UseDPDF=Y")</f>
        <v>#NAME?</v>
      </c>
      <c r="L46" t="e">
        <f ca="1">_xll.BDH($C$28,"INCREMENTAL_OPERATING_MARGIN","FQ3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6" t="e">
        <f ca="1">_xll.BDH($C$28,"PRETAX_INC_TO_NET_SALES","FQ3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6" t="e">
        <f ca="1">_xll.BDH($C$28,"INC_BEF_XO_ITEMS_TO_NET_SALES","FQ3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6" t="e">
        <f ca="1">_xll.BDH($C$28,"PROF_MARGIN","FQ3 2017","FQ3 2017","Currency=INR","Period=FQ","BEST_FPERIOD_OVERRIDE=FQ","FILING_STATUS=OR","EQY_CONSOLIDATED=Y","FA_ADJUSTED=GAAP","Sort=A","Dates=H","DateFormat=P","Fill=—","Direction=H","UseDPDF=Y")</f>
        <v>#NAME?</v>
      </c>
      <c r="P46" t="e">
        <f ca="1">_xll.BDH($C$28,"NET_INCOME_TO_COMMON_MARGIN","FQ3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6" t="e">
        <f ca="1">_xll.BDH($C$28,"EFF_TAX_RATE","FQ3 2017","FQ3 2017","Currency=INR","Period=FQ","BEST_FPERIOD_OVERRIDE=FQ","FILING_STATUS=OR","EQY_CONSOLIDATED=Y","FA_ADJUSTED=GAAP","Sort=A","Dates=H","DateFormat=P","Fill=—","Direction=H","UseDPDF=Y")</f>
        <v>#NAME?</v>
      </c>
      <c r="R46" t="e">
        <f ca="1">_xll.BDH($C$28,"DVD_PAYOUT_RATIO","FQ3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6" t="e">
        <f ca="1">_xll.BDH($C$28,"SUSTAIN_GROWTH_RT","FQ3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6" s="2" t="e">
        <f ca="1">_xll.BDH($C$28,"SALES_GROWTH","FQ3 2017","FQ3 2017","Currency=INR","Period=FQ","BEST_FPERIOD_OVERRIDE=FQ","FILING_STATUS=OR","EQY_CONSOLIDATED=Y","FA_ADJUSTED=GAAP","Sort=A","Dates=H","DateFormat=P","Fill=—","Direction=H","UseDPDF=Y")</f>
        <v>#NAME?</v>
      </c>
      <c r="U46" s="2" t="e">
        <f ca="1">_xll.BDH($C$28,"EBITDA_GROWTH","FQ3 2017","FQ3 2017","Currency=INR","Period=FQ","BEST_FPERIOD_OVERRIDE=FQ","FILING_STATUS=OR","EQY_CONSOLIDATED=Y","FA_ADJUSTED=GAAP","Sort=A","Dates=H","DateFormat=P","Fill=—","Direction=H","UseDPDF=Y")</f>
        <v>#NAME?</v>
      </c>
      <c r="V46" s="2" t="e">
        <f ca="1">_xll.BDH($C$28,"OPER_INC_GROWTH","FQ3 2017","FQ3 2017","Currency=INR","Period=FQ","BEST_FPERIOD_OVERRIDE=FQ","FILING_STATUS=OR","EQY_CONSOLIDATED=Y","FA_ADJUSTED=GAAP","Sort=A","Dates=H","DateFormat=P","Fill=—","Direction=H","UseDPDF=Y")</f>
        <v>#NAME?</v>
      </c>
      <c r="W46" s="2" t="e">
        <f ca="1">_xll.BDH($C$28,"EARN_FOR_COM_GROWTH","FQ3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6" s="2" t="e">
        <f ca="1">_xll.BDH($C$28,"DILUTED_EPS_AFT_XO_ITEMS_GROWTH","FQ3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6" s="2" t="e">
        <f ca="1">_xll.BDH($C$28,"DIVIDEND_PER_SHARE_1_YEAR_GROWTH","FQ3 2017","FQ3 2017","Currency=INR","Period=FQ","BEST_FPERIOD_OVERRIDE=FQ","FILING_STATUS=OR","EQY_CONSOLIDATED=Y","Sort=A","Dates=H","DateFormat=P","Fill=—","Direction=H","UseDPDF=Y")</f>
        <v>#NAME?</v>
      </c>
      <c r="Z46" s="2" t="e">
        <f ca="1">_xll.BDH($C$28,"ACCOUNTS_RECEIVABLE_GROWTH","FQ3 2017","FQ3 2017","Currency=INR","Period=FQ","BEST_FPERIOD_OVERRIDE=FQ","FILING_STATUS=OR","EQY_CONSOLIDATED=Y","Sort=A","Dates=H","DateFormat=P","Fill=—","Direction=H","UseDPDF=Y")</f>
        <v>#NAME?</v>
      </c>
      <c r="AA46" s="2" t="e">
        <f ca="1">_xll.BDH($C$28,"INVENTORY_GROWTH","FQ3 2017","FQ3 2017","Currency=INR","Period=FQ","BEST_FPERIOD_OVERRIDE=FQ","FILING_STATUS=OR","EQY_CONSOLIDATED=Y","Sort=A","Dates=H","DateFormat=P","Fill=—","Direction=H","UseDPDF=Y")</f>
        <v>#NAME?</v>
      </c>
      <c r="AB46" s="2" t="e">
        <f ca="1">_xll.BDH($C$28,"NET_FIXED_ASSETS_1_YEAR_GROWTH","FQ3 2017","FQ3 2017","Currency=INR","Period=FQ","BEST_FPERIOD_OVERRIDE=FQ","FILING_STATUS=OR","EQY_CONSOLIDATED=Y","Sort=A","Dates=H","DateFormat=P","Fill=—","Direction=H","UseDPDF=Y")</f>
        <v>#NAME?</v>
      </c>
      <c r="AC46" s="2" t="e">
        <f ca="1">_xll.BDH($C$28,"ASSET_GROWTH","FQ3 2017","FQ3 2017","Currency=INR","Period=FQ","BEST_FPERIOD_OVERRIDE=FQ","FILING_STATUS=OR","EQY_CONSOLIDATED=Y","Sort=A","Dates=H","DateFormat=P","Fill=—","Direction=H","UseDPDF=Y")</f>
        <v>#NAME?</v>
      </c>
      <c r="AD46" s="2" t="e">
        <f ca="1">_xll.BDH($C$28,"MODIFIED_WORK_CAP_GROWTH","FQ3 2017","FQ3 2017","Currency=INR","Period=FQ","BEST_FPERIOD_OVERRIDE=FQ","FILING_STATUS=OR","EQY_CONSOLIDATED=Y","Sort=A","Dates=H","DateFormat=P","Fill=—","Direction=H","UseDPDF=Y")</f>
        <v>#NAME?</v>
      </c>
      <c r="AE46" s="2" t="e">
        <f ca="1">_xll.BDH($C$28,"WORK_CAP_GROWTH","FQ3 2017","FQ3 2017","Currency=INR","Period=FQ","BEST_FPERIOD_OVERRIDE=FQ","FILING_STATUS=OR","EQY_CONSOLIDATED=Y","Sort=A","Dates=H","DateFormat=P","Fill=—","Direction=H","UseDPDF=Y")</f>
        <v>#NAME?</v>
      </c>
      <c r="AF46" s="2" t="e">
        <f ca="1">_xll.BDH($C$28,"ACCOUNTS_PAYABLE_GROWTH_1YR","FQ3 2017","FQ3 2017","Currency=INR","Period=FQ","BEST_FPERIOD_OVERRIDE=FQ","FILING_STATUS=OR","EQY_CONSOLIDATED=Y","Sort=A","Dates=H","DateFormat=P","Fill=—","Direction=H","UseDPDF=Y")</f>
        <v>#NAME?</v>
      </c>
      <c r="AG46" s="2" t="e">
        <f ca="1">_xll.BDH($C$28,"SHORT_TERM_DEBT_1_YEAR_GROWTH","FQ3 2017","FQ3 2017","Currency=INR","Period=FQ","BEST_FPERIOD_OVERRIDE=FQ","FILING_STATUS=OR","EQY_CONSOLIDATED=Y","Sort=A","Dates=H","DateFormat=P","Fill=—","Direction=H","UseDPDF=Y")</f>
        <v>#NAME?</v>
      </c>
      <c r="AH46" s="2" t="e">
        <f ca="1">_xll.BDH($C$28,"TOTAL_DEBT_1_YEAR_GROWTH","FQ3 2017","FQ3 2017","Currency=INR","Period=FQ","BEST_FPERIOD_OVERRIDE=FQ","FILING_STATUS=OR","EQY_CONSOLIDATED=Y","Sort=A","Dates=H","DateFormat=P","Fill=—","Direction=H","UseDPDF=Y")</f>
        <v>#NAME?</v>
      </c>
      <c r="AI46" s="2" t="e">
        <f ca="1">_xll.BDH($C$28,"TOTAL_EQUITY_1_YEAR_GROWTH","FQ3 2017","FQ3 2017","Currency=INR","Period=FQ","BEST_FPERIOD_OVERRIDE=FQ","FILING_STATUS=OR","EQY_CONSOLIDATED=Y","Sort=A","Dates=H","DateFormat=P","Fill=—","Direction=H","UseDPDF=Y")</f>
        <v>#NAME?</v>
      </c>
      <c r="AJ46" s="2" t="e">
        <f ca="1">_xll.BDH($C$28,"GROWTH_IN_CAP","FQ3 2017","FQ3 2017","Currency=INR","Period=FQ","BEST_FPERIOD_OVERRIDE=FQ","FILING_STATUS=OR","EQY_CONSOLIDATED=Y","Sort=A","Dates=H","DateFormat=P","Fill=—","Direction=H","UseDPDF=Y")</f>
        <v>#NAME?</v>
      </c>
      <c r="AK46" s="2" t="e">
        <f ca="1">_xll.BDH($C$28,"BVPS_GROWTH","FQ3 2017","FQ3 2017","Currency=INR","Period=FQ","BEST_FPERIOD_OVERRIDE=FQ","FILING_STATUS=OR","EQY_CONSOLIDATED=Y","Sort=A","Dates=H","DateFormat=P","Fill=—","Direction=H","UseDPDF=Y")</f>
        <v>#NAME?</v>
      </c>
      <c r="AL46" s="2" t="e">
        <f ca="1">_xll.BDH($C$28,"CASH_FLOW_GROWTH","FQ3 2017","FQ3 2017","Currency=INR","Period=FQ","BEST_FPERIOD_OVERRIDE=FQ","FILING_STATUS=OR","EQY_CONSOLIDATED=Y","Sort=A","Dates=H","DateFormat=P","Fill=—","Direction=H","UseDPDF=Y")</f>
        <v>#NAME?</v>
      </c>
      <c r="AM46" s="2" t="e">
        <f ca="1">_xll.BDH($C$28,"GEO_GROW_NET_SALES","FQ3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6" s="2" t="e">
        <f ca="1">_xll.BDH($C$28,"GEO_GROW_EBITDA","FQ3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6" s="2" t="e">
        <f ca="1">_xll.BDH($C$28,"GEO_GROW_OPER_INC","FQ3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6" s="2" t="e">
        <f ca="1">_xll.BDH($C$28,"NET_INCOME_TO_COMMON_5_YR_GROWTH","FQ3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6" s="2" t="e">
        <f ca="1">_xll.BDH($C$28,"5Y_GEO_GROWTH_DILUTED_EPS","FQ3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6" s="2" t="e">
        <f ca="1">_xll.BDH($C$28,"GEO_GROW_DVD_PER_SH","FQ3 2017","FQ3 2017","Currency=INR","Period=FQ","BEST_FPERIOD_OVERRIDE=FQ","FILING_STATUS=OR","EQY_CONSOLIDATED=Y","Sort=A","Dates=H","DateFormat=P","Fill=—","Direction=H","UseDPDF=Y")</f>
        <v>#NAME?</v>
      </c>
      <c r="AS46" s="2" t="e">
        <f ca="1">_xll.BDH($C$28,"ACCOUNTS_RECEIVABLE_5_YR_GROWTH","FQ3 2017","FQ3 2017","Currency=INR","Period=FQ","BEST_FPERIOD_OVERRIDE=FQ","FILING_STATUS=OR","EQY_CONSOLIDATED=Y","Sort=A","Dates=H","DateFormat=P","Fill=—","Direction=H","UseDPDF=Y")</f>
        <v>#NAME?</v>
      </c>
      <c r="AT46" s="2" t="e">
        <f ca="1">_xll.BDH($C$28,"INVENTORY_5_YEAR_GROWTH","FQ3 2017","FQ3 2017","Currency=INR","Period=FQ","BEST_FPERIOD_OVERRIDE=FQ","FILING_STATUS=OR","EQY_CONSOLIDATED=Y","Sort=A","Dates=H","DateFormat=P","Fill=—","Direction=H","UseDPDF=Y")</f>
        <v>#NAME?</v>
      </c>
      <c r="AU46" s="2" t="e">
        <f ca="1">_xll.BDH($C$28,"NET_FIXED_ASSETS_5_YEAR_GROWTH","FQ3 2017","FQ3 2017","Currency=INR","Period=FQ","BEST_FPERIOD_OVERRIDE=FQ","FILING_STATUS=OR","EQY_CONSOLIDATED=Y","Sort=A","Dates=H","DateFormat=P","Fill=—","Direction=H","UseDPDF=Y")</f>
        <v>#NAME?</v>
      </c>
      <c r="AV46" s="2" t="e">
        <f ca="1">_xll.BDH($C$28,"GEO_GROW_TOT_ASSET","FQ3 2017","FQ3 2017","Currency=INR","Period=FQ","BEST_FPERIOD_OVERRIDE=FQ","FILING_STATUS=OR","EQY_CONSOLIDATED=Y","Sort=A","Dates=H","DateFormat=P","Fill=—","Direction=H","UseDPDF=Y")</f>
        <v>#NAME?</v>
      </c>
      <c r="AW46" s="2" t="e">
        <f ca="1">_xll.BDH($C$28,"MODIFIED_WORKING_CPTL_5YR_GRWTH","FQ3 2017","FQ3 2017","Currency=INR","Period=FQ","BEST_FPERIOD_OVERRIDE=FQ","FILING_STATUS=OR","EQY_CONSOLIDATED=Y","Sort=A","Dates=H","DateFormat=P","Fill=—","Direction=H","UseDPDF=Y")</f>
        <v>#NAME?</v>
      </c>
      <c r="AX46" s="2" t="e">
        <f ca="1">_xll.BDH($C$28,"WORKING_CAPITAL_5_YEAR_GROWTH","FQ3 2017","FQ3 2017","Currency=INR","Period=FQ","BEST_FPERIOD_OVERRIDE=FQ","FILING_STATUS=OR","EQY_CONSOLIDATED=Y","Sort=A","Dates=H","DateFormat=P","Fill=—","Direction=H","UseDPDF=Y")</f>
        <v>#NAME?</v>
      </c>
      <c r="AY46" s="2" t="e">
        <f ca="1">_xll.BDH($C$28,"ACCOUNTS_PAYABLE_5_YEAR_GROWTH","FQ3 2017","FQ3 2017","Currency=INR","Period=FQ","BEST_FPERIOD_OVERRIDE=FQ","FILING_STATUS=OR","EQY_CONSOLIDATED=Y","Sort=A","Dates=H","DateFormat=P","Fill=—","Direction=H","UseDPDF=Y")</f>
        <v>#NAME?</v>
      </c>
      <c r="AZ46" s="2" t="e">
        <f ca="1">_xll.BDH($C$28,"SHORT_TERM_DEBT_5_YEAR_GROWTH","FQ3 2017","FQ3 2017","Currency=INR","Period=FQ","BEST_FPERIOD_OVERRIDE=FQ","FILING_STATUS=OR","EQY_CONSOLIDATED=Y","Sort=A","Dates=H","DateFormat=P","Fill=—","Direction=H","UseDPDF=Y")</f>
        <v>#NAME?</v>
      </c>
      <c r="BA46" s="2" t="e">
        <f ca="1">_xll.BDH($C$28,"TOTAL_DEBT_5_YEAR_GROWTH","FQ3 2017","FQ3 2017","Currency=INR","Period=FQ","BEST_FPERIOD_OVERRIDE=FQ","FILING_STATUS=OR","EQY_CONSOLIDATED=Y","Sort=A","Dates=H","DateFormat=P","Fill=—","Direction=H","UseDPDF=Y")</f>
        <v>#NAME?</v>
      </c>
      <c r="BB46" s="2" t="e">
        <f ca="1">_xll.BDH($C$28,"GEO_GROW_TOT_SHRHLDR_EQY","FQ3 2017","FQ3 2017","Currency=INR","Period=FQ","BEST_FPERIOD_OVERRIDE=FQ","FILING_STATUS=OR","EQY_CONSOLIDATED=Y","Sort=A","Dates=H","DateFormat=P","Fill=—","Direction=H","UseDPDF=Y")</f>
        <v>#NAME?</v>
      </c>
      <c r="BC46" s="2" t="e">
        <f ca="1">_xll.BDH($C$28,"TOTAL_CAPITAL_5_YEAR_GROWTH","FQ3 2017","FQ3 2017","Currency=INR","Period=FQ","BEST_FPERIOD_OVERRIDE=FQ","FILING_STATUS=OR","EQY_CONSOLIDATED=Y","Sort=A","Dates=H","DateFormat=P","Fill=—","Direction=H","UseDPDF=Y")</f>
        <v>#NAME?</v>
      </c>
      <c r="BD46" s="2" t="e">
        <f ca="1">_xll.BDH($C$28,"GEO_GROW_BOOK_VAL","FQ3 2017","FQ3 2017","Currency=INR","Period=FQ","BEST_FPERIOD_OVERRIDE=FQ","FILING_STATUS=OR","EQY_CONSOLIDATED=Y","Sort=A","Dates=H","DateFormat=P","Fill=—","Direction=H","UseDPDF=Y")</f>
        <v>#NAME?</v>
      </c>
      <c r="BE46" s="2" t="e">
        <f ca="1">_xll.BDH($C$28,"GEO_GROW_CASH_OPER_ACT","FQ3 2017","FQ3 2017","Currency=INR","Period=FQ","BEST_FPERIOD_OVERRIDE=FQ","FILING_STATUS=OR","EQY_CONSOLIDATED=Y","Sort=A","Dates=H","DateFormat=P","Fill=—","Direction=H","UseDPDF=Y")</f>
        <v>#NAME?</v>
      </c>
      <c r="BF46" s="2" t="e">
        <f ca="1">_xll.BDH($C$28,"REVENUE_SEQUENTIAL_GROWTH","FQ3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6" s="2" t="e">
        <f ca="1">_xll.BDH($C$28,"EBITDA_SEQUENTIAL_GROWTH","FQ3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6" s="2" t="e">
        <f ca="1">_xll.BDH($C$28,"OPERATING_INCOME_SEQ_GROWTH","FQ3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6" s="2" t="e">
        <f ca="1">_xll.BDH($C$28,"NET_INCOME_TO_COMMON_SEQ_GROWTH","FQ3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6" s="2" t="e">
        <f ca="1">_xll.BDH($C$28,"EPS_DILUTED_SEQUENTIAL_GROWTH","FQ3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6" s="2" t="e">
        <f ca="1">_xll.BDH($C$28,"DPS_SEQUENTIAL_GROWTH","FQ3 2017","FQ3 2017","Currency=INR","Period=FQ","BEST_FPERIOD_OVERRIDE=FQ","FILING_STATUS=OR","EQY_CONSOLIDATED=Y","Sort=A","Dates=H","DateFormat=P","Fill=—","Direction=H","UseDPDF=Y")</f>
        <v>#NAME?</v>
      </c>
      <c r="BL46" s="2" t="e">
        <f ca="1">_xll.BDH($C$28,"ACCOUNTS_RECEIVABLE_SEQ_GROWTH","FQ3 2017","FQ3 2017","Currency=INR","Period=FQ","BEST_FPERIOD_OVERRIDE=FQ","FILING_STATUS=OR","EQY_CONSOLIDATED=Y","Sort=A","Dates=H","DateFormat=P","Fill=—","Direction=H","UseDPDF=Y")</f>
        <v>#NAME?</v>
      </c>
      <c r="BM46" s="2" t="e">
        <f ca="1">_xll.BDH($C$28,"INVENTORY_SEQUENTIAL_GROWTH","FQ3 2017","FQ3 2017","Currency=INR","Period=FQ","BEST_FPERIOD_OVERRIDE=FQ","FILING_STATUS=OR","EQY_CONSOLIDATED=Y","Sort=A","Dates=H","DateFormat=P","Fill=—","Direction=H","UseDPDF=Y")</f>
        <v>#NAME?</v>
      </c>
      <c r="BN46" s="2" t="e">
        <f ca="1">_xll.BDH($C$28,"FIXED_ASSETS_SEQUENTIAL_GROWTH","FQ3 2017","FQ3 2017","Currency=INR","Period=FQ","BEST_FPERIOD_OVERRIDE=FQ","FILING_STATUS=OR","EQY_CONSOLIDATED=Y","Sort=A","Dates=H","DateFormat=P","Fill=—","Direction=H","UseDPDF=Y")</f>
        <v>#NAME?</v>
      </c>
      <c r="BO46" s="2" t="e">
        <f ca="1">_xll.BDH($C$28,"TOTAL_ASSETS_SEQUENTIAL_GROWTH","FQ3 2017","FQ3 2017","Currency=INR","Period=FQ","BEST_FPERIOD_OVERRIDE=FQ","FILING_STATUS=OR","EQY_CONSOLIDATED=Y","Sort=A","Dates=H","DateFormat=P","Fill=—","Direction=H","UseDPDF=Y")</f>
        <v>#NAME?</v>
      </c>
      <c r="BP46" s="2" t="e">
        <f ca="1">_xll.BDH($C$28,"MODIFIED_WORKING_CPTL_SEQ_GRWTH","FQ3 2017","FQ3 2017","Currency=INR","Period=FQ","BEST_FPERIOD_OVERRIDE=FQ","FILING_STATUS=OR","EQY_CONSOLIDATED=Y","Sort=A","Dates=H","DateFormat=P","Fill=—","Direction=H","UseDPDF=Y")</f>
        <v>#NAME?</v>
      </c>
      <c r="BQ46" s="2" t="e">
        <f ca="1">_xll.BDH($C$28,"WORKING_CAPITAL_SEQ_GROWTH","FQ3 2017","FQ3 2017","Currency=INR","Period=FQ","BEST_FPERIOD_OVERRIDE=FQ","FILING_STATUS=OR","EQY_CONSOLIDATED=Y","Sort=A","Dates=H","DateFormat=P","Fill=—","Direction=H","UseDPDF=Y")</f>
        <v>#NAME?</v>
      </c>
      <c r="BR46" s="2" t="e">
        <f ca="1">_xll.BDH($C$28,"ACCOUNTS_PAYABLE_SEQ_GROWTH","FQ3 2017","FQ3 2017","Currency=INR","Period=FQ","BEST_FPERIOD_OVERRIDE=FQ","FILING_STATUS=OR","EQY_CONSOLIDATED=Y","Sort=A","Dates=H","DateFormat=P","Fill=—","Direction=H","UseDPDF=Y")</f>
        <v>#NAME?</v>
      </c>
      <c r="BS46" s="2" t="e">
        <f ca="1">_xll.BDH($C$28,"ST_DEBT_SEQUENTIAL_GROWTH","FQ3 2017","FQ3 2017","Currency=INR","Period=FQ","BEST_FPERIOD_OVERRIDE=FQ","FILING_STATUS=OR","EQY_CONSOLIDATED=Y","Sort=A","Dates=H","DateFormat=P","Fill=—","Direction=H","UseDPDF=Y")</f>
        <v>#NAME?</v>
      </c>
      <c r="BT46" s="2" t="e">
        <f ca="1">_xll.BDH($C$28,"TOTAL_DEBT_SEQUENTIAL_GROWTH","FQ3 2017","FQ3 2017","Currency=INR","Period=FQ","BEST_FPERIOD_OVERRIDE=FQ","FILING_STATUS=OR","EQY_CONSOLIDATED=Y","Sort=A","Dates=H","DateFormat=P","Fill=—","Direction=H","UseDPDF=Y")</f>
        <v>#NAME?</v>
      </c>
      <c r="BU46" s="2" t="e">
        <f ca="1">_xll.BDH($C$28,"TOTAL_EQUITY_SEQUENTIAL_GROWTH","FQ3 2017","FQ3 2017","Currency=INR","Period=FQ","BEST_FPERIOD_OVERRIDE=FQ","FILING_STATUS=OR","EQY_CONSOLIDATED=Y","Sort=A","Dates=H","DateFormat=P","Fill=—","Direction=H","UseDPDF=Y")</f>
        <v>#NAME?</v>
      </c>
      <c r="BV46" s="2" t="e">
        <f ca="1">_xll.BDH($C$28,"TOTAL_CAPITAL_SEQUENTIAL_GROWTH","FQ3 2017","FQ3 2017","Currency=INR","Period=FQ","BEST_FPERIOD_OVERRIDE=FQ","FILING_STATUS=OR","EQY_CONSOLIDATED=Y","Sort=A","Dates=H","DateFormat=P","Fill=—","Direction=H","UseDPDF=Y")</f>
        <v>#NAME?</v>
      </c>
      <c r="BW46" s="2" t="e">
        <f ca="1">_xll.BDH($C$28,"BPS_SEQUENTIAL_GROWTH","FQ3 2017","FQ3 2017","Currency=INR","Period=FQ","BEST_FPERIOD_OVERRIDE=FQ","FILING_STATUS=OR","EQY_CONSOLIDATED=Y","Sort=A","Dates=H","DateFormat=P","Fill=—","Direction=H","UseDPDF=Y")</f>
        <v>#NAME?</v>
      </c>
      <c r="BX46" s="2" t="e">
        <f ca="1">_xll.BDH($C$28,"CFO_SEQUENTIAL_GROWTH","FQ3 2017","FQ3 2017","Currency=INR","Period=FQ","BEST_FPERIOD_OVERRIDE=FQ","FILING_STATUS=OR","EQY_CONSOLIDATED=Y","Sort=A","Dates=H","DateFormat=P","Fill=—","Direction=H","UseDPDF=Y")</f>
        <v>#NAME?</v>
      </c>
      <c r="BY46" s="3" t="e">
        <f ca="1">_xll.BDH($C$28,"SHORT_AND_LONG_TERM_DEBT","FQ3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6" s="3" t="e">
        <f ca="1">_xll.BDH($C$28,"BS_ST_BORROW","FQ3 2017","FQ3 2017","Currency=INR","Period=FQ","BEST_FPERIOD_OVERRIDE=FQ","FILING_STATUS=OR","EQY_CONSOLIDATED=Y","SCALING_FORMAT=MLN","Sort=A","Dates=H","DateFormat=P","Fill=—","Direction=H","UseDPDF=Y")</f>
        <v>#NAME?</v>
      </c>
      <c r="CA46" s="3" t="e">
        <f ca="1">_xll.BDH($C$28,"BS_LT_BORROW","FQ3 2017","FQ3 2017","Currency=INR","Period=FQ","BEST_FPERIOD_OVERRIDE=FQ","FILING_STATUS=OR","EQY_CONSOLIDATED=Y","SCALING_FORMAT=MLN","Sort=A","Dates=H","DateFormat=P","Fill=—","Direction=H","UseDPDF=Y")</f>
        <v>#NAME?</v>
      </c>
      <c r="CB46" s="2" t="e">
        <f ca="1">_xll.BDH($C$28,"TOT_DEBT_TO_EBITDA","FQ3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6" s="2" t="e">
        <f ca="1">_xll.BDH($C$28,"NET_DEBT_TO_EBITDA","FQ3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6" s="2" t="e">
        <f ca="1">_xll.BDH($C$28,"TOTAL_DEBT_TO_EBIT","FQ3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6" s="2" t="e">
        <f ca="1">_xll.BDH($C$28,"NET_DEBT_TO_EBIT","FQ3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6" s="2" t="e">
        <f ca="1">_xll.BDH($C$28,"EBITDA_TO_INTEREST_EXPN","FQ3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6" s="2" t="e">
        <f ca="1">_xll.BDH($C$28,"COM_EQY_TO_TOT_ASSET","FQ3 2017","FQ3 2017","Currency=INR","Period=FQ","BEST_FPERIOD_OVERRIDE=FQ","FILING_STATUS=OR","EQY_CONSOLIDATED=Y","Sort=A","Dates=H","DateFormat=P","Fill=—","Direction=H","UseDPDF=Y")</f>
        <v>#NAME?</v>
      </c>
      <c r="CH46" s="2" t="e">
        <f ca="1">_xll.BDH($C$28,"LT_DEBT_TO_TOT_EQY","FQ3 2017","FQ3 2017","Currency=INR","Period=FQ","BEST_FPERIOD_OVERRIDE=FQ","FILING_STATUS=OR","EQY_CONSOLIDATED=Y","Sort=A","Dates=H","DateFormat=P","Fill=—","Direction=H","UseDPDF=Y")</f>
        <v>#NAME?</v>
      </c>
      <c r="CI46" s="2" t="e">
        <f ca="1">_xll.BDH($C$28,"LT_DEBT_TO_TOT_CAP","FQ3 2017","FQ3 2017","Currency=INR","Period=FQ","BEST_FPERIOD_OVERRIDE=FQ","FILING_STATUS=OR","EQY_CONSOLIDATED=Y","Sort=A","Dates=H","DateFormat=P","Fill=—","Direction=H","UseDPDF=Y")</f>
        <v>#NAME?</v>
      </c>
      <c r="CJ46" s="2" t="e">
        <f ca="1">_xll.BDH($C$28,"LT_DEBT_TO_TOT_ASSET","FQ3 2017","FQ3 2017","Currency=INR","Period=FQ","BEST_FPERIOD_OVERRIDE=FQ","FILING_STATUS=OR","EQY_CONSOLIDATED=Y","Sort=A","Dates=H","DateFormat=P","Fill=—","Direction=H","UseDPDF=Y")</f>
        <v>#NAME?</v>
      </c>
      <c r="CK46" s="2" t="e">
        <f ca="1">_xll.BDH($C$28,"TOT_DEBT_TO_TOT_EQY","FQ3 2017","FQ3 2017","Currency=INR","Period=FQ","BEST_FPERIOD_OVERRIDE=FQ","FILING_STATUS=OR","EQY_CONSOLIDATED=Y","Sort=A","Dates=H","DateFormat=P","Fill=—","Direction=H","UseDPDF=Y")</f>
        <v>#NAME?</v>
      </c>
      <c r="CL46" s="2" t="e">
        <f ca="1">_xll.BDH($C$28,"TOT_DEBT_TO_TOT_CAP","FQ3 2017","FQ3 2017","Currency=INR","Period=FQ","BEST_FPERIOD_OVERRIDE=FQ","FILING_STATUS=OR","EQY_CONSOLIDATED=Y","Sort=A","Dates=H","DateFormat=P","Fill=—","Direction=H","UseDPDF=Y")</f>
        <v>#NAME?</v>
      </c>
      <c r="CM46" s="2" t="e">
        <f ca="1">_xll.BDH($C$28,"TOT_DEBT_TO_TOT_ASSET","FQ3 2017","FQ3 2017","Currency=INR","Period=FQ","BEST_FPERIOD_OVERRIDE=FQ","FILING_STATUS=OR","EQY_CONSOLIDATED=Y","Sort=A","Dates=H","DateFormat=P","Fill=—","Direction=H","UseDPDF=Y")</f>
        <v>#NAME?</v>
      </c>
      <c r="CN46" s="2" t="e">
        <f ca="1">_xll.BDH($C$28,"NET_DEBT_TO_SHRHLDR_EQTY","FQ3 2017","FQ3 2017","Currency=INR","Period=FQ","BEST_FPERIOD_OVERRIDE=FQ","FILING_STATUS=OR","EQY_CONSOLIDATED=Y","Sort=A","Dates=H","DateFormat=P","Fill=—","Direction=H","UseDPDF=Y")</f>
        <v>#NAME?</v>
      </c>
      <c r="CO46" s="2" t="e">
        <f ca="1">_xll.BDH($C$28,"NET_DEBT_%_CAPITAL","FQ3 2017","FQ3 2017","Currency=INR","Period=FQ","BEST_FPERIOD_OVERRIDE=FQ","FILING_STATUS=OR","EQY_CONSOLIDATED=Y","Sort=A","Dates=H","DateFormat=P","Fill=—","Direction=H","UseDPDF=Y")</f>
        <v>#NAME?</v>
      </c>
      <c r="CP46" s="3" t="e">
        <f ca="1">_xll.BDH($C$28,"EBITDA","FQ3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6" s="3" t="e">
        <f ca="1">_xll.BDH($C$28,"EBITDA_AFTER_CAPEX","FQ3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6" s="3" t="e">
        <f ca="1">_xll.BDH($C$28,"IS_OPER_INC","FQ3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6" s="2" t="e">
        <f ca="1">_xll.BDH($C$28,"CASH_RATIO","FQ3 2017","FQ3 2017","Currency=INR","Period=FQ","BEST_FPERIOD_OVERRIDE=FQ","FILING_STATUS=OR","EQY_CONSOLIDATED=Y","Sort=A","Dates=H","DateFormat=P","Fill=—","Direction=H","UseDPDF=Y")</f>
        <v>#NAME?</v>
      </c>
      <c r="CT46" s="2" t="e">
        <f ca="1">_xll.BDH($C$28,"CUR_RATIO","FQ3 2017","FQ3 2017","Currency=INR","Period=FQ","BEST_FPERIOD_OVERRIDE=FQ","FILING_STATUS=OR","EQY_CONSOLIDATED=Y","Sort=A","Dates=H","DateFormat=P","Fill=—","Direction=H","UseDPDF=Y")</f>
        <v>#NAME?</v>
      </c>
      <c r="CU46" s="2" t="e">
        <f ca="1">_xll.BDH($C$28,"QUICK_RATIO","FQ3 2017","FQ3 2017","Currency=INR","Period=FQ","BEST_FPERIOD_OVERRIDE=FQ","FILING_STATUS=OR","EQY_CONSOLIDATED=Y","Sort=A","Dates=H","DateFormat=P","Fill=—","Direction=H","UseDPDF=Y")</f>
        <v>#NAME?</v>
      </c>
      <c r="CV46" s="2" t="e">
        <f ca="1">_xll.BDH($C$28,"ALTMAN_Z_SCORE","FQ3 2017","FQ3 2017","Currency=INR","Period=FQ","BEST_FPERIOD_OVERRIDE=FQ","FILING_STATUS=OR","EQY_CONSOLIDATED=Y","Sort=A","Dates=H","DateFormat=P","Fill=—","Direction=H","UseDPDF=Y")</f>
        <v>#NAME?</v>
      </c>
      <c r="CW46" s="4" t="e">
        <f ca="1">_xll.BDH($C$28,"ACCT_RCV_TURN","FQ3 2017","FQ3 2017","Currency=INR","Period=FQ","BEST_FPERIOD_OVERRIDE=FQ","FILING_STATUS=OR","EQY_CONSOLIDATED=Y","FA_ADJUSTED=GAAP","Sort=A","Dates=H","DateFormat=P","Fill=—","Direction=H","UseDPDF=Y")</f>
        <v>#NAME?</v>
      </c>
      <c r="CX46" s="2" t="e">
        <f ca="1">_xll.BDH($C$28,"ACCT_RCV_DAYS","FQ3 2017","FQ3 2017","Currency=INR","Period=FQ","BEST_FPERIOD_OVERRIDE=FQ","FILING_STATUS=OR","EQY_CONSOLIDATED=Y","FA_ADJUSTED=GAAP","Sort=A","Dates=H","DateFormat=P","Fill=—","Direction=H","UseDPDF=Y")</f>
        <v>#NAME?</v>
      </c>
      <c r="CY46" s="4" t="e">
        <f ca="1">_xll.BDH($C$28,"INVENT_TURN","FQ3 2017","FQ3 2017","Currency=INR","Period=FQ","BEST_FPERIOD_OVERRIDE=FQ","FILING_STATUS=OR","EQY_CONSOLIDATED=Y","FA_ADJUSTED=GAAP","Sort=A","Dates=H","DateFormat=P","Fill=—","Direction=H","UseDPDF=Y")</f>
        <v>#NAME?</v>
      </c>
      <c r="CZ46" s="2" t="e">
        <f ca="1">_xll.BDH($C$28,"INVENT_DAYS","FQ3 2017","FQ3 2017","Currency=INR","Period=FQ","BEST_FPERIOD_OVERRIDE=FQ","FILING_STATUS=OR","EQY_CONSOLIDATED=Y","FA_ADJUSTED=GAAP","Sort=A","Dates=H","DateFormat=P","Fill=—","Direction=H","UseDPDF=Y")</f>
        <v>#NAME?</v>
      </c>
      <c r="DA46" s="4" t="e">
        <f ca="1">_xll.BDH($C$28,"ACCOUNTS_PAYABLE_TURNOVER","FQ3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6" s="2" t="e">
        <f ca="1">_xll.BDH($C$28,"ACCOUNTS_PAYABLE_TURNOVER_DAYS","FQ3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6" s="4" t="e">
        <f ca="1">_xll.BDH($C$28,"CASH_CONVERSION_CYCLE","FQ3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6" s="4" t="e">
        <f ca="1">_xll.BDH($C$28,"INV_TO_CASH_DAYS","FQ3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6" s="5" t="e">
        <f ca="1">_xll.BDH($C$28,"BS_INVENTORIES","FQ3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6" s="3" t="e">
        <f ca="1">_xll.BDH($C$28,"INVTRY_RAW_MATERIALS","FQ3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6" s="3" t="e">
        <f ca="1">_xll.BDH($C$28,"INVTRY_IN_PROGRESS","FQ3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6" s="3" t="e">
        <f ca="1">_xll.BDH($C$28,"INVTRY_FINISHED_GOODS","FQ3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6" s="3" t="e">
        <f ca="1">_xll.BDH($C$28,"BS_OTHER_INV","FQ3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" spans="1:113" x14ac:dyDescent="0.3">
      <c r="A47" s="6"/>
      <c r="B47" s="6"/>
      <c r="C47" s="6"/>
      <c r="D47" s="6"/>
      <c r="E47" t="s">
        <v>81</v>
      </c>
      <c r="F47" t="e">
        <f ca="1">_xll.BDH($C$28,"RETURN_COM_EQY","FQ4 2017","FQ4 2017","Currency=INR","Period=FQ","BEST_FPERIOD_OVERRIDE=FQ","FILING_STATUS=OR","EQY_CONSOLIDATED=Y","FA_ADJUSTED=GAAP","Sort=A","Dates=H","DateFormat=P","Fill=—","Direction=H","UseDPDF=Y")</f>
        <v>#NAME?</v>
      </c>
      <c r="G47" t="e">
        <f ca="1">_xll.BDH($C$28,"RETURN_ON_ASSET","FQ4 2017","FQ4 2017","Currency=INR","Period=FQ","BEST_FPERIOD_OVERRIDE=FQ","FILING_STATUS=OR","EQY_CONSOLIDATED=Y","FA_ADJUSTED=GAAP","Sort=A","Dates=H","DateFormat=P","Fill=—","Direction=H","UseDPDF=Y")</f>
        <v>#NAME?</v>
      </c>
      <c r="H47" t="e">
        <f ca="1">_xll.BDH($C$28,"RETURN_ON_CAP","FQ4 2017","FQ4 2017","Currency=INR","Period=FQ","BEST_FPERIOD_OVERRIDE=FQ","FILING_STATUS=OR","EQY_CONSOLIDATED=Y","FA_ADJUSTED=GAAP","Sort=A","Dates=H","DateFormat=P","Fill=—","Direction=H","UseDPDF=Y")</f>
        <v>#NAME?</v>
      </c>
      <c r="I47" t="e">
        <f ca="1">_xll.BDH($C$28,"RETURN_ON_INV_CAPITAL","FQ4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" t="e">
        <f ca="1">_xll.BDH($C$28,"EBITDA_TO_REVENUE","FQ4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" t="e">
        <f ca="1">_xll.BDH($C$28,"OPER_MARGIN","FQ4 2017","FQ4 2017","Currency=INR","Period=FQ","BEST_FPERIOD_OVERRIDE=FQ","FILING_STATUS=OR","EQY_CONSOLIDATED=Y","FA_ADJUSTED=GAAP","Sort=A","Dates=H","DateFormat=P","Fill=—","Direction=H","UseDPDF=Y")</f>
        <v>#NAME?</v>
      </c>
      <c r="L47" t="e">
        <f ca="1">_xll.BDH($C$28,"INCREMENTAL_OPERATING_MARGIN","FQ4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" t="e">
        <f ca="1">_xll.BDH($C$28,"PRETAX_INC_TO_NET_SALES","FQ4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" t="e">
        <f ca="1">_xll.BDH($C$28,"INC_BEF_XO_ITEMS_TO_NET_SALES","FQ4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" t="e">
        <f ca="1">_xll.BDH($C$28,"PROF_MARGIN","FQ4 2017","FQ4 2017","Currency=INR","Period=FQ","BEST_FPERIOD_OVERRIDE=FQ","FILING_STATUS=OR","EQY_CONSOLIDATED=Y","FA_ADJUSTED=GAAP","Sort=A","Dates=H","DateFormat=P","Fill=—","Direction=H","UseDPDF=Y")</f>
        <v>#NAME?</v>
      </c>
      <c r="P47" t="e">
        <f ca="1">_xll.BDH($C$28,"NET_INCOME_TO_COMMON_MARGIN","FQ4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" t="e">
        <f ca="1">_xll.BDH($C$28,"EFF_TAX_RATE","FQ4 2017","FQ4 2017","Currency=INR","Period=FQ","BEST_FPERIOD_OVERRIDE=FQ","FILING_STATUS=OR","EQY_CONSOLIDATED=Y","FA_ADJUSTED=GAAP","Sort=A","Dates=H","DateFormat=P","Fill=—","Direction=H","UseDPDF=Y")</f>
        <v>#NAME?</v>
      </c>
      <c r="R47" t="e">
        <f ca="1">_xll.BDH($C$28,"DVD_PAYOUT_RATIO","FQ4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7" t="e">
        <f ca="1">_xll.BDH($C$28,"SUSTAIN_GROWTH_RT","FQ4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" s="2" t="e">
        <f ca="1">_xll.BDH($C$28,"SALES_GROWTH","FQ4 2017","FQ4 2017","Currency=INR","Period=FQ","BEST_FPERIOD_OVERRIDE=FQ","FILING_STATUS=OR","EQY_CONSOLIDATED=Y","FA_ADJUSTED=GAAP","Sort=A","Dates=H","DateFormat=P","Fill=—","Direction=H","UseDPDF=Y")</f>
        <v>#NAME?</v>
      </c>
      <c r="U47" s="2" t="e">
        <f ca="1">_xll.BDH($C$28,"EBITDA_GROWTH","FQ4 2017","FQ4 2017","Currency=INR","Period=FQ","BEST_FPERIOD_OVERRIDE=FQ","FILING_STATUS=OR","EQY_CONSOLIDATED=Y","FA_ADJUSTED=GAAP","Sort=A","Dates=H","DateFormat=P","Fill=—","Direction=H","UseDPDF=Y")</f>
        <v>#NAME?</v>
      </c>
      <c r="V47" s="2" t="e">
        <f ca="1">_xll.BDH($C$28,"OPER_INC_GROWTH","FQ4 2017","FQ4 2017","Currency=INR","Period=FQ","BEST_FPERIOD_OVERRIDE=FQ","FILING_STATUS=OR","EQY_CONSOLIDATED=Y","FA_ADJUSTED=GAAP","Sort=A","Dates=H","DateFormat=P","Fill=—","Direction=H","UseDPDF=Y")</f>
        <v>#NAME?</v>
      </c>
      <c r="W47" s="2" t="e">
        <f ca="1">_xll.BDH($C$28,"EARN_FOR_COM_GROWTH","FQ4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" s="2" t="e">
        <f ca="1">_xll.BDH($C$28,"DILUTED_EPS_AFT_XO_ITEMS_GROWTH","FQ4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" s="2" t="e">
        <f ca="1">_xll.BDH($C$28,"DIVIDEND_PER_SHARE_1_YEAR_GROWTH","FQ4 2017","FQ4 2017","Currency=INR","Period=FQ","BEST_FPERIOD_OVERRIDE=FQ","FILING_STATUS=OR","EQY_CONSOLIDATED=Y","Sort=A","Dates=H","DateFormat=P","Fill=—","Direction=H","UseDPDF=Y")</f>
        <v>#NAME?</v>
      </c>
      <c r="Z47" s="2" t="e">
        <f ca="1">_xll.BDH($C$28,"ACCOUNTS_RECEIVABLE_GROWTH","FQ4 2017","FQ4 2017","Currency=INR","Period=FQ","BEST_FPERIOD_OVERRIDE=FQ","FILING_STATUS=OR","EQY_CONSOLIDATED=Y","Sort=A","Dates=H","DateFormat=P","Fill=—","Direction=H","UseDPDF=Y")</f>
        <v>#NAME?</v>
      </c>
      <c r="AA47" s="2" t="e">
        <f ca="1">_xll.BDH($C$28,"INVENTORY_GROWTH","FQ4 2017","FQ4 2017","Currency=INR","Period=FQ","BEST_FPERIOD_OVERRIDE=FQ","FILING_STATUS=OR","EQY_CONSOLIDATED=Y","Sort=A","Dates=H","DateFormat=P","Fill=—","Direction=H","UseDPDF=Y")</f>
        <v>#NAME?</v>
      </c>
      <c r="AB47" s="2" t="e">
        <f ca="1">_xll.BDH($C$28,"NET_FIXED_ASSETS_1_YEAR_GROWTH","FQ4 2017","FQ4 2017","Currency=INR","Period=FQ","BEST_FPERIOD_OVERRIDE=FQ","FILING_STATUS=OR","EQY_CONSOLIDATED=Y","Sort=A","Dates=H","DateFormat=P","Fill=—","Direction=H","UseDPDF=Y")</f>
        <v>#NAME?</v>
      </c>
      <c r="AC47" s="2" t="e">
        <f ca="1">_xll.BDH($C$28,"ASSET_GROWTH","FQ4 2017","FQ4 2017","Currency=INR","Period=FQ","BEST_FPERIOD_OVERRIDE=FQ","FILING_STATUS=OR","EQY_CONSOLIDATED=Y","Sort=A","Dates=H","DateFormat=P","Fill=—","Direction=H","UseDPDF=Y")</f>
        <v>#NAME?</v>
      </c>
      <c r="AD47" s="2" t="e">
        <f ca="1">_xll.BDH($C$28,"MODIFIED_WORK_CAP_GROWTH","FQ4 2017","FQ4 2017","Currency=INR","Period=FQ","BEST_FPERIOD_OVERRIDE=FQ","FILING_STATUS=OR","EQY_CONSOLIDATED=Y","Sort=A","Dates=H","DateFormat=P","Fill=—","Direction=H","UseDPDF=Y")</f>
        <v>#NAME?</v>
      </c>
      <c r="AE47" s="2" t="e">
        <f ca="1">_xll.BDH($C$28,"WORK_CAP_GROWTH","FQ4 2017","FQ4 2017","Currency=INR","Period=FQ","BEST_FPERIOD_OVERRIDE=FQ","FILING_STATUS=OR","EQY_CONSOLIDATED=Y","Sort=A","Dates=H","DateFormat=P","Fill=—","Direction=H","UseDPDF=Y")</f>
        <v>#NAME?</v>
      </c>
      <c r="AF47" s="2" t="e">
        <f ca="1">_xll.BDH($C$28,"ACCOUNTS_PAYABLE_GROWTH_1YR","FQ4 2017","FQ4 2017","Currency=INR","Period=FQ","BEST_FPERIOD_OVERRIDE=FQ","FILING_STATUS=OR","EQY_CONSOLIDATED=Y","Sort=A","Dates=H","DateFormat=P","Fill=—","Direction=H","UseDPDF=Y")</f>
        <v>#NAME?</v>
      </c>
      <c r="AG47" s="2" t="e">
        <f ca="1">_xll.BDH($C$28,"SHORT_TERM_DEBT_1_YEAR_GROWTH","FQ4 2017","FQ4 2017","Currency=INR","Period=FQ","BEST_FPERIOD_OVERRIDE=FQ","FILING_STATUS=OR","EQY_CONSOLIDATED=Y","Sort=A","Dates=H","DateFormat=P","Fill=—","Direction=H","UseDPDF=Y")</f>
        <v>#NAME?</v>
      </c>
      <c r="AH47" s="2" t="e">
        <f ca="1">_xll.BDH($C$28,"TOTAL_DEBT_1_YEAR_GROWTH","FQ4 2017","FQ4 2017","Currency=INR","Period=FQ","BEST_FPERIOD_OVERRIDE=FQ","FILING_STATUS=OR","EQY_CONSOLIDATED=Y","Sort=A","Dates=H","DateFormat=P","Fill=—","Direction=H","UseDPDF=Y")</f>
        <v>#NAME?</v>
      </c>
      <c r="AI47" s="2" t="e">
        <f ca="1">_xll.BDH($C$28,"TOTAL_EQUITY_1_YEAR_GROWTH","FQ4 2017","FQ4 2017","Currency=INR","Period=FQ","BEST_FPERIOD_OVERRIDE=FQ","FILING_STATUS=OR","EQY_CONSOLIDATED=Y","Sort=A","Dates=H","DateFormat=P","Fill=—","Direction=H","UseDPDF=Y")</f>
        <v>#NAME?</v>
      </c>
      <c r="AJ47" s="2" t="e">
        <f ca="1">_xll.BDH($C$28,"GROWTH_IN_CAP","FQ4 2017","FQ4 2017","Currency=INR","Period=FQ","BEST_FPERIOD_OVERRIDE=FQ","FILING_STATUS=OR","EQY_CONSOLIDATED=Y","Sort=A","Dates=H","DateFormat=P","Fill=—","Direction=H","UseDPDF=Y")</f>
        <v>#NAME?</v>
      </c>
      <c r="AK47" s="2" t="e">
        <f ca="1">_xll.BDH($C$28,"BVPS_GROWTH","FQ4 2017","FQ4 2017","Currency=INR","Period=FQ","BEST_FPERIOD_OVERRIDE=FQ","FILING_STATUS=OR","EQY_CONSOLIDATED=Y","Sort=A","Dates=H","DateFormat=P","Fill=—","Direction=H","UseDPDF=Y")</f>
        <v>#NAME?</v>
      </c>
      <c r="AL47" s="2" t="e">
        <f ca="1">_xll.BDH($C$28,"CASH_FLOW_GROWTH","FQ4 2017","FQ4 2017","Currency=INR","Period=FQ","BEST_FPERIOD_OVERRIDE=FQ","FILING_STATUS=OR","EQY_CONSOLIDATED=Y","Sort=A","Dates=H","DateFormat=P","Fill=—","Direction=H","UseDPDF=Y")</f>
        <v>#NAME?</v>
      </c>
      <c r="AM47" s="2" t="e">
        <f ca="1">_xll.BDH($C$28,"GEO_GROW_NET_SALES","FQ4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" s="2" t="e">
        <f ca="1">_xll.BDH($C$28,"GEO_GROW_EBITDA","FQ4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7" s="2" t="e">
        <f ca="1">_xll.BDH($C$28,"GEO_GROW_OPER_INC","FQ4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" s="2" t="e">
        <f ca="1">_xll.BDH($C$28,"NET_INCOME_TO_COMMON_5_YR_GROWTH","FQ4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" s="2" t="e">
        <f ca="1">_xll.BDH($C$28,"5Y_GEO_GROWTH_DILUTED_EPS","FQ4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" s="2" t="e">
        <f ca="1">_xll.BDH($C$28,"GEO_GROW_DVD_PER_SH","FQ4 2017","FQ4 2017","Currency=INR","Period=FQ","BEST_FPERIOD_OVERRIDE=FQ","FILING_STATUS=OR","EQY_CONSOLIDATED=Y","Sort=A","Dates=H","DateFormat=P","Fill=—","Direction=H","UseDPDF=Y")</f>
        <v>#NAME?</v>
      </c>
      <c r="AS47" s="2" t="e">
        <f ca="1">_xll.BDH($C$28,"ACCOUNTS_RECEIVABLE_5_YR_GROWTH","FQ4 2017","FQ4 2017","Currency=INR","Period=FQ","BEST_FPERIOD_OVERRIDE=FQ","FILING_STATUS=OR","EQY_CONSOLIDATED=Y","Sort=A","Dates=H","DateFormat=P","Fill=—","Direction=H","UseDPDF=Y")</f>
        <v>#NAME?</v>
      </c>
      <c r="AT47" s="2" t="e">
        <f ca="1">_xll.BDH($C$28,"INVENTORY_5_YEAR_GROWTH","FQ4 2017","FQ4 2017","Currency=INR","Period=FQ","BEST_FPERIOD_OVERRIDE=FQ","FILING_STATUS=OR","EQY_CONSOLIDATED=Y","Sort=A","Dates=H","DateFormat=P","Fill=—","Direction=H","UseDPDF=Y")</f>
        <v>#NAME?</v>
      </c>
      <c r="AU47" s="2" t="e">
        <f ca="1">_xll.BDH($C$28,"NET_FIXED_ASSETS_5_YEAR_GROWTH","FQ4 2017","FQ4 2017","Currency=INR","Period=FQ","BEST_FPERIOD_OVERRIDE=FQ","FILING_STATUS=OR","EQY_CONSOLIDATED=Y","Sort=A","Dates=H","DateFormat=P","Fill=—","Direction=H","UseDPDF=Y")</f>
        <v>#NAME?</v>
      </c>
      <c r="AV47" s="2" t="e">
        <f ca="1">_xll.BDH($C$28,"GEO_GROW_TOT_ASSET","FQ4 2017","FQ4 2017","Currency=INR","Period=FQ","BEST_FPERIOD_OVERRIDE=FQ","FILING_STATUS=OR","EQY_CONSOLIDATED=Y","Sort=A","Dates=H","DateFormat=P","Fill=—","Direction=H","UseDPDF=Y")</f>
        <v>#NAME?</v>
      </c>
      <c r="AW47" s="2" t="e">
        <f ca="1">_xll.BDH($C$28,"MODIFIED_WORKING_CPTL_5YR_GRWTH","FQ4 2017","FQ4 2017","Currency=INR","Period=FQ","BEST_FPERIOD_OVERRIDE=FQ","FILING_STATUS=OR","EQY_CONSOLIDATED=Y","Sort=A","Dates=H","DateFormat=P","Fill=—","Direction=H","UseDPDF=Y")</f>
        <v>#NAME?</v>
      </c>
      <c r="AX47" s="2" t="e">
        <f ca="1">_xll.BDH($C$28,"WORKING_CAPITAL_5_YEAR_GROWTH","FQ4 2017","FQ4 2017","Currency=INR","Period=FQ","BEST_FPERIOD_OVERRIDE=FQ","FILING_STATUS=OR","EQY_CONSOLIDATED=Y","Sort=A","Dates=H","DateFormat=P","Fill=—","Direction=H","UseDPDF=Y")</f>
        <v>#NAME?</v>
      </c>
      <c r="AY47" s="2" t="e">
        <f ca="1">_xll.BDH($C$28,"ACCOUNTS_PAYABLE_5_YEAR_GROWTH","FQ4 2017","FQ4 2017","Currency=INR","Period=FQ","BEST_FPERIOD_OVERRIDE=FQ","FILING_STATUS=OR","EQY_CONSOLIDATED=Y","Sort=A","Dates=H","DateFormat=P","Fill=—","Direction=H","UseDPDF=Y")</f>
        <v>#NAME?</v>
      </c>
      <c r="AZ47" s="2" t="e">
        <f ca="1">_xll.BDH($C$28,"SHORT_TERM_DEBT_5_YEAR_GROWTH","FQ4 2017","FQ4 2017","Currency=INR","Period=FQ","BEST_FPERIOD_OVERRIDE=FQ","FILING_STATUS=OR","EQY_CONSOLIDATED=Y","Sort=A","Dates=H","DateFormat=P","Fill=—","Direction=H","UseDPDF=Y")</f>
        <v>#NAME?</v>
      </c>
      <c r="BA47" s="2" t="e">
        <f ca="1">_xll.BDH($C$28,"TOTAL_DEBT_5_YEAR_GROWTH","FQ4 2017","FQ4 2017","Currency=INR","Period=FQ","BEST_FPERIOD_OVERRIDE=FQ","FILING_STATUS=OR","EQY_CONSOLIDATED=Y","Sort=A","Dates=H","DateFormat=P","Fill=—","Direction=H","UseDPDF=Y")</f>
        <v>#NAME?</v>
      </c>
      <c r="BB47" s="2" t="e">
        <f ca="1">_xll.BDH($C$28,"GEO_GROW_TOT_SHRHLDR_EQY","FQ4 2017","FQ4 2017","Currency=INR","Period=FQ","BEST_FPERIOD_OVERRIDE=FQ","FILING_STATUS=OR","EQY_CONSOLIDATED=Y","Sort=A","Dates=H","DateFormat=P","Fill=—","Direction=H","UseDPDF=Y")</f>
        <v>#NAME?</v>
      </c>
      <c r="BC47" s="2" t="e">
        <f ca="1">_xll.BDH($C$28,"TOTAL_CAPITAL_5_YEAR_GROWTH","FQ4 2017","FQ4 2017","Currency=INR","Period=FQ","BEST_FPERIOD_OVERRIDE=FQ","FILING_STATUS=OR","EQY_CONSOLIDATED=Y","Sort=A","Dates=H","DateFormat=P","Fill=—","Direction=H","UseDPDF=Y")</f>
        <v>#NAME?</v>
      </c>
      <c r="BD47" s="2" t="e">
        <f ca="1">_xll.BDH($C$28,"GEO_GROW_BOOK_VAL","FQ4 2017","FQ4 2017","Currency=INR","Period=FQ","BEST_FPERIOD_OVERRIDE=FQ","FILING_STATUS=OR","EQY_CONSOLIDATED=Y","Sort=A","Dates=H","DateFormat=P","Fill=—","Direction=H","UseDPDF=Y")</f>
        <v>#NAME?</v>
      </c>
      <c r="BE47" s="2" t="e">
        <f ca="1">_xll.BDH($C$28,"GEO_GROW_CASH_OPER_ACT","FQ4 2017","FQ4 2017","Currency=INR","Period=FQ","BEST_FPERIOD_OVERRIDE=FQ","FILING_STATUS=OR","EQY_CONSOLIDATED=Y","Sort=A","Dates=H","DateFormat=P","Fill=—","Direction=H","UseDPDF=Y")</f>
        <v>#NAME?</v>
      </c>
      <c r="BF47" s="2" t="e">
        <f ca="1">_xll.BDH($C$28,"REVENUE_SEQUENTIAL_GROWTH","FQ4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" s="2" t="e">
        <f ca="1">_xll.BDH($C$28,"EBITDA_SEQUENTIAL_GROWTH","FQ4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" s="2" t="e">
        <f ca="1">_xll.BDH($C$28,"OPERATING_INCOME_SEQ_GROWTH","FQ4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" s="2" t="e">
        <f ca="1">_xll.BDH($C$28,"NET_INCOME_TO_COMMON_SEQ_GROWTH","FQ4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" s="2" t="e">
        <f ca="1">_xll.BDH($C$28,"EPS_DILUTED_SEQUENTIAL_GROWTH","FQ4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" s="2" t="e">
        <f ca="1">_xll.BDH($C$28,"DPS_SEQUENTIAL_GROWTH","FQ4 2017","FQ4 2017","Currency=INR","Period=FQ","BEST_FPERIOD_OVERRIDE=FQ","FILING_STATUS=OR","EQY_CONSOLIDATED=Y","Sort=A","Dates=H","DateFormat=P","Fill=—","Direction=H","UseDPDF=Y")</f>
        <v>#NAME?</v>
      </c>
      <c r="BL47" s="2" t="e">
        <f ca="1">_xll.BDH($C$28,"ACCOUNTS_RECEIVABLE_SEQ_GROWTH","FQ4 2017","FQ4 2017","Currency=INR","Period=FQ","BEST_FPERIOD_OVERRIDE=FQ","FILING_STATUS=OR","EQY_CONSOLIDATED=Y","Sort=A","Dates=H","DateFormat=P","Fill=—","Direction=H","UseDPDF=Y")</f>
        <v>#NAME?</v>
      </c>
      <c r="BM47" s="2" t="e">
        <f ca="1">_xll.BDH($C$28,"INVENTORY_SEQUENTIAL_GROWTH","FQ4 2017","FQ4 2017","Currency=INR","Period=FQ","BEST_FPERIOD_OVERRIDE=FQ","FILING_STATUS=OR","EQY_CONSOLIDATED=Y","Sort=A","Dates=H","DateFormat=P","Fill=—","Direction=H","UseDPDF=Y")</f>
        <v>#NAME?</v>
      </c>
      <c r="BN47" s="2" t="e">
        <f ca="1">_xll.BDH($C$28,"FIXED_ASSETS_SEQUENTIAL_GROWTH","FQ4 2017","FQ4 2017","Currency=INR","Period=FQ","BEST_FPERIOD_OVERRIDE=FQ","FILING_STATUS=OR","EQY_CONSOLIDATED=Y","Sort=A","Dates=H","DateFormat=P","Fill=—","Direction=H","UseDPDF=Y")</f>
        <v>#NAME?</v>
      </c>
      <c r="BO47" s="2" t="e">
        <f ca="1">_xll.BDH($C$28,"TOTAL_ASSETS_SEQUENTIAL_GROWTH","FQ4 2017","FQ4 2017","Currency=INR","Period=FQ","BEST_FPERIOD_OVERRIDE=FQ","FILING_STATUS=OR","EQY_CONSOLIDATED=Y","Sort=A","Dates=H","DateFormat=P","Fill=—","Direction=H","UseDPDF=Y")</f>
        <v>#NAME?</v>
      </c>
      <c r="BP47" s="2" t="e">
        <f ca="1">_xll.BDH($C$28,"MODIFIED_WORKING_CPTL_SEQ_GRWTH","FQ4 2017","FQ4 2017","Currency=INR","Period=FQ","BEST_FPERIOD_OVERRIDE=FQ","FILING_STATUS=OR","EQY_CONSOLIDATED=Y","Sort=A","Dates=H","DateFormat=P","Fill=—","Direction=H","UseDPDF=Y")</f>
        <v>#NAME?</v>
      </c>
      <c r="BQ47" s="2" t="e">
        <f ca="1">_xll.BDH($C$28,"WORKING_CAPITAL_SEQ_GROWTH","FQ4 2017","FQ4 2017","Currency=INR","Period=FQ","BEST_FPERIOD_OVERRIDE=FQ","FILING_STATUS=OR","EQY_CONSOLIDATED=Y","Sort=A","Dates=H","DateFormat=P","Fill=—","Direction=H","UseDPDF=Y")</f>
        <v>#NAME?</v>
      </c>
      <c r="BR47" s="2" t="e">
        <f ca="1">_xll.BDH($C$28,"ACCOUNTS_PAYABLE_SEQ_GROWTH","FQ4 2017","FQ4 2017","Currency=INR","Period=FQ","BEST_FPERIOD_OVERRIDE=FQ","FILING_STATUS=OR","EQY_CONSOLIDATED=Y","Sort=A","Dates=H","DateFormat=P","Fill=—","Direction=H","UseDPDF=Y")</f>
        <v>#NAME?</v>
      </c>
      <c r="BS47" s="2" t="e">
        <f ca="1">_xll.BDH($C$28,"ST_DEBT_SEQUENTIAL_GROWTH","FQ4 2017","FQ4 2017","Currency=INR","Period=FQ","BEST_FPERIOD_OVERRIDE=FQ","FILING_STATUS=OR","EQY_CONSOLIDATED=Y","Sort=A","Dates=H","DateFormat=P","Fill=—","Direction=H","UseDPDF=Y")</f>
        <v>#NAME?</v>
      </c>
      <c r="BT47" s="2" t="e">
        <f ca="1">_xll.BDH($C$28,"TOTAL_DEBT_SEQUENTIAL_GROWTH","FQ4 2017","FQ4 2017","Currency=INR","Period=FQ","BEST_FPERIOD_OVERRIDE=FQ","FILING_STATUS=OR","EQY_CONSOLIDATED=Y","Sort=A","Dates=H","DateFormat=P","Fill=—","Direction=H","UseDPDF=Y")</f>
        <v>#NAME?</v>
      </c>
      <c r="BU47" s="2" t="e">
        <f ca="1">_xll.BDH($C$28,"TOTAL_EQUITY_SEQUENTIAL_GROWTH","FQ4 2017","FQ4 2017","Currency=INR","Period=FQ","BEST_FPERIOD_OVERRIDE=FQ","FILING_STATUS=OR","EQY_CONSOLIDATED=Y","Sort=A","Dates=H","DateFormat=P","Fill=—","Direction=H","UseDPDF=Y")</f>
        <v>#NAME?</v>
      </c>
      <c r="BV47" s="2" t="e">
        <f ca="1">_xll.BDH($C$28,"TOTAL_CAPITAL_SEQUENTIAL_GROWTH","FQ4 2017","FQ4 2017","Currency=INR","Period=FQ","BEST_FPERIOD_OVERRIDE=FQ","FILING_STATUS=OR","EQY_CONSOLIDATED=Y","Sort=A","Dates=H","DateFormat=P","Fill=—","Direction=H","UseDPDF=Y")</f>
        <v>#NAME?</v>
      </c>
      <c r="BW47" s="2" t="e">
        <f ca="1">_xll.BDH($C$28,"BPS_SEQUENTIAL_GROWTH","FQ4 2017","FQ4 2017","Currency=INR","Period=FQ","BEST_FPERIOD_OVERRIDE=FQ","FILING_STATUS=OR","EQY_CONSOLIDATED=Y","Sort=A","Dates=H","DateFormat=P","Fill=—","Direction=H","UseDPDF=Y")</f>
        <v>#NAME?</v>
      </c>
      <c r="BX47" s="2" t="e">
        <f ca="1">_xll.BDH($C$28,"CFO_SEQUENTIAL_GROWTH","FQ4 2017","FQ4 2017","Currency=INR","Period=FQ","BEST_FPERIOD_OVERRIDE=FQ","FILING_STATUS=OR","EQY_CONSOLIDATED=Y","Sort=A","Dates=H","DateFormat=P","Fill=—","Direction=H","UseDPDF=Y")</f>
        <v>#NAME?</v>
      </c>
      <c r="BY47" s="3" t="e">
        <f ca="1">_xll.BDH($C$28,"SHORT_AND_LONG_TERM_DEBT","FQ4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" s="3" t="e">
        <f ca="1">_xll.BDH($C$28,"BS_ST_BORROW","FQ4 2017","FQ4 2017","Currency=INR","Period=FQ","BEST_FPERIOD_OVERRIDE=FQ","FILING_STATUS=OR","EQY_CONSOLIDATED=Y","SCALING_FORMAT=MLN","Sort=A","Dates=H","DateFormat=P","Fill=—","Direction=H","UseDPDF=Y")</f>
        <v>#NAME?</v>
      </c>
      <c r="CA47" s="3" t="e">
        <f ca="1">_xll.BDH($C$28,"BS_LT_BORROW","FQ4 2017","FQ4 2017","Currency=INR","Period=FQ","BEST_FPERIOD_OVERRIDE=FQ","FILING_STATUS=OR","EQY_CONSOLIDATED=Y","SCALING_FORMAT=MLN","Sort=A","Dates=H","DateFormat=P","Fill=—","Direction=H","UseDPDF=Y")</f>
        <v>#NAME?</v>
      </c>
      <c r="CB47" s="2" t="e">
        <f ca="1">_xll.BDH($C$28,"TOT_DEBT_TO_EBITDA","FQ4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" s="2" t="e">
        <f ca="1">_xll.BDH($C$28,"NET_DEBT_TO_EBITDA","FQ4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" s="2" t="e">
        <f ca="1">_xll.BDH($C$28,"TOTAL_DEBT_TO_EBIT","FQ4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" s="2" t="e">
        <f ca="1">_xll.BDH($C$28,"NET_DEBT_TO_EBIT","FQ4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" s="2" t="e">
        <f ca="1">_xll.BDH($C$28,"EBITDA_TO_INTEREST_EXPN","FQ4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" s="2" t="e">
        <f ca="1">_xll.BDH($C$28,"COM_EQY_TO_TOT_ASSET","FQ4 2017","FQ4 2017","Currency=INR","Period=FQ","BEST_FPERIOD_OVERRIDE=FQ","FILING_STATUS=OR","EQY_CONSOLIDATED=Y","Sort=A","Dates=H","DateFormat=P","Fill=—","Direction=H","UseDPDF=Y")</f>
        <v>#NAME?</v>
      </c>
      <c r="CH47" s="2" t="e">
        <f ca="1">_xll.BDH($C$28,"LT_DEBT_TO_TOT_EQY","FQ4 2017","FQ4 2017","Currency=INR","Period=FQ","BEST_FPERIOD_OVERRIDE=FQ","FILING_STATUS=OR","EQY_CONSOLIDATED=Y","Sort=A","Dates=H","DateFormat=P","Fill=—","Direction=H","UseDPDF=Y")</f>
        <v>#NAME?</v>
      </c>
      <c r="CI47" s="2" t="e">
        <f ca="1">_xll.BDH($C$28,"LT_DEBT_TO_TOT_CAP","FQ4 2017","FQ4 2017","Currency=INR","Period=FQ","BEST_FPERIOD_OVERRIDE=FQ","FILING_STATUS=OR","EQY_CONSOLIDATED=Y","Sort=A","Dates=H","DateFormat=P","Fill=—","Direction=H","UseDPDF=Y")</f>
        <v>#NAME?</v>
      </c>
      <c r="CJ47" s="2" t="e">
        <f ca="1">_xll.BDH($C$28,"LT_DEBT_TO_TOT_ASSET","FQ4 2017","FQ4 2017","Currency=INR","Period=FQ","BEST_FPERIOD_OVERRIDE=FQ","FILING_STATUS=OR","EQY_CONSOLIDATED=Y","Sort=A","Dates=H","DateFormat=P","Fill=—","Direction=H","UseDPDF=Y")</f>
        <v>#NAME?</v>
      </c>
      <c r="CK47" s="2" t="e">
        <f ca="1">_xll.BDH($C$28,"TOT_DEBT_TO_TOT_EQY","FQ4 2017","FQ4 2017","Currency=INR","Period=FQ","BEST_FPERIOD_OVERRIDE=FQ","FILING_STATUS=OR","EQY_CONSOLIDATED=Y","Sort=A","Dates=H","DateFormat=P","Fill=—","Direction=H","UseDPDF=Y")</f>
        <v>#NAME?</v>
      </c>
      <c r="CL47" s="2" t="e">
        <f ca="1">_xll.BDH($C$28,"TOT_DEBT_TO_TOT_CAP","FQ4 2017","FQ4 2017","Currency=INR","Period=FQ","BEST_FPERIOD_OVERRIDE=FQ","FILING_STATUS=OR","EQY_CONSOLIDATED=Y","Sort=A","Dates=H","DateFormat=P","Fill=—","Direction=H","UseDPDF=Y")</f>
        <v>#NAME?</v>
      </c>
      <c r="CM47" s="2" t="e">
        <f ca="1">_xll.BDH($C$28,"TOT_DEBT_TO_TOT_ASSET","FQ4 2017","FQ4 2017","Currency=INR","Period=FQ","BEST_FPERIOD_OVERRIDE=FQ","FILING_STATUS=OR","EQY_CONSOLIDATED=Y","Sort=A","Dates=H","DateFormat=P","Fill=—","Direction=H","UseDPDF=Y")</f>
        <v>#NAME?</v>
      </c>
      <c r="CN47" s="2" t="e">
        <f ca="1">_xll.BDH($C$28,"NET_DEBT_TO_SHRHLDR_EQTY","FQ4 2017","FQ4 2017","Currency=INR","Period=FQ","BEST_FPERIOD_OVERRIDE=FQ","FILING_STATUS=OR","EQY_CONSOLIDATED=Y","Sort=A","Dates=H","DateFormat=P","Fill=—","Direction=H","UseDPDF=Y")</f>
        <v>#NAME?</v>
      </c>
      <c r="CO47" s="2" t="e">
        <f ca="1">_xll.BDH($C$28,"NET_DEBT_%_CAPITAL","FQ4 2017","FQ4 2017","Currency=INR","Period=FQ","BEST_FPERIOD_OVERRIDE=FQ","FILING_STATUS=OR","EQY_CONSOLIDATED=Y","Sort=A","Dates=H","DateFormat=P","Fill=—","Direction=H","UseDPDF=Y")</f>
        <v>#NAME?</v>
      </c>
      <c r="CP47" s="3" t="e">
        <f ca="1">_xll.BDH($C$28,"EBITDA","FQ4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" s="3" t="e">
        <f ca="1">_xll.BDH($C$28,"EBITDA_AFTER_CAPEX","FQ4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" s="3" t="e">
        <f ca="1">_xll.BDH($C$28,"IS_OPER_INC","FQ4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" s="2" t="e">
        <f ca="1">_xll.BDH($C$28,"CASH_RATIO","FQ4 2017","FQ4 2017","Currency=INR","Period=FQ","BEST_FPERIOD_OVERRIDE=FQ","FILING_STATUS=OR","EQY_CONSOLIDATED=Y","Sort=A","Dates=H","DateFormat=P","Fill=—","Direction=H","UseDPDF=Y")</f>
        <v>#NAME?</v>
      </c>
      <c r="CT47" s="2" t="e">
        <f ca="1">_xll.BDH($C$28,"CUR_RATIO","FQ4 2017","FQ4 2017","Currency=INR","Period=FQ","BEST_FPERIOD_OVERRIDE=FQ","FILING_STATUS=OR","EQY_CONSOLIDATED=Y","Sort=A","Dates=H","DateFormat=P","Fill=—","Direction=H","UseDPDF=Y")</f>
        <v>#NAME?</v>
      </c>
      <c r="CU47" s="2" t="e">
        <f ca="1">_xll.BDH($C$28,"QUICK_RATIO","FQ4 2017","FQ4 2017","Currency=INR","Period=FQ","BEST_FPERIOD_OVERRIDE=FQ","FILING_STATUS=OR","EQY_CONSOLIDATED=Y","Sort=A","Dates=H","DateFormat=P","Fill=—","Direction=H","UseDPDF=Y")</f>
        <v>#NAME?</v>
      </c>
      <c r="CV47" s="2" t="e">
        <f ca="1">_xll.BDH($C$28,"ALTMAN_Z_SCORE","FQ4 2017","FQ4 2017","Currency=INR","Period=FQ","BEST_FPERIOD_OVERRIDE=FQ","FILING_STATUS=OR","EQY_CONSOLIDATED=Y","Sort=A","Dates=H","DateFormat=P","Fill=—","Direction=H","UseDPDF=Y")</f>
        <v>#NAME?</v>
      </c>
      <c r="CW47" s="4" t="e">
        <f ca="1">_xll.BDH($C$28,"ACCT_RCV_TURN","FQ4 2017","FQ4 2017","Currency=INR","Period=FQ","BEST_FPERIOD_OVERRIDE=FQ","FILING_STATUS=OR","EQY_CONSOLIDATED=Y","FA_ADJUSTED=GAAP","Sort=A","Dates=H","DateFormat=P","Fill=—","Direction=H","UseDPDF=Y")</f>
        <v>#NAME?</v>
      </c>
      <c r="CX47" s="2" t="e">
        <f ca="1">_xll.BDH($C$28,"ACCT_RCV_DAYS","FQ4 2017","FQ4 2017","Currency=INR","Period=FQ","BEST_FPERIOD_OVERRIDE=FQ","FILING_STATUS=OR","EQY_CONSOLIDATED=Y","FA_ADJUSTED=GAAP","Sort=A","Dates=H","DateFormat=P","Fill=—","Direction=H","UseDPDF=Y")</f>
        <v>#NAME?</v>
      </c>
      <c r="CY47" s="4" t="e">
        <f ca="1">_xll.BDH($C$28,"INVENT_TURN","FQ4 2017","FQ4 2017","Currency=INR","Period=FQ","BEST_FPERIOD_OVERRIDE=FQ","FILING_STATUS=OR","EQY_CONSOLIDATED=Y","FA_ADJUSTED=GAAP","Sort=A","Dates=H","DateFormat=P","Fill=—","Direction=H","UseDPDF=Y")</f>
        <v>#NAME?</v>
      </c>
      <c r="CZ47" s="2" t="e">
        <f ca="1">_xll.BDH($C$28,"INVENT_DAYS","FQ4 2017","FQ4 2017","Currency=INR","Period=FQ","BEST_FPERIOD_OVERRIDE=FQ","FILING_STATUS=OR","EQY_CONSOLIDATED=Y","FA_ADJUSTED=GAAP","Sort=A","Dates=H","DateFormat=P","Fill=—","Direction=H","UseDPDF=Y")</f>
        <v>#NAME?</v>
      </c>
      <c r="DA47" s="4" t="e">
        <f ca="1">_xll.BDH($C$28,"ACCOUNTS_PAYABLE_TURNOVER","FQ4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" s="2" t="e">
        <f ca="1">_xll.BDH($C$28,"ACCOUNTS_PAYABLE_TURNOVER_DAYS","FQ4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" s="4" t="e">
        <f ca="1">_xll.BDH($C$28,"CASH_CONVERSION_CYCLE","FQ4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" s="4" t="e">
        <f ca="1">_xll.BDH($C$28,"INV_TO_CASH_DAYS","FQ4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" s="5" t="e">
        <f ca="1">_xll.BDH($C$28,"BS_INVENTORIES","FQ4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" s="3" t="e">
        <f ca="1">_xll.BDH($C$28,"INVTRY_RAW_MATERIALS","FQ4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" s="3" t="e">
        <f ca="1">_xll.BDH($C$28,"INVTRY_IN_PROGRESS","FQ4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" s="3" t="e">
        <f ca="1">_xll.BDH($C$28,"INVTRY_FINISHED_GOODS","FQ4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" s="3" t="e">
        <f ca="1">_xll.BDH($C$28,"BS_OTHER_INV","FQ4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8" spans="1:113" x14ac:dyDescent="0.3">
      <c r="A48" s="6"/>
      <c r="B48" s="6"/>
      <c r="C48" s="6"/>
      <c r="D48" s="6" t="s">
        <v>85</v>
      </c>
      <c r="E48" t="s">
        <v>77</v>
      </c>
      <c r="F48" t="e">
        <f ca="1">_xll.BDH($C$28,"RETURN_COM_EQY","FY 2018","FY 2018","Currency=INR","Period=FY","BEST_FPERIOD_OVERRIDE=FY","FILING_STATUS=OR","EQY_CONSOLIDATED=Y","FA_ADJUSTED=GAAP","Sort=A","Dates=H","DateFormat=P","Fill=—","Direction=H","UseDPDF=Y")</f>
        <v>#NAME?</v>
      </c>
      <c r="G48" t="e">
        <f ca="1">_xll.BDH($C$28,"RETURN_ON_ASSET","FY 2018","FY 2018","Currency=INR","Period=FY","BEST_FPERIOD_OVERRIDE=FY","FILING_STATUS=OR","EQY_CONSOLIDATED=Y","FA_ADJUSTED=GAAP","Sort=A","Dates=H","DateFormat=P","Fill=—","Direction=H","UseDPDF=Y")</f>
        <v>#NAME?</v>
      </c>
      <c r="H48" t="e">
        <f ca="1">_xll.BDH($C$28,"RETURN_ON_CAP","FY 2018","FY 2018","Currency=INR","Period=FY","BEST_FPERIOD_OVERRIDE=FY","FILING_STATUS=OR","EQY_CONSOLIDATED=Y","FA_ADJUSTED=GAAP","Sort=A","Dates=H","DateFormat=P","Fill=—","Direction=H","UseDPDF=Y")</f>
        <v>#NAME?</v>
      </c>
      <c r="I48" t="e">
        <f ca="1">_xll.BDH($C$28,"RETURN_ON_INV_CAPITAL","FY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8" t="e">
        <f ca="1">_xll.BDH($C$28,"EBITDA_TO_REVENUE","FY 2018","FY 2018","Currency=INR","Period=FY","BEST_FPERIOD_OVERRIDE=FY","FILING_STATUS=OR","EQY_CONSOLIDATED=Y","FA_ADJUSTED=GAAP","Sort=A","Dates=H","DateFormat=P","Fill=—","Direction=H","UseDPDF=Y")</f>
        <v>#NAME?</v>
      </c>
      <c r="K48" t="e">
        <f ca="1">_xll.BDH($C$28,"OPER_MARGIN","FY 2018","FY 2018","Currency=INR","Period=FY","BEST_FPERIOD_OVERRIDE=FY","FILING_STATUS=OR","EQY_CONSOLIDATED=Y","FA_ADJUSTED=GAAP","Sort=A","Dates=H","DateFormat=P","Fill=—","Direction=H","UseDPDF=Y")</f>
        <v>#NAME?</v>
      </c>
      <c r="L48" t="e">
        <f ca="1">_xll.BDH($C$28,"INCREMENTAL_OPERATING_MARGIN","FY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8" t="e">
        <f ca="1">_xll.BDH($C$28,"PRETAX_INC_TO_NET_SALES","FY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8" t="e">
        <f ca="1">_xll.BDH($C$28,"INC_BEF_XO_ITEMS_TO_NET_SALES","FY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8" t="e">
        <f ca="1">_xll.BDH($C$28,"PROF_MARGIN","FY 2018","FY 2018","Currency=INR","Period=FY","BEST_FPERIOD_OVERRIDE=FY","FILING_STATUS=OR","EQY_CONSOLIDATED=Y","FA_ADJUSTED=GAAP","Sort=A","Dates=H","DateFormat=P","Fill=—","Direction=H","UseDPDF=Y")</f>
        <v>#NAME?</v>
      </c>
      <c r="P48" t="e">
        <f ca="1">_xll.BDH($C$28,"NET_INCOME_TO_COMMON_MARGIN","FY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8" t="e">
        <f ca="1">_xll.BDH($C$28,"EFF_TAX_RATE","FY 2018","FY 2018","Currency=INR","Period=FY","BEST_FPERIOD_OVERRIDE=FY","FILING_STATUS=OR","EQY_CONSOLIDATED=Y","FA_ADJUSTED=GAAP","Sort=A","Dates=H","DateFormat=P","Fill=—","Direction=H","UseDPDF=Y")</f>
        <v>#NAME?</v>
      </c>
      <c r="R48" t="e">
        <f ca="1">_xll.BDH($C$28,"DVD_PAYOUT_RATIO","FY 2018","FY 2018","Currency=INR","Period=FY","BEST_FPERIOD_OVERRIDE=FY","FILING_STATUS=OR","EQY_CONSOLIDATED=Y","FA_ADJUSTED=GAAP","Sort=A","Dates=H","DateFormat=P","Fill=—","Direction=H","UseDPDF=Y")</f>
        <v>#NAME?</v>
      </c>
      <c r="S48" t="e">
        <f ca="1">_xll.BDH($C$28,"SUSTAIN_GROWTH_RT","FY 2018","FY 2018","Currency=INR","Period=FY","BEST_FPERIOD_OVERRIDE=FY","FILING_STATUS=OR","EQY_CONSOLIDATED=Y","FA_ADJUSTED=GAAP","Sort=A","Dates=H","DateFormat=P","Fill=—","Direction=H","UseDPDF=Y")</f>
        <v>#NAME?</v>
      </c>
      <c r="T48" s="2" t="e">
        <f ca="1">_xll.BDH($C$28,"SALES_GROWTH","FY 2018","FY 2018","Currency=INR","Period=FY","BEST_FPERIOD_OVERRIDE=FY","FILING_STATUS=OR","EQY_CONSOLIDATED=Y","FA_ADJUSTED=GAAP","Sort=A","Dates=H","DateFormat=P","Fill=—","Direction=H","UseDPDF=Y")</f>
        <v>#NAME?</v>
      </c>
      <c r="U48" s="2" t="e">
        <f ca="1">_xll.BDH($C$28,"EBITDA_GROWTH","FY 2018","FY 2018","Currency=INR","Period=FY","BEST_FPERIOD_OVERRIDE=FY","FILING_STATUS=OR","EQY_CONSOLIDATED=Y","FA_ADJUSTED=GAAP","Sort=A","Dates=H","DateFormat=P","Fill=—","Direction=H","UseDPDF=Y")</f>
        <v>#NAME?</v>
      </c>
      <c r="V48" s="2" t="e">
        <f ca="1">_xll.BDH($C$28,"OPER_INC_GROWTH","FY 2018","FY 2018","Currency=INR","Period=FY","BEST_FPERIOD_OVERRIDE=FY","FILING_STATUS=OR","EQY_CONSOLIDATED=Y","FA_ADJUSTED=GAAP","Sort=A","Dates=H","DateFormat=P","Fill=—","Direction=H","UseDPDF=Y")</f>
        <v>#NAME?</v>
      </c>
      <c r="W48" s="2" t="e">
        <f ca="1">_xll.BDH($C$28,"EARN_FOR_COM_GROWTH","FY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8" s="2" t="e">
        <f ca="1">_xll.BDH($C$28,"DILUTED_EPS_AFT_XO_ITEMS_GROWTH","FY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8" s="2" t="e">
        <f ca="1">_xll.BDH($C$28,"DIVIDEND_PER_SHARE_1_YEAR_GROWTH","FY 2018","FY 2018","Currency=INR","Period=FY","BEST_FPERIOD_OVERRIDE=FY","FILING_STATUS=OR","EQY_CONSOLIDATED=Y","Sort=A","Dates=H","DateFormat=P","Fill=—","Direction=H","UseDPDF=Y")</f>
        <v>#NAME?</v>
      </c>
      <c r="Z48" s="2" t="e">
        <f ca="1">_xll.BDH($C$28,"ACCOUNTS_RECEIVABLE_GROWTH","FY 2018","FY 2018","Currency=INR","Period=FY","BEST_FPERIOD_OVERRIDE=FY","FILING_STATUS=OR","EQY_CONSOLIDATED=Y","Sort=A","Dates=H","DateFormat=P","Fill=—","Direction=H","UseDPDF=Y")</f>
        <v>#NAME?</v>
      </c>
      <c r="AA48" s="2" t="e">
        <f ca="1">_xll.BDH($C$28,"INVENTORY_GROWTH","FY 2018","FY 2018","Currency=INR","Period=FY","BEST_FPERIOD_OVERRIDE=FY","FILING_STATUS=OR","EQY_CONSOLIDATED=Y","Sort=A","Dates=H","DateFormat=P","Fill=—","Direction=H","UseDPDF=Y")</f>
        <v>#NAME?</v>
      </c>
      <c r="AB48" s="2" t="e">
        <f ca="1">_xll.BDH($C$28,"NET_FIXED_ASSETS_1_YEAR_GROWTH","FY 2018","FY 2018","Currency=INR","Period=FY","BEST_FPERIOD_OVERRIDE=FY","FILING_STATUS=OR","EQY_CONSOLIDATED=Y","Sort=A","Dates=H","DateFormat=P","Fill=—","Direction=H","UseDPDF=Y")</f>
        <v>#NAME?</v>
      </c>
      <c r="AC48" s="2" t="e">
        <f ca="1">_xll.BDH($C$28,"ASSET_GROWTH","FY 2018","FY 2018","Currency=INR","Period=FY","BEST_FPERIOD_OVERRIDE=FY","FILING_STATUS=OR","EQY_CONSOLIDATED=Y","Sort=A","Dates=H","DateFormat=P","Fill=—","Direction=H","UseDPDF=Y")</f>
        <v>#NAME?</v>
      </c>
      <c r="AD48" s="2" t="e">
        <f ca="1">_xll.BDH($C$28,"MODIFIED_WORK_CAP_GROWTH","FY 2018","FY 2018","Currency=INR","Period=FY","BEST_FPERIOD_OVERRIDE=FY","FILING_STATUS=OR","EQY_CONSOLIDATED=Y","Sort=A","Dates=H","DateFormat=P","Fill=—","Direction=H","UseDPDF=Y")</f>
        <v>#NAME?</v>
      </c>
      <c r="AE48" s="2" t="e">
        <f ca="1">_xll.BDH($C$28,"WORK_CAP_GROWTH","FY 2018","FY 2018","Currency=INR","Period=FY","BEST_FPERIOD_OVERRIDE=FY","FILING_STATUS=OR","EQY_CONSOLIDATED=Y","Sort=A","Dates=H","DateFormat=P","Fill=—","Direction=H","UseDPDF=Y")</f>
        <v>#NAME?</v>
      </c>
      <c r="AF48" s="2" t="e">
        <f ca="1">_xll.BDH($C$28,"ACCOUNTS_PAYABLE_GROWTH_1YR","FY 2018","FY 2018","Currency=INR","Period=FY","BEST_FPERIOD_OVERRIDE=FY","FILING_STATUS=OR","EQY_CONSOLIDATED=Y","Sort=A","Dates=H","DateFormat=P","Fill=—","Direction=H","UseDPDF=Y")</f>
        <v>#NAME?</v>
      </c>
      <c r="AG48" s="2" t="e">
        <f ca="1">_xll.BDH($C$28,"SHORT_TERM_DEBT_1_YEAR_GROWTH","FY 2018","FY 2018","Currency=INR","Period=FY","BEST_FPERIOD_OVERRIDE=FY","FILING_STATUS=OR","EQY_CONSOLIDATED=Y","Sort=A","Dates=H","DateFormat=P","Fill=—","Direction=H","UseDPDF=Y")</f>
        <v>#NAME?</v>
      </c>
      <c r="AH48" s="2" t="e">
        <f ca="1">_xll.BDH($C$28,"TOTAL_DEBT_1_YEAR_GROWTH","FY 2018","FY 2018","Currency=INR","Period=FY","BEST_FPERIOD_OVERRIDE=FY","FILING_STATUS=OR","EQY_CONSOLIDATED=Y","Sort=A","Dates=H","DateFormat=P","Fill=—","Direction=H","UseDPDF=Y")</f>
        <v>#NAME?</v>
      </c>
      <c r="AI48" s="2" t="e">
        <f ca="1">_xll.BDH($C$28,"TOTAL_EQUITY_1_YEAR_GROWTH","FY 2018","FY 2018","Currency=INR","Period=FY","BEST_FPERIOD_OVERRIDE=FY","FILING_STATUS=OR","EQY_CONSOLIDATED=Y","Sort=A","Dates=H","DateFormat=P","Fill=—","Direction=H","UseDPDF=Y")</f>
        <v>#NAME?</v>
      </c>
      <c r="AJ48" s="2" t="e">
        <f ca="1">_xll.BDH($C$28,"GROWTH_IN_CAP","FY 2018","FY 2018","Currency=INR","Period=FY","BEST_FPERIOD_OVERRIDE=FY","FILING_STATUS=OR","EQY_CONSOLIDATED=Y","Sort=A","Dates=H","DateFormat=P","Fill=—","Direction=H","UseDPDF=Y")</f>
        <v>#NAME?</v>
      </c>
      <c r="AK48" s="2" t="e">
        <f ca="1">_xll.BDH($C$28,"BVPS_GROWTH","FY 2018","FY 2018","Currency=INR","Period=FY","BEST_FPERIOD_OVERRIDE=FY","FILING_STATUS=OR","EQY_CONSOLIDATED=Y","Sort=A","Dates=H","DateFormat=P","Fill=—","Direction=H","UseDPDF=Y")</f>
        <v>#NAME?</v>
      </c>
      <c r="AL48" s="2" t="e">
        <f ca="1">_xll.BDH($C$28,"CASH_FLOW_GROWTH","FY 2018","FY 2018","Currency=INR","Period=FY","BEST_FPERIOD_OVERRIDE=FY","FILING_STATUS=OR","EQY_CONSOLIDATED=Y","Sort=A","Dates=H","DateFormat=P","Fill=—","Direction=H","UseDPDF=Y")</f>
        <v>#NAME?</v>
      </c>
      <c r="AM48" s="2" t="e">
        <f ca="1">_xll.BDH($C$28,"GEO_GROW_NET_SALES","FY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8" s="2" t="e">
        <f ca="1">_xll.BDH($C$28,"GEO_GROW_EBITDA","FY 2018","FY 2018","Currency=INR","Period=FY","BEST_FPERIOD_OVERRIDE=FY","FILING_STATUS=OR","EQY_CONSOLIDATED=Y","FA_ADJUSTED=GAAP","Sort=A","Dates=H","DateFormat=P","Fill=—","Direction=H","UseDPDF=Y")</f>
        <v>#NAME?</v>
      </c>
      <c r="AO48" s="2" t="e">
        <f ca="1">_xll.BDH($C$28,"GEO_GROW_OPER_INC","FY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8" s="2" t="e">
        <f ca="1">_xll.BDH($C$28,"NET_INCOME_TO_COMMON_5_YR_GROWTH","FY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8" s="2" t="e">
        <f ca="1">_xll.BDH($C$28,"5Y_GEO_GROWTH_DILUTED_EPS","FY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8" s="2" t="e">
        <f ca="1">_xll.BDH($C$28,"GEO_GROW_DVD_PER_SH","FY 2018","FY 2018","Currency=INR","Period=FY","BEST_FPERIOD_OVERRIDE=FY","FILING_STATUS=OR","EQY_CONSOLIDATED=Y","Sort=A","Dates=H","DateFormat=P","Fill=—","Direction=H","UseDPDF=Y")</f>
        <v>#NAME?</v>
      </c>
      <c r="AS48" s="2" t="e">
        <f ca="1">_xll.BDH($C$28,"ACCOUNTS_RECEIVABLE_5_YR_GROWTH","FY 2018","FY 2018","Currency=INR","Period=FY","BEST_FPERIOD_OVERRIDE=FY","FILING_STATUS=OR","EQY_CONSOLIDATED=Y","Sort=A","Dates=H","DateFormat=P","Fill=—","Direction=H","UseDPDF=Y")</f>
        <v>#NAME?</v>
      </c>
      <c r="AT48" s="2" t="e">
        <f ca="1">_xll.BDH($C$28,"INVENTORY_5_YEAR_GROWTH","FY 2018","FY 2018","Currency=INR","Period=FY","BEST_FPERIOD_OVERRIDE=FY","FILING_STATUS=OR","EQY_CONSOLIDATED=Y","Sort=A","Dates=H","DateFormat=P","Fill=—","Direction=H","UseDPDF=Y")</f>
        <v>#NAME?</v>
      </c>
      <c r="AU48" s="2" t="e">
        <f ca="1">_xll.BDH($C$28,"NET_FIXED_ASSETS_5_YEAR_GROWTH","FY 2018","FY 2018","Currency=INR","Period=FY","BEST_FPERIOD_OVERRIDE=FY","FILING_STATUS=OR","EQY_CONSOLIDATED=Y","Sort=A","Dates=H","DateFormat=P","Fill=—","Direction=H","UseDPDF=Y")</f>
        <v>#NAME?</v>
      </c>
      <c r="AV48" s="2" t="e">
        <f ca="1">_xll.BDH($C$28,"GEO_GROW_TOT_ASSET","FY 2018","FY 2018","Currency=INR","Period=FY","BEST_FPERIOD_OVERRIDE=FY","FILING_STATUS=OR","EQY_CONSOLIDATED=Y","Sort=A","Dates=H","DateFormat=P","Fill=—","Direction=H","UseDPDF=Y")</f>
        <v>#NAME?</v>
      </c>
      <c r="AW48" s="2" t="e">
        <f ca="1">_xll.BDH($C$28,"MODIFIED_WORKING_CPTL_5YR_GRWTH","FY 2018","FY 2018","Currency=INR","Period=FY","BEST_FPERIOD_OVERRIDE=FY","FILING_STATUS=OR","EQY_CONSOLIDATED=Y","Sort=A","Dates=H","DateFormat=P","Fill=—","Direction=H","UseDPDF=Y")</f>
        <v>#NAME?</v>
      </c>
      <c r="AX48" s="2" t="e">
        <f ca="1">_xll.BDH($C$28,"WORKING_CAPITAL_5_YEAR_GROWTH","FY 2018","FY 2018","Currency=INR","Period=FY","BEST_FPERIOD_OVERRIDE=FY","FILING_STATUS=OR","EQY_CONSOLIDATED=Y","Sort=A","Dates=H","DateFormat=P","Fill=—","Direction=H","UseDPDF=Y")</f>
        <v>#NAME?</v>
      </c>
      <c r="AY48" s="2" t="e">
        <f ca="1">_xll.BDH($C$28,"ACCOUNTS_PAYABLE_5_YEAR_GROWTH","FY 2018","FY 2018","Currency=INR","Period=FY","BEST_FPERIOD_OVERRIDE=FY","FILING_STATUS=OR","EQY_CONSOLIDATED=Y","Sort=A","Dates=H","DateFormat=P","Fill=—","Direction=H","UseDPDF=Y")</f>
        <v>#NAME?</v>
      </c>
      <c r="AZ48" s="2" t="e">
        <f ca="1">_xll.BDH($C$28,"SHORT_TERM_DEBT_5_YEAR_GROWTH","FY 2018","FY 2018","Currency=INR","Period=FY","BEST_FPERIOD_OVERRIDE=FY","FILING_STATUS=OR","EQY_CONSOLIDATED=Y","Sort=A","Dates=H","DateFormat=P","Fill=—","Direction=H","UseDPDF=Y")</f>
        <v>#NAME?</v>
      </c>
      <c r="BA48" s="2" t="e">
        <f ca="1">_xll.BDH($C$28,"TOTAL_DEBT_5_YEAR_GROWTH","FY 2018","FY 2018","Currency=INR","Period=FY","BEST_FPERIOD_OVERRIDE=FY","FILING_STATUS=OR","EQY_CONSOLIDATED=Y","Sort=A","Dates=H","DateFormat=P","Fill=—","Direction=H","UseDPDF=Y")</f>
        <v>#NAME?</v>
      </c>
      <c r="BB48" s="2" t="e">
        <f ca="1">_xll.BDH($C$28,"GEO_GROW_TOT_SHRHLDR_EQY","FY 2018","FY 2018","Currency=INR","Period=FY","BEST_FPERIOD_OVERRIDE=FY","FILING_STATUS=OR","EQY_CONSOLIDATED=Y","Sort=A","Dates=H","DateFormat=P","Fill=—","Direction=H","UseDPDF=Y")</f>
        <v>#NAME?</v>
      </c>
      <c r="BC48" s="2" t="e">
        <f ca="1">_xll.BDH($C$28,"TOTAL_CAPITAL_5_YEAR_GROWTH","FY 2018","FY 2018","Currency=INR","Period=FY","BEST_FPERIOD_OVERRIDE=FY","FILING_STATUS=OR","EQY_CONSOLIDATED=Y","Sort=A","Dates=H","DateFormat=P","Fill=—","Direction=H","UseDPDF=Y")</f>
        <v>#NAME?</v>
      </c>
      <c r="BD48" s="2" t="e">
        <f ca="1">_xll.BDH($C$28,"GEO_GROW_BOOK_VAL","FY 2018","FY 2018","Currency=INR","Period=FY","BEST_FPERIOD_OVERRIDE=FY","FILING_STATUS=OR","EQY_CONSOLIDATED=Y","Sort=A","Dates=H","DateFormat=P","Fill=—","Direction=H","UseDPDF=Y")</f>
        <v>#NAME?</v>
      </c>
      <c r="BE48" s="2" t="e">
        <f ca="1">_xll.BDH($C$28,"GEO_GROW_CASH_OPER_ACT","FY 2018","FY 2018","Currency=INR","Period=FY","BEST_FPERIOD_OVERRIDE=FY","FILING_STATUS=OR","EQY_CONSOLIDATED=Y","Sort=A","Dates=H","DateFormat=P","Fill=—","Direction=H","UseDPDF=Y")</f>
        <v>#NAME?</v>
      </c>
      <c r="BF48" s="2" t="e">
        <f ca="1">_xll.BDH($C$28,"REVENUE_SEQUENTIAL_GROWTH","FY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8" s="2" t="e">
        <f ca="1">_xll.BDH($C$28,"EBITDA_SEQUENTIAL_GROWTH","FY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8" s="2" t="e">
        <f ca="1">_xll.BDH($C$28,"OPERATING_INCOME_SEQ_GROWTH","FY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8" s="2" t="e">
        <f ca="1">_xll.BDH($C$28,"NET_INCOME_TO_COMMON_SEQ_GROWTH","FY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8" s="2" t="e">
        <f ca="1">_xll.BDH($C$28,"EPS_DILUTED_SEQUENTIAL_GROWTH","FY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8" s="2" t="e">
        <f ca="1">_xll.BDH($C$28,"DPS_SEQUENTIAL_GROWTH","FY 2018","FY 2018","Currency=INR","Period=FY","BEST_FPERIOD_OVERRIDE=FY","FILING_STATUS=OR","EQY_CONSOLIDATED=Y","Sort=A","Dates=H","DateFormat=P","Fill=—","Direction=H","UseDPDF=Y")</f>
        <v>#NAME?</v>
      </c>
      <c r="BL48" s="2" t="e">
        <f ca="1">_xll.BDH($C$28,"ACCOUNTS_RECEIVABLE_SEQ_GROWTH","FY 2018","FY 2018","Currency=INR","Period=FY","BEST_FPERIOD_OVERRIDE=FY","FILING_STATUS=OR","EQY_CONSOLIDATED=Y","Sort=A","Dates=H","DateFormat=P","Fill=—","Direction=H","UseDPDF=Y")</f>
        <v>#NAME?</v>
      </c>
      <c r="BM48" s="2" t="e">
        <f ca="1">_xll.BDH($C$28,"INVENTORY_SEQUENTIAL_GROWTH","FY 2018","FY 2018","Currency=INR","Period=FY","BEST_FPERIOD_OVERRIDE=FY","FILING_STATUS=OR","EQY_CONSOLIDATED=Y","Sort=A","Dates=H","DateFormat=P","Fill=—","Direction=H","UseDPDF=Y")</f>
        <v>#NAME?</v>
      </c>
      <c r="BN48" s="2" t="e">
        <f ca="1">_xll.BDH($C$28,"FIXED_ASSETS_SEQUENTIAL_GROWTH","FY 2018","FY 2018","Currency=INR","Period=FY","BEST_FPERIOD_OVERRIDE=FY","FILING_STATUS=OR","EQY_CONSOLIDATED=Y","Sort=A","Dates=H","DateFormat=P","Fill=—","Direction=H","UseDPDF=Y")</f>
        <v>#NAME?</v>
      </c>
      <c r="BO48" s="2" t="e">
        <f ca="1">_xll.BDH($C$28,"TOTAL_ASSETS_SEQUENTIAL_GROWTH","FY 2018","FY 2018","Currency=INR","Period=FY","BEST_FPERIOD_OVERRIDE=FY","FILING_STATUS=OR","EQY_CONSOLIDATED=Y","Sort=A","Dates=H","DateFormat=P","Fill=—","Direction=H","UseDPDF=Y")</f>
        <v>#NAME?</v>
      </c>
      <c r="BP48" s="2" t="e">
        <f ca="1">_xll.BDH($C$28,"MODIFIED_WORKING_CPTL_SEQ_GRWTH","FY 2018","FY 2018","Currency=INR","Period=FY","BEST_FPERIOD_OVERRIDE=FY","FILING_STATUS=OR","EQY_CONSOLIDATED=Y","Sort=A","Dates=H","DateFormat=P","Fill=—","Direction=H","UseDPDF=Y")</f>
        <v>#NAME?</v>
      </c>
      <c r="BQ48" s="2" t="e">
        <f ca="1">_xll.BDH($C$28,"WORKING_CAPITAL_SEQ_GROWTH","FY 2018","FY 2018","Currency=INR","Period=FY","BEST_FPERIOD_OVERRIDE=FY","FILING_STATUS=OR","EQY_CONSOLIDATED=Y","Sort=A","Dates=H","DateFormat=P","Fill=—","Direction=H","UseDPDF=Y")</f>
        <v>#NAME?</v>
      </c>
      <c r="BR48" s="2" t="e">
        <f ca="1">_xll.BDH($C$28,"ACCOUNTS_PAYABLE_SEQ_GROWTH","FY 2018","FY 2018","Currency=INR","Period=FY","BEST_FPERIOD_OVERRIDE=FY","FILING_STATUS=OR","EQY_CONSOLIDATED=Y","Sort=A","Dates=H","DateFormat=P","Fill=—","Direction=H","UseDPDF=Y")</f>
        <v>#NAME?</v>
      </c>
      <c r="BS48" s="2" t="e">
        <f ca="1">_xll.BDH($C$28,"ST_DEBT_SEQUENTIAL_GROWTH","FY 2018","FY 2018","Currency=INR","Period=FY","BEST_FPERIOD_OVERRIDE=FY","FILING_STATUS=OR","EQY_CONSOLIDATED=Y","Sort=A","Dates=H","DateFormat=P","Fill=—","Direction=H","UseDPDF=Y")</f>
        <v>#NAME?</v>
      </c>
      <c r="BT48" s="2" t="e">
        <f ca="1">_xll.BDH($C$28,"TOTAL_DEBT_SEQUENTIAL_GROWTH","FY 2018","FY 2018","Currency=INR","Period=FY","BEST_FPERIOD_OVERRIDE=FY","FILING_STATUS=OR","EQY_CONSOLIDATED=Y","Sort=A","Dates=H","DateFormat=P","Fill=—","Direction=H","UseDPDF=Y")</f>
        <v>#NAME?</v>
      </c>
      <c r="BU48" s="2" t="e">
        <f ca="1">_xll.BDH($C$28,"TOTAL_EQUITY_SEQUENTIAL_GROWTH","FY 2018","FY 2018","Currency=INR","Period=FY","BEST_FPERIOD_OVERRIDE=FY","FILING_STATUS=OR","EQY_CONSOLIDATED=Y","Sort=A","Dates=H","DateFormat=P","Fill=—","Direction=H","UseDPDF=Y")</f>
        <v>#NAME?</v>
      </c>
      <c r="BV48" s="2" t="e">
        <f ca="1">_xll.BDH($C$28,"TOTAL_CAPITAL_SEQUENTIAL_GROWTH","FY 2018","FY 2018","Currency=INR","Period=FY","BEST_FPERIOD_OVERRIDE=FY","FILING_STATUS=OR","EQY_CONSOLIDATED=Y","Sort=A","Dates=H","DateFormat=P","Fill=—","Direction=H","UseDPDF=Y")</f>
        <v>#NAME?</v>
      </c>
      <c r="BW48" s="2" t="e">
        <f ca="1">_xll.BDH($C$28,"BPS_SEQUENTIAL_GROWTH","FY 2018","FY 2018","Currency=INR","Period=FY","BEST_FPERIOD_OVERRIDE=FY","FILING_STATUS=OR","EQY_CONSOLIDATED=Y","Sort=A","Dates=H","DateFormat=P","Fill=—","Direction=H","UseDPDF=Y")</f>
        <v>#NAME?</v>
      </c>
      <c r="BX48" s="2" t="e">
        <f ca="1">_xll.BDH($C$28,"CFO_SEQUENTIAL_GROWTH","FY 2018","FY 2018","Currency=INR","Period=FY","BEST_FPERIOD_OVERRIDE=FY","FILING_STATUS=OR","EQY_CONSOLIDATED=Y","Sort=A","Dates=H","DateFormat=P","Fill=—","Direction=H","UseDPDF=Y")</f>
        <v>#NAME?</v>
      </c>
      <c r="BY48" s="3" t="e">
        <f ca="1">_xll.BDH($C$28,"SHORT_AND_LONG_TERM_DEBT","FY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8" s="3" t="e">
        <f ca="1">_xll.BDH($C$28,"BS_ST_BORROW","FY 2018","FY 2018","Currency=INR","Period=FY","BEST_FPERIOD_OVERRIDE=FY","FILING_STATUS=OR","EQY_CONSOLIDATED=Y","SCALING_FORMAT=MLN","Sort=A","Dates=H","DateFormat=P","Fill=—","Direction=H","UseDPDF=Y")</f>
        <v>#NAME?</v>
      </c>
      <c r="CA48" s="3" t="e">
        <f ca="1">_xll.BDH($C$28,"BS_LT_BORROW","FY 2018","FY 2018","Currency=INR","Period=FY","BEST_FPERIOD_OVERRIDE=FY","FILING_STATUS=OR","EQY_CONSOLIDATED=Y","SCALING_FORMAT=MLN","Sort=A","Dates=H","DateFormat=P","Fill=—","Direction=H","UseDPDF=Y")</f>
        <v>#NAME?</v>
      </c>
      <c r="CB48" s="2" t="e">
        <f ca="1">_xll.BDH($C$28,"TOT_DEBT_TO_EBITDA","FY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8" s="2" t="e">
        <f ca="1">_xll.BDH($C$28,"NET_DEBT_TO_EBITDA","FY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8" s="2" t="e">
        <f ca="1">_xll.BDH($C$28,"TOTAL_DEBT_TO_EBIT","FY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8" s="2" t="e">
        <f ca="1">_xll.BDH($C$28,"NET_DEBT_TO_EBIT","FY 2018","FY 2018","Currency=INR","Period=FY","BEST_FPERIOD_OVERRIDE=FY","FILING_STATUS=OR","EQY_CONSOLIDATED=Y","FA_ADJUSTED=GAAP","Sort=A","Dates=H","DateFormat=P","Fill=—","Direction=H","UseDPDF=Y")</f>
        <v>#NAME?</v>
      </c>
      <c r="CF48" s="2" t="e">
        <f ca="1">_xll.BDH($C$28,"EBITDA_TO_INTEREST_EXPN","FY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8" s="2" t="e">
        <f ca="1">_xll.BDH($C$28,"COM_EQY_TO_TOT_ASSET","FY 2018","FY 2018","Currency=INR","Period=FY","BEST_FPERIOD_OVERRIDE=FY","FILING_STATUS=OR","EQY_CONSOLIDATED=Y","Sort=A","Dates=H","DateFormat=P","Fill=—","Direction=H","UseDPDF=Y")</f>
        <v>#NAME?</v>
      </c>
      <c r="CH48" s="2" t="e">
        <f ca="1">_xll.BDH($C$28,"LT_DEBT_TO_TOT_EQY","FY 2018","FY 2018","Currency=INR","Period=FY","BEST_FPERIOD_OVERRIDE=FY","FILING_STATUS=OR","EQY_CONSOLIDATED=Y","Sort=A","Dates=H","DateFormat=P","Fill=—","Direction=H","UseDPDF=Y")</f>
        <v>#NAME?</v>
      </c>
      <c r="CI48" s="2" t="e">
        <f ca="1">_xll.BDH($C$28,"LT_DEBT_TO_TOT_CAP","FY 2018","FY 2018","Currency=INR","Period=FY","BEST_FPERIOD_OVERRIDE=FY","FILING_STATUS=OR","EQY_CONSOLIDATED=Y","Sort=A","Dates=H","DateFormat=P","Fill=—","Direction=H","UseDPDF=Y")</f>
        <v>#NAME?</v>
      </c>
      <c r="CJ48" s="2" t="e">
        <f ca="1">_xll.BDH($C$28,"LT_DEBT_TO_TOT_ASSET","FY 2018","FY 2018","Currency=INR","Period=FY","BEST_FPERIOD_OVERRIDE=FY","FILING_STATUS=OR","EQY_CONSOLIDATED=Y","Sort=A","Dates=H","DateFormat=P","Fill=—","Direction=H","UseDPDF=Y")</f>
        <v>#NAME?</v>
      </c>
      <c r="CK48" s="2" t="e">
        <f ca="1">_xll.BDH($C$28,"TOT_DEBT_TO_TOT_EQY","FY 2018","FY 2018","Currency=INR","Period=FY","BEST_FPERIOD_OVERRIDE=FY","FILING_STATUS=OR","EQY_CONSOLIDATED=Y","Sort=A","Dates=H","DateFormat=P","Fill=—","Direction=H","UseDPDF=Y")</f>
        <v>#NAME?</v>
      </c>
      <c r="CL48" s="2" t="e">
        <f ca="1">_xll.BDH($C$28,"TOT_DEBT_TO_TOT_CAP","FY 2018","FY 2018","Currency=INR","Period=FY","BEST_FPERIOD_OVERRIDE=FY","FILING_STATUS=OR","EQY_CONSOLIDATED=Y","Sort=A","Dates=H","DateFormat=P","Fill=—","Direction=H","UseDPDF=Y")</f>
        <v>#NAME?</v>
      </c>
      <c r="CM48" s="2" t="e">
        <f ca="1">_xll.BDH($C$28,"TOT_DEBT_TO_TOT_ASSET","FY 2018","FY 2018","Currency=INR","Period=FY","BEST_FPERIOD_OVERRIDE=FY","FILING_STATUS=OR","EQY_CONSOLIDATED=Y","Sort=A","Dates=H","DateFormat=P","Fill=—","Direction=H","UseDPDF=Y")</f>
        <v>#NAME?</v>
      </c>
      <c r="CN48" s="2" t="e">
        <f ca="1">_xll.BDH($C$28,"NET_DEBT_TO_SHRHLDR_EQTY","FY 2018","FY 2018","Currency=INR","Period=FY","BEST_FPERIOD_OVERRIDE=FY","FILING_STATUS=OR","EQY_CONSOLIDATED=Y","Sort=A","Dates=H","DateFormat=P","Fill=—","Direction=H","UseDPDF=Y")</f>
        <v>#NAME?</v>
      </c>
      <c r="CO48" s="2" t="e">
        <f ca="1">_xll.BDH($C$28,"NET_DEBT_%_CAPITAL","FY 2018","FY 2018","Currency=INR","Period=FY","BEST_FPERIOD_OVERRIDE=FY","FILING_STATUS=OR","EQY_CONSOLIDATED=Y","Sort=A","Dates=H","DateFormat=P","Fill=—","Direction=H","UseDPDF=Y")</f>
        <v>#NAME?</v>
      </c>
      <c r="CP48" s="3" t="e">
        <f ca="1">_xll.BDH($C$28,"EBITDA","FY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8" s="3" t="e">
        <f ca="1">_xll.BDH($C$28,"EBITDA_AFTER_CAPEX","FY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8" s="3" t="e">
        <f ca="1">_xll.BDH($C$28,"IS_OPER_INC","FY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8" s="2" t="e">
        <f ca="1">_xll.BDH($C$28,"CASH_RATIO","FY 2018","FY 2018","Currency=INR","Period=FY","BEST_FPERIOD_OVERRIDE=FY","FILING_STATUS=OR","EQY_CONSOLIDATED=Y","Sort=A","Dates=H","DateFormat=P","Fill=—","Direction=H","UseDPDF=Y")</f>
        <v>#NAME?</v>
      </c>
      <c r="CT48" s="2" t="e">
        <f ca="1">_xll.BDH($C$28,"CUR_RATIO","FY 2018","FY 2018","Currency=INR","Period=FY","BEST_FPERIOD_OVERRIDE=FY","FILING_STATUS=OR","EQY_CONSOLIDATED=Y","Sort=A","Dates=H","DateFormat=P","Fill=—","Direction=H","UseDPDF=Y")</f>
        <v>#NAME?</v>
      </c>
      <c r="CU48" s="2" t="e">
        <f ca="1">_xll.BDH($C$28,"QUICK_RATIO","FY 2018","FY 2018","Currency=INR","Period=FY","BEST_FPERIOD_OVERRIDE=FY","FILING_STATUS=OR","EQY_CONSOLIDATED=Y","Sort=A","Dates=H","DateFormat=P","Fill=—","Direction=H","UseDPDF=Y")</f>
        <v>#NAME?</v>
      </c>
      <c r="CV48" s="2" t="e">
        <f ca="1">_xll.BDH($C$28,"ALTMAN_Z_SCORE","FY 2018","FY 2018","Currency=INR","Period=FY","BEST_FPERIOD_OVERRIDE=FY","FILING_STATUS=OR","EQY_CONSOLIDATED=Y","Sort=A","Dates=H","DateFormat=P","Fill=—","Direction=H","UseDPDF=Y")</f>
        <v>#NAME?</v>
      </c>
      <c r="CW48" s="4" t="e">
        <f ca="1">_xll.BDH($C$28,"ACCT_RCV_TURN","FY 2018","FY 2018","Currency=INR","Period=FY","BEST_FPERIOD_OVERRIDE=FY","FILING_STATUS=OR","EQY_CONSOLIDATED=Y","FA_ADJUSTED=GAAP","Sort=A","Dates=H","DateFormat=P","Fill=—","Direction=H","UseDPDF=Y")</f>
        <v>#NAME?</v>
      </c>
      <c r="CX48" s="2" t="e">
        <f ca="1">_xll.BDH($C$28,"ACCT_RCV_DAYS","FY 2018","FY 2018","Currency=INR","Period=FY","BEST_FPERIOD_OVERRIDE=FY","FILING_STATUS=OR","EQY_CONSOLIDATED=Y","FA_ADJUSTED=GAAP","Sort=A","Dates=H","DateFormat=P","Fill=—","Direction=H","UseDPDF=Y")</f>
        <v>#NAME?</v>
      </c>
      <c r="CY48" s="4" t="e">
        <f ca="1">_xll.BDH($C$28,"INVENT_TURN","FY 2018","FY 2018","Currency=INR","Period=FY","BEST_FPERIOD_OVERRIDE=FY","FILING_STATUS=OR","EQY_CONSOLIDATED=Y","FA_ADJUSTED=GAAP","Sort=A","Dates=H","DateFormat=P","Fill=—","Direction=H","UseDPDF=Y")</f>
        <v>#NAME?</v>
      </c>
      <c r="CZ48" s="2" t="e">
        <f ca="1">_xll.BDH($C$28,"INVENT_DAYS","FY 2018","FY 2018","Currency=INR","Period=FY","BEST_FPERIOD_OVERRIDE=FY","FILING_STATUS=OR","EQY_CONSOLIDATED=Y","FA_ADJUSTED=GAAP","Sort=A","Dates=H","DateFormat=P","Fill=—","Direction=H","UseDPDF=Y")</f>
        <v>#NAME?</v>
      </c>
      <c r="DA48" s="4" t="e">
        <f ca="1">_xll.BDH($C$28,"ACCOUNTS_PAYABLE_TURNOVER","FY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8" s="2" t="e">
        <f ca="1">_xll.BDH($C$28,"ACCOUNTS_PAYABLE_TURNOVER_DAYS","FY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8" s="4" t="e">
        <f ca="1">_xll.BDH($C$28,"CASH_CONVERSION_CYCLE","FY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8" s="4" t="e">
        <f ca="1">_xll.BDH($C$28,"INV_TO_CASH_DAYS","FY 2018","FY 2018","Currency=INR","Period=FY","BEST_FPERIOD_OVERRIDE=FY","FILING_STATUS=OR","EQY_CONSOLIDATED=Y","FA_ADJUSTED=GAAP","Sort=A","Dates=H","DateFormat=P","Fill=—","Direction=H","UseDPDF=Y")</f>
        <v>#NAME?</v>
      </c>
      <c r="DE48" s="5" t="e">
        <f ca="1">_xll.BDH($C$28,"BS_INVENTORIES","FY 2018","FY 2018","Currency=INR","Period=FY","BEST_FPERIOD_OVERRIDE=FY","FILING_STATUS=OR","EQY_CONSOLIDATED=Y","SCALING_FORMAT=MLN","Sort=A","Dates=H","DateFormat=P","Fill=—","Direction=H","UseDPDF=Y")</f>
        <v>#NAME?</v>
      </c>
      <c r="DF48" s="3" t="e">
        <f ca="1">_xll.BDH($C$28,"INVTRY_RAW_MATERIALS","FY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8" s="3" t="e">
        <f ca="1">_xll.BDH($C$28,"INVTRY_IN_PROGRESS","FY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8" s="3" t="e">
        <f ca="1">_xll.BDH($C$28,"INVTRY_FINISHED_GOODS","FY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8" s="3" t="e">
        <f ca="1">_xll.BDH($C$28,"BS_OTHER_INV","FY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" spans="1:113" x14ac:dyDescent="0.3">
      <c r="A49" s="6"/>
      <c r="B49" s="6"/>
      <c r="C49" s="6"/>
      <c r="D49" s="6"/>
      <c r="E49" t="s">
        <v>78</v>
      </c>
      <c r="F49" t="e">
        <f ca="1">_xll.BDH($C$28,"RETURN_COM_EQY","FQ1 2018","FQ1 2018","Currency=INR","Period=FQ","BEST_FPERIOD_OVERRIDE=FQ","FILING_STATUS=OR","EQY_CONSOLIDATED=Y","FA_ADJUSTED=GAAP","Sort=A","Dates=H","DateFormat=P","Fill=—","Direction=H","UseDPDF=Y")</f>
        <v>#NAME?</v>
      </c>
      <c r="G49" t="e">
        <f ca="1">_xll.BDH($C$28,"RETURN_ON_ASSET","FQ1 2018","FQ1 2018","Currency=INR","Period=FQ","BEST_FPERIOD_OVERRIDE=FQ","FILING_STATUS=OR","EQY_CONSOLIDATED=Y","FA_ADJUSTED=GAAP","Sort=A","Dates=H","DateFormat=P","Fill=—","Direction=H","UseDPDF=Y")</f>
        <v>#NAME?</v>
      </c>
      <c r="H49" t="e">
        <f ca="1">_xll.BDH($C$28,"RETURN_ON_CAP","FQ1 2018","FQ1 2018","Currency=INR","Period=FQ","BEST_FPERIOD_OVERRIDE=FQ","FILING_STATUS=OR","EQY_CONSOLIDATED=Y","FA_ADJUSTED=GAAP","Sort=A","Dates=H","DateFormat=P","Fill=—","Direction=H","UseDPDF=Y")</f>
        <v>#NAME?</v>
      </c>
      <c r="I49" t="e">
        <f ca="1">_xll.BDH($C$28,"RETURN_ON_INV_CAPITAL","FQ1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" t="e">
        <f ca="1">_xll.BDH($C$28,"EBITDA_TO_REVENUE","FQ1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" t="e">
        <f ca="1">_xll.BDH($C$28,"OPER_MARGIN","FQ1 2018","FQ1 2018","Currency=INR","Period=FQ","BEST_FPERIOD_OVERRIDE=FQ","FILING_STATUS=OR","EQY_CONSOLIDATED=Y","FA_ADJUSTED=GAAP","Sort=A","Dates=H","DateFormat=P","Fill=—","Direction=H","UseDPDF=Y")</f>
        <v>#NAME?</v>
      </c>
      <c r="L49" t="e">
        <f ca="1">_xll.BDH($C$28,"INCREMENTAL_OPERATING_MARGIN","FQ1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" t="e">
        <f ca="1">_xll.BDH($C$28,"PRETAX_INC_TO_NET_SALES","FQ1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" t="e">
        <f ca="1">_xll.BDH($C$28,"INC_BEF_XO_ITEMS_TO_NET_SALES","FQ1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" t="e">
        <f ca="1">_xll.BDH($C$28,"PROF_MARGIN","FQ1 2018","FQ1 2018","Currency=INR","Period=FQ","BEST_FPERIOD_OVERRIDE=FQ","FILING_STATUS=OR","EQY_CONSOLIDATED=Y","FA_ADJUSTED=GAAP","Sort=A","Dates=H","DateFormat=P","Fill=—","Direction=H","UseDPDF=Y")</f>
        <v>#NAME?</v>
      </c>
      <c r="P49" t="e">
        <f ca="1">_xll.BDH($C$28,"NET_INCOME_TO_COMMON_MARGIN","FQ1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" t="e">
        <f ca="1">_xll.BDH($C$28,"EFF_TAX_RATE","FQ1 2018","FQ1 2018","Currency=INR","Period=FQ","BEST_FPERIOD_OVERRIDE=FQ","FILING_STATUS=OR","EQY_CONSOLIDATED=Y","FA_ADJUSTED=GAAP","Sort=A","Dates=H","DateFormat=P","Fill=—","Direction=H","UseDPDF=Y")</f>
        <v>#NAME?</v>
      </c>
      <c r="R49" t="e">
        <f ca="1">_xll.BDH($C$28,"DVD_PAYOUT_RATIO","FQ1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" t="e">
        <f ca="1">_xll.BDH($C$28,"SUSTAIN_GROWTH_RT","FQ1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" s="2" t="e">
        <f ca="1">_xll.BDH($C$28,"SALES_GROWTH","FQ1 2018","FQ1 2018","Currency=INR","Period=FQ","BEST_FPERIOD_OVERRIDE=FQ","FILING_STATUS=OR","EQY_CONSOLIDATED=Y","FA_ADJUSTED=GAAP","Sort=A","Dates=H","DateFormat=P","Fill=—","Direction=H","UseDPDF=Y")</f>
        <v>#NAME?</v>
      </c>
      <c r="U49" s="2" t="e">
        <f ca="1">_xll.BDH($C$28,"EBITDA_GROWTH","FQ1 2018","FQ1 2018","Currency=INR","Period=FQ","BEST_FPERIOD_OVERRIDE=FQ","FILING_STATUS=OR","EQY_CONSOLIDATED=Y","FA_ADJUSTED=GAAP","Sort=A","Dates=H","DateFormat=P","Fill=—","Direction=H","UseDPDF=Y")</f>
        <v>#NAME?</v>
      </c>
      <c r="V49" s="2" t="e">
        <f ca="1">_xll.BDH($C$28,"OPER_INC_GROWTH","FQ1 2018","FQ1 2018","Currency=INR","Period=FQ","BEST_FPERIOD_OVERRIDE=FQ","FILING_STATUS=OR","EQY_CONSOLIDATED=Y","FA_ADJUSTED=GAAP","Sort=A","Dates=H","DateFormat=P","Fill=—","Direction=H","UseDPDF=Y")</f>
        <v>#NAME?</v>
      </c>
      <c r="W49" s="2" t="e">
        <f ca="1">_xll.BDH($C$28,"EARN_FOR_COM_GROWTH","FQ1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" s="2" t="e">
        <f ca="1">_xll.BDH($C$28,"DILUTED_EPS_AFT_XO_ITEMS_GROWTH","FQ1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" s="2" t="e">
        <f ca="1">_xll.BDH($C$28,"DIVIDEND_PER_SHARE_1_YEAR_GROWTH","FQ1 2018","FQ1 2018","Currency=INR","Period=FQ","BEST_FPERIOD_OVERRIDE=FQ","FILING_STATUS=OR","EQY_CONSOLIDATED=Y","Sort=A","Dates=H","DateFormat=P","Fill=—","Direction=H","UseDPDF=Y")</f>
        <v>#NAME?</v>
      </c>
      <c r="Z49" s="2" t="e">
        <f ca="1">_xll.BDH($C$28,"ACCOUNTS_RECEIVABLE_GROWTH","FQ1 2018","FQ1 2018","Currency=INR","Period=FQ","BEST_FPERIOD_OVERRIDE=FQ","FILING_STATUS=OR","EQY_CONSOLIDATED=Y","Sort=A","Dates=H","DateFormat=P","Fill=—","Direction=H","UseDPDF=Y")</f>
        <v>#NAME?</v>
      </c>
      <c r="AA49" s="2" t="e">
        <f ca="1">_xll.BDH($C$28,"INVENTORY_GROWTH","FQ1 2018","FQ1 2018","Currency=INR","Period=FQ","BEST_FPERIOD_OVERRIDE=FQ","FILING_STATUS=OR","EQY_CONSOLIDATED=Y","Sort=A","Dates=H","DateFormat=P","Fill=—","Direction=H","UseDPDF=Y")</f>
        <v>#NAME?</v>
      </c>
      <c r="AB49" s="2" t="e">
        <f ca="1">_xll.BDH($C$28,"NET_FIXED_ASSETS_1_YEAR_GROWTH","FQ1 2018","FQ1 2018","Currency=INR","Period=FQ","BEST_FPERIOD_OVERRIDE=FQ","FILING_STATUS=OR","EQY_CONSOLIDATED=Y","Sort=A","Dates=H","DateFormat=P","Fill=—","Direction=H","UseDPDF=Y")</f>
        <v>#NAME?</v>
      </c>
      <c r="AC49" s="2" t="e">
        <f ca="1">_xll.BDH($C$28,"ASSET_GROWTH","FQ1 2018","FQ1 2018","Currency=INR","Period=FQ","BEST_FPERIOD_OVERRIDE=FQ","FILING_STATUS=OR","EQY_CONSOLIDATED=Y","Sort=A","Dates=H","DateFormat=P","Fill=—","Direction=H","UseDPDF=Y")</f>
        <v>#NAME?</v>
      </c>
      <c r="AD49" s="2" t="e">
        <f ca="1">_xll.BDH($C$28,"MODIFIED_WORK_CAP_GROWTH","FQ1 2018","FQ1 2018","Currency=INR","Period=FQ","BEST_FPERIOD_OVERRIDE=FQ","FILING_STATUS=OR","EQY_CONSOLIDATED=Y","Sort=A","Dates=H","DateFormat=P","Fill=—","Direction=H","UseDPDF=Y")</f>
        <v>#NAME?</v>
      </c>
      <c r="AE49" s="2" t="e">
        <f ca="1">_xll.BDH($C$28,"WORK_CAP_GROWTH","FQ1 2018","FQ1 2018","Currency=INR","Period=FQ","BEST_FPERIOD_OVERRIDE=FQ","FILING_STATUS=OR","EQY_CONSOLIDATED=Y","Sort=A","Dates=H","DateFormat=P","Fill=—","Direction=H","UseDPDF=Y")</f>
        <v>#NAME?</v>
      </c>
      <c r="AF49" s="2" t="e">
        <f ca="1">_xll.BDH($C$28,"ACCOUNTS_PAYABLE_GROWTH_1YR","FQ1 2018","FQ1 2018","Currency=INR","Period=FQ","BEST_FPERIOD_OVERRIDE=FQ","FILING_STATUS=OR","EQY_CONSOLIDATED=Y","Sort=A","Dates=H","DateFormat=P","Fill=—","Direction=H","UseDPDF=Y")</f>
        <v>#NAME?</v>
      </c>
      <c r="AG49" s="2" t="e">
        <f ca="1">_xll.BDH($C$28,"SHORT_TERM_DEBT_1_YEAR_GROWTH","FQ1 2018","FQ1 2018","Currency=INR","Period=FQ","BEST_FPERIOD_OVERRIDE=FQ","FILING_STATUS=OR","EQY_CONSOLIDATED=Y","Sort=A","Dates=H","DateFormat=P","Fill=—","Direction=H","UseDPDF=Y")</f>
        <v>#NAME?</v>
      </c>
      <c r="AH49" s="2" t="e">
        <f ca="1">_xll.BDH($C$28,"TOTAL_DEBT_1_YEAR_GROWTH","FQ1 2018","FQ1 2018","Currency=INR","Period=FQ","BEST_FPERIOD_OVERRIDE=FQ","FILING_STATUS=OR","EQY_CONSOLIDATED=Y","Sort=A","Dates=H","DateFormat=P","Fill=—","Direction=H","UseDPDF=Y")</f>
        <v>#NAME?</v>
      </c>
      <c r="AI49" s="2" t="e">
        <f ca="1">_xll.BDH($C$28,"TOTAL_EQUITY_1_YEAR_GROWTH","FQ1 2018","FQ1 2018","Currency=INR","Period=FQ","BEST_FPERIOD_OVERRIDE=FQ","FILING_STATUS=OR","EQY_CONSOLIDATED=Y","Sort=A","Dates=H","DateFormat=P","Fill=—","Direction=H","UseDPDF=Y")</f>
        <v>#NAME?</v>
      </c>
      <c r="AJ49" s="2" t="e">
        <f ca="1">_xll.BDH($C$28,"GROWTH_IN_CAP","FQ1 2018","FQ1 2018","Currency=INR","Period=FQ","BEST_FPERIOD_OVERRIDE=FQ","FILING_STATUS=OR","EQY_CONSOLIDATED=Y","Sort=A","Dates=H","DateFormat=P","Fill=—","Direction=H","UseDPDF=Y")</f>
        <v>#NAME?</v>
      </c>
      <c r="AK49" s="2" t="e">
        <f ca="1">_xll.BDH($C$28,"BVPS_GROWTH","FQ1 2018","FQ1 2018","Currency=INR","Period=FQ","BEST_FPERIOD_OVERRIDE=FQ","FILING_STATUS=OR","EQY_CONSOLIDATED=Y","Sort=A","Dates=H","DateFormat=P","Fill=—","Direction=H","UseDPDF=Y")</f>
        <v>#NAME?</v>
      </c>
      <c r="AL49" s="2" t="e">
        <f ca="1">_xll.BDH($C$28,"CASH_FLOW_GROWTH","FQ1 2018","FQ1 2018","Currency=INR","Period=FQ","BEST_FPERIOD_OVERRIDE=FQ","FILING_STATUS=OR","EQY_CONSOLIDATED=Y","Sort=A","Dates=H","DateFormat=P","Fill=—","Direction=H","UseDPDF=Y")</f>
        <v>#NAME?</v>
      </c>
      <c r="AM49" s="2" t="e">
        <f ca="1">_xll.BDH($C$28,"GEO_GROW_NET_SALES","FQ1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" s="2" t="e">
        <f ca="1">_xll.BDH($C$28,"GEO_GROW_EBITDA","FQ1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" s="2" t="e">
        <f ca="1">_xll.BDH($C$28,"GEO_GROW_OPER_INC","FQ1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" s="2" t="e">
        <f ca="1">_xll.BDH($C$28,"NET_INCOME_TO_COMMON_5_YR_GROWTH","FQ1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" s="2" t="e">
        <f ca="1">_xll.BDH($C$28,"5Y_GEO_GROWTH_DILUTED_EPS","FQ1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" s="2" t="e">
        <f ca="1">_xll.BDH($C$28,"GEO_GROW_DVD_PER_SH","FQ1 2018","FQ1 2018","Currency=INR","Period=FQ","BEST_FPERIOD_OVERRIDE=FQ","FILING_STATUS=OR","EQY_CONSOLIDATED=Y","Sort=A","Dates=H","DateFormat=P","Fill=—","Direction=H","UseDPDF=Y")</f>
        <v>#NAME?</v>
      </c>
      <c r="AS49" s="2" t="e">
        <f ca="1">_xll.BDH($C$28,"ACCOUNTS_RECEIVABLE_5_YR_GROWTH","FQ1 2018","FQ1 2018","Currency=INR","Period=FQ","BEST_FPERIOD_OVERRIDE=FQ","FILING_STATUS=OR","EQY_CONSOLIDATED=Y","Sort=A","Dates=H","DateFormat=P","Fill=—","Direction=H","UseDPDF=Y")</f>
        <v>#NAME?</v>
      </c>
      <c r="AT49" s="2" t="e">
        <f ca="1">_xll.BDH($C$28,"INVENTORY_5_YEAR_GROWTH","FQ1 2018","FQ1 2018","Currency=INR","Period=FQ","BEST_FPERIOD_OVERRIDE=FQ","FILING_STATUS=OR","EQY_CONSOLIDATED=Y","Sort=A","Dates=H","DateFormat=P","Fill=—","Direction=H","UseDPDF=Y")</f>
        <v>#NAME?</v>
      </c>
      <c r="AU49" s="2" t="e">
        <f ca="1">_xll.BDH($C$28,"NET_FIXED_ASSETS_5_YEAR_GROWTH","FQ1 2018","FQ1 2018","Currency=INR","Period=FQ","BEST_FPERIOD_OVERRIDE=FQ","FILING_STATUS=OR","EQY_CONSOLIDATED=Y","Sort=A","Dates=H","DateFormat=P","Fill=—","Direction=H","UseDPDF=Y")</f>
        <v>#NAME?</v>
      </c>
      <c r="AV49" s="2" t="e">
        <f ca="1">_xll.BDH($C$28,"GEO_GROW_TOT_ASSET","FQ1 2018","FQ1 2018","Currency=INR","Period=FQ","BEST_FPERIOD_OVERRIDE=FQ","FILING_STATUS=OR","EQY_CONSOLIDATED=Y","Sort=A","Dates=H","DateFormat=P","Fill=—","Direction=H","UseDPDF=Y")</f>
        <v>#NAME?</v>
      </c>
      <c r="AW49" s="2" t="e">
        <f ca="1">_xll.BDH($C$28,"MODIFIED_WORKING_CPTL_5YR_GRWTH","FQ1 2018","FQ1 2018","Currency=INR","Period=FQ","BEST_FPERIOD_OVERRIDE=FQ","FILING_STATUS=OR","EQY_CONSOLIDATED=Y","Sort=A","Dates=H","DateFormat=P","Fill=—","Direction=H","UseDPDF=Y")</f>
        <v>#NAME?</v>
      </c>
      <c r="AX49" s="2" t="e">
        <f ca="1">_xll.BDH($C$28,"WORKING_CAPITAL_5_YEAR_GROWTH","FQ1 2018","FQ1 2018","Currency=INR","Period=FQ","BEST_FPERIOD_OVERRIDE=FQ","FILING_STATUS=OR","EQY_CONSOLIDATED=Y","Sort=A","Dates=H","DateFormat=P","Fill=—","Direction=H","UseDPDF=Y")</f>
        <v>#NAME?</v>
      </c>
      <c r="AY49" s="2" t="e">
        <f ca="1">_xll.BDH($C$28,"ACCOUNTS_PAYABLE_5_YEAR_GROWTH","FQ1 2018","FQ1 2018","Currency=INR","Period=FQ","BEST_FPERIOD_OVERRIDE=FQ","FILING_STATUS=OR","EQY_CONSOLIDATED=Y","Sort=A","Dates=H","DateFormat=P","Fill=—","Direction=H","UseDPDF=Y")</f>
        <v>#NAME?</v>
      </c>
      <c r="AZ49" s="2" t="e">
        <f ca="1">_xll.BDH($C$28,"SHORT_TERM_DEBT_5_YEAR_GROWTH","FQ1 2018","FQ1 2018","Currency=INR","Period=FQ","BEST_FPERIOD_OVERRIDE=FQ","FILING_STATUS=OR","EQY_CONSOLIDATED=Y","Sort=A","Dates=H","DateFormat=P","Fill=—","Direction=H","UseDPDF=Y")</f>
        <v>#NAME?</v>
      </c>
      <c r="BA49" s="2" t="e">
        <f ca="1">_xll.BDH($C$28,"TOTAL_DEBT_5_YEAR_GROWTH","FQ1 2018","FQ1 2018","Currency=INR","Period=FQ","BEST_FPERIOD_OVERRIDE=FQ","FILING_STATUS=OR","EQY_CONSOLIDATED=Y","Sort=A","Dates=H","DateFormat=P","Fill=—","Direction=H","UseDPDF=Y")</f>
        <v>#NAME?</v>
      </c>
      <c r="BB49" s="2" t="e">
        <f ca="1">_xll.BDH($C$28,"GEO_GROW_TOT_SHRHLDR_EQY","FQ1 2018","FQ1 2018","Currency=INR","Period=FQ","BEST_FPERIOD_OVERRIDE=FQ","FILING_STATUS=OR","EQY_CONSOLIDATED=Y","Sort=A","Dates=H","DateFormat=P","Fill=—","Direction=H","UseDPDF=Y")</f>
        <v>#NAME?</v>
      </c>
      <c r="BC49" s="2" t="e">
        <f ca="1">_xll.BDH($C$28,"TOTAL_CAPITAL_5_YEAR_GROWTH","FQ1 2018","FQ1 2018","Currency=INR","Period=FQ","BEST_FPERIOD_OVERRIDE=FQ","FILING_STATUS=OR","EQY_CONSOLIDATED=Y","Sort=A","Dates=H","DateFormat=P","Fill=—","Direction=H","UseDPDF=Y")</f>
        <v>#NAME?</v>
      </c>
      <c r="BD49" s="2" t="e">
        <f ca="1">_xll.BDH($C$28,"GEO_GROW_BOOK_VAL","FQ1 2018","FQ1 2018","Currency=INR","Period=FQ","BEST_FPERIOD_OVERRIDE=FQ","FILING_STATUS=OR","EQY_CONSOLIDATED=Y","Sort=A","Dates=H","DateFormat=P","Fill=—","Direction=H","UseDPDF=Y")</f>
        <v>#NAME?</v>
      </c>
      <c r="BE49" s="2" t="e">
        <f ca="1">_xll.BDH($C$28,"GEO_GROW_CASH_OPER_ACT","FQ1 2018","FQ1 2018","Currency=INR","Period=FQ","BEST_FPERIOD_OVERRIDE=FQ","FILING_STATUS=OR","EQY_CONSOLIDATED=Y","Sort=A","Dates=H","DateFormat=P","Fill=—","Direction=H","UseDPDF=Y")</f>
        <v>#NAME?</v>
      </c>
      <c r="BF49" s="2" t="e">
        <f ca="1">_xll.BDH($C$28,"REVENUE_SEQUENTIAL_GROWTH","FQ1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" s="2" t="e">
        <f ca="1">_xll.BDH($C$28,"EBITDA_SEQUENTIAL_GROWTH","FQ1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" s="2" t="e">
        <f ca="1">_xll.BDH($C$28,"OPERATING_INCOME_SEQ_GROWTH","FQ1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" s="2" t="e">
        <f ca="1">_xll.BDH($C$28,"NET_INCOME_TO_COMMON_SEQ_GROWTH","FQ1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" s="2" t="e">
        <f ca="1">_xll.BDH($C$28,"EPS_DILUTED_SEQUENTIAL_GROWTH","FQ1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" s="2" t="e">
        <f ca="1">_xll.BDH($C$28,"DPS_SEQUENTIAL_GROWTH","FQ1 2018","FQ1 2018","Currency=INR","Period=FQ","BEST_FPERIOD_OVERRIDE=FQ","FILING_STATUS=OR","EQY_CONSOLIDATED=Y","Sort=A","Dates=H","DateFormat=P","Fill=—","Direction=H","UseDPDF=Y")</f>
        <v>#NAME?</v>
      </c>
      <c r="BL49" s="2" t="e">
        <f ca="1">_xll.BDH($C$28,"ACCOUNTS_RECEIVABLE_SEQ_GROWTH","FQ1 2018","FQ1 2018","Currency=INR","Period=FQ","BEST_FPERIOD_OVERRIDE=FQ","FILING_STATUS=OR","EQY_CONSOLIDATED=Y","Sort=A","Dates=H","DateFormat=P","Fill=—","Direction=H","UseDPDF=Y")</f>
        <v>#NAME?</v>
      </c>
      <c r="BM49" s="2" t="e">
        <f ca="1">_xll.BDH($C$28,"INVENTORY_SEQUENTIAL_GROWTH","FQ1 2018","FQ1 2018","Currency=INR","Period=FQ","BEST_FPERIOD_OVERRIDE=FQ","FILING_STATUS=OR","EQY_CONSOLIDATED=Y","Sort=A","Dates=H","DateFormat=P","Fill=—","Direction=H","UseDPDF=Y")</f>
        <v>#NAME?</v>
      </c>
      <c r="BN49" s="2" t="e">
        <f ca="1">_xll.BDH($C$28,"FIXED_ASSETS_SEQUENTIAL_GROWTH","FQ1 2018","FQ1 2018","Currency=INR","Period=FQ","BEST_FPERIOD_OVERRIDE=FQ","FILING_STATUS=OR","EQY_CONSOLIDATED=Y","Sort=A","Dates=H","DateFormat=P","Fill=—","Direction=H","UseDPDF=Y")</f>
        <v>#NAME?</v>
      </c>
      <c r="BO49" s="2" t="e">
        <f ca="1">_xll.BDH($C$28,"TOTAL_ASSETS_SEQUENTIAL_GROWTH","FQ1 2018","FQ1 2018","Currency=INR","Period=FQ","BEST_FPERIOD_OVERRIDE=FQ","FILING_STATUS=OR","EQY_CONSOLIDATED=Y","Sort=A","Dates=H","DateFormat=P","Fill=—","Direction=H","UseDPDF=Y")</f>
        <v>#NAME?</v>
      </c>
      <c r="BP49" s="2" t="e">
        <f ca="1">_xll.BDH($C$28,"MODIFIED_WORKING_CPTL_SEQ_GRWTH","FQ1 2018","FQ1 2018","Currency=INR","Period=FQ","BEST_FPERIOD_OVERRIDE=FQ","FILING_STATUS=OR","EQY_CONSOLIDATED=Y","Sort=A","Dates=H","DateFormat=P","Fill=—","Direction=H","UseDPDF=Y")</f>
        <v>#NAME?</v>
      </c>
      <c r="BQ49" s="2" t="e">
        <f ca="1">_xll.BDH($C$28,"WORKING_CAPITAL_SEQ_GROWTH","FQ1 2018","FQ1 2018","Currency=INR","Period=FQ","BEST_FPERIOD_OVERRIDE=FQ","FILING_STATUS=OR","EQY_CONSOLIDATED=Y","Sort=A","Dates=H","DateFormat=P","Fill=—","Direction=H","UseDPDF=Y")</f>
        <v>#NAME?</v>
      </c>
      <c r="BR49" s="2" t="e">
        <f ca="1">_xll.BDH($C$28,"ACCOUNTS_PAYABLE_SEQ_GROWTH","FQ1 2018","FQ1 2018","Currency=INR","Period=FQ","BEST_FPERIOD_OVERRIDE=FQ","FILING_STATUS=OR","EQY_CONSOLIDATED=Y","Sort=A","Dates=H","DateFormat=P","Fill=—","Direction=H","UseDPDF=Y")</f>
        <v>#NAME?</v>
      </c>
      <c r="BS49" s="2" t="e">
        <f ca="1">_xll.BDH($C$28,"ST_DEBT_SEQUENTIAL_GROWTH","FQ1 2018","FQ1 2018","Currency=INR","Period=FQ","BEST_FPERIOD_OVERRIDE=FQ","FILING_STATUS=OR","EQY_CONSOLIDATED=Y","Sort=A","Dates=H","DateFormat=P","Fill=—","Direction=H","UseDPDF=Y")</f>
        <v>#NAME?</v>
      </c>
      <c r="BT49" s="2" t="e">
        <f ca="1">_xll.BDH($C$28,"TOTAL_DEBT_SEQUENTIAL_GROWTH","FQ1 2018","FQ1 2018","Currency=INR","Period=FQ","BEST_FPERIOD_OVERRIDE=FQ","FILING_STATUS=OR","EQY_CONSOLIDATED=Y","Sort=A","Dates=H","DateFormat=P","Fill=—","Direction=H","UseDPDF=Y")</f>
        <v>#NAME?</v>
      </c>
      <c r="BU49" s="2" t="e">
        <f ca="1">_xll.BDH($C$28,"TOTAL_EQUITY_SEQUENTIAL_GROWTH","FQ1 2018","FQ1 2018","Currency=INR","Period=FQ","BEST_FPERIOD_OVERRIDE=FQ","FILING_STATUS=OR","EQY_CONSOLIDATED=Y","Sort=A","Dates=H","DateFormat=P","Fill=—","Direction=H","UseDPDF=Y")</f>
        <v>#NAME?</v>
      </c>
      <c r="BV49" s="2" t="e">
        <f ca="1">_xll.BDH($C$28,"TOTAL_CAPITAL_SEQUENTIAL_GROWTH","FQ1 2018","FQ1 2018","Currency=INR","Period=FQ","BEST_FPERIOD_OVERRIDE=FQ","FILING_STATUS=OR","EQY_CONSOLIDATED=Y","Sort=A","Dates=H","DateFormat=P","Fill=—","Direction=H","UseDPDF=Y")</f>
        <v>#NAME?</v>
      </c>
      <c r="BW49" s="2" t="e">
        <f ca="1">_xll.BDH($C$28,"BPS_SEQUENTIAL_GROWTH","FQ1 2018","FQ1 2018","Currency=INR","Period=FQ","BEST_FPERIOD_OVERRIDE=FQ","FILING_STATUS=OR","EQY_CONSOLIDATED=Y","Sort=A","Dates=H","DateFormat=P","Fill=—","Direction=H","UseDPDF=Y")</f>
        <v>#NAME?</v>
      </c>
      <c r="BX49" s="2" t="e">
        <f ca="1">_xll.BDH($C$28,"CFO_SEQUENTIAL_GROWTH","FQ1 2018","FQ1 2018","Currency=INR","Period=FQ","BEST_FPERIOD_OVERRIDE=FQ","FILING_STATUS=OR","EQY_CONSOLIDATED=Y","Sort=A","Dates=H","DateFormat=P","Fill=—","Direction=H","UseDPDF=Y")</f>
        <v>#NAME?</v>
      </c>
      <c r="BY49" s="3" t="e">
        <f ca="1">_xll.BDH($C$28,"SHORT_AND_LONG_TERM_DEBT","FQ1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" s="3" t="e">
        <f ca="1">_xll.BDH($C$28,"BS_ST_BORROW","FQ1 2018","FQ1 2018","Currency=INR","Period=FQ","BEST_FPERIOD_OVERRIDE=FQ","FILING_STATUS=OR","EQY_CONSOLIDATED=Y","SCALING_FORMAT=MLN","Sort=A","Dates=H","DateFormat=P","Fill=—","Direction=H","UseDPDF=Y")</f>
        <v>#NAME?</v>
      </c>
      <c r="CA49" s="3" t="e">
        <f ca="1">_xll.BDH($C$28,"BS_LT_BORROW","FQ1 2018","FQ1 2018","Currency=INR","Period=FQ","BEST_FPERIOD_OVERRIDE=FQ","FILING_STATUS=OR","EQY_CONSOLIDATED=Y","SCALING_FORMAT=MLN","Sort=A","Dates=H","DateFormat=P","Fill=—","Direction=H","UseDPDF=Y")</f>
        <v>#NAME?</v>
      </c>
      <c r="CB49" s="2" t="e">
        <f ca="1">_xll.BDH($C$28,"TOT_DEBT_TO_EBITDA","FQ1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" s="2" t="e">
        <f ca="1">_xll.BDH($C$28,"NET_DEBT_TO_EBITDA","FQ1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" s="2" t="e">
        <f ca="1">_xll.BDH($C$28,"TOTAL_DEBT_TO_EBIT","FQ1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" s="2" t="e">
        <f ca="1">_xll.BDH($C$28,"NET_DEBT_TO_EBIT","FQ1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" s="2" t="e">
        <f ca="1">_xll.BDH($C$28,"EBITDA_TO_INTEREST_EXPN","FQ1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" s="2" t="e">
        <f ca="1">_xll.BDH($C$28,"COM_EQY_TO_TOT_ASSET","FQ1 2018","FQ1 2018","Currency=INR","Period=FQ","BEST_FPERIOD_OVERRIDE=FQ","FILING_STATUS=OR","EQY_CONSOLIDATED=Y","Sort=A","Dates=H","DateFormat=P","Fill=—","Direction=H","UseDPDF=Y")</f>
        <v>#NAME?</v>
      </c>
      <c r="CH49" s="2" t="e">
        <f ca="1">_xll.BDH($C$28,"LT_DEBT_TO_TOT_EQY","FQ1 2018","FQ1 2018","Currency=INR","Period=FQ","BEST_FPERIOD_OVERRIDE=FQ","FILING_STATUS=OR","EQY_CONSOLIDATED=Y","Sort=A","Dates=H","DateFormat=P","Fill=—","Direction=H","UseDPDF=Y")</f>
        <v>#NAME?</v>
      </c>
      <c r="CI49" s="2" t="e">
        <f ca="1">_xll.BDH($C$28,"LT_DEBT_TO_TOT_CAP","FQ1 2018","FQ1 2018","Currency=INR","Period=FQ","BEST_FPERIOD_OVERRIDE=FQ","FILING_STATUS=OR","EQY_CONSOLIDATED=Y","Sort=A","Dates=H","DateFormat=P","Fill=—","Direction=H","UseDPDF=Y")</f>
        <v>#NAME?</v>
      </c>
      <c r="CJ49" s="2" t="e">
        <f ca="1">_xll.BDH($C$28,"LT_DEBT_TO_TOT_ASSET","FQ1 2018","FQ1 2018","Currency=INR","Period=FQ","BEST_FPERIOD_OVERRIDE=FQ","FILING_STATUS=OR","EQY_CONSOLIDATED=Y","Sort=A","Dates=H","DateFormat=P","Fill=—","Direction=H","UseDPDF=Y")</f>
        <v>#NAME?</v>
      </c>
      <c r="CK49" s="2" t="e">
        <f ca="1">_xll.BDH($C$28,"TOT_DEBT_TO_TOT_EQY","FQ1 2018","FQ1 2018","Currency=INR","Period=FQ","BEST_FPERIOD_OVERRIDE=FQ","FILING_STATUS=OR","EQY_CONSOLIDATED=Y","Sort=A","Dates=H","DateFormat=P","Fill=—","Direction=H","UseDPDF=Y")</f>
        <v>#NAME?</v>
      </c>
      <c r="CL49" s="2" t="e">
        <f ca="1">_xll.BDH($C$28,"TOT_DEBT_TO_TOT_CAP","FQ1 2018","FQ1 2018","Currency=INR","Period=FQ","BEST_FPERIOD_OVERRIDE=FQ","FILING_STATUS=OR","EQY_CONSOLIDATED=Y","Sort=A","Dates=H","DateFormat=P","Fill=—","Direction=H","UseDPDF=Y")</f>
        <v>#NAME?</v>
      </c>
      <c r="CM49" s="2" t="e">
        <f ca="1">_xll.BDH($C$28,"TOT_DEBT_TO_TOT_ASSET","FQ1 2018","FQ1 2018","Currency=INR","Period=FQ","BEST_FPERIOD_OVERRIDE=FQ","FILING_STATUS=OR","EQY_CONSOLIDATED=Y","Sort=A","Dates=H","DateFormat=P","Fill=—","Direction=H","UseDPDF=Y")</f>
        <v>#NAME?</v>
      </c>
      <c r="CN49" s="2" t="e">
        <f ca="1">_xll.BDH($C$28,"NET_DEBT_TO_SHRHLDR_EQTY","FQ1 2018","FQ1 2018","Currency=INR","Period=FQ","BEST_FPERIOD_OVERRIDE=FQ","FILING_STATUS=OR","EQY_CONSOLIDATED=Y","Sort=A","Dates=H","DateFormat=P","Fill=—","Direction=H","UseDPDF=Y")</f>
        <v>#NAME?</v>
      </c>
      <c r="CO49" s="2" t="e">
        <f ca="1">_xll.BDH($C$28,"NET_DEBT_%_CAPITAL","FQ1 2018","FQ1 2018","Currency=INR","Period=FQ","BEST_FPERIOD_OVERRIDE=FQ","FILING_STATUS=OR","EQY_CONSOLIDATED=Y","Sort=A","Dates=H","DateFormat=P","Fill=—","Direction=H","UseDPDF=Y")</f>
        <v>#NAME?</v>
      </c>
      <c r="CP49" s="3" t="e">
        <f ca="1">_xll.BDH($C$28,"EBITDA","FQ1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" s="3" t="e">
        <f ca="1">_xll.BDH($C$28,"EBITDA_AFTER_CAPEX","FQ1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" s="3" t="e">
        <f ca="1">_xll.BDH($C$28,"IS_OPER_INC","FQ1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" s="2" t="e">
        <f ca="1">_xll.BDH($C$28,"CASH_RATIO","FQ1 2018","FQ1 2018","Currency=INR","Period=FQ","BEST_FPERIOD_OVERRIDE=FQ","FILING_STATUS=OR","EQY_CONSOLIDATED=Y","Sort=A","Dates=H","DateFormat=P","Fill=—","Direction=H","UseDPDF=Y")</f>
        <v>#NAME?</v>
      </c>
      <c r="CT49" s="2" t="e">
        <f ca="1">_xll.BDH($C$28,"CUR_RATIO","FQ1 2018","FQ1 2018","Currency=INR","Period=FQ","BEST_FPERIOD_OVERRIDE=FQ","FILING_STATUS=OR","EQY_CONSOLIDATED=Y","Sort=A","Dates=H","DateFormat=P","Fill=—","Direction=H","UseDPDF=Y")</f>
        <v>#NAME?</v>
      </c>
      <c r="CU49" s="2" t="e">
        <f ca="1">_xll.BDH($C$28,"QUICK_RATIO","FQ1 2018","FQ1 2018","Currency=INR","Period=FQ","BEST_FPERIOD_OVERRIDE=FQ","FILING_STATUS=OR","EQY_CONSOLIDATED=Y","Sort=A","Dates=H","DateFormat=P","Fill=—","Direction=H","UseDPDF=Y")</f>
        <v>#NAME?</v>
      </c>
      <c r="CV49" s="2" t="e">
        <f ca="1">_xll.BDH($C$28,"ALTMAN_Z_SCORE","FQ1 2018","FQ1 2018","Currency=INR","Period=FQ","BEST_FPERIOD_OVERRIDE=FQ","FILING_STATUS=OR","EQY_CONSOLIDATED=Y","Sort=A","Dates=H","DateFormat=P","Fill=—","Direction=H","UseDPDF=Y")</f>
        <v>#NAME?</v>
      </c>
      <c r="CW49" s="4" t="e">
        <f ca="1">_xll.BDH($C$28,"ACCT_RCV_TURN","FQ1 2018","FQ1 2018","Currency=INR","Period=FQ","BEST_FPERIOD_OVERRIDE=FQ","FILING_STATUS=OR","EQY_CONSOLIDATED=Y","FA_ADJUSTED=GAAP","Sort=A","Dates=H","DateFormat=P","Fill=—","Direction=H","UseDPDF=Y")</f>
        <v>#NAME?</v>
      </c>
      <c r="CX49" s="2" t="e">
        <f ca="1">_xll.BDH($C$28,"ACCT_RCV_DAYS","FQ1 2018","FQ1 2018","Currency=INR","Period=FQ","BEST_FPERIOD_OVERRIDE=FQ","FILING_STATUS=OR","EQY_CONSOLIDATED=Y","FA_ADJUSTED=GAAP","Sort=A","Dates=H","DateFormat=P","Fill=—","Direction=H","UseDPDF=Y")</f>
        <v>#NAME?</v>
      </c>
      <c r="CY49" s="4" t="e">
        <f ca="1">_xll.BDH($C$28,"INVENT_TURN","FQ1 2018","FQ1 2018","Currency=INR","Period=FQ","BEST_FPERIOD_OVERRIDE=FQ","FILING_STATUS=OR","EQY_CONSOLIDATED=Y","FA_ADJUSTED=GAAP","Sort=A","Dates=H","DateFormat=P","Fill=—","Direction=H","UseDPDF=Y")</f>
        <v>#NAME?</v>
      </c>
      <c r="CZ49" s="2" t="e">
        <f ca="1">_xll.BDH($C$28,"INVENT_DAYS","FQ1 2018","FQ1 2018","Currency=INR","Period=FQ","BEST_FPERIOD_OVERRIDE=FQ","FILING_STATUS=OR","EQY_CONSOLIDATED=Y","FA_ADJUSTED=GAAP","Sort=A","Dates=H","DateFormat=P","Fill=—","Direction=H","UseDPDF=Y")</f>
        <v>#NAME?</v>
      </c>
      <c r="DA49" s="4" t="e">
        <f ca="1">_xll.BDH($C$28,"ACCOUNTS_PAYABLE_TURNOVER","FQ1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" s="2" t="e">
        <f ca="1">_xll.BDH($C$28,"ACCOUNTS_PAYABLE_TURNOVER_DAYS","FQ1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" s="4" t="e">
        <f ca="1">_xll.BDH($C$28,"CASH_CONVERSION_CYCLE","FQ1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" s="4" t="e">
        <f ca="1">_xll.BDH($C$28,"INV_TO_CASH_DAYS","FQ1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" s="5" t="e">
        <f ca="1">_xll.BDH($C$28,"BS_INVENTORIES","FQ1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" s="3" t="e">
        <f ca="1">_xll.BDH($C$28,"INVTRY_RAW_MATERIALS","FQ1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" s="3" t="e">
        <f ca="1">_xll.BDH($C$28,"INVTRY_IN_PROGRESS","FQ1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" s="3" t="e">
        <f ca="1">_xll.BDH($C$28,"INVTRY_FINISHED_GOODS","FQ1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" s="3" t="e">
        <f ca="1">_xll.BDH($C$28,"BS_OTHER_INV","FQ1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" spans="1:113" x14ac:dyDescent="0.3">
      <c r="A50" s="6"/>
      <c r="B50" s="6"/>
      <c r="C50" s="6"/>
      <c r="D50" s="6"/>
      <c r="E50" t="s">
        <v>79</v>
      </c>
      <c r="F50" t="e">
        <f ca="1">_xll.BDH($C$28,"RETURN_COM_EQY","FQ2 2018","FQ2 2018","Currency=INR","Period=FQ","BEST_FPERIOD_OVERRIDE=FQ","FILING_STATUS=OR","EQY_CONSOLIDATED=Y","FA_ADJUSTED=GAAP","Sort=A","Dates=H","DateFormat=P","Fill=—","Direction=H","UseDPDF=Y")</f>
        <v>#NAME?</v>
      </c>
      <c r="G50" t="e">
        <f ca="1">_xll.BDH($C$28,"RETURN_ON_ASSET","FQ2 2018","FQ2 2018","Currency=INR","Period=FQ","BEST_FPERIOD_OVERRIDE=FQ","FILING_STATUS=OR","EQY_CONSOLIDATED=Y","FA_ADJUSTED=GAAP","Sort=A","Dates=H","DateFormat=P","Fill=—","Direction=H","UseDPDF=Y")</f>
        <v>#NAME?</v>
      </c>
      <c r="H50" t="e">
        <f ca="1">_xll.BDH($C$28,"RETURN_ON_CAP","FQ2 2018","FQ2 2018","Currency=INR","Period=FQ","BEST_FPERIOD_OVERRIDE=FQ","FILING_STATUS=OR","EQY_CONSOLIDATED=Y","FA_ADJUSTED=GAAP","Sort=A","Dates=H","DateFormat=P","Fill=—","Direction=H","UseDPDF=Y")</f>
        <v>#NAME?</v>
      </c>
      <c r="I50" t="e">
        <f ca="1">_xll.BDH($C$28,"RETURN_ON_INV_CAPITAL","FQ2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" t="e">
        <f ca="1">_xll.BDH($C$28,"EBITDA_TO_REVENUE","FQ2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" t="e">
        <f ca="1">_xll.BDH($C$28,"OPER_MARGIN","FQ2 2018","FQ2 2018","Currency=INR","Period=FQ","BEST_FPERIOD_OVERRIDE=FQ","FILING_STATUS=OR","EQY_CONSOLIDATED=Y","FA_ADJUSTED=GAAP","Sort=A","Dates=H","DateFormat=P","Fill=—","Direction=H","UseDPDF=Y")</f>
        <v>#NAME?</v>
      </c>
      <c r="L50" t="e">
        <f ca="1">_xll.BDH($C$28,"INCREMENTAL_OPERATING_MARGIN","FQ2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" t="e">
        <f ca="1">_xll.BDH($C$28,"PRETAX_INC_TO_NET_SALES","FQ2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" t="e">
        <f ca="1">_xll.BDH($C$28,"INC_BEF_XO_ITEMS_TO_NET_SALES","FQ2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" t="e">
        <f ca="1">_xll.BDH($C$28,"PROF_MARGIN","FQ2 2018","FQ2 2018","Currency=INR","Period=FQ","BEST_FPERIOD_OVERRIDE=FQ","FILING_STATUS=OR","EQY_CONSOLIDATED=Y","FA_ADJUSTED=GAAP","Sort=A","Dates=H","DateFormat=P","Fill=—","Direction=H","UseDPDF=Y")</f>
        <v>#NAME?</v>
      </c>
      <c r="P50" t="e">
        <f ca="1">_xll.BDH($C$28,"NET_INCOME_TO_COMMON_MARGIN","FQ2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" t="e">
        <f ca="1">_xll.BDH($C$28,"EFF_TAX_RATE","FQ2 2018","FQ2 2018","Currency=INR","Period=FQ","BEST_FPERIOD_OVERRIDE=FQ","FILING_STATUS=OR","EQY_CONSOLIDATED=Y","FA_ADJUSTED=GAAP","Sort=A","Dates=H","DateFormat=P","Fill=—","Direction=H","UseDPDF=Y")</f>
        <v>#NAME?</v>
      </c>
      <c r="R50" t="e">
        <f ca="1">_xll.BDH($C$28,"DVD_PAYOUT_RATIO","FQ2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" t="e">
        <f ca="1">_xll.BDH($C$28,"SUSTAIN_GROWTH_RT","FQ2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" s="2" t="e">
        <f ca="1">_xll.BDH($C$28,"SALES_GROWTH","FQ2 2018","FQ2 2018","Currency=INR","Period=FQ","BEST_FPERIOD_OVERRIDE=FQ","FILING_STATUS=OR","EQY_CONSOLIDATED=Y","FA_ADJUSTED=GAAP","Sort=A","Dates=H","DateFormat=P","Fill=—","Direction=H","UseDPDF=Y")</f>
        <v>#NAME?</v>
      </c>
      <c r="U50" s="2" t="e">
        <f ca="1">_xll.BDH($C$28,"EBITDA_GROWTH","FQ2 2018","FQ2 2018","Currency=INR","Period=FQ","BEST_FPERIOD_OVERRIDE=FQ","FILING_STATUS=OR","EQY_CONSOLIDATED=Y","FA_ADJUSTED=GAAP","Sort=A","Dates=H","DateFormat=P","Fill=—","Direction=H","UseDPDF=Y")</f>
        <v>#NAME?</v>
      </c>
      <c r="V50" s="2" t="e">
        <f ca="1">_xll.BDH($C$28,"OPER_INC_GROWTH","FQ2 2018","FQ2 2018","Currency=INR","Period=FQ","BEST_FPERIOD_OVERRIDE=FQ","FILING_STATUS=OR","EQY_CONSOLIDATED=Y","FA_ADJUSTED=GAAP","Sort=A","Dates=H","DateFormat=P","Fill=—","Direction=H","UseDPDF=Y")</f>
        <v>#NAME?</v>
      </c>
      <c r="W50" s="2" t="e">
        <f ca="1">_xll.BDH($C$28,"EARN_FOR_COM_GROWTH","FQ2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" s="2" t="e">
        <f ca="1">_xll.BDH($C$28,"DILUTED_EPS_AFT_XO_ITEMS_GROWTH","FQ2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" s="2" t="e">
        <f ca="1">_xll.BDH($C$28,"DIVIDEND_PER_SHARE_1_YEAR_GROWTH","FQ2 2018","FQ2 2018","Currency=INR","Period=FQ","BEST_FPERIOD_OVERRIDE=FQ","FILING_STATUS=OR","EQY_CONSOLIDATED=Y","Sort=A","Dates=H","DateFormat=P","Fill=—","Direction=H","UseDPDF=Y")</f>
        <v>#NAME?</v>
      </c>
      <c r="Z50" s="2" t="e">
        <f ca="1">_xll.BDH($C$28,"ACCOUNTS_RECEIVABLE_GROWTH","FQ2 2018","FQ2 2018","Currency=INR","Period=FQ","BEST_FPERIOD_OVERRIDE=FQ","FILING_STATUS=OR","EQY_CONSOLIDATED=Y","Sort=A","Dates=H","DateFormat=P","Fill=—","Direction=H","UseDPDF=Y")</f>
        <v>#NAME?</v>
      </c>
      <c r="AA50" s="2" t="e">
        <f ca="1">_xll.BDH($C$28,"INVENTORY_GROWTH","FQ2 2018","FQ2 2018","Currency=INR","Period=FQ","BEST_FPERIOD_OVERRIDE=FQ","FILING_STATUS=OR","EQY_CONSOLIDATED=Y","Sort=A","Dates=H","DateFormat=P","Fill=—","Direction=H","UseDPDF=Y")</f>
        <v>#NAME?</v>
      </c>
      <c r="AB50" s="2" t="e">
        <f ca="1">_xll.BDH($C$28,"NET_FIXED_ASSETS_1_YEAR_GROWTH","FQ2 2018","FQ2 2018","Currency=INR","Period=FQ","BEST_FPERIOD_OVERRIDE=FQ","FILING_STATUS=OR","EQY_CONSOLIDATED=Y","Sort=A","Dates=H","DateFormat=P","Fill=—","Direction=H","UseDPDF=Y")</f>
        <v>#NAME?</v>
      </c>
      <c r="AC50" s="2" t="e">
        <f ca="1">_xll.BDH($C$28,"ASSET_GROWTH","FQ2 2018","FQ2 2018","Currency=INR","Period=FQ","BEST_FPERIOD_OVERRIDE=FQ","FILING_STATUS=OR","EQY_CONSOLIDATED=Y","Sort=A","Dates=H","DateFormat=P","Fill=—","Direction=H","UseDPDF=Y")</f>
        <v>#NAME?</v>
      </c>
      <c r="AD50" s="2" t="e">
        <f ca="1">_xll.BDH($C$28,"MODIFIED_WORK_CAP_GROWTH","FQ2 2018","FQ2 2018","Currency=INR","Period=FQ","BEST_FPERIOD_OVERRIDE=FQ","FILING_STATUS=OR","EQY_CONSOLIDATED=Y","Sort=A","Dates=H","DateFormat=P","Fill=—","Direction=H","UseDPDF=Y")</f>
        <v>#NAME?</v>
      </c>
      <c r="AE50" s="2" t="e">
        <f ca="1">_xll.BDH($C$28,"WORK_CAP_GROWTH","FQ2 2018","FQ2 2018","Currency=INR","Period=FQ","BEST_FPERIOD_OVERRIDE=FQ","FILING_STATUS=OR","EQY_CONSOLIDATED=Y","Sort=A","Dates=H","DateFormat=P","Fill=—","Direction=H","UseDPDF=Y")</f>
        <v>#NAME?</v>
      </c>
      <c r="AF50" s="2" t="e">
        <f ca="1">_xll.BDH($C$28,"ACCOUNTS_PAYABLE_GROWTH_1YR","FQ2 2018","FQ2 2018","Currency=INR","Period=FQ","BEST_FPERIOD_OVERRIDE=FQ","FILING_STATUS=OR","EQY_CONSOLIDATED=Y","Sort=A","Dates=H","DateFormat=P","Fill=—","Direction=H","UseDPDF=Y")</f>
        <v>#NAME?</v>
      </c>
      <c r="AG50" s="2" t="e">
        <f ca="1">_xll.BDH($C$28,"SHORT_TERM_DEBT_1_YEAR_GROWTH","FQ2 2018","FQ2 2018","Currency=INR","Period=FQ","BEST_FPERIOD_OVERRIDE=FQ","FILING_STATUS=OR","EQY_CONSOLIDATED=Y","Sort=A","Dates=H","DateFormat=P","Fill=—","Direction=H","UseDPDF=Y")</f>
        <v>#NAME?</v>
      </c>
      <c r="AH50" s="2" t="e">
        <f ca="1">_xll.BDH($C$28,"TOTAL_DEBT_1_YEAR_GROWTH","FQ2 2018","FQ2 2018","Currency=INR","Period=FQ","BEST_FPERIOD_OVERRIDE=FQ","FILING_STATUS=OR","EQY_CONSOLIDATED=Y","Sort=A","Dates=H","DateFormat=P","Fill=—","Direction=H","UseDPDF=Y")</f>
        <v>#NAME?</v>
      </c>
      <c r="AI50" s="2" t="e">
        <f ca="1">_xll.BDH($C$28,"TOTAL_EQUITY_1_YEAR_GROWTH","FQ2 2018","FQ2 2018","Currency=INR","Period=FQ","BEST_FPERIOD_OVERRIDE=FQ","FILING_STATUS=OR","EQY_CONSOLIDATED=Y","Sort=A","Dates=H","DateFormat=P","Fill=—","Direction=H","UseDPDF=Y")</f>
        <v>#NAME?</v>
      </c>
      <c r="AJ50" s="2" t="e">
        <f ca="1">_xll.BDH($C$28,"GROWTH_IN_CAP","FQ2 2018","FQ2 2018","Currency=INR","Period=FQ","BEST_FPERIOD_OVERRIDE=FQ","FILING_STATUS=OR","EQY_CONSOLIDATED=Y","Sort=A","Dates=H","DateFormat=P","Fill=—","Direction=H","UseDPDF=Y")</f>
        <v>#NAME?</v>
      </c>
      <c r="AK50" s="2" t="e">
        <f ca="1">_xll.BDH($C$28,"BVPS_GROWTH","FQ2 2018","FQ2 2018","Currency=INR","Period=FQ","BEST_FPERIOD_OVERRIDE=FQ","FILING_STATUS=OR","EQY_CONSOLIDATED=Y","Sort=A","Dates=H","DateFormat=P","Fill=—","Direction=H","UseDPDF=Y")</f>
        <v>#NAME?</v>
      </c>
      <c r="AL50" s="2" t="e">
        <f ca="1">_xll.BDH($C$28,"CASH_FLOW_GROWTH","FQ2 2018","FQ2 2018","Currency=INR","Period=FQ","BEST_FPERIOD_OVERRIDE=FQ","FILING_STATUS=OR","EQY_CONSOLIDATED=Y","Sort=A","Dates=H","DateFormat=P","Fill=—","Direction=H","UseDPDF=Y")</f>
        <v>#NAME?</v>
      </c>
      <c r="AM50" s="2" t="e">
        <f ca="1">_xll.BDH($C$28,"GEO_GROW_NET_SALES","FQ2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" s="2" t="e">
        <f ca="1">_xll.BDH($C$28,"GEO_GROW_EBITDA","FQ2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" s="2" t="e">
        <f ca="1">_xll.BDH($C$28,"GEO_GROW_OPER_INC","FQ2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" s="2" t="e">
        <f ca="1">_xll.BDH($C$28,"NET_INCOME_TO_COMMON_5_YR_GROWTH","FQ2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" s="2" t="e">
        <f ca="1">_xll.BDH($C$28,"5Y_GEO_GROWTH_DILUTED_EPS","FQ2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" s="2" t="e">
        <f ca="1">_xll.BDH($C$28,"GEO_GROW_DVD_PER_SH","FQ2 2018","FQ2 2018","Currency=INR","Period=FQ","BEST_FPERIOD_OVERRIDE=FQ","FILING_STATUS=OR","EQY_CONSOLIDATED=Y","Sort=A","Dates=H","DateFormat=P","Fill=—","Direction=H","UseDPDF=Y")</f>
        <v>#NAME?</v>
      </c>
      <c r="AS50" s="2" t="e">
        <f ca="1">_xll.BDH($C$28,"ACCOUNTS_RECEIVABLE_5_YR_GROWTH","FQ2 2018","FQ2 2018","Currency=INR","Period=FQ","BEST_FPERIOD_OVERRIDE=FQ","FILING_STATUS=OR","EQY_CONSOLIDATED=Y","Sort=A","Dates=H","DateFormat=P","Fill=—","Direction=H","UseDPDF=Y")</f>
        <v>#NAME?</v>
      </c>
      <c r="AT50" s="2" t="e">
        <f ca="1">_xll.BDH($C$28,"INVENTORY_5_YEAR_GROWTH","FQ2 2018","FQ2 2018","Currency=INR","Period=FQ","BEST_FPERIOD_OVERRIDE=FQ","FILING_STATUS=OR","EQY_CONSOLIDATED=Y","Sort=A","Dates=H","DateFormat=P","Fill=—","Direction=H","UseDPDF=Y")</f>
        <v>#NAME?</v>
      </c>
      <c r="AU50" s="2" t="e">
        <f ca="1">_xll.BDH($C$28,"NET_FIXED_ASSETS_5_YEAR_GROWTH","FQ2 2018","FQ2 2018","Currency=INR","Period=FQ","BEST_FPERIOD_OVERRIDE=FQ","FILING_STATUS=OR","EQY_CONSOLIDATED=Y","Sort=A","Dates=H","DateFormat=P","Fill=—","Direction=H","UseDPDF=Y")</f>
        <v>#NAME?</v>
      </c>
      <c r="AV50" s="2" t="e">
        <f ca="1">_xll.BDH($C$28,"GEO_GROW_TOT_ASSET","FQ2 2018","FQ2 2018","Currency=INR","Period=FQ","BEST_FPERIOD_OVERRIDE=FQ","FILING_STATUS=OR","EQY_CONSOLIDATED=Y","Sort=A","Dates=H","DateFormat=P","Fill=—","Direction=H","UseDPDF=Y")</f>
        <v>#NAME?</v>
      </c>
      <c r="AW50" s="2" t="e">
        <f ca="1">_xll.BDH($C$28,"MODIFIED_WORKING_CPTL_5YR_GRWTH","FQ2 2018","FQ2 2018","Currency=INR","Period=FQ","BEST_FPERIOD_OVERRIDE=FQ","FILING_STATUS=OR","EQY_CONSOLIDATED=Y","Sort=A","Dates=H","DateFormat=P","Fill=—","Direction=H","UseDPDF=Y")</f>
        <v>#NAME?</v>
      </c>
      <c r="AX50" s="2" t="e">
        <f ca="1">_xll.BDH($C$28,"WORKING_CAPITAL_5_YEAR_GROWTH","FQ2 2018","FQ2 2018","Currency=INR","Period=FQ","BEST_FPERIOD_OVERRIDE=FQ","FILING_STATUS=OR","EQY_CONSOLIDATED=Y","Sort=A","Dates=H","DateFormat=P","Fill=—","Direction=H","UseDPDF=Y")</f>
        <v>#NAME?</v>
      </c>
      <c r="AY50" s="2" t="e">
        <f ca="1">_xll.BDH($C$28,"ACCOUNTS_PAYABLE_5_YEAR_GROWTH","FQ2 2018","FQ2 2018","Currency=INR","Period=FQ","BEST_FPERIOD_OVERRIDE=FQ","FILING_STATUS=OR","EQY_CONSOLIDATED=Y","Sort=A","Dates=H","DateFormat=P","Fill=—","Direction=H","UseDPDF=Y")</f>
        <v>#NAME?</v>
      </c>
      <c r="AZ50" s="2" t="e">
        <f ca="1">_xll.BDH($C$28,"SHORT_TERM_DEBT_5_YEAR_GROWTH","FQ2 2018","FQ2 2018","Currency=INR","Period=FQ","BEST_FPERIOD_OVERRIDE=FQ","FILING_STATUS=OR","EQY_CONSOLIDATED=Y","Sort=A","Dates=H","DateFormat=P","Fill=—","Direction=H","UseDPDF=Y")</f>
        <v>#NAME?</v>
      </c>
      <c r="BA50" s="2" t="e">
        <f ca="1">_xll.BDH($C$28,"TOTAL_DEBT_5_YEAR_GROWTH","FQ2 2018","FQ2 2018","Currency=INR","Period=FQ","BEST_FPERIOD_OVERRIDE=FQ","FILING_STATUS=OR","EQY_CONSOLIDATED=Y","Sort=A","Dates=H","DateFormat=P","Fill=—","Direction=H","UseDPDF=Y")</f>
        <v>#NAME?</v>
      </c>
      <c r="BB50" s="2" t="e">
        <f ca="1">_xll.BDH($C$28,"GEO_GROW_TOT_SHRHLDR_EQY","FQ2 2018","FQ2 2018","Currency=INR","Period=FQ","BEST_FPERIOD_OVERRIDE=FQ","FILING_STATUS=OR","EQY_CONSOLIDATED=Y","Sort=A","Dates=H","DateFormat=P","Fill=—","Direction=H","UseDPDF=Y")</f>
        <v>#NAME?</v>
      </c>
      <c r="BC50" s="2" t="e">
        <f ca="1">_xll.BDH($C$28,"TOTAL_CAPITAL_5_YEAR_GROWTH","FQ2 2018","FQ2 2018","Currency=INR","Period=FQ","BEST_FPERIOD_OVERRIDE=FQ","FILING_STATUS=OR","EQY_CONSOLIDATED=Y","Sort=A","Dates=H","DateFormat=P","Fill=—","Direction=H","UseDPDF=Y")</f>
        <v>#NAME?</v>
      </c>
      <c r="BD50" s="2" t="e">
        <f ca="1">_xll.BDH($C$28,"GEO_GROW_BOOK_VAL","FQ2 2018","FQ2 2018","Currency=INR","Period=FQ","BEST_FPERIOD_OVERRIDE=FQ","FILING_STATUS=OR","EQY_CONSOLIDATED=Y","Sort=A","Dates=H","DateFormat=P","Fill=—","Direction=H","UseDPDF=Y")</f>
        <v>#NAME?</v>
      </c>
      <c r="BE50" s="2" t="e">
        <f ca="1">_xll.BDH($C$28,"GEO_GROW_CASH_OPER_ACT","FQ2 2018","FQ2 2018","Currency=INR","Period=FQ","BEST_FPERIOD_OVERRIDE=FQ","FILING_STATUS=OR","EQY_CONSOLIDATED=Y","Sort=A","Dates=H","DateFormat=P","Fill=—","Direction=H","UseDPDF=Y")</f>
        <v>#NAME?</v>
      </c>
      <c r="BF50" s="2" t="e">
        <f ca="1">_xll.BDH($C$28,"REVENUE_SEQUENTIAL_GROWTH","FQ2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" s="2" t="e">
        <f ca="1">_xll.BDH($C$28,"EBITDA_SEQUENTIAL_GROWTH","FQ2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" s="2" t="e">
        <f ca="1">_xll.BDH($C$28,"OPERATING_INCOME_SEQ_GROWTH","FQ2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" s="2" t="e">
        <f ca="1">_xll.BDH($C$28,"NET_INCOME_TO_COMMON_SEQ_GROWTH","FQ2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" s="2" t="e">
        <f ca="1">_xll.BDH($C$28,"EPS_DILUTED_SEQUENTIAL_GROWTH","FQ2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" s="2" t="e">
        <f ca="1">_xll.BDH($C$28,"DPS_SEQUENTIAL_GROWTH","FQ2 2018","FQ2 2018","Currency=INR","Period=FQ","BEST_FPERIOD_OVERRIDE=FQ","FILING_STATUS=OR","EQY_CONSOLIDATED=Y","Sort=A","Dates=H","DateFormat=P","Fill=—","Direction=H","UseDPDF=Y")</f>
        <v>#NAME?</v>
      </c>
      <c r="BL50" s="2" t="e">
        <f ca="1">_xll.BDH($C$28,"ACCOUNTS_RECEIVABLE_SEQ_GROWTH","FQ2 2018","FQ2 2018","Currency=INR","Period=FQ","BEST_FPERIOD_OVERRIDE=FQ","FILING_STATUS=OR","EQY_CONSOLIDATED=Y","Sort=A","Dates=H","DateFormat=P","Fill=—","Direction=H","UseDPDF=Y")</f>
        <v>#NAME?</v>
      </c>
      <c r="BM50" s="2" t="e">
        <f ca="1">_xll.BDH($C$28,"INVENTORY_SEQUENTIAL_GROWTH","FQ2 2018","FQ2 2018","Currency=INR","Period=FQ","BEST_FPERIOD_OVERRIDE=FQ","FILING_STATUS=OR","EQY_CONSOLIDATED=Y","Sort=A","Dates=H","DateFormat=P","Fill=—","Direction=H","UseDPDF=Y")</f>
        <v>#NAME?</v>
      </c>
      <c r="BN50" s="2" t="e">
        <f ca="1">_xll.BDH($C$28,"FIXED_ASSETS_SEQUENTIAL_GROWTH","FQ2 2018","FQ2 2018","Currency=INR","Period=FQ","BEST_FPERIOD_OVERRIDE=FQ","FILING_STATUS=OR","EQY_CONSOLIDATED=Y","Sort=A","Dates=H","DateFormat=P","Fill=—","Direction=H","UseDPDF=Y")</f>
        <v>#NAME?</v>
      </c>
      <c r="BO50" s="2" t="e">
        <f ca="1">_xll.BDH($C$28,"TOTAL_ASSETS_SEQUENTIAL_GROWTH","FQ2 2018","FQ2 2018","Currency=INR","Period=FQ","BEST_FPERIOD_OVERRIDE=FQ","FILING_STATUS=OR","EQY_CONSOLIDATED=Y","Sort=A","Dates=H","DateFormat=P","Fill=—","Direction=H","UseDPDF=Y")</f>
        <v>#NAME?</v>
      </c>
      <c r="BP50" s="2" t="e">
        <f ca="1">_xll.BDH($C$28,"MODIFIED_WORKING_CPTL_SEQ_GRWTH","FQ2 2018","FQ2 2018","Currency=INR","Period=FQ","BEST_FPERIOD_OVERRIDE=FQ","FILING_STATUS=OR","EQY_CONSOLIDATED=Y","Sort=A","Dates=H","DateFormat=P","Fill=—","Direction=H","UseDPDF=Y")</f>
        <v>#NAME?</v>
      </c>
      <c r="BQ50" s="2" t="e">
        <f ca="1">_xll.BDH($C$28,"WORKING_CAPITAL_SEQ_GROWTH","FQ2 2018","FQ2 2018","Currency=INR","Period=FQ","BEST_FPERIOD_OVERRIDE=FQ","FILING_STATUS=OR","EQY_CONSOLIDATED=Y","Sort=A","Dates=H","DateFormat=P","Fill=—","Direction=H","UseDPDF=Y")</f>
        <v>#NAME?</v>
      </c>
      <c r="BR50" s="2" t="e">
        <f ca="1">_xll.BDH($C$28,"ACCOUNTS_PAYABLE_SEQ_GROWTH","FQ2 2018","FQ2 2018","Currency=INR","Period=FQ","BEST_FPERIOD_OVERRIDE=FQ","FILING_STATUS=OR","EQY_CONSOLIDATED=Y","Sort=A","Dates=H","DateFormat=P","Fill=—","Direction=H","UseDPDF=Y")</f>
        <v>#NAME?</v>
      </c>
      <c r="BS50" s="2" t="e">
        <f ca="1">_xll.BDH($C$28,"ST_DEBT_SEQUENTIAL_GROWTH","FQ2 2018","FQ2 2018","Currency=INR","Period=FQ","BEST_FPERIOD_OVERRIDE=FQ","FILING_STATUS=OR","EQY_CONSOLIDATED=Y","Sort=A","Dates=H","DateFormat=P","Fill=—","Direction=H","UseDPDF=Y")</f>
        <v>#NAME?</v>
      </c>
      <c r="BT50" s="2" t="e">
        <f ca="1">_xll.BDH($C$28,"TOTAL_DEBT_SEQUENTIAL_GROWTH","FQ2 2018","FQ2 2018","Currency=INR","Period=FQ","BEST_FPERIOD_OVERRIDE=FQ","FILING_STATUS=OR","EQY_CONSOLIDATED=Y","Sort=A","Dates=H","DateFormat=P","Fill=—","Direction=H","UseDPDF=Y")</f>
        <v>#NAME?</v>
      </c>
      <c r="BU50" s="2" t="e">
        <f ca="1">_xll.BDH($C$28,"TOTAL_EQUITY_SEQUENTIAL_GROWTH","FQ2 2018","FQ2 2018","Currency=INR","Period=FQ","BEST_FPERIOD_OVERRIDE=FQ","FILING_STATUS=OR","EQY_CONSOLIDATED=Y","Sort=A","Dates=H","DateFormat=P","Fill=—","Direction=H","UseDPDF=Y")</f>
        <v>#NAME?</v>
      </c>
      <c r="BV50" s="2" t="e">
        <f ca="1">_xll.BDH($C$28,"TOTAL_CAPITAL_SEQUENTIAL_GROWTH","FQ2 2018","FQ2 2018","Currency=INR","Period=FQ","BEST_FPERIOD_OVERRIDE=FQ","FILING_STATUS=OR","EQY_CONSOLIDATED=Y","Sort=A","Dates=H","DateFormat=P","Fill=—","Direction=H","UseDPDF=Y")</f>
        <v>#NAME?</v>
      </c>
      <c r="BW50" s="2" t="e">
        <f ca="1">_xll.BDH($C$28,"BPS_SEQUENTIAL_GROWTH","FQ2 2018","FQ2 2018","Currency=INR","Period=FQ","BEST_FPERIOD_OVERRIDE=FQ","FILING_STATUS=OR","EQY_CONSOLIDATED=Y","Sort=A","Dates=H","DateFormat=P","Fill=—","Direction=H","UseDPDF=Y")</f>
        <v>#NAME?</v>
      </c>
      <c r="BX50" s="2" t="e">
        <f ca="1">_xll.BDH($C$28,"CFO_SEQUENTIAL_GROWTH","FQ2 2018","FQ2 2018","Currency=INR","Period=FQ","BEST_FPERIOD_OVERRIDE=FQ","FILING_STATUS=OR","EQY_CONSOLIDATED=Y","Sort=A","Dates=H","DateFormat=P","Fill=—","Direction=H","UseDPDF=Y")</f>
        <v>#NAME?</v>
      </c>
      <c r="BY50" s="3" t="e">
        <f ca="1">_xll.BDH($C$28,"SHORT_AND_LONG_TERM_DEBT","FQ2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" s="3" t="e">
        <f ca="1">_xll.BDH($C$28,"BS_ST_BORROW","FQ2 2018","FQ2 2018","Currency=INR","Period=FQ","BEST_FPERIOD_OVERRIDE=FQ","FILING_STATUS=OR","EQY_CONSOLIDATED=Y","SCALING_FORMAT=MLN","Sort=A","Dates=H","DateFormat=P","Fill=—","Direction=H","UseDPDF=Y")</f>
        <v>#NAME?</v>
      </c>
      <c r="CA50" s="3" t="e">
        <f ca="1">_xll.BDH($C$28,"BS_LT_BORROW","FQ2 2018","FQ2 2018","Currency=INR","Period=FQ","BEST_FPERIOD_OVERRIDE=FQ","FILING_STATUS=OR","EQY_CONSOLIDATED=Y","SCALING_FORMAT=MLN","Sort=A","Dates=H","DateFormat=P","Fill=—","Direction=H","UseDPDF=Y")</f>
        <v>#NAME?</v>
      </c>
      <c r="CB50" s="2" t="e">
        <f ca="1">_xll.BDH($C$28,"TOT_DEBT_TO_EBITDA","FQ2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" s="2" t="e">
        <f ca="1">_xll.BDH($C$28,"NET_DEBT_TO_EBITDA","FQ2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" s="2" t="e">
        <f ca="1">_xll.BDH($C$28,"TOTAL_DEBT_TO_EBIT","FQ2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" s="2" t="e">
        <f ca="1">_xll.BDH($C$28,"NET_DEBT_TO_EBIT","FQ2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" s="2" t="e">
        <f ca="1">_xll.BDH($C$28,"EBITDA_TO_INTEREST_EXPN","FQ2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" s="2" t="e">
        <f ca="1">_xll.BDH($C$28,"COM_EQY_TO_TOT_ASSET","FQ2 2018","FQ2 2018","Currency=INR","Period=FQ","BEST_FPERIOD_OVERRIDE=FQ","FILING_STATUS=OR","EQY_CONSOLIDATED=Y","Sort=A","Dates=H","DateFormat=P","Fill=—","Direction=H","UseDPDF=Y")</f>
        <v>#NAME?</v>
      </c>
      <c r="CH50" s="2" t="e">
        <f ca="1">_xll.BDH($C$28,"LT_DEBT_TO_TOT_EQY","FQ2 2018","FQ2 2018","Currency=INR","Period=FQ","BEST_FPERIOD_OVERRIDE=FQ","FILING_STATUS=OR","EQY_CONSOLIDATED=Y","Sort=A","Dates=H","DateFormat=P","Fill=—","Direction=H","UseDPDF=Y")</f>
        <v>#NAME?</v>
      </c>
      <c r="CI50" s="2" t="e">
        <f ca="1">_xll.BDH($C$28,"LT_DEBT_TO_TOT_CAP","FQ2 2018","FQ2 2018","Currency=INR","Period=FQ","BEST_FPERIOD_OVERRIDE=FQ","FILING_STATUS=OR","EQY_CONSOLIDATED=Y","Sort=A","Dates=H","DateFormat=P","Fill=—","Direction=H","UseDPDF=Y")</f>
        <v>#NAME?</v>
      </c>
      <c r="CJ50" s="2" t="e">
        <f ca="1">_xll.BDH($C$28,"LT_DEBT_TO_TOT_ASSET","FQ2 2018","FQ2 2018","Currency=INR","Period=FQ","BEST_FPERIOD_OVERRIDE=FQ","FILING_STATUS=OR","EQY_CONSOLIDATED=Y","Sort=A","Dates=H","DateFormat=P","Fill=—","Direction=H","UseDPDF=Y")</f>
        <v>#NAME?</v>
      </c>
      <c r="CK50" s="2" t="e">
        <f ca="1">_xll.BDH($C$28,"TOT_DEBT_TO_TOT_EQY","FQ2 2018","FQ2 2018","Currency=INR","Period=FQ","BEST_FPERIOD_OVERRIDE=FQ","FILING_STATUS=OR","EQY_CONSOLIDATED=Y","Sort=A","Dates=H","DateFormat=P","Fill=—","Direction=H","UseDPDF=Y")</f>
        <v>#NAME?</v>
      </c>
      <c r="CL50" s="2" t="e">
        <f ca="1">_xll.BDH($C$28,"TOT_DEBT_TO_TOT_CAP","FQ2 2018","FQ2 2018","Currency=INR","Period=FQ","BEST_FPERIOD_OVERRIDE=FQ","FILING_STATUS=OR","EQY_CONSOLIDATED=Y","Sort=A","Dates=H","DateFormat=P","Fill=—","Direction=H","UseDPDF=Y")</f>
        <v>#NAME?</v>
      </c>
      <c r="CM50" s="2" t="e">
        <f ca="1">_xll.BDH($C$28,"TOT_DEBT_TO_TOT_ASSET","FQ2 2018","FQ2 2018","Currency=INR","Period=FQ","BEST_FPERIOD_OVERRIDE=FQ","FILING_STATUS=OR","EQY_CONSOLIDATED=Y","Sort=A","Dates=H","DateFormat=P","Fill=—","Direction=H","UseDPDF=Y")</f>
        <v>#NAME?</v>
      </c>
      <c r="CN50" s="2" t="e">
        <f ca="1">_xll.BDH($C$28,"NET_DEBT_TO_SHRHLDR_EQTY","FQ2 2018","FQ2 2018","Currency=INR","Period=FQ","BEST_FPERIOD_OVERRIDE=FQ","FILING_STATUS=OR","EQY_CONSOLIDATED=Y","Sort=A","Dates=H","DateFormat=P","Fill=—","Direction=H","UseDPDF=Y")</f>
        <v>#NAME?</v>
      </c>
      <c r="CO50" s="2" t="e">
        <f ca="1">_xll.BDH($C$28,"NET_DEBT_%_CAPITAL","FQ2 2018","FQ2 2018","Currency=INR","Period=FQ","BEST_FPERIOD_OVERRIDE=FQ","FILING_STATUS=OR","EQY_CONSOLIDATED=Y","Sort=A","Dates=H","DateFormat=P","Fill=—","Direction=H","UseDPDF=Y")</f>
        <v>#NAME?</v>
      </c>
      <c r="CP50" s="3" t="e">
        <f ca="1">_xll.BDH($C$28,"EBITDA","FQ2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" s="3" t="e">
        <f ca="1">_xll.BDH($C$28,"EBITDA_AFTER_CAPEX","FQ2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" s="3" t="e">
        <f ca="1">_xll.BDH($C$28,"IS_OPER_INC","FQ2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" s="2" t="e">
        <f ca="1">_xll.BDH($C$28,"CASH_RATIO","FQ2 2018","FQ2 2018","Currency=INR","Period=FQ","BEST_FPERIOD_OVERRIDE=FQ","FILING_STATUS=OR","EQY_CONSOLIDATED=Y","Sort=A","Dates=H","DateFormat=P","Fill=—","Direction=H","UseDPDF=Y")</f>
        <v>#NAME?</v>
      </c>
      <c r="CT50" s="2" t="e">
        <f ca="1">_xll.BDH($C$28,"CUR_RATIO","FQ2 2018","FQ2 2018","Currency=INR","Period=FQ","BEST_FPERIOD_OVERRIDE=FQ","FILING_STATUS=OR","EQY_CONSOLIDATED=Y","Sort=A","Dates=H","DateFormat=P","Fill=—","Direction=H","UseDPDF=Y")</f>
        <v>#NAME?</v>
      </c>
      <c r="CU50" s="2" t="e">
        <f ca="1">_xll.BDH($C$28,"QUICK_RATIO","FQ2 2018","FQ2 2018","Currency=INR","Period=FQ","BEST_FPERIOD_OVERRIDE=FQ","FILING_STATUS=OR","EQY_CONSOLIDATED=Y","Sort=A","Dates=H","DateFormat=P","Fill=—","Direction=H","UseDPDF=Y")</f>
        <v>#NAME?</v>
      </c>
      <c r="CV50" s="2" t="e">
        <f ca="1">_xll.BDH($C$28,"ALTMAN_Z_SCORE","FQ2 2018","FQ2 2018","Currency=INR","Period=FQ","BEST_FPERIOD_OVERRIDE=FQ","FILING_STATUS=OR","EQY_CONSOLIDATED=Y","Sort=A","Dates=H","DateFormat=P","Fill=—","Direction=H","UseDPDF=Y")</f>
        <v>#NAME?</v>
      </c>
      <c r="CW50" s="4" t="e">
        <f ca="1">_xll.BDH($C$28,"ACCT_RCV_TURN","FQ2 2018","FQ2 2018","Currency=INR","Period=FQ","BEST_FPERIOD_OVERRIDE=FQ","FILING_STATUS=OR","EQY_CONSOLIDATED=Y","FA_ADJUSTED=GAAP","Sort=A","Dates=H","DateFormat=P","Fill=—","Direction=H","UseDPDF=Y")</f>
        <v>#NAME?</v>
      </c>
      <c r="CX50" s="2" t="e">
        <f ca="1">_xll.BDH($C$28,"ACCT_RCV_DAYS","FQ2 2018","FQ2 2018","Currency=INR","Period=FQ","BEST_FPERIOD_OVERRIDE=FQ","FILING_STATUS=OR","EQY_CONSOLIDATED=Y","FA_ADJUSTED=GAAP","Sort=A","Dates=H","DateFormat=P","Fill=—","Direction=H","UseDPDF=Y")</f>
        <v>#NAME?</v>
      </c>
      <c r="CY50" s="4" t="e">
        <f ca="1">_xll.BDH($C$28,"INVENT_TURN","FQ2 2018","FQ2 2018","Currency=INR","Period=FQ","BEST_FPERIOD_OVERRIDE=FQ","FILING_STATUS=OR","EQY_CONSOLIDATED=Y","FA_ADJUSTED=GAAP","Sort=A","Dates=H","DateFormat=P","Fill=—","Direction=H","UseDPDF=Y")</f>
        <v>#NAME?</v>
      </c>
      <c r="CZ50" s="2" t="e">
        <f ca="1">_xll.BDH($C$28,"INVENT_DAYS","FQ2 2018","FQ2 2018","Currency=INR","Period=FQ","BEST_FPERIOD_OVERRIDE=FQ","FILING_STATUS=OR","EQY_CONSOLIDATED=Y","FA_ADJUSTED=GAAP","Sort=A","Dates=H","DateFormat=P","Fill=—","Direction=H","UseDPDF=Y")</f>
        <v>#NAME?</v>
      </c>
      <c r="DA50" s="4" t="e">
        <f ca="1">_xll.BDH($C$28,"ACCOUNTS_PAYABLE_TURNOVER","FQ2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" s="2" t="e">
        <f ca="1">_xll.BDH($C$28,"ACCOUNTS_PAYABLE_TURNOVER_DAYS","FQ2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" s="4" t="e">
        <f ca="1">_xll.BDH($C$28,"CASH_CONVERSION_CYCLE","FQ2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" s="4" t="e">
        <f ca="1">_xll.BDH($C$28,"INV_TO_CASH_DAYS","FQ2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" s="5" t="e">
        <f ca="1">_xll.BDH($C$28,"BS_INVENTORIES","FQ2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" s="3" t="e">
        <f ca="1">_xll.BDH($C$28,"INVTRY_RAW_MATERIALS","FQ2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" s="3" t="e">
        <f ca="1">_xll.BDH($C$28,"INVTRY_IN_PROGRESS","FQ2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" s="3" t="e">
        <f ca="1">_xll.BDH($C$28,"INVTRY_FINISHED_GOODS","FQ2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" s="3" t="e">
        <f ca="1">_xll.BDH($C$28,"BS_OTHER_INV","FQ2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1" spans="1:113" x14ac:dyDescent="0.3">
      <c r="A51" s="6"/>
      <c r="B51" s="6"/>
      <c r="C51" s="6"/>
      <c r="D51" s="6"/>
      <c r="E51" t="s">
        <v>80</v>
      </c>
      <c r="F51" t="e">
        <f ca="1">_xll.BDH($C$28,"RETURN_COM_EQY","FQ3 2018","FQ3 2018","Currency=INR","Period=FQ","BEST_FPERIOD_OVERRIDE=FQ","FILING_STATUS=OR","EQY_CONSOLIDATED=Y","FA_ADJUSTED=GAAP","Sort=A","Dates=H","DateFormat=P","Fill=—","Direction=H","UseDPDF=Y")</f>
        <v>#NAME?</v>
      </c>
      <c r="G51" t="e">
        <f ca="1">_xll.BDH($C$28,"RETURN_ON_ASSET","FQ3 2018","FQ3 2018","Currency=INR","Period=FQ","BEST_FPERIOD_OVERRIDE=FQ","FILING_STATUS=OR","EQY_CONSOLIDATED=Y","FA_ADJUSTED=GAAP","Sort=A","Dates=H","DateFormat=P","Fill=—","Direction=H","UseDPDF=Y")</f>
        <v>#NAME?</v>
      </c>
      <c r="H51" t="e">
        <f ca="1">_xll.BDH($C$28,"RETURN_ON_CAP","FQ3 2018","FQ3 2018","Currency=INR","Period=FQ","BEST_FPERIOD_OVERRIDE=FQ","FILING_STATUS=OR","EQY_CONSOLIDATED=Y","FA_ADJUSTED=GAAP","Sort=A","Dates=H","DateFormat=P","Fill=—","Direction=H","UseDPDF=Y")</f>
        <v>#NAME?</v>
      </c>
      <c r="I51" t="e">
        <f ca="1">_xll.BDH($C$28,"RETURN_ON_INV_CAPITAL","FQ3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1" t="e">
        <f ca="1">_xll.BDH($C$28,"EBITDA_TO_REVENUE","FQ3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1" t="e">
        <f ca="1">_xll.BDH($C$28,"OPER_MARGIN","FQ3 2018","FQ3 2018","Currency=INR","Period=FQ","BEST_FPERIOD_OVERRIDE=FQ","FILING_STATUS=OR","EQY_CONSOLIDATED=Y","FA_ADJUSTED=GAAP","Sort=A","Dates=H","DateFormat=P","Fill=—","Direction=H","UseDPDF=Y")</f>
        <v>#NAME?</v>
      </c>
      <c r="L51" t="e">
        <f ca="1">_xll.BDH($C$28,"INCREMENTAL_OPERATING_MARGIN","FQ3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1" t="e">
        <f ca="1">_xll.BDH($C$28,"PRETAX_INC_TO_NET_SALES","FQ3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1" t="e">
        <f ca="1">_xll.BDH($C$28,"INC_BEF_XO_ITEMS_TO_NET_SALES","FQ3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1" t="e">
        <f ca="1">_xll.BDH($C$28,"PROF_MARGIN","FQ3 2018","FQ3 2018","Currency=INR","Period=FQ","BEST_FPERIOD_OVERRIDE=FQ","FILING_STATUS=OR","EQY_CONSOLIDATED=Y","FA_ADJUSTED=GAAP","Sort=A","Dates=H","DateFormat=P","Fill=—","Direction=H","UseDPDF=Y")</f>
        <v>#NAME?</v>
      </c>
      <c r="P51" t="e">
        <f ca="1">_xll.BDH($C$28,"NET_INCOME_TO_COMMON_MARGIN","FQ3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1" t="e">
        <f ca="1">_xll.BDH($C$28,"EFF_TAX_RATE","FQ3 2018","FQ3 2018","Currency=INR","Period=FQ","BEST_FPERIOD_OVERRIDE=FQ","FILING_STATUS=OR","EQY_CONSOLIDATED=Y","FA_ADJUSTED=GAAP","Sort=A","Dates=H","DateFormat=P","Fill=—","Direction=H","UseDPDF=Y")</f>
        <v>#NAME?</v>
      </c>
      <c r="R51" t="e">
        <f ca="1">_xll.BDH($C$28,"DVD_PAYOUT_RATIO","FQ3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1" t="e">
        <f ca="1">_xll.BDH($C$28,"SUSTAIN_GROWTH_RT","FQ3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1" s="2" t="e">
        <f ca="1">_xll.BDH($C$28,"SALES_GROWTH","FQ3 2018","FQ3 2018","Currency=INR","Period=FQ","BEST_FPERIOD_OVERRIDE=FQ","FILING_STATUS=OR","EQY_CONSOLIDATED=Y","FA_ADJUSTED=GAAP","Sort=A","Dates=H","DateFormat=P","Fill=—","Direction=H","UseDPDF=Y")</f>
        <v>#NAME?</v>
      </c>
      <c r="U51" s="2" t="e">
        <f ca="1">_xll.BDH($C$28,"EBITDA_GROWTH","FQ3 2018","FQ3 2018","Currency=INR","Period=FQ","BEST_FPERIOD_OVERRIDE=FQ","FILING_STATUS=OR","EQY_CONSOLIDATED=Y","FA_ADJUSTED=GAAP","Sort=A","Dates=H","DateFormat=P","Fill=—","Direction=H","UseDPDF=Y")</f>
        <v>#NAME?</v>
      </c>
      <c r="V51" s="2" t="e">
        <f ca="1">_xll.BDH($C$28,"OPER_INC_GROWTH","FQ3 2018","FQ3 2018","Currency=INR","Period=FQ","BEST_FPERIOD_OVERRIDE=FQ","FILING_STATUS=OR","EQY_CONSOLIDATED=Y","FA_ADJUSTED=GAAP","Sort=A","Dates=H","DateFormat=P","Fill=—","Direction=H","UseDPDF=Y")</f>
        <v>#NAME?</v>
      </c>
      <c r="W51" s="2" t="e">
        <f ca="1">_xll.BDH($C$28,"EARN_FOR_COM_GROWTH","FQ3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1" s="2" t="e">
        <f ca="1">_xll.BDH($C$28,"DILUTED_EPS_AFT_XO_ITEMS_GROWTH","FQ3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1" s="2" t="e">
        <f ca="1">_xll.BDH($C$28,"DIVIDEND_PER_SHARE_1_YEAR_GROWTH","FQ3 2018","FQ3 2018","Currency=INR","Period=FQ","BEST_FPERIOD_OVERRIDE=FQ","FILING_STATUS=OR","EQY_CONSOLIDATED=Y","Sort=A","Dates=H","DateFormat=P","Fill=—","Direction=H","UseDPDF=Y")</f>
        <v>#NAME?</v>
      </c>
      <c r="Z51" s="2" t="e">
        <f ca="1">_xll.BDH($C$28,"ACCOUNTS_RECEIVABLE_GROWTH","FQ3 2018","FQ3 2018","Currency=INR","Period=FQ","BEST_FPERIOD_OVERRIDE=FQ","FILING_STATUS=OR","EQY_CONSOLIDATED=Y","Sort=A","Dates=H","DateFormat=P","Fill=—","Direction=H","UseDPDF=Y")</f>
        <v>#NAME?</v>
      </c>
      <c r="AA51" s="2" t="e">
        <f ca="1">_xll.BDH($C$28,"INVENTORY_GROWTH","FQ3 2018","FQ3 2018","Currency=INR","Period=FQ","BEST_FPERIOD_OVERRIDE=FQ","FILING_STATUS=OR","EQY_CONSOLIDATED=Y","Sort=A","Dates=H","DateFormat=P","Fill=—","Direction=H","UseDPDF=Y")</f>
        <v>#NAME?</v>
      </c>
      <c r="AB51" s="2" t="e">
        <f ca="1">_xll.BDH($C$28,"NET_FIXED_ASSETS_1_YEAR_GROWTH","FQ3 2018","FQ3 2018","Currency=INR","Period=FQ","BEST_FPERIOD_OVERRIDE=FQ","FILING_STATUS=OR","EQY_CONSOLIDATED=Y","Sort=A","Dates=H","DateFormat=P","Fill=—","Direction=H","UseDPDF=Y")</f>
        <v>#NAME?</v>
      </c>
      <c r="AC51" s="2" t="e">
        <f ca="1">_xll.BDH($C$28,"ASSET_GROWTH","FQ3 2018","FQ3 2018","Currency=INR","Period=FQ","BEST_FPERIOD_OVERRIDE=FQ","FILING_STATUS=OR","EQY_CONSOLIDATED=Y","Sort=A","Dates=H","DateFormat=P","Fill=—","Direction=H","UseDPDF=Y")</f>
        <v>#NAME?</v>
      </c>
      <c r="AD51" s="2" t="e">
        <f ca="1">_xll.BDH($C$28,"MODIFIED_WORK_CAP_GROWTH","FQ3 2018","FQ3 2018","Currency=INR","Period=FQ","BEST_FPERIOD_OVERRIDE=FQ","FILING_STATUS=OR","EQY_CONSOLIDATED=Y","Sort=A","Dates=H","DateFormat=P","Fill=—","Direction=H","UseDPDF=Y")</f>
        <v>#NAME?</v>
      </c>
      <c r="AE51" s="2" t="e">
        <f ca="1">_xll.BDH($C$28,"WORK_CAP_GROWTH","FQ3 2018","FQ3 2018","Currency=INR","Period=FQ","BEST_FPERIOD_OVERRIDE=FQ","FILING_STATUS=OR","EQY_CONSOLIDATED=Y","Sort=A","Dates=H","DateFormat=P","Fill=—","Direction=H","UseDPDF=Y")</f>
        <v>#NAME?</v>
      </c>
      <c r="AF51" s="2" t="e">
        <f ca="1">_xll.BDH($C$28,"ACCOUNTS_PAYABLE_GROWTH_1YR","FQ3 2018","FQ3 2018","Currency=INR","Period=FQ","BEST_FPERIOD_OVERRIDE=FQ","FILING_STATUS=OR","EQY_CONSOLIDATED=Y","Sort=A","Dates=H","DateFormat=P","Fill=—","Direction=H","UseDPDF=Y")</f>
        <v>#NAME?</v>
      </c>
      <c r="AG51" s="2" t="e">
        <f ca="1">_xll.BDH($C$28,"SHORT_TERM_DEBT_1_YEAR_GROWTH","FQ3 2018","FQ3 2018","Currency=INR","Period=FQ","BEST_FPERIOD_OVERRIDE=FQ","FILING_STATUS=OR","EQY_CONSOLIDATED=Y","Sort=A","Dates=H","DateFormat=P","Fill=—","Direction=H","UseDPDF=Y")</f>
        <v>#NAME?</v>
      </c>
      <c r="AH51" s="2" t="e">
        <f ca="1">_xll.BDH($C$28,"TOTAL_DEBT_1_YEAR_GROWTH","FQ3 2018","FQ3 2018","Currency=INR","Period=FQ","BEST_FPERIOD_OVERRIDE=FQ","FILING_STATUS=OR","EQY_CONSOLIDATED=Y","Sort=A","Dates=H","DateFormat=P","Fill=—","Direction=H","UseDPDF=Y")</f>
        <v>#NAME?</v>
      </c>
      <c r="AI51" s="2" t="e">
        <f ca="1">_xll.BDH($C$28,"TOTAL_EQUITY_1_YEAR_GROWTH","FQ3 2018","FQ3 2018","Currency=INR","Period=FQ","BEST_FPERIOD_OVERRIDE=FQ","FILING_STATUS=OR","EQY_CONSOLIDATED=Y","Sort=A","Dates=H","DateFormat=P","Fill=—","Direction=H","UseDPDF=Y")</f>
        <v>#NAME?</v>
      </c>
      <c r="AJ51" s="2" t="e">
        <f ca="1">_xll.BDH($C$28,"GROWTH_IN_CAP","FQ3 2018","FQ3 2018","Currency=INR","Period=FQ","BEST_FPERIOD_OVERRIDE=FQ","FILING_STATUS=OR","EQY_CONSOLIDATED=Y","Sort=A","Dates=H","DateFormat=P","Fill=—","Direction=H","UseDPDF=Y")</f>
        <v>#NAME?</v>
      </c>
      <c r="AK51" s="2" t="e">
        <f ca="1">_xll.BDH($C$28,"BVPS_GROWTH","FQ3 2018","FQ3 2018","Currency=INR","Period=FQ","BEST_FPERIOD_OVERRIDE=FQ","FILING_STATUS=OR","EQY_CONSOLIDATED=Y","Sort=A","Dates=H","DateFormat=P","Fill=—","Direction=H","UseDPDF=Y")</f>
        <v>#NAME?</v>
      </c>
      <c r="AL51" s="2" t="e">
        <f ca="1">_xll.BDH($C$28,"CASH_FLOW_GROWTH","FQ3 2018","FQ3 2018","Currency=INR","Period=FQ","BEST_FPERIOD_OVERRIDE=FQ","FILING_STATUS=OR","EQY_CONSOLIDATED=Y","Sort=A","Dates=H","DateFormat=P","Fill=—","Direction=H","UseDPDF=Y")</f>
        <v>#NAME?</v>
      </c>
      <c r="AM51" s="2" t="e">
        <f ca="1">_xll.BDH($C$28,"GEO_GROW_NET_SALES","FQ3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1" s="2" t="e">
        <f ca="1">_xll.BDH($C$28,"GEO_GROW_EBITDA","FQ3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1" s="2" t="e">
        <f ca="1">_xll.BDH($C$28,"GEO_GROW_OPER_INC","FQ3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1" s="2" t="e">
        <f ca="1">_xll.BDH($C$28,"NET_INCOME_TO_COMMON_5_YR_GROWTH","FQ3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1" s="2" t="e">
        <f ca="1">_xll.BDH($C$28,"5Y_GEO_GROWTH_DILUTED_EPS","FQ3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1" s="2" t="e">
        <f ca="1">_xll.BDH($C$28,"GEO_GROW_DVD_PER_SH","FQ3 2018","FQ3 2018","Currency=INR","Period=FQ","BEST_FPERIOD_OVERRIDE=FQ","FILING_STATUS=OR","EQY_CONSOLIDATED=Y","Sort=A","Dates=H","DateFormat=P","Fill=—","Direction=H","UseDPDF=Y")</f>
        <v>#NAME?</v>
      </c>
      <c r="AS51" s="2" t="e">
        <f ca="1">_xll.BDH($C$28,"ACCOUNTS_RECEIVABLE_5_YR_GROWTH","FQ3 2018","FQ3 2018","Currency=INR","Period=FQ","BEST_FPERIOD_OVERRIDE=FQ","FILING_STATUS=OR","EQY_CONSOLIDATED=Y","Sort=A","Dates=H","DateFormat=P","Fill=—","Direction=H","UseDPDF=Y")</f>
        <v>#NAME?</v>
      </c>
      <c r="AT51" s="2" t="e">
        <f ca="1">_xll.BDH($C$28,"INVENTORY_5_YEAR_GROWTH","FQ3 2018","FQ3 2018","Currency=INR","Period=FQ","BEST_FPERIOD_OVERRIDE=FQ","FILING_STATUS=OR","EQY_CONSOLIDATED=Y","Sort=A","Dates=H","DateFormat=P","Fill=—","Direction=H","UseDPDF=Y")</f>
        <v>#NAME?</v>
      </c>
      <c r="AU51" s="2" t="e">
        <f ca="1">_xll.BDH($C$28,"NET_FIXED_ASSETS_5_YEAR_GROWTH","FQ3 2018","FQ3 2018","Currency=INR","Period=FQ","BEST_FPERIOD_OVERRIDE=FQ","FILING_STATUS=OR","EQY_CONSOLIDATED=Y","Sort=A","Dates=H","DateFormat=P","Fill=—","Direction=H","UseDPDF=Y")</f>
        <v>#NAME?</v>
      </c>
      <c r="AV51" s="2" t="e">
        <f ca="1">_xll.BDH($C$28,"GEO_GROW_TOT_ASSET","FQ3 2018","FQ3 2018","Currency=INR","Period=FQ","BEST_FPERIOD_OVERRIDE=FQ","FILING_STATUS=OR","EQY_CONSOLIDATED=Y","Sort=A","Dates=H","DateFormat=P","Fill=—","Direction=H","UseDPDF=Y")</f>
        <v>#NAME?</v>
      </c>
      <c r="AW51" s="2" t="e">
        <f ca="1">_xll.BDH($C$28,"MODIFIED_WORKING_CPTL_5YR_GRWTH","FQ3 2018","FQ3 2018","Currency=INR","Period=FQ","BEST_FPERIOD_OVERRIDE=FQ","FILING_STATUS=OR","EQY_CONSOLIDATED=Y","Sort=A","Dates=H","DateFormat=P","Fill=—","Direction=H","UseDPDF=Y")</f>
        <v>#NAME?</v>
      </c>
      <c r="AX51" s="2" t="e">
        <f ca="1">_xll.BDH($C$28,"WORKING_CAPITAL_5_YEAR_GROWTH","FQ3 2018","FQ3 2018","Currency=INR","Period=FQ","BEST_FPERIOD_OVERRIDE=FQ","FILING_STATUS=OR","EQY_CONSOLIDATED=Y","Sort=A","Dates=H","DateFormat=P","Fill=—","Direction=H","UseDPDF=Y")</f>
        <v>#NAME?</v>
      </c>
      <c r="AY51" s="2" t="e">
        <f ca="1">_xll.BDH($C$28,"ACCOUNTS_PAYABLE_5_YEAR_GROWTH","FQ3 2018","FQ3 2018","Currency=INR","Period=FQ","BEST_FPERIOD_OVERRIDE=FQ","FILING_STATUS=OR","EQY_CONSOLIDATED=Y","Sort=A","Dates=H","DateFormat=P","Fill=—","Direction=H","UseDPDF=Y")</f>
        <v>#NAME?</v>
      </c>
      <c r="AZ51" s="2" t="e">
        <f ca="1">_xll.BDH($C$28,"SHORT_TERM_DEBT_5_YEAR_GROWTH","FQ3 2018","FQ3 2018","Currency=INR","Period=FQ","BEST_FPERIOD_OVERRIDE=FQ","FILING_STATUS=OR","EQY_CONSOLIDATED=Y","Sort=A","Dates=H","DateFormat=P","Fill=—","Direction=H","UseDPDF=Y")</f>
        <v>#NAME?</v>
      </c>
      <c r="BA51" s="2" t="e">
        <f ca="1">_xll.BDH($C$28,"TOTAL_DEBT_5_YEAR_GROWTH","FQ3 2018","FQ3 2018","Currency=INR","Period=FQ","BEST_FPERIOD_OVERRIDE=FQ","FILING_STATUS=OR","EQY_CONSOLIDATED=Y","Sort=A","Dates=H","DateFormat=P","Fill=—","Direction=H","UseDPDF=Y")</f>
        <v>#NAME?</v>
      </c>
      <c r="BB51" s="2" t="e">
        <f ca="1">_xll.BDH($C$28,"GEO_GROW_TOT_SHRHLDR_EQY","FQ3 2018","FQ3 2018","Currency=INR","Period=FQ","BEST_FPERIOD_OVERRIDE=FQ","FILING_STATUS=OR","EQY_CONSOLIDATED=Y","Sort=A","Dates=H","DateFormat=P","Fill=—","Direction=H","UseDPDF=Y")</f>
        <v>#NAME?</v>
      </c>
      <c r="BC51" s="2" t="e">
        <f ca="1">_xll.BDH($C$28,"TOTAL_CAPITAL_5_YEAR_GROWTH","FQ3 2018","FQ3 2018","Currency=INR","Period=FQ","BEST_FPERIOD_OVERRIDE=FQ","FILING_STATUS=OR","EQY_CONSOLIDATED=Y","Sort=A","Dates=H","DateFormat=P","Fill=—","Direction=H","UseDPDF=Y")</f>
        <v>#NAME?</v>
      </c>
      <c r="BD51" s="2" t="e">
        <f ca="1">_xll.BDH($C$28,"GEO_GROW_BOOK_VAL","FQ3 2018","FQ3 2018","Currency=INR","Period=FQ","BEST_FPERIOD_OVERRIDE=FQ","FILING_STATUS=OR","EQY_CONSOLIDATED=Y","Sort=A","Dates=H","DateFormat=P","Fill=—","Direction=H","UseDPDF=Y")</f>
        <v>#NAME?</v>
      </c>
      <c r="BE51" s="2" t="e">
        <f ca="1">_xll.BDH($C$28,"GEO_GROW_CASH_OPER_ACT","FQ3 2018","FQ3 2018","Currency=INR","Period=FQ","BEST_FPERIOD_OVERRIDE=FQ","FILING_STATUS=OR","EQY_CONSOLIDATED=Y","Sort=A","Dates=H","DateFormat=P","Fill=—","Direction=H","UseDPDF=Y")</f>
        <v>#NAME?</v>
      </c>
      <c r="BF51" s="2" t="e">
        <f ca="1">_xll.BDH($C$28,"REVENUE_SEQUENTIAL_GROWTH","FQ3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1" s="2" t="e">
        <f ca="1">_xll.BDH($C$28,"EBITDA_SEQUENTIAL_GROWTH","FQ3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1" s="2" t="e">
        <f ca="1">_xll.BDH($C$28,"OPERATING_INCOME_SEQ_GROWTH","FQ3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1" s="2" t="e">
        <f ca="1">_xll.BDH($C$28,"NET_INCOME_TO_COMMON_SEQ_GROWTH","FQ3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1" s="2" t="e">
        <f ca="1">_xll.BDH($C$28,"EPS_DILUTED_SEQUENTIAL_GROWTH","FQ3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1" s="2" t="e">
        <f ca="1">_xll.BDH($C$28,"DPS_SEQUENTIAL_GROWTH","FQ3 2018","FQ3 2018","Currency=INR","Period=FQ","BEST_FPERIOD_OVERRIDE=FQ","FILING_STATUS=OR","EQY_CONSOLIDATED=Y","Sort=A","Dates=H","DateFormat=P","Fill=—","Direction=H","UseDPDF=Y")</f>
        <v>#NAME?</v>
      </c>
      <c r="BL51" s="2" t="e">
        <f ca="1">_xll.BDH($C$28,"ACCOUNTS_RECEIVABLE_SEQ_GROWTH","FQ3 2018","FQ3 2018","Currency=INR","Period=FQ","BEST_FPERIOD_OVERRIDE=FQ","FILING_STATUS=OR","EQY_CONSOLIDATED=Y","Sort=A","Dates=H","DateFormat=P","Fill=—","Direction=H","UseDPDF=Y")</f>
        <v>#NAME?</v>
      </c>
      <c r="BM51" s="2" t="e">
        <f ca="1">_xll.BDH($C$28,"INVENTORY_SEQUENTIAL_GROWTH","FQ3 2018","FQ3 2018","Currency=INR","Period=FQ","BEST_FPERIOD_OVERRIDE=FQ","FILING_STATUS=OR","EQY_CONSOLIDATED=Y","Sort=A","Dates=H","DateFormat=P","Fill=—","Direction=H","UseDPDF=Y")</f>
        <v>#NAME?</v>
      </c>
      <c r="BN51" s="2" t="e">
        <f ca="1">_xll.BDH($C$28,"FIXED_ASSETS_SEQUENTIAL_GROWTH","FQ3 2018","FQ3 2018","Currency=INR","Period=FQ","BEST_FPERIOD_OVERRIDE=FQ","FILING_STATUS=OR","EQY_CONSOLIDATED=Y","Sort=A","Dates=H","DateFormat=P","Fill=—","Direction=H","UseDPDF=Y")</f>
        <v>#NAME?</v>
      </c>
      <c r="BO51" s="2" t="e">
        <f ca="1">_xll.BDH($C$28,"TOTAL_ASSETS_SEQUENTIAL_GROWTH","FQ3 2018","FQ3 2018","Currency=INR","Period=FQ","BEST_FPERIOD_OVERRIDE=FQ","FILING_STATUS=OR","EQY_CONSOLIDATED=Y","Sort=A","Dates=H","DateFormat=P","Fill=—","Direction=H","UseDPDF=Y")</f>
        <v>#NAME?</v>
      </c>
      <c r="BP51" s="2" t="e">
        <f ca="1">_xll.BDH($C$28,"MODIFIED_WORKING_CPTL_SEQ_GRWTH","FQ3 2018","FQ3 2018","Currency=INR","Period=FQ","BEST_FPERIOD_OVERRIDE=FQ","FILING_STATUS=OR","EQY_CONSOLIDATED=Y","Sort=A","Dates=H","DateFormat=P","Fill=—","Direction=H","UseDPDF=Y")</f>
        <v>#NAME?</v>
      </c>
      <c r="BQ51" s="2" t="e">
        <f ca="1">_xll.BDH($C$28,"WORKING_CAPITAL_SEQ_GROWTH","FQ3 2018","FQ3 2018","Currency=INR","Period=FQ","BEST_FPERIOD_OVERRIDE=FQ","FILING_STATUS=OR","EQY_CONSOLIDATED=Y","Sort=A","Dates=H","DateFormat=P","Fill=—","Direction=H","UseDPDF=Y")</f>
        <v>#NAME?</v>
      </c>
      <c r="BR51" s="2" t="e">
        <f ca="1">_xll.BDH($C$28,"ACCOUNTS_PAYABLE_SEQ_GROWTH","FQ3 2018","FQ3 2018","Currency=INR","Period=FQ","BEST_FPERIOD_OVERRIDE=FQ","FILING_STATUS=OR","EQY_CONSOLIDATED=Y","Sort=A","Dates=H","DateFormat=P","Fill=—","Direction=H","UseDPDF=Y")</f>
        <v>#NAME?</v>
      </c>
      <c r="BS51" s="2" t="e">
        <f ca="1">_xll.BDH($C$28,"ST_DEBT_SEQUENTIAL_GROWTH","FQ3 2018","FQ3 2018","Currency=INR","Period=FQ","BEST_FPERIOD_OVERRIDE=FQ","FILING_STATUS=OR","EQY_CONSOLIDATED=Y","Sort=A","Dates=H","DateFormat=P","Fill=—","Direction=H","UseDPDF=Y")</f>
        <v>#NAME?</v>
      </c>
      <c r="BT51" s="2" t="e">
        <f ca="1">_xll.BDH($C$28,"TOTAL_DEBT_SEQUENTIAL_GROWTH","FQ3 2018","FQ3 2018","Currency=INR","Period=FQ","BEST_FPERIOD_OVERRIDE=FQ","FILING_STATUS=OR","EQY_CONSOLIDATED=Y","Sort=A","Dates=H","DateFormat=P","Fill=—","Direction=H","UseDPDF=Y")</f>
        <v>#NAME?</v>
      </c>
      <c r="BU51" s="2" t="e">
        <f ca="1">_xll.BDH($C$28,"TOTAL_EQUITY_SEQUENTIAL_GROWTH","FQ3 2018","FQ3 2018","Currency=INR","Period=FQ","BEST_FPERIOD_OVERRIDE=FQ","FILING_STATUS=OR","EQY_CONSOLIDATED=Y","Sort=A","Dates=H","DateFormat=P","Fill=—","Direction=H","UseDPDF=Y")</f>
        <v>#NAME?</v>
      </c>
      <c r="BV51" s="2" t="e">
        <f ca="1">_xll.BDH($C$28,"TOTAL_CAPITAL_SEQUENTIAL_GROWTH","FQ3 2018","FQ3 2018","Currency=INR","Period=FQ","BEST_FPERIOD_OVERRIDE=FQ","FILING_STATUS=OR","EQY_CONSOLIDATED=Y","Sort=A","Dates=H","DateFormat=P","Fill=—","Direction=H","UseDPDF=Y")</f>
        <v>#NAME?</v>
      </c>
      <c r="BW51" s="2" t="e">
        <f ca="1">_xll.BDH($C$28,"BPS_SEQUENTIAL_GROWTH","FQ3 2018","FQ3 2018","Currency=INR","Period=FQ","BEST_FPERIOD_OVERRIDE=FQ","FILING_STATUS=OR","EQY_CONSOLIDATED=Y","Sort=A","Dates=H","DateFormat=P","Fill=—","Direction=H","UseDPDF=Y")</f>
        <v>#NAME?</v>
      </c>
      <c r="BX51" s="2" t="e">
        <f ca="1">_xll.BDH($C$28,"CFO_SEQUENTIAL_GROWTH","FQ3 2018","FQ3 2018","Currency=INR","Period=FQ","BEST_FPERIOD_OVERRIDE=FQ","FILING_STATUS=OR","EQY_CONSOLIDATED=Y","Sort=A","Dates=H","DateFormat=P","Fill=—","Direction=H","UseDPDF=Y")</f>
        <v>#NAME?</v>
      </c>
      <c r="BY51" s="3" t="e">
        <f ca="1">_xll.BDH($C$28,"SHORT_AND_LONG_TERM_DEBT","FQ3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1" s="3" t="e">
        <f ca="1">_xll.BDH($C$28,"BS_ST_BORROW","FQ3 2018","FQ3 2018","Currency=INR","Period=FQ","BEST_FPERIOD_OVERRIDE=FQ","FILING_STATUS=OR","EQY_CONSOLIDATED=Y","SCALING_FORMAT=MLN","Sort=A","Dates=H","DateFormat=P","Fill=—","Direction=H","UseDPDF=Y")</f>
        <v>#NAME?</v>
      </c>
      <c r="CA51" s="3" t="e">
        <f ca="1">_xll.BDH($C$28,"BS_LT_BORROW","FQ3 2018","FQ3 2018","Currency=INR","Period=FQ","BEST_FPERIOD_OVERRIDE=FQ","FILING_STATUS=OR","EQY_CONSOLIDATED=Y","SCALING_FORMAT=MLN","Sort=A","Dates=H","DateFormat=P","Fill=—","Direction=H","UseDPDF=Y")</f>
        <v>#NAME?</v>
      </c>
      <c r="CB51" s="2" t="e">
        <f ca="1">_xll.BDH($C$28,"TOT_DEBT_TO_EBITDA","FQ3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1" s="2" t="e">
        <f ca="1">_xll.BDH($C$28,"NET_DEBT_TO_EBITDA","FQ3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1" s="2" t="e">
        <f ca="1">_xll.BDH($C$28,"TOTAL_DEBT_TO_EBIT","FQ3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1" s="2" t="e">
        <f ca="1">_xll.BDH($C$28,"NET_DEBT_TO_EBIT","FQ3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1" s="2" t="e">
        <f ca="1">_xll.BDH($C$28,"EBITDA_TO_INTEREST_EXPN","FQ3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1" s="2" t="e">
        <f ca="1">_xll.BDH($C$28,"COM_EQY_TO_TOT_ASSET","FQ3 2018","FQ3 2018","Currency=INR","Period=FQ","BEST_FPERIOD_OVERRIDE=FQ","FILING_STATUS=OR","EQY_CONSOLIDATED=Y","Sort=A","Dates=H","DateFormat=P","Fill=—","Direction=H","UseDPDF=Y")</f>
        <v>#NAME?</v>
      </c>
      <c r="CH51" s="2" t="e">
        <f ca="1">_xll.BDH($C$28,"LT_DEBT_TO_TOT_EQY","FQ3 2018","FQ3 2018","Currency=INR","Period=FQ","BEST_FPERIOD_OVERRIDE=FQ","FILING_STATUS=OR","EQY_CONSOLIDATED=Y","Sort=A","Dates=H","DateFormat=P","Fill=—","Direction=H","UseDPDF=Y")</f>
        <v>#NAME?</v>
      </c>
      <c r="CI51" s="2" t="e">
        <f ca="1">_xll.BDH($C$28,"LT_DEBT_TO_TOT_CAP","FQ3 2018","FQ3 2018","Currency=INR","Period=FQ","BEST_FPERIOD_OVERRIDE=FQ","FILING_STATUS=OR","EQY_CONSOLIDATED=Y","Sort=A","Dates=H","DateFormat=P","Fill=—","Direction=H","UseDPDF=Y")</f>
        <v>#NAME?</v>
      </c>
      <c r="CJ51" s="2" t="e">
        <f ca="1">_xll.BDH($C$28,"LT_DEBT_TO_TOT_ASSET","FQ3 2018","FQ3 2018","Currency=INR","Period=FQ","BEST_FPERIOD_OVERRIDE=FQ","FILING_STATUS=OR","EQY_CONSOLIDATED=Y","Sort=A","Dates=H","DateFormat=P","Fill=—","Direction=H","UseDPDF=Y")</f>
        <v>#NAME?</v>
      </c>
      <c r="CK51" s="2" t="e">
        <f ca="1">_xll.BDH($C$28,"TOT_DEBT_TO_TOT_EQY","FQ3 2018","FQ3 2018","Currency=INR","Period=FQ","BEST_FPERIOD_OVERRIDE=FQ","FILING_STATUS=OR","EQY_CONSOLIDATED=Y","Sort=A","Dates=H","DateFormat=P","Fill=—","Direction=H","UseDPDF=Y")</f>
        <v>#NAME?</v>
      </c>
      <c r="CL51" s="2" t="e">
        <f ca="1">_xll.BDH($C$28,"TOT_DEBT_TO_TOT_CAP","FQ3 2018","FQ3 2018","Currency=INR","Period=FQ","BEST_FPERIOD_OVERRIDE=FQ","FILING_STATUS=OR","EQY_CONSOLIDATED=Y","Sort=A","Dates=H","DateFormat=P","Fill=—","Direction=H","UseDPDF=Y")</f>
        <v>#NAME?</v>
      </c>
      <c r="CM51" s="2" t="e">
        <f ca="1">_xll.BDH($C$28,"TOT_DEBT_TO_TOT_ASSET","FQ3 2018","FQ3 2018","Currency=INR","Period=FQ","BEST_FPERIOD_OVERRIDE=FQ","FILING_STATUS=OR","EQY_CONSOLIDATED=Y","Sort=A","Dates=H","DateFormat=P","Fill=—","Direction=H","UseDPDF=Y")</f>
        <v>#NAME?</v>
      </c>
      <c r="CN51" s="2" t="e">
        <f ca="1">_xll.BDH($C$28,"NET_DEBT_TO_SHRHLDR_EQTY","FQ3 2018","FQ3 2018","Currency=INR","Period=FQ","BEST_FPERIOD_OVERRIDE=FQ","FILING_STATUS=OR","EQY_CONSOLIDATED=Y","Sort=A","Dates=H","DateFormat=P","Fill=—","Direction=H","UseDPDF=Y")</f>
        <v>#NAME?</v>
      </c>
      <c r="CO51" s="2" t="e">
        <f ca="1">_xll.BDH($C$28,"NET_DEBT_%_CAPITAL","FQ3 2018","FQ3 2018","Currency=INR","Period=FQ","BEST_FPERIOD_OVERRIDE=FQ","FILING_STATUS=OR","EQY_CONSOLIDATED=Y","Sort=A","Dates=H","DateFormat=P","Fill=—","Direction=H","UseDPDF=Y")</f>
        <v>#NAME?</v>
      </c>
      <c r="CP51" s="3" t="e">
        <f ca="1">_xll.BDH($C$28,"EBITDA","FQ3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1" s="3" t="e">
        <f ca="1">_xll.BDH($C$28,"EBITDA_AFTER_CAPEX","FQ3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1" s="3" t="e">
        <f ca="1">_xll.BDH($C$28,"IS_OPER_INC","FQ3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1" s="2" t="e">
        <f ca="1">_xll.BDH($C$28,"CASH_RATIO","FQ3 2018","FQ3 2018","Currency=INR","Period=FQ","BEST_FPERIOD_OVERRIDE=FQ","FILING_STATUS=OR","EQY_CONSOLIDATED=Y","Sort=A","Dates=H","DateFormat=P","Fill=—","Direction=H","UseDPDF=Y")</f>
        <v>#NAME?</v>
      </c>
      <c r="CT51" s="2" t="e">
        <f ca="1">_xll.BDH($C$28,"CUR_RATIO","FQ3 2018","FQ3 2018","Currency=INR","Period=FQ","BEST_FPERIOD_OVERRIDE=FQ","FILING_STATUS=OR","EQY_CONSOLIDATED=Y","Sort=A","Dates=H","DateFormat=P","Fill=—","Direction=H","UseDPDF=Y")</f>
        <v>#NAME?</v>
      </c>
      <c r="CU51" s="2" t="e">
        <f ca="1">_xll.BDH($C$28,"QUICK_RATIO","FQ3 2018","FQ3 2018","Currency=INR","Period=FQ","BEST_FPERIOD_OVERRIDE=FQ","FILING_STATUS=OR","EQY_CONSOLIDATED=Y","Sort=A","Dates=H","DateFormat=P","Fill=—","Direction=H","UseDPDF=Y")</f>
        <v>#NAME?</v>
      </c>
      <c r="CV51" s="2" t="e">
        <f ca="1">_xll.BDH($C$28,"ALTMAN_Z_SCORE","FQ3 2018","FQ3 2018","Currency=INR","Period=FQ","BEST_FPERIOD_OVERRIDE=FQ","FILING_STATUS=OR","EQY_CONSOLIDATED=Y","Sort=A","Dates=H","DateFormat=P","Fill=—","Direction=H","UseDPDF=Y")</f>
        <v>#NAME?</v>
      </c>
      <c r="CW51" s="4" t="e">
        <f ca="1">_xll.BDH($C$28,"ACCT_RCV_TURN","FQ3 2018","FQ3 2018","Currency=INR","Period=FQ","BEST_FPERIOD_OVERRIDE=FQ","FILING_STATUS=OR","EQY_CONSOLIDATED=Y","FA_ADJUSTED=GAAP","Sort=A","Dates=H","DateFormat=P","Fill=—","Direction=H","UseDPDF=Y")</f>
        <v>#NAME?</v>
      </c>
      <c r="CX51" s="2" t="e">
        <f ca="1">_xll.BDH($C$28,"ACCT_RCV_DAYS","FQ3 2018","FQ3 2018","Currency=INR","Period=FQ","BEST_FPERIOD_OVERRIDE=FQ","FILING_STATUS=OR","EQY_CONSOLIDATED=Y","FA_ADJUSTED=GAAP","Sort=A","Dates=H","DateFormat=P","Fill=—","Direction=H","UseDPDF=Y")</f>
        <v>#NAME?</v>
      </c>
      <c r="CY51" s="4" t="e">
        <f ca="1">_xll.BDH($C$28,"INVENT_TURN","FQ3 2018","FQ3 2018","Currency=INR","Period=FQ","BEST_FPERIOD_OVERRIDE=FQ","FILING_STATUS=OR","EQY_CONSOLIDATED=Y","FA_ADJUSTED=GAAP","Sort=A","Dates=H","DateFormat=P","Fill=—","Direction=H","UseDPDF=Y")</f>
        <v>#NAME?</v>
      </c>
      <c r="CZ51" s="2" t="e">
        <f ca="1">_xll.BDH($C$28,"INVENT_DAYS","FQ3 2018","FQ3 2018","Currency=INR","Period=FQ","BEST_FPERIOD_OVERRIDE=FQ","FILING_STATUS=OR","EQY_CONSOLIDATED=Y","FA_ADJUSTED=GAAP","Sort=A","Dates=H","DateFormat=P","Fill=—","Direction=H","UseDPDF=Y")</f>
        <v>#NAME?</v>
      </c>
      <c r="DA51" s="4" t="e">
        <f ca="1">_xll.BDH($C$28,"ACCOUNTS_PAYABLE_TURNOVER","FQ3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1" s="2" t="e">
        <f ca="1">_xll.BDH($C$28,"ACCOUNTS_PAYABLE_TURNOVER_DAYS","FQ3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1" s="4" t="e">
        <f ca="1">_xll.BDH($C$28,"CASH_CONVERSION_CYCLE","FQ3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1" s="4" t="e">
        <f ca="1">_xll.BDH($C$28,"INV_TO_CASH_DAYS","FQ3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1" s="5" t="e">
        <f ca="1">_xll.BDH($C$28,"BS_INVENTORIES","FQ3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1" s="3" t="e">
        <f ca="1">_xll.BDH($C$28,"INVTRY_RAW_MATERIALS","FQ3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1" s="3" t="e">
        <f ca="1">_xll.BDH($C$28,"INVTRY_IN_PROGRESS","FQ3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1" s="3" t="e">
        <f ca="1">_xll.BDH($C$28,"INVTRY_FINISHED_GOODS","FQ3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1" s="3" t="e">
        <f ca="1">_xll.BDH($C$28,"BS_OTHER_INV","FQ3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" spans="1:113" x14ac:dyDescent="0.3">
      <c r="A52" s="6"/>
      <c r="B52" s="6"/>
      <c r="C52" s="6"/>
      <c r="D52" s="6"/>
      <c r="E52" t="s">
        <v>81</v>
      </c>
      <c r="F52" t="e">
        <f ca="1">_xll.BDH($C$28,"RETURN_COM_EQY","FQ4 2018","FQ4 2018","Currency=INR","Period=FQ","BEST_FPERIOD_OVERRIDE=FQ","FILING_STATUS=OR","EQY_CONSOLIDATED=Y","FA_ADJUSTED=GAAP","Sort=A","Dates=H","DateFormat=P","Fill=—","Direction=H","UseDPDF=Y")</f>
        <v>#NAME?</v>
      </c>
      <c r="G52" t="e">
        <f ca="1">_xll.BDH($C$28,"RETURN_ON_ASSET","FQ4 2018","FQ4 2018","Currency=INR","Period=FQ","BEST_FPERIOD_OVERRIDE=FQ","FILING_STATUS=OR","EQY_CONSOLIDATED=Y","FA_ADJUSTED=GAAP","Sort=A","Dates=H","DateFormat=P","Fill=—","Direction=H","UseDPDF=Y")</f>
        <v>#NAME?</v>
      </c>
      <c r="H52" t="e">
        <f ca="1">_xll.BDH($C$28,"RETURN_ON_CAP","FQ4 2018","FQ4 2018","Currency=INR","Period=FQ","BEST_FPERIOD_OVERRIDE=FQ","FILING_STATUS=OR","EQY_CONSOLIDATED=Y","FA_ADJUSTED=GAAP","Sort=A","Dates=H","DateFormat=P","Fill=—","Direction=H","UseDPDF=Y")</f>
        <v>#NAME?</v>
      </c>
      <c r="I52" t="e">
        <f ca="1">_xll.BDH($C$28,"RETURN_ON_INV_CAPITAL","FQ4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" t="e">
        <f ca="1">_xll.BDH($C$28,"EBITDA_TO_REVENUE","FQ4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" t="e">
        <f ca="1">_xll.BDH($C$28,"OPER_MARGIN","FQ4 2018","FQ4 2018","Currency=INR","Period=FQ","BEST_FPERIOD_OVERRIDE=FQ","FILING_STATUS=OR","EQY_CONSOLIDATED=Y","FA_ADJUSTED=GAAP","Sort=A","Dates=H","DateFormat=P","Fill=—","Direction=H","UseDPDF=Y")</f>
        <v>#NAME?</v>
      </c>
      <c r="L52" t="e">
        <f ca="1">_xll.BDH($C$28,"INCREMENTAL_OPERATING_MARGIN","FQ4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" t="e">
        <f ca="1">_xll.BDH($C$28,"PRETAX_INC_TO_NET_SALES","FQ4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" t="e">
        <f ca="1">_xll.BDH($C$28,"INC_BEF_XO_ITEMS_TO_NET_SALES","FQ4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" t="e">
        <f ca="1">_xll.BDH($C$28,"PROF_MARGIN","FQ4 2018","FQ4 2018","Currency=INR","Period=FQ","BEST_FPERIOD_OVERRIDE=FQ","FILING_STATUS=OR","EQY_CONSOLIDATED=Y","FA_ADJUSTED=GAAP","Sort=A","Dates=H","DateFormat=P","Fill=—","Direction=H","UseDPDF=Y")</f>
        <v>#NAME?</v>
      </c>
      <c r="P52" t="e">
        <f ca="1">_xll.BDH($C$28,"NET_INCOME_TO_COMMON_MARGIN","FQ4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" t="e">
        <f ca="1">_xll.BDH($C$28,"EFF_TAX_RATE","FQ4 2018","FQ4 2018","Currency=INR","Period=FQ","BEST_FPERIOD_OVERRIDE=FQ","FILING_STATUS=OR","EQY_CONSOLIDATED=Y","FA_ADJUSTED=GAAP","Sort=A","Dates=H","DateFormat=P","Fill=—","Direction=H","UseDPDF=Y")</f>
        <v>#NAME?</v>
      </c>
      <c r="R52" t="e">
        <f ca="1">_xll.BDH($C$28,"DVD_PAYOUT_RATIO","FQ4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2" t="e">
        <f ca="1">_xll.BDH($C$28,"SUSTAIN_GROWTH_RT","FQ4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" s="2" t="e">
        <f ca="1">_xll.BDH($C$28,"SALES_GROWTH","FQ4 2018","FQ4 2018","Currency=INR","Period=FQ","BEST_FPERIOD_OVERRIDE=FQ","FILING_STATUS=OR","EQY_CONSOLIDATED=Y","FA_ADJUSTED=GAAP","Sort=A","Dates=H","DateFormat=P","Fill=—","Direction=H","UseDPDF=Y")</f>
        <v>#NAME?</v>
      </c>
      <c r="U52" s="2" t="e">
        <f ca="1">_xll.BDH($C$28,"EBITDA_GROWTH","FQ4 2018","FQ4 2018","Currency=INR","Period=FQ","BEST_FPERIOD_OVERRIDE=FQ","FILING_STATUS=OR","EQY_CONSOLIDATED=Y","FA_ADJUSTED=GAAP","Sort=A","Dates=H","DateFormat=P","Fill=—","Direction=H","UseDPDF=Y")</f>
        <v>#NAME?</v>
      </c>
      <c r="V52" s="2" t="e">
        <f ca="1">_xll.BDH($C$28,"OPER_INC_GROWTH","FQ4 2018","FQ4 2018","Currency=INR","Period=FQ","BEST_FPERIOD_OVERRIDE=FQ","FILING_STATUS=OR","EQY_CONSOLIDATED=Y","FA_ADJUSTED=GAAP","Sort=A","Dates=H","DateFormat=P","Fill=—","Direction=H","UseDPDF=Y")</f>
        <v>#NAME?</v>
      </c>
      <c r="W52" s="2" t="e">
        <f ca="1">_xll.BDH($C$28,"EARN_FOR_COM_GROWTH","FQ4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" s="2" t="e">
        <f ca="1">_xll.BDH($C$28,"DILUTED_EPS_AFT_XO_ITEMS_GROWTH","FQ4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" s="2" t="e">
        <f ca="1">_xll.BDH($C$28,"DIVIDEND_PER_SHARE_1_YEAR_GROWTH","FQ4 2018","FQ4 2018","Currency=INR","Period=FQ","BEST_FPERIOD_OVERRIDE=FQ","FILING_STATUS=OR","EQY_CONSOLIDATED=Y","Sort=A","Dates=H","DateFormat=P","Fill=—","Direction=H","UseDPDF=Y")</f>
        <v>#NAME?</v>
      </c>
      <c r="Z52" s="2" t="e">
        <f ca="1">_xll.BDH($C$28,"ACCOUNTS_RECEIVABLE_GROWTH","FQ4 2018","FQ4 2018","Currency=INR","Period=FQ","BEST_FPERIOD_OVERRIDE=FQ","FILING_STATUS=OR","EQY_CONSOLIDATED=Y","Sort=A","Dates=H","DateFormat=P","Fill=—","Direction=H","UseDPDF=Y")</f>
        <v>#NAME?</v>
      </c>
      <c r="AA52" s="2" t="e">
        <f ca="1">_xll.BDH($C$28,"INVENTORY_GROWTH","FQ4 2018","FQ4 2018","Currency=INR","Period=FQ","BEST_FPERIOD_OVERRIDE=FQ","FILING_STATUS=OR","EQY_CONSOLIDATED=Y","Sort=A","Dates=H","DateFormat=P","Fill=—","Direction=H","UseDPDF=Y")</f>
        <v>#NAME?</v>
      </c>
      <c r="AB52" s="2" t="e">
        <f ca="1">_xll.BDH($C$28,"NET_FIXED_ASSETS_1_YEAR_GROWTH","FQ4 2018","FQ4 2018","Currency=INR","Period=FQ","BEST_FPERIOD_OVERRIDE=FQ","FILING_STATUS=OR","EQY_CONSOLIDATED=Y","Sort=A","Dates=H","DateFormat=P","Fill=—","Direction=H","UseDPDF=Y")</f>
        <v>#NAME?</v>
      </c>
      <c r="AC52" s="2" t="e">
        <f ca="1">_xll.BDH($C$28,"ASSET_GROWTH","FQ4 2018","FQ4 2018","Currency=INR","Period=FQ","BEST_FPERIOD_OVERRIDE=FQ","FILING_STATUS=OR","EQY_CONSOLIDATED=Y","Sort=A","Dates=H","DateFormat=P","Fill=—","Direction=H","UseDPDF=Y")</f>
        <v>#NAME?</v>
      </c>
      <c r="AD52" s="2" t="e">
        <f ca="1">_xll.BDH($C$28,"MODIFIED_WORK_CAP_GROWTH","FQ4 2018","FQ4 2018","Currency=INR","Period=FQ","BEST_FPERIOD_OVERRIDE=FQ","FILING_STATUS=OR","EQY_CONSOLIDATED=Y","Sort=A","Dates=H","DateFormat=P","Fill=—","Direction=H","UseDPDF=Y")</f>
        <v>#NAME?</v>
      </c>
      <c r="AE52" s="2" t="e">
        <f ca="1">_xll.BDH($C$28,"WORK_CAP_GROWTH","FQ4 2018","FQ4 2018","Currency=INR","Period=FQ","BEST_FPERIOD_OVERRIDE=FQ","FILING_STATUS=OR","EQY_CONSOLIDATED=Y","Sort=A","Dates=H","DateFormat=P","Fill=—","Direction=H","UseDPDF=Y")</f>
        <v>#NAME?</v>
      </c>
      <c r="AF52" s="2" t="e">
        <f ca="1">_xll.BDH($C$28,"ACCOUNTS_PAYABLE_GROWTH_1YR","FQ4 2018","FQ4 2018","Currency=INR","Period=FQ","BEST_FPERIOD_OVERRIDE=FQ","FILING_STATUS=OR","EQY_CONSOLIDATED=Y","Sort=A","Dates=H","DateFormat=P","Fill=—","Direction=H","UseDPDF=Y")</f>
        <v>#NAME?</v>
      </c>
      <c r="AG52" s="2" t="e">
        <f ca="1">_xll.BDH($C$28,"SHORT_TERM_DEBT_1_YEAR_GROWTH","FQ4 2018","FQ4 2018","Currency=INR","Period=FQ","BEST_FPERIOD_OVERRIDE=FQ","FILING_STATUS=OR","EQY_CONSOLIDATED=Y","Sort=A","Dates=H","DateFormat=P","Fill=—","Direction=H","UseDPDF=Y")</f>
        <v>#NAME?</v>
      </c>
      <c r="AH52" s="2" t="e">
        <f ca="1">_xll.BDH($C$28,"TOTAL_DEBT_1_YEAR_GROWTH","FQ4 2018","FQ4 2018","Currency=INR","Period=FQ","BEST_FPERIOD_OVERRIDE=FQ","FILING_STATUS=OR","EQY_CONSOLIDATED=Y","Sort=A","Dates=H","DateFormat=P","Fill=—","Direction=H","UseDPDF=Y")</f>
        <v>#NAME?</v>
      </c>
      <c r="AI52" s="2" t="e">
        <f ca="1">_xll.BDH($C$28,"TOTAL_EQUITY_1_YEAR_GROWTH","FQ4 2018","FQ4 2018","Currency=INR","Period=FQ","BEST_FPERIOD_OVERRIDE=FQ","FILING_STATUS=OR","EQY_CONSOLIDATED=Y","Sort=A","Dates=H","DateFormat=P","Fill=—","Direction=H","UseDPDF=Y")</f>
        <v>#NAME?</v>
      </c>
      <c r="AJ52" s="2" t="e">
        <f ca="1">_xll.BDH($C$28,"GROWTH_IN_CAP","FQ4 2018","FQ4 2018","Currency=INR","Period=FQ","BEST_FPERIOD_OVERRIDE=FQ","FILING_STATUS=OR","EQY_CONSOLIDATED=Y","Sort=A","Dates=H","DateFormat=P","Fill=—","Direction=H","UseDPDF=Y")</f>
        <v>#NAME?</v>
      </c>
      <c r="AK52" s="2" t="e">
        <f ca="1">_xll.BDH($C$28,"BVPS_GROWTH","FQ4 2018","FQ4 2018","Currency=INR","Period=FQ","BEST_FPERIOD_OVERRIDE=FQ","FILING_STATUS=OR","EQY_CONSOLIDATED=Y","Sort=A","Dates=H","DateFormat=P","Fill=—","Direction=H","UseDPDF=Y")</f>
        <v>#NAME?</v>
      </c>
      <c r="AL52" s="2" t="e">
        <f ca="1">_xll.BDH($C$28,"CASH_FLOW_GROWTH","FQ4 2018","FQ4 2018","Currency=INR","Period=FQ","BEST_FPERIOD_OVERRIDE=FQ","FILING_STATUS=OR","EQY_CONSOLIDATED=Y","Sort=A","Dates=H","DateFormat=P","Fill=—","Direction=H","UseDPDF=Y")</f>
        <v>#NAME?</v>
      </c>
      <c r="AM52" s="2" t="e">
        <f ca="1">_xll.BDH($C$28,"GEO_GROW_NET_SALES","FQ4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" s="2" t="e">
        <f ca="1">_xll.BDH($C$28,"GEO_GROW_EBITDA","FQ4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2" s="2" t="e">
        <f ca="1">_xll.BDH($C$28,"GEO_GROW_OPER_INC","FQ4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" s="2" t="e">
        <f ca="1">_xll.BDH($C$28,"NET_INCOME_TO_COMMON_5_YR_GROWTH","FQ4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" s="2" t="e">
        <f ca="1">_xll.BDH($C$28,"5Y_GEO_GROWTH_DILUTED_EPS","FQ4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" s="2" t="e">
        <f ca="1">_xll.BDH($C$28,"GEO_GROW_DVD_PER_SH","FQ4 2018","FQ4 2018","Currency=INR","Period=FQ","BEST_FPERIOD_OVERRIDE=FQ","FILING_STATUS=OR","EQY_CONSOLIDATED=Y","Sort=A","Dates=H","DateFormat=P","Fill=—","Direction=H","UseDPDF=Y")</f>
        <v>#NAME?</v>
      </c>
      <c r="AS52" s="2" t="e">
        <f ca="1">_xll.BDH($C$28,"ACCOUNTS_RECEIVABLE_5_YR_GROWTH","FQ4 2018","FQ4 2018","Currency=INR","Period=FQ","BEST_FPERIOD_OVERRIDE=FQ","FILING_STATUS=OR","EQY_CONSOLIDATED=Y","Sort=A","Dates=H","DateFormat=P","Fill=—","Direction=H","UseDPDF=Y")</f>
        <v>#NAME?</v>
      </c>
      <c r="AT52" s="2" t="e">
        <f ca="1">_xll.BDH($C$28,"INVENTORY_5_YEAR_GROWTH","FQ4 2018","FQ4 2018","Currency=INR","Period=FQ","BEST_FPERIOD_OVERRIDE=FQ","FILING_STATUS=OR","EQY_CONSOLIDATED=Y","Sort=A","Dates=H","DateFormat=P","Fill=—","Direction=H","UseDPDF=Y")</f>
        <v>#NAME?</v>
      </c>
      <c r="AU52" s="2" t="e">
        <f ca="1">_xll.BDH($C$28,"NET_FIXED_ASSETS_5_YEAR_GROWTH","FQ4 2018","FQ4 2018","Currency=INR","Period=FQ","BEST_FPERIOD_OVERRIDE=FQ","FILING_STATUS=OR","EQY_CONSOLIDATED=Y","Sort=A","Dates=H","DateFormat=P","Fill=—","Direction=H","UseDPDF=Y")</f>
        <v>#NAME?</v>
      </c>
      <c r="AV52" s="2" t="e">
        <f ca="1">_xll.BDH($C$28,"GEO_GROW_TOT_ASSET","FQ4 2018","FQ4 2018","Currency=INR","Period=FQ","BEST_FPERIOD_OVERRIDE=FQ","FILING_STATUS=OR","EQY_CONSOLIDATED=Y","Sort=A","Dates=H","DateFormat=P","Fill=—","Direction=H","UseDPDF=Y")</f>
        <v>#NAME?</v>
      </c>
      <c r="AW52" s="2" t="e">
        <f ca="1">_xll.BDH($C$28,"MODIFIED_WORKING_CPTL_5YR_GRWTH","FQ4 2018","FQ4 2018","Currency=INR","Period=FQ","BEST_FPERIOD_OVERRIDE=FQ","FILING_STATUS=OR","EQY_CONSOLIDATED=Y","Sort=A","Dates=H","DateFormat=P","Fill=—","Direction=H","UseDPDF=Y")</f>
        <v>#NAME?</v>
      </c>
      <c r="AX52" s="2" t="e">
        <f ca="1">_xll.BDH($C$28,"WORKING_CAPITAL_5_YEAR_GROWTH","FQ4 2018","FQ4 2018","Currency=INR","Period=FQ","BEST_FPERIOD_OVERRIDE=FQ","FILING_STATUS=OR","EQY_CONSOLIDATED=Y","Sort=A","Dates=H","DateFormat=P","Fill=—","Direction=H","UseDPDF=Y")</f>
        <v>#NAME?</v>
      </c>
      <c r="AY52" s="2" t="e">
        <f ca="1">_xll.BDH($C$28,"ACCOUNTS_PAYABLE_5_YEAR_GROWTH","FQ4 2018","FQ4 2018","Currency=INR","Period=FQ","BEST_FPERIOD_OVERRIDE=FQ","FILING_STATUS=OR","EQY_CONSOLIDATED=Y","Sort=A","Dates=H","DateFormat=P","Fill=—","Direction=H","UseDPDF=Y")</f>
        <v>#NAME?</v>
      </c>
      <c r="AZ52" s="2" t="e">
        <f ca="1">_xll.BDH($C$28,"SHORT_TERM_DEBT_5_YEAR_GROWTH","FQ4 2018","FQ4 2018","Currency=INR","Period=FQ","BEST_FPERIOD_OVERRIDE=FQ","FILING_STATUS=OR","EQY_CONSOLIDATED=Y","Sort=A","Dates=H","DateFormat=P","Fill=—","Direction=H","UseDPDF=Y")</f>
        <v>#NAME?</v>
      </c>
      <c r="BA52" s="2" t="e">
        <f ca="1">_xll.BDH($C$28,"TOTAL_DEBT_5_YEAR_GROWTH","FQ4 2018","FQ4 2018","Currency=INR","Period=FQ","BEST_FPERIOD_OVERRIDE=FQ","FILING_STATUS=OR","EQY_CONSOLIDATED=Y","Sort=A","Dates=H","DateFormat=P","Fill=—","Direction=H","UseDPDF=Y")</f>
        <v>#NAME?</v>
      </c>
      <c r="BB52" s="2" t="e">
        <f ca="1">_xll.BDH($C$28,"GEO_GROW_TOT_SHRHLDR_EQY","FQ4 2018","FQ4 2018","Currency=INR","Period=FQ","BEST_FPERIOD_OVERRIDE=FQ","FILING_STATUS=OR","EQY_CONSOLIDATED=Y","Sort=A","Dates=H","DateFormat=P","Fill=—","Direction=H","UseDPDF=Y")</f>
        <v>#NAME?</v>
      </c>
      <c r="BC52" s="2" t="e">
        <f ca="1">_xll.BDH($C$28,"TOTAL_CAPITAL_5_YEAR_GROWTH","FQ4 2018","FQ4 2018","Currency=INR","Period=FQ","BEST_FPERIOD_OVERRIDE=FQ","FILING_STATUS=OR","EQY_CONSOLIDATED=Y","Sort=A","Dates=H","DateFormat=P","Fill=—","Direction=H","UseDPDF=Y")</f>
        <v>#NAME?</v>
      </c>
      <c r="BD52" s="2" t="e">
        <f ca="1">_xll.BDH($C$28,"GEO_GROW_BOOK_VAL","FQ4 2018","FQ4 2018","Currency=INR","Period=FQ","BEST_FPERIOD_OVERRIDE=FQ","FILING_STATUS=OR","EQY_CONSOLIDATED=Y","Sort=A","Dates=H","DateFormat=P","Fill=—","Direction=H","UseDPDF=Y")</f>
        <v>#NAME?</v>
      </c>
      <c r="BE52" s="2" t="e">
        <f ca="1">_xll.BDH($C$28,"GEO_GROW_CASH_OPER_ACT","FQ4 2018","FQ4 2018","Currency=INR","Period=FQ","BEST_FPERIOD_OVERRIDE=FQ","FILING_STATUS=OR","EQY_CONSOLIDATED=Y","Sort=A","Dates=H","DateFormat=P","Fill=—","Direction=H","UseDPDF=Y")</f>
        <v>#NAME?</v>
      </c>
      <c r="BF52" s="2" t="e">
        <f ca="1">_xll.BDH($C$28,"REVENUE_SEQUENTIAL_GROWTH","FQ4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" s="2" t="e">
        <f ca="1">_xll.BDH($C$28,"EBITDA_SEQUENTIAL_GROWTH","FQ4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" s="2" t="e">
        <f ca="1">_xll.BDH($C$28,"OPERATING_INCOME_SEQ_GROWTH","FQ4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" s="2" t="e">
        <f ca="1">_xll.BDH($C$28,"NET_INCOME_TO_COMMON_SEQ_GROWTH","FQ4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" s="2" t="e">
        <f ca="1">_xll.BDH($C$28,"EPS_DILUTED_SEQUENTIAL_GROWTH","FQ4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" s="2" t="e">
        <f ca="1">_xll.BDH($C$28,"DPS_SEQUENTIAL_GROWTH","FQ4 2018","FQ4 2018","Currency=INR","Period=FQ","BEST_FPERIOD_OVERRIDE=FQ","FILING_STATUS=OR","EQY_CONSOLIDATED=Y","Sort=A","Dates=H","DateFormat=P","Fill=—","Direction=H","UseDPDF=Y")</f>
        <v>#NAME?</v>
      </c>
      <c r="BL52" s="2" t="e">
        <f ca="1">_xll.BDH($C$28,"ACCOUNTS_RECEIVABLE_SEQ_GROWTH","FQ4 2018","FQ4 2018","Currency=INR","Period=FQ","BEST_FPERIOD_OVERRIDE=FQ","FILING_STATUS=OR","EQY_CONSOLIDATED=Y","Sort=A","Dates=H","DateFormat=P","Fill=—","Direction=H","UseDPDF=Y")</f>
        <v>#NAME?</v>
      </c>
      <c r="BM52" s="2" t="e">
        <f ca="1">_xll.BDH($C$28,"INVENTORY_SEQUENTIAL_GROWTH","FQ4 2018","FQ4 2018","Currency=INR","Period=FQ","BEST_FPERIOD_OVERRIDE=FQ","FILING_STATUS=OR","EQY_CONSOLIDATED=Y","Sort=A","Dates=H","DateFormat=P","Fill=—","Direction=H","UseDPDF=Y")</f>
        <v>#NAME?</v>
      </c>
      <c r="BN52" s="2" t="e">
        <f ca="1">_xll.BDH($C$28,"FIXED_ASSETS_SEQUENTIAL_GROWTH","FQ4 2018","FQ4 2018","Currency=INR","Period=FQ","BEST_FPERIOD_OVERRIDE=FQ","FILING_STATUS=OR","EQY_CONSOLIDATED=Y","Sort=A","Dates=H","DateFormat=P","Fill=—","Direction=H","UseDPDF=Y")</f>
        <v>#NAME?</v>
      </c>
      <c r="BO52" s="2" t="e">
        <f ca="1">_xll.BDH($C$28,"TOTAL_ASSETS_SEQUENTIAL_GROWTH","FQ4 2018","FQ4 2018","Currency=INR","Period=FQ","BEST_FPERIOD_OVERRIDE=FQ","FILING_STATUS=OR","EQY_CONSOLIDATED=Y","Sort=A","Dates=H","DateFormat=P","Fill=—","Direction=H","UseDPDF=Y")</f>
        <v>#NAME?</v>
      </c>
      <c r="BP52" s="2" t="e">
        <f ca="1">_xll.BDH($C$28,"MODIFIED_WORKING_CPTL_SEQ_GRWTH","FQ4 2018","FQ4 2018","Currency=INR","Period=FQ","BEST_FPERIOD_OVERRIDE=FQ","FILING_STATUS=OR","EQY_CONSOLIDATED=Y","Sort=A","Dates=H","DateFormat=P","Fill=—","Direction=H","UseDPDF=Y")</f>
        <v>#NAME?</v>
      </c>
      <c r="BQ52" s="2" t="e">
        <f ca="1">_xll.BDH($C$28,"WORKING_CAPITAL_SEQ_GROWTH","FQ4 2018","FQ4 2018","Currency=INR","Period=FQ","BEST_FPERIOD_OVERRIDE=FQ","FILING_STATUS=OR","EQY_CONSOLIDATED=Y","Sort=A","Dates=H","DateFormat=P","Fill=—","Direction=H","UseDPDF=Y")</f>
        <v>#NAME?</v>
      </c>
      <c r="BR52" s="2" t="e">
        <f ca="1">_xll.BDH($C$28,"ACCOUNTS_PAYABLE_SEQ_GROWTH","FQ4 2018","FQ4 2018","Currency=INR","Period=FQ","BEST_FPERIOD_OVERRIDE=FQ","FILING_STATUS=OR","EQY_CONSOLIDATED=Y","Sort=A","Dates=H","DateFormat=P","Fill=—","Direction=H","UseDPDF=Y")</f>
        <v>#NAME?</v>
      </c>
      <c r="BS52" s="2" t="e">
        <f ca="1">_xll.BDH($C$28,"ST_DEBT_SEQUENTIAL_GROWTH","FQ4 2018","FQ4 2018","Currency=INR","Period=FQ","BEST_FPERIOD_OVERRIDE=FQ","FILING_STATUS=OR","EQY_CONSOLIDATED=Y","Sort=A","Dates=H","DateFormat=P","Fill=—","Direction=H","UseDPDF=Y")</f>
        <v>#NAME?</v>
      </c>
      <c r="BT52" s="2" t="e">
        <f ca="1">_xll.BDH($C$28,"TOTAL_DEBT_SEQUENTIAL_GROWTH","FQ4 2018","FQ4 2018","Currency=INR","Period=FQ","BEST_FPERIOD_OVERRIDE=FQ","FILING_STATUS=OR","EQY_CONSOLIDATED=Y","Sort=A","Dates=H","DateFormat=P","Fill=—","Direction=H","UseDPDF=Y")</f>
        <v>#NAME?</v>
      </c>
      <c r="BU52" s="2" t="e">
        <f ca="1">_xll.BDH($C$28,"TOTAL_EQUITY_SEQUENTIAL_GROWTH","FQ4 2018","FQ4 2018","Currency=INR","Period=FQ","BEST_FPERIOD_OVERRIDE=FQ","FILING_STATUS=OR","EQY_CONSOLIDATED=Y","Sort=A","Dates=H","DateFormat=P","Fill=—","Direction=H","UseDPDF=Y")</f>
        <v>#NAME?</v>
      </c>
      <c r="BV52" s="2" t="e">
        <f ca="1">_xll.BDH($C$28,"TOTAL_CAPITAL_SEQUENTIAL_GROWTH","FQ4 2018","FQ4 2018","Currency=INR","Period=FQ","BEST_FPERIOD_OVERRIDE=FQ","FILING_STATUS=OR","EQY_CONSOLIDATED=Y","Sort=A","Dates=H","DateFormat=P","Fill=—","Direction=H","UseDPDF=Y")</f>
        <v>#NAME?</v>
      </c>
      <c r="BW52" s="2" t="e">
        <f ca="1">_xll.BDH($C$28,"BPS_SEQUENTIAL_GROWTH","FQ4 2018","FQ4 2018","Currency=INR","Period=FQ","BEST_FPERIOD_OVERRIDE=FQ","FILING_STATUS=OR","EQY_CONSOLIDATED=Y","Sort=A","Dates=H","DateFormat=P","Fill=—","Direction=H","UseDPDF=Y")</f>
        <v>#NAME?</v>
      </c>
      <c r="BX52" s="2" t="e">
        <f ca="1">_xll.BDH($C$28,"CFO_SEQUENTIAL_GROWTH","FQ4 2018","FQ4 2018","Currency=INR","Period=FQ","BEST_FPERIOD_OVERRIDE=FQ","FILING_STATUS=OR","EQY_CONSOLIDATED=Y","Sort=A","Dates=H","DateFormat=P","Fill=—","Direction=H","UseDPDF=Y")</f>
        <v>#NAME?</v>
      </c>
      <c r="BY52" s="3" t="e">
        <f ca="1">_xll.BDH($C$28,"SHORT_AND_LONG_TERM_DEBT","FQ4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" s="3" t="e">
        <f ca="1">_xll.BDH($C$28,"BS_ST_BORROW","FQ4 2018","FQ4 2018","Currency=INR","Period=FQ","BEST_FPERIOD_OVERRIDE=FQ","FILING_STATUS=OR","EQY_CONSOLIDATED=Y","SCALING_FORMAT=MLN","Sort=A","Dates=H","DateFormat=P","Fill=—","Direction=H","UseDPDF=Y")</f>
        <v>#NAME?</v>
      </c>
      <c r="CA52" s="3" t="e">
        <f ca="1">_xll.BDH($C$28,"BS_LT_BORROW","FQ4 2018","FQ4 2018","Currency=INR","Period=FQ","BEST_FPERIOD_OVERRIDE=FQ","FILING_STATUS=OR","EQY_CONSOLIDATED=Y","SCALING_FORMAT=MLN","Sort=A","Dates=H","DateFormat=P","Fill=—","Direction=H","UseDPDF=Y")</f>
        <v>#NAME?</v>
      </c>
      <c r="CB52" s="2" t="e">
        <f ca="1">_xll.BDH($C$28,"TOT_DEBT_TO_EBITDA","FQ4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" s="2" t="e">
        <f ca="1">_xll.BDH($C$28,"NET_DEBT_TO_EBITDA","FQ4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" s="2" t="e">
        <f ca="1">_xll.BDH($C$28,"TOTAL_DEBT_TO_EBIT","FQ4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" s="2" t="e">
        <f ca="1">_xll.BDH($C$28,"NET_DEBT_TO_EBIT","FQ4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" s="2" t="e">
        <f ca="1">_xll.BDH($C$28,"EBITDA_TO_INTEREST_EXPN","FQ4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" s="2" t="e">
        <f ca="1">_xll.BDH($C$28,"COM_EQY_TO_TOT_ASSET","FQ4 2018","FQ4 2018","Currency=INR","Period=FQ","BEST_FPERIOD_OVERRIDE=FQ","FILING_STATUS=OR","EQY_CONSOLIDATED=Y","Sort=A","Dates=H","DateFormat=P","Fill=—","Direction=H","UseDPDF=Y")</f>
        <v>#NAME?</v>
      </c>
      <c r="CH52" s="2" t="e">
        <f ca="1">_xll.BDH($C$28,"LT_DEBT_TO_TOT_EQY","FQ4 2018","FQ4 2018","Currency=INR","Period=FQ","BEST_FPERIOD_OVERRIDE=FQ","FILING_STATUS=OR","EQY_CONSOLIDATED=Y","Sort=A","Dates=H","DateFormat=P","Fill=—","Direction=H","UseDPDF=Y")</f>
        <v>#NAME?</v>
      </c>
      <c r="CI52" s="2" t="e">
        <f ca="1">_xll.BDH($C$28,"LT_DEBT_TO_TOT_CAP","FQ4 2018","FQ4 2018","Currency=INR","Period=FQ","BEST_FPERIOD_OVERRIDE=FQ","FILING_STATUS=OR","EQY_CONSOLIDATED=Y","Sort=A","Dates=H","DateFormat=P","Fill=—","Direction=H","UseDPDF=Y")</f>
        <v>#NAME?</v>
      </c>
      <c r="CJ52" s="2" t="e">
        <f ca="1">_xll.BDH($C$28,"LT_DEBT_TO_TOT_ASSET","FQ4 2018","FQ4 2018","Currency=INR","Period=FQ","BEST_FPERIOD_OVERRIDE=FQ","FILING_STATUS=OR","EQY_CONSOLIDATED=Y","Sort=A","Dates=H","DateFormat=P","Fill=—","Direction=H","UseDPDF=Y")</f>
        <v>#NAME?</v>
      </c>
      <c r="CK52" s="2" t="e">
        <f ca="1">_xll.BDH($C$28,"TOT_DEBT_TO_TOT_EQY","FQ4 2018","FQ4 2018","Currency=INR","Period=FQ","BEST_FPERIOD_OVERRIDE=FQ","FILING_STATUS=OR","EQY_CONSOLIDATED=Y","Sort=A","Dates=H","DateFormat=P","Fill=—","Direction=H","UseDPDF=Y")</f>
        <v>#NAME?</v>
      </c>
      <c r="CL52" s="2" t="e">
        <f ca="1">_xll.BDH($C$28,"TOT_DEBT_TO_TOT_CAP","FQ4 2018","FQ4 2018","Currency=INR","Period=FQ","BEST_FPERIOD_OVERRIDE=FQ","FILING_STATUS=OR","EQY_CONSOLIDATED=Y","Sort=A","Dates=H","DateFormat=P","Fill=—","Direction=H","UseDPDF=Y")</f>
        <v>#NAME?</v>
      </c>
      <c r="CM52" s="2" t="e">
        <f ca="1">_xll.BDH($C$28,"TOT_DEBT_TO_TOT_ASSET","FQ4 2018","FQ4 2018","Currency=INR","Period=FQ","BEST_FPERIOD_OVERRIDE=FQ","FILING_STATUS=OR","EQY_CONSOLIDATED=Y","Sort=A","Dates=H","DateFormat=P","Fill=—","Direction=H","UseDPDF=Y")</f>
        <v>#NAME?</v>
      </c>
      <c r="CN52" s="2" t="e">
        <f ca="1">_xll.BDH($C$28,"NET_DEBT_TO_SHRHLDR_EQTY","FQ4 2018","FQ4 2018","Currency=INR","Period=FQ","BEST_FPERIOD_OVERRIDE=FQ","FILING_STATUS=OR","EQY_CONSOLIDATED=Y","Sort=A","Dates=H","DateFormat=P","Fill=—","Direction=H","UseDPDF=Y")</f>
        <v>#NAME?</v>
      </c>
      <c r="CO52" s="2" t="e">
        <f ca="1">_xll.BDH($C$28,"NET_DEBT_%_CAPITAL","FQ4 2018","FQ4 2018","Currency=INR","Period=FQ","BEST_FPERIOD_OVERRIDE=FQ","FILING_STATUS=OR","EQY_CONSOLIDATED=Y","Sort=A","Dates=H","DateFormat=P","Fill=—","Direction=H","UseDPDF=Y")</f>
        <v>#NAME?</v>
      </c>
      <c r="CP52" s="3" t="e">
        <f ca="1">_xll.BDH($C$28,"EBITDA","FQ4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" s="3" t="e">
        <f ca="1">_xll.BDH($C$28,"EBITDA_AFTER_CAPEX","FQ4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" s="3" t="e">
        <f ca="1">_xll.BDH($C$28,"IS_OPER_INC","FQ4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" s="2" t="e">
        <f ca="1">_xll.BDH($C$28,"CASH_RATIO","FQ4 2018","FQ4 2018","Currency=INR","Period=FQ","BEST_FPERIOD_OVERRIDE=FQ","FILING_STATUS=OR","EQY_CONSOLIDATED=Y","Sort=A","Dates=H","DateFormat=P","Fill=—","Direction=H","UseDPDF=Y")</f>
        <v>#NAME?</v>
      </c>
      <c r="CT52" s="2" t="e">
        <f ca="1">_xll.BDH($C$28,"CUR_RATIO","FQ4 2018","FQ4 2018","Currency=INR","Period=FQ","BEST_FPERIOD_OVERRIDE=FQ","FILING_STATUS=OR","EQY_CONSOLIDATED=Y","Sort=A","Dates=H","DateFormat=P","Fill=—","Direction=H","UseDPDF=Y")</f>
        <v>#NAME?</v>
      </c>
      <c r="CU52" s="2" t="e">
        <f ca="1">_xll.BDH($C$28,"QUICK_RATIO","FQ4 2018","FQ4 2018","Currency=INR","Period=FQ","BEST_FPERIOD_OVERRIDE=FQ","FILING_STATUS=OR","EQY_CONSOLIDATED=Y","Sort=A","Dates=H","DateFormat=P","Fill=—","Direction=H","UseDPDF=Y")</f>
        <v>#NAME?</v>
      </c>
      <c r="CV52" s="2" t="e">
        <f ca="1">_xll.BDH($C$28,"ALTMAN_Z_SCORE","FQ4 2018","FQ4 2018","Currency=INR","Period=FQ","BEST_FPERIOD_OVERRIDE=FQ","FILING_STATUS=OR","EQY_CONSOLIDATED=Y","Sort=A","Dates=H","DateFormat=P","Fill=—","Direction=H","UseDPDF=Y")</f>
        <v>#NAME?</v>
      </c>
      <c r="CW52" s="4" t="e">
        <f ca="1">_xll.BDH($C$28,"ACCT_RCV_TURN","FQ4 2018","FQ4 2018","Currency=INR","Period=FQ","BEST_FPERIOD_OVERRIDE=FQ","FILING_STATUS=OR","EQY_CONSOLIDATED=Y","FA_ADJUSTED=GAAP","Sort=A","Dates=H","DateFormat=P","Fill=—","Direction=H","UseDPDF=Y")</f>
        <v>#NAME?</v>
      </c>
      <c r="CX52" s="2" t="e">
        <f ca="1">_xll.BDH($C$28,"ACCT_RCV_DAYS","FQ4 2018","FQ4 2018","Currency=INR","Period=FQ","BEST_FPERIOD_OVERRIDE=FQ","FILING_STATUS=OR","EQY_CONSOLIDATED=Y","FA_ADJUSTED=GAAP","Sort=A","Dates=H","DateFormat=P","Fill=—","Direction=H","UseDPDF=Y")</f>
        <v>#NAME?</v>
      </c>
      <c r="CY52" s="4" t="e">
        <f ca="1">_xll.BDH($C$28,"INVENT_TURN","FQ4 2018","FQ4 2018","Currency=INR","Period=FQ","BEST_FPERIOD_OVERRIDE=FQ","FILING_STATUS=OR","EQY_CONSOLIDATED=Y","FA_ADJUSTED=GAAP","Sort=A","Dates=H","DateFormat=P","Fill=—","Direction=H","UseDPDF=Y")</f>
        <v>#NAME?</v>
      </c>
      <c r="CZ52" s="2" t="e">
        <f ca="1">_xll.BDH($C$28,"INVENT_DAYS","FQ4 2018","FQ4 2018","Currency=INR","Period=FQ","BEST_FPERIOD_OVERRIDE=FQ","FILING_STATUS=OR","EQY_CONSOLIDATED=Y","FA_ADJUSTED=GAAP","Sort=A","Dates=H","DateFormat=P","Fill=—","Direction=H","UseDPDF=Y")</f>
        <v>#NAME?</v>
      </c>
      <c r="DA52" s="4" t="e">
        <f ca="1">_xll.BDH($C$28,"ACCOUNTS_PAYABLE_TURNOVER","FQ4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" s="2" t="e">
        <f ca="1">_xll.BDH($C$28,"ACCOUNTS_PAYABLE_TURNOVER_DAYS","FQ4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" s="4" t="e">
        <f ca="1">_xll.BDH($C$28,"CASH_CONVERSION_CYCLE","FQ4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" s="4" t="e">
        <f ca="1">_xll.BDH($C$28,"INV_TO_CASH_DAYS","FQ4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" s="5" t="e">
        <f ca="1">_xll.BDH($C$28,"BS_INVENTORIES","FQ4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" s="3" t="e">
        <f ca="1">_xll.BDH($C$28,"INVTRY_RAW_MATERIALS","FQ4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" s="3" t="e">
        <f ca="1">_xll.BDH($C$28,"INVTRY_IN_PROGRESS","FQ4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" s="3" t="e">
        <f ca="1">_xll.BDH($C$28,"INVTRY_FINISHED_GOODS","FQ4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" s="3" t="e">
        <f ca="1">_xll.BDH($C$28,"BS_OTHER_INV","FQ4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3" spans="1:113" x14ac:dyDescent="0.3">
      <c r="A53" s="6">
        <v>78</v>
      </c>
      <c r="B53" s="6" t="s">
        <v>88</v>
      </c>
      <c r="C53" s="6" t="s">
        <v>89</v>
      </c>
      <c r="D53" s="6" t="s">
        <v>76</v>
      </c>
      <c r="E53" t="s">
        <v>77</v>
      </c>
      <c r="F53" t="e">
        <f ca="1">_xll.BDH($C$53,"RETURN_COM_EQY","FY 2014","FY 2014","Currency=INR","Period=FY","BEST_FPERIOD_OVERRIDE=FY","FILING_STATUS=OR","EQY_CONSOLIDATED=Y","FA_ADJUSTED=GAAP","Sort=A","Dates=H","DateFormat=P","Fill=—","Direction=H","UseDPDF=Y")</f>
        <v>#NAME?</v>
      </c>
      <c r="G53" t="e">
        <f ca="1">_xll.BDH($C$53,"RETURN_ON_ASSET","FY 2014","FY 2014","Currency=INR","Period=FY","BEST_FPERIOD_OVERRIDE=FY","FILING_STATUS=OR","EQY_CONSOLIDATED=Y","FA_ADJUSTED=GAAP","Sort=A","Dates=H","DateFormat=P","Fill=—","Direction=H","UseDPDF=Y")</f>
        <v>#NAME?</v>
      </c>
      <c r="H53" t="e">
        <f ca="1">_xll.BDH($C$53,"RETURN_ON_CAP","FY 2014","FY 2014","Currency=INR","Period=FY","BEST_FPERIOD_OVERRIDE=FY","FILING_STATUS=OR","EQY_CONSOLIDATED=Y","FA_ADJUSTED=GAAP","Sort=A","Dates=H","DateFormat=P","Fill=—","Direction=H","UseDPDF=Y")</f>
        <v>#NAME?</v>
      </c>
      <c r="I53" t="e">
        <f ca="1">_xll.BDH($C$53,"RETURN_ON_INV_CAPITAL","FY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3" t="e">
        <f ca="1">_xll.BDH($C$53,"EBITDA_TO_REVENUE","FY 2014","FY 2014","Currency=INR","Period=FY","BEST_FPERIOD_OVERRIDE=FY","FILING_STATUS=OR","EQY_CONSOLIDATED=Y","FA_ADJUSTED=GAAP","Sort=A","Dates=H","DateFormat=P","Fill=—","Direction=H","UseDPDF=Y")</f>
        <v>#NAME?</v>
      </c>
      <c r="K53" t="e">
        <f ca="1">_xll.BDH($C$53,"OPER_MARGIN","FY 2014","FY 2014","Currency=INR","Period=FY","BEST_FPERIOD_OVERRIDE=FY","FILING_STATUS=OR","EQY_CONSOLIDATED=Y","FA_ADJUSTED=GAAP","Sort=A","Dates=H","DateFormat=P","Fill=—","Direction=H","UseDPDF=Y")</f>
        <v>#NAME?</v>
      </c>
      <c r="L53" t="e">
        <f ca="1">_xll.BDH($C$53,"INCREMENTAL_OPERATING_MARGIN","FY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3" t="e">
        <f ca="1">_xll.BDH($C$53,"PRETAX_INC_TO_NET_SALES","FY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3" t="e">
        <f ca="1">_xll.BDH($C$53,"INC_BEF_XO_ITEMS_TO_NET_SALES","FY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3" t="e">
        <f ca="1">_xll.BDH($C$53,"PROF_MARGIN","FY 2014","FY 2014","Currency=INR","Period=FY","BEST_FPERIOD_OVERRIDE=FY","FILING_STATUS=OR","EQY_CONSOLIDATED=Y","FA_ADJUSTED=GAAP","Sort=A","Dates=H","DateFormat=P","Fill=—","Direction=H","UseDPDF=Y")</f>
        <v>#NAME?</v>
      </c>
      <c r="P53" t="e">
        <f ca="1">_xll.BDH($C$53,"NET_INCOME_TO_COMMON_MARGIN","FY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3" t="e">
        <f ca="1">_xll.BDH($C$53,"EFF_TAX_RATE","FY 2014","FY 2014","Currency=INR","Period=FY","BEST_FPERIOD_OVERRIDE=FY","FILING_STATUS=OR","EQY_CONSOLIDATED=Y","FA_ADJUSTED=GAAP","Sort=A","Dates=H","DateFormat=P","Fill=—","Direction=H","UseDPDF=Y")</f>
        <v>#NAME?</v>
      </c>
      <c r="R53" t="e">
        <f ca="1">_xll.BDH($C$53,"DVD_PAYOUT_RATIO","FY 2014","FY 2014","Currency=INR","Period=FY","BEST_FPERIOD_OVERRIDE=FY","FILING_STATUS=OR","EQY_CONSOLIDATED=Y","FA_ADJUSTED=GAAP","Sort=A","Dates=H","DateFormat=P","Fill=—","Direction=H","UseDPDF=Y")</f>
        <v>#NAME?</v>
      </c>
      <c r="S53" t="e">
        <f ca="1">_xll.BDH($C$53,"SUSTAIN_GROWTH_RT","FY 2014","FY 2014","Currency=INR","Period=FY","BEST_FPERIOD_OVERRIDE=FY","FILING_STATUS=OR","EQY_CONSOLIDATED=Y","FA_ADJUSTED=GAAP","Sort=A","Dates=H","DateFormat=P","Fill=—","Direction=H","UseDPDF=Y")</f>
        <v>#NAME?</v>
      </c>
      <c r="T53" s="2" t="e">
        <f ca="1">_xll.BDH($C$53,"SALES_GROWTH","FY 2014","FY 2014","Currency=INR","Period=FY","BEST_FPERIOD_OVERRIDE=FY","FILING_STATUS=OR","EQY_CONSOLIDATED=Y","FA_ADJUSTED=GAAP","Sort=A","Dates=H","DateFormat=P","Fill=—","Direction=H","UseDPDF=Y")</f>
        <v>#NAME?</v>
      </c>
      <c r="U53" s="2" t="e">
        <f ca="1">_xll.BDH($C$53,"EBITDA_GROWTH","FY 2014","FY 2014","Currency=INR","Period=FY","BEST_FPERIOD_OVERRIDE=FY","FILING_STATUS=OR","EQY_CONSOLIDATED=Y","FA_ADJUSTED=GAAP","Sort=A","Dates=H","DateFormat=P","Fill=—","Direction=H","UseDPDF=Y")</f>
        <v>#NAME?</v>
      </c>
      <c r="V53" s="2" t="e">
        <f ca="1">_xll.BDH($C$53,"OPER_INC_GROWTH","FY 2014","FY 2014","Currency=INR","Period=FY","BEST_FPERIOD_OVERRIDE=FY","FILING_STATUS=OR","EQY_CONSOLIDATED=Y","FA_ADJUSTED=GAAP","Sort=A","Dates=H","DateFormat=P","Fill=—","Direction=H","UseDPDF=Y")</f>
        <v>#NAME?</v>
      </c>
      <c r="W53" s="2" t="e">
        <f ca="1">_xll.BDH($C$53,"EARN_FOR_COM_GROWTH","FY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3" s="2" t="e">
        <f ca="1">_xll.BDH($C$53,"DILUTED_EPS_AFT_XO_ITEMS_GROWTH","FY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3" s="2" t="e">
        <f ca="1">_xll.BDH($C$53,"DIVIDEND_PER_SHARE_1_YEAR_GROWTH","FY 2014","FY 2014","Currency=INR","Period=FY","BEST_FPERIOD_OVERRIDE=FY","FILING_STATUS=OR","EQY_CONSOLIDATED=Y","Sort=A","Dates=H","DateFormat=P","Fill=—","Direction=H","UseDPDF=Y")</f>
        <v>#NAME?</v>
      </c>
      <c r="Z53" s="2" t="e">
        <f ca="1">_xll.BDH($C$53,"ACCOUNTS_RECEIVABLE_GROWTH","FY 2014","FY 2014","Currency=INR","Period=FY","BEST_FPERIOD_OVERRIDE=FY","FILING_STATUS=OR","EQY_CONSOLIDATED=Y","Sort=A","Dates=H","DateFormat=P","Fill=—","Direction=H","UseDPDF=Y")</f>
        <v>#NAME?</v>
      </c>
      <c r="AA53" s="2" t="e">
        <f ca="1">_xll.BDH($C$53,"INVENTORY_GROWTH","FY 2014","FY 2014","Currency=INR","Period=FY","BEST_FPERIOD_OVERRIDE=FY","FILING_STATUS=OR","EQY_CONSOLIDATED=Y","Sort=A","Dates=H","DateFormat=P","Fill=—","Direction=H","UseDPDF=Y")</f>
        <v>#NAME?</v>
      </c>
      <c r="AB53" s="2" t="e">
        <f ca="1">_xll.BDH($C$53,"NET_FIXED_ASSETS_1_YEAR_GROWTH","FY 2014","FY 2014","Currency=INR","Period=FY","BEST_FPERIOD_OVERRIDE=FY","FILING_STATUS=OR","EQY_CONSOLIDATED=Y","Sort=A","Dates=H","DateFormat=P","Fill=—","Direction=H","UseDPDF=Y")</f>
        <v>#NAME?</v>
      </c>
      <c r="AC53" s="2" t="e">
        <f ca="1">_xll.BDH($C$53,"ASSET_GROWTH","FY 2014","FY 2014","Currency=INR","Period=FY","BEST_FPERIOD_OVERRIDE=FY","FILING_STATUS=OR","EQY_CONSOLIDATED=Y","Sort=A","Dates=H","DateFormat=P","Fill=—","Direction=H","UseDPDF=Y")</f>
        <v>#NAME?</v>
      </c>
      <c r="AD53" s="2" t="e">
        <f ca="1">_xll.BDH($C$53,"MODIFIED_WORK_CAP_GROWTH","FY 2014","FY 2014","Currency=INR","Period=FY","BEST_FPERIOD_OVERRIDE=FY","FILING_STATUS=OR","EQY_CONSOLIDATED=Y","Sort=A","Dates=H","DateFormat=P","Fill=—","Direction=H","UseDPDF=Y")</f>
        <v>#NAME?</v>
      </c>
      <c r="AE53" s="2" t="e">
        <f ca="1">_xll.BDH($C$53,"WORK_CAP_GROWTH","FY 2014","FY 2014","Currency=INR","Period=FY","BEST_FPERIOD_OVERRIDE=FY","FILING_STATUS=OR","EQY_CONSOLIDATED=Y","Sort=A","Dates=H","DateFormat=P","Fill=—","Direction=H","UseDPDF=Y")</f>
        <v>#NAME?</v>
      </c>
      <c r="AF53" s="2" t="e">
        <f ca="1">_xll.BDH($C$53,"ACCOUNTS_PAYABLE_GROWTH_1YR","FY 2014","FY 2014","Currency=INR","Period=FY","BEST_FPERIOD_OVERRIDE=FY","FILING_STATUS=OR","EQY_CONSOLIDATED=Y","Sort=A","Dates=H","DateFormat=P","Fill=—","Direction=H","UseDPDF=Y")</f>
        <v>#NAME?</v>
      </c>
      <c r="AG53" s="2" t="e">
        <f ca="1">_xll.BDH($C$53,"SHORT_TERM_DEBT_1_YEAR_GROWTH","FY 2014","FY 2014","Currency=INR","Period=FY","BEST_FPERIOD_OVERRIDE=FY","FILING_STATUS=OR","EQY_CONSOLIDATED=Y","Sort=A","Dates=H","DateFormat=P","Fill=—","Direction=H","UseDPDF=Y")</f>
        <v>#NAME?</v>
      </c>
      <c r="AH53" s="2" t="e">
        <f ca="1">_xll.BDH($C$53,"TOTAL_DEBT_1_YEAR_GROWTH","FY 2014","FY 2014","Currency=INR","Period=FY","BEST_FPERIOD_OVERRIDE=FY","FILING_STATUS=OR","EQY_CONSOLIDATED=Y","Sort=A","Dates=H","DateFormat=P","Fill=—","Direction=H","UseDPDF=Y")</f>
        <v>#NAME?</v>
      </c>
      <c r="AI53" s="2" t="e">
        <f ca="1">_xll.BDH($C$53,"TOTAL_EQUITY_1_YEAR_GROWTH","FY 2014","FY 2014","Currency=INR","Period=FY","BEST_FPERIOD_OVERRIDE=FY","FILING_STATUS=OR","EQY_CONSOLIDATED=Y","Sort=A","Dates=H","DateFormat=P","Fill=—","Direction=H","UseDPDF=Y")</f>
        <v>#NAME?</v>
      </c>
      <c r="AJ53" s="2" t="e">
        <f ca="1">_xll.BDH($C$53,"GROWTH_IN_CAP","FY 2014","FY 2014","Currency=INR","Period=FY","BEST_FPERIOD_OVERRIDE=FY","FILING_STATUS=OR","EQY_CONSOLIDATED=Y","Sort=A","Dates=H","DateFormat=P","Fill=—","Direction=H","UseDPDF=Y")</f>
        <v>#NAME?</v>
      </c>
      <c r="AK53" s="2" t="e">
        <f ca="1">_xll.BDH($C$53,"BVPS_GROWTH","FY 2014","FY 2014","Currency=INR","Period=FY","BEST_FPERIOD_OVERRIDE=FY","FILING_STATUS=OR","EQY_CONSOLIDATED=Y","Sort=A","Dates=H","DateFormat=P","Fill=—","Direction=H","UseDPDF=Y")</f>
        <v>#NAME?</v>
      </c>
      <c r="AL53" s="2" t="e">
        <f ca="1">_xll.BDH($C$53,"CASH_FLOW_GROWTH","FY 2014","FY 2014","Currency=INR","Period=FY","BEST_FPERIOD_OVERRIDE=FY","FILING_STATUS=OR","EQY_CONSOLIDATED=Y","Sort=A","Dates=H","DateFormat=P","Fill=—","Direction=H","UseDPDF=Y")</f>
        <v>#NAME?</v>
      </c>
      <c r="AM53" s="2" t="e">
        <f ca="1">_xll.BDH($C$53,"GEO_GROW_NET_SALES","FY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3" s="2" t="e">
        <f ca="1">_xll.BDH($C$53,"GEO_GROW_EBITDA","FY 2014","FY 2014","Currency=INR","Period=FY","BEST_FPERIOD_OVERRIDE=FY","FILING_STATUS=OR","EQY_CONSOLIDATED=Y","FA_ADJUSTED=GAAP","Sort=A","Dates=H","DateFormat=P","Fill=—","Direction=H","UseDPDF=Y")</f>
        <v>#NAME?</v>
      </c>
      <c r="AO53" s="2" t="e">
        <f ca="1">_xll.BDH($C$53,"GEO_GROW_OPER_INC","FY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3" s="2" t="e">
        <f ca="1">_xll.BDH($C$53,"NET_INCOME_TO_COMMON_5_YR_GROWTH","FY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3" s="2" t="e">
        <f ca="1">_xll.BDH($C$53,"5Y_GEO_GROWTH_DILUTED_EPS","FY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3" s="2" t="e">
        <f ca="1">_xll.BDH($C$53,"GEO_GROW_DVD_PER_SH","FY 2014","FY 2014","Currency=INR","Period=FY","BEST_FPERIOD_OVERRIDE=FY","FILING_STATUS=OR","EQY_CONSOLIDATED=Y","Sort=A","Dates=H","DateFormat=P","Fill=—","Direction=H","UseDPDF=Y")</f>
        <v>#NAME?</v>
      </c>
      <c r="AS53" s="2" t="e">
        <f ca="1">_xll.BDH($C$53,"ACCOUNTS_RECEIVABLE_5_YR_GROWTH","FY 2014","FY 2014","Currency=INR","Period=FY","BEST_FPERIOD_OVERRIDE=FY","FILING_STATUS=OR","EQY_CONSOLIDATED=Y","Sort=A","Dates=H","DateFormat=P","Fill=—","Direction=H","UseDPDF=Y")</f>
        <v>#NAME?</v>
      </c>
      <c r="AT53" s="2" t="e">
        <f ca="1">_xll.BDH($C$53,"INVENTORY_5_YEAR_GROWTH","FY 2014","FY 2014","Currency=INR","Period=FY","BEST_FPERIOD_OVERRIDE=FY","FILING_STATUS=OR","EQY_CONSOLIDATED=Y","Sort=A","Dates=H","DateFormat=P","Fill=—","Direction=H","UseDPDF=Y")</f>
        <v>#NAME?</v>
      </c>
      <c r="AU53" s="2" t="e">
        <f ca="1">_xll.BDH($C$53,"NET_FIXED_ASSETS_5_YEAR_GROWTH","FY 2014","FY 2014","Currency=INR","Period=FY","BEST_FPERIOD_OVERRIDE=FY","FILING_STATUS=OR","EQY_CONSOLIDATED=Y","Sort=A","Dates=H","DateFormat=P","Fill=—","Direction=H","UseDPDF=Y")</f>
        <v>#NAME?</v>
      </c>
      <c r="AV53" s="2" t="e">
        <f ca="1">_xll.BDH($C$53,"GEO_GROW_TOT_ASSET","FY 2014","FY 2014","Currency=INR","Period=FY","BEST_FPERIOD_OVERRIDE=FY","FILING_STATUS=OR","EQY_CONSOLIDATED=Y","Sort=A","Dates=H","DateFormat=P","Fill=—","Direction=H","UseDPDF=Y")</f>
        <v>#NAME?</v>
      </c>
      <c r="AW53" s="2" t="e">
        <f ca="1">_xll.BDH($C$53,"MODIFIED_WORKING_CPTL_5YR_GRWTH","FY 2014","FY 2014","Currency=INR","Period=FY","BEST_FPERIOD_OVERRIDE=FY","FILING_STATUS=OR","EQY_CONSOLIDATED=Y","Sort=A","Dates=H","DateFormat=P","Fill=—","Direction=H","UseDPDF=Y")</f>
        <v>#NAME?</v>
      </c>
      <c r="AX53" s="2" t="e">
        <f ca="1">_xll.BDH($C$53,"WORKING_CAPITAL_5_YEAR_GROWTH","FY 2014","FY 2014","Currency=INR","Period=FY","BEST_FPERIOD_OVERRIDE=FY","FILING_STATUS=OR","EQY_CONSOLIDATED=Y","Sort=A","Dates=H","DateFormat=P","Fill=—","Direction=H","UseDPDF=Y")</f>
        <v>#NAME?</v>
      </c>
      <c r="AY53" s="2" t="e">
        <f ca="1">_xll.BDH($C$53,"ACCOUNTS_PAYABLE_5_YEAR_GROWTH","FY 2014","FY 2014","Currency=INR","Period=FY","BEST_FPERIOD_OVERRIDE=FY","FILING_STATUS=OR","EQY_CONSOLIDATED=Y","Sort=A","Dates=H","DateFormat=P","Fill=—","Direction=H","UseDPDF=Y")</f>
        <v>#NAME?</v>
      </c>
      <c r="AZ53" s="2" t="e">
        <f ca="1">_xll.BDH($C$53,"SHORT_TERM_DEBT_5_YEAR_GROWTH","FY 2014","FY 2014","Currency=INR","Period=FY","BEST_FPERIOD_OVERRIDE=FY","FILING_STATUS=OR","EQY_CONSOLIDATED=Y","Sort=A","Dates=H","DateFormat=P","Fill=—","Direction=H","UseDPDF=Y")</f>
        <v>#NAME?</v>
      </c>
      <c r="BA53" s="2" t="e">
        <f ca="1">_xll.BDH($C$53,"TOTAL_DEBT_5_YEAR_GROWTH","FY 2014","FY 2014","Currency=INR","Period=FY","BEST_FPERIOD_OVERRIDE=FY","FILING_STATUS=OR","EQY_CONSOLIDATED=Y","Sort=A","Dates=H","DateFormat=P","Fill=—","Direction=H","UseDPDF=Y")</f>
        <v>#NAME?</v>
      </c>
      <c r="BB53" s="2" t="e">
        <f ca="1">_xll.BDH($C$53,"GEO_GROW_TOT_SHRHLDR_EQY","FY 2014","FY 2014","Currency=INR","Period=FY","BEST_FPERIOD_OVERRIDE=FY","FILING_STATUS=OR","EQY_CONSOLIDATED=Y","Sort=A","Dates=H","DateFormat=P","Fill=—","Direction=H","UseDPDF=Y")</f>
        <v>#NAME?</v>
      </c>
      <c r="BC53" s="2" t="e">
        <f ca="1">_xll.BDH($C$53,"TOTAL_CAPITAL_5_YEAR_GROWTH","FY 2014","FY 2014","Currency=INR","Period=FY","BEST_FPERIOD_OVERRIDE=FY","FILING_STATUS=OR","EQY_CONSOLIDATED=Y","Sort=A","Dates=H","DateFormat=P","Fill=—","Direction=H","UseDPDF=Y")</f>
        <v>#NAME?</v>
      </c>
      <c r="BD53" s="2" t="e">
        <f ca="1">_xll.BDH($C$53,"GEO_GROW_BOOK_VAL","FY 2014","FY 2014","Currency=INR","Period=FY","BEST_FPERIOD_OVERRIDE=FY","FILING_STATUS=OR","EQY_CONSOLIDATED=Y","Sort=A","Dates=H","DateFormat=P","Fill=—","Direction=H","UseDPDF=Y")</f>
        <v>#NAME?</v>
      </c>
      <c r="BE53" s="2" t="e">
        <f ca="1">_xll.BDH($C$53,"GEO_GROW_CASH_OPER_ACT","FY 2014","FY 2014","Currency=INR","Period=FY","BEST_FPERIOD_OVERRIDE=FY","FILING_STATUS=OR","EQY_CONSOLIDATED=Y","Sort=A","Dates=H","DateFormat=P","Fill=—","Direction=H","UseDPDF=Y")</f>
        <v>#NAME?</v>
      </c>
      <c r="BF53" s="2" t="e">
        <f ca="1">_xll.BDH($C$53,"REVENUE_SEQUENTIAL_GROWTH","FY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3" s="2" t="e">
        <f ca="1">_xll.BDH($C$53,"EBITDA_SEQUENTIAL_GROWTH","FY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3" s="2" t="e">
        <f ca="1">_xll.BDH($C$53,"OPERATING_INCOME_SEQ_GROWTH","FY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3" s="2" t="e">
        <f ca="1">_xll.BDH($C$53,"NET_INCOME_TO_COMMON_SEQ_GROWTH","FY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3" s="2" t="e">
        <f ca="1">_xll.BDH($C$53,"EPS_DILUTED_SEQUENTIAL_GROWTH","FY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3" s="2" t="e">
        <f ca="1">_xll.BDH($C$53,"DPS_SEQUENTIAL_GROWTH","FY 2014","FY 2014","Currency=INR","Period=FY","BEST_FPERIOD_OVERRIDE=FY","FILING_STATUS=OR","EQY_CONSOLIDATED=Y","Sort=A","Dates=H","DateFormat=P","Fill=—","Direction=H","UseDPDF=Y")</f>
        <v>#NAME?</v>
      </c>
      <c r="BL53" s="2" t="e">
        <f ca="1">_xll.BDH($C$53,"ACCOUNTS_RECEIVABLE_SEQ_GROWTH","FY 2014","FY 2014","Currency=INR","Period=FY","BEST_FPERIOD_OVERRIDE=FY","FILING_STATUS=OR","EQY_CONSOLIDATED=Y","Sort=A","Dates=H","DateFormat=P","Fill=—","Direction=H","UseDPDF=Y")</f>
        <v>#NAME?</v>
      </c>
      <c r="BM53" s="2" t="e">
        <f ca="1">_xll.BDH($C$53,"INVENTORY_SEQUENTIAL_GROWTH","FY 2014","FY 2014","Currency=INR","Period=FY","BEST_FPERIOD_OVERRIDE=FY","FILING_STATUS=OR","EQY_CONSOLIDATED=Y","Sort=A","Dates=H","DateFormat=P","Fill=—","Direction=H","UseDPDF=Y")</f>
        <v>#NAME?</v>
      </c>
      <c r="BN53" s="2" t="e">
        <f ca="1">_xll.BDH($C$53,"FIXED_ASSETS_SEQUENTIAL_GROWTH","FY 2014","FY 2014","Currency=INR","Period=FY","BEST_FPERIOD_OVERRIDE=FY","FILING_STATUS=OR","EQY_CONSOLIDATED=Y","Sort=A","Dates=H","DateFormat=P","Fill=—","Direction=H","UseDPDF=Y")</f>
        <v>#NAME?</v>
      </c>
      <c r="BO53" s="2" t="e">
        <f ca="1">_xll.BDH($C$53,"TOTAL_ASSETS_SEQUENTIAL_GROWTH","FY 2014","FY 2014","Currency=INR","Period=FY","BEST_FPERIOD_OVERRIDE=FY","FILING_STATUS=OR","EQY_CONSOLIDATED=Y","Sort=A","Dates=H","DateFormat=P","Fill=—","Direction=H","UseDPDF=Y")</f>
        <v>#NAME?</v>
      </c>
      <c r="BP53" s="2" t="e">
        <f ca="1">_xll.BDH($C$53,"MODIFIED_WORKING_CPTL_SEQ_GRWTH","FY 2014","FY 2014","Currency=INR","Period=FY","BEST_FPERIOD_OVERRIDE=FY","FILING_STATUS=OR","EQY_CONSOLIDATED=Y","Sort=A","Dates=H","DateFormat=P","Fill=—","Direction=H","UseDPDF=Y")</f>
        <v>#NAME?</v>
      </c>
      <c r="BQ53" s="2" t="e">
        <f ca="1">_xll.BDH($C$53,"WORKING_CAPITAL_SEQ_GROWTH","FY 2014","FY 2014","Currency=INR","Period=FY","BEST_FPERIOD_OVERRIDE=FY","FILING_STATUS=OR","EQY_CONSOLIDATED=Y","Sort=A","Dates=H","DateFormat=P","Fill=—","Direction=H","UseDPDF=Y")</f>
        <v>#NAME?</v>
      </c>
      <c r="BR53" s="2" t="e">
        <f ca="1">_xll.BDH($C$53,"ACCOUNTS_PAYABLE_SEQ_GROWTH","FY 2014","FY 2014","Currency=INR","Period=FY","BEST_FPERIOD_OVERRIDE=FY","FILING_STATUS=OR","EQY_CONSOLIDATED=Y","Sort=A","Dates=H","DateFormat=P","Fill=—","Direction=H","UseDPDF=Y")</f>
        <v>#NAME?</v>
      </c>
      <c r="BS53" s="2" t="e">
        <f ca="1">_xll.BDH($C$53,"ST_DEBT_SEQUENTIAL_GROWTH","FY 2014","FY 2014","Currency=INR","Period=FY","BEST_FPERIOD_OVERRIDE=FY","FILING_STATUS=OR","EQY_CONSOLIDATED=Y","Sort=A","Dates=H","DateFormat=P","Fill=—","Direction=H","UseDPDF=Y")</f>
        <v>#NAME?</v>
      </c>
      <c r="BT53" s="2" t="e">
        <f ca="1">_xll.BDH($C$53,"TOTAL_DEBT_SEQUENTIAL_GROWTH","FY 2014","FY 2014","Currency=INR","Period=FY","BEST_FPERIOD_OVERRIDE=FY","FILING_STATUS=OR","EQY_CONSOLIDATED=Y","Sort=A","Dates=H","DateFormat=P","Fill=—","Direction=H","UseDPDF=Y")</f>
        <v>#NAME?</v>
      </c>
      <c r="BU53" s="2" t="e">
        <f ca="1">_xll.BDH($C$53,"TOTAL_EQUITY_SEQUENTIAL_GROWTH","FY 2014","FY 2014","Currency=INR","Period=FY","BEST_FPERIOD_OVERRIDE=FY","FILING_STATUS=OR","EQY_CONSOLIDATED=Y","Sort=A","Dates=H","DateFormat=P","Fill=—","Direction=H","UseDPDF=Y")</f>
        <v>#NAME?</v>
      </c>
      <c r="BV53" s="2" t="e">
        <f ca="1">_xll.BDH($C$53,"TOTAL_CAPITAL_SEQUENTIAL_GROWTH","FY 2014","FY 2014","Currency=INR","Period=FY","BEST_FPERIOD_OVERRIDE=FY","FILING_STATUS=OR","EQY_CONSOLIDATED=Y","Sort=A","Dates=H","DateFormat=P","Fill=—","Direction=H","UseDPDF=Y")</f>
        <v>#NAME?</v>
      </c>
      <c r="BW53" s="2" t="e">
        <f ca="1">_xll.BDH($C$53,"BPS_SEQUENTIAL_GROWTH","FY 2014","FY 2014","Currency=INR","Period=FY","BEST_FPERIOD_OVERRIDE=FY","FILING_STATUS=OR","EQY_CONSOLIDATED=Y","Sort=A","Dates=H","DateFormat=P","Fill=—","Direction=H","UseDPDF=Y")</f>
        <v>#NAME?</v>
      </c>
      <c r="BX53" s="2" t="e">
        <f ca="1">_xll.BDH($C$53,"CFO_SEQUENTIAL_GROWTH","FY 2014","FY 2014","Currency=INR","Period=FY","BEST_FPERIOD_OVERRIDE=FY","FILING_STATUS=OR","EQY_CONSOLIDATED=Y","Sort=A","Dates=H","DateFormat=P","Fill=—","Direction=H","UseDPDF=Y")</f>
        <v>#NAME?</v>
      </c>
      <c r="BY53" s="3" t="e">
        <f ca="1">_xll.BDH($C$53,"SHORT_AND_LONG_TERM_DEBT","FY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3" s="3" t="e">
        <f ca="1">_xll.BDH($C$53,"BS_ST_BORROW","FY 2014","FY 2014","Currency=INR","Period=FY","BEST_FPERIOD_OVERRIDE=FY","FILING_STATUS=OR","EQY_CONSOLIDATED=Y","SCALING_FORMAT=MLN","Sort=A","Dates=H","DateFormat=P","Fill=—","Direction=H","UseDPDF=Y")</f>
        <v>#NAME?</v>
      </c>
      <c r="CA53" s="3" t="e">
        <f ca="1">_xll.BDH($C$53,"BS_LT_BORROW","FY 2014","FY 2014","Currency=INR","Period=FY","BEST_FPERIOD_OVERRIDE=FY","FILING_STATUS=OR","EQY_CONSOLIDATED=Y","SCALING_FORMAT=MLN","Sort=A","Dates=H","DateFormat=P","Fill=—","Direction=H","UseDPDF=Y")</f>
        <v>#NAME?</v>
      </c>
      <c r="CB53" s="2" t="e">
        <f ca="1">_xll.BDH($C$53,"TOT_DEBT_TO_EBITDA","FY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3" s="2" t="e">
        <f ca="1">_xll.BDH($C$53,"NET_DEBT_TO_EBITDA","FY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3" s="2" t="e">
        <f ca="1">_xll.BDH($C$53,"TOTAL_DEBT_TO_EBIT","FY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3" s="2" t="e">
        <f ca="1">_xll.BDH($C$53,"NET_DEBT_TO_EBIT","FY 2014","FY 2014","Currency=INR","Period=FY","BEST_FPERIOD_OVERRIDE=FY","FILING_STATUS=OR","EQY_CONSOLIDATED=Y","FA_ADJUSTED=GAAP","Sort=A","Dates=H","DateFormat=P","Fill=—","Direction=H","UseDPDF=Y")</f>
        <v>#NAME?</v>
      </c>
      <c r="CF53" s="2" t="e">
        <f ca="1">_xll.BDH($C$53,"EBITDA_TO_INTEREST_EXPN","FY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3" s="2" t="e">
        <f ca="1">_xll.BDH($C$53,"COM_EQY_TO_TOT_ASSET","FY 2014","FY 2014","Currency=INR","Period=FY","BEST_FPERIOD_OVERRIDE=FY","FILING_STATUS=OR","EQY_CONSOLIDATED=Y","Sort=A","Dates=H","DateFormat=P","Fill=—","Direction=H","UseDPDF=Y")</f>
        <v>#NAME?</v>
      </c>
      <c r="CH53" s="2" t="e">
        <f ca="1">_xll.BDH($C$53,"LT_DEBT_TO_TOT_EQY","FY 2014","FY 2014","Currency=INR","Period=FY","BEST_FPERIOD_OVERRIDE=FY","FILING_STATUS=OR","EQY_CONSOLIDATED=Y","Sort=A","Dates=H","DateFormat=P","Fill=—","Direction=H","UseDPDF=Y")</f>
        <v>#NAME?</v>
      </c>
      <c r="CI53" s="2" t="e">
        <f ca="1">_xll.BDH($C$53,"LT_DEBT_TO_TOT_CAP","FY 2014","FY 2014","Currency=INR","Period=FY","BEST_FPERIOD_OVERRIDE=FY","FILING_STATUS=OR","EQY_CONSOLIDATED=Y","Sort=A","Dates=H","DateFormat=P","Fill=—","Direction=H","UseDPDF=Y")</f>
        <v>#NAME?</v>
      </c>
      <c r="CJ53" s="2" t="e">
        <f ca="1">_xll.BDH($C$53,"LT_DEBT_TO_TOT_ASSET","FY 2014","FY 2014","Currency=INR","Period=FY","BEST_FPERIOD_OVERRIDE=FY","FILING_STATUS=OR","EQY_CONSOLIDATED=Y","Sort=A","Dates=H","DateFormat=P","Fill=—","Direction=H","UseDPDF=Y")</f>
        <v>#NAME?</v>
      </c>
      <c r="CK53" s="2" t="e">
        <f ca="1">_xll.BDH($C$53,"TOT_DEBT_TO_TOT_EQY","FY 2014","FY 2014","Currency=INR","Period=FY","BEST_FPERIOD_OVERRIDE=FY","FILING_STATUS=OR","EQY_CONSOLIDATED=Y","Sort=A","Dates=H","DateFormat=P","Fill=—","Direction=H","UseDPDF=Y")</f>
        <v>#NAME?</v>
      </c>
      <c r="CL53" s="2" t="e">
        <f ca="1">_xll.BDH($C$53,"TOT_DEBT_TO_TOT_CAP","FY 2014","FY 2014","Currency=INR","Period=FY","BEST_FPERIOD_OVERRIDE=FY","FILING_STATUS=OR","EQY_CONSOLIDATED=Y","Sort=A","Dates=H","DateFormat=P","Fill=—","Direction=H","UseDPDF=Y")</f>
        <v>#NAME?</v>
      </c>
      <c r="CM53" s="2" t="e">
        <f ca="1">_xll.BDH($C$53,"TOT_DEBT_TO_TOT_ASSET","FY 2014","FY 2014","Currency=INR","Period=FY","BEST_FPERIOD_OVERRIDE=FY","FILING_STATUS=OR","EQY_CONSOLIDATED=Y","Sort=A","Dates=H","DateFormat=P","Fill=—","Direction=H","UseDPDF=Y")</f>
        <v>#NAME?</v>
      </c>
      <c r="CN53" s="2" t="e">
        <f ca="1">_xll.BDH($C$53,"NET_DEBT_TO_SHRHLDR_EQTY","FY 2014","FY 2014","Currency=INR","Period=FY","BEST_FPERIOD_OVERRIDE=FY","FILING_STATUS=OR","EQY_CONSOLIDATED=Y","Sort=A","Dates=H","DateFormat=P","Fill=—","Direction=H","UseDPDF=Y")</f>
        <v>#NAME?</v>
      </c>
      <c r="CO53" s="2" t="e">
        <f ca="1">_xll.BDH($C$53,"NET_DEBT_%_CAPITAL","FY 2014","FY 2014","Currency=INR","Period=FY","BEST_FPERIOD_OVERRIDE=FY","FILING_STATUS=OR","EQY_CONSOLIDATED=Y","Sort=A","Dates=H","DateFormat=P","Fill=—","Direction=H","UseDPDF=Y")</f>
        <v>#NAME?</v>
      </c>
      <c r="CP53" s="3" t="e">
        <f ca="1">_xll.BDH($C$53,"EBITDA","FY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3" s="3" t="e">
        <f ca="1">_xll.BDH($C$53,"EBITDA_AFTER_CAPEX","FY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3" s="3" t="e">
        <f ca="1">_xll.BDH($C$53,"IS_OPER_INC","FY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3" s="2" t="e">
        <f ca="1">_xll.BDH($C$53,"CASH_RATIO","FY 2014","FY 2014","Currency=INR","Period=FY","BEST_FPERIOD_OVERRIDE=FY","FILING_STATUS=OR","EQY_CONSOLIDATED=Y","Sort=A","Dates=H","DateFormat=P","Fill=—","Direction=H","UseDPDF=Y")</f>
        <v>#NAME?</v>
      </c>
      <c r="CT53" s="2" t="e">
        <f ca="1">_xll.BDH($C$53,"CUR_RATIO","FY 2014","FY 2014","Currency=INR","Period=FY","BEST_FPERIOD_OVERRIDE=FY","FILING_STATUS=OR","EQY_CONSOLIDATED=Y","Sort=A","Dates=H","DateFormat=P","Fill=—","Direction=H","UseDPDF=Y")</f>
        <v>#NAME?</v>
      </c>
      <c r="CU53" s="2" t="e">
        <f ca="1">_xll.BDH($C$53,"QUICK_RATIO","FY 2014","FY 2014","Currency=INR","Period=FY","BEST_FPERIOD_OVERRIDE=FY","FILING_STATUS=OR","EQY_CONSOLIDATED=Y","Sort=A","Dates=H","DateFormat=P","Fill=—","Direction=H","UseDPDF=Y")</f>
        <v>#NAME?</v>
      </c>
      <c r="CV53" s="2" t="e">
        <f ca="1">_xll.BDH($C$53,"ALTMAN_Z_SCORE","FY 2014","FY 2014","Currency=INR","Period=FY","BEST_FPERIOD_OVERRIDE=FY","FILING_STATUS=OR","EQY_CONSOLIDATED=Y","Sort=A","Dates=H","DateFormat=P","Fill=—","Direction=H","UseDPDF=Y")</f>
        <v>#NAME?</v>
      </c>
      <c r="CW53" s="4" t="e">
        <f ca="1">_xll.BDH($C$53,"ACCT_RCV_TURN","FY 2014","FY 2014","Currency=INR","Period=FY","BEST_FPERIOD_OVERRIDE=FY","FILING_STATUS=OR","EQY_CONSOLIDATED=Y","FA_ADJUSTED=GAAP","Sort=A","Dates=H","DateFormat=P","Fill=—","Direction=H","UseDPDF=Y")</f>
        <v>#NAME?</v>
      </c>
      <c r="CX53" s="2" t="e">
        <f ca="1">_xll.BDH($C$53,"ACCT_RCV_DAYS","FY 2014","FY 2014","Currency=INR","Period=FY","BEST_FPERIOD_OVERRIDE=FY","FILING_STATUS=OR","EQY_CONSOLIDATED=Y","FA_ADJUSTED=GAAP","Sort=A","Dates=H","DateFormat=P","Fill=—","Direction=H","UseDPDF=Y")</f>
        <v>#NAME?</v>
      </c>
      <c r="CY53" s="4" t="e">
        <f ca="1">_xll.BDH($C$53,"INVENT_TURN","FY 2014","FY 2014","Currency=INR","Period=FY","BEST_FPERIOD_OVERRIDE=FY","FILING_STATUS=OR","EQY_CONSOLIDATED=Y","FA_ADJUSTED=GAAP","Sort=A","Dates=H","DateFormat=P","Fill=—","Direction=H","UseDPDF=Y")</f>
        <v>#NAME?</v>
      </c>
      <c r="CZ53" s="2" t="e">
        <f ca="1">_xll.BDH($C$53,"INVENT_DAYS","FY 2014","FY 2014","Currency=INR","Period=FY","BEST_FPERIOD_OVERRIDE=FY","FILING_STATUS=OR","EQY_CONSOLIDATED=Y","FA_ADJUSTED=GAAP","Sort=A","Dates=H","DateFormat=P","Fill=—","Direction=H","UseDPDF=Y")</f>
        <v>#NAME?</v>
      </c>
      <c r="DA53" s="4" t="e">
        <f ca="1">_xll.BDH($C$53,"ACCOUNTS_PAYABLE_TURNOVER","FY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3" s="2" t="e">
        <f ca="1">_xll.BDH($C$53,"ACCOUNTS_PAYABLE_TURNOVER_DAYS","FY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3" s="4" t="e">
        <f ca="1">_xll.BDH($C$53,"CASH_CONVERSION_CYCLE","FY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3" s="4" t="e">
        <f ca="1">_xll.BDH($C$53,"INV_TO_CASH_DAYS","FY 2014","FY 2014","Currency=INR","Period=FY","BEST_FPERIOD_OVERRIDE=FY","FILING_STATUS=OR","EQY_CONSOLIDATED=Y","FA_ADJUSTED=GAAP","Sort=A","Dates=H","DateFormat=P","Fill=—","Direction=H","UseDPDF=Y")</f>
        <v>#NAME?</v>
      </c>
      <c r="DE53" s="5" t="e">
        <f ca="1">_xll.BDH($C$53,"BS_INVENTORIES","FY 2014","FY 2014","Currency=INR","Period=FY","BEST_FPERIOD_OVERRIDE=FY","FILING_STATUS=OR","EQY_CONSOLIDATED=Y","SCALING_FORMAT=MLN","Sort=A","Dates=H","DateFormat=P","Fill=—","Direction=H","UseDPDF=Y")</f>
        <v>#NAME?</v>
      </c>
      <c r="DF53" s="3" t="e">
        <f ca="1">_xll.BDH($C$53,"INVTRY_RAW_MATERIALS","FY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3" s="3" t="e">
        <f ca="1">_xll.BDH($C$53,"INVTRY_IN_PROGRESS","FY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3" s="3" t="e">
        <f ca="1">_xll.BDH($C$53,"INVTRY_FINISHED_GOODS","FY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3" s="3" t="e">
        <f ca="1">_xll.BDH($C$53,"BS_OTHER_INV","FY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4" spans="1:113" x14ac:dyDescent="0.3">
      <c r="A54" s="6"/>
      <c r="B54" s="6"/>
      <c r="C54" s="6"/>
      <c r="D54" s="6"/>
      <c r="E54" t="s">
        <v>78</v>
      </c>
      <c r="F54" t="e">
        <f ca="1">_xll.BDH($C$53,"RETURN_COM_EQY","FQ1 2014","FQ1 2014","Currency=INR","Period=FQ","BEST_FPERIOD_OVERRIDE=FQ","FILING_STATUS=OR","EQY_CONSOLIDATED=Y","FA_ADJUSTED=GAAP","Sort=A","Dates=H","DateFormat=P","Fill=—","Direction=H","UseDPDF=Y")</f>
        <v>#NAME?</v>
      </c>
      <c r="G54" t="e">
        <f ca="1">_xll.BDH($C$53,"RETURN_ON_ASSET","FQ1 2014","FQ1 2014","Currency=INR","Period=FQ","BEST_FPERIOD_OVERRIDE=FQ","FILING_STATUS=OR","EQY_CONSOLIDATED=Y","FA_ADJUSTED=GAAP","Sort=A","Dates=H","DateFormat=P","Fill=—","Direction=H","UseDPDF=Y")</f>
        <v>#NAME?</v>
      </c>
      <c r="H54" t="e">
        <f ca="1">_xll.BDH($C$53,"RETURN_ON_CAP","FQ1 2014","FQ1 2014","Currency=INR","Period=FQ","BEST_FPERIOD_OVERRIDE=FQ","FILING_STATUS=OR","EQY_CONSOLIDATED=Y","FA_ADJUSTED=GAAP","Sort=A","Dates=H","DateFormat=P","Fill=—","Direction=H","UseDPDF=Y")</f>
        <v>#NAME?</v>
      </c>
      <c r="I54" t="e">
        <f ca="1">_xll.BDH($C$53,"RETURN_ON_INV_CAPITAL","FQ1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4" t="e">
        <f ca="1">_xll.BDH($C$53,"EBITDA_TO_REVENUE","FQ1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4" t="e">
        <f ca="1">_xll.BDH($C$53,"OPER_MARGIN","FQ1 2014","FQ1 2014","Currency=INR","Period=FQ","BEST_FPERIOD_OVERRIDE=FQ","FILING_STATUS=OR","EQY_CONSOLIDATED=Y","FA_ADJUSTED=GAAP","Sort=A","Dates=H","DateFormat=P","Fill=—","Direction=H","UseDPDF=Y")</f>
        <v>#NAME?</v>
      </c>
      <c r="L54" t="e">
        <f ca="1">_xll.BDH($C$53,"INCREMENTAL_OPERATING_MARGIN","FQ1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4" t="e">
        <f ca="1">_xll.BDH($C$53,"PRETAX_INC_TO_NET_SALES","FQ1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4" t="e">
        <f ca="1">_xll.BDH($C$53,"INC_BEF_XO_ITEMS_TO_NET_SALES","FQ1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4" t="e">
        <f ca="1">_xll.BDH($C$53,"PROF_MARGIN","FQ1 2014","FQ1 2014","Currency=INR","Period=FQ","BEST_FPERIOD_OVERRIDE=FQ","FILING_STATUS=OR","EQY_CONSOLIDATED=Y","FA_ADJUSTED=GAAP","Sort=A","Dates=H","DateFormat=P","Fill=—","Direction=H","UseDPDF=Y")</f>
        <v>#NAME?</v>
      </c>
      <c r="P54" t="e">
        <f ca="1">_xll.BDH($C$53,"NET_INCOME_TO_COMMON_MARGIN","FQ1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4" t="e">
        <f ca="1">_xll.BDH($C$53,"EFF_TAX_RATE","FQ1 2014","FQ1 2014","Currency=INR","Period=FQ","BEST_FPERIOD_OVERRIDE=FQ","FILING_STATUS=OR","EQY_CONSOLIDATED=Y","FA_ADJUSTED=GAAP","Sort=A","Dates=H","DateFormat=P","Fill=—","Direction=H","UseDPDF=Y")</f>
        <v>#NAME?</v>
      </c>
      <c r="R54" t="e">
        <f ca="1">_xll.BDH($C$53,"DVD_PAYOUT_RATIO","FQ1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4" t="e">
        <f ca="1">_xll.BDH($C$53,"SUSTAIN_GROWTH_RT","FQ1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4" s="2" t="e">
        <f ca="1">_xll.BDH($C$53,"SALES_GROWTH","FQ1 2014","FQ1 2014","Currency=INR","Period=FQ","BEST_FPERIOD_OVERRIDE=FQ","FILING_STATUS=OR","EQY_CONSOLIDATED=Y","FA_ADJUSTED=GAAP","Sort=A","Dates=H","DateFormat=P","Fill=—","Direction=H","UseDPDF=Y")</f>
        <v>#NAME?</v>
      </c>
      <c r="U54" s="2" t="e">
        <f ca="1">_xll.BDH($C$53,"EBITDA_GROWTH","FQ1 2014","FQ1 2014","Currency=INR","Period=FQ","BEST_FPERIOD_OVERRIDE=FQ","FILING_STATUS=OR","EQY_CONSOLIDATED=Y","FA_ADJUSTED=GAAP","Sort=A","Dates=H","DateFormat=P","Fill=—","Direction=H","UseDPDF=Y")</f>
        <v>#NAME?</v>
      </c>
      <c r="V54" s="2" t="e">
        <f ca="1">_xll.BDH($C$53,"OPER_INC_GROWTH","FQ1 2014","FQ1 2014","Currency=INR","Period=FQ","BEST_FPERIOD_OVERRIDE=FQ","FILING_STATUS=OR","EQY_CONSOLIDATED=Y","FA_ADJUSTED=GAAP","Sort=A","Dates=H","DateFormat=P","Fill=—","Direction=H","UseDPDF=Y")</f>
        <v>#NAME?</v>
      </c>
      <c r="W54" s="2" t="e">
        <f ca="1">_xll.BDH($C$53,"EARN_FOR_COM_GROWTH","FQ1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4" s="2" t="e">
        <f ca="1">_xll.BDH($C$53,"DILUTED_EPS_AFT_XO_ITEMS_GROWTH","FQ1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4" s="2" t="e">
        <f ca="1">_xll.BDH($C$53,"DIVIDEND_PER_SHARE_1_YEAR_GROWTH","FQ1 2014","FQ1 2014","Currency=INR","Period=FQ","BEST_FPERIOD_OVERRIDE=FQ","FILING_STATUS=OR","EQY_CONSOLIDATED=Y","Sort=A","Dates=H","DateFormat=P","Fill=—","Direction=H","UseDPDF=Y")</f>
        <v>#NAME?</v>
      </c>
      <c r="Z54" s="2" t="e">
        <f ca="1">_xll.BDH($C$53,"ACCOUNTS_RECEIVABLE_GROWTH","FQ1 2014","FQ1 2014","Currency=INR","Period=FQ","BEST_FPERIOD_OVERRIDE=FQ","FILING_STATUS=OR","EQY_CONSOLIDATED=Y","Sort=A","Dates=H","DateFormat=P","Fill=—","Direction=H","UseDPDF=Y")</f>
        <v>#NAME?</v>
      </c>
      <c r="AA54" s="2" t="e">
        <f ca="1">_xll.BDH($C$53,"INVENTORY_GROWTH","FQ1 2014","FQ1 2014","Currency=INR","Period=FQ","BEST_FPERIOD_OVERRIDE=FQ","FILING_STATUS=OR","EQY_CONSOLIDATED=Y","Sort=A","Dates=H","DateFormat=P","Fill=—","Direction=H","UseDPDF=Y")</f>
        <v>#NAME?</v>
      </c>
      <c r="AB54" s="2" t="e">
        <f ca="1">_xll.BDH($C$53,"NET_FIXED_ASSETS_1_YEAR_GROWTH","FQ1 2014","FQ1 2014","Currency=INR","Period=FQ","BEST_FPERIOD_OVERRIDE=FQ","FILING_STATUS=OR","EQY_CONSOLIDATED=Y","Sort=A","Dates=H","DateFormat=P","Fill=—","Direction=H","UseDPDF=Y")</f>
        <v>#NAME?</v>
      </c>
      <c r="AC54" s="2" t="e">
        <f ca="1">_xll.BDH($C$53,"ASSET_GROWTH","FQ1 2014","FQ1 2014","Currency=INR","Period=FQ","BEST_FPERIOD_OVERRIDE=FQ","FILING_STATUS=OR","EQY_CONSOLIDATED=Y","Sort=A","Dates=H","DateFormat=P","Fill=—","Direction=H","UseDPDF=Y")</f>
        <v>#NAME?</v>
      </c>
      <c r="AD54" s="2" t="e">
        <f ca="1">_xll.BDH($C$53,"MODIFIED_WORK_CAP_GROWTH","FQ1 2014","FQ1 2014","Currency=INR","Period=FQ","BEST_FPERIOD_OVERRIDE=FQ","FILING_STATUS=OR","EQY_CONSOLIDATED=Y","Sort=A","Dates=H","DateFormat=P","Fill=—","Direction=H","UseDPDF=Y")</f>
        <v>#NAME?</v>
      </c>
      <c r="AE54" s="2" t="e">
        <f ca="1">_xll.BDH($C$53,"WORK_CAP_GROWTH","FQ1 2014","FQ1 2014","Currency=INR","Period=FQ","BEST_FPERIOD_OVERRIDE=FQ","FILING_STATUS=OR","EQY_CONSOLIDATED=Y","Sort=A","Dates=H","DateFormat=P","Fill=—","Direction=H","UseDPDF=Y")</f>
        <v>#NAME?</v>
      </c>
      <c r="AF54" s="2" t="e">
        <f ca="1">_xll.BDH($C$53,"ACCOUNTS_PAYABLE_GROWTH_1YR","FQ1 2014","FQ1 2014","Currency=INR","Period=FQ","BEST_FPERIOD_OVERRIDE=FQ","FILING_STATUS=OR","EQY_CONSOLIDATED=Y","Sort=A","Dates=H","DateFormat=P","Fill=—","Direction=H","UseDPDF=Y")</f>
        <v>#NAME?</v>
      </c>
      <c r="AG54" s="2" t="e">
        <f ca="1">_xll.BDH($C$53,"SHORT_TERM_DEBT_1_YEAR_GROWTH","FQ1 2014","FQ1 2014","Currency=INR","Period=FQ","BEST_FPERIOD_OVERRIDE=FQ","FILING_STATUS=OR","EQY_CONSOLIDATED=Y","Sort=A","Dates=H","DateFormat=P","Fill=—","Direction=H","UseDPDF=Y")</f>
        <v>#NAME?</v>
      </c>
      <c r="AH54" s="2" t="e">
        <f ca="1">_xll.BDH($C$53,"TOTAL_DEBT_1_YEAR_GROWTH","FQ1 2014","FQ1 2014","Currency=INR","Period=FQ","BEST_FPERIOD_OVERRIDE=FQ","FILING_STATUS=OR","EQY_CONSOLIDATED=Y","Sort=A","Dates=H","DateFormat=P","Fill=—","Direction=H","UseDPDF=Y")</f>
        <v>#NAME?</v>
      </c>
      <c r="AI54" s="2" t="e">
        <f ca="1">_xll.BDH($C$53,"TOTAL_EQUITY_1_YEAR_GROWTH","FQ1 2014","FQ1 2014","Currency=INR","Period=FQ","BEST_FPERIOD_OVERRIDE=FQ","FILING_STATUS=OR","EQY_CONSOLIDATED=Y","Sort=A","Dates=H","DateFormat=P","Fill=—","Direction=H","UseDPDF=Y")</f>
        <v>#NAME?</v>
      </c>
      <c r="AJ54" s="2" t="e">
        <f ca="1">_xll.BDH($C$53,"GROWTH_IN_CAP","FQ1 2014","FQ1 2014","Currency=INR","Period=FQ","BEST_FPERIOD_OVERRIDE=FQ","FILING_STATUS=OR","EQY_CONSOLIDATED=Y","Sort=A","Dates=H","DateFormat=P","Fill=—","Direction=H","UseDPDF=Y")</f>
        <v>#NAME?</v>
      </c>
      <c r="AK54" s="2" t="e">
        <f ca="1">_xll.BDH($C$53,"BVPS_GROWTH","FQ1 2014","FQ1 2014","Currency=INR","Period=FQ","BEST_FPERIOD_OVERRIDE=FQ","FILING_STATUS=OR","EQY_CONSOLIDATED=Y","Sort=A","Dates=H","DateFormat=P","Fill=—","Direction=H","UseDPDF=Y")</f>
        <v>#NAME?</v>
      </c>
      <c r="AL54" s="2" t="e">
        <f ca="1">_xll.BDH($C$53,"CASH_FLOW_GROWTH","FQ1 2014","FQ1 2014","Currency=INR","Period=FQ","BEST_FPERIOD_OVERRIDE=FQ","FILING_STATUS=OR","EQY_CONSOLIDATED=Y","Sort=A","Dates=H","DateFormat=P","Fill=—","Direction=H","UseDPDF=Y")</f>
        <v>#NAME?</v>
      </c>
      <c r="AM54" s="2" t="e">
        <f ca="1">_xll.BDH($C$53,"GEO_GROW_NET_SALES","FQ1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4" s="2" t="e">
        <f ca="1">_xll.BDH($C$53,"GEO_GROW_EBITDA","FQ1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4" s="2" t="e">
        <f ca="1">_xll.BDH($C$53,"GEO_GROW_OPER_INC","FQ1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4" s="2" t="e">
        <f ca="1">_xll.BDH($C$53,"NET_INCOME_TO_COMMON_5_YR_GROWTH","FQ1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4" s="2" t="e">
        <f ca="1">_xll.BDH($C$53,"5Y_GEO_GROWTH_DILUTED_EPS","FQ1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4" s="2" t="e">
        <f ca="1">_xll.BDH($C$53,"GEO_GROW_DVD_PER_SH","FQ1 2014","FQ1 2014","Currency=INR","Period=FQ","BEST_FPERIOD_OVERRIDE=FQ","FILING_STATUS=OR","EQY_CONSOLIDATED=Y","Sort=A","Dates=H","DateFormat=P","Fill=—","Direction=H","UseDPDF=Y")</f>
        <v>#NAME?</v>
      </c>
      <c r="AS54" s="2" t="e">
        <f ca="1">_xll.BDH($C$53,"ACCOUNTS_RECEIVABLE_5_YR_GROWTH","FQ1 2014","FQ1 2014","Currency=INR","Period=FQ","BEST_FPERIOD_OVERRIDE=FQ","FILING_STATUS=OR","EQY_CONSOLIDATED=Y","Sort=A","Dates=H","DateFormat=P","Fill=—","Direction=H","UseDPDF=Y")</f>
        <v>#NAME?</v>
      </c>
      <c r="AT54" s="2" t="e">
        <f ca="1">_xll.BDH($C$53,"INVENTORY_5_YEAR_GROWTH","FQ1 2014","FQ1 2014","Currency=INR","Period=FQ","BEST_FPERIOD_OVERRIDE=FQ","FILING_STATUS=OR","EQY_CONSOLIDATED=Y","Sort=A","Dates=H","DateFormat=P","Fill=—","Direction=H","UseDPDF=Y")</f>
        <v>#NAME?</v>
      </c>
      <c r="AU54" s="2" t="e">
        <f ca="1">_xll.BDH($C$53,"NET_FIXED_ASSETS_5_YEAR_GROWTH","FQ1 2014","FQ1 2014","Currency=INR","Period=FQ","BEST_FPERIOD_OVERRIDE=FQ","FILING_STATUS=OR","EQY_CONSOLIDATED=Y","Sort=A","Dates=H","DateFormat=P","Fill=—","Direction=H","UseDPDF=Y")</f>
        <v>#NAME?</v>
      </c>
      <c r="AV54" s="2" t="e">
        <f ca="1">_xll.BDH($C$53,"GEO_GROW_TOT_ASSET","FQ1 2014","FQ1 2014","Currency=INR","Period=FQ","BEST_FPERIOD_OVERRIDE=FQ","FILING_STATUS=OR","EQY_CONSOLIDATED=Y","Sort=A","Dates=H","DateFormat=P","Fill=—","Direction=H","UseDPDF=Y")</f>
        <v>#NAME?</v>
      </c>
      <c r="AW54" s="2" t="e">
        <f ca="1">_xll.BDH($C$53,"MODIFIED_WORKING_CPTL_5YR_GRWTH","FQ1 2014","FQ1 2014","Currency=INR","Period=FQ","BEST_FPERIOD_OVERRIDE=FQ","FILING_STATUS=OR","EQY_CONSOLIDATED=Y","Sort=A","Dates=H","DateFormat=P","Fill=—","Direction=H","UseDPDF=Y")</f>
        <v>#NAME?</v>
      </c>
      <c r="AX54" s="2" t="e">
        <f ca="1">_xll.BDH($C$53,"WORKING_CAPITAL_5_YEAR_GROWTH","FQ1 2014","FQ1 2014","Currency=INR","Period=FQ","BEST_FPERIOD_OVERRIDE=FQ","FILING_STATUS=OR","EQY_CONSOLIDATED=Y","Sort=A","Dates=H","DateFormat=P","Fill=—","Direction=H","UseDPDF=Y")</f>
        <v>#NAME?</v>
      </c>
      <c r="AY54" s="2" t="e">
        <f ca="1">_xll.BDH($C$53,"ACCOUNTS_PAYABLE_5_YEAR_GROWTH","FQ1 2014","FQ1 2014","Currency=INR","Period=FQ","BEST_FPERIOD_OVERRIDE=FQ","FILING_STATUS=OR","EQY_CONSOLIDATED=Y","Sort=A","Dates=H","DateFormat=P","Fill=—","Direction=H","UseDPDF=Y")</f>
        <v>#NAME?</v>
      </c>
      <c r="AZ54" s="2" t="e">
        <f ca="1">_xll.BDH($C$53,"SHORT_TERM_DEBT_5_YEAR_GROWTH","FQ1 2014","FQ1 2014","Currency=INR","Period=FQ","BEST_FPERIOD_OVERRIDE=FQ","FILING_STATUS=OR","EQY_CONSOLIDATED=Y","Sort=A","Dates=H","DateFormat=P","Fill=—","Direction=H","UseDPDF=Y")</f>
        <v>#NAME?</v>
      </c>
      <c r="BA54" s="2" t="e">
        <f ca="1">_xll.BDH($C$53,"TOTAL_DEBT_5_YEAR_GROWTH","FQ1 2014","FQ1 2014","Currency=INR","Period=FQ","BEST_FPERIOD_OVERRIDE=FQ","FILING_STATUS=OR","EQY_CONSOLIDATED=Y","Sort=A","Dates=H","DateFormat=P","Fill=—","Direction=H","UseDPDF=Y")</f>
        <v>#NAME?</v>
      </c>
      <c r="BB54" s="2" t="e">
        <f ca="1">_xll.BDH($C$53,"GEO_GROW_TOT_SHRHLDR_EQY","FQ1 2014","FQ1 2014","Currency=INR","Period=FQ","BEST_FPERIOD_OVERRIDE=FQ","FILING_STATUS=OR","EQY_CONSOLIDATED=Y","Sort=A","Dates=H","DateFormat=P","Fill=—","Direction=H","UseDPDF=Y")</f>
        <v>#NAME?</v>
      </c>
      <c r="BC54" s="2" t="e">
        <f ca="1">_xll.BDH($C$53,"TOTAL_CAPITAL_5_YEAR_GROWTH","FQ1 2014","FQ1 2014","Currency=INR","Period=FQ","BEST_FPERIOD_OVERRIDE=FQ","FILING_STATUS=OR","EQY_CONSOLIDATED=Y","Sort=A","Dates=H","DateFormat=P","Fill=—","Direction=H","UseDPDF=Y")</f>
        <v>#NAME?</v>
      </c>
      <c r="BD54" s="2" t="e">
        <f ca="1">_xll.BDH($C$53,"GEO_GROW_BOOK_VAL","FQ1 2014","FQ1 2014","Currency=INR","Period=FQ","BEST_FPERIOD_OVERRIDE=FQ","FILING_STATUS=OR","EQY_CONSOLIDATED=Y","Sort=A","Dates=H","DateFormat=P","Fill=—","Direction=H","UseDPDF=Y")</f>
        <v>#NAME?</v>
      </c>
      <c r="BE54" s="2" t="e">
        <f ca="1">_xll.BDH($C$53,"GEO_GROW_CASH_OPER_ACT","FQ1 2014","FQ1 2014","Currency=INR","Period=FQ","BEST_FPERIOD_OVERRIDE=FQ","FILING_STATUS=OR","EQY_CONSOLIDATED=Y","Sort=A","Dates=H","DateFormat=P","Fill=—","Direction=H","UseDPDF=Y")</f>
        <v>#NAME?</v>
      </c>
      <c r="BF54" s="2" t="e">
        <f ca="1">_xll.BDH($C$53,"REVENUE_SEQUENTIAL_GROWTH","FQ1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4" s="2" t="e">
        <f ca="1">_xll.BDH($C$53,"EBITDA_SEQUENTIAL_GROWTH","FQ1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4" s="2" t="e">
        <f ca="1">_xll.BDH($C$53,"OPERATING_INCOME_SEQ_GROWTH","FQ1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4" s="2" t="e">
        <f ca="1">_xll.BDH($C$53,"NET_INCOME_TO_COMMON_SEQ_GROWTH","FQ1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4" s="2" t="e">
        <f ca="1">_xll.BDH($C$53,"EPS_DILUTED_SEQUENTIAL_GROWTH","FQ1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4" s="2" t="e">
        <f ca="1">_xll.BDH($C$53,"DPS_SEQUENTIAL_GROWTH","FQ1 2014","FQ1 2014","Currency=INR","Period=FQ","BEST_FPERIOD_OVERRIDE=FQ","FILING_STATUS=OR","EQY_CONSOLIDATED=Y","Sort=A","Dates=H","DateFormat=P","Fill=—","Direction=H","UseDPDF=Y")</f>
        <v>#NAME?</v>
      </c>
      <c r="BL54" s="2" t="e">
        <f ca="1">_xll.BDH($C$53,"ACCOUNTS_RECEIVABLE_SEQ_GROWTH","FQ1 2014","FQ1 2014","Currency=INR","Period=FQ","BEST_FPERIOD_OVERRIDE=FQ","FILING_STATUS=OR","EQY_CONSOLIDATED=Y","Sort=A","Dates=H","DateFormat=P","Fill=—","Direction=H","UseDPDF=Y")</f>
        <v>#NAME?</v>
      </c>
      <c r="BM54" s="2" t="e">
        <f ca="1">_xll.BDH($C$53,"INVENTORY_SEQUENTIAL_GROWTH","FQ1 2014","FQ1 2014","Currency=INR","Period=FQ","BEST_FPERIOD_OVERRIDE=FQ","FILING_STATUS=OR","EQY_CONSOLIDATED=Y","Sort=A","Dates=H","DateFormat=P","Fill=—","Direction=H","UseDPDF=Y")</f>
        <v>#NAME?</v>
      </c>
      <c r="BN54" s="2" t="e">
        <f ca="1">_xll.BDH($C$53,"FIXED_ASSETS_SEQUENTIAL_GROWTH","FQ1 2014","FQ1 2014","Currency=INR","Period=FQ","BEST_FPERIOD_OVERRIDE=FQ","FILING_STATUS=OR","EQY_CONSOLIDATED=Y","Sort=A","Dates=H","DateFormat=P","Fill=—","Direction=H","UseDPDF=Y")</f>
        <v>#NAME?</v>
      </c>
      <c r="BO54" s="2" t="e">
        <f ca="1">_xll.BDH($C$53,"TOTAL_ASSETS_SEQUENTIAL_GROWTH","FQ1 2014","FQ1 2014","Currency=INR","Period=FQ","BEST_FPERIOD_OVERRIDE=FQ","FILING_STATUS=OR","EQY_CONSOLIDATED=Y","Sort=A","Dates=H","DateFormat=P","Fill=—","Direction=H","UseDPDF=Y")</f>
        <v>#NAME?</v>
      </c>
      <c r="BP54" s="2" t="e">
        <f ca="1">_xll.BDH($C$53,"MODIFIED_WORKING_CPTL_SEQ_GRWTH","FQ1 2014","FQ1 2014","Currency=INR","Period=FQ","BEST_FPERIOD_OVERRIDE=FQ","FILING_STATUS=OR","EQY_CONSOLIDATED=Y","Sort=A","Dates=H","DateFormat=P","Fill=—","Direction=H","UseDPDF=Y")</f>
        <v>#NAME?</v>
      </c>
      <c r="BQ54" s="2" t="e">
        <f ca="1">_xll.BDH($C$53,"WORKING_CAPITAL_SEQ_GROWTH","FQ1 2014","FQ1 2014","Currency=INR","Period=FQ","BEST_FPERIOD_OVERRIDE=FQ","FILING_STATUS=OR","EQY_CONSOLIDATED=Y","Sort=A","Dates=H","DateFormat=P","Fill=—","Direction=H","UseDPDF=Y")</f>
        <v>#NAME?</v>
      </c>
      <c r="BR54" s="2" t="e">
        <f ca="1">_xll.BDH($C$53,"ACCOUNTS_PAYABLE_SEQ_GROWTH","FQ1 2014","FQ1 2014","Currency=INR","Period=FQ","BEST_FPERIOD_OVERRIDE=FQ","FILING_STATUS=OR","EQY_CONSOLIDATED=Y","Sort=A","Dates=H","DateFormat=P","Fill=—","Direction=H","UseDPDF=Y")</f>
        <v>#NAME?</v>
      </c>
      <c r="BS54" s="2" t="e">
        <f ca="1">_xll.BDH($C$53,"ST_DEBT_SEQUENTIAL_GROWTH","FQ1 2014","FQ1 2014","Currency=INR","Period=FQ","BEST_FPERIOD_OVERRIDE=FQ","FILING_STATUS=OR","EQY_CONSOLIDATED=Y","Sort=A","Dates=H","DateFormat=P","Fill=—","Direction=H","UseDPDF=Y")</f>
        <v>#NAME?</v>
      </c>
      <c r="BT54" s="2" t="e">
        <f ca="1">_xll.BDH($C$53,"TOTAL_DEBT_SEQUENTIAL_GROWTH","FQ1 2014","FQ1 2014","Currency=INR","Period=FQ","BEST_FPERIOD_OVERRIDE=FQ","FILING_STATUS=OR","EQY_CONSOLIDATED=Y","Sort=A","Dates=H","DateFormat=P","Fill=—","Direction=H","UseDPDF=Y")</f>
        <v>#NAME?</v>
      </c>
      <c r="BU54" s="2" t="e">
        <f ca="1">_xll.BDH($C$53,"TOTAL_EQUITY_SEQUENTIAL_GROWTH","FQ1 2014","FQ1 2014","Currency=INR","Period=FQ","BEST_FPERIOD_OVERRIDE=FQ","FILING_STATUS=OR","EQY_CONSOLIDATED=Y","Sort=A","Dates=H","DateFormat=P","Fill=—","Direction=H","UseDPDF=Y")</f>
        <v>#NAME?</v>
      </c>
      <c r="BV54" s="2" t="e">
        <f ca="1">_xll.BDH($C$53,"TOTAL_CAPITAL_SEQUENTIAL_GROWTH","FQ1 2014","FQ1 2014","Currency=INR","Period=FQ","BEST_FPERIOD_OVERRIDE=FQ","FILING_STATUS=OR","EQY_CONSOLIDATED=Y","Sort=A","Dates=H","DateFormat=P","Fill=—","Direction=H","UseDPDF=Y")</f>
        <v>#NAME?</v>
      </c>
      <c r="BW54" s="2" t="e">
        <f ca="1">_xll.BDH($C$53,"BPS_SEQUENTIAL_GROWTH","FQ1 2014","FQ1 2014","Currency=INR","Period=FQ","BEST_FPERIOD_OVERRIDE=FQ","FILING_STATUS=OR","EQY_CONSOLIDATED=Y","Sort=A","Dates=H","DateFormat=P","Fill=—","Direction=H","UseDPDF=Y")</f>
        <v>#NAME?</v>
      </c>
      <c r="BX54" s="2" t="e">
        <f ca="1">_xll.BDH($C$53,"CFO_SEQUENTIAL_GROWTH","FQ1 2014","FQ1 2014","Currency=INR","Period=FQ","BEST_FPERIOD_OVERRIDE=FQ","FILING_STATUS=OR","EQY_CONSOLIDATED=Y","Sort=A","Dates=H","DateFormat=P","Fill=—","Direction=H","UseDPDF=Y")</f>
        <v>#NAME?</v>
      </c>
      <c r="BY54" s="3" t="e">
        <f ca="1">_xll.BDH($C$53,"SHORT_AND_LONG_TERM_DEBT","FQ1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4" s="3" t="e">
        <f ca="1">_xll.BDH($C$53,"BS_ST_BORROW","FQ1 2014","FQ1 2014","Currency=INR","Period=FQ","BEST_FPERIOD_OVERRIDE=FQ","FILING_STATUS=OR","EQY_CONSOLIDATED=Y","SCALING_FORMAT=MLN","Sort=A","Dates=H","DateFormat=P","Fill=—","Direction=H","UseDPDF=Y")</f>
        <v>#NAME?</v>
      </c>
      <c r="CA54" s="3" t="e">
        <f ca="1">_xll.BDH($C$53,"BS_LT_BORROW","FQ1 2014","FQ1 2014","Currency=INR","Period=FQ","BEST_FPERIOD_OVERRIDE=FQ","FILING_STATUS=OR","EQY_CONSOLIDATED=Y","SCALING_FORMAT=MLN","Sort=A","Dates=H","DateFormat=P","Fill=—","Direction=H","UseDPDF=Y")</f>
        <v>#NAME?</v>
      </c>
      <c r="CB54" s="2" t="e">
        <f ca="1">_xll.BDH($C$53,"TOT_DEBT_TO_EBITDA","FQ1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4" s="2" t="e">
        <f ca="1">_xll.BDH($C$53,"NET_DEBT_TO_EBITDA","FQ1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4" s="2" t="e">
        <f ca="1">_xll.BDH($C$53,"TOTAL_DEBT_TO_EBIT","FQ1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4" s="2" t="e">
        <f ca="1">_xll.BDH($C$53,"NET_DEBT_TO_EBIT","FQ1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4" s="2" t="e">
        <f ca="1">_xll.BDH($C$53,"EBITDA_TO_INTEREST_EXPN","FQ1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4" s="2" t="e">
        <f ca="1">_xll.BDH($C$53,"COM_EQY_TO_TOT_ASSET","FQ1 2014","FQ1 2014","Currency=INR","Period=FQ","BEST_FPERIOD_OVERRIDE=FQ","FILING_STATUS=OR","EQY_CONSOLIDATED=Y","Sort=A","Dates=H","DateFormat=P","Fill=—","Direction=H","UseDPDF=Y")</f>
        <v>#NAME?</v>
      </c>
      <c r="CH54" s="2" t="e">
        <f ca="1">_xll.BDH($C$53,"LT_DEBT_TO_TOT_EQY","FQ1 2014","FQ1 2014","Currency=INR","Period=FQ","BEST_FPERIOD_OVERRIDE=FQ","FILING_STATUS=OR","EQY_CONSOLIDATED=Y","Sort=A","Dates=H","DateFormat=P","Fill=—","Direction=H","UseDPDF=Y")</f>
        <v>#NAME?</v>
      </c>
      <c r="CI54" s="2" t="e">
        <f ca="1">_xll.BDH($C$53,"LT_DEBT_TO_TOT_CAP","FQ1 2014","FQ1 2014","Currency=INR","Period=FQ","BEST_FPERIOD_OVERRIDE=FQ","FILING_STATUS=OR","EQY_CONSOLIDATED=Y","Sort=A","Dates=H","DateFormat=P","Fill=—","Direction=H","UseDPDF=Y")</f>
        <v>#NAME?</v>
      </c>
      <c r="CJ54" s="2" t="e">
        <f ca="1">_xll.BDH($C$53,"LT_DEBT_TO_TOT_ASSET","FQ1 2014","FQ1 2014","Currency=INR","Period=FQ","BEST_FPERIOD_OVERRIDE=FQ","FILING_STATUS=OR","EQY_CONSOLIDATED=Y","Sort=A","Dates=H","DateFormat=P","Fill=—","Direction=H","UseDPDF=Y")</f>
        <v>#NAME?</v>
      </c>
      <c r="CK54" s="2" t="e">
        <f ca="1">_xll.BDH($C$53,"TOT_DEBT_TO_TOT_EQY","FQ1 2014","FQ1 2014","Currency=INR","Period=FQ","BEST_FPERIOD_OVERRIDE=FQ","FILING_STATUS=OR","EQY_CONSOLIDATED=Y","Sort=A","Dates=H","DateFormat=P","Fill=—","Direction=H","UseDPDF=Y")</f>
        <v>#NAME?</v>
      </c>
      <c r="CL54" s="2" t="e">
        <f ca="1">_xll.BDH($C$53,"TOT_DEBT_TO_TOT_CAP","FQ1 2014","FQ1 2014","Currency=INR","Period=FQ","BEST_FPERIOD_OVERRIDE=FQ","FILING_STATUS=OR","EQY_CONSOLIDATED=Y","Sort=A","Dates=H","DateFormat=P","Fill=—","Direction=H","UseDPDF=Y")</f>
        <v>#NAME?</v>
      </c>
      <c r="CM54" s="2" t="e">
        <f ca="1">_xll.BDH($C$53,"TOT_DEBT_TO_TOT_ASSET","FQ1 2014","FQ1 2014","Currency=INR","Period=FQ","BEST_FPERIOD_OVERRIDE=FQ","FILING_STATUS=OR","EQY_CONSOLIDATED=Y","Sort=A","Dates=H","DateFormat=P","Fill=—","Direction=H","UseDPDF=Y")</f>
        <v>#NAME?</v>
      </c>
      <c r="CN54" s="2" t="e">
        <f ca="1">_xll.BDH($C$53,"NET_DEBT_TO_SHRHLDR_EQTY","FQ1 2014","FQ1 2014","Currency=INR","Period=FQ","BEST_FPERIOD_OVERRIDE=FQ","FILING_STATUS=OR","EQY_CONSOLIDATED=Y","Sort=A","Dates=H","DateFormat=P","Fill=—","Direction=H","UseDPDF=Y")</f>
        <v>#NAME?</v>
      </c>
      <c r="CO54" s="2" t="e">
        <f ca="1">_xll.BDH($C$53,"NET_DEBT_%_CAPITAL","FQ1 2014","FQ1 2014","Currency=INR","Period=FQ","BEST_FPERIOD_OVERRIDE=FQ","FILING_STATUS=OR","EQY_CONSOLIDATED=Y","Sort=A","Dates=H","DateFormat=P","Fill=—","Direction=H","UseDPDF=Y")</f>
        <v>#NAME?</v>
      </c>
      <c r="CP54" s="3" t="e">
        <f ca="1">_xll.BDH($C$53,"EBITDA","FQ1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4" s="3" t="e">
        <f ca="1">_xll.BDH($C$53,"EBITDA_AFTER_CAPEX","FQ1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4" s="3" t="e">
        <f ca="1">_xll.BDH($C$53,"IS_OPER_INC","FQ1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4" s="2" t="e">
        <f ca="1">_xll.BDH($C$53,"CASH_RATIO","FQ1 2014","FQ1 2014","Currency=INR","Period=FQ","BEST_FPERIOD_OVERRIDE=FQ","FILING_STATUS=OR","EQY_CONSOLIDATED=Y","Sort=A","Dates=H","DateFormat=P","Fill=—","Direction=H","UseDPDF=Y")</f>
        <v>#NAME?</v>
      </c>
      <c r="CT54" s="2" t="e">
        <f ca="1">_xll.BDH($C$53,"CUR_RATIO","FQ1 2014","FQ1 2014","Currency=INR","Period=FQ","BEST_FPERIOD_OVERRIDE=FQ","FILING_STATUS=OR","EQY_CONSOLIDATED=Y","Sort=A","Dates=H","DateFormat=P","Fill=—","Direction=H","UseDPDF=Y")</f>
        <v>#NAME?</v>
      </c>
      <c r="CU54" s="2" t="e">
        <f ca="1">_xll.BDH($C$53,"QUICK_RATIO","FQ1 2014","FQ1 2014","Currency=INR","Period=FQ","BEST_FPERIOD_OVERRIDE=FQ","FILING_STATUS=OR","EQY_CONSOLIDATED=Y","Sort=A","Dates=H","DateFormat=P","Fill=—","Direction=H","UseDPDF=Y")</f>
        <v>#NAME?</v>
      </c>
      <c r="CV54" s="2" t="e">
        <f ca="1">_xll.BDH($C$53,"ALTMAN_Z_SCORE","FQ1 2014","FQ1 2014","Currency=INR","Period=FQ","BEST_FPERIOD_OVERRIDE=FQ","FILING_STATUS=OR","EQY_CONSOLIDATED=Y","Sort=A","Dates=H","DateFormat=P","Fill=—","Direction=H","UseDPDF=Y")</f>
        <v>#NAME?</v>
      </c>
      <c r="CW54" s="4" t="e">
        <f ca="1">_xll.BDH($C$53,"ACCT_RCV_TURN","FQ1 2014","FQ1 2014","Currency=INR","Period=FQ","BEST_FPERIOD_OVERRIDE=FQ","FILING_STATUS=OR","EQY_CONSOLIDATED=Y","FA_ADJUSTED=GAAP","Sort=A","Dates=H","DateFormat=P","Fill=—","Direction=H","UseDPDF=Y")</f>
        <v>#NAME?</v>
      </c>
      <c r="CX54" s="2" t="e">
        <f ca="1">_xll.BDH($C$53,"ACCT_RCV_DAYS","FQ1 2014","FQ1 2014","Currency=INR","Period=FQ","BEST_FPERIOD_OVERRIDE=FQ","FILING_STATUS=OR","EQY_CONSOLIDATED=Y","FA_ADJUSTED=GAAP","Sort=A","Dates=H","DateFormat=P","Fill=—","Direction=H","UseDPDF=Y")</f>
        <v>#NAME?</v>
      </c>
      <c r="CY54" s="4" t="e">
        <f ca="1">_xll.BDH($C$53,"INVENT_TURN","FQ1 2014","FQ1 2014","Currency=INR","Period=FQ","BEST_FPERIOD_OVERRIDE=FQ","FILING_STATUS=OR","EQY_CONSOLIDATED=Y","FA_ADJUSTED=GAAP","Sort=A","Dates=H","DateFormat=P","Fill=—","Direction=H","UseDPDF=Y")</f>
        <v>#NAME?</v>
      </c>
      <c r="CZ54" s="2" t="e">
        <f ca="1">_xll.BDH($C$53,"INVENT_DAYS","FQ1 2014","FQ1 2014","Currency=INR","Period=FQ","BEST_FPERIOD_OVERRIDE=FQ","FILING_STATUS=OR","EQY_CONSOLIDATED=Y","FA_ADJUSTED=GAAP","Sort=A","Dates=H","DateFormat=P","Fill=—","Direction=H","UseDPDF=Y")</f>
        <v>#NAME?</v>
      </c>
      <c r="DA54" s="4" t="e">
        <f ca="1">_xll.BDH($C$53,"ACCOUNTS_PAYABLE_TURNOVER","FQ1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4" s="2" t="e">
        <f ca="1">_xll.BDH($C$53,"ACCOUNTS_PAYABLE_TURNOVER_DAYS","FQ1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4" s="4" t="e">
        <f ca="1">_xll.BDH($C$53,"CASH_CONVERSION_CYCLE","FQ1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4" s="4" t="e">
        <f ca="1">_xll.BDH($C$53,"INV_TO_CASH_DAYS","FQ1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4" s="5" t="e">
        <f ca="1">_xll.BDH($C$53,"BS_INVENTORIES","FQ1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4" s="3" t="e">
        <f ca="1">_xll.BDH($C$53,"INVTRY_RAW_MATERIALS","FQ1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4" s="3" t="e">
        <f ca="1">_xll.BDH($C$53,"INVTRY_IN_PROGRESS","FQ1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4" s="3" t="e">
        <f ca="1">_xll.BDH($C$53,"INVTRY_FINISHED_GOODS","FQ1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4" s="3" t="e">
        <f ca="1">_xll.BDH($C$53,"BS_OTHER_INV","FQ1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" spans="1:113" x14ac:dyDescent="0.3">
      <c r="A55" s="6"/>
      <c r="B55" s="6"/>
      <c r="C55" s="6"/>
      <c r="D55" s="6"/>
      <c r="E55" t="s">
        <v>79</v>
      </c>
      <c r="F55" t="e">
        <f ca="1">_xll.BDH($C$53,"RETURN_COM_EQY","FQ2 2014","FQ2 2014","Currency=INR","Period=FQ","BEST_FPERIOD_OVERRIDE=FQ","FILING_STATUS=OR","EQY_CONSOLIDATED=Y","FA_ADJUSTED=GAAP","Sort=A","Dates=H","DateFormat=P","Fill=—","Direction=H","UseDPDF=Y")</f>
        <v>#NAME?</v>
      </c>
      <c r="G55" t="e">
        <f ca="1">_xll.BDH($C$53,"RETURN_ON_ASSET","FQ2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" t="e">
        <f ca="1">_xll.BDH($C$53,"RETURN_ON_CAP","FQ2 2014","FQ2 2014","Currency=INR","Period=FQ","BEST_FPERIOD_OVERRIDE=FQ","FILING_STATUS=OR","EQY_CONSOLIDATED=Y","FA_ADJUSTED=GAAP","Sort=A","Dates=H","DateFormat=P","Fill=—","Direction=H","UseDPDF=Y")</f>
        <v>#NAME?</v>
      </c>
      <c r="I55" t="e">
        <f ca="1">_xll.BDH($C$53,"RETURN_ON_INV_CAPITAL","FQ2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" t="e">
        <f ca="1">_xll.BDH($C$53,"EBITDA_TO_REVENUE","FQ2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" t="e">
        <f ca="1">_xll.BDH($C$53,"OPER_MARGIN","FQ2 2014","FQ2 2014","Currency=INR","Period=FQ","BEST_FPERIOD_OVERRIDE=FQ","FILING_STATUS=OR","EQY_CONSOLIDATED=Y","FA_ADJUSTED=GAAP","Sort=A","Dates=H","DateFormat=P","Fill=—","Direction=H","UseDPDF=Y")</f>
        <v>#NAME?</v>
      </c>
      <c r="L55" t="e">
        <f ca="1">_xll.BDH($C$53,"INCREMENTAL_OPERATING_MARGIN","FQ2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" t="e">
        <f ca="1">_xll.BDH($C$53,"PRETAX_INC_TO_NET_SALES","FQ2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" t="e">
        <f ca="1">_xll.BDH($C$53,"INC_BEF_XO_ITEMS_TO_NET_SALES","FQ2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" t="e">
        <f ca="1">_xll.BDH($C$53,"PROF_MARGIN","FQ2 2014","FQ2 2014","Currency=INR","Period=FQ","BEST_FPERIOD_OVERRIDE=FQ","FILING_STATUS=OR","EQY_CONSOLIDATED=Y","FA_ADJUSTED=GAAP","Sort=A","Dates=H","DateFormat=P","Fill=—","Direction=H","UseDPDF=Y")</f>
        <v>#NAME?</v>
      </c>
      <c r="P55" t="e">
        <f ca="1">_xll.BDH($C$53,"NET_INCOME_TO_COMMON_MARGIN","FQ2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" t="e">
        <f ca="1">_xll.BDH($C$53,"EFF_TAX_RATE","FQ2 2014","FQ2 2014","Currency=INR","Period=FQ","BEST_FPERIOD_OVERRIDE=FQ","FILING_STATUS=OR","EQY_CONSOLIDATED=Y","FA_ADJUSTED=GAAP","Sort=A","Dates=H","DateFormat=P","Fill=—","Direction=H","UseDPDF=Y")</f>
        <v>#NAME?</v>
      </c>
      <c r="R55" t="e">
        <f ca="1">_xll.BDH($C$53,"DVD_PAYOUT_RATIO","FQ2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" t="e">
        <f ca="1">_xll.BDH($C$53,"SUSTAIN_GROWTH_RT","FQ2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" s="2" t="e">
        <f ca="1">_xll.BDH($C$53,"SALES_GROWTH","FQ2 2014","FQ2 2014","Currency=INR","Period=FQ","BEST_FPERIOD_OVERRIDE=FQ","FILING_STATUS=OR","EQY_CONSOLIDATED=Y","FA_ADJUSTED=GAAP","Sort=A","Dates=H","DateFormat=P","Fill=—","Direction=H","UseDPDF=Y")</f>
        <v>#NAME?</v>
      </c>
      <c r="U55" s="2" t="e">
        <f ca="1">_xll.BDH($C$53,"EBITDA_GROWTH","FQ2 2014","FQ2 2014","Currency=INR","Period=FQ","BEST_FPERIOD_OVERRIDE=FQ","FILING_STATUS=OR","EQY_CONSOLIDATED=Y","FA_ADJUSTED=GAAP","Sort=A","Dates=H","DateFormat=P","Fill=—","Direction=H","UseDPDF=Y")</f>
        <v>#NAME?</v>
      </c>
      <c r="V55" s="2" t="e">
        <f ca="1">_xll.BDH($C$53,"OPER_INC_GROWTH","FQ2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" s="2" t="e">
        <f ca="1">_xll.BDH($C$53,"EARN_FOR_COM_GROWTH","FQ2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" s="2" t="e">
        <f ca="1">_xll.BDH($C$53,"DILUTED_EPS_AFT_XO_ITEMS_GROWTH","FQ2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" s="2" t="e">
        <f ca="1">_xll.BDH($C$53,"DIVIDEND_PER_SHARE_1_YEAR_GROWTH","FQ2 2014","FQ2 2014","Currency=INR","Period=FQ","BEST_FPERIOD_OVERRIDE=FQ","FILING_STATUS=OR","EQY_CONSOLIDATED=Y","Sort=A","Dates=H","DateFormat=P","Fill=—","Direction=H","UseDPDF=Y")</f>
        <v>#NAME?</v>
      </c>
      <c r="Z55" s="2" t="e">
        <f ca="1">_xll.BDH($C$53,"ACCOUNTS_RECEIVABLE_GROWTH","FQ2 2014","FQ2 2014","Currency=INR","Period=FQ","BEST_FPERIOD_OVERRIDE=FQ","FILING_STATUS=OR","EQY_CONSOLIDATED=Y","Sort=A","Dates=H","DateFormat=P","Fill=—","Direction=H","UseDPDF=Y")</f>
        <v>#NAME?</v>
      </c>
      <c r="AA55" s="2" t="e">
        <f ca="1">_xll.BDH($C$53,"INVENTORY_GROWTH","FQ2 2014","FQ2 2014","Currency=INR","Period=FQ","BEST_FPERIOD_OVERRIDE=FQ","FILING_STATUS=OR","EQY_CONSOLIDATED=Y","Sort=A","Dates=H","DateFormat=P","Fill=—","Direction=H","UseDPDF=Y")</f>
        <v>#NAME?</v>
      </c>
      <c r="AB55" s="2" t="e">
        <f ca="1">_xll.BDH($C$53,"NET_FIXED_ASSETS_1_YEAR_GROWTH","FQ2 2014","FQ2 2014","Currency=INR","Period=FQ","BEST_FPERIOD_OVERRIDE=FQ","FILING_STATUS=OR","EQY_CONSOLIDATED=Y","Sort=A","Dates=H","DateFormat=P","Fill=—","Direction=H","UseDPDF=Y")</f>
        <v>#NAME?</v>
      </c>
      <c r="AC55" s="2" t="e">
        <f ca="1">_xll.BDH($C$53,"ASSET_GROWTH","FQ2 2014","FQ2 2014","Currency=INR","Period=FQ","BEST_FPERIOD_OVERRIDE=FQ","FILING_STATUS=OR","EQY_CONSOLIDATED=Y","Sort=A","Dates=H","DateFormat=P","Fill=—","Direction=H","UseDPDF=Y")</f>
        <v>#NAME?</v>
      </c>
      <c r="AD55" s="2" t="e">
        <f ca="1">_xll.BDH($C$53,"MODIFIED_WORK_CAP_GROWTH","FQ2 2014","FQ2 2014","Currency=INR","Period=FQ","BEST_FPERIOD_OVERRIDE=FQ","FILING_STATUS=OR","EQY_CONSOLIDATED=Y","Sort=A","Dates=H","DateFormat=P","Fill=—","Direction=H","UseDPDF=Y")</f>
        <v>#NAME?</v>
      </c>
      <c r="AE55" s="2" t="e">
        <f ca="1">_xll.BDH($C$53,"WORK_CAP_GROWTH","FQ2 2014","FQ2 2014","Currency=INR","Period=FQ","BEST_FPERIOD_OVERRIDE=FQ","FILING_STATUS=OR","EQY_CONSOLIDATED=Y","Sort=A","Dates=H","DateFormat=P","Fill=—","Direction=H","UseDPDF=Y")</f>
        <v>#NAME?</v>
      </c>
      <c r="AF55" s="2" t="e">
        <f ca="1">_xll.BDH($C$53,"ACCOUNTS_PAYABLE_GROWTH_1YR","FQ2 2014","FQ2 2014","Currency=INR","Period=FQ","BEST_FPERIOD_OVERRIDE=FQ","FILING_STATUS=OR","EQY_CONSOLIDATED=Y","Sort=A","Dates=H","DateFormat=P","Fill=—","Direction=H","UseDPDF=Y")</f>
        <v>#NAME?</v>
      </c>
      <c r="AG55" s="2" t="e">
        <f ca="1">_xll.BDH($C$53,"SHORT_TERM_DEBT_1_YEAR_GROWTH","FQ2 2014","FQ2 2014","Currency=INR","Period=FQ","BEST_FPERIOD_OVERRIDE=FQ","FILING_STATUS=OR","EQY_CONSOLIDATED=Y","Sort=A","Dates=H","DateFormat=P","Fill=—","Direction=H","UseDPDF=Y")</f>
        <v>#NAME?</v>
      </c>
      <c r="AH55" s="2" t="e">
        <f ca="1">_xll.BDH($C$53,"TOTAL_DEBT_1_YEAR_GROWTH","FQ2 2014","FQ2 2014","Currency=INR","Period=FQ","BEST_FPERIOD_OVERRIDE=FQ","FILING_STATUS=OR","EQY_CONSOLIDATED=Y","Sort=A","Dates=H","DateFormat=P","Fill=—","Direction=H","UseDPDF=Y")</f>
        <v>#NAME?</v>
      </c>
      <c r="AI55" s="2" t="e">
        <f ca="1">_xll.BDH($C$53,"TOTAL_EQUITY_1_YEAR_GROWTH","FQ2 2014","FQ2 2014","Currency=INR","Period=FQ","BEST_FPERIOD_OVERRIDE=FQ","FILING_STATUS=OR","EQY_CONSOLIDATED=Y","Sort=A","Dates=H","DateFormat=P","Fill=—","Direction=H","UseDPDF=Y")</f>
        <v>#NAME?</v>
      </c>
      <c r="AJ55" s="2" t="e">
        <f ca="1">_xll.BDH($C$53,"GROWTH_IN_CAP","FQ2 2014","FQ2 2014","Currency=INR","Period=FQ","BEST_FPERIOD_OVERRIDE=FQ","FILING_STATUS=OR","EQY_CONSOLIDATED=Y","Sort=A","Dates=H","DateFormat=P","Fill=—","Direction=H","UseDPDF=Y")</f>
        <v>#NAME?</v>
      </c>
      <c r="AK55" s="2" t="e">
        <f ca="1">_xll.BDH($C$53,"BVPS_GROWTH","FQ2 2014","FQ2 2014","Currency=INR","Period=FQ","BEST_FPERIOD_OVERRIDE=FQ","FILING_STATUS=OR","EQY_CONSOLIDATED=Y","Sort=A","Dates=H","DateFormat=P","Fill=—","Direction=H","UseDPDF=Y")</f>
        <v>#NAME?</v>
      </c>
      <c r="AL55" s="2" t="e">
        <f ca="1">_xll.BDH($C$53,"CASH_FLOW_GROWTH","FQ2 2014","FQ2 2014","Currency=INR","Period=FQ","BEST_FPERIOD_OVERRIDE=FQ","FILING_STATUS=OR","EQY_CONSOLIDATED=Y","Sort=A","Dates=H","DateFormat=P","Fill=—","Direction=H","UseDPDF=Y")</f>
        <v>#NAME?</v>
      </c>
      <c r="AM55" s="2" t="e">
        <f ca="1">_xll.BDH($C$53,"GEO_GROW_NET_SALES","FQ2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" s="2" t="e">
        <f ca="1">_xll.BDH($C$53,"GEO_GROW_EBITDA","FQ2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" s="2" t="e">
        <f ca="1">_xll.BDH($C$53,"GEO_GROW_OPER_INC","FQ2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" s="2" t="e">
        <f ca="1">_xll.BDH($C$53,"NET_INCOME_TO_COMMON_5_YR_GROWTH","FQ2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" s="2" t="e">
        <f ca="1">_xll.BDH($C$53,"5Y_GEO_GROWTH_DILUTED_EPS","FQ2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" s="2" t="e">
        <f ca="1">_xll.BDH($C$53,"GEO_GROW_DVD_PER_SH","FQ2 2014","FQ2 2014","Currency=INR","Period=FQ","BEST_FPERIOD_OVERRIDE=FQ","FILING_STATUS=OR","EQY_CONSOLIDATED=Y","Sort=A","Dates=H","DateFormat=P","Fill=—","Direction=H","UseDPDF=Y")</f>
        <v>#NAME?</v>
      </c>
      <c r="AS55" s="2" t="e">
        <f ca="1">_xll.BDH($C$53,"ACCOUNTS_RECEIVABLE_5_YR_GROWTH","FQ2 2014","FQ2 2014","Currency=INR","Period=FQ","BEST_FPERIOD_OVERRIDE=FQ","FILING_STATUS=OR","EQY_CONSOLIDATED=Y","Sort=A","Dates=H","DateFormat=P","Fill=—","Direction=H","UseDPDF=Y")</f>
        <v>#NAME?</v>
      </c>
      <c r="AT55" s="2" t="e">
        <f ca="1">_xll.BDH($C$53,"INVENTORY_5_YEAR_GROWTH","FQ2 2014","FQ2 2014","Currency=INR","Period=FQ","BEST_FPERIOD_OVERRIDE=FQ","FILING_STATUS=OR","EQY_CONSOLIDATED=Y","Sort=A","Dates=H","DateFormat=P","Fill=—","Direction=H","UseDPDF=Y")</f>
        <v>#NAME?</v>
      </c>
      <c r="AU55" s="2" t="e">
        <f ca="1">_xll.BDH($C$53,"NET_FIXED_ASSETS_5_YEAR_GROWTH","FQ2 2014","FQ2 2014","Currency=INR","Period=FQ","BEST_FPERIOD_OVERRIDE=FQ","FILING_STATUS=OR","EQY_CONSOLIDATED=Y","Sort=A","Dates=H","DateFormat=P","Fill=—","Direction=H","UseDPDF=Y")</f>
        <v>#NAME?</v>
      </c>
      <c r="AV55" s="2" t="e">
        <f ca="1">_xll.BDH($C$53,"GEO_GROW_TOT_ASSET","FQ2 2014","FQ2 2014","Currency=INR","Period=FQ","BEST_FPERIOD_OVERRIDE=FQ","FILING_STATUS=OR","EQY_CONSOLIDATED=Y","Sort=A","Dates=H","DateFormat=P","Fill=—","Direction=H","UseDPDF=Y")</f>
        <v>#NAME?</v>
      </c>
      <c r="AW55" s="2" t="e">
        <f ca="1">_xll.BDH($C$53,"MODIFIED_WORKING_CPTL_5YR_GRWTH","FQ2 2014","FQ2 2014","Currency=INR","Period=FQ","BEST_FPERIOD_OVERRIDE=FQ","FILING_STATUS=OR","EQY_CONSOLIDATED=Y","Sort=A","Dates=H","DateFormat=P","Fill=—","Direction=H","UseDPDF=Y")</f>
        <v>#NAME?</v>
      </c>
      <c r="AX55" s="2" t="e">
        <f ca="1">_xll.BDH($C$53,"WORKING_CAPITAL_5_YEAR_GROWTH","FQ2 2014","FQ2 2014","Currency=INR","Period=FQ","BEST_FPERIOD_OVERRIDE=FQ","FILING_STATUS=OR","EQY_CONSOLIDATED=Y","Sort=A","Dates=H","DateFormat=P","Fill=—","Direction=H","UseDPDF=Y")</f>
        <v>#NAME?</v>
      </c>
      <c r="AY55" s="2" t="e">
        <f ca="1">_xll.BDH($C$53,"ACCOUNTS_PAYABLE_5_YEAR_GROWTH","FQ2 2014","FQ2 2014","Currency=INR","Period=FQ","BEST_FPERIOD_OVERRIDE=FQ","FILING_STATUS=OR","EQY_CONSOLIDATED=Y","Sort=A","Dates=H","DateFormat=P","Fill=—","Direction=H","UseDPDF=Y")</f>
        <v>#NAME?</v>
      </c>
      <c r="AZ55" s="2" t="e">
        <f ca="1">_xll.BDH($C$53,"SHORT_TERM_DEBT_5_YEAR_GROWTH","FQ2 2014","FQ2 2014","Currency=INR","Period=FQ","BEST_FPERIOD_OVERRIDE=FQ","FILING_STATUS=OR","EQY_CONSOLIDATED=Y","Sort=A","Dates=H","DateFormat=P","Fill=—","Direction=H","UseDPDF=Y")</f>
        <v>#NAME?</v>
      </c>
      <c r="BA55" s="2" t="e">
        <f ca="1">_xll.BDH($C$53,"TOTAL_DEBT_5_YEAR_GROWTH","FQ2 2014","FQ2 2014","Currency=INR","Period=FQ","BEST_FPERIOD_OVERRIDE=FQ","FILING_STATUS=OR","EQY_CONSOLIDATED=Y","Sort=A","Dates=H","DateFormat=P","Fill=—","Direction=H","UseDPDF=Y")</f>
        <v>#NAME?</v>
      </c>
      <c r="BB55" s="2" t="e">
        <f ca="1">_xll.BDH($C$53,"GEO_GROW_TOT_SHRHLDR_EQY","FQ2 2014","FQ2 2014","Currency=INR","Period=FQ","BEST_FPERIOD_OVERRIDE=FQ","FILING_STATUS=OR","EQY_CONSOLIDATED=Y","Sort=A","Dates=H","DateFormat=P","Fill=—","Direction=H","UseDPDF=Y")</f>
        <v>#NAME?</v>
      </c>
      <c r="BC55" s="2" t="e">
        <f ca="1">_xll.BDH($C$53,"TOTAL_CAPITAL_5_YEAR_GROWTH","FQ2 2014","FQ2 2014","Currency=INR","Period=FQ","BEST_FPERIOD_OVERRIDE=FQ","FILING_STATUS=OR","EQY_CONSOLIDATED=Y","Sort=A","Dates=H","DateFormat=P","Fill=—","Direction=H","UseDPDF=Y")</f>
        <v>#NAME?</v>
      </c>
      <c r="BD55" s="2" t="e">
        <f ca="1">_xll.BDH($C$53,"GEO_GROW_BOOK_VAL","FQ2 2014","FQ2 2014","Currency=INR","Period=FQ","BEST_FPERIOD_OVERRIDE=FQ","FILING_STATUS=OR","EQY_CONSOLIDATED=Y","Sort=A","Dates=H","DateFormat=P","Fill=—","Direction=H","UseDPDF=Y")</f>
        <v>#NAME?</v>
      </c>
      <c r="BE55" s="2" t="e">
        <f ca="1">_xll.BDH($C$53,"GEO_GROW_CASH_OPER_ACT","FQ2 2014","FQ2 2014","Currency=INR","Period=FQ","BEST_FPERIOD_OVERRIDE=FQ","FILING_STATUS=OR","EQY_CONSOLIDATED=Y","Sort=A","Dates=H","DateFormat=P","Fill=—","Direction=H","UseDPDF=Y")</f>
        <v>#NAME?</v>
      </c>
      <c r="BF55" s="2" t="e">
        <f ca="1">_xll.BDH($C$53,"REVENUE_SEQUENTIAL_GROWTH","FQ2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" s="2" t="e">
        <f ca="1">_xll.BDH($C$53,"EBITDA_SEQUENTIAL_GROWTH","FQ2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" s="2" t="e">
        <f ca="1">_xll.BDH($C$53,"OPERATING_INCOME_SEQ_GROWTH","FQ2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" s="2" t="e">
        <f ca="1">_xll.BDH($C$53,"NET_INCOME_TO_COMMON_SEQ_GROWTH","FQ2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" s="2" t="e">
        <f ca="1">_xll.BDH($C$53,"EPS_DILUTED_SEQUENTIAL_GROWTH","FQ2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" s="2" t="e">
        <f ca="1">_xll.BDH($C$53,"DPS_SEQUENTIAL_GROWTH","FQ2 2014","FQ2 2014","Currency=INR","Period=FQ","BEST_FPERIOD_OVERRIDE=FQ","FILING_STATUS=OR","EQY_CONSOLIDATED=Y","Sort=A","Dates=H","DateFormat=P","Fill=—","Direction=H","UseDPDF=Y")</f>
        <v>#NAME?</v>
      </c>
      <c r="BL55" s="2" t="e">
        <f ca="1">_xll.BDH($C$53,"ACCOUNTS_RECEIVABLE_SEQ_GROWTH","FQ2 2014","FQ2 2014","Currency=INR","Period=FQ","BEST_FPERIOD_OVERRIDE=FQ","FILING_STATUS=OR","EQY_CONSOLIDATED=Y","Sort=A","Dates=H","DateFormat=P","Fill=—","Direction=H","UseDPDF=Y")</f>
        <v>#NAME?</v>
      </c>
      <c r="BM55" s="2" t="e">
        <f ca="1">_xll.BDH($C$53,"INVENTORY_SEQUENTIAL_GROWTH","FQ2 2014","FQ2 2014","Currency=INR","Period=FQ","BEST_FPERIOD_OVERRIDE=FQ","FILING_STATUS=OR","EQY_CONSOLIDATED=Y","Sort=A","Dates=H","DateFormat=P","Fill=—","Direction=H","UseDPDF=Y")</f>
        <v>#NAME?</v>
      </c>
      <c r="BN55" s="2" t="e">
        <f ca="1">_xll.BDH($C$53,"FIXED_ASSETS_SEQUENTIAL_GROWTH","FQ2 2014","FQ2 2014","Currency=INR","Period=FQ","BEST_FPERIOD_OVERRIDE=FQ","FILING_STATUS=OR","EQY_CONSOLIDATED=Y","Sort=A","Dates=H","DateFormat=P","Fill=—","Direction=H","UseDPDF=Y")</f>
        <v>#NAME?</v>
      </c>
      <c r="BO55" s="2" t="e">
        <f ca="1">_xll.BDH($C$53,"TOTAL_ASSETS_SEQUENTIAL_GROWTH","FQ2 2014","FQ2 2014","Currency=INR","Period=FQ","BEST_FPERIOD_OVERRIDE=FQ","FILING_STATUS=OR","EQY_CONSOLIDATED=Y","Sort=A","Dates=H","DateFormat=P","Fill=—","Direction=H","UseDPDF=Y")</f>
        <v>#NAME?</v>
      </c>
      <c r="BP55" s="2" t="e">
        <f ca="1">_xll.BDH($C$53,"MODIFIED_WORKING_CPTL_SEQ_GRWTH","FQ2 2014","FQ2 2014","Currency=INR","Period=FQ","BEST_FPERIOD_OVERRIDE=FQ","FILING_STATUS=OR","EQY_CONSOLIDATED=Y","Sort=A","Dates=H","DateFormat=P","Fill=—","Direction=H","UseDPDF=Y")</f>
        <v>#NAME?</v>
      </c>
      <c r="BQ55" s="2" t="e">
        <f ca="1">_xll.BDH($C$53,"WORKING_CAPITAL_SEQ_GROWTH","FQ2 2014","FQ2 2014","Currency=INR","Period=FQ","BEST_FPERIOD_OVERRIDE=FQ","FILING_STATUS=OR","EQY_CONSOLIDATED=Y","Sort=A","Dates=H","DateFormat=P","Fill=—","Direction=H","UseDPDF=Y")</f>
        <v>#NAME?</v>
      </c>
      <c r="BR55" s="2" t="e">
        <f ca="1">_xll.BDH($C$53,"ACCOUNTS_PAYABLE_SEQ_GROWTH","FQ2 2014","FQ2 2014","Currency=INR","Period=FQ","BEST_FPERIOD_OVERRIDE=FQ","FILING_STATUS=OR","EQY_CONSOLIDATED=Y","Sort=A","Dates=H","DateFormat=P","Fill=—","Direction=H","UseDPDF=Y")</f>
        <v>#NAME?</v>
      </c>
      <c r="BS55" s="2" t="e">
        <f ca="1">_xll.BDH($C$53,"ST_DEBT_SEQUENTIAL_GROWTH","FQ2 2014","FQ2 2014","Currency=INR","Period=FQ","BEST_FPERIOD_OVERRIDE=FQ","FILING_STATUS=OR","EQY_CONSOLIDATED=Y","Sort=A","Dates=H","DateFormat=P","Fill=—","Direction=H","UseDPDF=Y")</f>
        <v>#NAME?</v>
      </c>
      <c r="BT55" s="2" t="e">
        <f ca="1">_xll.BDH($C$53,"TOTAL_DEBT_SEQUENTIAL_GROWTH","FQ2 2014","FQ2 2014","Currency=INR","Period=FQ","BEST_FPERIOD_OVERRIDE=FQ","FILING_STATUS=OR","EQY_CONSOLIDATED=Y","Sort=A","Dates=H","DateFormat=P","Fill=—","Direction=H","UseDPDF=Y")</f>
        <v>#NAME?</v>
      </c>
      <c r="BU55" s="2" t="e">
        <f ca="1">_xll.BDH($C$53,"TOTAL_EQUITY_SEQUENTIAL_GROWTH","FQ2 2014","FQ2 2014","Currency=INR","Period=FQ","BEST_FPERIOD_OVERRIDE=FQ","FILING_STATUS=OR","EQY_CONSOLIDATED=Y","Sort=A","Dates=H","DateFormat=P","Fill=—","Direction=H","UseDPDF=Y")</f>
        <v>#NAME?</v>
      </c>
      <c r="BV55" s="2" t="e">
        <f ca="1">_xll.BDH($C$53,"TOTAL_CAPITAL_SEQUENTIAL_GROWTH","FQ2 2014","FQ2 2014","Currency=INR","Period=FQ","BEST_FPERIOD_OVERRIDE=FQ","FILING_STATUS=OR","EQY_CONSOLIDATED=Y","Sort=A","Dates=H","DateFormat=P","Fill=—","Direction=H","UseDPDF=Y")</f>
        <v>#NAME?</v>
      </c>
      <c r="BW55" s="2" t="e">
        <f ca="1">_xll.BDH($C$53,"BPS_SEQUENTIAL_GROWTH","FQ2 2014","FQ2 2014","Currency=INR","Period=FQ","BEST_FPERIOD_OVERRIDE=FQ","FILING_STATUS=OR","EQY_CONSOLIDATED=Y","Sort=A","Dates=H","DateFormat=P","Fill=—","Direction=H","UseDPDF=Y")</f>
        <v>#NAME?</v>
      </c>
      <c r="BX55" s="2" t="e">
        <f ca="1">_xll.BDH($C$53,"CFO_SEQUENTIAL_GROWTH","FQ2 2014","FQ2 2014","Currency=INR","Period=FQ","BEST_FPERIOD_OVERRIDE=FQ","FILING_STATUS=OR","EQY_CONSOLIDATED=Y","Sort=A","Dates=H","DateFormat=P","Fill=—","Direction=H","UseDPDF=Y")</f>
        <v>#NAME?</v>
      </c>
      <c r="BY55" s="3" t="e">
        <f ca="1">_xll.BDH($C$53,"SHORT_AND_LONG_TERM_DEBT","FQ2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" s="3" t="e">
        <f ca="1">_xll.BDH($C$53,"BS_ST_BORROW","FQ2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" s="3" t="e">
        <f ca="1">_xll.BDH($C$53,"BS_LT_BORROW","FQ2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" s="2" t="e">
        <f ca="1">_xll.BDH($C$53,"TOT_DEBT_TO_EBITDA","FQ2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" s="2" t="e">
        <f ca="1">_xll.BDH($C$53,"NET_DEBT_TO_EBITDA","FQ2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" s="2" t="e">
        <f ca="1">_xll.BDH($C$53,"TOTAL_DEBT_TO_EBIT","FQ2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" s="2" t="e">
        <f ca="1">_xll.BDH($C$53,"NET_DEBT_TO_EBIT","FQ2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" s="2" t="e">
        <f ca="1">_xll.BDH($C$53,"EBITDA_TO_INTEREST_EXPN","FQ2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" s="2" t="e">
        <f ca="1">_xll.BDH($C$53,"COM_EQY_TO_TOT_ASSET","FQ2 2014","FQ2 2014","Currency=INR","Period=FQ","BEST_FPERIOD_OVERRIDE=FQ","FILING_STATUS=OR","EQY_CONSOLIDATED=Y","Sort=A","Dates=H","DateFormat=P","Fill=—","Direction=H","UseDPDF=Y")</f>
        <v>#NAME?</v>
      </c>
      <c r="CH55" s="2" t="e">
        <f ca="1">_xll.BDH($C$53,"LT_DEBT_TO_TOT_EQY","FQ2 2014","FQ2 2014","Currency=INR","Period=FQ","BEST_FPERIOD_OVERRIDE=FQ","FILING_STATUS=OR","EQY_CONSOLIDATED=Y","Sort=A","Dates=H","DateFormat=P","Fill=—","Direction=H","UseDPDF=Y")</f>
        <v>#NAME?</v>
      </c>
      <c r="CI55" s="2" t="e">
        <f ca="1">_xll.BDH($C$53,"LT_DEBT_TO_TOT_CAP","FQ2 2014","FQ2 2014","Currency=INR","Period=FQ","BEST_FPERIOD_OVERRIDE=FQ","FILING_STATUS=OR","EQY_CONSOLIDATED=Y","Sort=A","Dates=H","DateFormat=P","Fill=—","Direction=H","UseDPDF=Y")</f>
        <v>#NAME?</v>
      </c>
      <c r="CJ55" s="2" t="e">
        <f ca="1">_xll.BDH($C$53,"LT_DEBT_TO_TOT_ASSET","FQ2 2014","FQ2 2014","Currency=INR","Period=FQ","BEST_FPERIOD_OVERRIDE=FQ","FILING_STATUS=OR","EQY_CONSOLIDATED=Y","Sort=A","Dates=H","DateFormat=P","Fill=—","Direction=H","UseDPDF=Y")</f>
        <v>#NAME?</v>
      </c>
      <c r="CK55" s="2" t="e">
        <f ca="1">_xll.BDH($C$53,"TOT_DEBT_TO_TOT_EQY","FQ2 2014","FQ2 2014","Currency=INR","Period=FQ","BEST_FPERIOD_OVERRIDE=FQ","FILING_STATUS=OR","EQY_CONSOLIDATED=Y","Sort=A","Dates=H","DateFormat=P","Fill=—","Direction=H","UseDPDF=Y")</f>
        <v>#NAME?</v>
      </c>
      <c r="CL55" s="2" t="e">
        <f ca="1">_xll.BDH($C$53,"TOT_DEBT_TO_TOT_CAP","FQ2 2014","FQ2 2014","Currency=INR","Period=FQ","BEST_FPERIOD_OVERRIDE=FQ","FILING_STATUS=OR","EQY_CONSOLIDATED=Y","Sort=A","Dates=H","DateFormat=P","Fill=—","Direction=H","UseDPDF=Y")</f>
        <v>#NAME?</v>
      </c>
      <c r="CM55" s="2" t="e">
        <f ca="1">_xll.BDH($C$53,"TOT_DEBT_TO_TOT_ASSET","FQ2 2014","FQ2 2014","Currency=INR","Period=FQ","BEST_FPERIOD_OVERRIDE=FQ","FILING_STATUS=OR","EQY_CONSOLIDATED=Y","Sort=A","Dates=H","DateFormat=P","Fill=—","Direction=H","UseDPDF=Y")</f>
        <v>#NAME?</v>
      </c>
      <c r="CN55" s="2" t="e">
        <f ca="1">_xll.BDH($C$53,"NET_DEBT_TO_SHRHLDR_EQTY","FQ2 2014","FQ2 2014","Currency=INR","Period=FQ","BEST_FPERIOD_OVERRIDE=FQ","FILING_STATUS=OR","EQY_CONSOLIDATED=Y","Sort=A","Dates=H","DateFormat=P","Fill=—","Direction=H","UseDPDF=Y")</f>
        <v>#NAME?</v>
      </c>
      <c r="CO55" s="2" t="e">
        <f ca="1">_xll.BDH($C$53,"NET_DEBT_%_CAPITAL","FQ2 2014","FQ2 2014","Currency=INR","Period=FQ","BEST_FPERIOD_OVERRIDE=FQ","FILING_STATUS=OR","EQY_CONSOLIDATED=Y","Sort=A","Dates=H","DateFormat=P","Fill=—","Direction=H","UseDPDF=Y")</f>
        <v>#NAME?</v>
      </c>
      <c r="CP55" s="3" t="e">
        <f ca="1">_xll.BDH($C$53,"EBITDA","FQ2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" s="3" t="e">
        <f ca="1">_xll.BDH($C$53,"EBITDA_AFTER_CAPEX","FQ2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" s="3" t="e">
        <f ca="1">_xll.BDH($C$53,"IS_OPER_INC","FQ2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" s="2" t="e">
        <f ca="1">_xll.BDH($C$53,"CASH_RATIO","FQ2 2014","FQ2 2014","Currency=INR","Period=FQ","BEST_FPERIOD_OVERRIDE=FQ","FILING_STATUS=OR","EQY_CONSOLIDATED=Y","Sort=A","Dates=H","DateFormat=P","Fill=—","Direction=H","UseDPDF=Y")</f>
        <v>#NAME?</v>
      </c>
      <c r="CT55" s="2" t="e">
        <f ca="1">_xll.BDH($C$53,"CUR_RATIO","FQ2 2014","FQ2 2014","Currency=INR","Period=FQ","BEST_FPERIOD_OVERRIDE=FQ","FILING_STATUS=OR","EQY_CONSOLIDATED=Y","Sort=A","Dates=H","DateFormat=P","Fill=—","Direction=H","UseDPDF=Y")</f>
        <v>#NAME?</v>
      </c>
      <c r="CU55" s="2" t="e">
        <f ca="1">_xll.BDH($C$53,"QUICK_RATIO","FQ2 2014","FQ2 2014","Currency=INR","Period=FQ","BEST_FPERIOD_OVERRIDE=FQ","FILING_STATUS=OR","EQY_CONSOLIDATED=Y","Sort=A","Dates=H","DateFormat=P","Fill=—","Direction=H","UseDPDF=Y")</f>
        <v>#NAME?</v>
      </c>
      <c r="CV55" s="2" t="e">
        <f ca="1">_xll.BDH($C$53,"ALTMAN_Z_SCORE","FQ2 2014","FQ2 2014","Currency=INR","Period=FQ","BEST_FPERIOD_OVERRIDE=FQ","FILING_STATUS=OR","EQY_CONSOLIDATED=Y","Sort=A","Dates=H","DateFormat=P","Fill=—","Direction=H","UseDPDF=Y")</f>
        <v>#NAME?</v>
      </c>
      <c r="CW55" s="4" t="e">
        <f ca="1">_xll.BDH($C$53,"ACCT_RCV_TURN","FQ2 2014","FQ2 2014","Currency=INR","Period=FQ","BEST_FPERIOD_OVERRIDE=FQ","FILING_STATUS=OR","EQY_CONSOLIDATED=Y","FA_ADJUSTED=GAAP","Sort=A","Dates=H","DateFormat=P","Fill=—","Direction=H","UseDPDF=Y")</f>
        <v>#NAME?</v>
      </c>
      <c r="CX55" s="2" t="e">
        <f ca="1">_xll.BDH($C$53,"ACCT_RCV_DAYS","FQ2 2014","FQ2 2014","Currency=INR","Period=FQ","BEST_FPERIOD_OVERRIDE=FQ","FILING_STATUS=OR","EQY_CONSOLIDATED=Y","FA_ADJUSTED=GAAP","Sort=A","Dates=H","DateFormat=P","Fill=—","Direction=H","UseDPDF=Y")</f>
        <v>#NAME?</v>
      </c>
      <c r="CY55" s="4" t="e">
        <f ca="1">_xll.BDH($C$53,"INVENT_TURN","FQ2 2014","FQ2 2014","Currency=INR","Period=FQ","BEST_FPERIOD_OVERRIDE=FQ","FILING_STATUS=OR","EQY_CONSOLIDATED=Y","FA_ADJUSTED=GAAP","Sort=A","Dates=H","DateFormat=P","Fill=—","Direction=H","UseDPDF=Y")</f>
        <v>#NAME?</v>
      </c>
      <c r="CZ55" s="2" t="e">
        <f ca="1">_xll.BDH($C$53,"INVENT_DAYS","FQ2 2014","FQ2 2014","Currency=INR","Period=FQ","BEST_FPERIOD_OVERRIDE=FQ","FILING_STATUS=OR","EQY_CONSOLIDATED=Y","FA_ADJUSTED=GAAP","Sort=A","Dates=H","DateFormat=P","Fill=—","Direction=H","UseDPDF=Y")</f>
        <v>#NAME?</v>
      </c>
      <c r="DA55" s="4" t="e">
        <f ca="1">_xll.BDH($C$53,"ACCOUNTS_PAYABLE_TURNOVER","FQ2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" s="2" t="e">
        <f ca="1">_xll.BDH($C$53,"ACCOUNTS_PAYABLE_TURNOVER_DAYS","FQ2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" s="4" t="e">
        <f ca="1">_xll.BDH($C$53,"CASH_CONVERSION_CYCLE","FQ2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" s="4" t="e">
        <f ca="1">_xll.BDH($C$53,"INV_TO_CASH_DAYS","FQ2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" s="5" t="e">
        <f ca="1">_xll.BDH($C$53,"BS_INVENTORIES","FQ2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" s="3" t="e">
        <f ca="1">_xll.BDH($C$53,"INVTRY_RAW_MATERIALS","FQ2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" s="3" t="e">
        <f ca="1">_xll.BDH($C$53,"INVTRY_IN_PROGRESS","FQ2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" s="3" t="e">
        <f ca="1">_xll.BDH($C$53,"INVTRY_FINISHED_GOODS","FQ2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" s="3" t="e">
        <f ca="1">_xll.BDH($C$53,"BS_OTHER_INV","FQ2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6" spans="1:113" x14ac:dyDescent="0.3">
      <c r="A56" s="6"/>
      <c r="B56" s="6"/>
      <c r="C56" s="6"/>
      <c r="D56" s="6"/>
      <c r="E56" t="s">
        <v>80</v>
      </c>
      <c r="F56" t="e">
        <f ca="1">_xll.BDH($C$53,"RETURN_COM_EQY","FQ3 2014","FQ3 2014","Currency=INR","Period=FQ","BEST_FPERIOD_OVERRIDE=FQ","FILING_STATUS=OR","EQY_CONSOLIDATED=Y","FA_ADJUSTED=GAAP","Sort=A","Dates=H","DateFormat=P","Fill=—","Direction=H","UseDPDF=Y")</f>
        <v>#NAME?</v>
      </c>
      <c r="G56" t="e">
        <f ca="1">_xll.BDH($C$53,"RETURN_ON_ASSET","FQ3 2014","FQ3 2014","Currency=INR","Period=FQ","BEST_FPERIOD_OVERRIDE=FQ","FILING_STATUS=OR","EQY_CONSOLIDATED=Y","FA_ADJUSTED=GAAP","Sort=A","Dates=H","DateFormat=P","Fill=—","Direction=H","UseDPDF=Y")</f>
        <v>#NAME?</v>
      </c>
      <c r="H56" t="e">
        <f ca="1">_xll.BDH($C$53,"RETURN_ON_CAP","FQ3 2014","FQ3 2014","Currency=INR","Period=FQ","BEST_FPERIOD_OVERRIDE=FQ","FILING_STATUS=OR","EQY_CONSOLIDATED=Y","FA_ADJUSTED=GAAP","Sort=A","Dates=H","DateFormat=P","Fill=—","Direction=H","UseDPDF=Y")</f>
        <v>#NAME?</v>
      </c>
      <c r="I56" t="e">
        <f ca="1">_xll.BDH($C$53,"RETURN_ON_INV_CAPITAL","FQ3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6" t="e">
        <f ca="1">_xll.BDH($C$53,"EBITDA_TO_REVENUE","FQ3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6" t="e">
        <f ca="1">_xll.BDH($C$53,"OPER_MARGIN","FQ3 2014","FQ3 2014","Currency=INR","Period=FQ","BEST_FPERIOD_OVERRIDE=FQ","FILING_STATUS=OR","EQY_CONSOLIDATED=Y","FA_ADJUSTED=GAAP","Sort=A","Dates=H","DateFormat=P","Fill=—","Direction=H","UseDPDF=Y")</f>
        <v>#NAME?</v>
      </c>
      <c r="L56" t="e">
        <f ca="1">_xll.BDH($C$53,"INCREMENTAL_OPERATING_MARGIN","FQ3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6" t="e">
        <f ca="1">_xll.BDH($C$53,"PRETAX_INC_TO_NET_SALES","FQ3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6" t="e">
        <f ca="1">_xll.BDH($C$53,"INC_BEF_XO_ITEMS_TO_NET_SALES","FQ3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6" t="e">
        <f ca="1">_xll.BDH($C$53,"PROF_MARGIN","FQ3 2014","FQ3 2014","Currency=INR","Period=FQ","BEST_FPERIOD_OVERRIDE=FQ","FILING_STATUS=OR","EQY_CONSOLIDATED=Y","FA_ADJUSTED=GAAP","Sort=A","Dates=H","DateFormat=P","Fill=—","Direction=H","UseDPDF=Y")</f>
        <v>#NAME?</v>
      </c>
      <c r="P56" t="e">
        <f ca="1">_xll.BDH($C$53,"NET_INCOME_TO_COMMON_MARGIN","FQ3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6" t="e">
        <f ca="1">_xll.BDH($C$53,"EFF_TAX_RATE","FQ3 2014","FQ3 2014","Currency=INR","Period=FQ","BEST_FPERIOD_OVERRIDE=FQ","FILING_STATUS=OR","EQY_CONSOLIDATED=Y","FA_ADJUSTED=GAAP","Sort=A","Dates=H","DateFormat=P","Fill=—","Direction=H","UseDPDF=Y")</f>
        <v>#NAME?</v>
      </c>
      <c r="R56" t="e">
        <f ca="1">_xll.BDH($C$53,"DVD_PAYOUT_RATIO","FQ3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6" t="e">
        <f ca="1">_xll.BDH($C$53,"SUSTAIN_GROWTH_RT","FQ3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6" s="2" t="e">
        <f ca="1">_xll.BDH($C$53,"SALES_GROWTH","FQ3 2014","FQ3 2014","Currency=INR","Period=FQ","BEST_FPERIOD_OVERRIDE=FQ","FILING_STATUS=OR","EQY_CONSOLIDATED=Y","FA_ADJUSTED=GAAP","Sort=A","Dates=H","DateFormat=P","Fill=—","Direction=H","UseDPDF=Y")</f>
        <v>#NAME?</v>
      </c>
      <c r="U56" s="2" t="e">
        <f ca="1">_xll.BDH($C$53,"EBITDA_GROWTH","FQ3 2014","FQ3 2014","Currency=INR","Period=FQ","BEST_FPERIOD_OVERRIDE=FQ","FILING_STATUS=OR","EQY_CONSOLIDATED=Y","FA_ADJUSTED=GAAP","Sort=A","Dates=H","DateFormat=P","Fill=—","Direction=H","UseDPDF=Y")</f>
        <v>#NAME?</v>
      </c>
      <c r="V56" s="2" t="e">
        <f ca="1">_xll.BDH($C$53,"OPER_INC_GROWTH","FQ3 2014","FQ3 2014","Currency=INR","Period=FQ","BEST_FPERIOD_OVERRIDE=FQ","FILING_STATUS=OR","EQY_CONSOLIDATED=Y","FA_ADJUSTED=GAAP","Sort=A","Dates=H","DateFormat=P","Fill=—","Direction=H","UseDPDF=Y")</f>
        <v>#NAME?</v>
      </c>
      <c r="W56" s="2" t="e">
        <f ca="1">_xll.BDH($C$53,"EARN_FOR_COM_GROWTH","FQ3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6" s="2" t="e">
        <f ca="1">_xll.BDH($C$53,"DILUTED_EPS_AFT_XO_ITEMS_GROWTH","FQ3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6" s="2" t="e">
        <f ca="1">_xll.BDH($C$53,"DIVIDEND_PER_SHARE_1_YEAR_GROWTH","FQ3 2014","FQ3 2014","Currency=INR","Period=FQ","BEST_FPERIOD_OVERRIDE=FQ","FILING_STATUS=OR","EQY_CONSOLIDATED=Y","Sort=A","Dates=H","DateFormat=P","Fill=—","Direction=H","UseDPDF=Y")</f>
        <v>#NAME?</v>
      </c>
      <c r="Z56" s="2" t="e">
        <f ca="1">_xll.BDH($C$53,"ACCOUNTS_RECEIVABLE_GROWTH","FQ3 2014","FQ3 2014","Currency=INR","Period=FQ","BEST_FPERIOD_OVERRIDE=FQ","FILING_STATUS=OR","EQY_CONSOLIDATED=Y","Sort=A","Dates=H","DateFormat=P","Fill=—","Direction=H","UseDPDF=Y")</f>
        <v>#NAME?</v>
      </c>
      <c r="AA56" s="2" t="e">
        <f ca="1">_xll.BDH($C$53,"INVENTORY_GROWTH","FQ3 2014","FQ3 2014","Currency=INR","Period=FQ","BEST_FPERIOD_OVERRIDE=FQ","FILING_STATUS=OR","EQY_CONSOLIDATED=Y","Sort=A","Dates=H","DateFormat=P","Fill=—","Direction=H","UseDPDF=Y")</f>
        <v>#NAME?</v>
      </c>
      <c r="AB56" s="2" t="e">
        <f ca="1">_xll.BDH($C$53,"NET_FIXED_ASSETS_1_YEAR_GROWTH","FQ3 2014","FQ3 2014","Currency=INR","Period=FQ","BEST_FPERIOD_OVERRIDE=FQ","FILING_STATUS=OR","EQY_CONSOLIDATED=Y","Sort=A","Dates=H","DateFormat=P","Fill=—","Direction=H","UseDPDF=Y")</f>
        <v>#NAME?</v>
      </c>
      <c r="AC56" s="2" t="e">
        <f ca="1">_xll.BDH($C$53,"ASSET_GROWTH","FQ3 2014","FQ3 2014","Currency=INR","Period=FQ","BEST_FPERIOD_OVERRIDE=FQ","FILING_STATUS=OR","EQY_CONSOLIDATED=Y","Sort=A","Dates=H","DateFormat=P","Fill=—","Direction=H","UseDPDF=Y")</f>
        <v>#NAME?</v>
      </c>
      <c r="AD56" s="2" t="e">
        <f ca="1">_xll.BDH($C$53,"MODIFIED_WORK_CAP_GROWTH","FQ3 2014","FQ3 2014","Currency=INR","Period=FQ","BEST_FPERIOD_OVERRIDE=FQ","FILING_STATUS=OR","EQY_CONSOLIDATED=Y","Sort=A","Dates=H","DateFormat=P","Fill=—","Direction=H","UseDPDF=Y")</f>
        <v>#NAME?</v>
      </c>
      <c r="AE56" s="2" t="e">
        <f ca="1">_xll.BDH($C$53,"WORK_CAP_GROWTH","FQ3 2014","FQ3 2014","Currency=INR","Period=FQ","BEST_FPERIOD_OVERRIDE=FQ","FILING_STATUS=OR","EQY_CONSOLIDATED=Y","Sort=A","Dates=H","DateFormat=P","Fill=—","Direction=H","UseDPDF=Y")</f>
        <v>#NAME?</v>
      </c>
      <c r="AF56" s="2" t="e">
        <f ca="1">_xll.BDH($C$53,"ACCOUNTS_PAYABLE_GROWTH_1YR","FQ3 2014","FQ3 2014","Currency=INR","Period=FQ","BEST_FPERIOD_OVERRIDE=FQ","FILING_STATUS=OR","EQY_CONSOLIDATED=Y","Sort=A","Dates=H","DateFormat=P","Fill=—","Direction=H","UseDPDF=Y")</f>
        <v>#NAME?</v>
      </c>
      <c r="AG56" s="2" t="e">
        <f ca="1">_xll.BDH($C$53,"SHORT_TERM_DEBT_1_YEAR_GROWTH","FQ3 2014","FQ3 2014","Currency=INR","Period=FQ","BEST_FPERIOD_OVERRIDE=FQ","FILING_STATUS=OR","EQY_CONSOLIDATED=Y","Sort=A","Dates=H","DateFormat=P","Fill=—","Direction=H","UseDPDF=Y")</f>
        <v>#NAME?</v>
      </c>
      <c r="AH56" s="2" t="e">
        <f ca="1">_xll.BDH($C$53,"TOTAL_DEBT_1_YEAR_GROWTH","FQ3 2014","FQ3 2014","Currency=INR","Period=FQ","BEST_FPERIOD_OVERRIDE=FQ","FILING_STATUS=OR","EQY_CONSOLIDATED=Y","Sort=A","Dates=H","DateFormat=P","Fill=—","Direction=H","UseDPDF=Y")</f>
        <v>#NAME?</v>
      </c>
      <c r="AI56" s="2" t="e">
        <f ca="1">_xll.BDH($C$53,"TOTAL_EQUITY_1_YEAR_GROWTH","FQ3 2014","FQ3 2014","Currency=INR","Period=FQ","BEST_FPERIOD_OVERRIDE=FQ","FILING_STATUS=OR","EQY_CONSOLIDATED=Y","Sort=A","Dates=H","DateFormat=P","Fill=—","Direction=H","UseDPDF=Y")</f>
        <v>#NAME?</v>
      </c>
      <c r="AJ56" s="2" t="e">
        <f ca="1">_xll.BDH($C$53,"GROWTH_IN_CAP","FQ3 2014","FQ3 2014","Currency=INR","Period=FQ","BEST_FPERIOD_OVERRIDE=FQ","FILING_STATUS=OR","EQY_CONSOLIDATED=Y","Sort=A","Dates=H","DateFormat=P","Fill=—","Direction=H","UseDPDF=Y")</f>
        <v>#NAME?</v>
      </c>
      <c r="AK56" s="2" t="e">
        <f ca="1">_xll.BDH($C$53,"BVPS_GROWTH","FQ3 2014","FQ3 2014","Currency=INR","Period=FQ","BEST_FPERIOD_OVERRIDE=FQ","FILING_STATUS=OR","EQY_CONSOLIDATED=Y","Sort=A","Dates=H","DateFormat=P","Fill=—","Direction=H","UseDPDF=Y")</f>
        <v>#NAME?</v>
      </c>
      <c r="AL56" s="2" t="e">
        <f ca="1">_xll.BDH($C$53,"CASH_FLOW_GROWTH","FQ3 2014","FQ3 2014","Currency=INR","Period=FQ","BEST_FPERIOD_OVERRIDE=FQ","FILING_STATUS=OR","EQY_CONSOLIDATED=Y","Sort=A","Dates=H","DateFormat=P","Fill=—","Direction=H","UseDPDF=Y")</f>
        <v>#NAME?</v>
      </c>
      <c r="AM56" s="2" t="e">
        <f ca="1">_xll.BDH($C$53,"GEO_GROW_NET_SALES","FQ3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6" s="2" t="e">
        <f ca="1">_xll.BDH($C$53,"GEO_GROW_EBITDA","FQ3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6" s="2" t="e">
        <f ca="1">_xll.BDH($C$53,"GEO_GROW_OPER_INC","FQ3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6" s="2" t="e">
        <f ca="1">_xll.BDH($C$53,"NET_INCOME_TO_COMMON_5_YR_GROWTH","FQ3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6" s="2" t="e">
        <f ca="1">_xll.BDH($C$53,"5Y_GEO_GROWTH_DILUTED_EPS","FQ3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6" s="2" t="e">
        <f ca="1">_xll.BDH($C$53,"GEO_GROW_DVD_PER_SH","FQ3 2014","FQ3 2014","Currency=INR","Period=FQ","BEST_FPERIOD_OVERRIDE=FQ","FILING_STATUS=OR","EQY_CONSOLIDATED=Y","Sort=A","Dates=H","DateFormat=P","Fill=—","Direction=H","UseDPDF=Y")</f>
        <v>#NAME?</v>
      </c>
      <c r="AS56" s="2" t="e">
        <f ca="1">_xll.BDH($C$53,"ACCOUNTS_RECEIVABLE_5_YR_GROWTH","FQ3 2014","FQ3 2014","Currency=INR","Period=FQ","BEST_FPERIOD_OVERRIDE=FQ","FILING_STATUS=OR","EQY_CONSOLIDATED=Y","Sort=A","Dates=H","DateFormat=P","Fill=—","Direction=H","UseDPDF=Y")</f>
        <v>#NAME?</v>
      </c>
      <c r="AT56" s="2" t="e">
        <f ca="1">_xll.BDH($C$53,"INVENTORY_5_YEAR_GROWTH","FQ3 2014","FQ3 2014","Currency=INR","Period=FQ","BEST_FPERIOD_OVERRIDE=FQ","FILING_STATUS=OR","EQY_CONSOLIDATED=Y","Sort=A","Dates=H","DateFormat=P","Fill=—","Direction=H","UseDPDF=Y")</f>
        <v>#NAME?</v>
      </c>
      <c r="AU56" s="2" t="e">
        <f ca="1">_xll.BDH($C$53,"NET_FIXED_ASSETS_5_YEAR_GROWTH","FQ3 2014","FQ3 2014","Currency=INR","Period=FQ","BEST_FPERIOD_OVERRIDE=FQ","FILING_STATUS=OR","EQY_CONSOLIDATED=Y","Sort=A","Dates=H","DateFormat=P","Fill=—","Direction=H","UseDPDF=Y")</f>
        <v>#NAME?</v>
      </c>
      <c r="AV56" s="2" t="e">
        <f ca="1">_xll.BDH($C$53,"GEO_GROW_TOT_ASSET","FQ3 2014","FQ3 2014","Currency=INR","Period=FQ","BEST_FPERIOD_OVERRIDE=FQ","FILING_STATUS=OR","EQY_CONSOLIDATED=Y","Sort=A","Dates=H","DateFormat=P","Fill=—","Direction=H","UseDPDF=Y")</f>
        <v>#NAME?</v>
      </c>
      <c r="AW56" s="2" t="e">
        <f ca="1">_xll.BDH($C$53,"MODIFIED_WORKING_CPTL_5YR_GRWTH","FQ3 2014","FQ3 2014","Currency=INR","Period=FQ","BEST_FPERIOD_OVERRIDE=FQ","FILING_STATUS=OR","EQY_CONSOLIDATED=Y","Sort=A","Dates=H","DateFormat=P","Fill=—","Direction=H","UseDPDF=Y")</f>
        <v>#NAME?</v>
      </c>
      <c r="AX56" s="2" t="e">
        <f ca="1">_xll.BDH($C$53,"WORKING_CAPITAL_5_YEAR_GROWTH","FQ3 2014","FQ3 2014","Currency=INR","Period=FQ","BEST_FPERIOD_OVERRIDE=FQ","FILING_STATUS=OR","EQY_CONSOLIDATED=Y","Sort=A","Dates=H","DateFormat=P","Fill=—","Direction=H","UseDPDF=Y")</f>
        <v>#NAME?</v>
      </c>
      <c r="AY56" s="2" t="e">
        <f ca="1">_xll.BDH($C$53,"ACCOUNTS_PAYABLE_5_YEAR_GROWTH","FQ3 2014","FQ3 2014","Currency=INR","Period=FQ","BEST_FPERIOD_OVERRIDE=FQ","FILING_STATUS=OR","EQY_CONSOLIDATED=Y","Sort=A","Dates=H","DateFormat=P","Fill=—","Direction=H","UseDPDF=Y")</f>
        <v>#NAME?</v>
      </c>
      <c r="AZ56" s="2" t="e">
        <f ca="1">_xll.BDH($C$53,"SHORT_TERM_DEBT_5_YEAR_GROWTH","FQ3 2014","FQ3 2014","Currency=INR","Period=FQ","BEST_FPERIOD_OVERRIDE=FQ","FILING_STATUS=OR","EQY_CONSOLIDATED=Y","Sort=A","Dates=H","DateFormat=P","Fill=—","Direction=H","UseDPDF=Y")</f>
        <v>#NAME?</v>
      </c>
      <c r="BA56" s="2" t="e">
        <f ca="1">_xll.BDH($C$53,"TOTAL_DEBT_5_YEAR_GROWTH","FQ3 2014","FQ3 2014","Currency=INR","Period=FQ","BEST_FPERIOD_OVERRIDE=FQ","FILING_STATUS=OR","EQY_CONSOLIDATED=Y","Sort=A","Dates=H","DateFormat=P","Fill=—","Direction=H","UseDPDF=Y")</f>
        <v>#NAME?</v>
      </c>
      <c r="BB56" s="2" t="e">
        <f ca="1">_xll.BDH($C$53,"GEO_GROW_TOT_SHRHLDR_EQY","FQ3 2014","FQ3 2014","Currency=INR","Period=FQ","BEST_FPERIOD_OVERRIDE=FQ","FILING_STATUS=OR","EQY_CONSOLIDATED=Y","Sort=A","Dates=H","DateFormat=P","Fill=—","Direction=H","UseDPDF=Y")</f>
        <v>#NAME?</v>
      </c>
      <c r="BC56" s="2" t="e">
        <f ca="1">_xll.BDH($C$53,"TOTAL_CAPITAL_5_YEAR_GROWTH","FQ3 2014","FQ3 2014","Currency=INR","Period=FQ","BEST_FPERIOD_OVERRIDE=FQ","FILING_STATUS=OR","EQY_CONSOLIDATED=Y","Sort=A","Dates=H","DateFormat=P","Fill=—","Direction=H","UseDPDF=Y")</f>
        <v>#NAME?</v>
      </c>
      <c r="BD56" s="2" t="e">
        <f ca="1">_xll.BDH($C$53,"GEO_GROW_BOOK_VAL","FQ3 2014","FQ3 2014","Currency=INR","Period=FQ","BEST_FPERIOD_OVERRIDE=FQ","FILING_STATUS=OR","EQY_CONSOLIDATED=Y","Sort=A","Dates=H","DateFormat=P","Fill=—","Direction=H","UseDPDF=Y")</f>
        <v>#NAME?</v>
      </c>
      <c r="BE56" s="2" t="e">
        <f ca="1">_xll.BDH($C$53,"GEO_GROW_CASH_OPER_ACT","FQ3 2014","FQ3 2014","Currency=INR","Period=FQ","BEST_FPERIOD_OVERRIDE=FQ","FILING_STATUS=OR","EQY_CONSOLIDATED=Y","Sort=A","Dates=H","DateFormat=P","Fill=—","Direction=H","UseDPDF=Y")</f>
        <v>#NAME?</v>
      </c>
      <c r="BF56" s="2" t="e">
        <f ca="1">_xll.BDH($C$53,"REVENUE_SEQUENTIAL_GROWTH","FQ3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6" s="2" t="e">
        <f ca="1">_xll.BDH($C$53,"EBITDA_SEQUENTIAL_GROWTH","FQ3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6" s="2" t="e">
        <f ca="1">_xll.BDH($C$53,"OPERATING_INCOME_SEQ_GROWTH","FQ3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6" s="2" t="e">
        <f ca="1">_xll.BDH($C$53,"NET_INCOME_TO_COMMON_SEQ_GROWTH","FQ3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6" s="2" t="e">
        <f ca="1">_xll.BDH($C$53,"EPS_DILUTED_SEQUENTIAL_GROWTH","FQ3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6" s="2" t="e">
        <f ca="1">_xll.BDH($C$53,"DPS_SEQUENTIAL_GROWTH","FQ3 2014","FQ3 2014","Currency=INR","Period=FQ","BEST_FPERIOD_OVERRIDE=FQ","FILING_STATUS=OR","EQY_CONSOLIDATED=Y","Sort=A","Dates=H","DateFormat=P","Fill=—","Direction=H","UseDPDF=Y")</f>
        <v>#NAME?</v>
      </c>
      <c r="BL56" s="2" t="e">
        <f ca="1">_xll.BDH($C$53,"ACCOUNTS_RECEIVABLE_SEQ_GROWTH","FQ3 2014","FQ3 2014","Currency=INR","Period=FQ","BEST_FPERIOD_OVERRIDE=FQ","FILING_STATUS=OR","EQY_CONSOLIDATED=Y","Sort=A","Dates=H","DateFormat=P","Fill=—","Direction=H","UseDPDF=Y")</f>
        <v>#NAME?</v>
      </c>
      <c r="BM56" s="2" t="e">
        <f ca="1">_xll.BDH($C$53,"INVENTORY_SEQUENTIAL_GROWTH","FQ3 2014","FQ3 2014","Currency=INR","Period=FQ","BEST_FPERIOD_OVERRIDE=FQ","FILING_STATUS=OR","EQY_CONSOLIDATED=Y","Sort=A","Dates=H","DateFormat=P","Fill=—","Direction=H","UseDPDF=Y")</f>
        <v>#NAME?</v>
      </c>
      <c r="BN56" s="2" t="e">
        <f ca="1">_xll.BDH($C$53,"FIXED_ASSETS_SEQUENTIAL_GROWTH","FQ3 2014","FQ3 2014","Currency=INR","Period=FQ","BEST_FPERIOD_OVERRIDE=FQ","FILING_STATUS=OR","EQY_CONSOLIDATED=Y","Sort=A","Dates=H","DateFormat=P","Fill=—","Direction=H","UseDPDF=Y")</f>
        <v>#NAME?</v>
      </c>
      <c r="BO56" s="2" t="e">
        <f ca="1">_xll.BDH($C$53,"TOTAL_ASSETS_SEQUENTIAL_GROWTH","FQ3 2014","FQ3 2014","Currency=INR","Period=FQ","BEST_FPERIOD_OVERRIDE=FQ","FILING_STATUS=OR","EQY_CONSOLIDATED=Y","Sort=A","Dates=H","DateFormat=P","Fill=—","Direction=H","UseDPDF=Y")</f>
        <v>#NAME?</v>
      </c>
      <c r="BP56" s="2" t="e">
        <f ca="1">_xll.BDH($C$53,"MODIFIED_WORKING_CPTL_SEQ_GRWTH","FQ3 2014","FQ3 2014","Currency=INR","Period=FQ","BEST_FPERIOD_OVERRIDE=FQ","FILING_STATUS=OR","EQY_CONSOLIDATED=Y","Sort=A","Dates=H","DateFormat=P","Fill=—","Direction=H","UseDPDF=Y")</f>
        <v>#NAME?</v>
      </c>
      <c r="BQ56" s="2" t="e">
        <f ca="1">_xll.BDH($C$53,"WORKING_CAPITAL_SEQ_GROWTH","FQ3 2014","FQ3 2014","Currency=INR","Period=FQ","BEST_FPERIOD_OVERRIDE=FQ","FILING_STATUS=OR","EQY_CONSOLIDATED=Y","Sort=A","Dates=H","DateFormat=P","Fill=—","Direction=H","UseDPDF=Y")</f>
        <v>#NAME?</v>
      </c>
      <c r="BR56" s="2" t="e">
        <f ca="1">_xll.BDH($C$53,"ACCOUNTS_PAYABLE_SEQ_GROWTH","FQ3 2014","FQ3 2014","Currency=INR","Period=FQ","BEST_FPERIOD_OVERRIDE=FQ","FILING_STATUS=OR","EQY_CONSOLIDATED=Y","Sort=A","Dates=H","DateFormat=P","Fill=—","Direction=H","UseDPDF=Y")</f>
        <v>#NAME?</v>
      </c>
      <c r="BS56" s="2" t="e">
        <f ca="1">_xll.BDH($C$53,"ST_DEBT_SEQUENTIAL_GROWTH","FQ3 2014","FQ3 2014","Currency=INR","Period=FQ","BEST_FPERIOD_OVERRIDE=FQ","FILING_STATUS=OR","EQY_CONSOLIDATED=Y","Sort=A","Dates=H","DateFormat=P","Fill=—","Direction=H","UseDPDF=Y")</f>
        <v>#NAME?</v>
      </c>
      <c r="BT56" s="2" t="e">
        <f ca="1">_xll.BDH($C$53,"TOTAL_DEBT_SEQUENTIAL_GROWTH","FQ3 2014","FQ3 2014","Currency=INR","Period=FQ","BEST_FPERIOD_OVERRIDE=FQ","FILING_STATUS=OR","EQY_CONSOLIDATED=Y","Sort=A","Dates=H","DateFormat=P","Fill=—","Direction=H","UseDPDF=Y")</f>
        <v>#NAME?</v>
      </c>
      <c r="BU56" s="2" t="e">
        <f ca="1">_xll.BDH($C$53,"TOTAL_EQUITY_SEQUENTIAL_GROWTH","FQ3 2014","FQ3 2014","Currency=INR","Period=FQ","BEST_FPERIOD_OVERRIDE=FQ","FILING_STATUS=OR","EQY_CONSOLIDATED=Y","Sort=A","Dates=H","DateFormat=P","Fill=—","Direction=H","UseDPDF=Y")</f>
        <v>#NAME?</v>
      </c>
      <c r="BV56" s="2" t="e">
        <f ca="1">_xll.BDH($C$53,"TOTAL_CAPITAL_SEQUENTIAL_GROWTH","FQ3 2014","FQ3 2014","Currency=INR","Period=FQ","BEST_FPERIOD_OVERRIDE=FQ","FILING_STATUS=OR","EQY_CONSOLIDATED=Y","Sort=A","Dates=H","DateFormat=P","Fill=—","Direction=H","UseDPDF=Y")</f>
        <v>#NAME?</v>
      </c>
      <c r="BW56" s="2" t="e">
        <f ca="1">_xll.BDH($C$53,"BPS_SEQUENTIAL_GROWTH","FQ3 2014","FQ3 2014","Currency=INR","Period=FQ","BEST_FPERIOD_OVERRIDE=FQ","FILING_STATUS=OR","EQY_CONSOLIDATED=Y","Sort=A","Dates=H","DateFormat=P","Fill=—","Direction=H","UseDPDF=Y")</f>
        <v>#NAME?</v>
      </c>
      <c r="BX56" s="2" t="e">
        <f ca="1">_xll.BDH($C$53,"CFO_SEQUENTIAL_GROWTH","FQ3 2014","FQ3 2014","Currency=INR","Period=FQ","BEST_FPERIOD_OVERRIDE=FQ","FILING_STATUS=OR","EQY_CONSOLIDATED=Y","Sort=A","Dates=H","DateFormat=P","Fill=—","Direction=H","UseDPDF=Y")</f>
        <v>#NAME?</v>
      </c>
      <c r="BY56" s="3" t="e">
        <f ca="1">_xll.BDH($C$53,"SHORT_AND_LONG_TERM_DEBT","FQ3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6" s="3" t="e">
        <f ca="1">_xll.BDH($C$53,"BS_ST_BORROW","FQ3 2014","FQ3 2014","Currency=INR","Period=FQ","BEST_FPERIOD_OVERRIDE=FQ","FILING_STATUS=OR","EQY_CONSOLIDATED=Y","SCALING_FORMAT=MLN","Sort=A","Dates=H","DateFormat=P","Fill=—","Direction=H","UseDPDF=Y")</f>
        <v>#NAME?</v>
      </c>
      <c r="CA56" s="3" t="e">
        <f ca="1">_xll.BDH($C$53,"BS_LT_BORROW","FQ3 2014","FQ3 2014","Currency=INR","Period=FQ","BEST_FPERIOD_OVERRIDE=FQ","FILING_STATUS=OR","EQY_CONSOLIDATED=Y","SCALING_FORMAT=MLN","Sort=A","Dates=H","DateFormat=P","Fill=—","Direction=H","UseDPDF=Y")</f>
        <v>#NAME?</v>
      </c>
      <c r="CB56" s="2" t="e">
        <f ca="1">_xll.BDH($C$53,"TOT_DEBT_TO_EBITDA","FQ3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6" s="2" t="e">
        <f ca="1">_xll.BDH($C$53,"NET_DEBT_TO_EBITDA","FQ3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6" s="2" t="e">
        <f ca="1">_xll.BDH($C$53,"TOTAL_DEBT_TO_EBIT","FQ3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6" s="2" t="e">
        <f ca="1">_xll.BDH($C$53,"NET_DEBT_TO_EBIT","FQ3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6" s="2" t="e">
        <f ca="1">_xll.BDH($C$53,"EBITDA_TO_INTEREST_EXPN","FQ3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6" s="2" t="e">
        <f ca="1">_xll.BDH($C$53,"COM_EQY_TO_TOT_ASSET","FQ3 2014","FQ3 2014","Currency=INR","Period=FQ","BEST_FPERIOD_OVERRIDE=FQ","FILING_STATUS=OR","EQY_CONSOLIDATED=Y","Sort=A","Dates=H","DateFormat=P","Fill=—","Direction=H","UseDPDF=Y")</f>
        <v>#NAME?</v>
      </c>
      <c r="CH56" s="2" t="e">
        <f ca="1">_xll.BDH($C$53,"LT_DEBT_TO_TOT_EQY","FQ3 2014","FQ3 2014","Currency=INR","Period=FQ","BEST_FPERIOD_OVERRIDE=FQ","FILING_STATUS=OR","EQY_CONSOLIDATED=Y","Sort=A","Dates=H","DateFormat=P","Fill=—","Direction=H","UseDPDF=Y")</f>
        <v>#NAME?</v>
      </c>
      <c r="CI56" s="2" t="e">
        <f ca="1">_xll.BDH($C$53,"LT_DEBT_TO_TOT_CAP","FQ3 2014","FQ3 2014","Currency=INR","Period=FQ","BEST_FPERIOD_OVERRIDE=FQ","FILING_STATUS=OR","EQY_CONSOLIDATED=Y","Sort=A","Dates=H","DateFormat=P","Fill=—","Direction=H","UseDPDF=Y")</f>
        <v>#NAME?</v>
      </c>
      <c r="CJ56" s="2" t="e">
        <f ca="1">_xll.BDH($C$53,"LT_DEBT_TO_TOT_ASSET","FQ3 2014","FQ3 2014","Currency=INR","Period=FQ","BEST_FPERIOD_OVERRIDE=FQ","FILING_STATUS=OR","EQY_CONSOLIDATED=Y","Sort=A","Dates=H","DateFormat=P","Fill=—","Direction=H","UseDPDF=Y")</f>
        <v>#NAME?</v>
      </c>
      <c r="CK56" s="2" t="e">
        <f ca="1">_xll.BDH($C$53,"TOT_DEBT_TO_TOT_EQY","FQ3 2014","FQ3 2014","Currency=INR","Period=FQ","BEST_FPERIOD_OVERRIDE=FQ","FILING_STATUS=OR","EQY_CONSOLIDATED=Y","Sort=A","Dates=H","DateFormat=P","Fill=—","Direction=H","UseDPDF=Y")</f>
        <v>#NAME?</v>
      </c>
      <c r="CL56" s="2" t="e">
        <f ca="1">_xll.BDH($C$53,"TOT_DEBT_TO_TOT_CAP","FQ3 2014","FQ3 2014","Currency=INR","Period=FQ","BEST_FPERIOD_OVERRIDE=FQ","FILING_STATUS=OR","EQY_CONSOLIDATED=Y","Sort=A","Dates=H","DateFormat=P","Fill=—","Direction=H","UseDPDF=Y")</f>
        <v>#NAME?</v>
      </c>
      <c r="CM56" s="2" t="e">
        <f ca="1">_xll.BDH($C$53,"TOT_DEBT_TO_TOT_ASSET","FQ3 2014","FQ3 2014","Currency=INR","Period=FQ","BEST_FPERIOD_OVERRIDE=FQ","FILING_STATUS=OR","EQY_CONSOLIDATED=Y","Sort=A","Dates=H","DateFormat=P","Fill=—","Direction=H","UseDPDF=Y")</f>
        <v>#NAME?</v>
      </c>
      <c r="CN56" s="2" t="e">
        <f ca="1">_xll.BDH($C$53,"NET_DEBT_TO_SHRHLDR_EQTY","FQ3 2014","FQ3 2014","Currency=INR","Period=FQ","BEST_FPERIOD_OVERRIDE=FQ","FILING_STATUS=OR","EQY_CONSOLIDATED=Y","Sort=A","Dates=H","DateFormat=P","Fill=—","Direction=H","UseDPDF=Y")</f>
        <v>#NAME?</v>
      </c>
      <c r="CO56" s="2" t="e">
        <f ca="1">_xll.BDH($C$53,"NET_DEBT_%_CAPITAL","FQ3 2014","FQ3 2014","Currency=INR","Period=FQ","BEST_FPERIOD_OVERRIDE=FQ","FILING_STATUS=OR","EQY_CONSOLIDATED=Y","Sort=A","Dates=H","DateFormat=P","Fill=—","Direction=H","UseDPDF=Y")</f>
        <v>#NAME?</v>
      </c>
      <c r="CP56" s="3" t="e">
        <f ca="1">_xll.BDH($C$53,"EBITDA","FQ3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6" s="3" t="e">
        <f ca="1">_xll.BDH($C$53,"EBITDA_AFTER_CAPEX","FQ3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6" s="3" t="e">
        <f ca="1">_xll.BDH($C$53,"IS_OPER_INC","FQ3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6" s="2" t="e">
        <f ca="1">_xll.BDH($C$53,"CASH_RATIO","FQ3 2014","FQ3 2014","Currency=INR","Period=FQ","BEST_FPERIOD_OVERRIDE=FQ","FILING_STATUS=OR","EQY_CONSOLIDATED=Y","Sort=A","Dates=H","DateFormat=P","Fill=—","Direction=H","UseDPDF=Y")</f>
        <v>#NAME?</v>
      </c>
      <c r="CT56" s="2" t="e">
        <f ca="1">_xll.BDH($C$53,"CUR_RATIO","FQ3 2014","FQ3 2014","Currency=INR","Period=FQ","BEST_FPERIOD_OVERRIDE=FQ","FILING_STATUS=OR","EQY_CONSOLIDATED=Y","Sort=A","Dates=H","DateFormat=P","Fill=—","Direction=H","UseDPDF=Y")</f>
        <v>#NAME?</v>
      </c>
      <c r="CU56" s="2" t="e">
        <f ca="1">_xll.BDH($C$53,"QUICK_RATIO","FQ3 2014","FQ3 2014","Currency=INR","Period=FQ","BEST_FPERIOD_OVERRIDE=FQ","FILING_STATUS=OR","EQY_CONSOLIDATED=Y","Sort=A","Dates=H","DateFormat=P","Fill=—","Direction=H","UseDPDF=Y")</f>
        <v>#NAME?</v>
      </c>
      <c r="CV56" s="2" t="e">
        <f ca="1">_xll.BDH($C$53,"ALTMAN_Z_SCORE","FQ3 2014","FQ3 2014","Currency=INR","Period=FQ","BEST_FPERIOD_OVERRIDE=FQ","FILING_STATUS=OR","EQY_CONSOLIDATED=Y","Sort=A","Dates=H","DateFormat=P","Fill=—","Direction=H","UseDPDF=Y")</f>
        <v>#NAME?</v>
      </c>
      <c r="CW56" s="4" t="e">
        <f ca="1">_xll.BDH($C$53,"ACCT_RCV_TURN","FQ3 2014","FQ3 2014","Currency=INR","Period=FQ","BEST_FPERIOD_OVERRIDE=FQ","FILING_STATUS=OR","EQY_CONSOLIDATED=Y","FA_ADJUSTED=GAAP","Sort=A","Dates=H","DateFormat=P","Fill=—","Direction=H","UseDPDF=Y")</f>
        <v>#NAME?</v>
      </c>
      <c r="CX56" s="2" t="e">
        <f ca="1">_xll.BDH($C$53,"ACCT_RCV_DAYS","FQ3 2014","FQ3 2014","Currency=INR","Period=FQ","BEST_FPERIOD_OVERRIDE=FQ","FILING_STATUS=OR","EQY_CONSOLIDATED=Y","FA_ADJUSTED=GAAP","Sort=A","Dates=H","DateFormat=P","Fill=—","Direction=H","UseDPDF=Y")</f>
        <v>#NAME?</v>
      </c>
      <c r="CY56" s="4" t="e">
        <f ca="1">_xll.BDH($C$53,"INVENT_TURN","FQ3 2014","FQ3 2014","Currency=INR","Period=FQ","BEST_FPERIOD_OVERRIDE=FQ","FILING_STATUS=OR","EQY_CONSOLIDATED=Y","FA_ADJUSTED=GAAP","Sort=A","Dates=H","DateFormat=P","Fill=—","Direction=H","UseDPDF=Y")</f>
        <v>#NAME?</v>
      </c>
      <c r="CZ56" s="2" t="e">
        <f ca="1">_xll.BDH($C$53,"INVENT_DAYS","FQ3 2014","FQ3 2014","Currency=INR","Period=FQ","BEST_FPERIOD_OVERRIDE=FQ","FILING_STATUS=OR","EQY_CONSOLIDATED=Y","FA_ADJUSTED=GAAP","Sort=A","Dates=H","DateFormat=P","Fill=—","Direction=H","UseDPDF=Y")</f>
        <v>#NAME?</v>
      </c>
      <c r="DA56" s="4" t="e">
        <f ca="1">_xll.BDH($C$53,"ACCOUNTS_PAYABLE_TURNOVER","FQ3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6" s="2" t="e">
        <f ca="1">_xll.BDH($C$53,"ACCOUNTS_PAYABLE_TURNOVER_DAYS","FQ3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6" s="4" t="e">
        <f ca="1">_xll.BDH($C$53,"CASH_CONVERSION_CYCLE","FQ3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6" s="4" t="e">
        <f ca="1">_xll.BDH($C$53,"INV_TO_CASH_DAYS","FQ3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6" s="5" t="e">
        <f ca="1">_xll.BDH($C$53,"BS_INVENTORIES","FQ3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6" s="3" t="e">
        <f ca="1">_xll.BDH($C$53,"INVTRY_RAW_MATERIALS","FQ3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6" s="3" t="e">
        <f ca="1">_xll.BDH($C$53,"INVTRY_IN_PROGRESS","FQ3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6" s="3" t="e">
        <f ca="1">_xll.BDH($C$53,"INVTRY_FINISHED_GOODS","FQ3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6" s="3" t="e">
        <f ca="1">_xll.BDH($C$53,"BS_OTHER_INV","FQ3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7" spans="1:113" x14ac:dyDescent="0.3">
      <c r="A57" s="6"/>
      <c r="B57" s="6"/>
      <c r="C57" s="6"/>
      <c r="D57" s="6"/>
      <c r="E57" t="s">
        <v>81</v>
      </c>
      <c r="F57" t="e">
        <f ca="1">_xll.BDH($C$53,"RETURN_COM_EQY","FQ4 2014","FQ4 2014","Currency=INR","Period=FQ","BEST_FPERIOD_OVERRIDE=FQ","FILING_STATUS=OR","EQY_CONSOLIDATED=Y","FA_ADJUSTED=GAAP","Sort=A","Dates=H","DateFormat=P","Fill=—","Direction=H","UseDPDF=Y")</f>
        <v>#NAME?</v>
      </c>
      <c r="G57" t="e">
        <f ca="1">_xll.BDH($C$53,"RETURN_ON_ASSET","FQ4 2014","FQ4 2014","Currency=INR","Period=FQ","BEST_FPERIOD_OVERRIDE=FQ","FILING_STATUS=OR","EQY_CONSOLIDATED=Y","FA_ADJUSTED=GAAP","Sort=A","Dates=H","DateFormat=P","Fill=—","Direction=H","UseDPDF=Y")</f>
        <v>#NAME?</v>
      </c>
      <c r="H57" t="e">
        <f ca="1">_xll.BDH($C$53,"RETURN_ON_CAP","FQ4 2014","FQ4 2014","Currency=INR","Period=FQ","BEST_FPERIOD_OVERRIDE=FQ","FILING_STATUS=OR","EQY_CONSOLIDATED=Y","FA_ADJUSTED=GAAP","Sort=A","Dates=H","DateFormat=P","Fill=—","Direction=H","UseDPDF=Y")</f>
        <v>#NAME?</v>
      </c>
      <c r="I57" t="e">
        <f ca="1">_xll.BDH($C$53,"RETURN_ON_INV_CAPITAL","FQ4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7" t="e">
        <f ca="1">_xll.BDH($C$53,"EBITDA_TO_REVENUE","FQ4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7" t="e">
        <f ca="1">_xll.BDH($C$53,"OPER_MARGIN","FQ4 2014","FQ4 2014","Currency=INR","Period=FQ","BEST_FPERIOD_OVERRIDE=FQ","FILING_STATUS=OR","EQY_CONSOLIDATED=Y","FA_ADJUSTED=GAAP","Sort=A","Dates=H","DateFormat=P","Fill=—","Direction=H","UseDPDF=Y")</f>
        <v>#NAME?</v>
      </c>
      <c r="L57" t="e">
        <f ca="1">_xll.BDH($C$53,"INCREMENTAL_OPERATING_MARGIN","FQ4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7" t="e">
        <f ca="1">_xll.BDH($C$53,"PRETAX_INC_TO_NET_SALES","FQ4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7" t="e">
        <f ca="1">_xll.BDH($C$53,"INC_BEF_XO_ITEMS_TO_NET_SALES","FQ4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7" t="e">
        <f ca="1">_xll.BDH($C$53,"PROF_MARGIN","FQ4 2014","FQ4 2014","Currency=INR","Period=FQ","BEST_FPERIOD_OVERRIDE=FQ","FILING_STATUS=OR","EQY_CONSOLIDATED=Y","FA_ADJUSTED=GAAP","Sort=A","Dates=H","DateFormat=P","Fill=—","Direction=H","UseDPDF=Y")</f>
        <v>#NAME?</v>
      </c>
      <c r="P57" t="e">
        <f ca="1">_xll.BDH($C$53,"NET_INCOME_TO_COMMON_MARGIN","FQ4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7" t="e">
        <f ca="1">_xll.BDH($C$53,"EFF_TAX_RATE","FQ4 2014","FQ4 2014","Currency=INR","Period=FQ","BEST_FPERIOD_OVERRIDE=FQ","FILING_STATUS=OR","EQY_CONSOLIDATED=Y","FA_ADJUSTED=GAAP","Sort=A","Dates=H","DateFormat=P","Fill=—","Direction=H","UseDPDF=Y")</f>
        <v>#NAME?</v>
      </c>
      <c r="R57" t="e">
        <f ca="1">_xll.BDH($C$53,"DVD_PAYOUT_RATIO","FQ4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7" t="e">
        <f ca="1">_xll.BDH($C$53,"SUSTAIN_GROWTH_RT","FQ4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7" s="2" t="e">
        <f ca="1">_xll.BDH($C$53,"SALES_GROWTH","FQ4 2014","FQ4 2014","Currency=INR","Period=FQ","BEST_FPERIOD_OVERRIDE=FQ","FILING_STATUS=OR","EQY_CONSOLIDATED=Y","FA_ADJUSTED=GAAP","Sort=A","Dates=H","DateFormat=P","Fill=—","Direction=H","UseDPDF=Y")</f>
        <v>#NAME?</v>
      </c>
      <c r="U57" s="2" t="e">
        <f ca="1">_xll.BDH($C$53,"EBITDA_GROWTH","FQ4 2014","FQ4 2014","Currency=INR","Period=FQ","BEST_FPERIOD_OVERRIDE=FQ","FILING_STATUS=OR","EQY_CONSOLIDATED=Y","FA_ADJUSTED=GAAP","Sort=A","Dates=H","DateFormat=P","Fill=—","Direction=H","UseDPDF=Y")</f>
        <v>#NAME?</v>
      </c>
      <c r="V57" s="2" t="e">
        <f ca="1">_xll.BDH($C$53,"OPER_INC_GROWTH","FQ4 2014","FQ4 2014","Currency=INR","Period=FQ","BEST_FPERIOD_OVERRIDE=FQ","FILING_STATUS=OR","EQY_CONSOLIDATED=Y","FA_ADJUSTED=GAAP","Sort=A","Dates=H","DateFormat=P","Fill=—","Direction=H","UseDPDF=Y")</f>
        <v>#NAME?</v>
      </c>
      <c r="W57" s="2" t="e">
        <f ca="1">_xll.BDH($C$53,"EARN_FOR_COM_GROWTH","FQ4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7" s="2" t="e">
        <f ca="1">_xll.BDH($C$53,"DILUTED_EPS_AFT_XO_ITEMS_GROWTH","FQ4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7" s="2" t="e">
        <f ca="1">_xll.BDH($C$53,"DIVIDEND_PER_SHARE_1_YEAR_GROWTH","FQ4 2014","FQ4 2014","Currency=INR","Period=FQ","BEST_FPERIOD_OVERRIDE=FQ","FILING_STATUS=OR","EQY_CONSOLIDATED=Y","Sort=A","Dates=H","DateFormat=P","Fill=—","Direction=H","UseDPDF=Y")</f>
        <v>#NAME?</v>
      </c>
      <c r="Z57" s="2" t="e">
        <f ca="1">_xll.BDH($C$53,"ACCOUNTS_RECEIVABLE_GROWTH","FQ4 2014","FQ4 2014","Currency=INR","Period=FQ","BEST_FPERIOD_OVERRIDE=FQ","FILING_STATUS=OR","EQY_CONSOLIDATED=Y","Sort=A","Dates=H","DateFormat=P","Fill=—","Direction=H","UseDPDF=Y")</f>
        <v>#NAME?</v>
      </c>
      <c r="AA57" s="2" t="e">
        <f ca="1">_xll.BDH($C$53,"INVENTORY_GROWTH","FQ4 2014","FQ4 2014","Currency=INR","Period=FQ","BEST_FPERIOD_OVERRIDE=FQ","FILING_STATUS=OR","EQY_CONSOLIDATED=Y","Sort=A","Dates=H","DateFormat=P","Fill=—","Direction=H","UseDPDF=Y")</f>
        <v>#NAME?</v>
      </c>
      <c r="AB57" s="2" t="e">
        <f ca="1">_xll.BDH($C$53,"NET_FIXED_ASSETS_1_YEAR_GROWTH","FQ4 2014","FQ4 2014","Currency=INR","Period=FQ","BEST_FPERIOD_OVERRIDE=FQ","FILING_STATUS=OR","EQY_CONSOLIDATED=Y","Sort=A","Dates=H","DateFormat=P","Fill=—","Direction=H","UseDPDF=Y")</f>
        <v>#NAME?</v>
      </c>
      <c r="AC57" s="2" t="e">
        <f ca="1">_xll.BDH($C$53,"ASSET_GROWTH","FQ4 2014","FQ4 2014","Currency=INR","Period=FQ","BEST_FPERIOD_OVERRIDE=FQ","FILING_STATUS=OR","EQY_CONSOLIDATED=Y","Sort=A","Dates=H","DateFormat=P","Fill=—","Direction=H","UseDPDF=Y")</f>
        <v>#NAME?</v>
      </c>
      <c r="AD57" s="2" t="e">
        <f ca="1">_xll.BDH($C$53,"MODIFIED_WORK_CAP_GROWTH","FQ4 2014","FQ4 2014","Currency=INR","Period=FQ","BEST_FPERIOD_OVERRIDE=FQ","FILING_STATUS=OR","EQY_CONSOLIDATED=Y","Sort=A","Dates=H","DateFormat=P","Fill=—","Direction=H","UseDPDF=Y")</f>
        <v>#NAME?</v>
      </c>
      <c r="AE57" s="2" t="e">
        <f ca="1">_xll.BDH($C$53,"WORK_CAP_GROWTH","FQ4 2014","FQ4 2014","Currency=INR","Period=FQ","BEST_FPERIOD_OVERRIDE=FQ","FILING_STATUS=OR","EQY_CONSOLIDATED=Y","Sort=A","Dates=H","DateFormat=P","Fill=—","Direction=H","UseDPDF=Y")</f>
        <v>#NAME?</v>
      </c>
      <c r="AF57" s="2" t="e">
        <f ca="1">_xll.BDH($C$53,"ACCOUNTS_PAYABLE_GROWTH_1YR","FQ4 2014","FQ4 2014","Currency=INR","Period=FQ","BEST_FPERIOD_OVERRIDE=FQ","FILING_STATUS=OR","EQY_CONSOLIDATED=Y","Sort=A","Dates=H","DateFormat=P","Fill=—","Direction=H","UseDPDF=Y")</f>
        <v>#NAME?</v>
      </c>
      <c r="AG57" s="2" t="e">
        <f ca="1">_xll.BDH($C$53,"SHORT_TERM_DEBT_1_YEAR_GROWTH","FQ4 2014","FQ4 2014","Currency=INR","Period=FQ","BEST_FPERIOD_OVERRIDE=FQ","FILING_STATUS=OR","EQY_CONSOLIDATED=Y","Sort=A","Dates=H","DateFormat=P","Fill=—","Direction=H","UseDPDF=Y")</f>
        <v>#NAME?</v>
      </c>
      <c r="AH57" s="2" t="e">
        <f ca="1">_xll.BDH($C$53,"TOTAL_DEBT_1_YEAR_GROWTH","FQ4 2014","FQ4 2014","Currency=INR","Period=FQ","BEST_FPERIOD_OVERRIDE=FQ","FILING_STATUS=OR","EQY_CONSOLIDATED=Y","Sort=A","Dates=H","DateFormat=P","Fill=—","Direction=H","UseDPDF=Y")</f>
        <v>#NAME?</v>
      </c>
      <c r="AI57" s="2" t="e">
        <f ca="1">_xll.BDH($C$53,"TOTAL_EQUITY_1_YEAR_GROWTH","FQ4 2014","FQ4 2014","Currency=INR","Period=FQ","BEST_FPERIOD_OVERRIDE=FQ","FILING_STATUS=OR","EQY_CONSOLIDATED=Y","Sort=A","Dates=H","DateFormat=P","Fill=—","Direction=H","UseDPDF=Y")</f>
        <v>#NAME?</v>
      </c>
      <c r="AJ57" s="2" t="e">
        <f ca="1">_xll.BDH($C$53,"GROWTH_IN_CAP","FQ4 2014","FQ4 2014","Currency=INR","Period=FQ","BEST_FPERIOD_OVERRIDE=FQ","FILING_STATUS=OR","EQY_CONSOLIDATED=Y","Sort=A","Dates=H","DateFormat=P","Fill=—","Direction=H","UseDPDF=Y")</f>
        <v>#NAME?</v>
      </c>
      <c r="AK57" s="2" t="e">
        <f ca="1">_xll.BDH($C$53,"BVPS_GROWTH","FQ4 2014","FQ4 2014","Currency=INR","Period=FQ","BEST_FPERIOD_OVERRIDE=FQ","FILING_STATUS=OR","EQY_CONSOLIDATED=Y","Sort=A","Dates=H","DateFormat=P","Fill=—","Direction=H","UseDPDF=Y")</f>
        <v>#NAME?</v>
      </c>
      <c r="AL57" s="2" t="e">
        <f ca="1">_xll.BDH($C$53,"CASH_FLOW_GROWTH","FQ4 2014","FQ4 2014","Currency=INR","Period=FQ","BEST_FPERIOD_OVERRIDE=FQ","FILING_STATUS=OR","EQY_CONSOLIDATED=Y","Sort=A","Dates=H","DateFormat=P","Fill=—","Direction=H","UseDPDF=Y")</f>
        <v>#NAME?</v>
      </c>
      <c r="AM57" s="2" t="e">
        <f ca="1">_xll.BDH($C$53,"GEO_GROW_NET_SALES","FQ4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7" s="2" t="e">
        <f ca="1">_xll.BDH($C$53,"GEO_GROW_EBITDA","FQ4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7" s="2" t="e">
        <f ca="1">_xll.BDH($C$53,"GEO_GROW_OPER_INC","FQ4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7" s="2" t="e">
        <f ca="1">_xll.BDH($C$53,"NET_INCOME_TO_COMMON_5_YR_GROWTH","FQ4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7" s="2" t="e">
        <f ca="1">_xll.BDH($C$53,"5Y_GEO_GROWTH_DILUTED_EPS","FQ4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7" s="2" t="e">
        <f ca="1">_xll.BDH($C$53,"GEO_GROW_DVD_PER_SH","FQ4 2014","FQ4 2014","Currency=INR","Period=FQ","BEST_FPERIOD_OVERRIDE=FQ","FILING_STATUS=OR","EQY_CONSOLIDATED=Y","Sort=A","Dates=H","DateFormat=P","Fill=—","Direction=H","UseDPDF=Y")</f>
        <v>#NAME?</v>
      </c>
      <c r="AS57" s="2" t="e">
        <f ca="1">_xll.BDH($C$53,"ACCOUNTS_RECEIVABLE_5_YR_GROWTH","FQ4 2014","FQ4 2014","Currency=INR","Period=FQ","BEST_FPERIOD_OVERRIDE=FQ","FILING_STATUS=OR","EQY_CONSOLIDATED=Y","Sort=A","Dates=H","DateFormat=P","Fill=—","Direction=H","UseDPDF=Y")</f>
        <v>#NAME?</v>
      </c>
      <c r="AT57" s="2" t="e">
        <f ca="1">_xll.BDH($C$53,"INVENTORY_5_YEAR_GROWTH","FQ4 2014","FQ4 2014","Currency=INR","Period=FQ","BEST_FPERIOD_OVERRIDE=FQ","FILING_STATUS=OR","EQY_CONSOLIDATED=Y","Sort=A","Dates=H","DateFormat=P","Fill=—","Direction=H","UseDPDF=Y")</f>
        <v>#NAME?</v>
      </c>
      <c r="AU57" s="2" t="e">
        <f ca="1">_xll.BDH($C$53,"NET_FIXED_ASSETS_5_YEAR_GROWTH","FQ4 2014","FQ4 2014","Currency=INR","Period=FQ","BEST_FPERIOD_OVERRIDE=FQ","FILING_STATUS=OR","EQY_CONSOLIDATED=Y","Sort=A","Dates=H","DateFormat=P","Fill=—","Direction=H","UseDPDF=Y")</f>
        <v>#NAME?</v>
      </c>
      <c r="AV57" s="2" t="e">
        <f ca="1">_xll.BDH($C$53,"GEO_GROW_TOT_ASSET","FQ4 2014","FQ4 2014","Currency=INR","Period=FQ","BEST_FPERIOD_OVERRIDE=FQ","FILING_STATUS=OR","EQY_CONSOLIDATED=Y","Sort=A","Dates=H","DateFormat=P","Fill=—","Direction=H","UseDPDF=Y")</f>
        <v>#NAME?</v>
      </c>
      <c r="AW57" s="2" t="e">
        <f ca="1">_xll.BDH($C$53,"MODIFIED_WORKING_CPTL_5YR_GRWTH","FQ4 2014","FQ4 2014","Currency=INR","Period=FQ","BEST_FPERIOD_OVERRIDE=FQ","FILING_STATUS=OR","EQY_CONSOLIDATED=Y","Sort=A","Dates=H","DateFormat=P","Fill=—","Direction=H","UseDPDF=Y")</f>
        <v>#NAME?</v>
      </c>
      <c r="AX57" s="2" t="e">
        <f ca="1">_xll.BDH($C$53,"WORKING_CAPITAL_5_YEAR_GROWTH","FQ4 2014","FQ4 2014","Currency=INR","Period=FQ","BEST_FPERIOD_OVERRIDE=FQ","FILING_STATUS=OR","EQY_CONSOLIDATED=Y","Sort=A","Dates=H","DateFormat=P","Fill=—","Direction=H","UseDPDF=Y")</f>
        <v>#NAME?</v>
      </c>
      <c r="AY57" s="2" t="e">
        <f ca="1">_xll.BDH($C$53,"ACCOUNTS_PAYABLE_5_YEAR_GROWTH","FQ4 2014","FQ4 2014","Currency=INR","Period=FQ","BEST_FPERIOD_OVERRIDE=FQ","FILING_STATUS=OR","EQY_CONSOLIDATED=Y","Sort=A","Dates=H","DateFormat=P","Fill=—","Direction=H","UseDPDF=Y")</f>
        <v>#NAME?</v>
      </c>
      <c r="AZ57" s="2" t="e">
        <f ca="1">_xll.BDH($C$53,"SHORT_TERM_DEBT_5_YEAR_GROWTH","FQ4 2014","FQ4 2014","Currency=INR","Period=FQ","BEST_FPERIOD_OVERRIDE=FQ","FILING_STATUS=OR","EQY_CONSOLIDATED=Y","Sort=A","Dates=H","DateFormat=P","Fill=—","Direction=H","UseDPDF=Y")</f>
        <v>#NAME?</v>
      </c>
      <c r="BA57" s="2" t="e">
        <f ca="1">_xll.BDH($C$53,"TOTAL_DEBT_5_YEAR_GROWTH","FQ4 2014","FQ4 2014","Currency=INR","Period=FQ","BEST_FPERIOD_OVERRIDE=FQ","FILING_STATUS=OR","EQY_CONSOLIDATED=Y","Sort=A","Dates=H","DateFormat=P","Fill=—","Direction=H","UseDPDF=Y")</f>
        <v>#NAME?</v>
      </c>
      <c r="BB57" s="2" t="e">
        <f ca="1">_xll.BDH($C$53,"GEO_GROW_TOT_SHRHLDR_EQY","FQ4 2014","FQ4 2014","Currency=INR","Period=FQ","BEST_FPERIOD_OVERRIDE=FQ","FILING_STATUS=OR","EQY_CONSOLIDATED=Y","Sort=A","Dates=H","DateFormat=P","Fill=—","Direction=H","UseDPDF=Y")</f>
        <v>#NAME?</v>
      </c>
      <c r="BC57" s="2" t="e">
        <f ca="1">_xll.BDH($C$53,"TOTAL_CAPITAL_5_YEAR_GROWTH","FQ4 2014","FQ4 2014","Currency=INR","Period=FQ","BEST_FPERIOD_OVERRIDE=FQ","FILING_STATUS=OR","EQY_CONSOLIDATED=Y","Sort=A","Dates=H","DateFormat=P","Fill=—","Direction=H","UseDPDF=Y")</f>
        <v>#NAME?</v>
      </c>
      <c r="BD57" s="2" t="e">
        <f ca="1">_xll.BDH($C$53,"GEO_GROW_BOOK_VAL","FQ4 2014","FQ4 2014","Currency=INR","Period=FQ","BEST_FPERIOD_OVERRIDE=FQ","FILING_STATUS=OR","EQY_CONSOLIDATED=Y","Sort=A","Dates=H","DateFormat=P","Fill=—","Direction=H","UseDPDF=Y")</f>
        <v>#NAME?</v>
      </c>
      <c r="BE57" s="2" t="e">
        <f ca="1">_xll.BDH($C$53,"GEO_GROW_CASH_OPER_ACT","FQ4 2014","FQ4 2014","Currency=INR","Period=FQ","BEST_FPERIOD_OVERRIDE=FQ","FILING_STATUS=OR","EQY_CONSOLIDATED=Y","Sort=A","Dates=H","DateFormat=P","Fill=—","Direction=H","UseDPDF=Y")</f>
        <v>#NAME?</v>
      </c>
      <c r="BF57" s="2" t="e">
        <f ca="1">_xll.BDH($C$53,"REVENUE_SEQUENTIAL_GROWTH","FQ4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7" s="2" t="e">
        <f ca="1">_xll.BDH($C$53,"EBITDA_SEQUENTIAL_GROWTH","FQ4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7" s="2" t="e">
        <f ca="1">_xll.BDH($C$53,"OPERATING_INCOME_SEQ_GROWTH","FQ4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7" s="2" t="e">
        <f ca="1">_xll.BDH($C$53,"NET_INCOME_TO_COMMON_SEQ_GROWTH","FQ4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7" s="2" t="e">
        <f ca="1">_xll.BDH($C$53,"EPS_DILUTED_SEQUENTIAL_GROWTH","FQ4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7" s="2" t="e">
        <f ca="1">_xll.BDH($C$53,"DPS_SEQUENTIAL_GROWTH","FQ4 2014","FQ4 2014","Currency=INR","Period=FQ","BEST_FPERIOD_OVERRIDE=FQ","FILING_STATUS=OR","EQY_CONSOLIDATED=Y","Sort=A","Dates=H","DateFormat=P","Fill=—","Direction=H","UseDPDF=Y")</f>
        <v>#NAME?</v>
      </c>
      <c r="BL57" s="2" t="e">
        <f ca="1">_xll.BDH($C$53,"ACCOUNTS_RECEIVABLE_SEQ_GROWTH","FQ4 2014","FQ4 2014","Currency=INR","Period=FQ","BEST_FPERIOD_OVERRIDE=FQ","FILING_STATUS=OR","EQY_CONSOLIDATED=Y","Sort=A","Dates=H","DateFormat=P","Fill=—","Direction=H","UseDPDF=Y")</f>
        <v>#NAME?</v>
      </c>
      <c r="BM57" s="2" t="e">
        <f ca="1">_xll.BDH($C$53,"INVENTORY_SEQUENTIAL_GROWTH","FQ4 2014","FQ4 2014","Currency=INR","Period=FQ","BEST_FPERIOD_OVERRIDE=FQ","FILING_STATUS=OR","EQY_CONSOLIDATED=Y","Sort=A","Dates=H","DateFormat=P","Fill=—","Direction=H","UseDPDF=Y")</f>
        <v>#NAME?</v>
      </c>
      <c r="BN57" s="2" t="e">
        <f ca="1">_xll.BDH($C$53,"FIXED_ASSETS_SEQUENTIAL_GROWTH","FQ4 2014","FQ4 2014","Currency=INR","Period=FQ","BEST_FPERIOD_OVERRIDE=FQ","FILING_STATUS=OR","EQY_CONSOLIDATED=Y","Sort=A","Dates=H","DateFormat=P","Fill=—","Direction=H","UseDPDF=Y")</f>
        <v>#NAME?</v>
      </c>
      <c r="BO57" s="2" t="e">
        <f ca="1">_xll.BDH($C$53,"TOTAL_ASSETS_SEQUENTIAL_GROWTH","FQ4 2014","FQ4 2014","Currency=INR","Period=FQ","BEST_FPERIOD_OVERRIDE=FQ","FILING_STATUS=OR","EQY_CONSOLIDATED=Y","Sort=A","Dates=H","DateFormat=P","Fill=—","Direction=H","UseDPDF=Y")</f>
        <v>#NAME?</v>
      </c>
      <c r="BP57" s="2" t="e">
        <f ca="1">_xll.BDH($C$53,"MODIFIED_WORKING_CPTL_SEQ_GRWTH","FQ4 2014","FQ4 2014","Currency=INR","Period=FQ","BEST_FPERIOD_OVERRIDE=FQ","FILING_STATUS=OR","EQY_CONSOLIDATED=Y","Sort=A","Dates=H","DateFormat=P","Fill=—","Direction=H","UseDPDF=Y")</f>
        <v>#NAME?</v>
      </c>
      <c r="BQ57" s="2" t="e">
        <f ca="1">_xll.BDH($C$53,"WORKING_CAPITAL_SEQ_GROWTH","FQ4 2014","FQ4 2014","Currency=INR","Period=FQ","BEST_FPERIOD_OVERRIDE=FQ","FILING_STATUS=OR","EQY_CONSOLIDATED=Y","Sort=A","Dates=H","DateFormat=P","Fill=—","Direction=H","UseDPDF=Y")</f>
        <v>#NAME?</v>
      </c>
      <c r="BR57" s="2" t="e">
        <f ca="1">_xll.BDH($C$53,"ACCOUNTS_PAYABLE_SEQ_GROWTH","FQ4 2014","FQ4 2014","Currency=INR","Period=FQ","BEST_FPERIOD_OVERRIDE=FQ","FILING_STATUS=OR","EQY_CONSOLIDATED=Y","Sort=A","Dates=H","DateFormat=P","Fill=—","Direction=H","UseDPDF=Y")</f>
        <v>#NAME?</v>
      </c>
      <c r="BS57" s="2" t="e">
        <f ca="1">_xll.BDH($C$53,"ST_DEBT_SEQUENTIAL_GROWTH","FQ4 2014","FQ4 2014","Currency=INR","Period=FQ","BEST_FPERIOD_OVERRIDE=FQ","FILING_STATUS=OR","EQY_CONSOLIDATED=Y","Sort=A","Dates=H","DateFormat=P","Fill=—","Direction=H","UseDPDF=Y")</f>
        <v>#NAME?</v>
      </c>
      <c r="BT57" s="2" t="e">
        <f ca="1">_xll.BDH($C$53,"TOTAL_DEBT_SEQUENTIAL_GROWTH","FQ4 2014","FQ4 2014","Currency=INR","Period=FQ","BEST_FPERIOD_OVERRIDE=FQ","FILING_STATUS=OR","EQY_CONSOLIDATED=Y","Sort=A","Dates=H","DateFormat=P","Fill=—","Direction=H","UseDPDF=Y")</f>
        <v>#NAME?</v>
      </c>
      <c r="BU57" s="2" t="e">
        <f ca="1">_xll.BDH($C$53,"TOTAL_EQUITY_SEQUENTIAL_GROWTH","FQ4 2014","FQ4 2014","Currency=INR","Period=FQ","BEST_FPERIOD_OVERRIDE=FQ","FILING_STATUS=OR","EQY_CONSOLIDATED=Y","Sort=A","Dates=H","DateFormat=P","Fill=—","Direction=H","UseDPDF=Y")</f>
        <v>#NAME?</v>
      </c>
      <c r="BV57" s="2" t="e">
        <f ca="1">_xll.BDH($C$53,"TOTAL_CAPITAL_SEQUENTIAL_GROWTH","FQ4 2014","FQ4 2014","Currency=INR","Period=FQ","BEST_FPERIOD_OVERRIDE=FQ","FILING_STATUS=OR","EQY_CONSOLIDATED=Y","Sort=A","Dates=H","DateFormat=P","Fill=—","Direction=H","UseDPDF=Y")</f>
        <v>#NAME?</v>
      </c>
      <c r="BW57" s="2" t="e">
        <f ca="1">_xll.BDH($C$53,"BPS_SEQUENTIAL_GROWTH","FQ4 2014","FQ4 2014","Currency=INR","Period=FQ","BEST_FPERIOD_OVERRIDE=FQ","FILING_STATUS=OR","EQY_CONSOLIDATED=Y","Sort=A","Dates=H","DateFormat=P","Fill=—","Direction=H","UseDPDF=Y")</f>
        <v>#NAME?</v>
      </c>
      <c r="BX57" s="2" t="e">
        <f ca="1">_xll.BDH($C$53,"CFO_SEQUENTIAL_GROWTH","FQ4 2014","FQ4 2014","Currency=INR","Period=FQ","BEST_FPERIOD_OVERRIDE=FQ","FILING_STATUS=OR","EQY_CONSOLIDATED=Y","Sort=A","Dates=H","DateFormat=P","Fill=—","Direction=H","UseDPDF=Y")</f>
        <v>#NAME?</v>
      </c>
      <c r="BY57" s="3" t="e">
        <f ca="1">_xll.BDH($C$53,"SHORT_AND_LONG_TERM_DEBT","FQ4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7" s="3" t="e">
        <f ca="1">_xll.BDH($C$53,"BS_ST_BORROW","FQ4 2014","FQ4 2014","Currency=INR","Period=FQ","BEST_FPERIOD_OVERRIDE=FQ","FILING_STATUS=OR","EQY_CONSOLIDATED=Y","SCALING_FORMAT=MLN","Sort=A","Dates=H","DateFormat=P","Fill=—","Direction=H","UseDPDF=Y")</f>
        <v>#NAME?</v>
      </c>
      <c r="CA57" s="3" t="e">
        <f ca="1">_xll.BDH($C$53,"BS_LT_BORROW","FQ4 2014","FQ4 2014","Currency=INR","Period=FQ","BEST_FPERIOD_OVERRIDE=FQ","FILING_STATUS=OR","EQY_CONSOLIDATED=Y","SCALING_FORMAT=MLN","Sort=A","Dates=H","DateFormat=P","Fill=—","Direction=H","UseDPDF=Y")</f>
        <v>#NAME?</v>
      </c>
      <c r="CB57" s="2" t="e">
        <f ca="1">_xll.BDH($C$53,"TOT_DEBT_TO_EBITDA","FQ4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7" s="2" t="e">
        <f ca="1">_xll.BDH($C$53,"NET_DEBT_TO_EBITDA","FQ4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7" s="2" t="e">
        <f ca="1">_xll.BDH($C$53,"TOTAL_DEBT_TO_EBIT","FQ4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7" s="2" t="e">
        <f ca="1">_xll.BDH($C$53,"NET_DEBT_TO_EBIT","FQ4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7" s="2" t="e">
        <f ca="1">_xll.BDH($C$53,"EBITDA_TO_INTEREST_EXPN","FQ4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7" s="2" t="e">
        <f ca="1">_xll.BDH($C$53,"COM_EQY_TO_TOT_ASSET","FQ4 2014","FQ4 2014","Currency=INR","Period=FQ","BEST_FPERIOD_OVERRIDE=FQ","FILING_STATUS=OR","EQY_CONSOLIDATED=Y","Sort=A","Dates=H","DateFormat=P","Fill=—","Direction=H","UseDPDF=Y")</f>
        <v>#NAME?</v>
      </c>
      <c r="CH57" s="2" t="e">
        <f ca="1">_xll.BDH($C$53,"LT_DEBT_TO_TOT_EQY","FQ4 2014","FQ4 2014","Currency=INR","Period=FQ","BEST_FPERIOD_OVERRIDE=FQ","FILING_STATUS=OR","EQY_CONSOLIDATED=Y","Sort=A","Dates=H","DateFormat=P","Fill=—","Direction=H","UseDPDF=Y")</f>
        <v>#NAME?</v>
      </c>
      <c r="CI57" s="2" t="e">
        <f ca="1">_xll.BDH($C$53,"LT_DEBT_TO_TOT_CAP","FQ4 2014","FQ4 2014","Currency=INR","Period=FQ","BEST_FPERIOD_OVERRIDE=FQ","FILING_STATUS=OR","EQY_CONSOLIDATED=Y","Sort=A","Dates=H","DateFormat=P","Fill=—","Direction=H","UseDPDF=Y")</f>
        <v>#NAME?</v>
      </c>
      <c r="CJ57" s="2" t="e">
        <f ca="1">_xll.BDH($C$53,"LT_DEBT_TO_TOT_ASSET","FQ4 2014","FQ4 2014","Currency=INR","Period=FQ","BEST_FPERIOD_OVERRIDE=FQ","FILING_STATUS=OR","EQY_CONSOLIDATED=Y","Sort=A","Dates=H","DateFormat=P","Fill=—","Direction=H","UseDPDF=Y")</f>
        <v>#NAME?</v>
      </c>
      <c r="CK57" s="2" t="e">
        <f ca="1">_xll.BDH($C$53,"TOT_DEBT_TO_TOT_EQY","FQ4 2014","FQ4 2014","Currency=INR","Period=FQ","BEST_FPERIOD_OVERRIDE=FQ","FILING_STATUS=OR","EQY_CONSOLIDATED=Y","Sort=A","Dates=H","DateFormat=P","Fill=—","Direction=H","UseDPDF=Y")</f>
        <v>#NAME?</v>
      </c>
      <c r="CL57" s="2" t="e">
        <f ca="1">_xll.BDH($C$53,"TOT_DEBT_TO_TOT_CAP","FQ4 2014","FQ4 2014","Currency=INR","Period=FQ","BEST_FPERIOD_OVERRIDE=FQ","FILING_STATUS=OR","EQY_CONSOLIDATED=Y","Sort=A","Dates=H","DateFormat=P","Fill=—","Direction=H","UseDPDF=Y")</f>
        <v>#NAME?</v>
      </c>
      <c r="CM57" s="2" t="e">
        <f ca="1">_xll.BDH($C$53,"TOT_DEBT_TO_TOT_ASSET","FQ4 2014","FQ4 2014","Currency=INR","Period=FQ","BEST_FPERIOD_OVERRIDE=FQ","FILING_STATUS=OR","EQY_CONSOLIDATED=Y","Sort=A","Dates=H","DateFormat=P","Fill=—","Direction=H","UseDPDF=Y")</f>
        <v>#NAME?</v>
      </c>
      <c r="CN57" s="2" t="e">
        <f ca="1">_xll.BDH($C$53,"NET_DEBT_TO_SHRHLDR_EQTY","FQ4 2014","FQ4 2014","Currency=INR","Period=FQ","BEST_FPERIOD_OVERRIDE=FQ","FILING_STATUS=OR","EQY_CONSOLIDATED=Y","Sort=A","Dates=H","DateFormat=P","Fill=—","Direction=H","UseDPDF=Y")</f>
        <v>#NAME?</v>
      </c>
      <c r="CO57" s="2" t="e">
        <f ca="1">_xll.BDH($C$53,"NET_DEBT_%_CAPITAL","FQ4 2014","FQ4 2014","Currency=INR","Period=FQ","BEST_FPERIOD_OVERRIDE=FQ","FILING_STATUS=OR","EQY_CONSOLIDATED=Y","Sort=A","Dates=H","DateFormat=P","Fill=—","Direction=H","UseDPDF=Y")</f>
        <v>#NAME?</v>
      </c>
      <c r="CP57" s="3" t="e">
        <f ca="1">_xll.BDH($C$53,"EBITDA","FQ4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7" s="3" t="e">
        <f ca="1">_xll.BDH($C$53,"EBITDA_AFTER_CAPEX","FQ4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7" s="3" t="e">
        <f ca="1">_xll.BDH($C$53,"IS_OPER_INC","FQ4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7" s="2" t="e">
        <f ca="1">_xll.BDH($C$53,"CASH_RATIO","FQ4 2014","FQ4 2014","Currency=INR","Period=FQ","BEST_FPERIOD_OVERRIDE=FQ","FILING_STATUS=OR","EQY_CONSOLIDATED=Y","Sort=A","Dates=H","DateFormat=P","Fill=—","Direction=H","UseDPDF=Y")</f>
        <v>#NAME?</v>
      </c>
      <c r="CT57" s="2" t="e">
        <f ca="1">_xll.BDH($C$53,"CUR_RATIO","FQ4 2014","FQ4 2014","Currency=INR","Period=FQ","BEST_FPERIOD_OVERRIDE=FQ","FILING_STATUS=OR","EQY_CONSOLIDATED=Y","Sort=A","Dates=H","DateFormat=P","Fill=—","Direction=H","UseDPDF=Y")</f>
        <v>#NAME?</v>
      </c>
      <c r="CU57" s="2" t="e">
        <f ca="1">_xll.BDH($C$53,"QUICK_RATIO","FQ4 2014","FQ4 2014","Currency=INR","Period=FQ","BEST_FPERIOD_OVERRIDE=FQ","FILING_STATUS=OR","EQY_CONSOLIDATED=Y","Sort=A","Dates=H","DateFormat=P","Fill=—","Direction=H","UseDPDF=Y")</f>
        <v>#NAME?</v>
      </c>
      <c r="CV57" s="2" t="e">
        <f ca="1">_xll.BDH($C$53,"ALTMAN_Z_SCORE","FQ4 2014","FQ4 2014","Currency=INR","Period=FQ","BEST_FPERIOD_OVERRIDE=FQ","FILING_STATUS=OR","EQY_CONSOLIDATED=Y","Sort=A","Dates=H","DateFormat=P","Fill=—","Direction=H","UseDPDF=Y")</f>
        <v>#NAME?</v>
      </c>
      <c r="CW57" s="4" t="e">
        <f ca="1">_xll.BDH($C$53,"ACCT_RCV_TURN","FQ4 2014","FQ4 2014","Currency=INR","Period=FQ","BEST_FPERIOD_OVERRIDE=FQ","FILING_STATUS=OR","EQY_CONSOLIDATED=Y","FA_ADJUSTED=GAAP","Sort=A","Dates=H","DateFormat=P","Fill=—","Direction=H","UseDPDF=Y")</f>
        <v>#NAME?</v>
      </c>
      <c r="CX57" s="2" t="e">
        <f ca="1">_xll.BDH($C$53,"ACCT_RCV_DAYS","FQ4 2014","FQ4 2014","Currency=INR","Period=FQ","BEST_FPERIOD_OVERRIDE=FQ","FILING_STATUS=OR","EQY_CONSOLIDATED=Y","FA_ADJUSTED=GAAP","Sort=A","Dates=H","DateFormat=P","Fill=—","Direction=H","UseDPDF=Y")</f>
        <v>#NAME?</v>
      </c>
      <c r="CY57" s="4" t="e">
        <f ca="1">_xll.BDH($C$53,"INVENT_TURN","FQ4 2014","FQ4 2014","Currency=INR","Period=FQ","BEST_FPERIOD_OVERRIDE=FQ","FILING_STATUS=OR","EQY_CONSOLIDATED=Y","FA_ADJUSTED=GAAP","Sort=A","Dates=H","DateFormat=P","Fill=—","Direction=H","UseDPDF=Y")</f>
        <v>#NAME?</v>
      </c>
      <c r="CZ57" s="2" t="e">
        <f ca="1">_xll.BDH($C$53,"INVENT_DAYS","FQ4 2014","FQ4 2014","Currency=INR","Period=FQ","BEST_FPERIOD_OVERRIDE=FQ","FILING_STATUS=OR","EQY_CONSOLIDATED=Y","FA_ADJUSTED=GAAP","Sort=A","Dates=H","DateFormat=P","Fill=—","Direction=H","UseDPDF=Y")</f>
        <v>#NAME?</v>
      </c>
      <c r="DA57" s="4" t="e">
        <f ca="1">_xll.BDH($C$53,"ACCOUNTS_PAYABLE_TURNOVER","FQ4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7" s="2" t="e">
        <f ca="1">_xll.BDH($C$53,"ACCOUNTS_PAYABLE_TURNOVER_DAYS","FQ4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7" s="4" t="e">
        <f ca="1">_xll.BDH($C$53,"CASH_CONVERSION_CYCLE","FQ4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7" s="4" t="e">
        <f ca="1">_xll.BDH($C$53,"INV_TO_CASH_DAYS","FQ4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7" s="5" t="e">
        <f ca="1">_xll.BDH($C$53,"BS_INVENTORIES","FQ4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7" s="3" t="e">
        <f ca="1">_xll.BDH($C$53,"INVTRY_RAW_MATERIALS","FQ4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7" s="3" t="e">
        <f ca="1">_xll.BDH($C$53,"INVTRY_IN_PROGRESS","FQ4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7" s="3" t="e">
        <f ca="1">_xll.BDH($C$53,"INVTRY_FINISHED_GOODS","FQ4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7" s="3" t="e">
        <f ca="1">_xll.BDH($C$53,"BS_OTHER_INV","FQ4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" spans="1:113" x14ac:dyDescent="0.3">
      <c r="A58" s="6"/>
      <c r="B58" s="6"/>
      <c r="C58" s="6"/>
      <c r="D58" s="6" t="s">
        <v>82</v>
      </c>
      <c r="E58" t="s">
        <v>77</v>
      </c>
      <c r="F58" t="e">
        <f ca="1">_xll.BDH($C$53,"RETURN_COM_EQY","FY 2015","FY 2015","Currency=INR","Period=FY","BEST_FPERIOD_OVERRIDE=FY","FILING_STATUS=OR","EQY_CONSOLIDATED=Y","FA_ADJUSTED=GAAP","Sort=A","Dates=H","DateFormat=P","Fill=—","Direction=H","UseDPDF=Y")</f>
        <v>#NAME?</v>
      </c>
      <c r="G58" t="e">
        <f ca="1">_xll.BDH($C$53,"RETURN_ON_ASSET","FY 2015","FY 2015","Currency=INR","Period=FY","BEST_FPERIOD_OVERRIDE=FY","FILING_STATUS=OR","EQY_CONSOLIDATED=Y","FA_ADJUSTED=GAAP","Sort=A","Dates=H","DateFormat=P","Fill=—","Direction=H","UseDPDF=Y")</f>
        <v>#NAME?</v>
      </c>
      <c r="H58" t="e">
        <f ca="1">_xll.BDH($C$53,"RETURN_ON_CAP","FY 2015","FY 2015","Currency=INR","Period=FY","BEST_FPERIOD_OVERRIDE=FY","FILING_STATUS=OR","EQY_CONSOLIDATED=Y","FA_ADJUSTED=GAAP","Sort=A","Dates=H","DateFormat=P","Fill=—","Direction=H","UseDPDF=Y")</f>
        <v>#NAME?</v>
      </c>
      <c r="I58" t="e">
        <f ca="1">_xll.BDH($C$53,"RETURN_ON_INV_CAPITAL","FY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" t="e">
        <f ca="1">_xll.BDH($C$53,"EBITDA_TO_REVENUE","FY 2015","FY 2015","Currency=INR","Period=FY","BEST_FPERIOD_OVERRIDE=FY","FILING_STATUS=OR","EQY_CONSOLIDATED=Y","FA_ADJUSTED=GAAP","Sort=A","Dates=H","DateFormat=P","Fill=—","Direction=H","UseDPDF=Y")</f>
        <v>#NAME?</v>
      </c>
      <c r="K58" t="e">
        <f ca="1">_xll.BDH($C$53,"OPER_MARGIN","FY 2015","FY 2015","Currency=INR","Period=FY","BEST_FPERIOD_OVERRIDE=FY","FILING_STATUS=OR","EQY_CONSOLIDATED=Y","FA_ADJUSTED=GAAP","Sort=A","Dates=H","DateFormat=P","Fill=—","Direction=H","UseDPDF=Y")</f>
        <v>#NAME?</v>
      </c>
      <c r="L58" t="e">
        <f ca="1">_xll.BDH($C$53,"INCREMENTAL_OPERATING_MARGIN","FY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" t="e">
        <f ca="1">_xll.BDH($C$53,"PRETAX_INC_TO_NET_SALES","FY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" t="e">
        <f ca="1">_xll.BDH($C$53,"INC_BEF_XO_ITEMS_TO_NET_SALES","FY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" t="e">
        <f ca="1">_xll.BDH($C$53,"PROF_MARGIN","FY 2015","FY 2015","Currency=INR","Period=FY","BEST_FPERIOD_OVERRIDE=FY","FILING_STATUS=OR","EQY_CONSOLIDATED=Y","FA_ADJUSTED=GAAP","Sort=A","Dates=H","DateFormat=P","Fill=—","Direction=H","UseDPDF=Y")</f>
        <v>#NAME?</v>
      </c>
      <c r="P58" t="e">
        <f ca="1">_xll.BDH($C$53,"NET_INCOME_TO_COMMON_MARGIN","FY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" t="e">
        <f ca="1">_xll.BDH($C$53,"EFF_TAX_RATE","FY 2015","FY 2015","Currency=INR","Period=FY","BEST_FPERIOD_OVERRIDE=FY","FILING_STATUS=OR","EQY_CONSOLIDATED=Y","FA_ADJUSTED=GAAP","Sort=A","Dates=H","DateFormat=P","Fill=—","Direction=H","UseDPDF=Y")</f>
        <v>#NAME?</v>
      </c>
      <c r="R58" t="e">
        <f ca="1">_xll.BDH($C$53,"DVD_PAYOUT_RATIO","FY 2015","FY 2015","Currency=INR","Period=FY","BEST_FPERIOD_OVERRIDE=FY","FILING_STATUS=OR","EQY_CONSOLIDATED=Y","FA_ADJUSTED=GAAP","Sort=A","Dates=H","DateFormat=P","Fill=—","Direction=H","UseDPDF=Y")</f>
        <v>#NAME?</v>
      </c>
      <c r="S58" t="e">
        <f ca="1">_xll.BDH($C$53,"SUSTAIN_GROWTH_RT","FY 2015","FY 2015","Currency=INR","Period=FY","BEST_FPERIOD_OVERRIDE=FY","FILING_STATUS=OR","EQY_CONSOLIDATED=Y","FA_ADJUSTED=GAAP","Sort=A","Dates=H","DateFormat=P","Fill=—","Direction=H","UseDPDF=Y")</f>
        <v>#NAME?</v>
      </c>
      <c r="T58" s="2" t="e">
        <f ca="1">_xll.BDH($C$53,"SALES_GROWTH","FY 2015","FY 2015","Currency=INR","Period=FY","BEST_FPERIOD_OVERRIDE=FY","FILING_STATUS=OR","EQY_CONSOLIDATED=Y","FA_ADJUSTED=GAAP","Sort=A","Dates=H","DateFormat=P","Fill=—","Direction=H","UseDPDF=Y")</f>
        <v>#NAME?</v>
      </c>
      <c r="U58" s="2" t="e">
        <f ca="1">_xll.BDH($C$53,"EBITDA_GROWTH","FY 2015","FY 2015","Currency=INR","Period=FY","BEST_FPERIOD_OVERRIDE=FY","FILING_STATUS=OR","EQY_CONSOLIDATED=Y","FA_ADJUSTED=GAAP","Sort=A","Dates=H","DateFormat=P","Fill=—","Direction=H","UseDPDF=Y")</f>
        <v>#NAME?</v>
      </c>
      <c r="V58" s="2" t="e">
        <f ca="1">_xll.BDH($C$53,"OPER_INC_GROWTH","FY 2015","FY 2015","Currency=INR","Period=FY","BEST_FPERIOD_OVERRIDE=FY","FILING_STATUS=OR","EQY_CONSOLIDATED=Y","FA_ADJUSTED=GAAP","Sort=A","Dates=H","DateFormat=P","Fill=—","Direction=H","UseDPDF=Y")</f>
        <v>#NAME?</v>
      </c>
      <c r="W58" s="2" t="e">
        <f ca="1">_xll.BDH($C$53,"EARN_FOR_COM_GROWTH","FY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" s="2" t="e">
        <f ca="1">_xll.BDH($C$53,"DILUTED_EPS_AFT_XO_ITEMS_GROWTH","FY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" s="2" t="e">
        <f ca="1">_xll.BDH($C$53,"DIVIDEND_PER_SHARE_1_YEAR_GROWTH","FY 2015","FY 2015","Currency=INR","Period=FY","BEST_FPERIOD_OVERRIDE=FY","FILING_STATUS=OR","EQY_CONSOLIDATED=Y","Sort=A","Dates=H","DateFormat=P","Fill=—","Direction=H","UseDPDF=Y")</f>
        <v>#NAME?</v>
      </c>
      <c r="Z58" s="2" t="e">
        <f ca="1">_xll.BDH($C$53,"ACCOUNTS_RECEIVABLE_GROWTH","FY 2015","FY 2015","Currency=INR","Period=FY","BEST_FPERIOD_OVERRIDE=FY","FILING_STATUS=OR","EQY_CONSOLIDATED=Y","Sort=A","Dates=H","DateFormat=P","Fill=—","Direction=H","UseDPDF=Y")</f>
        <v>#NAME?</v>
      </c>
      <c r="AA58" s="2" t="e">
        <f ca="1">_xll.BDH($C$53,"INVENTORY_GROWTH","FY 2015","FY 2015","Currency=INR","Period=FY","BEST_FPERIOD_OVERRIDE=FY","FILING_STATUS=OR","EQY_CONSOLIDATED=Y","Sort=A","Dates=H","DateFormat=P","Fill=—","Direction=H","UseDPDF=Y")</f>
        <v>#NAME?</v>
      </c>
      <c r="AB58" s="2" t="e">
        <f ca="1">_xll.BDH($C$53,"NET_FIXED_ASSETS_1_YEAR_GROWTH","FY 2015","FY 2015","Currency=INR","Period=FY","BEST_FPERIOD_OVERRIDE=FY","FILING_STATUS=OR","EQY_CONSOLIDATED=Y","Sort=A","Dates=H","DateFormat=P","Fill=—","Direction=H","UseDPDF=Y")</f>
        <v>#NAME?</v>
      </c>
      <c r="AC58" s="2" t="e">
        <f ca="1">_xll.BDH($C$53,"ASSET_GROWTH","FY 2015","FY 2015","Currency=INR","Period=FY","BEST_FPERIOD_OVERRIDE=FY","FILING_STATUS=OR","EQY_CONSOLIDATED=Y","Sort=A","Dates=H","DateFormat=P","Fill=—","Direction=H","UseDPDF=Y")</f>
        <v>#NAME?</v>
      </c>
      <c r="AD58" s="2" t="e">
        <f ca="1">_xll.BDH($C$53,"MODIFIED_WORK_CAP_GROWTH","FY 2015","FY 2015","Currency=INR","Period=FY","BEST_FPERIOD_OVERRIDE=FY","FILING_STATUS=OR","EQY_CONSOLIDATED=Y","Sort=A","Dates=H","DateFormat=P","Fill=—","Direction=H","UseDPDF=Y")</f>
        <v>#NAME?</v>
      </c>
      <c r="AE58" s="2" t="e">
        <f ca="1">_xll.BDH($C$53,"WORK_CAP_GROWTH","FY 2015","FY 2015","Currency=INR","Period=FY","BEST_FPERIOD_OVERRIDE=FY","FILING_STATUS=OR","EQY_CONSOLIDATED=Y","Sort=A","Dates=H","DateFormat=P","Fill=—","Direction=H","UseDPDF=Y")</f>
        <v>#NAME?</v>
      </c>
      <c r="AF58" s="2" t="e">
        <f ca="1">_xll.BDH($C$53,"ACCOUNTS_PAYABLE_GROWTH_1YR","FY 2015","FY 2015","Currency=INR","Period=FY","BEST_FPERIOD_OVERRIDE=FY","FILING_STATUS=OR","EQY_CONSOLIDATED=Y","Sort=A","Dates=H","DateFormat=P","Fill=—","Direction=H","UseDPDF=Y")</f>
        <v>#NAME?</v>
      </c>
      <c r="AG58" s="2" t="e">
        <f ca="1">_xll.BDH($C$53,"SHORT_TERM_DEBT_1_YEAR_GROWTH","FY 2015","FY 2015","Currency=INR","Period=FY","BEST_FPERIOD_OVERRIDE=FY","FILING_STATUS=OR","EQY_CONSOLIDATED=Y","Sort=A","Dates=H","DateFormat=P","Fill=—","Direction=H","UseDPDF=Y")</f>
        <v>#NAME?</v>
      </c>
      <c r="AH58" s="2" t="e">
        <f ca="1">_xll.BDH($C$53,"TOTAL_DEBT_1_YEAR_GROWTH","FY 2015","FY 2015","Currency=INR","Period=FY","BEST_FPERIOD_OVERRIDE=FY","FILING_STATUS=OR","EQY_CONSOLIDATED=Y","Sort=A","Dates=H","DateFormat=P","Fill=—","Direction=H","UseDPDF=Y")</f>
        <v>#NAME?</v>
      </c>
      <c r="AI58" s="2" t="e">
        <f ca="1">_xll.BDH($C$53,"TOTAL_EQUITY_1_YEAR_GROWTH","FY 2015","FY 2015","Currency=INR","Period=FY","BEST_FPERIOD_OVERRIDE=FY","FILING_STATUS=OR","EQY_CONSOLIDATED=Y","Sort=A","Dates=H","DateFormat=P","Fill=—","Direction=H","UseDPDF=Y")</f>
        <v>#NAME?</v>
      </c>
      <c r="AJ58" s="2" t="e">
        <f ca="1">_xll.BDH($C$53,"GROWTH_IN_CAP","FY 2015","FY 2015","Currency=INR","Period=FY","BEST_FPERIOD_OVERRIDE=FY","FILING_STATUS=OR","EQY_CONSOLIDATED=Y","Sort=A","Dates=H","DateFormat=P","Fill=—","Direction=H","UseDPDF=Y")</f>
        <v>#NAME?</v>
      </c>
      <c r="AK58" s="2" t="e">
        <f ca="1">_xll.BDH($C$53,"BVPS_GROWTH","FY 2015","FY 2015","Currency=INR","Period=FY","BEST_FPERIOD_OVERRIDE=FY","FILING_STATUS=OR","EQY_CONSOLIDATED=Y","Sort=A","Dates=H","DateFormat=P","Fill=—","Direction=H","UseDPDF=Y")</f>
        <v>#NAME?</v>
      </c>
      <c r="AL58" s="2" t="e">
        <f ca="1">_xll.BDH($C$53,"CASH_FLOW_GROWTH","FY 2015","FY 2015","Currency=INR","Period=FY","BEST_FPERIOD_OVERRIDE=FY","FILING_STATUS=OR","EQY_CONSOLIDATED=Y","Sort=A","Dates=H","DateFormat=P","Fill=—","Direction=H","UseDPDF=Y")</f>
        <v>#NAME?</v>
      </c>
      <c r="AM58" s="2" t="e">
        <f ca="1">_xll.BDH($C$53,"GEO_GROW_NET_SALES","FY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" s="2" t="e">
        <f ca="1">_xll.BDH($C$53,"GEO_GROW_EBITDA","FY 2015","FY 2015","Currency=INR","Period=FY","BEST_FPERIOD_OVERRIDE=FY","FILING_STATUS=OR","EQY_CONSOLIDATED=Y","FA_ADJUSTED=GAAP","Sort=A","Dates=H","DateFormat=P","Fill=—","Direction=H","UseDPDF=Y")</f>
        <v>#NAME?</v>
      </c>
      <c r="AO58" s="2" t="e">
        <f ca="1">_xll.BDH($C$53,"GEO_GROW_OPER_INC","FY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8" s="2" t="e">
        <f ca="1">_xll.BDH($C$53,"NET_INCOME_TO_COMMON_5_YR_GROWTH","FY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" s="2" t="e">
        <f ca="1">_xll.BDH($C$53,"5Y_GEO_GROWTH_DILUTED_EPS","FY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" s="2" t="e">
        <f ca="1">_xll.BDH($C$53,"GEO_GROW_DVD_PER_SH","FY 2015","FY 2015","Currency=INR","Period=FY","BEST_FPERIOD_OVERRIDE=FY","FILING_STATUS=OR","EQY_CONSOLIDATED=Y","Sort=A","Dates=H","DateFormat=P","Fill=—","Direction=H","UseDPDF=Y")</f>
        <v>#NAME?</v>
      </c>
      <c r="AS58" s="2" t="e">
        <f ca="1">_xll.BDH($C$53,"ACCOUNTS_RECEIVABLE_5_YR_GROWTH","FY 2015","FY 2015","Currency=INR","Period=FY","BEST_FPERIOD_OVERRIDE=FY","FILING_STATUS=OR","EQY_CONSOLIDATED=Y","Sort=A","Dates=H","DateFormat=P","Fill=—","Direction=H","UseDPDF=Y")</f>
        <v>#NAME?</v>
      </c>
      <c r="AT58" s="2" t="e">
        <f ca="1">_xll.BDH($C$53,"INVENTORY_5_YEAR_GROWTH","FY 2015","FY 2015","Currency=INR","Period=FY","BEST_FPERIOD_OVERRIDE=FY","FILING_STATUS=OR","EQY_CONSOLIDATED=Y","Sort=A","Dates=H","DateFormat=P","Fill=—","Direction=H","UseDPDF=Y")</f>
        <v>#NAME?</v>
      </c>
      <c r="AU58" s="2" t="e">
        <f ca="1">_xll.BDH($C$53,"NET_FIXED_ASSETS_5_YEAR_GROWTH","FY 2015","FY 2015","Currency=INR","Period=FY","BEST_FPERIOD_OVERRIDE=FY","FILING_STATUS=OR","EQY_CONSOLIDATED=Y","Sort=A","Dates=H","DateFormat=P","Fill=—","Direction=H","UseDPDF=Y")</f>
        <v>#NAME?</v>
      </c>
      <c r="AV58" s="2" t="e">
        <f ca="1">_xll.BDH($C$53,"GEO_GROW_TOT_ASSET","FY 2015","FY 2015","Currency=INR","Period=FY","BEST_FPERIOD_OVERRIDE=FY","FILING_STATUS=OR","EQY_CONSOLIDATED=Y","Sort=A","Dates=H","DateFormat=P","Fill=—","Direction=H","UseDPDF=Y")</f>
        <v>#NAME?</v>
      </c>
      <c r="AW58" s="2" t="e">
        <f ca="1">_xll.BDH($C$53,"MODIFIED_WORKING_CPTL_5YR_GRWTH","FY 2015","FY 2015","Currency=INR","Period=FY","BEST_FPERIOD_OVERRIDE=FY","FILING_STATUS=OR","EQY_CONSOLIDATED=Y","Sort=A","Dates=H","DateFormat=P","Fill=—","Direction=H","UseDPDF=Y")</f>
        <v>#NAME?</v>
      </c>
      <c r="AX58" s="2" t="e">
        <f ca="1">_xll.BDH($C$53,"WORKING_CAPITAL_5_YEAR_GROWTH","FY 2015","FY 2015","Currency=INR","Period=FY","BEST_FPERIOD_OVERRIDE=FY","FILING_STATUS=OR","EQY_CONSOLIDATED=Y","Sort=A","Dates=H","DateFormat=P","Fill=—","Direction=H","UseDPDF=Y")</f>
        <v>#NAME?</v>
      </c>
      <c r="AY58" s="2" t="e">
        <f ca="1">_xll.BDH($C$53,"ACCOUNTS_PAYABLE_5_YEAR_GROWTH","FY 2015","FY 2015","Currency=INR","Period=FY","BEST_FPERIOD_OVERRIDE=FY","FILING_STATUS=OR","EQY_CONSOLIDATED=Y","Sort=A","Dates=H","DateFormat=P","Fill=—","Direction=H","UseDPDF=Y")</f>
        <v>#NAME?</v>
      </c>
      <c r="AZ58" s="2" t="e">
        <f ca="1">_xll.BDH($C$53,"SHORT_TERM_DEBT_5_YEAR_GROWTH","FY 2015","FY 2015","Currency=INR","Period=FY","BEST_FPERIOD_OVERRIDE=FY","FILING_STATUS=OR","EQY_CONSOLIDATED=Y","Sort=A","Dates=H","DateFormat=P","Fill=—","Direction=H","UseDPDF=Y")</f>
        <v>#NAME?</v>
      </c>
      <c r="BA58" s="2" t="e">
        <f ca="1">_xll.BDH($C$53,"TOTAL_DEBT_5_YEAR_GROWTH","FY 2015","FY 2015","Currency=INR","Period=FY","BEST_FPERIOD_OVERRIDE=FY","FILING_STATUS=OR","EQY_CONSOLIDATED=Y","Sort=A","Dates=H","DateFormat=P","Fill=—","Direction=H","UseDPDF=Y")</f>
        <v>#NAME?</v>
      </c>
      <c r="BB58" s="2" t="e">
        <f ca="1">_xll.BDH($C$53,"GEO_GROW_TOT_SHRHLDR_EQY","FY 2015","FY 2015","Currency=INR","Period=FY","BEST_FPERIOD_OVERRIDE=FY","FILING_STATUS=OR","EQY_CONSOLIDATED=Y","Sort=A","Dates=H","DateFormat=P","Fill=—","Direction=H","UseDPDF=Y")</f>
        <v>#NAME?</v>
      </c>
      <c r="BC58" s="2" t="e">
        <f ca="1">_xll.BDH($C$53,"TOTAL_CAPITAL_5_YEAR_GROWTH","FY 2015","FY 2015","Currency=INR","Period=FY","BEST_FPERIOD_OVERRIDE=FY","FILING_STATUS=OR","EQY_CONSOLIDATED=Y","Sort=A","Dates=H","DateFormat=P","Fill=—","Direction=H","UseDPDF=Y")</f>
        <v>#NAME?</v>
      </c>
      <c r="BD58" s="2" t="e">
        <f ca="1">_xll.BDH($C$53,"GEO_GROW_BOOK_VAL","FY 2015","FY 2015","Currency=INR","Period=FY","BEST_FPERIOD_OVERRIDE=FY","FILING_STATUS=OR","EQY_CONSOLIDATED=Y","Sort=A","Dates=H","DateFormat=P","Fill=—","Direction=H","UseDPDF=Y")</f>
        <v>#NAME?</v>
      </c>
      <c r="BE58" s="2" t="e">
        <f ca="1">_xll.BDH($C$53,"GEO_GROW_CASH_OPER_ACT","FY 2015","FY 2015","Currency=INR","Period=FY","BEST_FPERIOD_OVERRIDE=FY","FILING_STATUS=OR","EQY_CONSOLIDATED=Y","Sort=A","Dates=H","DateFormat=P","Fill=—","Direction=H","UseDPDF=Y")</f>
        <v>#NAME?</v>
      </c>
      <c r="BF58" s="2" t="e">
        <f ca="1">_xll.BDH($C$53,"REVENUE_SEQUENTIAL_GROWTH","FY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" s="2" t="e">
        <f ca="1">_xll.BDH($C$53,"EBITDA_SEQUENTIAL_GROWTH","FY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" s="2" t="e">
        <f ca="1">_xll.BDH($C$53,"OPERATING_INCOME_SEQ_GROWTH","FY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" s="2" t="e">
        <f ca="1">_xll.BDH($C$53,"NET_INCOME_TO_COMMON_SEQ_GROWTH","FY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" s="2" t="e">
        <f ca="1">_xll.BDH($C$53,"EPS_DILUTED_SEQUENTIAL_GROWTH","FY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" s="2" t="e">
        <f ca="1">_xll.BDH($C$53,"DPS_SEQUENTIAL_GROWTH","FY 2015","FY 2015","Currency=INR","Period=FY","BEST_FPERIOD_OVERRIDE=FY","FILING_STATUS=OR","EQY_CONSOLIDATED=Y","Sort=A","Dates=H","DateFormat=P","Fill=—","Direction=H","UseDPDF=Y")</f>
        <v>#NAME?</v>
      </c>
      <c r="BL58" s="2" t="e">
        <f ca="1">_xll.BDH($C$53,"ACCOUNTS_RECEIVABLE_SEQ_GROWTH","FY 2015","FY 2015","Currency=INR","Period=FY","BEST_FPERIOD_OVERRIDE=FY","FILING_STATUS=OR","EQY_CONSOLIDATED=Y","Sort=A","Dates=H","DateFormat=P","Fill=—","Direction=H","UseDPDF=Y")</f>
        <v>#NAME?</v>
      </c>
      <c r="BM58" s="2" t="e">
        <f ca="1">_xll.BDH($C$53,"INVENTORY_SEQUENTIAL_GROWTH","FY 2015","FY 2015","Currency=INR","Period=FY","BEST_FPERIOD_OVERRIDE=FY","FILING_STATUS=OR","EQY_CONSOLIDATED=Y","Sort=A","Dates=H","DateFormat=P","Fill=—","Direction=H","UseDPDF=Y")</f>
        <v>#NAME?</v>
      </c>
      <c r="BN58" s="2" t="e">
        <f ca="1">_xll.BDH($C$53,"FIXED_ASSETS_SEQUENTIAL_GROWTH","FY 2015","FY 2015","Currency=INR","Period=FY","BEST_FPERIOD_OVERRIDE=FY","FILING_STATUS=OR","EQY_CONSOLIDATED=Y","Sort=A","Dates=H","DateFormat=P","Fill=—","Direction=H","UseDPDF=Y")</f>
        <v>#NAME?</v>
      </c>
      <c r="BO58" s="2" t="e">
        <f ca="1">_xll.BDH($C$53,"TOTAL_ASSETS_SEQUENTIAL_GROWTH","FY 2015","FY 2015","Currency=INR","Period=FY","BEST_FPERIOD_OVERRIDE=FY","FILING_STATUS=OR","EQY_CONSOLIDATED=Y","Sort=A","Dates=H","DateFormat=P","Fill=—","Direction=H","UseDPDF=Y")</f>
        <v>#NAME?</v>
      </c>
      <c r="BP58" s="2" t="e">
        <f ca="1">_xll.BDH($C$53,"MODIFIED_WORKING_CPTL_SEQ_GRWTH","FY 2015","FY 2015","Currency=INR","Period=FY","BEST_FPERIOD_OVERRIDE=FY","FILING_STATUS=OR","EQY_CONSOLIDATED=Y","Sort=A","Dates=H","DateFormat=P","Fill=—","Direction=H","UseDPDF=Y")</f>
        <v>#NAME?</v>
      </c>
      <c r="BQ58" s="2" t="e">
        <f ca="1">_xll.BDH($C$53,"WORKING_CAPITAL_SEQ_GROWTH","FY 2015","FY 2015","Currency=INR","Period=FY","BEST_FPERIOD_OVERRIDE=FY","FILING_STATUS=OR","EQY_CONSOLIDATED=Y","Sort=A","Dates=H","DateFormat=P","Fill=—","Direction=H","UseDPDF=Y")</f>
        <v>#NAME?</v>
      </c>
      <c r="BR58" s="2" t="e">
        <f ca="1">_xll.BDH($C$53,"ACCOUNTS_PAYABLE_SEQ_GROWTH","FY 2015","FY 2015","Currency=INR","Period=FY","BEST_FPERIOD_OVERRIDE=FY","FILING_STATUS=OR","EQY_CONSOLIDATED=Y","Sort=A","Dates=H","DateFormat=P","Fill=—","Direction=H","UseDPDF=Y")</f>
        <v>#NAME?</v>
      </c>
      <c r="BS58" s="2" t="e">
        <f ca="1">_xll.BDH($C$53,"ST_DEBT_SEQUENTIAL_GROWTH","FY 2015","FY 2015","Currency=INR","Period=FY","BEST_FPERIOD_OVERRIDE=FY","FILING_STATUS=OR","EQY_CONSOLIDATED=Y","Sort=A","Dates=H","DateFormat=P","Fill=—","Direction=H","UseDPDF=Y")</f>
        <v>#NAME?</v>
      </c>
      <c r="BT58" s="2" t="e">
        <f ca="1">_xll.BDH($C$53,"TOTAL_DEBT_SEQUENTIAL_GROWTH","FY 2015","FY 2015","Currency=INR","Period=FY","BEST_FPERIOD_OVERRIDE=FY","FILING_STATUS=OR","EQY_CONSOLIDATED=Y","Sort=A","Dates=H","DateFormat=P","Fill=—","Direction=H","UseDPDF=Y")</f>
        <v>#NAME?</v>
      </c>
      <c r="BU58" s="2" t="e">
        <f ca="1">_xll.BDH($C$53,"TOTAL_EQUITY_SEQUENTIAL_GROWTH","FY 2015","FY 2015","Currency=INR","Period=FY","BEST_FPERIOD_OVERRIDE=FY","FILING_STATUS=OR","EQY_CONSOLIDATED=Y","Sort=A","Dates=H","DateFormat=P","Fill=—","Direction=H","UseDPDF=Y")</f>
        <v>#NAME?</v>
      </c>
      <c r="BV58" s="2" t="e">
        <f ca="1">_xll.BDH($C$53,"TOTAL_CAPITAL_SEQUENTIAL_GROWTH","FY 2015","FY 2015","Currency=INR","Period=FY","BEST_FPERIOD_OVERRIDE=FY","FILING_STATUS=OR","EQY_CONSOLIDATED=Y","Sort=A","Dates=H","DateFormat=P","Fill=—","Direction=H","UseDPDF=Y")</f>
        <v>#NAME?</v>
      </c>
      <c r="BW58" s="2" t="e">
        <f ca="1">_xll.BDH($C$53,"BPS_SEQUENTIAL_GROWTH","FY 2015","FY 2015","Currency=INR","Period=FY","BEST_FPERIOD_OVERRIDE=FY","FILING_STATUS=OR","EQY_CONSOLIDATED=Y","Sort=A","Dates=H","DateFormat=P","Fill=—","Direction=H","UseDPDF=Y")</f>
        <v>#NAME?</v>
      </c>
      <c r="BX58" s="2" t="e">
        <f ca="1">_xll.BDH($C$53,"CFO_SEQUENTIAL_GROWTH","FY 2015","FY 2015","Currency=INR","Period=FY","BEST_FPERIOD_OVERRIDE=FY","FILING_STATUS=OR","EQY_CONSOLIDATED=Y","Sort=A","Dates=H","DateFormat=P","Fill=—","Direction=H","UseDPDF=Y")</f>
        <v>#NAME?</v>
      </c>
      <c r="BY58" s="3" t="e">
        <f ca="1">_xll.BDH($C$53,"SHORT_AND_LONG_TERM_DEBT","FY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" s="3" t="e">
        <f ca="1">_xll.BDH($C$53,"BS_ST_BORROW","FY 2015","FY 2015","Currency=INR","Period=FY","BEST_FPERIOD_OVERRIDE=FY","FILING_STATUS=OR","EQY_CONSOLIDATED=Y","SCALING_FORMAT=MLN","Sort=A","Dates=H","DateFormat=P","Fill=—","Direction=H","UseDPDF=Y")</f>
        <v>#NAME?</v>
      </c>
      <c r="CA58" s="3" t="e">
        <f ca="1">_xll.BDH($C$53,"BS_LT_BORROW","FY 2015","FY 2015","Currency=INR","Period=FY","BEST_FPERIOD_OVERRIDE=FY","FILING_STATUS=OR","EQY_CONSOLIDATED=Y","SCALING_FORMAT=MLN","Sort=A","Dates=H","DateFormat=P","Fill=—","Direction=H","UseDPDF=Y")</f>
        <v>#NAME?</v>
      </c>
      <c r="CB58" s="2" t="e">
        <f ca="1">_xll.BDH($C$53,"TOT_DEBT_TO_EBITDA","FY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" s="2" t="e">
        <f ca="1">_xll.BDH($C$53,"NET_DEBT_TO_EBITDA","FY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" s="2" t="e">
        <f ca="1">_xll.BDH($C$53,"TOTAL_DEBT_TO_EBIT","FY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" s="2" t="e">
        <f ca="1">_xll.BDH($C$53,"NET_DEBT_TO_EBIT","FY 2015","FY 2015","Currency=INR","Period=FY","BEST_FPERIOD_OVERRIDE=FY","FILING_STATUS=OR","EQY_CONSOLIDATED=Y","FA_ADJUSTED=GAAP","Sort=A","Dates=H","DateFormat=P","Fill=—","Direction=H","UseDPDF=Y")</f>
        <v>#NAME?</v>
      </c>
      <c r="CF58" s="2" t="e">
        <f ca="1">_xll.BDH($C$53,"EBITDA_TO_INTEREST_EXPN","FY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" s="2" t="e">
        <f ca="1">_xll.BDH($C$53,"COM_EQY_TO_TOT_ASSET","FY 2015","FY 2015","Currency=INR","Period=FY","BEST_FPERIOD_OVERRIDE=FY","FILING_STATUS=OR","EQY_CONSOLIDATED=Y","Sort=A","Dates=H","DateFormat=P","Fill=—","Direction=H","UseDPDF=Y")</f>
        <v>#NAME?</v>
      </c>
      <c r="CH58" s="2" t="e">
        <f ca="1">_xll.BDH($C$53,"LT_DEBT_TO_TOT_EQY","FY 2015","FY 2015","Currency=INR","Period=FY","BEST_FPERIOD_OVERRIDE=FY","FILING_STATUS=OR","EQY_CONSOLIDATED=Y","Sort=A","Dates=H","DateFormat=P","Fill=—","Direction=H","UseDPDF=Y")</f>
        <v>#NAME?</v>
      </c>
      <c r="CI58" s="2" t="e">
        <f ca="1">_xll.BDH($C$53,"LT_DEBT_TO_TOT_CAP","FY 2015","FY 2015","Currency=INR","Period=FY","BEST_FPERIOD_OVERRIDE=FY","FILING_STATUS=OR","EQY_CONSOLIDATED=Y","Sort=A","Dates=H","DateFormat=P","Fill=—","Direction=H","UseDPDF=Y")</f>
        <v>#NAME?</v>
      </c>
      <c r="CJ58" s="2" t="e">
        <f ca="1">_xll.BDH($C$53,"LT_DEBT_TO_TOT_ASSET","FY 2015","FY 2015","Currency=INR","Period=FY","BEST_FPERIOD_OVERRIDE=FY","FILING_STATUS=OR","EQY_CONSOLIDATED=Y","Sort=A","Dates=H","DateFormat=P","Fill=—","Direction=H","UseDPDF=Y")</f>
        <v>#NAME?</v>
      </c>
      <c r="CK58" s="2" t="e">
        <f ca="1">_xll.BDH($C$53,"TOT_DEBT_TO_TOT_EQY","FY 2015","FY 2015","Currency=INR","Period=FY","BEST_FPERIOD_OVERRIDE=FY","FILING_STATUS=OR","EQY_CONSOLIDATED=Y","Sort=A","Dates=H","DateFormat=P","Fill=—","Direction=H","UseDPDF=Y")</f>
        <v>#NAME?</v>
      </c>
      <c r="CL58" s="2" t="e">
        <f ca="1">_xll.BDH($C$53,"TOT_DEBT_TO_TOT_CAP","FY 2015","FY 2015","Currency=INR","Period=FY","BEST_FPERIOD_OVERRIDE=FY","FILING_STATUS=OR","EQY_CONSOLIDATED=Y","Sort=A","Dates=H","DateFormat=P","Fill=—","Direction=H","UseDPDF=Y")</f>
        <v>#NAME?</v>
      </c>
      <c r="CM58" s="2" t="e">
        <f ca="1">_xll.BDH($C$53,"TOT_DEBT_TO_TOT_ASSET","FY 2015","FY 2015","Currency=INR","Period=FY","BEST_FPERIOD_OVERRIDE=FY","FILING_STATUS=OR","EQY_CONSOLIDATED=Y","Sort=A","Dates=H","DateFormat=P","Fill=—","Direction=H","UseDPDF=Y")</f>
        <v>#NAME?</v>
      </c>
      <c r="CN58" s="2" t="e">
        <f ca="1">_xll.BDH($C$53,"NET_DEBT_TO_SHRHLDR_EQTY","FY 2015","FY 2015","Currency=INR","Period=FY","BEST_FPERIOD_OVERRIDE=FY","FILING_STATUS=OR","EQY_CONSOLIDATED=Y","Sort=A","Dates=H","DateFormat=P","Fill=—","Direction=H","UseDPDF=Y")</f>
        <v>#NAME?</v>
      </c>
      <c r="CO58" s="2" t="e">
        <f ca="1">_xll.BDH($C$53,"NET_DEBT_%_CAPITAL","FY 2015","FY 2015","Currency=INR","Period=FY","BEST_FPERIOD_OVERRIDE=FY","FILING_STATUS=OR","EQY_CONSOLIDATED=Y","Sort=A","Dates=H","DateFormat=P","Fill=—","Direction=H","UseDPDF=Y")</f>
        <v>#NAME?</v>
      </c>
      <c r="CP58" s="3" t="e">
        <f ca="1">_xll.BDH($C$53,"EBITDA","FY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" s="3" t="e">
        <f ca="1">_xll.BDH($C$53,"EBITDA_AFTER_CAPEX","FY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" s="3" t="e">
        <f ca="1">_xll.BDH($C$53,"IS_OPER_INC","FY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" s="2" t="e">
        <f ca="1">_xll.BDH($C$53,"CASH_RATIO","FY 2015","FY 2015","Currency=INR","Period=FY","BEST_FPERIOD_OVERRIDE=FY","FILING_STATUS=OR","EQY_CONSOLIDATED=Y","Sort=A","Dates=H","DateFormat=P","Fill=—","Direction=H","UseDPDF=Y")</f>
        <v>#NAME?</v>
      </c>
      <c r="CT58" s="2" t="e">
        <f ca="1">_xll.BDH($C$53,"CUR_RATIO","FY 2015","FY 2015","Currency=INR","Period=FY","BEST_FPERIOD_OVERRIDE=FY","FILING_STATUS=OR","EQY_CONSOLIDATED=Y","Sort=A","Dates=H","DateFormat=P","Fill=—","Direction=H","UseDPDF=Y")</f>
        <v>#NAME?</v>
      </c>
      <c r="CU58" s="2" t="e">
        <f ca="1">_xll.BDH($C$53,"QUICK_RATIO","FY 2015","FY 2015","Currency=INR","Period=FY","BEST_FPERIOD_OVERRIDE=FY","FILING_STATUS=OR","EQY_CONSOLIDATED=Y","Sort=A","Dates=H","DateFormat=P","Fill=—","Direction=H","UseDPDF=Y")</f>
        <v>#NAME?</v>
      </c>
      <c r="CV58" s="2" t="e">
        <f ca="1">_xll.BDH($C$53,"ALTMAN_Z_SCORE","FY 2015","FY 2015","Currency=INR","Period=FY","BEST_FPERIOD_OVERRIDE=FY","FILING_STATUS=OR","EQY_CONSOLIDATED=Y","Sort=A","Dates=H","DateFormat=P","Fill=—","Direction=H","UseDPDF=Y")</f>
        <v>#NAME?</v>
      </c>
      <c r="CW58" s="4" t="e">
        <f ca="1">_xll.BDH($C$53,"ACCT_RCV_TURN","FY 2015","FY 2015","Currency=INR","Period=FY","BEST_FPERIOD_OVERRIDE=FY","FILING_STATUS=OR","EQY_CONSOLIDATED=Y","FA_ADJUSTED=GAAP","Sort=A","Dates=H","DateFormat=P","Fill=—","Direction=H","UseDPDF=Y")</f>
        <v>#NAME?</v>
      </c>
      <c r="CX58" s="2" t="e">
        <f ca="1">_xll.BDH($C$53,"ACCT_RCV_DAYS","FY 2015","FY 2015","Currency=INR","Period=FY","BEST_FPERIOD_OVERRIDE=FY","FILING_STATUS=OR","EQY_CONSOLIDATED=Y","FA_ADJUSTED=GAAP","Sort=A","Dates=H","DateFormat=P","Fill=—","Direction=H","UseDPDF=Y")</f>
        <v>#NAME?</v>
      </c>
      <c r="CY58" s="4" t="e">
        <f ca="1">_xll.BDH($C$53,"INVENT_TURN","FY 2015","FY 2015","Currency=INR","Period=FY","BEST_FPERIOD_OVERRIDE=FY","FILING_STATUS=OR","EQY_CONSOLIDATED=Y","FA_ADJUSTED=GAAP","Sort=A","Dates=H","DateFormat=P","Fill=—","Direction=H","UseDPDF=Y")</f>
        <v>#NAME?</v>
      </c>
      <c r="CZ58" s="2" t="e">
        <f ca="1">_xll.BDH($C$53,"INVENT_DAYS","FY 2015","FY 2015","Currency=INR","Period=FY","BEST_FPERIOD_OVERRIDE=FY","FILING_STATUS=OR","EQY_CONSOLIDATED=Y","FA_ADJUSTED=GAAP","Sort=A","Dates=H","DateFormat=P","Fill=—","Direction=H","UseDPDF=Y")</f>
        <v>#NAME?</v>
      </c>
      <c r="DA58" s="4" t="e">
        <f ca="1">_xll.BDH($C$53,"ACCOUNTS_PAYABLE_TURNOVER","FY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" s="2" t="e">
        <f ca="1">_xll.BDH($C$53,"ACCOUNTS_PAYABLE_TURNOVER_DAYS","FY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" s="4" t="e">
        <f ca="1">_xll.BDH($C$53,"CASH_CONVERSION_CYCLE","FY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" s="4" t="e">
        <f ca="1">_xll.BDH($C$53,"INV_TO_CASH_DAYS","FY 2015","FY 2015","Currency=INR","Period=FY","BEST_FPERIOD_OVERRIDE=FY","FILING_STATUS=OR","EQY_CONSOLIDATED=Y","FA_ADJUSTED=GAAP","Sort=A","Dates=H","DateFormat=P","Fill=—","Direction=H","UseDPDF=Y")</f>
        <v>#NAME?</v>
      </c>
      <c r="DE58" s="5" t="e">
        <f ca="1">_xll.BDH($C$53,"BS_INVENTORIES","FY 2015","FY 2015","Currency=INR","Period=FY","BEST_FPERIOD_OVERRIDE=FY","FILING_STATUS=OR","EQY_CONSOLIDATED=Y","SCALING_FORMAT=MLN","Sort=A","Dates=H","DateFormat=P","Fill=—","Direction=H","UseDPDF=Y")</f>
        <v>#NAME?</v>
      </c>
      <c r="DF58" s="3" t="e">
        <f ca="1">_xll.BDH($C$53,"INVTRY_RAW_MATERIALS","FY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" s="3" t="e">
        <f ca="1">_xll.BDH($C$53,"INVTRY_IN_PROGRESS","FY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" s="3" t="e">
        <f ca="1">_xll.BDH($C$53,"INVTRY_FINISHED_GOODS","FY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" s="3" t="e">
        <f ca="1">_xll.BDH($C$53,"BS_OTHER_INV","FY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9" spans="1:113" x14ac:dyDescent="0.3">
      <c r="A59" s="6"/>
      <c r="B59" s="6"/>
      <c r="C59" s="6"/>
      <c r="D59" s="6"/>
      <c r="E59" t="s">
        <v>78</v>
      </c>
      <c r="F59" t="e">
        <f ca="1">_xll.BDH($C$53,"RETURN_COM_EQY","FQ1 2015","FQ1 2015","Currency=INR","Period=FQ","BEST_FPERIOD_OVERRIDE=FQ","FILING_STATUS=OR","EQY_CONSOLIDATED=Y","FA_ADJUSTED=GAAP","Sort=A","Dates=H","DateFormat=P","Fill=—","Direction=H","UseDPDF=Y")</f>
        <v>#NAME?</v>
      </c>
      <c r="G59" t="e">
        <f ca="1">_xll.BDH($C$53,"RETURN_ON_ASSET","FQ1 2015","FQ1 2015","Currency=INR","Period=FQ","BEST_FPERIOD_OVERRIDE=FQ","FILING_STATUS=OR","EQY_CONSOLIDATED=Y","FA_ADJUSTED=GAAP","Sort=A","Dates=H","DateFormat=P","Fill=—","Direction=H","UseDPDF=Y")</f>
        <v>#NAME?</v>
      </c>
      <c r="H59" t="e">
        <f ca="1">_xll.BDH($C$53,"RETURN_ON_CAP","FQ1 2015","FQ1 2015","Currency=INR","Period=FQ","BEST_FPERIOD_OVERRIDE=FQ","FILING_STATUS=OR","EQY_CONSOLIDATED=Y","FA_ADJUSTED=GAAP","Sort=A","Dates=H","DateFormat=P","Fill=—","Direction=H","UseDPDF=Y")</f>
        <v>#NAME?</v>
      </c>
      <c r="I59" t="e">
        <f ca="1">_xll.BDH($C$53,"RETURN_ON_INV_CAPITAL","FQ1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9" t="e">
        <f ca="1">_xll.BDH($C$53,"EBITDA_TO_REVENUE","FQ1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9" t="e">
        <f ca="1">_xll.BDH($C$53,"OPER_MARGIN","FQ1 2015","FQ1 2015","Currency=INR","Period=FQ","BEST_FPERIOD_OVERRIDE=FQ","FILING_STATUS=OR","EQY_CONSOLIDATED=Y","FA_ADJUSTED=GAAP","Sort=A","Dates=H","DateFormat=P","Fill=—","Direction=H","UseDPDF=Y")</f>
        <v>#NAME?</v>
      </c>
      <c r="L59" t="e">
        <f ca="1">_xll.BDH($C$53,"INCREMENTAL_OPERATING_MARGIN","FQ1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9" t="e">
        <f ca="1">_xll.BDH($C$53,"PRETAX_INC_TO_NET_SALES","FQ1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9" t="e">
        <f ca="1">_xll.BDH($C$53,"INC_BEF_XO_ITEMS_TO_NET_SALES","FQ1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9" t="e">
        <f ca="1">_xll.BDH($C$53,"PROF_MARGIN","FQ1 2015","FQ1 2015","Currency=INR","Period=FQ","BEST_FPERIOD_OVERRIDE=FQ","FILING_STATUS=OR","EQY_CONSOLIDATED=Y","FA_ADJUSTED=GAAP","Sort=A","Dates=H","DateFormat=P","Fill=—","Direction=H","UseDPDF=Y")</f>
        <v>#NAME?</v>
      </c>
      <c r="P59" t="e">
        <f ca="1">_xll.BDH($C$53,"NET_INCOME_TO_COMMON_MARGIN","FQ1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9" t="e">
        <f ca="1">_xll.BDH($C$53,"EFF_TAX_RATE","FQ1 2015","FQ1 2015","Currency=INR","Period=FQ","BEST_FPERIOD_OVERRIDE=FQ","FILING_STATUS=OR","EQY_CONSOLIDATED=Y","FA_ADJUSTED=GAAP","Sort=A","Dates=H","DateFormat=P","Fill=—","Direction=H","UseDPDF=Y")</f>
        <v>#NAME?</v>
      </c>
      <c r="R59" t="e">
        <f ca="1">_xll.BDH($C$53,"DVD_PAYOUT_RATIO","FQ1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9" t="e">
        <f ca="1">_xll.BDH($C$53,"SUSTAIN_GROWTH_RT","FQ1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9" s="2" t="e">
        <f ca="1">_xll.BDH($C$53,"SALES_GROWTH","FQ1 2015","FQ1 2015","Currency=INR","Period=FQ","BEST_FPERIOD_OVERRIDE=FQ","FILING_STATUS=OR","EQY_CONSOLIDATED=Y","FA_ADJUSTED=GAAP","Sort=A","Dates=H","DateFormat=P","Fill=—","Direction=H","UseDPDF=Y")</f>
        <v>#NAME?</v>
      </c>
      <c r="U59" s="2" t="e">
        <f ca="1">_xll.BDH($C$53,"EBITDA_GROWTH","FQ1 2015","FQ1 2015","Currency=INR","Period=FQ","BEST_FPERIOD_OVERRIDE=FQ","FILING_STATUS=OR","EQY_CONSOLIDATED=Y","FA_ADJUSTED=GAAP","Sort=A","Dates=H","DateFormat=P","Fill=—","Direction=H","UseDPDF=Y")</f>
        <v>#NAME?</v>
      </c>
      <c r="V59" s="2" t="e">
        <f ca="1">_xll.BDH($C$53,"OPER_INC_GROWTH","FQ1 2015","FQ1 2015","Currency=INR","Period=FQ","BEST_FPERIOD_OVERRIDE=FQ","FILING_STATUS=OR","EQY_CONSOLIDATED=Y","FA_ADJUSTED=GAAP","Sort=A","Dates=H","DateFormat=P","Fill=—","Direction=H","UseDPDF=Y")</f>
        <v>#NAME?</v>
      </c>
      <c r="W59" s="2" t="e">
        <f ca="1">_xll.BDH($C$53,"EARN_FOR_COM_GROWTH","FQ1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9" s="2" t="e">
        <f ca="1">_xll.BDH($C$53,"DILUTED_EPS_AFT_XO_ITEMS_GROWTH","FQ1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9" s="2" t="e">
        <f ca="1">_xll.BDH($C$53,"DIVIDEND_PER_SHARE_1_YEAR_GROWTH","FQ1 2015","FQ1 2015","Currency=INR","Period=FQ","BEST_FPERIOD_OVERRIDE=FQ","FILING_STATUS=OR","EQY_CONSOLIDATED=Y","Sort=A","Dates=H","DateFormat=P","Fill=—","Direction=H","UseDPDF=Y")</f>
        <v>#NAME?</v>
      </c>
      <c r="Z59" s="2" t="e">
        <f ca="1">_xll.BDH($C$53,"ACCOUNTS_RECEIVABLE_GROWTH","FQ1 2015","FQ1 2015","Currency=INR","Period=FQ","BEST_FPERIOD_OVERRIDE=FQ","FILING_STATUS=OR","EQY_CONSOLIDATED=Y","Sort=A","Dates=H","DateFormat=P","Fill=—","Direction=H","UseDPDF=Y")</f>
        <v>#NAME?</v>
      </c>
      <c r="AA59" s="2" t="e">
        <f ca="1">_xll.BDH($C$53,"INVENTORY_GROWTH","FQ1 2015","FQ1 2015","Currency=INR","Period=FQ","BEST_FPERIOD_OVERRIDE=FQ","FILING_STATUS=OR","EQY_CONSOLIDATED=Y","Sort=A","Dates=H","DateFormat=P","Fill=—","Direction=H","UseDPDF=Y")</f>
        <v>#NAME?</v>
      </c>
      <c r="AB59" s="2" t="e">
        <f ca="1">_xll.BDH($C$53,"NET_FIXED_ASSETS_1_YEAR_GROWTH","FQ1 2015","FQ1 2015","Currency=INR","Period=FQ","BEST_FPERIOD_OVERRIDE=FQ","FILING_STATUS=OR","EQY_CONSOLIDATED=Y","Sort=A","Dates=H","DateFormat=P","Fill=—","Direction=H","UseDPDF=Y")</f>
        <v>#NAME?</v>
      </c>
      <c r="AC59" s="2" t="e">
        <f ca="1">_xll.BDH($C$53,"ASSET_GROWTH","FQ1 2015","FQ1 2015","Currency=INR","Period=FQ","BEST_FPERIOD_OVERRIDE=FQ","FILING_STATUS=OR","EQY_CONSOLIDATED=Y","Sort=A","Dates=H","DateFormat=P","Fill=—","Direction=H","UseDPDF=Y")</f>
        <v>#NAME?</v>
      </c>
      <c r="AD59" s="2" t="e">
        <f ca="1">_xll.BDH($C$53,"MODIFIED_WORK_CAP_GROWTH","FQ1 2015","FQ1 2015","Currency=INR","Period=FQ","BEST_FPERIOD_OVERRIDE=FQ","FILING_STATUS=OR","EQY_CONSOLIDATED=Y","Sort=A","Dates=H","DateFormat=P","Fill=—","Direction=H","UseDPDF=Y")</f>
        <v>#NAME?</v>
      </c>
      <c r="AE59" s="2" t="e">
        <f ca="1">_xll.BDH($C$53,"WORK_CAP_GROWTH","FQ1 2015","FQ1 2015","Currency=INR","Period=FQ","BEST_FPERIOD_OVERRIDE=FQ","FILING_STATUS=OR","EQY_CONSOLIDATED=Y","Sort=A","Dates=H","DateFormat=P","Fill=—","Direction=H","UseDPDF=Y")</f>
        <v>#NAME?</v>
      </c>
      <c r="AF59" s="2" t="e">
        <f ca="1">_xll.BDH($C$53,"ACCOUNTS_PAYABLE_GROWTH_1YR","FQ1 2015","FQ1 2015","Currency=INR","Period=FQ","BEST_FPERIOD_OVERRIDE=FQ","FILING_STATUS=OR","EQY_CONSOLIDATED=Y","Sort=A","Dates=H","DateFormat=P","Fill=—","Direction=H","UseDPDF=Y")</f>
        <v>#NAME?</v>
      </c>
      <c r="AG59" s="2" t="e">
        <f ca="1">_xll.BDH($C$53,"SHORT_TERM_DEBT_1_YEAR_GROWTH","FQ1 2015","FQ1 2015","Currency=INR","Period=FQ","BEST_FPERIOD_OVERRIDE=FQ","FILING_STATUS=OR","EQY_CONSOLIDATED=Y","Sort=A","Dates=H","DateFormat=P","Fill=—","Direction=H","UseDPDF=Y")</f>
        <v>#NAME?</v>
      </c>
      <c r="AH59" s="2" t="e">
        <f ca="1">_xll.BDH($C$53,"TOTAL_DEBT_1_YEAR_GROWTH","FQ1 2015","FQ1 2015","Currency=INR","Period=FQ","BEST_FPERIOD_OVERRIDE=FQ","FILING_STATUS=OR","EQY_CONSOLIDATED=Y","Sort=A","Dates=H","DateFormat=P","Fill=—","Direction=H","UseDPDF=Y")</f>
        <v>#NAME?</v>
      </c>
      <c r="AI59" s="2" t="e">
        <f ca="1">_xll.BDH($C$53,"TOTAL_EQUITY_1_YEAR_GROWTH","FQ1 2015","FQ1 2015","Currency=INR","Period=FQ","BEST_FPERIOD_OVERRIDE=FQ","FILING_STATUS=OR","EQY_CONSOLIDATED=Y","Sort=A","Dates=H","DateFormat=P","Fill=—","Direction=H","UseDPDF=Y")</f>
        <v>#NAME?</v>
      </c>
      <c r="AJ59" s="2" t="e">
        <f ca="1">_xll.BDH($C$53,"GROWTH_IN_CAP","FQ1 2015","FQ1 2015","Currency=INR","Period=FQ","BEST_FPERIOD_OVERRIDE=FQ","FILING_STATUS=OR","EQY_CONSOLIDATED=Y","Sort=A","Dates=H","DateFormat=P","Fill=—","Direction=H","UseDPDF=Y")</f>
        <v>#NAME?</v>
      </c>
      <c r="AK59" s="2" t="e">
        <f ca="1">_xll.BDH($C$53,"BVPS_GROWTH","FQ1 2015","FQ1 2015","Currency=INR","Period=FQ","BEST_FPERIOD_OVERRIDE=FQ","FILING_STATUS=OR","EQY_CONSOLIDATED=Y","Sort=A","Dates=H","DateFormat=P","Fill=—","Direction=H","UseDPDF=Y")</f>
        <v>#NAME?</v>
      </c>
      <c r="AL59" s="2" t="e">
        <f ca="1">_xll.BDH($C$53,"CASH_FLOW_GROWTH","FQ1 2015","FQ1 2015","Currency=INR","Period=FQ","BEST_FPERIOD_OVERRIDE=FQ","FILING_STATUS=OR","EQY_CONSOLIDATED=Y","Sort=A","Dates=H","DateFormat=P","Fill=—","Direction=H","UseDPDF=Y")</f>
        <v>#NAME?</v>
      </c>
      <c r="AM59" s="2" t="e">
        <f ca="1">_xll.BDH($C$53,"GEO_GROW_NET_SALES","FQ1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9" s="2" t="e">
        <f ca="1">_xll.BDH($C$53,"GEO_GROW_EBITDA","FQ1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9" s="2" t="e">
        <f ca="1">_xll.BDH($C$53,"GEO_GROW_OPER_INC","FQ1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9" s="2" t="e">
        <f ca="1">_xll.BDH($C$53,"NET_INCOME_TO_COMMON_5_YR_GROWTH","FQ1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9" s="2" t="e">
        <f ca="1">_xll.BDH($C$53,"5Y_GEO_GROWTH_DILUTED_EPS","FQ1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9" s="2" t="e">
        <f ca="1">_xll.BDH($C$53,"GEO_GROW_DVD_PER_SH","FQ1 2015","FQ1 2015","Currency=INR","Period=FQ","BEST_FPERIOD_OVERRIDE=FQ","FILING_STATUS=OR","EQY_CONSOLIDATED=Y","Sort=A","Dates=H","DateFormat=P","Fill=—","Direction=H","UseDPDF=Y")</f>
        <v>#NAME?</v>
      </c>
      <c r="AS59" s="2" t="e">
        <f ca="1">_xll.BDH($C$53,"ACCOUNTS_RECEIVABLE_5_YR_GROWTH","FQ1 2015","FQ1 2015","Currency=INR","Period=FQ","BEST_FPERIOD_OVERRIDE=FQ","FILING_STATUS=OR","EQY_CONSOLIDATED=Y","Sort=A","Dates=H","DateFormat=P","Fill=—","Direction=H","UseDPDF=Y")</f>
        <v>#NAME?</v>
      </c>
      <c r="AT59" s="2" t="e">
        <f ca="1">_xll.BDH($C$53,"INVENTORY_5_YEAR_GROWTH","FQ1 2015","FQ1 2015","Currency=INR","Period=FQ","BEST_FPERIOD_OVERRIDE=FQ","FILING_STATUS=OR","EQY_CONSOLIDATED=Y","Sort=A","Dates=H","DateFormat=P","Fill=—","Direction=H","UseDPDF=Y")</f>
        <v>#NAME?</v>
      </c>
      <c r="AU59" s="2" t="e">
        <f ca="1">_xll.BDH($C$53,"NET_FIXED_ASSETS_5_YEAR_GROWTH","FQ1 2015","FQ1 2015","Currency=INR","Period=FQ","BEST_FPERIOD_OVERRIDE=FQ","FILING_STATUS=OR","EQY_CONSOLIDATED=Y","Sort=A","Dates=H","DateFormat=P","Fill=—","Direction=H","UseDPDF=Y")</f>
        <v>#NAME?</v>
      </c>
      <c r="AV59" s="2" t="e">
        <f ca="1">_xll.BDH($C$53,"GEO_GROW_TOT_ASSET","FQ1 2015","FQ1 2015","Currency=INR","Period=FQ","BEST_FPERIOD_OVERRIDE=FQ","FILING_STATUS=OR","EQY_CONSOLIDATED=Y","Sort=A","Dates=H","DateFormat=P","Fill=—","Direction=H","UseDPDF=Y")</f>
        <v>#NAME?</v>
      </c>
      <c r="AW59" s="2" t="e">
        <f ca="1">_xll.BDH($C$53,"MODIFIED_WORKING_CPTL_5YR_GRWTH","FQ1 2015","FQ1 2015","Currency=INR","Period=FQ","BEST_FPERIOD_OVERRIDE=FQ","FILING_STATUS=OR","EQY_CONSOLIDATED=Y","Sort=A","Dates=H","DateFormat=P","Fill=—","Direction=H","UseDPDF=Y")</f>
        <v>#NAME?</v>
      </c>
      <c r="AX59" s="2" t="e">
        <f ca="1">_xll.BDH($C$53,"WORKING_CAPITAL_5_YEAR_GROWTH","FQ1 2015","FQ1 2015","Currency=INR","Period=FQ","BEST_FPERIOD_OVERRIDE=FQ","FILING_STATUS=OR","EQY_CONSOLIDATED=Y","Sort=A","Dates=H","DateFormat=P","Fill=—","Direction=H","UseDPDF=Y")</f>
        <v>#NAME?</v>
      </c>
      <c r="AY59" s="2" t="e">
        <f ca="1">_xll.BDH($C$53,"ACCOUNTS_PAYABLE_5_YEAR_GROWTH","FQ1 2015","FQ1 2015","Currency=INR","Period=FQ","BEST_FPERIOD_OVERRIDE=FQ","FILING_STATUS=OR","EQY_CONSOLIDATED=Y","Sort=A","Dates=H","DateFormat=P","Fill=—","Direction=H","UseDPDF=Y")</f>
        <v>#NAME?</v>
      </c>
      <c r="AZ59" s="2" t="e">
        <f ca="1">_xll.BDH($C$53,"SHORT_TERM_DEBT_5_YEAR_GROWTH","FQ1 2015","FQ1 2015","Currency=INR","Period=FQ","BEST_FPERIOD_OVERRIDE=FQ","FILING_STATUS=OR","EQY_CONSOLIDATED=Y","Sort=A","Dates=H","DateFormat=P","Fill=—","Direction=H","UseDPDF=Y")</f>
        <v>#NAME?</v>
      </c>
      <c r="BA59" s="2" t="e">
        <f ca="1">_xll.BDH($C$53,"TOTAL_DEBT_5_YEAR_GROWTH","FQ1 2015","FQ1 2015","Currency=INR","Period=FQ","BEST_FPERIOD_OVERRIDE=FQ","FILING_STATUS=OR","EQY_CONSOLIDATED=Y","Sort=A","Dates=H","DateFormat=P","Fill=—","Direction=H","UseDPDF=Y")</f>
        <v>#NAME?</v>
      </c>
      <c r="BB59" s="2" t="e">
        <f ca="1">_xll.BDH($C$53,"GEO_GROW_TOT_SHRHLDR_EQY","FQ1 2015","FQ1 2015","Currency=INR","Period=FQ","BEST_FPERIOD_OVERRIDE=FQ","FILING_STATUS=OR","EQY_CONSOLIDATED=Y","Sort=A","Dates=H","DateFormat=P","Fill=—","Direction=H","UseDPDF=Y")</f>
        <v>#NAME?</v>
      </c>
      <c r="BC59" s="2" t="e">
        <f ca="1">_xll.BDH($C$53,"TOTAL_CAPITAL_5_YEAR_GROWTH","FQ1 2015","FQ1 2015","Currency=INR","Period=FQ","BEST_FPERIOD_OVERRIDE=FQ","FILING_STATUS=OR","EQY_CONSOLIDATED=Y","Sort=A","Dates=H","DateFormat=P","Fill=—","Direction=H","UseDPDF=Y")</f>
        <v>#NAME?</v>
      </c>
      <c r="BD59" s="2" t="e">
        <f ca="1">_xll.BDH($C$53,"GEO_GROW_BOOK_VAL","FQ1 2015","FQ1 2015","Currency=INR","Period=FQ","BEST_FPERIOD_OVERRIDE=FQ","FILING_STATUS=OR","EQY_CONSOLIDATED=Y","Sort=A","Dates=H","DateFormat=P","Fill=—","Direction=H","UseDPDF=Y")</f>
        <v>#NAME?</v>
      </c>
      <c r="BE59" s="2" t="e">
        <f ca="1">_xll.BDH($C$53,"GEO_GROW_CASH_OPER_ACT","FQ1 2015","FQ1 2015","Currency=INR","Period=FQ","BEST_FPERIOD_OVERRIDE=FQ","FILING_STATUS=OR","EQY_CONSOLIDATED=Y","Sort=A","Dates=H","DateFormat=P","Fill=—","Direction=H","UseDPDF=Y")</f>
        <v>#NAME?</v>
      </c>
      <c r="BF59" s="2" t="e">
        <f ca="1">_xll.BDH($C$53,"REVENUE_SEQUENTIAL_GROWTH","FQ1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9" s="2" t="e">
        <f ca="1">_xll.BDH($C$53,"EBITDA_SEQUENTIAL_GROWTH","FQ1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9" s="2" t="e">
        <f ca="1">_xll.BDH($C$53,"OPERATING_INCOME_SEQ_GROWTH","FQ1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9" s="2" t="e">
        <f ca="1">_xll.BDH($C$53,"NET_INCOME_TO_COMMON_SEQ_GROWTH","FQ1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9" s="2" t="e">
        <f ca="1">_xll.BDH($C$53,"EPS_DILUTED_SEQUENTIAL_GROWTH","FQ1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9" s="2" t="e">
        <f ca="1">_xll.BDH($C$53,"DPS_SEQUENTIAL_GROWTH","FQ1 2015","FQ1 2015","Currency=INR","Period=FQ","BEST_FPERIOD_OVERRIDE=FQ","FILING_STATUS=OR","EQY_CONSOLIDATED=Y","Sort=A","Dates=H","DateFormat=P","Fill=—","Direction=H","UseDPDF=Y")</f>
        <v>#NAME?</v>
      </c>
      <c r="BL59" s="2" t="e">
        <f ca="1">_xll.BDH($C$53,"ACCOUNTS_RECEIVABLE_SEQ_GROWTH","FQ1 2015","FQ1 2015","Currency=INR","Period=FQ","BEST_FPERIOD_OVERRIDE=FQ","FILING_STATUS=OR","EQY_CONSOLIDATED=Y","Sort=A","Dates=H","DateFormat=P","Fill=—","Direction=H","UseDPDF=Y")</f>
        <v>#NAME?</v>
      </c>
      <c r="BM59" s="2" t="e">
        <f ca="1">_xll.BDH($C$53,"INVENTORY_SEQUENTIAL_GROWTH","FQ1 2015","FQ1 2015","Currency=INR","Period=FQ","BEST_FPERIOD_OVERRIDE=FQ","FILING_STATUS=OR","EQY_CONSOLIDATED=Y","Sort=A","Dates=H","DateFormat=P","Fill=—","Direction=H","UseDPDF=Y")</f>
        <v>#NAME?</v>
      </c>
      <c r="BN59" s="2" t="e">
        <f ca="1">_xll.BDH($C$53,"FIXED_ASSETS_SEQUENTIAL_GROWTH","FQ1 2015","FQ1 2015","Currency=INR","Period=FQ","BEST_FPERIOD_OVERRIDE=FQ","FILING_STATUS=OR","EQY_CONSOLIDATED=Y","Sort=A","Dates=H","DateFormat=P","Fill=—","Direction=H","UseDPDF=Y")</f>
        <v>#NAME?</v>
      </c>
      <c r="BO59" s="2" t="e">
        <f ca="1">_xll.BDH($C$53,"TOTAL_ASSETS_SEQUENTIAL_GROWTH","FQ1 2015","FQ1 2015","Currency=INR","Period=FQ","BEST_FPERIOD_OVERRIDE=FQ","FILING_STATUS=OR","EQY_CONSOLIDATED=Y","Sort=A","Dates=H","DateFormat=P","Fill=—","Direction=H","UseDPDF=Y")</f>
        <v>#NAME?</v>
      </c>
      <c r="BP59" s="2" t="e">
        <f ca="1">_xll.BDH($C$53,"MODIFIED_WORKING_CPTL_SEQ_GRWTH","FQ1 2015","FQ1 2015","Currency=INR","Period=FQ","BEST_FPERIOD_OVERRIDE=FQ","FILING_STATUS=OR","EQY_CONSOLIDATED=Y","Sort=A","Dates=H","DateFormat=P","Fill=—","Direction=H","UseDPDF=Y")</f>
        <v>#NAME?</v>
      </c>
      <c r="BQ59" s="2" t="e">
        <f ca="1">_xll.BDH($C$53,"WORKING_CAPITAL_SEQ_GROWTH","FQ1 2015","FQ1 2015","Currency=INR","Period=FQ","BEST_FPERIOD_OVERRIDE=FQ","FILING_STATUS=OR","EQY_CONSOLIDATED=Y","Sort=A","Dates=H","DateFormat=P","Fill=—","Direction=H","UseDPDF=Y")</f>
        <v>#NAME?</v>
      </c>
      <c r="BR59" s="2" t="e">
        <f ca="1">_xll.BDH($C$53,"ACCOUNTS_PAYABLE_SEQ_GROWTH","FQ1 2015","FQ1 2015","Currency=INR","Period=FQ","BEST_FPERIOD_OVERRIDE=FQ","FILING_STATUS=OR","EQY_CONSOLIDATED=Y","Sort=A","Dates=H","DateFormat=P","Fill=—","Direction=H","UseDPDF=Y")</f>
        <v>#NAME?</v>
      </c>
      <c r="BS59" s="2" t="e">
        <f ca="1">_xll.BDH($C$53,"ST_DEBT_SEQUENTIAL_GROWTH","FQ1 2015","FQ1 2015","Currency=INR","Period=FQ","BEST_FPERIOD_OVERRIDE=FQ","FILING_STATUS=OR","EQY_CONSOLIDATED=Y","Sort=A","Dates=H","DateFormat=P","Fill=—","Direction=H","UseDPDF=Y")</f>
        <v>#NAME?</v>
      </c>
      <c r="BT59" s="2" t="e">
        <f ca="1">_xll.BDH($C$53,"TOTAL_DEBT_SEQUENTIAL_GROWTH","FQ1 2015","FQ1 2015","Currency=INR","Period=FQ","BEST_FPERIOD_OVERRIDE=FQ","FILING_STATUS=OR","EQY_CONSOLIDATED=Y","Sort=A","Dates=H","DateFormat=P","Fill=—","Direction=H","UseDPDF=Y")</f>
        <v>#NAME?</v>
      </c>
      <c r="BU59" s="2" t="e">
        <f ca="1">_xll.BDH($C$53,"TOTAL_EQUITY_SEQUENTIAL_GROWTH","FQ1 2015","FQ1 2015","Currency=INR","Period=FQ","BEST_FPERIOD_OVERRIDE=FQ","FILING_STATUS=OR","EQY_CONSOLIDATED=Y","Sort=A","Dates=H","DateFormat=P","Fill=—","Direction=H","UseDPDF=Y")</f>
        <v>#NAME?</v>
      </c>
      <c r="BV59" s="2" t="e">
        <f ca="1">_xll.BDH($C$53,"TOTAL_CAPITAL_SEQUENTIAL_GROWTH","FQ1 2015","FQ1 2015","Currency=INR","Period=FQ","BEST_FPERIOD_OVERRIDE=FQ","FILING_STATUS=OR","EQY_CONSOLIDATED=Y","Sort=A","Dates=H","DateFormat=P","Fill=—","Direction=H","UseDPDF=Y")</f>
        <v>#NAME?</v>
      </c>
      <c r="BW59" s="2" t="e">
        <f ca="1">_xll.BDH($C$53,"BPS_SEQUENTIAL_GROWTH","FQ1 2015","FQ1 2015","Currency=INR","Period=FQ","BEST_FPERIOD_OVERRIDE=FQ","FILING_STATUS=OR","EQY_CONSOLIDATED=Y","Sort=A","Dates=H","DateFormat=P","Fill=—","Direction=H","UseDPDF=Y")</f>
        <v>#NAME?</v>
      </c>
      <c r="BX59" s="2" t="e">
        <f ca="1">_xll.BDH($C$53,"CFO_SEQUENTIAL_GROWTH","FQ1 2015","FQ1 2015","Currency=INR","Period=FQ","BEST_FPERIOD_OVERRIDE=FQ","FILING_STATUS=OR","EQY_CONSOLIDATED=Y","Sort=A","Dates=H","DateFormat=P","Fill=—","Direction=H","UseDPDF=Y")</f>
        <v>#NAME?</v>
      </c>
      <c r="BY59" s="3" t="e">
        <f ca="1">_xll.BDH($C$53,"SHORT_AND_LONG_TERM_DEBT","FQ1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9" s="3" t="e">
        <f ca="1">_xll.BDH($C$53,"BS_ST_BORROW","FQ1 2015","FQ1 2015","Currency=INR","Period=FQ","BEST_FPERIOD_OVERRIDE=FQ","FILING_STATUS=OR","EQY_CONSOLIDATED=Y","SCALING_FORMAT=MLN","Sort=A","Dates=H","DateFormat=P","Fill=—","Direction=H","UseDPDF=Y")</f>
        <v>#NAME?</v>
      </c>
      <c r="CA59" s="3" t="e">
        <f ca="1">_xll.BDH($C$53,"BS_LT_BORROW","FQ1 2015","FQ1 2015","Currency=INR","Period=FQ","BEST_FPERIOD_OVERRIDE=FQ","FILING_STATUS=OR","EQY_CONSOLIDATED=Y","SCALING_FORMAT=MLN","Sort=A","Dates=H","DateFormat=P","Fill=—","Direction=H","UseDPDF=Y")</f>
        <v>#NAME?</v>
      </c>
      <c r="CB59" s="2" t="e">
        <f ca="1">_xll.BDH($C$53,"TOT_DEBT_TO_EBITDA","FQ1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9" s="2" t="e">
        <f ca="1">_xll.BDH($C$53,"NET_DEBT_TO_EBITDA","FQ1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9" s="2" t="e">
        <f ca="1">_xll.BDH($C$53,"TOTAL_DEBT_TO_EBIT","FQ1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9" s="2" t="e">
        <f ca="1">_xll.BDH($C$53,"NET_DEBT_TO_EBIT","FQ1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9" s="2" t="e">
        <f ca="1">_xll.BDH($C$53,"EBITDA_TO_INTEREST_EXPN","FQ1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9" s="2" t="e">
        <f ca="1">_xll.BDH($C$53,"COM_EQY_TO_TOT_ASSET","FQ1 2015","FQ1 2015","Currency=INR","Period=FQ","BEST_FPERIOD_OVERRIDE=FQ","FILING_STATUS=OR","EQY_CONSOLIDATED=Y","Sort=A","Dates=H","DateFormat=P","Fill=—","Direction=H","UseDPDF=Y")</f>
        <v>#NAME?</v>
      </c>
      <c r="CH59" s="2" t="e">
        <f ca="1">_xll.BDH($C$53,"LT_DEBT_TO_TOT_EQY","FQ1 2015","FQ1 2015","Currency=INR","Period=FQ","BEST_FPERIOD_OVERRIDE=FQ","FILING_STATUS=OR","EQY_CONSOLIDATED=Y","Sort=A","Dates=H","DateFormat=P","Fill=—","Direction=H","UseDPDF=Y")</f>
        <v>#NAME?</v>
      </c>
      <c r="CI59" s="2" t="e">
        <f ca="1">_xll.BDH($C$53,"LT_DEBT_TO_TOT_CAP","FQ1 2015","FQ1 2015","Currency=INR","Period=FQ","BEST_FPERIOD_OVERRIDE=FQ","FILING_STATUS=OR","EQY_CONSOLIDATED=Y","Sort=A","Dates=H","DateFormat=P","Fill=—","Direction=H","UseDPDF=Y")</f>
        <v>#NAME?</v>
      </c>
      <c r="CJ59" s="2" t="e">
        <f ca="1">_xll.BDH($C$53,"LT_DEBT_TO_TOT_ASSET","FQ1 2015","FQ1 2015","Currency=INR","Period=FQ","BEST_FPERIOD_OVERRIDE=FQ","FILING_STATUS=OR","EQY_CONSOLIDATED=Y","Sort=A","Dates=H","DateFormat=P","Fill=—","Direction=H","UseDPDF=Y")</f>
        <v>#NAME?</v>
      </c>
      <c r="CK59" s="2" t="e">
        <f ca="1">_xll.BDH($C$53,"TOT_DEBT_TO_TOT_EQY","FQ1 2015","FQ1 2015","Currency=INR","Period=FQ","BEST_FPERIOD_OVERRIDE=FQ","FILING_STATUS=OR","EQY_CONSOLIDATED=Y","Sort=A","Dates=H","DateFormat=P","Fill=—","Direction=H","UseDPDF=Y")</f>
        <v>#NAME?</v>
      </c>
      <c r="CL59" s="2" t="e">
        <f ca="1">_xll.BDH($C$53,"TOT_DEBT_TO_TOT_CAP","FQ1 2015","FQ1 2015","Currency=INR","Period=FQ","BEST_FPERIOD_OVERRIDE=FQ","FILING_STATUS=OR","EQY_CONSOLIDATED=Y","Sort=A","Dates=H","DateFormat=P","Fill=—","Direction=H","UseDPDF=Y")</f>
        <v>#NAME?</v>
      </c>
      <c r="CM59" s="2" t="e">
        <f ca="1">_xll.BDH($C$53,"TOT_DEBT_TO_TOT_ASSET","FQ1 2015","FQ1 2015","Currency=INR","Period=FQ","BEST_FPERIOD_OVERRIDE=FQ","FILING_STATUS=OR","EQY_CONSOLIDATED=Y","Sort=A","Dates=H","DateFormat=P","Fill=—","Direction=H","UseDPDF=Y")</f>
        <v>#NAME?</v>
      </c>
      <c r="CN59" s="2" t="e">
        <f ca="1">_xll.BDH($C$53,"NET_DEBT_TO_SHRHLDR_EQTY","FQ1 2015","FQ1 2015","Currency=INR","Period=FQ","BEST_FPERIOD_OVERRIDE=FQ","FILING_STATUS=OR","EQY_CONSOLIDATED=Y","Sort=A","Dates=H","DateFormat=P","Fill=—","Direction=H","UseDPDF=Y")</f>
        <v>#NAME?</v>
      </c>
      <c r="CO59" s="2" t="e">
        <f ca="1">_xll.BDH($C$53,"NET_DEBT_%_CAPITAL","FQ1 2015","FQ1 2015","Currency=INR","Period=FQ","BEST_FPERIOD_OVERRIDE=FQ","FILING_STATUS=OR","EQY_CONSOLIDATED=Y","Sort=A","Dates=H","DateFormat=P","Fill=—","Direction=H","UseDPDF=Y")</f>
        <v>#NAME?</v>
      </c>
      <c r="CP59" s="3" t="e">
        <f ca="1">_xll.BDH($C$53,"EBITDA","FQ1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9" s="3" t="e">
        <f ca="1">_xll.BDH($C$53,"EBITDA_AFTER_CAPEX","FQ1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9" s="3" t="e">
        <f ca="1">_xll.BDH($C$53,"IS_OPER_INC","FQ1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9" s="2" t="e">
        <f ca="1">_xll.BDH($C$53,"CASH_RATIO","FQ1 2015","FQ1 2015","Currency=INR","Period=FQ","BEST_FPERIOD_OVERRIDE=FQ","FILING_STATUS=OR","EQY_CONSOLIDATED=Y","Sort=A","Dates=H","DateFormat=P","Fill=—","Direction=H","UseDPDF=Y")</f>
        <v>#NAME?</v>
      </c>
      <c r="CT59" s="2" t="e">
        <f ca="1">_xll.BDH($C$53,"CUR_RATIO","FQ1 2015","FQ1 2015","Currency=INR","Period=FQ","BEST_FPERIOD_OVERRIDE=FQ","FILING_STATUS=OR","EQY_CONSOLIDATED=Y","Sort=A","Dates=H","DateFormat=P","Fill=—","Direction=H","UseDPDF=Y")</f>
        <v>#NAME?</v>
      </c>
      <c r="CU59" s="2" t="e">
        <f ca="1">_xll.BDH($C$53,"QUICK_RATIO","FQ1 2015","FQ1 2015","Currency=INR","Period=FQ","BEST_FPERIOD_OVERRIDE=FQ","FILING_STATUS=OR","EQY_CONSOLIDATED=Y","Sort=A","Dates=H","DateFormat=P","Fill=—","Direction=H","UseDPDF=Y")</f>
        <v>#NAME?</v>
      </c>
      <c r="CV59" s="2" t="e">
        <f ca="1">_xll.BDH($C$53,"ALTMAN_Z_SCORE","FQ1 2015","FQ1 2015","Currency=INR","Period=FQ","BEST_FPERIOD_OVERRIDE=FQ","FILING_STATUS=OR","EQY_CONSOLIDATED=Y","Sort=A","Dates=H","DateFormat=P","Fill=—","Direction=H","UseDPDF=Y")</f>
        <v>#NAME?</v>
      </c>
      <c r="CW59" s="4" t="e">
        <f ca="1">_xll.BDH($C$53,"ACCT_RCV_TURN","FQ1 2015","FQ1 2015","Currency=INR","Period=FQ","BEST_FPERIOD_OVERRIDE=FQ","FILING_STATUS=OR","EQY_CONSOLIDATED=Y","FA_ADJUSTED=GAAP","Sort=A","Dates=H","DateFormat=P","Fill=—","Direction=H","UseDPDF=Y")</f>
        <v>#NAME?</v>
      </c>
      <c r="CX59" s="2" t="e">
        <f ca="1">_xll.BDH($C$53,"ACCT_RCV_DAYS","FQ1 2015","FQ1 2015","Currency=INR","Period=FQ","BEST_FPERIOD_OVERRIDE=FQ","FILING_STATUS=OR","EQY_CONSOLIDATED=Y","FA_ADJUSTED=GAAP","Sort=A","Dates=H","DateFormat=P","Fill=—","Direction=H","UseDPDF=Y")</f>
        <v>#NAME?</v>
      </c>
      <c r="CY59" s="4" t="e">
        <f ca="1">_xll.BDH($C$53,"INVENT_TURN","FQ1 2015","FQ1 2015","Currency=INR","Period=FQ","BEST_FPERIOD_OVERRIDE=FQ","FILING_STATUS=OR","EQY_CONSOLIDATED=Y","FA_ADJUSTED=GAAP","Sort=A","Dates=H","DateFormat=P","Fill=—","Direction=H","UseDPDF=Y")</f>
        <v>#NAME?</v>
      </c>
      <c r="CZ59" s="2" t="e">
        <f ca="1">_xll.BDH($C$53,"INVENT_DAYS","FQ1 2015","FQ1 2015","Currency=INR","Period=FQ","BEST_FPERIOD_OVERRIDE=FQ","FILING_STATUS=OR","EQY_CONSOLIDATED=Y","FA_ADJUSTED=GAAP","Sort=A","Dates=H","DateFormat=P","Fill=—","Direction=H","UseDPDF=Y")</f>
        <v>#NAME?</v>
      </c>
      <c r="DA59" s="4" t="e">
        <f ca="1">_xll.BDH($C$53,"ACCOUNTS_PAYABLE_TURNOVER","FQ1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9" s="2" t="e">
        <f ca="1">_xll.BDH($C$53,"ACCOUNTS_PAYABLE_TURNOVER_DAYS","FQ1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9" s="4" t="e">
        <f ca="1">_xll.BDH($C$53,"CASH_CONVERSION_CYCLE","FQ1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9" s="4" t="e">
        <f ca="1">_xll.BDH($C$53,"INV_TO_CASH_DAYS","FQ1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9" s="5" t="e">
        <f ca="1">_xll.BDH($C$53,"BS_INVENTORIES","FQ1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9" s="3" t="e">
        <f ca="1">_xll.BDH($C$53,"INVTRY_RAW_MATERIALS","FQ1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9" s="3" t="e">
        <f ca="1">_xll.BDH($C$53,"INVTRY_IN_PROGRESS","FQ1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9" s="3" t="e">
        <f ca="1">_xll.BDH($C$53,"INVTRY_FINISHED_GOODS","FQ1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9" s="3" t="e">
        <f ca="1">_xll.BDH($C$53,"BS_OTHER_INV","FQ1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0" spans="1:113" x14ac:dyDescent="0.3">
      <c r="A60" s="6"/>
      <c r="B60" s="6"/>
      <c r="C60" s="6"/>
      <c r="D60" s="6"/>
      <c r="E60" t="s">
        <v>79</v>
      </c>
      <c r="F60" t="e">
        <f ca="1">_xll.BDH($C$53,"RETURN_COM_EQY","FQ2 2015","FQ2 2015","Currency=INR","Period=FQ","BEST_FPERIOD_OVERRIDE=FQ","FILING_STATUS=OR","EQY_CONSOLIDATED=Y","FA_ADJUSTED=GAAP","Sort=A","Dates=H","DateFormat=P","Fill=—","Direction=H","UseDPDF=Y")</f>
        <v>#NAME?</v>
      </c>
      <c r="G60" t="e">
        <f ca="1">_xll.BDH($C$53,"RETURN_ON_ASSET","FQ2 2015","FQ2 2015","Currency=INR","Period=FQ","BEST_FPERIOD_OVERRIDE=FQ","FILING_STATUS=OR","EQY_CONSOLIDATED=Y","FA_ADJUSTED=GAAP","Sort=A","Dates=H","DateFormat=P","Fill=—","Direction=H","UseDPDF=Y")</f>
        <v>#NAME?</v>
      </c>
      <c r="H60" t="e">
        <f ca="1">_xll.BDH($C$53,"RETURN_ON_CAP","FQ2 2015","FQ2 2015","Currency=INR","Period=FQ","BEST_FPERIOD_OVERRIDE=FQ","FILING_STATUS=OR","EQY_CONSOLIDATED=Y","FA_ADJUSTED=GAAP","Sort=A","Dates=H","DateFormat=P","Fill=—","Direction=H","UseDPDF=Y")</f>
        <v>#NAME?</v>
      </c>
      <c r="I60" t="e">
        <f ca="1">_xll.BDH($C$53,"RETURN_ON_INV_CAPITAL","FQ2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0" t="e">
        <f ca="1">_xll.BDH($C$53,"EBITDA_TO_REVENUE","FQ2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0" t="e">
        <f ca="1">_xll.BDH($C$53,"OPER_MARGIN","FQ2 2015","FQ2 2015","Currency=INR","Period=FQ","BEST_FPERIOD_OVERRIDE=FQ","FILING_STATUS=OR","EQY_CONSOLIDATED=Y","FA_ADJUSTED=GAAP","Sort=A","Dates=H","DateFormat=P","Fill=—","Direction=H","UseDPDF=Y")</f>
        <v>#NAME?</v>
      </c>
      <c r="L60" t="e">
        <f ca="1">_xll.BDH($C$53,"INCREMENTAL_OPERATING_MARGIN","FQ2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0" t="e">
        <f ca="1">_xll.BDH($C$53,"PRETAX_INC_TO_NET_SALES","FQ2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0" t="e">
        <f ca="1">_xll.BDH($C$53,"INC_BEF_XO_ITEMS_TO_NET_SALES","FQ2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0" t="e">
        <f ca="1">_xll.BDH($C$53,"PROF_MARGIN","FQ2 2015","FQ2 2015","Currency=INR","Period=FQ","BEST_FPERIOD_OVERRIDE=FQ","FILING_STATUS=OR","EQY_CONSOLIDATED=Y","FA_ADJUSTED=GAAP","Sort=A","Dates=H","DateFormat=P","Fill=—","Direction=H","UseDPDF=Y")</f>
        <v>#NAME?</v>
      </c>
      <c r="P60" t="e">
        <f ca="1">_xll.BDH($C$53,"NET_INCOME_TO_COMMON_MARGIN","FQ2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0" t="e">
        <f ca="1">_xll.BDH($C$53,"EFF_TAX_RATE","FQ2 2015","FQ2 2015","Currency=INR","Period=FQ","BEST_FPERIOD_OVERRIDE=FQ","FILING_STATUS=OR","EQY_CONSOLIDATED=Y","FA_ADJUSTED=GAAP","Sort=A","Dates=H","DateFormat=P","Fill=—","Direction=H","UseDPDF=Y")</f>
        <v>#NAME?</v>
      </c>
      <c r="R60" t="e">
        <f ca="1">_xll.BDH($C$53,"DVD_PAYOUT_RATIO","FQ2 2015","FQ2 2015","Currency=INR","Period=FQ","BEST_FPERIOD_OVERRIDE=FQ","FILING_STATUS=OR","EQY_CONSOLIDATED=Y","FA_ADJUSTED=GAAP","Sort=A","Dates=H","DateFormat=P","Fill=—","Direction=H","UseDPDF=Y")</f>
        <v>#NAME?</v>
      </c>
      <c r="S60" t="e">
        <f ca="1">_xll.BDH($C$53,"SUSTAIN_GROWTH_RT","FQ2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0" s="2" t="e">
        <f ca="1">_xll.BDH($C$53,"SALES_GROWTH","FQ2 2015","FQ2 2015","Currency=INR","Period=FQ","BEST_FPERIOD_OVERRIDE=FQ","FILING_STATUS=OR","EQY_CONSOLIDATED=Y","FA_ADJUSTED=GAAP","Sort=A","Dates=H","DateFormat=P","Fill=—","Direction=H","UseDPDF=Y")</f>
        <v>#NAME?</v>
      </c>
      <c r="U60" s="2" t="e">
        <f ca="1">_xll.BDH($C$53,"EBITDA_GROWTH","FQ2 2015","FQ2 2015","Currency=INR","Period=FQ","BEST_FPERIOD_OVERRIDE=FQ","FILING_STATUS=OR","EQY_CONSOLIDATED=Y","FA_ADJUSTED=GAAP","Sort=A","Dates=H","DateFormat=P","Fill=—","Direction=H","UseDPDF=Y")</f>
        <v>#NAME?</v>
      </c>
      <c r="V60" s="2" t="e">
        <f ca="1">_xll.BDH($C$53,"OPER_INC_GROWTH","FQ2 2015","FQ2 2015","Currency=INR","Period=FQ","BEST_FPERIOD_OVERRIDE=FQ","FILING_STATUS=OR","EQY_CONSOLIDATED=Y","FA_ADJUSTED=GAAP","Sort=A","Dates=H","DateFormat=P","Fill=—","Direction=H","UseDPDF=Y")</f>
        <v>#NAME?</v>
      </c>
      <c r="W60" s="2" t="e">
        <f ca="1">_xll.BDH($C$53,"EARN_FOR_COM_GROWTH","FQ2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0" s="2" t="e">
        <f ca="1">_xll.BDH($C$53,"DILUTED_EPS_AFT_XO_ITEMS_GROWTH","FQ2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0" s="2" t="e">
        <f ca="1">_xll.BDH($C$53,"DIVIDEND_PER_SHARE_1_YEAR_GROWTH","FQ2 2015","FQ2 2015","Currency=INR","Period=FQ","BEST_FPERIOD_OVERRIDE=FQ","FILING_STATUS=OR","EQY_CONSOLIDATED=Y","Sort=A","Dates=H","DateFormat=P","Fill=—","Direction=H","UseDPDF=Y")</f>
        <v>#NAME?</v>
      </c>
      <c r="Z60" s="2" t="e">
        <f ca="1">_xll.BDH($C$53,"ACCOUNTS_RECEIVABLE_GROWTH","FQ2 2015","FQ2 2015","Currency=INR","Period=FQ","BEST_FPERIOD_OVERRIDE=FQ","FILING_STATUS=OR","EQY_CONSOLIDATED=Y","Sort=A","Dates=H","DateFormat=P","Fill=—","Direction=H","UseDPDF=Y")</f>
        <v>#NAME?</v>
      </c>
      <c r="AA60" s="2" t="e">
        <f ca="1">_xll.BDH($C$53,"INVENTORY_GROWTH","FQ2 2015","FQ2 2015","Currency=INR","Period=FQ","BEST_FPERIOD_OVERRIDE=FQ","FILING_STATUS=OR","EQY_CONSOLIDATED=Y","Sort=A","Dates=H","DateFormat=P","Fill=—","Direction=H","UseDPDF=Y")</f>
        <v>#NAME?</v>
      </c>
      <c r="AB60" s="2" t="e">
        <f ca="1">_xll.BDH($C$53,"NET_FIXED_ASSETS_1_YEAR_GROWTH","FQ2 2015","FQ2 2015","Currency=INR","Period=FQ","BEST_FPERIOD_OVERRIDE=FQ","FILING_STATUS=OR","EQY_CONSOLIDATED=Y","Sort=A","Dates=H","DateFormat=P","Fill=—","Direction=H","UseDPDF=Y")</f>
        <v>#NAME?</v>
      </c>
      <c r="AC60" s="2" t="e">
        <f ca="1">_xll.BDH($C$53,"ASSET_GROWTH","FQ2 2015","FQ2 2015","Currency=INR","Period=FQ","BEST_FPERIOD_OVERRIDE=FQ","FILING_STATUS=OR","EQY_CONSOLIDATED=Y","Sort=A","Dates=H","DateFormat=P","Fill=—","Direction=H","UseDPDF=Y")</f>
        <v>#NAME?</v>
      </c>
      <c r="AD60" s="2" t="e">
        <f ca="1">_xll.BDH($C$53,"MODIFIED_WORK_CAP_GROWTH","FQ2 2015","FQ2 2015","Currency=INR","Period=FQ","BEST_FPERIOD_OVERRIDE=FQ","FILING_STATUS=OR","EQY_CONSOLIDATED=Y","Sort=A","Dates=H","DateFormat=P","Fill=—","Direction=H","UseDPDF=Y")</f>
        <v>#NAME?</v>
      </c>
      <c r="AE60" s="2" t="e">
        <f ca="1">_xll.BDH($C$53,"WORK_CAP_GROWTH","FQ2 2015","FQ2 2015","Currency=INR","Period=FQ","BEST_FPERIOD_OVERRIDE=FQ","FILING_STATUS=OR","EQY_CONSOLIDATED=Y","Sort=A","Dates=H","DateFormat=P","Fill=—","Direction=H","UseDPDF=Y")</f>
        <v>#NAME?</v>
      </c>
      <c r="AF60" s="2" t="e">
        <f ca="1">_xll.BDH($C$53,"ACCOUNTS_PAYABLE_GROWTH_1YR","FQ2 2015","FQ2 2015","Currency=INR","Period=FQ","BEST_FPERIOD_OVERRIDE=FQ","FILING_STATUS=OR","EQY_CONSOLIDATED=Y","Sort=A","Dates=H","DateFormat=P","Fill=—","Direction=H","UseDPDF=Y")</f>
        <v>#NAME?</v>
      </c>
      <c r="AG60" s="2" t="e">
        <f ca="1">_xll.BDH($C$53,"SHORT_TERM_DEBT_1_YEAR_GROWTH","FQ2 2015","FQ2 2015","Currency=INR","Period=FQ","BEST_FPERIOD_OVERRIDE=FQ","FILING_STATUS=OR","EQY_CONSOLIDATED=Y","Sort=A","Dates=H","DateFormat=P","Fill=—","Direction=H","UseDPDF=Y")</f>
        <v>#NAME?</v>
      </c>
      <c r="AH60" s="2" t="e">
        <f ca="1">_xll.BDH($C$53,"TOTAL_DEBT_1_YEAR_GROWTH","FQ2 2015","FQ2 2015","Currency=INR","Period=FQ","BEST_FPERIOD_OVERRIDE=FQ","FILING_STATUS=OR","EQY_CONSOLIDATED=Y","Sort=A","Dates=H","DateFormat=P","Fill=—","Direction=H","UseDPDF=Y")</f>
        <v>#NAME?</v>
      </c>
      <c r="AI60" s="2" t="e">
        <f ca="1">_xll.BDH($C$53,"TOTAL_EQUITY_1_YEAR_GROWTH","FQ2 2015","FQ2 2015","Currency=INR","Period=FQ","BEST_FPERIOD_OVERRIDE=FQ","FILING_STATUS=OR","EQY_CONSOLIDATED=Y","Sort=A","Dates=H","DateFormat=P","Fill=—","Direction=H","UseDPDF=Y")</f>
        <v>#NAME?</v>
      </c>
      <c r="AJ60" s="2" t="e">
        <f ca="1">_xll.BDH($C$53,"GROWTH_IN_CAP","FQ2 2015","FQ2 2015","Currency=INR","Period=FQ","BEST_FPERIOD_OVERRIDE=FQ","FILING_STATUS=OR","EQY_CONSOLIDATED=Y","Sort=A","Dates=H","DateFormat=P","Fill=—","Direction=H","UseDPDF=Y")</f>
        <v>#NAME?</v>
      </c>
      <c r="AK60" s="2" t="e">
        <f ca="1">_xll.BDH($C$53,"BVPS_GROWTH","FQ2 2015","FQ2 2015","Currency=INR","Period=FQ","BEST_FPERIOD_OVERRIDE=FQ","FILING_STATUS=OR","EQY_CONSOLIDATED=Y","Sort=A","Dates=H","DateFormat=P","Fill=—","Direction=H","UseDPDF=Y")</f>
        <v>#NAME?</v>
      </c>
      <c r="AL60" s="2" t="e">
        <f ca="1">_xll.BDH($C$53,"CASH_FLOW_GROWTH","FQ2 2015","FQ2 2015","Currency=INR","Period=FQ","BEST_FPERIOD_OVERRIDE=FQ","FILING_STATUS=OR","EQY_CONSOLIDATED=Y","Sort=A","Dates=H","DateFormat=P","Fill=—","Direction=H","UseDPDF=Y")</f>
        <v>#NAME?</v>
      </c>
      <c r="AM60" s="2" t="e">
        <f ca="1">_xll.BDH($C$53,"GEO_GROW_NET_SALES","FQ2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0" s="2" t="e">
        <f ca="1">_xll.BDH($C$53,"GEO_GROW_EBITDA","FQ2 2015","FQ2 2015","Currency=INR","Period=FQ","BEST_FPERIOD_OVERRIDE=FQ","FILING_STATUS=OR","EQY_CONSOLIDATED=Y","FA_ADJUSTED=GAAP","Sort=A","Dates=H","DateFormat=P","Fill=—","Direction=H","UseDPDF=Y")</f>
        <v>#NAME?</v>
      </c>
      <c r="AO60" s="2" t="e">
        <f ca="1">_xll.BDH($C$53,"GEO_GROW_OPER_INC","FQ2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0" s="2" t="e">
        <f ca="1">_xll.BDH($C$53,"NET_INCOME_TO_COMMON_5_YR_GROWTH","FQ2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0" s="2" t="e">
        <f ca="1">_xll.BDH($C$53,"5Y_GEO_GROWTH_DILUTED_EPS","FQ2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0" s="2" t="e">
        <f ca="1">_xll.BDH($C$53,"GEO_GROW_DVD_PER_SH","FQ2 2015","FQ2 2015","Currency=INR","Period=FQ","BEST_FPERIOD_OVERRIDE=FQ","FILING_STATUS=OR","EQY_CONSOLIDATED=Y","Sort=A","Dates=H","DateFormat=P","Fill=—","Direction=H","UseDPDF=Y")</f>
        <v>#NAME?</v>
      </c>
      <c r="AS60" s="2" t="e">
        <f ca="1">_xll.BDH($C$53,"ACCOUNTS_RECEIVABLE_5_YR_GROWTH","FQ2 2015","FQ2 2015","Currency=INR","Period=FQ","BEST_FPERIOD_OVERRIDE=FQ","FILING_STATUS=OR","EQY_CONSOLIDATED=Y","Sort=A","Dates=H","DateFormat=P","Fill=—","Direction=H","UseDPDF=Y")</f>
        <v>#NAME?</v>
      </c>
      <c r="AT60" s="2" t="e">
        <f ca="1">_xll.BDH($C$53,"INVENTORY_5_YEAR_GROWTH","FQ2 2015","FQ2 2015","Currency=INR","Period=FQ","BEST_FPERIOD_OVERRIDE=FQ","FILING_STATUS=OR","EQY_CONSOLIDATED=Y","Sort=A","Dates=H","DateFormat=P","Fill=—","Direction=H","UseDPDF=Y")</f>
        <v>#NAME?</v>
      </c>
      <c r="AU60" s="2" t="e">
        <f ca="1">_xll.BDH($C$53,"NET_FIXED_ASSETS_5_YEAR_GROWTH","FQ2 2015","FQ2 2015","Currency=INR","Period=FQ","BEST_FPERIOD_OVERRIDE=FQ","FILING_STATUS=OR","EQY_CONSOLIDATED=Y","Sort=A","Dates=H","DateFormat=P","Fill=—","Direction=H","UseDPDF=Y")</f>
        <v>#NAME?</v>
      </c>
      <c r="AV60" s="2" t="e">
        <f ca="1">_xll.BDH($C$53,"GEO_GROW_TOT_ASSET","FQ2 2015","FQ2 2015","Currency=INR","Period=FQ","BEST_FPERIOD_OVERRIDE=FQ","FILING_STATUS=OR","EQY_CONSOLIDATED=Y","Sort=A","Dates=H","DateFormat=P","Fill=—","Direction=H","UseDPDF=Y")</f>
        <v>#NAME?</v>
      </c>
      <c r="AW60" s="2" t="e">
        <f ca="1">_xll.BDH($C$53,"MODIFIED_WORKING_CPTL_5YR_GRWTH","FQ2 2015","FQ2 2015","Currency=INR","Period=FQ","BEST_FPERIOD_OVERRIDE=FQ","FILING_STATUS=OR","EQY_CONSOLIDATED=Y","Sort=A","Dates=H","DateFormat=P","Fill=—","Direction=H","UseDPDF=Y")</f>
        <v>#NAME?</v>
      </c>
      <c r="AX60" s="2" t="e">
        <f ca="1">_xll.BDH($C$53,"WORKING_CAPITAL_5_YEAR_GROWTH","FQ2 2015","FQ2 2015","Currency=INR","Period=FQ","BEST_FPERIOD_OVERRIDE=FQ","FILING_STATUS=OR","EQY_CONSOLIDATED=Y","Sort=A","Dates=H","DateFormat=P","Fill=—","Direction=H","UseDPDF=Y")</f>
        <v>#NAME?</v>
      </c>
      <c r="AY60" s="2" t="e">
        <f ca="1">_xll.BDH($C$53,"ACCOUNTS_PAYABLE_5_YEAR_GROWTH","FQ2 2015","FQ2 2015","Currency=INR","Period=FQ","BEST_FPERIOD_OVERRIDE=FQ","FILING_STATUS=OR","EQY_CONSOLIDATED=Y","Sort=A","Dates=H","DateFormat=P","Fill=—","Direction=H","UseDPDF=Y")</f>
        <v>#NAME?</v>
      </c>
      <c r="AZ60" s="2" t="e">
        <f ca="1">_xll.BDH($C$53,"SHORT_TERM_DEBT_5_YEAR_GROWTH","FQ2 2015","FQ2 2015","Currency=INR","Period=FQ","BEST_FPERIOD_OVERRIDE=FQ","FILING_STATUS=OR","EQY_CONSOLIDATED=Y","Sort=A","Dates=H","DateFormat=P","Fill=—","Direction=H","UseDPDF=Y")</f>
        <v>#NAME?</v>
      </c>
      <c r="BA60" s="2" t="e">
        <f ca="1">_xll.BDH($C$53,"TOTAL_DEBT_5_YEAR_GROWTH","FQ2 2015","FQ2 2015","Currency=INR","Period=FQ","BEST_FPERIOD_OVERRIDE=FQ","FILING_STATUS=OR","EQY_CONSOLIDATED=Y","Sort=A","Dates=H","DateFormat=P","Fill=—","Direction=H","UseDPDF=Y")</f>
        <v>#NAME?</v>
      </c>
      <c r="BB60" s="2" t="e">
        <f ca="1">_xll.BDH($C$53,"GEO_GROW_TOT_SHRHLDR_EQY","FQ2 2015","FQ2 2015","Currency=INR","Period=FQ","BEST_FPERIOD_OVERRIDE=FQ","FILING_STATUS=OR","EQY_CONSOLIDATED=Y","Sort=A","Dates=H","DateFormat=P","Fill=—","Direction=H","UseDPDF=Y")</f>
        <v>#NAME?</v>
      </c>
      <c r="BC60" s="2" t="e">
        <f ca="1">_xll.BDH($C$53,"TOTAL_CAPITAL_5_YEAR_GROWTH","FQ2 2015","FQ2 2015","Currency=INR","Period=FQ","BEST_FPERIOD_OVERRIDE=FQ","FILING_STATUS=OR","EQY_CONSOLIDATED=Y","Sort=A","Dates=H","DateFormat=P","Fill=—","Direction=H","UseDPDF=Y")</f>
        <v>#NAME?</v>
      </c>
      <c r="BD60" s="2" t="e">
        <f ca="1">_xll.BDH($C$53,"GEO_GROW_BOOK_VAL","FQ2 2015","FQ2 2015","Currency=INR","Period=FQ","BEST_FPERIOD_OVERRIDE=FQ","FILING_STATUS=OR","EQY_CONSOLIDATED=Y","Sort=A","Dates=H","DateFormat=P","Fill=—","Direction=H","UseDPDF=Y")</f>
        <v>#NAME?</v>
      </c>
      <c r="BE60" s="2" t="e">
        <f ca="1">_xll.BDH($C$53,"GEO_GROW_CASH_OPER_ACT","FQ2 2015","FQ2 2015","Currency=INR","Period=FQ","BEST_FPERIOD_OVERRIDE=FQ","FILING_STATUS=OR","EQY_CONSOLIDATED=Y","Sort=A","Dates=H","DateFormat=P","Fill=—","Direction=H","UseDPDF=Y")</f>
        <v>#NAME?</v>
      </c>
      <c r="BF60" s="2" t="e">
        <f ca="1">_xll.BDH($C$53,"REVENUE_SEQUENTIAL_GROWTH","FQ2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0" s="2" t="e">
        <f ca="1">_xll.BDH($C$53,"EBITDA_SEQUENTIAL_GROWTH","FQ2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0" s="2" t="e">
        <f ca="1">_xll.BDH($C$53,"OPERATING_INCOME_SEQ_GROWTH","FQ2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0" s="2" t="e">
        <f ca="1">_xll.BDH($C$53,"NET_INCOME_TO_COMMON_SEQ_GROWTH","FQ2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0" s="2" t="e">
        <f ca="1">_xll.BDH($C$53,"EPS_DILUTED_SEQUENTIAL_GROWTH","FQ2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0" s="2" t="e">
        <f ca="1">_xll.BDH($C$53,"DPS_SEQUENTIAL_GROWTH","FQ2 2015","FQ2 2015","Currency=INR","Period=FQ","BEST_FPERIOD_OVERRIDE=FQ","FILING_STATUS=OR","EQY_CONSOLIDATED=Y","Sort=A","Dates=H","DateFormat=P","Fill=—","Direction=H","UseDPDF=Y")</f>
        <v>#NAME?</v>
      </c>
      <c r="BL60" s="2" t="e">
        <f ca="1">_xll.BDH($C$53,"ACCOUNTS_RECEIVABLE_SEQ_GROWTH","FQ2 2015","FQ2 2015","Currency=INR","Period=FQ","BEST_FPERIOD_OVERRIDE=FQ","FILING_STATUS=OR","EQY_CONSOLIDATED=Y","Sort=A","Dates=H","DateFormat=P","Fill=—","Direction=H","UseDPDF=Y")</f>
        <v>#NAME?</v>
      </c>
      <c r="BM60" s="2" t="e">
        <f ca="1">_xll.BDH($C$53,"INVENTORY_SEQUENTIAL_GROWTH","FQ2 2015","FQ2 2015","Currency=INR","Period=FQ","BEST_FPERIOD_OVERRIDE=FQ","FILING_STATUS=OR","EQY_CONSOLIDATED=Y","Sort=A","Dates=H","DateFormat=P","Fill=—","Direction=H","UseDPDF=Y")</f>
        <v>#NAME?</v>
      </c>
      <c r="BN60" s="2" t="e">
        <f ca="1">_xll.BDH($C$53,"FIXED_ASSETS_SEQUENTIAL_GROWTH","FQ2 2015","FQ2 2015","Currency=INR","Period=FQ","BEST_FPERIOD_OVERRIDE=FQ","FILING_STATUS=OR","EQY_CONSOLIDATED=Y","Sort=A","Dates=H","DateFormat=P","Fill=—","Direction=H","UseDPDF=Y")</f>
        <v>#NAME?</v>
      </c>
      <c r="BO60" s="2" t="e">
        <f ca="1">_xll.BDH($C$53,"TOTAL_ASSETS_SEQUENTIAL_GROWTH","FQ2 2015","FQ2 2015","Currency=INR","Period=FQ","BEST_FPERIOD_OVERRIDE=FQ","FILING_STATUS=OR","EQY_CONSOLIDATED=Y","Sort=A","Dates=H","DateFormat=P","Fill=—","Direction=H","UseDPDF=Y")</f>
        <v>#NAME?</v>
      </c>
      <c r="BP60" s="2" t="e">
        <f ca="1">_xll.BDH($C$53,"MODIFIED_WORKING_CPTL_SEQ_GRWTH","FQ2 2015","FQ2 2015","Currency=INR","Period=FQ","BEST_FPERIOD_OVERRIDE=FQ","FILING_STATUS=OR","EQY_CONSOLIDATED=Y","Sort=A","Dates=H","DateFormat=P","Fill=—","Direction=H","UseDPDF=Y")</f>
        <v>#NAME?</v>
      </c>
      <c r="BQ60" s="2" t="e">
        <f ca="1">_xll.BDH($C$53,"WORKING_CAPITAL_SEQ_GROWTH","FQ2 2015","FQ2 2015","Currency=INR","Period=FQ","BEST_FPERIOD_OVERRIDE=FQ","FILING_STATUS=OR","EQY_CONSOLIDATED=Y","Sort=A","Dates=H","DateFormat=P","Fill=—","Direction=H","UseDPDF=Y")</f>
        <v>#NAME?</v>
      </c>
      <c r="BR60" s="2" t="e">
        <f ca="1">_xll.BDH($C$53,"ACCOUNTS_PAYABLE_SEQ_GROWTH","FQ2 2015","FQ2 2015","Currency=INR","Period=FQ","BEST_FPERIOD_OVERRIDE=FQ","FILING_STATUS=OR","EQY_CONSOLIDATED=Y","Sort=A","Dates=H","DateFormat=P","Fill=—","Direction=H","UseDPDF=Y")</f>
        <v>#NAME?</v>
      </c>
      <c r="BS60" s="2" t="e">
        <f ca="1">_xll.BDH($C$53,"ST_DEBT_SEQUENTIAL_GROWTH","FQ2 2015","FQ2 2015","Currency=INR","Period=FQ","BEST_FPERIOD_OVERRIDE=FQ","FILING_STATUS=OR","EQY_CONSOLIDATED=Y","Sort=A","Dates=H","DateFormat=P","Fill=—","Direction=H","UseDPDF=Y")</f>
        <v>#NAME?</v>
      </c>
      <c r="BT60" s="2" t="e">
        <f ca="1">_xll.BDH($C$53,"TOTAL_DEBT_SEQUENTIAL_GROWTH","FQ2 2015","FQ2 2015","Currency=INR","Period=FQ","BEST_FPERIOD_OVERRIDE=FQ","FILING_STATUS=OR","EQY_CONSOLIDATED=Y","Sort=A","Dates=H","DateFormat=P","Fill=—","Direction=H","UseDPDF=Y")</f>
        <v>#NAME?</v>
      </c>
      <c r="BU60" s="2" t="e">
        <f ca="1">_xll.BDH($C$53,"TOTAL_EQUITY_SEQUENTIAL_GROWTH","FQ2 2015","FQ2 2015","Currency=INR","Period=FQ","BEST_FPERIOD_OVERRIDE=FQ","FILING_STATUS=OR","EQY_CONSOLIDATED=Y","Sort=A","Dates=H","DateFormat=P","Fill=—","Direction=H","UseDPDF=Y")</f>
        <v>#NAME?</v>
      </c>
      <c r="BV60" s="2" t="e">
        <f ca="1">_xll.BDH($C$53,"TOTAL_CAPITAL_SEQUENTIAL_GROWTH","FQ2 2015","FQ2 2015","Currency=INR","Period=FQ","BEST_FPERIOD_OVERRIDE=FQ","FILING_STATUS=OR","EQY_CONSOLIDATED=Y","Sort=A","Dates=H","DateFormat=P","Fill=—","Direction=H","UseDPDF=Y")</f>
        <v>#NAME?</v>
      </c>
      <c r="BW60" s="2" t="e">
        <f ca="1">_xll.BDH($C$53,"BPS_SEQUENTIAL_GROWTH","FQ2 2015","FQ2 2015","Currency=INR","Period=FQ","BEST_FPERIOD_OVERRIDE=FQ","FILING_STATUS=OR","EQY_CONSOLIDATED=Y","Sort=A","Dates=H","DateFormat=P","Fill=—","Direction=H","UseDPDF=Y")</f>
        <v>#NAME?</v>
      </c>
      <c r="BX60" s="2" t="e">
        <f ca="1">_xll.BDH($C$53,"CFO_SEQUENTIAL_GROWTH","FQ2 2015","FQ2 2015","Currency=INR","Period=FQ","BEST_FPERIOD_OVERRIDE=FQ","FILING_STATUS=OR","EQY_CONSOLIDATED=Y","Sort=A","Dates=H","DateFormat=P","Fill=—","Direction=H","UseDPDF=Y")</f>
        <v>#NAME?</v>
      </c>
      <c r="BY60" s="3" t="e">
        <f ca="1">_xll.BDH($C$53,"SHORT_AND_LONG_TERM_DEBT","FQ2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0" s="3" t="e">
        <f ca="1">_xll.BDH($C$53,"BS_ST_BORROW","FQ2 2015","FQ2 2015","Currency=INR","Period=FQ","BEST_FPERIOD_OVERRIDE=FQ","FILING_STATUS=OR","EQY_CONSOLIDATED=Y","SCALING_FORMAT=MLN","Sort=A","Dates=H","DateFormat=P","Fill=—","Direction=H","UseDPDF=Y")</f>
        <v>#NAME?</v>
      </c>
      <c r="CA60" s="3" t="e">
        <f ca="1">_xll.BDH($C$53,"BS_LT_BORROW","FQ2 2015","FQ2 2015","Currency=INR","Period=FQ","BEST_FPERIOD_OVERRIDE=FQ","FILING_STATUS=OR","EQY_CONSOLIDATED=Y","SCALING_FORMAT=MLN","Sort=A","Dates=H","DateFormat=P","Fill=—","Direction=H","UseDPDF=Y")</f>
        <v>#NAME?</v>
      </c>
      <c r="CB60" s="2" t="e">
        <f ca="1">_xll.BDH($C$53,"TOT_DEBT_TO_EBITDA","FQ2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0" s="2" t="e">
        <f ca="1">_xll.BDH($C$53,"NET_DEBT_TO_EBITDA","FQ2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0" s="2" t="e">
        <f ca="1">_xll.BDH($C$53,"TOTAL_DEBT_TO_EBIT","FQ2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0" s="2" t="e">
        <f ca="1">_xll.BDH($C$53,"NET_DEBT_TO_EBIT","FQ2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0" s="2" t="e">
        <f ca="1">_xll.BDH($C$53,"EBITDA_TO_INTEREST_EXPN","FQ2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0" s="2" t="e">
        <f ca="1">_xll.BDH($C$53,"COM_EQY_TO_TOT_ASSET","FQ2 2015","FQ2 2015","Currency=INR","Period=FQ","BEST_FPERIOD_OVERRIDE=FQ","FILING_STATUS=OR","EQY_CONSOLIDATED=Y","Sort=A","Dates=H","DateFormat=P","Fill=—","Direction=H","UseDPDF=Y")</f>
        <v>#NAME?</v>
      </c>
      <c r="CH60" s="2" t="e">
        <f ca="1">_xll.BDH($C$53,"LT_DEBT_TO_TOT_EQY","FQ2 2015","FQ2 2015","Currency=INR","Period=FQ","BEST_FPERIOD_OVERRIDE=FQ","FILING_STATUS=OR","EQY_CONSOLIDATED=Y","Sort=A","Dates=H","DateFormat=P","Fill=—","Direction=H","UseDPDF=Y")</f>
        <v>#NAME?</v>
      </c>
      <c r="CI60" s="2" t="e">
        <f ca="1">_xll.BDH($C$53,"LT_DEBT_TO_TOT_CAP","FQ2 2015","FQ2 2015","Currency=INR","Period=FQ","BEST_FPERIOD_OVERRIDE=FQ","FILING_STATUS=OR","EQY_CONSOLIDATED=Y","Sort=A","Dates=H","DateFormat=P","Fill=—","Direction=H","UseDPDF=Y")</f>
        <v>#NAME?</v>
      </c>
      <c r="CJ60" s="2" t="e">
        <f ca="1">_xll.BDH($C$53,"LT_DEBT_TO_TOT_ASSET","FQ2 2015","FQ2 2015","Currency=INR","Period=FQ","BEST_FPERIOD_OVERRIDE=FQ","FILING_STATUS=OR","EQY_CONSOLIDATED=Y","Sort=A","Dates=H","DateFormat=P","Fill=—","Direction=H","UseDPDF=Y")</f>
        <v>#NAME?</v>
      </c>
      <c r="CK60" s="2" t="e">
        <f ca="1">_xll.BDH($C$53,"TOT_DEBT_TO_TOT_EQY","FQ2 2015","FQ2 2015","Currency=INR","Period=FQ","BEST_FPERIOD_OVERRIDE=FQ","FILING_STATUS=OR","EQY_CONSOLIDATED=Y","Sort=A","Dates=H","DateFormat=P","Fill=—","Direction=H","UseDPDF=Y")</f>
        <v>#NAME?</v>
      </c>
      <c r="CL60" s="2" t="e">
        <f ca="1">_xll.BDH($C$53,"TOT_DEBT_TO_TOT_CAP","FQ2 2015","FQ2 2015","Currency=INR","Period=FQ","BEST_FPERIOD_OVERRIDE=FQ","FILING_STATUS=OR","EQY_CONSOLIDATED=Y","Sort=A","Dates=H","DateFormat=P","Fill=—","Direction=H","UseDPDF=Y")</f>
        <v>#NAME?</v>
      </c>
      <c r="CM60" s="2" t="e">
        <f ca="1">_xll.BDH($C$53,"TOT_DEBT_TO_TOT_ASSET","FQ2 2015","FQ2 2015","Currency=INR","Period=FQ","BEST_FPERIOD_OVERRIDE=FQ","FILING_STATUS=OR","EQY_CONSOLIDATED=Y","Sort=A","Dates=H","DateFormat=P","Fill=—","Direction=H","UseDPDF=Y")</f>
        <v>#NAME?</v>
      </c>
      <c r="CN60" s="2" t="e">
        <f ca="1">_xll.BDH($C$53,"NET_DEBT_TO_SHRHLDR_EQTY","FQ2 2015","FQ2 2015","Currency=INR","Period=FQ","BEST_FPERIOD_OVERRIDE=FQ","FILING_STATUS=OR","EQY_CONSOLIDATED=Y","Sort=A","Dates=H","DateFormat=P","Fill=—","Direction=H","UseDPDF=Y")</f>
        <v>#NAME?</v>
      </c>
      <c r="CO60" s="2" t="e">
        <f ca="1">_xll.BDH($C$53,"NET_DEBT_%_CAPITAL","FQ2 2015","FQ2 2015","Currency=INR","Period=FQ","BEST_FPERIOD_OVERRIDE=FQ","FILING_STATUS=OR","EQY_CONSOLIDATED=Y","Sort=A","Dates=H","DateFormat=P","Fill=—","Direction=H","UseDPDF=Y")</f>
        <v>#NAME?</v>
      </c>
      <c r="CP60" s="3" t="e">
        <f ca="1">_xll.BDH($C$53,"EBITDA","FQ2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0" s="3" t="e">
        <f ca="1">_xll.BDH($C$53,"EBITDA_AFTER_CAPEX","FQ2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0" s="3" t="e">
        <f ca="1">_xll.BDH($C$53,"IS_OPER_INC","FQ2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0" s="2" t="e">
        <f ca="1">_xll.BDH($C$53,"CASH_RATIO","FQ2 2015","FQ2 2015","Currency=INR","Period=FQ","BEST_FPERIOD_OVERRIDE=FQ","FILING_STATUS=OR","EQY_CONSOLIDATED=Y","Sort=A","Dates=H","DateFormat=P","Fill=—","Direction=H","UseDPDF=Y")</f>
        <v>#NAME?</v>
      </c>
      <c r="CT60" s="2" t="e">
        <f ca="1">_xll.BDH($C$53,"CUR_RATIO","FQ2 2015","FQ2 2015","Currency=INR","Period=FQ","BEST_FPERIOD_OVERRIDE=FQ","FILING_STATUS=OR","EQY_CONSOLIDATED=Y","Sort=A","Dates=H","DateFormat=P","Fill=—","Direction=H","UseDPDF=Y")</f>
        <v>#NAME?</v>
      </c>
      <c r="CU60" s="2" t="e">
        <f ca="1">_xll.BDH($C$53,"QUICK_RATIO","FQ2 2015","FQ2 2015","Currency=INR","Period=FQ","BEST_FPERIOD_OVERRIDE=FQ","FILING_STATUS=OR","EQY_CONSOLIDATED=Y","Sort=A","Dates=H","DateFormat=P","Fill=—","Direction=H","UseDPDF=Y")</f>
        <v>#NAME?</v>
      </c>
      <c r="CV60" s="2" t="e">
        <f ca="1">_xll.BDH($C$53,"ALTMAN_Z_SCORE","FQ2 2015","FQ2 2015","Currency=INR","Period=FQ","BEST_FPERIOD_OVERRIDE=FQ","FILING_STATUS=OR","EQY_CONSOLIDATED=Y","Sort=A","Dates=H","DateFormat=P","Fill=—","Direction=H","UseDPDF=Y")</f>
        <v>#NAME?</v>
      </c>
      <c r="CW60" s="4" t="e">
        <f ca="1">_xll.BDH($C$53,"ACCT_RCV_TURN","FQ2 2015","FQ2 2015","Currency=INR","Period=FQ","BEST_FPERIOD_OVERRIDE=FQ","FILING_STATUS=OR","EQY_CONSOLIDATED=Y","FA_ADJUSTED=GAAP","Sort=A","Dates=H","DateFormat=P","Fill=—","Direction=H","UseDPDF=Y")</f>
        <v>#NAME?</v>
      </c>
      <c r="CX60" s="2" t="e">
        <f ca="1">_xll.BDH($C$53,"ACCT_RCV_DAYS","FQ2 2015","FQ2 2015","Currency=INR","Period=FQ","BEST_FPERIOD_OVERRIDE=FQ","FILING_STATUS=OR","EQY_CONSOLIDATED=Y","FA_ADJUSTED=GAAP","Sort=A","Dates=H","DateFormat=P","Fill=—","Direction=H","UseDPDF=Y")</f>
        <v>#NAME?</v>
      </c>
      <c r="CY60" s="4" t="e">
        <f ca="1">_xll.BDH($C$53,"INVENT_TURN","FQ2 2015","FQ2 2015","Currency=INR","Period=FQ","BEST_FPERIOD_OVERRIDE=FQ","FILING_STATUS=OR","EQY_CONSOLIDATED=Y","FA_ADJUSTED=GAAP","Sort=A","Dates=H","DateFormat=P","Fill=—","Direction=H","UseDPDF=Y")</f>
        <v>#NAME?</v>
      </c>
      <c r="CZ60" s="2" t="e">
        <f ca="1">_xll.BDH($C$53,"INVENT_DAYS","FQ2 2015","FQ2 2015","Currency=INR","Period=FQ","BEST_FPERIOD_OVERRIDE=FQ","FILING_STATUS=OR","EQY_CONSOLIDATED=Y","FA_ADJUSTED=GAAP","Sort=A","Dates=H","DateFormat=P","Fill=—","Direction=H","UseDPDF=Y")</f>
        <v>#NAME?</v>
      </c>
      <c r="DA60" s="4" t="e">
        <f ca="1">_xll.BDH($C$53,"ACCOUNTS_PAYABLE_TURNOVER","FQ2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0" s="2" t="e">
        <f ca="1">_xll.BDH($C$53,"ACCOUNTS_PAYABLE_TURNOVER_DAYS","FQ2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0" s="4" t="e">
        <f ca="1">_xll.BDH($C$53,"CASH_CONVERSION_CYCLE","FQ2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0" s="4" t="e">
        <f ca="1">_xll.BDH($C$53,"INV_TO_CASH_DAYS","FQ2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0" s="5" t="e">
        <f ca="1">_xll.BDH($C$53,"BS_INVENTORIES","FQ2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0" s="3" t="e">
        <f ca="1">_xll.BDH($C$53,"INVTRY_RAW_MATERIALS","FQ2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0" s="3" t="e">
        <f ca="1">_xll.BDH($C$53,"INVTRY_IN_PROGRESS","FQ2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0" s="3" t="e">
        <f ca="1">_xll.BDH($C$53,"INVTRY_FINISHED_GOODS","FQ2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0" s="3" t="e">
        <f ca="1">_xll.BDH($C$53,"BS_OTHER_INV","FQ2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" spans="1:113" x14ac:dyDescent="0.3">
      <c r="A61" s="6"/>
      <c r="B61" s="6"/>
      <c r="C61" s="6"/>
      <c r="D61" s="6"/>
      <c r="E61" t="s">
        <v>80</v>
      </c>
      <c r="F61" t="e">
        <f ca="1">_xll.BDH($C$53,"RETURN_COM_EQY","FQ3 2015","FQ3 2015","Currency=INR","Period=FQ","BEST_FPERIOD_OVERRIDE=FQ","FILING_STATUS=OR","EQY_CONSOLIDATED=Y","FA_ADJUSTED=GAAP","Sort=A","Dates=H","DateFormat=P","Fill=—","Direction=H","UseDPDF=Y")</f>
        <v>#NAME?</v>
      </c>
      <c r="G61" t="e">
        <f ca="1">_xll.BDH($C$53,"RETURN_ON_ASSET","FQ3 2015","FQ3 2015","Currency=INR","Period=FQ","BEST_FPERIOD_OVERRIDE=FQ","FILING_STATUS=OR","EQY_CONSOLIDATED=Y","FA_ADJUSTED=GAAP","Sort=A","Dates=H","DateFormat=P","Fill=—","Direction=H","UseDPDF=Y")</f>
        <v>#NAME?</v>
      </c>
      <c r="H61" t="e">
        <f ca="1">_xll.BDH($C$53,"RETURN_ON_CAP","FQ3 2015","FQ3 2015","Currency=INR","Period=FQ","BEST_FPERIOD_OVERRIDE=FQ","FILING_STATUS=OR","EQY_CONSOLIDATED=Y","FA_ADJUSTED=GAAP","Sort=A","Dates=H","DateFormat=P","Fill=—","Direction=H","UseDPDF=Y")</f>
        <v>#NAME?</v>
      </c>
      <c r="I61" t="e">
        <f ca="1">_xll.BDH($C$53,"RETURN_ON_INV_CAPITAL","FQ3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" t="e">
        <f ca="1">_xll.BDH($C$53,"EBITDA_TO_REVENUE","FQ3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" t="e">
        <f ca="1">_xll.BDH($C$53,"OPER_MARGIN","FQ3 2015","FQ3 2015","Currency=INR","Period=FQ","BEST_FPERIOD_OVERRIDE=FQ","FILING_STATUS=OR","EQY_CONSOLIDATED=Y","FA_ADJUSTED=GAAP","Sort=A","Dates=H","DateFormat=P","Fill=—","Direction=H","UseDPDF=Y")</f>
        <v>#NAME?</v>
      </c>
      <c r="L61" t="e">
        <f ca="1">_xll.BDH($C$53,"INCREMENTAL_OPERATING_MARGIN","FQ3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" t="e">
        <f ca="1">_xll.BDH($C$53,"PRETAX_INC_TO_NET_SALES","FQ3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" t="e">
        <f ca="1">_xll.BDH($C$53,"INC_BEF_XO_ITEMS_TO_NET_SALES","FQ3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" t="e">
        <f ca="1">_xll.BDH($C$53,"PROF_MARGIN","FQ3 2015","FQ3 2015","Currency=INR","Period=FQ","BEST_FPERIOD_OVERRIDE=FQ","FILING_STATUS=OR","EQY_CONSOLIDATED=Y","FA_ADJUSTED=GAAP","Sort=A","Dates=H","DateFormat=P","Fill=—","Direction=H","UseDPDF=Y")</f>
        <v>#NAME?</v>
      </c>
      <c r="P61" t="e">
        <f ca="1">_xll.BDH($C$53,"NET_INCOME_TO_COMMON_MARGIN","FQ3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" t="e">
        <f ca="1">_xll.BDH($C$53,"EFF_TAX_RATE","FQ3 2015","FQ3 2015","Currency=INR","Period=FQ","BEST_FPERIOD_OVERRIDE=FQ","FILING_STATUS=OR","EQY_CONSOLIDATED=Y","FA_ADJUSTED=GAAP","Sort=A","Dates=H","DateFormat=P","Fill=—","Direction=H","UseDPDF=Y")</f>
        <v>#NAME?</v>
      </c>
      <c r="R61" t="e">
        <f ca="1">_xll.BDH($C$53,"DVD_PAYOUT_RATIO","FQ3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" t="e">
        <f ca="1">_xll.BDH($C$53,"SUSTAIN_GROWTH_RT","FQ3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" s="2" t="e">
        <f ca="1">_xll.BDH($C$53,"SALES_GROWTH","FQ3 2015","FQ3 2015","Currency=INR","Period=FQ","BEST_FPERIOD_OVERRIDE=FQ","FILING_STATUS=OR","EQY_CONSOLIDATED=Y","FA_ADJUSTED=GAAP","Sort=A","Dates=H","DateFormat=P","Fill=—","Direction=H","UseDPDF=Y")</f>
        <v>#NAME?</v>
      </c>
      <c r="U61" s="2" t="e">
        <f ca="1">_xll.BDH($C$53,"EBITDA_GROWTH","FQ3 2015","FQ3 2015","Currency=INR","Period=FQ","BEST_FPERIOD_OVERRIDE=FQ","FILING_STATUS=OR","EQY_CONSOLIDATED=Y","FA_ADJUSTED=GAAP","Sort=A","Dates=H","DateFormat=P","Fill=—","Direction=H","UseDPDF=Y")</f>
        <v>#NAME?</v>
      </c>
      <c r="V61" s="2" t="e">
        <f ca="1">_xll.BDH($C$53,"OPER_INC_GROWTH","FQ3 2015","FQ3 2015","Currency=INR","Period=FQ","BEST_FPERIOD_OVERRIDE=FQ","FILING_STATUS=OR","EQY_CONSOLIDATED=Y","FA_ADJUSTED=GAAP","Sort=A","Dates=H","DateFormat=P","Fill=—","Direction=H","UseDPDF=Y")</f>
        <v>#NAME?</v>
      </c>
      <c r="W61" s="2" t="e">
        <f ca="1">_xll.BDH($C$53,"EARN_FOR_COM_GROWTH","FQ3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" s="2" t="e">
        <f ca="1">_xll.BDH($C$53,"DILUTED_EPS_AFT_XO_ITEMS_GROWTH","FQ3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" s="2" t="e">
        <f ca="1">_xll.BDH($C$53,"DIVIDEND_PER_SHARE_1_YEAR_GROWTH","FQ3 2015","FQ3 2015","Currency=INR","Period=FQ","BEST_FPERIOD_OVERRIDE=FQ","FILING_STATUS=OR","EQY_CONSOLIDATED=Y","Sort=A","Dates=H","DateFormat=P","Fill=—","Direction=H","UseDPDF=Y")</f>
        <v>#NAME?</v>
      </c>
      <c r="Z61" s="2" t="e">
        <f ca="1">_xll.BDH($C$53,"ACCOUNTS_RECEIVABLE_GROWTH","FQ3 2015","FQ3 2015","Currency=INR","Period=FQ","BEST_FPERIOD_OVERRIDE=FQ","FILING_STATUS=OR","EQY_CONSOLIDATED=Y","Sort=A","Dates=H","DateFormat=P","Fill=—","Direction=H","UseDPDF=Y")</f>
        <v>#NAME?</v>
      </c>
      <c r="AA61" s="2" t="e">
        <f ca="1">_xll.BDH($C$53,"INVENTORY_GROWTH","FQ3 2015","FQ3 2015","Currency=INR","Period=FQ","BEST_FPERIOD_OVERRIDE=FQ","FILING_STATUS=OR","EQY_CONSOLIDATED=Y","Sort=A","Dates=H","DateFormat=P","Fill=—","Direction=H","UseDPDF=Y")</f>
        <v>#NAME?</v>
      </c>
      <c r="AB61" s="2" t="e">
        <f ca="1">_xll.BDH($C$53,"NET_FIXED_ASSETS_1_YEAR_GROWTH","FQ3 2015","FQ3 2015","Currency=INR","Period=FQ","BEST_FPERIOD_OVERRIDE=FQ","FILING_STATUS=OR","EQY_CONSOLIDATED=Y","Sort=A","Dates=H","DateFormat=P","Fill=—","Direction=H","UseDPDF=Y")</f>
        <v>#NAME?</v>
      </c>
      <c r="AC61" s="2" t="e">
        <f ca="1">_xll.BDH($C$53,"ASSET_GROWTH","FQ3 2015","FQ3 2015","Currency=INR","Period=FQ","BEST_FPERIOD_OVERRIDE=FQ","FILING_STATUS=OR","EQY_CONSOLIDATED=Y","Sort=A","Dates=H","DateFormat=P","Fill=—","Direction=H","UseDPDF=Y")</f>
        <v>#NAME?</v>
      </c>
      <c r="AD61" s="2" t="e">
        <f ca="1">_xll.BDH($C$53,"MODIFIED_WORK_CAP_GROWTH","FQ3 2015","FQ3 2015","Currency=INR","Period=FQ","BEST_FPERIOD_OVERRIDE=FQ","FILING_STATUS=OR","EQY_CONSOLIDATED=Y","Sort=A","Dates=H","DateFormat=P","Fill=—","Direction=H","UseDPDF=Y")</f>
        <v>#NAME?</v>
      </c>
      <c r="AE61" s="2" t="e">
        <f ca="1">_xll.BDH($C$53,"WORK_CAP_GROWTH","FQ3 2015","FQ3 2015","Currency=INR","Period=FQ","BEST_FPERIOD_OVERRIDE=FQ","FILING_STATUS=OR","EQY_CONSOLIDATED=Y","Sort=A","Dates=H","DateFormat=P","Fill=—","Direction=H","UseDPDF=Y")</f>
        <v>#NAME?</v>
      </c>
      <c r="AF61" s="2" t="e">
        <f ca="1">_xll.BDH($C$53,"ACCOUNTS_PAYABLE_GROWTH_1YR","FQ3 2015","FQ3 2015","Currency=INR","Period=FQ","BEST_FPERIOD_OVERRIDE=FQ","FILING_STATUS=OR","EQY_CONSOLIDATED=Y","Sort=A","Dates=H","DateFormat=P","Fill=—","Direction=H","UseDPDF=Y")</f>
        <v>#NAME?</v>
      </c>
      <c r="AG61" s="2" t="e">
        <f ca="1">_xll.BDH($C$53,"SHORT_TERM_DEBT_1_YEAR_GROWTH","FQ3 2015","FQ3 2015","Currency=INR","Period=FQ","BEST_FPERIOD_OVERRIDE=FQ","FILING_STATUS=OR","EQY_CONSOLIDATED=Y","Sort=A","Dates=H","DateFormat=P","Fill=—","Direction=H","UseDPDF=Y")</f>
        <v>#NAME?</v>
      </c>
      <c r="AH61" s="2" t="e">
        <f ca="1">_xll.BDH($C$53,"TOTAL_DEBT_1_YEAR_GROWTH","FQ3 2015","FQ3 2015","Currency=INR","Period=FQ","BEST_FPERIOD_OVERRIDE=FQ","FILING_STATUS=OR","EQY_CONSOLIDATED=Y","Sort=A","Dates=H","DateFormat=P","Fill=—","Direction=H","UseDPDF=Y")</f>
        <v>#NAME?</v>
      </c>
      <c r="AI61" s="2" t="e">
        <f ca="1">_xll.BDH($C$53,"TOTAL_EQUITY_1_YEAR_GROWTH","FQ3 2015","FQ3 2015","Currency=INR","Period=FQ","BEST_FPERIOD_OVERRIDE=FQ","FILING_STATUS=OR","EQY_CONSOLIDATED=Y","Sort=A","Dates=H","DateFormat=P","Fill=—","Direction=H","UseDPDF=Y")</f>
        <v>#NAME?</v>
      </c>
      <c r="AJ61" s="2" t="e">
        <f ca="1">_xll.BDH($C$53,"GROWTH_IN_CAP","FQ3 2015","FQ3 2015","Currency=INR","Period=FQ","BEST_FPERIOD_OVERRIDE=FQ","FILING_STATUS=OR","EQY_CONSOLIDATED=Y","Sort=A","Dates=H","DateFormat=P","Fill=—","Direction=H","UseDPDF=Y")</f>
        <v>#NAME?</v>
      </c>
      <c r="AK61" s="2" t="e">
        <f ca="1">_xll.BDH($C$53,"BVPS_GROWTH","FQ3 2015","FQ3 2015","Currency=INR","Period=FQ","BEST_FPERIOD_OVERRIDE=FQ","FILING_STATUS=OR","EQY_CONSOLIDATED=Y","Sort=A","Dates=H","DateFormat=P","Fill=—","Direction=H","UseDPDF=Y")</f>
        <v>#NAME?</v>
      </c>
      <c r="AL61" s="2" t="e">
        <f ca="1">_xll.BDH($C$53,"CASH_FLOW_GROWTH","FQ3 2015","FQ3 2015","Currency=INR","Period=FQ","BEST_FPERIOD_OVERRIDE=FQ","FILING_STATUS=OR","EQY_CONSOLIDATED=Y","Sort=A","Dates=H","DateFormat=P","Fill=—","Direction=H","UseDPDF=Y")</f>
        <v>#NAME?</v>
      </c>
      <c r="AM61" s="2" t="e">
        <f ca="1">_xll.BDH($C$53,"GEO_GROW_NET_SALES","FQ3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" s="2" t="e">
        <f ca="1">_xll.BDH($C$53,"GEO_GROW_EBITDA","FQ3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" s="2" t="e">
        <f ca="1">_xll.BDH($C$53,"GEO_GROW_OPER_INC","FQ3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" s="2" t="e">
        <f ca="1">_xll.BDH($C$53,"NET_INCOME_TO_COMMON_5_YR_GROWTH","FQ3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" s="2" t="e">
        <f ca="1">_xll.BDH($C$53,"5Y_GEO_GROWTH_DILUTED_EPS","FQ3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" s="2" t="e">
        <f ca="1">_xll.BDH($C$53,"GEO_GROW_DVD_PER_SH","FQ3 2015","FQ3 2015","Currency=INR","Period=FQ","BEST_FPERIOD_OVERRIDE=FQ","FILING_STATUS=OR","EQY_CONSOLIDATED=Y","Sort=A","Dates=H","DateFormat=P","Fill=—","Direction=H","UseDPDF=Y")</f>
        <v>#NAME?</v>
      </c>
      <c r="AS61" s="2" t="e">
        <f ca="1">_xll.BDH($C$53,"ACCOUNTS_RECEIVABLE_5_YR_GROWTH","FQ3 2015","FQ3 2015","Currency=INR","Period=FQ","BEST_FPERIOD_OVERRIDE=FQ","FILING_STATUS=OR","EQY_CONSOLIDATED=Y","Sort=A","Dates=H","DateFormat=P","Fill=—","Direction=H","UseDPDF=Y")</f>
        <v>#NAME?</v>
      </c>
      <c r="AT61" s="2" t="e">
        <f ca="1">_xll.BDH($C$53,"INVENTORY_5_YEAR_GROWTH","FQ3 2015","FQ3 2015","Currency=INR","Period=FQ","BEST_FPERIOD_OVERRIDE=FQ","FILING_STATUS=OR","EQY_CONSOLIDATED=Y","Sort=A","Dates=H","DateFormat=P","Fill=—","Direction=H","UseDPDF=Y")</f>
        <v>#NAME?</v>
      </c>
      <c r="AU61" s="2" t="e">
        <f ca="1">_xll.BDH($C$53,"NET_FIXED_ASSETS_5_YEAR_GROWTH","FQ3 2015","FQ3 2015","Currency=INR","Period=FQ","BEST_FPERIOD_OVERRIDE=FQ","FILING_STATUS=OR","EQY_CONSOLIDATED=Y","Sort=A","Dates=H","DateFormat=P","Fill=—","Direction=H","UseDPDF=Y")</f>
        <v>#NAME?</v>
      </c>
      <c r="AV61" s="2" t="e">
        <f ca="1">_xll.BDH($C$53,"GEO_GROW_TOT_ASSET","FQ3 2015","FQ3 2015","Currency=INR","Period=FQ","BEST_FPERIOD_OVERRIDE=FQ","FILING_STATUS=OR","EQY_CONSOLIDATED=Y","Sort=A","Dates=H","DateFormat=P","Fill=—","Direction=H","UseDPDF=Y")</f>
        <v>#NAME?</v>
      </c>
      <c r="AW61" s="2" t="e">
        <f ca="1">_xll.BDH($C$53,"MODIFIED_WORKING_CPTL_5YR_GRWTH","FQ3 2015","FQ3 2015","Currency=INR","Period=FQ","BEST_FPERIOD_OVERRIDE=FQ","FILING_STATUS=OR","EQY_CONSOLIDATED=Y","Sort=A","Dates=H","DateFormat=P","Fill=—","Direction=H","UseDPDF=Y")</f>
        <v>#NAME?</v>
      </c>
      <c r="AX61" s="2" t="e">
        <f ca="1">_xll.BDH($C$53,"WORKING_CAPITAL_5_YEAR_GROWTH","FQ3 2015","FQ3 2015","Currency=INR","Period=FQ","BEST_FPERIOD_OVERRIDE=FQ","FILING_STATUS=OR","EQY_CONSOLIDATED=Y","Sort=A","Dates=H","DateFormat=P","Fill=—","Direction=H","UseDPDF=Y")</f>
        <v>#NAME?</v>
      </c>
      <c r="AY61" s="2" t="e">
        <f ca="1">_xll.BDH($C$53,"ACCOUNTS_PAYABLE_5_YEAR_GROWTH","FQ3 2015","FQ3 2015","Currency=INR","Period=FQ","BEST_FPERIOD_OVERRIDE=FQ","FILING_STATUS=OR","EQY_CONSOLIDATED=Y","Sort=A","Dates=H","DateFormat=P","Fill=—","Direction=H","UseDPDF=Y")</f>
        <v>#NAME?</v>
      </c>
      <c r="AZ61" s="2" t="e">
        <f ca="1">_xll.BDH($C$53,"SHORT_TERM_DEBT_5_YEAR_GROWTH","FQ3 2015","FQ3 2015","Currency=INR","Period=FQ","BEST_FPERIOD_OVERRIDE=FQ","FILING_STATUS=OR","EQY_CONSOLIDATED=Y","Sort=A","Dates=H","DateFormat=P","Fill=—","Direction=H","UseDPDF=Y")</f>
        <v>#NAME?</v>
      </c>
      <c r="BA61" s="2" t="e">
        <f ca="1">_xll.BDH($C$53,"TOTAL_DEBT_5_YEAR_GROWTH","FQ3 2015","FQ3 2015","Currency=INR","Period=FQ","BEST_FPERIOD_OVERRIDE=FQ","FILING_STATUS=OR","EQY_CONSOLIDATED=Y","Sort=A","Dates=H","DateFormat=P","Fill=—","Direction=H","UseDPDF=Y")</f>
        <v>#NAME?</v>
      </c>
      <c r="BB61" s="2" t="e">
        <f ca="1">_xll.BDH($C$53,"GEO_GROW_TOT_SHRHLDR_EQY","FQ3 2015","FQ3 2015","Currency=INR","Period=FQ","BEST_FPERIOD_OVERRIDE=FQ","FILING_STATUS=OR","EQY_CONSOLIDATED=Y","Sort=A","Dates=H","DateFormat=P","Fill=—","Direction=H","UseDPDF=Y")</f>
        <v>#NAME?</v>
      </c>
      <c r="BC61" s="2" t="e">
        <f ca="1">_xll.BDH($C$53,"TOTAL_CAPITAL_5_YEAR_GROWTH","FQ3 2015","FQ3 2015","Currency=INR","Period=FQ","BEST_FPERIOD_OVERRIDE=FQ","FILING_STATUS=OR","EQY_CONSOLIDATED=Y","Sort=A","Dates=H","DateFormat=P","Fill=—","Direction=H","UseDPDF=Y")</f>
        <v>#NAME?</v>
      </c>
      <c r="BD61" s="2" t="e">
        <f ca="1">_xll.BDH($C$53,"GEO_GROW_BOOK_VAL","FQ3 2015","FQ3 2015","Currency=INR","Period=FQ","BEST_FPERIOD_OVERRIDE=FQ","FILING_STATUS=OR","EQY_CONSOLIDATED=Y","Sort=A","Dates=H","DateFormat=P","Fill=—","Direction=H","UseDPDF=Y")</f>
        <v>#NAME?</v>
      </c>
      <c r="BE61" s="2" t="e">
        <f ca="1">_xll.BDH($C$53,"GEO_GROW_CASH_OPER_ACT","FQ3 2015","FQ3 2015","Currency=INR","Period=FQ","BEST_FPERIOD_OVERRIDE=FQ","FILING_STATUS=OR","EQY_CONSOLIDATED=Y","Sort=A","Dates=H","DateFormat=P","Fill=—","Direction=H","UseDPDF=Y")</f>
        <v>#NAME?</v>
      </c>
      <c r="BF61" s="2" t="e">
        <f ca="1">_xll.BDH($C$53,"REVENUE_SEQUENTIAL_GROWTH","FQ3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" s="2" t="e">
        <f ca="1">_xll.BDH($C$53,"EBITDA_SEQUENTIAL_GROWTH","FQ3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" s="2" t="e">
        <f ca="1">_xll.BDH($C$53,"OPERATING_INCOME_SEQ_GROWTH","FQ3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" s="2" t="e">
        <f ca="1">_xll.BDH($C$53,"NET_INCOME_TO_COMMON_SEQ_GROWTH","FQ3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" s="2" t="e">
        <f ca="1">_xll.BDH($C$53,"EPS_DILUTED_SEQUENTIAL_GROWTH","FQ3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" s="2" t="e">
        <f ca="1">_xll.BDH($C$53,"DPS_SEQUENTIAL_GROWTH","FQ3 2015","FQ3 2015","Currency=INR","Period=FQ","BEST_FPERIOD_OVERRIDE=FQ","FILING_STATUS=OR","EQY_CONSOLIDATED=Y","Sort=A","Dates=H","DateFormat=P","Fill=—","Direction=H","UseDPDF=Y")</f>
        <v>#NAME?</v>
      </c>
      <c r="BL61" s="2" t="e">
        <f ca="1">_xll.BDH($C$53,"ACCOUNTS_RECEIVABLE_SEQ_GROWTH","FQ3 2015","FQ3 2015","Currency=INR","Period=FQ","BEST_FPERIOD_OVERRIDE=FQ","FILING_STATUS=OR","EQY_CONSOLIDATED=Y","Sort=A","Dates=H","DateFormat=P","Fill=—","Direction=H","UseDPDF=Y")</f>
        <v>#NAME?</v>
      </c>
      <c r="BM61" s="2" t="e">
        <f ca="1">_xll.BDH($C$53,"INVENTORY_SEQUENTIAL_GROWTH","FQ3 2015","FQ3 2015","Currency=INR","Period=FQ","BEST_FPERIOD_OVERRIDE=FQ","FILING_STATUS=OR","EQY_CONSOLIDATED=Y","Sort=A","Dates=H","DateFormat=P","Fill=—","Direction=H","UseDPDF=Y")</f>
        <v>#NAME?</v>
      </c>
      <c r="BN61" s="2" t="e">
        <f ca="1">_xll.BDH($C$53,"FIXED_ASSETS_SEQUENTIAL_GROWTH","FQ3 2015","FQ3 2015","Currency=INR","Period=FQ","BEST_FPERIOD_OVERRIDE=FQ","FILING_STATUS=OR","EQY_CONSOLIDATED=Y","Sort=A","Dates=H","DateFormat=P","Fill=—","Direction=H","UseDPDF=Y")</f>
        <v>#NAME?</v>
      </c>
      <c r="BO61" s="2" t="e">
        <f ca="1">_xll.BDH($C$53,"TOTAL_ASSETS_SEQUENTIAL_GROWTH","FQ3 2015","FQ3 2015","Currency=INR","Period=FQ","BEST_FPERIOD_OVERRIDE=FQ","FILING_STATUS=OR","EQY_CONSOLIDATED=Y","Sort=A","Dates=H","DateFormat=P","Fill=—","Direction=H","UseDPDF=Y")</f>
        <v>#NAME?</v>
      </c>
      <c r="BP61" s="2" t="e">
        <f ca="1">_xll.BDH($C$53,"MODIFIED_WORKING_CPTL_SEQ_GRWTH","FQ3 2015","FQ3 2015","Currency=INR","Period=FQ","BEST_FPERIOD_OVERRIDE=FQ","FILING_STATUS=OR","EQY_CONSOLIDATED=Y","Sort=A","Dates=H","DateFormat=P","Fill=—","Direction=H","UseDPDF=Y")</f>
        <v>#NAME?</v>
      </c>
      <c r="BQ61" s="2" t="e">
        <f ca="1">_xll.BDH($C$53,"WORKING_CAPITAL_SEQ_GROWTH","FQ3 2015","FQ3 2015","Currency=INR","Period=FQ","BEST_FPERIOD_OVERRIDE=FQ","FILING_STATUS=OR","EQY_CONSOLIDATED=Y","Sort=A","Dates=H","DateFormat=P","Fill=—","Direction=H","UseDPDF=Y")</f>
        <v>#NAME?</v>
      </c>
      <c r="BR61" s="2" t="e">
        <f ca="1">_xll.BDH($C$53,"ACCOUNTS_PAYABLE_SEQ_GROWTH","FQ3 2015","FQ3 2015","Currency=INR","Period=FQ","BEST_FPERIOD_OVERRIDE=FQ","FILING_STATUS=OR","EQY_CONSOLIDATED=Y","Sort=A","Dates=H","DateFormat=P","Fill=—","Direction=H","UseDPDF=Y")</f>
        <v>#NAME?</v>
      </c>
      <c r="BS61" s="2" t="e">
        <f ca="1">_xll.BDH($C$53,"ST_DEBT_SEQUENTIAL_GROWTH","FQ3 2015","FQ3 2015","Currency=INR","Period=FQ","BEST_FPERIOD_OVERRIDE=FQ","FILING_STATUS=OR","EQY_CONSOLIDATED=Y","Sort=A","Dates=H","DateFormat=P","Fill=—","Direction=H","UseDPDF=Y")</f>
        <v>#NAME?</v>
      </c>
      <c r="BT61" s="2" t="e">
        <f ca="1">_xll.BDH($C$53,"TOTAL_DEBT_SEQUENTIAL_GROWTH","FQ3 2015","FQ3 2015","Currency=INR","Period=FQ","BEST_FPERIOD_OVERRIDE=FQ","FILING_STATUS=OR","EQY_CONSOLIDATED=Y","Sort=A","Dates=H","DateFormat=P","Fill=—","Direction=H","UseDPDF=Y")</f>
        <v>#NAME?</v>
      </c>
      <c r="BU61" s="2" t="e">
        <f ca="1">_xll.BDH($C$53,"TOTAL_EQUITY_SEQUENTIAL_GROWTH","FQ3 2015","FQ3 2015","Currency=INR","Period=FQ","BEST_FPERIOD_OVERRIDE=FQ","FILING_STATUS=OR","EQY_CONSOLIDATED=Y","Sort=A","Dates=H","DateFormat=P","Fill=—","Direction=H","UseDPDF=Y")</f>
        <v>#NAME?</v>
      </c>
      <c r="BV61" s="2" t="e">
        <f ca="1">_xll.BDH($C$53,"TOTAL_CAPITAL_SEQUENTIAL_GROWTH","FQ3 2015","FQ3 2015","Currency=INR","Period=FQ","BEST_FPERIOD_OVERRIDE=FQ","FILING_STATUS=OR","EQY_CONSOLIDATED=Y","Sort=A","Dates=H","DateFormat=P","Fill=—","Direction=H","UseDPDF=Y")</f>
        <v>#NAME?</v>
      </c>
      <c r="BW61" s="2" t="e">
        <f ca="1">_xll.BDH($C$53,"BPS_SEQUENTIAL_GROWTH","FQ3 2015","FQ3 2015","Currency=INR","Period=FQ","BEST_FPERIOD_OVERRIDE=FQ","FILING_STATUS=OR","EQY_CONSOLIDATED=Y","Sort=A","Dates=H","DateFormat=P","Fill=—","Direction=H","UseDPDF=Y")</f>
        <v>#NAME?</v>
      </c>
      <c r="BX61" s="2" t="e">
        <f ca="1">_xll.BDH($C$53,"CFO_SEQUENTIAL_GROWTH","FQ3 2015","FQ3 2015","Currency=INR","Period=FQ","BEST_FPERIOD_OVERRIDE=FQ","FILING_STATUS=OR","EQY_CONSOLIDATED=Y","Sort=A","Dates=H","DateFormat=P","Fill=—","Direction=H","UseDPDF=Y")</f>
        <v>#NAME?</v>
      </c>
      <c r="BY61" s="3" t="e">
        <f ca="1">_xll.BDH($C$53,"SHORT_AND_LONG_TERM_DEBT","FQ3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" s="3" t="e">
        <f ca="1">_xll.BDH($C$53,"BS_ST_BORROW","FQ3 2015","FQ3 2015","Currency=INR","Period=FQ","BEST_FPERIOD_OVERRIDE=FQ","FILING_STATUS=OR","EQY_CONSOLIDATED=Y","SCALING_FORMAT=MLN","Sort=A","Dates=H","DateFormat=P","Fill=—","Direction=H","UseDPDF=Y")</f>
        <v>#NAME?</v>
      </c>
      <c r="CA61" s="3" t="e">
        <f ca="1">_xll.BDH($C$53,"BS_LT_BORROW","FQ3 2015","FQ3 2015","Currency=INR","Period=FQ","BEST_FPERIOD_OVERRIDE=FQ","FILING_STATUS=OR","EQY_CONSOLIDATED=Y","SCALING_FORMAT=MLN","Sort=A","Dates=H","DateFormat=P","Fill=—","Direction=H","UseDPDF=Y")</f>
        <v>#NAME?</v>
      </c>
      <c r="CB61" s="2" t="e">
        <f ca="1">_xll.BDH($C$53,"TOT_DEBT_TO_EBITDA","FQ3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" s="2" t="e">
        <f ca="1">_xll.BDH($C$53,"NET_DEBT_TO_EBITDA","FQ3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" s="2" t="e">
        <f ca="1">_xll.BDH($C$53,"TOTAL_DEBT_TO_EBIT","FQ3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" s="2" t="e">
        <f ca="1">_xll.BDH($C$53,"NET_DEBT_TO_EBIT","FQ3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" s="2" t="e">
        <f ca="1">_xll.BDH($C$53,"EBITDA_TO_INTEREST_EXPN","FQ3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" s="2" t="e">
        <f ca="1">_xll.BDH($C$53,"COM_EQY_TO_TOT_ASSET","FQ3 2015","FQ3 2015","Currency=INR","Period=FQ","BEST_FPERIOD_OVERRIDE=FQ","FILING_STATUS=OR","EQY_CONSOLIDATED=Y","Sort=A","Dates=H","DateFormat=P","Fill=—","Direction=H","UseDPDF=Y")</f>
        <v>#NAME?</v>
      </c>
      <c r="CH61" s="2" t="e">
        <f ca="1">_xll.BDH($C$53,"LT_DEBT_TO_TOT_EQY","FQ3 2015","FQ3 2015","Currency=INR","Period=FQ","BEST_FPERIOD_OVERRIDE=FQ","FILING_STATUS=OR","EQY_CONSOLIDATED=Y","Sort=A","Dates=H","DateFormat=P","Fill=—","Direction=H","UseDPDF=Y")</f>
        <v>#NAME?</v>
      </c>
      <c r="CI61" s="2" t="e">
        <f ca="1">_xll.BDH($C$53,"LT_DEBT_TO_TOT_CAP","FQ3 2015","FQ3 2015","Currency=INR","Period=FQ","BEST_FPERIOD_OVERRIDE=FQ","FILING_STATUS=OR","EQY_CONSOLIDATED=Y","Sort=A","Dates=H","DateFormat=P","Fill=—","Direction=H","UseDPDF=Y")</f>
        <v>#NAME?</v>
      </c>
      <c r="CJ61" s="2" t="e">
        <f ca="1">_xll.BDH($C$53,"LT_DEBT_TO_TOT_ASSET","FQ3 2015","FQ3 2015","Currency=INR","Period=FQ","BEST_FPERIOD_OVERRIDE=FQ","FILING_STATUS=OR","EQY_CONSOLIDATED=Y","Sort=A","Dates=H","DateFormat=P","Fill=—","Direction=H","UseDPDF=Y")</f>
        <v>#NAME?</v>
      </c>
      <c r="CK61" s="2" t="e">
        <f ca="1">_xll.BDH($C$53,"TOT_DEBT_TO_TOT_EQY","FQ3 2015","FQ3 2015","Currency=INR","Period=FQ","BEST_FPERIOD_OVERRIDE=FQ","FILING_STATUS=OR","EQY_CONSOLIDATED=Y","Sort=A","Dates=H","DateFormat=P","Fill=—","Direction=H","UseDPDF=Y")</f>
        <v>#NAME?</v>
      </c>
      <c r="CL61" s="2" t="e">
        <f ca="1">_xll.BDH($C$53,"TOT_DEBT_TO_TOT_CAP","FQ3 2015","FQ3 2015","Currency=INR","Period=FQ","BEST_FPERIOD_OVERRIDE=FQ","FILING_STATUS=OR","EQY_CONSOLIDATED=Y","Sort=A","Dates=H","DateFormat=P","Fill=—","Direction=H","UseDPDF=Y")</f>
        <v>#NAME?</v>
      </c>
      <c r="CM61" s="2" t="e">
        <f ca="1">_xll.BDH($C$53,"TOT_DEBT_TO_TOT_ASSET","FQ3 2015","FQ3 2015","Currency=INR","Period=FQ","BEST_FPERIOD_OVERRIDE=FQ","FILING_STATUS=OR","EQY_CONSOLIDATED=Y","Sort=A","Dates=H","DateFormat=P","Fill=—","Direction=H","UseDPDF=Y")</f>
        <v>#NAME?</v>
      </c>
      <c r="CN61" s="2" t="e">
        <f ca="1">_xll.BDH($C$53,"NET_DEBT_TO_SHRHLDR_EQTY","FQ3 2015","FQ3 2015","Currency=INR","Period=FQ","BEST_FPERIOD_OVERRIDE=FQ","FILING_STATUS=OR","EQY_CONSOLIDATED=Y","Sort=A","Dates=H","DateFormat=P","Fill=—","Direction=H","UseDPDF=Y")</f>
        <v>#NAME?</v>
      </c>
      <c r="CO61" s="2" t="e">
        <f ca="1">_xll.BDH($C$53,"NET_DEBT_%_CAPITAL","FQ3 2015","FQ3 2015","Currency=INR","Period=FQ","BEST_FPERIOD_OVERRIDE=FQ","FILING_STATUS=OR","EQY_CONSOLIDATED=Y","Sort=A","Dates=H","DateFormat=P","Fill=—","Direction=H","UseDPDF=Y")</f>
        <v>#NAME?</v>
      </c>
      <c r="CP61" s="3" t="e">
        <f ca="1">_xll.BDH($C$53,"EBITDA","FQ3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" s="3" t="e">
        <f ca="1">_xll.BDH($C$53,"EBITDA_AFTER_CAPEX","FQ3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" s="3" t="e">
        <f ca="1">_xll.BDH($C$53,"IS_OPER_INC","FQ3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" s="2" t="e">
        <f ca="1">_xll.BDH($C$53,"CASH_RATIO","FQ3 2015","FQ3 2015","Currency=INR","Period=FQ","BEST_FPERIOD_OVERRIDE=FQ","FILING_STATUS=OR","EQY_CONSOLIDATED=Y","Sort=A","Dates=H","DateFormat=P","Fill=—","Direction=H","UseDPDF=Y")</f>
        <v>#NAME?</v>
      </c>
      <c r="CT61" s="2" t="e">
        <f ca="1">_xll.BDH($C$53,"CUR_RATIO","FQ3 2015","FQ3 2015","Currency=INR","Period=FQ","BEST_FPERIOD_OVERRIDE=FQ","FILING_STATUS=OR","EQY_CONSOLIDATED=Y","Sort=A","Dates=H","DateFormat=P","Fill=—","Direction=H","UseDPDF=Y")</f>
        <v>#NAME?</v>
      </c>
      <c r="CU61" s="2" t="e">
        <f ca="1">_xll.BDH($C$53,"QUICK_RATIO","FQ3 2015","FQ3 2015","Currency=INR","Period=FQ","BEST_FPERIOD_OVERRIDE=FQ","FILING_STATUS=OR","EQY_CONSOLIDATED=Y","Sort=A","Dates=H","DateFormat=P","Fill=—","Direction=H","UseDPDF=Y")</f>
        <v>#NAME?</v>
      </c>
      <c r="CV61" s="2" t="e">
        <f ca="1">_xll.BDH($C$53,"ALTMAN_Z_SCORE","FQ3 2015","FQ3 2015","Currency=INR","Period=FQ","BEST_FPERIOD_OVERRIDE=FQ","FILING_STATUS=OR","EQY_CONSOLIDATED=Y","Sort=A","Dates=H","DateFormat=P","Fill=—","Direction=H","UseDPDF=Y")</f>
        <v>#NAME?</v>
      </c>
      <c r="CW61" s="4" t="e">
        <f ca="1">_xll.BDH($C$53,"ACCT_RCV_TURN","FQ3 2015","FQ3 2015","Currency=INR","Period=FQ","BEST_FPERIOD_OVERRIDE=FQ","FILING_STATUS=OR","EQY_CONSOLIDATED=Y","FA_ADJUSTED=GAAP","Sort=A","Dates=H","DateFormat=P","Fill=—","Direction=H","UseDPDF=Y")</f>
        <v>#NAME?</v>
      </c>
      <c r="CX61" s="2" t="e">
        <f ca="1">_xll.BDH($C$53,"ACCT_RCV_DAYS","FQ3 2015","FQ3 2015","Currency=INR","Period=FQ","BEST_FPERIOD_OVERRIDE=FQ","FILING_STATUS=OR","EQY_CONSOLIDATED=Y","FA_ADJUSTED=GAAP","Sort=A","Dates=H","DateFormat=P","Fill=—","Direction=H","UseDPDF=Y")</f>
        <v>#NAME?</v>
      </c>
      <c r="CY61" s="4" t="e">
        <f ca="1">_xll.BDH($C$53,"INVENT_TURN","FQ3 2015","FQ3 2015","Currency=INR","Period=FQ","BEST_FPERIOD_OVERRIDE=FQ","FILING_STATUS=OR","EQY_CONSOLIDATED=Y","FA_ADJUSTED=GAAP","Sort=A","Dates=H","DateFormat=P","Fill=—","Direction=H","UseDPDF=Y")</f>
        <v>#NAME?</v>
      </c>
      <c r="CZ61" s="2" t="e">
        <f ca="1">_xll.BDH($C$53,"INVENT_DAYS","FQ3 2015","FQ3 2015","Currency=INR","Period=FQ","BEST_FPERIOD_OVERRIDE=FQ","FILING_STATUS=OR","EQY_CONSOLIDATED=Y","FA_ADJUSTED=GAAP","Sort=A","Dates=H","DateFormat=P","Fill=—","Direction=H","UseDPDF=Y")</f>
        <v>#NAME?</v>
      </c>
      <c r="DA61" s="4" t="e">
        <f ca="1">_xll.BDH($C$53,"ACCOUNTS_PAYABLE_TURNOVER","FQ3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" s="2" t="e">
        <f ca="1">_xll.BDH($C$53,"ACCOUNTS_PAYABLE_TURNOVER_DAYS","FQ3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" s="4" t="e">
        <f ca="1">_xll.BDH($C$53,"CASH_CONVERSION_CYCLE","FQ3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" s="4" t="e">
        <f ca="1">_xll.BDH($C$53,"INV_TO_CASH_DAYS","FQ3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" s="5" t="e">
        <f ca="1">_xll.BDH($C$53,"BS_INVENTORIES","FQ3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" s="3" t="e">
        <f ca="1">_xll.BDH($C$53,"INVTRY_RAW_MATERIALS","FQ3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" s="3" t="e">
        <f ca="1">_xll.BDH($C$53,"INVTRY_IN_PROGRESS","FQ3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" s="3" t="e">
        <f ca="1">_xll.BDH($C$53,"INVTRY_FINISHED_GOODS","FQ3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" s="3" t="e">
        <f ca="1">_xll.BDH($C$53,"BS_OTHER_INV","FQ3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2" spans="1:113" x14ac:dyDescent="0.3">
      <c r="A62" s="6"/>
      <c r="B62" s="6"/>
      <c r="C62" s="6"/>
      <c r="D62" s="6"/>
      <c r="E62" t="s">
        <v>81</v>
      </c>
      <c r="F62" t="e">
        <f ca="1">_xll.BDH($C$53,"RETURN_COM_EQY","FQ4 2015","FQ4 2015","Currency=INR","Period=FQ","BEST_FPERIOD_OVERRIDE=FQ","FILING_STATUS=OR","EQY_CONSOLIDATED=Y","FA_ADJUSTED=GAAP","Sort=A","Dates=H","DateFormat=P","Fill=—","Direction=H","UseDPDF=Y")</f>
        <v>#NAME?</v>
      </c>
      <c r="G62" t="e">
        <f ca="1">_xll.BDH($C$53,"RETURN_ON_ASSET","FQ4 2015","FQ4 2015","Currency=INR","Period=FQ","BEST_FPERIOD_OVERRIDE=FQ","FILING_STATUS=OR","EQY_CONSOLIDATED=Y","FA_ADJUSTED=GAAP","Sort=A","Dates=H","DateFormat=P","Fill=—","Direction=H","UseDPDF=Y")</f>
        <v>#NAME?</v>
      </c>
      <c r="H62" t="e">
        <f ca="1">_xll.BDH($C$53,"RETURN_ON_CAP","FQ4 2015","FQ4 2015","Currency=INR","Period=FQ","BEST_FPERIOD_OVERRIDE=FQ","FILING_STATUS=OR","EQY_CONSOLIDATED=Y","FA_ADJUSTED=GAAP","Sort=A","Dates=H","DateFormat=P","Fill=—","Direction=H","UseDPDF=Y")</f>
        <v>#NAME?</v>
      </c>
      <c r="I62" t="e">
        <f ca="1">_xll.BDH($C$53,"RETURN_ON_INV_CAPITAL","FQ4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2" t="e">
        <f ca="1">_xll.BDH($C$53,"EBITDA_TO_REVENUE","FQ4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2" t="e">
        <f ca="1">_xll.BDH($C$53,"OPER_MARGIN","FQ4 2015","FQ4 2015","Currency=INR","Period=FQ","BEST_FPERIOD_OVERRIDE=FQ","FILING_STATUS=OR","EQY_CONSOLIDATED=Y","FA_ADJUSTED=GAAP","Sort=A","Dates=H","DateFormat=P","Fill=—","Direction=H","UseDPDF=Y")</f>
        <v>#NAME?</v>
      </c>
      <c r="L62" t="e">
        <f ca="1">_xll.BDH($C$53,"INCREMENTAL_OPERATING_MARGIN","FQ4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2" t="e">
        <f ca="1">_xll.BDH($C$53,"PRETAX_INC_TO_NET_SALES","FQ4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2" t="e">
        <f ca="1">_xll.BDH($C$53,"INC_BEF_XO_ITEMS_TO_NET_SALES","FQ4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2" t="e">
        <f ca="1">_xll.BDH($C$53,"PROF_MARGIN","FQ4 2015","FQ4 2015","Currency=INR","Period=FQ","BEST_FPERIOD_OVERRIDE=FQ","FILING_STATUS=OR","EQY_CONSOLIDATED=Y","FA_ADJUSTED=GAAP","Sort=A","Dates=H","DateFormat=P","Fill=—","Direction=H","UseDPDF=Y")</f>
        <v>#NAME?</v>
      </c>
      <c r="P62" t="e">
        <f ca="1">_xll.BDH($C$53,"NET_INCOME_TO_COMMON_MARGIN","FQ4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2" t="e">
        <f ca="1">_xll.BDH($C$53,"EFF_TAX_RATE","FQ4 2015","FQ4 2015","Currency=INR","Period=FQ","BEST_FPERIOD_OVERRIDE=FQ","FILING_STATUS=OR","EQY_CONSOLIDATED=Y","FA_ADJUSTED=GAAP","Sort=A","Dates=H","DateFormat=P","Fill=—","Direction=H","UseDPDF=Y")</f>
        <v>#NAME?</v>
      </c>
      <c r="R62" t="e">
        <f ca="1">_xll.BDH($C$53,"DVD_PAYOUT_RATIO","FQ4 2015","FQ4 2015","Currency=INR","Period=FQ","BEST_FPERIOD_OVERRIDE=FQ","FILING_STATUS=OR","EQY_CONSOLIDATED=Y","FA_ADJUSTED=GAAP","Sort=A","Dates=H","DateFormat=P","Fill=—","Direction=H","UseDPDF=Y")</f>
        <v>#NAME?</v>
      </c>
      <c r="S62" t="e">
        <f ca="1">_xll.BDH($C$53,"SUSTAIN_GROWTH_RT","FQ4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2" s="2" t="e">
        <f ca="1">_xll.BDH($C$53,"SALES_GROWTH","FQ4 2015","FQ4 2015","Currency=INR","Period=FQ","BEST_FPERIOD_OVERRIDE=FQ","FILING_STATUS=OR","EQY_CONSOLIDATED=Y","FA_ADJUSTED=GAAP","Sort=A","Dates=H","DateFormat=P","Fill=—","Direction=H","UseDPDF=Y")</f>
        <v>#NAME?</v>
      </c>
      <c r="U62" s="2" t="e">
        <f ca="1">_xll.BDH($C$53,"EBITDA_GROWTH","FQ4 2015","FQ4 2015","Currency=INR","Period=FQ","BEST_FPERIOD_OVERRIDE=FQ","FILING_STATUS=OR","EQY_CONSOLIDATED=Y","FA_ADJUSTED=GAAP","Sort=A","Dates=H","DateFormat=P","Fill=—","Direction=H","UseDPDF=Y")</f>
        <v>#NAME?</v>
      </c>
      <c r="V62" s="2" t="e">
        <f ca="1">_xll.BDH($C$53,"OPER_INC_GROWTH","FQ4 2015","FQ4 2015","Currency=INR","Period=FQ","BEST_FPERIOD_OVERRIDE=FQ","FILING_STATUS=OR","EQY_CONSOLIDATED=Y","FA_ADJUSTED=GAAP","Sort=A","Dates=H","DateFormat=P","Fill=—","Direction=H","UseDPDF=Y")</f>
        <v>#NAME?</v>
      </c>
      <c r="W62" s="2" t="e">
        <f ca="1">_xll.BDH($C$53,"EARN_FOR_COM_GROWTH","FQ4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2" s="2" t="e">
        <f ca="1">_xll.BDH($C$53,"DILUTED_EPS_AFT_XO_ITEMS_GROWTH","FQ4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2" s="2" t="e">
        <f ca="1">_xll.BDH($C$53,"DIVIDEND_PER_SHARE_1_YEAR_GROWTH","FQ4 2015","FQ4 2015","Currency=INR","Period=FQ","BEST_FPERIOD_OVERRIDE=FQ","FILING_STATUS=OR","EQY_CONSOLIDATED=Y","Sort=A","Dates=H","DateFormat=P","Fill=—","Direction=H","UseDPDF=Y")</f>
        <v>#NAME?</v>
      </c>
      <c r="Z62" s="2" t="e">
        <f ca="1">_xll.BDH($C$53,"ACCOUNTS_RECEIVABLE_GROWTH","FQ4 2015","FQ4 2015","Currency=INR","Period=FQ","BEST_FPERIOD_OVERRIDE=FQ","FILING_STATUS=OR","EQY_CONSOLIDATED=Y","Sort=A","Dates=H","DateFormat=P","Fill=—","Direction=H","UseDPDF=Y")</f>
        <v>#NAME?</v>
      </c>
      <c r="AA62" s="2" t="e">
        <f ca="1">_xll.BDH($C$53,"INVENTORY_GROWTH","FQ4 2015","FQ4 2015","Currency=INR","Period=FQ","BEST_FPERIOD_OVERRIDE=FQ","FILING_STATUS=OR","EQY_CONSOLIDATED=Y","Sort=A","Dates=H","DateFormat=P","Fill=—","Direction=H","UseDPDF=Y")</f>
        <v>#NAME?</v>
      </c>
      <c r="AB62" s="2" t="e">
        <f ca="1">_xll.BDH($C$53,"NET_FIXED_ASSETS_1_YEAR_GROWTH","FQ4 2015","FQ4 2015","Currency=INR","Period=FQ","BEST_FPERIOD_OVERRIDE=FQ","FILING_STATUS=OR","EQY_CONSOLIDATED=Y","Sort=A","Dates=H","DateFormat=P","Fill=—","Direction=H","UseDPDF=Y")</f>
        <v>#NAME?</v>
      </c>
      <c r="AC62" s="2" t="e">
        <f ca="1">_xll.BDH($C$53,"ASSET_GROWTH","FQ4 2015","FQ4 2015","Currency=INR","Period=FQ","BEST_FPERIOD_OVERRIDE=FQ","FILING_STATUS=OR","EQY_CONSOLIDATED=Y","Sort=A","Dates=H","DateFormat=P","Fill=—","Direction=H","UseDPDF=Y")</f>
        <v>#NAME?</v>
      </c>
      <c r="AD62" s="2" t="e">
        <f ca="1">_xll.BDH($C$53,"MODIFIED_WORK_CAP_GROWTH","FQ4 2015","FQ4 2015","Currency=INR","Period=FQ","BEST_FPERIOD_OVERRIDE=FQ","FILING_STATUS=OR","EQY_CONSOLIDATED=Y","Sort=A","Dates=H","DateFormat=P","Fill=—","Direction=H","UseDPDF=Y")</f>
        <v>#NAME?</v>
      </c>
      <c r="AE62" s="2" t="e">
        <f ca="1">_xll.BDH($C$53,"WORK_CAP_GROWTH","FQ4 2015","FQ4 2015","Currency=INR","Period=FQ","BEST_FPERIOD_OVERRIDE=FQ","FILING_STATUS=OR","EQY_CONSOLIDATED=Y","Sort=A","Dates=H","DateFormat=P","Fill=—","Direction=H","UseDPDF=Y")</f>
        <v>#NAME?</v>
      </c>
      <c r="AF62" s="2" t="e">
        <f ca="1">_xll.BDH($C$53,"ACCOUNTS_PAYABLE_GROWTH_1YR","FQ4 2015","FQ4 2015","Currency=INR","Period=FQ","BEST_FPERIOD_OVERRIDE=FQ","FILING_STATUS=OR","EQY_CONSOLIDATED=Y","Sort=A","Dates=H","DateFormat=P","Fill=—","Direction=H","UseDPDF=Y")</f>
        <v>#NAME?</v>
      </c>
      <c r="AG62" s="2" t="e">
        <f ca="1">_xll.BDH($C$53,"SHORT_TERM_DEBT_1_YEAR_GROWTH","FQ4 2015","FQ4 2015","Currency=INR","Period=FQ","BEST_FPERIOD_OVERRIDE=FQ","FILING_STATUS=OR","EQY_CONSOLIDATED=Y","Sort=A","Dates=H","DateFormat=P","Fill=—","Direction=H","UseDPDF=Y")</f>
        <v>#NAME?</v>
      </c>
      <c r="AH62" s="2" t="e">
        <f ca="1">_xll.BDH($C$53,"TOTAL_DEBT_1_YEAR_GROWTH","FQ4 2015","FQ4 2015","Currency=INR","Period=FQ","BEST_FPERIOD_OVERRIDE=FQ","FILING_STATUS=OR","EQY_CONSOLIDATED=Y","Sort=A","Dates=H","DateFormat=P","Fill=—","Direction=H","UseDPDF=Y")</f>
        <v>#NAME?</v>
      </c>
      <c r="AI62" s="2" t="e">
        <f ca="1">_xll.BDH($C$53,"TOTAL_EQUITY_1_YEAR_GROWTH","FQ4 2015","FQ4 2015","Currency=INR","Period=FQ","BEST_FPERIOD_OVERRIDE=FQ","FILING_STATUS=OR","EQY_CONSOLIDATED=Y","Sort=A","Dates=H","DateFormat=P","Fill=—","Direction=H","UseDPDF=Y")</f>
        <v>#NAME?</v>
      </c>
      <c r="AJ62" s="2" t="e">
        <f ca="1">_xll.BDH($C$53,"GROWTH_IN_CAP","FQ4 2015","FQ4 2015","Currency=INR","Period=FQ","BEST_FPERIOD_OVERRIDE=FQ","FILING_STATUS=OR","EQY_CONSOLIDATED=Y","Sort=A","Dates=H","DateFormat=P","Fill=—","Direction=H","UseDPDF=Y")</f>
        <v>#NAME?</v>
      </c>
      <c r="AK62" s="2" t="e">
        <f ca="1">_xll.BDH($C$53,"BVPS_GROWTH","FQ4 2015","FQ4 2015","Currency=INR","Period=FQ","BEST_FPERIOD_OVERRIDE=FQ","FILING_STATUS=OR","EQY_CONSOLIDATED=Y","Sort=A","Dates=H","DateFormat=P","Fill=—","Direction=H","UseDPDF=Y")</f>
        <v>#NAME?</v>
      </c>
      <c r="AL62" s="2" t="e">
        <f ca="1">_xll.BDH($C$53,"CASH_FLOW_GROWTH","FQ4 2015","FQ4 2015","Currency=INR","Period=FQ","BEST_FPERIOD_OVERRIDE=FQ","FILING_STATUS=OR","EQY_CONSOLIDATED=Y","Sort=A","Dates=H","DateFormat=P","Fill=—","Direction=H","UseDPDF=Y")</f>
        <v>#NAME?</v>
      </c>
      <c r="AM62" s="2" t="e">
        <f ca="1">_xll.BDH($C$53,"GEO_GROW_NET_SALES","FQ4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2" s="2" t="e">
        <f ca="1">_xll.BDH($C$53,"GEO_GROW_EBITDA","FQ4 2015","FQ4 2015","Currency=INR","Period=FQ","BEST_FPERIOD_OVERRIDE=FQ","FILING_STATUS=OR","EQY_CONSOLIDATED=Y","FA_ADJUSTED=GAAP","Sort=A","Dates=H","DateFormat=P","Fill=—","Direction=H","UseDPDF=Y")</f>
        <v>#NAME?</v>
      </c>
      <c r="AO62" s="2" t="e">
        <f ca="1">_xll.BDH($C$53,"GEO_GROW_OPER_INC","FQ4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2" s="2" t="e">
        <f ca="1">_xll.BDH($C$53,"NET_INCOME_TO_COMMON_5_YR_GROWTH","FQ4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2" s="2" t="e">
        <f ca="1">_xll.BDH($C$53,"5Y_GEO_GROWTH_DILUTED_EPS","FQ4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2" s="2" t="e">
        <f ca="1">_xll.BDH($C$53,"GEO_GROW_DVD_PER_SH","FQ4 2015","FQ4 2015","Currency=INR","Period=FQ","BEST_FPERIOD_OVERRIDE=FQ","FILING_STATUS=OR","EQY_CONSOLIDATED=Y","Sort=A","Dates=H","DateFormat=P","Fill=—","Direction=H","UseDPDF=Y")</f>
        <v>#NAME?</v>
      </c>
      <c r="AS62" s="2" t="e">
        <f ca="1">_xll.BDH($C$53,"ACCOUNTS_RECEIVABLE_5_YR_GROWTH","FQ4 2015","FQ4 2015","Currency=INR","Period=FQ","BEST_FPERIOD_OVERRIDE=FQ","FILING_STATUS=OR","EQY_CONSOLIDATED=Y","Sort=A","Dates=H","DateFormat=P","Fill=—","Direction=H","UseDPDF=Y")</f>
        <v>#NAME?</v>
      </c>
      <c r="AT62" s="2" t="e">
        <f ca="1">_xll.BDH($C$53,"INVENTORY_5_YEAR_GROWTH","FQ4 2015","FQ4 2015","Currency=INR","Period=FQ","BEST_FPERIOD_OVERRIDE=FQ","FILING_STATUS=OR","EQY_CONSOLIDATED=Y","Sort=A","Dates=H","DateFormat=P","Fill=—","Direction=H","UseDPDF=Y")</f>
        <v>#NAME?</v>
      </c>
      <c r="AU62" s="2" t="e">
        <f ca="1">_xll.BDH($C$53,"NET_FIXED_ASSETS_5_YEAR_GROWTH","FQ4 2015","FQ4 2015","Currency=INR","Period=FQ","BEST_FPERIOD_OVERRIDE=FQ","FILING_STATUS=OR","EQY_CONSOLIDATED=Y","Sort=A","Dates=H","DateFormat=P","Fill=—","Direction=H","UseDPDF=Y")</f>
        <v>#NAME?</v>
      </c>
      <c r="AV62" s="2" t="e">
        <f ca="1">_xll.BDH($C$53,"GEO_GROW_TOT_ASSET","FQ4 2015","FQ4 2015","Currency=INR","Period=FQ","BEST_FPERIOD_OVERRIDE=FQ","FILING_STATUS=OR","EQY_CONSOLIDATED=Y","Sort=A","Dates=H","DateFormat=P","Fill=—","Direction=H","UseDPDF=Y")</f>
        <v>#NAME?</v>
      </c>
      <c r="AW62" s="2" t="e">
        <f ca="1">_xll.BDH($C$53,"MODIFIED_WORKING_CPTL_5YR_GRWTH","FQ4 2015","FQ4 2015","Currency=INR","Period=FQ","BEST_FPERIOD_OVERRIDE=FQ","FILING_STATUS=OR","EQY_CONSOLIDATED=Y","Sort=A","Dates=H","DateFormat=P","Fill=—","Direction=H","UseDPDF=Y")</f>
        <v>#NAME?</v>
      </c>
      <c r="AX62" s="2" t="e">
        <f ca="1">_xll.BDH($C$53,"WORKING_CAPITAL_5_YEAR_GROWTH","FQ4 2015","FQ4 2015","Currency=INR","Period=FQ","BEST_FPERIOD_OVERRIDE=FQ","FILING_STATUS=OR","EQY_CONSOLIDATED=Y","Sort=A","Dates=H","DateFormat=P","Fill=—","Direction=H","UseDPDF=Y")</f>
        <v>#NAME?</v>
      </c>
      <c r="AY62" s="2" t="e">
        <f ca="1">_xll.BDH($C$53,"ACCOUNTS_PAYABLE_5_YEAR_GROWTH","FQ4 2015","FQ4 2015","Currency=INR","Period=FQ","BEST_FPERIOD_OVERRIDE=FQ","FILING_STATUS=OR","EQY_CONSOLIDATED=Y","Sort=A","Dates=H","DateFormat=P","Fill=—","Direction=H","UseDPDF=Y")</f>
        <v>#NAME?</v>
      </c>
      <c r="AZ62" s="2" t="e">
        <f ca="1">_xll.BDH($C$53,"SHORT_TERM_DEBT_5_YEAR_GROWTH","FQ4 2015","FQ4 2015","Currency=INR","Period=FQ","BEST_FPERIOD_OVERRIDE=FQ","FILING_STATUS=OR","EQY_CONSOLIDATED=Y","Sort=A","Dates=H","DateFormat=P","Fill=—","Direction=H","UseDPDF=Y")</f>
        <v>#NAME?</v>
      </c>
      <c r="BA62" s="2" t="e">
        <f ca="1">_xll.BDH($C$53,"TOTAL_DEBT_5_YEAR_GROWTH","FQ4 2015","FQ4 2015","Currency=INR","Period=FQ","BEST_FPERIOD_OVERRIDE=FQ","FILING_STATUS=OR","EQY_CONSOLIDATED=Y","Sort=A","Dates=H","DateFormat=P","Fill=—","Direction=H","UseDPDF=Y")</f>
        <v>#NAME?</v>
      </c>
      <c r="BB62" s="2" t="e">
        <f ca="1">_xll.BDH($C$53,"GEO_GROW_TOT_SHRHLDR_EQY","FQ4 2015","FQ4 2015","Currency=INR","Period=FQ","BEST_FPERIOD_OVERRIDE=FQ","FILING_STATUS=OR","EQY_CONSOLIDATED=Y","Sort=A","Dates=H","DateFormat=P","Fill=—","Direction=H","UseDPDF=Y")</f>
        <v>#NAME?</v>
      </c>
      <c r="BC62" s="2" t="e">
        <f ca="1">_xll.BDH($C$53,"TOTAL_CAPITAL_5_YEAR_GROWTH","FQ4 2015","FQ4 2015","Currency=INR","Period=FQ","BEST_FPERIOD_OVERRIDE=FQ","FILING_STATUS=OR","EQY_CONSOLIDATED=Y","Sort=A","Dates=H","DateFormat=P","Fill=—","Direction=H","UseDPDF=Y")</f>
        <v>#NAME?</v>
      </c>
      <c r="BD62" s="2" t="e">
        <f ca="1">_xll.BDH($C$53,"GEO_GROW_BOOK_VAL","FQ4 2015","FQ4 2015","Currency=INR","Period=FQ","BEST_FPERIOD_OVERRIDE=FQ","FILING_STATUS=OR","EQY_CONSOLIDATED=Y","Sort=A","Dates=H","DateFormat=P","Fill=—","Direction=H","UseDPDF=Y")</f>
        <v>#NAME?</v>
      </c>
      <c r="BE62" s="2" t="e">
        <f ca="1">_xll.BDH($C$53,"GEO_GROW_CASH_OPER_ACT","FQ4 2015","FQ4 2015","Currency=INR","Period=FQ","BEST_FPERIOD_OVERRIDE=FQ","FILING_STATUS=OR","EQY_CONSOLIDATED=Y","Sort=A","Dates=H","DateFormat=P","Fill=—","Direction=H","UseDPDF=Y")</f>
        <v>#NAME?</v>
      </c>
      <c r="BF62" s="2" t="e">
        <f ca="1">_xll.BDH($C$53,"REVENUE_SEQUENTIAL_GROWTH","FQ4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2" s="2" t="e">
        <f ca="1">_xll.BDH($C$53,"EBITDA_SEQUENTIAL_GROWTH","FQ4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2" s="2" t="e">
        <f ca="1">_xll.BDH($C$53,"OPERATING_INCOME_SEQ_GROWTH","FQ4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2" s="2" t="e">
        <f ca="1">_xll.BDH($C$53,"NET_INCOME_TO_COMMON_SEQ_GROWTH","FQ4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2" s="2" t="e">
        <f ca="1">_xll.BDH($C$53,"EPS_DILUTED_SEQUENTIAL_GROWTH","FQ4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2" s="2" t="e">
        <f ca="1">_xll.BDH($C$53,"DPS_SEQUENTIAL_GROWTH","FQ4 2015","FQ4 2015","Currency=INR","Period=FQ","BEST_FPERIOD_OVERRIDE=FQ","FILING_STATUS=OR","EQY_CONSOLIDATED=Y","Sort=A","Dates=H","DateFormat=P","Fill=—","Direction=H","UseDPDF=Y")</f>
        <v>#NAME?</v>
      </c>
      <c r="BL62" s="2" t="e">
        <f ca="1">_xll.BDH($C$53,"ACCOUNTS_RECEIVABLE_SEQ_GROWTH","FQ4 2015","FQ4 2015","Currency=INR","Period=FQ","BEST_FPERIOD_OVERRIDE=FQ","FILING_STATUS=OR","EQY_CONSOLIDATED=Y","Sort=A","Dates=H","DateFormat=P","Fill=—","Direction=H","UseDPDF=Y")</f>
        <v>#NAME?</v>
      </c>
      <c r="BM62" s="2" t="e">
        <f ca="1">_xll.BDH($C$53,"INVENTORY_SEQUENTIAL_GROWTH","FQ4 2015","FQ4 2015","Currency=INR","Period=FQ","BEST_FPERIOD_OVERRIDE=FQ","FILING_STATUS=OR","EQY_CONSOLIDATED=Y","Sort=A","Dates=H","DateFormat=P","Fill=—","Direction=H","UseDPDF=Y")</f>
        <v>#NAME?</v>
      </c>
      <c r="BN62" s="2" t="e">
        <f ca="1">_xll.BDH($C$53,"FIXED_ASSETS_SEQUENTIAL_GROWTH","FQ4 2015","FQ4 2015","Currency=INR","Period=FQ","BEST_FPERIOD_OVERRIDE=FQ","FILING_STATUS=OR","EQY_CONSOLIDATED=Y","Sort=A","Dates=H","DateFormat=P","Fill=—","Direction=H","UseDPDF=Y")</f>
        <v>#NAME?</v>
      </c>
      <c r="BO62" s="2" t="e">
        <f ca="1">_xll.BDH($C$53,"TOTAL_ASSETS_SEQUENTIAL_GROWTH","FQ4 2015","FQ4 2015","Currency=INR","Period=FQ","BEST_FPERIOD_OVERRIDE=FQ","FILING_STATUS=OR","EQY_CONSOLIDATED=Y","Sort=A","Dates=H","DateFormat=P","Fill=—","Direction=H","UseDPDF=Y")</f>
        <v>#NAME?</v>
      </c>
      <c r="BP62" s="2" t="e">
        <f ca="1">_xll.BDH($C$53,"MODIFIED_WORKING_CPTL_SEQ_GRWTH","FQ4 2015","FQ4 2015","Currency=INR","Period=FQ","BEST_FPERIOD_OVERRIDE=FQ","FILING_STATUS=OR","EQY_CONSOLIDATED=Y","Sort=A","Dates=H","DateFormat=P","Fill=—","Direction=H","UseDPDF=Y")</f>
        <v>#NAME?</v>
      </c>
      <c r="BQ62" s="2" t="e">
        <f ca="1">_xll.BDH($C$53,"WORKING_CAPITAL_SEQ_GROWTH","FQ4 2015","FQ4 2015","Currency=INR","Period=FQ","BEST_FPERIOD_OVERRIDE=FQ","FILING_STATUS=OR","EQY_CONSOLIDATED=Y","Sort=A","Dates=H","DateFormat=P","Fill=—","Direction=H","UseDPDF=Y")</f>
        <v>#NAME?</v>
      </c>
      <c r="BR62" s="2" t="e">
        <f ca="1">_xll.BDH($C$53,"ACCOUNTS_PAYABLE_SEQ_GROWTH","FQ4 2015","FQ4 2015","Currency=INR","Period=FQ","BEST_FPERIOD_OVERRIDE=FQ","FILING_STATUS=OR","EQY_CONSOLIDATED=Y","Sort=A","Dates=H","DateFormat=P","Fill=—","Direction=H","UseDPDF=Y")</f>
        <v>#NAME?</v>
      </c>
      <c r="BS62" s="2" t="e">
        <f ca="1">_xll.BDH($C$53,"ST_DEBT_SEQUENTIAL_GROWTH","FQ4 2015","FQ4 2015","Currency=INR","Period=FQ","BEST_FPERIOD_OVERRIDE=FQ","FILING_STATUS=OR","EQY_CONSOLIDATED=Y","Sort=A","Dates=H","DateFormat=P","Fill=—","Direction=H","UseDPDF=Y")</f>
        <v>#NAME?</v>
      </c>
      <c r="BT62" s="2" t="e">
        <f ca="1">_xll.BDH($C$53,"TOTAL_DEBT_SEQUENTIAL_GROWTH","FQ4 2015","FQ4 2015","Currency=INR","Period=FQ","BEST_FPERIOD_OVERRIDE=FQ","FILING_STATUS=OR","EQY_CONSOLIDATED=Y","Sort=A","Dates=H","DateFormat=P","Fill=—","Direction=H","UseDPDF=Y")</f>
        <v>#NAME?</v>
      </c>
      <c r="BU62" s="2" t="e">
        <f ca="1">_xll.BDH($C$53,"TOTAL_EQUITY_SEQUENTIAL_GROWTH","FQ4 2015","FQ4 2015","Currency=INR","Period=FQ","BEST_FPERIOD_OVERRIDE=FQ","FILING_STATUS=OR","EQY_CONSOLIDATED=Y","Sort=A","Dates=H","DateFormat=P","Fill=—","Direction=H","UseDPDF=Y")</f>
        <v>#NAME?</v>
      </c>
      <c r="BV62" s="2" t="e">
        <f ca="1">_xll.BDH($C$53,"TOTAL_CAPITAL_SEQUENTIAL_GROWTH","FQ4 2015","FQ4 2015","Currency=INR","Period=FQ","BEST_FPERIOD_OVERRIDE=FQ","FILING_STATUS=OR","EQY_CONSOLIDATED=Y","Sort=A","Dates=H","DateFormat=P","Fill=—","Direction=H","UseDPDF=Y")</f>
        <v>#NAME?</v>
      </c>
      <c r="BW62" s="2" t="e">
        <f ca="1">_xll.BDH($C$53,"BPS_SEQUENTIAL_GROWTH","FQ4 2015","FQ4 2015","Currency=INR","Period=FQ","BEST_FPERIOD_OVERRIDE=FQ","FILING_STATUS=OR","EQY_CONSOLIDATED=Y","Sort=A","Dates=H","DateFormat=P","Fill=—","Direction=H","UseDPDF=Y")</f>
        <v>#NAME?</v>
      </c>
      <c r="BX62" s="2" t="e">
        <f ca="1">_xll.BDH($C$53,"CFO_SEQUENTIAL_GROWTH","FQ4 2015","FQ4 2015","Currency=INR","Period=FQ","BEST_FPERIOD_OVERRIDE=FQ","FILING_STATUS=OR","EQY_CONSOLIDATED=Y","Sort=A","Dates=H","DateFormat=P","Fill=—","Direction=H","UseDPDF=Y")</f>
        <v>#NAME?</v>
      </c>
      <c r="BY62" s="3" t="e">
        <f ca="1">_xll.BDH($C$53,"SHORT_AND_LONG_TERM_DEBT","FQ4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2" s="3" t="e">
        <f ca="1">_xll.BDH($C$53,"BS_ST_BORROW","FQ4 2015","FQ4 2015","Currency=INR","Period=FQ","BEST_FPERIOD_OVERRIDE=FQ","FILING_STATUS=OR","EQY_CONSOLIDATED=Y","SCALING_FORMAT=MLN","Sort=A","Dates=H","DateFormat=P","Fill=—","Direction=H","UseDPDF=Y")</f>
        <v>#NAME?</v>
      </c>
      <c r="CA62" s="3" t="e">
        <f ca="1">_xll.BDH($C$53,"BS_LT_BORROW","FQ4 2015","FQ4 2015","Currency=INR","Period=FQ","BEST_FPERIOD_OVERRIDE=FQ","FILING_STATUS=OR","EQY_CONSOLIDATED=Y","SCALING_FORMAT=MLN","Sort=A","Dates=H","DateFormat=P","Fill=—","Direction=H","UseDPDF=Y")</f>
        <v>#NAME?</v>
      </c>
      <c r="CB62" s="2" t="e">
        <f ca="1">_xll.BDH($C$53,"TOT_DEBT_TO_EBITDA","FQ4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2" s="2" t="e">
        <f ca="1">_xll.BDH($C$53,"NET_DEBT_TO_EBITDA","FQ4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2" s="2" t="e">
        <f ca="1">_xll.BDH($C$53,"TOTAL_DEBT_TO_EBIT","FQ4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2" s="2" t="e">
        <f ca="1">_xll.BDH($C$53,"NET_DEBT_TO_EBIT","FQ4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2" s="2" t="e">
        <f ca="1">_xll.BDH($C$53,"EBITDA_TO_INTEREST_EXPN","FQ4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2" s="2" t="e">
        <f ca="1">_xll.BDH($C$53,"COM_EQY_TO_TOT_ASSET","FQ4 2015","FQ4 2015","Currency=INR","Period=FQ","BEST_FPERIOD_OVERRIDE=FQ","FILING_STATUS=OR","EQY_CONSOLIDATED=Y","Sort=A","Dates=H","DateFormat=P","Fill=—","Direction=H","UseDPDF=Y")</f>
        <v>#NAME?</v>
      </c>
      <c r="CH62" s="2" t="e">
        <f ca="1">_xll.BDH($C$53,"LT_DEBT_TO_TOT_EQY","FQ4 2015","FQ4 2015","Currency=INR","Period=FQ","BEST_FPERIOD_OVERRIDE=FQ","FILING_STATUS=OR","EQY_CONSOLIDATED=Y","Sort=A","Dates=H","DateFormat=P","Fill=—","Direction=H","UseDPDF=Y")</f>
        <v>#NAME?</v>
      </c>
      <c r="CI62" s="2" t="e">
        <f ca="1">_xll.BDH($C$53,"LT_DEBT_TO_TOT_CAP","FQ4 2015","FQ4 2015","Currency=INR","Period=FQ","BEST_FPERIOD_OVERRIDE=FQ","FILING_STATUS=OR","EQY_CONSOLIDATED=Y","Sort=A","Dates=H","DateFormat=P","Fill=—","Direction=H","UseDPDF=Y")</f>
        <v>#NAME?</v>
      </c>
      <c r="CJ62" s="2" t="e">
        <f ca="1">_xll.BDH($C$53,"LT_DEBT_TO_TOT_ASSET","FQ4 2015","FQ4 2015","Currency=INR","Period=FQ","BEST_FPERIOD_OVERRIDE=FQ","FILING_STATUS=OR","EQY_CONSOLIDATED=Y","Sort=A","Dates=H","DateFormat=P","Fill=—","Direction=H","UseDPDF=Y")</f>
        <v>#NAME?</v>
      </c>
      <c r="CK62" s="2" t="e">
        <f ca="1">_xll.BDH($C$53,"TOT_DEBT_TO_TOT_EQY","FQ4 2015","FQ4 2015","Currency=INR","Period=FQ","BEST_FPERIOD_OVERRIDE=FQ","FILING_STATUS=OR","EQY_CONSOLIDATED=Y","Sort=A","Dates=H","DateFormat=P","Fill=—","Direction=H","UseDPDF=Y")</f>
        <v>#NAME?</v>
      </c>
      <c r="CL62" s="2" t="e">
        <f ca="1">_xll.BDH($C$53,"TOT_DEBT_TO_TOT_CAP","FQ4 2015","FQ4 2015","Currency=INR","Period=FQ","BEST_FPERIOD_OVERRIDE=FQ","FILING_STATUS=OR","EQY_CONSOLIDATED=Y","Sort=A","Dates=H","DateFormat=P","Fill=—","Direction=H","UseDPDF=Y")</f>
        <v>#NAME?</v>
      </c>
      <c r="CM62" s="2" t="e">
        <f ca="1">_xll.BDH($C$53,"TOT_DEBT_TO_TOT_ASSET","FQ4 2015","FQ4 2015","Currency=INR","Period=FQ","BEST_FPERIOD_OVERRIDE=FQ","FILING_STATUS=OR","EQY_CONSOLIDATED=Y","Sort=A","Dates=H","DateFormat=P","Fill=—","Direction=H","UseDPDF=Y")</f>
        <v>#NAME?</v>
      </c>
      <c r="CN62" s="2" t="e">
        <f ca="1">_xll.BDH($C$53,"NET_DEBT_TO_SHRHLDR_EQTY","FQ4 2015","FQ4 2015","Currency=INR","Period=FQ","BEST_FPERIOD_OVERRIDE=FQ","FILING_STATUS=OR","EQY_CONSOLIDATED=Y","Sort=A","Dates=H","DateFormat=P","Fill=—","Direction=H","UseDPDF=Y")</f>
        <v>#NAME?</v>
      </c>
      <c r="CO62" s="2" t="e">
        <f ca="1">_xll.BDH($C$53,"NET_DEBT_%_CAPITAL","FQ4 2015","FQ4 2015","Currency=INR","Period=FQ","BEST_FPERIOD_OVERRIDE=FQ","FILING_STATUS=OR","EQY_CONSOLIDATED=Y","Sort=A","Dates=H","DateFormat=P","Fill=—","Direction=H","UseDPDF=Y")</f>
        <v>#NAME?</v>
      </c>
      <c r="CP62" s="3" t="e">
        <f ca="1">_xll.BDH($C$53,"EBITDA","FQ4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2" s="3" t="e">
        <f ca="1">_xll.BDH($C$53,"EBITDA_AFTER_CAPEX","FQ4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2" s="3" t="e">
        <f ca="1">_xll.BDH($C$53,"IS_OPER_INC","FQ4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2" s="2" t="e">
        <f ca="1">_xll.BDH($C$53,"CASH_RATIO","FQ4 2015","FQ4 2015","Currency=INR","Period=FQ","BEST_FPERIOD_OVERRIDE=FQ","FILING_STATUS=OR","EQY_CONSOLIDATED=Y","Sort=A","Dates=H","DateFormat=P","Fill=—","Direction=H","UseDPDF=Y")</f>
        <v>#NAME?</v>
      </c>
      <c r="CT62" s="2" t="e">
        <f ca="1">_xll.BDH($C$53,"CUR_RATIO","FQ4 2015","FQ4 2015","Currency=INR","Period=FQ","BEST_FPERIOD_OVERRIDE=FQ","FILING_STATUS=OR","EQY_CONSOLIDATED=Y","Sort=A","Dates=H","DateFormat=P","Fill=—","Direction=H","UseDPDF=Y")</f>
        <v>#NAME?</v>
      </c>
      <c r="CU62" s="2" t="e">
        <f ca="1">_xll.BDH($C$53,"QUICK_RATIO","FQ4 2015","FQ4 2015","Currency=INR","Period=FQ","BEST_FPERIOD_OVERRIDE=FQ","FILING_STATUS=OR","EQY_CONSOLIDATED=Y","Sort=A","Dates=H","DateFormat=P","Fill=—","Direction=H","UseDPDF=Y")</f>
        <v>#NAME?</v>
      </c>
      <c r="CV62" s="2" t="e">
        <f ca="1">_xll.BDH($C$53,"ALTMAN_Z_SCORE","FQ4 2015","FQ4 2015","Currency=INR","Period=FQ","BEST_FPERIOD_OVERRIDE=FQ","FILING_STATUS=OR","EQY_CONSOLIDATED=Y","Sort=A","Dates=H","DateFormat=P","Fill=—","Direction=H","UseDPDF=Y")</f>
        <v>#NAME?</v>
      </c>
      <c r="CW62" s="4" t="e">
        <f ca="1">_xll.BDH($C$53,"ACCT_RCV_TURN","FQ4 2015","FQ4 2015","Currency=INR","Period=FQ","BEST_FPERIOD_OVERRIDE=FQ","FILING_STATUS=OR","EQY_CONSOLIDATED=Y","FA_ADJUSTED=GAAP","Sort=A","Dates=H","DateFormat=P","Fill=—","Direction=H","UseDPDF=Y")</f>
        <v>#NAME?</v>
      </c>
      <c r="CX62" s="2" t="e">
        <f ca="1">_xll.BDH($C$53,"ACCT_RCV_DAYS","FQ4 2015","FQ4 2015","Currency=INR","Period=FQ","BEST_FPERIOD_OVERRIDE=FQ","FILING_STATUS=OR","EQY_CONSOLIDATED=Y","FA_ADJUSTED=GAAP","Sort=A","Dates=H","DateFormat=P","Fill=—","Direction=H","UseDPDF=Y")</f>
        <v>#NAME?</v>
      </c>
      <c r="CY62" s="4" t="e">
        <f ca="1">_xll.BDH($C$53,"INVENT_TURN","FQ4 2015","FQ4 2015","Currency=INR","Period=FQ","BEST_FPERIOD_OVERRIDE=FQ","FILING_STATUS=OR","EQY_CONSOLIDATED=Y","FA_ADJUSTED=GAAP","Sort=A","Dates=H","DateFormat=P","Fill=—","Direction=H","UseDPDF=Y")</f>
        <v>#NAME?</v>
      </c>
      <c r="CZ62" s="2" t="e">
        <f ca="1">_xll.BDH($C$53,"INVENT_DAYS","FQ4 2015","FQ4 2015","Currency=INR","Period=FQ","BEST_FPERIOD_OVERRIDE=FQ","FILING_STATUS=OR","EQY_CONSOLIDATED=Y","FA_ADJUSTED=GAAP","Sort=A","Dates=H","DateFormat=P","Fill=—","Direction=H","UseDPDF=Y")</f>
        <v>#NAME?</v>
      </c>
      <c r="DA62" s="4" t="e">
        <f ca="1">_xll.BDH($C$53,"ACCOUNTS_PAYABLE_TURNOVER","FQ4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2" s="2" t="e">
        <f ca="1">_xll.BDH($C$53,"ACCOUNTS_PAYABLE_TURNOVER_DAYS","FQ4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2" s="4" t="e">
        <f ca="1">_xll.BDH($C$53,"CASH_CONVERSION_CYCLE","FQ4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2" s="4" t="e">
        <f ca="1">_xll.BDH($C$53,"INV_TO_CASH_DAYS","FQ4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2" s="5" t="e">
        <f ca="1">_xll.BDH($C$53,"BS_INVENTORIES","FQ4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2" s="3" t="e">
        <f ca="1">_xll.BDH($C$53,"INVTRY_RAW_MATERIALS","FQ4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2" s="3" t="e">
        <f ca="1">_xll.BDH($C$53,"INVTRY_IN_PROGRESS","FQ4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2" s="3" t="e">
        <f ca="1">_xll.BDH($C$53,"INVTRY_FINISHED_GOODS","FQ4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2" s="3" t="e">
        <f ca="1">_xll.BDH($C$53,"BS_OTHER_INV","FQ4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3" spans="1:113" x14ac:dyDescent="0.3">
      <c r="A63" s="6"/>
      <c r="B63" s="6"/>
      <c r="C63" s="6"/>
      <c r="D63" s="6" t="s">
        <v>83</v>
      </c>
      <c r="E63" t="s">
        <v>77</v>
      </c>
      <c r="F63" t="e">
        <f ca="1">_xll.BDH($C$53,"RETURN_COM_EQY","FY 2016","FY 2016","Currency=INR","Period=FY","BEST_FPERIOD_OVERRIDE=FY","FILING_STATUS=OR","EQY_CONSOLIDATED=Y","FA_ADJUSTED=GAAP","Sort=A","Dates=H","DateFormat=P","Fill=—","Direction=H","UseDPDF=Y")</f>
        <v>#NAME?</v>
      </c>
      <c r="G63" t="e">
        <f ca="1">_xll.BDH($C$53,"RETURN_ON_ASSET","FY 2016","FY 2016","Currency=INR","Period=FY","BEST_FPERIOD_OVERRIDE=FY","FILING_STATUS=OR","EQY_CONSOLIDATED=Y","FA_ADJUSTED=GAAP","Sort=A","Dates=H","DateFormat=P","Fill=—","Direction=H","UseDPDF=Y")</f>
        <v>#NAME?</v>
      </c>
      <c r="H63" t="e">
        <f ca="1">_xll.BDH($C$53,"RETURN_ON_CAP","FY 2016","FY 2016","Currency=INR","Period=FY","BEST_FPERIOD_OVERRIDE=FY","FILING_STATUS=OR","EQY_CONSOLIDATED=Y","FA_ADJUSTED=GAAP","Sort=A","Dates=H","DateFormat=P","Fill=—","Direction=H","UseDPDF=Y")</f>
        <v>#NAME?</v>
      </c>
      <c r="I63" t="e">
        <f ca="1">_xll.BDH($C$53,"RETURN_ON_INV_CAPITAL","FY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3" t="e">
        <f ca="1">_xll.BDH($C$53,"EBITDA_TO_REVENUE","FY 2016","FY 2016","Currency=INR","Period=FY","BEST_FPERIOD_OVERRIDE=FY","FILING_STATUS=OR","EQY_CONSOLIDATED=Y","FA_ADJUSTED=GAAP","Sort=A","Dates=H","DateFormat=P","Fill=—","Direction=H","UseDPDF=Y")</f>
        <v>#NAME?</v>
      </c>
      <c r="K63" t="e">
        <f ca="1">_xll.BDH($C$53,"OPER_MARGIN","FY 2016","FY 2016","Currency=INR","Period=FY","BEST_FPERIOD_OVERRIDE=FY","FILING_STATUS=OR","EQY_CONSOLIDATED=Y","FA_ADJUSTED=GAAP","Sort=A","Dates=H","DateFormat=P","Fill=—","Direction=H","UseDPDF=Y")</f>
        <v>#NAME?</v>
      </c>
      <c r="L63" t="e">
        <f ca="1">_xll.BDH($C$53,"INCREMENTAL_OPERATING_MARGIN","FY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3" t="e">
        <f ca="1">_xll.BDH($C$53,"PRETAX_INC_TO_NET_SALES","FY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3" t="e">
        <f ca="1">_xll.BDH($C$53,"INC_BEF_XO_ITEMS_TO_NET_SALES","FY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3" t="e">
        <f ca="1">_xll.BDH($C$53,"PROF_MARGIN","FY 2016","FY 2016","Currency=INR","Period=FY","BEST_FPERIOD_OVERRIDE=FY","FILING_STATUS=OR","EQY_CONSOLIDATED=Y","FA_ADJUSTED=GAAP","Sort=A","Dates=H","DateFormat=P","Fill=—","Direction=H","UseDPDF=Y")</f>
        <v>#NAME?</v>
      </c>
      <c r="P63" t="e">
        <f ca="1">_xll.BDH($C$53,"NET_INCOME_TO_COMMON_MARGIN","FY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3" t="e">
        <f ca="1">_xll.BDH($C$53,"EFF_TAX_RATE","FY 2016","FY 2016","Currency=INR","Period=FY","BEST_FPERIOD_OVERRIDE=FY","FILING_STATUS=OR","EQY_CONSOLIDATED=Y","FA_ADJUSTED=GAAP","Sort=A","Dates=H","DateFormat=P","Fill=—","Direction=H","UseDPDF=Y")</f>
        <v>#NAME?</v>
      </c>
      <c r="R63" t="e">
        <f ca="1">_xll.BDH($C$53,"DVD_PAYOUT_RATIO","FY 2016","FY 2016","Currency=INR","Period=FY","BEST_FPERIOD_OVERRIDE=FY","FILING_STATUS=OR","EQY_CONSOLIDATED=Y","FA_ADJUSTED=GAAP","Sort=A","Dates=H","DateFormat=P","Fill=—","Direction=H","UseDPDF=Y")</f>
        <v>#NAME?</v>
      </c>
      <c r="S63" t="e">
        <f ca="1">_xll.BDH($C$53,"SUSTAIN_GROWTH_RT","FY 2016","FY 2016","Currency=INR","Period=FY","BEST_FPERIOD_OVERRIDE=FY","FILING_STATUS=OR","EQY_CONSOLIDATED=Y","FA_ADJUSTED=GAAP","Sort=A","Dates=H","DateFormat=P","Fill=—","Direction=H","UseDPDF=Y")</f>
        <v>#NAME?</v>
      </c>
      <c r="T63" s="2" t="e">
        <f ca="1">_xll.BDH($C$53,"SALES_GROWTH","FY 2016","FY 2016","Currency=INR","Period=FY","BEST_FPERIOD_OVERRIDE=FY","FILING_STATUS=OR","EQY_CONSOLIDATED=Y","FA_ADJUSTED=GAAP","Sort=A","Dates=H","DateFormat=P","Fill=—","Direction=H","UseDPDF=Y")</f>
        <v>#NAME?</v>
      </c>
      <c r="U63" s="2" t="e">
        <f ca="1">_xll.BDH($C$53,"EBITDA_GROWTH","FY 2016","FY 2016","Currency=INR","Period=FY","BEST_FPERIOD_OVERRIDE=FY","FILING_STATUS=OR","EQY_CONSOLIDATED=Y","FA_ADJUSTED=GAAP","Sort=A","Dates=H","DateFormat=P","Fill=—","Direction=H","UseDPDF=Y")</f>
        <v>#NAME?</v>
      </c>
      <c r="V63" s="2" t="e">
        <f ca="1">_xll.BDH($C$53,"OPER_INC_GROWTH","FY 2016","FY 2016","Currency=INR","Period=FY","BEST_FPERIOD_OVERRIDE=FY","FILING_STATUS=OR","EQY_CONSOLIDATED=Y","FA_ADJUSTED=GAAP","Sort=A","Dates=H","DateFormat=P","Fill=—","Direction=H","UseDPDF=Y")</f>
        <v>#NAME?</v>
      </c>
      <c r="W63" s="2" t="e">
        <f ca="1">_xll.BDH($C$53,"EARN_FOR_COM_GROWTH","FY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3" s="2" t="e">
        <f ca="1">_xll.BDH($C$53,"DILUTED_EPS_AFT_XO_ITEMS_GROWTH","FY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3" s="2" t="e">
        <f ca="1">_xll.BDH($C$53,"DIVIDEND_PER_SHARE_1_YEAR_GROWTH","FY 2016","FY 2016","Currency=INR","Period=FY","BEST_FPERIOD_OVERRIDE=FY","FILING_STATUS=OR","EQY_CONSOLIDATED=Y","Sort=A","Dates=H","DateFormat=P","Fill=—","Direction=H","UseDPDF=Y")</f>
        <v>#NAME?</v>
      </c>
      <c r="Z63" s="2" t="e">
        <f ca="1">_xll.BDH($C$53,"ACCOUNTS_RECEIVABLE_GROWTH","FY 2016","FY 2016","Currency=INR","Period=FY","BEST_FPERIOD_OVERRIDE=FY","FILING_STATUS=OR","EQY_CONSOLIDATED=Y","Sort=A","Dates=H","DateFormat=P","Fill=—","Direction=H","UseDPDF=Y")</f>
        <v>#NAME?</v>
      </c>
      <c r="AA63" s="2" t="e">
        <f ca="1">_xll.BDH($C$53,"INVENTORY_GROWTH","FY 2016","FY 2016","Currency=INR","Period=FY","BEST_FPERIOD_OVERRIDE=FY","FILING_STATUS=OR","EQY_CONSOLIDATED=Y","Sort=A","Dates=H","DateFormat=P","Fill=—","Direction=H","UseDPDF=Y")</f>
        <v>#NAME?</v>
      </c>
      <c r="AB63" s="2" t="e">
        <f ca="1">_xll.BDH($C$53,"NET_FIXED_ASSETS_1_YEAR_GROWTH","FY 2016","FY 2016","Currency=INR","Period=FY","BEST_FPERIOD_OVERRIDE=FY","FILING_STATUS=OR","EQY_CONSOLIDATED=Y","Sort=A","Dates=H","DateFormat=P","Fill=—","Direction=H","UseDPDF=Y")</f>
        <v>#NAME?</v>
      </c>
      <c r="AC63" s="2" t="e">
        <f ca="1">_xll.BDH($C$53,"ASSET_GROWTH","FY 2016","FY 2016","Currency=INR","Period=FY","BEST_FPERIOD_OVERRIDE=FY","FILING_STATUS=OR","EQY_CONSOLIDATED=Y","Sort=A","Dates=H","DateFormat=P","Fill=—","Direction=H","UseDPDF=Y")</f>
        <v>#NAME?</v>
      </c>
      <c r="AD63" s="2" t="e">
        <f ca="1">_xll.BDH($C$53,"MODIFIED_WORK_CAP_GROWTH","FY 2016","FY 2016","Currency=INR","Period=FY","BEST_FPERIOD_OVERRIDE=FY","FILING_STATUS=OR","EQY_CONSOLIDATED=Y","Sort=A","Dates=H","DateFormat=P","Fill=—","Direction=H","UseDPDF=Y")</f>
        <v>#NAME?</v>
      </c>
      <c r="AE63" s="2" t="e">
        <f ca="1">_xll.BDH($C$53,"WORK_CAP_GROWTH","FY 2016","FY 2016","Currency=INR","Period=FY","BEST_FPERIOD_OVERRIDE=FY","FILING_STATUS=OR","EQY_CONSOLIDATED=Y","Sort=A","Dates=H","DateFormat=P","Fill=—","Direction=H","UseDPDF=Y")</f>
        <v>#NAME?</v>
      </c>
      <c r="AF63" s="2" t="e">
        <f ca="1">_xll.BDH($C$53,"ACCOUNTS_PAYABLE_GROWTH_1YR","FY 2016","FY 2016","Currency=INR","Period=FY","BEST_FPERIOD_OVERRIDE=FY","FILING_STATUS=OR","EQY_CONSOLIDATED=Y","Sort=A","Dates=H","DateFormat=P","Fill=—","Direction=H","UseDPDF=Y")</f>
        <v>#NAME?</v>
      </c>
      <c r="AG63" s="2" t="e">
        <f ca="1">_xll.BDH($C$53,"SHORT_TERM_DEBT_1_YEAR_GROWTH","FY 2016","FY 2016","Currency=INR","Period=FY","BEST_FPERIOD_OVERRIDE=FY","FILING_STATUS=OR","EQY_CONSOLIDATED=Y","Sort=A","Dates=H","DateFormat=P","Fill=—","Direction=H","UseDPDF=Y")</f>
        <v>#NAME?</v>
      </c>
      <c r="AH63" s="2" t="e">
        <f ca="1">_xll.BDH($C$53,"TOTAL_DEBT_1_YEAR_GROWTH","FY 2016","FY 2016","Currency=INR","Period=FY","BEST_FPERIOD_OVERRIDE=FY","FILING_STATUS=OR","EQY_CONSOLIDATED=Y","Sort=A","Dates=H","DateFormat=P","Fill=—","Direction=H","UseDPDF=Y")</f>
        <v>#NAME?</v>
      </c>
      <c r="AI63" s="2" t="e">
        <f ca="1">_xll.BDH($C$53,"TOTAL_EQUITY_1_YEAR_GROWTH","FY 2016","FY 2016","Currency=INR","Period=FY","BEST_FPERIOD_OVERRIDE=FY","FILING_STATUS=OR","EQY_CONSOLIDATED=Y","Sort=A","Dates=H","DateFormat=P","Fill=—","Direction=H","UseDPDF=Y")</f>
        <v>#NAME?</v>
      </c>
      <c r="AJ63" s="2" t="e">
        <f ca="1">_xll.BDH($C$53,"GROWTH_IN_CAP","FY 2016","FY 2016","Currency=INR","Period=FY","BEST_FPERIOD_OVERRIDE=FY","FILING_STATUS=OR","EQY_CONSOLIDATED=Y","Sort=A","Dates=H","DateFormat=P","Fill=—","Direction=H","UseDPDF=Y")</f>
        <v>#NAME?</v>
      </c>
      <c r="AK63" s="2" t="e">
        <f ca="1">_xll.BDH($C$53,"BVPS_GROWTH","FY 2016","FY 2016","Currency=INR","Period=FY","BEST_FPERIOD_OVERRIDE=FY","FILING_STATUS=OR","EQY_CONSOLIDATED=Y","Sort=A","Dates=H","DateFormat=P","Fill=—","Direction=H","UseDPDF=Y")</f>
        <v>#NAME?</v>
      </c>
      <c r="AL63" s="2" t="e">
        <f ca="1">_xll.BDH($C$53,"CASH_FLOW_GROWTH","FY 2016","FY 2016","Currency=INR","Period=FY","BEST_FPERIOD_OVERRIDE=FY","FILING_STATUS=OR","EQY_CONSOLIDATED=Y","Sort=A","Dates=H","DateFormat=P","Fill=—","Direction=H","UseDPDF=Y")</f>
        <v>#NAME?</v>
      </c>
      <c r="AM63" s="2" t="e">
        <f ca="1">_xll.BDH($C$53,"GEO_GROW_NET_SALES","FY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3" s="2" t="e">
        <f ca="1">_xll.BDH($C$53,"GEO_GROW_EBITDA","FY 2016","FY 2016","Currency=INR","Period=FY","BEST_FPERIOD_OVERRIDE=FY","FILING_STATUS=OR","EQY_CONSOLIDATED=Y","FA_ADJUSTED=GAAP","Sort=A","Dates=H","DateFormat=P","Fill=—","Direction=H","UseDPDF=Y")</f>
        <v>#NAME?</v>
      </c>
      <c r="AO63" s="2" t="e">
        <f ca="1">_xll.BDH($C$53,"GEO_GROW_OPER_INC","FY 2016","FY 2016","Currency=INR","Period=FY","BEST_FPERIOD_OVERRIDE=FY","FILING_STATUS=OR","EQY_CONSOLIDATED=Y","FA_ADJUSTED=GAAP","Sort=A","Dates=H","DateFormat=P","Fill=—","Direction=H","UseDPDF=Y")</f>
        <v>#NAME?</v>
      </c>
      <c r="AP63" s="2" t="e">
        <f ca="1">_xll.BDH($C$53,"NET_INCOME_TO_COMMON_5_YR_GROWTH","FY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3" s="2" t="e">
        <f ca="1">_xll.BDH($C$53,"5Y_GEO_GROWTH_DILUTED_EPS","FY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3" s="2" t="e">
        <f ca="1">_xll.BDH($C$53,"GEO_GROW_DVD_PER_SH","FY 2016","FY 2016","Currency=INR","Period=FY","BEST_FPERIOD_OVERRIDE=FY","FILING_STATUS=OR","EQY_CONSOLIDATED=Y","Sort=A","Dates=H","DateFormat=P","Fill=—","Direction=H","UseDPDF=Y")</f>
        <v>#NAME?</v>
      </c>
      <c r="AS63" s="2" t="e">
        <f ca="1">_xll.BDH($C$53,"ACCOUNTS_RECEIVABLE_5_YR_GROWTH","FY 2016","FY 2016","Currency=INR","Period=FY","BEST_FPERIOD_OVERRIDE=FY","FILING_STATUS=OR","EQY_CONSOLIDATED=Y","Sort=A","Dates=H","DateFormat=P","Fill=—","Direction=H","UseDPDF=Y")</f>
        <v>#NAME?</v>
      </c>
      <c r="AT63" s="2" t="e">
        <f ca="1">_xll.BDH($C$53,"INVENTORY_5_YEAR_GROWTH","FY 2016","FY 2016","Currency=INR","Period=FY","BEST_FPERIOD_OVERRIDE=FY","FILING_STATUS=OR","EQY_CONSOLIDATED=Y","Sort=A","Dates=H","DateFormat=P","Fill=—","Direction=H","UseDPDF=Y")</f>
        <v>#NAME?</v>
      </c>
      <c r="AU63" s="2" t="e">
        <f ca="1">_xll.BDH($C$53,"NET_FIXED_ASSETS_5_YEAR_GROWTH","FY 2016","FY 2016","Currency=INR","Period=FY","BEST_FPERIOD_OVERRIDE=FY","FILING_STATUS=OR","EQY_CONSOLIDATED=Y","Sort=A","Dates=H","DateFormat=P","Fill=—","Direction=H","UseDPDF=Y")</f>
        <v>#NAME?</v>
      </c>
      <c r="AV63" s="2" t="e">
        <f ca="1">_xll.BDH($C$53,"GEO_GROW_TOT_ASSET","FY 2016","FY 2016","Currency=INR","Period=FY","BEST_FPERIOD_OVERRIDE=FY","FILING_STATUS=OR","EQY_CONSOLIDATED=Y","Sort=A","Dates=H","DateFormat=P","Fill=—","Direction=H","UseDPDF=Y")</f>
        <v>#NAME?</v>
      </c>
      <c r="AW63" s="2" t="e">
        <f ca="1">_xll.BDH($C$53,"MODIFIED_WORKING_CPTL_5YR_GRWTH","FY 2016","FY 2016","Currency=INR","Period=FY","BEST_FPERIOD_OVERRIDE=FY","FILING_STATUS=OR","EQY_CONSOLIDATED=Y","Sort=A","Dates=H","DateFormat=P","Fill=—","Direction=H","UseDPDF=Y")</f>
        <v>#NAME?</v>
      </c>
      <c r="AX63" s="2" t="e">
        <f ca="1">_xll.BDH($C$53,"WORKING_CAPITAL_5_YEAR_GROWTH","FY 2016","FY 2016","Currency=INR","Period=FY","BEST_FPERIOD_OVERRIDE=FY","FILING_STATUS=OR","EQY_CONSOLIDATED=Y","Sort=A","Dates=H","DateFormat=P","Fill=—","Direction=H","UseDPDF=Y")</f>
        <v>#NAME?</v>
      </c>
      <c r="AY63" s="2" t="e">
        <f ca="1">_xll.BDH($C$53,"ACCOUNTS_PAYABLE_5_YEAR_GROWTH","FY 2016","FY 2016","Currency=INR","Period=FY","BEST_FPERIOD_OVERRIDE=FY","FILING_STATUS=OR","EQY_CONSOLIDATED=Y","Sort=A","Dates=H","DateFormat=P","Fill=—","Direction=H","UseDPDF=Y")</f>
        <v>#NAME?</v>
      </c>
      <c r="AZ63" s="2" t="e">
        <f ca="1">_xll.BDH($C$53,"SHORT_TERM_DEBT_5_YEAR_GROWTH","FY 2016","FY 2016","Currency=INR","Period=FY","BEST_FPERIOD_OVERRIDE=FY","FILING_STATUS=OR","EQY_CONSOLIDATED=Y","Sort=A","Dates=H","DateFormat=P","Fill=—","Direction=H","UseDPDF=Y")</f>
        <v>#NAME?</v>
      </c>
      <c r="BA63" s="2" t="e">
        <f ca="1">_xll.BDH($C$53,"TOTAL_DEBT_5_YEAR_GROWTH","FY 2016","FY 2016","Currency=INR","Period=FY","BEST_FPERIOD_OVERRIDE=FY","FILING_STATUS=OR","EQY_CONSOLIDATED=Y","Sort=A","Dates=H","DateFormat=P","Fill=—","Direction=H","UseDPDF=Y")</f>
        <v>#NAME?</v>
      </c>
      <c r="BB63" s="2" t="e">
        <f ca="1">_xll.BDH($C$53,"GEO_GROW_TOT_SHRHLDR_EQY","FY 2016","FY 2016","Currency=INR","Period=FY","BEST_FPERIOD_OVERRIDE=FY","FILING_STATUS=OR","EQY_CONSOLIDATED=Y","Sort=A","Dates=H","DateFormat=P","Fill=—","Direction=H","UseDPDF=Y")</f>
        <v>#NAME?</v>
      </c>
      <c r="BC63" s="2" t="e">
        <f ca="1">_xll.BDH($C$53,"TOTAL_CAPITAL_5_YEAR_GROWTH","FY 2016","FY 2016","Currency=INR","Period=FY","BEST_FPERIOD_OVERRIDE=FY","FILING_STATUS=OR","EQY_CONSOLIDATED=Y","Sort=A","Dates=H","DateFormat=P","Fill=—","Direction=H","UseDPDF=Y")</f>
        <v>#NAME?</v>
      </c>
      <c r="BD63" s="2" t="e">
        <f ca="1">_xll.BDH($C$53,"GEO_GROW_BOOK_VAL","FY 2016","FY 2016","Currency=INR","Period=FY","BEST_FPERIOD_OVERRIDE=FY","FILING_STATUS=OR","EQY_CONSOLIDATED=Y","Sort=A","Dates=H","DateFormat=P","Fill=—","Direction=H","UseDPDF=Y")</f>
        <v>#NAME?</v>
      </c>
      <c r="BE63" s="2" t="e">
        <f ca="1">_xll.BDH($C$53,"GEO_GROW_CASH_OPER_ACT","FY 2016","FY 2016","Currency=INR","Period=FY","BEST_FPERIOD_OVERRIDE=FY","FILING_STATUS=OR","EQY_CONSOLIDATED=Y","Sort=A","Dates=H","DateFormat=P","Fill=—","Direction=H","UseDPDF=Y")</f>
        <v>#NAME?</v>
      </c>
      <c r="BF63" s="2" t="e">
        <f ca="1">_xll.BDH($C$53,"REVENUE_SEQUENTIAL_GROWTH","FY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3" s="2" t="e">
        <f ca="1">_xll.BDH($C$53,"EBITDA_SEQUENTIAL_GROWTH","FY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3" s="2" t="e">
        <f ca="1">_xll.BDH($C$53,"OPERATING_INCOME_SEQ_GROWTH","FY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3" s="2" t="e">
        <f ca="1">_xll.BDH($C$53,"NET_INCOME_TO_COMMON_SEQ_GROWTH","FY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3" s="2" t="e">
        <f ca="1">_xll.BDH($C$53,"EPS_DILUTED_SEQUENTIAL_GROWTH","FY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3" s="2" t="e">
        <f ca="1">_xll.BDH($C$53,"DPS_SEQUENTIAL_GROWTH","FY 2016","FY 2016","Currency=INR","Period=FY","BEST_FPERIOD_OVERRIDE=FY","FILING_STATUS=OR","EQY_CONSOLIDATED=Y","Sort=A","Dates=H","DateFormat=P","Fill=—","Direction=H","UseDPDF=Y")</f>
        <v>#NAME?</v>
      </c>
      <c r="BL63" s="2" t="e">
        <f ca="1">_xll.BDH($C$53,"ACCOUNTS_RECEIVABLE_SEQ_GROWTH","FY 2016","FY 2016","Currency=INR","Period=FY","BEST_FPERIOD_OVERRIDE=FY","FILING_STATUS=OR","EQY_CONSOLIDATED=Y","Sort=A","Dates=H","DateFormat=P","Fill=—","Direction=H","UseDPDF=Y")</f>
        <v>#NAME?</v>
      </c>
      <c r="BM63" s="2" t="e">
        <f ca="1">_xll.BDH($C$53,"INVENTORY_SEQUENTIAL_GROWTH","FY 2016","FY 2016","Currency=INR","Period=FY","BEST_FPERIOD_OVERRIDE=FY","FILING_STATUS=OR","EQY_CONSOLIDATED=Y","Sort=A","Dates=H","DateFormat=P","Fill=—","Direction=H","UseDPDF=Y")</f>
        <v>#NAME?</v>
      </c>
      <c r="BN63" s="2" t="e">
        <f ca="1">_xll.BDH($C$53,"FIXED_ASSETS_SEQUENTIAL_GROWTH","FY 2016","FY 2016","Currency=INR","Period=FY","BEST_FPERIOD_OVERRIDE=FY","FILING_STATUS=OR","EQY_CONSOLIDATED=Y","Sort=A","Dates=H","DateFormat=P","Fill=—","Direction=H","UseDPDF=Y")</f>
        <v>#NAME?</v>
      </c>
      <c r="BO63" s="2" t="e">
        <f ca="1">_xll.BDH($C$53,"TOTAL_ASSETS_SEQUENTIAL_GROWTH","FY 2016","FY 2016","Currency=INR","Period=FY","BEST_FPERIOD_OVERRIDE=FY","FILING_STATUS=OR","EQY_CONSOLIDATED=Y","Sort=A","Dates=H","DateFormat=P","Fill=—","Direction=H","UseDPDF=Y")</f>
        <v>#NAME?</v>
      </c>
      <c r="BP63" s="2" t="e">
        <f ca="1">_xll.BDH($C$53,"MODIFIED_WORKING_CPTL_SEQ_GRWTH","FY 2016","FY 2016","Currency=INR","Period=FY","BEST_FPERIOD_OVERRIDE=FY","FILING_STATUS=OR","EQY_CONSOLIDATED=Y","Sort=A","Dates=H","DateFormat=P","Fill=—","Direction=H","UseDPDF=Y")</f>
        <v>#NAME?</v>
      </c>
      <c r="BQ63" s="2" t="e">
        <f ca="1">_xll.BDH($C$53,"WORKING_CAPITAL_SEQ_GROWTH","FY 2016","FY 2016","Currency=INR","Period=FY","BEST_FPERIOD_OVERRIDE=FY","FILING_STATUS=OR","EQY_CONSOLIDATED=Y","Sort=A","Dates=H","DateFormat=P","Fill=—","Direction=H","UseDPDF=Y")</f>
        <v>#NAME?</v>
      </c>
      <c r="BR63" s="2" t="e">
        <f ca="1">_xll.BDH($C$53,"ACCOUNTS_PAYABLE_SEQ_GROWTH","FY 2016","FY 2016","Currency=INR","Period=FY","BEST_FPERIOD_OVERRIDE=FY","FILING_STATUS=OR","EQY_CONSOLIDATED=Y","Sort=A","Dates=H","DateFormat=P","Fill=—","Direction=H","UseDPDF=Y")</f>
        <v>#NAME?</v>
      </c>
      <c r="BS63" s="2" t="e">
        <f ca="1">_xll.BDH($C$53,"ST_DEBT_SEQUENTIAL_GROWTH","FY 2016","FY 2016","Currency=INR","Period=FY","BEST_FPERIOD_OVERRIDE=FY","FILING_STATUS=OR","EQY_CONSOLIDATED=Y","Sort=A","Dates=H","DateFormat=P","Fill=—","Direction=H","UseDPDF=Y")</f>
        <v>#NAME?</v>
      </c>
      <c r="BT63" s="2" t="e">
        <f ca="1">_xll.BDH($C$53,"TOTAL_DEBT_SEQUENTIAL_GROWTH","FY 2016","FY 2016","Currency=INR","Period=FY","BEST_FPERIOD_OVERRIDE=FY","FILING_STATUS=OR","EQY_CONSOLIDATED=Y","Sort=A","Dates=H","DateFormat=P","Fill=—","Direction=H","UseDPDF=Y")</f>
        <v>#NAME?</v>
      </c>
      <c r="BU63" s="2" t="e">
        <f ca="1">_xll.BDH($C$53,"TOTAL_EQUITY_SEQUENTIAL_GROWTH","FY 2016","FY 2016","Currency=INR","Period=FY","BEST_FPERIOD_OVERRIDE=FY","FILING_STATUS=OR","EQY_CONSOLIDATED=Y","Sort=A","Dates=H","DateFormat=P","Fill=—","Direction=H","UseDPDF=Y")</f>
        <v>#NAME?</v>
      </c>
      <c r="BV63" s="2" t="e">
        <f ca="1">_xll.BDH($C$53,"TOTAL_CAPITAL_SEQUENTIAL_GROWTH","FY 2016","FY 2016","Currency=INR","Period=FY","BEST_FPERIOD_OVERRIDE=FY","FILING_STATUS=OR","EQY_CONSOLIDATED=Y","Sort=A","Dates=H","DateFormat=P","Fill=—","Direction=H","UseDPDF=Y")</f>
        <v>#NAME?</v>
      </c>
      <c r="BW63" s="2" t="e">
        <f ca="1">_xll.BDH($C$53,"BPS_SEQUENTIAL_GROWTH","FY 2016","FY 2016","Currency=INR","Period=FY","BEST_FPERIOD_OVERRIDE=FY","FILING_STATUS=OR","EQY_CONSOLIDATED=Y","Sort=A","Dates=H","DateFormat=P","Fill=—","Direction=H","UseDPDF=Y")</f>
        <v>#NAME?</v>
      </c>
      <c r="BX63" s="2" t="e">
        <f ca="1">_xll.BDH($C$53,"CFO_SEQUENTIAL_GROWTH","FY 2016","FY 2016","Currency=INR","Period=FY","BEST_FPERIOD_OVERRIDE=FY","FILING_STATUS=OR","EQY_CONSOLIDATED=Y","Sort=A","Dates=H","DateFormat=P","Fill=—","Direction=H","UseDPDF=Y")</f>
        <v>#NAME?</v>
      </c>
      <c r="BY63" s="3" t="e">
        <f ca="1">_xll.BDH($C$53,"SHORT_AND_LONG_TERM_DEBT","FY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3" s="3" t="e">
        <f ca="1">_xll.BDH($C$53,"BS_ST_BORROW","FY 2016","FY 2016","Currency=INR","Period=FY","BEST_FPERIOD_OVERRIDE=FY","FILING_STATUS=OR","EQY_CONSOLIDATED=Y","SCALING_FORMAT=MLN","Sort=A","Dates=H","DateFormat=P","Fill=—","Direction=H","UseDPDF=Y")</f>
        <v>#NAME?</v>
      </c>
      <c r="CA63" s="3" t="e">
        <f ca="1">_xll.BDH($C$53,"BS_LT_BORROW","FY 2016","FY 2016","Currency=INR","Period=FY","BEST_FPERIOD_OVERRIDE=FY","FILING_STATUS=OR","EQY_CONSOLIDATED=Y","SCALING_FORMAT=MLN","Sort=A","Dates=H","DateFormat=P","Fill=—","Direction=H","UseDPDF=Y")</f>
        <v>#NAME?</v>
      </c>
      <c r="CB63" s="2" t="e">
        <f ca="1">_xll.BDH($C$53,"TOT_DEBT_TO_EBITDA","FY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3" s="2" t="e">
        <f ca="1">_xll.BDH($C$53,"NET_DEBT_TO_EBITDA","FY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3" s="2" t="e">
        <f ca="1">_xll.BDH($C$53,"TOTAL_DEBT_TO_EBIT","FY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3" s="2" t="e">
        <f ca="1">_xll.BDH($C$53,"NET_DEBT_TO_EBIT","FY 2016","FY 2016","Currency=INR","Period=FY","BEST_FPERIOD_OVERRIDE=FY","FILING_STATUS=OR","EQY_CONSOLIDATED=Y","FA_ADJUSTED=GAAP","Sort=A","Dates=H","DateFormat=P","Fill=—","Direction=H","UseDPDF=Y")</f>
        <v>#NAME?</v>
      </c>
      <c r="CF63" s="2" t="e">
        <f ca="1">_xll.BDH($C$53,"EBITDA_TO_INTEREST_EXPN","FY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3" s="2" t="e">
        <f ca="1">_xll.BDH($C$53,"COM_EQY_TO_TOT_ASSET","FY 2016","FY 2016","Currency=INR","Period=FY","BEST_FPERIOD_OVERRIDE=FY","FILING_STATUS=OR","EQY_CONSOLIDATED=Y","Sort=A","Dates=H","DateFormat=P","Fill=—","Direction=H","UseDPDF=Y")</f>
        <v>#NAME?</v>
      </c>
      <c r="CH63" s="2" t="e">
        <f ca="1">_xll.BDH($C$53,"LT_DEBT_TO_TOT_EQY","FY 2016","FY 2016","Currency=INR","Period=FY","BEST_FPERIOD_OVERRIDE=FY","FILING_STATUS=OR","EQY_CONSOLIDATED=Y","Sort=A","Dates=H","DateFormat=P","Fill=—","Direction=H","UseDPDF=Y")</f>
        <v>#NAME?</v>
      </c>
      <c r="CI63" s="2" t="e">
        <f ca="1">_xll.BDH($C$53,"LT_DEBT_TO_TOT_CAP","FY 2016","FY 2016","Currency=INR","Period=FY","BEST_FPERIOD_OVERRIDE=FY","FILING_STATUS=OR","EQY_CONSOLIDATED=Y","Sort=A","Dates=H","DateFormat=P","Fill=—","Direction=H","UseDPDF=Y")</f>
        <v>#NAME?</v>
      </c>
      <c r="CJ63" s="2" t="e">
        <f ca="1">_xll.BDH($C$53,"LT_DEBT_TO_TOT_ASSET","FY 2016","FY 2016","Currency=INR","Period=FY","BEST_FPERIOD_OVERRIDE=FY","FILING_STATUS=OR","EQY_CONSOLIDATED=Y","Sort=A","Dates=H","DateFormat=P","Fill=—","Direction=H","UseDPDF=Y")</f>
        <v>#NAME?</v>
      </c>
      <c r="CK63" s="2" t="e">
        <f ca="1">_xll.BDH($C$53,"TOT_DEBT_TO_TOT_EQY","FY 2016","FY 2016","Currency=INR","Period=FY","BEST_FPERIOD_OVERRIDE=FY","FILING_STATUS=OR","EQY_CONSOLIDATED=Y","Sort=A","Dates=H","DateFormat=P","Fill=—","Direction=H","UseDPDF=Y")</f>
        <v>#NAME?</v>
      </c>
      <c r="CL63" s="2" t="e">
        <f ca="1">_xll.BDH($C$53,"TOT_DEBT_TO_TOT_CAP","FY 2016","FY 2016","Currency=INR","Period=FY","BEST_FPERIOD_OVERRIDE=FY","FILING_STATUS=OR","EQY_CONSOLIDATED=Y","Sort=A","Dates=H","DateFormat=P","Fill=—","Direction=H","UseDPDF=Y")</f>
        <v>#NAME?</v>
      </c>
      <c r="CM63" s="2" t="e">
        <f ca="1">_xll.BDH($C$53,"TOT_DEBT_TO_TOT_ASSET","FY 2016","FY 2016","Currency=INR","Period=FY","BEST_FPERIOD_OVERRIDE=FY","FILING_STATUS=OR","EQY_CONSOLIDATED=Y","Sort=A","Dates=H","DateFormat=P","Fill=—","Direction=H","UseDPDF=Y")</f>
        <v>#NAME?</v>
      </c>
      <c r="CN63" s="2" t="e">
        <f ca="1">_xll.BDH($C$53,"NET_DEBT_TO_SHRHLDR_EQTY","FY 2016","FY 2016","Currency=INR","Period=FY","BEST_FPERIOD_OVERRIDE=FY","FILING_STATUS=OR","EQY_CONSOLIDATED=Y","Sort=A","Dates=H","DateFormat=P","Fill=—","Direction=H","UseDPDF=Y")</f>
        <v>#NAME?</v>
      </c>
      <c r="CO63" s="2" t="e">
        <f ca="1">_xll.BDH($C$53,"NET_DEBT_%_CAPITAL","FY 2016","FY 2016","Currency=INR","Period=FY","BEST_FPERIOD_OVERRIDE=FY","FILING_STATUS=OR","EQY_CONSOLIDATED=Y","Sort=A","Dates=H","DateFormat=P","Fill=—","Direction=H","UseDPDF=Y")</f>
        <v>#NAME?</v>
      </c>
      <c r="CP63" s="3" t="e">
        <f ca="1">_xll.BDH($C$53,"EBITDA","FY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3" s="3" t="e">
        <f ca="1">_xll.BDH($C$53,"EBITDA_AFTER_CAPEX","FY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3" s="3" t="e">
        <f ca="1">_xll.BDH($C$53,"IS_OPER_INC","FY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3" s="2" t="e">
        <f ca="1">_xll.BDH($C$53,"CASH_RATIO","FY 2016","FY 2016","Currency=INR","Period=FY","BEST_FPERIOD_OVERRIDE=FY","FILING_STATUS=OR","EQY_CONSOLIDATED=Y","Sort=A","Dates=H","DateFormat=P","Fill=—","Direction=H","UseDPDF=Y")</f>
        <v>#NAME?</v>
      </c>
      <c r="CT63" s="2" t="e">
        <f ca="1">_xll.BDH($C$53,"CUR_RATIO","FY 2016","FY 2016","Currency=INR","Period=FY","BEST_FPERIOD_OVERRIDE=FY","FILING_STATUS=OR","EQY_CONSOLIDATED=Y","Sort=A","Dates=H","DateFormat=P","Fill=—","Direction=H","UseDPDF=Y")</f>
        <v>#NAME?</v>
      </c>
      <c r="CU63" s="2" t="e">
        <f ca="1">_xll.BDH($C$53,"QUICK_RATIO","FY 2016","FY 2016","Currency=INR","Period=FY","BEST_FPERIOD_OVERRIDE=FY","FILING_STATUS=OR","EQY_CONSOLIDATED=Y","Sort=A","Dates=H","DateFormat=P","Fill=—","Direction=H","UseDPDF=Y")</f>
        <v>#NAME?</v>
      </c>
      <c r="CV63" s="2" t="e">
        <f ca="1">_xll.BDH($C$53,"ALTMAN_Z_SCORE","FY 2016","FY 2016","Currency=INR","Period=FY","BEST_FPERIOD_OVERRIDE=FY","FILING_STATUS=OR","EQY_CONSOLIDATED=Y","Sort=A","Dates=H","DateFormat=P","Fill=—","Direction=H","UseDPDF=Y")</f>
        <v>#NAME?</v>
      </c>
      <c r="CW63" s="4" t="e">
        <f ca="1">_xll.BDH($C$53,"ACCT_RCV_TURN","FY 2016","FY 2016","Currency=INR","Period=FY","BEST_FPERIOD_OVERRIDE=FY","FILING_STATUS=OR","EQY_CONSOLIDATED=Y","FA_ADJUSTED=GAAP","Sort=A","Dates=H","DateFormat=P","Fill=—","Direction=H","UseDPDF=Y")</f>
        <v>#NAME?</v>
      </c>
      <c r="CX63" s="2" t="e">
        <f ca="1">_xll.BDH($C$53,"ACCT_RCV_DAYS","FY 2016","FY 2016","Currency=INR","Period=FY","BEST_FPERIOD_OVERRIDE=FY","FILING_STATUS=OR","EQY_CONSOLIDATED=Y","FA_ADJUSTED=GAAP","Sort=A","Dates=H","DateFormat=P","Fill=—","Direction=H","UseDPDF=Y")</f>
        <v>#NAME?</v>
      </c>
      <c r="CY63" s="4" t="e">
        <f ca="1">_xll.BDH($C$53,"INVENT_TURN","FY 2016","FY 2016","Currency=INR","Period=FY","BEST_FPERIOD_OVERRIDE=FY","FILING_STATUS=OR","EQY_CONSOLIDATED=Y","FA_ADJUSTED=GAAP","Sort=A","Dates=H","DateFormat=P","Fill=—","Direction=H","UseDPDF=Y")</f>
        <v>#NAME?</v>
      </c>
      <c r="CZ63" s="2" t="e">
        <f ca="1">_xll.BDH($C$53,"INVENT_DAYS","FY 2016","FY 2016","Currency=INR","Period=FY","BEST_FPERIOD_OVERRIDE=FY","FILING_STATUS=OR","EQY_CONSOLIDATED=Y","FA_ADJUSTED=GAAP","Sort=A","Dates=H","DateFormat=P","Fill=—","Direction=H","UseDPDF=Y")</f>
        <v>#NAME?</v>
      </c>
      <c r="DA63" s="4" t="e">
        <f ca="1">_xll.BDH($C$53,"ACCOUNTS_PAYABLE_TURNOVER","FY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3" s="2" t="e">
        <f ca="1">_xll.BDH($C$53,"ACCOUNTS_PAYABLE_TURNOVER_DAYS","FY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3" s="4" t="e">
        <f ca="1">_xll.BDH($C$53,"CASH_CONVERSION_CYCLE","FY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3" s="4" t="e">
        <f ca="1">_xll.BDH($C$53,"INV_TO_CASH_DAYS","FY 2016","FY 2016","Currency=INR","Period=FY","BEST_FPERIOD_OVERRIDE=FY","FILING_STATUS=OR","EQY_CONSOLIDATED=Y","FA_ADJUSTED=GAAP","Sort=A","Dates=H","DateFormat=P","Fill=—","Direction=H","UseDPDF=Y")</f>
        <v>#NAME?</v>
      </c>
      <c r="DE63" s="5" t="e">
        <f ca="1">_xll.BDH($C$53,"BS_INVENTORIES","FY 2016","FY 2016","Currency=INR","Period=FY","BEST_FPERIOD_OVERRIDE=FY","FILING_STATUS=OR","EQY_CONSOLIDATED=Y","SCALING_FORMAT=MLN","Sort=A","Dates=H","DateFormat=P","Fill=—","Direction=H","UseDPDF=Y")</f>
        <v>#NAME?</v>
      </c>
      <c r="DF63" s="3" t="e">
        <f ca="1">_xll.BDH($C$53,"INVTRY_RAW_MATERIALS","FY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3" s="3" t="e">
        <f ca="1">_xll.BDH($C$53,"INVTRY_IN_PROGRESS","FY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3" s="3" t="e">
        <f ca="1">_xll.BDH($C$53,"INVTRY_FINISHED_GOODS","FY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3" s="3" t="e">
        <f ca="1">_xll.BDH($C$53,"BS_OTHER_INV","FY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4" spans="1:113" x14ac:dyDescent="0.3">
      <c r="A64" s="6"/>
      <c r="B64" s="6"/>
      <c r="C64" s="6"/>
      <c r="D64" s="6"/>
      <c r="E64" t="s">
        <v>78</v>
      </c>
      <c r="F64" t="e">
        <f ca="1">_xll.BDH($C$53,"RETURN_COM_EQY","FQ1 2016","FQ1 2016","Currency=INR","Period=FQ","BEST_FPERIOD_OVERRIDE=FQ","FILING_STATUS=OR","EQY_CONSOLIDATED=Y","FA_ADJUSTED=GAAP","Sort=A","Dates=H","DateFormat=P","Fill=—","Direction=H","UseDPDF=Y")</f>
        <v>#NAME?</v>
      </c>
      <c r="G64" t="e">
        <f ca="1">_xll.BDH($C$53,"RETURN_ON_ASSET","FQ1 2016","FQ1 2016","Currency=INR","Period=FQ","BEST_FPERIOD_OVERRIDE=FQ","FILING_STATUS=OR","EQY_CONSOLIDATED=Y","FA_ADJUSTED=GAAP","Sort=A","Dates=H","DateFormat=P","Fill=—","Direction=H","UseDPDF=Y")</f>
        <v>#NAME?</v>
      </c>
      <c r="H64" t="e">
        <f ca="1">_xll.BDH($C$53,"RETURN_ON_CAP","FQ1 2016","FQ1 2016","Currency=INR","Period=FQ","BEST_FPERIOD_OVERRIDE=FQ","FILING_STATUS=OR","EQY_CONSOLIDATED=Y","FA_ADJUSTED=GAAP","Sort=A","Dates=H","DateFormat=P","Fill=—","Direction=H","UseDPDF=Y")</f>
        <v>#NAME?</v>
      </c>
      <c r="I64" t="e">
        <f ca="1">_xll.BDH($C$53,"RETURN_ON_INV_CAPITAL","FQ1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4" t="e">
        <f ca="1">_xll.BDH($C$53,"EBITDA_TO_REVENUE","FQ1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4" t="e">
        <f ca="1">_xll.BDH($C$53,"OPER_MARGIN","FQ1 2016","FQ1 2016","Currency=INR","Period=FQ","BEST_FPERIOD_OVERRIDE=FQ","FILING_STATUS=OR","EQY_CONSOLIDATED=Y","FA_ADJUSTED=GAAP","Sort=A","Dates=H","DateFormat=P","Fill=—","Direction=H","UseDPDF=Y")</f>
        <v>#NAME?</v>
      </c>
      <c r="L64" t="e">
        <f ca="1">_xll.BDH($C$53,"INCREMENTAL_OPERATING_MARGIN","FQ1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4" t="e">
        <f ca="1">_xll.BDH($C$53,"PRETAX_INC_TO_NET_SALES","FQ1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4" t="e">
        <f ca="1">_xll.BDH($C$53,"INC_BEF_XO_ITEMS_TO_NET_SALES","FQ1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4" t="e">
        <f ca="1">_xll.BDH($C$53,"PROF_MARGIN","FQ1 2016","FQ1 2016","Currency=INR","Period=FQ","BEST_FPERIOD_OVERRIDE=FQ","FILING_STATUS=OR","EQY_CONSOLIDATED=Y","FA_ADJUSTED=GAAP","Sort=A","Dates=H","DateFormat=P","Fill=—","Direction=H","UseDPDF=Y")</f>
        <v>#NAME?</v>
      </c>
      <c r="P64" t="e">
        <f ca="1">_xll.BDH($C$53,"NET_INCOME_TO_COMMON_MARGIN","FQ1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4" t="e">
        <f ca="1">_xll.BDH($C$53,"EFF_TAX_RATE","FQ1 2016","FQ1 2016","Currency=INR","Period=FQ","BEST_FPERIOD_OVERRIDE=FQ","FILING_STATUS=OR","EQY_CONSOLIDATED=Y","FA_ADJUSTED=GAAP","Sort=A","Dates=H","DateFormat=P","Fill=—","Direction=H","UseDPDF=Y")</f>
        <v>#NAME?</v>
      </c>
      <c r="R64" t="e">
        <f ca="1">_xll.BDH($C$53,"DVD_PAYOUT_RATIO","FQ1 2016","FQ1 2016","Currency=INR","Period=FQ","BEST_FPERIOD_OVERRIDE=FQ","FILING_STATUS=OR","EQY_CONSOLIDATED=Y","FA_ADJUSTED=GAAP","Sort=A","Dates=H","DateFormat=P","Fill=—","Direction=H","UseDPDF=Y")</f>
        <v>#NAME?</v>
      </c>
      <c r="S64" t="e">
        <f ca="1">_xll.BDH($C$53,"SUSTAIN_GROWTH_RT","FQ1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4" s="2" t="e">
        <f ca="1">_xll.BDH($C$53,"SALES_GROWTH","FQ1 2016","FQ1 2016","Currency=INR","Period=FQ","BEST_FPERIOD_OVERRIDE=FQ","FILING_STATUS=OR","EQY_CONSOLIDATED=Y","FA_ADJUSTED=GAAP","Sort=A","Dates=H","DateFormat=P","Fill=—","Direction=H","UseDPDF=Y")</f>
        <v>#NAME?</v>
      </c>
      <c r="U64" s="2" t="e">
        <f ca="1">_xll.BDH($C$53,"EBITDA_GROWTH","FQ1 2016","FQ1 2016","Currency=INR","Period=FQ","BEST_FPERIOD_OVERRIDE=FQ","FILING_STATUS=OR","EQY_CONSOLIDATED=Y","FA_ADJUSTED=GAAP","Sort=A","Dates=H","DateFormat=P","Fill=—","Direction=H","UseDPDF=Y")</f>
        <v>#NAME?</v>
      </c>
      <c r="V64" s="2" t="e">
        <f ca="1">_xll.BDH($C$53,"OPER_INC_GROWTH","FQ1 2016","FQ1 2016","Currency=INR","Period=FQ","BEST_FPERIOD_OVERRIDE=FQ","FILING_STATUS=OR","EQY_CONSOLIDATED=Y","FA_ADJUSTED=GAAP","Sort=A","Dates=H","DateFormat=P","Fill=—","Direction=H","UseDPDF=Y")</f>
        <v>#NAME?</v>
      </c>
      <c r="W64" s="2" t="e">
        <f ca="1">_xll.BDH($C$53,"EARN_FOR_COM_GROWTH","FQ1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4" s="2" t="e">
        <f ca="1">_xll.BDH($C$53,"DILUTED_EPS_AFT_XO_ITEMS_GROWTH","FQ1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4" s="2" t="e">
        <f ca="1">_xll.BDH($C$53,"DIVIDEND_PER_SHARE_1_YEAR_GROWTH","FQ1 2016","FQ1 2016","Currency=INR","Period=FQ","BEST_FPERIOD_OVERRIDE=FQ","FILING_STATUS=OR","EQY_CONSOLIDATED=Y","Sort=A","Dates=H","DateFormat=P","Fill=—","Direction=H","UseDPDF=Y")</f>
        <v>#NAME?</v>
      </c>
      <c r="Z64" s="2" t="e">
        <f ca="1">_xll.BDH($C$53,"ACCOUNTS_RECEIVABLE_GROWTH","FQ1 2016","FQ1 2016","Currency=INR","Period=FQ","BEST_FPERIOD_OVERRIDE=FQ","FILING_STATUS=OR","EQY_CONSOLIDATED=Y","Sort=A","Dates=H","DateFormat=P","Fill=—","Direction=H","UseDPDF=Y")</f>
        <v>#NAME?</v>
      </c>
      <c r="AA64" s="2" t="e">
        <f ca="1">_xll.BDH($C$53,"INVENTORY_GROWTH","FQ1 2016","FQ1 2016","Currency=INR","Period=FQ","BEST_FPERIOD_OVERRIDE=FQ","FILING_STATUS=OR","EQY_CONSOLIDATED=Y","Sort=A","Dates=H","DateFormat=P","Fill=—","Direction=H","UseDPDF=Y")</f>
        <v>#NAME?</v>
      </c>
      <c r="AB64" s="2" t="e">
        <f ca="1">_xll.BDH($C$53,"NET_FIXED_ASSETS_1_YEAR_GROWTH","FQ1 2016","FQ1 2016","Currency=INR","Period=FQ","BEST_FPERIOD_OVERRIDE=FQ","FILING_STATUS=OR","EQY_CONSOLIDATED=Y","Sort=A","Dates=H","DateFormat=P","Fill=—","Direction=H","UseDPDF=Y")</f>
        <v>#NAME?</v>
      </c>
      <c r="AC64" s="2" t="e">
        <f ca="1">_xll.BDH($C$53,"ASSET_GROWTH","FQ1 2016","FQ1 2016","Currency=INR","Period=FQ","BEST_FPERIOD_OVERRIDE=FQ","FILING_STATUS=OR","EQY_CONSOLIDATED=Y","Sort=A","Dates=H","DateFormat=P","Fill=—","Direction=H","UseDPDF=Y")</f>
        <v>#NAME?</v>
      </c>
      <c r="AD64" s="2" t="e">
        <f ca="1">_xll.BDH($C$53,"MODIFIED_WORK_CAP_GROWTH","FQ1 2016","FQ1 2016","Currency=INR","Period=FQ","BEST_FPERIOD_OVERRIDE=FQ","FILING_STATUS=OR","EQY_CONSOLIDATED=Y","Sort=A","Dates=H","DateFormat=P","Fill=—","Direction=H","UseDPDF=Y")</f>
        <v>#NAME?</v>
      </c>
      <c r="AE64" s="2" t="e">
        <f ca="1">_xll.BDH($C$53,"WORK_CAP_GROWTH","FQ1 2016","FQ1 2016","Currency=INR","Period=FQ","BEST_FPERIOD_OVERRIDE=FQ","FILING_STATUS=OR","EQY_CONSOLIDATED=Y","Sort=A","Dates=H","DateFormat=P","Fill=—","Direction=H","UseDPDF=Y")</f>
        <v>#NAME?</v>
      </c>
      <c r="AF64" s="2" t="e">
        <f ca="1">_xll.BDH($C$53,"ACCOUNTS_PAYABLE_GROWTH_1YR","FQ1 2016","FQ1 2016","Currency=INR","Period=FQ","BEST_FPERIOD_OVERRIDE=FQ","FILING_STATUS=OR","EQY_CONSOLIDATED=Y","Sort=A","Dates=H","DateFormat=P","Fill=—","Direction=H","UseDPDF=Y")</f>
        <v>#NAME?</v>
      </c>
      <c r="AG64" s="2" t="e">
        <f ca="1">_xll.BDH($C$53,"SHORT_TERM_DEBT_1_YEAR_GROWTH","FQ1 2016","FQ1 2016","Currency=INR","Period=FQ","BEST_FPERIOD_OVERRIDE=FQ","FILING_STATUS=OR","EQY_CONSOLIDATED=Y","Sort=A","Dates=H","DateFormat=P","Fill=—","Direction=H","UseDPDF=Y")</f>
        <v>#NAME?</v>
      </c>
      <c r="AH64" s="2" t="e">
        <f ca="1">_xll.BDH($C$53,"TOTAL_DEBT_1_YEAR_GROWTH","FQ1 2016","FQ1 2016","Currency=INR","Period=FQ","BEST_FPERIOD_OVERRIDE=FQ","FILING_STATUS=OR","EQY_CONSOLIDATED=Y","Sort=A","Dates=H","DateFormat=P","Fill=—","Direction=H","UseDPDF=Y")</f>
        <v>#NAME?</v>
      </c>
      <c r="AI64" s="2" t="e">
        <f ca="1">_xll.BDH($C$53,"TOTAL_EQUITY_1_YEAR_GROWTH","FQ1 2016","FQ1 2016","Currency=INR","Period=FQ","BEST_FPERIOD_OVERRIDE=FQ","FILING_STATUS=OR","EQY_CONSOLIDATED=Y","Sort=A","Dates=H","DateFormat=P","Fill=—","Direction=H","UseDPDF=Y")</f>
        <v>#NAME?</v>
      </c>
      <c r="AJ64" s="2" t="e">
        <f ca="1">_xll.BDH($C$53,"GROWTH_IN_CAP","FQ1 2016","FQ1 2016","Currency=INR","Period=FQ","BEST_FPERIOD_OVERRIDE=FQ","FILING_STATUS=OR","EQY_CONSOLIDATED=Y","Sort=A","Dates=H","DateFormat=P","Fill=—","Direction=H","UseDPDF=Y")</f>
        <v>#NAME?</v>
      </c>
      <c r="AK64" s="2" t="e">
        <f ca="1">_xll.BDH($C$53,"BVPS_GROWTH","FQ1 2016","FQ1 2016","Currency=INR","Period=FQ","BEST_FPERIOD_OVERRIDE=FQ","FILING_STATUS=OR","EQY_CONSOLIDATED=Y","Sort=A","Dates=H","DateFormat=P","Fill=—","Direction=H","UseDPDF=Y")</f>
        <v>#NAME?</v>
      </c>
      <c r="AL64" s="2" t="e">
        <f ca="1">_xll.BDH($C$53,"CASH_FLOW_GROWTH","FQ1 2016","FQ1 2016","Currency=INR","Period=FQ","BEST_FPERIOD_OVERRIDE=FQ","FILING_STATUS=OR","EQY_CONSOLIDATED=Y","Sort=A","Dates=H","DateFormat=P","Fill=—","Direction=H","UseDPDF=Y")</f>
        <v>#NAME?</v>
      </c>
      <c r="AM64" s="2" t="e">
        <f ca="1">_xll.BDH($C$53,"GEO_GROW_NET_SALES","FQ1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4" s="2" t="e">
        <f ca="1">_xll.BDH($C$53,"GEO_GROW_EBITDA","FQ1 2016","FQ1 2016","Currency=INR","Period=FQ","BEST_FPERIOD_OVERRIDE=FQ","FILING_STATUS=OR","EQY_CONSOLIDATED=Y","FA_ADJUSTED=GAAP","Sort=A","Dates=H","DateFormat=P","Fill=—","Direction=H","UseDPDF=Y")</f>
        <v>#NAME?</v>
      </c>
      <c r="AO64" s="2" t="e">
        <f ca="1">_xll.BDH($C$53,"GEO_GROW_OPER_INC","FQ1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4" s="2" t="e">
        <f ca="1">_xll.BDH($C$53,"NET_INCOME_TO_COMMON_5_YR_GROWTH","FQ1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4" s="2" t="e">
        <f ca="1">_xll.BDH($C$53,"5Y_GEO_GROWTH_DILUTED_EPS","FQ1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4" s="2" t="e">
        <f ca="1">_xll.BDH($C$53,"GEO_GROW_DVD_PER_SH","FQ1 2016","FQ1 2016","Currency=INR","Period=FQ","BEST_FPERIOD_OVERRIDE=FQ","FILING_STATUS=OR","EQY_CONSOLIDATED=Y","Sort=A","Dates=H","DateFormat=P","Fill=—","Direction=H","UseDPDF=Y")</f>
        <v>#NAME?</v>
      </c>
      <c r="AS64" s="2" t="e">
        <f ca="1">_xll.BDH($C$53,"ACCOUNTS_RECEIVABLE_5_YR_GROWTH","FQ1 2016","FQ1 2016","Currency=INR","Period=FQ","BEST_FPERIOD_OVERRIDE=FQ","FILING_STATUS=OR","EQY_CONSOLIDATED=Y","Sort=A","Dates=H","DateFormat=P","Fill=—","Direction=H","UseDPDF=Y")</f>
        <v>#NAME?</v>
      </c>
      <c r="AT64" s="2" t="e">
        <f ca="1">_xll.BDH($C$53,"INVENTORY_5_YEAR_GROWTH","FQ1 2016","FQ1 2016","Currency=INR","Period=FQ","BEST_FPERIOD_OVERRIDE=FQ","FILING_STATUS=OR","EQY_CONSOLIDATED=Y","Sort=A","Dates=H","DateFormat=P","Fill=—","Direction=H","UseDPDF=Y")</f>
        <v>#NAME?</v>
      </c>
      <c r="AU64" s="2" t="e">
        <f ca="1">_xll.BDH($C$53,"NET_FIXED_ASSETS_5_YEAR_GROWTH","FQ1 2016","FQ1 2016","Currency=INR","Period=FQ","BEST_FPERIOD_OVERRIDE=FQ","FILING_STATUS=OR","EQY_CONSOLIDATED=Y","Sort=A","Dates=H","DateFormat=P","Fill=—","Direction=H","UseDPDF=Y")</f>
        <v>#NAME?</v>
      </c>
      <c r="AV64" s="2" t="e">
        <f ca="1">_xll.BDH($C$53,"GEO_GROW_TOT_ASSET","FQ1 2016","FQ1 2016","Currency=INR","Period=FQ","BEST_FPERIOD_OVERRIDE=FQ","FILING_STATUS=OR","EQY_CONSOLIDATED=Y","Sort=A","Dates=H","DateFormat=P","Fill=—","Direction=H","UseDPDF=Y")</f>
        <v>#NAME?</v>
      </c>
      <c r="AW64" s="2" t="e">
        <f ca="1">_xll.BDH($C$53,"MODIFIED_WORKING_CPTL_5YR_GRWTH","FQ1 2016","FQ1 2016","Currency=INR","Period=FQ","BEST_FPERIOD_OVERRIDE=FQ","FILING_STATUS=OR","EQY_CONSOLIDATED=Y","Sort=A","Dates=H","DateFormat=P","Fill=—","Direction=H","UseDPDF=Y")</f>
        <v>#NAME?</v>
      </c>
      <c r="AX64" s="2" t="e">
        <f ca="1">_xll.BDH($C$53,"WORKING_CAPITAL_5_YEAR_GROWTH","FQ1 2016","FQ1 2016","Currency=INR","Period=FQ","BEST_FPERIOD_OVERRIDE=FQ","FILING_STATUS=OR","EQY_CONSOLIDATED=Y","Sort=A","Dates=H","DateFormat=P","Fill=—","Direction=H","UseDPDF=Y")</f>
        <v>#NAME?</v>
      </c>
      <c r="AY64" s="2" t="e">
        <f ca="1">_xll.BDH($C$53,"ACCOUNTS_PAYABLE_5_YEAR_GROWTH","FQ1 2016","FQ1 2016","Currency=INR","Period=FQ","BEST_FPERIOD_OVERRIDE=FQ","FILING_STATUS=OR","EQY_CONSOLIDATED=Y","Sort=A","Dates=H","DateFormat=P","Fill=—","Direction=H","UseDPDF=Y")</f>
        <v>#NAME?</v>
      </c>
      <c r="AZ64" s="2" t="e">
        <f ca="1">_xll.BDH($C$53,"SHORT_TERM_DEBT_5_YEAR_GROWTH","FQ1 2016","FQ1 2016","Currency=INR","Period=FQ","BEST_FPERIOD_OVERRIDE=FQ","FILING_STATUS=OR","EQY_CONSOLIDATED=Y","Sort=A","Dates=H","DateFormat=P","Fill=—","Direction=H","UseDPDF=Y")</f>
        <v>#NAME?</v>
      </c>
      <c r="BA64" s="2" t="e">
        <f ca="1">_xll.BDH($C$53,"TOTAL_DEBT_5_YEAR_GROWTH","FQ1 2016","FQ1 2016","Currency=INR","Period=FQ","BEST_FPERIOD_OVERRIDE=FQ","FILING_STATUS=OR","EQY_CONSOLIDATED=Y","Sort=A","Dates=H","DateFormat=P","Fill=—","Direction=H","UseDPDF=Y")</f>
        <v>#NAME?</v>
      </c>
      <c r="BB64" s="2" t="e">
        <f ca="1">_xll.BDH($C$53,"GEO_GROW_TOT_SHRHLDR_EQY","FQ1 2016","FQ1 2016","Currency=INR","Period=FQ","BEST_FPERIOD_OVERRIDE=FQ","FILING_STATUS=OR","EQY_CONSOLIDATED=Y","Sort=A","Dates=H","DateFormat=P","Fill=—","Direction=H","UseDPDF=Y")</f>
        <v>#NAME?</v>
      </c>
      <c r="BC64" s="2" t="e">
        <f ca="1">_xll.BDH($C$53,"TOTAL_CAPITAL_5_YEAR_GROWTH","FQ1 2016","FQ1 2016","Currency=INR","Period=FQ","BEST_FPERIOD_OVERRIDE=FQ","FILING_STATUS=OR","EQY_CONSOLIDATED=Y","Sort=A","Dates=H","DateFormat=P","Fill=—","Direction=H","UseDPDF=Y")</f>
        <v>#NAME?</v>
      </c>
      <c r="BD64" s="2" t="e">
        <f ca="1">_xll.BDH($C$53,"GEO_GROW_BOOK_VAL","FQ1 2016","FQ1 2016","Currency=INR","Period=FQ","BEST_FPERIOD_OVERRIDE=FQ","FILING_STATUS=OR","EQY_CONSOLIDATED=Y","Sort=A","Dates=H","DateFormat=P","Fill=—","Direction=H","UseDPDF=Y")</f>
        <v>#NAME?</v>
      </c>
      <c r="BE64" s="2" t="e">
        <f ca="1">_xll.BDH($C$53,"GEO_GROW_CASH_OPER_ACT","FQ1 2016","FQ1 2016","Currency=INR","Period=FQ","BEST_FPERIOD_OVERRIDE=FQ","FILING_STATUS=OR","EQY_CONSOLIDATED=Y","Sort=A","Dates=H","DateFormat=P","Fill=—","Direction=H","UseDPDF=Y")</f>
        <v>#NAME?</v>
      </c>
      <c r="BF64" s="2" t="e">
        <f ca="1">_xll.BDH($C$53,"REVENUE_SEQUENTIAL_GROWTH","FQ1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4" s="2" t="e">
        <f ca="1">_xll.BDH($C$53,"EBITDA_SEQUENTIAL_GROWTH","FQ1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4" s="2" t="e">
        <f ca="1">_xll.BDH($C$53,"OPERATING_INCOME_SEQ_GROWTH","FQ1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4" s="2" t="e">
        <f ca="1">_xll.BDH($C$53,"NET_INCOME_TO_COMMON_SEQ_GROWTH","FQ1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4" s="2" t="e">
        <f ca="1">_xll.BDH($C$53,"EPS_DILUTED_SEQUENTIAL_GROWTH","FQ1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4" s="2" t="e">
        <f ca="1">_xll.BDH($C$53,"DPS_SEQUENTIAL_GROWTH","FQ1 2016","FQ1 2016","Currency=INR","Period=FQ","BEST_FPERIOD_OVERRIDE=FQ","FILING_STATUS=OR","EQY_CONSOLIDATED=Y","Sort=A","Dates=H","DateFormat=P","Fill=—","Direction=H","UseDPDF=Y")</f>
        <v>#NAME?</v>
      </c>
      <c r="BL64" s="2" t="e">
        <f ca="1">_xll.BDH($C$53,"ACCOUNTS_RECEIVABLE_SEQ_GROWTH","FQ1 2016","FQ1 2016","Currency=INR","Period=FQ","BEST_FPERIOD_OVERRIDE=FQ","FILING_STATUS=OR","EQY_CONSOLIDATED=Y","Sort=A","Dates=H","DateFormat=P","Fill=—","Direction=H","UseDPDF=Y")</f>
        <v>#NAME?</v>
      </c>
      <c r="BM64" s="2" t="e">
        <f ca="1">_xll.BDH($C$53,"INVENTORY_SEQUENTIAL_GROWTH","FQ1 2016","FQ1 2016","Currency=INR","Period=FQ","BEST_FPERIOD_OVERRIDE=FQ","FILING_STATUS=OR","EQY_CONSOLIDATED=Y","Sort=A","Dates=H","DateFormat=P","Fill=—","Direction=H","UseDPDF=Y")</f>
        <v>#NAME?</v>
      </c>
      <c r="BN64" s="2" t="e">
        <f ca="1">_xll.BDH($C$53,"FIXED_ASSETS_SEQUENTIAL_GROWTH","FQ1 2016","FQ1 2016","Currency=INR","Period=FQ","BEST_FPERIOD_OVERRIDE=FQ","FILING_STATUS=OR","EQY_CONSOLIDATED=Y","Sort=A","Dates=H","DateFormat=P","Fill=—","Direction=H","UseDPDF=Y")</f>
        <v>#NAME?</v>
      </c>
      <c r="BO64" s="2" t="e">
        <f ca="1">_xll.BDH($C$53,"TOTAL_ASSETS_SEQUENTIAL_GROWTH","FQ1 2016","FQ1 2016","Currency=INR","Period=FQ","BEST_FPERIOD_OVERRIDE=FQ","FILING_STATUS=OR","EQY_CONSOLIDATED=Y","Sort=A","Dates=H","DateFormat=P","Fill=—","Direction=H","UseDPDF=Y")</f>
        <v>#NAME?</v>
      </c>
      <c r="BP64" s="2" t="e">
        <f ca="1">_xll.BDH($C$53,"MODIFIED_WORKING_CPTL_SEQ_GRWTH","FQ1 2016","FQ1 2016","Currency=INR","Period=FQ","BEST_FPERIOD_OVERRIDE=FQ","FILING_STATUS=OR","EQY_CONSOLIDATED=Y","Sort=A","Dates=H","DateFormat=P","Fill=—","Direction=H","UseDPDF=Y")</f>
        <v>#NAME?</v>
      </c>
      <c r="BQ64" s="2" t="e">
        <f ca="1">_xll.BDH($C$53,"WORKING_CAPITAL_SEQ_GROWTH","FQ1 2016","FQ1 2016","Currency=INR","Period=FQ","BEST_FPERIOD_OVERRIDE=FQ","FILING_STATUS=OR","EQY_CONSOLIDATED=Y","Sort=A","Dates=H","DateFormat=P","Fill=—","Direction=H","UseDPDF=Y")</f>
        <v>#NAME?</v>
      </c>
      <c r="BR64" s="2" t="e">
        <f ca="1">_xll.BDH($C$53,"ACCOUNTS_PAYABLE_SEQ_GROWTH","FQ1 2016","FQ1 2016","Currency=INR","Period=FQ","BEST_FPERIOD_OVERRIDE=FQ","FILING_STATUS=OR","EQY_CONSOLIDATED=Y","Sort=A","Dates=H","DateFormat=P","Fill=—","Direction=H","UseDPDF=Y")</f>
        <v>#NAME?</v>
      </c>
      <c r="BS64" s="2" t="e">
        <f ca="1">_xll.BDH($C$53,"ST_DEBT_SEQUENTIAL_GROWTH","FQ1 2016","FQ1 2016","Currency=INR","Period=FQ","BEST_FPERIOD_OVERRIDE=FQ","FILING_STATUS=OR","EQY_CONSOLIDATED=Y","Sort=A","Dates=H","DateFormat=P","Fill=—","Direction=H","UseDPDF=Y")</f>
        <v>#NAME?</v>
      </c>
      <c r="BT64" s="2" t="e">
        <f ca="1">_xll.BDH($C$53,"TOTAL_DEBT_SEQUENTIAL_GROWTH","FQ1 2016","FQ1 2016","Currency=INR","Period=FQ","BEST_FPERIOD_OVERRIDE=FQ","FILING_STATUS=OR","EQY_CONSOLIDATED=Y","Sort=A","Dates=H","DateFormat=P","Fill=—","Direction=H","UseDPDF=Y")</f>
        <v>#NAME?</v>
      </c>
      <c r="BU64" s="2" t="e">
        <f ca="1">_xll.BDH($C$53,"TOTAL_EQUITY_SEQUENTIAL_GROWTH","FQ1 2016","FQ1 2016","Currency=INR","Period=FQ","BEST_FPERIOD_OVERRIDE=FQ","FILING_STATUS=OR","EQY_CONSOLIDATED=Y","Sort=A","Dates=H","DateFormat=P","Fill=—","Direction=H","UseDPDF=Y")</f>
        <v>#NAME?</v>
      </c>
      <c r="BV64" s="2" t="e">
        <f ca="1">_xll.BDH($C$53,"TOTAL_CAPITAL_SEQUENTIAL_GROWTH","FQ1 2016","FQ1 2016","Currency=INR","Period=FQ","BEST_FPERIOD_OVERRIDE=FQ","FILING_STATUS=OR","EQY_CONSOLIDATED=Y","Sort=A","Dates=H","DateFormat=P","Fill=—","Direction=H","UseDPDF=Y")</f>
        <v>#NAME?</v>
      </c>
      <c r="BW64" s="2" t="e">
        <f ca="1">_xll.BDH($C$53,"BPS_SEQUENTIAL_GROWTH","FQ1 2016","FQ1 2016","Currency=INR","Period=FQ","BEST_FPERIOD_OVERRIDE=FQ","FILING_STATUS=OR","EQY_CONSOLIDATED=Y","Sort=A","Dates=H","DateFormat=P","Fill=—","Direction=H","UseDPDF=Y")</f>
        <v>#NAME?</v>
      </c>
      <c r="BX64" s="2" t="e">
        <f ca="1">_xll.BDH($C$53,"CFO_SEQUENTIAL_GROWTH","FQ1 2016","FQ1 2016","Currency=INR","Period=FQ","BEST_FPERIOD_OVERRIDE=FQ","FILING_STATUS=OR","EQY_CONSOLIDATED=Y","Sort=A","Dates=H","DateFormat=P","Fill=—","Direction=H","UseDPDF=Y")</f>
        <v>#NAME?</v>
      </c>
      <c r="BY64" s="3" t="e">
        <f ca="1">_xll.BDH($C$53,"SHORT_AND_LONG_TERM_DEBT","FQ1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4" s="3" t="e">
        <f ca="1">_xll.BDH($C$53,"BS_ST_BORROW","FQ1 2016","FQ1 2016","Currency=INR","Period=FQ","BEST_FPERIOD_OVERRIDE=FQ","FILING_STATUS=OR","EQY_CONSOLIDATED=Y","SCALING_FORMAT=MLN","Sort=A","Dates=H","DateFormat=P","Fill=—","Direction=H","UseDPDF=Y")</f>
        <v>#NAME?</v>
      </c>
      <c r="CA64" s="3" t="e">
        <f ca="1">_xll.BDH($C$53,"BS_LT_BORROW","FQ1 2016","FQ1 2016","Currency=INR","Period=FQ","BEST_FPERIOD_OVERRIDE=FQ","FILING_STATUS=OR","EQY_CONSOLIDATED=Y","SCALING_FORMAT=MLN","Sort=A","Dates=H","DateFormat=P","Fill=—","Direction=H","UseDPDF=Y")</f>
        <v>#NAME?</v>
      </c>
      <c r="CB64" s="2" t="e">
        <f ca="1">_xll.BDH($C$53,"TOT_DEBT_TO_EBITDA","FQ1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4" s="2" t="e">
        <f ca="1">_xll.BDH($C$53,"NET_DEBT_TO_EBITDA","FQ1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4" s="2" t="e">
        <f ca="1">_xll.BDH($C$53,"TOTAL_DEBT_TO_EBIT","FQ1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4" s="2" t="e">
        <f ca="1">_xll.BDH($C$53,"NET_DEBT_TO_EBIT","FQ1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4" s="2" t="e">
        <f ca="1">_xll.BDH($C$53,"EBITDA_TO_INTEREST_EXPN","FQ1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4" s="2" t="e">
        <f ca="1">_xll.BDH($C$53,"COM_EQY_TO_TOT_ASSET","FQ1 2016","FQ1 2016","Currency=INR","Period=FQ","BEST_FPERIOD_OVERRIDE=FQ","FILING_STATUS=OR","EQY_CONSOLIDATED=Y","Sort=A","Dates=H","DateFormat=P","Fill=—","Direction=H","UseDPDF=Y")</f>
        <v>#NAME?</v>
      </c>
      <c r="CH64" s="2" t="e">
        <f ca="1">_xll.BDH($C$53,"LT_DEBT_TO_TOT_EQY","FQ1 2016","FQ1 2016","Currency=INR","Period=FQ","BEST_FPERIOD_OVERRIDE=FQ","FILING_STATUS=OR","EQY_CONSOLIDATED=Y","Sort=A","Dates=H","DateFormat=P","Fill=—","Direction=H","UseDPDF=Y")</f>
        <v>#NAME?</v>
      </c>
      <c r="CI64" s="2" t="e">
        <f ca="1">_xll.BDH($C$53,"LT_DEBT_TO_TOT_CAP","FQ1 2016","FQ1 2016","Currency=INR","Period=FQ","BEST_FPERIOD_OVERRIDE=FQ","FILING_STATUS=OR","EQY_CONSOLIDATED=Y","Sort=A","Dates=H","DateFormat=P","Fill=—","Direction=H","UseDPDF=Y")</f>
        <v>#NAME?</v>
      </c>
      <c r="CJ64" s="2" t="e">
        <f ca="1">_xll.BDH($C$53,"LT_DEBT_TO_TOT_ASSET","FQ1 2016","FQ1 2016","Currency=INR","Period=FQ","BEST_FPERIOD_OVERRIDE=FQ","FILING_STATUS=OR","EQY_CONSOLIDATED=Y","Sort=A","Dates=H","DateFormat=P","Fill=—","Direction=H","UseDPDF=Y")</f>
        <v>#NAME?</v>
      </c>
      <c r="CK64" s="2" t="e">
        <f ca="1">_xll.BDH($C$53,"TOT_DEBT_TO_TOT_EQY","FQ1 2016","FQ1 2016","Currency=INR","Period=FQ","BEST_FPERIOD_OVERRIDE=FQ","FILING_STATUS=OR","EQY_CONSOLIDATED=Y","Sort=A","Dates=H","DateFormat=P","Fill=—","Direction=H","UseDPDF=Y")</f>
        <v>#NAME?</v>
      </c>
      <c r="CL64" s="2" t="e">
        <f ca="1">_xll.BDH($C$53,"TOT_DEBT_TO_TOT_CAP","FQ1 2016","FQ1 2016","Currency=INR","Period=FQ","BEST_FPERIOD_OVERRIDE=FQ","FILING_STATUS=OR","EQY_CONSOLIDATED=Y","Sort=A","Dates=H","DateFormat=P","Fill=—","Direction=H","UseDPDF=Y")</f>
        <v>#NAME?</v>
      </c>
      <c r="CM64" s="2" t="e">
        <f ca="1">_xll.BDH($C$53,"TOT_DEBT_TO_TOT_ASSET","FQ1 2016","FQ1 2016","Currency=INR","Period=FQ","BEST_FPERIOD_OVERRIDE=FQ","FILING_STATUS=OR","EQY_CONSOLIDATED=Y","Sort=A","Dates=H","DateFormat=P","Fill=—","Direction=H","UseDPDF=Y")</f>
        <v>#NAME?</v>
      </c>
      <c r="CN64" s="2" t="e">
        <f ca="1">_xll.BDH($C$53,"NET_DEBT_TO_SHRHLDR_EQTY","FQ1 2016","FQ1 2016","Currency=INR","Period=FQ","BEST_FPERIOD_OVERRIDE=FQ","FILING_STATUS=OR","EQY_CONSOLIDATED=Y","Sort=A","Dates=H","DateFormat=P","Fill=—","Direction=H","UseDPDF=Y")</f>
        <v>#NAME?</v>
      </c>
      <c r="CO64" s="2" t="e">
        <f ca="1">_xll.BDH($C$53,"NET_DEBT_%_CAPITAL","FQ1 2016","FQ1 2016","Currency=INR","Period=FQ","BEST_FPERIOD_OVERRIDE=FQ","FILING_STATUS=OR","EQY_CONSOLIDATED=Y","Sort=A","Dates=H","DateFormat=P","Fill=—","Direction=H","UseDPDF=Y")</f>
        <v>#NAME?</v>
      </c>
      <c r="CP64" s="3" t="e">
        <f ca="1">_xll.BDH($C$53,"EBITDA","FQ1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4" s="3" t="e">
        <f ca="1">_xll.BDH($C$53,"EBITDA_AFTER_CAPEX","FQ1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4" s="3" t="e">
        <f ca="1">_xll.BDH($C$53,"IS_OPER_INC","FQ1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4" s="2" t="e">
        <f ca="1">_xll.BDH($C$53,"CASH_RATIO","FQ1 2016","FQ1 2016","Currency=INR","Period=FQ","BEST_FPERIOD_OVERRIDE=FQ","FILING_STATUS=OR","EQY_CONSOLIDATED=Y","Sort=A","Dates=H","DateFormat=P","Fill=—","Direction=H","UseDPDF=Y")</f>
        <v>#NAME?</v>
      </c>
      <c r="CT64" s="2" t="e">
        <f ca="1">_xll.BDH($C$53,"CUR_RATIO","FQ1 2016","FQ1 2016","Currency=INR","Period=FQ","BEST_FPERIOD_OVERRIDE=FQ","FILING_STATUS=OR","EQY_CONSOLIDATED=Y","Sort=A","Dates=H","DateFormat=P","Fill=—","Direction=H","UseDPDF=Y")</f>
        <v>#NAME?</v>
      </c>
      <c r="CU64" s="2" t="e">
        <f ca="1">_xll.BDH($C$53,"QUICK_RATIO","FQ1 2016","FQ1 2016","Currency=INR","Period=FQ","BEST_FPERIOD_OVERRIDE=FQ","FILING_STATUS=OR","EQY_CONSOLIDATED=Y","Sort=A","Dates=H","DateFormat=P","Fill=—","Direction=H","UseDPDF=Y")</f>
        <v>#NAME?</v>
      </c>
      <c r="CV64" s="2" t="e">
        <f ca="1">_xll.BDH($C$53,"ALTMAN_Z_SCORE","FQ1 2016","FQ1 2016","Currency=INR","Period=FQ","BEST_FPERIOD_OVERRIDE=FQ","FILING_STATUS=OR","EQY_CONSOLIDATED=Y","Sort=A","Dates=H","DateFormat=P","Fill=—","Direction=H","UseDPDF=Y")</f>
        <v>#NAME?</v>
      </c>
      <c r="CW64" s="4" t="e">
        <f ca="1">_xll.BDH($C$53,"ACCT_RCV_TURN","FQ1 2016","FQ1 2016","Currency=INR","Period=FQ","BEST_FPERIOD_OVERRIDE=FQ","FILING_STATUS=OR","EQY_CONSOLIDATED=Y","FA_ADJUSTED=GAAP","Sort=A","Dates=H","DateFormat=P","Fill=—","Direction=H","UseDPDF=Y")</f>
        <v>#NAME?</v>
      </c>
      <c r="CX64" s="2" t="e">
        <f ca="1">_xll.BDH($C$53,"ACCT_RCV_DAYS","FQ1 2016","FQ1 2016","Currency=INR","Period=FQ","BEST_FPERIOD_OVERRIDE=FQ","FILING_STATUS=OR","EQY_CONSOLIDATED=Y","FA_ADJUSTED=GAAP","Sort=A","Dates=H","DateFormat=P","Fill=—","Direction=H","UseDPDF=Y")</f>
        <v>#NAME?</v>
      </c>
      <c r="CY64" s="4" t="e">
        <f ca="1">_xll.BDH($C$53,"INVENT_TURN","FQ1 2016","FQ1 2016","Currency=INR","Period=FQ","BEST_FPERIOD_OVERRIDE=FQ","FILING_STATUS=OR","EQY_CONSOLIDATED=Y","FA_ADJUSTED=GAAP","Sort=A","Dates=H","DateFormat=P","Fill=—","Direction=H","UseDPDF=Y")</f>
        <v>#NAME?</v>
      </c>
      <c r="CZ64" s="2" t="e">
        <f ca="1">_xll.BDH($C$53,"INVENT_DAYS","FQ1 2016","FQ1 2016","Currency=INR","Period=FQ","BEST_FPERIOD_OVERRIDE=FQ","FILING_STATUS=OR","EQY_CONSOLIDATED=Y","FA_ADJUSTED=GAAP","Sort=A","Dates=H","DateFormat=P","Fill=—","Direction=H","UseDPDF=Y")</f>
        <v>#NAME?</v>
      </c>
      <c r="DA64" s="4" t="e">
        <f ca="1">_xll.BDH($C$53,"ACCOUNTS_PAYABLE_TURNOVER","FQ1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4" s="2" t="e">
        <f ca="1">_xll.BDH($C$53,"ACCOUNTS_PAYABLE_TURNOVER_DAYS","FQ1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4" s="4" t="e">
        <f ca="1">_xll.BDH($C$53,"CASH_CONVERSION_CYCLE","FQ1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4" s="4" t="e">
        <f ca="1">_xll.BDH($C$53,"INV_TO_CASH_DAYS","FQ1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4" s="5" t="e">
        <f ca="1">_xll.BDH($C$53,"BS_INVENTORIES","FQ1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4" s="3" t="e">
        <f ca="1">_xll.BDH($C$53,"INVTRY_RAW_MATERIALS","FQ1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4" s="3" t="e">
        <f ca="1">_xll.BDH($C$53,"INVTRY_IN_PROGRESS","FQ1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4" s="3" t="e">
        <f ca="1">_xll.BDH($C$53,"INVTRY_FINISHED_GOODS","FQ1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4" s="3" t="e">
        <f ca="1">_xll.BDH($C$53,"BS_OTHER_INV","FQ1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5" spans="1:113" x14ac:dyDescent="0.3">
      <c r="A65" s="6"/>
      <c r="B65" s="6"/>
      <c r="C65" s="6"/>
      <c r="D65" s="6"/>
      <c r="E65" t="s">
        <v>79</v>
      </c>
      <c r="F65" t="e">
        <f ca="1">_xll.BDH($C$53,"RETURN_COM_EQY","FQ2 2016","FQ2 2016","Currency=INR","Period=FQ","BEST_FPERIOD_OVERRIDE=FQ","FILING_STATUS=OR","EQY_CONSOLIDATED=Y","FA_ADJUSTED=GAAP","Sort=A","Dates=H","DateFormat=P","Fill=—","Direction=H","UseDPDF=Y")</f>
        <v>#NAME?</v>
      </c>
      <c r="G65" t="e">
        <f ca="1">_xll.BDH($C$53,"RETURN_ON_ASSET","FQ2 2016","FQ2 2016","Currency=INR","Period=FQ","BEST_FPERIOD_OVERRIDE=FQ","FILING_STATUS=OR","EQY_CONSOLIDATED=Y","FA_ADJUSTED=GAAP","Sort=A","Dates=H","DateFormat=P","Fill=—","Direction=H","UseDPDF=Y")</f>
        <v>#NAME?</v>
      </c>
      <c r="H65" t="e">
        <f ca="1">_xll.BDH($C$53,"RETURN_ON_CAP","FQ2 2016","FQ2 2016","Currency=INR","Period=FQ","BEST_FPERIOD_OVERRIDE=FQ","FILING_STATUS=OR","EQY_CONSOLIDATED=Y","FA_ADJUSTED=GAAP","Sort=A","Dates=H","DateFormat=P","Fill=—","Direction=H","UseDPDF=Y")</f>
        <v>#NAME?</v>
      </c>
      <c r="I65" t="e">
        <f ca="1">_xll.BDH($C$53,"RETURN_ON_INV_CAPITAL","FQ2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5" t="e">
        <f ca="1">_xll.BDH($C$53,"EBITDA_TO_REVENUE","FQ2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5" t="e">
        <f ca="1">_xll.BDH($C$53,"OPER_MARGIN","FQ2 2016","FQ2 2016","Currency=INR","Period=FQ","BEST_FPERIOD_OVERRIDE=FQ","FILING_STATUS=OR","EQY_CONSOLIDATED=Y","FA_ADJUSTED=GAAP","Sort=A","Dates=H","DateFormat=P","Fill=—","Direction=H","UseDPDF=Y")</f>
        <v>#NAME?</v>
      </c>
      <c r="L65" t="e">
        <f ca="1">_xll.BDH($C$53,"INCREMENTAL_OPERATING_MARGIN","FQ2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5" t="e">
        <f ca="1">_xll.BDH($C$53,"PRETAX_INC_TO_NET_SALES","FQ2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5" t="e">
        <f ca="1">_xll.BDH($C$53,"INC_BEF_XO_ITEMS_TO_NET_SALES","FQ2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5" t="e">
        <f ca="1">_xll.BDH($C$53,"PROF_MARGIN","FQ2 2016","FQ2 2016","Currency=INR","Period=FQ","BEST_FPERIOD_OVERRIDE=FQ","FILING_STATUS=OR","EQY_CONSOLIDATED=Y","FA_ADJUSTED=GAAP","Sort=A","Dates=H","DateFormat=P","Fill=—","Direction=H","UseDPDF=Y")</f>
        <v>#NAME?</v>
      </c>
      <c r="P65" t="e">
        <f ca="1">_xll.BDH($C$53,"NET_INCOME_TO_COMMON_MARGIN","FQ2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5" t="e">
        <f ca="1">_xll.BDH($C$53,"EFF_TAX_RATE","FQ2 2016","FQ2 2016","Currency=INR","Period=FQ","BEST_FPERIOD_OVERRIDE=FQ","FILING_STATUS=OR","EQY_CONSOLIDATED=Y","FA_ADJUSTED=GAAP","Sort=A","Dates=H","DateFormat=P","Fill=—","Direction=H","UseDPDF=Y")</f>
        <v>#NAME?</v>
      </c>
      <c r="R65" t="e">
        <f ca="1">_xll.BDH($C$53,"DVD_PAYOUT_RATIO","FQ2 2016","FQ2 2016","Currency=INR","Period=FQ","BEST_FPERIOD_OVERRIDE=FQ","FILING_STATUS=OR","EQY_CONSOLIDATED=Y","FA_ADJUSTED=GAAP","Sort=A","Dates=H","DateFormat=P","Fill=—","Direction=H","UseDPDF=Y")</f>
        <v>#NAME?</v>
      </c>
      <c r="S65" t="e">
        <f ca="1">_xll.BDH($C$53,"SUSTAIN_GROWTH_RT","FQ2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5" s="2" t="e">
        <f ca="1">_xll.BDH($C$53,"SALES_GROWTH","FQ2 2016","FQ2 2016","Currency=INR","Period=FQ","BEST_FPERIOD_OVERRIDE=FQ","FILING_STATUS=OR","EQY_CONSOLIDATED=Y","FA_ADJUSTED=GAAP","Sort=A","Dates=H","DateFormat=P","Fill=—","Direction=H","UseDPDF=Y")</f>
        <v>#NAME?</v>
      </c>
      <c r="U65" s="2" t="e">
        <f ca="1">_xll.BDH($C$53,"EBITDA_GROWTH","FQ2 2016","FQ2 2016","Currency=INR","Period=FQ","BEST_FPERIOD_OVERRIDE=FQ","FILING_STATUS=OR","EQY_CONSOLIDATED=Y","FA_ADJUSTED=GAAP","Sort=A","Dates=H","DateFormat=P","Fill=—","Direction=H","UseDPDF=Y")</f>
        <v>#NAME?</v>
      </c>
      <c r="V65" s="2" t="e">
        <f ca="1">_xll.BDH($C$53,"OPER_INC_GROWTH","FQ2 2016","FQ2 2016","Currency=INR","Period=FQ","BEST_FPERIOD_OVERRIDE=FQ","FILING_STATUS=OR","EQY_CONSOLIDATED=Y","FA_ADJUSTED=GAAP","Sort=A","Dates=H","DateFormat=P","Fill=—","Direction=H","UseDPDF=Y")</f>
        <v>#NAME?</v>
      </c>
      <c r="W65" s="2" t="e">
        <f ca="1">_xll.BDH($C$53,"EARN_FOR_COM_GROWTH","FQ2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5" s="2" t="e">
        <f ca="1">_xll.BDH($C$53,"DILUTED_EPS_AFT_XO_ITEMS_GROWTH","FQ2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5" s="2" t="e">
        <f ca="1">_xll.BDH($C$53,"DIVIDEND_PER_SHARE_1_YEAR_GROWTH","FQ2 2016","FQ2 2016","Currency=INR","Period=FQ","BEST_FPERIOD_OVERRIDE=FQ","FILING_STATUS=OR","EQY_CONSOLIDATED=Y","Sort=A","Dates=H","DateFormat=P","Fill=—","Direction=H","UseDPDF=Y")</f>
        <v>#NAME?</v>
      </c>
      <c r="Z65" s="2" t="e">
        <f ca="1">_xll.BDH($C$53,"ACCOUNTS_RECEIVABLE_GROWTH","FQ2 2016","FQ2 2016","Currency=INR","Period=FQ","BEST_FPERIOD_OVERRIDE=FQ","FILING_STATUS=OR","EQY_CONSOLIDATED=Y","Sort=A","Dates=H","DateFormat=P","Fill=—","Direction=H","UseDPDF=Y")</f>
        <v>#NAME?</v>
      </c>
      <c r="AA65" s="2" t="e">
        <f ca="1">_xll.BDH($C$53,"INVENTORY_GROWTH","FQ2 2016","FQ2 2016","Currency=INR","Period=FQ","BEST_FPERIOD_OVERRIDE=FQ","FILING_STATUS=OR","EQY_CONSOLIDATED=Y","Sort=A","Dates=H","DateFormat=P","Fill=—","Direction=H","UseDPDF=Y")</f>
        <v>#NAME?</v>
      </c>
      <c r="AB65" s="2" t="e">
        <f ca="1">_xll.BDH($C$53,"NET_FIXED_ASSETS_1_YEAR_GROWTH","FQ2 2016","FQ2 2016","Currency=INR","Period=FQ","BEST_FPERIOD_OVERRIDE=FQ","FILING_STATUS=OR","EQY_CONSOLIDATED=Y","Sort=A","Dates=H","DateFormat=P","Fill=—","Direction=H","UseDPDF=Y")</f>
        <v>#NAME?</v>
      </c>
      <c r="AC65" s="2" t="e">
        <f ca="1">_xll.BDH($C$53,"ASSET_GROWTH","FQ2 2016","FQ2 2016","Currency=INR","Period=FQ","BEST_FPERIOD_OVERRIDE=FQ","FILING_STATUS=OR","EQY_CONSOLIDATED=Y","Sort=A","Dates=H","DateFormat=P","Fill=—","Direction=H","UseDPDF=Y")</f>
        <v>#NAME?</v>
      </c>
      <c r="AD65" s="2" t="e">
        <f ca="1">_xll.BDH($C$53,"MODIFIED_WORK_CAP_GROWTH","FQ2 2016","FQ2 2016","Currency=INR","Period=FQ","BEST_FPERIOD_OVERRIDE=FQ","FILING_STATUS=OR","EQY_CONSOLIDATED=Y","Sort=A","Dates=H","DateFormat=P","Fill=—","Direction=H","UseDPDF=Y")</f>
        <v>#NAME?</v>
      </c>
      <c r="AE65" s="2" t="e">
        <f ca="1">_xll.BDH($C$53,"WORK_CAP_GROWTH","FQ2 2016","FQ2 2016","Currency=INR","Period=FQ","BEST_FPERIOD_OVERRIDE=FQ","FILING_STATUS=OR","EQY_CONSOLIDATED=Y","Sort=A","Dates=H","DateFormat=P","Fill=—","Direction=H","UseDPDF=Y")</f>
        <v>#NAME?</v>
      </c>
      <c r="AF65" s="2" t="e">
        <f ca="1">_xll.BDH($C$53,"ACCOUNTS_PAYABLE_GROWTH_1YR","FQ2 2016","FQ2 2016","Currency=INR","Period=FQ","BEST_FPERIOD_OVERRIDE=FQ","FILING_STATUS=OR","EQY_CONSOLIDATED=Y","Sort=A","Dates=H","DateFormat=P","Fill=—","Direction=H","UseDPDF=Y")</f>
        <v>#NAME?</v>
      </c>
      <c r="AG65" s="2" t="e">
        <f ca="1">_xll.BDH($C$53,"SHORT_TERM_DEBT_1_YEAR_GROWTH","FQ2 2016","FQ2 2016","Currency=INR","Period=FQ","BEST_FPERIOD_OVERRIDE=FQ","FILING_STATUS=OR","EQY_CONSOLIDATED=Y","Sort=A","Dates=H","DateFormat=P","Fill=—","Direction=H","UseDPDF=Y")</f>
        <v>#NAME?</v>
      </c>
      <c r="AH65" s="2" t="e">
        <f ca="1">_xll.BDH($C$53,"TOTAL_DEBT_1_YEAR_GROWTH","FQ2 2016","FQ2 2016","Currency=INR","Period=FQ","BEST_FPERIOD_OVERRIDE=FQ","FILING_STATUS=OR","EQY_CONSOLIDATED=Y","Sort=A","Dates=H","DateFormat=P","Fill=—","Direction=H","UseDPDF=Y")</f>
        <v>#NAME?</v>
      </c>
      <c r="AI65" s="2" t="e">
        <f ca="1">_xll.BDH($C$53,"TOTAL_EQUITY_1_YEAR_GROWTH","FQ2 2016","FQ2 2016","Currency=INR","Period=FQ","BEST_FPERIOD_OVERRIDE=FQ","FILING_STATUS=OR","EQY_CONSOLIDATED=Y","Sort=A","Dates=H","DateFormat=P","Fill=—","Direction=H","UseDPDF=Y")</f>
        <v>#NAME?</v>
      </c>
      <c r="AJ65" s="2" t="e">
        <f ca="1">_xll.BDH($C$53,"GROWTH_IN_CAP","FQ2 2016","FQ2 2016","Currency=INR","Period=FQ","BEST_FPERIOD_OVERRIDE=FQ","FILING_STATUS=OR","EQY_CONSOLIDATED=Y","Sort=A","Dates=H","DateFormat=P","Fill=—","Direction=H","UseDPDF=Y")</f>
        <v>#NAME?</v>
      </c>
      <c r="AK65" s="2" t="e">
        <f ca="1">_xll.BDH($C$53,"BVPS_GROWTH","FQ2 2016","FQ2 2016","Currency=INR","Period=FQ","BEST_FPERIOD_OVERRIDE=FQ","FILING_STATUS=OR","EQY_CONSOLIDATED=Y","Sort=A","Dates=H","DateFormat=P","Fill=—","Direction=H","UseDPDF=Y")</f>
        <v>#NAME?</v>
      </c>
      <c r="AL65" s="2" t="e">
        <f ca="1">_xll.BDH($C$53,"CASH_FLOW_GROWTH","FQ2 2016","FQ2 2016","Currency=INR","Period=FQ","BEST_FPERIOD_OVERRIDE=FQ","FILING_STATUS=OR","EQY_CONSOLIDATED=Y","Sort=A","Dates=H","DateFormat=P","Fill=—","Direction=H","UseDPDF=Y")</f>
        <v>#NAME?</v>
      </c>
      <c r="AM65" s="2" t="e">
        <f ca="1">_xll.BDH($C$53,"GEO_GROW_NET_SALES","FQ2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5" s="2" t="e">
        <f ca="1">_xll.BDH($C$53,"GEO_GROW_EBITDA","FQ2 2016","FQ2 2016","Currency=INR","Period=FQ","BEST_FPERIOD_OVERRIDE=FQ","FILING_STATUS=OR","EQY_CONSOLIDATED=Y","FA_ADJUSTED=GAAP","Sort=A","Dates=H","DateFormat=P","Fill=—","Direction=H","UseDPDF=Y")</f>
        <v>#NAME?</v>
      </c>
      <c r="AO65" s="2" t="e">
        <f ca="1">_xll.BDH($C$53,"GEO_GROW_OPER_INC","FQ2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5" s="2" t="e">
        <f ca="1">_xll.BDH($C$53,"NET_INCOME_TO_COMMON_5_YR_GROWTH","FQ2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5" s="2" t="e">
        <f ca="1">_xll.BDH($C$53,"5Y_GEO_GROWTH_DILUTED_EPS","FQ2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5" s="2" t="e">
        <f ca="1">_xll.BDH($C$53,"GEO_GROW_DVD_PER_SH","FQ2 2016","FQ2 2016","Currency=INR","Period=FQ","BEST_FPERIOD_OVERRIDE=FQ","FILING_STATUS=OR","EQY_CONSOLIDATED=Y","Sort=A","Dates=H","DateFormat=P","Fill=—","Direction=H","UseDPDF=Y")</f>
        <v>#NAME?</v>
      </c>
      <c r="AS65" s="2" t="e">
        <f ca="1">_xll.BDH($C$53,"ACCOUNTS_RECEIVABLE_5_YR_GROWTH","FQ2 2016","FQ2 2016","Currency=INR","Period=FQ","BEST_FPERIOD_OVERRIDE=FQ","FILING_STATUS=OR","EQY_CONSOLIDATED=Y","Sort=A","Dates=H","DateFormat=P","Fill=—","Direction=H","UseDPDF=Y")</f>
        <v>#NAME?</v>
      </c>
      <c r="AT65" s="2" t="e">
        <f ca="1">_xll.BDH($C$53,"INVENTORY_5_YEAR_GROWTH","FQ2 2016","FQ2 2016","Currency=INR","Period=FQ","BEST_FPERIOD_OVERRIDE=FQ","FILING_STATUS=OR","EQY_CONSOLIDATED=Y","Sort=A","Dates=H","DateFormat=P","Fill=—","Direction=H","UseDPDF=Y")</f>
        <v>#NAME?</v>
      </c>
      <c r="AU65" s="2" t="e">
        <f ca="1">_xll.BDH($C$53,"NET_FIXED_ASSETS_5_YEAR_GROWTH","FQ2 2016","FQ2 2016","Currency=INR","Period=FQ","BEST_FPERIOD_OVERRIDE=FQ","FILING_STATUS=OR","EQY_CONSOLIDATED=Y","Sort=A","Dates=H","DateFormat=P","Fill=—","Direction=H","UseDPDF=Y")</f>
        <v>#NAME?</v>
      </c>
      <c r="AV65" s="2" t="e">
        <f ca="1">_xll.BDH($C$53,"GEO_GROW_TOT_ASSET","FQ2 2016","FQ2 2016","Currency=INR","Period=FQ","BEST_FPERIOD_OVERRIDE=FQ","FILING_STATUS=OR","EQY_CONSOLIDATED=Y","Sort=A","Dates=H","DateFormat=P","Fill=—","Direction=H","UseDPDF=Y")</f>
        <v>#NAME?</v>
      </c>
      <c r="AW65" s="2" t="e">
        <f ca="1">_xll.BDH($C$53,"MODIFIED_WORKING_CPTL_5YR_GRWTH","FQ2 2016","FQ2 2016","Currency=INR","Period=FQ","BEST_FPERIOD_OVERRIDE=FQ","FILING_STATUS=OR","EQY_CONSOLIDATED=Y","Sort=A","Dates=H","DateFormat=P","Fill=—","Direction=H","UseDPDF=Y")</f>
        <v>#NAME?</v>
      </c>
      <c r="AX65" s="2" t="e">
        <f ca="1">_xll.BDH($C$53,"WORKING_CAPITAL_5_YEAR_GROWTH","FQ2 2016","FQ2 2016","Currency=INR","Period=FQ","BEST_FPERIOD_OVERRIDE=FQ","FILING_STATUS=OR","EQY_CONSOLIDATED=Y","Sort=A","Dates=H","DateFormat=P","Fill=—","Direction=H","UseDPDF=Y")</f>
        <v>#NAME?</v>
      </c>
      <c r="AY65" s="2" t="e">
        <f ca="1">_xll.BDH($C$53,"ACCOUNTS_PAYABLE_5_YEAR_GROWTH","FQ2 2016","FQ2 2016","Currency=INR","Period=FQ","BEST_FPERIOD_OVERRIDE=FQ","FILING_STATUS=OR","EQY_CONSOLIDATED=Y","Sort=A","Dates=H","DateFormat=P","Fill=—","Direction=H","UseDPDF=Y")</f>
        <v>#NAME?</v>
      </c>
      <c r="AZ65" s="2" t="e">
        <f ca="1">_xll.BDH($C$53,"SHORT_TERM_DEBT_5_YEAR_GROWTH","FQ2 2016","FQ2 2016","Currency=INR","Period=FQ","BEST_FPERIOD_OVERRIDE=FQ","FILING_STATUS=OR","EQY_CONSOLIDATED=Y","Sort=A","Dates=H","DateFormat=P","Fill=—","Direction=H","UseDPDF=Y")</f>
        <v>#NAME?</v>
      </c>
      <c r="BA65" s="2" t="e">
        <f ca="1">_xll.BDH($C$53,"TOTAL_DEBT_5_YEAR_GROWTH","FQ2 2016","FQ2 2016","Currency=INR","Period=FQ","BEST_FPERIOD_OVERRIDE=FQ","FILING_STATUS=OR","EQY_CONSOLIDATED=Y","Sort=A","Dates=H","DateFormat=P","Fill=—","Direction=H","UseDPDF=Y")</f>
        <v>#NAME?</v>
      </c>
      <c r="BB65" s="2" t="e">
        <f ca="1">_xll.BDH($C$53,"GEO_GROW_TOT_SHRHLDR_EQY","FQ2 2016","FQ2 2016","Currency=INR","Period=FQ","BEST_FPERIOD_OVERRIDE=FQ","FILING_STATUS=OR","EQY_CONSOLIDATED=Y","Sort=A","Dates=H","DateFormat=P","Fill=—","Direction=H","UseDPDF=Y")</f>
        <v>#NAME?</v>
      </c>
      <c r="BC65" s="2" t="e">
        <f ca="1">_xll.BDH($C$53,"TOTAL_CAPITAL_5_YEAR_GROWTH","FQ2 2016","FQ2 2016","Currency=INR","Period=FQ","BEST_FPERIOD_OVERRIDE=FQ","FILING_STATUS=OR","EQY_CONSOLIDATED=Y","Sort=A","Dates=H","DateFormat=P","Fill=—","Direction=H","UseDPDF=Y")</f>
        <v>#NAME?</v>
      </c>
      <c r="BD65" s="2" t="e">
        <f ca="1">_xll.BDH($C$53,"GEO_GROW_BOOK_VAL","FQ2 2016","FQ2 2016","Currency=INR","Period=FQ","BEST_FPERIOD_OVERRIDE=FQ","FILING_STATUS=OR","EQY_CONSOLIDATED=Y","Sort=A","Dates=H","DateFormat=P","Fill=—","Direction=H","UseDPDF=Y")</f>
        <v>#NAME?</v>
      </c>
      <c r="BE65" s="2" t="e">
        <f ca="1">_xll.BDH($C$53,"GEO_GROW_CASH_OPER_ACT","FQ2 2016","FQ2 2016","Currency=INR","Period=FQ","BEST_FPERIOD_OVERRIDE=FQ","FILING_STATUS=OR","EQY_CONSOLIDATED=Y","Sort=A","Dates=H","DateFormat=P","Fill=—","Direction=H","UseDPDF=Y")</f>
        <v>#NAME?</v>
      </c>
      <c r="BF65" s="2" t="e">
        <f ca="1">_xll.BDH($C$53,"REVENUE_SEQUENTIAL_GROWTH","FQ2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5" s="2" t="e">
        <f ca="1">_xll.BDH($C$53,"EBITDA_SEQUENTIAL_GROWTH","FQ2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5" s="2" t="e">
        <f ca="1">_xll.BDH($C$53,"OPERATING_INCOME_SEQ_GROWTH","FQ2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5" s="2" t="e">
        <f ca="1">_xll.BDH($C$53,"NET_INCOME_TO_COMMON_SEQ_GROWTH","FQ2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5" s="2" t="e">
        <f ca="1">_xll.BDH($C$53,"EPS_DILUTED_SEQUENTIAL_GROWTH","FQ2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5" s="2" t="e">
        <f ca="1">_xll.BDH($C$53,"DPS_SEQUENTIAL_GROWTH","FQ2 2016","FQ2 2016","Currency=INR","Period=FQ","BEST_FPERIOD_OVERRIDE=FQ","FILING_STATUS=OR","EQY_CONSOLIDATED=Y","Sort=A","Dates=H","DateFormat=P","Fill=—","Direction=H","UseDPDF=Y")</f>
        <v>#NAME?</v>
      </c>
      <c r="BL65" s="2" t="e">
        <f ca="1">_xll.BDH($C$53,"ACCOUNTS_RECEIVABLE_SEQ_GROWTH","FQ2 2016","FQ2 2016","Currency=INR","Period=FQ","BEST_FPERIOD_OVERRIDE=FQ","FILING_STATUS=OR","EQY_CONSOLIDATED=Y","Sort=A","Dates=H","DateFormat=P","Fill=—","Direction=H","UseDPDF=Y")</f>
        <v>#NAME?</v>
      </c>
      <c r="BM65" s="2" t="e">
        <f ca="1">_xll.BDH($C$53,"INVENTORY_SEQUENTIAL_GROWTH","FQ2 2016","FQ2 2016","Currency=INR","Period=FQ","BEST_FPERIOD_OVERRIDE=FQ","FILING_STATUS=OR","EQY_CONSOLIDATED=Y","Sort=A","Dates=H","DateFormat=P","Fill=—","Direction=H","UseDPDF=Y")</f>
        <v>#NAME?</v>
      </c>
      <c r="BN65" s="2" t="e">
        <f ca="1">_xll.BDH($C$53,"FIXED_ASSETS_SEQUENTIAL_GROWTH","FQ2 2016","FQ2 2016","Currency=INR","Period=FQ","BEST_FPERIOD_OVERRIDE=FQ","FILING_STATUS=OR","EQY_CONSOLIDATED=Y","Sort=A","Dates=H","DateFormat=P","Fill=—","Direction=H","UseDPDF=Y")</f>
        <v>#NAME?</v>
      </c>
      <c r="BO65" s="2" t="e">
        <f ca="1">_xll.BDH($C$53,"TOTAL_ASSETS_SEQUENTIAL_GROWTH","FQ2 2016","FQ2 2016","Currency=INR","Period=FQ","BEST_FPERIOD_OVERRIDE=FQ","FILING_STATUS=OR","EQY_CONSOLIDATED=Y","Sort=A","Dates=H","DateFormat=P","Fill=—","Direction=H","UseDPDF=Y")</f>
        <v>#NAME?</v>
      </c>
      <c r="BP65" s="2" t="e">
        <f ca="1">_xll.BDH($C$53,"MODIFIED_WORKING_CPTL_SEQ_GRWTH","FQ2 2016","FQ2 2016","Currency=INR","Period=FQ","BEST_FPERIOD_OVERRIDE=FQ","FILING_STATUS=OR","EQY_CONSOLIDATED=Y","Sort=A","Dates=H","DateFormat=P","Fill=—","Direction=H","UseDPDF=Y")</f>
        <v>#NAME?</v>
      </c>
      <c r="BQ65" s="2" t="e">
        <f ca="1">_xll.BDH($C$53,"WORKING_CAPITAL_SEQ_GROWTH","FQ2 2016","FQ2 2016","Currency=INR","Period=FQ","BEST_FPERIOD_OVERRIDE=FQ","FILING_STATUS=OR","EQY_CONSOLIDATED=Y","Sort=A","Dates=H","DateFormat=P","Fill=—","Direction=H","UseDPDF=Y")</f>
        <v>#NAME?</v>
      </c>
      <c r="BR65" s="2" t="e">
        <f ca="1">_xll.BDH($C$53,"ACCOUNTS_PAYABLE_SEQ_GROWTH","FQ2 2016","FQ2 2016","Currency=INR","Period=FQ","BEST_FPERIOD_OVERRIDE=FQ","FILING_STATUS=OR","EQY_CONSOLIDATED=Y","Sort=A","Dates=H","DateFormat=P","Fill=—","Direction=H","UseDPDF=Y")</f>
        <v>#NAME?</v>
      </c>
      <c r="BS65" s="2" t="e">
        <f ca="1">_xll.BDH($C$53,"ST_DEBT_SEQUENTIAL_GROWTH","FQ2 2016","FQ2 2016","Currency=INR","Period=FQ","BEST_FPERIOD_OVERRIDE=FQ","FILING_STATUS=OR","EQY_CONSOLIDATED=Y","Sort=A","Dates=H","DateFormat=P","Fill=—","Direction=H","UseDPDF=Y")</f>
        <v>#NAME?</v>
      </c>
      <c r="BT65" s="2" t="e">
        <f ca="1">_xll.BDH($C$53,"TOTAL_DEBT_SEQUENTIAL_GROWTH","FQ2 2016","FQ2 2016","Currency=INR","Period=FQ","BEST_FPERIOD_OVERRIDE=FQ","FILING_STATUS=OR","EQY_CONSOLIDATED=Y","Sort=A","Dates=H","DateFormat=P","Fill=—","Direction=H","UseDPDF=Y")</f>
        <v>#NAME?</v>
      </c>
      <c r="BU65" s="2" t="e">
        <f ca="1">_xll.BDH($C$53,"TOTAL_EQUITY_SEQUENTIAL_GROWTH","FQ2 2016","FQ2 2016","Currency=INR","Period=FQ","BEST_FPERIOD_OVERRIDE=FQ","FILING_STATUS=OR","EQY_CONSOLIDATED=Y","Sort=A","Dates=H","DateFormat=P","Fill=—","Direction=H","UseDPDF=Y")</f>
        <v>#NAME?</v>
      </c>
      <c r="BV65" s="2" t="e">
        <f ca="1">_xll.BDH($C$53,"TOTAL_CAPITAL_SEQUENTIAL_GROWTH","FQ2 2016","FQ2 2016","Currency=INR","Period=FQ","BEST_FPERIOD_OVERRIDE=FQ","FILING_STATUS=OR","EQY_CONSOLIDATED=Y","Sort=A","Dates=H","DateFormat=P","Fill=—","Direction=H","UseDPDF=Y")</f>
        <v>#NAME?</v>
      </c>
      <c r="BW65" s="2" t="e">
        <f ca="1">_xll.BDH($C$53,"BPS_SEQUENTIAL_GROWTH","FQ2 2016","FQ2 2016","Currency=INR","Period=FQ","BEST_FPERIOD_OVERRIDE=FQ","FILING_STATUS=OR","EQY_CONSOLIDATED=Y","Sort=A","Dates=H","DateFormat=P","Fill=—","Direction=H","UseDPDF=Y")</f>
        <v>#NAME?</v>
      </c>
      <c r="BX65" s="2" t="e">
        <f ca="1">_xll.BDH($C$53,"CFO_SEQUENTIAL_GROWTH","FQ2 2016","FQ2 2016","Currency=INR","Period=FQ","BEST_FPERIOD_OVERRIDE=FQ","FILING_STATUS=OR","EQY_CONSOLIDATED=Y","Sort=A","Dates=H","DateFormat=P","Fill=—","Direction=H","UseDPDF=Y")</f>
        <v>#NAME?</v>
      </c>
      <c r="BY65" s="3" t="e">
        <f ca="1">_xll.BDH($C$53,"SHORT_AND_LONG_TERM_DEBT","FQ2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5" s="3" t="e">
        <f ca="1">_xll.BDH($C$53,"BS_ST_BORROW","FQ2 2016","FQ2 2016","Currency=INR","Period=FQ","BEST_FPERIOD_OVERRIDE=FQ","FILING_STATUS=OR","EQY_CONSOLIDATED=Y","SCALING_FORMAT=MLN","Sort=A","Dates=H","DateFormat=P","Fill=—","Direction=H","UseDPDF=Y")</f>
        <v>#NAME?</v>
      </c>
      <c r="CA65" s="3" t="e">
        <f ca="1">_xll.BDH($C$53,"BS_LT_BORROW","FQ2 2016","FQ2 2016","Currency=INR","Period=FQ","BEST_FPERIOD_OVERRIDE=FQ","FILING_STATUS=OR","EQY_CONSOLIDATED=Y","SCALING_FORMAT=MLN","Sort=A","Dates=H","DateFormat=P","Fill=—","Direction=H","UseDPDF=Y")</f>
        <v>#NAME?</v>
      </c>
      <c r="CB65" s="2" t="e">
        <f ca="1">_xll.BDH($C$53,"TOT_DEBT_TO_EBITDA","FQ2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5" s="2" t="e">
        <f ca="1">_xll.BDH($C$53,"NET_DEBT_TO_EBITDA","FQ2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5" s="2" t="e">
        <f ca="1">_xll.BDH($C$53,"TOTAL_DEBT_TO_EBIT","FQ2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5" s="2" t="e">
        <f ca="1">_xll.BDH($C$53,"NET_DEBT_TO_EBIT","FQ2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5" s="2" t="e">
        <f ca="1">_xll.BDH($C$53,"EBITDA_TO_INTEREST_EXPN","FQ2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5" s="2" t="e">
        <f ca="1">_xll.BDH($C$53,"COM_EQY_TO_TOT_ASSET","FQ2 2016","FQ2 2016","Currency=INR","Period=FQ","BEST_FPERIOD_OVERRIDE=FQ","FILING_STATUS=OR","EQY_CONSOLIDATED=Y","Sort=A","Dates=H","DateFormat=P","Fill=—","Direction=H","UseDPDF=Y")</f>
        <v>#NAME?</v>
      </c>
      <c r="CH65" s="2" t="e">
        <f ca="1">_xll.BDH($C$53,"LT_DEBT_TO_TOT_EQY","FQ2 2016","FQ2 2016","Currency=INR","Period=FQ","BEST_FPERIOD_OVERRIDE=FQ","FILING_STATUS=OR","EQY_CONSOLIDATED=Y","Sort=A","Dates=H","DateFormat=P","Fill=—","Direction=H","UseDPDF=Y")</f>
        <v>#NAME?</v>
      </c>
      <c r="CI65" s="2" t="e">
        <f ca="1">_xll.BDH($C$53,"LT_DEBT_TO_TOT_CAP","FQ2 2016","FQ2 2016","Currency=INR","Period=FQ","BEST_FPERIOD_OVERRIDE=FQ","FILING_STATUS=OR","EQY_CONSOLIDATED=Y","Sort=A","Dates=H","DateFormat=P","Fill=—","Direction=H","UseDPDF=Y")</f>
        <v>#NAME?</v>
      </c>
      <c r="CJ65" s="2" t="e">
        <f ca="1">_xll.BDH($C$53,"LT_DEBT_TO_TOT_ASSET","FQ2 2016","FQ2 2016","Currency=INR","Period=FQ","BEST_FPERIOD_OVERRIDE=FQ","FILING_STATUS=OR","EQY_CONSOLIDATED=Y","Sort=A","Dates=H","DateFormat=P","Fill=—","Direction=H","UseDPDF=Y")</f>
        <v>#NAME?</v>
      </c>
      <c r="CK65" s="2" t="e">
        <f ca="1">_xll.BDH($C$53,"TOT_DEBT_TO_TOT_EQY","FQ2 2016","FQ2 2016","Currency=INR","Period=FQ","BEST_FPERIOD_OVERRIDE=FQ","FILING_STATUS=OR","EQY_CONSOLIDATED=Y","Sort=A","Dates=H","DateFormat=P","Fill=—","Direction=H","UseDPDF=Y")</f>
        <v>#NAME?</v>
      </c>
      <c r="CL65" s="2" t="e">
        <f ca="1">_xll.BDH($C$53,"TOT_DEBT_TO_TOT_CAP","FQ2 2016","FQ2 2016","Currency=INR","Period=FQ","BEST_FPERIOD_OVERRIDE=FQ","FILING_STATUS=OR","EQY_CONSOLIDATED=Y","Sort=A","Dates=H","DateFormat=P","Fill=—","Direction=H","UseDPDF=Y")</f>
        <v>#NAME?</v>
      </c>
      <c r="CM65" s="2" t="e">
        <f ca="1">_xll.BDH($C$53,"TOT_DEBT_TO_TOT_ASSET","FQ2 2016","FQ2 2016","Currency=INR","Period=FQ","BEST_FPERIOD_OVERRIDE=FQ","FILING_STATUS=OR","EQY_CONSOLIDATED=Y","Sort=A","Dates=H","DateFormat=P","Fill=—","Direction=H","UseDPDF=Y")</f>
        <v>#NAME?</v>
      </c>
      <c r="CN65" s="2" t="e">
        <f ca="1">_xll.BDH($C$53,"NET_DEBT_TO_SHRHLDR_EQTY","FQ2 2016","FQ2 2016","Currency=INR","Period=FQ","BEST_FPERIOD_OVERRIDE=FQ","FILING_STATUS=OR","EQY_CONSOLIDATED=Y","Sort=A","Dates=H","DateFormat=P","Fill=—","Direction=H","UseDPDF=Y")</f>
        <v>#NAME?</v>
      </c>
      <c r="CO65" s="2" t="e">
        <f ca="1">_xll.BDH($C$53,"NET_DEBT_%_CAPITAL","FQ2 2016","FQ2 2016","Currency=INR","Period=FQ","BEST_FPERIOD_OVERRIDE=FQ","FILING_STATUS=OR","EQY_CONSOLIDATED=Y","Sort=A","Dates=H","DateFormat=P","Fill=—","Direction=H","UseDPDF=Y")</f>
        <v>#NAME?</v>
      </c>
      <c r="CP65" s="3" t="e">
        <f ca="1">_xll.BDH($C$53,"EBITDA","FQ2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5" s="3" t="e">
        <f ca="1">_xll.BDH($C$53,"EBITDA_AFTER_CAPEX","FQ2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5" s="3" t="e">
        <f ca="1">_xll.BDH($C$53,"IS_OPER_INC","FQ2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5" s="2" t="e">
        <f ca="1">_xll.BDH($C$53,"CASH_RATIO","FQ2 2016","FQ2 2016","Currency=INR","Period=FQ","BEST_FPERIOD_OVERRIDE=FQ","FILING_STATUS=OR","EQY_CONSOLIDATED=Y","Sort=A","Dates=H","DateFormat=P","Fill=—","Direction=H","UseDPDF=Y")</f>
        <v>#NAME?</v>
      </c>
      <c r="CT65" s="2" t="e">
        <f ca="1">_xll.BDH($C$53,"CUR_RATIO","FQ2 2016","FQ2 2016","Currency=INR","Period=FQ","BEST_FPERIOD_OVERRIDE=FQ","FILING_STATUS=OR","EQY_CONSOLIDATED=Y","Sort=A","Dates=H","DateFormat=P","Fill=—","Direction=H","UseDPDF=Y")</f>
        <v>#NAME?</v>
      </c>
      <c r="CU65" s="2" t="e">
        <f ca="1">_xll.BDH($C$53,"QUICK_RATIO","FQ2 2016","FQ2 2016","Currency=INR","Period=FQ","BEST_FPERIOD_OVERRIDE=FQ","FILING_STATUS=OR","EQY_CONSOLIDATED=Y","Sort=A","Dates=H","DateFormat=P","Fill=—","Direction=H","UseDPDF=Y")</f>
        <v>#NAME?</v>
      </c>
      <c r="CV65" s="2" t="e">
        <f ca="1">_xll.BDH($C$53,"ALTMAN_Z_SCORE","FQ2 2016","FQ2 2016","Currency=INR","Period=FQ","BEST_FPERIOD_OVERRIDE=FQ","FILING_STATUS=OR","EQY_CONSOLIDATED=Y","Sort=A","Dates=H","DateFormat=P","Fill=—","Direction=H","UseDPDF=Y")</f>
        <v>#NAME?</v>
      </c>
      <c r="CW65" s="4" t="e">
        <f ca="1">_xll.BDH($C$53,"ACCT_RCV_TURN","FQ2 2016","FQ2 2016","Currency=INR","Period=FQ","BEST_FPERIOD_OVERRIDE=FQ","FILING_STATUS=OR","EQY_CONSOLIDATED=Y","FA_ADJUSTED=GAAP","Sort=A","Dates=H","DateFormat=P","Fill=—","Direction=H","UseDPDF=Y")</f>
        <v>#NAME?</v>
      </c>
      <c r="CX65" s="2" t="e">
        <f ca="1">_xll.BDH($C$53,"ACCT_RCV_DAYS","FQ2 2016","FQ2 2016","Currency=INR","Period=FQ","BEST_FPERIOD_OVERRIDE=FQ","FILING_STATUS=OR","EQY_CONSOLIDATED=Y","FA_ADJUSTED=GAAP","Sort=A","Dates=H","DateFormat=P","Fill=—","Direction=H","UseDPDF=Y")</f>
        <v>#NAME?</v>
      </c>
      <c r="CY65" s="4" t="e">
        <f ca="1">_xll.BDH($C$53,"INVENT_TURN","FQ2 2016","FQ2 2016","Currency=INR","Period=FQ","BEST_FPERIOD_OVERRIDE=FQ","FILING_STATUS=OR","EQY_CONSOLIDATED=Y","FA_ADJUSTED=GAAP","Sort=A","Dates=H","DateFormat=P","Fill=—","Direction=H","UseDPDF=Y")</f>
        <v>#NAME?</v>
      </c>
      <c r="CZ65" s="2" t="e">
        <f ca="1">_xll.BDH($C$53,"INVENT_DAYS","FQ2 2016","FQ2 2016","Currency=INR","Period=FQ","BEST_FPERIOD_OVERRIDE=FQ","FILING_STATUS=OR","EQY_CONSOLIDATED=Y","FA_ADJUSTED=GAAP","Sort=A","Dates=H","DateFormat=P","Fill=—","Direction=H","UseDPDF=Y")</f>
        <v>#NAME?</v>
      </c>
      <c r="DA65" s="4" t="e">
        <f ca="1">_xll.BDH($C$53,"ACCOUNTS_PAYABLE_TURNOVER","FQ2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5" s="2" t="e">
        <f ca="1">_xll.BDH($C$53,"ACCOUNTS_PAYABLE_TURNOVER_DAYS","FQ2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5" s="4" t="e">
        <f ca="1">_xll.BDH($C$53,"CASH_CONVERSION_CYCLE","FQ2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5" s="4" t="e">
        <f ca="1">_xll.BDH($C$53,"INV_TO_CASH_DAYS","FQ2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5" s="5" t="e">
        <f ca="1">_xll.BDH($C$53,"BS_INVENTORIES","FQ2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5" s="3" t="e">
        <f ca="1">_xll.BDH($C$53,"INVTRY_RAW_MATERIALS","FQ2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5" s="3" t="e">
        <f ca="1">_xll.BDH($C$53,"INVTRY_IN_PROGRESS","FQ2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5" s="3" t="e">
        <f ca="1">_xll.BDH($C$53,"INVTRY_FINISHED_GOODS","FQ2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5" s="3" t="e">
        <f ca="1">_xll.BDH($C$53,"BS_OTHER_INV","FQ2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6" spans="1:113" x14ac:dyDescent="0.3">
      <c r="A66" s="6"/>
      <c r="B66" s="6"/>
      <c r="C66" s="6"/>
      <c r="D66" s="6"/>
      <c r="E66" t="s">
        <v>80</v>
      </c>
      <c r="F66" t="e">
        <f ca="1">_xll.BDH($C$53,"RETURN_COM_EQY","FQ3 2016","FQ3 2016","Currency=INR","Period=FQ","BEST_FPERIOD_OVERRIDE=FQ","FILING_STATUS=OR","EQY_CONSOLIDATED=Y","FA_ADJUSTED=GAAP","Sort=A","Dates=H","DateFormat=P","Fill=—","Direction=H","UseDPDF=Y")</f>
        <v>#NAME?</v>
      </c>
      <c r="G66" t="e">
        <f ca="1">_xll.BDH($C$53,"RETURN_ON_ASSET","FQ3 2016","FQ3 2016","Currency=INR","Period=FQ","BEST_FPERIOD_OVERRIDE=FQ","FILING_STATUS=OR","EQY_CONSOLIDATED=Y","FA_ADJUSTED=GAAP","Sort=A","Dates=H","DateFormat=P","Fill=—","Direction=H","UseDPDF=Y")</f>
        <v>#NAME?</v>
      </c>
      <c r="H66" t="e">
        <f ca="1">_xll.BDH($C$53,"RETURN_ON_CAP","FQ3 2016","FQ3 2016","Currency=INR","Period=FQ","BEST_FPERIOD_OVERRIDE=FQ","FILING_STATUS=OR","EQY_CONSOLIDATED=Y","FA_ADJUSTED=GAAP","Sort=A","Dates=H","DateFormat=P","Fill=—","Direction=H","UseDPDF=Y")</f>
        <v>#NAME?</v>
      </c>
      <c r="I66" t="e">
        <f ca="1">_xll.BDH($C$53,"RETURN_ON_INV_CAPITAL","FQ3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6" t="e">
        <f ca="1">_xll.BDH($C$53,"EBITDA_TO_REVENUE","FQ3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6" t="e">
        <f ca="1">_xll.BDH($C$53,"OPER_MARGIN","FQ3 2016","FQ3 2016","Currency=INR","Period=FQ","BEST_FPERIOD_OVERRIDE=FQ","FILING_STATUS=OR","EQY_CONSOLIDATED=Y","FA_ADJUSTED=GAAP","Sort=A","Dates=H","DateFormat=P","Fill=—","Direction=H","UseDPDF=Y")</f>
        <v>#NAME?</v>
      </c>
      <c r="L66" t="e">
        <f ca="1">_xll.BDH($C$53,"INCREMENTAL_OPERATING_MARGIN","FQ3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6" t="e">
        <f ca="1">_xll.BDH($C$53,"PRETAX_INC_TO_NET_SALES","FQ3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6" t="e">
        <f ca="1">_xll.BDH($C$53,"INC_BEF_XO_ITEMS_TO_NET_SALES","FQ3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6" t="e">
        <f ca="1">_xll.BDH($C$53,"PROF_MARGIN","FQ3 2016","FQ3 2016","Currency=INR","Period=FQ","BEST_FPERIOD_OVERRIDE=FQ","FILING_STATUS=OR","EQY_CONSOLIDATED=Y","FA_ADJUSTED=GAAP","Sort=A","Dates=H","DateFormat=P","Fill=—","Direction=H","UseDPDF=Y")</f>
        <v>#NAME?</v>
      </c>
      <c r="P66" t="e">
        <f ca="1">_xll.BDH($C$53,"NET_INCOME_TO_COMMON_MARGIN","FQ3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6" t="e">
        <f ca="1">_xll.BDH($C$53,"EFF_TAX_RATE","FQ3 2016","FQ3 2016","Currency=INR","Period=FQ","BEST_FPERIOD_OVERRIDE=FQ","FILING_STATUS=OR","EQY_CONSOLIDATED=Y","FA_ADJUSTED=GAAP","Sort=A","Dates=H","DateFormat=P","Fill=—","Direction=H","UseDPDF=Y")</f>
        <v>#NAME?</v>
      </c>
      <c r="R66" t="e">
        <f ca="1">_xll.BDH($C$53,"DVD_PAYOUT_RATIO","FQ3 2016","FQ3 2016","Currency=INR","Period=FQ","BEST_FPERIOD_OVERRIDE=FQ","FILING_STATUS=OR","EQY_CONSOLIDATED=Y","FA_ADJUSTED=GAAP","Sort=A","Dates=H","DateFormat=P","Fill=—","Direction=H","UseDPDF=Y")</f>
        <v>#NAME?</v>
      </c>
      <c r="S66" t="e">
        <f ca="1">_xll.BDH($C$53,"SUSTAIN_GROWTH_RT","FQ3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6" s="2" t="e">
        <f ca="1">_xll.BDH($C$53,"SALES_GROWTH","FQ3 2016","FQ3 2016","Currency=INR","Period=FQ","BEST_FPERIOD_OVERRIDE=FQ","FILING_STATUS=OR","EQY_CONSOLIDATED=Y","FA_ADJUSTED=GAAP","Sort=A","Dates=H","DateFormat=P","Fill=—","Direction=H","UseDPDF=Y")</f>
        <v>#NAME?</v>
      </c>
      <c r="U66" s="2" t="e">
        <f ca="1">_xll.BDH($C$53,"EBITDA_GROWTH","FQ3 2016","FQ3 2016","Currency=INR","Period=FQ","BEST_FPERIOD_OVERRIDE=FQ","FILING_STATUS=OR","EQY_CONSOLIDATED=Y","FA_ADJUSTED=GAAP","Sort=A","Dates=H","DateFormat=P","Fill=—","Direction=H","UseDPDF=Y")</f>
        <v>#NAME?</v>
      </c>
      <c r="V66" s="2" t="e">
        <f ca="1">_xll.BDH($C$53,"OPER_INC_GROWTH","FQ3 2016","FQ3 2016","Currency=INR","Period=FQ","BEST_FPERIOD_OVERRIDE=FQ","FILING_STATUS=OR","EQY_CONSOLIDATED=Y","FA_ADJUSTED=GAAP","Sort=A","Dates=H","DateFormat=P","Fill=—","Direction=H","UseDPDF=Y")</f>
        <v>#NAME?</v>
      </c>
      <c r="W66" s="2" t="e">
        <f ca="1">_xll.BDH($C$53,"EARN_FOR_COM_GROWTH","FQ3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6" s="2" t="e">
        <f ca="1">_xll.BDH($C$53,"DILUTED_EPS_AFT_XO_ITEMS_GROWTH","FQ3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6" s="2" t="e">
        <f ca="1">_xll.BDH($C$53,"DIVIDEND_PER_SHARE_1_YEAR_GROWTH","FQ3 2016","FQ3 2016","Currency=INR","Period=FQ","BEST_FPERIOD_OVERRIDE=FQ","FILING_STATUS=OR","EQY_CONSOLIDATED=Y","Sort=A","Dates=H","DateFormat=P","Fill=—","Direction=H","UseDPDF=Y")</f>
        <v>#NAME?</v>
      </c>
      <c r="Z66" s="2" t="e">
        <f ca="1">_xll.BDH($C$53,"ACCOUNTS_RECEIVABLE_GROWTH","FQ3 2016","FQ3 2016","Currency=INR","Period=FQ","BEST_FPERIOD_OVERRIDE=FQ","FILING_STATUS=OR","EQY_CONSOLIDATED=Y","Sort=A","Dates=H","DateFormat=P","Fill=—","Direction=H","UseDPDF=Y")</f>
        <v>#NAME?</v>
      </c>
      <c r="AA66" s="2" t="e">
        <f ca="1">_xll.BDH($C$53,"INVENTORY_GROWTH","FQ3 2016","FQ3 2016","Currency=INR","Period=FQ","BEST_FPERIOD_OVERRIDE=FQ","FILING_STATUS=OR","EQY_CONSOLIDATED=Y","Sort=A","Dates=H","DateFormat=P","Fill=—","Direction=H","UseDPDF=Y")</f>
        <v>#NAME?</v>
      </c>
      <c r="AB66" s="2" t="e">
        <f ca="1">_xll.BDH($C$53,"NET_FIXED_ASSETS_1_YEAR_GROWTH","FQ3 2016","FQ3 2016","Currency=INR","Period=FQ","BEST_FPERIOD_OVERRIDE=FQ","FILING_STATUS=OR","EQY_CONSOLIDATED=Y","Sort=A","Dates=H","DateFormat=P","Fill=—","Direction=H","UseDPDF=Y")</f>
        <v>#NAME?</v>
      </c>
      <c r="AC66" s="2" t="e">
        <f ca="1">_xll.BDH($C$53,"ASSET_GROWTH","FQ3 2016","FQ3 2016","Currency=INR","Period=FQ","BEST_FPERIOD_OVERRIDE=FQ","FILING_STATUS=OR","EQY_CONSOLIDATED=Y","Sort=A","Dates=H","DateFormat=P","Fill=—","Direction=H","UseDPDF=Y")</f>
        <v>#NAME?</v>
      </c>
      <c r="AD66" s="2" t="e">
        <f ca="1">_xll.BDH($C$53,"MODIFIED_WORK_CAP_GROWTH","FQ3 2016","FQ3 2016","Currency=INR","Period=FQ","BEST_FPERIOD_OVERRIDE=FQ","FILING_STATUS=OR","EQY_CONSOLIDATED=Y","Sort=A","Dates=H","DateFormat=P","Fill=—","Direction=H","UseDPDF=Y")</f>
        <v>#NAME?</v>
      </c>
      <c r="AE66" s="2" t="e">
        <f ca="1">_xll.BDH($C$53,"WORK_CAP_GROWTH","FQ3 2016","FQ3 2016","Currency=INR","Period=FQ","BEST_FPERIOD_OVERRIDE=FQ","FILING_STATUS=OR","EQY_CONSOLIDATED=Y","Sort=A","Dates=H","DateFormat=P","Fill=—","Direction=H","UseDPDF=Y")</f>
        <v>#NAME?</v>
      </c>
      <c r="AF66" s="2" t="e">
        <f ca="1">_xll.BDH($C$53,"ACCOUNTS_PAYABLE_GROWTH_1YR","FQ3 2016","FQ3 2016","Currency=INR","Period=FQ","BEST_FPERIOD_OVERRIDE=FQ","FILING_STATUS=OR","EQY_CONSOLIDATED=Y","Sort=A","Dates=H","DateFormat=P","Fill=—","Direction=H","UseDPDF=Y")</f>
        <v>#NAME?</v>
      </c>
      <c r="AG66" s="2" t="e">
        <f ca="1">_xll.BDH($C$53,"SHORT_TERM_DEBT_1_YEAR_GROWTH","FQ3 2016","FQ3 2016","Currency=INR","Period=FQ","BEST_FPERIOD_OVERRIDE=FQ","FILING_STATUS=OR","EQY_CONSOLIDATED=Y","Sort=A","Dates=H","DateFormat=P","Fill=—","Direction=H","UseDPDF=Y")</f>
        <v>#NAME?</v>
      </c>
      <c r="AH66" s="2" t="e">
        <f ca="1">_xll.BDH($C$53,"TOTAL_DEBT_1_YEAR_GROWTH","FQ3 2016","FQ3 2016","Currency=INR","Period=FQ","BEST_FPERIOD_OVERRIDE=FQ","FILING_STATUS=OR","EQY_CONSOLIDATED=Y","Sort=A","Dates=H","DateFormat=P","Fill=—","Direction=H","UseDPDF=Y")</f>
        <v>#NAME?</v>
      </c>
      <c r="AI66" s="2" t="e">
        <f ca="1">_xll.BDH($C$53,"TOTAL_EQUITY_1_YEAR_GROWTH","FQ3 2016","FQ3 2016","Currency=INR","Period=FQ","BEST_FPERIOD_OVERRIDE=FQ","FILING_STATUS=OR","EQY_CONSOLIDATED=Y","Sort=A","Dates=H","DateFormat=P","Fill=—","Direction=H","UseDPDF=Y")</f>
        <v>#NAME?</v>
      </c>
      <c r="AJ66" s="2" t="e">
        <f ca="1">_xll.BDH($C$53,"GROWTH_IN_CAP","FQ3 2016","FQ3 2016","Currency=INR","Period=FQ","BEST_FPERIOD_OVERRIDE=FQ","FILING_STATUS=OR","EQY_CONSOLIDATED=Y","Sort=A","Dates=H","DateFormat=P","Fill=—","Direction=H","UseDPDF=Y")</f>
        <v>#NAME?</v>
      </c>
      <c r="AK66" s="2" t="e">
        <f ca="1">_xll.BDH($C$53,"BVPS_GROWTH","FQ3 2016","FQ3 2016","Currency=INR","Period=FQ","BEST_FPERIOD_OVERRIDE=FQ","FILING_STATUS=OR","EQY_CONSOLIDATED=Y","Sort=A","Dates=H","DateFormat=P","Fill=—","Direction=H","UseDPDF=Y")</f>
        <v>#NAME?</v>
      </c>
      <c r="AL66" s="2" t="e">
        <f ca="1">_xll.BDH($C$53,"CASH_FLOW_GROWTH","FQ3 2016","FQ3 2016","Currency=INR","Period=FQ","BEST_FPERIOD_OVERRIDE=FQ","FILING_STATUS=OR","EQY_CONSOLIDATED=Y","Sort=A","Dates=H","DateFormat=P","Fill=—","Direction=H","UseDPDF=Y")</f>
        <v>#NAME?</v>
      </c>
      <c r="AM66" s="2" t="e">
        <f ca="1">_xll.BDH($C$53,"GEO_GROW_NET_SALES","FQ3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6" s="2" t="e">
        <f ca="1">_xll.BDH($C$53,"GEO_GROW_EBITDA","FQ3 2016","FQ3 2016","Currency=INR","Period=FQ","BEST_FPERIOD_OVERRIDE=FQ","FILING_STATUS=OR","EQY_CONSOLIDATED=Y","FA_ADJUSTED=GAAP","Sort=A","Dates=H","DateFormat=P","Fill=—","Direction=H","UseDPDF=Y")</f>
        <v>#NAME?</v>
      </c>
      <c r="AO66" s="2" t="e">
        <f ca="1">_xll.BDH($C$53,"GEO_GROW_OPER_INC","FQ3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6" s="2" t="e">
        <f ca="1">_xll.BDH($C$53,"NET_INCOME_TO_COMMON_5_YR_GROWTH","FQ3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6" s="2" t="e">
        <f ca="1">_xll.BDH($C$53,"5Y_GEO_GROWTH_DILUTED_EPS","FQ3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6" s="2" t="e">
        <f ca="1">_xll.BDH($C$53,"GEO_GROW_DVD_PER_SH","FQ3 2016","FQ3 2016","Currency=INR","Period=FQ","BEST_FPERIOD_OVERRIDE=FQ","FILING_STATUS=OR","EQY_CONSOLIDATED=Y","Sort=A","Dates=H","DateFormat=P","Fill=—","Direction=H","UseDPDF=Y")</f>
        <v>#NAME?</v>
      </c>
      <c r="AS66" s="2" t="e">
        <f ca="1">_xll.BDH($C$53,"ACCOUNTS_RECEIVABLE_5_YR_GROWTH","FQ3 2016","FQ3 2016","Currency=INR","Period=FQ","BEST_FPERIOD_OVERRIDE=FQ","FILING_STATUS=OR","EQY_CONSOLIDATED=Y","Sort=A","Dates=H","DateFormat=P","Fill=—","Direction=H","UseDPDF=Y")</f>
        <v>#NAME?</v>
      </c>
      <c r="AT66" s="2" t="e">
        <f ca="1">_xll.BDH($C$53,"INVENTORY_5_YEAR_GROWTH","FQ3 2016","FQ3 2016","Currency=INR","Period=FQ","BEST_FPERIOD_OVERRIDE=FQ","FILING_STATUS=OR","EQY_CONSOLIDATED=Y","Sort=A","Dates=H","DateFormat=P","Fill=—","Direction=H","UseDPDF=Y")</f>
        <v>#NAME?</v>
      </c>
      <c r="AU66" s="2" t="e">
        <f ca="1">_xll.BDH($C$53,"NET_FIXED_ASSETS_5_YEAR_GROWTH","FQ3 2016","FQ3 2016","Currency=INR","Period=FQ","BEST_FPERIOD_OVERRIDE=FQ","FILING_STATUS=OR","EQY_CONSOLIDATED=Y","Sort=A","Dates=H","DateFormat=P","Fill=—","Direction=H","UseDPDF=Y")</f>
        <v>#NAME?</v>
      </c>
      <c r="AV66" s="2" t="e">
        <f ca="1">_xll.BDH($C$53,"GEO_GROW_TOT_ASSET","FQ3 2016","FQ3 2016","Currency=INR","Period=FQ","BEST_FPERIOD_OVERRIDE=FQ","FILING_STATUS=OR","EQY_CONSOLIDATED=Y","Sort=A","Dates=H","DateFormat=P","Fill=—","Direction=H","UseDPDF=Y")</f>
        <v>#NAME?</v>
      </c>
      <c r="AW66" s="2" t="e">
        <f ca="1">_xll.BDH($C$53,"MODIFIED_WORKING_CPTL_5YR_GRWTH","FQ3 2016","FQ3 2016","Currency=INR","Period=FQ","BEST_FPERIOD_OVERRIDE=FQ","FILING_STATUS=OR","EQY_CONSOLIDATED=Y","Sort=A","Dates=H","DateFormat=P","Fill=—","Direction=H","UseDPDF=Y")</f>
        <v>#NAME?</v>
      </c>
      <c r="AX66" s="2" t="e">
        <f ca="1">_xll.BDH($C$53,"WORKING_CAPITAL_5_YEAR_GROWTH","FQ3 2016","FQ3 2016","Currency=INR","Period=FQ","BEST_FPERIOD_OVERRIDE=FQ","FILING_STATUS=OR","EQY_CONSOLIDATED=Y","Sort=A","Dates=H","DateFormat=P","Fill=—","Direction=H","UseDPDF=Y")</f>
        <v>#NAME?</v>
      </c>
      <c r="AY66" s="2" t="e">
        <f ca="1">_xll.BDH($C$53,"ACCOUNTS_PAYABLE_5_YEAR_GROWTH","FQ3 2016","FQ3 2016","Currency=INR","Period=FQ","BEST_FPERIOD_OVERRIDE=FQ","FILING_STATUS=OR","EQY_CONSOLIDATED=Y","Sort=A","Dates=H","DateFormat=P","Fill=—","Direction=H","UseDPDF=Y")</f>
        <v>#NAME?</v>
      </c>
      <c r="AZ66" s="2" t="e">
        <f ca="1">_xll.BDH($C$53,"SHORT_TERM_DEBT_5_YEAR_GROWTH","FQ3 2016","FQ3 2016","Currency=INR","Period=FQ","BEST_FPERIOD_OVERRIDE=FQ","FILING_STATUS=OR","EQY_CONSOLIDATED=Y","Sort=A","Dates=H","DateFormat=P","Fill=—","Direction=H","UseDPDF=Y")</f>
        <v>#NAME?</v>
      </c>
      <c r="BA66" s="2" t="e">
        <f ca="1">_xll.BDH($C$53,"TOTAL_DEBT_5_YEAR_GROWTH","FQ3 2016","FQ3 2016","Currency=INR","Period=FQ","BEST_FPERIOD_OVERRIDE=FQ","FILING_STATUS=OR","EQY_CONSOLIDATED=Y","Sort=A","Dates=H","DateFormat=P","Fill=—","Direction=H","UseDPDF=Y")</f>
        <v>#NAME?</v>
      </c>
      <c r="BB66" s="2" t="e">
        <f ca="1">_xll.BDH($C$53,"GEO_GROW_TOT_SHRHLDR_EQY","FQ3 2016","FQ3 2016","Currency=INR","Period=FQ","BEST_FPERIOD_OVERRIDE=FQ","FILING_STATUS=OR","EQY_CONSOLIDATED=Y","Sort=A","Dates=H","DateFormat=P","Fill=—","Direction=H","UseDPDF=Y")</f>
        <v>#NAME?</v>
      </c>
      <c r="BC66" s="2" t="e">
        <f ca="1">_xll.BDH($C$53,"TOTAL_CAPITAL_5_YEAR_GROWTH","FQ3 2016","FQ3 2016","Currency=INR","Period=FQ","BEST_FPERIOD_OVERRIDE=FQ","FILING_STATUS=OR","EQY_CONSOLIDATED=Y","Sort=A","Dates=H","DateFormat=P","Fill=—","Direction=H","UseDPDF=Y")</f>
        <v>#NAME?</v>
      </c>
      <c r="BD66" s="2" t="e">
        <f ca="1">_xll.BDH($C$53,"GEO_GROW_BOOK_VAL","FQ3 2016","FQ3 2016","Currency=INR","Period=FQ","BEST_FPERIOD_OVERRIDE=FQ","FILING_STATUS=OR","EQY_CONSOLIDATED=Y","Sort=A","Dates=H","DateFormat=P","Fill=—","Direction=H","UseDPDF=Y")</f>
        <v>#NAME?</v>
      </c>
      <c r="BE66" s="2" t="e">
        <f ca="1">_xll.BDH($C$53,"GEO_GROW_CASH_OPER_ACT","FQ3 2016","FQ3 2016","Currency=INR","Period=FQ","BEST_FPERIOD_OVERRIDE=FQ","FILING_STATUS=OR","EQY_CONSOLIDATED=Y","Sort=A","Dates=H","DateFormat=P","Fill=—","Direction=H","UseDPDF=Y")</f>
        <v>#NAME?</v>
      </c>
      <c r="BF66" s="2" t="e">
        <f ca="1">_xll.BDH($C$53,"REVENUE_SEQUENTIAL_GROWTH","FQ3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6" s="2" t="e">
        <f ca="1">_xll.BDH($C$53,"EBITDA_SEQUENTIAL_GROWTH","FQ3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6" s="2" t="e">
        <f ca="1">_xll.BDH($C$53,"OPERATING_INCOME_SEQ_GROWTH","FQ3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6" s="2" t="e">
        <f ca="1">_xll.BDH($C$53,"NET_INCOME_TO_COMMON_SEQ_GROWTH","FQ3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6" s="2" t="e">
        <f ca="1">_xll.BDH($C$53,"EPS_DILUTED_SEQUENTIAL_GROWTH","FQ3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6" s="2" t="e">
        <f ca="1">_xll.BDH($C$53,"DPS_SEQUENTIAL_GROWTH","FQ3 2016","FQ3 2016","Currency=INR","Period=FQ","BEST_FPERIOD_OVERRIDE=FQ","FILING_STATUS=OR","EQY_CONSOLIDATED=Y","Sort=A","Dates=H","DateFormat=P","Fill=—","Direction=H","UseDPDF=Y")</f>
        <v>#NAME?</v>
      </c>
      <c r="BL66" s="2" t="e">
        <f ca="1">_xll.BDH($C$53,"ACCOUNTS_RECEIVABLE_SEQ_GROWTH","FQ3 2016","FQ3 2016","Currency=INR","Period=FQ","BEST_FPERIOD_OVERRIDE=FQ","FILING_STATUS=OR","EQY_CONSOLIDATED=Y","Sort=A","Dates=H","DateFormat=P","Fill=—","Direction=H","UseDPDF=Y")</f>
        <v>#NAME?</v>
      </c>
      <c r="BM66" s="2" t="e">
        <f ca="1">_xll.BDH($C$53,"INVENTORY_SEQUENTIAL_GROWTH","FQ3 2016","FQ3 2016","Currency=INR","Period=FQ","BEST_FPERIOD_OVERRIDE=FQ","FILING_STATUS=OR","EQY_CONSOLIDATED=Y","Sort=A","Dates=H","DateFormat=P","Fill=—","Direction=H","UseDPDF=Y")</f>
        <v>#NAME?</v>
      </c>
      <c r="BN66" s="2" t="e">
        <f ca="1">_xll.BDH($C$53,"FIXED_ASSETS_SEQUENTIAL_GROWTH","FQ3 2016","FQ3 2016","Currency=INR","Period=FQ","BEST_FPERIOD_OVERRIDE=FQ","FILING_STATUS=OR","EQY_CONSOLIDATED=Y","Sort=A","Dates=H","DateFormat=P","Fill=—","Direction=H","UseDPDF=Y")</f>
        <v>#NAME?</v>
      </c>
      <c r="BO66" s="2" t="e">
        <f ca="1">_xll.BDH($C$53,"TOTAL_ASSETS_SEQUENTIAL_GROWTH","FQ3 2016","FQ3 2016","Currency=INR","Period=FQ","BEST_FPERIOD_OVERRIDE=FQ","FILING_STATUS=OR","EQY_CONSOLIDATED=Y","Sort=A","Dates=H","DateFormat=P","Fill=—","Direction=H","UseDPDF=Y")</f>
        <v>#NAME?</v>
      </c>
      <c r="BP66" s="2" t="e">
        <f ca="1">_xll.BDH($C$53,"MODIFIED_WORKING_CPTL_SEQ_GRWTH","FQ3 2016","FQ3 2016","Currency=INR","Period=FQ","BEST_FPERIOD_OVERRIDE=FQ","FILING_STATUS=OR","EQY_CONSOLIDATED=Y","Sort=A","Dates=H","DateFormat=P","Fill=—","Direction=H","UseDPDF=Y")</f>
        <v>#NAME?</v>
      </c>
      <c r="BQ66" s="2" t="e">
        <f ca="1">_xll.BDH($C$53,"WORKING_CAPITAL_SEQ_GROWTH","FQ3 2016","FQ3 2016","Currency=INR","Period=FQ","BEST_FPERIOD_OVERRIDE=FQ","FILING_STATUS=OR","EQY_CONSOLIDATED=Y","Sort=A","Dates=H","DateFormat=P","Fill=—","Direction=H","UseDPDF=Y")</f>
        <v>#NAME?</v>
      </c>
      <c r="BR66" s="2" t="e">
        <f ca="1">_xll.BDH($C$53,"ACCOUNTS_PAYABLE_SEQ_GROWTH","FQ3 2016","FQ3 2016","Currency=INR","Period=FQ","BEST_FPERIOD_OVERRIDE=FQ","FILING_STATUS=OR","EQY_CONSOLIDATED=Y","Sort=A","Dates=H","DateFormat=P","Fill=—","Direction=H","UseDPDF=Y")</f>
        <v>#NAME?</v>
      </c>
      <c r="BS66" s="2" t="e">
        <f ca="1">_xll.BDH($C$53,"ST_DEBT_SEQUENTIAL_GROWTH","FQ3 2016","FQ3 2016","Currency=INR","Period=FQ","BEST_FPERIOD_OVERRIDE=FQ","FILING_STATUS=OR","EQY_CONSOLIDATED=Y","Sort=A","Dates=H","DateFormat=P","Fill=—","Direction=H","UseDPDF=Y")</f>
        <v>#NAME?</v>
      </c>
      <c r="BT66" s="2" t="e">
        <f ca="1">_xll.BDH($C$53,"TOTAL_DEBT_SEQUENTIAL_GROWTH","FQ3 2016","FQ3 2016","Currency=INR","Period=FQ","BEST_FPERIOD_OVERRIDE=FQ","FILING_STATUS=OR","EQY_CONSOLIDATED=Y","Sort=A","Dates=H","DateFormat=P","Fill=—","Direction=H","UseDPDF=Y")</f>
        <v>#NAME?</v>
      </c>
      <c r="BU66" s="2" t="e">
        <f ca="1">_xll.BDH($C$53,"TOTAL_EQUITY_SEQUENTIAL_GROWTH","FQ3 2016","FQ3 2016","Currency=INR","Period=FQ","BEST_FPERIOD_OVERRIDE=FQ","FILING_STATUS=OR","EQY_CONSOLIDATED=Y","Sort=A","Dates=H","DateFormat=P","Fill=—","Direction=H","UseDPDF=Y")</f>
        <v>#NAME?</v>
      </c>
      <c r="BV66" s="2" t="e">
        <f ca="1">_xll.BDH($C$53,"TOTAL_CAPITAL_SEQUENTIAL_GROWTH","FQ3 2016","FQ3 2016","Currency=INR","Period=FQ","BEST_FPERIOD_OVERRIDE=FQ","FILING_STATUS=OR","EQY_CONSOLIDATED=Y","Sort=A","Dates=H","DateFormat=P","Fill=—","Direction=H","UseDPDF=Y")</f>
        <v>#NAME?</v>
      </c>
      <c r="BW66" s="2" t="e">
        <f ca="1">_xll.BDH($C$53,"BPS_SEQUENTIAL_GROWTH","FQ3 2016","FQ3 2016","Currency=INR","Period=FQ","BEST_FPERIOD_OVERRIDE=FQ","FILING_STATUS=OR","EQY_CONSOLIDATED=Y","Sort=A","Dates=H","DateFormat=P","Fill=—","Direction=H","UseDPDF=Y")</f>
        <v>#NAME?</v>
      </c>
      <c r="BX66" s="2" t="e">
        <f ca="1">_xll.BDH($C$53,"CFO_SEQUENTIAL_GROWTH","FQ3 2016","FQ3 2016","Currency=INR","Period=FQ","BEST_FPERIOD_OVERRIDE=FQ","FILING_STATUS=OR","EQY_CONSOLIDATED=Y","Sort=A","Dates=H","DateFormat=P","Fill=—","Direction=H","UseDPDF=Y")</f>
        <v>#NAME?</v>
      </c>
      <c r="BY66" s="3" t="e">
        <f ca="1">_xll.BDH($C$53,"SHORT_AND_LONG_TERM_DEBT","FQ3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6" s="3" t="e">
        <f ca="1">_xll.BDH($C$53,"BS_ST_BORROW","FQ3 2016","FQ3 2016","Currency=INR","Period=FQ","BEST_FPERIOD_OVERRIDE=FQ","FILING_STATUS=OR","EQY_CONSOLIDATED=Y","SCALING_FORMAT=MLN","Sort=A","Dates=H","DateFormat=P","Fill=—","Direction=H","UseDPDF=Y")</f>
        <v>#NAME?</v>
      </c>
      <c r="CA66" s="3" t="e">
        <f ca="1">_xll.BDH($C$53,"BS_LT_BORROW","FQ3 2016","FQ3 2016","Currency=INR","Period=FQ","BEST_FPERIOD_OVERRIDE=FQ","FILING_STATUS=OR","EQY_CONSOLIDATED=Y","SCALING_FORMAT=MLN","Sort=A","Dates=H","DateFormat=P","Fill=—","Direction=H","UseDPDF=Y")</f>
        <v>#NAME?</v>
      </c>
      <c r="CB66" s="2" t="e">
        <f ca="1">_xll.BDH($C$53,"TOT_DEBT_TO_EBITDA","FQ3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6" s="2" t="e">
        <f ca="1">_xll.BDH($C$53,"NET_DEBT_TO_EBITDA","FQ3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6" s="2" t="e">
        <f ca="1">_xll.BDH($C$53,"TOTAL_DEBT_TO_EBIT","FQ3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6" s="2" t="e">
        <f ca="1">_xll.BDH($C$53,"NET_DEBT_TO_EBIT","FQ3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6" s="2" t="e">
        <f ca="1">_xll.BDH($C$53,"EBITDA_TO_INTEREST_EXPN","FQ3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6" s="2" t="e">
        <f ca="1">_xll.BDH($C$53,"COM_EQY_TO_TOT_ASSET","FQ3 2016","FQ3 2016","Currency=INR","Period=FQ","BEST_FPERIOD_OVERRIDE=FQ","FILING_STATUS=OR","EQY_CONSOLIDATED=Y","Sort=A","Dates=H","DateFormat=P","Fill=—","Direction=H","UseDPDF=Y")</f>
        <v>#NAME?</v>
      </c>
      <c r="CH66" s="2" t="e">
        <f ca="1">_xll.BDH($C$53,"LT_DEBT_TO_TOT_EQY","FQ3 2016","FQ3 2016","Currency=INR","Period=FQ","BEST_FPERIOD_OVERRIDE=FQ","FILING_STATUS=OR","EQY_CONSOLIDATED=Y","Sort=A","Dates=H","DateFormat=P","Fill=—","Direction=H","UseDPDF=Y")</f>
        <v>#NAME?</v>
      </c>
      <c r="CI66" s="2" t="e">
        <f ca="1">_xll.BDH($C$53,"LT_DEBT_TO_TOT_CAP","FQ3 2016","FQ3 2016","Currency=INR","Period=FQ","BEST_FPERIOD_OVERRIDE=FQ","FILING_STATUS=OR","EQY_CONSOLIDATED=Y","Sort=A","Dates=H","DateFormat=P","Fill=—","Direction=H","UseDPDF=Y")</f>
        <v>#NAME?</v>
      </c>
      <c r="CJ66" s="2" t="e">
        <f ca="1">_xll.BDH($C$53,"LT_DEBT_TO_TOT_ASSET","FQ3 2016","FQ3 2016","Currency=INR","Period=FQ","BEST_FPERIOD_OVERRIDE=FQ","FILING_STATUS=OR","EQY_CONSOLIDATED=Y","Sort=A","Dates=H","DateFormat=P","Fill=—","Direction=H","UseDPDF=Y")</f>
        <v>#NAME?</v>
      </c>
      <c r="CK66" s="2" t="e">
        <f ca="1">_xll.BDH($C$53,"TOT_DEBT_TO_TOT_EQY","FQ3 2016","FQ3 2016","Currency=INR","Period=FQ","BEST_FPERIOD_OVERRIDE=FQ","FILING_STATUS=OR","EQY_CONSOLIDATED=Y","Sort=A","Dates=H","DateFormat=P","Fill=—","Direction=H","UseDPDF=Y")</f>
        <v>#NAME?</v>
      </c>
      <c r="CL66" s="2" t="e">
        <f ca="1">_xll.BDH($C$53,"TOT_DEBT_TO_TOT_CAP","FQ3 2016","FQ3 2016","Currency=INR","Period=FQ","BEST_FPERIOD_OVERRIDE=FQ","FILING_STATUS=OR","EQY_CONSOLIDATED=Y","Sort=A","Dates=H","DateFormat=P","Fill=—","Direction=H","UseDPDF=Y")</f>
        <v>#NAME?</v>
      </c>
      <c r="CM66" s="2" t="e">
        <f ca="1">_xll.BDH($C$53,"TOT_DEBT_TO_TOT_ASSET","FQ3 2016","FQ3 2016","Currency=INR","Period=FQ","BEST_FPERIOD_OVERRIDE=FQ","FILING_STATUS=OR","EQY_CONSOLIDATED=Y","Sort=A","Dates=H","DateFormat=P","Fill=—","Direction=H","UseDPDF=Y")</f>
        <v>#NAME?</v>
      </c>
      <c r="CN66" s="2" t="e">
        <f ca="1">_xll.BDH($C$53,"NET_DEBT_TO_SHRHLDR_EQTY","FQ3 2016","FQ3 2016","Currency=INR","Period=FQ","BEST_FPERIOD_OVERRIDE=FQ","FILING_STATUS=OR","EQY_CONSOLIDATED=Y","Sort=A","Dates=H","DateFormat=P","Fill=—","Direction=H","UseDPDF=Y")</f>
        <v>#NAME?</v>
      </c>
      <c r="CO66" s="2" t="e">
        <f ca="1">_xll.BDH($C$53,"NET_DEBT_%_CAPITAL","FQ3 2016","FQ3 2016","Currency=INR","Period=FQ","BEST_FPERIOD_OVERRIDE=FQ","FILING_STATUS=OR","EQY_CONSOLIDATED=Y","Sort=A","Dates=H","DateFormat=P","Fill=—","Direction=H","UseDPDF=Y")</f>
        <v>#NAME?</v>
      </c>
      <c r="CP66" s="3" t="e">
        <f ca="1">_xll.BDH($C$53,"EBITDA","FQ3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6" s="3" t="e">
        <f ca="1">_xll.BDH($C$53,"EBITDA_AFTER_CAPEX","FQ3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6" s="3" t="e">
        <f ca="1">_xll.BDH($C$53,"IS_OPER_INC","FQ3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6" s="2" t="e">
        <f ca="1">_xll.BDH($C$53,"CASH_RATIO","FQ3 2016","FQ3 2016","Currency=INR","Period=FQ","BEST_FPERIOD_OVERRIDE=FQ","FILING_STATUS=OR","EQY_CONSOLIDATED=Y","Sort=A","Dates=H","DateFormat=P","Fill=—","Direction=H","UseDPDF=Y")</f>
        <v>#NAME?</v>
      </c>
      <c r="CT66" s="2" t="e">
        <f ca="1">_xll.BDH($C$53,"CUR_RATIO","FQ3 2016","FQ3 2016","Currency=INR","Period=FQ","BEST_FPERIOD_OVERRIDE=FQ","FILING_STATUS=OR","EQY_CONSOLIDATED=Y","Sort=A","Dates=H","DateFormat=P","Fill=—","Direction=H","UseDPDF=Y")</f>
        <v>#NAME?</v>
      </c>
      <c r="CU66" s="2" t="e">
        <f ca="1">_xll.BDH($C$53,"QUICK_RATIO","FQ3 2016","FQ3 2016","Currency=INR","Period=FQ","BEST_FPERIOD_OVERRIDE=FQ","FILING_STATUS=OR","EQY_CONSOLIDATED=Y","Sort=A","Dates=H","DateFormat=P","Fill=—","Direction=H","UseDPDF=Y")</f>
        <v>#NAME?</v>
      </c>
      <c r="CV66" s="2" t="e">
        <f ca="1">_xll.BDH($C$53,"ALTMAN_Z_SCORE","FQ3 2016","FQ3 2016","Currency=INR","Period=FQ","BEST_FPERIOD_OVERRIDE=FQ","FILING_STATUS=OR","EQY_CONSOLIDATED=Y","Sort=A","Dates=H","DateFormat=P","Fill=—","Direction=H","UseDPDF=Y")</f>
        <v>#NAME?</v>
      </c>
      <c r="CW66" s="4" t="e">
        <f ca="1">_xll.BDH($C$53,"ACCT_RCV_TURN","FQ3 2016","FQ3 2016","Currency=INR","Period=FQ","BEST_FPERIOD_OVERRIDE=FQ","FILING_STATUS=OR","EQY_CONSOLIDATED=Y","FA_ADJUSTED=GAAP","Sort=A","Dates=H","DateFormat=P","Fill=—","Direction=H","UseDPDF=Y")</f>
        <v>#NAME?</v>
      </c>
      <c r="CX66" s="2" t="e">
        <f ca="1">_xll.BDH($C$53,"ACCT_RCV_DAYS","FQ3 2016","FQ3 2016","Currency=INR","Period=FQ","BEST_FPERIOD_OVERRIDE=FQ","FILING_STATUS=OR","EQY_CONSOLIDATED=Y","FA_ADJUSTED=GAAP","Sort=A","Dates=H","DateFormat=P","Fill=—","Direction=H","UseDPDF=Y")</f>
        <v>#NAME?</v>
      </c>
      <c r="CY66" s="4" t="e">
        <f ca="1">_xll.BDH($C$53,"INVENT_TURN","FQ3 2016","FQ3 2016","Currency=INR","Period=FQ","BEST_FPERIOD_OVERRIDE=FQ","FILING_STATUS=OR","EQY_CONSOLIDATED=Y","FA_ADJUSTED=GAAP","Sort=A","Dates=H","DateFormat=P","Fill=—","Direction=H","UseDPDF=Y")</f>
        <v>#NAME?</v>
      </c>
      <c r="CZ66" s="2" t="e">
        <f ca="1">_xll.BDH($C$53,"INVENT_DAYS","FQ3 2016","FQ3 2016","Currency=INR","Period=FQ","BEST_FPERIOD_OVERRIDE=FQ","FILING_STATUS=OR","EQY_CONSOLIDATED=Y","FA_ADJUSTED=GAAP","Sort=A","Dates=H","DateFormat=P","Fill=—","Direction=H","UseDPDF=Y")</f>
        <v>#NAME?</v>
      </c>
      <c r="DA66" s="4" t="e">
        <f ca="1">_xll.BDH($C$53,"ACCOUNTS_PAYABLE_TURNOVER","FQ3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6" s="2" t="e">
        <f ca="1">_xll.BDH($C$53,"ACCOUNTS_PAYABLE_TURNOVER_DAYS","FQ3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6" s="4" t="e">
        <f ca="1">_xll.BDH($C$53,"CASH_CONVERSION_CYCLE","FQ3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6" s="4" t="e">
        <f ca="1">_xll.BDH($C$53,"INV_TO_CASH_DAYS","FQ3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6" s="5" t="e">
        <f ca="1">_xll.BDH($C$53,"BS_INVENTORIES","FQ3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6" s="3" t="e">
        <f ca="1">_xll.BDH($C$53,"INVTRY_RAW_MATERIALS","FQ3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6" s="3" t="e">
        <f ca="1">_xll.BDH($C$53,"INVTRY_IN_PROGRESS","FQ3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6" s="3" t="e">
        <f ca="1">_xll.BDH($C$53,"INVTRY_FINISHED_GOODS","FQ3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6" s="3" t="e">
        <f ca="1">_xll.BDH($C$53,"BS_OTHER_INV","FQ3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7" spans="1:113" x14ac:dyDescent="0.3">
      <c r="A67" s="6"/>
      <c r="B67" s="6"/>
      <c r="C67" s="6"/>
      <c r="D67" s="6"/>
      <c r="E67" t="s">
        <v>81</v>
      </c>
      <c r="F67" t="e">
        <f ca="1">_xll.BDH($C$53,"RETURN_COM_EQY","FQ4 2016","FQ4 2016","Currency=INR","Period=FQ","BEST_FPERIOD_OVERRIDE=FQ","FILING_STATUS=OR","EQY_CONSOLIDATED=Y","FA_ADJUSTED=GAAP","Sort=A","Dates=H","DateFormat=P","Fill=—","Direction=H","UseDPDF=Y")</f>
        <v>#NAME?</v>
      </c>
      <c r="G67" t="e">
        <f ca="1">_xll.BDH($C$53,"RETURN_ON_ASSET","FQ4 2016","FQ4 2016","Currency=INR","Period=FQ","BEST_FPERIOD_OVERRIDE=FQ","FILING_STATUS=OR","EQY_CONSOLIDATED=Y","FA_ADJUSTED=GAAP","Sort=A","Dates=H","DateFormat=P","Fill=—","Direction=H","UseDPDF=Y")</f>
        <v>#NAME?</v>
      </c>
      <c r="H67" t="e">
        <f ca="1">_xll.BDH($C$53,"RETURN_ON_CAP","FQ4 2016","FQ4 2016","Currency=INR","Period=FQ","BEST_FPERIOD_OVERRIDE=FQ","FILING_STATUS=OR","EQY_CONSOLIDATED=Y","FA_ADJUSTED=GAAP","Sort=A","Dates=H","DateFormat=P","Fill=—","Direction=H","UseDPDF=Y")</f>
        <v>#NAME?</v>
      </c>
      <c r="I67" t="e">
        <f ca="1">_xll.BDH($C$53,"RETURN_ON_INV_CAPITAL","FQ4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7" t="e">
        <f ca="1">_xll.BDH($C$53,"EBITDA_TO_REVENUE","FQ4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7" t="e">
        <f ca="1">_xll.BDH($C$53,"OPER_MARGIN","FQ4 2016","FQ4 2016","Currency=INR","Period=FQ","BEST_FPERIOD_OVERRIDE=FQ","FILING_STATUS=OR","EQY_CONSOLIDATED=Y","FA_ADJUSTED=GAAP","Sort=A","Dates=H","DateFormat=P","Fill=—","Direction=H","UseDPDF=Y")</f>
        <v>#NAME?</v>
      </c>
      <c r="L67" t="e">
        <f ca="1">_xll.BDH($C$53,"INCREMENTAL_OPERATING_MARGIN","FQ4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7" t="e">
        <f ca="1">_xll.BDH($C$53,"PRETAX_INC_TO_NET_SALES","FQ4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7" t="e">
        <f ca="1">_xll.BDH($C$53,"INC_BEF_XO_ITEMS_TO_NET_SALES","FQ4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7" t="e">
        <f ca="1">_xll.BDH($C$53,"PROF_MARGIN","FQ4 2016","FQ4 2016","Currency=INR","Period=FQ","BEST_FPERIOD_OVERRIDE=FQ","FILING_STATUS=OR","EQY_CONSOLIDATED=Y","FA_ADJUSTED=GAAP","Sort=A","Dates=H","DateFormat=P","Fill=—","Direction=H","UseDPDF=Y")</f>
        <v>#NAME?</v>
      </c>
      <c r="P67" t="e">
        <f ca="1">_xll.BDH($C$53,"NET_INCOME_TO_COMMON_MARGIN","FQ4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7" t="e">
        <f ca="1">_xll.BDH($C$53,"EFF_TAX_RATE","FQ4 2016","FQ4 2016","Currency=INR","Period=FQ","BEST_FPERIOD_OVERRIDE=FQ","FILING_STATUS=OR","EQY_CONSOLIDATED=Y","FA_ADJUSTED=GAAP","Sort=A","Dates=H","DateFormat=P","Fill=—","Direction=H","UseDPDF=Y")</f>
        <v>#NAME?</v>
      </c>
      <c r="R67" t="e">
        <f ca="1">_xll.BDH($C$53,"DVD_PAYOUT_RATIO","FQ4 2016","FQ4 2016","Currency=INR","Period=FQ","BEST_FPERIOD_OVERRIDE=FQ","FILING_STATUS=OR","EQY_CONSOLIDATED=Y","FA_ADJUSTED=GAAP","Sort=A","Dates=H","DateFormat=P","Fill=—","Direction=H","UseDPDF=Y")</f>
        <v>#NAME?</v>
      </c>
      <c r="S67" t="e">
        <f ca="1">_xll.BDH($C$53,"SUSTAIN_GROWTH_RT","FQ4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7" s="2" t="e">
        <f ca="1">_xll.BDH($C$53,"SALES_GROWTH","FQ4 2016","FQ4 2016","Currency=INR","Period=FQ","BEST_FPERIOD_OVERRIDE=FQ","FILING_STATUS=OR","EQY_CONSOLIDATED=Y","FA_ADJUSTED=GAAP","Sort=A","Dates=H","DateFormat=P","Fill=—","Direction=H","UseDPDF=Y")</f>
        <v>#NAME?</v>
      </c>
      <c r="U67" s="2" t="e">
        <f ca="1">_xll.BDH($C$53,"EBITDA_GROWTH","FQ4 2016","FQ4 2016","Currency=INR","Period=FQ","BEST_FPERIOD_OVERRIDE=FQ","FILING_STATUS=OR","EQY_CONSOLIDATED=Y","FA_ADJUSTED=GAAP","Sort=A","Dates=H","DateFormat=P","Fill=—","Direction=H","UseDPDF=Y")</f>
        <v>#NAME?</v>
      </c>
      <c r="V67" s="2" t="e">
        <f ca="1">_xll.BDH($C$53,"OPER_INC_GROWTH","FQ4 2016","FQ4 2016","Currency=INR","Period=FQ","BEST_FPERIOD_OVERRIDE=FQ","FILING_STATUS=OR","EQY_CONSOLIDATED=Y","FA_ADJUSTED=GAAP","Sort=A","Dates=H","DateFormat=P","Fill=—","Direction=H","UseDPDF=Y")</f>
        <v>#NAME?</v>
      </c>
      <c r="W67" s="2" t="e">
        <f ca="1">_xll.BDH($C$53,"EARN_FOR_COM_GROWTH","FQ4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7" s="2" t="e">
        <f ca="1">_xll.BDH($C$53,"DILUTED_EPS_AFT_XO_ITEMS_GROWTH","FQ4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7" s="2" t="e">
        <f ca="1">_xll.BDH($C$53,"DIVIDEND_PER_SHARE_1_YEAR_GROWTH","FQ4 2016","FQ4 2016","Currency=INR","Period=FQ","BEST_FPERIOD_OVERRIDE=FQ","FILING_STATUS=OR","EQY_CONSOLIDATED=Y","Sort=A","Dates=H","DateFormat=P","Fill=—","Direction=H","UseDPDF=Y")</f>
        <v>#NAME?</v>
      </c>
      <c r="Z67" s="2" t="e">
        <f ca="1">_xll.BDH($C$53,"ACCOUNTS_RECEIVABLE_GROWTH","FQ4 2016","FQ4 2016","Currency=INR","Period=FQ","BEST_FPERIOD_OVERRIDE=FQ","FILING_STATUS=OR","EQY_CONSOLIDATED=Y","Sort=A","Dates=H","DateFormat=P","Fill=—","Direction=H","UseDPDF=Y")</f>
        <v>#NAME?</v>
      </c>
      <c r="AA67" s="2" t="e">
        <f ca="1">_xll.BDH($C$53,"INVENTORY_GROWTH","FQ4 2016","FQ4 2016","Currency=INR","Period=FQ","BEST_FPERIOD_OVERRIDE=FQ","FILING_STATUS=OR","EQY_CONSOLIDATED=Y","Sort=A","Dates=H","DateFormat=P","Fill=—","Direction=H","UseDPDF=Y")</f>
        <v>#NAME?</v>
      </c>
      <c r="AB67" s="2" t="e">
        <f ca="1">_xll.BDH($C$53,"NET_FIXED_ASSETS_1_YEAR_GROWTH","FQ4 2016","FQ4 2016","Currency=INR","Period=FQ","BEST_FPERIOD_OVERRIDE=FQ","FILING_STATUS=OR","EQY_CONSOLIDATED=Y","Sort=A","Dates=H","DateFormat=P","Fill=—","Direction=H","UseDPDF=Y")</f>
        <v>#NAME?</v>
      </c>
      <c r="AC67" s="2" t="e">
        <f ca="1">_xll.BDH($C$53,"ASSET_GROWTH","FQ4 2016","FQ4 2016","Currency=INR","Period=FQ","BEST_FPERIOD_OVERRIDE=FQ","FILING_STATUS=OR","EQY_CONSOLIDATED=Y","Sort=A","Dates=H","DateFormat=P","Fill=—","Direction=H","UseDPDF=Y")</f>
        <v>#NAME?</v>
      </c>
      <c r="AD67" s="2" t="e">
        <f ca="1">_xll.BDH($C$53,"MODIFIED_WORK_CAP_GROWTH","FQ4 2016","FQ4 2016","Currency=INR","Period=FQ","BEST_FPERIOD_OVERRIDE=FQ","FILING_STATUS=OR","EQY_CONSOLIDATED=Y","Sort=A","Dates=H","DateFormat=P","Fill=—","Direction=H","UseDPDF=Y")</f>
        <v>#NAME?</v>
      </c>
      <c r="AE67" s="2" t="e">
        <f ca="1">_xll.BDH($C$53,"WORK_CAP_GROWTH","FQ4 2016","FQ4 2016","Currency=INR","Period=FQ","BEST_FPERIOD_OVERRIDE=FQ","FILING_STATUS=OR","EQY_CONSOLIDATED=Y","Sort=A","Dates=H","DateFormat=P","Fill=—","Direction=H","UseDPDF=Y")</f>
        <v>#NAME?</v>
      </c>
      <c r="AF67" s="2" t="e">
        <f ca="1">_xll.BDH($C$53,"ACCOUNTS_PAYABLE_GROWTH_1YR","FQ4 2016","FQ4 2016","Currency=INR","Period=FQ","BEST_FPERIOD_OVERRIDE=FQ","FILING_STATUS=OR","EQY_CONSOLIDATED=Y","Sort=A","Dates=H","DateFormat=P","Fill=—","Direction=H","UseDPDF=Y")</f>
        <v>#NAME?</v>
      </c>
      <c r="AG67" s="2" t="e">
        <f ca="1">_xll.BDH($C$53,"SHORT_TERM_DEBT_1_YEAR_GROWTH","FQ4 2016","FQ4 2016","Currency=INR","Period=FQ","BEST_FPERIOD_OVERRIDE=FQ","FILING_STATUS=OR","EQY_CONSOLIDATED=Y","Sort=A","Dates=H","DateFormat=P","Fill=—","Direction=H","UseDPDF=Y")</f>
        <v>#NAME?</v>
      </c>
      <c r="AH67" s="2" t="e">
        <f ca="1">_xll.BDH($C$53,"TOTAL_DEBT_1_YEAR_GROWTH","FQ4 2016","FQ4 2016","Currency=INR","Period=FQ","BEST_FPERIOD_OVERRIDE=FQ","FILING_STATUS=OR","EQY_CONSOLIDATED=Y","Sort=A","Dates=H","DateFormat=P","Fill=—","Direction=H","UseDPDF=Y")</f>
        <v>#NAME?</v>
      </c>
      <c r="AI67" s="2" t="e">
        <f ca="1">_xll.BDH($C$53,"TOTAL_EQUITY_1_YEAR_GROWTH","FQ4 2016","FQ4 2016","Currency=INR","Period=FQ","BEST_FPERIOD_OVERRIDE=FQ","FILING_STATUS=OR","EQY_CONSOLIDATED=Y","Sort=A","Dates=H","DateFormat=P","Fill=—","Direction=H","UseDPDF=Y")</f>
        <v>#NAME?</v>
      </c>
      <c r="AJ67" s="2" t="e">
        <f ca="1">_xll.BDH($C$53,"GROWTH_IN_CAP","FQ4 2016","FQ4 2016","Currency=INR","Period=FQ","BEST_FPERIOD_OVERRIDE=FQ","FILING_STATUS=OR","EQY_CONSOLIDATED=Y","Sort=A","Dates=H","DateFormat=P","Fill=—","Direction=H","UseDPDF=Y")</f>
        <v>#NAME?</v>
      </c>
      <c r="AK67" s="2" t="e">
        <f ca="1">_xll.BDH($C$53,"BVPS_GROWTH","FQ4 2016","FQ4 2016","Currency=INR","Period=FQ","BEST_FPERIOD_OVERRIDE=FQ","FILING_STATUS=OR","EQY_CONSOLIDATED=Y","Sort=A","Dates=H","DateFormat=P","Fill=—","Direction=H","UseDPDF=Y")</f>
        <v>#NAME?</v>
      </c>
      <c r="AL67" s="2" t="e">
        <f ca="1">_xll.BDH($C$53,"CASH_FLOW_GROWTH","FQ4 2016","FQ4 2016","Currency=INR","Period=FQ","BEST_FPERIOD_OVERRIDE=FQ","FILING_STATUS=OR","EQY_CONSOLIDATED=Y","Sort=A","Dates=H","DateFormat=P","Fill=—","Direction=H","UseDPDF=Y")</f>
        <v>#NAME?</v>
      </c>
      <c r="AM67" s="2" t="e">
        <f ca="1">_xll.BDH($C$53,"GEO_GROW_NET_SALES","FQ4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7" s="2" t="e">
        <f ca="1">_xll.BDH($C$53,"GEO_GROW_EBITDA","FQ4 2016","FQ4 2016","Currency=INR","Period=FQ","BEST_FPERIOD_OVERRIDE=FQ","FILING_STATUS=OR","EQY_CONSOLIDATED=Y","FA_ADJUSTED=GAAP","Sort=A","Dates=H","DateFormat=P","Fill=—","Direction=H","UseDPDF=Y")</f>
        <v>#NAME?</v>
      </c>
      <c r="AO67" s="2" t="e">
        <f ca="1">_xll.BDH($C$53,"GEO_GROW_OPER_INC","FQ4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7" s="2" t="e">
        <f ca="1">_xll.BDH($C$53,"NET_INCOME_TO_COMMON_5_YR_GROWTH","FQ4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7" s="2" t="e">
        <f ca="1">_xll.BDH($C$53,"5Y_GEO_GROWTH_DILUTED_EPS","FQ4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7" s="2" t="e">
        <f ca="1">_xll.BDH($C$53,"GEO_GROW_DVD_PER_SH","FQ4 2016","FQ4 2016","Currency=INR","Period=FQ","BEST_FPERIOD_OVERRIDE=FQ","FILING_STATUS=OR","EQY_CONSOLIDATED=Y","Sort=A","Dates=H","DateFormat=P","Fill=—","Direction=H","UseDPDF=Y")</f>
        <v>#NAME?</v>
      </c>
      <c r="AS67" s="2" t="e">
        <f ca="1">_xll.BDH($C$53,"ACCOUNTS_RECEIVABLE_5_YR_GROWTH","FQ4 2016","FQ4 2016","Currency=INR","Period=FQ","BEST_FPERIOD_OVERRIDE=FQ","FILING_STATUS=OR","EQY_CONSOLIDATED=Y","Sort=A","Dates=H","DateFormat=P","Fill=—","Direction=H","UseDPDF=Y")</f>
        <v>#NAME?</v>
      </c>
      <c r="AT67" s="2" t="e">
        <f ca="1">_xll.BDH($C$53,"INVENTORY_5_YEAR_GROWTH","FQ4 2016","FQ4 2016","Currency=INR","Period=FQ","BEST_FPERIOD_OVERRIDE=FQ","FILING_STATUS=OR","EQY_CONSOLIDATED=Y","Sort=A","Dates=H","DateFormat=P","Fill=—","Direction=H","UseDPDF=Y")</f>
        <v>#NAME?</v>
      </c>
      <c r="AU67" s="2" t="e">
        <f ca="1">_xll.BDH($C$53,"NET_FIXED_ASSETS_5_YEAR_GROWTH","FQ4 2016","FQ4 2016","Currency=INR","Period=FQ","BEST_FPERIOD_OVERRIDE=FQ","FILING_STATUS=OR","EQY_CONSOLIDATED=Y","Sort=A","Dates=H","DateFormat=P","Fill=—","Direction=H","UseDPDF=Y")</f>
        <v>#NAME?</v>
      </c>
      <c r="AV67" s="2" t="e">
        <f ca="1">_xll.BDH($C$53,"GEO_GROW_TOT_ASSET","FQ4 2016","FQ4 2016","Currency=INR","Period=FQ","BEST_FPERIOD_OVERRIDE=FQ","FILING_STATUS=OR","EQY_CONSOLIDATED=Y","Sort=A","Dates=H","DateFormat=P","Fill=—","Direction=H","UseDPDF=Y")</f>
        <v>#NAME?</v>
      </c>
      <c r="AW67" s="2" t="e">
        <f ca="1">_xll.BDH($C$53,"MODIFIED_WORKING_CPTL_5YR_GRWTH","FQ4 2016","FQ4 2016","Currency=INR","Period=FQ","BEST_FPERIOD_OVERRIDE=FQ","FILING_STATUS=OR","EQY_CONSOLIDATED=Y","Sort=A","Dates=H","DateFormat=P","Fill=—","Direction=H","UseDPDF=Y")</f>
        <v>#NAME?</v>
      </c>
      <c r="AX67" s="2" t="e">
        <f ca="1">_xll.BDH($C$53,"WORKING_CAPITAL_5_YEAR_GROWTH","FQ4 2016","FQ4 2016","Currency=INR","Period=FQ","BEST_FPERIOD_OVERRIDE=FQ","FILING_STATUS=OR","EQY_CONSOLIDATED=Y","Sort=A","Dates=H","DateFormat=P","Fill=—","Direction=H","UseDPDF=Y")</f>
        <v>#NAME?</v>
      </c>
      <c r="AY67" s="2" t="e">
        <f ca="1">_xll.BDH($C$53,"ACCOUNTS_PAYABLE_5_YEAR_GROWTH","FQ4 2016","FQ4 2016","Currency=INR","Period=FQ","BEST_FPERIOD_OVERRIDE=FQ","FILING_STATUS=OR","EQY_CONSOLIDATED=Y","Sort=A","Dates=H","DateFormat=P","Fill=—","Direction=H","UseDPDF=Y")</f>
        <v>#NAME?</v>
      </c>
      <c r="AZ67" s="2" t="e">
        <f ca="1">_xll.BDH($C$53,"SHORT_TERM_DEBT_5_YEAR_GROWTH","FQ4 2016","FQ4 2016","Currency=INR","Period=FQ","BEST_FPERIOD_OVERRIDE=FQ","FILING_STATUS=OR","EQY_CONSOLIDATED=Y","Sort=A","Dates=H","DateFormat=P","Fill=—","Direction=H","UseDPDF=Y")</f>
        <v>#NAME?</v>
      </c>
      <c r="BA67" s="2" t="e">
        <f ca="1">_xll.BDH($C$53,"TOTAL_DEBT_5_YEAR_GROWTH","FQ4 2016","FQ4 2016","Currency=INR","Period=FQ","BEST_FPERIOD_OVERRIDE=FQ","FILING_STATUS=OR","EQY_CONSOLIDATED=Y","Sort=A","Dates=H","DateFormat=P","Fill=—","Direction=H","UseDPDF=Y")</f>
        <v>#NAME?</v>
      </c>
      <c r="BB67" s="2" t="e">
        <f ca="1">_xll.BDH($C$53,"GEO_GROW_TOT_SHRHLDR_EQY","FQ4 2016","FQ4 2016","Currency=INR","Period=FQ","BEST_FPERIOD_OVERRIDE=FQ","FILING_STATUS=OR","EQY_CONSOLIDATED=Y","Sort=A","Dates=H","DateFormat=P","Fill=—","Direction=H","UseDPDF=Y")</f>
        <v>#NAME?</v>
      </c>
      <c r="BC67" s="2" t="e">
        <f ca="1">_xll.BDH($C$53,"TOTAL_CAPITAL_5_YEAR_GROWTH","FQ4 2016","FQ4 2016","Currency=INR","Period=FQ","BEST_FPERIOD_OVERRIDE=FQ","FILING_STATUS=OR","EQY_CONSOLIDATED=Y","Sort=A","Dates=H","DateFormat=P","Fill=—","Direction=H","UseDPDF=Y")</f>
        <v>#NAME?</v>
      </c>
      <c r="BD67" s="2" t="e">
        <f ca="1">_xll.BDH($C$53,"GEO_GROW_BOOK_VAL","FQ4 2016","FQ4 2016","Currency=INR","Period=FQ","BEST_FPERIOD_OVERRIDE=FQ","FILING_STATUS=OR","EQY_CONSOLIDATED=Y","Sort=A","Dates=H","DateFormat=P","Fill=—","Direction=H","UseDPDF=Y")</f>
        <v>#NAME?</v>
      </c>
      <c r="BE67" s="2" t="e">
        <f ca="1">_xll.BDH($C$53,"GEO_GROW_CASH_OPER_ACT","FQ4 2016","FQ4 2016","Currency=INR","Period=FQ","BEST_FPERIOD_OVERRIDE=FQ","FILING_STATUS=OR","EQY_CONSOLIDATED=Y","Sort=A","Dates=H","DateFormat=P","Fill=—","Direction=H","UseDPDF=Y")</f>
        <v>#NAME?</v>
      </c>
      <c r="BF67" s="2" t="e">
        <f ca="1">_xll.BDH($C$53,"REVENUE_SEQUENTIAL_GROWTH","FQ4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7" s="2" t="e">
        <f ca="1">_xll.BDH($C$53,"EBITDA_SEQUENTIAL_GROWTH","FQ4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7" s="2" t="e">
        <f ca="1">_xll.BDH($C$53,"OPERATING_INCOME_SEQ_GROWTH","FQ4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7" s="2" t="e">
        <f ca="1">_xll.BDH($C$53,"NET_INCOME_TO_COMMON_SEQ_GROWTH","FQ4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7" s="2" t="e">
        <f ca="1">_xll.BDH($C$53,"EPS_DILUTED_SEQUENTIAL_GROWTH","FQ4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7" s="2" t="e">
        <f ca="1">_xll.BDH($C$53,"DPS_SEQUENTIAL_GROWTH","FQ4 2016","FQ4 2016","Currency=INR","Period=FQ","BEST_FPERIOD_OVERRIDE=FQ","FILING_STATUS=OR","EQY_CONSOLIDATED=Y","Sort=A","Dates=H","DateFormat=P","Fill=—","Direction=H","UseDPDF=Y")</f>
        <v>#NAME?</v>
      </c>
      <c r="BL67" s="2" t="e">
        <f ca="1">_xll.BDH($C$53,"ACCOUNTS_RECEIVABLE_SEQ_GROWTH","FQ4 2016","FQ4 2016","Currency=INR","Period=FQ","BEST_FPERIOD_OVERRIDE=FQ","FILING_STATUS=OR","EQY_CONSOLIDATED=Y","Sort=A","Dates=H","DateFormat=P","Fill=—","Direction=H","UseDPDF=Y")</f>
        <v>#NAME?</v>
      </c>
      <c r="BM67" s="2" t="e">
        <f ca="1">_xll.BDH($C$53,"INVENTORY_SEQUENTIAL_GROWTH","FQ4 2016","FQ4 2016","Currency=INR","Period=FQ","BEST_FPERIOD_OVERRIDE=FQ","FILING_STATUS=OR","EQY_CONSOLIDATED=Y","Sort=A","Dates=H","DateFormat=P","Fill=—","Direction=H","UseDPDF=Y")</f>
        <v>#NAME?</v>
      </c>
      <c r="BN67" s="2" t="e">
        <f ca="1">_xll.BDH($C$53,"FIXED_ASSETS_SEQUENTIAL_GROWTH","FQ4 2016","FQ4 2016","Currency=INR","Period=FQ","BEST_FPERIOD_OVERRIDE=FQ","FILING_STATUS=OR","EQY_CONSOLIDATED=Y","Sort=A","Dates=H","DateFormat=P","Fill=—","Direction=H","UseDPDF=Y")</f>
        <v>#NAME?</v>
      </c>
      <c r="BO67" s="2" t="e">
        <f ca="1">_xll.BDH($C$53,"TOTAL_ASSETS_SEQUENTIAL_GROWTH","FQ4 2016","FQ4 2016","Currency=INR","Period=FQ","BEST_FPERIOD_OVERRIDE=FQ","FILING_STATUS=OR","EQY_CONSOLIDATED=Y","Sort=A","Dates=H","DateFormat=P","Fill=—","Direction=H","UseDPDF=Y")</f>
        <v>#NAME?</v>
      </c>
      <c r="BP67" s="2" t="e">
        <f ca="1">_xll.BDH($C$53,"MODIFIED_WORKING_CPTL_SEQ_GRWTH","FQ4 2016","FQ4 2016","Currency=INR","Period=FQ","BEST_FPERIOD_OVERRIDE=FQ","FILING_STATUS=OR","EQY_CONSOLIDATED=Y","Sort=A","Dates=H","DateFormat=P","Fill=—","Direction=H","UseDPDF=Y")</f>
        <v>#NAME?</v>
      </c>
      <c r="BQ67" s="2" t="e">
        <f ca="1">_xll.BDH($C$53,"WORKING_CAPITAL_SEQ_GROWTH","FQ4 2016","FQ4 2016","Currency=INR","Period=FQ","BEST_FPERIOD_OVERRIDE=FQ","FILING_STATUS=OR","EQY_CONSOLIDATED=Y","Sort=A","Dates=H","DateFormat=P","Fill=—","Direction=H","UseDPDF=Y")</f>
        <v>#NAME?</v>
      </c>
      <c r="BR67" s="2" t="e">
        <f ca="1">_xll.BDH($C$53,"ACCOUNTS_PAYABLE_SEQ_GROWTH","FQ4 2016","FQ4 2016","Currency=INR","Period=FQ","BEST_FPERIOD_OVERRIDE=FQ","FILING_STATUS=OR","EQY_CONSOLIDATED=Y","Sort=A","Dates=H","DateFormat=P","Fill=—","Direction=H","UseDPDF=Y")</f>
        <v>#NAME?</v>
      </c>
      <c r="BS67" s="2" t="e">
        <f ca="1">_xll.BDH($C$53,"ST_DEBT_SEQUENTIAL_GROWTH","FQ4 2016","FQ4 2016","Currency=INR","Period=FQ","BEST_FPERIOD_OVERRIDE=FQ","FILING_STATUS=OR","EQY_CONSOLIDATED=Y","Sort=A","Dates=H","DateFormat=P","Fill=—","Direction=H","UseDPDF=Y")</f>
        <v>#NAME?</v>
      </c>
      <c r="BT67" s="2" t="e">
        <f ca="1">_xll.BDH($C$53,"TOTAL_DEBT_SEQUENTIAL_GROWTH","FQ4 2016","FQ4 2016","Currency=INR","Period=FQ","BEST_FPERIOD_OVERRIDE=FQ","FILING_STATUS=OR","EQY_CONSOLIDATED=Y","Sort=A","Dates=H","DateFormat=P","Fill=—","Direction=H","UseDPDF=Y")</f>
        <v>#NAME?</v>
      </c>
      <c r="BU67" s="2" t="e">
        <f ca="1">_xll.BDH($C$53,"TOTAL_EQUITY_SEQUENTIAL_GROWTH","FQ4 2016","FQ4 2016","Currency=INR","Period=FQ","BEST_FPERIOD_OVERRIDE=FQ","FILING_STATUS=OR","EQY_CONSOLIDATED=Y","Sort=A","Dates=H","DateFormat=P","Fill=—","Direction=H","UseDPDF=Y")</f>
        <v>#NAME?</v>
      </c>
      <c r="BV67" s="2" t="e">
        <f ca="1">_xll.BDH($C$53,"TOTAL_CAPITAL_SEQUENTIAL_GROWTH","FQ4 2016","FQ4 2016","Currency=INR","Period=FQ","BEST_FPERIOD_OVERRIDE=FQ","FILING_STATUS=OR","EQY_CONSOLIDATED=Y","Sort=A","Dates=H","DateFormat=P","Fill=—","Direction=H","UseDPDF=Y")</f>
        <v>#NAME?</v>
      </c>
      <c r="BW67" s="2" t="e">
        <f ca="1">_xll.BDH($C$53,"BPS_SEQUENTIAL_GROWTH","FQ4 2016","FQ4 2016","Currency=INR","Period=FQ","BEST_FPERIOD_OVERRIDE=FQ","FILING_STATUS=OR","EQY_CONSOLIDATED=Y","Sort=A","Dates=H","DateFormat=P","Fill=—","Direction=H","UseDPDF=Y")</f>
        <v>#NAME?</v>
      </c>
      <c r="BX67" s="2" t="e">
        <f ca="1">_xll.BDH($C$53,"CFO_SEQUENTIAL_GROWTH","FQ4 2016","FQ4 2016","Currency=INR","Period=FQ","BEST_FPERIOD_OVERRIDE=FQ","FILING_STATUS=OR","EQY_CONSOLIDATED=Y","Sort=A","Dates=H","DateFormat=P","Fill=—","Direction=H","UseDPDF=Y")</f>
        <v>#NAME?</v>
      </c>
      <c r="BY67" s="3" t="e">
        <f ca="1">_xll.BDH($C$53,"SHORT_AND_LONG_TERM_DEBT","FQ4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7" s="3" t="e">
        <f ca="1">_xll.BDH($C$53,"BS_ST_BORROW","FQ4 2016","FQ4 2016","Currency=INR","Period=FQ","BEST_FPERIOD_OVERRIDE=FQ","FILING_STATUS=OR","EQY_CONSOLIDATED=Y","SCALING_FORMAT=MLN","Sort=A","Dates=H","DateFormat=P","Fill=—","Direction=H","UseDPDF=Y")</f>
        <v>#NAME?</v>
      </c>
      <c r="CA67" s="3" t="e">
        <f ca="1">_xll.BDH($C$53,"BS_LT_BORROW","FQ4 2016","FQ4 2016","Currency=INR","Period=FQ","BEST_FPERIOD_OVERRIDE=FQ","FILING_STATUS=OR","EQY_CONSOLIDATED=Y","SCALING_FORMAT=MLN","Sort=A","Dates=H","DateFormat=P","Fill=—","Direction=H","UseDPDF=Y")</f>
        <v>#NAME?</v>
      </c>
      <c r="CB67" s="2" t="e">
        <f ca="1">_xll.BDH($C$53,"TOT_DEBT_TO_EBITDA","FQ4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7" s="2" t="e">
        <f ca="1">_xll.BDH($C$53,"NET_DEBT_TO_EBITDA","FQ4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7" s="2" t="e">
        <f ca="1">_xll.BDH($C$53,"TOTAL_DEBT_TO_EBIT","FQ4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7" s="2" t="e">
        <f ca="1">_xll.BDH($C$53,"NET_DEBT_TO_EBIT","FQ4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7" s="2" t="e">
        <f ca="1">_xll.BDH($C$53,"EBITDA_TO_INTEREST_EXPN","FQ4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7" s="2" t="e">
        <f ca="1">_xll.BDH($C$53,"COM_EQY_TO_TOT_ASSET","FQ4 2016","FQ4 2016","Currency=INR","Period=FQ","BEST_FPERIOD_OVERRIDE=FQ","FILING_STATUS=OR","EQY_CONSOLIDATED=Y","Sort=A","Dates=H","DateFormat=P","Fill=—","Direction=H","UseDPDF=Y")</f>
        <v>#NAME?</v>
      </c>
      <c r="CH67" s="2" t="e">
        <f ca="1">_xll.BDH($C$53,"LT_DEBT_TO_TOT_EQY","FQ4 2016","FQ4 2016","Currency=INR","Period=FQ","BEST_FPERIOD_OVERRIDE=FQ","FILING_STATUS=OR","EQY_CONSOLIDATED=Y","Sort=A","Dates=H","DateFormat=P","Fill=—","Direction=H","UseDPDF=Y")</f>
        <v>#NAME?</v>
      </c>
      <c r="CI67" s="2" t="e">
        <f ca="1">_xll.BDH($C$53,"LT_DEBT_TO_TOT_CAP","FQ4 2016","FQ4 2016","Currency=INR","Period=FQ","BEST_FPERIOD_OVERRIDE=FQ","FILING_STATUS=OR","EQY_CONSOLIDATED=Y","Sort=A","Dates=H","DateFormat=P","Fill=—","Direction=H","UseDPDF=Y")</f>
        <v>#NAME?</v>
      </c>
      <c r="CJ67" s="2" t="e">
        <f ca="1">_xll.BDH($C$53,"LT_DEBT_TO_TOT_ASSET","FQ4 2016","FQ4 2016","Currency=INR","Period=FQ","BEST_FPERIOD_OVERRIDE=FQ","FILING_STATUS=OR","EQY_CONSOLIDATED=Y","Sort=A","Dates=H","DateFormat=P","Fill=—","Direction=H","UseDPDF=Y")</f>
        <v>#NAME?</v>
      </c>
      <c r="CK67" s="2" t="e">
        <f ca="1">_xll.BDH($C$53,"TOT_DEBT_TO_TOT_EQY","FQ4 2016","FQ4 2016","Currency=INR","Period=FQ","BEST_FPERIOD_OVERRIDE=FQ","FILING_STATUS=OR","EQY_CONSOLIDATED=Y","Sort=A","Dates=H","DateFormat=P","Fill=—","Direction=H","UseDPDF=Y")</f>
        <v>#NAME?</v>
      </c>
      <c r="CL67" s="2" t="e">
        <f ca="1">_xll.BDH($C$53,"TOT_DEBT_TO_TOT_CAP","FQ4 2016","FQ4 2016","Currency=INR","Period=FQ","BEST_FPERIOD_OVERRIDE=FQ","FILING_STATUS=OR","EQY_CONSOLIDATED=Y","Sort=A","Dates=H","DateFormat=P","Fill=—","Direction=H","UseDPDF=Y")</f>
        <v>#NAME?</v>
      </c>
      <c r="CM67" s="2" t="e">
        <f ca="1">_xll.BDH($C$53,"TOT_DEBT_TO_TOT_ASSET","FQ4 2016","FQ4 2016","Currency=INR","Period=FQ","BEST_FPERIOD_OVERRIDE=FQ","FILING_STATUS=OR","EQY_CONSOLIDATED=Y","Sort=A","Dates=H","DateFormat=P","Fill=—","Direction=H","UseDPDF=Y")</f>
        <v>#NAME?</v>
      </c>
      <c r="CN67" s="2" t="e">
        <f ca="1">_xll.BDH($C$53,"NET_DEBT_TO_SHRHLDR_EQTY","FQ4 2016","FQ4 2016","Currency=INR","Period=FQ","BEST_FPERIOD_OVERRIDE=FQ","FILING_STATUS=OR","EQY_CONSOLIDATED=Y","Sort=A","Dates=H","DateFormat=P","Fill=—","Direction=H","UseDPDF=Y")</f>
        <v>#NAME?</v>
      </c>
      <c r="CO67" s="2" t="e">
        <f ca="1">_xll.BDH($C$53,"NET_DEBT_%_CAPITAL","FQ4 2016","FQ4 2016","Currency=INR","Period=FQ","BEST_FPERIOD_OVERRIDE=FQ","FILING_STATUS=OR","EQY_CONSOLIDATED=Y","Sort=A","Dates=H","DateFormat=P","Fill=—","Direction=H","UseDPDF=Y")</f>
        <v>#NAME?</v>
      </c>
      <c r="CP67" s="3" t="e">
        <f ca="1">_xll.BDH($C$53,"EBITDA","FQ4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7" s="3" t="e">
        <f ca="1">_xll.BDH($C$53,"EBITDA_AFTER_CAPEX","FQ4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7" s="3" t="e">
        <f ca="1">_xll.BDH($C$53,"IS_OPER_INC","FQ4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7" s="2" t="e">
        <f ca="1">_xll.BDH($C$53,"CASH_RATIO","FQ4 2016","FQ4 2016","Currency=INR","Period=FQ","BEST_FPERIOD_OVERRIDE=FQ","FILING_STATUS=OR","EQY_CONSOLIDATED=Y","Sort=A","Dates=H","DateFormat=P","Fill=—","Direction=H","UseDPDF=Y")</f>
        <v>#NAME?</v>
      </c>
      <c r="CT67" s="2" t="e">
        <f ca="1">_xll.BDH($C$53,"CUR_RATIO","FQ4 2016","FQ4 2016","Currency=INR","Period=FQ","BEST_FPERIOD_OVERRIDE=FQ","FILING_STATUS=OR","EQY_CONSOLIDATED=Y","Sort=A","Dates=H","DateFormat=P","Fill=—","Direction=H","UseDPDF=Y")</f>
        <v>#NAME?</v>
      </c>
      <c r="CU67" s="2" t="e">
        <f ca="1">_xll.BDH($C$53,"QUICK_RATIO","FQ4 2016","FQ4 2016","Currency=INR","Period=FQ","BEST_FPERIOD_OVERRIDE=FQ","FILING_STATUS=OR","EQY_CONSOLIDATED=Y","Sort=A","Dates=H","DateFormat=P","Fill=—","Direction=H","UseDPDF=Y")</f>
        <v>#NAME?</v>
      </c>
      <c r="CV67" s="2" t="e">
        <f ca="1">_xll.BDH($C$53,"ALTMAN_Z_SCORE","FQ4 2016","FQ4 2016","Currency=INR","Period=FQ","BEST_FPERIOD_OVERRIDE=FQ","FILING_STATUS=OR","EQY_CONSOLIDATED=Y","Sort=A","Dates=H","DateFormat=P","Fill=—","Direction=H","UseDPDF=Y")</f>
        <v>#NAME?</v>
      </c>
      <c r="CW67" s="4" t="e">
        <f ca="1">_xll.BDH($C$53,"ACCT_RCV_TURN","FQ4 2016","FQ4 2016","Currency=INR","Period=FQ","BEST_FPERIOD_OVERRIDE=FQ","FILING_STATUS=OR","EQY_CONSOLIDATED=Y","FA_ADJUSTED=GAAP","Sort=A","Dates=H","DateFormat=P","Fill=—","Direction=H","UseDPDF=Y")</f>
        <v>#NAME?</v>
      </c>
      <c r="CX67" s="2" t="e">
        <f ca="1">_xll.BDH($C$53,"ACCT_RCV_DAYS","FQ4 2016","FQ4 2016","Currency=INR","Period=FQ","BEST_FPERIOD_OVERRIDE=FQ","FILING_STATUS=OR","EQY_CONSOLIDATED=Y","FA_ADJUSTED=GAAP","Sort=A","Dates=H","DateFormat=P","Fill=—","Direction=H","UseDPDF=Y")</f>
        <v>#NAME?</v>
      </c>
      <c r="CY67" s="4" t="e">
        <f ca="1">_xll.BDH($C$53,"INVENT_TURN","FQ4 2016","FQ4 2016","Currency=INR","Period=FQ","BEST_FPERIOD_OVERRIDE=FQ","FILING_STATUS=OR","EQY_CONSOLIDATED=Y","FA_ADJUSTED=GAAP","Sort=A","Dates=H","DateFormat=P","Fill=—","Direction=H","UseDPDF=Y")</f>
        <v>#NAME?</v>
      </c>
      <c r="CZ67" s="2" t="e">
        <f ca="1">_xll.BDH($C$53,"INVENT_DAYS","FQ4 2016","FQ4 2016","Currency=INR","Period=FQ","BEST_FPERIOD_OVERRIDE=FQ","FILING_STATUS=OR","EQY_CONSOLIDATED=Y","FA_ADJUSTED=GAAP","Sort=A","Dates=H","DateFormat=P","Fill=—","Direction=H","UseDPDF=Y")</f>
        <v>#NAME?</v>
      </c>
      <c r="DA67" s="4" t="e">
        <f ca="1">_xll.BDH($C$53,"ACCOUNTS_PAYABLE_TURNOVER","FQ4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7" s="2" t="e">
        <f ca="1">_xll.BDH($C$53,"ACCOUNTS_PAYABLE_TURNOVER_DAYS","FQ4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7" s="4" t="e">
        <f ca="1">_xll.BDH($C$53,"CASH_CONVERSION_CYCLE","FQ4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7" s="4" t="e">
        <f ca="1">_xll.BDH($C$53,"INV_TO_CASH_DAYS","FQ4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7" s="5" t="e">
        <f ca="1">_xll.BDH($C$53,"BS_INVENTORIES","FQ4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7" s="3" t="e">
        <f ca="1">_xll.BDH($C$53,"INVTRY_RAW_MATERIALS","FQ4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7" s="3" t="e">
        <f ca="1">_xll.BDH($C$53,"INVTRY_IN_PROGRESS","FQ4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7" s="3" t="e">
        <f ca="1">_xll.BDH($C$53,"INVTRY_FINISHED_GOODS","FQ4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7" s="3" t="e">
        <f ca="1">_xll.BDH($C$53,"BS_OTHER_INV","FQ4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8" spans="1:113" x14ac:dyDescent="0.3">
      <c r="A68" s="6"/>
      <c r="B68" s="6"/>
      <c r="C68" s="6"/>
      <c r="D68" s="6" t="s">
        <v>84</v>
      </c>
      <c r="E68" t="s">
        <v>77</v>
      </c>
      <c r="F68" t="e">
        <f ca="1">_xll.BDH($C$53,"RETURN_COM_EQY","FY 2017","FY 2017","Currency=INR","Period=FY","BEST_FPERIOD_OVERRIDE=FY","FILING_STATUS=OR","EQY_CONSOLIDATED=Y","FA_ADJUSTED=GAAP","Sort=A","Dates=H","DateFormat=P","Fill=—","Direction=H","UseDPDF=Y")</f>
        <v>#NAME?</v>
      </c>
      <c r="G68" t="e">
        <f ca="1">_xll.BDH($C$53,"RETURN_ON_ASSET","FY 2017","FY 2017","Currency=INR","Period=FY","BEST_FPERIOD_OVERRIDE=FY","FILING_STATUS=OR","EQY_CONSOLIDATED=Y","FA_ADJUSTED=GAAP","Sort=A","Dates=H","DateFormat=P","Fill=—","Direction=H","UseDPDF=Y")</f>
        <v>#NAME?</v>
      </c>
      <c r="H68" t="e">
        <f ca="1">_xll.BDH($C$53,"RETURN_ON_CAP","FY 2017","FY 2017","Currency=INR","Period=FY","BEST_FPERIOD_OVERRIDE=FY","FILING_STATUS=OR","EQY_CONSOLIDATED=Y","FA_ADJUSTED=GAAP","Sort=A","Dates=H","DateFormat=P","Fill=—","Direction=H","UseDPDF=Y")</f>
        <v>#NAME?</v>
      </c>
      <c r="I68" t="e">
        <f ca="1">_xll.BDH($C$53,"RETURN_ON_INV_CAPITAL","FY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8" t="e">
        <f ca="1">_xll.BDH($C$53,"EBITDA_TO_REVENUE","FY 2017","FY 2017","Currency=INR","Period=FY","BEST_FPERIOD_OVERRIDE=FY","FILING_STATUS=OR","EQY_CONSOLIDATED=Y","FA_ADJUSTED=GAAP","Sort=A","Dates=H","DateFormat=P","Fill=—","Direction=H","UseDPDF=Y")</f>
        <v>#NAME?</v>
      </c>
      <c r="K68" t="e">
        <f ca="1">_xll.BDH($C$53,"OPER_MARGIN","FY 2017","FY 2017","Currency=INR","Period=FY","BEST_FPERIOD_OVERRIDE=FY","FILING_STATUS=OR","EQY_CONSOLIDATED=Y","FA_ADJUSTED=GAAP","Sort=A","Dates=H","DateFormat=P","Fill=—","Direction=H","UseDPDF=Y")</f>
        <v>#NAME?</v>
      </c>
      <c r="L68" t="e">
        <f ca="1">_xll.BDH($C$53,"INCREMENTAL_OPERATING_MARGIN","FY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8" t="e">
        <f ca="1">_xll.BDH($C$53,"PRETAX_INC_TO_NET_SALES","FY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8" t="e">
        <f ca="1">_xll.BDH($C$53,"INC_BEF_XO_ITEMS_TO_NET_SALES","FY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8" t="e">
        <f ca="1">_xll.BDH($C$53,"PROF_MARGIN","FY 2017","FY 2017","Currency=INR","Period=FY","BEST_FPERIOD_OVERRIDE=FY","FILING_STATUS=OR","EQY_CONSOLIDATED=Y","FA_ADJUSTED=GAAP","Sort=A","Dates=H","DateFormat=P","Fill=—","Direction=H","UseDPDF=Y")</f>
        <v>#NAME?</v>
      </c>
      <c r="P68" t="e">
        <f ca="1">_xll.BDH($C$53,"NET_INCOME_TO_COMMON_MARGIN","FY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8" t="e">
        <f ca="1">_xll.BDH($C$53,"EFF_TAX_RATE","FY 2017","FY 2017","Currency=INR","Period=FY","BEST_FPERIOD_OVERRIDE=FY","FILING_STATUS=OR","EQY_CONSOLIDATED=Y","FA_ADJUSTED=GAAP","Sort=A","Dates=H","DateFormat=P","Fill=—","Direction=H","UseDPDF=Y")</f>
        <v>#NAME?</v>
      </c>
      <c r="R68" t="e">
        <f ca="1">_xll.BDH($C$53,"DVD_PAYOUT_RATIO","FY 2017","FY 2017","Currency=INR","Period=FY","BEST_FPERIOD_OVERRIDE=FY","FILING_STATUS=OR","EQY_CONSOLIDATED=Y","FA_ADJUSTED=GAAP","Sort=A","Dates=H","DateFormat=P","Fill=—","Direction=H","UseDPDF=Y")</f>
        <v>#NAME?</v>
      </c>
      <c r="S68" t="e">
        <f ca="1">_xll.BDH($C$53,"SUSTAIN_GROWTH_RT","FY 2017","FY 2017","Currency=INR","Period=FY","BEST_FPERIOD_OVERRIDE=FY","FILING_STATUS=OR","EQY_CONSOLIDATED=Y","FA_ADJUSTED=GAAP","Sort=A","Dates=H","DateFormat=P","Fill=—","Direction=H","UseDPDF=Y")</f>
        <v>#NAME?</v>
      </c>
      <c r="T68" s="2" t="e">
        <f ca="1">_xll.BDH($C$53,"SALES_GROWTH","FY 2017","FY 2017","Currency=INR","Period=FY","BEST_FPERIOD_OVERRIDE=FY","FILING_STATUS=OR","EQY_CONSOLIDATED=Y","FA_ADJUSTED=GAAP","Sort=A","Dates=H","DateFormat=P","Fill=—","Direction=H","UseDPDF=Y")</f>
        <v>#NAME?</v>
      </c>
      <c r="U68" s="2" t="e">
        <f ca="1">_xll.BDH($C$53,"EBITDA_GROWTH","FY 2017","FY 2017","Currency=INR","Period=FY","BEST_FPERIOD_OVERRIDE=FY","FILING_STATUS=OR","EQY_CONSOLIDATED=Y","FA_ADJUSTED=GAAP","Sort=A","Dates=H","DateFormat=P","Fill=—","Direction=H","UseDPDF=Y")</f>
        <v>#NAME?</v>
      </c>
      <c r="V68" s="2" t="e">
        <f ca="1">_xll.BDH($C$53,"OPER_INC_GROWTH","FY 2017","FY 2017","Currency=INR","Period=FY","BEST_FPERIOD_OVERRIDE=FY","FILING_STATUS=OR","EQY_CONSOLIDATED=Y","FA_ADJUSTED=GAAP","Sort=A","Dates=H","DateFormat=P","Fill=—","Direction=H","UseDPDF=Y")</f>
        <v>#NAME?</v>
      </c>
      <c r="W68" s="2" t="e">
        <f ca="1">_xll.BDH($C$53,"EARN_FOR_COM_GROWTH","FY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8" s="2" t="e">
        <f ca="1">_xll.BDH($C$53,"DILUTED_EPS_AFT_XO_ITEMS_GROWTH","FY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8" s="2" t="e">
        <f ca="1">_xll.BDH($C$53,"DIVIDEND_PER_SHARE_1_YEAR_GROWTH","FY 2017","FY 2017","Currency=INR","Period=FY","BEST_FPERIOD_OVERRIDE=FY","FILING_STATUS=OR","EQY_CONSOLIDATED=Y","Sort=A","Dates=H","DateFormat=P","Fill=—","Direction=H","UseDPDF=Y")</f>
        <v>#NAME?</v>
      </c>
      <c r="Z68" s="2" t="e">
        <f ca="1">_xll.BDH($C$53,"ACCOUNTS_RECEIVABLE_GROWTH","FY 2017","FY 2017","Currency=INR","Period=FY","BEST_FPERIOD_OVERRIDE=FY","FILING_STATUS=OR","EQY_CONSOLIDATED=Y","Sort=A","Dates=H","DateFormat=P","Fill=—","Direction=H","UseDPDF=Y")</f>
        <v>#NAME?</v>
      </c>
      <c r="AA68" s="2" t="e">
        <f ca="1">_xll.BDH($C$53,"INVENTORY_GROWTH","FY 2017","FY 2017","Currency=INR","Period=FY","BEST_FPERIOD_OVERRIDE=FY","FILING_STATUS=OR","EQY_CONSOLIDATED=Y","Sort=A","Dates=H","DateFormat=P","Fill=—","Direction=H","UseDPDF=Y")</f>
        <v>#NAME?</v>
      </c>
      <c r="AB68" s="2" t="e">
        <f ca="1">_xll.BDH($C$53,"NET_FIXED_ASSETS_1_YEAR_GROWTH","FY 2017","FY 2017","Currency=INR","Period=FY","BEST_FPERIOD_OVERRIDE=FY","FILING_STATUS=OR","EQY_CONSOLIDATED=Y","Sort=A","Dates=H","DateFormat=P","Fill=—","Direction=H","UseDPDF=Y")</f>
        <v>#NAME?</v>
      </c>
      <c r="AC68" s="2" t="e">
        <f ca="1">_xll.BDH($C$53,"ASSET_GROWTH","FY 2017","FY 2017","Currency=INR","Period=FY","BEST_FPERIOD_OVERRIDE=FY","FILING_STATUS=OR","EQY_CONSOLIDATED=Y","Sort=A","Dates=H","DateFormat=P","Fill=—","Direction=H","UseDPDF=Y")</f>
        <v>#NAME?</v>
      </c>
      <c r="AD68" s="2" t="e">
        <f ca="1">_xll.BDH($C$53,"MODIFIED_WORK_CAP_GROWTH","FY 2017","FY 2017","Currency=INR","Period=FY","BEST_FPERIOD_OVERRIDE=FY","FILING_STATUS=OR","EQY_CONSOLIDATED=Y","Sort=A","Dates=H","DateFormat=P","Fill=—","Direction=H","UseDPDF=Y")</f>
        <v>#NAME?</v>
      </c>
      <c r="AE68" s="2" t="e">
        <f ca="1">_xll.BDH($C$53,"WORK_CAP_GROWTH","FY 2017","FY 2017","Currency=INR","Period=FY","BEST_FPERIOD_OVERRIDE=FY","FILING_STATUS=OR","EQY_CONSOLIDATED=Y","Sort=A","Dates=H","DateFormat=P","Fill=—","Direction=H","UseDPDF=Y")</f>
        <v>#NAME?</v>
      </c>
      <c r="AF68" s="2" t="e">
        <f ca="1">_xll.BDH($C$53,"ACCOUNTS_PAYABLE_GROWTH_1YR","FY 2017","FY 2017","Currency=INR","Period=FY","BEST_FPERIOD_OVERRIDE=FY","FILING_STATUS=OR","EQY_CONSOLIDATED=Y","Sort=A","Dates=H","DateFormat=P","Fill=—","Direction=H","UseDPDF=Y")</f>
        <v>#NAME?</v>
      </c>
      <c r="AG68" s="2" t="e">
        <f ca="1">_xll.BDH($C$53,"SHORT_TERM_DEBT_1_YEAR_GROWTH","FY 2017","FY 2017","Currency=INR","Period=FY","BEST_FPERIOD_OVERRIDE=FY","FILING_STATUS=OR","EQY_CONSOLIDATED=Y","Sort=A","Dates=H","DateFormat=P","Fill=—","Direction=H","UseDPDF=Y")</f>
        <v>#NAME?</v>
      </c>
      <c r="AH68" s="2" t="e">
        <f ca="1">_xll.BDH($C$53,"TOTAL_DEBT_1_YEAR_GROWTH","FY 2017","FY 2017","Currency=INR","Period=FY","BEST_FPERIOD_OVERRIDE=FY","FILING_STATUS=OR","EQY_CONSOLIDATED=Y","Sort=A","Dates=H","DateFormat=P","Fill=—","Direction=H","UseDPDF=Y")</f>
        <v>#NAME?</v>
      </c>
      <c r="AI68" s="2" t="e">
        <f ca="1">_xll.BDH($C$53,"TOTAL_EQUITY_1_YEAR_GROWTH","FY 2017","FY 2017","Currency=INR","Period=FY","BEST_FPERIOD_OVERRIDE=FY","FILING_STATUS=OR","EQY_CONSOLIDATED=Y","Sort=A","Dates=H","DateFormat=P","Fill=—","Direction=H","UseDPDF=Y")</f>
        <v>#NAME?</v>
      </c>
      <c r="AJ68" s="2" t="e">
        <f ca="1">_xll.BDH($C$53,"GROWTH_IN_CAP","FY 2017","FY 2017","Currency=INR","Period=FY","BEST_FPERIOD_OVERRIDE=FY","FILING_STATUS=OR","EQY_CONSOLIDATED=Y","Sort=A","Dates=H","DateFormat=P","Fill=—","Direction=H","UseDPDF=Y")</f>
        <v>#NAME?</v>
      </c>
      <c r="AK68" s="2" t="e">
        <f ca="1">_xll.BDH($C$53,"BVPS_GROWTH","FY 2017","FY 2017","Currency=INR","Period=FY","BEST_FPERIOD_OVERRIDE=FY","FILING_STATUS=OR","EQY_CONSOLIDATED=Y","Sort=A","Dates=H","DateFormat=P","Fill=—","Direction=H","UseDPDF=Y")</f>
        <v>#NAME?</v>
      </c>
      <c r="AL68" s="2" t="e">
        <f ca="1">_xll.BDH($C$53,"CASH_FLOW_GROWTH","FY 2017","FY 2017","Currency=INR","Period=FY","BEST_FPERIOD_OVERRIDE=FY","FILING_STATUS=OR","EQY_CONSOLIDATED=Y","Sort=A","Dates=H","DateFormat=P","Fill=—","Direction=H","UseDPDF=Y")</f>
        <v>#NAME?</v>
      </c>
      <c r="AM68" s="2" t="e">
        <f ca="1">_xll.BDH($C$53,"GEO_GROW_NET_SALES","FY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8" s="2" t="e">
        <f ca="1">_xll.BDH($C$53,"GEO_GROW_EBITDA","FY 2017","FY 2017","Currency=INR","Period=FY","BEST_FPERIOD_OVERRIDE=FY","FILING_STATUS=OR","EQY_CONSOLIDATED=Y","FA_ADJUSTED=GAAP","Sort=A","Dates=H","DateFormat=P","Fill=—","Direction=H","UseDPDF=Y")</f>
        <v>#NAME?</v>
      </c>
      <c r="AO68" s="2" t="e">
        <f ca="1">_xll.BDH($C$53,"GEO_GROW_OPER_INC","FY 2017","FY 2017","Currency=INR","Period=FY","BEST_FPERIOD_OVERRIDE=FY","FILING_STATUS=OR","EQY_CONSOLIDATED=Y","FA_ADJUSTED=GAAP","Sort=A","Dates=H","DateFormat=P","Fill=—","Direction=H","UseDPDF=Y")</f>
        <v>#NAME?</v>
      </c>
      <c r="AP68" s="2" t="e">
        <f ca="1">_xll.BDH($C$53,"NET_INCOME_TO_COMMON_5_YR_GROWTH","FY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8" s="2" t="e">
        <f ca="1">_xll.BDH($C$53,"5Y_GEO_GROWTH_DILUTED_EPS","FY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8" s="2" t="e">
        <f ca="1">_xll.BDH($C$53,"GEO_GROW_DVD_PER_SH","FY 2017","FY 2017","Currency=INR","Period=FY","BEST_FPERIOD_OVERRIDE=FY","FILING_STATUS=OR","EQY_CONSOLIDATED=Y","Sort=A","Dates=H","DateFormat=P","Fill=—","Direction=H","UseDPDF=Y")</f>
        <v>#NAME?</v>
      </c>
      <c r="AS68" s="2" t="e">
        <f ca="1">_xll.BDH($C$53,"ACCOUNTS_RECEIVABLE_5_YR_GROWTH","FY 2017","FY 2017","Currency=INR","Period=FY","BEST_FPERIOD_OVERRIDE=FY","FILING_STATUS=OR","EQY_CONSOLIDATED=Y","Sort=A","Dates=H","DateFormat=P","Fill=—","Direction=H","UseDPDF=Y")</f>
        <v>#NAME?</v>
      </c>
      <c r="AT68" s="2" t="e">
        <f ca="1">_xll.BDH($C$53,"INVENTORY_5_YEAR_GROWTH","FY 2017","FY 2017","Currency=INR","Period=FY","BEST_FPERIOD_OVERRIDE=FY","FILING_STATUS=OR","EQY_CONSOLIDATED=Y","Sort=A","Dates=H","DateFormat=P","Fill=—","Direction=H","UseDPDF=Y")</f>
        <v>#NAME?</v>
      </c>
      <c r="AU68" s="2" t="e">
        <f ca="1">_xll.BDH($C$53,"NET_FIXED_ASSETS_5_YEAR_GROWTH","FY 2017","FY 2017","Currency=INR","Period=FY","BEST_FPERIOD_OVERRIDE=FY","FILING_STATUS=OR","EQY_CONSOLIDATED=Y","Sort=A","Dates=H","DateFormat=P","Fill=—","Direction=H","UseDPDF=Y")</f>
        <v>#NAME?</v>
      </c>
      <c r="AV68" s="2" t="e">
        <f ca="1">_xll.BDH($C$53,"GEO_GROW_TOT_ASSET","FY 2017","FY 2017","Currency=INR","Period=FY","BEST_FPERIOD_OVERRIDE=FY","FILING_STATUS=OR","EQY_CONSOLIDATED=Y","Sort=A","Dates=H","DateFormat=P","Fill=—","Direction=H","UseDPDF=Y")</f>
        <v>#NAME?</v>
      </c>
      <c r="AW68" s="2" t="e">
        <f ca="1">_xll.BDH($C$53,"MODIFIED_WORKING_CPTL_5YR_GRWTH","FY 2017","FY 2017","Currency=INR","Period=FY","BEST_FPERIOD_OVERRIDE=FY","FILING_STATUS=OR","EQY_CONSOLIDATED=Y","Sort=A","Dates=H","DateFormat=P","Fill=—","Direction=H","UseDPDF=Y")</f>
        <v>#NAME?</v>
      </c>
      <c r="AX68" s="2" t="e">
        <f ca="1">_xll.BDH($C$53,"WORKING_CAPITAL_5_YEAR_GROWTH","FY 2017","FY 2017","Currency=INR","Period=FY","BEST_FPERIOD_OVERRIDE=FY","FILING_STATUS=OR","EQY_CONSOLIDATED=Y","Sort=A","Dates=H","DateFormat=P","Fill=—","Direction=H","UseDPDF=Y")</f>
        <v>#NAME?</v>
      </c>
      <c r="AY68" s="2" t="e">
        <f ca="1">_xll.BDH($C$53,"ACCOUNTS_PAYABLE_5_YEAR_GROWTH","FY 2017","FY 2017","Currency=INR","Period=FY","BEST_FPERIOD_OVERRIDE=FY","FILING_STATUS=OR","EQY_CONSOLIDATED=Y","Sort=A","Dates=H","DateFormat=P","Fill=—","Direction=H","UseDPDF=Y")</f>
        <v>#NAME?</v>
      </c>
      <c r="AZ68" s="2" t="e">
        <f ca="1">_xll.BDH($C$53,"SHORT_TERM_DEBT_5_YEAR_GROWTH","FY 2017","FY 2017","Currency=INR","Period=FY","BEST_FPERIOD_OVERRIDE=FY","FILING_STATUS=OR","EQY_CONSOLIDATED=Y","Sort=A","Dates=H","DateFormat=P","Fill=—","Direction=H","UseDPDF=Y")</f>
        <v>#NAME?</v>
      </c>
      <c r="BA68" s="2" t="e">
        <f ca="1">_xll.BDH($C$53,"TOTAL_DEBT_5_YEAR_GROWTH","FY 2017","FY 2017","Currency=INR","Period=FY","BEST_FPERIOD_OVERRIDE=FY","FILING_STATUS=OR","EQY_CONSOLIDATED=Y","Sort=A","Dates=H","DateFormat=P","Fill=—","Direction=H","UseDPDF=Y")</f>
        <v>#NAME?</v>
      </c>
      <c r="BB68" s="2" t="e">
        <f ca="1">_xll.BDH($C$53,"GEO_GROW_TOT_SHRHLDR_EQY","FY 2017","FY 2017","Currency=INR","Period=FY","BEST_FPERIOD_OVERRIDE=FY","FILING_STATUS=OR","EQY_CONSOLIDATED=Y","Sort=A","Dates=H","DateFormat=P","Fill=—","Direction=H","UseDPDF=Y")</f>
        <v>#NAME?</v>
      </c>
      <c r="BC68" s="2" t="e">
        <f ca="1">_xll.BDH($C$53,"TOTAL_CAPITAL_5_YEAR_GROWTH","FY 2017","FY 2017","Currency=INR","Period=FY","BEST_FPERIOD_OVERRIDE=FY","FILING_STATUS=OR","EQY_CONSOLIDATED=Y","Sort=A","Dates=H","DateFormat=P","Fill=—","Direction=H","UseDPDF=Y")</f>
        <v>#NAME?</v>
      </c>
      <c r="BD68" s="2" t="e">
        <f ca="1">_xll.BDH($C$53,"GEO_GROW_BOOK_VAL","FY 2017","FY 2017","Currency=INR","Period=FY","BEST_FPERIOD_OVERRIDE=FY","FILING_STATUS=OR","EQY_CONSOLIDATED=Y","Sort=A","Dates=H","DateFormat=P","Fill=—","Direction=H","UseDPDF=Y")</f>
        <v>#NAME?</v>
      </c>
      <c r="BE68" s="2" t="e">
        <f ca="1">_xll.BDH($C$53,"GEO_GROW_CASH_OPER_ACT","FY 2017","FY 2017","Currency=INR","Period=FY","BEST_FPERIOD_OVERRIDE=FY","FILING_STATUS=OR","EQY_CONSOLIDATED=Y","Sort=A","Dates=H","DateFormat=P","Fill=—","Direction=H","UseDPDF=Y")</f>
        <v>#NAME?</v>
      </c>
      <c r="BF68" s="2" t="e">
        <f ca="1">_xll.BDH($C$53,"REVENUE_SEQUENTIAL_GROWTH","FY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8" s="2" t="e">
        <f ca="1">_xll.BDH($C$53,"EBITDA_SEQUENTIAL_GROWTH","FY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8" s="2" t="e">
        <f ca="1">_xll.BDH($C$53,"OPERATING_INCOME_SEQ_GROWTH","FY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8" s="2" t="e">
        <f ca="1">_xll.BDH($C$53,"NET_INCOME_TO_COMMON_SEQ_GROWTH","FY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8" s="2" t="e">
        <f ca="1">_xll.BDH($C$53,"EPS_DILUTED_SEQUENTIAL_GROWTH","FY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8" s="2" t="e">
        <f ca="1">_xll.BDH($C$53,"DPS_SEQUENTIAL_GROWTH","FY 2017","FY 2017","Currency=INR","Period=FY","BEST_FPERIOD_OVERRIDE=FY","FILING_STATUS=OR","EQY_CONSOLIDATED=Y","Sort=A","Dates=H","DateFormat=P","Fill=—","Direction=H","UseDPDF=Y")</f>
        <v>#NAME?</v>
      </c>
      <c r="BL68" s="2" t="e">
        <f ca="1">_xll.BDH($C$53,"ACCOUNTS_RECEIVABLE_SEQ_GROWTH","FY 2017","FY 2017","Currency=INR","Period=FY","BEST_FPERIOD_OVERRIDE=FY","FILING_STATUS=OR","EQY_CONSOLIDATED=Y","Sort=A","Dates=H","DateFormat=P","Fill=—","Direction=H","UseDPDF=Y")</f>
        <v>#NAME?</v>
      </c>
      <c r="BM68" s="2" t="e">
        <f ca="1">_xll.BDH($C$53,"INVENTORY_SEQUENTIAL_GROWTH","FY 2017","FY 2017","Currency=INR","Period=FY","BEST_FPERIOD_OVERRIDE=FY","FILING_STATUS=OR","EQY_CONSOLIDATED=Y","Sort=A","Dates=H","DateFormat=P","Fill=—","Direction=H","UseDPDF=Y")</f>
        <v>#NAME?</v>
      </c>
      <c r="BN68" s="2" t="e">
        <f ca="1">_xll.BDH($C$53,"FIXED_ASSETS_SEQUENTIAL_GROWTH","FY 2017","FY 2017","Currency=INR","Period=FY","BEST_FPERIOD_OVERRIDE=FY","FILING_STATUS=OR","EQY_CONSOLIDATED=Y","Sort=A","Dates=H","DateFormat=P","Fill=—","Direction=H","UseDPDF=Y")</f>
        <v>#NAME?</v>
      </c>
      <c r="BO68" s="2" t="e">
        <f ca="1">_xll.BDH($C$53,"TOTAL_ASSETS_SEQUENTIAL_GROWTH","FY 2017","FY 2017","Currency=INR","Period=FY","BEST_FPERIOD_OVERRIDE=FY","FILING_STATUS=OR","EQY_CONSOLIDATED=Y","Sort=A","Dates=H","DateFormat=P","Fill=—","Direction=H","UseDPDF=Y")</f>
        <v>#NAME?</v>
      </c>
      <c r="BP68" s="2" t="e">
        <f ca="1">_xll.BDH($C$53,"MODIFIED_WORKING_CPTL_SEQ_GRWTH","FY 2017","FY 2017","Currency=INR","Period=FY","BEST_FPERIOD_OVERRIDE=FY","FILING_STATUS=OR","EQY_CONSOLIDATED=Y","Sort=A","Dates=H","DateFormat=P","Fill=—","Direction=H","UseDPDF=Y")</f>
        <v>#NAME?</v>
      </c>
      <c r="BQ68" s="2" t="e">
        <f ca="1">_xll.BDH($C$53,"WORKING_CAPITAL_SEQ_GROWTH","FY 2017","FY 2017","Currency=INR","Period=FY","BEST_FPERIOD_OVERRIDE=FY","FILING_STATUS=OR","EQY_CONSOLIDATED=Y","Sort=A","Dates=H","DateFormat=P","Fill=—","Direction=H","UseDPDF=Y")</f>
        <v>#NAME?</v>
      </c>
      <c r="BR68" s="2" t="e">
        <f ca="1">_xll.BDH($C$53,"ACCOUNTS_PAYABLE_SEQ_GROWTH","FY 2017","FY 2017","Currency=INR","Period=FY","BEST_FPERIOD_OVERRIDE=FY","FILING_STATUS=OR","EQY_CONSOLIDATED=Y","Sort=A","Dates=H","DateFormat=P","Fill=—","Direction=H","UseDPDF=Y")</f>
        <v>#NAME?</v>
      </c>
      <c r="BS68" s="2" t="e">
        <f ca="1">_xll.BDH($C$53,"ST_DEBT_SEQUENTIAL_GROWTH","FY 2017","FY 2017","Currency=INR","Period=FY","BEST_FPERIOD_OVERRIDE=FY","FILING_STATUS=OR","EQY_CONSOLIDATED=Y","Sort=A","Dates=H","DateFormat=P","Fill=—","Direction=H","UseDPDF=Y")</f>
        <v>#NAME?</v>
      </c>
      <c r="BT68" s="2" t="e">
        <f ca="1">_xll.BDH($C$53,"TOTAL_DEBT_SEQUENTIAL_GROWTH","FY 2017","FY 2017","Currency=INR","Period=FY","BEST_FPERIOD_OVERRIDE=FY","FILING_STATUS=OR","EQY_CONSOLIDATED=Y","Sort=A","Dates=H","DateFormat=P","Fill=—","Direction=H","UseDPDF=Y")</f>
        <v>#NAME?</v>
      </c>
      <c r="BU68" s="2" t="e">
        <f ca="1">_xll.BDH($C$53,"TOTAL_EQUITY_SEQUENTIAL_GROWTH","FY 2017","FY 2017","Currency=INR","Period=FY","BEST_FPERIOD_OVERRIDE=FY","FILING_STATUS=OR","EQY_CONSOLIDATED=Y","Sort=A","Dates=H","DateFormat=P","Fill=—","Direction=H","UseDPDF=Y")</f>
        <v>#NAME?</v>
      </c>
      <c r="BV68" s="2" t="e">
        <f ca="1">_xll.BDH($C$53,"TOTAL_CAPITAL_SEQUENTIAL_GROWTH","FY 2017","FY 2017","Currency=INR","Period=FY","BEST_FPERIOD_OVERRIDE=FY","FILING_STATUS=OR","EQY_CONSOLIDATED=Y","Sort=A","Dates=H","DateFormat=P","Fill=—","Direction=H","UseDPDF=Y")</f>
        <v>#NAME?</v>
      </c>
      <c r="BW68" s="2" t="e">
        <f ca="1">_xll.BDH($C$53,"BPS_SEQUENTIAL_GROWTH","FY 2017","FY 2017","Currency=INR","Period=FY","BEST_FPERIOD_OVERRIDE=FY","FILING_STATUS=OR","EQY_CONSOLIDATED=Y","Sort=A","Dates=H","DateFormat=P","Fill=—","Direction=H","UseDPDF=Y")</f>
        <v>#NAME?</v>
      </c>
      <c r="BX68" s="2" t="e">
        <f ca="1">_xll.BDH($C$53,"CFO_SEQUENTIAL_GROWTH","FY 2017","FY 2017","Currency=INR","Period=FY","BEST_FPERIOD_OVERRIDE=FY","FILING_STATUS=OR","EQY_CONSOLIDATED=Y","Sort=A","Dates=H","DateFormat=P","Fill=—","Direction=H","UseDPDF=Y")</f>
        <v>#NAME?</v>
      </c>
      <c r="BY68" s="3" t="e">
        <f ca="1">_xll.BDH($C$53,"SHORT_AND_LONG_TERM_DEBT","FY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8" s="3" t="e">
        <f ca="1">_xll.BDH($C$53,"BS_ST_BORROW","FY 2017","FY 2017","Currency=INR","Period=FY","BEST_FPERIOD_OVERRIDE=FY","FILING_STATUS=OR","EQY_CONSOLIDATED=Y","SCALING_FORMAT=MLN","Sort=A","Dates=H","DateFormat=P","Fill=—","Direction=H","UseDPDF=Y")</f>
        <v>#NAME?</v>
      </c>
      <c r="CA68" s="3" t="e">
        <f ca="1">_xll.BDH($C$53,"BS_LT_BORROW","FY 2017","FY 2017","Currency=INR","Period=FY","BEST_FPERIOD_OVERRIDE=FY","FILING_STATUS=OR","EQY_CONSOLIDATED=Y","SCALING_FORMAT=MLN","Sort=A","Dates=H","DateFormat=P","Fill=—","Direction=H","UseDPDF=Y")</f>
        <v>#NAME?</v>
      </c>
      <c r="CB68" s="2" t="e">
        <f ca="1">_xll.BDH($C$53,"TOT_DEBT_TO_EBITDA","FY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8" s="2" t="e">
        <f ca="1">_xll.BDH($C$53,"NET_DEBT_TO_EBITDA","FY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8" s="2" t="e">
        <f ca="1">_xll.BDH($C$53,"TOTAL_DEBT_TO_EBIT","FY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8" s="2" t="e">
        <f ca="1">_xll.BDH($C$53,"NET_DEBT_TO_EBIT","FY 2017","FY 2017","Currency=INR","Period=FY","BEST_FPERIOD_OVERRIDE=FY","FILING_STATUS=OR","EQY_CONSOLIDATED=Y","FA_ADJUSTED=GAAP","Sort=A","Dates=H","DateFormat=P","Fill=—","Direction=H","UseDPDF=Y")</f>
        <v>#NAME?</v>
      </c>
      <c r="CF68" s="2" t="e">
        <f ca="1">_xll.BDH($C$53,"EBITDA_TO_INTEREST_EXPN","FY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8" s="2" t="e">
        <f ca="1">_xll.BDH($C$53,"COM_EQY_TO_TOT_ASSET","FY 2017","FY 2017","Currency=INR","Period=FY","BEST_FPERIOD_OVERRIDE=FY","FILING_STATUS=OR","EQY_CONSOLIDATED=Y","Sort=A","Dates=H","DateFormat=P","Fill=—","Direction=H","UseDPDF=Y")</f>
        <v>#NAME?</v>
      </c>
      <c r="CH68" s="2" t="e">
        <f ca="1">_xll.BDH($C$53,"LT_DEBT_TO_TOT_EQY","FY 2017","FY 2017","Currency=INR","Period=FY","BEST_FPERIOD_OVERRIDE=FY","FILING_STATUS=OR","EQY_CONSOLIDATED=Y","Sort=A","Dates=H","DateFormat=P","Fill=—","Direction=H","UseDPDF=Y")</f>
        <v>#NAME?</v>
      </c>
      <c r="CI68" s="2" t="e">
        <f ca="1">_xll.BDH($C$53,"LT_DEBT_TO_TOT_CAP","FY 2017","FY 2017","Currency=INR","Period=FY","BEST_FPERIOD_OVERRIDE=FY","FILING_STATUS=OR","EQY_CONSOLIDATED=Y","Sort=A","Dates=H","DateFormat=P","Fill=—","Direction=H","UseDPDF=Y")</f>
        <v>#NAME?</v>
      </c>
      <c r="CJ68" s="2" t="e">
        <f ca="1">_xll.BDH($C$53,"LT_DEBT_TO_TOT_ASSET","FY 2017","FY 2017","Currency=INR","Period=FY","BEST_FPERIOD_OVERRIDE=FY","FILING_STATUS=OR","EQY_CONSOLIDATED=Y","Sort=A","Dates=H","DateFormat=P","Fill=—","Direction=H","UseDPDF=Y")</f>
        <v>#NAME?</v>
      </c>
      <c r="CK68" s="2" t="e">
        <f ca="1">_xll.BDH($C$53,"TOT_DEBT_TO_TOT_EQY","FY 2017","FY 2017","Currency=INR","Period=FY","BEST_FPERIOD_OVERRIDE=FY","FILING_STATUS=OR","EQY_CONSOLIDATED=Y","Sort=A","Dates=H","DateFormat=P","Fill=—","Direction=H","UseDPDF=Y")</f>
        <v>#NAME?</v>
      </c>
      <c r="CL68" s="2" t="e">
        <f ca="1">_xll.BDH($C$53,"TOT_DEBT_TO_TOT_CAP","FY 2017","FY 2017","Currency=INR","Period=FY","BEST_FPERIOD_OVERRIDE=FY","FILING_STATUS=OR","EQY_CONSOLIDATED=Y","Sort=A","Dates=H","DateFormat=P","Fill=—","Direction=H","UseDPDF=Y")</f>
        <v>#NAME?</v>
      </c>
      <c r="CM68" s="2" t="e">
        <f ca="1">_xll.BDH($C$53,"TOT_DEBT_TO_TOT_ASSET","FY 2017","FY 2017","Currency=INR","Period=FY","BEST_FPERIOD_OVERRIDE=FY","FILING_STATUS=OR","EQY_CONSOLIDATED=Y","Sort=A","Dates=H","DateFormat=P","Fill=—","Direction=H","UseDPDF=Y")</f>
        <v>#NAME?</v>
      </c>
      <c r="CN68" s="2" t="e">
        <f ca="1">_xll.BDH($C$53,"NET_DEBT_TO_SHRHLDR_EQTY","FY 2017","FY 2017","Currency=INR","Period=FY","BEST_FPERIOD_OVERRIDE=FY","FILING_STATUS=OR","EQY_CONSOLIDATED=Y","Sort=A","Dates=H","DateFormat=P","Fill=—","Direction=H","UseDPDF=Y")</f>
        <v>#NAME?</v>
      </c>
      <c r="CO68" s="2" t="e">
        <f ca="1">_xll.BDH($C$53,"NET_DEBT_%_CAPITAL","FY 2017","FY 2017","Currency=INR","Period=FY","BEST_FPERIOD_OVERRIDE=FY","FILING_STATUS=OR","EQY_CONSOLIDATED=Y","Sort=A","Dates=H","DateFormat=P","Fill=—","Direction=H","UseDPDF=Y")</f>
        <v>#NAME?</v>
      </c>
      <c r="CP68" s="3" t="e">
        <f ca="1">_xll.BDH($C$53,"EBITDA","FY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8" s="3" t="e">
        <f ca="1">_xll.BDH($C$53,"EBITDA_AFTER_CAPEX","FY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8" s="3" t="e">
        <f ca="1">_xll.BDH($C$53,"IS_OPER_INC","FY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8" s="2" t="e">
        <f ca="1">_xll.BDH($C$53,"CASH_RATIO","FY 2017","FY 2017","Currency=INR","Period=FY","BEST_FPERIOD_OVERRIDE=FY","FILING_STATUS=OR","EQY_CONSOLIDATED=Y","Sort=A","Dates=H","DateFormat=P","Fill=—","Direction=H","UseDPDF=Y")</f>
        <v>#NAME?</v>
      </c>
      <c r="CT68" s="2" t="e">
        <f ca="1">_xll.BDH($C$53,"CUR_RATIO","FY 2017","FY 2017","Currency=INR","Period=FY","BEST_FPERIOD_OVERRIDE=FY","FILING_STATUS=OR","EQY_CONSOLIDATED=Y","Sort=A","Dates=H","DateFormat=P","Fill=—","Direction=H","UseDPDF=Y")</f>
        <v>#NAME?</v>
      </c>
      <c r="CU68" s="2" t="e">
        <f ca="1">_xll.BDH($C$53,"QUICK_RATIO","FY 2017","FY 2017","Currency=INR","Period=FY","BEST_FPERIOD_OVERRIDE=FY","FILING_STATUS=OR","EQY_CONSOLIDATED=Y","Sort=A","Dates=H","DateFormat=P","Fill=—","Direction=H","UseDPDF=Y")</f>
        <v>#NAME?</v>
      </c>
      <c r="CV68" s="2" t="e">
        <f ca="1">_xll.BDH($C$53,"ALTMAN_Z_SCORE","FY 2017","FY 2017","Currency=INR","Period=FY","BEST_FPERIOD_OVERRIDE=FY","FILING_STATUS=OR","EQY_CONSOLIDATED=Y","Sort=A","Dates=H","DateFormat=P","Fill=—","Direction=H","UseDPDF=Y")</f>
        <v>#NAME?</v>
      </c>
      <c r="CW68" s="4" t="e">
        <f ca="1">_xll.BDH($C$53,"ACCT_RCV_TURN","FY 2017","FY 2017","Currency=INR","Period=FY","BEST_FPERIOD_OVERRIDE=FY","FILING_STATUS=OR","EQY_CONSOLIDATED=Y","FA_ADJUSTED=GAAP","Sort=A","Dates=H","DateFormat=P","Fill=—","Direction=H","UseDPDF=Y")</f>
        <v>#NAME?</v>
      </c>
      <c r="CX68" s="2" t="e">
        <f ca="1">_xll.BDH($C$53,"ACCT_RCV_DAYS","FY 2017","FY 2017","Currency=INR","Period=FY","BEST_FPERIOD_OVERRIDE=FY","FILING_STATUS=OR","EQY_CONSOLIDATED=Y","FA_ADJUSTED=GAAP","Sort=A","Dates=H","DateFormat=P","Fill=—","Direction=H","UseDPDF=Y")</f>
        <v>#NAME?</v>
      </c>
      <c r="CY68" s="4" t="e">
        <f ca="1">_xll.BDH($C$53,"INVENT_TURN","FY 2017","FY 2017","Currency=INR","Period=FY","BEST_FPERIOD_OVERRIDE=FY","FILING_STATUS=OR","EQY_CONSOLIDATED=Y","FA_ADJUSTED=GAAP","Sort=A","Dates=H","DateFormat=P","Fill=—","Direction=H","UseDPDF=Y")</f>
        <v>#NAME?</v>
      </c>
      <c r="CZ68" s="2" t="e">
        <f ca="1">_xll.BDH($C$53,"INVENT_DAYS","FY 2017","FY 2017","Currency=INR","Period=FY","BEST_FPERIOD_OVERRIDE=FY","FILING_STATUS=OR","EQY_CONSOLIDATED=Y","FA_ADJUSTED=GAAP","Sort=A","Dates=H","DateFormat=P","Fill=—","Direction=H","UseDPDF=Y")</f>
        <v>#NAME?</v>
      </c>
      <c r="DA68" s="4" t="e">
        <f ca="1">_xll.BDH($C$53,"ACCOUNTS_PAYABLE_TURNOVER","FY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8" s="2" t="e">
        <f ca="1">_xll.BDH($C$53,"ACCOUNTS_PAYABLE_TURNOVER_DAYS","FY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8" s="4" t="e">
        <f ca="1">_xll.BDH($C$53,"CASH_CONVERSION_CYCLE","FY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8" s="4" t="e">
        <f ca="1">_xll.BDH($C$53,"INV_TO_CASH_DAYS","FY 2017","FY 2017","Currency=INR","Period=FY","BEST_FPERIOD_OVERRIDE=FY","FILING_STATUS=OR","EQY_CONSOLIDATED=Y","FA_ADJUSTED=GAAP","Sort=A","Dates=H","DateFormat=P","Fill=—","Direction=H","UseDPDF=Y")</f>
        <v>#NAME?</v>
      </c>
      <c r="DE68" s="5" t="e">
        <f ca="1">_xll.BDH($C$53,"BS_INVENTORIES","FY 2017","FY 2017","Currency=INR","Period=FY","BEST_FPERIOD_OVERRIDE=FY","FILING_STATUS=OR","EQY_CONSOLIDATED=Y","SCALING_FORMAT=MLN","Sort=A","Dates=H","DateFormat=P","Fill=—","Direction=H","UseDPDF=Y")</f>
        <v>#NAME?</v>
      </c>
      <c r="DF68" s="3" t="e">
        <f ca="1">_xll.BDH($C$53,"INVTRY_RAW_MATERIALS","FY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8" s="3" t="e">
        <f ca="1">_xll.BDH($C$53,"INVTRY_IN_PROGRESS","FY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8" s="3" t="e">
        <f ca="1">_xll.BDH($C$53,"INVTRY_FINISHED_GOODS","FY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8" s="3" t="e">
        <f ca="1">_xll.BDH($C$53,"BS_OTHER_INV","FY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9" spans="1:113" x14ac:dyDescent="0.3">
      <c r="A69" s="6"/>
      <c r="B69" s="6"/>
      <c r="C69" s="6"/>
      <c r="D69" s="6"/>
      <c r="E69" t="s">
        <v>78</v>
      </c>
      <c r="F69" t="e">
        <f ca="1">_xll.BDH($C$53,"RETURN_COM_EQY","FQ1 2017","FQ1 2017","Currency=INR","Period=FQ","BEST_FPERIOD_OVERRIDE=FQ","FILING_STATUS=OR","EQY_CONSOLIDATED=Y","FA_ADJUSTED=GAAP","Sort=A","Dates=H","DateFormat=P","Fill=—","Direction=H","UseDPDF=Y")</f>
        <v>#NAME?</v>
      </c>
      <c r="G69" t="e">
        <f ca="1">_xll.BDH($C$53,"RETURN_ON_ASSET","FQ1 2017","FQ1 2017","Currency=INR","Period=FQ","BEST_FPERIOD_OVERRIDE=FQ","FILING_STATUS=OR","EQY_CONSOLIDATED=Y","FA_ADJUSTED=GAAP","Sort=A","Dates=H","DateFormat=P","Fill=—","Direction=H","UseDPDF=Y")</f>
        <v>#NAME?</v>
      </c>
      <c r="H69" t="e">
        <f ca="1">_xll.BDH($C$53,"RETURN_ON_CAP","FQ1 2017","FQ1 2017","Currency=INR","Period=FQ","BEST_FPERIOD_OVERRIDE=FQ","FILING_STATUS=OR","EQY_CONSOLIDATED=Y","FA_ADJUSTED=GAAP","Sort=A","Dates=H","DateFormat=P","Fill=—","Direction=H","UseDPDF=Y")</f>
        <v>#NAME?</v>
      </c>
      <c r="I69" t="e">
        <f ca="1">_xll.BDH($C$53,"RETURN_ON_INV_CAPITAL","FQ1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9" t="e">
        <f ca="1">_xll.BDH($C$53,"EBITDA_TO_REVENUE","FQ1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9" t="e">
        <f ca="1">_xll.BDH($C$53,"OPER_MARGIN","FQ1 2017","FQ1 2017","Currency=INR","Period=FQ","BEST_FPERIOD_OVERRIDE=FQ","FILING_STATUS=OR","EQY_CONSOLIDATED=Y","FA_ADJUSTED=GAAP","Sort=A","Dates=H","DateFormat=P","Fill=—","Direction=H","UseDPDF=Y")</f>
        <v>#NAME?</v>
      </c>
      <c r="L69" t="e">
        <f ca="1">_xll.BDH($C$53,"INCREMENTAL_OPERATING_MARGIN","FQ1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9" t="e">
        <f ca="1">_xll.BDH($C$53,"PRETAX_INC_TO_NET_SALES","FQ1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9" t="e">
        <f ca="1">_xll.BDH($C$53,"INC_BEF_XO_ITEMS_TO_NET_SALES","FQ1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9" t="e">
        <f ca="1">_xll.BDH($C$53,"PROF_MARGIN","FQ1 2017","FQ1 2017","Currency=INR","Period=FQ","BEST_FPERIOD_OVERRIDE=FQ","FILING_STATUS=OR","EQY_CONSOLIDATED=Y","FA_ADJUSTED=GAAP","Sort=A","Dates=H","DateFormat=P","Fill=—","Direction=H","UseDPDF=Y")</f>
        <v>#NAME?</v>
      </c>
      <c r="P69" t="e">
        <f ca="1">_xll.BDH($C$53,"NET_INCOME_TO_COMMON_MARGIN","FQ1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9" t="e">
        <f ca="1">_xll.BDH($C$53,"EFF_TAX_RATE","FQ1 2017","FQ1 2017","Currency=INR","Period=FQ","BEST_FPERIOD_OVERRIDE=FQ","FILING_STATUS=OR","EQY_CONSOLIDATED=Y","FA_ADJUSTED=GAAP","Sort=A","Dates=H","DateFormat=P","Fill=—","Direction=H","UseDPDF=Y")</f>
        <v>#NAME?</v>
      </c>
      <c r="R69" t="e">
        <f ca="1">_xll.BDH($C$53,"DVD_PAYOUT_RATIO","FQ1 2017","FQ1 2017","Currency=INR","Period=FQ","BEST_FPERIOD_OVERRIDE=FQ","FILING_STATUS=OR","EQY_CONSOLIDATED=Y","FA_ADJUSTED=GAAP","Sort=A","Dates=H","DateFormat=P","Fill=—","Direction=H","UseDPDF=Y")</f>
        <v>#NAME?</v>
      </c>
      <c r="S69" t="e">
        <f ca="1">_xll.BDH($C$53,"SUSTAIN_GROWTH_RT","FQ1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9" s="2" t="e">
        <f ca="1">_xll.BDH($C$53,"SALES_GROWTH","FQ1 2017","FQ1 2017","Currency=INR","Period=FQ","BEST_FPERIOD_OVERRIDE=FQ","FILING_STATUS=OR","EQY_CONSOLIDATED=Y","FA_ADJUSTED=GAAP","Sort=A","Dates=H","DateFormat=P","Fill=—","Direction=H","UseDPDF=Y")</f>
        <v>#NAME?</v>
      </c>
      <c r="U69" s="2" t="e">
        <f ca="1">_xll.BDH($C$53,"EBITDA_GROWTH","FQ1 2017","FQ1 2017","Currency=INR","Period=FQ","BEST_FPERIOD_OVERRIDE=FQ","FILING_STATUS=OR","EQY_CONSOLIDATED=Y","FA_ADJUSTED=GAAP","Sort=A","Dates=H","DateFormat=P","Fill=—","Direction=H","UseDPDF=Y")</f>
        <v>#NAME?</v>
      </c>
      <c r="V69" s="2" t="e">
        <f ca="1">_xll.BDH($C$53,"OPER_INC_GROWTH","FQ1 2017","FQ1 2017","Currency=INR","Period=FQ","BEST_FPERIOD_OVERRIDE=FQ","FILING_STATUS=OR","EQY_CONSOLIDATED=Y","FA_ADJUSTED=GAAP","Sort=A","Dates=H","DateFormat=P","Fill=—","Direction=H","UseDPDF=Y")</f>
        <v>#NAME?</v>
      </c>
      <c r="W69" s="2" t="e">
        <f ca="1">_xll.BDH($C$53,"EARN_FOR_COM_GROWTH","FQ1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9" s="2" t="e">
        <f ca="1">_xll.BDH($C$53,"DILUTED_EPS_AFT_XO_ITEMS_GROWTH","FQ1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9" s="2" t="e">
        <f ca="1">_xll.BDH($C$53,"DIVIDEND_PER_SHARE_1_YEAR_GROWTH","FQ1 2017","FQ1 2017","Currency=INR","Period=FQ","BEST_FPERIOD_OVERRIDE=FQ","FILING_STATUS=OR","EQY_CONSOLIDATED=Y","Sort=A","Dates=H","DateFormat=P","Fill=—","Direction=H","UseDPDF=Y")</f>
        <v>#NAME?</v>
      </c>
      <c r="Z69" s="2" t="e">
        <f ca="1">_xll.BDH($C$53,"ACCOUNTS_RECEIVABLE_GROWTH","FQ1 2017","FQ1 2017","Currency=INR","Period=FQ","BEST_FPERIOD_OVERRIDE=FQ","FILING_STATUS=OR","EQY_CONSOLIDATED=Y","Sort=A","Dates=H","DateFormat=P","Fill=—","Direction=H","UseDPDF=Y")</f>
        <v>#NAME?</v>
      </c>
      <c r="AA69" s="2" t="e">
        <f ca="1">_xll.BDH($C$53,"INVENTORY_GROWTH","FQ1 2017","FQ1 2017","Currency=INR","Period=FQ","BEST_FPERIOD_OVERRIDE=FQ","FILING_STATUS=OR","EQY_CONSOLIDATED=Y","Sort=A","Dates=H","DateFormat=P","Fill=—","Direction=H","UseDPDF=Y")</f>
        <v>#NAME?</v>
      </c>
      <c r="AB69" s="2" t="e">
        <f ca="1">_xll.BDH($C$53,"NET_FIXED_ASSETS_1_YEAR_GROWTH","FQ1 2017","FQ1 2017","Currency=INR","Period=FQ","BEST_FPERIOD_OVERRIDE=FQ","FILING_STATUS=OR","EQY_CONSOLIDATED=Y","Sort=A","Dates=H","DateFormat=P","Fill=—","Direction=H","UseDPDF=Y")</f>
        <v>#NAME?</v>
      </c>
      <c r="AC69" s="2" t="e">
        <f ca="1">_xll.BDH($C$53,"ASSET_GROWTH","FQ1 2017","FQ1 2017","Currency=INR","Period=FQ","BEST_FPERIOD_OVERRIDE=FQ","FILING_STATUS=OR","EQY_CONSOLIDATED=Y","Sort=A","Dates=H","DateFormat=P","Fill=—","Direction=H","UseDPDF=Y")</f>
        <v>#NAME?</v>
      </c>
      <c r="AD69" s="2" t="e">
        <f ca="1">_xll.BDH($C$53,"MODIFIED_WORK_CAP_GROWTH","FQ1 2017","FQ1 2017","Currency=INR","Period=FQ","BEST_FPERIOD_OVERRIDE=FQ","FILING_STATUS=OR","EQY_CONSOLIDATED=Y","Sort=A","Dates=H","DateFormat=P","Fill=—","Direction=H","UseDPDF=Y")</f>
        <v>#NAME?</v>
      </c>
      <c r="AE69" s="2" t="e">
        <f ca="1">_xll.BDH($C$53,"WORK_CAP_GROWTH","FQ1 2017","FQ1 2017","Currency=INR","Period=FQ","BEST_FPERIOD_OVERRIDE=FQ","FILING_STATUS=OR","EQY_CONSOLIDATED=Y","Sort=A","Dates=H","DateFormat=P","Fill=—","Direction=H","UseDPDF=Y")</f>
        <v>#NAME?</v>
      </c>
      <c r="AF69" s="2" t="e">
        <f ca="1">_xll.BDH($C$53,"ACCOUNTS_PAYABLE_GROWTH_1YR","FQ1 2017","FQ1 2017","Currency=INR","Period=FQ","BEST_FPERIOD_OVERRIDE=FQ","FILING_STATUS=OR","EQY_CONSOLIDATED=Y","Sort=A","Dates=H","DateFormat=P","Fill=—","Direction=H","UseDPDF=Y")</f>
        <v>#NAME?</v>
      </c>
      <c r="AG69" s="2" t="e">
        <f ca="1">_xll.BDH($C$53,"SHORT_TERM_DEBT_1_YEAR_GROWTH","FQ1 2017","FQ1 2017","Currency=INR","Period=FQ","BEST_FPERIOD_OVERRIDE=FQ","FILING_STATUS=OR","EQY_CONSOLIDATED=Y","Sort=A","Dates=H","DateFormat=P","Fill=—","Direction=H","UseDPDF=Y")</f>
        <v>#NAME?</v>
      </c>
      <c r="AH69" s="2" t="e">
        <f ca="1">_xll.BDH($C$53,"TOTAL_DEBT_1_YEAR_GROWTH","FQ1 2017","FQ1 2017","Currency=INR","Period=FQ","BEST_FPERIOD_OVERRIDE=FQ","FILING_STATUS=OR","EQY_CONSOLIDATED=Y","Sort=A","Dates=H","DateFormat=P","Fill=—","Direction=H","UseDPDF=Y")</f>
        <v>#NAME?</v>
      </c>
      <c r="AI69" s="2" t="e">
        <f ca="1">_xll.BDH($C$53,"TOTAL_EQUITY_1_YEAR_GROWTH","FQ1 2017","FQ1 2017","Currency=INR","Period=FQ","BEST_FPERIOD_OVERRIDE=FQ","FILING_STATUS=OR","EQY_CONSOLIDATED=Y","Sort=A","Dates=H","DateFormat=P","Fill=—","Direction=H","UseDPDF=Y")</f>
        <v>#NAME?</v>
      </c>
      <c r="AJ69" s="2" t="e">
        <f ca="1">_xll.BDH($C$53,"GROWTH_IN_CAP","FQ1 2017","FQ1 2017","Currency=INR","Period=FQ","BEST_FPERIOD_OVERRIDE=FQ","FILING_STATUS=OR","EQY_CONSOLIDATED=Y","Sort=A","Dates=H","DateFormat=P","Fill=—","Direction=H","UseDPDF=Y")</f>
        <v>#NAME?</v>
      </c>
      <c r="AK69" s="2" t="e">
        <f ca="1">_xll.BDH($C$53,"BVPS_GROWTH","FQ1 2017","FQ1 2017","Currency=INR","Period=FQ","BEST_FPERIOD_OVERRIDE=FQ","FILING_STATUS=OR","EQY_CONSOLIDATED=Y","Sort=A","Dates=H","DateFormat=P","Fill=—","Direction=H","UseDPDF=Y")</f>
        <v>#NAME?</v>
      </c>
      <c r="AL69" s="2" t="e">
        <f ca="1">_xll.BDH($C$53,"CASH_FLOW_GROWTH","FQ1 2017","FQ1 2017","Currency=INR","Period=FQ","BEST_FPERIOD_OVERRIDE=FQ","FILING_STATUS=OR","EQY_CONSOLIDATED=Y","Sort=A","Dates=H","DateFormat=P","Fill=—","Direction=H","UseDPDF=Y")</f>
        <v>#NAME?</v>
      </c>
      <c r="AM69" s="2" t="e">
        <f ca="1">_xll.BDH($C$53,"GEO_GROW_NET_SALES","FQ1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9" s="2" t="e">
        <f ca="1">_xll.BDH($C$53,"GEO_GROW_EBITDA","FQ1 2017","FQ1 2017","Currency=INR","Period=FQ","BEST_FPERIOD_OVERRIDE=FQ","FILING_STATUS=OR","EQY_CONSOLIDATED=Y","FA_ADJUSTED=GAAP","Sort=A","Dates=H","DateFormat=P","Fill=—","Direction=H","UseDPDF=Y")</f>
        <v>#NAME?</v>
      </c>
      <c r="AO69" s="2" t="e">
        <f ca="1">_xll.BDH($C$53,"GEO_GROW_OPER_INC","FQ1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9" s="2" t="e">
        <f ca="1">_xll.BDH($C$53,"NET_INCOME_TO_COMMON_5_YR_GROWTH","FQ1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9" s="2" t="e">
        <f ca="1">_xll.BDH($C$53,"5Y_GEO_GROWTH_DILUTED_EPS","FQ1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9" s="2" t="e">
        <f ca="1">_xll.BDH($C$53,"GEO_GROW_DVD_PER_SH","FQ1 2017","FQ1 2017","Currency=INR","Period=FQ","BEST_FPERIOD_OVERRIDE=FQ","FILING_STATUS=OR","EQY_CONSOLIDATED=Y","Sort=A","Dates=H","DateFormat=P","Fill=—","Direction=H","UseDPDF=Y")</f>
        <v>#NAME?</v>
      </c>
      <c r="AS69" s="2" t="e">
        <f ca="1">_xll.BDH($C$53,"ACCOUNTS_RECEIVABLE_5_YR_GROWTH","FQ1 2017","FQ1 2017","Currency=INR","Period=FQ","BEST_FPERIOD_OVERRIDE=FQ","FILING_STATUS=OR","EQY_CONSOLIDATED=Y","Sort=A","Dates=H","DateFormat=P","Fill=—","Direction=H","UseDPDF=Y")</f>
        <v>#NAME?</v>
      </c>
      <c r="AT69" s="2" t="e">
        <f ca="1">_xll.BDH($C$53,"INVENTORY_5_YEAR_GROWTH","FQ1 2017","FQ1 2017","Currency=INR","Period=FQ","BEST_FPERIOD_OVERRIDE=FQ","FILING_STATUS=OR","EQY_CONSOLIDATED=Y","Sort=A","Dates=H","DateFormat=P","Fill=—","Direction=H","UseDPDF=Y")</f>
        <v>#NAME?</v>
      </c>
      <c r="AU69" s="2" t="e">
        <f ca="1">_xll.BDH($C$53,"NET_FIXED_ASSETS_5_YEAR_GROWTH","FQ1 2017","FQ1 2017","Currency=INR","Period=FQ","BEST_FPERIOD_OVERRIDE=FQ","FILING_STATUS=OR","EQY_CONSOLIDATED=Y","Sort=A","Dates=H","DateFormat=P","Fill=—","Direction=H","UseDPDF=Y")</f>
        <v>#NAME?</v>
      </c>
      <c r="AV69" s="2" t="e">
        <f ca="1">_xll.BDH($C$53,"GEO_GROW_TOT_ASSET","FQ1 2017","FQ1 2017","Currency=INR","Period=FQ","BEST_FPERIOD_OVERRIDE=FQ","FILING_STATUS=OR","EQY_CONSOLIDATED=Y","Sort=A","Dates=H","DateFormat=P","Fill=—","Direction=H","UseDPDF=Y")</f>
        <v>#NAME?</v>
      </c>
      <c r="AW69" s="2" t="e">
        <f ca="1">_xll.BDH($C$53,"MODIFIED_WORKING_CPTL_5YR_GRWTH","FQ1 2017","FQ1 2017","Currency=INR","Period=FQ","BEST_FPERIOD_OVERRIDE=FQ","FILING_STATUS=OR","EQY_CONSOLIDATED=Y","Sort=A","Dates=H","DateFormat=P","Fill=—","Direction=H","UseDPDF=Y")</f>
        <v>#NAME?</v>
      </c>
      <c r="AX69" s="2" t="e">
        <f ca="1">_xll.BDH($C$53,"WORKING_CAPITAL_5_YEAR_GROWTH","FQ1 2017","FQ1 2017","Currency=INR","Period=FQ","BEST_FPERIOD_OVERRIDE=FQ","FILING_STATUS=OR","EQY_CONSOLIDATED=Y","Sort=A","Dates=H","DateFormat=P","Fill=—","Direction=H","UseDPDF=Y")</f>
        <v>#NAME?</v>
      </c>
      <c r="AY69" s="2" t="e">
        <f ca="1">_xll.BDH($C$53,"ACCOUNTS_PAYABLE_5_YEAR_GROWTH","FQ1 2017","FQ1 2017","Currency=INR","Period=FQ","BEST_FPERIOD_OVERRIDE=FQ","FILING_STATUS=OR","EQY_CONSOLIDATED=Y","Sort=A","Dates=H","DateFormat=P","Fill=—","Direction=H","UseDPDF=Y")</f>
        <v>#NAME?</v>
      </c>
      <c r="AZ69" s="2" t="e">
        <f ca="1">_xll.BDH($C$53,"SHORT_TERM_DEBT_5_YEAR_GROWTH","FQ1 2017","FQ1 2017","Currency=INR","Period=FQ","BEST_FPERIOD_OVERRIDE=FQ","FILING_STATUS=OR","EQY_CONSOLIDATED=Y","Sort=A","Dates=H","DateFormat=P","Fill=—","Direction=H","UseDPDF=Y")</f>
        <v>#NAME?</v>
      </c>
      <c r="BA69" s="2" t="e">
        <f ca="1">_xll.BDH($C$53,"TOTAL_DEBT_5_YEAR_GROWTH","FQ1 2017","FQ1 2017","Currency=INR","Period=FQ","BEST_FPERIOD_OVERRIDE=FQ","FILING_STATUS=OR","EQY_CONSOLIDATED=Y","Sort=A","Dates=H","DateFormat=P","Fill=—","Direction=H","UseDPDF=Y")</f>
        <v>#NAME?</v>
      </c>
      <c r="BB69" s="2" t="e">
        <f ca="1">_xll.BDH($C$53,"GEO_GROW_TOT_SHRHLDR_EQY","FQ1 2017","FQ1 2017","Currency=INR","Period=FQ","BEST_FPERIOD_OVERRIDE=FQ","FILING_STATUS=OR","EQY_CONSOLIDATED=Y","Sort=A","Dates=H","DateFormat=P","Fill=—","Direction=H","UseDPDF=Y")</f>
        <v>#NAME?</v>
      </c>
      <c r="BC69" s="2" t="e">
        <f ca="1">_xll.BDH($C$53,"TOTAL_CAPITAL_5_YEAR_GROWTH","FQ1 2017","FQ1 2017","Currency=INR","Period=FQ","BEST_FPERIOD_OVERRIDE=FQ","FILING_STATUS=OR","EQY_CONSOLIDATED=Y","Sort=A","Dates=H","DateFormat=P","Fill=—","Direction=H","UseDPDF=Y")</f>
        <v>#NAME?</v>
      </c>
      <c r="BD69" s="2" t="e">
        <f ca="1">_xll.BDH($C$53,"GEO_GROW_BOOK_VAL","FQ1 2017","FQ1 2017","Currency=INR","Period=FQ","BEST_FPERIOD_OVERRIDE=FQ","FILING_STATUS=OR","EQY_CONSOLIDATED=Y","Sort=A","Dates=H","DateFormat=P","Fill=—","Direction=H","UseDPDF=Y")</f>
        <v>#NAME?</v>
      </c>
      <c r="BE69" s="2" t="e">
        <f ca="1">_xll.BDH($C$53,"GEO_GROW_CASH_OPER_ACT","FQ1 2017","FQ1 2017","Currency=INR","Period=FQ","BEST_FPERIOD_OVERRIDE=FQ","FILING_STATUS=OR","EQY_CONSOLIDATED=Y","Sort=A","Dates=H","DateFormat=P","Fill=—","Direction=H","UseDPDF=Y")</f>
        <v>#NAME?</v>
      </c>
      <c r="BF69" s="2" t="e">
        <f ca="1">_xll.BDH($C$53,"REVENUE_SEQUENTIAL_GROWTH","FQ1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9" s="2" t="e">
        <f ca="1">_xll.BDH($C$53,"EBITDA_SEQUENTIAL_GROWTH","FQ1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9" s="2" t="e">
        <f ca="1">_xll.BDH($C$53,"OPERATING_INCOME_SEQ_GROWTH","FQ1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9" s="2" t="e">
        <f ca="1">_xll.BDH($C$53,"NET_INCOME_TO_COMMON_SEQ_GROWTH","FQ1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9" s="2" t="e">
        <f ca="1">_xll.BDH($C$53,"EPS_DILUTED_SEQUENTIAL_GROWTH","FQ1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9" s="2" t="e">
        <f ca="1">_xll.BDH($C$53,"DPS_SEQUENTIAL_GROWTH","FQ1 2017","FQ1 2017","Currency=INR","Period=FQ","BEST_FPERIOD_OVERRIDE=FQ","FILING_STATUS=OR","EQY_CONSOLIDATED=Y","Sort=A","Dates=H","DateFormat=P","Fill=—","Direction=H","UseDPDF=Y")</f>
        <v>#NAME?</v>
      </c>
      <c r="BL69" s="2" t="e">
        <f ca="1">_xll.BDH($C$53,"ACCOUNTS_RECEIVABLE_SEQ_GROWTH","FQ1 2017","FQ1 2017","Currency=INR","Period=FQ","BEST_FPERIOD_OVERRIDE=FQ","FILING_STATUS=OR","EQY_CONSOLIDATED=Y","Sort=A","Dates=H","DateFormat=P","Fill=—","Direction=H","UseDPDF=Y")</f>
        <v>#NAME?</v>
      </c>
      <c r="BM69" s="2" t="e">
        <f ca="1">_xll.BDH($C$53,"INVENTORY_SEQUENTIAL_GROWTH","FQ1 2017","FQ1 2017","Currency=INR","Period=FQ","BEST_FPERIOD_OVERRIDE=FQ","FILING_STATUS=OR","EQY_CONSOLIDATED=Y","Sort=A","Dates=H","DateFormat=P","Fill=—","Direction=H","UseDPDF=Y")</f>
        <v>#NAME?</v>
      </c>
      <c r="BN69" s="2" t="e">
        <f ca="1">_xll.BDH($C$53,"FIXED_ASSETS_SEQUENTIAL_GROWTH","FQ1 2017","FQ1 2017","Currency=INR","Period=FQ","BEST_FPERIOD_OVERRIDE=FQ","FILING_STATUS=OR","EQY_CONSOLIDATED=Y","Sort=A","Dates=H","DateFormat=P","Fill=—","Direction=H","UseDPDF=Y")</f>
        <v>#NAME?</v>
      </c>
      <c r="BO69" s="2" t="e">
        <f ca="1">_xll.BDH($C$53,"TOTAL_ASSETS_SEQUENTIAL_GROWTH","FQ1 2017","FQ1 2017","Currency=INR","Period=FQ","BEST_FPERIOD_OVERRIDE=FQ","FILING_STATUS=OR","EQY_CONSOLIDATED=Y","Sort=A","Dates=H","DateFormat=P","Fill=—","Direction=H","UseDPDF=Y")</f>
        <v>#NAME?</v>
      </c>
      <c r="BP69" s="2" t="e">
        <f ca="1">_xll.BDH($C$53,"MODIFIED_WORKING_CPTL_SEQ_GRWTH","FQ1 2017","FQ1 2017","Currency=INR","Period=FQ","BEST_FPERIOD_OVERRIDE=FQ","FILING_STATUS=OR","EQY_CONSOLIDATED=Y","Sort=A","Dates=H","DateFormat=P","Fill=—","Direction=H","UseDPDF=Y")</f>
        <v>#NAME?</v>
      </c>
      <c r="BQ69" s="2" t="e">
        <f ca="1">_xll.BDH($C$53,"WORKING_CAPITAL_SEQ_GROWTH","FQ1 2017","FQ1 2017","Currency=INR","Period=FQ","BEST_FPERIOD_OVERRIDE=FQ","FILING_STATUS=OR","EQY_CONSOLIDATED=Y","Sort=A","Dates=H","DateFormat=P","Fill=—","Direction=H","UseDPDF=Y")</f>
        <v>#NAME?</v>
      </c>
      <c r="BR69" s="2" t="e">
        <f ca="1">_xll.BDH($C$53,"ACCOUNTS_PAYABLE_SEQ_GROWTH","FQ1 2017","FQ1 2017","Currency=INR","Period=FQ","BEST_FPERIOD_OVERRIDE=FQ","FILING_STATUS=OR","EQY_CONSOLIDATED=Y","Sort=A","Dates=H","DateFormat=P","Fill=—","Direction=H","UseDPDF=Y")</f>
        <v>#NAME?</v>
      </c>
      <c r="BS69" s="2" t="e">
        <f ca="1">_xll.BDH($C$53,"ST_DEBT_SEQUENTIAL_GROWTH","FQ1 2017","FQ1 2017","Currency=INR","Period=FQ","BEST_FPERIOD_OVERRIDE=FQ","FILING_STATUS=OR","EQY_CONSOLIDATED=Y","Sort=A","Dates=H","DateFormat=P","Fill=—","Direction=H","UseDPDF=Y")</f>
        <v>#NAME?</v>
      </c>
      <c r="BT69" s="2" t="e">
        <f ca="1">_xll.BDH($C$53,"TOTAL_DEBT_SEQUENTIAL_GROWTH","FQ1 2017","FQ1 2017","Currency=INR","Period=FQ","BEST_FPERIOD_OVERRIDE=FQ","FILING_STATUS=OR","EQY_CONSOLIDATED=Y","Sort=A","Dates=H","DateFormat=P","Fill=—","Direction=H","UseDPDF=Y")</f>
        <v>#NAME?</v>
      </c>
      <c r="BU69" s="2" t="e">
        <f ca="1">_xll.BDH($C$53,"TOTAL_EQUITY_SEQUENTIAL_GROWTH","FQ1 2017","FQ1 2017","Currency=INR","Period=FQ","BEST_FPERIOD_OVERRIDE=FQ","FILING_STATUS=OR","EQY_CONSOLIDATED=Y","Sort=A","Dates=H","DateFormat=P","Fill=—","Direction=H","UseDPDF=Y")</f>
        <v>#NAME?</v>
      </c>
      <c r="BV69" s="2" t="e">
        <f ca="1">_xll.BDH($C$53,"TOTAL_CAPITAL_SEQUENTIAL_GROWTH","FQ1 2017","FQ1 2017","Currency=INR","Period=FQ","BEST_FPERIOD_OVERRIDE=FQ","FILING_STATUS=OR","EQY_CONSOLIDATED=Y","Sort=A","Dates=H","DateFormat=P","Fill=—","Direction=H","UseDPDF=Y")</f>
        <v>#NAME?</v>
      </c>
      <c r="BW69" s="2" t="e">
        <f ca="1">_xll.BDH($C$53,"BPS_SEQUENTIAL_GROWTH","FQ1 2017","FQ1 2017","Currency=INR","Period=FQ","BEST_FPERIOD_OVERRIDE=FQ","FILING_STATUS=OR","EQY_CONSOLIDATED=Y","Sort=A","Dates=H","DateFormat=P","Fill=—","Direction=H","UseDPDF=Y")</f>
        <v>#NAME?</v>
      </c>
      <c r="BX69" s="2" t="e">
        <f ca="1">_xll.BDH($C$53,"CFO_SEQUENTIAL_GROWTH","FQ1 2017","FQ1 2017","Currency=INR","Period=FQ","BEST_FPERIOD_OVERRIDE=FQ","FILING_STATUS=OR","EQY_CONSOLIDATED=Y","Sort=A","Dates=H","DateFormat=P","Fill=—","Direction=H","UseDPDF=Y")</f>
        <v>#NAME?</v>
      </c>
      <c r="BY69" s="3" t="e">
        <f ca="1">_xll.BDH($C$53,"SHORT_AND_LONG_TERM_DEBT","FQ1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9" s="3" t="e">
        <f ca="1">_xll.BDH($C$53,"BS_ST_BORROW","FQ1 2017","FQ1 2017","Currency=INR","Period=FQ","BEST_FPERIOD_OVERRIDE=FQ","FILING_STATUS=OR","EQY_CONSOLIDATED=Y","SCALING_FORMAT=MLN","Sort=A","Dates=H","DateFormat=P","Fill=—","Direction=H","UseDPDF=Y")</f>
        <v>#NAME?</v>
      </c>
      <c r="CA69" s="3" t="e">
        <f ca="1">_xll.BDH($C$53,"BS_LT_BORROW","FQ1 2017","FQ1 2017","Currency=INR","Period=FQ","BEST_FPERIOD_OVERRIDE=FQ","FILING_STATUS=OR","EQY_CONSOLIDATED=Y","SCALING_FORMAT=MLN","Sort=A","Dates=H","DateFormat=P","Fill=—","Direction=H","UseDPDF=Y")</f>
        <v>#NAME?</v>
      </c>
      <c r="CB69" s="2" t="e">
        <f ca="1">_xll.BDH($C$53,"TOT_DEBT_TO_EBITDA","FQ1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9" s="2" t="e">
        <f ca="1">_xll.BDH($C$53,"NET_DEBT_TO_EBITDA","FQ1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9" s="2" t="e">
        <f ca="1">_xll.BDH($C$53,"TOTAL_DEBT_TO_EBIT","FQ1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9" s="2" t="e">
        <f ca="1">_xll.BDH($C$53,"NET_DEBT_TO_EBIT","FQ1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9" s="2" t="e">
        <f ca="1">_xll.BDH($C$53,"EBITDA_TO_INTEREST_EXPN","FQ1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9" s="2" t="e">
        <f ca="1">_xll.BDH($C$53,"COM_EQY_TO_TOT_ASSET","FQ1 2017","FQ1 2017","Currency=INR","Period=FQ","BEST_FPERIOD_OVERRIDE=FQ","FILING_STATUS=OR","EQY_CONSOLIDATED=Y","Sort=A","Dates=H","DateFormat=P","Fill=—","Direction=H","UseDPDF=Y")</f>
        <v>#NAME?</v>
      </c>
      <c r="CH69" s="2" t="e">
        <f ca="1">_xll.BDH($C$53,"LT_DEBT_TO_TOT_EQY","FQ1 2017","FQ1 2017","Currency=INR","Period=FQ","BEST_FPERIOD_OVERRIDE=FQ","FILING_STATUS=OR","EQY_CONSOLIDATED=Y","Sort=A","Dates=H","DateFormat=P","Fill=—","Direction=H","UseDPDF=Y")</f>
        <v>#NAME?</v>
      </c>
      <c r="CI69" s="2" t="e">
        <f ca="1">_xll.BDH($C$53,"LT_DEBT_TO_TOT_CAP","FQ1 2017","FQ1 2017","Currency=INR","Period=FQ","BEST_FPERIOD_OVERRIDE=FQ","FILING_STATUS=OR","EQY_CONSOLIDATED=Y","Sort=A","Dates=H","DateFormat=P","Fill=—","Direction=H","UseDPDF=Y")</f>
        <v>#NAME?</v>
      </c>
      <c r="CJ69" s="2" t="e">
        <f ca="1">_xll.BDH($C$53,"LT_DEBT_TO_TOT_ASSET","FQ1 2017","FQ1 2017","Currency=INR","Period=FQ","BEST_FPERIOD_OVERRIDE=FQ","FILING_STATUS=OR","EQY_CONSOLIDATED=Y","Sort=A","Dates=H","DateFormat=P","Fill=—","Direction=H","UseDPDF=Y")</f>
        <v>#NAME?</v>
      </c>
      <c r="CK69" s="2" t="e">
        <f ca="1">_xll.BDH($C$53,"TOT_DEBT_TO_TOT_EQY","FQ1 2017","FQ1 2017","Currency=INR","Period=FQ","BEST_FPERIOD_OVERRIDE=FQ","FILING_STATUS=OR","EQY_CONSOLIDATED=Y","Sort=A","Dates=H","DateFormat=P","Fill=—","Direction=H","UseDPDF=Y")</f>
        <v>#NAME?</v>
      </c>
      <c r="CL69" s="2" t="e">
        <f ca="1">_xll.BDH($C$53,"TOT_DEBT_TO_TOT_CAP","FQ1 2017","FQ1 2017","Currency=INR","Period=FQ","BEST_FPERIOD_OVERRIDE=FQ","FILING_STATUS=OR","EQY_CONSOLIDATED=Y","Sort=A","Dates=H","DateFormat=P","Fill=—","Direction=H","UseDPDF=Y")</f>
        <v>#NAME?</v>
      </c>
      <c r="CM69" s="2" t="e">
        <f ca="1">_xll.BDH($C$53,"TOT_DEBT_TO_TOT_ASSET","FQ1 2017","FQ1 2017","Currency=INR","Period=FQ","BEST_FPERIOD_OVERRIDE=FQ","FILING_STATUS=OR","EQY_CONSOLIDATED=Y","Sort=A","Dates=H","DateFormat=P","Fill=—","Direction=H","UseDPDF=Y")</f>
        <v>#NAME?</v>
      </c>
      <c r="CN69" s="2" t="e">
        <f ca="1">_xll.BDH($C$53,"NET_DEBT_TO_SHRHLDR_EQTY","FQ1 2017","FQ1 2017","Currency=INR","Period=FQ","BEST_FPERIOD_OVERRIDE=FQ","FILING_STATUS=OR","EQY_CONSOLIDATED=Y","Sort=A","Dates=H","DateFormat=P","Fill=—","Direction=H","UseDPDF=Y")</f>
        <v>#NAME?</v>
      </c>
      <c r="CO69" s="2" t="e">
        <f ca="1">_xll.BDH($C$53,"NET_DEBT_%_CAPITAL","FQ1 2017","FQ1 2017","Currency=INR","Period=FQ","BEST_FPERIOD_OVERRIDE=FQ","FILING_STATUS=OR","EQY_CONSOLIDATED=Y","Sort=A","Dates=H","DateFormat=P","Fill=—","Direction=H","UseDPDF=Y")</f>
        <v>#NAME?</v>
      </c>
      <c r="CP69" s="3" t="e">
        <f ca="1">_xll.BDH($C$53,"EBITDA","FQ1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9" s="3" t="e">
        <f ca="1">_xll.BDH($C$53,"EBITDA_AFTER_CAPEX","FQ1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9" s="3" t="e">
        <f ca="1">_xll.BDH($C$53,"IS_OPER_INC","FQ1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9" s="2" t="e">
        <f ca="1">_xll.BDH($C$53,"CASH_RATIO","FQ1 2017","FQ1 2017","Currency=INR","Period=FQ","BEST_FPERIOD_OVERRIDE=FQ","FILING_STATUS=OR","EQY_CONSOLIDATED=Y","Sort=A","Dates=H","DateFormat=P","Fill=—","Direction=H","UseDPDF=Y")</f>
        <v>#NAME?</v>
      </c>
      <c r="CT69" s="2" t="e">
        <f ca="1">_xll.BDH($C$53,"CUR_RATIO","FQ1 2017","FQ1 2017","Currency=INR","Period=FQ","BEST_FPERIOD_OVERRIDE=FQ","FILING_STATUS=OR","EQY_CONSOLIDATED=Y","Sort=A","Dates=H","DateFormat=P","Fill=—","Direction=H","UseDPDF=Y")</f>
        <v>#NAME?</v>
      </c>
      <c r="CU69" s="2" t="e">
        <f ca="1">_xll.BDH($C$53,"QUICK_RATIO","FQ1 2017","FQ1 2017","Currency=INR","Period=FQ","BEST_FPERIOD_OVERRIDE=FQ","FILING_STATUS=OR","EQY_CONSOLIDATED=Y","Sort=A","Dates=H","DateFormat=P","Fill=—","Direction=H","UseDPDF=Y")</f>
        <v>#NAME?</v>
      </c>
      <c r="CV69" s="2" t="e">
        <f ca="1">_xll.BDH($C$53,"ALTMAN_Z_SCORE","FQ1 2017","FQ1 2017","Currency=INR","Period=FQ","BEST_FPERIOD_OVERRIDE=FQ","FILING_STATUS=OR","EQY_CONSOLIDATED=Y","Sort=A","Dates=H","DateFormat=P","Fill=—","Direction=H","UseDPDF=Y")</f>
        <v>#NAME?</v>
      </c>
      <c r="CW69" s="4" t="e">
        <f ca="1">_xll.BDH($C$53,"ACCT_RCV_TURN","FQ1 2017","FQ1 2017","Currency=INR","Period=FQ","BEST_FPERIOD_OVERRIDE=FQ","FILING_STATUS=OR","EQY_CONSOLIDATED=Y","FA_ADJUSTED=GAAP","Sort=A","Dates=H","DateFormat=P","Fill=—","Direction=H","UseDPDF=Y")</f>
        <v>#NAME?</v>
      </c>
      <c r="CX69" s="2" t="e">
        <f ca="1">_xll.BDH($C$53,"ACCT_RCV_DAYS","FQ1 2017","FQ1 2017","Currency=INR","Period=FQ","BEST_FPERIOD_OVERRIDE=FQ","FILING_STATUS=OR","EQY_CONSOLIDATED=Y","FA_ADJUSTED=GAAP","Sort=A","Dates=H","DateFormat=P","Fill=—","Direction=H","UseDPDF=Y")</f>
        <v>#NAME?</v>
      </c>
      <c r="CY69" s="4" t="e">
        <f ca="1">_xll.BDH($C$53,"INVENT_TURN","FQ1 2017","FQ1 2017","Currency=INR","Period=FQ","BEST_FPERIOD_OVERRIDE=FQ","FILING_STATUS=OR","EQY_CONSOLIDATED=Y","FA_ADJUSTED=GAAP","Sort=A","Dates=H","DateFormat=P","Fill=—","Direction=H","UseDPDF=Y")</f>
        <v>#NAME?</v>
      </c>
      <c r="CZ69" s="2" t="e">
        <f ca="1">_xll.BDH($C$53,"INVENT_DAYS","FQ1 2017","FQ1 2017","Currency=INR","Period=FQ","BEST_FPERIOD_OVERRIDE=FQ","FILING_STATUS=OR","EQY_CONSOLIDATED=Y","FA_ADJUSTED=GAAP","Sort=A","Dates=H","DateFormat=P","Fill=—","Direction=H","UseDPDF=Y")</f>
        <v>#NAME?</v>
      </c>
      <c r="DA69" s="4" t="e">
        <f ca="1">_xll.BDH($C$53,"ACCOUNTS_PAYABLE_TURNOVER","FQ1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9" s="2" t="e">
        <f ca="1">_xll.BDH($C$53,"ACCOUNTS_PAYABLE_TURNOVER_DAYS","FQ1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9" s="4" t="e">
        <f ca="1">_xll.BDH($C$53,"CASH_CONVERSION_CYCLE","FQ1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9" s="4" t="e">
        <f ca="1">_xll.BDH($C$53,"INV_TO_CASH_DAYS","FQ1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9" s="5" t="e">
        <f ca="1">_xll.BDH($C$53,"BS_INVENTORIES","FQ1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9" s="3" t="e">
        <f ca="1">_xll.BDH($C$53,"INVTRY_RAW_MATERIALS","FQ1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9" s="3" t="e">
        <f ca="1">_xll.BDH($C$53,"INVTRY_IN_PROGRESS","FQ1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9" s="3" t="e">
        <f ca="1">_xll.BDH($C$53,"INVTRY_FINISHED_GOODS","FQ1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9" s="3" t="e">
        <f ca="1">_xll.BDH($C$53,"BS_OTHER_INV","FQ1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70" spans="1:113" x14ac:dyDescent="0.3">
      <c r="A70" s="6"/>
      <c r="B70" s="6"/>
      <c r="C70" s="6"/>
      <c r="D70" s="6"/>
      <c r="E70" t="s">
        <v>79</v>
      </c>
      <c r="F70" t="e">
        <f ca="1">_xll.BDH($C$53,"RETURN_COM_EQY","FQ2 2017","FQ2 2017","Currency=INR","Period=FQ","BEST_FPERIOD_OVERRIDE=FQ","FILING_STATUS=OR","EQY_CONSOLIDATED=Y","FA_ADJUSTED=GAAP","Sort=A","Dates=H","DateFormat=P","Fill=—","Direction=H","UseDPDF=Y")</f>
        <v>#NAME?</v>
      </c>
      <c r="G70" t="e">
        <f ca="1">_xll.BDH($C$53,"RETURN_ON_ASSET","FQ2 2017","FQ2 2017","Currency=INR","Period=FQ","BEST_FPERIOD_OVERRIDE=FQ","FILING_STATUS=OR","EQY_CONSOLIDATED=Y","FA_ADJUSTED=GAAP","Sort=A","Dates=H","DateFormat=P","Fill=—","Direction=H","UseDPDF=Y")</f>
        <v>#NAME?</v>
      </c>
      <c r="H70" t="e">
        <f ca="1">_xll.BDH($C$53,"RETURN_ON_CAP","FQ2 2017","FQ2 2017","Currency=INR","Period=FQ","BEST_FPERIOD_OVERRIDE=FQ","FILING_STATUS=OR","EQY_CONSOLIDATED=Y","FA_ADJUSTED=GAAP","Sort=A","Dates=H","DateFormat=P","Fill=—","Direction=H","UseDPDF=Y")</f>
        <v>#NAME?</v>
      </c>
      <c r="I70" t="e">
        <f ca="1">_xll.BDH($C$53,"RETURN_ON_INV_CAPITAL","FQ2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70" t="e">
        <f ca="1">_xll.BDH($C$53,"EBITDA_TO_REVENUE","FQ2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70" t="e">
        <f ca="1">_xll.BDH($C$53,"OPER_MARGIN","FQ2 2017","FQ2 2017","Currency=INR","Period=FQ","BEST_FPERIOD_OVERRIDE=FQ","FILING_STATUS=OR","EQY_CONSOLIDATED=Y","FA_ADJUSTED=GAAP","Sort=A","Dates=H","DateFormat=P","Fill=—","Direction=H","UseDPDF=Y")</f>
        <v>#NAME?</v>
      </c>
      <c r="L70" t="e">
        <f ca="1">_xll.BDH($C$53,"INCREMENTAL_OPERATING_MARGIN","FQ2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70" t="e">
        <f ca="1">_xll.BDH($C$53,"PRETAX_INC_TO_NET_SALES","FQ2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70" t="e">
        <f ca="1">_xll.BDH($C$53,"INC_BEF_XO_ITEMS_TO_NET_SALES","FQ2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70" t="e">
        <f ca="1">_xll.BDH($C$53,"PROF_MARGIN","FQ2 2017","FQ2 2017","Currency=INR","Period=FQ","BEST_FPERIOD_OVERRIDE=FQ","FILING_STATUS=OR","EQY_CONSOLIDATED=Y","FA_ADJUSTED=GAAP","Sort=A","Dates=H","DateFormat=P","Fill=—","Direction=H","UseDPDF=Y")</f>
        <v>#NAME?</v>
      </c>
      <c r="P70" t="e">
        <f ca="1">_xll.BDH($C$53,"NET_INCOME_TO_COMMON_MARGIN","FQ2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70" t="e">
        <f ca="1">_xll.BDH($C$53,"EFF_TAX_RATE","FQ2 2017","FQ2 2017","Currency=INR","Period=FQ","BEST_FPERIOD_OVERRIDE=FQ","FILING_STATUS=OR","EQY_CONSOLIDATED=Y","FA_ADJUSTED=GAAP","Sort=A","Dates=H","DateFormat=P","Fill=—","Direction=H","UseDPDF=Y")</f>
        <v>#NAME?</v>
      </c>
      <c r="R70" t="e">
        <f ca="1">_xll.BDH($C$53,"DVD_PAYOUT_RATIO","FQ2 2017","FQ2 2017","Currency=INR","Period=FQ","BEST_FPERIOD_OVERRIDE=FQ","FILING_STATUS=OR","EQY_CONSOLIDATED=Y","FA_ADJUSTED=GAAP","Sort=A","Dates=H","DateFormat=P","Fill=—","Direction=H","UseDPDF=Y")</f>
        <v>#NAME?</v>
      </c>
      <c r="S70" t="e">
        <f ca="1">_xll.BDH($C$53,"SUSTAIN_GROWTH_RT","FQ2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70" s="2" t="e">
        <f ca="1">_xll.BDH($C$53,"SALES_GROWTH","FQ2 2017","FQ2 2017","Currency=INR","Period=FQ","BEST_FPERIOD_OVERRIDE=FQ","FILING_STATUS=OR","EQY_CONSOLIDATED=Y","FA_ADJUSTED=GAAP","Sort=A","Dates=H","DateFormat=P","Fill=—","Direction=H","UseDPDF=Y")</f>
        <v>#NAME?</v>
      </c>
      <c r="U70" s="2" t="e">
        <f ca="1">_xll.BDH($C$53,"EBITDA_GROWTH","FQ2 2017","FQ2 2017","Currency=INR","Period=FQ","BEST_FPERIOD_OVERRIDE=FQ","FILING_STATUS=OR","EQY_CONSOLIDATED=Y","FA_ADJUSTED=GAAP","Sort=A","Dates=H","DateFormat=P","Fill=—","Direction=H","UseDPDF=Y")</f>
        <v>#NAME?</v>
      </c>
      <c r="V70" s="2" t="e">
        <f ca="1">_xll.BDH($C$53,"OPER_INC_GROWTH","FQ2 2017","FQ2 2017","Currency=INR","Period=FQ","BEST_FPERIOD_OVERRIDE=FQ","FILING_STATUS=OR","EQY_CONSOLIDATED=Y","FA_ADJUSTED=GAAP","Sort=A","Dates=H","DateFormat=P","Fill=—","Direction=H","UseDPDF=Y")</f>
        <v>#NAME?</v>
      </c>
      <c r="W70" s="2" t="e">
        <f ca="1">_xll.BDH($C$53,"EARN_FOR_COM_GROWTH","FQ2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70" s="2" t="e">
        <f ca="1">_xll.BDH($C$53,"DILUTED_EPS_AFT_XO_ITEMS_GROWTH","FQ2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70" s="2" t="e">
        <f ca="1">_xll.BDH($C$53,"DIVIDEND_PER_SHARE_1_YEAR_GROWTH","FQ2 2017","FQ2 2017","Currency=INR","Period=FQ","BEST_FPERIOD_OVERRIDE=FQ","FILING_STATUS=OR","EQY_CONSOLIDATED=Y","Sort=A","Dates=H","DateFormat=P","Fill=—","Direction=H","UseDPDF=Y")</f>
        <v>#NAME?</v>
      </c>
      <c r="Z70" s="2" t="e">
        <f ca="1">_xll.BDH($C$53,"ACCOUNTS_RECEIVABLE_GROWTH","FQ2 2017","FQ2 2017","Currency=INR","Period=FQ","BEST_FPERIOD_OVERRIDE=FQ","FILING_STATUS=OR","EQY_CONSOLIDATED=Y","Sort=A","Dates=H","DateFormat=P","Fill=—","Direction=H","UseDPDF=Y")</f>
        <v>#NAME?</v>
      </c>
      <c r="AA70" s="2" t="e">
        <f ca="1">_xll.BDH($C$53,"INVENTORY_GROWTH","FQ2 2017","FQ2 2017","Currency=INR","Period=FQ","BEST_FPERIOD_OVERRIDE=FQ","FILING_STATUS=OR","EQY_CONSOLIDATED=Y","Sort=A","Dates=H","DateFormat=P","Fill=—","Direction=H","UseDPDF=Y")</f>
        <v>#NAME?</v>
      </c>
      <c r="AB70" s="2" t="e">
        <f ca="1">_xll.BDH($C$53,"NET_FIXED_ASSETS_1_YEAR_GROWTH","FQ2 2017","FQ2 2017","Currency=INR","Period=FQ","BEST_FPERIOD_OVERRIDE=FQ","FILING_STATUS=OR","EQY_CONSOLIDATED=Y","Sort=A","Dates=H","DateFormat=P","Fill=—","Direction=H","UseDPDF=Y")</f>
        <v>#NAME?</v>
      </c>
      <c r="AC70" s="2" t="e">
        <f ca="1">_xll.BDH($C$53,"ASSET_GROWTH","FQ2 2017","FQ2 2017","Currency=INR","Period=FQ","BEST_FPERIOD_OVERRIDE=FQ","FILING_STATUS=OR","EQY_CONSOLIDATED=Y","Sort=A","Dates=H","DateFormat=P","Fill=—","Direction=H","UseDPDF=Y")</f>
        <v>#NAME?</v>
      </c>
      <c r="AD70" s="2" t="e">
        <f ca="1">_xll.BDH($C$53,"MODIFIED_WORK_CAP_GROWTH","FQ2 2017","FQ2 2017","Currency=INR","Period=FQ","BEST_FPERIOD_OVERRIDE=FQ","FILING_STATUS=OR","EQY_CONSOLIDATED=Y","Sort=A","Dates=H","DateFormat=P","Fill=—","Direction=H","UseDPDF=Y")</f>
        <v>#NAME?</v>
      </c>
      <c r="AE70" s="2" t="e">
        <f ca="1">_xll.BDH($C$53,"WORK_CAP_GROWTH","FQ2 2017","FQ2 2017","Currency=INR","Period=FQ","BEST_FPERIOD_OVERRIDE=FQ","FILING_STATUS=OR","EQY_CONSOLIDATED=Y","Sort=A","Dates=H","DateFormat=P","Fill=—","Direction=H","UseDPDF=Y")</f>
        <v>#NAME?</v>
      </c>
      <c r="AF70" s="2" t="e">
        <f ca="1">_xll.BDH($C$53,"ACCOUNTS_PAYABLE_GROWTH_1YR","FQ2 2017","FQ2 2017","Currency=INR","Period=FQ","BEST_FPERIOD_OVERRIDE=FQ","FILING_STATUS=OR","EQY_CONSOLIDATED=Y","Sort=A","Dates=H","DateFormat=P","Fill=—","Direction=H","UseDPDF=Y")</f>
        <v>#NAME?</v>
      </c>
      <c r="AG70" s="2" t="e">
        <f ca="1">_xll.BDH($C$53,"SHORT_TERM_DEBT_1_YEAR_GROWTH","FQ2 2017","FQ2 2017","Currency=INR","Period=FQ","BEST_FPERIOD_OVERRIDE=FQ","FILING_STATUS=OR","EQY_CONSOLIDATED=Y","Sort=A","Dates=H","DateFormat=P","Fill=—","Direction=H","UseDPDF=Y")</f>
        <v>#NAME?</v>
      </c>
      <c r="AH70" s="2" t="e">
        <f ca="1">_xll.BDH($C$53,"TOTAL_DEBT_1_YEAR_GROWTH","FQ2 2017","FQ2 2017","Currency=INR","Period=FQ","BEST_FPERIOD_OVERRIDE=FQ","FILING_STATUS=OR","EQY_CONSOLIDATED=Y","Sort=A","Dates=H","DateFormat=P","Fill=—","Direction=H","UseDPDF=Y")</f>
        <v>#NAME?</v>
      </c>
      <c r="AI70" s="2" t="e">
        <f ca="1">_xll.BDH($C$53,"TOTAL_EQUITY_1_YEAR_GROWTH","FQ2 2017","FQ2 2017","Currency=INR","Period=FQ","BEST_FPERIOD_OVERRIDE=FQ","FILING_STATUS=OR","EQY_CONSOLIDATED=Y","Sort=A","Dates=H","DateFormat=P","Fill=—","Direction=H","UseDPDF=Y")</f>
        <v>#NAME?</v>
      </c>
      <c r="AJ70" s="2" t="e">
        <f ca="1">_xll.BDH($C$53,"GROWTH_IN_CAP","FQ2 2017","FQ2 2017","Currency=INR","Period=FQ","BEST_FPERIOD_OVERRIDE=FQ","FILING_STATUS=OR","EQY_CONSOLIDATED=Y","Sort=A","Dates=H","DateFormat=P","Fill=—","Direction=H","UseDPDF=Y")</f>
        <v>#NAME?</v>
      </c>
      <c r="AK70" s="2" t="e">
        <f ca="1">_xll.BDH($C$53,"BVPS_GROWTH","FQ2 2017","FQ2 2017","Currency=INR","Period=FQ","BEST_FPERIOD_OVERRIDE=FQ","FILING_STATUS=OR","EQY_CONSOLIDATED=Y","Sort=A","Dates=H","DateFormat=P","Fill=—","Direction=H","UseDPDF=Y")</f>
        <v>#NAME?</v>
      </c>
      <c r="AL70" s="2" t="e">
        <f ca="1">_xll.BDH($C$53,"CASH_FLOW_GROWTH","FQ2 2017","FQ2 2017","Currency=INR","Period=FQ","BEST_FPERIOD_OVERRIDE=FQ","FILING_STATUS=OR","EQY_CONSOLIDATED=Y","Sort=A","Dates=H","DateFormat=P","Fill=—","Direction=H","UseDPDF=Y")</f>
        <v>#NAME?</v>
      </c>
      <c r="AM70" s="2" t="e">
        <f ca="1">_xll.BDH($C$53,"GEO_GROW_NET_SALES","FQ2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70" s="2" t="e">
        <f ca="1">_xll.BDH($C$53,"GEO_GROW_EBITDA","FQ2 2017","FQ2 2017","Currency=INR","Period=FQ","BEST_FPERIOD_OVERRIDE=FQ","FILING_STATUS=OR","EQY_CONSOLIDATED=Y","FA_ADJUSTED=GAAP","Sort=A","Dates=H","DateFormat=P","Fill=—","Direction=H","UseDPDF=Y")</f>
        <v>#NAME?</v>
      </c>
      <c r="AO70" s="2" t="e">
        <f ca="1">_xll.BDH($C$53,"GEO_GROW_OPER_INC","FQ2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70" s="2" t="e">
        <f ca="1">_xll.BDH($C$53,"NET_INCOME_TO_COMMON_5_YR_GROWTH","FQ2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70" s="2" t="e">
        <f ca="1">_xll.BDH($C$53,"5Y_GEO_GROWTH_DILUTED_EPS","FQ2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70" s="2" t="e">
        <f ca="1">_xll.BDH($C$53,"GEO_GROW_DVD_PER_SH","FQ2 2017","FQ2 2017","Currency=INR","Period=FQ","BEST_FPERIOD_OVERRIDE=FQ","FILING_STATUS=OR","EQY_CONSOLIDATED=Y","Sort=A","Dates=H","DateFormat=P","Fill=—","Direction=H","UseDPDF=Y")</f>
        <v>#NAME?</v>
      </c>
      <c r="AS70" s="2" t="e">
        <f ca="1">_xll.BDH($C$53,"ACCOUNTS_RECEIVABLE_5_YR_GROWTH","FQ2 2017","FQ2 2017","Currency=INR","Period=FQ","BEST_FPERIOD_OVERRIDE=FQ","FILING_STATUS=OR","EQY_CONSOLIDATED=Y","Sort=A","Dates=H","DateFormat=P","Fill=—","Direction=H","UseDPDF=Y")</f>
        <v>#NAME?</v>
      </c>
      <c r="AT70" s="2" t="e">
        <f ca="1">_xll.BDH($C$53,"INVENTORY_5_YEAR_GROWTH","FQ2 2017","FQ2 2017","Currency=INR","Period=FQ","BEST_FPERIOD_OVERRIDE=FQ","FILING_STATUS=OR","EQY_CONSOLIDATED=Y","Sort=A","Dates=H","DateFormat=P","Fill=—","Direction=H","UseDPDF=Y")</f>
        <v>#NAME?</v>
      </c>
      <c r="AU70" s="2" t="e">
        <f ca="1">_xll.BDH($C$53,"NET_FIXED_ASSETS_5_YEAR_GROWTH","FQ2 2017","FQ2 2017","Currency=INR","Period=FQ","BEST_FPERIOD_OVERRIDE=FQ","FILING_STATUS=OR","EQY_CONSOLIDATED=Y","Sort=A","Dates=H","DateFormat=P","Fill=—","Direction=H","UseDPDF=Y")</f>
        <v>#NAME?</v>
      </c>
      <c r="AV70" s="2" t="e">
        <f ca="1">_xll.BDH($C$53,"GEO_GROW_TOT_ASSET","FQ2 2017","FQ2 2017","Currency=INR","Period=FQ","BEST_FPERIOD_OVERRIDE=FQ","FILING_STATUS=OR","EQY_CONSOLIDATED=Y","Sort=A","Dates=H","DateFormat=P","Fill=—","Direction=H","UseDPDF=Y")</f>
        <v>#NAME?</v>
      </c>
      <c r="AW70" s="2" t="e">
        <f ca="1">_xll.BDH($C$53,"MODIFIED_WORKING_CPTL_5YR_GRWTH","FQ2 2017","FQ2 2017","Currency=INR","Period=FQ","BEST_FPERIOD_OVERRIDE=FQ","FILING_STATUS=OR","EQY_CONSOLIDATED=Y","Sort=A","Dates=H","DateFormat=P","Fill=—","Direction=H","UseDPDF=Y")</f>
        <v>#NAME?</v>
      </c>
      <c r="AX70" s="2" t="e">
        <f ca="1">_xll.BDH($C$53,"WORKING_CAPITAL_5_YEAR_GROWTH","FQ2 2017","FQ2 2017","Currency=INR","Period=FQ","BEST_FPERIOD_OVERRIDE=FQ","FILING_STATUS=OR","EQY_CONSOLIDATED=Y","Sort=A","Dates=H","DateFormat=P","Fill=—","Direction=H","UseDPDF=Y")</f>
        <v>#NAME?</v>
      </c>
      <c r="AY70" s="2" t="e">
        <f ca="1">_xll.BDH($C$53,"ACCOUNTS_PAYABLE_5_YEAR_GROWTH","FQ2 2017","FQ2 2017","Currency=INR","Period=FQ","BEST_FPERIOD_OVERRIDE=FQ","FILING_STATUS=OR","EQY_CONSOLIDATED=Y","Sort=A","Dates=H","DateFormat=P","Fill=—","Direction=H","UseDPDF=Y")</f>
        <v>#NAME?</v>
      </c>
      <c r="AZ70" s="2" t="e">
        <f ca="1">_xll.BDH($C$53,"SHORT_TERM_DEBT_5_YEAR_GROWTH","FQ2 2017","FQ2 2017","Currency=INR","Period=FQ","BEST_FPERIOD_OVERRIDE=FQ","FILING_STATUS=OR","EQY_CONSOLIDATED=Y","Sort=A","Dates=H","DateFormat=P","Fill=—","Direction=H","UseDPDF=Y")</f>
        <v>#NAME?</v>
      </c>
      <c r="BA70" s="2" t="e">
        <f ca="1">_xll.BDH($C$53,"TOTAL_DEBT_5_YEAR_GROWTH","FQ2 2017","FQ2 2017","Currency=INR","Period=FQ","BEST_FPERIOD_OVERRIDE=FQ","FILING_STATUS=OR","EQY_CONSOLIDATED=Y","Sort=A","Dates=H","DateFormat=P","Fill=—","Direction=H","UseDPDF=Y")</f>
        <v>#NAME?</v>
      </c>
      <c r="BB70" s="2" t="e">
        <f ca="1">_xll.BDH($C$53,"GEO_GROW_TOT_SHRHLDR_EQY","FQ2 2017","FQ2 2017","Currency=INR","Period=FQ","BEST_FPERIOD_OVERRIDE=FQ","FILING_STATUS=OR","EQY_CONSOLIDATED=Y","Sort=A","Dates=H","DateFormat=P","Fill=—","Direction=H","UseDPDF=Y")</f>
        <v>#NAME?</v>
      </c>
      <c r="BC70" s="2" t="e">
        <f ca="1">_xll.BDH($C$53,"TOTAL_CAPITAL_5_YEAR_GROWTH","FQ2 2017","FQ2 2017","Currency=INR","Period=FQ","BEST_FPERIOD_OVERRIDE=FQ","FILING_STATUS=OR","EQY_CONSOLIDATED=Y","Sort=A","Dates=H","DateFormat=P","Fill=—","Direction=H","UseDPDF=Y")</f>
        <v>#NAME?</v>
      </c>
      <c r="BD70" s="2" t="e">
        <f ca="1">_xll.BDH($C$53,"GEO_GROW_BOOK_VAL","FQ2 2017","FQ2 2017","Currency=INR","Period=FQ","BEST_FPERIOD_OVERRIDE=FQ","FILING_STATUS=OR","EQY_CONSOLIDATED=Y","Sort=A","Dates=H","DateFormat=P","Fill=—","Direction=H","UseDPDF=Y")</f>
        <v>#NAME?</v>
      </c>
      <c r="BE70" s="2" t="e">
        <f ca="1">_xll.BDH($C$53,"GEO_GROW_CASH_OPER_ACT","FQ2 2017","FQ2 2017","Currency=INR","Period=FQ","BEST_FPERIOD_OVERRIDE=FQ","FILING_STATUS=OR","EQY_CONSOLIDATED=Y","Sort=A","Dates=H","DateFormat=P","Fill=—","Direction=H","UseDPDF=Y")</f>
        <v>#NAME?</v>
      </c>
      <c r="BF70" s="2" t="e">
        <f ca="1">_xll.BDH($C$53,"REVENUE_SEQUENTIAL_GROWTH","FQ2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70" s="2" t="e">
        <f ca="1">_xll.BDH($C$53,"EBITDA_SEQUENTIAL_GROWTH","FQ2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70" s="2" t="e">
        <f ca="1">_xll.BDH($C$53,"OPERATING_INCOME_SEQ_GROWTH","FQ2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70" s="2" t="e">
        <f ca="1">_xll.BDH($C$53,"NET_INCOME_TO_COMMON_SEQ_GROWTH","FQ2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70" s="2" t="e">
        <f ca="1">_xll.BDH($C$53,"EPS_DILUTED_SEQUENTIAL_GROWTH","FQ2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70" s="2" t="e">
        <f ca="1">_xll.BDH($C$53,"DPS_SEQUENTIAL_GROWTH","FQ2 2017","FQ2 2017","Currency=INR","Period=FQ","BEST_FPERIOD_OVERRIDE=FQ","FILING_STATUS=OR","EQY_CONSOLIDATED=Y","Sort=A","Dates=H","DateFormat=P","Fill=—","Direction=H","UseDPDF=Y")</f>
        <v>#NAME?</v>
      </c>
      <c r="BL70" s="2" t="e">
        <f ca="1">_xll.BDH($C$53,"ACCOUNTS_RECEIVABLE_SEQ_GROWTH","FQ2 2017","FQ2 2017","Currency=INR","Period=FQ","BEST_FPERIOD_OVERRIDE=FQ","FILING_STATUS=OR","EQY_CONSOLIDATED=Y","Sort=A","Dates=H","DateFormat=P","Fill=—","Direction=H","UseDPDF=Y")</f>
        <v>#NAME?</v>
      </c>
      <c r="BM70" s="2" t="e">
        <f ca="1">_xll.BDH($C$53,"INVENTORY_SEQUENTIAL_GROWTH","FQ2 2017","FQ2 2017","Currency=INR","Period=FQ","BEST_FPERIOD_OVERRIDE=FQ","FILING_STATUS=OR","EQY_CONSOLIDATED=Y","Sort=A","Dates=H","DateFormat=P","Fill=—","Direction=H","UseDPDF=Y")</f>
        <v>#NAME?</v>
      </c>
      <c r="BN70" s="2" t="e">
        <f ca="1">_xll.BDH($C$53,"FIXED_ASSETS_SEQUENTIAL_GROWTH","FQ2 2017","FQ2 2017","Currency=INR","Period=FQ","BEST_FPERIOD_OVERRIDE=FQ","FILING_STATUS=OR","EQY_CONSOLIDATED=Y","Sort=A","Dates=H","DateFormat=P","Fill=—","Direction=H","UseDPDF=Y")</f>
        <v>#NAME?</v>
      </c>
      <c r="BO70" s="2" t="e">
        <f ca="1">_xll.BDH($C$53,"TOTAL_ASSETS_SEQUENTIAL_GROWTH","FQ2 2017","FQ2 2017","Currency=INR","Period=FQ","BEST_FPERIOD_OVERRIDE=FQ","FILING_STATUS=OR","EQY_CONSOLIDATED=Y","Sort=A","Dates=H","DateFormat=P","Fill=—","Direction=H","UseDPDF=Y")</f>
        <v>#NAME?</v>
      </c>
      <c r="BP70" s="2" t="e">
        <f ca="1">_xll.BDH($C$53,"MODIFIED_WORKING_CPTL_SEQ_GRWTH","FQ2 2017","FQ2 2017","Currency=INR","Period=FQ","BEST_FPERIOD_OVERRIDE=FQ","FILING_STATUS=OR","EQY_CONSOLIDATED=Y","Sort=A","Dates=H","DateFormat=P","Fill=—","Direction=H","UseDPDF=Y")</f>
        <v>#NAME?</v>
      </c>
      <c r="BQ70" s="2" t="e">
        <f ca="1">_xll.BDH($C$53,"WORKING_CAPITAL_SEQ_GROWTH","FQ2 2017","FQ2 2017","Currency=INR","Period=FQ","BEST_FPERIOD_OVERRIDE=FQ","FILING_STATUS=OR","EQY_CONSOLIDATED=Y","Sort=A","Dates=H","DateFormat=P","Fill=—","Direction=H","UseDPDF=Y")</f>
        <v>#NAME?</v>
      </c>
      <c r="BR70" s="2" t="e">
        <f ca="1">_xll.BDH($C$53,"ACCOUNTS_PAYABLE_SEQ_GROWTH","FQ2 2017","FQ2 2017","Currency=INR","Period=FQ","BEST_FPERIOD_OVERRIDE=FQ","FILING_STATUS=OR","EQY_CONSOLIDATED=Y","Sort=A","Dates=H","DateFormat=P","Fill=—","Direction=H","UseDPDF=Y")</f>
        <v>#NAME?</v>
      </c>
      <c r="BS70" s="2" t="e">
        <f ca="1">_xll.BDH($C$53,"ST_DEBT_SEQUENTIAL_GROWTH","FQ2 2017","FQ2 2017","Currency=INR","Period=FQ","BEST_FPERIOD_OVERRIDE=FQ","FILING_STATUS=OR","EQY_CONSOLIDATED=Y","Sort=A","Dates=H","DateFormat=P","Fill=—","Direction=H","UseDPDF=Y")</f>
        <v>#NAME?</v>
      </c>
      <c r="BT70" s="2" t="e">
        <f ca="1">_xll.BDH($C$53,"TOTAL_DEBT_SEQUENTIAL_GROWTH","FQ2 2017","FQ2 2017","Currency=INR","Period=FQ","BEST_FPERIOD_OVERRIDE=FQ","FILING_STATUS=OR","EQY_CONSOLIDATED=Y","Sort=A","Dates=H","DateFormat=P","Fill=—","Direction=H","UseDPDF=Y")</f>
        <v>#NAME?</v>
      </c>
      <c r="BU70" s="2" t="e">
        <f ca="1">_xll.BDH($C$53,"TOTAL_EQUITY_SEQUENTIAL_GROWTH","FQ2 2017","FQ2 2017","Currency=INR","Period=FQ","BEST_FPERIOD_OVERRIDE=FQ","FILING_STATUS=OR","EQY_CONSOLIDATED=Y","Sort=A","Dates=H","DateFormat=P","Fill=—","Direction=H","UseDPDF=Y")</f>
        <v>#NAME?</v>
      </c>
      <c r="BV70" s="2" t="e">
        <f ca="1">_xll.BDH($C$53,"TOTAL_CAPITAL_SEQUENTIAL_GROWTH","FQ2 2017","FQ2 2017","Currency=INR","Period=FQ","BEST_FPERIOD_OVERRIDE=FQ","FILING_STATUS=OR","EQY_CONSOLIDATED=Y","Sort=A","Dates=H","DateFormat=P","Fill=—","Direction=H","UseDPDF=Y")</f>
        <v>#NAME?</v>
      </c>
      <c r="BW70" s="2" t="e">
        <f ca="1">_xll.BDH($C$53,"BPS_SEQUENTIAL_GROWTH","FQ2 2017","FQ2 2017","Currency=INR","Period=FQ","BEST_FPERIOD_OVERRIDE=FQ","FILING_STATUS=OR","EQY_CONSOLIDATED=Y","Sort=A","Dates=H","DateFormat=P","Fill=—","Direction=H","UseDPDF=Y")</f>
        <v>#NAME?</v>
      </c>
      <c r="BX70" s="2" t="e">
        <f ca="1">_xll.BDH($C$53,"CFO_SEQUENTIAL_GROWTH","FQ2 2017","FQ2 2017","Currency=INR","Period=FQ","BEST_FPERIOD_OVERRIDE=FQ","FILING_STATUS=OR","EQY_CONSOLIDATED=Y","Sort=A","Dates=H","DateFormat=P","Fill=—","Direction=H","UseDPDF=Y")</f>
        <v>#NAME?</v>
      </c>
      <c r="BY70" s="3" t="e">
        <f ca="1">_xll.BDH($C$53,"SHORT_AND_LONG_TERM_DEBT","FQ2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70" s="3" t="e">
        <f ca="1">_xll.BDH($C$53,"BS_ST_BORROW","FQ2 2017","FQ2 2017","Currency=INR","Period=FQ","BEST_FPERIOD_OVERRIDE=FQ","FILING_STATUS=OR","EQY_CONSOLIDATED=Y","SCALING_FORMAT=MLN","Sort=A","Dates=H","DateFormat=P","Fill=—","Direction=H","UseDPDF=Y")</f>
        <v>#NAME?</v>
      </c>
      <c r="CA70" s="3" t="e">
        <f ca="1">_xll.BDH($C$53,"BS_LT_BORROW","FQ2 2017","FQ2 2017","Currency=INR","Period=FQ","BEST_FPERIOD_OVERRIDE=FQ","FILING_STATUS=OR","EQY_CONSOLIDATED=Y","SCALING_FORMAT=MLN","Sort=A","Dates=H","DateFormat=P","Fill=—","Direction=H","UseDPDF=Y")</f>
        <v>#NAME?</v>
      </c>
      <c r="CB70" s="2" t="e">
        <f ca="1">_xll.BDH($C$53,"TOT_DEBT_TO_EBITDA","FQ2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70" s="2" t="e">
        <f ca="1">_xll.BDH($C$53,"NET_DEBT_TO_EBITDA","FQ2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70" s="2" t="e">
        <f ca="1">_xll.BDH($C$53,"TOTAL_DEBT_TO_EBIT","FQ2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70" s="2" t="e">
        <f ca="1">_xll.BDH($C$53,"NET_DEBT_TO_EBIT","FQ2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70" s="2" t="e">
        <f ca="1">_xll.BDH($C$53,"EBITDA_TO_INTEREST_EXPN","FQ2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70" s="2" t="e">
        <f ca="1">_xll.BDH($C$53,"COM_EQY_TO_TOT_ASSET","FQ2 2017","FQ2 2017","Currency=INR","Period=FQ","BEST_FPERIOD_OVERRIDE=FQ","FILING_STATUS=OR","EQY_CONSOLIDATED=Y","Sort=A","Dates=H","DateFormat=P","Fill=—","Direction=H","UseDPDF=Y")</f>
        <v>#NAME?</v>
      </c>
      <c r="CH70" s="2" t="e">
        <f ca="1">_xll.BDH($C$53,"LT_DEBT_TO_TOT_EQY","FQ2 2017","FQ2 2017","Currency=INR","Period=FQ","BEST_FPERIOD_OVERRIDE=FQ","FILING_STATUS=OR","EQY_CONSOLIDATED=Y","Sort=A","Dates=H","DateFormat=P","Fill=—","Direction=H","UseDPDF=Y")</f>
        <v>#NAME?</v>
      </c>
      <c r="CI70" s="2" t="e">
        <f ca="1">_xll.BDH($C$53,"LT_DEBT_TO_TOT_CAP","FQ2 2017","FQ2 2017","Currency=INR","Period=FQ","BEST_FPERIOD_OVERRIDE=FQ","FILING_STATUS=OR","EQY_CONSOLIDATED=Y","Sort=A","Dates=H","DateFormat=P","Fill=—","Direction=H","UseDPDF=Y")</f>
        <v>#NAME?</v>
      </c>
      <c r="CJ70" s="2" t="e">
        <f ca="1">_xll.BDH($C$53,"LT_DEBT_TO_TOT_ASSET","FQ2 2017","FQ2 2017","Currency=INR","Period=FQ","BEST_FPERIOD_OVERRIDE=FQ","FILING_STATUS=OR","EQY_CONSOLIDATED=Y","Sort=A","Dates=H","DateFormat=P","Fill=—","Direction=H","UseDPDF=Y")</f>
        <v>#NAME?</v>
      </c>
      <c r="CK70" s="2" t="e">
        <f ca="1">_xll.BDH($C$53,"TOT_DEBT_TO_TOT_EQY","FQ2 2017","FQ2 2017","Currency=INR","Period=FQ","BEST_FPERIOD_OVERRIDE=FQ","FILING_STATUS=OR","EQY_CONSOLIDATED=Y","Sort=A","Dates=H","DateFormat=P","Fill=—","Direction=H","UseDPDF=Y")</f>
        <v>#NAME?</v>
      </c>
      <c r="CL70" s="2" t="e">
        <f ca="1">_xll.BDH($C$53,"TOT_DEBT_TO_TOT_CAP","FQ2 2017","FQ2 2017","Currency=INR","Period=FQ","BEST_FPERIOD_OVERRIDE=FQ","FILING_STATUS=OR","EQY_CONSOLIDATED=Y","Sort=A","Dates=H","DateFormat=P","Fill=—","Direction=H","UseDPDF=Y")</f>
        <v>#NAME?</v>
      </c>
      <c r="CM70" s="2" t="e">
        <f ca="1">_xll.BDH($C$53,"TOT_DEBT_TO_TOT_ASSET","FQ2 2017","FQ2 2017","Currency=INR","Period=FQ","BEST_FPERIOD_OVERRIDE=FQ","FILING_STATUS=OR","EQY_CONSOLIDATED=Y","Sort=A","Dates=H","DateFormat=P","Fill=—","Direction=H","UseDPDF=Y")</f>
        <v>#NAME?</v>
      </c>
      <c r="CN70" s="2" t="e">
        <f ca="1">_xll.BDH($C$53,"NET_DEBT_TO_SHRHLDR_EQTY","FQ2 2017","FQ2 2017","Currency=INR","Period=FQ","BEST_FPERIOD_OVERRIDE=FQ","FILING_STATUS=OR","EQY_CONSOLIDATED=Y","Sort=A","Dates=H","DateFormat=P","Fill=—","Direction=H","UseDPDF=Y")</f>
        <v>#NAME?</v>
      </c>
      <c r="CO70" s="2" t="e">
        <f ca="1">_xll.BDH($C$53,"NET_DEBT_%_CAPITAL","FQ2 2017","FQ2 2017","Currency=INR","Period=FQ","BEST_FPERIOD_OVERRIDE=FQ","FILING_STATUS=OR","EQY_CONSOLIDATED=Y","Sort=A","Dates=H","DateFormat=P","Fill=—","Direction=H","UseDPDF=Y")</f>
        <v>#NAME?</v>
      </c>
      <c r="CP70" s="3" t="e">
        <f ca="1">_xll.BDH($C$53,"EBITDA","FQ2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70" s="3" t="e">
        <f ca="1">_xll.BDH($C$53,"EBITDA_AFTER_CAPEX","FQ2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70" s="3" t="e">
        <f ca="1">_xll.BDH($C$53,"IS_OPER_INC","FQ2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70" s="2" t="e">
        <f ca="1">_xll.BDH($C$53,"CASH_RATIO","FQ2 2017","FQ2 2017","Currency=INR","Period=FQ","BEST_FPERIOD_OVERRIDE=FQ","FILING_STATUS=OR","EQY_CONSOLIDATED=Y","Sort=A","Dates=H","DateFormat=P","Fill=—","Direction=H","UseDPDF=Y")</f>
        <v>#NAME?</v>
      </c>
      <c r="CT70" s="2" t="e">
        <f ca="1">_xll.BDH($C$53,"CUR_RATIO","FQ2 2017","FQ2 2017","Currency=INR","Period=FQ","BEST_FPERIOD_OVERRIDE=FQ","FILING_STATUS=OR","EQY_CONSOLIDATED=Y","Sort=A","Dates=H","DateFormat=P","Fill=—","Direction=H","UseDPDF=Y")</f>
        <v>#NAME?</v>
      </c>
      <c r="CU70" s="2" t="e">
        <f ca="1">_xll.BDH($C$53,"QUICK_RATIO","FQ2 2017","FQ2 2017","Currency=INR","Period=FQ","BEST_FPERIOD_OVERRIDE=FQ","FILING_STATUS=OR","EQY_CONSOLIDATED=Y","Sort=A","Dates=H","DateFormat=P","Fill=—","Direction=H","UseDPDF=Y")</f>
        <v>#NAME?</v>
      </c>
      <c r="CV70" s="2" t="e">
        <f ca="1">_xll.BDH($C$53,"ALTMAN_Z_SCORE","FQ2 2017","FQ2 2017","Currency=INR","Period=FQ","BEST_FPERIOD_OVERRIDE=FQ","FILING_STATUS=OR","EQY_CONSOLIDATED=Y","Sort=A","Dates=H","DateFormat=P","Fill=—","Direction=H","UseDPDF=Y")</f>
        <v>#NAME?</v>
      </c>
      <c r="CW70" s="4" t="e">
        <f ca="1">_xll.BDH($C$53,"ACCT_RCV_TURN","FQ2 2017","FQ2 2017","Currency=INR","Period=FQ","BEST_FPERIOD_OVERRIDE=FQ","FILING_STATUS=OR","EQY_CONSOLIDATED=Y","FA_ADJUSTED=GAAP","Sort=A","Dates=H","DateFormat=P","Fill=—","Direction=H","UseDPDF=Y")</f>
        <v>#NAME?</v>
      </c>
      <c r="CX70" s="2" t="e">
        <f ca="1">_xll.BDH($C$53,"ACCT_RCV_DAYS","FQ2 2017","FQ2 2017","Currency=INR","Period=FQ","BEST_FPERIOD_OVERRIDE=FQ","FILING_STATUS=OR","EQY_CONSOLIDATED=Y","FA_ADJUSTED=GAAP","Sort=A","Dates=H","DateFormat=P","Fill=—","Direction=H","UseDPDF=Y")</f>
        <v>#NAME?</v>
      </c>
      <c r="CY70" s="4" t="e">
        <f ca="1">_xll.BDH($C$53,"INVENT_TURN","FQ2 2017","FQ2 2017","Currency=INR","Period=FQ","BEST_FPERIOD_OVERRIDE=FQ","FILING_STATUS=OR","EQY_CONSOLIDATED=Y","FA_ADJUSTED=GAAP","Sort=A","Dates=H","DateFormat=P","Fill=—","Direction=H","UseDPDF=Y")</f>
        <v>#NAME?</v>
      </c>
      <c r="CZ70" s="2" t="e">
        <f ca="1">_xll.BDH($C$53,"INVENT_DAYS","FQ2 2017","FQ2 2017","Currency=INR","Period=FQ","BEST_FPERIOD_OVERRIDE=FQ","FILING_STATUS=OR","EQY_CONSOLIDATED=Y","FA_ADJUSTED=GAAP","Sort=A","Dates=H","DateFormat=P","Fill=—","Direction=H","UseDPDF=Y")</f>
        <v>#NAME?</v>
      </c>
      <c r="DA70" s="4" t="e">
        <f ca="1">_xll.BDH($C$53,"ACCOUNTS_PAYABLE_TURNOVER","FQ2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70" s="2" t="e">
        <f ca="1">_xll.BDH($C$53,"ACCOUNTS_PAYABLE_TURNOVER_DAYS","FQ2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70" s="4" t="e">
        <f ca="1">_xll.BDH($C$53,"CASH_CONVERSION_CYCLE","FQ2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70" s="4" t="e">
        <f ca="1">_xll.BDH($C$53,"INV_TO_CASH_DAYS","FQ2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70" s="5" t="e">
        <f ca="1">_xll.BDH($C$53,"BS_INVENTORIES","FQ2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70" s="3" t="e">
        <f ca="1">_xll.BDH($C$53,"INVTRY_RAW_MATERIALS","FQ2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70" s="3" t="e">
        <f ca="1">_xll.BDH($C$53,"INVTRY_IN_PROGRESS","FQ2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70" s="3" t="e">
        <f ca="1">_xll.BDH($C$53,"INVTRY_FINISHED_GOODS","FQ2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70" s="3" t="e">
        <f ca="1">_xll.BDH($C$53,"BS_OTHER_INV","FQ2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71" spans="1:113" x14ac:dyDescent="0.3">
      <c r="A71" s="6"/>
      <c r="B71" s="6"/>
      <c r="C71" s="6"/>
      <c r="D71" s="6"/>
      <c r="E71" t="s">
        <v>80</v>
      </c>
      <c r="F71" t="e">
        <f ca="1">_xll.BDH($C$53,"RETURN_COM_EQY","FQ3 2017","FQ3 2017","Currency=INR","Period=FQ","BEST_FPERIOD_OVERRIDE=FQ","FILING_STATUS=OR","EQY_CONSOLIDATED=Y","FA_ADJUSTED=GAAP","Sort=A","Dates=H","DateFormat=P","Fill=—","Direction=H","UseDPDF=Y")</f>
        <v>#NAME?</v>
      </c>
      <c r="G71" t="e">
        <f ca="1">_xll.BDH($C$53,"RETURN_ON_ASSET","FQ3 2017","FQ3 2017","Currency=INR","Period=FQ","BEST_FPERIOD_OVERRIDE=FQ","FILING_STATUS=OR","EQY_CONSOLIDATED=Y","FA_ADJUSTED=GAAP","Sort=A","Dates=H","DateFormat=P","Fill=—","Direction=H","UseDPDF=Y")</f>
        <v>#NAME?</v>
      </c>
      <c r="H71" t="e">
        <f ca="1">_xll.BDH($C$53,"RETURN_ON_CAP","FQ3 2017","FQ3 2017","Currency=INR","Period=FQ","BEST_FPERIOD_OVERRIDE=FQ","FILING_STATUS=OR","EQY_CONSOLIDATED=Y","FA_ADJUSTED=GAAP","Sort=A","Dates=H","DateFormat=P","Fill=—","Direction=H","UseDPDF=Y")</f>
        <v>#NAME?</v>
      </c>
      <c r="I71" t="e">
        <f ca="1">_xll.BDH($C$53,"RETURN_ON_INV_CAPITAL","FQ3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71" t="e">
        <f ca="1">_xll.BDH($C$53,"EBITDA_TO_REVENUE","FQ3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71" t="e">
        <f ca="1">_xll.BDH($C$53,"OPER_MARGIN","FQ3 2017","FQ3 2017","Currency=INR","Period=FQ","BEST_FPERIOD_OVERRIDE=FQ","FILING_STATUS=OR","EQY_CONSOLIDATED=Y","FA_ADJUSTED=GAAP","Sort=A","Dates=H","DateFormat=P","Fill=—","Direction=H","UseDPDF=Y")</f>
        <v>#NAME?</v>
      </c>
      <c r="L71" t="e">
        <f ca="1">_xll.BDH($C$53,"INCREMENTAL_OPERATING_MARGIN","FQ3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71" t="e">
        <f ca="1">_xll.BDH($C$53,"PRETAX_INC_TO_NET_SALES","FQ3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71" t="e">
        <f ca="1">_xll.BDH($C$53,"INC_BEF_XO_ITEMS_TO_NET_SALES","FQ3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71" t="e">
        <f ca="1">_xll.BDH($C$53,"PROF_MARGIN","FQ3 2017","FQ3 2017","Currency=INR","Period=FQ","BEST_FPERIOD_OVERRIDE=FQ","FILING_STATUS=OR","EQY_CONSOLIDATED=Y","FA_ADJUSTED=GAAP","Sort=A","Dates=H","DateFormat=P","Fill=—","Direction=H","UseDPDF=Y")</f>
        <v>#NAME?</v>
      </c>
      <c r="P71" t="e">
        <f ca="1">_xll.BDH($C$53,"NET_INCOME_TO_COMMON_MARGIN","FQ3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71" t="e">
        <f ca="1">_xll.BDH($C$53,"EFF_TAX_RATE","FQ3 2017","FQ3 2017","Currency=INR","Period=FQ","BEST_FPERIOD_OVERRIDE=FQ","FILING_STATUS=OR","EQY_CONSOLIDATED=Y","FA_ADJUSTED=GAAP","Sort=A","Dates=H","DateFormat=P","Fill=—","Direction=H","UseDPDF=Y")</f>
        <v>#NAME?</v>
      </c>
      <c r="R71" t="e">
        <f ca="1">_xll.BDH($C$53,"DVD_PAYOUT_RATIO","FQ3 2017","FQ3 2017","Currency=INR","Period=FQ","BEST_FPERIOD_OVERRIDE=FQ","FILING_STATUS=OR","EQY_CONSOLIDATED=Y","FA_ADJUSTED=GAAP","Sort=A","Dates=H","DateFormat=P","Fill=—","Direction=H","UseDPDF=Y")</f>
        <v>#NAME?</v>
      </c>
      <c r="S71" t="e">
        <f ca="1">_xll.BDH($C$53,"SUSTAIN_GROWTH_RT","FQ3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71" s="2" t="e">
        <f ca="1">_xll.BDH($C$53,"SALES_GROWTH","FQ3 2017","FQ3 2017","Currency=INR","Period=FQ","BEST_FPERIOD_OVERRIDE=FQ","FILING_STATUS=OR","EQY_CONSOLIDATED=Y","FA_ADJUSTED=GAAP","Sort=A","Dates=H","DateFormat=P","Fill=—","Direction=H","UseDPDF=Y")</f>
        <v>#NAME?</v>
      </c>
      <c r="U71" s="2" t="e">
        <f ca="1">_xll.BDH($C$53,"EBITDA_GROWTH","FQ3 2017","FQ3 2017","Currency=INR","Period=FQ","BEST_FPERIOD_OVERRIDE=FQ","FILING_STATUS=OR","EQY_CONSOLIDATED=Y","FA_ADJUSTED=GAAP","Sort=A","Dates=H","DateFormat=P","Fill=—","Direction=H","UseDPDF=Y")</f>
        <v>#NAME?</v>
      </c>
      <c r="V71" s="2" t="e">
        <f ca="1">_xll.BDH($C$53,"OPER_INC_GROWTH","FQ3 2017","FQ3 2017","Currency=INR","Period=FQ","BEST_FPERIOD_OVERRIDE=FQ","FILING_STATUS=OR","EQY_CONSOLIDATED=Y","FA_ADJUSTED=GAAP","Sort=A","Dates=H","DateFormat=P","Fill=—","Direction=H","UseDPDF=Y")</f>
        <v>#NAME?</v>
      </c>
      <c r="W71" s="2" t="e">
        <f ca="1">_xll.BDH($C$53,"EARN_FOR_COM_GROWTH","FQ3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71" s="2" t="e">
        <f ca="1">_xll.BDH($C$53,"DILUTED_EPS_AFT_XO_ITEMS_GROWTH","FQ3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71" s="2" t="e">
        <f ca="1">_xll.BDH($C$53,"DIVIDEND_PER_SHARE_1_YEAR_GROWTH","FQ3 2017","FQ3 2017","Currency=INR","Period=FQ","BEST_FPERIOD_OVERRIDE=FQ","FILING_STATUS=OR","EQY_CONSOLIDATED=Y","Sort=A","Dates=H","DateFormat=P","Fill=—","Direction=H","UseDPDF=Y")</f>
        <v>#NAME?</v>
      </c>
      <c r="Z71" s="2" t="e">
        <f ca="1">_xll.BDH($C$53,"ACCOUNTS_RECEIVABLE_GROWTH","FQ3 2017","FQ3 2017","Currency=INR","Period=FQ","BEST_FPERIOD_OVERRIDE=FQ","FILING_STATUS=OR","EQY_CONSOLIDATED=Y","Sort=A","Dates=H","DateFormat=P","Fill=—","Direction=H","UseDPDF=Y")</f>
        <v>#NAME?</v>
      </c>
      <c r="AA71" s="2" t="e">
        <f ca="1">_xll.BDH($C$53,"INVENTORY_GROWTH","FQ3 2017","FQ3 2017","Currency=INR","Period=FQ","BEST_FPERIOD_OVERRIDE=FQ","FILING_STATUS=OR","EQY_CONSOLIDATED=Y","Sort=A","Dates=H","DateFormat=P","Fill=—","Direction=H","UseDPDF=Y")</f>
        <v>#NAME?</v>
      </c>
      <c r="AB71" s="2" t="e">
        <f ca="1">_xll.BDH($C$53,"NET_FIXED_ASSETS_1_YEAR_GROWTH","FQ3 2017","FQ3 2017","Currency=INR","Period=FQ","BEST_FPERIOD_OVERRIDE=FQ","FILING_STATUS=OR","EQY_CONSOLIDATED=Y","Sort=A","Dates=H","DateFormat=P","Fill=—","Direction=H","UseDPDF=Y")</f>
        <v>#NAME?</v>
      </c>
      <c r="AC71" s="2" t="e">
        <f ca="1">_xll.BDH($C$53,"ASSET_GROWTH","FQ3 2017","FQ3 2017","Currency=INR","Period=FQ","BEST_FPERIOD_OVERRIDE=FQ","FILING_STATUS=OR","EQY_CONSOLIDATED=Y","Sort=A","Dates=H","DateFormat=P","Fill=—","Direction=H","UseDPDF=Y")</f>
        <v>#NAME?</v>
      </c>
      <c r="AD71" s="2" t="e">
        <f ca="1">_xll.BDH($C$53,"MODIFIED_WORK_CAP_GROWTH","FQ3 2017","FQ3 2017","Currency=INR","Period=FQ","BEST_FPERIOD_OVERRIDE=FQ","FILING_STATUS=OR","EQY_CONSOLIDATED=Y","Sort=A","Dates=H","DateFormat=P","Fill=—","Direction=H","UseDPDF=Y")</f>
        <v>#NAME?</v>
      </c>
      <c r="AE71" s="2" t="e">
        <f ca="1">_xll.BDH($C$53,"WORK_CAP_GROWTH","FQ3 2017","FQ3 2017","Currency=INR","Period=FQ","BEST_FPERIOD_OVERRIDE=FQ","FILING_STATUS=OR","EQY_CONSOLIDATED=Y","Sort=A","Dates=H","DateFormat=P","Fill=—","Direction=H","UseDPDF=Y")</f>
        <v>#NAME?</v>
      </c>
      <c r="AF71" s="2" t="e">
        <f ca="1">_xll.BDH($C$53,"ACCOUNTS_PAYABLE_GROWTH_1YR","FQ3 2017","FQ3 2017","Currency=INR","Period=FQ","BEST_FPERIOD_OVERRIDE=FQ","FILING_STATUS=OR","EQY_CONSOLIDATED=Y","Sort=A","Dates=H","DateFormat=P","Fill=—","Direction=H","UseDPDF=Y")</f>
        <v>#NAME?</v>
      </c>
      <c r="AG71" s="2" t="e">
        <f ca="1">_xll.BDH($C$53,"SHORT_TERM_DEBT_1_YEAR_GROWTH","FQ3 2017","FQ3 2017","Currency=INR","Period=FQ","BEST_FPERIOD_OVERRIDE=FQ","FILING_STATUS=OR","EQY_CONSOLIDATED=Y","Sort=A","Dates=H","DateFormat=P","Fill=—","Direction=H","UseDPDF=Y")</f>
        <v>#NAME?</v>
      </c>
      <c r="AH71" s="2" t="e">
        <f ca="1">_xll.BDH($C$53,"TOTAL_DEBT_1_YEAR_GROWTH","FQ3 2017","FQ3 2017","Currency=INR","Period=FQ","BEST_FPERIOD_OVERRIDE=FQ","FILING_STATUS=OR","EQY_CONSOLIDATED=Y","Sort=A","Dates=H","DateFormat=P","Fill=—","Direction=H","UseDPDF=Y")</f>
        <v>#NAME?</v>
      </c>
      <c r="AI71" s="2" t="e">
        <f ca="1">_xll.BDH($C$53,"TOTAL_EQUITY_1_YEAR_GROWTH","FQ3 2017","FQ3 2017","Currency=INR","Period=FQ","BEST_FPERIOD_OVERRIDE=FQ","FILING_STATUS=OR","EQY_CONSOLIDATED=Y","Sort=A","Dates=H","DateFormat=P","Fill=—","Direction=H","UseDPDF=Y")</f>
        <v>#NAME?</v>
      </c>
      <c r="AJ71" s="2" t="e">
        <f ca="1">_xll.BDH($C$53,"GROWTH_IN_CAP","FQ3 2017","FQ3 2017","Currency=INR","Period=FQ","BEST_FPERIOD_OVERRIDE=FQ","FILING_STATUS=OR","EQY_CONSOLIDATED=Y","Sort=A","Dates=H","DateFormat=P","Fill=—","Direction=H","UseDPDF=Y")</f>
        <v>#NAME?</v>
      </c>
      <c r="AK71" s="2" t="e">
        <f ca="1">_xll.BDH($C$53,"BVPS_GROWTH","FQ3 2017","FQ3 2017","Currency=INR","Period=FQ","BEST_FPERIOD_OVERRIDE=FQ","FILING_STATUS=OR","EQY_CONSOLIDATED=Y","Sort=A","Dates=H","DateFormat=P","Fill=—","Direction=H","UseDPDF=Y")</f>
        <v>#NAME?</v>
      </c>
      <c r="AL71" s="2" t="e">
        <f ca="1">_xll.BDH($C$53,"CASH_FLOW_GROWTH","FQ3 2017","FQ3 2017","Currency=INR","Period=FQ","BEST_FPERIOD_OVERRIDE=FQ","FILING_STATUS=OR","EQY_CONSOLIDATED=Y","Sort=A","Dates=H","DateFormat=P","Fill=—","Direction=H","UseDPDF=Y")</f>
        <v>#NAME?</v>
      </c>
      <c r="AM71" s="2" t="e">
        <f ca="1">_xll.BDH($C$53,"GEO_GROW_NET_SALES","FQ3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71" s="2" t="e">
        <f ca="1">_xll.BDH($C$53,"GEO_GROW_EBITDA","FQ3 2017","FQ3 2017","Currency=INR","Period=FQ","BEST_FPERIOD_OVERRIDE=FQ","FILING_STATUS=OR","EQY_CONSOLIDATED=Y","FA_ADJUSTED=GAAP","Sort=A","Dates=H","DateFormat=P","Fill=—","Direction=H","UseDPDF=Y")</f>
        <v>#NAME?</v>
      </c>
      <c r="AO71" s="2" t="e">
        <f ca="1">_xll.BDH($C$53,"GEO_GROW_OPER_INC","FQ3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71" s="2" t="e">
        <f ca="1">_xll.BDH($C$53,"NET_INCOME_TO_COMMON_5_YR_GROWTH","FQ3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71" s="2" t="e">
        <f ca="1">_xll.BDH($C$53,"5Y_GEO_GROWTH_DILUTED_EPS","FQ3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71" s="2" t="e">
        <f ca="1">_xll.BDH($C$53,"GEO_GROW_DVD_PER_SH","FQ3 2017","FQ3 2017","Currency=INR","Period=FQ","BEST_FPERIOD_OVERRIDE=FQ","FILING_STATUS=OR","EQY_CONSOLIDATED=Y","Sort=A","Dates=H","DateFormat=P","Fill=—","Direction=H","UseDPDF=Y")</f>
        <v>#NAME?</v>
      </c>
      <c r="AS71" s="2" t="e">
        <f ca="1">_xll.BDH($C$53,"ACCOUNTS_RECEIVABLE_5_YR_GROWTH","FQ3 2017","FQ3 2017","Currency=INR","Period=FQ","BEST_FPERIOD_OVERRIDE=FQ","FILING_STATUS=OR","EQY_CONSOLIDATED=Y","Sort=A","Dates=H","DateFormat=P","Fill=—","Direction=H","UseDPDF=Y")</f>
        <v>#NAME?</v>
      </c>
      <c r="AT71" s="2" t="e">
        <f ca="1">_xll.BDH($C$53,"INVENTORY_5_YEAR_GROWTH","FQ3 2017","FQ3 2017","Currency=INR","Period=FQ","BEST_FPERIOD_OVERRIDE=FQ","FILING_STATUS=OR","EQY_CONSOLIDATED=Y","Sort=A","Dates=H","DateFormat=P","Fill=—","Direction=H","UseDPDF=Y")</f>
        <v>#NAME?</v>
      </c>
      <c r="AU71" s="2" t="e">
        <f ca="1">_xll.BDH($C$53,"NET_FIXED_ASSETS_5_YEAR_GROWTH","FQ3 2017","FQ3 2017","Currency=INR","Period=FQ","BEST_FPERIOD_OVERRIDE=FQ","FILING_STATUS=OR","EQY_CONSOLIDATED=Y","Sort=A","Dates=H","DateFormat=P","Fill=—","Direction=H","UseDPDF=Y")</f>
        <v>#NAME?</v>
      </c>
      <c r="AV71" s="2" t="e">
        <f ca="1">_xll.BDH($C$53,"GEO_GROW_TOT_ASSET","FQ3 2017","FQ3 2017","Currency=INR","Period=FQ","BEST_FPERIOD_OVERRIDE=FQ","FILING_STATUS=OR","EQY_CONSOLIDATED=Y","Sort=A","Dates=H","DateFormat=P","Fill=—","Direction=H","UseDPDF=Y")</f>
        <v>#NAME?</v>
      </c>
      <c r="AW71" s="2" t="e">
        <f ca="1">_xll.BDH($C$53,"MODIFIED_WORKING_CPTL_5YR_GRWTH","FQ3 2017","FQ3 2017","Currency=INR","Period=FQ","BEST_FPERIOD_OVERRIDE=FQ","FILING_STATUS=OR","EQY_CONSOLIDATED=Y","Sort=A","Dates=H","DateFormat=P","Fill=—","Direction=H","UseDPDF=Y")</f>
        <v>#NAME?</v>
      </c>
      <c r="AX71" s="2" t="e">
        <f ca="1">_xll.BDH($C$53,"WORKING_CAPITAL_5_YEAR_GROWTH","FQ3 2017","FQ3 2017","Currency=INR","Period=FQ","BEST_FPERIOD_OVERRIDE=FQ","FILING_STATUS=OR","EQY_CONSOLIDATED=Y","Sort=A","Dates=H","DateFormat=P","Fill=—","Direction=H","UseDPDF=Y")</f>
        <v>#NAME?</v>
      </c>
      <c r="AY71" s="2" t="e">
        <f ca="1">_xll.BDH($C$53,"ACCOUNTS_PAYABLE_5_YEAR_GROWTH","FQ3 2017","FQ3 2017","Currency=INR","Period=FQ","BEST_FPERIOD_OVERRIDE=FQ","FILING_STATUS=OR","EQY_CONSOLIDATED=Y","Sort=A","Dates=H","DateFormat=P","Fill=—","Direction=H","UseDPDF=Y")</f>
        <v>#NAME?</v>
      </c>
      <c r="AZ71" s="2" t="e">
        <f ca="1">_xll.BDH($C$53,"SHORT_TERM_DEBT_5_YEAR_GROWTH","FQ3 2017","FQ3 2017","Currency=INR","Period=FQ","BEST_FPERIOD_OVERRIDE=FQ","FILING_STATUS=OR","EQY_CONSOLIDATED=Y","Sort=A","Dates=H","DateFormat=P","Fill=—","Direction=H","UseDPDF=Y")</f>
        <v>#NAME?</v>
      </c>
      <c r="BA71" s="2" t="e">
        <f ca="1">_xll.BDH($C$53,"TOTAL_DEBT_5_YEAR_GROWTH","FQ3 2017","FQ3 2017","Currency=INR","Period=FQ","BEST_FPERIOD_OVERRIDE=FQ","FILING_STATUS=OR","EQY_CONSOLIDATED=Y","Sort=A","Dates=H","DateFormat=P","Fill=—","Direction=H","UseDPDF=Y")</f>
        <v>#NAME?</v>
      </c>
      <c r="BB71" s="2" t="e">
        <f ca="1">_xll.BDH($C$53,"GEO_GROW_TOT_SHRHLDR_EQY","FQ3 2017","FQ3 2017","Currency=INR","Period=FQ","BEST_FPERIOD_OVERRIDE=FQ","FILING_STATUS=OR","EQY_CONSOLIDATED=Y","Sort=A","Dates=H","DateFormat=P","Fill=—","Direction=H","UseDPDF=Y")</f>
        <v>#NAME?</v>
      </c>
      <c r="BC71" s="2" t="e">
        <f ca="1">_xll.BDH($C$53,"TOTAL_CAPITAL_5_YEAR_GROWTH","FQ3 2017","FQ3 2017","Currency=INR","Period=FQ","BEST_FPERIOD_OVERRIDE=FQ","FILING_STATUS=OR","EQY_CONSOLIDATED=Y","Sort=A","Dates=H","DateFormat=P","Fill=—","Direction=H","UseDPDF=Y")</f>
        <v>#NAME?</v>
      </c>
      <c r="BD71" s="2" t="e">
        <f ca="1">_xll.BDH($C$53,"GEO_GROW_BOOK_VAL","FQ3 2017","FQ3 2017","Currency=INR","Period=FQ","BEST_FPERIOD_OVERRIDE=FQ","FILING_STATUS=OR","EQY_CONSOLIDATED=Y","Sort=A","Dates=H","DateFormat=P","Fill=—","Direction=H","UseDPDF=Y")</f>
        <v>#NAME?</v>
      </c>
      <c r="BE71" s="2" t="e">
        <f ca="1">_xll.BDH($C$53,"GEO_GROW_CASH_OPER_ACT","FQ3 2017","FQ3 2017","Currency=INR","Period=FQ","BEST_FPERIOD_OVERRIDE=FQ","FILING_STATUS=OR","EQY_CONSOLIDATED=Y","Sort=A","Dates=H","DateFormat=P","Fill=—","Direction=H","UseDPDF=Y")</f>
        <v>#NAME?</v>
      </c>
      <c r="BF71" s="2" t="e">
        <f ca="1">_xll.BDH($C$53,"REVENUE_SEQUENTIAL_GROWTH","FQ3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71" s="2" t="e">
        <f ca="1">_xll.BDH($C$53,"EBITDA_SEQUENTIAL_GROWTH","FQ3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71" s="2" t="e">
        <f ca="1">_xll.BDH($C$53,"OPERATING_INCOME_SEQ_GROWTH","FQ3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71" s="2" t="e">
        <f ca="1">_xll.BDH($C$53,"NET_INCOME_TO_COMMON_SEQ_GROWTH","FQ3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71" s="2" t="e">
        <f ca="1">_xll.BDH($C$53,"EPS_DILUTED_SEQUENTIAL_GROWTH","FQ3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71" s="2" t="e">
        <f ca="1">_xll.BDH($C$53,"DPS_SEQUENTIAL_GROWTH","FQ3 2017","FQ3 2017","Currency=INR","Period=FQ","BEST_FPERIOD_OVERRIDE=FQ","FILING_STATUS=OR","EQY_CONSOLIDATED=Y","Sort=A","Dates=H","DateFormat=P","Fill=—","Direction=H","UseDPDF=Y")</f>
        <v>#NAME?</v>
      </c>
      <c r="BL71" s="2" t="e">
        <f ca="1">_xll.BDH($C$53,"ACCOUNTS_RECEIVABLE_SEQ_GROWTH","FQ3 2017","FQ3 2017","Currency=INR","Period=FQ","BEST_FPERIOD_OVERRIDE=FQ","FILING_STATUS=OR","EQY_CONSOLIDATED=Y","Sort=A","Dates=H","DateFormat=P","Fill=—","Direction=H","UseDPDF=Y")</f>
        <v>#NAME?</v>
      </c>
      <c r="BM71" s="2" t="e">
        <f ca="1">_xll.BDH($C$53,"INVENTORY_SEQUENTIAL_GROWTH","FQ3 2017","FQ3 2017","Currency=INR","Period=FQ","BEST_FPERIOD_OVERRIDE=FQ","FILING_STATUS=OR","EQY_CONSOLIDATED=Y","Sort=A","Dates=H","DateFormat=P","Fill=—","Direction=H","UseDPDF=Y")</f>
        <v>#NAME?</v>
      </c>
      <c r="BN71" s="2" t="e">
        <f ca="1">_xll.BDH($C$53,"FIXED_ASSETS_SEQUENTIAL_GROWTH","FQ3 2017","FQ3 2017","Currency=INR","Period=FQ","BEST_FPERIOD_OVERRIDE=FQ","FILING_STATUS=OR","EQY_CONSOLIDATED=Y","Sort=A","Dates=H","DateFormat=P","Fill=—","Direction=H","UseDPDF=Y")</f>
        <v>#NAME?</v>
      </c>
      <c r="BO71" s="2" t="e">
        <f ca="1">_xll.BDH($C$53,"TOTAL_ASSETS_SEQUENTIAL_GROWTH","FQ3 2017","FQ3 2017","Currency=INR","Period=FQ","BEST_FPERIOD_OVERRIDE=FQ","FILING_STATUS=OR","EQY_CONSOLIDATED=Y","Sort=A","Dates=H","DateFormat=P","Fill=—","Direction=H","UseDPDF=Y")</f>
        <v>#NAME?</v>
      </c>
      <c r="BP71" s="2" t="e">
        <f ca="1">_xll.BDH($C$53,"MODIFIED_WORKING_CPTL_SEQ_GRWTH","FQ3 2017","FQ3 2017","Currency=INR","Period=FQ","BEST_FPERIOD_OVERRIDE=FQ","FILING_STATUS=OR","EQY_CONSOLIDATED=Y","Sort=A","Dates=H","DateFormat=P","Fill=—","Direction=H","UseDPDF=Y")</f>
        <v>#NAME?</v>
      </c>
      <c r="BQ71" s="2" t="e">
        <f ca="1">_xll.BDH($C$53,"WORKING_CAPITAL_SEQ_GROWTH","FQ3 2017","FQ3 2017","Currency=INR","Period=FQ","BEST_FPERIOD_OVERRIDE=FQ","FILING_STATUS=OR","EQY_CONSOLIDATED=Y","Sort=A","Dates=H","DateFormat=P","Fill=—","Direction=H","UseDPDF=Y")</f>
        <v>#NAME?</v>
      </c>
      <c r="BR71" s="2" t="e">
        <f ca="1">_xll.BDH($C$53,"ACCOUNTS_PAYABLE_SEQ_GROWTH","FQ3 2017","FQ3 2017","Currency=INR","Period=FQ","BEST_FPERIOD_OVERRIDE=FQ","FILING_STATUS=OR","EQY_CONSOLIDATED=Y","Sort=A","Dates=H","DateFormat=P","Fill=—","Direction=H","UseDPDF=Y")</f>
        <v>#NAME?</v>
      </c>
      <c r="BS71" s="2" t="e">
        <f ca="1">_xll.BDH($C$53,"ST_DEBT_SEQUENTIAL_GROWTH","FQ3 2017","FQ3 2017","Currency=INR","Period=FQ","BEST_FPERIOD_OVERRIDE=FQ","FILING_STATUS=OR","EQY_CONSOLIDATED=Y","Sort=A","Dates=H","DateFormat=P","Fill=—","Direction=H","UseDPDF=Y")</f>
        <v>#NAME?</v>
      </c>
      <c r="BT71" s="2" t="e">
        <f ca="1">_xll.BDH($C$53,"TOTAL_DEBT_SEQUENTIAL_GROWTH","FQ3 2017","FQ3 2017","Currency=INR","Period=FQ","BEST_FPERIOD_OVERRIDE=FQ","FILING_STATUS=OR","EQY_CONSOLIDATED=Y","Sort=A","Dates=H","DateFormat=P","Fill=—","Direction=H","UseDPDF=Y")</f>
        <v>#NAME?</v>
      </c>
      <c r="BU71" s="2" t="e">
        <f ca="1">_xll.BDH($C$53,"TOTAL_EQUITY_SEQUENTIAL_GROWTH","FQ3 2017","FQ3 2017","Currency=INR","Period=FQ","BEST_FPERIOD_OVERRIDE=FQ","FILING_STATUS=OR","EQY_CONSOLIDATED=Y","Sort=A","Dates=H","DateFormat=P","Fill=—","Direction=H","UseDPDF=Y")</f>
        <v>#NAME?</v>
      </c>
      <c r="BV71" s="2" t="e">
        <f ca="1">_xll.BDH($C$53,"TOTAL_CAPITAL_SEQUENTIAL_GROWTH","FQ3 2017","FQ3 2017","Currency=INR","Period=FQ","BEST_FPERIOD_OVERRIDE=FQ","FILING_STATUS=OR","EQY_CONSOLIDATED=Y","Sort=A","Dates=H","DateFormat=P","Fill=—","Direction=H","UseDPDF=Y")</f>
        <v>#NAME?</v>
      </c>
      <c r="BW71" s="2" t="e">
        <f ca="1">_xll.BDH($C$53,"BPS_SEQUENTIAL_GROWTH","FQ3 2017","FQ3 2017","Currency=INR","Period=FQ","BEST_FPERIOD_OVERRIDE=FQ","FILING_STATUS=OR","EQY_CONSOLIDATED=Y","Sort=A","Dates=H","DateFormat=P","Fill=—","Direction=H","UseDPDF=Y")</f>
        <v>#NAME?</v>
      </c>
      <c r="BX71" s="2" t="e">
        <f ca="1">_xll.BDH($C$53,"CFO_SEQUENTIAL_GROWTH","FQ3 2017","FQ3 2017","Currency=INR","Period=FQ","BEST_FPERIOD_OVERRIDE=FQ","FILING_STATUS=OR","EQY_CONSOLIDATED=Y","Sort=A","Dates=H","DateFormat=P","Fill=—","Direction=H","UseDPDF=Y")</f>
        <v>#NAME?</v>
      </c>
      <c r="BY71" s="3" t="e">
        <f ca="1">_xll.BDH($C$53,"SHORT_AND_LONG_TERM_DEBT","FQ3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71" s="3" t="e">
        <f ca="1">_xll.BDH($C$53,"BS_ST_BORROW","FQ3 2017","FQ3 2017","Currency=INR","Period=FQ","BEST_FPERIOD_OVERRIDE=FQ","FILING_STATUS=OR","EQY_CONSOLIDATED=Y","SCALING_FORMAT=MLN","Sort=A","Dates=H","DateFormat=P","Fill=—","Direction=H","UseDPDF=Y")</f>
        <v>#NAME?</v>
      </c>
      <c r="CA71" s="3" t="e">
        <f ca="1">_xll.BDH($C$53,"BS_LT_BORROW","FQ3 2017","FQ3 2017","Currency=INR","Period=FQ","BEST_FPERIOD_OVERRIDE=FQ","FILING_STATUS=OR","EQY_CONSOLIDATED=Y","SCALING_FORMAT=MLN","Sort=A","Dates=H","DateFormat=P","Fill=—","Direction=H","UseDPDF=Y")</f>
        <v>#NAME?</v>
      </c>
      <c r="CB71" s="2" t="e">
        <f ca="1">_xll.BDH($C$53,"TOT_DEBT_TO_EBITDA","FQ3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71" s="2" t="e">
        <f ca="1">_xll.BDH($C$53,"NET_DEBT_TO_EBITDA","FQ3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71" s="2" t="e">
        <f ca="1">_xll.BDH($C$53,"TOTAL_DEBT_TO_EBIT","FQ3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71" s="2" t="e">
        <f ca="1">_xll.BDH($C$53,"NET_DEBT_TO_EBIT","FQ3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71" s="2" t="e">
        <f ca="1">_xll.BDH($C$53,"EBITDA_TO_INTEREST_EXPN","FQ3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71" s="2" t="e">
        <f ca="1">_xll.BDH($C$53,"COM_EQY_TO_TOT_ASSET","FQ3 2017","FQ3 2017","Currency=INR","Period=FQ","BEST_FPERIOD_OVERRIDE=FQ","FILING_STATUS=OR","EQY_CONSOLIDATED=Y","Sort=A","Dates=H","DateFormat=P","Fill=—","Direction=H","UseDPDF=Y")</f>
        <v>#NAME?</v>
      </c>
      <c r="CH71" s="2" t="e">
        <f ca="1">_xll.BDH($C$53,"LT_DEBT_TO_TOT_EQY","FQ3 2017","FQ3 2017","Currency=INR","Period=FQ","BEST_FPERIOD_OVERRIDE=FQ","FILING_STATUS=OR","EQY_CONSOLIDATED=Y","Sort=A","Dates=H","DateFormat=P","Fill=—","Direction=H","UseDPDF=Y")</f>
        <v>#NAME?</v>
      </c>
      <c r="CI71" s="2" t="e">
        <f ca="1">_xll.BDH($C$53,"LT_DEBT_TO_TOT_CAP","FQ3 2017","FQ3 2017","Currency=INR","Period=FQ","BEST_FPERIOD_OVERRIDE=FQ","FILING_STATUS=OR","EQY_CONSOLIDATED=Y","Sort=A","Dates=H","DateFormat=P","Fill=—","Direction=H","UseDPDF=Y")</f>
        <v>#NAME?</v>
      </c>
      <c r="CJ71" s="2" t="e">
        <f ca="1">_xll.BDH($C$53,"LT_DEBT_TO_TOT_ASSET","FQ3 2017","FQ3 2017","Currency=INR","Period=FQ","BEST_FPERIOD_OVERRIDE=FQ","FILING_STATUS=OR","EQY_CONSOLIDATED=Y","Sort=A","Dates=H","DateFormat=P","Fill=—","Direction=H","UseDPDF=Y")</f>
        <v>#NAME?</v>
      </c>
      <c r="CK71" s="2" t="e">
        <f ca="1">_xll.BDH($C$53,"TOT_DEBT_TO_TOT_EQY","FQ3 2017","FQ3 2017","Currency=INR","Period=FQ","BEST_FPERIOD_OVERRIDE=FQ","FILING_STATUS=OR","EQY_CONSOLIDATED=Y","Sort=A","Dates=H","DateFormat=P","Fill=—","Direction=H","UseDPDF=Y")</f>
        <v>#NAME?</v>
      </c>
      <c r="CL71" s="2" t="e">
        <f ca="1">_xll.BDH($C$53,"TOT_DEBT_TO_TOT_CAP","FQ3 2017","FQ3 2017","Currency=INR","Period=FQ","BEST_FPERIOD_OVERRIDE=FQ","FILING_STATUS=OR","EQY_CONSOLIDATED=Y","Sort=A","Dates=H","DateFormat=P","Fill=—","Direction=H","UseDPDF=Y")</f>
        <v>#NAME?</v>
      </c>
      <c r="CM71" s="2" t="e">
        <f ca="1">_xll.BDH($C$53,"TOT_DEBT_TO_TOT_ASSET","FQ3 2017","FQ3 2017","Currency=INR","Period=FQ","BEST_FPERIOD_OVERRIDE=FQ","FILING_STATUS=OR","EQY_CONSOLIDATED=Y","Sort=A","Dates=H","DateFormat=P","Fill=—","Direction=H","UseDPDF=Y")</f>
        <v>#NAME?</v>
      </c>
      <c r="CN71" s="2" t="e">
        <f ca="1">_xll.BDH($C$53,"NET_DEBT_TO_SHRHLDR_EQTY","FQ3 2017","FQ3 2017","Currency=INR","Period=FQ","BEST_FPERIOD_OVERRIDE=FQ","FILING_STATUS=OR","EQY_CONSOLIDATED=Y","Sort=A","Dates=H","DateFormat=P","Fill=—","Direction=H","UseDPDF=Y")</f>
        <v>#NAME?</v>
      </c>
      <c r="CO71" s="2" t="e">
        <f ca="1">_xll.BDH($C$53,"NET_DEBT_%_CAPITAL","FQ3 2017","FQ3 2017","Currency=INR","Period=FQ","BEST_FPERIOD_OVERRIDE=FQ","FILING_STATUS=OR","EQY_CONSOLIDATED=Y","Sort=A","Dates=H","DateFormat=P","Fill=—","Direction=H","UseDPDF=Y")</f>
        <v>#NAME?</v>
      </c>
      <c r="CP71" s="3" t="e">
        <f ca="1">_xll.BDH($C$53,"EBITDA","FQ3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71" s="3" t="e">
        <f ca="1">_xll.BDH($C$53,"EBITDA_AFTER_CAPEX","FQ3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71" s="3" t="e">
        <f ca="1">_xll.BDH($C$53,"IS_OPER_INC","FQ3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71" s="2" t="e">
        <f ca="1">_xll.BDH($C$53,"CASH_RATIO","FQ3 2017","FQ3 2017","Currency=INR","Period=FQ","BEST_FPERIOD_OVERRIDE=FQ","FILING_STATUS=OR","EQY_CONSOLIDATED=Y","Sort=A","Dates=H","DateFormat=P","Fill=—","Direction=H","UseDPDF=Y")</f>
        <v>#NAME?</v>
      </c>
      <c r="CT71" s="2" t="e">
        <f ca="1">_xll.BDH($C$53,"CUR_RATIO","FQ3 2017","FQ3 2017","Currency=INR","Period=FQ","BEST_FPERIOD_OVERRIDE=FQ","FILING_STATUS=OR","EQY_CONSOLIDATED=Y","Sort=A","Dates=H","DateFormat=P","Fill=—","Direction=H","UseDPDF=Y")</f>
        <v>#NAME?</v>
      </c>
      <c r="CU71" s="2" t="e">
        <f ca="1">_xll.BDH($C$53,"QUICK_RATIO","FQ3 2017","FQ3 2017","Currency=INR","Period=FQ","BEST_FPERIOD_OVERRIDE=FQ","FILING_STATUS=OR","EQY_CONSOLIDATED=Y","Sort=A","Dates=H","DateFormat=P","Fill=—","Direction=H","UseDPDF=Y")</f>
        <v>#NAME?</v>
      </c>
      <c r="CV71" s="2" t="e">
        <f ca="1">_xll.BDH($C$53,"ALTMAN_Z_SCORE","FQ3 2017","FQ3 2017","Currency=INR","Period=FQ","BEST_FPERIOD_OVERRIDE=FQ","FILING_STATUS=OR","EQY_CONSOLIDATED=Y","Sort=A","Dates=H","DateFormat=P","Fill=—","Direction=H","UseDPDF=Y")</f>
        <v>#NAME?</v>
      </c>
      <c r="CW71" s="4" t="e">
        <f ca="1">_xll.BDH($C$53,"ACCT_RCV_TURN","FQ3 2017","FQ3 2017","Currency=INR","Period=FQ","BEST_FPERIOD_OVERRIDE=FQ","FILING_STATUS=OR","EQY_CONSOLIDATED=Y","FA_ADJUSTED=GAAP","Sort=A","Dates=H","DateFormat=P","Fill=—","Direction=H","UseDPDF=Y")</f>
        <v>#NAME?</v>
      </c>
      <c r="CX71" s="2" t="e">
        <f ca="1">_xll.BDH($C$53,"ACCT_RCV_DAYS","FQ3 2017","FQ3 2017","Currency=INR","Period=FQ","BEST_FPERIOD_OVERRIDE=FQ","FILING_STATUS=OR","EQY_CONSOLIDATED=Y","FA_ADJUSTED=GAAP","Sort=A","Dates=H","DateFormat=P","Fill=—","Direction=H","UseDPDF=Y")</f>
        <v>#NAME?</v>
      </c>
      <c r="CY71" s="4" t="e">
        <f ca="1">_xll.BDH($C$53,"INVENT_TURN","FQ3 2017","FQ3 2017","Currency=INR","Period=FQ","BEST_FPERIOD_OVERRIDE=FQ","FILING_STATUS=OR","EQY_CONSOLIDATED=Y","FA_ADJUSTED=GAAP","Sort=A","Dates=H","DateFormat=P","Fill=—","Direction=H","UseDPDF=Y")</f>
        <v>#NAME?</v>
      </c>
      <c r="CZ71" s="2" t="e">
        <f ca="1">_xll.BDH($C$53,"INVENT_DAYS","FQ3 2017","FQ3 2017","Currency=INR","Period=FQ","BEST_FPERIOD_OVERRIDE=FQ","FILING_STATUS=OR","EQY_CONSOLIDATED=Y","FA_ADJUSTED=GAAP","Sort=A","Dates=H","DateFormat=P","Fill=—","Direction=H","UseDPDF=Y")</f>
        <v>#NAME?</v>
      </c>
      <c r="DA71" s="4" t="e">
        <f ca="1">_xll.BDH($C$53,"ACCOUNTS_PAYABLE_TURNOVER","FQ3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71" s="2" t="e">
        <f ca="1">_xll.BDH($C$53,"ACCOUNTS_PAYABLE_TURNOVER_DAYS","FQ3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71" s="4" t="e">
        <f ca="1">_xll.BDH($C$53,"CASH_CONVERSION_CYCLE","FQ3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71" s="4" t="e">
        <f ca="1">_xll.BDH($C$53,"INV_TO_CASH_DAYS","FQ3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71" s="5" t="e">
        <f ca="1">_xll.BDH($C$53,"BS_INVENTORIES","FQ3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71" s="3" t="e">
        <f ca="1">_xll.BDH($C$53,"INVTRY_RAW_MATERIALS","FQ3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71" s="3" t="e">
        <f ca="1">_xll.BDH($C$53,"INVTRY_IN_PROGRESS","FQ3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71" s="3" t="e">
        <f ca="1">_xll.BDH($C$53,"INVTRY_FINISHED_GOODS","FQ3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71" s="3" t="e">
        <f ca="1">_xll.BDH($C$53,"BS_OTHER_INV","FQ3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72" spans="1:113" x14ac:dyDescent="0.3">
      <c r="A72" s="6"/>
      <c r="B72" s="6"/>
      <c r="C72" s="6"/>
      <c r="D72" s="6"/>
      <c r="E72" t="s">
        <v>81</v>
      </c>
      <c r="F72" t="e">
        <f ca="1">_xll.BDH($C$53,"RETURN_COM_EQY","FQ4 2017","FQ4 2017","Currency=INR","Period=FQ","BEST_FPERIOD_OVERRIDE=FQ","FILING_STATUS=OR","EQY_CONSOLIDATED=Y","FA_ADJUSTED=GAAP","Sort=A","Dates=H","DateFormat=P","Fill=—","Direction=H","UseDPDF=Y")</f>
        <v>#NAME?</v>
      </c>
      <c r="G72" t="e">
        <f ca="1">_xll.BDH($C$53,"RETURN_ON_ASSET","FQ4 2017","FQ4 2017","Currency=INR","Period=FQ","BEST_FPERIOD_OVERRIDE=FQ","FILING_STATUS=OR","EQY_CONSOLIDATED=Y","FA_ADJUSTED=GAAP","Sort=A","Dates=H","DateFormat=P","Fill=—","Direction=H","UseDPDF=Y")</f>
        <v>#NAME?</v>
      </c>
      <c r="H72" t="e">
        <f ca="1">_xll.BDH($C$53,"RETURN_ON_CAP","FQ4 2017","FQ4 2017","Currency=INR","Period=FQ","BEST_FPERIOD_OVERRIDE=FQ","FILING_STATUS=OR","EQY_CONSOLIDATED=Y","FA_ADJUSTED=GAAP","Sort=A","Dates=H","DateFormat=P","Fill=—","Direction=H","UseDPDF=Y")</f>
        <v>#NAME?</v>
      </c>
      <c r="I72" t="e">
        <f ca="1">_xll.BDH($C$53,"RETURN_ON_INV_CAPITAL","FQ4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72" t="e">
        <f ca="1">_xll.BDH($C$53,"EBITDA_TO_REVENUE","FQ4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72" t="e">
        <f ca="1">_xll.BDH($C$53,"OPER_MARGIN","FQ4 2017","FQ4 2017","Currency=INR","Period=FQ","BEST_FPERIOD_OVERRIDE=FQ","FILING_STATUS=OR","EQY_CONSOLIDATED=Y","FA_ADJUSTED=GAAP","Sort=A","Dates=H","DateFormat=P","Fill=—","Direction=H","UseDPDF=Y")</f>
        <v>#NAME?</v>
      </c>
      <c r="L72" t="e">
        <f ca="1">_xll.BDH($C$53,"INCREMENTAL_OPERATING_MARGIN","FQ4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72" t="e">
        <f ca="1">_xll.BDH($C$53,"PRETAX_INC_TO_NET_SALES","FQ4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72" t="e">
        <f ca="1">_xll.BDH($C$53,"INC_BEF_XO_ITEMS_TO_NET_SALES","FQ4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72" t="e">
        <f ca="1">_xll.BDH($C$53,"PROF_MARGIN","FQ4 2017","FQ4 2017","Currency=INR","Period=FQ","BEST_FPERIOD_OVERRIDE=FQ","FILING_STATUS=OR","EQY_CONSOLIDATED=Y","FA_ADJUSTED=GAAP","Sort=A","Dates=H","DateFormat=P","Fill=—","Direction=H","UseDPDF=Y")</f>
        <v>#NAME?</v>
      </c>
      <c r="P72" t="e">
        <f ca="1">_xll.BDH($C$53,"NET_INCOME_TO_COMMON_MARGIN","FQ4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72" t="e">
        <f ca="1">_xll.BDH($C$53,"EFF_TAX_RATE","FQ4 2017","FQ4 2017","Currency=INR","Period=FQ","BEST_FPERIOD_OVERRIDE=FQ","FILING_STATUS=OR","EQY_CONSOLIDATED=Y","FA_ADJUSTED=GAAP","Sort=A","Dates=H","DateFormat=P","Fill=—","Direction=H","UseDPDF=Y")</f>
        <v>#NAME?</v>
      </c>
      <c r="R72" t="e">
        <f ca="1">_xll.BDH($C$53,"DVD_PAYOUT_RATIO","FQ4 2017","FQ4 2017","Currency=INR","Period=FQ","BEST_FPERIOD_OVERRIDE=FQ","FILING_STATUS=OR","EQY_CONSOLIDATED=Y","FA_ADJUSTED=GAAP","Sort=A","Dates=H","DateFormat=P","Fill=—","Direction=H","UseDPDF=Y")</f>
        <v>#NAME?</v>
      </c>
      <c r="S72" t="e">
        <f ca="1">_xll.BDH($C$53,"SUSTAIN_GROWTH_RT","FQ4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72" s="2" t="e">
        <f ca="1">_xll.BDH($C$53,"SALES_GROWTH","FQ4 2017","FQ4 2017","Currency=INR","Period=FQ","BEST_FPERIOD_OVERRIDE=FQ","FILING_STATUS=OR","EQY_CONSOLIDATED=Y","FA_ADJUSTED=GAAP","Sort=A","Dates=H","DateFormat=P","Fill=—","Direction=H","UseDPDF=Y")</f>
        <v>#NAME?</v>
      </c>
      <c r="U72" s="2" t="e">
        <f ca="1">_xll.BDH($C$53,"EBITDA_GROWTH","FQ4 2017","FQ4 2017","Currency=INR","Period=FQ","BEST_FPERIOD_OVERRIDE=FQ","FILING_STATUS=OR","EQY_CONSOLIDATED=Y","FA_ADJUSTED=GAAP","Sort=A","Dates=H","DateFormat=P","Fill=—","Direction=H","UseDPDF=Y")</f>
        <v>#NAME?</v>
      </c>
      <c r="V72" s="2" t="e">
        <f ca="1">_xll.BDH($C$53,"OPER_INC_GROWTH","FQ4 2017","FQ4 2017","Currency=INR","Period=FQ","BEST_FPERIOD_OVERRIDE=FQ","FILING_STATUS=OR","EQY_CONSOLIDATED=Y","FA_ADJUSTED=GAAP","Sort=A","Dates=H","DateFormat=P","Fill=—","Direction=H","UseDPDF=Y")</f>
        <v>#NAME?</v>
      </c>
      <c r="W72" s="2" t="e">
        <f ca="1">_xll.BDH($C$53,"EARN_FOR_COM_GROWTH","FQ4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72" s="2" t="e">
        <f ca="1">_xll.BDH($C$53,"DILUTED_EPS_AFT_XO_ITEMS_GROWTH","FQ4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72" s="2" t="e">
        <f ca="1">_xll.BDH($C$53,"DIVIDEND_PER_SHARE_1_YEAR_GROWTH","FQ4 2017","FQ4 2017","Currency=INR","Period=FQ","BEST_FPERIOD_OVERRIDE=FQ","FILING_STATUS=OR","EQY_CONSOLIDATED=Y","Sort=A","Dates=H","DateFormat=P","Fill=—","Direction=H","UseDPDF=Y")</f>
        <v>#NAME?</v>
      </c>
      <c r="Z72" s="2" t="e">
        <f ca="1">_xll.BDH($C$53,"ACCOUNTS_RECEIVABLE_GROWTH","FQ4 2017","FQ4 2017","Currency=INR","Period=FQ","BEST_FPERIOD_OVERRIDE=FQ","FILING_STATUS=OR","EQY_CONSOLIDATED=Y","Sort=A","Dates=H","DateFormat=P","Fill=—","Direction=H","UseDPDF=Y")</f>
        <v>#NAME?</v>
      </c>
      <c r="AA72" s="2" t="e">
        <f ca="1">_xll.BDH($C$53,"INVENTORY_GROWTH","FQ4 2017","FQ4 2017","Currency=INR","Period=FQ","BEST_FPERIOD_OVERRIDE=FQ","FILING_STATUS=OR","EQY_CONSOLIDATED=Y","Sort=A","Dates=H","DateFormat=P","Fill=—","Direction=H","UseDPDF=Y")</f>
        <v>#NAME?</v>
      </c>
      <c r="AB72" s="2" t="e">
        <f ca="1">_xll.BDH($C$53,"NET_FIXED_ASSETS_1_YEAR_GROWTH","FQ4 2017","FQ4 2017","Currency=INR","Period=FQ","BEST_FPERIOD_OVERRIDE=FQ","FILING_STATUS=OR","EQY_CONSOLIDATED=Y","Sort=A","Dates=H","DateFormat=P","Fill=—","Direction=H","UseDPDF=Y")</f>
        <v>#NAME?</v>
      </c>
      <c r="AC72" s="2" t="e">
        <f ca="1">_xll.BDH($C$53,"ASSET_GROWTH","FQ4 2017","FQ4 2017","Currency=INR","Period=FQ","BEST_FPERIOD_OVERRIDE=FQ","FILING_STATUS=OR","EQY_CONSOLIDATED=Y","Sort=A","Dates=H","DateFormat=P","Fill=—","Direction=H","UseDPDF=Y")</f>
        <v>#NAME?</v>
      </c>
      <c r="AD72" s="2" t="e">
        <f ca="1">_xll.BDH($C$53,"MODIFIED_WORK_CAP_GROWTH","FQ4 2017","FQ4 2017","Currency=INR","Period=FQ","BEST_FPERIOD_OVERRIDE=FQ","FILING_STATUS=OR","EQY_CONSOLIDATED=Y","Sort=A","Dates=H","DateFormat=P","Fill=—","Direction=H","UseDPDF=Y")</f>
        <v>#NAME?</v>
      </c>
      <c r="AE72" s="2" t="e">
        <f ca="1">_xll.BDH($C$53,"WORK_CAP_GROWTH","FQ4 2017","FQ4 2017","Currency=INR","Period=FQ","BEST_FPERIOD_OVERRIDE=FQ","FILING_STATUS=OR","EQY_CONSOLIDATED=Y","Sort=A","Dates=H","DateFormat=P","Fill=—","Direction=H","UseDPDF=Y")</f>
        <v>#NAME?</v>
      </c>
      <c r="AF72" s="2" t="e">
        <f ca="1">_xll.BDH($C$53,"ACCOUNTS_PAYABLE_GROWTH_1YR","FQ4 2017","FQ4 2017","Currency=INR","Period=FQ","BEST_FPERIOD_OVERRIDE=FQ","FILING_STATUS=OR","EQY_CONSOLIDATED=Y","Sort=A","Dates=H","DateFormat=P","Fill=—","Direction=H","UseDPDF=Y")</f>
        <v>#NAME?</v>
      </c>
      <c r="AG72" s="2" t="e">
        <f ca="1">_xll.BDH($C$53,"SHORT_TERM_DEBT_1_YEAR_GROWTH","FQ4 2017","FQ4 2017","Currency=INR","Period=FQ","BEST_FPERIOD_OVERRIDE=FQ","FILING_STATUS=OR","EQY_CONSOLIDATED=Y","Sort=A","Dates=H","DateFormat=P","Fill=—","Direction=H","UseDPDF=Y")</f>
        <v>#NAME?</v>
      </c>
      <c r="AH72" s="2" t="e">
        <f ca="1">_xll.BDH($C$53,"TOTAL_DEBT_1_YEAR_GROWTH","FQ4 2017","FQ4 2017","Currency=INR","Period=FQ","BEST_FPERIOD_OVERRIDE=FQ","FILING_STATUS=OR","EQY_CONSOLIDATED=Y","Sort=A","Dates=H","DateFormat=P","Fill=—","Direction=H","UseDPDF=Y")</f>
        <v>#NAME?</v>
      </c>
      <c r="AI72" s="2" t="e">
        <f ca="1">_xll.BDH($C$53,"TOTAL_EQUITY_1_YEAR_GROWTH","FQ4 2017","FQ4 2017","Currency=INR","Period=FQ","BEST_FPERIOD_OVERRIDE=FQ","FILING_STATUS=OR","EQY_CONSOLIDATED=Y","Sort=A","Dates=H","DateFormat=P","Fill=—","Direction=H","UseDPDF=Y")</f>
        <v>#NAME?</v>
      </c>
      <c r="AJ72" s="2" t="e">
        <f ca="1">_xll.BDH($C$53,"GROWTH_IN_CAP","FQ4 2017","FQ4 2017","Currency=INR","Period=FQ","BEST_FPERIOD_OVERRIDE=FQ","FILING_STATUS=OR","EQY_CONSOLIDATED=Y","Sort=A","Dates=H","DateFormat=P","Fill=—","Direction=H","UseDPDF=Y")</f>
        <v>#NAME?</v>
      </c>
      <c r="AK72" s="2" t="e">
        <f ca="1">_xll.BDH($C$53,"BVPS_GROWTH","FQ4 2017","FQ4 2017","Currency=INR","Period=FQ","BEST_FPERIOD_OVERRIDE=FQ","FILING_STATUS=OR","EQY_CONSOLIDATED=Y","Sort=A","Dates=H","DateFormat=P","Fill=—","Direction=H","UseDPDF=Y")</f>
        <v>#NAME?</v>
      </c>
      <c r="AL72" s="2" t="e">
        <f ca="1">_xll.BDH($C$53,"CASH_FLOW_GROWTH","FQ4 2017","FQ4 2017","Currency=INR","Period=FQ","BEST_FPERIOD_OVERRIDE=FQ","FILING_STATUS=OR","EQY_CONSOLIDATED=Y","Sort=A","Dates=H","DateFormat=P","Fill=—","Direction=H","UseDPDF=Y")</f>
        <v>#NAME?</v>
      </c>
      <c r="AM72" s="2" t="e">
        <f ca="1">_xll.BDH($C$53,"GEO_GROW_NET_SALES","FQ4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72" s="2" t="e">
        <f ca="1">_xll.BDH($C$53,"GEO_GROW_EBITDA","FQ4 2017","FQ4 2017","Currency=INR","Period=FQ","BEST_FPERIOD_OVERRIDE=FQ","FILING_STATUS=OR","EQY_CONSOLIDATED=Y","FA_ADJUSTED=GAAP","Sort=A","Dates=H","DateFormat=P","Fill=—","Direction=H","UseDPDF=Y")</f>
        <v>#NAME?</v>
      </c>
      <c r="AO72" s="2" t="e">
        <f ca="1">_xll.BDH($C$53,"GEO_GROW_OPER_INC","FQ4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72" s="2" t="e">
        <f ca="1">_xll.BDH($C$53,"NET_INCOME_TO_COMMON_5_YR_GROWTH","FQ4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72" s="2" t="e">
        <f ca="1">_xll.BDH($C$53,"5Y_GEO_GROWTH_DILUTED_EPS","FQ4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72" s="2" t="e">
        <f ca="1">_xll.BDH($C$53,"GEO_GROW_DVD_PER_SH","FQ4 2017","FQ4 2017","Currency=INR","Period=FQ","BEST_FPERIOD_OVERRIDE=FQ","FILING_STATUS=OR","EQY_CONSOLIDATED=Y","Sort=A","Dates=H","DateFormat=P","Fill=—","Direction=H","UseDPDF=Y")</f>
        <v>#NAME?</v>
      </c>
      <c r="AS72" s="2" t="e">
        <f ca="1">_xll.BDH($C$53,"ACCOUNTS_RECEIVABLE_5_YR_GROWTH","FQ4 2017","FQ4 2017","Currency=INR","Period=FQ","BEST_FPERIOD_OVERRIDE=FQ","FILING_STATUS=OR","EQY_CONSOLIDATED=Y","Sort=A","Dates=H","DateFormat=P","Fill=—","Direction=H","UseDPDF=Y")</f>
        <v>#NAME?</v>
      </c>
      <c r="AT72" s="2" t="e">
        <f ca="1">_xll.BDH($C$53,"INVENTORY_5_YEAR_GROWTH","FQ4 2017","FQ4 2017","Currency=INR","Period=FQ","BEST_FPERIOD_OVERRIDE=FQ","FILING_STATUS=OR","EQY_CONSOLIDATED=Y","Sort=A","Dates=H","DateFormat=P","Fill=—","Direction=H","UseDPDF=Y")</f>
        <v>#NAME?</v>
      </c>
      <c r="AU72" s="2" t="e">
        <f ca="1">_xll.BDH($C$53,"NET_FIXED_ASSETS_5_YEAR_GROWTH","FQ4 2017","FQ4 2017","Currency=INR","Period=FQ","BEST_FPERIOD_OVERRIDE=FQ","FILING_STATUS=OR","EQY_CONSOLIDATED=Y","Sort=A","Dates=H","DateFormat=P","Fill=—","Direction=H","UseDPDF=Y")</f>
        <v>#NAME?</v>
      </c>
      <c r="AV72" s="2" t="e">
        <f ca="1">_xll.BDH($C$53,"GEO_GROW_TOT_ASSET","FQ4 2017","FQ4 2017","Currency=INR","Period=FQ","BEST_FPERIOD_OVERRIDE=FQ","FILING_STATUS=OR","EQY_CONSOLIDATED=Y","Sort=A","Dates=H","DateFormat=P","Fill=—","Direction=H","UseDPDF=Y")</f>
        <v>#NAME?</v>
      </c>
      <c r="AW72" s="2" t="e">
        <f ca="1">_xll.BDH($C$53,"MODIFIED_WORKING_CPTL_5YR_GRWTH","FQ4 2017","FQ4 2017","Currency=INR","Period=FQ","BEST_FPERIOD_OVERRIDE=FQ","FILING_STATUS=OR","EQY_CONSOLIDATED=Y","Sort=A","Dates=H","DateFormat=P","Fill=—","Direction=H","UseDPDF=Y")</f>
        <v>#NAME?</v>
      </c>
      <c r="AX72" s="2" t="e">
        <f ca="1">_xll.BDH($C$53,"WORKING_CAPITAL_5_YEAR_GROWTH","FQ4 2017","FQ4 2017","Currency=INR","Period=FQ","BEST_FPERIOD_OVERRIDE=FQ","FILING_STATUS=OR","EQY_CONSOLIDATED=Y","Sort=A","Dates=H","DateFormat=P","Fill=—","Direction=H","UseDPDF=Y")</f>
        <v>#NAME?</v>
      </c>
      <c r="AY72" s="2" t="e">
        <f ca="1">_xll.BDH($C$53,"ACCOUNTS_PAYABLE_5_YEAR_GROWTH","FQ4 2017","FQ4 2017","Currency=INR","Period=FQ","BEST_FPERIOD_OVERRIDE=FQ","FILING_STATUS=OR","EQY_CONSOLIDATED=Y","Sort=A","Dates=H","DateFormat=P","Fill=—","Direction=H","UseDPDF=Y")</f>
        <v>#NAME?</v>
      </c>
      <c r="AZ72" s="2" t="e">
        <f ca="1">_xll.BDH($C$53,"SHORT_TERM_DEBT_5_YEAR_GROWTH","FQ4 2017","FQ4 2017","Currency=INR","Period=FQ","BEST_FPERIOD_OVERRIDE=FQ","FILING_STATUS=OR","EQY_CONSOLIDATED=Y","Sort=A","Dates=H","DateFormat=P","Fill=—","Direction=H","UseDPDF=Y")</f>
        <v>#NAME?</v>
      </c>
      <c r="BA72" s="2" t="e">
        <f ca="1">_xll.BDH($C$53,"TOTAL_DEBT_5_YEAR_GROWTH","FQ4 2017","FQ4 2017","Currency=INR","Period=FQ","BEST_FPERIOD_OVERRIDE=FQ","FILING_STATUS=OR","EQY_CONSOLIDATED=Y","Sort=A","Dates=H","DateFormat=P","Fill=—","Direction=H","UseDPDF=Y")</f>
        <v>#NAME?</v>
      </c>
      <c r="BB72" s="2" t="e">
        <f ca="1">_xll.BDH($C$53,"GEO_GROW_TOT_SHRHLDR_EQY","FQ4 2017","FQ4 2017","Currency=INR","Period=FQ","BEST_FPERIOD_OVERRIDE=FQ","FILING_STATUS=OR","EQY_CONSOLIDATED=Y","Sort=A","Dates=H","DateFormat=P","Fill=—","Direction=H","UseDPDF=Y")</f>
        <v>#NAME?</v>
      </c>
      <c r="BC72" s="2" t="e">
        <f ca="1">_xll.BDH($C$53,"TOTAL_CAPITAL_5_YEAR_GROWTH","FQ4 2017","FQ4 2017","Currency=INR","Period=FQ","BEST_FPERIOD_OVERRIDE=FQ","FILING_STATUS=OR","EQY_CONSOLIDATED=Y","Sort=A","Dates=H","DateFormat=P","Fill=—","Direction=H","UseDPDF=Y")</f>
        <v>#NAME?</v>
      </c>
      <c r="BD72" s="2" t="e">
        <f ca="1">_xll.BDH($C$53,"GEO_GROW_BOOK_VAL","FQ4 2017","FQ4 2017","Currency=INR","Period=FQ","BEST_FPERIOD_OVERRIDE=FQ","FILING_STATUS=OR","EQY_CONSOLIDATED=Y","Sort=A","Dates=H","DateFormat=P","Fill=—","Direction=H","UseDPDF=Y")</f>
        <v>#NAME?</v>
      </c>
      <c r="BE72" s="2" t="e">
        <f ca="1">_xll.BDH($C$53,"GEO_GROW_CASH_OPER_ACT","FQ4 2017","FQ4 2017","Currency=INR","Period=FQ","BEST_FPERIOD_OVERRIDE=FQ","FILING_STATUS=OR","EQY_CONSOLIDATED=Y","Sort=A","Dates=H","DateFormat=P","Fill=—","Direction=H","UseDPDF=Y")</f>
        <v>#NAME?</v>
      </c>
      <c r="BF72" s="2" t="e">
        <f ca="1">_xll.BDH($C$53,"REVENUE_SEQUENTIAL_GROWTH","FQ4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72" s="2" t="e">
        <f ca="1">_xll.BDH($C$53,"EBITDA_SEQUENTIAL_GROWTH","FQ4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72" s="2" t="e">
        <f ca="1">_xll.BDH($C$53,"OPERATING_INCOME_SEQ_GROWTH","FQ4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72" s="2" t="e">
        <f ca="1">_xll.BDH($C$53,"NET_INCOME_TO_COMMON_SEQ_GROWTH","FQ4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72" s="2" t="e">
        <f ca="1">_xll.BDH($C$53,"EPS_DILUTED_SEQUENTIAL_GROWTH","FQ4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72" s="2" t="e">
        <f ca="1">_xll.BDH($C$53,"DPS_SEQUENTIAL_GROWTH","FQ4 2017","FQ4 2017","Currency=INR","Period=FQ","BEST_FPERIOD_OVERRIDE=FQ","FILING_STATUS=OR","EQY_CONSOLIDATED=Y","Sort=A","Dates=H","DateFormat=P","Fill=—","Direction=H","UseDPDF=Y")</f>
        <v>#NAME?</v>
      </c>
      <c r="BL72" s="2" t="e">
        <f ca="1">_xll.BDH($C$53,"ACCOUNTS_RECEIVABLE_SEQ_GROWTH","FQ4 2017","FQ4 2017","Currency=INR","Period=FQ","BEST_FPERIOD_OVERRIDE=FQ","FILING_STATUS=OR","EQY_CONSOLIDATED=Y","Sort=A","Dates=H","DateFormat=P","Fill=—","Direction=H","UseDPDF=Y")</f>
        <v>#NAME?</v>
      </c>
      <c r="BM72" s="2" t="e">
        <f ca="1">_xll.BDH($C$53,"INVENTORY_SEQUENTIAL_GROWTH","FQ4 2017","FQ4 2017","Currency=INR","Period=FQ","BEST_FPERIOD_OVERRIDE=FQ","FILING_STATUS=OR","EQY_CONSOLIDATED=Y","Sort=A","Dates=H","DateFormat=P","Fill=—","Direction=H","UseDPDF=Y")</f>
        <v>#NAME?</v>
      </c>
      <c r="BN72" s="2" t="e">
        <f ca="1">_xll.BDH($C$53,"FIXED_ASSETS_SEQUENTIAL_GROWTH","FQ4 2017","FQ4 2017","Currency=INR","Period=FQ","BEST_FPERIOD_OVERRIDE=FQ","FILING_STATUS=OR","EQY_CONSOLIDATED=Y","Sort=A","Dates=H","DateFormat=P","Fill=—","Direction=H","UseDPDF=Y")</f>
        <v>#NAME?</v>
      </c>
      <c r="BO72" s="2" t="e">
        <f ca="1">_xll.BDH($C$53,"TOTAL_ASSETS_SEQUENTIAL_GROWTH","FQ4 2017","FQ4 2017","Currency=INR","Period=FQ","BEST_FPERIOD_OVERRIDE=FQ","FILING_STATUS=OR","EQY_CONSOLIDATED=Y","Sort=A","Dates=H","DateFormat=P","Fill=—","Direction=H","UseDPDF=Y")</f>
        <v>#NAME?</v>
      </c>
      <c r="BP72" s="2" t="e">
        <f ca="1">_xll.BDH($C$53,"MODIFIED_WORKING_CPTL_SEQ_GRWTH","FQ4 2017","FQ4 2017","Currency=INR","Period=FQ","BEST_FPERIOD_OVERRIDE=FQ","FILING_STATUS=OR","EQY_CONSOLIDATED=Y","Sort=A","Dates=H","DateFormat=P","Fill=—","Direction=H","UseDPDF=Y")</f>
        <v>#NAME?</v>
      </c>
      <c r="BQ72" s="2" t="e">
        <f ca="1">_xll.BDH($C$53,"WORKING_CAPITAL_SEQ_GROWTH","FQ4 2017","FQ4 2017","Currency=INR","Period=FQ","BEST_FPERIOD_OVERRIDE=FQ","FILING_STATUS=OR","EQY_CONSOLIDATED=Y","Sort=A","Dates=H","DateFormat=P","Fill=—","Direction=H","UseDPDF=Y")</f>
        <v>#NAME?</v>
      </c>
      <c r="BR72" s="2" t="e">
        <f ca="1">_xll.BDH($C$53,"ACCOUNTS_PAYABLE_SEQ_GROWTH","FQ4 2017","FQ4 2017","Currency=INR","Period=FQ","BEST_FPERIOD_OVERRIDE=FQ","FILING_STATUS=OR","EQY_CONSOLIDATED=Y","Sort=A","Dates=H","DateFormat=P","Fill=—","Direction=H","UseDPDF=Y")</f>
        <v>#NAME?</v>
      </c>
      <c r="BS72" s="2" t="e">
        <f ca="1">_xll.BDH($C$53,"ST_DEBT_SEQUENTIAL_GROWTH","FQ4 2017","FQ4 2017","Currency=INR","Period=FQ","BEST_FPERIOD_OVERRIDE=FQ","FILING_STATUS=OR","EQY_CONSOLIDATED=Y","Sort=A","Dates=H","DateFormat=P","Fill=—","Direction=H","UseDPDF=Y")</f>
        <v>#NAME?</v>
      </c>
      <c r="BT72" s="2" t="e">
        <f ca="1">_xll.BDH($C$53,"TOTAL_DEBT_SEQUENTIAL_GROWTH","FQ4 2017","FQ4 2017","Currency=INR","Period=FQ","BEST_FPERIOD_OVERRIDE=FQ","FILING_STATUS=OR","EQY_CONSOLIDATED=Y","Sort=A","Dates=H","DateFormat=P","Fill=—","Direction=H","UseDPDF=Y")</f>
        <v>#NAME?</v>
      </c>
      <c r="BU72" s="2" t="e">
        <f ca="1">_xll.BDH($C$53,"TOTAL_EQUITY_SEQUENTIAL_GROWTH","FQ4 2017","FQ4 2017","Currency=INR","Period=FQ","BEST_FPERIOD_OVERRIDE=FQ","FILING_STATUS=OR","EQY_CONSOLIDATED=Y","Sort=A","Dates=H","DateFormat=P","Fill=—","Direction=H","UseDPDF=Y")</f>
        <v>#NAME?</v>
      </c>
      <c r="BV72" s="2" t="e">
        <f ca="1">_xll.BDH($C$53,"TOTAL_CAPITAL_SEQUENTIAL_GROWTH","FQ4 2017","FQ4 2017","Currency=INR","Period=FQ","BEST_FPERIOD_OVERRIDE=FQ","FILING_STATUS=OR","EQY_CONSOLIDATED=Y","Sort=A","Dates=H","DateFormat=P","Fill=—","Direction=H","UseDPDF=Y")</f>
        <v>#NAME?</v>
      </c>
      <c r="BW72" s="2" t="e">
        <f ca="1">_xll.BDH($C$53,"BPS_SEQUENTIAL_GROWTH","FQ4 2017","FQ4 2017","Currency=INR","Period=FQ","BEST_FPERIOD_OVERRIDE=FQ","FILING_STATUS=OR","EQY_CONSOLIDATED=Y","Sort=A","Dates=H","DateFormat=P","Fill=—","Direction=H","UseDPDF=Y")</f>
        <v>#NAME?</v>
      </c>
      <c r="BX72" s="2" t="e">
        <f ca="1">_xll.BDH($C$53,"CFO_SEQUENTIAL_GROWTH","FQ4 2017","FQ4 2017","Currency=INR","Period=FQ","BEST_FPERIOD_OVERRIDE=FQ","FILING_STATUS=OR","EQY_CONSOLIDATED=Y","Sort=A","Dates=H","DateFormat=P","Fill=—","Direction=H","UseDPDF=Y")</f>
        <v>#NAME?</v>
      </c>
      <c r="BY72" s="3" t="e">
        <f ca="1">_xll.BDH($C$53,"SHORT_AND_LONG_TERM_DEBT","FQ4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72" s="3" t="e">
        <f ca="1">_xll.BDH($C$53,"BS_ST_BORROW","FQ4 2017","FQ4 2017","Currency=INR","Period=FQ","BEST_FPERIOD_OVERRIDE=FQ","FILING_STATUS=OR","EQY_CONSOLIDATED=Y","SCALING_FORMAT=MLN","Sort=A","Dates=H","DateFormat=P","Fill=—","Direction=H","UseDPDF=Y")</f>
        <v>#NAME?</v>
      </c>
      <c r="CA72" s="3" t="e">
        <f ca="1">_xll.BDH($C$53,"BS_LT_BORROW","FQ4 2017","FQ4 2017","Currency=INR","Period=FQ","BEST_FPERIOD_OVERRIDE=FQ","FILING_STATUS=OR","EQY_CONSOLIDATED=Y","SCALING_FORMAT=MLN","Sort=A","Dates=H","DateFormat=P","Fill=—","Direction=H","UseDPDF=Y")</f>
        <v>#NAME?</v>
      </c>
      <c r="CB72" s="2" t="e">
        <f ca="1">_xll.BDH($C$53,"TOT_DEBT_TO_EBITDA","FQ4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72" s="2" t="e">
        <f ca="1">_xll.BDH($C$53,"NET_DEBT_TO_EBITDA","FQ4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72" s="2" t="e">
        <f ca="1">_xll.BDH($C$53,"TOTAL_DEBT_TO_EBIT","FQ4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72" s="2" t="e">
        <f ca="1">_xll.BDH($C$53,"NET_DEBT_TO_EBIT","FQ4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72" s="2" t="e">
        <f ca="1">_xll.BDH($C$53,"EBITDA_TO_INTEREST_EXPN","FQ4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72" s="2" t="e">
        <f ca="1">_xll.BDH($C$53,"COM_EQY_TO_TOT_ASSET","FQ4 2017","FQ4 2017","Currency=INR","Period=FQ","BEST_FPERIOD_OVERRIDE=FQ","FILING_STATUS=OR","EQY_CONSOLIDATED=Y","Sort=A","Dates=H","DateFormat=P","Fill=—","Direction=H","UseDPDF=Y")</f>
        <v>#NAME?</v>
      </c>
      <c r="CH72" s="2" t="e">
        <f ca="1">_xll.BDH($C$53,"LT_DEBT_TO_TOT_EQY","FQ4 2017","FQ4 2017","Currency=INR","Period=FQ","BEST_FPERIOD_OVERRIDE=FQ","FILING_STATUS=OR","EQY_CONSOLIDATED=Y","Sort=A","Dates=H","DateFormat=P","Fill=—","Direction=H","UseDPDF=Y")</f>
        <v>#NAME?</v>
      </c>
      <c r="CI72" s="2" t="e">
        <f ca="1">_xll.BDH($C$53,"LT_DEBT_TO_TOT_CAP","FQ4 2017","FQ4 2017","Currency=INR","Period=FQ","BEST_FPERIOD_OVERRIDE=FQ","FILING_STATUS=OR","EQY_CONSOLIDATED=Y","Sort=A","Dates=H","DateFormat=P","Fill=—","Direction=H","UseDPDF=Y")</f>
        <v>#NAME?</v>
      </c>
      <c r="CJ72" s="2" t="e">
        <f ca="1">_xll.BDH($C$53,"LT_DEBT_TO_TOT_ASSET","FQ4 2017","FQ4 2017","Currency=INR","Period=FQ","BEST_FPERIOD_OVERRIDE=FQ","FILING_STATUS=OR","EQY_CONSOLIDATED=Y","Sort=A","Dates=H","DateFormat=P","Fill=—","Direction=H","UseDPDF=Y")</f>
        <v>#NAME?</v>
      </c>
      <c r="CK72" s="2" t="e">
        <f ca="1">_xll.BDH($C$53,"TOT_DEBT_TO_TOT_EQY","FQ4 2017","FQ4 2017","Currency=INR","Period=FQ","BEST_FPERIOD_OVERRIDE=FQ","FILING_STATUS=OR","EQY_CONSOLIDATED=Y","Sort=A","Dates=H","DateFormat=P","Fill=—","Direction=H","UseDPDF=Y")</f>
        <v>#NAME?</v>
      </c>
      <c r="CL72" s="2" t="e">
        <f ca="1">_xll.BDH($C$53,"TOT_DEBT_TO_TOT_CAP","FQ4 2017","FQ4 2017","Currency=INR","Period=FQ","BEST_FPERIOD_OVERRIDE=FQ","FILING_STATUS=OR","EQY_CONSOLIDATED=Y","Sort=A","Dates=H","DateFormat=P","Fill=—","Direction=H","UseDPDF=Y")</f>
        <v>#NAME?</v>
      </c>
      <c r="CM72" s="2" t="e">
        <f ca="1">_xll.BDH($C$53,"TOT_DEBT_TO_TOT_ASSET","FQ4 2017","FQ4 2017","Currency=INR","Period=FQ","BEST_FPERIOD_OVERRIDE=FQ","FILING_STATUS=OR","EQY_CONSOLIDATED=Y","Sort=A","Dates=H","DateFormat=P","Fill=—","Direction=H","UseDPDF=Y")</f>
        <v>#NAME?</v>
      </c>
      <c r="CN72" s="2" t="e">
        <f ca="1">_xll.BDH($C$53,"NET_DEBT_TO_SHRHLDR_EQTY","FQ4 2017","FQ4 2017","Currency=INR","Period=FQ","BEST_FPERIOD_OVERRIDE=FQ","FILING_STATUS=OR","EQY_CONSOLIDATED=Y","Sort=A","Dates=H","DateFormat=P","Fill=—","Direction=H","UseDPDF=Y")</f>
        <v>#NAME?</v>
      </c>
      <c r="CO72" s="2" t="e">
        <f ca="1">_xll.BDH($C$53,"NET_DEBT_%_CAPITAL","FQ4 2017","FQ4 2017","Currency=INR","Period=FQ","BEST_FPERIOD_OVERRIDE=FQ","FILING_STATUS=OR","EQY_CONSOLIDATED=Y","Sort=A","Dates=H","DateFormat=P","Fill=—","Direction=H","UseDPDF=Y")</f>
        <v>#NAME?</v>
      </c>
      <c r="CP72" s="3" t="e">
        <f ca="1">_xll.BDH($C$53,"EBITDA","FQ4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72" s="3" t="e">
        <f ca="1">_xll.BDH($C$53,"EBITDA_AFTER_CAPEX","FQ4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72" s="3" t="e">
        <f ca="1">_xll.BDH($C$53,"IS_OPER_INC","FQ4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72" s="2" t="e">
        <f ca="1">_xll.BDH($C$53,"CASH_RATIO","FQ4 2017","FQ4 2017","Currency=INR","Period=FQ","BEST_FPERIOD_OVERRIDE=FQ","FILING_STATUS=OR","EQY_CONSOLIDATED=Y","Sort=A","Dates=H","DateFormat=P","Fill=—","Direction=H","UseDPDF=Y")</f>
        <v>#NAME?</v>
      </c>
      <c r="CT72" s="2" t="e">
        <f ca="1">_xll.BDH($C$53,"CUR_RATIO","FQ4 2017","FQ4 2017","Currency=INR","Period=FQ","BEST_FPERIOD_OVERRIDE=FQ","FILING_STATUS=OR","EQY_CONSOLIDATED=Y","Sort=A","Dates=H","DateFormat=P","Fill=—","Direction=H","UseDPDF=Y")</f>
        <v>#NAME?</v>
      </c>
      <c r="CU72" s="2" t="e">
        <f ca="1">_xll.BDH($C$53,"QUICK_RATIO","FQ4 2017","FQ4 2017","Currency=INR","Period=FQ","BEST_FPERIOD_OVERRIDE=FQ","FILING_STATUS=OR","EQY_CONSOLIDATED=Y","Sort=A","Dates=H","DateFormat=P","Fill=—","Direction=H","UseDPDF=Y")</f>
        <v>#NAME?</v>
      </c>
      <c r="CV72" s="2" t="e">
        <f ca="1">_xll.BDH($C$53,"ALTMAN_Z_SCORE","FQ4 2017","FQ4 2017","Currency=INR","Period=FQ","BEST_FPERIOD_OVERRIDE=FQ","FILING_STATUS=OR","EQY_CONSOLIDATED=Y","Sort=A","Dates=H","DateFormat=P","Fill=—","Direction=H","UseDPDF=Y")</f>
        <v>#NAME?</v>
      </c>
      <c r="CW72" s="4" t="e">
        <f ca="1">_xll.BDH($C$53,"ACCT_RCV_TURN","FQ4 2017","FQ4 2017","Currency=INR","Period=FQ","BEST_FPERIOD_OVERRIDE=FQ","FILING_STATUS=OR","EQY_CONSOLIDATED=Y","FA_ADJUSTED=GAAP","Sort=A","Dates=H","DateFormat=P","Fill=—","Direction=H","UseDPDF=Y")</f>
        <v>#NAME?</v>
      </c>
      <c r="CX72" s="2" t="e">
        <f ca="1">_xll.BDH($C$53,"ACCT_RCV_DAYS","FQ4 2017","FQ4 2017","Currency=INR","Period=FQ","BEST_FPERIOD_OVERRIDE=FQ","FILING_STATUS=OR","EQY_CONSOLIDATED=Y","FA_ADJUSTED=GAAP","Sort=A","Dates=H","DateFormat=P","Fill=—","Direction=H","UseDPDF=Y")</f>
        <v>#NAME?</v>
      </c>
      <c r="CY72" s="4" t="e">
        <f ca="1">_xll.BDH($C$53,"INVENT_TURN","FQ4 2017","FQ4 2017","Currency=INR","Period=FQ","BEST_FPERIOD_OVERRIDE=FQ","FILING_STATUS=OR","EQY_CONSOLIDATED=Y","FA_ADJUSTED=GAAP","Sort=A","Dates=H","DateFormat=P","Fill=—","Direction=H","UseDPDF=Y")</f>
        <v>#NAME?</v>
      </c>
      <c r="CZ72" s="2" t="e">
        <f ca="1">_xll.BDH($C$53,"INVENT_DAYS","FQ4 2017","FQ4 2017","Currency=INR","Period=FQ","BEST_FPERIOD_OVERRIDE=FQ","FILING_STATUS=OR","EQY_CONSOLIDATED=Y","FA_ADJUSTED=GAAP","Sort=A","Dates=H","DateFormat=P","Fill=—","Direction=H","UseDPDF=Y")</f>
        <v>#NAME?</v>
      </c>
      <c r="DA72" s="4" t="e">
        <f ca="1">_xll.BDH($C$53,"ACCOUNTS_PAYABLE_TURNOVER","FQ4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72" s="2" t="e">
        <f ca="1">_xll.BDH($C$53,"ACCOUNTS_PAYABLE_TURNOVER_DAYS","FQ4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72" s="4" t="e">
        <f ca="1">_xll.BDH($C$53,"CASH_CONVERSION_CYCLE","FQ4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72" s="4" t="e">
        <f ca="1">_xll.BDH($C$53,"INV_TO_CASH_DAYS","FQ4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72" s="5" t="e">
        <f ca="1">_xll.BDH($C$53,"BS_INVENTORIES","FQ4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72" s="3" t="e">
        <f ca="1">_xll.BDH($C$53,"INVTRY_RAW_MATERIALS","FQ4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72" s="3" t="e">
        <f ca="1">_xll.BDH($C$53,"INVTRY_IN_PROGRESS","FQ4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72" s="3" t="e">
        <f ca="1">_xll.BDH($C$53,"INVTRY_FINISHED_GOODS","FQ4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72" s="3" t="e">
        <f ca="1">_xll.BDH($C$53,"BS_OTHER_INV","FQ4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73" spans="1:113" x14ac:dyDescent="0.3">
      <c r="A73" s="6"/>
      <c r="B73" s="6"/>
      <c r="C73" s="6"/>
      <c r="D73" s="6" t="s">
        <v>85</v>
      </c>
      <c r="E73" t="s">
        <v>77</v>
      </c>
      <c r="F73" t="e">
        <f ca="1">_xll.BDH($C$53,"RETURN_COM_EQY","FY 2018","FY 2018","Currency=INR","Period=FY","BEST_FPERIOD_OVERRIDE=FY","FILING_STATUS=OR","EQY_CONSOLIDATED=Y","FA_ADJUSTED=GAAP","Sort=A","Dates=H","DateFormat=P","Fill=—","Direction=H","UseDPDF=Y")</f>
        <v>#NAME?</v>
      </c>
      <c r="G73" t="e">
        <f ca="1">_xll.BDH($C$53,"RETURN_ON_ASSET","FY 2018","FY 2018","Currency=INR","Period=FY","BEST_FPERIOD_OVERRIDE=FY","FILING_STATUS=OR","EQY_CONSOLIDATED=Y","FA_ADJUSTED=GAAP","Sort=A","Dates=H","DateFormat=P","Fill=—","Direction=H","UseDPDF=Y")</f>
        <v>#NAME?</v>
      </c>
      <c r="H73" t="e">
        <f ca="1">_xll.BDH($C$53,"RETURN_ON_CAP","FY 2018","FY 2018","Currency=INR","Period=FY","BEST_FPERIOD_OVERRIDE=FY","FILING_STATUS=OR","EQY_CONSOLIDATED=Y","FA_ADJUSTED=GAAP","Sort=A","Dates=H","DateFormat=P","Fill=—","Direction=H","UseDPDF=Y")</f>
        <v>#NAME?</v>
      </c>
      <c r="I73" t="e">
        <f ca="1">_xll.BDH($C$53,"RETURN_ON_INV_CAPITAL","FY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73" t="e">
        <f ca="1">_xll.BDH($C$53,"EBITDA_TO_REVENUE","FY 2018","FY 2018","Currency=INR","Period=FY","BEST_FPERIOD_OVERRIDE=FY","FILING_STATUS=OR","EQY_CONSOLIDATED=Y","FA_ADJUSTED=GAAP","Sort=A","Dates=H","DateFormat=P","Fill=—","Direction=H","UseDPDF=Y")</f>
        <v>#NAME?</v>
      </c>
      <c r="K73" t="e">
        <f ca="1">_xll.BDH($C$53,"OPER_MARGIN","FY 2018","FY 2018","Currency=INR","Period=FY","BEST_FPERIOD_OVERRIDE=FY","FILING_STATUS=OR","EQY_CONSOLIDATED=Y","FA_ADJUSTED=GAAP","Sort=A","Dates=H","DateFormat=P","Fill=—","Direction=H","UseDPDF=Y")</f>
        <v>#NAME?</v>
      </c>
      <c r="L73" t="e">
        <f ca="1">_xll.BDH($C$53,"INCREMENTAL_OPERATING_MARGIN","FY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73" t="e">
        <f ca="1">_xll.BDH($C$53,"PRETAX_INC_TO_NET_SALES","FY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73" t="e">
        <f ca="1">_xll.BDH($C$53,"INC_BEF_XO_ITEMS_TO_NET_SALES","FY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73" t="e">
        <f ca="1">_xll.BDH($C$53,"PROF_MARGIN","FY 2018","FY 2018","Currency=INR","Period=FY","BEST_FPERIOD_OVERRIDE=FY","FILING_STATUS=OR","EQY_CONSOLIDATED=Y","FA_ADJUSTED=GAAP","Sort=A","Dates=H","DateFormat=P","Fill=—","Direction=H","UseDPDF=Y")</f>
        <v>#NAME?</v>
      </c>
      <c r="P73" t="e">
        <f ca="1">_xll.BDH($C$53,"NET_INCOME_TO_COMMON_MARGIN","FY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73" t="e">
        <f ca="1">_xll.BDH($C$53,"EFF_TAX_RATE","FY 2018","FY 2018","Currency=INR","Period=FY","BEST_FPERIOD_OVERRIDE=FY","FILING_STATUS=OR","EQY_CONSOLIDATED=Y","FA_ADJUSTED=GAAP","Sort=A","Dates=H","DateFormat=P","Fill=—","Direction=H","UseDPDF=Y")</f>
        <v>#NAME?</v>
      </c>
      <c r="R73" t="e">
        <f ca="1">_xll.BDH($C$53,"DVD_PAYOUT_RATIO","FY 2018","FY 2018","Currency=INR","Period=FY","BEST_FPERIOD_OVERRIDE=FY","FILING_STATUS=OR","EQY_CONSOLIDATED=Y","FA_ADJUSTED=GAAP","Sort=A","Dates=H","DateFormat=P","Fill=—","Direction=H","UseDPDF=Y")</f>
        <v>#NAME?</v>
      </c>
      <c r="S73" t="e">
        <f ca="1">_xll.BDH($C$53,"SUSTAIN_GROWTH_RT","FY 2018","FY 2018","Currency=INR","Period=FY","BEST_FPERIOD_OVERRIDE=FY","FILING_STATUS=OR","EQY_CONSOLIDATED=Y","FA_ADJUSTED=GAAP","Sort=A","Dates=H","DateFormat=P","Fill=—","Direction=H","UseDPDF=Y")</f>
        <v>#NAME?</v>
      </c>
      <c r="T73" s="2" t="e">
        <f ca="1">_xll.BDH($C$53,"SALES_GROWTH","FY 2018","FY 2018","Currency=INR","Period=FY","BEST_FPERIOD_OVERRIDE=FY","FILING_STATUS=OR","EQY_CONSOLIDATED=Y","FA_ADJUSTED=GAAP","Sort=A","Dates=H","DateFormat=P","Fill=—","Direction=H","UseDPDF=Y")</f>
        <v>#NAME?</v>
      </c>
      <c r="U73" s="2" t="e">
        <f ca="1">_xll.BDH($C$53,"EBITDA_GROWTH","FY 2018","FY 2018","Currency=INR","Period=FY","BEST_FPERIOD_OVERRIDE=FY","FILING_STATUS=OR","EQY_CONSOLIDATED=Y","FA_ADJUSTED=GAAP","Sort=A","Dates=H","DateFormat=P","Fill=—","Direction=H","UseDPDF=Y")</f>
        <v>#NAME?</v>
      </c>
      <c r="V73" s="2" t="e">
        <f ca="1">_xll.BDH($C$53,"OPER_INC_GROWTH","FY 2018","FY 2018","Currency=INR","Period=FY","BEST_FPERIOD_OVERRIDE=FY","FILING_STATUS=OR","EQY_CONSOLIDATED=Y","FA_ADJUSTED=GAAP","Sort=A","Dates=H","DateFormat=P","Fill=—","Direction=H","UseDPDF=Y")</f>
        <v>#NAME?</v>
      </c>
      <c r="W73" s="2" t="e">
        <f ca="1">_xll.BDH($C$53,"EARN_FOR_COM_GROWTH","FY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73" s="2" t="e">
        <f ca="1">_xll.BDH($C$53,"DILUTED_EPS_AFT_XO_ITEMS_GROWTH","FY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73" s="2" t="e">
        <f ca="1">_xll.BDH($C$53,"DIVIDEND_PER_SHARE_1_YEAR_GROWTH","FY 2018","FY 2018","Currency=INR","Period=FY","BEST_FPERIOD_OVERRIDE=FY","FILING_STATUS=OR","EQY_CONSOLIDATED=Y","Sort=A","Dates=H","DateFormat=P","Fill=—","Direction=H","UseDPDF=Y")</f>
        <v>#NAME?</v>
      </c>
      <c r="Z73" s="2" t="e">
        <f ca="1">_xll.BDH($C$53,"ACCOUNTS_RECEIVABLE_GROWTH","FY 2018","FY 2018","Currency=INR","Period=FY","BEST_FPERIOD_OVERRIDE=FY","FILING_STATUS=OR","EQY_CONSOLIDATED=Y","Sort=A","Dates=H","DateFormat=P","Fill=—","Direction=H","UseDPDF=Y")</f>
        <v>#NAME?</v>
      </c>
      <c r="AA73" s="2" t="e">
        <f ca="1">_xll.BDH($C$53,"INVENTORY_GROWTH","FY 2018","FY 2018","Currency=INR","Period=FY","BEST_FPERIOD_OVERRIDE=FY","FILING_STATUS=OR","EQY_CONSOLIDATED=Y","Sort=A","Dates=H","DateFormat=P","Fill=—","Direction=H","UseDPDF=Y")</f>
        <v>#NAME?</v>
      </c>
      <c r="AB73" s="2" t="e">
        <f ca="1">_xll.BDH($C$53,"NET_FIXED_ASSETS_1_YEAR_GROWTH","FY 2018","FY 2018","Currency=INR","Period=FY","BEST_FPERIOD_OVERRIDE=FY","FILING_STATUS=OR","EQY_CONSOLIDATED=Y","Sort=A","Dates=H","DateFormat=P","Fill=—","Direction=H","UseDPDF=Y")</f>
        <v>#NAME?</v>
      </c>
      <c r="AC73" s="2" t="e">
        <f ca="1">_xll.BDH($C$53,"ASSET_GROWTH","FY 2018","FY 2018","Currency=INR","Period=FY","BEST_FPERIOD_OVERRIDE=FY","FILING_STATUS=OR","EQY_CONSOLIDATED=Y","Sort=A","Dates=H","DateFormat=P","Fill=—","Direction=H","UseDPDF=Y")</f>
        <v>#NAME?</v>
      </c>
      <c r="AD73" s="2" t="e">
        <f ca="1">_xll.BDH($C$53,"MODIFIED_WORK_CAP_GROWTH","FY 2018","FY 2018","Currency=INR","Period=FY","BEST_FPERIOD_OVERRIDE=FY","FILING_STATUS=OR","EQY_CONSOLIDATED=Y","Sort=A","Dates=H","DateFormat=P","Fill=—","Direction=H","UseDPDF=Y")</f>
        <v>#NAME?</v>
      </c>
      <c r="AE73" s="2" t="e">
        <f ca="1">_xll.BDH($C$53,"WORK_CAP_GROWTH","FY 2018","FY 2018","Currency=INR","Period=FY","BEST_FPERIOD_OVERRIDE=FY","FILING_STATUS=OR","EQY_CONSOLIDATED=Y","Sort=A","Dates=H","DateFormat=P","Fill=—","Direction=H","UseDPDF=Y")</f>
        <v>#NAME?</v>
      </c>
      <c r="AF73" s="2" t="e">
        <f ca="1">_xll.BDH($C$53,"ACCOUNTS_PAYABLE_GROWTH_1YR","FY 2018","FY 2018","Currency=INR","Period=FY","BEST_FPERIOD_OVERRIDE=FY","FILING_STATUS=OR","EQY_CONSOLIDATED=Y","Sort=A","Dates=H","DateFormat=P","Fill=—","Direction=H","UseDPDF=Y")</f>
        <v>#NAME?</v>
      </c>
      <c r="AG73" s="2" t="e">
        <f ca="1">_xll.BDH($C$53,"SHORT_TERM_DEBT_1_YEAR_GROWTH","FY 2018","FY 2018","Currency=INR","Period=FY","BEST_FPERIOD_OVERRIDE=FY","FILING_STATUS=OR","EQY_CONSOLIDATED=Y","Sort=A","Dates=H","DateFormat=P","Fill=—","Direction=H","UseDPDF=Y")</f>
        <v>#NAME?</v>
      </c>
      <c r="AH73" s="2" t="e">
        <f ca="1">_xll.BDH($C$53,"TOTAL_DEBT_1_YEAR_GROWTH","FY 2018","FY 2018","Currency=INR","Period=FY","BEST_FPERIOD_OVERRIDE=FY","FILING_STATUS=OR","EQY_CONSOLIDATED=Y","Sort=A","Dates=H","DateFormat=P","Fill=—","Direction=H","UseDPDF=Y")</f>
        <v>#NAME?</v>
      </c>
      <c r="AI73" s="2" t="e">
        <f ca="1">_xll.BDH($C$53,"TOTAL_EQUITY_1_YEAR_GROWTH","FY 2018","FY 2018","Currency=INR","Period=FY","BEST_FPERIOD_OVERRIDE=FY","FILING_STATUS=OR","EQY_CONSOLIDATED=Y","Sort=A","Dates=H","DateFormat=P","Fill=—","Direction=H","UseDPDF=Y")</f>
        <v>#NAME?</v>
      </c>
      <c r="AJ73" s="2" t="e">
        <f ca="1">_xll.BDH($C$53,"GROWTH_IN_CAP","FY 2018","FY 2018","Currency=INR","Period=FY","BEST_FPERIOD_OVERRIDE=FY","FILING_STATUS=OR","EQY_CONSOLIDATED=Y","Sort=A","Dates=H","DateFormat=P","Fill=—","Direction=H","UseDPDF=Y")</f>
        <v>#NAME?</v>
      </c>
      <c r="AK73" s="2" t="e">
        <f ca="1">_xll.BDH($C$53,"BVPS_GROWTH","FY 2018","FY 2018","Currency=INR","Period=FY","BEST_FPERIOD_OVERRIDE=FY","FILING_STATUS=OR","EQY_CONSOLIDATED=Y","Sort=A","Dates=H","DateFormat=P","Fill=—","Direction=H","UseDPDF=Y")</f>
        <v>#NAME?</v>
      </c>
      <c r="AL73" s="2" t="e">
        <f ca="1">_xll.BDH($C$53,"CASH_FLOW_GROWTH","FY 2018","FY 2018","Currency=INR","Period=FY","BEST_FPERIOD_OVERRIDE=FY","FILING_STATUS=OR","EQY_CONSOLIDATED=Y","Sort=A","Dates=H","DateFormat=P","Fill=—","Direction=H","UseDPDF=Y")</f>
        <v>#NAME?</v>
      </c>
      <c r="AM73" s="2" t="e">
        <f ca="1">_xll.BDH($C$53,"GEO_GROW_NET_SALES","FY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73" s="2" t="e">
        <f ca="1">_xll.BDH($C$53,"GEO_GROW_EBITDA","FY 2018","FY 2018","Currency=INR","Period=FY","BEST_FPERIOD_OVERRIDE=FY","FILING_STATUS=OR","EQY_CONSOLIDATED=Y","FA_ADJUSTED=GAAP","Sort=A","Dates=H","DateFormat=P","Fill=—","Direction=H","UseDPDF=Y")</f>
        <v>#NAME?</v>
      </c>
      <c r="AO73" s="2" t="e">
        <f ca="1">_xll.BDH($C$53,"GEO_GROW_OPER_INC","FY 2018","FY 2018","Currency=INR","Period=FY","BEST_FPERIOD_OVERRIDE=FY","FILING_STATUS=OR","EQY_CONSOLIDATED=Y","FA_ADJUSTED=GAAP","Sort=A","Dates=H","DateFormat=P","Fill=—","Direction=H","UseDPDF=Y")</f>
        <v>#NAME?</v>
      </c>
      <c r="AP73" s="2" t="e">
        <f ca="1">_xll.BDH($C$53,"NET_INCOME_TO_COMMON_5_YR_GROWTH","FY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73" s="2" t="e">
        <f ca="1">_xll.BDH($C$53,"5Y_GEO_GROWTH_DILUTED_EPS","FY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73" s="2" t="e">
        <f ca="1">_xll.BDH($C$53,"GEO_GROW_DVD_PER_SH","FY 2018","FY 2018","Currency=INR","Period=FY","BEST_FPERIOD_OVERRIDE=FY","FILING_STATUS=OR","EQY_CONSOLIDATED=Y","Sort=A","Dates=H","DateFormat=P","Fill=—","Direction=H","UseDPDF=Y")</f>
        <v>#NAME?</v>
      </c>
      <c r="AS73" s="2" t="e">
        <f ca="1">_xll.BDH($C$53,"ACCOUNTS_RECEIVABLE_5_YR_GROWTH","FY 2018","FY 2018","Currency=INR","Period=FY","BEST_FPERIOD_OVERRIDE=FY","FILING_STATUS=OR","EQY_CONSOLIDATED=Y","Sort=A","Dates=H","DateFormat=P","Fill=—","Direction=H","UseDPDF=Y")</f>
        <v>#NAME?</v>
      </c>
      <c r="AT73" s="2" t="e">
        <f ca="1">_xll.BDH($C$53,"INVENTORY_5_YEAR_GROWTH","FY 2018","FY 2018","Currency=INR","Period=FY","BEST_FPERIOD_OVERRIDE=FY","FILING_STATUS=OR","EQY_CONSOLIDATED=Y","Sort=A","Dates=H","DateFormat=P","Fill=—","Direction=H","UseDPDF=Y")</f>
        <v>#NAME?</v>
      </c>
      <c r="AU73" s="2" t="e">
        <f ca="1">_xll.BDH($C$53,"NET_FIXED_ASSETS_5_YEAR_GROWTH","FY 2018","FY 2018","Currency=INR","Period=FY","BEST_FPERIOD_OVERRIDE=FY","FILING_STATUS=OR","EQY_CONSOLIDATED=Y","Sort=A","Dates=H","DateFormat=P","Fill=—","Direction=H","UseDPDF=Y")</f>
        <v>#NAME?</v>
      </c>
      <c r="AV73" s="2" t="e">
        <f ca="1">_xll.BDH($C$53,"GEO_GROW_TOT_ASSET","FY 2018","FY 2018","Currency=INR","Period=FY","BEST_FPERIOD_OVERRIDE=FY","FILING_STATUS=OR","EQY_CONSOLIDATED=Y","Sort=A","Dates=H","DateFormat=P","Fill=—","Direction=H","UseDPDF=Y")</f>
        <v>#NAME?</v>
      </c>
      <c r="AW73" s="2" t="e">
        <f ca="1">_xll.BDH($C$53,"MODIFIED_WORKING_CPTL_5YR_GRWTH","FY 2018","FY 2018","Currency=INR","Period=FY","BEST_FPERIOD_OVERRIDE=FY","FILING_STATUS=OR","EQY_CONSOLIDATED=Y","Sort=A","Dates=H","DateFormat=P","Fill=—","Direction=H","UseDPDF=Y")</f>
        <v>#NAME?</v>
      </c>
      <c r="AX73" s="2" t="e">
        <f ca="1">_xll.BDH($C$53,"WORKING_CAPITAL_5_YEAR_GROWTH","FY 2018","FY 2018","Currency=INR","Period=FY","BEST_FPERIOD_OVERRIDE=FY","FILING_STATUS=OR","EQY_CONSOLIDATED=Y","Sort=A","Dates=H","DateFormat=P","Fill=—","Direction=H","UseDPDF=Y")</f>
        <v>#NAME?</v>
      </c>
      <c r="AY73" s="2" t="e">
        <f ca="1">_xll.BDH($C$53,"ACCOUNTS_PAYABLE_5_YEAR_GROWTH","FY 2018","FY 2018","Currency=INR","Period=FY","BEST_FPERIOD_OVERRIDE=FY","FILING_STATUS=OR","EQY_CONSOLIDATED=Y","Sort=A","Dates=H","DateFormat=P","Fill=—","Direction=H","UseDPDF=Y")</f>
        <v>#NAME?</v>
      </c>
      <c r="AZ73" s="2" t="e">
        <f ca="1">_xll.BDH($C$53,"SHORT_TERM_DEBT_5_YEAR_GROWTH","FY 2018","FY 2018","Currency=INR","Period=FY","BEST_FPERIOD_OVERRIDE=FY","FILING_STATUS=OR","EQY_CONSOLIDATED=Y","Sort=A","Dates=H","DateFormat=P","Fill=—","Direction=H","UseDPDF=Y")</f>
        <v>#NAME?</v>
      </c>
      <c r="BA73" s="2" t="e">
        <f ca="1">_xll.BDH($C$53,"TOTAL_DEBT_5_YEAR_GROWTH","FY 2018","FY 2018","Currency=INR","Period=FY","BEST_FPERIOD_OVERRIDE=FY","FILING_STATUS=OR","EQY_CONSOLIDATED=Y","Sort=A","Dates=H","DateFormat=P","Fill=—","Direction=H","UseDPDF=Y")</f>
        <v>#NAME?</v>
      </c>
      <c r="BB73" s="2" t="e">
        <f ca="1">_xll.BDH($C$53,"GEO_GROW_TOT_SHRHLDR_EQY","FY 2018","FY 2018","Currency=INR","Period=FY","BEST_FPERIOD_OVERRIDE=FY","FILING_STATUS=OR","EQY_CONSOLIDATED=Y","Sort=A","Dates=H","DateFormat=P","Fill=—","Direction=H","UseDPDF=Y")</f>
        <v>#NAME?</v>
      </c>
      <c r="BC73" s="2" t="e">
        <f ca="1">_xll.BDH($C$53,"TOTAL_CAPITAL_5_YEAR_GROWTH","FY 2018","FY 2018","Currency=INR","Period=FY","BEST_FPERIOD_OVERRIDE=FY","FILING_STATUS=OR","EQY_CONSOLIDATED=Y","Sort=A","Dates=H","DateFormat=P","Fill=—","Direction=H","UseDPDF=Y")</f>
        <v>#NAME?</v>
      </c>
      <c r="BD73" s="2" t="e">
        <f ca="1">_xll.BDH($C$53,"GEO_GROW_BOOK_VAL","FY 2018","FY 2018","Currency=INR","Period=FY","BEST_FPERIOD_OVERRIDE=FY","FILING_STATUS=OR","EQY_CONSOLIDATED=Y","Sort=A","Dates=H","DateFormat=P","Fill=—","Direction=H","UseDPDF=Y")</f>
        <v>#NAME?</v>
      </c>
      <c r="BE73" s="2" t="e">
        <f ca="1">_xll.BDH($C$53,"GEO_GROW_CASH_OPER_ACT","FY 2018","FY 2018","Currency=INR","Period=FY","BEST_FPERIOD_OVERRIDE=FY","FILING_STATUS=OR","EQY_CONSOLIDATED=Y","Sort=A","Dates=H","DateFormat=P","Fill=—","Direction=H","UseDPDF=Y")</f>
        <v>#NAME?</v>
      </c>
      <c r="BF73" s="2" t="e">
        <f ca="1">_xll.BDH($C$53,"REVENUE_SEQUENTIAL_GROWTH","FY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73" s="2" t="e">
        <f ca="1">_xll.BDH($C$53,"EBITDA_SEQUENTIAL_GROWTH","FY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73" s="2" t="e">
        <f ca="1">_xll.BDH($C$53,"OPERATING_INCOME_SEQ_GROWTH","FY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73" s="2" t="e">
        <f ca="1">_xll.BDH($C$53,"NET_INCOME_TO_COMMON_SEQ_GROWTH","FY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73" s="2" t="e">
        <f ca="1">_xll.BDH($C$53,"EPS_DILUTED_SEQUENTIAL_GROWTH","FY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73" s="2" t="e">
        <f ca="1">_xll.BDH($C$53,"DPS_SEQUENTIAL_GROWTH","FY 2018","FY 2018","Currency=INR","Period=FY","BEST_FPERIOD_OVERRIDE=FY","FILING_STATUS=OR","EQY_CONSOLIDATED=Y","Sort=A","Dates=H","DateFormat=P","Fill=—","Direction=H","UseDPDF=Y")</f>
        <v>#NAME?</v>
      </c>
      <c r="BL73" s="2" t="e">
        <f ca="1">_xll.BDH($C$53,"ACCOUNTS_RECEIVABLE_SEQ_GROWTH","FY 2018","FY 2018","Currency=INR","Period=FY","BEST_FPERIOD_OVERRIDE=FY","FILING_STATUS=OR","EQY_CONSOLIDATED=Y","Sort=A","Dates=H","DateFormat=P","Fill=—","Direction=H","UseDPDF=Y")</f>
        <v>#NAME?</v>
      </c>
      <c r="BM73" s="2" t="e">
        <f ca="1">_xll.BDH($C$53,"INVENTORY_SEQUENTIAL_GROWTH","FY 2018","FY 2018","Currency=INR","Period=FY","BEST_FPERIOD_OVERRIDE=FY","FILING_STATUS=OR","EQY_CONSOLIDATED=Y","Sort=A","Dates=H","DateFormat=P","Fill=—","Direction=H","UseDPDF=Y")</f>
        <v>#NAME?</v>
      </c>
      <c r="BN73" s="2" t="e">
        <f ca="1">_xll.BDH($C$53,"FIXED_ASSETS_SEQUENTIAL_GROWTH","FY 2018","FY 2018","Currency=INR","Period=FY","BEST_FPERIOD_OVERRIDE=FY","FILING_STATUS=OR","EQY_CONSOLIDATED=Y","Sort=A","Dates=H","DateFormat=P","Fill=—","Direction=H","UseDPDF=Y")</f>
        <v>#NAME?</v>
      </c>
      <c r="BO73" s="2" t="e">
        <f ca="1">_xll.BDH($C$53,"TOTAL_ASSETS_SEQUENTIAL_GROWTH","FY 2018","FY 2018","Currency=INR","Period=FY","BEST_FPERIOD_OVERRIDE=FY","FILING_STATUS=OR","EQY_CONSOLIDATED=Y","Sort=A","Dates=H","DateFormat=P","Fill=—","Direction=H","UseDPDF=Y")</f>
        <v>#NAME?</v>
      </c>
      <c r="BP73" s="2" t="e">
        <f ca="1">_xll.BDH($C$53,"MODIFIED_WORKING_CPTL_SEQ_GRWTH","FY 2018","FY 2018","Currency=INR","Period=FY","BEST_FPERIOD_OVERRIDE=FY","FILING_STATUS=OR","EQY_CONSOLIDATED=Y","Sort=A","Dates=H","DateFormat=P","Fill=—","Direction=H","UseDPDF=Y")</f>
        <v>#NAME?</v>
      </c>
      <c r="BQ73" s="2" t="e">
        <f ca="1">_xll.BDH($C$53,"WORKING_CAPITAL_SEQ_GROWTH","FY 2018","FY 2018","Currency=INR","Period=FY","BEST_FPERIOD_OVERRIDE=FY","FILING_STATUS=OR","EQY_CONSOLIDATED=Y","Sort=A","Dates=H","DateFormat=P","Fill=—","Direction=H","UseDPDF=Y")</f>
        <v>#NAME?</v>
      </c>
      <c r="BR73" s="2" t="e">
        <f ca="1">_xll.BDH($C$53,"ACCOUNTS_PAYABLE_SEQ_GROWTH","FY 2018","FY 2018","Currency=INR","Period=FY","BEST_FPERIOD_OVERRIDE=FY","FILING_STATUS=OR","EQY_CONSOLIDATED=Y","Sort=A","Dates=H","DateFormat=P","Fill=—","Direction=H","UseDPDF=Y")</f>
        <v>#NAME?</v>
      </c>
      <c r="BS73" s="2" t="e">
        <f ca="1">_xll.BDH($C$53,"ST_DEBT_SEQUENTIAL_GROWTH","FY 2018","FY 2018","Currency=INR","Period=FY","BEST_FPERIOD_OVERRIDE=FY","FILING_STATUS=OR","EQY_CONSOLIDATED=Y","Sort=A","Dates=H","DateFormat=P","Fill=—","Direction=H","UseDPDF=Y")</f>
        <v>#NAME?</v>
      </c>
      <c r="BT73" s="2" t="e">
        <f ca="1">_xll.BDH($C$53,"TOTAL_DEBT_SEQUENTIAL_GROWTH","FY 2018","FY 2018","Currency=INR","Period=FY","BEST_FPERIOD_OVERRIDE=FY","FILING_STATUS=OR","EQY_CONSOLIDATED=Y","Sort=A","Dates=H","DateFormat=P","Fill=—","Direction=H","UseDPDF=Y")</f>
        <v>#NAME?</v>
      </c>
      <c r="BU73" s="2" t="e">
        <f ca="1">_xll.BDH($C$53,"TOTAL_EQUITY_SEQUENTIAL_GROWTH","FY 2018","FY 2018","Currency=INR","Period=FY","BEST_FPERIOD_OVERRIDE=FY","FILING_STATUS=OR","EQY_CONSOLIDATED=Y","Sort=A","Dates=H","DateFormat=P","Fill=—","Direction=H","UseDPDF=Y")</f>
        <v>#NAME?</v>
      </c>
      <c r="BV73" s="2" t="e">
        <f ca="1">_xll.BDH($C$53,"TOTAL_CAPITAL_SEQUENTIAL_GROWTH","FY 2018","FY 2018","Currency=INR","Period=FY","BEST_FPERIOD_OVERRIDE=FY","FILING_STATUS=OR","EQY_CONSOLIDATED=Y","Sort=A","Dates=H","DateFormat=P","Fill=—","Direction=H","UseDPDF=Y")</f>
        <v>#NAME?</v>
      </c>
      <c r="BW73" s="2" t="e">
        <f ca="1">_xll.BDH($C$53,"BPS_SEQUENTIAL_GROWTH","FY 2018","FY 2018","Currency=INR","Period=FY","BEST_FPERIOD_OVERRIDE=FY","FILING_STATUS=OR","EQY_CONSOLIDATED=Y","Sort=A","Dates=H","DateFormat=P","Fill=—","Direction=H","UseDPDF=Y")</f>
        <v>#NAME?</v>
      </c>
      <c r="BX73" s="2" t="e">
        <f ca="1">_xll.BDH($C$53,"CFO_SEQUENTIAL_GROWTH","FY 2018","FY 2018","Currency=INR","Period=FY","BEST_FPERIOD_OVERRIDE=FY","FILING_STATUS=OR","EQY_CONSOLIDATED=Y","Sort=A","Dates=H","DateFormat=P","Fill=—","Direction=H","UseDPDF=Y")</f>
        <v>#NAME?</v>
      </c>
      <c r="BY73" s="3" t="e">
        <f ca="1">_xll.BDH($C$53,"SHORT_AND_LONG_TERM_DEBT","FY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73" s="3" t="e">
        <f ca="1">_xll.BDH($C$53,"BS_ST_BORROW","FY 2018","FY 2018","Currency=INR","Period=FY","BEST_FPERIOD_OVERRIDE=FY","FILING_STATUS=OR","EQY_CONSOLIDATED=Y","SCALING_FORMAT=MLN","Sort=A","Dates=H","DateFormat=P","Fill=—","Direction=H","UseDPDF=Y")</f>
        <v>#NAME?</v>
      </c>
      <c r="CA73" s="3" t="e">
        <f ca="1">_xll.BDH($C$53,"BS_LT_BORROW","FY 2018","FY 2018","Currency=INR","Period=FY","BEST_FPERIOD_OVERRIDE=FY","FILING_STATUS=OR","EQY_CONSOLIDATED=Y","SCALING_FORMAT=MLN","Sort=A","Dates=H","DateFormat=P","Fill=—","Direction=H","UseDPDF=Y")</f>
        <v>#NAME?</v>
      </c>
      <c r="CB73" s="2" t="e">
        <f ca="1">_xll.BDH($C$53,"TOT_DEBT_TO_EBITDA","FY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73" s="2" t="e">
        <f ca="1">_xll.BDH($C$53,"NET_DEBT_TO_EBITDA","FY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73" s="2" t="e">
        <f ca="1">_xll.BDH($C$53,"TOTAL_DEBT_TO_EBIT","FY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73" s="2" t="e">
        <f ca="1">_xll.BDH($C$53,"NET_DEBT_TO_EBIT","FY 2018","FY 2018","Currency=INR","Period=FY","BEST_FPERIOD_OVERRIDE=FY","FILING_STATUS=OR","EQY_CONSOLIDATED=Y","FA_ADJUSTED=GAAP","Sort=A","Dates=H","DateFormat=P","Fill=—","Direction=H","UseDPDF=Y")</f>
        <v>#NAME?</v>
      </c>
      <c r="CF73" s="2" t="e">
        <f ca="1">_xll.BDH($C$53,"EBITDA_TO_INTEREST_EXPN","FY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73" s="2" t="e">
        <f ca="1">_xll.BDH($C$53,"COM_EQY_TO_TOT_ASSET","FY 2018","FY 2018","Currency=INR","Period=FY","BEST_FPERIOD_OVERRIDE=FY","FILING_STATUS=OR","EQY_CONSOLIDATED=Y","Sort=A","Dates=H","DateFormat=P","Fill=—","Direction=H","UseDPDF=Y")</f>
        <v>#NAME?</v>
      </c>
      <c r="CH73" s="2" t="e">
        <f ca="1">_xll.BDH($C$53,"LT_DEBT_TO_TOT_EQY","FY 2018","FY 2018","Currency=INR","Period=FY","BEST_FPERIOD_OVERRIDE=FY","FILING_STATUS=OR","EQY_CONSOLIDATED=Y","Sort=A","Dates=H","DateFormat=P","Fill=—","Direction=H","UseDPDF=Y")</f>
        <v>#NAME?</v>
      </c>
      <c r="CI73" s="2" t="e">
        <f ca="1">_xll.BDH($C$53,"LT_DEBT_TO_TOT_CAP","FY 2018","FY 2018","Currency=INR","Period=FY","BEST_FPERIOD_OVERRIDE=FY","FILING_STATUS=OR","EQY_CONSOLIDATED=Y","Sort=A","Dates=H","DateFormat=P","Fill=—","Direction=H","UseDPDF=Y")</f>
        <v>#NAME?</v>
      </c>
      <c r="CJ73" s="2" t="e">
        <f ca="1">_xll.BDH($C$53,"LT_DEBT_TO_TOT_ASSET","FY 2018","FY 2018","Currency=INR","Period=FY","BEST_FPERIOD_OVERRIDE=FY","FILING_STATUS=OR","EQY_CONSOLIDATED=Y","Sort=A","Dates=H","DateFormat=P","Fill=—","Direction=H","UseDPDF=Y")</f>
        <v>#NAME?</v>
      </c>
      <c r="CK73" s="2" t="e">
        <f ca="1">_xll.BDH($C$53,"TOT_DEBT_TO_TOT_EQY","FY 2018","FY 2018","Currency=INR","Period=FY","BEST_FPERIOD_OVERRIDE=FY","FILING_STATUS=OR","EQY_CONSOLIDATED=Y","Sort=A","Dates=H","DateFormat=P","Fill=—","Direction=H","UseDPDF=Y")</f>
        <v>#NAME?</v>
      </c>
      <c r="CL73" s="2" t="e">
        <f ca="1">_xll.BDH($C$53,"TOT_DEBT_TO_TOT_CAP","FY 2018","FY 2018","Currency=INR","Period=FY","BEST_FPERIOD_OVERRIDE=FY","FILING_STATUS=OR","EQY_CONSOLIDATED=Y","Sort=A","Dates=H","DateFormat=P","Fill=—","Direction=H","UseDPDF=Y")</f>
        <v>#NAME?</v>
      </c>
      <c r="CM73" s="2" t="e">
        <f ca="1">_xll.BDH($C$53,"TOT_DEBT_TO_TOT_ASSET","FY 2018","FY 2018","Currency=INR","Period=FY","BEST_FPERIOD_OVERRIDE=FY","FILING_STATUS=OR","EQY_CONSOLIDATED=Y","Sort=A","Dates=H","DateFormat=P","Fill=—","Direction=H","UseDPDF=Y")</f>
        <v>#NAME?</v>
      </c>
      <c r="CN73" s="2" t="e">
        <f ca="1">_xll.BDH($C$53,"NET_DEBT_TO_SHRHLDR_EQTY","FY 2018","FY 2018","Currency=INR","Period=FY","BEST_FPERIOD_OVERRIDE=FY","FILING_STATUS=OR","EQY_CONSOLIDATED=Y","Sort=A","Dates=H","DateFormat=P","Fill=—","Direction=H","UseDPDF=Y")</f>
        <v>#NAME?</v>
      </c>
      <c r="CO73" s="2" t="e">
        <f ca="1">_xll.BDH($C$53,"NET_DEBT_%_CAPITAL","FY 2018","FY 2018","Currency=INR","Period=FY","BEST_FPERIOD_OVERRIDE=FY","FILING_STATUS=OR","EQY_CONSOLIDATED=Y","Sort=A","Dates=H","DateFormat=P","Fill=—","Direction=H","UseDPDF=Y")</f>
        <v>#NAME?</v>
      </c>
      <c r="CP73" s="3" t="e">
        <f ca="1">_xll.BDH($C$53,"EBITDA","FY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73" s="3" t="e">
        <f ca="1">_xll.BDH($C$53,"EBITDA_AFTER_CAPEX","FY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73" s="3" t="e">
        <f ca="1">_xll.BDH($C$53,"IS_OPER_INC","FY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73" s="2" t="e">
        <f ca="1">_xll.BDH($C$53,"CASH_RATIO","FY 2018","FY 2018","Currency=INR","Period=FY","BEST_FPERIOD_OVERRIDE=FY","FILING_STATUS=OR","EQY_CONSOLIDATED=Y","Sort=A","Dates=H","DateFormat=P","Fill=—","Direction=H","UseDPDF=Y")</f>
        <v>#NAME?</v>
      </c>
      <c r="CT73" s="2" t="e">
        <f ca="1">_xll.BDH($C$53,"CUR_RATIO","FY 2018","FY 2018","Currency=INR","Period=FY","BEST_FPERIOD_OVERRIDE=FY","FILING_STATUS=OR","EQY_CONSOLIDATED=Y","Sort=A","Dates=H","DateFormat=P","Fill=—","Direction=H","UseDPDF=Y")</f>
        <v>#NAME?</v>
      </c>
      <c r="CU73" s="2" t="e">
        <f ca="1">_xll.BDH($C$53,"QUICK_RATIO","FY 2018","FY 2018","Currency=INR","Period=FY","BEST_FPERIOD_OVERRIDE=FY","FILING_STATUS=OR","EQY_CONSOLIDATED=Y","Sort=A","Dates=H","DateFormat=P","Fill=—","Direction=H","UseDPDF=Y")</f>
        <v>#NAME?</v>
      </c>
      <c r="CV73" s="2" t="e">
        <f ca="1">_xll.BDH($C$53,"ALTMAN_Z_SCORE","FY 2018","FY 2018","Currency=INR","Period=FY","BEST_FPERIOD_OVERRIDE=FY","FILING_STATUS=OR","EQY_CONSOLIDATED=Y","Sort=A","Dates=H","DateFormat=P","Fill=—","Direction=H","UseDPDF=Y")</f>
        <v>#NAME?</v>
      </c>
      <c r="CW73" s="4" t="e">
        <f ca="1">_xll.BDH($C$53,"ACCT_RCV_TURN","FY 2018","FY 2018","Currency=INR","Period=FY","BEST_FPERIOD_OVERRIDE=FY","FILING_STATUS=OR","EQY_CONSOLIDATED=Y","FA_ADJUSTED=GAAP","Sort=A","Dates=H","DateFormat=P","Fill=—","Direction=H","UseDPDF=Y")</f>
        <v>#NAME?</v>
      </c>
      <c r="CX73" s="2" t="e">
        <f ca="1">_xll.BDH($C$53,"ACCT_RCV_DAYS","FY 2018","FY 2018","Currency=INR","Period=FY","BEST_FPERIOD_OVERRIDE=FY","FILING_STATUS=OR","EQY_CONSOLIDATED=Y","FA_ADJUSTED=GAAP","Sort=A","Dates=H","DateFormat=P","Fill=—","Direction=H","UseDPDF=Y")</f>
        <v>#NAME?</v>
      </c>
      <c r="CY73" s="4" t="e">
        <f ca="1">_xll.BDH($C$53,"INVENT_TURN","FY 2018","FY 2018","Currency=INR","Period=FY","BEST_FPERIOD_OVERRIDE=FY","FILING_STATUS=OR","EQY_CONSOLIDATED=Y","FA_ADJUSTED=GAAP","Sort=A","Dates=H","DateFormat=P","Fill=—","Direction=H","UseDPDF=Y")</f>
        <v>#NAME?</v>
      </c>
      <c r="CZ73" s="2" t="e">
        <f ca="1">_xll.BDH($C$53,"INVENT_DAYS","FY 2018","FY 2018","Currency=INR","Period=FY","BEST_FPERIOD_OVERRIDE=FY","FILING_STATUS=OR","EQY_CONSOLIDATED=Y","FA_ADJUSTED=GAAP","Sort=A","Dates=H","DateFormat=P","Fill=—","Direction=H","UseDPDF=Y")</f>
        <v>#NAME?</v>
      </c>
      <c r="DA73" s="4" t="e">
        <f ca="1">_xll.BDH($C$53,"ACCOUNTS_PAYABLE_TURNOVER","FY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73" s="2" t="e">
        <f ca="1">_xll.BDH($C$53,"ACCOUNTS_PAYABLE_TURNOVER_DAYS","FY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73" s="4" t="e">
        <f ca="1">_xll.BDH($C$53,"CASH_CONVERSION_CYCLE","FY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73" s="4" t="e">
        <f ca="1">_xll.BDH($C$53,"INV_TO_CASH_DAYS","FY 2018","FY 2018","Currency=INR","Period=FY","BEST_FPERIOD_OVERRIDE=FY","FILING_STATUS=OR","EQY_CONSOLIDATED=Y","FA_ADJUSTED=GAAP","Sort=A","Dates=H","DateFormat=P","Fill=—","Direction=H","UseDPDF=Y")</f>
        <v>#NAME?</v>
      </c>
      <c r="DE73" s="5" t="e">
        <f ca="1">_xll.BDH($C$53,"BS_INVENTORIES","FY 2018","FY 2018","Currency=INR","Period=FY","BEST_FPERIOD_OVERRIDE=FY","FILING_STATUS=OR","EQY_CONSOLIDATED=Y","SCALING_FORMAT=MLN","Sort=A","Dates=H","DateFormat=P","Fill=—","Direction=H","UseDPDF=Y")</f>
        <v>#NAME?</v>
      </c>
      <c r="DF73" s="3" t="e">
        <f ca="1">_xll.BDH($C$53,"INVTRY_RAW_MATERIALS","FY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73" s="3" t="e">
        <f ca="1">_xll.BDH($C$53,"INVTRY_IN_PROGRESS","FY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73" s="3" t="e">
        <f ca="1">_xll.BDH($C$53,"INVTRY_FINISHED_GOODS","FY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73" s="3" t="e">
        <f ca="1">_xll.BDH($C$53,"BS_OTHER_INV","FY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74" spans="1:113" x14ac:dyDescent="0.3">
      <c r="A74" s="6"/>
      <c r="B74" s="6"/>
      <c r="C74" s="6"/>
      <c r="D74" s="6"/>
      <c r="E74" t="s">
        <v>78</v>
      </c>
      <c r="F74" t="e">
        <f ca="1">_xll.BDH($C$53,"RETURN_COM_EQY","FQ1 2018","FQ1 2018","Currency=INR","Period=FQ","BEST_FPERIOD_OVERRIDE=FQ","FILING_STATUS=OR","EQY_CONSOLIDATED=Y","FA_ADJUSTED=GAAP","Sort=A","Dates=H","DateFormat=P","Fill=—","Direction=H","UseDPDF=Y")</f>
        <v>#NAME?</v>
      </c>
      <c r="G74" t="e">
        <f ca="1">_xll.BDH($C$53,"RETURN_ON_ASSET","FQ1 2018","FQ1 2018","Currency=INR","Period=FQ","BEST_FPERIOD_OVERRIDE=FQ","FILING_STATUS=OR","EQY_CONSOLIDATED=Y","FA_ADJUSTED=GAAP","Sort=A","Dates=H","DateFormat=P","Fill=—","Direction=H","UseDPDF=Y")</f>
        <v>#NAME?</v>
      </c>
      <c r="H74" t="e">
        <f ca="1">_xll.BDH($C$53,"RETURN_ON_CAP","FQ1 2018","FQ1 2018","Currency=INR","Period=FQ","BEST_FPERIOD_OVERRIDE=FQ","FILING_STATUS=OR","EQY_CONSOLIDATED=Y","FA_ADJUSTED=GAAP","Sort=A","Dates=H","DateFormat=P","Fill=—","Direction=H","UseDPDF=Y")</f>
        <v>#NAME?</v>
      </c>
      <c r="I74" t="e">
        <f ca="1">_xll.BDH($C$53,"RETURN_ON_INV_CAPITAL","FQ1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74" t="e">
        <f ca="1">_xll.BDH($C$53,"EBITDA_TO_REVENUE","FQ1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74" t="e">
        <f ca="1">_xll.BDH($C$53,"OPER_MARGIN","FQ1 2018","FQ1 2018","Currency=INR","Period=FQ","BEST_FPERIOD_OVERRIDE=FQ","FILING_STATUS=OR","EQY_CONSOLIDATED=Y","FA_ADJUSTED=GAAP","Sort=A","Dates=H","DateFormat=P","Fill=—","Direction=H","UseDPDF=Y")</f>
        <v>#NAME?</v>
      </c>
      <c r="L74" t="e">
        <f ca="1">_xll.BDH($C$53,"INCREMENTAL_OPERATING_MARGIN","FQ1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74" t="e">
        <f ca="1">_xll.BDH($C$53,"PRETAX_INC_TO_NET_SALES","FQ1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74" t="e">
        <f ca="1">_xll.BDH($C$53,"INC_BEF_XO_ITEMS_TO_NET_SALES","FQ1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74" t="e">
        <f ca="1">_xll.BDH($C$53,"PROF_MARGIN","FQ1 2018","FQ1 2018","Currency=INR","Period=FQ","BEST_FPERIOD_OVERRIDE=FQ","FILING_STATUS=OR","EQY_CONSOLIDATED=Y","FA_ADJUSTED=GAAP","Sort=A","Dates=H","DateFormat=P","Fill=—","Direction=H","UseDPDF=Y")</f>
        <v>#NAME?</v>
      </c>
      <c r="P74" t="e">
        <f ca="1">_xll.BDH($C$53,"NET_INCOME_TO_COMMON_MARGIN","FQ1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74" t="e">
        <f ca="1">_xll.BDH($C$53,"EFF_TAX_RATE","FQ1 2018","FQ1 2018","Currency=INR","Period=FQ","BEST_FPERIOD_OVERRIDE=FQ","FILING_STATUS=OR","EQY_CONSOLIDATED=Y","FA_ADJUSTED=GAAP","Sort=A","Dates=H","DateFormat=P","Fill=—","Direction=H","UseDPDF=Y")</f>
        <v>#NAME?</v>
      </c>
      <c r="R74" t="e">
        <f ca="1">_xll.BDH($C$53,"DVD_PAYOUT_RATIO","FQ1 2018","FQ1 2018","Currency=INR","Period=FQ","BEST_FPERIOD_OVERRIDE=FQ","FILING_STATUS=OR","EQY_CONSOLIDATED=Y","FA_ADJUSTED=GAAP","Sort=A","Dates=H","DateFormat=P","Fill=—","Direction=H","UseDPDF=Y")</f>
        <v>#NAME?</v>
      </c>
      <c r="S74" t="e">
        <f ca="1">_xll.BDH($C$53,"SUSTAIN_GROWTH_RT","FQ1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74" s="2" t="e">
        <f ca="1">_xll.BDH($C$53,"SALES_GROWTH","FQ1 2018","FQ1 2018","Currency=INR","Period=FQ","BEST_FPERIOD_OVERRIDE=FQ","FILING_STATUS=OR","EQY_CONSOLIDATED=Y","FA_ADJUSTED=GAAP","Sort=A","Dates=H","DateFormat=P","Fill=—","Direction=H","UseDPDF=Y")</f>
        <v>#NAME?</v>
      </c>
      <c r="U74" s="2" t="e">
        <f ca="1">_xll.BDH($C$53,"EBITDA_GROWTH","FQ1 2018","FQ1 2018","Currency=INR","Period=FQ","BEST_FPERIOD_OVERRIDE=FQ","FILING_STATUS=OR","EQY_CONSOLIDATED=Y","FA_ADJUSTED=GAAP","Sort=A","Dates=H","DateFormat=P","Fill=—","Direction=H","UseDPDF=Y")</f>
        <v>#NAME?</v>
      </c>
      <c r="V74" s="2" t="e">
        <f ca="1">_xll.BDH($C$53,"OPER_INC_GROWTH","FQ1 2018","FQ1 2018","Currency=INR","Period=FQ","BEST_FPERIOD_OVERRIDE=FQ","FILING_STATUS=OR","EQY_CONSOLIDATED=Y","FA_ADJUSTED=GAAP","Sort=A","Dates=H","DateFormat=P","Fill=—","Direction=H","UseDPDF=Y")</f>
        <v>#NAME?</v>
      </c>
      <c r="W74" s="2" t="e">
        <f ca="1">_xll.BDH($C$53,"EARN_FOR_COM_GROWTH","FQ1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74" s="2" t="e">
        <f ca="1">_xll.BDH($C$53,"DILUTED_EPS_AFT_XO_ITEMS_GROWTH","FQ1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74" s="2" t="e">
        <f ca="1">_xll.BDH($C$53,"DIVIDEND_PER_SHARE_1_YEAR_GROWTH","FQ1 2018","FQ1 2018","Currency=INR","Period=FQ","BEST_FPERIOD_OVERRIDE=FQ","FILING_STATUS=OR","EQY_CONSOLIDATED=Y","Sort=A","Dates=H","DateFormat=P","Fill=—","Direction=H","UseDPDF=Y")</f>
        <v>#NAME?</v>
      </c>
      <c r="Z74" s="2" t="e">
        <f ca="1">_xll.BDH($C$53,"ACCOUNTS_RECEIVABLE_GROWTH","FQ1 2018","FQ1 2018","Currency=INR","Period=FQ","BEST_FPERIOD_OVERRIDE=FQ","FILING_STATUS=OR","EQY_CONSOLIDATED=Y","Sort=A","Dates=H","DateFormat=P","Fill=—","Direction=H","UseDPDF=Y")</f>
        <v>#NAME?</v>
      </c>
      <c r="AA74" s="2" t="e">
        <f ca="1">_xll.BDH($C$53,"INVENTORY_GROWTH","FQ1 2018","FQ1 2018","Currency=INR","Period=FQ","BEST_FPERIOD_OVERRIDE=FQ","FILING_STATUS=OR","EQY_CONSOLIDATED=Y","Sort=A","Dates=H","DateFormat=P","Fill=—","Direction=H","UseDPDF=Y")</f>
        <v>#NAME?</v>
      </c>
      <c r="AB74" s="2" t="e">
        <f ca="1">_xll.BDH($C$53,"NET_FIXED_ASSETS_1_YEAR_GROWTH","FQ1 2018","FQ1 2018","Currency=INR","Period=FQ","BEST_FPERIOD_OVERRIDE=FQ","FILING_STATUS=OR","EQY_CONSOLIDATED=Y","Sort=A","Dates=H","DateFormat=P","Fill=—","Direction=H","UseDPDF=Y")</f>
        <v>#NAME?</v>
      </c>
      <c r="AC74" s="2" t="e">
        <f ca="1">_xll.BDH($C$53,"ASSET_GROWTH","FQ1 2018","FQ1 2018","Currency=INR","Period=FQ","BEST_FPERIOD_OVERRIDE=FQ","FILING_STATUS=OR","EQY_CONSOLIDATED=Y","Sort=A","Dates=H","DateFormat=P","Fill=—","Direction=H","UseDPDF=Y")</f>
        <v>#NAME?</v>
      </c>
      <c r="AD74" s="2" t="e">
        <f ca="1">_xll.BDH($C$53,"MODIFIED_WORK_CAP_GROWTH","FQ1 2018","FQ1 2018","Currency=INR","Period=FQ","BEST_FPERIOD_OVERRIDE=FQ","FILING_STATUS=OR","EQY_CONSOLIDATED=Y","Sort=A","Dates=H","DateFormat=P","Fill=—","Direction=H","UseDPDF=Y")</f>
        <v>#NAME?</v>
      </c>
      <c r="AE74" s="2" t="e">
        <f ca="1">_xll.BDH($C$53,"WORK_CAP_GROWTH","FQ1 2018","FQ1 2018","Currency=INR","Period=FQ","BEST_FPERIOD_OVERRIDE=FQ","FILING_STATUS=OR","EQY_CONSOLIDATED=Y","Sort=A","Dates=H","DateFormat=P","Fill=—","Direction=H","UseDPDF=Y")</f>
        <v>#NAME?</v>
      </c>
      <c r="AF74" s="2" t="e">
        <f ca="1">_xll.BDH($C$53,"ACCOUNTS_PAYABLE_GROWTH_1YR","FQ1 2018","FQ1 2018","Currency=INR","Period=FQ","BEST_FPERIOD_OVERRIDE=FQ","FILING_STATUS=OR","EQY_CONSOLIDATED=Y","Sort=A","Dates=H","DateFormat=P","Fill=—","Direction=H","UseDPDF=Y")</f>
        <v>#NAME?</v>
      </c>
      <c r="AG74" s="2" t="e">
        <f ca="1">_xll.BDH($C$53,"SHORT_TERM_DEBT_1_YEAR_GROWTH","FQ1 2018","FQ1 2018","Currency=INR","Period=FQ","BEST_FPERIOD_OVERRIDE=FQ","FILING_STATUS=OR","EQY_CONSOLIDATED=Y","Sort=A","Dates=H","DateFormat=P","Fill=—","Direction=H","UseDPDF=Y")</f>
        <v>#NAME?</v>
      </c>
      <c r="AH74" s="2" t="e">
        <f ca="1">_xll.BDH($C$53,"TOTAL_DEBT_1_YEAR_GROWTH","FQ1 2018","FQ1 2018","Currency=INR","Period=FQ","BEST_FPERIOD_OVERRIDE=FQ","FILING_STATUS=OR","EQY_CONSOLIDATED=Y","Sort=A","Dates=H","DateFormat=P","Fill=—","Direction=H","UseDPDF=Y")</f>
        <v>#NAME?</v>
      </c>
      <c r="AI74" s="2" t="e">
        <f ca="1">_xll.BDH($C$53,"TOTAL_EQUITY_1_YEAR_GROWTH","FQ1 2018","FQ1 2018","Currency=INR","Period=FQ","BEST_FPERIOD_OVERRIDE=FQ","FILING_STATUS=OR","EQY_CONSOLIDATED=Y","Sort=A","Dates=H","DateFormat=P","Fill=—","Direction=H","UseDPDF=Y")</f>
        <v>#NAME?</v>
      </c>
      <c r="AJ74" s="2" t="e">
        <f ca="1">_xll.BDH($C$53,"GROWTH_IN_CAP","FQ1 2018","FQ1 2018","Currency=INR","Period=FQ","BEST_FPERIOD_OVERRIDE=FQ","FILING_STATUS=OR","EQY_CONSOLIDATED=Y","Sort=A","Dates=H","DateFormat=P","Fill=—","Direction=H","UseDPDF=Y")</f>
        <v>#NAME?</v>
      </c>
      <c r="AK74" s="2" t="e">
        <f ca="1">_xll.BDH($C$53,"BVPS_GROWTH","FQ1 2018","FQ1 2018","Currency=INR","Period=FQ","BEST_FPERIOD_OVERRIDE=FQ","FILING_STATUS=OR","EQY_CONSOLIDATED=Y","Sort=A","Dates=H","DateFormat=P","Fill=—","Direction=H","UseDPDF=Y")</f>
        <v>#NAME?</v>
      </c>
      <c r="AL74" s="2" t="e">
        <f ca="1">_xll.BDH($C$53,"CASH_FLOW_GROWTH","FQ1 2018","FQ1 2018","Currency=INR","Period=FQ","BEST_FPERIOD_OVERRIDE=FQ","FILING_STATUS=OR","EQY_CONSOLIDATED=Y","Sort=A","Dates=H","DateFormat=P","Fill=—","Direction=H","UseDPDF=Y")</f>
        <v>#NAME?</v>
      </c>
      <c r="AM74" s="2" t="e">
        <f ca="1">_xll.BDH($C$53,"GEO_GROW_NET_SALES","FQ1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74" s="2" t="e">
        <f ca="1">_xll.BDH($C$53,"GEO_GROW_EBITDA","FQ1 2018","FQ1 2018","Currency=INR","Period=FQ","BEST_FPERIOD_OVERRIDE=FQ","FILING_STATUS=OR","EQY_CONSOLIDATED=Y","FA_ADJUSTED=GAAP","Sort=A","Dates=H","DateFormat=P","Fill=—","Direction=H","UseDPDF=Y")</f>
        <v>#NAME?</v>
      </c>
      <c r="AO74" s="2" t="e">
        <f ca="1">_xll.BDH($C$53,"GEO_GROW_OPER_INC","FQ1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74" s="2" t="e">
        <f ca="1">_xll.BDH($C$53,"NET_INCOME_TO_COMMON_5_YR_GROWTH","FQ1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74" s="2" t="e">
        <f ca="1">_xll.BDH($C$53,"5Y_GEO_GROWTH_DILUTED_EPS","FQ1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74" s="2" t="e">
        <f ca="1">_xll.BDH($C$53,"GEO_GROW_DVD_PER_SH","FQ1 2018","FQ1 2018","Currency=INR","Period=FQ","BEST_FPERIOD_OVERRIDE=FQ","FILING_STATUS=OR","EQY_CONSOLIDATED=Y","Sort=A","Dates=H","DateFormat=P","Fill=—","Direction=H","UseDPDF=Y")</f>
        <v>#NAME?</v>
      </c>
      <c r="AS74" s="2" t="e">
        <f ca="1">_xll.BDH($C$53,"ACCOUNTS_RECEIVABLE_5_YR_GROWTH","FQ1 2018","FQ1 2018","Currency=INR","Period=FQ","BEST_FPERIOD_OVERRIDE=FQ","FILING_STATUS=OR","EQY_CONSOLIDATED=Y","Sort=A","Dates=H","DateFormat=P","Fill=—","Direction=H","UseDPDF=Y")</f>
        <v>#NAME?</v>
      </c>
      <c r="AT74" s="2" t="e">
        <f ca="1">_xll.BDH($C$53,"INVENTORY_5_YEAR_GROWTH","FQ1 2018","FQ1 2018","Currency=INR","Period=FQ","BEST_FPERIOD_OVERRIDE=FQ","FILING_STATUS=OR","EQY_CONSOLIDATED=Y","Sort=A","Dates=H","DateFormat=P","Fill=—","Direction=H","UseDPDF=Y")</f>
        <v>#NAME?</v>
      </c>
      <c r="AU74" s="2" t="e">
        <f ca="1">_xll.BDH($C$53,"NET_FIXED_ASSETS_5_YEAR_GROWTH","FQ1 2018","FQ1 2018","Currency=INR","Period=FQ","BEST_FPERIOD_OVERRIDE=FQ","FILING_STATUS=OR","EQY_CONSOLIDATED=Y","Sort=A","Dates=H","DateFormat=P","Fill=—","Direction=H","UseDPDF=Y")</f>
        <v>#NAME?</v>
      </c>
      <c r="AV74" s="2" t="e">
        <f ca="1">_xll.BDH($C$53,"GEO_GROW_TOT_ASSET","FQ1 2018","FQ1 2018","Currency=INR","Period=FQ","BEST_FPERIOD_OVERRIDE=FQ","FILING_STATUS=OR","EQY_CONSOLIDATED=Y","Sort=A","Dates=H","DateFormat=P","Fill=—","Direction=H","UseDPDF=Y")</f>
        <v>#NAME?</v>
      </c>
      <c r="AW74" s="2" t="e">
        <f ca="1">_xll.BDH($C$53,"MODIFIED_WORKING_CPTL_5YR_GRWTH","FQ1 2018","FQ1 2018","Currency=INR","Period=FQ","BEST_FPERIOD_OVERRIDE=FQ","FILING_STATUS=OR","EQY_CONSOLIDATED=Y","Sort=A","Dates=H","DateFormat=P","Fill=—","Direction=H","UseDPDF=Y")</f>
        <v>#NAME?</v>
      </c>
      <c r="AX74" s="2" t="e">
        <f ca="1">_xll.BDH($C$53,"WORKING_CAPITAL_5_YEAR_GROWTH","FQ1 2018","FQ1 2018","Currency=INR","Period=FQ","BEST_FPERIOD_OVERRIDE=FQ","FILING_STATUS=OR","EQY_CONSOLIDATED=Y","Sort=A","Dates=H","DateFormat=P","Fill=—","Direction=H","UseDPDF=Y")</f>
        <v>#NAME?</v>
      </c>
      <c r="AY74" s="2" t="e">
        <f ca="1">_xll.BDH($C$53,"ACCOUNTS_PAYABLE_5_YEAR_GROWTH","FQ1 2018","FQ1 2018","Currency=INR","Period=FQ","BEST_FPERIOD_OVERRIDE=FQ","FILING_STATUS=OR","EQY_CONSOLIDATED=Y","Sort=A","Dates=H","DateFormat=P","Fill=—","Direction=H","UseDPDF=Y")</f>
        <v>#NAME?</v>
      </c>
      <c r="AZ74" s="2" t="e">
        <f ca="1">_xll.BDH($C$53,"SHORT_TERM_DEBT_5_YEAR_GROWTH","FQ1 2018","FQ1 2018","Currency=INR","Period=FQ","BEST_FPERIOD_OVERRIDE=FQ","FILING_STATUS=OR","EQY_CONSOLIDATED=Y","Sort=A","Dates=H","DateFormat=P","Fill=—","Direction=H","UseDPDF=Y")</f>
        <v>#NAME?</v>
      </c>
      <c r="BA74" s="2" t="e">
        <f ca="1">_xll.BDH($C$53,"TOTAL_DEBT_5_YEAR_GROWTH","FQ1 2018","FQ1 2018","Currency=INR","Period=FQ","BEST_FPERIOD_OVERRIDE=FQ","FILING_STATUS=OR","EQY_CONSOLIDATED=Y","Sort=A","Dates=H","DateFormat=P","Fill=—","Direction=H","UseDPDF=Y")</f>
        <v>#NAME?</v>
      </c>
      <c r="BB74" s="2" t="e">
        <f ca="1">_xll.BDH($C$53,"GEO_GROW_TOT_SHRHLDR_EQY","FQ1 2018","FQ1 2018","Currency=INR","Period=FQ","BEST_FPERIOD_OVERRIDE=FQ","FILING_STATUS=OR","EQY_CONSOLIDATED=Y","Sort=A","Dates=H","DateFormat=P","Fill=—","Direction=H","UseDPDF=Y")</f>
        <v>#NAME?</v>
      </c>
      <c r="BC74" s="2" t="e">
        <f ca="1">_xll.BDH($C$53,"TOTAL_CAPITAL_5_YEAR_GROWTH","FQ1 2018","FQ1 2018","Currency=INR","Period=FQ","BEST_FPERIOD_OVERRIDE=FQ","FILING_STATUS=OR","EQY_CONSOLIDATED=Y","Sort=A","Dates=H","DateFormat=P","Fill=—","Direction=H","UseDPDF=Y")</f>
        <v>#NAME?</v>
      </c>
      <c r="BD74" s="2" t="e">
        <f ca="1">_xll.BDH($C$53,"GEO_GROW_BOOK_VAL","FQ1 2018","FQ1 2018","Currency=INR","Period=FQ","BEST_FPERIOD_OVERRIDE=FQ","FILING_STATUS=OR","EQY_CONSOLIDATED=Y","Sort=A","Dates=H","DateFormat=P","Fill=—","Direction=H","UseDPDF=Y")</f>
        <v>#NAME?</v>
      </c>
      <c r="BE74" s="2" t="e">
        <f ca="1">_xll.BDH($C$53,"GEO_GROW_CASH_OPER_ACT","FQ1 2018","FQ1 2018","Currency=INR","Period=FQ","BEST_FPERIOD_OVERRIDE=FQ","FILING_STATUS=OR","EQY_CONSOLIDATED=Y","Sort=A","Dates=H","DateFormat=P","Fill=—","Direction=H","UseDPDF=Y")</f>
        <v>#NAME?</v>
      </c>
      <c r="BF74" s="2" t="e">
        <f ca="1">_xll.BDH($C$53,"REVENUE_SEQUENTIAL_GROWTH","FQ1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74" s="2" t="e">
        <f ca="1">_xll.BDH($C$53,"EBITDA_SEQUENTIAL_GROWTH","FQ1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74" s="2" t="e">
        <f ca="1">_xll.BDH($C$53,"OPERATING_INCOME_SEQ_GROWTH","FQ1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74" s="2" t="e">
        <f ca="1">_xll.BDH($C$53,"NET_INCOME_TO_COMMON_SEQ_GROWTH","FQ1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74" s="2" t="e">
        <f ca="1">_xll.BDH($C$53,"EPS_DILUTED_SEQUENTIAL_GROWTH","FQ1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74" s="2" t="e">
        <f ca="1">_xll.BDH($C$53,"DPS_SEQUENTIAL_GROWTH","FQ1 2018","FQ1 2018","Currency=INR","Period=FQ","BEST_FPERIOD_OVERRIDE=FQ","FILING_STATUS=OR","EQY_CONSOLIDATED=Y","Sort=A","Dates=H","DateFormat=P","Fill=—","Direction=H","UseDPDF=Y")</f>
        <v>#NAME?</v>
      </c>
      <c r="BL74" s="2" t="e">
        <f ca="1">_xll.BDH($C$53,"ACCOUNTS_RECEIVABLE_SEQ_GROWTH","FQ1 2018","FQ1 2018","Currency=INR","Period=FQ","BEST_FPERIOD_OVERRIDE=FQ","FILING_STATUS=OR","EQY_CONSOLIDATED=Y","Sort=A","Dates=H","DateFormat=P","Fill=—","Direction=H","UseDPDF=Y")</f>
        <v>#NAME?</v>
      </c>
      <c r="BM74" s="2" t="e">
        <f ca="1">_xll.BDH($C$53,"INVENTORY_SEQUENTIAL_GROWTH","FQ1 2018","FQ1 2018","Currency=INR","Period=FQ","BEST_FPERIOD_OVERRIDE=FQ","FILING_STATUS=OR","EQY_CONSOLIDATED=Y","Sort=A","Dates=H","DateFormat=P","Fill=—","Direction=H","UseDPDF=Y")</f>
        <v>#NAME?</v>
      </c>
      <c r="BN74" s="2" t="e">
        <f ca="1">_xll.BDH($C$53,"FIXED_ASSETS_SEQUENTIAL_GROWTH","FQ1 2018","FQ1 2018","Currency=INR","Period=FQ","BEST_FPERIOD_OVERRIDE=FQ","FILING_STATUS=OR","EQY_CONSOLIDATED=Y","Sort=A","Dates=H","DateFormat=P","Fill=—","Direction=H","UseDPDF=Y")</f>
        <v>#NAME?</v>
      </c>
      <c r="BO74" s="2" t="e">
        <f ca="1">_xll.BDH($C$53,"TOTAL_ASSETS_SEQUENTIAL_GROWTH","FQ1 2018","FQ1 2018","Currency=INR","Period=FQ","BEST_FPERIOD_OVERRIDE=FQ","FILING_STATUS=OR","EQY_CONSOLIDATED=Y","Sort=A","Dates=H","DateFormat=P","Fill=—","Direction=H","UseDPDF=Y")</f>
        <v>#NAME?</v>
      </c>
      <c r="BP74" s="2" t="e">
        <f ca="1">_xll.BDH($C$53,"MODIFIED_WORKING_CPTL_SEQ_GRWTH","FQ1 2018","FQ1 2018","Currency=INR","Period=FQ","BEST_FPERIOD_OVERRIDE=FQ","FILING_STATUS=OR","EQY_CONSOLIDATED=Y","Sort=A","Dates=H","DateFormat=P","Fill=—","Direction=H","UseDPDF=Y")</f>
        <v>#NAME?</v>
      </c>
      <c r="BQ74" s="2" t="e">
        <f ca="1">_xll.BDH($C$53,"WORKING_CAPITAL_SEQ_GROWTH","FQ1 2018","FQ1 2018","Currency=INR","Period=FQ","BEST_FPERIOD_OVERRIDE=FQ","FILING_STATUS=OR","EQY_CONSOLIDATED=Y","Sort=A","Dates=H","DateFormat=P","Fill=—","Direction=H","UseDPDF=Y")</f>
        <v>#NAME?</v>
      </c>
      <c r="BR74" s="2" t="e">
        <f ca="1">_xll.BDH($C$53,"ACCOUNTS_PAYABLE_SEQ_GROWTH","FQ1 2018","FQ1 2018","Currency=INR","Period=FQ","BEST_FPERIOD_OVERRIDE=FQ","FILING_STATUS=OR","EQY_CONSOLIDATED=Y","Sort=A","Dates=H","DateFormat=P","Fill=—","Direction=H","UseDPDF=Y")</f>
        <v>#NAME?</v>
      </c>
      <c r="BS74" s="2" t="e">
        <f ca="1">_xll.BDH($C$53,"ST_DEBT_SEQUENTIAL_GROWTH","FQ1 2018","FQ1 2018","Currency=INR","Period=FQ","BEST_FPERIOD_OVERRIDE=FQ","FILING_STATUS=OR","EQY_CONSOLIDATED=Y","Sort=A","Dates=H","DateFormat=P","Fill=—","Direction=H","UseDPDF=Y")</f>
        <v>#NAME?</v>
      </c>
      <c r="BT74" s="2" t="e">
        <f ca="1">_xll.BDH($C$53,"TOTAL_DEBT_SEQUENTIAL_GROWTH","FQ1 2018","FQ1 2018","Currency=INR","Period=FQ","BEST_FPERIOD_OVERRIDE=FQ","FILING_STATUS=OR","EQY_CONSOLIDATED=Y","Sort=A","Dates=H","DateFormat=P","Fill=—","Direction=H","UseDPDF=Y")</f>
        <v>#NAME?</v>
      </c>
      <c r="BU74" s="2" t="e">
        <f ca="1">_xll.BDH($C$53,"TOTAL_EQUITY_SEQUENTIAL_GROWTH","FQ1 2018","FQ1 2018","Currency=INR","Period=FQ","BEST_FPERIOD_OVERRIDE=FQ","FILING_STATUS=OR","EQY_CONSOLIDATED=Y","Sort=A","Dates=H","DateFormat=P","Fill=—","Direction=H","UseDPDF=Y")</f>
        <v>#NAME?</v>
      </c>
      <c r="BV74" s="2" t="e">
        <f ca="1">_xll.BDH($C$53,"TOTAL_CAPITAL_SEQUENTIAL_GROWTH","FQ1 2018","FQ1 2018","Currency=INR","Period=FQ","BEST_FPERIOD_OVERRIDE=FQ","FILING_STATUS=OR","EQY_CONSOLIDATED=Y","Sort=A","Dates=H","DateFormat=P","Fill=—","Direction=H","UseDPDF=Y")</f>
        <v>#NAME?</v>
      </c>
      <c r="BW74" s="2" t="e">
        <f ca="1">_xll.BDH($C$53,"BPS_SEQUENTIAL_GROWTH","FQ1 2018","FQ1 2018","Currency=INR","Period=FQ","BEST_FPERIOD_OVERRIDE=FQ","FILING_STATUS=OR","EQY_CONSOLIDATED=Y","Sort=A","Dates=H","DateFormat=P","Fill=—","Direction=H","UseDPDF=Y")</f>
        <v>#NAME?</v>
      </c>
      <c r="BX74" s="2" t="e">
        <f ca="1">_xll.BDH($C$53,"CFO_SEQUENTIAL_GROWTH","FQ1 2018","FQ1 2018","Currency=INR","Period=FQ","BEST_FPERIOD_OVERRIDE=FQ","FILING_STATUS=OR","EQY_CONSOLIDATED=Y","Sort=A","Dates=H","DateFormat=P","Fill=—","Direction=H","UseDPDF=Y")</f>
        <v>#NAME?</v>
      </c>
      <c r="BY74" s="3" t="e">
        <f ca="1">_xll.BDH($C$53,"SHORT_AND_LONG_TERM_DEBT","FQ1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74" s="3" t="e">
        <f ca="1">_xll.BDH($C$53,"BS_ST_BORROW","FQ1 2018","FQ1 2018","Currency=INR","Period=FQ","BEST_FPERIOD_OVERRIDE=FQ","FILING_STATUS=OR","EQY_CONSOLIDATED=Y","SCALING_FORMAT=MLN","Sort=A","Dates=H","DateFormat=P","Fill=—","Direction=H","UseDPDF=Y")</f>
        <v>#NAME?</v>
      </c>
      <c r="CA74" s="3" t="e">
        <f ca="1">_xll.BDH($C$53,"BS_LT_BORROW","FQ1 2018","FQ1 2018","Currency=INR","Period=FQ","BEST_FPERIOD_OVERRIDE=FQ","FILING_STATUS=OR","EQY_CONSOLIDATED=Y","SCALING_FORMAT=MLN","Sort=A","Dates=H","DateFormat=P","Fill=—","Direction=H","UseDPDF=Y")</f>
        <v>#NAME?</v>
      </c>
      <c r="CB74" s="2" t="e">
        <f ca="1">_xll.BDH($C$53,"TOT_DEBT_TO_EBITDA","FQ1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74" s="2" t="e">
        <f ca="1">_xll.BDH($C$53,"NET_DEBT_TO_EBITDA","FQ1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74" s="2" t="e">
        <f ca="1">_xll.BDH($C$53,"TOTAL_DEBT_TO_EBIT","FQ1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74" s="2" t="e">
        <f ca="1">_xll.BDH($C$53,"NET_DEBT_TO_EBIT","FQ1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74" s="2" t="e">
        <f ca="1">_xll.BDH($C$53,"EBITDA_TO_INTEREST_EXPN","FQ1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74" s="2" t="e">
        <f ca="1">_xll.BDH($C$53,"COM_EQY_TO_TOT_ASSET","FQ1 2018","FQ1 2018","Currency=INR","Period=FQ","BEST_FPERIOD_OVERRIDE=FQ","FILING_STATUS=OR","EQY_CONSOLIDATED=Y","Sort=A","Dates=H","DateFormat=P","Fill=—","Direction=H","UseDPDF=Y")</f>
        <v>#NAME?</v>
      </c>
      <c r="CH74" s="2" t="e">
        <f ca="1">_xll.BDH($C$53,"LT_DEBT_TO_TOT_EQY","FQ1 2018","FQ1 2018","Currency=INR","Period=FQ","BEST_FPERIOD_OVERRIDE=FQ","FILING_STATUS=OR","EQY_CONSOLIDATED=Y","Sort=A","Dates=H","DateFormat=P","Fill=—","Direction=H","UseDPDF=Y")</f>
        <v>#NAME?</v>
      </c>
      <c r="CI74" s="2" t="e">
        <f ca="1">_xll.BDH($C$53,"LT_DEBT_TO_TOT_CAP","FQ1 2018","FQ1 2018","Currency=INR","Period=FQ","BEST_FPERIOD_OVERRIDE=FQ","FILING_STATUS=OR","EQY_CONSOLIDATED=Y","Sort=A","Dates=H","DateFormat=P","Fill=—","Direction=H","UseDPDF=Y")</f>
        <v>#NAME?</v>
      </c>
      <c r="CJ74" s="2" t="e">
        <f ca="1">_xll.BDH($C$53,"LT_DEBT_TO_TOT_ASSET","FQ1 2018","FQ1 2018","Currency=INR","Period=FQ","BEST_FPERIOD_OVERRIDE=FQ","FILING_STATUS=OR","EQY_CONSOLIDATED=Y","Sort=A","Dates=H","DateFormat=P","Fill=—","Direction=H","UseDPDF=Y")</f>
        <v>#NAME?</v>
      </c>
      <c r="CK74" s="2" t="e">
        <f ca="1">_xll.BDH($C$53,"TOT_DEBT_TO_TOT_EQY","FQ1 2018","FQ1 2018","Currency=INR","Period=FQ","BEST_FPERIOD_OVERRIDE=FQ","FILING_STATUS=OR","EQY_CONSOLIDATED=Y","Sort=A","Dates=H","DateFormat=P","Fill=—","Direction=H","UseDPDF=Y")</f>
        <v>#NAME?</v>
      </c>
      <c r="CL74" s="2" t="e">
        <f ca="1">_xll.BDH($C$53,"TOT_DEBT_TO_TOT_CAP","FQ1 2018","FQ1 2018","Currency=INR","Period=FQ","BEST_FPERIOD_OVERRIDE=FQ","FILING_STATUS=OR","EQY_CONSOLIDATED=Y","Sort=A","Dates=H","DateFormat=P","Fill=—","Direction=H","UseDPDF=Y")</f>
        <v>#NAME?</v>
      </c>
      <c r="CM74" s="2" t="e">
        <f ca="1">_xll.BDH($C$53,"TOT_DEBT_TO_TOT_ASSET","FQ1 2018","FQ1 2018","Currency=INR","Period=FQ","BEST_FPERIOD_OVERRIDE=FQ","FILING_STATUS=OR","EQY_CONSOLIDATED=Y","Sort=A","Dates=H","DateFormat=P","Fill=—","Direction=H","UseDPDF=Y")</f>
        <v>#NAME?</v>
      </c>
      <c r="CN74" s="2" t="e">
        <f ca="1">_xll.BDH($C$53,"NET_DEBT_TO_SHRHLDR_EQTY","FQ1 2018","FQ1 2018","Currency=INR","Period=FQ","BEST_FPERIOD_OVERRIDE=FQ","FILING_STATUS=OR","EQY_CONSOLIDATED=Y","Sort=A","Dates=H","DateFormat=P","Fill=—","Direction=H","UseDPDF=Y")</f>
        <v>#NAME?</v>
      </c>
      <c r="CO74" s="2" t="e">
        <f ca="1">_xll.BDH($C$53,"NET_DEBT_%_CAPITAL","FQ1 2018","FQ1 2018","Currency=INR","Period=FQ","BEST_FPERIOD_OVERRIDE=FQ","FILING_STATUS=OR","EQY_CONSOLIDATED=Y","Sort=A","Dates=H","DateFormat=P","Fill=—","Direction=H","UseDPDF=Y")</f>
        <v>#NAME?</v>
      </c>
      <c r="CP74" s="3" t="e">
        <f ca="1">_xll.BDH($C$53,"EBITDA","FQ1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74" s="3" t="e">
        <f ca="1">_xll.BDH($C$53,"EBITDA_AFTER_CAPEX","FQ1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74" s="3" t="e">
        <f ca="1">_xll.BDH($C$53,"IS_OPER_INC","FQ1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74" s="2" t="e">
        <f ca="1">_xll.BDH($C$53,"CASH_RATIO","FQ1 2018","FQ1 2018","Currency=INR","Period=FQ","BEST_FPERIOD_OVERRIDE=FQ","FILING_STATUS=OR","EQY_CONSOLIDATED=Y","Sort=A","Dates=H","DateFormat=P","Fill=—","Direction=H","UseDPDF=Y")</f>
        <v>#NAME?</v>
      </c>
      <c r="CT74" s="2" t="e">
        <f ca="1">_xll.BDH($C$53,"CUR_RATIO","FQ1 2018","FQ1 2018","Currency=INR","Period=FQ","BEST_FPERIOD_OVERRIDE=FQ","FILING_STATUS=OR","EQY_CONSOLIDATED=Y","Sort=A","Dates=H","DateFormat=P","Fill=—","Direction=H","UseDPDF=Y")</f>
        <v>#NAME?</v>
      </c>
      <c r="CU74" s="2" t="e">
        <f ca="1">_xll.BDH($C$53,"QUICK_RATIO","FQ1 2018","FQ1 2018","Currency=INR","Period=FQ","BEST_FPERIOD_OVERRIDE=FQ","FILING_STATUS=OR","EQY_CONSOLIDATED=Y","Sort=A","Dates=H","DateFormat=P","Fill=—","Direction=H","UseDPDF=Y")</f>
        <v>#NAME?</v>
      </c>
      <c r="CV74" s="2" t="e">
        <f ca="1">_xll.BDH($C$53,"ALTMAN_Z_SCORE","FQ1 2018","FQ1 2018","Currency=INR","Period=FQ","BEST_FPERIOD_OVERRIDE=FQ","FILING_STATUS=OR","EQY_CONSOLIDATED=Y","Sort=A","Dates=H","DateFormat=P","Fill=—","Direction=H","UseDPDF=Y")</f>
        <v>#NAME?</v>
      </c>
      <c r="CW74" s="4" t="e">
        <f ca="1">_xll.BDH($C$53,"ACCT_RCV_TURN","FQ1 2018","FQ1 2018","Currency=INR","Period=FQ","BEST_FPERIOD_OVERRIDE=FQ","FILING_STATUS=OR","EQY_CONSOLIDATED=Y","FA_ADJUSTED=GAAP","Sort=A","Dates=H","DateFormat=P","Fill=—","Direction=H","UseDPDF=Y")</f>
        <v>#NAME?</v>
      </c>
      <c r="CX74" s="2" t="e">
        <f ca="1">_xll.BDH($C$53,"ACCT_RCV_DAYS","FQ1 2018","FQ1 2018","Currency=INR","Period=FQ","BEST_FPERIOD_OVERRIDE=FQ","FILING_STATUS=OR","EQY_CONSOLIDATED=Y","FA_ADJUSTED=GAAP","Sort=A","Dates=H","DateFormat=P","Fill=—","Direction=H","UseDPDF=Y")</f>
        <v>#NAME?</v>
      </c>
      <c r="CY74" s="4" t="e">
        <f ca="1">_xll.BDH($C$53,"INVENT_TURN","FQ1 2018","FQ1 2018","Currency=INR","Period=FQ","BEST_FPERIOD_OVERRIDE=FQ","FILING_STATUS=OR","EQY_CONSOLIDATED=Y","FA_ADJUSTED=GAAP","Sort=A","Dates=H","DateFormat=P","Fill=—","Direction=H","UseDPDF=Y")</f>
        <v>#NAME?</v>
      </c>
      <c r="CZ74" s="2" t="e">
        <f ca="1">_xll.BDH($C$53,"INVENT_DAYS","FQ1 2018","FQ1 2018","Currency=INR","Period=FQ","BEST_FPERIOD_OVERRIDE=FQ","FILING_STATUS=OR","EQY_CONSOLIDATED=Y","FA_ADJUSTED=GAAP","Sort=A","Dates=H","DateFormat=P","Fill=—","Direction=H","UseDPDF=Y")</f>
        <v>#NAME?</v>
      </c>
      <c r="DA74" s="4" t="e">
        <f ca="1">_xll.BDH($C$53,"ACCOUNTS_PAYABLE_TURNOVER","FQ1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74" s="2" t="e">
        <f ca="1">_xll.BDH($C$53,"ACCOUNTS_PAYABLE_TURNOVER_DAYS","FQ1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74" s="4" t="e">
        <f ca="1">_xll.BDH($C$53,"CASH_CONVERSION_CYCLE","FQ1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74" s="4" t="e">
        <f ca="1">_xll.BDH($C$53,"INV_TO_CASH_DAYS","FQ1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74" s="5" t="e">
        <f ca="1">_xll.BDH($C$53,"BS_INVENTORIES","FQ1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74" s="3" t="e">
        <f ca="1">_xll.BDH($C$53,"INVTRY_RAW_MATERIALS","FQ1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74" s="3" t="e">
        <f ca="1">_xll.BDH($C$53,"INVTRY_IN_PROGRESS","FQ1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74" s="3" t="e">
        <f ca="1">_xll.BDH($C$53,"INVTRY_FINISHED_GOODS","FQ1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74" s="3" t="e">
        <f ca="1">_xll.BDH($C$53,"BS_OTHER_INV","FQ1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75" spans="1:113" x14ac:dyDescent="0.3">
      <c r="A75" s="6"/>
      <c r="B75" s="6"/>
      <c r="C75" s="6"/>
      <c r="D75" s="6"/>
      <c r="E75" t="s">
        <v>79</v>
      </c>
      <c r="F75" t="e">
        <f ca="1">_xll.BDH($C$53,"RETURN_COM_EQY","FQ2 2018","FQ2 2018","Currency=INR","Period=FQ","BEST_FPERIOD_OVERRIDE=FQ","FILING_STATUS=OR","EQY_CONSOLIDATED=Y","FA_ADJUSTED=GAAP","Sort=A","Dates=H","DateFormat=P","Fill=—","Direction=H","UseDPDF=Y")</f>
        <v>#NAME?</v>
      </c>
      <c r="G75" t="e">
        <f ca="1">_xll.BDH($C$53,"RETURN_ON_ASSET","FQ2 2018","FQ2 2018","Currency=INR","Period=FQ","BEST_FPERIOD_OVERRIDE=FQ","FILING_STATUS=OR","EQY_CONSOLIDATED=Y","FA_ADJUSTED=GAAP","Sort=A","Dates=H","DateFormat=P","Fill=—","Direction=H","UseDPDF=Y")</f>
        <v>#NAME?</v>
      </c>
      <c r="H75" t="e">
        <f ca="1">_xll.BDH($C$53,"RETURN_ON_CAP","FQ2 2018","FQ2 2018","Currency=INR","Period=FQ","BEST_FPERIOD_OVERRIDE=FQ","FILING_STATUS=OR","EQY_CONSOLIDATED=Y","FA_ADJUSTED=GAAP","Sort=A","Dates=H","DateFormat=P","Fill=—","Direction=H","UseDPDF=Y")</f>
        <v>#NAME?</v>
      </c>
      <c r="I75" t="e">
        <f ca="1">_xll.BDH($C$53,"RETURN_ON_INV_CAPITAL","FQ2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75" t="e">
        <f ca="1">_xll.BDH($C$53,"EBITDA_TO_REVENUE","FQ2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75" t="e">
        <f ca="1">_xll.BDH($C$53,"OPER_MARGIN","FQ2 2018","FQ2 2018","Currency=INR","Period=FQ","BEST_FPERIOD_OVERRIDE=FQ","FILING_STATUS=OR","EQY_CONSOLIDATED=Y","FA_ADJUSTED=GAAP","Sort=A","Dates=H","DateFormat=P","Fill=—","Direction=H","UseDPDF=Y")</f>
        <v>#NAME?</v>
      </c>
      <c r="L75" t="e">
        <f ca="1">_xll.BDH($C$53,"INCREMENTAL_OPERATING_MARGIN","FQ2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75" t="e">
        <f ca="1">_xll.BDH($C$53,"PRETAX_INC_TO_NET_SALES","FQ2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75" t="e">
        <f ca="1">_xll.BDH($C$53,"INC_BEF_XO_ITEMS_TO_NET_SALES","FQ2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75" t="e">
        <f ca="1">_xll.BDH($C$53,"PROF_MARGIN","FQ2 2018","FQ2 2018","Currency=INR","Period=FQ","BEST_FPERIOD_OVERRIDE=FQ","FILING_STATUS=OR","EQY_CONSOLIDATED=Y","FA_ADJUSTED=GAAP","Sort=A","Dates=H","DateFormat=P","Fill=—","Direction=H","UseDPDF=Y")</f>
        <v>#NAME?</v>
      </c>
      <c r="P75" t="e">
        <f ca="1">_xll.BDH($C$53,"NET_INCOME_TO_COMMON_MARGIN","FQ2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75" t="e">
        <f ca="1">_xll.BDH($C$53,"EFF_TAX_RATE","FQ2 2018","FQ2 2018","Currency=INR","Period=FQ","BEST_FPERIOD_OVERRIDE=FQ","FILING_STATUS=OR","EQY_CONSOLIDATED=Y","FA_ADJUSTED=GAAP","Sort=A","Dates=H","DateFormat=P","Fill=—","Direction=H","UseDPDF=Y")</f>
        <v>#NAME?</v>
      </c>
      <c r="R75" t="e">
        <f ca="1">_xll.BDH($C$53,"DVD_PAYOUT_RATIO","FQ2 2018","FQ2 2018","Currency=INR","Period=FQ","BEST_FPERIOD_OVERRIDE=FQ","FILING_STATUS=OR","EQY_CONSOLIDATED=Y","FA_ADJUSTED=GAAP","Sort=A","Dates=H","DateFormat=P","Fill=—","Direction=H","UseDPDF=Y")</f>
        <v>#NAME?</v>
      </c>
      <c r="S75" t="e">
        <f ca="1">_xll.BDH($C$53,"SUSTAIN_GROWTH_RT","FQ2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75" s="2" t="e">
        <f ca="1">_xll.BDH($C$53,"SALES_GROWTH","FQ2 2018","FQ2 2018","Currency=INR","Period=FQ","BEST_FPERIOD_OVERRIDE=FQ","FILING_STATUS=OR","EQY_CONSOLIDATED=Y","FA_ADJUSTED=GAAP","Sort=A","Dates=H","DateFormat=P","Fill=—","Direction=H","UseDPDF=Y")</f>
        <v>#NAME?</v>
      </c>
      <c r="U75" s="2" t="e">
        <f ca="1">_xll.BDH($C$53,"EBITDA_GROWTH","FQ2 2018","FQ2 2018","Currency=INR","Period=FQ","BEST_FPERIOD_OVERRIDE=FQ","FILING_STATUS=OR","EQY_CONSOLIDATED=Y","FA_ADJUSTED=GAAP","Sort=A","Dates=H","DateFormat=P","Fill=—","Direction=H","UseDPDF=Y")</f>
        <v>#NAME?</v>
      </c>
      <c r="V75" s="2" t="e">
        <f ca="1">_xll.BDH($C$53,"OPER_INC_GROWTH","FQ2 2018","FQ2 2018","Currency=INR","Period=FQ","BEST_FPERIOD_OVERRIDE=FQ","FILING_STATUS=OR","EQY_CONSOLIDATED=Y","FA_ADJUSTED=GAAP","Sort=A","Dates=H","DateFormat=P","Fill=—","Direction=H","UseDPDF=Y")</f>
        <v>#NAME?</v>
      </c>
      <c r="W75" s="2" t="e">
        <f ca="1">_xll.BDH($C$53,"EARN_FOR_COM_GROWTH","FQ2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75" s="2" t="e">
        <f ca="1">_xll.BDH($C$53,"DILUTED_EPS_AFT_XO_ITEMS_GROWTH","FQ2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75" s="2" t="e">
        <f ca="1">_xll.BDH($C$53,"DIVIDEND_PER_SHARE_1_YEAR_GROWTH","FQ2 2018","FQ2 2018","Currency=INR","Period=FQ","BEST_FPERIOD_OVERRIDE=FQ","FILING_STATUS=OR","EQY_CONSOLIDATED=Y","Sort=A","Dates=H","DateFormat=P","Fill=—","Direction=H","UseDPDF=Y")</f>
        <v>#NAME?</v>
      </c>
      <c r="Z75" s="2" t="e">
        <f ca="1">_xll.BDH($C$53,"ACCOUNTS_RECEIVABLE_GROWTH","FQ2 2018","FQ2 2018","Currency=INR","Period=FQ","BEST_FPERIOD_OVERRIDE=FQ","FILING_STATUS=OR","EQY_CONSOLIDATED=Y","Sort=A","Dates=H","DateFormat=P","Fill=—","Direction=H","UseDPDF=Y")</f>
        <v>#NAME?</v>
      </c>
      <c r="AA75" s="2" t="e">
        <f ca="1">_xll.BDH($C$53,"INVENTORY_GROWTH","FQ2 2018","FQ2 2018","Currency=INR","Period=FQ","BEST_FPERIOD_OVERRIDE=FQ","FILING_STATUS=OR","EQY_CONSOLIDATED=Y","Sort=A","Dates=H","DateFormat=P","Fill=—","Direction=H","UseDPDF=Y")</f>
        <v>#NAME?</v>
      </c>
      <c r="AB75" s="2" t="e">
        <f ca="1">_xll.BDH($C$53,"NET_FIXED_ASSETS_1_YEAR_GROWTH","FQ2 2018","FQ2 2018","Currency=INR","Period=FQ","BEST_FPERIOD_OVERRIDE=FQ","FILING_STATUS=OR","EQY_CONSOLIDATED=Y","Sort=A","Dates=H","DateFormat=P","Fill=—","Direction=H","UseDPDF=Y")</f>
        <v>#NAME?</v>
      </c>
      <c r="AC75" s="2" t="e">
        <f ca="1">_xll.BDH($C$53,"ASSET_GROWTH","FQ2 2018","FQ2 2018","Currency=INR","Period=FQ","BEST_FPERIOD_OVERRIDE=FQ","FILING_STATUS=OR","EQY_CONSOLIDATED=Y","Sort=A","Dates=H","DateFormat=P","Fill=—","Direction=H","UseDPDF=Y")</f>
        <v>#NAME?</v>
      </c>
      <c r="AD75" s="2" t="e">
        <f ca="1">_xll.BDH($C$53,"MODIFIED_WORK_CAP_GROWTH","FQ2 2018","FQ2 2018","Currency=INR","Period=FQ","BEST_FPERIOD_OVERRIDE=FQ","FILING_STATUS=OR","EQY_CONSOLIDATED=Y","Sort=A","Dates=H","DateFormat=P","Fill=—","Direction=H","UseDPDF=Y")</f>
        <v>#NAME?</v>
      </c>
      <c r="AE75" s="2" t="e">
        <f ca="1">_xll.BDH($C$53,"WORK_CAP_GROWTH","FQ2 2018","FQ2 2018","Currency=INR","Period=FQ","BEST_FPERIOD_OVERRIDE=FQ","FILING_STATUS=OR","EQY_CONSOLIDATED=Y","Sort=A","Dates=H","DateFormat=P","Fill=—","Direction=H","UseDPDF=Y")</f>
        <v>#NAME?</v>
      </c>
      <c r="AF75" s="2" t="e">
        <f ca="1">_xll.BDH($C$53,"ACCOUNTS_PAYABLE_GROWTH_1YR","FQ2 2018","FQ2 2018","Currency=INR","Period=FQ","BEST_FPERIOD_OVERRIDE=FQ","FILING_STATUS=OR","EQY_CONSOLIDATED=Y","Sort=A","Dates=H","DateFormat=P","Fill=—","Direction=H","UseDPDF=Y")</f>
        <v>#NAME?</v>
      </c>
      <c r="AG75" s="2" t="e">
        <f ca="1">_xll.BDH($C$53,"SHORT_TERM_DEBT_1_YEAR_GROWTH","FQ2 2018","FQ2 2018","Currency=INR","Period=FQ","BEST_FPERIOD_OVERRIDE=FQ","FILING_STATUS=OR","EQY_CONSOLIDATED=Y","Sort=A","Dates=H","DateFormat=P","Fill=—","Direction=H","UseDPDF=Y")</f>
        <v>#NAME?</v>
      </c>
      <c r="AH75" s="2" t="e">
        <f ca="1">_xll.BDH($C$53,"TOTAL_DEBT_1_YEAR_GROWTH","FQ2 2018","FQ2 2018","Currency=INR","Period=FQ","BEST_FPERIOD_OVERRIDE=FQ","FILING_STATUS=OR","EQY_CONSOLIDATED=Y","Sort=A","Dates=H","DateFormat=P","Fill=—","Direction=H","UseDPDF=Y")</f>
        <v>#NAME?</v>
      </c>
      <c r="AI75" s="2" t="e">
        <f ca="1">_xll.BDH($C$53,"TOTAL_EQUITY_1_YEAR_GROWTH","FQ2 2018","FQ2 2018","Currency=INR","Period=FQ","BEST_FPERIOD_OVERRIDE=FQ","FILING_STATUS=OR","EQY_CONSOLIDATED=Y","Sort=A","Dates=H","DateFormat=P","Fill=—","Direction=H","UseDPDF=Y")</f>
        <v>#NAME?</v>
      </c>
      <c r="AJ75" s="2" t="e">
        <f ca="1">_xll.BDH($C$53,"GROWTH_IN_CAP","FQ2 2018","FQ2 2018","Currency=INR","Period=FQ","BEST_FPERIOD_OVERRIDE=FQ","FILING_STATUS=OR","EQY_CONSOLIDATED=Y","Sort=A","Dates=H","DateFormat=P","Fill=—","Direction=H","UseDPDF=Y")</f>
        <v>#NAME?</v>
      </c>
      <c r="AK75" s="2" t="e">
        <f ca="1">_xll.BDH($C$53,"BVPS_GROWTH","FQ2 2018","FQ2 2018","Currency=INR","Period=FQ","BEST_FPERIOD_OVERRIDE=FQ","FILING_STATUS=OR","EQY_CONSOLIDATED=Y","Sort=A","Dates=H","DateFormat=P","Fill=—","Direction=H","UseDPDF=Y")</f>
        <v>#NAME?</v>
      </c>
      <c r="AL75" s="2" t="e">
        <f ca="1">_xll.BDH($C$53,"CASH_FLOW_GROWTH","FQ2 2018","FQ2 2018","Currency=INR","Period=FQ","BEST_FPERIOD_OVERRIDE=FQ","FILING_STATUS=OR","EQY_CONSOLIDATED=Y","Sort=A","Dates=H","DateFormat=P","Fill=—","Direction=H","UseDPDF=Y")</f>
        <v>#NAME?</v>
      </c>
      <c r="AM75" s="2" t="e">
        <f ca="1">_xll.BDH($C$53,"GEO_GROW_NET_SALES","FQ2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75" s="2" t="e">
        <f ca="1">_xll.BDH($C$53,"GEO_GROW_EBITDA","FQ2 2018","FQ2 2018","Currency=INR","Period=FQ","BEST_FPERIOD_OVERRIDE=FQ","FILING_STATUS=OR","EQY_CONSOLIDATED=Y","FA_ADJUSTED=GAAP","Sort=A","Dates=H","DateFormat=P","Fill=—","Direction=H","UseDPDF=Y")</f>
        <v>#NAME?</v>
      </c>
      <c r="AO75" s="2" t="e">
        <f ca="1">_xll.BDH($C$53,"GEO_GROW_OPER_INC","FQ2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75" s="2" t="e">
        <f ca="1">_xll.BDH($C$53,"NET_INCOME_TO_COMMON_5_YR_GROWTH","FQ2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75" s="2" t="e">
        <f ca="1">_xll.BDH($C$53,"5Y_GEO_GROWTH_DILUTED_EPS","FQ2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75" s="2" t="e">
        <f ca="1">_xll.BDH($C$53,"GEO_GROW_DVD_PER_SH","FQ2 2018","FQ2 2018","Currency=INR","Period=FQ","BEST_FPERIOD_OVERRIDE=FQ","FILING_STATUS=OR","EQY_CONSOLIDATED=Y","Sort=A","Dates=H","DateFormat=P","Fill=—","Direction=H","UseDPDF=Y")</f>
        <v>#NAME?</v>
      </c>
      <c r="AS75" s="2" t="e">
        <f ca="1">_xll.BDH($C$53,"ACCOUNTS_RECEIVABLE_5_YR_GROWTH","FQ2 2018","FQ2 2018","Currency=INR","Period=FQ","BEST_FPERIOD_OVERRIDE=FQ","FILING_STATUS=OR","EQY_CONSOLIDATED=Y","Sort=A","Dates=H","DateFormat=P","Fill=—","Direction=H","UseDPDF=Y")</f>
        <v>#NAME?</v>
      </c>
      <c r="AT75" s="2" t="e">
        <f ca="1">_xll.BDH($C$53,"INVENTORY_5_YEAR_GROWTH","FQ2 2018","FQ2 2018","Currency=INR","Period=FQ","BEST_FPERIOD_OVERRIDE=FQ","FILING_STATUS=OR","EQY_CONSOLIDATED=Y","Sort=A","Dates=H","DateFormat=P","Fill=—","Direction=H","UseDPDF=Y")</f>
        <v>#NAME?</v>
      </c>
      <c r="AU75" s="2" t="e">
        <f ca="1">_xll.BDH($C$53,"NET_FIXED_ASSETS_5_YEAR_GROWTH","FQ2 2018","FQ2 2018","Currency=INR","Period=FQ","BEST_FPERIOD_OVERRIDE=FQ","FILING_STATUS=OR","EQY_CONSOLIDATED=Y","Sort=A","Dates=H","DateFormat=P","Fill=—","Direction=H","UseDPDF=Y")</f>
        <v>#NAME?</v>
      </c>
      <c r="AV75" s="2" t="e">
        <f ca="1">_xll.BDH($C$53,"GEO_GROW_TOT_ASSET","FQ2 2018","FQ2 2018","Currency=INR","Period=FQ","BEST_FPERIOD_OVERRIDE=FQ","FILING_STATUS=OR","EQY_CONSOLIDATED=Y","Sort=A","Dates=H","DateFormat=P","Fill=—","Direction=H","UseDPDF=Y")</f>
        <v>#NAME?</v>
      </c>
      <c r="AW75" s="2" t="e">
        <f ca="1">_xll.BDH($C$53,"MODIFIED_WORKING_CPTL_5YR_GRWTH","FQ2 2018","FQ2 2018","Currency=INR","Period=FQ","BEST_FPERIOD_OVERRIDE=FQ","FILING_STATUS=OR","EQY_CONSOLIDATED=Y","Sort=A","Dates=H","DateFormat=P","Fill=—","Direction=H","UseDPDF=Y")</f>
        <v>#NAME?</v>
      </c>
      <c r="AX75" s="2" t="e">
        <f ca="1">_xll.BDH($C$53,"WORKING_CAPITAL_5_YEAR_GROWTH","FQ2 2018","FQ2 2018","Currency=INR","Period=FQ","BEST_FPERIOD_OVERRIDE=FQ","FILING_STATUS=OR","EQY_CONSOLIDATED=Y","Sort=A","Dates=H","DateFormat=P","Fill=—","Direction=H","UseDPDF=Y")</f>
        <v>#NAME?</v>
      </c>
      <c r="AY75" s="2" t="e">
        <f ca="1">_xll.BDH($C$53,"ACCOUNTS_PAYABLE_5_YEAR_GROWTH","FQ2 2018","FQ2 2018","Currency=INR","Period=FQ","BEST_FPERIOD_OVERRIDE=FQ","FILING_STATUS=OR","EQY_CONSOLIDATED=Y","Sort=A","Dates=H","DateFormat=P","Fill=—","Direction=H","UseDPDF=Y")</f>
        <v>#NAME?</v>
      </c>
      <c r="AZ75" s="2" t="e">
        <f ca="1">_xll.BDH($C$53,"SHORT_TERM_DEBT_5_YEAR_GROWTH","FQ2 2018","FQ2 2018","Currency=INR","Period=FQ","BEST_FPERIOD_OVERRIDE=FQ","FILING_STATUS=OR","EQY_CONSOLIDATED=Y","Sort=A","Dates=H","DateFormat=P","Fill=—","Direction=H","UseDPDF=Y")</f>
        <v>#NAME?</v>
      </c>
      <c r="BA75" s="2" t="e">
        <f ca="1">_xll.BDH($C$53,"TOTAL_DEBT_5_YEAR_GROWTH","FQ2 2018","FQ2 2018","Currency=INR","Period=FQ","BEST_FPERIOD_OVERRIDE=FQ","FILING_STATUS=OR","EQY_CONSOLIDATED=Y","Sort=A","Dates=H","DateFormat=P","Fill=—","Direction=H","UseDPDF=Y")</f>
        <v>#NAME?</v>
      </c>
      <c r="BB75" s="2" t="e">
        <f ca="1">_xll.BDH($C$53,"GEO_GROW_TOT_SHRHLDR_EQY","FQ2 2018","FQ2 2018","Currency=INR","Period=FQ","BEST_FPERIOD_OVERRIDE=FQ","FILING_STATUS=OR","EQY_CONSOLIDATED=Y","Sort=A","Dates=H","DateFormat=P","Fill=—","Direction=H","UseDPDF=Y")</f>
        <v>#NAME?</v>
      </c>
      <c r="BC75" s="2" t="e">
        <f ca="1">_xll.BDH($C$53,"TOTAL_CAPITAL_5_YEAR_GROWTH","FQ2 2018","FQ2 2018","Currency=INR","Period=FQ","BEST_FPERIOD_OVERRIDE=FQ","FILING_STATUS=OR","EQY_CONSOLIDATED=Y","Sort=A","Dates=H","DateFormat=P","Fill=—","Direction=H","UseDPDF=Y")</f>
        <v>#NAME?</v>
      </c>
      <c r="BD75" s="2" t="e">
        <f ca="1">_xll.BDH($C$53,"GEO_GROW_BOOK_VAL","FQ2 2018","FQ2 2018","Currency=INR","Period=FQ","BEST_FPERIOD_OVERRIDE=FQ","FILING_STATUS=OR","EQY_CONSOLIDATED=Y","Sort=A","Dates=H","DateFormat=P","Fill=—","Direction=H","UseDPDF=Y")</f>
        <v>#NAME?</v>
      </c>
      <c r="BE75" s="2" t="e">
        <f ca="1">_xll.BDH($C$53,"GEO_GROW_CASH_OPER_ACT","FQ2 2018","FQ2 2018","Currency=INR","Period=FQ","BEST_FPERIOD_OVERRIDE=FQ","FILING_STATUS=OR","EQY_CONSOLIDATED=Y","Sort=A","Dates=H","DateFormat=P","Fill=—","Direction=H","UseDPDF=Y")</f>
        <v>#NAME?</v>
      </c>
      <c r="BF75" s="2" t="e">
        <f ca="1">_xll.BDH($C$53,"REVENUE_SEQUENTIAL_GROWTH","FQ2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75" s="2" t="e">
        <f ca="1">_xll.BDH($C$53,"EBITDA_SEQUENTIAL_GROWTH","FQ2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75" s="2" t="e">
        <f ca="1">_xll.BDH($C$53,"OPERATING_INCOME_SEQ_GROWTH","FQ2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75" s="2" t="e">
        <f ca="1">_xll.BDH($C$53,"NET_INCOME_TO_COMMON_SEQ_GROWTH","FQ2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75" s="2" t="e">
        <f ca="1">_xll.BDH($C$53,"EPS_DILUTED_SEQUENTIAL_GROWTH","FQ2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75" s="2" t="e">
        <f ca="1">_xll.BDH($C$53,"DPS_SEQUENTIAL_GROWTH","FQ2 2018","FQ2 2018","Currency=INR","Period=FQ","BEST_FPERIOD_OVERRIDE=FQ","FILING_STATUS=OR","EQY_CONSOLIDATED=Y","Sort=A","Dates=H","DateFormat=P","Fill=—","Direction=H","UseDPDF=Y")</f>
        <v>#NAME?</v>
      </c>
      <c r="BL75" s="2" t="e">
        <f ca="1">_xll.BDH($C$53,"ACCOUNTS_RECEIVABLE_SEQ_GROWTH","FQ2 2018","FQ2 2018","Currency=INR","Period=FQ","BEST_FPERIOD_OVERRIDE=FQ","FILING_STATUS=OR","EQY_CONSOLIDATED=Y","Sort=A","Dates=H","DateFormat=P","Fill=—","Direction=H","UseDPDF=Y")</f>
        <v>#NAME?</v>
      </c>
      <c r="BM75" s="2" t="e">
        <f ca="1">_xll.BDH($C$53,"INVENTORY_SEQUENTIAL_GROWTH","FQ2 2018","FQ2 2018","Currency=INR","Period=FQ","BEST_FPERIOD_OVERRIDE=FQ","FILING_STATUS=OR","EQY_CONSOLIDATED=Y","Sort=A","Dates=H","DateFormat=P","Fill=—","Direction=H","UseDPDF=Y")</f>
        <v>#NAME?</v>
      </c>
      <c r="BN75" s="2" t="e">
        <f ca="1">_xll.BDH($C$53,"FIXED_ASSETS_SEQUENTIAL_GROWTH","FQ2 2018","FQ2 2018","Currency=INR","Period=FQ","BEST_FPERIOD_OVERRIDE=FQ","FILING_STATUS=OR","EQY_CONSOLIDATED=Y","Sort=A","Dates=H","DateFormat=P","Fill=—","Direction=H","UseDPDF=Y")</f>
        <v>#NAME?</v>
      </c>
      <c r="BO75" s="2" t="e">
        <f ca="1">_xll.BDH($C$53,"TOTAL_ASSETS_SEQUENTIAL_GROWTH","FQ2 2018","FQ2 2018","Currency=INR","Period=FQ","BEST_FPERIOD_OVERRIDE=FQ","FILING_STATUS=OR","EQY_CONSOLIDATED=Y","Sort=A","Dates=H","DateFormat=P","Fill=—","Direction=H","UseDPDF=Y")</f>
        <v>#NAME?</v>
      </c>
      <c r="BP75" s="2" t="e">
        <f ca="1">_xll.BDH($C$53,"MODIFIED_WORKING_CPTL_SEQ_GRWTH","FQ2 2018","FQ2 2018","Currency=INR","Period=FQ","BEST_FPERIOD_OVERRIDE=FQ","FILING_STATUS=OR","EQY_CONSOLIDATED=Y","Sort=A","Dates=H","DateFormat=P","Fill=—","Direction=H","UseDPDF=Y")</f>
        <v>#NAME?</v>
      </c>
      <c r="BQ75" s="2" t="e">
        <f ca="1">_xll.BDH($C$53,"WORKING_CAPITAL_SEQ_GROWTH","FQ2 2018","FQ2 2018","Currency=INR","Period=FQ","BEST_FPERIOD_OVERRIDE=FQ","FILING_STATUS=OR","EQY_CONSOLIDATED=Y","Sort=A","Dates=H","DateFormat=P","Fill=—","Direction=H","UseDPDF=Y")</f>
        <v>#NAME?</v>
      </c>
      <c r="BR75" s="2" t="e">
        <f ca="1">_xll.BDH($C$53,"ACCOUNTS_PAYABLE_SEQ_GROWTH","FQ2 2018","FQ2 2018","Currency=INR","Period=FQ","BEST_FPERIOD_OVERRIDE=FQ","FILING_STATUS=OR","EQY_CONSOLIDATED=Y","Sort=A","Dates=H","DateFormat=P","Fill=—","Direction=H","UseDPDF=Y")</f>
        <v>#NAME?</v>
      </c>
      <c r="BS75" s="2" t="e">
        <f ca="1">_xll.BDH($C$53,"ST_DEBT_SEQUENTIAL_GROWTH","FQ2 2018","FQ2 2018","Currency=INR","Period=FQ","BEST_FPERIOD_OVERRIDE=FQ","FILING_STATUS=OR","EQY_CONSOLIDATED=Y","Sort=A","Dates=H","DateFormat=P","Fill=—","Direction=H","UseDPDF=Y")</f>
        <v>#NAME?</v>
      </c>
      <c r="BT75" s="2" t="e">
        <f ca="1">_xll.BDH($C$53,"TOTAL_DEBT_SEQUENTIAL_GROWTH","FQ2 2018","FQ2 2018","Currency=INR","Period=FQ","BEST_FPERIOD_OVERRIDE=FQ","FILING_STATUS=OR","EQY_CONSOLIDATED=Y","Sort=A","Dates=H","DateFormat=P","Fill=—","Direction=H","UseDPDF=Y")</f>
        <v>#NAME?</v>
      </c>
      <c r="BU75" s="2" t="e">
        <f ca="1">_xll.BDH($C$53,"TOTAL_EQUITY_SEQUENTIAL_GROWTH","FQ2 2018","FQ2 2018","Currency=INR","Period=FQ","BEST_FPERIOD_OVERRIDE=FQ","FILING_STATUS=OR","EQY_CONSOLIDATED=Y","Sort=A","Dates=H","DateFormat=P","Fill=—","Direction=H","UseDPDF=Y")</f>
        <v>#NAME?</v>
      </c>
      <c r="BV75" s="2" t="e">
        <f ca="1">_xll.BDH($C$53,"TOTAL_CAPITAL_SEQUENTIAL_GROWTH","FQ2 2018","FQ2 2018","Currency=INR","Period=FQ","BEST_FPERIOD_OVERRIDE=FQ","FILING_STATUS=OR","EQY_CONSOLIDATED=Y","Sort=A","Dates=H","DateFormat=P","Fill=—","Direction=H","UseDPDF=Y")</f>
        <v>#NAME?</v>
      </c>
      <c r="BW75" s="2" t="e">
        <f ca="1">_xll.BDH($C$53,"BPS_SEQUENTIAL_GROWTH","FQ2 2018","FQ2 2018","Currency=INR","Period=FQ","BEST_FPERIOD_OVERRIDE=FQ","FILING_STATUS=OR","EQY_CONSOLIDATED=Y","Sort=A","Dates=H","DateFormat=P","Fill=—","Direction=H","UseDPDF=Y")</f>
        <v>#NAME?</v>
      </c>
      <c r="BX75" s="2" t="e">
        <f ca="1">_xll.BDH($C$53,"CFO_SEQUENTIAL_GROWTH","FQ2 2018","FQ2 2018","Currency=INR","Period=FQ","BEST_FPERIOD_OVERRIDE=FQ","FILING_STATUS=OR","EQY_CONSOLIDATED=Y","Sort=A","Dates=H","DateFormat=P","Fill=—","Direction=H","UseDPDF=Y")</f>
        <v>#NAME?</v>
      </c>
      <c r="BY75" s="3" t="e">
        <f ca="1">_xll.BDH($C$53,"SHORT_AND_LONG_TERM_DEBT","FQ2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75" s="3" t="e">
        <f ca="1">_xll.BDH($C$53,"BS_ST_BORROW","FQ2 2018","FQ2 2018","Currency=INR","Period=FQ","BEST_FPERIOD_OVERRIDE=FQ","FILING_STATUS=OR","EQY_CONSOLIDATED=Y","SCALING_FORMAT=MLN","Sort=A","Dates=H","DateFormat=P","Fill=—","Direction=H","UseDPDF=Y")</f>
        <v>#NAME?</v>
      </c>
      <c r="CA75" s="3" t="e">
        <f ca="1">_xll.BDH($C$53,"BS_LT_BORROW","FQ2 2018","FQ2 2018","Currency=INR","Period=FQ","BEST_FPERIOD_OVERRIDE=FQ","FILING_STATUS=OR","EQY_CONSOLIDATED=Y","SCALING_FORMAT=MLN","Sort=A","Dates=H","DateFormat=P","Fill=—","Direction=H","UseDPDF=Y")</f>
        <v>#NAME?</v>
      </c>
      <c r="CB75" s="2" t="e">
        <f ca="1">_xll.BDH($C$53,"TOT_DEBT_TO_EBITDA","FQ2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75" s="2" t="e">
        <f ca="1">_xll.BDH($C$53,"NET_DEBT_TO_EBITDA","FQ2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75" s="2" t="e">
        <f ca="1">_xll.BDH($C$53,"TOTAL_DEBT_TO_EBIT","FQ2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75" s="2" t="e">
        <f ca="1">_xll.BDH($C$53,"NET_DEBT_TO_EBIT","FQ2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75" s="2" t="e">
        <f ca="1">_xll.BDH($C$53,"EBITDA_TO_INTEREST_EXPN","FQ2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75" s="2" t="e">
        <f ca="1">_xll.BDH($C$53,"COM_EQY_TO_TOT_ASSET","FQ2 2018","FQ2 2018","Currency=INR","Period=FQ","BEST_FPERIOD_OVERRIDE=FQ","FILING_STATUS=OR","EQY_CONSOLIDATED=Y","Sort=A","Dates=H","DateFormat=P","Fill=—","Direction=H","UseDPDF=Y")</f>
        <v>#NAME?</v>
      </c>
      <c r="CH75" s="2" t="e">
        <f ca="1">_xll.BDH($C$53,"LT_DEBT_TO_TOT_EQY","FQ2 2018","FQ2 2018","Currency=INR","Period=FQ","BEST_FPERIOD_OVERRIDE=FQ","FILING_STATUS=OR","EQY_CONSOLIDATED=Y","Sort=A","Dates=H","DateFormat=P","Fill=—","Direction=H","UseDPDF=Y")</f>
        <v>#NAME?</v>
      </c>
      <c r="CI75" s="2" t="e">
        <f ca="1">_xll.BDH($C$53,"LT_DEBT_TO_TOT_CAP","FQ2 2018","FQ2 2018","Currency=INR","Period=FQ","BEST_FPERIOD_OVERRIDE=FQ","FILING_STATUS=OR","EQY_CONSOLIDATED=Y","Sort=A","Dates=H","DateFormat=P","Fill=—","Direction=H","UseDPDF=Y")</f>
        <v>#NAME?</v>
      </c>
      <c r="CJ75" s="2" t="e">
        <f ca="1">_xll.BDH($C$53,"LT_DEBT_TO_TOT_ASSET","FQ2 2018","FQ2 2018","Currency=INR","Period=FQ","BEST_FPERIOD_OVERRIDE=FQ","FILING_STATUS=OR","EQY_CONSOLIDATED=Y","Sort=A","Dates=H","DateFormat=P","Fill=—","Direction=H","UseDPDF=Y")</f>
        <v>#NAME?</v>
      </c>
      <c r="CK75" s="2" t="e">
        <f ca="1">_xll.BDH($C$53,"TOT_DEBT_TO_TOT_EQY","FQ2 2018","FQ2 2018","Currency=INR","Period=FQ","BEST_FPERIOD_OVERRIDE=FQ","FILING_STATUS=OR","EQY_CONSOLIDATED=Y","Sort=A","Dates=H","DateFormat=P","Fill=—","Direction=H","UseDPDF=Y")</f>
        <v>#NAME?</v>
      </c>
      <c r="CL75" s="2" t="e">
        <f ca="1">_xll.BDH($C$53,"TOT_DEBT_TO_TOT_CAP","FQ2 2018","FQ2 2018","Currency=INR","Period=FQ","BEST_FPERIOD_OVERRIDE=FQ","FILING_STATUS=OR","EQY_CONSOLIDATED=Y","Sort=A","Dates=H","DateFormat=P","Fill=—","Direction=H","UseDPDF=Y")</f>
        <v>#NAME?</v>
      </c>
      <c r="CM75" s="2" t="e">
        <f ca="1">_xll.BDH($C$53,"TOT_DEBT_TO_TOT_ASSET","FQ2 2018","FQ2 2018","Currency=INR","Period=FQ","BEST_FPERIOD_OVERRIDE=FQ","FILING_STATUS=OR","EQY_CONSOLIDATED=Y","Sort=A","Dates=H","DateFormat=P","Fill=—","Direction=H","UseDPDF=Y")</f>
        <v>#NAME?</v>
      </c>
      <c r="CN75" s="2" t="e">
        <f ca="1">_xll.BDH($C$53,"NET_DEBT_TO_SHRHLDR_EQTY","FQ2 2018","FQ2 2018","Currency=INR","Period=FQ","BEST_FPERIOD_OVERRIDE=FQ","FILING_STATUS=OR","EQY_CONSOLIDATED=Y","Sort=A","Dates=H","DateFormat=P","Fill=—","Direction=H","UseDPDF=Y")</f>
        <v>#NAME?</v>
      </c>
      <c r="CO75" s="2" t="e">
        <f ca="1">_xll.BDH($C$53,"NET_DEBT_%_CAPITAL","FQ2 2018","FQ2 2018","Currency=INR","Period=FQ","BEST_FPERIOD_OVERRIDE=FQ","FILING_STATUS=OR","EQY_CONSOLIDATED=Y","Sort=A","Dates=H","DateFormat=P","Fill=—","Direction=H","UseDPDF=Y")</f>
        <v>#NAME?</v>
      </c>
      <c r="CP75" s="3" t="e">
        <f ca="1">_xll.BDH($C$53,"EBITDA","FQ2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75" s="3" t="e">
        <f ca="1">_xll.BDH($C$53,"EBITDA_AFTER_CAPEX","FQ2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75" s="3" t="e">
        <f ca="1">_xll.BDH($C$53,"IS_OPER_INC","FQ2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75" s="2" t="e">
        <f ca="1">_xll.BDH($C$53,"CASH_RATIO","FQ2 2018","FQ2 2018","Currency=INR","Period=FQ","BEST_FPERIOD_OVERRIDE=FQ","FILING_STATUS=OR","EQY_CONSOLIDATED=Y","Sort=A","Dates=H","DateFormat=P","Fill=—","Direction=H","UseDPDF=Y")</f>
        <v>#NAME?</v>
      </c>
      <c r="CT75" s="2" t="e">
        <f ca="1">_xll.BDH($C$53,"CUR_RATIO","FQ2 2018","FQ2 2018","Currency=INR","Period=FQ","BEST_FPERIOD_OVERRIDE=FQ","FILING_STATUS=OR","EQY_CONSOLIDATED=Y","Sort=A","Dates=H","DateFormat=P","Fill=—","Direction=H","UseDPDF=Y")</f>
        <v>#NAME?</v>
      </c>
      <c r="CU75" s="2" t="e">
        <f ca="1">_xll.BDH($C$53,"QUICK_RATIO","FQ2 2018","FQ2 2018","Currency=INR","Period=FQ","BEST_FPERIOD_OVERRIDE=FQ","FILING_STATUS=OR","EQY_CONSOLIDATED=Y","Sort=A","Dates=H","DateFormat=P","Fill=—","Direction=H","UseDPDF=Y")</f>
        <v>#NAME?</v>
      </c>
      <c r="CV75" s="2" t="e">
        <f ca="1">_xll.BDH($C$53,"ALTMAN_Z_SCORE","FQ2 2018","FQ2 2018","Currency=INR","Period=FQ","BEST_FPERIOD_OVERRIDE=FQ","FILING_STATUS=OR","EQY_CONSOLIDATED=Y","Sort=A","Dates=H","DateFormat=P","Fill=—","Direction=H","UseDPDF=Y")</f>
        <v>#NAME?</v>
      </c>
      <c r="CW75" s="4" t="e">
        <f ca="1">_xll.BDH($C$53,"ACCT_RCV_TURN","FQ2 2018","FQ2 2018","Currency=INR","Period=FQ","BEST_FPERIOD_OVERRIDE=FQ","FILING_STATUS=OR","EQY_CONSOLIDATED=Y","FA_ADJUSTED=GAAP","Sort=A","Dates=H","DateFormat=P","Fill=—","Direction=H","UseDPDF=Y")</f>
        <v>#NAME?</v>
      </c>
      <c r="CX75" s="2" t="e">
        <f ca="1">_xll.BDH($C$53,"ACCT_RCV_DAYS","FQ2 2018","FQ2 2018","Currency=INR","Period=FQ","BEST_FPERIOD_OVERRIDE=FQ","FILING_STATUS=OR","EQY_CONSOLIDATED=Y","FA_ADJUSTED=GAAP","Sort=A","Dates=H","DateFormat=P","Fill=—","Direction=H","UseDPDF=Y")</f>
        <v>#NAME?</v>
      </c>
      <c r="CY75" s="4" t="e">
        <f ca="1">_xll.BDH($C$53,"INVENT_TURN","FQ2 2018","FQ2 2018","Currency=INR","Period=FQ","BEST_FPERIOD_OVERRIDE=FQ","FILING_STATUS=OR","EQY_CONSOLIDATED=Y","FA_ADJUSTED=GAAP","Sort=A","Dates=H","DateFormat=P","Fill=—","Direction=H","UseDPDF=Y")</f>
        <v>#NAME?</v>
      </c>
      <c r="CZ75" s="2" t="e">
        <f ca="1">_xll.BDH($C$53,"INVENT_DAYS","FQ2 2018","FQ2 2018","Currency=INR","Period=FQ","BEST_FPERIOD_OVERRIDE=FQ","FILING_STATUS=OR","EQY_CONSOLIDATED=Y","FA_ADJUSTED=GAAP","Sort=A","Dates=H","DateFormat=P","Fill=—","Direction=H","UseDPDF=Y")</f>
        <v>#NAME?</v>
      </c>
      <c r="DA75" s="4" t="e">
        <f ca="1">_xll.BDH($C$53,"ACCOUNTS_PAYABLE_TURNOVER","FQ2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75" s="2" t="e">
        <f ca="1">_xll.BDH($C$53,"ACCOUNTS_PAYABLE_TURNOVER_DAYS","FQ2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75" s="4" t="e">
        <f ca="1">_xll.BDH($C$53,"CASH_CONVERSION_CYCLE","FQ2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75" s="4" t="e">
        <f ca="1">_xll.BDH($C$53,"INV_TO_CASH_DAYS","FQ2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75" s="5" t="e">
        <f ca="1">_xll.BDH($C$53,"BS_INVENTORIES","FQ2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75" s="3" t="e">
        <f ca="1">_xll.BDH($C$53,"INVTRY_RAW_MATERIALS","FQ2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75" s="3" t="e">
        <f ca="1">_xll.BDH($C$53,"INVTRY_IN_PROGRESS","FQ2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75" s="3" t="e">
        <f ca="1">_xll.BDH($C$53,"INVTRY_FINISHED_GOODS","FQ2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75" s="3" t="e">
        <f ca="1">_xll.BDH($C$53,"BS_OTHER_INV","FQ2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76" spans="1:113" x14ac:dyDescent="0.3">
      <c r="A76" s="6"/>
      <c r="B76" s="6"/>
      <c r="C76" s="6"/>
      <c r="D76" s="6"/>
      <c r="E76" t="s">
        <v>80</v>
      </c>
      <c r="F76" t="e">
        <f ca="1">_xll.BDH($C$53,"RETURN_COM_EQY","FQ3 2018","FQ3 2018","Currency=INR","Period=FQ","BEST_FPERIOD_OVERRIDE=FQ","FILING_STATUS=OR","EQY_CONSOLIDATED=Y","FA_ADJUSTED=GAAP","Sort=A","Dates=H","DateFormat=P","Fill=—","Direction=H","UseDPDF=Y")</f>
        <v>#NAME?</v>
      </c>
      <c r="G76" t="e">
        <f ca="1">_xll.BDH($C$53,"RETURN_ON_ASSET","FQ3 2018","FQ3 2018","Currency=INR","Period=FQ","BEST_FPERIOD_OVERRIDE=FQ","FILING_STATUS=OR","EQY_CONSOLIDATED=Y","FA_ADJUSTED=GAAP","Sort=A","Dates=H","DateFormat=P","Fill=—","Direction=H","UseDPDF=Y")</f>
        <v>#NAME?</v>
      </c>
      <c r="H76" t="e">
        <f ca="1">_xll.BDH($C$53,"RETURN_ON_CAP","FQ3 2018","FQ3 2018","Currency=INR","Period=FQ","BEST_FPERIOD_OVERRIDE=FQ","FILING_STATUS=OR","EQY_CONSOLIDATED=Y","FA_ADJUSTED=GAAP","Sort=A","Dates=H","DateFormat=P","Fill=—","Direction=H","UseDPDF=Y")</f>
        <v>#NAME?</v>
      </c>
      <c r="I76" t="e">
        <f ca="1">_xll.BDH($C$53,"RETURN_ON_INV_CAPITAL","FQ3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76" t="e">
        <f ca="1">_xll.BDH($C$53,"EBITDA_TO_REVENUE","FQ3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76" t="e">
        <f ca="1">_xll.BDH($C$53,"OPER_MARGIN","FQ3 2018","FQ3 2018","Currency=INR","Period=FQ","BEST_FPERIOD_OVERRIDE=FQ","FILING_STATUS=OR","EQY_CONSOLIDATED=Y","FA_ADJUSTED=GAAP","Sort=A","Dates=H","DateFormat=P","Fill=—","Direction=H","UseDPDF=Y")</f>
        <v>#NAME?</v>
      </c>
      <c r="L76" t="e">
        <f ca="1">_xll.BDH($C$53,"INCREMENTAL_OPERATING_MARGIN","FQ3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76" t="e">
        <f ca="1">_xll.BDH($C$53,"PRETAX_INC_TO_NET_SALES","FQ3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76" t="e">
        <f ca="1">_xll.BDH($C$53,"INC_BEF_XO_ITEMS_TO_NET_SALES","FQ3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76" t="e">
        <f ca="1">_xll.BDH($C$53,"PROF_MARGIN","FQ3 2018","FQ3 2018","Currency=INR","Period=FQ","BEST_FPERIOD_OVERRIDE=FQ","FILING_STATUS=OR","EQY_CONSOLIDATED=Y","FA_ADJUSTED=GAAP","Sort=A","Dates=H","DateFormat=P","Fill=—","Direction=H","UseDPDF=Y")</f>
        <v>#NAME?</v>
      </c>
      <c r="P76" t="e">
        <f ca="1">_xll.BDH($C$53,"NET_INCOME_TO_COMMON_MARGIN","FQ3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76" t="e">
        <f ca="1">_xll.BDH($C$53,"EFF_TAX_RATE","FQ3 2018","FQ3 2018","Currency=INR","Period=FQ","BEST_FPERIOD_OVERRIDE=FQ","FILING_STATUS=OR","EQY_CONSOLIDATED=Y","FA_ADJUSTED=GAAP","Sort=A","Dates=H","DateFormat=P","Fill=—","Direction=H","UseDPDF=Y")</f>
        <v>#NAME?</v>
      </c>
      <c r="R76" t="e">
        <f ca="1">_xll.BDH($C$53,"DVD_PAYOUT_RATIO","FQ3 2018","FQ3 2018","Currency=INR","Period=FQ","BEST_FPERIOD_OVERRIDE=FQ","FILING_STATUS=OR","EQY_CONSOLIDATED=Y","FA_ADJUSTED=GAAP","Sort=A","Dates=H","DateFormat=P","Fill=—","Direction=H","UseDPDF=Y")</f>
        <v>#NAME?</v>
      </c>
      <c r="S76" t="e">
        <f ca="1">_xll.BDH($C$53,"SUSTAIN_GROWTH_RT","FQ3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76" s="2" t="e">
        <f ca="1">_xll.BDH($C$53,"SALES_GROWTH","FQ3 2018","FQ3 2018","Currency=INR","Period=FQ","BEST_FPERIOD_OVERRIDE=FQ","FILING_STATUS=OR","EQY_CONSOLIDATED=Y","FA_ADJUSTED=GAAP","Sort=A","Dates=H","DateFormat=P","Fill=—","Direction=H","UseDPDF=Y")</f>
        <v>#NAME?</v>
      </c>
      <c r="U76" s="2" t="e">
        <f ca="1">_xll.BDH($C$53,"EBITDA_GROWTH","FQ3 2018","FQ3 2018","Currency=INR","Period=FQ","BEST_FPERIOD_OVERRIDE=FQ","FILING_STATUS=OR","EQY_CONSOLIDATED=Y","FA_ADJUSTED=GAAP","Sort=A","Dates=H","DateFormat=P","Fill=—","Direction=H","UseDPDF=Y")</f>
        <v>#NAME?</v>
      </c>
      <c r="V76" s="2" t="e">
        <f ca="1">_xll.BDH($C$53,"OPER_INC_GROWTH","FQ3 2018","FQ3 2018","Currency=INR","Period=FQ","BEST_FPERIOD_OVERRIDE=FQ","FILING_STATUS=OR","EQY_CONSOLIDATED=Y","FA_ADJUSTED=GAAP","Sort=A","Dates=H","DateFormat=P","Fill=—","Direction=H","UseDPDF=Y")</f>
        <v>#NAME?</v>
      </c>
      <c r="W76" s="2" t="e">
        <f ca="1">_xll.BDH($C$53,"EARN_FOR_COM_GROWTH","FQ3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76" s="2" t="e">
        <f ca="1">_xll.BDH($C$53,"DILUTED_EPS_AFT_XO_ITEMS_GROWTH","FQ3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76" s="2" t="e">
        <f ca="1">_xll.BDH($C$53,"DIVIDEND_PER_SHARE_1_YEAR_GROWTH","FQ3 2018","FQ3 2018","Currency=INR","Period=FQ","BEST_FPERIOD_OVERRIDE=FQ","FILING_STATUS=OR","EQY_CONSOLIDATED=Y","Sort=A","Dates=H","DateFormat=P","Fill=—","Direction=H","UseDPDF=Y")</f>
        <v>#NAME?</v>
      </c>
      <c r="Z76" s="2" t="e">
        <f ca="1">_xll.BDH($C$53,"ACCOUNTS_RECEIVABLE_GROWTH","FQ3 2018","FQ3 2018","Currency=INR","Period=FQ","BEST_FPERIOD_OVERRIDE=FQ","FILING_STATUS=OR","EQY_CONSOLIDATED=Y","Sort=A","Dates=H","DateFormat=P","Fill=—","Direction=H","UseDPDF=Y")</f>
        <v>#NAME?</v>
      </c>
      <c r="AA76" s="2" t="e">
        <f ca="1">_xll.BDH($C$53,"INVENTORY_GROWTH","FQ3 2018","FQ3 2018","Currency=INR","Period=FQ","BEST_FPERIOD_OVERRIDE=FQ","FILING_STATUS=OR","EQY_CONSOLIDATED=Y","Sort=A","Dates=H","DateFormat=P","Fill=—","Direction=H","UseDPDF=Y")</f>
        <v>#NAME?</v>
      </c>
      <c r="AB76" s="2" t="e">
        <f ca="1">_xll.BDH($C$53,"NET_FIXED_ASSETS_1_YEAR_GROWTH","FQ3 2018","FQ3 2018","Currency=INR","Period=FQ","BEST_FPERIOD_OVERRIDE=FQ","FILING_STATUS=OR","EQY_CONSOLIDATED=Y","Sort=A","Dates=H","DateFormat=P","Fill=—","Direction=H","UseDPDF=Y")</f>
        <v>#NAME?</v>
      </c>
      <c r="AC76" s="2" t="e">
        <f ca="1">_xll.BDH($C$53,"ASSET_GROWTH","FQ3 2018","FQ3 2018","Currency=INR","Period=FQ","BEST_FPERIOD_OVERRIDE=FQ","FILING_STATUS=OR","EQY_CONSOLIDATED=Y","Sort=A","Dates=H","DateFormat=P","Fill=—","Direction=H","UseDPDF=Y")</f>
        <v>#NAME?</v>
      </c>
      <c r="AD76" s="2" t="e">
        <f ca="1">_xll.BDH($C$53,"MODIFIED_WORK_CAP_GROWTH","FQ3 2018","FQ3 2018","Currency=INR","Period=FQ","BEST_FPERIOD_OVERRIDE=FQ","FILING_STATUS=OR","EQY_CONSOLIDATED=Y","Sort=A","Dates=H","DateFormat=P","Fill=—","Direction=H","UseDPDF=Y")</f>
        <v>#NAME?</v>
      </c>
      <c r="AE76" s="2" t="e">
        <f ca="1">_xll.BDH($C$53,"WORK_CAP_GROWTH","FQ3 2018","FQ3 2018","Currency=INR","Period=FQ","BEST_FPERIOD_OVERRIDE=FQ","FILING_STATUS=OR","EQY_CONSOLIDATED=Y","Sort=A","Dates=H","DateFormat=P","Fill=—","Direction=H","UseDPDF=Y")</f>
        <v>#NAME?</v>
      </c>
      <c r="AF76" s="2" t="e">
        <f ca="1">_xll.BDH($C$53,"ACCOUNTS_PAYABLE_GROWTH_1YR","FQ3 2018","FQ3 2018","Currency=INR","Period=FQ","BEST_FPERIOD_OVERRIDE=FQ","FILING_STATUS=OR","EQY_CONSOLIDATED=Y","Sort=A","Dates=H","DateFormat=P","Fill=—","Direction=H","UseDPDF=Y")</f>
        <v>#NAME?</v>
      </c>
      <c r="AG76" s="2" t="e">
        <f ca="1">_xll.BDH($C$53,"SHORT_TERM_DEBT_1_YEAR_GROWTH","FQ3 2018","FQ3 2018","Currency=INR","Period=FQ","BEST_FPERIOD_OVERRIDE=FQ","FILING_STATUS=OR","EQY_CONSOLIDATED=Y","Sort=A","Dates=H","DateFormat=P","Fill=—","Direction=H","UseDPDF=Y")</f>
        <v>#NAME?</v>
      </c>
      <c r="AH76" s="2" t="e">
        <f ca="1">_xll.BDH($C$53,"TOTAL_DEBT_1_YEAR_GROWTH","FQ3 2018","FQ3 2018","Currency=INR","Period=FQ","BEST_FPERIOD_OVERRIDE=FQ","FILING_STATUS=OR","EQY_CONSOLIDATED=Y","Sort=A","Dates=H","DateFormat=P","Fill=—","Direction=H","UseDPDF=Y")</f>
        <v>#NAME?</v>
      </c>
      <c r="AI76" s="2" t="e">
        <f ca="1">_xll.BDH($C$53,"TOTAL_EQUITY_1_YEAR_GROWTH","FQ3 2018","FQ3 2018","Currency=INR","Period=FQ","BEST_FPERIOD_OVERRIDE=FQ","FILING_STATUS=OR","EQY_CONSOLIDATED=Y","Sort=A","Dates=H","DateFormat=P","Fill=—","Direction=H","UseDPDF=Y")</f>
        <v>#NAME?</v>
      </c>
      <c r="AJ76" s="2" t="e">
        <f ca="1">_xll.BDH($C$53,"GROWTH_IN_CAP","FQ3 2018","FQ3 2018","Currency=INR","Period=FQ","BEST_FPERIOD_OVERRIDE=FQ","FILING_STATUS=OR","EQY_CONSOLIDATED=Y","Sort=A","Dates=H","DateFormat=P","Fill=—","Direction=H","UseDPDF=Y")</f>
        <v>#NAME?</v>
      </c>
      <c r="AK76" s="2" t="e">
        <f ca="1">_xll.BDH($C$53,"BVPS_GROWTH","FQ3 2018","FQ3 2018","Currency=INR","Period=FQ","BEST_FPERIOD_OVERRIDE=FQ","FILING_STATUS=OR","EQY_CONSOLIDATED=Y","Sort=A","Dates=H","DateFormat=P","Fill=—","Direction=H","UseDPDF=Y")</f>
        <v>#NAME?</v>
      </c>
      <c r="AL76" s="2" t="e">
        <f ca="1">_xll.BDH($C$53,"CASH_FLOW_GROWTH","FQ3 2018","FQ3 2018","Currency=INR","Period=FQ","BEST_FPERIOD_OVERRIDE=FQ","FILING_STATUS=OR","EQY_CONSOLIDATED=Y","Sort=A","Dates=H","DateFormat=P","Fill=—","Direction=H","UseDPDF=Y")</f>
        <v>#NAME?</v>
      </c>
      <c r="AM76" s="2" t="e">
        <f ca="1">_xll.BDH($C$53,"GEO_GROW_NET_SALES","FQ3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76" s="2" t="e">
        <f ca="1">_xll.BDH($C$53,"GEO_GROW_EBITDA","FQ3 2018","FQ3 2018","Currency=INR","Period=FQ","BEST_FPERIOD_OVERRIDE=FQ","FILING_STATUS=OR","EQY_CONSOLIDATED=Y","FA_ADJUSTED=GAAP","Sort=A","Dates=H","DateFormat=P","Fill=—","Direction=H","UseDPDF=Y")</f>
        <v>#NAME?</v>
      </c>
      <c r="AO76" s="2" t="e">
        <f ca="1">_xll.BDH($C$53,"GEO_GROW_OPER_INC","FQ3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76" s="2" t="e">
        <f ca="1">_xll.BDH($C$53,"NET_INCOME_TO_COMMON_5_YR_GROWTH","FQ3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76" s="2" t="e">
        <f ca="1">_xll.BDH($C$53,"5Y_GEO_GROWTH_DILUTED_EPS","FQ3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76" s="2" t="e">
        <f ca="1">_xll.BDH($C$53,"GEO_GROW_DVD_PER_SH","FQ3 2018","FQ3 2018","Currency=INR","Period=FQ","BEST_FPERIOD_OVERRIDE=FQ","FILING_STATUS=OR","EQY_CONSOLIDATED=Y","Sort=A","Dates=H","DateFormat=P","Fill=—","Direction=H","UseDPDF=Y")</f>
        <v>#NAME?</v>
      </c>
      <c r="AS76" s="2" t="e">
        <f ca="1">_xll.BDH($C$53,"ACCOUNTS_RECEIVABLE_5_YR_GROWTH","FQ3 2018","FQ3 2018","Currency=INR","Period=FQ","BEST_FPERIOD_OVERRIDE=FQ","FILING_STATUS=OR","EQY_CONSOLIDATED=Y","Sort=A","Dates=H","DateFormat=P","Fill=—","Direction=H","UseDPDF=Y")</f>
        <v>#NAME?</v>
      </c>
      <c r="AT76" s="2" t="e">
        <f ca="1">_xll.BDH($C$53,"INVENTORY_5_YEAR_GROWTH","FQ3 2018","FQ3 2018","Currency=INR","Period=FQ","BEST_FPERIOD_OVERRIDE=FQ","FILING_STATUS=OR","EQY_CONSOLIDATED=Y","Sort=A","Dates=H","DateFormat=P","Fill=—","Direction=H","UseDPDF=Y")</f>
        <v>#NAME?</v>
      </c>
      <c r="AU76" s="2" t="e">
        <f ca="1">_xll.BDH($C$53,"NET_FIXED_ASSETS_5_YEAR_GROWTH","FQ3 2018","FQ3 2018","Currency=INR","Period=FQ","BEST_FPERIOD_OVERRIDE=FQ","FILING_STATUS=OR","EQY_CONSOLIDATED=Y","Sort=A","Dates=H","DateFormat=P","Fill=—","Direction=H","UseDPDF=Y")</f>
        <v>#NAME?</v>
      </c>
      <c r="AV76" s="2" t="e">
        <f ca="1">_xll.BDH($C$53,"GEO_GROW_TOT_ASSET","FQ3 2018","FQ3 2018","Currency=INR","Period=FQ","BEST_FPERIOD_OVERRIDE=FQ","FILING_STATUS=OR","EQY_CONSOLIDATED=Y","Sort=A","Dates=H","DateFormat=P","Fill=—","Direction=H","UseDPDF=Y")</f>
        <v>#NAME?</v>
      </c>
      <c r="AW76" s="2" t="e">
        <f ca="1">_xll.BDH($C$53,"MODIFIED_WORKING_CPTL_5YR_GRWTH","FQ3 2018","FQ3 2018","Currency=INR","Period=FQ","BEST_FPERIOD_OVERRIDE=FQ","FILING_STATUS=OR","EQY_CONSOLIDATED=Y","Sort=A","Dates=H","DateFormat=P","Fill=—","Direction=H","UseDPDF=Y")</f>
        <v>#NAME?</v>
      </c>
      <c r="AX76" s="2" t="e">
        <f ca="1">_xll.BDH($C$53,"WORKING_CAPITAL_5_YEAR_GROWTH","FQ3 2018","FQ3 2018","Currency=INR","Period=FQ","BEST_FPERIOD_OVERRIDE=FQ","FILING_STATUS=OR","EQY_CONSOLIDATED=Y","Sort=A","Dates=H","DateFormat=P","Fill=—","Direction=H","UseDPDF=Y")</f>
        <v>#NAME?</v>
      </c>
      <c r="AY76" s="2" t="e">
        <f ca="1">_xll.BDH($C$53,"ACCOUNTS_PAYABLE_5_YEAR_GROWTH","FQ3 2018","FQ3 2018","Currency=INR","Period=FQ","BEST_FPERIOD_OVERRIDE=FQ","FILING_STATUS=OR","EQY_CONSOLIDATED=Y","Sort=A","Dates=H","DateFormat=P","Fill=—","Direction=H","UseDPDF=Y")</f>
        <v>#NAME?</v>
      </c>
      <c r="AZ76" s="2" t="e">
        <f ca="1">_xll.BDH($C$53,"SHORT_TERM_DEBT_5_YEAR_GROWTH","FQ3 2018","FQ3 2018","Currency=INR","Period=FQ","BEST_FPERIOD_OVERRIDE=FQ","FILING_STATUS=OR","EQY_CONSOLIDATED=Y","Sort=A","Dates=H","DateFormat=P","Fill=—","Direction=H","UseDPDF=Y")</f>
        <v>#NAME?</v>
      </c>
      <c r="BA76" s="2" t="e">
        <f ca="1">_xll.BDH($C$53,"TOTAL_DEBT_5_YEAR_GROWTH","FQ3 2018","FQ3 2018","Currency=INR","Period=FQ","BEST_FPERIOD_OVERRIDE=FQ","FILING_STATUS=OR","EQY_CONSOLIDATED=Y","Sort=A","Dates=H","DateFormat=P","Fill=—","Direction=H","UseDPDF=Y")</f>
        <v>#NAME?</v>
      </c>
      <c r="BB76" s="2" t="e">
        <f ca="1">_xll.BDH($C$53,"GEO_GROW_TOT_SHRHLDR_EQY","FQ3 2018","FQ3 2018","Currency=INR","Period=FQ","BEST_FPERIOD_OVERRIDE=FQ","FILING_STATUS=OR","EQY_CONSOLIDATED=Y","Sort=A","Dates=H","DateFormat=P","Fill=—","Direction=H","UseDPDF=Y")</f>
        <v>#NAME?</v>
      </c>
      <c r="BC76" s="2" t="e">
        <f ca="1">_xll.BDH($C$53,"TOTAL_CAPITAL_5_YEAR_GROWTH","FQ3 2018","FQ3 2018","Currency=INR","Period=FQ","BEST_FPERIOD_OVERRIDE=FQ","FILING_STATUS=OR","EQY_CONSOLIDATED=Y","Sort=A","Dates=H","DateFormat=P","Fill=—","Direction=H","UseDPDF=Y")</f>
        <v>#NAME?</v>
      </c>
      <c r="BD76" s="2" t="e">
        <f ca="1">_xll.BDH($C$53,"GEO_GROW_BOOK_VAL","FQ3 2018","FQ3 2018","Currency=INR","Period=FQ","BEST_FPERIOD_OVERRIDE=FQ","FILING_STATUS=OR","EQY_CONSOLIDATED=Y","Sort=A","Dates=H","DateFormat=P","Fill=—","Direction=H","UseDPDF=Y")</f>
        <v>#NAME?</v>
      </c>
      <c r="BE76" s="2" t="e">
        <f ca="1">_xll.BDH($C$53,"GEO_GROW_CASH_OPER_ACT","FQ3 2018","FQ3 2018","Currency=INR","Period=FQ","BEST_FPERIOD_OVERRIDE=FQ","FILING_STATUS=OR","EQY_CONSOLIDATED=Y","Sort=A","Dates=H","DateFormat=P","Fill=—","Direction=H","UseDPDF=Y")</f>
        <v>#NAME?</v>
      </c>
      <c r="BF76" s="2" t="e">
        <f ca="1">_xll.BDH($C$53,"REVENUE_SEQUENTIAL_GROWTH","FQ3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76" s="2" t="e">
        <f ca="1">_xll.BDH($C$53,"EBITDA_SEQUENTIAL_GROWTH","FQ3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76" s="2" t="e">
        <f ca="1">_xll.BDH($C$53,"OPERATING_INCOME_SEQ_GROWTH","FQ3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76" s="2" t="e">
        <f ca="1">_xll.BDH($C$53,"NET_INCOME_TO_COMMON_SEQ_GROWTH","FQ3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76" s="2" t="e">
        <f ca="1">_xll.BDH($C$53,"EPS_DILUTED_SEQUENTIAL_GROWTH","FQ3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76" s="2" t="e">
        <f ca="1">_xll.BDH($C$53,"DPS_SEQUENTIAL_GROWTH","FQ3 2018","FQ3 2018","Currency=INR","Period=FQ","BEST_FPERIOD_OVERRIDE=FQ","FILING_STATUS=OR","EQY_CONSOLIDATED=Y","Sort=A","Dates=H","DateFormat=P","Fill=—","Direction=H","UseDPDF=Y")</f>
        <v>#NAME?</v>
      </c>
      <c r="BL76" s="2" t="e">
        <f ca="1">_xll.BDH($C$53,"ACCOUNTS_RECEIVABLE_SEQ_GROWTH","FQ3 2018","FQ3 2018","Currency=INR","Period=FQ","BEST_FPERIOD_OVERRIDE=FQ","FILING_STATUS=OR","EQY_CONSOLIDATED=Y","Sort=A","Dates=H","DateFormat=P","Fill=—","Direction=H","UseDPDF=Y")</f>
        <v>#NAME?</v>
      </c>
      <c r="BM76" s="2" t="e">
        <f ca="1">_xll.BDH($C$53,"INVENTORY_SEQUENTIAL_GROWTH","FQ3 2018","FQ3 2018","Currency=INR","Period=FQ","BEST_FPERIOD_OVERRIDE=FQ","FILING_STATUS=OR","EQY_CONSOLIDATED=Y","Sort=A","Dates=H","DateFormat=P","Fill=—","Direction=H","UseDPDF=Y")</f>
        <v>#NAME?</v>
      </c>
      <c r="BN76" s="2" t="e">
        <f ca="1">_xll.BDH($C$53,"FIXED_ASSETS_SEQUENTIAL_GROWTH","FQ3 2018","FQ3 2018","Currency=INR","Period=FQ","BEST_FPERIOD_OVERRIDE=FQ","FILING_STATUS=OR","EQY_CONSOLIDATED=Y","Sort=A","Dates=H","DateFormat=P","Fill=—","Direction=H","UseDPDF=Y")</f>
        <v>#NAME?</v>
      </c>
      <c r="BO76" s="2" t="e">
        <f ca="1">_xll.BDH($C$53,"TOTAL_ASSETS_SEQUENTIAL_GROWTH","FQ3 2018","FQ3 2018","Currency=INR","Period=FQ","BEST_FPERIOD_OVERRIDE=FQ","FILING_STATUS=OR","EQY_CONSOLIDATED=Y","Sort=A","Dates=H","DateFormat=P","Fill=—","Direction=H","UseDPDF=Y")</f>
        <v>#NAME?</v>
      </c>
      <c r="BP76" s="2" t="e">
        <f ca="1">_xll.BDH($C$53,"MODIFIED_WORKING_CPTL_SEQ_GRWTH","FQ3 2018","FQ3 2018","Currency=INR","Period=FQ","BEST_FPERIOD_OVERRIDE=FQ","FILING_STATUS=OR","EQY_CONSOLIDATED=Y","Sort=A","Dates=H","DateFormat=P","Fill=—","Direction=H","UseDPDF=Y")</f>
        <v>#NAME?</v>
      </c>
      <c r="BQ76" s="2" t="e">
        <f ca="1">_xll.BDH($C$53,"WORKING_CAPITAL_SEQ_GROWTH","FQ3 2018","FQ3 2018","Currency=INR","Period=FQ","BEST_FPERIOD_OVERRIDE=FQ","FILING_STATUS=OR","EQY_CONSOLIDATED=Y","Sort=A","Dates=H","DateFormat=P","Fill=—","Direction=H","UseDPDF=Y")</f>
        <v>#NAME?</v>
      </c>
      <c r="BR76" s="2" t="e">
        <f ca="1">_xll.BDH($C$53,"ACCOUNTS_PAYABLE_SEQ_GROWTH","FQ3 2018","FQ3 2018","Currency=INR","Period=FQ","BEST_FPERIOD_OVERRIDE=FQ","FILING_STATUS=OR","EQY_CONSOLIDATED=Y","Sort=A","Dates=H","DateFormat=P","Fill=—","Direction=H","UseDPDF=Y")</f>
        <v>#NAME?</v>
      </c>
      <c r="BS76" s="2" t="e">
        <f ca="1">_xll.BDH($C$53,"ST_DEBT_SEQUENTIAL_GROWTH","FQ3 2018","FQ3 2018","Currency=INR","Period=FQ","BEST_FPERIOD_OVERRIDE=FQ","FILING_STATUS=OR","EQY_CONSOLIDATED=Y","Sort=A","Dates=H","DateFormat=P","Fill=—","Direction=H","UseDPDF=Y")</f>
        <v>#NAME?</v>
      </c>
      <c r="BT76" s="2" t="e">
        <f ca="1">_xll.BDH($C$53,"TOTAL_DEBT_SEQUENTIAL_GROWTH","FQ3 2018","FQ3 2018","Currency=INR","Period=FQ","BEST_FPERIOD_OVERRIDE=FQ","FILING_STATUS=OR","EQY_CONSOLIDATED=Y","Sort=A","Dates=H","DateFormat=P","Fill=—","Direction=H","UseDPDF=Y")</f>
        <v>#NAME?</v>
      </c>
      <c r="BU76" s="2" t="e">
        <f ca="1">_xll.BDH($C$53,"TOTAL_EQUITY_SEQUENTIAL_GROWTH","FQ3 2018","FQ3 2018","Currency=INR","Period=FQ","BEST_FPERIOD_OVERRIDE=FQ","FILING_STATUS=OR","EQY_CONSOLIDATED=Y","Sort=A","Dates=H","DateFormat=P","Fill=—","Direction=H","UseDPDF=Y")</f>
        <v>#NAME?</v>
      </c>
      <c r="BV76" s="2" t="e">
        <f ca="1">_xll.BDH($C$53,"TOTAL_CAPITAL_SEQUENTIAL_GROWTH","FQ3 2018","FQ3 2018","Currency=INR","Period=FQ","BEST_FPERIOD_OVERRIDE=FQ","FILING_STATUS=OR","EQY_CONSOLIDATED=Y","Sort=A","Dates=H","DateFormat=P","Fill=—","Direction=H","UseDPDF=Y")</f>
        <v>#NAME?</v>
      </c>
      <c r="BW76" s="2" t="e">
        <f ca="1">_xll.BDH($C$53,"BPS_SEQUENTIAL_GROWTH","FQ3 2018","FQ3 2018","Currency=INR","Period=FQ","BEST_FPERIOD_OVERRIDE=FQ","FILING_STATUS=OR","EQY_CONSOLIDATED=Y","Sort=A","Dates=H","DateFormat=P","Fill=—","Direction=H","UseDPDF=Y")</f>
        <v>#NAME?</v>
      </c>
      <c r="BX76" s="2" t="e">
        <f ca="1">_xll.BDH($C$53,"CFO_SEQUENTIAL_GROWTH","FQ3 2018","FQ3 2018","Currency=INR","Period=FQ","BEST_FPERIOD_OVERRIDE=FQ","FILING_STATUS=OR","EQY_CONSOLIDATED=Y","Sort=A","Dates=H","DateFormat=P","Fill=—","Direction=H","UseDPDF=Y")</f>
        <v>#NAME?</v>
      </c>
      <c r="BY76" s="3" t="e">
        <f ca="1">_xll.BDH($C$53,"SHORT_AND_LONG_TERM_DEBT","FQ3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76" s="3" t="e">
        <f ca="1">_xll.BDH($C$53,"BS_ST_BORROW","FQ3 2018","FQ3 2018","Currency=INR","Period=FQ","BEST_FPERIOD_OVERRIDE=FQ","FILING_STATUS=OR","EQY_CONSOLIDATED=Y","SCALING_FORMAT=MLN","Sort=A","Dates=H","DateFormat=P","Fill=—","Direction=H","UseDPDF=Y")</f>
        <v>#NAME?</v>
      </c>
      <c r="CA76" s="3" t="e">
        <f ca="1">_xll.BDH($C$53,"BS_LT_BORROW","FQ3 2018","FQ3 2018","Currency=INR","Period=FQ","BEST_FPERIOD_OVERRIDE=FQ","FILING_STATUS=OR","EQY_CONSOLIDATED=Y","SCALING_FORMAT=MLN","Sort=A","Dates=H","DateFormat=P","Fill=—","Direction=H","UseDPDF=Y")</f>
        <v>#NAME?</v>
      </c>
      <c r="CB76" s="2" t="e">
        <f ca="1">_xll.BDH($C$53,"TOT_DEBT_TO_EBITDA","FQ3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76" s="2" t="e">
        <f ca="1">_xll.BDH($C$53,"NET_DEBT_TO_EBITDA","FQ3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76" s="2" t="e">
        <f ca="1">_xll.BDH($C$53,"TOTAL_DEBT_TO_EBIT","FQ3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76" s="2" t="e">
        <f ca="1">_xll.BDH($C$53,"NET_DEBT_TO_EBIT","FQ3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76" s="2" t="e">
        <f ca="1">_xll.BDH($C$53,"EBITDA_TO_INTEREST_EXPN","FQ3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76" s="2" t="e">
        <f ca="1">_xll.BDH($C$53,"COM_EQY_TO_TOT_ASSET","FQ3 2018","FQ3 2018","Currency=INR","Period=FQ","BEST_FPERIOD_OVERRIDE=FQ","FILING_STATUS=OR","EQY_CONSOLIDATED=Y","Sort=A","Dates=H","DateFormat=P","Fill=—","Direction=H","UseDPDF=Y")</f>
        <v>#NAME?</v>
      </c>
      <c r="CH76" s="2" t="e">
        <f ca="1">_xll.BDH($C$53,"LT_DEBT_TO_TOT_EQY","FQ3 2018","FQ3 2018","Currency=INR","Period=FQ","BEST_FPERIOD_OVERRIDE=FQ","FILING_STATUS=OR","EQY_CONSOLIDATED=Y","Sort=A","Dates=H","DateFormat=P","Fill=—","Direction=H","UseDPDF=Y")</f>
        <v>#NAME?</v>
      </c>
      <c r="CI76" s="2" t="e">
        <f ca="1">_xll.BDH($C$53,"LT_DEBT_TO_TOT_CAP","FQ3 2018","FQ3 2018","Currency=INR","Period=FQ","BEST_FPERIOD_OVERRIDE=FQ","FILING_STATUS=OR","EQY_CONSOLIDATED=Y","Sort=A","Dates=H","DateFormat=P","Fill=—","Direction=H","UseDPDF=Y")</f>
        <v>#NAME?</v>
      </c>
      <c r="CJ76" s="2" t="e">
        <f ca="1">_xll.BDH($C$53,"LT_DEBT_TO_TOT_ASSET","FQ3 2018","FQ3 2018","Currency=INR","Period=FQ","BEST_FPERIOD_OVERRIDE=FQ","FILING_STATUS=OR","EQY_CONSOLIDATED=Y","Sort=A","Dates=H","DateFormat=P","Fill=—","Direction=H","UseDPDF=Y")</f>
        <v>#NAME?</v>
      </c>
      <c r="CK76" s="2" t="e">
        <f ca="1">_xll.BDH($C$53,"TOT_DEBT_TO_TOT_EQY","FQ3 2018","FQ3 2018","Currency=INR","Period=FQ","BEST_FPERIOD_OVERRIDE=FQ","FILING_STATUS=OR","EQY_CONSOLIDATED=Y","Sort=A","Dates=H","DateFormat=P","Fill=—","Direction=H","UseDPDF=Y")</f>
        <v>#NAME?</v>
      </c>
      <c r="CL76" s="2" t="e">
        <f ca="1">_xll.BDH($C$53,"TOT_DEBT_TO_TOT_CAP","FQ3 2018","FQ3 2018","Currency=INR","Period=FQ","BEST_FPERIOD_OVERRIDE=FQ","FILING_STATUS=OR","EQY_CONSOLIDATED=Y","Sort=A","Dates=H","DateFormat=P","Fill=—","Direction=H","UseDPDF=Y")</f>
        <v>#NAME?</v>
      </c>
      <c r="CM76" s="2" t="e">
        <f ca="1">_xll.BDH($C$53,"TOT_DEBT_TO_TOT_ASSET","FQ3 2018","FQ3 2018","Currency=INR","Period=FQ","BEST_FPERIOD_OVERRIDE=FQ","FILING_STATUS=OR","EQY_CONSOLIDATED=Y","Sort=A","Dates=H","DateFormat=P","Fill=—","Direction=H","UseDPDF=Y")</f>
        <v>#NAME?</v>
      </c>
      <c r="CN76" s="2" t="e">
        <f ca="1">_xll.BDH($C$53,"NET_DEBT_TO_SHRHLDR_EQTY","FQ3 2018","FQ3 2018","Currency=INR","Period=FQ","BEST_FPERIOD_OVERRIDE=FQ","FILING_STATUS=OR","EQY_CONSOLIDATED=Y","Sort=A","Dates=H","DateFormat=P","Fill=—","Direction=H","UseDPDF=Y")</f>
        <v>#NAME?</v>
      </c>
      <c r="CO76" s="2" t="e">
        <f ca="1">_xll.BDH($C$53,"NET_DEBT_%_CAPITAL","FQ3 2018","FQ3 2018","Currency=INR","Period=FQ","BEST_FPERIOD_OVERRIDE=FQ","FILING_STATUS=OR","EQY_CONSOLIDATED=Y","Sort=A","Dates=H","DateFormat=P","Fill=—","Direction=H","UseDPDF=Y")</f>
        <v>#NAME?</v>
      </c>
      <c r="CP76" s="3" t="e">
        <f ca="1">_xll.BDH($C$53,"EBITDA","FQ3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76" s="3" t="e">
        <f ca="1">_xll.BDH($C$53,"EBITDA_AFTER_CAPEX","FQ3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76" s="3" t="e">
        <f ca="1">_xll.BDH($C$53,"IS_OPER_INC","FQ3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76" s="2" t="e">
        <f ca="1">_xll.BDH($C$53,"CASH_RATIO","FQ3 2018","FQ3 2018","Currency=INR","Period=FQ","BEST_FPERIOD_OVERRIDE=FQ","FILING_STATUS=OR","EQY_CONSOLIDATED=Y","Sort=A","Dates=H","DateFormat=P","Fill=—","Direction=H","UseDPDF=Y")</f>
        <v>#NAME?</v>
      </c>
      <c r="CT76" s="2" t="e">
        <f ca="1">_xll.BDH($C$53,"CUR_RATIO","FQ3 2018","FQ3 2018","Currency=INR","Period=FQ","BEST_FPERIOD_OVERRIDE=FQ","FILING_STATUS=OR","EQY_CONSOLIDATED=Y","Sort=A","Dates=H","DateFormat=P","Fill=—","Direction=H","UseDPDF=Y")</f>
        <v>#NAME?</v>
      </c>
      <c r="CU76" s="2" t="e">
        <f ca="1">_xll.BDH($C$53,"QUICK_RATIO","FQ3 2018","FQ3 2018","Currency=INR","Period=FQ","BEST_FPERIOD_OVERRIDE=FQ","FILING_STATUS=OR","EQY_CONSOLIDATED=Y","Sort=A","Dates=H","DateFormat=P","Fill=—","Direction=H","UseDPDF=Y")</f>
        <v>#NAME?</v>
      </c>
      <c r="CV76" s="2" t="e">
        <f ca="1">_xll.BDH($C$53,"ALTMAN_Z_SCORE","FQ3 2018","FQ3 2018","Currency=INR","Period=FQ","BEST_FPERIOD_OVERRIDE=FQ","FILING_STATUS=OR","EQY_CONSOLIDATED=Y","Sort=A","Dates=H","DateFormat=P","Fill=—","Direction=H","UseDPDF=Y")</f>
        <v>#NAME?</v>
      </c>
      <c r="CW76" s="4" t="e">
        <f ca="1">_xll.BDH($C$53,"ACCT_RCV_TURN","FQ3 2018","FQ3 2018","Currency=INR","Period=FQ","BEST_FPERIOD_OVERRIDE=FQ","FILING_STATUS=OR","EQY_CONSOLIDATED=Y","FA_ADJUSTED=GAAP","Sort=A","Dates=H","DateFormat=P","Fill=—","Direction=H","UseDPDF=Y")</f>
        <v>#NAME?</v>
      </c>
      <c r="CX76" s="2" t="e">
        <f ca="1">_xll.BDH($C$53,"ACCT_RCV_DAYS","FQ3 2018","FQ3 2018","Currency=INR","Period=FQ","BEST_FPERIOD_OVERRIDE=FQ","FILING_STATUS=OR","EQY_CONSOLIDATED=Y","FA_ADJUSTED=GAAP","Sort=A","Dates=H","DateFormat=P","Fill=—","Direction=H","UseDPDF=Y")</f>
        <v>#NAME?</v>
      </c>
      <c r="CY76" s="4" t="e">
        <f ca="1">_xll.BDH($C$53,"INVENT_TURN","FQ3 2018","FQ3 2018","Currency=INR","Period=FQ","BEST_FPERIOD_OVERRIDE=FQ","FILING_STATUS=OR","EQY_CONSOLIDATED=Y","FA_ADJUSTED=GAAP","Sort=A","Dates=H","DateFormat=P","Fill=—","Direction=H","UseDPDF=Y")</f>
        <v>#NAME?</v>
      </c>
      <c r="CZ76" s="2" t="e">
        <f ca="1">_xll.BDH($C$53,"INVENT_DAYS","FQ3 2018","FQ3 2018","Currency=INR","Period=FQ","BEST_FPERIOD_OVERRIDE=FQ","FILING_STATUS=OR","EQY_CONSOLIDATED=Y","FA_ADJUSTED=GAAP","Sort=A","Dates=H","DateFormat=P","Fill=—","Direction=H","UseDPDF=Y")</f>
        <v>#NAME?</v>
      </c>
      <c r="DA76" s="4" t="e">
        <f ca="1">_xll.BDH($C$53,"ACCOUNTS_PAYABLE_TURNOVER","FQ3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76" s="2" t="e">
        <f ca="1">_xll.BDH($C$53,"ACCOUNTS_PAYABLE_TURNOVER_DAYS","FQ3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76" s="4" t="e">
        <f ca="1">_xll.BDH($C$53,"CASH_CONVERSION_CYCLE","FQ3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76" s="4" t="e">
        <f ca="1">_xll.BDH($C$53,"INV_TO_CASH_DAYS","FQ3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76" s="5" t="e">
        <f ca="1">_xll.BDH($C$53,"BS_INVENTORIES","FQ3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76" s="3" t="e">
        <f ca="1">_xll.BDH($C$53,"INVTRY_RAW_MATERIALS","FQ3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76" s="3" t="e">
        <f ca="1">_xll.BDH($C$53,"INVTRY_IN_PROGRESS","FQ3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76" s="3" t="e">
        <f ca="1">_xll.BDH($C$53,"INVTRY_FINISHED_GOODS","FQ3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76" s="3" t="e">
        <f ca="1">_xll.BDH($C$53,"BS_OTHER_INV","FQ3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77" spans="1:113" x14ac:dyDescent="0.3">
      <c r="A77" s="6"/>
      <c r="B77" s="6"/>
      <c r="C77" s="6"/>
      <c r="D77" s="6"/>
      <c r="E77" t="s">
        <v>81</v>
      </c>
      <c r="F77" t="e">
        <f ca="1">_xll.BDH($C$53,"RETURN_COM_EQY","FQ4 2018","FQ4 2018","Currency=INR","Period=FQ","BEST_FPERIOD_OVERRIDE=FQ","FILING_STATUS=OR","EQY_CONSOLIDATED=Y","FA_ADJUSTED=GAAP","Sort=A","Dates=H","DateFormat=P","Fill=—","Direction=H","UseDPDF=Y")</f>
        <v>#NAME?</v>
      </c>
      <c r="G77" t="e">
        <f ca="1">_xll.BDH($C$53,"RETURN_ON_ASSET","FQ4 2018","FQ4 2018","Currency=INR","Period=FQ","BEST_FPERIOD_OVERRIDE=FQ","FILING_STATUS=OR","EQY_CONSOLIDATED=Y","FA_ADJUSTED=GAAP","Sort=A","Dates=H","DateFormat=P","Fill=—","Direction=H","UseDPDF=Y")</f>
        <v>#NAME?</v>
      </c>
      <c r="H77" t="e">
        <f ca="1">_xll.BDH($C$53,"RETURN_ON_CAP","FQ4 2018","FQ4 2018","Currency=INR","Period=FQ","BEST_FPERIOD_OVERRIDE=FQ","FILING_STATUS=OR","EQY_CONSOLIDATED=Y","FA_ADJUSTED=GAAP","Sort=A","Dates=H","DateFormat=P","Fill=—","Direction=H","UseDPDF=Y")</f>
        <v>#NAME?</v>
      </c>
      <c r="I77" t="e">
        <f ca="1">_xll.BDH($C$53,"RETURN_ON_INV_CAPITAL","FQ4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77" t="e">
        <f ca="1">_xll.BDH($C$53,"EBITDA_TO_REVENUE","FQ4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77" t="e">
        <f ca="1">_xll.BDH($C$53,"OPER_MARGIN","FQ4 2018","FQ4 2018","Currency=INR","Period=FQ","BEST_FPERIOD_OVERRIDE=FQ","FILING_STATUS=OR","EQY_CONSOLIDATED=Y","FA_ADJUSTED=GAAP","Sort=A","Dates=H","DateFormat=P","Fill=—","Direction=H","UseDPDF=Y")</f>
        <v>#NAME?</v>
      </c>
      <c r="L77" t="e">
        <f ca="1">_xll.BDH($C$53,"INCREMENTAL_OPERATING_MARGIN","FQ4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77" t="e">
        <f ca="1">_xll.BDH($C$53,"PRETAX_INC_TO_NET_SALES","FQ4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77" t="e">
        <f ca="1">_xll.BDH($C$53,"INC_BEF_XO_ITEMS_TO_NET_SALES","FQ4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77" t="e">
        <f ca="1">_xll.BDH($C$53,"PROF_MARGIN","FQ4 2018","FQ4 2018","Currency=INR","Period=FQ","BEST_FPERIOD_OVERRIDE=FQ","FILING_STATUS=OR","EQY_CONSOLIDATED=Y","FA_ADJUSTED=GAAP","Sort=A","Dates=H","DateFormat=P","Fill=—","Direction=H","UseDPDF=Y")</f>
        <v>#NAME?</v>
      </c>
      <c r="P77" t="e">
        <f ca="1">_xll.BDH($C$53,"NET_INCOME_TO_COMMON_MARGIN","FQ4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77" t="e">
        <f ca="1">_xll.BDH($C$53,"EFF_TAX_RATE","FQ4 2018","FQ4 2018","Currency=INR","Period=FQ","BEST_FPERIOD_OVERRIDE=FQ","FILING_STATUS=OR","EQY_CONSOLIDATED=Y","FA_ADJUSTED=GAAP","Sort=A","Dates=H","DateFormat=P","Fill=—","Direction=H","UseDPDF=Y")</f>
        <v>#NAME?</v>
      </c>
      <c r="R77" t="e">
        <f ca="1">_xll.BDH($C$53,"DVD_PAYOUT_RATIO","FQ4 2018","FQ4 2018","Currency=INR","Period=FQ","BEST_FPERIOD_OVERRIDE=FQ","FILING_STATUS=OR","EQY_CONSOLIDATED=Y","FA_ADJUSTED=GAAP","Sort=A","Dates=H","DateFormat=P","Fill=—","Direction=H","UseDPDF=Y")</f>
        <v>#NAME?</v>
      </c>
      <c r="S77" t="e">
        <f ca="1">_xll.BDH($C$53,"SUSTAIN_GROWTH_RT","FQ4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77" s="2" t="e">
        <f ca="1">_xll.BDH($C$53,"SALES_GROWTH","FQ4 2018","FQ4 2018","Currency=INR","Period=FQ","BEST_FPERIOD_OVERRIDE=FQ","FILING_STATUS=OR","EQY_CONSOLIDATED=Y","FA_ADJUSTED=GAAP","Sort=A","Dates=H","DateFormat=P","Fill=—","Direction=H","UseDPDF=Y")</f>
        <v>#NAME?</v>
      </c>
      <c r="U77" s="2" t="e">
        <f ca="1">_xll.BDH($C$53,"EBITDA_GROWTH","FQ4 2018","FQ4 2018","Currency=INR","Period=FQ","BEST_FPERIOD_OVERRIDE=FQ","FILING_STATUS=OR","EQY_CONSOLIDATED=Y","FA_ADJUSTED=GAAP","Sort=A","Dates=H","DateFormat=P","Fill=—","Direction=H","UseDPDF=Y")</f>
        <v>#NAME?</v>
      </c>
      <c r="V77" s="2" t="e">
        <f ca="1">_xll.BDH($C$53,"OPER_INC_GROWTH","FQ4 2018","FQ4 2018","Currency=INR","Period=FQ","BEST_FPERIOD_OVERRIDE=FQ","FILING_STATUS=OR","EQY_CONSOLIDATED=Y","FA_ADJUSTED=GAAP","Sort=A","Dates=H","DateFormat=P","Fill=—","Direction=H","UseDPDF=Y")</f>
        <v>#NAME?</v>
      </c>
      <c r="W77" s="2" t="e">
        <f ca="1">_xll.BDH($C$53,"EARN_FOR_COM_GROWTH","FQ4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77" s="2" t="e">
        <f ca="1">_xll.BDH($C$53,"DILUTED_EPS_AFT_XO_ITEMS_GROWTH","FQ4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77" s="2" t="e">
        <f ca="1">_xll.BDH($C$53,"DIVIDEND_PER_SHARE_1_YEAR_GROWTH","FQ4 2018","FQ4 2018","Currency=INR","Period=FQ","BEST_FPERIOD_OVERRIDE=FQ","FILING_STATUS=OR","EQY_CONSOLIDATED=Y","Sort=A","Dates=H","DateFormat=P","Fill=—","Direction=H","UseDPDF=Y")</f>
        <v>#NAME?</v>
      </c>
      <c r="Z77" s="2" t="e">
        <f ca="1">_xll.BDH($C$53,"ACCOUNTS_RECEIVABLE_GROWTH","FQ4 2018","FQ4 2018","Currency=INR","Period=FQ","BEST_FPERIOD_OVERRIDE=FQ","FILING_STATUS=OR","EQY_CONSOLIDATED=Y","Sort=A","Dates=H","DateFormat=P","Fill=—","Direction=H","UseDPDF=Y")</f>
        <v>#NAME?</v>
      </c>
      <c r="AA77" s="2" t="e">
        <f ca="1">_xll.BDH($C$53,"INVENTORY_GROWTH","FQ4 2018","FQ4 2018","Currency=INR","Period=FQ","BEST_FPERIOD_OVERRIDE=FQ","FILING_STATUS=OR","EQY_CONSOLIDATED=Y","Sort=A","Dates=H","DateFormat=P","Fill=—","Direction=H","UseDPDF=Y")</f>
        <v>#NAME?</v>
      </c>
      <c r="AB77" s="2" t="e">
        <f ca="1">_xll.BDH($C$53,"NET_FIXED_ASSETS_1_YEAR_GROWTH","FQ4 2018","FQ4 2018","Currency=INR","Period=FQ","BEST_FPERIOD_OVERRIDE=FQ","FILING_STATUS=OR","EQY_CONSOLIDATED=Y","Sort=A","Dates=H","DateFormat=P","Fill=—","Direction=H","UseDPDF=Y")</f>
        <v>#NAME?</v>
      </c>
      <c r="AC77" s="2" t="e">
        <f ca="1">_xll.BDH($C$53,"ASSET_GROWTH","FQ4 2018","FQ4 2018","Currency=INR","Period=FQ","BEST_FPERIOD_OVERRIDE=FQ","FILING_STATUS=OR","EQY_CONSOLIDATED=Y","Sort=A","Dates=H","DateFormat=P","Fill=—","Direction=H","UseDPDF=Y")</f>
        <v>#NAME?</v>
      </c>
      <c r="AD77" s="2" t="e">
        <f ca="1">_xll.BDH($C$53,"MODIFIED_WORK_CAP_GROWTH","FQ4 2018","FQ4 2018","Currency=INR","Period=FQ","BEST_FPERIOD_OVERRIDE=FQ","FILING_STATUS=OR","EQY_CONSOLIDATED=Y","Sort=A","Dates=H","DateFormat=P","Fill=—","Direction=H","UseDPDF=Y")</f>
        <v>#NAME?</v>
      </c>
      <c r="AE77" s="2" t="e">
        <f ca="1">_xll.BDH($C$53,"WORK_CAP_GROWTH","FQ4 2018","FQ4 2018","Currency=INR","Period=FQ","BEST_FPERIOD_OVERRIDE=FQ","FILING_STATUS=OR","EQY_CONSOLIDATED=Y","Sort=A","Dates=H","DateFormat=P","Fill=—","Direction=H","UseDPDF=Y")</f>
        <v>#NAME?</v>
      </c>
      <c r="AF77" s="2" t="e">
        <f ca="1">_xll.BDH($C$53,"ACCOUNTS_PAYABLE_GROWTH_1YR","FQ4 2018","FQ4 2018","Currency=INR","Period=FQ","BEST_FPERIOD_OVERRIDE=FQ","FILING_STATUS=OR","EQY_CONSOLIDATED=Y","Sort=A","Dates=H","DateFormat=P","Fill=—","Direction=H","UseDPDF=Y")</f>
        <v>#NAME?</v>
      </c>
      <c r="AG77" s="2" t="e">
        <f ca="1">_xll.BDH($C$53,"SHORT_TERM_DEBT_1_YEAR_GROWTH","FQ4 2018","FQ4 2018","Currency=INR","Period=FQ","BEST_FPERIOD_OVERRIDE=FQ","FILING_STATUS=OR","EQY_CONSOLIDATED=Y","Sort=A","Dates=H","DateFormat=P","Fill=—","Direction=H","UseDPDF=Y")</f>
        <v>#NAME?</v>
      </c>
      <c r="AH77" s="2" t="e">
        <f ca="1">_xll.BDH($C$53,"TOTAL_DEBT_1_YEAR_GROWTH","FQ4 2018","FQ4 2018","Currency=INR","Period=FQ","BEST_FPERIOD_OVERRIDE=FQ","FILING_STATUS=OR","EQY_CONSOLIDATED=Y","Sort=A","Dates=H","DateFormat=P","Fill=—","Direction=H","UseDPDF=Y")</f>
        <v>#NAME?</v>
      </c>
      <c r="AI77" s="2" t="e">
        <f ca="1">_xll.BDH($C$53,"TOTAL_EQUITY_1_YEAR_GROWTH","FQ4 2018","FQ4 2018","Currency=INR","Period=FQ","BEST_FPERIOD_OVERRIDE=FQ","FILING_STATUS=OR","EQY_CONSOLIDATED=Y","Sort=A","Dates=H","DateFormat=P","Fill=—","Direction=H","UseDPDF=Y")</f>
        <v>#NAME?</v>
      </c>
      <c r="AJ77" s="2" t="e">
        <f ca="1">_xll.BDH($C$53,"GROWTH_IN_CAP","FQ4 2018","FQ4 2018","Currency=INR","Period=FQ","BEST_FPERIOD_OVERRIDE=FQ","FILING_STATUS=OR","EQY_CONSOLIDATED=Y","Sort=A","Dates=H","DateFormat=P","Fill=—","Direction=H","UseDPDF=Y")</f>
        <v>#NAME?</v>
      </c>
      <c r="AK77" s="2" t="e">
        <f ca="1">_xll.BDH($C$53,"BVPS_GROWTH","FQ4 2018","FQ4 2018","Currency=INR","Period=FQ","BEST_FPERIOD_OVERRIDE=FQ","FILING_STATUS=OR","EQY_CONSOLIDATED=Y","Sort=A","Dates=H","DateFormat=P","Fill=—","Direction=H","UseDPDF=Y")</f>
        <v>#NAME?</v>
      </c>
      <c r="AL77" s="2" t="e">
        <f ca="1">_xll.BDH($C$53,"CASH_FLOW_GROWTH","FQ4 2018","FQ4 2018","Currency=INR","Period=FQ","BEST_FPERIOD_OVERRIDE=FQ","FILING_STATUS=OR","EQY_CONSOLIDATED=Y","Sort=A","Dates=H","DateFormat=P","Fill=—","Direction=H","UseDPDF=Y")</f>
        <v>#NAME?</v>
      </c>
      <c r="AM77" s="2" t="e">
        <f ca="1">_xll.BDH($C$53,"GEO_GROW_NET_SALES","FQ4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77" s="2" t="e">
        <f ca="1">_xll.BDH($C$53,"GEO_GROW_EBITDA","FQ4 2018","FQ4 2018","Currency=INR","Period=FQ","BEST_FPERIOD_OVERRIDE=FQ","FILING_STATUS=OR","EQY_CONSOLIDATED=Y","FA_ADJUSTED=GAAP","Sort=A","Dates=H","DateFormat=P","Fill=—","Direction=H","UseDPDF=Y")</f>
        <v>#NAME?</v>
      </c>
      <c r="AO77" s="2" t="e">
        <f ca="1">_xll.BDH($C$53,"GEO_GROW_OPER_INC","FQ4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77" s="2" t="e">
        <f ca="1">_xll.BDH($C$53,"NET_INCOME_TO_COMMON_5_YR_GROWTH","FQ4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77" s="2" t="e">
        <f ca="1">_xll.BDH($C$53,"5Y_GEO_GROWTH_DILUTED_EPS","FQ4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77" s="2" t="e">
        <f ca="1">_xll.BDH($C$53,"GEO_GROW_DVD_PER_SH","FQ4 2018","FQ4 2018","Currency=INR","Period=FQ","BEST_FPERIOD_OVERRIDE=FQ","FILING_STATUS=OR","EQY_CONSOLIDATED=Y","Sort=A","Dates=H","DateFormat=P","Fill=—","Direction=H","UseDPDF=Y")</f>
        <v>#NAME?</v>
      </c>
      <c r="AS77" s="2" t="e">
        <f ca="1">_xll.BDH($C$53,"ACCOUNTS_RECEIVABLE_5_YR_GROWTH","FQ4 2018","FQ4 2018","Currency=INR","Period=FQ","BEST_FPERIOD_OVERRIDE=FQ","FILING_STATUS=OR","EQY_CONSOLIDATED=Y","Sort=A","Dates=H","DateFormat=P","Fill=—","Direction=H","UseDPDF=Y")</f>
        <v>#NAME?</v>
      </c>
      <c r="AT77" s="2" t="e">
        <f ca="1">_xll.BDH($C$53,"INVENTORY_5_YEAR_GROWTH","FQ4 2018","FQ4 2018","Currency=INR","Period=FQ","BEST_FPERIOD_OVERRIDE=FQ","FILING_STATUS=OR","EQY_CONSOLIDATED=Y","Sort=A","Dates=H","DateFormat=P","Fill=—","Direction=H","UseDPDF=Y")</f>
        <v>#NAME?</v>
      </c>
      <c r="AU77" s="2" t="e">
        <f ca="1">_xll.BDH($C$53,"NET_FIXED_ASSETS_5_YEAR_GROWTH","FQ4 2018","FQ4 2018","Currency=INR","Period=FQ","BEST_FPERIOD_OVERRIDE=FQ","FILING_STATUS=OR","EQY_CONSOLIDATED=Y","Sort=A","Dates=H","DateFormat=P","Fill=—","Direction=H","UseDPDF=Y")</f>
        <v>#NAME?</v>
      </c>
      <c r="AV77" s="2" t="e">
        <f ca="1">_xll.BDH($C$53,"GEO_GROW_TOT_ASSET","FQ4 2018","FQ4 2018","Currency=INR","Period=FQ","BEST_FPERIOD_OVERRIDE=FQ","FILING_STATUS=OR","EQY_CONSOLIDATED=Y","Sort=A","Dates=H","DateFormat=P","Fill=—","Direction=H","UseDPDF=Y")</f>
        <v>#NAME?</v>
      </c>
      <c r="AW77" s="2" t="e">
        <f ca="1">_xll.BDH($C$53,"MODIFIED_WORKING_CPTL_5YR_GRWTH","FQ4 2018","FQ4 2018","Currency=INR","Period=FQ","BEST_FPERIOD_OVERRIDE=FQ","FILING_STATUS=OR","EQY_CONSOLIDATED=Y","Sort=A","Dates=H","DateFormat=P","Fill=—","Direction=H","UseDPDF=Y")</f>
        <v>#NAME?</v>
      </c>
      <c r="AX77" s="2" t="e">
        <f ca="1">_xll.BDH($C$53,"WORKING_CAPITAL_5_YEAR_GROWTH","FQ4 2018","FQ4 2018","Currency=INR","Period=FQ","BEST_FPERIOD_OVERRIDE=FQ","FILING_STATUS=OR","EQY_CONSOLIDATED=Y","Sort=A","Dates=H","DateFormat=P","Fill=—","Direction=H","UseDPDF=Y")</f>
        <v>#NAME?</v>
      </c>
      <c r="AY77" s="2" t="e">
        <f ca="1">_xll.BDH($C$53,"ACCOUNTS_PAYABLE_5_YEAR_GROWTH","FQ4 2018","FQ4 2018","Currency=INR","Period=FQ","BEST_FPERIOD_OVERRIDE=FQ","FILING_STATUS=OR","EQY_CONSOLIDATED=Y","Sort=A","Dates=H","DateFormat=P","Fill=—","Direction=H","UseDPDF=Y")</f>
        <v>#NAME?</v>
      </c>
      <c r="AZ77" s="2" t="e">
        <f ca="1">_xll.BDH($C$53,"SHORT_TERM_DEBT_5_YEAR_GROWTH","FQ4 2018","FQ4 2018","Currency=INR","Period=FQ","BEST_FPERIOD_OVERRIDE=FQ","FILING_STATUS=OR","EQY_CONSOLIDATED=Y","Sort=A","Dates=H","DateFormat=P","Fill=—","Direction=H","UseDPDF=Y")</f>
        <v>#NAME?</v>
      </c>
      <c r="BA77" s="2" t="e">
        <f ca="1">_xll.BDH($C$53,"TOTAL_DEBT_5_YEAR_GROWTH","FQ4 2018","FQ4 2018","Currency=INR","Period=FQ","BEST_FPERIOD_OVERRIDE=FQ","FILING_STATUS=OR","EQY_CONSOLIDATED=Y","Sort=A","Dates=H","DateFormat=P","Fill=—","Direction=H","UseDPDF=Y")</f>
        <v>#NAME?</v>
      </c>
      <c r="BB77" s="2" t="e">
        <f ca="1">_xll.BDH($C$53,"GEO_GROW_TOT_SHRHLDR_EQY","FQ4 2018","FQ4 2018","Currency=INR","Period=FQ","BEST_FPERIOD_OVERRIDE=FQ","FILING_STATUS=OR","EQY_CONSOLIDATED=Y","Sort=A","Dates=H","DateFormat=P","Fill=—","Direction=H","UseDPDF=Y")</f>
        <v>#NAME?</v>
      </c>
      <c r="BC77" s="2" t="e">
        <f ca="1">_xll.BDH($C$53,"TOTAL_CAPITAL_5_YEAR_GROWTH","FQ4 2018","FQ4 2018","Currency=INR","Period=FQ","BEST_FPERIOD_OVERRIDE=FQ","FILING_STATUS=OR","EQY_CONSOLIDATED=Y","Sort=A","Dates=H","DateFormat=P","Fill=—","Direction=H","UseDPDF=Y")</f>
        <v>#NAME?</v>
      </c>
      <c r="BD77" s="2" t="e">
        <f ca="1">_xll.BDH($C$53,"GEO_GROW_BOOK_VAL","FQ4 2018","FQ4 2018","Currency=INR","Period=FQ","BEST_FPERIOD_OVERRIDE=FQ","FILING_STATUS=OR","EQY_CONSOLIDATED=Y","Sort=A","Dates=H","DateFormat=P","Fill=—","Direction=H","UseDPDF=Y")</f>
        <v>#NAME?</v>
      </c>
      <c r="BE77" s="2" t="e">
        <f ca="1">_xll.BDH($C$53,"GEO_GROW_CASH_OPER_ACT","FQ4 2018","FQ4 2018","Currency=INR","Period=FQ","BEST_FPERIOD_OVERRIDE=FQ","FILING_STATUS=OR","EQY_CONSOLIDATED=Y","Sort=A","Dates=H","DateFormat=P","Fill=—","Direction=H","UseDPDF=Y")</f>
        <v>#NAME?</v>
      </c>
      <c r="BF77" s="2" t="e">
        <f ca="1">_xll.BDH($C$53,"REVENUE_SEQUENTIAL_GROWTH","FQ4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77" s="2" t="e">
        <f ca="1">_xll.BDH($C$53,"EBITDA_SEQUENTIAL_GROWTH","FQ4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77" s="2" t="e">
        <f ca="1">_xll.BDH($C$53,"OPERATING_INCOME_SEQ_GROWTH","FQ4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77" s="2" t="e">
        <f ca="1">_xll.BDH($C$53,"NET_INCOME_TO_COMMON_SEQ_GROWTH","FQ4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77" s="2" t="e">
        <f ca="1">_xll.BDH($C$53,"EPS_DILUTED_SEQUENTIAL_GROWTH","FQ4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77" s="2" t="e">
        <f ca="1">_xll.BDH($C$53,"DPS_SEQUENTIAL_GROWTH","FQ4 2018","FQ4 2018","Currency=INR","Period=FQ","BEST_FPERIOD_OVERRIDE=FQ","FILING_STATUS=OR","EQY_CONSOLIDATED=Y","Sort=A","Dates=H","DateFormat=P","Fill=—","Direction=H","UseDPDF=Y")</f>
        <v>#NAME?</v>
      </c>
      <c r="BL77" s="2" t="e">
        <f ca="1">_xll.BDH($C$53,"ACCOUNTS_RECEIVABLE_SEQ_GROWTH","FQ4 2018","FQ4 2018","Currency=INR","Period=FQ","BEST_FPERIOD_OVERRIDE=FQ","FILING_STATUS=OR","EQY_CONSOLIDATED=Y","Sort=A","Dates=H","DateFormat=P","Fill=—","Direction=H","UseDPDF=Y")</f>
        <v>#NAME?</v>
      </c>
      <c r="BM77" s="2" t="e">
        <f ca="1">_xll.BDH($C$53,"INVENTORY_SEQUENTIAL_GROWTH","FQ4 2018","FQ4 2018","Currency=INR","Period=FQ","BEST_FPERIOD_OVERRIDE=FQ","FILING_STATUS=OR","EQY_CONSOLIDATED=Y","Sort=A","Dates=H","DateFormat=P","Fill=—","Direction=H","UseDPDF=Y")</f>
        <v>#NAME?</v>
      </c>
      <c r="BN77" s="2" t="e">
        <f ca="1">_xll.BDH($C$53,"FIXED_ASSETS_SEQUENTIAL_GROWTH","FQ4 2018","FQ4 2018","Currency=INR","Period=FQ","BEST_FPERIOD_OVERRIDE=FQ","FILING_STATUS=OR","EQY_CONSOLIDATED=Y","Sort=A","Dates=H","DateFormat=P","Fill=—","Direction=H","UseDPDF=Y")</f>
        <v>#NAME?</v>
      </c>
      <c r="BO77" s="2" t="e">
        <f ca="1">_xll.BDH($C$53,"TOTAL_ASSETS_SEQUENTIAL_GROWTH","FQ4 2018","FQ4 2018","Currency=INR","Period=FQ","BEST_FPERIOD_OVERRIDE=FQ","FILING_STATUS=OR","EQY_CONSOLIDATED=Y","Sort=A","Dates=H","DateFormat=P","Fill=—","Direction=H","UseDPDF=Y")</f>
        <v>#NAME?</v>
      </c>
      <c r="BP77" s="2" t="e">
        <f ca="1">_xll.BDH($C$53,"MODIFIED_WORKING_CPTL_SEQ_GRWTH","FQ4 2018","FQ4 2018","Currency=INR","Period=FQ","BEST_FPERIOD_OVERRIDE=FQ","FILING_STATUS=OR","EQY_CONSOLIDATED=Y","Sort=A","Dates=H","DateFormat=P","Fill=—","Direction=H","UseDPDF=Y")</f>
        <v>#NAME?</v>
      </c>
      <c r="BQ77" s="2" t="e">
        <f ca="1">_xll.BDH($C$53,"WORKING_CAPITAL_SEQ_GROWTH","FQ4 2018","FQ4 2018","Currency=INR","Period=FQ","BEST_FPERIOD_OVERRIDE=FQ","FILING_STATUS=OR","EQY_CONSOLIDATED=Y","Sort=A","Dates=H","DateFormat=P","Fill=—","Direction=H","UseDPDF=Y")</f>
        <v>#NAME?</v>
      </c>
      <c r="BR77" s="2" t="e">
        <f ca="1">_xll.BDH($C$53,"ACCOUNTS_PAYABLE_SEQ_GROWTH","FQ4 2018","FQ4 2018","Currency=INR","Period=FQ","BEST_FPERIOD_OVERRIDE=FQ","FILING_STATUS=OR","EQY_CONSOLIDATED=Y","Sort=A","Dates=H","DateFormat=P","Fill=—","Direction=H","UseDPDF=Y")</f>
        <v>#NAME?</v>
      </c>
      <c r="BS77" s="2" t="e">
        <f ca="1">_xll.BDH($C$53,"ST_DEBT_SEQUENTIAL_GROWTH","FQ4 2018","FQ4 2018","Currency=INR","Period=FQ","BEST_FPERIOD_OVERRIDE=FQ","FILING_STATUS=OR","EQY_CONSOLIDATED=Y","Sort=A","Dates=H","DateFormat=P","Fill=—","Direction=H","UseDPDF=Y")</f>
        <v>#NAME?</v>
      </c>
      <c r="BT77" s="2" t="e">
        <f ca="1">_xll.BDH($C$53,"TOTAL_DEBT_SEQUENTIAL_GROWTH","FQ4 2018","FQ4 2018","Currency=INR","Period=FQ","BEST_FPERIOD_OVERRIDE=FQ","FILING_STATUS=OR","EQY_CONSOLIDATED=Y","Sort=A","Dates=H","DateFormat=P","Fill=—","Direction=H","UseDPDF=Y")</f>
        <v>#NAME?</v>
      </c>
      <c r="BU77" s="2" t="e">
        <f ca="1">_xll.BDH($C$53,"TOTAL_EQUITY_SEQUENTIAL_GROWTH","FQ4 2018","FQ4 2018","Currency=INR","Period=FQ","BEST_FPERIOD_OVERRIDE=FQ","FILING_STATUS=OR","EQY_CONSOLIDATED=Y","Sort=A","Dates=H","DateFormat=P","Fill=—","Direction=H","UseDPDF=Y")</f>
        <v>#NAME?</v>
      </c>
      <c r="BV77" s="2" t="e">
        <f ca="1">_xll.BDH($C$53,"TOTAL_CAPITAL_SEQUENTIAL_GROWTH","FQ4 2018","FQ4 2018","Currency=INR","Period=FQ","BEST_FPERIOD_OVERRIDE=FQ","FILING_STATUS=OR","EQY_CONSOLIDATED=Y","Sort=A","Dates=H","DateFormat=P","Fill=—","Direction=H","UseDPDF=Y")</f>
        <v>#NAME?</v>
      </c>
      <c r="BW77" s="2" t="e">
        <f ca="1">_xll.BDH($C$53,"BPS_SEQUENTIAL_GROWTH","FQ4 2018","FQ4 2018","Currency=INR","Period=FQ","BEST_FPERIOD_OVERRIDE=FQ","FILING_STATUS=OR","EQY_CONSOLIDATED=Y","Sort=A","Dates=H","DateFormat=P","Fill=—","Direction=H","UseDPDF=Y")</f>
        <v>#NAME?</v>
      </c>
      <c r="BX77" s="2" t="e">
        <f ca="1">_xll.BDH($C$53,"CFO_SEQUENTIAL_GROWTH","FQ4 2018","FQ4 2018","Currency=INR","Period=FQ","BEST_FPERIOD_OVERRIDE=FQ","FILING_STATUS=OR","EQY_CONSOLIDATED=Y","Sort=A","Dates=H","DateFormat=P","Fill=—","Direction=H","UseDPDF=Y")</f>
        <v>#NAME?</v>
      </c>
      <c r="BY77" s="3" t="e">
        <f ca="1">_xll.BDH($C$53,"SHORT_AND_LONG_TERM_DEBT","FQ4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77" s="3" t="e">
        <f ca="1">_xll.BDH($C$53,"BS_ST_BORROW","FQ4 2018","FQ4 2018","Currency=INR","Period=FQ","BEST_FPERIOD_OVERRIDE=FQ","FILING_STATUS=OR","EQY_CONSOLIDATED=Y","SCALING_FORMAT=MLN","Sort=A","Dates=H","DateFormat=P","Fill=—","Direction=H","UseDPDF=Y")</f>
        <v>#NAME?</v>
      </c>
      <c r="CA77" s="3" t="e">
        <f ca="1">_xll.BDH($C$53,"BS_LT_BORROW","FQ4 2018","FQ4 2018","Currency=INR","Period=FQ","BEST_FPERIOD_OVERRIDE=FQ","FILING_STATUS=OR","EQY_CONSOLIDATED=Y","SCALING_FORMAT=MLN","Sort=A","Dates=H","DateFormat=P","Fill=—","Direction=H","UseDPDF=Y")</f>
        <v>#NAME?</v>
      </c>
      <c r="CB77" s="2" t="e">
        <f ca="1">_xll.BDH($C$53,"TOT_DEBT_TO_EBITDA","FQ4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77" s="2" t="e">
        <f ca="1">_xll.BDH($C$53,"NET_DEBT_TO_EBITDA","FQ4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77" s="2" t="e">
        <f ca="1">_xll.BDH($C$53,"TOTAL_DEBT_TO_EBIT","FQ4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77" s="2" t="e">
        <f ca="1">_xll.BDH($C$53,"NET_DEBT_TO_EBIT","FQ4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77" s="2" t="e">
        <f ca="1">_xll.BDH($C$53,"EBITDA_TO_INTEREST_EXPN","FQ4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77" s="2" t="e">
        <f ca="1">_xll.BDH($C$53,"COM_EQY_TO_TOT_ASSET","FQ4 2018","FQ4 2018","Currency=INR","Period=FQ","BEST_FPERIOD_OVERRIDE=FQ","FILING_STATUS=OR","EQY_CONSOLIDATED=Y","Sort=A","Dates=H","DateFormat=P","Fill=—","Direction=H","UseDPDF=Y")</f>
        <v>#NAME?</v>
      </c>
      <c r="CH77" s="2" t="e">
        <f ca="1">_xll.BDH($C$53,"LT_DEBT_TO_TOT_EQY","FQ4 2018","FQ4 2018","Currency=INR","Period=FQ","BEST_FPERIOD_OVERRIDE=FQ","FILING_STATUS=OR","EQY_CONSOLIDATED=Y","Sort=A","Dates=H","DateFormat=P","Fill=—","Direction=H","UseDPDF=Y")</f>
        <v>#NAME?</v>
      </c>
      <c r="CI77" s="2" t="e">
        <f ca="1">_xll.BDH($C$53,"LT_DEBT_TO_TOT_CAP","FQ4 2018","FQ4 2018","Currency=INR","Period=FQ","BEST_FPERIOD_OVERRIDE=FQ","FILING_STATUS=OR","EQY_CONSOLIDATED=Y","Sort=A","Dates=H","DateFormat=P","Fill=—","Direction=H","UseDPDF=Y")</f>
        <v>#NAME?</v>
      </c>
      <c r="CJ77" s="2" t="e">
        <f ca="1">_xll.BDH($C$53,"LT_DEBT_TO_TOT_ASSET","FQ4 2018","FQ4 2018","Currency=INR","Period=FQ","BEST_FPERIOD_OVERRIDE=FQ","FILING_STATUS=OR","EQY_CONSOLIDATED=Y","Sort=A","Dates=H","DateFormat=P","Fill=—","Direction=H","UseDPDF=Y")</f>
        <v>#NAME?</v>
      </c>
      <c r="CK77" s="2" t="e">
        <f ca="1">_xll.BDH($C$53,"TOT_DEBT_TO_TOT_EQY","FQ4 2018","FQ4 2018","Currency=INR","Period=FQ","BEST_FPERIOD_OVERRIDE=FQ","FILING_STATUS=OR","EQY_CONSOLIDATED=Y","Sort=A","Dates=H","DateFormat=P","Fill=—","Direction=H","UseDPDF=Y")</f>
        <v>#NAME?</v>
      </c>
      <c r="CL77" s="2" t="e">
        <f ca="1">_xll.BDH($C$53,"TOT_DEBT_TO_TOT_CAP","FQ4 2018","FQ4 2018","Currency=INR","Period=FQ","BEST_FPERIOD_OVERRIDE=FQ","FILING_STATUS=OR","EQY_CONSOLIDATED=Y","Sort=A","Dates=H","DateFormat=P","Fill=—","Direction=H","UseDPDF=Y")</f>
        <v>#NAME?</v>
      </c>
      <c r="CM77" s="2" t="e">
        <f ca="1">_xll.BDH($C$53,"TOT_DEBT_TO_TOT_ASSET","FQ4 2018","FQ4 2018","Currency=INR","Period=FQ","BEST_FPERIOD_OVERRIDE=FQ","FILING_STATUS=OR","EQY_CONSOLIDATED=Y","Sort=A","Dates=H","DateFormat=P","Fill=—","Direction=H","UseDPDF=Y")</f>
        <v>#NAME?</v>
      </c>
      <c r="CN77" s="2" t="e">
        <f ca="1">_xll.BDH($C$53,"NET_DEBT_TO_SHRHLDR_EQTY","FQ4 2018","FQ4 2018","Currency=INR","Period=FQ","BEST_FPERIOD_OVERRIDE=FQ","FILING_STATUS=OR","EQY_CONSOLIDATED=Y","Sort=A","Dates=H","DateFormat=P","Fill=—","Direction=H","UseDPDF=Y")</f>
        <v>#NAME?</v>
      </c>
      <c r="CO77" s="2" t="e">
        <f ca="1">_xll.BDH($C$53,"NET_DEBT_%_CAPITAL","FQ4 2018","FQ4 2018","Currency=INR","Period=FQ","BEST_FPERIOD_OVERRIDE=FQ","FILING_STATUS=OR","EQY_CONSOLIDATED=Y","Sort=A","Dates=H","DateFormat=P","Fill=—","Direction=H","UseDPDF=Y")</f>
        <v>#NAME?</v>
      </c>
      <c r="CP77" s="3" t="e">
        <f ca="1">_xll.BDH($C$53,"EBITDA","FQ4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77" s="3" t="e">
        <f ca="1">_xll.BDH($C$53,"EBITDA_AFTER_CAPEX","FQ4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77" s="3" t="e">
        <f ca="1">_xll.BDH($C$53,"IS_OPER_INC","FQ4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77" s="2" t="e">
        <f ca="1">_xll.BDH($C$53,"CASH_RATIO","FQ4 2018","FQ4 2018","Currency=INR","Period=FQ","BEST_FPERIOD_OVERRIDE=FQ","FILING_STATUS=OR","EQY_CONSOLIDATED=Y","Sort=A","Dates=H","DateFormat=P","Fill=—","Direction=H","UseDPDF=Y")</f>
        <v>#NAME?</v>
      </c>
      <c r="CT77" s="2" t="e">
        <f ca="1">_xll.BDH($C$53,"CUR_RATIO","FQ4 2018","FQ4 2018","Currency=INR","Period=FQ","BEST_FPERIOD_OVERRIDE=FQ","FILING_STATUS=OR","EQY_CONSOLIDATED=Y","Sort=A","Dates=H","DateFormat=P","Fill=—","Direction=H","UseDPDF=Y")</f>
        <v>#NAME?</v>
      </c>
      <c r="CU77" s="2" t="e">
        <f ca="1">_xll.BDH($C$53,"QUICK_RATIO","FQ4 2018","FQ4 2018","Currency=INR","Period=FQ","BEST_FPERIOD_OVERRIDE=FQ","FILING_STATUS=OR","EQY_CONSOLIDATED=Y","Sort=A","Dates=H","DateFormat=P","Fill=—","Direction=H","UseDPDF=Y")</f>
        <v>#NAME?</v>
      </c>
      <c r="CV77" s="2" t="e">
        <f ca="1">_xll.BDH($C$53,"ALTMAN_Z_SCORE","FQ4 2018","FQ4 2018","Currency=INR","Period=FQ","BEST_FPERIOD_OVERRIDE=FQ","FILING_STATUS=OR","EQY_CONSOLIDATED=Y","Sort=A","Dates=H","DateFormat=P","Fill=—","Direction=H","UseDPDF=Y")</f>
        <v>#NAME?</v>
      </c>
      <c r="CW77" s="4" t="e">
        <f ca="1">_xll.BDH($C$53,"ACCT_RCV_TURN","FQ4 2018","FQ4 2018","Currency=INR","Period=FQ","BEST_FPERIOD_OVERRIDE=FQ","FILING_STATUS=OR","EQY_CONSOLIDATED=Y","FA_ADJUSTED=GAAP","Sort=A","Dates=H","DateFormat=P","Fill=—","Direction=H","UseDPDF=Y")</f>
        <v>#NAME?</v>
      </c>
      <c r="CX77" s="2" t="e">
        <f ca="1">_xll.BDH($C$53,"ACCT_RCV_DAYS","FQ4 2018","FQ4 2018","Currency=INR","Period=FQ","BEST_FPERIOD_OVERRIDE=FQ","FILING_STATUS=OR","EQY_CONSOLIDATED=Y","FA_ADJUSTED=GAAP","Sort=A","Dates=H","DateFormat=P","Fill=—","Direction=H","UseDPDF=Y")</f>
        <v>#NAME?</v>
      </c>
      <c r="CY77" s="4" t="e">
        <f ca="1">_xll.BDH($C$53,"INVENT_TURN","FQ4 2018","FQ4 2018","Currency=INR","Period=FQ","BEST_FPERIOD_OVERRIDE=FQ","FILING_STATUS=OR","EQY_CONSOLIDATED=Y","FA_ADJUSTED=GAAP","Sort=A","Dates=H","DateFormat=P","Fill=—","Direction=H","UseDPDF=Y")</f>
        <v>#NAME?</v>
      </c>
      <c r="CZ77" s="2" t="e">
        <f ca="1">_xll.BDH($C$53,"INVENT_DAYS","FQ4 2018","FQ4 2018","Currency=INR","Period=FQ","BEST_FPERIOD_OVERRIDE=FQ","FILING_STATUS=OR","EQY_CONSOLIDATED=Y","FA_ADJUSTED=GAAP","Sort=A","Dates=H","DateFormat=P","Fill=—","Direction=H","UseDPDF=Y")</f>
        <v>#NAME?</v>
      </c>
      <c r="DA77" s="4" t="e">
        <f ca="1">_xll.BDH($C$53,"ACCOUNTS_PAYABLE_TURNOVER","FQ4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77" s="2" t="e">
        <f ca="1">_xll.BDH($C$53,"ACCOUNTS_PAYABLE_TURNOVER_DAYS","FQ4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77" s="4" t="e">
        <f ca="1">_xll.BDH($C$53,"CASH_CONVERSION_CYCLE","FQ4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77" s="4" t="e">
        <f ca="1">_xll.BDH($C$53,"INV_TO_CASH_DAYS","FQ4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77" s="5" t="e">
        <f ca="1">_xll.BDH($C$53,"BS_INVENTORIES","FQ4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77" s="3" t="e">
        <f ca="1">_xll.BDH($C$53,"INVTRY_RAW_MATERIALS","FQ4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77" s="3" t="e">
        <f ca="1">_xll.BDH($C$53,"INVTRY_IN_PROGRESS","FQ4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77" s="3" t="e">
        <f ca="1">_xll.BDH($C$53,"INVTRY_FINISHED_GOODS","FQ4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77" s="3" t="e">
        <f ca="1">_xll.BDH($C$53,"BS_OTHER_INV","FQ4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78" spans="1:113" x14ac:dyDescent="0.3">
      <c r="A78" s="6">
        <v>79</v>
      </c>
      <c r="B78" s="6" t="s">
        <v>90</v>
      </c>
      <c r="C78" s="6" t="s">
        <v>91</v>
      </c>
      <c r="D78" s="6" t="s">
        <v>76</v>
      </c>
      <c r="E78" t="s">
        <v>77</v>
      </c>
      <c r="F78" t="e">
        <f ca="1">_xll.BDH($C$78,"RETURN_COM_EQY","FY 2014","FY 2014","Currency=INR","Period=FY","BEST_FPERIOD_OVERRIDE=FY","FILING_STATUS=OR","EQY_CONSOLIDATED=Y","FA_ADJUSTED=GAAP","Sort=A","Dates=H","DateFormat=P","Fill=—","Direction=H","UseDPDF=Y")</f>
        <v>#NAME?</v>
      </c>
      <c r="G78" t="e">
        <f ca="1">_xll.BDH($C$78,"RETURN_ON_ASSET","FY 2014","FY 2014","Currency=INR","Period=FY","BEST_FPERIOD_OVERRIDE=FY","FILING_STATUS=OR","EQY_CONSOLIDATED=Y","FA_ADJUSTED=GAAP","Sort=A","Dates=H","DateFormat=P","Fill=—","Direction=H","UseDPDF=Y")</f>
        <v>#NAME?</v>
      </c>
      <c r="H78" t="e">
        <f ca="1">_xll.BDH($C$78,"RETURN_ON_CAP","FY 2014","FY 2014","Currency=INR","Period=FY","BEST_FPERIOD_OVERRIDE=FY","FILING_STATUS=OR","EQY_CONSOLIDATED=Y","FA_ADJUSTED=GAAP","Sort=A","Dates=H","DateFormat=P","Fill=—","Direction=H","UseDPDF=Y")</f>
        <v>#NAME?</v>
      </c>
      <c r="I78" t="e">
        <f ca="1">_xll.BDH($C$78,"RETURN_ON_INV_CAPITAL","FY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78" t="e">
        <f ca="1">_xll.BDH($C$78,"EBITDA_TO_REVENUE","FY 2014","FY 2014","Currency=INR","Period=FY","BEST_FPERIOD_OVERRIDE=FY","FILING_STATUS=OR","EQY_CONSOLIDATED=Y","FA_ADJUSTED=GAAP","Sort=A","Dates=H","DateFormat=P","Fill=—","Direction=H","UseDPDF=Y")</f>
        <v>#NAME?</v>
      </c>
      <c r="K78" t="e">
        <f ca="1">_xll.BDH($C$78,"OPER_MARGIN","FY 2014","FY 2014","Currency=INR","Period=FY","BEST_FPERIOD_OVERRIDE=FY","FILING_STATUS=OR","EQY_CONSOLIDATED=Y","FA_ADJUSTED=GAAP","Sort=A","Dates=H","DateFormat=P","Fill=—","Direction=H","UseDPDF=Y")</f>
        <v>#NAME?</v>
      </c>
      <c r="L78" t="e">
        <f ca="1">_xll.BDH($C$78,"INCREMENTAL_OPERATING_MARGIN","FY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78" t="e">
        <f ca="1">_xll.BDH($C$78,"PRETAX_INC_TO_NET_SALES","FY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78" t="e">
        <f ca="1">_xll.BDH($C$78,"INC_BEF_XO_ITEMS_TO_NET_SALES","FY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78" t="e">
        <f ca="1">_xll.BDH($C$78,"PROF_MARGIN","FY 2014","FY 2014","Currency=INR","Period=FY","BEST_FPERIOD_OVERRIDE=FY","FILING_STATUS=OR","EQY_CONSOLIDATED=Y","FA_ADJUSTED=GAAP","Sort=A","Dates=H","DateFormat=P","Fill=—","Direction=H","UseDPDF=Y")</f>
        <v>#NAME?</v>
      </c>
      <c r="P78" t="e">
        <f ca="1">_xll.BDH($C$78,"NET_INCOME_TO_COMMON_MARGIN","FY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78" t="e">
        <f ca="1">_xll.BDH($C$78,"EFF_TAX_RATE","FY 2014","FY 2014","Currency=INR","Period=FY","BEST_FPERIOD_OVERRIDE=FY","FILING_STATUS=OR","EQY_CONSOLIDATED=Y","FA_ADJUSTED=GAAP","Sort=A","Dates=H","DateFormat=P","Fill=—","Direction=H","UseDPDF=Y")</f>
        <v>#NAME?</v>
      </c>
      <c r="R78" t="e">
        <f ca="1">_xll.BDH($C$78,"DVD_PAYOUT_RATIO","FY 2014","FY 2014","Currency=INR","Period=FY","BEST_FPERIOD_OVERRIDE=FY","FILING_STATUS=OR","EQY_CONSOLIDATED=Y","FA_ADJUSTED=GAAP","Sort=A","Dates=H","DateFormat=P","Fill=—","Direction=H","UseDPDF=Y")</f>
        <v>#NAME?</v>
      </c>
      <c r="S78" t="e">
        <f ca="1">_xll.BDH($C$78,"SUSTAIN_GROWTH_RT","FY 2014","FY 2014","Currency=INR","Period=FY","BEST_FPERIOD_OVERRIDE=FY","FILING_STATUS=OR","EQY_CONSOLIDATED=Y","FA_ADJUSTED=GAAP","Sort=A","Dates=H","DateFormat=P","Fill=—","Direction=H","UseDPDF=Y")</f>
        <v>#NAME?</v>
      </c>
      <c r="T78" s="2" t="e">
        <f ca="1">_xll.BDH($C$78,"SALES_GROWTH","FY 2014","FY 2014","Currency=INR","Period=FY","BEST_FPERIOD_OVERRIDE=FY","FILING_STATUS=OR","EQY_CONSOLIDATED=Y","FA_ADJUSTED=GAAP","Sort=A","Dates=H","DateFormat=P","Fill=—","Direction=H","UseDPDF=Y")</f>
        <v>#NAME?</v>
      </c>
      <c r="U78" s="2" t="e">
        <f ca="1">_xll.BDH($C$78,"EBITDA_GROWTH","FY 2014","FY 2014","Currency=INR","Period=FY","BEST_FPERIOD_OVERRIDE=FY","FILING_STATUS=OR","EQY_CONSOLIDATED=Y","FA_ADJUSTED=GAAP","Sort=A","Dates=H","DateFormat=P","Fill=—","Direction=H","UseDPDF=Y")</f>
        <v>#NAME?</v>
      </c>
      <c r="V78" s="2" t="e">
        <f ca="1">_xll.BDH($C$78,"OPER_INC_GROWTH","FY 2014","FY 2014","Currency=INR","Period=FY","BEST_FPERIOD_OVERRIDE=FY","FILING_STATUS=OR","EQY_CONSOLIDATED=Y","FA_ADJUSTED=GAAP","Sort=A","Dates=H","DateFormat=P","Fill=—","Direction=H","UseDPDF=Y")</f>
        <v>#NAME?</v>
      </c>
      <c r="W78" s="2" t="e">
        <f ca="1">_xll.BDH($C$78,"EARN_FOR_COM_GROWTH","FY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78" s="2" t="e">
        <f ca="1">_xll.BDH($C$78,"DILUTED_EPS_AFT_XO_ITEMS_GROWTH","FY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78" s="2" t="e">
        <f ca="1">_xll.BDH($C$78,"DIVIDEND_PER_SHARE_1_YEAR_GROWTH","FY 2014","FY 2014","Currency=INR","Period=FY","BEST_FPERIOD_OVERRIDE=FY","FILING_STATUS=OR","EQY_CONSOLIDATED=Y","Sort=A","Dates=H","DateFormat=P","Fill=—","Direction=H","UseDPDF=Y")</f>
        <v>#NAME?</v>
      </c>
      <c r="Z78" s="2" t="e">
        <f ca="1">_xll.BDH($C$78,"ACCOUNTS_RECEIVABLE_GROWTH","FY 2014","FY 2014","Currency=INR","Period=FY","BEST_FPERIOD_OVERRIDE=FY","FILING_STATUS=OR","EQY_CONSOLIDATED=Y","Sort=A","Dates=H","DateFormat=P","Fill=—","Direction=H","UseDPDF=Y")</f>
        <v>#NAME?</v>
      </c>
      <c r="AA78" s="2" t="e">
        <f ca="1">_xll.BDH($C$78,"INVENTORY_GROWTH","FY 2014","FY 2014","Currency=INR","Period=FY","BEST_FPERIOD_OVERRIDE=FY","FILING_STATUS=OR","EQY_CONSOLIDATED=Y","Sort=A","Dates=H","DateFormat=P","Fill=—","Direction=H","UseDPDF=Y")</f>
        <v>#NAME?</v>
      </c>
      <c r="AB78" s="2" t="e">
        <f ca="1">_xll.BDH($C$78,"NET_FIXED_ASSETS_1_YEAR_GROWTH","FY 2014","FY 2014","Currency=INR","Period=FY","BEST_FPERIOD_OVERRIDE=FY","FILING_STATUS=OR","EQY_CONSOLIDATED=Y","Sort=A","Dates=H","DateFormat=P","Fill=—","Direction=H","UseDPDF=Y")</f>
        <v>#NAME?</v>
      </c>
      <c r="AC78" s="2" t="e">
        <f ca="1">_xll.BDH($C$78,"ASSET_GROWTH","FY 2014","FY 2014","Currency=INR","Period=FY","BEST_FPERIOD_OVERRIDE=FY","FILING_STATUS=OR","EQY_CONSOLIDATED=Y","Sort=A","Dates=H","DateFormat=P","Fill=—","Direction=H","UseDPDF=Y")</f>
        <v>#NAME?</v>
      </c>
      <c r="AD78" s="2" t="e">
        <f ca="1">_xll.BDH($C$78,"MODIFIED_WORK_CAP_GROWTH","FY 2014","FY 2014","Currency=INR","Period=FY","BEST_FPERIOD_OVERRIDE=FY","FILING_STATUS=OR","EQY_CONSOLIDATED=Y","Sort=A","Dates=H","DateFormat=P","Fill=—","Direction=H","UseDPDF=Y")</f>
        <v>#NAME?</v>
      </c>
      <c r="AE78" s="2" t="e">
        <f ca="1">_xll.BDH($C$78,"WORK_CAP_GROWTH","FY 2014","FY 2014","Currency=INR","Period=FY","BEST_FPERIOD_OVERRIDE=FY","FILING_STATUS=OR","EQY_CONSOLIDATED=Y","Sort=A","Dates=H","DateFormat=P","Fill=—","Direction=H","UseDPDF=Y")</f>
        <v>#NAME?</v>
      </c>
      <c r="AF78" s="2" t="e">
        <f ca="1">_xll.BDH($C$78,"ACCOUNTS_PAYABLE_GROWTH_1YR","FY 2014","FY 2014","Currency=INR","Period=FY","BEST_FPERIOD_OVERRIDE=FY","FILING_STATUS=OR","EQY_CONSOLIDATED=Y","Sort=A","Dates=H","DateFormat=P","Fill=—","Direction=H","UseDPDF=Y")</f>
        <v>#NAME?</v>
      </c>
      <c r="AG78" s="2" t="e">
        <f ca="1">_xll.BDH($C$78,"SHORT_TERM_DEBT_1_YEAR_GROWTH","FY 2014","FY 2014","Currency=INR","Period=FY","BEST_FPERIOD_OVERRIDE=FY","FILING_STATUS=OR","EQY_CONSOLIDATED=Y","Sort=A","Dates=H","DateFormat=P","Fill=—","Direction=H","UseDPDF=Y")</f>
        <v>#NAME?</v>
      </c>
      <c r="AH78" s="2" t="e">
        <f ca="1">_xll.BDH($C$78,"TOTAL_DEBT_1_YEAR_GROWTH","FY 2014","FY 2014","Currency=INR","Period=FY","BEST_FPERIOD_OVERRIDE=FY","FILING_STATUS=OR","EQY_CONSOLIDATED=Y","Sort=A","Dates=H","DateFormat=P","Fill=—","Direction=H","UseDPDF=Y")</f>
        <v>#NAME?</v>
      </c>
      <c r="AI78" s="2" t="e">
        <f ca="1">_xll.BDH($C$78,"TOTAL_EQUITY_1_YEAR_GROWTH","FY 2014","FY 2014","Currency=INR","Period=FY","BEST_FPERIOD_OVERRIDE=FY","FILING_STATUS=OR","EQY_CONSOLIDATED=Y","Sort=A","Dates=H","DateFormat=P","Fill=—","Direction=H","UseDPDF=Y")</f>
        <v>#NAME?</v>
      </c>
      <c r="AJ78" s="2" t="e">
        <f ca="1">_xll.BDH($C$78,"GROWTH_IN_CAP","FY 2014","FY 2014","Currency=INR","Period=FY","BEST_FPERIOD_OVERRIDE=FY","FILING_STATUS=OR","EQY_CONSOLIDATED=Y","Sort=A","Dates=H","DateFormat=P","Fill=—","Direction=H","UseDPDF=Y")</f>
        <v>#NAME?</v>
      </c>
      <c r="AK78" s="2" t="e">
        <f ca="1">_xll.BDH($C$78,"BVPS_GROWTH","FY 2014","FY 2014","Currency=INR","Period=FY","BEST_FPERIOD_OVERRIDE=FY","FILING_STATUS=OR","EQY_CONSOLIDATED=Y","Sort=A","Dates=H","DateFormat=P","Fill=—","Direction=H","UseDPDF=Y")</f>
        <v>#NAME?</v>
      </c>
      <c r="AL78" s="2" t="e">
        <f ca="1">_xll.BDH($C$78,"CASH_FLOW_GROWTH","FY 2014","FY 2014","Currency=INR","Period=FY","BEST_FPERIOD_OVERRIDE=FY","FILING_STATUS=OR","EQY_CONSOLIDATED=Y","Sort=A","Dates=H","DateFormat=P","Fill=—","Direction=H","UseDPDF=Y")</f>
        <v>#NAME?</v>
      </c>
      <c r="AM78" s="2" t="e">
        <f ca="1">_xll.BDH($C$78,"GEO_GROW_NET_SALES","FY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78" s="2" t="e">
        <f ca="1">_xll.BDH($C$78,"GEO_GROW_EBITDA","FY 2014","FY 2014","Currency=INR","Period=FY","BEST_FPERIOD_OVERRIDE=FY","FILING_STATUS=OR","EQY_CONSOLIDATED=Y","FA_ADJUSTED=GAAP","Sort=A","Dates=H","DateFormat=P","Fill=—","Direction=H","UseDPDF=Y")</f>
        <v>#NAME?</v>
      </c>
      <c r="AO78" s="2" t="e">
        <f ca="1">_xll.BDH($C$78,"GEO_GROW_OPER_INC","FY 2014","FY 2014","Currency=INR","Period=FY","BEST_FPERIOD_OVERRIDE=FY","FILING_STATUS=OR","EQY_CONSOLIDATED=Y","FA_ADJUSTED=GAAP","Sort=A","Dates=H","DateFormat=P","Fill=—","Direction=H","UseDPDF=Y")</f>
        <v>#NAME?</v>
      </c>
      <c r="AP78" s="2" t="e">
        <f ca="1">_xll.BDH($C$78,"NET_INCOME_TO_COMMON_5_YR_GROWTH","FY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78" s="2" t="e">
        <f ca="1">_xll.BDH($C$78,"5Y_GEO_GROWTH_DILUTED_EPS","FY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78" s="2" t="e">
        <f ca="1">_xll.BDH($C$78,"GEO_GROW_DVD_PER_SH","FY 2014","FY 2014","Currency=INR","Period=FY","BEST_FPERIOD_OVERRIDE=FY","FILING_STATUS=OR","EQY_CONSOLIDATED=Y","Sort=A","Dates=H","DateFormat=P","Fill=—","Direction=H","UseDPDF=Y")</f>
        <v>#NAME?</v>
      </c>
      <c r="AS78" s="2" t="e">
        <f ca="1">_xll.BDH($C$78,"ACCOUNTS_RECEIVABLE_5_YR_GROWTH","FY 2014","FY 2014","Currency=INR","Period=FY","BEST_FPERIOD_OVERRIDE=FY","FILING_STATUS=OR","EQY_CONSOLIDATED=Y","Sort=A","Dates=H","DateFormat=P","Fill=—","Direction=H","UseDPDF=Y")</f>
        <v>#NAME?</v>
      </c>
      <c r="AT78" s="2" t="e">
        <f ca="1">_xll.BDH($C$78,"INVENTORY_5_YEAR_GROWTH","FY 2014","FY 2014","Currency=INR","Period=FY","BEST_FPERIOD_OVERRIDE=FY","FILING_STATUS=OR","EQY_CONSOLIDATED=Y","Sort=A","Dates=H","DateFormat=P","Fill=—","Direction=H","UseDPDF=Y")</f>
        <v>#NAME?</v>
      </c>
      <c r="AU78" s="2" t="e">
        <f ca="1">_xll.BDH($C$78,"NET_FIXED_ASSETS_5_YEAR_GROWTH","FY 2014","FY 2014","Currency=INR","Period=FY","BEST_FPERIOD_OVERRIDE=FY","FILING_STATUS=OR","EQY_CONSOLIDATED=Y","Sort=A","Dates=H","DateFormat=P","Fill=—","Direction=H","UseDPDF=Y")</f>
        <v>#NAME?</v>
      </c>
      <c r="AV78" s="2" t="e">
        <f ca="1">_xll.BDH($C$78,"GEO_GROW_TOT_ASSET","FY 2014","FY 2014","Currency=INR","Period=FY","BEST_FPERIOD_OVERRIDE=FY","FILING_STATUS=OR","EQY_CONSOLIDATED=Y","Sort=A","Dates=H","DateFormat=P","Fill=—","Direction=H","UseDPDF=Y")</f>
        <v>#NAME?</v>
      </c>
      <c r="AW78" s="2" t="e">
        <f ca="1">_xll.BDH($C$78,"MODIFIED_WORKING_CPTL_5YR_GRWTH","FY 2014","FY 2014","Currency=INR","Period=FY","BEST_FPERIOD_OVERRIDE=FY","FILING_STATUS=OR","EQY_CONSOLIDATED=Y","Sort=A","Dates=H","DateFormat=P","Fill=—","Direction=H","UseDPDF=Y")</f>
        <v>#NAME?</v>
      </c>
      <c r="AX78" s="2" t="e">
        <f ca="1">_xll.BDH($C$78,"WORKING_CAPITAL_5_YEAR_GROWTH","FY 2014","FY 2014","Currency=INR","Period=FY","BEST_FPERIOD_OVERRIDE=FY","FILING_STATUS=OR","EQY_CONSOLIDATED=Y","Sort=A","Dates=H","DateFormat=P","Fill=—","Direction=H","UseDPDF=Y")</f>
        <v>#NAME?</v>
      </c>
      <c r="AY78" s="2" t="e">
        <f ca="1">_xll.BDH($C$78,"ACCOUNTS_PAYABLE_5_YEAR_GROWTH","FY 2014","FY 2014","Currency=INR","Period=FY","BEST_FPERIOD_OVERRIDE=FY","FILING_STATUS=OR","EQY_CONSOLIDATED=Y","Sort=A","Dates=H","DateFormat=P","Fill=—","Direction=H","UseDPDF=Y")</f>
        <v>#NAME?</v>
      </c>
      <c r="AZ78" s="2" t="e">
        <f ca="1">_xll.BDH($C$78,"SHORT_TERM_DEBT_5_YEAR_GROWTH","FY 2014","FY 2014","Currency=INR","Period=FY","BEST_FPERIOD_OVERRIDE=FY","FILING_STATUS=OR","EQY_CONSOLIDATED=Y","Sort=A","Dates=H","DateFormat=P","Fill=—","Direction=H","UseDPDF=Y")</f>
        <v>#NAME?</v>
      </c>
      <c r="BA78" s="2" t="e">
        <f ca="1">_xll.BDH($C$78,"TOTAL_DEBT_5_YEAR_GROWTH","FY 2014","FY 2014","Currency=INR","Period=FY","BEST_FPERIOD_OVERRIDE=FY","FILING_STATUS=OR","EQY_CONSOLIDATED=Y","Sort=A","Dates=H","DateFormat=P","Fill=—","Direction=H","UseDPDF=Y")</f>
        <v>#NAME?</v>
      </c>
      <c r="BB78" s="2" t="e">
        <f ca="1">_xll.BDH($C$78,"GEO_GROW_TOT_SHRHLDR_EQY","FY 2014","FY 2014","Currency=INR","Period=FY","BEST_FPERIOD_OVERRIDE=FY","FILING_STATUS=OR","EQY_CONSOLIDATED=Y","Sort=A","Dates=H","DateFormat=P","Fill=—","Direction=H","UseDPDF=Y")</f>
        <v>#NAME?</v>
      </c>
      <c r="BC78" s="2" t="e">
        <f ca="1">_xll.BDH($C$78,"TOTAL_CAPITAL_5_YEAR_GROWTH","FY 2014","FY 2014","Currency=INR","Period=FY","BEST_FPERIOD_OVERRIDE=FY","FILING_STATUS=OR","EQY_CONSOLIDATED=Y","Sort=A","Dates=H","DateFormat=P","Fill=—","Direction=H","UseDPDF=Y")</f>
        <v>#NAME?</v>
      </c>
      <c r="BD78" s="2" t="e">
        <f ca="1">_xll.BDH($C$78,"GEO_GROW_BOOK_VAL","FY 2014","FY 2014","Currency=INR","Period=FY","BEST_FPERIOD_OVERRIDE=FY","FILING_STATUS=OR","EQY_CONSOLIDATED=Y","Sort=A","Dates=H","DateFormat=P","Fill=—","Direction=H","UseDPDF=Y")</f>
        <v>#NAME?</v>
      </c>
      <c r="BE78" s="2" t="e">
        <f ca="1">_xll.BDH($C$78,"GEO_GROW_CASH_OPER_ACT","FY 2014","FY 2014","Currency=INR","Period=FY","BEST_FPERIOD_OVERRIDE=FY","FILING_STATUS=OR","EQY_CONSOLIDATED=Y","Sort=A","Dates=H","DateFormat=P","Fill=—","Direction=H","UseDPDF=Y")</f>
        <v>#NAME?</v>
      </c>
      <c r="BF78" s="2" t="e">
        <f ca="1">_xll.BDH($C$78,"REVENUE_SEQUENTIAL_GROWTH","FY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78" s="2" t="e">
        <f ca="1">_xll.BDH($C$78,"EBITDA_SEQUENTIAL_GROWTH","FY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78" s="2" t="e">
        <f ca="1">_xll.BDH($C$78,"OPERATING_INCOME_SEQ_GROWTH","FY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78" s="2" t="e">
        <f ca="1">_xll.BDH($C$78,"NET_INCOME_TO_COMMON_SEQ_GROWTH","FY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78" s="2" t="e">
        <f ca="1">_xll.BDH($C$78,"EPS_DILUTED_SEQUENTIAL_GROWTH","FY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78" s="2" t="e">
        <f ca="1">_xll.BDH($C$78,"DPS_SEQUENTIAL_GROWTH","FY 2014","FY 2014","Currency=INR","Period=FY","BEST_FPERIOD_OVERRIDE=FY","FILING_STATUS=OR","EQY_CONSOLIDATED=Y","Sort=A","Dates=H","DateFormat=P","Fill=—","Direction=H","UseDPDF=Y")</f>
        <v>#NAME?</v>
      </c>
      <c r="BL78" s="2" t="e">
        <f ca="1">_xll.BDH($C$78,"ACCOUNTS_RECEIVABLE_SEQ_GROWTH","FY 2014","FY 2014","Currency=INR","Period=FY","BEST_FPERIOD_OVERRIDE=FY","FILING_STATUS=OR","EQY_CONSOLIDATED=Y","Sort=A","Dates=H","DateFormat=P","Fill=—","Direction=H","UseDPDF=Y")</f>
        <v>#NAME?</v>
      </c>
      <c r="BM78" s="2" t="e">
        <f ca="1">_xll.BDH($C$78,"INVENTORY_SEQUENTIAL_GROWTH","FY 2014","FY 2014","Currency=INR","Period=FY","BEST_FPERIOD_OVERRIDE=FY","FILING_STATUS=OR","EQY_CONSOLIDATED=Y","Sort=A","Dates=H","DateFormat=P","Fill=—","Direction=H","UseDPDF=Y")</f>
        <v>#NAME?</v>
      </c>
      <c r="BN78" s="2" t="e">
        <f ca="1">_xll.BDH($C$78,"FIXED_ASSETS_SEQUENTIAL_GROWTH","FY 2014","FY 2014","Currency=INR","Period=FY","BEST_FPERIOD_OVERRIDE=FY","FILING_STATUS=OR","EQY_CONSOLIDATED=Y","Sort=A","Dates=H","DateFormat=P","Fill=—","Direction=H","UseDPDF=Y")</f>
        <v>#NAME?</v>
      </c>
      <c r="BO78" s="2" t="e">
        <f ca="1">_xll.BDH($C$78,"TOTAL_ASSETS_SEQUENTIAL_GROWTH","FY 2014","FY 2014","Currency=INR","Period=FY","BEST_FPERIOD_OVERRIDE=FY","FILING_STATUS=OR","EQY_CONSOLIDATED=Y","Sort=A","Dates=H","DateFormat=P","Fill=—","Direction=H","UseDPDF=Y")</f>
        <v>#NAME?</v>
      </c>
      <c r="BP78" s="2" t="e">
        <f ca="1">_xll.BDH($C$78,"MODIFIED_WORKING_CPTL_SEQ_GRWTH","FY 2014","FY 2014","Currency=INR","Period=FY","BEST_FPERIOD_OVERRIDE=FY","FILING_STATUS=OR","EQY_CONSOLIDATED=Y","Sort=A","Dates=H","DateFormat=P","Fill=—","Direction=H","UseDPDF=Y")</f>
        <v>#NAME?</v>
      </c>
      <c r="BQ78" s="2" t="e">
        <f ca="1">_xll.BDH($C$78,"WORKING_CAPITAL_SEQ_GROWTH","FY 2014","FY 2014","Currency=INR","Period=FY","BEST_FPERIOD_OVERRIDE=FY","FILING_STATUS=OR","EQY_CONSOLIDATED=Y","Sort=A","Dates=H","DateFormat=P","Fill=—","Direction=H","UseDPDF=Y")</f>
        <v>#NAME?</v>
      </c>
      <c r="BR78" s="2" t="e">
        <f ca="1">_xll.BDH($C$78,"ACCOUNTS_PAYABLE_SEQ_GROWTH","FY 2014","FY 2014","Currency=INR","Period=FY","BEST_FPERIOD_OVERRIDE=FY","FILING_STATUS=OR","EQY_CONSOLIDATED=Y","Sort=A","Dates=H","DateFormat=P","Fill=—","Direction=H","UseDPDF=Y")</f>
        <v>#NAME?</v>
      </c>
      <c r="BS78" s="2" t="e">
        <f ca="1">_xll.BDH($C$78,"ST_DEBT_SEQUENTIAL_GROWTH","FY 2014","FY 2014","Currency=INR","Period=FY","BEST_FPERIOD_OVERRIDE=FY","FILING_STATUS=OR","EQY_CONSOLIDATED=Y","Sort=A","Dates=H","DateFormat=P","Fill=—","Direction=H","UseDPDF=Y")</f>
        <v>#NAME?</v>
      </c>
      <c r="BT78" s="2" t="e">
        <f ca="1">_xll.BDH($C$78,"TOTAL_DEBT_SEQUENTIAL_GROWTH","FY 2014","FY 2014","Currency=INR","Period=FY","BEST_FPERIOD_OVERRIDE=FY","FILING_STATUS=OR","EQY_CONSOLIDATED=Y","Sort=A","Dates=H","DateFormat=P","Fill=—","Direction=H","UseDPDF=Y")</f>
        <v>#NAME?</v>
      </c>
      <c r="BU78" s="2" t="e">
        <f ca="1">_xll.BDH($C$78,"TOTAL_EQUITY_SEQUENTIAL_GROWTH","FY 2014","FY 2014","Currency=INR","Period=FY","BEST_FPERIOD_OVERRIDE=FY","FILING_STATUS=OR","EQY_CONSOLIDATED=Y","Sort=A","Dates=H","DateFormat=P","Fill=—","Direction=H","UseDPDF=Y")</f>
        <v>#NAME?</v>
      </c>
      <c r="BV78" s="2" t="e">
        <f ca="1">_xll.BDH($C$78,"TOTAL_CAPITAL_SEQUENTIAL_GROWTH","FY 2014","FY 2014","Currency=INR","Period=FY","BEST_FPERIOD_OVERRIDE=FY","FILING_STATUS=OR","EQY_CONSOLIDATED=Y","Sort=A","Dates=H","DateFormat=P","Fill=—","Direction=H","UseDPDF=Y")</f>
        <v>#NAME?</v>
      </c>
      <c r="BW78" s="2" t="e">
        <f ca="1">_xll.BDH($C$78,"BPS_SEQUENTIAL_GROWTH","FY 2014","FY 2014","Currency=INR","Period=FY","BEST_FPERIOD_OVERRIDE=FY","FILING_STATUS=OR","EQY_CONSOLIDATED=Y","Sort=A","Dates=H","DateFormat=P","Fill=—","Direction=H","UseDPDF=Y")</f>
        <v>#NAME?</v>
      </c>
      <c r="BX78" s="2" t="e">
        <f ca="1">_xll.BDH($C$78,"CFO_SEQUENTIAL_GROWTH","FY 2014","FY 2014","Currency=INR","Period=FY","BEST_FPERIOD_OVERRIDE=FY","FILING_STATUS=OR","EQY_CONSOLIDATED=Y","Sort=A","Dates=H","DateFormat=P","Fill=—","Direction=H","UseDPDF=Y")</f>
        <v>#NAME?</v>
      </c>
      <c r="BY78" s="3" t="e">
        <f ca="1">_xll.BDH($C$78,"SHORT_AND_LONG_TERM_DEBT","FY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78" s="3" t="e">
        <f ca="1">_xll.BDH($C$78,"BS_ST_BORROW","FY 2014","FY 2014","Currency=INR","Period=FY","BEST_FPERIOD_OVERRIDE=FY","FILING_STATUS=OR","EQY_CONSOLIDATED=Y","SCALING_FORMAT=MLN","Sort=A","Dates=H","DateFormat=P","Fill=—","Direction=H","UseDPDF=Y")</f>
        <v>#NAME?</v>
      </c>
      <c r="CA78" s="3" t="e">
        <f ca="1">_xll.BDH($C$78,"BS_LT_BORROW","FY 2014","FY 2014","Currency=INR","Period=FY","BEST_FPERIOD_OVERRIDE=FY","FILING_STATUS=OR","EQY_CONSOLIDATED=Y","SCALING_FORMAT=MLN","Sort=A","Dates=H","DateFormat=P","Fill=—","Direction=H","UseDPDF=Y")</f>
        <v>#NAME?</v>
      </c>
      <c r="CB78" s="2" t="e">
        <f ca="1">_xll.BDH($C$78,"TOT_DEBT_TO_EBITDA","FY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78" s="2" t="e">
        <f ca="1">_xll.BDH($C$78,"NET_DEBT_TO_EBITDA","FY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78" s="2" t="e">
        <f ca="1">_xll.BDH($C$78,"TOTAL_DEBT_TO_EBIT","FY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78" s="2" t="e">
        <f ca="1">_xll.BDH($C$78,"NET_DEBT_TO_EBIT","FY 2014","FY 2014","Currency=INR","Period=FY","BEST_FPERIOD_OVERRIDE=FY","FILING_STATUS=OR","EQY_CONSOLIDATED=Y","FA_ADJUSTED=GAAP","Sort=A","Dates=H","DateFormat=P","Fill=—","Direction=H","UseDPDF=Y")</f>
        <v>#NAME?</v>
      </c>
      <c r="CF78" s="2" t="e">
        <f ca="1">_xll.BDH($C$78,"EBITDA_TO_INTEREST_EXPN","FY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78" s="2" t="e">
        <f ca="1">_xll.BDH($C$78,"COM_EQY_TO_TOT_ASSET","FY 2014","FY 2014","Currency=INR","Period=FY","BEST_FPERIOD_OVERRIDE=FY","FILING_STATUS=OR","EQY_CONSOLIDATED=Y","Sort=A","Dates=H","DateFormat=P","Fill=—","Direction=H","UseDPDF=Y")</f>
        <v>#NAME?</v>
      </c>
      <c r="CH78" s="2" t="e">
        <f ca="1">_xll.BDH($C$78,"LT_DEBT_TO_TOT_EQY","FY 2014","FY 2014","Currency=INR","Period=FY","BEST_FPERIOD_OVERRIDE=FY","FILING_STATUS=OR","EQY_CONSOLIDATED=Y","Sort=A","Dates=H","DateFormat=P","Fill=—","Direction=H","UseDPDF=Y")</f>
        <v>#NAME?</v>
      </c>
      <c r="CI78" s="2" t="e">
        <f ca="1">_xll.BDH($C$78,"LT_DEBT_TO_TOT_CAP","FY 2014","FY 2014","Currency=INR","Period=FY","BEST_FPERIOD_OVERRIDE=FY","FILING_STATUS=OR","EQY_CONSOLIDATED=Y","Sort=A","Dates=H","DateFormat=P","Fill=—","Direction=H","UseDPDF=Y")</f>
        <v>#NAME?</v>
      </c>
      <c r="CJ78" s="2" t="e">
        <f ca="1">_xll.BDH($C$78,"LT_DEBT_TO_TOT_ASSET","FY 2014","FY 2014","Currency=INR","Period=FY","BEST_FPERIOD_OVERRIDE=FY","FILING_STATUS=OR","EQY_CONSOLIDATED=Y","Sort=A","Dates=H","DateFormat=P","Fill=—","Direction=H","UseDPDF=Y")</f>
        <v>#NAME?</v>
      </c>
      <c r="CK78" s="2" t="e">
        <f ca="1">_xll.BDH($C$78,"TOT_DEBT_TO_TOT_EQY","FY 2014","FY 2014","Currency=INR","Period=FY","BEST_FPERIOD_OVERRIDE=FY","FILING_STATUS=OR","EQY_CONSOLIDATED=Y","Sort=A","Dates=H","DateFormat=P","Fill=—","Direction=H","UseDPDF=Y")</f>
        <v>#NAME?</v>
      </c>
      <c r="CL78" s="2" t="e">
        <f ca="1">_xll.BDH($C$78,"TOT_DEBT_TO_TOT_CAP","FY 2014","FY 2014","Currency=INR","Period=FY","BEST_FPERIOD_OVERRIDE=FY","FILING_STATUS=OR","EQY_CONSOLIDATED=Y","Sort=A","Dates=H","DateFormat=P","Fill=—","Direction=H","UseDPDF=Y")</f>
        <v>#NAME?</v>
      </c>
      <c r="CM78" s="2" t="e">
        <f ca="1">_xll.BDH($C$78,"TOT_DEBT_TO_TOT_ASSET","FY 2014","FY 2014","Currency=INR","Period=FY","BEST_FPERIOD_OVERRIDE=FY","FILING_STATUS=OR","EQY_CONSOLIDATED=Y","Sort=A","Dates=H","DateFormat=P","Fill=—","Direction=H","UseDPDF=Y")</f>
        <v>#NAME?</v>
      </c>
      <c r="CN78" s="2" t="e">
        <f ca="1">_xll.BDH($C$78,"NET_DEBT_TO_SHRHLDR_EQTY","FY 2014","FY 2014","Currency=INR","Period=FY","BEST_FPERIOD_OVERRIDE=FY","FILING_STATUS=OR","EQY_CONSOLIDATED=Y","Sort=A","Dates=H","DateFormat=P","Fill=—","Direction=H","UseDPDF=Y")</f>
        <v>#NAME?</v>
      </c>
      <c r="CO78" s="2" t="e">
        <f ca="1">_xll.BDH($C$78,"NET_DEBT_%_CAPITAL","FY 2014","FY 2014","Currency=INR","Period=FY","BEST_FPERIOD_OVERRIDE=FY","FILING_STATUS=OR","EQY_CONSOLIDATED=Y","Sort=A","Dates=H","DateFormat=P","Fill=—","Direction=H","UseDPDF=Y")</f>
        <v>#NAME?</v>
      </c>
      <c r="CP78" s="3" t="e">
        <f ca="1">_xll.BDH($C$78,"EBITDA","FY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78" s="3" t="e">
        <f ca="1">_xll.BDH($C$78,"EBITDA_AFTER_CAPEX","FY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78" s="3" t="e">
        <f ca="1">_xll.BDH($C$78,"IS_OPER_INC","FY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78" s="2" t="e">
        <f ca="1">_xll.BDH($C$78,"CASH_RATIO","FY 2014","FY 2014","Currency=INR","Period=FY","BEST_FPERIOD_OVERRIDE=FY","FILING_STATUS=OR","EQY_CONSOLIDATED=Y","Sort=A","Dates=H","DateFormat=P","Fill=—","Direction=H","UseDPDF=Y")</f>
        <v>#NAME?</v>
      </c>
      <c r="CT78" s="2" t="e">
        <f ca="1">_xll.BDH($C$78,"CUR_RATIO","FY 2014","FY 2014","Currency=INR","Period=FY","BEST_FPERIOD_OVERRIDE=FY","FILING_STATUS=OR","EQY_CONSOLIDATED=Y","Sort=A","Dates=H","DateFormat=P","Fill=—","Direction=H","UseDPDF=Y")</f>
        <v>#NAME?</v>
      </c>
      <c r="CU78" s="2" t="e">
        <f ca="1">_xll.BDH($C$78,"QUICK_RATIO","FY 2014","FY 2014","Currency=INR","Period=FY","BEST_FPERIOD_OVERRIDE=FY","FILING_STATUS=OR","EQY_CONSOLIDATED=Y","Sort=A","Dates=H","DateFormat=P","Fill=—","Direction=H","UseDPDF=Y")</f>
        <v>#NAME?</v>
      </c>
      <c r="CV78" s="2" t="e">
        <f ca="1">_xll.BDH($C$78,"ALTMAN_Z_SCORE","FY 2014","FY 2014","Currency=INR","Period=FY","BEST_FPERIOD_OVERRIDE=FY","FILING_STATUS=OR","EQY_CONSOLIDATED=Y","Sort=A","Dates=H","DateFormat=P","Fill=—","Direction=H","UseDPDF=Y")</f>
        <v>#NAME?</v>
      </c>
      <c r="CW78" s="4" t="e">
        <f ca="1">_xll.BDH($C$78,"ACCT_RCV_TURN","FY 2014","FY 2014","Currency=INR","Period=FY","BEST_FPERIOD_OVERRIDE=FY","FILING_STATUS=OR","EQY_CONSOLIDATED=Y","FA_ADJUSTED=GAAP","Sort=A","Dates=H","DateFormat=P","Fill=—","Direction=H","UseDPDF=Y")</f>
        <v>#NAME?</v>
      </c>
      <c r="CX78" s="2" t="e">
        <f ca="1">_xll.BDH($C$78,"ACCT_RCV_DAYS","FY 2014","FY 2014","Currency=INR","Period=FY","BEST_FPERIOD_OVERRIDE=FY","FILING_STATUS=OR","EQY_CONSOLIDATED=Y","FA_ADJUSTED=GAAP","Sort=A","Dates=H","DateFormat=P","Fill=—","Direction=H","UseDPDF=Y")</f>
        <v>#NAME?</v>
      </c>
      <c r="CY78" s="4" t="e">
        <f ca="1">_xll.BDH($C$78,"INVENT_TURN","FY 2014","FY 2014","Currency=INR","Period=FY","BEST_FPERIOD_OVERRIDE=FY","FILING_STATUS=OR","EQY_CONSOLIDATED=Y","FA_ADJUSTED=GAAP","Sort=A","Dates=H","DateFormat=P","Fill=—","Direction=H","UseDPDF=Y")</f>
        <v>#NAME?</v>
      </c>
      <c r="CZ78" s="2" t="e">
        <f ca="1">_xll.BDH($C$78,"INVENT_DAYS","FY 2014","FY 2014","Currency=INR","Period=FY","BEST_FPERIOD_OVERRIDE=FY","FILING_STATUS=OR","EQY_CONSOLIDATED=Y","FA_ADJUSTED=GAAP","Sort=A","Dates=H","DateFormat=P","Fill=—","Direction=H","UseDPDF=Y")</f>
        <v>#NAME?</v>
      </c>
      <c r="DA78" s="4" t="e">
        <f ca="1">_xll.BDH($C$78,"ACCOUNTS_PAYABLE_TURNOVER","FY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78" s="2" t="e">
        <f ca="1">_xll.BDH($C$78,"ACCOUNTS_PAYABLE_TURNOVER_DAYS","FY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78" s="4" t="e">
        <f ca="1">_xll.BDH($C$78,"CASH_CONVERSION_CYCLE","FY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78" s="4" t="e">
        <f ca="1">_xll.BDH($C$78,"INV_TO_CASH_DAYS","FY 2014","FY 2014","Currency=INR","Period=FY","BEST_FPERIOD_OVERRIDE=FY","FILING_STATUS=OR","EQY_CONSOLIDATED=Y","FA_ADJUSTED=GAAP","Sort=A","Dates=H","DateFormat=P","Fill=—","Direction=H","UseDPDF=Y")</f>
        <v>#NAME?</v>
      </c>
      <c r="DE78" s="5" t="e">
        <f ca="1">_xll.BDH($C$78,"BS_INVENTORIES","FY 2014","FY 2014","Currency=INR","Period=FY","BEST_FPERIOD_OVERRIDE=FY","FILING_STATUS=OR","EQY_CONSOLIDATED=Y","SCALING_FORMAT=MLN","Sort=A","Dates=H","DateFormat=P","Fill=—","Direction=H","UseDPDF=Y")</f>
        <v>#NAME?</v>
      </c>
      <c r="DF78" s="3" t="e">
        <f ca="1">_xll.BDH($C$78,"INVTRY_RAW_MATERIALS","FY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78" s="3" t="e">
        <f ca="1">_xll.BDH($C$78,"INVTRY_IN_PROGRESS","FY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78" s="3" t="e">
        <f ca="1">_xll.BDH($C$78,"INVTRY_FINISHED_GOODS","FY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78" s="3" t="e">
        <f ca="1">_xll.BDH($C$78,"BS_OTHER_INV","FY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79" spans="1:113" x14ac:dyDescent="0.3">
      <c r="A79" s="6"/>
      <c r="B79" s="6"/>
      <c r="C79" s="6"/>
      <c r="D79" s="6"/>
      <c r="E79" t="s">
        <v>78</v>
      </c>
      <c r="F79" t="e">
        <f ca="1">_xll.BDH($C$78,"RETURN_COM_EQY","FQ1 2014","FQ1 2014","Currency=INR","Period=FQ","BEST_FPERIOD_OVERRIDE=FQ","FILING_STATUS=OR","EQY_CONSOLIDATED=Y","FA_ADJUSTED=GAAP","Sort=A","Dates=H","DateFormat=P","Fill=—","Direction=H","UseDPDF=Y")</f>
        <v>#NAME?</v>
      </c>
      <c r="G79" t="e">
        <f ca="1">_xll.BDH($C$78,"RETURN_ON_ASSET","FQ1 2014","FQ1 2014","Currency=INR","Period=FQ","BEST_FPERIOD_OVERRIDE=FQ","FILING_STATUS=OR","EQY_CONSOLIDATED=Y","FA_ADJUSTED=GAAP","Sort=A","Dates=H","DateFormat=P","Fill=—","Direction=H","UseDPDF=Y")</f>
        <v>#NAME?</v>
      </c>
      <c r="H79" t="e">
        <f ca="1">_xll.BDH($C$78,"RETURN_ON_CAP","FQ1 2014","FQ1 2014","Currency=INR","Period=FQ","BEST_FPERIOD_OVERRIDE=FQ","FILING_STATUS=OR","EQY_CONSOLIDATED=Y","FA_ADJUSTED=GAAP","Sort=A","Dates=H","DateFormat=P","Fill=—","Direction=H","UseDPDF=Y")</f>
        <v>#NAME?</v>
      </c>
      <c r="I79" t="e">
        <f ca="1">_xll.BDH($C$78,"RETURN_ON_INV_CAPITAL","FQ1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79" t="e">
        <f ca="1">_xll.BDH($C$78,"EBITDA_TO_REVENUE","FQ1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79" t="e">
        <f ca="1">_xll.BDH($C$78,"OPER_MARGIN","FQ1 2014","FQ1 2014","Currency=INR","Period=FQ","BEST_FPERIOD_OVERRIDE=FQ","FILING_STATUS=OR","EQY_CONSOLIDATED=Y","FA_ADJUSTED=GAAP","Sort=A","Dates=H","DateFormat=P","Fill=—","Direction=H","UseDPDF=Y")</f>
        <v>#NAME?</v>
      </c>
      <c r="L79" t="e">
        <f ca="1">_xll.BDH($C$78,"INCREMENTAL_OPERATING_MARGIN","FQ1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79" t="e">
        <f ca="1">_xll.BDH($C$78,"PRETAX_INC_TO_NET_SALES","FQ1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79" t="e">
        <f ca="1">_xll.BDH($C$78,"INC_BEF_XO_ITEMS_TO_NET_SALES","FQ1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79" t="e">
        <f ca="1">_xll.BDH($C$78,"PROF_MARGIN","FQ1 2014","FQ1 2014","Currency=INR","Period=FQ","BEST_FPERIOD_OVERRIDE=FQ","FILING_STATUS=OR","EQY_CONSOLIDATED=Y","FA_ADJUSTED=GAAP","Sort=A","Dates=H","DateFormat=P","Fill=—","Direction=H","UseDPDF=Y")</f>
        <v>#NAME?</v>
      </c>
      <c r="P79" t="e">
        <f ca="1">_xll.BDH($C$78,"NET_INCOME_TO_COMMON_MARGIN","FQ1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79" t="e">
        <f ca="1">_xll.BDH($C$78,"EFF_TAX_RATE","FQ1 2014","FQ1 2014","Currency=INR","Period=FQ","BEST_FPERIOD_OVERRIDE=FQ","FILING_STATUS=OR","EQY_CONSOLIDATED=Y","FA_ADJUSTED=GAAP","Sort=A","Dates=H","DateFormat=P","Fill=—","Direction=H","UseDPDF=Y")</f>
        <v>#NAME?</v>
      </c>
      <c r="R79" t="e">
        <f ca="1">_xll.BDH($C$78,"DVD_PAYOUT_RATIO","FQ1 2014","FQ1 2014","Currency=INR","Period=FQ","BEST_FPERIOD_OVERRIDE=FQ","FILING_STATUS=OR","EQY_CONSOLIDATED=Y","FA_ADJUSTED=GAAP","Sort=A","Dates=H","DateFormat=P","Fill=—","Direction=H","UseDPDF=Y")</f>
        <v>#NAME?</v>
      </c>
      <c r="S79" t="e">
        <f ca="1">_xll.BDH($C$78,"SUSTAIN_GROWTH_RT","FQ1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79" s="2" t="e">
        <f ca="1">_xll.BDH($C$78,"SALES_GROWTH","FQ1 2014","FQ1 2014","Currency=INR","Period=FQ","BEST_FPERIOD_OVERRIDE=FQ","FILING_STATUS=OR","EQY_CONSOLIDATED=Y","FA_ADJUSTED=GAAP","Sort=A","Dates=H","DateFormat=P","Fill=—","Direction=H","UseDPDF=Y")</f>
        <v>#NAME?</v>
      </c>
      <c r="U79" s="2" t="e">
        <f ca="1">_xll.BDH($C$78,"EBITDA_GROWTH","FQ1 2014","FQ1 2014","Currency=INR","Period=FQ","BEST_FPERIOD_OVERRIDE=FQ","FILING_STATUS=OR","EQY_CONSOLIDATED=Y","FA_ADJUSTED=GAAP","Sort=A","Dates=H","DateFormat=P","Fill=—","Direction=H","UseDPDF=Y")</f>
        <v>#NAME?</v>
      </c>
      <c r="V79" s="2" t="e">
        <f ca="1">_xll.BDH($C$78,"OPER_INC_GROWTH","FQ1 2014","FQ1 2014","Currency=INR","Period=FQ","BEST_FPERIOD_OVERRIDE=FQ","FILING_STATUS=OR","EQY_CONSOLIDATED=Y","FA_ADJUSTED=GAAP","Sort=A","Dates=H","DateFormat=P","Fill=—","Direction=H","UseDPDF=Y")</f>
        <v>#NAME?</v>
      </c>
      <c r="W79" s="2" t="e">
        <f ca="1">_xll.BDH($C$78,"EARN_FOR_COM_GROWTH","FQ1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79" s="2" t="e">
        <f ca="1">_xll.BDH($C$78,"DILUTED_EPS_AFT_XO_ITEMS_GROWTH","FQ1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79" s="2" t="e">
        <f ca="1">_xll.BDH($C$78,"DIVIDEND_PER_SHARE_1_YEAR_GROWTH","FQ1 2014","FQ1 2014","Currency=INR","Period=FQ","BEST_FPERIOD_OVERRIDE=FQ","FILING_STATUS=OR","EQY_CONSOLIDATED=Y","Sort=A","Dates=H","DateFormat=P","Fill=—","Direction=H","UseDPDF=Y")</f>
        <v>#NAME?</v>
      </c>
      <c r="Z79" s="2" t="e">
        <f ca="1">_xll.BDH($C$78,"ACCOUNTS_RECEIVABLE_GROWTH","FQ1 2014","FQ1 2014","Currency=INR","Period=FQ","BEST_FPERIOD_OVERRIDE=FQ","FILING_STATUS=OR","EQY_CONSOLIDATED=Y","Sort=A","Dates=H","DateFormat=P","Fill=—","Direction=H","UseDPDF=Y")</f>
        <v>#NAME?</v>
      </c>
      <c r="AA79" s="2" t="e">
        <f ca="1">_xll.BDH($C$78,"INVENTORY_GROWTH","FQ1 2014","FQ1 2014","Currency=INR","Period=FQ","BEST_FPERIOD_OVERRIDE=FQ","FILING_STATUS=OR","EQY_CONSOLIDATED=Y","Sort=A","Dates=H","DateFormat=P","Fill=—","Direction=H","UseDPDF=Y")</f>
        <v>#NAME?</v>
      </c>
      <c r="AB79" s="2" t="e">
        <f ca="1">_xll.BDH($C$78,"NET_FIXED_ASSETS_1_YEAR_GROWTH","FQ1 2014","FQ1 2014","Currency=INR","Period=FQ","BEST_FPERIOD_OVERRIDE=FQ","FILING_STATUS=OR","EQY_CONSOLIDATED=Y","Sort=A","Dates=H","DateFormat=P","Fill=—","Direction=H","UseDPDF=Y")</f>
        <v>#NAME?</v>
      </c>
      <c r="AC79" s="2" t="e">
        <f ca="1">_xll.BDH($C$78,"ASSET_GROWTH","FQ1 2014","FQ1 2014","Currency=INR","Period=FQ","BEST_FPERIOD_OVERRIDE=FQ","FILING_STATUS=OR","EQY_CONSOLIDATED=Y","Sort=A","Dates=H","DateFormat=P","Fill=—","Direction=H","UseDPDF=Y")</f>
        <v>#NAME?</v>
      </c>
      <c r="AD79" s="2" t="e">
        <f ca="1">_xll.BDH($C$78,"MODIFIED_WORK_CAP_GROWTH","FQ1 2014","FQ1 2014","Currency=INR","Period=FQ","BEST_FPERIOD_OVERRIDE=FQ","FILING_STATUS=OR","EQY_CONSOLIDATED=Y","Sort=A","Dates=H","DateFormat=P","Fill=—","Direction=H","UseDPDF=Y")</f>
        <v>#NAME?</v>
      </c>
      <c r="AE79" s="2" t="e">
        <f ca="1">_xll.BDH($C$78,"WORK_CAP_GROWTH","FQ1 2014","FQ1 2014","Currency=INR","Period=FQ","BEST_FPERIOD_OVERRIDE=FQ","FILING_STATUS=OR","EQY_CONSOLIDATED=Y","Sort=A","Dates=H","DateFormat=P","Fill=—","Direction=H","UseDPDF=Y")</f>
        <v>#NAME?</v>
      </c>
      <c r="AF79" s="2" t="e">
        <f ca="1">_xll.BDH($C$78,"ACCOUNTS_PAYABLE_GROWTH_1YR","FQ1 2014","FQ1 2014","Currency=INR","Period=FQ","BEST_FPERIOD_OVERRIDE=FQ","FILING_STATUS=OR","EQY_CONSOLIDATED=Y","Sort=A","Dates=H","DateFormat=P","Fill=—","Direction=H","UseDPDF=Y")</f>
        <v>#NAME?</v>
      </c>
      <c r="AG79" s="2" t="e">
        <f ca="1">_xll.BDH($C$78,"SHORT_TERM_DEBT_1_YEAR_GROWTH","FQ1 2014","FQ1 2014","Currency=INR","Period=FQ","BEST_FPERIOD_OVERRIDE=FQ","FILING_STATUS=OR","EQY_CONSOLIDATED=Y","Sort=A","Dates=H","DateFormat=P","Fill=—","Direction=H","UseDPDF=Y")</f>
        <v>#NAME?</v>
      </c>
      <c r="AH79" s="2" t="e">
        <f ca="1">_xll.BDH($C$78,"TOTAL_DEBT_1_YEAR_GROWTH","FQ1 2014","FQ1 2014","Currency=INR","Period=FQ","BEST_FPERIOD_OVERRIDE=FQ","FILING_STATUS=OR","EQY_CONSOLIDATED=Y","Sort=A","Dates=H","DateFormat=P","Fill=—","Direction=H","UseDPDF=Y")</f>
        <v>#NAME?</v>
      </c>
      <c r="AI79" s="2" t="e">
        <f ca="1">_xll.BDH($C$78,"TOTAL_EQUITY_1_YEAR_GROWTH","FQ1 2014","FQ1 2014","Currency=INR","Period=FQ","BEST_FPERIOD_OVERRIDE=FQ","FILING_STATUS=OR","EQY_CONSOLIDATED=Y","Sort=A","Dates=H","DateFormat=P","Fill=—","Direction=H","UseDPDF=Y")</f>
        <v>#NAME?</v>
      </c>
      <c r="AJ79" s="2" t="e">
        <f ca="1">_xll.BDH($C$78,"GROWTH_IN_CAP","FQ1 2014","FQ1 2014","Currency=INR","Period=FQ","BEST_FPERIOD_OVERRIDE=FQ","FILING_STATUS=OR","EQY_CONSOLIDATED=Y","Sort=A","Dates=H","DateFormat=P","Fill=—","Direction=H","UseDPDF=Y")</f>
        <v>#NAME?</v>
      </c>
      <c r="AK79" s="2" t="e">
        <f ca="1">_xll.BDH($C$78,"BVPS_GROWTH","FQ1 2014","FQ1 2014","Currency=INR","Period=FQ","BEST_FPERIOD_OVERRIDE=FQ","FILING_STATUS=OR","EQY_CONSOLIDATED=Y","Sort=A","Dates=H","DateFormat=P","Fill=—","Direction=H","UseDPDF=Y")</f>
        <v>#NAME?</v>
      </c>
      <c r="AL79" s="2" t="e">
        <f ca="1">_xll.BDH($C$78,"CASH_FLOW_GROWTH","FQ1 2014","FQ1 2014","Currency=INR","Period=FQ","BEST_FPERIOD_OVERRIDE=FQ","FILING_STATUS=OR","EQY_CONSOLIDATED=Y","Sort=A","Dates=H","DateFormat=P","Fill=—","Direction=H","UseDPDF=Y")</f>
        <v>#NAME?</v>
      </c>
      <c r="AM79" s="2" t="e">
        <f ca="1">_xll.BDH($C$78,"GEO_GROW_NET_SALES","FQ1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79" s="2" t="e">
        <f ca="1">_xll.BDH($C$78,"GEO_GROW_EBITDA","FQ1 2014","FQ1 2014","Currency=INR","Period=FQ","BEST_FPERIOD_OVERRIDE=FQ","FILING_STATUS=OR","EQY_CONSOLIDATED=Y","FA_ADJUSTED=GAAP","Sort=A","Dates=H","DateFormat=P","Fill=—","Direction=H","UseDPDF=Y")</f>
        <v>#NAME?</v>
      </c>
      <c r="AO79" s="2" t="e">
        <f ca="1">_xll.BDH($C$78,"GEO_GROW_OPER_INC","FQ1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79" s="2" t="e">
        <f ca="1">_xll.BDH($C$78,"NET_INCOME_TO_COMMON_5_YR_GROWTH","FQ1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79" s="2" t="e">
        <f ca="1">_xll.BDH($C$78,"5Y_GEO_GROWTH_DILUTED_EPS","FQ1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79" s="2" t="e">
        <f ca="1">_xll.BDH($C$78,"GEO_GROW_DVD_PER_SH","FQ1 2014","FQ1 2014","Currency=INR","Period=FQ","BEST_FPERIOD_OVERRIDE=FQ","FILING_STATUS=OR","EQY_CONSOLIDATED=Y","Sort=A","Dates=H","DateFormat=P","Fill=—","Direction=H","UseDPDF=Y")</f>
        <v>#NAME?</v>
      </c>
      <c r="AS79" s="2" t="e">
        <f ca="1">_xll.BDH($C$78,"ACCOUNTS_RECEIVABLE_5_YR_GROWTH","FQ1 2014","FQ1 2014","Currency=INR","Period=FQ","BEST_FPERIOD_OVERRIDE=FQ","FILING_STATUS=OR","EQY_CONSOLIDATED=Y","Sort=A","Dates=H","DateFormat=P","Fill=—","Direction=H","UseDPDF=Y")</f>
        <v>#NAME?</v>
      </c>
      <c r="AT79" s="2" t="e">
        <f ca="1">_xll.BDH($C$78,"INVENTORY_5_YEAR_GROWTH","FQ1 2014","FQ1 2014","Currency=INR","Period=FQ","BEST_FPERIOD_OVERRIDE=FQ","FILING_STATUS=OR","EQY_CONSOLIDATED=Y","Sort=A","Dates=H","DateFormat=P","Fill=—","Direction=H","UseDPDF=Y")</f>
        <v>#NAME?</v>
      </c>
      <c r="AU79" s="2" t="e">
        <f ca="1">_xll.BDH($C$78,"NET_FIXED_ASSETS_5_YEAR_GROWTH","FQ1 2014","FQ1 2014","Currency=INR","Period=FQ","BEST_FPERIOD_OVERRIDE=FQ","FILING_STATUS=OR","EQY_CONSOLIDATED=Y","Sort=A","Dates=H","DateFormat=P","Fill=—","Direction=H","UseDPDF=Y")</f>
        <v>#NAME?</v>
      </c>
      <c r="AV79" s="2" t="e">
        <f ca="1">_xll.BDH($C$78,"GEO_GROW_TOT_ASSET","FQ1 2014","FQ1 2014","Currency=INR","Period=FQ","BEST_FPERIOD_OVERRIDE=FQ","FILING_STATUS=OR","EQY_CONSOLIDATED=Y","Sort=A","Dates=H","DateFormat=P","Fill=—","Direction=H","UseDPDF=Y")</f>
        <v>#NAME?</v>
      </c>
      <c r="AW79" s="2" t="e">
        <f ca="1">_xll.BDH($C$78,"MODIFIED_WORKING_CPTL_5YR_GRWTH","FQ1 2014","FQ1 2014","Currency=INR","Period=FQ","BEST_FPERIOD_OVERRIDE=FQ","FILING_STATUS=OR","EQY_CONSOLIDATED=Y","Sort=A","Dates=H","DateFormat=P","Fill=—","Direction=H","UseDPDF=Y")</f>
        <v>#NAME?</v>
      </c>
      <c r="AX79" s="2" t="e">
        <f ca="1">_xll.BDH($C$78,"WORKING_CAPITAL_5_YEAR_GROWTH","FQ1 2014","FQ1 2014","Currency=INR","Period=FQ","BEST_FPERIOD_OVERRIDE=FQ","FILING_STATUS=OR","EQY_CONSOLIDATED=Y","Sort=A","Dates=H","DateFormat=P","Fill=—","Direction=H","UseDPDF=Y")</f>
        <v>#NAME?</v>
      </c>
      <c r="AY79" s="2" t="e">
        <f ca="1">_xll.BDH($C$78,"ACCOUNTS_PAYABLE_5_YEAR_GROWTH","FQ1 2014","FQ1 2014","Currency=INR","Period=FQ","BEST_FPERIOD_OVERRIDE=FQ","FILING_STATUS=OR","EQY_CONSOLIDATED=Y","Sort=A","Dates=H","DateFormat=P","Fill=—","Direction=H","UseDPDF=Y")</f>
        <v>#NAME?</v>
      </c>
      <c r="AZ79" s="2" t="e">
        <f ca="1">_xll.BDH($C$78,"SHORT_TERM_DEBT_5_YEAR_GROWTH","FQ1 2014","FQ1 2014","Currency=INR","Period=FQ","BEST_FPERIOD_OVERRIDE=FQ","FILING_STATUS=OR","EQY_CONSOLIDATED=Y","Sort=A","Dates=H","DateFormat=P","Fill=—","Direction=H","UseDPDF=Y")</f>
        <v>#NAME?</v>
      </c>
      <c r="BA79" s="2" t="e">
        <f ca="1">_xll.BDH($C$78,"TOTAL_DEBT_5_YEAR_GROWTH","FQ1 2014","FQ1 2014","Currency=INR","Period=FQ","BEST_FPERIOD_OVERRIDE=FQ","FILING_STATUS=OR","EQY_CONSOLIDATED=Y","Sort=A","Dates=H","DateFormat=P","Fill=—","Direction=H","UseDPDF=Y")</f>
        <v>#NAME?</v>
      </c>
      <c r="BB79" s="2" t="e">
        <f ca="1">_xll.BDH($C$78,"GEO_GROW_TOT_SHRHLDR_EQY","FQ1 2014","FQ1 2014","Currency=INR","Period=FQ","BEST_FPERIOD_OVERRIDE=FQ","FILING_STATUS=OR","EQY_CONSOLIDATED=Y","Sort=A","Dates=H","DateFormat=P","Fill=—","Direction=H","UseDPDF=Y")</f>
        <v>#NAME?</v>
      </c>
      <c r="BC79" s="2" t="e">
        <f ca="1">_xll.BDH($C$78,"TOTAL_CAPITAL_5_YEAR_GROWTH","FQ1 2014","FQ1 2014","Currency=INR","Period=FQ","BEST_FPERIOD_OVERRIDE=FQ","FILING_STATUS=OR","EQY_CONSOLIDATED=Y","Sort=A","Dates=H","DateFormat=P","Fill=—","Direction=H","UseDPDF=Y")</f>
        <v>#NAME?</v>
      </c>
      <c r="BD79" s="2" t="e">
        <f ca="1">_xll.BDH($C$78,"GEO_GROW_BOOK_VAL","FQ1 2014","FQ1 2014","Currency=INR","Period=FQ","BEST_FPERIOD_OVERRIDE=FQ","FILING_STATUS=OR","EQY_CONSOLIDATED=Y","Sort=A","Dates=H","DateFormat=P","Fill=—","Direction=H","UseDPDF=Y")</f>
        <v>#NAME?</v>
      </c>
      <c r="BE79" s="2" t="e">
        <f ca="1">_xll.BDH($C$78,"GEO_GROW_CASH_OPER_ACT","FQ1 2014","FQ1 2014","Currency=INR","Period=FQ","BEST_FPERIOD_OVERRIDE=FQ","FILING_STATUS=OR","EQY_CONSOLIDATED=Y","Sort=A","Dates=H","DateFormat=P","Fill=—","Direction=H","UseDPDF=Y")</f>
        <v>#NAME?</v>
      </c>
      <c r="BF79" s="2" t="e">
        <f ca="1">_xll.BDH($C$78,"REVENUE_SEQUENTIAL_GROWTH","FQ1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79" s="2" t="e">
        <f ca="1">_xll.BDH($C$78,"EBITDA_SEQUENTIAL_GROWTH","FQ1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79" s="2" t="e">
        <f ca="1">_xll.BDH($C$78,"OPERATING_INCOME_SEQ_GROWTH","FQ1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79" s="2" t="e">
        <f ca="1">_xll.BDH($C$78,"NET_INCOME_TO_COMMON_SEQ_GROWTH","FQ1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79" s="2" t="e">
        <f ca="1">_xll.BDH($C$78,"EPS_DILUTED_SEQUENTIAL_GROWTH","FQ1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79" s="2" t="e">
        <f ca="1">_xll.BDH($C$78,"DPS_SEQUENTIAL_GROWTH","FQ1 2014","FQ1 2014","Currency=INR","Period=FQ","BEST_FPERIOD_OVERRIDE=FQ","FILING_STATUS=OR","EQY_CONSOLIDATED=Y","Sort=A","Dates=H","DateFormat=P","Fill=—","Direction=H","UseDPDF=Y")</f>
        <v>#NAME?</v>
      </c>
      <c r="BL79" s="2" t="e">
        <f ca="1">_xll.BDH($C$78,"ACCOUNTS_RECEIVABLE_SEQ_GROWTH","FQ1 2014","FQ1 2014","Currency=INR","Period=FQ","BEST_FPERIOD_OVERRIDE=FQ","FILING_STATUS=OR","EQY_CONSOLIDATED=Y","Sort=A","Dates=H","DateFormat=P","Fill=—","Direction=H","UseDPDF=Y")</f>
        <v>#NAME?</v>
      </c>
      <c r="BM79" s="2" t="e">
        <f ca="1">_xll.BDH($C$78,"INVENTORY_SEQUENTIAL_GROWTH","FQ1 2014","FQ1 2014","Currency=INR","Period=FQ","BEST_FPERIOD_OVERRIDE=FQ","FILING_STATUS=OR","EQY_CONSOLIDATED=Y","Sort=A","Dates=H","DateFormat=P","Fill=—","Direction=H","UseDPDF=Y")</f>
        <v>#NAME?</v>
      </c>
      <c r="BN79" s="2" t="e">
        <f ca="1">_xll.BDH($C$78,"FIXED_ASSETS_SEQUENTIAL_GROWTH","FQ1 2014","FQ1 2014","Currency=INR","Period=FQ","BEST_FPERIOD_OVERRIDE=FQ","FILING_STATUS=OR","EQY_CONSOLIDATED=Y","Sort=A","Dates=H","DateFormat=P","Fill=—","Direction=H","UseDPDF=Y")</f>
        <v>#NAME?</v>
      </c>
      <c r="BO79" s="2" t="e">
        <f ca="1">_xll.BDH($C$78,"TOTAL_ASSETS_SEQUENTIAL_GROWTH","FQ1 2014","FQ1 2014","Currency=INR","Period=FQ","BEST_FPERIOD_OVERRIDE=FQ","FILING_STATUS=OR","EQY_CONSOLIDATED=Y","Sort=A","Dates=H","DateFormat=P","Fill=—","Direction=H","UseDPDF=Y")</f>
        <v>#NAME?</v>
      </c>
      <c r="BP79" s="2" t="e">
        <f ca="1">_xll.BDH($C$78,"MODIFIED_WORKING_CPTL_SEQ_GRWTH","FQ1 2014","FQ1 2014","Currency=INR","Period=FQ","BEST_FPERIOD_OVERRIDE=FQ","FILING_STATUS=OR","EQY_CONSOLIDATED=Y","Sort=A","Dates=H","DateFormat=P","Fill=—","Direction=H","UseDPDF=Y")</f>
        <v>#NAME?</v>
      </c>
      <c r="BQ79" s="2" t="e">
        <f ca="1">_xll.BDH($C$78,"WORKING_CAPITAL_SEQ_GROWTH","FQ1 2014","FQ1 2014","Currency=INR","Period=FQ","BEST_FPERIOD_OVERRIDE=FQ","FILING_STATUS=OR","EQY_CONSOLIDATED=Y","Sort=A","Dates=H","DateFormat=P","Fill=—","Direction=H","UseDPDF=Y")</f>
        <v>#NAME?</v>
      </c>
      <c r="BR79" s="2" t="e">
        <f ca="1">_xll.BDH($C$78,"ACCOUNTS_PAYABLE_SEQ_GROWTH","FQ1 2014","FQ1 2014","Currency=INR","Period=FQ","BEST_FPERIOD_OVERRIDE=FQ","FILING_STATUS=OR","EQY_CONSOLIDATED=Y","Sort=A","Dates=H","DateFormat=P","Fill=—","Direction=H","UseDPDF=Y")</f>
        <v>#NAME?</v>
      </c>
      <c r="BS79" s="2" t="e">
        <f ca="1">_xll.BDH($C$78,"ST_DEBT_SEQUENTIAL_GROWTH","FQ1 2014","FQ1 2014","Currency=INR","Period=FQ","BEST_FPERIOD_OVERRIDE=FQ","FILING_STATUS=OR","EQY_CONSOLIDATED=Y","Sort=A","Dates=H","DateFormat=P","Fill=—","Direction=H","UseDPDF=Y")</f>
        <v>#NAME?</v>
      </c>
      <c r="BT79" s="2" t="e">
        <f ca="1">_xll.BDH($C$78,"TOTAL_DEBT_SEQUENTIAL_GROWTH","FQ1 2014","FQ1 2014","Currency=INR","Period=FQ","BEST_FPERIOD_OVERRIDE=FQ","FILING_STATUS=OR","EQY_CONSOLIDATED=Y","Sort=A","Dates=H","DateFormat=P","Fill=—","Direction=H","UseDPDF=Y")</f>
        <v>#NAME?</v>
      </c>
      <c r="BU79" s="2" t="e">
        <f ca="1">_xll.BDH($C$78,"TOTAL_EQUITY_SEQUENTIAL_GROWTH","FQ1 2014","FQ1 2014","Currency=INR","Period=FQ","BEST_FPERIOD_OVERRIDE=FQ","FILING_STATUS=OR","EQY_CONSOLIDATED=Y","Sort=A","Dates=H","DateFormat=P","Fill=—","Direction=H","UseDPDF=Y")</f>
        <v>#NAME?</v>
      </c>
      <c r="BV79" s="2" t="e">
        <f ca="1">_xll.BDH($C$78,"TOTAL_CAPITAL_SEQUENTIAL_GROWTH","FQ1 2014","FQ1 2014","Currency=INR","Period=FQ","BEST_FPERIOD_OVERRIDE=FQ","FILING_STATUS=OR","EQY_CONSOLIDATED=Y","Sort=A","Dates=H","DateFormat=P","Fill=—","Direction=H","UseDPDF=Y")</f>
        <v>#NAME?</v>
      </c>
      <c r="BW79" s="2" t="e">
        <f ca="1">_xll.BDH($C$78,"BPS_SEQUENTIAL_GROWTH","FQ1 2014","FQ1 2014","Currency=INR","Period=FQ","BEST_FPERIOD_OVERRIDE=FQ","FILING_STATUS=OR","EQY_CONSOLIDATED=Y","Sort=A","Dates=H","DateFormat=P","Fill=—","Direction=H","UseDPDF=Y")</f>
        <v>#NAME?</v>
      </c>
      <c r="BX79" s="2" t="e">
        <f ca="1">_xll.BDH($C$78,"CFO_SEQUENTIAL_GROWTH","FQ1 2014","FQ1 2014","Currency=INR","Period=FQ","BEST_FPERIOD_OVERRIDE=FQ","FILING_STATUS=OR","EQY_CONSOLIDATED=Y","Sort=A","Dates=H","DateFormat=P","Fill=—","Direction=H","UseDPDF=Y")</f>
        <v>#NAME?</v>
      </c>
      <c r="BY79" s="3" t="e">
        <f ca="1">_xll.BDH($C$78,"SHORT_AND_LONG_TERM_DEBT","FQ1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79" s="3" t="e">
        <f ca="1">_xll.BDH($C$78,"BS_ST_BORROW","FQ1 2014","FQ1 2014","Currency=INR","Period=FQ","BEST_FPERIOD_OVERRIDE=FQ","FILING_STATUS=OR","EQY_CONSOLIDATED=Y","SCALING_FORMAT=MLN","Sort=A","Dates=H","DateFormat=P","Fill=—","Direction=H","UseDPDF=Y")</f>
        <v>#NAME?</v>
      </c>
      <c r="CA79" s="3" t="e">
        <f ca="1">_xll.BDH($C$78,"BS_LT_BORROW","FQ1 2014","FQ1 2014","Currency=INR","Period=FQ","BEST_FPERIOD_OVERRIDE=FQ","FILING_STATUS=OR","EQY_CONSOLIDATED=Y","SCALING_FORMAT=MLN","Sort=A","Dates=H","DateFormat=P","Fill=—","Direction=H","UseDPDF=Y")</f>
        <v>#NAME?</v>
      </c>
      <c r="CB79" s="2" t="e">
        <f ca="1">_xll.BDH($C$78,"TOT_DEBT_TO_EBITDA","FQ1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79" s="2" t="e">
        <f ca="1">_xll.BDH($C$78,"NET_DEBT_TO_EBITDA","FQ1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79" s="2" t="e">
        <f ca="1">_xll.BDH($C$78,"TOTAL_DEBT_TO_EBIT","FQ1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79" s="2" t="e">
        <f ca="1">_xll.BDH($C$78,"NET_DEBT_TO_EBIT","FQ1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79" s="2" t="e">
        <f ca="1">_xll.BDH($C$78,"EBITDA_TO_INTEREST_EXPN","FQ1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79" s="2" t="e">
        <f ca="1">_xll.BDH($C$78,"COM_EQY_TO_TOT_ASSET","FQ1 2014","FQ1 2014","Currency=INR","Period=FQ","BEST_FPERIOD_OVERRIDE=FQ","FILING_STATUS=OR","EQY_CONSOLIDATED=Y","Sort=A","Dates=H","DateFormat=P","Fill=—","Direction=H","UseDPDF=Y")</f>
        <v>#NAME?</v>
      </c>
      <c r="CH79" s="2" t="e">
        <f ca="1">_xll.BDH($C$78,"LT_DEBT_TO_TOT_EQY","FQ1 2014","FQ1 2014","Currency=INR","Period=FQ","BEST_FPERIOD_OVERRIDE=FQ","FILING_STATUS=OR","EQY_CONSOLIDATED=Y","Sort=A","Dates=H","DateFormat=P","Fill=—","Direction=H","UseDPDF=Y")</f>
        <v>#NAME?</v>
      </c>
      <c r="CI79" s="2" t="e">
        <f ca="1">_xll.BDH($C$78,"LT_DEBT_TO_TOT_CAP","FQ1 2014","FQ1 2014","Currency=INR","Period=FQ","BEST_FPERIOD_OVERRIDE=FQ","FILING_STATUS=OR","EQY_CONSOLIDATED=Y","Sort=A","Dates=H","DateFormat=P","Fill=—","Direction=H","UseDPDF=Y")</f>
        <v>#NAME?</v>
      </c>
      <c r="CJ79" s="2" t="e">
        <f ca="1">_xll.BDH($C$78,"LT_DEBT_TO_TOT_ASSET","FQ1 2014","FQ1 2014","Currency=INR","Period=FQ","BEST_FPERIOD_OVERRIDE=FQ","FILING_STATUS=OR","EQY_CONSOLIDATED=Y","Sort=A","Dates=H","DateFormat=P","Fill=—","Direction=H","UseDPDF=Y")</f>
        <v>#NAME?</v>
      </c>
      <c r="CK79" s="2" t="e">
        <f ca="1">_xll.BDH($C$78,"TOT_DEBT_TO_TOT_EQY","FQ1 2014","FQ1 2014","Currency=INR","Period=FQ","BEST_FPERIOD_OVERRIDE=FQ","FILING_STATUS=OR","EQY_CONSOLIDATED=Y","Sort=A","Dates=H","DateFormat=P","Fill=—","Direction=H","UseDPDF=Y")</f>
        <v>#NAME?</v>
      </c>
      <c r="CL79" s="2" t="e">
        <f ca="1">_xll.BDH($C$78,"TOT_DEBT_TO_TOT_CAP","FQ1 2014","FQ1 2014","Currency=INR","Period=FQ","BEST_FPERIOD_OVERRIDE=FQ","FILING_STATUS=OR","EQY_CONSOLIDATED=Y","Sort=A","Dates=H","DateFormat=P","Fill=—","Direction=H","UseDPDF=Y")</f>
        <v>#NAME?</v>
      </c>
      <c r="CM79" s="2" t="e">
        <f ca="1">_xll.BDH($C$78,"TOT_DEBT_TO_TOT_ASSET","FQ1 2014","FQ1 2014","Currency=INR","Period=FQ","BEST_FPERIOD_OVERRIDE=FQ","FILING_STATUS=OR","EQY_CONSOLIDATED=Y","Sort=A","Dates=H","DateFormat=P","Fill=—","Direction=H","UseDPDF=Y")</f>
        <v>#NAME?</v>
      </c>
      <c r="CN79" s="2" t="e">
        <f ca="1">_xll.BDH($C$78,"NET_DEBT_TO_SHRHLDR_EQTY","FQ1 2014","FQ1 2014","Currency=INR","Period=FQ","BEST_FPERIOD_OVERRIDE=FQ","FILING_STATUS=OR","EQY_CONSOLIDATED=Y","Sort=A","Dates=H","DateFormat=P","Fill=—","Direction=H","UseDPDF=Y")</f>
        <v>#NAME?</v>
      </c>
      <c r="CO79" s="2" t="e">
        <f ca="1">_xll.BDH($C$78,"NET_DEBT_%_CAPITAL","FQ1 2014","FQ1 2014","Currency=INR","Period=FQ","BEST_FPERIOD_OVERRIDE=FQ","FILING_STATUS=OR","EQY_CONSOLIDATED=Y","Sort=A","Dates=H","DateFormat=P","Fill=—","Direction=H","UseDPDF=Y")</f>
        <v>#NAME?</v>
      </c>
      <c r="CP79" s="3" t="e">
        <f ca="1">_xll.BDH($C$78,"EBITDA","FQ1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79" s="3" t="e">
        <f ca="1">_xll.BDH($C$78,"EBITDA_AFTER_CAPEX","FQ1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79" s="3" t="e">
        <f ca="1">_xll.BDH($C$78,"IS_OPER_INC","FQ1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79" s="2" t="e">
        <f ca="1">_xll.BDH($C$78,"CASH_RATIO","FQ1 2014","FQ1 2014","Currency=INR","Period=FQ","BEST_FPERIOD_OVERRIDE=FQ","FILING_STATUS=OR","EQY_CONSOLIDATED=Y","Sort=A","Dates=H","DateFormat=P","Fill=—","Direction=H","UseDPDF=Y")</f>
        <v>#NAME?</v>
      </c>
      <c r="CT79" s="2" t="e">
        <f ca="1">_xll.BDH($C$78,"CUR_RATIO","FQ1 2014","FQ1 2014","Currency=INR","Period=FQ","BEST_FPERIOD_OVERRIDE=FQ","FILING_STATUS=OR","EQY_CONSOLIDATED=Y","Sort=A","Dates=H","DateFormat=P","Fill=—","Direction=H","UseDPDF=Y")</f>
        <v>#NAME?</v>
      </c>
      <c r="CU79" s="2" t="e">
        <f ca="1">_xll.BDH($C$78,"QUICK_RATIO","FQ1 2014","FQ1 2014","Currency=INR","Period=FQ","BEST_FPERIOD_OVERRIDE=FQ","FILING_STATUS=OR","EQY_CONSOLIDATED=Y","Sort=A","Dates=H","DateFormat=P","Fill=—","Direction=H","UseDPDF=Y")</f>
        <v>#NAME?</v>
      </c>
      <c r="CV79" s="2" t="e">
        <f ca="1">_xll.BDH($C$78,"ALTMAN_Z_SCORE","FQ1 2014","FQ1 2014","Currency=INR","Period=FQ","BEST_FPERIOD_OVERRIDE=FQ","FILING_STATUS=OR","EQY_CONSOLIDATED=Y","Sort=A","Dates=H","DateFormat=P","Fill=—","Direction=H","UseDPDF=Y")</f>
        <v>#NAME?</v>
      </c>
      <c r="CW79" s="4" t="e">
        <f ca="1">_xll.BDH($C$78,"ACCT_RCV_TURN","FQ1 2014","FQ1 2014","Currency=INR","Period=FQ","BEST_FPERIOD_OVERRIDE=FQ","FILING_STATUS=OR","EQY_CONSOLIDATED=Y","FA_ADJUSTED=GAAP","Sort=A","Dates=H","DateFormat=P","Fill=—","Direction=H","UseDPDF=Y")</f>
        <v>#NAME?</v>
      </c>
      <c r="CX79" s="2" t="e">
        <f ca="1">_xll.BDH($C$78,"ACCT_RCV_DAYS","FQ1 2014","FQ1 2014","Currency=INR","Period=FQ","BEST_FPERIOD_OVERRIDE=FQ","FILING_STATUS=OR","EQY_CONSOLIDATED=Y","FA_ADJUSTED=GAAP","Sort=A","Dates=H","DateFormat=P","Fill=—","Direction=H","UseDPDF=Y")</f>
        <v>#NAME?</v>
      </c>
      <c r="CY79" s="4" t="e">
        <f ca="1">_xll.BDH($C$78,"INVENT_TURN","FQ1 2014","FQ1 2014","Currency=INR","Period=FQ","BEST_FPERIOD_OVERRIDE=FQ","FILING_STATUS=OR","EQY_CONSOLIDATED=Y","FA_ADJUSTED=GAAP","Sort=A","Dates=H","DateFormat=P","Fill=—","Direction=H","UseDPDF=Y")</f>
        <v>#NAME?</v>
      </c>
      <c r="CZ79" s="2" t="e">
        <f ca="1">_xll.BDH($C$78,"INVENT_DAYS","FQ1 2014","FQ1 2014","Currency=INR","Period=FQ","BEST_FPERIOD_OVERRIDE=FQ","FILING_STATUS=OR","EQY_CONSOLIDATED=Y","FA_ADJUSTED=GAAP","Sort=A","Dates=H","DateFormat=P","Fill=—","Direction=H","UseDPDF=Y")</f>
        <v>#NAME?</v>
      </c>
      <c r="DA79" s="4" t="e">
        <f ca="1">_xll.BDH($C$78,"ACCOUNTS_PAYABLE_TURNOVER","FQ1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79" s="2" t="e">
        <f ca="1">_xll.BDH($C$78,"ACCOUNTS_PAYABLE_TURNOVER_DAYS","FQ1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79" s="4" t="e">
        <f ca="1">_xll.BDH($C$78,"CASH_CONVERSION_CYCLE","FQ1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79" s="4" t="e">
        <f ca="1">_xll.BDH($C$78,"INV_TO_CASH_DAYS","FQ1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79" s="5" t="e">
        <f ca="1">_xll.BDH($C$78,"BS_INVENTORIES","FQ1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79" s="3" t="e">
        <f ca="1">_xll.BDH($C$78,"INVTRY_RAW_MATERIALS","FQ1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79" s="3" t="e">
        <f ca="1">_xll.BDH($C$78,"INVTRY_IN_PROGRESS","FQ1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79" s="3" t="e">
        <f ca="1">_xll.BDH($C$78,"INVTRY_FINISHED_GOODS","FQ1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79" s="3" t="e">
        <f ca="1">_xll.BDH($C$78,"BS_OTHER_INV","FQ1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80" spans="1:113" x14ac:dyDescent="0.3">
      <c r="A80" s="6"/>
      <c r="B80" s="6"/>
      <c r="C80" s="6"/>
      <c r="D80" s="6"/>
      <c r="E80" t="s">
        <v>79</v>
      </c>
      <c r="F80" t="e">
        <f ca="1">_xll.BDH($C$78,"RETURN_COM_EQY","FQ2 2014","FQ2 2014","Currency=INR","Period=FQ","BEST_FPERIOD_OVERRIDE=FQ","FILING_STATUS=OR","EQY_CONSOLIDATED=Y","FA_ADJUSTED=GAAP","Sort=A","Dates=H","DateFormat=P","Fill=—","Direction=H","UseDPDF=Y")</f>
        <v>#NAME?</v>
      </c>
      <c r="G80" t="e">
        <f ca="1">_xll.BDH($C$78,"RETURN_ON_ASSET","FQ2 2014","FQ2 2014","Currency=INR","Period=FQ","BEST_FPERIOD_OVERRIDE=FQ","FILING_STATUS=OR","EQY_CONSOLIDATED=Y","FA_ADJUSTED=GAAP","Sort=A","Dates=H","DateFormat=P","Fill=—","Direction=H","UseDPDF=Y")</f>
        <v>#NAME?</v>
      </c>
      <c r="H80" t="e">
        <f ca="1">_xll.BDH($C$78,"RETURN_ON_CAP","FQ2 2014","FQ2 2014","Currency=INR","Period=FQ","BEST_FPERIOD_OVERRIDE=FQ","FILING_STATUS=OR","EQY_CONSOLIDATED=Y","FA_ADJUSTED=GAAP","Sort=A","Dates=H","DateFormat=P","Fill=—","Direction=H","UseDPDF=Y")</f>
        <v>#NAME?</v>
      </c>
      <c r="I80" t="e">
        <f ca="1">_xll.BDH($C$78,"RETURN_ON_INV_CAPITAL","FQ2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80" t="e">
        <f ca="1">_xll.BDH($C$78,"EBITDA_TO_REVENUE","FQ2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80" t="e">
        <f ca="1">_xll.BDH($C$78,"OPER_MARGIN","FQ2 2014","FQ2 2014","Currency=INR","Period=FQ","BEST_FPERIOD_OVERRIDE=FQ","FILING_STATUS=OR","EQY_CONSOLIDATED=Y","FA_ADJUSTED=GAAP","Sort=A","Dates=H","DateFormat=P","Fill=—","Direction=H","UseDPDF=Y")</f>
        <v>#NAME?</v>
      </c>
      <c r="L80" t="e">
        <f ca="1">_xll.BDH($C$78,"INCREMENTAL_OPERATING_MARGIN","FQ2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80" t="e">
        <f ca="1">_xll.BDH($C$78,"PRETAX_INC_TO_NET_SALES","FQ2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80" t="e">
        <f ca="1">_xll.BDH($C$78,"INC_BEF_XO_ITEMS_TO_NET_SALES","FQ2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80" t="e">
        <f ca="1">_xll.BDH($C$78,"PROF_MARGIN","FQ2 2014","FQ2 2014","Currency=INR","Period=FQ","BEST_FPERIOD_OVERRIDE=FQ","FILING_STATUS=OR","EQY_CONSOLIDATED=Y","FA_ADJUSTED=GAAP","Sort=A","Dates=H","DateFormat=P","Fill=—","Direction=H","UseDPDF=Y")</f>
        <v>#NAME?</v>
      </c>
      <c r="P80" t="e">
        <f ca="1">_xll.BDH($C$78,"NET_INCOME_TO_COMMON_MARGIN","FQ2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80" t="e">
        <f ca="1">_xll.BDH($C$78,"EFF_TAX_RATE","FQ2 2014","FQ2 2014","Currency=INR","Period=FQ","BEST_FPERIOD_OVERRIDE=FQ","FILING_STATUS=OR","EQY_CONSOLIDATED=Y","FA_ADJUSTED=GAAP","Sort=A","Dates=H","DateFormat=P","Fill=—","Direction=H","UseDPDF=Y")</f>
        <v>#NAME?</v>
      </c>
      <c r="R80" t="e">
        <f ca="1">_xll.BDH($C$78,"DVD_PAYOUT_RATIO","FQ2 2014","FQ2 2014","Currency=INR","Period=FQ","BEST_FPERIOD_OVERRIDE=FQ","FILING_STATUS=OR","EQY_CONSOLIDATED=Y","FA_ADJUSTED=GAAP","Sort=A","Dates=H","DateFormat=P","Fill=—","Direction=H","UseDPDF=Y")</f>
        <v>#NAME?</v>
      </c>
      <c r="S80" t="e">
        <f ca="1">_xll.BDH($C$78,"SUSTAIN_GROWTH_RT","FQ2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80" s="2" t="e">
        <f ca="1">_xll.BDH($C$78,"SALES_GROWTH","FQ2 2014","FQ2 2014","Currency=INR","Period=FQ","BEST_FPERIOD_OVERRIDE=FQ","FILING_STATUS=OR","EQY_CONSOLIDATED=Y","FA_ADJUSTED=GAAP","Sort=A","Dates=H","DateFormat=P","Fill=—","Direction=H","UseDPDF=Y")</f>
        <v>#NAME?</v>
      </c>
      <c r="U80" s="2" t="e">
        <f ca="1">_xll.BDH($C$78,"EBITDA_GROWTH","FQ2 2014","FQ2 2014","Currency=INR","Period=FQ","BEST_FPERIOD_OVERRIDE=FQ","FILING_STATUS=OR","EQY_CONSOLIDATED=Y","FA_ADJUSTED=GAAP","Sort=A","Dates=H","DateFormat=P","Fill=—","Direction=H","UseDPDF=Y")</f>
        <v>#NAME?</v>
      </c>
      <c r="V80" s="2" t="e">
        <f ca="1">_xll.BDH($C$78,"OPER_INC_GROWTH","FQ2 2014","FQ2 2014","Currency=INR","Period=FQ","BEST_FPERIOD_OVERRIDE=FQ","FILING_STATUS=OR","EQY_CONSOLIDATED=Y","FA_ADJUSTED=GAAP","Sort=A","Dates=H","DateFormat=P","Fill=—","Direction=H","UseDPDF=Y")</f>
        <v>#NAME?</v>
      </c>
      <c r="W80" s="2" t="e">
        <f ca="1">_xll.BDH($C$78,"EARN_FOR_COM_GROWTH","FQ2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80" s="2" t="e">
        <f ca="1">_xll.BDH($C$78,"DILUTED_EPS_AFT_XO_ITEMS_GROWTH","FQ2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80" s="2" t="e">
        <f ca="1">_xll.BDH($C$78,"DIVIDEND_PER_SHARE_1_YEAR_GROWTH","FQ2 2014","FQ2 2014","Currency=INR","Period=FQ","BEST_FPERIOD_OVERRIDE=FQ","FILING_STATUS=OR","EQY_CONSOLIDATED=Y","Sort=A","Dates=H","DateFormat=P","Fill=—","Direction=H","UseDPDF=Y")</f>
        <v>#NAME?</v>
      </c>
      <c r="Z80" s="2" t="e">
        <f ca="1">_xll.BDH($C$78,"ACCOUNTS_RECEIVABLE_GROWTH","FQ2 2014","FQ2 2014","Currency=INR","Period=FQ","BEST_FPERIOD_OVERRIDE=FQ","FILING_STATUS=OR","EQY_CONSOLIDATED=Y","Sort=A","Dates=H","DateFormat=P","Fill=—","Direction=H","UseDPDF=Y")</f>
        <v>#NAME?</v>
      </c>
      <c r="AA80" s="2" t="e">
        <f ca="1">_xll.BDH($C$78,"INVENTORY_GROWTH","FQ2 2014","FQ2 2014","Currency=INR","Period=FQ","BEST_FPERIOD_OVERRIDE=FQ","FILING_STATUS=OR","EQY_CONSOLIDATED=Y","Sort=A","Dates=H","DateFormat=P","Fill=—","Direction=H","UseDPDF=Y")</f>
        <v>#NAME?</v>
      </c>
      <c r="AB80" s="2" t="e">
        <f ca="1">_xll.BDH($C$78,"NET_FIXED_ASSETS_1_YEAR_GROWTH","FQ2 2014","FQ2 2014","Currency=INR","Period=FQ","BEST_FPERIOD_OVERRIDE=FQ","FILING_STATUS=OR","EQY_CONSOLIDATED=Y","Sort=A","Dates=H","DateFormat=P","Fill=—","Direction=H","UseDPDF=Y")</f>
        <v>#NAME?</v>
      </c>
      <c r="AC80" s="2" t="e">
        <f ca="1">_xll.BDH($C$78,"ASSET_GROWTH","FQ2 2014","FQ2 2014","Currency=INR","Period=FQ","BEST_FPERIOD_OVERRIDE=FQ","FILING_STATUS=OR","EQY_CONSOLIDATED=Y","Sort=A","Dates=H","DateFormat=P","Fill=—","Direction=H","UseDPDF=Y")</f>
        <v>#NAME?</v>
      </c>
      <c r="AD80" s="2" t="e">
        <f ca="1">_xll.BDH($C$78,"MODIFIED_WORK_CAP_GROWTH","FQ2 2014","FQ2 2014","Currency=INR","Period=FQ","BEST_FPERIOD_OVERRIDE=FQ","FILING_STATUS=OR","EQY_CONSOLIDATED=Y","Sort=A","Dates=H","DateFormat=P","Fill=—","Direction=H","UseDPDF=Y")</f>
        <v>#NAME?</v>
      </c>
      <c r="AE80" s="2" t="e">
        <f ca="1">_xll.BDH($C$78,"WORK_CAP_GROWTH","FQ2 2014","FQ2 2014","Currency=INR","Period=FQ","BEST_FPERIOD_OVERRIDE=FQ","FILING_STATUS=OR","EQY_CONSOLIDATED=Y","Sort=A","Dates=H","DateFormat=P","Fill=—","Direction=H","UseDPDF=Y")</f>
        <v>#NAME?</v>
      </c>
      <c r="AF80" s="2" t="e">
        <f ca="1">_xll.BDH($C$78,"ACCOUNTS_PAYABLE_GROWTH_1YR","FQ2 2014","FQ2 2014","Currency=INR","Period=FQ","BEST_FPERIOD_OVERRIDE=FQ","FILING_STATUS=OR","EQY_CONSOLIDATED=Y","Sort=A","Dates=H","DateFormat=P","Fill=—","Direction=H","UseDPDF=Y")</f>
        <v>#NAME?</v>
      </c>
      <c r="AG80" s="2" t="e">
        <f ca="1">_xll.BDH($C$78,"SHORT_TERM_DEBT_1_YEAR_GROWTH","FQ2 2014","FQ2 2014","Currency=INR","Period=FQ","BEST_FPERIOD_OVERRIDE=FQ","FILING_STATUS=OR","EQY_CONSOLIDATED=Y","Sort=A","Dates=H","DateFormat=P","Fill=—","Direction=H","UseDPDF=Y")</f>
        <v>#NAME?</v>
      </c>
      <c r="AH80" s="2" t="e">
        <f ca="1">_xll.BDH($C$78,"TOTAL_DEBT_1_YEAR_GROWTH","FQ2 2014","FQ2 2014","Currency=INR","Period=FQ","BEST_FPERIOD_OVERRIDE=FQ","FILING_STATUS=OR","EQY_CONSOLIDATED=Y","Sort=A","Dates=H","DateFormat=P","Fill=—","Direction=H","UseDPDF=Y")</f>
        <v>#NAME?</v>
      </c>
      <c r="AI80" s="2" t="e">
        <f ca="1">_xll.BDH($C$78,"TOTAL_EQUITY_1_YEAR_GROWTH","FQ2 2014","FQ2 2014","Currency=INR","Period=FQ","BEST_FPERIOD_OVERRIDE=FQ","FILING_STATUS=OR","EQY_CONSOLIDATED=Y","Sort=A","Dates=H","DateFormat=P","Fill=—","Direction=H","UseDPDF=Y")</f>
        <v>#NAME?</v>
      </c>
      <c r="AJ80" s="2" t="e">
        <f ca="1">_xll.BDH($C$78,"GROWTH_IN_CAP","FQ2 2014","FQ2 2014","Currency=INR","Period=FQ","BEST_FPERIOD_OVERRIDE=FQ","FILING_STATUS=OR","EQY_CONSOLIDATED=Y","Sort=A","Dates=H","DateFormat=P","Fill=—","Direction=H","UseDPDF=Y")</f>
        <v>#NAME?</v>
      </c>
      <c r="AK80" s="2" t="e">
        <f ca="1">_xll.BDH($C$78,"BVPS_GROWTH","FQ2 2014","FQ2 2014","Currency=INR","Period=FQ","BEST_FPERIOD_OVERRIDE=FQ","FILING_STATUS=OR","EQY_CONSOLIDATED=Y","Sort=A","Dates=H","DateFormat=P","Fill=—","Direction=H","UseDPDF=Y")</f>
        <v>#NAME?</v>
      </c>
      <c r="AL80" s="2" t="e">
        <f ca="1">_xll.BDH($C$78,"CASH_FLOW_GROWTH","FQ2 2014","FQ2 2014","Currency=INR","Period=FQ","BEST_FPERIOD_OVERRIDE=FQ","FILING_STATUS=OR","EQY_CONSOLIDATED=Y","Sort=A","Dates=H","DateFormat=P","Fill=—","Direction=H","UseDPDF=Y")</f>
        <v>#NAME?</v>
      </c>
      <c r="AM80" s="2" t="e">
        <f ca="1">_xll.BDH($C$78,"GEO_GROW_NET_SALES","FQ2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80" s="2" t="e">
        <f ca="1">_xll.BDH($C$78,"GEO_GROW_EBITDA","FQ2 2014","FQ2 2014","Currency=INR","Period=FQ","BEST_FPERIOD_OVERRIDE=FQ","FILING_STATUS=OR","EQY_CONSOLIDATED=Y","FA_ADJUSTED=GAAP","Sort=A","Dates=H","DateFormat=P","Fill=—","Direction=H","UseDPDF=Y")</f>
        <v>#NAME?</v>
      </c>
      <c r="AO80" s="2" t="e">
        <f ca="1">_xll.BDH($C$78,"GEO_GROW_OPER_INC","FQ2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80" s="2" t="e">
        <f ca="1">_xll.BDH($C$78,"NET_INCOME_TO_COMMON_5_YR_GROWTH","FQ2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80" s="2" t="e">
        <f ca="1">_xll.BDH($C$78,"5Y_GEO_GROWTH_DILUTED_EPS","FQ2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80" s="2" t="e">
        <f ca="1">_xll.BDH($C$78,"GEO_GROW_DVD_PER_SH","FQ2 2014","FQ2 2014","Currency=INR","Period=FQ","BEST_FPERIOD_OVERRIDE=FQ","FILING_STATUS=OR","EQY_CONSOLIDATED=Y","Sort=A","Dates=H","DateFormat=P","Fill=—","Direction=H","UseDPDF=Y")</f>
        <v>#NAME?</v>
      </c>
      <c r="AS80" s="2" t="e">
        <f ca="1">_xll.BDH($C$78,"ACCOUNTS_RECEIVABLE_5_YR_GROWTH","FQ2 2014","FQ2 2014","Currency=INR","Period=FQ","BEST_FPERIOD_OVERRIDE=FQ","FILING_STATUS=OR","EQY_CONSOLIDATED=Y","Sort=A","Dates=H","DateFormat=P","Fill=—","Direction=H","UseDPDF=Y")</f>
        <v>#NAME?</v>
      </c>
      <c r="AT80" s="2" t="e">
        <f ca="1">_xll.BDH($C$78,"INVENTORY_5_YEAR_GROWTH","FQ2 2014","FQ2 2014","Currency=INR","Period=FQ","BEST_FPERIOD_OVERRIDE=FQ","FILING_STATUS=OR","EQY_CONSOLIDATED=Y","Sort=A","Dates=H","DateFormat=P","Fill=—","Direction=H","UseDPDF=Y")</f>
        <v>#NAME?</v>
      </c>
      <c r="AU80" s="2" t="e">
        <f ca="1">_xll.BDH($C$78,"NET_FIXED_ASSETS_5_YEAR_GROWTH","FQ2 2014","FQ2 2014","Currency=INR","Period=FQ","BEST_FPERIOD_OVERRIDE=FQ","FILING_STATUS=OR","EQY_CONSOLIDATED=Y","Sort=A","Dates=H","DateFormat=P","Fill=—","Direction=H","UseDPDF=Y")</f>
        <v>#NAME?</v>
      </c>
      <c r="AV80" s="2" t="e">
        <f ca="1">_xll.BDH($C$78,"GEO_GROW_TOT_ASSET","FQ2 2014","FQ2 2014","Currency=INR","Period=FQ","BEST_FPERIOD_OVERRIDE=FQ","FILING_STATUS=OR","EQY_CONSOLIDATED=Y","Sort=A","Dates=H","DateFormat=P","Fill=—","Direction=H","UseDPDF=Y")</f>
        <v>#NAME?</v>
      </c>
      <c r="AW80" s="2" t="e">
        <f ca="1">_xll.BDH($C$78,"MODIFIED_WORKING_CPTL_5YR_GRWTH","FQ2 2014","FQ2 2014","Currency=INR","Period=FQ","BEST_FPERIOD_OVERRIDE=FQ","FILING_STATUS=OR","EQY_CONSOLIDATED=Y","Sort=A","Dates=H","DateFormat=P","Fill=—","Direction=H","UseDPDF=Y")</f>
        <v>#NAME?</v>
      </c>
      <c r="AX80" s="2" t="e">
        <f ca="1">_xll.BDH($C$78,"WORKING_CAPITAL_5_YEAR_GROWTH","FQ2 2014","FQ2 2014","Currency=INR","Period=FQ","BEST_FPERIOD_OVERRIDE=FQ","FILING_STATUS=OR","EQY_CONSOLIDATED=Y","Sort=A","Dates=H","DateFormat=P","Fill=—","Direction=H","UseDPDF=Y")</f>
        <v>#NAME?</v>
      </c>
      <c r="AY80" s="2" t="e">
        <f ca="1">_xll.BDH($C$78,"ACCOUNTS_PAYABLE_5_YEAR_GROWTH","FQ2 2014","FQ2 2014","Currency=INR","Period=FQ","BEST_FPERIOD_OVERRIDE=FQ","FILING_STATUS=OR","EQY_CONSOLIDATED=Y","Sort=A","Dates=H","DateFormat=P","Fill=—","Direction=H","UseDPDF=Y")</f>
        <v>#NAME?</v>
      </c>
      <c r="AZ80" s="2" t="e">
        <f ca="1">_xll.BDH($C$78,"SHORT_TERM_DEBT_5_YEAR_GROWTH","FQ2 2014","FQ2 2014","Currency=INR","Period=FQ","BEST_FPERIOD_OVERRIDE=FQ","FILING_STATUS=OR","EQY_CONSOLIDATED=Y","Sort=A","Dates=H","DateFormat=P","Fill=—","Direction=H","UseDPDF=Y")</f>
        <v>#NAME?</v>
      </c>
      <c r="BA80" s="2" t="e">
        <f ca="1">_xll.BDH($C$78,"TOTAL_DEBT_5_YEAR_GROWTH","FQ2 2014","FQ2 2014","Currency=INR","Period=FQ","BEST_FPERIOD_OVERRIDE=FQ","FILING_STATUS=OR","EQY_CONSOLIDATED=Y","Sort=A","Dates=H","DateFormat=P","Fill=—","Direction=H","UseDPDF=Y")</f>
        <v>#NAME?</v>
      </c>
      <c r="BB80" s="2" t="e">
        <f ca="1">_xll.BDH($C$78,"GEO_GROW_TOT_SHRHLDR_EQY","FQ2 2014","FQ2 2014","Currency=INR","Period=FQ","BEST_FPERIOD_OVERRIDE=FQ","FILING_STATUS=OR","EQY_CONSOLIDATED=Y","Sort=A","Dates=H","DateFormat=P","Fill=—","Direction=H","UseDPDF=Y")</f>
        <v>#NAME?</v>
      </c>
      <c r="BC80" s="2" t="e">
        <f ca="1">_xll.BDH($C$78,"TOTAL_CAPITAL_5_YEAR_GROWTH","FQ2 2014","FQ2 2014","Currency=INR","Period=FQ","BEST_FPERIOD_OVERRIDE=FQ","FILING_STATUS=OR","EQY_CONSOLIDATED=Y","Sort=A","Dates=H","DateFormat=P","Fill=—","Direction=H","UseDPDF=Y")</f>
        <v>#NAME?</v>
      </c>
      <c r="BD80" s="2" t="e">
        <f ca="1">_xll.BDH($C$78,"GEO_GROW_BOOK_VAL","FQ2 2014","FQ2 2014","Currency=INR","Period=FQ","BEST_FPERIOD_OVERRIDE=FQ","FILING_STATUS=OR","EQY_CONSOLIDATED=Y","Sort=A","Dates=H","DateFormat=P","Fill=—","Direction=H","UseDPDF=Y")</f>
        <v>#NAME?</v>
      </c>
      <c r="BE80" s="2" t="e">
        <f ca="1">_xll.BDH($C$78,"GEO_GROW_CASH_OPER_ACT","FQ2 2014","FQ2 2014","Currency=INR","Period=FQ","BEST_FPERIOD_OVERRIDE=FQ","FILING_STATUS=OR","EQY_CONSOLIDATED=Y","Sort=A","Dates=H","DateFormat=P","Fill=—","Direction=H","UseDPDF=Y")</f>
        <v>#NAME?</v>
      </c>
      <c r="BF80" s="2" t="e">
        <f ca="1">_xll.BDH($C$78,"REVENUE_SEQUENTIAL_GROWTH","FQ2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80" s="2" t="e">
        <f ca="1">_xll.BDH($C$78,"EBITDA_SEQUENTIAL_GROWTH","FQ2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80" s="2" t="e">
        <f ca="1">_xll.BDH($C$78,"OPERATING_INCOME_SEQ_GROWTH","FQ2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80" s="2" t="e">
        <f ca="1">_xll.BDH($C$78,"NET_INCOME_TO_COMMON_SEQ_GROWTH","FQ2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80" s="2" t="e">
        <f ca="1">_xll.BDH($C$78,"EPS_DILUTED_SEQUENTIAL_GROWTH","FQ2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80" s="2" t="e">
        <f ca="1">_xll.BDH($C$78,"DPS_SEQUENTIAL_GROWTH","FQ2 2014","FQ2 2014","Currency=INR","Period=FQ","BEST_FPERIOD_OVERRIDE=FQ","FILING_STATUS=OR","EQY_CONSOLIDATED=Y","Sort=A","Dates=H","DateFormat=P","Fill=—","Direction=H","UseDPDF=Y")</f>
        <v>#NAME?</v>
      </c>
      <c r="BL80" s="2" t="e">
        <f ca="1">_xll.BDH($C$78,"ACCOUNTS_RECEIVABLE_SEQ_GROWTH","FQ2 2014","FQ2 2014","Currency=INR","Period=FQ","BEST_FPERIOD_OVERRIDE=FQ","FILING_STATUS=OR","EQY_CONSOLIDATED=Y","Sort=A","Dates=H","DateFormat=P","Fill=—","Direction=H","UseDPDF=Y")</f>
        <v>#NAME?</v>
      </c>
      <c r="BM80" s="2" t="e">
        <f ca="1">_xll.BDH($C$78,"INVENTORY_SEQUENTIAL_GROWTH","FQ2 2014","FQ2 2014","Currency=INR","Period=FQ","BEST_FPERIOD_OVERRIDE=FQ","FILING_STATUS=OR","EQY_CONSOLIDATED=Y","Sort=A","Dates=H","DateFormat=P","Fill=—","Direction=H","UseDPDF=Y")</f>
        <v>#NAME?</v>
      </c>
      <c r="BN80" s="2" t="e">
        <f ca="1">_xll.BDH($C$78,"FIXED_ASSETS_SEQUENTIAL_GROWTH","FQ2 2014","FQ2 2014","Currency=INR","Period=FQ","BEST_FPERIOD_OVERRIDE=FQ","FILING_STATUS=OR","EQY_CONSOLIDATED=Y","Sort=A","Dates=H","DateFormat=P","Fill=—","Direction=H","UseDPDF=Y")</f>
        <v>#NAME?</v>
      </c>
      <c r="BO80" s="2" t="e">
        <f ca="1">_xll.BDH($C$78,"TOTAL_ASSETS_SEQUENTIAL_GROWTH","FQ2 2014","FQ2 2014","Currency=INR","Period=FQ","BEST_FPERIOD_OVERRIDE=FQ","FILING_STATUS=OR","EQY_CONSOLIDATED=Y","Sort=A","Dates=H","DateFormat=P","Fill=—","Direction=H","UseDPDF=Y")</f>
        <v>#NAME?</v>
      </c>
      <c r="BP80" s="2" t="e">
        <f ca="1">_xll.BDH($C$78,"MODIFIED_WORKING_CPTL_SEQ_GRWTH","FQ2 2014","FQ2 2014","Currency=INR","Period=FQ","BEST_FPERIOD_OVERRIDE=FQ","FILING_STATUS=OR","EQY_CONSOLIDATED=Y","Sort=A","Dates=H","DateFormat=P","Fill=—","Direction=H","UseDPDF=Y")</f>
        <v>#NAME?</v>
      </c>
      <c r="BQ80" s="2" t="e">
        <f ca="1">_xll.BDH($C$78,"WORKING_CAPITAL_SEQ_GROWTH","FQ2 2014","FQ2 2014","Currency=INR","Period=FQ","BEST_FPERIOD_OVERRIDE=FQ","FILING_STATUS=OR","EQY_CONSOLIDATED=Y","Sort=A","Dates=H","DateFormat=P","Fill=—","Direction=H","UseDPDF=Y")</f>
        <v>#NAME?</v>
      </c>
      <c r="BR80" s="2" t="e">
        <f ca="1">_xll.BDH($C$78,"ACCOUNTS_PAYABLE_SEQ_GROWTH","FQ2 2014","FQ2 2014","Currency=INR","Period=FQ","BEST_FPERIOD_OVERRIDE=FQ","FILING_STATUS=OR","EQY_CONSOLIDATED=Y","Sort=A","Dates=H","DateFormat=P","Fill=—","Direction=H","UseDPDF=Y")</f>
        <v>#NAME?</v>
      </c>
      <c r="BS80" s="2" t="e">
        <f ca="1">_xll.BDH($C$78,"ST_DEBT_SEQUENTIAL_GROWTH","FQ2 2014","FQ2 2014","Currency=INR","Period=FQ","BEST_FPERIOD_OVERRIDE=FQ","FILING_STATUS=OR","EQY_CONSOLIDATED=Y","Sort=A","Dates=H","DateFormat=P","Fill=—","Direction=H","UseDPDF=Y")</f>
        <v>#NAME?</v>
      </c>
      <c r="BT80" s="2" t="e">
        <f ca="1">_xll.BDH($C$78,"TOTAL_DEBT_SEQUENTIAL_GROWTH","FQ2 2014","FQ2 2014","Currency=INR","Period=FQ","BEST_FPERIOD_OVERRIDE=FQ","FILING_STATUS=OR","EQY_CONSOLIDATED=Y","Sort=A","Dates=H","DateFormat=P","Fill=—","Direction=H","UseDPDF=Y")</f>
        <v>#NAME?</v>
      </c>
      <c r="BU80" s="2" t="e">
        <f ca="1">_xll.BDH($C$78,"TOTAL_EQUITY_SEQUENTIAL_GROWTH","FQ2 2014","FQ2 2014","Currency=INR","Period=FQ","BEST_FPERIOD_OVERRIDE=FQ","FILING_STATUS=OR","EQY_CONSOLIDATED=Y","Sort=A","Dates=H","DateFormat=P","Fill=—","Direction=H","UseDPDF=Y")</f>
        <v>#NAME?</v>
      </c>
      <c r="BV80" s="2" t="e">
        <f ca="1">_xll.BDH($C$78,"TOTAL_CAPITAL_SEQUENTIAL_GROWTH","FQ2 2014","FQ2 2014","Currency=INR","Period=FQ","BEST_FPERIOD_OVERRIDE=FQ","FILING_STATUS=OR","EQY_CONSOLIDATED=Y","Sort=A","Dates=H","DateFormat=P","Fill=—","Direction=H","UseDPDF=Y")</f>
        <v>#NAME?</v>
      </c>
      <c r="BW80" s="2" t="e">
        <f ca="1">_xll.BDH($C$78,"BPS_SEQUENTIAL_GROWTH","FQ2 2014","FQ2 2014","Currency=INR","Period=FQ","BEST_FPERIOD_OVERRIDE=FQ","FILING_STATUS=OR","EQY_CONSOLIDATED=Y","Sort=A","Dates=H","DateFormat=P","Fill=—","Direction=H","UseDPDF=Y")</f>
        <v>#NAME?</v>
      </c>
      <c r="BX80" s="2" t="e">
        <f ca="1">_xll.BDH($C$78,"CFO_SEQUENTIAL_GROWTH","FQ2 2014","FQ2 2014","Currency=INR","Period=FQ","BEST_FPERIOD_OVERRIDE=FQ","FILING_STATUS=OR","EQY_CONSOLIDATED=Y","Sort=A","Dates=H","DateFormat=P","Fill=—","Direction=H","UseDPDF=Y")</f>
        <v>#NAME?</v>
      </c>
      <c r="BY80" s="3" t="e">
        <f ca="1">_xll.BDH($C$78,"SHORT_AND_LONG_TERM_DEBT","FQ2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80" s="3" t="e">
        <f ca="1">_xll.BDH($C$78,"BS_ST_BORROW","FQ2 2014","FQ2 2014","Currency=INR","Period=FQ","BEST_FPERIOD_OVERRIDE=FQ","FILING_STATUS=OR","EQY_CONSOLIDATED=Y","SCALING_FORMAT=MLN","Sort=A","Dates=H","DateFormat=P","Fill=—","Direction=H","UseDPDF=Y")</f>
        <v>#NAME?</v>
      </c>
      <c r="CA80" s="3" t="e">
        <f ca="1">_xll.BDH($C$78,"BS_LT_BORROW","FQ2 2014","FQ2 2014","Currency=INR","Period=FQ","BEST_FPERIOD_OVERRIDE=FQ","FILING_STATUS=OR","EQY_CONSOLIDATED=Y","SCALING_FORMAT=MLN","Sort=A","Dates=H","DateFormat=P","Fill=—","Direction=H","UseDPDF=Y")</f>
        <v>#NAME?</v>
      </c>
      <c r="CB80" s="2" t="e">
        <f ca="1">_xll.BDH($C$78,"TOT_DEBT_TO_EBITDA","FQ2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80" s="2" t="e">
        <f ca="1">_xll.BDH($C$78,"NET_DEBT_TO_EBITDA","FQ2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80" s="2" t="e">
        <f ca="1">_xll.BDH($C$78,"TOTAL_DEBT_TO_EBIT","FQ2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80" s="2" t="e">
        <f ca="1">_xll.BDH($C$78,"NET_DEBT_TO_EBIT","FQ2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80" s="2" t="e">
        <f ca="1">_xll.BDH($C$78,"EBITDA_TO_INTEREST_EXPN","FQ2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80" s="2" t="e">
        <f ca="1">_xll.BDH($C$78,"COM_EQY_TO_TOT_ASSET","FQ2 2014","FQ2 2014","Currency=INR","Period=FQ","BEST_FPERIOD_OVERRIDE=FQ","FILING_STATUS=OR","EQY_CONSOLIDATED=Y","Sort=A","Dates=H","DateFormat=P","Fill=—","Direction=H","UseDPDF=Y")</f>
        <v>#NAME?</v>
      </c>
      <c r="CH80" s="2" t="e">
        <f ca="1">_xll.BDH($C$78,"LT_DEBT_TO_TOT_EQY","FQ2 2014","FQ2 2014","Currency=INR","Period=FQ","BEST_FPERIOD_OVERRIDE=FQ","FILING_STATUS=OR","EQY_CONSOLIDATED=Y","Sort=A","Dates=H","DateFormat=P","Fill=—","Direction=H","UseDPDF=Y")</f>
        <v>#NAME?</v>
      </c>
      <c r="CI80" s="2" t="e">
        <f ca="1">_xll.BDH($C$78,"LT_DEBT_TO_TOT_CAP","FQ2 2014","FQ2 2014","Currency=INR","Period=FQ","BEST_FPERIOD_OVERRIDE=FQ","FILING_STATUS=OR","EQY_CONSOLIDATED=Y","Sort=A","Dates=H","DateFormat=P","Fill=—","Direction=H","UseDPDF=Y")</f>
        <v>#NAME?</v>
      </c>
      <c r="CJ80" s="2" t="e">
        <f ca="1">_xll.BDH($C$78,"LT_DEBT_TO_TOT_ASSET","FQ2 2014","FQ2 2014","Currency=INR","Period=FQ","BEST_FPERIOD_OVERRIDE=FQ","FILING_STATUS=OR","EQY_CONSOLIDATED=Y","Sort=A","Dates=H","DateFormat=P","Fill=—","Direction=H","UseDPDF=Y")</f>
        <v>#NAME?</v>
      </c>
      <c r="CK80" s="2" t="e">
        <f ca="1">_xll.BDH($C$78,"TOT_DEBT_TO_TOT_EQY","FQ2 2014","FQ2 2014","Currency=INR","Period=FQ","BEST_FPERIOD_OVERRIDE=FQ","FILING_STATUS=OR","EQY_CONSOLIDATED=Y","Sort=A","Dates=H","DateFormat=P","Fill=—","Direction=H","UseDPDF=Y")</f>
        <v>#NAME?</v>
      </c>
      <c r="CL80" s="2" t="e">
        <f ca="1">_xll.BDH($C$78,"TOT_DEBT_TO_TOT_CAP","FQ2 2014","FQ2 2014","Currency=INR","Period=FQ","BEST_FPERIOD_OVERRIDE=FQ","FILING_STATUS=OR","EQY_CONSOLIDATED=Y","Sort=A","Dates=H","DateFormat=P","Fill=—","Direction=H","UseDPDF=Y")</f>
        <v>#NAME?</v>
      </c>
      <c r="CM80" s="2" t="e">
        <f ca="1">_xll.BDH($C$78,"TOT_DEBT_TO_TOT_ASSET","FQ2 2014","FQ2 2014","Currency=INR","Period=FQ","BEST_FPERIOD_OVERRIDE=FQ","FILING_STATUS=OR","EQY_CONSOLIDATED=Y","Sort=A","Dates=H","DateFormat=P","Fill=—","Direction=H","UseDPDF=Y")</f>
        <v>#NAME?</v>
      </c>
      <c r="CN80" s="2" t="e">
        <f ca="1">_xll.BDH($C$78,"NET_DEBT_TO_SHRHLDR_EQTY","FQ2 2014","FQ2 2014","Currency=INR","Period=FQ","BEST_FPERIOD_OVERRIDE=FQ","FILING_STATUS=OR","EQY_CONSOLIDATED=Y","Sort=A","Dates=H","DateFormat=P","Fill=—","Direction=H","UseDPDF=Y")</f>
        <v>#NAME?</v>
      </c>
      <c r="CO80" s="2" t="e">
        <f ca="1">_xll.BDH($C$78,"NET_DEBT_%_CAPITAL","FQ2 2014","FQ2 2014","Currency=INR","Period=FQ","BEST_FPERIOD_OVERRIDE=FQ","FILING_STATUS=OR","EQY_CONSOLIDATED=Y","Sort=A","Dates=H","DateFormat=P","Fill=—","Direction=H","UseDPDF=Y")</f>
        <v>#NAME?</v>
      </c>
      <c r="CP80" s="3" t="e">
        <f ca="1">_xll.BDH($C$78,"EBITDA","FQ2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80" s="3" t="e">
        <f ca="1">_xll.BDH($C$78,"EBITDA_AFTER_CAPEX","FQ2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80" s="3" t="e">
        <f ca="1">_xll.BDH($C$78,"IS_OPER_INC","FQ2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80" s="2" t="e">
        <f ca="1">_xll.BDH($C$78,"CASH_RATIO","FQ2 2014","FQ2 2014","Currency=INR","Period=FQ","BEST_FPERIOD_OVERRIDE=FQ","FILING_STATUS=OR","EQY_CONSOLIDATED=Y","Sort=A","Dates=H","DateFormat=P","Fill=—","Direction=H","UseDPDF=Y")</f>
        <v>#NAME?</v>
      </c>
      <c r="CT80" s="2" t="e">
        <f ca="1">_xll.BDH($C$78,"CUR_RATIO","FQ2 2014","FQ2 2014","Currency=INR","Period=FQ","BEST_FPERIOD_OVERRIDE=FQ","FILING_STATUS=OR","EQY_CONSOLIDATED=Y","Sort=A","Dates=H","DateFormat=P","Fill=—","Direction=H","UseDPDF=Y")</f>
        <v>#NAME?</v>
      </c>
      <c r="CU80" s="2" t="e">
        <f ca="1">_xll.BDH($C$78,"QUICK_RATIO","FQ2 2014","FQ2 2014","Currency=INR","Period=FQ","BEST_FPERIOD_OVERRIDE=FQ","FILING_STATUS=OR","EQY_CONSOLIDATED=Y","Sort=A","Dates=H","DateFormat=P","Fill=—","Direction=H","UseDPDF=Y")</f>
        <v>#NAME?</v>
      </c>
      <c r="CV80" s="2" t="e">
        <f ca="1">_xll.BDH($C$78,"ALTMAN_Z_SCORE","FQ2 2014","FQ2 2014","Currency=INR","Period=FQ","BEST_FPERIOD_OVERRIDE=FQ","FILING_STATUS=OR","EQY_CONSOLIDATED=Y","Sort=A","Dates=H","DateFormat=P","Fill=—","Direction=H","UseDPDF=Y")</f>
        <v>#NAME?</v>
      </c>
      <c r="CW80" s="4" t="e">
        <f ca="1">_xll.BDH($C$78,"ACCT_RCV_TURN","FQ2 2014","FQ2 2014","Currency=INR","Period=FQ","BEST_FPERIOD_OVERRIDE=FQ","FILING_STATUS=OR","EQY_CONSOLIDATED=Y","FA_ADJUSTED=GAAP","Sort=A","Dates=H","DateFormat=P","Fill=—","Direction=H","UseDPDF=Y")</f>
        <v>#NAME?</v>
      </c>
      <c r="CX80" s="2" t="e">
        <f ca="1">_xll.BDH($C$78,"ACCT_RCV_DAYS","FQ2 2014","FQ2 2014","Currency=INR","Period=FQ","BEST_FPERIOD_OVERRIDE=FQ","FILING_STATUS=OR","EQY_CONSOLIDATED=Y","FA_ADJUSTED=GAAP","Sort=A","Dates=H","DateFormat=P","Fill=—","Direction=H","UseDPDF=Y")</f>
        <v>#NAME?</v>
      </c>
      <c r="CY80" s="4" t="e">
        <f ca="1">_xll.BDH($C$78,"INVENT_TURN","FQ2 2014","FQ2 2014","Currency=INR","Period=FQ","BEST_FPERIOD_OVERRIDE=FQ","FILING_STATUS=OR","EQY_CONSOLIDATED=Y","FA_ADJUSTED=GAAP","Sort=A","Dates=H","DateFormat=P","Fill=—","Direction=H","UseDPDF=Y")</f>
        <v>#NAME?</v>
      </c>
      <c r="CZ80" s="2" t="e">
        <f ca="1">_xll.BDH($C$78,"INVENT_DAYS","FQ2 2014","FQ2 2014","Currency=INR","Period=FQ","BEST_FPERIOD_OVERRIDE=FQ","FILING_STATUS=OR","EQY_CONSOLIDATED=Y","FA_ADJUSTED=GAAP","Sort=A","Dates=H","DateFormat=P","Fill=—","Direction=H","UseDPDF=Y")</f>
        <v>#NAME?</v>
      </c>
      <c r="DA80" s="4" t="e">
        <f ca="1">_xll.BDH($C$78,"ACCOUNTS_PAYABLE_TURNOVER","FQ2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80" s="2" t="e">
        <f ca="1">_xll.BDH($C$78,"ACCOUNTS_PAYABLE_TURNOVER_DAYS","FQ2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80" s="4" t="e">
        <f ca="1">_xll.BDH($C$78,"CASH_CONVERSION_CYCLE","FQ2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80" s="4" t="e">
        <f ca="1">_xll.BDH($C$78,"INV_TO_CASH_DAYS","FQ2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80" s="5" t="e">
        <f ca="1">_xll.BDH($C$78,"BS_INVENTORIES","FQ2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80" s="3" t="e">
        <f ca="1">_xll.BDH($C$78,"INVTRY_RAW_MATERIALS","FQ2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80" s="3" t="e">
        <f ca="1">_xll.BDH($C$78,"INVTRY_IN_PROGRESS","FQ2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80" s="3" t="e">
        <f ca="1">_xll.BDH($C$78,"INVTRY_FINISHED_GOODS","FQ2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80" s="3" t="e">
        <f ca="1">_xll.BDH($C$78,"BS_OTHER_INV","FQ2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81" spans="1:113" x14ac:dyDescent="0.3">
      <c r="A81" s="6"/>
      <c r="B81" s="6"/>
      <c r="C81" s="6"/>
      <c r="D81" s="6"/>
      <c r="E81" t="s">
        <v>80</v>
      </c>
      <c r="F81" t="e">
        <f ca="1">_xll.BDH($C$78,"RETURN_COM_EQY","FQ3 2014","FQ3 2014","Currency=INR","Period=FQ","BEST_FPERIOD_OVERRIDE=FQ","FILING_STATUS=OR","EQY_CONSOLIDATED=Y","FA_ADJUSTED=GAAP","Sort=A","Dates=H","DateFormat=P","Fill=—","Direction=H","UseDPDF=Y")</f>
        <v>#NAME?</v>
      </c>
      <c r="G81" t="e">
        <f ca="1">_xll.BDH($C$78,"RETURN_ON_ASSET","FQ3 2014","FQ3 2014","Currency=INR","Period=FQ","BEST_FPERIOD_OVERRIDE=FQ","FILING_STATUS=OR","EQY_CONSOLIDATED=Y","FA_ADJUSTED=GAAP","Sort=A","Dates=H","DateFormat=P","Fill=—","Direction=H","UseDPDF=Y")</f>
        <v>#NAME?</v>
      </c>
      <c r="H81" t="e">
        <f ca="1">_xll.BDH($C$78,"RETURN_ON_CAP","FQ3 2014","FQ3 2014","Currency=INR","Period=FQ","BEST_FPERIOD_OVERRIDE=FQ","FILING_STATUS=OR","EQY_CONSOLIDATED=Y","FA_ADJUSTED=GAAP","Sort=A","Dates=H","DateFormat=P","Fill=—","Direction=H","UseDPDF=Y")</f>
        <v>#NAME?</v>
      </c>
      <c r="I81" t="e">
        <f ca="1">_xll.BDH($C$78,"RETURN_ON_INV_CAPITAL","FQ3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81" t="e">
        <f ca="1">_xll.BDH($C$78,"EBITDA_TO_REVENUE","FQ3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81" t="e">
        <f ca="1">_xll.BDH($C$78,"OPER_MARGIN","FQ3 2014","FQ3 2014","Currency=INR","Period=FQ","BEST_FPERIOD_OVERRIDE=FQ","FILING_STATUS=OR","EQY_CONSOLIDATED=Y","FA_ADJUSTED=GAAP","Sort=A","Dates=H","DateFormat=P","Fill=—","Direction=H","UseDPDF=Y")</f>
        <v>#NAME?</v>
      </c>
      <c r="L81" t="e">
        <f ca="1">_xll.BDH($C$78,"INCREMENTAL_OPERATING_MARGIN","FQ3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81" t="e">
        <f ca="1">_xll.BDH($C$78,"PRETAX_INC_TO_NET_SALES","FQ3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81" t="e">
        <f ca="1">_xll.BDH($C$78,"INC_BEF_XO_ITEMS_TO_NET_SALES","FQ3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81" t="e">
        <f ca="1">_xll.BDH($C$78,"PROF_MARGIN","FQ3 2014","FQ3 2014","Currency=INR","Period=FQ","BEST_FPERIOD_OVERRIDE=FQ","FILING_STATUS=OR","EQY_CONSOLIDATED=Y","FA_ADJUSTED=GAAP","Sort=A","Dates=H","DateFormat=P","Fill=—","Direction=H","UseDPDF=Y")</f>
        <v>#NAME?</v>
      </c>
      <c r="P81" t="e">
        <f ca="1">_xll.BDH($C$78,"NET_INCOME_TO_COMMON_MARGIN","FQ3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81" t="e">
        <f ca="1">_xll.BDH($C$78,"EFF_TAX_RATE","FQ3 2014","FQ3 2014","Currency=INR","Period=FQ","BEST_FPERIOD_OVERRIDE=FQ","FILING_STATUS=OR","EQY_CONSOLIDATED=Y","FA_ADJUSTED=GAAP","Sort=A","Dates=H","DateFormat=P","Fill=—","Direction=H","UseDPDF=Y")</f>
        <v>#NAME?</v>
      </c>
      <c r="R81" t="e">
        <f ca="1">_xll.BDH($C$78,"DVD_PAYOUT_RATIO","FQ3 2014","FQ3 2014","Currency=INR","Period=FQ","BEST_FPERIOD_OVERRIDE=FQ","FILING_STATUS=OR","EQY_CONSOLIDATED=Y","FA_ADJUSTED=GAAP","Sort=A","Dates=H","DateFormat=P","Fill=—","Direction=H","UseDPDF=Y")</f>
        <v>#NAME?</v>
      </c>
      <c r="S81" t="e">
        <f ca="1">_xll.BDH($C$78,"SUSTAIN_GROWTH_RT","FQ3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81" s="2" t="e">
        <f ca="1">_xll.BDH($C$78,"SALES_GROWTH","FQ3 2014","FQ3 2014","Currency=INR","Period=FQ","BEST_FPERIOD_OVERRIDE=FQ","FILING_STATUS=OR","EQY_CONSOLIDATED=Y","FA_ADJUSTED=GAAP","Sort=A","Dates=H","DateFormat=P","Fill=—","Direction=H","UseDPDF=Y")</f>
        <v>#NAME?</v>
      </c>
      <c r="U81" s="2" t="e">
        <f ca="1">_xll.BDH($C$78,"EBITDA_GROWTH","FQ3 2014","FQ3 2014","Currency=INR","Period=FQ","BEST_FPERIOD_OVERRIDE=FQ","FILING_STATUS=OR","EQY_CONSOLIDATED=Y","FA_ADJUSTED=GAAP","Sort=A","Dates=H","DateFormat=P","Fill=—","Direction=H","UseDPDF=Y")</f>
        <v>#NAME?</v>
      </c>
      <c r="V81" s="2" t="e">
        <f ca="1">_xll.BDH($C$78,"OPER_INC_GROWTH","FQ3 2014","FQ3 2014","Currency=INR","Period=FQ","BEST_FPERIOD_OVERRIDE=FQ","FILING_STATUS=OR","EQY_CONSOLIDATED=Y","FA_ADJUSTED=GAAP","Sort=A","Dates=H","DateFormat=P","Fill=—","Direction=H","UseDPDF=Y")</f>
        <v>#NAME?</v>
      </c>
      <c r="W81" s="2" t="e">
        <f ca="1">_xll.BDH($C$78,"EARN_FOR_COM_GROWTH","FQ3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81" s="2" t="e">
        <f ca="1">_xll.BDH($C$78,"DILUTED_EPS_AFT_XO_ITEMS_GROWTH","FQ3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81" s="2" t="e">
        <f ca="1">_xll.BDH($C$78,"DIVIDEND_PER_SHARE_1_YEAR_GROWTH","FQ3 2014","FQ3 2014","Currency=INR","Period=FQ","BEST_FPERIOD_OVERRIDE=FQ","FILING_STATUS=OR","EQY_CONSOLIDATED=Y","Sort=A","Dates=H","DateFormat=P","Fill=—","Direction=H","UseDPDF=Y")</f>
        <v>#NAME?</v>
      </c>
      <c r="Z81" s="2" t="e">
        <f ca="1">_xll.BDH($C$78,"ACCOUNTS_RECEIVABLE_GROWTH","FQ3 2014","FQ3 2014","Currency=INR","Period=FQ","BEST_FPERIOD_OVERRIDE=FQ","FILING_STATUS=OR","EQY_CONSOLIDATED=Y","Sort=A","Dates=H","DateFormat=P","Fill=—","Direction=H","UseDPDF=Y")</f>
        <v>#NAME?</v>
      </c>
      <c r="AA81" s="2" t="e">
        <f ca="1">_xll.BDH($C$78,"INVENTORY_GROWTH","FQ3 2014","FQ3 2014","Currency=INR","Period=FQ","BEST_FPERIOD_OVERRIDE=FQ","FILING_STATUS=OR","EQY_CONSOLIDATED=Y","Sort=A","Dates=H","DateFormat=P","Fill=—","Direction=H","UseDPDF=Y")</f>
        <v>#NAME?</v>
      </c>
      <c r="AB81" s="2" t="e">
        <f ca="1">_xll.BDH($C$78,"NET_FIXED_ASSETS_1_YEAR_GROWTH","FQ3 2014","FQ3 2014","Currency=INR","Period=FQ","BEST_FPERIOD_OVERRIDE=FQ","FILING_STATUS=OR","EQY_CONSOLIDATED=Y","Sort=A","Dates=H","DateFormat=P","Fill=—","Direction=H","UseDPDF=Y")</f>
        <v>#NAME?</v>
      </c>
      <c r="AC81" s="2" t="e">
        <f ca="1">_xll.BDH($C$78,"ASSET_GROWTH","FQ3 2014","FQ3 2014","Currency=INR","Period=FQ","BEST_FPERIOD_OVERRIDE=FQ","FILING_STATUS=OR","EQY_CONSOLIDATED=Y","Sort=A","Dates=H","DateFormat=P","Fill=—","Direction=H","UseDPDF=Y")</f>
        <v>#NAME?</v>
      </c>
      <c r="AD81" s="2" t="e">
        <f ca="1">_xll.BDH($C$78,"MODIFIED_WORK_CAP_GROWTH","FQ3 2014","FQ3 2014","Currency=INR","Period=FQ","BEST_FPERIOD_OVERRIDE=FQ","FILING_STATUS=OR","EQY_CONSOLIDATED=Y","Sort=A","Dates=H","DateFormat=P","Fill=—","Direction=H","UseDPDF=Y")</f>
        <v>#NAME?</v>
      </c>
      <c r="AE81" s="2" t="e">
        <f ca="1">_xll.BDH($C$78,"WORK_CAP_GROWTH","FQ3 2014","FQ3 2014","Currency=INR","Period=FQ","BEST_FPERIOD_OVERRIDE=FQ","FILING_STATUS=OR","EQY_CONSOLIDATED=Y","Sort=A","Dates=H","DateFormat=P","Fill=—","Direction=H","UseDPDF=Y")</f>
        <v>#NAME?</v>
      </c>
      <c r="AF81" s="2" t="e">
        <f ca="1">_xll.BDH($C$78,"ACCOUNTS_PAYABLE_GROWTH_1YR","FQ3 2014","FQ3 2014","Currency=INR","Period=FQ","BEST_FPERIOD_OVERRIDE=FQ","FILING_STATUS=OR","EQY_CONSOLIDATED=Y","Sort=A","Dates=H","DateFormat=P","Fill=—","Direction=H","UseDPDF=Y")</f>
        <v>#NAME?</v>
      </c>
      <c r="AG81" s="2" t="e">
        <f ca="1">_xll.BDH($C$78,"SHORT_TERM_DEBT_1_YEAR_GROWTH","FQ3 2014","FQ3 2014","Currency=INR","Period=FQ","BEST_FPERIOD_OVERRIDE=FQ","FILING_STATUS=OR","EQY_CONSOLIDATED=Y","Sort=A","Dates=H","DateFormat=P","Fill=—","Direction=H","UseDPDF=Y")</f>
        <v>#NAME?</v>
      </c>
      <c r="AH81" s="2" t="e">
        <f ca="1">_xll.BDH($C$78,"TOTAL_DEBT_1_YEAR_GROWTH","FQ3 2014","FQ3 2014","Currency=INR","Period=FQ","BEST_FPERIOD_OVERRIDE=FQ","FILING_STATUS=OR","EQY_CONSOLIDATED=Y","Sort=A","Dates=H","DateFormat=P","Fill=—","Direction=H","UseDPDF=Y")</f>
        <v>#NAME?</v>
      </c>
      <c r="AI81" s="2" t="e">
        <f ca="1">_xll.BDH($C$78,"TOTAL_EQUITY_1_YEAR_GROWTH","FQ3 2014","FQ3 2014","Currency=INR","Period=FQ","BEST_FPERIOD_OVERRIDE=FQ","FILING_STATUS=OR","EQY_CONSOLIDATED=Y","Sort=A","Dates=H","DateFormat=P","Fill=—","Direction=H","UseDPDF=Y")</f>
        <v>#NAME?</v>
      </c>
      <c r="AJ81" s="2" t="e">
        <f ca="1">_xll.BDH($C$78,"GROWTH_IN_CAP","FQ3 2014","FQ3 2014","Currency=INR","Period=FQ","BEST_FPERIOD_OVERRIDE=FQ","FILING_STATUS=OR","EQY_CONSOLIDATED=Y","Sort=A","Dates=H","DateFormat=P","Fill=—","Direction=H","UseDPDF=Y")</f>
        <v>#NAME?</v>
      </c>
      <c r="AK81" s="2" t="e">
        <f ca="1">_xll.BDH($C$78,"BVPS_GROWTH","FQ3 2014","FQ3 2014","Currency=INR","Period=FQ","BEST_FPERIOD_OVERRIDE=FQ","FILING_STATUS=OR","EQY_CONSOLIDATED=Y","Sort=A","Dates=H","DateFormat=P","Fill=—","Direction=H","UseDPDF=Y")</f>
        <v>#NAME?</v>
      </c>
      <c r="AL81" s="2" t="e">
        <f ca="1">_xll.BDH($C$78,"CASH_FLOW_GROWTH","FQ3 2014","FQ3 2014","Currency=INR","Period=FQ","BEST_FPERIOD_OVERRIDE=FQ","FILING_STATUS=OR","EQY_CONSOLIDATED=Y","Sort=A","Dates=H","DateFormat=P","Fill=—","Direction=H","UseDPDF=Y")</f>
        <v>#NAME?</v>
      </c>
      <c r="AM81" s="2" t="e">
        <f ca="1">_xll.BDH($C$78,"GEO_GROW_NET_SALES","FQ3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81" s="2" t="e">
        <f ca="1">_xll.BDH($C$78,"GEO_GROW_EBITDA","FQ3 2014","FQ3 2014","Currency=INR","Period=FQ","BEST_FPERIOD_OVERRIDE=FQ","FILING_STATUS=OR","EQY_CONSOLIDATED=Y","FA_ADJUSTED=GAAP","Sort=A","Dates=H","DateFormat=P","Fill=—","Direction=H","UseDPDF=Y")</f>
        <v>#NAME?</v>
      </c>
      <c r="AO81" s="2" t="e">
        <f ca="1">_xll.BDH($C$78,"GEO_GROW_OPER_INC","FQ3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81" s="2" t="e">
        <f ca="1">_xll.BDH($C$78,"NET_INCOME_TO_COMMON_5_YR_GROWTH","FQ3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81" s="2" t="e">
        <f ca="1">_xll.BDH($C$78,"5Y_GEO_GROWTH_DILUTED_EPS","FQ3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81" s="2" t="e">
        <f ca="1">_xll.BDH($C$78,"GEO_GROW_DVD_PER_SH","FQ3 2014","FQ3 2014","Currency=INR","Period=FQ","BEST_FPERIOD_OVERRIDE=FQ","FILING_STATUS=OR","EQY_CONSOLIDATED=Y","Sort=A","Dates=H","DateFormat=P","Fill=—","Direction=H","UseDPDF=Y")</f>
        <v>#NAME?</v>
      </c>
      <c r="AS81" s="2" t="e">
        <f ca="1">_xll.BDH($C$78,"ACCOUNTS_RECEIVABLE_5_YR_GROWTH","FQ3 2014","FQ3 2014","Currency=INR","Period=FQ","BEST_FPERIOD_OVERRIDE=FQ","FILING_STATUS=OR","EQY_CONSOLIDATED=Y","Sort=A","Dates=H","DateFormat=P","Fill=—","Direction=H","UseDPDF=Y")</f>
        <v>#NAME?</v>
      </c>
      <c r="AT81" s="2" t="e">
        <f ca="1">_xll.BDH($C$78,"INVENTORY_5_YEAR_GROWTH","FQ3 2014","FQ3 2014","Currency=INR","Period=FQ","BEST_FPERIOD_OVERRIDE=FQ","FILING_STATUS=OR","EQY_CONSOLIDATED=Y","Sort=A","Dates=H","DateFormat=P","Fill=—","Direction=H","UseDPDF=Y")</f>
        <v>#NAME?</v>
      </c>
      <c r="AU81" s="2" t="e">
        <f ca="1">_xll.BDH($C$78,"NET_FIXED_ASSETS_5_YEAR_GROWTH","FQ3 2014","FQ3 2014","Currency=INR","Period=FQ","BEST_FPERIOD_OVERRIDE=FQ","FILING_STATUS=OR","EQY_CONSOLIDATED=Y","Sort=A","Dates=H","DateFormat=P","Fill=—","Direction=H","UseDPDF=Y")</f>
        <v>#NAME?</v>
      </c>
      <c r="AV81" s="2" t="e">
        <f ca="1">_xll.BDH($C$78,"GEO_GROW_TOT_ASSET","FQ3 2014","FQ3 2014","Currency=INR","Period=FQ","BEST_FPERIOD_OVERRIDE=FQ","FILING_STATUS=OR","EQY_CONSOLIDATED=Y","Sort=A","Dates=H","DateFormat=P","Fill=—","Direction=H","UseDPDF=Y")</f>
        <v>#NAME?</v>
      </c>
      <c r="AW81" s="2" t="e">
        <f ca="1">_xll.BDH($C$78,"MODIFIED_WORKING_CPTL_5YR_GRWTH","FQ3 2014","FQ3 2014","Currency=INR","Period=FQ","BEST_FPERIOD_OVERRIDE=FQ","FILING_STATUS=OR","EQY_CONSOLIDATED=Y","Sort=A","Dates=H","DateFormat=P","Fill=—","Direction=H","UseDPDF=Y")</f>
        <v>#NAME?</v>
      </c>
      <c r="AX81" s="2" t="e">
        <f ca="1">_xll.BDH($C$78,"WORKING_CAPITAL_5_YEAR_GROWTH","FQ3 2014","FQ3 2014","Currency=INR","Period=FQ","BEST_FPERIOD_OVERRIDE=FQ","FILING_STATUS=OR","EQY_CONSOLIDATED=Y","Sort=A","Dates=H","DateFormat=P","Fill=—","Direction=H","UseDPDF=Y")</f>
        <v>#NAME?</v>
      </c>
      <c r="AY81" s="2" t="e">
        <f ca="1">_xll.BDH($C$78,"ACCOUNTS_PAYABLE_5_YEAR_GROWTH","FQ3 2014","FQ3 2014","Currency=INR","Period=FQ","BEST_FPERIOD_OVERRIDE=FQ","FILING_STATUS=OR","EQY_CONSOLIDATED=Y","Sort=A","Dates=H","DateFormat=P","Fill=—","Direction=H","UseDPDF=Y")</f>
        <v>#NAME?</v>
      </c>
      <c r="AZ81" s="2" t="e">
        <f ca="1">_xll.BDH($C$78,"SHORT_TERM_DEBT_5_YEAR_GROWTH","FQ3 2014","FQ3 2014","Currency=INR","Period=FQ","BEST_FPERIOD_OVERRIDE=FQ","FILING_STATUS=OR","EQY_CONSOLIDATED=Y","Sort=A","Dates=H","DateFormat=P","Fill=—","Direction=H","UseDPDF=Y")</f>
        <v>#NAME?</v>
      </c>
      <c r="BA81" s="2" t="e">
        <f ca="1">_xll.BDH($C$78,"TOTAL_DEBT_5_YEAR_GROWTH","FQ3 2014","FQ3 2014","Currency=INR","Period=FQ","BEST_FPERIOD_OVERRIDE=FQ","FILING_STATUS=OR","EQY_CONSOLIDATED=Y","Sort=A","Dates=H","DateFormat=P","Fill=—","Direction=H","UseDPDF=Y")</f>
        <v>#NAME?</v>
      </c>
      <c r="BB81" s="2" t="e">
        <f ca="1">_xll.BDH($C$78,"GEO_GROW_TOT_SHRHLDR_EQY","FQ3 2014","FQ3 2014","Currency=INR","Period=FQ","BEST_FPERIOD_OVERRIDE=FQ","FILING_STATUS=OR","EQY_CONSOLIDATED=Y","Sort=A","Dates=H","DateFormat=P","Fill=—","Direction=H","UseDPDF=Y")</f>
        <v>#NAME?</v>
      </c>
      <c r="BC81" s="2" t="e">
        <f ca="1">_xll.BDH($C$78,"TOTAL_CAPITAL_5_YEAR_GROWTH","FQ3 2014","FQ3 2014","Currency=INR","Period=FQ","BEST_FPERIOD_OVERRIDE=FQ","FILING_STATUS=OR","EQY_CONSOLIDATED=Y","Sort=A","Dates=H","DateFormat=P","Fill=—","Direction=H","UseDPDF=Y")</f>
        <v>#NAME?</v>
      </c>
      <c r="BD81" s="2" t="e">
        <f ca="1">_xll.BDH($C$78,"GEO_GROW_BOOK_VAL","FQ3 2014","FQ3 2014","Currency=INR","Period=FQ","BEST_FPERIOD_OVERRIDE=FQ","FILING_STATUS=OR","EQY_CONSOLIDATED=Y","Sort=A","Dates=H","DateFormat=P","Fill=—","Direction=H","UseDPDF=Y")</f>
        <v>#NAME?</v>
      </c>
      <c r="BE81" s="2" t="e">
        <f ca="1">_xll.BDH($C$78,"GEO_GROW_CASH_OPER_ACT","FQ3 2014","FQ3 2014","Currency=INR","Period=FQ","BEST_FPERIOD_OVERRIDE=FQ","FILING_STATUS=OR","EQY_CONSOLIDATED=Y","Sort=A","Dates=H","DateFormat=P","Fill=—","Direction=H","UseDPDF=Y")</f>
        <v>#NAME?</v>
      </c>
      <c r="BF81" s="2" t="e">
        <f ca="1">_xll.BDH($C$78,"REVENUE_SEQUENTIAL_GROWTH","FQ3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81" s="2" t="e">
        <f ca="1">_xll.BDH($C$78,"EBITDA_SEQUENTIAL_GROWTH","FQ3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81" s="2" t="e">
        <f ca="1">_xll.BDH($C$78,"OPERATING_INCOME_SEQ_GROWTH","FQ3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81" s="2" t="e">
        <f ca="1">_xll.BDH($C$78,"NET_INCOME_TO_COMMON_SEQ_GROWTH","FQ3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81" s="2" t="e">
        <f ca="1">_xll.BDH($C$78,"EPS_DILUTED_SEQUENTIAL_GROWTH","FQ3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81" s="2" t="e">
        <f ca="1">_xll.BDH($C$78,"DPS_SEQUENTIAL_GROWTH","FQ3 2014","FQ3 2014","Currency=INR","Period=FQ","BEST_FPERIOD_OVERRIDE=FQ","FILING_STATUS=OR","EQY_CONSOLIDATED=Y","Sort=A","Dates=H","DateFormat=P","Fill=—","Direction=H","UseDPDF=Y")</f>
        <v>#NAME?</v>
      </c>
      <c r="BL81" s="2" t="e">
        <f ca="1">_xll.BDH($C$78,"ACCOUNTS_RECEIVABLE_SEQ_GROWTH","FQ3 2014","FQ3 2014","Currency=INR","Period=FQ","BEST_FPERIOD_OVERRIDE=FQ","FILING_STATUS=OR","EQY_CONSOLIDATED=Y","Sort=A","Dates=H","DateFormat=P","Fill=—","Direction=H","UseDPDF=Y")</f>
        <v>#NAME?</v>
      </c>
      <c r="BM81" s="2" t="e">
        <f ca="1">_xll.BDH($C$78,"INVENTORY_SEQUENTIAL_GROWTH","FQ3 2014","FQ3 2014","Currency=INR","Period=FQ","BEST_FPERIOD_OVERRIDE=FQ","FILING_STATUS=OR","EQY_CONSOLIDATED=Y","Sort=A","Dates=H","DateFormat=P","Fill=—","Direction=H","UseDPDF=Y")</f>
        <v>#NAME?</v>
      </c>
      <c r="BN81" s="2" t="e">
        <f ca="1">_xll.BDH($C$78,"FIXED_ASSETS_SEQUENTIAL_GROWTH","FQ3 2014","FQ3 2014","Currency=INR","Period=FQ","BEST_FPERIOD_OVERRIDE=FQ","FILING_STATUS=OR","EQY_CONSOLIDATED=Y","Sort=A","Dates=H","DateFormat=P","Fill=—","Direction=H","UseDPDF=Y")</f>
        <v>#NAME?</v>
      </c>
      <c r="BO81" s="2" t="e">
        <f ca="1">_xll.BDH($C$78,"TOTAL_ASSETS_SEQUENTIAL_GROWTH","FQ3 2014","FQ3 2014","Currency=INR","Period=FQ","BEST_FPERIOD_OVERRIDE=FQ","FILING_STATUS=OR","EQY_CONSOLIDATED=Y","Sort=A","Dates=H","DateFormat=P","Fill=—","Direction=H","UseDPDF=Y")</f>
        <v>#NAME?</v>
      </c>
      <c r="BP81" s="2" t="e">
        <f ca="1">_xll.BDH($C$78,"MODIFIED_WORKING_CPTL_SEQ_GRWTH","FQ3 2014","FQ3 2014","Currency=INR","Period=FQ","BEST_FPERIOD_OVERRIDE=FQ","FILING_STATUS=OR","EQY_CONSOLIDATED=Y","Sort=A","Dates=H","DateFormat=P","Fill=—","Direction=H","UseDPDF=Y")</f>
        <v>#NAME?</v>
      </c>
      <c r="BQ81" s="2" t="e">
        <f ca="1">_xll.BDH($C$78,"WORKING_CAPITAL_SEQ_GROWTH","FQ3 2014","FQ3 2014","Currency=INR","Period=FQ","BEST_FPERIOD_OVERRIDE=FQ","FILING_STATUS=OR","EQY_CONSOLIDATED=Y","Sort=A","Dates=H","DateFormat=P","Fill=—","Direction=H","UseDPDF=Y")</f>
        <v>#NAME?</v>
      </c>
      <c r="BR81" s="2" t="e">
        <f ca="1">_xll.BDH($C$78,"ACCOUNTS_PAYABLE_SEQ_GROWTH","FQ3 2014","FQ3 2014","Currency=INR","Period=FQ","BEST_FPERIOD_OVERRIDE=FQ","FILING_STATUS=OR","EQY_CONSOLIDATED=Y","Sort=A","Dates=H","DateFormat=P","Fill=—","Direction=H","UseDPDF=Y")</f>
        <v>#NAME?</v>
      </c>
      <c r="BS81" s="2" t="e">
        <f ca="1">_xll.BDH($C$78,"ST_DEBT_SEQUENTIAL_GROWTH","FQ3 2014","FQ3 2014","Currency=INR","Period=FQ","BEST_FPERIOD_OVERRIDE=FQ","FILING_STATUS=OR","EQY_CONSOLIDATED=Y","Sort=A","Dates=H","DateFormat=P","Fill=—","Direction=H","UseDPDF=Y")</f>
        <v>#NAME?</v>
      </c>
      <c r="BT81" s="2" t="e">
        <f ca="1">_xll.BDH($C$78,"TOTAL_DEBT_SEQUENTIAL_GROWTH","FQ3 2014","FQ3 2014","Currency=INR","Period=FQ","BEST_FPERIOD_OVERRIDE=FQ","FILING_STATUS=OR","EQY_CONSOLIDATED=Y","Sort=A","Dates=H","DateFormat=P","Fill=—","Direction=H","UseDPDF=Y")</f>
        <v>#NAME?</v>
      </c>
      <c r="BU81" s="2" t="e">
        <f ca="1">_xll.BDH($C$78,"TOTAL_EQUITY_SEQUENTIAL_GROWTH","FQ3 2014","FQ3 2014","Currency=INR","Period=FQ","BEST_FPERIOD_OVERRIDE=FQ","FILING_STATUS=OR","EQY_CONSOLIDATED=Y","Sort=A","Dates=H","DateFormat=P","Fill=—","Direction=H","UseDPDF=Y")</f>
        <v>#NAME?</v>
      </c>
      <c r="BV81" s="2" t="e">
        <f ca="1">_xll.BDH($C$78,"TOTAL_CAPITAL_SEQUENTIAL_GROWTH","FQ3 2014","FQ3 2014","Currency=INR","Period=FQ","BEST_FPERIOD_OVERRIDE=FQ","FILING_STATUS=OR","EQY_CONSOLIDATED=Y","Sort=A","Dates=H","DateFormat=P","Fill=—","Direction=H","UseDPDF=Y")</f>
        <v>#NAME?</v>
      </c>
      <c r="BW81" s="2" t="e">
        <f ca="1">_xll.BDH($C$78,"BPS_SEQUENTIAL_GROWTH","FQ3 2014","FQ3 2014","Currency=INR","Period=FQ","BEST_FPERIOD_OVERRIDE=FQ","FILING_STATUS=OR","EQY_CONSOLIDATED=Y","Sort=A","Dates=H","DateFormat=P","Fill=—","Direction=H","UseDPDF=Y")</f>
        <v>#NAME?</v>
      </c>
      <c r="BX81" s="2" t="e">
        <f ca="1">_xll.BDH($C$78,"CFO_SEQUENTIAL_GROWTH","FQ3 2014","FQ3 2014","Currency=INR","Period=FQ","BEST_FPERIOD_OVERRIDE=FQ","FILING_STATUS=OR","EQY_CONSOLIDATED=Y","Sort=A","Dates=H","DateFormat=P","Fill=—","Direction=H","UseDPDF=Y")</f>
        <v>#NAME?</v>
      </c>
      <c r="BY81" s="3" t="e">
        <f ca="1">_xll.BDH($C$78,"SHORT_AND_LONG_TERM_DEBT","FQ3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81" s="3" t="e">
        <f ca="1">_xll.BDH($C$78,"BS_ST_BORROW","FQ3 2014","FQ3 2014","Currency=INR","Period=FQ","BEST_FPERIOD_OVERRIDE=FQ","FILING_STATUS=OR","EQY_CONSOLIDATED=Y","SCALING_FORMAT=MLN","Sort=A","Dates=H","DateFormat=P","Fill=—","Direction=H","UseDPDF=Y")</f>
        <v>#NAME?</v>
      </c>
      <c r="CA81" s="3" t="e">
        <f ca="1">_xll.BDH($C$78,"BS_LT_BORROW","FQ3 2014","FQ3 2014","Currency=INR","Period=FQ","BEST_FPERIOD_OVERRIDE=FQ","FILING_STATUS=OR","EQY_CONSOLIDATED=Y","SCALING_FORMAT=MLN","Sort=A","Dates=H","DateFormat=P","Fill=—","Direction=H","UseDPDF=Y")</f>
        <v>#NAME?</v>
      </c>
      <c r="CB81" s="2" t="e">
        <f ca="1">_xll.BDH($C$78,"TOT_DEBT_TO_EBITDA","FQ3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81" s="2" t="e">
        <f ca="1">_xll.BDH($C$78,"NET_DEBT_TO_EBITDA","FQ3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81" s="2" t="e">
        <f ca="1">_xll.BDH($C$78,"TOTAL_DEBT_TO_EBIT","FQ3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81" s="2" t="e">
        <f ca="1">_xll.BDH($C$78,"NET_DEBT_TO_EBIT","FQ3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81" s="2" t="e">
        <f ca="1">_xll.BDH($C$78,"EBITDA_TO_INTEREST_EXPN","FQ3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81" s="2" t="e">
        <f ca="1">_xll.BDH($C$78,"COM_EQY_TO_TOT_ASSET","FQ3 2014","FQ3 2014","Currency=INR","Period=FQ","BEST_FPERIOD_OVERRIDE=FQ","FILING_STATUS=OR","EQY_CONSOLIDATED=Y","Sort=A","Dates=H","DateFormat=P","Fill=—","Direction=H","UseDPDF=Y")</f>
        <v>#NAME?</v>
      </c>
      <c r="CH81" s="2" t="e">
        <f ca="1">_xll.BDH($C$78,"LT_DEBT_TO_TOT_EQY","FQ3 2014","FQ3 2014","Currency=INR","Period=FQ","BEST_FPERIOD_OVERRIDE=FQ","FILING_STATUS=OR","EQY_CONSOLIDATED=Y","Sort=A","Dates=H","DateFormat=P","Fill=—","Direction=H","UseDPDF=Y")</f>
        <v>#NAME?</v>
      </c>
      <c r="CI81" s="2" t="e">
        <f ca="1">_xll.BDH($C$78,"LT_DEBT_TO_TOT_CAP","FQ3 2014","FQ3 2014","Currency=INR","Period=FQ","BEST_FPERIOD_OVERRIDE=FQ","FILING_STATUS=OR","EQY_CONSOLIDATED=Y","Sort=A","Dates=H","DateFormat=P","Fill=—","Direction=H","UseDPDF=Y")</f>
        <v>#NAME?</v>
      </c>
      <c r="CJ81" s="2" t="e">
        <f ca="1">_xll.BDH($C$78,"LT_DEBT_TO_TOT_ASSET","FQ3 2014","FQ3 2014","Currency=INR","Period=FQ","BEST_FPERIOD_OVERRIDE=FQ","FILING_STATUS=OR","EQY_CONSOLIDATED=Y","Sort=A","Dates=H","DateFormat=P","Fill=—","Direction=H","UseDPDF=Y")</f>
        <v>#NAME?</v>
      </c>
      <c r="CK81" s="2" t="e">
        <f ca="1">_xll.BDH($C$78,"TOT_DEBT_TO_TOT_EQY","FQ3 2014","FQ3 2014","Currency=INR","Period=FQ","BEST_FPERIOD_OVERRIDE=FQ","FILING_STATUS=OR","EQY_CONSOLIDATED=Y","Sort=A","Dates=H","DateFormat=P","Fill=—","Direction=H","UseDPDF=Y")</f>
        <v>#NAME?</v>
      </c>
      <c r="CL81" s="2" t="e">
        <f ca="1">_xll.BDH($C$78,"TOT_DEBT_TO_TOT_CAP","FQ3 2014","FQ3 2014","Currency=INR","Period=FQ","BEST_FPERIOD_OVERRIDE=FQ","FILING_STATUS=OR","EQY_CONSOLIDATED=Y","Sort=A","Dates=H","DateFormat=P","Fill=—","Direction=H","UseDPDF=Y")</f>
        <v>#NAME?</v>
      </c>
      <c r="CM81" s="2" t="e">
        <f ca="1">_xll.BDH($C$78,"TOT_DEBT_TO_TOT_ASSET","FQ3 2014","FQ3 2014","Currency=INR","Period=FQ","BEST_FPERIOD_OVERRIDE=FQ","FILING_STATUS=OR","EQY_CONSOLIDATED=Y","Sort=A","Dates=H","DateFormat=P","Fill=—","Direction=H","UseDPDF=Y")</f>
        <v>#NAME?</v>
      </c>
      <c r="CN81" s="2" t="e">
        <f ca="1">_xll.BDH($C$78,"NET_DEBT_TO_SHRHLDR_EQTY","FQ3 2014","FQ3 2014","Currency=INR","Period=FQ","BEST_FPERIOD_OVERRIDE=FQ","FILING_STATUS=OR","EQY_CONSOLIDATED=Y","Sort=A","Dates=H","DateFormat=P","Fill=—","Direction=H","UseDPDF=Y")</f>
        <v>#NAME?</v>
      </c>
      <c r="CO81" s="2" t="e">
        <f ca="1">_xll.BDH($C$78,"NET_DEBT_%_CAPITAL","FQ3 2014","FQ3 2014","Currency=INR","Period=FQ","BEST_FPERIOD_OVERRIDE=FQ","FILING_STATUS=OR","EQY_CONSOLIDATED=Y","Sort=A","Dates=H","DateFormat=P","Fill=—","Direction=H","UseDPDF=Y")</f>
        <v>#NAME?</v>
      </c>
      <c r="CP81" s="3" t="e">
        <f ca="1">_xll.BDH($C$78,"EBITDA","FQ3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81" s="3" t="e">
        <f ca="1">_xll.BDH($C$78,"EBITDA_AFTER_CAPEX","FQ3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81" s="3" t="e">
        <f ca="1">_xll.BDH($C$78,"IS_OPER_INC","FQ3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81" s="2" t="e">
        <f ca="1">_xll.BDH($C$78,"CASH_RATIO","FQ3 2014","FQ3 2014","Currency=INR","Period=FQ","BEST_FPERIOD_OVERRIDE=FQ","FILING_STATUS=OR","EQY_CONSOLIDATED=Y","Sort=A","Dates=H","DateFormat=P","Fill=—","Direction=H","UseDPDF=Y")</f>
        <v>#NAME?</v>
      </c>
      <c r="CT81" s="2" t="e">
        <f ca="1">_xll.BDH($C$78,"CUR_RATIO","FQ3 2014","FQ3 2014","Currency=INR","Period=FQ","BEST_FPERIOD_OVERRIDE=FQ","FILING_STATUS=OR","EQY_CONSOLIDATED=Y","Sort=A","Dates=H","DateFormat=P","Fill=—","Direction=H","UseDPDF=Y")</f>
        <v>#NAME?</v>
      </c>
      <c r="CU81" s="2" t="e">
        <f ca="1">_xll.BDH($C$78,"QUICK_RATIO","FQ3 2014","FQ3 2014","Currency=INR","Period=FQ","BEST_FPERIOD_OVERRIDE=FQ","FILING_STATUS=OR","EQY_CONSOLIDATED=Y","Sort=A","Dates=H","DateFormat=P","Fill=—","Direction=H","UseDPDF=Y")</f>
        <v>#NAME?</v>
      </c>
      <c r="CV81" s="2" t="e">
        <f ca="1">_xll.BDH($C$78,"ALTMAN_Z_SCORE","FQ3 2014","FQ3 2014","Currency=INR","Period=FQ","BEST_FPERIOD_OVERRIDE=FQ","FILING_STATUS=OR","EQY_CONSOLIDATED=Y","Sort=A","Dates=H","DateFormat=P","Fill=—","Direction=H","UseDPDF=Y")</f>
        <v>#NAME?</v>
      </c>
      <c r="CW81" s="4" t="e">
        <f ca="1">_xll.BDH($C$78,"ACCT_RCV_TURN","FQ3 2014","FQ3 2014","Currency=INR","Period=FQ","BEST_FPERIOD_OVERRIDE=FQ","FILING_STATUS=OR","EQY_CONSOLIDATED=Y","FA_ADJUSTED=GAAP","Sort=A","Dates=H","DateFormat=P","Fill=—","Direction=H","UseDPDF=Y")</f>
        <v>#NAME?</v>
      </c>
      <c r="CX81" s="2" t="e">
        <f ca="1">_xll.BDH($C$78,"ACCT_RCV_DAYS","FQ3 2014","FQ3 2014","Currency=INR","Period=FQ","BEST_FPERIOD_OVERRIDE=FQ","FILING_STATUS=OR","EQY_CONSOLIDATED=Y","FA_ADJUSTED=GAAP","Sort=A","Dates=H","DateFormat=P","Fill=—","Direction=H","UseDPDF=Y")</f>
        <v>#NAME?</v>
      </c>
      <c r="CY81" s="4" t="e">
        <f ca="1">_xll.BDH($C$78,"INVENT_TURN","FQ3 2014","FQ3 2014","Currency=INR","Period=FQ","BEST_FPERIOD_OVERRIDE=FQ","FILING_STATUS=OR","EQY_CONSOLIDATED=Y","FA_ADJUSTED=GAAP","Sort=A","Dates=H","DateFormat=P","Fill=—","Direction=H","UseDPDF=Y")</f>
        <v>#NAME?</v>
      </c>
      <c r="CZ81" s="2" t="e">
        <f ca="1">_xll.BDH($C$78,"INVENT_DAYS","FQ3 2014","FQ3 2014","Currency=INR","Period=FQ","BEST_FPERIOD_OVERRIDE=FQ","FILING_STATUS=OR","EQY_CONSOLIDATED=Y","FA_ADJUSTED=GAAP","Sort=A","Dates=H","DateFormat=P","Fill=—","Direction=H","UseDPDF=Y")</f>
        <v>#NAME?</v>
      </c>
      <c r="DA81" s="4" t="e">
        <f ca="1">_xll.BDH($C$78,"ACCOUNTS_PAYABLE_TURNOVER","FQ3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81" s="2" t="e">
        <f ca="1">_xll.BDH($C$78,"ACCOUNTS_PAYABLE_TURNOVER_DAYS","FQ3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81" s="4" t="e">
        <f ca="1">_xll.BDH($C$78,"CASH_CONVERSION_CYCLE","FQ3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81" s="4" t="e">
        <f ca="1">_xll.BDH($C$78,"INV_TO_CASH_DAYS","FQ3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81" s="5" t="e">
        <f ca="1">_xll.BDH($C$78,"BS_INVENTORIES","FQ3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81" s="3" t="e">
        <f ca="1">_xll.BDH($C$78,"INVTRY_RAW_MATERIALS","FQ3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81" s="3" t="e">
        <f ca="1">_xll.BDH($C$78,"INVTRY_IN_PROGRESS","FQ3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81" s="3" t="e">
        <f ca="1">_xll.BDH($C$78,"INVTRY_FINISHED_GOODS","FQ3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81" s="3" t="e">
        <f ca="1">_xll.BDH($C$78,"BS_OTHER_INV","FQ3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82" spans="1:113" x14ac:dyDescent="0.3">
      <c r="A82" s="6"/>
      <c r="B82" s="6"/>
      <c r="C82" s="6"/>
      <c r="D82" s="6"/>
      <c r="E82" t="s">
        <v>81</v>
      </c>
      <c r="F82" t="e">
        <f ca="1">_xll.BDH($C$78,"RETURN_COM_EQY","FQ4 2014","FQ4 2014","Currency=INR","Period=FQ","BEST_FPERIOD_OVERRIDE=FQ","FILING_STATUS=OR","EQY_CONSOLIDATED=Y","FA_ADJUSTED=GAAP","Sort=A","Dates=H","DateFormat=P","Fill=—","Direction=H","UseDPDF=Y")</f>
        <v>#NAME?</v>
      </c>
      <c r="G82" t="e">
        <f ca="1">_xll.BDH($C$78,"RETURN_ON_ASSET","FQ4 2014","FQ4 2014","Currency=INR","Period=FQ","BEST_FPERIOD_OVERRIDE=FQ","FILING_STATUS=OR","EQY_CONSOLIDATED=Y","FA_ADJUSTED=GAAP","Sort=A","Dates=H","DateFormat=P","Fill=—","Direction=H","UseDPDF=Y")</f>
        <v>#NAME?</v>
      </c>
      <c r="H82" t="e">
        <f ca="1">_xll.BDH($C$78,"RETURN_ON_CAP","FQ4 2014","FQ4 2014","Currency=INR","Period=FQ","BEST_FPERIOD_OVERRIDE=FQ","FILING_STATUS=OR","EQY_CONSOLIDATED=Y","FA_ADJUSTED=GAAP","Sort=A","Dates=H","DateFormat=P","Fill=—","Direction=H","UseDPDF=Y")</f>
        <v>#NAME?</v>
      </c>
      <c r="I82" t="e">
        <f ca="1">_xll.BDH($C$78,"RETURN_ON_INV_CAPITAL","FQ4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82" t="e">
        <f ca="1">_xll.BDH($C$78,"EBITDA_TO_REVENUE","FQ4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82" t="e">
        <f ca="1">_xll.BDH($C$78,"OPER_MARGIN","FQ4 2014","FQ4 2014","Currency=INR","Period=FQ","BEST_FPERIOD_OVERRIDE=FQ","FILING_STATUS=OR","EQY_CONSOLIDATED=Y","FA_ADJUSTED=GAAP","Sort=A","Dates=H","DateFormat=P","Fill=—","Direction=H","UseDPDF=Y")</f>
        <v>#NAME?</v>
      </c>
      <c r="L82" t="e">
        <f ca="1">_xll.BDH($C$78,"INCREMENTAL_OPERATING_MARGIN","FQ4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82" t="e">
        <f ca="1">_xll.BDH($C$78,"PRETAX_INC_TO_NET_SALES","FQ4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82" t="e">
        <f ca="1">_xll.BDH($C$78,"INC_BEF_XO_ITEMS_TO_NET_SALES","FQ4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82" t="e">
        <f ca="1">_xll.BDH($C$78,"PROF_MARGIN","FQ4 2014","FQ4 2014","Currency=INR","Period=FQ","BEST_FPERIOD_OVERRIDE=FQ","FILING_STATUS=OR","EQY_CONSOLIDATED=Y","FA_ADJUSTED=GAAP","Sort=A","Dates=H","DateFormat=P","Fill=—","Direction=H","UseDPDF=Y")</f>
        <v>#NAME?</v>
      </c>
      <c r="P82" t="e">
        <f ca="1">_xll.BDH($C$78,"NET_INCOME_TO_COMMON_MARGIN","FQ4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82" t="e">
        <f ca="1">_xll.BDH($C$78,"EFF_TAX_RATE","FQ4 2014","FQ4 2014","Currency=INR","Period=FQ","BEST_FPERIOD_OVERRIDE=FQ","FILING_STATUS=OR","EQY_CONSOLIDATED=Y","FA_ADJUSTED=GAAP","Sort=A","Dates=H","DateFormat=P","Fill=—","Direction=H","UseDPDF=Y")</f>
        <v>#NAME?</v>
      </c>
      <c r="R82" t="e">
        <f ca="1">_xll.BDH($C$78,"DVD_PAYOUT_RATIO","FQ4 2014","FQ4 2014","Currency=INR","Period=FQ","BEST_FPERIOD_OVERRIDE=FQ","FILING_STATUS=OR","EQY_CONSOLIDATED=Y","FA_ADJUSTED=GAAP","Sort=A","Dates=H","DateFormat=P","Fill=—","Direction=H","UseDPDF=Y")</f>
        <v>#NAME?</v>
      </c>
      <c r="S82" t="e">
        <f ca="1">_xll.BDH($C$78,"SUSTAIN_GROWTH_RT","FQ4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82" s="2" t="e">
        <f ca="1">_xll.BDH($C$78,"SALES_GROWTH","FQ4 2014","FQ4 2014","Currency=INR","Period=FQ","BEST_FPERIOD_OVERRIDE=FQ","FILING_STATUS=OR","EQY_CONSOLIDATED=Y","FA_ADJUSTED=GAAP","Sort=A","Dates=H","DateFormat=P","Fill=—","Direction=H","UseDPDF=Y")</f>
        <v>#NAME?</v>
      </c>
      <c r="U82" s="2" t="e">
        <f ca="1">_xll.BDH($C$78,"EBITDA_GROWTH","FQ4 2014","FQ4 2014","Currency=INR","Period=FQ","BEST_FPERIOD_OVERRIDE=FQ","FILING_STATUS=OR","EQY_CONSOLIDATED=Y","FA_ADJUSTED=GAAP","Sort=A","Dates=H","DateFormat=P","Fill=—","Direction=H","UseDPDF=Y")</f>
        <v>#NAME?</v>
      </c>
      <c r="V82" s="2" t="e">
        <f ca="1">_xll.BDH($C$78,"OPER_INC_GROWTH","FQ4 2014","FQ4 2014","Currency=INR","Period=FQ","BEST_FPERIOD_OVERRIDE=FQ","FILING_STATUS=OR","EQY_CONSOLIDATED=Y","FA_ADJUSTED=GAAP","Sort=A","Dates=H","DateFormat=P","Fill=—","Direction=H","UseDPDF=Y")</f>
        <v>#NAME?</v>
      </c>
      <c r="W82" s="2" t="e">
        <f ca="1">_xll.BDH($C$78,"EARN_FOR_COM_GROWTH","FQ4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82" s="2" t="e">
        <f ca="1">_xll.BDH($C$78,"DILUTED_EPS_AFT_XO_ITEMS_GROWTH","FQ4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82" s="2" t="e">
        <f ca="1">_xll.BDH($C$78,"DIVIDEND_PER_SHARE_1_YEAR_GROWTH","FQ4 2014","FQ4 2014","Currency=INR","Period=FQ","BEST_FPERIOD_OVERRIDE=FQ","FILING_STATUS=OR","EQY_CONSOLIDATED=Y","Sort=A","Dates=H","DateFormat=P","Fill=—","Direction=H","UseDPDF=Y")</f>
        <v>#NAME?</v>
      </c>
      <c r="Z82" s="2" t="e">
        <f ca="1">_xll.BDH($C$78,"ACCOUNTS_RECEIVABLE_GROWTH","FQ4 2014","FQ4 2014","Currency=INR","Period=FQ","BEST_FPERIOD_OVERRIDE=FQ","FILING_STATUS=OR","EQY_CONSOLIDATED=Y","Sort=A","Dates=H","DateFormat=P","Fill=—","Direction=H","UseDPDF=Y")</f>
        <v>#NAME?</v>
      </c>
      <c r="AA82" s="2" t="e">
        <f ca="1">_xll.BDH($C$78,"INVENTORY_GROWTH","FQ4 2014","FQ4 2014","Currency=INR","Period=FQ","BEST_FPERIOD_OVERRIDE=FQ","FILING_STATUS=OR","EQY_CONSOLIDATED=Y","Sort=A","Dates=H","DateFormat=P","Fill=—","Direction=H","UseDPDF=Y")</f>
        <v>#NAME?</v>
      </c>
      <c r="AB82" s="2" t="e">
        <f ca="1">_xll.BDH($C$78,"NET_FIXED_ASSETS_1_YEAR_GROWTH","FQ4 2014","FQ4 2014","Currency=INR","Period=FQ","BEST_FPERIOD_OVERRIDE=FQ","FILING_STATUS=OR","EQY_CONSOLIDATED=Y","Sort=A","Dates=H","DateFormat=P","Fill=—","Direction=H","UseDPDF=Y")</f>
        <v>#NAME?</v>
      </c>
      <c r="AC82" s="2" t="e">
        <f ca="1">_xll.BDH($C$78,"ASSET_GROWTH","FQ4 2014","FQ4 2014","Currency=INR","Period=FQ","BEST_FPERIOD_OVERRIDE=FQ","FILING_STATUS=OR","EQY_CONSOLIDATED=Y","Sort=A","Dates=H","DateFormat=P","Fill=—","Direction=H","UseDPDF=Y")</f>
        <v>#NAME?</v>
      </c>
      <c r="AD82" s="2" t="e">
        <f ca="1">_xll.BDH($C$78,"MODIFIED_WORK_CAP_GROWTH","FQ4 2014","FQ4 2014","Currency=INR","Period=FQ","BEST_FPERIOD_OVERRIDE=FQ","FILING_STATUS=OR","EQY_CONSOLIDATED=Y","Sort=A","Dates=H","DateFormat=P","Fill=—","Direction=H","UseDPDF=Y")</f>
        <v>#NAME?</v>
      </c>
      <c r="AE82" s="2" t="e">
        <f ca="1">_xll.BDH($C$78,"WORK_CAP_GROWTH","FQ4 2014","FQ4 2014","Currency=INR","Period=FQ","BEST_FPERIOD_OVERRIDE=FQ","FILING_STATUS=OR","EQY_CONSOLIDATED=Y","Sort=A","Dates=H","DateFormat=P","Fill=—","Direction=H","UseDPDF=Y")</f>
        <v>#NAME?</v>
      </c>
      <c r="AF82" s="2" t="e">
        <f ca="1">_xll.BDH($C$78,"ACCOUNTS_PAYABLE_GROWTH_1YR","FQ4 2014","FQ4 2014","Currency=INR","Period=FQ","BEST_FPERIOD_OVERRIDE=FQ","FILING_STATUS=OR","EQY_CONSOLIDATED=Y","Sort=A","Dates=H","DateFormat=P","Fill=—","Direction=H","UseDPDF=Y")</f>
        <v>#NAME?</v>
      </c>
      <c r="AG82" s="2" t="e">
        <f ca="1">_xll.BDH($C$78,"SHORT_TERM_DEBT_1_YEAR_GROWTH","FQ4 2014","FQ4 2014","Currency=INR","Period=FQ","BEST_FPERIOD_OVERRIDE=FQ","FILING_STATUS=OR","EQY_CONSOLIDATED=Y","Sort=A","Dates=H","DateFormat=P","Fill=—","Direction=H","UseDPDF=Y")</f>
        <v>#NAME?</v>
      </c>
      <c r="AH82" s="2" t="e">
        <f ca="1">_xll.BDH($C$78,"TOTAL_DEBT_1_YEAR_GROWTH","FQ4 2014","FQ4 2014","Currency=INR","Period=FQ","BEST_FPERIOD_OVERRIDE=FQ","FILING_STATUS=OR","EQY_CONSOLIDATED=Y","Sort=A","Dates=H","DateFormat=P","Fill=—","Direction=H","UseDPDF=Y")</f>
        <v>#NAME?</v>
      </c>
      <c r="AI82" s="2" t="e">
        <f ca="1">_xll.BDH($C$78,"TOTAL_EQUITY_1_YEAR_GROWTH","FQ4 2014","FQ4 2014","Currency=INR","Period=FQ","BEST_FPERIOD_OVERRIDE=FQ","FILING_STATUS=OR","EQY_CONSOLIDATED=Y","Sort=A","Dates=H","DateFormat=P","Fill=—","Direction=H","UseDPDF=Y")</f>
        <v>#NAME?</v>
      </c>
      <c r="AJ82" s="2" t="e">
        <f ca="1">_xll.BDH($C$78,"GROWTH_IN_CAP","FQ4 2014","FQ4 2014","Currency=INR","Period=FQ","BEST_FPERIOD_OVERRIDE=FQ","FILING_STATUS=OR","EQY_CONSOLIDATED=Y","Sort=A","Dates=H","DateFormat=P","Fill=—","Direction=H","UseDPDF=Y")</f>
        <v>#NAME?</v>
      </c>
      <c r="AK82" s="2" t="e">
        <f ca="1">_xll.BDH($C$78,"BVPS_GROWTH","FQ4 2014","FQ4 2014","Currency=INR","Period=FQ","BEST_FPERIOD_OVERRIDE=FQ","FILING_STATUS=OR","EQY_CONSOLIDATED=Y","Sort=A","Dates=H","DateFormat=P","Fill=—","Direction=H","UseDPDF=Y")</f>
        <v>#NAME?</v>
      </c>
      <c r="AL82" s="2" t="e">
        <f ca="1">_xll.BDH($C$78,"CASH_FLOW_GROWTH","FQ4 2014","FQ4 2014","Currency=INR","Period=FQ","BEST_FPERIOD_OVERRIDE=FQ","FILING_STATUS=OR","EQY_CONSOLIDATED=Y","Sort=A","Dates=H","DateFormat=P","Fill=—","Direction=H","UseDPDF=Y")</f>
        <v>#NAME?</v>
      </c>
      <c r="AM82" s="2" t="e">
        <f ca="1">_xll.BDH($C$78,"GEO_GROW_NET_SALES","FQ4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82" s="2" t="e">
        <f ca="1">_xll.BDH($C$78,"GEO_GROW_EBITDA","FQ4 2014","FQ4 2014","Currency=INR","Period=FQ","BEST_FPERIOD_OVERRIDE=FQ","FILING_STATUS=OR","EQY_CONSOLIDATED=Y","FA_ADJUSTED=GAAP","Sort=A","Dates=H","DateFormat=P","Fill=—","Direction=H","UseDPDF=Y")</f>
        <v>#NAME?</v>
      </c>
      <c r="AO82" s="2" t="e">
        <f ca="1">_xll.BDH($C$78,"GEO_GROW_OPER_INC","FQ4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82" s="2" t="e">
        <f ca="1">_xll.BDH($C$78,"NET_INCOME_TO_COMMON_5_YR_GROWTH","FQ4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82" s="2" t="e">
        <f ca="1">_xll.BDH($C$78,"5Y_GEO_GROWTH_DILUTED_EPS","FQ4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82" s="2" t="e">
        <f ca="1">_xll.BDH($C$78,"GEO_GROW_DVD_PER_SH","FQ4 2014","FQ4 2014","Currency=INR","Period=FQ","BEST_FPERIOD_OVERRIDE=FQ","FILING_STATUS=OR","EQY_CONSOLIDATED=Y","Sort=A","Dates=H","DateFormat=P","Fill=—","Direction=H","UseDPDF=Y")</f>
        <v>#NAME?</v>
      </c>
      <c r="AS82" s="2" t="e">
        <f ca="1">_xll.BDH($C$78,"ACCOUNTS_RECEIVABLE_5_YR_GROWTH","FQ4 2014","FQ4 2014","Currency=INR","Period=FQ","BEST_FPERIOD_OVERRIDE=FQ","FILING_STATUS=OR","EQY_CONSOLIDATED=Y","Sort=A","Dates=H","DateFormat=P","Fill=—","Direction=H","UseDPDF=Y")</f>
        <v>#NAME?</v>
      </c>
      <c r="AT82" s="2" t="e">
        <f ca="1">_xll.BDH($C$78,"INVENTORY_5_YEAR_GROWTH","FQ4 2014","FQ4 2014","Currency=INR","Period=FQ","BEST_FPERIOD_OVERRIDE=FQ","FILING_STATUS=OR","EQY_CONSOLIDATED=Y","Sort=A","Dates=H","DateFormat=P","Fill=—","Direction=H","UseDPDF=Y")</f>
        <v>#NAME?</v>
      </c>
      <c r="AU82" s="2" t="e">
        <f ca="1">_xll.BDH($C$78,"NET_FIXED_ASSETS_5_YEAR_GROWTH","FQ4 2014","FQ4 2014","Currency=INR","Period=FQ","BEST_FPERIOD_OVERRIDE=FQ","FILING_STATUS=OR","EQY_CONSOLIDATED=Y","Sort=A","Dates=H","DateFormat=P","Fill=—","Direction=H","UseDPDF=Y")</f>
        <v>#NAME?</v>
      </c>
      <c r="AV82" s="2" t="e">
        <f ca="1">_xll.BDH($C$78,"GEO_GROW_TOT_ASSET","FQ4 2014","FQ4 2014","Currency=INR","Period=FQ","BEST_FPERIOD_OVERRIDE=FQ","FILING_STATUS=OR","EQY_CONSOLIDATED=Y","Sort=A","Dates=H","DateFormat=P","Fill=—","Direction=H","UseDPDF=Y")</f>
        <v>#NAME?</v>
      </c>
      <c r="AW82" s="2" t="e">
        <f ca="1">_xll.BDH($C$78,"MODIFIED_WORKING_CPTL_5YR_GRWTH","FQ4 2014","FQ4 2014","Currency=INR","Period=FQ","BEST_FPERIOD_OVERRIDE=FQ","FILING_STATUS=OR","EQY_CONSOLIDATED=Y","Sort=A","Dates=H","DateFormat=P","Fill=—","Direction=H","UseDPDF=Y")</f>
        <v>#NAME?</v>
      </c>
      <c r="AX82" s="2" t="e">
        <f ca="1">_xll.BDH($C$78,"WORKING_CAPITAL_5_YEAR_GROWTH","FQ4 2014","FQ4 2014","Currency=INR","Period=FQ","BEST_FPERIOD_OVERRIDE=FQ","FILING_STATUS=OR","EQY_CONSOLIDATED=Y","Sort=A","Dates=H","DateFormat=P","Fill=—","Direction=H","UseDPDF=Y")</f>
        <v>#NAME?</v>
      </c>
      <c r="AY82" s="2" t="e">
        <f ca="1">_xll.BDH($C$78,"ACCOUNTS_PAYABLE_5_YEAR_GROWTH","FQ4 2014","FQ4 2014","Currency=INR","Period=FQ","BEST_FPERIOD_OVERRIDE=FQ","FILING_STATUS=OR","EQY_CONSOLIDATED=Y","Sort=A","Dates=H","DateFormat=P","Fill=—","Direction=H","UseDPDF=Y")</f>
        <v>#NAME?</v>
      </c>
      <c r="AZ82" s="2" t="e">
        <f ca="1">_xll.BDH($C$78,"SHORT_TERM_DEBT_5_YEAR_GROWTH","FQ4 2014","FQ4 2014","Currency=INR","Period=FQ","BEST_FPERIOD_OVERRIDE=FQ","FILING_STATUS=OR","EQY_CONSOLIDATED=Y","Sort=A","Dates=H","DateFormat=P","Fill=—","Direction=H","UseDPDF=Y")</f>
        <v>#NAME?</v>
      </c>
      <c r="BA82" s="2" t="e">
        <f ca="1">_xll.BDH($C$78,"TOTAL_DEBT_5_YEAR_GROWTH","FQ4 2014","FQ4 2014","Currency=INR","Period=FQ","BEST_FPERIOD_OVERRIDE=FQ","FILING_STATUS=OR","EQY_CONSOLIDATED=Y","Sort=A","Dates=H","DateFormat=P","Fill=—","Direction=H","UseDPDF=Y")</f>
        <v>#NAME?</v>
      </c>
      <c r="BB82" s="2" t="e">
        <f ca="1">_xll.BDH($C$78,"GEO_GROW_TOT_SHRHLDR_EQY","FQ4 2014","FQ4 2014","Currency=INR","Period=FQ","BEST_FPERIOD_OVERRIDE=FQ","FILING_STATUS=OR","EQY_CONSOLIDATED=Y","Sort=A","Dates=H","DateFormat=P","Fill=—","Direction=H","UseDPDF=Y")</f>
        <v>#NAME?</v>
      </c>
      <c r="BC82" s="2" t="e">
        <f ca="1">_xll.BDH($C$78,"TOTAL_CAPITAL_5_YEAR_GROWTH","FQ4 2014","FQ4 2014","Currency=INR","Period=FQ","BEST_FPERIOD_OVERRIDE=FQ","FILING_STATUS=OR","EQY_CONSOLIDATED=Y","Sort=A","Dates=H","DateFormat=P","Fill=—","Direction=H","UseDPDF=Y")</f>
        <v>#NAME?</v>
      </c>
      <c r="BD82" s="2" t="e">
        <f ca="1">_xll.BDH($C$78,"GEO_GROW_BOOK_VAL","FQ4 2014","FQ4 2014","Currency=INR","Period=FQ","BEST_FPERIOD_OVERRIDE=FQ","FILING_STATUS=OR","EQY_CONSOLIDATED=Y","Sort=A","Dates=H","DateFormat=P","Fill=—","Direction=H","UseDPDF=Y")</f>
        <v>#NAME?</v>
      </c>
      <c r="BE82" s="2" t="e">
        <f ca="1">_xll.BDH($C$78,"GEO_GROW_CASH_OPER_ACT","FQ4 2014","FQ4 2014","Currency=INR","Period=FQ","BEST_FPERIOD_OVERRIDE=FQ","FILING_STATUS=OR","EQY_CONSOLIDATED=Y","Sort=A","Dates=H","DateFormat=P","Fill=—","Direction=H","UseDPDF=Y")</f>
        <v>#NAME?</v>
      </c>
      <c r="BF82" s="2" t="e">
        <f ca="1">_xll.BDH($C$78,"REVENUE_SEQUENTIAL_GROWTH","FQ4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82" s="2" t="e">
        <f ca="1">_xll.BDH($C$78,"EBITDA_SEQUENTIAL_GROWTH","FQ4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82" s="2" t="e">
        <f ca="1">_xll.BDH($C$78,"OPERATING_INCOME_SEQ_GROWTH","FQ4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82" s="2" t="e">
        <f ca="1">_xll.BDH($C$78,"NET_INCOME_TO_COMMON_SEQ_GROWTH","FQ4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82" s="2" t="e">
        <f ca="1">_xll.BDH($C$78,"EPS_DILUTED_SEQUENTIAL_GROWTH","FQ4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82" s="2" t="e">
        <f ca="1">_xll.BDH($C$78,"DPS_SEQUENTIAL_GROWTH","FQ4 2014","FQ4 2014","Currency=INR","Period=FQ","BEST_FPERIOD_OVERRIDE=FQ","FILING_STATUS=OR","EQY_CONSOLIDATED=Y","Sort=A","Dates=H","DateFormat=P","Fill=—","Direction=H","UseDPDF=Y")</f>
        <v>#NAME?</v>
      </c>
      <c r="BL82" s="2" t="e">
        <f ca="1">_xll.BDH($C$78,"ACCOUNTS_RECEIVABLE_SEQ_GROWTH","FQ4 2014","FQ4 2014","Currency=INR","Period=FQ","BEST_FPERIOD_OVERRIDE=FQ","FILING_STATUS=OR","EQY_CONSOLIDATED=Y","Sort=A","Dates=H","DateFormat=P","Fill=—","Direction=H","UseDPDF=Y")</f>
        <v>#NAME?</v>
      </c>
      <c r="BM82" s="2" t="e">
        <f ca="1">_xll.BDH($C$78,"INVENTORY_SEQUENTIAL_GROWTH","FQ4 2014","FQ4 2014","Currency=INR","Period=FQ","BEST_FPERIOD_OVERRIDE=FQ","FILING_STATUS=OR","EQY_CONSOLIDATED=Y","Sort=A","Dates=H","DateFormat=P","Fill=—","Direction=H","UseDPDF=Y")</f>
        <v>#NAME?</v>
      </c>
      <c r="BN82" s="2" t="e">
        <f ca="1">_xll.BDH($C$78,"FIXED_ASSETS_SEQUENTIAL_GROWTH","FQ4 2014","FQ4 2014","Currency=INR","Period=FQ","BEST_FPERIOD_OVERRIDE=FQ","FILING_STATUS=OR","EQY_CONSOLIDATED=Y","Sort=A","Dates=H","DateFormat=P","Fill=—","Direction=H","UseDPDF=Y")</f>
        <v>#NAME?</v>
      </c>
      <c r="BO82" s="2" t="e">
        <f ca="1">_xll.BDH($C$78,"TOTAL_ASSETS_SEQUENTIAL_GROWTH","FQ4 2014","FQ4 2014","Currency=INR","Period=FQ","BEST_FPERIOD_OVERRIDE=FQ","FILING_STATUS=OR","EQY_CONSOLIDATED=Y","Sort=A","Dates=H","DateFormat=P","Fill=—","Direction=H","UseDPDF=Y")</f>
        <v>#NAME?</v>
      </c>
      <c r="BP82" s="2" t="e">
        <f ca="1">_xll.BDH($C$78,"MODIFIED_WORKING_CPTL_SEQ_GRWTH","FQ4 2014","FQ4 2014","Currency=INR","Period=FQ","BEST_FPERIOD_OVERRIDE=FQ","FILING_STATUS=OR","EQY_CONSOLIDATED=Y","Sort=A","Dates=H","DateFormat=P","Fill=—","Direction=H","UseDPDF=Y")</f>
        <v>#NAME?</v>
      </c>
      <c r="BQ82" s="2" t="e">
        <f ca="1">_xll.BDH($C$78,"WORKING_CAPITAL_SEQ_GROWTH","FQ4 2014","FQ4 2014","Currency=INR","Period=FQ","BEST_FPERIOD_OVERRIDE=FQ","FILING_STATUS=OR","EQY_CONSOLIDATED=Y","Sort=A","Dates=H","DateFormat=P","Fill=—","Direction=H","UseDPDF=Y")</f>
        <v>#NAME?</v>
      </c>
      <c r="BR82" s="2" t="e">
        <f ca="1">_xll.BDH($C$78,"ACCOUNTS_PAYABLE_SEQ_GROWTH","FQ4 2014","FQ4 2014","Currency=INR","Period=FQ","BEST_FPERIOD_OVERRIDE=FQ","FILING_STATUS=OR","EQY_CONSOLIDATED=Y","Sort=A","Dates=H","DateFormat=P","Fill=—","Direction=H","UseDPDF=Y")</f>
        <v>#NAME?</v>
      </c>
      <c r="BS82" s="2" t="e">
        <f ca="1">_xll.BDH($C$78,"ST_DEBT_SEQUENTIAL_GROWTH","FQ4 2014","FQ4 2014","Currency=INR","Period=FQ","BEST_FPERIOD_OVERRIDE=FQ","FILING_STATUS=OR","EQY_CONSOLIDATED=Y","Sort=A","Dates=H","DateFormat=P","Fill=—","Direction=H","UseDPDF=Y")</f>
        <v>#NAME?</v>
      </c>
      <c r="BT82" s="2" t="e">
        <f ca="1">_xll.BDH($C$78,"TOTAL_DEBT_SEQUENTIAL_GROWTH","FQ4 2014","FQ4 2014","Currency=INR","Period=FQ","BEST_FPERIOD_OVERRIDE=FQ","FILING_STATUS=OR","EQY_CONSOLIDATED=Y","Sort=A","Dates=H","DateFormat=P","Fill=—","Direction=H","UseDPDF=Y")</f>
        <v>#NAME?</v>
      </c>
      <c r="BU82" s="2" t="e">
        <f ca="1">_xll.BDH($C$78,"TOTAL_EQUITY_SEQUENTIAL_GROWTH","FQ4 2014","FQ4 2014","Currency=INR","Period=FQ","BEST_FPERIOD_OVERRIDE=FQ","FILING_STATUS=OR","EQY_CONSOLIDATED=Y","Sort=A","Dates=H","DateFormat=P","Fill=—","Direction=H","UseDPDF=Y")</f>
        <v>#NAME?</v>
      </c>
      <c r="BV82" s="2" t="e">
        <f ca="1">_xll.BDH($C$78,"TOTAL_CAPITAL_SEQUENTIAL_GROWTH","FQ4 2014","FQ4 2014","Currency=INR","Period=FQ","BEST_FPERIOD_OVERRIDE=FQ","FILING_STATUS=OR","EQY_CONSOLIDATED=Y","Sort=A","Dates=H","DateFormat=P","Fill=—","Direction=H","UseDPDF=Y")</f>
        <v>#NAME?</v>
      </c>
      <c r="BW82" s="2" t="e">
        <f ca="1">_xll.BDH($C$78,"BPS_SEQUENTIAL_GROWTH","FQ4 2014","FQ4 2014","Currency=INR","Period=FQ","BEST_FPERIOD_OVERRIDE=FQ","FILING_STATUS=OR","EQY_CONSOLIDATED=Y","Sort=A","Dates=H","DateFormat=P","Fill=—","Direction=H","UseDPDF=Y")</f>
        <v>#NAME?</v>
      </c>
      <c r="BX82" s="2" t="e">
        <f ca="1">_xll.BDH($C$78,"CFO_SEQUENTIAL_GROWTH","FQ4 2014","FQ4 2014","Currency=INR","Period=FQ","BEST_FPERIOD_OVERRIDE=FQ","FILING_STATUS=OR","EQY_CONSOLIDATED=Y","Sort=A","Dates=H","DateFormat=P","Fill=—","Direction=H","UseDPDF=Y")</f>
        <v>#NAME?</v>
      </c>
      <c r="BY82" s="3" t="e">
        <f ca="1">_xll.BDH($C$78,"SHORT_AND_LONG_TERM_DEBT","FQ4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82" s="3" t="e">
        <f ca="1">_xll.BDH($C$78,"BS_ST_BORROW","FQ4 2014","FQ4 2014","Currency=INR","Period=FQ","BEST_FPERIOD_OVERRIDE=FQ","FILING_STATUS=OR","EQY_CONSOLIDATED=Y","SCALING_FORMAT=MLN","Sort=A","Dates=H","DateFormat=P","Fill=—","Direction=H","UseDPDF=Y")</f>
        <v>#NAME?</v>
      </c>
      <c r="CA82" s="3" t="e">
        <f ca="1">_xll.BDH($C$78,"BS_LT_BORROW","FQ4 2014","FQ4 2014","Currency=INR","Period=FQ","BEST_FPERIOD_OVERRIDE=FQ","FILING_STATUS=OR","EQY_CONSOLIDATED=Y","SCALING_FORMAT=MLN","Sort=A","Dates=H","DateFormat=P","Fill=—","Direction=H","UseDPDF=Y")</f>
        <v>#NAME?</v>
      </c>
      <c r="CB82" s="2" t="e">
        <f ca="1">_xll.BDH($C$78,"TOT_DEBT_TO_EBITDA","FQ4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82" s="2" t="e">
        <f ca="1">_xll.BDH($C$78,"NET_DEBT_TO_EBITDA","FQ4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82" s="2" t="e">
        <f ca="1">_xll.BDH($C$78,"TOTAL_DEBT_TO_EBIT","FQ4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82" s="2" t="e">
        <f ca="1">_xll.BDH($C$78,"NET_DEBT_TO_EBIT","FQ4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82" s="2" t="e">
        <f ca="1">_xll.BDH($C$78,"EBITDA_TO_INTEREST_EXPN","FQ4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82" s="2" t="e">
        <f ca="1">_xll.BDH($C$78,"COM_EQY_TO_TOT_ASSET","FQ4 2014","FQ4 2014","Currency=INR","Period=FQ","BEST_FPERIOD_OVERRIDE=FQ","FILING_STATUS=OR","EQY_CONSOLIDATED=Y","Sort=A","Dates=H","DateFormat=P","Fill=—","Direction=H","UseDPDF=Y")</f>
        <v>#NAME?</v>
      </c>
      <c r="CH82" s="2" t="e">
        <f ca="1">_xll.BDH($C$78,"LT_DEBT_TO_TOT_EQY","FQ4 2014","FQ4 2014","Currency=INR","Period=FQ","BEST_FPERIOD_OVERRIDE=FQ","FILING_STATUS=OR","EQY_CONSOLIDATED=Y","Sort=A","Dates=H","DateFormat=P","Fill=—","Direction=H","UseDPDF=Y")</f>
        <v>#NAME?</v>
      </c>
      <c r="CI82" s="2" t="e">
        <f ca="1">_xll.BDH($C$78,"LT_DEBT_TO_TOT_CAP","FQ4 2014","FQ4 2014","Currency=INR","Period=FQ","BEST_FPERIOD_OVERRIDE=FQ","FILING_STATUS=OR","EQY_CONSOLIDATED=Y","Sort=A","Dates=H","DateFormat=P","Fill=—","Direction=H","UseDPDF=Y")</f>
        <v>#NAME?</v>
      </c>
      <c r="CJ82" s="2" t="e">
        <f ca="1">_xll.BDH($C$78,"LT_DEBT_TO_TOT_ASSET","FQ4 2014","FQ4 2014","Currency=INR","Period=FQ","BEST_FPERIOD_OVERRIDE=FQ","FILING_STATUS=OR","EQY_CONSOLIDATED=Y","Sort=A","Dates=H","DateFormat=P","Fill=—","Direction=H","UseDPDF=Y")</f>
        <v>#NAME?</v>
      </c>
      <c r="CK82" s="2" t="e">
        <f ca="1">_xll.BDH($C$78,"TOT_DEBT_TO_TOT_EQY","FQ4 2014","FQ4 2014","Currency=INR","Period=FQ","BEST_FPERIOD_OVERRIDE=FQ","FILING_STATUS=OR","EQY_CONSOLIDATED=Y","Sort=A","Dates=H","DateFormat=P","Fill=—","Direction=H","UseDPDF=Y")</f>
        <v>#NAME?</v>
      </c>
      <c r="CL82" s="2" t="e">
        <f ca="1">_xll.BDH($C$78,"TOT_DEBT_TO_TOT_CAP","FQ4 2014","FQ4 2014","Currency=INR","Period=FQ","BEST_FPERIOD_OVERRIDE=FQ","FILING_STATUS=OR","EQY_CONSOLIDATED=Y","Sort=A","Dates=H","DateFormat=P","Fill=—","Direction=H","UseDPDF=Y")</f>
        <v>#NAME?</v>
      </c>
      <c r="CM82" s="2" t="e">
        <f ca="1">_xll.BDH($C$78,"TOT_DEBT_TO_TOT_ASSET","FQ4 2014","FQ4 2014","Currency=INR","Period=FQ","BEST_FPERIOD_OVERRIDE=FQ","FILING_STATUS=OR","EQY_CONSOLIDATED=Y","Sort=A","Dates=H","DateFormat=P","Fill=—","Direction=H","UseDPDF=Y")</f>
        <v>#NAME?</v>
      </c>
      <c r="CN82" s="2" t="e">
        <f ca="1">_xll.BDH($C$78,"NET_DEBT_TO_SHRHLDR_EQTY","FQ4 2014","FQ4 2014","Currency=INR","Period=FQ","BEST_FPERIOD_OVERRIDE=FQ","FILING_STATUS=OR","EQY_CONSOLIDATED=Y","Sort=A","Dates=H","DateFormat=P","Fill=—","Direction=H","UseDPDF=Y")</f>
        <v>#NAME?</v>
      </c>
      <c r="CO82" s="2" t="e">
        <f ca="1">_xll.BDH($C$78,"NET_DEBT_%_CAPITAL","FQ4 2014","FQ4 2014","Currency=INR","Period=FQ","BEST_FPERIOD_OVERRIDE=FQ","FILING_STATUS=OR","EQY_CONSOLIDATED=Y","Sort=A","Dates=H","DateFormat=P","Fill=—","Direction=H","UseDPDF=Y")</f>
        <v>#NAME?</v>
      </c>
      <c r="CP82" s="3" t="e">
        <f ca="1">_xll.BDH($C$78,"EBITDA","FQ4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82" s="3" t="e">
        <f ca="1">_xll.BDH($C$78,"EBITDA_AFTER_CAPEX","FQ4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82" s="3" t="e">
        <f ca="1">_xll.BDH($C$78,"IS_OPER_INC","FQ4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82" s="2" t="e">
        <f ca="1">_xll.BDH($C$78,"CASH_RATIO","FQ4 2014","FQ4 2014","Currency=INR","Period=FQ","BEST_FPERIOD_OVERRIDE=FQ","FILING_STATUS=OR","EQY_CONSOLIDATED=Y","Sort=A","Dates=H","DateFormat=P","Fill=—","Direction=H","UseDPDF=Y")</f>
        <v>#NAME?</v>
      </c>
      <c r="CT82" s="2" t="e">
        <f ca="1">_xll.BDH($C$78,"CUR_RATIO","FQ4 2014","FQ4 2014","Currency=INR","Period=FQ","BEST_FPERIOD_OVERRIDE=FQ","FILING_STATUS=OR","EQY_CONSOLIDATED=Y","Sort=A","Dates=H","DateFormat=P","Fill=—","Direction=H","UseDPDF=Y")</f>
        <v>#NAME?</v>
      </c>
      <c r="CU82" s="2" t="e">
        <f ca="1">_xll.BDH($C$78,"QUICK_RATIO","FQ4 2014","FQ4 2014","Currency=INR","Period=FQ","BEST_FPERIOD_OVERRIDE=FQ","FILING_STATUS=OR","EQY_CONSOLIDATED=Y","Sort=A","Dates=H","DateFormat=P","Fill=—","Direction=H","UseDPDF=Y")</f>
        <v>#NAME?</v>
      </c>
      <c r="CV82" s="2" t="e">
        <f ca="1">_xll.BDH($C$78,"ALTMAN_Z_SCORE","FQ4 2014","FQ4 2014","Currency=INR","Period=FQ","BEST_FPERIOD_OVERRIDE=FQ","FILING_STATUS=OR","EQY_CONSOLIDATED=Y","Sort=A","Dates=H","DateFormat=P","Fill=—","Direction=H","UseDPDF=Y")</f>
        <v>#NAME?</v>
      </c>
      <c r="CW82" s="4" t="e">
        <f ca="1">_xll.BDH($C$78,"ACCT_RCV_TURN","FQ4 2014","FQ4 2014","Currency=INR","Period=FQ","BEST_FPERIOD_OVERRIDE=FQ","FILING_STATUS=OR","EQY_CONSOLIDATED=Y","FA_ADJUSTED=GAAP","Sort=A","Dates=H","DateFormat=P","Fill=—","Direction=H","UseDPDF=Y")</f>
        <v>#NAME?</v>
      </c>
      <c r="CX82" s="2" t="e">
        <f ca="1">_xll.BDH($C$78,"ACCT_RCV_DAYS","FQ4 2014","FQ4 2014","Currency=INR","Period=FQ","BEST_FPERIOD_OVERRIDE=FQ","FILING_STATUS=OR","EQY_CONSOLIDATED=Y","FA_ADJUSTED=GAAP","Sort=A","Dates=H","DateFormat=P","Fill=—","Direction=H","UseDPDF=Y")</f>
        <v>#NAME?</v>
      </c>
      <c r="CY82" s="4" t="e">
        <f ca="1">_xll.BDH($C$78,"INVENT_TURN","FQ4 2014","FQ4 2014","Currency=INR","Period=FQ","BEST_FPERIOD_OVERRIDE=FQ","FILING_STATUS=OR","EQY_CONSOLIDATED=Y","FA_ADJUSTED=GAAP","Sort=A","Dates=H","DateFormat=P","Fill=—","Direction=H","UseDPDF=Y")</f>
        <v>#NAME?</v>
      </c>
      <c r="CZ82" s="2" t="e">
        <f ca="1">_xll.BDH($C$78,"INVENT_DAYS","FQ4 2014","FQ4 2014","Currency=INR","Period=FQ","BEST_FPERIOD_OVERRIDE=FQ","FILING_STATUS=OR","EQY_CONSOLIDATED=Y","FA_ADJUSTED=GAAP","Sort=A","Dates=H","DateFormat=P","Fill=—","Direction=H","UseDPDF=Y")</f>
        <v>#NAME?</v>
      </c>
      <c r="DA82" s="4" t="e">
        <f ca="1">_xll.BDH($C$78,"ACCOUNTS_PAYABLE_TURNOVER","FQ4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82" s="2" t="e">
        <f ca="1">_xll.BDH($C$78,"ACCOUNTS_PAYABLE_TURNOVER_DAYS","FQ4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82" s="4" t="e">
        <f ca="1">_xll.BDH($C$78,"CASH_CONVERSION_CYCLE","FQ4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82" s="4" t="e">
        <f ca="1">_xll.BDH($C$78,"INV_TO_CASH_DAYS","FQ4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82" s="5" t="e">
        <f ca="1">_xll.BDH($C$78,"BS_INVENTORIES","FQ4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82" s="3" t="e">
        <f ca="1">_xll.BDH($C$78,"INVTRY_RAW_MATERIALS","FQ4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82" s="3" t="e">
        <f ca="1">_xll.BDH($C$78,"INVTRY_IN_PROGRESS","FQ4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82" s="3" t="e">
        <f ca="1">_xll.BDH($C$78,"INVTRY_FINISHED_GOODS","FQ4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82" s="3" t="e">
        <f ca="1">_xll.BDH($C$78,"BS_OTHER_INV","FQ4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83" spans="1:113" x14ac:dyDescent="0.3">
      <c r="A83" s="6"/>
      <c r="B83" s="6"/>
      <c r="C83" s="6"/>
      <c r="D83" s="6" t="s">
        <v>82</v>
      </c>
      <c r="E83" t="s">
        <v>77</v>
      </c>
      <c r="F83" t="e">
        <f ca="1">_xll.BDH($C$78,"RETURN_COM_EQY","FY 2015","FY 2015","Currency=INR","Period=FY","BEST_FPERIOD_OVERRIDE=FY","FILING_STATUS=OR","EQY_CONSOLIDATED=Y","FA_ADJUSTED=GAAP","Sort=A","Dates=H","DateFormat=P","Fill=—","Direction=H","UseDPDF=Y")</f>
        <v>#NAME?</v>
      </c>
      <c r="G83" t="e">
        <f ca="1">_xll.BDH($C$78,"RETURN_ON_ASSET","FY 2015","FY 2015","Currency=INR","Period=FY","BEST_FPERIOD_OVERRIDE=FY","FILING_STATUS=OR","EQY_CONSOLIDATED=Y","FA_ADJUSTED=GAAP","Sort=A","Dates=H","DateFormat=P","Fill=—","Direction=H","UseDPDF=Y")</f>
        <v>#NAME?</v>
      </c>
      <c r="H83" t="e">
        <f ca="1">_xll.BDH($C$78,"RETURN_ON_CAP","FY 2015","FY 2015","Currency=INR","Period=FY","BEST_FPERIOD_OVERRIDE=FY","FILING_STATUS=OR","EQY_CONSOLIDATED=Y","FA_ADJUSTED=GAAP","Sort=A","Dates=H","DateFormat=P","Fill=—","Direction=H","UseDPDF=Y")</f>
        <v>#NAME?</v>
      </c>
      <c r="I83" t="e">
        <f ca="1">_xll.BDH($C$78,"RETURN_ON_INV_CAPITAL","FY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83" t="e">
        <f ca="1">_xll.BDH($C$78,"EBITDA_TO_REVENUE","FY 2015","FY 2015","Currency=INR","Period=FY","BEST_FPERIOD_OVERRIDE=FY","FILING_STATUS=OR","EQY_CONSOLIDATED=Y","FA_ADJUSTED=GAAP","Sort=A","Dates=H","DateFormat=P","Fill=—","Direction=H","UseDPDF=Y")</f>
        <v>#NAME?</v>
      </c>
      <c r="K83" t="e">
        <f ca="1">_xll.BDH($C$78,"OPER_MARGIN","FY 2015","FY 2015","Currency=INR","Period=FY","BEST_FPERIOD_OVERRIDE=FY","FILING_STATUS=OR","EQY_CONSOLIDATED=Y","FA_ADJUSTED=GAAP","Sort=A","Dates=H","DateFormat=P","Fill=—","Direction=H","UseDPDF=Y")</f>
        <v>#NAME?</v>
      </c>
      <c r="L83" t="e">
        <f ca="1">_xll.BDH($C$78,"INCREMENTAL_OPERATING_MARGIN","FY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83" t="e">
        <f ca="1">_xll.BDH($C$78,"PRETAX_INC_TO_NET_SALES","FY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83" t="e">
        <f ca="1">_xll.BDH($C$78,"INC_BEF_XO_ITEMS_TO_NET_SALES","FY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83" t="e">
        <f ca="1">_xll.BDH($C$78,"PROF_MARGIN","FY 2015","FY 2015","Currency=INR","Period=FY","BEST_FPERIOD_OVERRIDE=FY","FILING_STATUS=OR","EQY_CONSOLIDATED=Y","FA_ADJUSTED=GAAP","Sort=A","Dates=H","DateFormat=P","Fill=—","Direction=H","UseDPDF=Y")</f>
        <v>#NAME?</v>
      </c>
      <c r="P83" t="e">
        <f ca="1">_xll.BDH($C$78,"NET_INCOME_TO_COMMON_MARGIN","FY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83" t="e">
        <f ca="1">_xll.BDH($C$78,"EFF_TAX_RATE","FY 2015","FY 2015","Currency=INR","Period=FY","BEST_FPERIOD_OVERRIDE=FY","FILING_STATUS=OR","EQY_CONSOLIDATED=Y","FA_ADJUSTED=GAAP","Sort=A","Dates=H","DateFormat=P","Fill=—","Direction=H","UseDPDF=Y")</f>
        <v>#NAME?</v>
      </c>
      <c r="R83" t="e">
        <f ca="1">_xll.BDH($C$78,"DVD_PAYOUT_RATIO","FY 2015","FY 2015","Currency=INR","Period=FY","BEST_FPERIOD_OVERRIDE=FY","FILING_STATUS=OR","EQY_CONSOLIDATED=Y","FA_ADJUSTED=GAAP","Sort=A","Dates=H","DateFormat=P","Fill=—","Direction=H","UseDPDF=Y")</f>
        <v>#NAME?</v>
      </c>
      <c r="S83" t="e">
        <f ca="1">_xll.BDH($C$78,"SUSTAIN_GROWTH_RT","FY 2015","FY 2015","Currency=INR","Period=FY","BEST_FPERIOD_OVERRIDE=FY","FILING_STATUS=OR","EQY_CONSOLIDATED=Y","FA_ADJUSTED=GAAP","Sort=A","Dates=H","DateFormat=P","Fill=—","Direction=H","UseDPDF=Y")</f>
        <v>#NAME?</v>
      </c>
      <c r="T83" s="2" t="e">
        <f ca="1">_xll.BDH($C$78,"SALES_GROWTH","FY 2015","FY 2015","Currency=INR","Period=FY","BEST_FPERIOD_OVERRIDE=FY","FILING_STATUS=OR","EQY_CONSOLIDATED=Y","FA_ADJUSTED=GAAP","Sort=A","Dates=H","DateFormat=P","Fill=—","Direction=H","UseDPDF=Y")</f>
        <v>#NAME?</v>
      </c>
      <c r="U83" s="2" t="e">
        <f ca="1">_xll.BDH($C$78,"EBITDA_GROWTH","FY 2015","FY 2015","Currency=INR","Period=FY","BEST_FPERIOD_OVERRIDE=FY","FILING_STATUS=OR","EQY_CONSOLIDATED=Y","FA_ADJUSTED=GAAP","Sort=A","Dates=H","DateFormat=P","Fill=—","Direction=H","UseDPDF=Y")</f>
        <v>#NAME?</v>
      </c>
      <c r="V83" s="2" t="e">
        <f ca="1">_xll.BDH($C$78,"OPER_INC_GROWTH","FY 2015","FY 2015","Currency=INR","Period=FY","BEST_FPERIOD_OVERRIDE=FY","FILING_STATUS=OR","EQY_CONSOLIDATED=Y","FA_ADJUSTED=GAAP","Sort=A","Dates=H","DateFormat=P","Fill=—","Direction=H","UseDPDF=Y")</f>
        <v>#NAME?</v>
      </c>
      <c r="W83" s="2" t="e">
        <f ca="1">_xll.BDH($C$78,"EARN_FOR_COM_GROWTH","FY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83" s="2" t="e">
        <f ca="1">_xll.BDH($C$78,"DILUTED_EPS_AFT_XO_ITEMS_GROWTH","FY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83" s="2" t="e">
        <f ca="1">_xll.BDH($C$78,"DIVIDEND_PER_SHARE_1_YEAR_GROWTH","FY 2015","FY 2015","Currency=INR","Period=FY","BEST_FPERIOD_OVERRIDE=FY","FILING_STATUS=OR","EQY_CONSOLIDATED=Y","Sort=A","Dates=H","DateFormat=P","Fill=—","Direction=H","UseDPDF=Y")</f>
        <v>#NAME?</v>
      </c>
      <c r="Z83" s="2" t="e">
        <f ca="1">_xll.BDH($C$78,"ACCOUNTS_RECEIVABLE_GROWTH","FY 2015","FY 2015","Currency=INR","Period=FY","BEST_FPERIOD_OVERRIDE=FY","FILING_STATUS=OR","EQY_CONSOLIDATED=Y","Sort=A","Dates=H","DateFormat=P","Fill=—","Direction=H","UseDPDF=Y")</f>
        <v>#NAME?</v>
      </c>
      <c r="AA83" s="2" t="e">
        <f ca="1">_xll.BDH($C$78,"INVENTORY_GROWTH","FY 2015","FY 2015","Currency=INR","Period=FY","BEST_FPERIOD_OVERRIDE=FY","FILING_STATUS=OR","EQY_CONSOLIDATED=Y","Sort=A","Dates=H","DateFormat=P","Fill=—","Direction=H","UseDPDF=Y")</f>
        <v>#NAME?</v>
      </c>
      <c r="AB83" s="2" t="e">
        <f ca="1">_xll.BDH($C$78,"NET_FIXED_ASSETS_1_YEAR_GROWTH","FY 2015","FY 2015","Currency=INR","Period=FY","BEST_FPERIOD_OVERRIDE=FY","FILING_STATUS=OR","EQY_CONSOLIDATED=Y","Sort=A","Dates=H","DateFormat=P","Fill=—","Direction=H","UseDPDF=Y")</f>
        <v>#NAME?</v>
      </c>
      <c r="AC83" s="2" t="e">
        <f ca="1">_xll.BDH($C$78,"ASSET_GROWTH","FY 2015","FY 2015","Currency=INR","Period=FY","BEST_FPERIOD_OVERRIDE=FY","FILING_STATUS=OR","EQY_CONSOLIDATED=Y","Sort=A","Dates=H","DateFormat=P","Fill=—","Direction=H","UseDPDF=Y")</f>
        <v>#NAME?</v>
      </c>
      <c r="AD83" s="2" t="e">
        <f ca="1">_xll.BDH($C$78,"MODIFIED_WORK_CAP_GROWTH","FY 2015","FY 2015","Currency=INR","Period=FY","BEST_FPERIOD_OVERRIDE=FY","FILING_STATUS=OR","EQY_CONSOLIDATED=Y","Sort=A","Dates=H","DateFormat=P","Fill=—","Direction=H","UseDPDF=Y")</f>
        <v>#NAME?</v>
      </c>
      <c r="AE83" s="2" t="e">
        <f ca="1">_xll.BDH($C$78,"WORK_CAP_GROWTH","FY 2015","FY 2015","Currency=INR","Period=FY","BEST_FPERIOD_OVERRIDE=FY","FILING_STATUS=OR","EQY_CONSOLIDATED=Y","Sort=A","Dates=H","DateFormat=P","Fill=—","Direction=H","UseDPDF=Y")</f>
        <v>#NAME?</v>
      </c>
      <c r="AF83" s="2" t="e">
        <f ca="1">_xll.BDH($C$78,"ACCOUNTS_PAYABLE_GROWTH_1YR","FY 2015","FY 2015","Currency=INR","Period=FY","BEST_FPERIOD_OVERRIDE=FY","FILING_STATUS=OR","EQY_CONSOLIDATED=Y","Sort=A","Dates=H","DateFormat=P","Fill=—","Direction=H","UseDPDF=Y")</f>
        <v>#NAME?</v>
      </c>
      <c r="AG83" s="2" t="e">
        <f ca="1">_xll.BDH($C$78,"SHORT_TERM_DEBT_1_YEAR_GROWTH","FY 2015","FY 2015","Currency=INR","Period=FY","BEST_FPERIOD_OVERRIDE=FY","FILING_STATUS=OR","EQY_CONSOLIDATED=Y","Sort=A","Dates=H","DateFormat=P","Fill=—","Direction=H","UseDPDF=Y")</f>
        <v>#NAME?</v>
      </c>
      <c r="AH83" s="2" t="e">
        <f ca="1">_xll.BDH($C$78,"TOTAL_DEBT_1_YEAR_GROWTH","FY 2015","FY 2015","Currency=INR","Period=FY","BEST_FPERIOD_OVERRIDE=FY","FILING_STATUS=OR","EQY_CONSOLIDATED=Y","Sort=A","Dates=H","DateFormat=P","Fill=—","Direction=H","UseDPDF=Y")</f>
        <v>#NAME?</v>
      </c>
      <c r="AI83" s="2" t="e">
        <f ca="1">_xll.BDH($C$78,"TOTAL_EQUITY_1_YEAR_GROWTH","FY 2015","FY 2015","Currency=INR","Period=FY","BEST_FPERIOD_OVERRIDE=FY","FILING_STATUS=OR","EQY_CONSOLIDATED=Y","Sort=A","Dates=H","DateFormat=P","Fill=—","Direction=H","UseDPDF=Y")</f>
        <v>#NAME?</v>
      </c>
      <c r="AJ83" s="2" t="e">
        <f ca="1">_xll.BDH($C$78,"GROWTH_IN_CAP","FY 2015","FY 2015","Currency=INR","Period=FY","BEST_FPERIOD_OVERRIDE=FY","FILING_STATUS=OR","EQY_CONSOLIDATED=Y","Sort=A","Dates=H","DateFormat=P","Fill=—","Direction=H","UseDPDF=Y")</f>
        <v>#NAME?</v>
      </c>
      <c r="AK83" s="2" t="e">
        <f ca="1">_xll.BDH($C$78,"BVPS_GROWTH","FY 2015","FY 2015","Currency=INR","Period=FY","BEST_FPERIOD_OVERRIDE=FY","FILING_STATUS=OR","EQY_CONSOLIDATED=Y","Sort=A","Dates=H","DateFormat=P","Fill=—","Direction=H","UseDPDF=Y")</f>
        <v>#NAME?</v>
      </c>
      <c r="AL83" s="2" t="e">
        <f ca="1">_xll.BDH($C$78,"CASH_FLOW_GROWTH","FY 2015","FY 2015","Currency=INR","Period=FY","BEST_FPERIOD_OVERRIDE=FY","FILING_STATUS=OR","EQY_CONSOLIDATED=Y","Sort=A","Dates=H","DateFormat=P","Fill=—","Direction=H","UseDPDF=Y")</f>
        <v>#NAME?</v>
      </c>
      <c r="AM83" s="2" t="e">
        <f ca="1">_xll.BDH($C$78,"GEO_GROW_NET_SALES","FY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83" s="2" t="e">
        <f ca="1">_xll.BDH($C$78,"GEO_GROW_EBITDA","FY 2015","FY 2015","Currency=INR","Period=FY","BEST_FPERIOD_OVERRIDE=FY","FILING_STATUS=OR","EQY_CONSOLIDATED=Y","FA_ADJUSTED=GAAP","Sort=A","Dates=H","DateFormat=P","Fill=—","Direction=H","UseDPDF=Y")</f>
        <v>#NAME?</v>
      </c>
      <c r="AO83" s="2" t="e">
        <f ca="1">_xll.BDH($C$78,"GEO_GROW_OPER_INC","FY 2015","FY 2015","Currency=INR","Period=FY","BEST_FPERIOD_OVERRIDE=FY","FILING_STATUS=OR","EQY_CONSOLIDATED=Y","FA_ADJUSTED=GAAP","Sort=A","Dates=H","DateFormat=P","Fill=—","Direction=H","UseDPDF=Y")</f>
        <v>#NAME?</v>
      </c>
      <c r="AP83" s="2" t="e">
        <f ca="1">_xll.BDH($C$78,"NET_INCOME_TO_COMMON_5_YR_GROWTH","FY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83" s="2" t="e">
        <f ca="1">_xll.BDH($C$78,"5Y_GEO_GROWTH_DILUTED_EPS","FY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83" s="2" t="e">
        <f ca="1">_xll.BDH($C$78,"GEO_GROW_DVD_PER_SH","FY 2015","FY 2015","Currency=INR","Period=FY","BEST_FPERIOD_OVERRIDE=FY","FILING_STATUS=OR","EQY_CONSOLIDATED=Y","Sort=A","Dates=H","DateFormat=P","Fill=—","Direction=H","UseDPDF=Y")</f>
        <v>#NAME?</v>
      </c>
      <c r="AS83" s="2" t="e">
        <f ca="1">_xll.BDH($C$78,"ACCOUNTS_RECEIVABLE_5_YR_GROWTH","FY 2015","FY 2015","Currency=INR","Period=FY","BEST_FPERIOD_OVERRIDE=FY","FILING_STATUS=OR","EQY_CONSOLIDATED=Y","Sort=A","Dates=H","DateFormat=P","Fill=—","Direction=H","UseDPDF=Y")</f>
        <v>#NAME?</v>
      </c>
      <c r="AT83" s="2" t="e">
        <f ca="1">_xll.BDH($C$78,"INVENTORY_5_YEAR_GROWTH","FY 2015","FY 2015","Currency=INR","Period=FY","BEST_FPERIOD_OVERRIDE=FY","FILING_STATUS=OR","EQY_CONSOLIDATED=Y","Sort=A","Dates=H","DateFormat=P","Fill=—","Direction=H","UseDPDF=Y")</f>
        <v>#NAME?</v>
      </c>
      <c r="AU83" s="2" t="e">
        <f ca="1">_xll.BDH($C$78,"NET_FIXED_ASSETS_5_YEAR_GROWTH","FY 2015","FY 2015","Currency=INR","Period=FY","BEST_FPERIOD_OVERRIDE=FY","FILING_STATUS=OR","EQY_CONSOLIDATED=Y","Sort=A","Dates=H","DateFormat=P","Fill=—","Direction=H","UseDPDF=Y")</f>
        <v>#NAME?</v>
      </c>
      <c r="AV83" s="2" t="e">
        <f ca="1">_xll.BDH($C$78,"GEO_GROW_TOT_ASSET","FY 2015","FY 2015","Currency=INR","Period=FY","BEST_FPERIOD_OVERRIDE=FY","FILING_STATUS=OR","EQY_CONSOLIDATED=Y","Sort=A","Dates=H","DateFormat=P","Fill=—","Direction=H","UseDPDF=Y")</f>
        <v>#NAME?</v>
      </c>
      <c r="AW83" s="2" t="e">
        <f ca="1">_xll.BDH($C$78,"MODIFIED_WORKING_CPTL_5YR_GRWTH","FY 2015","FY 2015","Currency=INR","Period=FY","BEST_FPERIOD_OVERRIDE=FY","FILING_STATUS=OR","EQY_CONSOLIDATED=Y","Sort=A","Dates=H","DateFormat=P","Fill=—","Direction=H","UseDPDF=Y")</f>
        <v>#NAME?</v>
      </c>
      <c r="AX83" s="2" t="e">
        <f ca="1">_xll.BDH($C$78,"WORKING_CAPITAL_5_YEAR_GROWTH","FY 2015","FY 2015","Currency=INR","Period=FY","BEST_FPERIOD_OVERRIDE=FY","FILING_STATUS=OR","EQY_CONSOLIDATED=Y","Sort=A","Dates=H","DateFormat=P","Fill=—","Direction=H","UseDPDF=Y")</f>
        <v>#NAME?</v>
      </c>
      <c r="AY83" s="2" t="e">
        <f ca="1">_xll.BDH($C$78,"ACCOUNTS_PAYABLE_5_YEAR_GROWTH","FY 2015","FY 2015","Currency=INR","Period=FY","BEST_FPERIOD_OVERRIDE=FY","FILING_STATUS=OR","EQY_CONSOLIDATED=Y","Sort=A","Dates=H","DateFormat=P","Fill=—","Direction=H","UseDPDF=Y")</f>
        <v>#NAME?</v>
      </c>
      <c r="AZ83" s="2" t="e">
        <f ca="1">_xll.BDH($C$78,"SHORT_TERM_DEBT_5_YEAR_GROWTH","FY 2015","FY 2015","Currency=INR","Period=FY","BEST_FPERIOD_OVERRIDE=FY","FILING_STATUS=OR","EQY_CONSOLIDATED=Y","Sort=A","Dates=H","DateFormat=P","Fill=—","Direction=H","UseDPDF=Y")</f>
        <v>#NAME?</v>
      </c>
      <c r="BA83" s="2" t="e">
        <f ca="1">_xll.BDH($C$78,"TOTAL_DEBT_5_YEAR_GROWTH","FY 2015","FY 2015","Currency=INR","Period=FY","BEST_FPERIOD_OVERRIDE=FY","FILING_STATUS=OR","EQY_CONSOLIDATED=Y","Sort=A","Dates=H","DateFormat=P","Fill=—","Direction=H","UseDPDF=Y")</f>
        <v>#NAME?</v>
      </c>
      <c r="BB83" s="2" t="e">
        <f ca="1">_xll.BDH($C$78,"GEO_GROW_TOT_SHRHLDR_EQY","FY 2015","FY 2015","Currency=INR","Period=FY","BEST_FPERIOD_OVERRIDE=FY","FILING_STATUS=OR","EQY_CONSOLIDATED=Y","Sort=A","Dates=H","DateFormat=P","Fill=—","Direction=H","UseDPDF=Y")</f>
        <v>#NAME?</v>
      </c>
      <c r="BC83" s="2" t="e">
        <f ca="1">_xll.BDH($C$78,"TOTAL_CAPITAL_5_YEAR_GROWTH","FY 2015","FY 2015","Currency=INR","Period=FY","BEST_FPERIOD_OVERRIDE=FY","FILING_STATUS=OR","EQY_CONSOLIDATED=Y","Sort=A","Dates=H","DateFormat=P","Fill=—","Direction=H","UseDPDF=Y")</f>
        <v>#NAME?</v>
      </c>
      <c r="BD83" s="2" t="e">
        <f ca="1">_xll.BDH($C$78,"GEO_GROW_BOOK_VAL","FY 2015","FY 2015","Currency=INR","Period=FY","BEST_FPERIOD_OVERRIDE=FY","FILING_STATUS=OR","EQY_CONSOLIDATED=Y","Sort=A","Dates=H","DateFormat=P","Fill=—","Direction=H","UseDPDF=Y")</f>
        <v>#NAME?</v>
      </c>
      <c r="BE83" s="2" t="e">
        <f ca="1">_xll.BDH($C$78,"GEO_GROW_CASH_OPER_ACT","FY 2015","FY 2015","Currency=INR","Period=FY","BEST_FPERIOD_OVERRIDE=FY","FILING_STATUS=OR","EQY_CONSOLIDATED=Y","Sort=A","Dates=H","DateFormat=P","Fill=—","Direction=H","UseDPDF=Y")</f>
        <v>#NAME?</v>
      </c>
      <c r="BF83" s="2" t="e">
        <f ca="1">_xll.BDH($C$78,"REVENUE_SEQUENTIAL_GROWTH","FY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83" s="2" t="e">
        <f ca="1">_xll.BDH($C$78,"EBITDA_SEQUENTIAL_GROWTH","FY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83" s="2" t="e">
        <f ca="1">_xll.BDH($C$78,"OPERATING_INCOME_SEQ_GROWTH","FY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83" s="2" t="e">
        <f ca="1">_xll.BDH($C$78,"NET_INCOME_TO_COMMON_SEQ_GROWTH","FY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83" s="2" t="e">
        <f ca="1">_xll.BDH($C$78,"EPS_DILUTED_SEQUENTIAL_GROWTH","FY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83" s="2" t="e">
        <f ca="1">_xll.BDH($C$78,"DPS_SEQUENTIAL_GROWTH","FY 2015","FY 2015","Currency=INR","Period=FY","BEST_FPERIOD_OVERRIDE=FY","FILING_STATUS=OR","EQY_CONSOLIDATED=Y","Sort=A","Dates=H","DateFormat=P","Fill=—","Direction=H","UseDPDF=Y")</f>
        <v>#NAME?</v>
      </c>
      <c r="BL83" s="2" t="e">
        <f ca="1">_xll.BDH($C$78,"ACCOUNTS_RECEIVABLE_SEQ_GROWTH","FY 2015","FY 2015","Currency=INR","Period=FY","BEST_FPERIOD_OVERRIDE=FY","FILING_STATUS=OR","EQY_CONSOLIDATED=Y","Sort=A","Dates=H","DateFormat=P","Fill=—","Direction=H","UseDPDF=Y")</f>
        <v>#NAME?</v>
      </c>
      <c r="BM83" s="2" t="e">
        <f ca="1">_xll.BDH($C$78,"INVENTORY_SEQUENTIAL_GROWTH","FY 2015","FY 2015","Currency=INR","Period=FY","BEST_FPERIOD_OVERRIDE=FY","FILING_STATUS=OR","EQY_CONSOLIDATED=Y","Sort=A","Dates=H","DateFormat=P","Fill=—","Direction=H","UseDPDF=Y")</f>
        <v>#NAME?</v>
      </c>
      <c r="BN83" s="2" t="e">
        <f ca="1">_xll.BDH($C$78,"FIXED_ASSETS_SEQUENTIAL_GROWTH","FY 2015","FY 2015","Currency=INR","Period=FY","BEST_FPERIOD_OVERRIDE=FY","FILING_STATUS=OR","EQY_CONSOLIDATED=Y","Sort=A","Dates=H","DateFormat=P","Fill=—","Direction=H","UseDPDF=Y")</f>
        <v>#NAME?</v>
      </c>
      <c r="BO83" s="2" t="e">
        <f ca="1">_xll.BDH($C$78,"TOTAL_ASSETS_SEQUENTIAL_GROWTH","FY 2015","FY 2015","Currency=INR","Period=FY","BEST_FPERIOD_OVERRIDE=FY","FILING_STATUS=OR","EQY_CONSOLIDATED=Y","Sort=A","Dates=H","DateFormat=P","Fill=—","Direction=H","UseDPDF=Y")</f>
        <v>#NAME?</v>
      </c>
      <c r="BP83" s="2" t="e">
        <f ca="1">_xll.BDH($C$78,"MODIFIED_WORKING_CPTL_SEQ_GRWTH","FY 2015","FY 2015","Currency=INR","Period=FY","BEST_FPERIOD_OVERRIDE=FY","FILING_STATUS=OR","EQY_CONSOLIDATED=Y","Sort=A","Dates=H","DateFormat=P","Fill=—","Direction=H","UseDPDF=Y")</f>
        <v>#NAME?</v>
      </c>
      <c r="BQ83" s="2" t="e">
        <f ca="1">_xll.BDH($C$78,"WORKING_CAPITAL_SEQ_GROWTH","FY 2015","FY 2015","Currency=INR","Period=FY","BEST_FPERIOD_OVERRIDE=FY","FILING_STATUS=OR","EQY_CONSOLIDATED=Y","Sort=A","Dates=H","DateFormat=P","Fill=—","Direction=H","UseDPDF=Y")</f>
        <v>#NAME?</v>
      </c>
      <c r="BR83" s="2" t="e">
        <f ca="1">_xll.BDH($C$78,"ACCOUNTS_PAYABLE_SEQ_GROWTH","FY 2015","FY 2015","Currency=INR","Period=FY","BEST_FPERIOD_OVERRIDE=FY","FILING_STATUS=OR","EQY_CONSOLIDATED=Y","Sort=A","Dates=H","DateFormat=P","Fill=—","Direction=H","UseDPDF=Y")</f>
        <v>#NAME?</v>
      </c>
      <c r="BS83" s="2" t="e">
        <f ca="1">_xll.BDH($C$78,"ST_DEBT_SEQUENTIAL_GROWTH","FY 2015","FY 2015","Currency=INR","Period=FY","BEST_FPERIOD_OVERRIDE=FY","FILING_STATUS=OR","EQY_CONSOLIDATED=Y","Sort=A","Dates=H","DateFormat=P","Fill=—","Direction=H","UseDPDF=Y")</f>
        <v>#NAME?</v>
      </c>
      <c r="BT83" s="2" t="e">
        <f ca="1">_xll.BDH($C$78,"TOTAL_DEBT_SEQUENTIAL_GROWTH","FY 2015","FY 2015","Currency=INR","Period=FY","BEST_FPERIOD_OVERRIDE=FY","FILING_STATUS=OR","EQY_CONSOLIDATED=Y","Sort=A","Dates=H","DateFormat=P","Fill=—","Direction=H","UseDPDF=Y")</f>
        <v>#NAME?</v>
      </c>
      <c r="BU83" s="2" t="e">
        <f ca="1">_xll.BDH($C$78,"TOTAL_EQUITY_SEQUENTIAL_GROWTH","FY 2015","FY 2015","Currency=INR","Period=FY","BEST_FPERIOD_OVERRIDE=FY","FILING_STATUS=OR","EQY_CONSOLIDATED=Y","Sort=A","Dates=H","DateFormat=P","Fill=—","Direction=H","UseDPDF=Y")</f>
        <v>#NAME?</v>
      </c>
      <c r="BV83" s="2" t="e">
        <f ca="1">_xll.BDH($C$78,"TOTAL_CAPITAL_SEQUENTIAL_GROWTH","FY 2015","FY 2015","Currency=INR","Period=FY","BEST_FPERIOD_OVERRIDE=FY","FILING_STATUS=OR","EQY_CONSOLIDATED=Y","Sort=A","Dates=H","DateFormat=P","Fill=—","Direction=H","UseDPDF=Y")</f>
        <v>#NAME?</v>
      </c>
      <c r="BW83" s="2" t="e">
        <f ca="1">_xll.BDH($C$78,"BPS_SEQUENTIAL_GROWTH","FY 2015","FY 2015","Currency=INR","Period=FY","BEST_FPERIOD_OVERRIDE=FY","FILING_STATUS=OR","EQY_CONSOLIDATED=Y","Sort=A","Dates=H","DateFormat=P","Fill=—","Direction=H","UseDPDF=Y")</f>
        <v>#NAME?</v>
      </c>
      <c r="BX83" s="2" t="e">
        <f ca="1">_xll.BDH($C$78,"CFO_SEQUENTIAL_GROWTH","FY 2015","FY 2015","Currency=INR","Period=FY","BEST_FPERIOD_OVERRIDE=FY","FILING_STATUS=OR","EQY_CONSOLIDATED=Y","Sort=A","Dates=H","DateFormat=P","Fill=—","Direction=H","UseDPDF=Y")</f>
        <v>#NAME?</v>
      </c>
      <c r="BY83" s="3" t="e">
        <f ca="1">_xll.BDH($C$78,"SHORT_AND_LONG_TERM_DEBT","FY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83" s="3" t="e">
        <f ca="1">_xll.BDH($C$78,"BS_ST_BORROW","FY 2015","FY 2015","Currency=INR","Period=FY","BEST_FPERIOD_OVERRIDE=FY","FILING_STATUS=OR","EQY_CONSOLIDATED=Y","SCALING_FORMAT=MLN","Sort=A","Dates=H","DateFormat=P","Fill=—","Direction=H","UseDPDF=Y")</f>
        <v>#NAME?</v>
      </c>
      <c r="CA83" s="3" t="e">
        <f ca="1">_xll.BDH($C$78,"BS_LT_BORROW","FY 2015","FY 2015","Currency=INR","Period=FY","BEST_FPERIOD_OVERRIDE=FY","FILING_STATUS=OR","EQY_CONSOLIDATED=Y","SCALING_FORMAT=MLN","Sort=A","Dates=H","DateFormat=P","Fill=—","Direction=H","UseDPDF=Y")</f>
        <v>#NAME?</v>
      </c>
      <c r="CB83" s="2" t="e">
        <f ca="1">_xll.BDH($C$78,"TOT_DEBT_TO_EBITDA","FY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83" s="2" t="e">
        <f ca="1">_xll.BDH($C$78,"NET_DEBT_TO_EBITDA","FY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83" s="2" t="e">
        <f ca="1">_xll.BDH($C$78,"TOTAL_DEBT_TO_EBIT","FY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83" s="2" t="e">
        <f ca="1">_xll.BDH($C$78,"NET_DEBT_TO_EBIT","FY 2015","FY 2015","Currency=INR","Period=FY","BEST_FPERIOD_OVERRIDE=FY","FILING_STATUS=OR","EQY_CONSOLIDATED=Y","FA_ADJUSTED=GAAP","Sort=A","Dates=H","DateFormat=P","Fill=—","Direction=H","UseDPDF=Y")</f>
        <v>#NAME?</v>
      </c>
      <c r="CF83" s="2" t="e">
        <f ca="1">_xll.BDH($C$78,"EBITDA_TO_INTEREST_EXPN","FY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83" s="2" t="e">
        <f ca="1">_xll.BDH($C$78,"COM_EQY_TO_TOT_ASSET","FY 2015","FY 2015","Currency=INR","Period=FY","BEST_FPERIOD_OVERRIDE=FY","FILING_STATUS=OR","EQY_CONSOLIDATED=Y","Sort=A","Dates=H","DateFormat=P","Fill=—","Direction=H","UseDPDF=Y")</f>
        <v>#NAME?</v>
      </c>
      <c r="CH83" s="2" t="e">
        <f ca="1">_xll.BDH($C$78,"LT_DEBT_TO_TOT_EQY","FY 2015","FY 2015","Currency=INR","Period=FY","BEST_FPERIOD_OVERRIDE=FY","FILING_STATUS=OR","EQY_CONSOLIDATED=Y","Sort=A","Dates=H","DateFormat=P","Fill=—","Direction=H","UseDPDF=Y")</f>
        <v>#NAME?</v>
      </c>
      <c r="CI83" s="2" t="e">
        <f ca="1">_xll.BDH($C$78,"LT_DEBT_TO_TOT_CAP","FY 2015","FY 2015","Currency=INR","Period=FY","BEST_FPERIOD_OVERRIDE=FY","FILING_STATUS=OR","EQY_CONSOLIDATED=Y","Sort=A","Dates=H","DateFormat=P","Fill=—","Direction=H","UseDPDF=Y")</f>
        <v>#NAME?</v>
      </c>
      <c r="CJ83" s="2" t="e">
        <f ca="1">_xll.BDH($C$78,"LT_DEBT_TO_TOT_ASSET","FY 2015","FY 2015","Currency=INR","Period=FY","BEST_FPERIOD_OVERRIDE=FY","FILING_STATUS=OR","EQY_CONSOLIDATED=Y","Sort=A","Dates=H","DateFormat=P","Fill=—","Direction=H","UseDPDF=Y")</f>
        <v>#NAME?</v>
      </c>
      <c r="CK83" s="2" t="e">
        <f ca="1">_xll.BDH($C$78,"TOT_DEBT_TO_TOT_EQY","FY 2015","FY 2015","Currency=INR","Period=FY","BEST_FPERIOD_OVERRIDE=FY","FILING_STATUS=OR","EQY_CONSOLIDATED=Y","Sort=A","Dates=H","DateFormat=P","Fill=—","Direction=H","UseDPDF=Y")</f>
        <v>#NAME?</v>
      </c>
      <c r="CL83" s="2" t="e">
        <f ca="1">_xll.BDH($C$78,"TOT_DEBT_TO_TOT_CAP","FY 2015","FY 2015","Currency=INR","Period=FY","BEST_FPERIOD_OVERRIDE=FY","FILING_STATUS=OR","EQY_CONSOLIDATED=Y","Sort=A","Dates=H","DateFormat=P","Fill=—","Direction=H","UseDPDF=Y")</f>
        <v>#NAME?</v>
      </c>
      <c r="CM83" s="2" t="e">
        <f ca="1">_xll.BDH($C$78,"TOT_DEBT_TO_TOT_ASSET","FY 2015","FY 2015","Currency=INR","Period=FY","BEST_FPERIOD_OVERRIDE=FY","FILING_STATUS=OR","EQY_CONSOLIDATED=Y","Sort=A","Dates=H","DateFormat=P","Fill=—","Direction=H","UseDPDF=Y")</f>
        <v>#NAME?</v>
      </c>
      <c r="CN83" s="2" t="e">
        <f ca="1">_xll.BDH($C$78,"NET_DEBT_TO_SHRHLDR_EQTY","FY 2015","FY 2015","Currency=INR","Period=FY","BEST_FPERIOD_OVERRIDE=FY","FILING_STATUS=OR","EQY_CONSOLIDATED=Y","Sort=A","Dates=H","DateFormat=P","Fill=—","Direction=H","UseDPDF=Y")</f>
        <v>#NAME?</v>
      </c>
      <c r="CO83" s="2" t="e">
        <f ca="1">_xll.BDH($C$78,"NET_DEBT_%_CAPITAL","FY 2015","FY 2015","Currency=INR","Period=FY","BEST_FPERIOD_OVERRIDE=FY","FILING_STATUS=OR","EQY_CONSOLIDATED=Y","Sort=A","Dates=H","DateFormat=P","Fill=—","Direction=H","UseDPDF=Y")</f>
        <v>#NAME?</v>
      </c>
      <c r="CP83" s="3" t="e">
        <f ca="1">_xll.BDH($C$78,"EBITDA","FY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83" s="3" t="e">
        <f ca="1">_xll.BDH($C$78,"EBITDA_AFTER_CAPEX","FY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83" s="3" t="e">
        <f ca="1">_xll.BDH($C$78,"IS_OPER_INC","FY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83" s="2" t="e">
        <f ca="1">_xll.BDH($C$78,"CASH_RATIO","FY 2015","FY 2015","Currency=INR","Period=FY","BEST_FPERIOD_OVERRIDE=FY","FILING_STATUS=OR","EQY_CONSOLIDATED=Y","Sort=A","Dates=H","DateFormat=P","Fill=—","Direction=H","UseDPDF=Y")</f>
        <v>#NAME?</v>
      </c>
      <c r="CT83" s="2" t="e">
        <f ca="1">_xll.BDH($C$78,"CUR_RATIO","FY 2015","FY 2015","Currency=INR","Period=FY","BEST_FPERIOD_OVERRIDE=FY","FILING_STATUS=OR","EQY_CONSOLIDATED=Y","Sort=A","Dates=H","DateFormat=P","Fill=—","Direction=H","UseDPDF=Y")</f>
        <v>#NAME?</v>
      </c>
      <c r="CU83" s="2" t="e">
        <f ca="1">_xll.BDH($C$78,"QUICK_RATIO","FY 2015","FY 2015","Currency=INR","Period=FY","BEST_FPERIOD_OVERRIDE=FY","FILING_STATUS=OR","EQY_CONSOLIDATED=Y","Sort=A","Dates=H","DateFormat=P","Fill=—","Direction=H","UseDPDF=Y")</f>
        <v>#NAME?</v>
      </c>
      <c r="CV83" s="2" t="e">
        <f ca="1">_xll.BDH($C$78,"ALTMAN_Z_SCORE","FY 2015","FY 2015","Currency=INR","Period=FY","BEST_FPERIOD_OVERRIDE=FY","FILING_STATUS=OR","EQY_CONSOLIDATED=Y","Sort=A","Dates=H","DateFormat=P","Fill=—","Direction=H","UseDPDF=Y")</f>
        <v>#NAME?</v>
      </c>
      <c r="CW83" s="4" t="e">
        <f ca="1">_xll.BDH($C$78,"ACCT_RCV_TURN","FY 2015","FY 2015","Currency=INR","Period=FY","BEST_FPERIOD_OVERRIDE=FY","FILING_STATUS=OR","EQY_CONSOLIDATED=Y","FA_ADJUSTED=GAAP","Sort=A","Dates=H","DateFormat=P","Fill=—","Direction=H","UseDPDF=Y")</f>
        <v>#NAME?</v>
      </c>
      <c r="CX83" s="2" t="e">
        <f ca="1">_xll.BDH($C$78,"ACCT_RCV_DAYS","FY 2015","FY 2015","Currency=INR","Period=FY","BEST_FPERIOD_OVERRIDE=FY","FILING_STATUS=OR","EQY_CONSOLIDATED=Y","FA_ADJUSTED=GAAP","Sort=A","Dates=H","DateFormat=P","Fill=—","Direction=H","UseDPDF=Y")</f>
        <v>#NAME?</v>
      </c>
      <c r="CY83" s="4" t="e">
        <f ca="1">_xll.BDH($C$78,"INVENT_TURN","FY 2015","FY 2015","Currency=INR","Period=FY","BEST_FPERIOD_OVERRIDE=FY","FILING_STATUS=OR","EQY_CONSOLIDATED=Y","FA_ADJUSTED=GAAP","Sort=A","Dates=H","DateFormat=P","Fill=—","Direction=H","UseDPDF=Y")</f>
        <v>#NAME?</v>
      </c>
      <c r="CZ83" s="2" t="e">
        <f ca="1">_xll.BDH($C$78,"INVENT_DAYS","FY 2015","FY 2015","Currency=INR","Period=FY","BEST_FPERIOD_OVERRIDE=FY","FILING_STATUS=OR","EQY_CONSOLIDATED=Y","FA_ADJUSTED=GAAP","Sort=A","Dates=H","DateFormat=P","Fill=—","Direction=H","UseDPDF=Y")</f>
        <v>#NAME?</v>
      </c>
      <c r="DA83" s="4" t="e">
        <f ca="1">_xll.BDH($C$78,"ACCOUNTS_PAYABLE_TURNOVER","FY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83" s="2" t="e">
        <f ca="1">_xll.BDH($C$78,"ACCOUNTS_PAYABLE_TURNOVER_DAYS","FY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83" s="4" t="e">
        <f ca="1">_xll.BDH($C$78,"CASH_CONVERSION_CYCLE","FY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83" s="4" t="e">
        <f ca="1">_xll.BDH($C$78,"INV_TO_CASH_DAYS","FY 2015","FY 2015","Currency=INR","Period=FY","BEST_FPERIOD_OVERRIDE=FY","FILING_STATUS=OR","EQY_CONSOLIDATED=Y","FA_ADJUSTED=GAAP","Sort=A","Dates=H","DateFormat=P","Fill=—","Direction=H","UseDPDF=Y")</f>
        <v>#NAME?</v>
      </c>
      <c r="DE83" s="5" t="e">
        <f ca="1">_xll.BDH($C$78,"BS_INVENTORIES","FY 2015","FY 2015","Currency=INR","Period=FY","BEST_FPERIOD_OVERRIDE=FY","FILING_STATUS=OR","EQY_CONSOLIDATED=Y","SCALING_FORMAT=MLN","Sort=A","Dates=H","DateFormat=P","Fill=—","Direction=H","UseDPDF=Y")</f>
        <v>#NAME?</v>
      </c>
      <c r="DF83" s="3" t="e">
        <f ca="1">_xll.BDH($C$78,"INVTRY_RAW_MATERIALS","FY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83" s="3" t="e">
        <f ca="1">_xll.BDH($C$78,"INVTRY_IN_PROGRESS","FY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83" s="3" t="e">
        <f ca="1">_xll.BDH($C$78,"INVTRY_FINISHED_GOODS","FY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83" s="3" t="e">
        <f ca="1">_xll.BDH($C$78,"BS_OTHER_INV","FY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84" spans="1:113" x14ac:dyDescent="0.3">
      <c r="A84" s="6"/>
      <c r="B84" s="6"/>
      <c r="C84" s="6"/>
      <c r="D84" s="6"/>
      <c r="E84" t="s">
        <v>78</v>
      </c>
      <c r="F84" t="e">
        <f ca="1">_xll.BDH($C$78,"RETURN_COM_EQY","FQ1 2015","FQ1 2015","Currency=INR","Period=FQ","BEST_FPERIOD_OVERRIDE=FQ","FILING_STATUS=OR","EQY_CONSOLIDATED=Y","FA_ADJUSTED=GAAP","Sort=A","Dates=H","DateFormat=P","Fill=—","Direction=H","UseDPDF=Y")</f>
        <v>#NAME?</v>
      </c>
      <c r="G84" t="e">
        <f ca="1">_xll.BDH($C$78,"RETURN_ON_ASSET","FQ1 2015","FQ1 2015","Currency=INR","Period=FQ","BEST_FPERIOD_OVERRIDE=FQ","FILING_STATUS=OR","EQY_CONSOLIDATED=Y","FA_ADJUSTED=GAAP","Sort=A","Dates=H","DateFormat=P","Fill=—","Direction=H","UseDPDF=Y")</f>
        <v>#NAME?</v>
      </c>
      <c r="H84" t="e">
        <f ca="1">_xll.BDH($C$78,"RETURN_ON_CAP","FQ1 2015","FQ1 2015","Currency=INR","Period=FQ","BEST_FPERIOD_OVERRIDE=FQ","FILING_STATUS=OR","EQY_CONSOLIDATED=Y","FA_ADJUSTED=GAAP","Sort=A","Dates=H","DateFormat=P","Fill=—","Direction=H","UseDPDF=Y")</f>
        <v>#NAME?</v>
      </c>
      <c r="I84" t="e">
        <f ca="1">_xll.BDH($C$78,"RETURN_ON_INV_CAPITAL","FQ1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84" t="e">
        <f ca="1">_xll.BDH($C$78,"EBITDA_TO_REVENUE","FQ1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84" t="e">
        <f ca="1">_xll.BDH($C$78,"OPER_MARGIN","FQ1 2015","FQ1 2015","Currency=INR","Period=FQ","BEST_FPERIOD_OVERRIDE=FQ","FILING_STATUS=OR","EQY_CONSOLIDATED=Y","FA_ADJUSTED=GAAP","Sort=A","Dates=H","DateFormat=P","Fill=—","Direction=H","UseDPDF=Y")</f>
        <v>#NAME?</v>
      </c>
      <c r="L84" t="e">
        <f ca="1">_xll.BDH($C$78,"INCREMENTAL_OPERATING_MARGIN","FQ1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84" t="e">
        <f ca="1">_xll.BDH($C$78,"PRETAX_INC_TO_NET_SALES","FQ1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84" t="e">
        <f ca="1">_xll.BDH($C$78,"INC_BEF_XO_ITEMS_TO_NET_SALES","FQ1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84" t="e">
        <f ca="1">_xll.BDH($C$78,"PROF_MARGIN","FQ1 2015","FQ1 2015","Currency=INR","Period=FQ","BEST_FPERIOD_OVERRIDE=FQ","FILING_STATUS=OR","EQY_CONSOLIDATED=Y","FA_ADJUSTED=GAAP","Sort=A","Dates=H","DateFormat=P","Fill=—","Direction=H","UseDPDF=Y")</f>
        <v>#NAME?</v>
      </c>
      <c r="P84" t="e">
        <f ca="1">_xll.BDH($C$78,"NET_INCOME_TO_COMMON_MARGIN","FQ1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84" t="e">
        <f ca="1">_xll.BDH($C$78,"EFF_TAX_RATE","FQ1 2015","FQ1 2015","Currency=INR","Period=FQ","BEST_FPERIOD_OVERRIDE=FQ","FILING_STATUS=OR","EQY_CONSOLIDATED=Y","FA_ADJUSTED=GAAP","Sort=A","Dates=H","DateFormat=P","Fill=—","Direction=H","UseDPDF=Y")</f>
        <v>#NAME?</v>
      </c>
      <c r="R84" t="e">
        <f ca="1">_xll.BDH($C$78,"DVD_PAYOUT_RATIO","FQ1 2015","FQ1 2015","Currency=INR","Period=FQ","BEST_FPERIOD_OVERRIDE=FQ","FILING_STATUS=OR","EQY_CONSOLIDATED=Y","FA_ADJUSTED=GAAP","Sort=A","Dates=H","DateFormat=P","Fill=—","Direction=H","UseDPDF=Y")</f>
        <v>#NAME?</v>
      </c>
      <c r="S84" t="e">
        <f ca="1">_xll.BDH($C$78,"SUSTAIN_GROWTH_RT","FQ1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84" s="2" t="e">
        <f ca="1">_xll.BDH($C$78,"SALES_GROWTH","FQ1 2015","FQ1 2015","Currency=INR","Period=FQ","BEST_FPERIOD_OVERRIDE=FQ","FILING_STATUS=OR","EQY_CONSOLIDATED=Y","FA_ADJUSTED=GAAP","Sort=A","Dates=H","DateFormat=P","Fill=—","Direction=H","UseDPDF=Y")</f>
        <v>#NAME?</v>
      </c>
      <c r="U84" s="2" t="e">
        <f ca="1">_xll.BDH($C$78,"EBITDA_GROWTH","FQ1 2015","FQ1 2015","Currency=INR","Period=FQ","BEST_FPERIOD_OVERRIDE=FQ","FILING_STATUS=OR","EQY_CONSOLIDATED=Y","FA_ADJUSTED=GAAP","Sort=A","Dates=H","DateFormat=P","Fill=—","Direction=H","UseDPDF=Y")</f>
        <v>#NAME?</v>
      </c>
      <c r="V84" s="2" t="e">
        <f ca="1">_xll.BDH($C$78,"OPER_INC_GROWTH","FQ1 2015","FQ1 2015","Currency=INR","Period=FQ","BEST_FPERIOD_OVERRIDE=FQ","FILING_STATUS=OR","EQY_CONSOLIDATED=Y","FA_ADJUSTED=GAAP","Sort=A","Dates=H","DateFormat=P","Fill=—","Direction=H","UseDPDF=Y")</f>
        <v>#NAME?</v>
      </c>
      <c r="W84" s="2" t="e">
        <f ca="1">_xll.BDH($C$78,"EARN_FOR_COM_GROWTH","FQ1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84" s="2" t="e">
        <f ca="1">_xll.BDH($C$78,"DILUTED_EPS_AFT_XO_ITEMS_GROWTH","FQ1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84" s="2" t="e">
        <f ca="1">_xll.BDH($C$78,"DIVIDEND_PER_SHARE_1_YEAR_GROWTH","FQ1 2015","FQ1 2015","Currency=INR","Period=FQ","BEST_FPERIOD_OVERRIDE=FQ","FILING_STATUS=OR","EQY_CONSOLIDATED=Y","Sort=A","Dates=H","DateFormat=P","Fill=—","Direction=H","UseDPDF=Y")</f>
        <v>#NAME?</v>
      </c>
      <c r="Z84" s="2" t="e">
        <f ca="1">_xll.BDH($C$78,"ACCOUNTS_RECEIVABLE_GROWTH","FQ1 2015","FQ1 2015","Currency=INR","Period=FQ","BEST_FPERIOD_OVERRIDE=FQ","FILING_STATUS=OR","EQY_CONSOLIDATED=Y","Sort=A","Dates=H","DateFormat=P","Fill=—","Direction=H","UseDPDF=Y")</f>
        <v>#NAME?</v>
      </c>
      <c r="AA84" s="2" t="e">
        <f ca="1">_xll.BDH($C$78,"INVENTORY_GROWTH","FQ1 2015","FQ1 2015","Currency=INR","Period=FQ","BEST_FPERIOD_OVERRIDE=FQ","FILING_STATUS=OR","EQY_CONSOLIDATED=Y","Sort=A","Dates=H","DateFormat=P","Fill=—","Direction=H","UseDPDF=Y")</f>
        <v>#NAME?</v>
      </c>
      <c r="AB84" s="2" t="e">
        <f ca="1">_xll.BDH($C$78,"NET_FIXED_ASSETS_1_YEAR_GROWTH","FQ1 2015","FQ1 2015","Currency=INR","Period=FQ","BEST_FPERIOD_OVERRIDE=FQ","FILING_STATUS=OR","EQY_CONSOLIDATED=Y","Sort=A","Dates=H","DateFormat=P","Fill=—","Direction=H","UseDPDF=Y")</f>
        <v>#NAME?</v>
      </c>
      <c r="AC84" s="2" t="e">
        <f ca="1">_xll.BDH($C$78,"ASSET_GROWTH","FQ1 2015","FQ1 2015","Currency=INR","Period=FQ","BEST_FPERIOD_OVERRIDE=FQ","FILING_STATUS=OR","EQY_CONSOLIDATED=Y","Sort=A","Dates=H","DateFormat=P","Fill=—","Direction=H","UseDPDF=Y")</f>
        <v>#NAME?</v>
      </c>
      <c r="AD84" s="2" t="e">
        <f ca="1">_xll.BDH($C$78,"MODIFIED_WORK_CAP_GROWTH","FQ1 2015","FQ1 2015","Currency=INR","Period=FQ","BEST_FPERIOD_OVERRIDE=FQ","FILING_STATUS=OR","EQY_CONSOLIDATED=Y","Sort=A","Dates=H","DateFormat=P","Fill=—","Direction=H","UseDPDF=Y")</f>
        <v>#NAME?</v>
      </c>
      <c r="AE84" s="2" t="e">
        <f ca="1">_xll.BDH($C$78,"WORK_CAP_GROWTH","FQ1 2015","FQ1 2015","Currency=INR","Period=FQ","BEST_FPERIOD_OVERRIDE=FQ","FILING_STATUS=OR","EQY_CONSOLIDATED=Y","Sort=A","Dates=H","DateFormat=P","Fill=—","Direction=H","UseDPDF=Y")</f>
        <v>#NAME?</v>
      </c>
      <c r="AF84" s="2" t="e">
        <f ca="1">_xll.BDH($C$78,"ACCOUNTS_PAYABLE_GROWTH_1YR","FQ1 2015","FQ1 2015","Currency=INR","Period=FQ","BEST_FPERIOD_OVERRIDE=FQ","FILING_STATUS=OR","EQY_CONSOLIDATED=Y","Sort=A","Dates=H","DateFormat=P","Fill=—","Direction=H","UseDPDF=Y")</f>
        <v>#NAME?</v>
      </c>
      <c r="AG84" s="2" t="e">
        <f ca="1">_xll.BDH($C$78,"SHORT_TERM_DEBT_1_YEAR_GROWTH","FQ1 2015","FQ1 2015","Currency=INR","Period=FQ","BEST_FPERIOD_OVERRIDE=FQ","FILING_STATUS=OR","EQY_CONSOLIDATED=Y","Sort=A","Dates=H","DateFormat=P","Fill=—","Direction=H","UseDPDF=Y")</f>
        <v>#NAME?</v>
      </c>
      <c r="AH84" s="2" t="e">
        <f ca="1">_xll.BDH($C$78,"TOTAL_DEBT_1_YEAR_GROWTH","FQ1 2015","FQ1 2015","Currency=INR","Period=FQ","BEST_FPERIOD_OVERRIDE=FQ","FILING_STATUS=OR","EQY_CONSOLIDATED=Y","Sort=A","Dates=H","DateFormat=P","Fill=—","Direction=H","UseDPDF=Y")</f>
        <v>#NAME?</v>
      </c>
      <c r="AI84" s="2" t="e">
        <f ca="1">_xll.BDH($C$78,"TOTAL_EQUITY_1_YEAR_GROWTH","FQ1 2015","FQ1 2015","Currency=INR","Period=FQ","BEST_FPERIOD_OVERRIDE=FQ","FILING_STATUS=OR","EQY_CONSOLIDATED=Y","Sort=A","Dates=H","DateFormat=P","Fill=—","Direction=H","UseDPDF=Y")</f>
        <v>#NAME?</v>
      </c>
      <c r="AJ84" s="2" t="e">
        <f ca="1">_xll.BDH($C$78,"GROWTH_IN_CAP","FQ1 2015","FQ1 2015","Currency=INR","Period=FQ","BEST_FPERIOD_OVERRIDE=FQ","FILING_STATUS=OR","EQY_CONSOLIDATED=Y","Sort=A","Dates=H","DateFormat=P","Fill=—","Direction=H","UseDPDF=Y")</f>
        <v>#NAME?</v>
      </c>
      <c r="AK84" s="2" t="e">
        <f ca="1">_xll.BDH($C$78,"BVPS_GROWTH","FQ1 2015","FQ1 2015","Currency=INR","Period=FQ","BEST_FPERIOD_OVERRIDE=FQ","FILING_STATUS=OR","EQY_CONSOLIDATED=Y","Sort=A","Dates=H","DateFormat=P","Fill=—","Direction=H","UseDPDF=Y")</f>
        <v>#NAME?</v>
      </c>
      <c r="AL84" s="2" t="e">
        <f ca="1">_xll.BDH($C$78,"CASH_FLOW_GROWTH","FQ1 2015","FQ1 2015","Currency=INR","Period=FQ","BEST_FPERIOD_OVERRIDE=FQ","FILING_STATUS=OR","EQY_CONSOLIDATED=Y","Sort=A","Dates=H","DateFormat=P","Fill=—","Direction=H","UseDPDF=Y")</f>
        <v>#NAME?</v>
      </c>
      <c r="AM84" s="2" t="e">
        <f ca="1">_xll.BDH($C$78,"GEO_GROW_NET_SALES","FQ1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84" s="2" t="e">
        <f ca="1">_xll.BDH($C$78,"GEO_GROW_EBITDA","FQ1 2015","FQ1 2015","Currency=INR","Period=FQ","BEST_FPERIOD_OVERRIDE=FQ","FILING_STATUS=OR","EQY_CONSOLIDATED=Y","FA_ADJUSTED=GAAP","Sort=A","Dates=H","DateFormat=P","Fill=—","Direction=H","UseDPDF=Y")</f>
        <v>#NAME?</v>
      </c>
      <c r="AO84" s="2" t="e">
        <f ca="1">_xll.BDH($C$78,"GEO_GROW_OPER_INC","FQ1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84" s="2" t="e">
        <f ca="1">_xll.BDH($C$78,"NET_INCOME_TO_COMMON_5_YR_GROWTH","FQ1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84" s="2" t="e">
        <f ca="1">_xll.BDH($C$78,"5Y_GEO_GROWTH_DILUTED_EPS","FQ1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84" s="2" t="e">
        <f ca="1">_xll.BDH($C$78,"GEO_GROW_DVD_PER_SH","FQ1 2015","FQ1 2015","Currency=INR","Period=FQ","BEST_FPERIOD_OVERRIDE=FQ","FILING_STATUS=OR","EQY_CONSOLIDATED=Y","Sort=A","Dates=H","DateFormat=P","Fill=—","Direction=H","UseDPDF=Y")</f>
        <v>#NAME?</v>
      </c>
      <c r="AS84" s="2" t="e">
        <f ca="1">_xll.BDH($C$78,"ACCOUNTS_RECEIVABLE_5_YR_GROWTH","FQ1 2015","FQ1 2015","Currency=INR","Period=FQ","BEST_FPERIOD_OVERRIDE=FQ","FILING_STATUS=OR","EQY_CONSOLIDATED=Y","Sort=A","Dates=H","DateFormat=P","Fill=—","Direction=H","UseDPDF=Y")</f>
        <v>#NAME?</v>
      </c>
      <c r="AT84" s="2" t="e">
        <f ca="1">_xll.BDH($C$78,"INVENTORY_5_YEAR_GROWTH","FQ1 2015","FQ1 2015","Currency=INR","Period=FQ","BEST_FPERIOD_OVERRIDE=FQ","FILING_STATUS=OR","EQY_CONSOLIDATED=Y","Sort=A","Dates=H","DateFormat=P","Fill=—","Direction=H","UseDPDF=Y")</f>
        <v>#NAME?</v>
      </c>
      <c r="AU84" s="2" t="e">
        <f ca="1">_xll.BDH($C$78,"NET_FIXED_ASSETS_5_YEAR_GROWTH","FQ1 2015","FQ1 2015","Currency=INR","Period=FQ","BEST_FPERIOD_OVERRIDE=FQ","FILING_STATUS=OR","EQY_CONSOLIDATED=Y","Sort=A","Dates=H","DateFormat=P","Fill=—","Direction=H","UseDPDF=Y")</f>
        <v>#NAME?</v>
      </c>
      <c r="AV84" s="2" t="e">
        <f ca="1">_xll.BDH($C$78,"GEO_GROW_TOT_ASSET","FQ1 2015","FQ1 2015","Currency=INR","Period=FQ","BEST_FPERIOD_OVERRIDE=FQ","FILING_STATUS=OR","EQY_CONSOLIDATED=Y","Sort=A","Dates=H","DateFormat=P","Fill=—","Direction=H","UseDPDF=Y")</f>
        <v>#NAME?</v>
      </c>
      <c r="AW84" s="2" t="e">
        <f ca="1">_xll.BDH($C$78,"MODIFIED_WORKING_CPTL_5YR_GRWTH","FQ1 2015","FQ1 2015","Currency=INR","Period=FQ","BEST_FPERIOD_OVERRIDE=FQ","FILING_STATUS=OR","EQY_CONSOLIDATED=Y","Sort=A","Dates=H","DateFormat=P","Fill=—","Direction=H","UseDPDF=Y")</f>
        <v>#NAME?</v>
      </c>
      <c r="AX84" s="2" t="e">
        <f ca="1">_xll.BDH($C$78,"WORKING_CAPITAL_5_YEAR_GROWTH","FQ1 2015","FQ1 2015","Currency=INR","Period=FQ","BEST_FPERIOD_OVERRIDE=FQ","FILING_STATUS=OR","EQY_CONSOLIDATED=Y","Sort=A","Dates=H","DateFormat=P","Fill=—","Direction=H","UseDPDF=Y")</f>
        <v>#NAME?</v>
      </c>
      <c r="AY84" s="2" t="e">
        <f ca="1">_xll.BDH($C$78,"ACCOUNTS_PAYABLE_5_YEAR_GROWTH","FQ1 2015","FQ1 2015","Currency=INR","Period=FQ","BEST_FPERIOD_OVERRIDE=FQ","FILING_STATUS=OR","EQY_CONSOLIDATED=Y","Sort=A","Dates=H","DateFormat=P","Fill=—","Direction=H","UseDPDF=Y")</f>
        <v>#NAME?</v>
      </c>
      <c r="AZ84" s="2" t="e">
        <f ca="1">_xll.BDH($C$78,"SHORT_TERM_DEBT_5_YEAR_GROWTH","FQ1 2015","FQ1 2015","Currency=INR","Period=FQ","BEST_FPERIOD_OVERRIDE=FQ","FILING_STATUS=OR","EQY_CONSOLIDATED=Y","Sort=A","Dates=H","DateFormat=P","Fill=—","Direction=H","UseDPDF=Y")</f>
        <v>#NAME?</v>
      </c>
      <c r="BA84" s="2" t="e">
        <f ca="1">_xll.BDH($C$78,"TOTAL_DEBT_5_YEAR_GROWTH","FQ1 2015","FQ1 2015","Currency=INR","Period=FQ","BEST_FPERIOD_OVERRIDE=FQ","FILING_STATUS=OR","EQY_CONSOLIDATED=Y","Sort=A","Dates=H","DateFormat=P","Fill=—","Direction=H","UseDPDF=Y")</f>
        <v>#NAME?</v>
      </c>
      <c r="BB84" s="2" t="e">
        <f ca="1">_xll.BDH($C$78,"GEO_GROW_TOT_SHRHLDR_EQY","FQ1 2015","FQ1 2015","Currency=INR","Period=FQ","BEST_FPERIOD_OVERRIDE=FQ","FILING_STATUS=OR","EQY_CONSOLIDATED=Y","Sort=A","Dates=H","DateFormat=P","Fill=—","Direction=H","UseDPDF=Y")</f>
        <v>#NAME?</v>
      </c>
      <c r="BC84" s="2" t="e">
        <f ca="1">_xll.BDH($C$78,"TOTAL_CAPITAL_5_YEAR_GROWTH","FQ1 2015","FQ1 2015","Currency=INR","Period=FQ","BEST_FPERIOD_OVERRIDE=FQ","FILING_STATUS=OR","EQY_CONSOLIDATED=Y","Sort=A","Dates=H","DateFormat=P","Fill=—","Direction=H","UseDPDF=Y")</f>
        <v>#NAME?</v>
      </c>
      <c r="BD84" s="2" t="e">
        <f ca="1">_xll.BDH($C$78,"GEO_GROW_BOOK_VAL","FQ1 2015","FQ1 2015","Currency=INR","Period=FQ","BEST_FPERIOD_OVERRIDE=FQ","FILING_STATUS=OR","EQY_CONSOLIDATED=Y","Sort=A","Dates=H","DateFormat=P","Fill=—","Direction=H","UseDPDF=Y")</f>
        <v>#NAME?</v>
      </c>
      <c r="BE84" s="2" t="e">
        <f ca="1">_xll.BDH($C$78,"GEO_GROW_CASH_OPER_ACT","FQ1 2015","FQ1 2015","Currency=INR","Period=FQ","BEST_FPERIOD_OVERRIDE=FQ","FILING_STATUS=OR","EQY_CONSOLIDATED=Y","Sort=A","Dates=H","DateFormat=P","Fill=—","Direction=H","UseDPDF=Y")</f>
        <v>#NAME?</v>
      </c>
      <c r="BF84" s="2" t="e">
        <f ca="1">_xll.BDH($C$78,"REVENUE_SEQUENTIAL_GROWTH","FQ1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84" s="2" t="e">
        <f ca="1">_xll.BDH($C$78,"EBITDA_SEQUENTIAL_GROWTH","FQ1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84" s="2" t="e">
        <f ca="1">_xll.BDH($C$78,"OPERATING_INCOME_SEQ_GROWTH","FQ1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84" s="2" t="e">
        <f ca="1">_xll.BDH($C$78,"NET_INCOME_TO_COMMON_SEQ_GROWTH","FQ1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84" s="2" t="e">
        <f ca="1">_xll.BDH($C$78,"EPS_DILUTED_SEQUENTIAL_GROWTH","FQ1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84" s="2" t="e">
        <f ca="1">_xll.BDH($C$78,"DPS_SEQUENTIAL_GROWTH","FQ1 2015","FQ1 2015","Currency=INR","Period=FQ","BEST_FPERIOD_OVERRIDE=FQ","FILING_STATUS=OR","EQY_CONSOLIDATED=Y","Sort=A","Dates=H","DateFormat=P","Fill=—","Direction=H","UseDPDF=Y")</f>
        <v>#NAME?</v>
      </c>
      <c r="BL84" s="2" t="e">
        <f ca="1">_xll.BDH($C$78,"ACCOUNTS_RECEIVABLE_SEQ_GROWTH","FQ1 2015","FQ1 2015","Currency=INR","Period=FQ","BEST_FPERIOD_OVERRIDE=FQ","FILING_STATUS=OR","EQY_CONSOLIDATED=Y","Sort=A","Dates=H","DateFormat=P","Fill=—","Direction=H","UseDPDF=Y")</f>
        <v>#NAME?</v>
      </c>
      <c r="BM84" s="2" t="e">
        <f ca="1">_xll.BDH($C$78,"INVENTORY_SEQUENTIAL_GROWTH","FQ1 2015","FQ1 2015","Currency=INR","Period=FQ","BEST_FPERIOD_OVERRIDE=FQ","FILING_STATUS=OR","EQY_CONSOLIDATED=Y","Sort=A","Dates=H","DateFormat=P","Fill=—","Direction=H","UseDPDF=Y")</f>
        <v>#NAME?</v>
      </c>
      <c r="BN84" s="2" t="e">
        <f ca="1">_xll.BDH($C$78,"FIXED_ASSETS_SEQUENTIAL_GROWTH","FQ1 2015","FQ1 2015","Currency=INR","Period=FQ","BEST_FPERIOD_OVERRIDE=FQ","FILING_STATUS=OR","EQY_CONSOLIDATED=Y","Sort=A","Dates=H","DateFormat=P","Fill=—","Direction=H","UseDPDF=Y")</f>
        <v>#NAME?</v>
      </c>
      <c r="BO84" s="2" t="e">
        <f ca="1">_xll.BDH($C$78,"TOTAL_ASSETS_SEQUENTIAL_GROWTH","FQ1 2015","FQ1 2015","Currency=INR","Period=FQ","BEST_FPERIOD_OVERRIDE=FQ","FILING_STATUS=OR","EQY_CONSOLIDATED=Y","Sort=A","Dates=H","DateFormat=P","Fill=—","Direction=H","UseDPDF=Y")</f>
        <v>#NAME?</v>
      </c>
      <c r="BP84" s="2" t="e">
        <f ca="1">_xll.BDH($C$78,"MODIFIED_WORKING_CPTL_SEQ_GRWTH","FQ1 2015","FQ1 2015","Currency=INR","Period=FQ","BEST_FPERIOD_OVERRIDE=FQ","FILING_STATUS=OR","EQY_CONSOLIDATED=Y","Sort=A","Dates=H","DateFormat=P","Fill=—","Direction=H","UseDPDF=Y")</f>
        <v>#NAME?</v>
      </c>
      <c r="BQ84" s="2" t="e">
        <f ca="1">_xll.BDH($C$78,"WORKING_CAPITAL_SEQ_GROWTH","FQ1 2015","FQ1 2015","Currency=INR","Period=FQ","BEST_FPERIOD_OVERRIDE=FQ","FILING_STATUS=OR","EQY_CONSOLIDATED=Y","Sort=A","Dates=H","DateFormat=P","Fill=—","Direction=H","UseDPDF=Y")</f>
        <v>#NAME?</v>
      </c>
      <c r="BR84" s="2" t="e">
        <f ca="1">_xll.BDH($C$78,"ACCOUNTS_PAYABLE_SEQ_GROWTH","FQ1 2015","FQ1 2015","Currency=INR","Period=FQ","BEST_FPERIOD_OVERRIDE=FQ","FILING_STATUS=OR","EQY_CONSOLIDATED=Y","Sort=A","Dates=H","DateFormat=P","Fill=—","Direction=H","UseDPDF=Y")</f>
        <v>#NAME?</v>
      </c>
      <c r="BS84" s="2" t="e">
        <f ca="1">_xll.BDH($C$78,"ST_DEBT_SEQUENTIAL_GROWTH","FQ1 2015","FQ1 2015","Currency=INR","Period=FQ","BEST_FPERIOD_OVERRIDE=FQ","FILING_STATUS=OR","EQY_CONSOLIDATED=Y","Sort=A","Dates=H","DateFormat=P","Fill=—","Direction=H","UseDPDF=Y")</f>
        <v>#NAME?</v>
      </c>
      <c r="BT84" s="2" t="e">
        <f ca="1">_xll.BDH($C$78,"TOTAL_DEBT_SEQUENTIAL_GROWTH","FQ1 2015","FQ1 2015","Currency=INR","Period=FQ","BEST_FPERIOD_OVERRIDE=FQ","FILING_STATUS=OR","EQY_CONSOLIDATED=Y","Sort=A","Dates=H","DateFormat=P","Fill=—","Direction=H","UseDPDF=Y")</f>
        <v>#NAME?</v>
      </c>
      <c r="BU84" s="2" t="e">
        <f ca="1">_xll.BDH($C$78,"TOTAL_EQUITY_SEQUENTIAL_GROWTH","FQ1 2015","FQ1 2015","Currency=INR","Period=FQ","BEST_FPERIOD_OVERRIDE=FQ","FILING_STATUS=OR","EQY_CONSOLIDATED=Y","Sort=A","Dates=H","DateFormat=P","Fill=—","Direction=H","UseDPDF=Y")</f>
        <v>#NAME?</v>
      </c>
      <c r="BV84" s="2" t="e">
        <f ca="1">_xll.BDH($C$78,"TOTAL_CAPITAL_SEQUENTIAL_GROWTH","FQ1 2015","FQ1 2015","Currency=INR","Period=FQ","BEST_FPERIOD_OVERRIDE=FQ","FILING_STATUS=OR","EQY_CONSOLIDATED=Y","Sort=A","Dates=H","DateFormat=P","Fill=—","Direction=H","UseDPDF=Y")</f>
        <v>#NAME?</v>
      </c>
      <c r="BW84" s="2" t="e">
        <f ca="1">_xll.BDH($C$78,"BPS_SEQUENTIAL_GROWTH","FQ1 2015","FQ1 2015","Currency=INR","Period=FQ","BEST_FPERIOD_OVERRIDE=FQ","FILING_STATUS=OR","EQY_CONSOLIDATED=Y","Sort=A","Dates=H","DateFormat=P","Fill=—","Direction=H","UseDPDF=Y")</f>
        <v>#NAME?</v>
      </c>
      <c r="BX84" s="2" t="e">
        <f ca="1">_xll.BDH($C$78,"CFO_SEQUENTIAL_GROWTH","FQ1 2015","FQ1 2015","Currency=INR","Period=FQ","BEST_FPERIOD_OVERRIDE=FQ","FILING_STATUS=OR","EQY_CONSOLIDATED=Y","Sort=A","Dates=H","DateFormat=P","Fill=—","Direction=H","UseDPDF=Y")</f>
        <v>#NAME?</v>
      </c>
      <c r="BY84" s="3" t="e">
        <f ca="1">_xll.BDH($C$78,"SHORT_AND_LONG_TERM_DEBT","FQ1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84" s="3" t="e">
        <f ca="1">_xll.BDH($C$78,"BS_ST_BORROW","FQ1 2015","FQ1 2015","Currency=INR","Period=FQ","BEST_FPERIOD_OVERRIDE=FQ","FILING_STATUS=OR","EQY_CONSOLIDATED=Y","SCALING_FORMAT=MLN","Sort=A","Dates=H","DateFormat=P","Fill=—","Direction=H","UseDPDF=Y")</f>
        <v>#NAME?</v>
      </c>
      <c r="CA84" s="3" t="e">
        <f ca="1">_xll.BDH($C$78,"BS_LT_BORROW","FQ1 2015","FQ1 2015","Currency=INR","Period=FQ","BEST_FPERIOD_OVERRIDE=FQ","FILING_STATUS=OR","EQY_CONSOLIDATED=Y","SCALING_FORMAT=MLN","Sort=A","Dates=H","DateFormat=P","Fill=—","Direction=H","UseDPDF=Y")</f>
        <v>#NAME?</v>
      </c>
      <c r="CB84" s="2" t="e">
        <f ca="1">_xll.BDH($C$78,"TOT_DEBT_TO_EBITDA","FQ1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84" s="2" t="e">
        <f ca="1">_xll.BDH($C$78,"NET_DEBT_TO_EBITDA","FQ1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84" s="2" t="e">
        <f ca="1">_xll.BDH($C$78,"TOTAL_DEBT_TO_EBIT","FQ1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84" s="2" t="e">
        <f ca="1">_xll.BDH($C$78,"NET_DEBT_TO_EBIT","FQ1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84" s="2" t="e">
        <f ca="1">_xll.BDH($C$78,"EBITDA_TO_INTEREST_EXPN","FQ1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84" s="2" t="e">
        <f ca="1">_xll.BDH($C$78,"COM_EQY_TO_TOT_ASSET","FQ1 2015","FQ1 2015","Currency=INR","Period=FQ","BEST_FPERIOD_OVERRIDE=FQ","FILING_STATUS=OR","EQY_CONSOLIDATED=Y","Sort=A","Dates=H","DateFormat=P","Fill=—","Direction=H","UseDPDF=Y")</f>
        <v>#NAME?</v>
      </c>
      <c r="CH84" s="2" t="e">
        <f ca="1">_xll.BDH($C$78,"LT_DEBT_TO_TOT_EQY","FQ1 2015","FQ1 2015","Currency=INR","Period=FQ","BEST_FPERIOD_OVERRIDE=FQ","FILING_STATUS=OR","EQY_CONSOLIDATED=Y","Sort=A","Dates=H","DateFormat=P","Fill=—","Direction=H","UseDPDF=Y")</f>
        <v>#NAME?</v>
      </c>
      <c r="CI84" s="2" t="e">
        <f ca="1">_xll.BDH($C$78,"LT_DEBT_TO_TOT_CAP","FQ1 2015","FQ1 2015","Currency=INR","Period=FQ","BEST_FPERIOD_OVERRIDE=FQ","FILING_STATUS=OR","EQY_CONSOLIDATED=Y","Sort=A","Dates=H","DateFormat=P","Fill=—","Direction=H","UseDPDF=Y")</f>
        <v>#NAME?</v>
      </c>
      <c r="CJ84" s="2" t="e">
        <f ca="1">_xll.BDH($C$78,"LT_DEBT_TO_TOT_ASSET","FQ1 2015","FQ1 2015","Currency=INR","Period=FQ","BEST_FPERIOD_OVERRIDE=FQ","FILING_STATUS=OR","EQY_CONSOLIDATED=Y","Sort=A","Dates=H","DateFormat=P","Fill=—","Direction=H","UseDPDF=Y")</f>
        <v>#NAME?</v>
      </c>
      <c r="CK84" s="2" t="e">
        <f ca="1">_xll.BDH($C$78,"TOT_DEBT_TO_TOT_EQY","FQ1 2015","FQ1 2015","Currency=INR","Period=FQ","BEST_FPERIOD_OVERRIDE=FQ","FILING_STATUS=OR","EQY_CONSOLIDATED=Y","Sort=A","Dates=H","DateFormat=P","Fill=—","Direction=H","UseDPDF=Y")</f>
        <v>#NAME?</v>
      </c>
      <c r="CL84" s="2" t="e">
        <f ca="1">_xll.BDH($C$78,"TOT_DEBT_TO_TOT_CAP","FQ1 2015","FQ1 2015","Currency=INR","Period=FQ","BEST_FPERIOD_OVERRIDE=FQ","FILING_STATUS=OR","EQY_CONSOLIDATED=Y","Sort=A","Dates=H","DateFormat=P","Fill=—","Direction=H","UseDPDF=Y")</f>
        <v>#NAME?</v>
      </c>
      <c r="CM84" s="2" t="e">
        <f ca="1">_xll.BDH($C$78,"TOT_DEBT_TO_TOT_ASSET","FQ1 2015","FQ1 2015","Currency=INR","Period=FQ","BEST_FPERIOD_OVERRIDE=FQ","FILING_STATUS=OR","EQY_CONSOLIDATED=Y","Sort=A","Dates=H","DateFormat=P","Fill=—","Direction=H","UseDPDF=Y")</f>
        <v>#NAME?</v>
      </c>
      <c r="CN84" s="2" t="e">
        <f ca="1">_xll.BDH($C$78,"NET_DEBT_TO_SHRHLDR_EQTY","FQ1 2015","FQ1 2015","Currency=INR","Period=FQ","BEST_FPERIOD_OVERRIDE=FQ","FILING_STATUS=OR","EQY_CONSOLIDATED=Y","Sort=A","Dates=H","DateFormat=P","Fill=—","Direction=H","UseDPDF=Y")</f>
        <v>#NAME?</v>
      </c>
      <c r="CO84" s="2" t="e">
        <f ca="1">_xll.BDH($C$78,"NET_DEBT_%_CAPITAL","FQ1 2015","FQ1 2015","Currency=INR","Period=FQ","BEST_FPERIOD_OVERRIDE=FQ","FILING_STATUS=OR","EQY_CONSOLIDATED=Y","Sort=A","Dates=H","DateFormat=P","Fill=—","Direction=H","UseDPDF=Y")</f>
        <v>#NAME?</v>
      </c>
      <c r="CP84" s="3" t="e">
        <f ca="1">_xll.BDH($C$78,"EBITDA","FQ1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84" s="3" t="e">
        <f ca="1">_xll.BDH($C$78,"EBITDA_AFTER_CAPEX","FQ1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84" s="3" t="e">
        <f ca="1">_xll.BDH($C$78,"IS_OPER_INC","FQ1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84" s="2" t="e">
        <f ca="1">_xll.BDH($C$78,"CASH_RATIO","FQ1 2015","FQ1 2015","Currency=INR","Period=FQ","BEST_FPERIOD_OVERRIDE=FQ","FILING_STATUS=OR","EQY_CONSOLIDATED=Y","Sort=A","Dates=H","DateFormat=P","Fill=—","Direction=H","UseDPDF=Y")</f>
        <v>#NAME?</v>
      </c>
      <c r="CT84" s="2" t="e">
        <f ca="1">_xll.BDH($C$78,"CUR_RATIO","FQ1 2015","FQ1 2015","Currency=INR","Period=FQ","BEST_FPERIOD_OVERRIDE=FQ","FILING_STATUS=OR","EQY_CONSOLIDATED=Y","Sort=A","Dates=H","DateFormat=P","Fill=—","Direction=H","UseDPDF=Y")</f>
        <v>#NAME?</v>
      </c>
      <c r="CU84" s="2" t="e">
        <f ca="1">_xll.BDH($C$78,"QUICK_RATIO","FQ1 2015","FQ1 2015","Currency=INR","Period=FQ","BEST_FPERIOD_OVERRIDE=FQ","FILING_STATUS=OR","EQY_CONSOLIDATED=Y","Sort=A","Dates=H","DateFormat=P","Fill=—","Direction=H","UseDPDF=Y")</f>
        <v>#NAME?</v>
      </c>
      <c r="CV84" s="2" t="e">
        <f ca="1">_xll.BDH($C$78,"ALTMAN_Z_SCORE","FQ1 2015","FQ1 2015","Currency=INR","Period=FQ","BEST_FPERIOD_OVERRIDE=FQ","FILING_STATUS=OR","EQY_CONSOLIDATED=Y","Sort=A","Dates=H","DateFormat=P","Fill=—","Direction=H","UseDPDF=Y")</f>
        <v>#NAME?</v>
      </c>
      <c r="CW84" s="4" t="e">
        <f ca="1">_xll.BDH($C$78,"ACCT_RCV_TURN","FQ1 2015","FQ1 2015","Currency=INR","Period=FQ","BEST_FPERIOD_OVERRIDE=FQ","FILING_STATUS=OR","EQY_CONSOLIDATED=Y","FA_ADJUSTED=GAAP","Sort=A","Dates=H","DateFormat=P","Fill=—","Direction=H","UseDPDF=Y")</f>
        <v>#NAME?</v>
      </c>
      <c r="CX84" s="2" t="e">
        <f ca="1">_xll.BDH($C$78,"ACCT_RCV_DAYS","FQ1 2015","FQ1 2015","Currency=INR","Period=FQ","BEST_FPERIOD_OVERRIDE=FQ","FILING_STATUS=OR","EQY_CONSOLIDATED=Y","FA_ADJUSTED=GAAP","Sort=A","Dates=H","DateFormat=P","Fill=—","Direction=H","UseDPDF=Y")</f>
        <v>#NAME?</v>
      </c>
      <c r="CY84" s="4" t="e">
        <f ca="1">_xll.BDH($C$78,"INVENT_TURN","FQ1 2015","FQ1 2015","Currency=INR","Period=FQ","BEST_FPERIOD_OVERRIDE=FQ","FILING_STATUS=OR","EQY_CONSOLIDATED=Y","FA_ADJUSTED=GAAP","Sort=A","Dates=H","DateFormat=P","Fill=—","Direction=H","UseDPDF=Y")</f>
        <v>#NAME?</v>
      </c>
      <c r="CZ84" s="2" t="e">
        <f ca="1">_xll.BDH($C$78,"INVENT_DAYS","FQ1 2015","FQ1 2015","Currency=INR","Period=FQ","BEST_FPERIOD_OVERRIDE=FQ","FILING_STATUS=OR","EQY_CONSOLIDATED=Y","FA_ADJUSTED=GAAP","Sort=A","Dates=H","DateFormat=P","Fill=—","Direction=H","UseDPDF=Y")</f>
        <v>#NAME?</v>
      </c>
      <c r="DA84" s="4" t="e">
        <f ca="1">_xll.BDH($C$78,"ACCOUNTS_PAYABLE_TURNOVER","FQ1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84" s="2" t="e">
        <f ca="1">_xll.BDH($C$78,"ACCOUNTS_PAYABLE_TURNOVER_DAYS","FQ1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84" s="4" t="e">
        <f ca="1">_xll.BDH($C$78,"CASH_CONVERSION_CYCLE","FQ1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84" s="4" t="e">
        <f ca="1">_xll.BDH($C$78,"INV_TO_CASH_DAYS","FQ1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84" s="5" t="e">
        <f ca="1">_xll.BDH($C$78,"BS_INVENTORIES","FQ1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84" s="3" t="e">
        <f ca="1">_xll.BDH($C$78,"INVTRY_RAW_MATERIALS","FQ1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84" s="3" t="e">
        <f ca="1">_xll.BDH($C$78,"INVTRY_IN_PROGRESS","FQ1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84" s="3" t="e">
        <f ca="1">_xll.BDH($C$78,"INVTRY_FINISHED_GOODS","FQ1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84" s="3" t="e">
        <f ca="1">_xll.BDH($C$78,"BS_OTHER_INV","FQ1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85" spans="1:113" x14ac:dyDescent="0.3">
      <c r="A85" s="6"/>
      <c r="B85" s="6"/>
      <c r="C85" s="6"/>
      <c r="D85" s="6"/>
      <c r="E85" t="s">
        <v>79</v>
      </c>
      <c r="F85" t="e">
        <f ca="1">_xll.BDH($C$78,"RETURN_COM_EQY","FQ2 2015","FQ2 2015","Currency=INR","Period=FQ","BEST_FPERIOD_OVERRIDE=FQ","FILING_STATUS=OR","EQY_CONSOLIDATED=Y","FA_ADJUSTED=GAAP","Sort=A","Dates=H","DateFormat=P","Fill=—","Direction=H","UseDPDF=Y")</f>
        <v>#NAME?</v>
      </c>
      <c r="G85" t="e">
        <f ca="1">_xll.BDH($C$78,"RETURN_ON_ASSET","FQ2 2015","FQ2 2015","Currency=INR","Period=FQ","BEST_FPERIOD_OVERRIDE=FQ","FILING_STATUS=OR","EQY_CONSOLIDATED=Y","FA_ADJUSTED=GAAP","Sort=A","Dates=H","DateFormat=P","Fill=—","Direction=H","UseDPDF=Y")</f>
        <v>#NAME?</v>
      </c>
      <c r="H85" t="e">
        <f ca="1">_xll.BDH($C$78,"RETURN_ON_CAP","FQ2 2015","FQ2 2015","Currency=INR","Period=FQ","BEST_FPERIOD_OVERRIDE=FQ","FILING_STATUS=OR","EQY_CONSOLIDATED=Y","FA_ADJUSTED=GAAP","Sort=A","Dates=H","DateFormat=P","Fill=—","Direction=H","UseDPDF=Y")</f>
        <v>#NAME?</v>
      </c>
      <c r="I85" t="e">
        <f ca="1">_xll.BDH($C$78,"RETURN_ON_INV_CAPITAL","FQ2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85" t="e">
        <f ca="1">_xll.BDH($C$78,"EBITDA_TO_REVENUE","FQ2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85" t="e">
        <f ca="1">_xll.BDH($C$78,"OPER_MARGIN","FQ2 2015","FQ2 2015","Currency=INR","Period=FQ","BEST_FPERIOD_OVERRIDE=FQ","FILING_STATUS=OR","EQY_CONSOLIDATED=Y","FA_ADJUSTED=GAAP","Sort=A","Dates=H","DateFormat=P","Fill=—","Direction=H","UseDPDF=Y")</f>
        <v>#NAME?</v>
      </c>
      <c r="L85" t="e">
        <f ca="1">_xll.BDH($C$78,"INCREMENTAL_OPERATING_MARGIN","FQ2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85" t="e">
        <f ca="1">_xll.BDH($C$78,"PRETAX_INC_TO_NET_SALES","FQ2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85" t="e">
        <f ca="1">_xll.BDH($C$78,"INC_BEF_XO_ITEMS_TO_NET_SALES","FQ2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85" t="e">
        <f ca="1">_xll.BDH($C$78,"PROF_MARGIN","FQ2 2015","FQ2 2015","Currency=INR","Period=FQ","BEST_FPERIOD_OVERRIDE=FQ","FILING_STATUS=OR","EQY_CONSOLIDATED=Y","FA_ADJUSTED=GAAP","Sort=A","Dates=H","DateFormat=P","Fill=—","Direction=H","UseDPDF=Y")</f>
        <v>#NAME?</v>
      </c>
      <c r="P85" t="e">
        <f ca="1">_xll.BDH($C$78,"NET_INCOME_TO_COMMON_MARGIN","FQ2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85" t="e">
        <f ca="1">_xll.BDH($C$78,"EFF_TAX_RATE","FQ2 2015","FQ2 2015","Currency=INR","Period=FQ","BEST_FPERIOD_OVERRIDE=FQ","FILING_STATUS=OR","EQY_CONSOLIDATED=Y","FA_ADJUSTED=GAAP","Sort=A","Dates=H","DateFormat=P","Fill=—","Direction=H","UseDPDF=Y")</f>
        <v>#NAME?</v>
      </c>
      <c r="R85" t="e">
        <f ca="1">_xll.BDH($C$78,"DVD_PAYOUT_RATIO","FQ2 2015","FQ2 2015","Currency=INR","Period=FQ","BEST_FPERIOD_OVERRIDE=FQ","FILING_STATUS=OR","EQY_CONSOLIDATED=Y","FA_ADJUSTED=GAAP","Sort=A","Dates=H","DateFormat=P","Fill=—","Direction=H","UseDPDF=Y")</f>
        <v>#NAME?</v>
      </c>
      <c r="S85" t="e">
        <f ca="1">_xll.BDH($C$78,"SUSTAIN_GROWTH_RT","FQ2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85" s="2" t="e">
        <f ca="1">_xll.BDH($C$78,"SALES_GROWTH","FQ2 2015","FQ2 2015","Currency=INR","Period=FQ","BEST_FPERIOD_OVERRIDE=FQ","FILING_STATUS=OR","EQY_CONSOLIDATED=Y","FA_ADJUSTED=GAAP","Sort=A","Dates=H","DateFormat=P","Fill=—","Direction=H","UseDPDF=Y")</f>
        <v>#NAME?</v>
      </c>
      <c r="U85" s="2" t="e">
        <f ca="1">_xll.BDH($C$78,"EBITDA_GROWTH","FQ2 2015","FQ2 2015","Currency=INR","Period=FQ","BEST_FPERIOD_OVERRIDE=FQ","FILING_STATUS=OR","EQY_CONSOLIDATED=Y","FA_ADJUSTED=GAAP","Sort=A","Dates=H","DateFormat=P","Fill=—","Direction=H","UseDPDF=Y")</f>
        <v>#NAME?</v>
      </c>
      <c r="V85" s="2" t="e">
        <f ca="1">_xll.BDH($C$78,"OPER_INC_GROWTH","FQ2 2015","FQ2 2015","Currency=INR","Period=FQ","BEST_FPERIOD_OVERRIDE=FQ","FILING_STATUS=OR","EQY_CONSOLIDATED=Y","FA_ADJUSTED=GAAP","Sort=A","Dates=H","DateFormat=P","Fill=—","Direction=H","UseDPDF=Y")</f>
        <v>#NAME?</v>
      </c>
      <c r="W85" s="2" t="e">
        <f ca="1">_xll.BDH($C$78,"EARN_FOR_COM_GROWTH","FQ2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85" s="2" t="e">
        <f ca="1">_xll.BDH($C$78,"DILUTED_EPS_AFT_XO_ITEMS_GROWTH","FQ2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85" s="2" t="e">
        <f ca="1">_xll.BDH($C$78,"DIVIDEND_PER_SHARE_1_YEAR_GROWTH","FQ2 2015","FQ2 2015","Currency=INR","Period=FQ","BEST_FPERIOD_OVERRIDE=FQ","FILING_STATUS=OR","EQY_CONSOLIDATED=Y","Sort=A","Dates=H","DateFormat=P","Fill=—","Direction=H","UseDPDF=Y")</f>
        <v>#NAME?</v>
      </c>
      <c r="Z85" s="2" t="e">
        <f ca="1">_xll.BDH($C$78,"ACCOUNTS_RECEIVABLE_GROWTH","FQ2 2015","FQ2 2015","Currency=INR","Period=FQ","BEST_FPERIOD_OVERRIDE=FQ","FILING_STATUS=OR","EQY_CONSOLIDATED=Y","Sort=A","Dates=H","DateFormat=P","Fill=—","Direction=H","UseDPDF=Y")</f>
        <v>#NAME?</v>
      </c>
      <c r="AA85" s="2" t="e">
        <f ca="1">_xll.BDH($C$78,"INVENTORY_GROWTH","FQ2 2015","FQ2 2015","Currency=INR","Period=FQ","BEST_FPERIOD_OVERRIDE=FQ","FILING_STATUS=OR","EQY_CONSOLIDATED=Y","Sort=A","Dates=H","DateFormat=P","Fill=—","Direction=H","UseDPDF=Y")</f>
        <v>#NAME?</v>
      </c>
      <c r="AB85" s="2" t="e">
        <f ca="1">_xll.BDH($C$78,"NET_FIXED_ASSETS_1_YEAR_GROWTH","FQ2 2015","FQ2 2015","Currency=INR","Period=FQ","BEST_FPERIOD_OVERRIDE=FQ","FILING_STATUS=OR","EQY_CONSOLIDATED=Y","Sort=A","Dates=H","DateFormat=P","Fill=—","Direction=H","UseDPDF=Y")</f>
        <v>#NAME?</v>
      </c>
      <c r="AC85" s="2" t="e">
        <f ca="1">_xll.BDH($C$78,"ASSET_GROWTH","FQ2 2015","FQ2 2015","Currency=INR","Period=FQ","BEST_FPERIOD_OVERRIDE=FQ","FILING_STATUS=OR","EQY_CONSOLIDATED=Y","Sort=A","Dates=H","DateFormat=P","Fill=—","Direction=H","UseDPDF=Y")</f>
        <v>#NAME?</v>
      </c>
      <c r="AD85" s="2" t="e">
        <f ca="1">_xll.BDH($C$78,"MODIFIED_WORK_CAP_GROWTH","FQ2 2015","FQ2 2015","Currency=INR","Period=FQ","BEST_FPERIOD_OVERRIDE=FQ","FILING_STATUS=OR","EQY_CONSOLIDATED=Y","Sort=A","Dates=H","DateFormat=P","Fill=—","Direction=H","UseDPDF=Y")</f>
        <v>#NAME?</v>
      </c>
      <c r="AE85" s="2" t="e">
        <f ca="1">_xll.BDH($C$78,"WORK_CAP_GROWTH","FQ2 2015","FQ2 2015","Currency=INR","Period=FQ","BEST_FPERIOD_OVERRIDE=FQ","FILING_STATUS=OR","EQY_CONSOLIDATED=Y","Sort=A","Dates=H","DateFormat=P","Fill=—","Direction=H","UseDPDF=Y")</f>
        <v>#NAME?</v>
      </c>
      <c r="AF85" s="2" t="e">
        <f ca="1">_xll.BDH($C$78,"ACCOUNTS_PAYABLE_GROWTH_1YR","FQ2 2015","FQ2 2015","Currency=INR","Period=FQ","BEST_FPERIOD_OVERRIDE=FQ","FILING_STATUS=OR","EQY_CONSOLIDATED=Y","Sort=A","Dates=H","DateFormat=P","Fill=—","Direction=H","UseDPDF=Y")</f>
        <v>#NAME?</v>
      </c>
      <c r="AG85" s="2" t="e">
        <f ca="1">_xll.BDH($C$78,"SHORT_TERM_DEBT_1_YEAR_GROWTH","FQ2 2015","FQ2 2015","Currency=INR","Period=FQ","BEST_FPERIOD_OVERRIDE=FQ","FILING_STATUS=OR","EQY_CONSOLIDATED=Y","Sort=A","Dates=H","DateFormat=P","Fill=—","Direction=H","UseDPDF=Y")</f>
        <v>#NAME?</v>
      </c>
      <c r="AH85" s="2" t="e">
        <f ca="1">_xll.BDH($C$78,"TOTAL_DEBT_1_YEAR_GROWTH","FQ2 2015","FQ2 2015","Currency=INR","Period=FQ","BEST_FPERIOD_OVERRIDE=FQ","FILING_STATUS=OR","EQY_CONSOLIDATED=Y","Sort=A","Dates=H","DateFormat=P","Fill=—","Direction=H","UseDPDF=Y")</f>
        <v>#NAME?</v>
      </c>
      <c r="AI85" s="2" t="e">
        <f ca="1">_xll.BDH($C$78,"TOTAL_EQUITY_1_YEAR_GROWTH","FQ2 2015","FQ2 2015","Currency=INR","Period=FQ","BEST_FPERIOD_OVERRIDE=FQ","FILING_STATUS=OR","EQY_CONSOLIDATED=Y","Sort=A","Dates=H","DateFormat=P","Fill=—","Direction=H","UseDPDF=Y")</f>
        <v>#NAME?</v>
      </c>
      <c r="AJ85" s="2" t="e">
        <f ca="1">_xll.BDH($C$78,"GROWTH_IN_CAP","FQ2 2015","FQ2 2015","Currency=INR","Period=FQ","BEST_FPERIOD_OVERRIDE=FQ","FILING_STATUS=OR","EQY_CONSOLIDATED=Y","Sort=A","Dates=H","DateFormat=P","Fill=—","Direction=H","UseDPDF=Y")</f>
        <v>#NAME?</v>
      </c>
      <c r="AK85" s="2" t="e">
        <f ca="1">_xll.BDH($C$78,"BVPS_GROWTH","FQ2 2015","FQ2 2015","Currency=INR","Period=FQ","BEST_FPERIOD_OVERRIDE=FQ","FILING_STATUS=OR","EQY_CONSOLIDATED=Y","Sort=A","Dates=H","DateFormat=P","Fill=—","Direction=H","UseDPDF=Y")</f>
        <v>#NAME?</v>
      </c>
      <c r="AL85" s="2" t="e">
        <f ca="1">_xll.BDH($C$78,"CASH_FLOW_GROWTH","FQ2 2015","FQ2 2015","Currency=INR","Period=FQ","BEST_FPERIOD_OVERRIDE=FQ","FILING_STATUS=OR","EQY_CONSOLIDATED=Y","Sort=A","Dates=H","DateFormat=P","Fill=—","Direction=H","UseDPDF=Y")</f>
        <v>#NAME?</v>
      </c>
      <c r="AM85" s="2" t="e">
        <f ca="1">_xll.BDH($C$78,"GEO_GROW_NET_SALES","FQ2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85" s="2" t="e">
        <f ca="1">_xll.BDH($C$78,"GEO_GROW_EBITDA","FQ2 2015","FQ2 2015","Currency=INR","Period=FQ","BEST_FPERIOD_OVERRIDE=FQ","FILING_STATUS=OR","EQY_CONSOLIDATED=Y","FA_ADJUSTED=GAAP","Sort=A","Dates=H","DateFormat=P","Fill=—","Direction=H","UseDPDF=Y")</f>
        <v>#NAME?</v>
      </c>
      <c r="AO85" s="2" t="e">
        <f ca="1">_xll.BDH($C$78,"GEO_GROW_OPER_INC","FQ2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85" s="2" t="e">
        <f ca="1">_xll.BDH($C$78,"NET_INCOME_TO_COMMON_5_YR_GROWTH","FQ2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85" s="2" t="e">
        <f ca="1">_xll.BDH($C$78,"5Y_GEO_GROWTH_DILUTED_EPS","FQ2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85" s="2" t="e">
        <f ca="1">_xll.BDH($C$78,"GEO_GROW_DVD_PER_SH","FQ2 2015","FQ2 2015","Currency=INR","Period=FQ","BEST_FPERIOD_OVERRIDE=FQ","FILING_STATUS=OR","EQY_CONSOLIDATED=Y","Sort=A","Dates=H","DateFormat=P","Fill=—","Direction=H","UseDPDF=Y")</f>
        <v>#NAME?</v>
      </c>
      <c r="AS85" s="2" t="e">
        <f ca="1">_xll.BDH($C$78,"ACCOUNTS_RECEIVABLE_5_YR_GROWTH","FQ2 2015","FQ2 2015","Currency=INR","Period=FQ","BEST_FPERIOD_OVERRIDE=FQ","FILING_STATUS=OR","EQY_CONSOLIDATED=Y","Sort=A","Dates=H","DateFormat=P","Fill=—","Direction=H","UseDPDF=Y")</f>
        <v>#NAME?</v>
      </c>
      <c r="AT85" s="2" t="e">
        <f ca="1">_xll.BDH($C$78,"INVENTORY_5_YEAR_GROWTH","FQ2 2015","FQ2 2015","Currency=INR","Period=FQ","BEST_FPERIOD_OVERRIDE=FQ","FILING_STATUS=OR","EQY_CONSOLIDATED=Y","Sort=A","Dates=H","DateFormat=P","Fill=—","Direction=H","UseDPDF=Y")</f>
        <v>#NAME?</v>
      </c>
      <c r="AU85" s="2" t="e">
        <f ca="1">_xll.BDH($C$78,"NET_FIXED_ASSETS_5_YEAR_GROWTH","FQ2 2015","FQ2 2015","Currency=INR","Period=FQ","BEST_FPERIOD_OVERRIDE=FQ","FILING_STATUS=OR","EQY_CONSOLIDATED=Y","Sort=A","Dates=H","DateFormat=P","Fill=—","Direction=H","UseDPDF=Y")</f>
        <v>#NAME?</v>
      </c>
      <c r="AV85" s="2" t="e">
        <f ca="1">_xll.BDH($C$78,"GEO_GROW_TOT_ASSET","FQ2 2015","FQ2 2015","Currency=INR","Period=FQ","BEST_FPERIOD_OVERRIDE=FQ","FILING_STATUS=OR","EQY_CONSOLIDATED=Y","Sort=A","Dates=H","DateFormat=P","Fill=—","Direction=H","UseDPDF=Y")</f>
        <v>#NAME?</v>
      </c>
      <c r="AW85" s="2" t="e">
        <f ca="1">_xll.BDH($C$78,"MODIFIED_WORKING_CPTL_5YR_GRWTH","FQ2 2015","FQ2 2015","Currency=INR","Period=FQ","BEST_FPERIOD_OVERRIDE=FQ","FILING_STATUS=OR","EQY_CONSOLIDATED=Y","Sort=A","Dates=H","DateFormat=P","Fill=—","Direction=H","UseDPDF=Y")</f>
        <v>#NAME?</v>
      </c>
      <c r="AX85" s="2" t="e">
        <f ca="1">_xll.BDH($C$78,"WORKING_CAPITAL_5_YEAR_GROWTH","FQ2 2015","FQ2 2015","Currency=INR","Period=FQ","BEST_FPERIOD_OVERRIDE=FQ","FILING_STATUS=OR","EQY_CONSOLIDATED=Y","Sort=A","Dates=H","DateFormat=P","Fill=—","Direction=H","UseDPDF=Y")</f>
        <v>#NAME?</v>
      </c>
      <c r="AY85" s="2" t="e">
        <f ca="1">_xll.BDH($C$78,"ACCOUNTS_PAYABLE_5_YEAR_GROWTH","FQ2 2015","FQ2 2015","Currency=INR","Period=FQ","BEST_FPERIOD_OVERRIDE=FQ","FILING_STATUS=OR","EQY_CONSOLIDATED=Y","Sort=A","Dates=H","DateFormat=P","Fill=—","Direction=H","UseDPDF=Y")</f>
        <v>#NAME?</v>
      </c>
      <c r="AZ85" s="2" t="e">
        <f ca="1">_xll.BDH($C$78,"SHORT_TERM_DEBT_5_YEAR_GROWTH","FQ2 2015","FQ2 2015","Currency=INR","Period=FQ","BEST_FPERIOD_OVERRIDE=FQ","FILING_STATUS=OR","EQY_CONSOLIDATED=Y","Sort=A","Dates=H","DateFormat=P","Fill=—","Direction=H","UseDPDF=Y")</f>
        <v>#NAME?</v>
      </c>
      <c r="BA85" s="2" t="e">
        <f ca="1">_xll.BDH($C$78,"TOTAL_DEBT_5_YEAR_GROWTH","FQ2 2015","FQ2 2015","Currency=INR","Period=FQ","BEST_FPERIOD_OVERRIDE=FQ","FILING_STATUS=OR","EQY_CONSOLIDATED=Y","Sort=A","Dates=H","DateFormat=P","Fill=—","Direction=H","UseDPDF=Y")</f>
        <v>#NAME?</v>
      </c>
      <c r="BB85" s="2" t="e">
        <f ca="1">_xll.BDH($C$78,"GEO_GROW_TOT_SHRHLDR_EQY","FQ2 2015","FQ2 2015","Currency=INR","Period=FQ","BEST_FPERIOD_OVERRIDE=FQ","FILING_STATUS=OR","EQY_CONSOLIDATED=Y","Sort=A","Dates=H","DateFormat=P","Fill=—","Direction=H","UseDPDF=Y")</f>
        <v>#NAME?</v>
      </c>
      <c r="BC85" s="2" t="e">
        <f ca="1">_xll.BDH($C$78,"TOTAL_CAPITAL_5_YEAR_GROWTH","FQ2 2015","FQ2 2015","Currency=INR","Period=FQ","BEST_FPERIOD_OVERRIDE=FQ","FILING_STATUS=OR","EQY_CONSOLIDATED=Y","Sort=A","Dates=H","DateFormat=P","Fill=—","Direction=H","UseDPDF=Y")</f>
        <v>#NAME?</v>
      </c>
      <c r="BD85" s="2" t="e">
        <f ca="1">_xll.BDH($C$78,"GEO_GROW_BOOK_VAL","FQ2 2015","FQ2 2015","Currency=INR","Period=FQ","BEST_FPERIOD_OVERRIDE=FQ","FILING_STATUS=OR","EQY_CONSOLIDATED=Y","Sort=A","Dates=H","DateFormat=P","Fill=—","Direction=H","UseDPDF=Y")</f>
        <v>#NAME?</v>
      </c>
      <c r="BE85" s="2" t="e">
        <f ca="1">_xll.BDH($C$78,"GEO_GROW_CASH_OPER_ACT","FQ2 2015","FQ2 2015","Currency=INR","Period=FQ","BEST_FPERIOD_OVERRIDE=FQ","FILING_STATUS=OR","EQY_CONSOLIDATED=Y","Sort=A","Dates=H","DateFormat=P","Fill=—","Direction=H","UseDPDF=Y")</f>
        <v>#NAME?</v>
      </c>
      <c r="BF85" s="2" t="e">
        <f ca="1">_xll.BDH($C$78,"REVENUE_SEQUENTIAL_GROWTH","FQ2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85" s="2" t="e">
        <f ca="1">_xll.BDH($C$78,"EBITDA_SEQUENTIAL_GROWTH","FQ2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85" s="2" t="e">
        <f ca="1">_xll.BDH($C$78,"OPERATING_INCOME_SEQ_GROWTH","FQ2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85" s="2" t="e">
        <f ca="1">_xll.BDH($C$78,"NET_INCOME_TO_COMMON_SEQ_GROWTH","FQ2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85" s="2" t="e">
        <f ca="1">_xll.BDH($C$78,"EPS_DILUTED_SEQUENTIAL_GROWTH","FQ2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85" s="2" t="e">
        <f ca="1">_xll.BDH($C$78,"DPS_SEQUENTIAL_GROWTH","FQ2 2015","FQ2 2015","Currency=INR","Period=FQ","BEST_FPERIOD_OVERRIDE=FQ","FILING_STATUS=OR","EQY_CONSOLIDATED=Y","Sort=A","Dates=H","DateFormat=P","Fill=—","Direction=H","UseDPDF=Y")</f>
        <v>#NAME?</v>
      </c>
      <c r="BL85" s="2" t="e">
        <f ca="1">_xll.BDH($C$78,"ACCOUNTS_RECEIVABLE_SEQ_GROWTH","FQ2 2015","FQ2 2015","Currency=INR","Period=FQ","BEST_FPERIOD_OVERRIDE=FQ","FILING_STATUS=OR","EQY_CONSOLIDATED=Y","Sort=A","Dates=H","DateFormat=P","Fill=—","Direction=H","UseDPDF=Y")</f>
        <v>#NAME?</v>
      </c>
      <c r="BM85" s="2" t="e">
        <f ca="1">_xll.BDH($C$78,"INVENTORY_SEQUENTIAL_GROWTH","FQ2 2015","FQ2 2015","Currency=INR","Period=FQ","BEST_FPERIOD_OVERRIDE=FQ","FILING_STATUS=OR","EQY_CONSOLIDATED=Y","Sort=A","Dates=H","DateFormat=P","Fill=—","Direction=H","UseDPDF=Y")</f>
        <v>#NAME?</v>
      </c>
      <c r="BN85" s="2" t="e">
        <f ca="1">_xll.BDH($C$78,"FIXED_ASSETS_SEQUENTIAL_GROWTH","FQ2 2015","FQ2 2015","Currency=INR","Period=FQ","BEST_FPERIOD_OVERRIDE=FQ","FILING_STATUS=OR","EQY_CONSOLIDATED=Y","Sort=A","Dates=H","DateFormat=P","Fill=—","Direction=H","UseDPDF=Y")</f>
        <v>#NAME?</v>
      </c>
      <c r="BO85" s="2" t="e">
        <f ca="1">_xll.BDH($C$78,"TOTAL_ASSETS_SEQUENTIAL_GROWTH","FQ2 2015","FQ2 2015","Currency=INR","Period=FQ","BEST_FPERIOD_OVERRIDE=FQ","FILING_STATUS=OR","EQY_CONSOLIDATED=Y","Sort=A","Dates=H","DateFormat=P","Fill=—","Direction=H","UseDPDF=Y")</f>
        <v>#NAME?</v>
      </c>
      <c r="BP85" s="2" t="e">
        <f ca="1">_xll.BDH($C$78,"MODIFIED_WORKING_CPTL_SEQ_GRWTH","FQ2 2015","FQ2 2015","Currency=INR","Period=FQ","BEST_FPERIOD_OVERRIDE=FQ","FILING_STATUS=OR","EQY_CONSOLIDATED=Y","Sort=A","Dates=H","DateFormat=P","Fill=—","Direction=H","UseDPDF=Y")</f>
        <v>#NAME?</v>
      </c>
      <c r="BQ85" s="2" t="e">
        <f ca="1">_xll.BDH($C$78,"WORKING_CAPITAL_SEQ_GROWTH","FQ2 2015","FQ2 2015","Currency=INR","Period=FQ","BEST_FPERIOD_OVERRIDE=FQ","FILING_STATUS=OR","EQY_CONSOLIDATED=Y","Sort=A","Dates=H","DateFormat=P","Fill=—","Direction=H","UseDPDF=Y")</f>
        <v>#NAME?</v>
      </c>
      <c r="BR85" s="2" t="e">
        <f ca="1">_xll.BDH($C$78,"ACCOUNTS_PAYABLE_SEQ_GROWTH","FQ2 2015","FQ2 2015","Currency=INR","Period=FQ","BEST_FPERIOD_OVERRIDE=FQ","FILING_STATUS=OR","EQY_CONSOLIDATED=Y","Sort=A","Dates=H","DateFormat=P","Fill=—","Direction=H","UseDPDF=Y")</f>
        <v>#NAME?</v>
      </c>
      <c r="BS85" s="2" t="e">
        <f ca="1">_xll.BDH($C$78,"ST_DEBT_SEQUENTIAL_GROWTH","FQ2 2015","FQ2 2015","Currency=INR","Period=FQ","BEST_FPERIOD_OVERRIDE=FQ","FILING_STATUS=OR","EQY_CONSOLIDATED=Y","Sort=A","Dates=H","DateFormat=P","Fill=—","Direction=H","UseDPDF=Y")</f>
        <v>#NAME?</v>
      </c>
      <c r="BT85" s="2" t="e">
        <f ca="1">_xll.BDH($C$78,"TOTAL_DEBT_SEQUENTIAL_GROWTH","FQ2 2015","FQ2 2015","Currency=INR","Period=FQ","BEST_FPERIOD_OVERRIDE=FQ","FILING_STATUS=OR","EQY_CONSOLIDATED=Y","Sort=A","Dates=H","DateFormat=P","Fill=—","Direction=H","UseDPDF=Y")</f>
        <v>#NAME?</v>
      </c>
      <c r="BU85" s="2" t="e">
        <f ca="1">_xll.BDH($C$78,"TOTAL_EQUITY_SEQUENTIAL_GROWTH","FQ2 2015","FQ2 2015","Currency=INR","Period=FQ","BEST_FPERIOD_OVERRIDE=FQ","FILING_STATUS=OR","EQY_CONSOLIDATED=Y","Sort=A","Dates=H","DateFormat=P","Fill=—","Direction=H","UseDPDF=Y")</f>
        <v>#NAME?</v>
      </c>
      <c r="BV85" s="2" t="e">
        <f ca="1">_xll.BDH($C$78,"TOTAL_CAPITAL_SEQUENTIAL_GROWTH","FQ2 2015","FQ2 2015","Currency=INR","Period=FQ","BEST_FPERIOD_OVERRIDE=FQ","FILING_STATUS=OR","EQY_CONSOLIDATED=Y","Sort=A","Dates=H","DateFormat=P","Fill=—","Direction=H","UseDPDF=Y")</f>
        <v>#NAME?</v>
      </c>
      <c r="BW85" s="2" t="e">
        <f ca="1">_xll.BDH($C$78,"BPS_SEQUENTIAL_GROWTH","FQ2 2015","FQ2 2015","Currency=INR","Period=FQ","BEST_FPERIOD_OVERRIDE=FQ","FILING_STATUS=OR","EQY_CONSOLIDATED=Y","Sort=A","Dates=H","DateFormat=P","Fill=—","Direction=H","UseDPDF=Y")</f>
        <v>#NAME?</v>
      </c>
      <c r="BX85" s="2" t="e">
        <f ca="1">_xll.BDH($C$78,"CFO_SEQUENTIAL_GROWTH","FQ2 2015","FQ2 2015","Currency=INR","Period=FQ","BEST_FPERIOD_OVERRIDE=FQ","FILING_STATUS=OR","EQY_CONSOLIDATED=Y","Sort=A","Dates=H","DateFormat=P","Fill=—","Direction=H","UseDPDF=Y")</f>
        <v>#NAME?</v>
      </c>
      <c r="BY85" s="3" t="e">
        <f ca="1">_xll.BDH($C$78,"SHORT_AND_LONG_TERM_DEBT","FQ2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85" s="3" t="e">
        <f ca="1">_xll.BDH($C$78,"BS_ST_BORROW","FQ2 2015","FQ2 2015","Currency=INR","Period=FQ","BEST_FPERIOD_OVERRIDE=FQ","FILING_STATUS=OR","EQY_CONSOLIDATED=Y","SCALING_FORMAT=MLN","Sort=A","Dates=H","DateFormat=P","Fill=—","Direction=H","UseDPDF=Y")</f>
        <v>#NAME?</v>
      </c>
      <c r="CA85" s="3" t="e">
        <f ca="1">_xll.BDH($C$78,"BS_LT_BORROW","FQ2 2015","FQ2 2015","Currency=INR","Period=FQ","BEST_FPERIOD_OVERRIDE=FQ","FILING_STATUS=OR","EQY_CONSOLIDATED=Y","SCALING_FORMAT=MLN","Sort=A","Dates=H","DateFormat=P","Fill=—","Direction=H","UseDPDF=Y")</f>
        <v>#NAME?</v>
      </c>
      <c r="CB85" s="2" t="e">
        <f ca="1">_xll.BDH($C$78,"TOT_DEBT_TO_EBITDA","FQ2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85" s="2" t="e">
        <f ca="1">_xll.BDH($C$78,"NET_DEBT_TO_EBITDA","FQ2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85" s="2" t="e">
        <f ca="1">_xll.BDH($C$78,"TOTAL_DEBT_TO_EBIT","FQ2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85" s="2" t="e">
        <f ca="1">_xll.BDH($C$78,"NET_DEBT_TO_EBIT","FQ2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85" s="2" t="e">
        <f ca="1">_xll.BDH($C$78,"EBITDA_TO_INTEREST_EXPN","FQ2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85" s="2" t="e">
        <f ca="1">_xll.BDH($C$78,"COM_EQY_TO_TOT_ASSET","FQ2 2015","FQ2 2015","Currency=INR","Period=FQ","BEST_FPERIOD_OVERRIDE=FQ","FILING_STATUS=OR","EQY_CONSOLIDATED=Y","Sort=A","Dates=H","DateFormat=P","Fill=—","Direction=H","UseDPDF=Y")</f>
        <v>#NAME?</v>
      </c>
      <c r="CH85" s="2" t="e">
        <f ca="1">_xll.BDH($C$78,"LT_DEBT_TO_TOT_EQY","FQ2 2015","FQ2 2015","Currency=INR","Period=FQ","BEST_FPERIOD_OVERRIDE=FQ","FILING_STATUS=OR","EQY_CONSOLIDATED=Y","Sort=A","Dates=H","DateFormat=P","Fill=—","Direction=H","UseDPDF=Y")</f>
        <v>#NAME?</v>
      </c>
      <c r="CI85" s="2" t="e">
        <f ca="1">_xll.BDH($C$78,"LT_DEBT_TO_TOT_CAP","FQ2 2015","FQ2 2015","Currency=INR","Period=FQ","BEST_FPERIOD_OVERRIDE=FQ","FILING_STATUS=OR","EQY_CONSOLIDATED=Y","Sort=A","Dates=H","DateFormat=P","Fill=—","Direction=H","UseDPDF=Y")</f>
        <v>#NAME?</v>
      </c>
      <c r="CJ85" s="2" t="e">
        <f ca="1">_xll.BDH($C$78,"LT_DEBT_TO_TOT_ASSET","FQ2 2015","FQ2 2015","Currency=INR","Period=FQ","BEST_FPERIOD_OVERRIDE=FQ","FILING_STATUS=OR","EQY_CONSOLIDATED=Y","Sort=A","Dates=H","DateFormat=P","Fill=—","Direction=H","UseDPDF=Y")</f>
        <v>#NAME?</v>
      </c>
      <c r="CK85" s="2" t="e">
        <f ca="1">_xll.BDH($C$78,"TOT_DEBT_TO_TOT_EQY","FQ2 2015","FQ2 2015","Currency=INR","Period=FQ","BEST_FPERIOD_OVERRIDE=FQ","FILING_STATUS=OR","EQY_CONSOLIDATED=Y","Sort=A","Dates=H","DateFormat=P","Fill=—","Direction=H","UseDPDF=Y")</f>
        <v>#NAME?</v>
      </c>
      <c r="CL85" s="2" t="e">
        <f ca="1">_xll.BDH($C$78,"TOT_DEBT_TO_TOT_CAP","FQ2 2015","FQ2 2015","Currency=INR","Period=FQ","BEST_FPERIOD_OVERRIDE=FQ","FILING_STATUS=OR","EQY_CONSOLIDATED=Y","Sort=A","Dates=H","DateFormat=P","Fill=—","Direction=H","UseDPDF=Y")</f>
        <v>#NAME?</v>
      </c>
      <c r="CM85" s="2" t="e">
        <f ca="1">_xll.BDH($C$78,"TOT_DEBT_TO_TOT_ASSET","FQ2 2015","FQ2 2015","Currency=INR","Period=FQ","BEST_FPERIOD_OVERRIDE=FQ","FILING_STATUS=OR","EQY_CONSOLIDATED=Y","Sort=A","Dates=H","DateFormat=P","Fill=—","Direction=H","UseDPDF=Y")</f>
        <v>#NAME?</v>
      </c>
      <c r="CN85" s="2" t="e">
        <f ca="1">_xll.BDH($C$78,"NET_DEBT_TO_SHRHLDR_EQTY","FQ2 2015","FQ2 2015","Currency=INR","Period=FQ","BEST_FPERIOD_OVERRIDE=FQ","FILING_STATUS=OR","EQY_CONSOLIDATED=Y","Sort=A","Dates=H","DateFormat=P","Fill=—","Direction=H","UseDPDF=Y")</f>
        <v>#NAME?</v>
      </c>
      <c r="CO85" s="2" t="e">
        <f ca="1">_xll.BDH($C$78,"NET_DEBT_%_CAPITAL","FQ2 2015","FQ2 2015","Currency=INR","Period=FQ","BEST_FPERIOD_OVERRIDE=FQ","FILING_STATUS=OR","EQY_CONSOLIDATED=Y","Sort=A","Dates=H","DateFormat=P","Fill=—","Direction=H","UseDPDF=Y")</f>
        <v>#NAME?</v>
      </c>
      <c r="CP85" s="3" t="e">
        <f ca="1">_xll.BDH($C$78,"EBITDA","FQ2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85" s="3" t="e">
        <f ca="1">_xll.BDH($C$78,"EBITDA_AFTER_CAPEX","FQ2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85" s="3" t="e">
        <f ca="1">_xll.BDH($C$78,"IS_OPER_INC","FQ2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85" s="2" t="e">
        <f ca="1">_xll.BDH($C$78,"CASH_RATIO","FQ2 2015","FQ2 2015","Currency=INR","Period=FQ","BEST_FPERIOD_OVERRIDE=FQ","FILING_STATUS=OR","EQY_CONSOLIDATED=Y","Sort=A","Dates=H","DateFormat=P","Fill=—","Direction=H","UseDPDF=Y")</f>
        <v>#NAME?</v>
      </c>
      <c r="CT85" s="2" t="e">
        <f ca="1">_xll.BDH($C$78,"CUR_RATIO","FQ2 2015","FQ2 2015","Currency=INR","Period=FQ","BEST_FPERIOD_OVERRIDE=FQ","FILING_STATUS=OR","EQY_CONSOLIDATED=Y","Sort=A","Dates=H","DateFormat=P","Fill=—","Direction=H","UseDPDF=Y")</f>
        <v>#NAME?</v>
      </c>
      <c r="CU85" s="2" t="e">
        <f ca="1">_xll.BDH($C$78,"QUICK_RATIO","FQ2 2015","FQ2 2015","Currency=INR","Period=FQ","BEST_FPERIOD_OVERRIDE=FQ","FILING_STATUS=OR","EQY_CONSOLIDATED=Y","Sort=A","Dates=H","DateFormat=P","Fill=—","Direction=H","UseDPDF=Y")</f>
        <v>#NAME?</v>
      </c>
      <c r="CV85" s="2" t="e">
        <f ca="1">_xll.BDH($C$78,"ALTMAN_Z_SCORE","FQ2 2015","FQ2 2015","Currency=INR","Period=FQ","BEST_FPERIOD_OVERRIDE=FQ","FILING_STATUS=OR","EQY_CONSOLIDATED=Y","Sort=A","Dates=H","DateFormat=P","Fill=—","Direction=H","UseDPDF=Y")</f>
        <v>#NAME?</v>
      </c>
      <c r="CW85" s="4" t="e">
        <f ca="1">_xll.BDH($C$78,"ACCT_RCV_TURN","FQ2 2015","FQ2 2015","Currency=INR","Period=FQ","BEST_FPERIOD_OVERRIDE=FQ","FILING_STATUS=OR","EQY_CONSOLIDATED=Y","FA_ADJUSTED=GAAP","Sort=A","Dates=H","DateFormat=P","Fill=—","Direction=H","UseDPDF=Y")</f>
        <v>#NAME?</v>
      </c>
      <c r="CX85" s="2" t="e">
        <f ca="1">_xll.BDH($C$78,"ACCT_RCV_DAYS","FQ2 2015","FQ2 2015","Currency=INR","Period=FQ","BEST_FPERIOD_OVERRIDE=FQ","FILING_STATUS=OR","EQY_CONSOLIDATED=Y","FA_ADJUSTED=GAAP","Sort=A","Dates=H","DateFormat=P","Fill=—","Direction=H","UseDPDF=Y")</f>
        <v>#NAME?</v>
      </c>
      <c r="CY85" s="4" t="e">
        <f ca="1">_xll.BDH($C$78,"INVENT_TURN","FQ2 2015","FQ2 2015","Currency=INR","Period=FQ","BEST_FPERIOD_OVERRIDE=FQ","FILING_STATUS=OR","EQY_CONSOLIDATED=Y","FA_ADJUSTED=GAAP","Sort=A","Dates=H","DateFormat=P","Fill=—","Direction=H","UseDPDF=Y")</f>
        <v>#NAME?</v>
      </c>
      <c r="CZ85" s="2" t="e">
        <f ca="1">_xll.BDH($C$78,"INVENT_DAYS","FQ2 2015","FQ2 2015","Currency=INR","Period=FQ","BEST_FPERIOD_OVERRIDE=FQ","FILING_STATUS=OR","EQY_CONSOLIDATED=Y","FA_ADJUSTED=GAAP","Sort=A","Dates=H","DateFormat=P","Fill=—","Direction=H","UseDPDF=Y")</f>
        <v>#NAME?</v>
      </c>
      <c r="DA85" s="4" t="e">
        <f ca="1">_xll.BDH($C$78,"ACCOUNTS_PAYABLE_TURNOVER","FQ2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85" s="2" t="e">
        <f ca="1">_xll.BDH($C$78,"ACCOUNTS_PAYABLE_TURNOVER_DAYS","FQ2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85" s="4" t="e">
        <f ca="1">_xll.BDH($C$78,"CASH_CONVERSION_CYCLE","FQ2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85" s="4" t="e">
        <f ca="1">_xll.BDH($C$78,"INV_TO_CASH_DAYS","FQ2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85" s="5" t="e">
        <f ca="1">_xll.BDH($C$78,"BS_INVENTORIES","FQ2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85" s="3" t="e">
        <f ca="1">_xll.BDH($C$78,"INVTRY_RAW_MATERIALS","FQ2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85" s="3" t="e">
        <f ca="1">_xll.BDH($C$78,"INVTRY_IN_PROGRESS","FQ2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85" s="3" t="e">
        <f ca="1">_xll.BDH($C$78,"INVTRY_FINISHED_GOODS","FQ2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85" s="3" t="e">
        <f ca="1">_xll.BDH($C$78,"BS_OTHER_INV","FQ2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86" spans="1:113" x14ac:dyDescent="0.3">
      <c r="A86" s="6"/>
      <c r="B86" s="6"/>
      <c r="C86" s="6"/>
      <c r="D86" s="6"/>
      <c r="E86" t="s">
        <v>80</v>
      </c>
      <c r="F86" t="e">
        <f ca="1">_xll.BDH($C$78,"RETURN_COM_EQY","FQ3 2015","FQ3 2015","Currency=INR","Period=FQ","BEST_FPERIOD_OVERRIDE=FQ","FILING_STATUS=OR","EQY_CONSOLIDATED=Y","FA_ADJUSTED=GAAP","Sort=A","Dates=H","DateFormat=P","Fill=—","Direction=H","UseDPDF=Y")</f>
        <v>#NAME?</v>
      </c>
      <c r="G86" t="e">
        <f ca="1">_xll.BDH($C$78,"RETURN_ON_ASSET","FQ3 2015","FQ3 2015","Currency=INR","Period=FQ","BEST_FPERIOD_OVERRIDE=FQ","FILING_STATUS=OR","EQY_CONSOLIDATED=Y","FA_ADJUSTED=GAAP","Sort=A","Dates=H","DateFormat=P","Fill=—","Direction=H","UseDPDF=Y")</f>
        <v>#NAME?</v>
      </c>
      <c r="H86" t="e">
        <f ca="1">_xll.BDH($C$78,"RETURN_ON_CAP","FQ3 2015","FQ3 2015","Currency=INR","Period=FQ","BEST_FPERIOD_OVERRIDE=FQ","FILING_STATUS=OR","EQY_CONSOLIDATED=Y","FA_ADJUSTED=GAAP","Sort=A","Dates=H","DateFormat=P","Fill=—","Direction=H","UseDPDF=Y")</f>
        <v>#NAME?</v>
      </c>
      <c r="I86" t="e">
        <f ca="1">_xll.BDH($C$78,"RETURN_ON_INV_CAPITAL","FQ3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86" t="e">
        <f ca="1">_xll.BDH($C$78,"EBITDA_TO_REVENUE","FQ3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86" t="e">
        <f ca="1">_xll.BDH($C$78,"OPER_MARGIN","FQ3 2015","FQ3 2015","Currency=INR","Period=FQ","BEST_FPERIOD_OVERRIDE=FQ","FILING_STATUS=OR","EQY_CONSOLIDATED=Y","FA_ADJUSTED=GAAP","Sort=A","Dates=H","DateFormat=P","Fill=—","Direction=H","UseDPDF=Y")</f>
        <v>#NAME?</v>
      </c>
      <c r="L86" t="e">
        <f ca="1">_xll.BDH($C$78,"INCREMENTAL_OPERATING_MARGIN","FQ3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86" t="e">
        <f ca="1">_xll.BDH($C$78,"PRETAX_INC_TO_NET_SALES","FQ3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86" t="e">
        <f ca="1">_xll.BDH($C$78,"INC_BEF_XO_ITEMS_TO_NET_SALES","FQ3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86" t="e">
        <f ca="1">_xll.BDH($C$78,"PROF_MARGIN","FQ3 2015","FQ3 2015","Currency=INR","Period=FQ","BEST_FPERIOD_OVERRIDE=FQ","FILING_STATUS=OR","EQY_CONSOLIDATED=Y","FA_ADJUSTED=GAAP","Sort=A","Dates=H","DateFormat=P","Fill=—","Direction=H","UseDPDF=Y")</f>
        <v>#NAME?</v>
      </c>
      <c r="P86" t="e">
        <f ca="1">_xll.BDH($C$78,"NET_INCOME_TO_COMMON_MARGIN","FQ3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86" t="e">
        <f ca="1">_xll.BDH($C$78,"EFF_TAX_RATE","FQ3 2015","FQ3 2015","Currency=INR","Period=FQ","BEST_FPERIOD_OVERRIDE=FQ","FILING_STATUS=OR","EQY_CONSOLIDATED=Y","FA_ADJUSTED=GAAP","Sort=A","Dates=H","DateFormat=P","Fill=—","Direction=H","UseDPDF=Y")</f>
        <v>#NAME?</v>
      </c>
      <c r="R86" t="e">
        <f ca="1">_xll.BDH($C$78,"DVD_PAYOUT_RATIO","FQ3 2015","FQ3 2015","Currency=INR","Period=FQ","BEST_FPERIOD_OVERRIDE=FQ","FILING_STATUS=OR","EQY_CONSOLIDATED=Y","FA_ADJUSTED=GAAP","Sort=A","Dates=H","DateFormat=P","Fill=—","Direction=H","UseDPDF=Y")</f>
        <v>#NAME?</v>
      </c>
      <c r="S86" t="e">
        <f ca="1">_xll.BDH($C$78,"SUSTAIN_GROWTH_RT","FQ3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86" s="2" t="e">
        <f ca="1">_xll.BDH($C$78,"SALES_GROWTH","FQ3 2015","FQ3 2015","Currency=INR","Period=FQ","BEST_FPERIOD_OVERRIDE=FQ","FILING_STATUS=OR","EQY_CONSOLIDATED=Y","FA_ADJUSTED=GAAP","Sort=A","Dates=H","DateFormat=P","Fill=—","Direction=H","UseDPDF=Y")</f>
        <v>#NAME?</v>
      </c>
      <c r="U86" s="2" t="e">
        <f ca="1">_xll.BDH($C$78,"EBITDA_GROWTH","FQ3 2015","FQ3 2015","Currency=INR","Period=FQ","BEST_FPERIOD_OVERRIDE=FQ","FILING_STATUS=OR","EQY_CONSOLIDATED=Y","FA_ADJUSTED=GAAP","Sort=A","Dates=H","DateFormat=P","Fill=—","Direction=H","UseDPDF=Y")</f>
        <v>#NAME?</v>
      </c>
      <c r="V86" s="2" t="e">
        <f ca="1">_xll.BDH($C$78,"OPER_INC_GROWTH","FQ3 2015","FQ3 2015","Currency=INR","Period=FQ","BEST_FPERIOD_OVERRIDE=FQ","FILING_STATUS=OR","EQY_CONSOLIDATED=Y","FA_ADJUSTED=GAAP","Sort=A","Dates=H","DateFormat=P","Fill=—","Direction=H","UseDPDF=Y")</f>
        <v>#NAME?</v>
      </c>
      <c r="W86" s="2" t="e">
        <f ca="1">_xll.BDH($C$78,"EARN_FOR_COM_GROWTH","FQ3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86" s="2" t="e">
        <f ca="1">_xll.BDH($C$78,"DILUTED_EPS_AFT_XO_ITEMS_GROWTH","FQ3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86" s="2" t="e">
        <f ca="1">_xll.BDH($C$78,"DIVIDEND_PER_SHARE_1_YEAR_GROWTH","FQ3 2015","FQ3 2015","Currency=INR","Period=FQ","BEST_FPERIOD_OVERRIDE=FQ","FILING_STATUS=OR","EQY_CONSOLIDATED=Y","Sort=A","Dates=H","DateFormat=P","Fill=—","Direction=H","UseDPDF=Y")</f>
        <v>#NAME?</v>
      </c>
      <c r="Z86" s="2" t="e">
        <f ca="1">_xll.BDH($C$78,"ACCOUNTS_RECEIVABLE_GROWTH","FQ3 2015","FQ3 2015","Currency=INR","Period=FQ","BEST_FPERIOD_OVERRIDE=FQ","FILING_STATUS=OR","EQY_CONSOLIDATED=Y","Sort=A","Dates=H","DateFormat=P","Fill=—","Direction=H","UseDPDF=Y")</f>
        <v>#NAME?</v>
      </c>
      <c r="AA86" s="2" t="e">
        <f ca="1">_xll.BDH($C$78,"INVENTORY_GROWTH","FQ3 2015","FQ3 2015","Currency=INR","Period=FQ","BEST_FPERIOD_OVERRIDE=FQ","FILING_STATUS=OR","EQY_CONSOLIDATED=Y","Sort=A","Dates=H","DateFormat=P","Fill=—","Direction=H","UseDPDF=Y")</f>
        <v>#NAME?</v>
      </c>
      <c r="AB86" s="2" t="e">
        <f ca="1">_xll.BDH($C$78,"NET_FIXED_ASSETS_1_YEAR_GROWTH","FQ3 2015","FQ3 2015","Currency=INR","Period=FQ","BEST_FPERIOD_OVERRIDE=FQ","FILING_STATUS=OR","EQY_CONSOLIDATED=Y","Sort=A","Dates=H","DateFormat=P","Fill=—","Direction=H","UseDPDF=Y")</f>
        <v>#NAME?</v>
      </c>
      <c r="AC86" s="2" t="e">
        <f ca="1">_xll.BDH($C$78,"ASSET_GROWTH","FQ3 2015","FQ3 2015","Currency=INR","Period=FQ","BEST_FPERIOD_OVERRIDE=FQ","FILING_STATUS=OR","EQY_CONSOLIDATED=Y","Sort=A","Dates=H","DateFormat=P","Fill=—","Direction=H","UseDPDF=Y")</f>
        <v>#NAME?</v>
      </c>
      <c r="AD86" s="2" t="e">
        <f ca="1">_xll.BDH($C$78,"MODIFIED_WORK_CAP_GROWTH","FQ3 2015","FQ3 2015","Currency=INR","Period=FQ","BEST_FPERIOD_OVERRIDE=FQ","FILING_STATUS=OR","EQY_CONSOLIDATED=Y","Sort=A","Dates=H","DateFormat=P","Fill=—","Direction=H","UseDPDF=Y")</f>
        <v>#NAME?</v>
      </c>
      <c r="AE86" s="2" t="e">
        <f ca="1">_xll.BDH($C$78,"WORK_CAP_GROWTH","FQ3 2015","FQ3 2015","Currency=INR","Period=FQ","BEST_FPERIOD_OVERRIDE=FQ","FILING_STATUS=OR","EQY_CONSOLIDATED=Y","Sort=A","Dates=H","DateFormat=P","Fill=—","Direction=H","UseDPDF=Y")</f>
        <v>#NAME?</v>
      </c>
      <c r="AF86" s="2" t="e">
        <f ca="1">_xll.BDH($C$78,"ACCOUNTS_PAYABLE_GROWTH_1YR","FQ3 2015","FQ3 2015","Currency=INR","Period=FQ","BEST_FPERIOD_OVERRIDE=FQ","FILING_STATUS=OR","EQY_CONSOLIDATED=Y","Sort=A","Dates=H","DateFormat=P","Fill=—","Direction=H","UseDPDF=Y")</f>
        <v>#NAME?</v>
      </c>
      <c r="AG86" s="2" t="e">
        <f ca="1">_xll.BDH($C$78,"SHORT_TERM_DEBT_1_YEAR_GROWTH","FQ3 2015","FQ3 2015","Currency=INR","Period=FQ","BEST_FPERIOD_OVERRIDE=FQ","FILING_STATUS=OR","EQY_CONSOLIDATED=Y","Sort=A","Dates=H","DateFormat=P","Fill=—","Direction=H","UseDPDF=Y")</f>
        <v>#NAME?</v>
      </c>
      <c r="AH86" s="2" t="e">
        <f ca="1">_xll.BDH($C$78,"TOTAL_DEBT_1_YEAR_GROWTH","FQ3 2015","FQ3 2015","Currency=INR","Period=FQ","BEST_FPERIOD_OVERRIDE=FQ","FILING_STATUS=OR","EQY_CONSOLIDATED=Y","Sort=A","Dates=H","DateFormat=P","Fill=—","Direction=H","UseDPDF=Y")</f>
        <v>#NAME?</v>
      </c>
      <c r="AI86" s="2" t="e">
        <f ca="1">_xll.BDH($C$78,"TOTAL_EQUITY_1_YEAR_GROWTH","FQ3 2015","FQ3 2015","Currency=INR","Period=FQ","BEST_FPERIOD_OVERRIDE=FQ","FILING_STATUS=OR","EQY_CONSOLIDATED=Y","Sort=A","Dates=H","DateFormat=P","Fill=—","Direction=H","UseDPDF=Y")</f>
        <v>#NAME?</v>
      </c>
      <c r="AJ86" s="2" t="e">
        <f ca="1">_xll.BDH($C$78,"GROWTH_IN_CAP","FQ3 2015","FQ3 2015","Currency=INR","Period=FQ","BEST_FPERIOD_OVERRIDE=FQ","FILING_STATUS=OR","EQY_CONSOLIDATED=Y","Sort=A","Dates=H","DateFormat=P","Fill=—","Direction=H","UseDPDF=Y")</f>
        <v>#NAME?</v>
      </c>
      <c r="AK86" s="2" t="e">
        <f ca="1">_xll.BDH($C$78,"BVPS_GROWTH","FQ3 2015","FQ3 2015","Currency=INR","Period=FQ","BEST_FPERIOD_OVERRIDE=FQ","FILING_STATUS=OR","EQY_CONSOLIDATED=Y","Sort=A","Dates=H","DateFormat=P","Fill=—","Direction=H","UseDPDF=Y")</f>
        <v>#NAME?</v>
      </c>
      <c r="AL86" s="2" t="e">
        <f ca="1">_xll.BDH($C$78,"CASH_FLOW_GROWTH","FQ3 2015","FQ3 2015","Currency=INR","Period=FQ","BEST_FPERIOD_OVERRIDE=FQ","FILING_STATUS=OR","EQY_CONSOLIDATED=Y","Sort=A","Dates=H","DateFormat=P","Fill=—","Direction=H","UseDPDF=Y")</f>
        <v>#NAME?</v>
      </c>
      <c r="AM86" s="2" t="e">
        <f ca="1">_xll.BDH($C$78,"GEO_GROW_NET_SALES","FQ3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86" s="2" t="e">
        <f ca="1">_xll.BDH($C$78,"GEO_GROW_EBITDA","FQ3 2015","FQ3 2015","Currency=INR","Period=FQ","BEST_FPERIOD_OVERRIDE=FQ","FILING_STATUS=OR","EQY_CONSOLIDATED=Y","FA_ADJUSTED=GAAP","Sort=A","Dates=H","DateFormat=P","Fill=—","Direction=H","UseDPDF=Y")</f>
        <v>#NAME?</v>
      </c>
      <c r="AO86" s="2" t="e">
        <f ca="1">_xll.BDH($C$78,"GEO_GROW_OPER_INC","FQ3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86" s="2" t="e">
        <f ca="1">_xll.BDH($C$78,"NET_INCOME_TO_COMMON_5_YR_GROWTH","FQ3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86" s="2" t="e">
        <f ca="1">_xll.BDH($C$78,"5Y_GEO_GROWTH_DILUTED_EPS","FQ3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86" s="2" t="e">
        <f ca="1">_xll.BDH($C$78,"GEO_GROW_DVD_PER_SH","FQ3 2015","FQ3 2015","Currency=INR","Period=FQ","BEST_FPERIOD_OVERRIDE=FQ","FILING_STATUS=OR","EQY_CONSOLIDATED=Y","Sort=A","Dates=H","DateFormat=P","Fill=—","Direction=H","UseDPDF=Y")</f>
        <v>#NAME?</v>
      </c>
      <c r="AS86" s="2" t="e">
        <f ca="1">_xll.BDH($C$78,"ACCOUNTS_RECEIVABLE_5_YR_GROWTH","FQ3 2015","FQ3 2015","Currency=INR","Period=FQ","BEST_FPERIOD_OVERRIDE=FQ","FILING_STATUS=OR","EQY_CONSOLIDATED=Y","Sort=A","Dates=H","DateFormat=P","Fill=—","Direction=H","UseDPDF=Y")</f>
        <v>#NAME?</v>
      </c>
      <c r="AT86" s="2" t="e">
        <f ca="1">_xll.BDH($C$78,"INVENTORY_5_YEAR_GROWTH","FQ3 2015","FQ3 2015","Currency=INR","Period=FQ","BEST_FPERIOD_OVERRIDE=FQ","FILING_STATUS=OR","EQY_CONSOLIDATED=Y","Sort=A","Dates=H","DateFormat=P","Fill=—","Direction=H","UseDPDF=Y")</f>
        <v>#NAME?</v>
      </c>
      <c r="AU86" s="2" t="e">
        <f ca="1">_xll.BDH($C$78,"NET_FIXED_ASSETS_5_YEAR_GROWTH","FQ3 2015","FQ3 2015","Currency=INR","Period=FQ","BEST_FPERIOD_OVERRIDE=FQ","FILING_STATUS=OR","EQY_CONSOLIDATED=Y","Sort=A","Dates=H","DateFormat=P","Fill=—","Direction=H","UseDPDF=Y")</f>
        <v>#NAME?</v>
      </c>
      <c r="AV86" s="2" t="e">
        <f ca="1">_xll.BDH($C$78,"GEO_GROW_TOT_ASSET","FQ3 2015","FQ3 2015","Currency=INR","Period=FQ","BEST_FPERIOD_OVERRIDE=FQ","FILING_STATUS=OR","EQY_CONSOLIDATED=Y","Sort=A","Dates=H","DateFormat=P","Fill=—","Direction=H","UseDPDF=Y")</f>
        <v>#NAME?</v>
      </c>
      <c r="AW86" s="2" t="e">
        <f ca="1">_xll.BDH($C$78,"MODIFIED_WORKING_CPTL_5YR_GRWTH","FQ3 2015","FQ3 2015","Currency=INR","Period=FQ","BEST_FPERIOD_OVERRIDE=FQ","FILING_STATUS=OR","EQY_CONSOLIDATED=Y","Sort=A","Dates=H","DateFormat=P","Fill=—","Direction=H","UseDPDF=Y")</f>
        <v>#NAME?</v>
      </c>
      <c r="AX86" s="2" t="e">
        <f ca="1">_xll.BDH($C$78,"WORKING_CAPITAL_5_YEAR_GROWTH","FQ3 2015","FQ3 2015","Currency=INR","Period=FQ","BEST_FPERIOD_OVERRIDE=FQ","FILING_STATUS=OR","EQY_CONSOLIDATED=Y","Sort=A","Dates=H","DateFormat=P","Fill=—","Direction=H","UseDPDF=Y")</f>
        <v>#NAME?</v>
      </c>
      <c r="AY86" s="2" t="e">
        <f ca="1">_xll.BDH($C$78,"ACCOUNTS_PAYABLE_5_YEAR_GROWTH","FQ3 2015","FQ3 2015","Currency=INR","Period=FQ","BEST_FPERIOD_OVERRIDE=FQ","FILING_STATUS=OR","EQY_CONSOLIDATED=Y","Sort=A","Dates=H","DateFormat=P","Fill=—","Direction=H","UseDPDF=Y")</f>
        <v>#NAME?</v>
      </c>
      <c r="AZ86" s="2" t="e">
        <f ca="1">_xll.BDH($C$78,"SHORT_TERM_DEBT_5_YEAR_GROWTH","FQ3 2015","FQ3 2015","Currency=INR","Period=FQ","BEST_FPERIOD_OVERRIDE=FQ","FILING_STATUS=OR","EQY_CONSOLIDATED=Y","Sort=A","Dates=H","DateFormat=P","Fill=—","Direction=H","UseDPDF=Y")</f>
        <v>#NAME?</v>
      </c>
      <c r="BA86" s="2" t="e">
        <f ca="1">_xll.BDH($C$78,"TOTAL_DEBT_5_YEAR_GROWTH","FQ3 2015","FQ3 2015","Currency=INR","Period=FQ","BEST_FPERIOD_OVERRIDE=FQ","FILING_STATUS=OR","EQY_CONSOLIDATED=Y","Sort=A","Dates=H","DateFormat=P","Fill=—","Direction=H","UseDPDF=Y")</f>
        <v>#NAME?</v>
      </c>
      <c r="BB86" s="2" t="e">
        <f ca="1">_xll.BDH($C$78,"GEO_GROW_TOT_SHRHLDR_EQY","FQ3 2015","FQ3 2015","Currency=INR","Period=FQ","BEST_FPERIOD_OVERRIDE=FQ","FILING_STATUS=OR","EQY_CONSOLIDATED=Y","Sort=A","Dates=H","DateFormat=P","Fill=—","Direction=H","UseDPDF=Y")</f>
        <v>#NAME?</v>
      </c>
      <c r="BC86" s="2" t="e">
        <f ca="1">_xll.BDH($C$78,"TOTAL_CAPITAL_5_YEAR_GROWTH","FQ3 2015","FQ3 2015","Currency=INR","Period=FQ","BEST_FPERIOD_OVERRIDE=FQ","FILING_STATUS=OR","EQY_CONSOLIDATED=Y","Sort=A","Dates=H","DateFormat=P","Fill=—","Direction=H","UseDPDF=Y")</f>
        <v>#NAME?</v>
      </c>
      <c r="BD86" s="2" t="e">
        <f ca="1">_xll.BDH($C$78,"GEO_GROW_BOOK_VAL","FQ3 2015","FQ3 2015","Currency=INR","Period=FQ","BEST_FPERIOD_OVERRIDE=FQ","FILING_STATUS=OR","EQY_CONSOLIDATED=Y","Sort=A","Dates=H","DateFormat=P","Fill=—","Direction=H","UseDPDF=Y")</f>
        <v>#NAME?</v>
      </c>
      <c r="BE86" s="2" t="e">
        <f ca="1">_xll.BDH($C$78,"GEO_GROW_CASH_OPER_ACT","FQ3 2015","FQ3 2015","Currency=INR","Period=FQ","BEST_FPERIOD_OVERRIDE=FQ","FILING_STATUS=OR","EQY_CONSOLIDATED=Y","Sort=A","Dates=H","DateFormat=P","Fill=—","Direction=H","UseDPDF=Y")</f>
        <v>#NAME?</v>
      </c>
      <c r="BF86" s="2" t="e">
        <f ca="1">_xll.BDH($C$78,"REVENUE_SEQUENTIAL_GROWTH","FQ3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86" s="2" t="e">
        <f ca="1">_xll.BDH($C$78,"EBITDA_SEQUENTIAL_GROWTH","FQ3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86" s="2" t="e">
        <f ca="1">_xll.BDH($C$78,"OPERATING_INCOME_SEQ_GROWTH","FQ3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86" s="2" t="e">
        <f ca="1">_xll.BDH($C$78,"NET_INCOME_TO_COMMON_SEQ_GROWTH","FQ3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86" s="2" t="e">
        <f ca="1">_xll.BDH($C$78,"EPS_DILUTED_SEQUENTIAL_GROWTH","FQ3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86" s="2" t="e">
        <f ca="1">_xll.BDH($C$78,"DPS_SEQUENTIAL_GROWTH","FQ3 2015","FQ3 2015","Currency=INR","Period=FQ","BEST_FPERIOD_OVERRIDE=FQ","FILING_STATUS=OR","EQY_CONSOLIDATED=Y","Sort=A","Dates=H","DateFormat=P","Fill=—","Direction=H","UseDPDF=Y")</f>
        <v>#NAME?</v>
      </c>
      <c r="BL86" s="2" t="e">
        <f ca="1">_xll.BDH($C$78,"ACCOUNTS_RECEIVABLE_SEQ_GROWTH","FQ3 2015","FQ3 2015","Currency=INR","Period=FQ","BEST_FPERIOD_OVERRIDE=FQ","FILING_STATUS=OR","EQY_CONSOLIDATED=Y","Sort=A","Dates=H","DateFormat=P","Fill=—","Direction=H","UseDPDF=Y")</f>
        <v>#NAME?</v>
      </c>
      <c r="BM86" s="2" t="e">
        <f ca="1">_xll.BDH($C$78,"INVENTORY_SEQUENTIAL_GROWTH","FQ3 2015","FQ3 2015","Currency=INR","Period=FQ","BEST_FPERIOD_OVERRIDE=FQ","FILING_STATUS=OR","EQY_CONSOLIDATED=Y","Sort=A","Dates=H","DateFormat=P","Fill=—","Direction=H","UseDPDF=Y")</f>
        <v>#NAME?</v>
      </c>
      <c r="BN86" s="2" t="e">
        <f ca="1">_xll.BDH($C$78,"FIXED_ASSETS_SEQUENTIAL_GROWTH","FQ3 2015","FQ3 2015","Currency=INR","Period=FQ","BEST_FPERIOD_OVERRIDE=FQ","FILING_STATUS=OR","EQY_CONSOLIDATED=Y","Sort=A","Dates=H","DateFormat=P","Fill=—","Direction=H","UseDPDF=Y")</f>
        <v>#NAME?</v>
      </c>
      <c r="BO86" s="2" t="e">
        <f ca="1">_xll.BDH($C$78,"TOTAL_ASSETS_SEQUENTIAL_GROWTH","FQ3 2015","FQ3 2015","Currency=INR","Period=FQ","BEST_FPERIOD_OVERRIDE=FQ","FILING_STATUS=OR","EQY_CONSOLIDATED=Y","Sort=A","Dates=H","DateFormat=P","Fill=—","Direction=H","UseDPDF=Y")</f>
        <v>#NAME?</v>
      </c>
      <c r="BP86" s="2" t="e">
        <f ca="1">_xll.BDH($C$78,"MODIFIED_WORKING_CPTL_SEQ_GRWTH","FQ3 2015","FQ3 2015","Currency=INR","Period=FQ","BEST_FPERIOD_OVERRIDE=FQ","FILING_STATUS=OR","EQY_CONSOLIDATED=Y","Sort=A","Dates=H","DateFormat=P","Fill=—","Direction=H","UseDPDF=Y")</f>
        <v>#NAME?</v>
      </c>
      <c r="BQ86" s="2" t="e">
        <f ca="1">_xll.BDH($C$78,"WORKING_CAPITAL_SEQ_GROWTH","FQ3 2015","FQ3 2015","Currency=INR","Period=FQ","BEST_FPERIOD_OVERRIDE=FQ","FILING_STATUS=OR","EQY_CONSOLIDATED=Y","Sort=A","Dates=H","DateFormat=P","Fill=—","Direction=H","UseDPDF=Y")</f>
        <v>#NAME?</v>
      </c>
      <c r="BR86" s="2" t="e">
        <f ca="1">_xll.BDH($C$78,"ACCOUNTS_PAYABLE_SEQ_GROWTH","FQ3 2015","FQ3 2015","Currency=INR","Period=FQ","BEST_FPERIOD_OVERRIDE=FQ","FILING_STATUS=OR","EQY_CONSOLIDATED=Y","Sort=A","Dates=H","DateFormat=P","Fill=—","Direction=H","UseDPDF=Y")</f>
        <v>#NAME?</v>
      </c>
      <c r="BS86" s="2" t="e">
        <f ca="1">_xll.BDH($C$78,"ST_DEBT_SEQUENTIAL_GROWTH","FQ3 2015","FQ3 2015","Currency=INR","Period=FQ","BEST_FPERIOD_OVERRIDE=FQ","FILING_STATUS=OR","EQY_CONSOLIDATED=Y","Sort=A","Dates=H","DateFormat=P","Fill=—","Direction=H","UseDPDF=Y")</f>
        <v>#NAME?</v>
      </c>
      <c r="BT86" s="2" t="e">
        <f ca="1">_xll.BDH($C$78,"TOTAL_DEBT_SEQUENTIAL_GROWTH","FQ3 2015","FQ3 2015","Currency=INR","Period=FQ","BEST_FPERIOD_OVERRIDE=FQ","FILING_STATUS=OR","EQY_CONSOLIDATED=Y","Sort=A","Dates=H","DateFormat=P","Fill=—","Direction=H","UseDPDF=Y")</f>
        <v>#NAME?</v>
      </c>
      <c r="BU86" s="2" t="e">
        <f ca="1">_xll.BDH($C$78,"TOTAL_EQUITY_SEQUENTIAL_GROWTH","FQ3 2015","FQ3 2015","Currency=INR","Period=FQ","BEST_FPERIOD_OVERRIDE=FQ","FILING_STATUS=OR","EQY_CONSOLIDATED=Y","Sort=A","Dates=H","DateFormat=P","Fill=—","Direction=H","UseDPDF=Y")</f>
        <v>#NAME?</v>
      </c>
      <c r="BV86" s="2" t="e">
        <f ca="1">_xll.BDH($C$78,"TOTAL_CAPITAL_SEQUENTIAL_GROWTH","FQ3 2015","FQ3 2015","Currency=INR","Period=FQ","BEST_FPERIOD_OVERRIDE=FQ","FILING_STATUS=OR","EQY_CONSOLIDATED=Y","Sort=A","Dates=H","DateFormat=P","Fill=—","Direction=H","UseDPDF=Y")</f>
        <v>#NAME?</v>
      </c>
      <c r="BW86" s="2" t="e">
        <f ca="1">_xll.BDH($C$78,"BPS_SEQUENTIAL_GROWTH","FQ3 2015","FQ3 2015","Currency=INR","Period=FQ","BEST_FPERIOD_OVERRIDE=FQ","FILING_STATUS=OR","EQY_CONSOLIDATED=Y","Sort=A","Dates=H","DateFormat=P","Fill=—","Direction=H","UseDPDF=Y")</f>
        <v>#NAME?</v>
      </c>
      <c r="BX86" s="2" t="e">
        <f ca="1">_xll.BDH($C$78,"CFO_SEQUENTIAL_GROWTH","FQ3 2015","FQ3 2015","Currency=INR","Period=FQ","BEST_FPERIOD_OVERRIDE=FQ","FILING_STATUS=OR","EQY_CONSOLIDATED=Y","Sort=A","Dates=H","DateFormat=P","Fill=—","Direction=H","UseDPDF=Y")</f>
        <v>#NAME?</v>
      </c>
      <c r="BY86" s="3" t="e">
        <f ca="1">_xll.BDH($C$78,"SHORT_AND_LONG_TERM_DEBT","FQ3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86" s="3" t="e">
        <f ca="1">_xll.BDH($C$78,"BS_ST_BORROW","FQ3 2015","FQ3 2015","Currency=INR","Period=FQ","BEST_FPERIOD_OVERRIDE=FQ","FILING_STATUS=OR","EQY_CONSOLIDATED=Y","SCALING_FORMAT=MLN","Sort=A","Dates=H","DateFormat=P","Fill=—","Direction=H","UseDPDF=Y")</f>
        <v>#NAME?</v>
      </c>
      <c r="CA86" s="3" t="e">
        <f ca="1">_xll.BDH($C$78,"BS_LT_BORROW","FQ3 2015","FQ3 2015","Currency=INR","Period=FQ","BEST_FPERIOD_OVERRIDE=FQ","FILING_STATUS=OR","EQY_CONSOLIDATED=Y","SCALING_FORMAT=MLN","Sort=A","Dates=H","DateFormat=P","Fill=—","Direction=H","UseDPDF=Y")</f>
        <v>#NAME?</v>
      </c>
      <c r="CB86" s="2" t="e">
        <f ca="1">_xll.BDH($C$78,"TOT_DEBT_TO_EBITDA","FQ3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86" s="2" t="e">
        <f ca="1">_xll.BDH($C$78,"NET_DEBT_TO_EBITDA","FQ3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86" s="2" t="e">
        <f ca="1">_xll.BDH($C$78,"TOTAL_DEBT_TO_EBIT","FQ3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86" s="2" t="e">
        <f ca="1">_xll.BDH($C$78,"NET_DEBT_TO_EBIT","FQ3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86" s="2" t="e">
        <f ca="1">_xll.BDH($C$78,"EBITDA_TO_INTEREST_EXPN","FQ3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86" s="2" t="e">
        <f ca="1">_xll.BDH($C$78,"COM_EQY_TO_TOT_ASSET","FQ3 2015","FQ3 2015","Currency=INR","Period=FQ","BEST_FPERIOD_OVERRIDE=FQ","FILING_STATUS=OR","EQY_CONSOLIDATED=Y","Sort=A","Dates=H","DateFormat=P","Fill=—","Direction=H","UseDPDF=Y")</f>
        <v>#NAME?</v>
      </c>
      <c r="CH86" s="2" t="e">
        <f ca="1">_xll.BDH($C$78,"LT_DEBT_TO_TOT_EQY","FQ3 2015","FQ3 2015","Currency=INR","Period=FQ","BEST_FPERIOD_OVERRIDE=FQ","FILING_STATUS=OR","EQY_CONSOLIDATED=Y","Sort=A","Dates=H","DateFormat=P","Fill=—","Direction=H","UseDPDF=Y")</f>
        <v>#NAME?</v>
      </c>
      <c r="CI86" s="2" t="e">
        <f ca="1">_xll.BDH($C$78,"LT_DEBT_TO_TOT_CAP","FQ3 2015","FQ3 2015","Currency=INR","Period=FQ","BEST_FPERIOD_OVERRIDE=FQ","FILING_STATUS=OR","EQY_CONSOLIDATED=Y","Sort=A","Dates=H","DateFormat=P","Fill=—","Direction=H","UseDPDF=Y")</f>
        <v>#NAME?</v>
      </c>
      <c r="CJ86" s="2" t="e">
        <f ca="1">_xll.BDH($C$78,"LT_DEBT_TO_TOT_ASSET","FQ3 2015","FQ3 2015","Currency=INR","Period=FQ","BEST_FPERIOD_OVERRIDE=FQ","FILING_STATUS=OR","EQY_CONSOLIDATED=Y","Sort=A","Dates=H","DateFormat=P","Fill=—","Direction=H","UseDPDF=Y")</f>
        <v>#NAME?</v>
      </c>
      <c r="CK86" s="2" t="e">
        <f ca="1">_xll.BDH($C$78,"TOT_DEBT_TO_TOT_EQY","FQ3 2015","FQ3 2015","Currency=INR","Period=FQ","BEST_FPERIOD_OVERRIDE=FQ","FILING_STATUS=OR","EQY_CONSOLIDATED=Y","Sort=A","Dates=H","DateFormat=P","Fill=—","Direction=H","UseDPDF=Y")</f>
        <v>#NAME?</v>
      </c>
      <c r="CL86" s="2" t="e">
        <f ca="1">_xll.BDH($C$78,"TOT_DEBT_TO_TOT_CAP","FQ3 2015","FQ3 2015","Currency=INR","Period=FQ","BEST_FPERIOD_OVERRIDE=FQ","FILING_STATUS=OR","EQY_CONSOLIDATED=Y","Sort=A","Dates=H","DateFormat=P","Fill=—","Direction=H","UseDPDF=Y")</f>
        <v>#NAME?</v>
      </c>
      <c r="CM86" s="2" t="e">
        <f ca="1">_xll.BDH($C$78,"TOT_DEBT_TO_TOT_ASSET","FQ3 2015","FQ3 2015","Currency=INR","Period=FQ","BEST_FPERIOD_OVERRIDE=FQ","FILING_STATUS=OR","EQY_CONSOLIDATED=Y","Sort=A","Dates=H","DateFormat=P","Fill=—","Direction=H","UseDPDF=Y")</f>
        <v>#NAME?</v>
      </c>
      <c r="CN86" s="2" t="e">
        <f ca="1">_xll.BDH($C$78,"NET_DEBT_TO_SHRHLDR_EQTY","FQ3 2015","FQ3 2015","Currency=INR","Period=FQ","BEST_FPERIOD_OVERRIDE=FQ","FILING_STATUS=OR","EQY_CONSOLIDATED=Y","Sort=A","Dates=H","DateFormat=P","Fill=—","Direction=H","UseDPDF=Y")</f>
        <v>#NAME?</v>
      </c>
      <c r="CO86" s="2" t="e">
        <f ca="1">_xll.BDH($C$78,"NET_DEBT_%_CAPITAL","FQ3 2015","FQ3 2015","Currency=INR","Period=FQ","BEST_FPERIOD_OVERRIDE=FQ","FILING_STATUS=OR","EQY_CONSOLIDATED=Y","Sort=A","Dates=H","DateFormat=P","Fill=—","Direction=H","UseDPDF=Y")</f>
        <v>#NAME?</v>
      </c>
      <c r="CP86" s="3" t="e">
        <f ca="1">_xll.BDH($C$78,"EBITDA","FQ3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86" s="3" t="e">
        <f ca="1">_xll.BDH($C$78,"EBITDA_AFTER_CAPEX","FQ3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86" s="3" t="e">
        <f ca="1">_xll.BDH($C$78,"IS_OPER_INC","FQ3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86" s="2" t="e">
        <f ca="1">_xll.BDH($C$78,"CASH_RATIO","FQ3 2015","FQ3 2015","Currency=INR","Period=FQ","BEST_FPERIOD_OVERRIDE=FQ","FILING_STATUS=OR","EQY_CONSOLIDATED=Y","Sort=A","Dates=H","DateFormat=P","Fill=—","Direction=H","UseDPDF=Y")</f>
        <v>#NAME?</v>
      </c>
      <c r="CT86" s="2" t="e">
        <f ca="1">_xll.BDH($C$78,"CUR_RATIO","FQ3 2015","FQ3 2015","Currency=INR","Period=FQ","BEST_FPERIOD_OVERRIDE=FQ","FILING_STATUS=OR","EQY_CONSOLIDATED=Y","Sort=A","Dates=H","DateFormat=P","Fill=—","Direction=H","UseDPDF=Y")</f>
        <v>#NAME?</v>
      </c>
      <c r="CU86" s="2" t="e">
        <f ca="1">_xll.BDH($C$78,"QUICK_RATIO","FQ3 2015","FQ3 2015","Currency=INR","Period=FQ","BEST_FPERIOD_OVERRIDE=FQ","FILING_STATUS=OR","EQY_CONSOLIDATED=Y","Sort=A","Dates=H","DateFormat=P","Fill=—","Direction=H","UseDPDF=Y")</f>
        <v>#NAME?</v>
      </c>
      <c r="CV86" s="2" t="e">
        <f ca="1">_xll.BDH($C$78,"ALTMAN_Z_SCORE","FQ3 2015","FQ3 2015","Currency=INR","Period=FQ","BEST_FPERIOD_OVERRIDE=FQ","FILING_STATUS=OR","EQY_CONSOLIDATED=Y","Sort=A","Dates=H","DateFormat=P","Fill=—","Direction=H","UseDPDF=Y")</f>
        <v>#NAME?</v>
      </c>
      <c r="CW86" s="4" t="e">
        <f ca="1">_xll.BDH($C$78,"ACCT_RCV_TURN","FQ3 2015","FQ3 2015","Currency=INR","Period=FQ","BEST_FPERIOD_OVERRIDE=FQ","FILING_STATUS=OR","EQY_CONSOLIDATED=Y","FA_ADJUSTED=GAAP","Sort=A","Dates=H","DateFormat=P","Fill=—","Direction=H","UseDPDF=Y")</f>
        <v>#NAME?</v>
      </c>
      <c r="CX86" s="2" t="e">
        <f ca="1">_xll.BDH($C$78,"ACCT_RCV_DAYS","FQ3 2015","FQ3 2015","Currency=INR","Period=FQ","BEST_FPERIOD_OVERRIDE=FQ","FILING_STATUS=OR","EQY_CONSOLIDATED=Y","FA_ADJUSTED=GAAP","Sort=A","Dates=H","DateFormat=P","Fill=—","Direction=H","UseDPDF=Y")</f>
        <v>#NAME?</v>
      </c>
      <c r="CY86" s="4" t="e">
        <f ca="1">_xll.BDH($C$78,"INVENT_TURN","FQ3 2015","FQ3 2015","Currency=INR","Period=FQ","BEST_FPERIOD_OVERRIDE=FQ","FILING_STATUS=OR","EQY_CONSOLIDATED=Y","FA_ADJUSTED=GAAP","Sort=A","Dates=H","DateFormat=P","Fill=—","Direction=H","UseDPDF=Y")</f>
        <v>#NAME?</v>
      </c>
      <c r="CZ86" s="2" t="e">
        <f ca="1">_xll.BDH($C$78,"INVENT_DAYS","FQ3 2015","FQ3 2015","Currency=INR","Period=FQ","BEST_FPERIOD_OVERRIDE=FQ","FILING_STATUS=OR","EQY_CONSOLIDATED=Y","FA_ADJUSTED=GAAP","Sort=A","Dates=H","DateFormat=P","Fill=—","Direction=H","UseDPDF=Y")</f>
        <v>#NAME?</v>
      </c>
      <c r="DA86" s="4" t="e">
        <f ca="1">_xll.BDH($C$78,"ACCOUNTS_PAYABLE_TURNOVER","FQ3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86" s="2" t="e">
        <f ca="1">_xll.BDH($C$78,"ACCOUNTS_PAYABLE_TURNOVER_DAYS","FQ3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86" s="4" t="e">
        <f ca="1">_xll.BDH($C$78,"CASH_CONVERSION_CYCLE","FQ3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86" s="4" t="e">
        <f ca="1">_xll.BDH($C$78,"INV_TO_CASH_DAYS","FQ3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86" s="5" t="e">
        <f ca="1">_xll.BDH($C$78,"BS_INVENTORIES","FQ3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86" s="3" t="e">
        <f ca="1">_xll.BDH($C$78,"INVTRY_RAW_MATERIALS","FQ3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86" s="3" t="e">
        <f ca="1">_xll.BDH($C$78,"INVTRY_IN_PROGRESS","FQ3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86" s="3" t="e">
        <f ca="1">_xll.BDH($C$78,"INVTRY_FINISHED_GOODS","FQ3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86" s="3" t="e">
        <f ca="1">_xll.BDH($C$78,"BS_OTHER_INV","FQ3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87" spans="1:113" x14ac:dyDescent="0.3">
      <c r="A87" s="6"/>
      <c r="B87" s="6"/>
      <c r="C87" s="6"/>
      <c r="D87" s="6"/>
      <c r="E87" t="s">
        <v>81</v>
      </c>
      <c r="F87" t="e">
        <f ca="1">_xll.BDH($C$78,"RETURN_COM_EQY","FQ4 2015","FQ4 2015","Currency=INR","Period=FQ","BEST_FPERIOD_OVERRIDE=FQ","FILING_STATUS=OR","EQY_CONSOLIDATED=Y","FA_ADJUSTED=GAAP","Sort=A","Dates=H","DateFormat=P","Fill=—","Direction=H","UseDPDF=Y")</f>
        <v>#NAME?</v>
      </c>
      <c r="G87" t="e">
        <f ca="1">_xll.BDH($C$78,"RETURN_ON_ASSET","FQ4 2015","FQ4 2015","Currency=INR","Period=FQ","BEST_FPERIOD_OVERRIDE=FQ","FILING_STATUS=OR","EQY_CONSOLIDATED=Y","FA_ADJUSTED=GAAP","Sort=A","Dates=H","DateFormat=P","Fill=—","Direction=H","UseDPDF=Y")</f>
        <v>#NAME?</v>
      </c>
      <c r="H87" t="e">
        <f ca="1">_xll.BDH($C$78,"RETURN_ON_CAP","FQ4 2015","FQ4 2015","Currency=INR","Period=FQ","BEST_FPERIOD_OVERRIDE=FQ","FILING_STATUS=OR","EQY_CONSOLIDATED=Y","FA_ADJUSTED=GAAP","Sort=A","Dates=H","DateFormat=P","Fill=—","Direction=H","UseDPDF=Y")</f>
        <v>#NAME?</v>
      </c>
      <c r="I87" t="e">
        <f ca="1">_xll.BDH($C$78,"RETURN_ON_INV_CAPITAL","FQ4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87" t="e">
        <f ca="1">_xll.BDH($C$78,"EBITDA_TO_REVENUE","FQ4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87" t="e">
        <f ca="1">_xll.BDH($C$78,"OPER_MARGIN","FQ4 2015","FQ4 2015","Currency=INR","Period=FQ","BEST_FPERIOD_OVERRIDE=FQ","FILING_STATUS=OR","EQY_CONSOLIDATED=Y","FA_ADJUSTED=GAAP","Sort=A","Dates=H","DateFormat=P","Fill=—","Direction=H","UseDPDF=Y")</f>
        <v>#NAME?</v>
      </c>
      <c r="L87" t="e">
        <f ca="1">_xll.BDH($C$78,"INCREMENTAL_OPERATING_MARGIN","FQ4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87" t="e">
        <f ca="1">_xll.BDH($C$78,"PRETAX_INC_TO_NET_SALES","FQ4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87" t="e">
        <f ca="1">_xll.BDH($C$78,"INC_BEF_XO_ITEMS_TO_NET_SALES","FQ4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87" t="e">
        <f ca="1">_xll.BDH($C$78,"PROF_MARGIN","FQ4 2015","FQ4 2015","Currency=INR","Period=FQ","BEST_FPERIOD_OVERRIDE=FQ","FILING_STATUS=OR","EQY_CONSOLIDATED=Y","FA_ADJUSTED=GAAP","Sort=A","Dates=H","DateFormat=P","Fill=—","Direction=H","UseDPDF=Y")</f>
        <v>#NAME?</v>
      </c>
      <c r="P87" t="e">
        <f ca="1">_xll.BDH($C$78,"NET_INCOME_TO_COMMON_MARGIN","FQ4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87" t="e">
        <f ca="1">_xll.BDH($C$78,"EFF_TAX_RATE","FQ4 2015","FQ4 2015","Currency=INR","Period=FQ","BEST_FPERIOD_OVERRIDE=FQ","FILING_STATUS=OR","EQY_CONSOLIDATED=Y","FA_ADJUSTED=GAAP","Sort=A","Dates=H","DateFormat=P","Fill=—","Direction=H","UseDPDF=Y")</f>
        <v>#NAME?</v>
      </c>
      <c r="R87" t="e">
        <f ca="1">_xll.BDH($C$78,"DVD_PAYOUT_RATIO","FQ4 2015","FQ4 2015","Currency=INR","Period=FQ","BEST_FPERIOD_OVERRIDE=FQ","FILING_STATUS=OR","EQY_CONSOLIDATED=Y","FA_ADJUSTED=GAAP","Sort=A","Dates=H","DateFormat=P","Fill=—","Direction=H","UseDPDF=Y")</f>
        <v>#NAME?</v>
      </c>
      <c r="S87" t="e">
        <f ca="1">_xll.BDH($C$78,"SUSTAIN_GROWTH_RT","FQ4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87" s="2" t="e">
        <f ca="1">_xll.BDH($C$78,"SALES_GROWTH","FQ4 2015","FQ4 2015","Currency=INR","Period=FQ","BEST_FPERIOD_OVERRIDE=FQ","FILING_STATUS=OR","EQY_CONSOLIDATED=Y","FA_ADJUSTED=GAAP","Sort=A","Dates=H","DateFormat=P","Fill=—","Direction=H","UseDPDF=Y")</f>
        <v>#NAME?</v>
      </c>
      <c r="U87" s="2" t="e">
        <f ca="1">_xll.BDH($C$78,"EBITDA_GROWTH","FQ4 2015","FQ4 2015","Currency=INR","Period=FQ","BEST_FPERIOD_OVERRIDE=FQ","FILING_STATUS=OR","EQY_CONSOLIDATED=Y","FA_ADJUSTED=GAAP","Sort=A","Dates=H","DateFormat=P","Fill=—","Direction=H","UseDPDF=Y")</f>
        <v>#NAME?</v>
      </c>
      <c r="V87" s="2" t="e">
        <f ca="1">_xll.BDH($C$78,"OPER_INC_GROWTH","FQ4 2015","FQ4 2015","Currency=INR","Period=FQ","BEST_FPERIOD_OVERRIDE=FQ","FILING_STATUS=OR","EQY_CONSOLIDATED=Y","FA_ADJUSTED=GAAP","Sort=A","Dates=H","DateFormat=P","Fill=—","Direction=H","UseDPDF=Y")</f>
        <v>#NAME?</v>
      </c>
      <c r="W87" s="2" t="e">
        <f ca="1">_xll.BDH($C$78,"EARN_FOR_COM_GROWTH","FQ4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87" s="2" t="e">
        <f ca="1">_xll.BDH($C$78,"DILUTED_EPS_AFT_XO_ITEMS_GROWTH","FQ4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87" s="2" t="e">
        <f ca="1">_xll.BDH($C$78,"DIVIDEND_PER_SHARE_1_YEAR_GROWTH","FQ4 2015","FQ4 2015","Currency=INR","Period=FQ","BEST_FPERIOD_OVERRIDE=FQ","FILING_STATUS=OR","EQY_CONSOLIDATED=Y","Sort=A","Dates=H","DateFormat=P","Fill=—","Direction=H","UseDPDF=Y")</f>
        <v>#NAME?</v>
      </c>
      <c r="Z87" s="2" t="e">
        <f ca="1">_xll.BDH($C$78,"ACCOUNTS_RECEIVABLE_GROWTH","FQ4 2015","FQ4 2015","Currency=INR","Period=FQ","BEST_FPERIOD_OVERRIDE=FQ","FILING_STATUS=OR","EQY_CONSOLIDATED=Y","Sort=A","Dates=H","DateFormat=P","Fill=—","Direction=H","UseDPDF=Y")</f>
        <v>#NAME?</v>
      </c>
      <c r="AA87" s="2" t="e">
        <f ca="1">_xll.BDH($C$78,"INVENTORY_GROWTH","FQ4 2015","FQ4 2015","Currency=INR","Period=FQ","BEST_FPERIOD_OVERRIDE=FQ","FILING_STATUS=OR","EQY_CONSOLIDATED=Y","Sort=A","Dates=H","DateFormat=P","Fill=—","Direction=H","UseDPDF=Y")</f>
        <v>#NAME?</v>
      </c>
      <c r="AB87" s="2" t="e">
        <f ca="1">_xll.BDH($C$78,"NET_FIXED_ASSETS_1_YEAR_GROWTH","FQ4 2015","FQ4 2015","Currency=INR","Period=FQ","BEST_FPERIOD_OVERRIDE=FQ","FILING_STATUS=OR","EQY_CONSOLIDATED=Y","Sort=A","Dates=H","DateFormat=P","Fill=—","Direction=H","UseDPDF=Y")</f>
        <v>#NAME?</v>
      </c>
      <c r="AC87" s="2" t="e">
        <f ca="1">_xll.BDH($C$78,"ASSET_GROWTH","FQ4 2015","FQ4 2015","Currency=INR","Period=FQ","BEST_FPERIOD_OVERRIDE=FQ","FILING_STATUS=OR","EQY_CONSOLIDATED=Y","Sort=A","Dates=H","DateFormat=P","Fill=—","Direction=H","UseDPDF=Y")</f>
        <v>#NAME?</v>
      </c>
      <c r="AD87" s="2" t="e">
        <f ca="1">_xll.BDH($C$78,"MODIFIED_WORK_CAP_GROWTH","FQ4 2015","FQ4 2015","Currency=INR","Period=FQ","BEST_FPERIOD_OVERRIDE=FQ","FILING_STATUS=OR","EQY_CONSOLIDATED=Y","Sort=A","Dates=H","DateFormat=P","Fill=—","Direction=H","UseDPDF=Y")</f>
        <v>#NAME?</v>
      </c>
      <c r="AE87" s="2" t="e">
        <f ca="1">_xll.BDH($C$78,"WORK_CAP_GROWTH","FQ4 2015","FQ4 2015","Currency=INR","Period=FQ","BEST_FPERIOD_OVERRIDE=FQ","FILING_STATUS=OR","EQY_CONSOLIDATED=Y","Sort=A","Dates=H","DateFormat=P","Fill=—","Direction=H","UseDPDF=Y")</f>
        <v>#NAME?</v>
      </c>
      <c r="AF87" s="2" t="e">
        <f ca="1">_xll.BDH($C$78,"ACCOUNTS_PAYABLE_GROWTH_1YR","FQ4 2015","FQ4 2015","Currency=INR","Period=FQ","BEST_FPERIOD_OVERRIDE=FQ","FILING_STATUS=OR","EQY_CONSOLIDATED=Y","Sort=A","Dates=H","DateFormat=P","Fill=—","Direction=H","UseDPDF=Y")</f>
        <v>#NAME?</v>
      </c>
      <c r="AG87" s="2" t="e">
        <f ca="1">_xll.BDH($C$78,"SHORT_TERM_DEBT_1_YEAR_GROWTH","FQ4 2015","FQ4 2015","Currency=INR","Period=FQ","BEST_FPERIOD_OVERRIDE=FQ","FILING_STATUS=OR","EQY_CONSOLIDATED=Y","Sort=A","Dates=H","DateFormat=P","Fill=—","Direction=H","UseDPDF=Y")</f>
        <v>#NAME?</v>
      </c>
      <c r="AH87" s="2" t="e">
        <f ca="1">_xll.BDH($C$78,"TOTAL_DEBT_1_YEAR_GROWTH","FQ4 2015","FQ4 2015","Currency=INR","Period=FQ","BEST_FPERIOD_OVERRIDE=FQ","FILING_STATUS=OR","EQY_CONSOLIDATED=Y","Sort=A","Dates=H","DateFormat=P","Fill=—","Direction=H","UseDPDF=Y")</f>
        <v>#NAME?</v>
      </c>
      <c r="AI87" s="2" t="e">
        <f ca="1">_xll.BDH($C$78,"TOTAL_EQUITY_1_YEAR_GROWTH","FQ4 2015","FQ4 2015","Currency=INR","Period=FQ","BEST_FPERIOD_OVERRIDE=FQ","FILING_STATUS=OR","EQY_CONSOLIDATED=Y","Sort=A","Dates=H","DateFormat=P","Fill=—","Direction=H","UseDPDF=Y")</f>
        <v>#NAME?</v>
      </c>
      <c r="AJ87" s="2" t="e">
        <f ca="1">_xll.BDH($C$78,"GROWTH_IN_CAP","FQ4 2015","FQ4 2015","Currency=INR","Period=FQ","BEST_FPERIOD_OVERRIDE=FQ","FILING_STATUS=OR","EQY_CONSOLIDATED=Y","Sort=A","Dates=H","DateFormat=P","Fill=—","Direction=H","UseDPDF=Y")</f>
        <v>#NAME?</v>
      </c>
      <c r="AK87" s="2" t="e">
        <f ca="1">_xll.BDH($C$78,"BVPS_GROWTH","FQ4 2015","FQ4 2015","Currency=INR","Period=FQ","BEST_FPERIOD_OVERRIDE=FQ","FILING_STATUS=OR","EQY_CONSOLIDATED=Y","Sort=A","Dates=H","DateFormat=P","Fill=—","Direction=H","UseDPDF=Y")</f>
        <v>#NAME?</v>
      </c>
      <c r="AL87" s="2" t="e">
        <f ca="1">_xll.BDH($C$78,"CASH_FLOW_GROWTH","FQ4 2015","FQ4 2015","Currency=INR","Period=FQ","BEST_FPERIOD_OVERRIDE=FQ","FILING_STATUS=OR","EQY_CONSOLIDATED=Y","Sort=A","Dates=H","DateFormat=P","Fill=—","Direction=H","UseDPDF=Y")</f>
        <v>#NAME?</v>
      </c>
      <c r="AM87" s="2" t="e">
        <f ca="1">_xll.BDH($C$78,"GEO_GROW_NET_SALES","FQ4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87" s="2" t="e">
        <f ca="1">_xll.BDH($C$78,"GEO_GROW_EBITDA","FQ4 2015","FQ4 2015","Currency=INR","Period=FQ","BEST_FPERIOD_OVERRIDE=FQ","FILING_STATUS=OR","EQY_CONSOLIDATED=Y","FA_ADJUSTED=GAAP","Sort=A","Dates=H","DateFormat=P","Fill=—","Direction=H","UseDPDF=Y")</f>
        <v>#NAME?</v>
      </c>
      <c r="AO87" s="2" t="e">
        <f ca="1">_xll.BDH($C$78,"GEO_GROW_OPER_INC","FQ4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87" s="2" t="e">
        <f ca="1">_xll.BDH($C$78,"NET_INCOME_TO_COMMON_5_YR_GROWTH","FQ4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87" s="2" t="e">
        <f ca="1">_xll.BDH($C$78,"5Y_GEO_GROWTH_DILUTED_EPS","FQ4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87" s="2" t="e">
        <f ca="1">_xll.BDH($C$78,"GEO_GROW_DVD_PER_SH","FQ4 2015","FQ4 2015","Currency=INR","Period=FQ","BEST_FPERIOD_OVERRIDE=FQ","FILING_STATUS=OR","EQY_CONSOLIDATED=Y","Sort=A","Dates=H","DateFormat=P","Fill=—","Direction=H","UseDPDF=Y")</f>
        <v>#NAME?</v>
      </c>
      <c r="AS87" s="2" t="e">
        <f ca="1">_xll.BDH($C$78,"ACCOUNTS_RECEIVABLE_5_YR_GROWTH","FQ4 2015","FQ4 2015","Currency=INR","Period=FQ","BEST_FPERIOD_OVERRIDE=FQ","FILING_STATUS=OR","EQY_CONSOLIDATED=Y","Sort=A","Dates=H","DateFormat=P","Fill=—","Direction=H","UseDPDF=Y")</f>
        <v>#NAME?</v>
      </c>
      <c r="AT87" s="2" t="e">
        <f ca="1">_xll.BDH($C$78,"INVENTORY_5_YEAR_GROWTH","FQ4 2015","FQ4 2015","Currency=INR","Period=FQ","BEST_FPERIOD_OVERRIDE=FQ","FILING_STATUS=OR","EQY_CONSOLIDATED=Y","Sort=A","Dates=H","DateFormat=P","Fill=—","Direction=H","UseDPDF=Y")</f>
        <v>#NAME?</v>
      </c>
      <c r="AU87" s="2" t="e">
        <f ca="1">_xll.BDH($C$78,"NET_FIXED_ASSETS_5_YEAR_GROWTH","FQ4 2015","FQ4 2015","Currency=INR","Period=FQ","BEST_FPERIOD_OVERRIDE=FQ","FILING_STATUS=OR","EQY_CONSOLIDATED=Y","Sort=A","Dates=H","DateFormat=P","Fill=—","Direction=H","UseDPDF=Y")</f>
        <v>#NAME?</v>
      </c>
      <c r="AV87" s="2" t="e">
        <f ca="1">_xll.BDH($C$78,"GEO_GROW_TOT_ASSET","FQ4 2015","FQ4 2015","Currency=INR","Period=FQ","BEST_FPERIOD_OVERRIDE=FQ","FILING_STATUS=OR","EQY_CONSOLIDATED=Y","Sort=A","Dates=H","DateFormat=P","Fill=—","Direction=H","UseDPDF=Y")</f>
        <v>#NAME?</v>
      </c>
      <c r="AW87" s="2" t="e">
        <f ca="1">_xll.BDH($C$78,"MODIFIED_WORKING_CPTL_5YR_GRWTH","FQ4 2015","FQ4 2015","Currency=INR","Period=FQ","BEST_FPERIOD_OVERRIDE=FQ","FILING_STATUS=OR","EQY_CONSOLIDATED=Y","Sort=A","Dates=H","DateFormat=P","Fill=—","Direction=H","UseDPDF=Y")</f>
        <v>#NAME?</v>
      </c>
      <c r="AX87" s="2" t="e">
        <f ca="1">_xll.BDH($C$78,"WORKING_CAPITAL_5_YEAR_GROWTH","FQ4 2015","FQ4 2015","Currency=INR","Period=FQ","BEST_FPERIOD_OVERRIDE=FQ","FILING_STATUS=OR","EQY_CONSOLIDATED=Y","Sort=A","Dates=H","DateFormat=P","Fill=—","Direction=H","UseDPDF=Y")</f>
        <v>#NAME?</v>
      </c>
      <c r="AY87" s="2" t="e">
        <f ca="1">_xll.BDH($C$78,"ACCOUNTS_PAYABLE_5_YEAR_GROWTH","FQ4 2015","FQ4 2015","Currency=INR","Period=FQ","BEST_FPERIOD_OVERRIDE=FQ","FILING_STATUS=OR","EQY_CONSOLIDATED=Y","Sort=A","Dates=H","DateFormat=P","Fill=—","Direction=H","UseDPDF=Y")</f>
        <v>#NAME?</v>
      </c>
      <c r="AZ87" s="2" t="e">
        <f ca="1">_xll.BDH($C$78,"SHORT_TERM_DEBT_5_YEAR_GROWTH","FQ4 2015","FQ4 2015","Currency=INR","Period=FQ","BEST_FPERIOD_OVERRIDE=FQ","FILING_STATUS=OR","EQY_CONSOLIDATED=Y","Sort=A","Dates=H","DateFormat=P","Fill=—","Direction=H","UseDPDF=Y")</f>
        <v>#NAME?</v>
      </c>
      <c r="BA87" s="2" t="e">
        <f ca="1">_xll.BDH($C$78,"TOTAL_DEBT_5_YEAR_GROWTH","FQ4 2015","FQ4 2015","Currency=INR","Period=FQ","BEST_FPERIOD_OVERRIDE=FQ","FILING_STATUS=OR","EQY_CONSOLIDATED=Y","Sort=A","Dates=H","DateFormat=P","Fill=—","Direction=H","UseDPDF=Y")</f>
        <v>#NAME?</v>
      </c>
      <c r="BB87" s="2" t="e">
        <f ca="1">_xll.BDH($C$78,"GEO_GROW_TOT_SHRHLDR_EQY","FQ4 2015","FQ4 2015","Currency=INR","Period=FQ","BEST_FPERIOD_OVERRIDE=FQ","FILING_STATUS=OR","EQY_CONSOLIDATED=Y","Sort=A","Dates=H","DateFormat=P","Fill=—","Direction=H","UseDPDF=Y")</f>
        <v>#NAME?</v>
      </c>
      <c r="BC87" s="2" t="e">
        <f ca="1">_xll.BDH($C$78,"TOTAL_CAPITAL_5_YEAR_GROWTH","FQ4 2015","FQ4 2015","Currency=INR","Period=FQ","BEST_FPERIOD_OVERRIDE=FQ","FILING_STATUS=OR","EQY_CONSOLIDATED=Y","Sort=A","Dates=H","DateFormat=P","Fill=—","Direction=H","UseDPDF=Y")</f>
        <v>#NAME?</v>
      </c>
      <c r="BD87" s="2" t="e">
        <f ca="1">_xll.BDH($C$78,"GEO_GROW_BOOK_VAL","FQ4 2015","FQ4 2015","Currency=INR","Period=FQ","BEST_FPERIOD_OVERRIDE=FQ","FILING_STATUS=OR","EQY_CONSOLIDATED=Y","Sort=A","Dates=H","DateFormat=P","Fill=—","Direction=H","UseDPDF=Y")</f>
        <v>#NAME?</v>
      </c>
      <c r="BE87" s="2" t="e">
        <f ca="1">_xll.BDH($C$78,"GEO_GROW_CASH_OPER_ACT","FQ4 2015","FQ4 2015","Currency=INR","Period=FQ","BEST_FPERIOD_OVERRIDE=FQ","FILING_STATUS=OR","EQY_CONSOLIDATED=Y","Sort=A","Dates=H","DateFormat=P","Fill=—","Direction=H","UseDPDF=Y")</f>
        <v>#NAME?</v>
      </c>
      <c r="BF87" s="2" t="e">
        <f ca="1">_xll.BDH($C$78,"REVENUE_SEQUENTIAL_GROWTH","FQ4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87" s="2" t="e">
        <f ca="1">_xll.BDH($C$78,"EBITDA_SEQUENTIAL_GROWTH","FQ4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87" s="2" t="e">
        <f ca="1">_xll.BDH($C$78,"OPERATING_INCOME_SEQ_GROWTH","FQ4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87" s="2" t="e">
        <f ca="1">_xll.BDH($C$78,"NET_INCOME_TO_COMMON_SEQ_GROWTH","FQ4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87" s="2" t="e">
        <f ca="1">_xll.BDH($C$78,"EPS_DILUTED_SEQUENTIAL_GROWTH","FQ4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87" s="2" t="e">
        <f ca="1">_xll.BDH($C$78,"DPS_SEQUENTIAL_GROWTH","FQ4 2015","FQ4 2015","Currency=INR","Period=FQ","BEST_FPERIOD_OVERRIDE=FQ","FILING_STATUS=OR","EQY_CONSOLIDATED=Y","Sort=A","Dates=H","DateFormat=P","Fill=—","Direction=H","UseDPDF=Y")</f>
        <v>#NAME?</v>
      </c>
      <c r="BL87" s="2" t="e">
        <f ca="1">_xll.BDH($C$78,"ACCOUNTS_RECEIVABLE_SEQ_GROWTH","FQ4 2015","FQ4 2015","Currency=INR","Period=FQ","BEST_FPERIOD_OVERRIDE=FQ","FILING_STATUS=OR","EQY_CONSOLIDATED=Y","Sort=A","Dates=H","DateFormat=P","Fill=—","Direction=H","UseDPDF=Y")</f>
        <v>#NAME?</v>
      </c>
      <c r="BM87" s="2" t="e">
        <f ca="1">_xll.BDH($C$78,"INVENTORY_SEQUENTIAL_GROWTH","FQ4 2015","FQ4 2015","Currency=INR","Period=FQ","BEST_FPERIOD_OVERRIDE=FQ","FILING_STATUS=OR","EQY_CONSOLIDATED=Y","Sort=A","Dates=H","DateFormat=P","Fill=—","Direction=H","UseDPDF=Y")</f>
        <v>#NAME?</v>
      </c>
      <c r="BN87" s="2" t="e">
        <f ca="1">_xll.BDH($C$78,"FIXED_ASSETS_SEQUENTIAL_GROWTH","FQ4 2015","FQ4 2015","Currency=INR","Period=FQ","BEST_FPERIOD_OVERRIDE=FQ","FILING_STATUS=OR","EQY_CONSOLIDATED=Y","Sort=A","Dates=H","DateFormat=P","Fill=—","Direction=H","UseDPDF=Y")</f>
        <v>#NAME?</v>
      </c>
      <c r="BO87" s="2" t="e">
        <f ca="1">_xll.BDH($C$78,"TOTAL_ASSETS_SEQUENTIAL_GROWTH","FQ4 2015","FQ4 2015","Currency=INR","Period=FQ","BEST_FPERIOD_OVERRIDE=FQ","FILING_STATUS=OR","EQY_CONSOLIDATED=Y","Sort=A","Dates=H","DateFormat=P","Fill=—","Direction=H","UseDPDF=Y")</f>
        <v>#NAME?</v>
      </c>
      <c r="BP87" s="2" t="e">
        <f ca="1">_xll.BDH($C$78,"MODIFIED_WORKING_CPTL_SEQ_GRWTH","FQ4 2015","FQ4 2015","Currency=INR","Period=FQ","BEST_FPERIOD_OVERRIDE=FQ","FILING_STATUS=OR","EQY_CONSOLIDATED=Y","Sort=A","Dates=H","DateFormat=P","Fill=—","Direction=H","UseDPDF=Y")</f>
        <v>#NAME?</v>
      </c>
      <c r="BQ87" s="2" t="e">
        <f ca="1">_xll.BDH($C$78,"WORKING_CAPITAL_SEQ_GROWTH","FQ4 2015","FQ4 2015","Currency=INR","Period=FQ","BEST_FPERIOD_OVERRIDE=FQ","FILING_STATUS=OR","EQY_CONSOLIDATED=Y","Sort=A","Dates=H","DateFormat=P","Fill=—","Direction=H","UseDPDF=Y")</f>
        <v>#NAME?</v>
      </c>
      <c r="BR87" s="2" t="e">
        <f ca="1">_xll.BDH($C$78,"ACCOUNTS_PAYABLE_SEQ_GROWTH","FQ4 2015","FQ4 2015","Currency=INR","Period=FQ","BEST_FPERIOD_OVERRIDE=FQ","FILING_STATUS=OR","EQY_CONSOLIDATED=Y","Sort=A","Dates=H","DateFormat=P","Fill=—","Direction=H","UseDPDF=Y")</f>
        <v>#NAME?</v>
      </c>
      <c r="BS87" s="2" t="e">
        <f ca="1">_xll.BDH($C$78,"ST_DEBT_SEQUENTIAL_GROWTH","FQ4 2015","FQ4 2015","Currency=INR","Period=FQ","BEST_FPERIOD_OVERRIDE=FQ","FILING_STATUS=OR","EQY_CONSOLIDATED=Y","Sort=A","Dates=H","DateFormat=P","Fill=—","Direction=H","UseDPDF=Y")</f>
        <v>#NAME?</v>
      </c>
      <c r="BT87" s="2" t="e">
        <f ca="1">_xll.BDH($C$78,"TOTAL_DEBT_SEQUENTIAL_GROWTH","FQ4 2015","FQ4 2015","Currency=INR","Period=FQ","BEST_FPERIOD_OVERRIDE=FQ","FILING_STATUS=OR","EQY_CONSOLIDATED=Y","Sort=A","Dates=H","DateFormat=P","Fill=—","Direction=H","UseDPDF=Y")</f>
        <v>#NAME?</v>
      </c>
      <c r="BU87" s="2" t="e">
        <f ca="1">_xll.BDH($C$78,"TOTAL_EQUITY_SEQUENTIAL_GROWTH","FQ4 2015","FQ4 2015","Currency=INR","Period=FQ","BEST_FPERIOD_OVERRIDE=FQ","FILING_STATUS=OR","EQY_CONSOLIDATED=Y","Sort=A","Dates=H","DateFormat=P","Fill=—","Direction=H","UseDPDF=Y")</f>
        <v>#NAME?</v>
      </c>
      <c r="BV87" s="2" t="e">
        <f ca="1">_xll.BDH($C$78,"TOTAL_CAPITAL_SEQUENTIAL_GROWTH","FQ4 2015","FQ4 2015","Currency=INR","Period=FQ","BEST_FPERIOD_OVERRIDE=FQ","FILING_STATUS=OR","EQY_CONSOLIDATED=Y","Sort=A","Dates=H","DateFormat=P","Fill=—","Direction=H","UseDPDF=Y")</f>
        <v>#NAME?</v>
      </c>
      <c r="BW87" s="2" t="e">
        <f ca="1">_xll.BDH($C$78,"BPS_SEQUENTIAL_GROWTH","FQ4 2015","FQ4 2015","Currency=INR","Period=FQ","BEST_FPERIOD_OVERRIDE=FQ","FILING_STATUS=OR","EQY_CONSOLIDATED=Y","Sort=A","Dates=H","DateFormat=P","Fill=—","Direction=H","UseDPDF=Y")</f>
        <v>#NAME?</v>
      </c>
      <c r="BX87" s="2" t="e">
        <f ca="1">_xll.BDH($C$78,"CFO_SEQUENTIAL_GROWTH","FQ4 2015","FQ4 2015","Currency=INR","Period=FQ","BEST_FPERIOD_OVERRIDE=FQ","FILING_STATUS=OR","EQY_CONSOLIDATED=Y","Sort=A","Dates=H","DateFormat=P","Fill=—","Direction=H","UseDPDF=Y")</f>
        <v>#NAME?</v>
      </c>
      <c r="BY87" s="3" t="e">
        <f ca="1">_xll.BDH($C$78,"SHORT_AND_LONG_TERM_DEBT","FQ4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87" s="3" t="e">
        <f ca="1">_xll.BDH($C$78,"BS_ST_BORROW","FQ4 2015","FQ4 2015","Currency=INR","Period=FQ","BEST_FPERIOD_OVERRIDE=FQ","FILING_STATUS=OR","EQY_CONSOLIDATED=Y","SCALING_FORMAT=MLN","Sort=A","Dates=H","DateFormat=P","Fill=—","Direction=H","UseDPDF=Y")</f>
        <v>#NAME?</v>
      </c>
      <c r="CA87" s="3" t="e">
        <f ca="1">_xll.BDH($C$78,"BS_LT_BORROW","FQ4 2015","FQ4 2015","Currency=INR","Period=FQ","BEST_FPERIOD_OVERRIDE=FQ","FILING_STATUS=OR","EQY_CONSOLIDATED=Y","SCALING_FORMAT=MLN","Sort=A","Dates=H","DateFormat=P","Fill=—","Direction=H","UseDPDF=Y")</f>
        <v>#NAME?</v>
      </c>
      <c r="CB87" s="2" t="e">
        <f ca="1">_xll.BDH($C$78,"TOT_DEBT_TO_EBITDA","FQ4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87" s="2" t="e">
        <f ca="1">_xll.BDH($C$78,"NET_DEBT_TO_EBITDA","FQ4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87" s="2" t="e">
        <f ca="1">_xll.BDH($C$78,"TOTAL_DEBT_TO_EBIT","FQ4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87" s="2" t="e">
        <f ca="1">_xll.BDH($C$78,"NET_DEBT_TO_EBIT","FQ4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87" s="2" t="e">
        <f ca="1">_xll.BDH($C$78,"EBITDA_TO_INTEREST_EXPN","FQ4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87" s="2" t="e">
        <f ca="1">_xll.BDH($C$78,"COM_EQY_TO_TOT_ASSET","FQ4 2015","FQ4 2015","Currency=INR","Period=FQ","BEST_FPERIOD_OVERRIDE=FQ","FILING_STATUS=OR","EQY_CONSOLIDATED=Y","Sort=A","Dates=H","DateFormat=P","Fill=—","Direction=H","UseDPDF=Y")</f>
        <v>#NAME?</v>
      </c>
      <c r="CH87" s="2" t="e">
        <f ca="1">_xll.BDH($C$78,"LT_DEBT_TO_TOT_EQY","FQ4 2015","FQ4 2015","Currency=INR","Period=FQ","BEST_FPERIOD_OVERRIDE=FQ","FILING_STATUS=OR","EQY_CONSOLIDATED=Y","Sort=A","Dates=H","DateFormat=P","Fill=—","Direction=H","UseDPDF=Y")</f>
        <v>#NAME?</v>
      </c>
      <c r="CI87" s="2" t="e">
        <f ca="1">_xll.BDH($C$78,"LT_DEBT_TO_TOT_CAP","FQ4 2015","FQ4 2015","Currency=INR","Period=FQ","BEST_FPERIOD_OVERRIDE=FQ","FILING_STATUS=OR","EQY_CONSOLIDATED=Y","Sort=A","Dates=H","DateFormat=P","Fill=—","Direction=H","UseDPDF=Y")</f>
        <v>#NAME?</v>
      </c>
      <c r="CJ87" s="2" t="e">
        <f ca="1">_xll.BDH($C$78,"LT_DEBT_TO_TOT_ASSET","FQ4 2015","FQ4 2015","Currency=INR","Period=FQ","BEST_FPERIOD_OVERRIDE=FQ","FILING_STATUS=OR","EQY_CONSOLIDATED=Y","Sort=A","Dates=H","DateFormat=P","Fill=—","Direction=H","UseDPDF=Y")</f>
        <v>#NAME?</v>
      </c>
      <c r="CK87" s="2" t="e">
        <f ca="1">_xll.BDH($C$78,"TOT_DEBT_TO_TOT_EQY","FQ4 2015","FQ4 2015","Currency=INR","Period=FQ","BEST_FPERIOD_OVERRIDE=FQ","FILING_STATUS=OR","EQY_CONSOLIDATED=Y","Sort=A","Dates=H","DateFormat=P","Fill=—","Direction=H","UseDPDF=Y")</f>
        <v>#NAME?</v>
      </c>
      <c r="CL87" s="2" t="e">
        <f ca="1">_xll.BDH($C$78,"TOT_DEBT_TO_TOT_CAP","FQ4 2015","FQ4 2015","Currency=INR","Period=FQ","BEST_FPERIOD_OVERRIDE=FQ","FILING_STATUS=OR","EQY_CONSOLIDATED=Y","Sort=A","Dates=H","DateFormat=P","Fill=—","Direction=H","UseDPDF=Y")</f>
        <v>#NAME?</v>
      </c>
      <c r="CM87" s="2" t="e">
        <f ca="1">_xll.BDH($C$78,"TOT_DEBT_TO_TOT_ASSET","FQ4 2015","FQ4 2015","Currency=INR","Period=FQ","BEST_FPERIOD_OVERRIDE=FQ","FILING_STATUS=OR","EQY_CONSOLIDATED=Y","Sort=A","Dates=H","DateFormat=P","Fill=—","Direction=H","UseDPDF=Y")</f>
        <v>#NAME?</v>
      </c>
      <c r="CN87" s="2" t="e">
        <f ca="1">_xll.BDH($C$78,"NET_DEBT_TO_SHRHLDR_EQTY","FQ4 2015","FQ4 2015","Currency=INR","Period=FQ","BEST_FPERIOD_OVERRIDE=FQ","FILING_STATUS=OR","EQY_CONSOLIDATED=Y","Sort=A","Dates=H","DateFormat=P","Fill=—","Direction=H","UseDPDF=Y")</f>
        <v>#NAME?</v>
      </c>
      <c r="CO87" s="2" t="e">
        <f ca="1">_xll.BDH($C$78,"NET_DEBT_%_CAPITAL","FQ4 2015","FQ4 2015","Currency=INR","Period=FQ","BEST_FPERIOD_OVERRIDE=FQ","FILING_STATUS=OR","EQY_CONSOLIDATED=Y","Sort=A","Dates=H","DateFormat=P","Fill=—","Direction=H","UseDPDF=Y")</f>
        <v>#NAME?</v>
      </c>
      <c r="CP87" s="3" t="e">
        <f ca="1">_xll.BDH($C$78,"EBITDA","FQ4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87" s="3" t="e">
        <f ca="1">_xll.BDH($C$78,"EBITDA_AFTER_CAPEX","FQ4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87" s="3" t="e">
        <f ca="1">_xll.BDH($C$78,"IS_OPER_INC","FQ4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87" s="2" t="e">
        <f ca="1">_xll.BDH($C$78,"CASH_RATIO","FQ4 2015","FQ4 2015","Currency=INR","Period=FQ","BEST_FPERIOD_OVERRIDE=FQ","FILING_STATUS=OR","EQY_CONSOLIDATED=Y","Sort=A","Dates=H","DateFormat=P","Fill=—","Direction=H","UseDPDF=Y")</f>
        <v>#NAME?</v>
      </c>
      <c r="CT87" s="2" t="e">
        <f ca="1">_xll.BDH($C$78,"CUR_RATIO","FQ4 2015","FQ4 2015","Currency=INR","Period=FQ","BEST_FPERIOD_OVERRIDE=FQ","FILING_STATUS=OR","EQY_CONSOLIDATED=Y","Sort=A","Dates=H","DateFormat=P","Fill=—","Direction=H","UseDPDF=Y")</f>
        <v>#NAME?</v>
      </c>
      <c r="CU87" s="2" t="e">
        <f ca="1">_xll.BDH($C$78,"QUICK_RATIO","FQ4 2015","FQ4 2015","Currency=INR","Period=FQ","BEST_FPERIOD_OVERRIDE=FQ","FILING_STATUS=OR","EQY_CONSOLIDATED=Y","Sort=A","Dates=H","DateFormat=P","Fill=—","Direction=H","UseDPDF=Y")</f>
        <v>#NAME?</v>
      </c>
      <c r="CV87" s="2" t="e">
        <f ca="1">_xll.BDH($C$78,"ALTMAN_Z_SCORE","FQ4 2015","FQ4 2015","Currency=INR","Period=FQ","BEST_FPERIOD_OVERRIDE=FQ","FILING_STATUS=OR","EQY_CONSOLIDATED=Y","Sort=A","Dates=H","DateFormat=P","Fill=—","Direction=H","UseDPDF=Y")</f>
        <v>#NAME?</v>
      </c>
      <c r="CW87" s="4" t="e">
        <f ca="1">_xll.BDH($C$78,"ACCT_RCV_TURN","FQ4 2015","FQ4 2015","Currency=INR","Period=FQ","BEST_FPERIOD_OVERRIDE=FQ","FILING_STATUS=OR","EQY_CONSOLIDATED=Y","FA_ADJUSTED=GAAP","Sort=A","Dates=H","DateFormat=P","Fill=—","Direction=H","UseDPDF=Y")</f>
        <v>#NAME?</v>
      </c>
      <c r="CX87" s="2" t="e">
        <f ca="1">_xll.BDH($C$78,"ACCT_RCV_DAYS","FQ4 2015","FQ4 2015","Currency=INR","Period=FQ","BEST_FPERIOD_OVERRIDE=FQ","FILING_STATUS=OR","EQY_CONSOLIDATED=Y","FA_ADJUSTED=GAAP","Sort=A","Dates=H","DateFormat=P","Fill=—","Direction=H","UseDPDF=Y")</f>
        <v>#NAME?</v>
      </c>
      <c r="CY87" s="4" t="e">
        <f ca="1">_xll.BDH($C$78,"INVENT_TURN","FQ4 2015","FQ4 2015","Currency=INR","Period=FQ","BEST_FPERIOD_OVERRIDE=FQ","FILING_STATUS=OR","EQY_CONSOLIDATED=Y","FA_ADJUSTED=GAAP","Sort=A","Dates=H","DateFormat=P","Fill=—","Direction=H","UseDPDF=Y")</f>
        <v>#NAME?</v>
      </c>
      <c r="CZ87" s="2" t="e">
        <f ca="1">_xll.BDH($C$78,"INVENT_DAYS","FQ4 2015","FQ4 2015","Currency=INR","Period=FQ","BEST_FPERIOD_OVERRIDE=FQ","FILING_STATUS=OR","EQY_CONSOLIDATED=Y","FA_ADJUSTED=GAAP","Sort=A","Dates=H","DateFormat=P","Fill=—","Direction=H","UseDPDF=Y")</f>
        <v>#NAME?</v>
      </c>
      <c r="DA87" s="4" t="e">
        <f ca="1">_xll.BDH($C$78,"ACCOUNTS_PAYABLE_TURNOVER","FQ4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87" s="2" t="e">
        <f ca="1">_xll.BDH($C$78,"ACCOUNTS_PAYABLE_TURNOVER_DAYS","FQ4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87" s="4" t="e">
        <f ca="1">_xll.BDH($C$78,"CASH_CONVERSION_CYCLE","FQ4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87" s="4" t="e">
        <f ca="1">_xll.BDH($C$78,"INV_TO_CASH_DAYS","FQ4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87" s="5" t="e">
        <f ca="1">_xll.BDH($C$78,"BS_INVENTORIES","FQ4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87" s="3" t="e">
        <f ca="1">_xll.BDH($C$78,"INVTRY_RAW_MATERIALS","FQ4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87" s="3" t="e">
        <f ca="1">_xll.BDH($C$78,"INVTRY_IN_PROGRESS","FQ4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87" s="3" t="e">
        <f ca="1">_xll.BDH($C$78,"INVTRY_FINISHED_GOODS","FQ4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87" s="3" t="e">
        <f ca="1">_xll.BDH($C$78,"BS_OTHER_INV","FQ4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88" spans="1:113" x14ac:dyDescent="0.3">
      <c r="A88" s="6"/>
      <c r="B88" s="6"/>
      <c r="C88" s="6"/>
      <c r="D88" s="6" t="s">
        <v>83</v>
      </c>
      <c r="E88" t="s">
        <v>77</v>
      </c>
      <c r="F88" t="e">
        <f ca="1">_xll.BDH($C$78,"RETURN_COM_EQY","FY 2016","FY 2016","Currency=INR","Period=FY","BEST_FPERIOD_OVERRIDE=FY","FILING_STATUS=OR","EQY_CONSOLIDATED=Y","FA_ADJUSTED=GAAP","Sort=A","Dates=H","DateFormat=P","Fill=—","Direction=H","UseDPDF=Y")</f>
        <v>#NAME?</v>
      </c>
      <c r="G88" t="e">
        <f ca="1">_xll.BDH($C$78,"RETURN_ON_ASSET","FY 2016","FY 2016","Currency=INR","Period=FY","BEST_FPERIOD_OVERRIDE=FY","FILING_STATUS=OR","EQY_CONSOLIDATED=Y","FA_ADJUSTED=GAAP","Sort=A","Dates=H","DateFormat=P","Fill=—","Direction=H","UseDPDF=Y")</f>
        <v>#NAME?</v>
      </c>
      <c r="H88" t="e">
        <f ca="1">_xll.BDH($C$78,"RETURN_ON_CAP","FY 2016","FY 2016","Currency=INR","Period=FY","BEST_FPERIOD_OVERRIDE=FY","FILING_STATUS=OR","EQY_CONSOLIDATED=Y","FA_ADJUSTED=GAAP","Sort=A","Dates=H","DateFormat=P","Fill=—","Direction=H","UseDPDF=Y")</f>
        <v>#NAME?</v>
      </c>
      <c r="I88" t="e">
        <f ca="1">_xll.BDH($C$78,"RETURN_ON_INV_CAPITAL","FY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88" t="e">
        <f ca="1">_xll.BDH($C$78,"EBITDA_TO_REVENUE","FY 2016","FY 2016","Currency=INR","Period=FY","BEST_FPERIOD_OVERRIDE=FY","FILING_STATUS=OR","EQY_CONSOLIDATED=Y","FA_ADJUSTED=GAAP","Sort=A","Dates=H","DateFormat=P","Fill=—","Direction=H","UseDPDF=Y")</f>
        <v>#NAME?</v>
      </c>
      <c r="K88" t="e">
        <f ca="1">_xll.BDH($C$78,"OPER_MARGIN","FY 2016","FY 2016","Currency=INR","Period=FY","BEST_FPERIOD_OVERRIDE=FY","FILING_STATUS=OR","EQY_CONSOLIDATED=Y","FA_ADJUSTED=GAAP","Sort=A","Dates=H","DateFormat=P","Fill=—","Direction=H","UseDPDF=Y")</f>
        <v>#NAME?</v>
      </c>
      <c r="L88" t="e">
        <f ca="1">_xll.BDH($C$78,"INCREMENTAL_OPERATING_MARGIN","FY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88" t="e">
        <f ca="1">_xll.BDH($C$78,"PRETAX_INC_TO_NET_SALES","FY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88" t="e">
        <f ca="1">_xll.BDH($C$78,"INC_BEF_XO_ITEMS_TO_NET_SALES","FY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88" t="e">
        <f ca="1">_xll.BDH($C$78,"PROF_MARGIN","FY 2016","FY 2016","Currency=INR","Period=FY","BEST_FPERIOD_OVERRIDE=FY","FILING_STATUS=OR","EQY_CONSOLIDATED=Y","FA_ADJUSTED=GAAP","Sort=A","Dates=H","DateFormat=P","Fill=—","Direction=H","UseDPDF=Y")</f>
        <v>#NAME?</v>
      </c>
      <c r="P88" t="e">
        <f ca="1">_xll.BDH($C$78,"NET_INCOME_TO_COMMON_MARGIN","FY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88" t="e">
        <f ca="1">_xll.BDH($C$78,"EFF_TAX_RATE","FY 2016","FY 2016","Currency=INR","Period=FY","BEST_FPERIOD_OVERRIDE=FY","FILING_STATUS=OR","EQY_CONSOLIDATED=Y","FA_ADJUSTED=GAAP","Sort=A","Dates=H","DateFormat=P","Fill=—","Direction=H","UseDPDF=Y")</f>
        <v>#NAME?</v>
      </c>
      <c r="R88" t="e">
        <f ca="1">_xll.BDH($C$78,"DVD_PAYOUT_RATIO","FY 2016","FY 2016","Currency=INR","Period=FY","BEST_FPERIOD_OVERRIDE=FY","FILING_STATUS=OR","EQY_CONSOLIDATED=Y","FA_ADJUSTED=GAAP","Sort=A","Dates=H","DateFormat=P","Fill=—","Direction=H","UseDPDF=Y")</f>
        <v>#NAME?</v>
      </c>
      <c r="S88" t="e">
        <f ca="1">_xll.BDH($C$78,"SUSTAIN_GROWTH_RT","FY 2016","FY 2016","Currency=INR","Period=FY","BEST_FPERIOD_OVERRIDE=FY","FILING_STATUS=OR","EQY_CONSOLIDATED=Y","FA_ADJUSTED=GAAP","Sort=A","Dates=H","DateFormat=P","Fill=—","Direction=H","UseDPDF=Y")</f>
        <v>#NAME?</v>
      </c>
      <c r="T88" s="2" t="e">
        <f ca="1">_xll.BDH($C$78,"SALES_GROWTH","FY 2016","FY 2016","Currency=INR","Period=FY","BEST_FPERIOD_OVERRIDE=FY","FILING_STATUS=OR","EQY_CONSOLIDATED=Y","FA_ADJUSTED=GAAP","Sort=A","Dates=H","DateFormat=P","Fill=—","Direction=H","UseDPDF=Y")</f>
        <v>#NAME?</v>
      </c>
      <c r="U88" s="2" t="e">
        <f ca="1">_xll.BDH($C$78,"EBITDA_GROWTH","FY 2016","FY 2016","Currency=INR","Period=FY","BEST_FPERIOD_OVERRIDE=FY","FILING_STATUS=OR","EQY_CONSOLIDATED=Y","FA_ADJUSTED=GAAP","Sort=A","Dates=H","DateFormat=P","Fill=—","Direction=H","UseDPDF=Y")</f>
        <v>#NAME?</v>
      </c>
      <c r="V88" s="2" t="e">
        <f ca="1">_xll.BDH($C$78,"OPER_INC_GROWTH","FY 2016","FY 2016","Currency=INR","Period=FY","BEST_FPERIOD_OVERRIDE=FY","FILING_STATUS=OR","EQY_CONSOLIDATED=Y","FA_ADJUSTED=GAAP","Sort=A","Dates=H","DateFormat=P","Fill=—","Direction=H","UseDPDF=Y")</f>
        <v>#NAME?</v>
      </c>
      <c r="W88" s="2" t="e">
        <f ca="1">_xll.BDH($C$78,"EARN_FOR_COM_GROWTH","FY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88" s="2" t="e">
        <f ca="1">_xll.BDH($C$78,"DILUTED_EPS_AFT_XO_ITEMS_GROWTH","FY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88" s="2" t="e">
        <f ca="1">_xll.BDH($C$78,"DIVIDEND_PER_SHARE_1_YEAR_GROWTH","FY 2016","FY 2016","Currency=INR","Period=FY","BEST_FPERIOD_OVERRIDE=FY","FILING_STATUS=OR","EQY_CONSOLIDATED=Y","Sort=A","Dates=H","DateFormat=P","Fill=—","Direction=H","UseDPDF=Y")</f>
        <v>#NAME?</v>
      </c>
      <c r="Z88" s="2" t="e">
        <f ca="1">_xll.BDH($C$78,"ACCOUNTS_RECEIVABLE_GROWTH","FY 2016","FY 2016","Currency=INR","Period=FY","BEST_FPERIOD_OVERRIDE=FY","FILING_STATUS=OR","EQY_CONSOLIDATED=Y","Sort=A","Dates=H","DateFormat=P","Fill=—","Direction=H","UseDPDF=Y")</f>
        <v>#NAME?</v>
      </c>
      <c r="AA88" s="2" t="e">
        <f ca="1">_xll.BDH($C$78,"INVENTORY_GROWTH","FY 2016","FY 2016","Currency=INR","Period=FY","BEST_FPERIOD_OVERRIDE=FY","FILING_STATUS=OR","EQY_CONSOLIDATED=Y","Sort=A","Dates=H","DateFormat=P","Fill=—","Direction=H","UseDPDF=Y")</f>
        <v>#NAME?</v>
      </c>
      <c r="AB88" s="2" t="e">
        <f ca="1">_xll.BDH($C$78,"NET_FIXED_ASSETS_1_YEAR_GROWTH","FY 2016","FY 2016","Currency=INR","Period=FY","BEST_FPERIOD_OVERRIDE=FY","FILING_STATUS=OR","EQY_CONSOLIDATED=Y","Sort=A","Dates=H","DateFormat=P","Fill=—","Direction=H","UseDPDF=Y")</f>
        <v>#NAME?</v>
      </c>
      <c r="AC88" s="2" t="e">
        <f ca="1">_xll.BDH($C$78,"ASSET_GROWTH","FY 2016","FY 2016","Currency=INR","Period=FY","BEST_FPERIOD_OVERRIDE=FY","FILING_STATUS=OR","EQY_CONSOLIDATED=Y","Sort=A","Dates=H","DateFormat=P","Fill=—","Direction=H","UseDPDF=Y")</f>
        <v>#NAME?</v>
      </c>
      <c r="AD88" s="2" t="e">
        <f ca="1">_xll.BDH($C$78,"MODIFIED_WORK_CAP_GROWTH","FY 2016","FY 2016","Currency=INR","Period=FY","BEST_FPERIOD_OVERRIDE=FY","FILING_STATUS=OR","EQY_CONSOLIDATED=Y","Sort=A","Dates=H","DateFormat=P","Fill=—","Direction=H","UseDPDF=Y")</f>
        <v>#NAME?</v>
      </c>
      <c r="AE88" s="2" t="e">
        <f ca="1">_xll.BDH($C$78,"WORK_CAP_GROWTH","FY 2016","FY 2016","Currency=INR","Period=FY","BEST_FPERIOD_OVERRIDE=FY","FILING_STATUS=OR","EQY_CONSOLIDATED=Y","Sort=A","Dates=H","DateFormat=P","Fill=—","Direction=H","UseDPDF=Y")</f>
        <v>#NAME?</v>
      </c>
      <c r="AF88" s="2" t="e">
        <f ca="1">_xll.BDH($C$78,"ACCOUNTS_PAYABLE_GROWTH_1YR","FY 2016","FY 2016","Currency=INR","Period=FY","BEST_FPERIOD_OVERRIDE=FY","FILING_STATUS=OR","EQY_CONSOLIDATED=Y","Sort=A","Dates=H","DateFormat=P","Fill=—","Direction=H","UseDPDF=Y")</f>
        <v>#NAME?</v>
      </c>
      <c r="AG88" s="2" t="e">
        <f ca="1">_xll.BDH($C$78,"SHORT_TERM_DEBT_1_YEAR_GROWTH","FY 2016","FY 2016","Currency=INR","Period=FY","BEST_FPERIOD_OVERRIDE=FY","FILING_STATUS=OR","EQY_CONSOLIDATED=Y","Sort=A","Dates=H","DateFormat=P","Fill=—","Direction=H","UseDPDF=Y")</f>
        <v>#NAME?</v>
      </c>
      <c r="AH88" s="2" t="e">
        <f ca="1">_xll.BDH($C$78,"TOTAL_DEBT_1_YEAR_GROWTH","FY 2016","FY 2016","Currency=INR","Period=FY","BEST_FPERIOD_OVERRIDE=FY","FILING_STATUS=OR","EQY_CONSOLIDATED=Y","Sort=A","Dates=H","DateFormat=P","Fill=—","Direction=H","UseDPDF=Y")</f>
        <v>#NAME?</v>
      </c>
      <c r="AI88" s="2" t="e">
        <f ca="1">_xll.BDH($C$78,"TOTAL_EQUITY_1_YEAR_GROWTH","FY 2016","FY 2016","Currency=INR","Period=FY","BEST_FPERIOD_OVERRIDE=FY","FILING_STATUS=OR","EQY_CONSOLIDATED=Y","Sort=A","Dates=H","DateFormat=P","Fill=—","Direction=H","UseDPDF=Y")</f>
        <v>#NAME?</v>
      </c>
      <c r="AJ88" s="2" t="e">
        <f ca="1">_xll.BDH($C$78,"GROWTH_IN_CAP","FY 2016","FY 2016","Currency=INR","Period=FY","BEST_FPERIOD_OVERRIDE=FY","FILING_STATUS=OR","EQY_CONSOLIDATED=Y","Sort=A","Dates=H","DateFormat=P","Fill=—","Direction=H","UseDPDF=Y")</f>
        <v>#NAME?</v>
      </c>
      <c r="AK88" s="2" t="e">
        <f ca="1">_xll.BDH($C$78,"BVPS_GROWTH","FY 2016","FY 2016","Currency=INR","Period=FY","BEST_FPERIOD_OVERRIDE=FY","FILING_STATUS=OR","EQY_CONSOLIDATED=Y","Sort=A","Dates=H","DateFormat=P","Fill=—","Direction=H","UseDPDF=Y")</f>
        <v>#NAME?</v>
      </c>
      <c r="AL88" s="2" t="e">
        <f ca="1">_xll.BDH($C$78,"CASH_FLOW_GROWTH","FY 2016","FY 2016","Currency=INR","Period=FY","BEST_FPERIOD_OVERRIDE=FY","FILING_STATUS=OR","EQY_CONSOLIDATED=Y","Sort=A","Dates=H","DateFormat=P","Fill=—","Direction=H","UseDPDF=Y")</f>
        <v>#NAME?</v>
      </c>
      <c r="AM88" s="2" t="e">
        <f ca="1">_xll.BDH($C$78,"GEO_GROW_NET_SALES","FY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88" s="2" t="e">
        <f ca="1">_xll.BDH($C$78,"GEO_GROW_EBITDA","FY 2016","FY 2016","Currency=INR","Period=FY","BEST_FPERIOD_OVERRIDE=FY","FILING_STATUS=OR","EQY_CONSOLIDATED=Y","FA_ADJUSTED=GAAP","Sort=A","Dates=H","DateFormat=P","Fill=—","Direction=H","UseDPDF=Y")</f>
        <v>#NAME?</v>
      </c>
      <c r="AO88" s="2" t="e">
        <f ca="1">_xll.BDH($C$78,"GEO_GROW_OPER_INC","FY 2016","FY 2016","Currency=INR","Period=FY","BEST_FPERIOD_OVERRIDE=FY","FILING_STATUS=OR","EQY_CONSOLIDATED=Y","FA_ADJUSTED=GAAP","Sort=A","Dates=H","DateFormat=P","Fill=—","Direction=H","UseDPDF=Y")</f>
        <v>#NAME?</v>
      </c>
      <c r="AP88" s="2" t="e">
        <f ca="1">_xll.BDH($C$78,"NET_INCOME_TO_COMMON_5_YR_GROWTH","FY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88" s="2" t="e">
        <f ca="1">_xll.BDH($C$78,"5Y_GEO_GROWTH_DILUTED_EPS","FY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88" s="2" t="e">
        <f ca="1">_xll.BDH($C$78,"GEO_GROW_DVD_PER_SH","FY 2016","FY 2016","Currency=INR","Period=FY","BEST_FPERIOD_OVERRIDE=FY","FILING_STATUS=OR","EQY_CONSOLIDATED=Y","Sort=A","Dates=H","DateFormat=P","Fill=—","Direction=H","UseDPDF=Y")</f>
        <v>#NAME?</v>
      </c>
      <c r="AS88" s="2" t="e">
        <f ca="1">_xll.BDH($C$78,"ACCOUNTS_RECEIVABLE_5_YR_GROWTH","FY 2016","FY 2016","Currency=INR","Period=FY","BEST_FPERIOD_OVERRIDE=FY","FILING_STATUS=OR","EQY_CONSOLIDATED=Y","Sort=A","Dates=H","DateFormat=P","Fill=—","Direction=H","UseDPDF=Y")</f>
        <v>#NAME?</v>
      </c>
      <c r="AT88" s="2" t="e">
        <f ca="1">_xll.BDH($C$78,"INVENTORY_5_YEAR_GROWTH","FY 2016","FY 2016","Currency=INR","Period=FY","BEST_FPERIOD_OVERRIDE=FY","FILING_STATUS=OR","EQY_CONSOLIDATED=Y","Sort=A","Dates=H","DateFormat=P","Fill=—","Direction=H","UseDPDF=Y")</f>
        <v>#NAME?</v>
      </c>
      <c r="AU88" s="2" t="e">
        <f ca="1">_xll.BDH($C$78,"NET_FIXED_ASSETS_5_YEAR_GROWTH","FY 2016","FY 2016","Currency=INR","Period=FY","BEST_FPERIOD_OVERRIDE=FY","FILING_STATUS=OR","EQY_CONSOLIDATED=Y","Sort=A","Dates=H","DateFormat=P","Fill=—","Direction=H","UseDPDF=Y")</f>
        <v>#NAME?</v>
      </c>
      <c r="AV88" s="2" t="e">
        <f ca="1">_xll.BDH($C$78,"GEO_GROW_TOT_ASSET","FY 2016","FY 2016","Currency=INR","Period=FY","BEST_FPERIOD_OVERRIDE=FY","FILING_STATUS=OR","EQY_CONSOLIDATED=Y","Sort=A","Dates=H","DateFormat=P","Fill=—","Direction=H","UseDPDF=Y")</f>
        <v>#NAME?</v>
      </c>
      <c r="AW88" s="2" t="e">
        <f ca="1">_xll.BDH($C$78,"MODIFIED_WORKING_CPTL_5YR_GRWTH","FY 2016","FY 2016","Currency=INR","Period=FY","BEST_FPERIOD_OVERRIDE=FY","FILING_STATUS=OR","EQY_CONSOLIDATED=Y","Sort=A","Dates=H","DateFormat=P","Fill=—","Direction=H","UseDPDF=Y")</f>
        <v>#NAME?</v>
      </c>
      <c r="AX88" s="2" t="e">
        <f ca="1">_xll.BDH($C$78,"WORKING_CAPITAL_5_YEAR_GROWTH","FY 2016","FY 2016","Currency=INR","Period=FY","BEST_FPERIOD_OVERRIDE=FY","FILING_STATUS=OR","EQY_CONSOLIDATED=Y","Sort=A","Dates=H","DateFormat=P","Fill=—","Direction=H","UseDPDF=Y")</f>
        <v>#NAME?</v>
      </c>
      <c r="AY88" s="2" t="e">
        <f ca="1">_xll.BDH($C$78,"ACCOUNTS_PAYABLE_5_YEAR_GROWTH","FY 2016","FY 2016","Currency=INR","Period=FY","BEST_FPERIOD_OVERRIDE=FY","FILING_STATUS=OR","EQY_CONSOLIDATED=Y","Sort=A","Dates=H","DateFormat=P","Fill=—","Direction=H","UseDPDF=Y")</f>
        <v>#NAME?</v>
      </c>
      <c r="AZ88" s="2" t="e">
        <f ca="1">_xll.BDH($C$78,"SHORT_TERM_DEBT_5_YEAR_GROWTH","FY 2016","FY 2016","Currency=INR","Period=FY","BEST_FPERIOD_OVERRIDE=FY","FILING_STATUS=OR","EQY_CONSOLIDATED=Y","Sort=A","Dates=H","DateFormat=P","Fill=—","Direction=H","UseDPDF=Y")</f>
        <v>#NAME?</v>
      </c>
      <c r="BA88" s="2" t="e">
        <f ca="1">_xll.BDH($C$78,"TOTAL_DEBT_5_YEAR_GROWTH","FY 2016","FY 2016","Currency=INR","Period=FY","BEST_FPERIOD_OVERRIDE=FY","FILING_STATUS=OR","EQY_CONSOLIDATED=Y","Sort=A","Dates=H","DateFormat=P","Fill=—","Direction=H","UseDPDF=Y")</f>
        <v>#NAME?</v>
      </c>
      <c r="BB88" s="2" t="e">
        <f ca="1">_xll.BDH($C$78,"GEO_GROW_TOT_SHRHLDR_EQY","FY 2016","FY 2016","Currency=INR","Period=FY","BEST_FPERIOD_OVERRIDE=FY","FILING_STATUS=OR","EQY_CONSOLIDATED=Y","Sort=A","Dates=H","DateFormat=P","Fill=—","Direction=H","UseDPDF=Y")</f>
        <v>#NAME?</v>
      </c>
      <c r="BC88" s="2" t="e">
        <f ca="1">_xll.BDH($C$78,"TOTAL_CAPITAL_5_YEAR_GROWTH","FY 2016","FY 2016","Currency=INR","Period=FY","BEST_FPERIOD_OVERRIDE=FY","FILING_STATUS=OR","EQY_CONSOLIDATED=Y","Sort=A","Dates=H","DateFormat=P","Fill=—","Direction=H","UseDPDF=Y")</f>
        <v>#NAME?</v>
      </c>
      <c r="BD88" s="2" t="e">
        <f ca="1">_xll.BDH($C$78,"GEO_GROW_BOOK_VAL","FY 2016","FY 2016","Currency=INR","Period=FY","BEST_FPERIOD_OVERRIDE=FY","FILING_STATUS=OR","EQY_CONSOLIDATED=Y","Sort=A","Dates=H","DateFormat=P","Fill=—","Direction=H","UseDPDF=Y")</f>
        <v>#NAME?</v>
      </c>
      <c r="BE88" s="2" t="e">
        <f ca="1">_xll.BDH($C$78,"GEO_GROW_CASH_OPER_ACT","FY 2016","FY 2016","Currency=INR","Period=FY","BEST_FPERIOD_OVERRIDE=FY","FILING_STATUS=OR","EQY_CONSOLIDATED=Y","Sort=A","Dates=H","DateFormat=P","Fill=—","Direction=H","UseDPDF=Y")</f>
        <v>#NAME?</v>
      </c>
      <c r="BF88" s="2" t="e">
        <f ca="1">_xll.BDH($C$78,"REVENUE_SEQUENTIAL_GROWTH","FY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88" s="2" t="e">
        <f ca="1">_xll.BDH($C$78,"EBITDA_SEQUENTIAL_GROWTH","FY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88" s="2" t="e">
        <f ca="1">_xll.BDH($C$78,"OPERATING_INCOME_SEQ_GROWTH","FY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88" s="2" t="e">
        <f ca="1">_xll.BDH($C$78,"NET_INCOME_TO_COMMON_SEQ_GROWTH","FY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88" s="2" t="e">
        <f ca="1">_xll.BDH($C$78,"EPS_DILUTED_SEQUENTIAL_GROWTH","FY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88" s="2" t="e">
        <f ca="1">_xll.BDH($C$78,"DPS_SEQUENTIAL_GROWTH","FY 2016","FY 2016","Currency=INR","Period=FY","BEST_FPERIOD_OVERRIDE=FY","FILING_STATUS=OR","EQY_CONSOLIDATED=Y","Sort=A","Dates=H","DateFormat=P","Fill=—","Direction=H","UseDPDF=Y")</f>
        <v>#NAME?</v>
      </c>
      <c r="BL88" s="2" t="e">
        <f ca="1">_xll.BDH($C$78,"ACCOUNTS_RECEIVABLE_SEQ_GROWTH","FY 2016","FY 2016","Currency=INR","Period=FY","BEST_FPERIOD_OVERRIDE=FY","FILING_STATUS=OR","EQY_CONSOLIDATED=Y","Sort=A","Dates=H","DateFormat=P","Fill=—","Direction=H","UseDPDF=Y")</f>
        <v>#NAME?</v>
      </c>
      <c r="BM88" s="2" t="e">
        <f ca="1">_xll.BDH($C$78,"INVENTORY_SEQUENTIAL_GROWTH","FY 2016","FY 2016","Currency=INR","Period=FY","BEST_FPERIOD_OVERRIDE=FY","FILING_STATUS=OR","EQY_CONSOLIDATED=Y","Sort=A","Dates=H","DateFormat=P","Fill=—","Direction=H","UseDPDF=Y")</f>
        <v>#NAME?</v>
      </c>
      <c r="BN88" s="2" t="e">
        <f ca="1">_xll.BDH($C$78,"FIXED_ASSETS_SEQUENTIAL_GROWTH","FY 2016","FY 2016","Currency=INR","Period=FY","BEST_FPERIOD_OVERRIDE=FY","FILING_STATUS=OR","EQY_CONSOLIDATED=Y","Sort=A","Dates=H","DateFormat=P","Fill=—","Direction=H","UseDPDF=Y")</f>
        <v>#NAME?</v>
      </c>
      <c r="BO88" s="2" t="e">
        <f ca="1">_xll.BDH($C$78,"TOTAL_ASSETS_SEQUENTIAL_GROWTH","FY 2016","FY 2016","Currency=INR","Period=FY","BEST_FPERIOD_OVERRIDE=FY","FILING_STATUS=OR","EQY_CONSOLIDATED=Y","Sort=A","Dates=H","DateFormat=P","Fill=—","Direction=H","UseDPDF=Y")</f>
        <v>#NAME?</v>
      </c>
      <c r="BP88" s="2" t="e">
        <f ca="1">_xll.BDH($C$78,"MODIFIED_WORKING_CPTL_SEQ_GRWTH","FY 2016","FY 2016","Currency=INR","Period=FY","BEST_FPERIOD_OVERRIDE=FY","FILING_STATUS=OR","EQY_CONSOLIDATED=Y","Sort=A","Dates=H","DateFormat=P","Fill=—","Direction=H","UseDPDF=Y")</f>
        <v>#NAME?</v>
      </c>
      <c r="BQ88" s="2" t="e">
        <f ca="1">_xll.BDH($C$78,"WORKING_CAPITAL_SEQ_GROWTH","FY 2016","FY 2016","Currency=INR","Period=FY","BEST_FPERIOD_OVERRIDE=FY","FILING_STATUS=OR","EQY_CONSOLIDATED=Y","Sort=A","Dates=H","DateFormat=P","Fill=—","Direction=H","UseDPDF=Y")</f>
        <v>#NAME?</v>
      </c>
      <c r="BR88" s="2" t="e">
        <f ca="1">_xll.BDH($C$78,"ACCOUNTS_PAYABLE_SEQ_GROWTH","FY 2016","FY 2016","Currency=INR","Period=FY","BEST_FPERIOD_OVERRIDE=FY","FILING_STATUS=OR","EQY_CONSOLIDATED=Y","Sort=A","Dates=H","DateFormat=P","Fill=—","Direction=H","UseDPDF=Y")</f>
        <v>#NAME?</v>
      </c>
      <c r="BS88" s="2" t="e">
        <f ca="1">_xll.BDH($C$78,"ST_DEBT_SEQUENTIAL_GROWTH","FY 2016","FY 2016","Currency=INR","Period=FY","BEST_FPERIOD_OVERRIDE=FY","FILING_STATUS=OR","EQY_CONSOLIDATED=Y","Sort=A","Dates=H","DateFormat=P","Fill=—","Direction=H","UseDPDF=Y")</f>
        <v>#NAME?</v>
      </c>
      <c r="BT88" s="2" t="e">
        <f ca="1">_xll.BDH($C$78,"TOTAL_DEBT_SEQUENTIAL_GROWTH","FY 2016","FY 2016","Currency=INR","Period=FY","BEST_FPERIOD_OVERRIDE=FY","FILING_STATUS=OR","EQY_CONSOLIDATED=Y","Sort=A","Dates=H","DateFormat=P","Fill=—","Direction=H","UseDPDF=Y")</f>
        <v>#NAME?</v>
      </c>
      <c r="BU88" s="2" t="e">
        <f ca="1">_xll.BDH($C$78,"TOTAL_EQUITY_SEQUENTIAL_GROWTH","FY 2016","FY 2016","Currency=INR","Period=FY","BEST_FPERIOD_OVERRIDE=FY","FILING_STATUS=OR","EQY_CONSOLIDATED=Y","Sort=A","Dates=H","DateFormat=P","Fill=—","Direction=H","UseDPDF=Y")</f>
        <v>#NAME?</v>
      </c>
      <c r="BV88" s="2" t="e">
        <f ca="1">_xll.BDH($C$78,"TOTAL_CAPITAL_SEQUENTIAL_GROWTH","FY 2016","FY 2016","Currency=INR","Period=FY","BEST_FPERIOD_OVERRIDE=FY","FILING_STATUS=OR","EQY_CONSOLIDATED=Y","Sort=A","Dates=H","DateFormat=P","Fill=—","Direction=H","UseDPDF=Y")</f>
        <v>#NAME?</v>
      </c>
      <c r="BW88" s="2" t="e">
        <f ca="1">_xll.BDH($C$78,"BPS_SEQUENTIAL_GROWTH","FY 2016","FY 2016","Currency=INR","Period=FY","BEST_FPERIOD_OVERRIDE=FY","FILING_STATUS=OR","EQY_CONSOLIDATED=Y","Sort=A","Dates=H","DateFormat=P","Fill=—","Direction=H","UseDPDF=Y")</f>
        <v>#NAME?</v>
      </c>
      <c r="BX88" s="2" t="e">
        <f ca="1">_xll.BDH($C$78,"CFO_SEQUENTIAL_GROWTH","FY 2016","FY 2016","Currency=INR","Period=FY","BEST_FPERIOD_OVERRIDE=FY","FILING_STATUS=OR","EQY_CONSOLIDATED=Y","Sort=A","Dates=H","DateFormat=P","Fill=—","Direction=H","UseDPDF=Y")</f>
        <v>#NAME?</v>
      </c>
      <c r="BY88" s="3" t="e">
        <f ca="1">_xll.BDH($C$78,"SHORT_AND_LONG_TERM_DEBT","FY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88" s="3" t="e">
        <f ca="1">_xll.BDH($C$78,"BS_ST_BORROW","FY 2016","FY 2016","Currency=INR","Period=FY","BEST_FPERIOD_OVERRIDE=FY","FILING_STATUS=OR","EQY_CONSOLIDATED=Y","SCALING_FORMAT=MLN","Sort=A","Dates=H","DateFormat=P","Fill=—","Direction=H","UseDPDF=Y")</f>
        <v>#NAME?</v>
      </c>
      <c r="CA88" s="3" t="e">
        <f ca="1">_xll.BDH($C$78,"BS_LT_BORROW","FY 2016","FY 2016","Currency=INR","Period=FY","BEST_FPERIOD_OVERRIDE=FY","FILING_STATUS=OR","EQY_CONSOLIDATED=Y","SCALING_FORMAT=MLN","Sort=A","Dates=H","DateFormat=P","Fill=—","Direction=H","UseDPDF=Y")</f>
        <v>#NAME?</v>
      </c>
      <c r="CB88" s="2" t="e">
        <f ca="1">_xll.BDH($C$78,"TOT_DEBT_TO_EBITDA","FY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88" s="2" t="e">
        <f ca="1">_xll.BDH($C$78,"NET_DEBT_TO_EBITDA","FY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88" s="2" t="e">
        <f ca="1">_xll.BDH($C$78,"TOTAL_DEBT_TO_EBIT","FY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88" s="2" t="e">
        <f ca="1">_xll.BDH($C$78,"NET_DEBT_TO_EBIT","FY 2016","FY 2016","Currency=INR","Period=FY","BEST_FPERIOD_OVERRIDE=FY","FILING_STATUS=OR","EQY_CONSOLIDATED=Y","FA_ADJUSTED=GAAP","Sort=A","Dates=H","DateFormat=P","Fill=—","Direction=H","UseDPDF=Y")</f>
        <v>#NAME?</v>
      </c>
      <c r="CF88" s="2" t="e">
        <f ca="1">_xll.BDH($C$78,"EBITDA_TO_INTEREST_EXPN","FY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88" s="2" t="e">
        <f ca="1">_xll.BDH($C$78,"COM_EQY_TO_TOT_ASSET","FY 2016","FY 2016","Currency=INR","Period=FY","BEST_FPERIOD_OVERRIDE=FY","FILING_STATUS=OR","EQY_CONSOLIDATED=Y","Sort=A","Dates=H","DateFormat=P","Fill=—","Direction=H","UseDPDF=Y")</f>
        <v>#NAME?</v>
      </c>
      <c r="CH88" s="2" t="e">
        <f ca="1">_xll.BDH($C$78,"LT_DEBT_TO_TOT_EQY","FY 2016","FY 2016","Currency=INR","Period=FY","BEST_FPERIOD_OVERRIDE=FY","FILING_STATUS=OR","EQY_CONSOLIDATED=Y","Sort=A","Dates=H","DateFormat=P","Fill=—","Direction=H","UseDPDF=Y")</f>
        <v>#NAME?</v>
      </c>
      <c r="CI88" s="2" t="e">
        <f ca="1">_xll.BDH($C$78,"LT_DEBT_TO_TOT_CAP","FY 2016","FY 2016","Currency=INR","Period=FY","BEST_FPERIOD_OVERRIDE=FY","FILING_STATUS=OR","EQY_CONSOLIDATED=Y","Sort=A","Dates=H","DateFormat=P","Fill=—","Direction=H","UseDPDF=Y")</f>
        <v>#NAME?</v>
      </c>
      <c r="CJ88" s="2" t="e">
        <f ca="1">_xll.BDH($C$78,"LT_DEBT_TO_TOT_ASSET","FY 2016","FY 2016","Currency=INR","Period=FY","BEST_FPERIOD_OVERRIDE=FY","FILING_STATUS=OR","EQY_CONSOLIDATED=Y","Sort=A","Dates=H","DateFormat=P","Fill=—","Direction=H","UseDPDF=Y")</f>
        <v>#NAME?</v>
      </c>
      <c r="CK88" s="2" t="e">
        <f ca="1">_xll.BDH($C$78,"TOT_DEBT_TO_TOT_EQY","FY 2016","FY 2016","Currency=INR","Period=FY","BEST_FPERIOD_OVERRIDE=FY","FILING_STATUS=OR","EQY_CONSOLIDATED=Y","Sort=A","Dates=H","DateFormat=P","Fill=—","Direction=H","UseDPDF=Y")</f>
        <v>#NAME?</v>
      </c>
      <c r="CL88" s="2" t="e">
        <f ca="1">_xll.BDH($C$78,"TOT_DEBT_TO_TOT_CAP","FY 2016","FY 2016","Currency=INR","Period=FY","BEST_FPERIOD_OVERRIDE=FY","FILING_STATUS=OR","EQY_CONSOLIDATED=Y","Sort=A","Dates=H","DateFormat=P","Fill=—","Direction=H","UseDPDF=Y")</f>
        <v>#NAME?</v>
      </c>
      <c r="CM88" s="2" t="e">
        <f ca="1">_xll.BDH($C$78,"TOT_DEBT_TO_TOT_ASSET","FY 2016","FY 2016","Currency=INR","Period=FY","BEST_FPERIOD_OVERRIDE=FY","FILING_STATUS=OR","EQY_CONSOLIDATED=Y","Sort=A","Dates=H","DateFormat=P","Fill=—","Direction=H","UseDPDF=Y")</f>
        <v>#NAME?</v>
      </c>
      <c r="CN88" s="2" t="e">
        <f ca="1">_xll.BDH($C$78,"NET_DEBT_TO_SHRHLDR_EQTY","FY 2016","FY 2016","Currency=INR","Period=FY","BEST_FPERIOD_OVERRIDE=FY","FILING_STATUS=OR","EQY_CONSOLIDATED=Y","Sort=A","Dates=H","DateFormat=P","Fill=—","Direction=H","UseDPDF=Y")</f>
        <v>#NAME?</v>
      </c>
      <c r="CO88" s="2" t="e">
        <f ca="1">_xll.BDH($C$78,"NET_DEBT_%_CAPITAL","FY 2016","FY 2016","Currency=INR","Period=FY","BEST_FPERIOD_OVERRIDE=FY","FILING_STATUS=OR","EQY_CONSOLIDATED=Y","Sort=A","Dates=H","DateFormat=P","Fill=—","Direction=H","UseDPDF=Y")</f>
        <v>#NAME?</v>
      </c>
      <c r="CP88" s="3" t="e">
        <f ca="1">_xll.BDH($C$78,"EBITDA","FY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88" s="3" t="e">
        <f ca="1">_xll.BDH($C$78,"EBITDA_AFTER_CAPEX","FY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88" s="3" t="e">
        <f ca="1">_xll.BDH($C$78,"IS_OPER_INC","FY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88" s="2" t="e">
        <f ca="1">_xll.BDH($C$78,"CASH_RATIO","FY 2016","FY 2016","Currency=INR","Period=FY","BEST_FPERIOD_OVERRIDE=FY","FILING_STATUS=OR","EQY_CONSOLIDATED=Y","Sort=A","Dates=H","DateFormat=P","Fill=—","Direction=H","UseDPDF=Y")</f>
        <v>#NAME?</v>
      </c>
      <c r="CT88" s="2" t="e">
        <f ca="1">_xll.BDH($C$78,"CUR_RATIO","FY 2016","FY 2016","Currency=INR","Period=FY","BEST_FPERIOD_OVERRIDE=FY","FILING_STATUS=OR","EQY_CONSOLIDATED=Y","Sort=A","Dates=H","DateFormat=P","Fill=—","Direction=H","UseDPDF=Y")</f>
        <v>#NAME?</v>
      </c>
      <c r="CU88" s="2" t="e">
        <f ca="1">_xll.BDH($C$78,"QUICK_RATIO","FY 2016","FY 2016","Currency=INR","Period=FY","BEST_FPERIOD_OVERRIDE=FY","FILING_STATUS=OR","EQY_CONSOLIDATED=Y","Sort=A","Dates=H","DateFormat=P","Fill=—","Direction=H","UseDPDF=Y")</f>
        <v>#NAME?</v>
      </c>
      <c r="CV88" s="2" t="e">
        <f ca="1">_xll.BDH($C$78,"ALTMAN_Z_SCORE","FY 2016","FY 2016","Currency=INR","Period=FY","BEST_FPERIOD_OVERRIDE=FY","FILING_STATUS=OR","EQY_CONSOLIDATED=Y","Sort=A","Dates=H","DateFormat=P","Fill=—","Direction=H","UseDPDF=Y")</f>
        <v>#NAME?</v>
      </c>
      <c r="CW88" s="4" t="e">
        <f ca="1">_xll.BDH($C$78,"ACCT_RCV_TURN","FY 2016","FY 2016","Currency=INR","Period=FY","BEST_FPERIOD_OVERRIDE=FY","FILING_STATUS=OR","EQY_CONSOLIDATED=Y","FA_ADJUSTED=GAAP","Sort=A","Dates=H","DateFormat=P","Fill=—","Direction=H","UseDPDF=Y")</f>
        <v>#NAME?</v>
      </c>
      <c r="CX88" s="2" t="e">
        <f ca="1">_xll.BDH($C$78,"ACCT_RCV_DAYS","FY 2016","FY 2016","Currency=INR","Period=FY","BEST_FPERIOD_OVERRIDE=FY","FILING_STATUS=OR","EQY_CONSOLIDATED=Y","FA_ADJUSTED=GAAP","Sort=A","Dates=H","DateFormat=P","Fill=—","Direction=H","UseDPDF=Y")</f>
        <v>#NAME?</v>
      </c>
      <c r="CY88" s="4" t="e">
        <f ca="1">_xll.BDH($C$78,"INVENT_TURN","FY 2016","FY 2016","Currency=INR","Period=FY","BEST_FPERIOD_OVERRIDE=FY","FILING_STATUS=OR","EQY_CONSOLIDATED=Y","FA_ADJUSTED=GAAP","Sort=A","Dates=H","DateFormat=P","Fill=—","Direction=H","UseDPDF=Y")</f>
        <v>#NAME?</v>
      </c>
      <c r="CZ88" s="2" t="e">
        <f ca="1">_xll.BDH($C$78,"INVENT_DAYS","FY 2016","FY 2016","Currency=INR","Period=FY","BEST_FPERIOD_OVERRIDE=FY","FILING_STATUS=OR","EQY_CONSOLIDATED=Y","FA_ADJUSTED=GAAP","Sort=A","Dates=H","DateFormat=P","Fill=—","Direction=H","UseDPDF=Y")</f>
        <v>#NAME?</v>
      </c>
      <c r="DA88" s="4" t="e">
        <f ca="1">_xll.BDH($C$78,"ACCOUNTS_PAYABLE_TURNOVER","FY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88" s="2" t="e">
        <f ca="1">_xll.BDH($C$78,"ACCOUNTS_PAYABLE_TURNOVER_DAYS","FY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88" s="4" t="e">
        <f ca="1">_xll.BDH($C$78,"CASH_CONVERSION_CYCLE","FY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88" s="4" t="e">
        <f ca="1">_xll.BDH($C$78,"INV_TO_CASH_DAYS","FY 2016","FY 2016","Currency=INR","Period=FY","BEST_FPERIOD_OVERRIDE=FY","FILING_STATUS=OR","EQY_CONSOLIDATED=Y","FA_ADJUSTED=GAAP","Sort=A","Dates=H","DateFormat=P","Fill=—","Direction=H","UseDPDF=Y")</f>
        <v>#NAME?</v>
      </c>
      <c r="DE88" s="5" t="e">
        <f ca="1">_xll.BDH($C$78,"BS_INVENTORIES","FY 2016","FY 2016","Currency=INR","Period=FY","BEST_FPERIOD_OVERRIDE=FY","FILING_STATUS=OR","EQY_CONSOLIDATED=Y","SCALING_FORMAT=MLN","Sort=A","Dates=H","DateFormat=P","Fill=—","Direction=H","UseDPDF=Y")</f>
        <v>#NAME?</v>
      </c>
      <c r="DF88" s="3" t="e">
        <f ca="1">_xll.BDH($C$78,"INVTRY_RAW_MATERIALS","FY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88" s="3" t="e">
        <f ca="1">_xll.BDH($C$78,"INVTRY_IN_PROGRESS","FY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88" s="3" t="e">
        <f ca="1">_xll.BDH($C$78,"INVTRY_FINISHED_GOODS","FY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88" s="3" t="e">
        <f ca="1">_xll.BDH($C$78,"BS_OTHER_INV","FY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89" spans="1:113" x14ac:dyDescent="0.3">
      <c r="A89" s="6"/>
      <c r="B89" s="6"/>
      <c r="C89" s="6"/>
      <c r="D89" s="6"/>
      <c r="E89" t="s">
        <v>78</v>
      </c>
      <c r="F89" t="e">
        <f ca="1">_xll.BDH($C$78,"RETURN_COM_EQY","FQ1 2016","FQ1 2016","Currency=INR","Period=FQ","BEST_FPERIOD_OVERRIDE=FQ","FILING_STATUS=OR","EQY_CONSOLIDATED=Y","FA_ADJUSTED=GAAP","Sort=A","Dates=H","DateFormat=P","Fill=—","Direction=H","UseDPDF=Y")</f>
        <v>#NAME?</v>
      </c>
      <c r="G89" t="e">
        <f ca="1">_xll.BDH($C$78,"RETURN_ON_ASSET","FQ1 2016","FQ1 2016","Currency=INR","Period=FQ","BEST_FPERIOD_OVERRIDE=FQ","FILING_STATUS=OR","EQY_CONSOLIDATED=Y","FA_ADJUSTED=GAAP","Sort=A","Dates=H","DateFormat=P","Fill=—","Direction=H","UseDPDF=Y")</f>
        <v>#NAME?</v>
      </c>
      <c r="H89" t="e">
        <f ca="1">_xll.BDH($C$78,"RETURN_ON_CAP","FQ1 2016","FQ1 2016","Currency=INR","Period=FQ","BEST_FPERIOD_OVERRIDE=FQ","FILING_STATUS=OR","EQY_CONSOLIDATED=Y","FA_ADJUSTED=GAAP","Sort=A","Dates=H","DateFormat=P","Fill=—","Direction=H","UseDPDF=Y")</f>
        <v>#NAME?</v>
      </c>
      <c r="I89" t="e">
        <f ca="1">_xll.BDH($C$78,"RETURN_ON_INV_CAPITAL","FQ1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89" t="e">
        <f ca="1">_xll.BDH($C$78,"EBITDA_TO_REVENUE","FQ1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89" t="e">
        <f ca="1">_xll.BDH($C$78,"OPER_MARGIN","FQ1 2016","FQ1 2016","Currency=INR","Period=FQ","BEST_FPERIOD_OVERRIDE=FQ","FILING_STATUS=OR","EQY_CONSOLIDATED=Y","FA_ADJUSTED=GAAP","Sort=A","Dates=H","DateFormat=P","Fill=—","Direction=H","UseDPDF=Y")</f>
        <v>#NAME?</v>
      </c>
      <c r="L89" t="e">
        <f ca="1">_xll.BDH($C$78,"INCREMENTAL_OPERATING_MARGIN","FQ1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89" t="e">
        <f ca="1">_xll.BDH($C$78,"PRETAX_INC_TO_NET_SALES","FQ1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89" t="e">
        <f ca="1">_xll.BDH($C$78,"INC_BEF_XO_ITEMS_TO_NET_SALES","FQ1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89" t="e">
        <f ca="1">_xll.BDH($C$78,"PROF_MARGIN","FQ1 2016","FQ1 2016","Currency=INR","Period=FQ","BEST_FPERIOD_OVERRIDE=FQ","FILING_STATUS=OR","EQY_CONSOLIDATED=Y","FA_ADJUSTED=GAAP","Sort=A","Dates=H","DateFormat=P","Fill=—","Direction=H","UseDPDF=Y")</f>
        <v>#NAME?</v>
      </c>
      <c r="P89" t="e">
        <f ca="1">_xll.BDH($C$78,"NET_INCOME_TO_COMMON_MARGIN","FQ1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89" t="e">
        <f ca="1">_xll.BDH($C$78,"EFF_TAX_RATE","FQ1 2016","FQ1 2016","Currency=INR","Period=FQ","BEST_FPERIOD_OVERRIDE=FQ","FILING_STATUS=OR","EQY_CONSOLIDATED=Y","FA_ADJUSTED=GAAP","Sort=A","Dates=H","DateFormat=P","Fill=—","Direction=H","UseDPDF=Y")</f>
        <v>#NAME?</v>
      </c>
      <c r="R89" t="e">
        <f ca="1">_xll.BDH($C$78,"DVD_PAYOUT_RATIO","FQ1 2016","FQ1 2016","Currency=INR","Period=FQ","BEST_FPERIOD_OVERRIDE=FQ","FILING_STATUS=OR","EQY_CONSOLIDATED=Y","FA_ADJUSTED=GAAP","Sort=A","Dates=H","DateFormat=P","Fill=—","Direction=H","UseDPDF=Y")</f>
        <v>#NAME?</v>
      </c>
      <c r="S89" t="e">
        <f ca="1">_xll.BDH($C$78,"SUSTAIN_GROWTH_RT","FQ1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89" s="2" t="e">
        <f ca="1">_xll.BDH($C$78,"SALES_GROWTH","FQ1 2016","FQ1 2016","Currency=INR","Period=FQ","BEST_FPERIOD_OVERRIDE=FQ","FILING_STATUS=OR","EQY_CONSOLIDATED=Y","FA_ADJUSTED=GAAP","Sort=A","Dates=H","DateFormat=P","Fill=—","Direction=H","UseDPDF=Y")</f>
        <v>#NAME?</v>
      </c>
      <c r="U89" s="2" t="e">
        <f ca="1">_xll.BDH($C$78,"EBITDA_GROWTH","FQ1 2016","FQ1 2016","Currency=INR","Period=FQ","BEST_FPERIOD_OVERRIDE=FQ","FILING_STATUS=OR","EQY_CONSOLIDATED=Y","FA_ADJUSTED=GAAP","Sort=A","Dates=H","DateFormat=P","Fill=—","Direction=H","UseDPDF=Y")</f>
        <v>#NAME?</v>
      </c>
      <c r="V89" s="2" t="e">
        <f ca="1">_xll.BDH($C$78,"OPER_INC_GROWTH","FQ1 2016","FQ1 2016","Currency=INR","Period=FQ","BEST_FPERIOD_OVERRIDE=FQ","FILING_STATUS=OR","EQY_CONSOLIDATED=Y","FA_ADJUSTED=GAAP","Sort=A","Dates=H","DateFormat=P","Fill=—","Direction=H","UseDPDF=Y")</f>
        <v>#NAME?</v>
      </c>
      <c r="W89" s="2" t="e">
        <f ca="1">_xll.BDH($C$78,"EARN_FOR_COM_GROWTH","FQ1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89" s="2" t="e">
        <f ca="1">_xll.BDH($C$78,"DILUTED_EPS_AFT_XO_ITEMS_GROWTH","FQ1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89" s="2" t="e">
        <f ca="1">_xll.BDH($C$78,"DIVIDEND_PER_SHARE_1_YEAR_GROWTH","FQ1 2016","FQ1 2016","Currency=INR","Period=FQ","BEST_FPERIOD_OVERRIDE=FQ","FILING_STATUS=OR","EQY_CONSOLIDATED=Y","Sort=A","Dates=H","DateFormat=P","Fill=—","Direction=H","UseDPDF=Y")</f>
        <v>#NAME?</v>
      </c>
      <c r="Z89" s="2" t="e">
        <f ca="1">_xll.BDH($C$78,"ACCOUNTS_RECEIVABLE_GROWTH","FQ1 2016","FQ1 2016","Currency=INR","Period=FQ","BEST_FPERIOD_OVERRIDE=FQ","FILING_STATUS=OR","EQY_CONSOLIDATED=Y","Sort=A","Dates=H","DateFormat=P","Fill=—","Direction=H","UseDPDF=Y")</f>
        <v>#NAME?</v>
      </c>
      <c r="AA89" s="2" t="e">
        <f ca="1">_xll.BDH($C$78,"INVENTORY_GROWTH","FQ1 2016","FQ1 2016","Currency=INR","Period=FQ","BEST_FPERIOD_OVERRIDE=FQ","FILING_STATUS=OR","EQY_CONSOLIDATED=Y","Sort=A","Dates=H","DateFormat=P","Fill=—","Direction=H","UseDPDF=Y")</f>
        <v>#NAME?</v>
      </c>
      <c r="AB89" s="2" t="e">
        <f ca="1">_xll.BDH($C$78,"NET_FIXED_ASSETS_1_YEAR_GROWTH","FQ1 2016","FQ1 2016","Currency=INR","Period=FQ","BEST_FPERIOD_OVERRIDE=FQ","FILING_STATUS=OR","EQY_CONSOLIDATED=Y","Sort=A","Dates=H","DateFormat=P","Fill=—","Direction=H","UseDPDF=Y")</f>
        <v>#NAME?</v>
      </c>
      <c r="AC89" s="2" t="e">
        <f ca="1">_xll.BDH($C$78,"ASSET_GROWTH","FQ1 2016","FQ1 2016","Currency=INR","Period=FQ","BEST_FPERIOD_OVERRIDE=FQ","FILING_STATUS=OR","EQY_CONSOLIDATED=Y","Sort=A","Dates=H","DateFormat=P","Fill=—","Direction=H","UseDPDF=Y")</f>
        <v>#NAME?</v>
      </c>
      <c r="AD89" s="2" t="e">
        <f ca="1">_xll.BDH($C$78,"MODIFIED_WORK_CAP_GROWTH","FQ1 2016","FQ1 2016","Currency=INR","Period=FQ","BEST_FPERIOD_OVERRIDE=FQ","FILING_STATUS=OR","EQY_CONSOLIDATED=Y","Sort=A","Dates=H","DateFormat=P","Fill=—","Direction=H","UseDPDF=Y")</f>
        <v>#NAME?</v>
      </c>
      <c r="AE89" s="2" t="e">
        <f ca="1">_xll.BDH($C$78,"WORK_CAP_GROWTH","FQ1 2016","FQ1 2016","Currency=INR","Period=FQ","BEST_FPERIOD_OVERRIDE=FQ","FILING_STATUS=OR","EQY_CONSOLIDATED=Y","Sort=A","Dates=H","DateFormat=P","Fill=—","Direction=H","UseDPDF=Y")</f>
        <v>#NAME?</v>
      </c>
      <c r="AF89" s="2" t="e">
        <f ca="1">_xll.BDH($C$78,"ACCOUNTS_PAYABLE_GROWTH_1YR","FQ1 2016","FQ1 2016","Currency=INR","Period=FQ","BEST_FPERIOD_OVERRIDE=FQ","FILING_STATUS=OR","EQY_CONSOLIDATED=Y","Sort=A","Dates=H","DateFormat=P","Fill=—","Direction=H","UseDPDF=Y")</f>
        <v>#NAME?</v>
      </c>
      <c r="AG89" s="2" t="e">
        <f ca="1">_xll.BDH($C$78,"SHORT_TERM_DEBT_1_YEAR_GROWTH","FQ1 2016","FQ1 2016","Currency=INR","Period=FQ","BEST_FPERIOD_OVERRIDE=FQ","FILING_STATUS=OR","EQY_CONSOLIDATED=Y","Sort=A","Dates=H","DateFormat=P","Fill=—","Direction=H","UseDPDF=Y")</f>
        <v>#NAME?</v>
      </c>
      <c r="AH89" s="2" t="e">
        <f ca="1">_xll.BDH($C$78,"TOTAL_DEBT_1_YEAR_GROWTH","FQ1 2016","FQ1 2016","Currency=INR","Period=FQ","BEST_FPERIOD_OVERRIDE=FQ","FILING_STATUS=OR","EQY_CONSOLIDATED=Y","Sort=A","Dates=H","DateFormat=P","Fill=—","Direction=H","UseDPDF=Y")</f>
        <v>#NAME?</v>
      </c>
      <c r="AI89" s="2" t="e">
        <f ca="1">_xll.BDH($C$78,"TOTAL_EQUITY_1_YEAR_GROWTH","FQ1 2016","FQ1 2016","Currency=INR","Period=FQ","BEST_FPERIOD_OVERRIDE=FQ","FILING_STATUS=OR","EQY_CONSOLIDATED=Y","Sort=A","Dates=H","DateFormat=P","Fill=—","Direction=H","UseDPDF=Y")</f>
        <v>#NAME?</v>
      </c>
      <c r="AJ89" s="2" t="e">
        <f ca="1">_xll.BDH($C$78,"GROWTH_IN_CAP","FQ1 2016","FQ1 2016","Currency=INR","Period=FQ","BEST_FPERIOD_OVERRIDE=FQ","FILING_STATUS=OR","EQY_CONSOLIDATED=Y","Sort=A","Dates=H","DateFormat=P","Fill=—","Direction=H","UseDPDF=Y")</f>
        <v>#NAME?</v>
      </c>
      <c r="AK89" s="2" t="e">
        <f ca="1">_xll.BDH($C$78,"BVPS_GROWTH","FQ1 2016","FQ1 2016","Currency=INR","Period=FQ","BEST_FPERIOD_OVERRIDE=FQ","FILING_STATUS=OR","EQY_CONSOLIDATED=Y","Sort=A","Dates=H","DateFormat=P","Fill=—","Direction=H","UseDPDF=Y")</f>
        <v>#NAME?</v>
      </c>
      <c r="AL89" s="2" t="e">
        <f ca="1">_xll.BDH($C$78,"CASH_FLOW_GROWTH","FQ1 2016","FQ1 2016","Currency=INR","Period=FQ","BEST_FPERIOD_OVERRIDE=FQ","FILING_STATUS=OR","EQY_CONSOLIDATED=Y","Sort=A","Dates=H","DateFormat=P","Fill=—","Direction=H","UseDPDF=Y")</f>
        <v>#NAME?</v>
      </c>
      <c r="AM89" s="2" t="e">
        <f ca="1">_xll.BDH($C$78,"GEO_GROW_NET_SALES","FQ1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89" s="2" t="e">
        <f ca="1">_xll.BDH($C$78,"GEO_GROW_EBITDA","FQ1 2016","FQ1 2016","Currency=INR","Period=FQ","BEST_FPERIOD_OVERRIDE=FQ","FILING_STATUS=OR","EQY_CONSOLIDATED=Y","FA_ADJUSTED=GAAP","Sort=A","Dates=H","DateFormat=P","Fill=—","Direction=H","UseDPDF=Y")</f>
        <v>#NAME?</v>
      </c>
      <c r="AO89" s="2" t="e">
        <f ca="1">_xll.BDH($C$78,"GEO_GROW_OPER_INC","FQ1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89" s="2" t="e">
        <f ca="1">_xll.BDH($C$78,"NET_INCOME_TO_COMMON_5_YR_GROWTH","FQ1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89" s="2" t="e">
        <f ca="1">_xll.BDH($C$78,"5Y_GEO_GROWTH_DILUTED_EPS","FQ1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89" s="2" t="e">
        <f ca="1">_xll.BDH($C$78,"GEO_GROW_DVD_PER_SH","FQ1 2016","FQ1 2016","Currency=INR","Period=FQ","BEST_FPERIOD_OVERRIDE=FQ","FILING_STATUS=OR","EQY_CONSOLIDATED=Y","Sort=A","Dates=H","DateFormat=P","Fill=—","Direction=H","UseDPDF=Y")</f>
        <v>#NAME?</v>
      </c>
      <c r="AS89" s="2" t="e">
        <f ca="1">_xll.BDH($C$78,"ACCOUNTS_RECEIVABLE_5_YR_GROWTH","FQ1 2016","FQ1 2016","Currency=INR","Period=FQ","BEST_FPERIOD_OVERRIDE=FQ","FILING_STATUS=OR","EQY_CONSOLIDATED=Y","Sort=A","Dates=H","DateFormat=P","Fill=—","Direction=H","UseDPDF=Y")</f>
        <v>#NAME?</v>
      </c>
      <c r="AT89" s="2" t="e">
        <f ca="1">_xll.BDH($C$78,"INVENTORY_5_YEAR_GROWTH","FQ1 2016","FQ1 2016","Currency=INR","Period=FQ","BEST_FPERIOD_OVERRIDE=FQ","FILING_STATUS=OR","EQY_CONSOLIDATED=Y","Sort=A","Dates=H","DateFormat=P","Fill=—","Direction=H","UseDPDF=Y")</f>
        <v>#NAME?</v>
      </c>
      <c r="AU89" s="2" t="e">
        <f ca="1">_xll.BDH($C$78,"NET_FIXED_ASSETS_5_YEAR_GROWTH","FQ1 2016","FQ1 2016","Currency=INR","Period=FQ","BEST_FPERIOD_OVERRIDE=FQ","FILING_STATUS=OR","EQY_CONSOLIDATED=Y","Sort=A","Dates=H","DateFormat=P","Fill=—","Direction=H","UseDPDF=Y")</f>
        <v>#NAME?</v>
      </c>
      <c r="AV89" s="2" t="e">
        <f ca="1">_xll.BDH($C$78,"GEO_GROW_TOT_ASSET","FQ1 2016","FQ1 2016","Currency=INR","Period=FQ","BEST_FPERIOD_OVERRIDE=FQ","FILING_STATUS=OR","EQY_CONSOLIDATED=Y","Sort=A","Dates=H","DateFormat=P","Fill=—","Direction=H","UseDPDF=Y")</f>
        <v>#NAME?</v>
      </c>
      <c r="AW89" s="2" t="e">
        <f ca="1">_xll.BDH($C$78,"MODIFIED_WORKING_CPTL_5YR_GRWTH","FQ1 2016","FQ1 2016","Currency=INR","Period=FQ","BEST_FPERIOD_OVERRIDE=FQ","FILING_STATUS=OR","EQY_CONSOLIDATED=Y","Sort=A","Dates=H","DateFormat=P","Fill=—","Direction=H","UseDPDF=Y")</f>
        <v>#NAME?</v>
      </c>
      <c r="AX89" s="2" t="e">
        <f ca="1">_xll.BDH($C$78,"WORKING_CAPITAL_5_YEAR_GROWTH","FQ1 2016","FQ1 2016","Currency=INR","Period=FQ","BEST_FPERIOD_OVERRIDE=FQ","FILING_STATUS=OR","EQY_CONSOLIDATED=Y","Sort=A","Dates=H","DateFormat=P","Fill=—","Direction=H","UseDPDF=Y")</f>
        <v>#NAME?</v>
      </c>
      <c r="AY89" s="2" t="e">
        <f ca="1">_xll.BDH($C$78,"ACCOUNTS_PAYABLE_5_YEAR_GROWTH","FQ1 2016","FQ1 2016","Currency=INR","Period=FQ","BEST_FPERIOD_OVERRIDE=FQ","FILING_STATUS=OR","EQY_CONSOLIDATED=Y","Sort=A","Dates=H","DateFormat=P","Fill=—","Direction=H","UseDPDF=Y")</f>
        <v>#NAME?</v>
      </c>
      <c r="AZ89" s="2" t="e">
        <f ca="1">_xll.BDH($C$78,"SHORT_TERM_DEBT_5_YEAR_GROWTH","FQ1 2016","FQ1 2016","Currency=INR","Period=FQ","BEST_FPERIOD_OVERRIDE=FQ","FILING_STATUS=OR","EQY_CONSOLIDATED=Y","Sort=A","Dates=H","DateFormat=P","Fill=—","Direction=H","UseDPDF=Y")</f>
        <v>#NAME?</v>
      </c>
      <c r="BA89" s="2" t="e">
        <f ca="1">_xll.BDH($C$78,"TOTAL_DEBT_5_YEAR_GROWTH","FQ1 2016","FQ1 2016","Currency=INR","Period=FQ","BEST_FPERIOD_OVERRIDE=FQ","FILING_STATUS=OR","EQY_CONSOLIDATED=Y","Sort=A","Dates=H","DateFormat=P","Fill=—","Direction=H","UseDPDF=Y")</f>
        <v>#NAME?</v>
      </c>
      <c r="BB89" s="2" t="e">
        <f ca="1">_xll.BDH($C$78,"GEO_GROW_TOT_SHRHLDR_EQY","FQ1 2016","FQ1 2016","Currency=INR","Period=FQ","BEST_FPERIOD_OVERRIDE=FQ","FILING_STATUS=OR","EQY_CONSOLIDATED=Y","Sort=A","Dates=H","DateFormat=P","Fill=—","Direction=H","UseDPDF=Y")</f>
        <v>#NAME?</v>
      </c>
      <c r="BC89" s="2" t="e">
        <f ca="1">_xll.BDH($C$78,"TOTAL_CAPITAL_5_YEAR_GROWTH","FQ1 2016","FQ1 2016","Currency=INR","Period=FQ","BEST_FPERIOD_OVERRIDE=FQ","FILING_STATUS=OR","EQY_CONSOLIDATED=Y","Sort=A","Dates=H","DateFormat=P","Fill=—","Direction=H","UseDPDF=Y")</f>
        <v>#NAME?</v>
      </c>
      <c r="BD89" s="2" t="e">
        <f ca="1">_xll.BDH($C$78,"GEO_GROW_BOOK_VAL","FQ1 2016","FQ1 2016","Currency=INR","Period=FQ","BEST_FPERIOD_OVERRIDE=FQ","FILING_STATUS=OR","EQY_CONSOLIDATED=Y","Sort=A","Dates=H","DateFormat=P","Fill=—","Direction=H","UseDPDF=Y")</f>
        <v>#NAME?</v>
      </c>
      <c r="BE89" s="2" t="e">
        <f ca="1">_xll.BDH($C$78,"GEO_GROW_CASH_OPER_ACT","FQ1 2016","FQ1 2016","Currency=INR","Period=FQ","BEST_FPERIOD_OVERRIDE=FQ","FILING_STATUS=OR","EQY_CONSOLIDATED=Y","Sort=A","Dates=H","DateFormat=P","Fill=—","Direction=H","UseDPDF=Y")</f>
        <v>#NAME?</v>
      </c>
      <c r="BF89" s="2" t="e">
        <f ca="1">_xll.BDH($C$78,"REVENUE_SEQUENTIAL_GROWTH","FQ1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89" s="2" t="e">
        <f ca="1">_xll.BDH($C$78,"EBITDA_SEQUENTIAL_GROWTH","FQ1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89" s="2" t="e">
        <f ca="1">_xll.BDH($C$78,"OPERATING_INCOME_SEQ_GROWTH","FQ1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89" s="2" t="e">
        <f ca="1">_xll.BDH($C$78,"NET_INCOME_TO_COMMON_SEQ_GROWTH","FQ1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89" s="2" t="e">
        <f ca="1">_xll.BDH($C$78,"EPS_DILUTED_SEQUENTIAL_GROWTH","FQ1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89" s="2" t="e">
        <f ca="1">_xll.BDH($C$78,"DPS_SEQUENTIAL_GROWTH","FQ1 2016","FQ1 2016","Currency=INR","Period=FQ","BEST_FPERIOD_OVERRIDE=FQ","FILING_STATUS=OR","EQY_CONSOLIDATED=Y","Sort=A","Dates=H","DateFormat=P","Fill=—","Direction=H","UseDPDF=Y")</f>
        <v>#NAME?</v>
      </c>
      <c r="BL89" s="2" t="e">
        <f ca="1">_xll.BDH($C$78,"ACCOUNTS_RECEIVABLE_SEQ_GROWTH","FQ1 2016","FQ1 2016","Currency=INR","Period=FQ","BEST_FPERIOD_OVERRIDE=FQ","FILING_STATUS=OR","EQY_CONSOLIDATED=Y","Sort=A","Dates=H","DateFormat=P","Fill=—","Direction=H","UseDPDF=Y")</f>
        <v>#NAME?</v>
      </c>
      <c r="BM89" s="2" t="e">
        <f ca="1">_xll.BDH($C$78,"INVENTORY_SEQUENTIAL_GROWTH","FQ1 2016","FQ1 2016","Currency=INR","Period=FQ","BEST_FPERIOD_OVERRIDE=FQ","FILING_STATUS=OR","EQY_CONSOLIDATED=Y","Sort=A","Dates=H","DateFormat=P","Fill=—","Direction=H","UseDPDF=Y")</f>
        <v>#NAME?</v>
      </c>
      <c r="BN89" s="2" t="e">
        <f ca="1">_xll.BDH($C$78,"FIXED_ASSETS_SEQUENTIAL_GROWTH","FQ1 2016","FQ1 2016","Currency=INR","Period=FQ","BEST_FPERIOD_OVERRIDE=FQ","FILING_STATUS=OR","EQY_CONSOLIDATED=Y","Sort=A","Dates=H","DateFormat=P","Fill=—","Direction=H","UseDPDF=Y")</f>
        <v>#NAME?</v>
      </c>
      <c r="BO89" s="2" t="e">
        <f ca="1">_xll.BDH($C$78,"TOTAL_ASSETS_SEQUENTIAL_GROWTH","FQ1 2016","FQ1 2016","Currency=INR","Period=FQ","BEST_FPERIOD_OVERRIDE=FQ","FILING_STATUS=OR","EQY_CONSOLIDATED=Y","Sort=A","Dates=H","DateFormat=P","Fill=—","Direction=H","UseDPDF=Y")</f>
        <v>#NAME?</v>
      </c>
      <c r="BP89" s="2" t="e">
        <f ca="1">_xll.BDH($C$78,"MODIFIED_WORKING_CPTL_SEQ_GRWTH","FQ1 2016","FQ1 2016","Currency=INR","Period=FQ","BEST_FPERIOD_OVERRIDE=FQ","FILING_STATUS=OR","EQY_CONSOLIDATED=Y","Sort=A","Dates=H","DateFormat=P","Fill=—","Direction=H","UseDPDF=Y")</f>
        <v>#NAME?</v>
      </c>
      <c r="BQ89" s="2" t="e">
        <f ca="1">_xll.BDH($C$78,"WORKING_CAPITAL_SEQ_GROWTH","FQ1 2016","FQ1 2016","Currency=INR","Period=FQ","BEST_FPERIOD_OVERRIDE=FQ","FILING_STATUS=OR","EQY_CONSOLIDATED=Y","Sort=A","Dates=H","DateFormat=P","Fill=—","Direction=H","UseDPDF=Y")</f>
        <v>#NAME?</v>
      </c>
      <c r="BR89" s="2" t="e">
        <f ca="1">_xll.BDH($C$78,"ACCOUNTS_PAYABLE_SEQ_GROWTH","FQ1 2016","FQ1 2016","Currency=INR","Period=FQ","BEST_FPERIOD_OVERRIDE=FQ","FILING_STATUS=OR","EQY_CONSOLIDATED=Y","Sort=A","Dates=H","DateFormat=P","Fill=—","Direction=H","UseDPDF=Y")</f>
        <v>#NAME?</v>
      </c>
      <c r="BS89" s="2" t="e">
        <f ca="1">_xll.BDH($C$78,"ST_DEBT_SEQUENTIAL_GROWTH","FQ1 2016","FQ1 2016","Currency=INR","Period=FQ","BEST_FPERIOD_OVERRIDE=FQ","FILING_STATUS=OR","EQY_CONSOLIDATED=Y","Sort=A","Dates=H","DateFormat=P","Fill=—","Direction=H","UseDPDF=Y")</f>
        <v>#NAME?</v>
      </c>
      <c r="BT89" s="2" t="e">
        <f ca="1">_xll.BDH($C$78,"TOTAL_DEBT_SEQUENTIAL_GROWTH","FQ1 2016","FQ1 2016","Currency=INR","Period=FQ","BEST_FPERIOD_OVERRIDE=FQ","FILING_STATUS=OR","EQY_CONSOLIDATED=Y","Sort=A","Dates=H","DateFormat=P","Fill=—","Direction=H","UseDPDF=Y")</f>
        <v>#NAME?</v>
      </c>
      <c r="BU89" s="2" t="e">
        <f ca="1">_xll.BDH($C$78,"TOTAL_EQUITY_SEQUENTIAL_GROWTH","FQ1 2016","FQ1 2016","Currency=INR","Period=FQ","BEST_FPERIOD_OVERRIDE=FQ","FILING_STATUS=OR","EQY_CONSOLIDATED=Y","Sort=A","Dates=H","DateFormat=P","Fill=—","Direction=H","UseDPDF=Y")</f>
        <v>#NAME?</v>
      </c>
      <c r="BV89" s="2" t="e">
        <f ca="1">_xll.BDH($C$78,"TOTAL_CAPITAL_SEQUENTIAL_GROWTH","FQ1 2016","FQ1 2016","Currency=INR","Period=FQ","BEST_FPERIOD_OVERRIDE=FQ","FILING_STATUS=OR","EQY_CONSOLIDATED=Y","Sort=A","Dates=H","DateFormat=P","Fill=—","Direction=H","UseDPDF=Y")</f>
        <v>#NAME?</v>
      </c>
      <c r="BW89" s="2" t="e">
        <f ca="1">_xll.BDH($C$78,"BPS_SEQUENTIAL_GROWTH","FQ1 2016","FQ1 2016","Currency=INR","Period=FQ","BEST_FPERIOD_OVERRIDE=FQ","FILING_STATUS=OR","EQY_CONSOLIDATED=Y","Sort=A","Dates=H","DateFormat=P","Fill=—","Direction=H","UseDPDF=Y")</f>
        <v>#NAME?</v>
      </c>
      <c r="BX89" s="2" t="e">
        <f ca="1">_xll.BDH($C$78,"CFO_SEQUENTIAL_GROWTH","FQ1 2016","FQ1 2016","Currency=INR","Period=FQ","BEST_FPERIOD_OVERRIDE=FQ","FILING_STATUS=OR","EQY_CONSOLIDATED=Y","Sort=A","Dates=H","DateFormat=P","Fill=—","Direction=H","UseDPDF=Y")</f>
        <v>#NAME?</v>
      </c>
      <c r="BY89" s="3" t="e">
        <f ca="1">_xll.BDH($C$78,"SHORT_AND_LONG_TERM_DEBT","FQ1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89" s="3" t="e">
        <f ca="1">_xll.BDH($C$78,"BS_ST_BORROW","FQ1 2016","FQ1 2016","Currency=INR","Period=FQ","BEST_FPERIOD_OVERRIDE=FQ","FILING_STATUS=OR","EQY_CONSOLIDATED=Y","SCALING_FORMAT=MLN","Sort=A","Dates=H","DateFormat=P","Fill=—","Direction=H","UseDPDF=Y")</f>
        <v>#NAME?</v>
      </c>
      <c r="CA89" s="3" t="e">
        <f ca="1">_xll.BDH($C$78,"BS_LT_BORROW","FQ1 2016","FQ1 2016","Currency=INR","Period=FQ","BEST_FPERIOD_OVERRIDE=FQ","FILING_STATUS=OR","EQY_CONSOLIDATED=Y","SCALING_FORMAT=MLN","Sort=A","Dates=H","DateFormat=P","Fill=—","Direction=H","UseDPDF=Y")</f>
        <v>#NAME?</v>
      </c>
      <c r="CB89" s="2" t="e">
        <f ca="1">_xll.BDH($C$78,"TOT_DEBT_TO_EBITDA","FQ1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89" s="2" t="e">
        <f ca="1">_xll.BDH($C$78,"NET_DEBT_TO_EBITDA","FQ1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89" s="2" t="e">
        <f ca="1">_xll.BDH($C$78,"TOTAL_DEBT_TO_EBIT","FQ1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89" s="2" t="e">
        <f ca="1">_xll.BDH($C$78,"NET_DEBT_TO_EBIT","FQ1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89" s="2" t="e">
        <f ca="1">_xll.BDH($C$78,"EBITDA_TO_INTEREST_EXPN","FQ1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89" s="2" t="e">
        <f ca="1">_xll.BDH($C$78,"COM_EQY_TO_TOT_ASSET","FQ1 2016","FQ1 2016","Currency=INR","Period=FQ","BEST_FPERIOD_OVERRIDE=FQ","FILING_STATUS=OR","EQY_CONSOLIDATED=Y","Sort=A","Dates=H","DateFormat=P","Fill=—","Direction=H","UseDPDF=Y")</f>
        <v>#NAME?</v>
      </c>
      <c r="CH89" s="2" t="e">
        <f ca="1">_xll.BDH($C$78,"LT_DEBT_TO_TOT_EQY","FQ1 2016","FQ1 2016","Currency=INR","Period=FQ","BEST_FPERIOD_OVERRIDE=FQ","FILING_STATUS=OR","EQY_CONSOLIDATED=Y","Sort=A","Dates=H","DateFormat=P","Fill=—","Direction=H","UseDPDF=Y")</f>
        <v>#NAME?</v>
      </c>
      <c r="CI89" s="2" t="e">
        <f ca="1">_xll.BDH($C$78,"LT_DEBT_TO_TOT_CAP","FQ1 2016","FQ1 2016","Currency=INR","Period=FQ","BEST_FPERIOD_OVERRIDE=FQ","FILING_STATUS=OR","EQY_CONSOLIDATED=Y","Sort=A","Dates=H","DateFormat=P","Fill=—","Direction=H","UseDPDF=Y")</f>
        <v>#NAME?</v>
      </c>
      <c r="CJ89" s="2" t="e">
        <f ca="1">_xll.BDH($C$78,"LT_DEBT_TO_TOT_ASSET","FQ1 2016","FQ1 2016","Currency=INR","Period=FQ","BEST_FPERIOD_OVERRIDE=FQ","FILING_STATUS=OR","EQY_CONSOLIDATED=Y","Sort=A","Dates=H","DateFormat=P","Fill=—","Direction=H","UseDPDF=Y")</f>
        <v>#NAME?</v>
      </c>
      <c r="CK89" s="2" t="e">
        <f ca="1">_xll.BDH($C$78,"TOT_DEBT_TO_TOT_EQY","FQ1 2016","FQ1 2016","Currency=INR","Period=FQ","BEST_FPERIOD_OVERRIDE=FQ","FILING_STATUS=OR","EQY_CONSOLIDATED=Y","Sort=A","Dates=H","DateFormat=P","Fill=—","Direction=H","UseDPDF=Y")</f>
        <v>#NAME?</v>
      </c>
      <c r="CL89" s="2" t="e">
        <f ca="1">_xll.BDH($C$78,"TOT_DEBT_TO_TOT_CAP","FQ1 2016","FQ1 2016","Currency=INR","Period=FQ","BEST_FPERIOD_OVERRIDE=FQ","FILING_STATUS=OR","EQY_CONSOLIDATED=Y","Sort=A","Dates=H","DateFormat=P","Fill=—","Direction=H","UseDPDF=Y")</f>
        <v>#NAME?</v>
      </c>
      <c r="CM89" s="2" t="e">
        <f ca="1">_xll.BDH($C$78,"TOT_DEBT_TO_TOT_ASSET","FQ1 2016","FQ1 2016","Currency=INR","Period=FQ","BEST_FPERIOD_OVERRIDE=FQ","FILING_STATUS=OR","EQY_CONSOLIDATED=Y","Sort=A","Dates=H","DateFormat=P","Fill=—","Direction=H","UseDPDF=Y")</f>
        <v>#NAME?</v>
      </c>
      <c r="CN89" s="2" t="e">
        <f ca="1">_xll.BDH($C$78,"NET_DEBT_TO_SHRHLDR_EQTY","FQ1 2016","FQ1 2016","Currency=INR","Period=FQ","BEST_FPERIOD_OVERRIDE=FQ","FILING_STATUS=OR","EQY_CONSOLIDATED=Y","Sort=A","Dates=H","DateFormat=P","Fill=—","Direction=H","UseDPDF=Y")</f>
        <v>#NAME?</v>
      </c>
      <c r="CO89" s="2" t="e">
        <f ca="1">_xll.BDH($C$78,"NET_DEBT_%_CAPITAL","FQ1 2016","FQ1 2016","Currency=INR","Period=FQ","BEST_FPERIOD_OVERRIDE=FQ","FILING_STATUS=OR","EQY_CONSOLIDATED=Y","Sort=A","Dates=H","DateFormat=P","Fill=—","Direction=H","UseDPDF=Y")</f>
        <v>#NAME?</v>
      </c>
      <c r="CP89" s="3" t="e">
        <f ca="1">_xll.BDH($C$78,"EBITDA","FQ1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89" s="3" t="e">
        <f ca="1">_xll.BDH($C$78,"EBITDA_AFTER_CAPEX","FQ1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89" s="3" t="e">
        <f ca="1">_xll.BDH($C$78,"IS_OPER_INC","FQ1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89" s="2" t="e">
        <f ca="1">_xll.BDH($C$78,"CASH_RATIO","FQ1 2016","FQ1 2016","Currency=INR","Period=FQ","BEST_FPERIOD_OVERRIDE=FQ","FILING_STATUS=OR","EQY_CONSOLIDATED=Y","Sort=A","Dates=H","DateFormat=P","Fill=—","Direction=H","UseDPDF=Y")</f>
        <v>#NAME?</v>
      </c>
      <c r="CT89" s="2" t="e">
        <f ca="1">_xll.BDH($C$78,"CUR_RATIO","FQ1 2016","FQ1 2016","Currency=INR","Period=FQ","BEST_FPERIOD_OVERRIDE=FQ","FILING_STATUS=OR","EQY_CONSOLIDATED=Y","Sort=A","Dates=H","DateFormat=P","Fill=—","Direction=H","UseDPDF=Y")</f>
        <v>#NAME?</v>
      </c>
      <c r="CU89" s="2" t="e">
        <f ca="1">_xll.BDH($C$78,"QUICK_RATIO","FQ1 2016","FQ1 2016","Currency=INR","Period=FQ","BEST_FPERIOD_OVERRIDE=FQ","FILING_STATUS=OR","EQY_CONSOLIDATED=Y","Sort=A","Dates=H","DateFormat=P","Fill=—","Direction=H","UseDPDF=Y")</f>
        <v>#NAME?</v>
      </c>
      <c r="CV89" s="2" t="e">
        <f ca="1">_xll.BDH($C$78,"ALTMAN_Z_SCORE","FQ1 2016","FQ1 2016","Currency=INR","Period=FQ","BEST_FPERIOD_OVERRIDE=FQ","FILING_STATUS=OR","EQY_CONSOLIDATED=Y","Sort=A","Dates=H","DateFormat=P","Fill=—","Direction=H","UseDPDF=Y")</f>
        <v>#NAME?</v>
      </c>
      <c r="CW89" s="4" t="e">
        <f ca="1">_xll.BDH($C$78,"ACCT_RCV_TURN","FQ1 2016","FQ1 2016","Currency=INR","Period=FQ","BEST_FPERIOD_OVERRIDE=FQ","FILING_STATUS=OR","EQY_CONSOLIDATED=Y","FA_ADJUSTED=GAAP","Sort=A","Dates=H","DateFormat=P","Fill=—","Direction=H","UseDPDF=Y")</f>
        <v>#NAME?</v>
      </c>
      <c r="CX89" s="2" t="e">
        <f ca="1">_xll.BDH($C$78,"ACCT_RCV_DAYS","FQ1 2016","FQ1 2016","Currency=INR","Period=FQ","BEST_FPERIOD_OVERRIDE=FQ","FILING_STATUS=OR","EQY_CONSOLIDATED=Y","FA_ADJUSTED=GAAP","Sort=A","Dates=H","DateFormat=P","Fill=—","Direction=H","UseDPDF=Y")</f>
        <v>#NAME?</v>
      </c>
      <c r="CY89" s="4" t="e">
        <f ca="1">_xll.BDH($C$78,"INVENT_TURN","FQ1 2016","FQ1 2016","Currency=INR","Period=FQ","BEST_FPERIOD_OVERRIDE=FQ","FILING_STATUS=OR","EQY_CONSOLIDATED=Y","FA_ADJUSTED=GAAP","Sort=A","Dates=H","DateFormat=P","Fill=—","Direction=H","UseDPDF=Y")</f>
        <v>#NAME?</v>
      </c>
      <c r="CZ89" s="2" t="e">
        <f ca="1">_xll.BDH($C$78,"INVENT_DAYS","FQ1 2016","FQ1 2016","Currency=INR","Period=FQ","BEST_FPERIOD_OVERRIDE=FQ","FILING_STATUS=OR","EQY_CONSOLIDATED=Y","FA_ADJUSTED=GAAP","Sort=A","Dates=H","DateFormat=P","Fill=—","Direction=H","UseDPDF=Y")</f>
        <v>#NAME?</v>
      </c>
      <c r="DA89" s="4" t="e">
        <f ca="1">_xll.BDH($C$78,"ACCOUNTS_PAYABLE_TURNOVER","FQ1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89" s="2" t="e">
        <f ca="1">_xll.BDH($C$78,"ACCOUNTS_PAYABLE_TURNOVER_DAYS","FQ1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89" s="4" t="e">
        <f ca="1">_xll.BDH($C$78,"CASH_CONVERSION_CYCLE","FQ1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89" s="4" t="e">
        <f ca="1">_xll.BDH($C$78,"INV_TO_CASH_DAYS","FQ1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89" s="5" t="e">
        <f ca="1">_xll.BDH($C$78,"BS_INVENTORIES","FQ1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89" s="3" t="e">
        <f ca="1">_xll.BDH($C$78,"INVTRY_RAW_MATERIALS","FQ1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89" s="3" t="e">
        <f ca="1">_xll.BDH($C$78,"INVTRY_IN_PROGRESS","FQ1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89" s="3" t="e">
        <f ca="1">_xll.BDH($C$78,"INVTRY_FINISHED_GOODS","FQ1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89" s="3" t="e">
        <f ca="1">_xll.BDH($C$78,"BS_OTHER_INV","FQ1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90" spans="1:113" x14ac:dyDescent="0.3">
      <c r="A90" s="6"/>
      <c r="B90" s="6"/>
      <c r="C90" s="6"/>
      <c r="D90" s="6"/>
      <c r="E90" t="s">
        <v>79</v>
      </c>
      <c r="F90" t="e">
        <f ca="1">_xll.BDH($C$78,"RETURN_COM_EQY","FQ2 2016","FQ2 2016","Currency=INR","Period=FQ","BEST_FPERIOD_OVERRIDE=FQ","FILING_STATUS=OR","EQY_CONSOLIDATED=Y","FA_ADJUSTED=GAAP","Sort=A","Dates=H","DateFormat=P","Fill=—","Direction=H","UseDPDF=Y")</f>
        <v>#NAME?</v>
      </c>
      <c r="G90" t="e">
        <f ca="1">_xll.BDH($C$78,"RETURN_ON_ASSET","FQ2 2016","FQ2 2016","Currency=INR","Period=FQ","BEST_FPERIOD_OVERRIDE=FQ","FILING_STATUS=OR","EQY_CONSOLIDATED=Y","FA_ADJUSTED=GAAP","Sort=A","Dates=H","DateFormat=P","Fill=—","Direction=H","UseDPDF=Y")</f>
        <v>#NAME?</v>
      </c>
      <c r="H90" t="e">
        <f ca="1">_xll.BDH($C$78,"RETURN_ON_CAP","FQ2 2016","FQ2 2016","Currency=INR","Period=FQ","BEST_FPERIOD_OVERRIDE=FQ","FILING_STATUS=OR","EQY_CONSOLIDATED=Y","FA_ADJUSTED=GAAP","Sort=A","Dates=H","DateFormat=P","Fill=—","Direction=H","UseDPDF=Y")</f>
        <v>#NAME?</v>
      </c>
      <c r="I90" t="e">
        <f ca="1">_xll.BDH($C$78,"RETURN_ON_INV_CAPITAL","FQ2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90" t="e">
        <f ca="1">_xll.BDH($C$78,"EBITDA_TO_REVENUE","FQ2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90" t="e">
        <f ca="1">_xll.BDH($C$78,"OPER_MARGIN","FQ2 2016","FQ2 2016","Currency=INR","Period=FQ","BEST_FPERIOD_OVERRIDE=FQ","FILING_STATUS=OR","EQY_CONSOLIDATED=Y","FA_ADJUSTED=GAAP","Sort=A","Dates=H","DateFormat=P","Fill=—","Direction=H","UseDPDF=Y")</f>
        <v>#NAME?</v>
      </c>
      <c r="L90" t="e">
        <f ca="1">_xll.BDH($C$78,"INCREMENTAL_OPERATING_MARGIN","FQ2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90" t="e">
        <f ca="1">_xll.BDH($C$78,"PRETAX_INC_TO_NET_SALES","FQ2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90" t="e">
        <f ca="1">_xll.BDH($C$78,"INC_BEF_XO_ITEMS_TO_NET_SALES","FQ2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90" t="e">
        <f ca="1">_xll.BDH($C$78,"PROF_MARGIN","FQ2 2016","FQ2 2016","Currency=INR","Period=FQ","BEST_FPERIOD_OVERRIDE=FQ","FILING_STATUS=OR","EQY_CONSOLIDATED=Y","FA_ADJUSTED=GAAP","Sort=A","Dates=H","DateFormat=P","Fill=—","Direction=H","UseDPDF=Y")</f>
        <v>#NAME?</v>
      </c>
      <c r="P90" t="e">
        <f ca="1">_xll.BDH($C$78,"NET_INCOME_TO_COMMON_MARGIN","FQ2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90" t="e">
        <f ca="1">_xll.BDH($C$78,"EFF_TAX_RATE","FQ2 2016","FQ2 2016","Currency=INR","Period=FQ","BEST_FPERIOD_OVERRIDE=FQ","FILING_STATUS=OR","EQY_CONSOLIDATED=Y","FA_ADJUSTED=GAAP","Sort=A","Dates=H","DateFormat=P","Fill=—","Direction=H","UseDPDF=Y")</f>
        <v>#NAME?</v>
      </c>
      <c r="R90" t="e">
        <f ca="1">_xll.BDH($C$78,"DVD_PAYOUT_RATIO","FQ2 2016","FQ2 2016","Currency=INR","Period=FQ","BEST_FPERIOD_OVERRIDE=FQ","FILING_STATUS=OR","EQY_CONSOLIDATED=Y","FA_ADJUSTED=GAAP","Sort=A","Dates=H","DateFormat=P","Fill=—","Direction=H","UseDPDF=Y")</f>
        <v>#NAME?</v>
      </c>
      <c r="S90" t="e">
        <f ca="1">_xll.BDH($C$78,"SUSTAIN_GROWTH_RT","FQ2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90" s="2" t="e">
        <f ca="1">_xll.BDH($C$78,"SALES_GROWTH","FQ2 2016","FQ2 2016","Currency=INR","Period=FQ","BEST_FPERIOD_OVERRIDE=FQ","FILING_STATUS=OR","EQY_CONSOLIDATED=Y","FA_ADJUSTED=GAAP","Sort=A","Dates=H","DateFormat=P","Fill=—","Direction=H","UseDPDF=Y")</f>
        <v>#NAME?</v>
      </c>
      <c r="U90" s="2" t="e">
        <f ca="1">_xll.BDH($C$78,"EBITDA_GROWTH","FQ2 2016","FQ2 2016","Currency=INR","Period=FQ","BEST_FPERIOD_OVERRIDE=FQ","FILING_STATUS=OR","EQY_CONSOLIDATED=Y","FA_ADJUSTED=GAAP","Sort=A","Dates=H","DateFormat=P","Fill=—","Direction=H","UseDPDF=Y")</f>
        <v>#NAME?</v>
      </c>
      <c r="V90" s="2" t="e">
        <f ca="1">_xll.BDH($C$78,"OPER_INC_GROWTH","FQ2 2016","FQ2 2016","Currency=INR","Period=FQ","BEST_FPERIOD_OVERRIDE=FQ","FILING_STATUS=OR","EQY_CONSOLIDATED=Y","FA_ADJUSTED=GAAP","Sort=A","Dates=H","DateFormat=P","Fill=—","Direction=H","UseDPDF=Y")</f>
        <v>#NAME?</v>
      </c>
      <c r="W90" s="2" t="e">
        <f ca="1">_xll.BDH($C$78,"EARN_FOR_COM_GROWTH","FQ2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90" s="2" t="e">
        <f ca="1">_xll.BDH($C$78,"DILUTED_EPS_AFT_XO_ITEMS_GROWTH","FQ2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90" s="2" t="e">
        <f ca="1">_xll.BDH($C$78,"DIVIDEND_PER_SHARE_1_YEAR_GROWTH","FQ2 2016","FQ2 2016","Currency=INR","Period=FQ","BEST_FPERIOD_OVERRIDE=FQ","FILING_STATUS=OR","EQY_CONSOLIDATED=Y","Sort=A","Dates=H","DateFormat=P","Fill=—","Direction=H","UseDPDF=Y")</f>
        <v>#NAME?</v>
      </c>
      <c r="Z90" s="2" t="e">
        <f ca="1">_xll.BDH($C$78,"ACCOUNTS_RECEIVABLE_GROWTH","FQ2 2016","FQ2 2016","Currency=INR","Period=FQ","BEST_FPERIOD_OVERRIDE=FQ","FILING_STATUS=OR","EQY_CONSOLIDATED=Y","Sort=A","Dates=H","DateFormat=P","Fill=—","Direction=H","UseDPDF=Y")</f>
        <v>#NAME?</v>
      </c>
      <c r="AA90" s="2" t="e">
        <f ca="1">_xll.BDH($C$78,"INVENTORY_GROWTH","FQ2 2016","FQ2 2016","Currency=INR","Period=FQ","BEST_FPERIOD_OVERRIDE=FQ","FILING_STATUS=OR","EQY_CONSOLIDATED=Y","Sort=A","Dates=H","DateFormat=P","Fill=—","Direction=H","UseDPDF=Y")</f>
        <v>#NAME?</v>
      </c>
      <c r="AB90" s="2" t="e">
        <f ca="1">_xll.BDH($C$78,"NET_FIXED_ASSETS_1_YEAR_GROWTH","FQ2 2016","FQ2 2016","Currency=INR","Period=FQ","BEST_FPERIOD_OVERRIDE=FQ","FILING_STATUS=OR","EQY_CONSOLIDATED=Y","Sort=A","Dates=H","DateFormat=P","Fill=—","Direction=H","UseDPDF=Y")</f>
        <v>#NAME?</v>
      </c>
      <c r="AC90" s="2" t="e">
        <f ca="1">_xll.BDH($C$78,"ASSET_GROWTH","FQ2 2016","FQ2 2016","Currency=INR","Period=FQ","BEST_FPERIOD_OVERRIDE=FQ","FILING_STATUS=OR","EQY_CONSOLIDATED=Y","Sort=A","Dates=H","DateFormat=P","Fill=—","Direction=H","UseDPDF=Y")</f>
        <v>#NAME?</v>
      </c>
      <c r="AD90" s="2" t="e">
        <f ca="1">_xll.BDH($C$78,"MODIFIED_WORK_CAP_GROWTH","FQ2 2016","FQ2 2016","Currency=INR","Period=FQ","BEST_FPERIOD_OVERRIDE=FQ","FILING_STATUS=OR","EQY_CONSOLIDATED=Y","Sort=A","Dates=H","DateFormat=P","Fill=—","Direction=H","UseDPDF=Y")</f>
        <v>#NAME?</v>
      </c>
      <c r="AE90" s="2" t="e">
        <f ca="1">_xll.BDH($C$78,"WORK_CAP_GROWTH","FQ2 2016","FQ2 2016","Currency=INR","Period=FQ","BEST_FPERIOD_OVERRIDE=FQ","FILING_STATUS=OR","EQY_CONSOLIDATED=Y","Sort=A","Dates=H","DateFormat=P","Fill=—","Direction=H","UseDPDF=Y")</f>
        <v>#NAME?</v>
      </c>
      <c r="AF90" s="2" t="e">
        <f ca="1">_xll.BDH($C$78,"ACCOUNTS_PAYABLE_GROWTH_1YR","FQ2 2016","FQ2 2016","Currency=INR","Period=FQ","BEST_FPERIOD_OVERRIDE=FQ","FILING_STATUS=OR","EQY_CONSOLIDATED=Y","Sort=A","Dates=H","DateFormat=P","Fill=—","Direction=H","UseDPDF=Y")</f>
        <v>#NAME?</v>
      </c>
      <c r="AG90" s="2" t="e">
        <f ca="1">_xll.BDH($C$78,"SHORT_TERM_DEBT_1_YEAR_GROWTH","FQ2 2016","FQ2 2016","Currency=INR","Period=FQ","BEST_FPERIOD_OVERRIDE=FQ","FILING_STATUS=OR","EQY_CONSOLIDATED=Y","Sort=A","Dates=H","DateFormat=P","Fill=—","Direction=H","UseDPDF=Y")</f>
        <v>#NAME?</v>
      </c>
      <c r="AH90" s="2" t="e">
        <f ca="1">_xll.BDH($C$78,"TOTAL_DEBT_1_YEAR_GROWTH","FQ2 2016","FQ2 2016","Currency=INR","Period=FQ","BEST_FPERIOD_OVERRIDE=FQ","FILING_STATUS=OR","EQY_CONSOLIDATED=Y","Sort=A","Dates=H","DateFormat=P","Fill=—","Direction=H","UseDPDF=Y")</f>
        <v>#NAME?</v>
      </c>
      <c r="AI90" s="2" t="e">
        <f ca="1">_xll.BDH($C$78,"TOTAL_EQUITY_1_YEAR_GROWTH","FQ2 2016","FQ2 2016","Currency=INR","Period=FQ","BEST_FPERIOD_OVERRIDE=FQ","FILING_STATUS=OR","EQY_CONSOLIDATED=Y","Sort=A","Dates=H","DateFormat=P","Fill=—","Direction=H","UseDPDF=Y")</f>
        <v>#NAME?</v>
      </c>
      <c r="AJ90" s="2" t="e">
        <f ca="1">_xll.BDH($C$78,"GROWTH_IN_CAP","FQ2 2016","FQ2 2016","Currency=INR","Period=FQ","BEST_FPERIOD_OVERRIDE=FQ","FILING_STATUS=OR","EQY_CONSOLIDATED=Y","Sort=A","Dates=H","DateFormat=P","Fill=—","Direction=H","UseDPDF=Y")</f>
        <v>#NAME?</v>
      </c>
      <c r="AK90" s="2" t="e">
        <f ca="1">_xll.BDH($C$78,"BVPS_GROWTH","FQ2 2016","FQ2 2016","Currency=INR","Period=FQ","BEST_FPERIOD_OVERRIDE=FQ","FILING_STATUS=OR","EQY_CONSOLIDATED=Y","Sort=A","Dates=H","DateFormat=P","Fill=—","Direction=H","UseDPDF=Y")</f>
        <v>#NAME?</v>
      </c>
      <c r="AL90" s="2" t="e">
        <f ca="1">_xll.BDH($C$78,"CASH_FLOW_GROWTH","FQ2 2016","FQ2 2016","Currency=INR","Period=FQ","BEST_FPERIOD_OVERRIDE=FQ","FILING_STATUS=OR","EQY_CONSOLIDATED=Y","Sort=A","Dates=H","DateFormat=P","Fill=—","Direction=H","UseDPDF=Y")</f>
        <v>#NAME?</v>
      </c>
      <c r="AM90" s="2" t="e">
        <f ca="1">_xll.BDH($C$78,"GEO_GROW_NET_SALES","FQ2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90" s="2" t="e">
        <f ca="1">_xll.BDH($C$78,"GEO_GROW_EBITDA","FQ2 2016","FQ2 2016","Currency=INR","Period=FQ","BEST_FPERIOD_OVERRIDE=FQ","FILING_STATUS=OR","EQY_CONSOLIDATED=Y","FA_ADJUSTED=GAAP","Sort=A","Dates=H","DateFormat=P","Fill=—","Direction=H","UseDPDF=Y")</f>
        <v>#NAME?</v>
      </c>
      <c r="AO90" s="2" t="e">
        <f ca="1">_xll.BDH($C$78,"GEO_GROW_OPER_INC","FQ2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90" s="2" t="e">
        <f ca="1">_xll.BDH($C$78,"NET_INCOME_TO_COMMON_5_YR_GROWTH","FQ2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90" s="2" t="e">
        <f ca="1">_xll.BDH($C$78,"5Y_GEO_GROWTH_DILUTED_EPS","FQ2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90" s="2" t="e">
        <f ca="1">_xll.BDH($C$78,"GEO_GROW_DVD_PER_SH","FQ2 2016","FQ2 2016","Currency=INR","Period=FQ","BEST_FPERIOD_OVERRIDE=FQ","FILING_STATUS=OR","EQY_CONSOLIDATED=Y","Sort=A","Dates=H","DateFormat=P","Fill=—","Direction=H","UseDPDF=Y")</f>
        <v>#NAME?</v>
      </c>
      <c r="AS90" s="2" t="e">
        <f ca="1">_xll.BDH($C$78,"ACCOUNTS_RECEIVABLE_5_YR_GROWTH","FQ2 2016","FQ2 2016","Currency=INR","Period=FQ","BEST_FPERIOD_OVERRIDE=FQ","FILING_STATUS=OR","EQY_CONSOLIDATED=Y","Sort=A","Dates=H","DateFormat=P","Fill=—","Direction=H","UseDPDF=Y")</f>
        <v>#NAME?</v>
      </c>
      <c r="AT90" s="2" t="e">
        <f ca="1">_xll.BDH($C$78,"INVENTORY_5_YEAR_GROWTH","FQ2 2016","FQ2 2016","Currency=INR","Period=FQ","BEST_FPERIOD_OVERRIDE=FQ","FILING_STATUS=OR","EQY_CONSOLIDATED=Y","Sort=A","Dates=H","DateFormat=P","Fill=—","Direction=H","UseDPDF=Y")</f>
        <v>#NAME?</v>
      </c>
      <c r="AU90" s="2" t="e">
        <f ca="1">_xll.BDH($C$78,"NET_FIXED_ASSETS_5_YEAR_GROWTH","FQ2 2016","FQ2 2016","Currency=INR","Period=FQ","BEST_FPERIOD_OVERRIDE=FQ","FILING_STATUS=OR","EQY_CONSOLIDATED=Y","Sort=A","Dates=H","DateFormat=P","Fill=—","Direction=H","UseDPDF=Y")</f>
        <v>#NAME?</v>
      </c>
      <c r="AV90" s="2" t="e">
        <f ca="1">_xll.BDH($C$78,"GEO_GROW_TOT_ASSET","FQ2 2016","FQ2 2016","Currency=INR","Period=FQ","BEST_FPERIOD_OVERRIDE=FQ","FILING_STATUS=OR","EQY_CONSOLIDATED=Y","Sort=A","Dates=H","DateFormat=P","Fill=—","Direction=H","UseDPDF=Y")</f>
        <v>#NAME?</v>
      </c>
      <c r="AW90" s="2" t="e">
        <f ca="1">_xll.BDH($C$78,"MODIFIED_WORKING_CPTL_5YR_GRWTH","FQ2 2016","FQ2 2016","Currency=INR","Period=FQ","BEST_FPERIOD_OVERRIDE=FQ","FILING_STATUS=OR","EQY_CONSOLIDATED=Y","Sort=A","Dates=H","DateFormat=P","Fill=—","Direction=H","UseDPDF=Y")</f>
        <v>#NAME?</v>
      </c>
      <c r="AX90" s="2" t="e">
        <f ca="1">_xll.BDH($C$78,"WORKING_CAPITAL_5_YEAR_GROWTH","FQ2 2016","FQ2 2016","Currency=INR","Period=FQ","BEST_FPERIOD_OVERRIDE=FQ","FILING_STATUS=OR","EQY_CONSOLIDATED=Y","Sort=A","Dates=H","DateFormat=P","Fill=—","Direction=H","UseDPDF=Y")</f>
        <v>#NAME?</v>
      </c>
      <c r="AY90" s="2" t="e">
        <f ca="1">_xll.BDH($C$78,"ACCOUNTS_PAYABLE_5_YEAR_GROWTH","FQ2 2016","FQ2 2016","Currency=INR","Period=FQ","BEST_FPERIOD_OVERRIDE=FQ","FILING_STATUS=OR","EQY_CONSOLIDATED=Y","Sort=A","Dates=H","DateFormat=P","Fill=—","Direction=H","UseDPDF=Y")</f>
        <v>#NAME?</v>
      </c>
      <c r="AZ90" s="2" t="e">
        <f ca="1">_xll.BDH($C$78,"SHORT_TERM_DEBT_5_YEAR_GROWTH","FQ2 2016","FQ2 2016","Currency=INR","Period=FQ","BEST_FPERIOD_OVERRIDE=FQ","FILING_STATUS=OR","EQY_CONSOLIDATED=Y","Sort=A","Dates=H","DateFormat=P","Fill=—","Direction=H","UseDPDF=Y")</f>
        <v>#NAME?</v>
      </c>
      <c r="BA90" s="2" t="e">
        <f ca="1">_xll.BDH($C$78,"TOTAL_DEBT_5_YEAR_GROWTH","FQ2 2016","FQ2 2016","Currency=INR","Period=FQ","BEST_FPERIOD_OVERRIDE=FQ","FILING_STATUS=OR","EQY_CONSOLIDATED=Y","Sort=A","Dates=H","DateFormat=P","Fill=—","Direction=H","UseDPDF=Y")</f>
        <v>#NAME?</v>
      </c>
      <c r="BB90" s="2" t="e">
        <f ca="1">_xll.BDH($C$78,"GEO_GROW_TOT_SHRHLDR_EQY","FQ2 2016","FQ2 2016","Currency=INR","Period=FQ","BEST_FPERIOD_OVERRIDE=FQ","FILING_STATUS=OR","EQY_CONSOLIDATED=Y","Sort=A","Dates=H","DateFormat=P","Fill=—","Direction=H","UseDPDF=Y")</f>
        <v>#NAME?</v>
      </c>
      <c r="BC90" s="2" t="e">
        <f ca="1">_xll.BDH($C$78,"TOTAL_CAPITAL_5_YEAR_GROWTH","FQ2 2016","FQ2 2016","Currency=INR","Period=FQ","BEST_FPERIOD_OVERRIDE=FQ","FILING_STATUS=OR","EQY_CONSOLIDATED=Y","Sort=A","Dates=H","DateFormat=P","Fill=—","Direction=H","UseDPDF=Y")</f>
        <v>#NAME?</v>
      </c>
      <c r="BD90" s="2" t="e">
        <f ca="1">_xll.BDH($C$78,"GEO_GROW_BOOK_VAL","FQ2 2016","FQ2 2016","Currency=INR","Period=FQ","BEST_FPERIOD_OVERRIDE=FQ","FILING_STATUS=OR","EQY_CONSOLIDATED=Y","Sort=A","Dates=H","DateFormat=P","Fill=—","Direction=H","UseDPDF=Y")</f>
        <v>#NAME?</v>
      </c>
      <c r="BE90" s="2" t="e">
        <f ca="1">_xll.BDH($C$78,"GEO_GROW_CASH_OPER_ACT","FQ2 2016","FQ2 2016","Currency=INR","Period=FQ","BEST_FPERIOD_OVERRIDE=FQ","FILING_STATUS=OR","EQY_CONSOLIDATED=Y","Sort=A","Dates=H","DateFormat=P","Fill=—","Direction=H","UseDPDF=Y")</f>
        <v>#NAME?</v>
      </c>
      <c r="BF90" s="2" t="e">
        <f ca="1">_xll.BDH($C$78,"REVENUE_SEQUENTIAL_GROWTH","FQ2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90" s="2" t="e">
        <f ca="1">_xll.BDH($C$78,"EBITDA_SEQUENTIAL_GROWTH","FQ2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90" s="2" t="e">
        <f ca="1">_xll.BDH($C$78,"OPERATING_INCOME_SEQ_GROWTH","FQ2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90" s="2" t="e">
        <f ca="1">_xll.BDH($C$78,"NET_INCOME_TO_COMMON_SEQ_GROWTH","FQ2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90" s="2" t="e">
        <f ca="1">_xll.BDH($C$78,"EPS_DILUTED_SEQUENTIAL_GROWTH","FQ2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90" s="2" t="e">
        <f ca="1">_xll.BDH($C$78,"DPS_SEQUENTIAL_GROWTH","FQ2 2016","FQ2 2016","Currency=INR","Period=FQ","BEST_FPERIOD_OVERRIDE=FQ","FILING_STATUS=OR","EQY_CONSOLIDATED=Y","Sort=A","Dates=H","DateFormat=P","Fill=—","Direction=H","UseDPDF=Y")</f>
        <v>#NAME?</v>
      </c>
      <c r="BL90" s="2" t="e">
        <f ca="1">_xll.BDH($C$78,"ACCOUNTS_RECEIVABLE_SEQ_GROWTH","FQ2 2016","FQ2 2016","Currency=INR","Period=FQ","BEST_FPERIOD_OVERRIDE=FQ","FILING_STATUS=OR","EQY_CONSOLIDATED=Y","Sort=A","Dates=H","DateFormat=P","Fill=—","Direction=H","UseDPDF=Y")</f>
        <v>#NAME?</v>
      </c>
      <c r="BM90" s="2" t="e">
        <f ca="1">_xll.BDH($C$78,"INVENTORY_SEQUENTIAL_GROWTH","FQ2 2016","FQ2 2016","Currency=INR","Period=FQ","BEST_FPERIOD_OVERRIDE=FQ","FILING_STATUS=OR","EQY_CONSOLIDATED=Y","Sort=A","Dates=H","DateFormat=P","Fill=—","Direction=H","UseDPDF=Y")</f>
        <v>#NAME?</v>
      </c>
      <c r="BN90" s="2" t="e">
        <f ca="1">_xll.BDH($C$78,"FIXED_ASSETS_SEQUENTIAL_GROWTH","FQ2 2016","FQ2 2016","Currency=INR","Period=FQ","BEST_FPERIOD_OVERRIDE=FQ","FILING_STATUS=OR","EQY_CONSOLIDATED=Y","Sort=A","Dates=H","DateFormat=P","Fill=—","Direction=H","UseDPDF=Y")</f>
        <v>#NAME?</v>
      </c>
      <c r="BO90" s="2" t="e">
        <f ca="1">_xll.BDH($C$78,"TOTAL_ASSETS_SEQUENTIAL_GROWTH","FQ2 2016","FQ2 2016","Currency=INR","Period=FQ","BEST_FPERIOD_OVERRIDE=FQ","FILING_STATUS=OR","EQY_CONSOLIDATED=Y","Sort=A","Dates=H","DateFormat=P","Fill=—","Direction=H","UseDPDF=Y")</f>
        <v>#NAME?</v>
      </c>
      <c r="BP90" s="2" t="e">
        <f ca="1">_xll.BDH($C$78,"MODIFIED_WORKING_CPTL_SEQ_GRWTH","FQ2 2016","FQ2 2016","Currency=INR","Period=FQ","BEST_FPERIOD_OVERRIDE=FQ","FILING_STATUS=OR","EQY_CONSOLIDATED=Y","Sort=A","Dates=H","DateFormat=P","Fill=—","Direction=H","UseDPDF=Y")</f>
        <v>#NAME?</v>
      </c>
      <c r="BQ90" s="2" t="e">
        <f ca="1">_xll.BDH($C$78,"WORKING_CAPITAL_SEQ_GROWTH","FQ2 2016","FQ2 2016","Currency=INR","Period=FQ","BEST_FPERIOD_OVERRIDE=FQ","FILING_STATUS=OR","EQY_CONSOLIDATED=Y","Sort=A","Dates=H","DateFormat=P","Fill=—","Direction=H","UseDPDF=Y")</f>
        <v>#NAME?</v>
      </c>
      <c r="BR90" s="2" t="e">
        <f ca="1">_xll.BDH($C$78,"ACCOUNTS_PAYABLE_SEQ_GROWTH","FQ2 2016","FQ2 2016","Currency=INR","Period=FQ","BEST_FPERIOD_OVERRIDE=FQ","FILING_STATUS=OR","EQY_CONSOLIDATED=Y","Sort=A","Dates=H","DateFormat=P","Fill=—","Direction=H","UseDPDF=Y")</f>
        <v>#NAME?</v>
      </c>
      <c r="BS90" s="2" t="e">
        <f ca="1">_xll.BDH($C$78,"ST_DEBT_SEQUENTIAL_GROWTH","FQ2 2016","FQ2 2016","Currency=INR","Period=FQ","BEST_FPERIOD_OVERRIDE=FQ","FILING_STATUS=OR","EQY_CONSOLIDATED=Y","Sort=A","Dates=H","DateFormat=P","Fill=—","Direction=H","UseDPDF=Y")</f>
        <v>#NAME?</v>
      </c>
      <c r="BT90" s="2" t="e">
        <f ca="1">_xll.BDH($C$78,"TOTAL_DEBT_SEQUENTIAL_GROWTH","FQ2 2016","FQ2 2016","Currency=INR","Period=FQ","BEST_FPERIOD_OVERRIDE=FQ","FILING_STATUS=OR","EQY_CONSOLIDATED=Y","Sort=A","Dates=H","DateFormat=P","Fill=—","Direction=H","UseDPDF=Y")</f>
        <v>#NAME?</v>
      </c>
      <c r="BU90" s="2" t="e">
        <f ca="1">_xll.BDH($C$78,"TOTAL_EQUITY_SEQUENTIAL_GROWTH","FQ2 2016","FQ2 2016","Currency=INR","Period=FQ","BEST_FPERIOD_OVERRIDE=FQ","FILING_STATUS=OR","EQY_CONSOLIDATED=Y","Sort=A","Dates=H","DateFormat=P","Fill=—","Direction=H","UseDPDF=Y")</f>
        <v>#NAME?</v>
      </c>
      <c r="BV90" s="2" t="e">
        <f ca="1">_xll.BDH($C$78,"TOTAL_CAPITAL_SEQUENTIAL_GROWTH","FQ2 2016","FQ2 2016","Currency=INR","Period=FQ","BEST_FPERIOD_OVERRIDE=FQ","FILING_STATUS=OR","EQY_CONSOLIDATED=Y","Sort=A","Dates=H","DateFormat=P","Fill=—","Direction=H","UseDPDF=Y")</f>
        <v>#NAME?</v>
      </c>
      <c r="BW90" s="2" t="e">
        <f ca="1">_xll.BDH($C$78,"BPS_SEQUENTIAL_GROWTH","FQ2 2016","FQ2 2016","Currency=INR","Period=FQ","BEST_FPERIOD_OVERRIDE=FQ","FILING_STATUS=OR","EQY_CONSOLIDATED=Y","Sort=A","Dates=H","DateFormat=P","Fill=—","Direction=H","UseDPDF=Y")</f>
        <v>#NAME?</v>
      </c>
      <c r="BX90" s="2" t="e">
        <f ca="1">_xll.BDH($C$78,"CFO_SEQUENTIAL_GROWTH","FQ2 2016","FQ2 2016","Currency=INR","Period=FQ","BEST_FPERIOD_OVERRIDE=FQ","FILING_STATUS=OR","EQY_CONSOLIDATED=Y","Sort=A","Dates=H","DateFormat=P","Fill=—","Direction=H","UseDPDF=Y")</f>
        <v>#NAME?</v>
      </c>
      <c r="BY90" s="3" t="e">
        <f ca="1">_xll.BDH($C$78,"SHORT_AND_LONG_TERM_DEBT","FQ2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90" s="3" t="e">
        <f ca="1">_xll.BDH($C$78,"BS_ST_BORROW","FQ2 2016","FQ2 2016","Currency=INR","Period=FQ","BEST_FPERIOD_OVERRIDE=FQ","FILING_STATUS=OR","EQY_CONSOLIDATED=Y","SCALING_FORMAT=MLN","Sort=A","Dates=H","DateFormat=P","Fill=—","Direction=H","UseDPDF=Y")</f>
        <v>#NAME?</v>
      </c>
      <c r="CA90" s="3" t="e">
        <f ca="1">_xll.BDH($C$78,"BS_LT_BORROW","FQ2 2016","FQ2 2016","Currency=INR","Period=FQ","BEST_FPERIOD_OVERRIDE=FQ","FILING_STATUS=OR","EQY_CONSOLIDATED=Y","SCALING_FORMAT=MLN","Sort=A","Dates=H","DateFormat=P","Fill=—","Direction=H","UseDPDF=Y")</f>
        <v>#NAME?</v>
      </c>
      <c r="CB90" s="2" t="e">
        <f ca="1">_xll.BDH($C$78,"TOT_DEBT_TO_EBITDA","FQ2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90" s="2" t="e">
        <f ca="1">_xll.BDH($C$78,"NET_DEBT_TO_EBITDA","FQ2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90" s="2" t="e">
        <f ca="1">_xll.BDH($C$78,"TOTAL_DEBT_TO_EBIT","FQ2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90" s="2" t="e">
        <f ca="1">_xll.BDH($C$78,"NET_DEBT_TO_EBIT","FQ2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90" s="2" t="e">
        <f ca="1">_xll.BDH($C$78,"EBITDA_TO_INTEREST_EXPN","FQ2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90" s="2" t="e">
        <f ca="1">_xll.BDH($C$78,"COM_EQY_TO_TOT_ASSET","FQ2 2016","FQ2 2016","Currency=INR","Period=FQ","BEST_FPERIOD_OVERRIDE=FQ","FILING_STATUS=OR","EQY_CONSOLIDATED=Y","Sort=A","Dates=H","DateFormat=P","Fill=—","Direction=H","UseDPDF=Y")</f>
        <v>#NAME?</v>
      </c>
      <c r="CH90" s="2" t="e">
        <f ca="1">_xll.BDH($C$78,"LT_DEBT_TO_TOT_EQY","FQ2 2016","FQ2 2016","Currency=INR","Period=FQ","BEST_FPERIOD_OVERRIDE=FQ","FILING_STATUS=OR","EQY_CONSOLIDATED=Y","Sort=A","Dates=H","DateFormat=P","Fill=—","Direction=H","UseDPDF=Y")</f>
        <v>#NAME?</v>
      </c>
      <c r="CI90" s="2" t="e">
        <f ca="1">_xll.BDH($C$78,"LT_DEBT_TO_TOT_CAP","FQ2 2016","FQ2 2016","Currency=INR","Period=FQ","BEST_FPERIOD_OVERRIDE=FQ","FILING_STATUS=OR","EQY_CONSOLIDATED=Y","Sort=A","Dates=H","DateFormat=P","Fill=—","Direction=H","UseDPDF=Y")</f>
        <v>#NAME?</v>
      </c>
      <c r="CJ90" s="2" t="e">
        <f ca="1">_xll.BDH($C$78,"LT_DEBT_TO_TOT_ASSET","FQ2 2016","FQ2 2016","Currency=INR","Period=FQ","BEST_FPERIOD_OVERRIDE=FQ","FILING_STATUS=OR","EQY_CONSOLIDATED=Y","Sort=A","Dates=H","DateFormat=P","Fill=—","Direction=H","UseDPDF=Y")</f>
        <v>#NAME?</v>
      </c>
      <c r="CK90" s="2" t="e">
        <f ca="1">_xll.BDH($C$78,"TOT_DEBT_TO_TOT_EQY","FQ2 2016","FQ2 2016","Currency=INR","Period=FQ","BEST_FPERIOD_OVERRIDE=FQ","FILING_STATUS=OR","EQY_CONSOLIDATED=Y","Sort=A","Dates=H","DateFormat=P","Fill=—","Direction=H","UseDPDF=Y")</f>
        <v>#NAME?</v>
      </c>
      <c r="CL90" s="2" t="e">
        <f ca="1">_xll.BDH($C$78,"TOT_DEBT_TO_TOT_CAP","FQ2 2016","FQ2 2016","Currency=INR","Period=FQ","BEST_FPERIOD_OVERRIDE=FQ","FILING_STATUS=OR","EQY_CONSOLIDATED=Y","Sort=A","Dates=H","DateFormat=P","Fill=—","Direction=H","UseDPDF=Y")</f>
        <v>#NAME?</v>
      </c>
      <c r="CM90" s="2" t="e">
        <f ca="1">_xll.BDH($C$78,"TOT_DEBT_TO_TOT_ASSET","FQ2 2016","FQ2 2016","Currency=INR","Period=FQ","BEST_FPERIOD_OVERRIDE=FQ","FILING_STATUS=OR","EQY_CONSOLIDATED=Y","Sort=A","Dates=H","DateFormat=P","Fill=—","Direction=H","UseDPDF=Y")</f>
        <v>#NAME?</v>
      </c>
      <c r="CN90" s="2" t="e">
        <f ca="1">_xll.BDH($C$78,"NET_DEBT_TO_SHRHLDR_EQTY","FQ2 2016","FQ2 2016","Currency=INR","Period=FQ","BEST_FPERIOD_OVERRIDE=FQ","FILING_STATUS=OR","EQY_CONSOLIDATED=Y","Sort=A","Dates=H","DateFormat=P","Fill=—","Direction=H","UseDPDF=Y")</f>
        <v>#NAME?</v>
      </c>
      <c r="CO90" s="2" t="e">
        <f ca="1">_xll.BDH($C$78,"NET_DEBT_%_CAPITAL","FQ2 2016","FQ2 2016","Currency=INR","Period=FQ","BEST_FPERIOD_OVERRIDE=FQ","FILING_STATUS=OR","EQY_CONSOLIDATED=Y","Sort=A","Dates=H","DateFormat=P","Fill=—","Direction=H","UseDPDF=Y")</f>
        <v>#NAME?</v>
      </c>
      <c r="CP90" s="3" t="e">
        <f ca="1">_xll.BDH($C$78,"EBITDA","FQ2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90" s="3" t="e">
        <f ca="1">_xll.BDH($C$78,"EBITDA_AFTER_CAPEX","FQ2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90" s="3" t="e">
        <f ca="1">_xll.BDH($C$78,"IS_OPER_INC","FQ2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90" s="2" t="e">
        <f ca="1">_xll.BDH($C$78,"CASH_RATIO","FQ2 2016","FQ2 2016","Currency=INR","Period=FQ","BEST_FPERIOD_OVERRIDE=FQ","FILING_STATUS=OR","EQY_CONSOLIDATED=Y","Sort=A","Dates=H","DateFormat=P","Fill=—","Direction=H","UseDPDF=Y")</f>
        <v>#NAME?</v>
      </c>
      <c r="CT90" s="2" t="e">
        <f ca="1">_xll.BDH($C$78,"CUR_RATIO","FQ2 2016","FQ2 2016","Currency=INR","Period=FQ","BEST_FPERIOD_OVERRIDE=FQ","FILING_STATUS=OR","EQY_CONSOLIDATED=Y","Sort=A","Dates=H","DateFormat=P","Fill=—","Direction=H","UseDPDF=Y")</f>
        <v>#NAME?</v>
      </c>
      <c r="CU90" s="2" t="e">
        <f ca="1">_xll.BDH($C$78,"QUICK_RATIO","FQ2 2016","FQ2 2016","Currency=INR","Period=FQ","BEST_FPERIOD_OVERRIDE=FQ","FILING_STATUS=OR","EQY_CONSOLIDATED=Y","Sort=A","Dates=H","DateFormat=P","Fill=—","Direction=H","UseDPDF=Y")</f>
        <v>#NAME?</v>
      </c>
      <c r="CV90" s="2" t="e">
        <f ca="1">_xll.BDH($C$78,"ALTMAN_Z_SCORE","FQ2 2016","FQ2 2016","Currency=INR","Period=FQ","BEST_FPERIOD_OVERRIDE=FQ","FILING_STATUS=OR","EQY_CONSOLIDATED=Y","Sort=A","Dates=H","DateFormat=P","Fill=—","Direction=H","UseDPDF=Y")</f>
        <v>#NAME?</v>
      </c>
      <c r="CW90" s="4" t="e">
        <f ca="1">_xll.BDH($C$78,"ACCT_RCV_TURN","FQ2 2016","FQ2 2016","Currency=INR","Period=FQ","BEST_FPERIOD_OVERRIDE=FQ","FILING_STATUS=OR","EQY_CONSOLIDATED=Y","FA_ADJUSTED=GAAP","Sort=A","Dates=H","DateFormat=P","Fill=—","Direction=H","UseDPDF=Y")</f>
        <v>#NAME?</v>
      </c>
      <c r="CX90" s="2" t="e">
        <f ca="1">_xll.BDH($C$78,"ACCT_RCV_DAYS","FQ2 2016","FQ2 2016","Currency=INR","Period=FQ","BEST_FPERIOD_OVERRIDE=FQ","FILING_STATUS=OR","EQY_CONSOLIDATED=Y","FA_ADJUSTED=GAAP","Sort=A","Dates=H","DateFormat=P","Fill=—","Direction=H","UseDPDF=Y")</f>
        <v>#NAME?</v>
      </c>
      <c r="CY90" s="4" t="e">
        <f ca="1">_xll.BDH($C$78,"INVENT_TURN","FQ2 2016","FQ2 2016","Currency=INR","Period=FQ","BEST_FPERIOD_OVERRIDE=FQ","FILING_STATUS=OR","EQY_CONSOLIDATED=Y","FA_ADJUSTED=GAAP","Sort=A","Dates=H","DateFormat=P","Fill=—","Direction=H","UseDPDF=Y")</f>
        <v>#NAME?</v>
      </c>
      <c r="CZ90" s="2" t="e">
        <f ca="1">_xll.BDH($C$78,"INVENT_DAYS","FQ2 2016","FQ2 2016","Currency=INR","Period=FQ","BEST_FPERIOD_OVERRIDE=FQ","FILING_STATUS=OR","EQY_CONSOLIDATED=Y","FA_ADJUSTED=GAAP","Sort=A","Dates=H","DateFormat=P","Fill=—","Direction=H","UseDPDF=Y")</f>
        <v>#NAME?</v>
      </c>
      <c r="DA90" s="4" t="e">
        <f ca="1">_xll.BDH($C$78,"ACCOUNTS_PAYABLE_TURNOVER","FQ2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90" s="2" t="e">
        <f ca="1">_xll.BDH($C$78,"ACCOUNTS_PAYABLE_TURNOVER_DAYS","FQ2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90" s="4" t="e">
        <f ca="1">_xll.BDH($C$78,"CASH_CONVERSION_CYCLE","FQ2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90" s="4" t="e">
        <f ca="1">_xll.BDH($C$78,"INV_TO_CASH_DAYS","FQ2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90" s="5" t="e">
        <f ca="1">_xll.BDH($C$78,"BS_INVENTORIES","FQ2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90" s="3" t="e">
        <f ca="1">_xll.BDH($C$78,"INVTRY_RAW_MATERIALS","FQ2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90" s="3" t="e">
        <f ca="1">_xll.BDH($C$78,"INVTRY_IN_PROGRESS","FQ2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90" s="3" t="e">
        <f ca="1">_xll.BDH($C$78,"INVTRY_FINISHED_GOODS","FQ2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90" s="3" t="e">
        <f ca="1">_xll.BDH($C$78,"BS_OTHER_INV","FQ2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91" spans="1:113" x14ac:dyDescent="0.3">
      <c r="A91" s="6"/>
      <c r="B91" s="6"/>
      <c r="C91" s="6"/>
      <c r="D91" s="6"/>
      <c r="E91" t="s">
        <v>80</v>
      </c>
      <c r="F91" t="e">
        <f ca="1">_xll.BDH($C$78,"RETURN_COM_EQY","FQ3 2016","FQ3 2016","Currency=INR","Period=FQ","BEST_FPERIOD_OVERRIDE=FQ","FILING_STATUS=OR","EQY_CONSOLIDATED=Y","FA_ADJUSTED=GAAP","Sort=A","Dates=H","DateFormat=P","Fill=—","Direction=H","UseDPDF=Y")</f>
        <v>#NAME?</v>
      </c>
      <c r="G91" t="e">
        <f ca="1">_xll.BDH($C$78,"RETURN_ON_ASSET","FQ3 2016","FQ3 2016","Currency=INR","Period=FQ","BEST_FPERIOD_OVERRIDE=FQ","FILING_STATUS=OR","EQY_CONSOLIDATED=Y","FA_ADJUSTED=GAAP","Sort=A","Dates=H","DateFormat=P","Fill=—","Direction=H","UseDPDF=Y")</f>
        <v>#NAME?</v>
      </c>
      <c r="H91" t="e">
        <f ca="1">_xll.BDH($C$78,"RETURN_ON_CAP","FQ3 2016","FQ3 2016","Currency=INR","Period=FQ","BEST_FPERIOD_OVERRIDE=FQ","FILING_STATUS=OR","EQY_CONSOLIDATED=Y","FA_ADJUSTED=GAAP","Sort=A","Dates=H","DateFormat=P","Fill=—","Direction=H","UseDPDF=Y")</f>
        <v>#NAME?</v>
      </c>
      <c r="I91" t="e">
        <f ca="1">_xll.BDH($C$78,"RETURN_ON_INV_CAPITAL","FQ3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91" t="e">
        <f ca="1">_xll.BDH($C$78,"EBITDA_TO_REVENUE","FQ3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91" t="e">
        <f ca="1">_xll.BDH($C$78,"OPER_MARGIN","FQ3 2016","FQ3 2016","Currency=INR","Period=FQ","BEST_FPERIOD_OVERRIDE=FQ","FILING_STATUS=OR","EQY_CONSOLIDATED=Y","FA_ADJUSTED=GAAP","Sort=A","Dates=H","DateFormat=P","Fill=—","Direction=H","UseDPDF=Y")</f>
        <v>#NAME?</v>
      </c>
      <c r="L91" t="e">
        <f ca="1">_xll.BDH($C$78,"INCREMENTAL_OPERATING_MARGIN","FQ3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91" t="e">
        <f ca="1">_xll.BDH($C$78,"PRETAX_INC_TO_NET_SALES","FQ3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91" t="e">
        <f ca="1">_xll.BDH($C$78,"INC_BEF_XO_ITEMS_TO_NET_SALES","FQ3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91" t="e">
        <f ca="1">_xll.BDH($C$78,"PROF_MARGIN","FQ3 2016","FQ3 2016","Currency=INR","Period=FQ","BEST_FPERIOD_OVERRIDE=FQ","FILING_STATUS=OR","EQY_CONSOLIDATED=Y","FA_ADJUSTED=GAAP","Sort=A","Dates=H","DateFormat=P","Fill=—","Direction=H","UseDPDF=Y")</f>
        <v>#NAME?</v>
      </c>
      <c r="P91" t="e">
        <f ca="1">_xll.BDH($C$78,"NET_INCOME_TO_COMMON_MARGIN","FQ3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91" t="e">
        <f ca="1">_xll.BDH($C$78,"EFF_TAX_RATE","FQ3 2016","FQ3 2016","Currency=INR","Period=FQ","BEST_FPERIOD_OVERRIDE=FQ","FILING_STATUS=OR","EQY_CONSOLIDATED=Y","FA_ADJUSTED=GAAP","Sort=A","Dates=H","DateFormat=P","Fill=—","Direction=H","UseDPDF=Y")</f>
        <v>#NAME?</v>
      </c>
      <c r="R91" t="e">
        <f ca="1">_xll.BDH($C$78,"DVD_PAYOUT_RATIO","FQ3 2016","FQ3 2016","Currency=INR","Period=FQ","BEST_FPERIOD_OVERRIDE=FQ","FILING_STATUS=OR","EQY_CONSOLIDATED=Y","FA_ADJUSTED=GAAP","Sort=A","Dates=H","DateFormat=P","Fill=—","Direction=H","UseDPDF=Y")</f>
        <v>#NAME?</v>
      </c>
      <c r="S91" t="e">
        <f ca="1">_xll.BDH($C$78,"SUSTAIN_GROWTH_RT","FQ3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91" s="2" t="e">
        <f ca="1">_xll.BDH($C$78,"SALES_GROWTH","FQ3 2016","FQ3 2016","Currency=INR","Period=FQ","BEST_FPERIOD_OVERRIDE=FQ","FILING_STATUS=OR","EQY_CONSOLIDATED=Y","FA_ADJUSTED=GAAP","Sort=A","Dates=H","DateFormat=P","Fill=—","Direction=H","UseDPDF=Y")</f>
        <v>#NAME?</v>
      </c>
      <c r="U91" s="2" t="e">
        <f ca="1">_xll.BDH($C$78,"EBITDA_GROWTH","FQ3 2016","FQ3 2016","Currency=INR","Period=FQ","BEST_FPERIOD_OVERRIDE=FQ","FILING_STATUS=OR","EQY_CONSOLIDATED=Y","FA_ADJUSTED=GAAP","Sort=A","Dates=H","DateFormat=P","Fill=—","Direction=H","UseDPDF=Y")</f>
        <v>#NAME?</v>
      </c>
      <c r="V91" s="2" t="e">
        <f ca="1">_xll.BDH($C$78,"OPER_INC_GROWTH","FQ3 2016","FQ3 2016","Currency=INR","Period=FQ","BEST_FPERIOD_OVERRIDE=FQ","FILING_STATUS=OR","EQY_CONSOLIDATED=Y","FA_ADJUSTED=GAAP","Sort=A","Dates=H","DateFormat=P","Fill=—","Direction=H","UseDPDF=Y")</f>
        <v>#NAME?</v>
      </c>
      <c r="W91" s="2" t="e">
        <f ca="1">_xll.BDH($C$78,"EARN_FOR_COM_GROWTH","FQ3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91" s="2" t="e">
        <f ca="1">_xll.BDH($C$78,"DILUTED_EPS_AFT_XO_ITEMS_GROWTH","FQ3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91" s="2" t="e">
        <f ca="1">_xll.BDH($C$78,"DIVIDEND_PER_SHARE_1_YEAR_GROWTH","FQ3 2016","FQ3 2016","Currency=INR","Period=FQ","BEST_FPERIOD_OVERRIDE=FQ","FILING_STATUS=OR","EQY_CONSOLIDATED=Y","Sort=A","Dates=H","DateFormat=P","Fill=—","Direction=H","UseDPDF=Y")</f>
        <v>#NAME?</v>
      </c>
      <c r="Z91" s="2" t="e">
        <f ca="1">_xll.BDH($C$78,"ACCOUNTS_RECEIVABLE_GROWTH","FQ3 2016","FQ3 2016","Currency=INR","Period=FQ","BEST_FPERIOD_OVERRIDE=FQ","FILING_STATUS=OR","EQY_CONSOLIDATED=Y","Sort=A","Dates=H","DateFormat=P","Fill=—","Direction=H","UseDPDF=Y")</f>
        <v>#NAME?</v>
      </c>
      <c r="AA91" s="2" t="e">
        <f ca="1">_xll.BDH($C$78,"INVENTORY_GROWTH","FQ3 2016","FQ3 2016","Currency=INR","Period=FQ","BEST_FPERIOD_OVERRIDE=FQ","FILING_STATUS=OR","EQY_CONSOLIDATED=Y","Sort=A","Dates=H","DateFormat=P","Fill=—","Direction=H","UseDPDF=Y")</f>
        <v>#NAME?</v>
      </c>
      <c r="AB91" s="2" t="e">
        <f ca="1">_xll.BDH($C$78,"NET_FIXED_ASSETS_1_YEAR_GROWTH","FQ3 2016","FQ3 2016","Currency=INR","Period=FQ","BEST_FPERIOD_OVERRIDE=FQ","FILING_STATUS=OR","EQY_CONSOLIDATED=Y","Sort=A","Dates=H","DateFormat=P","Fill=—","Direction=H","UseDPDF=Y")</f>
        <v>#NAME?</v>
      </c>
      <c r="AC91" s="2" t="e">
        <f ca="1">_xll.BDH($C$78,"ASSET_GROWTH","FQ3 2016","FQ3 2016","Currency=INR","Period=FQ","BEST_FPERIOD_OVERRIDE=FQ","FILING_STATUS=OR","EQY_CONSOLIDATED=Y","Sort=A","Dates=H","DateFormat=P","Fill=—","Direction=H","UseDPDF=Y")</f>
        <v>#NAME?</v>
      </c>
      <c r="AD91" s="2" t="e">
        <f ca="1">_xll.BDH($C$78,"MODIFIED_WORK_CAP_GROWTH","FQ3 2016","FQ3 2016","Currency=INR","Period=FQ","BEST_FPERIOD_OVERRIDE=FQ","FILING_STATUS=OR","EQY_CONSOLIDATED=Y","Sort=A","Dates=H","DateFormat=P","Fill=—","Direction=H","UseDPDF=Y")</f>
        <v>#NAME?</v>
      </c>
      <c r="AE91" s="2" t="e">
        <f ca="1">_xll.BDH($C$78,"WORK_CAP_GROWTH","FQ3 2016","FQ3 2016","Currency=INR","Period=FQ","BEST_FPERIOD_OVERRIDE=FQ","FILING_STATUS=OR","EQY_CONSOLIDATED=Y","Sort=A","Dates=H","DateFormat=P","Fill=—","Direction=H","UseDPDF=Y")</f>
        <v>#NAME?</v>
      </c>
      <c r="AF91" s="2" t="e">
        <f ca="1">_xll.BDH($C$78,"ACCOUNTS_PAYABLE_GROWTH_1YR","FQ3 2016","FQ3 2016","Currency=INR","Period=FQ","BEST_FPERIOD_OVERRIDE=FQ","FILING_STATUS=OR","EQY_CONSOLIDATED=Y","Sort=A","Dates=H","DateFormat=P","Fill=—","Direction=H","UseDPDF=Y")</f>
        <v>#NAME?</v>
      </c>
      <c r="AG91" s="2" t="e">
        <f ca="1">_xll.BDH($C$78,"SHORT_TERM_DEBT_1_YEAR_GROWTH","FQ3 2016","FQ3 2016","Currency=INR","Period=FQ","BEST_FPERIOD_OVERRIDE=FQ","FILING_STATUS=OR","EQY_CONSOLIDATED=Y","Sort=A","Dates=H","DateFormat=P","Fill=—","Direction=H","UseDPDF=Y")</f>
        <v>#NAME?</v>
      </c>
      <c r="AH91" s="2" t="e">
        <f ca="1">_xll.BDH($C$78,"TOTAL_DEBT_1_YEAR_GROWTH","FQ3 2016","FQ3 2016","Currency=INR","Period=FQ","BEST_FPERIOD_OVERRIDE=FQ","FILING_STATUS=OR","EQY_CONSOLIDATED=Y","Sort=A","Dates=H","DateFormat=P","Fill=—","Direction=H","UseDPDF=Y")</f>
        <v>#NAME?</v>
      </c>
      <c r="AI91" s="2" t="e">
        <f ca="1">_xll.BDH($C$78,"TOTAL_EQUITY_1_YEAR_GROWTH","FQ3 2016","FQ3 2016","Currency=INR","Period=FQ","BEST_FPERIOD_OVERRIDE=FQ","FILING_STATUS=OR","EQY_CONSOLIDATED=Y","Sort=A","Dates=H","DateFormat=P","Fill=—","Direction=H","UseDPDF=Y")</f>
        <v>#NAME?</v>
      </c>
      <c r="AJ91" s="2" t="e">
        <f ca="1">_xll.BDH($C$78,"GROWTH_IN_CAP","FQ3 2016","FQ3 2016","Currency=INR","Period=FQ","BEST_FPERIOD_OVERRIDE=FQ","FILING_STATUS=OR","EQY_CONSOLIDATED=Y","Sort=A","Dates=H","DateFormat=P","Fill=—","Direction=H","UseDPDF=Y")</f>
        <v>#NAME?</v>
      </c>
      <c r="AK91" s="2" t="e">
        <f ca="1">_xll.BDH($C$78,"BVPS_GROWTH","FQ3 2016","FQ3 2016","Currency=INR","Period=FQ","BEST_FPERIOD_OVERRIDE=FQ","FILING_STATUS=OR","EQY_CONSOLIDATED=Y","Sort=A","Dates=H","DateFormat=P","Fill=—","Direction=H","UseDPDF=Y")</f>
        <v>#NAME?</v>
      </c>
      <c r="AL91" s="2" t="e">
        <f ca="1">_xll.BDH($C$78,"CASH_FLOW_GROWTH","FQ3 2016","FQ3 2016","Currency=INR","Period=FQ","BEST_FPERIOD_OVERRIDE=FQ","FILING_STATUS=OR","EQY_CONSOLIDATED=Y","Sort=A","Dates=H","DateFormat=P","Fill=—","Direction=H","UseDPDF=Y")</f>
        <v>#NAME?</v>
      </c>
      <c r="AM91" s="2" t="e">
        <f ca="1">_xll.BDH($C$78,"GEO_GROW_NET_SALES","FQ3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91" s="2" t="e">
        <f ca="1">_xll.BDH($C$78,"GEO_GROW_EBITDA","FQ3 2016","FQ3 2016","Currency=INR","Period=FQ","BEST_FPERIOD_OVERRIDE=FQ","FILING_STATUS=OR","EQY_CONSOLIDATED=Y","FA_ADJUSTED=GAAP","Sort=A","Dates=H","DateFormat=P","Fill=—","Direction=H","UseDPDF=Y")</f>
        <v>#NAME?</v>
      </c>
      <c r="AO91" s="2" t="e">
        <f ca="1">_xll.BDH($C$78,"GEO_GROW_OPER_INC","FQ3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91" s="2" t="e">
        <f ca="1">_xll.BDH($C$78,"NET_INCOME_TO_COMMON_5_YR_GROWTH","FQ3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91" s="2" t="e">
        <f ca="1">_xll.BDH($C$78,"5Y_GEO_GROWTH_DILUTED_EPS","FQ3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91" s="2" t="e">
        <f ca="1">_xll.BDH($C$78,"GEO_GROW_DVD_PER_SH","FQ3 2016","FQ3 2016","Currency=INR","Period=FQ","BEST_FPERIOD_OVERRIDE=FQ","FILING_STATUS=OR","EQY_CONSOLIDATED=Y","Sort=A","Dates=H","DateFormat=P","Fill=—","Direction=H","UseDPDF=Y")</f>
        <v>#NAME?</v>
      </c>
      <c r="AS91" s="2" t="e">
        <f ca="1">_xll.BDH($C$78,"ACCOUNTS_RECEIVABLE_5_YR_GROWTH","FQ3 2016","FQ3 2016","Currency=INR","Period=FQ","BEST_FPERIOD_OVERRIDE=FQ","FILING_STATUS=OR","EQY_CONSOLIDATED=Y","Sort=A","Dates=H","DateFormat=P","Fill=—","Direction=H","UseDPDF=Y")</f>
        <v>#NAME?</v>
      </c>
      <c r="AT91" s="2" t="e">
        <f ca="1">_xll.BDH($C$78,"INVENTORY_5_YEAR_GROWTH","FQ3 2016","FQ3 2016","Currency=INR","Period=FQ","BEST_FPERIOD_OVERRIDE=FQ","FILING_STATUS=OR","EQY_CONSOLIDATED=Y","Sort=A","Dates=H","DateFormat=P","Fill=—","Direction=H","UseDPDF=Y")</f>
        <v>#NAME?</v>
      </c>
      <c r="AU91" s="2" t="e">
        <f ca="1">_xll.BDH($C$78,"NET_FIXED_ASSETS_5_YEAR_GROWTH","FQ3 2016","FQ3 2016","Currency=INR","Period=FQ","BEST_FPERIOD_OVERRIDE=FQ","FILING_STATUS=OR","EQY_CONSOLIDATED=Y","Sort=A","Dates=H","DateFormat=P","Fill=—","Direction=H","UseDPDF=Y")</f>
        <v>#NAME?</v>
      </c>
      <c r="AV91" s="2" t="e">
        <f ca="1">_xll.BDH($C$78,"GEO_GROW_TOT_ASSET","FQ3 2016","FQ3 2016","Currency=INR","Period=FQ","BEST_FPERIOD_OVERRIDE=FQ","FILING_STATUS=OR","EQY_CONSOLIDATED=Y","Sort=A","Dates=H","DateFormat=P","Fill=—","Direction=H","UseDPDF=Y")</f>
        <v>#NAME?</v>
      </c>
      <c r="AW91" s="2" t="e">
        <f ca="1">_xll.BDH($C$78,"MODIFIED_WORKING_CPTL_5YR_GRWTH","FQ3 2016","FQ3 2016","Currency=INR","Period=FQ","BEST_FPERIOD_OVERRIDE=FQ","FILING_STATUS=OR","EQY_CONSOLIDATED=Y","Sort=A","Dates=H","DateFormat=P","Fill=—","Direction=H","UseDPDF=Y")</f>
        <v>#NAME?</v>
      </c>
      <c r="AX91" s="2" t="e">
        <f ca="1">_xll.BDH($C$78,"WORKING_CAPITAL_5_YEAR_GROWTH","FQ3 2016","FQ3 2016","Currency=INR","Period=FQ","BEST_FPERIOD_OVERRIDE=FQ","FILING_STATUS=OR","EQY_CONSOLIDATED=Y","Sort=A","Dates=H","DateFormat=P","Fill=—","Direction=H","UseDPDF=Y")</f>
        <v>#NAME?</v>
      </c>
      <c r="AY91" s="2" t="e">
        <f ca="1">_xll.BDH($C$78,"ACCOUNTS_PAYABLE_5_YEAR_GROWTH","FQ3 2016","FQ3 2016","Currency=INR","Period=FQ","BEST_FPERIOD_OVERRIDE=FQ","FILING_STATUS=OR","EQY_CONSOLIDATED=Y","Sort=A","Dates=H","DateFormat=P","Fill=—","Direction=H","UseDPDF=Y")</f>
        <v>#NAME?</v>
      </c>
      <c r="AZ91" s="2" t="e">
        <f ca="1">_xll.BDH($C$78,"SHORT_TERM_DEBT_5_YEAR_GROWTH","FQ3 2016","FQ3 2016","Currency=INR","Period=FQ","BEST_FPERIOD_OVERRIDE=FQ","FILING_STATUS=OR","EQY_CONSOLIDATED=Y","Sort=A","Dates=H","DateFormat=P","Fill=—","Direction=H","UseDPDF=Y")</f>
        <v>#NAME?</v>
      </c>
      <c r="BA91" s="2" t="e">
        <f ca="1">_xll.BDH($C$78,"TOTAL_DEBT_5_YEAR_GROWTH","FQ3 2016","FQ3 2016","Currency=INR","Period=FQ","BEST_FPERIOD_OVERRIDE=FQ","FILING_STATUS=OR","EQY_CONSOLIDATED=Y","Sort=A","Dates=H","DateFormat=P","Fill=—","Direction=H","UseDPDF=Y")</f>
        <v>#NAME?</v>
      </c>
      <c r="BB91" s="2" t="e">
        <f ca="1">_xll.BDH($C$78,"GEO_GROW_TOT_SHRHLDR_EQY","FQ3 2016","FQ3 2016","Currency=INR","Period=FQ","BEST_FPERIOD_OVERRIDE=FQ","FILING_STATUS=OR","EQY_CONSOLIDATED=Y","Sort=A","Dates=H","DateFormat=P","Fill=—","Direction=H","UseDPDF=Y")</f>
        <v>#NAME?</v>
      </c>
      <c r="BC91" s="2" t="e">
        <f ca="1">_xll.BDH($C$78,"TOTAL_CAPITAL_5_YEAR_GROWTH","FQ3 2016","FQ3 2016","Currency=INR","Period=FQ","BEST_FPERIOD_OVERRIDE=FQ","FILING_STATUS=OR","EQY_CONSOLIDATED=Y","Sort=A","Dates=H","DateFormat=P","Fill=—","Direction=H","UseDPDF=Y")</f>
        <v>#NAME?</v>
      </c>
      <c r="BD91" s="2" t="e">
        <f ca="1">_xll.BDH($C$78,"GEO_GROW_BOOK_VAL","FQ3 2016","FQ3 2016","Currency=INR","Period=FQ","BEST_FPERIOD_OVERRIDE=FQ","FILING_STATUS=OR","EQY_CONSOLIDATED=Y","Sort=A","Dates=H","DateFormat=P","Fill=—","Direction=H","UseDPDF=Y")</f>
        <v>#NAME?</v>
      </c>
      <c r="BE91" s="2" t="e">
        <f ca="1">_xll.BDH($C$78,"GEO_GROW_CASH_OPER_ACT","FQ3 2016","FQ3 2016","Currency=INR","Period=FQ","BEST_FPERIOD_OVERRIDE=FQ","FILING_STATUS=OR","EQY_CONSOLIDATED=Y","Sort=A","Dates=H","DateFormat=P","Fill=—","Direction=H","UseDPDF=Y")</f>
        <v>#NAME?</v>
      </c>
      <c r="BF91" s="2" t="e">
        <f ca="1">_xll.BDH($C$78,"REVENUE_SEQUENTIAL_GROWTH","FQ3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91" s="2" t="e">
        <f ca="1">_xll.BDH($C$78,"EBITDA_SEQUENTIAL_GROWTH","FQ3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91" s="2" t="e">
        <f ca="1">_xll.BDH($C$78,"OPERATING_INCOME_SEQ_GROWTH","FQ3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91" s="2" t="e">
        <f ca="1">_xll.BDH($C$78,"NET_INCOME_TO_COMMON_SEQ_GROWTH","FQ3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91" s="2" t="e">
        <f ca="1">_xll.BDH($C$78,"EPS_DILUTED_SEQUENTIAL_GROWTH","FQ3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91" s="2" t="e">
        <f ca="1">_xll.BDH($C$78,"DPS_SEQUENTIAL_GROWTH","FQ3 2016","FQ3 2016","Currency=INR","Period=FQ","BEST_FPERIOD_OVERRIDE=FQ","FILING_STATUS=OR","EQY_CONSOLIDATED=Y","Sort=A","Dates=H","DateFormat=P","Fill=—","Direction=H","UseDPDF=Y")</f>
        <v>#NAME?</v>
      </c>
      <c r="BL91" s="2" t="e">
        <f ca="1">_xll.BDH($C$78,"ACCOUNTS_RECEIVABLE_SEQ_GROWTH","FQ3 2016","FQ3 2016","Currency=INR","Period=FQ","BEST_FPERIOD_OVERRIDE=FQ","FILING_STATUS=OR","EQY_CONSOLIDATED=Y","Sort=A","Dates=H","DateFormat=P","Fill=—","Direction=H","UseDPDF=Y")</f>
        <v>#NAME?</v>
      </c>
      <c r="BM91" s="2" t="e">
        <f ca="1">_xll.BDH($C$78,"INVENTORY_SEQUENTIAL_GROWTH","FQ3 2016","FQ3 2016","Currency=INR","Period=FQ","BEST_FPERIOD_OVERRIDE=FQ","FILING_STATUS=OR","EQY_CONSOLIDATED=Y","Sort=A","Dates=H","DateFormat=P","Fill=—","Direction=H","UseDPDF=Y")</f>
        <v>#NAME?</v>
      </c>
      <c r="BN91" s="2" t="e">
        <f ca="1">_xll.BDH($C$78,"FIXED_ASSETS_SEQUENTIAL_GROWTH","FQ3 2016","FQ3 2016","Currency=INR","Period=FQ","BEST_FPERIOD_OVERRIDE=FQ","FILING_STATUS=OR","EQY_CONSOLIDATED=Y","Sort=A","Dates=H","DateFormat=P","Fill=—","Direction=H","UseDPDF=Y")</f>
        <v>#NAME?</v>
      </c>
      <c r="BO91" s="2" t="e">
        <f ca="1">_xll.BDH($C$78,"TOTAL_ASSETS_SEQUENTIAL_GROWTH","FQ3 2016","FQ3 2016","Currency=INR","Period=FQ","BEST_FPERIOD_OVERRIDE=FQ","FILING_STATUS=OR","EQY_CONSOLIDATED=Y","Sort=A","Dates=H","DateFormat=P","Fill=—","Direction=H","UseDPDF=Y")</f>
        <v>#NAME?</v>
      </c>
      <c r="BP91" s="2" t="e">
        <f ca="1">_xll.BDH($C$78,"MODIFIED_WORKING_CPTL_SEQ_GRWTH","FQ3 2016","FQ3 2016","Currency=INR","Period=FQ","BEST_FPERIOD_OVERRIDE=FQ","FILING_STATUS=OR","EQY_CONSOLIDATED=Y","Sort=A","Dates=H","DateFormat=P","Fill=—","Direction=H","UseDPDF=Y")</f>
        <v>#NAME?</v>
      </c>
      <c r="BQ91" s="2" t="e">
        <f ca="1">_xll.BDH($C$78,"WORKING_CAPITAL_SEQ_GROWTH","FQ3 2016","FQ3 2016","Currency=INR","Period=FQ","BEST_FPERIOD_OVERRIDE=FQ","FILING_STATUS=OR","EQY_CONSOLIDATED=Y","Sort=A","Dates=H","DateFormat=P","Fill=—","Direction=H","UseDPDF=Y")</f>
        <v>#NAME?</v>
      </c>
      <c r="BR91" s="2" t="e">
        <f ca="1">_xll.BDH($C$78,"ACCOUNTS_PAYABLE_SEQ_GROWTH","FQ3 2016","FQ3 2016","Currency=INR","Period=FQ","BEST_FPERIOD_OVERRIDE=FQ","FILING_STATUS=OR","EQY_CONSOLIDATED=Y","Sort=A","Dates=H","DateFormat=P","Fill=—","Direction=H","UseDPDF=Y")</f>
        <v>#NAME?</v>
      </c>
      <c r="BS91" s="2" t="e">
        <f ca="1">_xll.BDH($C$78,"ST_DEBT_SEQUENTIAL_GROWTH","FQ3 2016","FQ3 2016","Currency=INR","Period=FQ","BEST_FPERIOD_OVERRIDE=FQ","FILING_STATUS=OR","EQY_CONSOLIDATED=Y","Sort=A","Dates=H","DateFormat=P","Fill=—","Direction=H","UseDPDF=Y")</f>
        <v>#NAME?</v>
      </c>
      <c r="BT91" s="2" t="e">
        <f ca="1">_xll.BDH($C$78,"TOTAL_DEBT_SEQUENTIAL_GROWTH","FQ3 2016","FQ3 2016","Currency=INR","Period=FQ","BEST_FPERIOD_OVERRIDE=FQ","FILING_STATUS=OR","EQY_CONSOLIDATED=Y","Sort=A","Dates=H","DateFormat=P","Fill=—","Direction=H","UseDPDF=Y")</f>
        <v>#NAME?</v>
      </c>
      <c r="BU91" s="2" t="e">
        <f ca="1">_xll.BDH($C$78,"TOTAL_EQUITY_SEQUENTIAL_GROWTH","FQ3 2016","FQ3 2016","Currency=INR","Period=FQ","BEST_FPERIOD_OVERRIDE=FQ","FILING_STATUS=OR","EQY_CONSOLIDATED=Y","Sort=A","Dates=H","DateFormat=P","Fill=—","Direction=H","UseDPDF=Y")</f>
        <v>#NAME?</v>
      </c>
      <c r="BV91" s="2" t="e">
        <f ca="1">_xll.BDH($C$78,"TOTAL_CAPITAL_SEQUENTIAL_GROWTH","FQ3 2016","FQ3 2016","Currency=INR","Period=FQ","BEST_FPERIOD_OVERRIDE=FQ","FILING_STATUS=OR","EQY_CONSOLIDATED=Y","Sort=A","Dates=H","DateFormat=P","Fill=—","Direction=H","UseDPDF=Y")</f>
        <v>#NAME?</v>
      </c>
      <c r="BW91" s="2" t="e">
        <f ca="1">_xll.BDH($C$78,"BPS_SEQUENTIAL_GROWTH","FQ3 2016","FQ3 2016","Currency=INR","Period=FQ","BEST_FPERIOD_OVERRIDE=FQ","FILING_STATUS=OR","EQY_CONSOLIDATED=Y","Sort=A","Dates=H","DateFormat=P","Fill=—","Direction=H","UseDPDF=Y")</f>
        <v>#NAME?</v>
      </c>
      <c r="BX91" s="2" t="e">
        <f ca="1">_xll.BDH($C$78,"CFO_SEQUENTIAL_GROWTH","FQ3 2016","FQ3 2016","Currency=INR","Period=FQ","BEST_FPERIOD_OVERRIDE=FQ","FILING_STATUS=OR","EQY_CONSOLIDATED=Y","Sort=A","Dates=H","DateFormat=P","Fill=—","Direction=H","UseDPDF=Y")</f>
        <v>#NAME?</v>
      </c>
      <c r="BY91" s="3" t="e">
        <f ca="1">_xll.BDH($C$78,"SHORT_AND_LONG_TERM_DEBT","FQ3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91" s="3" t="e">
        <f ca="1">_xll.BDH($C$78,"BS_ST_BORROW","FQ3 2016","FQ3 2016","Currency=INR","Period=FQ","BEST_FPERIOD_OVERRIDE=FQ","FILING_STATUS=OR","EQY_CONSOLIDATED=Y","SCALING_FORMAT=MLN","Sort=A","Dates=H","DateFormat=P","Fill=—","Direction=H","UseDPDF=Y")</f>
        <v>#NAME?</v>
      </c>
      <c r="CA91" s="3" t="e">
        <f ca="1">_xll.BDH($C$78,"BS_LT_BORROW","FQ3 2016","FQ3 2016","Currency=INR","Period=FQ","BEST_FPERIOD_OVERRIDE=FQ","FILING_STATUS=OR","EQY_CONSOLIDATED=Y","SCALING_FORMAT=MLN","Sort=A","Dates=H","DateFormat=P","Fill=—","Direction=H","UseDPDF=Y")</f>
        <v>#NAME?</v>
      </c>
      <c r="CB91" s="2" t="e">
        <f ca="1">_xll.BDH($C$78,"TOT_DEBT_TO_EBITDA","FQ3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91" s="2" t="e">
        <f ca="1">_xll.BDH($C$78,"NET_DEBT_TO_EBITDA","FQ3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91" s="2" t="e">
        <f ca="1">_xll.BDH($C$78,"TOTAL_DEBT_TO_EBIT","FQ3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91" s="2" t="e">
        <f ca="1">_xll.BDH($C$78,"NET_DEBT_TO_EBIT","FQ3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91" s="2" t="e">
        <f ca="1">_xll.BDH($C$78,"EBITDA_TO_INTEREST_EXPN","FQ3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91" s="2" t="e">
        <f ca="1">_xll.BDH($C$78,"COM_EQY_TO_TOT_ASSET","FQ3 2016","FQ3 2016","Currency=INR","Period=FQ","BEST_FPERIOD_OVERRIDE=FQ","FILING_STATUS=OR","EQY_CONSOLIDATED=Y","Sort=A","Dates=H","DateFormat=P","Fill=—","Direction=H","UseDPDF=Y")</f>
        <v>#NAME?</v>
      </c>
      <c r="CH91" s="2" t="e">
        <f ca="1">_xll.BDH($C$78,"LT_DEBT_TO_TOT_EQY","FQ3 2016","FQ3 2016","Currency=INR","Period=FQ","BEST_FPERIOD_OVERRIDE=FQ","FILING_STATUS=OR","EQY_CONSOLIDATED=Y","Sort=A","Dates=H","DateFormat=P","Fill=—","Direction=H","UseDPDF=Y")</f>
        <v>#NAME?</v>
      </c>
      <c r="CI91" s="2" t="e">
        <f ca="1">_xll.BDH($C$78,"LT_DEBT_TO_TOT_CAP","FQ3 2016","FQ3 2016","Currency=INR","Period=FQ","BEST_FPERIOD_OVERRIDE=FQ","FILING_STATUS=OR","EQY_CONSOLIDATED=Y","Sort=A","Dates=H","DateFormat=P","Fill=—","Direction=H","UseDPDF=Y")</f>
        <v>#NAME?</v>
      </c>
      <c r="CJ91" s="2" t="e">
        <f ca="1">_xll.BDH($C$78,"LT_DEBT_TO_TOT_ASSET","FQ3 2016","FQ3 2016","Currency=INR","Period=FQ","BEST_FPERIOD_OVERRIDE=FQ","FILING_STATUS=OR","EQY_CONSOLIDATED=Y","Sort=A","Dates=H","DateFormat=P","Fill=—","Direction=H","UseDPDF=Y")</f>
        <v>#NAME?</v>
      </c>
      <c r="CK91" s="2" t="e">
        <f ca="1">_xll.BDH($C$78,"TOT_DEBT_TO_TOT_EQY","FQ3 2016","FQ3 2016","Currency=INR","Period=FQ","BEST_FPERIOD_OVERRIDE=FQ","FILING_STATUS=OR","EQY_CONSOLIDATED=Y","Sort=A","Dates=H","DateFormat=P","Fill=—","Direction=H","UseDPDF=Y")</f>
        <v>#NAME?</v>
      </c>
      <c r="CL91" s="2" t="e">
        <f ca="1">_xll.BDH($C$78,"TOT_DEBT_TO_TOT_CAP","FQ3 2016","FQ3 2016","Currency=INR","Period=FQ","BEST_FPERIOD_OVERRIDE=FQ","FILING_STATUS=OR","EQY_CONSOLIDATED=Y","Sort=A","Dates=H","DateFormat=P","Fill=—","Direction=H","UseDPDF=Y")</f>
        <v>#NAME?</v>
      </c>
      <c r="CM91" s="2" t="e">
        <f ca="1">_xll.BDH($C$78,"TOT_DEBT_TO_TOT_ASSET","FQ3 2016","FQ3 2016","Currency=INR","Period=FQ","BEST_FPERIOD_OVERRIDE=FQ","FILING_STATUS=OR","EQY_CONSOLIDATED=Y","Sort=A","Dates=H","DateFormat=P","Fill=—","Direction=H","UseDPDF=Y")</f>
        <v>#NAME?</v>
      </c>
      <c r="CN91" s="2" t="e">
        <f ca="1">_xll.BDH($C$78,"NET_DEBT_TO_SHRHLDR_EQTY","FQ3 2016","FQ3 2016","Currency=INR","Period=FQ","BEST_FPERIOD_OVERRIDE=FQ","FILING_STATUS=OR","EQY_CONSOLIDATED=Y","Sort=A","Dates=H","DateFormat=P","Fill=—","Direction=H","UseDPDF=Y")</f>
        <v>#NAME?</v>
      </c>
      <c r="CO91" s="2" t="e">
        <f ca="1">_xll.BDH($C$78,"NET_DEBT_%_CAPITAL","FQ3 2016","FQ3 2016","Currency=INR","Period=FQ","BEST_FPERIOD_OVERRIDE=FQ","FILING_STATUS=OR","EQY_CONSOLIDATED=Y","Sort=A","Dates=H","DateFormat=P","Fill=—","Direction=H","UseDPDF=Y")</f>
        <v>#NAME?</v>
      </c>
      <c r="CP91" s="3" t="e">
        <f ca="1">_xll.BDH($C$78,"EBITDA","FQ3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91" s="3" t="e">
        <f ca="1">_xll.BDH($C$78,"EBITDA_AFTER_CAPEX","FQ3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91" s="3" t="e">
        <f ca="1">_xll.BDH($C$78,"IS_OPER_INC","FQ3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91" s="2" t="e">
        <f ca="1">_xll.BDH($C$78,"CASH_RATIO","FQ3 2016","FQ3 2016","Currency=INR","Period=FQ","BEST_FPERIOD_OVERRIDE=FQ","FILING_STATUS=OR","EQY_CONSOLIDATED=Y","Sort=A","Dates=H","DateFormat=P","Fill=—","Direction=H","UseDPDF=Y")</f>
        <v>#NAME?</v>
      </c>
      <c r="CT91" s="2" t="e">
        <f ca="1">_xll.BDH($C$78,"CUR_RATIO","FQ3 2016","FQ3 2016","Currency=INR","Period=FQ","BEST_FPERIOD_OVERRIDE=FQ","FILING_STATUS=OR","EQY_CONSOLIDATED=Y","Sort=A","Dates=H","DateFormat=P","Fill=—","Direction=H","UseDPDF=Y")</f>
        <v>#NAME?</v>
      </c>
      <c r="CU91" s="2" t="e">
        <f ca="1">_xll.BDH($C$78,"QUICK_RATIO","FQ3 2016","FQ3 2016","Currency=INR","Period=FQ","BEST_FPERIOD_OVERRIDE=FQ","FILING_STATUS=OR","EQY_CONSOLIDATED=Y","Sort=A","Dates=H","DateFormat=P","Fill=—","Direction=H","UseDPDF=Y")</f>
        <v>#NAME?</v>
      </c>
      <c r="CV91" s="2" t="e">
        <f ca="1">_xll.BDH($C$78,"ALTMAN_Z_SCORE","FQ3 2016","FQ3 2016","Currency=INR","Period=FQ","BEST_FPERIOD_OVERRIDE=FQ","FILING_STATUS=OR","EQY_CONSOLIDATED=Y","Sort=A","Dates=H","DateFormat=P","Fill=—","Direction=H","UseDPDF=Y")</f>
        <v>#NAME?</v>
      </c>
      <c r="CW91" s="4" t="e">
        <f ca="1">_xll.BDH($C$78,"ACCT_RCV_TURN","FQ3 2016","FQ3 2016","Currency=INR","Period=FQ","BEST_FPERIOD_OVERRIDE=FQ","FILING_STATUS=OR","EQY_CONSOLIDATED=Y","FA_ADJUSTED=GAAP","Sort=A","Dates=H","DateFormat=P","Fill=—","Direction=H","UseDPDF=Y")</f>
        <v>#NAME?</v>
      </c>
      <c r="CX91" s="2" t="e">
        <f ca="1">_xll.BDH($C$78,"ACCT_RCV_DAYS","FQ3 2016","FQ3 2016","Currency=INR","Period=FQ","BEST_FPERIOD_OVERRIDE=FQ","FILING_STATUS=OR","EQY_CONSOLIDATED=Y","FA_ADJUSTED=GAAP","Sort=A","Dates=H","DateFormat=P","Fill=—","Direction=H","UseDPDF=Y")</f>
        <v>#NAME?</v>
      </c>
      <c r="CY91" s="4" t="e">
        <f ca="1">_xll.BDH($C$78,"INVENT_TURN","FQ3 2016","FQ3 2016","Currency=INR","Period=FQ","BEST_FPERIOD_OVERRIDE=FQ","FILING_STATUS=OR","EQY_CONSOLIDATED=Y","FA_ADJUSTED=GAAP","Sort=A","Dates=H","DateFormat=P","Fill=—","Direction=H","UseDPDF=Y")</f>
        <v>#NAME?</v>
      </c>
      <c r="CZ91" s="2" t="e">
        <f ca="1">_xll.BDH($C$78,"INVENT_DAYS","FQ3 2016","FQ3 2016","Currency=INR","Period=FQ","BEST_FPERIOD_OVERRIDE=FQ","FILING_STATUS=OR","EQY_CONSOLIDATED=Y","FA_ADJUSTED=GAAP","Sort=A","Dates=H","DateFormat=P","Fill=—","Direction=H","UseDPDF=Y")</f>
        <v>#NAME?</v>
      </c>
      <c r="DA91" s="4" t="e">
        <f ca="1">_xll.BDH($C$78,"ACCOUNTS_PAYABLE_TURNOVER","FQ3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91" s="2" t="e">
        <f ca="1">_xll.BDH($C$78,"ACCOUNTS_PAYABLE_TURNOVER_DAYS","FQ3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91" s="4" t="e">
        <f ca="1">_xll.BDH($C$78,"CASH_CONVERSION_CYCLE","FQ3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91" s="4" t="e">
        <f ca="1">_xll.BDH($C$78,"INV_TO_CASH_DAYS","FQ3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91" s="5" t="e">
        <f ca="1">_xll.BDH($C$78,"BS_INVENTORIES","FQ3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91" s="3" t="e">
        <f ca="1">_xll.BDH($C$78,"INVTRY_RAW_MATERIALS","FQ3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91" s="3" t="e">
        <f ca="1">_xll.BDH($C$78,"INVTRY_IN_PROGRESS","FQ3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91" s="3" t="e">
        <f ca="1">_xll.BDH($C$78,"INVTRY_FINISHED_GOODS","FQ3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91" s="3" t="e">
        <f ca="1">_xll.BDH($C$78,"BS_OTHER_INV","FQ3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92" spans="1:113" x14ac:dyDescent="0.3">
      <c r="A92" s="6"/>
      <c r="B92" s="6"/>
      <c r="C92" s="6"/>
      <c r="D92" s="6"/>
      <c r="E92" t="s">
        <v>81</v>
      </c>
      <c r="F92" t="e">
        <f ca="1">_xll.BDH($C$78,"RETURN_COM_EQY","FQ4 2016","FQ4 2016","Currency=INR","Period=FQ","BEST_FPERIOD_OVERRIDE=FQ","FILING_STATUS=OR","EQY_CONSOLIDATED=Y","FA_ADJUSTED=GAAP","Sort=A","Dates=H","DateFormat=P","Fill=—","Direction=H","UseDPDF=Y")</f>
        <v>#NAME?</v>
      </c>
      <c r="G92" t="e">
        <f ca="1">_xll.BDH($C$78,"RETURN_ON_ASSET","FQ4 2016","FQ4 2016","Currency=INR","Period=FQ","BEST_FPERIOD_OVERRIDE=FQ","FILING_STATUS=OR","EQY_CONSOLIDATED=Y","FA_ADJUSTED=GAAP","Sort=A","Dates=H","DateFormat=P","Fill=—","Direction=H","UseDPDF=Y")</f>
        <v>#NAME?</v>
      </c>
      <c r="H92" t="e">
        <f ca="1">_xll.BDH($C$78,"RETURN_ON_CAP","FQ4 2016","FQ4 2016","Currency=INR","Period=FQ","BEST_FPERIOD_OVERRIDE=FQ","FILING_STATUS=OR","EQY_CONSOLIDATED=Y","FA_ADJUSTED=GAAP","Sort=A","Dates=H","DateFormat=P","Fill=—","Direction=H","UseDPDF=Y")</f>
        <v>#NAME?</v>
      </c>
      <c r="I92" t="e">
        <f ca="1">_xll.BDH($C$78,"RETURN_ON_INV_CAPITAL","FQ4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92" t="e">
        <f ca="1">_xll.BDH($C$78,"EBITDA_TO_REVENUE","FQ4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92" t="e">
        <f ca="1">_xll.BDH($C$78,"OPER_MARGIN","FQ4 2016","FQ4 2016","Currency=INR","Period=FQ","BEST_FPERIOD_OVERRIDE=FQ","FILING_STATUS=OR","EQY_CONSOLIDATED=Y","FA_ADJUSTED=GAAP","Sort=A","Dates=H","DateFormat=P","Fill=—","Direction=H","UseDPDF=Y")</f>
        <v>#NAME?</v>
      </c>
      <c r="L92" t="e">
        <f ca="1">_xll.BDH($C$78,"INCREMENTAL_OPERATING_MARGIN","FQ4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92" t="e">
        <f ca="1">_xll.BDH($C$78,"PRETAX_INC_TO_NET_SALES","FQ4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92" t="e">
        <f ca="1">_xll.BDH($C$78,"INC_BEF_XO_ITEMS_TO_NET_SALES","FQ4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92" t="e">
        <f ca="1">_xll.BDH($C$78,"PROF_MARGIN","FQ4 2016","FQ4 2016","Currency=INR","Period=FQ","BEST_FPERIOD_OVERRIDE=FQ","FILING_STATUS=OR","EQY_CONSOLIDATED=Y","FA_ADJUSTED=GAAP","Sort=A","Dates=H","DateFormat=P","Fill=—","Direction=H","UseDPDF=Y")</f>
        <v>#NAME?</v>
      </c>
      <c r="P92" t="e">
        <f ca="1">_xll.BDH($C$78,"NET_INCOME_TO_COMMON_MARGIN","FQ4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92" t="e">
        <f ca="1">_xll.BDH($C$78,"EFF_TAX_RATE","FQ4 2016","FQ4 2016","Currency=INR","Period=FQ","BEST_FPERIOD_OVERRIDE=FQ","FILING_STATUS=OR","EQY_CONSOLIDATED=Y","FA_ADJUSTED=GAAP","Sort=A","Dates=H","DateFormat=P","Fill=—","Direction=H","UseDPDF=Y")</f>
        <v>#NAME?</v>
      </c>
      <c r="R92" t="e">
        <f ca="1">_xll.BDH($C$78,"DVD_PAYOUT_RATIO","FQ4 2016","FQ4 2016","Currency=INR","Period=FQ","BEST_FPERIOD_OVERRIDE=FQ","FILING_STATUS=OR","EQY_CONSOLIDATED=Y","FA_ADJUSTED=GAAP","Sort=A","Dates=H","DateFormat=P","Fill=—","Direction=H","UseDPDF=Y")</f>
        <v>#NAME?</v>
      </c>
      <c r="S92" t="e">
        <f ca="1">_xll.BDH($C$78,"SUSTAIN_GROWTH_RT","FQ4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92" s="2" t="e">
        <f ca="1">_xll.BDH($C$78,"SALES_GROWTH","FQ4 2016","FQ4 2016","Currency=INR","Period=FQ","BEST_FPERIOD_OVERRIDE=FQ","FILING_STATUS=OR","EQY_CONSOLIDATED=Y","FA_ADJUSTED=GAAP","Sort=A","Dates=H","DateFormat=P","Fill=—","Direction=H","UseDPDF=Y")</f>
        <v>#NAME?</v>
      </c>
      <c r="U92" s="2" t="e">
        <f ca="1">_xll.BDH($C$78,"EBITDA_GROWTH","FQ4 2016","FQ4 2016","Currency=INR","Period=FQ","BEST_FPERIOD_OVERRIDE=FQ","FILING_STATUS=OR","EQY_CONSOLIDATED=Y","FA_ADJUSTED=GAAP","Sort=A","Dates=H","DateFormat=P","Fill=—","Direction=H","UseDPDF=Y")</f>
        <v>#NAME?</v>
      </c>
      <c r="V92" s="2" t="e">
        <f ca="1">_xll.BDH($C$78,"OPER_INC_GROWTH","FQ4 2016","FQ4 2016","Currency=INR","Period=FQ","BEST_FPERIOD_OVERRIDE=FQ","FILING_STATUS=OR","EQY_CONSOLIDATED=Y","FA_ADJUSTED=GAAP","Sort=A","Dates=H","DateFormat=P","Fill=—","Direction=H","UseDPDF=Y")</f>
        <v>#NAME?</v>
      </c>
      <c r="W92" s="2" t="e">
        <f ca="1">_xll.BDH($C$78,"EARN_FOR_COM_GROWTH","FQ4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92" s="2" t="e">
        <f ca="1">_xll.BDH($C$78,"DILUTED_EPS_AFT_XO_ITEMS_GROWTH","FQ4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92" s="2" t="e">
        <f ca="1">_xll.BDH($C$78,"DIVIDEND_PER_SHARE_1_YEAR_GROWTH","FQ4 2016","FQ4 2016","Currency=INR","Period=FQ","BEST_FPERIOD_OVERRIDE=FQ","FILING_STATUS=OR","EQY_CONSOLIDATED=Y","Sort=A","Dates=H","DateFormat=P","Fill=—","Direction=H","UseDPDF=Y")</f>
        <v>#NAME?</v>
      </c>
      <c r="Z92" s="2" t="e">
        <f ca="1">_xll.BDH($C$78,"ACCOUNTS_RECEIVABLE_GROWTH","FQ4 2016","FQ4 2016","Currency=INR","Period=FQ","BEST_FPERIOD_OVERRIDE=FQ","FILING_STATUS=OR","EQY_CONSOLIDATED=Y","Sort=A","Dates=H","DateFormat=P","Fill=—","Direction=H","UseDPDF=Y")</f>
        <v>#NAME?</v>
      </c>
      <c r="AA92" s="2" t="e">
        <f ca="1">_xll.BDH($C$78,"INVENTORY_GROWTH","FQ4 2016","FQ4 2016","Currency=INR","Period=FQ","BEST_FPERIOD_OVERRIDE=FQ","FILING_STATUS=OR","EQY_CONSOLIDATED=Y","Sort=A","Dates=H","DateFormat=P","Fill=—","Direction=H","UseDPDF=Y")</f>
        <v>#NAME?</v>
      </c>
      <c r="AB92" s="2" t="e">
        <f ca="1">_xll.BDH($C$78,"NET_FIXED_ASSETS_1_YEAR_GROWTH","FQ4 2016","FQ4 2016","Currency=INR","Period=FQ","BEST_FPERIOD_OVERRIDE=FQ","FILING_STATUS=OR","EQY_CONSOLIDATED=Y","Sort=A","Dates=H","DateFormat=P","Fill=—","Direction=H","UseDPDF=Y")</f>
        <v>#NAME?</v>
      </c>
      <c r="AC92" s="2" t="e">
        <f ca="1">_xll.BDH($C$78,"ASSET_GROWTH","FQ4 2016","FQ4 2016","Currency=INR","Period=FQ","BEST_FPERIOD_OVERRIDE=FQ","FILING_STATUS=OR","EQY_CONSOLIDATED=Y","Sort=A","Dates=H","DateFormat=P","Fill=—","Direction=H","UseDPDF=Y")</f>
        <v>#NAME?</v>
      </c>
      <c r="AD92" s="2" t="e">
        <f ca="1">_xll.BDH($C$78,"MODIFIED_WORK_CAP_GROWTH","FQ4 2016","FQ4 2016","Currency=INR","Period=FQ","BEST_FPERIOD_OVERRIDE=FQ","FILING_STATUS=OR","EQY_CONSOLIDATED=Y","Sort=A","Dates=H","DateFormat=P","Fill=—","Direction=H","UseDPDF=Y")</f>
        <v>#NAME?</v>
      </c>
      <c r="AE92" s="2" t="e">
        <f ca="1">_xll.BDH($C$78,"WORK_CAP_GROWTH","FQ4 2016","FQ4 2016","Currency=INR","Period=FQ","BEST_FPERIOD_OVERRIDE=FQ","FILING_STATUS=OR","EQY_CONSOLIDATED=Y","Sort=A","Dates=H","DateFormat=P","Fill=—","Direction=H","UseDPDF=Y")</f>
        <v>#NAME?</v>
      </c>
      <c r="AF92" s="2" t="e">
        <f ca="1">_xll.BDH($C$78,"ACCOUNTS_PAYABLE_GROWTH_1YR","FQ4 2016","FQ4 2016","Currency=INR","Period=FQ","BEST_FPERIOD_OVERRIDE=FQ","FILING_STATUS=OR","EQY_CONSOLIDATED=Y","Sort=A","Dates=H","DateFormat=P","Fill=—","Direction=H","UseDPDF=Y")</f>
        <v>#NAME?</v>
      </c>
      <c r="AG92" s="2" t="e">
        <f ca="1">_xll.BDH($C$78,"SHORT_TERM_DEBT_1_YEAR_GROWTH","FQ4 2016","FQ4 2016","Currency=INR","Period=FQ","BEST_FPERIOD_OVERRIDE=FQ","FILING_STATUS=OR","EQY_CONSOLIDATED=Y","Sort=A","Dates=H","DateFormat=P","Fill=—","Direction=H","UseDPDF=Y")</f>
        <v>#NAME?</v>
      </c>
      <c r="AH92" s="2" t="e">
        <f ca="1">_xll.BDH($C$78,"TOTAL_DEBT_1_YEAR_GROWTH","FQ4 2016","FQ4 2016","Currency=INR","Period=FQ","BEST_FPERIOD_OVERRIDE=FQ","FILING_STATUS=OR","EQY_CONSOLIDATED=Y","Sort=A","Dates=H","DateFormat=P","Fill=—","Direction=H","UseDPDF=Y")</f>
        <v>#NAME?</v>
      </c>
      <c r="AI92" s="2" t="e">
        <f ca="1">_xll.BDH($C$78,"TOTAL_EQUITY_1_YEAR_GROWTH","FQ4 2016","FQ4 2016","Currency=INR","Period=FQ","BEST_FPERIOD_OVERRIDE=FQ","FILING_STATUS=OR","EQY_CONSOLIDATED=Y","Sort=A","Dates=H","DateFormat=P","Fill=—","Direction=H","UseDPDF=Y")</f>
        <v>#NAME?</v>
      </c>
      <c r="AJ92" s="2" t="e">
        <f ca="1">_xll.BDH($C$78,"GROWTH_IN_CAP","FQ4 2016","FQ4 2016","Currency=INR","Period=FQ","BEST_FPERIOD_OVERRIDE=FQ","FILING_STATUS=OR","EQY_CONSOLIDATED=Y","Sort=A","Dates=H","DateFormat=P","Fill=—","Direction=H","UseDPDF=Y")</f>
        <v>#NAME?</v>
      </c>
      <c r="AK92" s="2" t="e">
        <f ca="1">_xll.BDH($C$78,"BVPS_GROWTH","FQ4 2016","FQ4 2016","Currency=INR","Period=FQ","BEST_FPERIOD_OVERRIDE=FQ","FILING_STATUS=OR","EQY_CONSOLIDATED=Y","Sort=A","Dates=H","DateFormat=P","Fill=—","Direction=H","UseDPDF=Y")</f>
        <v>#NAME?</v>
      </c>
      <c r="AL92" s="2" t="e">
        <f ca="1">_xll.BDH($C$78,"CASH_FLOW_GROWTH","FQ4 2016","FQ4 2016","Currency=INR","Period=FQ","BEST_FPERIOD_OVERRIDE=FQ","FILING_STATUS=OR","EQY_CONSOLIDATED=Y","Sort=A","Dates=H","DateFormat=P","Fill=—","Direction=H","UseDPDF=Y")</f>
        <v>#NAME?</v>
      </c>
      <c r="AM92" s="2" t="e">
        <f ca="1">_xll.BDH($C$78,"GEO_GROW_NET_SALES","FQ4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92" s="2" t="e">
        <f ca="1">_xll.BDH($C$78,"GEO_GROW_EBITDA","FQ4 2016","FQ4 2016","Currency=INR","Period=FQ","BEST_FPERIOD_OVERRIDE=FQ","FILING_STATUS=OR","EQY_CONSOLIDATED=Y","FA_ADJUSTED=GAAP","Sort=A","Dates=H","DateFormat=P","Fill=—","Direction=H","UseDPDF=Y")</f>
        <v>#NAME?</v>
      </c>
      <c r="AO92" s="2" t="e">
        <f ca="1">_xll.BDH($C$78,"GEO_GROW_OPER_INC","FQ4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92" s="2" t="e">
        <f ca="1">_xll.BDH($C$78,"NET_INCOME_TO_COMMON_5_YR_GROWTH","FQ4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92" s="2" t="e">
        <f ca="1">_xll.BDH($C$78,"5Y_GEO_GROWTH_DILUTED_EPS","FQ4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92" s="2" t="e">
        <f ca="1">_xll.BDH($C$78,"GEO_GROW_DVD_PER_SH","FQ4 2016","FQ4 2016","Currency=INR","Period=FQ","BEST_FPERIOD_OVERRIDE=FQ","FILING_STATUS=OR","EQY_CONSOLIDATED=Y","Sort=A","Dates=H","DateFormat=P","Fill=—","Direction=H","UseDPDF=Y")</f>
        <v>#NAME?</v>
      </c>
      <c r="AS92" s="2" t="e">
        <f ca="1">_xll.BDH($C$78,"ACCOUNTS_RECEIVABLE_5_YR_GROWTH","FQ4 2016","FQ4 2016","Currency=INR","Period=FQ","BEST_FPERIOD_OVERRIDE=FQ","FILING_STATUS=OR","EQY_CONSOLIDATED=Y","Sort=A","Dates=H","DateFormat=P","Fill=—","Direction=H","UseDPDF=Y")</f>
        <v>#NAME?</v>
      </c>
      <c r="AT92" s="2" t="e">
        <f ca="1">_xll.BDH($C$78,"INVENTORY_5_YEAR_GROWTH","FQ4 2016","FQ4 2016","Currency=INR","Period=FQ","BEST_FPERIOD_OVERRIDE=FQ","FILING_STATUS=OR","EQY_CONSOLIDATED=Y","Sort=A","Dates=H","DateFormat=P","Fill=—","Direction=H","UseDPDF=Y")</f>
        <v>#NAME?</v>
      </c>
      <c r="AU92" s="2" t="e">
        <f ca="1">_xll.BDH($C$78,"NET_FIXED_ASSETS_5_YEAR_GROWTH","FQ4 2016","FQ4 2016","Currency=INR","Period=FQ","BEST_FPERIOD_OVERRIDE=FQ","FILING_STATUS=OR","EQY_CONSOLIDATED=Y","Sort=A","Dates=H","DateFormat=P","Fill=—","Direction=H","UseDPDF=Y")</f>
        <v>#NAME?</v>
      </c>
      <c r="AV92" s="2" t="e">
        <f ca="1">_xll.BDH($C$78,"GEO_GROW_TOT_ASSET","FQ4 2016","FQ4 2016","Currency=INR","Period=FQ","BEST_FPERIOD_OVERRIDE=FQ","FILING_STATUS=OR","EQY_CONSOLIDATED=Y","Sort=A","Dates=H","DateFormat=P","Fill=—","Direction=H","UseDPDF=Y")</f>
        <v>#NAME?</v>
      </c>
      <c r="AW92" s="2" t="e">
        <f ca="1">_xll.BDH($C$78,"MODIFIED_WORKING_CPTL_5YR_GRWTH","FQ4 2016","FQ4 2016","Currency=INR","Period=FQ","BEST_FPERIOD_OVERRIDE=FQ","FILING_STATUS=OR","EQY_CONSOLIDATED=Y","Sort=A","Dates=H","DateFormat=P","Fill=—","Direction=H","UseDPDF=Y")</f>
        <v>#NAME?</v>
      </c>
      <c r="AX92" s="2" t="e">
        <f ca="1">_xll.BDH($C$78,"WORKING_CAPITAL_5_YEAR_GROWTH","FQ4 2016","FQ4 2016","Currency=INR","Period=FQ","BEST_FPERIOD_OVERRIDE=FQ","FILING_STATUS=OR","EQY_CONSOLIDATED=Y","Sort=A","Dates=H","DateFormat=P","Fill=—","Direction=H","UseDPDF=Y")</f>
        <v>#NAME?</v>
      </c>
      <c r="AY92" s="2" t="e">
        <f ca="1">_xll.BDH($C$78,"ACCOUNTS_PAYABLE_5_YEAR_GROWTH","FQ4 2016","FQ4 2016","Currency=INR","Period=FQ","BEST_FPERIOD_OVERRIDE=FQ","FILING_STATUS=OR","EQY_CONSOLIDATED=Y","Sort=A","Dates=H","DateFormat=P","Fill=—","Direction=H","UseDPDF=Y")</f>
        <v>#NAME?</v>
      </c>
      <c r="AZ92" s="2" t="e">
        <f ca="1">_xll.BDH($C$78,"SHORT_TERM_DEBT_5_YEAR_GROWTH","FQ4 2016","FQ4 2016","Currency=INR","Period=FQ","BEST_FPERIOD_OVERRIDE=FQ","FILING_STATUS=OR","EQY_CONSOLIDATED=Y","Sort=A","Dates=H","DateFormat=P","Fill=—","Direction=H","UseDPDF=Y")</f>
        <v>#NAME?</v>
      </c>
      <c r="BA92" s="2" t="e">
        <f ca="1">_xll.BDH($C$78,"TOTAL_DEBT_5_YEAR_GROWTH","FQ4 2016","FQ4 2016","Currency=INR","Period=FQ","BEST_FPERIOD_OVERRIDE=FQ","FILING_STATUS=OR","EQY_CONSOLIDATED=Y","Sort=A","Dates=H","DateFormat=P","Fill=—","Direction=H","UseDPDF=Y")</f>
        <v>#NAME?</v>
      </c>
      <c r="BB92" s="2" t="e">
        <f ca="1">_xll.BDH($C$78,"GEO_GROW_TOT_SHRHLDR_EQY","FQ4 2016","FQ4 2016","Currency=INR","Period=FQ","BEST_FPERIOD_OVERRIDE=FQ","FILING_STATUS=OR","EQY_CONSOLIDATED=Y","Sort=A","Dates=H","DateFormat=P","Fill=—","Direction=H","UseDPDF=Y")</f>
        <v>#NAME?</v>
      </c>
      <c r="BC92" s="2" t="e">
        <f ca="1">_xll.BDH($C$78,"TOTAL_CAPITAL_5_YEAR_GROWTH","FQ4 2016","FQ4 2016","Currency=INR","Period=FQ","BEST_FPERIOD_OVERRIDE=FQ","FILING_STATUS=OR","EQY_CONSOLIDATED=Y","Sort=A","Dates=H","DateFormat=P","Fill=—","Direction=H","UseDPDF=Y")</f>
        <v>#NAME?</v>
      </c>
      <c r="BD92" s="2" t="e">
        <f ca="1">_xll.BDH($C$78,"GEO_GROW_BOOK_VAL","FQ4 2016","FQ4 2016","Currency=INR","Period=FQ","BEST_FPERIOD_OVERRIDE=FQ","FILING_STATUS=OR","EQY_CONSOLIDATED=Y","Sort=A","Dates=H","DateFormat=P","Fill=—","Direction=H","UseDPDF=Y")</f>
        <v>#NAME?</v>
      </c>
      <c r="BE92" s="2" t="e">
        <f ca="1">_xll.BDH($C$78,"GEO_GROW_CASH_OPER_ACT","FQ4 2016","FQ4 2016","Currency=INR","Period=FQ","BEST_FPERIOD_OVERRIDE=FQ","FILING_STATUS=OR","EQY_CONSOLIDATED=Y","Sort=A","Dates=H","DateFormat=P","Fill=—","Direction=H","UseDPDF=Y")</f>
        <v>#NAME?</v>
      </c>
      <c r="BF92" s="2" t="e">
        <f ca="1">_xll.BDH($C$78,"REVENUE_SEQUENTIAL_GROWTH","FQ4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92" s="2" t="e">
        <f ca="1">_xll.BDH($C$78,"EBITDA_SEQUENTIAL_GROWTH","FQ4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92" s="2" t="e">
        <f ca="1">_xll.BDH($C$78,"OPERATING_INCOME_SEQ_GROWTH","FQ4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92" s="2" t="e">
        <f ca="1">_xll.BDH($C$78,"NET_INCOME_TO_COMMON_SEQ_GROWTH","FQ4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92" s="2" t="e">
        <f ca="1">_xll.BDH($C$78,"EPS_DILUTED_SEQUENTIAL_GROWTH","FQ4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92" s="2" t="e">
        <f ca="1">_xll.BDH($C$78,"DPS_SEQUENTIAL_GROWTH","FQ4 2016","FQ4 2016","Currency=INR","Period=FQ","BEST_FPERIOD_OVERRIDE=FQ","FILING_STATUS=OR","EQY_CONSOLIDATED=Y","Sort=A","Dates=H","DateFormat=P","Fill=—","Direction=H","UseDPDF=Y")</f>
        <v>#NAME?</v>
      </c>
      <c r="BL92" s="2" t="e">
        <f ca="1">_xll.BDH($C$78,"ACCOUNTS_RECEIVABLE_SEQ_GROWTH","FQ4 2016","FQ4 2016","Currency=INR","Period=FQ","BEST_FPERIOD_OVERRIDE=FQ","FILING_STATUS=OR","EQY_CONSOLIDATED=Y","Sort=A","Dates=H","DateFormat=P","Fill=—","Direction=H","UseDPDF=Y")</f>
        <v>#NAME?</v>
      </c>
      <c r="BM92" s="2" t="e">
        <f ca="1">_xll.BDH($C$78,"INVENTORY_SEQUENTIAL_GROWTH","FQ4 2016","FQ4 2016","Currency=INR","Period=FQ","BEST_FPERIOD_OVERRIDE=FQ","FILING_STATUS=OR","EQY_CONSOLIDATED=Y","Sort=A","Dates=H","DateFormat=P","Fill=—","Direction=H","UseDPDF=Y")</f>
        <v>#NAME?</v>
      </c>
      <c r="BN92" s="2" t="e">
        <f ca="1">_xll.BDH($C$78,"FIXED_ASSETS_SEQUENTIAL_GROWTH","FQ4 2016","FQ4 2016","Currency=INR","Period=FQ","BEST_FPERIOD_OVERRIDE=FQ","FILING_STATUS=OR","EQY_CONSOLIDATED=Y","Sort=A","Dates=H","DateFormat=P","Fill=—","Direction=H","UseDPDF=Y")</f>
        <v>#NAME?</v>
      </c>
      <c r="BO92" s="2" t="e">
        <f ca="1">_xll.BDH($C$78,"TOTAL_ASSETS_SEQUENTIAL_GROWTH","FQ4 2016","FQ4 2016","Currency=INR","Period=FQ","BEST_FPERIOD_OVERRIDE=FQ","FILING_STATUS=OR","EQY_CONSOLIDATED=Y","Sort=A","Dates=H","DateFormat=P","Fill=—","Direction=H","UseDPDF=Y")</f>
        <v>#NAME?</v>
      </c>
      <c r="BP92" s="2" t="e">
        <f ca="1">_xll.BDH($C$78,"MODIFIED_WORKING_CPTL_SEQ_GRWTH","FQ4 2016","FQ4 2016","Currency=INR","Period=FQ","BEST_FPERIOD_OVERRIDE=FQ","FILING_STATUS=OR","EQY_CONSOLIDATED=Y","Sort=A","Dates=H","DateFormat=P","Fill=—","Direction=H","UseDPDF=Y")</f>
        <v>#NAME?</v>
      </c>
      <c r="BQ92" s="2" t="e">
        <f ca="1">_xll.BDH($C$78,"WORKING_CAPITAL_SEQ_GROWTH","FQ4 2016","FQ4 2016","Currency=INR","Period=FQ","BEST_FPERIOD_OVERRIDE=FQ","FILING_STATUS=OR","EQY_CONSOLIDATED=Y","Sort=A","Dates=H","DateFormat=P","Fill=—","Direction=H","UseDPDF=Y")</f>
        <v>#NAME?</v>
      </c>
      <c r="BR92" s="2" t="e">
        <f ca="1">_xll.BDH($C$78,"ACCOUNTS_PAYABLE_SEQ_GROWTH","FQ4 2016","FQ4 2016","Currency=INR","Period=FQ","BEST_FPERIOD_OVERRIDE=FQ","FILING_STATUS=OR","EQY_CONSOLIDATED=Y","Sort=A","Dates=H","DateFormat=P","Fill=—","Direction=H","UseDPDF=Y")</f>
        <v>#NAME?</v>
      </c>
      <c r="BS92" s="2" t="e">
        <f ca="1">_xll.BDH($C$78,"ST_DEBT_SEQUENTIAL_GROWTH","FQ4 2016","FQ4 2016","Currency=INR","Period=FQ","BEST_FPERIOD_OVERRIDE=FQ","FILING_STATUS=OR","EQY_CONSOLIDATED=Y","Sort=A","Dates=H","DateFormat=P","Fill=—","Direction=H","UseDPDF=Y")</f>
        <v>#NAME?</v>
      </c>
      <c r="BT92" s="2" t="e">
        <f ca="1">_xll.BDH($C$78,"TOTAL_DEBT_SEQUENTIAL_GROWTH","FQ4 2016","FQ4 2016","Currency=INR","Period=FQ","BEST_FPERIOD_OVERRIDE=FQ","FILING_STATUS=OR","EQY_CONSOLIDATED=Y","Sort=A","Dates=H","DateFormat=P","Fill=—","Direction=H","UseDPDF=Y")</f>
        <v>#NAME?</v>
      </c>
      <c r="BU92" s="2" t="e">
        <f ca="1">_xll.BDH($C$78,"TOTAL_EQUITY_SEQUENTIAL_GROWTH","FQ4 2016","FQ4 2016","Currency=INR","Period=FQ","BEST_FPERIOD_OVERRIDE=FQ","FILING_STATUS=OR","EQY_CONSOLIDATED=Y","Sort=A","Dates=H","DateFormat=P","Fill=—","Direction=H","UseDPDF=Y")</f>
        <v>#NAME?</v>
      </c>
      <c r="BV92" s="2" t="e">
        <f ca="1">_xll.BDH($C$78,"TOTAL_CAPITAL_SEQUENTIAL_GROWTH","FQ4 2016","FQ4 2016","Currency=INR","Period=FQ","BEST_FPERIOD_OVERRIDE=FQ","FILING_STATUS=OR","EQY_CONSOLIDATED=Y","Sort=A","Dates=H","DateFormat=P","Fill=—","Direction=H","UseDPDF=Y")</f>
        <v>#NAME?</v>
      </c>
      <c r="BW92" s="2" t="e">
        <f ca="1">_xll.BDH($C$78,"BPS_SEQUENTIAL_GROWTH","FQ4 2016","FQ4 2016","Currency=INR","Period=FQ","BEST_FPERIOD_OVERRIDE=FQ","FILING_STATUS=OR","EQY_CONSOLIDATED=Y","Sort=A","Dates=H","DateFormat=P","Fill=—","Direction=H","UseDPDF=Y")</f>
        <v>#NAME?</v>
      </c>
      <c r="BX92" s="2" t="e">
        <f ca="1">_xll.BDH($C$78,"CFO_SEQUENTIAL_GROWTH","FQ4 2016","FQ4 2016","Currency=INR","Period=FQ","BEST_FPERIOD_OVERRIDE=FQ","FILING_STATUS=OR","EQY_CONSOLIDATED=Y","Sort=A","Dates=H","DateFormat=P","Fill=—","Direction=H","UseDPDF=Y")</f>
        <v>#NAME?</v>
      </c>
      <c r="BY92" s="3" t="e">
        <f ca="1">_xll.BDH($C$78,"SHORT_AND_LONG_TERM_DEBT","FQ4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92" s="3" t="e">
        <f ca="1">_xll.BDH($C$78,"BS_ST_BORROW","FQ4 2016","FQ4 2016","Currency=INR","Period=FQ","BEST_FPERIOD_OVERRIDE=FQ","FILING_STATUS=OR","EQY_CONSOLIDATED=Y","SCALING_FORMAT=MLN","Sort=A","Dates=H","DateFormat=P","Fill=—","Direction=H","UseDPDF=Y")</f>
        <v>#NAME?</v>
      </c>
      <c r="CA92" s="3" t="e">
        <f ca="1">_xll.BDH($C$78,"BS_LT_BORROW","FQ4 2016","FQ4 2016","Currency=INR","Period=FQ","BEST_FPERIOD_OVERRIDE=FQ","FILING_STATUS=OR","EQY_CONSOLIDATED=Y","SCALING_FORMAT=MLN","Sort=A","Dates=H","DateFormat=P","Fill=—","Direction=H","UseDPDF=Y")</f>
        <v>#NAME?</v>
      </c>
      <c r="CB92" s="2" t="e">
        <f ca="1">_xll.BDH($C$78,"TOT_DEBT_TO_EBITDA","FQ4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92" s="2" t="e">
        <f ca="1">_xll.BDH($C$78,"NET_DEBT_TO_EBITDA","FQ4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92" s="2" t="e">
        <f ca="1">_xll.BDH($C$78,"TOTAL_DEBT_TO_EBIT","FQ4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92" s="2" t="e">
        <f ca="1">_xll.BDH($C$78,"NET_DEBT_TO_EBIT","FQ4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92" s="2" t="e">
        <f ca="1">_xll.BDH($C$78,"EBITDA_TO_INTEREST_EXPN","FQ4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92" s="2" t="e">
        <f ca="1">_xll.BDH($C$78,"COM_EQY_TO_TOT_ASSET","FQ4 2016","FQ4 2016","Currency=INR","Period=FQ","BEST_FPERIOD_OVERRIDE=FQ","FILING_STATUS=OR","EQY_CONSOLIDATED=Y","Sort=A","Dates=H","DateFormat=P","Fill=—","Direction=H","UseDPDF=Y")</f>
        <v>#NAME?</v>
      </c>
      <c r="CH92" s="2" t="e">
        <f ca="1">_xll.BDH($C$78,"LT_DEBT_TO_TOT_EQY","FQ4 2016","FQ4 2016","Currency=INR","Period=FQ","BEST_FPERIOD_OVERRIDE=FQ","FILING_STATUS=OR","EQY_CONSOLIDATED=Y","Sort=A","Dates=H","DateFormat=P","Fill=—","Direction=H","UseDPDF=Y")</f>
        <v>#NAME?</v>
      </c>
      <c r="CI92" s="2" t="e">
        <f ca="1">_xll.BDH($C$78,"LT_DEBT_TO_TOT_CAP","FQ4 2016","FQ4 2016","Currency=INR","Period=FQ","BEST_FPERIOD_OVERRIDE=FQ","FILING_STATUS=OR","EQY_CONSOLIDATED=Y","Sort=A","Dates=H","DateFormat=P","Fill=—","Direction=H","UseDPDF=Y")</f>
        <v>#NAME?</v>
      </c>
      <c r="CJ92" s="2" t="e">
        <f ca="1">_xll.BDH($C$78,"LT_DEBT_TO_TOT_ASSET","FQ4 2016","FQ4 2016","Currency=INR","Period=FQ","BEST_FPERIOD_OVERRIDE=FQ","FILING_STATUS=OR","EQY_CONSOLIDATED=Y","Sort=A","Dates=H","DateFormat=P","Fill=—","Direction=H","UseDPDF=Y")</f>
        <v>#NAME?</v>
      </c>
      <c r="CK92" s="2" t="e">
        <f ca="1">_xll.BDH($C$78,"TOT_DEBT_TO_TOT_EQY","FQ4 2016","FQ4 2016","Currency=INR","Period=FQ","BEST_FPERIOD_OVERRIDE=FQ","FILING_STATUS=OR","EQY_CONSOLIDATED=Y","Sort=A","Dates=H","DateFormat=P","Fill=—","Direction=H","UseDPDF=Y")</f>
        <v>#NAME?</v>
      </c>
      <c r="CL92" s="2" t="e">
        <f ca="1">_xll.BDH($C$78,"TOT_DEBT_TO_TOT_CAP","FQ4 2016","FQ4 2016","Currency=INR","Period=FQ","BEST_FPERIOD_OVERRIDE=FQ","FILING_STATUS=OR","EQY_CONSOLIDATED=Y","Sort=A","Dates=H","DateFormat=P","Fill=—","Direction=H","UseDPDF=Y")</f>
        <v>#NAME?</v>
      </c>
      <c r="CM92" s="2" t="e">
        <f ca="1">_xll.BDH($C$78,"TOT_DEBT_TO_TOT_ASSET","FQ4 2016","FQ4 2016","Currency=INR","Period=FQ","BEST_FPERIOD_OVERRIDE=FQ","FILING_STATUS=OR","EQY_CONSOLIDATED=Y","Sort=A","Dates=H","DateFormat=P","Fill=—","Direction=H","UseDPDF=Y")</f>
        <v>#NAME?</v>
      </c>
      <c r="CN92" s="2" t="e">
        <f ca="1">_xll.BDH($C$78,"NET_DEBT_TO_SHRHLDR_EQTY","FQ4 2016","FQ4 2016","Currency=INR","Period=FQ","BEST_FPERIOD_OVERRIDE=FQ","FILING_STATUS=OR","EQY_CONSOLIDATED=Y","Sort=A","Dates=H","DateFormat=P","Fill=—","Direction=H","UseDPDF=Y")</f>
        <v>#NAME?</v>
      </c>
      <c r="CO92" s="2" t="e">
        <f ca="1">_xll.BDH($C$78,"NET_DEBT_%_CAPITAL","FQ4 2016","FQ4 2016","Currency=INR","Period=FQ","BEST_FPERIOD_OVERRIDE=FQ","FILING_STATUS=OR","EQY_CONSOLIDATED=Y","Sort=A","Dates=H","DateFormat=P","Fill=—","Direction=H","UseDPDF=Y")</f>
        <v>#NAME?</v>
      </c>
      <c r="CP92" s="3" t="e">
        <f ca="1">_xll.BDH($C$78,"EBITDA","FQ4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92" s="3" t="e">
        <f ca="1">_xll.BDH($C$78,"EBITDA_AFTER_CAPEX","FQ4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92" s="3" t="e">
        <f ca="1">_xll.BDH($C$78,"IS_OPER_INC","FQ4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92" s="2" t="e">
        <f ca="1">_xll.BDH($C$78,"CASH_RATIO","FQ4 2016","FQ4 2016","Currency=INR","Period=FQ","BEST_FPERIOD_OVERRIDE=FQ","FILING_STATUS=OR","EQY_CONSOLIDATED=Y","Sort=A","Dates=H","DateFormat=P","Fill=—","Direction=H","UseDPDF=Y")</f>
        <v>#NAME?</v>
      </c>
      <c r="CT92" s="2" t="e">
        <f ca="1">_xll.BDH($C$78,"CUR_RATIO","FQ4 2016","FQ4 2016","Currency=INR","Period=FQ","BEST_FPERIOD_OVERRIDE=FQ","FILING_STATUS=OR","EQY_CONSOLIDATED=Y","Sort=A","Dates=H","DateFormat=P","Fill=—","Direction=H","UseDPDF=Y")</f>
        <v>#NAME?</v>
      </c>
      <c r="CU92" s="2" t="e">
        <f ca="1">_xll.BDH($C$78,"QUICK_RATIO","FQ4 2016","FQ4 2016","Currency=INR","Period=FQ","BEST_FPERIOD_OVERRIDE=FQ","FILING_STATUS=OR","EQY_CONSOLIDATED=Y","Sort=A","Dates=H","DateFormat=P","Fill=—","Direction=H","UseDPDF=Y")</f>
        <v>#NAME?</v>
      </c>
      <c r="CV92" s="2" t="e">
        <f ca="1">_xll.BDH($C$78,"ALTMAN_Z_SCORE","FQ4 2016","FQ4 2016","Currency=INR","Period=FQ","BEST_FPERIOD_OVERRIDE=FQ","FILING_STATUS=OR","EQY_CONSOLIDATED=Y","Sort=A","Dates=H","DateFormat=P","Fill=—","Direction=H","UseDPDF=Y")</f>
        <v>#NAME?</v>
      </c>
      <c r="CW92" s="4" t="e">
        <f ca="1">_xll.BDH($C$78,"ACCT_RCV_TURN","FQ4 2016","FQ4 2016","Currency=INR","Period=FQ","BEST_FPERIOD_OVERRIDE=FQ","FILING_STATUS=OR","EQY_CONSOLIDATED=Y","FA_ADJUSTED=GAAP","Sort=A","Dates=H","DateFormat=P","Fill=—","Direction=H","UseDPDF=Y")</f>
        <v>#NAME?</v>
      </c>
      <c r="CX92" s="2" t="e">
        <f ca="1">_xll.BDH($C$78,"ACCT_RCV_DAYS","FQ4 2016","FQ4 2016","Currency=INR","Period=FQ","BEST_FPERIOD_OVERRIDE=FQ","FILING_STATUS=OR","EQY_CONSOLIDATED=Y","FA_ADJUSTED=GAAP","Sort=A","Dates=H","DateFormat=P","Fill=—","Direction=H","UseDPDF=Y")</f>
        <v>#NAME?</v>
      </c>
      <c r="CY92" s="4" t="e">
        <f ca="1">_xll.BDH($C$78,"INVENT_TURN","FQ4 2016","FQ4 2016","Currency=INR","Period=FQ","BEST_FPERIOD_OVERRIDE=FQ","FILING_STATUS=OR","EQY_CONSOLIDATED=Y","FA_ADJUSTED=GAAP","Sort=A","Dates=H","DateFormat=P","Fill=—","Direction=H","UseDPDF=Y")</f>
        <v>#NAME?</v>
      </c>
      <c r="CZ92" s="2" t="e">
        <f ca="1">_xll.BDH($C$78,"INVENT_DAYS","FQ4 2016","FQ4 2016","Currency=INR","Period=FQ","BEST_FPERIOD_OVERRIDE=FQ","FILING_STATUS=OR","EQY_CONSOLIDATED=Y","FA_ADJUSTED=GAAP","Sort=A","Dates=H","DateFormat=P","Fill=—","Direction=H","UseDPDF=Y")</f>
        <v>#NAME?</v>
      </c>
      <c r="DA92" s="4" t="e">
        <f ca="1">_xll.BDH($C$78,"ACCOUNTS_PAYABLE_TURNOVER","FQ4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92" s="2" t="e">
        <f ca="1">_xll.BDH($C$78,"ACCOUNTS_PAYABLE_TURNOVER_DAYS","FQ4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92" s="4" t="e">
        <f ca="1">_xll.BDH($C$78,"CASH_CONVERSION_CYCLE","FQ4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92" s="4" t="e">
        <f ca="1">_xll.BDH($C$78,"INV_TO_CASH_DAYS","FQ4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92" s="5" t="e">
        <f ca="1">_xll.BDH($C$78,"BS_INVENTORIES","FQ4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92" s="3" t="e">
        <f ca="1">_xll.BDH($C$78,"INVTRY_RAW_MATERIALS","FQ4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92" s="3" t="e">
        <f ca="1">_xll.BDH($C$78,"INVTRY_IN_PROGRESS","FQ4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92" s="3" t="e">
        <f ca="1">_xll.BDH($C$78,"INVTRY_FINISHED_GOODS","FQ4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92" s="3" t="e">
        <f ca="1">_xll.BDH($C$78,"BS_OTHER_INV","FQ4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93" spans="1:113" x14ac:dyDescent="0.3">
      <c r="A93" s="6"/>
      <c r="B93" s="6"/>
      <c r="C93" s="6"/>
      <c r="D93" s="6" t="s">
        <v>84</v>
      </c>
      <c r="E93" t="s">
        <v>77</v>
      </c>
      <c r="F93" t="e">
        <f ca="1">_xll.BDH($C$78,"RETURN_COM_EQY","FY 2017","FY 2017","Currency=INR","Period=FY","BEST_FPERIOD_OVERRIDE=FY","FILING_STATUS=OR","EQY_CONSOLIDATED=Y","FA_ADJUSTED=GAAP","Sort=A","Dates=H","DateFormat=P","Fill=—","Direction=H","UseDPDF=Y")</f>
        <v>#NAME?</v>
      </c>
      <c r="G93" t="e">
        <f ca="1">_xll.BDH($C$78,"RETURN_ON_ASSET","FY 2017","FY 2017","Currency=INR","Period=FY","BEST_FPERIOD_OVERRIDE=FY","FILING_STATUS=OR","EQY_CONSOLIDATED=Y","FA_ADJUSTED=GAAP","Sort=A","Dates=H","DateFormat=P","Fill=—","Direction=H","UseDPDF=Y")</f>
        <v>#NAME?</v>
      </c>
      <c r="H93" t="e">
        <f ca="1">_xll.BDH($C$78,"RETURN_ON_CAP","FY 2017","FY 2017","Currency=INR","Period=FY","BEST_FPERIOD_OVERRIDE=FY","FILING_STATUS=OR","EQY_CONSOLIDATED=Y","FA_ADJUSTED=GAAP","Sort=A","Dates=H","DateFormat=P","Fill=—","Direction=H","UseDPDF=Y")</f>
        <v>#NAME?</v>
      </c>
      <c r="I93" t="e">
        <f ca="1">_xll.BDH($C$78,"RETURN_ON_INV_CAPITAL","FY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93" t="e">
        <f ca="1">_xll.BDH($C$78,"EBITDA_TO_REVENUE","FY 2017","FY 2017","Currency=INR","Period=FY","BEST_FPERIOD_OVERRIDE=FY","FILING_STATUS=OR","EQY_CONSOLIDATED=Y","FA_ADJUSTED=GAAP","Sort=A","Dates=H","DateFormat=P","Fill=—","Direction=H","UseDPDF=Y")</f>
        <v>#NAME?</v>
      </c>
      <c r="K93" t="e">
        <f ca="1">_xll.BDH($C$78,"OPER_MARGIN","FY 2017","FY 2017","Currency=INR","Period=FY","BEST_FPERIOD_OVERRIDE=FY","FILING_STATUS=OR","EQY_CONSOLIDATED=Y","FA_ADJUSTED=GAAP","Sort=A","Dates=H","DateFormat=P","Fill=—","Direction=H","UseDPDF=Y")</f>
        <v>#NAME?</v>
      </c>
      <c r="L93" t="e">
        <f ca="1">_xll.BDH($C$78,"INCREMENTAL_OPERATING_MARGIN","FY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93" t="e">
        <f ca="1">_xll.BDH($C$78,"PRETAX_INC_TO_NET_SALES","FY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93" t="e">
        <f ca="1">_xll.BDH($C$78,"INC_BEF_XO_ITEMS_TO_NET_SALES","FY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93" t="e">
        <f ca="1">_xll.BDH($C$78,"PROF_MARGIN","FY 2017","FY 2017","Currency=INR","Period=FY","BEST_FPERIOD_OVERRIDE=FY","FILING_STATUS=OR","EQY_CONSOLIDATED=Y","FA_ADJUSTED=GAAP","Sort=A","Dates=H","DateFormat=P","Fill=—","Direction=H","UseDPDF=Y")</f>
        <v>#NAME?</v>
      </c>
      <c r="P93" t="e">
        <f ca="1">_xll.BDH($C$78,"NET_INCOME_TO_COMMON_MARGIN","FY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93" t="e">
        <f ca="1">_xll.BDH($C$78,"EFF_TAX_RATE","FY 2017","FY 2017","Currency=INR","Period=FY","BEST_FPERIOD_OVERRIDE=FY","FILING_STATUS=OR","EQY_CONSOLIDATED=Y","FA_ADJUSTED=GAAP","Sort=A","Dates=H","DateFormat=P","Fill=—","Direction=H","UseDPDF=Y")</f>
        <v>#NAME?</v>
      </c>
      <c r="R93" t="e">
        <f ca="1">_xll.BDH($C$78,"DVD_PAYOUT_RATIO","FY 2017","FY 2017","Currency=INR","Period=FY","BEST_FPERIOD_OVERRIDE=FY","FILING_STATUS=OR","EQY_CONSOLIDATED=Y","FA_ADJUSTED=GAAP","Sort=A","Dates=H","DateFormat=P","Fill=—","Direction=H","UseDPDF=Y")</f>
        <v>#NAME?</v>
      </c>
      <c r="S93" t="e">
        <f ca="1">_xll.BDH($C$78,"SUSTAIN_GROWTH_RT","FY 2017","FY 2017","Currency=INR","Period=FY","BEST_FPERIOD_OVERRIDE=FY","FILING_STATUS=OR","EQY_CONSOLIDATED=Y","FA_ADJUSTED=GAAP","Sort=A","Dates=H","DateFormat=P","Fill=—","Direction=H","UseDPDF=Y")</f>
        <v>#NAME?</v>
      </c>
      <c r="T93" s="2" t="e">
        <f ca="1">_xll.BDH($C$78,"SALES_GROWTH","FY 2017","FY 2017","Currency=INR","Period=FY","BEST_FPERIOD_OVERRIDE=FY","FILING_STATUS=OR","EQY_CONSOLIDATED=Y","FA_ADJUSTED=GAAP","Sort=A","Dates=H","DateFormat=P","Fill=—","Direction=H","UseDPDF=Y")</f>
        <v>#NAME?</v>
      </c>
      <c r="U93" s="2" t="e">
        <f ca="1">_xll.BDH($C$78,"EBITDA_GROWTH","FY 2017","FY 2017","Currency=INR","Period=FY","BEST_FPERIOD_OVERRIDE=FY","FILING_STATUS=OR","EQY_CONSOLIDATED=Y","FA_ADJUSTED=GAAP","Sort=A","Dates=H","DateFormat=P","Fill=—","Direction=H","UseDPDF=Y")</f>
        <v>#NAME?</v>
      </c>
      <c r="V93" s="2" t="e">
        <f ca="1">_xll.BDH($C$78,"OPER_INC_GROWTH","FY 2017","FY 2017","Currency=INR","Period=FY","BEST_FPERIOD_OVERRIDE=FY","FILING_STATUS=OR","EQY_CONSOLIDATED=Y","FA_ADJUSTED=GAAP","Sort=A","Dates=H","DateFormat=P","Fill=—","Direction=H","UseDPDF=Y")</f>
        <v>#NAME?</v>
      </c>
      <c r="W93" s="2" t="e">
        <f ca="1">_xll.BDH($C$78,"EARN_FOR_COM_GROWTH","FY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93" s="2" t="e">
        <f ca="1">_xll.BDH($C$78,"DILUTED_EPS_AFT_XO_ITEMS_GROWTH","FY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93" s="2" t="e">
        <f ca="1">_xll.BDH($C$78,"DIVIDEND_PER_SHARE_1_YEAR_GROWTH","FY 2017","FY 2017","Currency=INR","Period=FY","BEST_FPERIOD_OVERRIDE=FY","FILING_STATUS=OR","EQY_CONSOLIDATED=Y","Sort=A","Dates=H","DateFormat=P","Fill=—","Direction=H","UseDPDF=Y")</f>
        <v>#NAME?</v>
      </c>
      <c r="Z93" s="2" t="e">
        <f ca="1">_xll.BDH($C$78,"ACCOUNTS_RECEIVABLE_GROWTH","FY 2017","FY 2017","Currency=INR","Period=FY","BEST_FPERIOD_OVERRIDE=FY","FILING_STATUS=OR","EQY_CONSOLIDATED=Y","Sort=A","Dates=H","DateFormat=P","Fill=—","Direction=H","UseDPDF=Y")</f>
        <v>#NAME?</v>
      </c>
      <c r="AA93" s="2" t="e">
        <f ca="1">_xll.BDH($C$78,"INVENTORY_GROWTH","FY 2017","FY 2017","Currency=INR","Period=FY","BEST_FPERIOD_OVERRIDE=FY","FILING_STATUS=OR","EQY_CONSOLIDATED=Y","Sort=A","Dates=H","DateFormat=P","Fill=—","Direction=H","UseDPDF=Y")</f>
        <v>#NAME?</v>
      </c>
      <c r="AB93" s="2" t="e">
        <f ca="1">_xll.BDH($C$78,"NET_FIXED_ASSETS_1_YEAR_GROWTH","FY 2017","FY 2017","Currency=INR","Period=FY","BEST_FPERIOD_OVERRIDE=FY","FILING_STATUS=OR","EQY_CONSOLIDATED=Y","Sort=A","Dates=H","DateFormat=P","Fill=—","Direction=H","UseDPDF=Y")</f>
        <v>#NAME?</v>
      </c>
      <c r="AC93" s="2" t="e">
        <f ca="1">_xll.BDH($C$78,"ASSET_GROWTH","FY 2017","FY 2017","Currency=INR","Period=FY","BEST_FPERIOD_OVERRIDE=FY","FILING_STATUS=OR","EQY_CONSOLIDATED=Y","Sort=A","Dates=H","DateFormat=P","Fill=—","Direction=H","UseDPDF=Y")</f>
        <v>#NAME?</v>
      </c>
      <c r="AD93" s="2" t="e">
        <f ca="1">_xll.BDH($C$78,"MODIFIED_WORK_CAP_GROWTH","FY 2017","FY 2017","Currency=INR","Period=FY","BEST_FPERIOD_OVERRIDE=FY","FILING_STATUS=OR","EQY_CONSOLIDATED=Y","Sort=A","Dates=H","DateFormat=P","Fill=—","Direction=H","UseDPDF=Y")</f>
        <v>#NAME?</v>
      </c>
      <c r="AE93" s="2" t="e">
        <f ca="1">_xll.BDH($C$78,"WORK_CAP_GROWTH","FY 2017","FY 2017","Currency=INR","Period=FY","BEST_FPERIOD_OVERRIDE=FY","FILING_STATUS=OR","EQY_CONSOLIDATED=Y","Sort=A","Dates=H","DateFormat=P","Fill=—","Direction=H","UseDPDF=Y")</f>
        <v>#NAME?</v>
      </c>
      <c r="AF93" s="2" t="e">
        <f ca="1">_xll.BDH($C$78,"ACCOUNTS_PAYABLE_GROWTH_1YR","FY 2017","FY 2017","Currency=INR","Period=FY","BEST_FPERIOD_OVERRIDE=FY","FILING_STATUS=OR","EQY_CONSOLIDATED=Y","Sort=A","Dates=H","DateFormat=P","Fill=—","Direction=H","UseDPDF=Y")</f>
        <v>#NAME?</v>
      </c>
      <c r="AG93" s="2" t="e">
        <f ca="1">_xll.BDH($C$78,"SHORT_TERM_DEBT_1_YEAR_GROWTH","FY 2017","FY 2017","Currency=INR","Period=FY","BEST_FPERIOD_OVERRIDE=FY","FILING_STATUS=OR","EQY_CONSOLIDATED=Y","Sort=A","Dates=H","DateFormat=P","Fill=—","Direction=H","UseDPDF=Y")</f>
        <v>#NAME?</v>
      </c>
      <c r="AH93" s="2" t="e">
        <f ca="1">_xll.BDH($C$78,"TOTAL_DEBT_1_YEAR_GROWTH","FY 2017","FY 2017","Currency=INR","Period=FY","BEST_FPERIOD_OVERRIDE=FY","FILING_STATUS=OR","EQY_CONSOLIDATED=Y","Sort=A","Dates=H","DateFormat=P","Fill=—","Direction=H","UseDPDF=Y")</f>
        <v>#NAME?</v>
      </c>
      <c r="AI93" s="2" t="e">
        <f ca="1">_xll.BDH($C$78,"TOTAL_EQUITY_1_YEAR_GROWTH","FY 2017","FY 2017","Currency=INR","Period=FY","BEST_FPERIOD_OVERRIDE=FY","FILING_STATUS=OR","EQY_CONSOLIDATED=Y","Sort=A","Dates=H","DateFormat=P","Fill=—","Direction=H","UseDPDF=Y")</f>
        <v>#NAME?</v>
      </c>
      <c r="AJ93" s="2" t="e">
        <f ca="1">_xll.BDH($C$78,"GROWTH_IN_CAP","FY 2017","FY 2017","Currency=INR","Period=FY","BEST_FPERIOD_OVERRIDE=FY","FILING_STATUS=OR","EQY_CONSOLIDATED=Y","Sort=A","Dates=H","DateFormat=P","Fill=—","Direction=H","UseDPDF=Y")</f>
        <v>#NAME?</v>
      </c>
      <c r="AK93" s="2" t="e">
        <f ca="1">_xll.BDH($C$78,"BVPS_GROWTH","FY 2017","FY 2017","Currency=INR","Period=FY","BEST_FPERIOD_OVERRIDE=FY","FILING_STATUS=OR","EQY_CONSOLIDATED=Y","Sort=A","Dates=H","DateFormat=P","Fill=—","Direction=H","UseDPDF=Y")</f>
        <v>#NAME?</v>
      </c>
      <c r="AL93" s="2" t="e">
        <f ca="1">_xll.BDH($C$78,"CASH_FLOW_GROWTH","FY 2017","FY 2017","Currency=INR","Period=FY","BEST_FPERIOD_OVERRIDE=FY","FILING_STATUS=OR","EQY_CONSOLIDATED=Y","Sort=A","Dates=H","DateFormat=P","Fill=—","Direction=H","UseDPDF=Y")</f>
        <v>#NAME?</v>
      </c>
      <c r="AM93" s="2" t="e">
        <f ca="1">_xll.BDH($C$78,"GEO_GROW_NET_SALES","FY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93" s="2" t="e">
        <f ca="1">_xll.BDH($C$78,"GEO_GROW_EBITDA","FY 2017","FY 2017","Currency=INR","Period=FY","BEST_FPERIOD_OVERRIDE=FY","FILING_STATUS=OR","EQY_CONSOLIDATED=Y","FA_ADJUSTED=GAAP","Sort=A","Dates=H","DateFormat=P","Fill=—","Direction=H","UseDPDF=Y")</f>
        <v>#NAME?</v>
      </c>
      <c r="AO93" s="2" t="e">
        <f ca="1">_xll.BDH($C$78,"GEO_GROW_OPER_INC","FY 2017","FY 2017","Currency=INR","Period=FY","BEST_FPERIOD_OVERRIDE=FY","FILING_STATUS=OR","EQY_CONSOLIDATED=Y","FA_ADJUSTED=GAAP","Sort=A","Dates=H","DateFormat=P","Fill=—","Direction=H","UseDPDF=Y")</f>
        <v>#NAME?</v>
      </c>
      <c r="AP93" s="2" t="e">
        <f ca="1">_xll.BDH($C$78,"NET_INCOME_TO_COMMON_5_YR_GROWTH","FY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93" s="2" t="e">
        <f ca="1">_xll.BDH($C$78,"5Y_GEO_GROWTH_DILUTED_EPS","FY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93" s="2" t="e">
        <f ca="1">_xll.BDH($C$78,"GEO_GROW_DVD_PER_SH","FY 2017","FY 2017","Currency=INR","Period=FY","BEST_FPERIOD_OVERRIDE=FY","FILING_STATUS=OR","EQY_CONSOLIDATED=Y","Sort=A","Dates=H","DateFormat=P","Fill=—","Direction=H","UseDPDF=Y")</f>
        <v>#NAME?</v>
      </c>
      <c r="AS93" s="2" t="e">
        <f ca="1">_xll.BDH($C$78,"ACCOUNTS_RECEIVABLE_5_YR_GROWTH","FY 2017","FY 2017","Currency=INR","Period=FY","BEST_FPERIOD_OVERRIDE=FY","FILING_STATUS=OR","EQY_CONSOLIDATED=Y","Sort=A","Dates=H","DateFormat=P","Fill=—","Direction=H","UseDPDF=Y")</f>
        <v>#NAME?</v>
      </c>
      <c r="AT93" s="2" t="e">
        <f ca="1">_xll.BDH($C$78,"INVENTORY_5_YEAR_GROWTH","FY 2017","FY 2017","Currency=INR","Period=FY","BEST_FPERIOD_OVERRIDE=FY","FILING_STATUS=OR","EQY_CONSOLIDATED=Y","Sort=A","Dates=H","DateFormat=P","Fill=—","Direction=H","UseDPDF=Y")</f>
        <v>#NAME?</v>
      </c>
      <c r="AU93" s="2" t="e">
        <f ca="1">_xll.BDH($C$78,"NET_FIXED_ASSETS_5_YEAR_GROWTH","FY 2017","FY 2017","Currency=INR","Period=FY","BEST_FPERIOD_OVERRIDE=FY","FILING_STATUS=OR","EQY_CONSOLIDATED=Y","Sort=A","Dates=H","DateFormat=P","Fill=—","Direction=H","UseDPDF=Y")</f>
        <v>#NAME?</v>
      </c>
      <c r="AV93" s="2" t="e">
        <f ca="1">_xll.BDH($C$78,"GEO_GROW_TOT_ASSET","FY 2017","FY 2017","Currency=INR","Period=FY","BEST_FPERIOD_OVERRIDE=FY","FILING_STATUS=OR","EQY_CONSOLIDATED=Y","Sort=A","Dates=H","DateFormat=P","Fill=—","Direction=H","UseDPDF=Y")</f>
        <v>#NAME?</v>
      </c>
      <c r="AW93" s="2" t="e">
        <f ca="1">_xll.BDH($C$78,"MODIFIED_WORKING_CPTL_5YR_GRWTH","FY 2017","FY 2017","Currency=INR","Period=FY","BEST_FPERIOD_OVERRIDE=FY","FILING_STATUS=OR","EQY_CONSOLIDATED=Y","Sort=A","Dates=H","DateFormat=P","Fill=—","Direction=H","UseDPDF=Y")</f>
        <v>#NAME?</v>
      </c>
      <c r="AX93" s="2" t="e">
        <f ca="1">_xll.BDH($C$78,"WORKING_CAPITAL_5_YEAR_GROWTH","FY 2017","FY 2017","Currency=INR","Period=FY","BEST_FPERIOD_OVERRIDE=FY","FILING_STATUS=OR","EQY_CONSOLIDATED=Y","Sort=A","Dates=H","DateFormat=P","Fill=—","Direction=H","UseDPDF=Y")</f>
        <v>#NAME?</v>
      </c>
      <c r="AY93" s="2" t="e">
        <f ca="1">_xll.BDH($C$78,"ACCOUNTS_PAYABLE_5_YEAR_GROWTH","FY 2017","FY 2017","Currency=INR","Period=FY","BEST_FPERIOD_OVERRIDE=FY","FILING_STATUS=OR","EQY_CONSOLIDATED=Y","Sort=A","Dates=H","DateFormat=P","Fill=—","Direction=H","UseDPDF=Y")</f>
        <v>#NAME?</v>
      </c>
      <c r="AZ93" s="2" t="e">
        <f ca="1">_xll.BDH($C$78,"SHORT_TERM_DEBT_5_YEAR_GROWTH","FY 2017","FY 2017","Currency=INR","Period=FY","BEST_FPERIOD_OVERRIDE=FY","FILING_STATUS=OR","EQY_CONSOLIDATED=Y","Sort=A","Dates=H","DateFormat=P","Fill=—","Direction=H","UseDPDF=Y")</f>
        <v>#NAME?</v>
      </c>
      <c r="BA93" s="2" t="e">
        <f ca="1">_xll.BDH($C$78,"TOTAL_DEBT_5_YEAR_GROWTH","FY 2017","FY 2017","Currency=INR","Period=FY","BEST_FPERIOD_OVERRIDE=FY","FILING_STATUS=OR","EQY_CONSOLIDATED=Y","Sort=A","Dates=H","DateFormat=P","Fill=—","Direction=H","UseDPDF=Y")</f>
        <v>#NAME?</v>
      </c>
      <c r="BB93" s="2" t="e">
        <f ca="1">_xll.BDH($C$78,"GEO_GROW_TOT_SHRHLDR_EQY","FY 2017","FY 2017","Currency=INR","Period=FY","BEST_FPERIOD_OVERRIDE=FY","FILING_STATUS=OR","EQY_CONSOLIDATED=Y","Sort=A","Dates=H","DateFormat=P","Fill=—","Direction=H","UseDPDF=Y")</f>
        <v>#NAME?</v>
      </c>
      <c r="BC93" s="2" t="e">
        <f ca="1">_xll.BDH($C$78,"TOTAL_CAPITAL_5_YEAR_GROWTH","FY 2017","FY 2017","Currency=INR","Period=FY","BEST_FPERIOD_OVERRIDE=FY","FILING_STATUS=OR","EQY_CONSOLIDATED=Y","Sort=A","Dates=H","DateFormat=P","Fill=—","Direction=H","UseDPDF=Y")</f>
        <v>#NAME?</v>
      </c>
      <c r="BD93" s="2" t="e">
        <f ca="1">_xll.BDH($C$78,"GEO_GROW_BOOK_VAL","FY 2017","FY 2017","Currency=INR","Period=FY","BEST_FPERIOD_OVERRIDE=FY","FILING_STATUS=OR","EQY_CONSOLIDATED=Y","Sort=A","Dates=H","DateFormat=P","Fill=—","Direction=H","UseDPDF=Y")</f>
        <v>#NAME?</v>
      </c>
      <c r="BE93" s="2" t="e">
        <f ca="1">_xll.BDH($C$78,"GEO_GROW_CASH_OPER_ACT","FY 2017","FY 2017","Currency=INR","Period=FY","BEST_FPERIOD_OVERRIDE=FY","FILING_STATUS=OR","EQY_CONSOLIDATED=Y","Sort=A","Dates=H","DateFormat=P","Fill=—","Direction=H","UseDPDF=Y")</f>
        <v>#NAME?</v>
      </c>
      <c r="BF93" s="2" t="e">
        <f ca="1">_xll.BDH($C$78,"REVENUE_SEQUENTIAL_GROWTH","FY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93" s="2" t="e">
        <f ca="1">_xll.BDH($C$78,"EBITDA_SEQUENTIAL_GROWTH","FY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93" s="2" t="e">
        <f ca="1">_xll.BDH($C$78,"OPERATING_INCOME_SEQ_GROWTH","FY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93" s="2" t="e">
        <f ca="1">_xll.BDH($C$78,"NET_INCOME_TO_COMMON_SEQ_GROWTH","FY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93" s="2" t="e">
        <f ca="1">_xll.BDH($C$78,"EPS_DILUTED_SEQUENTIAL_GROWTH","FY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93" s="2" t="e">
        <f ca="1">_xll.BDH($C$78,"DPS_SEQUENTIAL_GROWTH","FY 2017","FY 2017","Currency=INR","Period=FY","BEST_FPERIOD_OVERRIDE=FY","FILING_STATUS=OR","EQY_CONSOLIDATED=Y","Sort=A","Dates=H","DateFormat=P","Fill=—","Direction=H","UseDPDF=Y")</f>
        <v>#NAME?</v>
      </c>
      <c r="BL93" s="2" t="e">
        <f ca="1">_xll.BDH($C$78,"ACCOUNTS_RECEIVABLE_SEQ_GROWTH","FY 2017","FY 2017","Currency=INR","Period=FY","BEST_FPERIOD_OVERRIDE=FY","FILING_STATUS=OR","EQY_CONSOLIDATED=Y","Sort=A","Dates=H","DateFormat=P","Fill=—","Direction=H","UseDPDF=Y")</f>
        <v>#NAME?</v>
      </c>
      <c r="BM93" s="2" t="e">
        <f ca="1">_xll.BDH($C$78,"INVENTORY_SEQUENTIAL_GROWTH","FY 2017","FY 2017","Currency=INR","Period=FY","BEST_FPERIOD_OVERRIDE=FY","FILING_STATUS=OR","EQY_CONSOLIDATED=Y","Sort=A","Dates=H","DateFormat=P","Fill=—","Direction=H","UseDPDF=Y")</f>
        <v>#NAME?</v>
      </c>
      <c r="BN93" s="2" t="e">
        <f ca="1">_xll.BDH($C$78,"FIXED_ASSETS_SEQUENTIAL_GROWTH","FY 2017","FY 2017","Currency=INR","Period=FY","BEST_FPERIOD_OVERRIDE=FY","FILING_STATUS=OR","EQY_CONSOLIDATED=Y","Sort=A","Dates=H","DateFormat=P","Fill=—","Direction=H","UseDPDF=Y")</f>
        <v>#NAME?</v>
      </c>
      <c r="BO93" s="2" t="e">
        <f ca="1">_xll.BDH($C$78,"TOTAL_ASSETS_SEQUENTIAL_GROWTH","FY 2017","FY 2017","Currency=INR","Period=FY","BEST_FPERIOD_OVERRIDE=FY","FILING_STATUS=OR","EQY_CONSOLIDATED=Y","Sort=A","Dates=H","DateFormat=P","Fill=—","Direction=H","UseDPDF=Y")</f>
        <v>#NAME?</v>
      </c>
      <c r="BP93" s="2" t="e">
        <f ca="1">_xll.BDH($C$78,"MODIFIED_WORKING_CPTL_SEQ_GRWTH","FY 2017","FY 2017","Currency=INR","Period=FY","BEST_FPERIOD_OVERRIDE=FY","FILING_STATUS=OR","EQY_CONSOLIDATED=Y","Sort=A","Dates=H","DateFormat=P","Fill=—","Direction=H","UseDPDF=Y")</f>
        <v>#NAME?</v>
      </c>
      <c r="BQ93" s="2" t="e">
        <f ca="1">_xll.BDH($C$78,"WORKING_CAPITAL_SEQ_GROWTH","FY 2017","FY 2017","Currency=INR","Period=FY","BEST_FPERIOD_OVERRIDE=FY","FILING_STATUS=OR","EQY_CONSOLIDATED=Y","Sort=A","Dates=H","DateFormat=P","Fill=—","Direction=H","UseDPDF=Y")</f>
        <v>#NAME?</v>
      </c>
      <c r="BR93" s="2" t="e">
        <f ca="1">_xll.BDH($C$78,"ACCOUNTS_PAYABLE_SEQ_GROWTH","FY 2017","FY 2017","Currency=INR","Period=FY","BEST_FPERIOD_OVERRIDE=FY","FILING_STATUS=OR","EQY_CONSOLIDATED=Y","Sort=A","Dates=H","DateFormat=P","Fill=—","Direction=H","UseDPDF=Y")</f>
        <v>#NAME?</v>
      </c>
      <c r="BS93" s="2" t="e">
        <f ca="1">_xll.BDH($C$78,"ST_DEBT_SEQUENTIAL_GROWTH","FY 2017","FY 2017","Currency=INR","Period=FY","BEST_FPERIOD_OVERRIDE=FY","FILING_STATUS=OR","EQY_CONSOLIDATED=Y","Sort=A","Dates=H","DateFormat=P","Fill=—","Direction=H","UseDPDF=Y")</f>
        <v>#NAME?</v>
      </c>
      <c r="BT93" s="2" t="e">
        <f ca="1">_xll.BDH($C$78,"TOTAL_DEBT_SEQUENTIAL_GROWTH","FY 2017","FY 2017","Currency=INR","Period=FY","BEST_FPERIOD_OVERRIDE=FY","FILING_STATUS=OR","EQY_CONSOLIDATED=Y","Sort=A","Dates=H","DateFormat=P","Fill=—","Direction=H","UseDPDF=Y")</f>
        <v>#NAME?</v>
      </c>
      <c r="BU93" s="2" t="e">
        <f ca="1">_xll.BDH($C$78,"TOTAL_EQUITY_SEQUENTIAL_GROWTH","FY 2017","FY 2017","Currency=INR","Period=FY","BEST_FPERIOD_OVERRIDE=FY","FILING_STATUS=OR","EQY_CONSOLIDATED=Y","Sort=A","Dates=H","DateFormat=P","Fill=—","Direction=H","UseDPDF=Y")</f>
        <v>#NAME?</v>
      </c>
      <c r="BV93" s="2" t="e">
        <f ca="1">_xll.BDH($C$78,"TOTAL_CAPITAL_SEQUENTIAL_GROWTH","FY 2017","FY 2017","Currency=INR","Period=FY","BEST_FPERIOD_OVERRIDE=FY","FILING_STATUS=OR","EQY_CONSOLIDATED=Y","Sort=A","Dates=H","DateFormat=P","Fill=—","Direction=H","UseDPDF=Y")</f>
        <v>#NAME?</v>
      </c>
      <c r="BW93" s="2" t="e">
        <f ca="1">_xll.BDH($C$78,"BPS_SEQUENTIAL_GROWTH","FY 2017","FY 2017","Currency=INR","Period=FY","BEST_FPERIOD_OVERRIDE=FY","FILING_STATUS=OR","EQY_CONSOLIDATED=Y","Sort=A","Dates=H","DateFormat=P","Fill=—","Direction=H","UseDPDF=Y")</f>
        <v>#NAME?</v>
      </c>
      <c r="BX93" s="2" t="e">
        <f ca="1">_xll.BDH($C$78,"CFO_SEQUENTIAL_GROWTH","FY 2017","FY 2017","Currency=INR","Period=FY","BEST_FPERIOD_OVERRIDE=FY","FILING_STATUS=OR","EQY_CONSOLIDATED=Y","Sort=A","Dates=H","DateFormat=P","Fill=—","Direction=H","UseDPDF=Y")</f>
        <v>#NAME?</v>
      </c>
      <c r="BY93" s="3" t="e">
        <f ca="1">_xll.BDH($C$78,"SHORT_AND_LONG_TERM_DEBT","FY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93" s="3" t="e">
        <f ca="1">_xll.BDH($C$78,"BS_ST_BORROW","FY 2017","FY 2017","Currency=INR","Period=FY","BEST_FPERIOD_OVERRIDE=FY","FILING_STATUS=OR","EQY_CONSOLIDATED=Y","SCALING_FORMAT=MLN","Sort=A","Dates=H","DateFormat=P","Fill=—","Direction=H","UseDPDF=Y")</f>
        <v>#NAME?</v>
      </c>
      <c r="CA93" s="3" t="e">
        <f ca="1">_xll.BDH($C$78,"BS_LT_BORROW","FY 2017","FY 2017","Currency=INR","Period=FY","BEST_FPERIOD_OVERRIDE=FY","FILING_STATUS=OR","EQY_CONSOLIDATED=Y","SCALING_FORMAT=MLN","Sort=A","Dates=H","DateFormat=P","Fill=—","Direction=H","UseDPDF=Y")</f>
        <v>#NAME?</v>
      </c>
      <c r="CB93" s="2" t="e">
        <f ca="1">_xll.BDH($C$78,"TOT_DEBT_TO_EBITDA","FY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93" s="2" t="e">
        <f ca="1">_xll.BDH($C$78,"NET_DEBT_TO_EBITDA","FY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93" s="2" t="e">
        <f ca="1">_xll.BDH($C$78,"TOTAL_DEBT_TO_EBIT","FY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93" s="2" t="e">
        <f ca="1">_xll.BDH($C$78,"NET_DEBT_TO_EBIT","FY 2017","FY 2017","Currency=INR","Period=FY","BEST_FPERIOD_OVERRIDE=FY","FILING_STATUS=OR","EQY_CONSOLIDATED=Y","FA_ADJUSTED=GAAP","Sort=A","Dates=H","DateFormat=P","Fill=—","Direction=H","UseDPDF=Y")</f>
        <v>#NAME?</v>
      </c>
      <c r="CF93" s="2" t="e">
        <f ca="1">_xll.BDH($C$78,"EBITDA_TO_INTEREST_EXPN","FY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93" s="2" t="e">
        <f ca="1">_xll.BDH($C$78,"COM_EQY_TO_TOT_ASSET","FY 2017","FY 2017","Currency=INR","Period=FY","BEST_FPERIOD_OVERRIDE=FY","FILING_STATUS=OR","EQY_CONSOLIDATED=Y","Sort=A","Dates=H","DateFormat=P","Fill=—","Direction=H","UseDPDF=Y")</f>
        <v>#NAME?</v>
      </c>
      <c r="CH93" s="2" t="e">
        <f ca="1">_xll.BDH($C$78,"LT_DEBT_TO_TOT_EQY","FY 2017","FY 2017","Currency=INR","Period=FY","BEST_FPERIOD_OVERRIDE=FY","FILING_STATUS=OR","EQY_CONSOLIDATED=Y","Sort=A","Dates=H","DateFormat=P","Fill=—","Direction=H","UseDPDF=Y")</f>
        <v>#NAME?</v>
      </c>
      <c r="CI93" s="2" t="e">
        <f ca="1">_xll.BDH($C$78,"LT_DEBT_TO_TOT_CAP","FY 2017","FY 2017","Currency=INR","Period=FY","BEST_FPERIOD_OVERRIDE=FY","FILING_STATUS=OR","EQY_CONSOLIDATED=Y","Sort=A","Dates=H","DateFormat=P","Fill=—","Direction=H","UseDPDF=Y")</f>
        <v>#NAME?</v>
      </c>
      <c r="CJ93" s="2" t="e">
        <f ca="1">_xll.BDH($C$78,"LT_DEBT_TO_TOT_ASSET","FY 2017","FY 2017","Currency=INR","Period=FY","BEST_FPERIOD_OVERRIDE=FY","FILING_STATUS=OR","EQY_CONSOLIDATED=Y","Sort=A","Dates=H","DateFormat=P","Fill=—","Direction=H","UseDPDF=Y")</f>
        <v>#NAME?</v>
      </c>
      <c r="CK93" s="2" t="e">
        <f ca="1">_xll.BDH($C$78,"TOT_DEBT_TO_TOT_EQY","FY 2017","FY 2017","Currency=INR","Period=FY","BEST_FPERIOD_OVERRIDE=FY","FILING_STATUS=OR","EQY_CONSOLIDATED=Y","Sort=A","Dates=H","DateFormat=P","Fill=—","Direction=H","UseDPDF=Y")</f>
        <v>#NAME?</v>
      </c>
      <c r="CL93" s="2" t="e">
        <f ca="1">_xll.BDH($C$78,"TOT_DEBT_TO_TOT_CAP","FY 2017","FY 2017","Currency=INR","Period=FY","BEST_FPERIOD_OVERRIDE=FY","FILING_STATUS=OR","EQY_CONSOLIDATED=Y","Sort=A","Dates=H","DateFormat=P","Fill=—","Direction=H","UseDPDF=Y")</f>
        <v>#NAME?</v>
      </c>
      <c r="CM93" s="2" t="e">
        <f ca="1">_xll.BDH($C$78,"TOT_DEBT_TO_TOT_ASSET","FY 2017","FY 2017","Currency=INR","Period=FY","BEST_FPERIOD_OVERRIDE=FY","FILING_STATUS=OR","EQY_CONSOLIDATED=Y","Sort=A","Dates=H","DateFormat=P","Fill=—","Direction=H","UseDPDF=Y")</f>
        <v>#NAME?</v>
      </c>
      <c r="CN93" s="2" t="e">
        <f ca="1">_xll.BDH($C$78,"NET_DEBT_TO_SHRHLDR_EQTY","FY 2017","FY 2017","Currency=INR","Period=FY","BEST_FPERIOD_OVERRIDE=FY","FILING_STATUS=OR","EQY_CONSOLIDATED=Y","Sort=A","Dates=H","DateFormat=P","Fill=—","Direction=H","UseDPDF=Y")</f>
        <v>#NAME?</v>
      </c>
      <c r="CO93" s="2" t="e">
        <f ca="1">_xll.BDH($C$78,"NET_DEBT_%_CAPITAL","FY 2017","FY 2017","Currency=INR","Period=FY","BEST_FPERIOD_OVERRIDE=FY","FILING_STATUS=OR","EQY_CONSOLIDATED=Y","Sort=A","Dates=H","DateFormat=P","Fill=—","Direction=H","UseDPDF=Y")</f>
        <v>#NAME?</v>
      </c>
      <c r="CP93" s="3" t="e">
        <f ca="1">_xll.BDH($C$78,"EBITDA","FY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93" s="3" t="e">
        <f ca="1">_xll.BDH($C$78,"EBITDA_AFTER_CAPEX","FY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93" s="3" t="e">
        <f ca="1">_xll.BDH($C$78,"IS_OPER_INC","FY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93" s="2" t="e">
        <f ca="1">_xll.BDH($C$78,"CASH_RATIO","FY 2017","FY 2017","Currency=INR","Period=FY","BEST_FPERIOD_OVERRIDE=FY","FILING_STATUS=OR","EQY_CONSOLIDATED=Y","Sort=A","Dates=H","DateFormat=P","Fill=—","Direction=H","UseDPDF=Y")</f>
        <v>#NAME?</v>
      </c>
      <c r="CT93" s="2" t="e">
        <f ca="1">_xll.BDH($C$78,"CUR_RATIO","FY 2017","FY 2017","Currency=INR","Period=FY","BEST_FPERIOD_OVERRIDE=FY","FILING_STATUS=OR","EQY_CONSOLIDATED=Y","Sort=A","Dates=H","DateFormat=P","Fill=—","Direction=H","UseDPDF=Y")</f>
        <v>#NAME?</v>
      </c>
      <c r="CU93" s="2" t="e">
        <f ca="1">_xll.BDH($C$78,"QUICK_RATIO","FY 2017","FY 2017","Currency=INR","Period=FY","BEST_FPERIOD_OVERRIDE=FY","FILING_STATUS=OR","EQY_CONSOLIDATED=Y","Sort=A","Dates=H","DateFormat=P","Fill=—","Direction=H","UseDPDF=Y")</f>
        <v>#NAME?</v>
      </c>
      <c r="CV93" s="2" t="e">
        <f ca="1">_xll.BDH($C$78,"ALTMAN_Z_SCORE","FY 2017","FY 2017","Currency=INR","Period=FY","BEST_FPERIOD_OVERRIDE=FY","FILING_STATUS=OR","EQY_CONSOLIDATED=Y","Sort=A","Dates=H","DateFormat=P","Fill=—","Direction=H","UseDPDF=Y")</f>
        <v>#NAME?</v>
      </c>
      <c r="CW93" s="4" t="e">
        <f ca="1">_xll.BDH($C$78,"ACCT_RCV_TURN","FY 2017","FY 2017","Currency=INR","Period=FY","BEST_FPERIOD_OVERRIDE=FY","FILING_STATUS=OR","EQY_CONSOLIDATED=Y","FA_ADJUSTED=GAAP","Sort=A","Dates=H","DateFormat=P","Fill=—","Direction=H","UseDPDF=Y")</f>
        <v>#NAME?</v>
      </c>
      <c r="CX93" s="2" t="e">
        <f ca="1">_xll.BDH($C$78,"ACCT_RCV_DAYS","FY 2017","FY 2017","Currency=INR","Period=FY","BEST_FPERIOD_OVERRIDE=FY","FILING_STATUS=OR","EQY_CONSOLIDATED=Y","FA_ADJUSTED=GAAP","Sort=A","Dates=H","DateFormat=P","Fill=—","Direction=H","UseDPDF=Y")</f>
        <v>#NAME?</v>
      </c>
      <c r="CY93" s="4" t="e">
        <f ca="1">_xll.BDH($C$78,"INVENT_TURN","FY 2017","FY 2017","Currency=INR","Period=FY","BEST_FPERIOD_OVERRIDE=FY","FILING_STATUS=OR","EQY_CONSOLIDATED=Y","FA_ADJUSTED=GAAP","Sort=A","Dates=H","DateFormat=P","Fill=—","Direction=H","UseDPDF=Y")</f>
        <v>#NAME?</v>
      </c>
      <c r="CZ93" s="2" t="e">
        <f ca="1">_xll.BDH($C$78,"INVENT_DAYS","FY 2017","FY 2017","Currency=INR","Period=FY","BEST_FPERIOD_OVERRIDE=FY","FILING_STATUS=OR","EQY_CONSOLIDATED=Y","FA_ADJUSTED=GAAP","Sort=A","Dates=H","DateFormat=P","Fill=—","Direction=H","UseDPDF=Y")</f>
        <v>#NAME?</v>
      </c>
      <c r="DA93" s="4" t="e">
        <f ca="1">_xll.BDH($C$78,"ACCOUNTS_PAYABLE_TURNOVER","FY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93" s="2" t="e">
        <f ca="1">_xll.BDH($C$78,"ACCOUNTS_PAYABLE_TURNOVER_DAYS","FY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93" s="4" t="e">
        <f ca="1">_xll.BDH($C$78,"CASH_CONVERSION_CYCLE","FY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93" s="4" t="e">
        <f ca="1">_xll.BDH($C$78,"INV_TO_CASH_DAYS","FY 2017","FY 2017","Currency=INR","Period=FY","BEST_FPERIOD_OVERRIDE=FY","FILING_STATUS=OR","EQY_CONSOLIDATED=Y","FA_ADJUSTED=GAAP","Sort=A","Dates=H","DateFormat=P","Fill=—","Direction=H","UseDPDF=Y")</f>
        <v>#NAME?</v>
      </c>
      <c r="DE93" s="5" t="e">
        <f ca="1">_xll.BDH($C$78,"BS_INVENTORIES","FY 2017","FY 2017","Currency=INR","Period=FY","BEST_FPERIOD_OVERRIDE=FY","FILING_STATUS=OR","EQY_CONSOLIDATED=Y","SCALING_FORMAT=MLN","Sort=A","Dates=H","DateFormat=P","Fill=—","Direction=H","UseDPDF=Y")</f>
        <v>#NAME?</v>
      </c>
      <c r="DF93" s="3" t="e">
        <f ca="1">_xll.BDH($C$78,"INVTRY_RAW_MATERIALS","FY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93" s="3" t="e">
        <f ca="1">_xll.BDH($C$78,"INVTRY_IN_PROGRESS","FY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93" s="3" t="e">
        <f ca="1">_xll.BDH($C$78,"INVTRY_FINISHED_GOODS","FY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93" s="3" t="e">
        <f ca="1">_xll.BDH($C$78,"BS_OTHER_INV","FY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94" spans="1:113" x14ac:dyDescent="0.3">
      <c r="A94" s="6"/>
      <c r="B94" s="6"/>
      <c r="C94" s="6"/>
      <c r="D94" s="6"/>
      <c r="E94" t="s">
        <v>78</v>
      </c>
      <c r="F94" t="e">
        <f ca="1">_xll.BDH($C$78,"RETURN_COM_EQY","FQ1 2017","FQ1 2017","Currency=INR","Period=FQ","BEST_FPERIOD_OVERRIDE=FQ","FILING_STATUS=OR","EQY_CONSOLIDATED=Y","FA_ADJUSTED=GAAP","Sort=A","Dates=H","DateFormat=P","Fill=—","Direction=H","UseDPDF=Y")</f>
        <v>#NAME?</v>
      </c>
      <c r="G94" t="e">
        <f ca="1">_xll.BDH($C$78,"RETURN_ON_ASSET","FQ1 2017","FQ1 2017","Currency=INR","Period=FQ","BEST_FPERIOD_OVERRIDE=FQ","FILING_STATUS=OR","EQY_CONSOLIDATED=Y","FA_ADJUSTED=GAAP","Sort=A","Dates=H","DateFormat=P","Fill=—","Direction=H","UseDPDF=Y")</f>
        <v>#NAME?</v>
      </c>
      <c r="H94" t="e">
        <f ca="1">_xll.BDH($C$78,"RETURN_ON_CAP","FQ1 2017","FQ1 2017","Currency=INR","Period=FQ","BEST_FPERIOD_OVERRIDE=FQ","FILING_STATUS=OR","EQY_CONSOLIDATED=Y","FA_ADJUSTED=GAAP","Sort=A","Dates=H","DateFormat=P","Fill=—","Direction=H","UseDPDF=Y")</f>
        <v>#NAME?</v>
      </c>
      <c r="I94" t="e">
        <f ca="1">_xll.BDH($C$78,"RETURN_ON_INV_CAPITAL","FQ1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94" t="e">
        <f ca="1">_xll.BDH($C$78,"EBITDA_TO_REVENUE","FQ1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94" t="e">
        <f ca="1">_xll.BDH($C$78,"OPER_MARGIN","FQ1 2017","FQ1 2017","Currency=INR","Period=FQ","BEST_FPERIOD_OVERRIDE=FQ","FILING_STATUS=OR","EQY_CONSOLIDATED=Y","FA_ADJUSTED=GAAP","Sort=A","Dates=H","DateFormat=P","Fill=—","Direction=H","UseDPDF=Y")</f>
        <v>#NAME?</v>
      </c>
      <c r="L94" t="e">
        <f ca="1">_xll.BDH($C$78,"INCREMENTAL_OPERATING_MARGIN","FQ1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94" t="e">
        <f ca="1">_xll.BDH($C$78,"PRETAX_INC_TO_NET_SALES","FQ1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94" t="e">
        <f ca="1">_xll.BDH($C$78,"INC_BEF_XO_ITEMS_TO_NET_SALES","FQ1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94" t="e">
        <f ca="1">_xll.BDH($C$78,"PROF_MARGIN","FQ1 2017","FQ1 2017","Currency=INR","Period=FQ","BEST_FPERIOD_OVERRIDE=FQ","FILING_STATUS=OR","EQY_CONSOLIDATED=Y","FA_ADJUSTED=GAAP","Sort=A","Dates=H","DateFormat=P","Fill=—","Direction=H","UseDPDF=Y")</f>
        <v>#NAME?</v>
      </c>
      <c r="P94" t="e">
        <f ca="1">_xll.BDH($C$78,"NET_INCOME_TO_COMMON_MARGIN","FQ1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94" t="e">
        <f ca="1">_xll.BDH($C$78,"EFF_TAX_RATE","FQ1 2017","FQ1 2017","Currency=INR","Period=FQ","BEST_FPERIOD_OVERRIDE=FQ","FILING_STATUS=OR","EQY_CONSOLIDATED=Y","FA_ADJUSTED=GAAP","Sort=A","Dates=H","DateFormat=P","Fill=—","Direction=H","UseDPDF=Y")</f>
        <v>#NAME?</v>
      </c>
      <c r="R94" t="e">
        <f ca="1">_xll.BDH($C$78,"DVD_PAYOUT_RATIO","FQ1 2017","FQ1 2017","Currency=INR","Period=FQ","BEST_FPERIOD_OVERRIDE=FQ","FILING_STATUS=OR","EQY_CONSOLIDATED=Y","FA_ADJUSTED=GAAP","Sort=A","Dates=H","DateFormat=P","Fill=—","Direction=H","UseDPDF=Y")</f>
        <v>#NAME?</v>
      </c>
      <c r="S94" t="e">
        <f ca="1">_xll.BDH($C$78,"SUSTAIN_GROWTH_RT","FQ1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94" s="2" t="e">
        <f ca="1">_xll.BDH($C$78,"SALES_GROWTH","FQ1 2017","FQ1 2017","Currency=INR","Period=FQ","BEST_FPERIOD_OVERRIDE=FQ","FILING_STATUS=OR","EQY_CONSOLIDATED=Y","FA_ADJUSTED=GAAP","Sort=A","Dates=H","DateFormat=P","Fill=—","Direction=H","UseDPDF=Y")</f>
        <v>#NAME?</v>
      </c>
      <c r="U94" s="2" t="e">
        <f ca="1">_xll.BDH($C$78,"EBITDA_GROWTH","FQ1 2017","FQ1 2017","Currency=INR","Period=FQ","BEST_FPERIOD_OVERRIDE=FQ","FILING_STATUS=OR","EQY_CONSOLIDATED=Y","FA_ADJUSTED=GAAP","Sort=A","Dates=H","DateFormat=P","Fill=—","Direction=H","UseDPDF=Y")</f>
        <v>#NAME?</v>
      </c>
      <c r="V94" s="2" t="e">
        <f ca="1">_xll.BDH($C$78,"OPER_INC_GROWTH","FQ1 2017","FQ1 2017","Currency=INR","Period=FQ","BEST_FPERIOD_OVERRIDE=FQ","FILING_STATUS=OR","EQY_CONSOLIDATED=Y","FA_ADJUSTED=GAAP","Sort=A","Dates=H","DateFormat=P","Fill=—","Direction=H","UseDPDF=Y")</f>
        <v>#NAME?</v>
      </c>
      <c r="W94" s="2" t="e">
        <f ca="1">_xll.BDH($C$78,"EARN_FOR_COM_GROWTH","FQ1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94" s="2" t="e">
        <f ca="1">_xll.BDH($C$78,"DILUTED_EPS_AFT_XO_ITEMS_GROWTH","FQ1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94" s="2" t="e">
        <f ca="1">_xll.BDH($C$78,"DIVIDEND_PER_SHARE_1_YEAR_GROWTH","FQ1 2017","FQ1 2017","Currency=INR","Period=FQ","BEST_FPERIOD_OVERRIDE=FQ","FILING_STATUS=OR","EQY_CONSOLIDATED=Y","Sort=A","Dates=H","DateFormat=P","Fill=—","Direction=H","UseDPDF=Y")</f>
        <v>#NAME?</v>
      </c>
      <c r="Z94" s="2" t="e">
        <f ca="1">_xll.BDH($C$78,"ACCOUNTS_RECEIVABLE_GROWTH","FQ1 2017","FQ1 2017","Currency=INR","Period=FQ","BEST_FPERIOD_OVERRIDE=FQ","FILING_STATUS=OR","EQY_CONSOLIDATED=Y","Sort=A","Dates=H","DateFormat=P","Fill=—","Direction=H","UseDPDF=Y")</f>
        <v>#NAME?</v>
      </c>
      <c r="AA94" s="2" t="e">
        <f ca="1">_xll.BDH($C$78,"INVENTORY_GROWTH","FQ1 2017","FQ1 2017","Currency=INR","Period=FQ","BEST_FPERIOD_OVERRIDE=FQ","FILING_STATUS=OR","EQY_CONSOLIDATED=Y","Sort=A","Dates=H","DateFormat=P","Fill=—","Direction=H","UseDPDF=Y")</f>
        <v>#NAME?</v>
      </c>
      <c r="AB94" s="2" t="e">
        <f ca="1">_xll.BDH($C$78,"NET_FIXED_ASSETS_1_YEAR_GROWTH","FQ1 2017","FQ1 2017","Currency=INR","Period=FQ","BEST_FPERIOD_OVERRIDE=FQ","FILING_STATUS=OR","EQY_CONSOLIDATED=Y","Sort=A","Dates=H","DateFormat=P","Fill=—","Direction=H","UseDPDF=Y")</f>
        <v>#NAME?</v>
      </c>
      <c r="AC94" s="2" t="e">
        <f ca="1">_xll.BDH($C$78,"ASSET_GROWTH","FQ1 2017","FQ1 2017","Currency=INR","Period=FQ","BEST_FPERIOD_OVERRIDE=FQ","FILING_STATUS=OR","EQY_CONSOLIDATED=Y","Sort=A","Dates=H","DateFormat=P","Fill=—","Direction=H","UseDPDF=Y")</f>
        <v>#NAME?</v>
      </c>
      <c r="AD94" s="2" t="e">
        <f ca="1">_xll.BDH($C$78,"MODIFIED_WORK_CAP_GROWTH","FQ1 2017","FQ1 2017","Currency=INR","Period=FQ","BEST_FPERIOD_OVERRIDE=FQ","FILING_STATUS=OR","EQY_CONSOLIDATED=Y","Sort=A","Dates=H","DateFormat=P","Fill=—","Direction=H","UseDPDF=Y")</f>
        <v>#NAME?</v>
      </c>
      <c r="AE94" s="2" t="e">
        <f ca="1">_xll.BDH($C$78,"WORK_CAP_GROWTH","FQ1 2017","FQ1 2017","Currency=INR","Period=FQ","BEST_FPERIOD_OVERRIDE=FQ","FILING_STATUS=OR","EQY_CONSOLIDATED=Y","Sort=A","Dates=H","DateFormat=P","Fill=—","Direction=H","UseDPDF=Y")</f>
        <v>#NAME?</v>
      </c>
      <c r="AF94" s="2" t="e">
        <f ca="1">_xll.BDH($C$78,"ACCOUNTS_PAYABLE_GROWTH_1YR","FQ1 2017","FQ1 2017","Currency=INR","Period=FQ","BEST_FPERIOD_OVERRIDE=FQ","FILING_STATUS=OR","EQY_CONSOLIDATED=Y","Sort=A","Dates=H","DateFormat=P","Fill=—","Direction=H","UseDPDF=Y")</f>
        <v>#NAME?</v>
      </c>
      <c r="AG94" s="2" t="e">
        <f ca="1">_xll.BDH($C$78,"SHORT_TERM_DEBT_1_YEAR_GROWTH","FQ1 2017","FQ1 2017","Currency=INR","Period=FQ","BEST_FPERIOD_OVERRIDE=FQ","FILING_STATUS=OR","EQY_CONSOLIDATED=Y","Sort=A","Dates=H","DateFormat=P","Fill=—","Direction=H","UseDPDF=Y")</f>
        <v>#NAME?</v>
      </c>
      <c r="AH94" s="2" t="e">
        <f ca="1">_xll.BDH($C$78,"TOTAL_DEBT_1_YEAR_GROWTH","FQ1 2017","FQ1 2017","Currency=INR","Period=FQ","BEST_FPERIOD_OVERRIDE=FQ","FILING_STATUS=OR","EQY_CONSOLIDATED=Y","Sort=A","Dates=H","DateFormat=P","Fill=—","Direction=H","UseDPDF=Y")</f>
        <v>#NAME?</v>
      </c>
      <c r="AI94" s="2" t="e">
        <f ca="1">_xll.BDH($C$78,"TOTAL_EQUITY_1_YEAR_GROWTH","FQ1 2017","FQ1 2017","Currency=INR","Period=FQ","BEST_FPERIOD_OVERRIDE=FQ","FILING_STATUS=OR","EQY_CONSOLIDATED=Y","Sort=A","Dates=H","DateFormat=P","Fill=—","Direction=H","UseDPDF=Y")</f>
        <v>#NAME?</v>
      </c>
      <c r="AJ94" s="2" t="e">
        <f ca="1">_xll.BDH($C$78,"GROWTH_IN_CAP","FQ1 2017","FQ1 2017","Currency=INR","Period=FQ","BEST_FPERIOD_OVERRIDE=FQ","FILING_STATUS=OR","EQY_CONSOLIDATED=Y","Sort=A","Dates=H","DateFormat=P","Fill=—","Direction=H","UseDPDF=Y")</f>
        <v>#NAME?</v>
      </c>
      <c r="AK94" s="2" t="e">
        <f ca="1">_xll.BDH($C$78,"BVPS_GROWTH","FQ1 2017","FQ1 2017","Currency=INR","Period=FQ","BEST_FPERIOD_OVERRIDE=FQ","FILING_STATUS=OR","EQY_CONSOLIDATED=Y","Sort=A","Dates=H","DateFormat=P","Fill=—","Direction=H","UseDPDF=Y")</f>
        <v>#NAME?</v>
      </c>
      <c r="AL94" s="2" t="e">
        <f ca="1">_xll.BDH($C$78,"CASH_FLOW_GROWTH","FQ1 2017","FQ1 2017","Currency=INR","Period=FQ","BEST_FPERIOD_OVERRIDE=FQ","FILING_STATUS=OR","EQY_CONSOLIDATED=Y","Sort=A","Dates=H","DateFormat=P","Fill=—","Direction=H","UseDPDF=Y")</f>
        <v>#NAME?</v>
      </c>
      <c r="AM94" s="2" t="e">
        <f ca="1">_xll.BDH($C$78,"GEO_GROW_NET_SALES","FQ1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94" s="2" t="e">
        <f ca="1">_xll.BDH($C$78,"GEO_GROW_EBITDA","FQ1 2017","FQ1 2017","Currency=INR","Period=FQ","BEST_FPERIOD_OVERRIDE=FQ","FILING_STATUS=OR","EQY_CONSOLIDATED=Y","FA_ADJUSTED=GAAP","Sort=A","Dates=H","DateFormat=P","Fill=—","Direction=H","UseDPDF=Y")</f>
        <v>#NAME?</v>
      </c>
      <c r="AO94" s="2" t="e">
        <f ca="1">_xll.BDH($C$78,"GEO_GROW_OPER_INC","FQ1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94" s="2" t="e">
        <f ca="1">_xll.BDH($C$78,"NET_INCOME_TO_COMMON_5_YR_GROWTH","FQ1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94" s="2" t="e">
        <f ca="1">_xll.BDH($C$78,"5Y_GEO_GROWTH_DILUTED_EPS","FQ1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94" s="2" t="e">
        <f ca="1">_xll.BDH($C$78,"GEO_GROW_DVD_PER_SH","FQ1 2017","FQ1 2017","Currency=INR","Period=FQ","BEST_FPERIOD_OVERRIDE=FQ","FILING_STATUS=OR","EQY_CONSOLIDATED=Y","Sort=A","Dates=H","DateFormat=P","Fill=—","Direction=H","UseDPDF=Y")</f>
        <v>#NAME?</v>
      </c>
      <c r="AS94" s="2" t="e">
        <f ca="1">_xll.BDH($C$78,"ACCOUNTS_RECEIVABLE_5_YR_GROWTH","FQ1 2017","FQ1 2017","Currency=INR","Period=FQ","BEST_FPERIOD_OVERRIDE=FQ","FILING_STATUS=OR","EQY_CONSOLIDATED=Y","Sort=A","Dates=H","DateFormat=P","Fill=—","Direction=H","UseDPDF=Y")</f>
        <v>#NAME?</v>
      </c>
      <c r="AT94" s="2" t="e">
        <f ca="1">_xll.BDH($C$78,"INVENTORY_5_YEAR_GROWTH","FQ1 2017","FQ1 2017","Currency=INR","Period=FQ","BEST_FPERIOD_OVERRIDE=FQ","FILING_STATUS=OR","EQY_CONSOLIDATED=Y","Sort=A","Dates=H","DateFormat=P","Fill=—","Direction=H","UseDPDF=Y")</f>
        <v>#NAME?</v>
      </c>
      <c r="AU94" s="2" t="e">
        <f ca="1">_xll.BDH($C$78,"NET_FIXED_ASSETS_5_YEAR_GROWTH","FQ1 2017","FQ1 2017","Currency=INR","Period=FQ","BEST_FPERIOD_OVERRIDE=FQ","FILING_STATUS=OR","EQY_CONSOLIDATED=Y","Sort=A","Dates=H","DateFormat=P","Fill=—","Direction=H","UseDPDF=Y")</f>
        <v>#NAME?</v>
      </c>
      <c r="AV94" s="2" t="e">
        <f ca="1">_xll.BDH($C$78,"GEO_GROW_TOT_ASSET","FQ1 2017","FQ1 2017","Currency=INR","Period=FQ","BEST_FPERIOD_OVERRIDE=FQ","FILING_STATUS=OR","EQY_CONSOLIDATED=Y","Sort=A","Dates=H","DateFormat=P","Fill=—","Direction=H","UseDPDF=Y")</f>
        <v>#NAME?</v>
      </c>
      <c r="AW94" s="2" t="e">
        <f ca="1">_xll.BDH($C$78,"MODIFIED_WORKING_CPTL_5YR_GRWTH","FQ1 2017","FQ1 2017","Currency=INR","Period=FQ","BEST_FPERIOD_OVERRIDE=FQ","FILING_STATUS=OR","EQY_CONSOLIDATED=Y","Sort=A","Dates=H","DateFormat=P","Fill=—","Direction=H","UseDPDF=Y")</f>
        <v>#NAME?</v>
      </c>
      <c r="AX94" s="2" t="e">
        <f ca="1">_xll.BDH($C$78,"WORKING_CAPITAL_5_YEAR_GROWTH","FQ1 2017","FQ1 2017","Currency=INR","Period=FQ","BEST_FPERIOD_OVERRIDE=FQ","FILING_STATUS=OR","EQY_CONSOLIDATED=Y","Sort=A","Dates=H","DateFormat=P","Fill=—","Direction=H","UseDPDF=Y")</f>
        <v>#NAME?</v>
      </c>
      <c r="AY94" s="2" t="e">
        <f ca="1">_xll.BDH($C$78,"ACCOUNTS_PAYABLE_5_YEAR_GROWTH","FQ1 2017","FQ1 2017","Currency=INR","Period=FQ","BEST_FPERIOD_OVERRIDE=FQ","FILING_STATUS=OR","EQY_CONSOLIDATED=Y","Sort=A","Dates=H","DateFormat=P","Fill=—","Direction=H","UseDPDF=Y")</f>
        <v>#NAME?</v>
      </c>
      <c r="AZ94" s="2" t="e">
        <f ca="1">_xll.BDH($C$78,"SHORT_TERM_DEBT_5_YEAR_GROWTH","FQ1 2017","FQ1 2017","Currency=INR","Period=FQ","BEST_FPERIOD_OVERRIDE=FQ","FILING_STATUS=OR","EQY_CONSOLIDATED=Y","Sort=A","Dates=H","DateFormat=P","Fill=—","Direction=H","UseDPDF=Y")</f>
        <v>#NAME?</v>
      </c>
      <c r="BA94" s="2" t="e">
        <f ca="1">_xll.BDH($C$78,"TOTAL_DEBT_5_YEAR_GROWTH","FQ1 2017","FQ1 2017","Currency=INR","Period=FQ","BEST_FPERIOD_OVERRIDE=FQ","FILING_STATUS=OR","EQY_CONSOLIDATED=Y","Sort=A","Dates=H","DateFormat=P","Fill=—","Direction=H","UseDPDF=Y")</f>
        <v>#NAME?</v>
      </c>
      <c r="BB94" s="2" t="e">
        <f ca="1">_xll.BDH($C$78,"GEO_GROW_TOT_SHRHLDR_EQY","FQ1 2017","FQ1 2017","Currency=INR","Period=FQ","BEST_FPERIOD_OVERRIDE=FQ","FILING_STATUS=OR","EQY_CONSOLIDATED=Y","Sort=A","Dates=H","DateFormat=P","Fill=—","Direction=H","UseDPDF=Y")</f>
        <v>#NAME?</v>
      </c>
      <c r="BC94" s="2" t="e">
        <f ca="1">_xll.BDH($C$78,"TOTAL_CAPITAL_5_YEAR_GROWTH","FQ1 2017","FQ1 2017","Currency=INR","Period=FQ","BEST_FPERIOD_OVERRIDE=FQ","FILING_STATUS=OR","EQY_CONSOLIDATED=Y","Sort=A","Dates=H","DateFormat=P","Fill=—","Direction=H","UseDPDF=Y")</f>
        <v>#NAME?</v>
      </c>
      <c r="BD94" s="2" t="e">
        <f ca="1">_xll.BDH($C$78,"GEO_GROW_BOOK_VAL","FQ1 2017","FQ1 2017","Currency=INR","Period=FQ","BEST_FPERIOD_OVERRIDE=FQ","FILING_STATUS=OR","EQY_CONSOLIDATED=Y","Sort=A","Dates=H","DateFormat=P","Fill=—","Direction=H","UseDPDF=Y")</f>
        <v>#NAME?</v>
      </c>
      <c r="BE94" s="2" t="e">
        <f ca="1">_xll.BDH($C$78,"GEO_GROW_CASH_OPER_ACT","FQ1 2017","FQ1 2017","Currency=INR","Period=FQ","BEST_FPERIOD_OVERRIDE=FQ","FILING_STATUS=OR","EQY_CONSOLIDATED=Y","Sort=A","Dates=H","DateFormat=P","Fill=—","Direction=H","UseDPDF=Y")</f>
        <v>#NAME?</v>
      </c>
      <c r="BF94" s="2" t="e">
        <f ca="1">_xll.BDH($C$78,"REVENUE_SEQUENTIAL_GROWTH","FQ1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94" s="2" t="e">
        <f ca="1">_xll.BDH($C$78,"EBITDA_SEQUENTIAL_GROWTH","FQ1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94" s="2" t="e">
        <f ca="1">_xll.BDH($C$78,"OPERATING_INCOME_SEQ_GROWTH","FQ1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94" s="2" t="e">
        <f ca="1">_xll.BDH($C$78,"NET_INCOME_TO_COMMON_SEQ_GROWTH","FQ1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94" s="2" t="e">
        <f ca="1">_xll.BDH($C$78,"EPS_DILUTED_SEQUENTIAL_GROWTH","FQ1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94" s="2" t="e">
        <f ca="1">_xll.BDH($C$78,"DPS_SEQUENTIAL_GROWTH","FQ1 2017","FQ1 2017","Currency=INR","Period=FQ","BEST_FPERIOD_OVERRIDE=FQ","FILING_STATUS=OR","EQY_CONSOLIDATED=Y","Sort=A","Dates=H","DateFormat=P","Fill=—","Direction=H","UseDPDF=Y")</f>
        <v>#NAME?</v>
      </c>
      <c r="BL94" s="2" t="e">
        <f ca="1">_xll.BDH($C$78,"ACCOUNTS_RECEIVABLE_SEQ_GROWTH","FQ1 2017","FQ1 2017","Currency=INR","Period=FQ","BEST_FPERIOD_OVERRIDE=FQ","FILING_STATUS=OR","EQY_CONSOLIDATED=Y","Sort=A","Dates=H","DateFormat=P","Fill=—","Direction=H","UseDPDF=Y")</f>
        <v>#NAME?</v>
      </c>
      <c r="BM94" s="2" t="e">
        <f ca="1">_xll.BDH($C$78,"INVENTORY_SEQUENTIAL_GROWTH","FQ1 2017","FQ1 2017","Currency=INR","Period=FQ","BEST_FPERIOD_OVERRIDE=FQ","FILING_STATUS=OR","EQY_CONSOLIDATED=Y","Sort=A","Dates=H","DateFormat=P","Fill=—","Direction=H","UseDPDF=Y")</f>
        <v>#NAME?</v>
      </c>
      <c r="BN94" s="2" t="e">
        <f ca="1">_xll.BDH($C$78,"FIXED_ASSETS_SEQUENTIAL_GROWTH","FQ1 2017","FQ1 2017","Currency=INR","Period=FQ","BEST_FPERIOD_OVERRIDE=FQ","FILING_STATUS=OR","EQY_CONSOLIDATED=Y","Sort=A","Dates=H","DateFormat=P","Fill=—","Direction=H","UseDPDF=Y")</f>
        <v>#NAME?</v>
      </c>
      <c r="BO94" s="2" t="e">
        <f ca="1">_xll.BDH($C$78,"TOTAL_ASSETS_SEQUENTIAL_GROWTH","FQ1 2017","FQ1 2017","Currency=INR","Period=FQ","BEST_FPERIOD_OVERRIDE=FQ","FILING_STATUS=OR","EQY_CONSOLIDATED=Y","Sort=A","Dates=H","DateFormat=P","Fill=—","Direction=H","UseDPDF=Y")</f>
        <v>#NAME?</v>
      </c>
      <c r="BP94" s="2" t="e">
        <f ca="1">_xll.BDH($C$78,"MODIFIED_WORKING_CPTL_SEQ_GRWTH","FQ1 2017","FQ1 2017","Currency=INR","Period=FQ","BEST_FPERIOD_OVERRIDE=FQ","FILING_STATUS=OR","EQY_CONSOLIDATED=Y","Sort=A","Dates=H","DateFormat=P","Fill=—","Direction=H","UseDPDF=Y")</f>
        <v>#NAME?</v>
      </c>
      <c r="BQ94" s="2" t="e">
        <f ca="1">_xll.BDH($C$78,"WORKING_CAPITAL_SEQ_GROWTH","FQ1 2017","FQ1 2017","Currency=INR","Period=FQ","BEST_FPERIOD_OVERRIDE=FQ","FILING_STATUS=OR","EQY_CONSOLIDATED=Y","Sort=A","Dates=H","DateFormat=P","Fill=—","Direction=H","UseDPDF=Y")</f>
        <v>#NAME?</v>
      </c>
      <c r="BR94" s="2" t="e">
        <f ca="1">_xll.BDH($C$78,"ACCOUNTS_PAYABLE_SEQ_GROWTH","FQ1 2017","FQ1 2017","Currency=INR","Period=FQ","BEST_FPERIOD_OVERRIDE=FQ","FILING_STATUS=OR","EQY_CONSOLIDATED=Y","Sort=A","Dates=H","DateFormat=P","Fill=—","Direction=H","UseDPDF=Y")</f>
        <v>#NAME?</v>
      </c>
      <c r="BS94" s="2" t="e">
        <f ca="1">_xll.BDH($C$78,"ST_DEBT_SEQUENTIAL_GROWTH","FQ1 2017","FQ1 2017","Currency=INR","Period=FQ","BEST_FPERIOD_OVERRIDE=FQ","FILING_STATUS=OR","EQY_CONSOLIDATED=Y","Sort=A","Dates=H","DateFormat=P","Fill=—","Direction=H","UseDPDF=Y")</f>
        <v>#NAME?</v>
      </c>
      <c r="BT94" s="2" t="e">
        <f ca="1">_xll.BDH($C$78,"TOTAL_DEBT_SEQUENTIAL_GROWTH","FQ1 2017","FQ1 2017","Currency=INR","Period=FQ","BEST_FPERIOD_OVERRIDE=FQ","FILING_STATUS=OR","EQY_CONSOLIDATED=Y","Sort=A","Dates=H","DateFormat=P","Fill=—","Direction=H","UseDPDF=Y")</f>
        <v>#NAME?</v>
      </c>
      <c r="BU94" s="2" t="e">
        <f ca="1">_xll.BDH($C$78,"TOTAL_EQUITY_SEQUENTIAL_GROWTH","FQ1 2017","FQ1 2017","Currency=INR","Period=FQ","BEST_FPERIOD_OVERRIDE=FQ","FILING_STATUS=OR","EQY_CONSOLIDATED=Y","Sort=A","Dates=H","DateFormat=P","Fill=—","Direction=H","UseDPDF=Y")</f>
        <v>#NAME?</v>
      </c>
      <c r="BV94" s="2" t="e">
        <f ca="1">_xll.BDH($C$78,"TOTAL_CAPITAL_SEQUENTIAL_GROWTH","FQ1 2017","FQ1 2017","Currency=INR","Period=FQ","BEST_FPERIOD_OVERRIDE=FQ","FILING_STATUS=OR","EQY_CONSOLIDATED=Y","Sort=A","Dates=H","DateFormat=P","Fill=—","Direction=H","UseDPDF=Y")</f>
        <v>#NAME?</v>
      </c>
      <c r="BW94" s="2" t="e">
        <f ca="1">_xll.BDH($C$78,"BPS_SEQUENTIAL_GROWTH","FQ1 2017","FQ1 2017","Currency=INR","Period=FQ","BEST_FPERIOD_OVERRIDE=FQ","FILING_STATUS=OR","EQY_CONSOLIDATED=Y","Sort=A","Dates=H","DateFormat=P","Fill=—","Direction=H","UseDPDF=Y")</f>
        <v>#NAME?</v>
      </c>
      <c r="BX94" s="2" t="e">
        <f ca="1">_xll.BDH($C$78,"CFO_SEQUENTIAL_GROWTH","FQ1 2017","FQ1 2017","Currency=INR","Period=FQ","BEST_FPERIOD_OVERRIDE=FQ","FILING_STATUS=OR","EQY_CONSOLIDATED=Y","Sort=A","Dates=H","DateFormat=P","Fill=—","Direction=H","UseDPDF=Y")</f>
        <v>#NAME?</v>
      </c>
      <c r="BY94" s="3" t="e">
        <f ca="1">_xll.BDH($C$78,"SHORT_AND_LONG_TERM_DEBT","FQ1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94" s="3" t="e">
        <f ca="1">_xll.BDH($C$78,"BS_ST_BORROW","FQ1 2017","FQ1 2017","Currency=INR","Period=FQ","BEST_FPERIOD_OVERRIDE=FQ","FILING_STATUS=OR","EQY_CONSOLIDATED=Y","SCALING_FORMAT=MLN","Sort=A","Dates=H","DateFormat=P","Fill=—","Direction=H","UseDPDF=Y")</f>
        <v>#NAME?</v>
      </c>
      <c r="CA94" s="3" t="e">
        <f ca="1">_xll.BDH($C$78,"BS_LT_BORROW","FQ1 2017","FQ1 2017","Currency=INR","Period=FQ","BEST_FPERIOD_OVERRIDE=FQ","FILING_STATUS=OR","EQY_CONSOLIDATED=Y","SCALING_FORMAT=MLN","Sort=A","Dates=H","DateFormat=P","Fill=—","Direction=H","UseDPDF=Y")</f>
        <v>#NAME?</v>
      </c>
      <c r="CB94" s="2" t="e">
        <f ca="1">_xll.BDH($C$78,"TOT_DEBT_TO_EBITDA","FQ1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94" s="2" t="e">
        <f ca="1">_xll.BDH($C$78,"NET_DEBT_TO_EBITDA","FQ1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94" s="2" t="e">
        <f ca="1">_xll.BDH($C$78,"TOTAL_DEBT_TO_EBIT","FQ1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94" s="2" t="e">
        <f ca="1">_xll.BDH($C$78,"NET_DEBT_TO_EBIT","FQ1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94" s="2" t="e">
        <f ca="1">_xll.BDH($C$78,"EBITDA_TO_INTEREST_EXPN","FQ1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94" s="2" t="e">
        <f ca="1">_xll.BDH($C$78,"COM_EQY_TO_TOT_ASSET","FQ1 2017","FQ1 2017","Currency=INR","Period=FQ","BEST_FPERIOD_OVERRIDE=FQ","FILING_STATUS=OR","EQY_CONSOLIDATED=Y","Sort=A","Dates=H","DateFormat=P","Fill=—","Direction=H","UseDPDF=Y")</f>
        <v>#NAME?</v>
      </c>
      <c r="CH94" s="2" t="e">
        <f ca="1">_xll.BDH($C$78,"LT_DEBT_TO_TOT_EQY","FQ1 2017","FQ1 2017","Currency=INR","Period=FQ","BEST_FPERIOD_OVERRIDE=FQ","FILING_STATUS=OR","EQY_CONSOLIDATED=Y","Sort=A","Dates=H","DateFormat=P","Fill=—","Direction=H","UseDPDF=Y")</f>
        <v>#NAME?</v>
      </c>
      <c r="CI94" s="2" t="e">
        <f ca="1">_xll.BDH($C$78,"LT_DEBT_TO_TOT_CAP","FQ1 2017","FQ1 2017","Currency=INR","Period=FQ","BEST_FPERIOD_OVERRIDE=FQ","FILING_STATUS=OR","EQY_CONSOLIDATED=Y","Sort=A","Dates=H","DateFormat=P","Fill=—","Direction=H","UseDPDF=Y")</f>
        <v>#NAME?</v>
      </c>
      <c r="CJ94" s="2" t="e">
        <f ca="1">_xll.BDH($C$78,"LT_DEBT_TO_TOT_ASSET","FQ1 2017","FQ1 2017","Currency=INR","Period=FQ","BEST_FPERIOD_OVERRIDE=FQ","FILING_STATUS=OR","EQY_CONSOLIDATED=Y","Sort=A","Dates=H","DateFormat=P","Fill=—","Direction=H","UseDPDF=Y")</f>
        <v>#NAME?</v>
      </c>
      <c r="CK94" s="2" t="e">
        <f ca="1">_xll.BDH($C$78,"TOT_DEBT_TO_TOT_EQY","FQ1 2017","FQ1 2017","Currency=INR","Period=FQ","BEST_FPERIOD_OVERRIDE=FQ","FILING_STATUS=OR","EQY_CONSOLIDATED=Y","Sort=A","Dates=H","DateFormat=P","Fill=—","Direction=H","UseDPDF=Y")</f>
        <v>#NAME?</v>
      </c>
      <c r="CL94" s="2" t="e">
        <f ca="1">_xll.BDH($C$78,"TOT_DEBT_TO_TOT_CAP","FQ1 2017","FQ1 2017","Currency=INR","Period=FQ","BEST_FPERIOD_OVERRIDE=FQ","FILING_STATUS=OR","EQY_CONSOLIDATED=Y","Sort=A","Dates=H","DateFormat=P","Fill=—","Direction=H","UseDPDF=Y")</f>
        <v>#NAME?</v>
      </c>
      <c r="CM94" s="2" t="e">
        <f ca="1">_xll.BDH($C$78,"TOT_DEBT_TO_TOT_ASSET","FQ1 2017","FQ1 2017","Currency=INR","Period=FQ","BEST_FPERIOD_OVERRIDE=FQ","FILING_STATUS=OR","EQY_CONSOLIDATED=Y","Sort=A","Dates=H","DateFormat=P","Fill=—","Direction=H","UseDPDF=Y")</f>
        <v>#NAME?</v>
      </c>
      <c r="CN94" s="2" t="e">
        <f ca="1">_xll.BDH($C$78,"NET_DEBT_TO_SHRHLDR_EQTY","FQ1 2017","FQ1 2017","Currency=INR","Period=FQ","BEST_FPERIOD_OVERRIDE=FQ","FILING_STATUS=OR","EQY_CONSOLIDATED=Y","Sort=A","Dates=H","DateFormat=P","Fill=—","Direction=H","UseDPDF=Y")</f>
        <v>#NAME?</v>
      </c>
      <c r="CO94" s="2" t="e">
        <f ca="1">_xll.BDH($C$78,"NET_DEBT_%_CAPITAL","FQ1 2017","FQ1 2017","Currency=INR","Period=FQ","BEST_FPERIOD_OVERRIDE=FQ","FILING_STATUS=OR","EQY_CONSOLIDATED=Y","Sort=A","Dates=H","DateFormat=P","Fill=—","Direction=H","UseDPDF=Y")</f>
        <v>#NAME?</v>
      </c>
      <c r="CP94" s="3" t="e">
        <f ca="1">_xll.BDH($C$78,"EBITDA","FQ1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94" s="3" t="e">
        <f ca="1">_xll.BDH($C$78,"EBITDA_AFTER_CAPEX","FQ1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94" s="3" t="e">
        <f ca="1">_xll.BDH($C$78,"IS_OPER_INC","FQ1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94" s="2" t="e">
        <f ca="1">_xll.BDH($C$78,"CASH_RATIO","FQ1 2017","FQ1 2017","Currency=INR","Period=FQ","BEST_FPERIOD_OVERRIDE=FQ","FILING_STATUS=OR","EQY_CONSOLIDATED=Y","Sort=A","Dates=H","DateFormat=P","Fill=—","Direction=H","UseDPDF=Y")</f>
        <v>#NAME?</v>
      </c>
      <c r="CT94" s="2" t="e">
        <f ca="1">_xll.BDH($C$78,"CUR_RATIO","FQ1 2017","FQ1 2017","Currency=INR","Period=FQ","BEST_FPERIOD_OVERRIDE=FQ","FILING_STATUS=OR","EQY_CONSOLIDATED=Y","Sort=A","Dates=H","DateFormat=P","Fill=—","Direction=H","UseDPDF=Y")</f>
        <v>#NAME?</v>
      </c>
      <c r="CU94" s="2" t="e">
        <f ca="1">_xll.BDH($C$78,"QUICK_RATIO","FQ1 2017","FQ1 2017","Currency=INR","Period=FQ","BEST_FPERIOD_OVERRIDE=FQ","FILING_STATUS=OR","EQY_CONSOLIDATED=Y","Sort=A","Dates=H","DateFormat=P","Fill=—","Direction=H","UseDPDF=Y")</f>
        <v>#NAME?</v>
      </c>
      <c r="CV94" s="2" t="e">
        <f ca="1">_xll.BDH($C$78,"ALTMAN_Z_SCORE","FQ1 2017","FQ1 2017","Currency=INR","Period=FQ","BEST_FPERIOD_OVERRIDE=FQ","FILING_STATUS=OR","EQY_CONSOLIDATED=Y","Sort=A","Dates=H","DateFormat=P","Fill=—","Direction=H","UseDPDF=Y")</f>
        <v>#NAME?</v>
      </c>
      <c r="CW94" s="4" t="e">
        <f ca="1">_xll.BDH($C$78,"ACCT_RCV_TURN","FQ1 2017","FQ1 2017","Currency=INR","Period=FQ","BEST_FPERIOD_OVERRIDE=FQ","FILING_STATUS=OR","EQY_CONSOLIDATED=Y","FA_ADJUSTED=GAAP","Sort=A","Dates=H","DateFormat=P","Fill=—","Direction=H","UseDPDF=Y")</f>
        <v>#NAME?</v>
      </c>
      <c r="CX94" s="2" t="e">
        <f ca="1">_xll.BDH($C$78,"ACCT_RCV_DAYS","FQ1 2017","FQ1 2017","Currency=INR","Period=FQ","BEST_FPERIOD_OVERRIDE=FQ","FILING_STATUS=OR","EQY_CONSOLIDATED=Y","FA_ADJUSTED=GAAP","Sort=A","Dates=H","DateFormat=P","Fill=—","Direction=H","UseDPDF=Y")</f>
        <v>#NAME?</v>
      </c>
      <c r="CY94" s="4" t="e">
        <f ca="1">_xll.BDH($C$78,"INVENT_TURN","FQ1 2017","FQ1 2017","Currency=INR","Period=FQ","BEST_FPERIOD_OVERRIDE=FQ","FILING_STATUS=OR","EQY_CONSOLIDATED=Y","FA_ADJUSTED=GAAP","Sort=A","Dates=H","DateFormat=P","Fill=—","Direction=H","UseDPDF=Y")</f>
        <v>#NAME?</v>
      </c>
      <c r="CZ94" s="2" t="e">
        <f ca="1">_xll.BDH($C$78,"INVENT_DAYS","FQ1 2017","FQ1 2017","Currency=INR","Period=FQ","BEST_FPERIOD_OVERRIDE=FQ","FILING_STATUS=OR","EQY_CONSOLIDATED=Y","FA_ADJUSTED=GAAP","Sort=A","Dates=H","DateFormat=P","Fill=—","Direction=H","UseDPDF=Y")</f>
        <v>#NAME?</v>
      </c>
      <c r="DA94" s="4" t="e">
        <f ca="1">_xll.BDH($C$78,"ACCOUNTS_PAYABLE_TURNOVER","FQ1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94" s="2" t="e">
        <f ca="1">_xll.BDH($C$78,"ACCOUNTS_PAYABLE_TURNOVER_DAYS","FQ1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94" s="4" t="e">
        <f ca="1">_xll.BDH($C$78,"CASH_CONVERSION_CYCLE","FQ1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94" s="4" t="e">
        <f ca="1">_xll.BDH($C$78,"INV_TO_CASH_DAYS","FQ1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94" s="5" t="e">
        <f ca="1">_xll.BDH($C$78,"BS_INVENTORIES","FQ1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94" s="3" t="e">
        <f ca="1">_xll.BDH($C$78,"INVTRY_RAW_MATERIALS","FQ1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94" s="3" t="e">
        <f ca="1">_xll.BDH($C$78,"INVTRY_IN_PROGRESS","FQ1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94" s="3" t="e">
        <f ca="1">_xll.BDH($C$78,"INVTRY_FINISHED_GOODS","FQ1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94" s="3" t="e">
        <f ca="1">_xll.BDH($C$78,"BS_OTHER_INV","FQ1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95" spans="1:113" x14ac:dyDescent="0.3">
      <c r="A95" s="6"/>
      <c r="B95" s="6"/>
      <c r="C95" s="6"/>
      <c r="D95" s="6"/>
      <c r="E95" t="s">
        <v>79</v>
      </c>
      <c r="F95" t="e">
        <f ca="1">_xll.BDH($C$78,"RETURN_COM_EQY","FQ2 2017","FQ2 2017","Currency=INR","Period=FQ","BEST_FPERIOD_OVERRIDE=FQ","FILING_STATUS=OR","EQY_CONSOLIDATED=Y","FA_ADJUSTED=GAAP","Sort=A","Dates=H","DateFormat=P","Fill=—","Direction=H","UseDPDF=Y")</f>
        <v>#NAME?</v>
      </c>
      <c r="G95" t="e">
        <f ca="1">_xll.BDH($C$78,"RETURN_ON_ASSET","FQ2 2017","FQ2 2017","Currency=INR","Period=FQ","BEST_FPERIOD_OVERRIDE=FQ","FILING_STATUS=OR","EQY_CONSOLIDATED=Y","FA_ADJUSTED=GAAP","Sort=A","Dates=H","DateFormat=P","Fill=—","Direction=H","UseDPDF=Y")</f>
        <v>#NAME?</v>
      </c>
      <c r="H95" t="e">
        <f ca="1">_xll.BDH($C$78,"RETURN_ON_CAP","FQ2 2017","FQ2 2017","Currency=INR","Period=FQ","BEST_FPERIOD_OVERRIDE=FQ","FILING_STATUS=OR","EQY_CONSOLIDATED=Y","FA_ADJUSTED=GAAP","Sort=A","Dates=H","DateFormat=P","Fill=—","Direction=H","UseDPDF=Y")</f>
        <v>#NAME?</v>
      </c>
      <c r="I95" t="e">
        <f ca="1">_xll.BDH($C$78,"RETURN_ON_INV_CAPITAL","FQ2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95" t="e">
        <f ca="1">_xll.BDH($C$78,"EBITDA_TO_REVENUE","FQ2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95" t="e">
        <f ca="1">_xll.BDH($C$78,"OPER_MARGIN","FQ2 2017","FQ2 2017","Currency=INR","Period=FQ","BEST_FPERIOD_OVERRIDE=FQ","FILING_STATUS=OR","EQY_CONSOLIDATED=Y","FA_ADJUSTED=GAAP","Sort=A","Dates=H","DateFormat=P","Fill=—","Direction=H","UseDPDF=Y")</f>
        <v>#NAME?</v>
      </c>
      <c r="L95" t="e">
        <f ca="1">_xll.BDH($C$78,"INCREMENTAL_OPERATING_MARGIN","FQ2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95" t="e">
        <f ca="1">_xll.BDH($C$78,"PRETAX_INC_TO_NET_SALES","FQ2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95" t="e">
        <f ca="1">_xll.BDH($C$78,"INC_BEF_XO_ITEMS_TO_NET_SALES","FQ2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95" t="e">
        <f ca="1">_xll.BDH($C$78,"PROF_MARGIN","FQ2 2017","FQ2 2017","Currency=INR","Period=FQ","BEST_FPERIOD_OVERRIDE=FQ","FILING_STATUS=OR","EQY_CONSOLIDATED=Y","FA_ADJUSTED=GAAP","Sort=A","Dates=H","DateFormat=P","Fill=—","Direction=H","UseDPDF=Y")</f>
        <v>#NAME?</v>
      </c>
      <c r="P95" t="e">
        <f ca="1">_xll.BDH($C$78,"NET_INCOME_TO_COMMON_MARGIN","FQ2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95" t="e">
        <f ca="1">_xll.BDH($C$78,"EFF_TAX_RATE","FQ2 2017","FQ2 2017","Currency=INR","Period=FQ","BEST_FPERIOD_OVERRIDE=FQ","FILING_STATUS=OR","EQY_CONSOLIDATED=Y","FA_ADJUSTED=GAAP","Sort=A","Dates=H","DateFormat=P","Fill=—","Direction=H","UseDPDF=Y")</f>
        <v>#NAME?</v>
      </c>
      <c r="R95" t="e">
        <f ca="1">_xll.BDH($C$78,"DVD_PAYOUT_RATIO","FQ2 2017","FQ2 2017","Currency=INR","Period=FQ","BEST_FPERIOD_OVERRIDE=FQ","FILING_STATUS=OR","EQY_CONSOLIDATED=Y","FA_ADJUSTED=GAAP","Sort=A","Dates=H","DateFormat=P","Fill=—","Direction=H","UseDPDF=Y")</f>
        <v>#NAME?</v>
      </c>
      <c r="S95" t="e">
        <f ca="1">_xll.BDH($C$78,"SUSTAIN_GROWTH_RT","FQ2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95" s="2" t="e">
        <f ca="1">_xll.BDH($C$78,"SALES_GROWTH","FQ2 2017","FQ2 2017","Currency=INR","Period=FQ","BEST_FPERIOD_OVERRIDE=FQ","FILING_STATUS=OR","EQY_CONSOLIDATED=Y","FA_ADJUSTED=GAAP","Sort=A","Dates=H","DateFormat=P","Fill=—","Direction=H","UseDPDF=Y")</f>
        <v>#NAME?</v>
      </c>
      <c r="U95" s="2" t="e">
        <f ca="1">_xll.BDH($C$78,"EBITDA_GROWTH","FQ2 2017","FQ2 2017","Currency=INR","Period=FQ","BEST_FPERIOD_OVERRIDE=FQ","FILING_STATUS=OR","EQY_CONSOLIDATED=Y","FA_ADJUSTED=GAAP","Sort=A","Dates=H","DateFormat=P","Fill=—","Direction=H","UseDPDF=Y")</f>
        <v>#NAME?</v>
      </c>
      <c r="V95" s="2" t="e">
        <f ca="1">_xll.BDH($C$78,"OPER_INC_GROWTH","FQ2 2017","FQ2 2017","Currency=INR","Period=FQ","BEST_FPERIOD_OVERRIDE=FQ","FILING_STATUS=OR","EQY_CONSOLIDATED=Y","FA_ADJUSTED=GAAP","Sort=A","Dates=H","DateFormat=P","Fill=—","Direction=H","UseDPDF=Y")</f>
        <v>#NAME?</v>
      </c>
      <c r="W95" s="2" t="e">
        <f ca="1">_xll.BDH($C$78,"EARN_FOR_COM_GROWTH","FQ2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95" s="2" t="e">
        <f ca="1">_xll.BDH($C$78,"DILUTED_EPS_AFT_XO_ITEMS_GROWTH","FQ2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95" s="2" t="e">
        <f ca="1">_xll.BDH($C$78,"DIVIDEND_PER_SHARE_1_YEAR_GROWTH","FQ2 2017","FQ2 2017","Currency=INR","Period=FQ","BEST_FPERIOD_OVERRIDE=FQ","FILING_STATUS=OR","EQY_CONSOLIDATED=Y","Sort=A","Dates=H","DateFormat=P","Fill=—","Direction=H","UseDPDF=Y")</f>
        <v>#NAME?</v>
      </c>
      <c r="Z95" s="2" t="e">
        <f ca="1">_xll.BDH($C$78,"ACCOUNTS_RECEIVABLE_GROWTH","FQ2 2017","FQ2 2017","Currency=INR","Period=FQ","BEST_FPERIOD_OVERRIDE=FQ","FILING_STATUS=OR","EQY_CONSOLIDATED=Y","Sort=A","Dates=H","DateFormat=P","Fill=—","Direction=H","UseDPDF=Y")</f>
        <v>#NAME?</v>
      </c>
      <c r="AA95" s="2" t="e">
        <f ca="1">_xll.BDH($C$78,"INVENTORY_GROWTH","FQ2 2017","FQ2 2017","Currency=INR","Period=FQ","BEST_FPERIOD_OVERRIDE=FQ","FILING_STATUS=OR","EQY_CONSOLIDATED=Y","Sort=A","Dates=H","DateFormat=P","Fill=—","Direction=H","UseDPDF=Y")</f>
        <v>#NAME?</v>
      </c>
      <c r="AB95" s="2" t="e">
        <f ca="1">_xll.BDH($C$78,"NET_FIXED_ASSETS_1_YEAR_GROWTH","FQ2 2017","FQ2 2017","Currency=INR","Period=FQ","BEST_FPERIOD_OVERRIDE=FQ","FILING_STATUS=OR","EQY_CONSOLIDATED=Y","Sort=A","Dates=H","DateFormat=P","Fill=—","Direction=H","UseDPDF=Y")</f>
        <v>#NAME?</v>
      </c>
      <c r="AC95" s="2" t="e">
        <f ca="1">_xll.BDH($C$78,"ASSET_GROWTH","FQ2 2017","FQ2 2017","Currency=INR","Period=FQ","BEST_FPERIOD_OVERRIDE=FQ","FILING_STATUS=OR","EQY_CONSOLIDATED=Y","Sort=A","Dates=H","DateFormat=P","Fill=—","Direction=H","UseDPDF=Y")</f>
        <v>#NAME?</v>
      </c>
      <c r="AD95" s="2" t="e">
        <f ca="1">_xll.BDH($C$78,"MODIFIED_WORK_CAP_GROWTH","FQ2 2017","FQ2 2017","Currency=INR","Period=FQ","BEST_FPERIOD_OVERRIDE=FQ","FILING_STATUS=OR","EQY_CONSOLIDATED=Y","Sort=A","Dates=H","DateFormat=P","Fill=—","Direction=H","UseDPDF=Y")</f>
        <v>#NAME?</v>
      </c>
      <c r="AE95" s="2" t="e">
        <f ca="1">_xll.BDH($C$78,"WORK_CAP_GROWTH","FQ2 2017","FQ2 2017","Currency=INR","Period=FQ","BEST_FPERIOD_OVERRIDE=FQ","FILING_STATUS=OR","EQY_CONSOLIDATED=Y","Sort=A","Dates=H","DateFormat=P","Fill=—","Direction=H","UseDPDF=Y")</f>
        <v>#NAME?</v>
      </c>
      <c r="AF95" s="2" t="e">
        <f ca="1">_xll.BDH($C$78,"ACCOUNTS_PAYABLE_GROWTH_1YR","FQ2 2017","FQ2 2017","Currency=INR","Period=FQ","BEST_FPERIOD_OVERRIDE=FQ","FILING_STATUS=OR","EQY_CONSOLIDATED=Y","Sort=A","Dates=H","DateFormat=P","Fill=—","Direction=H","UseDPDF=Y")</f>
        <v>#NAME?</v>
      </c>
      <c r="AG95" s="2" t="e">
        <f ca="1">_xll.BDH($C$78,"SHORT_TERM_DEBT_1_YEAR_GROWTH","FQ2 2017","FQ2 2017","Currency=INR","Period=FQ","BEST_FPERIOD_OVERRIDE=FQ","FILING_STATUS=OR","EQY_CONSOLIDATED=Y","Sort=A","Dates=H","DateFormat=P","Fill=—","Direction=H","UseDPDF=Y")</f>
        <v>#NAME?</v>
      </c>
      <c r="AH95" s="2" t="e">
        <f ca="1">_xll.BDH($C$78,"TOTAL_DEBT_1_YEAR_GROWTH","FQ2 2017","FQ2 2017","Currency=INR","Period=FQ","BEST_FPERIOD_OVERRIDE=FQ","FILING_STATUS=OR","EQY_CONSOLIDATED=Y","Sort=A","Dates=H","DateFormat=P","Fill=—","Direction=H","UseDPDF=Y")</f>
        <v>#NAME?</v>
      </c>
      <c r="AI95" s="2" t="e">
        <f ca="1">_xll.BDH($C$78,"TOTAL_EQUITY_1_YEAR_GROWTH","FQ2 2017","FQ2 2017","Currency=INR","Period=FQ","BEST_FPERIOD_OVERRIDE=FQ","FILING_STATUS=OR","EQY_CONSOLIDATED=Y","Sort=A","Dates=H","DateFormat=P","Fill=—","Direction=H","UseDPDF=Y")</f>
        <v>#NAME?</v>
      </c>
      <c r="AJ95" s="2" t="e">
        <f ca="1">_xll.BDH($C$78,"GROWTH_IN_CAP","FQ2 2017","FQ2 2017","Currency=INR","Period=FQ","BEST_FPERIOD_OVERRIDE=FQ","FILING_STATUS=OR","EQY_CONSOLIDATED=Y","Sort=A","Dates=H","DateFormat=P","Fill=—","Direction=H","UseDPDF=Y")</f>
        <v>#NAME?</v>
      </c>
      <c r="AK95" s="2" t="e">
        <f ca="1">_xll.BDH($C$78,"BVPS_GROWTH","FQ2 2017","FQ2 2017","Currency=INR","Period=FQ","BEST_FPERIOD_OVERRIDE=FQ","FILING_STATUS=OR","EQY_CONSOLIDATED=Y","Sort=A","Dates=H","DateFormat=P","Fill=—","Direction=H","UseDPDF=Y")</f>
        <v>#NAME?</v>
      </c>
      <c r="AL95" s="2" t="e">
        <f ca="1">_xll.BDH($C$78,"CASH_FLOW_GROWTH","FQ2 2017","FQ2 2017","Currency=INR","Period=FQ","BEST_FPERIOD_OVERRIDE=FQ","FILING_STATUS=OR","EQY_CONSOLIDATED=Y","Sort=A","Dates=H","DateFormat=P","Fill=—","Direction=H","UseDPDF=Y")</f>
        <v>#NAME?</v>
      </c>
      <c r="AM95" s="2" t="e">
        <f ca="1">_xll.BDH($C$78,"GEO_GROW_NET_SALES","FQ2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95" s="2" t="e">
        <f ca="1">_xll.BDH($C$78,"GEO_GROW_EBITDA","FQ2 2017","FQ2 2017","Currency=INR","Period=FQ","BEST_FPERIOD_OVERRIDE=FQ","FILING_STATUS=OR","EQY_CONSOLIDATED=Y","FA_ADJUSTED=GAAP","Sort=A","Dates=H","DateFormat=P","Fill=—","Direction=H","UseDPDF=Y")</f>
        <v>#NAME?</v>
      </c>
      <c r="AO95" s="2" t="e">
        <f ca="1">_xll.BDH($C$78,"GEO_GROW_OPER_INC","FQ2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95" s="2" t="e">
        <f ca="1">_xll.BDH($C$78,"NET_INCOME_TO_COMMON_5_YR_GROWTH","FQ2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95" s="2" t="e">
        <f ca="1">_xll.BDH($C$78,"5Y_GEO_GROWTH_DILUTED_EPS","FQ2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95" s="2" t="e">
        <f ca="1">_xll.BDH($C$78,"GEO_GROW_DVD_PER_SH","FQ2 2017","FQ2 2017","Currency=INR","Period=FQ","BEST_FPERIOD_OVERRIDE=FQ","FILING_STATUS=OR","EQY_CONSOLIDATED=Y","Sort=A","Dates=H","DateFormat=P","Fill=—","Direction=H","UseDPDF=Y")</f>
        <v>#NAME?</v>
      </c>
      <c r="AS95" s="2" t="e">
        <f ca="1">_xll.BDH($C$78,"ACCOUNTS_RECEIVABLE_5_YR_GROWTH","FQ2 2017","FQ2 2017","Currency=INR","Period=FQ","BEST_FPERIOD_OVERRIDE=FQ","FILING_STATUS=OR","EQY_CONSOLIDATED=Y","Sort=A","Dates=H","DateFormat=P","Fill=—","Direction=H","UseDPDF=Y")</f>
        <v>#NAME?</v>
      </c>
      <c r="AT95" s="2" t="e">
        <f ca="1">_xll.BDH($C$78,"INVENTORY_5_YEAR_GROWTH","FQ2 2017","FQ2 2017","Currency=INR","Period=FQ","BEST_FPERIOD_OVERRIDE=FQ","FILING_STATUS=OR","EQY_CONSOLIDATED=Y","Sort=A","Dates=H","DateFormat=P","Fill=—","Direction=H","UseDPDF=Y")</f>
        <v>#NAME?</v>
      </c>
      <c r="AU95" s="2" t="e">
        <f ca="1">_xll.BDH($C$78,"NET_FIXED_ASSETS_5_YEAR_GROWTH","FQ2 2017","FQ2 2017","Currency=INR","Period=FQ","BEST_FPERIOD_OVERRIDE=FQ","FILING_STATUS=OR","EQY_CONSOLIDATED=Y","Sort=A","Dates=H","DateFormat=P","Fill=—","Direction=H","UseDPDF=Y")</f>
        <v>#NAME?</v>
      </c>
      <c r="AV95" s="2" t="e">
        <f ca="1">_xll.BDH($C$78,"GEO_GROW_TOT_ASSET","FQ2 2017","FQ2 2017","Currency=INR","Period=FQ","BEST_FPERIOD_OVERRIDE=FQ","FILING_STATUS=OR","EQY_CONSOLIDATED=Y","Sort=A","Dates=H","DateFormat=P","Fill=—","Direction=H","UseDPDF=Y")</f>
        <v>#NAME?</v>
      </c>
      <c r="AW95" s="2" t="e">
        <f ca="1">_xll.BDH($C$78,"MODIFIED_WORKING_CPTL_5YR_GRWTH","FQ2 2017","FQ2 2017","Currency=INR","Period=FQ","BEST_FPERIOD_OVERRIDE=FQ","FILING_STATUS=OR","EQY_CONSOLIDATED=Y","Sort=A","Dates=H","DateFormat=P","Fill=—","Direction=H","UseDPDF=Y")</f>
        <v>#NAME?</v>
      </c>
      <c r="AX95" s="2" t="e">
        <f ca="1">_xll.BDH($C$78,"WORKING_CAPITAL_5_YEAR_GROWTH","FQ2 2017","FQ2 2017","Currency=INR","Period=FQ","BEST_FPERIOD_OVERRIDE=FQ","FILING_STATUS=OR","EQY_CONSOLIDATED=Y","Sort=A","Dates=H","DateFormat=P","Fill=—","Direction=H","UseDPDF=Y")</f>
        <v>#NAME?</v>
      </c>
      <c r="AY95" s="2" t="e">
        <f ca="1">_xll.BDH($C$78,"ACCOUNTS_PAYABLE_5_YEAR_GROWTH","FQ2 2017","FQ2 2017","Currency=INR","Period=FQ","BEST_FPERIOD_OVERRIDE=FQ","FILING_STATUS=OR","EQY_CONSOLIDATED=Y","Sort=A","Dates=H","DateFormat=P","Fill=—","Direction=H","UseDPDF=Y")</f>
        <v>#NAME?</v>
      </c>
      <c r="AZ95" s="2" t="e">
        <f ca="1">_xll.BDH($C$78,"SHORT_TERM_DEBT_5_YEAR_GROWTH","FQ2 2017","FQ2 2017","Currency=INR","Period=FQ","BEST_FPERIOD_OVERRIDE=FQ","FILING_STATUS=OR","EQY_CONSOLIDATED=Y","Sort=A","Dates=H","DateFormat=P","Fill=—","Direction=H","UseDPDF=Y")</f>
        <v>#NAME?</v>
      </c>
      <c r="BA95" s="2" t="e">
        <f ca="1">_xll.BDH($C$78,"TOTAL_DEBT_5_YEAR_GROWTH","FQ2 2017","FQ2 2017","Currency=INR","Period=FQ","BEST_FPERIOD_OVERRIDE=FQ","FILING_STATUS=OR","EQY_CONSOLIDATED=Y","Sort=A","Dates=H","DateFormat=P","Fill=—","Direction=H","UseDPDF=Y")</f>
        <v>#NAME?</v>
      </c>
      <c r="BB95" s="2" t="e">
        <f ca="1">_xll.BDH($C$78,"GEO_GROW_TOT_SHRHLDR_EQY","FQ2 2017","FQ2 2017","Currency=INR","Period=FQ","BEST_FPERIOD_OVERRIDE=FQ","FILING_STATUS=OR","EQY_CONSOLIDATED=Y","Sort=A","Dates=H","DateFormat=P","Fill=—","Direction=H","UseDPDF=Y")</f>
        <v>#NAME?</v>
      </c>
      <c r="BC95" s="2" t="e">
        <f ca="1">_xll.BDH($C$78,"TOTAL_CAPITAL_5_YEAR_GROWTH","FQ2 2017","FQ2 2017","Currency=INR","Period=FQ","BEST_FPERIOD_OVERRIDE=FQ","FILING_STATUS=OR","EQY_CONSOLIDATED=Y","Sort=A","Dates=H","DateFormat=P","Fill=—","Direction=H","UseDPDF=Y")</f>
        <v>#NAME?</v>
      </c>
      <c r="BD95" s="2" t="e">
        <f ca="1">_xll.BDH($C$78,"GEO_GROW_BOOK_VAL","FQ2 2017","FQ2 2017","Currency=INR","Period=FQ","BEST_FPERIOD_OVERRIDE=FQ","FILING_STATUS=OR","EQY_CONSOLIDATED=Y","Sort=A","Dates=H","DateFormat=P","Fill=—","Direction=H","UseDPDF=Y")</f>
        <v>#NAME?</v>
      </c>
      <c r="BE95" s="2" t="e">
        <f ca="1">_xll.BDH($C$78,"GEO_GROW_CASH_OPER_ACT","FQ2 2017","FQ2 2017","Currency=INR","Period=FQ","BEST_FPERIOD_OVERRIDE=FQ","FILING_STATUS=OR","EQY_CONSOLIDATED=Y","Sort=A","Dates=H","DateFormat=P","Fill=—","Direction=H","UseDPDF=Y")</f>
        <v>#NAME?</v>
      </c>
      <c r="BF95" s="2" t="e">
        <f ca="1">_xll.BDH($C$78,"REVENUE_SEQUENTIAL_GROWTH","FQ2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95" s="2" t="e">
        <f ca="1">_xll.BDH($C$78,"EBITDA_SEQUENTIAL_GROWTH","FQ2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95" s="2" t="e">
        <f ca="1">_xll.BDH($C$78,"OPERATING_INCOME_SEQ_GROWTH","FQ2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95" s="2" t="e">
        <f ca="1">_xll.BDH($C$78,"NET_INCOME_TO_COMMON_SEQ_GROWTH","FQ2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95" s="2" t="e">
        <f ca="1">_xll.BDH($C$78,"EPS_DILUTED_SEQUENTIAL_GROWTH","FQ2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95" s="2" t="e">
        <f ca="1">_xll.BDH($C$78,"DPS_SEQUENTIAL_GROWTH","FQ2 2017","FQ2 2017","Currency=INR","Period=FQ","BEST_FPERIOD_OVERRIDE=FQ","FILING_STATUS=OR","EQY_CONSOLIDATED=Y","Sort=A","Dates=H","DateFormat=P","Fill=—","Direction=H","UseDPDF=Y")</f>
        <v>#NAME?</v>
      </c>
      <c r="BL95" s="2" t="e">
        <f ca="1">_xll.BDH($C$78,"ACCOUNTS_RECEIVABLE_SEQ_GROWTH","FQ2 2017","FQ2 2017","Currency=INR","Period=FQ","BEST_FPERIOD_OVERRIDE=FQ","FILING_STATUS=OR","EQY_CONSOLIDATED=Y","Sort=A","Dates=H","DateFormat=P","Fill=—","Direction=H","UseDPDF=Y")</f>
        <v>#NAME?</v>
      </c>
      <c r="BM95" s="2" t="e">
        <f ca="1">_xll.BDH($C$78,"INVENTORY_SEQUENTIAL_GROWTH","FQ2 2017","FQ2 2017","Currency=INR","Period=FQ","BEST_FPERIOD_OVERRIDE=FQ","FILING_STATUS=OR","EQY_CONSOLIDATED=Y","Sort=A","Dates=H","DateFormat=P","Fill=—","Direction=H","UseDPDF=Y")</f>
        <v>#NAME?</v>
      </c>
      <c r="BN95" s="2" t="e">
        <f ca="1">_xll.BDH($C$78,"FIXED_ASSETS_SEQUENTIAL_GROWTH","FQ2 2017","FQ2 2017","Currency=INR","Period=FQ","BEST_FPERIOD_OVERRIDE=FQ","FILING_STATUS=OR","EQY_CONSOLIDATED=Y","Sort=A","Dates=H","DateFormat=P","Fill=—","Direction=H","UseDPDF=Y")</f>
        <v>#NAME?</v>
      </c>
      <c r="BO95" s="2" t="e">
        <f ca="1">_xll.BDH($C$78,"TOTAL_ASSETS_SEQUENTIAL_GROWTH","FQ2 2017","FQ2 2017","Currency=INR","Period=FQ","BEST_FPERIOD_OVERRIDE=FQ","FILING_STATUS=OR","EQY_CONSOLIDATED=Y","Sort=A","Dates=H","DateFormat=P","Fill=—","Direction=H","UseDPDF=Y")</f>
        <v>#NAME?</v>
      </c>
      <c r="BP95" s="2" t="e">
        <f ca="1">_xll.BDH($C$78,"MODIFIED_WORKING_CPTL_SEQ_GRWTH","FQ2 2017","FQ2 2017","Currency=INR","Period=FQ","BEST_FPERIOD_OVERRIDE=FQ","FILING_STATUS=OR","EQY_CONSOLIDATED=Y","Sort=A","Dates=H","DateFormat=P","Fill=—","Direction=H","UseDPDF=Y")</f>
        <v>#NAME?</v>
      </c>
      <c r="BQ95" s="2" t="e">
        <f ca="1">_xll.BDH($C$78,"WORKING_CAPITAL_SEQ_GROWTH","FQ2 2017","FQ2 2017","Currency=INR","Period=FQ","BEST_FPERIOD_OVERRIDE=FQ","FILING_STATUS=OR","EQY_CONSOLIDATED=Y","Sort=A","Dates=H","DateFormat=P","Fill=—","Direction=H","UseDPDF=Y")</f>
        <v>#NAME?</v>
      </c>
      <c r="BR95" s="2" t="e">
        <f ca="1">_xll.BDH($C$78,"ACCOUNTS_PAYABLE_SEQ_GROWTH","FQ2 2017","FQ2 2017","Currency=INR","Period=FQ","BEST_FPERIOD_OVERRIDE=FQ","FILING_STATUS=OR","EQY_CONSOLIDATED=Y","Sort=A","Dates=H","DateFormat=P","Fill=—","Direction=H","UseDPDF=Y")</f>
        <v>#NAME?</v>
      </c>
      <c r="BS95" s="2" t="e">
        <f ca="1">_xll.BDH($C$78,"ST_DEBT_SEQUENTIAL_GROWTH","FQ2 2017","FQ2 2017","Currency=INR","Period=FQ","BEST_FPERIOD_OVERRIDE=FQ","FILING_STATUS=OR","EQY_CONSOLIDATED=Y","Sort=A","Dates=H","DateFormat=P","Fill=—","Direction=H","UseDPDF=Y")</f>
        <v>#NAME?</v>
      </c>
      <c r="BT95" s="2" t="e">
        <f ca="1">_xll.BDH($C$78,"TOTAL_DEBT_SEQUENTIAL_GROWTH","FQ2 2017","FQ2 2017","Currency=INR","Period=FQ","BEST_FPERIOD_OVERRIDE=FQ","FILING_STATUS=OR","EQY_CONSOLIDATED=Y","Sort=A","Dates=H","DateFormat=P","Fill=—","Direction=H","UseDPDF=Y")</f>
        <v>#NAME?</v>
      </c>
      <c r="BU95" s="2" t="e">
        <f ca="1">_xll.BDH($C$78,"TOTAL_EQUITY_SEQUENTIAL_GROWTH","FQ2 2017","FQ2 2017","Currency=INR","Period=FQ","BEST_FPERIOD_OVERRIDE=FQ","FILING_STATUS=OR","EQY_CONSOLIDATED=Y","Sort=A","Dates=H","DateFormat=P","Fill=—","Direction=H","UseDPDF=Y")</f>
        <v>#NAME?</v>
      </c>
      <c r="BV95" s="2" t="e">
        <f ca="1">_xll.BDH($C$78,"TOTAL_CAPITAL_SEQUENTIAL_GROWTH","FQ2 2017","FQ2 2017","Currency=INR","Period=FQ","BEST_FPERIOD_OVERRIDE=FQ","FILING_STATUS=OR","EQY_CONSOLIDATED=Y","Sort=A","Dates=H","DateFormat=P","Fill=—","Direction=H","UseDPDF=Y")</f>
        <v>#NAME?</v>
      </c>
      <c r="BW95" s="2" t="e">
        <f ca="1">_xll.BDH($C$78,"BPS_SEQUENTIAL_GROWTH","FQ2 2017","FQ2 2017","Currency=INR","Period=FQ","BEST_FPERIOD_OVERRIDE=FQ","FILING_STATUS=OR","EQY_CONSOLIDATED=Y","Sort=A","Dates=H","DateFormat=P","Fill=—","Direction=H","UseDPDF=Y")</f>
        <v>#NAME?</v>
      </c>
      <c r="BX95" s="2" t="e">
        <f ca="1">_xll.BDH($C$78,"CFO_SEQUENTIAL_GROWTH","FQ2 2017","FQ2 2017","Currency=INR","Period=FQ","BEST_FPERIOD_OVERRIDE=FQ","FILING_STATUS=OR","EQY_CONSOLIDATED=Y","Sort=A","Dates=H","DateFormat=P","Fill=—","Direction=H","UseDPDF=Y")</f>
        <v>#NAME?</v>
      </c>
      <c r="BY95" s="3" t="e">
        <f ca="1">_xll.BDH($C$78,"SHORT_AND_LONG_TERM_DEBT","FQ2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95" s="3" t="e">
        <f ca="1">_xll.BDH($C$78,"BS_ST_BORROW","FQ2 2017","FQ2 2017","Currency=INR","Period=FQ","BEST_FPERIOD_OVERRIDE=FQ","FILING_STATUS=OR","EQY_CONSOLIDATED=Y","SCALING_FORMAT=MLN","Sort=A","Dates=H","DateFormat=P","Fill=—","Direction=H","UseDPDF=Y")</f>
        <v>#NAME?</v>
      </c>
      <c r="CA95" s="3" t="e">
        <f ca="1">_xll.BDH($C$78,"BS_LT_BORROW","FQ2 2017","FQ2 2017","Currency=INR","Period=FQ","BEST_FPERIOD_OVERRIDE=FQ","FILING_STATUS=OR","EQY_CONSOLIDATED=Y","SCALING_FORMAT=MLN","Sort=A","Dates=H","DateFormat=P","Fill=—","Direction=H","UseDPDF=Y")</f>
        <v>#NAME?</v>
      </c>
      <c r="CB95" s="2" t="e">
        <f ca="1">_xll.BDH($C$78,"TOT_DEBT_TO_EBITDA","FQ2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95" s="2" t="e">
        <f ca="1">_xll.BDH($C$78,"NET_DEBT_TO_EBITDA","FQ2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95" s="2" t="e">
        <f ca="1">_xll.BDH($C$78,"TOTAL_DEBT_TO_EBIT","FQ2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95" s="2" t="e">
        <f ca="1">_xll.BDH($C$78,"NET_DEBT_TO_EBIT","FQ2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95" s="2" t="e">
        <f ca="1">_xll.BDH($C$78,"EBITDA_TO_INTEREST_EXPN","FQ2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95" s="2" t="e">
        <f ca="1">_xll.BDH($C$78,"COM_EQY_TO_TOT_ASSET","FQ2 2017","FQ2 2017","Currency=INR","Period=FQ","BEST_FPERIOD_OVERRIDE=FQ","FILING_STATUS=OR","EQY_CONSOLIDATED=Y","Sort=A","Dates=H","DateFormat=P","Fill=—","Direction=H","UseDPDF=Y")</f>
        <v>#NAME?</v>
      </c>
      <c r="CH95" s="2" t="e">
        <f ca="1">_xll.BDH($C$78,"LT_DEBT_TO_TOT_EQY","FQ2 2017","FQ2 2017","Currency=INR","Period=FQ","BEST_FPERIOD_OVERRIDE=FQ","FILING_STATUS=OR","EQY_CONSOLIDATED=Y","Sort=A","Dates=H","DateFormat=P","Fill=—","Direction=H","UseDPDF=Y")</f>
        <v>#NAME?</v>
      </c>
      <c r="CI95" s="2" t="e">
        <f ca="1">_xll.BDH($C$78,"LT_DEBT_TO_TOT_CAP","FQ2 2017","FQ2 2017","Currency=INR","Period=FQ","BEST_FPERIOD_OVERRIDE=FQ","FILING_STATUS=OR","EQY_CONSOLIDATED=Y","Sort=A","Dates=H","DateFormat=P","Fill=—","Direction=H","UseDPDF=Y")</f>
        <v>#NAME?</v>
      </c>
      <c r="CJ95" s="2" t="e">
        <f ca="1">_xll.BDH($C$78,"LT_DEBT_TO_TOT_ASSET","FQ2 2017","FQ2 2017","Currency=INR","Period=FQ","BEST_FPERIOD_OVERRIDE=FQ","FILING_STATUS=OR","EQY_CONSOLIDATED=Y","Sort=A","Dates=H","DateFormat=P","Fill=—","Direction=H","UseDPDF=Y")</f>
        <v>#NAME?</v>
      </c>
      <c r="CK95" s="2" t="e">
        <f ca="1">_xll.BDH($C$78,"TOT_DEBT_TO_TOT_EQY","FQ2 2017","FQ2 2017","Currency=INR","Period=FQ","BEST_FPERIOD_OVERRIDE=FQ","FILING_STATUS=OR","EQY_CONSOLIDATED=Y","Sort=A","Dates=H","DateFormat=P","Fill=—","Direction=H","UseDPDF=Y")</f>
        <v>#NAME?</v>
      </c>
      <c r="CL95" s="2" t="e">
        <f ca="1">_xll.BDH($C$78,"TOT_DEBT_TO_TOT_CAP","FQ2 2017","FQ2 2017","Currency=INR","Period=FQ","BEST_FPERIOD_OVERRIDE=FQ","FILING_STATUS=OR","EQY_CONSOLIDATED=Y","Sort=A","Dates=H","DateFormat=P","Fill=—","Direction=H","UseDPDF=Y")</f>
        <v>#NAME?</v>
      </c>
      <c r="CM95" s="2" t="e">
        <f ca="1">_xll.BDH($C$78,"TOT_DEBT_TO_TOT_ASSET","FQ2 2017","FQ2 2017","Currency=INR","Period=FQ","BEST_FPERIOD_OVERRIDE=FQ","FILING_STATUS=OR","EQY_CONSOLIDATED=Y","Sort=A","Dates=H","DateFormat=P","Fill=—","Direction=H","UseDPDF=Y")</f>
        <v>#NAME?</v>
      </c>
      <c r="CN95" s="2" t="e">
        <f ca="1">_xll.BDH($C$78,"NET_DEBT_TO_SHRHLDR_EQTY","FQ2 2017","FQ2 2017","Currency=INR","Period=FQ","BEST_FPERIOD_OVERRIDE=FQ","FILING_STATUS=OR","EQY_CONSOLIDATED=Y","Sort=A","Dates=H","DateFormat=P","Fill=—","Direction=H","UseDPDF=Y")</f>
        <v>#NAME?</v>
      </c>
      <c r="CO95" s="2" t="e">
        <f ca="1">_xll.BDH($C$78,"NET_DEBT_%_CAPITAL","FQ2 2017","FQ2 2017","Currency=INR","Period=FQ","BEST_FPERIOD_OVERRIDE=FQ","FILING_STATUS=OR","EQY_CONSOLIDATED=Y","Sort=A","Dates=H","DateFormat=P","Fill=—","Direction=H","UseDPDF=Y")</f>
        <v>#NAME?</v>
      </c>
      <c r="CP95" s="3" t="e">
        <f ca="1">_xll.BDH($C$78,"EBITDA","FQ2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95" s="3" t="e">
        <f ca="1">_xll.BDH($C$78,"EBITDA_AFTER_CAPEX","FQ2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95" s="3" t="e">
        <f ca="1">_xll.BDH($C$78,"IS_OPER_INC","FQ2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95" s="2" t="e">
        <f ca="1">_xll.BDH($C$78,"CASH_RATIO","FQ2 2017","FQ2 2017","Currency=INR","Period=FQ","BEST_FPERIOD_OVERRIDE=FQ","FILING_STATUS=OR","EQY_CONSOLIDATED=Y","Sort=A","Dates=H","DateFormat=P","Fill=—","Direction=H","UseDPDF=Y")</f>
        <v>#NAME?</v>
      </c>
      <c r="CT95" s="2" t="e">
        <f ca="1">_xll.BDH($C$78,"CUR_RATIO","FQ2 2017","FQ2 2017","Currency=INR","Period=FQ","BEST_FPERIOD_OVERRIDE=FQ","FILING_STATUS=OR","EQY_CONSOLIDATED=Y","Sort=A","Dates=H","DateFormat=P","Fill=—","Direction=H","UseDPDF=Y")</f>
        <v>#NAME?</v>
      </c>
      <c r="CU95" s="2" t="e">
        <f ca="1">_xll.BDH($C$78,"QUICK_RATIO","FQ2 2017","FQ2 2017","Currency=INR","Period=FQ","BEST_FPERIOD_OVERRIDE=FQ","FILING_STATUS=OR","EQY_CONSOLIDATED=Y","Sort=A","Dates=H","DateFormat=P","Fill=—","Direction=H","UseDPDF=Y")</f>
        <v>#NAME?</v>
      </c>
      <c r="CV95" s="2" t="e">
        <f ca="1">_xll.BDH($C$78,"ALTMAN_Z_SCORE","FQ2 2017","FQ2 2017","Currency=INR","Period=FQ","BEST_FPERIOD_OVERRIDE=FQ","FILING_STATUS=OR","EQY_CONSOLIDATED=Y","Sort=A","Dates=H","DateFormat=P","Fill=—","Direction=H","UseDPDF=Y")</f>
        <v>#NAME?</v>
      </c>
      <c r="CW95" s="4" t="e">
        <f ca="1">_xll.BDH($C$78,"ACCT_RCV_TURN","FQ2 2017","FQ2 2017","Currency=INR","Period=FQ","BEST_FPERIOD_OVERRIDE=FQ","FILING_STATUS=OR","EQY_CONSOLIDATED=Y","FA_ADJUSTED=GAAP","Sort=A","Dates=H","DateFormat=P","Fill=—","Direction=H","UseDPDF=Y")</f>
        <v>#NAME?</v>
      </c>
      <c r="CX95" s="2" t="e">
        <f ca="1">_xll.BDH($C$78,"ACCT_RCV_DAYS","FQ2 2017","FQ2 2017","Currency=INR","Period=FQ","BEST_FPERIOD_OVERRIDE=FQ","FILING_STATUS=OR","EQY_CONSOLIDATED=Y","FA_ADJUSTED=GAAP","Sort=A","Dates=H","DateFormat=P","Fill=—","Direction=H","UseDPDF=Y")</f>
        <v>#NAME?</v>
      </c>
      <c r="CY95" s="4" t="e">
        <f ca="1">_xll.BDH($C$78,"INVENT_TURN","FQ2 2017","FQ2 2017","Currency=INR","Period=FQ","BEST_FPERIOD_OVERRIDE=FQ","FILING_STATUS=OR","EQY_CONSOLIDATED=Y","FA_ADJUSTED=GAAP","Sort=A","Dates=H","DateFormat=P","Fill=—","Direction=H","UseDPDF=Y")</f>
        <v>#NAME?</v>
      </c>
      <c r="CZ95" s="2" t="e">
        <f ca="1">_xll.BDH($C$78,"INVENT_DAYS","FQ2 2017","FQ2 2017","Currency=INR","Period=FQ","BEST_FPERIOD_OVERRIDE=FQ","FILING_STATUS=OR","EQY_CONSOLIDATED=Y","FA_ADJUSTED=GAAP","Sort=A","Dates=H","DateFormat=P","Fill=—","Direction=H","UseDPDF=Y")</f>
        <v>#NAME?</v>
      </c>
      <c r="DA95" s="4" t="e">
        <f ca="1">_xll.BDH($C$78,"ACCOUNTS_PAYABLE_TURNOVER","FQ2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95" s="2" t="e">
        <f ca="1">_xll.BDH($C$78,"ACCOUNTS_PAYABLE_TURNOVER_DAYS","FQ2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95" s="4" t="e">
        <f ca="1">_xll.BDH($C$78,"CASH_CONVERSION_CYCLE","FQ2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95" s="4" t="e">
        <f ca="1">_xll.BDH($C$78,"INV_TO_CASH_DAYS","FQ2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95" s="5" t="e">
        <f ca="1">_xll.BDH($C$78,"BS_INVENTORIES","FQ2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95" s="3" t="e">
        <f ca="1">_xll.BDH($C$78,"INVTRY_RAW_MATERIALS","FQ2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95" s="3" t="e">
        <f ca="1">_xll.BDH($C$78,"INVTRY_IN_PROGRESS","FQ2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95" s="3" t="e">
        <f ca="1">_xll.BDH($C$78,"INVTRY_FINISHED_GOODS","FQ2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95" s="3" t="e">
        <f ca="1">_xll.BDH($C$78,"BS_OTHER_INV","FQ2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96" spans="1:113" x14ac:dyDescent="0.3">
      <c r="A96" s="6"/>
      <c r="B96" s="6"/>
      <c r="C96" s="6"/>
      <c r="D96" s="6"/>
      <c r="E96" t="s">
        <v>80</v>
      </c>
      <c r="F96" t="e">
        <f ca="1">_xll.BDH($C$78,"RETURN_COM_EQY","FQ3 2017","FQ3 2017","Currency=INR","Period=FQ","BEST_FPERIOD_OVERRIDE=FQ","FILING_STATUS=OR","EQY_CONSOLIDATED=Y","FA_ADJUSTED=GAAP","Sort=A","Dates=H","DateFormat=P","Fill=—","Direction=H","UseDPDF=Y")</f>
        <v>#NAME?</v>
      </c>
      <c r="G96" t="e">
        <f ca="1">_xll.BDH($C$78,"RETURN_ON_ASSET","FQ3 2017","FQ3 2017","Currency=INR","Period=FQ","BEST_FPERIOD_OVERRIDE=FQ","FILING_STATUS=OR","EQY_CONSOLIDATED=Y","FA_ADJUSTED=GAAP","Sort=A","Dates=H","DateFormat=P","Fill=—","Direction=H","UseDPDF=Y")</f>
        <v>#NAME?</v>
      </c>
      <c r="H96" t="e">
        <f ca="1">_xll.BDH($C$78,"RETURN_ON_CAP","FQ3 2017","FQ3 2017","Currency=INR","Period=FQ","BEST_FPERIOD_OVERRIDE=FQ","FILING_STATUS=OR","EQY_CONSOLIDATED=Y","FA_ADJUSTED=GAAP","Sort=A","Dates=H","DateFormat=P","Fill=—","Direction=H","UseDPDF=Y")</f>
        <v>#NAME?</v>
      </c>
      <c r="I96" t="e">
        <f ca="1">_xll.BDH($C$78,"RETURN_ON_INV_CAPITAL","FQ3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96" t="e">
        <f ca="1">_xll.BDH($C$78,"EBITDA_TO_REVENUE","FQ3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96" t="e">
        <f ca="1">_xll.BDH($C$78,"OPER_MARGIN","FQ3 2017","FQ3 2017","Currency=INR","Period=FQ","BEST_FPERIOD_OVERRIDE=FQ","FILING_STATUS=OR","EQY_CONSOLIDATED=Y","FA_ADJUSTED=GAAP","Sort=A","Dates=H","DateFormat=P","Fill=—","Direction=H","UseDPDF=Y")</f>
        <v>#NAME?</v>
      </c>
      <c r="L96" t="e">
        <f ca="1">_xll.BDH($C$78,"INCREMENTAL_OPERATING_MARGIN","FQ3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96" t="e">
        <f ca="1">_xll.BDH($C$78,"PRETAX_INC_TO_NET_SALES","FQ3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96" t="e">
        <f ca="1">_xll.BDH($C$78,"INC_BEF_XO_ITEMS_TO_NET_SALES","FQ3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96" t="e">
        <f ca="1">_xll.BDH($C$78,"PROF_MARGIN","FQ3 2017","FQ3 2017","Currency=INR","Period=FQ","BEST_FPERIOD_OVERRIDE=FQ","FILING_STATUS=OR","EQY_CONSOLIDATED=Y","FA_ADJUSTED=GAAP","Sort=A","Dates=H","DateFormat=P","Fill=—","Direction=H","UseDPDF=Y")</f>
        <v>#NAME?</v>
      </c>
      <c r="P96" t="e">
        <f ca="1">_xll.BDH($C$78,"NET_INCOME_TO_COMMON_MARGIN","FQ3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96" t="e">
        <f ca="1">_xll.BDH($C$78,"EFF_TAX_RATE","FQ3 2017","FQ3 2017","Currency=INR","Period=FQ","BEST_FPERIOD_OVERRIDE=FQ","FILING_STATUS=OR","EQY_CONSOLIDATED=Y","FA_ADJUSTED=GAAP","Sort=A","Dates=H","DateFormat=P","Fill=—","Direction=H","UseDPDF=Y")</f>
        <v>#NAME?</v>
      </c>
      <c r="R96" t="e">
        <f ca="1">_xll.BDH($C$78,"DVD_PAYOUT_RATIO","FQ3 2017","FQ3 2017","Currency=INR","Period=FQ","BEST_FPERIOD_OVERRIDE=FQ","FILING_STATUS=OR","EQY_CONSOLIDATED=Y","FA_ADJUSTED=GAAP","Sort=A","Dates=H","DateFormat=P","Fill=—","Direction=H","UseDPDF=Y")</f>
        <v>#NAME?</v>
      </c>
      <c r="S96" t="e">
        <f ca="1">_xll.BDH($C$78,"SUSTAIN_GROWTH_RT","FQ3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96" s="2" t="e">
        <f ca="1">_xll.BDH($C$78,"SALES_GROWTH","FQ3 2017","FQ3 2017","Currency=INR","Period=FQ","BEST_FPERIOD_OVERRIDE=FQ","FILING_STATUS=OR","EQY_CONSOLIDATED=Y","FA_ADJUSTED=GAAP","Sort=A","Dates=H","DateFormat=P","Fill=—","Direction=H","UseDPDF=Y")</f>
        <v>#NAME?</v>
      </c>
      <c r="U96" s="2" t="e">
        <f ca="1">_xll.BDH($C$78,"EBITDA_GROWTH","FQ3 2017","FQ3 2017","Currency=INR","Period=FQ","BEST_FPERIOD_OVERRIDE=FQ","FILING_STATUS=OR","EQY_CONSOLIDATED=Y","FA_ADJUSTED=GAAP","Sort=A","Dates=H","DateFormat=P","Fill=—","Direction=H","UseDPDF=Y")</f>
        <v>#NAME?</v>
      </c>
      <c r="V96" s="2" t="e">
        <f ca="1">_xll.BDH($C$78,"OPER_INC_GROWTH","FQ3 2017","FQ3 2017","Currency=INR","Period=FQ","BEST_FPERIOD_OVERRIDE=FQ","FILING_STATUS=OR","EQY_CONSOLIDATED=Y","FA_ADJUSTED=GAAP","Sort=A","Dates=H","DateFormat=P","Fill=—","Direction=H","UseDPDF=Y")</f>
        <v>#NAME?</v>
      </c>
      <c r="W96" s="2" t="e">
        <f ca="1">_xll.BDH($C$78,"EARN_FOR_COM_GROWTH","FQ3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96" s="2" t="e">
        <f ca="1">_xll.BDH($C$78,"DILUTED_EPS_AFT_XO_ITEMS_GROWTH","FQ3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96" s="2" t="e">
        <f ca="1">_xll.BDH($C$78,"DIVIDEND_PER_SHARE_1_YEAR_GROWTH","FQ3 2017","FQ3 2017","Currency=INR","Period=FQ","BEST_FPERIOD_OVERRIDE=FQ","FILING_STATUS=OR","EQY_CONSOLIDATED=Y","Sort=A","Dates=H","DateFormat=P","Fill=—","Direction=H","UseDPDF=Y")</f>
        <v>#NAME?</v>
      </c>
      <c r="Z96" s="2" t="e">
        <f ca="1">_xll.BDH($C$78,"ACCOUNTS_RECEIVABLE_GROWTH","FQ3 2017","FQ3 2017","Currency=INR","Period=FQ","BEST_FPERIOD_OVERRIDE=FQ","FILING_STATUS=OR","EQY_CONSOLIDATED=Y","Sort=A","Dates=H","DateFormat=P","Fill=—","Direction=H","UseDPDF=Y")</f>
        <v>#NAME?</v>
      </c>
      <c r="AA96" s="2" t="e">
        <f ca="1">_xll.BDH($C$78,"INVENTORY_GROWTH","FQ3 2017","FQ3 2017","Currency=INR","Period=FQ","BEST_FPERIOD_OVERRIDE=FQ","FILING_STATUS=OR","EQY_CONSOLIDATED=Y","Sort=A","Dates=H","DateFormat=P","Fill=—","Direction=H","UseDPDF=Y")</f>
        <v>#NAME?</v>
      </c>
      <c r="AB96" s="2" t="e">
        <f ca="1">_xll.BDH($C$78,"NET_FIXED_ASSETS_1_YEAR_GROWTH","FQ3 2017","FQ3 2017","Currency=INR","Period=FQ","BEST_FPERIOD_OVERRIDE=FQ","FILING_STATUS=OR","EQY_CONSOLIDATED=Y","Sort=A","Dates=H","DateFormat=P","Fill=—","Direction=H","UseDPDF=Y")</f>
        <v>#NAME?</v>
      </c>
      <c r="AC96" s="2" t="e">
        <f ca="1">_xll.BDH($C$78,"ASSET_GROWTH","FQ3 2017","FQ3 2017","Currency=INR","Period=FQ","BEST_FPERIOD_OVERRIDE=FQ","FILING_STATUS=OR","EQY_CONSOLIDATED=Y","Sort=A","Dates=H","DateFormat=P","Fill=—","Direction=H","UseDPDF=Y")</f>
        <v>#NAME?</v>
      </c>
      <c r="AD96" s="2" t="e">
        <f ca="1">_xll.BDH($C$78,"MODIFIED_WORK_CAP_GROWTH","FQ3 2017","FQ3 2017","Currency=INR","Period=FQ","BEST_FPERIOD_OVERRIDE=FQ","FILING_STATUS=OR","EQY_CONSOLIDATED=Y","Sort=A","Dates=H","DateFormat=P","Fill=—","Direction=H","UseDPDF=Y")</f>
        <v>#NAME?</v>
      </c>
      <c r="AE96" s="2" t="e">
        <f ca="1">_xll.BDH($C$78,"WORK_CAP_GROWTH","FQ3 2017","FQ3 2017","Currency=INR","Period=FQ","BEST_FPERIOD_OVERRIDE=FQ","FILING_STATUS=OR","EQY_CONSOLIDATED=Y","Sort=A","Dates=H","DateFormat=P","Fill=—","Direction=H","UseDPDF=Y")</f>
        <v>#NAME?</v>
      </c>
      <c r="AF96" s="2" t="e">
        <f ca="1">_xll.BDH($C$78,"ACCOUNTS_PAYABLE_GROWTH_1YR","FQ3 2017","FQ3 2017","Currency=INR","Period=FQ","BEST_FPERIOD_OVERRIDE=FQ","FILING_STATUS=OR","EQY_CONSOLIDATED=Y","Sort=A","Dates=H","DateFormat=P","Fill=—","Direction=H","UseDPDF=Y")</f>
        <v>#NAME?</v>
      </c>
      <c r="AG96" s="2" t="e">
        <f ca="1">_xll.BDH($C$78,"SHORT_TERM_DEBT_1_YEAR_GROWTH","FQ3 2017","FQ3 2017","Currency=INR","Period=FQ","BEST_FPERIOD_OVERRIDE=FQ","FILING_STATUS=OR","EQY_CONSOLIDATED=Y","Sort=A","Dates=H","DateFormat=P","Fill=—","Direction=H","UseDPDF=Y")</f>
        <v>#NAME?</v>
      </c>
      <c r="AH96" s="2" t="e">
        <f ca="1">_xll.BDH($C$78,"TOTAL_DEBT_1_YEAR_GROWTH","FQ3 2017","FQ3 2017","Currency=INR","Period=FQ","BEST_FPERIOD_OVERRIDE=FQ","FILING_STATUS=OR","EQY_CONSOLIDATED=Y","Sort=A","Dates=H","DateFormat=P","Fill=—","Direction=H","UseDPDF=Y")</f>
        <v>#NAME?</v>
      </c>
      <c r="AI96" s="2" t="e">
        <f ca="1">_xll.BDH($C$78,"TOTAL_EQUITY_1_YEAR_GROWTH","FQ3 2017","FQ3 2017","Currency=INR","Period=FQ","BEST_FPERIOD_OVERRIDE=FQ","FILING_STATUS=OR","EQY_CONSOLIDATED=Y","Sort=A","Dates=H","DateFormat=P","Fill=—","Direction=H","UseDPDF=Y")</f>
        <v>#NAME?</v>
      </c>
      <c r="AJ96" s="2" t="e">
        <f ca="1">_xll.BDH($C$78,"GROWTH_IN_CAP","FQ3 2017","FQ3 2017","Currency=INR","Period=FQ","BEST_FPERIOD_OVERRIDE=FQ","FILING_STATUS=OR","EQY_CONSOLIDATED=Y","Sort=A","Dates=H","DateFormat=P","Fill=—","Direction=H","UseDPDF=Y")</f>
        <v>#NAME?</v>
      </c>
      <c r="AK96" s="2" t="e">
        <f ca="1">_xll.BDH($C$78,"BVPS_GROWTH","FQ3 2017","FQ3 2017","Currency=INR","Period=FQ","BEST_FPERIOD_OVERRIDE=FQ","FILING_STATUS=OR","EQY_CONSOLIDATED=Y","Sort=A","Dates=H","DateFormat=P","Fill=—","Direction=H","UseDPDF=Y")</f>
        <v>#NAME?</v>
      </c>
      <c r="AL96" s="2" t="e">
        <f ca="1">_xll.BDH($C$78,"CASH_FLOW_GROWTH","FQ3 2017","FQ3 2017","Currency=INR","Period=FQ","BEST_FPERIOD_OVERRIDE=FQ","FILING_STATUS=OR","EQY_CONSOLIDATED=Y","Sort=A","Dates=H","DateFormat=P","Fill=—","Direction=H","UseDPDF=Y")</f>
        <v>#NAME?</v>
      </c>
      <c r="AM96" s="2" t="e">
        <f ca="1">_xll.BDH($C$78,"GEO_GROW_NET_SALES","FQ3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96" s="2" t="e">
        <f ca="1">_xll.BDH($C$78,"GEO_GROW_EBITDA","FQ3 2017","FQ3 2017","Currency=INR","Period=FQ","BEST_FPERIOD_OVERRIDE=FQ","FILING_STATUS=OR","EQY_CONSOLIDATED=Y","FA_ADJUSTED=GAAP","Sort=A","Dates=H","DateFormat=P","Fill=—","Direction=H","UseDPDF=Y")</f>
        <v>#NAME?</v>
      </c>
      <c r="AO96" s="2" t="e">
        <f ca="1">_xll.BDH($C$78,"GEO_GROW_OPER_INC","FQ3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96" s="2" t="e">
        <f ca="1">_xll.BDH($C$78,"NET_INCOME_TO_COMMON_5_YR_GROWTH","FQ3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96" s="2" t="e">
        <f ca="1">_xll.BDH($C$78,"5Y_GEO_GROWTH_DILUTED_EPS","FQ3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96" s="2" t="e">
        <f ca="1">_xll.BDH($C$78,"GEO_GROW_DVD_PER_SH","FQ3 2017","FQ3 2017","Currency=INR","Period=FQ","BEST_FPERIOD_OVERRIDE=FQ","FILING_STATUS=OR","EQY_CONSOLIDATED=Y","Sort=A","Dates=H","DateFormat=P","Fill=—","Direction=H","UseDPDF=Y")</f>
        <v>#NAME?</v>
      </c>
      <c r="AS96" s="2" t="e">
        <f ca="1">_xll.BDH($C$78,"ACCOUNTS_RECEIVABLE_5_YR_GROWTH","FQ3 2017","FQ3 2017","Currency=INR","Period=FQ","BEST_FPERIOD_OVERRIDE=FQ","FILING_STATUS=OR","EQY_CONSOLIDATED=Y","Sort=A","Dates=H","DateFormat=P","Fill=—","Direction=H","UseDPDF=Y")</f>
        <v>#NAME?</v>
      </c>
      <c r="AT96" s="2" t="e">
        <f ca="1">_xll.BDH($C$78,"INVENTORY_5_YEAR_GROWTH","FQ3 2017","FQ3 2017","Currency=INR","Period=FQ","BEST_FPERIOD_OVERRIDE=FQ","FILING_STATUS=OR","EQY_CONSOLIDATED=Y","Sort=A","Dates=H","DateFormat=P","Fill=—","Direction=H","UseDPDF=Y")</f>
        <v>#NAME?</v>
      </c>
      <c r="AU96" s="2" t="e">
        <f ca="1">_xll.BDH($C$78,"NET_FIXED_ASSETS_5_YEAR_GROWTH","FQ3 2017","FQ3 2017","Currency=INR","Period=FQ","BEST_FPERIOD_OVERRIDE=FQ","FILING_STATUS=OR","EQY_CONSOLIDATED=Y","Sort=A","Dates=H","DateFormat=P","Fill=—","Direction=H","UseDPDF=Y")</f>
        <v>#NAME?</v>
      </c>
      <c r="AV96" s="2" t="e">
        <f ca="1">_xll.BDH($C$78,"GEO_GROW_TOT_ASSET","FQ3 2017","FQ3 2017","Currency=INR","Period=FQ","BEST_FPERIOD_OVERRIDE=FQ","FILING_STATUS=OR","EQY_CONSOLIDATED=Y","Sort=A","Dates=H","DateFormat=P","Fill=—","Direction=H","UseDPDF=Y")</f>
        <v>#NAME?</v>
      </c>
      <c r="AW96" s="2" t="e">
        <f ca="1">_xll.BDH($C$78,"MODIFIED_WORKING_CPTL_5YR_GRWTH","FQ3 2017","FQ3 2017","Currency=INR","Period=FQ","BEST_FPERIOD_OVERRIDE=FQ","FILING_STATUS=OR","EQY_CONSOLIDATED=Y","Sort=A","Dates=H","DateFormat=P","Fill=—","Direction=H","UseDPDF=Y")</f>
        <v>#NAME?</v>
      </c>
      <c r="AX96" s="2" t="e">
        <f ca="1">_xll.BDH($C$78,"WORKING_CAPITAL_5_YEAR_GROWTH","FQ3 2017","FQ3 2017","Currency=INR","Period=FQ","BEST_FPERIOD_OVERRIDE=FQ","FILING_STATUS=OR","EQY_CONSOLIDATED=Y","Sort=A","Dates=H","DateFormat=P","Fill=—","Direction=H","UseDPDF=Y")</f>
        <v>#NAME?</v>
      </c>
      <c r="AY96" s="2" t="e">
        <f ca="1">_xll.BDH($C$78,"ACCOUNTS_PAYABLE_5_YEAR_GROWTH","FQ3 2017","FQ3 2017","Currency=INR","Period=FQ","BEST_FPERIOD_OVERRIDE=FQ","FILING_STATUS=OR","EQY_CONSOLIDATED=Y","Sort=A","Dates=H","DateFormat=P","Fill=—","Direction=H","UseDPDF=Y")</f>
        <v>#NAME?</v>
      </c>
      <c r="AZ96" s="2" t="e">
        <f ca="1">_xll.BDH($C$78,"SHORT_TERM_DEBT_5_YEAR_GROWTH","FQ3 2017","FQ3 2017","Currency=INR","Period=FQ","BEST_FPERIOD_OVERRIDE=FQ","FILING_STATUS=OR","EQY_CONSOLIDATED=Y","Sort=A","Dates=H","DateFormat=P","Fill=—","Direction=H","UseDPDF=Y")</f>
        <v>#NAME?</v>
      </c>
      <c r="BA96" s="2" t="e">
        <f ca="1">_xll.BDH($C$78,"TOTAL_DEBT_5_YEAR_GROWTH","FQ3 2017","FQ3 2017","Currency=INR","Period=FQ","BEST_FPERIOD_OVERRIDE=FQ","FILING_STATUS=OR","EQY_CONSOLIDATED=Y","Sort=A","Dates=H","DateFormat=P","Fill=—","Direction=H","UseDPDF=Y")</f>
        <v>#NAME?</v>
      </c>
      <c r="BB96" s="2" t="e">
        <f ca="1">_xll.BDH($C$78,"GEO_GROW_TOT_SHRHLDR_EQY","FQ3 2017","FQ3 2017","Currency=INR","Period=FQ","BEST_FPERIOD_OVERRIDE=FQ","FILING_STATUS=OR","EQY_CONSOLIDATED=Y","Sort=A","Dates=H","DateFormat=P","Fill=—","Direction=H","UseDPDF=Y")</f>
        <v>#NAME?</v>
      </c>
      <c r="BC96" s="2" t="e">
        <f ca="1">_xll.BDH($C$78,"TOTAL_CAPITAL_5_YEAR_GROWTH","FQ3 2017","FQ3 2017","Currency=INR","Period=FQ","BEST_FPERIOD_OVERRIDE=FQ","FILING_STATUS=OR","EQY_CONSOLIDATED=Y","Sort=A","Dates=H","DateFormat=P","Fill=—","Direction=H","UseDPDF=Y")</f>
        <v>#NAME?</v>
      </c>
      <c r="BD96" s="2" t="e">
        <f ca="1">_xll.BDH($C$78,"GEO_GROW_BOOK_VAL","FQ3 2017","FQ3 2017","Currency=INR","Period=FQ","BEST_FPERIOD_OVERRIDE=FQ","FILING_STATUS=OR","EQY_CONSOLIDATED=Y","Sort=A","Dates=H","DateFormat=P","Fill=—","Direction=H","UseDPDF=Y")</f>
        <v>#NAME?</v>
      </c>
      <c r="BE96" s="2" t="e">
        <f ca="1">_xll.BDH($C$78,"GEO_GROW_CASH_OPER_ACT","FQ3 2017","FQ3 2017","Currency=INR","Period=FQ","BEST_FPERIOD_OVERRIDE=FQ","FILING_STATUS=OR","EQY_CONSOLIDATED=Y","Sort=A","Dates=H","DateFormat=P","Fill=—","Direction=H","UseDPDF=Y")</f>
        <v>#NAME?</v>
      </c>
      <c r="BF96" s="2" t="e">
        <f ca="1">_xll.BDH($C$78,"REVENUE_SEQUENTIAL_GROWTH","FQ3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96" s="2" t="e">
        <f ca="1">_xll.BDH($C$78,"EBITDA_SEQUENTIAL_GROWTH","FQ3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96" s="2" t="e">
        <f ca="1">_xll.BDH($C$78,"OPERATING_INCOME_SEQ_GROWTH","FQ3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96" s="2" t="e">
        <f ca="1">_xll.BDH($C$78,"NET_INCOME_TO_COMMON_SEQ_GROWTH","FQ3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96" s="2" t="e">
        <f ca="1">_xll.BDH($C$78,"EPS_DILUTED_SEQUENTIAL_GROWTH","FQ3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96" s="2" t="e">
        <f ca="1">_xll.BDH($C$78,"DPS_SEQUENTIAL_GROWTH","FQ3 2017","FQ3 2017","Currency=INR","Period=FQ","BEST_FPERIOD_OVERRIDE=FQ","FILING_STATUS=OR","EQY_CONSOLIDATED=Y","Sort=A","Dates=H","DateFormat=P","Fill=—","Direction=H","UseDPDF=Y")</f>
        <v>#NAME?</v>
      </c>
      <c r="BL96" s="2" t="e">
        <f ca="1">_xll.BDH($C$78,"ACCOUNTS_RECEIVABLE_SEQ_GROWTH","FQ3 2017","FQ3 2017","Currency=INR","Period=FQ","BEST_FPERIOD_OVERRIDE=FQ","FILING_STATUS=OR","EQY_CONSOLIDATED=Y","Sort=A","Dates=H","DateFormat=P","Fill=—","Direction=H","UseDPDF=Y")</f>
        <v>#NAME?</v>
      </c>
      <c r="BM96" s="2" t="e">
        <f ca="1">_xll.BDH($C$78,"INVENTORY_SEQUENTIAL_GROWTH","FQ3 2017","FQ3 2017","Currency=INR","Period=FQ","BEST_FPERIOD_OVERRIDE=FQ","FILING_STATUS=OR","EQY_CONSOLIDATED=Y","Sort=A","Dates=H","DateFormat=P","Fill=—","Direction=H","UseDPDF=Y")</f>
        <v>#NAME?</v>
      </c>
      <c r="BN96" s="2" t="e">
        <f ca="1">_xll.BDH($C$78,"FIXED_ASSETS_SEQUENTIAL_GROWTH","FQ3 2017","FQ3 2017","Currency=INR","Period=FQ","BEST_FPERIOD_OVERRIDE=FQ","FILING_STATUS=OR","EQY_CONSOLIDATED=Y","Sort=A","Dates=H","DateFormat=P","Fill=—","Direction=H","UseDPDF=Y")</f>
        <v>#NAME?</v>
      </c>
      <c r="BO96" s="2" t="e">
        <f ca="1">_xll.BDH($C$78,"TOTAL_ASSETS_SEQUENTIAL_GROWTH","FQ3 2017","FQ3 2017","Currency=INR","Period=FQ","BEST_FPERIOD_OVERRIDE=FQ","FILING_STATUS=OR","EQY_CONSOLIDATED=Y","Sort=A","Dates=H","DateFormat=P","Fill=—","Direction=H","UseDPDF=Y")</f>
        <v>#NAME?</v>
      </c>
      <c r="BP96" s="2" t="e">
        <f ca="1">_xll.BDH($C$78,"MODIFIED_WORKING_CPTL_SEQ_GRWTH","FQ3 2017","FQ3 2017","Currency=INR","Period=FQ","BEST_FPERIOD_OVERRIDE=FQ","FILING_STATUS=OR","EQY_CONSOLIDATED=Y","Sort=A","Dates=H","DateFormat=P","Fill=—","Direction=H","UseDPDF=Y")</f>
        <v>#NAME?</v>
      </c>
      <c r="BQ96" s="2" t="e">
        <f ca="1">_xll.BDH($C$78,"WORKING_CAPITAL_SEQ_GROWTH","FQ3 2017","FQ3 2017","Currency=INR","Period=FQ","BEST_FPERIOD_OVERRIDE=FQ","FILING_STATUS=OR","EQY_CONSOLIDATED=Y","Sort=A","Dates=H","DateFormat=P","Fill=—","Direction=H","UseDPDF=Y")</f>
        <v>#NAME?</v>
      </c>
      <c r="BR96" s="2" t="e">
        <f ca="1">_xll.BDH($C$78,"ACCOUNTS_PAYABLE_SEQ_GROWTH","FQ3 2017","FQ3 2017","Currency=INR","Period=FQ","BEST_FPERIOD_OVERRIDE=FQ","FILING_STATUS=OR","EQY_CONSOLIDATED=Y","Sort=A","Dates=H","DateFormat=P","Fill=—","Direction=H","UseDPDF=Y")</f>
        <v>#NAME?</v>
      </c>
      <c r="BS96" s="2" t="e">
        <f ca="1">_xll.BDH($C$78,"ST_DEBT_SEQUENTIAL_GROWTH","FQ3 2017","FQ3 2017","Currency=INR","Period=FQ","BEST_FPERIOD_OVERRIDE=FQ","FILING_STATUS=OR","EQY_CONSOLIDATED=Y","Sort=A","Dates=H","DateFormat=P","Fill=—","Direction=H","UseDPDF=Y")</f>
        <v>#NAME?</v>
      </c>
      <c r="BT96" s="2" t="e">
        <f ca="1">_xll.BDH($C$78,"TOTAL_DEBT_SEQUENTIAL_GROWTH","FQ3 2017","FQ3 2017","Currency=INR","Period=FQ","BEST_FPERIOD_OVERRIDE=FQ","FILING_STATUS=OR","EQY_CONSOLIDATED=Y","Sort=A","Dates=H","DateFormat=P","Fill=—","Direction=H","UseDPDF=Y")</f>
        <v>#NAME?</v>
      </c>
      <c r="BU96" s="2" t="e">
        <f ca="1">_xll.BDH($C$78,"TOTAL_EQUITY_SEQUENTIAL_GROWTH","FQ3 2017","FQ3 2017","Currency=INR","Period=FQ","BEST_FPERIOD_OVERRIDE=FQ","FILING_STATUS=OR","EQY_CONSOLIDATED=Y","Sort=A","Dates=H","DateFormat=P","Fill=—","Direction=H","UseDPDF=Y")</f>
        <v>#NAME?</v>
      </c>
      <c r="BV96" s="2" t="e">
        <f ca="1">_xll.BDH($C$78,"TOTAL_CAPITAL_SEQUENTIAL_GROWTH","FQ3 2017","FQ3 2017","Currency=INR","Period=FQ","BEST_FPERIOD_OVERRIDE=FQ","FILING_STATUS=OR","EQY_CONSOLIDATED=Y","Sort=A","Dates=H","DateFormat=P","Fill=—","Direction=H","UseDPDF=Y")</f>
        <v>#NAME?</v>
      </c>
      <c r="BW96" s="2" t="e">
        <f ca="1">_xll.BDH($C$78,"BPS_SEQUENTIAL_GROWTH","FQ3 2017","FQ3 2017","Currency=INR","Period=FQ","BEST_FPERIOD_OVERRIDE=FQ","FILING_STATUS=OR","EQY_CONSOLIDATED=Y","Sort=A","Dates=H","DateFormat=P","Fill=—","Direction=H","UseDPDF=Y")</f>
        <v>#NAME?</v>
      </c>
      <c r="BX96" s="2" t="e">
        <f ca="1">_xll.BDH($C$78,"CFO_SEQUENTIAL_GROWTH","FQ3 2017","FQ3 2017","Currency=INR","Period=FQ","BEST_FPERIOD_OVERRIDE=FQ","FILING_STATUS=OR","EQY_CONSOLIDATED=Y","Sort=A","Dates=H","DateFormat=P","Fill=—","Direction=H","UseDPDF=Y")</f>
        <v>#NAME?</v>
      </c>
      <c r="BY96" s="3" t="e">
        <f ca="1">_xll.BDH($C$78,"SHORT_AND_LONG_TERM_DEBT","FQ3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96" s="3" t="e">
        <f ca="1">_xll.BDH($C$78,"BS_ST_BORROW","FQ3 2017","FQ3 2017","Currency=INR","Period=FQ","BEST_FPERIOD_OVERRIDE=FQ","FILING_STATUS=OR","EQY_CONSOLIDATED=Y","SCALING_FORMAT=MLN","Sort=A","Dates=H","DateFormat=P","Fill=—","Direction=H","UseDPDF=Y")</f>
        <v>#NAME?</v>
      </c>
      <c r="CA96" s="3" t="e">
        <f ca="1">_xll.BDH($C$78,"BS_LT_BORROW","FQ3 2017","FQ3 2017","Currency=INR","Period=FQ","BEST_FPERIOD_OVERRIDE=FQ","FILING_STATUS=OR","EQY_CONSOLIDATED=Y","SCALING_FORMAT=MLN","Sort=A","Dates=H","DateFormat=P","Fill=—","Direction=H","UseDPDF=Y")</f>
        <v>#NAME?</v>
      </c>
      <c r="CB96" s="2" t="e">
        <f ca="1">_xll.BDH($C$78,"TOT_DEBT_TO_EBITDA","FQ3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96" s="2" t="e">
        <f ca="1">_xll.BDH($C$78,"NET_DEBT_TO_EBITDA","FQ3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96" s="2" t="e">
        <f ca="1">_xll.BDH($C$78,"TOTAL_DEBT_TO_EBIT","FQ3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96" s="2" t="e">
        <f ca="1">_xll.BDH($C$78,"NET_DEBT_TO_EBIT","FQ3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96" s="2" t="e">
        <f ca="1">_xll.BDH($C$78,"EBITDA_TO_INTEREST_EXPN","FQ3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96" s="2" t="e">
        <f ca="1">_xll.BDH($C$78,"COM_EQY_TO_TOT_ASSET","FQ3 2017","FQ3 2017","Currency=INR","Period=FQ","BEST_FPERIOD_OVERRIDE=FQ","FILING_STATUS=OR","EQY_CONSOLIDATED=Y","Sort=A","Dates=H","DateFormat=P","Fill=—","Direction=H","UseDPDF=Y")</f>
        <v>#NAME?</v>
      </c>
      <c r="CH96" s="2" t="e">
        <f ca="1">_xll.BDH($C$78,"LT_DEBT_TO_TOT_EQY","FQ3 2017","FQ3 2017","Currency=INR","Period=FQ","BEST_FPERIOD_OVERRIDE=FQ","FILING_STATUS=OR","EQY_CONSOLIDATED=Y","Sort=A","Dates=H","DateFormat=P","Fill=—","Direction=H","UseDPDF=Y")</f>
        <v>#NAME?</v>
      </c>
      <c r="CI96" s="2" t="e">
        <f ca="1">_xll.BDH($C$78,"LT_DEBT_TO_TOT_CAP","FQ3 2017","FQ3 2017","Currency=INR","Period=FQ","BEST_FPERIOD_OVERRIDE=FQ","FILING_STATUS=OR","EQY_CONSOLIDATED=Y","Sort=A","Dates=H","DateFormat=P","Fill=—","Direction=H","UseDPDF=Y")</f>
        <v>#NAME?</v>
      </c>
      <c r="CJ96" s="2" t="e">
        <f ca="1">_xll.BDH($C$78,"LT_DEBT_TO_TOT_ASSET","FQ3 2017","FQ3 2017","Currency=INR","Period=FQ","BEST_FPERIOD_OVERRIDE=FQ","FILING_STATUS=OR","EQY_CONSOLIDATED=Y","Sort=A","Dates=H","DateFormat=P","Fill=—","Direction=H","UseDPDF=Y")</f>
        <v>#NAME?</v>
      </c>
      <c r="CK96" s="2" t="e">
        <f ca="1">_xll.BDH($C$78,"TOT_DEBT_TO_TOT_EQY","FQ3 2017","FQ3 2017","Currency=INR","Period=FQ","BEST_FPERIOD_OVERRIDE=FQ","FILING_STATUS=OR","EQY_CONSOLIDATED=Y","Sort=A","Dates=H","DateFormat=P","Fill=—","Direction=H","UseDPDF=Y")</f>
        <v>#NAME?</v>
      </c>
      <c r="CL96" s="2" t="e">
        <f ca="1">_xll.BDH($C$78,"TOT_DEBT_TO_TOT_CAP","FQ3 2017","FQ3 2017","Currency=INR","Period=FQ","BEST_FPERIOD_OVERRIDE=FQ","FILING_STATUS=OR","EQY_CONSOLIDATED=Y","Sort=A","Dates=H","DateFormat=P","Fill=—","Direction=H","UseDPDF=Y")</f>
        <v>#NAME?</v>
      </c>
      <c r="CM96" s="2" t="e">
        <f ca="1">_xll.BDH($C$78,"TOT_DEBT_TO_TOT_ASSET","FQ3 2017","FQ3 2017","Currency=INR","Period=FQ","BEST_FPERIOD_OVERRIDE=FQ","FILING_STATUS=OR","EQY_CONSOLIDATED=Y","Sort=A","Dates=H","DateFormat=P","Fill=—","Direction=H","UseDPDF=Y")</f>
        <v>#NAME?</v>
      </c>
      <c r="CN96" s="2" t="e">
        <f ca="1">_xll.BDH($C$78,"NET_DEBT_TO_SHRHLDR_EQTY","FQ3 2017","FQ3 2017","Currency=INR","Period=FQ","BEST_FPERIOD_OVERRIDE=FQ","FILING_STATUS=OR","EQY_CONSOLIDATED=Y","Sort=A","Dates=H","DateFormat=P","Fill=—","Direction=H","UseDPDF=Y")</f>
        <v>#NAME?</v>
      </c>
      <c r="CO96" s="2" t="e">
        <f ca="1">_xll.BDH($C$78,"NET_DEBT_%_CAPITAL","FQ3 2017","FQ3 2017","Currency=INR","Period=FQ","BEST_FPERIOD_OVERRIDE=FQ","FILING_STATUS=OR","EQY_CONSOLIDATED=Y","Sort=A","Dates=H","DateFormat=P","Fill=—","Direction=H","UseDPDF=Y")</f>
        <v>#NAME?</v>
      </c>
      <c r="CP96" s="3" t="e">
        <f ca="1">_xll.BDH($C$78,"EBITDA","FQ3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96" s="3" t="e">
        <f ca="1">_xll.BDH($C$78,"EBITDA_AFTER_CAPEX","FQ3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96" s="3" t="e">
        <f ca="1">_xll.BDH($C$78,"IS_OPER_INC","FQ3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96" s="2" t="e">
        <f ca="1">_xll.BDH($C$78,"CASH_RATIO","FQ3 2017","FQ3 2017","Currency=INR","Period=FQ","BEST_FPERIOD_OVERRIDE=FQ","FILING_STATUS=OR","EQY_CONSOLIDATED=Y","Sort=A","Dates=H","DateFormat=P","Fill=—","Direction=H","UseDPDF=Y")</f>
        <v>#NAME?</v>
      </c>
      <c r="CT96" s="2" t="e">
        <f ca="1">_xll.BDH($C$78,"CUR_RATIO","FQ3 2017","FQ3 2017","Currency=INR","Period=FQ","BEST_FPERIOD_OVERRIDE=FQ","FILING_STATUS=OR","EQY_CONSOLIDATED=Y","Sort=A","Dates=H","DateFormat=P","Fill=—","Direction=H","UseDPDF=Y")</f>
        <v>#NAME?</v>
      </c>
      <c r="CU96" s="2" t="e">
        <f ca="1">_xll.BDH($C$78,"QUICK_RATIO","FQ3 2017","FQ3 2017","Currency=INR","Period=FQ","BEST_FPERIOD_OVERRIDE=FQ","FILING_STATUS=OR","EQY_CONSOLIDATED=Y","Sort=A","Dates=H","DateFormat=P","Fill=—","Direction=H","UseDPDF=Y")</f>
        <v>#NAME?</v>
      </c>
      <c r="CV96" s="2" t="e">
        <f ca="1">_xll.BDH($C$78,"ALTMAN_Z_SCORE","FQ3 2017","FQ3 2017","Currency=INR","Period=FQ","BEST_FPERIOD_OVERRIDE=FQ","FILING_STATUS=OR","EQY_CONSOLIDATED=Y","Sort=A","Dates=H","DateFormat=P","Fill=—","Direction=H","UseDPDF=Y")</f>
        <v>#NAME?</v>
      </c>
      <c r="CW96" s="4" t="e">
        <f ca="1">_xll.BDH($C$78,"ACCT_RCV_TURN","FQ3 2017","FQ3 2017","Currency=INR","Period=FQ","BEST_FPERIOD_OVERRIDE=FQ","FILING_STATUS=OR","EQY_CONSOLIDATED=Y","FA_ADJUSTED=GAAP","Sort=A","Dates=H","DateFormat=P","Fill=—","Direction=H","UseDPDF=Y")</f>
        <v>#NAME?</v>
      </c>
      <c r="CX96" s="2" t="e">
        <f ca="1">_xll.BDH($C$78,"ACCT_RCV_DAYS","FQ3 2017","FQ3 2017","Currency=INR","Period=FQ","BEST_FPERIOD_OVERRIDE=FQ","FILING_STATUS=OR","EQY_CONSOLIDATED=Y","FA_ADJUSTED=GAAP","Sort=A","Dates=H","DateFormat=P","Fill=—","Direction=H","UseDPDF=Y")</f>
        <v>#NAME?</v>
      </c>
      <c r="CY96" s="4" t="e">
        <f ca="1">_xll.BDH($C$78,"INVENT_TURN","FQ3 2017","FQ3 2017","Currency=INR","Period=FQ","BEST_FPERIOD_OVERRIDE=FQ","FILING_STATUS=OR","EQY_CONSOLIDATED=Y","FA_ADJUSTED=GAAP","Sort=A","Dates=H","DateFormat=P","Fill=—","Direction=H","UseDPDF=Y")</f>
        <v>#NAME?</v>
      </c>
      <c r="CZ96" s="2" t="e">
        <f ca="1">_xll.BDH($C$78,"INVENT_DAYS","FQ3 2017","FQ3 2017","Currency=INR","Period=FQ","BEST_FPERIOD_OVERRIDE=FQ","FILING_STATUS=OR","EQY_CONSOLIDATED=Y","FA_ADJUSTED=GAAP","Sort=A","Dates=H","DateFormat=P","Fill=—","Direction=H","UseDPDF=Y")</f>
        <v>#NAME?</v>
      </c>
      <c r="DA96" s="4" t="e">
        <f ca="1">_xll.BDH($C$78,"ACCOUNTS_PAYABLE_TURNOVER","FQ3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96" s="2" t="e">
        <f ca="1">_xll.BDH($C$78,"ACCOUNTS_PAYABLE_TURNOVER_DAYS","FQ3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96" s="4" t="e">
        <f ca="1">_xll.BDH($C$78,"CASH_CONVERSION_CYCLE","FQ3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96" s="4" t="e">
        <f ca="1">_xll.BDH($C$78,"INV_TO_CASH_DAYS","FQ3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96" s="5" t="e">
        <f ca="1">_xll.BDH($C$78,"BS_INVENTORIES","FQ3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96" s="3" t="e">
        <f ca="1">_xll.BDH($C$78,"INVTRY_RAW_MATERIALS","FQ3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96" s="3" t="e">
        <f ca="1">_xll.BDH($C$78,"INVTRY_IN_PROGRESS","FQ3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96" s="3" t="e">
        <f ca="1">_xll.BDH($C$78,"INVTRY_FINISHED_GOODS","FQ3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96" s="3" t="e">
        <f ca="1">_xll.BDH($C$78,"BS_OTHER_INV","FQ3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97" spans="1:113" x14ac:dyDescent="0.3">
      <c r="A97" s="6"/>
      <c r="B97" s="6"/>
      <c r="C97" s="6"/>
      <c r="D97" s="6"/>
      <c r="E97" t="s">
        <v>81</v>
      </c>
      <c r="F97" t="e">
        <f ca="1">_xll.BDH($C$78,"RETURN_COM_EQY","FQ4 2017","FQ4 2017","Currency=INR","Period=FQ","BEST_FPERIOD_OVERRIDE=FQ","FILING_STATUS=OR","EQY_CONSOLIDATED=Y","FA_ADJUSTED=GAAP","Sort=A","Dates=H","DateFormat=P","Fill=—","Direction=H","UseDPDF=Y")</f>
        <v>#NAME?</v>
      </c>
      <c r="G97" t="e">
        <f ca="1">_xll.BDH($C$78,"RETURN_ON_ASSET","FQ4 2017","FQ4 2017","Currency=INR","Period=FQ","BEST_FPERIOD_OVERRIDE=FQ","FILING_STATUS=OR","EQY_CONSOLIDATED=Y","FA_ADJUSTED=GAAP","Sort=A","Dates=H","DateFormat=P","Fill=—","Direction=H","UseDPDF=Y")</f>
        <v>#NAME?</v>
      </c>
      <c r="H97" t="e">
        <f ca="1">_xll.BDH($C$78,"RETURN_ON_CAP","FQ4 2017","FQ4 2017","Currency=INR","Period=FQ","BEST_FPERIOD_OVERRIDE=FQ","FILING_STATUS=OR","EQY_CONSOLIDATED=Y","FA_ADJUSTED=GAAP","Sort=A","Dates=H","DateFormat=P","Fill=—","Direction=H","UseDPDF=Y")</f>
        <v>#NAME?</v>
      </c>
      <c r="I97" t="e">
        <f ca="1">_xll.BDH($C$78,"RETURN_ON_INV_CAPITAL","FQ4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97" t="e">
        <f ca="1">_xll.BDH($C$78,"EBITDA_TO_REVENUE","FQ4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97" t="e">
        <f ca="1">_xll.BDH($C$78,"OPER_MARGIN","FQ4 2017","FQ4 2017","Currency=INR","Period=FQ","BEST_FPERIOD_OVERRIDE=FQ","FILING_STATUS=OR","EQY_CONSOLIDATED=Y","FA_ADJUSTED=GAAP","Sort=A","Dates=H","DateFormat=P","Fill=—","Direction=H","UseDPDF=Y")</f>
        <v>#NAME?</v>
      </c>
      <c r="L97" t="e">
        <f ca="1">_xll.BDH($C$78,"INCREMENTAL_OPERATING_MARGIN","FQ4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97" t="e">
        <f ca="1">_xll.BDH($C$78,"PRETAX_INC_TO_NET_SALES","FQ4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97" t="e">
        <f ca="1">_xll.BDH($C$78,"INC_BEF_XO_ITEMS_TO_NET_SALES","FQ4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97" t="e">
        <f ca="1">_xll.BDH($C$78,"PROF_MARGIN","FQ4 2017","FQ4 2017","Currency=INR","Period=FQ","BEST_FPERIOD_OVERRIDE=FQ","FILING_STATUS=OR","EQY_CONSOLIDATED=Y","FA_ADJUSTED=GAAP","Sort=A","Dates=H","DateFormat=P","Fill=—","Direction=H","UseDPDF=Y")</f>
        <v>#NAME?</v>
      </c>
      <c r="P97" t="e">
        <f ca="1">_xll.BDH($C$78,"NET_INCOME_TO_COMMON_MARGIN","FQ4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97" t="e">
        <f ca="1">_xll.BDH($C$78,"EFF_TAX_RATE","FQ4 2017","FQ4 2017","Currency=INR","Period=FQ","BEST_FPERIOD_OVERRIDE=FQ","FILING_STATUS=OR","EQY_CONSOLIDATED=Y","FA_ADJUSTED=GAAP","Sort=A","Dates=H","DateFormat=P","Fill=—","Direction=H","UseDPDF=Y")</f>
        <v>#NAME?</v>
      </c>
      <c r="R97" t="e">
        <f ca="1">_xll.BDH($C$78,"DVD_PAYOUT_RATIO","FQ4 2017","FQ4 2017","Currency=INR","Period=FQ","BEST_FPERIOD_OVERRIDE=FQ","FILING_STATUS=OR","EQY_CONSOLIDATED=Y","FA_ADJUSTED=GAAP","Sort=A","Dates=H","DateFormat=P","Fill=—","Direction=H","UseDPDF=Y")</f>
        <v>#NAME?</v>
      </c>
      <c r="S97" t="e">
        <f ca="1">_xll.BDH($C$78,"SUSTAIN_GROWTH_RT","FQ4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97" s="2" t="e">
        <f ca="1">_xll.BDH($C$78,"SALES_GROWTH","FQ4 2017","FQ4 2017","Currency=INR","Period=FQ","BEST_FPERIOD_OVERRIDE=FQ","FILING_STATUS=OR","EQY_CONSOLIDATED=Y","FA_ADJUSTED=GAAP","Sort=A","Dates=H","DateFormat=P","Fill=—","Direction=H","UseDPDF=Y")</f>
        <v>#NAME?</v>
      </c>
      <c r="U97" s="2" t="e">
        <f ca="1">_xll.BDH($C$78,"EBITDA_GROWTH","FQ4 2017","FQ4 2017","Currency=INR","Period=FQ","BEST_FPERIOD_OVERRIDE=FQ","FILING_STATUS=OR","EQY_CONSOLIDATED=Y","FA_ADJUSTED=GAAP","Sort=A","Dates=H","DateFormat=P","Fill=—","Direction=H","UseDPDF=Y")</f>
        <v>#NAME?</v>
      </c>
      <c r="V97" s="2" t="e">
        <f ca="1">_xll.BDH($C$78,"OPER_INC_GROWTH","FQ4 2017","FQ4 2017","Currency=INR","Period=FQ","BEST_FPERIOD_OVERRIDE=FQ","FILING_STATUS=OR","EQY_CONSOLIDATED=Y","FA_ADJUSTED=GAAP","Sort=A","Dates=H","DateFormat=P","Fill=—","Direction=H","UseDPDF=Y")</f>
        <v>#NAME?</v>
      </c>
      <c r="W97" s="2" t="e">
        <f ca="1">_xll.BDH($C$78,"EARN_FOR_COM_GROWTH","FQ4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97" s="2" t="e">
        <f ca="1">_xll.BDH($C$78,"DILUTED_EPS_AFT_XO_ITEMS_GROWTH","FQ4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97" s="2" t="e">
        <f ca="1">_xll.BDH($C$78,"DIVIDEND_PER_SHARE_1_YEAR_GROWTH","FQ4 2017","FQ4 2017","Currency=INR","Period=FQ","BEST_FPERIOD_OVERRIDE=FQ","FILING_STATUS=OR","EQY_CONSOLIDATED=Y","Sort=A","Dates=H","DateFormat=P","Fill=—","Direction=H","UseDPDF=Y")</f>
        <v>#NAME?</v>
      </c>
      <c r="Z97" s="2" t="e">
        <f ca="1">_xll.BDH($C$78,"ACCOUNTS_RECEIVABLE_GROWTH","FQ4 2017","FQ4 2017","Currency=INR","Period=FQ","BEST_FPERIOD_OVERRIDE=FQ","FILING_STATUS=OR","EQY_CONSOLIDATED=Y","Sort=A","Dates=H","DateFormat=P","Fill=—","Direction=H","UseDPDF=Y")</f>
        <v>#NAME?</v>
      </c>
      <c r="AA97" s="2" t="e">
        <f ca="1">_xll.BDH($C$78,"INVENTORY_GROWTH","FQ4 2017","FQ4 2017","Currency=INR","Period=FQ","BEST_FPERIOD_OVERRIDE=FQ","FILING_STATUS=OR","EQY_CONSOLIDATED=Y","Sort=A","Dates=H","DateFormat=P","Fill=—","Direction=H","UseDPDF=Y")</f>
        <v>#NAME?</v>
      </c>
      <c r="AB97" s="2" t="e">
        <f ca="1">_xll.BDH($C$78,"NET_FIXED_ASSETS_1_YEAR_GROWTH","FQ4 2017","FQ4 2017","Currency=INR","Period=FQ","BEST_FPERIOD_OVERRIDE=FQ","FILING_STATUS=OR","EQY_CONSOLIDATED=Y","Sort=A","Dates=H","DateFormat=P","Fill=—","Direction=H","UseDPDF=Y")</f>
        <v>#NAME?</v>
      </c>
      <c r="AC97" s="2" t="e">
        <f ca="1">_xll.BDH($C$78,"ASSET_GROWTH","FQ4 2017","FQ4 2017","Currency=INR","Period=FQ","BEST_FPERIOD_OVERRIDE=FQ","FILING_STATUS=OR","EQY_CONSOLIDATED=Y","Sort=A","Dates=H","DateFormat=P","Fill=—","Direction=H","UseDPDF=Y")</f>
        <v>#NAME?</v>
      </c>
      <c r="AD97" s="2" t="e">
        <f ca="1">_xll.BDH($C$78,"MODIFIED_WORK_CAP_GROWTH","FQ4 2017","FQ4 2017","Currency=INR","Period=FQ","BEST_FPERIOD_OVERRIDE=FQ","FILING_STATUS=OR","EQY_CONSOLIDATED=Y","Sort=A","Dates=H","DateFormat=P","Fill=—","Direction=H","UseDPDF=Y")</f>
        <v>#NAME?</v>
      </c>
      <c r="AE97" s="2" t="e">
        <f ca="1">_xll.BDH($C$78,"WORK_CAP_GROWTH","FQ4 2017","FQ4 2017","Currency=INR","Period=FQ","BEST_FPERIOD_OVERRIDE=FQ","FILING_STATUS=OR","EQY_CONSOLIDATED=Y","Sort=A","Dates=H","DateFormat=P","Fill=—","Direction=H","UseDPDF=Y")</f>
        <v>#NAME?</v>
      </c>
      <c r="AF97" s="2" t="e">
        <f ca="1">_xll.BDH($C$78,"ACCOUNTS_PAYABLE_GROWTH_1YR","FQ4 2017","FQ4 2017","Currency=INR","Period=FQ","BEST_FPERIOD_OVERRIDE=FQ","FILING_STATUS=OR","EQY_CONSOLIDATED=Y","Sort=A","Dates=H","DateFormat=P","Fill=—","Direction=H","UseDPDF=Y")</f>
        <v>#NAME?</v>
      </c>
      <c r="AG97" s="2" t="e">
        <f ca="1">_xll.BDH($C$78,"SHORT_TERM_DEBT_1_YEAR_GROWTH","FQ4 2017","FQ4 2017","Currency=INR","Period=FQ","BEST_FPERIOD_OVERRIDE=FQ","FILING_STATUS=OR","EQY_CONSOLIDATED=Y","Sort=A","Dates=H","DateFormat=P","Fill=—","Direction=H","UseDPDF=Y")</f>
        <v>#NAME?</v>
      </c>
      <c r="AH97" s="2" t="e">
        <f ca="1">_xll.BDH($C$78,"TOTAL_DEBT_1_YEAR_GROWTH","FQ4 2017","FQ4 2017","Currency=INR","Period=FQ","BEST_FPERIOD_OVERRIDE=FQ","FILING_STATUS=OR","EQY_CONSOLIDATED=Y","Sort=A","Dates=H","DateFormat=P","Fill=—","Direction=H","UseDPDF=Y")</f>
        <v>#NAME?</v>
      </c>
      <c r="AI97" s="2" t="e">
        <f ca="1">_xll.BDH($C$78,"TOTAL_EQUITY_1_YEAR_GROWTH","FQ4 2017","FQ4 2017","Currency=INR","Period=FQ","BEST_FPERIOD_OVERRIDE=FQ","FILING_STATUS=OR","EQY_CONSOLIDATED=Y","Sort=A","Dates=H","DateFormat=P","Fill=—","Direction=H","UseDPDF=Y")</f>
        <v>#NAME?</v>
      </c>
      <c r="AJ97" s="2" t="e">
        <f ca="1">_xll.BDH($C$78,"GROWTH_IN_CAP","FQ4 2017","FQ4 2017","Currency=INR","Period=FQ","BEST_FPERIOD_OVERRIDE=FQ","FILING_STATUS=OR","EQY_CONSOLIDATED=Y","Sort=A","Dates=H","DateFormat=P","Fill=—","Direction=H","UseDPDF=Y")</f>
        <v>#NAME?</v>
      </c>
      <c r="AK97" s="2" t="e">
        <f ca="1">_xll.BDH($C$78,"BVPS_GROWTH","FQ4 2017","FQ4 2017","Currency=INR","Period=FQ","BEST_FPERIOD_OVERRIDE=FQ","FILING_STATUS=OR","EQY_CONSOLIDATED=Y","Sort=A","Dates=H","DateFormat=P","Fill=—","Direction=H","UseDPDF=Y")</f>
        <v>#NAME?</v>
      </c>
      <c r="AL97" s="2" t="e">
        <f ca="1">_xll.BDH($C$78,"CASH_FLOW_GROWTH","FQ4 2017","FQ4 2017","Currency=INR","Period=FQ","BEST_FPERIOD_OVERRIDE=FQ","FILING_STATUS=OR","EQY_CONSOLIDATED=Y","Sort=A","Dates=H","DateFormat=P","Fill=—","Direction=H","UseDPDF=Y")</f>
        <v>#NAME?</v>
      </c>
      <c r="AM97" s="2" t="e">
        <f ca="1">_xll.BDH($C$78,"GEO_GROW_NET_SALES","FQ4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97" s="2" t="e">
        <f ca="1">_xll.BDH($C$78,"GEO_GROW_EBITDA","FQ4 2017","FQ4 2017","Currency=INR","Period=FQ","BEST_FPERIOD_OVERRIDE=FQ","FILING_STATUS=OR","EQY_CONSOLIDATED=Y","FA_ADJUSTED=GAAP","Sort=A","Dates=H","DateFormat=P","Fill=—","Direction=H","UseDPDF=Y")</f>
        <v>#NAME?</v>
      </c>
      <c r="AO97" s="2" t="e">
        <f ca="1">_xll.BDH($C$78,"GEO_GROW_OPER_INC","FQ4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97" s="2" t="e">
        <f ca="1">_xll.BDH($C$78,"NET_INCOME_TO_COMMON_5_YR_GROWTH","FQ4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97" s="2" t="e">
        <f ca="1">_xll.BDH($C$78,"5Y_GEO_GROWTH_DILUTED_EPS","FQ4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97" s="2" t="e">
        <f ca="1">_xll.BDH($C$78,"GEO_GROW_DVD_PER_SH","FQ4 2017","FQ4 2017","Currency=INR","Period=FQ","BEST_FPERIOD_OVERRIDE=FQ","FILING_STATUS=OR","EQY_CONSOLIDATED=Y","Sort=A","Dates=H","DateFormat=P","Fill=—","Direction=H","UseDPDF=Y")</f>
        <v>#NAME?</v>
      </c>
      <c r="AS97" s="2" t="e">
        <f ca="1">_xll.BDH($C$78,"ACCOUNTS_RECEIVABLE_5_YR_GROWTH","FQ4 2017","FQ4 2017","Currency=INR","Period=FQ","BEST_FPERIOD_OVERRIDE=FQ","FILING_STATUS=OR","EQY_CONSOLIDATED=Y","Sort=A","Dates=H","DateFormat=P","Fill=—","Direction=H","UseDPDF=Y")</f>
        <v>#NAME?</v>
      </c>
      <c r="AT97" s="2" t="e">
        <f ca="1">_xll.BDH($C$78,"INVENTORY_5_YEAR_GROWTH","FQ4 2017","FQ4 2017","Currency=INR","Period=FQ","BEST_FPERIOD_OVERRIDE=FQ","FILING_STATUS=OR","EQY_CONSOLIDATED=Y","Sort=A","Dates=H","DateFormat=P","Fill=—","Direction=H","UseDPDF=Y")</f>
        <v>#NAME?</v>
      </c>
      <c r="AU97" s="2" t="e">
        <f ca="1">_xll.BDH($C$78,"NET_FIXED_ASSETS_5_YEAR_GROWTH","FQ4 2017","FQ4 2017","Currency=INR","Period=FQ","BEST_FPERIOD_OVERRIDE=FQ","FILING_STATUS=OR","EQY_CONSOLIDATED=Y","Sort=A","Dates=H","DateFormat=P","Fill=—","Direction=H","UseDPDF=Y")</f>
        <v>#NAME?</v>
      </c>
      <c r="AV97" s="2" t="e">
        <f ca="1">_xll.BDH($C$78,"GEO_GROW_TOT_ASSET","FQ4 2017","FQ4 2017","Currency=INR","Period=FQ","BEST_FPERIOD_OVERRIDE=FQ","FILING_STATUS=OR","EQY_CONSOLIDATED=Y","Sort=A","Dates=H","DateFormat=P","Fill=—","Direction=H","UseDPDF=Y")</f>
        <v>#NAME?</v>
      </c>
      <c r="AW97" s="2" t="e">
        <f ca="1">_xll.BDH($C$78,"MODIFIED_WORKING_CPTL_5YR_GRWTH","FQ4 2017","FQ4 2017","Currency=INR","Period=FQ","BEST_FPERIOD_OVERRIDE=FQ","FILING_STATUS=OR","EQY_CONSOLIDATED=Y","Sort=A","Dates=H","DateFormat=P","Fill=—","Direction=H","UseDPDF=Y")</f>
        <v>#NAME?</v>
      </c>
      <c r="AX97" s="2" t="e">
        <f ca="1">_xll.BDH($C$78,"WORKING_CAPITAL_5_YEAR_GROWTH","FQ4 2017","FQ4 2017","Currency=INR","Period=FQ","BEST_FPERIOD_OVERRIDE=FQ","FILING_STATUS=OR","EQY_CONSOLIDATED=Y","Sort=A","Dates=H","DateFormat=P","Fill=—","Direction=H","UseDPDF=Y")</f>
        <v>#NAME?</v>
      </c>
      <c r="AY97" s="2" t="e">
        <f ca="1">_xll.BDH($C$78,"ACCOUNTS_PAYABLE_5_YEAR_GROWTH","FQ4 2017","FQ4 2017","Currency=INR","Period=FQ","BEST_FPERIOD_OVERRIDE=FQ","FILING_STATUS=OR","EQY_CONSOLIDATED=Y","Sort=A","Dates=H","DateFormat=P","Fill=—","Direction=H","UseDPDF=Y")</f>
        <v>#NAME?</v>
      </c>
      <c r="AZ97" s="2" t="e">
        <f ca="1">_xll.BDH($C$78,"SHORT_TERM_DEBT_5_YEAR_GROWTH","FQ4 2017","FQ4 2017","Currency=INR","Period=FQ","BEST_FPERIOD_OVERRIDE=FQ","FILING_STATUS=OR","EQY_CONSOLIDATED=Y","Sort=A","Dates=H","DateFormat=P","Fill=—","Direction=H","UseDPDF=Y")</f>
        <v>#NAME?</v>
      </c>
      <c r="BA97" s="2" t="e">
        <f ca="1">_xll.BDH($C$78,"TOTAL_DEBT_5_YEAR_GROWTH","FQ4 2017","FQ4 2017","Currency=INR","Period=FQ","BEST_FPERIOD_OVERRIDE=FQ","FILING_STATUS=OR","EQY_CONSOLIDATED=Y","Sort=A","Dates=H","DateFormat=P","Fill=—","Direction=H","UseDPDF=Y")</f>
        <v>#NAME?</v>
      </c>
      <c r="BB97" s="2" t="e">
        <f ca="1">_xll.BDH($C$78,"GEO_GROW_TOT_SHRHLDR_EQY","FQ4 2017","FQ4 2017","Currency=INR","Period=FQ","BEST_FPERIOD_OVERRIDE=FQ","FILING_STATUS=OR","EQY_CONSOLIDATED=Y","Sort=A","Dates=H","DateFormat=P","Fill=—","Direction=H","UseDPDF=Y")</f>
        <v>#NAME?</v>
      </c>
      <c r="BC97" s="2" t="e">
        <f ca="1">_xll.BDH($C$78,"TOTAL_CAPITAL_5_YEAR_GROWTH","FQ4 2017","FQ4 2017","Currency=INR","Period=FQ","BEST_FPERIOD_OVERRIDE=FQ","FILING_STATUS=OR","EQY_CONSOLIDATED=Y","Sort=A","Dates=H","DateFormat=P","Fill=—","Direction=H","UseDPDF=Y")</f>
        <v>#NAME?</v>
      </c>
      <c r="BD97" s="2" t="e">
        <f ca="1">_xll.BDH($C$78,"GEO_GROW_BOOK_VAL","FQ4 2017","FQ4 2017","Currency=INR","Period=FQ","BEST_FPERIOD_OVERRIDE=FQ","FILING_STATUS=OR","EQY_CONSOLIDATED=Y","Sort=A","Dates=H","DateFormat=P","Fill=—","Direction=H","UseDPDF=Y")</f>
        <v>#NAME?</v>
      </c>
      <c r="BE97" s="2" t="e">
        <f ca="1">_xll.BDH($C$78,"GEO_GROW_CASH_OPER_ACT","FQ4 2017","FQ4 2017","Currency=INR","Period=FQ","BEST_FPERIOD_OVERRIDE=FQ","FILING_STATUS=OR","EQY_CONSOLIDATED=Y","Sort=A","Dates=H","DateFormat=P","Fill=—","Direction=H","UseDPDF=Y")</f>
        <v>#NAME?</v>
      </c>
      <c r="BF97" s="2" t="e">
        <f ca="1">_xll.BDH($C$78,"REVENUE_SEQUENTIAL_GROWTH","FQ4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97" s="2" t="e">
        <f ca="1">_xll.BDH($C$78,"EBITDA_SEQUENTIAL_GROWTH","FQ4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97" s="2" t="e">
        <f ca="1">_xll.BDH($C$78,"OPERATING_INCOME_SEQ_GROWTH","FQ4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97" s="2" t="e">
        <f ca="1">_xll.BDH($C$78,"NET_INCOME_TO_COMMON_SEQ_GROWTH","FQ4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97" s="2" t="e">
        <f ca="1">_xll.BDH($C$78,"EPS_DILUTED_SEQUENTIAL_GROWTH","FQ4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97" s="2" t="e">
        <f ca="1">_xll.BDH($C$78,"DPS_SEQUENTIAL_GROWTH","FQ4 2017","FQ4 2017","Currency=INR","Period=FQ","BEST_FPERIOD_OVERRIDE=FQ","FILING_STATUS=OR","EQY_CONSOLIDATED=Y","Sort=A","Dates=H","DateFormat=P","Fill=—","Direction=H","UseDPDF=Y")</f>
        <v>#NAME?</v>
      </c>
      <c r="BL97" s="2" t="e">
        <f ca="1">_xll.BDH($C$78,"ACCOUNTS_RECEIVABLE_SEQ_GROWTH","FQ4 2017","FQ4 2017","Currency=INR","Period=FQ","BEST_FPERIOD_OVERRIDE=FQ","FILING_STATUS=OR","EQY_CONSOLIDATED=Y","Sort=A","Dates=H","DateFormat=P","Fill=—","Direction=H","UseDPDF=Y")</f>
        <v>#NAME?</v>
      </c>
      <c r="BM97" s="2" t="e">
        <f ca="1">_xll.BDH($C$78,"INVENTORY_SEQUENTIAL_GROWTH","FQ4 2017","FQ4 2017","Currency=INR","Period=FQ","BEST_FPERIOD_OVERRIDE=FQ","FILING_STATUS=OR","EQY_CONSOLIDATED=Y","Sort=A","Dates=H","DateFormat=P","Fill=—","Direction=H","UseDPDF=Y")</f>
        <v>#NAME?</v>
      </c>
      <c r="BN97" s="2" t="e">
        <f ca="1">_xll.BDH($C$78,"FIXED_ASSETS_SEQUENTIAL_GROWTH","FQ4 2017","FQ4 2017","Currency=INR","Period=FQ","BEST_FPERIOD_OVERRIDE=FQ","FILING_STATUS=OR","EQY_CONSOLIDATED=Y","Sort=A","Dates=H","DateFormat=P","Fill=—","Direction=H","UseDPDF=Y")</f>
        <v>#NAME?</v>
      </c>
      <c r="BO97" s="2" t="e">
        <f ca="1">_xll.BDH($C$78,"TOTAL_ASSETS_SEQUENTIAL_GROWTH","FQ4 2017","FQ4 2017","Currency=INR","Period=FQ","BEST_FPERIOD_OVERRIDE=FQ","FILING_STATUS=OR","EQY_CONSOLIDATED=Y","Sort=A","Dates=H","DateFormat=P","Fill=—","Direction=H","UseDPDF=Y")</f>
        <v>#NAME?</v>
      </c>
      <c r="BP97" s="2" t="e">
        <f ca="1">_xll.BDH($C$78,"MODIFIED_WORKING_CPTL_SEQ_GRWTH","FQ4 2017","FQ4 2017","Currency=INR","Period=FQ","BEST_FPERIOD_OVERRIDE=FQ","FILING_STATUS=OR","EQY_CONSOLIDATED=Y","Sort=A","Dates=H","DateFormat=P","Fill=—","Direction=H","UseDPDF=Y")</f>
        <v>#NAME?</v>
      </c>
      <c r="BQ97" s="2" t="e">
        <f ca="1">_xll.BDH($C$78,"WORKING_CAPITAL_SEQ_GROWTH","FQ4 2017","FQ4 2017","Currency=INR","Period=FQ","BEST_FPERIOD_OVERRIDE=FQ","FILING_STATUS=OR","EQY_CONSOLIDATED=Y","Sort=A","Dates=H","DateFormat=P","Fill=—","Direction=H","UseDPDF=Y")</f>
        <v>#NAME?</v>
      </c>
      <c r="BR97" s="2" t="e">
        <f ca="1">_xll.BDH($C$78,"ACCOUNTS_PAYABLE_SEQ_GROWTH","FQ4 2017","FQ4 2017","Currency=INR","Period=FQ","BEST_FPERIOD_OVERRIDE=FQ","FILING_STATUS=OR","EQY_CONSOLIDATED=Y","Sort=A","Dates=H","DateFormat=P","Fill=—","Direction=H","UseDPDF=Y")</f>
        <v>#NAME?</v>
      </c>
      <c r="BS97" s="2" t="e">
        <f ca="1">_xll.BDH($C$78,"ST_DEBT_SEQUENTIAL_GROWTH","FQ4 2017","FQ4 2017","Currency=INR","Period=FQ","BEST_FPERIOD_OVERRIDE=FQ","FILING_STATUS=OR","EQY_CONSOLIDATED=Y","Sort=A","Dates=H","DateFormat=P","Fill=—","Direction=H","UseDPDF=Y")</f>
        <v>#NAME?</v>
      </c>
      <c r="BT97" s="2" t="e">
        <f ca="1">_xll.BDH($C$78,"TOTAL_DEBT_SEQUENTIAL_GROWTH","FQ4 2017","FQ4 2017","Currency=INR","Period=FQ","BEST_FPERIOD_OVERRIDE=FQ","FILING_STATUS=OR","EQY_CONSOLIDATED=Y","Sort=A","Dates=H","DateFormat=P","Fill=—","Direction=H","UseDPDF=Y")</f>
        <v>#NAME?</v>
      </c>
      <c r="BU97" s="2" t="e">
        <f ca="1">_xll.BDH($C$78,"TOTAL_EQUITY_SEQUENTIAL_GROWTH","FQ4 2017","FQ4 2017","Currency=INR","Period=FQ","BEST_FPERIOD_OVERRIDE=FQ","FILING_STATUS=OR","EQY_CONSOLIDATED=Y","Sort=A","Dates=H","DateFormat=P","Fill=—","Direction=H","UseDPDF=Y")</f>
        <v>#NAME?</v>
      </c>
      <c r="BV97" s="2" t="e">
        <f ca="1">_xll.BDH($C$78,"TOTAL_CAPITAL_SEQUENTIAL_GROWTH","FQ4 2017","FQ4 2017","Currency=INR","Period=FQ","BEST_FPERIOD_OVERRIDE=FQ","FILING_STATUS=OR","EQY_CONSOLIDATED=Y","Sort=A","Dates=H","DateFormat=P","Fill=—","Direction=H","UseDPDF=Y")</f>
        <v>#NAME?</v>
      </c>
      <c r="BW97" s="2" t="e">
        <f ca="1">_xll.BDH($C$78,"BPS_SEQUENTIAL_GROWTH","FQ4 2017","FQ4 2017","Currency=INR","Period=FQ","BEST_FPERIOD_OVERRIDE=FQ","FILING_STATUS=OR","EQY_CONSOLIDATED=Y","Sort=A","Dates=H","DateFormat=P","Fill=—","Direction=H","UseDPDF=Y")</f>
        <v>#NAME?</v>
      </c>
      <c r="BX97" s="2" t="e">
        <f ca="1">_xll.BDH($C$78,"CFO_SEQUENTIAL_GROWTH","FQ4 2017","FQ4 2017","Currency=INR","Period=FQ","BEST_FPERIOD_OVERRIDE=FQ","FILING_STATUS=OR","EQY_CONSOLIDATED=Y","Sort=A","Dates=H","DateFormat=P","Fill=—","Direction=H","UseDPDF=Y")</f>
        <v>#NAME?</v>
      </c>
      <c r="BY97" s="3" t="e">
        <f ca="1">_xll.BDH($C$78,"SHORT_AND_LONG_TERM_DEBT","FQ4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97" s="3" t="e">
        <f ca="1">_xll.BDH($C$78,"BS_ST_BORROW","FQ4 2017","FQ4 2017","Currency=INR","Period=FQ","BEST_FPERIOD_OVERRIDE=FQ","FILING_STATUS=OR","EQY_CONSOLIDATED=Y","SCALING_FORMAT=MLN","Sort=A","Dates=H","DateFormat=P","Fill=—","Direction=H","UseDPDF=Y")</f>
        <v>#NAME?</v>
      </c>
      <c r="CA97" s="3" t="e">
        <f ca="1">_xll.BDH($C$78,"BS_LT_BORROW","FQ4 2017","FQ4 2017","Currency=INR","Period=FQ","BEST_FPERIOD_OVERRIDE=FQ","FILING_STATUS=OR","EQY_CONSOLIDATED=Y","SCALING_FORMAT=MLN","Sort=A","Dates=H","DateFormat=P","Fill=—","Direction=H","UseDPDF=Y")</f>
        <v>#NAME?</v>
      </c>
      <c r="CB97" s="2" t="e">
        <f ca="1">_xll.BDH($C$78,"TOT_DEBT_TO_EBITDA","FQ4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97" s="2" t="e">
        <f ca="1">_xll.BDH($C$78,"NET_DEBT_TO_EBITDA","FQ4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97" s="2" t="e">
        <f ca="1">_xll.BDH($C$78,"TOTAL_DEBT_TO_EBIT","FQ4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97" s="2" t="e">
        <f ca="1">_xll.BDH($C$78,"NET_DEBT_TO_EBIT","FQ4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97" s="2" t="e">
        <f ca="1">_xll.BDH($C$78,"EBITDA_TO_INTEREST_EXPN","FQ4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97" s="2" t="e">
        <f ca="1">_xll.BDH($C$78,"COM_EQY_TO_TOT_ASSET","FQ4 2017","FQ4 2017","Currency=INR","Period=FQ","BEST_FPERIOD_OVERRIDE=FQ","FILING_STATUS=OR","EQY_CONSOLIDATED=Y","Sort=A","Dates=H","DateFormat=P","Fill=—","Direction=H","UseDPDF=Y")</f>
        <v>#NAME?</v>
      </c>
      <c r="CH97" s="2" t="e">
        <f ca="1">_xll.BDH($C$78,"LT_DEBT_TO_TOT_EQY","FQ4 2017","FQ4 2017","Currency=INR","Period=FQ","BEST_FPERIOD_OVERRIDE=FQ","FILING_STATUS=OR","EQY_CONSOLIDATED=Y","Sort=A","Dates=H","DateFormat=P","Fill=—","Direction=H","UseDPDF=Y")</f>
        <v>#NAME?</v>
      </c>
      <c r="CI97" s="2" t="e">
        <f ca="1">_xll.BDH($C$78,"LT_DEBT_TO_TOT_CAP","FQ4 2017","FQ4 2017","Currency=INR","Period=FQ","BEST_FPERIOD_OVERRIDE=FQ","FILING_STATUS=OR","EQY_CONSOLIDATED=Y","Sort=A","Dates=H","DateFormat=P","Fill=—","Direction=H","UseDPDF=Y")</f>
        <v>#NAME?</v>
      </c>
      <c r="CJ97" s="2" t="e">
        <f ca="1">_xll.BDH($C$78,"LT_DEBT_TO_TOT_ASSET","FQ4 2017","FQ4 2017","Currency=INR","Period=FQ","BEST_FPERIOD_OVERRIDE=FQ","FILING_STATUS=OR","EQY_CONSOLIDATED=Y","Sort=A","Dates=H","DateFormat=P","Fill=—","Direction=H","UseDPDF=Y")</f>
        <v>#NAME?</v>
      </c>
      <c r="CK97" s="2" t="e">
        <f ca="1">_xll.BDH($C$78,"TOT_DEBT_TO_TOT_EQY","FQ4 2017","FQ4 2017","Currency=INR","Period=FQ","BEST_FPERIOD_OVERRIDE=FQ","FILING_STATUS=OR","EQY_CONSOLIDATED=Y","Sort=A","Dates=H","DateFormat=P","Fill=—","Direction=H","UseDPDF=Y")</f>
        <v>#NAME?</v>
      </c>
      <c r="CL97" s="2" t="e">
        <f ca="1">_xll.BDH($C$78,"TOT_DEBT_TO_TOT_CAP","FQ4 2017","FQ4 2017","Currency=INR","Period=FQ","BEST_FPERIOD_OVERRIDE=FQ","FILING_STATUS=OR","EQY_CONSOLIDATED=Y","Sort=A","Dates=H","DateFormat=P","Fill=—","Direction=H","UseDPDF=Y")</f>
        <v>#NAME?</v>
      </c>
      <c r="CM97" s="2" t="e">
        <f ca="1">_xll.BDH($C$78,"TOT_DEBT_TO_TOT_ASSET","FQ4 2017","FQ4 2017","Currency=INR","Period=FQ","BEST_FPERIOD_OVERRIDE=FQ","FILING_STATUS=OR","EQY_CONSOLIDATED=Y","Sort=A","Dates=H","DateFormat=P","Fill=—","Direction=H","UseDPDF=Y")</f>
        <v>#NAME?</v>
      </c>
      <c r="CN97" s="2" t="e">
        <f ca="1">_xll.BDH($C$78,"NET_DEBT_TO_SHRHLDR_EQTY","FQ4 2017","FQ4 2017","Currency=INR","Period=FQ","BEST_FPERIOD_OVERRIDE=FQ","FILING_STATUS=OR","EQY_CONSOLIDATED=Y","Sort=A","Dates=H","DateFormat=P","Fill=—","Direction=H","UseDPDF=Y")</f>
        <v>#NAME?</v>
      </c>
      <c r="CO97" s="2" t="e">
        <f ca="1">_xll.BDH($C$78,"NET_DEBT_%_CAPITAL","FQ4 2017","FQ4 2017","Currency=INR","Period=FQ","BEST_FPERIOD_OVERRIDE=FQ","FILING_STATUS=OR","EQY_CONSOLIDATED=Y","Sort=A","Dates=H","DateFormat=P","Fill=—","Direction=H","UseDPDF=Y")</f>
        <v>#NAME?</v>
      </c>
      <c r="CP97" s="3" t="e">
        <f ca="1">_xll.BDH($C$78,"EBITDA","FQ4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97" s="3" t="e">
        <f ca="1">_xll.BDH($C$78,"EBITDA_AFTER_CAPEX","FQ4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97" s="3" t="e">
        <f ca="1">_xll.BDH($C$78,"IS_OPER_INC","FQ4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97" s="2" t="e">
        <f ca="1">_xll.BDH($C$78,"CASH_RATIO","FQ4 2017","FQ4 2017","Currency=INR","Period=FQ","BEST_FPERIOD_OVERRIDE=FQ","FILING_STATUS=OR","EQY_CONSOLIDATED=Y","Sort=A","Dates=H","DateFormat=P","Fill=—","Direction=H","UseDPDF=Y")</f>
        <v>#NAME?</v>
      </c>
      <c r="CT97" s="2" t="e">
        <f ca="1">_xll.BDH($C$78,"CUR_RATIO","FQ4 2017","FQ4 2017","Currency=INR","Period=FQ","BEST_FPERIOD_OVERRIDE=FQ","FILING_STATUS=OR","EQY_CONSOLIDATED=Y","Sort=A","Dates=H","DateFormat=P","Fill=—","Direction=H","UseDPDF=Y")</f>
        <v>#NAME?</v>
      </c>
      <c r="CU97" s="2" t="e">
        <f ca="1">_xll.BDH($C$78,"QUICK_RATIO","FQ4 2017","FQ4 2017","Currency=INR","Period=FQ","BEST_FPERIOD_OVERRIDE=FQ","FILING_STATUS=OR","EQY_CONSOLIDATED=Y","Sort=A","Dates=H","DateFormat=P","Fill=—","Direction=H","UseDPDF=Y")</f>
        <v>#NAME?</v>
      </c>
      <c r="CV97" s="2" t="e">
        <f ca="1">_xll.BDH($C$78,"ALTMAN_Z_SCORE","FQ4 2017","FQ4 2017","Currency=INR","Period=FQ","BEST_FPERIOD_OVERRIDE=FQ","FILING_STATUS=OR","EQY_CONSOLIDATED=Y","Sort=A","Dates=H","DateFormat=P","Fill=—","Direction=H","UseDPDF=Y")</f>
        <v>#NAME?</v>
      </c>
      <c r="CW97" s="4" t="e">
        <f ca="1">_xll.BDH($C$78,"ACCT_RCV_TURN","FQ4 2017","FQ4 2017","Currency=INR","Period=FQ","BEST_FPERIOD_OVERRIDE=FQ","FILING_STATUS=OR","EQY_CONSOLIDATED=Y","FA_ADJUSTED=GAAP","Sort=A","Dates=H","DateFormat=P","Fill=—","Direction=H","UseDPDF=Y")</f>
        <v>#NAME?</v>
      </c>
      <c r="CX97" s="2" t="e">
        <f ca="1">_xll.BDH($C$78,"ACCT_RCV_DAYS","FQ4 2017","FQ4 2017","Currency=INR","Period=FQ","BEST_FPERIOD_OVERRIDE=FQ","FILING_STATUS=OR","EQY_CONSOLIDATED=Y","FA_ADJUSTED=GAAP","Sort=A","Dates=H","DateFormat=P","Fill=—","Direction=H","UseDPDF=Y")</f>
        <v>#NAME?</v>
      </c>
      <c r="CY97" s="4" t="e">
        <f ca="1">_xll.BDH($C$78,"INVENT_TURN","FQ4 2017","FQ4 2017","Currency=INR","Period=FQ","BEST_FPERIOD_OVERRIDE=FQ","FILING_STATUS=OR","EQY_CONSOLIDATED=Y","FA_ADJUSTED=GAAP","Sort=A","Dates=H","DateFormat=P","Fill=—","Direction=H","UseDPDF=Y")</f>
        <v>#NAME?</v>
      </c>
      <c r="CZ97" s="2" t="e">
        <f ca="1">_xll.BDH($C$78,"INVENT_DAYS","FQ4 2017","FQ4 2017","Currency=INR","Period=FQ","BEST_FPERIOD_OVERRIDE=FQ","FILING_STATUS=OR","EQY_CONSOLIDATED=Y","FA_ADJUSTED=GAAP","Sort=A","Dates=H","DateFormat=P","Fill=—","Direction=H","UseDPDF=Y")</f>
        <v>#NAME?</v>
      </c>
      <c r="DA97" s="4" t="e">
        <f ca="1">_xll.BDH($C$78,"ACCOUNTS_PAYABLE_TURNOVER","FQ4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97" s="2" t="e">
        <f ca="1">_xll.BDH($C$78,"ACCOUNTS_PAYABLE_TURNOVER_DAYS","FQ4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97" s="4" t="e">
        <f ca="1">_xll.BDH($C$78,"CASH_CONVERSION_CYCLE","FQ4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97" s="4" t="e">
        <f ca="1">_xll.BDH($C$78,"INV_TO_CASH_DAYS","FQ4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97" s="5" t="e">
        <f ca="1">_xll.BDH($C$78,"BS_INVENTORIES","FQ4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97" s="3" t="e">
        <f ca="1">_xll.BDH($C$78,"INVTRY_RAW_MATERIALS","FQ4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97" s="3" t="e">
        <f ca="1">_xll.BDH($C$78,"INVTRY_IN_PROGRESS","FQ4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97" s="3" t="e">
        <f ca="1">_xll.BDH($C$78,"INVTRY_FINISHED_GOODS","FQ4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97" s="3" t="e">
        <f ca="1">_xll.BDH($C$78,"BS_OTHER_INV","FQ4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98" spans="1:113" x14ac:dyDescent="0.3">
      <c r="A98" s="6"/>
      <c r="B98" s="6"/>
      <c r="C98" s="6"/>
      <c r="D98" s="6" t="s">
        <v>85</v>
      </c>
      <c r="E98" t="s">
        <v>77</v>
      </c>
      <c r="F98" t="e">
        <f ca="1">_xll.BDH($C$78,"RETURN_COM_EQY","FY 2018","FY 2018","Currency=INR","Period=FY","BEST_FPERIOD_OVERRIDE=FY","FILING_STATUS=OR","EQY_CONSOLIDATED=Y","FA_ADJUSTED=GAAP","Sort=A","Dates=H","DateFormat=P","Fill=—","Direction=H","UseDPDF=Y")</f>
        <v>#NAME?</v>
      </c>
      <c r="G98" t="e">
        <f ca="1">_xll.BDH($C$78,"RETURN_ON_ASSET","FY 2018","FY 2018","Currency=INR","Period=FY","BEST_FPERIOD_OVERRIDE=FY","FILING_STATUS=OR","EQY_CONSOLIDATED=Y","FA_ADJUSTED=GAAP","Sort=A","Dates=H","DateFormat=P","Fill=—","Direction=H","UseDPDF=Y")</f>
        <v>#NAME?</v>
      </c>
      <c r="H98" t="e">
        <f ca="1">_xll.BDH($C$78,"RETURN_ON_CAP","FY 2018","FY 2018","Currency=INR","Period=FY","BEST_FPERIOD_OVERRIDE=FY","FILING_STATUS=OR","EQY_CONSOLIDATED=Y","FA_ADJUSTED=GAAP","Sort=A","Dates=H","DateFormat=P","Fill=—","Direction=H","UseDPDF=Y")</f>
        <v>#NAME?</v>
      </c>
      <c r="I98" t="e">
        <f ca="1">_xll.BDH($C$78,"RETURN_ON_INV_CAPITAL","FY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98" t="e">
        <f ca="1">_xll.BDH($C$78,"EBITDA_TO_REVENUE","FY 2018","FY 2018","Currency=INR","Period=FY","BEST_FPERIOD_OVERRIDE=FY","FILING_STATUS=OR","EQY_CONSOLIDATED=Y","FA_ADJUSTED=GAAP","Sort=A","Dates=H","DateFormat=P","Fill=—","Direction=H","UseDPDF=Y")</f>
        <v>#NAME?</v>
      </c>
      <c r="K98" t="e">
        <f ca="1">_xll.BDH($C$78,"OPER_MARGIN","FY 2018","FY 2018","Currency=INR","Period=FY","BEST_FPERIOD_OVERRIDE=FY","FILING_STATUS=OR","EQY_CONSOLIDATED=Y","FA_ADJUSTED=GAAP","Sort=A","Dates=H","DateFormat=P","Fill=—","Direction=H","UseDPDF=Y")</f>
        <v>#NAME?</v>
      </c>
      <c r="L98" t="e">
        <f ca="1">_xll.BDH($C$78,"INCREMENTAL_OPERATING_MARGIN","FY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98" t="e">
        <f ca="1">_xll.BDH($C$78,"PRETAX_INC_TO_NET_SALES","FY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98" t="e">
        <f ca="1">_xll.BDH($C$78,"INC_BEF_XO_ITEMS_TO_NET_SALES","FY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98" t="e">
        <f ca="1">_xll.BDH($C$78,"PROF_MARGIN","FY 2018","FY 2018","Currency=INR","Period=FY","BEST_FPERIOD_OVERRIDE=FY","FILING_STATUS=OR","EQY_CONSOLIDATED=Y","FA_ADJUSTED=GAAP","Sort=A","Dates=H","DateFormat=P","Fill=—","Direction=H","UseDPDF=Y")</f>
        <v>#NAME?</v>
      </c>
      <c r="P98" t="e">
        <f ca="1">_xll.BDH($C$78,"NET_INCOME_TO_COMMON_MARGIN","FY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98" t="e">
        <f ca="1">_xll.BDH($C$78,"EFF_TAX_RATE","FY 2018","FY 2018","Currency=INR","Period=FY","BEST_FPERIOD_OVERRIDE=FY","FILING_STATUS=OR","EQY_CONSOLIDATED=Y","FA_ADJUSTED=GAAP","Sort=A","Dates=H","DateFormat=P","Fill=—","Direction=H","UseDPDF=Y")</f>
        <v>#NAME?</v>
      </c>
      <c r="R98" t="e">
        <f ca="1">_xll.BDH($C$78,"DVD_PAYOUT_RATIO","FY 2018","FY 2018","Currency=INR","Period=FY","BEST_FPERIOD_OVERRIDE=FY","FILING_STATUS=OR","EQY_CONSOLIDATED=Y","FA_ADJUSTED=GAAP","Sort=A","Dates=H","DateFormat=P","Fill=—","Direction=H","UseDPDF=Y")</f>
        <v>#NAME?</v>
      </c>
      <c r="S98" t="e">
        <f ca="1">_xll.BDH($C$78,"SUSTAIN_GROWTH_RT","FY 2018","FY 2018","Currency=INR","Period=FY","BEST_FPERIOD_OVERRIDE=FY","FILING_STATUS=OR","EQY_CONSOLIDATED=Y","FA_ADJUSTED=GAAP","Sort=A","Dates=H","DateFormat=P","Fill=—","Direction=H","UseDPDF=Y")</f>
        <v>#NAME?</v>
      </c>
      <c r="T98" s="2" t="e">
        <f ca="1">_xll.BDH($C$78,"SALES_GROWTH","FY 2018","FY 2018","Currency=INR","Period=FY","BEST_FPERIOD_OVERRIDE=FY","FILING_STATUS=OR","EQY_CONSOLIDATED=Y","FA_ADJUSTED=GAAP","Sort=A","Dates=H","DateFormat=P","Fill=—","Direction=H","UseDPDF=Y")</f>
        <v>#NAME?</v>
      </c>
      <c r="U98" s="2" t="e">
        <f ca="1">_xll.BDH($C$78,"EBITDA_GROWTH","FY 2018","FY 2018","Currency=INR","Period=FY","BEST_FPERIOD_OVERRIDE=FY","FILING_STATUS=OR","EQY_CONSOLIDATED=Y","FA_ADJUSTED=GAAP","Sort=A","Dates=H","DateFormat=P","Fill=—","Direction=H","UseDPDF=Y")</f>
        <v>#NAME?</v>
      </c>
      <c r="V98" s="2" t="e">
        <f ca="1">_xll.BDH($C$78,"OPER_INC_GROWTH","FY 2018","FY 2018","Currency=INR","Period=FY","BEST_FPERIOD_OVERRIDE=FY","FILING_STATUS=OR","EQY_CONSOLIDATED=Y","FA_ADJUSTED=GAAP","Sort=A","Dates=H","DateFormat=P","Fill=—","Direction=H","UseDPDF=Y")</f>
        <v>#NAME?</v>
      </c>
      <c r="W98" s="2" t="e">
        <f ca="1">_xll.BDH($C$78,"EARN_FOR_COM_GROWTH","FY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98" s="2" t="e">
        <f ca="1">_xll.BDH($C$78,"DILUTED_EPS_AFT_XO_ITEMS_GROWTH","FY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98" s="2" t="e">
        <f ca="1">_xll.BDH($C$78,"DIVIDEND_PER_SHARE_1_YEAR_GROWTH","FY 2018","FY 2018","Currency=INR","Period=FY","BEST_FPERIOD_OVERRIDE=FY","FILING_STATUS=OR","EQY_CONSOLIDATED=Y","Sort=A","Dates=H","DateFormat=P","Fill=—","Direction=H","UseDPDF=Y")</f>
        <v>#NAME?</v>
      </c>
      <c r="Z98" s="2" t="e">
        <f ca="1">_xll.BDH($C$78,"ACCOUNTS_RECEIVABLE_GROWTH","FY 2018","FY 2018","Currency=INR","Period=FY","BEST_FPERIOD_OVERRIDE=FY","FILING_STATUS=OR","EQY_CONSOLIDATED=Y","Sort=A","Dates=H","DateFormat=P","Fill=—","Direction=H","UseDPDF=Y")</f>
        <v>#NAME?</v>
      </c>
      <c r="AA98" s="2" t="e">
        <f ca="1">_xll.BDH($C$78,"INVENTORY_GROWTH","FY 2018","FY 2018","Currency=INR","Period=FY","BEST_FPERIOD_OVERRIDE=FY","FILING_STATUS=OR","EQY_CONSOLIDATED=Y","Sort=A","Dates=H","DateFormat=P","Fill=—","Direction=H","UseDPDF=Y")</f>
        <v>#NAME?</v>
      </c>
      <c r="AB98" s="2" t="e">
        <f ca="1">_xll.BDH($C$78,"NET_FIXED_ASSETS_1_YEAR_GROWTH","FY 2018","FY 2018","Currency=INR","Period=FY","BEST_FPERIOD_OVERRIDE=FY","FILING_STATUS=OR","EQY_CONSOLIDATED=Y","Sort=A","Dates=H","DateFormat=P","Fill=—","Direction=H","UseDPDF=Y")</f>
        <v>#NAME?</v>
      </c>
      <c r="AC98" s="2" t="e">
        <f ca="1">_xll.BDH($C$78,"ASSET_GROWTH","FY 2018","FY 2018","Currency=INR","Period=FY","BEST_FPERIOD_OVERRIDE=FY","FILING_STATUS=OR","EQY_CONSOLIDATED=Y","Sort=A","Dates=H","DateFormat=P","Fill=—","Direction=H","UseDPDF=Y")</f>
        <v>#NAME?</v>
      </c>
      <c r="AD98" s="2" t="e">
        <f ca="1">_xll.BDH($C$78,"MODIFIED_WORK_CAP_GROWTH","FY 2018","FY 2018","Currency=INR","Period=FY","BEST_FPERIOD_OVERRIDE=FY","FILING_STATUS=OR","EQY_CONSOLIDATED=Y","Sort=A","Dates=H","DateFormat=P","Fill=—","Direction=H","UseDPDF=Y")</f>
        <v>#NAME?</v>
      </c>
      <c r="AE98" s="2" t="e">
        <f ca="1">_xll.BDH($C$78,"WORK_CAP_GROWTH","FY 2018","FY 2018","Currency=INR","Period=FY","BEST_FPERIOD_OVERRIDE=FY","FILING_STATUS=OR","EQY_CONSOLIDATED=Y","Sort=A","Dates=H","DateFormat=P","Fill=—","Direction=H","UseDPDF=Y")</f>
        <v>#NAME?</v>
      </c>
      <c r="AF98" s="2" t="e">
        <f ca="1">_xll.BDH($C$78,"ACCOUNTS_PAYABLE_GROWTH_1YR","FY 2018","FY 2018","Currency=INR","Period=FY","BEST_FPERIOD_OVERRIDE=FY","FILING_STATUS=OR","EQY_CONSOLIDATED=Y","Sort=A","Dates=H","DateFormat=P","Fill=—","Direction=H","UseDPDF=Y")</f>
        <v>#NAME?</v>
      </c>
      <c r="AG98" s="2" t="e">
        <f ca="1">_xll.BDH($C$78,"SHORT_TERM_DEBT_1_YEAR_GROWTH","FY 2018","FY 2018","Currency=INR","Period=FY","BEST_FPERIOD_OVERRIDE=FY","FILING_STATUS=OR","EQY_CONSOLIDATED=Y","Sort=A","Dates=H","DateFormat=P","Fill=—","Direction=H","UseDPDF=Y")</f>
        <v>#NAME?</v>
      </c>
      <c r="AH98" s="2" t="e">
        <f ca="1">_xll.BDH($C$78,"TOTAL_DEBT_1_YEAR_GROWTH","FY 2018","FY 2018","Currency=INR","Period=FY","BEST_FPERIOD_OVERRIDE=FY","FILING_STATUS=OR","EQY_CONSOLIDATED=Y","Sort=A","Dates=H","DateFormat=P","Fill=—","Direction=H","UseDPDF=Y")</f>
        <v>#NAME?</v>
      </c>
      <c r="AI98" s="2" t="e">
        <f ca="1">_xll.BDH($C$78,"TOTAL_EQUITY_1_YEAR_GROWTH","FY 2018","FY 2018","Currency=INR","Period=FY","BEST_FPERIOD_OVERRIDE=FY","FILING_STATUS=OR","EQY_CONSOLIDATED=Y","Sort=A","Dates=H","DateFormat=P","Fill=—","Direction=H","UseDPDF=Y")</f>
        <v>#NAME?</v>
      </c>
      <c r="AJ98" s="2" t="e">
        <f ca="1">_xll.BDH($C$78,"GROWTH_IN_CAP","FY 2018","FY 2018","Currency=INR","Period=FY","BEST_FPERIOD_OVERRIDE=FY","FILING_STATUS=OR","EQY_CONSOLIDATED=Y","Sort=A","Dates=H","DateFormat=P","Fill=—","Direction=H","UseDPDF=Y")</f>
        <v>#NAME?</v>
      </c>
      <c r="AK98" s="2" t="e">
        <f ca="1">_xll.BDH($C$78,"BVPS_GROWTH","FY 2018","FY 2018","Currency=INR","Period=FY","BEST_FPERIOD_OVERRIDE=FY","FILING_STATUS=OR","EQY_CONSOLIDATED=Y","Sort=A","Dates=H","DateFormat=P","Fill=—","Direction=H","UseDPDF=Y")</f>
        <v>#NAME?</v>
      </c>
      <c r="AL98" s="2" t="e">
        <f ca="1">_xll.BDH($C$78,"CASH_FLOW_GROWTH","FY 2018","FY 2018","Currency=INR","Period=FY","BEST_FPERIOD_OVERRIDE=FY","FILING_STATUS=OR","EQY_CONSOLIDATED=Y","Sort=A","Dates=H","DateFormat=P","Fill=—","Direction=H","UseDPDF=Y")</f>
        <v>#NAME?</v>
      </c>
      <c r="AM98" s="2" t="e">
        <f ca="1">_xll.BDH($C$78,"GEO_GROW_NET_SALES","FY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98" s="2" t="e">
        <f ca="1">_xll.BDH($C$78,"GEO_GROW_EBITDA","FY 2018","FY 2018","Currency=INR","Period=FY","BEST_FPERIOD_OVERRIDE=FY","FILING_STATUS=OR","EQY_CONSOLIDATED=Y","FA_ADJUSTED=GAAP","Sort=A","Dates=H","DateFormat=P","Fill=—","Direction=H","UseDPDF=Y")</f>
        <v>#NAME?</v>
      </c>
      <c r="AO98" s="2" t="e">
        <f ca="1">_xll.BDH($C$78,"GEO_GROW_OPER_INC","FY 2018","FY 2018","Currency=INR","Period=FY","BEST_FPERIOD_OVERRIDE=FY","FILING_STATUS=OR","EQY_CONSOLIDATED=Y","FA_ADJUSTED=GAAP","Sort=A","Dates=H","DateFormat=P","Fill=—","Direction=H","UseDPDF=Y")</f>
        <v>#NAME?</v>
      </c>
      <c r="AP98" s="2" t="e">
        <f ca="1">_xll.BDH($C$78,"NET_INCOME_TO_COMMON_5_YR_GROWTH","FY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98" s="2" t="e">
        <f ca="1">_xll.BDH($C$78,"5Y_GEO_GROWTH_DILUTED_EPS","FY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98" s="2" t="e">
        <f ca="1">_xll.BDH($C$78,"GEO_GROW_DVD_PER_SH","FY 2018","FY 2018","Currency=INR","Period=FY","BEST_FPERIOD_OVERRIDE=FY","FILING_STATUS=OR","EQY_CONSOLIDATED=Y","Sort=A","Dates=H","DateFormat=P","Fill=—","Direction=H","UseDPDF=Y")</f>
        <v>#NAME?</v>
      </c>
      <c r="AS98" s="2" t="e">
        <f ca="1">_xll.BDH($C$78,"ACCOUNTS_RECEIVABLE_5_YR_GROWTH","FY 2018","FY 2018","Currency=INR","Period=FY","BEST_FPERIOD_OVERRIDE=FY","FILING_STATUS=OR","EQY_CONSOLIDATED=Y","Sort=A","Dates=H","DateFormat=P","Fill=—","Direction=H","UseDPDF=Y")</f>
        <v>#NAME?</v>
      </c>
      <c r="AT98" s="2" t="e">
        <f ca="1">_xll.BDH($C$78,"INVENTORY_5_YEAR_GROWTH","FY 2018","FY 2018","Currency=INR","Period=FY","BEST_FPERIOD_OVERRIDE=FY","FILING_STATUS=OR","EQY_CONSOLIDATED=Y","Sort=A","Dates=H","DateFormat=P","Fill=—","Direction=H","UseDPDF=Y")</f>
        <v>#NAME?</v>
      </c>
      <c r="AU98" s="2" t="e">
        <f ca="1">_xll.BDH($C$78,"NET_FIXED_ASSETS_5_YEAR_GROWTH","FY 2018","FY 2018","Currency=INR","Period=FY","BEST_FPERIOD_OVERRIDE=FY","FILING_STATUS=OR","EQY_CONSOLIDATED=Y","Sort=A","Dates=H","DateFormat=P","Fill=—","Direction=H","UseDPDF=Y")</f>
        <v>#NAME?</v>
      </c>
      <c r="AV98" s="2" t="e">
        <f ca="1">_xll.BDH($C$78,"GEO_GROW_TOT_ASSET","FY 2018","FY 2018","Currency=INR","Period=FY","BEST_FPERIOD_OVERRIDE=FY","FILING_STATUS=OR","EQY_CONSOLIDATED=Y","Sort=A","Dates=H","DateFormat=P","Fill=—","Direction=H","UseDPDF=Y")</f>
        <v>#NAME?</v>
      </c>
      <c r="AW98" s="2" t="e">
        <f ca="1">_xll.BDH($C$78,"MODIFIED_WORKING_CPTL_5YR_GRWTH","FY 2018","FY 2018","Currency=INR","Period=FY","BEST_FPERIOD_OVERRIDE=FY","FILING_STATUS=OR","EQY_CONSOLIDATED=Y","Sort=A","Dates=H","DateFormat=P","Fill=—","Direction=H","UseDPDF=Y")</f>
        <v>#NAME?</v>
      </c>
      <c r="AX98" s="2" t="e">
        <f ca="1">_xll.BDH($C$78,"WORKING_CAPITAL_5_YEAR_GROWTH","FY 2018","FY 2018","Currency=INR","Period=FY","BEST_FPERIOD_OVERRIDE=FY","FILING_STATUS=OR","EQY_CONSOLIDATED=Y","Sort=A","Dates=H","DateFormat=P","Fill=—","Direction=H","UseDPDF=Y")</f>
        <v>#NAME?</v>
      </c>
      <c r="AY98" s="2" t="e">
        <f ca="1">_xll.BDH($C$78,"ACCOUNTS_PAYABLE_5_YEAR_GROWTH","FY 2018","FY 2018","Currency=INR","Period=FY","BEST_FPERIOD_OVERRIDE=FY","FILING_STATUS=OR","EQY_CONSOLIDATED=Y","Sort=A","Dates=H","DateFormat=P","Fill=—","Direction=H","UseDPDF=Y")</f>
        <v>#NAME?</v>
      </c>
      <c r="AZ98" s="2" t="e">
        <f ca="1">_xll.BDH($C$78,"SHORT_TERM_DEBT_5_YEAR_GROWTH","FY 2018","FY 2018","Currency=INR","Period=FY","BEST_FPERIOD_OVERRIDE=FY","FILING_STATUS=OR","EQY_CONSOLIDATED=Y","Sort=A","Dates=H","DateFormat=P","Fill=—","Direction=H","UseDPDF=Y")</f>
        <v>#NAME?</v>
      </c>
      <c r="BA98" s="2" t="e">
        <f ca="1">_xll.BDH($C$78,"TOTAL_DEBT_5_YEAR_GROWTH","FY 2018","FY 2018","Currency=INR","Period=FY","BEST_FPERIOD_OVERRIDE=FY","FILING_STATUS=OR","EQY_CONSOLIDATED=Y","Sort=A","Dates=H","DateFormat=P","Fill=—","Direction=H","UseDPDF=Y")</f>
        <v>#NAME?</v>
      </c>
      <c r="BB98" s="2" t="e">
        <f ca="1">_xll.BDH($C$78,"GEO_GROW_TOT_SHRHLDR_EQY","FY 2018","FY 2018","Currency=INR","Period=FY","BEST_FPERIOD_OVERRIDE=FY","FILING_STATUS=OR","EQY_CONSOLIDATED=Y","Sort=A","Dates=H","DateFormat=P","Fill=—","Direction=H","UseDPDF=Y")</f>
        <v>#NAME?</v>
      </c>
      <c r="BC98" s="2" t="e">
        <f ca="1">_xll.BDH($C$78,"TOTAL_CAPITAL_5_YEAR_GROWTH","FY 2018","FY 2018","Currency=INR","Period=FY","BEST_FPERIOD_OVERRIDE=FY","FILING_STATUS=OR","EQY_CONSOLIDATED=Y","Sort=A","Dates=H","DateFormat=P","Fill=—","Direction=H","UseDPDF=Y")</f>
        <v>#NAME?</v>
      </c>
      <c r="BD98" s="2" t="e">
        <f ca="1">_xll.BDH($C$78,"GEO_GROW_BOOK_VAL","FY 2018","FY 2018","Currency=INR","Period=FY","BEST_FPERIOD_OVERRIDE=FY","FILING_STATUS=OR","EQY_CONSOLIDATED=Y","Sort=A","Dates=H","DateFormat=P","Fill=—","Direction=H","UseDPDF=Y")</f>
        <v>#NAME?</v>
      </c>
      <c r="BE98" s="2" t="e">
        <f ca="1">_xll.BDH($C$78,"GEO_GROW_CASH_OPER_ACT","FY 2018","FY 2018","Currency=INR","Period=FY","BEST_FPERIOD_OVERRIDE=FY","FILING_STATUS=OR","EQY_CONSOLIDATED=Y","Sort=A","Dates=H","DateFormat=P","Fill=—","Direction=H","UseDPDF=Y")</f>
        <v>#NAME?</v>
      </c>
      <c r="BF98" s="2" t="e">
        <f ca="1">_xll.BDH($C$78,"REVENUE_SEQUENTIAL_GROWTH","FY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98" s="2" t="e">
        <f ca="1">_xll.BDH($C$78,"EBITDA_SEQUENTIAL_GROWTH","FY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98" s="2" t="e">
        <f ca="1">_xll.BDH($C$78,"OPERATING_INCOME_SEQ_GROWTH","FY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98" s="2" t="e">
        <f ca="1">_xll.BDH($C$78,"NET_INCOME_TO_COMMON_SEQ_GROWTH","FY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98" s="2" t="e">
        <f ca="1">_xll.BDH($C$78,"EPS_DILUTED_SEQUENTIAL_GROWTH","FY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98" s="2" t="e">
        <f ca="1">_xll.BDH($C$78,"DPS_SEQUENTIAL_GROWTH","FY 2018","FY 2018","Currency=INR","Period=FY","BEST_FPERIOD_OVERRIDE=FY","FILING_STATUS=OR","EQY_CONSOLIDATED=Y","Sort=A","Dates=H","DateFormat=P","Fill=—","Direction=H","UseDPDF=Y")</f>
        <v>#NAME?</v>
      </c>
      <c r="BL98" s="2" t="e">
        <f ca="1">_xll.BDH($C$78,"ACCOUNTS_RECEIVABLE_SEQ_GROWTH","FY 2018","FY 2018","Currency=INR","Period=FY","BEST_FPERIOD_OVERRIDE=FY","FILING_STATUS=OR","EQY_CONSOLIDATED=Y","Sort=A","Dates=H","DateFormat=P","Fill=—","Direction=H","UseDPDF=Y")</f>
        <v>#NAME?</v>
      </c>
      <c r="BM98" s="2" t="e">
        <f ca="1">_xll.BDH($C$78,"INVENTORY_SEQUENTIAL_GROWTH","FY 2018","FY 2018","Currency=INR","Period=FY","BEST_FPERIOD_OVERRIDE=FY","FILING_STATUS=OR","EQY_CONSOLIDATED=Y","Sort=A","Dates=H","DateFormat=P","Fill=—","Direction=H","UseDPDF=Y")</f>
        <v>#NAME?</v>
      </c>
      <c r="BN98" s="2" t="e">
        <f ca="1">_xll.BDH($C$78,"FIXED_ASSETS_SEQUENTIAL_GROWTH","FY 2018","FY 2018","Currency=INR","Period=FY","BEST_FPERIOD_OVERRIDE=FY","FILING_STATUS=OR","EQY_CONSOLIDATED=Y","Sort=A","Dates=H","DateFormat=P","Fill=—","Direction=H","UseDPDF=Y")</f>
        <v>#NAME?</v>
      </c>
      <c r="BO98" s="2" t="e">
        <f ca="1">_xll.BDH($C$78,"TOTAL_ASSETS_SEQUENTIAL_GROWTH","FY 2018","FY 2018","Currency=INR","Period=FY","BEST_FPERIOD_OVERRIDE=FY","FILING_STATUS=OR","EQY_CONSOLIDATED=Y","Sort=A","Dates=H","DateFormat=P","Fill=—","Direction=H","UseDPDF=Y")</f>
        <v>#NAME?</v>
      </c>
      <c r="BP98" s="2" t="e">
        <f ca="1">_xll.BDH($C$78,"MODIFIED_WORKING_CPTL_SEQ_GRWTH","FY 2018","FY 2018","Currency=INR","Period=FY","BEST_FPERIOD_OVERRIDE=FY","FILING_STATUS=OR","EQY_CONSOLIDATED=Y","Sort=A","Dates=H","DateFormat=P","Fill=—","Direction=H","UseDPDF=Y")</f>
        <v>#NAME?</v>
      </c>
      <c r="BQ98" s="2" t="e">
        <f ca="1">_xll.BDH($C$78,"WORKING_CAPITAL_SEQ_GROWTH","FY 2018","FY 2018","Currency=INR","Period=FY","BEST_FPERIOD_OVERRIDE=FY","FILING_STATUS=OR","EQY_CONSOLIDATED=Y","Sort=A","Dates=H","DateFormat=P","Fill=—","Direction=H","UseDPDF=Y")</f>
        <v>#NAME?</v>
      </c>
      <c r="BR98" s="2" t="e">
        <f ca="1">_xll.BDH($C$78,"ACCOUNTS_PAYABLE_SEQ_GROWTH","FY 2018","FY 2018","Currency=INR","Period=FY","BEST_FPERIOD_OVERRIDE=FY","FILING_STATUS=OR","EQY_CONSOLIDATED=Y","Sort=A","Dates=H","DateFormat=P","Fill=—","Direction=H","UseDPDF=Y")</f>
        <v>#NAME?</v>
      </c>
      <c r="BS98" s="2" t="e">
        <f ca="1">_xll.BDH($C$78,"ST_DEBT_SEQUENTIAL_GROWTH","FY 2018","FY 2018","Currency=INR","Period=FY","BEST_FPERIOD_OVERRIDE=FY","FILING_STATUS=OR","EQY_CONSOLIDATED=Y","Sort=A","Dates=H","DateFormat=P","Fill=—","Direction=H","UseDPDF=Y")</f>
        <v>#NAME?</v>
      </c>
      <c r="BT98" s="2" t="e">
        <f ca="1">_xll.BDH($C$78,"TOTAL_DEBT_SEQUENTIAL_GROWTH","FY 2018","FY 2018","Currency=INR","Period=FY","BEST_FPERIOD_OVERRIDE=FY","FILING_STATUS=OR","EQY_CONSOLIDATED=Y","Sort=A","Dates=H","DateFormat=P","Fill=—","Direction=H","UseDPDF=Y")</f>
        <v>#NAME?</v>
      </c>
      <c r="BU98" s="2" t="e">
        <f ca="1">_xll.BDH($C$78,"TOTAL_EQUITY_SEQUENTIAL_GROWTH","FY 2018","FY 2018","Currency=INR","Period=FY","BEST_FPERIOD_OVERRIDE=FY","FILING_STATUS=OR","EQY_CONSOLIDATED=Y","Sort=A","Dates=H","DateFormat=P","Fill=—","Direction=H","UseDPDF=Y")</f>
        <v>#NAME?</v>
      </c>
      <c r="BV98" s="2" t="e">
        <f ca="1">_xll.BDH($C$78,"TOTAL_CAPITAL_SEQUENTIAL_GROWTH","FY 2018","FY 2018","Currency=INR","Period=FY","BEST_FPERIOD_OVERRIDE=FY","FILING_STATUS=OR","EQY_CONSOLIDATED=Y","Sort=A","Dates=H","DateFormat=P","Fill=—","Direction=H","UseDPDF=Y")</f>
        <v>#NAME?</v>
      </c>
      <c r="BW98" s="2" t="e">
        <f ca="1">_xll.BDH($C$78,"BPS_SEQUENTIAL_GROWTH","FY 2018","FY 2018","Currency=INR","Period=FY","BEST_FPERIOD_OVERRIDE=FY","FILING_STATUS=OR","EQY_CONSOLIDATED=Y","Sort=A","Dates=H","DateFormat=P","Fill=—","Direction=H","UseDPDF=Y")</f>
        <v>#NAME?</v>
      </c>
      <c r="BX98" s="2" t="e">
        <f ca="1">_xll.BDH($C$78,"CFO_SEQUENTIAL_GROWTH","FY 2018","FY 2018","Currency=INR","Period=FY","BEST_FPERIOD_OVERRIDE=FY","FILING_STATUS=OR","EQY_CONSOLIDATED=Y","Sort=A","Dates=H","DateFormat=P","Fill=—","Direction=H","UseDPDF=Y")</f>
        <v>#NAME?</v>
      </c>
      <c r="BY98" s="3" t="e">
        <f ca="1">_xll.BDH($C$78,"SHORT_AND_LONG_TERM_DEBT","FY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98" s="3" t="e">
        <f ca="1">_xll.BDH($C$78,"BS_ST_BORROW","FY 2018","FY 2018","Currency=INR","Period=FY","BEST_FPERIOD_OVERRIDE=FY","FILING_STATUS=OR","EQY_CONSOLIDATED=Y","SCALING_FORMAT=MLN","Sort=A","Dates=H","DateFormat=P","Fill=—","Direction=H","UseDPDF=Y")</f>
        <v>#NAME?</v>
      </c>
      <c r="CA98" s="3" t="e">
        <f ca="1">_xll.BDH($C$78,"BS_LT_BORROW","FY 2018","FY 2018","Currency=INR","Period=FY","BEST_FPERIOD_OVERRIDE=FY","FILING_STATUS=OR","EQY_CONSOLIDATED=Y","SCALING_FORMAT=MLN","Sort=A","Dates=H","DateFormat=P","Fill=—","Direction=H","UseDPDF=Y")</f>
        <v>#NAME?</v>
      </c>
      <c r="CB98" s="2" t="e">
        <f ca="1">_xll.BDH($C$78,"TOT_DEBT_TO_EBITDA","FY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98" s="2" t="e">
        <f ca="1">_xll.BDH($C$78,"NET_DEBT_TO_EBITDA","FY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98" s="2" t="e">
        <f ca="1">_xll.BDH($C$78,"TOTAL_DEBT_TO_EBIT","FY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98" s="2" t="e">
        <f ca="1">_xll.BDH($C$78,"NET_DEBT_TO_EBIT","FY 2018","FY 2018","Currency=INR","Period=FY","BEST_FPERIOD_OVERRIDE=FY","FILING_STATUS=OR","EQY_CONSOLIDATED=Y","FA_ADJUSTED=GAAP","Sort=A","Dates=H","DateFormat=P","Fill=—","Direction=H","UseDPDF=Y")</f>
        <v>#NAME?</v>
      </c>
      <c r="CF98" s="2" t="e">
        <f ca="1">_xll.BDH($C$78,"EBITDA_TO_INTEREST_EXPN","FY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98" s="2" t="e">
        <f ca="1">_xll.BDH($C$78,"COM_EQY_TO_TOT_ASSET","FY 2018","FY 2018","Currency=INR","Period=FY","BEST_FPERIOD_OVERRIDE=FY","FILING_STATUS=OR","EQY_CONSOLIDATED=Y","Sort=A","Dates=H","DateFormat=P","Fill=—","Direction=H","UseDPDF=Y")</f>
        <v>#NAME?</v>
      </c>
      <c r="CH98" s="2" t="e">
        <f ca="1">_xll.BDH($C$78,"LT_DEBT_TO_TOT_EQY","FY 2018","FY 2018","Currency=INR","Period=FY","BEST_FPERIOD_OVERRIDE=FY","FILING_STATUS=OR","EQY_CONSOLIDATED=Y","Sort=A","Dates=H","DateFormat=P","Fill=—","Direction=H","UseDPDF=Y")</f>
        <v>#NAME?</v>
      </c>
      <c r="CI98" s="2" t="e">
        <f ca="1">_xll.BDH($C$78,"LT_DEBT_TO_TOT_CAP","FY 2018","FY 2018","Currency=INR","Period=FY","BEST_FPERIOD_OVERRIDE=FY","FILING_STATUS=OR","EQY_CONSOLIDATED=Y","Sort=A","Dates=H","DateFormat=P","Fill=—","Direction=H","UseDPDF=Y")</f>
        <v>#NAME?</v>
      </c>
      <c r="CJ98" s="2" t="e">
        <f ca="1">_xll.BDH($C$78,"LT_DEBT_TO_TOT_ASSET","FY 2018","FY 2018","Currency=INR","Period=FY","BEST_FPERIOD_OVERRIDE=FY","FILING_STATUS=OR","EQY_CONSOLIDATED=Y","Sort=A","Dates=H","DateFormat=P","Fill=—","Direction=H","UseDPDF=Y")</f>
        <v>#NAME?</v>
      </c>
      <c r="CK98" s="2" t="e">
        <f ca="1">_xll.BDH($C$78,"TOT_DEBT_TO_TOT_EQY","FY 2018","FY 2018","Currency=INR","Period=FY","BEST_FPERIOD_OVERRIDE=FY","FILING_STATUS=OR","EQY_CONSOLIDATED=Y","Sort=A","Dates=H","DateFormat=P","Fill=—","Direction=H","UseDPDF=Y")</f>
        <v>#NAME?</v>
      </c>
      <c r="CL98" s="2" t="e">
        <f ca="1">_xll.BDH($C$78,"TOT_DEBT_TO_TOT_CAP","FY 2018","FY 2018","Currency=INR","Period=FY","BEST_FPERIOD_OVERRIDE=FY","FILING_STATUS=OR","EQY_CONSOLIDATED=Y","Sort=A","Dates=H","DateFormat=P","Fill=—","Direction=H","UseDPDF=Y")</f>
        <v>#NAME?</v>
      </c>
      <c r="CM98" s="2" t="e">
        <f ca="1">_xll.BDH($C$78,"TOT_DEBT_TO_TOT_ASSET","FY 2018","FY 2018","Currency=INR","Period=FY","BEST_FPERIOD_OVERRIDE=FY","FILING_STATUS=OR","EQY_CONSOLIDATED=Y","Sort=A","Dates=H","DateFormat=P","Fill=—","Direction=H","UseDPDF=Y")</f>
        <v>#NAME?</v>
      </c>
      <c r="CN98" s="2" t="e">
        <f ca="1">_xll.BDH($C$78,"NET_DEBT_TO_SHRHLDR_EQTY","FY 2018","FY 2018","Currency=INR","Period=FY","BEST_FPERIOD_OVERRIDE=FY","FILING_STATUS=OR","EQY_CONSOLIDATED=Y","Sort=A","Dates=H","DateFormat=P","Fill=—","Direction=H","UseDPDF=Y")</f>
        <v>#NAME?</v>
      </c>
      <c r="CO98" s="2" t="e">
        <f ca="1">_xll.BDH($C$78,"NET_DEBT_%_CAPITAL","FY 2018","FY 2018","Currency=INR","Period=FY","BEST_FPERIOD_OVERRIDE=FY","FILING_STATUS=OR","EQY_CONSOLIDATED=Y","Sort=A","Dates=H","DateFormat=P","Fill=—","Direction=H","UseDPDF=Y")</f>
        <v>#NAME?</v>
      </c>
      <c r="CP98" s="3" t="e">
        <f ca="1">_xll.BDH($C$78,"EBITDA","FY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98" s="3" t="e">
        <f ca="1">_xll.BDH($C$78,"EBITDA_AFTER_CAPEX","FY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98" s="3" t="e">
        <f ca="1">_xll.BDH($C$78,"IS_OPER_INC","FY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98" s="2" t="e">
        <f ca="1">_xll.BDH($C$78,"CASH_RATIO","FY 2018","FY 2018","Currency=INR","Period=FY","BEST_FPERIOD_OVERRIDE=FY","FILING_STATUS=OR","EQY_CONSOLIDATED=Y","Sort=A","Dates=H","DateFormat=P","Fill=—","Direction=H","UseDPDF=Y")</f>
        <v>#NAME?</v>
      </c>
      <c r="CT98" s="2" t="e">
        <f ca="1">_xll.BDH($C$78,"CUR_RATIO","FY 2018","FY 2018","Currency=INR","Period=FY","BEST_FPERIOD_OVERRIDE=FY","FILING_STATUS=OR","EQY_CONSOLIDATED=Y","Sort=A","Dates=H","DateFormat=P","Fill=—","Direction=H","UseDPDF=Y")</f>
        <v>#NAME?</v>
      </c>
      <c r="CU98" s="2" t="e">
        <f ca="1">_xll.BDH($C$78,"QUICK_RATIO","FY 2018","FY 2018","Currency=INR","Period=FY","BEST_FPERIOD_OVERRIDE=FY","FILING_STATUS=OR","EQY_CONSOLIDATED=Y","Sort=A","Dates=H","DateFormat=P","Fill=—","Direction=H","UseDPDF=Y")</f>
        <v>#NAME?</v>
      </c>
      <c r="CV98" s="2" t="e">
        <f ca="1">_xll.BDH($C$78,"ALTMAN_Z_SCORE","FY 2018","FY 2018","Currency=INR","Period=FY","BEST_FPERIOD_OVERRIDE=FY","FILING_STATUS=OR","EQY_CONSOLIDATED=Y","Sort=A","Dates=H","DateFormat=P","Fill=—","Direction=H","UseDPDF=Y")</f>
        <v>#NAME?</v>
      </c>
      <c r="CW98" s="4" t="e">
        <f ca="1">_xll.BDH($C$78,"ACCT_RCV_TURN","FY 2018","FY 2018","Currency=INR","Period=FY","BEST_FPERIOD_OVERRIDE=FY","FILING_STATUS=OR","EQY_CONSOLIDATED=Y","FA_ADJUSTED=GAAP","Sort=A","Dates=H","DateFormat=P","Fill=—","Direction=H","UseDPDF=Y")</f>
        <v>#NAME?</v>
      </c>
      <c r="CX98" s="2" t="e">
        <f ca="1">_xll.BDH($C$78,"ACCT_RCV_DAYS","FY 2018","FY 2018","Currency=INR","Period=FY","BEST_FPERIOD_OVERRIDE=FY","FILING_STATUS=OR","EQY_CONSOLIDATED=Y","FA_ADJUSTED=GAAP","Sort=A","Dates=H","DateFormat=P","Fill=—","Direction=H","UseDPDF=Y")</f>
        <v>#NAME?</v>
      </c>
      <c r="CY98" s="4" t="e">
        <f ca="1">_xll.BDH($C$78,"INVENT_TURN","FY 2018","FY 2018","Currency=INR","Period=FY","BEST_FPERIOD_OVERRIDE=FY","FILING_STATUS=OR","EQY_CONSOLIDATED=Y","FA_ADJUSTED=GAAP","Sort=A","Dates=H","DateFormat=P","Fill=—","Direction=H","UseDPDF=Y")</f>
        <v>#NAME?</v>
      </c>
      <c r="CZ98" s="2" t="e">
        <f ca="1">_xll.BDH($C$78,"INVENT_DAYS","FY 2018","FY 2018","Currency=INR","Period=FY","BEST_FPERIOD_OVERRIDE=FY","FILING_STATUS=OR","EQY_CONSOLIDATED=Y","FA_ADJUSTED=GAAP","Sort=A","Dates=H","DateFormat=P","Fill=—","Direction=H","UseDPDF=Y")</f>
        <v>#NAME?</v>
      </c>
      <c r="DA98" s="4" t="e">
        <f ca="1">_xll.BDH($C$78,"ACCOUNTS_PAYABLE_TURNOVER","FY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98" s="2" t="e">
        <f ca="1">_xll.BDH($C$78,"ACCOUNTS_PAYABLE_TURNOVER_DAYS","FY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98" s="4" t="e">
        <f ca="1">_xll.BDH($C$78,"CASH_CONVERSION_CYCLE","FY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98" s="4" t="e">
        <f ca="1">_xll.BDH($C$78,"INV_TO_CASH_DAYS","FY 2018","FY 2018","Currency=INR","Period=FY","BEST_FPERIOD_OVERRIDE=FY","FILING_STATUS=OR","EQY_CONSOLIDATED=Y","FA_ADJUSTED=GAAP","Sort=A","Dates=H","DateFormat=P","Fill=—","Direction=H","UseDPDF=Y")</f>
        <v>#NAME?</v>
      </c>
      <c r="DE98" s="5" t="e">
        <f ca="1">_xll.BDH($C$78,"BS_INVENTORIES","FY 2018","FY 2018","Currency=INR","Period=FY","BEST_FPERIOD_OVERRIDE=FY","FILING_STATUS=OR","EQY_CONSOLIDATED=Y","SCALING_FORMAT=MLN","Sort=A","Dates=H","DateFormat=P","Fill=—","Direction=H","UseDPDF=Y")</f>
        <v>#NAME?</v>
      </c>
      <c r="DF98" s="3" t="e">
        <f ca="1">_xll.BDH($C$78,"INVTRY_RAW_MATERIALS","FY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98" s="3" t="e">
        <f ca="1">_xll.BDH($C$78,"INVTRY_IN_PROGRESS","FY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98" s="3" t="e">
        <f ca="1">_xll.BDH($C$78,"INVTRY_FINISHED_GOODS","FY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98" s="3" t="e">
        <f ca="1">_xll.BDH($C$78,"BS_OTHER_INV","FY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99" spans="1:113" x14ac:dyDescent="0.3">
      <c r="A99" s="6"/>
      <c r="B99" s="6"/>
      <c r="C99" s="6"/>
      <c r="D99" s="6"/>
      <c r="E99" t="s">
        <v>78</v>
      </c>
      <c r="F99" t="e">
        <f ca="1">_xll.BDH($C$78,"RETURN_COM_EQY","FQ1 2018","FQ1 2018","Currency=INR","Period=FQ","BEST_FPERIOD_OVERRIDE=FQ","FILING_STATUS=OR","EQY_CONSOLIDATED=Y","FA_ADJUSTED=GAAP","Sort=A","Dates=H","DateFormat=P","Fill=—","Direction=H","UseDPDF=Y")</f>
        <v>#NAME?</v>
      </c>
      <c r="G99" t="e">
        <f ca="1">_xll.BDH($C$78,"RETURN_ON_ASSET","FQ1 2018","FQ1 2018","Currency=INR","Period=FQ","BEST_FPERIOD_OVERRIDE=FQ","FILING_STATUS=OR","EQY_CONSOLIDATED=Y","FA_ADJUSTED=GAAP","Sort=A","Dates=H","DateFormat=P","Fill=—","Direction=H","UseDPDF=Y")</f>
        <v>#NAME?</v>
      </c>
      <c r="H99" t="e">
        <f ca="1">_xll.BDH($C$78,"RETURN_ON_CAP","FQ1 2018","FQ1 2018","Currency=INR","Period=FQ","BEST_FPERIOD_OVERRIDE=FQ","FILING_STATUS=OR","EQY_CONSOLIDATED=Y","FA_ADJUSTED=GAAP","Sort=A","Dates=H","DateFormat=P","Fill=—","Direction=H","UseDPDF=Y")</f>
        <v>#NAME?</v>
      </c>
      <c r="I99" t="e">
        <f ca="1">_xll.BDH($C$78,"RETURN_ON_INV_CAPITAL","FQ1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99" t="e">
        <f ca="1">_xll.BDH($C$78,"EBITDA_TO_REVENUE","FQ1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99" t="e">
        <f ca="1">_xll.BDH($C$78,"OPER_MARGIN","FQ1 2018","FQ1 2018","Currency=INR","Period=FQ","BEST_FPERIOD_OVERRIDE=FQ","FILING_STATUS=OR","EQY_CONSOLIDATED=Y","FA_ADJUSTED=GAAP","Sort=A","Dates=H","DateFormat=P","Fill=—","Direction=H","UseDPDF=Y")</f>
        <v>#NAME?</v>
      </c>
      <c r="L99" t="e">
        <f ca="1">_xll.BDH($C$78,"INCREMENTAL_OPERATING_MARGIN","FQ1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99" t="e">
        <f ca="1">_xll.BDH($C$78,"PRETAX_INC_TO_NET_SALES","FQ1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99" t="e">
        <f ca="1">_xll.BDH($C$78,"INC_BEF_XO_ITEMS_TO_NET_SALES","FQ1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99" t="e">
        <f ca="1">_xll.BDH($C$78,"PROF_MARGIN","FQ1 2018","FQ1 2018","Currency=INR","Period=FQ","BEST_FPERIOD_OVERRIDE=FQ","FILING_STATUS=OR","EQY_CONSOLIDATED=Y","FA_ADJUSTED=GAAP","Sort=A","Dates=H","DateFormat=P","Fill=—","Direction=H","UseDPDF=Y")</f>
        <v>#NAME?</v>
      </c>
      <c r="P99" t="e">
        <f ca="1">_xll.BDH($C$78,"NET_INCOME_TO_COMMON_MARGIN","FQ1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99" t="e">
        <f ca="1">_xll.BDH($C$78,"EFF_TAX_RATE","FQ1 2018","FQ1 2018","Currency=INR","Period=FQ","BEST_FPERIOD_OVERRIDE=FQ","FILING_STATUS=OR","EQY_CONSOLIDATED=Y","FA_ADJUSTED=GAAP","Sort=A","Dates=H","DateFormat=P","Fill=—","Direction=H","UseDPDF=Y")</f>
        <v>#NAME?</v>
      </c>
      <c r="R99" t="e">
        <f ca="1">_xll.BDH($C$78,"DVD_PAYOUT_RATIO","FQ1 2018","FQ1 2018","Currency=INR","Period=FQ","BEST_FPERIOD_OVERRIDE=FQ","FILING_STATUS=OR","EQY_CONSOLIDATED=Y","FA_ADJUSTED=GAAP","Sort=A","Dates=H","DateFormat=P","Fill=—","Direction=H","UseDPDF=Y")</f>
        <v>#NAME?</v>
      </c>
      <c r="S99" t="e">
        <f ca="1">_xll.BDH($C$78,"SUSTAIN_GROWTH_RT","FQ1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99" s="2" t="e">
        <f ca="1">_xll.BDH($C$78,"SALES_GROWTH","FQ1 2018","FQ1 2018","Currency=INR","Period=FQ","BEST_FPERIOD_OVERRIDE=FQ","FILING_STATUS=OR","EQY_CONSOLIDATED=Y","FA_ADJUSTED=GAAP","Sort=A","Dates=H","DateFormat=P","Fill=—","Direction=H","UseDPDF=Y")</f>
        <v>#NAME?</v>
      </c>
      <c r="U99" s="2" t="e">
        <f ca="1">_xll.BDH($C$78,"EBITDA_GROWTH","FQ1 2018","FQ1 2018","Currency=INR","Period=FQ","BEST_FPERIOD_OVERRIDE=FQ","FILING_STATUS=OR","EQY_CONSOLIDATED=Y","FA_ADJUSTED=GAAP","Sort=A","Dates=H","DateFormat=P","Fill=—","Direction=H","UseDPDF=Y")</f>
        <v>#NAME?</v>
      </c>
      <c r="V99" s="2" t="e">
        <f ca="1">_xll.BDH($C$78,"OPER_INC_GROWTH","FQ1 2018","FQ1 2018","Currency=INR","Period=FQ","BEST_FPERIOD_OVERRIDE=FQ","FILING_STATUS=OR","EQY_CONSOLIDATED=Y","FA_ADJUSTED=GAAP","Sort=A","Dates=H","DateFormat=P","Fill=—","Direction=H","UseDPDF=Y")</f>
        <v>#NAME?</v>
      </c>
      <c r="W99" s="2" t="e">
        <f ca="1">_xll.BDH($C$78,"EARN_FOR_COM_GROWTH","FQ1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99" s="2" t="e">
        <f ca="1">_xll.BDH($C$78,"DILUTED_EPS_AFT_XO_ITEMS_GROWTH","FQ1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99" s="2" t="e">
        <f ca="1">_xll.BDH($C$78,"DIVIDEND_PER_SHARE_1_YEAR_GROWTH","FQ1 2018","FQ1 2018","Currency=INR","Period=FQ","BEST_FPERIOD_OVERRIDE=FQ","FILING_STATUS=OR","EQY_CONSOLIDATED=Y","Sort=A","Dates=H","DateFormat=P","Fill=—","Direction=H","UseDPDF=Y")</f>
        <v>#NAME?</v>
      </c>
      <c r="Z99" s="2" t="e">
        <f ca="1">_xll.BDH($C$78,"ACCOUNTS_RECEIVABLE_GROWTH","FQ1 2018","FQ1 2018","Currency=INR","Period=FQ","BEST_FPERIOD_OVERRIDE=FQ","FILING_STATUS=OR","EQY_CONSOLIDATED=Y","Sort=A","Dates=H","DateFormat=P","Fill=—","Direction=H","UseDPDF=Y")</f>
        <v>#NAME?</v>
      </c>
      <c r="AA99" s="2" t="e">
        <f ca="1">_xll.BDH($C$78,"INVENTORY_GROWTH","FQ1 2018","FQ1 2018","Currency=INR","Period=FQ","BEST_FPERIOD_OVERRIDE=FQ","FILING_STATUS=OR","EQY_CONSOLIDATED=Y","Sort=A","Dates=H","DateFormat=P","Fill=—","Direction=H","UseDPDF=Y")</f>
        <v>#NAME?</v>
      </c>
      <c r="AB99" s="2" t="e">
        <f ca="1">_xll.BDH($C$78,"NET_FIXED_ASSETS_1_YEAR_GROWTH","FQ1 2018","FQ1 2018","Currency=INR","Period=FQ","BEST_FPERIOD_OVERRIDE=FQ","FILING_STATUS=OR","EQY_CONSOLIDATED=Y","Sort=A","Dates=H","DateFormat=P","Fill=—","Direction=H","UseDPDF=Y")</f>
        <v>#NAME?</v>
      </c>
      <c r="AC99" s="2" t="e">
        <f ca="1">_xll.BDH($C$78,"ASSET_GROWTH","FQ1 2018","FQ1 2018","Currency=INR","Period=FQ","BEST_FPERIOD_OVERRIDE=FQ","FILING_STATUS=OR","EQY_CONSOLIDATED=Y","Sort=A","Dates=H","DateFormat=P","Fill=—","Direction=H","UseDPDF=Y")</f>
        <v>#NAME?</v>
      </c>
      <c r="AD99" s="2" t="e">
        <f ca="1">_xll.BDH($C$78,"MODIFIED_WORK_CAP_GROWTH","FQ1 2018","FQ1 2018","Currency=INR","Period=FQ","BEST_FPERIOD_OVERRIDE=FQ","FILING_STATUS=OR","EQY_CONSOLIDATED=Y","Sort=A","Dates=H","DateFormat=P","Fill=—","Direction=H","UseDPDF=Y")</f>
        <v>#NAME?</v>
      </c>
      <c r="AE99" s="2" t="e">
        <f ca="1">_xll.BDH($C$78,"WORK_CAP_GROWTH","FQ1 2018","FQ1 2018","Currency=INR","Period=FQ","BEST_FPERIOD_OVERRIDE=FQ","FILING_STATUS=OR","EQY_CONSOLIDATED=Y","Sort=A","Dates=H","DateFormat=P","Fill=—","Direction=H","UseDPDF=Y")</f>
        <v>#NAME?</v>
      </c>
      <c r="AF99" s="2" t="e">
        <f ca="1">_xll.BDH($C$78,"ACCOUNTS_PAYABLE_GROWTH_1YR","FQ1 2018","FQ1 2018","Currency=INR","Period=FQ","BEST_FPERIOD_OVERRIDE=FQ","FILING_STATUS=OR","EQY_CONSOLIDATED=Y","Sort=A","Dates=H","DateFormat=P","Fill=—","Direction=H","UseDPDF=Y")</f>
        <v>#NAME?</v>
      </c>
      <c r="AG99" s="2" t="e">
        <f ca="1">_xll.BDH($C$78,"SHORT_TERM_DEBT_1_YEAR_GROWTH","FQ1 2018","FQ1 2018","Currency=INR","Period=FQ","BEST_FPERIOD_OVERRIDE=FQ","FILING_STATUS=OR","EQY_CONSOLIDATED=Y","Sort=A","Dates=H","DateFormat=P","Fill=—","Direction=H","UseDPDF=Y")</f>
        <v>#NAME?</v>
      </c>
      <c r="AH99" s="2" t="e">
        <f ca="1">_xll.BDH($C$78,"TOTAL_DEBT_1_YEAR_GROWTH","FQ1 2018","FQ1 2018","Currency=INR","Period=FQ","BEST_FPERIOD_OVERRIDE=FQ","FILING_STATUS=OR","EQY_CONSOLIDATED=Y","Sort=A","Dates=H","DateFormat=P","Fill=—","Direction=H","UseDPDF=Y")</f>
        <v>#NAME?</v>
      </c>
      <c r="AI99" s="2" t="e">
        <f ca="1">_xll.BDH($C$78,"TOTAL_EQUITY_1_YEAR_GROWTH","FQ1 2018","FQ1 2018","Currency=INR","Period=FQ","BEST_FPERIOD_OVERRIDE=FQ","FILING_STATUS=OR","EQY_CONSOLIDATED=Y","Sort=A","Dates=H","DateFormat=P","Fill=—","Direction=H","UseDPDF=Y")</f>
        <v>#NAME?</v>
      </c>
      <c r="AJ99" s="2" t="e">
        <f ca="1">_xll.BDH($C$78,"GROWTH_IN_CAP","FQ1 2018","FQ1 2018","Currency=INR","Period=FQ","BEST_FPERIOD_OVERRIDE=FQ","FILING_STATUS=OR","EQY_CONSOLIDATED=Y","Sort=A","Dates=H","DateFormat=P","Fill=—","Direction=H","UseDPDF=Y")</f>
        <v>#NAME?</v>
      </c>
      <c r="AK99" s="2" t="e">
        <f ca="1">_xll.BDH($C$78,"BVPS_GROWTH","FQ1 2018","FQ1 2018","Currency=INR","Period=FQ","BEST_FPERIOD_OVERRIDE=FQ","FILING_STATUS=OR","EQY_CONSOLIDATED=Y","Sort=A","Dates=H","DateFormat=P","Fill=—","Direction=H","UseDPDF=Y")</f>
        <v>#NAME?</v>
      </c>
      <c r="AL99" s="2" t="e">
        <f ca="1">_xll.BDH($C$78,"CASH_FLOW_GROWTH","FQ1 2018","FQ1 2018","Currency=INR","Period=FQ","BEST_FPERIOD_OVERRIDE=FQ","FILING_STATUS=OR","EQY_CONSOLIDATED=Y","Sort=A","Dates=H","DateFormat=P","Fill=—","Direction=H","UseDPDF=Y")</f>
        <v>#NAME?</v>
      </c>
      <c r="AM99" s="2" t="e">
        <f ca="1">_xll.BDH($C$78,"GEO_GROW_NET_SALES","FQ1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99" s="2" t="e">
        <f ca="1">_xll.BDH($C$78,"GEO_GROW_EBITDA","FQ1 2018","FQ1 2018","Currency=INR","Period=FQ","BEST_FPERIOD_OVERRIDE=FQ","FILING_STATUS=OR","EQY_CONSOLIDATED=Y","FA_ADJUSTED=GAAP","Sort=A","Dates=H","DateFormat=P","Fill=—","Direction=H","UseDPDF=Y")</f>
        <v>#NAME?</v>
      </c>
      <c r="AO99" s="2" t="e">
        <f ca="1">_xll.BDH($C$78,"GEO_GROW_OPER_INC","FQ1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99" s="2" t="e">
        <f ca="1">_xll.BDH($C$78,"NET_INCOME_TO_COMMON_5_YR_GROWTH","FQ1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99" s="2" t="e">
        <f ca="1">_xll.BDH($C$78,"5Y_GEO_GROWTH_DILUTED_EPS","FQ1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99" s="2" t="e">
        <f ca="1">_xll.BDH($C$78,"GEO_GROW_DVD_PER_SH","FQ1 2018","FQ1 2018","Currency=INR","Period=FQ","BEST_FPERIOD_OVERRIDE=FQ","FILING_STATUS=OR","EQY_CONSOLIDATED=Y","Sort=A","Dates=H","DateFormat=P","Fill=—","Direction=H","UseDPDF=Y")</f>
        <v>#NAME?</v>
      </c>
      <c r="AS99" s="2" t="e">
        <f ca="1">_xll.BDH($C$78,"ACCOUNTS_RECEIVABLE_5_YR_GROWTH","FQ1 2018","FQ1 2018","Currency=INR","Period=FQ","BEST_FPERIOD_OVERRIDE=FQ","FILING_STATUS=OR","EQY_CONSOLIDATED=Y","Sort=A","Dates=H","DateFormat=P","Fill=—","Direction=H","UseDPDF=Y")</f>
        <v>#NAME?</v>
      </c>
      <c r="AT99" s="2" t="e">
        <f ca="1">_xll.BDH($C$78,"INVENTORY_5_YEAR_GROWTH","FQ1 2018","FQ1 2018","Currency=INR","Period=FQ","BEST_FPERIOD_OVERRIDE=FQ","FILING_STATUS=OR","EQY_CONSOLIDATED=Y","Sort=A","Dates=H","DateFormat=P","Fill=—","Direction=H","UseDPDF=Y")</f>
        <v>#NAME?</v>
      </c>
      <c r="AU99" s="2" t="e">
        <f ca="1">_xll.BDH($C$78,"NET_FIXED_ASSETS_5_YEAR_GROWTH","FQ1 2018","FQ1 2018","Currency=INR","Period=FQ","BEST_FPERIOD_OVERRIDE=FQ","FILING_STATUS=OR","EQY_CONSOLIDATED=Y","Sort=A","Dates=H","DateFormat=P","Fill=—","Direction=H","UseDPDF=Y")</f>
        <v>#NAME?</v>
      </c>
      <c r="AV99" s="2" t="e">
        <f ca="1">_xll.BDH($C$78,"GEO_GROW_TOT_ASSET","FQ1 2018","FQ1 2018","Currency=INR","Period=FQ","BEST_FPERIOD_OVERRIDE=FQ","FILING_STATUS=OR","EQY_CONSOLIDATED=Y","Sort=A","Dates=H","DateFormat=P","Fill=—","Direction=H","UseDPDF=Y")</f>
        <v>#NAME?</v>
      </c>
      <c r="AW99" s="2" t="e">
        <f ca="1">_xll.BDH($C$78,"MODIFIED_WORKING_CPTL_5YR_GRWTH","FQ1 2018","FQ1 2018","Currency=INR","Period=FQ","BEST_FPERIOD_OVERRIDE=FQ","FILING_STATUS=OR","EQY_CONSOLIDATED=Y","Sort=A","Dates=H","DateFormat=P","Fill=—","Direction=H","UseDPDF=Y")</f>
        <v>#NAME?</v>
      </c>
      <c r="AX99" s="2" t="e">
        <f ca="1">_xll.BDH($C$78,"WORKING_CAPITAL_5_YEAR_GROWTH","FQ1 2018","FQ1 2018","Currency=INR","Period=FQ","BEST_FPERIOD_OVERRIDE=FQ","FILING_STATUS=OR","EQY_CONSOLIDATED=Y","Sort=A","Dates=H","DateFormat=P","Fill=—","Direction=H","UseDPDF=Y")</f>
        <v>#NAME?</v>
      </c>
      <c r="AY99" s="2" t="e">
        <f ca="1">_xll.BDH($C$78,"ACCOUNTS_PAYABLE_5_YEAR_GROWTH","FQ1 2018","FQ1 2018","Currency=INR","Period=FQ","BEST_FPERIOD_OVERRIDE=FQ","FILING_STATUS=OR","EQY_CONSOLIDATED=Y","Sort=A","Dates=H","DateFormat=P","Fill=—","Direction=H","UseDPDF=Y")</f>
        <v>#NAME?</v>
      </c>
      <c r="AZ99" s="2" t="e">
        <f ca="1">_xll.BDH($C$78,"SHORT_TERM_DEBT_5_YEAR_GROWTH","FQ1 2018","FQ1 2018","Currency=INR","Period=FQ","BEST_FPERIOD_OVERRIDE=FQ","FILING_STATUS=OR","EQY_CONSOLIDATED=Y","Sort=A","Dates=H","DateFormat=P","Fill=—","Direction=H","UseDPDF=Y")</f>
        <v>#NAME?</v>
      </c>
      <c r="BA99" s="2" t="e">
        <f ca="1">_xll.BDH($C$78,"TOTAL_DEBT_5_YEAR_GROWTH","FQ1 2018","FQ1 2018","Currency=INR","Period=FQ","BEST_FPERIOD_OVERRIDE=FQ","FILING_STATUS=OR","EQY_CONSOLIDATED=Y","Sort=A","Dates=H","DateFormat=P","Fill=—","Direction=H","UseDPDF=Y")</f>
        <v>#NAME?</v>
      </c>
      <c r="BB99" s="2" t="e">
        <f ca="1">_xll.BDH($C$78,"GEO_GROW_TOT_SHRHLDR_EQY","FQ1 2018","FQ1 2018","Currency=INR","Period=FQ","BEST_FPERIOD_OVERRIDE=FQ","FILING_STATUS=OR","EQY_CONSOLIDATED=Y","Sort=A","Dates=H","DateFormat=P","Fill=—","Direction=H","UseDPDF=Y")</f>
        <v>#NAME?</v>
      </c>
      <c r="BC99" s="2" t="e">
        <f ca="1">_xll.BDH($C$78,"TOTAL_CAPITAL_5_YEAR_GROWTH","FQ1 2018","FQ1 2018","Currency=INR","Period=FQ","BEST_FPERIOD_OVERRIDE=FQ","FILING_STATUS=OR","EQY_CONSOLIDATED=Y","Sort=A","Dates=H","DateFormat=P","Fill=—","Direction=H","UseDPDF=Y")</f>
        <v>#NAME?</v>
      </c>
      <c r="BD99" s="2" t="e">
        <f ca="1">_xll.BDH($C$78,"GEO_GROW_BOOK_VAL","FQ1 2018","FQ1 2018","Currency=INR","Period=FQ","BEST_FPERIOD_OVERRIDE=FQ","FILING_STATUS=OR","EQY_CONSOLIDATED=Y","Sort=A","Dates=H","DateFormat=P","Fill=—","Direction=H","UseDPDF=Y")</f>
        <v>#NAME?</v>
      </c>
      <c r="BE99" s="2" t="e">
        <f ca="1">_xll.BDH($C$78,"GEO_GROW_CASH_OPER_ACT","FQ1 2018","FQ1 2018","Currency=INR","Period=FQ","BEST_FPERIOD_OVERRIDE=FQ","FILING_STATUS=OR","EQY_CONSOLIDATED=Y","Sort=A","Dates=H","DateFormat=P","Fill=—","Direction=H","UseDPDF=Y")</f>
        <v>#NAME?</v>
      </c>
      <c r="BF99" s="2" t="e">
        <f ca="1">_xll.BDH($C$78,"REVENUE_SEQUENTIAL_GROWTH","FQ1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99" s="2" t="e">
        <f ca="1">_xll.BDH($C$78,"EBITDA_SEQUENTIAL_GROWTH","FQ1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99" s="2" t="e">
        <f ca="1">_xll.BDH($C$78,"OPERATING_INCOME_SEQ_GROWTH","FQ1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99" s="2" t="e">
        <f ca="1">_xll.BDH($C$78,"NET_INCOME_TO_COMMON_SEQ_GROWTH","FQ1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99" s="2" t="e">
        <f ca="1">_xll.BDH($C$78,"EPS_DILUTED_SEQUENTIAL_GROWTH","FQ1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99" s="2" t="e">
        <f ca="1">_xll.BDH($C$78,"DPS_SEQUENTIAL_GROWTH","FQ1 2018","FQ1 2018","Currency=INR","Period=FQ","BEST_FPERIOD_OVERRIDE=FQ","FILING_STATUS=OR","EQY_CONSOLIDATED=Y","Sort=A","Dates=H","DateFormat=P","Fill=—","Direction=H","UseDPDF=Y")</f>
        <v>#NAME?</v>
      </c>
      <c r="BL99" s="2" t="e">
        <f ca="1">_xll.BDH($C$78,"ACCOUNTS_RECEIVABLE_SEQ_GROWTH","FQ1 2018","FQ1 2018","Currency=INR","Period=FQ","BEST_FPERIOD_OVERRIDE=FQ","FILING_STATUS=OR","EQY_CONSOLIDATED=Y","Sort=A","Dates=H","DateFormat=P","Fill=—","Direction=H","UseDPDF=Y")</f>
        <v>#NAME?</v>
      </c>
      <c r="BM99" s="2" t="e">
        <f ca="1">_xll.BDH($C$78,"INVENTORY_SEQUENTIAL_GROWTH","FQ1 2018","FQ1 2018","Currency=INR","Period=FQ","BEST_FPERIOD_OVERRIDE=FQ","FILING_STATUS=OR","EQY_CONSOLIDATED=Y","Sort=A","Dates=H","DateFormat=P","Fill=—","Direction=H","UseDPDF=Y")</f>
        <v>#NAME?</v>
      </c>
      <c r="BN99" s="2" t="e">
        <f ca="1">_xll.BDH($C$78,"FIXED_ASSETS_SEQUENTIAL_GROWTH","FQ1 2018","FQ1 2018","Currency=INR","Period=FQ","BEST_FPERIOD_OVERRIDE=FQ","FILING_STATUS=OR","EQY_CONSOLIDATED=Y","Sort=A","Dates=H","DateFormat=P","Fill=—","Direction=H","UseDPDF=Y")</f>
        <v>#NAME?</v>
      </c>
      <c r="BO99" s="2" t="e">
        <f ca="1">_xll.BDH($C$78,"TOTAL_ASSETS_SEQUENTIAL_GROWTH","FQ1 2018","FQ1 2018","Currency=INR","Period=FQ","BEST_FPERIOD_OVERRIDE=FQ","FILING_STATUS=OR","EQY_CONSOLIDATED=Y","Sort=A","Dates=H","DateFormat=P","Fill=—","Direction=H","UseDPDF=Y")</f>
        <v>#NAME?</v>
      </c>
      <c r="BP99" s="2" t="e">
        <f ca="1">_xll.BDH($C$78,"MODIFIED_WORKING_CPTL_SEQ_GRWTH","FQ1 2018","FQ1 2018","Currency=INR","Period=FQ","BEST_FPERIOD_OVERRIDE=FQ","FILING_STATUS=OR","EQY_CONSOLIDATED=Y","Sort=A","Dates=H","DateFormat=P","Fill=—","Direction=H","UseDPDF=Y")</f>
        <v>#NAME?</v>
      </c>
      <c r="BQ99" s="2" t="e">
        <f ca="1">_xll.BDH($C$78,"WORKING_CAPITAL_SEQ_GROWTH","FQ1 2018","FQ1 2018","Currency=INR","Period=FQ","BEST_FPERIOD_OVERRIDE=FQ","FILING_STATUS=OR","EQY_CONSOLIDATED=Y","Sort=A","Dates=H","DateFormat=P","Fill=—","Direction=H","UseDPDF=Y")</f>
        <v>#NAME?</v>
      </c>
      <c r="BR99" s="2" t="e">
        <f ca="1">_xll.BDH($C$78,"ACCOUNTS_PAYABLE_SEQ_GROWTH","FQ1 2018","FQ1 2018","Currency=INR","Period=FQ","BEST_FPERIOD_OVERRIDE=FQ","FILING_STATUS=OR","EQY_CONSOLIDATED=Y","Sort=A","Dates=H","DateFormat=P","Fill=—","Direction=H","UseDPDF=Y")</f>
        <v>#NAME?</v>
      </c>
      <c r="BS99" s="2" t="e">
        <f ca="1">_xll.BDH($C$78,"ST_DEBT_SEQUENTIAL_GROWTH","FQ1 2018","FQ1 2018","Currency=INR","Period=FQ","BEST_FPERIOD_OVERRIDE=FQ","FILING_STATUS=OR","EQY_CONSOLIDATED=Y","Sort=A","Dates=H","DateFormat=P","Fill=—","Direction=H","UseDPDF=Y")</f>
        <v>#NAME?</v>
      </c>
      <c r="BT99" s="2" t="e">
        <f ca="1">_xll.BDH($C$78,"TOTAL_DEBT_SEQUENTIAL_GROWTH","FQ1 2018","FQ1 2018","Currency=INR","Period=FQ","BEST_FPERIOD_OVERRIDE=FQ","FILING_STATUS=OR","EQY_CONSOLIDATED=Y","Sort=A","Dates=H","DateFormat=P","Fill=—","Direction=H","UseDPDF=Y")</f>
        <v>#NAME?</v>
      </c>
      <c r="BU99" s="2" t="e">
        <f ca="1">_xll.BDH($C$78,"TOTAL_EQUITY_SEQUENTIAL_GROWTH","FQ1 2018","FQ1 2018","Currency=INR","Period=FQ","BEST_FPERIOD_OVERRIDE=FQ","FILING_STATUS=OR","EQY_CONSOLIDATED=Y","Sort=A","Dates=H","DateFormat=P","Fill=—","Direction=H","UseDPDF=Y")</f>
        <v>#NAME?</v>
      </c>
      <c r="BV99" s="2" t="e">
        <f ca="1">_xll.BDH($C$78,"TOTAL_CAPITAL_SEQUENTIAL_GROWTH","FQ1 2018","FQ1 2018","Currency=INR","Period=FQ","BEST_FPERIOD_OVERRIDE=FQ","FILING_STATUS=OR","EQY_CONSOLIDATED=Y","Sort=A","Dates=H","DateFormat=P","Fill=—","Direction=H","UseDPDF=Y")</f>
        <v>#NAME?</v>
      </c>
      <c r="BW99" s="2" t="e">
        <f ca="1">_xll.BDH($C$78,"BPS_SEQUENTIAL_GROWTH","FQ1 2018","FQ1 2018","Currency=INR","Period=FQ","BEST_FPERIOD_OVERRIDE=FQ","FILING_STATUS=OR","EQY_CONSOLIDATED=Y","Sort=A","Dates=H","DateFormat=P","Fill=—","Direction=H","UseDPDF=Y")</f>
        <v>#NAME?</v>
      </c>
      <c r="BX99" s="2" t="e">
        <f ca="1">_xll.BDH($C$78,"CFO_SEQUENTIAL_GROWTH","FQ1 2018","FQ1 2018","Currency=INR","Period=FQ","BEST_FPERIOD_OVERRIDE=FQ","FILING_STATUS=OR","EQY_CONSOLIDATED=Y","Sort=A","Dates=H","DateFormat=P","Fill=—","Direction=H","UseDPDF=Y")</f>
        <v>#NAME?</v>
      </c>
      <c r="BY99" s="3" t="e">
        <f ca="1">_xll.BDH($C$78,"SHORT_AND_LONG_TERM_DEBT","FQ1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99" s="3" t="e">
        <f ca="1">_xll.BDH($C$78,"BS_ST_BORROW","FQ1 2018","FQ1 2018","Currency=INR","Period=FQ","BEST_FPERIOD_OVERRIDE=FQ","FILING_STATUS=OR","EQY_CONSOLIDATED=Y","SCALING_FORMAT=MLN","Sort=A","Dates=H","DateFormat=P","Fill=—","Direction=H","UseDPDF=Y")</f>
        <v>#NAME?</v>
      </c>
      <c r="CA99" s="3" t="e">
        <f ca="1">_xll.BDH($C$78,"BS_LT_BORROW","FQ1 2018","FQ1 2018","Currency=INR","Period=FQ","BEST_FPERIOD_OVERRIDE=FQ","FILING_STATUS=OR","EQY_CONSOLIDATED=Y","SCALING_FORMAT=MLN","Sort=A","Dates=H","DateFormat=P","Fill=—","Direction=H","UseDPDF=Y")</f>
        <v>#NAME?</v>
      </c>
      <c r="CB99" s="2" t="e">
        <f ca="1">_xll.BDH($C$78,"TOT_DEBT_TO_EBITDA","FQ1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99" s="2" t="e">
        <f ca="1">_xll.BDH($C$78,"NET_DEBT_TO_EBITDA","FQ1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99" s="2" t="e">
        <f ca="1">_xll.BDH($C$78,"TOTAL_DEBT_TO_EBIT","FQ1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99" s="2" t="e">
        <f ca="1">_xll.BDH($C$78,"NET_DEBT_TO_EBIT","FQ1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99" s="2" t="e">
        <f ca="1">_xll.BDH($C$78,"EBITDA_TO_INTEREST_EXPN","FQ1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99" s="2" t="e">
        <f ca="1">_xll.BDH($C$78,"COM_EQY_TO_TOT_ASSET","FQ1 2018","FQ1 2018","Currency=INR","Period=FQ","BEST_FPERIOD_OVERRIDE=FQ","FILING_STATUS=OR","EQY_CONSOLIDATED=Y","Sort=A","Dates=H","DateFormat=P","Fill=—","Direction=H","UseDPDF=Y")</f>
        <v>#NAME?</v>
      </c>
      <c r="CH99" s="2" t="e">
        <f ca="1">_xll.BDH($C$78,"LT_DEBT_TO_TOT_EQY","FQ1 2018","FQ1 2018","Currency=INR","Period=FQ","BEST_FPERIOD_OVERRIDE=FQ","FILING_STATUS=OR","EQY_CONSOLIDATED=Y","Sort=A","Dates=H","DateFormat=P","Fill=—","Direction=H","UseDPDF=Y")</f>
        <v>#NAME?</v>
      </c>
      <c r="CI99" s="2" t="e">
        <f ca="1">_xll.BDH($C$78,"LT_DEBT_TO_TOT_CAP","FQ1 2018","FQ1 2018","Currency=INR","Period=FQ","BEST_FPERIOD_OVERRIDE=FQ","FILING_STATUS=OR","EQY_CONSOLIDATED=Y","Sort=A","Dates=H","DateFormat=P","Fill=—","Direction=H","UseDPDF=Y")</f>
        <v>#NAME?</v>
      </c>
      <c r="CJ99" s="2" t="e">
        <f ca="1">_xll.BDH($C$78,"LT_DEBT_TO_TOT_ASSET","FQ1 2018","FQ1 2018","Currency=INR","Period=FQ","BEST_FPERIOD_OVERRIDE=FQ","FILING_STATUS=OR","EQY_CONSOLIDATED=Y","Sort=A","Dates=H","DateFormat=P","Fill=—","Direction=H","UseDPDF=Y")</f>
        <v>#NAME?</v>
      </c>
      <c r="CK99" s="2" t="e">
        <f ca="1">_xll.BDH($C$78,"TOT_DEBT_TO_TOT_EQY","FQ1 2018","FQ1 2018","Currency=INR","Period=FQ","BEST_FPERIOD_OVERRIDE=FQ","FILING_STATUS=OR","EQY_CONSOLIDATED=Y","Sort=A","Dates=H","DateFormat=P","Fill=—","Direction=H","UseDPDF=Y")</f>
        <v>#NAME?</v>
      </c>
      <c r="CL99" s="2" t="e">
        <f ca="1">_xll.BDH($C$78,"TOT_DEBT_TO_TOT_CAP","FQ1 2018","FQ1 2018","Currency=INR","Period=FQ","BEST_FPERIOD_OVERRIDE=FQ","FILING_STATUS=OR","EQY_CONSOLIDATED=Y","Sort=A","Dates=H","DateFormat=P","Fill=—","Direction=H","UseDPDF=Y")</f>
        <v>#NAME?</v>
      </c>
      <c r="CM99" s="2" t="e">
        <f ca="1">_xll.BDH($C$78,"TOT_DEBT_TO_TOT_ASSET","FQ1 2018","FQ1 2018","Currency=INR","Period=FQ","BEST_FPERIOD_OVERRIDE=FQ","FILING_STATUS=OR","EQY_CONSOLIDATED=Y","Sort=A","Dates=H","DateFormat=P","Fill=—","Direction=H","UseDPDF=Y")</f>
        <v>#NAME?</v>
      </c>
      <c r="CN99" s="2" t="e">
        <f ca="1">_xll.BDH($C$78,"NET_DEBT_TO_SHRHLDR_EQTY","FQ1 2018","FQ1 2018","Currency=INR","Period=FQ","BEST_FPERIOD_OVERRIDE=FQ","FILING_STATUS=OR","EQY_CONSOLIDATED=Y","Sort=A","Dates=H","DateFormat=P","Fill=—","Direction=H","UseDPDF=Y")</f>
        <v>#NAME?</v>
      </c>
      <c r="CO99" s="2" t="e">
        <f ca="1">_xll.BDH($C$78,"NET_DEBT_%_CAPITAL","FQ1 2018","FQ1 2018","Currency=INR","Period=FQ","BEST_FPERIOD_OVERRIDE=FQ","FILING_STATUS=OR","EQY_CONSOLIDATED=Y","Sort=A","Dates=H","DateFormat=P","Fill=—","Direction=H","UseDPDF=Y")</f>
        <v>#NAME?</v>
      </c>
      <c r="CP99" s="3" t="e">
        <f ca="1">_xll.BDH($C$78,"EBITDA","FQ1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99" s="3" t="e">
        <f ca="1">_xll.BDH($C$78,"EBITDA_AFTER_CAPEX","FQ1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99" s="3" t="e">
        <f ca="1">_xll.BDH($C$78,"IS_OPER_INC","FQ1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99" s="2" t="e">
        <f ca="1">_xll.BDH($C$78,"CASH_RATIO","FQ1 2018","FQ1 2018","Currency=INR","Period=FQ","BEST_FPERIOD_OVERRIDE=FQ","FILING_STATUS=OR","EQY_CONSOLIDATED=Y","Sort=A","Dates=H","DateFormat=P","Fill=—","Direction=H","UseDPDF=Y")</f>
        <v>#NAME?</v>
      </c>
      <c r="CT99" s="2" t="e">
        <f ca="1">_xll.BDH($C$78,"CUR_RATIO","FQ1 2018","FQ1 2018","Currency=INR","Period=FQ","BEST_FPERIOD_OVERRIDE=FQ","FILING_STATUS=OR","EQY_CONSOLIDATED=Y","Sort=A","Dates=H","DateFormat=P","Fill=—","Direction=H","UseDPDF=Y")</f>
        <v>#NAME?</v>
      </c>
      <c r="CU99" s="2" t="e">
        <f ca="1">_xll.BDH($C$78,"QUICK_RATIO","FQ1 2018","FQ1 2018","Currency=INR","Period=FQ","BEST_FPERIOD_OVERRIDE=FQ","FILING_STATUS=OR","EQY_CONSOLIDATED=Y","Sort=A","Dates=H","DateFormat=P","Fill=—","Direction=H","UseDPDF=Y")</f>
        <v>#NAME?</v>
      </c>
      <c r="CV99" s="2" t="e">
        <f ca="1">_xll.BDH($C$78,"ALTMAN_Z_SCORE","FQ1 2018","FQ1 2018","Currency=INR","Period=FQ","BEST_FPERIOD_OVERRIDE=FQ","FILING_STATUS=OR","EQY_CONSOLIDATED=Y","Sort=A","Dates=H","DateFormat=P","Fill=—","Direction=H","UseDPDF=Y")</f>
        <v>#NAME?</v>
      </c>
      <c r="CW99" s="4" t="e">
        <f ca="1">_xll.BDH($C$78,"ACCT_RCV_TURN","FQ1 2018","FQ1 2018","Currency=INR","Period=FQ","BEST_FPERIOD_OVERRIDE=FQ","FILING_STATUS=OR","EQY_CONSOLIDATED=Y","FA_ADJUSTED=GAAP","Sort=A","Dates=H","DateFormat=P","Fill=—","Direction=H","UseDPDF=Y")</f>
        <v>#NAME?</v>
      </c>
      <c r="CX99" s="2" t="e">
        <f ca="1">_xll.BDH($C$78,"ACCT_RCV_DAYS","FQ1 2018","FQ1 2018","Currency=INR","Period=FQ","BEST_FPERIOD_OVERRIDE=FQ","FILING_STATUS=OR","EQY_CONSOLIDATED=Y","FA_ADJUSTED=GAAP","Sort=A","Dates=H","DateFormat=P","Fill=—","Direction=H","UseDPDF=Y")</f>
        <v>#NAME?</v>
      </c>
      <c r="CY99" s="4" t="e">
        <f ca="1">_xll.BDH($C$78,"INVENT_TURN","FQ1 2018","FQ1 2018","Currency=INR","Period=FQ","BEST_FPERIOD_OVERRIDE=FQ","FILING_STATUS=OR","EQY_CONSOLIDATED=Y","FA_ADJUSTED=GAAP","Sort=A","Dates=H","DateFormat=P","Fill=—","Direction=H","UseDPDF=Y")</f>
        <v>#NAME?</v>
      </c>
      <c r="CZ99" s="2" t="e">
        <f ca="1">_xll.BDH($C$78,"INVENT_DAYS","FQ1 2018","FQ1 2018","Currency=INR","Period=FQ","BEST_FPERIOD_OVERRIDE=FQ","FILING_STATUS=OR","EQY_CONSOLIDATED=Y","FA_ADJUSTED=GAAP","Sort=A","Dates=H","DateFormat=P","Fill=—","Direction=H","UseDPDF=Y")</f>
        <v>#NAME?</v>
      </c>
      <c r="DA99" s="4" t="e">
        <f ca="1">_xll.BDH($C$78,"ACCOUNTS_PAYABLE_TURNOVER","FQ1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99" s="2" t="e">
        <f ca="1">_xll.BDH($C$78,"ACCOUNTS_PAYABLE_TURNOVER_DAYS","FQ1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99" s="4" t="e">
        <f ca="1">_xll.BDH($C$78,"CASH_CONVERSION_CYCLE","FQ1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99" s="4" t="e">
        <f ca="1">_xll.BDH($C$78,"INV_TO_CASH_DAYS","FQ1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99" s="5" t="e">
        <f ca="1">_xll.BDH($C$78,"BS_INVENTORIES","FQ1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99" s="3" t="e">
        <f ca="1">_xll.BDH($C$78,"INVTRY_RAW_MATERIALS","FQ1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99" s="3" t="e">
        <f ca="1">_xll.BDH($C$78,"INVTRY_IN_PROGRESS","FQ1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99" s="3" t="e">
        <f ca="1">_xll.BDH($C$78,"INVTRY_FINISHED_GOODS","FQ1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99" s="3" t="e">
        <f ca="1">_xll.BDH($C$78,"BS_OTHER_INV","FQ1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00" spans="1:113" x14ac:dyDescent="0.3">
      <c r="A100" s="6"/>
      <c r="B100" s="6"/>
      <c r="C100" s="6"/>
      <c r="D100" s="6"/>
      <c r="E100" t="s">
        <v>79</v>
      </c>
      <c r="F100" t="e">
        <f ca="1">_xll.BDH($C$78,"RETURN_COM_EQY","FQ2 2018","FQ2 2018","Currency=INR","Period=FQ","BEST_FPERIOD_OVERRIDE=FQ","FILING_STATUS=OR","EQY_CONSOLIDATED=Y","FA_ADJUSTED=GAAP","Sort=A","Dates=H","DateFormat=P","Fill=—","Direction=H","UseDPDF=Y")</f>
        <v>#NAME?</v>
      </c>
      <c r="G100" t="e">
        <f ca="1">_xll.BDH($C$78,"RETURN_ON_ASSET","FQ2 2018","FQ2 2018","Currency=INR","Period=FQ","BEST_FPERIOD_OVERRIDE=FQ","FILING_STATUS=OR","EQY_CONSOLIDATED=Y","FA_ADJUSTED=GAAP","Sort=A","Dates=H","DateFormat=P","Fill=—","Direction=H","UseDPDF=Y")</f>
        <v>#NAME?</v>
      </c>
      <c r="H100" t="e">
        <f ca="1">_xll.BDH($C$78,"RETURN_ON_CAP","FQ2 2018","FQ2 2018","Currency=INR","Period=FQ","BEST_FPERIOD_OVERRIDE=FQ","FILING_STATUS=OR","EQY_CONSOLIDATED=Y","FA_ADJUSTED=GAAP","Sort=A","Dates=H","DateFormat=P","Fill=—","Direction=H","UseDPDF=Y")</f>
        <v>#NAME?</v>
      </c>
      <c r="I100" t="e">
        <f ca="1">_xll.BDH($C$78,"RETURN_ON_INV_CAPITAL","FQ2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00" t="e">
        <f ca="1">_xll.BDH($C$78,"EBITDA_TO_REVENUE","FQ2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00" t="e">
        <f ca="1">_xll.BDH($C$78,"OPER_MARGIN","FQ2 2018","FQ2 2018","Currency=INR","Period=FQ","BEST_FPERIOD_OVERRIDE=FQ","FILING_STATUS=OR","EQY_CONSOLIDATED=Y","FA_ADJUSTED=GAAP","Sort=A","Dates=H","DateFormat=P","Fill=—","Direction=H","UseDPDF=Y")</f>
        <v>#NAME?</v>
      </c>
      <c r="L100" t="e">
        <f ca="1">_xll.BDH($C$78,"INCREMENTAL_OPERATING_MARGIN","FQ2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00" t="e">
        <f ca="1">_xll.BDH($C$78,"PRETAX_INC_TO_NET_SALES","FQ2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00" t="e">
        <f ca="1">_xll.BDH($C$78,"INC_BEF_XO_ITEMS_TO_NET_SALES","FQ2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00" t="e">
        <f ca="1">_xll.BDH($C$78,"PROF_MARGIN","FQ2 2018","FQ2 2018","Currency=INR","Period=FQ","BEST_FPERIOD_OVERRIDE=FQ","FILING_STATUS=OR","EQY_CONSOLIDATED=Y","FA_ADJUSTED=GAAP","Sort=A","Dates=H","DateFormat=P","Fill=—","Direction=H","UseDPDF=Y")</f>
        <v>#NAME?</v>
      </c>
      <c r="P100" t="e">
        <f ca="1">_xll.BDH($C$78,"NET_INCOME_TO_COMMON_MARGIN","FQ2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00" t="e">
        <f ca="1">_xll.BDH($C$78,"EFF_TAX_RATE","FQ2 2018","FQ2 2018","Currency=INR","Period=FQ","BEST_FPERIOD_OVERRIDE=FQ","FILING_STATUS=OR","EQY_CONSOLIDATED=Y","FA_ADJUSTED=GAAP","Sort=A","Dates=H","DateFormat=P","Fill=—","Direction=H","UseDPDF=Y")</f>
        <v>#NAME?</v>
      </c>
      <c r="R100" t="e">
        <f ca="1">_xll.BDH($C$78,"DVD_PAYOUT_RATIO","FQ2 2018","FQ2 2018","Currency=INR","Period=FQ","BEST_FPERIOD_OVERRIDE=FQ","FILING_STATUS=OR","EQY_CONSOLIDATED=Y","FA_ADJUSTED=GAAP","Sort=A","Dates=H","DateFormat=P","Fill=—","Direction=H","UseDPDF=Y")</f>
        <v>#NAME?</v>
      </c>
      <c r="S100" t="e">
        <f ca="1">_xll.BDH($C$78,"SUSTAIN_GROWTH_RT","FQ2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00" s="2" t="e">
        <f ca="1">_xll.BDH($C$78,"SALES_GROWTH","FQ2 2018","FQ2 2018","Currency=INR","Period=FQ","BEST_FPERIOD_OVERRIDE=FQ","FILING_STATUS=OR","EQY_CONSOLIDATED=Y","FA_ADJUSTED=GAAP","Sort=A","Dates=H","DateFormat=P","Fill=—","Direction=H","UseDPDF=Y")</f>
        <v>#NAME?</v>
      </c>
      <c r="U100" s="2" t="e">
        <f ca="1">_xll.BDH($C$78,"EBITDA_GROWTH","FQ2 2018","FQ2 2018","Currency=INR","Period=FQ","BEST_FPERIOD_OVERRIDE=FQ","FILING_STATUS=OR","EQY_CONSOLIDATED=Y","FA_ADJUSTED=GAAP","Sort=A","Dates=H","DateFormat=P","Fill=—","Direction=H","UseDPDF=Y")</f>
        <v>#NAME?</v>
      </c>
      <c r="V100" s="2" t="e">
        <f ca="1">_xll.BDH($C$78,"OPER_INC_GROWTH","FQ2 2018","FQ2 2018","Currency=INR","Period=FQ","BEST_FPERIOD_OVERRIDE=FQ","FILING_STATUS=OR","EQY_CONSOLIDATED=Y","FA_ADJUSTED=GAAP","Sort=A","Dates=H","DateFormat=P","Fill=—","Direction=H","UseDPDF=Y")</f>
        <v>#NAME?</v>
      </c>
      <c r="W100" s="2" t="e">
        <f ca="1">_xll.BDH($C$78,"EARN_FOR_COM_GROWTH","FQ2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00" s="2" t="e">
        <f ca="1">_xll.BDH($C$78,"DILUTED_EPS_AFT_XO_ITEMS_GROWTH","FQ2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00" s="2" t="e">
        <f ca="1">_xll.BDH($C$78,"DIVIDEND_PER_SHARE_1_YEAR_GROWTH","FQ2 2018","FQ2 2018","Currency=INR","Period=FQ","BEST_FPERIOD_OVERRIDE=FQ","FILING_STATUS=OR","EQY_CONSOLIDATED=Y","Sort=A","Dates=H","DateFormat=P","Fill=—","Direction=H","UseDPDF=Y")</f>
        <v>#NAME?</v>
      </c>
      <c r="Z100" s="2" t="e">
        <f ca="1">_xll.BDH($C$78,"ACCOUNTS_RECEIVABLE_GROWTH","FQ2 2018","FQ2 2018","Currency=INR","Period=FQ","BEST_FPERIOD_OVERRIDE=FQ","FILING_STATUS=OR","EQY_CONSOLIDATED=Y","Sort=A","Dates=H","DateFormat=P","Fill=—","Direction=H","UseDPDF=Y")</f>
        <v>#NAME?</v>
      </c>
      <c r="AA100" s="2" t="e">
        <f ca="1">_xll.BDH($C$78,"INVENTORY_GROWTH","FQ2 2018","FQ2 2018","Currency=INR","Period=FQ","BEST_FPERIOD_OVERRIDE=FQ","FILING_STATUS=OR","EQY_CONSOLIDATED=Y","Sort=A","Dates=H","DateFormat=P","Fill=—","Direction=H","UseDPDF=Y")</f>
        <v>#NAME?</v>
      </c>
      <c r="AB100" s="2" t="e">
        <f ca="1">_xll.BDH($C$78,"NET_FIXED_ASSETS_1_YEAR_GROWTH","FQ2 2018","FQ2 2018","Currency=INR","Period=FQ","BEST_FPERIOD_OVERRIDE=FQ","FILING_STATUS=OR","EQY_CONSOLIDATED=Y","Sort=A","Dates=H","DateFormat=P","Fill=—","Direction=H","UseDPDF=Y")</f>
        <v>#NAME?</v>
      </c>
      <c r="AC100" s="2" t="e">
        <f ca="1">_xll.BDH($C$78,"ASSET_GROWTH","FQ2 2018","FQ2 2018","Currency=INR","Period=FQ","BEST_FPERIOD_OVERRIDE=FQ","FILING_STATUS=OR","EQY_CONSOLIDATED=Y","Sort=A","Dates=H","DateFormat=P","Fill=—","Direction=H","UseDPDF=Y")</f>
        <v>#NAME?</v>
      </c>
      <c r="AD100" s="2" t="e">
        <f ca="1">_xll.BDH($C$78,"MODIFIED_WORK_CAP_GROWTH","FQ2 2018","FQ2 2018","Currency=INR","Period=FQ","BEST_FPERIOD_OVERRIDE=FQ","FILING_STATUS=OR","EQY_CONSOLIDATED=Y","Sort=A","Dates=H","DateFormat=P","Fill=—","Direction=H","UseDPDF=Y")</f>
        <v>#NAME?</v>
      </c>
      <c r="AE100" s="2" t="e">
        <f ca="1">_xll.BDH($C$78,"WORK_CAP_GROWTH","FQ2 2018","FQ2 2018","Currency=INR","Period=FQ","BEST_FPERIOD_OVERRIDE=FQ","FILING_STATUS=OR","EQY_CONSOLIDATED=Y","Sort=A","Dates=H","DateFormat=P","Fill=—","Direction=H","UseDPDF=Y")</f>
        <v>#NAME?</v>
      </c>
      <c r="AF100" s="2" t="e">
        <f ca="1">_xll.BDH($C$78,"ACCOUNTS_PAYABLE_GROWTH_1YR","FQ2 2018","FQ2 2018","Currency=INR","Period=FQ","BEST_FPERIOD_OVERRIDE=FQ","FILING_STATUS=OR","EQY_CONSOLIDATED=Y","Sort=A","Dates=H","DateFormat=P","Fill=—","Direction=H","UseDPDF=Y")</f>
        <v>#NAME?</v>
      </c>
      <c r="AG100" s="2" t="e">
        <f ca="1">_xll.BDH($C$78,"SHORT_TERM_DEBT_1_YEAR_GROWTH","FQ2 2018","FQ2 2018","Currency=INR","Period=FQ","BEST_FPERIOD_OVERRIDE=FQ","FILING_STATUS=OR","EQY_CONSOLIDATED=Y","Sort=A","Dates=H","DateFormat=P","Fill=—","Direction=H","UseDPDF=Y")</f>
        <v>#NAME?</v>
      </c>
      <c r="AH100" s="2" t="e">
        <f ca="1">_xll.BDH($C$78,"TOTAL_DEBT_1_YEAR_GROWTH","FQ2 2018","FQ2 2018","Currency=INR","Period=FQ","BEST_FPERIOD_OVERRIDE=FQ","FILING_STATUS=OR","EQY_CONSOLIDATED=Y","Sort=A","Dates=H","DateFormat=P","Fill=—","Direction=H","UseDPDF=Y")</f>
        <v>#NAME?</v>
      </c>
      <c r="AI100" s="2" t="e">
        <f ca="1">_xll.BDH($C$78,"TOTAL_EQUITY_1_YEAR_GROWTH","FQ2 2018","FQ2 2018","Currency=INR","Period=FQ","BEST_FPERIOD_OVERRIDE=FQ","FILING_STATUS=OR","EQY_CONSOLIDATED=Y","Sort=A","Dates=H","DateFormat=P","Fill=—","Direction=H","UseDPDF=Y")</f>
        <v>#NAME?</v>
      </c>
      <c r="AJ100" s="2" t="e">
        <f ca="1">_xll.BDH($C$78,"GROWTH_IN_CAP","FQ2 2018","FQ2 2018","Currency=INR","Period=FQ","BEST_FPERIOD_OVERRIDE=FQ","FILING_STATUS=OR","EQY_CONSOLIDATED=Y","Sort=A","Dates=H","DateFormat=P","Fill=—","Direction=H","UseDPDF=Y")</f>
        <v>#NAME?</v>
      </c>
      <c r="AK100" s="2" t="e">
        <f ca="1">_xll.BDH($C$78,"BVPS_GROWTH","FQ2 2018","FQ2 2018","Currency=INR","Period=FQ","BEST_FPERIOD_OVERRIDE=FQ","FILING_STATUS=OR","EQY_CONSOLIDATED=Y","Sort=A","Dates=H","DateFormat=P","Fill=—","Direction=H","UseDPDF=Y")</f>
        <v>#NAME?</v>
      </c>
      <c r="AL100" s="2" t="e">
        <f ca="1">_xll.BDH($C$78,"CASH_FLOW_GROWTH","FQ2 2018","FQ2 2018","Currency=INR","Period=FQ","BEST_FPERIOD_OVERRIDE=FQ","FILING_STATUS=OR","EQY_CONSOLIDATED=Y","Sort=A","Dates=H","DateFormat=P","Fill=—","Direction=H","UseDPDF=Y")</f>
        <v>#NAME?</v>
      </c>
      <c r="AM100" s="2" t="e">
        <f ca="1">_xll.BDH($C$78,"GEO_GROW_NET_SALES","FQ2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00" s="2" t="e">
        <f ca="1">_xll.BDH($C$78,"GEO_GROW_EBITDA","FQ2 2018","FQ2 2018","Currency=INR","Period=FQ","BEST_FPERIOD_OVERRIDE=FQ","FILING_STATUS=OR","EQY_CONSOLIDATED=Y","FA_ADJUSTED=GAAP","Sort=A","Dates=H","DateFormat=P","Fill=—","Direction=H","UseDPDF=Y")</f>
        <v>#NAME?</v>
      </c>
      <c r="AO100" s="2" t="e">
        <f ca="1">_xll.BDH($C$78,"GEO_GROW_OPER_INC","FQ2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00" s="2" t="e">
        <f ca="1">_xll.BDH($C$78,"NET_INCOME_TO_COMMON_5_YR_GROWTH","FQ2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00" s="2" t="e">
        <f ca="1">_xll.BDH($C$78,"5Y_GEO_GROWTH_DILUTED_EPS","FQ2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00" s="2" t="e">
        <f ca="1">_xll.BDH($C$78,"GEO_GROW_DVD_PER_SH","FQ2 2018","FQ2 2018","Currency=INR","Period=FQ","BEST_FPERIOD_OVERRIDE=FQ","FILING_STATUS=OR","EQY_CONSOLIDATED=Y","Sort=A","Dates=H","DateFormat=P","Fill=—","Direction=H","UseDPDF=Y")</f>
        <v>#NAME?</v>
      </c>
      <c r="AS100" s="2" t="e">
        <f ca="1">_xll.BDH($C$78,"ACCOUNTS_RECEIVABLE_5_YR_GROWTH","FQ2 2018","FQ2 2018","Currency=INR","Period=FQ","BEST_FPERIOD_OVERRIDE=FQ","FILING_STATUS=OR","EQY_CONSOLIDATED=Y","Sort=A","Dates=H","DateFormat=P","Fill=—","Direction=H","UseDPDF=Y")</f>
        <v>#NAME?</v>
      </c>
      <c r="AT100" s="2" t="e">
        <f ca="1">_xll.BDH($C$78,"INVENTORY_5_YEAR_GROWTH","FQ2 2018","FQ2 2018","Currency=INR","Period=FQ","BEST_FPERIOD_OVERRIDE=FQ","FILING_STATUS=OR","EQY_CONSOLIDATED=Y","Sort=A","Dates=H","DateFormat=P","Fill=—","Direction=H","UseDPDF=Y")</f>
        <v>#NAME?</v>
      </c>
      <c r="AU100" s="2" t="e">
        <f ca="1">_xll.BDH($C$78,"NET_FIXED_ASSETS_5_YEAR_GROWTH","FQ2 2018","FQ2 2018","Currency=INR","Period=FQ","BEST_FPERIOD_OVERRIDE=FQ","FILING_STATUS=OR","EQY_CONSOLIDATED=Y","Sort=A","Dates=H","DateFormat=P","Fill=—","Direction=H","UseDPDF=Y")</f>
        <v>#NAME?</v>
      </c>
      <c r="AV100" s="2" t="e">
        <f ca="1">_xll.BDH($C$78,"GEO_GROW_TOT_ASSET","FQ2 2018","FQ2 2018","Currency=INR","Period=FQ","BEST_FPERIOD_OVERRIDE=FQ","FILING_STATUS=OR","EQY_CONSOLIDATED=Y","Sort=A","Dates=H","DateFormat=P","Fill=—","Direction=H","UseDPDF=Y")</f>
        <v>#NAME?</v>
      </c>
      <c r="AW100" s="2" t="e">
        <f ca="1">_xll.BDH($C$78,"MODIFIED_WORKING_CPTL_5YR_GRWTH","FQ2 2018","FQ2 2018","Currency=INR","Period=FQ","BEST_FPERIOD_OVERRIDE=FQ","FILING_STATUS=OR","EQY_CONSOLIDATED=Y","Sort=A","Dates=H","DateFormat=P","Fill=—","Direction=H","UseDPDF=Y")</f>
        <v>#NAME?</v>
      </c>
      <c r="AX100" s="2" t="e">
        <f ca="1">_xll.BDH($C$78,"WORKING_CAPITAL_5_YEAR_GROWTH","FQ2 2018","FQ2 2018","Currency=INR","Period=FQ","BEST_FPERIOD_OVERRIDE=FQ","FILING_STATUS=OR","EQY_CONSOLIDATED=Y","Sort=A","Dates=H","DateFormat=P","Fill=—","Direction=H","UseDPDF=Y")</f>
        <v>#NAME?</v>
      </c>
      <c r="AY100" s="2" t="e">
        <f ca="1">_xll.BDH($C$78,"ACCOUNTS_PAYABLE_5_YEAR_GROWTH","FQ2 2018","FQ2 2018","Currency=INR","Period=FQ","BEST_FPERIOD_OVERRIDE=FQ","FILING_STATUS=OR","EQY_CONSOLIDATED=Y","Sort=A","Dates=H","DateFormat=P","Fill=—","Direction=H","UseDPDF=Y")</f>
        <v>#NAME?</v>
      </c>
      <c r="AZ100" s="2" t="e">
        <f ca="1">_xll.BDH($C$78,"SHORT_TERM_DEBT_5_YEAR_GROWTH","FQ2 2018","FQ2 2018","Currency=INR","Period=FQ","BEST_FPERIOD_OVERRIDE=FQ","FILING_STATUS=OR","EQY_CONSOLIDATED=Y","Sort=A","Dates=H","DateFormat=P","Fill=—","Direction=H","UseDPDF=Y")</f>
        <v>#NAME?</v>
      </c>
      <c r="BA100" s="2" t="e">
        <f ca="1">_xll.BDH($C$78,"TOTAL_DEBT_5_YEAR_GROWTH","FQ2 2018","FQ2 2018","Currency=INR","Period=FQ","BEST_FPERIOD_OVERRIDE=FQ","FILING_STATUS=OR","EQY_CONSOLIDATED=Y","Sort=A","Dates=H","DateFormat=P","Fill=—","Direction=H","UseDPDF=Y")</f>
        <v>#NAME?</v>
      </c>
      <c r="BB100" s="2" t="e">
        <f ca="1">_xll.BDH($C$78,"GEO_GROW_TOT_SHRHLDR_EQY","FQ2 2018","FQ2 2018","Currency=INR","Period=FQ","BEST_FPERIOD_OVERRIDE=FQ","FILING_STATUS=OR","EQY_CONSOLIDATED=Y","Sort=A","Dates=H","DateFormat=P","Fill=—","Direction=H","UseDPDF=Y")</f>
        <v>#NAME?</v>
      </c>
      <c r="BC100" s="2" t="e">
        <f ca="1">_xll.BDH($C$78,"TOTAL_CAPITAL_5_YEAR_GROWTH","FQ2 2018","FQ2 2018","Currency=INR","Period=FQ","BEST_FPERIOD_OVERRIDE=FQ","FILING_STATUS=OR","EQY_CONSOLIDATED=Y","Sort=A","Dates=H","DateFormat=P","Fill=—","Direction=H","UseDPDF=Y")</f>
        <v>#NAME?</v>
      </c>
      <c r="BD100" s="2" t="e">
        <f ca="1">_xll.BDH($C$78,"GEO_GROW_BOOK_VAL","FQ2 2018","FQ2 2018","Currency=INR","Period=FQ","BEST_FPERIOD_OVERRIDE=FQ","FILING_STATUS=OR","EQY_CONSOLIDATED=Y","Sort=A","Dates=H","DateFormat=P","Fill=—","Direction=H","UseDPDF=Y")</f>
        <v>#NAME?</v>
      </c>
      <c r="BE100" s="2" t="e">
        <f ca="1">_xll.BDH($C$78,"GEO_GROW_CASH_OPER_ACT","FQ2 2018","FQ2 2018","Currency=INR","Period=FQ","BEST_FPERIOD_OVERRIDE=FQ","FILING_STATUS=OR","EQY_CONSOLIDATED=Y","Sort=A","Dates=H","DateFormat=P","Fill=—","Direction=H","UseDPDF=Y")</f>
        <v>#NAME?</v>
      </c>
      <c r="BF100" s="2" t="e">
        <f ca="1">_xll.BDH($C$78,"REVENUE_SEQUENTIAL_GROWTH","FQ2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00" s="2" t="e">
        <f ca="1">_xll.BDH($C$78,"EBITDA_SEQUENTIAL_GROWTH","FQ2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00" s="2" t="e">
        <f ca="1">_xll.BDH($C$78,"OPERATING_INCOME_SEQ_GROWTH","FQ2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00" s="2" t="e">
        <f ca="1">_xll.BDH($C$78,"NET_INCOME_TO_COMMON_SEQ_GROWTH","FQ2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00" s="2" t="e">
        <f ca="1">_xll.BDH($C$78,"EPS_DILUTED_SEQUENTIAL_GROWTH","FQ2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00" s="2" t="e">
        <f ca="1">_xll.BDH($C$78,"DPS_SEQUENTIAL_GROWTH","FQ2 2018","FQ2 2018","Currency=INR","Period=FQ","BEST_FPERIOD_OVERRIDE=FQ","FILING_STATUS=OR","EQY_CONSOLIDATED=Y","Sort=A","Dates=H","DateFormat=P","Fill=—","Direction=H","UseDPDF=Y")</f>
        <v>#NAME?</v>
      </c>
      <c r="BL100" s="2" t="e">
        <f ca="1">_xll.BDH($C$78,"ACCOUNTS_RECEIVABLE_SEQ_GROWTH","FQ2 2018","FQ2 2018","Currency=INR","Period=FQ","BEST_FPERIOD_OVERRIDE=FQ","FILING_STATUS=OR","EQY_CONSOLIDATED=Y","Sort=A","Dates=H","DateFormat=P","Fill=—","Direction=H","UseDPDF=Y")</f>
        <v>#NAME?</v>
      </c>
      <c r="BM100" s="2" t="e">
        <f ca="1">_xll.BDH($C$78,"INVENTORY_SEQUENTIAL_GROWTH","FQ2 2018","FQ2 2018","Currency=INR","Period=FQ","BEST_FPERIOD_OVERRIDE=FQ","FILING_STATUS=OR","EQY_CONSOLIDATED=Y","Sort=A","Dates=H","DateFormat=P","Fill=—","Direction=H","UseDPDF=Y")</f>
        <v>#NAME?</v>
      </c>
      <c r="BN100" s="2" t="e">
        <f ca="1">_xll.BDH($C$78,"FIXED_ASSETS_SEQUENTIAL_GROWTH","FQ2 2018","FQ2 2018","Currency=INR","Period=FQ","BEST_FPERIOD_OVERRIDE=FQ","FILING_STATUS=OR","EQY_CONSOLIDATED=Y","Sort=A","Dates=H","DateFormat=P","Fill=—","Direction=H","UseDPDF=Y")</f>
        <v>#NAME?</v>
      </c>
      <c r="BO100" s="2" t="e">
        <f ca="1">_xll.BDH($C$78,"TOTAL_ASSETS_SEQUENTIAL_GROWTH","FQ2 2018","FQ2 2018","Currency=INR","Period=FQ","BEST_FPERIOD_OVERRIDE=FQ","FILING_STATUS=OR","EQY_CONSOLIDATED=Y","Sort=A","Dates=H","DateFormat=P","Fill=—","Direction=H","UseDPDF=Y")</f>
        <v>#NAME?</v>
      </c>
      <c r="BP100" s="2" t="e">
        <f ca="1">_xll.BDH($C$78,"MODIFIED_WORKING_CPTL_SEQ_GRWTH","FQ2 2018","FQ2 2018","Currency=INR","Period=FQ","BEST_FPERIOD_OVERRIDE=FQ","FILING_STATUS=OR","EQY_CONSOLIDATED=Y","Sort=A","Dates=H","DateFormat=P","Fill=—","Direction=H","UseDPDF=Y")</f>
        <v>#NAME?</v>
      </c>
      <c r="BQ100" s="2" t="e">
        <f ca="1">_xll.BDH($C$78,"WORKING_CAPITAL_SEQ_GROWTH","FQ2 2018","FQ2 2018","Currency=INR","Period=FQ","BEST_FPERIOD_OVERRIDE=FQ","FILING_STATUS=OR","EQY_CONSOLIDATED=Y","Sort=A","Dates=H","DateFormat=P","Fill=—","Direction=H","UseDPDF=Y")</f>
        <v>#NAME?</v>
      </c>
      <c r="BR100" s="2" t="e">
        <f ca="1">_xll.BDH($C$78,"ACCOUNTS_PAYABLE_SEQ_GROWTH","FQ2 2018","FQ2 2018","Currency=INR","Period=FQ","BEST_FPERIOD_OVERRIDE=FQ","FILING_STATUS=OR","EQY_CONSOLIDATED=Y","Sort=A","Dates=H","DateFormat=P","Fill=—","Direction=H","UseDPDF=Y")</f>
        <v>#NAME?</v>
      </c>
      <c r="BS100" s="2" t="e">
        <f ca="1">_xll.BDH($C$78,"ST_DEBT_SEQUENTIAL_GROWTH","FQ2 2018","FQ2 2018","Currency=INR","Period=FQ","BEST_FPERIOD_OVERRIDE=FQ","FILING_STATUS=OR","EQY_CONSOLIDATED=Y","Sort=A","Dates=H","DateFormat=P","Fill=—","Direction=H","UseDPDF=Y")</f>
        <v>#NAME?</v>
      </c>
      <c r="BT100" s="2" t="e">
        <f ca="1">_xll.BDH($C$78,"TOTAL_DEBT_SEQUENTIAL_GROWTH","FQ2 2018","FQ2 2018","Currency=INR","Period=FQ","BEST_FPERIOD_OVERRIDE=FQ","FILING_STATUS=OR","EQY_CONSOLIDATED=Y","Sort=A","Dates=H","DateFormat=P","Fill=—","Direction=H","UseDPDF=Y")</f>
        <v>#NAME?</v>
      </c>
      <c r="BU100" s="2" t="e">
        <f ca="1">_xll.BDH($C$78,"TOTAL_EQUITY_SEQUENTIAL_GROWTH","FQ2 2018","FQ2 2018","Currency=INR","Period=FQ","BEST_FPERIOD_OVERRIDE=FQ","FILING_STATUS=OR","EQY_CONSOLIDATED=Y","Sort=A","Dates=H","DateFormat=P","Fill=—","Direction=H","UseDPDF=Y")</f>
        <v>#NAME?</v>
      </c>
      <c r="BV100" s="2" t="e">
        <f ca="1">_xll.BDH($C$78,"TOTAL_CAPITAL_SEQUENTIAL_GROWTH","FQ2 2018","FQ2 2018","Currency=INR","Period=FQ","BEST_FPERIOD_OVERRIDE=FQ","FILING_STATUS=OR","EQY_CONSOLIDATED=Y","Sort=A","Dates=H","DateFormat=P","Fill=—","Direction=H","UseDPDF=Y")</f>
        <v>#NAME?</v>
      </c>
      <c r="BW100" s="2" t="e">
        <f ca="1">_xll.BDH($C$78,"BPS_SEQUENTIAL_GROWTH","FQ2 2018","FQ2 2018","Currency=INR","Period=FQ","BEST_FPERIOD_OVERRIDE=FQ","FILING_STATUS=OR","EQY_CONSOLIDATED=Y","Sort=A","Dates=H","DateFormat=P","Fill=—","Direction=H","UseDPDF=Y")</f>
        <v>#NAME?</v>
      </c>
      <c r="BX100" s="2" t="e">
        <f ca="1">_xll.BDH($C$78,"CFO_SEQUENTIAL_GROWTH","FQ2 2018","FQ2 2018","Currency=INR","Period=FQ","BEST_FPERIOD_OVERRIDE=FQ","FILING_STATUS=OR","EQY_CONSOLIDATED=Y","Sort=A","Dates=H","DateFormat=P","Fill=—","Direction=H","UseDPDF=Y")</f>
        <v>#NAME?</v>
      </c>
      <c r="BY100" s="3" t="e">
        <f ca="1">_xll.BDH($C$78,"SHORT_AND_LONG_TERM_DEBT","FQ2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00" s="3" t="e">
        <f ca="1">_xll.BDH($C$78,"BS_ST_BORROW","FQ2 2018","FQ2 2018","Currency=INR","Period=FQ","BEST_FPERIOD_OVERRIDE=FQ","FILING_STATUS=OR","EQY_CONSOLIDATED=Y","SCALING_FORMAT=MLN","Sort=A","Dates=H","DateFormat=P","Fill=—","Direction=H","UseDPDF=Y")</f>
        <v>#NAME?</v>
      </c>
      <c r="CA100" s="3" t="e">
        <f ca="1">_xll.BDH($C$78,"BS_LT_BORROW","FQ2 2018","FQ2 2018","Currency=INR","Period=FQ","BEST_FPERIOD_OVERRIDE=FQ","FILING_STATUS=OR","EQY_CONSOLIDATED=Y","SCALING_FORMAT=MLN","Sort=A","Dates=H","DateFormat=P","Fill=—","Direction=H","UseDPDF=Y")</f>
        <v>#NAME?</v>
      </c>
      <c r="CB100" s="2" t="e">
        <f ca="1">_xll.BDH($C$78,"TOT_DEBT_TO_EBITDA","FQ2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00" s="2" t="e">
        <f ca="1">_xll.BDH($C$78,"NET_DEBT_TO_EBITDA","FQ2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00" s="2" t="e">
        <f ca="1">_xll.BDH($C$78,"TOTAL_DEBT_TO_EBIT","FQ2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00" s="2" t="e">
        <f ca="1">_xll.BDH($C$78,"NET_DEBT_TO_EBIT","FQ2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00" s="2" t="e">
        <f ca="1">_xll.BDH($C$78,"EBITDA_TO_INTEREST_EXPN","FQ2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00" s="2" t="e">
        <f ca="1">_xll.BDH($C$78,"COM_EQY_TO_TOT_ASSET","FQ2 2018","FQ2 2018","Currency=INR","Period=FQ","BEST_FPERIOD_OVERRIDE=FQ","FILING_STATUS=OR","EQY_CONSOLIDATED=Y","Sort=A","Dates=H","DateFormat=P","Fill=—","Direction=H","UseDPDF=Y")</f>
        <v>#NAME?</v>
      </c>
      <c r="CH100" s="2" t="e">
        <f ca="1">_xll.BDH($C$78,"LT_DEBT_TO_TOT_EQY","FQ2 2018","FQ2 2018","Currency=INR","Period=FQ","BEST_FPERIOD_OVERRIDE=FQ","FILING_STATUS=OR","EQY_CONSOLIDATED=Y","Sort=A","Dates=H","DateFormat=P","Fill=—","Direction=H","UseDPDF=Y")</f>
        <v>#NAME?</v>
      </c>
      <c r="CI100" s="2" t="e">
        <f ca="1">_xll.BDH($C$78,"LT_DEBT_TO_TOT_CAP","FQ2 2018","FQ2 2018","Currency=INR","Period=FQ","BEST_FPERIOD_OVERRIDE=FQ","FILING_STATUS=OR","EQY_CONSOLIDATED=Y","Sort=A","Dates=H","DateFormat=P","Fill=—","Direction=H","UseDPDF=Y")</f>
        <v>#NAME?</v>
      </c>
      <c r="CJ100" s="2" t="e">
        <f ca="1">_xll.BDH($C$78,"LT_DEBT_TO_TOT_ASSET","FQ2 2018","FQ2 2018","Currency=INR","Period=FQ","BEST_FPERIOD_OVERRIDE=FQ","FILING_STATUS=OR","EQY_CONSOLIDATED=Y","Sort=A","Dates=H","DateFormat=P","Fill=—","Direction=H","UseDPDF=Y")</f>
        <v>#NAME?</v>
      </c>
      <c r="CK100" s="2" t="e">
        <f ca="1">_xll.BDH($C$78,"TOT_DEBT_TO_TOT_EQY","FQ2 2018","FQ2 2018","Currency=INR","Period=FQ","BEST_FPERIOD_OVERRIDE=FQ","FILING_STATUS=OR","EQY_CONSOLIDATED=Y","Sort=A","Dates=H","DateFormat=P","Fill=—","Direction=H","UseDPDF=Y")</f>
        <v>#NAME?</v>
      </c>
      <c r="CL100" s="2" t="e">
        <f ca="1">_xll.BDH($C$78,"TOT_DEBT_TO_TOT_CAP","FQ2 2018","FQ2 2018","Currency=INR","Period=FQ","BEST_FPERIOD_OVERRIDE=FQ","FILING_STATUS=OR","EQY_CONSOLIDATED=Y","Sort=A","Dates=H","DateFormat=P","Fill=—","Direction=H","UseDPDF=Y")</f>
        <v>#NAME?</v>
      </c>
      <c r="CM100" s="2" t="e">
        <f ca="1">_xll.BDH($C$78,"TOT_DEBT_TO_TOT_ASSET","FQ2 2018","FQ2 2018","Currency=INR","Period=FQ","BEST_FPERIOD_OVERRIDE=FQ","FILING_STATUS=OR","EQY_CONSOLIDATED=Y","Sort=A","Dates=H","DateFormat=P","Fill=—","Direction=H","UseDPDF=Y")</f>
        <v>#NAME?</v>
      </c>
      <c r="CN100" s="2" t="e">
        <f ca="1">_xll.BDH($C$78,"NET_DEBT_TO_SHRHLDR_EQTY","FQ2 2018","FQ2 2018","Currency=INR","Period=FQ","BEST_FPERIOD_OVERRIDE=FQ","FILING_STATUS=OR","EQY_CONSOLIDATED=Y","Sort=A","Dates=H","DateFormat=P","Fill=—","Direction=H","UseDPDF=Y")</f>
        <v>#NAME?</v>
      </c>
      <c r="CO100" s="2" t="e">
        <f ca="1">_xll.BDH($C$78,"NET_DEBT_%_CAPITAL","FQ2 2018","FQ2 2018","Currency=INR","Period=FQ","BEST_FPERIOD_OVERRIDE=FQ","FILING_STATUS=OR","EQY_CONSOLIDATED=Y","Sort=A","Dates=H","DateFormat=P","Fill=—","Direction=H","UseDPDF=Y")</f>
        <v>#NAME?</v>
      </c>
      <c r="CP100" s="3" t="e">
        <f ca="1">_xll.BDH($C$78,"EBITDA","FQ2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00" s="3" t="e">
        <f ca="1">_xll.BDH($C$78,"EBITDA_AFTER_CAPEX","FQ2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00" s="3" t="e">
        <f ca="1">_xll.BDH($C$78,"IS_OPER_INC","FQ2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00" s="2" t="e">
        <f ca="1">_xll.BDH($C$78,"CASH_RATIO","FQ2 2018","FQ2 2018","Currency=INR","Period=FQ","BEST_FPERIOD_OVERRIDE=FQ","FILING_STATUS=OR","EQY_CONSOLIDATED=Y","Sort=A","Dates=H","DateFormat=P","Fill=—","Direction=H","UseDPDF=Y")</f>
        <v>#NAME?</v>
      </c>
      <c r="CT100" s="2" t="e">
        <f ca="1">_xll.BDH($C$78,"CUR_RATIO","FQ2 2018","FQ2 2018","Currency=INR","Period=FQ","BEST_FPERIOD_OVERRIDE=FQ","FILING_STATUS=OR","EQY_CONSOLIDATED=Y","Sort=A","Dates=H","DateFormat=P","Fill=—","Direction=H","UseDPDF=Y")</f>
        <v>#NAME?</v>
      </c>
      <c r="CU100" s="2" t="e">
        <f ca="1">_xll.BDH($C$78,"QUICK_RATIO","FQ2 2018","FQ2 2018","Currency=INR","Period=FQ","BEST_FPERIOD_OVERRIDE=FQ","FILING_STATUS=OR","EQY_CONSOLIDATED=Y","Sort=A","Dates=H","DateFormat=P","Fill=—","Direction=H","UseDPDF=Y")</f>
        <v>#NAME?</v>
      </c>
      <c r="CV100" s="2" t="e">
        <f ca="1">_xll.BDH($C$78,"ALTMAN_Z_SCORE","FQ2 2018","FQ2 2018","Currency=INR","Period=FQ","BEST_FPERIOD_OVERRIDE=FQ","FILING_STATUS=OR","EQY_CONSOLIDATED=Y","Sort=A","Dates=H","DateFormat=P","Fill=—","Direction=H","UseDPDF=Y")</f>
        <v>#NAME?</v>
      </c>
      <c r="CW100" s="4" t="e">
        <f ca="1">_xll.BDH($C$78,"ACCT_RCV_TURN","FQ2 2018","FQ2 2018","Currency=INR","Period=FQ","BEST_FPERIOD_OVERRIDE=FQ","FILING_STATUS=OR","EQY_CONSOLIDATED=Y","FA_ADJUSTED=GAAP","Sort=A","Dates=H","DateFormat=P","Fill=—","Direction=H","UseDPDF=Y")</f>
        <v>#NAME?</v>
      </c>
      <c r="CX100" s="2" t="e">
        <f ca="1">_xll.BDH($C$78,"ACCT_RCV_DAYS","FQ2 2018","FQ2 2018","Currency=INR","Period=FQ","BEST_FPERIOD_OVERRIDE=FQ","FILING_STATUS=OR","EQY_CONSOLIDATED=Y","FA_ADJUSTED=GAAP","Sort=A","Dates=H","DateFormat=P","Fill=—","Direction=H","UseDPDF=Y")</f>
        <v>#NAME?</v>
      </c>
      <c r="CY100" s="4" t="e">
        <f ca="1">_xll.BDH($C$78,"INVENT_TURN","FQ2 2018","FQ2 2018","Currency=INR","Period=FQ","BEST_FPERIOD_OVERRIDE=FQ","FILING_STATUS=OR","EQY_CONSOLIDATED=Y","FA_ADJUSTED=GAAP","Sort=A","Dates=H","DateFormat=P","Fill=—","Direction=H","UseDPDF=Y")</f>
        <v>#NAME?</v>
      </c>
      <c r="CZ100" s="2" t="e">
        <f ca="1">_xll.BDH($C$78,"INVENT_DAYS","FQ2 2018","FQ2 2018","Currency=INR","Period=FQ","BEST_FPERIOD_OVERRIDE=FQ","FILING_STATUS=OR","EQY_CONSOLIDATED=Y","FA_ADJUSTED=GAAP","Sort=A","Dates=H","DateFormat=P","Fill=—","Direction=H","UseDPDF=Y")</f>
        <v>#NAME?</v>
      </c>
      <c r="DA100" s="4" t="e">
        <f ca="1">_xll.BDH($C$78,"ACCOUNTS_PAYABLE_TURNOVER","FQ2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00" s="2" t="e">
        <f ca="1">_xll.BDH($C$78,"ACCOUNTS_PAYABLE_TURNOVER_DAYS","FQ2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00" s="4" t="e">
        <f ca="1">_xll.BDH($C$78,"CASH_CONVERSION_CYCLE","FQ2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00" s="4" t="e">
        <f ca="1">_xll.BDH($C$78,"INV_TO_CASH_DAYS","FQ2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00" s="5" t="e">
        <f ca="1">_xll.BDH($C$78,"BS_INVENTORIES","FQ2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00" s="3" t="e">
        <f ca="1">_xll.BDH($C$78,"INVTRY_RAW_MATERIALS","FQ2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00" s="3" t="e">
        <f ca="1">_xll.BDH($C$78,"INVTRY_IN_PROGRESS","FQ2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00" s="3" t="e">
        <f ca="1">_xll.BDH($C$78,"INVTRY_FINISHED_GOODS","FQ2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00" s="3" t="e">
        <f ca="1">_xll.BDH($C$78,"BS_OTHER_INV","FQ2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01" spans="1:113" x14ac:dyDescent="0.3">
      <c r="A101" s="6"/>
      <c r="B101" s="6"/>
      <c r="C101" s="6"/>
      <c r="D101" s="6"/>
      <c r="E101" t="s">
        <v>80</v>
      </c>
      <c r="F101" t="e">
        <f ca="1">_xll.BDH($C$78,"RETURN_COM_EQY","FQ3 2018","FQ3 2018","Currency=INR","Period=FQ","BEST_FPERIOD_OVERRIDE=FQ","FILING_STATUS=OR","EQY_CONSOLIDATED=Y","FA_ADJUSTED=GAAP","Sort=A","Dates=H","DateFormat=P","Fill=—","Direction=H","UseDPDF=Y")</f>
        <v>#NAME?</v>
      </c>
      <c r="G101" t="e">
        <f ca="1">_xll.BDH($C$78,"RETURN_ON_ASSET","FQ3 2018","FQ3 2018","Currency=INR","Period=FQ","BEST_FPERIOD_OVERRIDE=FQ","FILING_STATUS=OR","EQY_CONSOLIDATED=Y","FA_ADJUSTED=GAAP","Sort=A","Dates=H","DateFormat=P","Fill=—","Direction=H","UseDPDF=Y")</f>
        <v>#NAME?</v>
      </c>
      <c r="H101" t="e">
        <f ca="1">_xll.BDH($C$78,"RETURN_ON_CAP","FQ3 2018","FQ3 2018","Currency=INR","Period=FQ","BEST_FPERIOD_OVERRIDE=FQ","FILING_STATUS=OR","EQY_CONSOLIDATED=Y","FA_ADJUSTED=GAAP","Sort=A","Dates=H","DateFormat=P","Fill=—","Direction=H","UseDPDF=Y")</f>
        <v>#NAME?</v>
      </c>
      <c r="I101" t="e">
        <f ca="1">_xll.BDH($C$78,"RETURN_ON_INV_CAPITAL","FQ3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01" t="e">
        <f ca="1">_xll.BDH($C$78,"EBITDA_TO_REVENUE","FQ3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01" t="e">
        <f ca="1">_xll.BDH($C$78,"OPER_MARGIN","FQ3 2018","FQ3 2018","Currency=INR","Period=FQ","BEST_FPERIOD_OVERRIDE=FQ","FILING_STATUS=OR","EQY_CONSOLIDATED=Y","FA_ADJUSTED=GAAP","Sort=A","Dates=H","DateFormat=P","Fill=—","Direction=H","UseDPDF=Y")</f>
        <v>#NAME?</v>
      </c>
      <c r="L101" t="e">
        <f ca="1">_xll.BDH($C$78,"INCREMENTAL_OPERATING_MARGIN","FQ3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01" t="e">
        <f ca="1">_xll.BDH($C$78,"PRETAX_INC_TO_NET_SALES","FQ3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01" t="e">
        <f ca="1">_xll.BDH($C$78,"INC_BEF_XO_ITEMS_TO_NET_SALES","FQ3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01" t="e">
        <f ca="1">_xll.BDH($C$78,"PROF_MARGIN","FQ3 2018","FQ3 2018","Currency=INR","Period=FQ","BEST_FPERIOD_OVERRIDE=FQ","FILING_STATUS=OR","EQY_CONSOLIDATED=Y","FA_ADJUSTED=GAAP","Sort=A","Dates=H","DateFormat=P","Fill=—","Direction=H","UseDPDF=Y")</f>
        <v>#NAME?</v>
      </c>
      <c r="P101" t="e">
        <f ca="1">_xll.BDH($C$78,"NET_INCOME_TO_COMMON_MARGIN","FQ3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01" t="e">
        <f ca="1">_xll.BDH($C$78,"EFF_TAX_RATE","FQ3 2018","FQ3 2018","Currency=INR","Period=FQ","BEST_FPERIOD_OVERRIDE=FQ","FILING_STATUS=OR","EQY_CONSOLIDATED=Y","FA_ADJUSTED=GAAP","Sort=A","Dates=H","DateFormat=P","Fill=—","Direction=H","UseDPDF=Y")</f>
        <v>#NAME?</v>
      </c>
      <c r="R101" t="e">
        <f ca="1">_xll.BDH($C$78,"DVD_PAYOUT_RATIO","FQ3 2018","FQ3 2018","Currency=INR","Period=FQ","BEST_FPERIOD_OVERRIDE=FQ","FILING_STATUS=OR","EQY_CONSOLIDATED=Y","FA_ADJUSTED=GAAP","Sort=A","Dates=H","DateFormat=P","Fill=—","Direction=H","UseDPDF=Y")</f>
        <v>#NAME?</v>
      </c>
      <c r="S101" t="e">
        <f ca="1">_xll.BDH($C$78,"SUSTAIN_GROWTH_RT","FQ3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01" s="2" t="e">
        <f ca="1">_xll.BDH($C$78,"SALES_GROWTH","FQ3 2018","FQ3 2018","Currency=INR","Period=FQ","BEST_FPERIOD_OVERRIDE=FQ","FILING_STATUS=OR","EQY_CONSOLIDATED=Y","FA_ADJUSTED=GAAP","Sort=A","Dates=H","DateFormat=P","Fill=—","Direction=H","UseDPDF=Y")</f>
        <v>#NAME?</v>
      </c>
      <c r="U101" s="2" t="e">
        <f ca="1">_xll.BDH($C$78,"EBITDA_GROWTH","FQ3 2018","FQ3 2018","Currency=INR","Period=FQ","BEST_FPERIOD_OVERRIDE=FQ","FILING_STATUS=OR","EQY_CONSOLIDATED=Y","FA_ADJUSTED=GAAP","Sort=A","Dates=H","DateFormat=P","Fill=—","Direction=H","UseDPDF=Y")</f>
        <v>#NAME?</v>
      </c>
      <c r="V101" s="2" t="e">
        <f ca="1">_xll.BDH($C$78,"OPER_INC_GROWTH","FQ3 2018","FQ3 2018","Currency=INR","Period=FQ","BEST_FPERIOD_OVERRIDE=FQ","FILING_STATUS=OR","EQY_CONSOLIDATED=Y","FA_ADJUSTED=GAAP","Sort=A","Dates=H","DateFormat=P","Fill=—","Direction=H","UseDPDF=Y")</f>
        <v>#NAME?</v>
      </c>
      <c r="W101" s="2" t="e">
        <f ca="1">_xll.BDH($C$78,"EARN_FOR_COM_GROWTH","FQ3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01" s="2" t="e">
        <f ca="1">_xll.BDH($C$78,"DILUTED_EPS_AFT_XO_ITEMS_GROWTH","FQ3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01" s="2" t="e">
        <f ca="1">_xll.BDH($C$78,"DIVIDEND_PER_SHARE_1_YEAR_GROWTH","FQ3 2018","FQ3 2018","Currency=INR","Period=FQ","BEST_FPERIOD_OVERRIDE=FQ","FILING_STATUS=OR","EQY_CONSOLIDATED=Y","Sort=A","Dates=H","DateFormat=P","Fill=—","Direction=H","UseDPDF=Y")</f>
        <v>#NAME?</v>
      </c>
      <c r="Z101" s="2" t="e">
        <f ca="1">_xll.BDH($C$78,"ACCOUNTS_RECEIVABLE_GROWTH","FQ3 2018","FQ3 2018","Currency=INR","Period=FQ","BEST_FPERIOD_OVERRIDE=FQ","FILING_STATUS=OR","EQY_CONSOLIDATED=Y","Sort=A","Dates=H","DateFormat=P","Fill=—","Direction=H","UseDPDF=Y")</f>
        <v>#NAME?</v>
      </c>
      <c r="AA101" s="2" t="e">
        <f ca="1">_xll.BDH($C$78,"INVENTORY_GROWTH","FQ3 2018","FQ3 2018","Currency=INR","Period=FQ","BEST_FPERIOD_OVERRIDE=FQ","FILING_STATUS=OR","EQY_CONSOLIDATED=Y","Sort=A","Dates=H","DateFormat=P","Fill=—","Direction=H","UseDPDF=Y")</f>
        <v>#NAME?</v>
      </c>
      <c r="AB101" s="2" t="e">
        <f ca="1">_xll.BDH($C$78,"NET_FIXED_ASSETS_1_YEAR_GROWTH","FQ3 2018","FQ3 2018","Currency=INR","Period=FQ","BEST_FPERIOD_OVERRIDE=FQ","FILING_STATUS=OR","EQY_CONSOLIDATED=Y","Sort=A","Dates=H","DateFormat=P","Fill=—","Direction=H","UseDPDF=Y")</f>
        <v>#NAME?</v>
      </c>
      <c r="AC101" s="2" t="e">
        <f ca="1">_xll.BDH($C$78,"ASSET_GROWTH","FQ3 2018","FQ3 2018","Currency=INR","Period=FQ","BEST_FPERIOD_OVERRIDE=FQ","FILING_STATUS=OR","EQY_CONSOLIDATED=Y","Sort=A","Dates=H","DateFormat=P","Fill=—","Direction=H","UseDPDF=Y")</f>
        <v>#NAME?</v>
      </c>
      <c r="AD101" s="2" t="e">
        <f ca="1">_xll.BDH($C$78,"MODIFIED_WORK_CAP_GROWTH","FQ3 2018","FQ3 2018","Currency=INR","Period=FQ","BEST_FPERIOD_OVERRIDE=FQ","FILING_STATUS=OR","EQY_CONSOLIDATED=Y","Sort=A","Dates=H","DateFormat=P","Fill=—","Direction=H","UseDPDF=Y")</f>
        <v>#NAME?</v>
      </c>
      <c r="AE101" s="2" t="e">
        <f ca="1">_xll.BDH($C$78,"WORK_CAP_GROWTH","FQ3 2018","FQ3 2018","Currency=INR","Period=FQ","BEST_FPERIOD_OVERRIDE=FQ","FILING_STATUS=OR","EQY_CONSOLIDATED=Y","Sort=A","Dates=H","DateFormat=P","Fill=—","Direction=H","UseDPDF=Y")</f>
        <v>#NAME?</v>
      </c>
      <c r="AF101" s="2" t="e">
        <f ca="1">_xll.BDH($C$78,"ACCOUNTS_PAYABLE_GROWTH_1YR","FQ3 2018","FQ3 2018","Currency=INR","Period=FQ","BEST_FPERIOD_OVERRIDE=FQ","FILING_STATUS=OR","EQY_CONSOLIDATED=Y","Sort=A","Dates=H","DateFormat=P","Fill=—","Direction=H","UseDPDF=Y")</f>
        <v>#NAME?</v>
      </c>
      <c r="AG101" s="2" t="e">
        <f ca="1">_xll.BDH($C$78,"SHORT_TERM_DEBT_1_YEAR_GROWTH","FQ3 2018","FQ3 2018","Currency=INR","Period=FQ","BEST_FPERIOD_OVERRIDE=FQ","FILING_STATUS=OR","EQY_CONSOLIDATED=Y","Sort=A","Dates=H","DateFormat=P","Fill=—","Direction=H","UseDPDF=Y")</f>
        <v>#NAME?</v>
      </c>
      <c r="AH101" s="2" t="e">
        <f ca="1">_xll.BDH($C$78,"TOTAL_DEBT_1_YEAR_GROWTH","FQ3 2018","FQ3 2018","Currency=INR","Period=FQ","BEST_FPERIOD_OVERRIDE=FQ","FILING_STATUS=OR","EQY_CONSOLIDATED=Y","Sort=A","Dates=H","DateFormat=P","Fill=—","Direction=H","UseDPDF=Y")</f>
        <v>#NAME?</v>
      </c>
      <c r="AI101" s="2" t="e">
        <f ca="1">_xll.BDH($C$78,"TOTAL_EQUITY_1_YEAR_GROWTH","FQ3 2018","FQ3 2018","Currency=INR","Period=FQ","BEST_FPERIOD_OVERRIDE=FQ","FILING_STATUS=OR","EQY_CONSOLIDATED=Y","Sort=A","Dates=H","DateFormat=P","Fill=—","Direction=H","UseDPDF=Y")</f>
        <v>#NAME?</v>
      </c>
      <c r="AJ101" s="2" t="e">
        <f ca="1">_xll.BDH($C$78,"GROWTH_IN_CAP","FQ3 2018","FQ3 2018","Currency=INR","Period=FQ","BEST_FPERIOD_OVERRIDE=FQ","FILING_STATUS=OR","EQY_CONSOLIDATED=Y","Sort=A","Dates=H","DateFormat=P","Fill=—","Direction=H","UseDPDF=Y")</f>
        <v>#NAME?</v>
      </c>
      <c r="AK101" s="2" t="e">
        <f ca="1">_xll.BDH($C$78,"BVPS_GROWTH","FQ3 2018","FQ3 2018","Currency=INR","Period=FQ","BEST_FPERIOD_OVERRIDE=FQ","FILING_STATUS=OR","EQY_CONSOLIDATED=Y","Sort=A","Dates=H","DateFormat=P","Fill=—","Direction=H","UseDPDF=Y")</f>
        <v>#NAME?</v>
      </c>
      <c r="AL101" s="2" t="e">
        <f ca="1">_xll.BDH($C$78,"CASH_FLOW_GROWTH","FQ3 2018","FQ3 2018","Currency=INR","Period=FQ","BEST_FPERIOD_OVERRIDE=FQ","FILING_STATUS=OR","EQY_CONSOLIDATED=Y","Sort=A","Dates=H","DateFormat=P","Fill=—","Direction=H","UseDPDF=Y")</f>
        <v>#NAME?</v>
      </c>
      <c r="AM101" s="2" t="e">
        <f ca="1">_xll.BDH($C$78,"GEO_GROW_NET_SALES","FQ3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01" s="2" t="e">
        <f ca="1">_xll.BDH($C$78,"GEO_GROW_EBITDA","FQ3 2018","FQ3 2018","Currency=INR","Period=FQ","BEST_FPERIOD_OVERRIDE=FQ","FILING_STATUS=OR","EQY_CONSOLIDATED=Y","FA_ADJUSTED=GAAP","Sort=A","Dates=H","DateFormat=P","Fill=—","Direction=H","UseDPDF=Y")</f>
        <v>#NAME?</v>
      </c>
      <c r="AO101" s="2" t="e">
        <f ca="1">_xll.BDH($C$78,"GEO_GROW_OPER_INC","FQ3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01" s="2" t="e">
        <f ca="1">_xll.BDH($C$78,"NET_INCOME_TO_COMMON_5_YR_GROWTH","FQ3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01" s="2" t="e">
        <f ca="1">_xll.BDH($C$78,"5Y_GEO_GROWTH_DILUTED_EPS","FQ3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01" s="2" t="e">
        <f ca="1">_xll.BDH($C$78,"GEO_GROW_DVD_PER_SH","FQ3 2018","FQ3 2018","Currency=INR","Period=FQ","BEST_FPERIOD_OVERRIDE=FQ","FILING_STATUS=OR","EQY_CONSOLIDATED=Y","Sort=A","Dates=H","DateFormat=P","Fill=—","Direction=H","UseDPDF=Y")</f>
        <v>#NAME?</v>
      </c>
      <c r="AS101" s="2" t="e">
        <f ca="1">_xll.BDH($C$78,"ACCOUNTS_RECEIVABLE_5_YR_GROWTH","FQ3 2018","FQ3 2018","Currency=INR","Period=FQ","BEST_FPERIOD_OVERRIDE=FQ","FILING_STATUS=OR","EQY_CONSOLIDATED=Y","Sort=A","Dates=H","DateFormat=P","Fill=—","Direction=H","UseDPDF=Y")</f>
        <v>#NAME?</v>
      </c>
      <c r="AT101" s="2" t="e">
        <f ca="1">_xll.BDH($C$78,"INVENTORY_5_YEAR_GROWTH","FQ3 2018","FQ3 2018","Currency=INR","Period=FQ","BEST_FPERIOD_OVERRIDE=FQ","FILING_STATUS=OR","EQY_CONSOLIDATED=Y","Sort=A","Dates=H","DateFormat=P","Fill=—","Direction=H","UseDPDF=Y")</f>
        <v>#NAME?</v>
      </c>
      <c r="AU101" s="2" t="e">
        <f ca="1">_xll.BDH($C$78,"NET_FIXED_ASSETS_5_YEAR_GROWTH","FQ3 2018","FQ3 2018","Currency=INR","Period=FQ","BEST_FPERIOD_OVERRIDE=FQ","FILING_STATUS=OR","EQY_CONSOLIDATED=Y","Sort=A","Dates=H","DateFormat=P","Fill=—","Direction=H","UseDPDF=Y")</f>
        <v>#NAME?</v>
      </c>
      <c r="AV101" s="2" t="e">
        <f ca="1">_xll.BDH($C$78,"GEO_GROW_TOT_ASSET","FQ3 2018","FQ3 2018","Currency=INR","Period=FQ","BEST_FPERIOD_OVERRIDE=FQ","FILING_STATUS=OR","EQY_CONSOLIDATED=Y","Sort=A","Dates=H","DateFormat=P","Fill=—","Direction=H","UseDPDF=Y")</f>
        <v>#NAME?</v>
      </c>
      <c r="AW101" s="2" t="e">
        <f ca="1">_xll.BDH($C$78,"MODIFIED_WORKING_CPTL_5YR_GRWTH","FQ3 2018","FQ3 2018","Currency=INR","Period=FQ","BEST_FPERIOD_OVERRIDE=FQ","FILING_STATUS=OR","EQY_CONSOLIDATED=Y","Sort=A","Dates=H","DateFormat=P","Fill=—","Direction=H","UseDPDF=Y")</f>
        <v>#NAME?</v>
      </c>
      <c r="AX101" s="2" t="e">
        <f ca="1">_xll.BDH($C$78,"WORKING_CAPITAL_5_YEAR_GROWTH","FQ3 2018","FQ3 2018","Currency=INR","Period=FQ","BEST_FPERIOD_OVERRIDE=FQ","FILING_STATUS=OR","EQY_CONSOLIDATED=Y","Sort=A","Dates=H","DateFormat=P","Fill=—","Direction=H","UseDPDF=Y")</f>
        <v>#NAME?</v>
      </c>
      <c r="AY101" s="2" t="e">
        <f ca="1">_xll.BDH($C$78,"ACCOUNTS_PAYABLE_5_YEAR_GROWTH","FQ3 2018","FQ3 2018","Currency=INR","Period=FQ","BEST_FPERIOD_OVERRIDE=FQ","FILING_STATUS=OR","EQY_CONSOLIDATED=Y","Sort=A","Dates=H","DateFormat=P","Fill=—","Direction=H","UseDPDF=Y")</f>
        <v>#NAME?</v>
      </c>
      <c r="AZ101" s="2" t="e">
        <f ca="1">_xll.BDH($C$78,"SHORT_TERM_DEBT_5_YEAR_GROWTH","FQ3 2018","FQ3 2018","Currency=INR","Period=FQ","BEST_FPERIOD_OVERRIDE=FQ","FILING_STATUS=OR","EQY_CONSOLIDATED=Y","Sort=A","Dates=H","DateFormat=P","Fill=—","Direction=H","UseDPDF=Y")</f>
        <v>#NAME?</v>
      </c>
      <c r="BA101" s="2" t="e">
        <f ca="1">_xll.BDH($C$78,"TOTAL_DEBT_5_YEAR_GROWTH","FQ3 2018","FQ3 2018","Currency=INR","Period=FQ","BEST_FPERIOD_OVERRIDE=FQ","FILING_STATUS=OR","EQY_CONSOLIDATED=Y","Sort=A","Dates=H","DateFormat=P","Fill=—","Direction=H","UseDPDF=Y")</f>
        <v>#NAME?</v>
      </c>
      <c r="BB101" s="2" t="e">
        <f ca="1">_xll.BDH($C$78,"GEO_GROW_TOT_SHRHLDR_EQY","FQ3 2018","FQ3 2018","Currency=INR","Period=FQ","BEST_FPERIOD_OVERRIDE=FQ","FILING_STATUS=OR","EQY_CONSOLIDATED=Y","Sort=A","Dates=H","DateFormat=P","Fill=—","Direction=H","UseDPDF=Y")</f>
        <v>#NAME?</v>
      </c>
      <c r="BC101" s="2" t="e">
        <f ca="1">_xll.BDH($C$78,"TOTAL_CAPITAL_5_YEAR_GROWTH","FQ3 2018","FQ3 2018","Currency=INR","Period=FQ","BEST_FPERIOD_OVERRIDE=FQ","FILING_STATUS=OR","EQY_CONSOLIDATED=Y","Sort=A","Dates=H","DateFormat=P","Fill=—","Direction=H","UseDPDF=Y")</f>
        <v>#NAME?</v>
      </c>
      <c r="BD101" s="2" t="e">
        <f ca="1">_xll.BDH($C$78,"GEO_GROW_BOOK_VAL","FQ3 2018","FQ3 2018","Currency=INR","Period=FQ","BEST_FPERIOD_OVERRIDE=FQ","FILING_STATUS=OR","EQY_CONSOLIDATED=Y","Sort=A","Dates=H","DateFormat=P","Fill=—","Direction=H","UseDPDF=Y")</f>
        <v>#NAME?</v>
      </c>
      <c r="BE101" s="2" t="e">
        <f ca="1">_xll.BDH($C$78,"GEO_GROW_CASH_OPER_ACT","FQ3 2018","FQ3 2018","Currency=INR","Period=FQ","BEST_FPERIOD_OVERRIDE=FQ","FILING_STATUS=OR","EQY_CONSOLIDATED=Y","Sort=A","Dates=H","DateFormat=P","Fill=—","Direction=H","UseDPDF=Y")</f>
        <v>#NAME?</v>
      </c>
      <c r="BF101" s="2" t="e">
        <f ca="1">_xll.BDH($C$78,"REVENUE_SEQUENTIAL_GROWTH","FQ3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01" s="2" t="e">
        <f ca="1">_xll.BDH($C$78,"EBITDA_SEQUENTIAL_GROWTH","FQ3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01" s="2" t="e">
        <f ca="1">_xll.BDH($C$78,"OPERATING_INCOME_SEQ_GROWTH","FQ3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01" s="2" t="e">
        <f ca="1">_xll.BDH($C$78,"NET_INCOME_TO_COMMON_SEQ_GROWTH","FQ3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01" s="2" t="e">
        <f ca="1">_xll.BDH($C$78,"EPS_DILUTED_SEQUENTIAL_GROWTH","FQ3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01" s="2" t="e">
        <f ca="1">_xll.BDH($C$78,"DPS_SEQUENTIAL_GROWTH","FQ3 2018","FQ3 2018","Currency=INR","Period=FQ","BEST_FPERIOD_OVERRIDE=FQ","FILING_STATUS=OR","EQY_CONSOLIDATED=Y","Sort=A","Dates=H","DateFormat=P","Fill=—","Direction=H","UseDPDF=Y")</f>
        <v>#NAME?</v>
      </c>
      <c r="BL101" s="2" t="e">
        <f ca="1">_xll.BDH($C$78,"ACCOUNTS_RECEIVABLE_SEQ_GROWTH","FQ3 2018","FQ3 2018","Currency=INR","Period=FQ","BEST_FPERIOD_OVERRIDE=FQ","FILING_STATUS=OR","EQY_CONSOLIDATED=Y","Sort=A","Dates=H","DateFormat=P","Fill=—","Direction=H","UseDPDF=Y")</f>
        <v>#NAME?</v>
      </c>
      <c r="BM101" s="2" t="e">
        <f ca="1">_xll.BDH($C$78,"INVENTORY_SEQUENTIAL_GROWTH","FQ3 2018","FQ3 2018","Currency=INR","Period=FQ","BEST_FPERIOD_OVERRIDE=FQ","FILING_STATUS=OR","EQY_CONSOLIDATED=Y","Sort=A","Dates=H","DateFormat=P","Fill=—","Direction=H","UseDPDF=Y")</f>
        <v>#NAME?</v>
      </c>
      <c r="BN101" s="2" t="e">
        <f ca="1">_xll.BDH($C$78,"FIXED_ASSETS_SEQUENTIAL_GROWTH","FQ3 2018","FQ3 2018","Currency=INR","Period=FQ","BEST_FPERIOD_OVERRIDE=FQ","FILING_STATUS=OR","EQY_CONSOLIDATED=Y","Sort=A","Dates=H","DateFormat=P","Fill=—","Direction=H","UseDPDF=Y")</f>
        <v>#NAME?</v>
      </c>
      <c r="BO101" s="2" t="e">
        <f ca="1">_xll.BDH($C$78,"TOTAL_ASSETS_SEQUENTIAL_GROWTH","FQ3 2018","FQ3 2018","Currency=INR","Period=FQ","BEST_FPERIOD_OVERRIDE=FQ","FILING_STATUS=OR","EQY_CONSOLIDATED=Y","Sort=A","Dates=H","DateFormat=P","Fill=—","Direction=H","UseDPDF=Y")</f>
        <v>#NAME?</v>
      </c>
      <c r="BP101" s="2" t="e">
        <f ca="1">_xll.BDH($C$78,"MODIFIED_WORKING_CPTL_SEQ_GRWTH","FQ3 2018","FQ3 2018","Currency=INR","Period=FQ","BEST_FPERIOD_OVERRIDE=FQ","FILING_STATUS=OR","EQY_CONSOLIDATED=Y","Sort=A","Dates=H","DateFormat=P","Fill=—","Direction=H","UseDPDF=Y")</f>
        <v>#NAME?</v>
      </c>
      <c r="BQ101" s="2" t="e">
        <f ca="1">_xll.BDH($C$78,"WORKING_CAPITAL_SEQ_GROWTH","FQ3 2018","FQ3 2018","Currency=INR","Period=FQ","BEST_FPERIOD_OVERRIDE=FQ","FILING_STATUS=OR","EQY_CONSOLIDATED=Y","Sort=A","Dates=H","DateFormat=P","Fill=—","Direction=H","UseDPDF=Y")</f>
        <v>#NAME?</v>
      </c>
      <c r="BR101" s="2" t="e">
        <f ca="1">_xll.BDH($C$78,"ACCOUNTS_PAYABLE_SEQ_GROWTH","FQ3 2018","FQ3 2018","Currency=INR","Period=FQ","BEST_FPERIOD_OVERRIDE=FQ","FILING_STATUS=OR","EQY_CONSOLIDATED=Y","Sort=A","Dates=H","DateFormat=P","Fill=—","Direction=H","UseDPDF=Y")</f>
        <v>#NAME?</v>
      </c>
      <c r="BS101" s="2" t="e">
        <f ca="1">_xll.BDH($C$78,"ST_DEBT_SEQUENTIAL_GROWTH","FQ3 2018","FQ3 2018","Currency=INR","Period=FQ","BEST_FPERIOD_OVERRIDE=FQ","FILING_STATUS=OR","EQY_CONSOLIDATED=Y","Sort=A","Dates=H","DateFormat=P","Fill=—","Direction=H","UseDPDF=Y")</f>
        <v>#NAME?</v>
      </c>
      <c r="BT101" s="2" t="e">
        <f ca="1">_xll.BDH($C$78,"TOTAL_DEBT_SEQUENTIAL_GROWTH","FQ3 2018","FQ3 2018","Currency=INR","Period=FQ","BEST_FPERIOD_OVERRIDE=FQ","FILING_STATUS=OR","EQY_CONSOLIDATED=Y","Sort=A","Dates=H","DateFormat=P","Fill=—","Direction=H","UseDPDF=Y")</f>
        <v>#NAME?</v>
      </c>
      <c r="BU101" s="2" t="e">
        <f ca="1">_xll.BDH($C$78,"TOTAL_EQUITY_SEQUENTIAL_GROWTH","FQ3 2018","FQ3 2018","Currency=INR","Period=FQ","BEST_FPERIOD_OVERRIDE=FQ","FILING_STATUS=OR","EQY_CONSOLIDATED=Y","Sort=A","Dates=H","DateFormat=P","Fill=—","Direction=H","UseDPDF=Y")</f>
        <v>#NAME?</v>
      </c>
      <c r="BV101" s="2" t="e">
        <f ca="1">_xll.BDH($C$78,"TOTAL_CAPITAL_SEQUENTIAL_GROWTH","FQ3 2018","FQ3 2018","Currency=INR","Period=FQ","BEST_FPERIOD_OVERRIDE=FQ","FILING_STATUS=OR","EQY_CONSOLIDATED=Y","Sort=A","Dates=H","DateFormat=P","Fill=—","Direction=H","UseDPDF=Y")</f>
        <v>#NAME?</v>
      </c>
      <c r="BW101" s="2" t="e">
        <f ca="1">_xll.BDH($C$78,"BPS_SEQUENTIAL_GROWTH","FQ3 2018","FQ3 2018","Currency=INR","Period=FQ","BEST_FPERIOD_OVERRIDE=FQ","FILING_STATUS=OR","EQY_CONSOLIDATED=Y","Sort=A","Dates=H","DateFormat=P","Fill=—","Direction=H","UseDPDF=Y")</f>
        <v>#NAME?</v>
      </c>
      <c r="BX101" s="2" t="e">
        <f ca="1">_xll.BDH($C$78,"CFO_SEQUENTIAL_GROWTH","FQ3 2018","FQ3 2018","Currency=INR","Period=FQ","BEST_FPERIOD_OVERRIDE=FQ","FILING_STATUS=OR","EQY_CONSOLIDATED=Y","Sort=A","Dates=H","DateFormat=P","Fill=—","Direction=H","UseDPDF=Y")</f>
        <v>#NAME?</v>
      </c>
      <c r="BY101" s="3" t="e">
        <f ca="1">_xll.BDH($C$78,"SHORT_AND_LONG_TERM_DEBT","FQ3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01" s="3" t="e">
        <f ca="1">_xll.BDH($C$78,"BS_ST_BORROW","FQ3 2018","FQ3 2018","Currency=INR","Period=FQ","BEST_FPERIOD_OVERRIDE=FQ","FILING_STATUS=OR","EQY_CONSOLIDATED=Y","SCALING_FORMAT=MLN","Sort=A","Dates=H","DateFormat=P","Fill=—","Direction=H","UseDPDF=Y")</f>
        <v>#NAME?</v>
      </c>
      <c r="CA101" s="3" t="e">
        <f ca="1">_xll.BDH($C$78,"BS_LT_BORROW","FQ3 2018","FQ3 2018","Currency=INR","Period=FQ","BEST_FPERIOD_OVERRIDE=FQ","FILING_STATUS=OR","EQY_CONSOLIDATED=Y","SCALING_FORMAT=MLN","Sort=A","Dates=H","DateFormat=P","Fill=—","Direction=H","UseDPDF=Y")</f>
        <v>#NAME?</v>
      </c>
      <c r="CB101" s="2" t="e">
        <f ca="1">_xll.BDH($C$78,"TOT_DEBT_TO_EBITDA","FQ3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01" s="2" t="e">
        <f ca="1">_xll.BDH($C$78,"NET_DEBT_TO_EBITDA","FQ3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01" s="2" t="e">
        <f ca="1">_xll.BDH($C$78,"TOTAL_DEBT_TO_EBIT","FQ3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01" s="2" t="e">
        <f ca="1">_xll.BDH($C$78,"NET_DEBT_TO_EBIT","FQ3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01" s="2" t="e">
        <f ca="1">_xll.BDH($C$78,"EBITDA_TO_INTEREST_EXPN","FQ3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01" s="2" t="e">
        <f ca="1">_xll.BDH($C$78,"COM_EQY_TO_TOT_ASSET","FQ3 2018","FQ3 2018","Currency=INR","Period=FQ","BEST_FPERIOD_OVERRIDE=FQ","FILING_STATUS=OR","EQY_CONSOLIDATED=Y","Sort=A","Dates=H","DateFormat=P","Fill=—","Direction=H","UseDPDF=Y")</f>
        <v>#NAME?</v>
      </c>
      <c r="CH101" s="2" t="e">
        <f ca="1">_xll.BDH($C$78,"LT_DEBT_TO_TOT_EQY","FQ3 2018","FQ3 2018","Currency=INR","Period=FQ","BEST_FPERIOD_OVERRIDE=FQ","FILING_STATUS=OR","EQY_CONSOLIDATED=Y","Sort=A","Dates=H","DateFormat=P","Fill=—","Direction=H","UseDPDF=Y")</f>
        <v>#NAME?</v>
      </c>
      <c r="CI101" s="2" t="e">
        <f ca="1">_xll.BDH($C$78,"LT_DEBT_TO_TOT_CAP","FQ3 2018","FQ3 2018","Currency=INR","Period=FQ","BEST_FPERIOD_OVERRIDE=FQ","FILING_STATUS=OR","EQY_CONSOLIDATED=Y","Sort=A","Dates=H","DateFormat=P","Fill=—","Direction=H","UseDPDF=Y")</f>
        <v>#NAME?</v>
      </c>
      <c r="CJ101" s="2" t="e">
        <f ca="1">_xll.BDH($C$78,"LT_DEBT_TO_TOT_ASSET","FQ3 2018","FQ3 2018","Currency=INR","Period=FQ","BEST_FPERIOD_OVERRIDE=FQ","FILING_STATUS=OR","EQY_CONSOLIDATED=Y","Sort=A","Dates=H","DateFormat=P","Fill=—","Direction=H","UseDPDF=Y")</f>
        <v>#NAME?</v>
      </c>
      <c r="CK101" s="2" t="e">
        <f ca="1">_xll.BDH($C$78,"TOT_DEBT_TO_TOT_EQY","FQ3 2018","FQ3 2018","Currency=INR","Period=FQ","BEST_FPERIOD_OVERRIDE=FQ","FILING_STATUS=OR","EQY_CONSOLIDATED=Y","Sort=A","Dates=H","DateFormat=P","Fill=—","Direction=H","UseDPDF=Y")</f>
        <v>#NAME?</v>
      </c>
      <c r="CL101" s="2" t="e">
        <f ca="1">_xll.BDH($C$78,"TOT_DEBT_TO_TOT_CAP","FQ3 2018","FQ3 2018","Currency=INR","Period=FQ","BEST_FPERIOD_OVERRIDE=FQ","FILING_STATUS=OR","EQY_CONSOLIDATED=Y","Sort=A","Dates=H","DateFormat=P","Fill=—","Direction=H","UseDPDF=Y")</f>
        <v>#NAME?</v>
      </c>
      <c r="CM101" s="2" t="e">
        <f ca="1">_xll.BDH($C$78,"TOT_DEBT_TO_TOT_ASSET","FQ3 2018","FQ3 2018","Currency=INR","Period=FQ","BEST_FPERIOD_OVERRIDE=FQ","FILING_STATUS=OR","EQY_CONSOLIDATED=Y","Sort=A","Dates=H","DateFormat=P","Fill=—","Direction=H","UseDPDF=Y")</f>
        <v>#NAME?</v>
      </c>
      <c r="CN101" s="2" t="e">
        <f ca="1">_xll.BDH($C$78,"NET_DEBT_TO_SHRHLDR_EQTY","FQ3 2018","FQ3 2018","Currency=INR","Period=FQ","BEST_FPERIOD_OVERRIDE=FQ","FILING_STATUS=OR","EQY_CONSOLIDATED=Y","Sort=A","Dates=H","DateFormat=P","Fill=—","Direction=H","UseDPDF=Y")</f>
        <v>#NAME?</v>
      </c>
      <c r="CO101" s="2" t="e">
        <f ca="1">_xll.BDH($C$78,"NET_DEBT_%_CAPITAL","FQ3 2018","FQ3 2018","Currency=INR","Period=FQ","BEST_FPERIOD_OVERRIDE=FQ","FILING_STATUS=OR","EQY_CONSOLIDATED=Y","Sort=A","Dates=H","DateFormat=P","Fill=—","Direction=H","UseDPDF=Y")</f>
        <v>#NAME?</v>
      </c>
      <c r="CP101" s="3" t="e">
        <f ca="1">_xll.BDH($C$78,"EBITDA","FQ3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01" s="3" t="e">
        <f ca="1">_xll.BDH($C$78,"EBITDA_AFTER_CAPEX","FQ3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01" s="3" t="e">
        <f ca="1">_xll.BDH($C$78,"IS_OPER_INC","FQ3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01" s="2" t="e">
        <f ca="1">_xll.BDH($C$78,"CASH_RATIO","FQ3 2018","FQ3 2018","Currency=INR","Period=FQ","BEST_FPERIOD_OVERRIDE=FQ","FILING_STATUS=OR","EQY_CONSOLIDATED=Y","Sort=A","Dates=H","DateFormat=P","Fill=—","Direction=H","UseDPDF=Y")</f>
        <v>#NAME?</v>
      </c>
      <c r="CT101" s="2" t="e">
        <f ca="1">_xll.BDH($C$78,"CUR_RATIO","FQ3 2018","FQ3 2018","Currency=INR","Period=FQ","BEST_FPERIOD_OVERRIDE=FQ","FILING_STATUS=OR","EQY_CONSOLIDATED=Y","Sort=A","Dates=H","DateFormat=P","Fill=—","Direction=H","UseDPDF=Y")</f>
        <v>#NAME?</v>
      </c>
      <c r="CU101" s="2" t="e">
        <f ca="1">_xll.BDH($C$78,"QUICK_RATIO","FQ3 2018","FQ3 2018","Currency=INR","Period=FQ","BEST_FPERIOD_OVERRIDE=FQ","FILING_STATUS=OR","EQY_CONSOLIDATED=Y","Sort=A","Dates=H","DateFormat=P","Fill=—","Direction=H","UseDPDF=Y")</f>
        <v>#NAME?</v>
      </c>
      <c r="CV101" s="2" t="e">
        <f ca="1">_xll.BDH($C$78,"ALTMAN_Z_SCORE","FQ3 2018","FQ3 2018","Currency=INR","Period=FQ","BEST_FPERIOD_OVERRIDE=FQ","FILING_STATUS=OR","EQY_CONSOLIDATED=Y","Sort=A","Dates=H","DateFormat=P","Fill=—","Direction=H","UseDPDF=Y")</f>
        <v>#NAME?</v>
      </c>
      <c r="CW101" s="4" t="e">
        <f ca="1">_xll.BDH($C$78,"ACCT_RCV_TURN","FQ3 2018","FQ3 2018","Currency=INR","Period=FQ","BEST_FPERIOD_OVERRIDE=FQ","FILING_STATUS=OR","EQY_CONSOLIDATED=Y","FA_ADJUSTED=GAAP","Sort=A","Dates=H","DateFormat=P","Fill=—","Direction=H","UseDPDF=Y")</f>
        <v>#NAME?</v>
      </c>
      <c r="CX101" s="2" t="e">
        <f ca="1">_xll.BDH($C$78,"ACCT_RCV_DAYS","FQ3 2018","FQ3 2018","Currency=INR","Period=FQ","BEST_FPERIOD_OVERRIDE=FQ","FILING_STATUS=OR","EQY_CONSOLIDATED=Y","FA_ADJUSTED=GAAP","Sort=A","Dates=H","DateFormat=P","Fill=—","Direction=H","UseDPDF=Y")</f>
        <v>#NAME?</v>
      </c>
      <c r="CY101" s="4" t="e">
        <f ca="1">_xll.BDH($C$78,"INVENT_TURN","FQ3 2018","FQ3 2018","Currency=INR","Period=FQ","BEST_FPERIOD_OVERRIDE=FQ","FILING_STATUS=OR","EQY_CONSOLIDATED=Y","FA_ADJUSTED=GAAP","Sort=A","Dates=H","DateFormat=P","Fill=—","Direction=H","UseDPDF=Y")</f>
        <v>#NAME?</v>
      </c>
      <c r="CZ101" s="2" t="e">
        <f ca="1">_xll.BDH($C$78,"INVENT_DAYS","FQ3 2018","FQ3 2018","Currency=INR","Period=FQ","BEST_FPERIOD_OVERRIDE=FQ","FILING_STATUS=OR","EQY_CONSOLIDATED=Y","FA_ADJUSTED=GAAP","Sort=A","Dates=H","DateFormat=P","Fill=—","Direction=H","UseDPDF=Y")</f>
        <v>#NAME?</v>
      </c>
      <c r="DA101" s="4" t="e">
        <f ca="1">_xll.BDH($C$78,"ACCOUNTS_PAYABLE_TURNOVER","FQ3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01" s="2" t="e">
        <f ca="1">_xll.BDH($C$78,"ACCOUNTS_PAYABLE_TURNOVER_DAYS","FQ3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01" s="4" t="e">
        <f ca="1">_xll.BDH($C$78,"CASH_CONVERSION_CYCLE","FQ3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01" s="4" t="e">
        <f ca="1">_xll.BDH($C$78,"INV_TO_CASH_DAYS","FQ3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01" s="5" t="e">
        <f ca="1">_xll.BDH($C$78,"BS_INVENTORIES","FQ3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01" s="3" t="e">
        <f ca="1">_xll.BDH($C$78,"INVTRY_RAW_MATERIALS","FQ3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01" s="3" t="e">
        <f ca="1">_xll.BDH($C$78,"INVTRY_IN_PROGRESS","FQ3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01" s="3" t="e">
        <f ca="1">_xll.BDH($C$78,"INVTRY_FINISHED_GOODS","FQ3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01" s="3" t="e">
        <f ca="1">_xll.BDH($C$78,"BS_OTHER_INV","FQ3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02" spans="1:113" x14ac:dyDescent="0.3">
      <c r="A102" s="6"/>
      <c r="B102" s="6"/>
      <c r="C102" s="6"/>
      <c r="D102" s="6"/>
      <c r="E102" t="s">
        <v>81</v>
      </c>
      <c r="F102" t="e">
        <f ca="1">_xll.BDH($C$78,"RETURN_COM_EQY","FQ4 2018","FQ4 2018","Currency=INR","Period=FQ","BEST_FPERIOD_OVERRIDE=FQ","FILING_STATUS=OR","EQY_CONSOLIDATED=Y","FA_ADJUSTED=GAAP","Sort=A","Dates=H","DateFormat=P","Fill=—","Direction=H","UseDPDF=Y")</f>
        <v>#NAME?</v>
      </c>
      <c r="G102" t="e">
        <f ca="1">_xll.BDH($C$78,"RETURN_ON_ASSET","FQ4 2018","FQ4 2018","Currency=INR","Period=FQ","BEST_FPERIOD_OVERRIDE=FQ","FILING_STATUS=OR","EQY_CONSOLIDATED=Y","FA_ADJUSTED=GAAP","Sort=A","Dates=H","DateFormat=P","Fill=—","Direction=H","UseDPDF=Y")</f>
        <v>#NAME?</v>
      </c>
      <c r="H102" t="e">
        <f ca="1">_xll.BDH($C$78,"RETURN_ON_CAP","FQ4 2018","FQ4 2018","Currency=INR","Period=FQ","BEST_FPERIOD_OVERRIDE=FQ","FILING_STATUS=OR","EQY_CONSOLIDATED=Y","FA_ADJUSTED=GAAP","Sort=A","Dates=H","DateFormat=P","Fill=—","Direction=H","UseDPDF=Y")</f>
        <v>#NAME?</v>
      </c>
      <c r="I102" t="e">
        <f ca="1">_xll.BDH($C$78,"RETURN_ON_INV_CAPITAL","FQ4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02" t="e">
        <f ca="1">_xll.BDH($C$78,"EBITDA_TO_REVENUE","FQ4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02" t="e">
        <f ca="1">_xll.BDH($C$78,"OPER_MARGIN","FQ4 2018","FQ4 2018","Currency=INR","Period=FQ","BEST_FPERIOD_OVERRIDE=FQ","FILING_STATUS=OR","EQY_CONSOLIDATED=Y","FA_ADJUSTED=GAAP","Sort=A","Dates=H","DateFormat=P","Fill=—","Direction=H","UseDPDF=Y")</f>
        <v>#NAME?</v>
      </c>
      <c r="L102" t="e">
        <f ca="1">_xll.BDH($C$78,"INCREMENTAL_OPERATING_MARGIN","FQ4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02" t="e">
        <f ca="1">_xll.BDH($C$78,"PRETAX_INC_TO_NET_SALES","FQ4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02" t="e">
        <f ca="1">_xll.BDH($C$78,"INC_BEF_XO_ITEMS_TO_NET_SALES","FQ4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02" t="e">
        <f ca="1">_xll.BDH($C$78,"PROF_MARGIN","FQ4 2018","FQ4 2018","Currency=INR","Period=FQ","BEST_FPERIOD_OVERRIDE=FQ","FILING_STATUS=OR","EQY_CONSOLIDATED=Y","FA_ADJUSTED=GAAP","Sort=A","Dates=H","DateFormat=P","Fill=—","Direction=H","UseDPDF=Y")</f>
        <v>#NAME?</v>
      </c>
      <c r="P102" t="e">
        <f ca="1">_xll.BDH($C$78,"NET_INCOME_TO_COMMON_MARGIN","FQ4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02" t="e">
        <f ca="1">_xll.BDH($C$78,"EFF_TAX_RATE","FQ4 2018","FQ4 2018","Currency=INR","Period=FQ","BEST_FPERIOD_OVERRIDE=FQ","FILING_STATUS=OR","EQY_CONSOLIDATED=Y","FA_ADJUSTED=GAAP","Sort=A","Dates=H","DateFormat=P","Fill=—","Direction=H","UseDPDF=Y")</f>
        <v>#NAME?</v>
      </c>
      <c r="R102" t="e">
        <f ca="1">_xll.BDH($C$78,"DVD_PAYOUT_RATIO","FQ4 2018","FQ4 2018","Currency=INR","Period=FQ","BEST_FPERIOD_OVERRIDE=FQ","FILING_STATUS=OR","EQY_CONSOLIDATED=Y","FA_ADJUSTED=GAAP","Sort=A","Dates=H","DateFormat=P","Fill=—","Direction=H","UseDPDF=Y")</f>
        <v>#NAME?</v>
      </c>
      <c r="S102" t="e">
        <f ca="1">_xll.BDH($C$78,"SUSTAIN_GROWTH_RT","FQ4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02" s="2" t="e">
        <f ca="1">_xll.BDH($C$78,"SALES_GROWTH","FQ4 2018","FQ4 2018","Currency=INR","Period=FQ","BEST_FPERIOD_OVERRIDE=FQ","FILING_STATUS=OR","EQY_CONSOLIDATED=Y","FA_ADJUSTED=GAAP","Sort=A","Dates=H","DateFormat=P","Fill=—","Direction=H","UseDPDF=Y")</f>
        <v>#NAME?</v>
      </c>
      <c r="U102" s="2" t="e">
        <f ca="1">_xll.BDH($C$78,"EBITDA_GROWTH","FQ4 2018","FQ4 2018","Currency=INR","Period=FQ","BEST_FPERIOD_OVERRIDE=FQ","FILING_STATUS=OR","EQY_CONSOLIDATED=Y","FA_ADJUSTED=GAAP","Sort=A","Dates=H","DateFormat=P","Fill=—","Direction=H","UseDPDF=Y")</f>
        <v>#NAME?</v>
      </c>
      <c r="V102" s="2" t="e">
        <f ca="1">_xll.BDH($C$78,"OPER_INC_GROWTH","FQ4 2018","FQ4 2018","Currency=INR","Period=FQ","BEST_FPERIOD_OVERRIDE=FQ","FILING_STATUS=OR","EQY_CONSOLIDATED=Y","FA_ADJUSTED=GAAP","Sort=A","Dates=H","DateFormat=P","Fill=—","Direction=H","UseDPDF=Y")</f>
        <v>#NAME?</v>
      </c>
      <c r="W102" s="2" t="e">
        <f ca="1">_xll.BDH($C$78,"EARN_FOR_COM_GROWTH","FQ4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02" s="2" t="e">
        <f ca="1">_xll.BDH($C$78,"DILUTED_EPS_AFT_XO_ITEMS_GROWTH","FQ4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02" s="2" t="e">
        <f ca="1">_xll.BDH($C$78,"DIVIDEND_PER_SHARE_1_YEAR_GROWTH","FQ4 2018","FQ4 2018","Currency=INR","Period=FQ","BEST_FPERIOD_OVERRIDE=FQ","FILING_STATUS=OR","EQY_CONSOLIDATED=Y","Sort=A","Dates=H","DateFormat=P","Fill=—","Direction=H","UseDPDF=Y")</f>
        <v>#NAME?</v>
      </c>
      <c r="Z102" s="2" t="e">
        <f ca="1">_xll.BDH($C$78,"ACCOUNTS_RECEIVABLE_GROWTH","FQ4 2018","FQ4 2018","Currency=INR","Period=FQ","BEST_FPERIOD_OVERRIDE=FQ","FILING_STATUS=OR","EQY_CONSOLIDATED=Y","Sort=A","Dates=H","DateFormat=P","Fill=—","Direction=H","UseDPDF=Y")</f>
        <v>#NAME?</v>
      </c>
      <c r="AA102" s="2" t="e">
        <f ca="1">_xll.BDH($C$78,"INVENTORY_GROWTH","FQ4 2018","FQ4 2018","Currency=INR","Period=FQ","BEST_FPERIOD_OVERRIDE=FQ","FILING_STATUS=OR","EQY_CONSOLIDATED=Y","Sort=A","Dates=H","DateFormat=P","Fill=—","Direction=H","UseDPDF=Y")</f>
        <v>#NAME?</v>
      </c>
      <c r="AB102" s="2" t="e">
        <f ca="1">_xll.BDH($C$78,"NET_FIXED_ASSETS_1_YEAR_GROWTH","FQ4 2018","FQ4 2018","Currency=INR","Period=FQ","BEST_FPERIOD_OVERRIDE=FQ","FILING_STATUS=OR","EQY_CONSOLIDATED=Y","Sort=A","Dates=H","DateFormat=P","Fill=—","Direction=H","UseDPDF=Y")</f>
        <v>#NAME?</v>
      </c>
      <c r="AC102" s="2" t="e">
        <f ca="1">_xll.BDH($C$78,"ASSET_GROWTH","FQ4 2018","FQ4 2018","Currency=INR","Period=FQ","BEST_FPERIOD_OVERRIDE=FQ","FILING_STATUS=OR","EQY_CONSOLIDATED=Y","Sort=A","Dates=H","DateFormat=P","Fill=—","Direction=H","UseDPDF=Y")</f>
        <v>#NAME?</v>
      </c>
      <c r="AD102" s="2" t="e">
        <f ca="1">_xll.BDH($C$78,"MODIFIED_WORK_CAP_GROWTH","FQ4 2018","FQ4 2018","Currency=INR","Period=FQ","BEST_FPERIOD_OVERRIDE=FQ","FILING_STATUS=OR","EQY_CONSOLIDATED=Y","Sort=A","Dates=H","DateFormat=P","Fill=—","Direction=H","UseDPDF=Y")</f>
        <v>#NAME?</v>
      </c>
      <c r="AE102" s="2" t="e">
        <f ca="1">_xll.BDH($C$78,"WORK_CAP_GROWTH","FQ4 2018","FQ4 2018","Currency=INR","Period=FQ","BEST_FPERIOD_OVERRIDE=FQ","FILING_STATUS=OR","EQY_CONSOLIDATED=Y","Sort=A","Dates=H","DateFormat=P","Fill=—","Direction=H","UseDPDF=Y")</f>
        <v>#NAME?</v>
      </c>
      <c r="AF102" s="2" t="e">
        <f ca="1">_xll.BDH($C$78,"ACCOUNTS_PAYABLE_GROWTH_1YR","FQ4 2018","FQ4 2018","Currency=INR","Period=FQ","BEST_FPERIOD_OVERRIDE=FQ","FILING_STATUS=OR","EQY_CONSOLIDATED=Y","Sort=A","Dates=H","DateFormat=P","Fill=—","Direction=H","UseDPDF=Y")</f>
        <v>#NAME?</v>
      </c>
      <c r="AG102" s="2" t="e">
        <f ca="1">_xll.BDH($C$78,"SHORT_TERM_DEBT_1_YEAR_GROWTH","FQ4 2018","FQ4 2018","Currency=INR","Period=FQ","BEST_FPERIOD_OVERRIDE=FQ","FILING_STATUS=OR","EQY_CONSOLIDATED=Y","Sort=A","Dates=H","DateFormat=P","Fill=—","Direction=H","UseDPDF=Y")</f>
        <v>#NAME?</v>
      </c>
      <c r="AH102" s="2" t="e">
        <f ca="1">_xll.BDH($C$78,"TOTAL_DEBT_1_YEAR_GROWTH","FQ4 2018","FQ4 2018","Currency=INR","Period=FQ","BEST_FPERIOD_OVERRIDE=FQ","FILING_STATUS=OR","EQY_CONSOLIDATED=Y","Sort=A","Dates=H","DateFormat=P","Fill=—","Direction=H","UseDPDF=Y")</f>
        <v>#NAME?</v>
      </c>
      <c r="AI102" s="2" t="e">
        <f ca="1">_xll.BDH($C$78,"TOTAL_EQUITY_1_YEAR_GROWTH","FQ4 2018","FQ4 2018","Currency=INR","Period=FQ","BEST_FPERIOD_OVERRIDE=FQ","FILING_STATUS=OR","EQY_CONSOLIDATED=Y","Sort=A","Dates=H","DateFormat=P","Fill=—","Direction=H","UseDPDF=Y")</f>
        <v>#NAME?</v>
      </c>
      <c r="AJ102" s="2" t="e">
        <f ca="1">_xll.BDH($C$78,"GROWTH_IN_CAP","FQ4 2018","FQ4 2018","Currency=INR","Period=FQ","BEST_FPERIOD_OVERRIDE=FQ","FILING_STATUS=OR","EQY_CONSOLIDATED=Y","Sort=A","Dates=H","DateFormat=P","Fill=—","Direction=H","UseDPDF=Y")</f>
        <v>#NAME?</v>
      </c>
      <c r="AK102" s="2" t="e">
        <f ca="1">_xll.BDH($C$78,"BVPS_GROWTH","FQ4 2018","FQ4 2018","Currency=INR","Period=FQ","BEST_FPERIOD_OVERRIDE=FQ","FILING_STATUS=OR","EQY_CONSOLIDATED=Y","Sort=A","Dates=H","DateFormat=P","Fill=—","Direction=H","UseDPDF=Y")</f>
        <v>#NAME?</v>
      </c>
      <c r="AL102" s="2" t="e">
        <f ca="1">_xll.BDH($C$78,"CASH_FLOW_GROWTH","FQ4 2018","FQ4 2018","Currency=INR","Period=FQ","BEST_FPERIOD_OVERRIDE=FQ","FILING_STATUS=OR","EQY_CONSOLIDATED=Y","Sort=A","Dates=H","DateFormat=P","Fill=—","Direction=H","UseDPDF=Y")</f>
        <v>#NAME?</v>
      </c>
      <c r="AM102" s="2" t="e">
        <f ca="1">_xll.BDH($C$78,"GEO_GROW_NET_SALES","FQ4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02" s="2" t="e">
        <f ca="1">_xll.BDH($C$78,"GEO_GROW_EBITDA","FQ4 2018","FQ4 2018","Currency=INR","Period=FQ","BEST_FPERIOD_OVERRIDE=FQ","FILING_STATUS=OR","EQY_CONSOLIDATED=Y","FA_ADJUSTED=GAAP","Sort=A","Dates=H","DateFormat=P","Fill=—","Direction=H","UseDPDF=Y")</f>
        <v>#NAME?</v>
      </c>
      <c r="AO102" s="2" t="e">
        <f ca="1">_xll.BDH($C$78,"GEO_GROW_OPER_INC","FQ4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02" s="2" t="e">
        <f ca="1">_xll.BDH($C$78,"NET_INCOME_TO_COMMON_5_YR_GROWTH","FQ4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02" s="2" t="e">
        <f ca="1">_xll.BDH($C$78,"5Y_GEO_GROWTH_DILUTED_EPS","FQ4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02" s="2" t="e">
        <f ca="1">_xll.BDH($C$78,"GEO_GROW_DVD_PER_SH","FQ4 2018","FQ4 2018","Currency=INR","Period=FQ","BEST_FPERIOD_OVERRIDE=FQ","FILING_STATUS=OR","EQY_CONSOLIDATED=Y","Sort=A","Dates=H","DateFormat=P","Fill=—","Direction=H","UseDPDF=Y")</f>
        <v>#NAME?</v>
      </c>
      <c r="AS102" s="2" t="e">
        <f ca="1">_xll.BDH($C$78,"ACCOUNTS_RECEIVABLE_5_YR_GROWTH","FQ4 2018","FQ4 2018","Currency=INR","Period=FQ","BEST_FPERIOD_OVERRIDE=FQ","FILING_STATUS=OR","EQY_CONSOLIDATED=Y","Sort=A","Dates=H","DateFormat=P","Fill=—","Direction=H","UseDPDF=Y")</f>
        <v>#NAME?</v>
      </c>
      <c r="AT102" s="2" t="e">
        <f ca="1">_xll.BDH($C$78,"INVENTORY_5_YEAR_GROWTH","FQ4 2018","FQ4 2018","Currency=INR","Period=FQ","BEST_FPERIOD_OVERRIDE=FQ","FILING_STATUS=OR","EQY_CONSOLIDATED=Y","Sort=A","Dates=H","DateFormat=P","Fill=—","Direction=H","UseDPDF=Y")</f>
        <v>#NAME?</v>
      </c>
      <c r="AU102" s="2" t="e">
        <f ca="1">_xll.BDH($C$78,"NET_FIXED_ASSETS_5_YEAR_GROWTH","FQ4 2018","FQ4 2018","Currency=INR","Period=FQ","BEST_FPERIOD_OVERRIDE=FQ","FILING_STATUS=OR","EQY_CONSOLIDATED=Y","Sort=A","Dates=H","DateFormat=P","Fill=—","Direction=H","UseDPDF=Y")</f>
        <v>#NAME?</v>
      </c>
      <c r="AV102" s="2" t="e">
        <f ca="1">_xll.BDH($C$78,"GEO_GROW_TOT_ASSET","FQ4 2018","FQ4 2018","Currency=INR","Period=FQ","BEST_FPERIOD_OVERRIDE=FQ","FILING_STATUS=OR","EQY_CONSOLIDATED=Y","Sort=A","Dates=H","DateFormat=P","Fill=—","Direction=H","UseDPDF=Y")</f>
        <v>#NAME?</v>
      </c>
      <c r="AW102" s="2" t="e">
        <f ca="1">_xll.BDH($C$78,"MODIFIED_WORKING_CPTL_5YR_GRWTH","FQ4 2018","FQ4 2018","Currency=INR","Period=FQ","BEST_FPERIOD_OVERRIDE=FQ","FILING_STATUS=OR","EQY_CONSOLIDATED=Y","Sort=A","Dates=H","DateFormat=P","Fill=—","Direction=H","UseDPDF=Y")</f>
        <v>#NAME?</v>
      </c>
      <c r="AX102" s="2" t="e">
        <f ca="1">_xll.BDH($C$78,"WORKING_CAPITAL_5_YEAR_GROWTH","FQ4 2018","FQ4 2018","Currency=INR","Period=FQ","BEST_FPERIOD_OVERRIDE=FQ","FILING_STATUS=OR","EQY_CONSOLIDATED=Y","Sort=A","Dates=H","DateFormat=P","Fill=—","Direction=H","UseDPDF=Y")</f>
        <v>#NAME?</v>
      </c>
      <c r="AY102" s="2" t="e">
        <f ca="1">_xll.BDH($C$78,"ACCOUNTS_PAYABLE_5_YEAR_GROWTH","FQ4 2018","FQ4 2018","Currency=INR","Period=FQ","BEST_FPERIOD_OVERRIDE=FQ","FILING_STATUS=OR","EQY_CONSOLIDATED=Y","Sort=A","Dates=H","DateFormat=P","Fill=—","Direction=H","UseDPDF=Y")</f>
        <v>#NAME?</v>
      </c>
      <c r="AZ102" s="2" t="e">
        <f ca="1">_xll.BDH($C$78,"SHORT_TERM_DEBT_5_YEAR_GROWTH","FQ4 2018","FQ4 2018","Currency=INR","Period=FQ","BEST_FPERIOD_OVERRIDE=FQ","FILING_STATUS=OR","EQY_CONSOLIDATED=Y","Sort=A","Dates=H","DateFormat=P","Fill=—","Direction=H","UseDPDF=Y")</f>
        <v>#NAME?</v>
      </c>
      <c r="BA102" s="2" t="e">
        <f ca="1">_xll.BDH($C$78,"TOTAL_DEBT_5_YEAR_GROWTH","FQ4 2018","FQ4 2018","Currency=INR","Period=FQ","BEST_FPERIOD_OVERRIDE=FQ","FILING_STATUS=OR","EQY_CONSOLIDATED=Y","Sort=A","Dates=H","DateFormat=P","Fill=—","Direction=H","UseDPDF=Y")</f>
        <v>#NAME?</v>
      </c>
      <c r="BB102" s="2" t="e">
        <f ca="1">_xll.BDH($C$78,"GEO_GROW_TOT_SHRHLDR_EQY","FQ4 2018","FQ4 2018","Currency=INR","Period=FQ","BEST_FPERIOD_OVERRIDE=FQ","FILING_STATUS=OR","EQY_CONSOLIDATED=Y","Sort=A","Dates=H","DateFormat=P","Fill=—","Direction=H","UseDPDF=Y")</f>
        <v>#NAME?</v>
      </c>
      <c r="BC102" s="2" t="e">
        <f ca="1">_xll.BDH($C$78,"TOTAL_CAPITAL_5_YEAR_GROWTH","FQ4 2018","FQ4 2018","Currency=INR","Period=FQ","BEST_FPERIOD_OVERRIDE=FQ","FILING_STATUS=OR","EQY_CONSOLIDATED=Y","Sort=A","Dates=H","DateFormat=P","Fill=—","Direction=H","UseDPDF=Y")</f>
        <v>#NAME?</v>
      </c>
      <c r="BD102" s="2" t="e">
        <f ca="1">_xll.BDH($C$78,"GEO_GROW_BOOK_VAL","FQ4 2018","FQ4 2018","Currency=INR","Period=FQ","BEST_FPERIOD_OVERRIDE=FQ","FILING_STATUS=OR","EQY_CONSOLIDATED=Y","Sort=A","Dates=H","DateFormat=P","Fill=—","Direction=H","UseDPDF=Y")</f>
        <v>#NAME?</v>
      </c>
      <c r="BE102" s="2" t="e">
        <f ca="1">_xll.BDH($C$78,"GEO_GROW_CASH_OPER_ACT","FQ4 2018","FQ4 2018","Currency=INR","Period=FQ","BEST_FPERIOD_OVERRIDE=FQ","FILING_STATUS=OR","EQY_CONSOLIDATED=Y","Sort=A","Dates=H","DateFormat=P","Fill=—","Direction=H","UseDPDF=Y")</f>
        <v>#NAME?</v>
      </c>
      <c r="BF102" s="2" t="e">
        <f ca="1">_xll.BDH($C$78,"REVENUE_SEQUENTIAL_GROWTH","FQ4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02" s="2" t="e">
        <f ca="1">_xll.BDH($C$78,"EBITDA_SEQUENTIAL_GROWTH","FQ4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02" s="2" t="e">
        <f ca="1">_xll.BDH($C$78,"OPERATING_INCOME_SEQ_GROWTH","FQ4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02" s="2" t="e">
        <f ca="1">_xll.BDH($C$78,"NET_INCOME_TO_COMMON_SEQ_GROWTH","FQ4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02" s="2" t="e">
        <f ca="1">_xll.BDH($C$78,"EPS_DILUTED_SEQUENTIAL_GROWTH","FQ4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02" s="2" t="e">
        <f ca="1">_xll.BDH($C$78,"DPS_SEQUENTIAL_GROWTH","FQ4 2018","FQ4 2018","Currency=INR","Period=FQ","BEST_FPERIOD_OVERRIDE=FQ","FILING_STATUS=OR","EQY_CONSOLIDATED=Y","Sort=A","Dates=H","DateFormat=P","Fill=—","Direction=H","UseDPDF=Y")</f>
        <v>#NAME?</v>
      </c>
      <c r="BL102" s="2" t="e">
        <f ca="1">_xll.BDH($C$78,"ACCOUNTS_RECEIVABLE_SEQ_GROWTH","FQ4 2018","FQ4 2018","Currency=INR","Period=FQ","BEST_FPERIOD_OVERRIDE=FQ","FILING_STATUS=OR","EQY_CONSOLIDATED=Y","Sort=A","Dates=H","DateFormat=P","Fill=—","Direction=H","UseDPDF=Y")</f>
        <v>#NAME?</v>
      </c>
      <c r="BM102" s="2" t="e">
        <f ca="1">_xll.BDH($C$78,"INVENTORY_SEQUENTIAL_GROWTH","FQ4 2018","FQ4 2018","Currency=INR","Period=FQ","BEST_FPERIOD_OVERRIDE=FQ","FILING_STATUS=OR","EQY_CONSOLIDATED=Y","Sort=A","Dates=H","DateFormat=P","Fill=—","Direction=H","UseDPDF=Y")</f>
        <v>#NAME?</v>
      </c>
      <c r="BN102" s="2" t="e">
        <f ca="1">_xll.BDH($C$78,"FIXED_ASSETS_SEQUENTIAL_GROWTH","FQ4 2018","FQ4 2018","Currency=INR","Period=FQ","BEST_FPERIOD_OVERRIDE=FQ","FILING_STATUS=OR","EQY_CONSOLIDATED=Y","Sort=A","Dates=H","DateFormat=P","Fill=—","Direction=H","UseDPDF=Y")</f>
        <v>#NAME?</v>
      </c>
      <c r="BO102" s="2" t="e">
        <f ca="1">_xll.BDH($C$78,"TOTAL_ASSETS_SEQUENTIAL_GROWTH","FQ4 2018","FQ4 2018","Currency=INR","Period=FQ","BEST_FPERIOD_OVERRIDE=FQ","FILING_STATUS=OR","EQY_CONSOLIDATED=Y","Sort=A","Dates=H","DateFormat=P","Fill=—","Direction=H","UseDPDF=Y")</f>
        <v>#NAME?</v>
      </c>
      <c r="BP102" s="2" t="e">
        <f ca="1">_xll.BDH($C$78,"MODIFIED_WORKING_CPTL_SEQ_GRWTH","FQ4 2018","FQ4 2018","Currency=INR","Period=FQ","BEST_FPERIOD_OVERRIDE=FQ","FILING_STATUS=OR","EQY_CONSOLIDATED=Y","Sort=A","Dates=H","DateFormat=P","Fill=—","Direction=H","UseDPDF=Y")</f>
        <v>#NAME?</v>
      </c>
      <c r="BQ102" s="2" t="e">
        <f ca="1">_xll.BDH($C$78,"WORKING_CAPITAL_SEQ_GROWTH","FQ4 2018","FQ4 2018","Currency=INR","Period=FQ","BEST_FPERIOD_OVERRIDE=FQ","FILING_STATUS=OR","EQY_CONSOLIDATED=Y","Sort=A","Dates=H","DateFormat=P","Fill=—","Direction=H","UseDPDF=Y")</f>
        <v>#NAME?</v>
      </c>
      <c r="BR102" s="2" t="e">
        <f ca="1">_xll.BDH($C$78,"ACCOUNTS_PAYABLE_SEQ_GROWTH","FQ4 2018","FQ4 2018","Currency=INR","Period=FQ","BEST_FPERIOD_OVERRIDE=FQ","FILING_STATUS=OR","EQY_CONSOLIDATED=Y","Sort=A","Dates=H","DateFormat=P","Fill=—","Direction=H","UseDPDF=Y")</f>
        <v>#NAME?</v>
      </c>
      <c r="BS102" s="2" t="e">
        <f ca="1">_xll.BDH($C$78,"ST_DEBT_SEQUENTIAL_GROWTH","FQ4 2018","FQ4 2018","Currency=INR","Period=FQ","BEST_FPERIOD_OVERRIDE=FQ","FILING_STATUS=OR","EQY_CONSOLIDATED=Y","Sort=A","Dates=H","DateFormat=P","Fill=—","Direction=H","UseDPDF=Y")</f>
        <v>#NAME?</v>
      </c>
      <c r="BT102" s="2" t="e">
        <f ca="1">_xll.BDH($C$78,"TOTAL_DEBT_SEQUENTIAL_GROWTH","FQ4 2018","FQ4 2018","Currency=INR","Period=FQ","BEST_FPERIOD_OVERRIDE=FQ","FILING_STATUS=OR","EQY_CONSOLIDATED=Y","Sort=A","Dates=H","DateFormat=P","Fill=—","Direction=H","UseDPDF=Y")</f>
        <v>#NAME?</v>
      </c>
      <c r="BU102" s="2" t="e">
        <f ca="1">_xll.BDH($C$78,"TOTAL_EQUITY_SEQUENTIAL_GROWTH","FQ4 2018","FQ4 2018","Currency=INR","Period=FQ","BEST_FPERIOD_OVERRIDE=FQ","FILING_STATUS=OR","EQY_CONSOLIDATED=Y","Sort=A","Dates=H","DateFormat=P","Fill=—","Direction=H","UseDPDF=Y")</f>
        <v>#NAME?</v>
      </c>
      <c r="BV102" s="2" t="e">
        <f ca="1">_xll.BDH($C$78,"TOTAL_CAPITAL_SEQUENTIAL_GROWTH","FQ4 2018","FQ4 2018","Currency=INR","Period=FQ","BEST_FPERIOD_OVERRIDE=FQ","FILING_STATUS=OR","EQY_CONSOLIDATED=Y","Sort=A","Dates=H","DateFormat=P","Fill=—","Direction=H","UseDPDF=Y")</f>
        <v>#NAME?</v>
      </c>
      <c r="BW102" s="2" t="e">
        <f ca="1">_xll.BDH($C$78,"BPS_SEQUENTIAL_GROWTH","FQ4 2018","FQ4 2018","Currency=INR","Period=FQ","BEST_FPERIOD_OVERRIDE=FQ","FILING_STATUS=OR","EQY_CONSOLIDATED=Y","Sort=A","Dates=H","DateFormat=P","Fill=—","Direction=H","UseDPDF=Y")</f>
        <v>#NAME?</v>
      </c>
      <c r="BX102" s="2" t="e">
        <f ca="1">_xll.BDH($C$78,"CFO_SEQUENTIAL_GROWTH","FQ4 2018","FQ4 2018","Currency=INR","Period=FQ","BEST_FPERIOD_OVERRIDE=FQ","FILING_STATUS=OR","EQY_CONSOLIDATED=Y","Sort=A","Dates=H","DateFormat=P","Fill=—","Direction=H","UseDPDF=Y")</f>
        <v>#NAME?</v>
      </c>
      <c r="BY102" s="3" t="e">
        <f ca="1">_xll.BDH($C$78,"SHORT_AND_LONG_TERM_DEBT","FQ4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02" s="3" t="e">
        <f ca="1">_xll.BDH($C$78,"BS_ST_BORROW","FQ4 2018","FQ4 2018","Currency=INR","Period=FQ","BEST_FPERIOD_OVERRIDE=FQ","FILING_STATUS=OR","EQY_CONSOLIDATED=Y","SCALING_FORMAT=MLN","Sort=A","Dates=H","DateFormat=P","Fill=—","Direction=H","UseDPDF=Y")</f>
        <v>#NAME?</v>
      </c>
      <c r="CA102" s="3" t="e">
        <f ca="1">_xll.BDH($C$78,"BS_LT_BORROW","FQ4 2018","FQ4 2018","Currency=INR","Period=FQ","BEST_FPERIOD_OVERRIDE=FQ","FILING_STATUS=OR","EQY_CONSOLIDATED=Y","SCALING_FORMAT=MLN","Sort=A","Dates=H","DateFormat=P","Fill=—","Direction=H","UseDPDF=Y")</f>
        <v>#NAME?</v>
      </c>
      <c r="CB102" s="2" t="e">
        <f ca="1">_xll.BDH($C$78,"TOT_DEBT_TO_EBITDA","FQ4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02" s="2" t="e">
        <f ca="1">_xll.BDH($C$78,"NET_DEBT_TO_EBITDA","FQ4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02" s="2" t="e">
        <f ca="1">_xll.BDH($C$78,"TOTAL_DEBT_TO_EBIT","FQ4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02" s="2" t="e">
        <f ca="1">_xll.BDH($C$78,"NET_DEBT_TO_EBIT","FQ4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02" s="2" t="e">
        <f ca="1">_xll.BDH($C$78,"EBITDA_TO_INTEREST_EXPN","FQ4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02" s="2" t="e">
        <f ca="1">_xll.BDH($C$78,"COM_EQY_TO_TOT_ASSET","FQ4 2018","FQ4 2018","Currency=INR","Period=FQ","BEST_FPERIOD_OVERRIDE=FQ","FILING_STATUS=OR","EQY_CONSOLIDATED=Y","Sort=A","Dates=H","DateFormat=P","Fill=—","Direction=H","UseDPDF=Y")</f>
        <v>#NAME?</v>
      </c>
      <c r="CH102" s="2" t="e">
        <f ca="1">_xll.BDH($C$78,"LT_DEBT_TO_TOT_EQY","FQ4 2018","FQ4 2018","Currency=INR","Period=FQ","BEST_FPERIOD_OVERRIDE=FQ","FILING_STATUS=OR","EQY_CONSOLIDATED=Y","Sort=A","Dates=H","DateFormat=P","Fill=—","Direction=H","UseDPDF=Y")</f>
        <v>#NAME?</v>
      </c>
      <c r="CI102" s="2" t="e">
        <f ca="1">_xll.BDH($C$78,"LT_DEBT_TO_TOT_CAP","FQ4 2018","FQ4 2018","Currency=INR","Period=FQ","BEST_FPERIOD_OVERRIDE=FQ","FILING_STATUS=OR","EQY_CONSOLIDATED=Y","Sort=A","Dates=H","DateFormat=P","Fill=—","Direction=H","UseDPDF=Y")</f>
        <v>#NAME?</v>
      </c>
      <c r="CJ102" s="2" t="e">
        <f ca="1">_xll.BDH($C$78,"LT_DEBT_TO_TOT_ASSET","FQ4 2018","FQ4 2018","Currency=INR","Period=FQ","BEST_FPERIOD_OVERRIDE=FQ","FILING_STATUS=OR","EQY_CONSOLIDATED=Y","Sort=A","Dates=H","DateFormat=P","Fill=—","Direction=H","UseDPDF=Y")</f>
        <v>#NAME?</v>
      </c>
      <c r="CK102" s="2" t="e">
        <f ca="1">_xll.BDH($C$78,"TOT_DEBT_TO_TOT_EQY","FQ4 2018","FQ4 2018","Currency=INR","Period=FQ","BEST_FPERIOD_OVERRIDE=FQ","FILING_STATUS=OR","EQY_CONSOLIDATED=Y","Sort=A","Dates=H","DateFormat=P","Fill=—","Direction=H","UseDPDF=Y")</f>
        <v>#NAME?</v>
      </c>
      <c r="CL102" s="2" t="e">
        <f ca="1">_xll.BDH($C$78,"TOT_DEBT_TO_TOT_CAP","FQ4 2018","FQ4 2018","Currency=INR","Period=FQ","BEST_FPERIOD_OVERRIDE=FQ","FILING_STATUS=OR","EQY_CONSOLIDATED=Y","Sort=A","Dates=H","DateFormat=P","Fill=—","Direction=H","UseDPDF=Y")</f>
        <v>#NAME?</v>
      </c>
      <c r="CM102" s="2" t="e">
        <f ca="1">_xll.BDH($C$78,"TOT_DEBT_TO_TOT_ASSET","FQ4 2018","FQ4 2018","Currency=INR","Period=FQ","BEST_FPERIOD_OVERRIDE=FQ","FILING_STATUS=OR","EQY_CONSOLIDATED=Y","Sort=A","Dates=H","DateFormat=P","Fill=—","Direction=H","UseDPDF=Y")</f>
        <v>#NAME?</v>
      </c>
      <c r="CN102" s="2" t="e">
        <f ca="1">_xll.BDH($C$78,"NET_DEBT_TO_SHRHLDR_EQTY","FQ4 2018","FQ4 2018","Currency=INR","Period=FQ","BEST_FPERIOD_OVERRIDE=FQ","FILING_STATUS=OR","EQY_CONSOLIDATED=Y","Sort=A","Dates=H","DateFormat=P","Fill=—","Direction=H","UseDPDF=Y")</f>
        <v>#NAME?</v>
      </c>
      <c r="CO102" s="2" t="e">
        <f ca="1">_xll.BDH($C$78,"NET_DEBT_%_CAPITAL","FQ4 2018","FQ4 2018","Currency=INR","Period=FQ","BEST_FPERIOD_OVERRIDE=FQ","FILING_STATUS=OR","EQY_CONSOLIDATED=Y","Sort=A","Dates=H","DateFormat=P","Fill=—","Direction=H","UseDPDF=Y")</f>
        <v>#NAME?</v>
      </c>
      <c r="CP102" s="3" t="e">
        <f ca="1">_xll.BDH($C$78,"EBITDA","FQ4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02" s="3" t="e">
        <f ca="1">_xll.BDH($C$78,"EBITDA_AFTER_CAPEX","FQ4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02" s="3" t="e">
        <f ca="1">_xll.BDH($C$78,"IS_OPER_INC","FQ4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02" s="2" t="e">
        <f ca="1">_xll.BDH($C$78,"CASH_RATIO","FQ4 2018","FQ4 2018","Currency=INR","Period=FQ","BEST_FPERIOD_OVERRIDE=FQ","FILING_STATUS=OR","EQY_CONSOLIDATED=Y","Sort=A","Dates=H","DateFormat=P","Fill=—","Direction=H","UseDPDF=Y")</f>
        <v>#NAME?</v>
      </c>
      <c r="CT102" s="2" t="e">
        <f ca="1">_xll.BDH($C$78,"CUR_RATIO","FQ4 2018","FQ4 2018","Currency=INR","Period=FQ","BEST_FPERIOD_OVERRIDE=FQ","FILING_STATUS=OR","EQY_CONSOLIDATED=Y","Sort=A","Dates=H","DateFormat=P","Fill=—","Direction=H","UseDPDF=Y")</f>
        <v>#NAME?</v>
      </c>
      <c r="CU102" s="2" t="e">
        <f ca="1">_xll.BDH($C$78,"QUICK_RATIO","FQ4 2018","FQ4 2018","Currency=INR","Period=FQ","BEST_FPERIOD_OVERRIDE=FQ","FILING_STATUS=OR","EQY_CONSOLIDATED=Y","Sort=A","Dates=H","DateFormat=P","Fill=—","Direction=H","UseDPDF=Y")</f>
        <v>#NAME?</v>
      </c>
      <c r="CV102" s="2" t="e">
        <f ca="1">_xll.BDH($C$78,"ALTMAN_Z_SCORE","FQ4 2018","FQ4 2018","Currency=INR","Period=FQ","BEST_FPERIOD_OVERRIDE=FQ","FILING_STATUS=OR","EQY_CONSOLIDATED=Y","Sort=A","Dates=H","DateFormat=P","Fill=—","Direction=H","UseDPDF=Y")</f>
        <v>#NAME?</v>
      </c>
      <c r="CW102" s="4" t="e">
        <f ca="1">_xll.BDH($C$78,"ACCT_RCV_TURN","FQ4 2018","FQ4 2018","Currency=INR","Period=FQ","BEST_FPERIOD_OVERRIDE=FQ","FILING_STATUS=OR","EQY_CONSOLIDATED=Y","FA_ADJUSTED=GAAP","Sort=A","Dates=H","DateFormat=P","Fill=—","Direction=H","UseDPDF=Y")</f>
        <v>#NAME?</v>
      </c>
      <c r="CX102" s="2" t="e">
        <f ca="1">_xll.BDH($C$78,"ACCT_RCV_DAYS","FQ4 2018","FQ4 2018","Currency=INR","Period=FQ","BEST_FPERIOD_OVERRIDE=FQ","FILING_STATUS=OR","EQY_CONSOLIDATED=Y","FA_ADJUSTED=GAAP","Sort=A","Dates=H","DateFormat=P","Fill=—","Direction=H","UseDPDF=Y")</f>
        <v>#NAME?</v>
      </c>
      <c r="CY102" s="4" t="e">
        <f ca="1">_xll.BDH($C$78,"INVENT_TURN","FQ4 2018","FQ4 2018","Currency=INR","Period=FQ","BEST_FPERIOD_OVERRIDE=FQ","FILING_STATUS=OR","EQY_CONSOLIDATED=Y","FA_ADJUSTED=GAAP","Sort=A","Dates=H","DateFormat=P","Fill=—","Direction=H","UseDPDF=Y")</f>
        <v>#NAME?</v>
      </c>
      <c r="CZ102" s="2" t="e">
        <f ca="1">_xll.BDH($C$78,"INVENT_DAYS","FQ4 2018","FQ4 2018","Currency=INR","Period=FQ","BEST_FPERIOD_OVERRIDE=FQ","FILING_STATUS=OR","EQY_CONSOLIDATED=Y","FA_ADJUSTED=GAAP","Sort=A","Dates=H","DateFormat=P","Fill=—","Direction=H","UseDPDF=Y")</f>
        <v>#NAME?</v>
      </c>
      <c r="DA102" s="4" t="e">
        <f ca="1">_xll.BDH($C$78,"ACCOUNTS_PAYABLE_TURNOVER","FQ4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02" s="2" t="e">
        <f ca="1">_xll.BDH($C$78,"ACCOUNTS_PAYABLE_TURNOVER_DAYS","FQ4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02" s="4" t="e">
        <f ca="1">_xll.BDH($C$78,"CASH_CONVERSION_CYCLE","FQ4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02" s="4" t="e">
        <f ca="1">_xll.BDH($C$78,"INV_TO_CASH_DAYS","FQ4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02" s="5" t="e">
        <f ca="1">_xll.BDH($C$78,"BS_INVENTORIES","FQ4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02" s="3" t="e">
        <f ca="1">_xll.BDH($C$78,"INVTRY_RAW_MATERIALS","FQ4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02" s="3" t="e">
        <f ca="1">_xll.BDH($C$78,"INVTRY_IN_PROGRESS","FQ4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02" s="3" t="e">
        <f ca="1">_xll.BDH($C$78,"INVTRY_FINISHED_GOODS","FQ4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02" s="3" t="e">
        <f ca="1">_xll.BDH($C$78,"BS_OTHER_INV","FQ4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03" spans="1:113" x14ac:dyDescent="0.3">
      <c r="A103" s="6">
        <v>80</v>
      </c>
      <c r="B103" s="6" t="s">
        <v>92</v>
      </c>
      <c r="C103" s="6" t="s">
        <v>93</v>
      </c>
      <c r="D103" s="6" t="s">
        <v>76</v>
      </c>
      <c r="E103" t="s">
        <v>77</v>
      </c>
      <c r="F103" t="e">
        <f ca="1">_xll.BDH($C$103,"RETURN_COM_EQY","FY 2014","FY 2014","Currency=INR","Period=FY","BEST_FPERIOD_OVERRIDE=FY","FILING_STATUS=OR","EQY_CONSOLIDATED=Y","FA_ADJUSTED=GAAP","Sort=A","Dates=H","DateFormat=P","Fill=—","Direction=H","UseDPDF=Y")</f>
        <v>#NAME?</v>
      </c>
      <c r="G103" t="e">
        <f ca="1">_xll.BDH($C$103,"RETURN_ON_ASSET","FY 2014","FY 2014","Currency=INR","Period=FY","BEST_FPERIOD_OVERRIDE=FY","FILING_STATUS=OR","EQY_CONSOLIDATED=Y","FA_ADJUSTED=GAAP","Sort=A","Dates=H","DateFormat=P","Fill=—","Direction=H","UseDPDF=Y")</f>
        <v>#NAME?</v>
      </c>
      <c r="H103" t="e">
        <f ca="1">_xll.BDH($C$103,"RETURN_ON_CAP","FY 2014","FY 2014","Currency=INR","Period=FY","BEST_FPERIOD_OVERRIDE=FY","FILING_STATUS=OR","EQY_CONSOLIDATED=Y","FA_ADJUSTED=GAAP","Sort=A","Dates=H","DateFormat=P","Fill=—","Direction=H","UseDPDF=Y")</f>
        <v>#NAME?</v>
      </c>
      <c r="I103" t="e">
        <f ca="1">_xll.BDH($C$103,"RETURN_ON_INV_CAPITAL","FY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03" t="e">
        <f ca="1">_xll.BDH($C$103,"EBITDA_TO_REVENUE","FY 2014","FY 2014","Currency=INR","Period=FY","BEST_FPERIOD_OVERRIDE=FY","FILING_STATUS=OR","EQY_CONSOLIDATED=Y","FA_ADJUSTED=GAAP","Sort=A","Dates=H","DateFormat=P","Fill=—","Direction=H","UseDPDF=Y")</f>
        <v>#NAME?</v>
      </c>
      <c r="K103" t="e">
        <f ca="1">_xll.BDH($C$103,"OPER_MARGIN","FY 2014","FY 2014","Currency=INR","Period=FY","BEST_FPERIOD_OVERRIDE=FY","FILING_STATUS=OR","EQY_CONSOLIDATED=Y","FA_ADJUSTED=GAAP","Sort=A","Dates=H","DateFormat=P","Fill=—","Direction=H","UseDPDF=Y")</f>
        <v>#NAME?</v>
      </c>
      <c r="L103" t="e">
        <f ca="1">_xll.BDH($C$103,"INCREMENTAL_OPERATING_MARGIN","FY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03" t="e">
        <f ca="1">_xll.BDH($C$103,"PRETAX_INC_TO_NET_SALES","FY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03" t="e">
        <f ca="1">_xll.BDH($C$103,"INC_BEF_XO_ITEMS_TO_NET_SALES","FY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03" t="e">
        <f ca="1">_xll.BDH($C$103,"PROF_MARGIN","FY 2014","FY 2014","Currency=INR","Period=FY","BEST_FPERIOD_OVERRIDE=FY","FILING_STATUS=OR","EQY_CONSOLIDATED=Y","FA_ADJUSTED=GAAP","Sort=A","Dates=H","DateFormat=P","Fill=—","Direction=H","UseDPDF=Y")</f>
        <v>#NAME?</v>
      </c>
      <c r="P103" t="e">
        <f ca="1">_xll.BDH($C$103,"NET_INCOME_TO_COMMON_MARGIN","FY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03" t="e">
        <f ca="1">_xll.BDH($C$103,"EFF_TAX_RATE","FY 2014","FY 2014","Currency=INR","Period=FY","BEST_FPERIOD_OVERRIDE=FY","FILING_STATUS=OR","EQY_CONSOLIDATED=Y","FA_ADJUSTED=GAAP","Sort=A","Dates=H","DateFormat=P","Fill=—","Direction=H","UseDPDF=Y")</f>
        <v>#NAME?</v>
      </c>
      <c r="R103" t="e">
        <f ca="1">_xll.BDH($C$103,"DVD_PAYOUT_RATIO","FY 2014","FY 2014","Currency=INR","Period=FY","BEST_FPERIOD_OVERRIDE=FY","FILING_STATUS=OR","EQY_CONSOLIDATED=Y","FA_ADJUSTED=GAAP","Sort=A","Dates=H","DateFormat=P","Fill=—","Direction=H","UseDPDF=Y")</f>
        <v>#NAME?</v>
      </c>
      <c r="S103" t="e">
        <f ca="1">_xll.BDH($C$103,"SUSTAIN_GROWTH_RT","FY 2014","FY 2014","Currency=INR","Period=FY","BEST_FPERIOD_OVERRIDE=FY","FILING_STATUS=OR","EQY_CONSOLIDATED=Y","FA_ADJUSTED=GAAP","Sort=A","Dates=H","DateFormat=P","Fill=—","Direction=H","UseDPDF=Y")</f>
        <v>#NAME?</v>
      </c>
      <c r="T103" s="2" t="e">
        <f ca="1">_xll.BDH($C$103,"SALES_GROWTH","FY 2014","FY 2014","Currency=INR","Period=FY","BEST_FPERIOD_OVERRIDE=FY","FILING_STATUS=OR","EQY_CONSOLIDATED=Y","FA_ADJUSTED=GAAP","Sort=A","Dates=H","DateFormat=P","Fill=—","Direction=H","UseDPDF=Y")</f>
        <v>#NAME?</v>
      </c>
      <c r="U103" s="2" t="e">
        <f ca="1">_xll.BDH($C$103,"EBITDA_GROWTH","FY 2014","FY 2014","Currency=INR","Period=FY","BEST_FPERIOD_OVERRIDE=FY","FILING_STATUS=OR","EQY_CONSOLIDATED=Y","FA_ADJUSTED=GAAP","Sort=A","Dates=H","DateFormat=P","Fill=—","Direction=H","UseDPDF=Y")</f>
        <v>#NAME?</v>
      </c>
      <c r="V103" s="2" t="e">
        <f ca="1">_xll.BDH($C$103,"OPER_INC_GROWTH","FY 2014","FY 2014","Currency=INR","Period=FY","BEST_FPERIOD_OVERRIDE=FY","FILING_STATUS=OR","EQY_CONSOLIDATED=Y","FA_ADJUSTED=GAAP","Sort=A","Dates=H","DateFormat=P","Fill=—","Direction=H","UseDPDF=Y")</f>
        <v>#NAME?</v>
      </c>
      <c r="W103" s="2" t="e">
        <f ca="1">_xll.BDH($C$103,"EARN_FOR_COM_GROWTH","FY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03" s="2" t="e">
        <f ca="1">_xll.BDH($C$103,"DILUTED_EPS_AFT_XO_ITEMS_GROWTH","FY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03" s="2" t="e">
        <f ca="1">_xll.BDH($C$103,"DIVIDEND_PER_SHARE_1_YEAR_GROWTH","FY 2014","FY 2014","Currency=INR","Period=FY","BEST_FPERIOD_OVERRIDE=FY","FILING_STATUS=OR","EQY_CONSOLIDATED=Y","Sort=A","Dates=H","DateFormat=P","Fill=—","Direction=H","UseDPDF=Y")</f>
        <v>#NAME?</v>
      </c>
      <c r="Z103" s="2" t="e">
        <f ca="1">_xll.BDH($C$103,"ACCOUNTS_RECEIVABLE_GROWTH","FY 2014","FY 2014","Currency=INR","Period=FY","BEST_FPERIOD_OVERRIDE=FY","FILING_STATUS=OR","EQY_CONSOLIDATED=Y","Sort=A","Dates=H","DateFormat=P","Fill=—","Direction=H","UseDPDF=Y")</f>
        <v>#NAME?</v>
      </c>
      <c r="AA103" s="2" t="e">
        <f ca="1">_xll.BDH($C$103,"INVENTORY_GROWTH","FY 2014","FY 2014","Currency=INR","Period=FY","BEST_FPERIOD_OVERRIDE=FY","FILING_STATUS=OR","EQY_CONSOLIDATED=Y","Sort=A","Dates=H","DateFormat=P","Fill=—","Direction=H","UseDPDF=Y")</f>
        <v>#NAME?</v>
      </c>
      <c r="AB103" s="2" t="e">
        <f ca="1">_xll.BDH($C$103,"NET_FIXED_ASSETS_1_YEAR_GROWTH","FY 2014","FY 2014","Currency=INR","Period=FY","BEST_FPERIOD_OVERRIDE=FY","FILING_STATUS=OR","EQY_CONSOLIDATED=Y","Sort=A","Dates=H","DateFormat=P","Fill=—","Direction=H","UseDPDF=Y")</f>
        <v>#NAME?</v>
      </c>
      <c r="AC103" s="2" t="e">
        <f ca="1">_xll.BDH($C$103,"ASSET_GROWTH","FY 2014","FY 2014","Currency=INR","Period=FY","BEST_FPERIOD_OVERRIDE=FY","FILING_STATUS=OR","EQY_CONSOLIDATED=Y","Sort=A","Dates=H","DateFormat=P","Fill=—","Direction=H","UseDPDF=Y")</f>
        <v>#NAME?</v>
      </c>
      <c r="AD103" s="2" t="e">
        <f ca="1">_xll.BDH($C$103,"MODIFIED_WORK_CAP_GROWTH","FY 2014","FY 2014","Currency=INR","Period=FY","BEST_FPERIOD_OVERRIDE=FY","FILING_STATUS=OR","EQY_CONSOLIDATED=Y","Sort=A","Dates=H","DateFormat=P","Fill=—","Direction=H","UseDPDF=Y")</f>
        <v>#NAME?</v>
      </c>
      <c r="AE103" s="2" t="e">
        <f ca="1">_xll.BDH($C$103,"WORK_CAP_GROWTH","FY 2014","FY 2014","Currency=INR","Period=FY","BEST_FPERIOD_OVERRIDE=FY","FILING_STATUS=OR","EQY_CONSOLIDATED=Y","Sort=A","Dates=H","DateFormat=P","Fill=—","Direction=H","UseDPDF=Y")</f>
        <v>#NAME?</v>
      </c>
      <c r="AF103" s="2" t="e">
        <f ca="1">_xll.BDH($C$103,"ACCOUNTS_PAYABLE_GROWTH_1YR","FY 2014","FY 2014","Currency=INR","Period=FY","BEST_FPERIOD_OVERRIDE=FY","FILING_STATUS=OR","EQY_CONSOLIDATED=Y","Sort=A","Dates=H","DateFormat=P","Fill=—","Direction=H","UseDPDF=Y")</f>
        <v>#NAME?</v>
      </c>
      <c r="AG103" s="2" t="e">
        <f ca="1">_xll.BDH($C$103,"SHORT_TERM_DEBT_1_YEAR_GROWTH","FY 2014","FY 2014","Currency=INR","Period=FY","BEST_FPERIOD_OVERRIDE=FY","FILING_STATUS=OR","EQY_CONSOLIDATED=Y","Sort=A","Dates=H","DateFormat=P","Fill=—","Direction=H","UseDPDF=Y")</f>
        <v>#NAME?</v>
      </c>
      <c r="AH103" s="2" t="e">
        <f ca="1">_xll.BDH($C$103,"TOTAL_DEBT_1_YEAR_GROWTH","FY 2014","FY 2014","Currency=INR","Period=FY","BEST_FPERIOD_OVERRIDE=FY","FILING_STATUS=OR","EQY_CONSOLIDATED=Y","Sort=A","Dates=H","DateFormat=P","Fill=—","Direction=H","UseDPDF=Y")</f>
        <v>#NAME?</v>
      </c>
      <c r="AI103" s="2" t="e">
        <f ca="1">_xll.BDH($C$103,"TOTAL_EQUITY_1_YEAR_GROWTH","FY 2014","FY 2014","Currency=INR","Period=FY","BEST_FPERIOD_OVERRIDE=FY","FILING_STATUS=OR","EQY_CONSOLIDATED=Y","Sort=A","Dates=H","DateFormat=P","Fill=—","Direction=H","UseDPDF=Y")</f>
        <v>#NAME?</v>
      </c>
      <c r="AJ103" s="2" t="e">
        <f ca="1">_xll.BDH($C$103,"GROWTH_IN_CAP","FY 2014","FY 2014","Currency=INR","Period=FY","BEST_FPERIOD_OVERRIDE=FY","FILING_STATUS=OR","EQY_CONSOLIDATED=Y","Sort=A","Dates=H","DateFormat=P","Fill=—","Direction=H","UseDPDF=Y")</f>
        <v>#NAME?</v>
      </c>
      <c r="AK103" s="2" t="e">
        <f ca="1">_xll.BDH($C$103,"BVPS_GROWTH","FY 2014","FY 2014","Currency=INR","Period=FY","BEST_FPERIOD_OVERRIDE=FY","FILING_STATUS=OR","EQY_CONSOLIDATED=Y","Sort=A","Dates=H","DateFormat=P","Fill=—","Direction=H","UseDPDF=Y")</f>
        <v>#NAME?</v>
      </c>
      <c r="AL103" s="2" t="e">
        <f ca="1">_xll.BDH($C$103,"CASH_FLOW_GROWTH","FY 2014","FY 2014","Currency=INR","Period=FY","BEST_FPERIOD_OVERRIDE=FY","FILING_STATUS=OR","EQY_CONSOLIDATED=Y","Sort=A","Dates=H","DateFormat=P","Fill=—","Direction=H","UseDPDF=Y")</f>
        <v>#NAME?</v>
      </c>
      <c r="AM103" s="2" t="e">
        <f ca="1">_xll.BDH($C$103,"GEO_GROW_NET_SALES","FY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03" s="2" t="e">
        <f ca="1">_xll.BDH($C$103,"GEO_GROW_EBITDA","FY 2014","FY 2014","Currency=INR","Period=FY","BEST_FPERIOD_OVERRIDE=FY","FILING_STATUS=OR","EQY_CONSOLIDATED=Y","FA_ADJUSTED=GAAP","Sort=A","Dates=H","DateFormat=P","Fill=—","Direction=H","UseDPDF=Y")</f>
        <v>#NAME?</v>
      </c>
      <c r="AO103" s="2" t="e">
        <f ca="1">_xll.BDH($C$103,"GEO_GROW_OPER_INC","FY 2014","FY 2014","Currency=INR","Period=FY","BEST_FPERIOD_OVERRIDE=FY","FILING_STATUS=OR","EQY_CONSOLIDATED=Y","FA_ADJUSTED=GAAP","Sort=A","Dates=H","DateFormat=P","Fill=—","Direction=H","UseDPDF=Y")</f>
        <v>#NAME?</v>
      </c>
      <c r="AP103" s="2" t="e">
        <f ca="1">_xll.BDH($C$103,"NET_INCOME_TO_COMMON_5_YR_GROWTH","FY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03" s="2" t="e">
        <f ca="1">_xll.BDH($C$103,"5Y_GEO_GROWTH_DILUTED_EPS","FY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03" s="2" t="e">
        <f ca="1">_xll.BDH($C$103,"GEO_GROW_DVD_PER_SH","FY 2014","FY 2014","Currency=INR","Period=FY","BEST_FPERIOD_OVERRIDE=FY","FILING_STATUS=OR","EQY_CONSOLIDATED=Y","Sort=A","Dates=H","DateFormat=P","Fill=—","Direction=H","UseDPDF=Y")</f>
        <v>#NAME?</v>
      </c>
      <c r="AS103" s="2" t="e">
        <f ca="1">_xll.BDH($C$103,"ACCOUNTS_RECEIVABLE_5_YR_GROWTH","FY 2014","FY 2014","Currency=INR","Period=FY","BEST_FPERIOD_OVERRIDE=FY","FILING_STATUS=OR","EQY_CONSOLIDATED=Y","Sort=A","Dates=H","DateFormat=P","Fill=—","Direction=H","UseDPDF=Y")</f>
        <v>#NAME?</v>
      </c>
      <c r="AT103" s="2" t="e">
        <f ca="1">_xll.BDH($C$103,"INVENTORY_5_YEAR_GROWTH","FY 2014","FY 2014","Currency=INR","Period=FY","BEST_FPERIOD_OVERRIDE=FY","FILING_STATUS=OR","EQY_CONSOLIDATED=Y","Sort=A","Dates=H","DateFormat=P","Fill=—","Direction=H","UseDPDF=Y")</f>
        <v>#NAME?</v>
      </c>
      <c r="AU103" s="2" t="e">
        <f ca="1">_xll.BDH($C$103,"NET_FIXED_ASSETS_5_YEAR_GROWTH","FY 2014","FY 2014","Currency=INR","Period=FY","BEST_FPERIOD_OVERRIDE=FY","FILING_STATUS=OR","EQY_CONSOLIDATED=Y","Sort=A","Dates=H","DateFormat=P","Fill=—","Direction=H","UseDPDF=Y")</f>
        <v>#NAME?</v>
      </c>
      <c r="AV103" s="2" t="e">
        <f ca="1">_xll.BDH($C$103,"GEO_GROW_TOT_ASSET","FY 2014","FY 2014","Currency=INR","Period=FY","BEST_FPERIOD_OVERRIDE=FY","FILING_STATUS=OR","EQY_CONSOLIDATED=Y","Sort=A","Dates=H","DateFormat=P","Fill=—","Direction=H","UseDPDF=Y")</f>
        <v>#NAME?</v>
      </c>
      <c r="AW103" s="2" t="e">
        <f ca="1">_xll.BDH($C$103,"MODIFIED_WORKING_CPTL_5YR_GRWTH","FY 2014","FY 2014","Currency=INR","Period=FY","BEST_FPERIOD_OVERRIDE=FY","FILING_STATUS=OR","EQY_CONSOLIDATED=Y","Sort=A","Dates=H","DateFormat=P","Fill=—","Direction=H","UseDPDF=Y")</f>
        <v>#NAME?</v>
      </c>
      <c r="AX103" s="2" t="e">
        <f ca="1">_xll.BDH($C$103,"WORKING_CAPITAL_5_YEAR_GROWTH","FY 2014","FY 2014","Currency=INR","Period=FY","BEST_FPERIOD_OVERRIDE=FY","FILING_STATUS=OR","EQY_CONSOLIDATED=Y","Sort=A","Dates=H","DateFormat=P","Fill=—","Direction=H","UseDPDF=Y")</f>
        <v>#NAME?</v>
      </c>
      <c r="AY103" s="2" t="e">
        <f ca="1">_xll.BDH($C$103,"ACCOUNTS_PAYABLE_5_YEAR_GROWTH","FY 2014","FY 2014","Currency=INR","Period=FY","BEST_FPERIOD_OVERRIDE=FY","FILING_STATUS=OR","EQY_CONSOLIDATED=Y","Sort=A","Dates=H","DateFormat=P","Fill=—","Direction=H","UseDPDF=Y")</f>
        <v>#NAME?</v>
      </c>
      <c r="AZ103" s="2" t="e">
        <f ca="1">_xll.BDH($C$103,"SHORT_TERM_DEBT_5_YEAR_GROWTH","FY 2014","FY 2014","Currency=INR","Period=FY","BEST_FPERIOD_OVERRIDE=FY","FILING_STATUS=OR","EQY_CONSOLIDATED=Y","Sort=A","Dates=H","DateFormat=P","Fill=—","Direction=H","UseDPDF=Y")</f>
        <v>#NAME?</v>
      </c>
      <c r="BA103" s="2" t="e">
        <f ca="1">_xll.BDH($C$103,"TOTAL_DEBT_5_YEAR_GROWTH","FY 2014","FY 2014","Currency=INR","Period=FY","BEST_FPERIOD_OVERRIDE=FY","FILING_STATUS=OR","EQY_CONSOLIDATED=Y","Sort=A","Dates=H","DateFormat=P","Fill=—","Direction=H","UseDPDF=Y")</f>
        <v>#NAME?</v>
      </c>
      <c r="BB103" s="2" t="e">
        <f ca="1">_xll.BDH($C$103,"GEO_GROW_TOT_SHRHLDR_EQY","FY 2014","FY 2014","Currency=INR","Period=FY","BEST_FPERIOD_OVERRIDE=FY","FILING_STATUS=OR","EQY_CONSOLIDATED=Y","Sort=A","Dates=H","DateFormat=P","Fill=—","Direction=H","UseDPDF=Y")</f>
        <v>#NAME?</v>
      </c>
      <c r="BC103" s="2" t="e">
        <f ca="1">_xll.BDH($C$103,"TOTAL_CAPITAL_5_YEAR_GROWTH","FY 2014","FY 2014","Currency=INR","Period=FY","BEST_FPERIOD_OVERRIDE=FY","FILING_STATUS=OR","EQY_CONSOLIDATED=Y","Sort=A","Dates=H","DateFormat=P","Fill=—","Direction=H","UseDPDF=Y")</f>
        <v>#NAME?</v>
      </c>
      <c r="BD103" s="2" t="e">
        <f ca="1">_xll.BDH($C$103,"GEO_GROW_BOOK_VAL","FY 2014","FY 2014","Currency=INR","Period=FY","BEST_FPERIOD_OVERRIDE=FY","FILING_STATUS=OR","EQY_CONSOLIDATED=Y","Sort=A","Dates=H","DateFormat=P","Fill=—","Direction=H","UseDPDF=Y")</f>
        <v>#NAME?</v>
      </c>
      <c r="BE103" s="2" t="e">
        <f ca="1">_xll.BDH($C$103,"GEO_GROW_CASH_OPER_ACT","FY 2014","FY 2014","Currency=INR","Period=FY","BEST_FPERIOD_OVERRIDE=FY","FILING_STATUS=OR","EQY_CONSOLIDATED=Y","Sort=A","Dates=H","DateFormat=P","Fill=—","Direction=H","UseDPDF=Y")</f>
        <v>#NAME?</v>
      </c>
      <c r="BF103" s="2" t="e">
        <f ca="1">_xll.BDH($C$103,"REVENUE_SEQUENTIAL_GROWTH","FY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03" s="2" t="e">
        <f ca="1">_xll.BDH($C$103,"EBITDA_SEQUENTIAL_GROWTH","FY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03" s="2" t="e">
        <f ca="1">_xll.BDH($C$103,"OPERATING_INCOME_SEQ_GROWTH","FY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03" s="2" t="e">
        <f ca="1">_xll.BDH($C$103,"NET_INCOME_TO_COMMON_SEQ_GROWTH","FY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03" s="2" t="e">
        <f ca="1">_xll.BDH($C$103,"EPS_DILUTED_SEQUENTIAL_GROWTH","FY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03" s="2" t="e">
        <f ca="1">_xll.BDH($C$103,"DPS_SEQUENTIAL_GROWTH","FY 2014","FY 2014","Currency=INR","Period=FY","BEST_FPERIOD_OVERRIDE=FY","FILING_STATUS=OR","EQY_CONSOLIDATED=Y","Sort=A","Dates=H","DateFormat=P","Fill=—","Direction=H","UseDPDF=Y")</f>
        <v>#NAME?</v>
      </c>
      <c r="BL103" s="2" t="e">
        <f ca="1">_xll.BDH($C$103,"ACCOUNTS_RECEIVABLE_SEQ_GROWTH","FY 2014","FY 2014","Currency=INR","Period=FY","BEST_FPERIOD_OVERRIDE=FY","FILING_STATUS=OR","EQY_CONSOLIDATED=Y","Sort=A","Dates=H","DateFormat=P","Fill=—","Direction=H","UseDPDF=Y")</f>
        <v>#NAME?</v>
      </c>
      <c r="BM103" s="2" t="e">
        <f ca="1">_xll.BDH($C$103,"INVENTORY_SEQUENTIAL_GROWTH","FY 2014","FY 2014","Currency=INR","Period=FY","BEST_FPERIOD_OVERRIDE=FY","FILING_STATUS=OR","EQY_CONSOLIDATED=Y","Sort=A","Dates=H","DateFormat=P","Fill=—","Direction=H","UseDPDF=Y")</f>
        <v>#NAME?</v>
      </c>
      <c r="BN103" s="2" t="e">
        <f ca="1">_xll.BDH($C$103,"FIXED_ASSETS_SEQUENTIAL_GROWTH","FY 2014","FY 2014","Currency=INR","Period=FY","BEST_FPERIOD_OVERRIDE=FY","FILING_STATUS=OR","EQY_CONSOLIDATED=Y","Sort=A","Dates=H","DateFormat=P","Fill=—","Direction=H","UseDPDF=Y")</f>
        <v>#NAME?</v>
      </c>
      <c r="BO103" s="2" t="e">
        <f ca="1">_xll.BDH($C$103,"TOTAL_ASSETS_SEQUENTIAL_GROWTH","FY 2014","FY 2014","Currency=INR","Period=FY","BEST_FPERIOD_OVERRIDE=FY","FILING_STATUS=OR","EQY_CONSOLIDATED=Y","Sort=A","Dates=H","DateFormat=P","Fill=—","Direction=H","UseDPDF=Y")</f>
        <v>#NAME?</v>
      </c>
      <c r="BP103" s="2" t="e">
        <f ca="1">_xll.BDH($C$103,"MODIFIED_WORKING_CPTL_SEQ_GRWTH","FY 2014","FY 2014","Currency=INR","Period=FY","BEST_FPERIOD_OVERRIDE=FY","FILING_STATUS=OR","EQY_CONSOLIDATED=Y","Sort=A","Dates=H","DateFormat=P","Fill=—","Direction=H","UseDPDF=Y")</f>
        <v>#NAME?</v>
      </c>
      <c r="BQ103" s="2" t="e">
        <f ca="1">_xll.BDH($C$103,"WORKING_CAPITAL_SEQ_GROWTH","FY 2014","FY 2014","Currency=INR","Period=FY","BEST_FPERIOD_OVERRIDE=FY","FILING_STATUS=OR","EQY_CONSOLIDATED=Y","Sort=A","Dates=H","DateFormat=P","Fill=—","Direction=H","UseDPDF=Y")</f>
        <v>#NAME?</v>
      </c>
      <c r="BR103" s="2" t="e">
        <f ca="1">_xll.BDH($C$103,"ACCOUNTS_PAYABLE_SEQ_GROWTH","FY 2014","FY 2014","Currency=INR","Period=FY","BEST_FPERIOD_OVERRIDE=FY","FILING_STATUS=OR","EQY_CONSOLIDATED=Y","Sort=A","Dates=H","DateFormat=P","Fill=—","Direction=H","UseDPDF=Y")</f>
        <v>#NAME?</v>
      </c>
      <c r="BS103" s="2" t="e">
        <f ca="1">_xll.BDH($C$103,"ST_DEBT_SEQUENTIAL_GROWTH","FY 2014","FY 2014","Currency=INR","Period=FY","BEST_FPERIOD_OVERRIDE=FY","FILING_STATUS=OR","EQY_CONSOLIDATED=Y","Sort=A","Dates=H","DateFormat=P","Fill=—","Direction=H","UseDPDF=Y")</f>
        <v>#NAME?</v>
      </c>
      <c r="BT103" s="2" t="e">
        <f ca="1">_xll.BDH($C$103,"TOTAL_DEBT_SEQUENTIAL_GROWTH","FY 2014","FY 2014","Currency=INR","Period=FY","BEST_FPERIOD_OVERRIDE=FY","FILING_STATUS=OR","EQY_CONSOLIDATED=Y","Sort=A","Dates=H","DateFormat=P","Fill=—","Direction=H","UseDPDF=Y")</f>
        <v>#NAME?</v>
      </c>
      <c r="BU103" s="2" t="e">
        <f ca="1">_xll.BDH($C$103,"TOTAL_EQUITY_SEQUENTIAL_GROWTH","FY 2014","FY 2014","Currency=INR","Period=FY","BEST_FPERIOD_OVERRIDE=FY","FILING_STATUS=OR","EQY_CONSOLIDATED=Y","Sort=A","Dates=H","DateFormat=P","Fill=—","Direction=H","UseDPDF=Y")</f>
        <v>#NAME?</v>
      </c>
      <c r="BV103" s="2" t="e">
        <f ca="1">_xll.BDH($C$103,"TOTAL_CAPITAL_SEQUENTIAL_GROWTH","FY 2014","FY 2014","Currency=INR","Period=FY","BEST_FPERIOD_OVERRIDE=FY","FILING_STATUS=OR","EQY_CONSOLIDATED=Y","Sort=A","Dates=H","DateFormat=P","Fill=—","Direction=H","UseDPDF=Y")</f>
        <v>#NAME?</v>
      </c>
      <c r="BW103" s="2" t="e">
        <f ca="1">_xll.BDH($C$103,"BPS_SEQUENTIAL_GROWTH","FY 2014","FY 2014","Currency=INR","Period=FY","BEST_FPERIOD_OVERRIDE=FY","FILING_STATUS=OR","EQY_CONSOLIDATED=Y","Sort=A","Dates=H","DateFormat=P","Fill=—","Direction=H","UseDPDF=Y")</f>
        <v>#NAME?</v>
      </c>
      <c r="BX103" s="2" t="e">
        <f ca="1">_xll.BDH($C$103,"CFO_SEQUENTIAL_GROWTH","FY 2014","FY 2014","Currency=INR","Period=FY","BEST_FPERIOD_OVERRIDE=FY","FILING_STATUS=OR","EQY_CONSOLIDATED=Y","Sort=A","Dates=H","DateFormat=P","Fill=—","Direction=H","UseDPDF=Y")</f>
        <v>#NAME?</v>
      </c>
      <c r="BY103" s="3" t="e">
        <f ca="1">_xll.BDH($C$103,"SHORT_AND_LONG_TERM_DEBT","FY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03" s="3" t="e">
        <f ca="1">_xll.BDH($C$103,"BS_ST_BORROW","FY 2014","FY 2014","Currency=INR","Period=FY","BEST_FPERIOD_OVERRIDE=FY","FILING_STATUS=OR","EQY_CONSOLIDATED=Y","SCALING_FORMAT=MLN","Sort=A","Dates=H","DateFormat=P","Fill=—","Direction=H","UseDPDF=Y")</f>
        <v>#NAME?</v>
      </c>
      <c r="CA103" s="3" t="e">
        <f ca="1">_xll.BDH($C$103,"BS_LT_BORROW","FY 2014","FY 2014","Currency=INR","Period=FY","BEST_FPERIOD_OVERRIDE=FY","FILING_STATUS=OR","EQY_CONSOLIDATED=Y","SCALING_FORMAT=MLN","Sort=A","Dates=H","DateFormat=P","Fill=—","Direction=H","UseDPDF=Y")</f>
        <v>#NAME?</v>
      </c>
      <c r="CB103" s="2" t="e">
        <f ca="1">_xll.BDH($C$103,"TOT_DEBT_TO_EBITDA","FY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03" s="2" t="e">
        <f ca="1">_xll.BDH($C$103,"NET_DEBT_TO_EBITDA","FY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03" s="2" t="e">
        <f ca="1">_xll.BDH($C$103,"TOTAL_DEBT_TO_EBIT","FY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03" s="2" t="e">
        <f ca="1">_xll.BDH($C$103,"NET_DEBT_TO_EBIT","FY 2014","FY 2014","Currency=INR","Period=FY","BEST_FPERIOD_OVERRIDE=FY","FILING_STATUS=OR","EQY_CONSOLIDATED=Y","FA_ADJUSTED=GAAP","Sort=A","Dates=H","DateFormat=P","Fill=—","Direction=H","UseDPDF=Y")</f>
        <v>#NAME?</v>
      </c>
      <c r="CF103" s="2" t="e">
        <f ca="1">_xll.BDH($C$103,"EBITDA_TO_INTEREST_EXPN","FY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03" s="2" t="e">
        <f ca="1">_xll.BDH($C$103,"COM_EQY_TO_TOT_ASSET","FY 2014","FY 2014","Currency=INR","Period=FY","BEST_FPERIOD_OVERRIDE=FY","FILING_STATUS=OR","EQY_CONSOLIDATED=Y","Sort=A","Dates=H","DateFormat=P","Fill=—","Direction=H","UseDPDF=Y")</f>
        <v>#NAME?</v>
      </c>
      <c r="CH103" s="2" t="e">
        <f ca="1">_xll.BDH($C$103,"LT_DEBT_TO_TOT_EQY","FY 2014","FY 2014","Currency=INR","Period=FY","BEST_FPERIOD_OVERRIDE=FY","FILING_STATUS=OR","EQY_CONSOLIDATED=Y","Sort=A","Dates=H","DateFormat=P","Fill=—","Direction=H","UseDPDF=Y")</f>
        <v>#NAME?</v>
      </c>
      <c r="CI103" s="2" t="e">
        <f ca="1">_xll.BDH($C$103,"LT_DEBT_TO_TOT_CAP","FY 2014","FY 2014","Currency=INR","Period=FY","BEST_FPERIOD_OVERRIDE=FY","FILING_STATUS=OR","EQY_CONSOLIDATED=Y","Sort=A","Dates=H","DateFormat=P","Fill=—","Direction=H","UseDPDF=Y")</f>
        <v>#NAME?</v>
      </c>
      <c r="CJ103" s="2" t="e">
        <f ca="1">_xll.BDH($C$103,"LT_DEBT_TO_TOT_ASSET","FY 2014","FY 2014","Currency=INR","Period=FY","BEST_FPERIOD_OVERRIDE=FY","FILING_STATUS=OR","EQY_CONSOLIDATED=Y","Sort=A","Dates=H","DateFormat=P","Fill=—","Direction=H","UseDPDF=Y")</f>
        <v>#NAME?</v>
      </c>
      <c r="CK103" s="2" t="e">
        <f ca="1">_xll.BDH($C$103,"TOT_DEBT_TO_TOT_EQY","FY 2014","FY 2014","Currency=INR","Period=FY","BEST_FPERIOD_OVERRIDE=FY","FILING_STATUS=OR","EQY_CONSOLIDATED=Y","Sort=A","Dates=H","DateFormat=P","Fill=—","Direction=H","UseDPDF=Y")</f>
        <v>#NAME?</v>
      </c>
      <c r="CL103" s="2" t="e">
        <f ca="1">_xll.BDH($C$103,"TOT_DEBT_TO_TOT_CAP","FY 2014","FY 2014","Currency=INR","Period=FY","BEST_FPERIOD_OVERRIDE=FY","FILING_STATUS=OR","EQY_CONSOLIDATED=Y","Sort=A","Dates=H","DateFormat=P","Fill=—","Direction=H","UseDPDF=Y")</f>
        <v>#NAME?</v>
      </c>
      <c r="CM103" s="2" t="e">
        <f ca="1">_xll.BDH($C$103,"TOT_DEBT_TO_TOT_ASSET","FY 2014","FY 2014","Currency=INR","Period=FY","BEST_FPERIOD_OVERRIDE=FY","FILING_STATUS=OR","EQY_CONSOLIDATED=Y","Sort=A","Dates=H","DateFormat=P","Fill=—","Direction=H","UseDPDF=Y")</f>
        <v>#NAME?</v>
      </c>
      <c r="CN103" s="2" t="e">
        <f ca="1">_xll.BDH($C$103,"NET_DEBT_TO_SHRHLDR_EQTY","FY 2014","FY 2014","Currency=INR","Period=FY","BEST_FPERIOD_OVERRIDE=FY","FILING_STATUS=OR","EQY_CONSOLIDATED=Y","Sort=A","Dates=H","DateFormat=P","Fill=—","Direction=H","UseDPDF=Y")</f>
        <v>#NAME?</v>
      </c>
      <c r="CO103" s="2" t="e">
        <f ca="1">_xll.BDH($C$103,"NET_DEBT_%_CAPITAL","FY 2014","FY 2014","Currency=INR","Period=FY","BEST_FPERIOD_OVERRIDE=FY","FILING_STATUS=OR","EQY_CONSOLIDATED=Y","Sort=A","Dates=H","DateFormat=P","Fill=—","Direction=H","UseDPDF=Y")</f>
        <v>#NAME?</v>
      </c>
      <c r="CP103" s="3" t="e">
        <f ca="1">_xll.BDH($C$103,"EBITDA","FY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03" s="3" t="e">
        <f ca="1">_xll.BDH($C$103,"EBITDA_AFTER_CAPEX","FY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03" s="3" t="e">
        <f ca="1">_xll.BDH($C$103,"IS_OPER_INC","FY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03" s="2" t="e">
        <f ca="1">_xll.BDH($C$103,"CASH_RATIO","FY 2014","FY 2014","Currency=INR","Period=FY","BEST_FPERIOD_OVERRIDE=FY","FILING_STATUS=OR","EQY_CONSOLIDATED=Y","Sort=A","Dates=H","DateFormat=P","Fill=—","Direction=H","UseDPDF=Y")</f>
        <v>#NAME?</v>
      </c>
      <c r="CT103" s="2" t="e">
        <f ca="1">_xll.BDH($C$103,"CUR_RATIO","FY 2014","FY 2014","Currency=INR","Period=FY","BEST_FPERIOD_OVERRIDE=FY","FILING_STATUS=OR","EQY_CONSOLIDATED=Y","Sort=A","Dates=H","DateFormat=P","Fill=—","Direction=H","UseDPDF=Y")</f>
        <v>#NAME?</v>
      </c>
      <c r="CU103" s="2" t="e">
        <f ca="1">_xll.BDH($C$103,"QUICK_RATIO","FY 2014","FY 2014","Currency=INR","Period=FY","BEST_FPERIOD_OVERRIDE=FY","FILING_STATUS=OR","EQY_CONSOLIDATED=Y","Sort=A","Dates=H","DateFormat=P","Fill=—","Direction=H","UseDPDF=Y")</f>
        <v>#NAME?</v>
      </c>
      <c r="CV103" s="2" t="e">
        <f ca="1">_xll.BDH($C$103,"ALTMAN_Z_SCORE","FY 2014","FY 2014","Currency=INR","Period=FY","BEST_FPERIOD_OVERRIDE=FY","FILING_STATUS=OR","EQY_CONSOLIDATED=Y","Sort=A","Dates=H","DateFormat=P","Fill=—","Direction=H","UseDPDF=Y")</f>
        <v>#NAME?</v>
      </c>
      <c r="CW103" s="4" t="e">
        <f ca="1">_xll.BDH($C$103,"ACCT_RCV_TURN","FY 2014","FY 2014","Currency=INR","Period=FY","BEST_FPERIOD_OVERRIDE=FY","FILING_STATUS=OR","EQY_CONSOLIDATED=Y","FA_ADJUSTED=GAAP","Sort=A","Dates=H","DateFormat=P","Fill=—","Direction=H","UseDPDF=Y")</f>
        <v>#NAME?</v>
      </c>
      <c r="CX103" s="2" t="e">
        <f ca="1">_xll.BDH($C$103,"ACCT_RCV_DAYS","FY 2014","FY 2014","Currency=INR","Period=FY","BEST_FPERIOD_OVERRIDE=FY","FILING_STATUS=OR","EQY_CONSOLIDATED=Y","FA_ADJUSTED=GAAP","Sort=A","Dates=H","DateFormat=P","Fill=—","Direction=H","UseDPDF=Y")</f>
        <v>#NAME?</v>
      </c>
      <c r="CY103" s="4" t="e">
        <f ca="1">_xll.BDH($C$103,"INVENT_TURN","FY 2014","FY 2014","Currency=INR","Period=FY","BEST_FPERIOD_OVERRIDE=FY","FILING_STATUS=OR","EQY_CONSOLIDATED=Y","FA_ADJUSTED=GAAP","Sort=A","Dates=H","DateFormat=P","Fill=—","Direction=H","UseDPDF=Y")</f>
        <v>#NAME?</v>
      </c>
      <c r="CZ103" s="2" t="e">
        <f ca="1">_xll.BDH($C$103,"INVENT_DAYS","FY 2014","FY 2014","Currency=INR","Period=FY","BEST_FPERIOD_OVERRIDE=FY","FILING_STATUS=OR","EQY_CONSOLIDATED=Y","FA_ADJUSTED=GAAP","Sort=A","Dates=H","DateFormat=P","Fill=—","Direction=H","UseDPDF=Y")</f>
        <v>#NAME?</v>
      </c>
      <c r="DA103" s="4" t="e">
        <f ca="1">_xll.BDH($C$103,"ACCOUNTS_PAYABLE_TURNOVER","FY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03" s="2" t="e">
        <f ca="1">_xll.BDH($C$103,"ACCOUNTS_PAYABLE_TURNOVER_DAYS","FY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03" s="4" t="e">
        <f ca="1">_xll.BDH($C$103,"CASH_CONVERSION_CYCLE","FY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03" s="4" t="e">
        <f ca="1">_xll.BDH($C$103,"INV_TO_CASH_DAYS","FY 2014","FY 2014","Currency=INR","Period=FY","BEST_FPERIOD_OVERRIDE=FY","FILING_STATUS=OR","EQY_CONSOLIDATED=Y","FA_ADJUSTED=GAAP","Sort=A","Dates=H","DateFormat=P","Fill=—","Direction=H","UseDPDF=Y")</f>
        <v>#NAME?</v>
      </c>
      <c r="DE103" s="5" t="e">
        <f ca="1">_xll.BDH($C$103,"BS_INVENTORIES","FY 2014","FY 2014","Currency=INR","Period=FY","BEST_FPERIOD_OVERRIDE=FY","FILING_STATUS=OR","EQY_CONSOLIDATED=Y","SCALING_FORMAT=MLN","Sort=A","Dates=H","DateFormat=P","Fill=—","Direction=H","UseDPDF=Y")</f>
        <v>#NAME?</v>
      </c>
      <c r="DF103" s="3" t="e">
        <f ca="1">_xll.BDH($C$103,"INVTRY_RAW_MATERIALS","FY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03" s="3" t="e">
        <f ca="1">_xll.BDH($C$103,"INVTRY_IN_PROGRESS","FY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03" s="3" t="e">
        <f ca="1">_xll.BDH($C$103,"INVTRY_FINISHED_GOODS","FY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03" s="3" t="e">
        <f ca="1">_xll.BDH($C$103,"BS_OTHER_INV","FY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04" spans="1:113" x14ac:dyDescent="0.3">
      <c r="A104" s="6"/>
      <c r="B104" s="6"/>
      <c r="C104" s="6"/>
      <c r="D104" s="6"/>
      <c r="E104" t="s">
        <v>78</v>
      </c>
      <c r="F104" t="e">
        <f ca="1">_xll.BDH($C$103,"RETURN_COM_EQY","FQ1 2014","FQ1 2014","Currency=INR","Period=FQ","BEST_FPERIOD_OVERRIDE=FQ","FILING_STATUS=OR","EQY_CONSOLIDATED=Y","FA_ADJUSTED=GAAP","Sort=A","Dates=H","DateFormat=P","Fill=—","Direction=H","UseDPDF=Y")</f>
        <v>#NAME?</v>
      </c>
      <c r="G104" t="e">
        <f ca="1">_xll.BDH($C$103,"RETURN_ON_ASSET","FQ1 2014","FQ1 2014","Currency=INR","Period=FQ","BEST_FPERIOD_OVERRIDE=FQ","FILING_STATUS=OR","EQY_CONSOLIDATED=Y","FA_ADJUSTED=GAAP","Sort=A","Dates=H","DateFormat=P","Fill=—","Direction=H","UseDPDF=Y")</f>
        <v>#NAME?</v>
      </c>
      <c r="H104" t="e">
        <f ca="1">_xll.BDH($C$103,"RETURN_ON_CAP","FQ1 2014","FQ1 2014","Currency=INR","Period=FQ","BEST_FPERIOD_OVERRIDE=FQ","FILING_STATUS=OR","EQY_CONSOLIDATED=Y","FA_ADJUSTED=GAAP","Sort=A","Dates=H","DateFormat=P","Fill=—","Direction=H","UseDPDF=Y")</f>
        <v>#NAME?</v>
      </c>
      <c r="I104" t="e">
        <f ca="1">_xll.BDH($C$103,"RETURN_ON_INV_CAPITAL","FQ1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04" t="e">
        <f ca="1">_xll.BDH($C$103,"EBITDA_TO_REVENUE","FQ1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04" t="e">
        <f ca="1">_xll.BDH($C$103,"OPER_MARGIN","FQ1 2014","FQ1 2014","Currency=INR","Period=FQ","BEST_FPERIOD_OVERRIDE=FQ","FILING_STATUS=OR","EQY_CONSOLIDATED=Y","FA_ADJUSTED=GAAP","Sort=A","Dates=H","DateFormat=P","Fill=—","Direction=H","UseDPDF=Y")</f>
        <v>#NAME?</v>
      </c>
      <c r="L104" t="e">
        <f ca="1">_xll.BDH($C$103,"INCREMENTAL_OPERATING_MARGIN","FQ1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04" t="e">
        <f ca="1">_xll.BDH($C$103,"PRETAX_INC_TO_NET_SALES","FQ1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04" t="e">
        <f ca="1">_xll.BDH($C$103,"INC_BEF_XO_ITEMS_TO_NET_SALES","FQ1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04" t="e">
        <f ca="1">_xll.BDH($C$103,"PROF_MARGIN","FQ1 2014","FQ1 2014","Currency=INR","Period=FQ","BEST_FPERIOD_OVERRIDE=FQ","FILING_STATUS=OR","EQY_CONSOLIDATED=Y","FA_ADJUSTED=GAAP","Sort=A","Dates=H","DateFormat=P","Fill=—","Direction=H","UseDPDF=Y")</f>
        <v>#NAME?</v>
      </c>
      <c r="P104" t="e">
        <f ca="1">_xll.BDH($C$103,"NET_INCOME_TO_COMMON_MARGIN","FQ1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04" t="e">
        <f ca="1">_xll.BDH($C$103,"EFF_TAX_RATE","FQ1 2014","FQ1 2014","Currency=INR","Period=FQ","BEST_FPERIOD_OVERRIDE=FQ","FILING_STATUS=OR","EQY_CONSOLIDATED=Y","FA_ADJUSTED=GAAP","Sort=A","Dates=H","DateFormat=P","Fill=—","Direction=H","UseDPDF=Y")</f>
        <v>#NAME?</v>
      </c>
      <c r="R104" t="e">
        <f ca="1">_xll.BDH($C$103,"DVD_PAYOUT_RATIO","FQ1 2014","FQ1 2014","Currency=INR","Period=FQ","BEST_FPERIOD_OVERRIDE=FQ","FILING_STATUS=OR","EQY_CONSOLIDATED=Y","FA_ADJUSTED=GAAP","Sort=A","Dates=H","DateFormat=P","Fill=—","Direction=H","UseDPDF=Y")</f>
        <v>#NAME?</v>
      </c>
      <c r="S104" t="e">
        <f ca="1">_xll.BDH($C$103,"SUSTAIN_GROWTH_RT","FQ1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04" s="2" t="e">
        <f ca="1">_xll.BDH($C$103,"SALES_GROWTH","FQ1 2014","FQ1 2014","Currency=INR","Period=FQ","BEST_FPERIOD_OVERRIDE=FQ","FILING_STATUS=OR","EQY_CONSOLIDATED=Y","FA_ADJUSTED=GAAP","Sort=A","Dates=H","DateFormat=P","Fill=—","Direction=H","UseDPDF=Y")</f>
        <v>#NAME?</v>
      </c>
      <c r="U104" s="2" t="e">
        <f ca="1">_xll.BDH($C$103,"EBITDA_GROWTH","FQ1 2014","FQ1 2014","Currency=INR","Period=FQ","BEST_FPERIOD_OVERRIDE=FQ","FILING_STATUS=OR","EQY_CONSOLIDATED=Y","FA_ADJUSTED=GAAP","Sort=A","Dates=H","DateFormat=P","Fill=—","Direction=H","UseDPDF=Y")</f>
        <v>#NAME?</v>
      </c>
      <c r="V104" s="2" t="e">
        <f ca="1">_xll.BDH($C$103,"OPER_INC_GROWTH","FQ1 2014","FQ1 2014","Currency=INR","Period=FQ","BEST_FPERIOD_OVERRIDE=FQ","FILING_STATUS=OR","EQY_CONSOLIDATED=Y","FA_ADJUSTED=GAAP","Sort=A","Dates=H","DateFormat=P","Fill=—","Direction=H","UseDPDF=Y")</f>
        <v>#NAME?</v>
      </c>
      <c r="W104" s="2" t="e">
        <f ca="1">_xll.BDH($C$103,"EARN_FOR_COM_GROWTH","FQ1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04" s="2" t="e">
        <f ca="1">_xll.BDH($C$103,"DILUTED_EPS_AFT_XO_ITEMS_GROWTH","FQ1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04" s="2" t="e">
        <f ca="1">_xll.BDH($C$103,"DIVIDEND_PER_SHARE_1_YEAR_GROWTH","FQ1 2014","FQ1 2014","Currency=INR","Period=FQ","BEST_FPERIOD_OVERRIDE=FQ","FILING_STATUS=OR","EQY_CONSOLIDATED=Y","Sort=A","Dates=H","DateFormat=P","Fill=—","Direction=H","UseDPDF=Y")</f>
        <v>#NAME?</v>
      </c>
      <c r="Z104" s="2" t="e">
        <f ca="1">_xll.BDH($C$103,"ACCOUNTS_RECEIVABLE_GROWTH","FQ1 2014","FQ1 2014","Currency=INR","Period=FQ","BEST_FPERIOD_OVERRIDE=FQ","FILING_STATUS=OR","EQY_CONSOLIDATED=Y","Sort=A","Dates=H","DateFormat=P","Fill=—","Direction=H","UseDPDF=Y")</f>
        <v>#NAME?</v>
      </c>
      <c r="AA104" s="2" t="e">
        <f ca="1">_xll.BDH($C$103,"INVENTORY_GROWTH","FQ1 2014","FQ1 2014","Currency=INR","Period=FQ","BEST_FPERIOD_OVERRIDE=FQ","FILING_STATUS=OR","EQY_CONSOLIDATED=Y","Sort=A","Dates=H","DateFormat=P","Fill=—","Direction=H","UseDPDF=Y")</f>
        <v>#NAME?</v>
      </c>
      <c r="AB104" s="2" t="e">
        <f ca="1">_xll.BDH($C$103,"NET_FIXED_ASSETS_1_YEAR_GROWTH","FQ1 2014","FQ1 2014","Currency=INR","Period=FQ","BEST_FPERIOD_OVERRIDE=FQ","FILING_STATUS=OR","EQY_CONSOLIDATED=Y","Sort=A","Dates=H","DateFormat=P","Fill=—","Direction=H","UseDPDF=Y")</f>
        <v>#NAME?</v>
      </c>
      <c r="AC104" s="2" t="e">
        <f ca="1">_xll.BDH($C$103,"ASSET_GROWTH","FQ1 2014","FQ1 2014","Currency=INR","Period=FQ","BEST_FPERIOD_OVERRIDE=FQ","FILING_STATUS=OR","EQY_CONSOLIDATED=Y","Sort=A","Dates=H","DateFormat=P","Fill=—","Direction=H","UseDPDF=Y")</f>
        <v>#NAME?</v>
      </c>
      <c r="AD104" s="2" t="e">
        <f ca="1">_xll.BDH($C$103,"MODIFIED_WORK_CAP_GROWTH","FQ1 2014","FQ1 2014","Currency=INR","Period=FQ","BEST_FPERIOD_OVERRIDE=FQ","FILING_STATUS=OR","EQY_CONSOLIDATED=Y","Sort=A","Dates=H","DateFormat=P","Fill=—","Direction=H","UseDPDF=Y")</f>
        <v>#NAME?</v>
      </c>
      <c r="AE104" s="2" t="e">
        <f ca="1">_xll.BDH($C$103,"WORK_CAP_GROWTH","FQ1 2014","FQ1 2014","Currency=INR","Period=FQ","BEST_FPERIOD_OVERRIDE=FQ","FILING_STATUS=OR","EQY_CONSOLIDATED=Y","Sort=A","Dates=H","DateFormat=P","Fill=—","Direction=H","UseDPDF=Y")</f>
        <v>#NAME?</v>
      </c>
      <c r="AF104" s="2" t="e">
        <f ca="1">_xll.BDH($C$103,"ACCOUNTS_PAYABLE_GROWTH_1YR","FQ1 2014","FQ1 2014","Currency=INR","Period=FQ","BEST_FPERIOD_OVERRIDE=FQ","FILING_STATUS=OR","EQY_CONSOLIDATED=Y","Sort=A","Dates=H","DateFormat=P","Fill=—","Direction=H","UseDPDF=Y")</f>
        <v>#NAME?</v>
      </c>
      <c r="AG104" s="2" t="e">
        <f ca="1">_xll.BDH($C$103,"SHORT_TERM_DEBT_1_YEAR_GROWTH","FQ1 2014","FQ1 2014","Currency=INR","Period=FQ","BEST_FPERIOD_OVERRIDE=FQ","FILING_STATUS=OR","EQY_CONSOLIDATED=Y","Sort=A","Dates=H","DateFormat=P","Fill=—","Direction=H","UseDPDF=Y")</f>
        <v>#NAME?</v>
      </c>
      <c r="AH104" s="2" t="e">
        <f ca="1">_xll.BDH($C$103,"TOTAL_DEBT_1_YEAR_GROWTH","FQ1 2014","FQ1 2014","Currency=INR","Period=FQ","BEST_FPERIOD_OVERRIDE=FQ","FILING_STATUS=OR","EQY_CONSOLIDATED=Y","Sort=A","Dates=H","DateFormat=P","Fill=—","Direction=H","UseDPDF=Y")</f>
        <v>#NAME?</v>
      </c>
      <c r="AI104" s="2" t="e">
        <f ca="1">_xll.BDH($C$103,"TOTAL_EQUITY_1_YEAR_GROWTH","FQ1 2014","FQ1 2014","Currency=INR","Period=FQ","BEST_FPERIOD_OVERRIDE=FQ","FILING_STATUS=OR","EQY_CONSOLIDATED=Y","Sort=A","Dates=H","DateFormat=P","Fill=—","Direction=H","UseDPDF=Y")</f>
        <v>#NAME?</v>
      </c>
      <c r="AJ104" s="2" t="e">
        <f ca="1">_xll.BDH($C$103,"GROWTH_IN_CAP","FQ1 2014","FQ1 2014","Currency=INR","Period=FQ","BEST_FPERIOD_OVERRIDE=FQ","FILING_STATUS=OR","EQY_CONSOLIDATED=Y","Sort=A","Dates=H","DateFormat=P","Fill=—","Direction=H","UseDPDF=Y")</f>
        <v>#NAME?</v>
      </c>
      <c r="AK104" s="2" t="e">
        <f ca="1">_xll.BDH($C$103,"BVPS_GROWTH","FQ1 2014","FQ1 2014","Currency=INR","Period=FQ","BEST_FPERIOD_OVERRIDE=FQ","FILING_STATUS=OR","EQY_CONSOLIDATED=Y","Sort=A","Dates=H","DateFormat=P","Fill=—","Direction=H","UseDPDF=Y")</f>
        <v>#NAME?</v>
      </c>
      <c r="AL104" s="2" t="e">
        <f ca="1">_xll.BDH($C$103,"CASH_FLOW_GROWTH","FQ1 2014","FQ1 2014","Currency=INR","Period=FQ","BEST_FPERIOD_OVERRIDE=FQ","FILING_STATUS=OR","EQY_CONSOLIDATED=Y","Sort=A","Dates=H","DateFormat=P","Fill=—","Direction=H","UseDPDF=Y")</f>
        <v>#NAME?</v>
      </c>
      <c r="AM104" s="2" t="e">
        <f ca="1">_xll.BDH($C$103,"GEO_GROW_NET_SALES","FQ1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04" s="2" t="e">
        <f ca="1">_xll.BDH($C$103,"GEO_GROW_EBITDA","FQ1 2014","FQ1 2014","Currency=INR","Period=FQ","BEST_FPERIOD_OVERRIDE=FQ","FILING_STATUS=OR","EQY_CONSOLIDATED=Y","FA_ADJUSTED=GAAP","Sort=A","Dates=H","DateFormat=P","Fill=—","Direction=H","UseDPDF=Y")</f>
        <v>#NAME?</v>
      </c>
      <c r="AO104" s="2" t="e">
        <f ca="1">_xll.BDH($C$103,"GEO_GROW_OPER_INC","FQ1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04" s="2" t="e">
        <f ca="1">_xll.BDH($C$103,"NET_INCOME_TO_COMMON_5_YR_GROWTH","FQ1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04" s="2" t="e">
        <f ca="1">_xll.BDH($C$103,"5Y_GEO_GROWTH_DILUTED_EPS","FQ1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04" s="2" t="e">
        <f ca="1">_xll.BDH($C$103,"GEO_GROW_DVD_PER_SH","FQ1 2014","FQ1 2014","Currency=INR","Period=FQ","BEST_FPERIOD_OVERRIDE=FQ","FILING_STATUS=OR","EQY_CONSOLIDATED=Y","Sort=A","Dates=H","DateFormat=P","Fill=—","Direction=H","UseDPDF=Y")</f>
        <v>#NAME?</v>
      </c>
      <c r="AS104" s="2" t="e">
        <f ca="1">_xll.BDH($C$103,"ACCOUNTS_RECEIVABLE_5_YR_GROWTH","FQ1 2014","FQ1 2014","Currency=INR","Period=FQ","BEST_FPERIOD_OVERRIDE=FQ","FILING_STATUS=OR","EQY_CONSOLIDATED=Y","Sort=A","Dates=H","DateFormat=P","Fill=—","Direction=H","UseDPDF=Y")</f>
        <v>#NAME?</v>
      </c>
      <c r="AT104" s="2" t="e">
        <f ca="1">_xll.BDH($C$103,"INVENTORY_5_YEAR_GROWTH","FQ1 2014","FQ1 2014","Currency=INR","Period=FQ","BEST_FPERIOD_OVERRIDE=FQ","FILING_STATUS=OR","EQY_CONSOLIDATED=Y","Sort=A","Dates=H","DateFormat=P","Fill=—","Direction=H","UseDPDF=Y")</f>
        <v>#NAME?</v>
      </c>
      <c r="AU104" s="2" t="e">
        <f ca="1">_xll.BDH($C$103,"NET_FIXED_ASSETS_5_YEAR_GROWTH","FQ1 2014","FQ1 2014","Currency=INR","Period=FQ","BEST_FPERIOD_OVERRIDE=FQ","FILING_STATUS=OR","EQY_CONSOLIDATED=Y","Sort=A","Dates=H","DateFormat=P","Fill=—","Direction=H","UseDPDF=Y")</f>
        <v>#NAME?</v>
      </c>
      <c r="AV104" s="2" t="e">
        <f ca="1">_xll.BDH($C$103,"GEO_GROW_TOT_ASSET","FQ1 2014","FQ1 2014","Currency=INR","Period=FQ","BEST_FPERIOD_OVERRIDE=FQ","FILING_STATUS=OR","EQY_CONSOLIDATED=Y","Sort=A","Dates=H","DateFormat=P","Fill=—","Direction=H","UseDPDF=Y")</f>
        <v>#NAME?</v>
      </c>
      <c r="AW104" s="2" t="e">
        <f ca="1">_xll.BDH($C$103,"MODIFIED_WORKING_CPTL_5YR_GRWTH","FQ1 2014","FQ1 2014","Currency=INR","Period=FQ","BEST_FPERIOD_OVERRIDE=FQ","FILING_STATUS=OR","EQY_CONSOLIDATED=Y","Sort=A","Dates=H","DateFormat=P","Fill=—","Direction=H","UseDPDF=Y")</f>
        <v>#NAME?</v>
      </c>
      <c r="AX104" s="2" t="e">
        <f ca="1">_xll.BDH($C$103,"WORKING_CAPITAL_5_YEAR_GROWTH","FQ1 2014","FQ1 2014","Currency=INR","Period=FQ","BEST_FPERIOD_OVERRIDE=FQ","FILING_STATUS=OR","EQY_CONSOLIDATED=Y","Sort=A","Dates=H","DateFormat=P","Fill=—","Direction=H","UseDPDF=Y")</f>
        <v>#NAME?</v>
      </c>
      <c r="AY104" s="2" t="e">
        <f ca="1">_xll.BDH($C$103,"ACCOUNTS_PAYABLE_5_YEAR_GROWTH","FQ1 2014","FQ1 2014","Currency=INR","Period=FQ","BEST_FPERIOD_OVERRIDE=FQ","FILING_STATUS=OR","EQY_CONSOLIDATED=Y","Sort=A","Dates=H","DateFormat=P","Fill=—","Direction=H","UseDPDF=Y")</f>
        <v>#NAME?</v>
      </c>
      <c r="AZ104" s="2" t="e">
        <f ca="1">_xll.BDH($C$103,"SHORT_TERM_DEBT_5_YEAR_GROWTH","FQ1 2014","FQ1 2014","Currency=INR","Period=FQ","BEST_FPERIOD_OVERRIDE=FQ","FILING_STATUS=OR","EQY_CONSOLIDATED=Y","Sort=A","Dates=H","DateFormat=P","Fill=—","Direction=H","UseDPDF=Y")</f>
        <v>#NAME?</v>
      </c>
      <c r="BA104" s="2" t="e">
        <f ca="1">_xll.BDH($C$103,"TOTAL_DEBT_5_YEAR_GROWTH","FQ1 2014","FQ1 2014","Currency=INR","Period=FQ","BEST_FPERIOD_OVERRIDE=FQ","FILING_STATUS=OR","EQY_CONSOLIDATED=Y","Sort=A","Dates=H","DateFormat=P","Fill=—","Direction=H","UseDPDF=Y")</f>
        <v>#NAME?</v>
      </c>
      <c r="BB104" s="2" t="e">
        <f ca="1">_xll.BDH($C$103,"GEO_GROW_TOT_SHRHLDR_EQY","FQ1 2014","FQ1 2014","Currency=INR","Period=FQ","BEST_FPERIOD_OVERRIDE=FQ","FILING_STATUS=OR","EQY_CONSOLIDATED=Y","Sort=A","Dates=H","DateFormat=P","Fill=—","Direction=H","UseDPDF=Y")</f>
        <v>#NAME?</v>
      </c>
      <c r="BC104" s="2" t="e">
        <f ca="1">_xll.BDH($C$103,"TOTAL_CAPITAL_5_YEAR_GROWTH","FQ1 2014","FQ1 2014","Currency=INR","Period=FQ","BEST_FPERIOD_OVERRIDE=FQ","FILING_STATUS=OR","EQY_CONSOLIDATED=Y","Sort=A","Dates=H","DateFormat=P","Fill=—","Direction=H","UseDPDF=Y")</f>
        <v>#NAME?</v>
      </c>
      <c r="BD104" s="2" t="e">
        <f ca="1">_xll.BDH($C$103,"GEO_GROW_BOOK_VAL","FQ1 2014","FQ1 2014","Currency=INR","Period=FQ","BEST_FPERIOD_OVERRIDE=FQ","FILING_STATUS=OR","EQY_CONSOLIDATED=Y","Sort=A","Dates=H","DateFormat=P","Fill=—","Direction=H","UseDPDF=Y")</f>
        <v>#NAME?</v>
      </c>
      <c r="BE104" s="2" t="e">
        <f ca="1">_xll.BDH($C$103,"GEO_GROW_CASH_OPER_ACT","FQ1 2014","FQ1 2014","Currency=INR","Period=FQ","BEST_FPERIOD_OVERRIDE=FQ","FILING_STATUS=OR","EQY_CONSOLIDATED=Y","Sort=A","Dates=H","DateFormat=P","Fill=—","Direction=H","UseDPDF=Y")</f>
        <v>#NAME?</v>
      </c>
      <c r="BF104" s="2" t="e">
        <f ca="1">_xll.BDH($C$103,"REVENUE_SEQUENTIAL_GROWTH","FQ1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04" s="2" t="e">
        <f ca="1">_xll.BDH($C$103,"EBITDA_SEQUENTIAL_GROWTH","FQ1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04" s="2" t="e">
        <f ca="1">_xll.BDH($C$103,"OPERATING_INCOME_SEQ_GROWTH","FQ1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04" s="2" t="e">
        <f ca="1">_xll.BDH($C$103,"NET_INCOME_TO_COMMON_SEQ_GROWTH","FQ1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04" s="2" t="e">
        <f ca="1">_xll.BDH($C$103,"EPS_DILUTED_SEQUENTIAL_GROWTH","FQ1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04" s="2" t="e">
        <f ca="1">_xll.BDH($C$103,"DPS_SEQUENTIAL_GROWTH","FQ1 2014","FQ1 2014","Currency=INR","Period=FQ","BEST_FPERIOD_OVERRIDE=FQ","FILING_STATUS=OR","EQY_CONSOLIDATED=Y","Sort=A","Dates=H","DateFormat=P","Fill=—","Direction=H","UseDPDF=Y")</f>
        <v>#NAME?</v>
      </c>
      <c r="BL104" s="2" t="e">
        <f ca="1">_xll.BDH($C$103,"ACCOUNTS_RECEIVABLE_SEQ_GROWTH","FQ1 2014","FQ1 2014","Currency=INR","Period=FQ","BEST_FPERIOD_OVERRIDE=FQ","FILING_STATUS=OR","EQY_CONSOLIDATED=Y","Sort=A","Dates=H","DateFormat=P","Fill=—","Direction=H","UseDPDF=Y")</f>
        <v>#NAME?</v>
      </c>
      <c r="BM104" s="2" t="e">
        <f ca="1">_xll.BDH($C$103,"INVENTORY_SEQUENTIAL_GROWTH","FQ1 2014","FQ1 2014","Currency=INR","Period=FQ","BEST_FPERIOD_OVERRIDE=FQ","FILING_STATUS=OR","EQY_CONSOLIDATED=Y","Sort=A","Dates=H","DateFormat=P","Fill=—","Direction=H","UseDPDF=Y")</f>
        <v>#NAME?</v>
      </c>
      <c r="BN104" s="2" t="e">
        <f ca="1">_xll.BDH($C$103,"FIXED_ASSETS_SEQUENTIAL_GROWTH","FQ1 2014","FQ1 2014","Currency=INR","Period=FQ","BEST_FPERIOD_OVERRIDE=FQ","FILING_STATUS=OR","EQY_CONSOLIDATED=Y","Sort=A","Dates=H","DateFormat=P","Fill=—","Direction=H","UseDPDF=Y")</f>
        <v>#NAME?</v>
      </c>
      <c r="BO104" s="2" t="e">
        <f ca="1">_xll.BDH($C$103,"TOTAL_ASSETS_SEQUENTIAL_GROWTH","FQ1 2014","FQ1 2014","Currency=INR","Period=FQ","BEST_FPERIOD_OVERRIDE=FQ","FILING_STATUS=OR","EQY_CONSOLIDATED=Y","Sort=A","Dates=H","DateFormat=P","Fill=—","Direction=H","UseDPDF=Y")</f>
        <v>#NAME?</v>
      </c>
      <c r="BP104" s="2" t="e">
        <f ca="1">_xll.BDH($C$103,"MODIFIED_WORKING_CPTL_SEQ_GRWTH","FQ1 2014","FQ1 2014","Currency=INR","Period=FQ","BEST_FPERIOD_OVERRIDE=FQ","FILING_STATUS=OR","EQY_CONSOLIDATED=Y","Sort=A","Dates=H","DateFormat=P","Fill=—","Direction=H","UseDPDF=Y")</f>
        <v>#NAME?</v>
      </c>
      <c r="BQ104" s="2" t="e">
        <f ca="1">_xll.BDH($C$103,"WORKING_CAPITAL_SEQ_GROWTH","FQ1 2014","FQ1 2014","Currency=INR","Period=FQ","BEST_FPERIOD_OVERRIDE=FQ","FILING_STATUS=OR","EQY_CONSOLIDATED=Y","Sort=A","Dates=H","DateFormat=P","Fill=—","Direction=H","UseDPDF=Y")</f>
        <v>#NAME?</v>
      </c>
      <c r="BR104" s="2" t="e">
        <f ca="1">_xll.BDH($C$103,"ACCOUNTS_PAYABLE_SEQ_GROWTH","FQ1 2014","FQ1 2014","Currency=INR","Period=FQ","BEST_FPERIOD_OVERRIDE=FQ","FILING_STATUS=OR","EQY_CONSOLIDATED=Y","Sort=A","Dates=H","DateFormat=P","Fill=—","Direction=H","UseDPDF=Y")</f>
        <v>#NAME?</v>
      </c>
      <c r="BS104" s="2" t="e">
        <f ca="1">_xll.BDH($C$103,"ST_DEBT_SEQUENTIAL_GROWTH","FQ1 2014","FQ1 2014","Currency=INR","Period=FQ","BEST_FPERIOD_OVERRIDE=FQ","FILING_STATUS=OR","EQY_CONSOLIDATED=Y","Sort=A","Dates=H","DateFormat=P","Fill=—","Direction=H","UseDPDF=Y")</f>
        <v>#NAME?</v>
      </c>
      <c r="BT104" s="2" t="e">
        <f ca="1">_xll.BDH($C$103,"TOTAL_DEBT_SEQUENTIAL_GROWTH","FQ1 2014","FQ1 2014","Currency=INR","Period=FQ","BEST_FPERIOD_OVERRIDE=FQ","FILING_STATUS=OR","EQY_CONSOLIDATED=Y","Sort=A","Dates=H","DateFormat=P","Fill=—","Direction=H","UseDPDF=Y")</f>
        <v>#NAME?</v>
      </c>
      <c r="BU104" s="2" t="e">
        <f ca="1">_xll.BDH($C$103,"TOTAL_EQUITY_SEQUENTIAL_GROWTH","FQ1 2014","FQ1 2014","Currency=INR","Period=FQ","BEST_FPERIOD_OVERRIDE=FQ","FILING_STATUS=OR","EQY_CONSOLIDATED=Y","Sort=A","Dates=H","DateFormat=P","Fill=—","Direction=H","UseDPDF=Y")</f>
        <v>#NAME?</v>
      </c>
      <c r="BV104" s="2" t="e">
        <f ca="1">_xll.BDH($C$103,"TOTAL_CAPITAL_SEQUENTIAL_GROWTH","FQ1 2014","FQ1 2014","Currency=INR","Period=FQ","BEST_FPERIOD_OVERRIDE=FQ","FILING_STATUS=OR","EQY_CONSOLIDATED=Y","Sort=A","Dates=H","DateFormat=P","Fill=—","Direction=H","UseDPDF=Y")</f>
        <v>#NAME?</v>
      </c>
      <c r="BW104" s="2" t="e">
        <f ca="1">_xll.BDH($C$103,"BPS_SEQUENTIAL_GROWTH","FQ1 2014","FQ1 2014","Currency=INR","Period=FQ","BEST_FPERIOD_OVERRIDE=FQ","FILING_STATUS=OR","EQY_CONSOLIDATED=Y","Sort=A","Dates=H","DateFormat=P","Fill=—","Direction=H","UseDPDF=Y")</f>
        <v>#NAME?</v>
      </c>
      <c r="BX104" s="2" t="e">
        <f ca="1">_xll.BDH($C$103,"CFO_SEQUENTIAL_GROWTH","FQ1 2014","FQ1 2014","Currency=INR","Period=FQ","BEST_FPERIOD_OVERRIDE=FQ","FILING_STATUS=OR","EQY_CONSOLIDATED=Y","Sort=A","Dates=H","DateFormat=P","Fill=—","Direction=H","UseDPDF=Y")</f>
        <v>#NAME?</v>
      </c>
      <c r="BY104" s="3" t="e">
        <f ca="1">_xll.BDH($C$103,"SHORT_AND_LONG_TERM_DEBT","FQ1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04" s="3" t="e">
        <f ca="1">_xll.BDH($C$103,"BS_ST_BORROW","FQ1 2014","FQ1 2014","Currency=INR","Period=FQ","BEST_FPERIOD_OVERRIDE=FQ","FILING_STATUS=OR","EQY_CONSOLIDATED=Y","SCALING_FORMAT=MLN","Sort=A","Dates=H","DateFormat=P","Fill=—","Direction=H","UseDPDF=Y")</f>
        <v>#NAME?</v>
      </c>
      <c r="CA104" s="3" t="e">
        <f ca="1">_xll.BDH($C$103,"BS_LT_BORROW","FQ1 2014","FQ1 2014","Currency=INR","Period=FQ","BEST_FPERIOD_OVERRIDE=FQ","FILING_STATUS=OR","EQY_CONSOLIDATED=Y","SCALING_FORMAT=MLN","Sort=A","Dates=H","DateFormat=P","Fill=—","Direction=H","UseDPDF=Y")</f>
        <v>#NAME?</v>
      </c>
      <c r="CB104" s="2" t="e">
        <f ca="1">_xll.BDH($C$103,"TOT_DEBT_TO_EBITDA","FQ1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04" s="2" t="e">
        <f ca="1">_xll.BDH($C$103,"NET_DEBT_TO_EBITDA","FQ1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04" s="2" t="e">
        <f ca="1">_xll.BDH($C$103,"TOTAL_DEBT_TO_EBIT","FQ1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04" s="2" t="e">
        <f ca="1">_xll.BDH($C$103,"NET_DEBT_TO_EBIT","FQ1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04" s="2" t="e">
        <f ca="1">_xll.BDH($C$103,"EBITDA_TO_INTEREST_EXPN","FQ1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04" s="2" t="e">
        <f ca="1">_xll.BDH($C$103,"COM_EQY_TO_TOT_ASSET","FQ1 2014","FQ1 2014","Currency=INR","Period=FQ","BEST_FPERIOD_OVERRIDE=FQ","FILING_STATUS=OR","EQY_CONSOLIDATED=Y","Sort=A","Dates=H","DateFormat=P","Fill=—","Direction=H","UseDPDF=Y")</f>
        <v>#NAME?</v>
      </c>
      <c r="CH104" s="2" t="e">
        <f ca="1">_xll.BDH($C$103,"LT_DEBT_TO_TOT_EQY","FQ1 2014","FQ1 2014","Currency=INR","Period=FQ","BEST_FPERIOD_OVERRIDE=FQ","FILING_STATUS=OR","EQY_CONSOLIDATED=Y","Sort=A","Dates=H","DateFormat=P","Fill=—","Direction=H","UseDPDF=Y")</f>
        <v>#NAME?</v>
      </c>
      <c r="CI104" s="2" t="e">
        <f ca="1">_xll.BDH($C$103,"LT_DEBT_TO_TOT_CAP","FQ1 2014","FQ1 2014","Currency=INR","Period=FQ","BEST_FPERIOD_OVERRIDE=FQ","FILING_STATUS=OR","EQY_CONSOLIDATED=Y","Sort=A","Dates=H","DateFormat=P","Fill=—","Direction=H","UseDPDF=Y")</f>
        <v>#NAME?</v>
      </c>
      <c r="CJ104" s="2" t="e">
        <f ca="1">_xll.BDH($C$103,"LT_DEBT_TO_TOT_ASSET","FQ1 2014","FQ1 2014","Currency=INR","Period=FQ","BEST_FPERIOD_OVERRIDE=FQ","FILING_STATUS=OR","EQY_CONSOLIDATED=Y","Sort=A","Dates=H","DateFormat=P","Fill=—","Direction=H","UseDPDF=Y")</f>
        <v>#NAME?</v>
      </c>
      <c r="CK104" s="2" t="e">
        <f ca="1">_xll.BDH($C$103,"TOT_DEBT_TO_TOT_EQY","FQ1 2014","FQ1 2014","Currency=INR","Period=FQ","BEST_FPERIOD_OVERRIDE=FQ","FILING_STATUS=OR","EQY_CONSOLIDATED=Y","Sort=A","Dates=H","DateFormat=P","Fill=—","Direction=H","UseDPDF=Y")</f>
        <v>#NAME?</v>
      </c>
      <c r="CL104" s="2" t="e">
        <f ca="1">_xll.BDH($C$103,"TOT_DEBT_TO_TOT_CAP","FQ1 2014","FQ1 2014","Currency=INR","Period=FQ","BEST_FPERIOD_OVERRIDE=FQ","FILING_STATUS=OR","EQY_CONSOLIDATED=Y","Sort=A","Dates=H","DateFormat=P","Fill=—","Direction=H","UseDPDF=Y")</f>
        <v>#NAME?</v>
      </c>
      <c r="CM104" s="2" t="e">
        <f ca="1">_xll.BDH($C$103,"TOT_DEBT_TO_TOT_ASSET","FQ1 2014","FQ1 2014","Currency=INR","Period=FQ","BEST_FPERIOD_OVERRIDE=FQ","FILING_STATUS=OR","EQY_CONSOLIDATED=Y","Sort=A","Dates=H","DateFormat=P","Fill=—","Direction=H","UseDPDF=Y")</f>
        <v>#NAME?</v>
      </c>
      <c r="CN104" s="2" t="e">
        <f ca="1">_xll.BDH($C$103,"NET_DEBT_TO_SHRHLDR_EQTY","FQ1 2014","FQ1 2014","Currency=INR","Period=FQ","BEST_FPERIOD_OVERRIDE=FQ","FILING_STATUS=OR","EQY_CONSOLIDATED=Y","Sort=A","Dates=H","DateFormat=P","Fill=—","Direction=H","UseDPDF=Y")</f>
        <v>#NAME?</v>
      </c>
      <c r="CO104" s="2" t="e">
        <f ca="1">_xll.BDH($C$103,"NET_DEBT_%_CAPITAL","FQ1 2014","FQ1 2014","Currency=INR","Period=FQ","BEST_FPERIOD_OVERRIDE=FQ","FILING_STATUS=OR","EQY_CONSOLIDATED=Y","Sort=A","Dates=H","DateFormat=P","Fill=—","Direction=H","UseDPDF=Y")</f>
        <v>#NAME?</v>
      </c>
      <c r="CP104" s="3" t="e">
        <f ca="1">_xll.BDH($C$103,"EBITDA","FQ1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04" s="3" t="e">
        <f ca="1">_xll.BDH($C$103,"EBITDA_AFTER_CAPEX","FQ1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04" s="3" t="e">
        <f ca="1">_xll.BDH($C$103,"IS_OPER_INC","FQ1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04" s="2" t="e">
        <f ca="1">_xll.BDH($C$103,"CASH_RATIO","FQ1 2014","FQ1 2014","Currency=INR","Period=FQ","BEST_FPERIOD_OVERRIDE=FQ","FILING_STATUS=OR","EQY_CONSOLIDATED=Y","Sort=A","Dates=H","DateFormat=P","Fill=—","Direction=H","UseDPDF=Y")</f>
        <v>#NAME?</v>
      </c>
      <c r="CT104" s="2" t="e">
        <f ca="1">_xll.BDH($C$103,"CUR_RATIO","FQ1 2014","FQ1 2014","Currency=INR","Period=FQ","BEST_FPERIOD_OVERRIDE=FQ","FILING_STATUS=OR","EQY_CONSOLIDATED=Y","Sort=A","Dates=H","DateFormat=P","Fill=—","Direction=H","UseDPDF=Y")</f>
        <v>#NAME?</v>
      </c>
      <c r="CU104" s="2" t="e">
        <f ca="1">_xll.BDH($C$103,"QUICK_RATIO","FQ1 2014","FQ1 2014","Currency=INR","Period=FQ","BEST_FPERIOD_OVERRIDE=FQ","FILING_STATUS=OR","EQY_CONSOLIDATED=Y","Sort=A","Dates=H","DateFormat=P","Fill=—","Direction=H","UseDPDF=Y")</f>
        <v>#NAME?</v>
      </c>
      <c r="CV104" s="2" t="e">
        <f ca="1">_xll.BDH($C$103,"ALTMAN_Z_SCORE","FQ1 2014","FQ1 2014","Currency=INR","Period=FQ","BEST_FPERIOD_OVERRIDE=FQ","FILING_STATUS=OR","EQY_CONSOLIDATED=Y","Sort=A","Dates=H","DateFormat=P","Fill=—","Direction=H","UseDPDF=Y")</f>
        <v>#NAME?</v>
      </c>
      <c r="CW104" s="4" t="e">
        <f ca="1">_xll.BDH($C$103,"ACCT_RCV_TURN","FQ1 2014","FQ1 2014","Currency=INR","Period=FQ","BEST_FPERIOD_OVERRIDE=FQ","FILING_STATUS=OR","EQY_CONSOLIDATED=Y","FA_ADJUSTED=GAAP","Sort=A","Dates=H","DateFormat=P","Fill=—","Direction=H","UseDPDF=Y")</f>
        <v>#NAME?</v>
      </c>
      <c r="CX104" s="2" t="e">
        <f ca="1">_xll.BDH($C$103,"ACCT_RCV_DAYS","FQ1 2014","FQ1 2014","Currency=INR","Period=FQ","BEST_FPERIOD_OVERRIDE=FQ","FILING_STATUS=OR","EQY_CONSOLIDATED=Y","FA_ADJUSTED=GAAP","Sort=A","Dates=H","DateFormat=P","Fill=—","Direction=H","UseDPDF=Y")</f>
        <v>#NAME?</v>
      </c>
      <c r="CY104" s="4" t="e">
        <f ca="1">_xll.BDH($C$103,"INVENT_TURN","FQ1 2014","FQ1 2014","Currency=INR","Period=FQ","BEST_FPERIOD_OVERRIDE=FQ","FILING_STATUS=OR","EQY_CONSOLIDATED=Y","FA_ADJUSTED=GAAP","Sort=A","Dates=H","DateFormat=P","Fill=—","Direction=H","UseDPDF=Y")</f>
        <v>#NAME?</v>
      </c>
      <c r="CZ104" s="2" t="e">
        <f ca="1">_xll.BDH($C$103,"INVENT_DAYS","FQ1 2014","FQ1 2014","Currency=INR","Period=FQ","BEST_FPERIOD_OVERRIDE=FQ","FILING_STATUS=OR","EQY_CONSOLIDATED=Y","FA_ADJUSTED=GAAP","Sort=A","Dates=H","DateFormat=P","Fill=—","Direction=H","UseDPDF=Y")</f>
        <v>#NAME?</v>
      </c>
      <c r="DA104" s="4" t="e">
        <f ca="1">_xll.BDH($C$103,"ACCOUNTS_PAYABLE_TURNOVER","FQ1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04" s="2" t="e">
        <f ca="1">_xll.BDH($C$103,"ACCOUNTS_PAYABLE_TURNOVER_DAYS","FQ1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04" s="4" t="e">
        <f ca="1">_xll.BDH($C$103,"CASH_CONVERSION_CYCLE","FQ1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04" s="4" t="e">
        <f ca="1">_xll.BDH($C$103,"INV_TO_CASH_DAYS","FQ1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04" s="5" t="e">
        <f ca="1">_xll.BDH($C$103,"BS_INVENTORIES","FQ1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04" s="3" t="e">
        <f ca="1">_xll.BDH($C$103,"INVTRY_RAW_MATERIALS","FQ1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04" s="3" t="e">
        <f ca="1">_xll.BDH($C$103,"INVTRY_IN_PROGRESS","FQ1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04" s="3" t="e">
        <f ca="1">_xll.BDH($C$103,"INVTRY_FINISHED_GOODS","FQ1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04" s="3" t="e">
        <f ca="1">_xll.BDH($C$103,"BS_OTHER_INV","FQ1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05" spans="1:113" x14ac:dyDescent="0.3">
      <c r="A105" s="6"/>
      <c r="B105" s="6"/>
      <c r="C105" s="6"/>
      <c r="D105" s="6"/>
      <c r="E105" t="s">
        <v>79</v>
      </c>
      <c r="F105" t="e">
        <f ca="1">_xll.BDH($C$103,"RETURN_COM_EQY","FQ2 2014","FQ2 2014","Currency=INR","Period=FQ","BEST_FPERIOD_OVERRIDE=FQ","FILING_STATUS=OR","EQY_CONSOLIDATED=Y","FA_ADJUSTED=GAAP","Sort=A","Dates=H","DateFormat=P","Fill=—","Direction=H","UseDPDF=Y")</f>
        <v>#NAME?</v>
      </c>
      <c r="G105" t="e">
        <f ca="1">_xll.BDH($C$103,"RETURN_ON_ASSET","FQ2 2014","FQ2 2014","Currency=INR","Period=FQ","BEST_FPERIOD_OVERRIDE=FQ","FILING_STATUS=OR","EQY_CONSOLIDATED=Y","FA_ADJUSTED=GAAP","Sort=A","Dates=H","DateFormat=P","Fill=—","Direction=H","UseDPDF=Y")</f>
        <v>#NAME?</v>
      </c>
      <c r="H105" t="e">
        <f ca="1">_xll.BDH($C$103,"RETURN_ON_CAP","FQ2 2014","FQ2 2014","Currency=INR","Period=FQ","BEST_FPERIOD_OVERRIDE=FQ","FILING_STATUS=OR","EQY_CONSOLIDATED=Y","FA_ADJUSTED=GAAP","Sort=A","Dates=H","DateFormat=P","Fill=—","Direction=H","UseDPDF=Y")</f>
        <v>#NAME?</v>
      </c>
      <c r="I105" t="e">
        <f ca="1">_xll.BDH($C$103,"RETURN_ON_INV_CAPITAL","FQ2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05" t="e">
        <f ca="1">_xll.BDH($C$103,"EBITDA_TO_REVENUE","FQ2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05" t="e">
        <f ca="1">_xll.BDH($C$103,"OPER_MARGIN","FQ2 2014","FQ2 2014","Currency=INR","Period=FQ","BEST_FPERIOD_OVERRIDE=FQ","FILING_STATUS=OR","EQY_CONSOLIDATED=Y","FA_ADJUSTED=GAAP","Sort=A","Dates=H","DateFormat=P","Fill=—","Direction=H","UseDPDF=Y")</f>
        <v>#NAME?</v>
      </c>
      <c r="L105" t="e">
        <f ca="1">_xll.BDH($C$103,"INCREMENTAL_OPERATING_MARGIN","FQ2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05" t="e">
        <f ca="1">_xll.BDH($C$103,"PRETAX_INC_TO_NET_SALES","FQ2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05" t="e">
        <f ca="1">_xll.BDH($C$103,"INC_BEF_XO_ITEMS_TO_NET_SALES","FQ2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05" t="e">
        <f ca="1">_xll.BDH($C$103,"PROF_MARGIN","FQ2 2014","FQ2 2014","Currency=INR","Period=FQ","BEST_FPERIOD_OVERRIDE=FQ","FILING_STATUS=OR","EQY_CONSOLIDATED=Y","FA_ADJUSTED=GAAP","Sort=A","Dates=H","DateFormat=P","Fill=—","Direction=H","UseDPDF=Y")</f>
        <v>#NAME?</v>
      </c>
      <c r="P105" t="e">
        <f ca="1">_xll.BDH($C$103,"NET_INCOME_TO_COMMON_MARGIN","FQ2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05" t="e">
        <f ca="1">_xll.BDH($C$103,"EFF_TAX_RATE","FQ2 2014","FQ2 2014","Currency=INR","Period=FQ","BEST_FPERIOD_OVERRIDE=FQ","FILING_STATUS=OR","EQY_CONSOLIDATED=Y","FA_ADJUSTED=GAAP","Sort=A","Dates=H","DateFormat=P","Fill=—","Direction=H","UseDPDF=Y")</f>
        <v>#NAME?</v>
      </c>
      <c r="R105" t="e">
        <f ca="1">_xll.BDH($C$103,"DVD_PAYOUT_RATIO","FQ2 2014","FQ2 2014","Currency=INR","Period=FQ","BEST_FPERIOD_OVERRIDE=FQ","FILING_STATUS=OR","EQY_CONSOLIDATED=Y","FA_ADJUSTED=GAAP","Sort=A","Dates=H","DateFormat=P","Fill=—","Direction=H","UseDPDF=Y")</f>
        <v>#NAME?</v>
      </c>
      <c r="S105" t="e">
        <f ca="1">_xll.BDH($C$103,"SUSTAIN_GROWTH_RT","FQ2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05" s="2" t="e">
        <f ca="1">_xll.BDH($C$103,"SALES_GROWTH","FQ2 2014","FQ2 2014","Currency=INR","Period=FQ","BEST_FPERIOD_OVERRIDE=FQ","FILING_STATUS=OR","EQY_CONSOLIDATED=Y","FA_ADJUSTED=GAAP","Sort=A","Dates=H","DateFormat=P","Fill=—","Direction=H","UseDPDF=Y")</f>
        <v>#NAME?</v>
      </c>
      <c r="U105" s="2" t="e">
        <f ca="1">_xll.BDH($C$103,"EBITDA_GROWTH","FQ2 2014","FQ2 2014","Currency=INR","Period=FQ","BEST_FPERIOD_OVERRIDE=FQ","FILING_STATUS=OR","EQY_CONSOLIDATED=Y","FA_ADJUSTED=GAAP","Sort=A","Dates=H","DateFormat=P","Fill=—","Direction=H","UseDPDF=Y")</f>
        <v>#NAME?</v>
      </c>
      <c r="V105" s="2" t="e">
        <f ca="1">_xll.BDH($C$103,"OPER_INC_GROWTH","FQ2 2014","FQ2 2014","Currency=INR","Period=FQ","BEST_FPERIOD_OVERRIDE=FQ","FILING_STATUS=OR","EQY_CONSOLIDATED=Y","FA_ADJUSTED=GAAP","Sort=A","Dates=H","DateFormat=P","Fill=—","Direction=H","UseDPDF=Y")</f>
        <v>#NAME?</v>
      </c>
      <c r="W105" s="2" t="e">
        <f ca="1">_xll.BDH($C$103,"EARN_FOR_COM_GROWTH","FQ2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05" s="2" t="e">
        <f ca="1">_xll.BDH($C$103,"DILUTED_EPS_AFT_XO_ITEMS_GROWTH","FQ2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05" s="2" t="e">
        <f ca="1">_xll.BDH($C$103,"DIVIDEND_PER_SHARE_1_YEAR_GROWTH","FQ2 2014","FQ2 2014","Currency=INR","Period=FQ","BEST_FPERIOD_OVERRIDE=FQ","FILING_STATUS=OR","EQY_CONSOLIDATED=Y","Sort=A","Dates=H","DateFormat=P","Fill=—","Direction=H","UseDPDF=Y")</f>
        <v>#NAME?</v>
      </c>
      <c r="Z105" s="2" t="e">
        <f ca="1">_xll.BDH($C$103,"ACCOUNTS_RECEIVABLE_GROWTH","FQ2 2014","FQ2 2014","Currency=INR","Period=FQ","BEST_FPERIOD_OVERRIDE=FQ","FILING_STATUS=OR","EQY_CONSOLIDATED=Y","Sort=A","Dates=H","DateFormat=P","Fill=—","Direction=H","UseDPDF=Y")</f>
        <v>#NAME?</v>
      </c>
      <c r="AA105" s="2" t="e">
        <f ca="1">_xll.BDH($C$103,"INVENTORY_GROWTH","FQ2 2014","FQ2 2014","Currency=INR","Period=FQ","BEST_FPERIOD_OVERRIDE=FQ","FILING_STATUS=OR","EQY_CONSOLIDATED=Y","Sort=A","Dates=H","DateFormat=P","Fill=—","Direction=H","UseDPDF=Y")</f>
        <v>#NAME?</v>
      </c>
      <c r="AB105" s="2" t="e">
        <f ca="1">_xll.BDH($C$103,"NET_FIXED_ASSETS_1_YEAR_GROWTH","FQ2 2014","FQ2 2014","Currency=INR","Period=FQ","BEST_FPERIOD_OVERRIDE=FQ","FILING_STATUS=OR","EQY_CONSOLIDATED=Y","Sort=A","Dates=H","DateFormat=P","Fill=—","Direction=H","UseDPDF=Y")</f>
        <v>#NAME?</v>
      </c>
      <c r="AC105" s="2" t="e">
        <f ca="1">_xll.BDH($C$103,"ASSET_GROWTH","FQ2 2014","FQ2 2014","Currency=INR","Period=FQ","BEST_FPERIOD_OVERRIDE=FQ","FILING_STATUS=OR","EQY_CONSOLIDATED=Y","Sort=A","Dates=H","DateFormat=P","Fill=—","Direction=H","UseDPDF=Y")</f>
        <v>#NAME?</v>
      </c>
      <c r="AD105" s="2" t="e">
        <f ca="1">_xll.BDH($C$103,"MODIFIED_WORK_CAP_GROWTH","FQ2 2014","FQ2 2014","Currency=INR","Period=FQ","BEST_FPERIOD_OVERRIDE=FQ","FILING_STATUS=OR","EQY_CONSOLIDATED=Y","Sort=A","Dates=H","DateFormat=P","Fill=—","Direction=H","UseDPDF=Y")</f>
        <v>#NAME?</v>
      </c>
      <c r="AE105" s="2" t="e">
        <f ca="1">_xll.BDH($C$103,"WORK_CAP_GROWTH","FQ2 2014","FQ2 2014","Currency=INR","Period=FQ","BEST_FPERIOD_OVERRIDE=FQ","FILING_STATUS=OR","EQY_CONSOLIDATED=Y","Sort=A","Dates=H","DateFormat=P","Fill=—","Direction=H","UseDPDF=Y")</f>
        <v>#NAME?</v>
      </c>
      <c r="AF105" s="2" t="e">
        <f ca="1">_xll.BDH($C$103,"ACCOUNTS_PAYABLE_GROWTH_1YR","FQ2 2014","FQ2 2014","Currency=INR","Period=FQ","BEST_FPERIOD_OVERRIDE=FQ","FILING_STATUS=OR","EQY_CONSOLIDATED=Y","Sort=A","Dates=H","DateFormat=P","Fill=—","Direction=H","UseDPDF=Y")</f>
        <v>#NAME?</v>
      </c>
      <c r="AG105" s="2" t="e">
        <f ca="1">_xll.BDH($C$103,"SHORT_TERM_DEBT_1_YEAR_GROWTH","FQ2 2014","FQ2 2014","Currency=INR","Period=FQ","BEST_FPERIOD_OVERRIDE=FQ","FILING_STATUS=OR","EQY_CONSOLIDATED=Y","Sort=A","Dates=H","DateFormat=P","Fill=—","Direction=H","UseDPDF=Y")</f>
        <v>#NAME?</v>
      </c>
      <c r="AH105" s="2" t="e">
        <f ca="1">_xll.BDH($C$103,"TOTAL_DEBT_1_YEAR_GROWTH","FQ2 2014","FQ2 2014","Currency=INR","Period=FQ","BEST_FPERIOD_OVERRIDE=FQ","FILING_STATUS=OR","EQY_CONSOLIDATED=Y","Sort=A","Dates=H","DateFormat=P","Fill=—","Direction=H","UseDPDF=Y")</f>
        <v>#NAME?</v>
      </c>
      <c r="AI105" s="2" t="e">
        <f ca="1">_xll.BDH($C$103,"TOTAL_EQUITY_1_YEAR_GROWTH","FQ2 2014","FQ2 2014","Currency=INR","Period=FQ","BEST_FPERIOD_OVERRIDE=FQ","FILING_STATUS=OR","EQY_CONSOLIDATED=Y","Sort=A","Dates=H","DateFormat=P","Fill=—","Direction=H","UseDPDF=Y")</f>
        <v>#NAME?</v>
      </c>
      <c r="AJ105" s="2" t="e">
        <f ca="1">_xll.BDH($C$103,"GROWTH_IN_CAP","FQ2 2014","FQ2 2014","Currency=INR","Period=FQ","BEST_FPERIOD_OVERRIDE=FQ","FILING_STATUS=OR","EQY_CONSOLIDATED=Y","Sort=A","Dates=H","DateFormat=P","Fill=—","Direction=H","UseDPDF=Y")</f>
        <v>#NAME?</v>
      </c>
      <c r="AK105" s="2" t="e">
        <f ca="1">_xll.BDH($C$103,"BVPS_GROWTH","FQ2 2014","FQ2 2014","Currency=INR","Period=FQ","BEST_FPERIOD_OVERRIDE=FQ","FILING_STATUS=OR","EQY_CONSOLIDATED=Y","Sort=A","Dates=H","DateFormat=P","Fill=—","Direction=H","UseDPDF=Y")</f>
        <v>#NAME?</v>
      </c>
      <c r="AL105" s="2" t="e">
        <f ca="1">_xll.BDH($C$103,"CASH_FLOW_GROWTH","FQ2 2014","FQ2 2014","Currency=INR","Period=FQ","BEST_FPERIOD_OVERRIDE=FQ","FILING_STATUS=OR","EQY_CONSOLIDATED=Y","Sort=A","Dates=H","DateFormat=P","Fill=—","Direction=H","UseDPDF=Y")</f>
        <v>#NAME?</v>
      </c>
      <c r="AM105" s="2" t="e">
        <f ca="1">_xll.BDH($C$103,"GEO_GROW_NET_SALES","FQ2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05" s="2" t="e">
        <f ca="1">_xll.BDH($C$103,"GEO_GROW_EBITDA","FQ2 2014","FQ2 2014","Currency=INR","Period=FQ","BEST_FPERIOD_OVERRIDE=FQ","FILING_STATUS=OR","EQY_CONSOLIDATED=Y","FA_ADJUSTED=GAAP","Sort=A","Dates=H","DateFormat=P","Fill=—","Direction=H","UseDPDF=Y")</f>
        <v>#NAME?</v>
      </c>
      <c r="AO105" s="2" t="e">
        <f ca="1">_xll.BDH($C$103,"GEO_GROW_OPER_INC","FQ2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05" s="2" t="e">
        <f ca="1">_xll.BDH($C$103,"NET_INCOME_TO_COMMON_5_YR_GROWTH","FQ2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05" s="2" t="e">
        <f ca="1">_xll.BDH($C$103,"5Y_GEO_GROWTH_DILUTED_EPS","FQ2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05" s="2" t="e">
        <f ca="1">_xll.BDH($C$103,"GEO_GROW_DVD_PER_SH","FQ2 2014","FQ2 2014","Currency=INR","Period=FQ","BEST_FPERIOD_OVERRIDE=FQ","FILING_STATUS=OR","EQY_CONSOLIDATED=Y","Sort=A","Dates=H","DateFormat=P","Fill=—","Direction=H","UseDPDF=Y")</f>
        <v>#NAME?</v>
      </c>
      <c r="AS105" s="2" t="e">
        <f ca="1">_xll.BDH($C$103,"ACCOUNTS_RECEIVABLE_5_YR_GROWTH","FQ2 2014","FQ2 2014","Currency=INR","Period=FQ","BEST_FPERIOD_OVERRIDE=FQ","FILING_STATUS=OR","EQY_CONSOLIDATED=Y","Sort=A","Dates=H","DateFormat=P","Fill=—","Direction=H","UseDPDF=Y")</f>
        <v>#NAME?</v>
      </c>
      <c r="AT105" s="2" t="e">
        <f ca="1">_xll.BDH($C$103,"INVENTORY_5_YEAR_GROWTH","FQ2 2014","FQ2 2014","Currency=INR","Period=FQ","BEST_FPERIOD_OVERRIDE=FQ","FILING_STATUS=OR","EQY_CONSOLIDATED=Y","Sort=A","Dates=H","DateFormat=P","Fill=—","Direction=H","UseDPDF=Y")</f>
        <v>#NAME?</v>
      </c>
      <c r="AU105" s="2" t="e">
        <f ca="1">_xll.BDH($C$103,"NET_FIXED_ASSETS_5_YEAR_GROWTH","FQ2 2014","FQ2 2014","Currency=INR","Period=FQ","BEST_FPERIOD_OVERRIDE=FQ","FILING_STATUS=OR","EQY_CONSOLIDATED=Y","Sort=A","Dates=H","DateFormat=P","Fill=—","Direction=H","UseDPDF=Y")</f>
        <v>#NAME?</v>
      </c>
      <c r="AV105" s="2" t="e">
        <f ca="1">_xll.BDH($C$103,"GEO_GROW_TOT_ASSET","FQ2 2014","FQ2 2014","Currency=INR","Period=FQ","BEST_FPERIOD_OVERRIDE=FQ","FILING_STATUS=OR","EQY_CONSOLIDATED=Y","Sort=A","Dates=H","DateFormat=P","Fill=—","Direction=H","UseDPDF=Y")</f>
        <v>#NAME?</v>
      </c>
      <c r="AW105" s="2" t="e">
        <f ca="1">_xll.BDH($C$103,"MODIFIED_WORKING_CPTL_5YR_GRWTH","FQ2 2014","FQ2 2014","Currency=INR","Period=FQ","BEST_FPERIOD_OVERRIDE=FQ","FILING_STATUS=OR","EQY_CONSOLIDATED=Y","Sort=A","Dates=H","DateFormat=P","Fill=—","Direction=H","UseDPDF=Y")</f>
        <v>#NAME?</v>
      </c>
      <c r="AX105" s="2" t="e">
        <f ca="1">_xll.BDH($C$103,"WORKING_CAPITAL_5_YEAR_GROWTH","FQ2 2014","FQ2 2014","Currency=INR","Period=FQ","BEST_FPERIOD_OVERRIDE=FQ","FILING_STATUS=OR","EQY_CONSOLIDATED=Y","Sort=A","Dates=H","DateFormat=P","Fill=—","Direction=H","UseDPDF=Y")</f>
        <v>#NAME?</v>
      </c>
      <c r="AY105" s="2" t="e">
        <f ca="1">_xll.BDH($C$103,"ACCOUNTS_PAYABLE_5_YEAR_GROWTH","FQ2 2014","FQ2 2014","Currency=INR","Period=FQ","BEST_FPERIOD_OVERRIDE=FQ","FILING_STATUS=OR","EQY_CONSOLIDATED=Y","Sort=A","Dates=H","DateFormat=P","Fill=—","Direction=H","UseDPDF=Y")</f>
        <v>#NAME?</v>
      </c>
      <c r="AZ105" s="2" t="e">
        <f ca="1">_xll.BDH($C$103,"SHORT_TERM_DEBT_5_YEAR_GROWTH","FQ2 2014","FQ2 2014","Currency=INR","Period=FQ","BEST_FPERIOD_OVERRIDE=FQ","FILING_STATUS=OR","EQY_CONSOLIDATED=Y","Sort=A","Dates=H","DateFormat=P","Fill=—","Direction=H","UseDPDF=Y")</f>
        <v>#NAME?</v>
      </c>
      <c r="BA105" s="2" t="e">
        <f ca="1">_xll.BDH($C$103,"TOTAL_DEBT_5_YEAR_GROWTH","FQ2 2014","FQ2 2014","Currency=INR","Period=FQ","BEST_FPERIOD_OVERRIDE=FQ","FILING_STATUS=OR","EQY_CONSOLIDATED=Y","Sort=A","Dates=H","DateFormat=P","Fill=—","Direction=H","UseDPDF=Y")</f>
        <v>#NAME?</v>
      </c>
      <c r="BB105" s="2" t="e">
        <f ca="1">_xll.BDH($C$103,"GEO_GROW_TOT_SHRHLDR_EQY","FQ2 2014","FQ2 2014","Currency=INR","Period=FQ","BEST_FPERIOD_OVERRIDE=FQ","FILING_STATUS=OR","EQY_CONSOLIDATED=Y","Sort=A","Dates=H","DateFormat=P","Fill=—","Direction=H","UseDPDF=Y")</f>
        <v>#NAME?</v>
      </c>
      <c r="BC105" s="2" t="e">
        <f ca="1">_xll.BDH($C$103,"TOTAL_CAPITAL_5_YEAR_GROWTH","FQ2 2014","FQ2 2014","Currency=INR","Period=FQ","BEST_FPERIOD_OVERRIDE=FQ","FILING_STATUS=OR","EQY_CONSOLIDATED=Y","Sort=A","Dates=H","DateFormat=P","Fill=—","Direction=H","UseDPDF=Y")</f>
        <v>#NAME?</v>
      </c>
      <c r="BD105" s="2" t="e">
        <f ca="1">_xll.BDH($C$103,"GEO_GROW_BOOK_VAL","FQ2 2014","FQ2 2014","Currency=INR","Period=FQ","BEST_FPERIOD_OVERRIDE=FQ","FILING_STATUS=OR","EQY_CONSOLIDATED=Y","Sort=A","Dates=H","DateFormat=P","Fill=—","Direction=H","UseDPDF=Y")</f>
        <v>#NAME?</v>
      </c>
      <c r="BE105" s="2" t="e">
        <f ca="1">_xll.BDH($C$103,"GEO_GROW_CASH_OPER_ACT","FQ2 2014","FQ2 2014","Currency=INR","Period=FQ","BEST_FPERIOD_OVERRIDE=FQ","FILING_STATUS=OR","EQY_CONSOLIDATED=Y","Sort=A","Dates=H","DateFormat=P","Fill=—","Direction=H","UseDPDF=Y")</f>
        <v>#NAME?</v>
      </c>
      <c r="BF105" s="2" t="e">
        <f ca="1">_xll.BDH($C$103,"REVENUE_SEQUENTIAL_GROWTH","FQ2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05" s="2" t="e">
        <f ca="1">_xll.BDH($C$103,"EBITDA_SEQUENTIAL_GROWTH","FQ2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05" s="2" t="e">
        <f ca="1">_xll.BDH($C$103,"OPERATING_INCOME_SEQ_GROWTH","FQ2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05" s="2" t="e">
        <f ca="1">_xll.BDH($C$103,"NET_INCOME_TO_COMMON_SEQ_GROWTH","FQ2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05" s="2" t="e">
        <f ca="1">_xll.BDH($C$103,"EPS_DILUTED_SEQUENTIAL_GROWTH","FQ2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05" s="2" t="e">
        <f ca="1">_xll.BDH($C$103,"DPS_SEQUENTIAL_GROWTH","FQ2 2014","FQ2 2014","Currency=INR","Period=FQ","BEST_FPERIOD_OVERRIDE=FQ","FILING_STATUS=OR","EQY_CONSOLIDATED=Y","Sort=A","Dates=H","DateFormat=P","Fill=—","Direction=H","UseDPDF=Y")</f>
        <v>#NAME?</v>
      </c>
      <c r="BL105" s="2" t="e">
        <f ca="1">_xll.BDH($C$103,"ACCOUNTS_RECEIVABLE_SEQ_GROWTH","FQ2 2014","FQ2 2014","Currency=INR","Period=FQ","BEST_FPERIOD_OVERRIDE=FQ","FILING_STATUS=OR","EQY_CONSOLIDATED=Y","Sort=A","Dates=H","DateFormat=P","Fill=—","Direction=H","UseDPDF=Y")</f>
        <v>#NAME?</v>
      </c>
      <c r="BM105" s="2" t="e">
        <f ca="1">_xll.BDH($C$103,"INVENTORY_SEQUENTIAL_GROWTH","FQ2 2014","FQ2 2014","Currency=INR","Period=FQ","BEST_FPERIOD_OVERRIDE=FQ","FILING_STATUS=OR","EQY_CONSOLIDATED=Y","Sort=A","Dates=H","DateFormat=P","Fill=—","Direction=H","UseDPDF=Y")</f>
        <v>#NAME?</v>
      </c>
      <c r="BN105" s="2" t="e">
        <f ca="1">_xll.BDH($C$103,"FIXED_ASSETS_SEQUENTIAL_GROWTH","FQ2 2014","FQ2 2014","Currency=INR","Period=FQ","BEST_FPERIOD_OVERRIDE=FQ","FILING_STATUS=OR","EQY_CONSOLIDATED=Y","Sort=A","Dates=H","DateFormat=P","Fill=—","Direction=H","UseDPDF=Y")</f>
        <v>#NAME?</v>
      </c>
      <c r="BO105" s="2" t="e">
        <f ca="1">_xll.BDH($C$103,"TOTAL_ASSETS_SEQUENTIAL_GROWTH","FQ2 2014","FQ2 2014","Currency=INR","Period=FQ","BEST_FPERIOD_OVERRIDE=FQ","FILING_STATUS=OR","EQY_CONSOLIDATED=Y","Sort=A","Dates=H","DateFormat=P","Fill=—","Direction=H","UseDPDF=Y")</f>
        <v>#NAME?</v>
      </c>
      <c r="BP105" s="2" t="e">
        <f ca="1">_xll.BDH($C$103,"MODIFIED_WORKING_CPTL_SEQ_GRWTH","FQ2 2014","FQ2 2014","Currency=INR","Period=FQ","BEST_FPERIOD_OVERRIDE=FQ","FILING_STATUS=OR","EQY_CONSOLIDATED=Y","Sort=A","Dates=H","DateFormat=P","Fill=—","Direction=H","UseDPDF=Y")</f>
        <v>#NAME?</v>
      </c>
      <c r="BQ105" s="2" t="e">
        <f ca="1">_xll.BDH($C$103,"WORKING_CAPITAL_SEQ_GROWTH","FQ2 2014","FQ2 2014","Currency=INR","Period=FQ","BEST_FPERIOD_OVERRIDE=FQ","FILING_STATUS=OR","EQY_CONSOLIDATED=Y","Sort=A","Dates=H","DateFormat=P","Fill=—","Direction=H","UseDPDF=Y")</f>
        <v>#NAME?</v>
      </c>
      <c r="BR105" s="2" t="e">
        <f ca="1">_xll.BDH($C$103,"ACCOUNTS_PAYABLE_SEQ_GROWTH","FQ2 2014","FQ2 2014","Currency=INR","Period=FQ","BEST_FPERIOD_OVERRIDE=FQ","FILING_STATUS=OR","EQY_CONSOLIDATED=Y","Sort=A","Dates=H","DateFormat=P","Fill=—","Direction=H","UseDPDF=Y")</f>
        <v>#NAME?</v>
      </c>
      <c r="BS105" s="2" t="e">
        <f ca="1">_xll.BDH($C$103,"ST_DEBT_SEQUENTIAL_GROWTH","FQ2 2014","FQ2 2014","Currency=INR","Period=FQ","BEST_FPERIOD_OVERRIDE=FQ","FILING_STATUS=OR","EQY_CONSOLIDATED=Y","Sort=A","Dates=H","DateFormat=P","Fill=—","Direction=H","UseDPDF=Y")</f>
        <v>#NAME?</v>
      </c>
      <c r="BT105" s="2" t="e">
        <f ca="1">_xll.BDH($C$103,"TOTAL_DEBT_SEQUENTIAL_GROWTH","FQ2 2014","FQ2 2014","Currency=INR","Period=FQ","BEST_FPERIOD_OVERRIDE=FQ","FILING_STATUS=OR","EQY_CONSOLIDATED=Y","Sort=A","Dates=H","DateFormat=P","Fill=—","Direction=H","UseDPDF=Y")</f>
        <v>#NAME?</v>
      </c>
      <c r="BU105" s="2" t="e">
        <f ca="1">_xll.BDH($C$103,"TOTAL_EQUITY_SEQUENTIAL_GROWTH","FQ2 2014","FQ2 2014","Currency=INR","Period=FQ","BEST_FPERIOD_OVERRIDE=FQ","FILING_STATUS=OR","EQY_CONSOLIDATED=Y","Sort=A","Dates=H","DateFormat=P","Fill=—","Direction=H","UseDPDF=Y")</f>
        <v>#NAME?</v>
      </c>
      <c r="BV105" s="2" t="e">
        <f ca="1">_xll.BDH($C$103,"TOTAL_CAPITAL_SEQUENTIAL_GROWTH","FQ2 2014","FQ2 2014","Currency=INR","Period=FQ","BEST_FPERIOD_OVERRIDE=FQ","FILING_STATUS=OR","EQY_CONSOLIDATED=Y","Sort=A","Dates=H","DateFormat=P","Fill=—","Direction=H","UseDPDF=Y")</f>
        <v>#NAME?</v>
      </c>
      <c r="BW105" s="2" t="e">
        <f ca="1">_xll.BDH($C$103,"BPS_SEQUENTIAL_GROWTH","FQ2 2014","FQ2 2014","Currency=INR","Period=FQ","BEST_FPERIOD_OVERRIDE=FQ","FILING_STATUS=OR","EQY_CONSOLIDATED=Y","Sort=A","Dates=H","DateFormat=P","Fill=—","Direction=H","UseDPDF=Y")</f>
        <v>#NAME?</v>
      </c>
      <c r="BX105" s="2" t="e">
        <f ca="1">_xll.BDH($C$103,"CFO_SEQUENTIAL_GROWTH","FQ2 2014","FQ2 2014","Currency=INR","Period=FQ","BEST_FPERIOD_OVERRIDE=FQ","FILING_STATUS=OR","EQY_CONSOLIDATED=Y","Sort=A","Dates=H","DateFormat=P","Fill=—","Direction=H","UseDPDF=Y")</f>
        <v>#NAME?</v>
      </c>
      <c r="BY105" s="3" t="e">
        <f ca="1">_xll.BDH($C$103,"SHORT_AND_LONG_TERM_DEBT","FQ2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05" s="3" t="e">
        <f ca="1">_xll.BDH($C$103,"BS_ST_BORROW","FQ2 2014","FQ2 2014","Currency=INR","Period=FQ","BEST_FPERIOD_OVERRIDE=FQ","FILING_STATUS=OR","EQY_CONSOLIDATED=Y","SCALING_FORMAT=MLN","Sort=A","Dates=H","DateFormat=P","Fill=—","Direction=H","UseDPDF=Y")</f>
        <v>#NAME?</v>
      </c>
      <c r="CA105" s="3" t="e">
        <f ca="1">_xll.BDH($C$103,"BS_LT_BORROW","FQ2 2014","FQ2 2014","Currency=INR","Period=FQ","BEST_FPERIOD_OVERRIDE=FQ","FILING_STATUS=OR","EQY_CONSOLIDATED=Y","SCALING_FORMAT=MLN","Sort=A","Dates=H","DateFormat=P","Fill=—","Direction=H","UseDPDF=Y")</f>
        <v>#NAME?</v>
      </c>
      <c r="CB105" s="2" t="e">
        <f ca="1">_xll.BDH($C$103,"TOT_DEBT_TO_EBITDA","FQ2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05" s="2" t="e">
        <f ca="1">_xll.BDH($C$103,"NET_DEBT_TO_EBITDA","FQ2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05" s="2" t="e">
        <f ca="1">_xll.BDH($C$103,"TOTAL_DEBT_TO_EBIT","FQ2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05" s="2" t="e">
        <f ca="1">_xll.BDH($C$103,"NET_DEBT_TO_EBIT","FQ2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05" s="2" t="e">
        <f ca="1">_xll.BDH($C$103,"EBITDA_TO_INTEREST_EXPN","FQ2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05" s="2" t="e">
        <f ca="1">_xll.BDH($C$103,"COM_EQY_TO_TOT_ASSET","FQ2 2014","FQ2 2014","Currency=INR","Period=FQ","BEST_FPERIOD_OVERRIDE=FQ","FILING_STATUS=OR","EQY_CONSOLIDATED=Y","Sort=A","Dates=H","DateFormat=P","Fill=—","Direction=H","UseDPDF=Y")</f>
        <v>#NAME?</v>
      </c>
      <c r="CH105" s="2" t="e">
        <f ca="1">_xll.BDH($C$103,"LT_DEBT_TO_TOT_EQY","FQ2 2014","FQ2 2014","Currency=INR","Period=FQ","BEST_FPERIOD_OVERRIDE=FQ","FILING_STATUS=OR","EQY_CONSOLIDATED=Y","Sort=A","Dates=H","DateFormat=P","Fill=—","Direction=H","UseDPDF=Y")</f>
        <v>#NAME?</v>
      </c>
      <c r="CI105" s="2" t="e">
        <f ca="1">_xll.BDH($C$103,"LT_DEBT_TO_TOT_CAP","FQ2 2014","FQ2 2014","Currency=INR","Period=FQ","BEST_FPERIOD_OVERRIDE=FQ","FILING_STATUS=OR","EQY_CONSOLIDATED=Y","Sort=A","Dates=H","DateFormat=P","Fill=—","Direction=H","UseDPDF=Y")</f>
        <v>#NAME?</v>
      </c>
      <c r="CJ105" s="2" t="e">
        <f ca="1">_xll.BDH($C$103,"LT_DEBT_TO_TOT_ASSET","FQ2 2014","FQ2 2014","Currency=INR","Period=FQ","BEST_FPERIOD_OVERRIDE=FQ","FILING_STATUS=OR","EQY_CONSOLIDATED=Y","Sort=A","Dates=H","DateFormat=P","Fill=—","Direction=H","UseDPDF=Y")</f>
        <v>#NAME?</v>
      </c>
      <c r="CK105" s="2" t="e">
        <f ca="1">_xll.BDH($C$103,"TOT_DEBT_TO_TOT_EQY","FQ2 2014","FQ2 2014","Currency=INR","Period=FQ","BEST_FPERIOD_OVERRIDE=FQ","FILING_STATUS=OR","EQY_CONSOLIDATED=Y","Sort=A","Dates=H","DateFormat=P","Fill=—","Direction=H","UseDPDF=Y")</f>
        <v>#NAME?</v>
      </c>
      <c r="CL105" s="2" t="e">
        <f ca="1">_xll.BDH($C$103,"TOT_DEBT_TO_TOT_CAP","FQ2 2014","FQ2 2014","Currency=INR","Period=FQ","BEST_FPERIOD_OVERRIDE=FQ","FILING_STATUS=OR","EQY_CONSOLIDATED=Y","Sort=A","Dates=H","DateFormat=P","Fill=—","Direction=H","UseDPDF=Y")</f>
        <v>#NAME?</v>
      </c>
      <c r="CM105" s="2" t="e">
        <f ca="1">_xll.BDH($C$103,"TOT_DEBT_TO_TOT_ASSET","FQ2 2014","FQ2 2014","Currency=INR","Period=FQ","BEST_FPERIOD_OVERRIDE=FQ","FILING_STATUS=OR","EQY_CONSOLIDATED=Y","Sort=A","Dates=H","DateFormat=P","Fill=—","Direction=H","UseDPDF=Y")</f>
        <v>#NAME?</v>
      </c>
      <c r="CN105" s="2" t="e">
        <f ca="1">_xll.BDH($C$103,"NET_DEBT_TO_SHRHLDR_EQTY","FQ2 2014","FQ2 2014","Currency=INR","Period=FQ","BEST_FPERIOD_OVERRIDE=FQ","FILING_STATUS=OR","EQY_CONSOLIDATED=Y","Sort=A","Dates=H","DateFormat=P","Fill=—","Direction=H","UseDPDF=Y")</f>
        <v>#NAME?</v>
      </c>
      <c r="CO105" s="2" t="e">
        <f ca="1">_xll.BDH($C$103,"NET_DEBT_%_CAPITAL","FQ2 2014","FQ2 2014","Currency=INR","Period=FQ","BEST_FPERIOD_OVERRIDE=FQ","FILING_STATUS=OR","EQY_CONSOLIDATED=Y","Sort=A","Dates=H","DateFormat=P","Fill=—","Direction=H","UseDPDF=Y")</f>
        <v>#NAME?</v>
      </c>
      <c r="CP105" s="3" t="e">
        <f ca="1">_xll.BDH($C$103,"EBITDA","FQ2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05" s="3" t="e">
        <f ca="1">_xll.BDH($C$103,"EBITDA_AFTER_CAPEX","FQ2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05" s="3" t="e">
        <f ca="1">_xll.BDH($C$103,"IS_OPER_INC","FQ2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05" s="2" t="e">
        <f ca="1">_xll.BDH($C$103,"CASH_RATIO","FQ2 2014","FQ2 2014","Currency=INR","Period=FQ","BEST_FPERIOD_OVERRIDE=FQ","FILING_STATUS=OR","EQY_CONSOLIDATED=Y","Sort=A","Dates=H","DateFormat=P","Fill=—","Direction=H","UseDPDF=Y")</f>
        <v>#NAME?</v>
      </c>
      <c r="CT105" s="2" t="e">
        <f ca="1">_xll.BDH($C$103,"CUR_RATIO","FQ2 2014","FQ2 2014","Currency=INR","Period=FQ","BEST_FPERIOD_OVERRIDE=FQ","FILING_STATUS=OR","EQY_CONSOLIDATED=Y","Sort=A","Dates=H","DateFormat=P","Fill=—","Direction=H","UseDPDF=Y")</f>
        <v>#NAME?</v>
      </c>
      <c r="CU105" s="2" t="e">
        <f ca="1">_xll.BDH($C$103,"QUICK_RATIO","FQ2 2014","FQ2 2014","Currency=INR","Period=FQ","BEST_FPERIOD_OVERRIDE=FQ","FILING_STATUS=OR","EQY_CONSOLIDATED=Y","Sort=A","Dates=H","DateFormat=P","Fill=—","Direction=H","UseDPDF=Y")</f>
        <v>#NAME?</v>
      </c>
      <c r="CV105" s="2" t="e">
        <f ca="1">_xll.BDH($C$103,"ALTMAN_Z_SCORE","FQ2 2014","FQ2 2014","Currency=INR","Period=FQ","BEST_FPERIOD_OVERRIDE=FQ","FILING_STATUS=OR","EQY_CONSOLIDATED=Y","Sort=A","Dates=H","DateFormat=P","Fill=—","Direction=H","UseDPDF=Y")</f>
        <v>#NAME?</v>
      </c>
      <c r="CW105" s="4" t="e">
        <f ca="1">_xll.BDH($C$103,"ACCT_RCV_TURN","FQ2 2014","FQ2 2014","Currency=INR","Period=FQ","BEST_FPERIOD_OVERRIDE=FQ","FILING_STATUS=OR","EQY_CONSOLIDATED=Y","FA_ADJUSTED=GAAP","Sort=A","Dates=H","DateFormat=P","Fill=—","Direction=H","UseDPDF=Y")</f>
        <v>#NAME?</v>
      </c>
      <c r="CX105" s="2" t="e">
        <f ca="1">_xll.BDH($C$103,"ACCT_RCV_DAYS","FQ2 2014","FQ2 2014","Currency=INR","Period=FQ","BEST_FPERIOD_OVERRIDE=FQ","FILING_STATUS=OR","EQY_CONSOLIDATED=Y","FA_ADJUSTED=GAAP","Sort=A","Dates=H","DateFormat=P","Fill=—","Direction=H","UseDPDF=Y")</f>
        <v>#NAME?</v>
      </c>
      <c r="CY105" s="4" t="e">
        <f ca="1">_xll.BDH($C$103,"INVENT_TURN","FQ2 2014","FQ2 2014","Currency=INR","Period=FQ","BEST_FPERIOD_OVERRIDE=FQ","FILING_STATUS=OR","EQY_CONSOLIDATED=Y","FA_ADJUSTED=GAAP","Sort=A","Dates=H","DateFormat=P","Fill=—","Direction=H","UseDPDF=Y")</f>
        <v>#NAME?</v>
      </c>
      <c r="CZ105" s="2" t="e">
        <f ca="1">_xll.BDH($C$103,"INVENT_DAYS","FQ2 2014","FQ2 2014","Currency=INR","Period=FQ","BEST_FPERIOD_OVERRIDE=FQ","FILING_STATUS=OR","EQY_CONSOLIDATED=Y","FA_ADJUSTED=GAAP","Sort=A","Dates=H","DateFormat=P","Fill=—","Direction=H","UseDPDF=Y")</f>
        <v>#NAME?</v>
      </c>
      <c r="DA105" s="4" t="e">
        <f ca="1">_xll.BDH($C$103,"ACCOUNTS_PAYABLE_TURNOVER","FQ2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05" s="2" t="e">
        <f ca="1">_xll.BDH($C$103,"ACCOUNTS_PAYABLE_TURNOVER_DAYS","FQ2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05" s="4" t="e">
        <f ca="1">_xll.BDH($C$103,"CASH_CONVERSION_CYCLE","FQ2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05" s="4" t="e">
        <f ca="1">_xll.BDH($C$103,"INV_TO_CASH_DAYS","FQ2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05" s="5" t="e">
        <f ca="1">_xll.BDH($C$103,"BS_INVENTORIES","FQ2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05" s="3" t="e">
        <f ca="1">_xll.BDH($C$103,"INVTRY_RAW_MATERIALS","FQ2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05" s="3" t="e">
        <f ca="1">_xll.BDH($C$103,"INVTRY_IN_PROGRESS","FQ2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05" s="3" t="e">
        <f ca="1">_xll.BDH($C$103,"INVTRY_FINISHED_GOODS","FQ2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05" s="3" t="e">
        <f ca="1">_xll.BDH($C$103,"BS_OTHER_INV","FQ2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06" spans="1:113" x14ac:dyDescent="0.3">
      <c r="A106" s="6"/>
      <c r="B106" s="6"/>
      <c r="C106" s="6"/>
      <c r="D106" s="6"/>
      <c r="E106" t="s">
        <v>80</v>
      </c>
      <c r="F106" t="e">
        <f ca="1">_xll.BDH($C$103,"RETURN_COM_EQY","FQ3 2014","FQ3 2014","Currency=INR","Period=FQ","BEST_FPERIOD_OVERRIDE=FQ","FILING_STATUS=OR","EQY_CONSOLIDATED=Y","FA_ADJUSTED=GAAP","Sort=A","Dates=H","DateFormat=P","Fill=—","Direction=H","UseDPDF=Y")</f>
        <v>#NAME?</v>
      </c>
      <c r="G106" t="e">
        <f ca="1">_xll.BDH($C$103,"RETURN_ON_ASSET","FQ3 2014","FQ3 2014","Currency=INR","Period=FQ","BEST_FPERIOD_OVERRIDE=FQ","FILING_STATUS=OR","EQY_CONSOLIDATED=Y","FA_ADJUSTED=GAAP","Sort=A","Dates=H","DateFormat=P","Fill=—","Direction=H","UseDPDF=Y")</f>
        <v>#NAME?</v>
      </c>
      <c r="H106" t="e">
        <f ca="1">_xll.BDH($C$103,"RETURN_ON_CAP","FQ3 2014","FQ3 2014","Currency=INR","Period=FQ","BEST_FPERIOD_OVERRIDE=FQ","FILING_STATUS=OR","EQY_CONSOLIDATED=Y","FA_ADJUSTED=GAAP","Sort=A","Dates=H","DateFormat=P","Fill=—","Direction=H","UseDPDF=Y")</f>
        <v>#NAME?</v>
      </c>
      <c r="I106" t="e">
        <f ca="1">_xll.BDH($C$103,"RETURN_ON_INV_CAPITAL","FQ3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06" t="e">
        <f ca="1">_xll.BDH($C$103,"EBITDA_TO_REVENUE","FQ3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06" t="e">
        <f ca="1">_xll.BDH($C$103,"OPER_MARGIN","FQ3 2014","FQ3 2014","Currency=INR","Period=FQ","BEST_FPERIOD_OVERRIDE=FQ","FILING_STATUS=OR","EQY_CONSOLIDATED=Y","FA_ADJUSTED=GAAP","Sort=A","Dates=H","DateFormat=P","Fill=—","Direction=H","UseDPDF=Y")</f>
        <v>#NAME?</v>
      </c>
      <c r="L106" t="e">
        <f ca="1">_xll.BDH($C$103,"INCREMENTAL_OPERATING_MARGIN","FQ3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06" t="e">
        <f ca="1">_xll.BDH($C$103,"PRETAX_INC_TO_NET_SALES","FQ3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06" t="e">
        <f ca="1">_xll.BDH($C$103,"INC_BEF_XO_ITEMS_TO_NET_SALES","FQ3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06" t="e">
        <f ca="1">_xll.BDH($C$103,"PROF_MARGIN","FQ3 2014","FQ3 2014","Currency=INR","Period=FQ","BEST_FPERIOD_OVERRIDE=FQ","FILING_STATUS=OR","EQY_CONSOLIDATED=Y","FA_ADJUSTED=GAAP","Sort=A","Dates=H","DateFormat=P","Fill=—","Direction=H","UseDPDF=Y")</f>
        <v>#NAME?</v>
      </c>
      <c r="P106" t="e">
        <f ca="1">_xll.BDH($C$103,"NET_INCOME_TO_COMMON_MARGIN","FQ3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06" t="e">
        <f ca="1">_xll.BDH($C$103,"EFF_TAX_RATE","FQ3 2014","FQ3 2014","Currency=INR","Period=FQ","BEST_FPERIOD_OVERRIDE=FQ","FILING_STATUS=OR","EQY_CONSOLIDATED=Y","FA_ADJUSTED=GAAP","Sort=A","Dates=H","DateFormat=P","Fill=—","Direction=H","UseDPDF=Y")</f>
        <v>#NAME?</v>
      </c>
      <c r="R106" t="e">
        <f ca="1">_xll.BDH($C$103,"DVD_PAYOUT_RATIO","FQ3 2014","FQ3 2014","Currency=INR","Period=FQ","BEST_FPERIOD_OVERRIDE=FQ","FILING_STATUS=OR","EQY_CONSOLIDATED=Y","FA_ADJUSTED=GAAP","Sort=A","Dates=H","DateFormat=P","Fill=—","Direction=H","UseDPDF=Y")</f>
        <v>#NAME?</v>
      </c>
      <c r="S106" t="e">
        <f ca="1">_xll.BDH($C$103,"SUSTAIN_GROWTH_RT","FQ3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06" s="2" t="e">
        <f ca="1">_xll.BDH($C$103,"SALES_GROWTH","FQ3 2014","FQ3 2014","Currency=INR","Period=FQ","BEST_FPERIOD_OVERRIDE=FQ","FILING_STATUS=OR","EQY_CONSOLIDATED=Y","FA_ADJUSTED=GAAP","Sort=A","Dates=H","DateFormat=P","Fill=—","Direction=H","UseDPDF=Y")</f>
        <v>#NAME?</v>
      </c>
      <c r="U106" s="2" t="e">
        <f ca="1">_xll.BDH($C$103,"EBITDA_GROWTH","FQ3 2014","FQ3 2014","Currency=INR","Period=FQ","BEST_FPERIOD_OVERRIDE=FQ","FILING_STATUS=OR","EQY_CONSOLIDATED=Y","FA_ADJUSTED=GAAP","Sort=A","Dates=H","DateFormat=P","Fill=—","Direction=H","UseDPDF=Y")</f>
        <v>#NAME?</v>
      </c>
      <c r="V106" s="2" t="e">
        <f ca="1">_xll.BDH($C$103,"OPER_INC_GROWTH","FQ3 2014","FQ3 2014","Currency=INR","Period=FQ","BEST_FPERIOD_OVERRIDE=FQ","FILING_STATUS=OR","EQY_CONSOLIDATED=Y","FA_ADJUSTED=GAAP","Sort=A","Dates=H","DateFormat=P","Fill=—","Direction=H","UseDPDF=Y")</f>
        <v>#NAME?</v>
      </c>
      <c r="W106" s="2" t="e">
        <f ca="1">_xll.BDH($C$103,"EARN_FOR_COM_GROWTH","FQ3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06" s="2" t="e">
        <f ca="1">_xll.BDH($C$103,"DILUTED_EPS_AFT_XO_ITEMS_GROWTH","FQ3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06" s="2" t="e">
        <f ca="1">_xll.BDH($C$103,"DIVIDEND_PER_SHARE_1_YEAR_GROWTH","FQ3 2014","FQ3 2014","Currency=INR","Period=FQ","BEST_FPERIOD_OVERRIDE=FQ","FILING_STATUS=OR","EQY_CONSOLIDATED=Y","Sort=A","Dates=H","DateFormat=P","Fill=—","Direction=H","UseDPDF=Y")</f>
        <v>#NAME?</v>
      </c>
      <c r="Z106" s="2" t="e">
        <f ca="1">_xll.BDH($C$103,"ACCOUNTS_RECEIVABLE_GROWTH","FQ3 2014","FQ3 2014","Currency=INR","Period=FQ","BEST_FPERIOD_OVERRIDE=FQ","FILING_STATUS=OR","EQY_CONSOLIDATED=Y","Sort=A","Dates=H","DateFormat=P","Fill=—","Direction=H","UseDPDF=Y")</f>
        <v>#NAME?</v>
      </c>
      <c r="AA106" s="2" t="e">
        <f ca="1">_xll.BDH($C$103,"INVENTORY_GROWTH","FQ3 2014","FQ3 2014","Currency=INR","Period=FQ","BEST_FPERIOD_OVERRIDE=FQ","FILING_STATUS=OR","EQY_CONSOLIDATED=Y","Sort=A","Dates=H","DateFormat=P","Fill=—","Direction=H","UseDPDF=Y")</f>
        <v>#NAME?</v>
      </c>
      <c r="AB106" s="2" t="e">
        <f ca="1">_xll.BDH($C$103,"NET_FIXED_ASSETS_1_YEAR_GROWTH","FQ3 2014","FQ3 2014","Currency=INR","Period=FQ","BEST_FPERIOD_OVERRIDE=FQ","FILING_STATUS=OR","EQY_CONSOLIDATED=Y","Sort=A","Dates=H","DateFormat=P","Fill=—","Direction=H","UseDPDF=Y")</f>
        <v>#NAME?</v>
      </c>
      <c r="AC106" s="2" t="e">
        <f ca="1">_xll.BDH($C$103,"ASSET_GROWTH","FQ3 2014","FQ3 2014","Currency=INR","Period=FQ","BEST_FPERIOD_OVERRIDE=FQ","FILING_STATUS=OR","EQY_CONSOLIDATED=Y","Sort=A","Dates=H","DateFormat=P","Fill=—","Direction=H","UseDPDF=Y")</f>
        <v>#NAME?</v>
      </c>
      <c r="AD106" s="2" t="e">
        <f ca="1">_xll.BDH($C$103,"MODIFIED_WORK_CAP_GROWTH","FQ3 2014","FQ3 2014","Currency=INR","Period=FQ","BEST_FPERIOD_OVERRIDE=FQ","FILING_STATUS=OR","EQY_CONSOLIDATED=Y","Sort=A","Dates=H","DateFormat=P","Fill=—","Direction=H","UseDPDF=Y")</f>
        <v>#NAME?</v>
      </c>
      <c r="AE106" s="2" t="e">
        <f ca="1">_xll.BDH($C$103,"WORK_CAP_GROWTH","FQ3 2014","FQ3 2014","Currency=INR","Period=FQ","BEST_FPERIOD_OVERRIDE=FQ","FILING_STATUS=OR","EQY_CONSOLIDATED=Y","Sort=A","Dates=H","DateFormat=P","Fill=—","Direction=H","UseDPDF=Y")</f>
        <v>#NAME?</v>
      </c>
      <c r="AF106" s="2" t="e">
        <f ca="1">_xll.BDH($C$103,"ACCOUNTS_PAYABLE_GROWTH_1YR","FQ3 2014","FQ3 2014","Currency=INR","Period=FQ","BEST_FPERIOD_OVERRIDE=FQ","FILING_STATUS=OR","EQY_CONSOLIDATED=Y","Sort=A","Dates=H","DateFormat=P","Fill=—","Direction=H","UseDPDF=Y")</f>
        <v>#NAME?</v>
      </c>
      <c r="AG106" s="2" t="e">
        <f ca="1">_xll.BDH($C$103,"SHORT_TERM_DEBT_1_YEAR_GROWTH","FQ3 2014","FQ3 2014","Currency=INR","Period=FQ","BEST_FPERIOD_OVERRIDE=FQ","FILING_STATUS=OR","EQY_CONSOLIDATED=Y","Sort=A","Dates=H","DateFormat=P","Fill=—","Direction=H","UseDPDF=Y")</f>
        <v>#NAME?</v>
      </c>
      <c r="AH106" s="2" t="e">
        <f ca="1">_xll.BDH($C$103,"TOTAL_DEBT_1_YEAR_GROWTH","FQ3 2014","FQ3 2014","Currency=INR","Period=FQ","BEST_FPERIOD_OVERRIDE=FQ","FILING_STATUS=OR","EQY_CONSOLIDATED=Y","Sort=A","Dates=H","DateFormat=P","Fill=—","Direction=H","UseDPDF=Y")</f>
        <v>#NAME?</v>
      </c>
      <c r="AI106" s="2" t="e">
        <f ca="1">_xll.BDH($C$103,"TOTAL_EQUITY_1_YEAR_GROWTH","FQ3 2014","FQ3 2014","Currency=INR","Period=FQ","BEST_FPERIOD_OVERRIDE=FQ","FILING_STATUS=OR","EQY_CONSOLIDATED=Y","Sort=A","Dates=H","DateFormat=P","Fill=—","Direction=H","UseDPDF=Y")</f>
        <v>#NAME?</v>
      </c>
      <c r="AJ106" s="2" t="e">
        <f ca="1">_xll.BDH($C$103,"GROWTH_IN_CAP","FQ3 2014","FQ3 2014","Currency=INR","Period=FQ","BEST_FPERIOD_OVERRIDE=FQ","FILING_STATUS=OR","EQY_CONSOLIDATED=Y","Sort=A","Dates=H","DateFormat=P","Fill=—","Direction=H","UseDPDF=Y")</f>
        <v>#NAME?</v>
      </c>
      <c r="AK106" s="2" t="e">
        <f ca="1">_xll.BDH($C$103,"BVPS_GROWTH","FQ3 2014","FQ3 2014","Currency=INR","Period=FQ","BEST_FPERIOD_OVERRIDE=FQ","FILING_STATUS=OR","EQY_CONSOLIDATED=Y","Sort=A","Dates=H","DateFormat=P","Fill=—","Direction=H","UseDPDF=Y")</f>
        <v>#NAME?</v>
      </c>
      <c r="AL106" s="2" t="e">
        <f ca="1">_xll.BDH($C$103,"CASH_FLOW_GROWTH","FQ3 2014","FQ3 2014","Currency=INR","Period=FQ","BEST_FPERIOD_OVERRIDE=FQ","FILING_STATUS=OR","EQY_CONSOLIDATED=Y","Sort=A","Dates=H","DateFormat=P","Fill=—","Direction=H","UseDPDF=Y")</f>
        <v>#NAME?</v>
      </c>
      <c r="AM106" s="2" t="e">
        <f ca="1">_xll.BDH($C$103,"GEO_GROW_NET_SALES","FQ3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06" s="2" t="e">
        <f ca="1">_xll.BDH($C$103,"GEO_GROW_EBITDA","FQ3 2014","FQ3 2014","Currency=INR","Period=FQ","BEST_FPERIOD_OVERRIDE=FQ","FILING_STATUS=OR","EQY_CONSOLIDATED=Y","FA_ADJUSTED=GAAP","Sort=A","Dates=H","DateFormat=P","Fill=—","Direction=H","UseDPDF=Y")</f>
        <v>#NAME?</v>
      </c>
      <c r="AO106" s="2" t="e">
        <f ca="1">_xll.BDH($C$103,"GEO_GROW_OPER_INC","FQ3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06" s="2" t="e">
        <f ca="1">_xll.BDH($C$103,"NET_INCOME_TO_COMMON_5_YR_GROWTH","FQ3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06" s="2" t="e">
        <f ca="1">_xll.BDH($C$103,"5Y_GEO_GROWTH_DILUTED_EPS","FQ3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06" s="2" t="e">
        <f ca="1">_xll.BDH($C$103,"GEO_GROW_DVD_PER_SH","FQ3 2014","FQ3 2014","Currency=INR","Period=FQ","BEST_FPERIOD_OVERRIDE=FQ","FILING_STATUS=OR","EQY_CONSOLIDATED=Y","Sort=A","Dates=H","DateFormat=P","Fill=—","Direction=H","UseDPDF=Y")</f>
        <v>#NAME?</v>
      </c>
      <c r="AS106" s="2" t="e">
        <f ca="1">_xll.BDH($C$103,"ACCOUNTS_RECEIVABLE_5_YR_GROWTH","FQ3 2014","FQ3 2014","Currency=INR","Period=FQ","BEST_FPERIOD_OVERRIDE=FQ","FILING_STATUS=OR","EQY_CONSOLIDATED=Y","Sort=A","Dates=H","DateFormat=P","Fill=—","Direction=H","UseDPDF=Y")</f>
        <v>#NAME?</v>
      </c>
      <c r="AT106" s="2" t="e">
        <f ca="1">_xll.BDH($C$103,"INVENTORY_5_YEAR_GROWTH","FQ3 2014","FQ3 2014","Currency=INR","Period=FQ","BEST_FPERIOD_OVERRIDE=FQ","FILING_STATUS=OR","EQY_CONSOLIDATED=Y","Sort=A","Dates=H","DateFormat=P","Fill=—","Direction=H","UseDPDF=Y")</f>
        <v>#NAME?</v>
      </c>
      <c r="AU106" s="2" t="e">
        <f ca="1">_xll.BDH($C$103,"NET_FIXED_ASSETS_5_YEAR_GROWTH","FQ3 2014","FQ3 2014","Currency=INR","Period=FQ","BEST_FPERIOD_OVERRIDE=FQ","FILING_STATUS=OR","EQY_CONSOLIDATED=Y","Sort=A","Dates=H","DateFormat=P","Fill=—","Direction=H","UseDPDF=Y")</f>
        <v>#NAME?</v>
      </c>
      <c r="AV106" s="2" t="e">
        <f ca="1">_xll.BDH($C$103,"GEO_GROW_TOT_ASSET","FQ3 2014","FQ3 2014","Currency=INR","Period=FQ","BEST_FPERIOD_OVERRIDE=FQ","FILING_STATUS=OR","EQY_CONSOLIDATED=Y","Sort=A","Dates=H","DateFormat=P","Fill=—","Direction=H","UseDPDF=Y")</f>
        <v>#NAME?</v>
      </c>
      <c r="AW106" s="2" t="e">
        <f ca="1">_xll.BDH($C$103,"MODIFIED_WORKING_CPTL_5YR_GRWTH","FQ3 2014","FQ3 2014","Currency=INR","Period=FQ","BEST_FPERIOD_OVERRIDE=FQ","FILING_STATUS=OR","EQY_CONSOLIDATED=Y","Sort=A","Dates=H","DateFormat=P","Fill=—","Direction=H","UseDPDF=Y")</f>
        <v>#NAME?</v>
      </c>
      <c r="AX106" s="2" t="e">
        <f ca="1">_xll.BDH($C$103,"WORKING_CAPITAL_5_YEAR_GROWTH","FQ3 2014","FQ3 2014","Currency=INR","Period=FQ","BEST_FPERIOD_OVERRIDE=FQ","FILING_STATUS=OR","EQY_CONSOLIDATED=Y","Sort=A","Dates=H","DateFormat=P","Fill=—","Direction=H","UseDPDF=Y")</f>
        <v>#NAME?</v>
      </c>
      <c r="AY106" s="2" t="e">
        <f ca="1">_xll.BDH($C$103,"ACCOUNTS_PAYABLE_5_YEAR_GROWTH","FQ3 2014","FQ3 2014","Currency=INR","Period=FQ","BEST_FPERIOD_OVERRIDE=FQ","FILING_STATUS=OR","EQY_CONSOLIDATED=Y","Sort=A","Dates=H","DateFormat=P","Fill=—","Direction=H","UseDPDF=Y")</f>
        <v>#NAME?</v>
      </c>
      <c r="AZ106" s="2" t="e">
        <f ca="1">_xll.BDH($C$103,"SHORT_TERM_DEBT_5_YEAR_GROWTH","FQ3 2014","FQ3 2014","Currency=INR","Period=FQ","BEST_FPERIOD_OVERRIDE=FQ","FILING_STATUS=OR","EQY_CONSOLIDATED=Y","Sort=A","Dates=H","DateFormat=P","Fill=—","Direction=H","UseDPDF=Y")</f>
        <v>#NAME?</v>
      </c>
      <c r="BA106" s="2" t="e">
        <f ca="1">_xll.BDH($C$103,"TOTAL_DEBT_5_YEAR_GROWTH","FQ3 2014","FQ3 2014","Currency=INR","Period=FQ","BEST_FPERIOD_OVERRIDE=FQ","FILING_STATUS=OR","EQY_CONSOLIDATED=Y","Sort=A","Dates=H","DateFormat=P","Fill=—","Direction=H","UseDPDF=Y")</f>
        <v>#NAME?</v>
      </c>
      <c r="BB106" s="2" t="e">
        <f ca="1">_xll.BDH($C$103,"GEO_GROW_TOT_SHRHLDR_EQY","FQ3 2014","FQ3 2014","Currency=INR","Period=FQ","BEST_FPERIOD_OVERRIDE=FQ","FILING_STATUS=OR","EQY_CONSOLIDATED=Y","Sort=A","Dates=H","DateFormat=P","Fill=—","Direction=H","UseDPDF=Y")</f>
        <v>#NAME?</v>
      </c>
      <c r="BC106" s="2" t="e">
        <f ca="1">_xll.BDH($C$103,"TOTAL_CAPITAL_5_YEAR_GROWTH","FQ3 2014","FQ3 2014","Currency=INR","Period=FQ","BEST_FPERIOD_OVERRIDE=FQ","FILING_STATUS=OR","EQY_CONSOLIDATED=Y","Sort=A","Dates=H","DateFormat=P","Fill=—","Direction=H","UseDPDF=Y")</f>
        <v>#NAME?</v>
      </c>
      <c r="BD106" s="2" t="e">
        <f ca="1">_xll.BDH($C$103,"GEO_GROW_BOOK_VAL","FQ3 2014","FQ3 2014","Currency=INR","Period=FQ","BEST_FPERIOD_OVERRIDE=FQ","FILING_STATUS=OR","EQY_CONSOLIDATED=Y","Sort=A","Dates=H","DateFormat=P","Fill=—","Direction=H","UseDPDF=Y")</f>
        <v>#NAME?</v>
      </c>
      <c r="BE106" s="2" t="e">
        <f ca="1">_xll.BDH($C$103,"GEO_GROW_CASH_OPER_ACT","FQ3 2014","FQ3 2014","Currency=INR","Period=FQ","BEST_FPERIOD_OVERRIDE=FQ","FILING_STATUS=OR","EQY_CONSOLIDATED=Y","Sort=A","Dates=H","DateFormat=P","Fill=—","Direction=H","UseDPDF=Y")</f>
        <v>#NAME?</v>
      </c>
      <c r="BF106" s="2" t="e">
        <f ca="1">_xll.BDH($C$103,"REVENUE_SEQUENTIAL_GROWTH","FQ3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06" s="2" t="e">
        <f ca="1">_xll.BDH($C$103,"EBITDA_SEQUENTIAL_GROWTH","FQ3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06" s="2" t="e">
        <f ca="1">_xll.BDH($C$103,"OPERATING_INCOME_SEQ_GROWTH","FQ3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06" s="2" t="e">
        <f ca="1">_xll.BDH($C$103,"NET_INCOME_TO_COMMON_SEQ_GROWTH","FQ3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06" s="2" t="e">
        <f ca="1">_xll.BDH($C$103,"EPS_DILUTED_SEQUENTIAL_GROWTH","FQ3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06" s="2" t="e">
        <f ca="1">_xll.BDH($C$103,"DPS_SEQUENTIAL_GROWTH","FQ3 2014","FQ3 2014","Currency=INR","Period=FQ","BEST_FPERIOD_OVERRIDE=FQ","FILING_STATUS=OR","EQY_CONSOLIDATED=Y","Sort=A","Dates=H","DateFormat=P","Fill=—","Direction=H","UseDPDF=Y")</f>
        <v>#NAME?</v>
      </c>
      <c r="BL106" s="2" t="e">
        <f ca="1">_xll.BDH($C$103,"ACCOUNTS_RECEIVABLE_SEQ_GROWTH","FQ3 2014","FQ3 2014","Currency=INR","Period=FQ","BEST_FPERIOD_OVERRIDE=FQ","FILING_STATUS=OR","EQY_CONSOLIDATED=Y","Sort=A","Dates=H","DateFormat=P","Fill=—","Direction=H","UseDPDF=Y")</f>
        <v>#NAME?</v>
      </c>
      <c r="BM106" s="2" t="e">
        <f ca="1">_xll.BDH($C$103,"INVENTORY_SEQUENTIAL_GROWTH","FQ3 2014","FQ3 2014","Currency=INR","Period=FQ","BEST_FPERIOD_OVERRIDE=FQ","FILING_STATUS=OR","EQY_CONSOLIDATED=Y","Sort=A","Dates=H","DateFormat=P","Fill=—","Direction=H","UseDPDF=Y")</f>
        <v>#NAME?</v>
      </c>
      <c r="BN106" s="2" t="e">
        <f ca="1">_xll.BDH($C$103,"FIXED_ASSETS_SEQUENTIAL_GROWTH","FQ3 2014","FQ3 2014","Currency=INR","Period=FQ","BEST_FPERIOD_OVERRIDE=FQ","FILING_STATUS=OR","EQY_CONSOLIDATED=Y","Sort=A","Dates=H","DateFormat=P","Fill=—","Direction=H","UseDPDF=Y")</f>
        <v>#NAME?</v>
      </c>
      <c r="BO106" s="2" t="e">
        <f ca="1">_xll.BDH($C$103,"TOTAL_ASSETS_SEQUENTIAL_GROWTH","FQ3 2014","FQ3 2014","Currency=INR","Period=FQ","BEST_FPERIOD_OVERRIDE=FQ","FILING_STATUS=OR","EQY_CONSOLIDATED=Y","Sort=A","Dates=H","DateFormat=P","Fill=—","Direction=H","UseDPDF=Y")</f>
        <v>#NAME?</v>
      </c>
      <c r="BP106" s="2" t="e">
        <f ca="1">_xll.BDH($C$103,"MODIFIED_WORKING_CPTL_SEQ_GRWTH","FQ3 2014","FQ3 2014","Currency=INR","Period=FQ","BEST_FPERIOD_OVERRIDE=FQ","FILING_STATUS=OR","EQY_CONSOLIDATED=Y","Sort=A","Dates=H","DateFormat=P","Fill=—","Direction=H","UseDPDF=Y")</f>
        <v>#NAME?</v>
      </c>
      <c r="BQ106" s="2" t="e">
        <f ca="1">_xll.BDH($C$103,"WORKING_CAPITAL_SEQ_GROWTH","FQ3 2014","FQ3 2014","Currency=INR","Period=FQ","BEST_FPERIOD_OVERRIDE=FQ","FILING_STATUS=OR","EQY_CONSOLIDATED=Y","Sort=A","Dates=H","DateFormat=P","Fill=—","Direction=H","UseDPDF=Y")</f>
        <v>#NAME?</v>
      </c>
      <c r="BR106" s="2" t="e">
        <f ca="1">_xll.BDH($C$103,"ACCOUNTS_PAYABLE_SEQ_GROWTH","FQ3 2014","FQ3 2014","Currency=INR","Period=FQ","BEST_FPERIOD_OVERRIDE=FQ","FILING_STATUS=OR","EQY_CONSOLIDATED=Y","Sort=A","Dates=H","DateFormat=P","Fill=—","Direction=H","UseDPDF=Y")</f>
        <v>#NAME?</v>
      </c>
      <c r="BS106" s="2" t="e">
        <f ca="1">_xll.BDH($C$103,"ST_DEBT_SEQUENTIAL_GROWTH","FQ3 2014","FQ3 2014","Currency=INR","Period=FQ","BEST_FPERIOD_OVERRIDE=FQ","FILING_STATUS=OR","EQY_CONSOLIDATED=Y","Sort=A","Dates=H","DateFormat=P","Fill=—","Direction=H","UseDPDF=Y")</f>
        <v>#NAME?</v>
      </c>
      <c r="BT106" s="2" t="e">
        <f ca="1">_xll.BDH($C$103,"TOTAL_DEBT_SEQUENTIAL_GROWTH","FQ3 2014","FQ3 2014","Currency=INR","Period=FQ","BEST_FPERIOD_OVERRIDE=FQ","FILING_STATUS=OR","EQY_CONSOLIDATED=Y","Sort=A","Dates=H","DateFormat=P","Fill=—","Direction=H","UseDPDF=Y")</f>
        <v>#NAME?</v>
      </c>
      <c r="BU106" s="2" t="e">
        <f ca="1">_xll.BDH($C$103,"TOTAL_EQUITY_SEQUENTIAL_GROWTH","FQ3 2014","FQ3 2014","Currency=INR","Period=FQ","BEST_FPERIOD_OVERRIDE=FQ","FILING_STATUS=OR","EQY_CONSOLIDATED=Y","Sort=A","Dates=H","DateFormat=P","Fill=—","Direction=H","UseDPDF=Y")</f>
        <v>#NAME?</v>
      </c>
      <c r="BV106" s="2" t="e">
        <f ca="1">_xll.BDH($C$103,"TOTAL_CAPITAL_SEQUENTIAL_GROWTH","FQ3 2014","FQ3 2014","Currency=INR","Period=FQ","BEST_FPERIOD_OVERRIDE=FQ","FILING_STATUS=OR","EQY_CONSOLIDATED=Y","Sort=A","Dates=H","DateFormat=P","Fill=—","Direction=H","UseDPDF=Y")</f>
        <v>#NAME?</v>
      </c>
      <c r="BW106" s="2" t="e">
        <f ca="1">_xll.BDH($C$103,"BPS_SEQUENTIAL_GROWTH","FQ3 2014","FQ3 2014","Currency=INR","Period=FQ","BEST_FPERIOD_OVERRIDE=FQ","FILING_STATUS=OR","EQY_CONSOLIDATED=Y","Sort=A","Dates=H","DateFormat=P","Fill=—","Direction=H","UseDPDF=Y")</f>
        <v>#NAME?</v>
      </c>
      <c r="BX106" s="2" t="e">
        <f ca="1">_xll.BDH($C$103,"CFO_SEQUENTIAL_GROWTH","FQ3 2014","FQ3 2014","Currency=INR","Period=FQ","BEST_FPERIOD_OVERRIDE=FQ","FILING_STATUS=OR","EQY_CONSOLIDATED=Y","Sort=A","Dates=H","DateFormat=P","Fill=—","Direction=H","UseDPDF=Y")</f>
        <v>#NAME?</v>
      </c>
      <c r="BY106" s="3" t="e">
        <f ca="1">_xll.BDH($C$103,"SHORT_AND_LONG_TERM_DEBT","FQ3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06" s="3" t="e">
        <f ca="1">_xll.BDH($C$103,"BS_ST_BORROW","FQ3 2014","FQ3 2014","Currency=INR","Period=FQ","BEST_FPERIOD_OVERRIDE=FQ","FILING_STATUS=OR","EQY_CONSOLIDATED=Y","SCALING_FORMAT=MLN","Sort=A","Dates=H","DateFormat=P","Fill=—","Direction=H","UseDPDF=Y")</f>
        <v>#NAME?</v>
      </c>
      <c r="CA106" s="3" t="e">
        <f ca="1">_xll.BDH($C$103,"BS_LT_BORROW","FQ3 2014","FQ3 2014","Currency=INR","Period=FQ","BEST_FPERIOD_OVERRIDE=FQ","FILING_STATUS=OR","EQY_CONSOLIDATED=Y","SCALING_FORMAT=MLN","Sort=A","Dates=H","DateFormat=P","Fill=—","Direction=H","UseDPDF=Y")</f>
        <v>#NAME?</v>
      </c>
      <c r="CB106" s="2" t="e">
        <f ca="1">_xll.BDH($C$103,"TOT_DEBT_TO_EBITDA","FQ3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06" s="2" t="e">
        <f ca="1">_xll.BDH($C$103,"NET_DEBT_TO_EBITDA","FQ3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06" s="2" t="e">
        <f ca="1">_xll.BDH($C$103,"TOTAL_DEBT_TO_EBIT","FQ3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06" s="2" t="e">
        <f ca="1">_xll.BDH($C$103,"NET_DEBT_TO_EBIT","FQ3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06" s="2" t="e">
        <f ca="1">_xll.BDH($C$103,"EBITDA_TO_INTEREST_EXPN","FQ3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06" s="2" t="e">
        <f ca="1">_xll.BDH($C$103,"COM_EQY_TO_TOT_ASSET","FQ3 2014","FQ3 2014","Currency=INR","Period=FQ","BEST_FPERIOD_OVERRIDE=FQ","FILING_STATUS=OR","EQY_CONSOLIDATED=Y","Sort=A","Dates=H","DateFormat=P","Fill=—","Direction=H","UseDPDF=Y")</f>
        <v>#NAME?</v>
      </c>
      <c r="CH106" s="2" t="e">
        <f ca="1">_xll.BDH($C$103,"LT_DEBT_TO_TOT_EQY","FQ3 2014","FQ3 2014","Currency=INR","Period=FQ","BEST_FPERIOD_OVERRIDE=FQ","FILING_STATUS=OR","EQY_CONSOLIDATED=Y","Sort=A","Dates=H","DateFormat=P","Fill=—","Direction=H","UseDPDF=Y")</f>
        <v>#NAME?</v>
      </c>
      <c r="CI106" s="2" t="e">
        <f ca="1">_xll.BDH($C$103,"LT_DEBT_TO_TOT_CAP","FQ3 2014","FQ3 2014","Currency=INR","Period=FQ","BEST_FPERIOD_OVERRIDE=FQ","FILING_STATUS=OR","EQY_CONSOLIDATED=Y","Sort=A","Dates=H","DateFormat=P","Fill=—","Direction=H","UseDPDF=Y")</f>
        <v>#NAME?</v>
      </c>
      <c r="CJ106" s="2" t="e">
        <f ca="1">_xll.BDH($C$103,"LT_DEBT_TO_TOT_ASSET","FQ3 2014","FQ3 2014","Currency=INR","Period=FQ","BEST_FPERIOD_OVERRIDE=FQ","FILING_STATUS=OR","EQY_CONSOLIDATED=Y","Sort=A","Dates=H","DateFormat=P","Fill=—","Direction=H","UseDPDF=Y")</f>
        <v>#NAME?</v>
      </c>
      <c r="CK106" s="2" t="e">
        <f ca="1">_xll.BDH($C$103,"TOT_DEBT_TO_TOT_EQY","FQ3 2014","FQ3 2014","Currency=INR","Period=FQ","BEST_FPERIOD_OVERRIDE=FQ","FILING_STATUS=OR","EQY_CONSOLIDATED=Y","Sort=A","Dates=H","DateFormat=P","Fill=—","Direction=H","UseDPDF=Y")</f>
        <v>#NAME?</v>
      </c>
      <c r="CL106" s="2" t="e">
        <f ca="1">_xll.BDH($C$103,"TOT_DEBT_TO_TOT_CAP","FQ3 2014","FQ3 2014","Currency=INR","Period=FQ","BEST_FPERIOD_OVERRIDE=FQ","FILING_STATUS=OR","EQY_CONSOLIDATED=Y","Sort=A","Dates=H","DateFormat=P","Fill=—","Direction=H","UseDPDF=Y")</f>
        <v>#NAME?</v>
      </c>
      <c r="CM106" s="2" t="e">
        <f ca="1">_xll.BDH($C$103,"TOT_DEBT_TO_TOT_ASSET","FQ3 2014","FQ3 2014","Currency=INR","Period=FQ","BEST_FPERIOD_OVERRIDE=FQ","FILING_STATUS=OR","EQY_CONSOLIDATED=Y","Sort=A","Dates=H","DateFormat=P","Fill=—","Direction=H","UseDPDF=Y")</f>
        <v>#NAME?</v>
      </c>
      <c r="CN106" s="2" t="e">
        <f ca="1">_xll.BDH($C$103,"NET_DEBT_TO_SHRHLDR_EQTY","FQ3 2014","FQ3 2014","Currency=INR","Period=FQ","BEST_FPERIOD_OVERRIDE=FQ","FILING_STATUS=OR","EQY_CONSOLIDATED=Y","Sort=A","Dates=H","DateFormat=P","Fill=—","Direction=H","UseDPDF=Y")</f>
        <v>#NAME?</v>
      </c>
      <c r="CO106" s="2" t="e">
        <f ca="1">_xll.BDH($C$103,"NET_DEBT_%_CAPITAL","FQ3 2014","FQ3 2014","Currency=INR","Period=FQ","BEST_FPERIOD_OVERRIDE=FQ","FILING_STATUS=OR","EQY_CONSOLIDATED=Y","Sort=A","Dates=H","DateFormat=P","Fill=—","Direction=H","UseDPDF=Y")</f>
        <v>#NAME?</v>
      </c>
      <c r="CP106" s="3" t="e">
        <f ca="1">_xll.BDH($C$103,"EBITDA","FQ3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06" s="3" t="e">
        <f ca="1">_xll.BDH($C$103,"EBITDA_AFTER_CAPEX","FQ3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06" s="3" t="e">
        <f ca="1">_xll.BDH($C$103,"IS_OPER_INC","FQ3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06" s="2" t="e">
        <f ca="1">_xll.BDH($C$103,"CASH_RATIO","FQ3 2014","FQ3 2014","Currency=INR","Period=FQ","BEST_FPERIOD_OVERRIDE=FQ","FILING_STATUS=OR","EQY_CONSOLIDATED=Y","Sort=A","Dates=H","DateFormat=P","Fill=—","Direction=H","UseDPDF=Y")</f>
        <v>#NAME?</v>
      </c>
      <c r="CT106" s="2" t="e">
        <f ca="1">_xll.BDH($C$103,"CUR_RATIO","FQ3 2014","FQ3 2014","Currency=INR","Period=FQ","BEST_FPERIOD_OVERRIDE=FQ","FILING_STATUS=OR","EQY_CONSOLIDATED=Y","Sort=A","Dates=H","DateFormat=P","Fill=—","Direction=H","UseDPDF=Y")</f>
        <v>#NAME?</v>
      </c>
      <c r="CU106" s="2" t="e">
        <f ca="1">_xll.BDH($C$103,"QUICK_RATIO","FQ3 2014","FQ3 2014","Currency=INR","Period=FQ","BEST_FPERIOD_OVERRIDE=FQ","FILING_STATUS=OR","EQY_CONSOLIDATED=Y","Sort=A","Dates=H","DateFormat=P","Fill=—","Direction=H","UseDPDF=Y")</f>
        <v>#NAME?</v>
      </c>
      <c r="CV106" s="2" t="e">
        <f ca="1">_xll.BDH($C$103,"ALTMAN_Z_SCORE","FQ3 2014","FQ3 2014","Currency=INR","Period=FQ","BEST_FPERIOD_OVERRIDE=FQ","FILING_STATUS=OR","EQY_CONSOLIDATED=Y","Sort=A","Dates=H","DateFormat=P","Fill=—","Direction=H","UseDPDF=Y")</f>
        <v>#NAME?</v>
      </c>
      <c r="CW106" s="4" t="e">
        <f ca="1">_xll.BDH($C$103,"ACCT_RCV_TURN","FQ3 2014","FQ3 2014","Currency=INR","Period=FQ","BEST_FPERIOD_OVERRIDE=FQ","FILING_STATUS=OR","EQY_CONSOLIDATED=Y","FA_ADJUSTED=GAAP","Sort=A","Dates=H","DateFormat=P","Fill=—","Direction=H","UseDPDF=Y")</f>
        <v>#NAME?</v>
      </c>
      <c r="CX106" s="2" t="e">
        <f ca="1">_xll.BDH($C$103,"ACCT_RCV_DAYS","FQ3 2014","FQ3 2014","Currency=INR","Period=FQ","BEST_FPERIOD_OVERRIDE=FQ","FILING_STATUS=OR","EQY_CONSOLIDATED=Y","FA_ADJUSTED=GAAP","Sort=A","Dates=H","DateFormat=P","Fill=—","Direction=H","UseDPDF=Y")</f>
        <v>#NAME?</v>
      </c>
      <c r="CY106" s="4" t="e">
        <f ca="1">_xll.BDH($C$103,"INVENT_TURN","FQ3 2014","FQ3 2014","Currency=INR","Period=FQ","BEST_FPERIOD_OVERRIDE=FQ","FILING_STATUS=OR","EQY_CONSOLIDATED=Y","FA_ADJUSTED=GAAP","Sort=A","Dates=H","DateFormat=P","Fill=—","Direction=H","UseDPDF=Y")</f>
        <v>#NAME?</v>
      </c>
      <c r="CZ106" s="2" t="e">
        <f ca="1">_xll.BDH($C$103,"INVENT_DAYS","FQ3 2014","FQ3 2014","Currency=INR","Period=FQ","BEST_FPERIOD_OVERRIDE=FQ","FILING_STATUS=OR","EQY_CONSOLIDATED=Y","FA_ADJUSTED=GAAP","Sort=A","Dates=H","DateFormat=P","Fill=—","Direction=H","UseDPDF=Y")</f>
        <v>#NAME?</v>
      </c>
      <c r="DA106" s="4" t="e">
        <f ca="1">_xll.BDH($C$103,"ACCOUNTS_PAYABLE_TURNOVER","FQ3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06" s="2" t="e">
        <f ca="1">_xll.BDH($C$103,"ACCOUNTS_PAYABLE_TURNOVER_DAYS","FQ3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06" s="4" t="e">
        <f ca="1">_xll.BDH($C$103,"CASH_CONVERSION_CYCLE","FQ3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06" s="4" t="e">
        <f ca="1">_xll.BDH($C$103,"INV_TO_CASH_DAYS","FQ3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06" s="5" t="e">
        <f ca="1">_xll.BDH($C$103,"BS_INVENTORIES","FQ3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06" s="3" t="e">
        <f ca="1">_xll.BDH($C$103,"INVTRY_RAW_MATERIALS","FQ3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06" s="3" t="e">
        <f ca="1">_xll.BDH($C$103,"INVTRY_IN_PROGRESS","FQ3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06" s="3" t="e">
        <f ca="1">_xll.BDH($C$103,"INVTRY_FINISHED_GOODS","FQ3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06" s="3" t="e">
        <f ca="1">_xll.BDH($C$103,"BS_OTHER_INV","FQ3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07" spans="1:113" x14ac:dyDescent="0.3">
      <c r="A107" s="6"/>
      <c r="B107" s="6"/>
      <c r="C107" s="6"/>
      <c r="D107" s="6"/>
      <c r="E107" t="s">
        <v>81</v>
      </c>
      <c r="F107" t="e">
        <f ca="1">_xll.BDH($C$103,"RETURN_COM_EQY","FQ4 2014","FQ4 2014","Currency=INR","Period=FQ","BEST_FPERIOD_OVERRIDE=FQ","FILING_STATUS=OR","EQY_CONSOLIDATED=Y","FA_ADJUSTED=GAAP","Sort=A","Dates=H","DateFormat=P","Fill=—","Direction=H","UseDPDF=Y")</f>
        <v>#NAME?</v>
      </c>
      <c r="G107" t="e">
        <f ca="1">_xll.BDH($C$103,"RETURN_ON_ASSET","FQ4 2014","FQ4 2014","Currency=INR","Period=FQ","BEST_FPERIOD_OVERRIDE=FQ","FILING_STATUS=OR","EQY_CONSOLIDATED=Y","FA_ADJUSTED=GAAP","Sort=A","Dates=H","DateFormat=P","Fill=—","Direction=H","UseDPDF=Y")</f>
        <v>#NAME?</v>
      </c>
      <c r="H107" t="e">
        <f ca="1">_xll.BDH($C$103,"RETURN_ON_CAP","FQ4 2014","FQ4 2014","Currency=INR","Period=FQ","BEST_FPERIOD_OVERRIDE=FQ","FILING_STATUS=OR","EQY_CONSOLIDATED=Y","FA_ADJUSTED=GAAP","Sort=A","Dates=H","DateFormat=P","Fill=—","Direction=H","UseDPDF=Y")</f>
        <v>#NAME?</v>
      </c>
      <c r="I107" t="e">
        <f ca="1">_xll.BDH($C$103,"RETURN_ON_INV_CAPITAL","FQ4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07" t="e">
        <f ca="1">_xll.BDH($C$103,"EBITDA_TO_REVENUE","FQ4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07" t="e">
        <f ca="1">_xll.BDH($C$103,"OPER_MARGIN","FQ4 2014","FQ4 2014","Currency=INR","Period=FQ","BEST_FPERIOD_OVERRIDE=FQ","FILING_STATUS=OR","EQY_CONSOLIDATED=Y","FA_ADJUSTED=GAAP","Sort=A","Dates=H","DateFormat=P","Fill=—","Direction=H","UseDPDF=Y")</f>
        <v>#NAME?</v>
      </c>
      <c r="L107" t="e">
        <f ca="1">_xll.BDH($C$103,"INCREMENTAL_OPERATING_MARGIN","FQ4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07" t="e">
        <f ca="1">_xll.BDH($C$103,"PRETAX_INC_TO_NET_SALES","FQ4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07" t="e">
        <f ca="1">_xll.BDH($C$103,"INC_BEF_XO_ITEMS_TO_NET_SALES","FQ4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07" t="e">
        <f ca="1">_xll.BDH($C$103,"PROF_MARGIN","FQ4 2014","FQ4 2014","Currency=INR","Period=FQ","BEST_FPERIOD_OVERRIDE=FQ","FILING_STATUS=OR","EQY_CONSOLIDATED=Y","FA_ADJUSTED=GAAP","Sort=A","Dates=H","DateFormat=P","Fill=—","Direction=H","UseDPDF=Y")</f>
        <v>#NAME?</v>
      </c>
      <c r="P107" t="e">
        <f ca="1">_xll.BDH($C$103,"NET_INCOME_TO_COMMON_MARGIN","FQ4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07" t="e">
        <f ca="1">_xll.BDH($C$103,"EFF_TAX_RATE","FQ4 2014","FQ4 2014","Currency=INR","Period=FQ","BEST_FPERIOD_OVERRIDE=FQ","FILING_STATUS=OR","EQY_CONSOLIDATED=Y","FA_ADJUSTED=GAAP","Sort=A","Dates=H","DateFormat=P","Fill=—","Direction=H","UseDPDF=Y")</f>
        <v>#NAME?</v>
      </c>
      <c r="R107" t="e">
        <f ca="1">_xll.BDH($C$103,"DVD_PAYOUT_RATIO","FQ4 2014","FQ4 2014","Currency=INR","Period=FQ","BEST_FPERIOD_OVERRIDE=FQ","FILING_STATUS=OR","EQY_CONSOLIDATED=Y","FA_ADJUSTED=GAAP","Sort=A","Dates=H","DateFormat=P","Fill=—","Direction=H","UseDPDF=Y")</f>
        <v>#NAME?</v>
      </c>
      <c r="S107" t="e">
        <f ca="1">_xll.BDH($C$103,"SUSTAIN_GROWTH_RT","FQ4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07" s="2" t="e">
        <f ca="1">_xll.BDH($C$103,"SALES_GROWTH","FQ4 2014","FQ4 2014","Currency=INR","Period=FQ","BEST_FPERIOD_OVERRIDE=FQ","FILING_STATUS=OR","EQY_CONSOLIDATED=Y","FA_ADJUSTED=GAAP","Sort=A","Dates=H","DateFormat=P","Fill=—","Direction=H","UseDPDF=Y")</f>
        <v>#NAME?</v>
      </c>
      <c r="U107" s="2" t="e">
        <f ca="1">_xll.BDH($C$103,"EBITDA_GROWTH","FQ4 2014","FQ4 2014","Currency=INR","Period=FQ","BEST_FPERIOD_OVERRIDE=FQ","FILING_STATUS=OR","EQY_CONSOLIDATED=Y","FA_ADJUSTED=GAAP","Sort=A","Dates=H","DateFormat=P","Fill=—","Direction=H","UseDPDF=Y")</f>
        <v>#NAME?</v>
      </c>
      <c r="V107" s="2" t="e">
        <f ca="1">_xll.BDH($C$103,"OPER_INC_GROWTH","FQ4 2014","FQ4 2014","Currency=INR","Period=FQ","BEST_FPERIOD_OVERRIDE=FQ","FILING_STATUS=OR","EQY_CONSOLIDATED=Y","FA_ADJUSTED=GAAP","Sort=A","Dates=H","DateFormat=P","Fill=—","Direction=H","UseDPDF=Y")</f>
        <v>#NAME?</v>
      </c>
      <c r="W107" s="2" t="e">
        <f ca="1">_xll.BDH($C$103,"EARN_FOR_COM_GROWTH","FQ4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07" s="2" t="e">
        <f ca="1">_xll.BDH($C$103,"DILUTED_EPS_AFT_XO_ITEMS_GROWTH","FQ4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07" s="2" t="e">
        <f ca="1">_xll.BDH($C$103,"DIVIDEND_PER_SHARE_1_YEAR_GROWTH","FQ4 2014","FQ4 2014","Currency=INR","Period=FQ","BEST_FPERIOD_OVERRIDE=FQ","FILING_STATUS=OR","EQY_CONSOLIDATED=Y","Sort=A","Dates=H","DateFormat=P","Fill=—","Direction=H","UseDPDF=Y")</f>
        <v>#NAME?</v>
      </c>
      <c r="Z107" s="2" t="e">
        <f ca="1">_xll.BDH($C$103,"ACCOUNTS_RECEIVABLE_GROWTH","FQ4 2014","FQ4 2014","Currency=INR","Period=FQ","BEST_FPERIOD_OVERRIDE=FQ","FILING_STATUS=OR","EQY_CONSOLIDATED=Y","Sort=A","Dates=H","DateFormat=P","Fill=—","Direction=H","UseDPDF=Y")</f>
        <v>#NAME?</v>
      </c>
      <c r="AA107" s="2" t="e">
        <f ca="1">_xll.BDH($C$103,"INVENTORY_GROWTH","FQ4 2014","FQ4 2014","Currency=INR","Period=FQ","BEST_FPERIOD_OVERRIDE=FQ","FILING_STATUS=OR","EQY_CONSOLIDATED=Y","Sort=A","Dates=H","DateFormat=P","Fill=—","Direction=H","UseDPDF=Y")</f>
        <v>#NAME?</v>
      </c>
      <c r="AB107" s="2" t="e">
        <f ca="1">_xll.BDH($C$103,"NET_FIXED_ASSETS_1_YEAR_GROWTH","FQ4 2014","FQ4 2014","Currency=INR","Period=FQ","BEST_FPERIOD_OVERRIDE=FQ","FILING_STATUS=OR","EQY_CONSOLIDATED=Y","Sort=A","Dates=H","DateFormat=P","Fill=—","Direction=H","UseDPDF=Y")</f>
        <v>#NAME?</v>
      </c>
      <c r="AC107" s="2" t="e">
        <f ca="1">_xll.BDH($C$103,"ASSET_GROWTH","FQ4 2014","FQ4 2014","Currency=INR","Period=FQ","BEST_FPERIOD_OVERRIDE=FQ","FILING_STATUS=OR","EQY_CONSOLIDATED=Y","Sort=A","Dates=H","DateFormat=P","Fill=—","Direction=H","UseDPDF=Y")</f>
        <v>#NAME?</v>
      </c>
      <c r="AD107" s="2" t="e">
        <f ca="1">_xll.BDH($C$103,"MODIFIED_WORK_CAP_GROWTH","FQ4 2014","FQ4 2014","Currency=INR","Period=FQ","BEST_FPERIOD_OVERRIDE=FQ","FILING_STATUS=OR","EQY_CONSOLIDATED=Y","Sort=A","Dates=H","DateFormat=P","Fill=—","Direction=H","UseDPDF=Y")</f>
        <v>#NAME?</v>
      </c>
      <c r="AE107" s="2" t="e">
        <f ca="1">_xll.BDH($C$103,"WORK_CAP_GROWTH","FQ4 2014","FQ4 2014","Currency=INR","Period=FQ","BEST_FPERIOD_OVERRIDE=FQ","FILING_STATUS=OR","EQY_CONSOLIDATED=Y","Sort=A","Dates=H","DateFormat=P","Fill=—","Direction=H","UseDPDF=Y")</f>
        <v>#NAME?</v>
      </c>
      <c r="AF107" s="2" t="e">
        <f ca="1">_xll.BDH($C$103,"ACCOUNTS_PAYABLE_GROWTH_1YR","FQ4 2014","FQ4 2014","Currency=INR","Period=FQ","BEST_FPERIOD_OVERRIDE=FQ","FILING_STATUS=OR","EQY_CONSOLIDATED=Y","Sort=A","Dates=H","DateFormat=P","Fill=—","Direction=H","UseDPDF=Y")</f>
        <v>#NAME?</v>
      </c>
      <c r="AG107" s="2" t="e">
        <f ca="1">_xll.BDH($C$103,"SHORT_TERM_DEBT_1_YEAR_GROWTH","FQ4 2014","FQ4 2014","Currency=INR","Period=FQ","BEST_FPERIOD_OVERRIDE=FQ","FILING_STATUS=OR","EQY_CONSOLIDATED=Y","Sort=A","Dates=H","DateFormat=P","Fill=—","Direction=H","UseDPDF=Y")</f>
        <v>#NAME?</v>
      </c>
      <c r="AH107" s="2" t="e">
        <f ca="1">_xll.BDH($C$103,"TOTAL_DEBT_1_YEAR_GROWTH","FQ4 2014","FQ4 2014","Currency=INR","Period=FQ","BEST_FPERIOD_OVERRIDE=FQ","FILING_STATUS=OR","EQY_CONSOLIDATED=Y","Sort=A","Dates=H","DateFormat=P","Fill=—","Direction=H","UseDPDF=Y")</f>
        <v>#NAME?</v>
      </c>
      <c r="AI107" s="2" t="e">
        <f ca="1">_xll.BDH($C$103,"TOTAL_EQUITY_1_YEAR_GROWTH","FQ4 2014","FQ4 2014","Currency=INR","Period=FQ","BEST_FPERIOD_OVERRIDE=FQ","FILING_STATUS=OR","EQY_CONSOLIDATED=Y","Sort=A","Dates=H","DateFormat=P","Fill=—","Direction=H","UseDPDF=Y")</f>
        <v>#NAME?</v>
      </c>
      <c r="AJ107" s="2" t="e">
        <f ca="1">_xll.BDH($C$103,"GROWTH_IN_CAP","FQ4 2014","FQ4 2014","Currency=INR","Period=FQ","BEST_FPERIOD_OVERRIDE=FQ","FILING_STATUS=OR","EQY_CONSOLIDATED=Y","Sort=A","Dates=H","DateFormat=P","Fill=—","Direction=H","UseDPDF=Y")</f>
        <v>#NAME?</v>
      </c>
      <c r="AK107" s="2" t="e">
        <f ca="1">_xll.BDH($C$103,"BVPS_GROWTH","FQ4 2014","FQ4 2014","Currency=INR","Period=FQ","BEST_FPERIOD_OVERRIDE=FQ","FILING_STATUS=OR","EQY_CONSOLIDATED=Y","Sort=A","Dates=H","DateFormat=P","Fill=—","Direction=H","UseDPDF=Y")</f>
        <v>#NAME?</v>
      </c>
      <c r="AL107" s="2" t="e">
        <f ca="1">_xll.BDH($C$103,"CASH_FLOW_GROWTH","FQ4 2014","FQ4 2014","Currency=INR","Period=FQ","BEST_FPERIOD_OVERRIDE=FQ","FILING_STATUS=OR","EQY_CONSOLIDATED=Y","Sort=A","Dates=H","DateFormat=P","Fill=—","Direction=H","UseDPDF=Y")</f>
        <v>#NAME?</v>
      </c>
      <c r="AM107" s="2" t="e">
        <f ca="1">_xll.BDH($C$103,"GEO_GROW_NET_SALES","FQ4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07" s="2" t="e">
        <f ca="1">_xll.BDH($C$103,"GEO_GROW_EBITDA","FQ4 2014","FQ4 2014","Currency=INR","Period=FQ","BEST_FPERIOD_OVERRIDE=FQ","FILING_STATUS=OR","EQY_CONSOLIDATED=Y","FA_ADJUSTED=GAAP","Sort=A","Dates=H","DateFormat=P","Fill=—","Direction=H","UseDPDF=Y")</f>
        <v>#NAME?</v>
      </c>
      <c r="AO107" s="2" t="e">
        <f ca="1">_xll.BDH($C$103,"GEO_GROW_OPER_INC","FQ4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07" s="2" t="e">
        <f ca="1">_xll.BDH($C$103,"NET_INCOME_TO_COMMON_5_YR_GROWTH","FQ4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07" s="2" t="e">
        <f ca="1">_xll.BDH($C$103,"5Y_GEO_GROWTH_DILUTED_EPS","FQ4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07" s="2" t="e">
        <f ca="1">_xll.BDH($C$103,"GEO_GROW_DVD_PER_SH","FQ4 2014","FQ4 2014","Currency=INR","Period=FQ","BEST_FPERIOD_OVERRIDE=FQ","FILING_STATUS=OR","EQY_CONSOLIDATED=Y","Sort=A","Dates=H","DateFormat=P","Fill=—","Direction=H","UseDPDF=Y")</f>
        <v>#NAME?</v>
      </c>
      <c r="AS107" s="2" t="e">
        <f ca="1">_xll.BDH($C$103,"ACCOUNTS_RECEIVABLE_5_YR_GROWTH","FQ4 2014","FQ4 2014","Currency=INR","Period=FQ","BEST_FPERIOD_OVERRIDE=FQ","FILING_STATUS=OR","EQY_CONSOLIDATED=Y","Sort=A","Dates=H","DateFormat=P","Fill=—","Direction=H","UseDPDF=Y")</f>
        <v>#NAME?</v>
      </c>
      <c r="AT107" s="2" t="e">
        <f ca="1">_xll.BDH($C$103,"INVENTORY_5_YEAR_GROWTH","FQ4 2014","FQ4 2014","Currency=INR","Period=FQ","BEST_FPERIOD_OVERRIDE=FQ","FILING_STATUS=OR","EQY_CONSOLIDATED=Y","Sort=A","Dates=H","DateFormat=P","Fill=—","Direction=H","UseDPDF=Y")</f>
        <v>#NAME?</v>
      </c>
      <c r="AU107" s="2" t="e">
        <f ca="1">_xll.BDH($C$103,"NET_FIXED_ASSETS_5_YEAR_GROWTH","FQ4 2014","FQ4 2014","Currency=INR","Period=FQ","BEST_FPERIOD_OVERRIDE=FQ","FILING_STATUS=OR","EQY_CONSOLIDATED=Y","Sort=A","Dates=H","DateFormat=P","Fill=—","Direction=H","UseDPDF=Y")</f>
        <v>#NAME?</v>
      </c>
      <c r="AV107" s="2" t="e">
        <f ca="1">_xll.BDH($C$103,"GEO_GROW_TOT_ASSET","FQ4 2014","FQ4 2014","Currency=INR","Period=FQ","BEST_FPERIOD_OVERRIDE=FQ","FILING_STATUS=OR","EQY_CONSOLIDATED=Y","Sort=A","Dates=H","DateFormat=P","Fill=—","Direction=H","UseDPDF=Y")</f>
        <v>#NAME?</v>
      </c>
      <c r="AW107" s="2" t="e">
        <f ca="1">_xll.BDH($C$103,"MODIFIED_WORKING_CPTL_5YR_GRWTH","FQ4 2014","FQ4 2014","Currency=INR","Period=FQ","BEST_FPERIOD_OVERRIDE=FQ","FILING_STATUS=OR","EQY_CONSOLIDATED=Y","Sort=A","Dates=H","DateFormat=P","Fill=—","Direction=H","UseDPDF=Y")</f>
        <v>#NAME?</v>
      </c>
      <c r="AX107" s="2" t="e">
        <f ca="1">_xll.BDH($C$103,"WORKING_CAPITAL_5_YEAR_GROWTH","FQ4 2014","FQ4 2014","Currency=INR","Period=FQ","BEST_FPERIOD_OVERRIDE=FQ","FILING_STATUS=OR","EQY_CONSOLIDATED=Y","Sort=A","Dates=H","DateFormat=P","Fill=—","Direction=H","UseDPDF=Y")</f>
        <v>#NAME?</v>
      </c>
      <c r="AY107" s="2" t="e">
        <f ca="1">_xll.BDH($C$103,"ACCOUNTS_PAYABLE_5_YEAR_GROWTH","FQ4 2014","FQ4 2014","Currency=INR","Period=FQ","BEST_FPERIOD_OVERRIDE=FQ","FILING_STATUS=OR","EQY_CONSOLIDATED=Y","Sort=A","Dates=H","DateFormat=P","Fill=—","Direction=H","UseDPDF=Y")</f>
        <v>#NAME?</v>
      </c>
      <c r="AZ107" s="2" t="e">
        <f ca="1">_xll.BDH($C$103,"SHORT_TERM_DEBT_5_YEAR_GROWTH","FQ4 2014","FQ4 2014","Currency=INR","Period=FQ","BEST_FPERIOD_OVERRIDE=FQ","FILING_STATUS=OR","EQY_CONSOLIDATED=Y","Sort=A","Dates=H","DateFormat=P","Fill=—","Direction=H","UseDPDF=Y")</f>
        <v>#NAME?</v>
      </c>
      <c r="BA107" s="2" t="e">
        <f ca="1">_xll.BDH($C$103,"TOTAL_DEBT_5_YEAR_GROWTH","FQ4 2014","FQ4 2014","Currency=INR","Period=FQ","BEST_FPERIOD_OVERRIDE=FQ","FILING_STATUS=OR","EQY_CONSOLIDATED=Y","Sort=A","Dates=H","DateFormat=P","Fill=—","Direction=H","UseDPDF=Y")</f>
        <v>#NAME?</v>
      </c>
      <c r="BB107" s="2" t="e">
        <f ca="1">_xll.BDH($C$103,"GEO_GROW_TOT_SHRHLDR_EQY","FQ4 2014","FQ4 2014","Currency=INR","Period=FQ","BEST_FPERIOD_OVERRIDE=FQ","FILING_STATUS=OR","EQY_CONSOLIDATED=Y","Sort=A","Dates=H","DateFormat=P","Fill=—","Direction=H","UseDPDF=Y")</f>
        <v>#NAME?</v>
      </c>
      <c r="BC107" s="2" t="e">
        <f ca="1">_xll.BDH($C$103,"TOTAL_CAPITAL_5_YEAR_GROWTH","FQ4 2014","FQ4 2014","Currency=INR","Period=FQ","BEST_FPERIOD_OVERRIDE=FQ","FILING_STATUS=OR","EQY_CONSOLIDATED=Y","Sort=A","Dates=H","DateFormat=P","Fill=—","Direction=H","UseDPDF=Y")</f>
        <v>#NAME?</v>
      </c>
      <c r="BD107" s="2" t="e">
        <f ca="1">_xll.BDH($C$103,"GEO_GROW_BOOK_VAL","FQ4 2014","FQ4 2014","Currency=INR","Period=FQ","BEST_FPERIOD_OVERRIDE=FQ","FILING_STATUS=OR","EQY_CONSOLIDATED=Y","Sort=A","Dates=H","DateFormat=P","Fill=—","Direction=H","UseDPDF=Y")</f>
        <v>#NAME?</v>
      </c>
      <c r="BE107" s="2" t="e">
        <f ca="1">_xll.BDH($C$103,"GEO_GROW_CASH_OPER_ACT","FQ4 2014","FQ4 2014","Currency=INR","Period=FQ","BEST_FPERIOD_OVERRIDE=FQ","FILING_STATUS=OR","EQY_CONSOLIDATED=Y","Sort=A","Dates=H","DateFormat=P","Fill=—","Direction=H","UseDPDF=Y")</f>
        <v>#NAME?</v>
      </c>
      <c r="BF107" s="2" t="e">
        <f ca="1">_xll.BDH($C$103,"REVENUE_SEQUENTIAL_GROWTH","FQ4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07" s="2" t="e">
        <f ca="1">_xll.BDH($C$103,"EBITDA_SEQUENTIAL_GROWTH","FQ4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07" s="2" t="e">
        <f ca="1">_xll.BDH($C$103,"OPERATING_INCOME_SEQ_GROWTH","FQ4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07" s="2" t="e">
        <f ca="1">_xll.BDH($C$103,"NET_INCOME_TO_COMMON_SEQ_GROWTH","FQ4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07" s="2" t="e">
        <f ca="1">_xll.BDH($C$103,"EPS_DILUTED_SEQUENTIAL_GROWTH","FQ4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07" s="2" t="e">
        <f ca="1">_xll.BDH($C$103,"DPS_SEQUENTIAL_GROWTH","FQ4 2014","FQ4 2014","Currency=INR","Period=FQ","BEST_FPERIOD_OVERRIDE=FQ","FILING_STATUS=OR","EQY_CONSOLIDATED=Y","Sort=A","Dates=H","DateFormat=P","Fill=—","Direction=H","UseDPDF=Y")</f>
        <v>#NAME?</v>
      </c>
      <c r="BL107" s="2" t="e">
        <f ca="1">_xll.BDH($C$103,"ACCOUNTS_RECEIVABLE_SEQ_GROWTH","FQ4 2014","FQ4 2014","Currency=INR","Period=FQ","BEST_FPERIOD_OVERRIDE=FQ","FILING_STATUS=OR","EQY_CONSOLIDATED=Y","Sort=A","Dates=H","DateFormat=P","Fill=—","Direction=H","UseDPDF=Y")</f>
        <v>#NAME?</v>
      </c>
      <c r="BM107" s="2" t="e">
        <f ca="1">_xll.BDH($C$103,"INVENTORY_SEQUENTIAL_GROWTH","FQ4 2014","FQ4 2014","Currency=INR","Period=FQ","BEST_FPERIOD_OVERRIDE=FQ","FILING_STATUS=OR","EQY_CONSOLIDATED=Y","Sort=A","Dates=H","DateFormat=P","Fill=—","Direction=H","UseDPDF=Y")</f>
        <v>#NAME?</v>
      </c>
      <c r="BN107" s="2" t="e">
        <f ca="1">_xll.BDH($C$103,"FIXED_ASSETS_SEQUENTIAL_GROWTH","FQ4 2014","FQ4 2014","Currency=INR","Period=FQ","BEST_FPERIOD_OVERRIDE=FQ","FILING_STATUS=OR","EQY_CONSOLIDATED=Y","Sort=A","Dates=H","DateFormat=P","Fill=—","Direction=H","UseDPDF=Y")</f>
        <v>#NAME?</v>
      </c>
      <c r="BO107" s="2" t="e">
        <f ca="1">_xll.BDH($C$103,"TOTAL_ASSETS_SEQUENTIAL_GROWTH","FQ4 2014","FQ4 2014","Currency=INR","Period=FQ","BEST_FPERIOD_OVERRIDE=FQ","FILING_STATUS=OR","EQY_CONSOLIDATED=Y","Sort=A","Dates=H","DateFormat=P","Fill=—","Direction=H","UseDPDF=Y")</f>
        <v>#NAME?</v>
      </c>
      <c r="BP107" s="2" t="e">
        <f ca="1">_xll.BDH($C$103,"MODIFIED_WORKING_CPTL_SEQ_GRWTH","FQ4 2014","FQ4 2014","Currency=INR","Period=FQ","BEST_FPERIOD_OVERRIDE=FQ","FILING_STATUS=OR","EQY_CONSOLIDATED=Y","Sort=A","Dates=H","DateFormat=P","Fill=—","Direction=H","UseDPDF=Y")</f>
        <v>#NAME?</v>
      </c>
      <c r="BQ107" s="2" t="e">
        <f ca="1">_xll.BDH($C$103,"WORKING_CAPITAL_SEQ_GROWTH","FQ4 2014","FQ4 2014","Currency=INR","Period=FQ","BEST_FPERIOD_OVERRIDE=FQ","FILING_STATUS=OR","EQY_CONSOLIDATED=Y","Sort=A","Dates=H","DateFormat=P","Fill=—","Direction=H","UseDPDF=Y")</f>
        <v>#NAME?</v>
      </c>
      <c r="BR107" s="2" t="e">
        <f ca="1">_xll.BDH($C$103,"ACCOUNTS_PAYABLE_SEQ_GROWTH","FQ4 2014","FQ4 2014","Currency=INR","Period=FQ","BEST_FPERIOD_OVERRIDE=FQ","FILING_STATUS=OR","EQY_CONSOLIDATED=Y","Sort=A","Dates=H","DateFormat=P","Fill=—","Direction=H","UseDPDF=Y")</f>
        <v>#NAME?</v>
      </c>
      <c r="BS107" s="2" t="e">
        <f ca="1">_xll.BDH($C$103,"ST_DEBT_SEQUENTIAL_GROWTH","FQ4 2014","FQ4 2014","Currency=INR","Period=FQ","BEST_FPERIOD_OVERRIDE=FQ","FILING_STATUS=OR","EQY_CONSOLIDATED=Y","Sort=A","Dates=H","DateFormat=P","Fill=—","Direction=H","UseDPDF=Y")</f>
        <v>#NAME?</v>
      </c>
      <c r="BT107" s="2" t="e">
        <f ca="1">_xll.BDH($C$103,"TOTAL_DEBT_SEQUENTIAL_GROWTH","FQ4 2014","FQ4 2014","Currency=INR","Period=FQ","BEST_FPERIOD_OVERRIDE=FQ","FILING_STATUS=OR","EQY_CONSOLIDATED=Y","Sort=A","Dates=H","DateFormat=P","Fill=—","Direction=H","UseDPDF=Y")</f>
        <v>#NAME?</v>
      </c>
      <c r="BU107" s="2" t="e">
        <f ca="1">_xll.BDH($C$103,"TOTAL_EQUITY_SEQUENTIAL_GROWTH","FQ4 2014","FQ4 2014","Currency=INR","Period=FQ","BEST_FPERIOD_OVERRIDE=FQ","FILING_STATUS=OR","EQY_CONSOLIDATED=Y","Sort=A","Dates=H","DateFormat=P","Fill=—","Direction=H","UseDPDF=Y")</f>
        <v>#NAME?</v>
      </c>
      <c r="BV107" s="2" t="e">
        <f ca="1">_xll.BDH($C$103,"TOTAL_CAPITAL_SEQUENTIAL_GROWTH","FQ4 2014","FQ4 2014","Currency=INR","Period=FQ","BEST_FPERIOD_OVERRIDE=FQ","FILING_STATUS=OR","EQY_CONSOLIDATED=Y","Sort=A","Dates=H","DateFormat=P","Fill=—","Direction=H","UseDPDF=Y")</f>
        <v>#NAME?</v>
      </c>
      <c r="BW107" s="2" t="e">
        <f ca="1">_xll.BDH($C$103,"BPS_SEQUENTIAL_GROWTH","FQ4 2014","FQ4 2014","Currency=INR","Period=FQ","BEST_FPERIOD_OVERRIDE=FQ","FILING_STATUS=OR","EQY_CONSOLIDATED=Y","Sort=A","Dates=H","DateFormat=P","Fill=—","Direction=H","UseDPDF=Y")</f>
        <v>#NAME?</v>
      </c>
      <c r="BX107" s="2" t="e">
        <f ca="1">_xll.BDH($C$103,"CFO_SEQUENTIAL_GROWTH","FQ4 2014","FQ4 2014","Currency=INR","Period=FQ","BEST_FPERIOD_OVERRIDE=FQ","FILING_STATUS=OR","EQY_CONSOLIDATED=Y","Sort=A","Dates=H","DateFormat=P","Fill=—","Direction=H","UseDPDF=Y")</f>
        <v>#NAME?</v>
      </c>
      <c r="BY107" s="3" t="e">
        <f ca="1">_xll.BDH($C$103,"SHORT_AND_LONG_TERM_DEBT","FQ4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07" s="3" t="e">
        <f ca="1">_xll.BDH($C$103,"BS_ST_BORROW","FQ4 2014","FQ4 2014","Currency=INR","Period=FQ","BEST_FPERIOD_OVERRIDE=FQ","FILING_STATUS=OR","EQY_CONSOLIDATED=Y","SCALING_FORMAT=MLN","Sort=A","Dates=H","DateFormat=P","Fill=—","Direction=H","UseDPDF=Y")</f>
        <v>#NAME?</v>
      </c>
      <c r="CA107" s="3" t="e">
        <f ca="1">_xll.BDH($C$103,"BS_LT_BORROW","FQ4 2014","FQ4 2014","Currency=INR","Period=FQ","BEST_FPERIOD_OVERRIDE=FQ","FILING_STATUS=OR","EQY_CONSOLIDATED=Y","SCALING_FORMAT=MLN","Sort=A","Dates=H","DateFormat=P","Fill=—","Direction=H","UseDPDF=Y")</f>
        <v>#NAME?</v>
      </c>
      <c r="CB107" s="2" t="e">
        <f ca="1">_xll.BDH($C$103,"TOT_DEBT_TO_EBITDA","FQ4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07" s="2" t="e">
        <f ca="1">_xll.BDH($C$103,"NET_DEBT_TO_EBITDA","FQ4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07" s="2" t="e">
        <f ca="1">_xll.BDH($C$103,"TOTAL_DEBT_TO_EBIT","FQ4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07" s="2" t="e">
        <f ca="1">_xll.BDH($C$103,"NET_DEBT_TO_EBIT","FQ4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07" s="2" t="e">
        <f ca="1">_xll.BDH($C$103,"EBITDA_TO_INTEREST_EXPN","FQ4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07" s="2" t="e">
        <f ca="1">_xll.BDH($C$103,"COM_EQY_TO_TOT_ASSET","FQ4 2014","FQ4 2014","Currency=INR","Period=FQ","BEST_FPERIOD_OVERRIDE=FQ","FILING_STATUS=OR","EQY_CONSOLIDATED=Y","Sort=A","Dates=H","DateFormat=P","Fill=—","Direction=H","UseDPDF=Y")</f>
        <v>#NAME?</v>
      </c>
      <c r="CH107" s="2" t="e">
        <f ca="1">_xll.BDH($C$103,"LT_DEBT_TO_TOT_EQY","FQ4 2014","FQ4 2014","Currency=INR","Period=FQ","BEST_FPERIOD_OVERRIDE=FQ","FILING_STATUS=OR","EQY_CONSOLIDATED=Y","Sort=A","Dates=H","DateFormat=P","Fill=—","Direction=H","UseDPDF=Y")</f>
        <v>#NAME?</v>
      </c>
      <c r="CI107" s="2" t="e">
        <f ca="1">_xll.BDH($C$103,"LT_DEBT_TO_TOT_CAP","FQ4 2014","FQ4 2014","Currency=INR","Period=FQ","BEST_FPERIOD_OVERRIDE=FQ","FILING_STATUS=OR","EQY_CONSOLIDATED=Y","Sort=A","Dates=H","DateFormat=P","Fill=—","Direction=H","UseDPDF=Y")</f>
        <v>#NAME?</v>
      </c>
      <c r="CJ107" s="2" t="e">
        <f ca="1">_xll.BDH($C$103,"LT_DEBT_TO_TOT_ASSET","FQ4 2014","FQ4 2014","Currency=INR","Period=FQ","BEST_FPERIOD_OVERRIDE=FQ","FILING_STATUS=OR","EQY_CONSOLIDATED=Y","Sort=A","Dates=H","DateFormat=P","Fill=—","Direction=H","UseDPDF=Y")</f>
        <v>#NAME?</v>
      </c>
      <c r="CK107" s="2" t="e">
        <f ca="1">_xll.BDH($C$103,"TOT_DEBT_TO_TOT_EQY","FQ4 2014","FQ4 2014","Currency=INR","Period=FQ","BEST_FPERIOD_OVERRIDE=FQ","FILING_STATUS=OR","EQY_CONSOLIDATED=Y","Sort=A","Dates=H","DateFormat=P","Fill=—","Direction=H","UseDPDF=Y")</f>
        <v>#NAME?</v>
      </c>
      <c r="CL107" s="2" t="e">
        <f ca="1">_xll.BDH($C$103,"TOT_DEBT_TO_TOT_CAP","FQ4 2014","FQ4 2014","Currency=INR","Period=FQ","BEST_FPERIOD_OVERRIDE=FQ","FILING_STATUS=OR","EQY_CONSOLIDATED=Y","Sort=A","Dates=H","DateFormat=P","Fill=—","Direction=H","UseDPDF=Y")</f>
        <v>#NAME?</v>
      </c>
      <c r="CM107" s="2" t="e">
        <f ca="1">_xll.BDH($C$103,"TOT_DEBT_TO_TOT_ASSET","FQ4 2014","FQ4 2014","Currency=INR","Period=FQ","BEST_FPERIOD_OVERRIDE=FQ","FILING_STATUS=OR","EQY_CONSOLIDATED=Y","Sort=A","Dates=H","DateFormat=P","Fill=—","Direction=H","UseDPDF=Y")</f>
        <v>#NAME?</v>
      </c>
      <c r="CN107" s="2" t="e">
        <f ca="1">_xll.BDH($C$103,"NET_DEBT_TO_SHRHLDR_EQTY","FQ4 2014","FQ4 2014","Currency=INR","Period=FQ","BEST_FPERIOD_OVERRIDE=FQ","FILING_STATUS=OR","EQY_CONSOLIDATED=Y","Sort=A","Dates=H","DateFormat=P","Fill=—","Direction=H","UseDPDF=Y")</f>
        <v>#NAME?</v>
      </c>
      <c r="CO107" s="2" t="e">
        <f ca="1">_xll.BDH($C$103,"NET_DEBT_%_CAPITAL","FQ4 2014","FQ4 2014","Currency=INR","Period=FQ","BEST_FPERIOD_OVERRIDE=FQ","FILING_STATUS=OR","EQY_CONSOLIDATED=Y","Sort=A","Dates=H","DateFormat=P","Fill=—","Direction=H","UseDPDF=Y")</f>
        <v>#NAME?</v>
      </c>
      <c r="CP107" s="3" t="e">
        <f ca="1">_xll.BDH($C$103,"EBITDA","FQ4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07" s="3" t="e">
        <f ca="1">_xll.BDH($C$103,"EBITDA_AFTER_CAPEX","FQ4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07" s="3" t="e">
        <f ca="1">_xll.BDH($C$103,"IS_OPER_INC","FQ4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07" s="2" t="e">
        <f ca="1">_xll.BDH($C$103,"CASH_RATIO","FQ4 2014","FQ4 2014","Currency=INR","Period=FQ","BEST_FPERIOD_OVERRIDE=FQ","FILING_STATUS=OR","EQY_CONSOLIDATED=Y","Sort=A","Dates=H","DateFormat=P","Fill=—","Direction=H","UseDPDF=Y")</f>
        <v>#NAME?</v>
      </c>
      <c r="CT107" s="2" t="e">
        <f ca="1">_xll.BDH($C$103,"CUR_RATIO","FQ4 2014","FQ4 2014","Currency=INR","Period=FQ","BEST_FPERIOD_OVERRIDE=FQ","FILING_STATUS=OR","EQY_CONSOLIDATED=Y","Sort=A","Dates=H","DateFormat=P","Fill=—","Direction=H","UseDPDF=Y")</f>
        <v>#NAME?</v>
      </c>
      <c r="CU107" s="2" t="e">
        <f ca="1">_xll.BDH($C$103,"QUICK_RATIO","FQ4 2014","FQ4 2014","Currency=INR","Period=FQ","BEST_FPERIOD_OVERRIDE=FQ","FILING_STATUS=OR","EQY_CONSOLIDATED=Y","Sort=A","Dates=H","DateFormat=P","Fill=—","Direction=H","UseDPDF=Y")</f>
        <v>#NAME?</v>
      </c>
      <c r="CV107" s="2" t="e">
        <f ca="1">_xll.BDH($C$103,"ALTMAN_Z_SCORE","FQ4 2014","FQ4 2014","Currency=INR","Period=FQ","BEST_FPERIOD_OVERRIDE=FQ","FILING_STATUS=OR","EQY_CONSOLIDATED=Y","Sort=A","Dates=H","DateFormat=P","Fill=—","Direction=H","UseDPDF=Y")</f>
        <v>#NAME?</v>
      </c>
      <c r="CW107" s="4" t="e">
        <f ca="1">_xll.BDH($C$103,"ACCT_RCV_TURN","FQ4 2014","FQ4 2014","Currency=INR","Period=FQ","BEST_FPERIOD_OVERRIDE=FQ","FILING_STATUS=OR","EQY_CONSOLIDATED=Y","FA_ADJUSTED=GAAP","Sort=A","Dates=H","DateFormat=P","Fill=—","Direction=H","UseDPDF=Y")</f>
        <v>#NAME?</v>
      </c>
      <c r="CX107" s="2" t="e">
        <f ca="1">_xll.BDH($C$103,"ACCT_RCV_DAYS","FQ4 2014","FQ4 2014","Currency=INR","Period=FQ","BEST_FPERIOD_OVERRIDE=FQ","FILING_STATUS=OR","EQY_CONSOLIDATED=Y","FA_ADJUSTED=GAAP","Sort=A","Dates=H","DateFormat=P","Fill=—","Direction=H","UseDPDF=Y")</f>
        <v>#NAME?</v>
      </c>
      <c r="CY107" s="4" t="e">
        <f ca="1">_xll.BDH($C$103,"INVENT_TURN","FQ4 2014","FQ4 2014","Currency=INR","Period=FQ","BEST_FPERIOD_OVERRIDE=FQ","FILING_STATUS=OR","EQY_CONSOLIDATED=Y","FA_ADJUSTED=GAAP","Sort=A","Dates=H","DateFormat=P","Fill=—","Direction=H","UseDPDF=Y")</f>
        <v>#NAME?</v>
      </c>
      <c r="CZ107" s="2" t="e">
        <f ca="1">_xll.BDH($C$103,"INVENT_DAYS","FQ4 2014","FQ4 2014","Currency=INR","Period=FQ","BEST_FPERIOD_OVERRIDE=FQ","FILING_STATUS=OR","EQY_CONSOLIDATED=Y","FA_ADJUSTED=GAAP","Sort=A","Dates=H","DateFormat=P","Fill=—","Direction=H","UseDPDF=Y")</f>
        <v>#NAME?</v>
      </c>
      <c r="DA107" s="4" t="e">
        <f ca="1">_xll.BDH($C$103,"ACCOUNTS_PAYABLE_TURNOVER","FQ4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07" s="2" t="e">
        <f ca="1">_xll.BDH($C$103,"ACCOUNTS_PAYABLE_TURNOVER_DAYS","FQ4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07" s="4" t="e">
        <f ca="1">_xll.BDH($C$103,"CASH_CONVERSION_CYCLE","FQ4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07" s="4" t="e">
        <f ca="1">_xll.BDH($C$103,"INV_TO_CASH_DAYS","FQ4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07" s="5" t="e">
        <f ca="1">_xll.BDH($C$103,"BS_INVENTORIES","FQ4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07" s="3" t="e">
        <f ca="1">_xll.BDH($C$103,"INVTRY_RAW_MATERIALS","FQ4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07" s="3" t="e">
        <f ca="1">_xll.BDH($C$103,"INVTRY_IN_PROGRESS","FQ4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07" s="3" t="e">
        <f ca="1">_xll.BDH($C$103,"INVTRY_FINISHED_GOODS","FQ4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07" s="3" t="e">
        <f ca="1">_xll.BDH($C$103,"BS_OTHER_INV","FQ4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08" spans="1:113" x14ac:dyDescent="0.3">
      <c r="A108" s="6"/>
      <c r="B108" s="6"/>
      <c r="C108" s="6"/>
      <c r="D108" s="6" t="s">
        <v>82</v>
      </c>
      <c r="E108" t="s">
        <v>77</v>
      </c>
      <c r="F108" t="e">
        <f ca="1">_xll.BDH($C$103,"RETURN_COM_EQY","FY 2015","FY 2015","Currency=INR","Period=FY","BEST_FPERIOD_OVERRIDE=FY","FILING_STATUS=OR","EQY_CONSOLIDATED=Y","FA_ADJUSTED=GAAP","Sort=A","Dates=H","DateFormat=P","Fill=—","Direction=H","UseDPDF=Y")</f>
        <v>#NAME?</v>
      </c>
      <c r="G108" t="e">
        <f ca="1">_xll.BDH($C$103,"RETURN_ON_ASSET","FY 2015","FY 2015","Currency=INR","Period=FY","BEST_FPERIOD_OVERRIDE=FY","FILING_STATUS=OR","EQY_CONSOLIDATED=Y","FA_ADJUSTED=GAAP","Sort=A","Dates=H","DateFormat=P","Fill=—","Direction=H","UseDPDF=Y")</f>
        <v>#NAME?</v>
      </c>
      <c r="H108" t="e">
        <f ca="1">_xll.BDH($C$103,"RETURN_ON_CAP","FY 2015","FY 2015","Currency=INR","Period=FY","BEST_FPERIOD_OVERRIDE=FY","FILING_STATUS=OR","EQY_CONSOLIDATED=Y","FA_ADJUSTED=GAAP","Sort=A","Dates=H","DateFormat=P","Fill=—","Direction=H","UseDPDF=Y")</f>
        <v>#NAME?</v>
      </c>
      <c r="I108" t="e">
        <f ca="1">_xll.BDH($C$103,"RETURN_ON_INV_CAPITAL","FY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08" t="e">
        <f ca="1">_xll.BDH($C$103,"EBITDA_TO_REVENUE","FY 2015","FY 2015","Currency=INR","Period=FY","BEST_FPERIOD_OVERRIDE=FY","FILING_STATUS=OR","EQY_CONSOLIDATED=Y","FA_ADJUSTED=GAAP","Sort=A","Dates=H","DateFormat=P","Fill=—","Direction=H","UseDPDF=Y")</f>
        <v>#NAME?</v>
      </c>
      <c r="K108" t="e">
        <f ca="1">_xll.BDH($C$103,"OPER_MARGIN","FY 2015","FY 2015","Currency=INR","Period=FY","BEST_FPERIOD_OVERRIDE=FY","FILING_STATUS=OR","EQY_CONSOLIDATED=Y","FA_ADJUSTED=GAAP","Sort=A","Dates=H","DateFormat=P","Fill=—","Direction=H","UseDPDF=Y")</f>
        <v>#NAME?</v>
      </c>
      <c r="L108" t="e">
        <f ca="1">_xll.BDH($C$103,"INCREMENTAL_OPERATING_MARGIN","FY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08" t="e">
        <f ca="1">_xll.BDH($C$103,"PRETAX_INC_TO_NET_SALES","FY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08" t="e">
        <f ca="1">_xll.BDH($C$103,"INC_BEF_XO_ITEMS_TO_NET_SALES","FY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08" t="e">
        <f ca="1">_xll.BDH($C$103,"PROF_MARGIN","FY 2015","FY 2015","Currency=INR","Period=FY","BEST_FPERIOD_OVERRIDE=FY","FILING_STATUS=OR","EQY_CONSOLIDATED=Y","FA_ADJUSTED=GAAP","Sort=A","Dates=H","DateFormat=P","Fill=—","Direction=H","UseDPDF=Y")</f>
        <v>#NAME?</v>
      </c>
      <c r="P108" t="e">
        <f ca="1">_xll.BDH($C$103,"NET_INCOME_TO_COMMON_MARGIN","FY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08" t="e">
        <f ca="1">_xll.BDH($C$103,"EFF_TAX_RATE","FY 2015","FY 2015","Currency=INR","Period=FY","BEST_FPERIOD_OVERRIDE=FY","FILING_STATUS=OR","EQY_CONSOLIDATED=Y","FA_ADJUSTED=GAAP","Sort=A","Dates=H","DateFormat=P","Fill=—","Direction=H","UseDPDF=Y")</f>
        <v>#NAME?</v>
      </c>
      <c r="R108" t="e">
        <f ca="1">_xll.BDH($C$103,"DVD_PAYOUT_RATIO","FY 2015","FY 2015","Currency=INR","Period=FY","BEST_FPERIOD_OVERRIDE=FY","FILING_STATUS=OR","EQY_CONSOLIDATED=Y","FA_ADJUSTED=GAAP","Sort=A","Dates=H","DateFormat=P","Fill=—","Direction=H","UseDPDF=Y")</f>
        <v>#NAME?</v>
      </c>
      <c r="S108" t="e">
        <f ca="1">_xll.BDH($C$103,"SUSTAIN_GROWTH_RT","FY 2015","FY 2015","Currency=INR","Period=FY","BEST_FPERIOD_OVERRIDE=FY","FILING_STATUS=OR","EQY_CONSOLIDATED=Y","FA_ADJUSTED=GAAP","Sort=A","Dates=H","DateFormat=P","Fill=—","Direction=H","UseDPDF=Y")</f>
        <v>#NAME?</v>
      </c>
      <c r="T108" s="2" t="e">
        <f ca="1">_xll.BDH($C$103,"SALES_GROWTH","FY 2015","FY 2015","Currency=INR","Period=FY","BEST_FPERIOD_OVERRIDE=FY","FILING_STATUS=OR","EQY_CONSOLIDATED=Y","FA_ADJUSTED=GAAP","Sort=A","Dates=H","DateFormat=P","Fill=—","Direction=H","UseDPDF=Y")</f>
        <v>#NAME?</v>
      </c>
      <c r="U108" s="2" t="e">
        <f ca="1">_xll.BDH($C$103,"EBITDA_GROWTH","FY 2015","FY 2015","Currency=INR","Period=FY","BEST_FPERIOD_OVERRIDE=FY","FILING_STATUS=OR","EQY_CONSOLIDATED=Y","FA_ADJUSTED=GAAP","Sort=A","Dates=H","DateFormat=P","Fill=—","Direction=H","UseDPDF=Y")</f>
        <v>#NAME?</v>
      </c>
      <c r="V108" s="2" t="e">
        <f ca="1">_xll.BDH($C$103,"OPER_INC_GROWTH","FY 2015","FY 2015","Currency=INR","Period=FY","BEST_FPERIOD_OVERRIDE=FY","FILING_STATUS=OR","EQY_CONSOLIDATED=Y","FA_ADJUSTED=GAAP","Sort=A","Dates=H","DateFormat=P","Fill=—","Direction=H","UseDPDF=Y")</f>
        <v>#NAME?</v>
      </c>
      <c r="W108" s="2" t="e">
        <f ca="1">_xll.BDH($C$103,"EARN_FOR_COM_GROWTH","FY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08" s="2" t="e">
        <f ca="1">_xll.BDH($C$103,"DILUTED_EPS_AFT_XO_ITEMS_GROWTH","FY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08" s="2" t="e">
        <f ca="1">_xll.BDH($C$103,"DIVIDEND_PER_SHARE_1_YEAR_GROWTH","FY 2015","FY 2015","Currency=INR","Period=FY","BEST_FPERIOD_OVERRIDE=FY","FILING_STATUS=OR","EQY_CONSOLIDATED=Y","Sort=A","Dates=H","DateFormat=P","Fill=—","Direction=H","UseDPDF=Y")</f>
        <v>#NAME?</v>
      </c>
      <c r="Z108" s="2" t="e">
        <f ca="1">_xll.BDH($C$103,"ACCOUNTS_RECEIVABLE_GROWTH","FY 2015","FY 2015","Currency=INR","Period=FY","BEST_FPERIOD_OVERRIDE=FY","FILING_STATUS=OR","EQY_CONSOLIDATED=Y","Sort=A","Dates=H","DateFormat=P","Fill=—","Direction=H","UseDPDF=Y")</f>
        <v>#NAME?</v>
      </c>
      <c r="AA108" s="2" t="e">
        <f ca="1">_xll.BDH($C$103,"INVENTORY_GROWTH","FY 2015","FY 2015","Currency=INR","Period=FY","BEST_FPERIOD_OVERRIDE=FY","FILING_STATUS=OR","EQY_CONSOLIDATED=Y","Sort=A","Dates=H","DateFormat=P","Fill=—","Direction=H","UseDPDF=Y")</f>
        <v>#NAME?</v>
      </c>
      <c r="AB108" s="2" t="e">
        <f ca="1">_xll.BDH($C$103,"NET_FIXED_ASSETS_1_YEAR_GROWTH","FY 2015","FY 2015","Currency=INR","Period=FY","BEST_FPERIOD_OVERRIDE=FY","FILING_STATUS=OR","EQY_CONSOLIDATED=Y","Sort=A","Dates=H","DateFormat=P","Fill=—","Direction=H","UseDPDF=Y")</f>
        <v>#NAME?</v>
      </c>
      <c r="AC108" s="2" t="e">
        <f ca="1">_xll.BDH($C$103,"ASSET_GROWTH","FY 2015","FY 2015","Currency=INR","Period=FY","BEST_FPERIOD_OVERRIDE=FY","FILING_STATUS=OR","EQY_CONSOLIDATED=Y","Sort=A","Dates=H","DateFormat=P","Fill=—","Direction=H","UseDPDF=Y")</f>
        <v>#NAME?</v>
      </c>
      <c r="AD108" s="2" t="e">
        <f ca="1">_xll.BDH($C$103,"MODIFIED_WORK_CAP_GROWTH","FY 2015","FY 2015","Currency=INR","Period=FY","BEST_FPERIOD_OVERRIDE=FY","FILING_STATUS=OR","EQY_CONSOLIDATED=Y","Sort=A","Dates=H","DateFormat=P","Fill=—","Direction=H","UseDPDF=Y")</f>
        <v>#NAME?</v>
      </c>
      <c r="AE108" s="2" t="e">
        <f ca="1">_xll.BDH($C$103,"WORK_CAP_GROWTH","FY 2015","FY 2015","Currency=INR","Period=FY","BEST_FPERIOD_OVERRIDE=FY","FILING_STATUS=OR","EQY_CONSOLIDATED=Y","Sort=A","Dates=H","DateFormat=P","Fill=—","Direction=H","UseDPDF=Y")</f>
        <v>#NAME?</v>
      </c>
      <c r="AF108" s="2" t="e">
        <f ca="1">_xll.BDH($C$103,"ACCOUNTS_PAYABLE_GROWTH_1YR","FY 2015","FY 2015","Currency=INR","Period=FY","BEST_FPERIOD_OVERRIDE=FY","FILING_STATUS=OR","EQY_CONSOLIDATED=Y","Sort=A","Dates=H","DateFormat=P","Fill=—","Direction=H","UseDPDF=Y")</f>
        <v>#NAME?</v>
      </c>
      <c r="AG108" s="2" t="e">
        <f ca="1">_xll.BDH($C$103,"SHORT_TERM_DEBT_1_YEAR_GROWTH","FY 2015","FY 2015","Currency=INR","Period=FY","BEST_FPERIOD_OVERRIDE=FY","FILING_STATUS=OR","EQY_CONSOLIDATED=Y","Sort=A","Dates=H","DateFormat=P","Fill=—","Direction=H","UseDPDF=Y")</f>
        <v>#NAME?</v>
      </c>
      <c r="AH108" s="2" t="e">
        <f ca="1">_xll.BDH($C$103,"TOTAL_DEBT_1_YEAR_GROWTH","FY 2015","FY 2015","Currency=INR","Period=FY","BEST_FPERIOD_OVERRIDE=FY","FILING_STATUS=OR","EQY_CONSOLIDATED=Y","Sort=A","Dates=H","DateFormat=P","Fill=—","Direction=H","UseDPDF=Y")</f>
        <v>#NAME?</v>
      </c>
      <c r="AI108" s="2" t="e">
        <f ca="1">_xll.BDH($C$103,"TOTAL_EQUITY_1_YEAR_GROWTH","FY 2015","FY 2015","Currency=INR","Period=FY","BEST_FPERIOD_OVERRIDE=FY","FILING_STATUS=OR","EQY_CONSOLIDATED=Y","Sort=A","Dates=H","DateFormat=P","Fill=—","Direction=H","UseDPDF=Y")</f>
        <v>#NAME?</v>
      </c>
      <c r="AJ108" s="2" t="e">
        <f ca="1">_xll.BDH($C$103,"GROWTH_IN_CAP","FY 2015","FY 2015","Currency=INR","Period=FY","BEST_FPERIOD_OVERRIDE=FY","FILING_STATUS=OR","EQY_CONSOLIDATED=Y","Sort=A","Dates=H","DateFormat=P","Fill=—","Direction=H","UseDPDF=Y")</f>
        <v>#NAME?</v>
      </c>
      <c r="AK108" s="2" t="e">
        <f ca="1">_xll.BDH($C$103,"BVPS_GROWTH","FY 2015","FY 2015","Currency=INR","Period=FY","BEST_FPERIOD_OVERRIDE=FY","FILING_STATUS=OR","EQY_CONSOLIDATED=Y","Sort=A","Dates=H","DateFormat=P","Fill=—","Direction=H","UseDPDF=Y")</f>
        <v>#NAME?</v>
      </c>
      <c r="AL108" s="2" t="e">
        <f ca="1">_xll.BDH($C$103,"CASH_FLOW_GROWTH","FY 2015","FY 2015","Currency=INR","Period=FY","BEST_FPERIOD_OVERRIDE=FY","FILING_STATUS=OR","EQY_CONSOLIDATED=Y","Sort=A","Dates=H","DateFormat=P","Fill=—","Direction=H","UseDPDF=Y")</f>
        <v>#NAME?</v>
      </c>
      <c r="AM108" s="2" t="e">
        <f ca="1">_xll.BDH($C$103,"GEO_GROW_NET_SALES","FY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08" s="2" t="e">
        <f ca="1">_xll.BDH($C$103,"GEO_GROW_EBITDA","FY 2015","FY 2015","Currency=INR","Period=FY","BEST_FPERIOD_OVERRIDE=FY","FILING_STATUS=OR","EQY_CONSOLIDATED=Y","FA_ADJUSTED=GAAP","Sort=A","Dates=H","DateFormat=P","Fill=—","Direction=H","UseDPDF=Y")</f>
        <v>#NAME?</v>
      </c>
      <c r="AO108" s="2" t="e">
        <f ca="1">_xll.BDH($C$103,"GEO_GROW_OPER_INC","FY 2015","FY 2015","Currency=INR","Period=FY","BEST_FPERIOD_OVERRIDE=FY","FILING_STATUS=OR","EQY_CONSOLIDATED=Y","FA_ADJUSTED=GAAP","Sort=A","Dates=H","DateFormat=P","Fill=—","Direction=H","UseDPDF=Y")</f>
        <v>#NAME?</v>
      </c>
      <c r="AP108" s="2" t="e">
        <f ca="1">_xll.BDH($C$103,"NET_INCOME_TO_COMMON_5_YR_GROWTH","FY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08" s="2" t="e">
        <f ca="1">_xll.BDH($C$103,"5Y_GEO_GROWTH_DILUTED_EPS","FY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08" s="2" t="e">
        <f ca="1">_xll.BDH($C$103,"GEO_GROW_DVD_PER_SH","FY 2015","FY 2015","Currency=INR","Period=FY","BEST_FPERIOD_OVERRIDE=FY","FILING_STATUS=OR","EQY_CONSOLIDATED=Y","Sort=A","Dates=H","DateFormat=P","Fill=—","Direction=H","UseDPDF=Y")</f>
        <v>#NAME?</v>
      </c>
      <c r="AS108" s="2" t="e">
        <f ca="1">_xll.BDH($C$103,"ACCOUNTS_RECEIVABLE_5_YR_GROWTH","FY 2015","FY 2015","Currency=INR","Period=FY","BEST_FPERIOD_OVERRIDE=FY","FILING_STATUS=OR","EQY_CONSOLIDATED=Y","Sort=A","Dates=H","DateFormat=P","Fill=—","Direction=H","UseDPDF=Y")</f>
        <v>#NAME?</v>
      </c>
      <c r="AT108" s="2" t="e">
        <f ca="1">_xll.BDH($C$103,"INVENTORY_5_YEAR_GROWTH","FY 2015","FY 2015","Currency=INR","Period=FY","BEST_FPERIOD_OVERRIDE=FY","FILING_STATUS=OR","EQY_CONSOLIDATED=Y","Sort=A","Dates=H","DateFormat=P","Fill=—","Direction=H","UseDPDF=Y")</f>
        <v>#NAME?</v>
      </c>
      <c r="AU108" s="2" t="e">
        <f ca="1">_xll.BDH($C$103,"NET_FIXED_ASSETS_5_YEAR_GROWTH","FY 2015","FY 2015","Currency=INR","Period=FY","BEST_FPERIOD_OVERRIDE=FY","FILING_STATUS=OR","EQY_CONSOLIDATED=Y","Sort=A","Dates=H","DateFormat=P","Fill=—","Direction=H","UseDPDF=Y")</f>
        <v>#NAME?</v>
      </c>
      <c r="AV108" s="2" t="e">
        <f ca="1">_xll.BDH($C$103,"GEO_GROW_TOT_ASSET","FY 2015","FY 2015","Currency=INR","Period=FY","BEST_FPERIOD_OVERRIDE=FY","FILING_STATUS=OR","EQY_CONSOLIDATED=Y","Sort=A","Dates=H","DateFormat=P","Fill=—","Direction=H","UseDPDF=Y")</f>
        <v>#NAME?</v>
      </c>
      <c r="AW108" s="2" t="e">
        <f ca="1">_xll.BDH($C$103,"MODIFIED_WORKING_CPTL_5YR_GRWTH","FY 2015","FY 2015","Currency=INR","Period=FY","BEST_FPERIOD_OVERRIDE=FY","FILING_STATUS=OR","EQY_CONSOLIDATED=Y","Sort=A","Dates=H","DateFormat=P","Fill=—","Direction=H","UseDPDF=Y")</f>
        <v>#NAME?</v>
      </c>
      <c r="AX108" s="2" t="e">
        <f ca="1">_xll.BDH($C$103,"WORKING_CAPITAL_5_YEAR_GROWTH","FY 2015","FY 2015","Currency=INR","Period=FY","BEST_FPERIOD_OVERRIDE=FY","FILING_STATUS=OR","EQY_CONSOLIDATED=Y","Sort=A","Dates=H","DateFormat=P","Fill=—","Direction=H","UseDPDF=Y")</f>
        <v>#NAME?</v>
      </c>
      <c r="AY108" s="2" t="e">
        <f ca="1">_xll.BDH($C$103,"ACCOUNTS_PAYABLE_5_YEAR_GROWTH","FY 2015","FY 2015","Currency=INR","Period=FY","BEST_FPERIOD_OVERRIDE=FY","FILING_STATUS=OR","EQY_CONSOLIDATED=Y","Sort=A","Dates=H","DateFormat=P","Fill=—","Direction=H","UseDPDF=Y")</f>
        <v>#NAME?</v>
      </c>
      <c r="AZ108" s="2" t="e">
        <f ca="1">_xll.BDH($C$103,"SHORT_TERM_DEBT_5_YEAR_GROWTH","FY 2015","FY 2015","Currency=INR","Period=FY","BEST_FPERIOD_OVERRIDE=FY","FILING_STATUS=OR","EQY_CONSOLIDATED=Y","Sort=A","Dates=H","DateFormat=P","Fill=—","Direction=H","UseDPDF=Y")</f>
        <v>#NAME?</v>
      </c>
      <c r="BA108" s="2" t="e">
        <f ca="1">_xll.BDH($C$103,"TOTAL_DEBT_5_YEAR_GROWTH","FY 2015","FY 2015","Currency=INR","Period=FY","BEST_FPERIOD_OVERRIDE=FY","FILING_STATUS=OR","EQY_CONSOLIDATED=Y","Sort=A","Dates=H","DateFormat=P","Fill=—","Direction=H","UseDPDF=Y")</f>
        <v>#NAME?</v>
      </c>
      <c r="BB108" s="2" t="e">
        <f ca="1">_xll.BDH($C$103,"GEO_GROW_TOT_SHRHLDR_EQY","FY 2015","FY 2015","Currency=INR","Period=FY","BEST_FPERIOD_OVERRIDE=FY","FILING_STATUS=OR","EQY_CONSOLIDATED=Y","Sort=A","Dates=H","DateFormat=P","Fill=—","Direction=H","UseDPDF=Y")</f>
        <v>#NAME?</v>
      </c>
      <c r="BC108" s="2" t="e">
        <f ca="1">_xll.BDH($C$103,"TOTAL_CAPITAL_5_YEAR_GROWTH","FY 2015","FY 2015","Currency=INR","Period=FY","BEST_FPERIOD_OVERRIDE=FY","FILING_STATUS=OR","EQY_CONSOLIDATED=Y","Sort=A","Dates=H","DateFormat=P","Fill=—","Direction=H","UseDPDF=Y")</f>
        <v>#NAME?</v>
      </c>
      <c r="BD108" s="2" t="e">
        <f ca="1">_xll.BDH($C$103,"GEO_GROW_BOOK_VAL","FY 2015","FY 2015","Currency=INR","Period=FY","BEST_FPERIOD_OVERRIDE=FY","FILING_STATUS=OR","EQY_CONSOLIDATED=Y","Sort=A","Dates=H","DateFormat=P","Fill=—","Direction=H","UseDPDF=Y")</f>
        <v>#NAME?</v>
      </c>
      <c r="BE108" s="2" t="e">
        <f ca="1">_xll.BDH($C$103,"GEO_GROW_CASH_OPER_ACT","FY 2015","FY 2015","Currency=INR","Period=FY","BEST_FPERIOD_OVERRIDE=FY","FILING_STATUS=OR","EQY_CONSOLIDATED=Y","Sort=A","Dates=H","DateFormat=P","Fill=—","Direction=H","UseDPDF=Y")</f>
        <v>#NAME?</v>
      </c>
      <c r="BF108" s="2" t="e">
        <f ca="1">_xll.BDH($C$103,"REVENUE_SEQUENTIAL_GROWTH","FY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08" s="2" t="e">
        <f ca="1">_xll.BDH($C$103,"EBITDA_SEQUENTIAL_GROWTH","FY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08" s="2" t="e">
        <f ca="1">_xll.BDH($C$103,"OPERATING_INCOME_SEQ_GROWTH","FY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08" s="2" t="e">
        <f ca="1">_xll.BDH($C$103,"NET_INCOME_TO_COMMON_SEQ_GROWTH","FY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08" s="2" t="e">
        <f ca="1">_xll.BDH($C$103,"EPS_DILUTED_SEQUENTIAL_GROWTH","FY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08" s="2" t="e">
        <f ca="1">_xll.BDH($C$103,"DPS_SEQUENTIAL_GROWTH","FY 2015","FY 2015","Currency=INR","Period=FY","BEST_FPERIOD_OVERRIDE=FY","FILING_STATUS=OR","EQY_CONSOLIDATED=Y","Sort=A","Dates=H","DateFormat=P","Fill=—","Direction=H","UseDPDF=Y")</f>
        <v>#NAME?</v>
      </c>
      <c r="BL108" s="2" t="e">
        <f ca="1">_xll.BDH($C$103,"ACCOUNTS_RECEIVABLE_SEQ_GROWTH","FY 2015","FY 2015","Currency=INR","Period=FY","BEST_FPERIOD_OVERRIDE=FY","FILING_STATUS=OR","EQY_CONSOLIDATED=Y","Sort=A","Dates=H","DateFormat=P","Fill=—","Direction=H","UseDPDF=Y")</f>
        <v>#NAME?</v>
      </c>
      <c r="BM108" s="2" t="e">
        <f ca="1">_xll.BDH($C$103,"INVENTORY_SEQUENTIAL_GROWTH","FY 2015","FY 2015","Currency=INR","Period=FY","BEST_FPERIOD_OVERRIDE=FY","FILING_STATUS=OR","EQY_CONSOLIDATED=Y","Sort=A","Dates=H","DateFormat=P","Fill=—","Direction=H","UseDPDF=Y")</f>
        <v>#NAME?</v>
      </c>
      <c r="BN108" s="2" t="e">
        <f ca="1">_xll.BDH($C$103,"FIXED_ASSETS_SEQUENTIAL_GROWTH","FY 2015","FY 2015","Currency=INR","Period=FY","BEST_FPERIOD_OVERRIDE=FY","FILING_STATUS=OR","EQY_CONSOLIDATED=Y","Sort=A","Dates=H","DateFormat=P","Fill=—","Direction=H","UseDPDF=Y")</f>
        <v>#NAME?</v>
      </c>
      <c r="BO108" s="2" t="e">
        <f ca="1">_xll.BDH($C$103,"TOTAL_ASSETS_SEQUENTIAL_GROWTH","FY 2015","FY 2015","Currency=INR","Period=FY","BEST_FPERIOD_OVERRIDE=FY","FILING_STATUS=OR","EQY_CONSOLIDATED=Y","Sort=A","Dates=H","DateFormat=P","Fill=—","Direction=H","UseDPDF=Y")</f>
        <v>#NAME?</v>
      </c>
      <c r="BP108" s="2" t="e">
        <f ca="1">_xll.BDH($C$103,"MODIFIED_WORKING_CPTL_SEQ_GRWTH","FY 2015","FY 2015","Currency=INR","Period=FY","BEST_FPERIOD_OVERRIDE=FY","FILING_STATUS=OR","EQY_CONSOLIDATED=Y","Sort=A","Dates=H","DateFormat=P","Fill=—","Direction=H","UseDPDF=Y")</f>
        <v>#NAME?</v>
      </c>
      <c r="BQ108" s="2" t="e">
        <f ca="1">_xll.BDH($C$103,"WORKING_CAPITAL_SEQ_GROWTH","FY 2015","FY 2015","Currency=INR","Period=FY","BEST_FPERIOD_OVERRIDE=FY","FILING_STATUS=OR","EQY_CONSOLIDATED=Y","Sort=A","Dates=H","DateFormat=P","Fill=—","Direction=H","UseDPDF=Y")</f>
        <v>#NAME?</v>
      </c>
      <c r="BR108" s="2" t="e">
        <f ca="1">_xll.BDH($C$103,"ACCOUNTS_PAYABLE_SEQ_GROWTH","FY 2015","FY 2015","Currency=INR","Period=FY","BEST_FPERIOD_OVERRIDE=FY","FILING_STATUS=OR","EQY_CONSOLIDATED=Y","Sort=A","Dates=H","DateFormat=P","Fill=—","Direction=H","UseDPDF=Y")</f>
        <v>#NAME?</v>
      </c>
      <c r="BS108" s="2" t="e">
        <f ca="1">_xll.BDH($C$103,"ST_DEBT_SEQUENTIAL_GROWTH","FY 2015","FY 2015","Currency=INR","Period=FY","BEST_FPERIOD_OVERRIDE=FY","FILING_STATUS=OR","EQY_CONSOLIDATED=Y","Sort=A","Dates=H","DateFormat=P","Fill=—","Direction=H","UseDPDF=Y")</f>
        <v>#NAME?</v>
      </c>
      <c r="BT108" s="2" t="e">
        <f ca="1">_xll.BDH($C$103,"TOTAL_DEBT_SEQUENTIAL_GROWTH","FY 2015","FY 2015","Currency=INR","Period=FY","BEST_FPERIOD_OVERRIDE=FY","FILING_STATUS=OR","EQY_CONSOLIDATED=Y","Sort=A","Dates=H","DateFormat=P","Fill=—","Direction=H","UseDPDF=Y")</f>
        <v>#NAME?</v>
      </c>
      <c r="BU108" s="2" t="e">
        <f ca="1">_xll.BDH($C$103,"TOTAL_EQUITY_SEQUENTIAL_GROWTH","FY 2015","FY 2015","Currency=INR","Period=FY","BEST_FPERIOD_OVERRIDE=FY","FILING_STATUS=OR","EQY_CONSOLIDATED=Y","Sort=A","Dates=H","DateFormat=P","Fill=—","Direction=H","UseDPDF=Y")</f>
        <v>#NAME?</v>
      </c>
      <c r="BV108" s="2" t="e">
        <f ca="1">_xll.BDH($C$103,"TOTAL_CAPITAL_SEQUENTIAL_GROWTH","FY 2015","FY 2015","Currency=INR","Period=FY","BEST_FPERIOD_OVERRIDE=FY","FILING_STATUS=OR","EQY_CONSOLIDATED=Y","Sort=A","Dates=H","DateFormat=P","Fill=—","Direction=H","UseDPDF=Y")</f>
        <v>#NAME?</v>
      </c>
      <c r="BW108" s="2" t="e">
        <f ca="1">_xll.BDH($C$103,"BPS_SEQUENTIAL_GROWTH","FY 2015","FY 2015","Currency=INR","Period=FY","BEST_FPERIOD_OVERRIDE=FY","FILING_STATUS=OR","EQY_CONSOLIDATED=Y","Sort=A","Dates=H","DateFormat=P","Fill=—","Direction=H","UseDPDF=Y")</f>
        <v>#NAME?</v>
      </c>
      <c r="BX108" s="2" t="e">
        <f ca="1">_xll.BDH($C$103,"CFO_SEQUENTIAL_GROWTH","FY 2015","FY 2015","Currency=INR","Period=FY","BEST_FPERIOD_OVERRIDE=FY","FILING_STATUS=OR","EQY_CONSOLIDATED=Y","Sort=A","Dates=H","DateFormat=P","Fill=—","Direction=H","UseDPDF=Y")</f>
        <v>#NAME?</v>
      </c>
      <c r="BY108" s="3" t="e">
        <f ca="1">_xll.BDH($C$103,"SHORT_AND_LONG_TERM_DEBT","FY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08" s="3" t="e">
        <f ca="1">_xll.BDH($C$103,"BS_ST_BORROW","FY 2015","FY 2015","Currency=INR","Period=FY","BEST_FPERIOD_OVERRIDE=FY","FILING_STATUS=OR","EQY_CONSOLIDATED=Y","SCALING_FORMAT=MLN","Sort=A","Dates=H","DateFormat=P","Fill=—","Direction=H","UseDPDF=Y")</f>
        <v>#NAME?</v>
      </c>
      <c r="CA108" s="3" t="e">
        <f ca="1">_xll.BDH($C$103,"BS_LT_BORROW","FY 2015","FY 2015","Currency=INR","Period=FY","BEST_FPERIOD_OVERRIDE=FY","FILING_STATUS=OR","EQY_CONSOLIDATED=Y","SCALING_FORMAT=MLN","Sort=A","Dates=H","DateFormat=P","Fill=—","Direction=H","UseDPDF=Y")</f>
        <v>#NAME?</v>
      </c>
      <c r="CB108" s="2" t="e">
        <f ca="1">_xll.BDH($C$103,"TOT_DEBT_TO_EBITDA","FY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08" s="2" t="e">
        <f ca="1">_xll.BDH($C$103,"NET_DEBT_TO_EBITDA","FY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08" s="2" t="e">
        <f ca="1">_xll.BDH($C$103,"TOTAL_DEBT_TO_EBIT","FY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08" s="2" t="e">
        <f ca="1">_xll.BDH($C$103,"NET_DEBT_TO_EBIT","FY 2015","FY 2015","Currency=INR","Period=FY","BEST_FPERIOD_OVERRIDE=FY","FILING_STATUS=OR","EQY_CONSOLIDATED=Y","FA_ADJUSTED=GAAP","Sort=A","Dates=H","DateFormat=P","Fill=—","Direction=H","UseDPDF=Y")</f>
        <v>#NAME?</v>
      </c>
      <c r="CF108" s="2" t="e">
        <f ca="1">_xll.BDH($C$103,"EBITDA_TO_INTEREST_EXPN","FY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08" s="2" t="e">
        <f ca="1">_xll.BDH($C$103,"COM_EQY_TO_TOT_ASSET","FY 2015","FY 2015","Currency=INR","Period=FY","BEST_FPERIOD_OVERRIDE=FY","FILING_STATUS=OR","EQY_CONSOLIDATED=Y","Sort=A","Dates=H","DateFormat=P","Fill=—","Direction=H","UseDPDF=Y")</f>
        <v>#NAME?</v>
      </c>
      <c r="CH108" s="2" t="e">
        <f ca="1">_xll.BDH($C$103,"LT_DEBT_TO_TOT_EQY","FY 2015","FY 2015","Currency=INR","Period=FY","BEST_FPERIOD_OVERRIDE=FY","FILING_STATUS=OR","EQY_CONSOLIDATED=Y","Sort=A","Dates=H","DateFormat=P","Fill=—","Direction=H","UseDPDF=Y")</f>
        <v>#NAME?</v>
      </c>
      <c r="CI108" s="2" t="e">
        <f ca="1">_xll.BDH($C$103,"LT_DEBT_TO_TOT_CAP","FY 2015","FY 2015","Currency=INR","Period=FY","BEST_FPERIOD_OVERRIDE=FY","FILING_STATUS=OR","EQY_CONSOLIDATED=Y","Sort=A","Dates=H","DateFormat=P","Fill=—","Direction=H","UseDPDF=Y")</f>
        <v>#NAME?</v>
      </c>
      <c r="CJ108" s="2" t="e">
        <f ca="1">_xll.BDH($C$103,"LT_DEBT_TO_TOT_ASSET","FY 2015","FY 2015","Currency=INR","Period=FY","BEST_FPERIOD_OVERRIDE=FY","FILING_STATUS=OR","EQY_CONSOLIDATED=Y","Sort=A","Dates=H","DateFormat=P","Fill=—","Direction=H","UseDPDF=Y")</f>
        <v>#NAME?</v>
      </c>
      <c r="CK108" s="2" t="e">
        <f ca="1">_xll.BDH($C$103,"TOT_DEBT_TO_TOT_EQY","FY 2015","FY 2015","Currency=INR","Period=FY","BEST_FPERIOD_OVERRIDE=FY","FILING_STATUS=OR","EQY_CONSOLIDATED=Y","Sort=A","Dates=H","DateFormat=P","Fill=—","Direction=H","UseDPDF=Y")</f>
        <v>#NAME?</v>
      </c>
      <c r="CL108" s="2" t="e">
        <f ca="1">_xll.BDH($C$103,"TOT_DEBT_TO_TOT_CAP","FY 2015","FY 2015","Currency=INR","Period=FY","BEST_FPERIOD_OVERRIDE=FY","FILING_STATUS=OR","EQY_CONSOLIDATED=Y","Sort=A","Dates=H","DateFormat=P","Fill=—","Direction=H","UseDPDF=Y")</f>
        <v>#NAME?</v>
      </c>
      <c r="CM108" s="2" t="e">
        <f ca="1">_xll.BDH($C$103,"TOT_DEBT_TO_TOT_ASSET","FY 2015","FY 2015","Currency=INR","Period=FY","BEST_FPERIOD_OVERRIDE=FY","FILING_STATUS=OR","EQY_CONSOLIDATED=Y","Sort=A","Dates=H","DateFormat=P","Fill=—","Direction=H","UseDPDF=Y")</f>
        <v>#NAME?</v>
      </c>
      <c r="CN108" s="2" t="e">
        <f ca="1">_xll.BDH($C$103,"NET_DEBT_TO_SHRHLDR_EQTY","FY 2015","FY 2015","Currency=INR","Period=FY","BEST_FPERIOD_OVERRIDE=FY","FILING_STATUS=OR","EQY_CONSOLIDATED=Y","Sort=A","Dates=H","DateFormat=P","Fill=—","Direction=H","UseDPDF=Y")</f>
        <v>#NAME?</v>
      </c>
      <c r="CO108" s="2" t="e">
        <f ca="1">_xll.BDH($C$103,"NET_DEBT_%_CAPITAL","FY 2015","FY 2015","Currency=INR","Period=FY","BEST_FPERIOD_OVERRIDE=FY","FILING_STATUS=OR","EQY_CONSOLIDATED=Y","Sort=A","Dates=H","DateFormat=P","Fill=—","Direction=H","UseDPDF=Y")</f>
        <v>#NAME?</v>
      </c>
      <c r="CP108" s="3" t="e">
        <f ca="1">_xll.BDH($C$103,"EBITDA","FY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08" s="3" t="e">
        <f ca="1">_xll.BDH($C$103,"EBITDA_AFTER_CAPEX","FY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08" s="3" t="e">
        <f ca="1">_xll.BDH($C$103,"IS_OPER_INC","FY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08" s="2" t="e">
        <f ca="1">_xll.BDH($C$103,"CASH_RATIO","FY 2015","FY 2015","Currency=INR","Period=FY","BEST_FPERIOD_OVERRIDE=FY","FILING_STATUS=OR","EQY_CONSOLIDATED=Y","Sort=A","Dates=H","DateFormat=P","Fill=—","Direction=H","UseDPDF=Y")</f>
        <v>#NAME?</v>
      </c>
      <c r="CT108" s="2" t="e">
        <f ca="1">_xll.BDH($C$103,"CUR_RATIO","FY 2015","FY 2015","Currency=INR","Period=FY","BEST_FPERIOD_OVERRIDE=FY","FILING_STATUS=OR","EQY_CONSOLIDATED=Y","Sort=A","Dates=H","DateFormat=P","Fill=—","Direction=H","UseDPDF=Y")</f>
        <v>#NAME?</v>
      </c>
      <c r="CU108" s="2" t="e">
        <f ca="1">_xll.BDH($C$103,"QUICK_RATIO","FY 2015","FY 2015","Currency=INR","Period=FY","BEST_FPERIOD_OVERRIDE=FY","FILING_STATUS=OR","EQY_CONSOLIDATED=Y","Sort=A","Dates=H","DateFormat=P","Fill=—","Direction=H","UseDPDF=Y")</f>
        <v>#NAME?</v>
      </c>
      <c r="CV108" s="2" t="e">
        <f ca="1">_xll.BDH($C$103,"ALTMAN_Z_SCORE","FY 2015","FY 2015","Currency=INR","Period=FY","BEST_FPERIOD_OVERRIDE=FY","FILING_STATUS=OR","EQY_CONSOLIDATED=Y","Sort=A","Dates=H","DateFormat=P","Fill=—","Direction=H","UseDPDF=Y")</f>
        <v>#NAME?</v>
      </c>
      <c r="CW108" s="4" t="e">
        <f ca="1">_xll.BDH($C$103,"ACCT_RCV_TURN","FY 2015","FY 2015","Currency=INR","Period=FY","BEST_FPERIOD_OVERRIDE=FY","FILING_STATUS=OR","EQY_CONSOLIDATED=Y","FA_ADJUSTED=GAAP","Sort=A","Dates=H","DateFormat=P","Fill=—","Direction=H","UseDPDF=Y")</f>
        <v>#NAME?</v>
      </c>
      <c r="CX108" s="2" t="e">
        <f ca="1">_xll.BDH($C$103,"ACCT_RCV_DAYS","FY 2015","FY 2015","Currency=INR","Period=FY","BEST_FPERIOD_OVERRIDE=FY","FILING_STATUS=OR","EQY_CONSOLIDATED=Y","FA_ADJUSTED=GAAP","Sort=A","Dates=H","DateFormat=P","Fill=—","Direction=H","UseDPDF=Y")</f>
        <v>#NAME?</v>
      </c>
      <c r="CY108" s="4" t="e">
        <f ca="1">_xll.BDH($C$103,"INVENT_TURN","FY 2015","FY 2015","Currency=INR","Period=FY","BEST_FPERIOD_OVERRIDE=FY","FILING_STATUS=OR","EQY_CONSOLIDATED=Y","FA_ADJUSTED=GAAP","Sort=A","Dates=H","DateFormat=P","Fill=—","Direction=H","UseDPDF=Y")</f>
        <v>#NAME?</v>
      </c>
      <c r="CZ108" s="2" t="e">
        <f ca="1">_xll.BDH($C$103,"INVENT_DAYS","FY 2015","FY 2015","Currency=INR","Period=FY","BEST_FPERIOD_OVERRIDE=FY","FILING_STATUS=OR","EQY_CONSOLIDATED=Y","FA_ADJUSTED=GAAP","Sort=A","Dates=H","DateFormat=P","Fill=—","Direction=H","UseDPDF=Y")</f>
        <v>#NAME?</v>
      </c>
      <c r="DA108" s="4" t="e">
        <f ca="1">_xll.BDH($C$103,"ACCOUNTS_PAYABLE_TURNOVER","FY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08" s="2" t="e">
        <f ca="1">_xll.BDH($C$103,"ACCOUNTS_PAYABLE_TURNOVER_DAYS","FY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08" s="4" t="e">
        <f ca="1">_xll.BDH($C$103,"CASH_CONVERSION_CYCLE","FY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08" s="4" t="e">
        <f ca="1">_xll.BDH($C$103,"INV_TO_CASH_DAYS","FY 2015","FY 2015","Currency=INR","Period=FY","BEST_FPERIOD_OVERRIDE=FY","FILING_STATUS=OR","EQY_CONSOLIDATED=Y","FA_ADJUSTED=GAAP","Sort=A","Dates=H","DateFormat=P","Fill=—","Direction=H","UseDPDF=Y")</f>
        <v>#NAME?</v>
      </c>
      <c r="DE108" s="5" t="e">
        <f ca="1">_xll.BDH($C$103,"BS_INVENTORIES","FY 2015","FY 2015","Currency=INR","Period=FY","BEST_FPERIOD_OVERRIDE=FY","FILING_STATUS=OR","EQY_CONSOLIDATED=Y","SCALING_FORMAT=MLN","Sort=A","Dates=H","DateFormat=P","Fill=—","Direction=H","UseDPDF=Y")</f>
        <v>#NAME?</v>
      </c>
      <c r="DF108" s="3" t="e">
        <f ca="1">_xll.BDH($C$103,"INVTRY_RAW_MATERIALS","FY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08" s="3" t="e">
        <f ca="1">_xll.BDH($C$103,"INVTRY_IN_PROGRESS","FY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08" s="3" t="e">
        <f ca="1">_xll.BDH($C$103,"INVTRY_FINISHED_GOODS","FY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08" s="3" t="e">
        <f ca="1">_xll.BDH($C$103,"BS_OTHER_INV","FY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09" spans="1:113" x14ac:dyDescent="0.3">
      <c r="A109" s="6"/>
      <c r="B109" s="6"/>
      <c r="C109" s="6"/>
      <c r="D109" s="6"/>
      <c r="E109" t="s">
        <v>78</v>
      </c>
      <c r="F109" t="e">
        <f ca="1">_xll.BDH($C$103,"RETURN_COM_EQY","FQ1 2015","FQ1 2015","Currency=INR","Period=FQ","BEST_FPERIOD_OVERRIDE=FQ","FILING_STATUS=OR","EQY_CONSOLIDATED=Y","FA_ADJUSTED=GAAP","Sort=A","Dates=H","DateFormat=P","Fill=—","Direction=H","UseDPDF=Y")</f>
        <v>#NAME?</v>
      </c>
      <c r="G109" t="e">
        <f ca="1">_xll.BDH($C$103,"RETURN_ON_ASSET","FQ1 2015","FQ1 2015","Currency=INR","Period=FQ","BEST_FPERIOD_OVERRIDE=FQ","FILING_STATUS=OR","EQY_CONSOLIDATED=Y","FA_ADJUSTED=GAAP","Sort=A","Dates=H","DateFormat=P","Fill=—","Direction=H","UseDPDF=Y")</f>
        <v>#NAME?</v>
      </c>
      <c r="H109" t="e">
        <f ca="1">_xll.BDH($C$103,"RETURN_ON_CAP","FQ1 2015","FQ1 2015","Currency=INR","Period=FQ","BEST_FPERIOD_OVERRIDE=FQ","FILING_STATUS=OR","EQY_CONSOLIDATED=Y","FA_ADJUSTED=GAAP","Sort=A","Dates=H","DateFormat=P","Fill=—","Direction=H","UseDPDF=Y")</f>
        <v>#NAME?</v>
      </c>
      <c r="I109" t="e">
        <f ca="1">_xll.BDH($C$103,"RETURN_ON_INV_CAPITAL","FQ1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09" t="e">
        <f ca="1">_xll.BDH($C$103,"EBITDA_TO_REVENUE","FQ1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09" t="e">
        <f ca="1">_xll.BDH($C$103,"OPER_MARGIN","FQ1 2015","FQ1 2015","Currency=INR","Period=FQ","BEST_FPERIOD_OVERRIDE=FQ","FILING_STATUS=OR","EQY_CONSOLIDATED=Y","FA_ADJUSTED=GAAP","Sort=A","Dates=H","DateFormat=P","Fill=—","Direction=H","UseDPDF=Y")</f>
        <v>#NAME?</v>
      </c>
      <c r="L109" t="e">
        <f ca="1">_xll.BDH($C$103,"INCREMENTAL_OPERATING_MARGIN","FQ1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09" t="e">
        <f ca="1">_xll.BDH($C$103,"PRETAX_INC_TO_NET_SALES","FQ1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09" t="e">
        <f ca="1">_xll.BDH($C$103,"INC_BEF_XO_ITEMS_TO_NET_SALES","FQ1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09" t="e">
        <f ca="1">_xll.BDH($C$103,"PROF_MARGIN","FQ1 2015","FQ1 2015","Currency=INR","Period=FQ","BEST_FPERIOD_OVERRIDE=FQ","FILING_STATUS=OR","EQY_CONSOLIDATED=Y","FA_ADJUSTED=GAAP","Sort=A","Dates=H","DateFormat=P","Fill=—","Direction=H","UseDPDF=Y")</f>
        <v>#NAME?</v>
      </c>
      <c r="P109" t="e">
        <f ca="1">_xll.BDH($C$103,"NET_INCOME_TO_COMMON_MARGIN","FQ1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09" t="e">
        <f ca="1">_xll.BDH($C$103,"EFF_TAX_RATE","FQ1 2015","FQ1 2015","Currency=INR","Period=FQ","BEST_FPERIOD_OVERRIDE=FQ","FILING_STATUS=OR","EQY_CONSOLIDATED=Y","FA_ADJUSTED=GAAP","Sort=A","Dates=H","DateFormat=P","Fill=—","Direction=H","UseDPDF=Y")</f>
        <v>#NAME?</v>
      </c>
      <c r="R109" t="e">
        <f ca="1">_xll.BDH($C$103,"DVD_PAYOUT_RATIO","FQ1 2015","FQ1 2015","Currency=INR","Period=FQ","BEST_FPERIOD_OVERRIDE=FQ","FILING_STATUS=OR","EQY_CONSOLIDATED=Y","FA_ADJUSTED=GAAP","Sort=A","Dates=H","DateFormat=P","Fill=—","Direction=H","UseDPDF=Y")</f>
        <v>#NAME?</v>
      </c>
      <c r="S109" t="e">
        <f ca="1">_xll.BDH($C$103,"SUSTAIN_GROWTH_RT","FQ1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09" s="2" t="e">
        <f ca="1">_xll.BDH($C$103,"SALES_GROWTH","FQ1 2015","FQ1 2015","Currency=INR","Period=FQ","BEST_FPERIOD_OVERRIDE=FQ","FILING_STATUS=OR","EQY_CONSOLIDATED=Y","FA_ADJUSTED=GAAP","Sort=A","Dates=H","DateFormat=P","Fill=—","Direction=H","UseDPDF=Y")</f>
        <v>#NAME?</v>
      </c>
      <c r="U109" s="2" t="e">
        <f ca="1">_xll.BDH($C$103,"EBITDA_GROWTH","FQ1 2015","FQ1 2015","Currency=INR","Period=FQ","BEST_FPERIOD_OVERRIDE=FQ","FILING_STATUS=OR","EQY_CONSOLIDATED=Y","FA_ADJUSTED=GAAP","Sort=A","Dates=H","DateFormat=P","Fill=—","Direction=H","UseDPDF=Y")</f>
        <v>#NAME?</v>
      </c>
      <c r="V109" s="2" t="e">
        <f ca="1">_xll.BDH($C$103,"OPER_INC_GROWTH","FQ1 2015","FQ1 2015","Currency=INR","Period=FQ","BEST_FPERIOD_OVERRIDE=FQ","FILING_STATUS=OR","EQY_CONSOLIDATED=Y","FA_ADJUSTED=GAAP","Sort=A","Dates=H","DateFormat=P","Fill=—","Direction=H","UseDPDF=Y")</f>
        <v>#NAME?</v>
      </c>
      <c r="W109" s="2" t="e">
        <f ca="1">_xll.BDH($C$103,"EARN_FOR_COM_GROWTH","FQ1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09" s="2" t="e">
        <f ca="1">_xll.BDH($C$103,"DILUTED_EPS_AFT_XO_ITEMS_GROWTH","FQ1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09" s="2" t="e">
        <f ca="1">_xll.BDH($C$103,"DIVIDEND_PER_SHARE_1_YEAR_GROWTH","FQ1 2015","FQ1 2015","Currency=INR","Period=FQ","BEST_FPERIOD_OVERRIDE=FQ","FILING_STATUS=OR","EQY_CONSOLIDATED=Y","Sort=A","Dates=H","DateFormat=P","Fill=—","Direction=H","UseDPDF=Y")</f>
        <v>#NAME?</v>
      </c>
      <c r="Z109" s="2" t="e">
        <f ca="1">_xll.BDH($C$103,"ACCOUNTS_RECEIVABLE_GROWTH","FQ1 2015","FQ1 2015","Currency=INR","Period=FQ","BEST_FPERIOD_OVERRIDE=FQ","FILING_STATUS=OR","EQY_CONSOLIDATED=Y","Sort=A","Dates=H","DateFormat=P","Fill=—","Direction=H","UseDPDF=Y")</f>
        <v>#NAME?</v>
      </c>
      <c r="AA109" s="2" t="e">
        <f ca="1">_xll.BDH($C$103,"INVENTORY_GROWTH","FQ1 2015","FQ1 2015","Currency=INR","Period=FQ","BEST_FPERIOD_OVERRIDE=FQ","FILING_STATUS=OR","EQY_CONSOLIDATED=Y","Sort=A","Dates=H","DateFormat=P","Fill=—","Direction=H","UseDPDF=Y")</f>
        <v>#NAME?</v>
      </c>
      <c r="AB109" s="2" t="e">
        <f ca="1">_xll.BDH($C$103,"NET_FIXED_ASSETS_1_YEAR_GROWTH","FQ1 2015","FQ1 2015","Currency=INR","Period=FQ","BEST_FPERIOD_OVERRIDE=FQ","FILING_STATUS=OR","EQY_CONSOLIDATED=Y","Sort=A","Dates=H","DateFormat=P","Fill=—","Direction=H","UseDPDF=Y")</f>
        <v>#NAME?</v>
      </c>
      <c r="AC109" s="2" t="e">
        <f ca="1">_xll.BDH($C$103,"ASSET_GROWTH","FQ1 2015","FQ1 2015","Currency=INR","Period=FQ","BEST_FPERIOD_OVERRIDE=FQ","FILING_STATUS=OR","EQY_CONSOLIDATED=Y","Sort=A","Dates=H","DateFormat=P","Fill=—","Direction=H","UseDPDF=Y")</f>
        <v>#NAME?</v>
      </c>
      <c r="AD109" s="2" t="e">
        <f ca="1">_xll.BDH($C$103,"MODIFIED_WORK_CAP_GROWTH","FQ1 2015","FQ1 2015","Currency=INR","Period=FQ","BEST_FPERIOD_OVERRIDE=FQ","FILING_STATUS=OR","EQY_CONSOLIDATED=Y","Sort=A","Dates=H","DateFormat=P","Fill=—","Direction=H","UseDPDF=Y")</f>
        <v>#NAME?</v>
      </c>
      <c r="AE109" s="2" t="e">
        <f ca="1">_xll.BDH($C$103,"WORK_CAP_GROWTH","FQ1 2015","FQ1 2015","Currency=INR","Period=FQ","BEST_FPERIOD_OVERRIDE=FQ","FILING_STATUS=OR","EQY_CONSOLIDATED=Y","Sort=A","Dates=H","DateFormat=P","Fill=—","Direction=H","UseDPDF=Y")</f>
        <v>#NAME?</v>
      </c>
      <c r="AF109" s="2" t="e">
        <f ca="1">_xll.BDH($C$103,"ACCOUNTS_PAYABLE_GROWTH_1YR","FQ1 2015","FQ1 2015","Currency=INR","Period=FQ","BEST_FPERIOD_OVERRIDE=FQ","FILING_STATUS=OR","EQY_CONSOLIDATED=Y","Sort=A","Dates=H","DateFormat=P","Fill=—","Direction=H","UseDPDF=Y")</f>
        <v>#NAME?</v>
      </c>
      <c r="AG109" s="2" t="e">
        <f ca="1">_xll.BDH($C$103,"SHORT_TERM_DEBT_1_YEAR_GROWTH","FQ1 2015","FQ1 2015","Currency=INR","Period=FQ","BEST_FPERIOD_OVERRIDE=FQ","FILING_STATUS=OR","EQY_CONSOLIDATED=Y","Sort=A","Dates=H","DateFormat=P","Fill=—","Direction=H","UseDPDF=Y")</f>
        <v>#NAME?</v>
      </c>
      <c r="AH109" s="2" t="e">
        <f ca="1">_xll.BDH($C$103,"TOTAL_DEBT_1_YEAR_GROWTH","FQ1 2015","FQ1 2015","Currency=INR","Period=FQ","BEST_FPERIOD_OVERRIDE=FQ","FILING_STATUS=OR","EQY_CONSOLIDATED=Y","Sort=A","Dates=H","DateFormat=P","Fill=—","Direction=H","UseDPDF=Y")</f>
        <v>#NAME?</v>
      </c>
      <c r="AI109" s="2" t="e">
        <f ca="1">_xll.BDH($C$103,"TOTAL_EQUITY_1_YEAR_GROWTH","FQ1 2015","FQ1 2015","Currency=INR","Period=FQ","BEST_FPERIOD_OVERRIDE=FQ","FILING_STATUS=OR","EQY_CONSOLIDATED=Y","Sort=A","Dates=H","DateFormat=P","Fill=—","Direction=H","UseDPDF=Y")</f>
        <v>#NAME?</v>
      </c>
      <c r="AJ109" s="2" t="e">
        <f ca="1">_xll.BDH($C$103,"GROWTH_IN_CAP","FQ1 2015","FQ1 2015","Currency=INR","Period=FQ","BEST_FPERIOD_OVERRIDE=FQ","FILING_STATUS=OR","EQY_CONSOLIDATED=Y","Sort=A","Dates=H","DateFormat=P","Fill=—","Direction=H","UseDPDF=Y")</f>
        <v>#NAME?</v>
      </c>
      <c r="AK109" s="2" t="e">
        <f ca="1">_xll.BDH($C$103,"BVPS_GROWTH","FQ1 2015","FQ1 2015","Currency=INR","Period=FQ","BEST_FPERIOD_OVERRIDE=FQ","FILING_STATUS=OR","EQY_CONSOLIDATED=Y","Sort=A","Dates=H","DateFormat=P","Fill=—","Direction=H","UseDPDF=Y")</f>
        <v>#NAME?</v>
      </c>
      <c r="AL109" s="2" t="e">
        <f ca="1">_xll.BDH($C$103,"CASH_FLOW_GROWTH","FQ1 2015","FQ1 2015","Currency=INR","Period=FQ","BEST_FPERIOD_OVERRIDE=FQ","FILING_STATUS=OR","EQY_CONSOLIDATED=Y","Sort=A","Dates=H","DateFormat=P","Fill=—","Direction=H","UseDPDF=Y")</f>
        <v>#NAME?</v>
      </c>
      <c r="AM109" s="2" t="e">
        <f ca="1">_xll.BDH($C$103,"GEO_GROW_NET_SALES","FQ1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09" s="2" t="e">
        <f ca="1">_xll.BDH($C$103,"GEO_GROW_EBITDA","FQ1 2015","FQ1 2015","Currency=INR","Period=FQ","BEST_FPERIOD_OVERRIDE=FQ","FILING_STATUS=OR","EQY_CONSOLIDATED=Y","FA_ADJUSTED=GAAP","Sort=A","Dates=H","DateFormat=P","Fill=—","Direction=H","UseDPDF=Y")</f>
        <v>#NAME?</v>
      </c>
      <c r="AO109" s="2" t="e">
        <f ca="1">_xll.BDH($C$103,"GEO_GROW_OPER_INC","FQ1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09" s="2" t="e">
        <f ca="1">_xll.BDH($C$103,"NET_INCOME_TO_COMMON_5_YR_GROWTH","FQ1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09" s="2" t="e">
        <f ca="1">_xll.BDH($C$103,"5Y_GEO_GROWTH_DILUTED_EPS","FQ1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09" s="2" t="e">
        <f ca="1">_xll.BDH($C$103,"GEO_GROW_DVD_PER_SH","FQ1 2015","FQ1 2015","Currency=INR","Period=FQ","BEST_FPERIOD_OVERRIDE=FQ","FILING_STATUS=OR","EQY_CONSOLIDATED=Y","Sort=A","Dates=H","DateFormat=P","Fill=—","Direction=H","UseDPDF=Y")</f>
        <v>#NAME?</v>
      </c>
      <c r="AS109" s="2" t="e">
        <f ca="1">_xll.BDH($C$103,"ACCOUNTS_RECEIVABLE_5_YR_GROWTH","FQ1 2015","FQ1 2015","Currency=INR","Period=FQ","BEST_FPERIOD_OVERRIDE=FQ","FILING_STATUS=OR","EQY_CONSOLIDATED=Y","Sort=A","Dates=H","DateFormat=P","Fill=—","Direction=H","UseDPDF=Y")</f>
        <v>#NAME?</v>
      </c>
      <c r="AT109" s="2" t="e">
        <f ca="1">_xll.BDH($C$103,"INVENTORY_5_YEAR_GROWTH","FQ1 2015","FQ1 2015","Currency=INR","Period=FQ","BEST_FPERIOD_OVERRIDE=FQ","FILING_STATUS=OR","EQY_CONSOLIDATED=Y","Sort=A","Dates=H","DateFormat=P","Fill=—","Direction=H","UseDPDF=Y")</f>
        <v>#NAME?</v>
      </c>
      <c r="AU109" s="2" t="e">
        <f ca="1">_xll.BDH($C$103,"NET_FIXED_ASSETS_5_YEAR_GROWTH","FQ1 2015","FQ1 2015","Currency=INR","Period=FQ","BEST_FPERIOD_OVERRIDE=FQ","FILING_STATUS=OR","EQY_CONSOLIDATED=Y","Sort=A","Dates=H","DateFormat=P","Fill=—","Direction=H","UseDPDF=Y")</f>
        <v>#NAME?</v>
      </c>
      <c r="AV109" s="2" t="e">
        <f ca="1">_xll.BDH($C$103,"GEO_GROW_TOT_ASSET","FQ1 2015","FQ1 2015","Currency=INR","Period=FQ","BEST_FPERIOD_OVERRIDE=FQ","FILING_STATUS=OR","EQY_CONSOLIDATED=Y","Sort=A","Dates=H","DateFormat=P","Fill=—","Direction=H","UseDPDF=Y")</f>
        <v>#NAME?</v>
      </c>
      <c r="AW109" s="2" t="e">
        <f ca="1">_xll.BDH($C$103,"MODIFIED_WORKING_CPTL_5YR_GRWTH","FQ1 2015","FQ1 2015","Currency=INR","Period=FQ","BEST_FPERIOD_OVERRIDE=FQ","FILING_STATUS=OR","EQY_CONSOLIDATED=Y","Sort=A","Dates=H","DateFormat=P","Fill=—","Direction=H","UseDPDF=Y")</f>
        <v>#NAME?</v>
      </c>
      <c r="AX109" s="2" t="e">
        <f ca="1">_xll.BDH($C$103,"WORKING_CAPITAL_5_YEAR_GROWTH","FQ1 2015","FQ1 2015","Currency=INR","Period=FQ","BEST_FPERIOD_OVERRIDE=FQ","FILING_STATUS=OR","EQY_CONSOLIDATED=Y","Sort=A","Dates=H","DateFormat=P","Fill=—","Direction=H","UseDPDF=Y")</f>
        <v>#NAME?</v>
      </c>
      <c r="AY109" s="2" t="e">
        <f ca="1">_xll.BDH($C$103,"ACCOUNTS_PAYABLE_5_YEAR_GROWTH","FQ1 2015","FQ1 2015","Currency=INR","Period=FQ","BEST_FPERIOD_OVERRIDE=FQ","FILING_STATUS=OR","EQY_CONSOLIDATED=Y","Sort=A","Dates=H","DateFormat=P","Fill=—","Direction=H","UseDPDF=Y")</f>
        <v>#NAME?</v>
      </c>
      <c r="AZ109" s="2" t="e">
        <f ca="1">_xll.BDH($C$103,"SHORT_TERM_DEBT_5_YEAR_GROWTH","FQ1 2015","FQ1 2015","Currency=INR","Period=FQ","BEST_FPERIOD_OVERRIDE=FQ","FILING_STATUS=OR","EQY_CONSOLIDATED=Y","Sort=A","Dates=H","DateFormat=P","Fill=—","Direction=H","UseDPDF=Y")</f>
        <v>#NAME?</v>
      </c>
      <c r="BA109" s="2" t="e">
        <f ca="1">_xll.BDH($C$103,"TOTAL_DEBT_5_YEAR_GROWTH","FQ1 2015","FQ1 2015","Currency=INR","Period=FQ","BEST_FPERIOD_OVERRIDE=FQ","FILING_STATUS=OR","EQY_CONSOLIDATED=Y","Sort=A","Dates=H","DateFormat=P","Fill=—","Direction=H","UseDPDF=Y")</f>
        <v>#NAME?</v>
      </c>
      <c r="BB109" s="2" t="e">
        <f ca="1">_xll.BDH($C$103,"GEO_GROW_TOT_SHRHLDR_EQY","FQ1 2015","FQ1 2015","Currency=INR","Period=FQ","BEST_FPERIOD_OVERRIDE=FQ","FILING_STATUS=OR","EQY_CONSOLIDATED=Y","Sort=A","Dates=H","DateFormat=P","Fill=—","Direction=H","UseDPDF=Y")</f>
        <v>#NAME?</v>
      </c>
      <c r="BC109" s="2" t="e">
        <f ca="1">_xll.BDH($C$103,"TOTAL_CAPITAL_5_YEAR_GROWTH","FQ1 2015","FQ1 2015","Currency=INR","Period=FQ","BEST_FPERIOD_OVERRIDE=FQ","FILING_STATUS=OR","EQY_CONSOLIDATED=Y","Sort=A","Dates=H","DateFormat=P","Fill=—","Direction=H","UseDPDF=Y")</f>
        <v>#NAME?</v>
      </c>
      <c r="BD109" s="2" t="e">
        <f ca="1">_xll.BDH($C$103,"GEO_GROW_BOOK_VAL","FQ1 2015","FQ1 2015","Currency=INR","Period=FQ","BEST_FPERIOD_OVERRIDE=FQ","FILING_STATUS=OR","EQY_CONSOLIDATED=Y","Sort=A","Dates=H","DateFormat=P","Fill=—","Direction=H","UseDPDF=Y")</f>
        <v>#NAME?</v>
      </c>
      <c r="BE109" s="2" t="e">
        <f ca="1">_xll.BDH($C$103,"GEO_GROW_CASH_OPER_ACT","FQ1 2015","FQ1 2015","Currency=INR","Period=FQ","BEST_FPERIOD_OVERRIDE=FQ","FILING_STATUS=OR","EQY_CONSOLIDATED=Y","Sort=A","Dates=H","DateFormat=P","Fill=—","Direction=H","UseDPDF=Y")</f>
        <v>#NAME?</v>
      </c>
      <c r="BF109" s="2" t="e">
        <f ca="1">_xll.BDH($C$103,"REVENUE_SEQUENTIAL_GROWTH","FQ1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09" s="2" t="e">
        <f ca="1">_xll.BDH($C$103,"EBITDA_SEQUENTIAL_GROWTH","FQ1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09" s="2" t="e">
        <f ca="1">_xll.BDH($C$103,"OPERATING_INCOME_SEQ_GROWTH","FQ1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09" s="2" t="e">
        <f ca="1">_xll.BDH($C$103,"NET_INCOME_TO_COMMON_SEQ_GROWTH","FQ1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09" s="2" t="e">
        <f ca="1">_xll.BDH($C$103,"EPS_DILUTED_SEQUENTIAL_GROWTH","FQ1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09" s="2" t="e">
        <f ca="1">_xll.BDH($C$103,"DPS_SEQUENTIAL_GROWTH","FQ1 2015","FQ1 2015","Currency=INR","Period=FQ","BEST_FPERIOD_OVERRIDE=FQ","FILING_STATUS=OR","EQY_CONSOLIDATED=Y","Sort=A","Dates=H","DateFormat=P","Fill=—","Direction=H","UseDPDF=Y")</f>
        <v>#NAME?</v>
      </c>
      <c r="BL109" s="2" t="e">
        <f ca="1">_xll.BDH($C$103,"ACCOUNTS_RECEIVABLE_SEQ_GROWTH","FQ1 2015","FQ1 2015","Currency=INR","Period=FQ","BEST_FPERIOD_OVERRIDE=FQ","FILING_STATUS=OR","EQY_CONSOLIDATED=Y","Sort=A","Dates=H","DateFormat=P","Fill=—","Direction=H","UseDPDF=Y")</f>
        <v>#NAME?</v>
      </c>
      <c r="BM109" s="2" t="e">
        <f ca="1">_xll.BDH($C$103,"INVENTORY_SEQUENTIAL_GROWTH","FQ1 2015","FQ1 2015","Currency=INR","Period=FQ","BEST_FPERIOD_OVERRIDE=FQ","FILING_STATUS=OR","EQY_CONSOLIDATED=Y","Sort=A","Dates=H","DateFormat=P","Fill=—","Direction=H","UseDPDF=Y")</f>
        <v>#NAME?</v>
      </c>
      <c r="BN109" s="2" t="e">
        <f ca="1">_xll.BDH($C$103,"FIXED_ASSETS_SEQUENTIAL_GROWTH","FQ1 2015","FQ1 2015","Currency=INR","Period=FQ","BEST_FPERIOD_OVERRIDE=FQ","FILING_STATUS=OR","EQY_CONSOLIDATED=Y","Sort=A","Dates=H","DateFormat=P","Fill=—","Direction=H","UseDPDF=Y")</f>
        <v>#NAME?</v>
      </c>
      <c r="BO109" s="2" t="e">
        <f ca="1">_xll.BDH($C$103,"TOTAL_ASSETS_SEQUENTIAL_GROWTH","FQ1 2015","FQ1 2015","Currency=INR","Period=FQ","BEST_FPERIOD_OVERRIDE=FQ","FILING_STATUS=OR","EQY_CONSOLIDATED=Y","Sort=A","Dates=H","DateFormat=P","Fill=—","Direction=H","UseDPDF=Y")</f>
        <v>#NAME?</v>
      </c>
      <c r="BP109" s="2" t="e">
        <f ca="1">_xll.BDH($C$103,"MODIFIED_WORKING_CPTL_SEQ_GRWTH","FQ1 2015","FQ1 2015","Currency=INR","Period=FQ","BEST_FPERIOD_OVERRIDE=FQ","FILING_STATUS=OR","EQY_CONSOLIDATED=Y","Sort=A","Dates=H","DateFormat=P","Fill=—","Direction=H","UseDPDF=Y")</f>
        <v>#NAME?</v>
      </c>
      <c r="BQ109" s="2" t="e">
        <f ca="1">_xll.BDH($C$103,"WORKING_CAPITAL_SEQ_GROWTH","FQ1 2015","FQ1 2015","Currency=INR","Period=FQ","BEST_FPERIOD_OVERRIDE=FQ","FILING_STATUS=OR","EQY_CONSOLIDATED=Y","Sort=A","Dates=H","DateFormat=P","Fill=—","Direction=H","UseDPDF=Y")</f>
        <v>#NAME?</v>
      </c>
      <c r="BR109" s="2" t="e">
        <f ca="1">_xll.BDH($C$103,"ACCOUNTS_PAYABLE_SEQ_GROWTH","FQ1 2015","FQ1 2015","Currency=INR","Period=FQ","BEST_FPERIOD_OVERRIDE=FQ","FILING_STATUS=OR","EQY_CONSOLIDATED=Y","Sort=A","Dates=H","DateFormat=P","Fill=—","Direction=H","UseDPDF=Y")</f>
        <v>#NAME?</v>
      </c>
      <c r="BS109" s="2" t="e">
        <f ca="1">_xll.BDH($C$103,"ST_DEBT_SEQUENTIAL_GROWTH","FQ1 2015","FQ1 2015","Currency=INR","Period=FQ","BEST_FPERIOD_OVERRIDE=FQ","FILING_STATUS=OR","EQY_CONSOLIDATED=Y","Sort=A","Dates=H","DateFormat=P","Fill=—","Direction=H","UseDPDF=Y")</f>
        <v>#NAME?</v>
      </c>
      <c r="BT109" s="2" t="e">
        <f ca="1">_xll.BDH($C$103,"TOTAL_DEBT_SEQUENTIAL_GROWTH","FQ1 2015","FQ1 2015","Currency=INR","Period=FQ","BEST_FPERIOD_OVERRIDE=FQ","FILING_STATUS=OR","EQY_CONSOLIDATED=Y","Sort=A","Dates=H","DateFormat=P","Fill=—","Direction=H","UseDPDF=Y")</f>
        <v>#NAME?</v>
      </c>
      <c r="BU109" s="2" t="e">
        <f ca="1">_xll.BDH($C$103,"TOTAL_EQUITY_SEQUENTIAL_GROWTH","FQ1 2015","FQ1 2015","Currency=INR","Period=FQ","BEST_FPERIOD_OVERRIDE=FQ","FILING_STATUS=OR","EQY_CONSOLIDATED=Y","Sort=A","Dates=H","DateFormat=P","Fill=—","Direction=H","UseDPDF=Y")</f>
        <v>#NAME?</v>
      </c>
      <c r="BV109" s="2" t="e">
        <f ca="1">_xll.BDH($C$103,"TOTAL_CAPITAL_SEQUENTIAL_GROWTH","FQ1 2015","FQ1 2015","Currency=INR","Period=FQ","BEST_FPERIOD_OVERRIDE=FQ","FILING_STATUS=OR","EQY_CONSOLIDATED=Y","Sort=A","Dates=H","DateFormat=P","Fill=—","Direction=H","UseDPDF=Y")</f>
        <v>#NAME?</v>
      </c>
      <c r="BW109" s="2" t="e">
        <f ca="1">_xll.BDH($C$103,"BPS_SEQUENTIAL_GROWTH","FQ1 2015","FQ1 2015","Currency=INR","Period=FQ","BEST_FPERIOD_OVERRIDE=FQ","FILING_STATUS=OR","EQY_CONSOLIDATED=Y","Sort=A","Dates=H","DateFormat=P","Fill=—","Direction=H","UseDPDF=Y")</f>
        <v>#NAME?</v>
      </c>
      <c r="BX109" s="2" t="e">
        <f ca="1">_xll.BDH($C$103,"CFO_SEQUENTIAL_GROWTH","FQ1 2015","FQ1 2015","Currency=INR","Period=FQ","BEST_FPERIOD_OVERRIDE=FQ","FILING_STATUS=OR","EQY_CONSOLIDATED=Y","Sort=A","Dates=H","DateFormat=P","Fill=—","Direction=H","UseDPDF=Y")</f>
        <v>#NAME?</v>
      </c>
      <c r="BY109" s="3" t="e">
        <f ca="1">_xll.BDH($C$103,"SHORT_AND_LONG_TERM_DEBT","FQ1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09" s="3" t="e">
        <f ca="1">_xll.BDH($C$103,"BS_ST_BORROW","FQ1 2015","FQ1 2015","Currency=INR","Period=FQ","BEST_FPERIOD_OVERRIDE=FQ","FILING_STATUS=OR","EQY_CONSOLIDATED=Y","SCALING_FORMAT=MLN","Sort=A","Dates=H","DateFormat=P","Fill=—","Direction=H","UseDPDF=Y")</f>
        <v>#NAME?</v>
      </c>
      <c r="CA109" s="3" t="e">
        <f ca="1">_xll.BDH($C$103,"BS_LT_BORROW","FQ1 2015","FQ1 2015","Currency=INR","Period=FQ","BEST_FPERIOD_OVERRIDE=FQ","FILING_STATUS=OR","EQY_CONSOLIDATED=Y","SCALING_FORMAT=MLN","Sort=A","Dates=H","DateFormat=P","Fill=—","Direction=H","UseDPDF=Y")</f>
        <v>#NAME?</v>
      </c>
      <c r="CB109" s="2" t="e">
        <f ca="1">_xll.BDH($C$103,"TOT_DEBT_TO_EBITDA","FQ1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09" s="2" t="e">
        <f ca="1">_xll.BDH($C$103,"NET_DEBT_TO_EBITDA","FQ1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09" s="2" t="e">
        <f ca="1">_xll.BDH($C$103,"TOTAL_DEBT_TO_EBIT","FQ1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09" s="2" t="e">
        <f ca="1">_xll.BDH($C$103,"NET_DEBT_TO_EBIT","FQ1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09" s="2" t="e">
        <f ca="1">_xll.BDH($C$103,"EBITDA_TO_INTEREST_EXPN","FQ1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09" s="2" t="e">
        <f ca="1">_xll.BDH($C$103,"COM_EQY_TO_TOT_ASSET","FQ1 2015","FQ1 2015","Currency=INR","Period=FQ","BEST_FPERIOD_OVERRIDE=FQ","FILING_STATUS=OR","EQY_CONSOLIDATED=Y","Sort=A","Dates=H","DateFormat=P","Fill=—","Direction=H","UseDPDF=Y")</f>
        <v>#NAME?</v>
      </c>
      <c r="CH109" s="2" t="e">
        <f ca="1">_xll.BDH($C$103,"LT_DEBT_TO_TOT_EQY","FQ1 2015","FQ1 2015","Currency=INR","Period=FQ","BEST_FPERIOD_OVERRIDE=FQ","FILING_STATUS=OR","EQY_CONSOLIDATED=Y","Sort=A","Dates=H","DateFormat=P","Fill=—","Direction=H","UseDPDF=Y")</f>
        <v>#NAME?</v>
      </c>
      <c r="CI109" s="2" t="e">
        <f ca="1">_xll.BDH($C$103,"LT_DEBT_TO_TOT_CAP","FQ1 2015","FQ1 2015","Currency=INR","Period=FQ","BEST_FPERIOD_OVERRIDE=FQ","FILING_STATUS=OR","EQY_CONSOLIDATED=Y","Sort=A","Dates=H","DateFormat=P","Fill=—","Direction=H","UseDPDF=Y")</f>
        <v>#NAME?</v>
      </c>
      <c r="CJ109" s="2" t="e">
        <f ca="1">_xll.BDH($C$103,"LT_DEBT_TO_TOT_ASSET","FQ1 2015","FQ1 2015","Currency=INR","Period=FQ","BEST_FPERIOD_OVERRIDE=FQ","FILING_STATUS=OR","EQY_CONSOLIDATED=Y","Sort=A","Dates=H","DateFormat=P","Fill=—","Direction=H","UseDPDF=Y")</f>
        <v>#NAME?</v>
      </c>
      <c r="CK109" s="2" t="e">
        <f ca="1">_xll.BDH($C$103,"TOT_DEBT_TO_TOT_EQY","FQ1 2015","FQ1 2015","Currency=INR","Period=FQ","BEST_FPERIOD_OVERRIDE=FQ","FILING_STATUS=OR","EQY_CONSOLIDATED=Y","Sort=A","Dates=H","DateFormat=P","Fill=—","Direction=H","UseDPDF=Y")</f>
        <v>#NAME?</v>
      </c>
      <c r="CL109" s="2" t="e">
        <f ca="1">_xll.BDH($C$103,"TOT_DEBT_TO_TOT_CAP","FQ1 2015","FQ1 2015","Currency=INR","Period=FQ","BEST_FPERIOD_OVERRIDE=FQ","FILING_STATUS=OR","EQY_CONSOLIDATED=Y","Sort=A","Dates=H","DateFormat=P","Fill=—","Direction=H","UseDPDF=Y")</f>
        <v>#NAME?</v>
      </c>
      <c r="CM109" s="2" t="e">
        <f ca="1">_xll.BDH($C$103,"TOT_DEBT_TO_TOT_ASSET","FQ1 2015","FQ1 2015","Currency=INR","Period=FQ","BEST_FPERIOD_OVERRIDE=FQ","FILING_STATUS=OR","EQY_CONSOLIDATED=Y","Sort=A","Dates=H","DateFormat=P","Fill=—","Direction=H","UseDPDF=Y")</f>
        <v>#NAME?</v>
      </c>
      <c r="CN109" s="2" t="e">
        <f ca="1">_xll.BDH($C$103,"NET_DEBT_TO_SHRHLDR_EQTY","FQ1 2015","FQ1 2015","Currency=INR","Period=FQ","BEST_FPERIOD_OVERRIDE=FQ","FILING_STATUS=OR","EQY_CONSOLIDATED=Y","Sort=A","Dates=H","DateFormat=P","Fill=—","Direction=H","UseDPDF=Y")</f>
        <v>#NAME?</v>
      </c>
      <c r="CO109" s="2" t="e">
        <f ca="1">_xll.BDH($C$103,"NET_DEBT_%_CAPITAL","FQ1 2015","FQ1 2015","Currency=INR","Period=FQ","BEST_FPERIOD_OVERRIDE=FQ","FILING_STATUS=OR","EQY_CONSOLIDATED=Y","Sort=A","Dates=H","DateFormat=P","Fill=—","Direction=H","UseDPDF=Y")</f>
        <v>#NAME?</v>
      </c>
      <c r="CP109" s="3" t="e">
        <f ca="1">_xll.BDH($C$103,"EBITDA","FQ1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09" s="3" t="e">
        <f ca="1">_xll.BDH($C$103,"EBITDA_AFTER_CAPEX","FQ1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09" s="3" t="e">
        <f ca="1">_xll.BDH($C$103,"IS_OPER_INC","FQ1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09" s="2" t="e">
        <f ca="1">_xll.BDH($C$103,"CASH_RATIO","FQ1 2015","FQ1 2015","Currency=INR","Period=FQ","BEST_FPERIOD_OVERRIDE=FQ","FILING_STATUS=OR","EQY_CONSOLIDATED=Y","Sort=A","Dates=H","DateFormat=P","Fill=—","Direction=H","UseDPDF=Y")</f>
        <v>#NAME?</v>
      </c>
      <c r="CT109" s="2" t="e">
        <f ca="1">_xll.BDH($C$103,"CUR_RATIO","FQ1 2015","FQ1 2015","Currency=INR","Period=FQ","BEST_FPERIOD_OVERRIDE=FQ","FILING_STATUS=OR","EQY_CONSOLIDATED=Y","Sort=A","Dates=H","DateFormat=P","Fill=—","Direction=H","UseDPDF=Y")</f>
        <v>#NAME?</v>
      </c>
      <c r="CU109" s="2" t="e">
        <f ca="1">_xll.BDH($C$103,"QUICK_RATIO","FQ1 2015","FQ1 2015","Currency=INR","Period=FQ","BEST_FPERIOD_OVERRIDE=FQ","FILING_STATUS=OR","EQY_CONSOLIDATED=Y","Sort=A","Dates=H","DateFormat=P","Fill=—","Direction=H","UseDPDF=Y")</f>
        <v>#NAME?</v>
      </c>
      <c r="CV109" s="2" t="e">
        <f ca="1">_xll.BDH($C$103,"ALTMAN_Z_SCORE","FQ1 2015","FQ1 2015","Currency=INR","Period=FQ","BEST_FPERIOD_OVERRIDE=FQ","FILING_STATUS=OR","EQY_CONSOLIDATED=Y","Sort=A","Dates=H","DateFormat=P","Fill=—","Direction=H","UseDPDF=Y")</f>
        <v>#NAME?</v>
      </c>
      <c r="CW109" s="4" t="e">
        <f ca="1">_xll.BDH($C$103,"ACCT_RCV_TURN","FQ1 2015","FQ1 2015","Currency=INR","Period=FQ","BEST_FPERIOD_OVERRIDE=FQ","FILING_STATUS=OR","EQY_CONSOLIDATED=Y","FA_ADJUSTED=GAAP","Sort=A","Dates=H","DateFormat=P","Fill=—","Direction=H","UseDPDF=Y")</f>
        <v>#NAME?</v>
      </c>
      <c r="CX109" s="2" t="e">
        <f ca="1">_xll.BDH($C$103,"ACCT_RCV_DAYS","FQ1 2015","FQ1 2015","Currency=INR","Period=FQ","BEST_FPERIOD_OVERRIDE=FQ","FILING_STATUS=OR","EQY_CONSOLIDATED=Y","FA_ADJUSTED=GAAP","Sort=A","Dates=H","DateFormat=P","Fill=—","Direction=H","UseDPDF=Y")</f>
        <v>#NAME?</v>
      </c>
      <c r="CY109" s="4" t="e">
        <f ca="1">_xll.BDH($C$103,"INVENT_TURN","FQ1 2015","FQ1 2015","Currency=INR","Period=FQ","BEST_FPERIOD_OVERRIDE=FQ","FILING_STATUS=OR","EQY_CONSOLIDATED=Y","FA_ADJUSTED=GAAP","Sort=A","Dates=H","DateFormat=P","Fill=—","Direction=H","UseDPDF=Y")</f>
        <v>#NAME?</v>
      </c>
      <c r="CZ109" s="2" t="e">
        <f ca="1">_xll.BDH($C$103,"INVENT_DAYS","FQ1 2015","FQ1 2015","Currency=INR","Period=FQ","BEST_FPERIOD_OVERRIDE=FQ","FILING_STATUS=OR","EQY_CONSOLIDATED=Y","FA_ADJUSTED=GAAP","Sort=A","Dates=H","DateFormat=P","Fill=—","Direction=H","UseDPDF=Y")</f>
        <v>#NAME?</v>
      </c>
      <c r="DA109" s="4" t="e">
        <f ca="1">_xll.BDH($C$103,"ACCOUNTS_PAYABLE_TURNOVER","FQ1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09" s="2" t="e">
        <f ca="1">_xll.BDH($C$103,"ACCOUNTS_PAYABLE_TURNOVER_DAYS","FQ1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09" s="4" t="e">
        <f ca="1">_xll.BDH($C$103,"CASH_CONVERSION_CYCLE","FQ1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09" s="4" t="e">
        <f ca="1">_xll.BDH($C$103,"INV_TO_CASH_DAYS","FQ1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09" s="5" t="e">
        <f ca="1">_xll.BDH($C$103,"BS_INVENTORIES","FQ1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09" s="3" t="e">
        <f ca="1">_xll.BDH($C$103,"INVTRY_RAW_MATERIALS","FQ1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09" s="3" t="e">
        <f ca="1">_xll.BDH($C$103,"INVTRY_IN_PROGRESS","FQ1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09" s="3" t="e">
        <f ca="1">_xll.BDH($C$103,"INVTRY_FINISHED_GOODS","FQ1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09" s="3" t="e">
        <f ca="1">_xll.BDH($C$103,"BS_OTHER_INV","FQ1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10" spans="1:113" x14ac:dyDescent="0.3">
      <c r="A110" s="6"/>
      <c r="B110" s="6"/>
      <c r="C110" s="6"/>
      <c r="D110" s="6"/>
      <c r="E110" t="s">
        <v>79</v>
      </c>
      <c r="F110" t="e">
        <f ca="1">_xll.BDH($C$103,"RETURN_COM_EQY","FQ2 2015","FQ2 2015","Currency=INR","Period=FQ","BEST_FPERIOD_OVERRIDE=FQ","FILING_STATUS=OR","EQY_CONSOLIDATED=Y","FA_ADJUSTED=GAAP","Sort=A","Dates=H","DateFormat=P","Fill=—","Direction=H","UseDPDF=Y")</f>
        <v>#NAME?</v>
      </c>
      <c r="G110" t="e">
        <f ca="1">_xll.BDH($C$103,"RETURN_ON_ASSET","FQ2 2015","FQ2 2015","Currency=INR","Period=FQ","BEST_FPERIOD_OVERRIDE=FQ","FILING_STATUS=OR","EQY_CONSOLIDATED=Y","FA_ADJUSTED=GAAP","Sort=A","Dates=H","DateFormat=P","Fill=—","Direction=H","UseDPDF=Y")</f>
        <v>#NAME?</v>
      </c>
      <c r="H110" t="e">
        <f ca="1">_xll.BDH($C$103,"RETURN_ON_CAP","FQ2 2015","FQ2 2015","Currency=INR","Period=FQ","BEST_FPERIOD_OVERRIDE=FQ","FILING_STATUS=OR","EQY_CONSOLIDATED=Y","FA_ADJUSTED=GAAP","Sort=A","Dates=H","DateFormat=P","Fill=—","Direction=H","UseDPDF=Y")</f>
        <v>#NAME?</v>
      </c>
      <c r="I110" t="e">
        <f ca="1">_xll.BDH($C$103,"RETURN_ON_INV_CAPITAL","FQ2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10" t="e">
        <f ca="1">_xll.BDH($C$103,"EBITDA_TO_REVENUE","FQ2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10" t="e">
        <f ca="1">_xll.BDH($C$103,"OPER_MARGIN","FQ2 2015","FQ2 2015","Currency=INR","Period=FQ","BEST_FPERIOD_OVERRIDE=FQ","FILING_STATUS=OR","EQY_CONSOLIDATED=Y","FA_ADJUSTED=GAAP","Sort=A","Dates=H","DateFormat=P","Fill=—","Direction=H","UseDPDF=Y")</f>
        <v>#NAME?</v>
      </c>
      <c r="L110" t="e">
        <f ca="1">_xll.BDH($C$103,"INCREMENTAL_OPERATING_MARGIN","FQ2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10" t="e">
        <f ca="1">_xll.BDH($C$103,"PRETAX_INC_TO_NET_SALES","FQ2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10" t="e">
        <f ca="1">_xll.BDH($C$103,"INC_BEF_XO_ITEMS_TO_NET_SALES","FQ2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10" t="e">
        <f ca="1">_xll.BDH($C$103,"PROF_MARGIN","FQ2 2015","FQ2 2015","Currency=INR","Period=FQ","BEST_FPERIOD_OVERRIDE=FQ","FILING_STATUS=OR","EQY_CONSOLIDATED=Y","FA_ADJUSTED=GAAP","Sort=A","Dates=H","DateFormat=P","Fill=—","Direction=H","UseDPDF=Y")</f>
        <v>#NAME?</v>
      </c>
      <c r="P110" t="e">
        <f ca="1">_xll.BDH($C$103,"NET_INCOME_TO_COMMON_MARGIN","FQ2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10" t="e">
        <f ca="1">_xll.BDH($C$103,"EFF_TAX_RATE","FQ2 2015","FQ2 2015","Currency=INR","Period=FQ","BEST_FPERIOD_OVERRIDE=FQ","FILING_STATUS=OR","EQY_CONSOLIDATED=Y","FA_ADJUSTED=GAAP","Sort=A","Dates=H","DateFormat=P","Fill=—","Direction=H","UseDPDF=Y")</f>
        <v>#NAME?</v>
      </c>
      <c r="R110" t="e">
        <f ca="1">_xll.BDH($C$103,"DVD_PAYOUT_RATIO","FQ2 2015","FQ2 2015","Currency=INR","Period=FQ","BEST_FPERIOD_OVERRIDE=FQ","FILING_STATUS=OR","EQY_CONSOLIDATED=Y","FA_ADJUSTED=GAAP","Sort=A","Dates=H","DateFormat=P","Fill=—","Direction=H","UseDPDF=Y")</f>
        <v>#NAME?</v>
      </c>
      <c r="S110" t="e">
        <f ca="1">_xll.BDH($C$103,"SUSTAIN_GROWTH_RT","FQ2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10" s="2" t="e">
        <f ca="1">_xll.BDH($C$103,"SALES_GROWTH","FQ2 2015","FQ2 2015","Currency=INR","Period=FQ","BEST_FPERIOD_OVERRIDE=FQ","FILING_STATUS=OR","EQY_CONSOLIDATED=Y","FA_ADJUSTED=GAAP","Sort=A","Dates=H","DateFormat=P","Fill=—","Direction=H","UseDPDF=Y")</f>
        <v>#NAME?</v>
      </c>
      <c r="U110" s="2" t="e">
        <f ca="1">_xll.BDH($C$103,"EBITDA_GROWTH","FQ2 2015","FQ2 2015","Currency=INR","Period=FQ","BEST_FPERIOD_OVERRIDE=FQ","FILING_STATUS=OR","EQY_CONSOLIDATED=Y","FA_ADJUSTED=GAAP","Sort=A","Dates=H","DateFormat=P","Fill=—","Direction=H","UseDPDF=Y")</f>
        <v>#NAME?</v>
      </c>
      <c r="V110" s="2" t="e">
        <f ca="1">_xll.BDH($C$103,"OPER_INC_GROWTH","FQ2 2015","FQ2 2015","Currency=INR","Period=FQ","BEST_FPERIOD_OVERRIDE=FQ","FILING_STATUS=OR","EQY_CONSOLIDATED=Y","FA_ADJUSTED=GAAP","Sort=A","Dates=H","DateFormat=P","Fill=—","Direction=H","UseDPDF=Y")</f>
        <v>#NAME?</v>
      </c>
      <c r="W110" s="2" t="e">
        <f ca="1">_xll.BDH($C$103,"EARN_FOR_COM_GROWTH","FQ2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10" s="2" t="e">
        <f ca="1">_xll.BDH($C$103,"DILUTED_EPS_AFT_XO_ITEMS_GROWTH","FQ2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10" s="2" t="e">
        <f ca="1">_xll.BDH($C$103,"DIVIDEND_PER_SHARE_1_YEAR_GROWTH","FQ2 2015","FQ2 2015","Currency=INR","Period=FQ","BEST_FPERIOD_OVERRIDE=FQ","FILING_STATUS=OR","EQY_CONSOLIDATED=Y","Sort=A","Dates=H","DateFormat=P","Fill=—","Direction=H","UseDPDF=Y")</f>
        <v>#NAME?</v>
      </c>
      <c r="Z110" s="2" t="e">
        <f ca="1">_xll.BDH($C$103,"ACCOUNTS_RECEIVABLE_GROWTH","FQ2 2015","FQ2 2015","Currency=INR","Period=FQ","BEST_FPERIOD_OVERRIDE=FQ","FILING_STATUS=OR","EQY_CONSOLIDATED=Y","Sort=A","Dates=H","DateFormat=P","Fill=—","Direction=H","UseDPDF=Y")</f>
        <v>#NAME?</v>
      </c>
      <c r="AA110" s="2" t="e">
        <f ca="1">_xll.BDH($C$103,"INVENTORY_GROWTH","FQ2 2015","FQ2 2015","Currency=INR","Period=FQ","BEST_FPERIOD_OVERRIDE=FQ","FILING_STATUS=OR","EQY_CONSOLIDATED=Y","Sort=A","Dates=H","DateFormat=P","Fill=—","Direction=H","UseDPDF=Y")</f>
        <v>#NAME?</v>
      </c>
      <c r="AB110" s="2" t="e">
        <f ca="1">_xll.BDH($C$103,"NET_FIXED_ASSETS_1_YEAR_GROWTH","FQ2 2015","FQ2 2015","Currency=INR","Period=FQ","BEST_FPERIOD_OVERRIDE=FQ","FILING_STATUS=OR","EQY_CONSOLIDATED=Y","Sort=A","Dates=H","DateFormat=P","Fill=—","Direction=H","UseDPDF=Y")</f>
        <v>#NAME?</v>
      </c>
      <c r="AC110" s="2" t="e">
        <f ca="1">_xll.BDH($C$103,"ASSET_GROWTH","FQ2 2015","FQ2 2015","Currency=INR","Period=FQ","BEST_FPERIOD_OVERRIDE=FQ","FILING_STATUS=OR","EQY_CONSOLIDATED=Y","Sort=A","Dates=H","DateFormat=P","Fill=—","Direction=H","UseDPDF=Y")</f>
        <v>#NAME?</v>
      </c>
      <c r="AD110" s="2" t="e">
        <f ca="1">_xll.BDH($C$103,"MODIFIED_WORK_CAP_GROWTH","FQ2 2015","FQ2 2015","Currency=INR","Period=FQ","BEST_FPERIOD_OVERRIDE=FQ","FILING_STATUS=OR","EQY_CONSOLIDATED=Y","Sort=A","Dates=H","DateFormat=P","Fill=—","Direction=H","UseDPDF=Y")</f>
        <v>#NAME?</v>
      </c>
      <c r="AE110" s="2" t="e">
        <f ca="1">_xll.BDH($C$103,"WORK_CAP_GROWTH","FQ2 2015","FQ2 2015","Currency=INR","Period=FQ","BEST_FPERIOD_OVERRIDE=FQ","FILING_STATUS=OR","EQY_CONSOLIDATED=Y","Sort=A","Dates=H","DateFormat=P","Fill=—","Direction=H","UseDPDF=Y")</f>
        <v>#NAME?</v>
      </c>
      <c r="AF110" s="2" t="e">
        <f ca="1">_xll.BDH($C$103,"ACCOUNTS_PAYABLE_GROWTH_1YR","FQ2 2015","FQ2 2015","Currency=INR","Period=FQ","BEST_FPERIOD_OVERRIDE=FQ","FILING_STATUS=OR","EQY_CONSOLIDATED=Y","Sort=A","Dates=H","DateFormat=P","Fill=—","Direction=H","UseDPDF=Y")</f>
        <v>#NAME?</v>
      </c>
      <c r="AG110" s="2" t="e">
        <f ca="1">_xll.BDH($C$103,"SHORT_TERM_DEBT_1_YEAR_GROWTH","FQ2 2015","FQ2 2015","Currency=INR","Period=FQ","BEST_FPERIOD_OVERRIDE=FQ","FILING_STATUS=OR","EQY_CONSOLIDATED=Y","Sort=A","Dates=H","DateFormat=P","Fill=—","Direction=H","UseDPDF=Y")</f>
        <v>#NAME?</v>
      </c>
      <c r="AH110" s="2" t="e">
        <f ca="1">_xll.BDH($C$103,"TOTAL_DEBT_1_YEAR_GROWTH","FQ2 2015","FQ2 2015","Currency=INR","Period=FQ","BEST_FPERIOD_OVERRIDE=FQ","FILING_STATUS=OR","EQY_CONSOLIDATED=Y","Sort=A","Dates=H","DateFormat=P","Fill=—","Direction=H","UseDPDF=Y")</f>
        <v>#NAME?</v>
      </c>
      <c r="AI110" s="2" t="e">
        <f ca="1">_xll.BDH($C$103,"TOTAL_EQUITY_1_YEAR_GROWTH","FQ2 2015","FQ2 2015","Currency=INR","Period=FQ","BEST_FPERIOD_OVERRIDE=FQ","FILING_STATUS=OR","EQY_CONSOLIDATED=Y","Sort=A","Dates=H","DateFormat=P","Fill=—","Direction=H","UseDPDF=Y")</f>
        <v>#NAME?</v>
      </c>
      <c r="AJ110" s="2" t="e">
        <f ca="1">_xll.BDH($C$103,"GROWTH_IN_CAP","FQ2 2015","FQ2 2015","Currency=INR","Period=FQ","BEST_FPERIOD_OVERRIDE=FQ","FILING_STATUS=OR","EQY_CONSOLIDATED=Y","Sort=A","Dates=H","DateFormat=P","Fill=—","Direction=H","UseDPDF=Y")</f>
        <v>#NAME?</v>
      </c>
      <c r="AK110" s="2" t="e">
        <f ca="1">_xll.BDH($C$103,"BVPS_GROWTH","FQ2 2015","FQ2 2015","Currency=INR","Period=FQ","BEST_FPERIOD_OVERRIDE=FQ","FILING_STATUS=OR","EQY_CONSOLIDATED=Y","Sort=A","Dates=H","DateFormat=P","Fill=—","Direction=H","UseDPDF=Y")</f>
        <v>#NAME?</v>
      </c>
      <c r="AL110" s="2" t="e">
        <f ca="1">_xll.BDH($C$103,"CASH_FLOW_GROWTH","FQ2 2015","FQ2 2015","Currency=INR","Period=FQ","BEST_FPERIOD_OVERRIDE=FQ","FILING_STATUS=OR","EQY_CONSOLIDATED=Y","Sort=A","Dates=H","DateFormat=P","Fill=—","Direction=H","UseDPDF=Y")</f>
        <v>#NAME?</v>
      </c>
      <c r="AM110" s="2" t="e">
        <f ca="1">_xll.BDH($C$103,"GEO_GROW_NET_SALES","FQ2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10" s="2" t="e">
        <f ca="1">_xll.BDH($C$103,"GEO_GROW_EBITDA","FQ2 2015","FQ2 2015","Currency=INR","Period=FQ","BEST_FPERIOD_OVERRIDE=FQ","FILING_STATUS=OR","EQY_CONSOLIDATED=Y","FA_ADJUSTED=GAAP","Sort=A","Dates=H","DateFormat=P","Fill=—","Direction=H","UseDPDF=Y")</f>
        <v>#NAME?</v>
      </c>
      <c r="AO110" s="2" t="e">
        <f ca="1">_xll.BDH($C$103,"GEO_GROW_OPER_INC","FQ2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10" s="2" t="e">
        <f ca="1">_xll.BDH($C$103,"NET_INCOME_TO_COMMON_5_YR_GROWTH","FQ2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10" s="2" t="e">
        <f ca="1">_xll.BDH($C$103,"5Y_GEO_GROWTH_DILUTED_EPS","FQ2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10" s="2" t="e">
        <f ca="1">_xll.BDH($C$103,"GEO_GROW_DVD_PER_SH","FQ2 2015","FQ2 2015","Currency=INR","Period=FQ","BEST_FPERIOD_OVERRIDE=FQ","FILING_STATUS=OR","EQY_CONSOLIDATED=Y","Sort=A","Dates=H","DateFormat=P","Fill=—","Direction=H","UseDPDF=Y")</f>
        <v>#NAME?</v>
      </c>
      <c r="AS110" s="2" t="e">
        <f ca="1">_xll.BDH($C$103,"ACCOUNTS_RECEIVABLE_5_YR_GROWTH","FQ2 2015","FQ2 2015","Currency=INR","Period=FQ","BEST_FPERIOD_OVERRIDE=FQ","FILING_STATUS=OR","EQY_CONSOLIDATED=Y","Sort=A","Dates=H","DateFormat=P","Fill=—","Direction=H","UseDPDF=Y")</f>
        <v>#NAME?</v>
      </c>
      <c r="AT110" s="2" t="e">
        <f ca="1">_xll.BDH($C$103,"INVENTORY_5_YEAR_GROWTH","FQ2 2015","FQ2 2015","Currency=INR","Period=FQ","BEST_FPERIOD_OVERRIDE=FQ","FILING_STATUS=OR","EQY_CONSOLIDATED=Y","Sort=A","Dates=H","DateFormat=P","Fill=—","Direction=H","UseDPDF=Y")</f>
        <v>#NAME?</v>
      </c>
      <c r="AU110" s="2" t="e">
        <f ca="1">_xll.BDH($C$103,"NET_FIXED_ASSETS_5_YEAR_GROWTH","FQ2 2015","FQ2 2015","Currency=INR","Period=FQ","BEST_FPERIOD_OVERRIDE=FQ","FILING_STATUS=OR","EQY_CONSOLIDATED=Y","Sort=A","Dates=H","DateFormat=P","Fill=—","Direction=H","UseDPDF=Y")</f>
        <v>#NAME?</v>
      </c>
      <c r="AV110" s="2" t="e">
        <f ca="1">_xll.BDH($C$103,"GEO_GROW_TOT_ASSET","FQ2 2015","FQ2 2015","Currency=INR","Period=FQ","BEST_FPERIOD_OVERRIDE=FQ","FILING_STATUS=OR","EQY_CONSOLIDATED=Y","Sort=A","Dates=H","DateFormat=P","Fill=—","Direction=H","UseDPDF=Y")</f>
        <v>#NAME?</v>
      </c>
      <c r="AW110" s="2" t="e">
        <f ca="1">_xll.BDH($C$103,"MODIFIED_WORKING_CPTL_5YR_GRWTH","FQ2 2015","FQ2 2015","Currency=INR","Period=FQ","BEST_FPERIOD_OVERRIDE=FQ","FILING_STATUS=OR","EQY_CONSOLIDATED=Y","Sort=A","Dates=H","DateFormat=P","Fill=—","Direction=H","UseDPDF=Y")</f>
        <v>#NAME?</v>
      </c>
      <c r="AX110" s="2" t="e">
        <f ca="1">_xll.BDH($C$103,"WORKING_CAPITAL_5_YEAR_GROWTH","FQ2 2015","FQ2 2015","Currency=INR","Period=FQ","BEST_FPERIOD_OVERRIDE=FQ","FILING_STATUS=OR","EQY_CONSOLIDATED=Y","Sort=A","Dates=H","DateFormat=P","Fill=—","Direction=H","UseDPDF=Y")</f>
        <v>#NAME?</v>
      </c>
      <c r="AY110" s="2" t="e">
        <f ca="1">_xll.BDH($C$103,"ACCOUNTS_PAYABLE_5_YEAR_GROWTH","FQ2 2015","FQ2 2015","Currency=INR","Period=FQ","BEST_FPERIOD_OVERRIDE=FQ","FILING_STATUS=OR","EQY_CONSOLIDATED=Y","Sort=A","Dates=H","DateFormat=P","Fill=—","Direction=H","UseDPDF=Y")</f>
        <v>#NAME?</v>
      </c>
      <c r="AZ110" s="2" t="e">
        <f ca="1">_xll.BDH($C$103,"SHORT_TERM_DEBT_5_YEAR_GROWTH","FQ2 2015","FQ2 2015","Currency=INR","Period=FQ","BEST_FPERIOD_OVERRIDE=FQ","FILING_STATUS=OR","EQY_CONSOLIDATED=Y","Sort=A","Dates=H","DateFormat=P","Fill=—","Direction=H","UseDPDF=Y")</f>
        <v>#NAME?</v>
      </c>
      <c r="BA110" s="2" t="e">
        <f ca="1">_xll.BDH($C$103,"TOTAL_DEBT_5_YEAR_GROWTH","FQ2 2015","FQ2 2015","Currency=INR","Period=FQ","BEST_FPERIOD_OVERRIDE=FQ","FILING_STATUS=OR","EQY_CONSOLIDATED=Y","Sort=A","Dates=H","DateFormat=P","Fill=—","Direction=H","UseDPDF=Y")</f>
        <v>#NAME?</v>
      </c>
      <c r="BB110" s="2" t="e">
        <f ca="1">_xll.BDH($C$103,"GEO_GROW_TOT_SHRHLDR_EQY","FQ2 2015","FQ2 2015","Currency=INR","Period=FQ","BEST_FPERIOD_OVERRIDE=FQ","FILING_STATUS=OR","EQY_CONSOLIDATED=Y","Sort=A","Dates=H","DateFormat=P","Fill=—","Direction=H","UseDPDF=Y")</f>
        <v>#NAME?</v>
      </c>
      <c r="BC110" s="2" t="e">
        <f ca="1">_xll.BDH($C$103,"TOTAL_CAPITAL_5_YEAR_GROWTH","FQ2 2015","FQ2 2015","Currency=INR","Period=FQ","BEST_FPERIOD_OVERRIDE=FQ","FILING_STATUS=OR","EQY_CONSOLIDATED=Y","Sort=A","Dates=H","DateFormat=P","Fill=—","Direction=H","UseDPDF=Y")</f>
        <v>#NAME?</v>
      </c>
      <c r="BD110" s="2" t="e">
        <f ca="1">_xll.BDH($C$103,"GEO_GROW_BOOK_VAL","FQ2 2015","FQ2 2015","Currency=INR","Period=FQ","BEST_FPERIOD_OVERRIDE=FQ","FILING_STATUS=OR","EQY_CONSOLIDATED=Y","Sort=A","Dates=H","DateFormat=P","Fill=—","Direction=H","UseDPDF=Y")</f>
        <v>#NAME?</v>
      </c>
      <c r="BE110" s="2" t="e">
        <f ca="1">_xll.BDH($C$103,"GEO_GROW_CASH_OPER_ACT","FQ2 2015","FQ2 2015","Currency=INR","Period=FQ","BEST_FPERIOD_OVERRIDE=FQ","FILING_STATUS=OR","EQY_CONSOLIDATED=Y","Sort=A","Dates=H","DateFormat=P","Fill=—","Direction=H","UseDPDF=Y")</f>
        <v>#NAME?</v>
      </c>
      <c r="BF110" s="2" t="e">
        <f ca="1">_xll.BDH($C$103,"REVENUE_SEQUENTIAL_GROWTH","FQ2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10" s="2" t="e">
        <f ca="1">_xll.BDH($C$103,"EBITDA_SEQUENTIAL_GROWTH","FQ2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10" s="2" t="e">
        <f ca="1">_xll.BDH($C$103,"OPERATING_INCOME_SEQ_GROWTH","FQ2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10" s="2" t="e">
        <f ca="1">_xll.BDH($C$103,"NET_INCOME_TO_COMMON_SEQ_GROWTH","FQ2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10" s="2" t="e">
        <f ca="1">_xll.BDH($C$103,"EPS_DILUTED_SEQUENTIAL_GROWTH","FQ2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10" s="2" t="e">
        <f ca="1">_xll.BDH($C$103,"DPS_SEQUENTIAL_GROWTH","FQ2 2015","FQ2 2015","Currency=INR","Period=FQ","BEST_FPERIOD_OVERRIDE=FQ","FILING_STATUS=OR","EQY_CONSOLIDATED=Y","Sort=A","Dates=H","DateFormat=P","Fill=—","Direction=H","UseDPDF=Y")</f>
        <v>#NAME?</v>
      </c>
      <c r="BL110" s="2" t="e">
        <f ca="1">_xll.BDH($C$103,"ACCOUNTS_RECEIVABLE_SEQ_GROWTH","FQ2 2015","FQ2 2015","Currency=INR","Period=FQ","BEST_FPERIOD_OVERRIDE=FQ","FILING_STATUS=OR","EQY_CONSOLIDATED=Y","Sort=A","Dates=H","DateFormat=P","Fill=—","Direction=H","UseDPDF=Y")</f>
        <v>#NAME?</v>
      </c>
      <c r="BM110" s="2" t="e">
        <f ca="1">_xll.BDH($C$103,"INVENTORY_SEQUENTIAL_GROWTH","FQ2 2015","FQ2 2015","Currency=INR","Period=FQ","BEST_FPERIOD_OVERRIDE=FQ","FILING_STATUS=OR","EQY_CONSOLIDATED=Y","Sort=A","Dates=H","DateFormat=P","Fill=—","Direction=H","UseDPDF=Y")</f>
        <v>#NAME?</v>
      </c>
      <c r="BN110" s="2" t="e">
        <f ca="1">_xll.BDH($C$103,"FIXED_ASSETS_SEQUENTIAL_GROWTH","FQ2 2015","FQ2 2015","Currency=INR","Period=FQ","BEST_FPERIOD_OVERRIDE=FQ","FILING_STATUS=OR","EQY_CONSOLIDATED=Y","Sort=A","Dates=H","DateFormat=P","Fill=—","Direction=H","UseDPDF=Y")</f>
        <v>#NAME?</v>
      </c>
      <c r="BO110" s="2" t="e">
        <f ca="1">_xll.BDH($C$103,"TOTAL_ASSETS_SEQUENTIAL_GROWTH","FQ2 2015","FQ2 2015","Currency=INR","Period=FQ","BEST_FPERIOD_OVERRIDE=FQ","FILING_STATUS=OR","EQY_CONSOLIDATED=Y","Sort=A","Dates=H","DateFormat=P","Fill=—","Direction=H","UseDPDF=Y")</f>
        <v>#NAME?</v>
      </c>
      <c r="BP110" s="2" t="e">
        <f ca="1">_xll.BDH($C$103,"MODIFIED_WORKING_CPTL_SEQ_GRWTH","FQ2 2015","FQ2 2015","Currency=INR","Period=FQ","BEST_FPERIOD_OVERRIDE=FQ","FILING_STATUS=OR","EQY_CONSOLIDATED=Y","Sort=A","Dates=H","DateFormat=P","Fill=—","Direction=H","UseDPDF=Y")</f>
        <v>#NAME?</v>
      </c>
      <c r="BQ110" s="2" t="e">
        <f ca="1">_xll.BDH($C$103,"WORKING_CAPITAL_SEQ_GROWTH","FQ2 2015","FQ2 2015","Currency=INR","Period=FQ","BEST_FPERIOD_OVERRIDE=FQ","FILING_STATUS=OR","EQY_CONSOLIDATED=Y","Sort=A","Dates=H","DateFormat=P","Fill=—","Direction=H","UseDPDF=Y")</f>
        <v>#NAME?</v>
      </c>
      <c r="BR110" s="2" t="e">
        <f ca="1">_xll.BDH($C$103,"ACCOUNTS_PAYABLE_SEQ_GROWTH","FQ2 2015","FQ2 2015","Currency=INR","Period=FQ","BEST_FPERIOD_OVERRIDE=FQ","FILING_STATUS=OR","EQY_CONSOLIDATED=Y","Sort=A","Dates=H","DateFormat=P","Fill=—","Direction=H","UseDPDF=Y")</f>
        <v>#NAME?</v>
      </c>
      <c r="BS110" s="2" t="e">
        <f ca="1">_xll.BDH($C$103,"ST_DEBT_SEQUENTIAL_GROWTH","FQ2 2015","FQ2 2015","Currency=INR","Period=FQ","BEST_FPERIOD_OVERRIDE=FQ","FILING_STATUS=OR","EQY_CONSOLIDATED=Y","Sort=A","Dates=H","DateFormat=P","Fill=—","Direction=H","UseDPDF=Y")</f>
        <v>#NAME?</v>
      </c>
      <c r="BT110" s="2" t="e">
        <f ca="1">_xll.BDH($C$103,"TOTAL_DEBT_SEQUENTIAL_GROWTH","FQ2 2015","FQ2 2015","Currency=INR","Period=FQ","BEST_FPERIOD_OVERRIDE=FQ","FILING_STATUS=OR","EQY_CONSOLIDATED=Y","Sort=A","Dates=H","DateFormat=P","Fill=—","Direction=H","UseDPDF=Y")</f>
        <v>#NAME?</v>
      </c>
      <c r="BU110" s="2" t="e">
        <f ca="1">_xll.BDH($C$103,"TOTAL_EQUITY_SEQUENTIAL_GROWTH","FQ2 2015","FQ2 2015","Currency=INR","Period=FQ","BEST_FPERIOD_OVERRIDE=FQ","FILING_STATUS=OR","EQY_CONSOLIDATED=Y","Sort=A","Dates=H","DateFormat=P","Fill=—","Direction=H","UseDPDF=Y")</f>
        <v>#NAME?</v>
      </c>
      <c r="BV110" s="2" t="e">
        <f ca="1">_xll.BDH($C$103,"TOTAL_CAPITAL_SEQUENTIAL_GROWTH","FQ2 2015","FQ2 2015","Currency=INR","Period=FQ","BEST_FPERIOD_OVERRIDE=FQ","FILING_STATUS=OR","EQY_CONSOLIDATED=Y","Sort=A","Dates=H","DateFormat=P","Fill=—","Direction=H","UseDPDF=Y")</f>
        <v>#NAME?</v>
      </c>
      <c r="BW110" s="2" t="e">
        <f ca="1">_xll.BDH($C$103,"BPS_SEQUENTIAL_GROWTH","FQ2 2015","FQ2 2015","Currency=INR","Period=FQ","BEST_FPERIOD_OVERRIDE=FQ","FILING_STATUS=OR","EQY_CONSOLIDATED=Y","Sort=A","Dates=H","DateFormat=P","Fill=—","Direction=H","UseDPDF=Y")</f>
        <v>#NAME?</v>
      </c>
      <c r="BX110" s="2" t="e">
        <f ca="1">_xll.BDH($C$103,"CFO_SEQUENTIAL_GROWTH","FQ2 2015","FQ2 2015","Currency=INR","Period=FQ","BEST_FPERIOD_OVERRIDE=FQ","FILING_STATUS=OR","EQY_CONSOLIDATED=Y","Sort=A","Dates=H","DateFormat=P","Fill=—","Direction=H","UseDPDF=Y")</f>
        <v>#NAME?</v>
      </c>
      <c r="BY110" s="3" t="e">
        <f ca="1">_xll.BDH($C$103,"SHORT_AND_LONG_TERM_DEBT","FQ2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10" s="3" t="e">
        <f ca="1">_xll.BDH($C$103,"BS_ST_BORROW","FQ2 2015","FQ2 2015","Currency=INR","Period=FQ","BEST_FPERIOD_OVERRIDE=FQ","FILING_STATUS=OR","EQY_CONSOLIDATED=Y","SCALING_FORMAT=MLN","Sort=A","Dates=H","DateFormat=P","Fill=—","Direction=H","UseDPDF=Y")</f>
        <v>#NAME?</v>
      </c>
      <c r="CA110" s="3" t="e">
        <f ca="1">_xll.BDH($C$103,"BS_LT_BORROW","FQ2 2015","FQ2 2015","Currency=INR","Period=FQ","BEST_FPERIOD_OVERRIDE=FQ","FILING_STATUS=OR","EQY_CONSOLIDATED=Y","SCALING_FORMAT=MLN","Sort=A","Dates=H","DateFormat=P","Fill=—","Direction=H","UseDPDF=Y")</f>
        <v>#NAME?</v>
      </c>
      <c r="CB110" s="2" t="e">
        <f ca="1">_xll.BDH($C$103,"TOT_DEBT_TO_EBITDA","FQ2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10" s="2" t="e">
        <f ca="1">_xll.BDH($C$103,"NET_DEBT_TO_EBITDA","FQ2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10" s="2" t="e">
        <f ca="1">_xll.BDH($C$103,"TOTAL_DEBT_TO_EBIT","FQ2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10" s="2" t="e">
        <f ca="1">_xll.BDH($C$103,"NET_DEBT_TO_EBIT","FQ2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10" s="2" t="e">
        <f ca="1">_xll.BDH($C$103,"EBITDA_TO_INTEREST_EXPN","FQ2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10" s="2" t="e">
        <f ca="1">_xll.BDH($C$103,"COM_EQY_TO_TOT_ASSET","FQ2 2015","FQ2 2015","Currency=INR","Period=FQ","BEST_FPERIOD_OVERRIDE=FQ","FILING_STATUS=OR","EQY_CONSOLIDATED=Y","Sort=A","Dates=H","DateFormat=P","Fill=—","Direction=H","UseDPDF=Y")</f>
        <v>#NAME?</v>
      </c>
      <c r="CH110" s="2" t="e">
        <f ca="1">_xll.BDH($C$103,"LT_DEBT_TO_TOT_EQY","FQ2 2015","FQ2 2015","Currency=INR","Period=FQ","BEST_FPERIOD_OVERRIDE=FQ","FILING_STATUS=OR","EQY_CONSOLIDATED=Y","Sort=A","Dates=H","DateFormat=P","Fill=—","Direction=H","UseDPDF=Y")</f>
        <v>#NAME?</v>
      </c>
      <c r="CI110" s="2" t="e">
        <f ca="1">_xll.BDH($C$103,"LT_DEBT_TO_TOT_CAP","FQ2 2015","FQ2 2015","Currency=INR","Period=FQ","BEST_FPERIOD_OVERRIDE=FQ","FILING_STATUS=OR","EQY_CONSOLIDATED=Y","Sort=A","Dates=H","DateFormat=P","Fill=—","Direction=H","UseDPDF=Y")</f>
        <v>#NAME?</v>
      </c>
      <c r="CJ110" s="2" t="e">
        <f ca="1">_xll.BDH($C$103,"LT_DEBT_TO_TOT_ASSET","FQ2 2015","FQ2 2015","Currency=INR","Period=FQ","BEST_FPERIOD_OVERRIDE=FQ","FILING_STATUS=OR","EQY_CONSOLIDATED=Y","Sort=A","Dates=H","DateFormat=P","Fill=—","Direction=H","UseDPDF=Y")</f>
        <v>#NAME?</v>
      </c>
      <c r="CK110" s="2" t="e">
        <f ca="1">_xll.BDH($C$103,"TOT_DEBT_TO_TOT_EQY","FQ2 2015","FQ2 2015","Currency=INR","Period=FQ","BEST_FPERIOD_OVERRIDE=FQ","FILING_STATUS=OR","EQY_CONSOLIDATED=Y","Sort=A","Dates=H","DateFormat=P","Fill=—","Direction=H","UseDPDF=Y")</f>
        <v>#NAME?</v>
      </c>
      <c r="CL110" s="2" t="e">
        <f ca="1">_xll.BDH($C$103,"TOT_DEBT_TO_TOT_CAP","FQ2 2015","FQ2 2015","Currency=INR","Period=FQ","BEST_FPERIOD_OVERRIDE=FQ","FILING_STATUS=OR","EQY_CONSOLIDATED=Y","Sort=A","Dates=H","DateFormat=P","Fill=—","Direction=H","UseDPDF=Y")</f>
        <v>#NAME?</v>
      </c>
      <c r="CM110" s="2" t="e">
        <f ca="1">_xll.BDH($C$103,"TOT_DEBT_TO_TOT_ASSET","FQ2 2015","FQ2 2015","Currency=INR","Period=FQ","BEST_FPERIOD_OVERRIDE=FQ","FILING_STATUS=OR","EQY_CONSOLIDATED=Y","Sort=A","Dates=H","DateFormat=P","Fill=—","Direction=H","UseDPDF=Y")</f>
        <v>#NAME?</v>
      </c>
      <c r="CN110" s="2" t="e">
        <f ca="1">_xll.BDH($C$103,"NET_DEBT_TO_SHRHLDR_EQTY","FQ2 2015","FQ2 2015","Currency=INR","Period=FQ","BEST_FPERIOD_OVERRIDE=FQ","FILING_STATUS=OR","EQY_CONSOLIDATED=Y","Sort=A","Dates=H","DateFormat=P","Fill=—","Direction=H","UseDPDF=Y")</f>
        <v>#NAME?</v>
      </c>
      <c r="CO110" s="2" t="e">
        <f ca="1">_xll.BDH($C$103,"NET_DEBT_%_CAPITAL","FQ2 2015","FQ2 2015","Currency=INR","Period=FQ","BEST_FPERIOD_OVERRIDE=FQ","FILING_STATUS=OR","EQY_CONSOLIDATED=Y","Sort=A","Dates=H","DateFormat=P","Fill=—","Direction=H","UseDPDF=Y")</f>
        <v>#NAME?</v>
      </c>
      <c r="CP110" s="3" t="e">
        <f ca="1">_xll.BDH($C$103,"EBITDA","FQ2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10" s="3" t="e">
        <f ca="1">_xll.BDH($C$103,"EBITDA_AFTER_CAPEX","FQ2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10" s="3" t="e">
        <f ca="1">_xll.BDH($C$103,"IS_OPER_INC","FQ2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10" s="2" t="e">
        <f ca="1">_xll.BDH($C$103,"CASH_RATIO","FQ2 2015","FQ2 2015","Currency=INR","Period=FQ","BEST_FPERIOD_OVERRIDE=FQ","FILING_STATUS=OR","EQY_CONSOLIDATED=Y","Sort=A","Dates=H","DateFormat=P","Fill=—","Direction=H","UseDPDF=Y")</f>
        <v>#NAME?</v>
      </c>
      <c r="CT110" s="2" t="e">
        <f ca="1">_xll.BDH($C$103,"CUR_RATIO","FQ2 2015","FQ2 2015","Currency=INR","Period=FQ","BEST_FPERIOD_OVERRIDE=FQ","FILING_STATUS=OR","EQY_CONSOLIDATED=Y","Sort=A","Dates=H","DateFormat=P","Fill=—","Direction=H","UseDPDF=Y")</f>
        <v>#NAME?</v>
      </c>
      <c r="CU110" s="2" t="e">
        <f ca="1">_xll.BDH($C$103,"QUICK_RATIO","FQ2 2015","FQ2 2015","Currency=INR","Period=FQ","BEST_FPERIOD_OVERRIDE=FQ","FILING_STATUS=OR","EQY_CONSOLIDATED=Y","Sort=A","Dates=H","DateFormat=P","Fill=—","Direction=H","UseDPDF=Y")</f>
        <v>#NAME?</v>
      </c>
      <c r="CV110" s="2" t="e">
        <f ca="1">_xll.BDH($C$103,"ALTMAN_Z_SCORE","FQ2 2015","FQ2 2015","Currency=INR","Period=FQ","BEST_FPERIOD_OVERRIDE=FQ","FILING_STATUS=OR","EQY_CONSOLIDATED=Y","Sort=A","Dates=H","DateFormat=P","Fill=—","Direction=H","UseDPDF=Y")</f>
        <v>#NAME?</v>
      </c>
      <c r="CW110" s="4" t="e">
        <f ca="1">_xll.BDH($C$103,"ACCT_RCV_TURN","FQ2 2015","FQ2 2015","Currency=INR","Period=FQ","BEST_FPERIOD_OVERRIDE=FQ","FILING_STATUS=OR","EQY_CONSOLIDATED=Y","FA_ADJUSTED=GAAP","Sort=A","Dates=H","DateFormat=P","Fill=—","Direction=H","UseDPDF=Y")</f>
        <v>#NAME?</v>
      </c>
      <c r="CX110" s="2" t="e">
        <f ca="1">_xll.BDH($C$103,"ACCT_RCV_DAYS","FQ2 2015","FQ2 2015","Currency=INR","Period=FQ","BEST_FPERIOD_OVERRIDE=FQ","FILING_STATUS=OR","EQY_CONSOLIDATED=Y","FA_ADJUSTED=GAAP","Sort=A","Dates=H","DateFormat=P","Fill=—","Direction=H","UseDPDF=Y")</f>
        <v>#NAME?</v>
      </c>
      <c r="CY110" s="4" t="e">
        <f ca="1">_xll.BDH($C$103,"INVENT_TURN","FQ2 2015","FQ2 2015","Currency=INR","Period=FQ","BEST_FPERIOD_OVERRIDE=FQ","FILING_STATUS=OR","EQY_CONSOLIDATED=Y","FA_ADJUSTED=GAAP","Sort=A","Dates=H","DateFormat=P","Fill=—","Direction=H","UseDPDF=Y")</f>
        <v>#NAME?</v>
      </c>
      <c r="CZ110" s="2" t="e">
        <f ca="1">_xll.BDH($C$103,"INVENT_DAYS","FQ2 2015","FQ2 2015","Currency=INR","Period=FQ","BEST_FPERIOD_OVERRIDE=FQ","FILING_STATUS=OR","EQY_CONSOLIDATED=Y","FA_ADJUSTED=GAAP","Sort=A","Dates=H","DateFormat=P","Fill=—","Direction=H","UseDPDF=Y")</f>
        <v>#NAME?</v>
      </c>
      <c r="DA110" s="4" t="e">
        <f ca="1">_xll.BDH($C$103,"ACCOUNTS_PAYABLE_TURNOVER","FQ2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10" s="2" t="e">
        <f ca="1">_xll.BDH($C$103,"ACCOUNTS_PAYABLE_TURNOVER_DAYS","FQ2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10" s="4" t="e">
        <f ca="1">_xll.BDH($C$103,"CASH_CONVERSION_CYCLE","FQ2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10" s="4" t="e">
        <f ca="1">_xll.BDH($C$103,"INV_TO_CASH_DAYS","FQ2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10" s="5" t="e">
        <f ca="1">_xll.BDH($C$103,"BS_INVENTORIES","FQ2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10" s="3" t="e">
        <f ca="1">_xll.BDH($C$103,"INVTRY_RAW_MATERIALS","FQ2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10" s="3" t="e">
        <f ca="1">_xll.BDH($C$103,"INVTRY_IN_PROGRESS","FQ2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10" s="3" t="e">
        <f ca="1">_xll.BDH($C$103,"INVTRY_FINISHED_GOODS","FQ2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10" s="3" t="e">
        <f ca="1">_xll.BDH($C$103,"BS_OTHER_INV","FQ2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11" spans="1:113" x14ac:dyDescent="0.3">
      <c r="A111" s="6"/>
      <c r="B111" s="6"/>
      <c r="C111" s="6"/>
      <c r="D111" s="6"/>
      <c r="E111" t="s">
        <v>80</v>
      </c>
      <c r="F111" t="e">
        <f ca="1">_xll.BDH($C$103,"RETURN_COM_EQY","FQ3 2015","FQ3 2015","Currency=INR","Period=FQ","BEST_FPERIOD_OVERRIDE=FQ","FILING_STATUS=OR","EQY_CONSOLIDATED=Y","FA_ADJUSTED=GAAP","Sort=A","Dates=H","DateFormat=P","Fill=—","Direction=H","UseDPDF=Y")</f>
        <v>#NAME?</v>
      </c>
      <c r="G111" t="e">
        <f ca="1">_xll.BDH($C$103,"RETURN_ON_ASSET","FQ3 2015","FQ3 2015","Currency=INR","Period=FQ","BEST_FPERIOD_OVERRIDE=FQ","FILING_STATUS=OR","EQY_CONSOLIDATED=Y","FA_ADJUSTED=GAAP","Sort=A","Dates=H","DateFormat=P","Fill=—","Direction=H","UseDPDF=Y")</f>
        <v>#NAME?</v>
      </c>
      <c r="H111" t="e">
        <f ca="1">_xll.BDH($C$103,"RETURN_ON_CAP","FQ3 2015","FQ3 2015","Currency=INR","Period=FQ","BEST_FPERIOD_OVERRIDE=FQ","FILING_STATUS=OR","EQY_CONSOLIDATED=Y","FA_ADJUSTED=GAAP","Sort=A","Dates=H","DateFormat=P","Fill=—","Direction=H","UseDPDF=Y")</f>
        <v>#NAME?</v>
      </c>
      <c r="I111" t="e">
        <f ca="1">_xll.BDH($C$103,"RETURN_ON_INV_CAPITAL","FQ3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11" t="e">
        <f ca="1">_xll.BDH($C$103,"EBITDA_TO_REVENUE","FQ3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11" t="e">
        <f ca="1">_xll.BDH($C$103,"OPER_MARGIN","FQ3 2015","FQ3 2015","Currency=INR","Period=FQ","BEST_FPERIOD_OVERRIDE=FQ","FILING_STATUS=OR","EQY_CONSOLIDATED=Y","FA_ADJUSTED=GAAP","Sort=A","Dates=H","DateFormat=P","Fill=—","Direction=H","UseDPDF=Y")</f>
        <v>#NAME?</v>
      </c>
      <c r="L111" t="e">
        <f ca="1">_xll.BDH($C$103,"INCREMENTAL_OPERATING_MARGIN","FQ3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11" t="e">
        <f ca="1">_xll.BDH($C$103,"PRETAX_INC_TO_NET_SALES","FQ3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11" t="e">
        <f ca="1">_xll.BDH($C$103,"INC_BEF_XO_ITEMS_TO_NET_SALES","FQ3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11" t="e">
        <f ca="1">_xll.BDH($C$103,"PROF_MARGIN","FQ3 2015","FQ3 2015","Currency=INR","Period=FQ","BEST_FPERIOD_OVERRIDE=FQ","FILING_STATUS=OR","EQY_CONSOLIDATED=Y","FA_ADJUSTED=GAAP","Sort=A","Dates=H","DateFormat=P","Fill=—","Direction=H","UseDPDF=Y")</f>
        <v>#NAME?</v>
      </c>
      <c r="P111" t="e">
        <f ca="1">_xll.BDH($C$103,"NET_INCOME_TO_COMMON_MARGIN","FQ3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11" t="e">
        <f ca="1">_xll.BDH($C$103,"EFF_TAX_RATE","FQ3 2015","FQ3 2015","Currency=INR","Period=FQ","BEST_FPERIOD_OVERRIDE=FQ","FILING_STATUS=OR","EQY_CONSOLIDATED=Y","FA_ADJUSTED=GAAP","Sort=A","Dates=H","DateFormat=P","Fill=—","Direction=H","UseDPDF=Y")</f>
        <v>#NAME?</v>
      </c>
      <c r="R111" t="e">
        <f ca="1">_xll.BDH($C$103,"DVD_PAYOUT_RATIO","FQ3 2015","FQ3 2015","Currency=INR","Period=FQ","BEST_FPERIOD_OVERRIDE=FQ","FILING_STATUS=OR","EQY_CONSOLIDATED=Y","FA_ADJUSTED=GAAP","Sort=A","Dates=H","DateFormat=P","Fill=—","Direction=H","UseDPDF=Y")</f>
        <v>#NAME?</v>
      </c>
      <c r="S111" t="e">
        <f ca="1">_xll.BDH($C$103,"SUSTAIN_GROWTH_RT","FQ3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11" s="2" t="e">
        <f ca="1">_xll.BDH($C$103,"SALES_GROWTH","FQ3 2015","FQ3 2015","Currency=INR","Period=FQ","BEST_FPERIOD_OVERRIDE=FQ","FILING_STATUS=OR","EQY_CONSOLIDATED=Y","FA_ADJUSTED=GAAP","Sort=A","Dates=H","DateFormat=P","Fill=—","Direction=H","UseDPDF=Y")</f>
        <v>#NAME?</v>
      </c>
      <c r="U111" s="2" t="e">
        <f ca="1">_xll.BDH($C$103,"EBITDA_GROWTH","FQ3 2015","FQ3 2015","Currency=INR","Period=FQ","BEST_FPERIOD_OVERRIDE=FQ","FILING_STATUS=OR","EQY_CONSOLIDATED=Y","FA_ADJUSTED=GAAP","Sort=A","Dates=H","DateFormat=P","Fill=—","Direction=H","UseDPDF=Y")</f>
        <v>#NAME?</v>
      </c>
      <c r="V111" s="2" t="e">
        <f ca="1">_xll.BDH($C$103,"OPER_INC_GROWTH","FQ3 2015","FQ3 2015","Currency=INR","Period=FQ","BEST_FPERIOD_OVERRIDE=FQ","FILING_STATUS=OR","EQY_CONSOLIDATED=Y","FA_ADJUSTED=GAAP","Sort=A","Dates=H","DateFormat=P","Fill=—","Direction=H","UseDPDF=Y")</f>
        <v>#NAME?</v>
      </c>
      <c r="W111" s="2" t="e">
        <f ca="1">_xll.BDH($C$103,"EARN_FOR_COM_GROWTH","FQ3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11" s="2" t="e">
        <f ca="1">_xll.BDH($C$103,"DILUTED_EPS_AFT_XO_ITEMS_GROWTH","FQ3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11" s="2" t="e">
        <f ca="1">_xll.BDH($C$103,"DIVIDEND_PER_SHARE_1_YEAR_GROWTH","FQ3 2015","FQ3 2015","Currency=INR","Period=FQ","BEST_FPERIOD_OVERRIDE=FQ","FILING_STATUS=OR","EQY_CONSOLIDATED=Y","Sort=A","Dates=H","DateFormat=P","Fill=—","Direction=H","UseDPDF=Y")</f>
        <v>#NAME?</v>
      </c>
      <c r="Z111" s="2" t="e">
        <f ca="1">_xll.BDH($C$103,"ACCOUNTS_RECEIVABLE_GROWTH","FQ3 2015","FQ3 2015","Currency=INR","Period=FQ","BEST_FPERIOD_OVERRIDE=FQ","FILING_STATUS=OR","EQY_CONSOLIDATED=Y","Sort=A","Dates=H","DateFormat=P","Fill=—","Direction=H","UseDPDF=Y")</f>
        <v>#NAME?</v>
      </c>
      <c r="AA111" s="2" t="e">
        <f ca="1">_xll.BDH($C$103,"INVENTORY_GROWTH","FQ3 2015","FQ3 2015","Currency=INR","Period=FQ","BEST_FPERIOD_OVERRIDE=FQ","FILING_STATUS=OR","EQY_CONSOLIDATED=Y","Sort=A","Dates=H","DateFormat=P","Fill=—","Direction=H","UseDPDF=Y")</f>
        <v>#NAME?</v>
      </c>
      <c r="AB111" s="2" t="e">
        <f ca="1">_xll.BDH($C$103,"NET_FIXED_ASSETS_1_YEAR_GROWTH","FQ3 2015","FQ3 2015","Currency=INR","Period=FQ","BEST_FPERIOD_OVERRIDE=FQ","FILING_STATUS=OR","EQY_CONSOLIDATED=Y","Sort=A","Dates=H","DateFormat=P","Fill=—","Direction=H","UseDPDF=Y")</f>
        <v>#NAME?</v>
      </c>
      <c r="AC111" s="2" t="e">
        <f ca="1">_xll.BDH($C$103,"ASSET_GROWTH","FQ3 2015","FQ3 2015","Currency=INR","Period=FQ","BEST_FPERIOD_OVERRIDE=FQ","FILING_STATUS=OR","EQY_CONSOLIDATED=Y","Sort=A","Dates=H","DateFormat=P","Fill=—","Direction=H","UseDPDF=Y")</f>
        <v>#NAME?</v>
      </c>
      <c r="AD111" s="2" t="e">
        <f ca="1">_xll.BDH($C$103,"MODIFIED_WORK_CAP_GROWTH","FQ3 2015","FQ3 2015","Currency=INR","Period=FQ","BEST_FPERIOD_OVERRIDE=FQ","FILING_STATUS=OR","EQY_CONSOLIDATED=Y","Sort=A","Dates=H","DateFormat=P","Fill=—","Direction=H","UseDPDF=Y")</f>
        <v>#NAME?</v>
      </c>
      <c r="AE111" s="2" t="e">
        <f ca="1">_xll.BDH($C$103,"WORK_CAP_GROWTH","FQ3 2015","FQ3 2015","Currency=INR","Period=FQ","BEST_FPERIOD_OVERRIDE=FQ","FILING_STATUS=OR","EQY_CONSOLIDATED=Y","Sort=A","Dates=H","DateFormat=P","Fill=—","Direction=H","UseDPDF=Y")</f>
        <v>#NAME?</v>
      </c>
      <c r="AF111" s="2" t="e">
        <f ca="1">_xll.BDH($C$103,"ACCOUNTS_PAYABLE_GROWTH_1YR","FQ3 2015","FQ3 2015","Currency=INR","Period=FQ","BEST_FPERIOD_OVERRIDE=FQ","FILING_STATUS=OR","EQY_CONSOLIDATED=Y","Sort=A","Dates=H","DateFormat=P","Fill=—","Direction=H","UseDPDF=Y")</f>
        <v>#NAME?</v>
      </c>
      <c r="AG111" s="2" t="e">
        <f ca="1">_xll.BDH($C$103,"SHORT_TERM_DEBT_1_YEAR_GROWTH","FQ3 2015","FQ3 2015","Currency=INR","Period=FQ","BEST_FPERIOD_OVERRIDE=FQ","FILING_STATUS=OR","EQY_CONSOLIDATED=Y","Sort=A","Dates=H","DateFormat=P","Fill=—","Direction=H","UseDPDF=Y")</f>
        <v>#NAME?</v>
      </c>
      <c r="AH111" s="2" t="e">
        <f ca="1">_xll.BDH($C$103,"TOTAL_DEBT_1_YEAR_GROWTH","FQ3 2015","FQ3 2015","Currency=INR","Period=FQ","BEST_FPERIOD_OVERRIDE=FQ","FILING_STATUS=OR","EQY_CONSOLIDATED=Y","Sort=A","Dates=H","DateFormat=P","Fill=—","Direction=H","UseDPDF=Y")</f>
        <v>#NAME?</v>
      </c>
      <c r="AI111" s="2" t="e">
        <f ca="1">_xll.BDH($C$103,"TOTAL_EQUITY_1_YEAR_GROWTH","FQ3 2015","FQ3 2015","Currency=INR","Period=FQ","BEST_FPERIOD_OVERRIDE=FQ","FILING_STATUS=OR","EQY_CONSOLIDATED=Y","Sort=A","Dates=H","DateFormat=P","Fill=—","Direction=H","UseDPDF=Y")</f>
        <v>#NAME?</v>
      </c>
      <c r="AJ111" s="2" t="e">
        <f ca="1">_xll.BDH($C$103,"GROWTH_IN_CAP","FQ3 2015","FQ3 2015","Currency=INR","Period=FQ","BEST_FPERIOD_OVERRIDE=FQ","FILING_STATUS=OR","EQY_CONSOLIDATED=Y","Sort=A","Dates=H","DateFormat=P","Fill=—","Direction=H","UseDPDF=Y")</f>
        <v>#NAME?</v>
      </c>
      <c r="AK111" s="2" t="e">
        <f ca="1">_xll.BDH($C$103,"BVPS_GROWTH","FQ3 2015","FQ3 2015","Currency=INR","Period=FQ","BEST_FPERIOD_OVERRIDE=FQ","FILING_STATUS=OR","EQY_CONSOLIDATED=Y","Sort=A","Dates=H","DateFormat=P","Fill=—","Direction=H","UseDPDF=Y")</f>
        <v>#NAME?</v>
      </c>
      <c r="AL111" s="2" t="e">
        <f ca="1">_xll.BDH($C$103,"CASH_FLOW_GROWTH","FQ3 2015","FQ3 2015","Currency=INR","Period=FQ","BEST_FPERIOD_OVERRIDE=FQ","FILING_STATUS=OR","EQY_CONSOLIDATED=Y","Sort=A","Dates=H","DateFormat=P","Fill=—","Direction=H","UseDPDF=Y")</f>
        <v>#NAME?</v>
      </c>
      <c r="AM111" s="2" t="e">
        <f ca="1">_xll.BDH($C$103,"GEO_GROW_NET_SALES","FQ3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11" s="2" t="e">
        <f ca="1">_xll.BDH($C$103,"GEO_GROW_EBITDA","FQ3 2015","FQ3 2015","Currency=INR","Period=FQ","BEST_FPERIOD_OVERRIDE=FQ","FILING_STATUS=OR","EQY_CONSOLIDATED=Y","FA_ADJUSTED=GAAP","Sort=A","Dates=H","DateFormat=P","Fill=—","Direction=H","UseDPDF=Y")</f>
        <v>#NAME?</v>
      </c>
      <c r="AO111" s="2" t="e">
        <f ca="1">_xll.BDH($C$103,"GEO_GROW_OPER_INC","FQ3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11" s="2" t="e">
        <f ca="1">_xll.BDH($C$103,"NET_INCOME_TO_COMMON_5_YR_GROWTH","FQ3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11" s="2" t="e">
        <f ca="1">_xll.BDH($C$103,"5Y_GEO_GROWTH_DILUTED_EPS","FQ3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11" s="2" t="e">
        <f ca="1">_xll.BDH($C$103,"GEO_GROW_DVD_PER_SH","FQ3 2015","FQ3 2015","Currency=INR","Period=FQ","BEST_FPERIOD_OVERRIDE=FQ","FILING_STATUS=OR","EQY_CONSOLIDATED=Y","Sort=A","Dates=H","DateFormat=P","Fill=—","Direction=H","UseDPDF=Y")</f>
        <v>#NAME?</v>
      </c>
      <c r="AS111" s="2" t="e">
        <f ca="1">_xll.BDH($C$103,"ACCOUNTS_RECEIVABLE_5_YR_GROWTH","FQ3 2015","FQ3 2015","Currency=INR","Period=FQ","BEST_FPERIOD_OVERRIDE=FQ","FILING_STATUS=OR","EQY_CONSOLIDATED=Y","Sort=A","Dates=H","DateFormat=P","Fill=—","Direction=H","UseDPDF=Y")</f>
        <v>#NAME?</v>
      </c>
      <c r="AT111" s="2" t="e">
        <f ca="1">_xll.BDH($C$103,"INVENTORY_5_YEAR_GROWTH","FQ3 2015","FQ3 2015","Currency=INR","Period=FQ","BEST_FPERIOD_OVERRIDE=FQ","FILING_STATUS=OR","EQY_CONSOLIDATED=Y","Sort=A","Dates=H","DateFormat=P","Fill=—","Direction=H","UseDPDF=Y")</f>
        <v>#NAME?</v>
      </c>
      <c r="AU111" s="2" t="e">
        <f ca="1">_xll.BDH($C$103,"NET_FIXED_ASSETS_5_YEAR_GROWTH","FQ3 2015","FQ3 2015","Currency=INR","Period=FQ","BEST_FPERIOD_OVERRIDE=FQ","FILING_STATUS=OR","EQY_CONSOLIDATED=Y","Sort=A","Dates=H","DateFormat=P","Fill=—","Direction=H","UseDPDF=Y")</f>
        <v>#NAME?</v>
      </c>
      <c r="AV111" s="2" t="e">
        <f ca="1">_xll.BDH($C$103,"GEO_GROW_TOT_ASSET","FQ3 2015","FQ3 2015","Currency=INR","Period=FQ","BEST_FPERIOD_OVERRIDE=FQ","FILING_STATUS=OR","EQY_CONSOLIDATED=Y","Sort=A","Dates=H","DateFormat=P","Fill=—","Direction=H","UseDPDF=Y")</f>
        <v>#NAME?</v>
      </c>
      <c r="AW111" s="2" t="e">
        <f ca="1">_xll.BDH($C$103,"MODIFIED_WORKING_CPTL_5YR_GRWTH","FQ3 2015","FQ3 2015","Currency=INR","Period=FQ","BEST_FPERIOD_OVERRIDE=FQ","FILING_STATUS=OR","EQY_CONSOLIDATED=Y","Sort=A","Dates=H","DateFormat=P","Fill=—","Direction=H","UseDPDF=Y")</f>
        <v>#NAME?</v>
      </c>
      <c r="AX111" s="2" t="e">
        <f ca="1">_xll.BDH($C$103,"WORKING_CAPITAL_5_YEAR_GROWTH","FQ3 2015","FQ3 2015","Currency=INR","Period=FQ","BEST_FPERIOD_OVERRIDE=FQ","FILING_STATUS=OR","EQY_CONSOLIDATED=Y","Sort=A","Dates=H","DateFormat=P","Fill=—","Direction=H","UseDPDF=Y")</f>
        <v>#NAME?</v>
      </c>
      <c r="AY111" s="2" t="e">
        <f ca="1">_xll.BDH($C$103,"ACCOUNTS_PAYABLE_5_YEAR_GROWTH","FQ3 2015","FQ3 2015","Currency=INR","Period=FQ","BEST_FPERIOD_OVERRIDE=FQ","FILING_STATUS=OR","EQY_CONSOLIDATED=Y","Sort=A","Dates=H","DateFormat=P","Fill=—","Direction=H","UseDPDF=Y")</f>
        <v>#NAME?</v>
      </c>
      <c r="AZ111" s="2" t="e">
        <f ca="1">_xll.BDH($C$103,"SHORT_TERM_DEBT_5_YEAR_GROWTH","FQ3 2015","FQ3 2015","Currency=INR","Period=FQ","BEST_FPERIOD_OVERRIDE=FQ","FILING_STATUS=OR","EQY_CONSOLIDATED=Y","Sort=A","Dates=H","DateFormat=P","Fill=—","Direction=H","UseDPDF=Y")</f>
        <v>#NAME?</v>
      </c>
      <c r="BA111" s="2" t="e">
        <f ca="1">_xll.BDH($C$103,"TOTAL_DEBT_5_YEAR_GROWTH","FQ3 2015","FQ3 2015","Currency=INR","Period=FQ","BEST_FPERIOD_OVERRIDE=FQ","FILING_STATUS=OR","EQY_CONSOLIDATED=Y","Sort=A","Dates=H","DateFormat=P","Fill=—","Direction=H","UseDPDF=Y")</f>
        <v>#NAME?</v>
      </c>
      <c r="BB111" s="2" t="e">
        <f ca="1">_xll.BDH($C$103,"GEO_GROW_TOT_SHRHLDR_EQY","FQ3 2015","FQ3 2015","Currency=INR","Period=FQ","BEST_FPERIOD_OVERRIDE=FQ","FILING_STATUS=OR","EQY_CONSOLIDATED=Y","Sort=A","Dates=H","DateFormat=P","Fill=—","Direction=H","UseDPDF=Y")</f>
        <v>#NAME?</v>
      </c>
      <c r="BC111" s="2" t="e">
        <f ca="1">_xll.BDH($C$103,"TOTAL_CAPITAL_5_YEAR_GROWTH","FQ3 2015","FQ3 2015","Currency=INR","Period=FQ","BEST_FPERIOD_OVERRIDE=FQ","FILING_STATUS=OR","EQY_CONSOLIDATED=Y","Sort=A","Dates=H","DateFormat=P","Fill=—","Direction=H","UseDPDF=Y")</f>
        <v>#NAME?</v>
      </c>
      <c r="BD111" s="2" t="e">
        <f ca="1">_xll.BDH($C$103,"GEO_GROW_BOOK_VAL","FQ3 2015","FQ3 2015","Currency=INR","Period=FQ","BEST_FPERIOD_OVERRIDE=FQ","FILING_STATUS=OR","EQY_CONSOLIDATED=Y","Sort=A","Dates=H","DateFormat=P","Fill=—","Direction=H","UseDPDF=Y")</f>
        <v>#NAME?</v>
      </c>
      <c r="BE111" s="2" t="e">
        <f ca="1">_xll.BDH($C$103,"GEO_GROW_CASH_OPER_ACT","FQ3 2015","FQ3 2015","Currency=INR","Period=FQ","BEST_FPERIOD_OVERRIDE=FQ","FILING_STATUS=OR","EQY_CONSOLIDATED=Y","Sort=A","Dates=H","DateFormat=P","Fill=—","Direction=H","UseDPDF=Y")</f>
        <v>#NAME?</v>
      </c>
      <c r="BF111" s="2" t="e">
        <f ca="1">_xll.BDH($C$103,"REVENUE_SEQUENTIAL_GROWTH","FQ3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11" s="2" t="e">
        <f ca="1">_xll.BDH($C$103,"EBITDA_SEQUENTIAL_GROWTH","FQ3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11" s="2" t="e">
        <f ca="1">_xll.BDH($C$103,"OPERATING_INCOME_SEQ_GROWTH","FQ3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11" s="2" t="e">
        <f ca="1">_xll.BDH($C$103,"NET_INCOME_TO_COMMON_SEQ_GROWTH","FQ3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11" s="2" t="e">
        <f ca="1">_xll.BDH($C$103,"EPS_DILUTED_SEQUENTIAL_GROWTH","FQ3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11" s="2" t="e">
        <f ca="1">_xll.BDH($C$103,"DPS_SEQUENTIAL_GROWTH","FQ3 2015","FQ3 2015","Currency=INR","Period=FQ","BEST_FPERIOD_OVERRIDE=FQ","FILING_STATUS=OR","EQY_CONSOLIDATED=Y","Sort=A","Dates=H","DateFormat=P","Fill=—","Direction=H","UseDPDF=Y")</f>
        <v>#NAME?</v>
      </c>
      <c r="BL111" s="2" t="e">
        <f ca="1">_xll.BDH($C$103,"ACCOUNTS_RECEIVABLE_SEQ_GROWTH","FQ3 2015","FQ3 2015","Currency=INR","Period=FQ","BEST_FPERIOD_OVERRIDE=FQ","FILING_STATUS=OR","EQY_CONSOLIDATED=Y","Sort=A","Dates=H","DateFormat=P","Fill=—","Direction=H","UseDPDF=Y")</f>
        <v>#NAME?</v>
      </c>
      <c r="BM111" s="2" t="e">
        <f ca="1">_xll.BDH($C$103,"INVENTORY_SEQUENTIAL_GROWTH","FQ3 2015","FQ3 2015","Currency=INR","Period=FQ","BEST_FPERIOD_OVERRIDE=FQ","FILING_STATUS=OR","EQY_CONSOLIDATED=Y","Sort=A","Dates=H","DateFormat=P","Fill=—","Direction=H","UseDPDF=Y")</f>
        <v>#NAME?</v>
      </c>
      <c r="BN111" s="2" t="e">
        <f ca="1">_xll.BDH($C$103,"FIXED_ASSETS_SEQUENTIAL_GROWTH","FQ3 2015","FQ3 2015","Currency=INR","Period=FQ","BEST_FPERIOD_OVERRIDE=FQ","FILING_STATUS=OR","EQY_CONSOLIDATED=Y","Sort=A","Dates=H","DateFormat=P","Fill=—","Direction=H","UseDPDF=Y")</f>
        <v>#NAME?</v>
      </c>
      <c r="BO111" s="2" t="e">
        <f ca="1">_xll.BDH($C$103,"TOTAL_ASSETS_SEQUENTIAL_GROWTH","FQ3 2015","FQ3 2015","Currency=INR","Period=FQ","BEST_FPERIOD_OVERRIDE=FQ","FILING_STATUS=OR","EQY_CONSOLIDATED=Y","Sort=A","Dates=H","DateFormat=P","Fill=—","Direction=H","UseDPDF=Y")</f>
        <v>#NAME?</v>
      </c>
      <c r="BP111" s="2" t="e">
        <f ca="1">_xll.BDH($C$103,"MODIFIED_WORKING_CPTL_SEQ_GRWTH","FQ3 2015","FQ3 2015","Currency=INR","Period=FQ","BEST_FPERIOD_OVERRIDE=FQ","FILING_STATUS=OR","EQY_CONSOLIDATED=Y","Sort=A","Dates=H","DateFormat=P","Fill=—","Direction=H","UseDPDF=Y")</f>
        <v>#NAME?</v>
      </c>
      <c r="BQ111" s="2" t="e">
        <f ca="1">_xll.BDH($C$103,"WORKING_CAPITAL_SEQ_GROWTH","FQ3 2015","FQ3 2015","Currency=INR","Period=FQ","BEST_FPERIOD_OVERRIDE=FQ","FILING_STATUS=OR","EQY_CONSOLIDATED=Y","Sort=A","Dates=H","DateFormat=P","Fill=—","Direction=H","UseDPDF=Y")</f>
        <v>#NAME?</v>
      </c>
      <c r="BR111" s="2" t="e">
        <f ca="1">_xll.BDH($C$103,"ACCOUNTS_PAYABLE_SEQ_GROWTH","FQ3 2015","FQ3 2015","Currency=INR","Period=FQ","BEST_FPERIOD_OVERRIDE=FQ","FILING_STATUS=OR","EQY_CONSOLIDATED=Y","Sort=A","Dates=H","DateFormat=P","Fill=—","Direction=H","UseDPDF=Y")</f>
        <v>#NAME?</v>
      </c>
      <c r="BS111" s="2" t="e">
        <f ca="1">_xll.BDH($C$103,"ST_DEBT_SEQUENTIAL_GROWTH","FQ3 2015","FQ3 2015","Currency=INR","Period=FQ","BEST_FPERIOD_OVERRIDE=FQ","FILING_STATUS=OR","EQY_CONSOLIDATED=Y","Sort=A","Dates=H","DateFormat=P","Fill=—","Direction=H","UseDPDF=Y")</f>
        <v>#NAME?</v>
      </c>
      <c r="BT111" s="2" t="e">
        <f ca="1">_xll.BDH($C$103,"TOTAL_DEBT_SEQUENTIAL_GROWTH","FQ3 2015","FQ3 2015","Currency=INR","Period=FQ","BEST_FPERIOD_OVERRIDE=FQ","FILING_STATUS=OR","EQY_CONSOLIDATED=Y","Sort=A","Dates=H","DateFormat=P","Fill=—","Direction=H","UseDPDF=Y")</f>
        <v>#NAME?</v>
      </c>
      <c r="BU111" s="2" t="e">
        <f ca="1">_xll.BDH($C$103,"TOTAL_EQUITY_SEQUENTIAL_GROWTH","FQ3 2015","FQ3 2015","Currency=INR","Period=FQ","BEST_FPERIOD_OVERRIDE=FQ","FILING_STATUS=OR","EQY_CONSOLIDATED=Y","Sort=A","Dates=H","DateFormat=P","Fill=—","Direction=H","UseDPDF=Y")</f>
        <v>#NAME?</v>
      </c>
      <c r="BV111" s="2" t="e">
        <f ca="1">_xll.BDH($C$103,"TOTAL_CAPITAL_SEQUENTIAL_GROWTH","FQ3 2015","FQ3 2015","Currency=INR","Period=FQ","BEST_FPERIOD_OVERRIDE=FQ","FILING_STATUS=OR","EQY_CONSOLIDATED=Y","Sort=A","Dates=H","DateFormat=P","Fill=—","Direction=H","UseDPDF=Y")</f>
        <v>#NAME?</v>
      </c>
      <c r="BW111" s="2" t="e">
        <f ca="1">_xll.BDH($C$103,"BPS_SEQUENTIAL_GROWTH","FQ3 2015","FQ3 2015","Currency=INR","Period=FQ","BEST_FPERIOD_OVERRIDE=FQ","FILING_STATUS=OR","EQY_CONSOLIDATED=Y","Sort=A","Dates=H","DateFormat=P","Fill=—","Direction=H","UseDPDF=Y")</f>
        <v>#NAME?</v>
      </c>
      <c r="BX111" s="2" t="e">
        <f ca="1">_xll.BDH($C$103,"CFO_SEQUENTIAL_GROWTH","FQ3 2015","FQ3 2015","Currency=INR","Period=FQ","BEST_FPERIOD_OVERRIDE=FQ","FILING_STATUS=OR","EQY_CONSOLIDATED=Y","Sort=A","Dates=H","DateFormat=P","Fill=—","Direction=H","UseDPDF=Y")</f>
        <v>#NAME?</v>
      </c>
      <c r="BY111" s="3" t="e">
        <f ca="1">_xll.BDH($C$103,"SHORT_AND_LONG_TERM_DEBT","FQ3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11" s="3" t="e">
        <f ca="1">_xll.BDH($C$103,"BS_ST_BORROW","FQ3 2015","FQ3 2015","Currency=INR","Period=FQ","BEST_FPERIOD_OVERRIDE=FQ","FILING_STATUS=OR","EQY_CONSOLIDATED=Y","SCALING_FORMAT=MLN","Sort=A","Dates=H","DateFormat=P","Fill=—","Direction=H","UseDPDF=Y")</f>
        <v>#NAME?</v>
      </c>
      <c r="CA111" s="3" t="e">
        <f ca="1">_xll.BDH($C$103,"BS_LT_BORROW","FQ3 2015","FQ3 2015","Currency=INR","Period=FQ","BEST_FPERIOD_OVERRIDE=FQ","FILING_STATUS=OR","EQY_CONSOLIDATED=Y","SCALING_FORMAT=MLN","Sort=A","Dates=H","DateFormat=P","Fill=—","Direction=H","UseDPDF=Y")</f>
        <v>#NAME?</v>
      </c>
      <c r="CB111" s="2" t="e">
        <f ca="1">_xll.BDH($C$103,"TOT_DEBT_TO_EBITDA","FQ3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11" s="2" t="e">
        <f ca="1">_xll.BDH($C$103,"NET_DEBT_TO_EBITDA","FQ3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11" s="2" t="e">
        <f ca="1">_xll.BDH($C$103,"TOTAL_DEBT_TO_EBIT","FQ3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11" s="2" t="e">
        <f ca="1">_xll.BDH($C$103,"NET_DEBT_TO_EBIT","FQ3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11" s="2" t="e">
        <f ca="1">_xll.BDH($C$103,"EBITDA_TO_INTEREST_EXPN","FQ3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11" s="2" t="e">
        <f ca="1">_xll.BDH($C$103,"COM_EQY_TO_TOT_ASSET","FQ3 2015","FQ3 2015","Currency=INR","Period=FQ","BEST_FPERIOD_OVERRIDE=FQ","FILING_STATUS=OR","EQY_CONSOLIDATED=Y","Sort=A","Dates=H","DateFormat=P","Fill=—","Direction=H","UseDPDF=Y")</f>
        <v>#NAME?</v>
      </c>
      <c r="CH111" s="2" t="e">
        <f ca="1">_xll.BDH($C$103,"LT_DEBT_TO_TOT_EQY","FQ3 2015","FQ3 2015","Currency=INR","Period=FQ","BEST_FPERIOD_OVERRIDE=FQ","FILING_STATUS=OR","EQY_CONSOLIDATED=Y","Sort=A","Dates=H","DateFormat=P","Fill=—","Direction=H","UseDPDF=Y")</f>
        <v>#NAME?</v>
      </c>
      <c r="CI111" s="2" t="e">
        <f ca="1">_xll.BDH($C$103,"LT_DEBT_TO_TOT_CAP","FQ3 2015","FQ3 2015","Currency=INR","Period=FQ","BEST_FPERIOD_OVERRIDE=FQ","FILING_STATUS=OR","EQY_CONSOLIDATED=Y","Sort=A","Dates=H","DateFormat=P","Fill=—","Direction=H","UseDPDF=Y")</f>
        <v>#NAME?</v>
      </c>
      <c r="CJ111" s="2" t="e">
        <f ca="1">_xll.BDH($C$103,"LT_DEBT_TO_TOT_ASSET","FQ3 2015","FQ3 2015","Currency=INR","Period=FQ","BEST_FPERIOD_OVERRIDE=FQ","FILING_STATUS=OR","EQY_CONSOLIDATED=Y","Sort=A","Dates=H","DateFormat=P","Fill=—","Direction=H","UseDPDF=Y")</f>
        <v>#NAME?</v>
      </c>
      <c r="CK111" s="2" t="e">
        <f ca="1">_xll.BDH($C$103,"TOT_DEBT_TO_TOT_EQY","FQ3 2015","FQ3 2015","Currency=INR","Period=FQ","BEST_FPERIOD_OVERRIDE=FQ","FILING_STATUS=OR","EQY_CONSOLIDATED=Y","Sort=A","Dates=H","DateFormat=P","Fill=—","Direction=H","UseDPDF=Y")</f>
        <v>#NAME?</v>
      </c>
      <c r="CL111" s="2" t="e">
        <f ca="1">_xll.BDH($C$103,"TOT_DEBT_TO_TOT_CAP","FQ3 2015","FQ3 2015","Currency=INR","Period=FQ","BEST_FPERIOD_OVERRIDE=FQ","FILING_STATUS=OR","EQY_CONSOLIDATED=Y","Sort=A","Dates=H","DateFormat=P","Fill=—","Direction=H","UseDPDF=Y")</f>
        <v>#NAME?</v>
      </c>
      <c r="CM111" s="2" t="e">
        <f ca="1">_xll.BDH($C$103,"TOT_DEBT_TO_TOT_ASSET","FQ3 2015","FQ3 2015","Currency=INR","Period=FQ","BEST_FPERIOD_OVERRIDE=FQ","FILING_STATUS=OR","EQY_CONSOLIDATED=Y","Sort=A","Dates=H","DateFormat=P","Fill=—","Direction=H","UseDPDF=Y")</f>
        <v>#NAME?</v>
      </c>
      <c r="CN111" s="2" t="e">
        <f ca="1">_xll.BDH($C$103,"NET_DEBT_TO_SHRHLDR_EQTY","FQ3 2015","FQ3 2015","Currency=INR","Period=FQ","BEST_FPERIOD_OVERRIDE=FQ","FILING_STATUS=OR","EQY_CONSOLIDATED=Y","Sort=A","Dates=H","DateFormat=P","Fill=—","Direction=H","UseDPDF=Y")</f>
        <v>#NAME?</v>
      </c>
      <c r="CO111" s="2" t="e">
        <f ca="1">_xll.BDH($C$103,"NET_DEBT_%_CAPITAL","FQ3 2015","FQ3 2015","Currency=INR","Period=FQ","BEST_FPERIOD_OVERRIDE=FQ","FILING_STATUS=OR","EQY_CONSOLIDATED=Y","Sort=A","Dates=H","DateFormat=P","Fill=—","Direction=H","UseDPDF=Y")</f>
        <v>#NAME?</v>
      </c>
      <c r="CP111" s="3" t="e">
        <f ca="1">_xll.BDH($C$103,"EBITDA","FQ3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11" s="3" t="e">
        <f ca="1">_xll.BDH($C$103,"EBITDA_AFTER_CAPEX","FQ3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11" s="3" t="e">
        <f ca="1">_xll.BDH($C$103,"IS_OPER_INC","FQ3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11" s="2" t="e">
        <f ca="1">_xll.BDH($C$103,"CASH_RATIO","FQ3 2015","FQ3 2015","Currency=INR","Period=FQ","BEST_FPERIOD_OVERRIDE=FQ","FILING_STATUS=OR","EQY_CONSOLIDATED=Y","Sort=A","Dates=H","DateFormat=P","Fill=—","Direction=H","UseDPDF=Y")</f>
        <v>#NAME?</v>
      </c>
      <c r="CT111" s="2" t="e">
        <f ca="1">_xll.BDH($C$103,"CUR_RATIO","FQ3 2015","FQ3 2015","Currency=INR","Period=FQ","BEST_FPERIOD_OVERRIDE=FQ","FILING_STATUS=OR","EQY_CONSOLIDATED=Y","Sort=A","Dates=H","DateFormat=P","Fill=—","Direction=H","UseDPDF=Y")</f>
        <v>#NAME?</v>
      </c>
      <c r="CU111" s="2" t="e">
        <f ca="1">_xll.BDH($C$103,"QUICK_RATIO","FQ3 2015","FQ3 2015","Currency=INR","Period=FQ","BEST_FPERIOD_OVERRIDE=FQ","FILING_STATUS=OR","EQY_CONSOLIDATED=Y","Sort=A","Dates=H","DateFormat=P","Fill=—","Direction=H","UseDPDF=Y")</f>
        <v>#NAME?</v>
      </c>
      <c r="CV111" s="2" t="e">
        <f ca="1">_xll.BDH($C$103,"ALTMAN_Z_SCORE","FQ3 2015","FQ3 2015","Currency=INR","Period=FQ","BEST_FPERIOD_OVERRIDE=FQ","FILING_STATUS=OR","EQY_CONSOLIDATED=Y","Sort=A","Dates=H","DateFormat=P","Fill=—","Direction=H","UseDPDF=Y")</f>
        <v>#NAME?</v>
      </c>
      <c r="CW111" s="4" t="e">
        <f ca="1">_xll.BDH($C$103,"ACCT_RCV_TURN","FQ3 2015","FQ3 2015","Currency=INR","Period=FQ","BEST_FPERIOD_OVERRIDE=FQ","FILING_STATUS=OR","EQY_CONSOLIDATED=Y","FA_ADJUSTED=GAAP","Sort=A","Dates=H","DateFormat=P","Fill=—","Direction=H","UseDPDF=Y")</f>
        <v>#NAME?</v>
      </c>
      <c r="CX111" s="2" t="e">
        <f ca="1">_xll.BDH($C$103,"ACCT_RCV_DAYS","FQ3 2015","FQ3 2015","Currency=INR","Period=FQ","BEST_FPERIOD_OVERRIDE=FQ","FILING_STATUS=OR","EQY_CONSOLIDATED=Y","FA_ADJUSTED=GAAP","Sort=A","Dates=H","DateFormat=P","Fill=—","Direction=H","UseDPDF=Y")</f>
        <v>#NAME?</v>
      </c>
      <c r="CY111" s="4" t="e">
        <f ca="1">_xll.BDH($C$103,"INVENT_TURN","FQ3 2015","FQ3 2015","Currency=INR","Period=FQ","BEST_FPERIOD_OVERRIDE=FQ","FILING_STATUS=OR","EQY_CONSOLIDATED=Y","FA_ADJUSTED=GAAP","Sort=A","Dates=H","DateFormat=P","Fill=—","Direction=H","UseDPDF=Y")</f>
        <v>#NAME?</v>
      </c>
      <c r="CZ111" s="2" t="e">
        <f ca="1">_xll.BDH($C$103,"INVENT_DAYS","FQ3 2015","FQ3 2015","Currency=INR","Period=FQ","BEST_FPERIOD_OVERRIDE=FQ","FILING_STATUS=OR","EQY_CONSOLIDATED=Y","FA_ADJUSTED=GAAP","Sort=A","Dates=H","DateFormat=P","Fill=—","Direction=H","UseDPDF=Y")</f>
        <v>#NAME?</v>
      </c>
      <c r="DA111" s="4" t="e">
        <f ca="1">_xll.BDH($C$103,"ACCOUNTS_PAYABLE_TURNOVER","FQ3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11" s="2" t="e">
        <f ca="1">_xll.BDH($C$103,"ACCOUNTS_PAYABLE_TURNOVER_DAYS","FQ3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11" s="4" t="e">
        <f ca="1">_xll.BDH($C$103,"CASH_CONVERSION_CYCLE","FQ3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11" s="4" t="e">
        <f ca="1">_xll.BDH($C$103,"INV_TO_CASH_DAYS","FQ3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11" s="5" t="e">
        <f ca="1">_xll.BDH($C$103,"BS_INVENTORIES","FQ3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11" s="3" t="e">
        <f ca="1">_xll.BDH($C$103,"INVTRY_RAW_MATERIALS","FQ3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11" s="3" t="e">
        <f ca="1">_xll.BDH($C$103,"INVTRY_IN_PROGRESS","FQ3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11" s="3" t="e">
        <f ca="1">_xll.BDH($C$103,"INVTRY_FINISHED_GOODS","FQ3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11" s="3" t="e">
        <f ca="1">_xll.BDH($C$103,"BS_OTHER_INV","FQ3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12" spans="1:113" x14ac:dyDescent="0.3">
      <c r="A112" s="6"/>
      <c r="B112" s="6"/>
      <c r="C112" s="6"/>
      <c r="D112" s="6"/>
      <c r="E112" t="s">
        <v>81</v>
      </c>
      <c r="F112" t="e">
        <f ca="1">_xll.BDH($C$103,"RETURN_COM_EQY","FQ4 2015","FQ4 2015","Currency=INR","Period=FQ","BEST_FPERIOD_OVERRIDE=FQ","FILING_STATUS=OR","EQY_CONSOLIDATED=Y","FA_ADJUSTED=GAAP","Sort=A","Dates=H","DateFormat=P","Fill=—","Direction=H","UseDPDF=Y")</f>
        <v>#NAME?</v>
      </c>
      <c r="G112" t="e">
        <f ca="1">_xll.BDH($C$103,"RETURN_ON_ASSET","FQ4 2015","FQ4 2015","Currency=INR","Period=FQ","BEST_FPERIOD_OVERRIDE=FQ","FILING_STATUS=OR","EQY_CONSOLIDATED=Y","FA_ADJUSTED=GAAP","Sort=A","Dates=H","DateFormat=P","Fill=—","Direction=H","UseDPDF=Y")</f>
        <v>#NAME?</v>
      </c>
      <c r="H112" t="e">
        <f ca="1">_xll.BDH($C$103,"RETURN_ON_CAP","FQ4 2015","FQ4 2015","Currency=INR","Period=FQ","BEST_FPERIOD_OVERRIDE=FQ","FILING_STATUS=OR","EQY_CONSOLIDATED=Y","FA_ADJUSTED=GAAP","Sort=A","Dates=H","DateFormat=P","Fill=—","Direction=H","UseDPDF=Y")</f>
        <v>#NAME?</v>
      </c>
      <c r="I112" t="e">
        <f ca="1">_xll.BDH($C$103,"RETURN_ON_INV_CAPITAL","FQ4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12" t="e">
        <f ca="1">_xll.BDH($C$103,"EBITDA_TO_REVENUE","FQ4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12" t="e">
        <f ca="1">_xll.BDH($C$103,"OPER_MARGIN","FQ4 2015","FQ4 2015","Currency=INR","Period=FQ","BEST_FPERIOD_OVERRIDE=FQ","FILING_STATUS=OR","EQY_CONSOLIDATED=Y","FA_ADJUSTED=GAAP","Sort=A","Dates=H","DateFormat=P","Fill=—","Direction=H","UseDPDF=Y")</f>
        <v>#NAME?</v>
      </c>
      <c r="L112" t="e">
        <f ca="1">_xll.BDH($C$103,"INCREMENTAL_OPERATING_MARGIN","FQ4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12" t="e">
        <f ca="1">_xll.BDH($C$103,"PRETAX_INC_TO_NET_SALES","FQ4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12" t="e">
        <f ca="1">_xll.BDH($C$103,"INC_BEF_XO_ITEMS_TO_NET_SALES","FQ4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12" t="e">
        <f ca="1">_xll.BDH($C$103,"PROF_MARGIN","FQ4 2015","FQ4 2015","Currency=INR","Period=FQ","BEST_FPERIOD_OVERRIDE=FQ","FILING_STATUS=OR","EQY_CONSOLIDATED=Y","FA_ADJUSTED=GAAP","Sort=A","Dates=H","DateFormat=P","Fill=—","Direction=H","UseDPDF=Y")</f>
        <v>#NAME?</v>
      </c>
      <c r="P112" t="e">
        <f ca="1">_xll.BDH($C$103,"NET_INCOME_TO_COMMON_MARGIN","FQ4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12" t="e">
        <f ca="1">_xll.BDH($C$103,"EFF_TAX_RATE","FQ4 2015","FQ4 2015","Currency=INR","Period=FQ","BEST_FPERIOD_OVERRIDE=FQ","FILING_STATUS=OR","EQY_CONSOLIDATED=Y","FA_ADJUSTED=GAAP","Sort=A","Dates=H","DateFormat=P","Fill=—","Direction=H","UseDPDF=Y")</f>
        <v>#NAME?</v>
      </c>
      <c r="R112" t="e">
        <f ca="1">_xll.BDH($C$103,"DVD_PAYOUT_RATIO","FQ4 2015","FQ4 2015","Currency=INR","Period=FQ","BEST_FPERIOD_OVERRIDE=FQ","FILING_STATUS=OR","EQY_CONSOLIDATED=Y","FA_ADJUSTED=GAAP","Sort=A","Dates=H","DateFormat=P","Fill=—","Direction=H","UseDPDF=Y")</f>
        <v>#NAME?</v>
      </c>
      <c r="S112" t="e">
        <f ca="1">_xll.BDH($C$103,"SUSTAIN_GROWTH_RT","FQ4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12" s="2" t="e">
        <f ca="1">_xll.BDH($C$103,"SALES_GROWTH","FQ4 2015","FQ4 2015","Currency=INR","Period=FQ","BEST_FPERIOD_OVERRIDE=FQ","FILING_STATUS=OR","EQY_CONSOLIDATED=Y","FA_ADJUSTED=GAAP","Sort=A","Dates=H","DateFormat=P","Fill=—","Direction=H","UseDPDF=Y")</f>
        <v>#NAME?</v>
      </c>
      <c r="U112" s="2" t="e">
        <f ca="1">_xll.BDH($C$103,"EBITDA_GROWTH","FQ4 2015","FQ4 2015","Currency=INR","Period=FQ","BEST_FPERIOD_OVERRIDE=FQ","FILING_STATUS=OR","EQY_CONSOLIDATED=Y","FA_ADJUSTED=GAAP","Sort=A","Dates=H","DateFormat=P","Fill=—","Direction=H","UseDPDF=Y")</f>
        <v>#NAME?</v>
      </c>
      <c r="V112" s="2" t="e">
        <f ca="1">_xll.BDH($C$103,"OPER_INC_GROWTH","FQ4 2015","FQ4 2015","Currency=INR","Period=FQ","BEST_FPERIOD_OVERRIDE=FQ","FILING_STATUS=OR","EQY_CONSOLIDATED=Y","FA_ADJUSTED=GAAP","Sort=A","Dates=H","DateFormat=P","Fill=—","Direction=H","UseDPDF=Y")</f>
        <v>#NAME?</v>
      </c>
      <c r="W112" s="2" t="e">
        <f ca="1">_xll.BDH($C$103,"EARN_FOR_COM_GROWTH","FQ4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12" s="2" t="e">
        <f ca="1">_xll.BDH($C$103,"DILUTED_EPS_AFT_XO_ITEMS_GROWTH","FQ4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12" s="2" t="e">
        <f ca="1">_xll.BDH($C$103,"DIVIDEND_PER_SHARE_1_YEAR_GROWTH","FQ4 2015","FQ4 2015","Currency=INR","Period=FQ","BEST_FPERIOD_OVERRIDE=FQ","FILING_STATUS=OR","EQY_CONSOLIDATED=Y","Sort=A","Dates=H","DateFormat=P","Fill=—","Direction=H","UseDPDF=Y")</f>
        <v>#NAME?</v>
      </c>
      <c r="Z112" s="2" t="e">
        <f ca="1">_xll.BDH($C$103,"ACCOUNTS_RECEIVABLE_GROWTH","FQ4 2015","FQ4 2015","Currency=INR","Period=FQ","BEST_FPERIOD_OVERRIDE=FQ","FILING_STATUS=OR","EQY_CONSOLIDATED=Y","Sort=A","Dates=H","DateFormat=P","Fill=—","Direction=H","UseDPDF=Y")</f>
        <v>#NAME?</v>
      </c>
      <c r="AA112" s="2" t="e">
        <f ca="1">_xll.BDH($C$103,"INVENTORY_GROWTH","FQ4 2015","FQ4 2015","Currency=INR","Period=FQ","BEST_FPERIOD_OVERRIDE=FQ","FILING_STATUS=OR","EQY_CONSOLIDATED=Y","Sort=A","Dates=H","DateFormat=P","Fill=—","Direction=H","UseDPDF=Y")</f>
        <v>#NAME?</v>
      </c>
      <c r="AB112" s="2" t="e">
        <f ca="1">_xll.BDH($C$103,"NET_FIXED_ASSETS_1_YEAR_GROWTH","FQ4 2015","FQ4 2015","Currency=INR","Period=FQ","BEST_FPERIOD_OVERRIDE=FQ","FILING_STATUS=OR","EQY_CONSOLIDATED=Y","Sort=A","Dates=H","DateFormat=P","Fill=—","Direction=H","UseDPDF=Y")</f>
        <v>#NAME?</v>
      </c>
      <c r="AC112" s="2" t="e">
        <f ca="1">_xll.BDH($C$103,"ASSET_GROWTH","FQ4 2015","FQ4 2015","Currency=INR","Period=FQ","BEST_FPERIOD_OVERRIDE=FQ","FILING_STATUS=OR","EQY_CONSOLIDATED=Y","Sort=A","Dates=H","DateFormat=P","Fill=—","Direction=H","UseDPDF=Y")</f>
        <v>#NAME?</v>
      </c>
      <c r="AD112" s="2" t="e">
        <f ca="1">_xll.BDH($C$103,"MODIFIED_WORK_CAP_GROWTH","FQ4 2015","FQ4 2015","Currency=INR","Period=FQ","BEST_FPERIOD_OVERRIDE=FQ","FILING_STATUS=OR","EQY_CONSOLIDATED=Y","Sort=A","Dates=H","DateFormat=P","Fill=—","Direction=H","UseDPDF=Y")</f>
        <v>#NAME?</v>
      </c>
      <c r="AE112" s="2" t="e">
        <f ca="1">_xll.BDH($C$103,"WORK_CAP_GROWTH","FQ4 2015","FQ4 2015","Currency=INR","Period=FQ","BEST_FPERIOD_OVERRIDE=FQ","FILING_STATUS=OR","EQY_CONSOLIDATED=Y","Sort=A","Dates=H","DateFormat=P","Fill=—","Direction=H","UseDPDF=Y")</f>
        <v>#NAME?</v>
      </c>
      <c r="AF112" s="2" t="e">
        <f ca="1">_xll.BDH($C$103,"ACCOUNTS_PAYABLE_GROWTH_1YR","FQ4 2015","FQ4 2015","Currency=INR","Period=FQ","BEST_FPERIOD_OVERRIDE=FQ","FILING_STATUS=OR","EQY_CONSOLIDATED=Y","Sort=A","Dates=H","DateFormat=P","Fill=—","Direction=H","UseDPDF=Y")</f>
        <v>#NAME?</v>
      </c>
      <c r="AG112" s="2" t="e">
        <f ca="1">_xll.BDH($C$103,"SHORT_TERM_DEBT_1_YEAR_GROWTH","FQ4 2015","FQ4 2015","Currency=INR","Period=FQ","BEST_FPERIOD_OVERRIDE=FQ","FILING_STATUS=OR","EQY_CONSOLIDATED=Y","Sort=A","Dates=H","DateFormat=P","Fill=—","Direction=H","UseDPDF=Y")</f>
        <v>#NAME?</v>
      </c>
      <c r="AH112" s="2" t="e">
        <f ca="1">_xll.BDH($C$103,"TOTAL_DEBT_1_YEAR_GROWTH","FQ4 2015","FQ4 2015","Currency=INR","Period=FQ","BEST_FPERIOD_OVERRIDE=FQ","FILING_STATUS=OR","EQY_CONSOLIDATED=Y","Sort=A","Dates=H","DateFormat=P","Fill=—","Direction=H","UseDPDF=Y")</f>
        <v>#NAME?</v>
      </c>
      <c r="AI112" s="2" t="e">
        <f ca="1">_xll.BDH($C$103,"TOTAL_EQUITY_1_YEAR_GROWTH","FQ4 2015","FQ4 2015","Currency=INR","Period=FQ","BEST_FPERIOD_OVERRIDE=FQ","FILING_STATUS=OR","EQY_CONSOLIDATED=Y","Sort=A","Dates=H","DateFormat=P","Fill=—","Direction=H","UseDPDF=Y")</f>
        <v>#NAME?</v>
      </c>
      <c r="AJ112" s="2" t="e">
        <f ca="1">_xll.BDH($C$103,"GROWTH_IN_CAP","FQ4 2015","FQ4 2015","Currency=INR","Period=FQ","BEST_FPERIOD_OVERRIDE=FQ","FILING_STATUS=OR","EQY_CONSOLIDATED=Y","Sort=A","Dates=H","DateFormat=P","Fill=—","Direction=H","UseDPDF=Y")</f>
        <v>#NAME?</v>
      </c>
      <c r="AK112" s="2" t="e">
        <f ca="1">_xll.BDH($C$103,"BVPS_GROWTH","FQ4 2015","FQ4 2015","Currency=INR","Period=FQ","BEST_FPERIOD_OVERRIDE=FQ","FILING_STATUS=OR","EQY_CONSOLIDATED=Y","Sort=A","Dates=H","DateFormat=P","Fill=—","Direction=H","UseDPDF=Y")</f>
        <v>#NAME?</v>
      </c>
      <c r="AL112" s="2" t="e">
        <f ca="1">_xll.BDH($C$103,"CASH_FLOW_GROWTH","FQ4 2015","FQ4 2015","Currency=INR","Period=FQ","BEST_FPERIOD_OVERRIDE=FQ","FILING_STATUS=OR","EQY_CONSOLIDATED=Y","Sort=A","Dates=H","DateFormat=P","Fill=—","Direction=H","UseDPDF=Y")</f>
        <v>#NAME?</v>
      </c>
      <c r="AM112" s="2" t="e">
        <f ca="1">_xll.BDH($C$103,"GEO_GROW_NET_SALES","FQ4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12" s="2" t="e">
        <f ca="1">_xll.BDH($C$103,"GEO_GROW_EBITDA","FQ4 2015","FQ4 2015","Currency=INR","Period=FQ","BEST_FPERIOD_OVERRIDE=FQ","FILING_STATUS=OR","EQY_CONSOLIDATED=Y","FA_ADJUSTED=GAAP","Sort=A","Dates=H","DateFormat=P","Fill=—","Direction=H","UseDPDF=Y")</f>
        <v>#NAME?</v>
      </c>
      <c r="AO112" s="2" t="e">
        <f ca="1">_xll.BDH($C$103,"GEO_GROW_OPER_INC","FQ4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12" s="2" t="e">
        <f ca="1">_xll.BDH($C$103,"NET_INCOME_TO_COMMON_5_YR_GROWTH","FQ4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12" s="2" t="e">
        <f ca="1">_xll.BDH($C$103,"5Y_GEO_GROWTH_DILUTED_EPS","FQ4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12" s="2" t="e">
        <f ca="1">_xll.BDH($C$103,"GEO_GROW_DVD_PER_SH","FQ4 2015","FQ4 2015","Currency=INR","Period=FQ","BEST_FPERIOD_OVERRIDE=FQ","FILING_STATUS=OR","EQY_CONSOLIDATED=Y","Sort=A","Dates=H","DateFormat=P","Fill=—","Direction=H","UseDPDF=Y")</f>
        <v>#NAME?</v>
      </c>
      <c r="AS112" s="2" t="e">
        <f ca="1">_xll.BDH($C$103,"ACCOUNTS_RECEIVABLE_5_YR_GROWTH","FQ4 2015","FQ4 2015","Currency=INR","Period=FQ","BEST_FPERIOD_OVERRIDE=FQ","FILING_STATUS=OR","EQY_CONSOLIDATED=Y","Sort=A","Dates=H","DateFormat=P","Fill=—","Direction=H","UseDPDF=Y")</f>
        <v>#NAME?</v>
      </c>
      <c r="AT112" s="2" t="e">
        <f ca="1">_xll.BDH($C$103,"INVENTORY_5_YEAR_GROWTH","FQ4 2015","FQ4 2015","Currency=INR","Period=FQ","BEST_FPERIOD_OVERRIDE=FQ","FILING_STATUS=OR","EQY_CONSOLIDATED=Y","Sort=A","Dates=H","DateFormat=P","Fill=—","Direction=H","UseDPDF=Y")</f>
        <v>#NAME?</v>
      </c>
      <c r="AU112" s="2" t="e">
        <f ca="1">_xll.BDH($C$103,"NET_FIXED_ASSETS_5_YEAR_GROWTH","FQ4 2015","FQ4 2015","Currency=INR","Period=FQ","BEST_FPERIOD_OVERRIDE=FQ","FILING_STATUS=OR","EQY_CONSOLIDATED=Y","Sort=A","Dates=H","DateFormat=P","Fill=—","Direction=H","UseDPDF=Y")</f>
        <v>#NAME?</v>
      </c>
      <c r="AV112" s="2" t="e">
        <f ca="1">_xll.BDH($C$103,"GEO_GROW_TOT_ASSET","FQ4 2015","FQ4 2015","Currency=INR","Period=FQ","BEST_FPERIOD_OVERRIDE=FQ","FILING_STATUS=OR","EQY_CONSOLIDATED=Y","Sort=A","Dates=H","DateFormat=P","Fill=—","Direction=H","UseDPDF=Y")</f>
        <v>#NAME?</v>
      </c>
      <c r="AW112" s="2" t="e">
        <f ca="1">_xll.BDH($C$103,"MODIFIED_WORKING_CPTL_5YR_GRWTH","FQ4 2015","FQ4 2015","Currency=INR","Period=FQ","BEST_FPERIOD_OVERRIDE=FQ","FILING_STATUS=OR","EQY_CONSOLIDATED=Y","Sort=A","Dates=H","DateFormat=P","Fill=—","Direction=H","UseDPDF=Y")</f>
        <v>#NAME?</v>
      </c>
      <c r="AX112" s="2" t="e">
        <f ca="1">_xll.BDH($C$103,"WORKING_CAPITAL_5_YEAR_GROWTH","FQ4 2015","FQ4 2015","Currency=INR","Period=FQ","BEST_FPERIOD_OVERRIDE=FQ","FILING_STATUS=OR","EQY_CONSOLIDATED=Y","Sort=A","Dates=H","DateFormat=P","Fill=—","Direction=H","UseDPDF=Y")</f>
        <v>#NAME?</v>
      </c>
      <c r="AY112" s="2" t="e">
        <f ca="1">_xll.BDH($C$103,"ACCOUNTS_PAYABLE_5_YEAR_GROWTH","FQ4 2015","FQ4 2015","Currency=INR","Period=FQ","BEST_FPERIOD_OVERRIDE=FQ","FILING_STATUS=OR","EQY_CONSOLIDATED=Y","Sort=A","Dates=H","DateFormat=P","Fill=—","Direction=H","UseDPDF=Y")</f>
        <v>#NAME?</v>
      </c>
      <c r="AZ112" s="2" t="e">
        <f ca="1">_xll.BDH($C$103,"SHORT_TERM_DEBT_5_YEAR_GROWTH","FQ4 2015","FQ4 2015","Currency=INR","Period=FQ","BEST_FPERIOD_OVERRIDE=FQ","FILING_STATUS=OR","EQY_CONSOLIDATED=Y","Sort=A","Dates=H","DateFormat=P","Fill=—","Direction=H","UseDPDF=Y")</f>
        <v>#NAME?</v>
      </c>
      <c r="BA112" s="2" t="e">
        <f ca="1">_xll.BDH($C$103,"TOTAL_DEBT_5_YEAR_GROWTH","FQ4 2015","FQ4 2015","Currency=INR","Period=FQ","BEST_FPERIOD_OVERRIDE=FQ","FILING_STATUS=OR","EQY_CONSOLIDATED=Y","Sort=A","Dates=H","DateFormat=P","Fill=—","Direction=H","UseDPDF=Y")</f>
        <v>#NAME?</v>
      </c>
      <c r="BB112" s="2" t="e">
        <f ca="1">_xll.BDH($C$103,"GEO_GROW_TOT_SHRHLDR_EQY","FQ4 2015","FQ4 2015","Currency=INR","Period=FQ","BEST_FPERIOD_OVERRIDE=FQ","FILING_STATUS=OR","EQY_CONSOLIDATED=Y","Sort=A","Dates=H","DateFormat=P","Fill=—","Direction=H","UseDPDF=Y")</f>
        <v>#NAME?</v>
      </c>
      <c r="BC112" s="2" t="e">
        <f ca="1">_xll.BDH($C$103,"TOTAL_CAPITAL_5_YEAR_GROWTH","FQ4 2015","FQ4 2015","Currency=INR","Period=FQ","BEST_FPERIOD_OVERRIDE=FQ","FILING_STATUS=OR","EQY_CONSOLIDATED=Y","Sort=A","Dates=H","DateFormat=P","Fill=—","Direction=H","UseDPDF=Y")</f>
        <v>#NAME?</v>
      </c>
      <c r="BD112" s="2" t="e">
        <f ca="1">_xll.BDH($C$103,"GEO_GROW_BOOK_VAL","FQ4 2015","FQ4 2015","Currency=INR","Period=FQ","BEST_FPERIOD_OVERRIDE=FQ","FILING_STATUS=OR","EQY_CONSOLIDATED=Y","Sort=A","Dates=H","DateFormat=P","Fill=—","Direction=H","UseDPDF=Y")</f>
        <v>#NAME?</v>
      </c>
      <c r="BE112" s="2" t="e">
        <f ca="1">_xll.BDH($C$103,"GEO_GROW_CASH_OPER_ACT","FQ4 2015","FQ4 2015","Currency=INR","Period=FQ","BEST_FPERIOD_OVERRIDE=FQ","FILING_STATUS=OR","EQY_CONSOLIDATED=Y","Sort=A","Dates=H","DateFormat=P","Fill=—","Direction=H","UseDPDF=Y")</f>
        <v>#NAME?</v>
      </c>
      <c r="BF112" s="2" t="e">
        <f ca="1">_xll.BDH($C$103,"REVENUE_SEQUENTIAL_GROWTH","FQ4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12" s="2" t="e">
        <f ca="1">_xll.BDH($C$103,"EBITDA_SEQUENTIAL_GROWTH","FQ4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12" s="2" t="e">
        <f ca="1">_xll.BDH($C$103,"OPERATING_INCOME_SEQ_GROWTH","FQ4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12" s="2" t="e">
        <f ca="1">_xll.BDH($C$103,"NET_INCOME_TO_COMMON_SEQ_GROWTH","FQ4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12" s="2" t="e">
        <f ca="1">_xll.BDH($C$103,"EPS_DILUTED_SEQUENTIAL_GROWTH","FQ4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12" s="2" t="e">
        <f ca="1">_xll.BDH($C$103,"DPS_SEQUENTIAL_GROWTH","FQ4 2015","FQ4 2015","Currency=INR","Period=FQ","BEST_FPERIOD_OVERRIDE=FQ","FILING_STATUS=OR","EQY_CONSOLIDATED=Y","Sort=A","Dates=H","DateFormat=P","Fill=—","Direction=H","UseDPDF=Y")</f>
        <v>#NAME?</v>
      </c>
      <c r="BL112" s="2" t="e">
        <f ca="1">_xll.BDH($C$103,"ACCOUNTS_RECEIVABLE_SEQ_GROWTH","FQ4 2015","FQ4 2015","Currency=INR","Period=FQ","BEST_FPERIOD_OVERRIDE=FQ","FILING_STATUS=OR","EQY_CONSOLIDATED=Y","Sort=A","Dates=H","DateFormat=P","Fill=—","Direction=H","UseDPDF=Y")</f>
        <v>#NAME?</v>
      </c>
      <c r="BM112" s="2" t="e">
        <f ca="1">_xll.BDH($C$103,"INVENTORY_SEQUENTIAL_GROWTH","FQ4 2015","FQ4 2015","Currency=INR","Period=FQ","BEST_FPERIOD_OVERRIDE=FQ","FILING_STATUS=OR","EQY_CONSOLIDATED=Y","Sort=A","Dates=H","DateFormat=P","Fill=—","Direction=H","UseDPDF=Y")</f>
        <v>#NAME?</v>
      </c>
      <c r="BN112" s="2" t="e">
        <f ca="1">_xll.BDH($C$103,"FIXED_ASSETS_SEQUENTIAL_GROWTH","FQ4 2015","FQ4 2015","Currency=INR","Period=FQ","BEST_FPERIOD_OVERRIDE=FQ","FILING_STATUS=OR","EQY_CONSOLIDATED=Y","Sort=A","Dates=H","DateFormat=P","Fill=—","Direction=H","UseDPDF=Y")</f>
        <v>#NAME?</v>
      </c>
      <c r="BO112" s="2" t="e">
        <f ca="1">_xll.BDH($C$103,"TOTAL_ASSETS_SEQUENTIAL_GROWTH","FQ4 2015","FQ4 2015","Currency=INR","Period=FQ","BEST_FPERIOD_OVERRIDE=FQ","FILING_STATUS=OR","EQY_CONSOLIDATED=Y","Sort=A","Dates=H","DateFormat=P","Fill=—","Direction=H","UseDPDF=Y")</f>
        <v>#NAME?</v>
      </c>
      <c r="BP112" s="2" t="e">
        <f ca="1">_xll.BDH($C$103,"MODIFIED_WORKING_CPTL_SEQ_GRWTH","FQ4 2015","FQ4 2015","Currency=INR","Period=FQ","BEST_FPERIOD_OVERRIDE=FQ","FILING_STATUS=OR","EQY_CONSOLIDATED=Y","Sort=A","Dates=H","DateFormat=P","Fill=—","Direction=H","UseDPDF=Y")</f>
        <v>#NAME?</v>
      </c>
      <c r="BQ112" s="2" t="e">
        <f ca="1">_xll.BDH($C$103,"WORKING_CAPITAL_SEQ_GROWTH","FQ4 2015","FQ4 2015","Currency=INR","Period=FQ","BEST_FPERIOD_OVERRIDE=FQ","FILING_STATUS=OR","EQY_CONSOLIDATED=Y","Sort=A","Dates=H","DateFormat=P","Fill=—","Direction=H","UseDPDF=Y")</f>
        <v>#NAME?</v>
      </c>
      <c r="BR112" s="2" t="e">
        <f ca="1">_xll.BDH($C$103,"ACCOUNTS_PAYABLE_SEQ_GROWTH","FQ4 2015","FQ4 2015","Currency=INR","Period=FQ","BEST_FPERIOD_OVERRIDE=FQ","FILING_STATUS=OR","EQY_CONSOLIDATED=Y","Sort=A","Dates=H","DateFormat=P","Fill=—","Direction=H","UseDPDF=Y")</f>
        <v>#NAME?</v>
      </c>
      <c r="BS112" s="2" t="e">
        <f ca="1">_xll.BDH($C$103,"ST_DEBT_SEQUENTIAL_GROWTH","FQ4 2015","FQ4 2015","Currency=INR","Period=FQ","BEST_FPERIOD_OVERRIDE=FQ","FILING_STATUS=OR","EQY_CONSOLIDATED=Y","Sort=A","Dates=H","DateFormat=P","Fill=—","Direction=H","UseDPDF=Y")</f>
        <v>#NAME?</v>
      </c>
      <c r="BT112" s="2" t="e">
        <f ca="1">_xll.BDH($C$103,"TOTAL_DEBT_SEQUENTIAL_GROWTH","FQ4 2015","FQ4 2015","Currency=INR","Period=FQ","BEST_FPERIOD_OVERRIDE=FQ","FILING_STATUS=OR","EQY_CONSOLIDATED=Y","Sort=A","Dates=H","DateFormat=P","Fill=—","Direction=H","UseDPDF=Y")</f>
        <v>#NAME?</v>
      </c>
      <c r="BU112" s="2" t="e">
        <f ca="1">_xll.BDH($C$103,"TOTAL_EQUITY_SEQUENTIAL_GROWTH","FQ4 2015","FQ4 2015","Currency=INR","Period=FQ","BEST_FPERIOD_OVERRIDE=FQ","FILING_STATUS=OR","EQY_CONSOLIDATED=Y","Sort=A","Dates=H","DateFormat=P","Fill=—","Direction=H","UseDPDF=Y")</f>
        <v>#NAME?</v>
      </c>
      <c r="BV112" s="2" t="e">
        <f ca="1">_xll.BDH($C$103,"TOTAL_CAPITAL_SEQUENTIAL_GROWTH","FQ4 2015","FQ4 2015","Currency=INR","Period=FQ","BEST_FPERIOD_OVERRIDE=FQ","FILING_STATUS=OR","EQY_CONSOLIDATED=Y","Sort=A","Dates=H","DateFormat=P","Fill=—","Direction=H","UseDPDF=Y")</f>
        <v>#NAME?</v>
      </c>
      <c r="BW112" s="2" t="e">
        <f ca="1">_xll.BDH($C$103,"BPS_SEQUENTIAL_GROWTH","FQ4 2015","FQ4 2015","Currency=INR","Period=FQ","BEST_FPERIOD_OVERRIDE=FQ","FILING_STATUS=OR","EQY_CONSOLIDATED=Y","Sort=A","Dates=H","DateFormat=P","Fill=—","Direction=H","UseDPDF=Y")</f>
        <v>#NAME?</v>
      </c>
      <c r="BX112" s="2" t="e">
        <f ca="1">_xll.BDH($C$103,"CFO_SEQUENTIAL_GROWTH","FQ4 2015","FQ4 2015","Currency=INR","Period=FQ","BEST_FPERIOD_OVERRIDE=FQ","FILING_STATUS=OR","EQY_CONSOLIDATED=Y","Sort=A","Dates=H","DateFormat=P","Fill=—","Direction=H","UseDPDF=Y")</f>
        <v>#NAME?</v>
      </c>
      <c r="BY112" s="3" t="e">
        <f ca="1">_xll.BDH($C$103,"SHORT_AND_LONG_TERM_DEBT","FQ4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12" s="3" t="e">
        <f ca="1">_xll.BDH($C$103,"BS_ST_BORROW","FQ4 2015","FQ4 2015","Currency=INR","Period=FQ","BEST_FPERIOD_OVERRIDE=FQ","FILING_STATUS=OR","EQY_CONSOLIDATED=Y","SCALING_FORMAT=MLN","Sort=A","Dates=H","DateFormat=P","Fill=—","Direction=H","UseDPDF=Y")</f>
        <v>#NAME?</v>
      </c>
      <c r="CA112" s="3" t="e">
        <f ca="1">_xll.BDH($C$103,"BS_LT_BORROW","FQ4 2015","FQ4 2015","Currency=INR","Period=FQ","BEST_FPERIOD_OVERRIDE=FQ","FILING_STATUS=OR","EQY_CONSOLIDATED=Y","SCALING_FORMAT=MLN","Sort=A","Dates=H","DateFormat=P","Fill=—","Direction=H","UseDPDF=Y")</f>
        <v>#NAME?</v>
      </c>
      <c r="CB112" s="2" t="e">
        <f ca="1">_xll.BDH($C$103,"TOT_DEBT_TO_EBITDA","FQ4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12" s="2" t="e">
        <f ca="1">_xll.BDH($C$103,"NET_DEBT_TO_EBITDA","FQ4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12" s="2" t="e">
        <f ca="1">_xll.BDH($C$103,"TOTAL_DEBT_TO_EBIT","FQ4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12" s="2" t="e">
        <f ca="1">_xll.BDH($C$103,"NET_DEBT_TO_EBIT","FQ4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12" s="2" t="e">
        <f ca="1">_xll.BDH($C$103,"EBITDA_TO_INTEREST_EXPN","FQ4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12" s="2" t="e">
        <f ca="1">_xll.BDH($C$103,"COM_EQY_TO_TOT_ASSET","FQ4 2015","FQ4 2015","Currency=INR","Period=FQ","BEST_FPERIOD_OVERRIDE=FQ","FILING_STATUS=OR","EQY_CONSOLIDATED=Y","Sort=A","Dates=H","DateFormat=P","Fill=—","Direction=H","UseDPDF=Y")</f>
        <v>#NAME?</v>
      </c>
      <c r="CH112" s="2" t="e">
        <f ca="1">_xll.BDH($C$103,"LT_DEBT_TO_TOT_EQY","FQ4 2015","FQ4 2015","Currency=INR","Period=FQ","BEST_FPERIOD_OVERRIDE=FQ","FILING_STATUS=OR","EQY_CONSOLIDATED=Y","Sort=A","Dates=H","DateFormat=P","Fill=—","Direction=H","UseDPDF=Y")</f>
        <v>#NAME?</v>
      </c>
      <c r="CI112" s="2" t="e">
        <f ca="1">_xll.BDH($C$103,"LT_DEBT_TO_TOT_CAP","FQ4 2015","FQ4 2015","Currency=INR","Period=FQ","BEST_FPERIOD_OVERRIDE=FQ","FILING_STATUS=OR","EQY_CONSOLIDATED=Y","Sort=A","Dates=H","DateFormat=P","Fill=—","Direction=H","UseDPDF=Y")</f>
        <v>#NAME?</v>
      </c>
      <c r="CJ112" s="2" t="e">
        <f ca="1">_xll.BDH($C$103,"LT_DEBT_TO_TOT_ASSET","FQ4 2015","FQ4 2015","Currency=INR","Period=FQ","BEST_FPERIOD_OVERRIDE=FQ","FILING_STATUS=OR","EQY_CONSOLIDATED=Y","Sort=A","Dates=H","DateFormat=P","Fill=—","Direction=H","UseDPDF=Y")</f>
        <v>#NAME?</v>
      </c>
      <c r="CK112" s="2" t="e">
        <f ca="1">_xll.BDH($C$103,"TOT_DEBT_TO_TOT_EQY","FQ4 2015","FQ4 2015","Currency=INR","Period=FQ","BEST_FPERIOD_OVERRIDE=FQ","FILING_STATUS=OR","EQY_CONSOLIDATED=Y","Sort=A","Dates=H","DateFormat=P","Fill=—","Direction=H","UseDPDF=Y")</f>
        <v>#NAME?</v>
      </c>
      <c r="CL112" s="2" t="e">
        <f ca="1">_xll.BDH($C$103,"TOT_DEBT_TO_TOT_CAP","FQ4 2015","FQ4 2015","Currency=INR","Period=FQ","BEST_FPERIOD_OVERRIDE=FQ","FILING_STATUS=OR","EQY_CONSOLIDATED=Y","Sort=A","Dates=H","DateFormat=P","Fill=—","Direction=H","UseDPDF=Y")</f>
        <v>#NAME?</v>
      </c>
      <c r="CM112" s="2" t="e">
        <f ca="1">_xll.BDH($C$103,"TOT_DEBT_TO_TOT_ASSET","FQ4 2015","FQ4 2015","Currency=INR","Period=FQ","BEST_FPERIOD_OVERRIDE=FQ","FILING_STATUS=OR","EQY_CONSOLIDATED=Y","Sort=A","Dates=H","DateFormat=P","Fill=—","Direction=H","UseDPDF=Y")</f>
        <v>#NAME?</v>
      </c>
      <c r="CN112" s="2" t="e">
        <f ca="1">_xll.BDH($C$103,"NET_DEBT_TO_SHRHLDR_EQTY","FQ4 2015","FQ4 2015","Currency=INR","Period=FQ","BEST_FPERIOD_OVERRIDE=FQ","FILING_STATUS=OR","EQY_CONSOLIDATED=Y","Sort=A","Dates=H","DateFormat=P","Fill=—","Direction=H","UseDPDF=Y")</f>
        <v>#NAME?</v>
      </c>
      <c r="CO112" s="2" t="e">
        <f ca="1">_xll.BDH($C$103,"NET_DEBT_%_CAPITAL","FQ4 2015","FQ4 2015","Currency=INR","Period=FQ","BEST_FPERIOD_OVERRIDE=FQ","FILING_STATUS=OR","EQY_CONSOLIDATED=Y","Sort=A","Dates=H","DateFormat=P","Fill=—","Direction=H","UseDPDF=Y")</f>
        <v>#NAME?</v>
      </c>
      <c r="CP112" s="3" t="e">
        <f ca="1">_xll.BDH($C$103,"EBITDA","FQ4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12" s="3" t="e">
        <f ca="1">_xll.BDH($C$103,"EBITDA_AFTER_CAPEX","FQ4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12" s="3" t="e">
        <f ca="1">_xll.BDH($C$103,"IS_OPER_INC","FQ4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12" s="2" t="e">
        <f ca="1">_xll.BDH($C$103,"CASH_RATIO","FQ4 2015","FQ4 2015","Currency=INR","Period=FQ","BEST_FPERIOD_OVERRIDE=FQ","FILING_STATUS=OR","EQY_CONSOLIDATED=Y","Sort=A","Dates=H","DateFormat=P","Fill=—","Direction=H","UseDPDF=Y")</f>
        <v>#NAME?</v>
      </c>
      <c r="CT112" s="2" t="e">
        <f ca="1">_xll.BDH($C$103,"CUR_RATIO","FQ4 2015","FQ4 2015","Currency=INR","Period=FQ","BEST_FPERIOD_OVERRIDE=FQ","FILING_STATUS=OR","EQY_CONSOLIDATED=Y","Sort=A","Dates=H","DateFormat=P","Fill=—","Direction=H","UseDPDF=Y")</f>
        <v>#NAME?</v>
      </c>
      <c r="CU112" s="2" t="e">
        <f ca="1">_xll.BDH($C$103,"QUICK_RATIO","FQ4 2015","FQ4 2015","Currency=INR","Period=FQ","BEST_FPERIOD_OVERRIDE=FQ","FILING_STATUS=OR","EQY_CONSOLIDATED=Y","Sort=A","Dates=H","DateFormat=P","Fill=—","Direction=H","UseDPDF=Y")</f>
        <v>#NAME?</v>
      </c>
      <c r="CV112" s="2" t="e">
        <f ca="1">_xll.BDH($C$103,"ALTMAN_Z_SCORE","FQ4 2015","FQ4 2015","Currency=INR","Period=FQ","BEST_FPERIOD_OVERRIDE=FQ","FILING_STATUS=OR","EQY_CONSOLIDATED=Y","Sort=A","Dates=H","DateFormat=P","Fill=—","Direction=H","UseDPDF=Y")</f>
        <v>#NAME?</v>
      </c>
      <c r="CW112" s="4" t="e">
        <f ca="1">_xll.BDH($C$103,"ACCT_RCV_TURN","FQ4 2015","FQ4 2015","Currency=INR","Period=FQ","BEST_FPERIOD_OVERRIDE=FQ","FILING_STATUS=OR","EQY_CONSOLIDATED=Y","FA_ADJUSTED=GAAP","Sort=A","Dates=H","DateFormat=P","Fill=—","Direction=H","UseDPDF=Y")</f>
        <v>#NAME?</v>
      </c>
      <c r="CX112" s="2" t="e">
        <f ca="1">_xll.BDH($C$103,"ACCT_RCV_DAYS","FQ4 2015","FQ4 2015","Currency=INR","Period=FQ","BEST_FPERIOD_OVERRIDE=FQ","FILING_STATUS=OR","EQY_CONSOLIDATED=Y","FA_ADJUSTED=GAAP","Sort=A","Dates=H","DateFormat=P","Fill=—","Direction=H","UseDPDF=Y")</f>
        <v>#NAME?</v>
      </c>
      <c r="CY112" s="4" t="e">
        <f ca="1">_xll.BDH($C$103,"INVENT_TURN","FQ4 2015","FQ4 2015","Currency=INR","Period=FQ","BEST_FPERIOD_OVERRIDE=FQ","FILING_STATUS=OR","EQY_CONSOLIDATED=Y","FA_ADJUSTED=GAAP","Sort=A","Dates=H","DateFormat=P","Fill=—","Direction=H","UseDPDF=Y")</f>
        <v>#NAME?</v>
      </c>
      <c r="CZ112" s="2" t="e">
        <f ca="1">_xll.BDH($C$103,"INVENT_DAYS","FQ4 2015","FQ4 2015","Currency=INR","Period=FQ","BEST_FPERIOD_OVERRIDE=FQ","FILING_STATUS=OR","EQY_CONSOLIDATED=Y","FA_ADJUSTED=GAAP","Sort=A","Dates=H","DateFormat=P","Fill=—","Direction=H","UseDPDF=Y")</f>
        <v>#NAME?</v>
      </c>
      <c r="DA112" s="4" t="e">
        <f ca="1">_xll.BDH($C$103,"ACCOUNTS_PAYABLE_TURNOVER","FQ4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12" s="2" t="e">
        <f ca="1">_xll.BDH($C$103,"ACCOUNTS_PAYABLE_TURNOVER_DAYS","FQ4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12" s="4" t="e">
        <f ca="1">_xll.BDH($C$103,"CASH_CONVERSION_CYCLE","FQ4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12" s="4" t="e">
        <f ca="1">_xll.BDH($C$103,"INV_TO_CASH_DAYS","FQ4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12" s="5" t="e">
        <f ca="1">_xll.BDH($C$103,"BS_INVENTORIES","FQ4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12" s="3" t="e">
        <f ca="1">_xll.BDH($C$103,"INVTRY_RAW_MATERIALS","FQ4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12" s="3" t="e">
        <f ca="1">_xll.BDH($C$103,"INVTRY_IN_PROGRESS","FQ4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12" s="3" t="e">
        <f ca="1">_xll.BDH($C$103,"INVTRY_FINISHED_GOODS","FQ4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12" s="3" t="e">
        <f ca="1">_xll.BDH($C$103,"BS_OTHER_INV","FQ4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13" spans="1:113" x14ac:dyDescent="0.3">
      <c r="A113" s="6"/>
      <c r="B113" s="6"/>
      <c r="C113" s="6"/>
      <c r="D113" s="6" t="s">
        <v>83</v>
      </c>
      <c r="E113" t="s">
        <v>77</v>
      </c>
      <c r="F113" t="e">
        <f ca="1">_xll.BDH($C$103,"RETURN_COM_EQY","FY 2016","FY 2016","Currency=INR","Period=FY","BEST_FPERIOD_OVERRIDE=FY","FILING_STATUS=OR","EQY_CONSOLIDATED=Y","FA_ADJUSTED=GAAP","Sort=A","Dates=H","DateFormat=P","Fill=—","Direction=H","UseDPDF=Y")</f>
        <v>#NAME?</v>
      </c>
      <c r="G113" t="e">
        <f ca="1">_xll.BDH($C$103,"RETURN_ON_ASSET","FY 2016","FY 2016","Currency=INR","Period=FY","BEST_FPERIOD_OVERRIDE=FY","FILING_STATUS=OR","EQY_CONSOLIDATED=Y","FA_ADJUSTED=GAAP","Sort=A","Dates=H","DateFormat=P","Fill=—","Direction=H","UseDPDF=Y")</f>
        <v>#NAME?</v>
      </c>
      <c r="H113" t="e">
        <f ca="1">_xll.BDH($C$103,"RETURN_ON_CAP","FY 2016","FY 2016","Currency=INR","Period=FY","BEST_FPERIOD_OVERRIDE=FY","FILING_STATUS=OR","EQY_CONSOLIDATED=Y","FA_ADJUSTED=GAAP","Sort=A","Dates=H","DateFormat=P","Fill=—","Direction=H","UseDPDF=Y")</f>
        <v>#NAME?</v>
      </c>
      <c r="I113" t="e">
        <f ca="1">_xll.BDH($C$103,"RETURN_ON_INV_CAPITAL","FY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13" t="e">
        <f ca="1">_xll.BDH($C$103,"EBITDA_TO_REVENUE","FY 2016","FY 2016","Currency=INR","Period=FY","BEST_FPERIOD_OVERRIDE=FY","FILING_STATUS=OR","EQY_CONSOLIDATED=Y","FA_ADJUSTED=GAAP","Sort=A","Dates=H","DateFormat=P","Fill=—","Direction=H","UseDPDF=Y")</f>
        <v>#NAME?</v>
      </c>
      <c r="K113" t="e">
        <f ca="1">_xll.BDH($C$103,"OPER_MARGIN","FY 2016","FY 2016","Currency=INR","Period=FY","BEST_FPERIOD_OVERRIDE=FY","FILING_STATUS=OR","EQY_CONSOLIDATED=Y","FA_ADJUSTED=GAAP","Sort=A","Dates=H","DateFormat=P","Fill=—","Direction=H","UseDPDF=Y")</f>
        <v>#NAME?</v>
      </c>
      <c r="L113" t="e">
        <f ca="1">_xll.BDH($C$103,"INCREMENTAL_OPERATING_MARGIN","FY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13" t="e">
        <f ca="1">_xll.BDH($C$103,"PRETAX_INC_TO_NET_SALES","FY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13" t="e">
        <f ca="1">_xll.BDH($C$103,"INC_BEF_XO_ITEMS_TO_NET_SALES","FY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13" t="e">
        <f ca="1">_xll.BDH($C$103,"PROF_MARGIN","FY 2016","FY 2016","Currency=INR","Period=FY","BEST_FPERIOD_OVERRIDE=FY","FILING_STATUS=OR","EQY_CONSOLIDATED=Y","FA_ADJUSTED=GAAP","Sort=A","Dates=H","DateFormat=P","Fill=—","Direction=H","UseDPDF=Y")</f>
        <v>#NAME?</v>
      </c>
      <c r="P113" t="e">
        <f ca="1">_xll.BDH($C$103,"NET_INCOME_TO_COMMON_MARGIN","FY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13" t="e">
        <f ca="1">_xll.BDH($C$103,"EFF_TAX_RATE","FY 2016","FY 2016","Currency=INR","Period=FY","BEST_FPERIOD_OVERRIDE=FY","FILING_STATUS=OR","EQY_CONSOLIDATED=Y","FA_ADJUSTED=GAAP","Sort=A","Dates=H","DateFormat=P","Fill=—","Direction=H","UseDPDF=Y")</f>
        <v>#NAME?</v>
      </c>
      <c r="R113" t="e">
        <f ca="1">_xll.BDH($C$103,"DVD_PAYOUT_RATIO","FY 2016","FY 2016","Currency=INR","Period=FY","BEST_FPERIOD_OVERRIDE=FY","FILING_STATUS=OR","EQY_CONSOLIDATED=Y","FA_ADJUSTED=GAAP","Sort=A","Dates=H","DateFormat=P","Fill=—","Direction=H","UseDPDF=Y")</f>
        <v>#NAME?</v>
      </c>
      <c r="S113" t="e">
        <f ca="1">_xll.BDH($C$103,"SUSTAIN_GROWTH_RT","FY 2016","FY 2016","Currency=INR","Period=FY","BEST_FPERIOD_OVERRIDE=FY","FILING_STATUS=OR","EQY_CONSOLIDATED=Y","FA_ADJUSTED=GAAP","Sort=A","Dates=H","DateFormat=P","Fill=—","Direction=H","UseDPDF=Y")</f>
        <v>#NAME?</v>
      </c>
      <c r="T113" s="2" t="e">
        <f ca="1">_xll.BDH($C$103,"SALES_GROWTH","FY 2016","FY 2016","Currency=INR","Period=FY","BEST_FPERIOD_OVERRIDE=FY","FILING_STATUS=OR","EQY_CONSOLIDATED=Y","FA_ADJUSTED=GAAP","Sort=A","Dates=H","DateFormat=P","Fill=—","Direction=H","UseDPDF=Y")</f>
        <v>#NAME?</v>
      </c>
      <c r="U113" s="2" t="e">
        <f ca="1">_xll.BDH($C$103,"EBITDA_GROWTH","FY 2016","FY 2016","Currency=INR","Period=FY","BEST_FPERIOD_OVERRIDE=FY","FILING_STATUS=OR","EQY_CONSOLIDATED=Y","FA_ADJUSTED=GAAP","Sort=A","Dates=H","DateFormat=P","Fill=—","Direction=H","UseDPDF=Y")</f>
        <v>#NAME?</v>
      </c>
      <c r="V113" s="2" t="e">
        <f ca="1">_xll.BDH($C$103,"OPER_INC_GROWTH","FY 2016","FY 2016","Currency=INR","Period=FY","BEST_FPERIOD_OVERRIDE=FY","FILING_STATUS=OR","EQY_CONSOLIDATED=Y","FA_ADJUSTED=GAAP","Sort=A","Dates=H","DateFormat=P","Fill=—","Direction=H","UseDPDF=Y")</f>
        <v>#NAME?</v>
      </c>
      <c r="W113" s="2" t="e">
        <f ca="1">_xll.BDH($C$103,"EARN_FOR_COM_GROWTH","FY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13" s="2" t="e">
        <f ca="1">_xll.BDH($C$103,"DILUTED_EPS_AFT_XO_ITEMS_GROWTH","FY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13" s="2" t="e">
        <f ca="1">_xll.BDH($C$103,"DIVIDEND_PER_SHARE_1_YEAR_GROWTH","FY 2016","FY 2016","Currency=INR","Period=FY","BEST_FPERIOD_OVERRIDE=FY","FILING_STATUS=OR","EQY_CONSOLIDATED=Y","Sort=A","Dates=H","DateFormat=P","Fill=—","Direction=H","UseDPDF=Y")</f>
        <v>#NAME?</v>
      </c>
      <c r="Z113" s="2" t="e">
        <f ca="1">_xll.BDH($C$103,"ACCOUNTS_RECEIVABLE_GROWTH","FY 2016","FY 2016","Currency=INR","Period=FY","BEST_FPERIOD_OVERRIDE=FY","FILING_STATUS=OR","EQY_CONSOLIDATED=Y","Sort=A","Dates=H","DateFormat=P","Fill=—","Direction=H","UseDPDF=Y")</f>
        <v>#NAME?</v>
      </c>
      <c r="AA113" s="2" t="e">
        <f ca="1">_xll.BDH($C$103,"INVENTORY_GROWTH","FY 2016","FY 2016","Currency=INR","Period=FY","BEST_FPERIOD_OVERRIDE=FY","FILING_STATUS=OR","EQY_CONSOLIDATED=Y","Sort=A","Dates=H","DateFormat=P","Fill=—","Direction=H","UseDPDF=Y")</f>
        <v>#NAME?</v>
      </c>
      <c r="AB113" s="2" t="e">
        <f ca="1">_xll.BDH($C$103,"NET_FIXED_ASSETS_1_YEAR_GROWTH","FY 2016","FY 2016","Currency=INR","Period=FY","BEST_FPERIOD_OVERRIDE=FY","FILING_STATUS=OR","EQY_CONSOLIDATED=Y","Sort=A","Dates=H","DateFormat=P","Fill=—","Direction=H","UseDPDF=Y")</f>
        <v>#NAME?</v>
      </c>
      <c r="AC113" s="2" t="e">
        <f ca="1">_xll.BDH($C$103,"ASSET_GROWTH","FY 2016","FY 2016","Currency=INR","Period=FY","BEST_FPERIOD_OVERRIDE=FY","FILING_STATUS=OR","EQY_CONSOLIDATED=Y","Sort=A","Dates=H","DateFormat=P","Fill=—","Direction=H","UseDPDF=Y")</f>
        <v>#NAME?</v>
      </c>
      <c r="AD113" s="2" t="e">
        <f ca="1">_xll.BDH($C$103,"MODIFIED_WORK_CAP_GROWTH","FY 2016","FY 2016","Currency=INR","Period=FY","BEST_FPERIOD_OVERRIDE=FY","FILING_STATUS=OR","EQY_CONSOLIDATED=Y","Sort=A","Dates=H","DateFormat=P","Fill=—","Direction=H","UseDPDF=Y")</f>
        <v>#NAME?</v>
      </c>
      <c r="AE113" s="2" t="e">
        <f ca="1">_xll.BDH($C$103,"WORK_CAP_GROWTH","FY 2016","FY 2016","Currency=INR","Period=FY","BEST_FPERIOD_OVERRIDE=FY","FILING_STATUS=OR","EQY_CONSOLIDATED=Y","Sort=A","Dates=H","DateFormat=P","Fill=—","Direction=H","UseDPDF=Y")</f>
        <v>#NAME?</v>
      </c>
      <c r="AF113" s="2" t="e">
        <f ca="1">_xll.BDH($C$103,"ACCOUNTS_PAYABLE_GROWTH_1YR","FY 2016","FY 2016","Currency=INR","Period=FY","BEST_FPERIOD_OVERRIDE=FY","FILING_STATUS=OR","EQY_CONSOLIDATED=Y","Sort=A","Dates=H","DateFormat=P","Fill=—","Direction=H","UseDPDF=Y")</f>
        <v>#NAME?</v>
      </c>
      <c r="AG113" s="2" t="e">
        <f ca="1">_xll.BDH($C$103,"SHORT_TERM_DEBT_1_YEAR_GROWTH","FY 2016","FY 2016","Currency=INR","Period=FY","BEST_FPERIOD_OVERRIDE=FY","FILING_STATUS=OR","EQY_CONSOLIDATED=Y","Sort=A","Dates=H","DateFormat=P","Fill=—","Direction=H","UseDPDF=Y")</f>
        <v>#NAME?</v>
      </c>
      <c r="AH113" s="2" t="e">
        <f ca="1">_xll.BDH($C$103,"TOTAL_DEBT_1_YEAR_GROWTH","FY 2016","FY 2016","Currency=INR","Period=FY","BEST_FPERIOD_OVERRIDE=FY","FILING_STATUS=OR","EQY_CONSOLIDATED=Y","Sort=A","Dates=H","DateFormat=P","Fill=—","Direction=H","UseDPDF=Y")</f>
        <v>#NAME?</v>
      </c>
      <c r="AI113" s="2" t="e">
        <f ca="1">_xll.BDH($C$103,"TOTAL_EQUITY_1_YEAR_GROWTH","FY 2016","FY 2016","Currency=INR","Period=FY","BEST_FPERIOD_OVERRIDE=FY","FILING_STATUS=OR","EQY_CONSOLIDATED=Y","Sort=A","Dates=H","DateFormat=P","Fill=—","Direction=H","UseDPDF=Y")</f>
        <v>#NAME?</v>
      </c>
      <c r="AJ113" s="2" t="e">
        <f ca="1">_xll.BDH($C$103,"GROWTH_IN_CAP","FY 2016","FY 2016","Currency=INR","Period=FY","BEST_FPERIOD_OVERRIDE=FY","FILING_STATUS=OR","EQY_CONSOLIDATED=Y","Sort=A","Dates=H","DateFormat=P","Fill=—","Direction=H","UseDPDF=Y")</f>
        <v>#NAME?</v>
      </c>
      <c r="AK113" s="2" t="e">
        <f ca="1">_xll.BDH($C$103,"BVPS_GROWTH","FY 2016","FY 2016","Currency=INR","Period=FY","BEST_FPERIOD_OVERRIDE=FY","FILING_STATUS=OR","EQY_CONSOLIDATED=Y","Sort=A","Dates=H","DateFormat=P","Fill=—","Direction=H","UseDPDF=Y")</f>
        <v>#NAME?</v>
      </c>
      <c r="AL113" s="2" t="e">
        <f ca="1">_xll.BDH($C$103,"CASH_FLOW_GROWTH","FY 2016","FY 2016","Currency=INR","Period=FY","BEST_FPERIOD_OVERRIDE=FY","FILING_STATUS=OR","EQY_CONSOLIDATED=Y","Sort=A","Dates=H","DateFormat=P","Fill=—","Direction=H","UseDPDF=Y")</f>
        <v>#NAME?</v>
      </c>
      <c r="AM113" s="2" t="e">
        <f ca="1">_xll.BDH($C$103,"GEO_GROW_NET_SALES","FY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13" s="2" t="e">
        <f ca="1">_xll.BDH($C$103,"GEO_GROW_EBITDA","FY 2016","FY 2016","Currency=INR","Period=FY","BEST_FPERIOD_OVERRIDE=FY","FILING_STATUS=OR","EQY_CONSOLIDATED=Y","FA_ADJUSTED=GAAP","Sort=A","Dates=H","DateFormat=P","Fill=—","Direction=H","UseDPDF=Y")</f>
        <v>#NAME?</v>
      </c>
      <c r="AO113" s="2" t="e">
        <f ca="1">_xll.BDH($C$103,"GEO_GROW_OPER_INC","FY 2016","FY 2016","Currency=INR","Period=FY","BEST_FPERIOD_OVERRIDE=FY","FILING_STATUS=OR","EQY_CONSOLIDATED=Y","FA_ADJUSTED=GAAP","Sort=A","Dates=H","DateFormat=P","Fill=—","Direction=H","UseDPDF=Y")</f>
        <v>#NAME?</v>
      </c>
      <c r="AP113" s="2" t="e">
        <f ca="1">_xll.BDH($C$103,"NET_INCOME_TO_COMMON_5_YR_GROWTH","FY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13" s="2" t="e">
        <f ca="1">_xll.BDH($C$103,"5Y_GEO_GROWTH_DILUTED_EPS","FY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13" s="2" t="e">
        <f ca="1">_xll.BDH($C$103,"GEO_GROW_DVD_PER_SH","FY 2016","FY 2016","Currency=INR","Period=FY","BEST_FPERIOD_OVERRIDE=FY","FILING_STATUS=OR","EQY_CONSOLIDATED=Y","Sort=A","Dates=H","DateFormat=P","Fill=—","Direction=H","UseDPDF=Y")</f>
        <v>#NAME?</v>
      </c>
      <c r="AS113" s="2" t="e">
        <f ca="1">_xll.BDH($C$103,"ACCOUNTS_RECEIVABLE_5_YR_GROWTH","FY 2016","FY 2016","Currency=INR","Period=FY","BEST_FPERIOD_OVERRIDE=FY","FILING_STATUS=OR","EQY_CONSOLIDATED=Y","Sort=A","Dates=H","DateFormat=P","Fill=—","Direction=H","UseDPDF=Y")</f>
        <v>#NAME?</v>
      </c>
      <c r="AT113" s="2" t="e">
        <f ca="1">_xll.BDH($C$103,"INVENTORY_5_YEAR_GROWTH","FY 2016","FY 2016","Currency=INR","Period=FY","BEST_FPERIOD_OVERRIDE=FY","FILING_STATUS=OR","EQY_CONSOLIDATED=Y","Sort=A","Dates=H","DateFormat=P","Fill=—","Direction=H","UseDPDF=Y")</f>
        <v>#NAME?</v>
      </c>
      <c r="AU113" s="2" t="e">
        <f ca="1">_xll.BDH($C$103,"NET_FIXED_ASSETS_5_YEAR_GROWTH","FY 2016","FY 2016","Currency=INR","Period=FY","BEST_FPERIOD_OVERRIDE=FY","FILING_STATUS=OR","EQY_CONSOLIDATED=Y","Sort=A","Dates=H","DateFormat=P","Fill=—","Direction=H","UseDPDF=Y")</f>
        <v>#NAME?</v>
      </c>
      <c r="AV113" s="2" t="e">
        <f ca="1">_xll.BDH($C$103,"GEO_GROW_TOT_ASSET","FY 2016","FY 2016","Currency=INR","Period=FY","BEST_FPERIOD_OVERRIDE=FY","FILING_STATUS=OR","EQY_CONSOLIDATED=Y","Sort=A","Dates=H","DateFormat=P","Fill=—","Direction=H","UseDPDF=Y")</f>
        <v>#NAME?</v>
      </c>
      <c r="AW113" s="2" t="e">
        <f ca="1">_xll.BDH($C$103,"MODIFIED_WORKING_CPTL_5YR_GRWTH","FY 2016","FY 2016","Currency=INR","Period=FY","BEST_FPERIOD_OVERRIDE=FY","FILING_STATUS=OR","EQY_CONSOLIDATED=Y","Sort=A","Dates=H","DateFormat=P","Fill=—","Direction=H","UseDPDF=Y")</f>
        <v>#NAME?</v>
      </c>
      <c r="AX113" s="2" t="e">
        <f ca="1">_xll.BDH($C$103,"WORKING_CAPITAL_5_YEAR_GROWTH","FY 2016","FY 2016","Currency=INR","Period=FY","BEST_FPERIOD_OVERRIDE=FY","FILING_STATUS=OR","EQY_CONSOLIDATED=Y","Sort=A","Dates=H","DateFormat=P","Fill=—","Direction=H","UseDPDF=Y")</f>
        <v>#NAME?</v>
      </c>
      <c r="AY113" s="2" t="e">
        <f ca="1">_xll.BDH($C$103,"ACCOUNTS_PAYABLE_5_YEAR_GROWTH","FY 2016","FY 2016","Currency=INR","Period=FY","BEST_FPERIOD_OVERRIDE=FY","FILING_STATUS=OR","EQY_CONSOLIDATED=Y","Sort=A","Dates=H","DateFormat=P","Fill=—","Direction=H","UseDPDF=Y")</f>
        <v>#NAME?</v>
      </c>
      <c r="AZ113" s="2" t="e">
        <f ca="1">_xll.BDH($C$103,"SHORT_TERM_DEBT_5_YEAR_GROWTH","FY 2016","FY 2016","Currency=INR","Period=FY","BEST_FPERIOD_OVERRIDE=FY","FILING_STATUS=OR","EQY_CONSOLIDATED=Y","Sort=A","Dates=H","DateFormat=P","Fill=—","Direction=H","UseDPDF=Y")</f>
        <v>#NAME?</v>
      </c>
      <c r="BA113" s="2" t="e">
        <f ca="1">_xll.BDH($C$103,"TOTAL_DEBT_5_YEAR_GROWTH","FY 2016","FY 2016","Currency=INR","Period=FY","BEST_FPERIOD_OVERRIDE=FY","FILING_STATUS=OR","EQY_CONSOLIDATED=Y","Sort=A","Dates=H","DateFormat=P","Fill=—","Direction=H","UseDPDF=Y")</f>
        <v>#NAME?</v>
      </c>
      <c r="BB113" s="2" t="e">
        <f ca="1">_xll.BDH($C$103,"GEO_GROW_TOT_SHRHLDR_EQY","FY 2016","FY 2016","Currency=INR","Period=FY","BEST_FPERIOD_OVERRIDE=FY","FILING_STATUS=OR","EQY_CONSOLIDATED=Y","Sort=A","Dates=H","DateFormat=P","Fill=—","Direction=H","UseDPDF=Y")</f>
        <v>#NAME?</v>
      </c>
      <c r="BC113" s="2" t="e">
        <f ca="1">_xll.BDH($C$103,"TOTAL_CAPITAL_5_YEAR_GROWTH","FY 2016","FY 2016","Currency=INR","Period=FY","BEST_FPERIOD_OVERRIDE=FY","FILING_STATUS=OR","EQY_CONSOLIDATED=Y","Sort=A","Dates=H","DateFormat=P","Fill=—","Direction=H","UseDPDF=Y")</f>
        <v>#NAME?</v>
      </c>
      <c r="BD113" s="2" t="e">
        <f ca="1">_xll.BDH($C$103,"GEO_GROW_BOOK_VAL","FY 2016","FY 2016","Currency=INR","Period=FY","BEST_FPERIOD_OVERRIDE=FY","FILING_STATUS=OR","EQY_CONSOLIDATED=Y","Sort=A","Dates=H","DateFormat=P","Fill=—","Direction=H","UseDPDF=Y")</f>
        <v>#NAME?</v>
      </c>
      <c r="BE113" s="2" t="e">
        <f ca="1">_xll.BDH($C$103,"GEO_GROW_CASH_OPER_ACT","FY 2016","FY 2016","Currency=INR","Period=FY","BEST_FPERIOD_OVERRIDE=FY","FILING_STATUS=OR","EQY_CONSOLIDATED=Y","Sort=A","Dates=H","DateFormat=P","Fill=—","Direction=H","UseDPDF=Y")</f>
        <v>#NAME?</v>
      </c>
      <c r="BF113" s="2" t="e">
        <f ca="1">_xll.BDH($C$103,"REVENUE_SEQUENTIAL_GROWTH","FY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13" s="2" t="e">
        <f ca="1">_xll.BDH($C$103,"EBITDA_SEQUENTIAL_GROWTH","FY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13" s="2" t="e">
        <f ca="1">_xll.BDH($C$103,"OPERATING_INCOME_SEQ_GROWTH","FY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13" s="2" t="e">
        <f ca="1">_xll.BDH($C$103,"NET_INCOME_TO_COMMON_SEQ_GROWTH","FY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13" s="2" t="e">
        <f ca="1">_xll.BDH($C$103,"EPS_DILUTED_SEQUENTIAL_GROWTH","FY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13" s="2" t="e">
        <f ca="1">_xll.BDH($C$103,"DPS_SEQUENTIAL_GROWTH","FY 2016","FY 2016","Currency=INR","Period=FY","BEST_FPERIOD_OVERRIDE=FY","FILING_STATUS=OR","EQY_CONSOLIDATED=Y","Sort=A","Dates=H","DateFormat=P","Fill=—","Direction=H","UseDPDF=Y")</f>
        <v>#NAME?</v>
      </c>
      <c r="BL113" s="2" t="e">
        <f ca="1">_xll.BDH($C$103,"ACCOUNTS_RECEIVABLE_SEQ_GROWTH","FY 2016","FY 2016","Currency=INR","Period=FY","BEST_FPERIOD_OVERRIDE=FY","FILING_STATUS=OR","EQY_CONSOLIDATED=Y","Sort=A","Dates=H","DateFormat=P","Fill=—","Direction=H","UseDPDF=Y")</f>
        <v>#NAME?</v>
      </c>
      <c r="BM113" s="2" t="e">
        <f ca="1">_xll.BDH($C$103,"INVENTORY_SEQUENTIAL_GROWTH","FY 2016","FY 2016","Currency=INR","Period=FY","BEST_FPERIOD_OVERRIDE=FY","FILING_STATUS=OR","EQY_CONSOLIDATED=Y","Sort=A","Dates=H","DateFormat=P","Fill=—","Direction=H","UseDPDF=Y")</f>
        <v>#NAME?</v>
      </c>
      <c r="BN113" s="2" t="e">
        <f ca="1">_xll.BDH($C$103,"FIXED_ASSETS_SEQUENTIAL_GROWTH","FY 2016","FY 2016","Currency=INR","Period=FY","BEST_FPERIOD_OVERRIDE=FY","FILING_STATUS=OR","EQY_CONSOLIDATED=Y","Sort=A","Dates=H","DateFormat=P","Fill=—","Direction=H","UseDPDF=Y")</f>
        <v>#NAME?</v>
      </c>
      <c r="BO113" s="2" t="e">
        <f ca="1">_xll.BDH($C$103,"TOTAL_ASSETS_SEQUENTIAL_GROWTH","FY 2016","FY 2016","Currency=INR","Period=FY","BEST_FPERIOD_OVERRIDE=FY","FILING_STATUS=OR","EQY_CONSOLIDATED=Y","Sort=A","Dates=H","DateFormat=P","Fill=—","Direction=H","UseDPDF=Y")</f>
        <v>#NAME?</v>
      </c>
      <c r="BP113" s="2" t="e">
        <f ca="1">_xll.BDH($C$103,"MODIFIED_WORKING_CPTL_SEQ_GRWTH","FY 2016","FY 2016","Currency=INR","Period=FY","BEST_FPERIOD_OVERRIDE=FY","FILING_STATUS=OR","EQY_CONSOLIDATED=Y","Sort=A","Dates=H","DateFormat=P","Fill=—","Direction=H","UseDPDF=Y")</f>
        <v>#NAME?</v>
      </c>
      <c r="BQ113" s="2" t="e">
        <f ca="1">_xll.BDH($C$103,"WORKING_CAPITAL_SEQ_GROWTH","FY 2016","FY 2016","Currency=INR","Period=FY","BEST_FPERIOD_OVERRIDE=FY","FILING_STATUS=OR","EQY_CONSOLIDATED=Y","Sort=A","Dates=H","DateFormat=P","Fill=—","Direction=H","UseDPDF=Y")</f>
        <v>#NAME?</v>
      </c>
      <c r="BR113" s="2" t="e">
        <f ca="1">_xll.BDH($C$103,"ACCOUNTS_PAYABLE_SEQ_GROWTH","FY 2016","FY 2016","Currency=INR","Period=FY","BEST_FPERIOD_OVERRIDE=FY","FILING_STATUS=OR","EQY_CONSOLIDATED=Y","Sort=A","Dates=H","DateFormat=P","Fill=—","Direction=H","UseDPDF=Y")</f>
        <v>#NAME?</v>
      </c>
      <c r="BS113" s="2" t="e">
        <f ca="1">_xll.BDH($C$103,"ST_DEBT_SEQUENTIAL_GROWTH","FY 2016","FY 2016","Currency=INR","Period=FY","BEST_FPERIOD_OVERRIDE=FY","FILING_STATUS=OR","EQY_CONSOLIDATED=Y","Sort=A","Dates=H","DateFormat=P","Fill=—","Direction=H","UseDPDF=Y")</f>
        <v>#NAME?</v>
      </c>
      <c r="BT113" s="2" t="e">
        <f ca="1">_xll.BDH($C$103,"TOTAL_DEBT_SEQUENTIAL_GROWTH","FY 2016","FY 2016","Currency=INR","Period=FY","BEST_FPERIOD_OVERRIDE=FY","FILING_STATUS=OR","EQY_CONSOLIDATED=Y","Sort=A","Dates=H","DateFormat=P","Fill=—","Direction=H","UseDPDF=Y")</f>
        <v>#NAME?</v>
      </c>
      <c r="BU113" s="2" t="e">
        <f ca="1">_xll.BDH($C$103,"TOTAL_EQUITY_SEQUENTIAL_GROWTH","FY 2016","FY 2016","Currency=INR","Period=FY","BEST_FPERIOD_OVERRIDE=FY","FILING_STATUS=OR","EQY_CONSOLIDATED=Y","Sort=A","Dates=H","DateFormat=P","Fill=—","Direction=H","UseDPDF=Y")</f>
        <v>#NAME?</v>
      </c>
      <c r="BV113" s="2" t="e">
        <f ca="1">_xll.BDH($C$103,"TOTAL_CAPITAL_SEQUENTIAL_GROWTH","FY 2016","FY 2016","Currency=INR","Period=FY","BEST_FPERIOD_OVERRIDE=FY","FILING_STATUS=OR","EQY_CONSOLIDATED=Y","Sort=A","Dates=H","DateFormat=P","Fill=—","Direction=H","UseDPDF=Y")</f>
        <v>#NAME?</v>
      </c>
      <c r="BW113" s="2" t="e">
        <f ca="1">_xll.BDH($C$103,"BPS_SEQUENTIAL_GROWTH","FY 2016","FY 2016","Currency=INR","Period=FY","BEST_FPERIOD_OVERRIDE=FY","FILING_STATUS=OR","EQY_CONSOLIDATED=Y","Sort=A","Dates=H","DateFormat=P","Fill=—","Direction=H","UseDPDF=Y")</f>
        <v>#NAME?</v>
      </c>
      <c r="BX113" s="2" t="e">
        <f ca="1">_xll.BDH($C$103,"CFO_SEQUENTIAL_GROWTH","FY 2016","FY 2016","Currency=INR","Period=FY","BEST_FPERIOD_OVERRIDE=FY","FILING_STATUS=OR","EQY_CONSOLIDATED=Y","Sort=A","Dates=H","DateFormat=P","Fill=—","Direction=H","UseDPDF=Y")</f>
        <v>#NAME?</v>
      </c>
      <c r="BY113" s="3" t="e">
        <f ca="1">_xll.BDH($C$103,"SHORT_AND_LONG_TERM_DEBT","FY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13" s="3" t="e">
        <f ca="1">_xll.BDH($C$103,"BS_ST_BORROW","FY 2016","FY 2016","Currency=INR","Period=FY","BEST_FPERIOD_OVERRIDE=FY","FILING_STATUS=OR","EQY_CONSOLIDATED=Y","SCALING_FORMAT=MLN","Sort=A","Dates=H","DateFormat=P","Fill=—","Direction=H","UseDPDF=Y")</f>
        <v>#NAME?</v>
      </c>
      <c r="CA113" s="3" t="e">
        <f ca="1">_xll.BDH($C$103,"BS_LT_BORROW","FY 2016","FY 2016","Currency=INR","Period=FY","BEST_FPERIOD_OVERRIDE=FY","FILING_STATUS=OR","EQY_CONSOLIDATED=Y","SCALING_FORMAT=MLN","Sort=A","Dates=H","DateFormat=P","Fill=—","Direction=H","UseDPDF=Y")</f>
        <v>#NAME?</v>
      </c>
      <c r="CB113" s="2" t="e">
        <f ca="1">_xll.BDH($C$103,"TOT_DEBT_TO_EBITDA","FY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13" s="2" t="e">
        <f ca="1">_xll.BDH($C$103,"NET_DEBT_TO_EBITDA","FY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13" s="2" t="e">
        <f ca="1">_xll.BDH($C$103,"TOTAL_DEBT_TO_EBIT","FY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13" s="2" t="e">
        <f ca="1">_xll.BDH($C$103,"NET_DEBT_TO_EBIT","FY 2016","FY 2016","Currency=INR","Period=FY","BEST_FPERIOD_OVERRIDE=FY","FILING_STATUS=OR","EQY_CONSOLIDATED=Y","FA_ADJUSTED=GAAP","Sort=A","Dates=H","DateFormat=P","Fill=—","Direction=H","UseDPDF=Y")</f>
        <v>#NAME?</v>
      </c>
      <c r="CF113" s="2" t="e">
        <f ca="1">_xll.BDH($C$103,"EBITDA_TO_INTEREST_EXPN","FY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13" s="2" t="e">
        <f ca="1">_xll.BDH($C$103,"COM_EQY_TO_TOT_ASSET","FY 2016","FY 2016","Currency=INR","Period=FY","BEST_FPERIOD_OVERRIDE=FY","FILING_STATUS=OR","EQY_CONSOLIDATED=Y","Sort=A","Dates=H","DateFormat=P","Fill=—","Direction=H","UseDPDF=Y")</f>
        <v>#NAME?</v>
      </c>
      <c r="CH113" s="2" t="e">
        <f ca="1">_xll.BDH($C$103,"LT_DEBT_TO_TOT_EQY","FY 2016","FY 2016","Currency=INR","Period=FY","BEST_FPERIOD_OVERRIDE=FY","FILING_STATUS=OR","EQY_CONSOLIDATED=Y","Sort=A","Dates=H","DateFormat=P","Fill=—","Direction=H","UseDPDF=Y")</f>
        <v>#NAME?</v>
      </c>
      <c r="CI113" s="2" t="e">
        <f ca="1">_xll.BDH($C$103,"LT_DEBT_TO_TOT_CAP","FY 2016","FY 2016","Currency=INR","Period=FY","BEST_FPERIOD_OVERRIDE=FY","FILING_STATUS=OR","EQY_CONSOLIDATED=Y","Sort=A","Dates=H","DateFormat=P","Fill=—","Direction=H","UseDPDF=Y")</f>
        <v>#NAME?</v>
      </c>
      <c r="CJ113" s="2" t="e">
        <f ca="1">_xll.BDH($C$103,"LT_DEBT_TO_TOT_ASSET","FY 2016","FY 2016","Currency=INR","Period=FY","BEST_FPERIOD_OVERRIDE=FY","FILING_STATUS=OR","EQY_CONSOLIDATED=Y","Sort=A","Dates=H","DateFormat=P","Fill=—","Direction=H","UseDPDF=Y")</f>
        <v>#NAME?</v>
      </c>
      <c r="CK113" s="2" t="e">
        <f ca="1">_xll.BDH($C$103,"TOT_DEBT_TO_TOT_EQY","FY 2016","FY 2016","Currency=INR","Period=FY","BEST_FPERIOD_OVERRIDE=FY","FILING_STATUS=OR","EQY_CONSOLIDATED=Y","Sort=A","Dates=H","DateFormat=P","Fill=—","Direction=H","UseDPDF=Y")</f>
        <v>#NAME?</v>
      </c>
      <c r="CL113" s="2" t="e">
        <f ca="1">_xll.BDH($C$103,"TOT_DEBT_TO_TOT_CAP","FY 2016","FY 2016","Currency=INR","Period=FY","BEST_FPERIOD_OVERRIDE=FY","FILING_STATUS=OR","EQY_CONSOLIDATED=Y","Sort=A","Dates=H","DateFormat=P","Fill=—","Direction=H","UseDPDF=Y")</f>
        <v>#NAME?</v>
      </c>
      <c r="CM113" s="2" t="e">
        <f ca="1">_xll.BDH($C$103,"TOT_DEBT_TO_TOT_ASSET","FY 2016","FY 2016","Currency=INR","Period=FY","BEST_FPERIOD_OVERRIDE=FY","FILING_STATUS=OR","EQY_CONSOLIDATED=Y","Sort=A","Dates=H","DateFormat=P","Fill=—","Direction=H","UseDPDF=Y")</f>
        <v>#NAME?</v>
      </c>
      <c r="CN113" s="2" t="e">
        <f ca="1">_xll.BDH($C$103,"NET_DEBT_TO_SHRHLDR_EQTY","FY 2016","FY 2016","Currency=INR","Period=FY","BEST_FPERIOD_OVERRIDE=FY","FILING_STATUS=OR","EQY_CONSOLIDATED=Y","Sort=A","Dates=H","DateFormat=P","Fill=—","Direction=H","UseDPDF=Y")</f>
        <v>#NAME?</v>
      </c>
      <c r="CO113" s="2" t="e">
        <f ca="1">_xll.BDH($C$103,"NET_DEBT_%_CAPITAL","FY 2016","FY 2016","Currency=INR","Period=FY","BEST_FPERIOD_OVERRIDE=FY","FILING_STATUS=OR","EQY_CONSOLIDATED=Y","Sort=A","Dates=H","DateFormat=P","Fill=—","Direction=H","UseDPDF=Y")</f>
        <v>#NAME?</v>
      </c>
      <c r="CP113" s="3" t="e">
        <f ca="1">_xll.BDH($C$103,"EBITDA","FY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13" s="3" t="e">
        <f ca="1">_xll.BDH($C$103,"EBITDA_AFTER_CAPEX","FY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13" s="3" t="e">
        <f ca="1">_xll.BDH($C$103,"IS_OPER_INC","FY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13" s="2" t="e">
        <f ca="1">_xll.BDH($C$103,"CASH_RATIO","FY 2016","FY 2016","Currency=INR","Period=FY","BEST_FPERIOD_OVERRIDE=FY","FILING_STATUS=OR","EQY_CONSOLIDATED=Y","Sort=A","Dates=H","DateFormat=P","Fill=—","Direction=H","UseDPDF=Y")</f>
        <v>#NAME?</v>
      </c>
      <c r="CT113" s="2" t="e">
        <f ca="1">_xll.BDH($C$103,"CUR_RATIO","FY 2016","FY 2016","Currency=INR","Period=FY","BEST_FPERIOD_OVERRIDE=FY","FILING_STATUS=OR","EQY_CONSOLIDATED=Y","Sort=A","Dates=H","DateFormat=P","Fill=—","Direction=H","UseDPDF=Y")</f>
        <v>#NAME?</v>
      </c>
      <c r="CU113" s="2" t="e">
        <f ca="1">_xll.BDH($C$103,"QUICK_RATIO","FY 2016","FY 2016","Currency=INR","Period=FY","BEST_FPERIOD_OVERRIDE=FY","FILING_STATUS=OR","EQY_CONSOLIDATED=Y","Sort=A","Dates=H","DateFormat=P","Fill=—","Direction=H","UseDPDF=Y")</f>
        <v>#NAME?</v>
      </c>
      <c r="CV113" s="2" t="e">
        <f ca="1">_xll.BDH($C$103,"ALTMAN_Z_SCORE","FY 2016","FY 2016","Currency=INR","Period=FY","BEST_FPERIOD_OVERRIDE=FY","FILING_STATUS=OR","EQY_CONSOLIDATED=Y","Sort=A","Dates=H","DateFormat=P","Fill=—","Direction=H","UseDPDF=Y")</f>
        <v>#NAME?</v>
      </c>
      <c r="CW113" s="4" t="e">
        <f ca="1">_xll.BDH($C$103,"ACCT_RCV_TURN","FY 2016","FY 2016","Currency=INR","Period=FY","BEST_FPERIOD_OVERRIDE=FY","FILING_STATUS=OR","EQY_CONSOLIDATED=Y","FA_ADJUSTED=GAAP","Sort=A","Dates=H","DateFormat=P","Fill=—","Direction=H","UseDPDF=Y")</f>
        <v>#NAME?</v>
      </c>
      <c r="CX113" s="2" t="e">
        <f ca="1">_xll.BDH($C$103,"ACCT_RCV_DAYS","FY 2016","FY 2016","Currency=INR","Period=FY","BEST_FPERIOD_OVERRIDE=FY","FILING_STATUS=OR","EQY_CONSOLIDATED=Y","FA_ADJUSTED=GAAP","Sort=A","Dates=H","DateFormat=P","Fill=—","Direction=H","UseDPDF=Y")</f>
        <v>#NAME?</v>
      </c>
      <c r="CY113" s="4" t="e">
        <f ca="1">_xll.BDH($C$103,"INVENT_TURN","FY 2016","FY 2016","Currency=INR","Period=FY","BEST_FPERIOD_OVERRIDE=FY","FILING_STATUS=OR","EQY_CONSOLIDATED=Y","FA_ADJUSTED=GAAP","Sort=A","Dates=H","DateFormat=P","Fill=—","Direction=H","UseDPDF=Y")</f>
        <v>#NAME?</v>
      </c>
      <c r="CZ113" s="2" t="e">
        <f ca="1">_xll.BDH($C$103,"INVENT_DAYS","FY 2016","FY 2016","Currency=INR","Period=FY","BEST_FPERIOD_OVERRIDE=FY","FILING_STATUS=OR","EQY_CONSOLIDATED=Y","FA_ADJUSTED=GAAP","Sort=A","Dates=H","DateFormat=P","Fill=—","Direction=H","UseDPDF=Y")</f>
        <v>#NAME?</v>
      </c>
      <c r="DA113" s="4" t="e">
        <f ca="1">_xll.BDH($C$103,"ACCOUNTS_PAYABLE_TURNOVER","FY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13" s="2" t="e">
        <f ca="1">_xll.BDH($C$103,"ACCOUNTS_PAYABLE_TURNOVER_DAYS","FY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13" s="4" t="e">
        <f ca="1">_xll.BDH($C$103,"CASH_CONVERSION_CYCLE","FY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13" s="4" t="e">
        <f ca="1">_xll.BDH($C$103,"INV_TO_CASH_DAYS","FY 2016","FY 2016","Currency=INR","Period=FY","BEST_FPERIOD_OVERRIDE=FY","FILING_STATUS=OR","EQY_CONSOLIDATED=Y","FA_ADJUSTED=GAAP","Sort=A","Dates=H","DateFormat=P","Fill=—","Direction=H","UseDPDF=Y")</f>
        <v>#NAME?</v>
      </c>
      <c r="DE113" s="5" t="e">
        <f ca="1">_xll.BDH($C$103,"BS_INVENTORIES","FY 2016","FY 2016","Currency=INR","Period=FY","BEST_FPERIOD_OVERRIDE=FY","FILING_STATUS=OR","EQY_CONSOLIDATED=Y","SCALING_FORMAT=MLN","Sort=A","Dates=H","DateFormat=P","Fill=—","Direction=H","UseDPDF=Y")</f>
        <v>#NAME?</v>
      </c>
      <c r="DF113" s="3" t="e">
        <f ca="1">_xll.BDH($C$103,"INVTRY_RAW_MATERIALS","FY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13" s="3" t="e">
        <f ca="1">_xll.BDH($C$103,"INVTRY_IN_PROGRESS","FY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13" s="3" t="e">
        <f ca="1">_xll.BDH($C$103,"INVTRY_FINISHED_GOODS","FY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13" s="3" t="e">
        <f ca="1">_xll.BDH($C$103,"BS_OTHER_INV","FY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14" spans="1:113" x14ac:dyDescent="0.3">
      <c r="A114" s="6"/>
      <c r="B114" s="6"/>
      <c r="C114" s="6"/>
      <c r="D114" s="6"/>
      <c r="E114" t="s">
        <v>78</v>
      </c>
      <c r="F114" t="e">
        <f ca="1">_xll.BDH($C$103,"RETURN_COM_EQY","FQ1 2016","FQ1 2016","Currency=INR","Period=FQ","BEST_FPERIOD_OVERRIDE=FQ","FILING_STATUS=OR","EQY_CONSOLIDATED=Y","FA_ADJUSTED=GAAP","Sort=A","Dates=H","DateFormat=P","Fill=—","Direction=H","UseDPDF=Y")</f>
        <v>#NAME?</v>
      </c>
      <c r="G114" t="e">
        <f ca="1">_xll.BDH($C$103,"RETURN_ON_ASSET","FQ1 2016","FQ1 2016","Currency=INR","Period=FQ","BEST_FPERIOD_OVERRIDE=FQ","FILING_STATUS=OR","EQY_CONSOLIDATED=Y","FA_ADJUSTED=GAAP","Sort=A","Dates=H","DateFormat=P","Fill=—","Direction=H","UseDPDF=Y")</f>
        <v>#NAME?</v>
      </c>
      <c r="H114" t="e">
        <f ca="1">_xll.BDH($C$103,"RETURN_ON_CAP","FQ1 2016","FQ1 2016","Currency=INR","Period=FQ","BEST_FPERIOD_OVERRIDE=FQ","FILING_STATUS=OR","EQY_CONSOLIDATED=Y","FA_ADJUSTED=GAAP","Sort=A","Dates=H","DateFormat=P","Fill=—","Direction=H","UseDPDF=Y")</f>
        <v>#NAME?</v>
      </c>
      <c r="I114" t="e">
        <f ca="1">_xll.BDH($C$103,"RETURN_ON_INV_CAPITAL","FQ1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14" t="e">
        <f ca="1">_xll.BDH($C$103,"EBITDA_TO_REVENUE","FQ1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14" t="e">
        <f ca="1">_xll.BDH($C$103,"OPER_MARGIN","FQ1 2016","FQ1 2016","Currency=INR","Period=FQ","BEST_FPERIOD_OVERRIDE=FQ","FILING_STATUS=OR","EQY_CONSOLIDATED=Y","FA_ADJUSTED=GAAP","Sort=A","Dates=H","DateFormat=P","Fill=—","Direction=H","UseDPDF=Y")</f>
        <v>#NAME?</v>
      </c>
      <c r="L114" t="e">
        <f ca="1">_xll.BDH($C$103,"INCREMENTAL_OPERATING_MARGIN","FQ1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14" t="e">
        <f ca="1">_xll.BDH($C$103,"PRETAX_INC_TO_NET_SALES","FQ1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14" t="e">
        <f ca="1">_xll.BDH($C$103,"INC_BEF_XO_ITEMS_TO_NET_SALES","FQ1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14" t="e">
        <f ca="1">_xll.BDH($C$103,"PROF_MARGIN","FQ1 2016","FQ1 2016","Currency=INR","Period=FQ","BEST_FPERIOD_OVERRIDE=FQ","FILING_STATUS=OR","EQY_CONSOLIDATED=Y","FA_ADJUSTED=GAAP","Sort=A","Dates=H","DateFormat=P","Fill=—","Direction=H","UseDPDF=Y")</f>
        <v>#NAME?</v>
      </c>
      <c r="P114" t="e">
        <f ca="1">_xll.BDH($C$103,"NET_INCOME_TO_COMMON_MARGIN","FQ1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14" t="e">
        <f ca="1">_xll.BDH($C$103,"EFF_TAX_RATE","FQ1 2016","FQ1 2016","Currency=INR","Period=FQ","BEST_FPERIOD_OVERRIDE=FQ","FILING_STATUS=OR","EQY_CONSOLIDATED=Y","FA_ADJUSTED=GAAP","Sort=A","Dates=H","DateFormat=P","Fill=—","Direction=H","UseDPDF=Y")</f>
        <v>#NAME?</v>
      </c>
      <c r="R114" t="e">
        <f ca="1">_xll.BDH($C$103,"DVD_PAYOUT_RATIO","FQ1 2016","FQ1 2016","Currency=INR","Period=FQ","BEST_FPERIOD_OVERRIDE=FQ","FILING_STATUS=OR","EQY_CONSOLIDATED=Y","FA_ADJUSTED=GAAP","Sort=A","Dates=H","DateFormat=P","Fill=—","Direction=H","UseDPDF=Y")</f>
        <v>#NAME?</v>
      </c>
      <c r="S114" t="e">
        <f ca="1">_xll.BDH($C$103,"SUSTAIN_GROWTH_RT","FQ1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14" s="2" t="e">
        <f ca="1">_xll.BDH($C$103,"SALES_GROWTH","FQ1 2016","FQ1 2016","Currency=INR","Period=FQ","BEST_FPERIOD_OVERRIDE=FQ","FILING_STATUS=OR","EQY_CONSOLIDATED=Y","FA_ADJUSTED=GAAP","Sort=A","Dates=H","DateFormat=P","Fill=—","Direction=H","UseDPDF=Y")</f>
        <v>#NAME?</v>
      </c>
      <c r="U114" s="2" t="e">
        <f ca="1">_xll.BDH($C$103,"EBITDA_GROWTH","FQ1 2016","FQ1 2016","Currency=INR","Period=FQ","BEST_FPERIOD_OVERRIDE=FQ","FILING_STATUS=OR","EQY_CONSOLIDATED=Y","FA_ADJUSTED=GAAP","Sort=A","Dates=H","DateFormat=P","Fill=—","Direction=H","UseDPDF=Y")</f>
        <v>#NAME?</v>
      </c>
      <c r="V114" s="2" t="e">
        <f ca="1">_xll.BDH($C$103,"OPER_INC_GROWTH","FQ1 2016","FQ1 2016","Currency=INR","Period=FQ","BEST_FPERIOD_OVERRIDE=FQ","FILING_STATUS=OR","EQY_CONSOLIDATED=Y","FA_ADJUSTED=GAAP","Sort=A","Dates=H","DateFormat=P","Fill=—","Direction=H","UseDPDF=Y")</f>
        <v>#NAME?</v>
      </c>
      <c r="W114" s="2" t="e">
        <f ca="1">_xll.BDH($C$103,"EARN_FOR_COM_GROWTH","FQ1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14" s="2" t="e">
        <f ca="1">_xll.BDH($C$103,"DILUTED_EPS_AFT_XO_ITEMS_GROWTH","FQ1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14" s="2" t="e">
        <f ca="1">_xll.BDH($C$103,"DIVIDEND_PER_SHARE_1_YEAR_GROWTH","FQ1 2016","FQ1 2016","Currency=INR","Period=FQ","BEST_FPERIOD_OVERRIDE=FQ","FILING_STATUS=OR","EQY_CONSOLIDATED=Y","Sort=A","Dates=H","DateFormat=P","Fill=—","Direction=H","UseDPDF=Y")</f>
        <v>#NAME?</v>
      </c>
      <c r="Z114" s="2" t="e">
        <f ca="1">_xll.BDH($C$103,"ACCOUNTS_RECEIVABLE_GROWTH","FQ1 2016","FQ1 2016","Currency=INR","Period=FQ","BEST_FPERIOD_OVERRIDE=FQ","FILING_STATUS=OR","EQY_CONSOLIDATED=Y","Sort=A","Dates=H","DateFormat=P","Fill=—","Direction=H","UseDPDF=Y")</f>
        <v>#NAME?</v>
      </c>
      <c r="AA114" s="2" t="e">
        <f ca="1">_xll.BDH($C$103,"INVENTORY_GROWTH","FQ1 2016","FQ1 2016","Currency=INR","Period=FQ","BEST_FPERIOD_OVERRIDE=FQ","FILING_STATUS=OR","EQY_CONSOLIDATED=Y","Sort=A","Dates=H","DateFormat=P","Fill=—","Direction=H","UseDPDF=Y")</f>
        <v>#NAME?</v>
      </c>
      <c r="AB114" s="2" t="e">
        <f ca="1">_xll.BDH($C$103,"NET_FIXED_ASSETS_1_YEAR_GROWTH","FQ1 2016","FQ1 2016","Currency=INR","Period=FQ","BEST_FPERIOD_OVERRIDE=FQ","FILING_STATUS=OR","EQY_CONSOLIDATED=Y","Sort=A","Dates=H","DateFormat=P","Fill=—","Direction=H","UseDPDF=Y")</f>
        <v>#NAME?</v>
      </c>
      <c r="AC114" s="2" t="e">
        <f ca="1">_xll.BDH($C$103,"ASSET_GROWTH","FQ1 2016","FQ1 2016","Currency=INR","Period=FQ","BEST_FPERIOD_OVERRIDE=FQ","FILING_STATUS=OR","EQY_CONSOLIDATED=Y","Sort=A","Dates=H","DateFormat=P","Fill=—","Direction=H","UseDPDF=Y")</f>
        <v>#NAME?</v>
      </c>
      <c r="AD114" s="2" t="e">
        <f ca="1">_xll.BDH($C$103,"MODIFIED_WORK_CAP_GROWTH","FQ1 2016","FQ1 2016","Currency=INR","Period=FQ","BEST_FPERIOD_OVERRIDE=FQ","FILING_STATUS=OR","EQY_CONSOLIDATED=Y","Sort=A","Dates=H","DateFormat=P","Fill=—","Direction=H","UseDPDF=Y")</f>
        <v>#NAME?</v>
      </c>
      <c r="AE114" s="2" t="e">
        <f ca="1">_xll.BDH($C$103,"WORK_CAP_GROWTH","FQ1 2016","FQ1 2016","Currency=INR","Period=FQ","BEST_FPERIOD_OVERRIDE=FQ","FILING_STATUS=OR","EQY_CONSOLIDATED=Y","Sort=A","Dates=H","DateFormat=P","Fill=—","Direction=H","UseDPDF=Y")</f>
        <v>#NAME?</v>
      </c>
      <c r="AF114" s="2" t="e">
        <f ca="1">_xll.BDH($C$103,"ACCOUNTS_PAYABLE_GROWTH_1YR","FQ1 2016","FQ1 2016","Currency=INR","Period=FQ","BEST_FPERIOD_OVERRIDE=FQ","FILING_STATUS=OR","EQY_CONSOLIDATED=Y","Sort=A","Dates=H","DateFormat=P","Fill=—","Direction=H","UseDPDF=Y")</f>
        <v>#NAME?</v>
      </c>
      <c r="AG114" s="2" t="e">
        <f ca="1">_xll.BDH($C$103,"SHORT_TERM_DEBT_1_YEAR_GROWTH","FQ1 2016","FQ1 2016","Currency=INR","Period=FQ","BEST_FPERIOD_OVERRIDE=FQ","FILING_STATUS=OR","EQY_CONSOLIDATED=Y","Sort=A","Dates=H","DateFormat=P","Fill=—","Direction=H","UseDPDF=Y")</f>
        <v>#NAME?</v>
      </c>
      <c r="AH114" s="2" t="e">
        <f ca="1">_xll.BDH($C$103,"TOTAL_DEBT_1_YEAR_GROWTH","FQ1 2016","FQ1 2016","Currency=INR","Period=FQ","BEST_FPERIOD_OVERRIDE=FQ","FILING_STATUS=OR","EQY_CONSOLIDATED=Y","Sort=A","Dates=H","DateFormat=P","Fill=—","Direction=H","UseDPDF=Y")</f>
        <v>#NAME?</v>
      </c>
      <c r="AI114" s="2" t="e">
        <f ca="1">_xll.BDH($C$103,"TOTAL_EQUITY_1_YEAR_GROWTH","FQ1 2016","FQ1 2016","Currency=INR","Period=FQ","BEST_FPERIOD_OVERRIDE=FQ","FILING_STATUS=OR","EQY_CONSOLIDATED=Y","Sort=A","Dates=H","DateFormat=P","Fill=—","Direction=H","UseDPDF=Y")</f>
        <v>#NAME?</v>
      </c>
      <c r="AJ114" s="2" t="e">
        <f ca="1">_xll.BDH($C$103,"GROWTH_IN_CAP","FQ1 2016","FQ1 2016","Currency=INR","Period=FQ","BEST_FPERIOD_OVERRIDE=FQ","FILING_STATUS=OR","EQY_CONSOLIDATED=Y","Sort=A","Dates=H","DateFormat=P","Fill=—","Direction=H","UseDPDF=Y")</f>
        <v>#NAME?</v>
      </c>
      <c r="AK114" s="2" t="e">
        <f ca="1">_xll.BDH($C$103,"BVPS_GROWTH","FQ1 2016","FQ1 2016","Currency=INR","Period=FQ","BEST_FPERIOD_OVERRIDE=FQ","FILING_STATUS=OR","EQY_CONSOLIDATED=Y","Sort=A","Dates=H","DateFormat=P","Fill=—","Direction=H","UseDPDF=Y")</f>
        <v>#NAME?</v>
      </c>
      <c r="AL114" s="2" t="e">
        <f ca="1">_xll.BDH($C$103,"CASH_FLOW_GROWTH","FQ1 2016","FQ1 2016","Currency=INR","Period=FQ","BEST_FPERIOD_OVERRIDE=FQ","FILING_STATUS=OR","EQY_CONSOLIDATED=Y","Sort=A","Dates=H","DateFormat=P","Fill=—","Direction=H","UseDPDF=Y")</f>
        <v>#NAME?</v>
      </c>
      <c r="AM114" s="2" t="e">
        <f ca="1">_xll.BDH($C$103,"GEO_GROW_NET_SALES","FQ1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14" s="2" t="e">
        <f ca="1">_xll.BDH($C$103,"GEO_GROW_EBITDA","FQ1 2016","FQ1 2016","Currency=INR","Period=FQ","BEST_FPERIOD_OVERRIDE=FQ","FILING_STATUS=OR","EQY_CONSOLIDATED=Y","FA_ADJUSTED=GAAP","Sort=A","Dates=H","DateFormat=P","Fill=—","Direction=H","UseDPDF=Y")</f>
        <v>#NAME?</v>
      </c>
      <c r="AO114" s="2" t="e">
        <f ca="1">_xll.BDH($C$103,"GEO_GROW_OPER_INC","FQ1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14" s="2" t="e">
        <f ca="1">_xll.BDH($C$103,"NET_INCOME_TO_COMMON_5_YR_GROWTH","FQ1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14" s="2" t="e">
        <f ca="1">_xll.BDH($C$103,"5Y_GEO_GROWTH_DILUTED_EPS","FQ1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14" s="2" t="e">
        <f ca="1">_xll.BDH($C$103,"GEO_GROW_DVD_PER_SH","FQ1 2016","FQ1 2016","Currency=INR","Period=FQ","BEST_FPERIOD_OVERRIDE=FQ","FILING_STATUS=OR","EQY_CONSOLIDATED=Y","Sort=A","Dates=H","DateFormat=P","Fill=—","Direction=H","UseDPDF=Y")</f>
        <v>#NAME?</v>
      </c>
      <c r="AS114" s="2" t="e">
        <f ca="1">_xll.BDH($C$103,"ACCOUNTS_RECEIVABLE_5_YR_GROWTH","FQ1 2016","FQ1 2016","Currency=INR","Period=FQ","BEST_FPERIOD_OVERRIDE=FQ","FILING_STATUS=OR","EQY_CONSOLIDATED=Y","Sort=A","Dates=H","DateFormat=P","Fill=—","Direction=H","UseDPDF=Y")</f>
        <v>#NAME?</v>
      </c>
      <c r="AT114" s="2" t="e">
        <f ca="1">_xll.BDH($C$103,"INVENTORY_5_YEAR_GROWTH","FQ1 2016","FQ1 2016","Currency=INR","Period=FQ","BEST_FPERIOD_OVERRIDE=FQ","FILING_STATUS=OR","EQY_CONSOLIDATED=Y","Sort=A","Dates=H","DateFormat=P","Fill=—","Direction=H","UseDPDF=Y")</f>
        <v>#NAME?</v>
      </c>
      <c r="AU114" s="2" t="e">
        <f ca="1">_xll.BDH($C$103,"NET_FIXED_ASSETS_5_YEAR_GROWTH","FQ1 2016","FQ1 2016","Currency=INR","Period=FQ","BEST_FPERIOD_OVERRIDE=FQ","FILING_STATUS=OR","EQY_CONSOLIDATED=Y","Sort=A","Dates=H","DateFormat=P","Fill=—","Direction=H","UseDPDF=Y")</f>
        <v>#NAME?</v>
      </c>
      <c r="AV114" s="2" t="e">
        <f ca="1">_xll.BDH($C$103,"GEO_GROW_TOT_ASSET","FQ1 2016","FQ1 2016","Currency=INR","Period=FQ","BEST_FPERIOD_OVERRIDE=FQ","FILING_STATUS=OR","EQY_CONSOLIDATED=Y","Sort=A","Dates=H","DateFormat=P","Fill=—","Direction=H","UseDPDF=Y")</f>
        <v>#NAME?</v>
      </c>
      <c r="AW114" s="2" t="e">
        <f ca="1">_xll.BDH($C$103,"MODIFIED_WORKING_CPTL_5YR_GRWTH","FQ1 2016","FQ1 2016","Currency=INR","Period=FQ","BEST_FPERIOD_OVERRIDE=FQ","FILING_STATUS=OR","EQY_CONSOLIDATED=Y","Sort=A","Dates=H","DateFormat=P","Fill=—","Direction=H","UseDPDF=Y")</f>
        <v>#NAME?</v>
      </c>
      <c r="AX114" s="2" t="e">
        <f ca="1">_xll.BDH($C$103,"WORKING_CAPITAL_5_YEAR_GROWTH","FQ1 2016","FQ1 2016","Currency=INR","Period=FQ","BEST_FPERIOD_OVERRIDE=FQ","FILING_STATUS=OR","EQY_CONSOLIDATED=Y","Sort=A","Dates=H","DateFormat=P","Fill=—","Direction=H","UseDPDF=Y")</f>
        <v>#NAME?</v>
      </c>
      <c r="AY114" s="2" t="e">
        <f ca="1">_xll.BDH($C$103,"ACCOUNTS_PAYABLE_5_YEAR_GROWTH","FQ1 2016","FQ1 2016","Currency=INR","Period=FQ","BEST_FPERIOD_OVERRIDE=FQ","FILING_STATUS=OR","EQY_CONSOLIDATED=Y","Sort=A","Dates=H","DateFormat=P","Fill=—","Direction=H","UseDPDF=Y")</f>
        <v>#NAME?</v>
      </c>
      <c r="AZ114" s="2" t="e">
        <f ca="1">_xll.BDH($C$103,"SHORT_TERM_DEBT_5_YEAR_GROWTH","FQ1 2016","FQ1 2016","Currency=INR","Period=FQ","BEST_FPERIOD_OVERRIDE=FQ","FILING_STATUS=OR","EQY_CONSOLIDATED=Y","Sort=A","Dates=H","DateFormat=P","Fill=—","Direction=H","UseDPDF=Y")</f>
        <v>#NAME?</v>
      </c>
      <c r="BA114" s="2" t="e">
        <f ca="1">_xll.BDH($C$103,"TOTAL_DEBT_5_YEAR_GROWTH","FQ1 2016","FQ1 2016","Currency=INR","Period=FQ","BEST_FPERIOD_OVERRIDE=FQ","FILING_STATUS=OR","EQY_CONSOLIDATED=Y","Sort=A","Dates=H","DateFormat=P","Fill=—","Direction=H","UseDPDF=Y")</f>
        <v>#NAME?</v>
      </c>
      <c r="BB114" s="2" t="e">
        <f ca="1">_xll.BDH($C$103,"GEO_GROW_TOT_SHRHLDR_EQY","FQ1 2016","FQ1 2016","Currency=INR","Period=FQ","BEST_FPERIOD_OVERRIDE=FQ","FILING_STATUS=OR","EQY_CONSOLIDATED=Y","Sort=A","Dates=H","DateFormat=P","Fill=—","Direction=H","UseDPDF=Y")</f>
        <v>#NAME?</v>
      </c>
      <c r="BC114" s="2" t="e">
        <f ca="1">_xll.BDH($C$103,"TOTAL_CAPITAL_5_YEAR_GROWTH","FQ1 2016","FQ1 2016","Currency=INR","Period=FQ","BEST_FPERIOD_OVERRIDE=FQ","FILING_STATUS=OR","EQY_CONSOLIDATED=Y","Sort=A","Dates=H","DateFormat=P","Fill=—","Direction=H","UseDPDF=Y")</f>
        <v>#NAME?</v>
      </c>
      <c r="BD114" s="2" t="e">
        <f ca="1">_xll.BDH($C$103,"GEO_GROW_BOOK_VAL","FQ1 2016","FQ1 2016","Currency=INR","Period=FQ","BEST_FPERIOD_OVERRIDE=FQ","FILING_STATUS=OR","EQY_CONSOLIDATED=Y","Sort=A","Dates=H","DateFormat=P","Fill=—","Direction=H","UseDPDF=Y")</f>
        <v>#NAME?</v>
      </c>
      <c r="BE114" s="2" t="e">
        <f ca="1">_xll.BDH($C$103,"GEO_GROW_CASH_OPER_ACT","FQ1 2016","FQ1 2016","Currency=INR","Period=FQ","BEST_FPERIOD_OVERRIDE=FQ","FILING_STATUS=OR","EQY_CONSOLIDATED=Y","Sort=A","Dates=H","DateFormat=P","Fill=—","Direction=H","UseDPDF=Y")</f>
        <v>#NAME?</v>
      </c>
      <c r="BF114" s="2" t="e">
        <f ca="1">_xll.BDH($C$103,"REVENUE_SEQUENTIAL_GROWTH","FQ1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14" s="2" t="e">
        <f ca="1">_xll.BDH($C$103,"EBITDA_SEQUENTIAL_GROWTH","FQ1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14" s="2" t="e">
        <f ca="1">_xll.BDH($C$103,"OPERATING_INCOME_SEQ_GROWTH","FQ1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14" s="2" t="e">
        <f ca="1">_xll.BDH($C$103,"NET_INCOME_TO_COMMON_SEQ_GROWTH","FQ1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14" s="2" t="e">
        <f ca="1">_xll.BDH($C$103,"EPS_DILUTED_SEQUENTIAL_GROWTH","FQ1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14" s="2" t="e">
        <f ca="1">_xll.BDH($C$103,"DPS_SEQUENTIAL_GROWTH","FQ1 2016","FQ1 2016","Currency=INR","Period=FQ","BEST_FPERIOD_OVERRIDE=FQ","FILING_STATUS=OR","EQY_CONSOLIDATED=Y","Sort=A","Dates=H","DateFormat=P","Fill=—","Direction=H","UseDPDF=Y")</f>
        <v>#NAME?</v>
      </c>
      <c r="BL114" s="2" t="e">
        <f ca="1">_xll.BDH($C$103,"ACCOUNTS_RECEIVABLE_SEQ_GROWTH","FQ1 2016","FQ1 2016","Currency=INR","Period=FQ","BEST_FPERIOD_OVERRIDE=FQ","FILING_STATUS=OR","EQY_CONSOLIDATED=Y","Sort=A","Dates=H","DateFormat=P","Fill=—","Direction=H","UseDPDF=Y")</f>
        <v>#NAME?</v>
      </c>
      <c r="BM114" s="2" t="e">
        <f ca="1">_xll.BDH($C$103,"INVENTORY_SEQUENTIAL_GROWTH","FQ1 2016","FQ1 2016","Currency=INR","Period=FQ","BEST_FPERIOD_OVERRIDE=FQ","FILING_STATUS=OR","EQY_CONSOLIDATED=Y","Sort=A","Dates=H","DateFormat=P","Fill=—","Direction=H","UseDPDF=Y")</f>
        <v>#NAME?</v>
      </c>
      <c r="BN114" s="2" t="e">
        <f ca="1">_xll.BDH($C$103,"FIXED_ASSETS_SEQUENTIAL_GROWTH","FQ1 2016","FQ1 2016","Currency=INR","Period=FQ","BEST_FPERIOD_OVERRIDE=FQ","FILING_STATUS=OR","EQY_CONSOLIDATED=Y","Sort=A","Dates=H","DateFormat=P","Fill=—","Direction=H","UseDPDF=Y")</f>
        <v>#NAME?</v>
      </c>
      <c r="BO114" s="2" t="e">
        <f ca="1">_xll.BDH($C$103,"TOTAL_ASSETS_SEQUENTIAL_GROWTH","FQ1 2016","FQ1 2016","Currency=INR","Period=FQ","BEST_FPERIOD_OVERRIDE=FQ","FILING_STATUS=OR","EQY_CONSOLIDATED=Y","Sort=A","Dates=H","DateFormat=P","Fill=—","Direction=H","UseDPDF=Y")</f>
        <v>#NAME?</v>
      </c>
      <c r="BP114" s="2" t="e">
        <f ca="1">_xll.BDH($C$103,"MODIFIED_WORKING_CPTL_SEQ_GRWTH","FQ1 2016","FQ1 2016","Currency=INR","Period=FQ","BEST_FPERIOD_OVERRIDE=FQ","FILING_STATUS=OR","EQY_CONSOLIDATED=Y","Sort=A","Dates=H","DateFormat=P","Fill=—","Direction=H","UseDPDF=Y")</f>
        <v>#NAME?</v>
      </c>
      <c r="BQ114" s="2" t="e">
        <f ca="1">_xll.BDH($C$103,"WORKING_CAPITAL_SEQ_GROWTH","FQ1 2016","FQ1 2016","Currency=INR","Period=FQ","BEST_FPERIOD_OVERRIDE=FQ","FILING_STATUS=OR","EQY_CONSOLIDATED=Y","Sort=A","Dates=H","DateFormat=P","Fill=—","Direction=H","UseDPDF=Y")</f>
        <v>#NAME?</v>
      </c>
      <c r="BR114" s="2" t="e">
        <f ca="1">_xll.BDH($C$103,"ACCOUNTS_PAYABLE_SEQ_GROWTH","FQ1 2016","FQ1 2016","Currency=INR","Period=FQ","BEST_FPERIOD_OVERRIDE=FQ","FILING_STATUS=OR","EQY_CONSOLIDATED=Y","Sort=A","Dates=H","DateFormat=P","Fill=—","Direction=H","UseDPDF=Y")</f>
        <v>#NAME?</v>
      </c>
      <c r="BS114" s="2" t="e">
        <f ca="1">_xll.BDH($C$103,"ST_DEBT_SEQUENTIAL_GROWTH","FQ1 2016","FQ1 2016","Currency=INR","Period=FQ","BEST_FPERIOD_OVERRIDE=FQ","FILING_STATUS=OR","EQY_CONSOLIDATED=Y","Sort=A","Dates=H","DateFormat=P","Fill=—","Direction=H","UseDPDF=Y")</f>
        <v>#NAME?</v>
      </c>
      <c r="BT114" s="2" t="e">
        <f ca="1">_xll.BDH($C$103,"TOTAL_DEBT_SEQUENTIAL_GROWTH","FQ1 2016","FQ1 2016","Currency=INR","Period=FQ","BEST_FPERIOD_OVERRIDE=FQ","FILING_STATUS=OR","EQY_CONSOLIDATED=Y","Sort=A","Dates=H","DateFormat=P","Fill=—","Direction=H","UseDPDF=Y")</f>
        <v>#NAME?</v>
      </c>
      <c r="BU114" s="2" t="e">
        <f ca="1">_xll.BDH($C$103,"TOTAL_EQUITY_SEQUENTIAL_GROWTH","FQ1 2016","FQ1 2016","Currency=INR","Period=FQ","BEST_FPERIOD_OVERRIDE=FQ","FILING_STATUS=OR","EQY_CONSOLIDATED=Y","Sort=A","Dates=H","DateFormat=P","Fill=—","Direction=H","UseDPDF=Y")</f>
        <v>#NAME?</v>
      </c>
      <c r="BV114" s="2" t="e">
        <f ca="1">_xll.BDH($C$103,"TOTAL_CAPITAL_SEQUENTIAL_GROWTH","FQ1 2016","FQ1 2016","Currency=INR","Period=FQ","BEST_FPERIOD_OVERRIDE=FQ","FILING_STATUS=OR","EQY_CONSOLIDATED=Y","Sort=A","Dates=H","DateFormat=P","Fill=—","Direction=H","UseDPDF=Y")</f>
        <v>#NAME?</v>
      </c>
      <c r="BW114" s="2" t="e">
        <f ca="1">_xll.BDH($C$103,"BPS_SEQUENTIAL_GROWTH","FQ1 2016","FQ1 2016","Currency=INR","Period=FQ","BEST_FPERIOD_OVERRIDE=FQ","FILING_STATUS=OR","EQY_CONSOLIDATED=Y","Sort=A","Dates=H","DateFormat=P","Fill=—","Direction=H","UseDPDF=Y")</f>
        <v>#NAME?</v>
      </c>
      <c r="BX114" s="2" t="e">
        <f ca="1">_xll.BDH($C$103,"CFO_SEQUENTIAL_GROWTH","FQ1 2016","FQ1 2016","Currency=INR","Period=FQ","BEST_FPERIOD_OVERRIDE=FQ","FILING_STATUS=OR","EQY_CONSOLIDATED=Y","Sort=A","Dates=H","DateFormat=P","Fill=—","Direction=H","UseDPDF=Y")</f>
        <v>#NAME?</v>
      </c>
      <c r="BY114" s="3" t="e">
        <f ca="1">_xll.BDH($C$103,"SHORT_AND_LONG_TERM_DEBT","FQ1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14" s="3" t="e">
        <f ca="1">_xll.BDH($C$103,"BS_ST_BORROW","FQ1 2016","FQ1 2016","Currency=INR","Period=FQ","BEST_FPERIOD_OVERRIDE=FQ","FILING_STATUS=OR","EQY_CONSOLIDATED=Y","SCALING_FORMAT=MLN","Sort=A","Dates=H","DateFormat=P","Fill=—","Direction=H","UseDPDF=Y")</f>
        <v>#NAME?</v>
      </c>
      <c r="CA114" s="3" t="e">
        <f ca="1">_xll.BDH($C$103,"BS_LT_BORROW","FQ1 2016","FQ1 2016","Currency=INR","Period=FQ","BEST_FPERIOD_OVERRIDE=FQ","FILING_STATUS=OR","EQY_CONSOLIDATED=Y","SCALING_FORMAT=MLN","Sort=A","Dates=H","DateFormat=P","Fill=—","Direction=H","UseDPDF=Y")</f>
        <v>#NAME?</v>
      </c>
      <c r="CB114" s="2" t="e">
        <f ca="1">_xll.BDH($C$103,"TOT_DEBT_TO_EBITDA","FQ1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14" s="2" t="e">
        <f ca="1">_xll.BDH($C$103,"NET_DEBT_TO_EBITDA","FQ1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14" s="2" t="e">
        <f ca="1">_xll.BDH($C$103,"TOTAL_DEBT_TO_EBIT","FQ1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14" s="2" t="e">
        <f ca="1">_xll.BDH($C$103,"NET_DEBT_TO_EBIT","FQ1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14" s="2" t="e">
        <f ca="1">_xll.BDH($C$103,"EBITDA_TO_INTEREST_EXPN","FQ1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14" s="2" t="e">
        <f ca="1">_xll.BDH($C$103,"COM_EQY_TO_TOT_ASSET","FQ1 2016","FQ1 2016","Currency=INR","Period=FQ","BEST_FPERIOD_OVERRIDE=FQ","FILING_STATUS=OR","EQY_CONSOLIDATED=Y","Sort=A","Dates=H","DateFormat=P","Fill=—","Direction=H","UseDPDF=Y")</f>
        <v>#NAME?</v>
      </c>
      <c r="CH114" s="2" t="e">
        <f ca="1">_xll.BDH($C$103,"LT_DEBT_TO_TOT_EQY","FQ1 2016","FQ1 2016","Currency=INR","Period=FQ","BEST_FPERIOD_OVERRIDE=FQ","FILING_STATUS=OR","EQY_CONSOLIDATED=Y","Sort=A","Dates=H","DateFormat=P","Fill=—","Direction=H","UseDPDF=Y")</f>
        <v>#NAME?</v>
      </c>
      <c r="CI114" s="2" t="e">
        <f ca="1">_xll.BDH($C$103,"LT_DEBT_TO_TOT_CAP","FQ1 2016","FQ1 2016","Currency=INR","Period=FQ","BEST_FPERIOD_OVERRIDE=FQ","FILING_STATUS=OR","EQY_CONSOLIDATED=Y","Sort=A","Dates=H","DateFormat=P","Fill=—","Direction=H","UseDPDF=Y")</f>
        <v>#NAME?</v>
      </c>
      <c r="CJ114" s="2" t="e">
        <f ca="1">_xll.BDH($C$103,"LT_DEBT_TO_TOT_ASSET","FQ1 2016","FQ1 2016","Currency=INR","Period=FQ","BEST_FPERIOD_OVERRIDE=FQ","FILING_STATUS=OR","EQY_CONSOLIDATED=Y","Sort=A","Dates=H","DateFormat=P","Fill=—","Direction=H","UseDPDF=Y")</f>
        <v>#NAME?</v>
      </c>
      <c r="CK114" s="2" t="e">
        <f ca="1">_xll.BDH($C$103,"TOT_DEBT_TO_TOT_EQY","FQ1 2016","FQ1 2016","Currency=INR","Period=FQ","BEST_FPERIOD_OVERRIDE=FQ","FILING_STATUS=OR","EQY_CONSOLIDATED=Y","Sort=A","Dates=H","DateFormat=P","Fill=—","Direction=H","UseDPDF=Y")</f>
        <v>#NAME?</v>
      </c>
      <c r="CL114" s="2" t="e">
        <f ca="1">_xll.BDH($C$103,"TOT_DEBT_TO_TOT_CAP","FQ1 2016","FQ1 2016","Currency=INR","Period=FQ","BEST_FPERIOD_OVERRIDE=FQ","FILING_STATUS=OR","EQY_CONSOLIDATED=Y","Sort=A","Dates=H","DateFormat=P","Fill=—","Direction=H","UseDPDF=Y")</f>
        <v>#NAME?</v>
      </c>
      <c r="CM114" s="2" t="e">
        <f ca="1">_xll.BDH($C$103,"TOT_DEBT_TO_TOT_ASSET","FQ1 2016","FQ1 2016","Currency=INR","Period=FQ","BEST_FPERIOD_OVERRIDE=FQ","FILING_STATUS=OR","EQY_CONSOLIDATED=Y","Sort=A","Dates=H","DateFormat=P","Fill=—","Direction=H","UseDPDF=Y")</f>
        <v>#NAME?</v>
      </c>
      <c r="CN114" s="2" t="e">
        <f ca="1">_xll.BDH($C$103,"NET_DEBT_TO_SHRHLDR_EQTY","FQ1 2016","FQ1 2016","Currency=INR","Period=FQ","BEST_FPERIOD_OVERRIDE=FQ","FILING_STATUS=OR","EQY_CONSOLIDATED=Y","Sort=A","Dates=H","DateFormat=P","Fill=—","Direction=H","UseDPDF=Y")</f>
        <v>#NAME?</v>
      </c>
      <c r="CO114" s="2" t="e">
        <f ca="1">_xll.BDH($C$103,"NET_DEBT_%_CAPITAL","FQ1 2016","FQ1 2016","Currency=INR","Period=FQ","BEST_FPERIOD_OVERRIDE=FQ","FILING_STATUS=OR","EQY_CONSOLIDATED=Y","Sort=A","Dates=H","DateFormat=P","Fill=—","Direction=H","UseDPDF=Y")</f>
        <v>#NAME?</v>
      </c>
      <c r="CP114" s="3" t="e">
        <f ca="1">_xll.BDH($C$103,"EBITDA","FQ1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14" s="3" t="e">
        <f ca="1">_xll.BDH($C$103,"EBITDA_AFTER_CAPEX","FQ1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14" s="3" t="e">
        <f ca="1">_xll.BDH($C$103,"IS_OPER_INC","FQ1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14" s="2" t="e">
        <f ca="1">_xll.BDH($C$103,"CASH_RATIO","FQ1 2016","FQ1 2016","Currency=INR","Period=FQ","BEST_FPERIOD_OVERRIDE=FQ","FILING_STATUS=OR","EQY_CONSOLIDATED=Y","Sort=A","Dates=H","DateFormat=P","Fill=—","Direction=H","UseDPDF=Y")</f>
        <v>#NAME?</v>
      </c>
      <c r="CT114" s="2" t="e">
        <f ca="1">_xll.BDH($C$103,"CUR_RATIO","FQ1 2016","FQ1 2016","Currency=INR","Period=FQ","BEST_FPERIOD_OVERRIDE=FQ","FILING_STATUS=OR","EQY_CONSOLIDATED=Y","Sort=A","Dates=H","DateFormat=P","Fill=—","Direction=H","UseDPDF=Y")</f>
        <v>#NAME?</v>
      </c>
      <c r="CU114" s="2" t="e">
        <f ca="1">_xll.BDH($C$103,"QUICK_RATIO","FQ1 2016","FQ1 2016","Currency=INR","Period=FQ","BEST_FPERIOD_OVERRIDE=FQ","FILING_STATUS=OR","EQY_CONSOLIDATED=Y","Sort=A","Dates=H","DateFormat=P","Fill=—","Direction=H","UseDPDF=Y")</f>
        <v>#NAME?</v>
      </c>
      <c r="CV114" s="2" t="e">
        <f ca="1">_xll.BDH($C$103,"ALTMAN_Z_SCORE","FQ1 2016","FQ1 2016","Currency=INR","Period=FQ","BEST_FPERIOD_OVERRIDE=FQ","FILING_STATUS=OR","EQY_CONSOLIDATED=Y","Sort=A","Dates=H","DateFormat=P","Fill=—","Direction=H","UseDPDF=Y")</f>
        <v>#NAME?</v>
      </c>
      <c r="CW114" s="4" t="e">
        <f ca="1">_xll.BDH($C$103,"ACCT_RCV_TURN","FQ1 2016","FQ1 2016","Currency=INR","Period=FQ","BEST_FPERIOD_OVERRIDE=FQ","FILING_STATUS=OR","EQY_CONSOLIDATED=Y","FA_ADJUSTED=GAAP","Sort=A","Dates=H","DateFormat=P","Fill=—","Direction=H","UseDPDF=Y")</f>
        <v>#NAME?</v>
      </c>
      <c r="CX114" s="2" t="e">
        <f ca="1">_xll.BDH($C$103,"ACCT_RCV_DAYS","FQ1 2016","FQ1 2016","Currency=INR","Period=FQ","BEST_FPERIOD_OVERRIDE=FQ","FILING_STATUS=OR","EQY_CONSOLIDATED=Y","FA_ADJUSTED=GAAP","Sort=A","Dates=H","DateFormat=P","Fill=—","Direction=H","UseDPDF=Y")</f>
        <v>#NAME?</v>
      </c>
      <c r="CY114" s="4" t="e">
        <f ca="1">_xll.BDH($C$103,"INVENT_TURN","FQ1 2016","FQ1 2016","Currency=INR","Period=FQ","BEST_FPERIOD_OVERRIDE=FQ","FILING_STATUS=OR","EQY_CONSOLIDATED=Y","FA_ADJUSTED=GAAP","Sort=A","Dates=H","DateFormat=P","Fill=—","Direction=H","UseDPDF=Y")</f>
        <v>#NAME?</v>
      </c>
      <c r="CZ114" s="2" t="e">
        <f ca="1">_xll.BDH($C$103,"INVENT_DAYS","FQ1 2016","FQ1 2016","Currency=INR","Period=FQ","BEST_FPERIOD_OVERRIDE=FQ","FILING_STATUS=OR","EQY_CONSOLIDATED=Y","FA_ADJUSTED=GAAP","Sort=A","Dates=H","DateFormat=P","Fill=—","Direction=H","UseDPDF=Y")</f>
        <v>#NAME?</v>
      </c>
      <c r="DA114" s="4" t="e">
        <f ca="1">_xll.BDH($C$103,"ACCOUNTS_PAYABLE_TURNOVER","FQ1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14" s="2" t="e">
        <f ca="1">_xll.BDH($C$103,"ACCOUNTS_PAYABLE_TURNOVER_DAYS","FQ1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14" s="4" t="e">
        <f ca="1">_xll.BDH($C$103,"CASH_CONVERSION_CYCLE","FQ1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14" s="4" t="e">
        <f ca="1">_xll.BDH($C$103,"INV_TO_CASH_DAYS","FQ1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14" s="5" t="e">
        <f ca="1">_xll.BDH($C$103,"BS_INVENTORIES","FQ1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14" s="3" t="e">
        <f ca="1">_xll.BDH($C$103,"INVTRY_RAW_MATERIALS","FQ1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14" s="3" t="e">
        <f ca="1">_xll.BDH($C$103,"INVTRY_IN_PROGRESS","FQ1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14" s="3" t="e">
        <f ca="1">_xll.BDH($C$103,"INVTRY_FINISHED_GOODS","FQ1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14" s="3" t="e">
        <f ca="1">_xll.BDH($C$103,"BS_OTHER_INV","FQ1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15" spans="1:113" x14ac:dyDescent="0.3">
      <c r="A115" s="6"/>
      <c r="B115" s="6"/>
      <c r="C115" s="6"/>
      <c r="D115" s="6"/>
      <c r="E115" t="s">
        <v>79</v>
      </c>
      <c r="F115" t="e">
        <f ca="1">_xll.BDH($C$103,"RETURN_COM_EQY","FQ2 2016","FQ2 2016","Currency=INR","Period=FQ","BEST_FPERIOD_OVERRIDE=FQ","FILING_STATUS=OR","EQY_CONSOLIDATED=Y","FA_ADJUSTED=GAAP","Sort=A","Dates=H","DateFormat=P","Fill=—","Direction=H","UseDPDF=Y")</f>
        <v>#NAME?</v>
      </c>
      <c r="G115" t="e">
        <f ca="1">_xll.BDH($C$103,"RETURN_ON_ASSET","FQ2 2016","FQ2 2016","Currency=INR","Period=FQ","BEST_FPERIOD_OVERRIDE=FQ","FILING_STATUS=OR","EQY_CONSOLIDATED=Y","FA_ADJUSTED=GAAP","Sort=A","Dates=H","DateFormat=P","Fill=—","Direction=H","UseDPDF=Y")</f>
        <v>#NAME?</v>
      </c>
      <c r="H115" t="e">
        <f ca="1">_xll.BDH($C$103,"RETURN_ON_CAP","FQ2 2016","FQ2 2016","Currency=INR","Period=FQ","BEST_FPERIOD_OVERRIDE=FQ","FILING_STATUS=OR","EQY_CONSOLIDATED=Y","FA_ADJUSTED=GAAP","Sort=A","Dates=H","DateFormat=P","Fill=—","Direction=H","UseDPDF=Y")</f>
        <v>#NAME?</v>
      </c>
      <c r="I115" t="e">
        <f ca="1">_xll.BDH($C$103,"RETURN_ON_INV_CAPITAL","FQ2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15" t="e">
        <f ca="1">_xll.BDH($C$103,"EBITDA_TO_REVENUE","FQ2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15" t="e">
        <f ca="1">_xll.BDH($C$103,"OPER_MARGIN","FQ2 2016","FQ2 2016","Currency=INR","Period=FQ","BEST_FPERIOD_OVERRIDE=FQ","FILING_STATUS=OR","EQY_CONSOLIDATED=Y","FA_ADJUSTED=GAAP","Sort=A","Dates=H","DateFormat=P","Fill=—","Direction=H","UseDPDF=Y")</f>
        <v>#NAME?</v>
      </c>
      <c r="L115" t="e">
        <f ca="1">_xll.BDH($C$103,"INCREMENTAL_OPERATING_MARGIN","FQ2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15" t="e">
        <f ca="1">_xll.BDH($C$103,"PRETAX_INC_TO_NET_SALES","FQ2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15" t="e">
        <f ca="1">_xll.BDH($C$103,"INC_BEF_XO_ITEMS_TO_NET_SALES","FQ2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15" t="e">
        <f ca="1">_xll.BDH($C$103,"PROF_MARGIN","FQ2 2016","FQ2 2016","Currency=INR","Period=FQ","BEST_FPERIOD_OVERRIDE=FQ","FILING_STATUS=OR","EQY_CONSOLIDATED=Y","FA_ADJUSTED=GAAP","Sort=A","Dates=H","DateFormat=P","Fill=—","Direction=H","UseDPDF=Y")</f>
        <v>#NAME?</v>
      </c>
      <c r="P115" t="e">
        <f ca="1">_xll.BDH($C$103,"NET_INCOME_TO_COMMON_MARGIN","FQ2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15" t="e">
        <f ca="1">_xll.BDH($C$103,"EFF_TAX_RATE","FQ2 2016","FQ2 2016","Currency=INR","Period=FQ","BEST_FPERIOD_OVERRIDE=FQ","FILING_STATUS=OR","EQY_CONSOLIDATED=Y","FA_ADJUSTED=GAAP","Sort=A","Dates=H","DateFormat=P","Fill=—","Direction=H","UseDPDF=Y")</f>
        <v>#NAME?</v>
      </c>
      <c r="R115" t="e">
        <f ca="1">_xll.BDH($C$103,"DVD_PAYOUT_RATIO","FQ2 2016","FQ2 2016","Currency=INR","Period=FQ","BEST_FPERIOD_OVERRIDE=FQ","FILING_STATUS=OR","EQY_CONSOLIDATED=Y","FA_ADJUSTED=GAAP","Sort=A","Dates=H","DateFormat=P","Fill=—","Direction=H","UseDPDF=Y")</f>
        <v>#NAME?</v>
      </c>
      <c r="S115" t="e">
        <f ca="1">_xll.BDH($C$103,"SUSTAIN_GROWTH_RT","FQ2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15" s="2" t="e">
        <f ca="1">_xll.BDH($C$103,"SALES_GROWTH","FQ2 2016","FQ2 2016","Currency=INR","Period=FQ","BEST_FPERIOD_OVERRIDE=FQ","FILING_STATUS=OR","EQY_CONSOLIDATED=Y","FA_ADJUSTED=GAAP","Sort=A","Dates=H","DateFormat=P","Fill=—","Direction=H","UseDPDF=Y")</f>
        <v>#NAME?</v>
      </c>
      <c r="U115" s="2" t="e">
        <f ca="1">_xll.BDH($C$103,"EBITDA_GROWTH","FQ2 2016","FQ2 2016","Currency=INR","Period=FQ","BEST_FPERIOD_OVERRIDE=FQ","FILING_STATUS=OR","EQY_CONSOLIDATED=Y","FA_ADJUSTED=GAAP","Sort=A","Dates=H","DateFormat=P","Fill=—","Direction=H","UseDPDF=Y")</f>
        <v>#NAME?</v>
      </c>
      <c r="V115" s="2" t="e">
        <f ca="1">_xll.BDH($C$103,"OPER_INC_GROWTH","FQ2 2016","FQ2 2016","Currency=INR","Period=FQ","BEST_FPERIOD_OVERRIDE=FQ","FILING_STATUS=OR","EQY_CONSOLIDATED=Y","FA_ADJUSTED=GAAP","Sort=A","Dates=H","DateFormat=P","Fill=—","Direction=H","UseDPDF=Y")</f>
        <v>#NAME?</v>
      </c>
      <c r="W115" s="2" t="e">
        <f ca="1">_xll.BDH($C$103,"EARN_FOR_COM_GROWTH","FQ2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15" s="2" t="e">
        <f ca="1">_xll.BDH($C$103,"DILUTED_EPS_AFT_XO_ITEMS_GROWTH","FQ2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15" s="2" t="e">
        <f ca="1">_xll.BDH($C$103,"DIVIDEND_PER_SHARE_1_YEAR_GROWTH","FQ2 2016","FQ2 2016","Currency=INR","Period=FQ","BEST_FPERIOD_OVERRIDE=FQ","FILING_STATUS=OR","EQY_CONSOLIDATED=Y","Sort=A","Dates=H","DateFormat=P","Fill=—","Direction=H","UseDPDF=Y")</f>
        <v>#NAME?</v>
      </c>
      <c r="Z115" s="2" t="e">
        <f ca="1">_xll.BDH($C$103,"ACCOUNTS_RECEIVABLE_GROWTH","FQ2 2016","FQ2 2016","Currency=INR","Period=FQ","BEST_FPERIOD_OVERRIDE=FQ","FILING_STATUS=OR","EQY_CONSOLIDATED=Y","Sort=A","Dates=H","DateFormat=P","Fill=—","Direction=H","UseDPDF=Y")</f>
        <v>#NAME?</v>
      </c>
      <c r="AA115" s="2" t="e">
        <f ca="1">_xll.BDH($C$103,"INVENTORY_GROWTH","FQ2 2016","FQ2 2016","Currency=INR","Period=FQ","BEST_FPERIOD_OVERRIDE=FQ","FILING_STATUS=OR","EQY_CONSOLIDATED=Y","Sort=A","Dates=H","DateFormat=P","Fill=—","Direction=H","UseDPDF=Y")</f>
        <v>#NAME?</v>
      </c>
      <c r="AB115" s="2" t="e">
        <f ca="1">_xll.BDH($C$103,"NET_FIXED_ASSETS_1_YEAR_GROWTH","FQ2 2016","FQ2 2016","Currency=INR","Period=FQ","BEST_FPERIOD_OVERRIDE=FQ","FILING_STATUS=OR","EQY_CONSOLIDATED=Y","Sort=A","Dates=H","DateFormat=P","Fill=—","Direction=H","UseDPDF=Y")</f>
        <v>#NAME?</v>
      </c>
      <c r="AC115" s="2" t="e">
        <f ca="1">_xll.BDH($C$103,"ASSET_GROWTH","FQ2 2016","FQ2 2016","Currency=INR","Period=FQ","BEST_FPERIOD_OVERRIDE=FQ","FILING_STATUS=OR","EQY_CONSOLIDATED=Y","Sort=A","Dates=H","DateFormat=P","Fill=—","Direction=H","UseDPDF=Y")</f>
        <v>#NAME?</v>
      </c>
      <c r="AD115" s="2" t="e">
        <f ca="1">_xll.BDH($C$103,"MODIFIED_WORK_CAP_GROWTH","FQ2 2016","FQ2 2016","Currency=INR","Period=FQ","BEST_FPERIOD_OVERRIDE=FQ","FILING_STATUS=OR","EQY_CONSOLIDATED=Y","Sort=A","Dates=H","DateFormat=P","Fill=—","Direction=H","UseDPDF=Y")</f>
        <v>#NAME?</v>
      </c>
      <c r="AE115" s="2" t="e">
        <f ca="1">_xll.BDH($C$103,"WORK_CAP_GROWTH","FQ2 2016","FQ2 2016","Currency=INR","Period=FQ","BEST_FPERIOD_OVERRIDE=FQ","FILING_STATUS=OR","EQY_CONSOLIDATED=Y","Sort=A","Dates=H","DateFormat=P","Fill=—","Direction=H","UseDPDF=Y")</f>
        <v>#NAME?</v>
      </c>
      <c r="AF115" s="2" t="e">
        <f ca="1">_xll.BDH($C$103,"ACCOUNTS_PAYABLE_GROWTH_1YR","FQ2 2016","FQ2 2016","Currency=INR","Period=FQ","BEST_FPERIOD_OVERRIDE=FQ","FILING_STATUS=OR","EQY_CONSOLIDATED=Y","Sort=A","Dates=H","DateFormat=P","Fill=—","Direction=H","UseDPDF=Y")</f>
        <v>#NAME?</v>
      </c>
      <c r="AG115" s="2" t="e">
        <f ca="1">_xll.BDH($C$103,"SHORT_TERM_DEBT_1_YEAR_GROWTH","FQ2 2016","FQ2 2016","Currency=INR","Period=FQ","BEST_FPERIOD_OVERRIDE=FQ","FILING_STATUS=OR","EQY_CONSOLIDATED=Y","Sort=A","Dates=H","DateFormat=P","Fill=—","Direction=H","UseDPDF=Y")</f>
        <v>#NAME?</v>
      </c>
      <c r="AH115" s="2" t="e">
        <f ca="1">_xll.BDH($C$103,"TOTAL_DEBT_1_YEAR_GROWTH","FQ2 2016","FQ2 2016","Currency=INR","Period=FQ","BEST_FPERIOD_OVERRIDE=FQ","FILING_STATUS=OR","EQY_CONSOLIDATED=Y","Sort=A","Dates=H","DateFormat=P","Fill=—","Direction=H","UseDPDF=Y")</f>
        <v>#NAME?</v>
      </c>
      <c r="AI115" s="2" t="e">
        <f ca="1">_xll.BDH($C$103,"TOTAL_EQUITY_1_YEAR_GROWTH","FQ2 2016","FQ2 2016","Currency=INR","Period=FQ","BEST_FPERIOD_OVERRIDE=FQ","FILING_STATUS=OR","EQY_CONSOLIDATED=Y","Sort=A","Dates=H","DateFormat=P","Fill=—","Direction=H","UseDPDF=Y")</f>
        <v>#NAME?</v>
      </c>
      <c r="AJ115" s="2" t="e">
        <f ca="1">_xll.BDH($C$103,"GROWTH_IN_CAP","FQ2 2016","FQ2 2016","Currency=INR","Period=FQ","BEST_FPERIOD_OVERRIDE=FQ","FILING_STATUS=OR","EQY_CONSOLIDATED=Y","Sort=A","Dates=H","DateFormat=P","Fill=—","Direction=H","UseDPDF=Y")</f>
        <v>#NAME?</v>
      </c>
      <c r="AK115" s="2" t="e">
        <f ca="1">_xll.BDH($C$103,"BVPS_GROWTH","FQ2 2016","FQ2 2016","Currency=INR","Period=FQ","BEST_FPERIOD_OVERRIDE=FQ","FILING_STATUS=OR","EQY_CONSOLIDATED=Y","Sort=A","Dates=H","DateFormat=P","Fill=—","Direction=H","UseDPDF=Y")</f>
        <v>#NAME?</v>
      </c>
      <c r="AL115" s="2" t="e">
        <f ca="1">_xll.BDH($C$103,"CASH_FLOW_GROWTH","FQ2 2016","FQ2 2016","Currency=INR","Period=FQ","BEST_FPERIOD_OVERRIDE=FQ","FILING_STATUS=OR","EQY_CONSOLIDATED=Y","Sort=A","Dates=H","DateFormat=P","Fill=—","Direction=H","UseDPDF=Y")</f>
        <v>#NAME?</v>
      </c>
      <c r="AM115" s="2" t="e">
        <f ca="1">_xll.BDH($C$103,"GEO_GROW_NET_SALES","FQ2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15" s="2" t="e">
        <f ca="1">_xll.BDH($C$103,"GEO_GROW_EBITDA","FQ2 2016","FQ2 2016","Currency=INR","Period=FQ","BEST_FPERIOD_OVERRIDE=FQ","FILING_STATUS=OR","EQY_CONSOLIDATED=Y","FA_ADJUSTED=GAAP","Sort=A","Dates=H","DateFormat=P","Fill=—","Direction=H","UseDPDF=Y")</f>
        <v>#NAME?</v>
      </c>
      <c r="AO115" s="2" t="e">
        <f ca="1">_xll.BDH($C$103,"GEO_GROW_OPER_INC","FQ2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15" s="2" t="e">
        <f ca="1">_xll.BDH($C$103,"NET_INCOME_TO_COMMON_5_YR_GROWTH","FQ2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15" s="2" t="e">
        <f ca="1">_xll.BDH($C$103,"5Y_GEO_GROWTH_DILUTED_EPS","FQ2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15" s="2" t="e">
        <f ca="1">_xll.BDH($C$103,"GEO_GROW_DVD_PER_SH","FQ2 2016","FQ2 2016","Currency=INR","Period=FQ","BEST_FPERIOD_OVERRIDE=FQ","FILING_STATUS=OR","EQY_CONSOLIDATED=Y","Sort=A","Dates=H","DateFormat=P","Fill=—","Direction=H","UseDPDF=Y")</f>
        <v>#NAME?</v>
      </c>
      <c r="AS115" s="2" t="e">
        <f ca="1">_xll.BDH($C$103,"ACCOUNTS_RECEIVABLE_5_YR_GROWTH","FQ2 2016","FQ2 2016","Currency=INR","Period=FQ","BEST_FPERIOD_OVERRIDE=FQ","FILING_STATUS=OR","EQY_CONSOLIDATED=Y","Sort=A","Dates=H","DateFormat=P","Fill=—","Direction=H","UseDPDF=Y")</f>
        <v>#NAME?</v>
      </c>
      <c r="AT115" s="2" t="e">
        <f ca="1">_xll.BDH($C$103,"INVENTORY_5_YEAR_GROWTH","FQ2 2016","FQ2 2016","Currency=INR","Period=FQ","BEST_FPERIOD_OVERRIDE=FQ","FILING_STATUS=OR","EQY_CONSOLIDATED=Y","Sort=A","Dates=H","DateFormat=P","Fill=—","Direction=H","UseDPDF=Y")</f>
        <v>#NAME?</v>
      </c>
      <c r="AU115" s="2" t="e">
        <f ca="1">_xll.BDH($C$103,"NET_FIXED_ASSETS_5_YEAR_GROWTH","FQ2 2016","FQ2 2016","Currency=INR","Period=FQ","BEST_FPERIOD_OVERRIDE=FQ","FILING_STATUS=OR","EQY_CONSOLIDATED=Y","Sort=A","Dates=H","DateFormat=P","Fill=—","Direction=H","UseDPDF=Y")</f>
        <v>#NAME?</v>
      </c>
      <c r="AV115" s="2" t="e">
        <f ca="1">_xll.BDH($C$103,"GEO_GROW_TOT_ASSET","FQ2 2016","FQ2 2016","Currency=INR","Period=FQ","BEST_FPERIOD_OVERRIDE=FQ","FILING_STATUS=OR","EQY_CONSOLIDATED=Y","Sort=A","Dates=H","DateFormat=P","Fill=—","Direction=H","UseDPDF=Y")</f>
        <v>#NAME?</v>
      </c>
      <c r="AW115" s="2" t="e">
        <f ca="1">_xll.BDH($C$103,"MODIFIED_WORKING_CPTL_5YR_GRWTH","FQ2 2016","FQ2 2016","Currency=INR","Period=FQ","BEST_FPERIOD_OVERRIDE=FQ","FILING_STATUS=OR","EQY_CONSOLIDATED=Y","Sort=A","Dates=H","DateFormat=P","Fill=—","Direction=H","UseDPDF=Y")</f>
        <v>#NAME?</v>
      </c>
      <c r="AX115" s="2" t="e">
        <f ca="1">_xll.BDH($C$103,"WORKING_CAPITAL_5_YEAR_GROWTH","FQ2 2016","FQ2 2016","Currency=INR","Period=FQ","BEST_FPERIOD_OVERRIDE=FQ","FILING_STATUS=OR","EQY_CONSOLIDATED=Y","Sort=A","Dates=H","DateFormat=P","Fill=—","Direction=H","UseDPDF=Y")</f>
        <v>#NAME?</v>
      </c>
      <c r="AY115" s="2" t="e">
        <f ca="1">_xll.BDH($C$103,"ACCOUNTS_PAYABLE_5_YEAR_GROWTH","FQ2 2016","FQ2 2016","Currency=INR","Period=FQ","BEST_FPERIOD_OVERRIDE=FQ","FILING_STATUS=OR","EQY_CONSOLIDATED=Y","Sort=A","Dates=H","DateFormat=P","Fill=—","Direction=H","UseDPDF=Y")</f>
        <v>#NAME?</v>
      </c>
      <c r="AZ115" s="2" t="e">
        <f ca="1">_xll.BDH($C$103,"SHORT_TERM_DEBT_5_YEAR_GROWTH","FQ2 2016","FQ2 2016","Currency=INR","Period=FQ","BEST_FPERIOD_OVERRIDE=FQ","FILING_STATUS=OR","EQY_CONSOLIDATED=Y","Sort=A","Dates=H","DateFormat=P","Fill=—","Direction=H","UseDPDF=Y")</f>
        <v>#NAME?</v>
      </c>
      <c r="BA115" s="2" t="e">
        <f ca="1">_xll.BDH($C$103,"TOTAL_DEBT_5_YEAR_GROWTH","FQ2 2016","FQ2 2016","Currency=INR","Period=FQ","BEST_FPERIOD_OVERRIDE=FQ","FILING_STATUS=OR","EQY_CONSOLIDATED=Y","Sort=A","Dates=H","DateFormat=P","Fill=—","Direction=H","UseDPDF=Y")</f>
        <v>#NAME?</v>
      </c>
      <c r="BB115" s="2" t="e">
        <f ca="1">_xll.BDH($C$103,"GEO_GROW_TOT_SHRHLDR_EQY","FQ2 2016","FQ2 2016","Currency=INR","Period=FQ","BEST_FPERIOD_OVERRIDE=FQ","FILING_STATUS=OR","EQY_CONSOLIDATED=Y","Sort=A","Dates=H","DateFormat=P","Fill=—","Direction=H","UseDPDF=Y")</f>
        <v>#NAME?</v>
      </c>
      <c r="BC115" s="2" t="e">
        <f ca="1">_xll.BDH($C$103,"TOTAL_CAPITAL_5_YEAR_GROWTH","FQ2 2016","FQ2 2016","Currency=INR","Period=FQ","BEST_FPERIOD_OVERRIDE=FQ","FILING_STATUS=OR","EQY_CONSOLIDATED=Y","Sort=A","Dates=H","DateFormat=P","Fill=—","Direction=H","UseDPDF=Y")</f>
        <v>#NAME?</v>
      </c>
      <c r="BD115" s="2" t="e">
        <f ca="1">_xll.BDH($C$103,"GEO_GROW_BOOK_VAL","FQ2 2016","FQ2 2016","Currency=INR","Period=FQ","BEST_FPERIOD_OVERRIDE=FQ","FILING_STATUS=OR","EQY_CONSOLIDATED=Y","Sort=A","Dates=H","DateFormat=P","Fill=—","Direction=H","UseDPDF=Y")</f>
        <v>#NAME?</v>
      </c>
      <c r="BE115" s="2" t="e">
        <f ca="1">_xll.BDH($C$103,"GEO_GROW_CASH_OPER_ACT","FQ2 2016","FQ2 2016","Currency=INR","Period=FQ","BEST_FPERIOD_OVERRIDE=FQ","FILING_STATUS=OR","EQY_CONSOLIDATED=Y","Sort=A","Dates=H","DateFormat=P","Fill=—","Direction=H","UseDPDF=Y")</f>
        <v>#NAME?</v>
      </c>
      <c r="BF115" s="2" t="e">
        <f ca="1">_xll.BDH($C$103,"REVENUE_SEQUENTIAL_GROWTH","FQ2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15" s="2" t="e">
        <f ca="1">_xll.BDH($C$103,"EBITDA_SEQUENTIAL_GROWTH","FQ2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15" s="2" t="e">
        <f ca="1">_xll.BDH($C$103,"OPERATING_INCOME_SEQ_GROWTH","FQ2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15" s="2" t="e">
        <f ca="1">_xll.BDH($C$103,"NET_INCOME_TO_COMMON_SEQ_GROWTH","FQ2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15" s="2" t="e">
        <f ca="1">_xll.BDH($C$103,"EPS_DILUTED_SEQUENTIAL_GROWTH","FQ2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15" s="2" t="e">
        <f ca="1">_xll.BDH($C$103,"DPS_SEQUENTIAL_GROWTH","FQ2 2016","FQ2 2016","Currency=INR","Period=FQ","BEST_FPERIOD_OVERRIDE=FQ","FILING_STATUS=OR","EQY_CONSOLIDATED=Y","Sort=A","Dates=H","DateFormat=P","Fill=—","Direction=H","UseDPDF=Y")</f>
        <v>#NAME?</v>
      </c>
      <c r="BL115" s="2" t="e">
        <f ca="1">_xll.BDH($C$103,"ACCOUNTS_RECEIVABLE_SEQ_GROWTH","FQ2 2016","FQ2 2016","Currency=INR","Period=FQ","BEST_FPERIOD_OVERRIDE=FQ","FILING_STATUS=OR","EQY_CONSOLIDATED=Y","Sort=A","Dates=H","DateFormat=P","Fill=—","Direction=H","UseDPDF=Y")</f>
        <v>#NAME?</v>
      </c>
      <c r="BM115" s="2" t="e">
        <f ca="1">_xll.BDH($C$103,"INVENTORY_SEQUENTIAL_GROWTH","FQ2 2016","FQ2 2016","Currency=INR","Period=FQ","BEST_FPERIOD_OVERRIDE=FQ","FILING_STATUS=OR","EQY_CONSOLIDATED=Y","Sort=A","Dates=H","DateFormat=P","Fill=—","Direction=H","UseDPDF=Y")</f>
        <v>#NAME?</v>
      </c>
      <c r="BN115" s="2" t="e">
        <f ca="1">_xll.BDH($C$103,"FIXED_ASSETS_SEQUENTIAL_GROWTH","FQ2 2016","FQ2 2016","Currency=INR","Period=FQ","BEST_FPERIOD_OVERRIDE=FQ","FILING_STATUS=OR","EQY_CONSOLIDATED=Y","Sort=A","Dates=H","DateFormat=P","Fill=—","Direction=H","UseDPDF=Y")</f>
        <v>#NAME?</v>
      </c>
      <c r="BO115" s="2" t="e">
        <f ca="1">_xll.BDH($C$103,"TOTAL_ASSETS_SEQUENTIAL_GROWTH","FQ2 2016","FQ2 2016","Currency=INR","Period=FQ","BEST_FPERIOD_OVERRIDE=FQ","FILING_STATUS=OR","EQY_CONSOLIDATED=Y","Sort=A","Dates=H","DateFormat=P","Fill=—","Direction=H","UseDPDF=Y")</f>
        <v>#NAME?</v>
      </c>
      <c r="BP115" s="2" t="e">
        <f ca="1">_xll.BDH($C$103,"MODIFIED_WORKING_CPTL_SEQ_GRWTH","FQ2 2016","FQ2 2016","Currency=INR","Period=FQ","BEST_FPERIOD_OVERRIDE=FQ","FILING_STATUS=OR","EQY_CONSOLIDATED=Y","Sort=A","Dates=H","DateFormat=P","Fill=—","Direction=H","UseDPDF=Y")</f>
        <v>#NAME?</v>
      </c>
      <c r="BQ115" s="2" t="e">
        <f ca="1">_xll.BDH($C$103,"WORKING_CAPITAL_SEQ_GROWTH","FQ2 2016","FQ2 2016","Currency=INR","Period=FQ","BEST_FPERIOD_OVERRIDE=FQ","FILING_STATUS=OR","EQY_CONSOLIDATED=Y","Sort=A","Dates=H","DateFormat=P","Fill=—","Direction=H","UseDPDF=Y")</f>
        <v>#NAME?</v>
      </c>
      <c r="BR115" s="2" t="e">
        <f ca="1">_xll.BDH($C$103,"ACCOUNTS_PAYABLE_SEQ_GROWTH","FQ2 2016","FQ2 2016","Currency=INR","Period=FQ","BEST_FPERIOD_OVERRIDE=FQ","FILING_STATUS=OR","EQY_CONSOLIDATED=Y","Sort=A","Dates=H","DateFormat=P","Fill=—","Direction=H","UseDPDF=Y")</f>
        <v>#NAME?</v>
      </c>
      <c r="BS115" s="2" t="e">
        <f ca="1">_xll.BDH($C$103,"ST_DEBT_SEQUENTIAL_GROWTH","FQ2 2016","FQ2 2016","Currency=INR","Period=FQ","BEST_FPERIOD_OVERRIDE=FQ","FILING_STATUS=OR","EQY_CONSOLIDATED=Y","Sort=A","Dates=H","DateFormat=P","Fill=—","Direction=H","UseDPDF=Y")</f>
        <v>#NAME?</v>
      </c>
      <c r="BT115" s="2" t="e">
        <f ca="1">_xll.BDH($C$103,"TOTAL_DEBT_SEQUENTIAL_GROWTH","FQ2 2016","FQ2 2016","Currency=INR","Period=FQ","BEST_FPERIOD_OVERRIDE=FQ","FILING_STATUS=OR","EQY_CONSOLIDATED=Y","Sort=A","Dates=H","DateFormat=P","Fill=—","Direction=H","UseDPDF=Y")</f>
        <v>#NAME?</v>
      </c>
      <c r="BU115" s="2" t="e">
        <f ca="1">_xll.BDH($C$103,"TOTAL_EQUITY_SEQUENTIAL_GROWTH","FQ2 2016","FQ2 2016","Currency=INR","Period=FQ","BEST_FPERIOD_OVERRIDE=FQ","FILING_STATUS=OR","EQY_CONSOLIDATED=Y","Sort=A","Dates=H","DateFormat=P","Fill=—","Direction=H","UseDPDF=Y")</f>
        <v>#NAME?</v>
      </c>
      <c r="BV115" s="2" t="e">
        <f ca="1">_xll.BDH($C$103,"TOTAL_CAPITAL_SEQUENTIAL_GROWTH","FQ2 2016","FQ2 2016","Currency=INR","Period=FQ","BEST_FPERIOD_OVERRIDE=FQ","FILING_STATUS=OR","EQY_CONSOLIDATED=Y","Sort=A","Dates=H","DateFormat=P","Fill=—","Direction=H","UseDPDF=Y")</f>
        <v>#NAME?</v>
      </c>
      <c r="BW115" s="2" t="e">
        <f ca="1">_xll.BDH($C$103,"BPS_SEQUENTIAL_GROWTH","FQ2 2016","FQ2 2016","Currency=INR","Period=FQ","BEST_FPERIOD_OVERRIDE=FQ","FILING_STATUS=OR","EQY_CONSOLIDATED=Y","Sort=A","Dates=H","DateFormat=P","Fill=—","Direction=H","UseDPDF=Y")</f>
        <v>#NAME?</v>
      </c>
      <c r="BX115" s="2" t="e">
        <f ca="1">_xll.BDH($C$103,"CFO_SEQUENTIAL_GROWTH","FQ2 2016","FQ2 2016","Currency=INR","Period=FQ","BEST_FPERIOD_OVERRIDE=FQ","FILING_STATUS=OR","EQY_CONSOLIDATED=Y","Sort=A","Dates=H","DateFormat=P","Fill=—","Direction=H","UseDPDF=Y")</f>
        <v>#NAME?</v>
      </c>
      <c r="BY115" s="3" t="e">
        <f ca="1">_xll.BDH($C$103,"SHORT_AND_LONG_TERM_DEBT","FQ2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15" s="3" t="e">
        <f ca="1">_xll.BDH($C$103,"BS_ST_BORROW","FQ2 2016","FQ2 2016","Currency=INR","Period=FQ","BEST_FPERIOD_OVERRIDE=FQ","FILING_STATUS=OR","EQY_CONSOLIDATED=Y","SCALING_FORMAT=MLN","Sort=A","Dates=H","DateFormat=P","Fill=—","Direction=H","UseDPDF=Y")</f>
        <v>#NAME?</v>
      </c>
      <c r="CA115" s="3" t="e">
        <f ca="1">_xll.BDH($C$103,"BS_LT_BORROW","FQ2 2016","FQ2 2016","Currency=INR","Period=FQ","BEST_FPERIOD_OVERRIDE=FQ","FILING_STATUS=OR","EQY_CONSOLIDATED=Y","SCALING_FORMAT=MLN","Sort=A","Dates=H","DateFormat=P","Fill=—","Direction=H","UseDPDF=Y")</f>
        <v>#NAME?</v>
      </c>
      <c r="CB115" s="2" t="e">
        <f ca="1">_xll.BDH($C$103,"TOT_DEBT_TO_EBITDA","FQ2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15" s="2" t="e">
        <f ca="1">_xll.BDH($C$103,"NET_DEBT_TO_EBITDA","FQ2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15" s="2" t="e">
        <f ca="1">_xll.BDH($C$103,"TOTAL_DEBT_TO_EBIT","FQ2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15" s="2" t="e">
        <f ca="1">_xll.BDH($C$103,"NET_DEBT_TO_EBIT","FQ2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15" s="2" t="e">
        <f ca="1">_xll.BDH($C$103,"EBITDA_TO_INTEREST_EXPN","FQ2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15" s="2" t="e">
        <f ca="1">_xll.BDH($C$103,"COM_EQY_TO_TOT_ASSET","FQ2 2016","FQ2 2016","Currency=INR","Period=FQ","BEST_FPERIOD_OVERRIDE=FQ","FILING_STATUS=OR","EQY_CONSOLIDATED=Y","Sort=A","Dates=H","DateFormat=P","Fill=—","Direction=H","UseDPDF=Y")</f>
        <v>#NAME?</v>
      </c>
      <c r="CH115" s="2" t="e">
        <f ca="1">_xll.BDH($C$103,"LT_DEBT_TO_TOT_EQY","FQ2 2016","FQ2 2016","Currency=INR","Period=FQ","BEST_FPERIOD_OVERRIDE=FQ","FILING_STATUS=OR","EQY_CONSOLIDATED=Y","Sort=A","Dates=H","DateFormat=P","Fill=—","Direction=H","UseDPDF=Y")</f>
        <v>#NAME?</v>
      </c>
      <c r="CI115" s="2" t="e">
        <f ca="1">_xll.BDH($C$103,"LT_DEBT_TO_TOT_CAP","FQ2 2016","FQ2 2016","Currency=INR","Period=FQ","BEST_FPERIOD_OVERRIDE=FQ","FILING_STATUS=OR","EQY_CONSOLIDATED=Y","Sort=A","Dates=H","DateFormat=P","Fill=—","Direction=H","UseDPDF=Y")</f>
        <v>#NAME?</v>
      </c>
      <c r="CJ115" s="2" t="e">
        <f ca="1">_xll.BDH($C$103,"LT_DEBT_TO_TOT_ASSET","FQ2 2016","FQ2 2016","Currency=INR","Period=FQ","BEST_FPERIOD_OVERRIDE=FQ","FILING_STATUS=OR","EQY_CONSOLIDATED=Y","Sort=A","Dates=H","DateFormat=P","Fill=—","Direction=H","UseDPDF=Y")</f>
        <v>#NAME?</v>
      </c>
      <c r="CK115" s="2" t="e">
        <f ca="1">_xll.BDH($C$103,"TOT_DEBT_TO_TOT_EQY","FQ2 2016","FQ2 2016","Currency=INR","Period=FQ","BEST_FPERIOD_OVERRIDE=FQ","FILING_STATUS=OR","EQY_CONSOLIDATED=Y","Sort=A","Dates=H","DateFormat=P","Fill=—","Direction=H","UseDPDF=Y")</f>
        <v>#NAME?</v>
      </c>
      <c r="CL115" s="2" t="e">
        <f ca="1">_xll.BDH($C$103,"TOT_DEBT_TO_TOT_CAP","FQ2 2016","FQ2 2016","Currency=INR","Period=FQ","BEST_FPERIOD_OVERRIDE=FQ","FILING_STATUS=OR","EQY_CONSOLIDATED=Y","Sort=A","Dates=H","DateFormat=P","Fill=—","Direction=H","UseDPDF=Y")</f>
        <v>#NAME?</v>
      </c>
      <c r="CM115" s="2" t="e">
        <f ca="1">_xll.BDH($C$103,"TOT_DEBT_TO_TOT_ASSET","FQ2 2016","FQ2 2016","Currency=INR","Period=FQ","BEST_FPERIOD_OVERRIDE=FQ","FILING_STATUS=OR","EQY_CONSOLIDATED=Y","Sort=A","Dates=H","DateFormat=P","Fill=—","Direction=H","UseDPDF=Y")</f>
        <v>#NAME?</v>
      </c>
      <c r="CN115" s="2" t="e">
        <f ca="1">_xll.BDH($C$103,"NET_DEBT_TO_SHRHLDR_EQTY","FQ2 2016","FQ2 2016","Currency=INR","Period=FQ","BEST_FPERIOD_OVERRIDE=FQ","FILING_STATUS=OR","EQY_CONSOLIDATED=Y","Sort=A","Dates=H","DateFormat=P","Fill=—","Direction=H","UseDPDF=Y")</f>
        <v>#NAME?</v>
      </c>
      <c r="CO115" s="2" t="e">
        <f ca="1">_xll.BDH($C$103,"NET_DEBT_%_CAPITAL","FQ2 2016","FQ2 2016","Currency=INR","Period=FQ","BEST_FPERIOD_OVERRIDE=FQ","FILING_STATUS=OR","EQY_CONSOLIDATED=Y","Sort=A","Dates=H","DateFormat=P","Fill=—","Direction=H","UseDPDF=Y")</f>
        <v>#NAME?</v>
      </c>
      <c r="CP115" s="3" t="e">
        <f ca="1">_xll.BDH($C$103,"EBITDA","FQ2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15" s="3" t="e">
        <f ca="1">_xll.BDH($C$103,"EBITDA_AFTER_CAPEX","FQ2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15" s="3" t="e">
        <f ca="1">_xll.BDH($C$103,"IS_OPER_INC","FQ2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15" s="2" t="e">
        <f ca="1">_xll.BDH($C$103,"CASH_RATIO","FQ2 2016","FQ2 2016","Currency=INR","Period=FQ","BEST_FPERIOD_OVERRIDE=FQ","FILING_STATUS=OR","EQY_CONSOLIDATED=Y","Sort=A","Dates=H","DateFormat=P","Fill=—","Direction=H","UseDPDF=Y")</f>
        <v>#NAME?</v>
      </c>
      <c r="CT115" s="2" t="e">
        <f ca="1">_xll.BDH($C$103,"CUR_RATIO","FQ2 2016","FQ2 2016","Currency=INR","Period=FQ","BEST_FPERIOD_OVERRIDE=FQ","FILING_STATUS=OR","EQY_CONSOLIDATED=Y","Sort=A","Dates=H","DateFormat=P","Fill=—","Direction=H","UseDPDF=Y")</f>
        <v>#NAME?</v>
      </c>
      <c r="CU115" s="2" t="e">
        <f ca="1">_xll.BDH($C$103,"QUICK_RATIO","FQ2 2016","FQ2 2016","Currency=INR","Period=FQ","BEST_FPERIOD_OVERRIDE=FQ","FILING_STATUS=OR","EQY_CONSOLIDATED=Y","Sort=A","Dates=H","DateFormat=P","Fill=—","Direction=H","UseDPDF=Y")</f>
        <v>#NAME?</v>
      </c>
      <c r="CV115" s="2" t="e">
        <f ca="1">_xll.BDH($C$103,"ALTMAN_Z_SCORE","FQ2 2016","FQ2 2016","Currency=INR","Period=FQ","BEST_FPERIOD_OVERRIDE=FQ","FILING_STATUS=OR","EQY_CONSOLIDATED=Y","Sort=A","Dates=H","DateFormat=P","Fill=—","Direction=H","UseDPDF=Y")</f>
        <v>#NAME?</v>
      </c>
      <c r="CW115" s="4" t="e">
        <f ca="1">_xll.BDH($C$103,"ACCT_RCV_TURN","FQ2 2016","FQ2 2016","Currency=INR","Period=FQ","BEST_FPERIOD_OVERRIDE=FQ","FILING_STATUS=OR","EQY_CONSOLIDATED=Y","FA_ADJUSTED=GAAP","Sort=A","Dates=H","DateFormat=P","Fill=—","Direction=H","UseDPDF=Y")</f>
        <v>#NAME?</v>
      </c>
      <c r="CX115" s="2" t="e">
        <f ca="1">_xll.BDH($C$103,"ACCT_RCV_DAYS","FQ2 2016","FQ2 2016","Currency=INR","Period=FQ","BEST_FPERIOD_OVERRIDE=FQ","FILING_STATUS=OR","EQY_CONSOLIDATED=Y","FA_ADJUSTED=GAAP","Sort=A","Dates=H","DateFormat=P","Fill=—","Direction=H","UseDPDF=Y")</f>
        <v>#NAME?</v>
      </c>
      <c r="CY115" s="4" t="e">
        <f ca="1">_xll.BDH($C$103,"INVENT_TURN","FQ2 2016","FQ2 2016","Currency=INR","Period=FQ","BEST_FPERIOD_OVERRIDE=FQ","FILING_STATUS=OR","EQY_CONSOLIDATED=Y","FA_ADJUSTED=GAAP","Sort=A","Dates=H","DateFormat=P","Fill=—","Direction=H","UseDPDF=Y")</f>
        <v>#NAME?</v>
      </c>
      <c r="CZ115" s="2" t="e">
        <f ca="1">_xll.BDH($C$103,"INVENT_DAYS","FQ2 2016","FQ2 2016","Currency=INR","Period=FQ","BEST_FPERIOD_OVERRIDE=FQ","FILING_STATUS=OR","EQY_CONSOLIDATED=Y","FA_ADJUSTED=GAAP","Sort=A","Dates=H","DateFormat=P","Fill=—","Direction=H","UseDPDF=Y")</f>
        <v>#NAME?</v>
      </c>
      <c r="DA115" s="4" t="e">
        <f ca="1">_xll.BDH($C$103,"ACCOUNTS_PAYABLE_TURNOVER","FQ2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15" s="2" t="e">
        <f ca="1">_xll.BDH($C$103,"ACCOUNTS_PAYABLE_TURNOVER_DAYS","FQ2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15" s="4" t="e">
        <f ca="1">_xll.BDH($C$103,"CASH_CONVERSION_CYCLE","FQ2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15" s="4" t="e">
        <f ca="1">_xll.BDH($C$103,"INV_TO_CASH_DAYS","FQ2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15" s="5" t="e">
        <f ca="1">_xll.BDH($C$103,"BS_INVENTORIES","FQ2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15" s="3" t="e">
        <f ca="1">_xll.BDH($C$103,"INVTRY_RAW_MATERIALS","FQ2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15" s="3" t="e">
        <f ca="1">_xll.BDH($C$103,"INVTRY_IN_PROGRESS","FQ2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15" s="3" t="e">
        <f ca="1">_xll.BDH($C$103,"INVTRY_FINISHED_GOODS","FQ2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15" s="3" t="e">
        <f ca="1">_xll.BDH($C$103,"BS_OTHER_INV","FQ2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16" spans="1:113" x14ac:dyDescent="0.3">
      <c r="A116" s="6"/>
      <c r="B116" s="6"/>
      <c r="C116" s="6"/>
      <c r="D116" s="6"/>
      <c r="E116" t="s">
        <v>80</v>
      </c>
      <c r="F116" t="e">
        <f ca="1">_xll.BDH($C$103,"RETURN_COM_EQY","FQ3 2016","FQ3 2016","Currency=INR","Period=FQ","BEST_FPERIOD_OVERRIDE=FQ","FILING_STATUS=OR","EQY_CONSOLIDATED=Y","FA_ADJUSTED=GAAP","Sort=A","Dates=H","DateFormat=P","Fill=—","Direction=H","UseDPDF=Y")</f>
        <v>#NAME?</v>
      </c>
      <c r="G116" t="e">
        <f ca="1">_xll.BDH($C$103,"RETURN_ON_ASSET","FQ3 2016","FQ3 2016","Currency=INR","Period=FQ","BEST_FPERIOD_OVERRIDE=FQ","FILING_STATUS=OR","EQY_CONSOLIDATED=Y","FA_ADJUSTED=GAAP","Sort=A","Dates=H","DateFormat=P","Fill=—","Direction=H","UseDPDF=Y")</f>
        <v>#NAME?</v>
      </c>
      <c r="H116" t="e">
        <f ca="1">_xll.BDH($C$103,"RETURN_ON_CAP","FQ3 2016","FQ3 2016","Currency=INR","Period=FQ","BEST_FPERIOD_OVERRIDE=FQ","FILING_STATUS=OR","EQY_CONSOLIDATED=Y","FA_ADJUSTED=GAAP","Sort=A","Dates=H","DateFormat=P","Fill=—","Direction=H","UseDPDF=Y")</f>
        <v>#NAME?</v>
      </c>
      <c r="I116" t="e">
        <f ca="1">_xll.BDH($C$103,"RETURN_ON_INV_CAPITAL","FQ3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16" t="e">
        <f ca="1">_xll.BDH($C$103,"EBITDA_TO_REVENUE","FQ3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16" t="e">
        <f ca="1">_xll.BDH($C$103,"OPER_MARGIN","FQ3 2016","FQ3 2016","Currency=INR","Period=FQ","BEST_FPERIOD_OVERRIDE=FQ","FILING_STATUS=OR","EQY_CONSOLIDATED=Y","FA_ADJUSTED=GAAP","Sort=A","Dates=H","DateFormat=P","Fill=—","Direction=H","UseDPDF=Y")</f>
        <v>#NAME?</v>
      </c>
      <c r="L116" t="e">
        <f ca="1">_xll.BDH($C$103,"INCREMENTAL_OPERATING_MARGIN","FQ3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16" t="e">
        <f ca="1">_xll.BDH($C$103,"PRETAX_INC_TO_NET_SALES","FQ3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16" t="e">
        <f ca="1">_xll.BDH($C$103,"INC_BEF_XO_ITEMS_TO_NET_SALES","FQ3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16" t="e">
        <f ca="1">_xll.BDH($C$103,"PROF_MARGIN","FQ3 2016","FQ3 2016","Currency=INR","Period=FQ","BEST_FPERIOD_OVERRIDE=FQ","FILING_STATUS=OR","EQY_CONSOLIDATED=Y","FA_ADJUSTED=GAAP","Sort=A","Dates=H","DateFormat=P","Fill=—","Direction=H","UseDPDF=Y")</f>
        <v>#NAME?</v>
      </c>
      <c r="P116" t="e">
        <f ca="1">_xll.BDH($C$103,"NET_INCOME_TO_COMMON_MARGIN","FQ3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16" t="e">
        <f ca="1">_xll.BDH($C$103,"EFF_TAX_RATE","FQ3 2016","FQ3 2016","Currency=INR","Period=FQ","BEST_FPERIOD_OVERRIDE=FQ","FILING_STATUS=OR","EQY_CONSOLIDATED=Y","FA_ADJUSTED=GAAP","Sort=A","Dates=H","DateFormat=P","Fill=—","Direction=H","UseDPDF=Y")</f>
        <v>#NAME?</v>
      </c>
      <c r="R116" t="e">
        <f ca="1">_xll.BDH($C$103,"DVD_PAYOUT_RATIO","FQ3 2016","FQ3 2016","Currency=INR","Period=FQ","BEST_FPERIOD_OVERRIDE=FQ","FILING_STATUS=OR","EQY_CONSOLIDATED=Y","FA_ADJUSTED=GAAP","Sort=A","Dates=H","DateFormat=P","Fill=—","Direction=H","UseDPDF=Y")</f>
        <v>#NAME?</v>
      </c>
      <c r="S116" t="e">
        <f ca="1">_xll.BDH($C$103,"SUSTAIN_GROWTH_RT","FQ3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16" s="2" t="e">
        <f ca="1">_xll.BDH($C$103,"SALES_GROWTH","FQ3 2016","FQ3 2016","Currency=INR","Period=FQ","BEST_FPERIOD_OVERRIDE=FQ","FILING_STATUS=OR","EQY_CONSOLIDATED=Y","FA_ADJUSTED=GAAP","Sort=A","Dates=H","DateFormat=P","Fill=—","Direction=H","UseDPDF=Y")</f>
        <v>#NAME?</v>
      </c>
      <c r="U116" s="2" t="e">
        <f ca="1">_xll.BDH($C$103,"EBITDA_GROWTH","FQ3 2016","FQ3 2016","Currency=INR","Period=FQ","BEST_FPERIOD_OVERRIDE=FQ","FILING_STATUS=OR","EQY_CONSOLIDATED=Y","FA_ADJUSTED=GAAP","Sort=A","Dates=H","DateFormat=P","Fill=—","Direction=H","UseDPDF=Y")</f>
        <v>#NAME?</v>
      </c>
      <c r="V116" s="2" t="e">
        <f ca="1">_xll.BDH($C$103,"OPER_INC_GROWTH","FQ3 2016","FQ3 2016","Currency=INR","Period=FQ","BEST_FPERIOD_OVERRIDE=FQ","FILING_STATUS=OR","EQY_CONSOLIDATED=Y","FA_ADJUSTED=GAAP","Sort=A","Dates=H","DateFormat=P","Fill=—","Direction=H","UseDPDF=Y")</f>
        <v>#NAME?</v>
      </c>
      <c r="W116" s="2" t="e">
        <f ca="1">_xll.BDH($C$103,"EARN_FOR_COM_GROWTH","FQ3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16" s="2" t="e">
        <f ca="1">_xll.BDH($C$103,"DILUTED_EPS_AFT_XO_ITEMS_GROWTH","FQ3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16" s="2" t="e">
        <f ca="1">_xll.BDH($C$103,"DIVIDEND_PER_SHARE_1_YEAR_GROWTH","FQ3 2016","FQ3 2016","Currency=INR","Period=FQ","BEST_FPERIOD_OVERRIDE=FQ","FILING_STATUS=OR","EQY_CONSOLIDATED=Y","Sort=A","Dates=H","DateFormat=P","Fill=—","Direction=H","UseDPDF=Y")</f>
        <v>#NAME?</v>
      </c>
      <c r="Z116" s="2" t="e">
        <f ca="1">_xll.BDH($C$103,"ACCOUNTS_RECEIVABLE_GROWTH","FQ3 2016","FQ3 2016","Currency=INR","Period=FQ","BEST_FPERIOD_OVERRIDE=FQ","FILING_STATUS=OR","EQY_CONSOLIDATED=Y","Sort=A","Dates=H","DateFormat=P","Fill=—","Direction=H","UseDPDF=Y")</f>
        <v>#NAME?</v>
      </c>
      <c r="AA116" s="2" t="e">
        <f ca="1">_xll.BDH($C$103,"INVENTORY_GROWTH","FQ3 2016","FQ3 2016","Currency=INR","Period=FQ","BEST_FPERIOD_OVERRIDE=FQ","FILING_STATUS=OR","EQY_CONSOLIDATED=Y","Sort=A","Dates=H","DateFormat=P","Fill=—","Direction=H","UseDPDF=Y")</f>
        <v>#NAME?</v>
      </c>
      <c r="AB116" s="2" t="e">
        <f ca="1">_xll.BDH($C$103,"NET_FIXED_ASSETS_1_YEAR_GROWTH","FQ3 2016","FQ3 2016","Currency=INR","Period=FQ","BEST_FPERIOD_OVERRIDE=FQ","FILING_STATUS=OR","EQY_CONSOLIDATED=Y","Sort=A","Dates=H","DateFormat=P","Fill=—","Direction=H","UseDPDF=Y")</f>
        <v>#NAME?</v>
      </c>
      <c r="AC116" s="2" t="e">
        <f ca="1">_xll.BDH($C$103,"ASSET_GROWTH","FQ3 2016","FQ3 2016","Currency=INR","Period=FQ","BEST_FPERIOD_OVERRIDE=FQ","FILING_STATUS=OR","EQY_CONSOLIDATED=Y","Sort=A","Dates=H","DateFormat=P","Fill=—","Direction=H","UseDPDF=Y")</f>
        <v>#NAME?</v>
      </c>
      <c r="AD116" s="2" t="e">
        <f ca="1">_xll.BDH($C$103,"MODIFIED_WORK_CAP_GROWTH","FQ3 2016","FQ3 2016","Currency=INR","Period=FQ","BEST_FPERIOD_OVERRIDE=FQ","FILING_STATUS=OR","EQY_CONSOLIDATED=Y","Sort=A","Dates=H","DateFormat=P","Fill=—","Direction=H","UseDPDF=Y")</f>
        <v>#NAME?</v>
      </c>
      <c r="AE116" s="2" t="e">
        <f ca="1">_xll.BDH($C$103,"WORK_CAP_GROWTH","FQ3 2016","FQ3 2016","Currency=INR","Period=FQ","BEST_FPERIOD_OVERRIDE=FQ","FILING_STATUS=OR","EQY_CONSOLIDATED=Y","Sort=A","Dates=H","DateFormat=P","Fill=—","Direction=H","UseDPDF=Y")</f>
        <v>#NAME?</v>
      </c>
      <c r="AF116" s="2" t="e">
        <f ca="1">_xll.BDH($C$103,"ACCOUNTS_PAYABLE_GROWTH_1YR","FQ3 2016","FQ3 2016","Currency=INR","Period=FQ","BEST_FPERIOD_OVERRIDE=FQ","FILING_STATUS=OR","EQY_CONSOLIDATED=Y","Sort=A","Dates=H","DateFormat=P","Fill=—","Direction=H","UseDPDF=Y")</f>
        <v>#NAME?</v>
      </c>
      <c r="AG116" s="2" t="e">
        <f ca="1">_xll.BDH($C$103,"SHORT_TERM_DEBT_1_YEAR_GROWTH","FQ3 2016","FQ3 2016","Currency=INR","Period=FQ","BEST_FPERIOD_OVERRIDE=FQ","FILING_STATUS=OR","EQY_CONSOLIDATED=Y","Sort=A","Dates=H","DateFormat=P","Fill=—","Direction=H","UseDPDF=Y")</f>
        <v>#NAME?</v>
      </c>
      <c r="AH116" s="2" t="e">
        <f ca="1">_xll.BDH($C$103,"TOTAL_DEBT_1_YEAR_GROWTH","FQ3 2016","FQ3 2016","Currency=INR","Period=FQ","BEST_FPERIOD_OVERRIDE=FQ","FILING_STATUS=OR","EQY_CONSOLIDATED=Y","Sort=A","Dates=H","DateFormat=P","Fill=—","Direction=H","UseDPDF=Y")</f>
        <v>#NAME?</v>
      </c>
      <c r="AI116" s="2" t="e">
        <f ca="1">_xll.BDH($C$103,"TOTAL_EQUITY_1_YEAR_GROWTH","FQ3 2016","FQ3 2016","Currency=INR","Period=FQ","BEST_FPERIOD_OVERRIDE=FQ","FILING_STATUS=OR","EQY_CONSOLIDATED=Y","Sort=A","Dates=H","DateFormat=P","Fill=—","Direction=H","UseDPDF=Y")</f>
        <v>#NAME?</v>
      </c>
      <c r="AJ116" s="2" t="e">
        <f ca="1">_xll.BDH($C$103,"GROWTH_IN_CAP","FQ3 2016","FQ3 2016","Currency=INR","Period=FQ","BEST_FPERIOD_OVERRIDE=FQ","FILING_STATUS=OR","EQY_CONSOLIDATED=Y","Sort=A","Dates=H","DateFormat=P","Fill=—","Direction=H","UseDPDF=Y")</f>
        <v>#NAME?</v>
      </c>
      <c r="AK116" s="2" t="e">
        <f ca="1">_xll.BDH($C$103,"BVPS_GROWTH","FQ3 2016","FQ3 2016","Currency=INR","Period=FQ","BEST_FPERIOD_OVERRIDE=FQ","FILING_STATUS=OR","EQY_CONSOLIDATED=Y","Sort=A","Dates=H","DateFormat=P","Fill=—","Direction=H","UseDPDF=Y")</f>
        <v>#NAME?</v>
      </c>
      <c r="AL116" s="2" t="e">
        <f ca="1">_xll.BDH($C$103,"CASH_FLOW_GROWTH","FQ3 2016","FQ3 2016","Currency=INR","Period=FQ","BEST_FPERIOD_OVERRIDE=FQ","FILING_STATUS=OR","EQY_CONSOLIDATED=Y","Sort=A","Dates=H","DateFormat=P","Fill=—","Direction=H","UseDPDF=Y")</f>
        <v>#NAME?</v>
      </c>
      <c r="AM116" s="2" t="e">
        <f ca="1">_xll.BDH($C$103,"GEO_GROW_NET_SALES","FQ3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16" s="2" t="e">
        <f ca="1">_xll.BDH($C$103,"GEO_GROW_EBITDA","FQ3 2016","FQ3 2016","Currency=INR","Period=FQ","BEST_FPERIOD_OVERRIDE=FQ","FILING_STATUS=OR","EQY_CONSOLIDATED=Y","FA_ADJUSTED=GAAP","Sort=A","Dates=H","DateFormat=P","Fill=—","Direction=H","UseDPDF=Y")</f>
        <v>#NAME?</v>
      </c>
      <c r="AO116" s="2" t="e">
        <f ca="1">_xll.BDH($C$103,"GEO_GROW_OPER_INC","FQ3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16" s="2" t="e">
        <f ca="1">_xll.BDH($C$103,"NET_INCOME_TO_COMMON_5_YR_GROWTH","FQ3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16" s="2" t="e">
        <f ca="1">_xll.BDH($C$103,"5Y_GEO_GROWTH_DILUTED_EPS","FQ3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16" s="2" t="e">
        <f ca="1">_xll.BDH($C$103,"GEO_GROW_DVD_PER_SH","FQ3 2016","FQ3 2016","Currency=INR","Period=FQ","BEST_FPERIOD_OVERRIDE=FQ","FILING_STATUS=OR","EQY_CONSOLIDATED=Y","Sort=A","Dates=H","DateFormat=P","Fill=—","Direction=H","UseDPDF=Y")</f>
        <v>#NAME?</v>
      </c>
      <c r="AS116" s="2" t="e">
        <f ca="1">_xll.BDH($C$103,"ACCOUNTS_RECEIVABLE_5_YR_GROWTH","FQ3 2016","FQ3 2016","Currency=INR","Period=FQ","BEST_FPERIOD_OVERRIDE=FQ","FILING_STATUS=OR","EQY_CONSOLIDATED=Y","Sort=A","Dates=H","DateFormat=P","Fill=—","Direction=H","UseDPDF=Y")</f>
        <v>#NAME?</v>
      </c>
      <c r="AT116" s="2" t="e">
        <f ca="1">_xll.BDH($C$103,"INVENTORY_5_YEAR_GROWTH","FQ3 2016","FQ3 2016","Currency=INR","Period=FQ","BEST_FPERIOD_OVERRIDE=FQ","FILING_STATUS=OR","EQY_CONSOLIDATED=Y","Sort=A","Dates=H","DateFormat=P","Fill=—","Direction=H","UseDPDF=Y")</f>
        <v>#NAME?</v>
      </c>
      <c r="AU116" s="2" t="e">
        <f ca="1">_xll.BDH($C$103,"NET_FIXED_ASSETS_5_YEAR_GROWTH","FQ3 2016","FQ3 2016","Currency=INR","Period=FQ","BEST_FPERIOD_OVERRIDE=FQ","FILING_STATUS=OR","EQY_CONSOLIDATED=Y","Sort=A","Dates=H","DateFormat=P","Fill=—","Direction=H","UseDPDF=Y")</f>
        <v>#NAME?</v>
      </c>
      <c r="AV116" s="2" t="e">
        <f ca="1">_xll.BDH($C$103,"GEO_GROW_TOT_ASSET","FQ3 2016","FQ3 2016","Currency=INR","Period=FQ","BEST_FPERIOD_OVERRIDE=FQ","FILING_STATUS=OR","EQY_CONSOLIDATED=Y","Sort=A","Dates=H","DateFormat=P","Fill=—","Direction=H","UseDPDF=Y")</f>
        <v>#NAME?</v>
      </c>
      <c r="AW116" s="2" t="e">
        <f ca="1">_xll.BDH($C$103,"MODIFIED_WORKING_CPTL_5YR_GRWTH","FQ3 2016","FQ3 2016","Currency=INR","Period=FQ","BEST_FPERIOD_OVERRIDE=FQ","FILING_STATUS=OR","EQY_CONSOLIDATED=Y","Sort=A","Dates=H","DateFormat=P","Fill=—","Direction=H","UseDPDF=Y")</f>
        <v>#NAME?</v>
      </c>
      <c r="AX116" s="2" t="e">
        <f ca="1">_xll.BDH($C$103,"WORKING_CAPITAL_5_YEAR_GROWTH","FQ3 2016","FQ3 2016","Currency=INR","Period=FQ","BEST_FPERIOD_OVERRIDE=FQ","FILING_STATUS=OR","EQY_CONSOLIDATED=Y","Sort=A","Dates=H","DateFormat=P","Fill=—","Direction=H","UseDPDF=Y")</f>
        <v>#NAME?</v>
      </c>
      <c r="AY116" s="2" t="e">
        <f ca="1">_xll.BDH($C$103,"ACCOUNTS_PAYABLE_5_YEAR_GROWTH","FQ3 2016","FQ3 2016","Currency=INR","Period=FQ","BEST_FPERIOD_OVERRIDE=FQ","FILING_STATUS=OR","EQY_CONSOLIDATED=Y","Sort=A","Dates=H","DateFormat=P","Fill=—","Direction=H","UseDPDF=Y")</f>
        <v>#NAME?</v>
      </c>
      <c r="AZ116" s="2" t="e">
        <f ca="1">_xll.BDH($C$103,"SHORT_TERM_DEBT_5_YEAR_GROWTH","FQ3 2016","FQ3 2016","Currency=INR","Period=FQ","BEST_FPERIOD_OVERRIDE=FQ","FILING_STATUS=OR","EQY_CONSOLIDATED=Y","Sort=A","Dates=H","DateFormat=P","Fill=—","Direction=H","UseDPDF=Y")</f>
        <v>#NAME?</v>
      </c>
      <c r="BA116" s="2" t="e">
        <f ca="1">_xll.BDH($C$103,"TOTAL_DEBT_5_YEAR_GROWTH","FQ3 2016","FQ3 2016","Currency=INR","Period=FQ","BEST_FPERIOD_OVERRIDE=FQ","FILING_STATUS=OR","EQY_CONSOLIDATED=Y","Sort=A","Dates=H","DateFormat=P","Fill=—","Direction=H","UseDPDF=Y")</f>
        <v>#NAME?</v>
      </c>
      <c r="BB116" s="2" t="e">
        <f ca="1">_xll.BDH($C$103,"GEO_GROW_TOT_SHRHLDR_EQY","FQ3 2016","FQ3 2016","Currency=INR","Period=FQ","BEST_FPERIOD_OVERRIDE=FQ","FILING_STATUS=OR","EQY_CONSOLIDATED=Y","Sort=A","Dates=H","DateFormat=P","Fill=—","Direction=H","UseDPDF=Y")</f>
        <v>#NAME?</v>
      </c>
      <c r="BC116" s="2" t="e">
        <f ca="1">_xll.BDH($C$103,"TOTAL_CAPITAL_5_YEAR_GROWTH","FQ3 2016","FQ3 2016","Currency=INR","Period=FQ","BEST_FPERIOD_OVERRIDE=FQ","FILING_STATUS=OR","EQY_CONSOLIDATED=Y","Sort=A","Dates=H","DateFormat=P","Fill=—","Direction=H","UseDPDF=Y")</f>
        <v>#NAME?</v>
      </c>
      <c r="BD116" s="2" t="e">
        <f ca="1">_xll.BDH($C$103,"GEO_GROW_BOOK_VAL","FQ3 2016","FQ3 2016","Currency=INR","Period=FQ","BEST_FPERIOD_OVERRIDE=FQ","FILING_STATUS=OR","EQY_CONSOLIDATED=Y","Sort=A","Dates=H","DateFormat=P","Fill=—","Direction=H","UseDPDF=Y")</f>
        <v>#NAME?</v>
      </c>
      <c r="BE116" s="2" t="e">
        <f ca="1">_xll.BDH($C$103,"GEO_GROW_CASH_OPER_ACT","FQ3 2016","FQ3 2016","Currency=INR","Period=FQ","BEST_FPERIOD_OVERRIDE=FQ","FILING_STATUS=OR","EQY_CONSOLIDATED=Y","Sort=A","Dates=H","DateFormat=P","Fill=—","Direction=H","UseDPDF=Y")</f>
        <v>#NAME?</v>
      </c>
      <c r="BF116" s="2" t="e">
        <f ca="1">_xll.BDH($C$103,"REVENUE_SEQUENTIAL_GROWTH","FQ3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16" s="2" t="e">
        <f ca="1">_xll.BDH($C$103,"EBITDA_SEQUENTIAL_GROWTH","FQ3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16" s="2" t="e">
        <f ca="1">_xll.BDH($C$103,"OPERATING_INCOME_SEQ_GROWTH","FQ3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16" s="2" t="e">
        <f ca="1">_xll.BDH($C$103,"NET_INCOME_TO_COMMON_SEQ_GROWTH","FQ3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16" s="2" t="e">
        <f ca="1">_xll.BDH($C$103,"EPS_DILUTED_SEQUENTIAL_GROWTH","FQ3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16" s="2" t="e">
        <f ca="1">_xll.BDH($C$103,"DPS_SEQUENTIAL_GROWTH","FQ3 2016","FQ3 2016","Currency=INR","Period=FQ","BEST_FPERIOD_OVERRIDE=FQ","FILING_STATUS=OR","EQY_CONSOLIDATED=Y","Sort=A","Dates=H","DateFormat=P","Fill=—","Direction=H","UseDPDF=Y")</f>
        <v>#NAME?</v>
      </c>
      <c r="BL116" s="2" t="e">
        <f ca="1">_xll.BDH($C$103,"ACCOUNTS_RECEIVABLE_SEQ_GROWTH","FQ3 2016","FQ3 2016","Currency=INR","Period=FQ","BEST_FPERIOD_OVERRIDE=FQ","FILING_STATUS=OR","EQY_CONSOLIDATED=Y","Sort=A","Dates=H","DateFormat=P","Fill=—","Direction=H","UseDPDF=Y")</f>
        <v>#NAME?</v>
      </c>
      <c r="BM116" s="2" t="e">
        <f ca="1">_xll.BDH($C$103,"INVENTORY_SEQUENTIAL_GROWTH","FQ3 2016","FQ3 2016","Currency=INR","Period=FQ","BEST_FPERIOD_OVERRIDE=FQ","FILING_STATUS=OR","EQY_CONSOLIDATED=Y","Sort=A","Dates=H","DateFormat=P","Fill=—","Direction=H","UseDPDF=Y")</f>
        <v>#NAME?</v>
      </c>
      <c r="BN116" s="2" t="e">
        <f ca="1">_xll.BDH($C$103,"FIXED_ASSETS_SEQUENTIAL_GROWTH","FQ3 2016","FQ3 2016","Currency=INR","Period=FQ","BEST_FPERIOD_OVERRIDE=FQ","FILING_STATUS=OR","EQY_CONSOLIDATED=Y","Sort=A","Dates=H","DateFormat=P","Fill=—","Direction=H","UseDPDF=Y")</f>
        <v>#NAME?</v>
      </c>
      <c r="BO116" s="2" t="e">
        <f ca="1">_xll.BDH($C$103,"TOTAL_ASSETS_SEQUENTIAL_GROWTH","FQ3 2016","FQ3 2016","Currency=INR","Period=FQ","BEST_FPERIOD_OVERRIDE=FQ","FILING_STATUS=OR","EQY_CONSOLIDATED=Y","Sort=A","Dates=H","DateFormat=P","Fill=—","Direction=H","UseDPDF=Y")</f>
        <v>#NAME?</v>
      </c>
      <c r="BP116" s="2" t="e">
        <f ca="1">_xll.BDH($C$103,"MODIFIED_WORKING_CPTL_SEQ_GRWTH","FQ3 2016","FQ3 2016","Currency=INR","Period=FQ","BEST_FPERIOD_OVERRIDE=FQ","FILING_STATUS=OR","EQY_CONSOLIDATED=Y","Sort=A","Dates=H","DateFormat=P","Fill=—","Direction=H","UseDPDF=Y")</f>
        <v>#NAME?</v>
      </c>
      <c r="BQ116" s="2" t="e">
        <f ca="1">_xll.BDH($C$103,"WORKING_CAPITAL_SEQ_GROWTH","FQ3 2016","FQ3 2016","Currency=INR","Period=FQ","BEST_FPERIOD_OVERRIDE=FQ","FILING_STATUS=OR","EQY_CONSOLIDATED=Y","Sort=A","Dates=H","DateFormat=P","Fill=—","Direction=H","UseDPDF=Y")</f>
        <v>#NAME?</v>
      </c>
      <c r="BR116" s="2" t="e">
        <f ca="1">_xll.BDH($C$103,"ACCOUNTS_PAYABLE_SEQ_GROWTH","FQ3 2016","FQ3 2016","Currency=INR","Period=FQ","BEST_FPERIOD_OVERRIDE=FQ","FILING_STATUS=OR","EQY_CONSOLIDATED=Y","Sort=A","Dates=H","DateFormat=P","Fill=—","Direction=H","UseDPDF=Y")</f>
        <v>#NAME?</v>
      </c>
      <c r="BS116" s="2" t="e">
        <f ca="1">_xll.BDH($C$103,"ST_DEBT_SEQUENTIAL_GROWTH","FQ3 2016","FQ3 2016","Currency=INR","Period=FQ","BEST_FPERIOD_OVERRIDE=FQ","FILING_STATUS=OR","EQY_CONSOLIDATED=Y","Sort=A","Dates=H","DateFormat=P","Fill=—","Direction=H","UseDPDF=Y")</f>
        <v>#NAME?</v>
      </c>
      <c r="BT116" s="2" t="e">
        <f ca="1">_xll.BDH($C$103,"TOTAL_DEBT_SEQUENTIAL_GROWTH","FQ3 2016","FQ3 2016","Currency=INR","Period=FQ","BEST_FPERIOD_OVERRIDE=FQ","FILING_STATUS=OR","EQY_CONSOLIDATED=Y","Sort=A","Dates=H","DateFormat=P","Fill=—","Direction=H","UseDPDF=Y")</f>
        <v>#NAME?</v>
      </c>
      <c r="BU116" s="2" t="e">
        <f ca="1">_xll.BDH($C$103,"TOTAL_EQUITY_SEQUENTIAL_GROWTH","FQ3 2016","FQ3 2016","Currency=INR","Period=FQ","BEST_FPERIOD_OVERRIDE=FQ","FILING_STATUS=OR","EQY_CONSOLIDATED=Y","Sort=A","Dates=H","DateFormat=P","Fill=—","Direction=H","UseDPDF=Y")</f>
        <v>#NAME?</v>
      </c>
      <c r="BV116" s="2" t="e">
        <f ca="1">_xll.BDH($C$103,"TOTAL_CAPITAL_SEQUENTIAL_GROWTH","FQ3 2016","FQ3 2016","Currency=INR","Period=FQ","BEST_FPERIOD_OVERRIDE=FQ","FILING_STATUS=OR","EQY_CONSOLIDATED=Y","Sort=A","Dates=H","DateFormat=P","Fill=—","Direction=H","UseDPDF=Y")</f>
        <v>#NAME?</v>
      </c>
      <c r="BW116" s="2" t="e">
        <f ca="1">_xll.BDH($C$103,"BPS_SEQUENTIAL_GROWTH","FQ3 2016","FQ3 2016","Currency=INR","Period=FQ","BEST_FPERIOD_OVERRIDE=FQ","FILING_STATUS=OR","EQY_CONSOLIDATED=Y","Sort=A","Dates=H","DateFormat=P","Fill=—","Direction=H","UseDPDF=Y")</f>
        <v>#NAME?</v>
      </c>
      <c r="BX116" s="2" t="e">
        <f ca="1">_xll.BDH($C$103,"CFO_SEQUENTIAL_GROWTH","FQ3 2016","FQ3 2016","Currency=INR","Period=FQ","BEST_FPERIOD_OVERRIDE=FQ","FILING_STATUS=OR","EQY_CONSOLIDATED=Y","Sort=A","Dates=H","DateFormat=P","Fill=—","Direction=H","UseDPDF=Y")</f>
        <v>#NAME?</v>
      </c>
      <c r="BY116" s="3" t="e">
        <f ca="1">_xll.BDH($C$103,"SHORT_AND_LONG_TERM_DEBT","FQ3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16" s="3" t="e">
        <f ca="1">_xll.BDH($C$103,"BS_ST_BORROW","FQ3 2016","FQ3 2016","Currency=INR","Period=FQ","BEST_FPERIOD_OVERRIDE=FQ","FILING_STATUS=OR","EQY_CONSOLIDATED=Y","SCALING_FORMAT=MLN","Sort=A","Dates=H","DateFormat=P","Fill=—","Direction=H","UseDPDF=Y")</f>
        <v>#NAME?</v>
      </c>
      <c r="CA116" s="3" t="e">
        <f ca="1">_xll.BDH($C$103,"BS_LT_BORROW","FQ3 2016","FQ3 2016","Currency=INR","Period=FQ","BEST_FPERIOD_OVERRIDE=FQ","FILING_STATUS=OR","EQY_CONSOLIDATED=Y","SCALING_FORMAT=MLN","Sort=A","Dates=H","DateFormat=P","Fill=—","Direction=H","UseDPDF=Y")</f>
        <v>#NAME?</v>
      </c>
      <c r="CB116" s="2" t="e">
        <f ca="1">_xll.BDH($C$103,"TOT_DEBT_TO_EBITDA","FQ3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16" s="2" t="e">
        <f ca="1">_xll.BDH($C$103,"NET_DEBT_TO_EBITDA","FQ3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16" s="2" t="e">
        <f ca="1">_xll.BDH($C$103,"TOTAL_DEBT_TO_EBIT","FQ3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16" s="2" t="e">
        <f ca="1">_xll.BDH($C$103,"NET_DEBT_TO_EBIT","FQ3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16" s="2" t="e">
        <f ca="1">_xll.BDH($C$103,"EBITDA_TO_INTEREST_EXPN","FQ3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16" s="2" t="e">
        <f ca="1">_xll.BDH($C$103,"COM_EQY_TO_TOT_ASSET","FQ3 2016","FQ3 2016","Currency=INR","Period=FQ","BEST_FPERIOD_OVERRIDE=FQ","FILING_STATUS=OR","EQY_CONSOLIDATED=Y","Sort=A","Dates=H","DateFormat=P","Fill=—","Direction=H","UseDPDF=Y")</f>
        <v>#NAME?</v>
      </c>
      <c r="CH116" s="2" t="e">
        <f ca="1">_xll.BDH($C$103,"LT_DEBT_TO_TOT_EQY","FQ3 2016","FQ3 2016","Currency=INR","Period=FQ","BEST_FPERIOD_OVERRIDE=FQ","FILING_STATUS=OR","EQY_CONSOLIDATED=Y","Sort=A","Dates=H","DateFormat=P","Fill=—","Direction=H","UseDPDF=Y")</f>
        <v>#NAME?</v>
      </c>
      <c r="CI116" s="2" t="e">
        <f ca="1">_xll.BDH($C$103,"LT_DEBT_TO_TOT_CAP","FQ3 2016","FQ3 2016","Currency=INR","Period=FQ","BEST_FPERIOD_OVERRIDE=FQ","FILING_STATUS=OR","EQY_CONSOLIDATED=Y","Sort=A","Dates=H","DateFormat=P","Fill=—","Direction=H","UseDPDF=Y")</f>
        <v>#NAME?</v>
      </c>
      <c r="CJ116" s="2" t="e">
        <f ca="1">_xll.BDH($C$103,"LT_DEBT_TO_TOT_ASSET","FQ3 2016","FQ3 2016","Currency=INR","Period=FQ","BEST_FPERIOD_OVERRIDE=FQ","FILING_STATUS=OR","EQY_CONSOLIDATED=Y","Sort=A","Dates=H","DateFormat=P","Fill=—","Direction=H","UseDPDF=Y")</f>
        <v>#NAME?</v>
      </c>
      <c r="CK116" s="2" t="e">
        <f ca="1">_xll.BDH($C$103,"TOT_DEBT_TO_TOT_EQY","FQ3 2016","FQ3 2016","Currency=INR","Period=FQ","BEST_FPERIOD_OVERRIDE=FQ","FILING_STATUS=OR","EQY_CONSOLIDATED=Y","Sort=A","Dates=H","DateFormat=P","Fill=—","Direction=H","UseDPDF=Y")</f>
        <v>#NAME?</v>
      </c>
      <c r="CL116" s="2" t="e">
        <f ca="1">_xll.BDH($C$103,"TOT_DEBT_TO_TOT_CAP","FQ3 2016","FQ3 2016","Currency=INR","Period=FQ","BEST_FPERIOD_OVERRIDE=FQ","FILING_STATUS=OR","EQY_CONSOLIDATED=Y","Sort=A","Dates=H","DateFormat=P","Fill=—","Direction=H","UseDPDF=Y")</f>
        <v>#NAME?</v>
      </c>
      <c r="CM116" s="2" t="e">
        <f ca="1">_xll.BDH($C$103,"TOT_DEBT_TO_TOT_ASSET","FQ3 2016","FQ3 2016","Currency=INR","Period=FQ","BEST_FPERIOD_OVERRIDE=FQ","FILING_STATUS=OR","EQY_CONSOLIDATED=Y","Sort=A","Dates=H","DateFormat=P","Fill=—","Direction=H","UseDPDF=Y")</f>
        <v>#NAME?</v>
      </c>
      <c r="CN116" s="2" t="e">
        <f ca="1">_xll.BDH($C$103,"NET_DEBT_TO_SHRHLDR_EQTY","FQ3 2016","FQ3 2016","Currency=INR","Period=FQ","BEST_FPERIOD_OVERRIDE=FQ","FILING_STATUS=OR","EQY_CONSOLIDATED=Y","Sort=A","Dates=H","DateFormat=P","Fill=—","Direction=H","UseDPDF=Y")</f>
        <v>#NAME?</v>
      </c>
      <c r="CO116" s="2" t="e">
        <f ca="1">_xll.BDH($C$103,"NET_DEBT_%_CAPITAL","FQ3 2016","FQ3 2016","Currency=INR","Period=FQ","BEST_FPERIOD_OVERRIDE=FQ","FILING_STATUS=OR","EQY_CONSOLIDATED=Y","Sort=A","Dates=H","DateFormat=P","Fill=—","Direction=H","UseDPDF=Y")</f>
        <v>#NAME?</v>
      </c>
      <c r="CP116" s="3" t="e">
        <f ca="1">_xll.BDH($C$103,"EBITDA","FQ3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16" s="3" t="e">
        <f ca="1">_xll.BDH($C$103,"EBITDA_AFTER_CAPEX","FQ3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16" s="3" t="e">
        <f ca="1">_xll.BDH($C$103,"IS_OPER_INC","FQ3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16" s="2" t="e">
        <f ca="1">_xll.BDH($C$103,"CASH_RATIO","FQ3 2016","FQ3 2016","Currency=INR","Period=FQ","BEST_FPERIOD_OVERRIDE=FQ","FILING_STATUS=OR","EQY_CONSOLIDATED=Y","Sort=A","Dates=H","DateFormat=P","Fill=—","Direction=H","UseDPDF=Y")</f>
        <v>#NAME?</v>
      </c>
      <c r="CT116" s="2" t="e">
        <f ca="1">_xll.BDH($C$103,"CUR_RATIO","FQ3 2016","FQ3 2016","Currency=INR","Period=FQ","BEST_FPERIOD_OVERRIDE=FQ","FILING_STATUS=OR","EQY_CONSOLIDATED=Y","Sort=A","Dates=H","DateFormat=P","Fill=—","Direction=H","UseDPDF=Y")</f>
        <v>#NAME?</v>
      </c>
      <c r="CU116" s="2" t="e">
        <f ca="1">_xll.BDH($C$103,"QUICK_RATIO","FQ3 2016","FQ3 2016","Currency=INR","Period=FQ","BEST_FPERIOD_OVERRIDE=FQ","FILING_STATUS=OR","EQY_CONSOLIDATED=Y","Sort=A","Dates=H","DateFormat=P","Fill=—","Direction=H","UseDPDF=Y")</f>
        <v>#NAME?</v>
      </c>
      <c r="CV116" s="2" t="e">
        <f ca="1">_xll.BDH($C$103,"ALTMAN_Z_SCORE","FQ3 2016","FQ3 2016","Currency=INR","Period=FQ","BEST_FPERIOD_OVERRIDE=FQ","FILING_STATUS=OR","EQY_CONSOLIDATED=Y","Sort=A","Dates=H","DateFormat=P","Fill=—","Direction=H","UseDPDF=Y")</f>
        <v>#NAME?</v>
      </c>
      <c r="CW116" s="4" t="e">
        <f ca="1">_xll.BDH($C$103,"ACCT_RCV_TURN","FQ3 2016","FQ3 2016","Currency=INR","Period=FQ","BEST_FPERIOD_OVERRIDE=FQ","FILING_STATUS=OR","EQY_CONSOLIDATED=Y","FA_ADJUSTED=GAAP","Sort=A","Dates=H","DateFormat=P","Fill=—","Direction=H","UseDPDF=Y")</f>
        <v>#NAME?</v>
      </c>
      <c r="CX116" s="2" t="e">
        <f ca="1">_xll.BDH($C$103,"ACCT_RCV_DAYS","FQ3 2016","FQ3 2016","Currency=INR","Period=FQ","BEST_FPERIOD_OVERRIDE=FQ","FILING_STATUS=OR","EQY_CONSOLIDATED=Y","FA_ADJUSTED=GAAP","Sort=A","Dates=H","DateFormat=P","Fill=—","Direction=H","UseDPDF=Y")</f>
        <v>#NAME?</v>
      </c>
      <c r="CY116" s="4" t="e">
        <f ca="1">_xll.BDH($C$103,"INVENT_TURN","FQ3 2016","FQ3 2016","Currency=INR","Period=FQ","BEST_FPERIOD_OVERRIDE=FQ","FILING_STATUS=OR","EQY_CONSOLIDATED=Y","FA_ADJUSTED=GAAP","Sort=A","Dates=H","DateFormat=P","Fill=—","Direction=H","UseDPDF=Y")</f>
        <v>#NAME?</v>
      </c>
      <c r="CZ116" s="2" t="e">
        <f ca="1">_xll.BDH($C$103,"INVENT_DAYS","FQ3 2016","FQ3 2016","Currency=INR","Period=FQ","BEST_FPERIOD_OVERRIDE=FQ","FILING_STATUS=OR","EQY_CONSOLIDATED=Y","FA_ADJUSTED=GAAP","Sort=A","Dates=H","DateFormat=P","Fill=—","Direction=H","UseDPDF=Y")</f>
        <v>#NAME?</v>
      </c>
      <c r="DA116" s="4" t="e">
        <f ca="1">_xll.BDH($C$103,"ACCOUNTS_PAYABLE_TURNOVER","FQ3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16" s="2" t="e">
        <f ca="1">_xll.BDH($C$103,"ACCOUNTS_PAYABLE_TURNOVER_DAYS","FQ3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16" s="4" t="e">
        <f ca="1">_xll.BDH($C$103,"CASH_CONVERSION_CYCLE","FQ3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16" s="4" t="e">
        <f ca="1">_xll.BDH($C$103,"INV_TO_CASH_DAYS","FQ3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16" s="5" t="e">
        <f ca="1">_xll.BDH($C$103,"BS_INVENTORIES","FQ3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16" s="3" t="e">
        <f ca="1">_xll.BDH($C$103,"INVTRY_RAW_MATERIALS","FQ3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16" s="3" t="e">
        <f ca="1">_xll.BDH($C$103,"INVTRY_IN_PROGRESS","FQ3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16" s="3" t="e">
        <f ca="1">_xll.BDH($C$103,"INVTRY_FINISHED_GOODS","FQ3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16" s="3" t="e">
        <f ca="1">_xll.BDH($C$103,"BS_OTHER_INV","FQ3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17" spans="1:113" x14ac:dyDescent="0.3">
      <c r="A117" s="6"/>
      <c r="B117" s="6"/>
      <c r="C117" s="6"/>
      <c r="D117" s="6"/>
      <c r="E117" t="s">
        <v>81</v>
      </c>
      <c r="F117" t="e">
        <f ca="1">_xll.BDH($C$103,"RETURN_COM_EQY","FQ4 2016","FQ4 2016","Currency=INR","Period=FQ","BEST_FPERIOD_OVERRIDE=FQ","FILING_STATUS=OR","EQY_CONSOLIDATED=Y","FA_ADJUSTED=GAAP","Sort=A","Dates=H","DateFormat=P","Fill=—","Direction=H","UseDPDF=Y")</f>
        <v>#NAME?</v>
      </c>
      <c r="G117" t="e">
        <f ca="1">_xll.BDH($C$103,"RETURN_ON_ASSET","FQ4 2016","FQ4 2016","Currency=INR","Period=FQ","BEST_FPERIOD_OVERRIDE=FQ","FILING_STATUS=OR","EQY_CONSOLIDATED=Y","FA_ADJUSTED=GAAP","Sort=A","Dates=H","DateFormat=P","Fill=—","Direction=H","UseDPDF=Y")</f>
        <v>#NAME?</v>
      </c>
      <c r="H117" t="e">
        <f ca="1">_xll.BDH($C$103,"RETURN_ON_CAP","FQ4 2016","FQ4 2016","Currency=INR","Period=FQ","BEST_FPERIOD_OVERRIDE=FQ","FILING_STATUS=OR","EQY_CONSOLIDATED=Y","FA_ADJUSTED=GAAP","Sort=A","Dates=H","DateFormat=P","Fill=—","Direction=H","UseDPDF=Y")</f>
        <v>#NAME?</v>
      </c>
      <c r="I117" t="e">
        <f ca="1">_xll.BDH($C$103,"RETURN_ON_INV_CAPITAL","FQ4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17" t="e">
        <f ca="1">_xll.BDH($C$103,"EBITDA_TO_REVENUE","FQ4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17" t="e">
        <f ca="1">_xll.BDH($C$103,"OPER_MARGIN","FQ4 2016","FQ4 2016","Currency=INR","Period=FQ","BEST_FPERIOD_OVERRIDE=FQ","FILING_STATUS=OR","EQY_CONSOLIDATED=Y","FA_ADJUSTED=GAAP","Sort=A","Dates=H","DateFormat=P","Fill=—","Direction=H","UseDPDF=Y")</f>
        <v>#NAME?</v>
      </c>
      <c r="L117" t="e">
        <f ca="1">_xll.BDH($C$103,"INCREMENTAL_OPERATING_MARGIN","FQ4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17" t="e">
        <f ca="1">_xll.BDH($C$103,"PRETAX_INC_TO_NET_SALES","FQ4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17" t="e">
        <f ca="1">_xll.BDH($C$103,"INC_BEF_XO_ITEMS_TO_NET_SALES","FQ4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17" t="e">
        <f ca="1">_xll.BDH($C$103,"PROF_MARGIN","FQ4 2016","FQ4 2016","Currency=INR","Period=FQ","BEST_FPERIOD_OVERRIDE=FQ","FILING_STATUS=OR","EQY_CONSOLIDATED=Y","FA_ADJUSTED=GAAP","Sort=A","Dates=H","DateFormat=P","Fill=—","Direction=H","UseDPDF=Y")</f>
        <v>#NAME?</v>
      </c>
      <c r="P117" t="e">
        <f ca="1">_xll.BDH($C$103,"NET_INCOME_TO_COMMON_MARGIN","FQ4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17" t="e">
        <f ca="1">_xll.BDH($C$103,"EFF_TAX_RATE","FQ4 2016","FQ4 2016","Currency=INR","Period=FQ","BEST_FPERIOD_OVERRIDE=FQ","FILING_STATUS=OR","EQY_CONSOLIDATED=Y","FA_ADJUSTED=GAAP","Sort=A","Dates=H","DateFormat=P","Fill=—","Direction=H","UseDPDF=Y")</f>
        <v>#NAME?</v>
      </c>
      <c r="R117" t="e">
        <f ca="1">_xll.BDH($C$103,"DVD_PAYOUT_RATIO","FQ4 2016","FQ4 2016","Currency=INR","Period=FQ","BEST_FPERIOD_OVERRIDE=FQ","FILING_STATUS=OR","EQY_CONSOLIDATED=Y","FA_ADJUSTED=GAAP","Sort=A","Dates=H","DateFormat=P","Fill=—","Direction=H","UseDPDF=Y")</f>
        <v>#NAME?</v>
      </c>
      <c r="S117" t="e">
        <f ca="1">_xll.BDH($C$103,"SUSTAIN_GROWTH_RT","FQ4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17" s="2" t="e">
        <f ca="1">_xll.BDH($C$103,"SALES_GROWTH","FQ4 2016","FQ4 2016","Currency=INR","Period=FQ","BEST_FPERIOD_OVERRIDE=FQ","FILING_STATUS=OR","EQY_CONSOLIDATED=Y","FA_ADJUSTED=GAAP","Sort=A","Dates=H","DateFormat=P","Fill=—","Direction=H","UseDPDF=Y")</f>
        <v>#NAME?</v>
      </c>
      <c r="U117" s="2" t="e">
        <f ca="1">_xll.BDH($C$103,"EBITDA_GROWTH","FQ4 2016","FQ4 2016","Currency=INR","Period=FQ","BEST_FPERIOD_OVERRIDE=FQ","FILING_STATUS=OR","EQY_CONSOLIDATED=Y","FA_ADJUSTED=GAAP","Sort=A","Dates=H","DateFormat=P","Fill=—","Direction=H","UseDPDF=Y")</f>
        <v>#NAME?</v>
      </c>
      <c r="V117" s="2" t="e">
        <f ca="1">_xll.BDH($C$103,"OPER_INC_GROWTH","FQ4 2016","FQ4 2016","Currency=INR","Period=FQ","BEST_FPERIOD_OVERRIDE=FQ","FILING_STATUS=OR","EQY_CONSOLIDATED=Y","FA_ADJUSTED=GAAP","Sort=A","Dates=H","DateFormat=P","Fill=—","Direction=H","UseDPDF=Y")</f>
        <v>#NAME?</v>
      </c>
      <c r="W117" s="2" t="e">
        <f ca="1">_xll.BDH($C$103,"EARN_FOR_COM_GROWTH","FQ4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17" s="2" t="e">
        <f ca="1">_xll.BDH($C$103,"DILUTED_EPS_AFT_XO_ITEMS_GROWTH","FQ4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17" s="2" t="e">
        <f ca="1">_xll.BDH($C$103,"DIVIDEND_PER_SHARE_1_YEAR_GROWTH","FQ4 2016","FQ4 2016","Currency=INR","Period=FQ","BEST_FPERIOD_OVERRIDE=FQ","FILING_STATUS=OR","EQY_CONSOLIDATED=Y","Sort=A","Dates=H","DateFormat=P","Fill=—","Direction=H","UseDPDF=Y")</f>
        <v>#NAME?</v>
      </c>
      <c r="Z117" s="2" t="e">
        <f ca="1">_xll.BDH($C$103,"ACCOUNTS_RECEIVABLE_GROWTH","FQ4 2016","FQ4 2016","Currency=INR","Period=FQ","BEST_FPERIOD_OVERRIDE=FQ","FILING_STATUS=OR","EQY_CONSOLIDATED=Y","Sort=A","Dates=H","DateFormat=P","Fill=—","Direction=H","UseDPDF=Y")</f>
        <v>#NAME?</v>
      </c>
      <c r="AA117" s="2" t="e">
        <f ca="1">_xll.BDH($C$103,"INVENTORY_GROWTH","FQ4 2016","FQ4 2016","Currency=INR","Period=FQ","BEST_FPERIOD_OVERRIDE=FQ","FILING_STATUS=OR","EQY_CONSOLIDATED=Y","Sort=A","Dates=H","DateFormat=P","Fill=—","Direction=H","UseDPDF=Y")</f>
        <v>#NAME?</v>
      </c>
      <c r="AB117" s="2" t="e">
        <f ca="1">_xll.BDH($C$103,"NET_FIXED_ASSETS_1_YEAR_GROWTH","FQ4 2016","FQ4 2016","Currency=INR","Period=FQ","BEST_FPERIOD_OVERRIDE=FQ","FILING_STATUS=OR","EQY_CONSOLIDATED=Y","Sort=A","Dates=H","DateFormat=P","Fill=—","Direction=H","UseDPDF=Y")</f>
        <v>#NAME?</v>
      </c>
      <c r="AC117" s="2" t="e">
        <f ca="1">_xll.BDH($C$103,"ASSET_GROWTH","FQ4 2016","FQ4 2016","Currency=INR","Period=FQ","BEST_FPERIOD_OVERRIDE=FQ","FILING_STATUS=OR","EQY_CONSOLIDATED=Y","Sort=A","Dates=H","DateFormat=P","Fill=—","Direction=H","UseDPDF=Y")</f>
        <v>#NAME?</v>
      </c>
      <c r="AD117" s="2" t="e">
        <f ca="1">_xll.BDH($C$103,"MODIFIED_WORK_CAP_GROWTH","FQ4 2016","FQ4 2016","Currency=INR","Period=FQ","BEST_FPERIOD_OVERRIDE=FQ","FILING_STATUS=OR","EQY_CONSOLIDATED=Y","Sort=A","Dates=H","DateFormat=P","Fill=—","Direction=H","UseDPDF=Y")</f>
        <v>#NAME?</v>
      </c>
      <c r="AE117" s="2" t="e">
        <f ca="1">_xll.BDH($C$103,"WORK_CAP_GROWTH","FQ4 2016","FQ4 2016","Currency=INR","Period=FQ","BEST_FPERIOD_OVERRIDE=FQ","FILING_STATUS=OR","EQY_CONSOLIDATED=Y","Sort=A","Dates=H","DateFormat=P","Fill=—","Direction=H","UseDPDF=Y")</f>
        <v>#NAME?</v>
      </c>
      <c r="AF117" s="2" t="e">
        <f ca="1">_xll.BDH($C$103,"ACCOUNTS_PAYABLE_GROWTH_1YR","FQ4 2016","FQ4 2016","Currency=INR","Period=FQ","BEST_FPERIOD_OVERRIDE=FQ","FILING_STATUS=OR","EQY_CONSOLIDATED=Y","Sort=A","Dates=H","DateFormat=P","Fill=—","Direction=H","UseDPDF=Y")</f>
        <v>#NAME?</v>
      </c>
      <c r="AG117" s="2" t="e">
        <f ca="1">_xll.BDH($C$103,"SHORT_TERM_DEBT_1_YEAR_GROWTH","FQ4 2016","FQ4 2016","Currency=INR","Period=FQ","BEST_FPERIOD_OVERRIDE=FQ","FILING_STATUS=OR","EQY_CONSOLIDATED=Y","Sort=A","Dates=H","DateFormat=P","Fill=—","Direction=H","UseDPDF=Y")</f>
        <v>#NAME?</v>
      </c>
      <c r="AH117" s="2" t="e">
        <f ca="1">_xll.BDH($C$103,"TOTAL_DEBT_1_YEAR_GROWTH","FQ4 2016","FQ4 2016","Currency=INR","Period=FQ","BEST_FPERIOD_OVERRIDE=FQ","FILING_STATUS=OR","EQY_CONSOLIDATED=Y","Sort=A","Dates=H","DateFormat=P","Fill=—","Direction=H","UseDPDF=Y")</f>
        <v>#NAME?</v>
      </c>
      <c r="AI117" s="2" t="e">
        <f ca="1">_xll.BDH($C$103,"TOTAL_EQUITY_1_YEAR_GROWTH","FQ4 2016","FQ4 2016","Currency=INR","Period=FQ","BEST_FPERIOD_OVERRIDE=FQ","FILING_STATUS=OR","EQY_CONSOLIDATED=Y","Sort=A","Dates=H","DateFormat=P","Fill=—","Direction=H","UseDPDF=Y")</f>
        <v>#NAME?</v>
      </c>
      <c r="AJ117" s="2" t="e">
        <f ca="1">_xll.BDH($C$103,"GROWTH_IN_CAP","FQ4 2016","FQ4 2016","Currency=INR","Period=FQ","BEST_FPERIOD_OVERRIDE=FQ","FILING_STATUS=OR","EQY_CONSOLIDATED=Y","Sort=A","Dates=H","DateFormat=P","Fill=—","Direction=H","UseDPDF=Y")</f>
        <v>#NAME?</v>
      </c>
      <c r="AK117" s="2" t="e">
        <f ca="1">_xll.BDH($C$103,"BVPS_GROWTH","FQ4 2016","FQ4 2016","Currency=INR","Period=FQ","BEST_FPERIOD_OVERRIDE=FQ","FILING_STATUS=OR","EQY_CONSOLIDATED=Y","Sort=A","Dates=H","DateFormat=P","Fill=—","Direction=H","UseDPDF=Y")</f>
        <v>#NAME?</v>
      </c>
      <c r="AL117" s="2" t="e">
        <f ca="1">_xll.BDH($C$103,"CASH_FLOW_GROWTH","FQ4 2016","FQ4 2016","Currency=INR","Period=FQ","BEST_FPERIOD_OVERRIDE=FQ","FILING_STATUS=OR","EQY_CONSOLIDATED=Y","Sort=A","Dates=H","DateFormat=P","Fill=—","Direction=H","UseDPDF=Y")</f>
        <v>#NAME?</v>
      </c>
      <c r="AM117" s="2" t="e">
        <f ca="1">_xll.BDH($C$103,"GEO_GROW_NET_SALES","FQ4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17" s="2" t="e">
        <f ca="1">_xll.BDH($C$103,"GEO_GROW_EBITDA","FQ4 2016","FQ4 2016","Currency=INR","Period=FQ","BEST_FPERIOD_OVERRIDE=FQ","FILING_STATUS=OR","EQY_CONSOLIDATED=Y","FA_ADJUSTED=GAAP","Sort=A","Dates=H","DateFormat=P","Fill=—","Direction=H","UseDPDF=Y")</f>
        <v>#NAME?</v>
      </c>
      <c r="AO117" s="2" t="e">
        <f ca="1">_xll.BDH($C$103,"GEO_GROW_OPER_INC","FQ4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17" s="2" t="e">
        <f ca="1">_xll.BDH($C$103,"NET_INCOME_TO_COMMON_5_YR_GROWTH","FQ4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17" s="2" t="e">
        <f ca="1">_xll.BDH($C$103,"5Y_GEO_GROWTH_DILUTED_EPS","FQ4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17" s="2" t="e">
        <f ca="1">_xll.BDH($C$103,"GEO_GROW_DVD_PER_SH","FQ4 2016","FQ4 2016","Currency=INR","Period=FQ","BEST_FPERIOD_OVERRIDE=FQ","FILING_STATUS=OR","EQY_CONSOLIDATED=Y","Sort=A","Dates=H","DateFormat=P","Fill=—","Direction=H","UseDPDF=Y")</f>
        <v>#NAME?</v>
      </c>
      <c r="AS117" s="2" t="e">
        <f ca="1">_xll.BDH($C$103,"ACCOUNTS_RECEIVABLE_5_YR_GROWTH","FQ4 2016","FQ4 2016","Currency=INR","Period=FQ","BEST_FPERIOD_OVERRIDE=FQ","FILING_STATUS=OR","EQY_CONSOLIDATED=Y","Sort=A","Dates=H","DateFormat=P","Fill=—","Direction=H","UseDPDF=Y")</f>
        <v>#NAME?</v>
      </c>
      <c r="AT117" s="2" t="e">
        <f ca="1">_xll.BDH($C$103,"INVENTORY_5_YEAR_GROWTH","FQ4 2016","FQ4 2016","Currency=INR","Period=FQ","BEST_FPERIOD_OVERRIDE=FQ","FILING_STATUS=OR","EQY_CONSOLIDATED=Y","Sort=A","Dates=H","DateFormat=P","Fill=—","Direction=H","UseDPDF=Y")</f>
        <v>#NAME?</v>
      </c>
      <c r="AU117" s="2" t="e">
        <f ca="1">_xll.BDH($C$103,"NET_FIXED_ASSETS_5_YEAR_GROWTH","FQ4 2016","FQ4 2016","Currency=INR","Period=FQ","BEST_FPERIOD_OVERRIDE=FQ","FILING_STATUS=OR","EQY_CONSOLIDATED=Y","Sort=A","Dates=H","DateFormat=P","Fill=—","Direction=H","UseDPDF=Y")</f>
        <v>#NAME?</v>
      </c>
      <c r="AV117" s="2" t="e">
        <f ca="1">_xll.BDH($C$103,"GEO_GROW_TOT_ASSET","FQ4 2016","FQ4 2016","Currency=INR","Period=FQ","BEST_FPERIOD_OVERRIDE=FQ","FILING_STATUS=OR","EQY_CONSOLIDATED=Y","Sort=A","Dates=H","DateFormat=P","Fill=—","Direction=H","UseDPDF=Y")</f>
        <v>#NAME?</v>
      </c>
      <c r="AW117" s="2" t="e">
        <f ca="1">_xll.BDH($C$103,"MODIFIED_WORKING_CPTL_5YR_GRWTH","FQ4 2016","FQ4 2016","Currency=INR","Period=FQ","BEST_FPERIOD_OVERRIDE=FQ","FILING_STATUS=OR","EQY_CONSOLIDATED=Y","Sort=A","Dates=H","DateFormat=P","Fill=—","Direction=H","UseDPDF=Y")</f>
        <v>#NAME?</v>
      </c>
      <c r="AX117" s="2" t="e">
        <f ca="1">_xll.BDH($C$103,"WORKING_CAPITAL_5_YEAR_GROWTH","FQ4 2016","FQ4 2016","Currency=INR","Period=FQ","BEST_FPERIOD_OVERRIDE=FQ","FILING_STATUS=OR","EQY_CONSOLIDATED=Y","Sort=A","Dates=H","DateFormat=P","Fill=—","Direction=H","UseDPDF=Y")</f>
        <v>#NAME?</v>
      </c>
      <c r="AY117" s="2" t="e">
        <f ca="1">_xll.BDH($C$103,"ACCOUNTS_PAYABLE_5_YEAR_GROWTH","FQ4 2016","FQ4 2016","Currency=INR","Period=FQ","BEST_FPERIOD_OVERRIDE=FQ","FILING_STATUS=OR","EQY_CONSOLIDATED=Y","Sort=A","Dates=H","DateFormat=P","Fill=—","Direction=H","UseDPDF=Y")</f>
        <v>#NAME?</v>
      </c>
      <c r="AZ117" s="2" t="e">
        <f ca="1">_xll.BDH($C$103,"SHORT_TERM_DEBT_5_YEAR_GROWTH","FQ4 2016","FQ4 2016","Currency=INR","Period=FQ","BEST_FPERIOD_OVERRIDE=FQ","FILING_STATUS=OR","EQY_CONSOLIDATED=Y","Sort=A","Dates=H","DateFormat=P","Fill=—","Direction=H","UseDPDF=Y")</f>
        <v>#NAME?</v>
      </c>
      <c r="BA117" s="2" t="e">
        <f ca="1">_xll.BDH($C$103,"TOTAL_DEBT_5_YEAR_GROWTH","FQ4 2016","FQ4 2016","Currency=INR","Period=FQ","BEST_FPERIOD_OVERRIDE=FQ","FILING_STATUS=OR","EQY_CONSOLIDATED=Y","Sort=A","Dates=H","DateFormat=P","Fill=—","Direction=H","UseDPDF=Y")</f>
        <v>#NAME?</v>
      </c>
      <c r="BB117" s="2" t="e">
        <f ca="1">_xll.BDH($C$103,"GEO_GROW_TOT_SHRHLDR_EQY","FQ4 2016","FQ4 2016","Currency=INR","Period=FQ","BEST_FPERIOD_OVERRIDE=FQ","FILING_STATUS=OR","EQY_CONSOLIDATED=Y","Sort=A","Dates=H","DateFormat=P","Fill=—","Direction=H","UseDPDF=Y")</f>
        <v>#NAME?</v>
      </c>
      <c r="BC117" s="2" t="e">
        <f ca="1">_xll.BDH($C$103,"TOTAL_CAPITAL_5_YEAR_GROWTH","FQ4 2016","FQ4 2016","Currency=INR","Period=FQ","BEST_FPERIOD_OVERRIDE=FQ","FILING_STATUS=OR","EQY_CONSOLIDATED=Y","Sort=A","Dates=H","DateFormat=P","Fill=—","Direction=H","UseDPDF=Y")</f>
        <v>#NAME?</v>
      </c>
      <c r="BD117" s="2" t="e">
        <f ca="1">_xll.BDH($C$103,"GEO_GROW_BOOK_VAL","FQ4 2016","FQ4 2016","Currency=INR","Period=FQ","BEST_FPERIOD_OVERRIDE=FQ","FILING_STATUS=OR","EQY_CONSOLIDATED=Y","Sort=A","Dates=H","DateFormat=P","Fill=—","Direction=H","UseDPDF=Y")</f>
        <v>#NAME?</v>
      </c>
      <c r="BE117" s="2" t="e">
        <f ca="1">_xll.BDH($C$103,"GEO_GROW_CASH_OPER_ACT","FQ4 2016","FQ4 2016","Currency=INR","Period=FQ","BEST_FPERIOD_OVERRIDE=FQ","FILING_STATUS=OR","EQY_CONSOLIDATED=Y","Sort=A","Dates=H","DateFormat=P","Fill=—","Direction=H","UseDPDF=Y")</f>
        <v>#NAME?</v>
      </c>
      <c r="BF117" s="2" t="e">
        <f ca="1">_xll.BDH($C$103,"REVENUE_SEQUENTIAL_GROWTH","FQ4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17" s="2" t="e">
        <f ca="1">_xll.BDH($C$103,"EBITDA_SEQUENTIAL_GROWTH","FQ4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17" s="2" t="e">
        <f ca="1">_xll.BDH($C$103,"OPERATING_INCOME_SEQ_GROWTH","FQ4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17" s="2" t="e">
        <f ca="1">_xll.BDH($C$103,"NET_INCOME_TO_COMMON_SEQ_GROWTH","FQ4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17" s="2" t="e">
        <f ca="1">_xll.BDH($C$103,"EPS_DILUTED_SEQUENTIAL_GROWTH","FQ4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17" s="2" t="e">
        <f ca="1">_xll.BDH($C$103,"DPS_SEQUENTIAL_GROWTH","FQ4 2016","FQ4 2016","Currency=INR","Period=FQ","BEST_FPERIOD_OVERRIDE=FQ","FILING_STATUS=OR","EQY_CONSOLIDATED=Y","Sort=A","Dates=H","DateFormat=P","Fill=—","Direction=H","UseDPDF=Y")</f>
        <v>#NAME?</v>
      </c>
      <c r="BL117" s="2" t="e">
        <f ca="1">_xll.BDH($C$103,"ACCOUNTS_RECEIVABLE_SEQ_GROWTH","FQ4 2016","FQ4 2016","Currency=INR","Period=FQ","BEST_FPERIOD_OVERRIDE=FQ","FILING_STATUS=OR","EQY_CONSOLIDATED=Y","Sort=A","Dates=H","DateFormat=P","Fill=—","Direction=H","UseDPDF=Y")</f>
        <v>#NAME?</v>
      </c>
      <c r="BM117" s="2" t="e">
        <f ca="1">_xll.BDH($C$103,"INVENTORY_SEQUENTIAL_GROWTH","FQ4 2016","FQ4 2016","Currency=INR","Period=FQ","BEST_FPERIOD_OVERRIDE=FQ","FILING_STATUS=OR","EQY_CONSOLIDATED=Y","Sort=A","Dates=H","DateFormat=P","Fill=—","Direction=H","UseDPDF=Y")</f>
        <v>#NAME?</v>
      </c>
      <c r="BN117" s="2" t="e">
        <f ca="1">_xll.BDH($C$103,"FIXED_ASSETS_SEQUENTIAL_GROWTH","FQ4 2016","FQ4 2016","Currency=INR","Period=FQ","BEST_FPERIOD_OVERRIDE=FQ","FILING_STATUS=OR","EQY_CONSOLIDATED=Y","Sort=A","Dates=H","DateFormat=P","Fill=—","Direction=H","UseDPDF=Y")</f>
        <v>#NAME?</v>
      </c>
      <c r="BO117" s="2" t="e">
        <f ca="1">_xll.BDH($C$103,"TOTAL_ASSETS_SEQUENTIAL_GROWTH","FQ4 2016","FQ4 2016","Currency=INR","Period=FQ","BEST_FPERIOD_OVERRIDE=FQ","FILING_STATUS=OR","EQY_CONSOLIDATED=Y","Sort=A","Dates=H","DateFormat=P","Fill=—","Direction=H","UseDPDF=Y")</f>
        <v>#NAME?</v>
      </c>
      <c r="BP117" s="2" t="e">
        <f ca="1">_xll.BDH($C$103,"MODIFIED_WORKING_CPTL_SEQ_GRWTH","FQ4 2016","FQ4 2016","Currency=INR","Period=FQ","BEST_FPERIOD_OVERRIDE=FQ","FILING_STATUS=OR","EQY_CONSOLIDATED=Y","Sort=A","Dates=H","DateFormat=P","Fill=—","Direction=H","UseDPDF=Y")</f>
        <v>#NAME?</v>
      </c>
      <c r="BQ117" s="2" t="e">
        <f ca="1">_xll.BDH($C$103,"WORKING_CAPITAL_SEQ_GROWTH","FQ4 2016","FQ4 2016","Currency=INR","Period=FQ","BEST_FPERIOD_OVERRIDE=FQ","FILING_STATUS=OR","EQY_CONSOLIDATED=Y","Sort=A","Dates=H","DateFormat=P","Fill=—","Direction=H","UseDPDF=Y")</f>
        <v>#NAME?</v>
      </c>
      <c r="BR117" s="2" t="e">
        <f ca="1">_xll.BDH($C$103,"ACCOUNTS_PAYABLE_SEQ_GROWTH","FQ4 2016","FQ4 2016","Currency=INR","Period=FQ","BEST_FPERIOD_OVERRIDE=FQ","FILING_STATUS=OR","EQY_CONSOLIDATED=Y","Sort=A","Dates=H","DateFormat=P","Fill=—","Direction=H","UseDPDF=Y")</f>
        <v>#NAME?</v>
      </c>
      <c r="BS117" s="2" t="e">
        <f ca="1">_xll.BDH($C$103,"ST_DEBT_SEQUENTIAL_GROWTH","FQ4 2016","FQ4 2016","Currency=INR","Period=FQ","BEST_FPERIOD_OVERRIDE=FQ","FILING_STATUS=OR","EQY_CONSOLIDATED=Y","Sort=A","Dates=H","DateFormat=P","Fill=—","Direction=H","UseDPDF=Y")</f>
        <v>#NAME?</v>
      </c>
      <c r="BT117" s="2" t="e">
        <f ca="1">_xll.BDH($C$103,"TOTAL_DEBT_SEQUENTIAL_GROWTH","FQ4 2016","FQ4 2016","Currency=INR","Period=FQ","BEST_FPERIOD_OVERRIDE=FQ","FILING_STATUS=OR","EQY_CONSOLIDATED=Y","Sort=A","Dates=H","DateFormat=P","Fill=—","Direction=H","UseDPDF=Y")</f>
        <v>#NAME?</v>
      </c>
      <c r="BU117" s="2" t="e">
        <f ca="1">_xll.BDH($C$103,"TOTAL_EQUITY_SEQUENTIAL_GROWTH","FQ4 2016","FQ4 2016","Currency=INR","Period=FQ","BEST_FPERIOD_OVERRIDE=FQ","FILING_STATUS=OR","EQY_CONSOLIDATED=Y","Sort=A","Dates=H","DateFormat=P","Fill=—","Direction=H","UseDPDF=Y")</f>
        <v>#NAME?</v>
      </c>
      <c r="BV117" s="2" t="e">
        <f ca="1">_xll.BDH($C$103,"TOTAL_CAPITAL_SEQUENTIAL_GROWTH","FQ4 2016","FQ4 2016","Currency=INR","Period=FQ","BEST_FPERIOD_OVERRIDE=FQ","FILING_STATUS=OR","EQY_CONSOLIDATED=Y","Sort=A","Dates=H","DateFormat=P","Fill=—","Direction=H","UseDPDF=Y")</f>
        <v>#NAME?</v>
      </c>
      <c r="BW117" s="2" t="e">
        <f ca="1">_xll.BDH($C$103,"BPS_SEQUENTIAL_GROWTH","FQ4 2016","FQ4 2016","Currency=INR","Period=FQ","BEST_FPERIOD_OVERRIDE=FQ","FILING_STATUS=OR","EQY_CONSOLIDATED=Y","Sort=A","Dates=H","DateFormat=P","Fill=—","Direction=H","UseDPDF=Y")</f>
        <v>#NAME?</v>
      </c>
      <c r="BX117" s="2" t="e">
        <f ca="1">_xll.BDH($C$103,"CFO_SEQUENTIAL_GROWTH","FQ4 2016","FQ4 2016","Currency=INR","Period=FQ","BEST_FPERIOD_OVERRIDE=FQ","FILING_STATUS=OR","EQY_CONSOLIDATED=Y","Sort=A","Dates=H","DateFormat=P","Fill=—","Direction=H","UseDPDF=Y")</f>
        <v>#NAME?</v>
      </c>
      <c r="BY117" s="3" t="e">
        <f ca="1">_xll.BDH($C$103,"SHORT_AND_LONG_TERM_DEBT","FQ4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17" s="3" t="e">
        <f ca="1">_xll.BDH($C$103,"BS_ST_BORROW","FQ4 2016","FQ4 2016","Currency=INR","Period=FQ","BEST_FPERIOD_OVERRIDE=FQ","FILING_STATUS=OR","EQY_CONSOLIDATED=Y","SCALING_FORMAT=MLN","Sort=A","Dates=H","DateFormat=P","Fill=—","Direction=H","UseDPDF=Y")</f>
        <v>#NAME?</v>
      </c>
      <c r="CA117" s="3" t="e">
        <f ca="1">_xll.BDH($C$103,"BS_LT_BORROW","FQ4 2016","FQ4 2016","Currency=INR","Period=FQ","BEST_FPERIOD_OVERRIDE=FQ","FILING_STATUS=OR","EQY_CONSOLIDATED=Y","SCALING_FORMAT=MLN","Sort=A","Dates=H","DateFormat=P","Fill=—","Direction=H","UseDPDF=Y")</f>
        <v>#NAME?</v>
      </c>
      <c r="CB117" s="2" t="e">
        <f ca="1">_xll.BDH($C$103,"TOT_DEBT_TO_EBITDA","FQ4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17" s="2" t="e">
        <f ca="1">_xll.BDH($C$103,"NET_DEBT_TO_EBITDA","FQ4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17" s="2" t="e">
        <f ca="1">_xll.BDH($C$103,"TOTAL_DEBT_TO_EBIT","FQ4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17" s="2" t="e">
        <f ca="1">_xll.BDH($C$103,"NET_DEBT_TO_EBIT","FQ4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17" s="2" t="e">
        <f ca="1">_xll.BDH($C$103,"EBITDA_TO_INTEREST_EXPN","FQ4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17" s="2" t="e">
        <f ca="1">_xll.BDH($C$103,"COM_EQY_TO_TOT_ASSET","FQ4 2016","FQ4 2016","Currency=INR","Period=FQ","BEST_FPERIOD_OVERRIDE=FQ","FILING_STATUS=OR","EQY_CONSOLIDATED=Y","Sort=A","Dates=H","DateFormat=P","Fill=—","Direction=H","UseDPDF=Y")</f>
        <v>#NAME?</v>
      </c>
      <c r="CH117" s="2" t="e">
        <f ca="1">_xll.BDH($C$103,"LT_DEBT_TO_TOT_EQY","FQ4 2016","FQ4 2016","Currency=INR","Period=FQ","BEST_FPERIOD_OVERRIDE=FQ","FILING_STATUS=OR","EQY_CONSOLIDATED=Y","Sort=A","Dates=H","DateFormat=P","Fill=—","Direction=H","UseDPDF=Y")</f>
        <v>#NAME?</v>
      </c>
      <c r="CI117" s="2" t="e">
        <f ca="1">_xll.BDH($C$103,"LT_DEBT_TO_TOT_CAP","FQ4 2016","FQ4 2016","Currency=INR","Period=FQ","BEST_FPERIOD_OVERRIDE=FQ","FILING_STATUS=OR","EQY_CONSOLIDATED=Y","Sort=A","Dates=H","DateFormat=P","Fill=—","Direction=H","UseDPDF=Y")</f>
        <v>#NAME?</v>
      </c>
      <c r="CJ117" s="2" t="e">
        <f ca="1">_xll.BDH($C$103,"LT_DEBT_TO_TOT_ASSET","FQ4 2016","FQ4 2016","Currency=INR","Period=FQ","BEST_FPERIOD_OVERRIDE=FQ","FILING_STATUS=OR","EQY_CONSOLIDATED=Y","Sort=A","Dates=H","DateFormat=P","Fill=—","Direction=H","UseDPDF=Y")</f>
        <v>#NAME?</v>
      </c>
      <c r="CK117" s="2" t="e">
        <f ca="1">_xll.BDH($C$103,"TOT_DEBT_TO_TOT_EQY","FQ4 2016","FQ4 2016","Currency=INR","Period=FQ","BEST_FPERIOD_OVERRIDE=FQ","FILING_STATUS=OR","EQY_CONSOLIDATED=Y","Sort=A","Dates=H","DateFormat=P","Fill=—","Direction=H","UseDPDF=Y")</f>
        <v>#NAME?</v>
      </c>
      <c r="CL117" s="2" t="e">
        <f ca="1">_xll.BDH($C$103,"TOT_DEBT_TO_TOT_CAP","FQ4 2016","FQ4 2016","Currency=INR","Period=FQ","BEST_FPERIOD_OVERRIDE=FQ","FILING_STATUS=OR","EQY_CONSOLIDATED=Y","Sort=A","Dates=H","DateFormat=P","Fill=—","Direction=H","UseDPDF=Y")</f>
        <v>#NAME?</v>
      </c>
      <c r="CM117" s="2" t="e">
        <f ca="1">_xll.BDH($C$103,"TOT_DEBT_TO_TOT_ASSET","FQ4 2016","FQ4 2016","Currency=INR","Period=FQ","BEST_FPERIOD_OVERRIDE=FQ","FILING_STATUS=OR","EQY_CONSOLIDATED=Y","Sort=A","Dates=H","DateFormat=P","Fill=—","Direction=H","UseDPDF=Y")</f>
        <v>#NAME?</v>
      </c>
      <c r="CN117" s="2" t="e">
        <f ca="1">_xll.BDH($C$103,"NET_DEBT_TO_SHRHLDR_EQTY","FQ4 2016","FQ4 2016","Currency=INR","Period=FQ","BEST_FPERIOD_OVERRIDE=FQ","FILING_STATUS=OR","EQY_CONSOLIDATED=Y","Sort=A","Dates=H","DateFormat=P","Fill=—","Direction=H","UseDPDF=Y")</f>
        <v>#NAME?</v>
      </c>
      <c r="CO117" s="2" t="e">
        <f ca="1">_xll.BDH($C$103,"NET_DEBT_%_CAPITAL","FQ4 2016","FQ4 2016","Currency=INR","Period=FQ","BEST_FPERIOD_OVERRIDE=FQ","FILING_STATUS=OR","EQY_CONSOLIDATED=Y","Sort=A","Dates=H","DateFormat=P","Fill=—","Direction=H","UseDPDF=Y")</f>
        <v>#NAME?</v>
      </c>
      <c r="CP117" s="3" t="e">
        <f ca="1">_xll.BDH($C$103,"EBITDA","FQ4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17" s="3" t="e">
        <f ca="1">_xll.BDH($C$103,"EBITDA_AFTER_CAPEX","FQ4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17" s="3" t="e">
        <f ca="1">_xll.BDH($C$103,"IS_OPER_INC","FQ4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17" s="2" t="e">
        <f ca="1">_xll.BDH($C$103,"CASH_RATIO","FQ4 2016","FQ4 2016","Currency=INR","Period=FQ","BEST_FPERIOD_OVERRIDE=FQ","FILING_STATUS=OR","EQY_CONSOLIDATED=Y","Sort=A","Dates=H","DateFormat=P","Fill=—","Direction=H","UseDPDF=Y")</f>
        <v>#NAME?</v>
      </c>
      <c r="CT117" s="2" t="e">
        <f ca="1">_xll.BDH($C$103,"CUR_RATIO","FQ4 2016","FQ4 2016","Currency=INR","Period=FQ","BEST_FPERIOD_OVERRIDE=FQ","FILING_STATUS=OR","EQY_CONSOLIDATED=Y","Sort=A","Dates=H","DateFormat=P","Fill=—","Direction=H","UseDPDF=Y")</f>
        <v>#NAME?</v>
      </c>
      <c r="CU117" s="2" t="e">
        <f ca="1">_xll.BDH($C$103,"QUICK_RATIO","FQ4 2016","FQ4 2016","Currency=INR","Period=FQ","BEST_FPERIOD_OVERRIDE=FQ","FILING_STATUS=OR","EQY_CONSOLIDATED=Y","Sort=A","Dates=H","DateFormat=P","Fill=—","Direction=H","UseDPDF=Y")</f>
        <v>#NAME?</v>
      </c>
      <c r="CV117" s="2" t="e">
        <f ca="1">_xll.BDH($C$103,"ALTMAN_Z_SCORE","FQ4 2016","FQ4 2016","Currency=INR","Period=FQ","BEST_FPERIOD_OVERRIDE=FQ","FILING_STATUS=OR","EQY_CONSOLIDATED=Y","Sort=A","Dates=H","DateFormat=P","Fill=—","Direction=H","UseDPDF=Y")</f>
        <v>#NAME?</v>
      </c>
      <c r="CW117" s="4" t="e">
        <f ca="1">_xll.BDH($C$103,"ACCT_RCV_TURN","FQ4 2016","FQ4 2016","Currency=INR","Period=FQ","BEST_FPERIOD_OVERRIDE=FQ","FILING_STATUS=OR","EQY_CONSOLIDATED=Y","FA_ADJUSTED=GAAP","Sort=A","Dates=H","DateFormat=P","Fill=—","Direction=H","UseDPDF=Y")</f>
        <v>#NAME?</v>
      </c>
      <c r="CX117" s="2" t="e">
        <f ca="1">_xll.BDH($C$103,"ACCT_RCV_DAYS","FQ4 2016","FQ4 2016","Currency=INR","Period=FQ","BEST_FPERIOD_OVERRIDE=FQ","FILING_STATUS=OR","EQY_CONSOLIDATED=Y","FA_ADJUSTED=GAAP","Sort=A","Dates=H","DateFormat=P","Fill=—","Direction=H","UseDPDF=Y")</f>
        <v>#NAME?</v>
      </c>
      <c r="CY117" s="4" t="e">
        <f ca="1">_xll.BDH($C$103,"INVENT_TURN","FQ4 2016","FQ4 2016","Currency=INR","Period=FQ","BEST_FPERIOD_OVERRIDE=FQ","FILING_STATUS=OR","EQY_CONSOLIDATED=Y","FA_ADJUSTED=GAAP","Sort=A","Dates=H","DateFormat=P","Fill=—","Direction=H","UseDPDF=Y")</f>
        <v>#NAME?</v>
      </c>
      <c r="CZ117" s="2" t="e">
        <f ca="1">_xll.BDH($C$103,"INVENT_DAYS","FQ4 2016","FQ4 2016","Currency=INR","Period=FQ","BEST_FPERIOD_OVERRIDE=FQ","FILING_STATUS=OR","EQY_CONSOLIDATED=Y","FA_ADJUSTED=GAAP","Sort=A","Dates=H","DateFormat=P","Fill=—","Direction=H","UseDPDF=Y")</f>
        <v>#NAME?</v>
      </c>
      <c r="DA117" s="4" t="e">
        <f ca="1">_xll.BDH($C$103,"ACCOUNTS_PAYABLE_TURNOVER","FQ4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17" s="2" t="e">
        <f ca="1">_xll.BDH($C$103,"ACCOUNTS_PAYABLE_TURNOVER_DAYS","FQ4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17" s="4" t="e">
        <f ca="1">_xll.BDH($C$103,"CASH_CONVERSION_CYCLE","FQ4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17" s="4" t="e">
        <f ca="1">_xll.BDH($C$103,"INV_TO_CASH_DAYS","FQ4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17" s="5" t="e">
        <f ca="1">_xll.BDH($C$103,"BS_INVENTORIES","FQ4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17" s="3" t="e">
        <f ca="1">_xll.BDH($C$103,"INVTRY_RAW_MATERIALS","FQ4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17" s="3" t="e">
        <f ca="1">_xll.BDH($C$103,"INVTRY_IN_PROGRESS","FQ4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17" s="3" t="e">
        <f ca="1">_xll.BDH($C$103,"INVTRY_FINISHED_GOODS","FQ4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17" s="3" t="e">
        <f ca="1">_xll.BDH($C$103,"BS_OTHER_INV","FQ4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18" spans="1:113" x14ac:dyDescent="0.3">
      <c r="A118" s="6"/>
      <c r="B118" s="6"/>
      <c r="C118" s="6"/>
      <c r="D118" s="6" t="s">
        <v>84</v>
      </c>
      <c r="E118" t="s">
        <v>77</v>
      </c>
      <c r="F118" t="e">
        <f ca="1">_xll.BDH($C$103,"RETURN_COM_EQY","FY 2017","FY 2017","Currency=INR","Period=FY","BEST_FPERIOD_OVERRIDE=FY","FILING_STATUS=OR","EQY_CONSOLIDATED=Y","FA_ADJUSTED=GAAP","Sort=A","Dates=H","DateFormat=P","Fill=—","Direction=H","UseDPDF=Y")</f>
        <v>#NAME?</v>
      </c>
      <c r="G118" t="e">
        <f ca="1">_xll.BDH($C$103,"RETURN_ON_ASSET","FY 2017","FY 2017","Currency=INR","Period=FY","BEST_FPERIOD_OVERRIDE=FY","FILING_STATUS=OR","EQY_CONSOLIDATED=Y","FA_ADJUSTED=GAAP","Sort=A","Dates=H","DateFormat=P","Fill=—","Direction=H","UseDPDF=Y")</f>
        <v>#NAME?</v>
      </c>
      <c r="H118" t="e">
        <f ca="1">_xll.BDH($C$103,"RETURN_ON_CAP","FY 2017","FY 2017","Currency=INR","Period=FY","BEST_FPERIOD_OVERRIDE=FY","FILING_STATUS=OR","EQY_CONSOLIDATED=Y","FA_ADJUSTED=GAAP","Sort=A","Dates=H","DateFormat=P","Fill=—","Direction=H","UseDPDF=Y")</f>
        <v>#NAME?</v>
      </c>
      <c r="I118" t="e">
        <f ca="1">_xll.BDH($C$103,"RETURN_ON_INV_CAPITAL","FY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18" t="e">
        <f ca="1">_xll.BDH($C$103,"EBITDA_TO_REVENUE","FY 2017","FY 2017","Currency=INR","Period=FY","BEST_FPERIOD_OVERRIDE=FY","FILING_STATUS=OR","EQY_CONSOLIDATED=Y","FA_ADJUSTED=GAAP","Sort=A","Dates=H","DateFormat=P","Fill=—","Direction=H","UseDPDF=Y")</f>
        <v>#NAME?</v>
      </c>
      <c r="K118" t="e">
        <f ca="1">_xll.BDH($C$103,"OPER_MARGIN","FY 2017","FY 2017","Currency=INR","Period=FY","BEST_FPERIOD_OVERRIDE=FY","FILING_STATUS=OR","EQY_CONSOLIDATED=Y","FA_ADJUSTED=GAAP","Sort=A","Dates=H","DateFormat=P","Fill=—","Direction=H","UseDPDF=Y")</f>
        <v>#NAME?</v>
      </c>
      <c r="L118" t="e">
        <f ca="1">_xll.BDH($C$103,"INCREMENTAL_OPERATING_MARGIN","FY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18" t="e">
        <f ca="1">_xll.BDH($C$103,"PRETAX_INC_TO_NET_SALES","FY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18" t="e">
        <f ca="1">_xll.BDH($C$103,"INC_BEF_XO_ITEMS_TO_NET_SALES","FY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18" t="e">
        <f ca="1">_xll.BDH($C$103,"PROF_MARGIN","FY 2017","FY 2017","Currency=INR","Period=FY","BEST_FPERIOD_OVERRIDE=FY","FILING_STATUS=OR","EQY_CONSOLIDATED=Y","FA_ADJUSTED=GAAP","Sort=A","Dates=H","DateFormat=P","Fill=—","Direction=H","UseDPDF=Y")</f>
        <v>#NAME?</v>
      </c>
      <c r="P118" t="e">
        <f ca="1">_xll.BDH($C$103,"NET_INCOME_TO_COMMON_MARGIN","FY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18" t="e">
        <f ca="1">_xll.BDH($C$103,"EFF_TAX_RATE","FY 2017","FY 2017","Currency=INR","Period=FY","BEST_FPERIOD_OVERRIDE=FY","FILING_STATUS=OR","EQY_CONSOLIDATED=Y","FA_ADJUSTED=GAAP","Sort=A","Dates=H","DateFormat=P","Fill=—","Direction=H","UseDPDF=Y")</f>
        <v>#NAME?</v>
      </c>
      <c r="R118" t="e">
        <f ca="1">_xll.BDH($C$103,"DVD_PAYOUT_RATIO","FY 2017","FY 2017","Currency=INR","Period=FY","BEST_FPERIOD_OVERRIDE=FY","FILING_STATUS=OR","EQY_CONSOLIDATED=Y","FA_ADJUSTED=GAAP","Sort=A","Dates=H","DateFormat=P","Fill=—","Direction=H","UseDPDF=Y")</f>
        <v>#NAME?</v>
      </c>
      <c r="S118" t="e">
        <f ca="1">_xll.BDH($C$103,"SUSTAIN_GROWTH_RT","FY 2017","FY 2017","Currency=INR","Period=FY","BEST_FPERIOD_OVERRIDE=FY","FILING_STATUS=OR","EQY_CONSOLIDATED=Y","FA_ADJUSTED=GAAP","Sort=A","Dates=H","DateFormat=P","Fill=—","Direction=H","UseDPDF=Y")</f>
        <v>#NAME?</v>
      </c>
      <c r="T118" s="2" t="e">
        <f ca="1">_xll.BDH($C$103,"SALES_GROWTH","FY 2017","FY 2017","Currency=INR","Period=FY","BEST_FPERIOD_OVERRIDE=FY","FILING_STATUS=OR","EQY_CONSOLIDATED=Y","FA_ADJUSTED=GAAP","Sort=A","Dates=H","DateFormat=P","Fill=—","Direction=H","UseDPDF=Y")</f>
        <v>#NAME?</v>
      </c>
      <c r="U118" s="2" t="e">
        <f ca="1">_xll.BDH($C$103,"EBITDA_GROWTH","FY 2017","FY 2017","Currency=INR","Period=FY","BEST_FPERIOD_OVERRIDE=FY","FILING_STATUS=OR","EQY_CONSOLIDATED=Y","FA_ADJUSTED=GAAP","Sort=A","Dates=H","DateFormat=P","Fill=—","Direction=H","UseDPDF=Y")</f>
        <v>#NAME?</v>
      </c>
      <c r="V118" s="2" t="e">
        <f ca="1">_xll.BDH($C$103,"OPER_INC_GROWTH","FY 2017","FY 2017","Currency=INR","Period=FY","BEST_FPERIOD_OVERRIDE=FY","FILING_STATUS=OR","EQY_CONSOLIDATED=Y","FA_ADJUSTED=GAAP","Sort=A","Dates=H","DateFormat=P","Fill=—","Direction=H","UseDPDF=Y")</f>
        <v>#NAME?</v>
      </c>
      <c r="W118" s="2" t="e">
        <f ca="1">_xll.BDH($C$103,"EARN_FOR_COM_GROWTH","FY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18" s="2" t="e">
        <f ca="1">_xll.BDH($C$103,"DILUTED_EPS_AFT_XO_ITEMS_GROWTH","FY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18" s="2" t="e">
        <f ca="1">_xll.BDH($C$103,"DIVIDEND_PER_SHARE_1_YEAR_GROWTH","FY 2017","FY 2017","Currency=INR","Period=FY","BEST_FPERIOD_OVERRIDE=FY","FILING_STATUS=OR","EQY_CONSOLIDATED=Y","Sort=A","Dates=H","DateFormat=P","Fill=—","Direction=H","UseDPDF=Y")</f>
        <v>#NAME?</v>
      </c>
      <c r="Z118" s="2" t="e">
        <f ca="1">_xll.BDH($C$103,"ACCOUNTS_RECEIVABLE_GROWTH","FY 2017","FY 2017","Currency=INR","Period=FY","BEST_FPERIOD_OVERRIDE=FY","FILING_STATUS=OR","EQY_CONSOLIDATED=Y","Sort=A","Dates=H","DateFormat=P","Fill=—","Direction=H","UseDPDF=Y")</f>
        <v>#NAME?</v>
      </c>
      <c r="AA118" s="2" t="e">
        <f ca="1">_xll.BDH($C$103,"INVENTORY_GROWTH","FY 2017","FY 2017","Currency=INR","Period=FY","BEST_FPERIOD_OVERRIDE=FY","FILING_STATUS=OR","EQY_CONSOLIDATED=Y","Sort=A","Dates=H","DateFormat=P","Fill=—","Direction=H","UseDPDF=Y")</f>
        <v>#NAME?</v>
      </c>
      <c r="AB118" s="2" t="e">
        <f ca="1">_xll.BDH($C$103,"NET_FIXED_ASSETS_1_YEAR_GROWTH","FY 2017","FY 2017","Currency=INR","Period=FY","BEST_FPERIOD_OVERRIDE=FY","FILING_STATUS=OR","EQY_CONSOLIDATED=Y","Sort=A","Dates=H","DateFormat=P","Fill=—","Direction=H","UseDPDF=Y")</f>
        <v>#NAME?</v>
      </c>
      <c r="AC118" s="2" t="e">
        <f ca="1">_xll.BDH($C$103,"ASSET_GROWTH","FY 2017","FY 2017","Currency=INR","Period=FY","BEST_FPERIOD_OVERRIDE=FY","FILING_STATUS=OR","EQY_CONSOLIDATED=Y","Sort=A","Dates=H","DateFormat=P","Fill=—","Direction=H","UseDPDF=Y")</f>
        <v>#NAME?</v>
      </c>
      <c r="AD118" s="2" t="e">
        <f ca="1">_xll.BDH($C$103,"MODIFIED_WORK_CAP_GROWTH","FY 2017","FY 2017","Currency=INR","Period=FY","BEST_FPERIOD_OVERRIDE=FY","FILING_STATUS=OR","EQY_CONSOLIDATED=Y","Sort=A","Dates=H","DateFormat=P","Fill=—","Direction=H","UseDPDF=Y")</f>
        <v>#NAME?</v>
      </c>
      <c r="AE118" s="2" t="e">
        <f ca="1">_xll.BDH($C$103,"WORK_CAP_GROWTH","FY 2017","FY 2017","Currency=INR","Period=FY","BEST_FPERIOD_OVERRIDE=FY","FILING_STATUS=OR","EQY_CONSOLIDATED=Y","Sort=A","Dates=H","DateFormat=P","Fill=—","Direction=H","UseDPDF=Y")</f>
        <v>#NAME?</v>
      </c>
      <c r="AF118" s="2" t="e">
        <f ca="1">_xll.BDH($C$103,"ACCOUNTS_PAYABLE_GROWTH_1YR","FY 2017","FY 2017","Currency=INR","Period=FY","BEST_FPERIOD_OVERRIDE=FY","FILING_STATUS=OR","EQY_CONSOLIDATED=Y","Sort=A","Dates=H","DateFormat=P","Fill=—","Direction=H","UseDPDF=Y")</f>
        <v>#NAME?</v>
      </c>
      <c r="AG118" s="2" t="e">
        <f ca="1">_xll.BDH($C$103,"SHORT_TERM_DEBT_1_YEAR_GROWTH","FY 2017","FY 2017","Currency=INR","Period=FY","BEST_FPERIOD_OVERRIDE=FY","FILING_STATUS=OR","EQY_CONSOLIDATED=Y","Sort=A","Dates=H","DateFormat=P","Fill=—","Direction=H","UseDPDF=Y")</f>
        <v>#NAME?</v>
      </c>
      <c r="AH118" s="2" t="e">
        <f ca="1">_xll.BDH($C$103,"TOTAL_DEBT_1_YEAR_GROWTH","FY 2017","FY 2017","Currency=INR","Period=FY","BEST_FPERIOD_OVERRIDE=FY","FILING_STATUS=OR","EQY_CONSOLIDATED=Y","Sort=A","Dates=H","DateFormat=P","Fill=—","Direction=H","UseDPDF=Y")</f>
        <v>#NAME?</v>
      </c>
      <c r="AI118" s="2" t="e">
        <f ca="1">_xll.BDH($C$103,"TOTAL_EQUITY_1_YEAR_GROWTH","FY 2017","FY 2017","Currency=INR","Period=FY","BEST_FPERIOD_OVERRIDE=FY","FILING_STATUS=OR","EQY_CONSOLIDATED=Y","Sort=A","Dates=H","DateFormat=P","Fill=—","Direction=H","UseDPDF=Y")</f>
        <v>#NAME?</v>
      </c>
      <c r="AJ118" s="2" t="e">
        <f ca="1">_xll.BDH($C$103,"GROWTH_IN_CAP","FY 2017","FY 2017","Currency=INR","Period=FY","BEST_FPERIOD_OVERRIDE=FY","FILING_STATUS=OR","EQY_CONSOLIDATED=Y","Sort=A","Dates=H","DateFormat=P","Fill=—","Direction=H","UseDPDF=Y")</f>
        <v>#NAME?</v>
      </c>
      <c r="AK118" s="2" t="e">
        <f ca="1">_xll.BDH($C$103,"BVPS_GROWTH","FY 2017","FY 2017","Currency=INR","Period=FY","BEST_FPERIOD_OVERRIDE=FY","FILING_STATUS=OR","EQY_CONSOLIDATED=Y","Sort=A","Dates=H","DateFormat=P","Fill=—","Direction=H","UseDPDF=Y")</f>
        <v>#NAME?</v>
      </c>
      <c r="AL118" s="2" t="e">
        <f ca="1">_xll.BDH($C$103,"CASH_FLOW_GROWTH","FY 2017","FY 2017","Currency=INR","Period=FY","BEST_FPERIOD_OVERRIDE=FY","FILING_STATUS=OR","EQY_CONSOLIDATED=Y","Sort=A","Dates=H","DateFormat=P","Fill=—","Direction=H","UseDPDF=Y")</f>
        <v>#NAME?</v>
      </c>
      <c r="AM118" s="2" t="e">
        <f ca="1">_xll.BDH($C$103,"GEO_GROW_NET_SALES","FY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18" s="2" t="e">
        <f ca="1">_xll.BDH($C$103,"GEO_GROW_EBITDA","FY 2017","FY 2017","Currency=INR","Period=FY","BEST_FPERIOD_OVERRIDE=FY","FILING_STATUS=OR","EQY_CONSOLIDATED=Y","FA_ADJUSTED=GAAP","Sort=A","Dates=H","DateFormat=P","Fill=—","Direction=H","UseDPDF=Y")</f>
        <v>#NAME?</v>
      </c>
      <c r="AO118" s="2" t="e">
        <f ca="1">_xll.BDH($C$103,"GEO_GROW_OPER_INC","FY 2017","FY 2017","Currency=INR","Period=FY","BEST_FPERIOD_OVERRIDE=FY","FILING_STATUS=OR","EQY_CONSOLIDATED=Y","FA_ADJUSTED=GAAP","Sort=A","Dates=H","DateFormat=P","Fill=—","Direction=H","UseDPDF=Y")</f>
        <v>#NAME?</v>
      </c>
      <c r="AP118" s="2" t="e">
        <f ca="1">_xll.BDH($C$103,"NET_INCOME_TO_COMMON_5_YR_GROWTH","FY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18" s="2" t="e">
        <f ca="1">_xll.BDH($C$103,"5Y_GEO_GROWTH_DILUTED_EPS","FY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18" s="2" t="e">
        <f ca="1">_xll.BDH($C$103,"GEO_GROW_DVD_PER_SH","FY 2017","FY 2017","Currency=INR","Period=FY","BEST_FPERIOD_OVERRIDE=FY","FILING_STATUS=OR","EQY_CONSOLIDATED=Y","Sort=A","Dates=H","DateFormat=P","Fill=—","Direction=H","UseDPDF=Y")</f>
        <v>#NAME?</v>
      </c>
      <c r="AS118" s="2" t="e">
        <f ca="1">_xll.BDH($C$103,"ACCOUNTS_RECEIVABLE_5_YR_GROWTH","FY 2017","FY 2017","Currency=INR","Period=FY","BEST_FPERIOD_OVERRIDE=FY","FILING_STATUS=OR","EQY_CONSOLIDATED=Y","Sort=A","Dates=H","DateFormat=P","Fill=—","Direction=H","UseDPDF=Y")</f>
        <v>#NAME?</v>
      </c>
      <c r="AT118" s="2" t="e">
        <f ca="1">_xll.BDH($C$103,"INVENTORY_5_YEAR_GROWTH","FY 2017","FY 2017","Currency=INR","Period=FY","BEST_FPERIOD_OVERRIDE=FY","FILING_STATUS=OR","EQY_CONSOLIDATED=Y","Sort=A","Dates=H","DateFormat=P","Fill=—","Direction=H","UseDPDF=Y")</f>
        <v>#NAME?</v>
      </c>
      <c r="AU118" s="2" t="e">
        <f ca="1">_xll.BDH($C$103,"NET_FIXED_ASSETS_5_YEAR_GROWTH","FY 2017","FY 2017","Currency=INR","Period=FY","BEST_FPERIOD_OVERRIDE=FY","FILING_STATUS=OR","EQY_CONSOLIDATED=Y","Sort=A","Dates=H","DateFormat=P","Fill=—","Direction=H","UseDPDF=Y")</f>
        <v>#NAME?</v>
      </c>
      <c r="AV118" s="2" t="e">
        <f ca="1">_xll.BDH($C$103,"GEO_GROW_TOT_ASSET","FY 2017","FY 2017","Currency=INR","Period=FY","BEST_FPERIOD_OVERRIDE=FY","FILING_STATUS=OR","EQY_CONSOLIDATED=Y","Sort=A","Dates=H","DateFormat=P","Fill=—","Direction=H","UseDPDF=Y")</f>
        <v>#NAME?</v>
      </c>
      <c r="AW118" s="2" t="e">
        <f ca="1">_xll.BDH($C$103,"MODIFIED_WORKING_CPTL_5YR_GRWTH","FY 2017","FY 2017","Currency=INR","Period=FY","BEST_FPERIOD_OVERRIDE=FY","FILING_STATUS=OR","EQY_CONSOLIDATED=Y","Sort=A","Dates=H","DateFormat=P","Fill=—","Direction=H","UseDPDF=Y")</f>
        <v>#NAME?</v>
      </c>
      <c r="AX118" s="2" t="e">
        <f ca="1">_xll.BDH($C$103,"WORKING_CAPITAL_5_YEAR_GROWTH","FY 2017","FY 2017","Currency=INR","Period=FY","BEST_FPERIOD_OVERRIDE=FY","FILING_STATUS=OR","EQY_CONSOLIDATED=Y","Sort=A","Dates=H","DateFormat=P","Fill=—","Direction=H","UseDPDF=Y")</f>
        <v>#NAME?</v>
      </c>
      <c r="AY118" s="2" t="e">
        <f ca="1">_xll.BDH($C$103,"ACCOUNTS_PAYABLE_5_YEAR_GROWTH","FY 2017","FY 2017","Currency=INR","Period=FY","BEST_FPERIOD_OVERRIDE=FY","FILING_STATUS=OR","EQY_CONSOLIDATED=Y","Sort=A","Dates=H","DateFormat=P","Fill=—","Direction=H","UseDPDF=Y")</f>
        <v>#NAME?</v>
      </c>
      <c r="AZ118" s="2" t="e">
        <f ca="1">_xll.BDH($C$103,"SHORT_TERM_DEBT_5_YEAR_GROWTH","FY 2017","FY 2017","Currency=INR","Period=FY","BEST_FPERIOD_OVERRIDE=FY","FILING_STATUS=OR","EQY_CONSOLIDATED=Y","Sort=A","Dates=H","DateFormat=P","Fill=—","Direction=H","UseDPDF=Y")</f>
        <v>#NAME?</v>
      </c>
      <c r="BA118" s="2" t="e">
        <f ca="1">_xll.BDH($C$103,"TOTAL_DEBT_5_YEAR_GROWTH","FY 2017","FY 2017","Currency=INR","Period=FY","BEST_FPERIOD_OVERRIDE=FY","FILING_STATUS=OR","EQY_CONSOLIDATED=Y","Sort=A","Dates=H","DateFormat=P","Fill=—","Direction=H","UseDPDF=Y")</f>
        <v>#NAME?</v>
      </c>
      <c r="BB118" s="2" t="e">
        <f ca="1">_xll.BDH($C$103,"GEO_GROW_TOT_SHRHLDR_EQY","FY 2017","FY 2017","Currency=INR","Period=FY","BEST_FPERIOD_OVERRIDE=FY","FILING_STATUS=OR","EQY_CONSOLIDATED=Y","Sort=A","Dates=H","DateFormat=P","Fill=—","Direction=H","UseDPDF=Y")</f>
        <v>#NAME?</v>
      </c>
      <c r="BC118" s="2" t="e">
        <f ca="1">_xll.BDH($C$103,"TOTAL_CAPITAL_5_YEAR_GROWTH","FY 2017","FY 2017","Currency=INR","Period=FY","BEST_FPERIOD_OVERRIDE=FY","FILING_STATUS=OR","EQY_CONSOLIDATED=Y","Sort=A","Dates=H","DateFormat=P","Fill=—","Direction=H","UseDPDF=Y")</f>
        <v>#NAME?</v>
      </c>
      <c r="BD118" s="2" t="e">
        <f ca="1">_xll.BDH($C$103,"GEO_GROW_BOOK_VAL","FY 2017","FY 2017","Currency=INR","Period=FY","BEST_FPERIOD_OVERRIDE=FY","FILING_STATUS=OR","EQY_CONSOLIDATED=Y","Sort=A","Dates=H","DateFormat=P","Fill=—","Direction=H","UseDPDF=Y")</f>
        <v>#NAME?</v>
      </c>
      <c r="BE118" s="2" t="e">
        <f ca="1">_xll.BDH($C$103,"GEO_GROW_CASH_OPER_ACT","FY 2017","FY 2017","Currency=INR","Period=FY","BEST_FPERIOD_OVERRIDE=FY","FILING_STATUS=OR","EQY_CONSOLIDATED=Y","Sort=A","Dates=H","DateFormat=P","Fill=—","Direction=H","UseDPDF=Y")</f>
        <v>#NAME?</v>
      </c>
      <c r="BF118" s="2" t="e">
        <f ca="1">_xll.BDH($C$103,"REVENUE_SEQUENTIAL_GROWTH","FY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18" s="2" t="e">
        <f ca="1">_xll.BDH($C$103,"EBITDA_SEQUENTIAL_GROWTH","FY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18" s="2" t="e">
        <f ca="1">_xll.BDH($C$103,"OPERATING_INCOME_SEQ_GROWTH","FY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18" s="2" t="e">
        <f ca="1">_xll.BDH($C$103,"NET_INCOME_TO_COMMON_SEQ_GROWTH","FY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18" s="2" t="e">
        <f ca="1">_xll.BDH($C$103,"EPS_DILUTED_SEQUENTIAL_GROWTH","FY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18" s="2" t="e">
        <f ca="1">_xll.BDH($C$103,"DPS_SEQUENTIAL_GROWTH","FY 2017","FY 2017","Currency=INR","Period=FY","BEST_FPERIOD_OVERRIDE=FY","FILING_STATUS=OR","EQY_CONSOLIDATED=Y","Sort=A","Dates=H","DateFormat=P","Fill=—","Direction=H","UseDPDF=Y")</f>
        <v>#NAME?</v>
      </c>
      <c r="BL118" s="2" t="e">
        <f ca="1">_xll.BDH($C$103,"ACCOUNTS_RECEIVABLE_SEQ_GROWTH","FY 2017","FY 2017","Currency=INR","Period=FY","BEST_FPERIOD_OVERRIDE=FY","FILING_STATUS=OR","EQY_CONSOLIDATED=Y","Sort=A","Dates=H","DateFormat=P","Fill=—","Direction=H","UseDPDF=Y")</f>
        <v>#NAME?</v>
      </c>
      <c r="BM118" s="2" t="e">
        <f ca="1">_xll.BDH($C$103,"INVENTORY_SEQUENTIAL_GROWTH","FY 2017","FY 2017","Currency=INR","Period=FY","BEST_FPERIOD_OVERRIDE=FY","FILING_STATUS=OR","EQY_CONSOLIDATED=Y","Sort=A","Dates=H","DateFormat=P","Fill=—","Direction=H","UseDPDF=Y")</f>
        <v>#NAME?</v>
      </c>
      <c r="BN118" s="2" t="e">
        <f ca="1">_xll.BDH($C$103,"FIXED_ASSETS_SEQUENTIAL_GROWTH","FY 2017","FY 2017","Currency=INR","Period=FY","BEST_FPERIOD_OVERRIDE=FY","FILING_STATUS=OR","EQY_CONSOLIDATED=Y","Sort=A","Dates=H","DateFormat=P","Fill=—","Direction=H","UseDPDF=Y")</f>
        <v>#NAME?</v>
      </c>
      <c r="BO118" s="2" t="e">
        <f ca="1">_xll.BDH($C$103,"TOTAL_ASSETS_SEQUENTIAL_GROWTH","FY 2017","FY 2017","Currency=INR","Period=FY","BEST_FPERIOD_OVERRIDE=FY","FILING_STATUS=OR","EQY_CONSOLIDATED=Y","Sort=A","Dates=H","DateFormat=P","Fill=—","Direction=H","UseDPDF=Y")</f>
        <v>#NAME?</v>
      </c>
      <c r="BP118" s="2" t="e">
        <f ca="1">_xll.BDH($C$103,"MODIFIED_WORKING_CPTL_SEQ_GRWTH","FY 2017","FY 2017","Currency=INR","Period=FY","BEST_FPERIOD_OVERRIDE=FY","FILING_STATUS=OR","EQY_CONSOLIDATED=Y","Sort=A","Dates=H","DateFormat=P","Fill=—","Direction=H","UseDPDF=Y")</f>
        <v>#NAME?</v>
      </c>
      <c r="BQ118" s="2" t="e">
        <f ca="1">_xll.BDH($C$103,"WORKING_CAPITAL_SEQ_GROWTH","FY 2017","FY 2017","Currency=INR","Period=FY","BEST_FPERIOD_OVERRIDE=FY","FILING_STATUS=OR","EQY_CONSOLIDATED=Y","Sort=A","Dates=H","DateFormat=P","Fill=—","Direction=H","UseDPDF=Y")</f>
        <v>#NAME?</v>
      </c>
      <c r="BR118" s="2" t="e">
        <f ca="1">_xll.BDH($C$103,"ACCOUNTS_PAYABLE_SEQ_GROWTH","FY 2017","FY 2017","Currency=INR","Period=FY","BEST_FPERIOD_OVERRIDE=FY","FILING_STATUS=OR","EQY_CONSOLIDATED=Y","Sort=A","Dates=H","DateFormat=P","Fill=—","Direction=H","UseDPDF=Y")</f>
        <v>#NAME?</v>
      </c>
      <c r="BS118" s="2" t="e">
        <f ca="1">_xll.BDH($C$103,"ST_DEBT_SEQUENTIAL_GROWTH","FY 2017","FY 2017","Currency=INR","Period=FY","BEST_FPERIOD_OVERRIDE=FY","FILING_STATUS=OR","EQY_CONSOLIDATED=Y","Sort=A","Dates=H","DateFormat=P","Fill=—","Direction=H","UseDPDF=Y")</f>
        <v>#NAME?</v>
      </c>
      <c r="BT118" s="2" t="e">
        <f ca="1">_xll.BDH($C$103,"TOTAL_DEBT_SEQUENTIAL_GROWTH","FY 2017","FY 2017","Currency=INR","Period=FY","BEST_FPERIOD_OVERRIDE=FY","FILING_STATUS=OR","EQY_CONSOLIDATED=Y","Sort=A","Dates=H","DateFormat=P","Fill=—","Direction=H","UseDPDF=Y")</f>
        <v>#NAME?</v>
      </c>
      <c r="BU118" s="2" t="e">
        <f ca="1">_xll.BDH($C$103,"TOTAL_EQUITY_SEQUENTIAL_GROWTH","FY 2017","FY 2017","Currency=INR","Period=FY","BEST_FPERIOD_OVERRIDE=FY","FILING_STATUS=OR","EQY_CONSOLIDATED=Y","Sort=A","Dates=H","DateFormat=P","Fill=—","Direction=H","UseDPDF=Y")</f>
        <v>#NAME?</v>
      </c>
      <c r="BV118" s="2" t="e">
        <f ca="1">_xll.BDH($C$103,"TOTAL_CAPITAL_SEQUENTIAL_GROWTH","FY 2017","FY 2017","Currency=INR","Period=FY","BEST_FPERIOD_OVERRIDE=FY","FILING_STATUS=OR","EQY_CONSOLIDATED=Y","Sort=A","Dates=H","DateFormat=P","Fill=—","Direction=H","UseDPDF=Y")</f>
        <v>#NAME?</v>
      </c>
      <c r="BW118" s="2" t="e">
        <f ca="1">_xll.BDH($C$103,"BPS_SEQUENTIAL_GROWTH","FY 2017","FY 2017","Currency=INR","Period=FY","BEST_FPERIOD_OVERRIDE=FY","FILING_STATUS=OR","EQY_CONSOLIDATED=Y","Sort=A","Dates=H","DateFormat=P","Fill=—","Direction=H","UseDPDF=Y")</f>
        <v>#NAME?</v>
      </c>
      <c r="BX118" s="2" t="e">
        <f ca="1">_xll.BDH($C$103,"CFO_SEQUENTIAL_GROWTH","FY 2017","FY 2017","Currency=INR","Period=FY","BEST_FPERIOD_OVERRIDE=FY","FILING_STATUS=OR","EQY_CONSOLIDATED=Y","Sort=A","Dates=H","DateFormat=P","Fill=—","Direction=H","UseDPDF=Y")</f>
        <v>#NAME?</v>
      </c>
      <c r="BY118" s="3" t="e">
        <f ca="1">_xll.BDH($C$103,"SHORT_AND_LONG_TERM_DEBT","FY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18" s="3" t="e">
        <f ca="1">_xll.BDH($C$103,"BS_ST_BORROW","FY 2017","FY 2017","Currency=INR","Period=FY","BEST_FPERIOD_OVERRIDE=FY","FILING_STATUS=OR","EQY_CONSOLIDATED=Y","SCALING_FORMAT=MLN","Sort=A","Dates=H","DateFormat=P","Fill=—","Direction=H","UseDPDF=Y")</f>
        <v>#NAME?</v>
      </c>
      <c r="CA118" s="3" t="e">
        <f ca="1">_xll.BDH($C$103,"BS_LT_BORROW","FY 2017","FY 2017","Currency=INR","Period=FY","BEST_FPERIOD_OVERRIDE=FY","FILING_STATUS=OR","EQY_CONSOLIDATED=Y","SCALING_FORMAT=MLN","Sort=A","Dates=H","DateFormat=P","Fill=—","Direction=H","UseDPDF=Y")</f>
        <v>#NAME?</v>
      </c>
      <c r="CB118" s="2" t="e">
        <f ca="1">_xll.BDH($C$103,"TOT_DEBT_TO_EBITDA","FY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18" s="2" t="e">
        <f ca="1">_xll.BDH($C$103,"NET_DEBT_TO_EBITDA","FY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18" s="2" t="e">
        <f ca="1">_xll.BDH($C$103,"TOTAL_DEBT_TO_EBIT","FY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18" s="2" t="e">
        <f ca="1">_xll.BDH($C$103,"NET_DEBT_TO_EBIT","FY 2017","FY 2017","Currency=INR","Period=FY","BEST_FPERIOD_OVERRIDE=FY","FILING_STATUS=OR","EQY_CONSOLIDATED=Y","FA_ADJUSTED=GAAP","Sort=A","Dates=H","DateFormat=P","Fill=—","Direction=H","UseDPDF=Y")</f>
        <v>#NAME?</v>
      </c>
      <c r="CF118" s="2" t="e">
        <f ca="1">_xll.BDH($C$103,"EBITDA_TO_INTEREST_EXPN","FY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18" s="2" t="e">
        <f ca="1">_xll.BDH($C$103,"COM_EQY_TO_TOT_ASSET","FY 2017","FY 2017","Currency=INR","Period=FY","BEST_FPERIOD_OVERRIDE=FY","FILING_STATUS=OR","EQY_CONSOLIDATED=Y","Sort=A","Dates=H","DateFormat=P","Fill=—","Direction=H","UseDPDF=Y")</f>
        <v>#NAME?</v>
      </c>
      <c r="CH118" s="2" t="e">
        <f ca="1">_xll.BDH($C$103,"LT_DEBT_TO_TOT_EQY","FY 2017","FY 2017","Currency=INR","Period=FY","BEST_FPERIOD_OVERRIDE=FY","FILING_STATUS=OR","EQY_CONSOLIDATED=Y","Sort=A","Dates=H","DateFormat=P","Fill=—","Direction=H","UseDPDF=Y")</f>
        <v>#NAME?</v>
      </c>
      <c r="CI118" s="2" t="e">
        <f ca="1">_xll.BDH($C$103,"LT_DEBT_TO_TOT_CAP","FY 2017","FY 2017","Currency=INR","Period=FY","BEST_FPERIOD_OVERRIDE=FY","FILING_STATUS=OR","EQY_CONSOLIDATED=Y","Sort=A","Dates=H","DateFormat=P","Fill=—","Direction=H","UseDPDF=Y")</f>
        <v>#NAME?</v>
      </c>
      <c r="CJ118" s="2" t="e">
        <f ca="1">_xll.BDH($C$103,"LT_DEBT_TO_TOT_ASSET","FY 2017","FY 2017","Currency=INR","Period=FY","BEST_FPERIOD_OVERRIDE=FY","FILING_STATUS=OR","EQY_CONSOLIDATED=Y","Sort=A","Dates=H","DateFormat=P","Fill=—","Direction=H","UseDPDF=Y")</f>
        <v>#NAME?</v>
      </c>
      <c r="CK118" s="2" t="e">
        <f ca="1">_xll.BDH($C$103,"TOT_DEBT_TO_TOT_EQY","FY 2017","FY 2017","Currency=INR","Period=FY","BEST_FPERIOD_OVERRIDE=FY","FILING_STATUS=OR","EQY_CONSOLIDATED=Y","Sort=A","Dates=H","DateFormat=P","Fill=—","Direction=H","UseDPDF=Y")</f>
        <v>#NAME?</v>
      </c>
      <c r="CL118" s="2" t="e">
        <f ca="1">_xll.BDH($C$103,"TOT_DEBT_TO_TOT_CAP","FY 2017","FY 2017","Currency=INR","Period=FY","BEST_FPERIOD_OVERRIDE=FY","FILING_STATUS=OR","EQY_CONSOLIDATED=Y","Sort=A","Dates=H","DateFormat=P","Fill=—","Direction=H","UseDPDF=Y")</f>
        <v>#NAME?</v>
      </c>
      <c r="CM118" s="2" t="e">
        <f ca="1">_xll.BDH($C$103,"TOT_DEBT_TO_TOT_ASSET","FY 2017","FY 2017","Currency=INR","Period=FY","BEST_FPERIOD_OVERRIDE=FY","FILING_STATUS=OR","EQY_CONSOLIDATED=Y","Sort=A","Dates=H","DateFormat=P","Fill=—","Direction=H","UseDPDF=Y")</f>
        <v>#NAME?</v>
      </c>
      <c r="CN118" s="2" t="e">
        <f ca="1">_xll.BDH($C$103,"NET_DEBT_TO_SHRHLDR_EQTY","FY 2017","FY 2017","Currency=INR","Period=FY","BEST_FPERIOD_OVERRIDE=FY","FILING_STATUS=OR","EQY_CONSOLIDATED=Y","Sort=A","Dates=H","DateFormat=P","Fill=—","Direction=H","UseDPDF=Y")</f>
        <v>#NAME?</v>
      </c>
      <c r="CO118" s="2" t="e">
        <f ca="1">_xll.BDH($C$103,"NET_DEBT_%_CAPITAL","FY 2017","FY 2017","Currency=INR","Period=FY","BEST_FPERIOD_OVERRIDE=FY","FILING_STATUS=OR","EQY_CONSOLIDATED=Y","Sort=A","Dates=H","DateFormat=P","Fill=—","Direction=H","UseDPDF=Y")</f>
        <v>#NAME?</v>
      </c>
      <c r="CP118" s="3" t="e">
        <f ca="1">_xll.BDH($C$103,"EBITDA","FY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18" s="3" t="e">
        <f ca="1">_xll.BDH($C$103,"EBITDA_AFTER_CAPEX","FY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18" s="3" t="e">
        <f ca="1">_xll.BDH($C$103,"IS_OPER_INC","FY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18" s="2" t="e">
        <f ca="1">_xll.BDH($C$103,"CASH_RATIO","FY 2017","FY 2017","Currency=INR","Period=FY","BEST_FPERIOD_OVERRIDE=FY","FILING_STATUS=OR","EQY_CONSOLIDATED=Y","Sort=A","Dates=H","DateFormat=P","Fill=—","Direction=H","UseDPDF=Y")</f>
        <v>#NAME?</v>
      </c>
      <c r="CT118" s="2" t="e">
        <f ca="1">_xll.BDH($C$103,"CUR_RATIO","FY 2017","FY 2017","Currency=INR","Period=FY","BEST_FPERIOD_OVERRIDE=FY","FILING_STATUS=OR","EQY_CONSOLIDATED=Y","Sort=A","Dates=H","DateFormat=P","Fill=—","Direction=H","UseDPDF=Y")</f>
        <v>#NAME?</v>
      </c>
      <c r="CU118" s="2" t="e">
        <f ca="1">_xll.BDH($C$103,"QUICK_RATIO","FY 2017","FY 2017","Currency=INR","Period=FY","BEST_FPERIOD_OVERRIDE=FY","FILING_STATUS=OR","EQY_CONSOLIDATED=Y","Sort=A","Dates=H","DateFormat=P","Fill=—","Direction=H","UseDPDF=Y")</f>
        <v>#NAME?</v>
      </c>
      <c r="CV118" s="2" t="e">
        <f ca="1">_xll.BDH($C$103,"ALTMAN_Z_SCORE","FY 2017","FY 2017","Currency=INR","Period=FY","BEST_FPERIOD_OVERRIDE=FY","FILING_STATUS=OR","EQY_CONSOLIDATED=Y","Sort=A","Dates=H","DateFormat=P","Fill=—","Direction=H","UseDPDF=Y")</f>
        <v>#NAME?</v>
      </c>
      <c r="CW118" s="4" t="e">
        <f ca="1">_xll.BDH($C$103,"ACCT_RCV_TURN","FY 2017","FY 2017","Currency=INR","Period=FY","BEST_FPERIOD_OVERRIDE=FY","FILING_STATUS=OR","EQY_CONSOLIDATED=Y","FA_ADJUSTED=GAAP","Sort=A","Dates=H","DateFormat=P","Fill=—","Direction=H","UseDPDF=Y")</f>
        <v>#NAME?</v>
      </c>
      <c r="CX118" s="2" t="e">
        <f ca="1">_xll.BDH($C$103,"ACCT_RCV_DAYS","FY 2017","FY 2017","Currency=INR","Period=FY","BEST_FPERIOD_OVERRIDE=FY","FILING_STATUS=OR","EQY_CONSOLIDATED=Y","FA_ADJUSTED=GAAP","Sort=A","Dates=H","DateFormat=P","Fill=—","Direction=H","UseDPDF=Y")</f>
        <v>#NAME?</v>
      </c>
      <c r="CY118" s="4" t="e">
        <f ca="1">_xll.BDH($C$103,"INVENT_TURN","FY 2017","FY 2017","Currency=INR","Period=FY","BEST_FPERIOD_OVERRIDE=FY","FILING_STATUS=OR","EQY_CONSOLIDATED=Y","FA_ADJUSTED=GAAP","Sort=A","Dates=H","DateFormat=P","Fill=—","Direction=H","UseDPDF=Y")</f>
        <v>#NAME?</v>
      </c>
      <c r="CZ118" s="2" t="e">
        <f ca="1">_xll.BDH($C$103,"INVENT_DAYS","FY 2017","FY 2017","Currency=INR","Period=FY","BEST_FPERIOD_OVERRIDE=FY","FILING_STATUS=OR","EQY_CONSOLIDATED=Y","FA_ADJUSTED=GAAP","Sort=A","Dates=H","DateFormat=P","Fill=—","Direction=H","UseDPDF=Y")</f>
        <v>#NAME?</v>
      </c>
      <c r="DA118" s="4" t="e">
        <f ca="1">_xll.BDH($C$103,"ACCOUNTS_PAYABLE_TURNOVER","FY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18" s="2" t="e">
        <f ca="1">_xll.BDH($C$103,"ACCOUNTS_PAYABLE_TURNOVER_DAYS","FY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18" s="4" t="e">
        <f ca="1">_xll.BDH($C$103,"CASH_CONVERSION_CYCLE","FY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18" s="4" t="e">
        <f ca="1">_xll.BDH($C$103,"INV_TO_CASH_DAYS","FY 2017","FY 2017","Currency=INR","Period=FY","BEST_FPERIOD_OVERRIDE=FY","FILING_STATUS=OR","EQY_CONSOLIDATED=Y","FA_ADJUSTED=GAAP","Sort=A","Dates=H","DateFormat=P","Fill=—","Direction=H","UseDPDF=Y")</f>
        <v>#NAME?</v>
      </c>
      <c r="DE118" s="5" t="e">
        <f ca="1">_xll.BDH($C$103,"BS_INVENTORIES","FY 2017","FY 2017","Currency=INR","Period=FY","BEST_FPERIOD_OVERRIDE=FY","FILING_STATUS=OR","EQY_CONSOLIDATED=Y","SCALING_FORMAT=MLN","Sort=A","Dates=H","DateFormat=P","Fill=—","Direction=H","UseDPDF=Y")</f>
        <v>#NAME?</v>
      </c>
      <c r="DF118" s="3" t="e">
        <f ca="1">_xll.BDH($C$103,"INVTRY_RAW_MATERIALS","FY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18" s="3" t="e">
        <f ca="1">_xll.BDH($C$103,"INVTRY_IN_PROGRESS","FY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18" s="3" t="e">
        <f ca="1">_xll.BDH($C$103,"INVTRY_FINISHED_GOODS","FY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18" s="3" t="e">
        <f ca="1">_xll.BDH($C$103,"BS_OTHER_INV","FY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19" spans="1:113" x14ac:dyDescent="0.3">
      <c r="A119" s="6"/>
      <c r="B119" s="6"/>
      <c r="C119" s="6"/>
      <c r="D119" s="6"/>
      <c r="E119" t="s">
        <v>78</v>
      </c>
      <c r="F119" t="e">
        <f ca="1">_xll.BDH($C$103,"RETURN_COM_EQY","FQ1 2017","FQ1 2017","Currency=INR","Period=FQ","BEST_FPERIOD_OVERRIDE=FQ","FILING_STATUS=OR","EQY_CONSOLIDATED=Y","FA_ADJUSTED=GAAP","Sort=A","Dates=H","DateFormat=P","Fill=—","Direction=H","UseDPDF=Y")</f>
        <v>#NAME?</v>
      </c>
      <c r="G119" t="e">
        <f ca="1">_xll.BDH($C$103,"RETURN_ON_ASSET","FQ1 2017","FQ1 2017","Currency=INR","Period=FQ","BEST_FPERIOD_OVERRIDE=FQ","FILING_STATUS=OR","EQY_CONSOLIDATED=Y","FA_ADJUSTED=GAAP","Sort=A","Dates=H","DateFormat=P","Fill=—","Direction=H","UseDPDF=Y")</f>
        <v>#NAME?</v>
      </c>
      <c r="H119" t="e">
        <f ca="1">_xll.BDH($C$103,"RETURN_ON_CAP","FQ1 2017","FQ1 2017","Currency=INR","Period=FQ","BEST_FPERIOD_OVERRIDE=FQ","FILING_STATUS=OR","EQY_CONSOLIDATED=Y","FA_ADJUSTED=GAAP","Sort=A","Dates=H","DateFormat=P","Fill=—","Direction=H","UseDPDF=Y")</f>
        <v>#NAME?</v>
      </c>
      <c r="I119" t="e">
        <f ca="1">_xll.BDH($C$103,"RETURN_ON_INV_CAPITAL","FQ1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19" t="e">
        <f ca="1">_xll.BDH($C$103,"EBITDA_TO_REVENUE","FQ1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19" t="e">
        <f ca="1">_xll.BDH($C$103,"OPER_MARGIN","FQ1 2017","FQ1 2017","Currency=INR","Period=FQ","BEST_FPERIOD_OVERRIDE=FQ","FILING_STATUS=OR","EQY_CONSOLIDATED=Y","FA_ADJUSTED=GAAP","Sort=A","Dates=H","DateFormat=P","Fill=—","Direction=H","UseDPDF=Y")</f>
        <v>#NAME?</v>
      </c>
      <c r="L119" t="e">
        <f ca="1">_xll.BDH($C$103,"INCREMENTAL_OPERATING_MARGIN","FQ1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19" t="e">
        <f ca="1">_xll.BDH($C$103,"PRETAX_INC_TO_NET_SALES","FQ1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19" t="e">
        <f ca="1">_xll.BDH($C$103,"INC_BEF_XO_ITEMS_TO_NET_SALES","FQ1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19" t="e">
        <f ca="1">_xll.BDH($C$103,"PROF_MARGIN","FQ1 2017","FQ1 2017","Currency=INR","Period=FQ","BEST_FPERIOD_OVERRIDE=FQ","FILING_STATUS=OR","EQY_CONSOLIDATED=Y","FA_ADJUSTED=GAAP","Sort=A","Dates=H","DateFormat=P","Fill=—","Direction=H","UseDPDF=Y")</f>
        <v>#NAME?</v>
      </c>
      <c r="P119" t="e">
        <f ca="1">_xll.BDH($C$103,"NET_INCOME_TO_COMMON_MARGIN","FQ1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19" t="e">
        <f ca="1">_xll.BDH($C$103,"EFF_TAX_RATE","FQ1 2017","FQ1 2017","Currency=INR","Period=FQ","BEST_FPERIOD_OVERRIDE=FQ","FILING_STATUS=OR","EQY_CONSOLIDATED=Y","FA_ADJUSTED=GAAP","Sort=A","Dates=H","DateFormat=P","Fill=—","Direction=H","UseDPDF=Y")</f>
        <v>#NAME?</v>
      </c>
      <c r="R119" t="e">
        <f ca="1">_xll.BDH($C$103,"DVD_PAYOUT_RATIO","FQ1 2017","FQ1 2017","Currency=INR","Period=FQ","BEST_FPERIOD_OVERRIDE=FQ","FILING_STATUS=OR","EQY_CONSOLIDATED=Y","FA_ADJUSTED=GAAP","Sort=A","Dates=H","DateFormat=P","Fill=—","Direction=H","UseDPDF=Y")</f>
        <v>#NAME?</v>
      </c>
      <c r="S119" t="e">
        <f ca="1">_xll.BDH($C$103,"SUSTAIN_GROWTH_RT","FQ1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19" s="2" t="e">
        <f ca="1">_xll.BDH($C$103,"SALES_GROWTH","FQ1 2017","FQ1 2017","Currency=INR","Period=FQ","BEST_FPERIOD_OVERRIDE=FQ","FILING_STATUS=OR","EQY_CONSOLIDATED=Y","FA_ADJUSTED=GAAP","Sort=A","Dates=H","DateFormat=P","Fill=—","Direction=H","UseDPDF=Y")</f>
        <v>#NAME?</v>
      </c>
      <c r="U119" s="2" t="e">
        <f ca="1">_xll.BDH($C$103,"EBITDA_GROWTH","FQ1 2017","FQ1 2017","Currency=INR","Period=FQ","BEST_FPERIOD_OVERRIDE=FQ","FILING_STATUS=OR","EQY_CONSOLIDATED=Y","FA_ADJUSTED=GAAP","Sort=A","Dates=H","DateFormat=P","Fill=—","Direction=H","UseDPDF=Y")</f>
        <v>#NAME?</v>
      </c>
      <c r="V119" s="2" t="e">
        <f ca="1">_xll.BDH($C$103,"OPER_INC_GROWTH","FQ1 2017","FQ1 2017","Currency=INR","Period=FQ","BEST_FPERIOD_OVERRIDE=FQ","FILING_STATUS=OR","EQY_CONSOLIDATED=Y","FA_ADJUSTED=GAAP","Sort=A","Dates=H","DateFormat=P","Fill=—","Direction=H","UseDPDF=Y")</f>
        <v>#NAME?</v>
      </c>
      <c r="W119" s="2" t="e">
        <f ca="1">_xll.BDH($C$103,"EARN_FOR_COM_GROWTH","FQ1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19" s="2" t="e">
        <f ca="1">_xll.BDH($C$103,"DILUTED_EPS_AFT_XO_ITEMS_GROWTH","FQ1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19" s="2" t="e">
        <f ca="1">_xll.BDH($C$103,"DIVIDEND_PER_SHARE_1_YEAR_GROWTH","FQ1 2017","FQ1 2017","Currency=INR","Period=FQ","BEST_FPERIOD_OVERRIDE=FQ","FILING_STATUS=OR","EQY_CONSOLIDATED=Y","Sort=A","Dates=H","DateFormat=P","Fill=—","Direction=H","UseDPDF=Y")</f>
        <v>#NAME?</v>
      </c>
      <c r="Z119" s="2" t="e">
        <f ca="1">_xll.BDH($C$103,"ACCOUNTS_RECEIVABLE_GROWTH","FQ1 2017","FQ1 2017","Currency=INR","Period=FQ","BEST_FPERIOD_OVERRIDE=FQ","FILING_STATUS=OR","EQY_CONSOLIDATED=Y","Sort=A","Dates=H","DateFormat=P","Fill=—","Direction=H","UseDPDF=Y")</f>
        <v>#NAME?</v>
      </c>
      <c r="AA119" s="2" t="e">
        <f ca="1">_xll.BDH($C$103,"INVENTORY_GROWTH","FQ1 2017","FQ1 2017","Currency=INR","Period=FQ","BEST_FPERIOD_OVERRIDE=FQ","FILING_STATUS=OR","EQY_CONSOLIDATED=Y","Sort=A","Dates=H","DateFormat=P","Fill=—","Direction=H","UseDPDF=Y")</f>
        <v>#NAME?</v>
      </c>
      <c r="AB119" s="2" t="e">
        <f ca="1">_xll.BDH($C$103,"NET_FIXED_ASSETS_1_YEAR_GROWTH","FQ1 2017","FQ1 2017","Currency=INR","Period=FQ","BEST_FPERIOD_OVERRIDE=FQ","FILING_STATUS=OR","EQY_CONSOLIDATED=Y","Sort=A","Dates=H","DateFormat=P","Fill=—","Direction=H","UseDPDF=Y")</f>
        <v>#NAME?</v>
      </c>
      <c r="AC119" s="2" t="e">
        <f ca="1">_xll.BDH($C$103,"ASSET_GROWTH","FQ1 2017","FQ1 2017","Currency=INR","Period=FQ","BEST_FPERIOD_OVERRIDE=FQ","FILING_STATUS=OR","EQY_CONSOLIDATED=Y","Sort=A","Dates=H","DateFormat=P","Fill=—","Direction=H","UseDPDF=Y")</f>
        <v>#NAME?</v>
      </c>
      <c r="AD119" s="2" t="e">
        <f ca="1">_xll.BDH($C$103,"MODIFIED_WORK_CAP_GROWTH","FQ1 2017","FQ1 2017","Currency=INR","Period=FQ","BEST_FPERIOD_OVERRIDE=FQ","FILING_STATUS=OR","EQY_CONSOLIDATED=Y","Sort=A","Dates=H","DateFormat=P","Fill=—","Direction=H","UseDPDF=Y")</f>
        <v>#NAME?</v>
      </c>
      <c r="AE119" s="2" t="e">
        <f ca="1">_xll.BDH($C$103,"WORK_CAP_GROWTH","FQ1 2017","FQ1 2017","Currency=INR","Period=FQ","BEST_FPERIOD_OVERRIDE=FQ","FILING_STATUS=OR","EQY_CONSOLIDATED=Y","Sort=A","Dates=H","DateFormat=P","Fill=—","Direction=H","UseDPDF=Y")</f>
        <v>#NAME?</v>
      </c>
      <c r="AF119" s="2" t="e">
        <f ca="1">_xll.BDH($C$103,"ACCOUNTS_PAYABLE_GROWTH_1YR","FQ1 2017","FQ1 2017","Currency=INR","Period=FQ","BEST_FPERIOD_OVERRIDE=FQ","FILING_STATUS=OR","EQY_CONSOLIDATED=Y","Sort=A","Dates=H","DateFormat=P","Fill=—","Direction=H","UseDPDF=Y")</f>
        <v>#NAME?</v>
      </c>
      <c r="AG119" s="2" t="e">
        <f ca="1">_xll.BDH($C$103,"SHORT_TERM_DEBT_1_YEAR_GROWTH","FQ1 2017","FQ1 2017","Currency=INR","Period=FQ","BEST_FPERIOD_OVERRIDE=FQ","FILING_STATUS=OR","EQY_CONSOLIDATED=Y","Sort=A","Dates=H","DateFormat=P","Fill=—","Direction=H","UseDPDF=Y")</f>
        <v>#NAME?</v>
      </c>
      <c r="AH119" s="2" t="e">
        <f ca="1">_xll.BDH($C$103,"TOTAL_DEBT_1_YEAR_GROWTH","FQ1 2017","FQ1 2017","Currency=INR","Period=FQ","BEST_FPERIOD_OVERRIDE=FQ","FILING_STATUS=OR","EQY_CONSOLIDATED=Y","Sort=A","Dates=H","DateFormat=P","Fill=—","Direction=H","UseDPDF=Y")</f>
        <v>#NAME?</v>
      </c>
      <c r="AI119" s="2" t="e">
        <f ca="1">_xll.BDH($C$103,"TOTAL_EQUITY_1_YEAR_GROWTH","FQ1 2017","FQ1 2017","Currency=INR","Period=FQ","BEST_FPERIOD_OVERRIDE=FQ","FILING_STATUS=OR","EQY_CONSOLIDATED=Y","Sort=A","Dates=H","DateFormat=P","Fill=—","Direction=H","UseDPDF=Y")</f>
        <v>#NAME?</v>
      </c>
      <c r="AJ119" s="2" t="e">
        <f ca="1">_xll.BDH($C$103,"GROWTH_IN_CAP","FQ1 2017","FQ1 2017","Currency=INR","Period=FQ","BEST_FPERIOD_OVERRIDE=FQ","FILING_STATUS=OR","EQY_CONSOLIDATED=Y","Sort=A","Dates=H","DateFormat=P","Fill=—","Direction=H","UseDPDF=Y")</f>
        <v>#NAME?</v>
      </c>
      <c r="AK119" s="2" t="e">
        <f ca="1">_xll.BDH($C$103,"BVPS_GROWTH","FQ1 2017","FQ1 2017","Currency=INR","Period=FQ","BEST_FPERIOD_OVERRIDE=FQ","FILING_STATUS=OR","EQY_CONSOLIDATED=Y","Sort=A","Dates=H","DateFormat=P","Fill=—","Direction=H","UseDPDF=Y")</f>
        <v>#NAME?</v>
      </c>
      <c r="AL119" s="2" t="e">
        <f ca="1">_xll.BDH($C$103,"CASH_FLOW_GROWTH","FQ1 2017","FQ1 2017","Currency=INR","Period=FQ","BEST_FPERIOD_OVERRIDE=FQ","FILING_STATUS=OR","EQY_CONSOLIDATED=Y","Sort=A","Dates=H","DateFormat=P","Fill=—","Direction=H","UseDPDF=Y")</f>
        <v>#NAME?</v>
      </c>
      <c r="AM119" s="2" t="e">
        <f ca="1">_xll.BDH($C$103,"GEO_GROW_NET_SALES","FQ1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19" s="2" t="e">
        <f ca="1">_xll.BDH($C$103,"GEO_GROW_EBITDA","FQ1 2017","FQ1 2017","Currency=INR","Period=FQ","BEST_FPERIOD_OVERRIDE=FQ","FILING_STATUS=OR","EQY_CONSOLIDATED=Y","FA_ADJUSTED=GAAP","Sort=A","Dates=H","DateFormat=P","Fill=—","Direction=H","UseDPDF=Y")</f>
        <v>#NAME?</v>
      </c>
      <c r="AO119" s="2" t="e">
        <f ca="1">_xll.BDH($C$103,"GEO_GROW_OPER_INC","FQ1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19" s="2" t="e">
        <f ca="1">_xll.BDH($C$103,"NET_INCOME_TO_COMMON_5_YR_GROWTH","FQ1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19" s="2" t="e">
        <f ca="1">_xll.BDH($C$103,"5Y_GEO_GROWTH_DILUTED_EPS","FQ1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19" s="2" t="e">
        <f ca="1">_xll.BDH($C$103,"GEO_GROW_DVD_PER_SH","FQ1 2017","FQ1 2017","Currency=INR","Period=FQ","BEST_FPERIOD_OVERRIDE=FQ","FILING_STATUS=OR","EQY_CONSOLIDATED=Y","Sort=A","Dates=H","DateFormat=P","Fill=—","Direction=H","UseDPDF=Y")</f>
        <v>#NAME?</v>
      </c>
      <c r="AS119" s="2" t="e">
        <f ca="1">_xll.BDH($C$103,"ACCOUNTS_RECEIVABLE_5_YR_GROWTH","FQ1 2017","FQ1 2017","Currency=INR","Period=FQ","BEST_FPERIOD_OVERRIDE=FQ","FILING_STATUS=OR","EQY_CONSOLIDATED=Y","Sort=A","Dates=H","DateFormat=P","Fill=—","Direction=H","UseDPDF=Y")</f>
        <v>#NAME?</v>
      </c>
      <c r="AT119" s="2" t="e">
        <f ca="1">_xll.BDH($C$103,"INVENTORY_5_YEAR_GROWTH","FQ1 2017","FQ1 2017","Currency=INR","Period=FQ","BEST_FPERIOD_OVERRIDE=FQ","FILING_STATUS=OR","EQY_CONSOLIDATED=Y","Sort=A","Dates=H","DateFormat=P","Fill=—","Direction=H","UseDPDF=Y")</f>
        <v>#NAME?</v>
      </c>
      <c r="AU119" s="2" t="e">
        <f ca="1">_xll.BDH($C$103,"NET_FIXED_ASSETS_5_YEAR_GROWTH","FQ1 2017","FQ1 2017","Currency=INR","Period=FQ","BEST_FPERIOD_OVERRIDE=FQ","FILING_STATUS=OR","EQY_CONSOLIDATED=Y","Sort=A","Dates=H","DateFormat=P","Fill=—","Direction=H","UseDPDF=Y")</f>
        <v>#NAME?</v>
      </c>
      <c r="AV119" s="2" t="e">
        <f ca="1">_xll.BDH($C$103,"GEO_GROW_TOT_ASSET","FQ1 2017","FQ1 2017","Currency=INR","Period=FQ","BEST_FPERIOD_OVERRIDE=FQ","FILING_STATUS=OR","EQY_CONSOLIDATED=Y","Sort=A","Dates=H","DateFormat=P","Fill=—","Direction=H","UseDPDF=Y")</f>
        <v>#NAME?</v>
      </c>
      <c r="AW119" s="2" t="e">
        <f ca="1">_xll.BDH($C$103,"MODIFIED_WORKING_CPTL_5YR_GRWTH","FQ1 2017","FQ1 2017","Currency=INR","Period=FQ","BEST_FPERIOD_OVERRIDE=FQ","FILING_STATUS=OR","EQY_CONSOLIDATED=Y","Sort=A","Dates=H","DateFormat=P","Fill=—","Direction=H","UseDPDF=Y")</f>
        <v>#NAME?</v>
      </c>
      <c r="AX119" s="2" t="e">
        <f ca="1">_xll.BDH($C$103,"WORKING_CAPITAL_5_YEAR_GROWTH","FQ1 2017","FQ1 2017","Currency=INR","Period=FQ","BEST_FPERIOD_OVERRIDE=FQ","FILING_STATUS=OR","EQY_CONSOLIDATED=Y","Sort=A","Dates=H","DateFormat=P","Fill=—","Direction=H","UseDPDF=Y")</f>
        <v>#NAME?</v>
      </c>
      <c r="AY119" s="2" t="e">
        <f ca="1">_xll.BDH($C$103,"ACCOUNTS_PAYABLE_5_YEAR_GROWTH","FQ1 2017","FQ1 2017","Currency=INR","Period=FQ","BEST_FPERIOD_OVERRIDE=FQ","FILING_STATUS=OR","EQY_CONSOLIDATED=Y","Sort=A","Dates=H","DateFormat=P","Fill=—","Direction=H","UseDPDF=Y")</f>
        <v>#NAME?</v>
      </c>
      <c r="AZ119" s="2" t="e">
        <f ca="1">_xll.BDH($C$103,"SHORT_TERM_DEBT_5_YEAR_GROWTH","FQ1 2017","FQ1 2017","Currency=INR","Period=FQ","BEST_FPERIOD_OVERRIDE=FQ","FILING_STATUS=OR","EQY_CONSOLIDATED=Y","Sort=A","Dates=H","DateFormat=P","Fill=—","Direction=H","UseDPDF=Y")</f>
        <v>#NAME?</v>
      </c>
      <c r="BA119" s="2" t="e">
        <f ca="1">_xll.BDH($C$103,"TOTAL_DEBT_5_YEAR_GROWTH","FQ1 2017","FQ1 2017","Currency=INR","Period=FQ","BEST_FPERIOD_OVERRIDE=FQ","FILING_STATUS=OR","EQY_CONSOLIDATED=Y","Sort=A","Dates=H","DateFormat=P","Fill=—","Direction=H","UseDPDF=Y")</f>
        <v>#NAME?</v>
      </c>
      <c r="BB119" s="2" t="e">
        <f ca="1">_xll.BDH($C$103,"GEO_GROW_TOT_SHRHLDR_EQY","FQ1 2017","FQ1 2017","Currency=INR","Period=FQ","BEST_FPERIOD_OVERRIDE=FQ","FILING_STATUS=OR","EQY_CONSOLIDATED=Y","Sort=A","Dates=H","DateFormat=P","Fill=—","Direction=H","UseDPDF=Y")</f>
        <v>#NAME?</v>
      </c>
      <c r="BC119" s="2" t="e">
        <f ca="1">_xll.BDH($C$103,"TOTAL_CAPITAL_5_YEAR_GROWTH","FQ1 2017","FQ1 2017","Currency=INR","Period=FQ","BEST_FPERIOD_OVERRIDE=FQ","FILING_STATUS=OR","EQY_CONSOLIDATED=Y","Sort=A","Dates=H","DateFormat=P","Fill=—","Direction=H","UseDPDF=Y")</f>
        <v>#NAME?</v>
      </c>
      <c r="BD119" s="2" t="e">
        <f ca="1">_xll.BDH($C$103,"GEO_GROW_BOOK_VAL","FQ1 2017","FQ1 2017","Currency=INR","Period=FQ","BEST_FPERIOD_OVERRIDE=FQ","FILING_STATUS=OR","EQY_CONSOLIDATED=Y","Sort=A","Dates=H","DateFormat=P","Fill=—","Direction=H","UseDPDF=Y")</f>
        <v>#NAME?</v>
      </c>
      <c r="BE119" s="2" t="e">
        <f ca="1">_xll.BDH($C$103,"GEO_GROW_CASH_OPER_ACT","FQ1 2017","FQ1 2017","Currency=INR","Period=FQ","BEST_FPERIOD_OVERRIDE=FQ","FILING_STATUS=OR","EQY_CONSOLIDATED=Y","Sort=A","Dates=H","DateFormat=P","Fill=—","Direction=H","UseDPDF=Y")</f>
        <v>#NAME?</v>
      </c>
      <c r="BF119" s="2" t="e">
        <f ca="1">_xll.BDH($C$103,"REVENUE_SEQUENTIAL_GROWTH","FQ1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19" s="2" t="e">
        <f ca="1">_xll.BDH($C$103,"EBITDA_SEQUENTIAL_GROWTH","FQ1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19" s="2" t="e">
        <f ca="1">_xll.BDH($C$103,"OPERATING_INCOME_SEQ_GROWTH","FQ1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19" s="2" t="e">
        <f ca="1">_xll.BDH($C$103,"NET_INCOME_TO_COMMON_SEQ_GROWTH","FQ1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19" s="2" t="e">
        <f ca="1">_xll.BDH($C$103,"EPS_DILUTED_SEQUENTIAL_GROWTH","FQ1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19" s="2" t="e">
        <f ca="1">_xll.BDH($C$103,"DPS_SEQUENTIAL_GROWTH","FQ1 2017","FQ1 2017","Currency=INR","Period=FQ","BEST_FPERIOD_OVERRIDE=FQ","FILING_STATUS=OR","EQY_CONSOLIDATED=Y","Sort=A","Dates=H","DateFormat=P","Fill=—","Direction=H","UseDPDF=Y")</f>
        <v>#NAME?</v>
      </c>
      <c r="BL119" s="2" t="e">
        <f ca="1">_xll.BDH($C$103,"ACCOUNTS_RECEIVABLE_SEQ_GROWTH","FQ1 2017","FQ1 2017","Currency=INR","Period=FQ","BEST_FPERIOD_OVERRIDE=FQ","FILING_STATUS=OR","EQY_CONSOLIDATED=Y","Sort=A","Dates=H","DateFormat=P","Fill=—","Direction=H","UseDPDF=Y")</f>
        <v>#NAME?</v>
      </c>
      <c r="BM119" s="2" t="e">
        <f ca="1">_xll.BDH($C$103,"INVENTORY_SEQUENTIAL_GROWTH","FQ1 2017","FQ1 2017","Currency=INR","Period=FQ","BEST_FPERIOD_OVERRIDE=FQ","FILING_STATUS=OR","EQY_CONSOLIDATED=Y","Sort=A","Dates=H","DateFormat=P","Fill=—","Direction=H","UseDPDF=Y")</f>
        <v>#NAME?</v>
      </c>
      <c r="BN119" s="2" t="e">
        <f ca="1">_xll.BDH($C$103,"FIXED_ASSETS_SEQUENTIAL_GROWTH","FQ1 2017","FQ1 2017","Currency=INR","Period=FQ","BEST_FPERIOD_OVERRIDE=FQ","FILING_STATUS=OR","EQY_CONSOLIDATED=Y","Sort=A","Dates=H","DateFormat=P","Fill=—","Direction=H","UseDPDF=Y")</f>
        <v>#NAME?</v>
      </c>
      <c r="BO119" s="2" t="e">
        <f ca="1">_xll.BDH($C$103,"TOTAL_ASSETS_SEQUENTIAL_GROWTH","FQ1 2017","FQ1 2017","Currency=INR","Period=FQ","BEST_FPERIOD_OVERRIDE=FQ","FILING_STATUS=OR","EQY_CONSOLIDATED=Y","Sort=A","Dates=H","DateFormat=P","Fill=—","Direction=H","UseDPDF=Y")</f>
        <v>#NAME?</v>
      </c>
      <c r="BP119" s="2" t="e">
        <f ca="1">_xll.BDH($C$103,"MODIFIED_WORKING_CPTL_SEQ_GRWTH","FQ1 2017","FQ1 2017","Currency=INR","Period=FQ","BEST_FPERIOD_OVERRIDE=FQ","FILING_STATUS=OR","EQY_CONSOLIDATED=Y","Sort=A","Dates=H","DateFormat=P","Fill=—","Direction=H","UseDPDF=Y")</f>
        <v>#NAME?</v>
      </c>
      <c r="BQ119" s="2" t="e">
        <f ca="1">_xll.BDH($C$103,"WORKING_CAPITAL_SEQ_GROWTH","FQ1 2017","FQ1 2017","Currency=INR","Period=FQ","BEST_FPERIOD_OVERRIDE=FQ","FILING_STATUS=OR","EQY_CONSOLIDATED=Y","Sort=A","Dates=H","DateFormat=P","Fill=—","Direction=H","UseDPDF=Y")</f>
        <v>#NAME?</v>
      </c>
      <c r="BR119" s="2" t="e">
        <f ca="1">_xll.BDH($C$103,"ACCOUNTS_PAYABLE_SEQ_GROWTH","FQ1 2017","FQ1 2017","Currency=INR","Period=FQ","BEST_FPERIOD_OVERRIDE=FQ","FILING_STATUS=OR","EQY_CONSOLIDATED=Y","Sort=A","Dates=H","DateFormat=P","Fill=—","Direction=H","UseDPDF=Y")</f>
        <v>#NAME?</v>
      </c>
      <c r="BS119" s="2" t="e">
        <f ca="1">_xll.BDH($C$103,"ST_DEBT_SEQUENTIAL_GROWTH","FQ1 2017","FQ1 2017","Currency=INR","Period=FQ","BEST_FPERIOD_OVERRIDE=FQ","FILING_STATUS=OR","EQY_CONSOLIDATED=Y","Sort=A","Dates=H","DateFormat=P","Fill=—","Direction=H","UseDPDF=Y")</f>
        <v>#NAME?</v>
      </c>
      <c r="BT119" s="2" t="e">
        <f ca="1">_xll.BDH($C$103,"TOTAL_DEBT_SEQUENTIAL_GROWTH","FQ1 2017","FQ1 2017","Currency=INR","Period=FQ","BEST_FPERIOD_OVERRIDE=FQ","FILING_STATUS=OR","EQY_CONSOLIDATED=Y","Sort=A","Dates=H","DateFormat=P","Fill=—","Direction=H","UseDPDF=Y")</f>
        <v>#NAME?</v>
      </c>
      <c r="BU119" s="2" t="e">
        <f ca="1">_xll.BDH($C$103,"TOTAL_EQUITY_SEQUENTIAL_GROWTH","FQ1 2017","FQ1 2017","Currency=INR","Period=FQ","BEST_FPERIOD_OVERRIDE=FQ","FILING_STATUS=OR","EQY_CONSOLIDATED=Y","Sort=A","Dates=H","DateFormat=P","Fill=—","Direction=H","UseDPDF=Y")</f>
        <v>#NAME?</v>
      </c>
      <c r="BV119" s="2" t="e">
        <f ca="1">_xll.BDH($C$103,"TOTAL_CAPITAL_SEQUENTIAL_GROWTH","FQ1 2017","FQ1 2017","Currency=INR","Period=FQ","BEST_FPERIOD_OVERRIDE=FQ","FILING_STATUS=OR","EQY_CONSOLIDATED=Y","Sort=A","Dates=H","DateFormat=P","Fill=—","Direction=H","UseDPDF=Y")</f>
        <v>#NAME?</v>
      </c>
      <c r="BW119" s="2" t="e">
        <f ca="1">_xll.BDH($C$103,"BPS_SEQUENTIAL_GROWTH","FQ1 2017","FQ1 2017","Currency=INR","Period=FQ","BEST_FPERIOD_OVERRIDE=FQ","FILING_STATUS=OR","EQY_CONSOLIDATED=Y","Sort=A","Dates=H","DateFormat=P","Fill=—","Direction=H","UseDPDF=Y")</f>
        <v>#NAME?</v>
      </c>
      <c r="BX119" s="2" t="e">
        <f ca="1">_xll.BDH($C$103,"CFO_SEQUENTIAL_GROWTH","FQ1 2017","FQ1 2017","Currency=INR","Period=FQ","BEST_FPERIOD_OVERRIDE=FQ","FILING_STATUS=OR","EQY_CONSOLIDATED=Y","Sort=A","Dates=H","DateFormat=P","Fill=—","Direction=H","UseDPDF=Y")</f>
        <v>#NAME?</v>
      </c>
      <c r="BY119" s="3" t="e">
        <f ca="1">_xll.BDH($C$103,"SHORT_AND_LONG_TERM_DEBT","FQ1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19" s="3" t="e">
        <f ca="1">_xll.BDH($C$103,"BS_ST_BORROW","FQ1 2017","FQ1 2017","Currency=INR","Period=FQ","BEST_FPERIOD_OVERRIDE=FQ","FILING_STATUS=OR","EQY_CONSOLIDATED=Y","SCALING_FORMAT=MLN","Sort=A","Dates=H","DateFormat=P","Fill=—","Direction=H","UseDPDF=Y")</f>
        <v>#NAME?</v>
      </c>
      <c r="CA119" s="3" t="e">
        <f ca="1">_xll.BDH($C$103,"BS_LT_BORROW","FQ1 2017","FQ1 2017","Currency=INR","Period=FQ","BEST_FPERIOD_OVERRIDE=FQ","FILING_STATUS=OR","EQY_CONSOLIDATED=Y","SCALING_FORMAT=MLN","Sort=A","Dates=H","DateFormat=P","Fill=—","Direction=H","UseDPDF=Y")</f>
        <v>#NAME?</v>
      </c>
      <c r="CB119" s="2" t="e">
        <f ca="1">_xll.BDH($C$103,"TOT_DEBT_TO_EBITDA","FQ1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19" s="2" t="e">
        <f ca="1">_xll.BDH($C$103,"NET_DEBT_TO_EBITDA","FQ1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19" s="2" t="e">
        <f ca="1">_xll.BDH($C$103,"TOTAL_DEBT_TO_EBIT","FQ1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19" s="2" t="e">
        <f ca="1">_xll.BDH($C$103,"NET_DEBT_TO_EBIT","FQ1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19" s="2" t="e">
        <f ca="1">_xll.BDH($C$103,"EBITDA_TO_INTEREST_EXPN","FQ1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19" s="2" t="e">
        <f ca="1">_xll.BDH($C$103,"COM_EQY_TO_TOT_ASSET","FQ1 2017","FQ1 2017","Currency=INR","Period=FQ","BEST_FPERIOD_OVERRIDE=FQ","FILING_STATUS=OR","EQY_CONSOLIDATED=Y","Sort=A","Dates=H","DateFormat=P","Fill=—","Direction=H","UseDPDF=Y")</f>
        <v>#NAME?</v>
      </c>
      <c r="CH119" s="2" t="e">
        <f ca="1">_xll.BDH($C$103,"LT_DEBT_TO_TOT_EQY","FQ1 2017","FQ1 2017","Currency=INR","Period=FQ","BEST_FPERIOD_OVERRIDE=FQ","FILING_STATUS=OR","EQY_CONSOLIDATED=Y","Sort=A","Dates=H","DateFormat=P","Fill=—","Direction=H","UseDPDF=Y")</f>
        <v>#NAME?</v>
      </c>
      <c r="CI119" s="2" t="e">
        <f ca="1">_xll.BDH($C$103,"LT_DEBT_TO_TOT_CAP","FQ1 2017","FQ1 2017","Currency=INR","Period=FQ","BEST_FPERIOD_OVERRIDE=FQ","FILING_STATUS=OR","EQY_CONSOLIDATED=Y","Sort=A","Dates=H","DateFormat=P","Fill=—","Direction=H","UseDPDF=Y")</f>
        <v>#NAME?</v>
      </c>
      <c r="CJ119" s="2" t="e">
        <f ca="1">_xll.BDH($C$103,"LT_DEBT_TO_TOT_ASSET","FQ1 2017","FQ1 2017","Currency=INR","Period=FQ","BEST_FPERIOD_OVERRIDE=FQ","FILING_STATUS=OR","EQY_CONSOLIDATED=Y","Sort=A","Dates=H","DateFormat=P","Fill=—","Direction=H","UseDPDF=Y")</f>
        <v>#NAME?</v>
      </c>
      <c r="CK119" s="2" t="e">
        <f ca="1">_xll.BDH($C$103,"TOT_DEBT_TO_TOT_EQY","FQ1 2017","FQ1 2017","Currency=INR","Period=FQ","BEST_FPERIOD_OVERRIDE=FQ","FILING_STATUS=OR","EQY_CONSOLIDATED=Y","Sort=A","Dates=H","DateFormat=P","Fill=—","Direction=H","UseDPDF=Y")</f>
        <v>#NAME?</v>
      </c>
      <c r="CL119" s="2" t="e">
        <f ca="1">_xll.BDH($C$103,"TOT_DEBT_TO_TOT_CAP","FQ1 2017","FQ1 2017","Currency=INR","Period=FQ","BEST_FPERIOD_OVERRIDE=FQ","FILING_STATUS=OR","EQY_CONSOLIDATED=Y","Sort=A","Dates=H","DateFormat=P","Fill=—","Direction=H","UseDPDF=Y")</f>
        <v>#NAME?</v>
      </c>
      <c r="CM119" s="2" t="e">
        <f ca="1">_xll.BDH($C$103,"TOT_DEBT_TO_TOT_ASSET","FQ1 2017","FQ1 2017","Currency=INR","Period=FQ","BEST_FPERIOD_OVERRIDE=FQ","FILING_STATUS=OR","EQY_CONSOLIDATED=Y","Sort=A","Dates=H","DateFormat=P","Fill=—","Direction=H","UseDPDF=Y")</f>
        <v>#NAME?</v>
      </c>
      <c r="CN119" s="2" t="e">
        <f ca="1">_xll.BDH($C$103,"NET_DEBT_TO_SHRHLDR_EQTY","FQ1 2017","FQ1 2017","Currency=INR","Period=FQ","BEST_FPERIOD_OVERRIDE=FQ","FILING_STATUS=OR","EQY_CONSOLIDATED=Y","Sort=A","Dates=H","DateFormat=P","Fill=—","Direction=H","UseDPDF=Y")</f>
        <v>#NAME?</v>
      </c>
      <c r="CO119" s="2" t="e">
        <f ca="1">_xll.BDH($C$103,"NET_DEBT_%_CAPITAL","FQ1 2017","FQ1 2017","Currency=INR","Period=FQ","BEST_FPERIOD_OVERRIDE=FQ","FILING_STATUS=OR","EQY_CONSOLIDATED=Y","Sort=A","Dates=H","DateFormat=P","Fill=—","Direction=H","UseDPDF=Y")</f>
        <v>#NAME?</v>
      </c>
      <c r="CP119" s="3" t="e">
        <f ca="1">_xll.BDH($C$103,"EBITDA","FQ1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19" s="3" t="e">
        <f ca="1">_xll.BDH($C$103,"EBITDA_AFTER_CAPEX","FQ1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19" s="3" t="e">
        <f ca="1">_xll.BDH($C$103,"IS_OPER_INC","FQ1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19" s="2" t="e">
        <f ca="1">_xll.BDH($C$103,"CASH_RATIO","FQ1 2017","FQ1 2017","Currency=INR","Period=FQ","BEST_FPERIOD_OVERRIDE=FQ","FILING_STATUS=OR","EQY_CONSOLIDATED=Y","Sort=A","Dates=H","DateFormat=P","Fill=—","Direction=H","UseDPDF=Y")</f>
        <v>#NAME?</v>
      </c>
      <c r="CT119" s="2" t="e">
        <f ca="1">_xll.BDH($C$103,"CUR_RATIO","FQ1 2017","FQ1 2017","Currency=INR","Period=FQ","BEST_FPERIOD_OVERRIDE=FQ","FILING_STATUS=OR","EQY_CONSOLIDATED=Y","Sort=A","Dates=H","DateFormat=P","Fill=—","Direction=H","UseDPDF=Y")</f>
        <v>#NAME?</v>
      </c>
      <c r="CU119" s="2" t="e">
        <f ca="1">_xll.BDH($C$103,"QUICK_RATIO","FQ1 2017","FQ1 2017","Currency=INR","Period=FQ","BEST_FPERIOD_OVERRIDE=FQ","FILING_STATUS=OR","EQY_CONSOLIDATED=Y","Sort=A","Dates=H","DateFormat=P","Fill=—","Direction=H","UseDPDF=Y")</f>
        <v>#NAME?</v>
      </c>
      <c r="CV119" s="2" t="e">
        <f ca="1">_xll.BDH($C$103,"ALTMAN_Z_SCORE","FQ1 2017","FQ1 2017","Currency=INR","Period=FQ","BEST_FPERIOD_OVERRIDE=FQ","FILING_STATUS=OR","EQY_CONSOLIDATED=Y","Sort=A","Dates=H","DateFormat=P","Fill=—","Direction=H","UseDPDF=Y")</f>
        <v>#NAME?</v>
      </c>
      <c r="CW119" s="4" t="e">
        <f ca="1">_xll.BDH($C$103,"ACCT_RCV_TURN","FQ1 2017","FQ1 2017","Currency=INR","Period=FQ","BEST_FPERIOD_OVERRIDE=FQ","FILING_STATUS=OR","EQY_CONSOLIDATED=Y","FA_ADJUSTED=GAAP","Sort=A","Dates=H","DateFormat=P","Fill=—","Direction=H","UseDPDF=Y")</f>
        <v>#NAME?</v>
      </c>
      <c r="CX119" s="2" t="e">
        <f ca="1">_xll.BDH($C$103,"ACCT_RCV_DAYS","FQ1 2017","FQ1 2017","Currency=INR","Period=FQ","BEST_FPERIOD_OVERRIDE=FQ","FILING_STATUS=OR","EQY_CONSOLIDATED=Y","FA_ADJUSTED=GAAP","Sort=A","Dates=H","DateFormat=P","Fill=—","Direction=H","UseDPDF=Y")</f>
        <v>#NAME?</v>
      </c>
      <c r="CY119" s="4" t="e">
        <f ca="1">_xll.BDH($C$103,"INVENT_TURN","FQ1 2017","FQ1 2017","Currency=INR","Period=FQ","BEST_FPERIOD_OVERRIDE=FQ","FILING_STATUS=OR","EQY_CONSOLIDATED=Y","FA_ADJUSTED=GAAP","Sort=A","Dates=H","DateFormat=P","Fill=—","Direction=H","UseDPDF=Y")</f>
        <v>#NAME?</v>
      </c>
      <c r="CZ119" s="2" t="e">
        <f ca="1">_xll.BDH($C$103,"INVENT_DAYS","FQ1 2017","FQ1 2017","Currency=INR","Period=FQ","BEST_FPERIOD_OVERRIDE=FQ","FILING_STATUS=OR","EQY_CONSOLIDATED=Y","FA_ADJUSTED=GAAP","Sort=A","Dates=H","DateFormat=P","Fill=—","Direction=H","UseDPDF=Y")</f>
        <v>#NAME?</v>
      </c>
      <c r="DA119" s="4" t="e">
        <f ca="1">_xll.BDH($C$103,"ACCOUNTS_PAYABLE_TURNOVER","FQ1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19" s="2" t="e">
        <f ca="1">_xll.BDH($C$103,"ACCOUNTS_PAYABLE_TURNOVER_DAYS","FQ1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19" s="4" t="e">
        <f ca="1">_xll.BDH($C$103,"CASH_CONVERSION_CYCLE","FQ1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19" s="4" t="e">
        <f ca="1">_xll.BDH($C$103,"INV_TO_CASH_DAYS","FQ1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19" s="5" t="e">
        <f ca="1">_xll.BDH($C$103,"BS_INVENTORIES","FQ1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19" s="3" t="e">
        <f ca="1">_xll.BDH($C$103,"INVTRY_RAW_MATERIALS","FQ1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19" s="3" t="e">
        <f ca="1">_xll.BDH($C$103,"INVTRY_IN_PROGRESS","FQ1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19" s="3" t="e">
        <f ca="1">_xll.BDH($C$103,"INVTRY_FINISHED_GOODS","FQ1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19" s="3" t="e">
        <f ca="1">_xll.BDH($C$103,"BS_OTHER_INV","FQ1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20" spans="1:113" x14ac:dyDescent="0.3">
      <c r="A120" s="6"/>
      <c r="B120" s="6"/>
      <c r="C120" s="6"/>
      <c r="D120" s="6"/>
      <c r="E120" t="s">
        <v>79</v>
      </c>
      <c r="F120" t="e">
        <f ca="1">_xll.BDH($C$103,"RETURN_COM_EQY","FQ2 2017","FQ2 2017","Currency=INR","Period=FQ","BEST_FPERIOD_OVERRIDE=FQ","FILING_STATUS=OR","EQY_CONSOLIDATED=Y","FA_ADJUSTED=GAAP","Sort=A","Dates=H","DateFormat=P","Fill=—","Direction=H","UseDPDF=Y")</f>
        <v>#NAME?</v>
      </c>
      <c r="G120" t="e">
        <f ca="1">_xll.BDH($C$103,"RETURN_ON_ASSET","FQ2 2017","FQ2 2017","Currency=INR","Period=FQ","BEST_FPERIOD_OVERRIDE=FQ","FILING_STATUS=OR","EQY_CONSOLIDATED=Y","FA_ADJUSTED=GAAP","Sort=A","Dates=H","DateFormat=P","Fill=—","Direction=H","UseDPDF=Y")</f>
        <v>#NAME?</v>
      </c>
      <c r="H120" t="e">
        <f ca="1">_xll.BDH($C$103,"RETURN_ON_CAP","FQ2 2017","FQ2 2017","Currency=INR","Period=FQ","BEST_FPERIOD_OVERRIDE=FQ","FILING_STATUS=OR","EQY_CONSOLIDATED=Y","FA_ADJUSTED=GAAP","Sort=A","Dates=H","DateFormat=P","Fill=—","Direction=H","UseDPDF=Y")</f>
        <v>#NAME?</v>
      </c>
      <c r="I120" t="e">
        <f ca="1">_xll.BDH($C$103,"RETURN_ON_INV_CAPITAL","FQ2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20" t="e">
        <f ca="1">_xll.BDH($C$103,"EBITDA_TO_REVENUE","FQ2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20" t="e">
        <f ca="1">_xll.BDH($C$103,"OPER_MARGIN","FQ2 2017","FQ2 2017","Currency=INR","Period=FQ","BEST_FPERIOD_OVERRIDE=FQ","FILING_STATUS=OR","EQY_CONSOLIDATED=Y","FA_ADJUSTED=GAAP","Sort=A","Dates=H","DateFormat=P","Fill=—","Direction=H","UseDPDF=Y")</f>
        <v>#NAME?</v>
      </c>
      <c r="L120" t="e">
        <f ca="1">_xll.BDH($C$103,"INCREMENTAL_OPERATING_MARGIN","FQ2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20" t="e">
        <f ca="1">_xll.BDH($C$103,"PRETAX_INC_TO_NET_SALES","FQ2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20" t="e">
        <f ca="1">_xll.BDH($C$103,"INC_BEF_XO_ITEMS_TO_NET_SALES","FQ2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20" t="e">
        <f ca="1">_xll.BDH($C$103,"PROF_MARGIN","FQ2 2017","FQ2 2017","Currency=INR","Period=FQ","BEST_FPERIOD_OVERRIDE=FQ","FILING_STATUS=OR","EQY_CONSOLIDATED=Y","FA_ADJUSTED=GAAP","Sort=A","Dates=H","DateFormat=P","Fill=—","Direction=H","UseDPDF=Y")</f>
        <v>#NAME?</v>
      </c>
      <c r="P120" t="e">
        <f ca="1">_xll.BDH($C$103,"NET_INCOME_TO_COMMON_MARGIN","FQ2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20" t="e">
        <f ca="1">_xll.BDH($C$103,"EFF_TAX_RATE","FQ2 2017","FQ2 2017","Currency=INR","Period=FQ","BEST_FPERIOD_OVERRIDE=FQ","FILING_STATUS=OR","EQY_CONSOLIDATED=Y","FA_ADJUSTED=GAAP","Sort=A","Dates=H","DateFormat=P","Fill=—","Direction=H","UseDPDF=Y")</f>
        <v>#NAME?</v>
      </c>
      <c r="R120" t="e">
        <f ca="1">_xll.BDH($C$103,"DVD_PAYOUT_RATIO","FQ2 2017","FQ2 2017","Currency=INR","Period=FQ","BEST_FPERIOD_OVERRIDE=FQ","FILING_STATUS=OR","EQY_CONSOLIDATED=Y","FA_ADJUSTED=GAAP","Sort=A","Dates=H","DateFormat=P","Fill=—","Direction=H","UseDPDF=Y")</f>
        <v>#NAME?</v>
      </c>
      <c r="S120" t="e">
        <f ca="1">_xll.BDH($C$103,"SUSTAIN_GROWTH_RT","FQ2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20" s="2" t="e">
        <f ca="1">_xll.BDH($C$103,"SALES_GROWTH","FQ2 2017","FQ2 2017","Currency=INR","Period=FQ","BEST_FPERIOD_OVERRIDE=FQ","FILING_STATUS=OR","EQY_CONSOLIDATED=Y","FA_ADJUSTED=GAAP","Sort=A","Dates=H","DateFormat=P","Fill=—","Direction=H","UseDPDF=Y")</f>
        <v>#NAME?</v>
      </c>
      <c r="U120" s="2" t="e">
        <f ca="1">_xll.BDH($C$103,"EBITDA_GROWTH","FQ2 2017","FQ2 2017","Currency=INR","Period=FQ","BEST_FPERIOD_OVERRIDE=FQ","FILING_STATUS=OR","EQY_CONSOLIDATED=Y","FA_ADJUSTED=GAAP","Sort=A","Dates=H","DateFormat=P","Fill=—","Direction=H","UseDPDF=Y")</f>
        <v>#NAME?</v>
      </c>
      <c r="V120" s="2" t="e">
        <f ca="1">_xll.BDH($C$103,"OPER_INC_GROWTH","FQ2 2017","FQ2 2017","Currency=INR","Period=FQ","BEST_FPERIOD_OVERRIDE=FQ","FILING_STATUS=OR","EQY_CONSOLIDATED=Y","FA_ADJUSTED=GAAP","Sort=A","Dates=H","DateFormat=P","Fill=—","Direction=H","UseDPDF=Y")</f>
        <v>#NAME?</v>
      </c>
      <c r="W120" s="2" t="e">
        <f ca="1">_xll.BDH($C$103,"EARN_FOR_COM_GROWTH","FQ2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20" s="2" t="e">
        <f ca="1">_xll.BDH($C$103,"DILUTED_EPS_AFT_XO_ITEMS_GROWTH","FQ2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20" s="2" t="e">
        <f ca="1">_xll.BDH($C$103,"DIVIDEND_PER_SHARE_1_YEAR_GROWTH","FQ2 2017","FQ2 2017","Currency=INR","Period=FQ","BEST_FPERIOD_OVERRIDE=FQ","FILING_STATUS=OR","EQY_CONSOLIDATED=Y","Sort=A","Dates=H","DateFormat=P","Fill=—","Direction=H","UseDPDF=Y")</f>
        <v>#NAME?</v>
      </c>
      <c r="Z120" s="2" t="e">
        <f ca="1">_xll.BDH($C$103,"ACCOUNTS_RECEIVABLE_GROWTH","FQ2 2017","FQ2 2017","Currency=INR","Period=FQ","BEST_FPERIOD_OVERRIDE=FQ","FILING_STATUS=OR","EQY_CONSOLIDATED=Y","Sort=A","Dates=H","DateFormat=P","Fill=—","Direction=H","UseDPDF=Y")</f>
        <v>#NAME?</v>
      </c>
      <c r="AA120" s="2" t="e">
        <f ca="1">_xll.BDH($C$103,"INVENTORY_GROWTH","FQ2 2017","FQ2 2017","Currency=INR","Period=FQ","BEST_FPERIOD_OVERRIDE=FQ","FILING_STATUS=OR","EQY_CONSOLIDATED=Y","Sort=A","Dates=H","DateFormat=P","Fill=—","Direction=H","UseDPDF=Y")</f>
        <v>#NAME?</v>
      </c>
      <c r="AB120" s="2" t="e">
        <f ca="1">_xll.BDH($C$103,"NET_FIXED_ASSETS_1_YEAR_GROWTH","FQ2 2017","FQ2 2017","Currency=INR","Period=FQ","BEST_FPERIOD_OVERRIDE=FQ","FILING_STATUS=OR","EQY_CONSOLIDATED=Y","Sort=A","Dates=H","DateFormat=P","Fill=—","Direction=H","UseDPDF=Y")</f>
        <v>#NAME?</v>
      </c>
      <c r="AC120" s="2" t="e">
        <f ca="1">_xll.BDH($C$103,"ASSET_GROWTH","FQ2 2017","FQ2 2017","Currency=INR","Period=FQ","BEST_FPERIOD_OVERRIDE=FQ","FILING_STATUS=OR","EQY_CONSOLIDATED=Y","Sort=A","Dates=H","DateFormat=P","Fill=—","Direction=H","UseDPDF=Y")</f>
        <v>#NAME?</v>
      </c>
      <c r="AD120" s="2" t="e">
        <f ca="1">_xll.BDH($C$103,"MODIFIED_WORK_CAP_GROWTH","FQ2 2017","FQ2 2017","Currency=INR","Period=FQ","BEST_FPERIOD_OVERRIDE=FQ","FILING_STATUS=OR","EQY_CONSOLIDATED=Y","Sort=A","Dates=H","DateFormat=P","Fill=—","Direction=H","UseDPDF=Y")</f>
        <v>#NAME?</v>
      </c>
      <c r="AE120" s="2" t="e">
        <f ca="1">_xll.BDH($C$103,"WORK_CAP_GROWTH","FQ2 2017","FQ2 2017","Currency=INR","Period=FQ","BEST_FPERIOD_OVERRIDE=FQ","FILING_STATUS=OR","EQY_CONSOLIDATED=Y","Sort=A","Dates=H","DateFormat=P","Fill=—","Direction=H","UseDPDF=Y")</f>
        <v>#NAME?</v>
      </c>
      <c r="AF120" s="2" t="e">
        <f ca="1">_xll.BDH($C$103,"ACCOUNTS_PAYABLE_GROWTH_1YR","FQ2 2017","FQ2 2017","Currency=INR","Period=FQ","BEST_FPERIOD_OVERRIDE=FQ","FILING_STATUS=OR","EQY_CONSOLIDATED=Y","Sort=A","Dates=H","DateFormat=P","Fill=—","Direction=H","UseDPDF=Y")</f>
        <v>#NAME?</v>
      </c>
      <c r="AG120" s="2" t="e">
        <f ca="1">_xll.BDH($C$103,"SHORT_TERM_DEBT_1_YEAR_GROWTH","FQ2 2017","FQ2 2017","Currency=INR","Period=FQ","BEST_FPERIOD_OVERRIDE=FQ","FILING_STATUS=OR","EQY_CONSOLIDATED=Y","Sort=A","Dates=H","DateFormat=P","Fill=—","Direction=H","UseDPDF=Y")</f>
        <v>#NAME?</v>
      </c>
      <c r="AH120" s="2" t="e">
        <f ca="1">_xll.BDH($C$103,"TOTAL_DEBT_1_YEAR_GROWTH","FQ2 2017","FQ2 2017","Currency=INR","Period=FQ","BEST_FPERIOD_OVERRIDE=FQ","FILING_STATUS=OR","EQY_CONSOLIDATED=Y","Sort=A","Dates=H","DateFormat=P","Fill=—","Direction=H","UseDPDF=Y")</f>
        <v>#NAME?</v>
      </c>
      <c r="AI120" s="2" t="e">
        <f ca="1">_xll.BDH($C$103,"TOTAL_EQUITY_1_YEAR_GROWTH","FQ2 2017","FQ2 2017","Currency=INR","Period=FQ","BEST_FPERIOD_OVERRIDE=FQ","FILING_STATUS=OR","EQY_CONSOLIDATED=Y","Sort=A","Dates=H","DateFormat=P","Fill=—","Direction=H","UseDPDF=Y")</f>
        <v>#NAME?</v>
      </c>
      <c r="AJ120" s="2" t="e">
        <f ca="1">_xll.BDH($C$103,"GROWTH_IN_CAP","FQ2 2017","FQ2 2017","Currency=INR","Period=FQ","BEST_FPERIOD_OVERRIDE=FQ","FILING_STATUS=OR","EQY_CONSOLIDATED=Y","Sort=A","Dates=H","DateFormat=P","Fill=—","Direction=H","UseDPDF=Y")</f>
        <v>#NAME?</v>
      </c>
      <c r="AK120" s="2" t="e">
        <f ca="1">_xll.BDH($C$103,"BVPS_GROWTH","FQ2 2017","FQ2 2017","Currency=INR","Period=FQ","BEST_FPERIOD_OVERRIDE=FQ","FILING_STATUS=OR","EQY_CONSOLIDATED=Y","Sort=A","Dates=H","DateFormat=P","Fill=—","Direction=H","UseDPDF=Y")</f>
        <v>#NAME?</v>
      </c>
      <c r="AL120" s="2" t="e">
        <f ca="1">_xll.BDH($C$103,"CASH_FLOW_GROWTH","FQ2 2017","FQ2 2017","Currency=INR","Period=FQ","BEST_FPERIOD_OVERRIDE=FQ","FILING_STATUS=OR","EQY_CONSOLIDATED=Y","Sort=A","Dates=H","DateFormat=P","Fill=—","Direction=H","UseDPDF=Y")</f>
        <v>#NAME?</v>
      </c>
      <c r="AM120" s="2" t="e">
        <f ca="1">_xll.BDH($C$103,"GEO_GROW_NET_SALES","FQ2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20" s="2" t="e">
        <f ca="1">_xll.BDH($C$103,"GEO_GROW_EBITDA","FQ2 2017","FQ2 2017","Currency=INR","Period=FQ","BEST_FPERIOD_OVERRIDE=FQ","FILING_STATUS=OR","EQY_CONSOLIDATED=Y","FA_ADJUSTED=GAAP","Sort=A","Dates=H","DateFormat=P","Fill=—","Direction=H","UseDPDF=Y")</f>
        <v>#NAME?</v>
      </c>
      <c r="AO120" s="2" t="e">
        <f ca="1">_xll.BDH($C$103,"GEO_GROW_OPER_INC","FQ2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20" s="2" t="e">
        <f ca="1">_xll.BDH($C$103,"NET_INCOME_TO_COMMON_5_YR_GROWTH","FQ2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20" s="2" t="e">
        <f ca="1">_xll.BDH($C$103,"5Y_GEO_GROWTH_DILUTED_EPS","FQ2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20" s="2" t="e">
        <f ca="1">_xll.BDH($C$103,"GEO_GROW_DVD_PER_SH","FQ2 2017","FQ2 2017","Currency=INR","Period=FQ","BEST_FPERIOD_OVERRIDE=FQ","FILING_STATUS=OR","EQY_CONSOLIDATED=Y","Sort=A","Dates=H","DateFormat=P","Fill=—","Direction=H","UseDPDF=Y")</f>
        <v>#NAME?</v>
      </c>
      <c r="AS120" s="2" t="e">
        <f ca="1">_xll.BDH($C$103,"ACCOUNTS_RECEIVABLE_5_YR_GROWTH","FQ2 2017","FQ2 2017","Currency=INR","Period=FQ","BEST_FPERIOD_OVERRIDE=FQ","FILING_STATUS=OR","EQY_CONSOLIDATED=Y","Sort=A","Dates=H","DateFormat=P","Fill=—","Direction=H","UseDPDF=Y")</f>
        <v>#NAME?</v>
      </c>
      <c r="AT120" s="2" t="e">
        <f ca="1">_xll.BDH($C$103,"INVENTORY_5_YEAR_GROWTH","FQ2 2017","FQ2 2017","Currency=INR","Period=FQ","BEST_FPERIOD_OVERRIDE=FQ","FILING_STATUS=OR","EQY_CONSOLIDATED=Y","Sort=A","Dates=H","DateFormat=P","Fill=—","Direction=H","UseDPDF=Y")</f>
        <v>#NAME?</v>
      </c>
      <c r="AU120" s="2" t="e">
        <f ca="1">_xll.BDH($C$103,"NET_FIXED_ASSETS_5_YEAR_GROWTH","FQ2 2017","FQ2 2017","Currency=INR","Period=FQ","BEST_FPERIOD_OVERRIDE=FQ","FILING_STATUS=OR","EQY_CONSOLIDATED=Y","Sort=A","Dates=H","DateFormat=P","Fill=—","Direction=H","UseDPDF=Y")</f>
        <v>#NAME?</v>
      </c>
      <c r="AV120" s="2" t="e">
        <f ca="1">_xll.BDH($C$103,"GEO_GROW_TOT_ASSET","FQ2 2017","FQ2 2017","Currency=INR","Period=FQ","BEST_FPERIOD_OVERRIDE=FQ","FILING_STATUS=OR","EQY_CONSOLIDATED=Y","Sort=A","Dates=H","DateFormat=P","Fill=—","Direction=H","UseDPDF=Y")</f>
        <v>#NAME?</v>
      </c>
      <c r="AW120" s="2" t="e">
        <f ca="1">_xll.BDH($C$103,"MODIFIED_WORKING_CPTL_5YR_GRWTH","FQ2 2017","FQ2 2017","Currency=INR","Period=FQ","BEST_FPERIOD_OVERRIDE=FQ","FILING_STATUS=OR","EQY_CONSOLIDATED=Y","Sort=A","Dates=H","DateFormat=P","Fill=—","Direction=H","UseDPDF=Y")</f>
        <v>#NAME?</v>
      </c>
      <c r="AX120" s="2" t="e">
        <f ca="1">_xll.BDH($C$103,"WORKING_CAPITAL_5_YEAR_GROWTH","FQ2 2017","FQ2 2017","Currency=INR","Period=FQ","BEST_FPERIOD_OVERRIDE=FQ","FILING_STATUS=OR","EQY_CONSOLIDATED=Y","Sort=A","Dates=H","DateFormat=P","Fill=—","Direction=H","UseDPDF=Y")</f>
        <v>#NAME?</v>
      </c>
      <c r="AY120" s="2" t="e">
        <f ca="1">_xll.BDH($C$103,"ACCOUNTS_PAYABLE_5_YEAR_GROWTH","FQ2 2017","FQ2 2017","Currency=INR","Period=FQ","BEST_FPERIOD_OVERRIDE=FQ","FILING_STATUS=OR","EQY_CONSOLIDATED=Y","Sort=A","Dates=H","DateFormat=P","Fill=—","Direction=H","UseDPDF=Y")</f>
        <v>#NAME?</v>
      </c>
      <c r="AZ120" s="2" t="e">
        <f ca="1">_xll.BDH($C$103,"SHORT_TERM_DEBT_5_YEAR_GROWTH","FQ2 2017","FQ2 2017","Currency=INR","Period=FQ","BEST_FPERIOD_OVERRIDE=FQ","FILING_STATUS=OR","EQY_CONSOLIDATED=Y","Sort=A","Dates=H","DateFormat=P","Fill=—","Direction=H","UseDPDF=Y")</f>
        <v>#NAME?</v>
      </c>
      <c r="BA120" s="2" t="e">
        <f ca="1">_xll.BDH($C$103,"TOTAL_DEBT_5_YEAR_GROWTH","FQ2 2017","FQ2 2017","Currency=INR","Period=FQ","BEST_FPERIOD_OVERRIDE=FQ","FILING_STATUS=OR","EQY_CONSOLIDATED=Y","Sort=A","Dates=H","DateFormat=P","Fill=—","Direction=H","UseDPDF=Y")</f>
        <v>#NAME?</v>
      </c>
      <c r="BB120" s="2" t="e">
        <f ca="1">_xll.BDH($C$103,"GEO_GROW_TOT_SHRHLDR_EQY","FQ2 2017","FQ2 2017","Currency=INR","Period=FQ","BEST_FPERIOD_OVERRIDE=FQ","FILING_STATUS=OR","EQY_CONSOLIDATED=Y","Sort=A","Dates=H","DateFormat=P","Fill=—","Direction=H","UseDPDF=Y")</f>
        <v>#NAME?</v>
      </c>
      <c r="BC120" s="2" t="e">
        <f ca="1">_xll.BDH($C$103,"TOTAL_CAPITAL_5_YEAR_GROWTH","FQ2 2017","FQ2 2017","Currency=INR","Period=FQ","BEST_FPERIOD_OVERRIDE=FQ","FILING_STATUS=OR","EQY_CONSOLIDATED=Y","Sort=A","Dates=H","DateFormat=P","Fill=—","Direction=H","UseDPDF=Y")</f>
        <v>#NAME?</v>
      </c>
      <c r="BD120" s="2" t="e">
        <f ca="1">_xll.BDH($C$103,"GEO_GROW_BOOK_VAL","FQ2 2017","FQ2 2017","Currency=INR","Period=FQ","BEST_FPERIOD_OVERRIDE=FQ","FILING_STATUS=OR","EQY_CONSOLIDATED=Y","Sort=A","Dates=H","DateFormat=P","Fill=—","Direction=H","UseDPDF=Y")</f>
        <v>#NAME?</v>
      </c>
      <c r="BE120" s="2" t="e">
        <f ca="1">_xll.BDH($C$103,"GEO_GROW_CASH_OPER_ACT","FQ2 2017","FQ2 2017","Currency=INR","Period=FQ","BEST_FPERIOD_OVERRIDE=FQ","FILING_STATUS=OR","EQY_CONSOLIDATED=Y","Sort=A","Dates=H","DateFormat=P","Fill=—","Direction=H","UseDPDF=Y")</f>
        <v>#NAME?</v>
      </c>
      <c r="BF120" s="2" t="e">
        <f ca="1">_xll.BDH($C$103,"REVENUE_SEQUENTIAL_GROWTH","FQ2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20" s="2" t="e">
        <f ca="1">_xll.BDH($C$103,"EBITDA_SEQUENTIAL_GROWTH","FQ2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20" s="2" t="e">
        <f ca="1">_xll.BDH($C$103,"OPERATING_INCOME_SEQ_GROWTH","FQ2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20" s="2" t="e">
        <f ca="1">_xll.BDH($C$103,"NET_INCOME_TO_COMMON_SEQ_GROWTH","FQ2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20" s="2" t="e">
        <f ca="1">_xll.BDH($C$103,"EPS_DILUTED_SEQUENTIAL_GROWTH","FQ2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20" s="2" t="e">
        <f ca="1">_xll.BDH($C$103,"DPS_SEQUENTIAL_GROWTH","FQ2 2017","FQ2 2017","Currency=INR","Period=FQ","BEST_FPERIOD_OVERRIDE=FQ","FILING_STATUS=OR","EQY_CONSOLIDATED=Y","Sort=A","Dates=H","DateFormat=P","Fill=—","Direction=H","UseDPDF=Y")</f>
        <v>#NAME?</v>
      </c>
      <c r="BL120" s="2" t="e">
        <f ca="1">_xll.BDH($C$103,"ACCOUNTS_RECEIVABLE_SEQ_GROWTH","FQ2 2017","FQ2 2017","Currency=INR","Period=FQ","BEST_FPERIOD_OVERRIDE=FQ","FILING_STATUS=OR","EQY_CONSOLIDATED=Y","Sort=A","Dates=H","DateFormat=P","Fill=—","Direction=H","UseDPDF=Y")</f>
        <v>#NAME?</v>
      </c>
      <c r="BM120" s="2" t="e">
        <f ca="1">_xll.BDH($C$103,"INVENTORY_SEQUENTIAL_GROWTH","FQ2 2017","FQ2 2017","Currency=INR","Period=FQ","BEST_FPERIOD_OVERRIDE=FQ","FILING_STATUS=OR","EQY_CONSOLIDATED=Y","Sort=A","Dates=H","DateFormat=P","Fill=—","Direction=H","UseDPDF=Y")</f>
        <v>#NAME?</v>
      </c>
      <c r="BN120" s="2" t="e">
        <f ca="1">_xll.BDH($C$103,"FIXED_ASSETS_SEQUENTIAL_GROWTH","FQ2 2017","FQ2 2017","Currency=INR","Period=FQ","BEST_FPERIOD_OVERRIDE=FQ","FILING_STATUS=OR","EQY_CONSOLIDATED=Y","Sort=A","Dates=H","DateFormat=P","Fill=—","Direction=H","UseDPDF=Y")</f>
        <v>#NAME?</v>
      </c>
      <c r="BO120" s="2" t="e">
        <f ca="1">_xll.BDH($C$103,"TOTAL_ASSETS_SEQUENTIAL_GROWTH","FQ2 2017","FQ2 2017","Currency=INR","Period=FQ","BEST_FPERIOD_OVERRIDE=FQ","FILING_STATUS=OR","EQY_CONSOLIDATED=Y","Sort=A","Dates=H","DateFormat=P","Fill=—","Direction=H","UseDPDF=Y")</f>
        <v>#NAME?</v>
      </c>
      <c r="BP120" s="2" t="e">
        <f ca="1">_xll.BDH($C$103,"MODIFIED_WORKING_CPTL_SEQ_GRWTH","FQ2 2017","FQ2 2017","Currency=INR","Period=FQ","BEST_FPERIOD_OVERRIDE=FQ","FILING_STATUS=OR","EQY_CONSOLIDATED=Y","Sort=A","Dates=H","DateFormat=P","Fill=—","Direction=H","UseDPDF=Y")</f>
        <v>#NAME?</v>
      </c>
      <c r="BQ120" s="2" t="e">
        <f ca="1">_xll.BDH($C$103,"WORKING_CAPITAL_SEQ_GROWTH","FQ2 2017","FQ2 2017","Currency=INR","Period=FQ","BEST_FPERIOD_OVERRIDE=FQ","FILING_STATUS=OR","EQY_CONSOLIDATED=Y","Sort=A","Dates=H","DateFormat=P","Fill=—","Direction=H","UseDPDF=Y")</f>
        <v>#NAME?</v>
      </c>
      <c r="BR120" s="2" t="e">
        <f ca="1">_xll.BDH($C$103,"ACCOUNTS_PAYABLE_SEQ_GROWTH","FQ2 2017","FQ2 2017","Currency=INR","Period=FQ","BEST_FPERIOD_OVERRIDE=FQ","FILING_STATUS=OR","EQY_CONSOLIDATED=Y","Sort=A","Dates=H","DateFormat=P","Fill=—","Direction=H","UseDPDF=Y")</f>
        <v>#NAME?</v>
      </c>
      <c r="BS120" s="2" t="e">
        <f ca="1">_xll.BDH($C$103,"ST_DEBT_SEQUENTIAL_GROWTH","FQ2 2017","FQ2 2017","Currency=INR","Period=FQ","BEST_FPERIOD_OVERRIDE=FQ","FILING_STATUS=OR","EQY_CONSOLIDATED=Y","Sort=A","Dates=H","DateFormat=P","Fill=—","Direction=H","UseDPDF=Y")</f>
        <v>#NAME?</v>
      </c>
      <c r="BT120" s="2" t="e">
        <f ca="1">_xll.BDH($C$103,"TOTAL_DEBT_SEQUENTIAL_GROWTH","FQ2 2017","FQ2 2017","Currency=INR","Period=FQ","BEST_FPERIOD_OVERRIDE=FQ","FILING_STATUS=OR","EQY_CONSOLIDATED=Y","Sort=A","Dates=H","DateFormat=P","Fill=—","Direction=H","UseDPDF=Y")</f>
        <v>#NAME?</v>
      </c>
      <c r="BU120" s="2" t="e">
        <f ca="1">_xll.BDH($C$103,"TOTAL_EQUITY_SEQUENTIAL_GROWTH","FQ2 2017","FQ2 2017","Currency=INR","Period=FQ","BEST_FPERIOD_OVERRIDE=FQ","FILING_STATUS=OR","EQY_CONSOLIDATED=Y","Sort=A","Dates=H","DateFormat=P","Fill=—","Direction=H","UseDPDF=Y")</f>
        <v>#NAME?</v>
      </c>
      <c r="BV120" s="2" t="e">
        <f ca="1">_xll.BDH($C$103,"TOTAL_CAPITAL_SEQUENTIAL_GROWTH","FQ2 2017","FQ2 2017","Currency=INR","Period=FQ","BEST_FPERIOD_OVERRIDE=FQ","FILING_STATUS=OR","EQY_CONSOLIDATED=Y","Sort=A","Dates=H","DateFormat=P","Fill=—","Direction=H","UseDPDF=Y")</f>
        <v>#NAME?</v>
      </c>
      <c r="BW120" s="2" t="e">
        <f ca="1">_xll.BDH($C$103,"BPS_SEQUENTIAL_GROWTH","FQ2 2017","FQ2 2017","Currency=INR","Period=FQ","BEST_FPERIOD_OVERRIDE=FQ","FILING_STATUS=OR","EQY_CONSOLIDATED=Y","Sort=A","Dates=H","DateFormat=P","Fill=—","Direction=H","UseDPDF=Y")</f>
        <v>#NAME?</v>
      </c>
      <c r="BX120" s="2" t="e">
        <f ca="1">_xll.BDH($C$103,"CFO_SEQUENTIAL_GROWTH","FQ2 2017","FQ2 2017","Currency=INR","Period=FQ","BEST_FPERIOD_OVERRIDE=FQ","FILING_STATUS=OR","EQY_CONSOLIDATED=Y","Sort=A","Dates=H","DateFormat=P","Fill=—","Direction=H","UseDPDF=Y")</f>
        <v>#NAME?</v>
      </c>
      <c r="BY120" s="3" t="e">
        <f ca="1">_xll.BDH($C$103,"SHORT_AND_LONG_TERM_DEBT","FQ2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20" s="3" t="e">
        <f ca="1">_xll.BDH($C$103,"BS_ST_BORROW","FQ2 2017","FQ2 2017","Currency=INR","Period=FQ","BEST_FPERIOD_OVERRIDE=FQ","FILING_STATUS=OR","EQY_CONSOLIDATED=Y","SCALING_FORMAT=MLN","Sort=A","Dates=H","DateFormat=P","Fill=—","Direction=H","UseDPDF=Y")</f>
        <v>#NAME?</v>
      </c>
      <c r="CA120" s="3" t="e">
        <f ca="1">_xll.BDH($C$103,"BS_LT_BORROW","FQ2 2017","FQ2 2017","Currency=INR","Period=FQ","BEST_FPERIOD_OVERRIDE=FQ","FILING_STATUS=OR","EQY_CONSOLIDATED=Y","SCALING_FORMAT=MLN","Sort=A","Dates=H","DateFormat=P","Fill=—","Direction=H","UseDPDF=Y")</f>
        <v>#NAME?</v>
      </c>
      <c r="CB120" s="2" t="e">
        <f ca="1">_xll.BDH($C$103,"TOT_DEBT_TO_EBITDA","FQ2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20" s="2" t="e">
        <f ca="1">_xll.BDH($C$103,"NET_DEBT_TO_EBITDA","FQ2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20" s="2" t="e">
        <f ca="1">_xll.BDH($C$103,"TOTAL_DEBT_TO_EBIT","FQ2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20" s="2" t="e">
        <f ca="1">_xll.BDH($C$103,"NET_DEBT_TO_EBIT","FQ2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20" s="2" t="e">
        <f ca="1">_xll.BDH($C$103,"EBITDA_TO_INTEREST_EXPN","FQ2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20" s="2" t="e">
        <f ca="1">_xll.BDH($C$103,"COM_EQY_TO_TOT_ASSET","FQ2 2017","FQ2 2017","Currency=INR","Period=FQ","BEST_FPERIOD_OVERRIDE=FQ","FILING_STATUS=OR","EQY_CONSOLIDATED=Y","Sort=A","Dates=H","DateFormat=P","Fill=—","Direction=H","UseDPDF=Y")</f>
        <v>#NAME?</v>
      </c>
      <c r="CH120" s="2" t="e">
        <f ca="1">_xll.BDH($C$103,"LT_DEBT_TO_TOT_EQY","FQ2 2017","FQ2 2017","Currency=INR","Period=FQ","BEST_FPERIOD_OVERRIDE=FQ","FILING_STATUS=OR","EQY_CONSOLIDATED=Y","Sort=A","Dates=H","DateFormat=P","Fill=—","Direction=H","UseDPDF=Y")</f>
        <v>#NAME?</v>
      </c>
      <c r="CI120" s="2" t="e">
        <f ca="1">_xll.BDH($C$103,"LT_DEBT_TO_TOT_CAP","FQ2 2017","FQ2 2017","Currency=INR","Period=FQ","BEST_FPERIOD_OVERRIDE=FQ","FILING_STATUS=OR","EQY_CONSOLIDATED=Y","Sort=A","Dates=H","DateFormat=P","Fill=—","Direction=H","UseDPDF=Y")</f>
        <v>#NAME?</v>
      </c>
      <c r="CJ120" s="2" t="e">
        <f ca="1">_xll.BDH($C$103,"LT_DEBT_TO_TOT_ASSET","FQ2 2017","FQ2 2017","Currency=INR","Period=FQ","BEST_FPERIOD_OVERRIDE=FQ","FILING_STATUS=OR","EQY_CONSOLIDATED=Y","Sort=A","Dates=H","DateFormat=P","Fill=—","Direction=H","UseDPDF=Y")</f>
        <v>#NAME?</v>
      </c>
      <c r="CK120" s="2" t="e">
        <f ca="1">_xll.BDH($C$103,"TOT_DEBT_TO_TOT_EQY","FQ2 2017","FQ2 2017","Currency=INR","Period=FQ","BEST_FPERIOD_OVERRIDE=FQ","FILING_STATUS=OR","EQY_CONSOLIDATED=Y","Sort=A","Dates=H","DateFormat=P","Fill=—","Direction=H","UseDPDF=Y")</f>
        <v>#NAME?</v>
      </c>
      <c r="CL120" s="2" t="e">
        <f ca="1">_xll.BDH($C$103,"TOT_DEBT_TO_TOT_CAP","FQ2 2017","FQ2 2017","Currency=INR","Period=FQ","BEST_FPERIOD_OVERRIDE=FQ","FILING_STATUS=OR","EQY_CONSOLIDATED=Y","Sort=A","Dates=H","DateFormat=P","Fill=—","Direction=H","UseDPDF=Y")</f>
        <v>#NAME?</v>
      </c>
      <c r="CM120" s="2" t="e">
        <f ca="1">_xll.BDH($C$103,"TOT_DEBT_TO_TOT_ASSET","FQ2 2017","FQ2 2017","Currency=INR","Period=FQ","BEST_FPERIOD_OVERRIDE=FQ","FILING_STATUS=OR","EQY_CONSOLIDATED=Y","Sort=A","Dates=H","DateFormat=P","Fill=—","Direction=H","UseDPDF=Y")</f>
        <v>#NAME?</v>
      </c>
      <c r="CN120" s="2" t="e">
        <f ca="1">_xll.BDH($C$103,"NET_DEBT_TO_SHRHLDR_EQTY","FQ2 2017","FQ2 2017","Currency=INR","Period=FQ","BEST_FPERIOD_OVERRIDE=FQ","FILING_STATUS=OR","EQY_CONSOLIDATED=Y","Sort=A","Dates=H","DateFormat=P","Fill=—","Direction=H","UseDPDF=Y")</f>
        <v>#NAME?</v>
      </c>
      <c r="CO120" s="2" t="e">
        <f ca="1">_xll.BDH($C$103,"NET_DEBT_%_CAPITAL","FQ2 2017","FQ2 2017","Currency=INR","Period=FQ","BEST_FPERIOD_OVERRIDE=FQ","FILING_STATUS=OR","EQY_CONSOLIDATED=Y","Sort=A","Dates=H","DateFormat=P","Fill=—","Direction=H","UseDPDF=Y")</f>
        <v>#NAME?</v>
      </c>
      <c r="CP120" s="3" t="e">
        <f ca="1">_xll.BDH($C$103,"EBITDA","FQ2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20" s="3" t="e">
        <f ca="1">_xll.BDH($C$103,"EBITDA_AFTER_CAPEX","FQ2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20" s="3" t="e">
        <f ca="1">_xll.BDH($C$103,"IS_OPER_INC","FQ2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20" s="2" t="e">
        <f ca="1">_xll.BDH($C$103,"CASH_RATIO","FQ2 2017","FQ2 2017","Currency=INR","Period=FQ","BEST_FPERIOD_OVERRIDE=FQ","FILING_STATUS=OR","EQY_CONSOLIDATED=Y","Sort=A","Dates=H","DateFormat=P","Fill=—","Direction=H","UseDPDF=Y")</f>
        <v>#NAME?</v>
      </c>
      <c r="CT120" s="2" t="e">
        <f ca="1">_xll.BDH($C$103,"CUR_RATIO","FQ2 2017","FQ2 2017","Currency=INR","Period=FQ","BEST_FPERIOD_OVERRIDE=FQ","FILING_STATUS=OR","EQY_CONSOLIDATED=Y","Sort=A","Dates=H","DateFormat=P","Fill=—","Direction=H","UseDPDF=Y")</f>
        <v>#NAME?</v>
      </c>
      <c r="CU120" s="2" t="e">
        <f ca="1">_xll.BDH($C$103,"QUICK_RATIO","FQ2 2017","FQ2 2017","Currency=INR","Period=FQ","BEST_FPERIOD_OVERRIDE=FQ","FILING_STATUS=OR","EQY_CONSOLIDATED=Y","Sort=A","Dates=H","DateFormat=P","Fill=—","Direction=H","UseDPDF=Y")</f>
        <v>#NAME?</v>
      </c>
      <c r="CV120" s="2" t="e">
        <f ca="1">_xll.BDH($C$103,"ALTMAN_Z_SCORE","FQ2 2017","FQ2 2017","Currency=INR","Period=FQ","BEST_FPERIOD_OVERRIDE=FQ","FILING_STATUS=OR","EQY_CONSOLIDATED=Y","Sort=A","Dates=H","DateFormat=P","Fill=—","Direction=H","UseDPDF=Y")</f>
        <v>#NAME?</v>
      </c>
      <c r="CW120" s="4" t="e">
        <f ca="1">_xll.BDH($C$103,"ACCT_RCV_TURN","FQ2 2017","FQ2 2017","Currency=INR","Period=FQ","BEST_FPERIOD_OVERRIDE=FQ","FILING_STATUS=OR","EQY_CONSOLIDATED=Y","FA_ADJUSTED=GAAP","Sort=A","Dates=H","DateFormat=P","Fill=—","Direction=H","UseDPDF=Y")</f>
        <v>#NAME?</v>
      </c>
      <c r="CX120" s="2" t="e">
        <f ca="1">_xll.BDH($C$103,"ACCT_RCV_DAYS","FQ2 2017","FQ2 2017","Currency=INR","Period=FQ","BEST_FPERIOD_OVERRIDE=FQ","FILING_STATUS=OR","EQY_CONSOLIDATED=Y","FA_ADJUSTED=GAAP","Sort=A","Dates=H","DateFormat=P","Fill=—","Direction=H","UseDPDF=Y")</f>
        <v>#NAME?</v>
      </c>
      <c r="CY120" s="4" t="e">
        <f ca="1">_xll.BDH($C$103,"INVENT_TURN","FQ2 2017","FQ2 2017","Currency=INR","Period=FQ","BEST_FPERIOD_OVERRIDE=FQ","FILING_STATUS=OR","EQY_CONSOLIDATED=Y","FA_ADJUSTED=GAAP","Sort=A","Dates=H","DateFormat=P","Fill=—","Direction=H","UseDPDF=Y")</f>
        <v>#NAME?</v>
      </c>
      <c r="CZ120" s="2" t="e">
        <f ca="1">_xll.BDH($C$103,"INVENT_DAYS","FQ2 2017","FQ2 2017","Currency=INR","Period=FQ","BEST_FPERIOD_OVERRIDE=FQ","FILING_STATUS=OR","EQY_CONSOLIDATED=Y","FA_ADJUSTED=GAAP","Sort=A","Dates=H","DateFormat=P","Fill=—","Direction=H","UseDPDF=Y")</f>
        <v>#NAME?</v>
      </c>
      <c r="DA120" s="4" t="e">
        <f ca="1">_xll.BDH($C$103,"ACCOUNTS_PAYABLE_TURNOVER","FQ2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20" s="2" t="e">
        <f ca="1">_xll.BDH($C$103,"ACCOUNTS_PAYABLE_TURNOVER_DAYS","FQ2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20" s="4" t="e">
        <f ca="1">_xll.BDH($C$103,"CASH_CONVERSION_CYCLE","FQ2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20" s="4" t="e">
        <f ca="1">_xll.BDH($C$103,"INV_TO_CASH_DAYS","FQ2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20" s="5" t="e">
        <f ca="1">_xll.BDH($C$103,"BS_INVENTORIES","FQ2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20" s="3" t="e">
        <f ca="1">_xll.BDH($C$103,"INVTRY_RAW_MATERIALS","FQ2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20" s="3" t="e">
        <f ca="1">_xll.BDH($C$103,"INVTRY_IN_PROGRESS","FQ2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20" s="3" t="e">
        <f ca="1">_xll.BDH($C$103,"INVTRY_FINISHED_GOODS","FQ2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20" s="3" t="e">
        <f ca="1">_xll.BDH($C$103,"BS_OTHER_INV","FQ2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21" spans="1:113" x14ac:dyDescent="0.3">
      <c r="A121" s="6"/>
      <c r="B121" s="6"/>
      <c r="C121" s="6"/>
      <c r="D121" s="6"/>
      <c r="E121" t="s">
        <v>80</v>
      </c>
      <c r="F121" t="e">
        <f ca="1">_xll.BDH($C$103,"RETURN_COM_EQY","FQ3 2017","FQ3 2017","Currency=INR","Period=FQ","BEST_FPERIOD_OVERRIDE=FQ","FILING_STATUS=OR","EQY_CONSOLIDATED=Y","FA_ADJUSTED=GAAP","Sort=A","Dates=H","DateFormat=P","Fill=—","Direction=H","UseDPDF=Y")</f>
        <v>#NAME?</v>
      </c>
      <c r="G121" t="e">
        <f ca="1">_xll.BDH($C$103,"RETURN_ON_ASSET","FQ3 2017","FQ3 2017","Currency=INR","Period=FQ","BEST_FPERIOD_OVERRIDE=FQ","FILING_STATUS=OR","EQY_CONSOLIDATED=Y","FA_ADJUSTED=GAAP","Sort=A","Dates=H","DateFormat=P","Fill=—","Direction=H","UseDPDF=Y")</f>
        <v>#NAME?</v>
      </c>
      <c r="H121" t="e">
        <f ca="1">_xll.BDH($C$103,"RETURN_ON_CAP","FQ3 2017","FQ3 2017","Currency=INR","Period=FQ","BEST_FPERIOD_OVERRIDE=FQ","FILING_STATUS=OR","EQY_CONSOLIDATED=Y","FA_ADJUSTED=GAAP","Sort=A","Dates=H","DateFormat=P","Fill=—","Direction=H","UseDPDF=Y")</f>
        <v>#NAME?</v>
      </c>
      <c r="I121" t="e">
        <f ca="1">_xll.BDH($C$103,"RETURN_ON_INV_CAPITAL","FQ3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21" t="e">
        <f ca="1">_xll.BDH($C$103,"EBITDA_TO_REVENUE","FQ3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21" t="e">
        <f ca="1">_xll.BDH($C$103,"OPER_MARGIN","FQ3 2017","FQ3 2017","Currency=INR","Period=FQ","BEST_FPERIOD_OVERRIDE=FQ","FILING_STATUS=OR","EQY_CONSOLIDATED=Y","FA_ADJUSTED=GAAP","Sort=A","Dates=H","DateFormat=P","Fill=—","Direction=H","UseDPDF=Y")</f>
        <v>#NAME?</v>
      </c>
      <c r="L121" t="e">
        <f ca="1">_xll.BDH($C$103,"INCREMENTAL_OPERATING_MARGIN","FQ3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21" t="e">
        <f ca="1">_xll.BDH($C$103,"PRETAX_INC_TO_NET_SALES","FQ3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21" t="e">
        <f ca="1">_xll.BDH($C$103,"INC_BEF_XO_ITEMS_TO_NET_SALES","FQ3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21" t="e">
        <f ca="1">_xll.BDH($C$103,"PROF_MARGIN","FQ3 2017","FQ3 2017","Currency=INR","Period=FQ","BEST_FPERIOD_OVERRIDE=FQ","FILING_STATUS=OR","EQY_CONSOLIDATED=Y","FA_ADJUSTED=GAAP","Sort=A","Dates=H","DateFormat=P","Fill=—","Direction=H","UseDPDF=Y")</f>
        <v>#NAME?</v>
      </c>
      <c r="P121" t="e">
        <f ca="1">_xll.BDH($C$103,"NET_INCOME_TO_COMMON_MARGIN","FQ3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21" t="e">
        <f ca="1">_xll.BDH($C$103,"EFF_TAX_RATE","FQ3 2017","FQ3 2017","Currency=INR","Period=FQ","BEST_FPERIOD_OVERRIDE=FQ","FILING_STATUS=OR","EQY_CONSOLIDATED=Y","FA_ADJUSTED=GAAP","Sort=A","Dates=H","DateFormat=P","Fill=—","Direction=H","UseDPDF=Y")</f>
        <v>#NAME?</v>
      </c>
      <c r="R121" t="e">
        <f ca="1">_xll.BDH($C$103,"DVD_PAYOUT_RATIO","FQ3 2017","FQ3 2017","Currency=INR","Period=FQ","BEST_FPERIOD_OVERRIDE=FQ","FILING_STATUS=OR","EQY_CONSOLIDATED=Y","FA_ADJUSTED=GAAP","Sort=A","Dates=H","DateFormat=P","Fill=—","Direction=H","UseDPDF=Y")</f>
        <v>#NAME?</v>
      </c>
      <c r="S121" t="e">
        <f ca="1">_xll.BDH($C$103,"SUSTAIN_GROWTH_RT","FQ3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21" s="2" t="e">
        <f ca="1">_xll.BDH($C$103,"SALES_GROWTH","FQ3 2017","FQ3 2017","Currency=INR","Period=FQ","BEST_FPERIOD_OVERRIDE=FQ","FILING_STATUS=OR","EQY_CONSOLIDATED=Y","FA_ADJUSTED=GAAP","Sort=A","Dates=H","DateFormat=P","Fill=—","Direction=H","UseDPDF=Y")</f>
        <v>#NAME?</v>
      </c>
      <c r="U121" s="2" t="e">
        <f ca="1">_xll.BDH($C$103,"EBITDA_GROWTH","FQ3 2017","FQ3 2017","Currency=INR","Period=FQ","BEST_FPERIOD_OVERRIDE=FQ","FILING_STATUS=OR","EQY_CONSOLIDATED=Y","FA_ADJUSTED=GAAP","Sort=A","Dates=H","DateFormat=P","Fill=—","Direction=H","UseDPDF=Y")</f>
        <v>#NAME?</v>
      </c>
      <c r="V121" s="2" t="e">
        <f ca="1">_xll.BDH($C$103,"OPER_INC_GROWTH","FQ3 2017","FQ3 2017","Currency=INR","Period=FQ","BEST_FPERIOD_OVERRIDE=FQ","FILING_STATUS=OR","EQY_CONSOLIDATED=Y","FA_ADJUSTED=GAAP","Sort=A","Dates=H","DateFormat=P","Fill=—","Direction=H","UseDPDF=Y")</f>
        <v>#NAME?</v>
      </c>
      <c r="W121" s="2" t="e">
        <f ca="1">_xll.BDH($C$103,"EARN_FOR_COM_GROWTH","FQ3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21" s="2" t="e">
        <f ca="1">_xll.BDH($C$103,"DILUTED_EPS_AFT_XO_ITEMS_GROWTH","FQ3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21" s="2" t="e">
        <f ca="1">_xll.BDH($C$103,"DIVIDEND_PER_SHARE_1_YEAR_GROWTH","FQ3 2017","FQ3 2017","Currency=INR","Period=FQ","BEST_FPERIOD_OVERRIDE=FQ","FILING_STATUS=OR","EQY_CONSOLIDATED=Y","Sort=A","Dates=H","DateFormat=P","Fill=—","Direction=H","UseDPDF=Y")</f>
        <v>#NAME?</v>
      </c>
      <c r="Z121" s="2" t="e">
        <f ca="1">_xll.BDH($C$103,"ACCOUNTS_RECEIVABLE_GROWTH","FQ3 2017","FQ3 2017","Currency=INR","Period=FQ","BEST_FPERIOD_OVERRIDE=FQ","FILING_STATUS=OR","EQY_CONSOLIDATED=Y","Sort=A","Dates=H","DateFormat=P","Fill=—","Direction=H","UseDPDF=Y")</f>
        <v>#NAME?</v>
      </c>
      <c r="AA121" s="2" t="e">
        <f ca="1">_xll.BDH($C$103,"INVENTORY_GROWTH","FQ3 2017","FQ3 2017","Currency=INR","Period=FQ","BEST_FPERIOD_OVERRIDE=FQ","FILING_STATUS=OR","EQY_CONSOLIDATED=Y","Sort=A","Dates=H","DateFormat=P","Fill=—","Direction=H","UseDPDF=Y")</f>
        <v>#NAME?</v>
      </c>
      <c r="AB121" s="2" t="e">
        <f ca="1">_xll.BDH($C$103,"NET_FIXED_ASSETS_1_YEAR_GROWTH","FQ3 2017","FQ3 2017","Currency=INR","Period=FQ","BEST_FPERIOD_OVERRIDE=FQ","FILING_STATUS=OR","EQY_CONSOLIDATED=Y","Sort=A","Dates=H","DateFormat=P","Fill=—","Direction=H","UseDPDF=Y")</f>
        <v>#NAME?</v>
      </c>
      <c r="AC121" s="2" t="e">
        <f ca="1">_xll.BDH($C$103,"ASSET_GROWTH","FQ3 2017","FQ3 2017","Currency=INR","Period=FQ","BEST_FPERIOD_OVERRIDE=FQ","FILING_STATUS=OR","EQY_CONSOLIDATED=Y","Sort=A","Dates=H","DateFormat=P","Fill=—","Direction=H","UseDPDF=Y")</f>
        <v>#NAME?</v>
      </c>
      <c r="AD121" s="2" t="e">
        <f ca="1">_xll.BDH($C$103,"MODIFIED_WORK_CAP_GROWTH","FQ3 2017","FQ3 2017","Currency=INR","Period=FQ","BEST_FPERIOD_OVERRIDE=FQ","FILING_STATUS=OR","EQY_CONSOLIDATED=Y","Sort=A","Dates=H","DateFormat=P","Fill=—","Direction=H","UseDPDF=Y")</f>
        <v>#NAME?</v>
      </c>
      <c r="AE121" s="2" t="e">
        <f ca="1">_xll.BDH($C$103,"WORK_CAP_GROWTH","FQ3 2017","FQ3 2017","Currency=INR","Period=FQ","BEST_FPERIOD_OVERRIDE=FQ","FILING_STATUS=OR","EQY_CONSOLIDATED=Y","Sort=A","Dates=H","DateFormat=P","Fill=—","Direction=H","UseDPDF=Y")</f>
        <v>#NAME?</v>
      </c>
      <c r="AF121" s="2" t="e">
        <f ca="1">_xll.BDH($C$103,"ACCOUNTS_PAYABLE_GROWTH_1YR","FQ3 2017","FQ3 2017","Currency=INR","Period=FQ","BEST_FPERIOD_OVERRIDE=FQ","FILING_STATUS=OR","EQY_CONSOLIDATED=Y","Sort=A","Dates=H","DateFormat=P","Fill=—","Direction=H","UseDPDF=Y")</f>
        <v>#NAME?</v>
      </c>
      <c r="AG121" s="2" t="e">
        <f ca="1">_xll.BDH($C$103,"SHORT_TERM_DEBT_1_YEAR_GROWTH","FQ3 2017","FQ3 2017","Currency=INR","Period=FQ","BEST_FPERIOD_OVERRIDE=FQ","FILING_STATUS=OR","EQY_CONSOLIDATED=Y","Sort=A","Dates=H","DateFormat=P","Fill=—","Direction=H","UseDPDF=Y")</f>
        <v>#NAME?</v>
      </c>
      <c r="AH121" s="2" t="e">
        <f ca="1">_xll.BDH($C$103,"TOTAL_DEBT_1_YEAR_GROWTH","FQ3 2017","FQ3 2017","Currency=INR","Period=FQ","BEST_FPERIOD_OVERRIDE=FQ","FILING_STATUS=OR","EQY_CONSOLIDATED=Y","Sort=A","Dates=H","DateFormat=P","Fill=—","Direction=H","UseDPDF=Y")</f>
        <v>#NAME?</v>
      </c>
      <c r="AI121" s="2" t="e">
        <f ca="1">_xll.BDH($C$103,"TOTAL_EQUITY_1_YEAR_GROWTH","FQ3 2017","FQ3 2017","Currency=INR","Period=FQ","BEST_FPERIOD_OVERRIDE=FQ","FILING_STATUS=OR","EQY_CONSOLIDATED=Y","Sort=A","Dates=H","DateFormat=P","Fill=—","Direction=H","UseDPDF=Y")</f>
        <v>#NAME?</v>
      </c>
      <c r="AJ121" s="2" t="e">
        <f ca="1">_xll.BDH($C$103,"GROWTH_IN_CAP","FQ3 2017","FQ3 2017","Currency=INR","Period=FQ","BEST_FPERIOD_OVERRIDE=FQ","FILING_STATUS=OR","EQY_CONSOLIDATED=Y","Sort=A","Dates=H","DateFormat=P","Fill=—","Direction=H","UseDPDF=Y")</f>
        <v>#NAME?</v>
      </c>
      <c r="AK121" s="2" t="e">
        <f ca="1">_xll.BDH($C$103,"BVPS_GROWTH","FQ3 2017","FQ3 2017","Currency=INR","Period=FQ","BEST_FPERIOD_OVERRIDE=FQ","FILING_STATUS=OR","EQY_CONSOLIDATED=Y","Sort=A","Dates=H","DateFormat=P","Fill=—","Direction=H","UseDPDF=Y")</f>
        <v>#NAME?</v>
      </c>
      <c r="AL121" s="2" t="e">
        <f ca="1">_xll.BDH($C$103,"CASH_FLOW_GROWTH","FQ3 2017","FQ3 2017","Currency=INR","Period=FQ","BEST_FPERIOD_OVERRIDE=FQ","FILING_STATUS=OR","EQY_CONSOLIDATED=Y","Sort=A","Dates=H","DateFormat=P","Fill=—","Direction=H","UseDPDF=Y")</f>
        <v>#NAME?</v>
      </c>
      <c r="AM121" s="2" t="e">
        <f ca="1">_xll.BDH($C$103,"GEO_GROW_NET_SALES","FQ3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21" s="2" t="e">
        <f ca="1">_xll.BDH($C$103,"GEO_GROW_EBITDA","FQ3 2017","FQ3 2017","Currency=INR","Period=FQ","BEST_FPERIOD_OVERRIDE=FQ","FILING_STATUS=OR","EQY_CONSOLIDATED=Y","FA_ADJUSTED=GAAP","Sort=A","Dates=H","DateFormat=P","Fill=—","Direction=H","UseDPDF=Y")</f>
        <v>#NAME?</v>
      </c>
      <c r="AO121" s="2" t="e">
        <f ca="1">_xll.BDH($C$103,"GEO_GROW_OPER_INC","FQ3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21" s="2" t="e">
        <f ca="1">_xll.BDH($C$103,"NET_INCOME_TO_COMMON_5_YR_GROWTH","FQ3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21" s="2" t="e">
        <f ca="1">_xll.BDH($C$103,"5Y_GEO_GROWTH_DILUTED_EPS","FQ3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21" s="2" t="e">
        <f ca="1">_xll.BDH($C$103,"GEO_GROW_DVD_PER_SH","FQ3 2017","FQ3 2017","Currency=INR","Period=FQ","BEST_FPERIOD_OVERRIDE=FQ","FILING_STATUS=OR","EQY_CONSOLIDATED=Y","Sort=A","Dates=H","DateFormat=P","Fill=—","Direction=H","UseDPDF=Y")</f>
        <v>#NAME?</v>
      </c>
      <c r="AS121" s="2" t="e">
        <f ca="1">_xll.BDH($C$103,"ACCOUNTS_RECEIVABLE_5_YR_GROWTH","FQ3 2017","FQ3 2017","Currency=INR","Period=FQ","BEST_FPERIOD_OVERRIDE=FQ","FILING_STATUS=OR","EQY_CONSOLIDATED=Y","Sort=A","Dates=H","DateFormat=P","Fill=—","Direction=H","UseDPDF=Y")</f>
        <v>#NAME?</v>
      </c>
      <c r="AT121" s="2" t="e">
        <f ca="1">_xll.BDH($C$103,"INVENTORY_5_YEAR_GROWTH","FQ3 2017","FQ3 2017","Currency=INR","Period=FQ","BEST_FPERIOD_OVERRIDE=FQ","FILING_STATUS=OR","EQY_CONSOLIDATED=Y","Sort=A","Dates=H","DateFormat=P","Fill=—","Direction=H","UseDPDF=Y")</f>
        <v>#NAME?</v>
      </c>
      <c r="AU121" s="2" t="e">
        <f ca="1">_xll.BDH($C$103,"NET_FIXED_ASSETS_5_YEAR_GROWTH","FQ3 2017","FQ3 2017","Currency=INR","Period=FQ","BEST_FPERIOD_OVERRIDE=FQ","FILING_STATUS=OR","EQY_CONSOLIDATED=Y","Sort=A","Dates=H","DateFormat=P","Fill=—","Direction=H","UseDPDF=Y")</f>
        <v>#NAME?</v>
      </c>
      <c r="AV121" s="2" t="e">
        <f ca="1">_xll.BDH($C$103,"GEO_GROW_TOT_ASSET","FQ3 2017","FQ3 2017","Currency=INR","Period=FQ","BEST_FPERIOD_OVERRIDE=FQ","FILING_STATUS=OR","EQY_CONSOLIDATED=Y","Sort=A","Dates=H","DateFormat=P","Fill=—","Direction=H","UseDPDF=Y")</f>
        <v>#NAME?</v>
      </c>
      <c r="AW121" s="2" t="e">
        <f ca="1">_xll.BDH($C$103,"MODIFIED_WORKING_CPTL_5YR_GRWTH","FQ3 2017","FQ3 2017","Currency=INR","Period=FQ","BEST_FPERIOD_OVERRIDE=FQ","FILING_STATUS=OR","EQY_CONSOLIDATED=Y","Sort=A","Dates=H","DateFormat=P","Fill=—","Direction=H","UseDPDF=Y")</f>
        <v>#NAME?</v>
      </c>
      <c r="AX121" s="2" t="e">
        <f ca="1">_xll.BDH($C$103,"WORKING_CAPITAL_5_YEAR_GROWTH","FQ3 2017","FQ3 2017","Currency=INR","Period=FQ","BEST_FPERIOD_OVERRIDE=FQ","FILING_STATUS=OR","EQY_CONSOLIDATED=Y","Sort=A","Dates=H","DateFormat=P","Fill=—","Direction=H","UseDPDF=Y")</f>
        <v>#NAME?</v>
      </c>
      <c r="AY121" s="2" t="e">
        <f ca="1">_xll.BDH($C$103,"ACCOUNTS_PAYABLE_5_YEAR_GROWTH","FQ3 2017","FQ3 2017","Currency=INR","Period=FQ","BEST_FPERIOD_OVERRIDE=FQ","FILING_STATUS=OR","EQY_CONSOLIDATED=Y","Sort=A","Dates=H","DateFormat=P","Fill=—","Direction=H","UseDPDF=Y")</f>
        <v>#NAME?</v>
      </c>
      <c r="AZ121" s="2" t="e">
        <f ca="1">_xll.BDH($C$103,"SHORT_TERM_DEBT_5_YEAR_GROWTH","FQ3 2017","FQ3 2017","Currency=INR","Period=FQ","BEST_FPERIOD_OVERRIDE=FQ","FILING_STATUS=OR","EQY_CONSOLIDATED=Y","Sort=A","Dates=H","DateFormat=P","Fill=—","Direction=H","UseDPDF=Y")</f>
        <v>#NAME?</v>
      </c>
      <c r="BA121" s="2" t="e">
        <f ca="1">_xll.BDH($C$103,"TOTAL_DEBT_5_YEAR_GROWTH","FQ3 2017","FQ3 2017","Currency=INR","Period=FQ","BEST_FPERIOD_OVERRIDE=FQ","FILING_STATUS=OR","EQY_CONSOLIDATED=Y","Sort=A","Dates=H","DateFormat=P","Fill=—","Direction=H","UseDPDF=Y")</f>
        <v>#NAME?</v>
      </c>
      <c r="BB121" s="2" t="e">
        <f ca="1">_xll.BDH($C$103,"GEO_GROW_TOT_SHRHLDR_EQY","FQ3 2017","FQ3 2017","Currency=INR","Period=FQ","BEST_FPERIOD_OVERRIDE=FQ","FILING_STATUS=OR","EQY_CONSOLIDATED=Y","Sort=A","Dates=H","DateFormat=P","Fill=—","Direction=H","UseDPDF=Y")</f>
        <v>#NAME?</v>
      </c>
      <c r="BC121" s="2" t="e">
        <f ca="1">_xll.BDH($C$103,"TOTAL_CAPITAL_5_YEAR_GROWTH","FQ3 2017","FQ3 2017","Currency=INR","Period=FQ","BEST_FPERIOD_OVERRIDE=FQ","FILING_STATUS=OR","EQY_CONSOLIDATED=Y","Sort=A","Dates=H","DateFormat=P","Fill=—","Direction=H","UseDPDF=Y")</f>
        <v>#NAME?</v>
      </c>
      <c r="BD121" s="2" t="e">
        <f ca="1">_xll.BDH($C$103,"GEO_GROW_BOOK_VAL","FQ3 2017","FQ3 2017","Currency=INR","Period=FQ","BEST_FPERIOD_OVERRIDE=FQ","FILING_STATUS=OR","EQY_CONSOLIDATED=Y","Sort=A","Dates=H","DateFormat=P","Fill=—","Direction=H","UseDPDF=Y")</f>
        <v>#NAME?</v>
      </c>
      <c r="BE121" s="2" t="e">
        <f ca="1">_xll.BDH($C$103,"GEO_GROW_CASH_OPER_ACT","FQ3 2017","FQ3 2017","Currency=INR","Period=FQ","BEST_FPERIOD_OVERRIDE=FQ","FILING_STATUS=OR","EQY_CONSOLIDATED=Y","Sort=A","Dates=H","DateFormat=P","Fill=—","Direction=H","UseDPDF=Y")</f>
        <v>#NAME?</v>
      </c>
      <c r="BF121" s="2" t="e">
        <f ca="1">_xll.BDH($C$103,"REVENUE_SEQUENTIAL_GROWTH","FQ3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21" s="2" t="e">
        <f ca="1">_xll.BDH($C$103,"EBITDA_SEQUENTIAL_GROWTH","FQ3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21" s="2" t="e">
        <f ca="1">_xll.BDH($C$103,"OPERATING_INCOME_SEQ_GROWTH","FQ3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21" s="2" t="e">
        <f ca="1">_xll.BDH($C$103,"NET_INCOME_TO_COMMON_SEQ_GROWTH","FQ3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21" s="2" t="e">
        <f ca="1">_xll.BDH($C$103,"EPS_DILUTED_SEQUENTIAL_GROWTH","FQ3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21" s="2" t="e">
        <f ca="1">_xll.BDH($C$103,"DPS_SEQUENTIAL_GROWTH","FQ3 2017","FQ3 2017","Currency=INR","Period=FQ","BEST_FPERIOD_OVERRIDE=FQ","FILING_STATUS=OR","EQY_CONSOLIDATED=Y","Sort=A","Dates=H","DateFormat=P","Fill=—","Direction=H","UseDPDF=Y")</f>
        <v>#NAME?</v>
      </c>
      <c r="BL121" s="2" t="e">
        <f ca="1">_xll.BDH($C$103,"ACCOUNTS_RECEIVABLE_SEQ_GROWTH","FQ3 2017","FQ3 2017","Currency=INR","Period=FQ","BEST_FPERIOD_OVERRIDE=FQ","FILING_STATUS=OR","EQY_CONSOLIDATED=Y","Sort=A","Dates=H","DateFormat=P","Fill=—","Direction=H","UseDPDF=Y")</f>
        <v>#NAME?</v>
      </c>
      <c r="BM121" s="2" t="e">
        <f ca="1">_xll.BDH($C$103,"INVENTORY_SEQUENTIAL_GROWTH","FQ3 2017","FQ3 2017","Currency=INR","Period=FQ","BEST_FPERIOD_OVERRIDE=FQ","FILING_STATUS=OR","EQY_CONSOLIDATED=Y","Sort=A","Dates=H","DateFormat=P","Fill=—","Direction=H","UseDPDF=Y")</f>
        <v>#NAME?</v>
      </c>
      <c r="BN121" s="2" t="e">
        <f ca="1">_xll.BDH($C$103,"FIXED_ASSETS_SEQUENTIAL_GROWTH","FQ3 2017","FQ3 2017","Currency=INR","Period=FQ","BEST_FPERIOD_OVERRIDE=FQ","FILING_STATUS=OR","EQY_CONSOLIDATED=Y","Sort=A","Dates=H","DateFormat=P","Fill=—","Direction=H","UseDPDF=Y")</f>
        <v>#NAME?</v>
      </c>
      <c r="BO121" s="2" t="e">
        <f ca="1">_xll.BDH($C$103,"TOTAL_ASSETS_SEQUENTIAL_GROWTH","FQ3 2017","FQ3 2017","Currency=INR","Period=FQ","BEST_FPERIOD_OVERRIDE=FQ","FILING_STATUS=OR","EQY_CONSOLIDATED=Y","Sort=A","Dates=H","DateFormat=P","Fill=—","Direction=H","UseDPDF=Y")</f>
        <v>#NAME?</v>
      </c>
      <c r="BP121" s="2" t="e">
        <f ca="1">_xll.BDH($C$103,"MODIFIED_WORKING_CPTL_SEQ_GRWTH","FQ3 2017","FQ3 2017","Currency=INR","Period=FQ","BEST_FPERIOD_OVERRIDE=FQ","FILING_STATUS=OR","EQY_CONSOLIDATED=Y","Sort=A","Dates=H","DateFormat=P","Fill=—","Direction=H","UseDPDF=Y")</f>
        <v>#NAME?</v>
      </c>
      <c r="BQ121" s="2" t="e">
        <f ca="1">_xll.BDH($C$103,"WORKING_CAPITAL_SEQ_GROWTH","FQ3 2017","FQ3 2017","Currency=INR","Period=FQ","BEST_FPERIOD_OVERRIDE=FQ","FILING_STATUS=OR","EQY_CONSOLIDATED=Y","Sort=A","Dates=H","DateFormat=P","Fill=—","Direction=H","UseDPDF=Y")</f>
        <v>#NAME?</v>
      </c>
      <c r="BR121" s="2" t="e">
        <f ca="1">_xll.BDH($C$103,"ACCOUNTS_PAYABLE_SEQ_GROWTH","FQ3 2017","FQ3 2017","Currency=INR","Period=FQ","BEST_FPERIOD_OVERRIDE=FQ","FILING_STATUS=OR","EQY_CONSOLIDATED=Y","Sort=A","Dates=H","DateFormat=P","Fill=—","Direction=H","UseDPDF=Y")</f>
        <v>#NAME?</v>
      </c>
      <c r="BS121" s="2" t="e">
        <f ca="1">_xll.BDH($C$103,"ST_DEBT_SEQUENTIAL_GROWTH","FQ3 2017","FQ3 2017","Currency=INR","Period=FQ","BEST_FPERIOD_OVERRIDE=FQ","FILING_STATUS=OR","EQY_CONSOLIDATED=Y","Sort=A","Dates=H","DateFormat=P","Fill=—","Direction=H","UseDPDF=Y")</f>
        <v>#NAME?</v>
      </c>
      <c r="BT121" s="2" t="e">
        <f ca="1">_xll.BDH($C$103,"TOTAL_DEBT_SEQUENTIAL_GROWTH","FQ3 2017","FQ3 2017","Currency=INR","Period=FQ","BEST_FPERIOD_OVERRIDE=FQ","FILING_STATUS=OR","EQY_CONSOLIDATED=Y","Sort=A","Dates=H","DateFormat=P","Fill=—","Direction=H","UseDPDF=Y")</f>
        <v>#NAME?</v>
      </c>
      <c r="BU121" s="2" t="e">
        <f ca="1">_xll.BDH($C$103,"TOTAL_EQUITY_SEQUENTIAL_GROWTH","FQ3 2017","FQ3 2017","Currency=INR","Period=FQ","BEST_FPERIOD_OVERRIDE=FQ","FILING_STATUS=OR","EQY_CONSOLIDATED=Y","Sort=A","Dates=H","DateFormat=P","Fill=—","Direction=H","UseDPDF=Y")</f>
        <v>#NAME?</v>
      </c>
      <c r="BV121" s="2" t="e">
        <f ca="1">_xll.BDH($C$103,"TOTAL_CAPITAL_SEQUENTIAL_GROWTH","FQ3 2017","FQ3 2017","Currency=INR","Period=FQ","BEST_FPERIOD_OVERRIDE=FQ","FILING_STATUS=OR","EQY_CONSOLIDATED=Y","Sort=A","Dates=H","DateFormat=P","Fill=—","Direction=H","UseDPDF=Y")</f>
        <v>#NAME?</v>
      </c>
      <c r="BW121" s="2" t="e">
        <f ca="1">_xll.BDH($C$103,"BPS_SEQUENTIAL_GROWTH","FQ3 2017","FQ3 2017","Currency=INR","Period=FQ","BEST_FPERIOD_OVERRIDE=FQ","FILING_STATUS=OR","EQY_CONSOLIDATED=Y","Sort=A","Dates=H","DateFormat=P","Fill=—","Direction=H","UseDPDF=Y")</f>
        <v>#NAME?</v>
      </c>
      <c r="BX121" s="2" t="e">
        <f ca="1">_xll.BDH($C$103,"CFO_SEQUENTIAL_GROWTH","FQ3 2017","FQ3 2017","Currency=INR","Period=FQ","BEST_FPERIOD_OVERRIDE=FQ","FILING_STATUS=OR","EQY_CONSOLIDATED=Y","Sort=A","Dates=H","DateFormat=P","Fill=—","Direction=H","UseDPDF=Y")</f>
        <v>#NAME?</v>
      </c>
      <c r="BY121" s="3" t="e">
        <f ca="1">_xll.BDH($C$103,"SHORT_AND_LONG_TERM_DEBT","FQ3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21" s="3" t="e">
        <f ca="1">_xll.BDH($C$103,"BS_ST_BORROW","FQ3 2017","FQ3 2017","Currency=INR","Period=FQ","BEST_FPERIOD_OVERRIDE=FQ","FILING_STATUS=OR","EQY_CONSOLIDATED=Y","SCALING_FORMAT=MLN","Sort=A","Dates=H","DateFormat=P","Fill=—","Direction=H","UseDPDF=Y")</f>
        <v>#NAME?</v>
      </c>
      <c r="CA121" s="3" t="e">
        <f ca="1">_xll.BDH($C$103,"BS_LT_BORROW","FQ3 2017","FQ3 2017","Currency=INR","Period=FQ","BEST_FPERIOD_OVERRIDE=FQ","FILING_STATUS=OR","EQY_CONSOLIDATED=Y","SCALING_FORMAT=MLN","Sort=A","Dates=H","DateFormat=P","Fill=—","Direction=H","UseDPDF=Y")</f>
        <v>#NAME?</v>
      </c>
      <c r="CB121" s="2" t="e">
        <f ca="1">_xll.BDH($C$103,"TOT_DEBT_TO_EBITDA","FQ3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21" s="2" t="e">
        <f ca="1">_xll.BDH($C$103,"NET_DEBT_TO_EBITDA","FQ3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21" s="2" t="e">
        <f ca="1">_xll.BDH($C$103,"TOTAL_DEBT_TO_EBIT","FQ3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21" s="2" t="e">
        <f ca="1">_xll.BDH($C$103,"NET_DEBT_TO_EBIT","FQ3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21" s="2" t="e">
        <f ca="1">_xll.BDH($C$103,"EBITDA_TO_INTEREST_EXPN","FQ3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21" s="2" t="e">
        <f ca="1">_xll.BDH($C$103,"COM_EQY_TO_TOT_ASSET","FQ3 2017","FQ3 2017","Currency=INR","Period=FQ","BEST_FPERIOD_OVERRIDE=FQ","FILING_STATUS=OR","EQY_CONSOLIDATED=Y","Sort=A","Dates=H","DateFormat=P","Fill=—","Direction=H","UseDPDF=Y")</f>
        <v>#NAME?</v>
      </c>
      <c r="CH121" s="2" t="e">
        <f ca="1">_xll.BDH($C$103,"LT_DEBT_TO_TOT_EQY","FQ3 2017","FQ3 2017","Currency=INR","Period=FQ","BEST_FPERIOD_OVERRIDE=FQ","FILING_STATUS=OR","EQY_CONSOLIDATED=Y","Sort=A","Dates=H","DateFormat=P","Fill=—","Direction=H","UseDPDF=Y")</f>
        <v>#NAME?</v>
      </c>
      <c r="CI121" s="2" t="e">
        <f ca="1">_xll.BDH($C$103,"LT_DEBT_TO_TOT_CAP","FQ3 2017","FQ3 2017","Currency=INR","Period=FQ","BEST_FPERIOD_OVERRIDE=FQ","FILING_STATUS=OR","EQY_CONSOLIDATED=Y","Sort=A","Dates=H","DateFormat=P","Fill=—","Direction=H","UseDPDF=Y")</f>
        <v>#NAME?</v>
      </c>
      <c r="CJ121" s="2" t="e">
        <f ca="1">_xll.BDH($C$103,"LT_DEBT_TO_TOT_ASSET","FQ3 2017","FQ3 2017","Currency=INR","Period=FQ","BEST_FPERIOD_OVERRIDE=FQ","FILING_STATUS=OR","EQY_CONSOLIDATED=Y","Sort=A","Dates=H","DateFormat=P","Fill=—","Direction=H","UseDPDF=Y")</f>
        <v>#NAME?</v>
      </c>
      <c r="CK121" s="2" t="e">
        <f ca="1">_xll.BDH($C$103,"TOT_DEBT_TO_TOT_EQY","FQ3 2017","FQ3 2017","Currency=INR","Period=FQ","BEST_FPERIOD_OVERRIDE=FQ","FILING_STATUS=OR","EQY_CONSOLIDATED=Y","Sort=A","Dates=H","DateFormat=P","Fill=—","Direction=H","UseDPDF=Y")</f>
        <v>#NAME?</v>
      </c>
      <c r="CL121" s="2" t="e">
        <f ca="1">_xll.BDH($C$103,"TOT_DEBT_TO_TOT_CAP","FQ3 2017","FQ3 2017","Currency=INR","Period=FQ","BEST_FPERIOD_OVERRIDE=FQ","FILING_STATUS=OR","EQY_CONSOLIDATED=Y","Sort=A","Dates=H","DateFormat=P","Fill=—","Direction=H","UseDPDF=Y")</f>
        <v>#NAME?</v>
      </c>
      <c r="CM121" s="2" t="e">
        <f ca="1">_xll.BDH($C$103,"TOT_DEBT_TO_TOT_ASSET","FQ3 2017","FQ3 2017","Currency=INR","Period=FQ","BEST_FPERIOD_OVERRIDE=FQ","FILING_STATUS=OR","EQY_CONSOLIDATED=Y","Sort=A","Dates=H","DateFormat=P","Fill=—","Direction=H","UseDPDF=Y")</f>
        <v>#NAME?</v>
      </c>
      <c r="CN121" s="2" t="e">
        <f ca="1">_xll.BDH($C$103,"NET_DEBT_TO_SHRHLDR_EQTY","FQ3 2017","FQ3 2017","Currency=INR","Period=FQ","BEST_FPERIOD_OVERRIDE=FQ","FILING_STATUS=OR","EQY_CONSOLIDATED=Y","Sort=A","Dates=H","DateFormat=P","Fill=—","Direction=H","UseDPDF=Y")</f>
        <v>#NAME?</v>
      </c>
      <c r="CO121" s="2" t="e">
        <f ca="1">_xll.BDH($C$103,"NET_DEBT_%_CAPITAL","FQ3 2017","FQ3 2017","Currency=INR","Period=FQ","BEST_FPERIOD_OVERRIDE=FQ","FILING_STATUS=OR","EQY_CONSOLIDATED=Y","Sort=A","Dates=H","DateFormat=P","Fill=—","Direction=H","UseDPDF=Y")</f>
        <v>#NAME?</v>
      </c>
      <c r="CP121" s="3" t="e">
        <f ca="1">_xll.BDH($C$103,"EBITDA","FQ3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21" s="3" t="e">
        <f ca="1">_xll.BDH($C$103,"EBITDA_AFTER_CAPEX","FQ3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21" s="3" t="e">
        <f ca="1">_xll.BDH($C$103,"IS_OPER_INC","FQ3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21" s="2" t="e">
        <f ca="1">_xll.BDH($C$103,"CASH_RATIO","FQ3 2017","FQ3 2017","Currency=INR","Period=FQ","BEST_FPERIOD_OVERRIDE=FQ","FILING_STATUS=OR","EQY_CONSOLIDATED=Y","Sort=A","Dates=H","DateFormat=P","Fill=—","Direction=H","UseDPDF=Y")</f>
        <v>#NAME?</v>
      </c>
      <c r="CT121" s="2" t="e">
        <f ca="1">_xll.BDH($C$103,"CUR_RATIO","FQ3 2017","FQ3 2017","Currency=INR","Period=FQ","BEST_FPERIOD_OVERRIDE=FQ","FILING_STATUS=OR","EQY_CONSOLIDATED=Y","Sort=A","Dates=H","DateFormat=P","Fill=—","Direction=H","UseDPDF=Y")</f>
        <v>#NAME?</v>
      </c>
      <c r="CU121" s="2" t="e">
        <f ca="1">_xll.BDH($C$103,"QUICK_RATIO","FQ3 2017","FQ3 2017","Currency=INR","Period=FQ","BEST_FPERIOD_OVERRIDE=FQ","FILING_STATUS=OR","EQY_CONSOLIDATED=Y","Sort=A","Dates=H","DateFormat=P","Fill=—","Direction=H","UseDPDF=Y")</f>
        <v>#NAME?</v>
      </c>
      <c r="CV121" s="2" t="e">
        <f ca="1">_xll.BDH($C$103,"ALTMAN_Z_SCORE","FQ3 2017","FQ3 2017","Currency=INR","Period=FQ","BEST_FPERIOD_OVERRIDE=FQ","FILING_STATUS=OR","EQY_CONSOLIDATED=Y","Sort=A","Dates=H","DateFormat=P","Fill=—","Direction=H","UseDPDF=Y")</f>
        <v>#NAME?</v>
      </c>
      <c r="CW121" s="4" t="e">
        <f ca="1">_xll.BDH($C$103,"ACCT_RCV_TURN","FQ3 2017","FQ3 2017","Currency=INR","Period=FQ","BEST_FPERIOD_OVERRIDE=FQ","FILING_STATUS=OR","EQY_CONSOLIDATED=Y","FA_ADJUSTED=GAAP","Sort=A","Dates=H","DateFormat=P","Fill=—","Direction=H","UseDPDF=Y")</f>
        <v>#NAME?</v>
      </c>
      <c r="CX121" s="2" t="e">
        <f ca="1">_xll.BDH($C$103,"ACCT_RCV_DAYS","FQ3 2017","FQ3 2017","Currency=INR","Period=FQ","BEST_FPERIOD_OVERRIDE=FQ","FILING_STATUS=OR","EQY_CONSOLIDATED=Y","FA_ADJUSTED=GAAP","Sort=A","Dates=H","DateFormat=P","Fill=—","Direction=H","UseDPDF=Y")</f>
        <v>#NAME?</v>
      </c>
      <c r="CY121" s="4" t="e">
        <f ca="1">_xll.BDH($C$103,"INVENT_TURN","FQ3 2017","FQ3 2017","Currency=INR","Period=FQ","BEST_FPERIOD_OVERRIDE=FQ","FILING_STATUS=OR","EQY_CONSOLIDATED=Y","FA_ADJUSTED=GAAP","Sort=A","Dates=H","DateFormat=P","Fill=—","Direction=H","UseDPDF=Y")</f>
        <v>#NAME?</v>
      </c>
      <c r="CZ121" s="2" t="e">
        <f ca="1">_xll.BDH($C$103,"INVENT_DAYS","FQ3 2017","FQ3 2017","Currency=INR","Period=FQ","BEST_FPERIOD_OVERRIDE=FQ","FILING_STATUS=OR","EQY_CONSOLIDATED=Y","FA_ADJUSTED=GAAP","Sort=A","Dates=H","DateFormat=P","Fill=—","Direction=H","UseDPDF=Y")</f>
        <v>#NAME?</v>
      </c>
      <c r="DA121" s="4" t="e">
        <f ca="1">_xll.BDH($C$103,"ACCOUNTS_PAYABLE_TURNOVER","FQ3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21" s="2" t="e">
        <f ca="1">_xll.BDH($C$103,"ACCOUNTS_PAYABLE_TURNOVER_DAYS","FQ3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21" s="4" t="e">
        <f ca="1">_xll.BDH($C$103,"CASH_CONVERSION_CYCLE","FQ3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21" s="4" t="e">
        <f ca="1">_xll.BDH($C$103,"INV_TO_CASH_DAYS","FQ3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21" s="5" t="e">
        <f ca="1">_xll.BDH($C$103,"BS_INVENTORIES","FQ3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21" s="3" t="e">
        <f ca="1">_xll.BDH($C$103,"INVTRY_RAW_MATERIALS","FQ3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21" s="3" t="e">
        <f ca="1">_xll.BDH($C$103,"INVTRY_IN_PROGRESS","FQ3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21" s="3" t="e">
        <f ca="1">_xll.BDH($C$103,"INVTRY_FINISHED_GOODS","FQ3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21" s="3" t="e">
        <f ca="1">_xll.BDH($C$103,"BS_OTHER_INV","FQ3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22" spans="1:113" x14ac:dyDescent="0.3">
      <c r="A122" s="6"/>
      <c r="B122" s="6"/>
      <c r="C122" s="6"/>
      <c r="D122" s="6"/>
      <c r="E122" t="s">
        <v>81</v>
      </c>
      <c r="F122" t="e">
        <f ca="1">_xll.BDH($C$103,"RETURN_COM_EQY","FQ4 2017","FQ4 2017","Currency=INR","Period=FQ","BEST_FPERIOD_OVERRIDE=FQ","FILING_STATUS=OR","EQY_CONSOLIDATED=Y","FA_ADJUSTED=GAAP","Sort=A","Dates=H","DateFormat=P","Fill=—","Direction=H","UseDPDF=Y")</f>
        <v>#NAME?</v>
      </c>
      <c r="G122" t="e">
        <f ca="1">_xll.BDH($C$103,"RETURN_ON_ASSET","FQ4 2017","FQ4 2017","Currency=INR","Period=FQ","BEST_FPERIOD_OVERRIDE=FQ","FILING_STATUS=OR","EQY_CONSOLIDATED=Y","FA_ADJUSTED=GAAP","Sort=A","Dates=H","DateFormat=P","Fill=—","Direction=H","UseDPDF=Y")</f>
        <v>#NAME?</v>
      </c>
      <c r="H122" t="e">
        <f ca="1">_xll.BDH($C$103,"RETURN_ON_CAP","FQ4 2017","FQ4 2017","Currency=INR","Period=FQ","BEST_FPERIOD_OVERRIDE=FQ","FILING_STATUS=OR","EQY_CONSOLIDATED=Y","FA_ADJUSTED=GAAP","Sort=A","Dates=H","DateFormat=P","Fill=—","Direction=H","UseDPDF=Y")</f>
        <v>#NAME?</v>
      </c>
      <c r="I122" t="e">
        <f ca="1">_xll.BDH($C$103,"RETURN_ON_INV_CAPITAL","FQ4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22" t="e">
        <f ca="1">_xll.BDH($C$103,"EBITDA_TO_REVENUE","FQ4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22" t="e">
        <f ca="1">_xll.BDH($C$103,"OPER_MARGIN","FQ4 2017","FQ4 2017","Currency=INR","Period=FQ","BEST_FPERIOD_OVERRIDE=FQ","FILING_STATUS=OR","EQY_CONSOLIDATED=Y","FA_ADJUSTED=GAAP","Sort=A","Dates=H","DateFormat=P","Fill=—","Direction=H","UseDPDF=Y")</f>
        <v>#NAME?</v>
      </c>
      <c r="L122" t="e">
        <f ca="1">_xll.BDH($C$103,"INCREMENTAL_OPERATING_MARGIN","FQ4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22" t="e">
        <f ca="1">_xll.BDH($C$103,"PRETAX_INC_TO_NET_SALES","FQ4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22" t="e">
        <f ca="1">_xll.BDH($C$103,"INC_BEF_XO_ITEMS_TO_NET_SALES","FQ4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22" t="e">
        <f ca="1">_xll.BDH($C$103,"PROF_MARGIN","FQ4 2017","FQ4 2017","Currency=INR","Period=FQ","BEST_FPERIOD_OVERRIDE=FQ","FILING_STATUS=OR","EQY_CONSOLIDATED=Y","FA_ADJUSTED=GAAP","Sort=A","Dates=H","DateFormat=P","Fill=—","Direction=H","UseDPDF=Y")</f>
        <v>#NAME?</v>
      </c>
      <c r="P122" t="e">
        <f ca="1">_xll.BDH($C$103,"NET_INCOME_TO_COMMON_MARGIN","FQ4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22" t="e">
        <f ca="1">_xll.BDH($C$103,"EFF_TAX_RATE","FQ4 2017","FQ4 2017","Currency=INR","Period=FQ","BEST_FPERIOD_OVERRIDE=FQ","FILING_STATUS=OR","EQY_CONSOLIDATED=Y","FA_ADJUSTED=GAAP","Sort=A","Dates=H","DateFormat=P","Fill=—","Direction=H","UseDPDF=Y")</f>
        <v>#NAME?</v>
      </c>
      <c r="R122" t="e">
        <f ca="1">_xll.BDH($C$103,"DVD_PAYOUT_RATIO","FQ4 2017","FQ4 2017","Currency=INR","Period=FQ","BEST_FPERIOD_OVERRIDE=FQ","FILING_STATUS=OR","EQY_CONSOLIDATED=Y","FA_ADJUSTED=GAAP","Sort=A","Dates=H","DateFormat=P","Fill=—","Direction=H","UseDPDF=Y")</f>
        <v>#NAME?</v>
      </c>
      <c r="S122" t="e">
        <f ca="1">_xll.BDH($C$103,"SUSTAIN_GROWTH_RT","FQ4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22" s="2" t="e">
        <f ca="1">_xll.BDH($C$103,"SALES_GROWTH","FQ4 2017","FQ4 2017","Currency=INR","Period=FQ","BEST_FPERIOD_OVERRIDE=FQ","FILING_STATUS=OR","EQY_CONSOLIDATED=Y","FA_ADJUSTED=GAAP","Sort=A","Dates=H","DateFormat=P","Fill=—","Direction=H","UseDPDF=Y")</f>
        <v>#NAME?</v>
      </c>
      <c r="U122" s="2" t="e">
        <f ca="1">_xll.BDH($C$103,"EBITDA_GROWTH","FQ4 2017","FQ4 2017","Currency=INR","Period=FQ","BEST_FPERIOD_OVERRIDE=FQ","FILING_STATUS=OR","EQY_CONSOLIDATED=Y","FA_ADJUSTED=GAAP","Sort=A","Dates=H","DateFormat=P","Fill=—","Direction=H","UseDPDF=Y")</f>
        <v>#NAME?</v>
      </c>
      <c r="V122" s="2" t="e">
        <f ca="1">_xll.BDH($C$103,"OPER_INC_GROWTH","FQ4 2017","FQ4 2017","Currency=INR","Period=FQ","BEST_FPERIOD_OVERRIDE=FQ","FILING_STATUS=OR","EQY_CONSOLIDATED=Y","FA_ADJUSTED=GAAP","Sort=A","Dates=H","DateFormat=P","Fill=—","Direction=H","UseDPDF=Y")</f>
        <v>#NAME?</v>
      </c>
      <c r="W122" s="2" t="e">
        <f ca="1">_xll.BDH($C$103,"EARN_FOR_COM_GROWTH","FQ4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22" s="2" t="e">
        <f ca="1">_xll.BDH($C$103,"DILUTED_EPS_AFT_XO_ITEMS_GROWTH","FQ4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22" s="2" t="e">
        <f ca="1">_xll.BDH($C$103,"DIVIDEND_PER_SHARE_1_YEAR_GROWTH","FQ4 2017","FQ4 2017","Currency=INR","Period=FQ","BEST_FPERIOD_OVERRIDE=FQ","FILING_STATUS=OR","EQY_CONSOLIDATED=Y","Sort=A","Dates=H","DateFormat=P","Fill=—","Direction=H","UseDPDF=Y")</f>
        <v>#NAME?</v>
      </c>
      <c r="Z122" s="2" t="e">
        <f ca="1">_xll.BDH($C$103,"ACCOUNTS_RECEIVABLE_GROWTH","FQ4 2017","FQ4 2017","Currency=INR","Period=FQ","BEST_FPERIOD_OVERRIDE=FQ","FILING_STATUS=OR","EQY_CONSOLIDATED=Y","Sort=A","Dates=H","DateFormat=P","Fill=—","Direction=H","UseDPDF=Y")</f>
        <v>#NAME?</v>
      </c>
      <c r="AA122" s="2" t="e">
        <f ca="1">_xll.BDH($C$103,"INVENTORY_GROWTH","FQ4 2017","FQ4 2017","Currency=INR","Period=FQ","BEST_FPERIOD_OVERRIDE=FQ","FILING_STATUS=OR","EQY_CONSOLIDATED=Y","Sort=A","Dates=H","DateFormat=P","Fill=—","Direction=H","UseDPDF=Y")</f>
        <v>#NAME?</v>
      </c>
      <c r="AB122" s="2" t="e">
        <f ca="1">_xll.BDH($C$103,"NET_FIXED_ASSETS_1_YEAR_GROWTH","FQ4 2017","FQ4 2017","Currency=INR","Period=FQ","BEST_FPERIOD_OVERRIDE=FQ","FILING_STATUS=OR","EQY_CONSOLIDATED=Y","Sort=A","Dates=H","DateFormat=P","Fill=—","Direction=H","UseDPDF=Y")</f>
        <v>#NAME?</v>
      </c>
      <c r="AC122" s="2" t="e">
        <f ca="1">_xll.BDH($C$103,"ASSET_GROWTH","FQ4 2017","FQ4 2017","Currency=INR","Period=FQ","BEST_FPERIOD_OVERRIDE=FQ","FILING_STATUS=OR","EQY_CONSOLIDATED=Y","Sort=A","Dates=H","DateFormat=P","Fill=—","Direction=H","UseDPDF=Y")</f>
        <v>#NAME?</v>
      </c>
      <c r="AD122" s="2" t="e">
        <f ca="1">_xll.BDH($C$103,"MODIFIED_WORK_CAP_GROWTH","FQ4 2017","FQ4 2017","Currency=INR","Period=FQ","BEST_FPERIOD_OVERRIDE=FQ","FILING_STATUS=OR","EQY_CONSOLIDATED=Y","Sort=A","Dates=H","DateFormat=P","Fill=—","Direction=H","UseDPDF=Y")</f>
        <v>#NAME?</v>
      </c>
      <c r="AE122" s="2" t="e">
        <f ca="1">_xll.BDH($C$103,"WORK_CAP_GROWTH","FQ4 2017","FQ4 2017","Currency=INR","Period=FQ","BEST_FPERIOD_OVERRIDE=FQ","FILING_STATUS=OR","EQY_CONSOLIDATED=Y","Sort=A","Dates=H","DateFormat=P","Fill=—","Direction=H","UseDPDF=Y")</f>
        <v>#NAME?</v>
      </c>
      <c r="AF122" s="2" t="e">
        <f ca="1">_xll.BDH($C$103,"ACCOUNTS_PAYABLE_GROWTH_1YR","FQ4 2017","FQ4 2017","Currency=INR","Period=FQ","BEST_FPERIOD_OVERRIDE=FQ","FILING_STATUS=OR","EQY_CONSOLIDATED=Y","Sort=A","Dates=H","DateFormat=P","Fill=—","Direction=H","UseDPDF=Y")</f>
        <v>#NAME?</v>
      </c>
      <c r="AG122" s="2" t="e">
        <f ca="1">_xll.BDH($C$103,"SHORT_TERM_DEBT_1_YEAR_GROWTH","FQ4 2017","FQ4 2017","Currency=INR","Period=FQ","BEST_FPERIOD_OVERRIDE=FQ","FILING_STATUS=OR","EQY_CONSOLIDATED=Y","Sort=A","Dates=H","DateFormat=P","Fill=—","Direction=H","UseDPDF=Y")</f>
        <v>#NAME?</v>
      </c>
      <c r="AH122" s="2" t="e">
        <f ca="1">_xll.BDH($C$103,"TOTAL_DEBT_1_YEAR_GROWTH","FQ4 2017","FQ4 2017","Currency=INR","Period=FQ","BEST_FPERIOD_OVERRIDE=FQ","FILING_STATUS=OR","EQY_CONSOLIDATED=Y","Sort=A","Dates=H","DateFormat=P","Fill=—","Direction=H","UseDPDF=Y")</f>
        <v>#NAME?</v>
      </c>
      <c r="AI122" s="2" t="e">
        <f ca="1">_xll.BDH($C$103,"TOTAL_EQUITY_1_YEAR_GROWTH","FQ4 2017","FQ4 2017","Currency=INR","Period=FQ","BEST_FPERIOD_OVERRIDE=FQ","FILING_STATUS=OR","EQY_CONSOLIDATED=Y","Sort=A","Dates=H","DateFormat=P","Fill=—","Direction=H","UseDPDF=Y")</f>
        <v>#NAME?</v>
      </c>
      <c r="AJ122" s="2" t="e">
        <f ca="1">_xll.BDH($C$103,"GROWTH_IN_CAP","FQ4 2017","FQ4 2017","Currency=INR","Period=FQ","BEST_FPERIOD_OVERRIDE=FQ","FILING_STATUS=OR","EQY_CONSOLIDATED=Y","Sort=A","Dates=H","DateFormat=P","Fill=—","Direction=H","UseDPDF=Y")</f>
        <v>#NAME?</v>
      </c>
      <c r="AK122" s="2" t="e">
        <f ca="1">_xll.BDH($C$103,"BVPS_GROWTH","FQ4 2017","FQ4 2017","Currency=INR","Period=FQ","BEST_FPERIOD_OVERRIDE=FQ","FILING_STATUS=OR","EQY_CONSOLIDATED=Y","Sort=A","Dates=H","DateFormat=P","Fill=—","Direction=H","UseDPDF=Y")</f>
        <v>#NAME?</v>
      </c>
      <c r="AL122" s="2" t="e">
        <f ca="1">_xll.BDH($C$103,"CASH_FLOW_GROWTH","FQ4 2017","FQ4 2017","Currency=INR","Period=FQ","BEST_FPERIOD_OVERRIDE=FQ","FILING_STATUS=OR","EQY_CONSOLIDATED=Y","Sort=A","Dates=H","DateFormat=P","Fill=—","Direction=H","UseDPDF=Y")</f>
        <v>#NAME?</v>
      </c>
      <c r="AM122" s="2" t="e">
        <f ca="1">_xll.BDH($C$103,"GEO_GROW_NET_SALES","FQ4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22" s="2" t="e">
        <f ca="1">_xll.BDH($C$103,"GEO_GROW_EBITDA","FQ4 2017","FQ4 2017","Currency=INR","Period=FQ","BEST_FPERIOD_OVERRIDE=FQ","FILING_STATUS=OR","EQY_CONSOLIDATED=Y","FA_ADJUSTED=GAAP","Sort=A","Dates=H","DateFormat=P","Fill=—","Direction=H","UseDPDF=Y")</f>
        <v>#NAME?</v>
      </c>
      <c r="AO122" s="2" t="e">
        <f ca="1">_xll.BDH($C$103,"GEO_GROW_OPER_INC","FQ4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22" s="2" t="e">
        <f ca="1">_xll.BDH($C$103,"NET_INCOME_TO_COMMON_5_YR_GROWTH","FQ4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22" s="2" t="e">
        <f ca="1">_xll.BDH($C$103,"5Y_GEO_GROWTH_DILUTED_EPS","FQ4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22" s="2" t="e">
        <f ca="1">_xll.BDH($C$103,"GEO_GROW_DVD_PER_SH","FQ4 2017","FQ4 2017","Currency=INR","Period=FQ","BEST_FPERIOD_OVERRIDE=FQ","FILING_STATUS=OR","EQY_CONSOLIDATED=Y","Sort=A","Dates=H","DateFormat=P","Fill=—","Direction=H","UseDPDF=Y")</f>
        <v>#NAME?</v>
      </c>
      <c r="AS122" s="2" t="e">
        <f ca="1">_xll.BDH($C$103,"ACCOUNTS_RECEIVABLE_5_YR_GROWTH","FQ4 2017","FQ4 2017","Currency=INR","Period=FQ","BEST_FPERIOD_OVERRIDE=FQ","FILING_STATUS=OR","EQY_CONSOLIDATED=Y","Sort=A","Dates=H","DateFormat=P","Fill=—","Direction=H","UseDPDF=Y")</f>
        <v>#NAME?</v>
      </c>
      <c r="AT122" s="2" t="e">
        <f ca="1">_xll.BDH($C$103,"INVENTORY_5_YEAR_GROWTH","FQ4 2017","FQ4 2017","Currency=INR","Period=FQ","BEST_FPERIOD_OVERRIDE=FQ","FILING_STATUS=OR","EQY_CONSOLIDATED=Y","Sort=A","Dates=H","DateFormat=P","Fill=—","Direction=H","UseDPDF=Y")</f>
        <v>#NAME?</v>
      </c>
      <c r="AU122" s="2" t="e">
        <f ca="1">_xll.BDH($C$103,"NET_FIXED_ASSETS_5_YEAR_GROWTH","FQ4 2017","FQ4 2017","Currency=INR","Period=FQ","BEST_FPERIOD_OVERRIDE=FQ","FILING_STATUS=OR","EQY_CONSOLIDATED=Y","Sort=A","Dates=H","DateFormat=P","Fill=—","Direction=H","UseDPDF=Y")</f>
        <v>#NAME?</v>
      </c>
      <c r="AV122" s="2" t="e">
        <f ca="1">_xll.BDH($C$103,"GEO_GROW_TOT_ASSET","FQ4 2017","FQ4 2017","Currency=INR","Period=FQ","BEST_FPERIOD_OVERRIDE=FQ","FILING_STATUS=OR","EQY_CONSOLIDATED=Y","Sort=A","Dates=H","DateFormat=P","Fill=—","Direction=H","UseDPDF=Y")</f>
        <v>#NAME?</v>
      </c>
      <c r="AW122" s="2" t="e">
        <f ca="1">_xll.BDH($C$103,"MODIFIED_WORKING_CPTL_5YR_GRWTH","FQ4 2017","FQ4 2017","Currency=INR","Period=FQ","BEST_FPERIOD_OVERRIDE=FQ","FILING_STATUS=OR","EQY_CONSOLIDATED=Y","Sort=A","Dates=H","DateFormat=P","Fill=—","Direction=H","UseDPDF=Y")</f>
        <v>#NAME?</v>
      </c>
      <c r="AX122" s="2" t="e">
        <f ca="1">_xll.BDH($C$103,"WORKING_CAPITAL_5_YEAR_GROWTH","FQ4 2017","FQ4 2017","Currency=INR","Period=FQ","BEST_FPERIOD_OVERRIDE=FQ","FILING_STATUS=OR","EQY_CONSOLIDATED=Y","Sort=A","Dates=H","DateFormat=P","Fill=—","Direction=H","UseDPDF=Y")</f>
        <v>#NAME?</v>
      </c>
      <c r="AY122" s="2" t="e">
        <f ca="1">_xll.BDH($C$103,"ACCOUNTS_PAYABLE_5_YEAR_GROWTH","FQ4 2017","FQ4 2017","Currency=INR","Period=FQ","BEST_FPERIOD_OVERRIDE=FQ","FILING_STATUS=OR","EQY_CONSOLIDATED=Y","Sort=A","Dates=H","DateFormat=P","Fill=—","Direction=H","UseDPDF=Y")</f>
        <v>#NAME?</v>
      </c>
      <c r="AZ122" s="2" t="e">
        <f ca="1">_xll.BDH($C$103,"SHORT_TERM_DEBT_5_YEAR_GROWTH","FQ4 2017","FQ4 2017","Currency=INR","Period=FQ","BEST_FPERIOD_OVERRIDE=FQ","FILING_STATUS=OR","EQY_CONSOLIDATED=Y","Sort=A","Dates=H","DateFormat=P","Fill=—","Direction=H","UseDPDF=Y")</f>
        <v>#NAME?</v>
      </c>
      <c r="BA122" s="2" t="e">
        <f ca="1">_xll.BDH($C$103,"TOTAL_DEBT_5_YEAR_GROWTH","FQ4 2017","FQ4 2017","Currency=INR","Period=FQ","BEST_FPERIOD_OVERRIDE=FQ","FILING_STATUS=OR","EQY_CONSOLIDATED=Y","Sort=A","Dates=H","DateFormat=P","Fill=—","Direction=H","UseDPDF=Y")</f>
        <v>#NAME?</v>
      </c>
      <c r="BB122" s="2" t="e">
        <f ca="1">_xll.BDH($C$103,"GEO_GROW_TOT_SHRHLDR_EQY","FQ4 2017","FQ4 2017","Currency=INR","Period=FQ","BEST_FPERIOD_OVERRIDE=FQ","FILING_STATUS=OR","EQY_CONSOLIDATED=Y","Sort=A","Dates=H","DateFormat=P","Fill=—","Direction=H","UseDPDF=Y")</f>
        <v>#NAME?</v>
      </c>
      <c r="BC122" s="2" t="e">
        <f ca="1">_xll.BDH($C$103,"TOTAL_CAPITAL_5_YEAR_GROWTH","FQ4 2017","FQ4 2017","Currency=INR","Period=FQ","BEST_FPERIOD_OVERRIDE=FQ","FILING_STATUS=OR","EQY_CONSOLIDATED=Y","Sort=A","Dates=H","DateFormat=P","Fill=—","Direction=H","UseDPDF=Y")</f>
        <v>#NAME?</v>
      </c>
      <c r="BD122" s="2" t="e">
        <f ca="1">_xll.BDH($C$103,"GEO_GROW_BOOK_VAL","FQ4 2017","FQ4 2017","Currency=INR","Period=FQ","BEST_FPERIOD_OVERRIDE=FQ","FILING_STATUS=OR","EQY_CONSOLIDATED=Y","Sort=A","Dates=H","DateFormat=P","Fill=—","Direction=H","UseDPDF=Y")</f>
        <v>#NAME?</v>
      </c>
      <c r="BE122" s="2" t="e">
        <f ca="1">_xll.BDH($C$103,"GEO_GROW_CASH_OPER_ACT","FQ4 2017","FQ4 2017","Currency=INR","Period=FQ","BEST_FPERIOD_OVERRIDE=FQ","FILING_STATUS=OR","EQY_CONSOLIDATED=Y","Sort=A","Dates=H","DateFormat=P","Fill=—","Direction=H","UseDPDF=Y")</f>
        <v>#NAME?</v>
      </c>
      <c r="BF122" s="2" t="e">
        <f ca="1">_xll.BDH($C$103,"REVENUE_SEQUENTIAL_GROWTH","FQ4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22" s="2" t="e">
        <f ca="1">_xll.BDH($C$103,"EBITDA_SEQUENTIAL_GROWTH","FQ4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22" s="2" t="e">
        <f ca="1">_xll.BDH($C$103,"OPERATING_INCOME_SEQ_GROWTH","FQ4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22" s="2" t="e">
        <f ca="1">_xll.BDH($C$103,"NET_INCOME_TO_COMMON_SEQ_GROWTH","FQ4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22" s="2" t="e">
        <f ca="1">_xll.BDH($C$103,"EPS_DILUTED_SEQUENTIAL_GROWTH","FQ4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22" s="2" t="e">
        <f ca="1">_xll.BDH($C$103,"DPS_SEQUENTIAL_GROWTH","FQ4 2017","FQ4 2017","Currency=INR","Period=FQ","BEST_FPERIOD_OVERRIDE=FQ","FILING_STATUS=OR","EQY_CONSOLIDATED=Y","Sort=A","Dates=H","DateFormat=P","Fill=—","Direction=H","UseDPDF=Y")</f>
        <v>#NAME?</v>
      </c>
      <c r="BL122" s="2" t="e">
        <f ca="1">_xll.BDH($C$103,"ACCOUNTS_RECEIVABLE_SEQ_GROWTH","FQ4 2017","FQ4 2017","Currency=INR","Period=FQ","BEST_FPERIOD_OVERRIDE=FQ","FILING_STATUS=OR","EQY_CONSOLIDATED=Y","Sort=A","Dates=H","DateFormat=P","Fill=—","Direction=H","UseDPDF=Y")</f>
        <v>#NAME?</v>
      </c>
      <c r="BM122" s="2" t="e">
        <f ca="1">_xll.BDH($C$103,"INVENTORY_SEQUENTIAL_GROWTH","FQ4 2017","FQ4 2017","Currency=INR","Period=FQ","BEST_FPERIOD_OVERRIDE=FQ","FILING_STATUS=OR","EQY_CONSOLIDATED=Y","Sort=A","Dates=H","DateFormat=P","Fill=—","Direction=H","UseDPDF=Y")</f>
        <v>#NAME?</v>
      </c>
      <c r="BN122" s="2" t="e">
        <f ca="1">_xll.BDH($C$103,"FIXED_ASSETS_SEQUENTIAL_GROWTH","FQ4 2017","FQ4 2017","Currency=INR","Period=FQ","BEST_FPERIOD_OVERRIDE=FQ","FILING_STATUS=OR","EQY_CONSOLIDATED=Y","Sort=A","Dates=H","DateFormat=P","Fill=—","Direction=H","UseDPDF=Y")</f>
        <v>#NAME?</v>
      </c>
      <c r="BO122" s="2" t="e">
        <f ca="1">_xll.BDH($C$103,"TOTAL_ASSETS_SEQUENTIAL_GROWTH","FQ4 2017","FQ4 2017","Currency=INR","Period=FQ","BEST_FPERIOD_OVERRIDE=FQ","FILING_STATUS=OR","EQY_CONSOLIDATED=Y","Sort=A","Dates=H","DateFormat=P","Fill=—","Direction=H","UseDPDF=Y")</f>
        <v>#NAME?</v>
      </c>
      <c r="BP122" s="2" t="e">
        <f ca="1">_xll.BDH($C$103,"MODIFIED_WORKING_CPTL_SEQ_GRWTH","FQ4 2017","FQ4 2017","Currency=INR","Period=FQ","BEST_FPERIOD_OVERRIDE=FQ","FILING_STATUS=OR","EQY_CONSOLIDATED=Y","Sort=A","Dates=H","DateFormat=P","Fill=—","Direction=H","UseDPDF=Y")</f>
        <v>#NAME?</v>
      </c>
      <c r="BQ122" s="2" t="e">
        <f ca="1">_xll.BDH($C$103,"WORKING_CAPITAL_SEQ_GROWTH","FQ4 2017","FQ4 2017","Currency=INR","Period=FQ","BEST_FPERIOD_OVERRIDE=FQ","FILING_STATUS=OR","EQY_CONSOLIDATED=Y","Sort=A","Dates=H","DateFormat=P","Fill=—","Direction=H","UseDPDF=Y")</f>
        <v>#NAME?</v>
      </c>
      <c r="BR122" s="2" t="e">
        <f ca="1">_xll.BDH($C$103,"ACCOUNTS_PAYABLE_SEQ_GROWTH","FQ4 2017","FQ4 2017","Currency=INR","Period=FQ","BEST_FPERIOD_OVERRIDE=FQ","FILING_STATUS=OR","EQY_CONSOLIDATED=Y","Sort=A","Dates=H","DateFormat=P","Fill=—","Direction=H","UseDPDF=Y")</f>
        <v>#NAME?</v>
      </c>
      <c r="BS122" s="2" t="e">
        <f ca="1">_xll.BDH($C$103,"ST_DEBT_SEQUENTIAL_GROWTH","FQ4 2017","FQ4 2017","Currency=INR","Period=FQ","BEST_FPERIOD_OVERRIDE=FQ","FILING_STATUS=OR","EQY_CONSOLIDATED=Y","Sort=A","Dates=H","DateFormat=P","Fill=—","Direction=H","UseDPDF=Y")</f>
        <v>#NAME?</v>
      </c>
      <c r="BT122" s="2" t="e">
        <f ca="1">_xll.BDH($C$103,"TOTAL_DEBT_SEQUENTIAL_GROWTH","FQ4 2017","FQ4 2017","Currency=INR","Period=FQ","BEST_FPERIOD_OVERRIDE=FQ","FILING_STATUS=OR","EQY_CONSOLIDATED=Y","Sort=A","Dates=H","DateFormat=P","Fill=—","Direction=H","UseDPDF=Y")</f>
        <v>#NAME?</v>
      </c>
      <c r="BU122" s="2" t="e">
        <f ca="1">_xll.BDH($C$103,"TOTAL_EQUITY_SEQUENTIAL_GROWTH","FQ4 2017","FQ4 2017","Currency=INR","Period=FQ","BEST_FPERIOD_OVERRIDE=FQ","FILING_STATUS=OR","EQY_CONSOLIDATED=Y","Sort=A","Dates=H","DateFormat=P","Fill=—","Direction=H","UseDPDF=Y")</f>
        <v>#NAME?</v>
      </c>
      <c r="BV122" s="2" t="e">
        <f ca="1">_xll.BDH($C$103,"TOTAL_CAPITAL_SEQUENTIAL_GROWTH","FQ4 2017","FQ4 2017","Currency=INR","Period=FQ","BEST_FPERIOD_OVERRIDE=FQ","FILING_STATUS=OR","EQY_CONSOLIDATED=Y","Sort=A","Dates=H","DateFormat=P","Fill=—","Direction=H","UseDPDF=Y")</f>
        <v>#NAME?</v>
      </c>
      <c r="BW122" s="2" t="e">
        <f ca="1">_xll.BDH($C$103,"BPS_SEQUENTIAL_GROWTH","FQ4 2017","FQ4 2017","Currency=INR","Period=FQ","BEST_FPERIOD_OVERRIDE=FQ","FILING_STATUS=OR","EQY_CONSOLIDATED=Y","Sort=A","Dates=H","DateFormat=P","Fill=—","Direction=H","UseDPDF=Y")</f>
        <v>#NAME?</v>
      </c>
      <c r="BX122" s="2" t="e">
        <f ca="1">_xll.BDH($C$103,"CFO_SEQUENTIAL_GROWTH","FQ4 2017","FQ4 2017","Currency=INR","Period=FQ","BEST_FPERIOD_OVERRIDE=FQ","FILING_STATUS=OR","EQY_CONSOLIDATED=Y","Sort=A","Dates=H","DateFormat=P","Fill=—","Direction=H","UseDPDF=Y")</f>
        <v>#NAME?</v>
      </c>
      <c r="BY122" s="3" t="e">
        <f ca="1">_xll.BDH($C$103,"SHORT_AND_LONG_TERM_DEBT","FQ4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22" s="3" t="e">
        <f ca="1">_xll.BDH($C$103,"BS_ST_BORROW","FQ4 2017","FQ4 2017","Currency=INR","Period=FQ","BEST_FPERIOD_OVERRIDE=FQ","FILING_STATUS=OR","EQY_CONSOLIDATED=Y","SCALING_FORMAT=MLN","Sort=A","Dates=H","DateFormat=P","Fill=—","Direction=H","UseDPDF=Y")</f>
        <v>#NAME?</v>
      </c>
      <c r="CA122" s="3" t="e">
        <f ca="1">_xll.BDH($C$103,"BS_LT_BORROW","FQ4 2017","FQ4 2017","Currency=INR","Period=FQ","BEST_FPERIOD_OVERRIDE=FQ","FILING_STATUS=OR","EQY_CONSOLIDATED=Y","SCALING_FORMAT=MLN","Sort=A","Dates=H","DateFormat=P","Fill=—","Direction=H","UseDPDF=Y")</f>
        <v>#NAME?</v>
      </c>
      <c r="CB122" s="2" t="e">
        <f ca="1">_xll.BDH($C$103,"TOT_DEBT_TO_EBITDA","FQ4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22" s="2" t="e">
        <f ca="1">_xll.BDH($C$103,"NET_DEBT_TO_EBITDA","FQ4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22" s="2" t="e">
        <f ca="1">_xll.BDH($C$103,"TOTAL_DEBT_TO_EBIT","FQ4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22" s="2" t="e">
        <f ca="1">_xll.BDH($C$103,"NET_DEBT_TO_EBIT","FQ4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22" s="2" t="e">
        <f ca="1">_xll.BDH($C$103,"EBITDA_TO_INTEREST_EXPN","FQ4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22" s="2" t="e">
        <f ca="1">_xll.BDH($C$103,"COM_EQY_TO_TOT_ASSET","FQ4 2017","FQ4 2017","Currency=INR","Period=FQ","BEST_FPERIOD_OVERRIDE=FQ","FILING_STATUS=OR","EQY_CONSOLIDATED=Y","Sort=A","Dates=H","DateFormat=P","Fill=—","Direction=H","UseDPDF=Y")</f>
        <v>#NAME?</v>
      </c>
      <c r="CH122" s="2" t="e">
        <f ca="1">_xll.BDH($C$103,"LT_DEBT_TO_TOT_EQY","FQ4 2017","FQ4 2017","Currency=INR","Period=FQ","BEST_FPERIOD_OVERRIDE=FQ","FILING_STATUS=OR","EQY_CONSOLIDATED=Y","Sort=A","Dates=H","DateFormat=P","Fill=—","Direction=H","UseDPDF=Y")</f>
        <v>#NAME?</v>
      </c>
      <c r="CI122" s="2" t="e">
        <f ca="1">_xll.BDH($C$103,"LT_DEBT_TO_TOT_CAP","FQ4 2017","FQ4 2017","Currency=INR","Period=FQ","BEST_FPERIOD_OVERRIDE=FQ","FILING_STATUS=OR","EQY_CONSOLIDATED=Y","Sort=A","Dates=H","DateFormat=P","Fill=—","Direction=H","UseDPDF=Y")</f>
        <v>#NAME?</v>
      </c>
      <c r="CJ122" s="2" t="e">
        <f ca="1">_xll.BDH($C$103,"LT_DEBT_TO_TOT_ASSET","FQ4 2017","FQ4 2017","Currency=INR","Period=FQ","BEST_FPERIOD_OVERRIDE=FQ","FILING_STATUS=OR","EQY_CONSOLIDATED=Y","Sort=A","Dates=H","DateFormat=P","Fill=—","Direction=H","UseDPDF=Y")</f>
        <v>#NAME?</v>
      </c>
      <c r="CK122" s="2" t="e">
        <f ca="1">_xll.BDH($C$103,"TOT_DEBT_TO_TOT_EQY","FQ4 2017","FQ4 2017","Currency=INR","Period=FQ","BEST_FPERIOD_OVERRIDE=FQ","FILING_STATUS=OR","EQY_CONSOLIDATED=Y","Sort=A","Dates=H","DateFormat=P","Fill=—","Direction=H","UseDPDF=Y")</f>
        <v>#NAME?</v>
      </c>
      <c r="CL122" s="2" t="e">
        <f ca="1">_xll.BDH($C$103,"TOT_DEBT_TO_TOT_CAP","FQ4 2017","FQ4 2017","Currency=INR","Period=FQ","BEST_FPERIOD_OVERRIDE=FQ","FILING_STATUS=OR","EQY_CONSOLIDATED=Y","Sort=A","Dates=H","DateFormat=P","Fill=—","Direction=H","UseDPDF=Y")</f>
        <v>#NAME?</v>
      </c>
      <c r="CM122" s="2" t="e">
        <f ca="1">_xll.BDH($C$103,"TOT_DEBT_TO_TOT_ASSET","FQ4 2017","FQ4 2017","Currency=INR","Period=FQ","BEST_FPERIOD_OVERRIDE=FQ","FILING_STATUS=OR","EQY_CONSOLIDATED=Y","Sort=A","Dates=H","DateFormat=P","Fill=—","Direction=H","UseDPDF=Y")</f>
        <v>#NAME?</v>
      </c>
      <c r="CN122" s="2" t="e">
        <f ca="1">_xll.BDH($C$103,"NET_DEBT_TO_SHRHLDR_EQTY","FQ4 2017","FQ4 2017","Currency=INR","Period=FQ","BEST_FPERIOD_OVERRIDE=FQ","FILING_STATUS=OR","EQY_CONSOLIDATED=Y","Sort=A","Dates=H","DateFormat=P","Fill=—","Direction=H","UseDPDF=Y")</f>
        <v>#NAME?</v>
      </c>
      <c r="CO122" s="2" t="e">
        <f ca="1">_xll.BDH($C$103,"NET_DEBT_%_CAPITAL","FQ4 2017","FQ4 2017","Currency=INR","Period=FQ","BEST_FPERIOD_OVERRIDE=FQ","FILING_STATUS=OR","EQY_CONSOLIDATED=Y","Sort=A","Dates=H","DateFormat=P","Fill=—","Direction=H","UseDPDF=Y")</f>
        <v>#NAME?</v>
      </c>
      <c r="CP122" s="3" t="e">
        <f ca="1">_xll.BDH($C$103,"EBITDA","FQ4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22" s="3" t="e">
        <f ca="1">_xll.BDH($C$103,"EBITDA_AFTER_CAPEX","FQ4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22" s="3" t="e">
        <f ca="1">_xll.BDH($C$103,"IS_OPER_INC","FQ4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22" s="2" t="e">
        <f ca="1">_xll.BDH($C$103,"CASH_RATIO","FQ4 2017","FQ4 2017","Currency=INR","Period=FQ","BEST_FPERIOD_OVERRIDE=FQ","FILING_STATUS=OR","EQY_CONSOLIDATED=Y","Sort=A","Dates=H","DateFormat=P","Fill=—","Direction=H","UseDPDF=Y")</f>
        <v>#NAME?</v>
      </c>
      <c r="CT122" s="2" t="e">
        <f ca="1">_xll.BDH($C$103,"CUR_RATIO","FQ4 2017","FQ4 2017","Currency=INR","Period=FQ","BEST_FPERIOD_OVERRIDE=FQ","FILING_STATUS=OR","EQY_CONSOLIDATED=Y","Sort=A","Dates=H","DateFormat=P","Fill=—","Direction=H","UseDPDF=Y")</f>
        <v>#NAME?</v>
      </c>
      <c r="CU122" s="2" t="e">
        <f ca="1">_xll.BDH($C$103,"QUICK_RATIO","FQ4 2017","FQ4 2017","Currency=INR","Period=FQ","BEST_FPERIOD_OVERRIDE=FQ","FILING_STATUS=OR","EQY_CONSOLIDATED=Y","Sort=A","Dates=H","DateFormat=P","Fill=—","Direction=H","UseDPDF=Y")</f>
        <v>#NAME?</v>
      </c>
      <c r="CV122" s="2" t="e">
        <f ca="1">_xll.BDH($C$103,"ALTMAN_Z_SCORE","FQ4 2017","FQ4 2017","Currency=INR","Period=FQ","BEST_FPERIOD_OVERRIDE=FQ","FILING_STATUS=OR","EQY_CONSOLIDATED=Y","Sort=A","Dates=H","DateFormat=P","Fill=—","Direction=H","UseDPDF=Y")</f>
        <v>#NAME?</v>
      </c>
      <c r="CW122" s="4" t="e">
        <f ca="1">_xll.BDH($C$103,"ACCT_RCV_TURN","FQ4 2017","FQ4 2017","Currency=INR","Period=FQ","BEST_FPERIOD_OVERRIDE=FQ","FILING_STATUS=OR","EQY_CONSOLIDATED=Y","FA_ADJUSTED=GAAP","Sort=A","Dates=H","DateFormat=P","Fill=—","Direction=H","UseDPDF=Y")</f>
        <v>#NAME?</v>
      </c>
      <c r="CX122" s="2" t="e">
        <f ca="1">_xll.BDH($C$103,"ACCT_RCV_DAYS","FQ4 2017","FQ4 2017","Currency=INR","Period=FQ","BEST_FPERIOD_OVERRIDE=FQ","FILING_STATUS=OR","EQY_CONSOLIDATED=Y","FA_ADJUSTED=GAAP","Sort=A","Dates=H","DateFormat=P","Fill=—","Direction=H","UseDPDF=Y")</f>
        <v>#NAME?</v>
      </c>
      <c r="CY122" s="4" t="e">
        <f ca="1">_xll.BDH($C$103,"INVENT_TURN","FQ4 2017","FQ4 2017","Currency=INR","Period=FQ","BEST_FPERIOD_OVERRIDE=FQ","FILING_STATUS=OR","EQY_CONSOLIDATED=Y","FA_ADJUSTED=GAAP","Sort=A","Dates=H","DateFormat=P","Fill=—","Direction=H","UseDPDF=Y")</f>
        <v>#NAME?</v>
      </c>
      <c r="CZ122" s="2" t="e">
        <f ca="1">_xll.BDH($C$103,"INVENT_DAYS","FQ4 2017","FQ4 2017","Currency=INR","Period=FQ","BEST_FPERIOD_OVERRIDE=FQ","FILING_STATUS=OR","EQY_CONSOLIDATED=Y","FA_ADJUSTED=GAAP","Sort=A","Dates=H","DateFormat=P","Fill=—","Direction=H","UseDPDF=Y")</f>
        <v>#NAME?</v>
      </c>
      <c r="DA122" s="4" t="e">
        <f ca="1">_xll.BDH($C$103,"ACCOUNTS_PAYABLE_TURNOVER","FQ4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22" s="2" t="e">
        <f ca="1">_xll.BDH($C$103,"ACCOUNTS_PAYABLE_TURNOVER_DAYS","FQ4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22" s="4" t="e">
        <f ca="1">_xll.BDH($C$103,"CASH_CONVERSION_CYCLE","FQ4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22" s="4" t="e">
        <f ca="1">_xll.BDH($C$103,"INV_TO_CASH_DAYS","FQ4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22" s="5" t="e">
        <f ca="1">_xll.BDH($C$103,"BS_INVENTORIES","FQ4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22" s="3" t="e">
        <f ca="1">_xll.BDH($C$103,"INVTRY_RAW_MATERIALS","FQ4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22" s="3" t="e">
        <f ca="1">_xll.BDH($C$103,"INVTRY_IN_PROGRESS","FQ4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22" s="3" t="e">
        <f ca="1">_xll.BDH($C$103,"INVTRY_FINISHED_GOODS","FQ4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22" s="3" t="e">
        <f ca="1">_xll.BDH($C$103,"BS_OTHER_INV","FQ4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23" spans="1:113" x14ac:dyDescent="0.3">
      <c r="A123" s="6"/>
      <c r="B123" s="6"/>
      <c r="C123" s="6"/>
      <c r="D123" s="6" t="s">
        <v>85</v>
      </c>
      <c r="E123" t="s">
        <v>77</v>
      </c>
      <c r="F123" t="e">
        <f ca="1">_xll.BDH($C$103,"RETURN_COM_EQY","FY 2018","FY 2018","Currency=INR","Period=FY","BEST_FPERIOD_OVERRIDE=FY","FILING_STATUS=OR","EQY_CONSOLIDATED=Y","FA_ADJUSTED=GAAP","Sort=A","Dates=H","DateFormat=P","Fill=—","Direction=H","UseDPDF=Y")</f>
        <v>#NAME?</v>
      </c>
      <c r="G123" t="e">
        <f ca="1">_xll.BDH($C$103,"RETURN_ON_ASSET","FY 2018","FY 2018","Currency=INR","Period=FY","BEST_FPERIOD_OVERRIDE=FY","FILING_STATUS=OR","EQY_CONSOLIDATED=Y","FA_ADJUSTED=GAAP","Sort=A","Dates=H","DateFormat=P","Fill=—","Direction=H","UseDPDF=Y")</f>
        <v>#NAME?</v>
      </c>
      <c r="H123" t="e">
        <f ca="1">_xll.BDH($C$103,"RETURN_ON_CAP","FY 2018","FY 2018","Currency=INR","Period=FY","BEST_FPERIOD_OVERRIDE=FY","FILING_STATUS=OR","EQY_CONSOLIDATED=Y","FA_ADJUSTED=GAAP","Sort=A","Dates=H","DateFormat=P","Fill=—","Direction=H","UseDPDF=Y")</f>
        <v>#NAME?</v>
      </c>
      <c r="I123" t="e">
        <f ca="1">_xll.BDH($C$103,"RETURN_ON_INV_CAPITAL","FY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23" t="e">
        <f ca="1">_xll.BDH($C$103,"EBITDA_TO_REVENUE","FY 2018","FY 2018","Currency=INR","Period=FY","BEST_FPERIOD_OVERRIDE=FY","FILING_STATUS=OR","EQY_CONSOLIDATED=Y","FA_ADJUSTED=GAAP","Sort=A","Dates=H","DateFormat=P","Fill=—","Direction=H","UseDPDF=Y")</f>
        <v>#NAME?</v>
      </c>
      <c r="K123" t="e">
        <f ca="1">_xll.BDH($C$103,"OPER_MARGIN","FY 2018","FY 2018","Currency=INR","Period=FY","BEST_FPERIOD_OVERRIDE=FY","FILING_STATUS=OR","EQY_CONSOLIDATED=Y","FA_ADJUSTED=GAAP","Sort=A","Dates=H","DateFormat=P","Fill=—","Direction=H","UseDPDF=Y")</f>
        <v>#NAME?</v>
      </c>
      <c r="L123" t="e">
        <f ca="1">_xll.BDH($C$103,"INCREMENTAL_OPERATING_MARGIN","FY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23" t="e">
        <f ca="1">_xll.BDH($C$103,"PRETAX_INC_TO_NET_SALES","FY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23" t="e">
        <f ca="1">_xll.BDH($C$103,"INC_BEF_XO_ITEMS_TO_NET_SALES","FY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23" t="e">
        <f ca="1">_xll.BDH($C$103,"PROF_MARGIN","FY 2018","FY 2018","Currency=INR","Period=FY","BEST_FPERIOD_OVERRIDE=FY","FILING_STATUS=OR","EQY_CONSOLIDATED=Y","FA_ADJUSTED=GAAP","Sort=A","Dates=H","DateFormat=P","Fill=—","Direction=H","UseDPDF=Y")</f>
        <v>#NAME?</v>
      </c>
      <c r="P123" t="e">
        <f ca="1">_xll.BDH($C$103,"NET_INCOME_TO_COMMON_MARGIN","FY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23" t="e">
        <f ca="1">_xll.BDH($C$103,"EFF_TAX_RATE","FY 2018","FY 2018","Currency=INR","Period=FY","BEST_FPERIOD_OVERRIDE=FY","FILING_STATUS=OR","EQY_CONSOLIDATED=Y","FA_ADJUSTED=GAAP","Sort=A","Dates=H","DateFormat=P","Fill=—","Direction=H","UseDPDF=Y")</f>
        <v>#NAME?</v>
      </c>
      <c r="R123" t="e">
        <f ca="1">_xll.BDH($C$103,"DVD_PAYOUT_RATIO","FY 2018","FY 2018","Currency=INR","Period=FY","BEST_FPERIOD_OVERRIDE=FY","FILING_STATUS=OR","EQY_CONSOLIDATED=Y","FA_ADJUSTED=GAAP","Sort=A","Dates=H","DateFormat=P","Fill=—","Direction=H","UseDPDF=Y")</f>
        <v>#NAME?</v>
      </c>
      <c r="S123" t="e">
        <f ca="1">_xll.BDH($C$103,"SUSTAIN_GROWTH_RT","FY 2018","FY 2018","Currency=INR","Period=FY","BEST_FPERIOD_OVERRIDE=FY","FILING_STATUS=OR","EQY_CONSOLIDATED=Y","FA_ADJUSTED=GAAP","Sort=A","Dates=H","DateFormat=P","Fill=—","Direction=H","UseDPDF=Y")</f>
        <v>#NAME?</v>
      </c>
      <c r="T123" s="2" t="e">
        <f ca="1">_xll.BDH($C$103,"SALES_GROWTH","FY 2018","FY 2018","Currency=INR","Period=FY","BEST_FPERIOD_OVERRIDE=FY","FILING_STATUS=OR","EQY_CONSOLIDATED=Y","FA_ADJUSTED=GAAP","Sort=A","Dates=H","DateFormat=P","Fill=—","Direction=H","UseDPDF=Y")</f>
        <v>#NAME?</v>
      </c>
      <c r="U123" s="2" t="e">
        <f ca="1">_xll.BDH($C$103,"EBITDA_GROWTH","FY 2018","FY 2018","Currency=INR","Period=FY","BEST_FPERIOD_OVERRIDE=FY","FILING_STATUS=OR","EQY_CONSOLIDATED=Y","FA_ADJUSTED=GAAP","Sort=A","Dates=H","DateFormat=P","Fill=—","Direction=H","UseDPDF=Y")</f>
        <v>#NAME?</v>
      </c>
      <c r="V123" s="2" t="e">
        <f ca="1">_xll.BDH($C$103,"OPER_INC_GROWTH","FY 2018","FY 2018","Currency=INR","Period=FY","BEST_FPERIOD_OVERRIDE=FY","FILING_STATUS=OR","EQY_CONSOLIDATED=Y","FA_ADJUSTED=GAAP","Sort=A","Dates=H","DateFormat=P","Fill=—","Direction=H","UseDPDF=Y")</f>
        <v>#NAME?</v>
      </c>
      <c r="W123" s="2" t="e">
        <f ca="1">_xll.BDH($C$103,"EARN_FOR_COM_GROWTH","FY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23" s="2" t="e">
        <f ca="1">_xll.BDH($C$103,"DILUTED_EPS_AFT_XO_ITEMS_GROWTH","FY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23" s="2" t="e">
        <f ca="1">_xll.BDH($C$103,"DIVIDEND_PER_SHARE_1_YEAR_GROWTH","FY 2018","FY 2018","Currency=INR","Period=FY","BEST_FPERIOD_OVERRIDE=FY","FILING_STATUS=OR","EQY_CONSOLIDATED=Y","Sort=A","Dates=H","DateFormat=P","Fill=—","Direction=H","UseDPDF=Y")</f>
        <v>#NAME?</v>
      </c>
      <c r="Z123" s="2" t="e">
        <f ca="1">_xll.BDH($C$103,"ACCOUNTS_RECEIVABLE_GROWTH","FY 2018","FY 2018","Currency=INR","Period=FY","BEST_FPERIOD_OVERRIDE=FY","FILING_STATUS=OR","EQY_CONSOLIDATED=Y","Sort=A","Dates=H","DateFormat=P","Fill=—","Direction=H","UseDPDF=Y")</f>
        <v>#NAME?</v>
      </c>
      <c r="AA123" s="2" t="e">
        <f ca="1">_xll.BDH($C$103,"INVENTORY_GROWTH","FY 2018","FY 2018","Currency=INR","Period=FY","BEST_FPERIOD_OVERRIDE=FY","FILING_STATUS=OR","EQY_CONSOLIDATED=Y","Sort=A","Dates=H","DateFormat=P","Fill=—","Direction=H","UseDPDF=Y")</f>
        <v>#NAME?</v>
      </c>
      <c r="AB123" s="2" t="e">
        <f ca="1">_xll.BDH($C$103,"NET_FIXED_ASSETS_1_YEAR_GROWTH","FY 2018","FY 2018","Currency=INR","Period=FY","BEST_FPERIOD_OVERRIDE=FY","FILING_STATUS=OR","EQY_CONSOLIDATED=Y","Sort=A","Dates=H","DateFormat=P","Fill=—","Direction=H","UseDPDF=Y")</f>
        <v>#NAME?</v>
      </c>
      <c r="AC123" s="2" t="e">
        <f ca="1">_xll.BDH($C$103,"ASSET_GROWTH","FY 2018","FY 2018","Currency=INR","Period=FY","BEST_FPERIOD_OVERRIDE=FY","FILING_STATUS=OR","EQY_CONSOLIDATED=Y","Sort=A","Dates=H","DateFormat=P","Fill=—","Direction=H","UseDPDF=Y")</f>
        <v>#NAME?</v>
      </c>
      <c r="AD123" s="2" t="e">
        <f ca="1">_xll.BDH($C$103,"MODIFIED_WORK_CAP_GROWTH","FY 2018","FY 2018","Currency=INR","Period=FY","BEST_FPERIOD_OVERRIDE=FY","FILING_STATUS=OR","EQY_CONSOLIDATED=Y","Sort=A","Dates=H","DateFormat=P","Fill=—","Direction=H","UseDPDF=Y")</f>
        <v>#NAME?</v>
      </c>
      <c r="AE123" s="2" t="e">
        <f ca="1">_xll.BDH($C$103,"WORK_CAP_GROWTH","FY 2018","FY 2018","Currency=INR","Period=FY","BEST_FPERIOD_OVERRIDE=FY","FILING_STATUS=OR","EQY_CONSOLIDATED=Y","Sort=A","Dates=H","DateFormat=P","Fill=—","Direction=H","UseDPDF=Y")</f>
        <v>#NAME?</v>
      </c>
      <c r="AF123" s="2" t="e">
        <f ca="1">_xll.BDH($C$103,"ACCOUNTS_PAYABLE_GROWTH_1YR","FY 2018","FY 2018","Currency=INR","Period=FY","BEST_FPERIOD_OVERRIDE=FY","FILING_STATUS=OR","EQY_CONSOLIDATED=Y","Sort=A","Dates=H","DateFormat=P","Fill=—","Direction=H","UseDPDF=Y")</f>
        <v>#NAME?</v>
      </c>
      <c r="AG123" s="2" t="e">
        <f ca="1">_xll.BDH($C$103,"SHORT_TERM_DEBT_1_YEAR_GROWTH","FY 2018","FY 2018","Currency=INR","Period=FY","BEST_FPERIOD_OVERRIDE=FY","FILING_STATUS=OR","EQY_CONSOLIDATED=Y","Sort=A","Dates=H","DateFormat=P","Fill=—","Direction=H","UseDPDF=Y")</f>
        <v>#NAME?</v>
      </c>
      <c r="AH123" s="2" t="e">
        <f ca="1">_xll.BDH($C$103,"TOTAL_DEBT_1_YEAR_GROWTH","FY 2018","FY 2018","Currency=INR","Period=FY","BEST_FPERIOD_OVERRIDE=FY","FILING_STATUS=OR","EQY_CONSOLIDATED=Y","Sort=A","Dates=H","DateFormat=P","Fill=—","Direction=H","UseDPDF=Y")</f>
        <v>#NAME?</v>
      </c>
      <c r="AI123" s="2" t="e">
        <f ca="1">_xll.BDH($C$103,"TOTAL_EQUITY_1_YEAR_GROWTH","FY 2018","FY 2018","Currency=INR","Period=FY","BEST_FPERIOD_OVERRIDE=FY","FILING_STATUS=OR","EQY_CONSOLIDATED=Y","Sort=A","Dates=H","DateFormat=P","Fill=—","Direction=H","UseDPDF=Y")</f>
        <v>#NAME?</v>
      </c>
      <c r="AJ123" s="2" t="e">
        <f ca="1">_xll.BDH($C$103,"GROWTH_IN_CAP","FY 2018","FY 2018","Currency=INR","Period=FY","BEST_FPERIOD_OVERRIDE=FY","FILING_STATUS=OR","EQY_CONSOLIDATED=Y","Sort=A","Dates=H","DateFormat=P","Fill=—","Direction=H","UseDPDF=Y")</f>
        <v>#NAME?</v>
      </c>
      <c r="AK123" s="2" t="e">
        <f ca="1">_xll.BDH($C$103,"BVPS_GROWTH","FY 2018","FY 2018","Currency=INR","Period=FY","BEST_FPERIOD_OVERRIDE=FY","FILING_STATUS=OR","EQY_CONSOLIDATED=Y","Sort=A","Dates=H","DateFormat=P","Fill=—","Direction=H","UseDPDF=Y")</f>
        <v>#NAME?</v>
      </c>
      <c r="AL123" s="2" t="e">
        <f ca="1">_xll.BDH($C$103,"CASH_FLOW_GROWTH","FY 2018","FY 2018","Currency=INR","Period=FY","BEST_FPERIOD_OVERRIDE=FY","FILING_STATUS=OR","EQY_CONSOLIDATED=Y","Sort=A","Dates=H","DateFormat=P","Fill=—","Direction=H","UseDPDF=Y")</f>
        <v>#NAME?</v>
      </c>
      <c r="AM123" s="2" t="e">
        <f ca="1">_xll.BDH($C$103,"GEO_GROW_NET_SALES","FY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23" s="2" t="e">
        <f ca="1">_xll.BDH($C$103,"GEO_GROW_EBITDA","FY 2018","FY 2018","Currency=INR","Period=FY","BEST_FPERIOD_OVERRIDE=FY","FILING_STATUS=OR","EQY_CONSOLIDATED=Y","FA_ADJUSTED=GAAP","Sort=A","Dates=H","DateFormat=P","Fill=—","Direction=H","UseDPDF=Y")</f>
        <v>#NAME?</v>
      </c>
      <c r="AO123" s="2" t="e">
        <f ca="1">_xll.BDH($C$103,"GEO_GROW_OPER_INC","FY 2018","FY 2018","Currency=INR","Period=FY","BEST_FPERIOD_OVERRIDE=FY","FILING_STATUS=OR","EQY_CONSOLIDATED=Y","FA_ADJUSTED=GAAP","Sort=A","Dates=H","DateFormat=P","Fill=—","Direction=H","UseDPDF=Y")</f>
        <v>#NAME?</v>
      </c>
      <c r="AP123" s="2" t="e">
        <f ca="1">_xll.BDH($C$103,"NET_INCOME_TO_COMMON_5_YR_GROWTH","FY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23" s="2" t="e">
        <f ca="1">_xll.BDH($C$103,"5Y_GEO_GROWTH_DILUTED_EPS","FY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23" s="2" t="e">
        <f ca="1">_xll.BDH($C$103,"GEO_GROW_DVD_PER_SH","FY 2018","FY 2018","Currency=INR","Period=FY","BEST_FPERIOD_OVERRIDE=FY","FILING_STATUS=OR","EQY_CONSOLIDATED=Y","Sort=A","Dates=H","DateFormat=P","Fill=—","Direction=H","UseDPDF=Y")</f>
        <v>#NAME?</v>
      </c>
      <c r="AS123" s="2" t="e">
        <f ca="1">_xll.BDH($C$103,"ACCOUNTS_RECEIVABLE_5_YR_GROWTH","FY 2018","FY 2018","Currency=INR","Period=FY","BEST_FPERIOD_OVERRIDE=FY","FILING_STATUS=OR","EQY_CONSOLIDATED=Y","Sort=A","Dates=H","DateFormat=P","Fill=—","Direction=H","UseDPDF=Y")</f>
        <v>#NAME?</v>
      </c>
      <c r="AT123" s="2" t="e">
        <f ca="1">_xll.BDH($C$103,"INVENTORY_5_YEAR_GROWTH","FY 2018","FY 2018","Currency=INR","Period=FY","BEST_FPERIOD_OVERRIDE=FY","FILING_STATUS=OR","EQY_CONSOLIDATED=Y","Sort=A","Dates=H","DateFormat=P","Fill=—","Direction=H","UseDPDF=Y")</f>
        <v>#NAME?</v>
      </c>
      <c r="AU123" s="2" t="e">
        <f ca="1">_xll.BDH($C$103,"NET_FIXED_ASSETS_5_YEAR_GROWTH","FY 2018","FY 2018","Currency=INR","Period=FY","BEST_FPERIOD_OVERRIDE=FY","FILING_STATUS=OR","EQY_CONSOLIDATED=Y","Sort=A","Dates=H","DateFormat=P","Fill=—","Direction=H","UseDPDF=Y")</f>
        <v>#NAME?</v>
      </c>
      <c r="AV123" s="2" t="e">
        <f ca="1">_xll.BDH($C$103,"GEO_GROW_TOT_ASSET","FY 2018","FY 2018","Currency=INR","Period=FY","BEST_FPERIOD_OVERRIDE=FY","FILING_STATUS=OR","EQY_CONSOLIDATED=Y","Sort=A","Dates=H","DateFormat=P","Fill=—","Direction=H","UseDPDF=Y")</f>
        <v>#NAME?</v>
      </c>
      <c r="AW123" s="2" t="e">
        <f ca="1">_xll.BDH($C$103,"MODIFIED_WORKING_CPTL_5YR_GRWTH","FY 2018","FY 2018","Currency=INR","Period=FY","BEST_FPERIOD_OVERRIDE=FY","FILING_STATUS=OR","EQY_CONSOLIDATED=Y","Sort=A","Dates=H","DateFormat=P","Fill=—","Direction=H","UseDPDF=Y")</f>
        <v>#NAME?</v>
      </c>
      <c r="AX123" s="2" t="e">
        <f ca="1">_xll.BDH($C$103,"WORKING_CAPITAL_5_YEAR_GROWTH","FY 2018","FY 2018","Currency=INR","Period=FY","BEST_FPERIOD_OVERRIDE=FY","FILING_STATUS=OR","EQY_CONSOLIDATED=Y","Sort=A","Dates=H","DateFormat=P","Fill=—","Direction=H","UseDPDF=Y")</f>
        <v>#NAME?</v>
      </c>
      <c r="AY123" s="2" t="e">
        <f ca="1">_xll.BDH($C$103,"ACCOUNTS_PAYABLE_5_YEAR_GROWTH","FY 2018","FY 2018","Currency=INR","Period=FY","BEST_FPERIOD_OVERRIDE=FY","FILING_STATUS=OR","EQY_CONSOLIDATED=Y","Sort=A","Dates=H","DateFormat=P","Fill=—","Direction=H","UseDPDF=Y")</f>
        <v>#NAME?</v>
      </c>
      <c r="AZ123" s="2" t="e">
        <f ca="1">_xll.BDH($C$103,"SHORT_TERM_DEBT_5_YEAR_GROWTH","FY 2018","FY 2018","Currency=INR","Period=FY","BEST_FPERIOD_OVERRIDE=FY","FILING_STATUS=OR","EQY_CONSOLIDATED=Y","Sort=A","Dates=H","DateFormat=P","Fill=—","Direction=H","UseDPDF=Y")</f>
        <v>#NAME?</v>
      </c>
      <c r="BA123" s="2" t="e">
        <f ca="1">_xll.BDH($C$103,"TOTAL_DEBT_5_YEAR_GROWTH","FY 2018","FY 2018","Currency=INR","Period=FY","BEST_FPERIOD_OVERRIDE=FY","FILING_STATUS=OR","EQY_CONSOLIDATED=Y","Sort=A","Dates=H","DateFormat=P","Fill=—","Direction=H","UseDPDF=Y")</f>
        <v>#NAME?</v>
      </c>
      <c r="BB123" s="2" t="e">
        <f ca="1">_xll.BDH($C$103,"GEO_GROW_TOT_SHRHLDR_EQY","FY 2018","FY 2018","Currency=INR","Period=FY","BEST_FPERIOD_OVERRIDE=FY","FILING_STATUS=OR","EQY_CONSOLIDATED=Y","Sort=A","Dates=H","DateFormat=P","Fill=—","Direction=H","UseDPDF=Y")</f>
        <v>#NAME?</v>
      </c>
      <c r="BC123" s="2" t="e">
        <f ca="1">_xll.BDH($C$103,"TOTAL_CAPITAL_5_YEAR_GROWTH","FY 2018","FY 2018","Currency=INR","Period=FY","BEST_FPERIOD_OVERRIDE=FY","FILING_STATUS=OR","EQY_CONSOLIDATED=Y","Sort=A","Dates=H","DateFormat=P","Fill=—","Direction=H","UseDPDF=Y")</f>
        <v>#NAME?</v>
      </c>
      <c r="BD123" s="2" t="e">
        <f ca="1">_xll.BDH($C$103,"GEO_GROW_BOOK_VAL","FY 2018","FY 2018","Currency=INR","Period=FY","BEST_FPERIOD_OVERRIDE=FY","FILING_STATUS=OR","EQY_CONSOLIDATED=Y","Sort=A","Dates=H","DateFormat=P","Fill=—","Direction=H","UseDPDF=Y")</f>
        <v>#NAME?</v>
      </c>
      <c r="BE123" s="2" t="e">
        <f ca="1">_xll.BDH($C$103,"GEO_GROW_CASH_OPER_ACT","FY 2018","FY 2018","Currency=INR","Period=FY","BEST_FPERIOD_OVERRIDE=FY","FILING_STATUS=OR","EQY_CONSOLIDATED=Y","Sort=A","Dates=H","DateFormat=P","Fill=—","Direction=H","UseDPDF=Y")</f>
        <v>#NAME?</v>
      </c>
      <c r="BF123" s="2" t="e">
        <f ca="1">_xll.BDH($C$103,"REVENUE_SEQUENTIAL_GROWTH","FY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23" s="2" t="e">
        <f ca="1">_xll.BDH($C$103,"EBITDA_SEQUENTIAL_GROWTH","FY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23" s="2" t="e">
        <f ca="1">_xll.BDH($C$103,"OPERATING_INCOME_SEQ_GROWTH","FY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23" s="2" t="e">
        <f ca="1">_xll.BDH($C$103,"NET_INCOME_TO_COMMON_SEQ_GROWTH","FY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23" s="2" t="e">
        <f ca="1">_xll.BDH($C$103,"EPS_DILUTED_SEQUENTIAL_GROWTH","FY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23" s="2" t="e">
        <f ca="1">_xll.BDH($C$103,"DPS_SEQUENTIAL_GROWTH","FY 2018","FY 2018","Currency=INR","Period=FY","BEST_FPERIOD_OVERRIDE=FY","FILING_STATUS=OR","EQY_CONSOLIDATED=Y","Sort=A","Dates=H","DateFormat=P","Fill=—","Direction=H","UseDPDF=Y")</f>
        <v>#NAME?</v>
      </c>
      <c r="BL123" s="2" t="e">
        <f ca="1">_xll.BDH($C$103,"ACCOUNTS_RECEIVABLE_SEQ_GROWTH","FY 2018","FY 2018","Currency=INR","Period=FY","BEST_FPERIOD_OVERRIDE=FY","FILING_STATUS=OR","EQY_CONSOLIDATED=Y","Sort=A","Dates=H","DateFormat=P","Fill=—","Direction=H","UseDPDF=Y")</f>
        <v>#NAME?</v>
      </c>
      <c r="BM123" s="2" t="e">
        <f ca="1">_xll.BDH($C$103,"INVENTORY_SEQUENTIAL_GROWTH","FY 2018","FY 2018","Currency=INR","Period=FY","BEST_FPERIOD_OVERRIDE=FY","FILING_STATUS=OR","EQY_CONSOLIDATED=Y","Sort=A","Dates=H","DateFormat=P","Fill=—","Direction=H","UseDPDF=Y")</f>
        <v>#NAME?</v>
      </c>
      <c r="BN123" s="2" t="e">
        <f ca="1">_xll.BDH($C$103,"FIXED_ASSETS_SEQUENTIAL_GROWTH","FY 2018","FY 2018","Currency=INR","Period=FY","BEST_FPERIOD_OVERRIDE=FY","FILING_STATUS=OR","EQY_CONSOLIDATED=Y","Sort=A","Dates=H","DateFormat=P","Fill=—","Direction=H","UseDPDF=Y")</f>
        <v>#NAME?</v>
      </c>
      <c r="BO123" s="2" t="e">
        <f ca="1">_xll.BDH($C$103,"TOTAL_ASSETS_SEQUENTIAL_GROWTH","FY 2018","FY 2018","Currency=INR","Period=FY","BEST_FPERIOD_OVERRIDE=FY","FILING_STATUS=OR","EQY_CONSOLIDATED=Y","Sort=A","Dates=H","DateFormat=P","Fill=—","Direction=H","UseDPDF=Y")</f>
        <v>#NAME?</v>
      </c>
      <c r="BP123" s="2" t="e">
        <f ca="1">_xll.BDH($C$103,"MODIFIED_WORKING_CPTL_SEQ_GRWTH","FY 2018","FY 2018","Currency=INR","Period=FY","BEST_FPERIOD_OVERRIDE=FY","FILING_STATUS=OR","EQY_CONSOLIDATED=Y","Sort=A","Dates=H","DateFormat=P","Fill=—","Direction=H","UseDPDF=Y")</f>
        <v>#NAME?</v>
      </c>
      <c r="BQ123" s="2" t="e">
        <f ca="1">_xll.BDH($C$103,"WORKING_CAPITAL_SEQ_GROWTH","FY 2018","FY 2018","Currency=INR","Period=FY","BEST_FPERIOD_OVERRIDE=FY","FILING_STATUS=OR","EQY_CONSOLIDATED=Y","Sort=A","Dates=H","DateFormat=P","Fill=—","Direction=H","UseDPDF=Y")</f>
        <v>#NAME?</v>
      </c>
      <c r="BR123" s="2" t="e">
        <f ca="1">_xll.BDH($C$103,"ACCOUNTS_PAYABLE_SEQ_GROWTH","FY 2018","FY 2018","Currency=INR","Period=FY","BEST_FPERIOD_OVERRIDE=FY","FILING_STATUS=OR","EQY_CONSOLIDATED=Y","Sort=A","Dates=H","DateFormat=P","Fill=—","Direction=H","UseDPDF=Y")</f>
        <v>#NAME?</v>
      </c>
      <c r="BS123" s="2" t="e">
        <f ca="1">_xll.BDH($C$103,"ST_DEBT_SEQUENTIAL_GROWTH","FY 2018","FY 2018","Currency=INR","Period=FY","BEST_FPERIOD_OVERRIDE=FY","FILING_STATUS=OR","EQY_CONSOLIDATED=Y","Sort=A","Dates=H","DateFormat=P","Fill=—","Direction=H","UseDPDF=Y")</f>
        <v>#NAME?</v>
      </c>
      <c r="BT123" s="2" t="e">
        <f ca="1">_xll.BDH($C$103,"TOTAL_DEBT_SEQUENTIAL_GROWTH","FY 2018","FY 2018","Currency=INR","Period=FY","BEST_FPERIOD_OVERRIDE=FY","FILING_STATUS=OR","EQY_CONSOLIDATED=Y","Sort=A","Dates=H","DateFormat=P","Fill=—","Direction=H","UseDPDF=Y")</f>
        <v>#NAME?</v>
      </c>
      <c r="BU123" s="2" t="e">
        <f ca="1">_xll.BDH($C$103,"TOTAL_EQUITY_SEQUENTIAL_GROWTH","FY 2018","FY 2018","Currency=INR","Period=FY","BEST_FPERIOD_OVERRIDE=FY","FILING_STATUS=OR","EQY_CONSOLIDATED=Y","Sort=A","Dates=H","DateFormat=P","Fill=—","Direction=H","UseDPDF=Y")</f>
        <v>#NAME?</v>
      </c>
      <c r="BV123" s="2" t="e">
        <f ca="1">_xll.BDH($C$103,"TOTAL_CAPITAL_SEQUENTIAL_GROWTH","FY 2018","FY 2018","Currency=INR","Period=FY","BEST_FPERIOD_OVERRIDE=FY","FILING_STATUS=OR","EQY_CONSOLIDATED=Y","Sort=A","Dates=H","DateFormat=P","Fill=—","Direction=H","UseDPDF=Y")</f>
        <v>#NAME?</v>
      </c>
      <c r="BW123" s="2" t="e">
        <f ca="1">_xll.BDH($C$103,"BPS_SEQUENTIAL_GROWTH","FY 2018","FY 2018","Currency=INR","Period=FY","BEST_FPERIOD_OVERRIDE=FY","FILING_STATUS=OR","EQY_CONSOLIDATED=Y","Sort=A","Dates=H","DateFormat=P","Fill=—","Direction=H","UseDPDF=Y")</f>
        <v>#NAME?</v>
      </c>
      <c r="BX123" s="2" t="e">
        <f ca="1">_xll.BDH($C$103,"CFO_SEQUENTIAL_GROWTH","FY 2018","FY 2018","Currency=INR","Period=FY","BEST_FPERIOD_OVERRIDE=FY","FILING_STATUS=OR","EQY_CONSOLIDATED=Y","Sort=A","Dates=H","DateFormat=P","Fill=—","Direction=H","UseDPDF=Y")</f>
        <v>#NAME?</v>
      </c>
      <c r="BY123" s="3" t="e">
        <f ca="1">_xll.BDH($C$103,"SHORT_AND_LONG_TERM_DEBT","FY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23" s="3" t="e">
        <f ca="1">_xll.BDH($C$103,"BS_ST_BORROW","FY 2018","FY 2018","Currency=INR","Period=FY","BEST_FPERIOD_OVERRIDE=FY","FILING_STATUS=OR","EQY_CONSOLIDATED=Y","SCALING_FORMAT=MLN","Sort=A","Dates=H","DateFormat=P","Fill=—","Direction=H","UseDPDF=Y")</f>
        <v>#NAME?</v>
      </c>
      <c r="CA123" s="3" t="e">
        <f ca="1">_xll.BDH($C$103,"BS_LT_BORROW","FY 2018","FY 2018","Currency=INR","Period=FY","BEST_FPERIOD_OVERRIDE=FY","FILING_STATUS=OR","EQY_CONSOLIDATED=Y","SCALING_FORMAT=MLN","Sort=A","Dates=H","DateFormat=P","Fill=—","Direction=H","UseDPDF=Y")</f>
        <v>#NAME?</v>
      </c>
      <c r="CB123" s="2" t="e">
        <f ca="1">_xll.BDH($C$103,"TOT_DEBT_TO_EBITDA","FY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23" s="2" t="e">
        <f ca="1">_xll.BDH($C$103,"NET_DEBT_TO_EBITDA","FY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23" s="2" t="e">
        <f ca="1">_xll.BDH($C$103,"TOTAL_DEBT_TO_EBIT","FY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23" s="2" t="e">
        <f ca="1">_xll.BDH($C$103,"NET_DEBT_TO_EBIT","FY 2018","FY 2018","Currency=INR","Period=FY","BEST_FPERIOD_OVERRIDE=FY","FILING_STATUS=OR","EQY_CONSOLIDATED=Y","FA_ADJUSTED=GAAP","Sort=A","Dates=H","DateFormat=P","Fill=—","Direction=H","UseDPDF=Y")</f>
        <v>#NAME?</v>
      </c>
      <c r="CF123" s="2" t="e">
        <f ca="1">_xll.BDH($C$103,"EBITDA_TO_INTEREST_EXPN","FY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23" s="2" t="e">
        <f ca="1">_xll.BDH($C$103,"COM_EQY_TO_TOT_ASSET","FY 2018","FY 2018","Currency=INR","Period=FY","BEST_FPERIOD_OVERRIDE=FY","FILING_STATUS=OR","EQY_CONSOLIDATED=Y","Sort=A","Dates=H","DateFormat=P","Fill=—","Direction=H","UseDPDF=Y")</f>
        <v>#NAME?</v>
      </c>
      <c r="CH123" s="2" t="e">
        <f ca="1">_xll.BDH($C$103,"LT_DEBT_TO_TOT_EQY","FY 2018","FY 2018","Currency=INR","Period=FY","BEST_FPERIOD_OVERRIDE=FY","FILING_STATUS=OR","EQY_CONSOLIDATED=Y","Sort=A","Dates=H","DateFormat=P","Fill=—","Direction=H","UseDPDF=Y")</f>
        <v>#NAME?</v>
      </c>
      <c r="CI123" s="2" t="e">
        <f ca="1">_xll.BDH($C$103,"LT_DEBT_TO_TOT_CAP","FY 2018","FY 2018","Currency=INR","Period=FY","BEST_FPERIOD_OVERRIDE=FY","FILING_STATUS=OR","EQY_CONSOLIDATED=Y","Sort=A","Dates=H","DateFormat=P","Fill=—","Direction=H","UseDPDF=Y")</f>
        <v>#NAME?</v>
      </c>
      <c r="CJ123" s="2" t="e">
        <f ca="1">_xll.BDH($C$103,"LT_DEBT_TO_TOT_ASSET","FY 2018","FY 2018","Currency=INR","Period=FY","BEST_FPERIOD_OVERRIDE=FY","FILING_STATUS=OR","EQY_CONSOLIDATED=Y","Sort=A","Dates=H","DateFormat=P","Fill=—","Direction=H","UseDPDF=Y")</f>
        <v>#NAME?</v>
      </c>
      <c r="CK123" s="2" t="e">
        <f ca="1">_xll.BDH($C$103,"TOT_DEBT_TO_TOT_EQY","FY 2018","FY 2018","Currency=INR","Period=FY","BEST_FPERIOD_OVERRIDE=FY","FILING_STATUS=OR","EQY_CONSOLIDATED=Y","Sort=A","Dates=H","DateFormat=P","Fill=—","Direction=H","UseDPDF=Y")</f>
        <v>#NAME?</v>
      </c>
      <c r="CL123" s="2" t="e">
        <f ca="1">_xll.BDH($C$103,"TOT_DEBT_TO_TOT_CAP","FY 2018","FY 2018","Currency=INR","Period=FY","BEST_FPERIOD_OVERRIDE=FY","FILING_STATUS=OR","EQY_CONSOLIDATED=Y","Sort=A","Dates=H","DateFormat=P","Fill=—","Direction=H","UseDPDF=Y")</f>
        <v>#NAME?</v>
      </c>
      <c r="CM123" s="2" t="e">
        <f ca="1">_xll.BDH($C$103,"TOT_DEBT_TO_TOT_ASSET","FY 2018","FY 2018","Currency=INR","Period=FY","BEST_FPERIOD_OVERRIDE=FY","FILING_STATUS=OR","EQY_CONSOLIDATED=Y","Sort=A","Dates=H","DateFormat=P","Fill=—","Direction=H","UseDPDF=Y")</f>
        <v>#NAME?</v>
      </c>
      <c r="CN123" s="2" t="e">
        <f ca="1">_xll.BDH($C$103,"NET_DEBT_TO_SHRHLDR_EQTY","FY 2018","FY 2018","Currency=INR","Period=FY","BEST_FPERIOD_OVERRIDE=FY","FILING_STATUS=OR","EQY_CONSOLIDATED=Y","Sort=A","Dates=H","DateFormat=P","Fill=—","Direction=H","UseDPDF=Y")</f>
        <v>#NAME?</v>
      </c>
      <c r="CO123" s="2" t="e">
        <f ca="1">_xll.BDH($C$103,"NET_DEBT_%_CAPITAL","FY 2018","FY 2018","Currency=INR","Period=FY","BEST_FPERIOD_OVERRIDE=FY","FILING_STATUS=OR","EQY_CONSOLIDATED=Y","Sort=A","Dates=H","DateFormat=P","Fill=—","Direction=H","UseDPDF=Y")</f>
        <v>#NAME?</v>
      </c>
      <c r="CP123" s="3" t="e">
        <f ca="1">_xll.BDH($C$103,"EBITDA","FY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23" s="3" t="e">
        <f ca="1">_xll.BDH($C$103,"EBITDA_AFTER_CAPEX","FY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23" s="3" t="e">
        <f ca="1">_xll.BDH($C$103,"IS_OPER_INC","FY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23" s="2" t="e">
        <f ca="1">_xll.BDH($C$103,"CASH_RATIO","FY 2018","FY 2018","Currency=INR","Period=FY","BEST_FPERIOD_OVERRIDE=FY","FILING_STATUS=OR","EQY_CONSOLIDATED=Y","Sort=A","Dates=H","DateFormat=P","Fill=—","Direction=H","UseDPDF=Y")</f>
        <v>#NAME?</v>
      </c>
      <c r="CT123" s="2" t="e">
        <f ca="1">_xll.BDH($C$103,"CUR_RATIO","FY 2018","FY 2018","Currency=INR","Period=FY","BEST_FPERIOD_OVERRIDE=FY","FILING_STATUS=OR","EQY_CONSOLIDATED=Y","Sort=A","Dates=H","DateFormat=P","Fill=—","Direction=H","UseDPDF=Y")</f>
        <v>#NAME?</v>
      </c>
      <c r="CU123" s="2" t="e">
        <f ca="1">_xll.BDH($C$103,"QUICK_RATIO","FY 2018","FY 2018","Currency=INR","Period=FY","BEST_FPERIOD_OVERRIDE=FY","FILING_STATUS=OR","EQY_CONSOLIDATED=Y","Sort=A","Dates=H","DateFormat=P","Fill=—","Direction=H","UseDPDF=Y")</f>
        <v>#NAME?</v>
      </c>
      <c r="CV123" s="2" t="e">
        <f ca="1">_xll.BDH($C$103,"ALTMAN_Z_SCORE","FY 2018","FY 2018","Currency=INR","Period=FY","BEST_FPERIOD_OVERRIDE=FY","FILING_STATUS=OR","EQY_CONSOLIDATED=Y","Sort=A","Dates=H","DateFormat=P","Fill=—","Direction=H","UseDPDF=Y")</f>
        <v>#NAME?</v>
      </c>
      <c r="CW123" s="4" t="e">
        <f ca="1">_xll.BDH($C$103,"ACCT_RCV_TURN","FY 2018","FY 2018","Currency=INR","Period=FY","BEST_FPERIOD_OVERRIDE=FY","FILING_STATUS=OR","EQY_CONSOLIDATED=Y","FA_ADJUSTED=GAAP","Sort=A","Dates=H","DateFormat=P","Fill=—","Direction=H","UseDPDF=Y")</f>
        <v>#NAME?</v>
      </c>
      <c r="CX123" s="2" t="e">
        <f ca="1">_xll.BDH($C$103,"ACCT_RCV_DAYS","FY 2018","FY 2018","Currency=INR","Period=FY","BEST_FPERIOD_OVERRIDE=FY","FILING_STATUS=OR","EQY_CONSOLIDATED=Y","FA_ADJUSTED=GAAP","Sort=A","Dates=H","DateFormat=P","Fill=—","Direction=H","UseDPDF=Y")</f>
        <v>#NAME?</v>
      </c>
      <c r="CY123" s="4" t="e">
        <f ca="1">_xll.BDH($C$103,"INVENT_TURN","FY 2018","FY 2018","Currency=INR","Period=FY","BEST_FPERIOD_OVERRIDE=FY","FILING_STATUS=OR","EQY_CONSOLIDATED=Y","FA_ADJUSTED=GAAP","Sort=A","Dates=H","DateFormat=P","Fill=—","Direction=H","UseDPDF=Y")</f>
        <v>#NAME?</v>
      </c>
      <c r="CZ123" s="2" t="e">
        <f ca="1">_xll.BDH($C$103,"INVENT_DAYS","FY 2018","FY 2018","Currency=INR","Period=FY","BEST_FPERIOD_OVERRIDE=FY","FILING_STATUS=OR","EQY_CONSOLIDATED=Y","FA_ADJUSTED=GAAP","Sort=A","Dates=H","DateFormat=P","Fill=—","Direction=H","UseDPDF=Y")</f>
        <v>#NAME?</v>
      </c>
      <c r="DA123" s="4" t="e">
        <f ca="1">_xll.BDH($C$103,"ACCOUNTS_PAYABLE_TURNOVER","FY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23" s="2" t="e">
        <f ca="1">_xll.BDH($C$103,"ACCOUNTS_PAYABLE_TURNOVER_DAYS","FY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23" s="4" t="e">
        <f ca="1">_xll.BDH($C$103,"CASH_CONVERSION_CYCLE","FY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23" s="4" t="e">
        <f ca="1">_xll.BDH($C$103,"INV_TO_CASH_DAYS","FY 2018","FY 2018","Currency=INR","Period=FY","BEST_FPERIOD_OVERRIDE=FY","FILING_STATUS=OR","EQY_CONSOLIDATED=Y","FA_ADJUSTED=GAAP","Sort=A","Dates=H","DateFormat=P","Fill=—","Direction=H","UseDPDF=Y")</f>
        <v>#NAME?</v>
      </c>
      <c r="DE123" s="5" t="e">
        <f ca="1">_xll.BDH($C$103,"BS_INVENTORIES","FY 2018","FY 2018","Currency=INR","Period=FY","BEST_FPERIOD_OVERRIDE=FY","FILING_STATUS=OR","EQY_CONSOLIDATED=Y","SCALING_FORMAT=MLN","Sort=A","Dates=H","DateFormat=P","Fill=—","Direction=H","UseDPDF=Y")</f>
        <v>#NAME?</v>
      </c>
      <c r="DF123" s="3" t="e">
        <f ca="1">_xll.BDH($C$103,"INVTRY_RAW_MATERIALS","FY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23" s="3" t="e">
        <f ca="1">_xll.BDH($C$103,"INVTRY_IN_PROGRESS","FY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23" s="3" t="e">
        <f ca="1">_xll.BDH($C$103,"INVTRY_FINISHED_GOODS","FY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23" s="3" t="e">
        <f ca="1">_xll.BDH($C$103,"BS_OTHER_INV","FY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24" spans="1:113" x14ac:dyDescent="0.3">
      <c r="A124" s="6"/>
      <c r="B124" s="6"/>
      <c r="C124" s="6"/>
      <c r="D124" s="6"/>
      <c r="E124" t="s">
        <v>78</v>
      </c>
      <c r="F124" t="e">
        <f ca="1">_xll.BDH($C$103,"RETURN_COM_EQY","FQ1 2018","FQ1 2018","Currency=INR","Period=FQ","BEST_FPERIOD_OVERRIDE=FQ","FILING_STATUS=OR","EQY_CONSOLIDATED=Y","FA_ADJUSTED=GAAP","Sort=A","Dates=H","DateFormat=P","Fill=—","Direction=H","UseDPDF=Y")</f>
        <v>#NAME?</v>
      </c>
      <c r="G124" t="e">
        <f ca="1">_xll.BDH($C$103,"RETURN_ON_ASSET","FQ1 2018","FQ1 2018","Currency=INR","Period=FQ","BEST_FPERIOD_OVERRIDE=FQ","FILING_STATUS=OR","EQY_CONSOLIDATED=Y","FA_ADJUSTED=GAAP","Sort=A","Dates=H","DateFormat=P","Fill=—","Direction=H","UseDPDF=Y")</f>
        <v>#NAME?</v>
      </c>
      <c r="H124" t="e">
        <f ca="1">_xll.BDH($C$103,"RETURN_ON_CAP","FQ1 2018","FQ1 2018","Currency=INR","Period=FQ","BEST_FPERIOD_OVERRIDE=FQ","FILING_STATUS=OR","EQY_CONSOLIDATED=Y","FA_ADJUSTED=GAAP","Sort=A","Dates=H","DateFormat=P","Fill=—","Direction=H","UseDPDF=Y")</f>
        <v>#NAME?</v>
      </c>
      <c r="I124" t="e">
        <f ca="1">_xll.BDH($C$103,"RETURN_ON_INV_CAPITAL","FQ1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24" t="e">
        <f ca="1">_xll.BDH($C$103,"EBITDA_TO_REVENUE","FQ1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24" t="e">
        <f ca="1">_xll.BDH($C$103,"OPER_MARGIN","FQ1 2018","FQ1 2018","Currency=INR","Period=FQ","BEST_FPERIOD_OVERRIDE=FQ","FILING_STATUS=OR","EQY_CONSOLIDATED=Y","FA_ADJUSTED=GAAP","Sort=A","Dates=H","DateFormat=P","Fill=—","Direction=H","UseDPDF=Y")</f>
        <v>#NAME?</v>
      </c>
      <c r="L124" t="e">
        <f ca="1">_xll.BDH($C$103,"INCREMENTAL_OPERATING_MARGIN","FQ1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24" t="e">
        <f ca="1">_xll.BDH($C$103,"PRETAX_INC_TO_NET_SALES","FQ1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24" t="e">
        <f ca="1">_xll.BDH($C$103,"INC_BEF_XO_ITEMS_TO_NET_SALES","FQ1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24" t="e">
        <f ca="1">_xll.BDH($C$103,"PROF_MARGIN","FQ1 2018","FQ1 2018","Currency=INR","Period=FQ","BEST_FPERIOD_OVERRIDE=FQ","FILING_STATUS=OR","EQY_CONSOLIDATED=Y","FA_ADJUSTED=GAAP","Sort=A","Dates=H","DateFormat=P","Fill=—","Direction=H","UseDPDF=Y")</f>
        <v>#NAME?</v>
      </c>
      <c r="P124" t="e">
        <f ca="1">_xll.BDH($C$103,"NET_INCOME_TO_COMMON_MARGIN","FQ1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24" t="e">
        <f ca="1">_xll.BDH($C$103,"EFF_TAX_RATE","FQ1 2018","FQ1 2018","Currency=INR","Period=FQ","BEST_FPERIOD_OVERRIDE=FQ","FILING_STATUS=OR","EQY_CONSOLIDATED=Y","FA_ADJUSTED=GAAP","Sort=A","Dates=H","DateFormat=P","Fill=—","Direction=H","UseDPDF=Y")</f>
        <v>#NAME?</v>
      </c>
      <c r="R124" t="e">
        <f ca="1">_xll.BDH($C$103,"DVD_PAYOUT_RATIO","FQ1 2018","FQ1 2018","Currency=INR","Period=FQ","BEST_FPERIOD_OVERRIDE=FQ","FILING_STATUS=OR","EQY_CONSOLIDATED=Y","FA_ADJUSTED=GAAP","Sort=A","Dates=H","DateFormat=P","Fill=—","Direction=H","UseDPDF=Y")</f>
        <v>#NAME?</v>
      </c>
      <c r="S124" t="e">
        <f ca="1">_xll.BDH($C$103,"SUSTAIN_GROWTH_RT","FQ1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24" s="2" t="e">
        <f ca="1">_xll.BDH($C$103,"SALES_GROWTH","FQ1 2018","FQ1 2018","Currency=INR","Period=FQ","BEST_FPERIOD_OVERRIDE=FQ","FILING_STATUS=OR","EQY_CONSOLIDATED=Y","FA_ADJUSTED=GAAP","Sort=A","Dates=H","DateFormat=P","Fill=—","Direction=H","UseDPDF=Y")</f>
        <v>#NAME?</v>
      </c>
      <c r="U124" s="2" t="e">
        <f ca="1">_xll.BDH($C$103,"EBITDA_GROWTH","FQ1 2018","FQ1 2018","Currency=INR","Period=FQ","BEST_FPERIOD_OVERRIDE=FQ","FILING_STATUS=OR","EQY_CONSOLIDATED=Y","FA_ADJUSTED=GAAP","Sort=A","Dates=H","DateFormat=P","Fill=—","Direction=H","UseDPDF=Y")</f>
        <v>#NAME?</v>
      </c>
      <c r="V124" s="2" t="e">
        <f ca="1">_xll.BDH($C$103,"OPER_INC_GROWTH","FQ1 2018","FQ1 2018","Currency=INR","Period=FQ","BEST_FPERIOD_OVERRIDE=FQ","FILING_STATUS=OR","EQY_CONSOLIDATED=Y","FA_ADJUSTED=GAAP","Sort=A","Dates=H","DateFormat=P","Fill=—","Direction=H","UseDPDF=Y")</f>
        <v>#NAME?</v>
      </c>
      <c r="W124" s="2" t="e">
        <f ca="1">_xll.BDH($C$103,"EARN_FOR_COM_GROWTH","FQ1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24" s="2" t="e">
        <f ca="1">_xll.BDH($C$103,"DILUTED_EPS_AFT_XO_ITEMS_GROWTH","FQ1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24" s="2" t="e">
        <f ca="1">_xll.BDH($C$103,"DIVIDEND_PER_SHARE_1_YEAR_GROWTH","FQ1 2018","FQ1 2018","Currency=INR","Period=FQ","BEST_FPERIOD_OVERRIDE=FQ","FILING_STATUS=OR","EQY_CONSOLIDATED=Y","Sort=A","Dates=H","DateFormat=P","Fill=—","Direction=H","UseDPDF=Y")</f>
        <v>#NAME?</v>
      </c>
      <c r="Z124" s="2" t="e">
        <f ca="1">_xll.BDH($C$103,"ACCOUNTS_RECEIVABLE_GROWTH","FQ1 2018","FQ1 2018","Currency=INR","Period=FQ","BEST_FPERIOD_OVERRIDE=FQ","FILING_STATUS=OR","EQY_CONSOLIDATED=Y","Sort=A","Dates=H","DateFormat=P","Fill=—","Direction=H","UseDPDF=Y")</f>
        <v>#NAME?</v>
      </c>
      <c r="AA124" s="2" t="e">
        <f ca="1">_xll.BDH($C$103,"INVENTORY_GROWTH","FQ1 2018","FQ1 2018","Currency=INR","Period=FQ","BEST_FPERIOD_OVERRIDE=FQ","FILING_STATUS=OR","EQY_CONSOLIDATED=Y","Sort=A","Dates=H","DateFormat=P","Fill=—","Direction=H","UseDPDF=Y")</f>
        <v>#NAME?</v>
      </c>
      <c r="AB124" s="2" t="e">
        <f ca="1">_xll.BDH($C$103,"NET_FIXED_ASSETS_1_YEAR_GROWTH","FQ1 2018","FQ1 2018","Currency=INR","Period=FQ","BEST_FPERIOD_OVERRIDE=FQ","FILING_STATUS=OR","EQY_CONSOLIDATED=Y","Sort=A","Dates=H","DateFormat=P","Fill=—","Direction=H","UseDPDF=Y")</f>
        <v>#NAME?</v>
      </c>
      <c r="AC124" s="2" t="e">
        <f ca="1">_xll.BDH($C$103,"ASSET_GROWTH","FQ1 2018","FQ1 2018","Currency=INR","Period=FQ","BEST_FPERIOD_OVERRIDE=FQ","FILING_STATUS=OR","EQY_CONSOLIDATED=Y","Sort=A","Dates=H","DateFormat=P","Fill=—","Direction=H","UseDPDF=Y")</f>
        <v>#NAME?</v>
      </c>
      <c r="AD124" s="2" t="e">
        <f ca="1">_xll.BDH($C$103,"MODIFIED_WORK_CAP_GROWTH","FQ1 2018","FQ1 2018","Currency=INR","Period=FQ","BEST_FPERIOD_OVERRIDE=FQ","FILING_STATUS=OR","EQY_CONSOLIDATED=Y","Sort=A","Dates=H","DateFormat=P","Fill=—","Direction=H","UseDPDF=Y")</f>
        <v>#NAME?</v>
      </c>
      <c r="AE124" s="2" t="e">
        <f ca="1">_xll.BDH($C$103,"WORK_CAP_GROWTH","FQ1 2018","FQ1 2018","Currency=INR","Period=FQ","BEST_FPERIOD_OVERRIDE=FQ","FILING_STATUS=OR","EQY_CONSOLIDATED=Y","Sort=A","Dates=H","DateFormat=P","Fill=—","Direction=H","UseDPDF=Y")</f>
        <v>#NAME?</v>
      </c>
      <c r="AF124" s="2" t="e">
        <f ca="1">_xll.BDH($C$103,"ACCOUNTS_PAYABLE_GROWTH_1YR","FQ1 2018","FQ1 2018","Currency=INR","Period=FQ","BEST_FPERIOD_OVERRIDE=FQ","FILING_STATUS=OR","EQY_CONSOLIDATED=Y","Sort=A","Dates=H","DateFormat=P","Fill=—","Direction=H","UseDPDF=Y")</f>
        <v>#NAME?</v>
      </c>
      <c r="AG124" s="2" t="e">
        <f ca="1">_xll.BDH($C$103,"SHORT_TERM_DEBT_1_YEAR_GROWTH","FQ1 2018","FQ1 2018","Currency=INR","Period=FQ","BEST_FPERIOD_OVERRIDE=FQ","FILING_STATUS=OR","EQY_CONSOLIDATED=Y","Sort=A","Dates=H","DateFormat=P","Fill=—","Direction=H","UseDPDF=Y")</f>
        <v>#NAME?</v>
      </c>
      <c r="AH124" s="2" t="e">
        <f ca="1">_xll.BDH($C$103,"TOTAL_DEBT_1_YEAR_GROWTH","FQ1 2018","FQ1 2018","Currency=INR","Period=FQ","BEST_FPERIOD_OVERRIDE=FQ","FILING_STATUS=OR","EQY_CONSOLIDATED=Y","Sort=A","Dates=H","DateFormat=P","Fill=—","Direction=H","UseDPDF=Y")</f>
        <v>#NAME?</v>
      </c>
      <c r="AI124" s="2" t="e">
        <f ca="1">_xll.BDH($C$103,"TOTAL_EQUITY_1_YEAR_GROWTH","FQ1 2018","FQ1 2018","Currency=INR","Period=FQ","BEST_FPERIOD_OVERRIDE=FQ","FILING_STATUS=OR","EQY_CONSOLIDATED=Y","Sort=A","Dates=H","DateFormat=P","Fill=—","Direction=H","UseDPDF=Y")</f>
        <v>#NAME?</v>
      </c>
      <c r="AJ124" s="2" t="e">
        <f ca="1">_xll.BDH($C$103,"GROWTH_IN_CAP","FQ1 2018","FQ1 2018","Currency=INR","Period=FQ","BEST_FPERIOD_OVERRIDE=FQ","FILING_STATUS=OR","EQY_CONSOLIDATED=Y","Sort=A","Dates=H","DateFormat=P","Fill=—","Direction=H","UseDPDF=Y")</f>
        <v>#NAME?</v>
      </c>
      <c r="AK124" s="2" t="e">
        <f ca="1">_xll.BDH($C$103,"BVPS_GROWTH","FQ1 2018","FQ1 2018","Currency=INR","Period=FQ","BEST_FPERIOD_OVERRIDE=FQ","FILING_STATUS=OR","EQY_CONSOLIDATED=Y","Sort=A","Dates=H","DateFormat=P","Fill=—","Direction=H","UseDPDF=Y")</f>
        <v>#NAME?</v>
      </c>
      <c r="AL124" s="2" t="e">
        <f ca="1">_xll.BDH($C$103,"CASH_FLOW_GROWTH","FQ1 2018","FQ1 2018","Currency=INR","Period=FQ","BEST_FPERIOD_OVERRIDE=FQ","FILING_STATUS=OR","EQY_CONSOLIDATED=Y","Sort=A","Dates=H","DateFormat=P","Fill=—","Direction=H","UseDPDF=Y")</f>
        <v>#NAME?</v>
      </c>
      <c r="AM124" s="2" t="e">
        <f ca="1">_xll.BDH($C$103,"GEO_GROW_NET_SALES","FQ1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24" s="2" t="e">
        <f ca="1">_xll.BDH($C$103,"GEO_GROW_EBITDA","FQ1 2018","FQ1 2018","Currency=INR","Period=FQ","BEST_FPERIOD_OVERRIDE=FQ","FILING_STATUS=OR","EQY_CONSOLIDATED=Y","FA_ADJUSTED=GAAP","Sort=A","Dates=H","DateFormat=P","Fill=—","Direction=H","UseDPDF=Y")</f>
        <v>#NAME?</v>
      </c>
      <c r="AO124" s="2" t="e">
        <f ca="1">_xll.BDH($C$103,"GEO_GROW_OPER_INC","FQ1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24" s="2" t="e">
        <f ca="1">_xll.BDH($C$103,"NET_INCOME_TO_COMMON_5_YR_GROWTH","FQ1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24" s="2" t="e">
        <f ca="1">_xll.BDH($C$103,"5Y_GEO_GROWTH_DILUTED_EPS","FQ1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24" s="2" t="e">
        <f ca="1">_xll.BDH($C$103,"GEO_GROW_DVD_PER_SH","FQ1 2018","FQ1 2018","Currency=INR","Period=FQ","BEST_FPERIOD_OVERRIDE=FQ","FILING_STATUS=OR","EQY_CONSOLIDATED=Y","Sort=A","Dates=H","DateFormat=P","Fill=—","Direction=H","UseDPDF=Y")</f>
        <v>#NAME?</v>
      </c>
      <c r="AS124" s="2" t="e">
        <f ca="1">_xll.BDH($C$103,"ACCOUNTS_RECEIVABLE_5_YR_GROWTH","FQ1 2018","FQ1 2018","Currency=INR","Period=FQ","BEST_FPERIOD_OVERRIDE=FQ","FILING_STATUS=OR","EQY_CONSOLIDATED=Y","Sort=A","Dates=H","DateFormat=P","Fill=—","Direction=H","UseDPDF=Y")</f>
        <v>#NAME?</v>
      </c>
      <c r="AT124" s="2" t="e">
        <f ca="1">_xll.BDH($C$103,"INVENTORY_5_YEAR_GROWTH","FQ1 2018","FQ1 2018","Currency=INR","Period=FQ","BEST_FPERIOD_OVERRIDE=FQ","FILING_STATUS=OR","EQY_CONSOLIDATED=Y","Sort=A","Dates=H","DateFormat=P","Fill=—","Direction=H","UseDPDF=Y")</f>
        <v>#NAME?</v>
      </c>
      <c r="AU124" s="2" t="e">
        <f ca="1">_xll.BDH($C$103,"NET_FIXED_ASSETS_5_YEAR_GROWTH","FQ1 2018","FQ1 2018","Currency=INR","Period=FQ","BEST_FPERIOD_OVERRIDE=FQ","FILING_STATUS=OR","EQY_CONSOLIDATED=Y","Sort=A","Dates=H","DateFormat=P","Fill=—","Direction=H","UseDPDF=Y")</f>
        <v>#NAME?</v>
      </c>
      <c r="AV124" s="2" t="e">
        <f ca="1">_xll.BDH($C$103,"GEO_GROW_TOT_ASSET","FQ1 2018","FQ1 2018","Currency=INR","Period=FQ","BEST_FPERIOD_OVERRIDE=FQ","FILING_STATUS=OR","EQY_CONSOLIDATED=Y","Sort=A","Dates=H","DateFormat=P","Fill=—","Direction=H","UseDPDF=Y")</f>
        <v>#NAME?</v>
      </c>
      <c r="AW124" s="2" t="e">
        <f ca="1">_xll.BDH($C$103,"MODIFIED_WORKING_CPTL_5YR_GRWTH","FQ1 2018","FQ1 2018","Currency=INR","Period=FQ","BEST_FPERIOD_OVERRIDE=FQ","FILING_STATUS=OR","EQY_CONSOLIDATED=Y","Sort=A","Dates=H","DateFormat=P","Fill=—","Direction=H","UseDPDF=Y")</f>
        <v>#NAME?</v>
      </c>
      <c r="AX124" s="2" t="e">
        <f ca="1">_xll.BDH($C$103,"WORKING_CAPITAL_5_YEAR_GROWTH","FQ1 2018","FQ1 2018","Currency=INR","Period=FQ","BEST_FPERIOD_OVERRIDE=FQ","FILING_STATUS=OR","EQY_CONSOLIDATED=Y","Sort=A","Dates=H","DateFormat=P","Fill=—","Direction=H","UseDPDF=Y")</f>
        <v>#NAME?</v>
      </c>
      <c r="AY124" s="2" t="e">
        <f ca="1">_xll.BDH($C$103,"ACCOUNTS_PAYABLE_5_YEAR_GROWTH","FQ1 2018","FQ1 2018","Currency=INR","Period=FQ","BEST_FPERIOD_OVERRIDE=FQ","FILING_STATUS=OR","EQY_CONSOLIDATED=Y","Sort=A","Dates=H","DateFormat=P","Fill=—","Direction=H","UseDPDF=Y")</f>
        <v>#NAME?</v>
      </c>
      <c r="AZ124" s="2" t="e">
        <f ca="1">_xll.BDH($C$103,"SHORT_TERM_DEBT_5_YEAR_GROWTH","FQ1 2018","FQ1 2018","Currency=INR","Period=FQ","BEST_FPERIOD_OVERRIDE=FQ","FILING_STATUS=OR","EQY_CONSOLIDATED=Y","Sort=A","Dates=H","DateFormat=P","Fill=—","Direction=H","UseDPDF=Y")</f>
        <v>#NAME?</v>
      </c>
      <c r="BA124" s="2" t="e">
        <f ca="1">_xll.BDH($C$103,"TOTAL_DEBT_5_YEAR_GROWTH","FQ1 2018","FQ1 2018","Currency=INR","Period=FQ","BEST_FPERIOD_OVERRIDE=FQ","FILING_STATUS=OR","EQY_CONSOLIDATED=Y","Sort=A","Dates=H","DateFormat=P","Fill=—","Direction=H","UseDPDF=Y")</f>
        <v>#NAME?</v>
      </c>
      <c r="BB124" s="2" t="e">
        <f ca="1">_xll.BDH($C$103,"GEO_GROW_TOT_SHRHLDR_EQY","FQ1 2018","FQ1 2018","Currency=INR","Period=FQ","BEST_FPERIOD_OVERRIDE=FQ","FILING_STATUS=OR","EQY_CONSOLIDATED=Y","Sort=A","Dates=H","DateFormat=P","Fill=—","Direction=H","UseDPDF=Y")</f>
        <v>#NAME?</v>
      </c>
      <c r="BC124" s="2" t="e">
        <f ca="1">_xll.BDH($C$103,"TOTAL_CAPITAL_5_YEAR_GROWTH","FQ1 2018","FQ1 2018","Currency=INR","Period=FQ","BEST_FPERIOD_OVERRIDE=FQ","FILING_STATUS=OR","EQY_CONSOLIDATED=Y","Sort=A","Dates=H","DateFormat=P","Fill=—","Direction=H","UseDPDF=Y")</f>
        <v>#NAME?</v>
      </c>
      <c r="BD124" s="2" t="e">
        <f ca="1">_xll.BDH($C$103,"GEO_GROW_BOOK_VAL","FQ1 2018","FQ1 2018","Currency=INR","Period=FQ","BEST_FPERIOD_OVERRIDE=FQ","FILING_STATUS=OR","EQY_CONSOLIDATED=Y","Sort=A","Dates=H","DateFormat=P","Fill=—","Direction=H","UseDPDF=Y")</f>
        <v>#NAME?</v>
      </c>
      <c r="BE124" s="2" t="e">
        <f ca="1">_xll.BDH($C$103,"GEO_GROW_CASH_OPER_ACT","FQ1 2018","FQ1 2018","Currency=INR","Period=FQ","BEST_FPERIOD_OVERRIDE=FQ","FILING_STATUS=OR","EQY_CONSOLIDATED=Y","Sort=A","Dates=H","DateFormat=P","Fill=—","Direction=H","UseDPDF=Y")</f>
        <v>#NAME?</v>
      </c>
      <c r="BF124" s="2" t="e">
        <f ca="1">_xll.BDH($C$103,"REVENUE_SEQUENTIAL_GROWTH","FQ1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24" s="2" t="e">
        <f ca="1">_xll.BDH($C$103,"EBITDA_SEQUENTIAL_GROWTH","FQ1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24" s="2" t="e">
        <f ca="1">_xll.BDH($C$103,"OPERATING_INCOME_SEQ_GROWTH","FQ1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24" s="2" t="e">
        <f ca="1">_xll.BDH($C$103,"NET_INCOME_TO_COMMON_SEQ_GROWTH","FQ1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24" s="2" t="e">
        <f ca="1">_xll.BDH($C$103,"EPS_DILUTED_SEQUENTIAL_GROWTH","FQ1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24" s="2" t="e">
        <f ca="1">_xll.BDH($C$103,"DPS_SEQUENTIAL_GROWTH","FQ1 2018","FQ1 2018","Currency=INR","Period=FQ","BEST_FPERIOD_OVERRIDE=FQ","FILING_STATUS=OR","EQY_CONSOLIDATED=Y","Sort=A","Dates=H","DateFormat=P","Fill=—","Direction=H","UseDPDF=Y")</f>
        <v>#NAME?</v>
      </c>
      <c r="BL124" s="2" t="e">
        <f ca="1">_xll.BDH($C$103,"ACCOUNTS_RECEIVABLE_SEQ_GROWTH","FQ1 2018","FQ1 2018","Currency=INR","Period=FQ","BEST_FPERIOD_OVERRIDE=FQ","FILING_STATUS=OR","EQY_CONSOLIDATED=Y","Sort=A","Dates=H","DateFormat=P","Fill=—","Direction=H","UseDPDF=Y")</f>
        <v>#NAME?</v>
      </c>
      <c r="BM124" s="2" t="e">
        <f ca="1">_xll.BDH($C$103,"INVENTORY_SEQUENTIAL_GROWTH","FQ1 2018","FQ1 2018","Currency=INR","Period=FQ","BEST_FPERIOD_OVERRIDE=FQ","FILING_STATUS=OR","EQY_CONSOLIDATED=Y","Sort=A","Dates=H","DateFormat=P","Fill=—","Direction=H","UseDPDF=Y")</f>
        <v>#NAME?</v>
      </c>
      <c r="BN124" s="2" t="e">
        <f ca="1">_xll.BDH($C$103,"FIXED_ASSETS_SEQUENTIAL_GROWTH","FQ1 2018","FQ1 2018","Currency=INR","Period=FQ","BEST_FPERIOD_OVERRIDE=FQ","FILING_STATUS=OR","EQY_CONSOLIDATED=Y","Sort=A","Dates=H","DateFormat=P","Fill=—","Direction=H","UseDPDF=Y")</f>
        <v>#NAME?</v>
      </c>
      <c r="BO124" s="2" t="e">
        <f ca="1">_xll.BDH($C$103,"TOTAL_ASSETS_SEQUENTIAL_GROWTH","FQ1 2018","FQ1 2018","Currency=INR","Period=FQ","BEST_FPERIOD_OVERRIDE=FQ","FILING_STATUS=OR","EQY_CONSOLIDATED=Y","Sort=A","Dates=H","DateFormat=P","Fill=—","Direction=H","UseDPDF=Y")</f>
        <v>#NAME?</v>
      </c>
      <c r="BP124" s="2" t="e">
        <f ca="1">_xll.BDH($C$103,"MODIFIED_WORKING_CPTL_SEQ_GRWTH","FQ1 2018","FQ1 2018","Currency=INR","Period=FQ","BEST_FPERIOD_OVERRIDE=FQ","FILING_STATUS=OR","EQY_CONSOLIDATED=Y","Sort=A","Dates=H","DateFormat=P","Fill=—","Direction=H","UseDPDF=Y")</f>
        <v>#NAME?</v>
      </c>
      <c r="BQ124" s="2" t="e">
        <f ca="1">_xll.BDH($C$103,"WORKING_CAPITAL_SEQ_GROWTH","FQ1 2018","FQ1 2018","Currency=INR","Period=FQ","BEST_FPERIOD_OVERRIDE=FQ","FILING_STATUS=OR","EQY_CONSOLIDATED=Y","Sort=A","Dates=H","DateFormat=P","Fill=—","Direction=H","UseDPDF=Y")</f>
        <v>#NAME?</v>
      </c>
      <c r="BR124" s="2" t="e">
        <f ca="1">_xll.BDH($C$103,"ACCOUNTS_PAYABLE_SEQ_GROWTH","FQ1 2018","FQ1 2018","Currency=INR","Period=FQ","BEST_FPERIOD_OVERRIDE=FQ","FILING_STATUS=OR","EQY_CONSOLIDATED=Y","Sort=A","Dates=H","DateFormat=P","Fill=—","Direction=H","UseDPDF=Y")</f>
        <v>#NAME?</v>
      </c>
      <c r="BS124" s="2" t="e">
        <f ca="1">_xll.BDH($C$103,"ST_DEBT_SEQUENTIAL_GROWTH","FQ1 2018","FQ1 2018","Currency=INR","Period=FQ","BEST_FPERIOD_OVERRIDE=FQ","FILING_STATUS=OR","EQY_CONSOLIDATED=Y","Sort=A","Dates=H","DateFormat=P","Fill=—","Direction=H","UseDPDF=Y")</f>
        <v>#NAME?</v>
      </c>
      <c r="BT124" s="2" t="e">
        <f ca="1">_xll.BDH($C$103,"TOTAL_DEBT_SEQUENTIAL_GROWTH","FQ1 2018","FQ1 2018","Currency=INR","Period=FQ","BEST_FPERIOD_OVERRIDE=FQ","FILING_STATUS=OR","EQY_CONSOLIDATED=Y","Sort=A","Dates=H","DateFormat=P","Fill=—","Direction=H","UseDPDF=Y")</f>
        <v>#NAME?</v>
      </c>
      <c r="BU124" s="2" t="e">
        <f ca="1">_xll.BDH($C$103,"TOTAL_EQUITY_SEQUENTIAL_GROWTH","FQ1 2018","FQ1 2018","Currency=INR","Period=FQ","BEST_FPERIOD_OVERRIDE=FQ","FILING_STATUS=OR","EQY_CONSOLIDATED=Y","Sort=A","Dates=H","DateFormat=P","Fill=—","Direction=H","UseDPDF=Y")</f>
        <v>#NAME?</v>
      </c>
      <c r="BV124" s="2" t="e">
        <f ca="1">_xll.BDH($C$103,"TOTAL_CAPITAL_SEQUENTIAL_GROWTH","FQ1 2018","FQ1 2018","Currency=INR","Period=FQ","BEST_FPERIOD_OVERRIDE=FQ","FILING_STATUS=OR","EQY_CONSOLIDATED=Y","Sort=A","Dates=H","DateFormat=P","Fill=—","Direction=H","UseDPDF=Y")</f>
        <v>#NAME?</v>
      </c>
      <c r="BW124" s="2" t="e">
        <f ca="1">_xll.BDH($C$103,"BPS_SEQUENTIAL_GROWTH","FQ1 2018","FQ1 2018","Currency=INR","Period=FQ","BEST_FPERIOD_OVERRIDE=FQ","FILING_STATUS=OR","EQY_CONSOLIDATED=Y","Sort=A","Dates=H","DateFormat=P","Fill=—","Direction=H","UseDPDF=Y")</f>
        <v>#NAME?</v>
      </c>
      <c r="BX124" s="2" t="e">
        <f ca="1">_xll.BDH($C$103,"CFO_SEQUENTIAL_GROWTH","FQ1 2018","FQ1 2018","Currency=INR","Period=FQ","BEST_FPERIOD_OVERRIDE=FQ","FILING_STATUS=OR","EQY_CONSOLIDATED=Y","Sort=A","Dates=H","DateFormat=P","Fill=—","Direction=H","UseDPDF=Y")</f>
        <v>#NAME?</v>
      </c>
      <c r="BY124" s="3" t="e">
        <f ca="1">_xll.BDH($C$103,"SHORT_AND_LONG_TERM_DEBT","FQ1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24" s="3" t="e">
        <f ca="1">_xll.BDH($C$103,"BS_ST_BORROW","FQ1 2018","FQ1 2018","Currency=INR","Period=FQ","BEST_FPERIOD_OVERRIDE=FQ","FILING_STATUS=OR","EQY_CONSOLIDATED=Y","SCALING_FORMAT=MLN","Sort=A","Dates=H","DateFormat=P","Fill=—","Direction=H","UseDPDF=Y")</f>
        <v>#NAME?</v>
      </c>
      <c r="CA124" s="3" t="e">
        <f ca="1">_xll.BDH($C$103,"BS_LT_BORROW","FQ1 2018","FQ1 2018","Currency=INR","Period=FQ","BEST_FPERIOD_OVERRIDE=FQ","FILING_STATUS=OR","EQY_CONSOLIDATED=Y","SCALING_FORMAT=MLN","Sort=A","Dates=H","DateFormat=P","Fill=—","Direction=H","UseDPDF=Y")</f>
        <v>#NAME?</v>
      </c>
      <c r="CB124" s="2" t="e">
        <f ca="1">_xll.BDH($C$103,"TOT_DEBT_TO_EBITDA","FQ1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24" s="2" t="e">
        <f ca="1">_xll.BDH($C$103,"NET_DEBT_TO_EBITDA","FQ1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24" s="2" t="e">
        <f ca="1">_xll.BDH($C$103,"TOTAL_DEBT_TO_EBIT","FQ1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24" s="2" t="e">
        <f ca="1">_xll.BDH($C$103,"NET_DEBT_TO_EBIT","FQ1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24" s="2" t="e">
        <f ca="1">_xll.BDH($C$103,"EBITDA_TO_INTEREST_EXPN","FQ1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24" s="2" t="e">
        <f ca="1">_xll.BDH($C$103,"COM_EQY_TO_TOT_ASSET","FQ1 2018","FQ1 2018","Currency=INR","Period=FQ","BEST_FPERIOD_OVERRIDE=FQ","FILING_STATUS=OR","EQY_CONSOLIDATED=Y","Sort=A","Dates=H","DateFormat=P","Fill=—","Direction=H","UseDPDF=Y")</f>
        <v>#NAME?</v>
      </c>
      <c r="CH124" s="2" t="e">
        <f ca="1">_xll.BDH($C$103,"LT_DEBT_TO_TOT_EQY","FQ1 2018","FQ1 2018","Currency=INR","Period=FQ","BEST_FPERIOD_OVERRIDE=FQ","FILING_STATUS=OR","EQY_CONSOLIDATED=Y","Sort=A","Dates=H","DateFormat=P","Fill=—","Direction=H","UseDPDF=Y")</f>
        <v>#NAME?</v>
      </c>
      <c r="CI124" s="2" t="e">
        <f ca="1">_xll.BDH($C$103,"LT_DEBT_TO_TOT_CAP","FQ1 2018","FQ1 2018","Currency=INR","Period=FQ","BEST_FPERIOD_OVERRIDE=FQ","FILING_STATUS=OR","EQY_CONSOLIDATED=Y","Sort=A","Dates=H","DateFormat=P","Fill=—","Direction=H","UseDPDF=Y")</f>
        <v>#NAME?</v>
      </c>
      <c r="CJ124" s="2" t="e">
        <f ca="1">_xll.BDH($C$103,"LT_DEBT_TO_TOT_ASSET","FQ1 2018","FQ1 2018","Currency=INR","Period=FQ","BEST_FPERIOD_OVERRIDE=FQ","FILING_STATUS=OR","EQY_CONSOLIDATED=Y","Sort=A","Dates=H","DateFormat=P","Fill=—","Direction=H","UseDPDF=Y")</f>
        <v>#NAME?</v>
      </c>
      <c r="CK124" s="2" t="e">
        <f ca="1">_xll.BDH($C$103,"TOT_DEBT_TO_TOT_EQY","FQ1 2018","FQ1 2018","Currency=INR","Period=FQ","BEST_FPERIOD_OVERRIDE=FQ","FILING_STATUS=OR","EQY_CONSOLIDATED=Y","Sort=A","Dates=H","DateFormat=P","Fill=—","Direction=H","UseDPDF=Y")</f>
        <v>#NAME?</v>
      </c>
      <c r="CL124" s="2" t="e">
        <f ca="1">_xll.BDH($C$103,"TOT_DEBT_TO_TOT_CAP","FQ1 2018","FQ1 2018","Currency=INR","Period=FQ","BEST_FPERIOD_OVERRIDE=FQ","FILING_STATUS=OR","EQY_CONSOLIDATED=Y","Sort=A","Dates=H","DateFormat=P","Fill=—","Direction=H","UseDPDF=Y")</f>
        <v>#NAME?</v>
      </c>
      <c r="CM124" s="2" t="e">
        <f ca="1">_xll.BDH($C$103,"TOT_DEBT_TO_TOT_ASSET","FQ1 2018","FQ1 2018","Currency=INR","Period=FQ","BEST_FPERIOD_OVERRIDE=FQ","FILING_STATUS=OR","EQY_CONSOLIDATED=Y","Sort=A","Dates=H","DateFormat=P","Fill=—","Direction=H","UseDPDF=Y")</f>
        <v>#NAME?</v>
      </c>
      <c r="CN124" s="2" t="e">
        <f ca="1">_xll.BDH($C$103,"NET_DEBT_TO_SHRHLDR_EQTY","FQ1 2018","FQ1 2018","Currency=INR","Period=FQ","BEST_FPERIOD_OVERRIDE=FQ","FILING_STATUS=OR","EQY_CONSOLIDATED=Y","Sort=A","Dates=H","DateFormat=P","Fill=—","Direction=H","UseDPDF=Y")</f>
        <v>#NAME?</v>
      </c>
      <c r="CO124" s="2" t="e">
        <f ca="1">_xll.BDH($C$103,"NET_DEBT_%_CAPITAL","FQ1 2018","FQ1 2018","Currency=INR","Period=FQ","BEST_FPERIOD_OVERRIDE=FQ","FILING_STATUS=OR","EQY_CONSOLIDATED=Y","Sort=A","Dates=H","DateFormat=P","Fill=—","Direction=H","UseDPDF=Y")</f>
        <v>#NAME?</v>
      </c>
      <c r="CP124" s="3" t="e">
        <f ca="1">_xll.BDH($C$103,"EBITDA","FQ1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24" s="3" t="e">
        <f ca="1">_xll.BDH($C$103,"EBITDA_AFTER_CAPEX","FQ1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24" s="3" t="e">
        <f ca="1">_xll.BDH($C$103,"IS_OPER_INC","FQ1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24" s="2" t="e">
        <f ca="1">_xll.BDH($C$103,"CASH_RATIO","FQ1 2018","FQ1 2018","Currency=INR","Period=FQ","BEST_FPERIOD_OVERRIDE=FQ","FILING_STATUS=OR","EQY_CONSOLIDATED=Y","Sort=A","Dates=H","DateFormat=P","Fill=—","Direction=H","UseDPDF=Y")</f>
        <v>#NAME?</v>
      </c>
      <c r="CT124" s="2" t="e">
        <f ca="1">_xll.BDH($C$103,"CUR_RATIO","FQ1 2018","FQ1 2018","Currency=INR","Period=FQ","BEST_FPERIOD_OVERRIDE=FQ","FILING_STATUS=OR","EQY_CONSOLIDATED=Y","Sort=A","Dates=H","DateFormat=P","Fill=—","Direction=H","UseDPDF=Y")</f>
        <v>#NAME?</v>
      </c>
      <c r="CU124" s="2" t="e">
        <f ca="1">_xll.BDH($C$103,"QUICK_RATIO","FQ1 2018","FQ1 2018","Currency=INR","Period=FQ","BEST_FPERIOD_OVERRIDE=FQ","FILING_STATUS=OR","EQY_CONSOLIDATED=Y","Sort=A","Dates=H","DateFormat=P","Fill=—","Direction=H","UseDPDF=Y")</f>
        <v>#NAME?</v>
      </c>
      <c r="CV124" s="2" t="e">
        <f ca="1">_xll.BDH($C$103,"ALTMAN_Z_SCORE","FQ1 2018","FQ1 2018","Currency=INR","Period=FQ","BEST_FPERIOD_OVERRIDE=FQ","FILING_STATUS=OR","EQY_CONSOLIDATED=Y","Sort=A","Dates=H","DateFormat=P","Fill=—","Direction=H","UseDPDF=Y")</f>
        <v>#NAME?</v>
      </c>
      <c r="CW124" s="4" t="e">
        <f ca="1">_xll.BDH($C$103,"ACCT_RCV_TURN","FQ1 2018","FQ1 2018","Currency=INR","Period=FQ","BEST_FPERIOD_OVERRIDE=FQ","FILING_STATUS=OR","EQY_CONSOLIDATED=Y","FA_ADJUSTED=GAAP","Sort=A","Dates=H","DateFormat=P","Fill=—","Direction=H","UseDPDF=Y")</f>
        <v>#NAME?</v>
      </c>
      <c r="CX124" s="2" t="e">
        <f ca="1">_xll.BDH($C$103,"ACCT_RCV_DAYS","FQ1 2018","FQ1 2018","Currency=INR","Period=FQ","BEST_FPERIOD_OVERRIDE=FQ","FILING_STATUS=OR","EQY_CONSOLIDATED=Y","FA_ADJUSTED=GAAP","Sort=A","Dates=H","DateFormat=P","Fill=—","Direction=H","UseDPDF=Y")</f>
        <v>#NAME?</v>
      </c>
      <c r="CY124" s="4" t="e">
        <f ca="1">_xll.BDH($C$103,"INVENT_TURN","FQ1 2018","FQ1 2018","Currency=INR","Period=FQ","BEST_FPERIOD_OVERRIDE=FQ","FILING_STATUS=OR","EQY_CONSOLIDATED=Y","FA_ADJUSTED=GAAP","Sort=A","Dates=H","DateFormat=P","Fill=—","Direction=H","UseDPDF=Y")</f>
        <v>#NAME?</v>
      </c>
      <c r="CZ124" s="2" t="e">
        <f ca="1">_xll.BDH($C$103,"INVENT_DAYS","FQ1 2018","FQ1 2018","Currency=INR","Period=FQ","BEST_FPERIOD_OVERRIDE=FQ","FILING_STATUS=OR","EQY_CONSOLIDATED=Y","FA_ADJUSTED=GAAP","Sort=A","Dates=H","DateFormat=P","Fill=—","Direction=H","UseDPDF=Y")</f>
        <v>#NAME?</v>
      </c>
      <c r="DA124" s="4" t="e">
        <f ca="1">_xll.BDH($C$103,"ACCOUNTS_PAYABLE_TURNOVER","FQ1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24" s="2" t="e">
        <f ca="1">_xll.BDH($C$103,"ACCOUNTS_PAYABLE_TURNOVER_DAYS","FQ1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24" s="4" t="e">
        <f ca="1">_xll.BDH($C$103,"CASH_CONVERSION_CYCLE","FQ1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24" s="4" t="e">
        <f ca="1">_xll.BDH($C$103,"INV_TO_CASH_DAYS","FQ1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24" s="5" t="e">
        <f ca="1">_xll.BDH($C$103,"BS_INVENTORIES","FQ1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24" s="3" t="e">
        <f ca="1">_xll.BDH($C$103,"INVTRY_RAW_MATERIALS","FQ1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24" s="3" t="e">
        <f ca="1">_xll.BDH($C$103,"INVTRY_IN_PROGRESS","FQ1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24" s="3" t="e">
        <f ca="1">_xll.BDH($C$103,"INVTRY_FINISHED_GOODS","FQ1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24" s="3" t="e">
        <f ca="1">_xll.BDH($C$103,"BS_OTHER_INV","FQ1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25" spans="1:113" x14ac:dyDescent="0.3">
      <c r="A125" s="6"/>
      <c r="B125" s="6"/>
      <c r="C125" s="6"/>
      <c r="D125" s="6"/>
      <c r="E125" t="s">
        <v>79</v>
      </c>
      <c r="F125" t="e">
        <f ca="1">_xll.BDH($C$103,"RETURN_COM_EQY","FQ2 2018","FQ2 2018","Currency=INR","Period=FQ","BEST_FPERIOD_OVERRIDE=FQ","FILING_STATUS=OR","EQY_CONSOLIDATED=Y","FA_ADJUSTED=GAAP","Sort=A","Dates=H","DateFormat=P","Fill=—","Direction=H","UseDPDF=Y")</f>
        <v>#NAME?</v>
      </c>
      <c r="G125" t="e">
        <f ca="1">_xll.BDH($C$103,"RETURN_ON_ASSET","FQ2 2018","FQ2 2018","Currency=INR","Period=FQ","BEST_FPERIOD_OVERRIDE=FQ","FILING_STATUS=OR","EQY_CONSOLIDATED=Y","FA_ADJUSTED=GAAP","Sort=A","Dates=H","DateFormat=P","Fill=—","Direction=H","UseDPDF=Y")</f>
        <v>#NAME?</v>
      </c>
      <c r="H125" t="e">
        <f ca="1">_xll.BDH($C$103,"RETURN_ON_CAP","FQ2 2018","FQ2 2018","Currency=INR","Period=FQ","BEST_FPERIOD_OVERRIDE=FQ","FILING_STATUS=OR","EQY_CONSOLIDATED=Y","FA_ADJUSTED=GAAP","Sort=A","Dates=H","DateFormat=P","Fill=—","Direction=H","UseDPDF=Y")</f>
        <v>#NAME?</v>
      </c>
      <c r="I125" t="e">
        <f ca="1">_xll.BDH($C$103,"RETURN_ON_INV_CAPITAL","FQ2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25" t="e">
        <f ca="1">_xll.BDH($C$103,"EBITDA_TO_REVENUE","FQ2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25" t="e">
        <f ca="1">_xll.BDH($C$103,"OPER_MARGIN","FQ2 2018","FQ2 2018","Currency=INR","Period=FQ","BEST_FPERIOD_OVERRIDE=FQ","FILING_STATUS=OR","EQY_CONSOLIDATED=Y","FA_ADJUSTED=GAAP","Sort=A","Dates=H","DateFormat=P","Fill=—","Direction=H","UseDPDF=Y")</f>
        <v>#NAME?</v>
      </c>
      <c r="L125" t="e">
        <f ca="1">_xll.BDH($C$103,"INCREMENTAL_OPERATING_MARGIN","FQ2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25" t="e">
        <f ca="1">_xll.BDH($C$103,"PRETAX_INC_TO_NET_SALES","FQ2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25" t="e">
        <f ca="1">_xll.BDH($C$103,"INC_BEF_XO_ITEMS_TO_NET_SALES","FQ2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25" t="e">
        <f ca="1">_xll.BDH($C$103,"PROF_MARGIN","FQ2 2018","FQ2 2018","Currency=INR","Period=FQ","BEST_FPERIOD_OVERRIDE=FQ","FILING_STATUS=OR","EQY_CONSOLIDATED=Y","FA_ADJUSTED=GAAP","Sort=A","Dates=H","DateFormat=P","Fill=—","Direction=H","UseDPDF=Y")</f>
        <v>#NAME?</v>
      </c>
      <c r="P125" t="e">
        <f ca="1">_xll.BDH($C$103,"NET_INCOME_TO_COMMON_MARGIN","FQ2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25" t="e">
        <f ca="1">_xll.BDH($C$103,"EFF_TAX_RATE","FQ2 2018","FQ2 2018","Currency=INR","Period=FQ","BEST_FPERIOD_OVERRIDE=FQ","FILING_STATUS=OR","EQY_CONSOLIDATED=Y","FA_ADJUSTED=GAAP","Sort=A","Dates=H","DateFormat=P","Fill=—","Direction=H","UseDPDF=Y")</f>
        <v>#NAME?</v>
      </c>
      <c r="R125" t="e">
        <f ca="1">_xll.BDH($C$103,"DVD_PAYOUT_RATIO","FQ2 2018","FQ2 2018","Currency=INR","Period=FQ","BEST_FPERIOD_OVERRIDE=FQ","FILING_STATUS=OR","EQY_CONSOLIDATED=Y","FA_ADJUSTED=GAAP","Sort=A","Dates=H","DateFormat=P","Fill=—","Direction=H","UseDPDF=Y")</f>
        <v>#NAME?</v>
      </c>
      <c r="S125" t="e">
        <f ca="1">_xll.BDH($C$103,"SUSTAIN_GROWTH_RT","FQ2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25" s="2" t="e">
        <f ca="1">_xll.BDH($C$103,"SALES_GROWTH","FQ2 2018","FQ2 2018","Currency=INR","Period=FQ","BEST_FPERIOD_OVERRIDE=FQ","FILING_STATUS=OR","EQY_CONSOLIDATED=Y","FA_ADJUSTED=GAAP","Sort=A","Dates=H","DateFormat=P","Fill=—","Direction=H","UseDPDF=Y")</f>
        <v>#NAME?</v>
      </c>
      <c r="U125" s="2" t="e">
        <f ca="1">_xll.BDH($C$103,"EBITDA_GROWTH","FQ2 2018","FQ2 2018","Currency=INR","Period=FQ","BEST_FPERIOD_OVERRIDE=FQ","FILING_STATUS=OR","EQY_CONSOLIDATED=Y","FA_ADJUSTED=GAAP","Sort=A","Dates=H","DateFormat=P","Fill=—","Direction=H","UseDPDF=Y")</f>
        <v>#NAME?</v>
      </c>
      <c r="V125" s="2" t="e">
        <f ca="1">_xll.BDH($C$103,"OPER_INC_GROWTH","FQ2 2018","FQ2 2018","Currency=INR","Period=FQ","BEST_FPERIOD_OVERRIDE=FQ","FILING_STATUS=OR","EQY_CONSOLIDATED=Y","FA_ADJUSTED=GAAP","Sort=A","Dates=H","DateFormat=P","Fill=—","Direction=H","UseDPDF=Y")</f>
        <v>#NAME?</v>
      </c>
      <c r="W125" s="2" t="e">
        <f ca="1">_xll.BDH($C$103,"EARN_FOR_COM_GROWTH","FQ2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25" s="2" t="e">
        <f ca="1">_xll.BDH($C$103,"DILUTED_EPS_AFT_XO_ITEMS_GROWTH","FQ2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25" s="2" t="e">
        <f ca="1">_xll.BDH($C$103,"DIVIDEND_PER_SHARE_1_YEAR_GROWTH","FQ2 2018","FQ2 2018","Currency=INR","Period=FQ","BEST_FPERIOD_OVERRIDE=FQ","FILING_STATUS=OR","EQY_CONSOLIDATED=Y","Sort=A","Dates=H","DateFormat=P","Fill=—","Direction=H","UseDPDF=Y")</f>
        <v>#NAME?</v>
      </c>
      <c r="Z125" s="2" t="e">
        <f ca="1">_xll.BDH($C$103,"ACCOUNTS_RECEIVABLE_GROWTH","FQ2 2018","FQ2 2018","Currency=INR","Period=FQ","BEST_FPERIOD_OVERRIDE=FQ","FILING_STATUS=OR","EQY_CONSOLIDATED=Y","Sort=A","Dates=H","DateFormat=P","Fill=—","Direction=H","UseDPDF=Y")</f>
        <v>#NAME?</v>
      </c>
      <c r="AA125" s="2" t="e">
        <f ca="1">_xll.BDH($C$103,"INVENTORY_GROWTH","FQ2 2018","FQ2 2018","Currency=INR","Period=FQ","BEST_FPERIOD_OVERRIDE=FQ","FILING_STATUS=OR","EQY_CONSOLIDATED=Y","Sort=A","Dates=H","DateFormat=P","Fill=—","Direction=H","UseDPDF=Y")</f>
        <v>#NAME?</v>
      </c>
      <c r="AB125" s="2" t="e">
        <f ca="1">_xll.BDH($C$103,"NET_FIXED_ASSETS_1_YEAR_GROWTH","FQ2 2018","FQ2 2018","Currency=INR","Period=FQ","BEST_FPERIOD_OVERRIDE=FQ","FILING_STATUS=OR","EQY_CONSOLIDATED=Y","Sort=A","Dates=H","DateFormat=P","Fill=—","Direction=H","UseDPDF=Y")</f>
        <v>#NAME?</v>
      </c>
      <c r="AC125" s="2" t="e">
        <f ca="1">_xll.BDH($C$103,"ASSET_GROWTH","FQ2 2018","FQ2 2018","Currency=INR","Period=FQ","BEST_FPERIOD_OVERRIDE=FQ","FILING_STATUS=OR","EQY_CONSOLIDATED=Y","Sort=A","Dates=H","DateFormat=P","Fill=—","Direction=H","UseDPDF=Y")</f>
        <v>#NAME?</v>
      </c>
      <c r="AD125" s="2" t="e">
        <f ca="1">_xll.BDH($C$103,"MODIFIED_WORK_CAP_GROWTH","FQ2 2018","FQ2 2018","Currency=INR","Period=FQ","BEST_FPERIOD_OVERRIDE=FQ","FILING_STATUS=OR","EQY_CONSOLIDATED=Y","Sort=A","Dates=H","DateFormat=P","Fill=—","Direction=H","UseDPDF=Y")</f>
        <v>#NAME?</v>
      </c>
      <c r="AE125" s="2" t="e">
        <f ca="1">_xll.BDH($C$103,"WORK_CAP_GROWTH","FQ2 2018","FQ2 2018","Currency=INR","Period=FQ","BEST_FPERIOD_OVERRIDE=FQ","FILING_STATUS=OR","EQY_CONSOLIDATED=Y","Sort=A","Dates=H","DateFormat=P","Fill=—","Direction=H","UseDPDF=Y")</f>
        <v>#NAME?</v>
      </c>
      <c r="AF125" s="2" t="e">
        <f ca="1">_xll.BDH($C$103,"ACCOUNTS_PAYABLE_GROWTH_1YR","FQ2 2018","FQ2 2018","Currency=INR","Period=FQ","BEST_FPERIOD_OVERRIDE=FQ","FILING_STATUS=OR","EQY_CONSOLIDATED=Y","Sort=A","Dates=H","DateFormat=P","Fill=—","Direction=H","UseDPDF=Y")</f>
        <v>#NAME?</v>
      </c>
      <c r="AG125" s="2" t="e">
        <f ca="1">_xll.BDH($C$103,"SHORT_TERM_DEBT_1_YEAR_GROWTH","FQ2 2018","FQ2 2018","Currency=INR","Period=FQ","BEST_FPERIOD_OVERRIDE=FQ","FILING_STATUS=OR","EQY_CONSOLIDATED=Y","Sort=A","Dates=H","DateFormat=P","Fill=—","Direction=H","UseDPDF=Y")</f>
        <v>#NAME?</v>
      </c>
      <c r="AH125" s="2" t="e">
        <f ca="1">_xll.BDH($C$103,"TOTAL_DEBT_1_YEAR_GROWTH","FQ2 2018","FQ2 2018","Currency=INR","Period=FQ","BEST_FPERIOD_OVERRIDE=FQ","FILING_STATUS=OR","EQY_CONSOLIDATED=Y","Sort=A","Dates=H","DateFormat=P","Fill=—","Direction=H","UseDPDF=Y")</f>
        <v>#NAME?</v>
      </c>
      <c r="AI125" s="2" t="e">
        <f ca="1">_xll.BDH($C$103,"TOTAL_EQUITY_1_YEAR_GROWTH","FQ2 2018","FQ2 2018","Currency=INR","Period=FQ","BEST_FPERIOD_OVERRIDE=FQ","FILING_STATUS=OR","EQY_CONSOLIDATED=Y","Sort=A","Dates=H","DateFormat=P","Fill=—","Direction=H","UseDPDF=Y")</f>
        <v>#NAME?</v>
      </c>
      <c r="AJ125" s="2" t="e">
        <f ca="1">_xll.BDH($C$103,"GROWTH_IN_CAP","FQ2 2018","FQ2 2018","Currency=INR","Period=FQ","BEST_FPERIOD_OVERRIDE=FQ","FILING_STATUS=OR","EQY_CONSOLIDATED=Y","Sort=A","Dates=H","DateFormat=P","Fill=—","Direction=H","UseDPDF=Y")</f>
        <v>#NAME?</v>
      </c>
      <c r="AK125" s="2" t="e">
        <f ca="1">_xll.BDH($C$103,"BVPS_GROWTH","FQ2 2018","FQ2 2018","Currency=INR","Period=FQ","BEST_FPERIOD_OVERRIDE=FQ","FILING_STATUS=OR","EQY_CONSOLIDATED=Y","Sort=A","Dates=H","DateFormat=P","Fill=—","Direction=H","UseDPDF=Y")</f>
        <v>#NAME?</v>
      </c>
      <c r="AL125" s="2" t="e">
        <f ca="1">_xll.BDH($C$103,"CASH_FLOW_GROWTH","FQ2 2018","FQ2 2018","Currency=INR","Period=FQ","BEST_FPERIOD_OVERRIDE=FQ","FILING_STATUS=OR","EQY_CONSOLIDATED=Y","Sort=A","Dates=H","DateFormat=P","Fill=—","Direction=H","UseDPDF=Y")</f>
        <v>#NAME?</v>
      </c>
      <c r="AM125" s="2" t="e">
        <f ca="1">_xll.BDH($C$103,"GEO_GROW_NET_SALES","FQ2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25" s="2" t="e">
        <f ca="1">_xll.BDH($C$103,"GEO_GROW_EBITDA","FQ2 2018","FQ2 2018","Currency=INR","Period=FQ","BEST_FPERIOD_OVERRIDE=FQ","FILING_STATUS=OR","EQY_CONSOLIDATED=Y","FA_ADJUSTED=GAAP","Sort=A","Dates=H","DateFormat=P","Fill=—","Direction=H","UseDPDF=Y")</f>
        <v>#NAME?</v>
      </c>
      <c r="AO125" s="2" t="e">
        <f ca="1">_xll.BDH($C$103,"GEO_GROW_OPER_INC","FQ2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25" s="2" t="e">
        <f ca="1">_xll.BDH($C$103,"NET_INCOME_TO_COMMON_5_YR_GROWTH","FQ2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25" s="2" t="e">
        <f ca="1">_xll.BDH($C$103,"5Y_GEO_GROWTH_DILUTED_EPS","FQ2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25" s="2" t="e">
        <f ca="1">_xll.BDH($C$103,"GEO_GROW_DVD_PER_SH","FQ2 2018","FQ2 2018","Currency=INR","Period=FQ","BEST_FPERIOD_OVERRIDE=FQ","FILING_STATUS=OR","EQY_CONSOLIDATED=Y","Sort=A","Dates=H","DateFormat=P","Fill=—","Direction=H","UseDPDF=Y")</f>
        <v>#NAME?</v>
      </c>
      <c r="AS125" s="2" t="e">
        <f ca="1">_xll.BDH($C$103,"ACCOUNTS_RECEIVABLE_5_YR_GROWTH","FQ2 2018","FQ2 2018","Currency=INR","Period=FQ","BEST_FPERIOD_OVERRIDE=FQ","FILING_STATUS=OR","EQY_CONSOLIDATED=Y","Sort=A","Dates=H","DateFormat=P","Fill=—","Direction=H","UseDPDF=Y")</f>
        <v>#NAME?</v>
      </c>
      <c r="AT125" s="2" t="e">
        <f ca="1">_xll.BDH($C$103,"INVENTORY_5_YEAR_GROWTH","FQ2 2018","FQ2 2018","Currency=INR","Period=FQ","BEST_FPERIOD_OVERRIDE=FQ","FILING_STATUS=OR","EQY_CONSOLIDATED=Y","Sort=A","Dates=H","DateFormat=P","Fill=—","Direction=H","UseDPDF=Y")</f>
        <v>#NAME?</v>
      </c>
      <c r="AU125" s="2" t="e">
        <f ca="1">_xll.BDH($C$103,"NET_FIXED_ASSETS_5_YEAR_GROWTH","FQ2 2018","FQ2 2018","Currency=INR","Period=FQ","BEST_FPERIOD_OVERRIDE=FQ","FILING_STATUS=OR","EQY_CONSOLIDATED=Y","Sort=A","Dates=H","DateFormat=P","Fill=—","Direction=H","UseDPDF=Y")</f>
        <v>#NAME?</v>
      </c>
      <c r="AV125" s="2" t="e">
        <f ca="1">_xll.BDH($C$103,"GEO_GROW_TOT_ASSET","FQ2 2018","FQ2 2018","Currency=INR","Period=FQ","BEST_FPERIOD_OVERRIDE=FQ","FILING_STATUS=OR","EQY_CONSOLIDATED=Y","Sort=A","Dates=H","DateFormat=P","Fill=—","Direction=H","UseDPDF=Y")</f>
        <v>#NAME?</v>
      </c>
      <c r="AW125" s="2" t="e">
        <f ca="1">_xll.BDH($C$103,"MODIFIED_WORKING_CPTL_5YR_GRWTH","FQ2 2018","FQ2 2018","Currency=INR","Period=FQ","BEST_FPERIOD_OVERRIDE=FQ","FILING_STATUS=OR","EQY_CONSOLIDATED=Y","Sort=A","Dates=H","DateFormat=P","Fill=—","Direction=H","UseDPDF=Y")</f>
        <v>#NAME?</v>
      </c>
      <c r="AX125" s="2" t="e">
        <f ca="1">_xll.BDH($C$103,"WORKING_CAPITAL_5_YEAR_GROWTH","FQ2 2018","FQ2 2018","Currency=INR","Period=FQ","BEST_FPERIOD_OVERRIDE=FQ","FILING_STATUS=OR","EQY_CONSOLIDATED=Y","Sort=A","Dates=H","DateFormat=P","Fill=—","Direction=H","UseDPDF=Y")</f>
        <v>#NAME?</v>
      </c>
      <c r="AY125" s="2" t="e">
        <f ca="1">_xll.BDH($C$103,"ACCOUNTS_PAYABLE_5_YEAR_GROWTH","FQ2 2018","FQ2 2018","Currency=INR","Period=FQ","BEST_FPERIOD_OVERRIDE=FQ","FILING_STATUS=OR","EQY_CONSOLIDATED=Y","Sort=A","Dates=H","DateFormat=P","Fill=—","Direction=H","UseDPDF=Y")</f>
        <v>#NAME?</v>
      </c>
      <c r="AZ125" s="2" t="e">
        <f ca="1">_xll.BDH($C$103,"SHORT_TERM_DEBT_5_YEAR_GROWTH","FQ2 2018","FQ2 2018","Currency=INR","Period=FQ","BEST_FPERIOD_OVERRIDE=FQ","FILING_STATUS=OR","EQY_CONSOLIDATED=Y","Sort=A","Dates=H","DateFormat=P","Fill=—","Direction=H","UseDPDF=Y")</f>
        <v>#NAME?</v>
      </c>
      <c r="BA125" s="2" t="e">
        <f ca="1">_xll.BDH($C$103,"TOTAL_DEBT_5_YEAR_GROWTH","FQ2 2018","FQ2 2018","Currency=INR","Period=FQ","BEST_FPERIOD_OVERRIDE=FQ","FILING_STATUS=OR","EQY_CONSOLIDATED=Y","Sort=A","Dates=H","DateFormat=P","Fill=—","Direction=H","UseDPDF=Y")</f>
        <v>#NAME?</v>
      </c>
      <c r="BB125" s="2" t="e">
        <f ca="1">_xll.BDH($C$103,"GEO_GROW_TOT_SHRHLDR_EQY","FQ2 2018","FQ2 2018","Currency=INR","Period=FQ","BEST_FPERIOD_OVERRIDE=FQ","FILING_STATUS=OR","EQY_CONSOLIDATED=Y","Sort=A","Dates=H","DateFormat=P","Fill=—","Direction=H","UseDPDF=Y")</f>
        <v>#NAME?</v>
      </c>
      <c r="BC125" s="2" t="e">
        <f ca="1">_xll.BDH($C$103,"TOTAL_CAPITAL_5_YEAR_GROWTH","FQ2 2018","FQ2 2018","Currency=INR","Period=FQ","BEST_FPERIOD_OVERRIDE=FQ","FILING_STATUS=OR","EQY_CONSOLIDATED=Y","Sort=A","Dates=H","DateFormat=P","Fill=—","Direction=H","UseDPDF=Y")</f>
        <v>#NAME?</v>
      </c>
      <c r="BD125" s="2" t="e">
        <f ca="1">_xll.BDH($C$103,"GEO_GROW_BOOK_VAL","FQ2 2018","FQ2 2018","Currency=INR","Period=FQ","BEST_FPERIOD_OVERRIDE=FQ","FILING_STATUS=OR","EQY_CONSOLIDATED=Y","Sort=A","Dates=H","DateFormat=P","Fill=—","Direction=H","UseDPDF=Y")</f>
        <v>#NAME?</v>
      </c>
      <c r="BE125" s="2" t="e">
        <f ca="1">_xll.BDH($C$103,"GEO_GROW_CASH_OPER_ACT","FQ2 2018","FQ2 2018","Currency=INR","Period=FQ","BEST_FPERIOD_OVERRIDE=FQ","FILING_STATUS=OR","EQY_CONSOLIDATED=Y","Sort=A","Dates=H","DateFormat=P","Fill=—","Direction=H","UseDPDF=Y")</f>
        <v>#NAME?</v>
      </c>
      <c r="BF125" s="2" t="e">
        <f ca="1">_xll.BDH($C$103,"REVENUE_SEQUENTIAL_GROWTH","FQ2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25" s="2" t="e">
        <f ca="1">_xll.BDH($C$103,"EBITDA_SEQUENTIAL_GROWTH","FQ2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25" s="2" t="e">
        <f ca="1">_xll.BDH($C$103,"OPERATING_INCOME_SEQ_GROWTH","FQ2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25" s="2" t="e">
        <f ca="1">_xll.BDH($C$103,"NET_INCOME_TO_COMMON_SEQ_GROWTH","FQ2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25" s="2" t="e">
        <f ca="1">_xll.BDH($C$103,"EPS_DILUTED_SEQUENTIAL_GROWTH","FQ2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25" s="2" t="e">
        <f ca="1">_xll.BDH($C$103,"DPS_SEQUENTIAL_GROWTH","FQ2 2018","FQ2 2018","Currency=INR","Period=FQ","BEST_FPERIOD_OVERRIDE=FQ","FILING_STATUS=OR","EQY_CONSOLIDATED=Y","Sort=A","Dates=H","DateFormat=P","Fill=—","Direction=H","UseDPDF=Y")</f>
        <v>#NAME?</v>
      </c>
      <c r="BL125" s="2" t="e">
        <f ca="1">_xll.BDH($C$103,"ACCOUNTS_RECEIVABLE_SEQ_GROWTH","FQ2 2018","FQ2 2018","Currency=INR","Period=FQ","BEST_FPERIOD_OVERRIDE=FQ","FILING_STATUS=OR","EQY_CONSOLIDATED=Y","Sort=A","Dates=H","DateFormat=P","Fill=—","Direction=H","UseDPDF=Y")</f>
        <v>#NAME?</v>
      </c>
      <c r="BM125" s="2" t="e">
        <f ca="1">_xll.BDH($C$103,"INVENTORY_SEQUENTIAL_GROWTH","FQ2 2018","FQ2 2018","Currency=INR","Period=FQ","BEST_FPERIOD_OVERRIDE=FQ","FILING_STATUS=OR","EQY_CONSOLIDATED=Y","Sort=A","Dates=H","DateFormat=P","Fill=—","Direction=H","UseDPDF=Y")</f>
        <v>#NAME?</v>
      </c>
      <c r="BN125" s="2" t="e">
        <f ca="1">_xll.BDH($C$103,"FIXED_ASSETS_SEQUENTIAL_GROWTH","FQ2 2018","FQ2 2018","Currency=INR","Period=FQ","BEST_FPERIOD_OVERRIDE=FQ","FILING_STATUS=OR","EQY_CONSOLIDATED=Y","Sort=A","Dates=H","DateFormat=P","Fill=—","Direction=H","UseDPDF=Y")</f>
        <v>#NAME?</v>
      </c>
      <c r="BO125" s="2" t="e">
        <f ca="1">_xll.BDH($C$103,"TOTAL_ASSETS_SEQUENTIAL_GROWTH","FQ2 2018","FQ2 2018","Currency=INR","Period=FQ","BEST_FPERIOD_OVERRIDE=FQ","FILING_STATUS=OR","EQY_CONSOLIDATED=Y","Sort=A","Dates=H","DateFormat=P","Fill=—","Direction=H","UseDPDF=Y")</f>
        <v>#NAME?</v>
      </c>
      <c r="BP125" s="2" t="e">
        <f ca="1">_xll.BDH($C$103,"MODIFIED_WORKING_CPTL_SEQ_GRWTH","FQ2 2018","FQ2 2018","Currency=INR","Period=FQ","BEST_FPERIOD_OVERRIDE=FQ","FILING_STATUS=OR","EQY_CONSOLIDATED=Y","Sort=A","Dates=H","DateFormat=P","Fill=—","Direction=H","UseDPDF=Y")</f>
        <v>#NAME?</v>
      </c>
      <c r="BQ125" s="2" t="e">
        <f ca="1">_xll.BDH($C$103,"WORKING_CAPITAL_SEQ_GROWTH","FQ2 2018","FQ2 2018","Currency=INR","Period=FQ","BEST_FPERIOD_OVERRIDE=FQ","FILING_STATUS=OR","EQY_CONSOLIDATED=Y","Sort=A","Dates=H","DateFormat=P","Fill=—","Direction=H","UseDPDF=Y")</f>
        <v>#NAME?</v>
      </c>
      <c r="BR125" s="2" t="e">
        <f ca="1">_xll.BDH($C$103,"ACCOUNTS_PAYABLE_SEQ_GROWTH","FQ2 2018","FQ2 2018","Currency=INR","Period=FQ","BEST_FPERIOD_OVERRIDE=FQ","FILING_STATUS=OR","EQY_CONSOLIDATED=Y","Sort=A","Dates=H","DateFormat=P","Fill=—","Direction=H","UseDPDF=Y")</f>
        <v>#NAME?</v>
      </c>
      <c r="BS125" s="2" t="e">
        <f ca="1">_xll.BDH($C$103,"ST_DEBT_SEQUENTIAL_GROWTH","FQ2 2018","FQ2 2018","Currency=INR","Period=FQ","BEST_FPERIOD_OVERRIDE=FQ","FILING_STATUS=OR","EQY_CONSOLIDATED=Y","Sort=A","Dates=H","DateFormat=P","Fill=—","Direction=H","UseDPDF=Y")</f>
        <v>#NAME?</v>
      </c>
      <c r="BT125" s="2" t="e">
        <f ca="1">_xll.BDH($C$103,"TOTAL_DEBT_SEQUENTIAL_GROWTH","FQ2 2018","FQ2 2018","Currency=INR","Period=FQ","BEST_FPERIOD_OVERRIDE=FQ","FILING_STATUS=OR","EQY_CONSOLIDATED=Y","Sort=A","Dates=H","DateFormat=P","Fill=—","Direction=H","UseDPDF=Y")</f>
        <v>#NAME?</v>
      </c>
      <c r="BU125" s="2" t="e">
        <f ca="1">_xll.BDH($C$103,"TOTAL_EQUITY_SEQUENTIAL_GROWTH","FQ2 2018","FQ2 2018","Currency=INR","Period=FQ","BEST_FPERIOD_OVERRIDE=FQ","FILING_STATUS=OR","EQY_CONSOLIDATED=Y","Sort=A","Dates=H","DateFormat=P","Fill=—","Direction=H","UseDPDF=Y")</f>
        <v>#NAME?</v>
      </c>
      <c r="BV125" s="2" t="e">
        <f ca="1">_xll.BDH($C$103,"TOTAL_CAPITAL_SEQUENTIAL_GROWTH","FQ2 2018","FQ2 2018","Currency=INR","Period=FQ","BEST_FPERIOD_OVERRIDE=FQ","FILING_STATUS=OR","EQY_CONSOLIDATED=Y","Sort=A","Dates=H","DateFormat=P","Fill=—","Direction=H","UseDPDF=Y")</f>
        <v>#NAME?</v>
      </c>
      <c r="BW125" s="2" t="e">
        <f ca="1">_xll.BDH($C$103,"BPS_SEQUENTIAL_GROWTH","FQ2 2018","FQ2 2018","Currency=INR","Period=FQ","BEST_FPERIOD_OVERRIDE=FQ","FILING_STATUS=OR","EQY_CONSOLIDATED=Y","Sort=A","Dates=H","DateFormat=P","Fill=—","Direction=H","UseDPDF=Y")</f>
        <v>#NAME?</v>
      </c>
      <c r="BX125" s="2" t="e">
        <f ca="1">_xll.BDH($C$103,"CFO_SEQUENTIAL_GROWTH","FQ2 2018","FQ2 2018","Currency=INR","Period=FQ","BEST_FPERIOD_OVERRIDE=FQ","FILING_STATUS=OR","EQY_CONSOLIDATED=Y","Sort=A","Dates=H","DateFormat=P","Fill=—","Direction=H","UseDPDF=Y")</f>
        <v>#NAME?</v>
      </c>
      <c r="BY125" s="3" t="e">
        <f ca="1">_xll.BDH($C$103,"SHORT_AND_LONG_TERM_DEBT","FQ2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25" s="3" t="e">
        <f ca="1">_xll.BDH($C$103,"BS_ST_BORROW","FQ2 2018","FQ2 2018","Currency=INR","Period=FQ","BEST_FPERIOD_OVERRIDE=FQ","FILING_STATUS=OR","EQY_CONSOLIDATED=Y","SCALING_FORMAT=MLN","Sort=A","Dates=H","DateFormat=P","Fill=—","Direction=H","UseDPDF=Y")</f>
        <v>#NAME?</v>
      </c>
      <c r="CA125" s="3" t="e">
        <f ca="1">_xll.BDH($C$103,"BS_LT_BORROW","FQ2 2018","FQ2 2018","Currency=INR","Period=FQ","BEST_FPERIOD_OVERRIDE=FQ","FILING_STATUS=OR","EQY_CONSOLIDATED=Y","SCALING_FORMAT=MLN","Sort=A","Dates=H","DateFormat=P","Fill=—","Direction=H","UseDPDF=Y")</f>
        <v>#NAME?</v>
      </c>
      <c r="CB125" s="2" t="e">
        <f ca="1">_xll.BDH($C$103,"TOT_DEBT_TO_EBITDA","FQ2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25" s="2" t="e">
        <f ca="1">_xll.BDH($C$103,"NET_DEBT_TO_EBITDA","FQ2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25" s="2" t="e">
        <f ca="1">_xll.BDH($C$103,"TOTAL_DEBT_TO_EBIT","FQ2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25" s="2" t="e">
        <f ca="1">_xll.BDH($C$103,"NET_DEBT_TO_EBIT","FQ2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25" s="2" t="e">
        <f ca="1">_xll.BDH($C$103,"EBITDA_TO_INTEREST_EXPN","FQ2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25" s="2" t="e">
        <f ca="1">_xll.BDH($C$103,"COM_EQY_TO_TOT_ASSET","FQ2 2018","FQ2 2018","Currency=INR","Period=FQ","BEST_FPERIOD_OVERRIDE=FQ","FILING_STATUS=OR","EQY_CONSOLIDATED=Y","Sort=A","Dates=H","DateFormat=P","Fill=—","Direction=H","UseDPDF=Y")</f>
        <v>#NAME?</v>
      </c>
      <c r="CH125" s="2" t="e">
        <f ca="1">_xll.BDH($C$103,"LT_DEBT_TO_TOT_EQY","FQ2 2018","FQ2 2018","Currency=INR","Period=FQ","BEST_FPERIOD_OVERRIDE=FQ","FILING_STATUS=OR","EQY_CONSOLIDATED=Y","Sort=A","Dates=H","DateFormat=P","Fill=—","Direction=H","UseDPDF=Y")</f>
        <v>#NAME?</v>
      </c>
      <c r="CI125" s="2" t="e">
        <f ca="1">_xll.BDH($C$103,"LT_DEBT_TO_TOT_CAP","FQ2 2018","FQ2 2018","Currency=INR","Period=FQ","BEST_FPERIOD_OVERRIDE=FQ","FILING_STATUS=OR","EQY_CONSOLIDATED=Y","Sort=A","Dates=H","DateFormat=P","Fill=—","Direction=H","UseDPDF=Y")</f>
        <v>#NAME?</v>
      </c>
      <c r="CJ125" s="2" t="e">
        <f ca="1">_xll.BDH($C$103,"LT_DEBT_TO_TOT_ASSET","FQ2 2018","FQ2 2018","Currency=INR","Period=FQ","BEST_FPERIOD_OVERRIDE=FQ","FILING_STATUS=OR","EQY_CONSOLIDATED=Y","Sort=A","Dates=H","DateFormat=P","Fill=—","Direction=H","UseDPDF=Y")</f>
        <v>#NAME?</v>
      </c>
      <c r="CK125" s="2" t="e">
        <f ca="1">_xll.BDH($C$103,"TOT_DEBT_TO_TOT_EQY","FQ2 2018","FQ2 2018","Currency=INR","Period=FQ","BEST_FPERIOD_OVERRIDE=FQ","FILING_STATUS=OR","EQY_CONSOLIDATED=Y","Sort=A","Dates=H","DateFormat=P","Fill=—","Direction=H","UseDPDF=Y")</f>
        <v>#NAME?</v>
      </c>
      <c r="CL125" s="2" t="e">
        <f ca="1">_xll.BDH($C$103,"TOT_DEBT_TO_TOT_CAP","FQ2 2018","FQ2 2018","Currency=INR","Period=FQ","BEST_FPERIOD_OVERRIDE=FQ","FILING_STATUS=OR","EQY_CONSOLIDATED=Y","Sort=A","Dates=H","DateFormat=P","Fill=—","Direction=H","UseDPDF=Y")</f>
        <v>#NAME?</v>
      </c>
      <c r="CM125" s="2" t="e">
        <f ca="1">_xll.BDH($C$103,"TOT_DEBT_TO_TOT_ASSET","FQ2 2018","FQ2 2018","Currency=INR","Period=FQ","BEST_FPERIOD_OVERRIDE=FQ","FILING_STATUS=OR","EQY_CONSOLIDATED=Y","Sort=A","Dates=H","DateFormat=P","Fill=—","Direction=H","UseDPDF=Y")</f>
        <v>#NAME?</v>
      </c>
      <c r="CN125" s="2" t="e">
        <f ca="1">_xll.BDH($C$103,"NET_DEBT_TO_SHRHLDR_EQTY","FQ2 2018","FQ2 2018","Currency=INR","Period=FQ","BEST_FPERIOD_OVERRIDE=FQ","FILING_STATUS=OR","EQY_CONSOLIDATED=Y","Sort=A","Dates=H","DateFormat=P","Fill=—","Direction=H","UseDPDF=Y")</f>
        <v>#NAME?</v>
      </c>
      <c r="CO125" s="2" t="e">
        <f ca="1">_xll.BDH($C$103,"NET_DEBT_%_CAPITAL","FQ2 2018","FQ2 2018","Currency=INR","Period=FQ","BEST_FPERIOD_OVERRIDE=FQ","FILING_STATUS=OR","EQY_CONSOLIDATED=Y","Sort=A","Dates=H","DateFormat=P","Fill=—","Direction=H","UseDPDF=Y")</f>
        <v>#NAME?</v>
      </c>
      <c r="CP125" s="3" t="e">
        <f ca="1">_xll.BDH($C$103,"EBITDA","FQ2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25" s="3" t="e">
        <f ca="1">_xll.BDH($C$103,"EBITDA_AFTER_CAPEX","FQ2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25" s="3" t="e">
        <f ca="1">_xll.BDH($C$103,"IS_OPER_INC","FQ2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25" s="2" t="e">
        <f ca="1">_xll.BDH($C$103,"CASH_RATIO","FQ2 2018","FQ2 2018","Currency=INR","Period=FQ","BEST_FPERIOD_OVERRIDE=FQ","FILING_STATUS=OR","EQY_CONSOLIDATED=Y","Sort=A","Dates=H","DateFormat=P","Fill=—","Direction=H","UseDPDF=Y")</f>
        <v>#NAME?</v>
      </c>
      <c r="CT125" s="2" t="e">
        <f ca="1">_xll.BDH($C$103,"CUR_RATIO","FQ2 2018","FQ2 2018","Currency=INR","Period=FQ","BEST_FPERIOD_OVERRIDE=FQ","FILING_STATUS=OR","EQY_CONSOLIDATED=Y","Sort=A","Dates=H","DateFormat=P","Fill=—","Direction=H","UseDPDF=Y")</f>
        <v>#NAME?</v>
      </c>
      <c r="CU125" s="2" t="e">
        <f ca="1">_xll.BDH($C$103,"QUICK_RATIO","FQ2 2018","FQ2 2018","Currency=INR","Period=FQ","BEST_FPERIOD_OVERRIDE=FQ","FILING_STATUS=OR","EQY_CONSOLIDATED=Y","Sort=A","Dates=H","DateFormat=P","Fill=—","Direction=H","UseDPDF=Y")</f>
        <v>#NAME?</v>
      </c>
      <c r="CV125" s="2" t="e">
        <f ca="1">_xll.BDH($C$103,"ALTMAN_Z_SCORE","FQ2 2018","FQ2 2018","Currency=INR","Period=FQ","BEST_FPERIOD_OVERRIDE=FQ","FILING_STATUS=OR","EQY_CONSOLIDATED=Y","Sort=A","Dates=H","DateFormat=P","Fill=—","Direction=H","UseDPDF=Y")</f>
        <v>#NAME?</v>
      </c>
      <c r="CW125" s="4" t="e">
        <f ca="1">_xll.BDH($C$103,"ACCT_RCV_TURN","FQ2 2018","FQ2 2018","Currency=INR","Period=FQ","BEST_FPERIOD_OVERRIDE=FQ","FILING_STATUS=OR","EQY_CONSOLIDATED=Y","FA_ADJUSTED=GAAP","Sort=A","Dates=H","DateFormat=P","Fill=—","Direction=H","UseDPDF=Y")</f>
        <v>#NAME?</v>
      </c>
      <c r="CX125" s="2" t="e">
        <f ca="1">_xll.BDH($C$103,"ACCT_RCV_DAYS","FQ2 2018","FQ2 2018","Currency=INR","Period=FQ","BEST_FPERIOD_OVERRIDE=FQ","FILING_STATUS=OR","EQY_CONSOLIDATED=Y","FA_ADJUSTED=GAAP","Sort=A","Dates=H","DateFormat=P","Fill=—","Direction=H","UseDPDF=Y")</f>
        <v>#NAME?</v>
      </c>
      <c r="CY125" s="4" t="e">
        <f ca="1">_xll.BDH($C$103,"INVENT_TURN","FQ2 2018","FQ2 2018","Currency=INR","Period=FQ","BEST_FPERIOD_OVERRIDE=FQ","FILING_STATUS=OR","EQY_CONSOLIDATED=Y","FA_ADJUSTED=GAAP","Sort=A","Dates=H","DateFormat=P","Fill=—","Direction=H","UseDPDF=Y")</f>
        <v>#NAME?</v>
      </c>
      <c r="CZ125" s="2" t="e">
        <f ca="1">_xll.BDH($C$103,"INVENT_DAYS","FQ2 2018","FQ2 2018","Currency=INR","Period=FQ","BEST_FPERIOD_OVERRIDE=FQ","FILING_STATUS=OR","EQY_CONSOLIDATED=Y","FA_ADJUSTED=GAAP","Sort=A","Dates=H","DateFormat=P","Fill=—","Direction=H","UseDPDF=Y")</f>
        <v>#NAME?</v>
      </c>
      <c r="DA125" s="4" t="e">
        <f ca="1">_xll.BDH($C$103,"ACCOUNTS_PAYABLE_TURNOVER","FQ2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25" s="2" t="e">
        <f ca="1">_xll.BDH($C$103,"ACCOUNTS_PAYABLE_TURNOVER_DAYS","FQ2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25" s="4" t="e">
        <f ca="1">_xll.BDH($C$103,"CASH_CONVERSION_CYCLE","FQ2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25" s="4" t="e">
        <f ca="1">_xll.BDH($C$103,"INV_TO_CASH_DAYS","FQ2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25" s="5" t="e">
        <f ca="1">_xll.BDH($C$103,"BS_INVENTORIES","FQ2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25" s="3" t="e">
        <f ca="1">_xll.BDH($C$103,"INVTRY_RAW_MATERIALS","FQ2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25" s="3" t="e">
        <f ca="1">_xll.BDH($C$103,"INVTRY_IN_PROGRESS","FQ2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25" s="3" t="e">
        <f ca="1">_xll.BDH($C$103,"INVTRY_FINISHED_GOODS","FQ2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25" s="3" t="e">
        <f ca="1">_xll.BDH($C$103,"BS_OTHER_INV","FQ2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26" spans="1:113" x14ac:dyDescent="0.3">
      <c r="A126" s="6"/>
      <c r="B126" s="6"/>
      <c r="C126" s="6"/>
      <c r="D126" s="6"/>
      <c r="E126" t="s">
        <v>80</v>
      </c>
      <c r="F126" t="e">
        <f ca="1">_xll.BDH($C$103,"RETURN_COM_EQY","FQ3 2018","FQ3 2018","Currency=INR","Period=FQ","BEST_FPERIOD_OVERRIDE=FQ","FILING_STATUS=OR","EQY_CONSOLIDATED=Y","FA_ADJUSTED=GAAP","Sort=A","Dates=H","DateFormat=P","Fill=—","Direction=H","UseDPDF=Y")</f>
        <v>#NAME?</v>
      </c>
      <c r="G126" t="e">
        <f ca="1">_xll.BDH($C$103,"RETURN_ON_ASSET","FQ3 2018","FQ3 2018","Currency=INR","Period=FQ","BEST_FPERIOD_OVERRIDE=FQ","FILING_STATUS=OR","EQY_CONSOLIDATED=Y","FA_ADJUSTED=GAAP","Sort=A","Dates=H","DateFormat=P","Fill=—","Direction=H","UseDPDF=Y")</f>
        <v>#NAME?</v>
      </c>
      <c r="H126" t="e">
        <f ca="1">_xll.BDH($C$103,"RETURN_ON_CAP","FQ3 2018","FQ3 2018","Currency=INR","Period=FQ","BEST_FPERIOD_OVERRIDE=FQ","FILING_STATUS=OR","EQY_CONSOLIDATED=Y","FA_ADJUSTED=GAAP","Sort=A","Dates=H","DateFormat=P","Fill=—","Direction=H","UseDPDF=Y")</f>
        <v>#NAME?</v>
      </c>
      <c r="I126" t="e">
        <f ca="1">_xll.BDH($C$103,"RETURN_ON_INV_CAPITAL","FQ3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26" t="e">
        <f ca="1">_xll.BDH($C$103,"EBITDA_TO_REVENUE","FQ3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26" t="e">
        <f ca="1">_xll.BDH($C$103,"OPER_MARGIN","FQ3 2018","FQ3 2018","Currency=INR","Period=FQ","BEST_FPERIOD_OVERRIDE=FQ","FILING_STATUS=OR","EQY_CONSOLIDATED=Y","FA_ADJUSTED=GAAP","Sort=A","Dates=H","DateFormat=P","Fill=—","Direction=H","UseDPDF=Y")</f>
        <v>#NAME?</v>
      </c>
      <c r="L126" t="e">
        <f ca="1">_xll.BDH($C$103,"INCREMENTAL_OPERATING_MARGIN","FQ3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26" t="e">
        <f ca="1">_xll.BDH($C$103,"PRETAX_INC_TO_NET_SALES","FQ3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26" t="e">
        <f ca="1">_xll.BDH($C$103,"INC_BEF_XO_ITEMS_TO_NET_SALES","FQ3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26" t="e">
        <f ca="1">_xll.BDH($C$103,"PROF_MARGIN","FQ3 2018","FQ3 2018","Currency=INR","Period=FQ","BEST_FPERIOD_OVERRIDE=FQ","FILING_STATUS=OR","EQY_CONSOLIDATED=Y","FA_ADJUSTED=GAAP","Sort=A","Dates=H","DateFormat=P","Fill=—","Direction=H","UseDPDF=Y")</f>
        <v>#NAME?</v>
      </c>
      <c r="P126" t="e">
        <f ca="1">_xll.BDH($C$103,"NET_INCOME_TO_COMMON_MARGIN","FQ3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26" t="e">
        <f ca="1">_xll.BDH($C$103,"EFF_TAX_RATE","FQ3 2018","FQ3 2018","Currency=INR","Period=FQ","BEST_FPERIOD_OVERRIDE=FQ","FILING_STATUS=OR","EQY_CONSOLIDATED=Y","FA_ADJUSTED=GAAP","Sort=A","Dates=H","DateFormat=P","Fill=—","Direction=H","UseDPDF=Y")</f>
        <v>#NAME?</v>
      </c>
      <c r="R126" t="e">
        <f ca="1">_xll.BDH($C$103,"DVD_PAYOUT_RATIO","FQ3 2018","FQ3 2018","Currency=INR","Period=FQ","BEST_FPERIOD_OVERRIDE=FQ","FILING_STATUS=OR","EQY_CONSOLIDATED=Y","FA_ADJUSTED=GAAP","Sort=A","Dates=H","DateFormat=P","Fill=—","Direction=H","UseDPDF=Y")</f>
        <v>#NAME?</v>
      </c>
      <c r="S126" t="e">
        <f ca="1">_xll.BDH($C$103,"SUSTAIN_GROWTH_RT","FQ3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26" s="2" t="e">
        <f ca="1">_xll.BDH($C$103,"SALES_GROWTH","FQ3 2018","FQ3 2018","Currency=INR","Period=FQ","BEST_FPERIOD_OVERRIDE=FQ","FILING_STATUS=OR","EQY_CONSOLIDATED=Y","FA_ADJUSTED=GAAP","Sort=A","Dates=H","DateFormat=P","Fill=—","Direction=H","UseDPDF=Y")</f>
        <v>#NAME?</v>
      </c>
      <c r="U126" s="2" t="e">
        <f ca="1">_xll.BDH($C$103,"EBITDA_GROWTH","FQ3 2018","FQ3 2018","Currency=INR","Period=FQ","BEST_FPERIOD_OVERRIDE=FQ","FILING_STATUS=OR","EQY_CONSOLIDATED=Y","FA_ADJUSTED=GAAP","Sort=A","Dates=H","DateFormat=P","Fill=—","Direction=H","UseDPDF=Y")</f>
        <v>#NAME?</v>
      </c>
      <c r="V126" s="2" t="e">
        <f ca="1">_xll.BDH($C$103,"OPER_INC_GROWTH","FQ3 2018","FQ3 2018","Currency=INR","Period=FQ","BEST_FPERIOD_OVERRIDE=FQ","FILING_STATUS=OR","EQY_CONSOLIDATED=Y","FA_ADJUSTED=GAAP","Sort=A","Dates=H","DateFormat=P","Fill=—","Direction=H","UseDPDF=Y")</f>
        <v>#NAME?</v>
      </c>
      <c r="W126" s="2" t="e">
        <f ca="1">_xll.BDH($C$103,"EARN_FOR_COM_GROWTH","FQ3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26" s="2" t="e">
        <f ca="1">_xll.BDH($C$103,"DILUTED_EPS_AFT_XO_ITEMS_GROWTH","FQ3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26" s="2" t="e">
        <f ca="1">_xll.BDH($C$103,"DIVIDEND_PER_SHARE_1_YEAR_GROWTH","FQ3 2018","FQ3 2018","Currency=INR","Period=FQ","BEST_FPERIOD_OVERRIDE=FQ","FILING_STATUS=OR","EQY_CONSOLIDATED=Y","Sort=A","Dates=H","DateFormat=P","Fill=—","Direction=H","UseDPDF=Y")</f>
        <v>#NAME?</v>
      </c>
      <c r="Z126" s="2" t="e">
        <f ca="1">_xll.BDH($C$103,"ACCOUNTS_RECEIVABLE_GROWTH","FQ3 2018","FQ3 2018","Currency=INR","Period=FQ","BEST_FPERIOD_OVERRIDE=FQ","FILING_STATUS=OR","EQY_CONSOLIDATED=Y","Sort=A","Dates=H","DateFormat=P","Fill=—","Direction=H","UseDPDF=Y")</f>
        <v>#NAME?</v>
      </c>
      <c r="AA126" s="2" t="e">
        <f ca="1">_xll.BDH($C$103,"INVENTORY_GROWTH","FQ3 2018","FQ3 2018","Currency=INR","Period=FQ","BEST_FPERIOD_OVERRIDE=FQ","FILING_STATUS=OR","EQY_CONSOLIDATED=Y","Sort=A","Dates=H","DateFormat=P","Fill=—","Direction=H","UseDPDF=Y")</f>
        <v>#NAME?</v>
      </c>
      <c r="AB126" s="2" t="e">
        <f ca="1">_xll.BDH($C$103,"NET_FIXED_ASSETS_1_YEAR_GROWTH","FQ3 2018","FQ3 2018","Currency=INR","Period=FQ","BEST_FPERIOD_OVERRIDE=FQ","FILING_STATUS=OR","EQY_CONSOLIDATED=Y","Sort=A","Dates=H","DateFormat=P","Fill=—","Direction=H","UseDPDF=Y")</f>
        <v>#NAME?</v>
      </c>
      <c r="AC126" s="2" t="e">
        <f ca="1">_xll.BDH($C$103,"ASSET_GROWTH","FQ3 2018","FQ3 2018","Currency=INR","Period=FQ","BEST_FPERIOD_OVERRIDE=FQ","FILING_STATUS=OR","EQY_CONSOLIDATED=Y","Sort=A","Dates=H","DateFormat=P","Fill=—","Direction=H","UseDPDF=Y")</f>
        <v>#NAME?</v>
      </c>
      <c r="AD126" s="2" t="e">
        <f ca="1">_xll.BDH($C$103,"MODIFIED_WORK_CAP_GROWTH","FQ3 2018","FQ3 2018","Currency=INR","Period=FQ","BEST_FPERIOD_OVERRIDE=FQ","FILING_STATUS=OR","EQY_CONSOLIDATED=Y","Sort=A","Dates=H","DateFormat=P","Fill=—","Direction=H","UseDPDF=Y")</f>
        <v>#NAME?</v>
      </c>
      <c r="AE126" s="2" t="e">
        <f ca="1">_xll.BDH($C$103,"WORK_CAP_GROWTH","FQ3 2018","FQ3 2018","Currency=INR","Period=FQ","BEST_FPERIOD_OVERRIDE=FQ","FILING_STATUS=OR","EQY_CONSOLIDATED=Y","Sort=A","Dates=H","DateFormat=P","Fill=—","Direction=H","UseDPDF=Y")</f>
        <v>#NAME?</v>
      </c>
      <c r="AF126" s="2" t="e">
        <f ca="1">_xll.BDH($C$103,"ACCOUNTS_PAYABLE_GROWTH_1YR","FQ3 2018","FQ3 2018","Currency=INR","Period=FQ","BEST_FPERIOD_OVERRIDE=FQ","FILING_STATUS=OR","EQY_CONSOLIDATED=Y","Sort=A","Dates=H","DateFormat=P","Fill=—","Direction=H","UseDPDF=Y")</f>
        <v>#NAME?</v>
      </c>
      <c r="AG126" s="2" t="e">
        <f ca="1">_xll.BDH($C$103,"SHORT_TERM_DEBT_1_YEAR_GROWTH","FQ3 2018","FQ3 2018","Currency=INR","Period=FQ","BEST_FPERIOD_OVERRIDE=FQ","FILING_STATUS=OR","EQY_CONSOLIDATED=Y","Sort=A","Dates=H","DateFormat=P","Fill=—","Direction=H","UseDPDF=Y")</f>
        <v>#NAME?</v>
      </c>
      <c r="AH126" s="2" t="e">
        <f ca="1">_xll.BDH($C$103,"TOTAL_DEBT_1_YEAR_GROWTH","FQ3 2018","FQ3 2018","Currency=INR","Period=FQ","BEST_FPERIOD_OVERRIDE=FQ","FILING_STATUS=OR","EQY_CONSOLIDATED=Y","Sort=A","Dates=H","DateFormat=P","Fill=—","Direction=H","UseDPDF=Y")</f>
        <v>#NAME?</v>
      </c>
      <c r="AI126" s="2" t="e">
        <f ca="1">_xll.BDH($C$103,"TOTAL_EQUITY_1_YEAR_GROWTH","FQ3 2018","FQ3 2018","Currency=INR","Period=FQ","BEST_FPERIOD_OVERRIDE=FQ","FILING_STATUS=OR","EQY_CONSOLIDATED=Y","Sort=A","Dates=H","DateFormat=P","Fill=—","Direction=H","UseDPDF=Y")</f>
        <v>#NAME?</v>
      </c>
      <c r="AJ126" s="2" t="e">
        <f ca="1">_xll.BDH($C$103,"GROWTH_IN_CAP","FQ3 2018","FQ3 2018","Currency=INR","Period=FQ","BEST_FPERIOD_OVERRIDE=FQ","FILING_STATUS=OR","EQY_CONSOLIDATED=Y","Sort=A","Dates=H","DateFormat=P","Fill=—","Direction=H","UseDPDF=Y")</f>
        <v>#NAME?</v>
      </c>
      <c r="AK126" s="2" t="e">
        <f ca="1">_xll.BDH($C$103,"BVPS_GROWTH","FQ3 2018","FQ3 2018","Currency=INR","Period=FQ","BEST_FPERIOD_OVERRIDE=FQ","FILING_STATUS=OR","EQY_CONSOLIDATED=Y","Sort=A","Dates=H","DateFormat=P","Fill=—","Direction=H","UseDPDF=Y")</f>
        <v>#NAME?</v>
      </c>
      <c r="AL126" s="2" t="e">
        <f ca="1">_xll.BDH($C$103,"CASH_FLOW_GROWTH","FQ3 2018","FQ3 2018","Currency=INR","Period=FQ","BEST_FPERIOD_OVERRIDE=FQ","FILING_STATUS=OR","EQY_CONSOLIDATED=Y","Sort=A","Dates=H","DateFormat=P","Fill=—","Direction=H","UseDPDF=Y")</f>
        <v>#NAME?</v>
      </c>
      <c r="AM126" s="2" t="e">
        <f ca="1">_xll.BDH($C$103,"GEO_GROW_NET_SALES","FQ3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26" s="2" t="e">
        <f ca="1">_xll.BDH($C$103,"GEO_GROW_EBITDA","FQ3 2018","FQ3 2018","Currency=INR","Period=FQ","BEST_FPERIOD_OVERRIDE=FQ","FILING_STATUS=OR","EQY_CONSOLIDATED=Y","FA_ADJUSTED=GAAP","Sort=A","Dates=H","DateFormat=P","Fill=—","Direction=H","UseDPDF=Y")</f>
        <v>#NAME?</v>
      </c>
      <c r="AO126" s="2" t="e">
        <f ca="1">_xll.BDH($C$103,"GEO_GROW_OPER_INC","FQ3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26" s="2" t="e">
        <f ca="1">_xll.BDH($C$103,"NET_INCOME_TO_COMMON_5_YR_GROWTH","FQ3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26" s="2" t="e">
        <f ca="1">_xll.BDH($C$103,"5Y_GEO_GROWTH_DILUTED_EPS","FQ3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26" s="2" t="e">
        <f ca="1">_xll.BDH($C$103,"GEO_GROW_DVD_PER_SH","FQ3 2018","FQ3 2018","Currency=INR","Period=FQ","BEST_FPERIOD_OVERRIDE=FQ","FILING_STATUS=OR","EQY_CONSOLIDATED=Y","Sort=A","Dates=H","DateFormat=P","Fill=—","Direction=H","UseDPDF=Y")</f>
        <v>#NAME?</v>
      </c>
      <c r="AS126" s="2" t="e">
        <f ca="1">_xll.BDH($C$103,"ACCOUNTS_RECEIVABLE_5_YR_GROWTH","FQ3 2018","FQ3 2018","Currency=INR","Period=FQ","BEST_FPERIOD_OVERRIDE=FQ","FILING_STATUS=OR","EQY_CONSOLIDATED=Y","Sort=A","Dates=H","DateFormat=P","Fill=—","Direction=H","UseDPDF=Y")</f>
        <v>#NAME?</v>
      </c>
      <c r="AT126" s="2" t="e">
        <f ca="1">_xll.BDH($C$103,"INVENTORY_5_YEAR_GROWTH","FQ3 2018","FQ3 2018","Currency=INR","Period=FQ","BEST_FPERIOD_OVERRIDE=FQ","FILING_STATUS=OR","EQY_CONSOLIDATED=Y","Sort=A","Dates=H","DateFormat=P","Fill=—","Direction=H","UseDPDF=Y")</f>
        <v>#NAME?</v>
      </c>
      <c r="AU126" s="2" t="e">
        <f ca="1">_xll.BDH($C$103,"NET_FIXED_ASSETS_5_YEAR_GROWTH","FQ3 2018","FQ3 2018","Currency=INR","Period=FQ","BEST_FPERIOD_OVERRIDE=FQ","FILING_STATUS=OR","EQY_CONSOLIDATED=Y","Sort=A","Dates=H","DateFormat=P","Fill=—","Direction=H","UseDPDF=Y")</f>
        <v>#NAME?</v>
      </c>
      <c r="AV126" s="2" t="e">
        <f ca="1">_xll.BDH($C$103,"GEO_GROW_TOT_ASSET","FQ3 2018","FQ3 2018","Currency=INR","Period=FQ","BEST_FPERIOD_OVERRIDE=FQ","FILING_STATUS=OR","EQY_CONSOLIDATED=Y","Sort=A","Dates=H","DateFormat=P","Fill=—","Direction=H","UseDPDF=Y")</f>
        <v>#NAME?</v>
      </c>
      <c r="AW126" s="2" t="e">
        <f ca="1">_xll.BDH($C$103,"MODIFIED_WORKING_CPTL_5YR_GRWTH","FQ3 2018","FQ3 2018","Currency=INR","Period=FQ","BEST_FPERIOD_OVERRIDE=FQ","FILING_STATUS=OR","EQY_CONSOLIDATED=Y","Sort=A","Dates=H","DateFormat=P","Fill=—","Direction=H","UseDPDF=Y")</f>
        <v>#NAME?</v>
      </c>
      <c r="AX126" s="2" t="e">
        <f ca="1">_xll.BDH($C$103,"WORKING_CAPITAL_5_YEAR_GROWTH","FQ3 2018","FQ3 2018","Currency=INR","Period=FQ","BEST_FPERIOD_OVERRIDE=FQ","FILING_STATUS=OR","EQY_CONSOLIDATED=Y","Sort=A","Dates=H","DateFormat=P","Fill=—","Direction=H","UseDPDF=Y")</f>
        <v>#NAME?</v>
      </c>
      <c r="AY126" s="2" t="e">
        <f ca="1">_xll.BDH($C$103,"ACCOUNTS_PAYABLE_5_YEAR_GROWTH","FQ3 2018","FQ3 2018","Currency=INR","Period=FQ","BEST_FPERIOD_OVERRIDE=FQ","FILING_STATUS=OR","EQY_CONSOLIDATED=Y","Sort=A","Dates=H","DateFormat=P","Fill=—","Direction=H","UseDPDF=Y")</f>
        <v>#NAME?</v>
      </c>
      <c r="AZ126" s="2" t="e">
        <f ca="1">_xll.BDH($C$103,"SHORT_TERM_DEBT_5_YEAR_GROWTH","FQ3 2018","FQ3 2018","Currency=INR","Period=FQ","BEST_FPERIOD_OVERRIDE=FQ","FILING_STATUS=OR","EQY_CONSOLIDATED=Y","Sort=A","Dates=H","DateFormat=P","Fill=—","Direction=H","UseDPDF=Y")</f>
        <v>#NAME?</v>
      </c>
      <c r="BA126" s="2" t="e">
        <f ca="1">_xll.BDH($C$103,"TOTAL_DEBT_5_YEAR_GROWTH","FQ3 2018","FQ3 2018","Currency=INR","Period=FQ","BEST_FPERIOD_OVERRIDE=FQ","FILING_STATUS=OR","EQY_CONSOLIDATED=Y","Sort=A","Dates=H","DateFormat=P","Fill=—","Direction=H","UseDPDF=Y")</f>
        <v>#NAME?</v>
      </c>
      <c r="BB126" s="2" t="e">
        <f ca="1">_xll.BDH($C$103,"GEO_GROW_TOT_SHRHLDR_EQY","FQ3 2018","FQ3 2018","Currency=INR","Period=FQ","BEST_FPERIOD_OVERRIDE=FQ","FILING_STATUS=OR","EQY_CONSOLIDATED=Y","Sort=A","Dates=H","DateFormat=P","Fill=—","Direction=H","UseDPDF=Y")</f>
        <v>#NAME?</v>
      </c>
      <c r="BC126" s="2" t="e">
        <f ca="1">_xll.BDH($C$103,"TOTAL_CAPITAL_5_YEAR_GROWTH","FQ3 2018","FQ3 2018","Currency=INR","Period=FQ","BEST_FPERIOD_OVERRIDE=FQ","FILING_STATUS=OR","EQY_CONSOLIDATED=Y","Sort=A","Dates=H","DateFormat=P","Fill=—","Direction=H","UseDPDF=Y")</f>
        <v>#NAME?</v>
      </c>
      <c r="BD126" s="2" t="e">
        <f ca="1">_xll.BDH($C$103,"GEO_GROW_BOOK_VAL","FQ3 2018","FQ3 2018","Currency=INR","Period=FQ","BEST_FPERIOD_OVERRIDE=FQ","FILING_STATUS=OR","EQY_CONSOLIDATED=Y","Sort=A","Dates=H","DateFormat=P","Fill=—","Direction=H","UseDPDF=Y")</f>
        <v>#NAME?</v>
      </c>
      <c r="BE126" s="2" t="e">
        <f ca="1">_xll.BDH($C$103,"GEO_GROW_CASH_OPER_ACT","FQ3 2018","FQ3 2018","Currency=INR","Period=FQ","BEST_FPERIOD_OVERRIDE=FQ","FILING_STATUS=OR","EQY_CONSOLIDATED=Y","Sort=A","Dates=H","DateFormat=P","Fill=—","Direction=H","UseDPDF=Y")</f>
        <v>#NAME?</v>
      </c>
      <c r="BF126" s="2" t="e">
        <f ca="1">_xll.BDH($C$103,"REVENUE_SEQUENTIAL_GROWTH","FQ3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26" s="2" t="e">
        <f ca="1">_xll.BDH($C$103,"EBITDA_SEQUENTIAL_GROWTH","FQ3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26" s="2" t="e">
        <f ca="1">_xll.BDH($C$103,"OPERATING_INCOME_SEQ_GROWTH","FQ3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26" s="2" t="e">
        <f ca="1">_xll.BDH($C$103,"NET_INCOME_TO_COMMON_SEQ_GROWTH","FQ3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26" s="2" t="e">
        <f ca="1">_xll.BDH($C$103,"EPS_DILUTED_SEQUENTIAL_GROWTH","FQ3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26" s="2" t="e">
        <f ca="1">_xll.BDH($C$103,"DPS_SEQUENTIAL_GROWTH","FQ3 2018","FQ3 2018","Currency=INR","Period=FQ","BEST_FPERIOD_OVERRIDE=FQ","FILING_STATUS=OR","EQY_CONSOLIDATED=Y","Sort=A","Dates=H","DateFormat=P","Fill=—","Direction=H","UseDPDF=Y")</f>
        <v>#NAME?</v>
      </c>
      <c r="BL126" s="2" t="e">
        <f ca="1">_xll.BDH($C$103,"ACCOUNTS_RECEIVABLE_SEQ_GROWTH","FQ3 2018","FQ3 2018","Currency=INR","Period=FQ","BEST_FPERIOD_OVERRIDE=FQ","FILING_STATUS=OR","EQY_CONSOLIDATED=Y","Sort=A","Dates=H","DateFormat=P","Fill=—","Direction=H","UseDPDF=Y")</f>
        <v>#NAME?</v>
      </c>
      <c r="BM126" s="2" t="e">
        <f ca="1">_xll.BDH($C$103,"INVENTORY_SEQUENTIAL_GROWTH","FQ3 2018","FQ3 2018","Currency=INR","Period=FQ","BEST_FPERIOD_OVERRIDE=FQ","FILING_STATUS=OR","EQY_CONSOLIDATED=Y","Sort=A","Dates=H","DateFormat=P","Fill=—","Direction=H","UseDPDF=Y")</f>
        <v>#NAME?</v>
      </c>
      <c r="BN126" s="2" t="e">
        <f ca="1">_xll.BDH($C$103,"FIXED_ASSETS_SEQUENTIAL_GROWTH","FQ3 2018","FQ3 2018","Currency=INR","Period=FQ","BEST_FPERIOD_OVERRIDE=FQ","FILING_STATUS=OR","EQY_CONSOLIDATED=Y","Sort=A","Dates=H","DateFormat=P","Fill=—","Direction=H","UseDPDF=Y")</f>
        <v>#NAME?</v>
      </c>
      <c r="BO126" s="2" t="e">
        <f ca="1">_xll.BDH($C$103,"TOTAL_ASSETS_SEQUENTIAL_GROWTH","FQ3 2018","FQ3 2018","Currency=INR","Period=FQ","BEST_FPERIOD_OVERRIDE=FQ","FILING_STATUS=OR","EQY_CONSOLIDATED=Y","Sort=A","Dates=H","DateFormat=P","Fill=—","Direction=H","UseDPDF=Y")</f>
        <v>#NAME?</v>
      </c>
      <c r="BP126" s="2" t="e">
        <f ca="1">_xll.BDH($C$103,"MODIFIED_WORKING_CPTL_SEQ_GRWTH","FQ3 2018","FQ3 2018","Currency=INR","Period=FQ","BEST_FPERIOD_OVERRIDE=FQ","FILING_STATUS=OR","EQY_CONSOLIDATED=Y","Sort=A","Dates=H","DateFormat=P","Fill=—","Direction=H","UseDPDF=Y")</f>
        <v>#NAME?</v>
      </c>
      <c r="BQ126" s="2" t="e">
        <f ca="1">_xll.BDH($C$103,"WORKING_CAPITAL_SEQ_GROWTH","FQ3 2018","FQ3 2018","Currency=INR","Period=FQ","BEST_FPERIOD_OVERRIDE=FQ","FILING_STATUS=OR","EQY_CONSOLIDATED=Y","Sort=A","Dates=H","DateFormat=P","Fill=—","Direction=H","UseDPDF=Y")</f>
        <v>#NAME?</v>
      </c>
      <c r="BR126" s="2" t="e">
        <f ca="1">_xll.BDH($C$103,"ACCOUNTS_PAYABLE_SEQ_GROWTH","FQ3 2018","FQ3 2018","Currency=INR","Period=FQ","BEST_FPERIOD_OVERRIDE=FQ","FILING_STATUS=OR","EQY_CONSOLIDATED=Y","Sort=A","Dates=H","DateFormat=P","Fill=—","Direction=H","UseDPDF=Y")</f>
        <v>#NAME?</v>
      </c>
      <c r="BS126" s="2" t="e">
        <f ca="1">_xll.BDH($C$103,"ST_DEBT_SEQUENTIAL_GROWTH","FQ3 2018","FQ3 2018","Currency=INR","Period=FQ","BEST_FPERIOD_OVERRIDE=FQ","FILING_STATUS=OR","EQY_CONSOLIDATED=Y","Sort=A","Dates=H","DateFormat=P","Fill=—","Direction=H","UseDPDF=Y")</f>
        <v>#NAME?</v>
      </c>
      <c r="BT126" s="2" t="e">
        <f ca="1">_xll.BDH($C$103,"TOTAL_DEBT_SEQUENTIAL_GROWTH","FQ3 2018","FQ3 2018","Currency=INR","Period=FQ","BEST_FPERIOD_OVERRIDE=FQ","FILING_STATUS=OR","EQY_CONSOLIDATED=Y","Sort=A","Dates=H","DateFormat=P","Fill=—","Direction=H","UseDPDF=Y")</f>
        <v>#NAME?</v>
      </c>
      <c r="BU126" s="2" t="e">
        <f ca="1">_xll.BDH($C$103,"TOTAL_EQUITY_SEQUENTIAL_GROWTH","FQ3 2018","FQ3 2018","Currency=INR","Period=FQ","BEST_FPERIOD_OVERRIDE=FQ","FILING_STATUS=OR","EQY_CONSOLIDATED=Y","Sort=A","Dates=H","DateFormat=P","Fill=—","Direction=H","UseDPDF=Y")</f>
        <v>#NAME?</v>
      </c>
      <c r="BV126" s="2" t="e">
        <f ca="1">_xll.BDH($C$103,"TOTAL_CAPITAL_SEQUENTIAL_GROWTH","FQ3 2018","FQ3 2018","Currency=INR","Period=FQ","BEST_FPERIOD_OVERRIDE=FQ","FILING_STATUS=OR","EQY_CONSOLIDATED=Y","Sort=A","Dates=H","DateFormat=P","Fill=—","Direction=H","UseDPDF=Y")</f>
        <v>#NAME?</v>
      </c>
      <c r="BW126" s="2" t="e">
        <f ca="1">_xll.BDH($C$103,"BPS_SEQUENTIAL_GROWTH","FQ3 2018","FQ3 2018","Currency=INR","Period=FQ","BEST_FPERIOD_OVERRIDE=FQ","FILING_STATUS=OR","EQY_CONSOLIDATED=Y","Sort=A","Dates=H","DateFormat=P","Fill=—","Direction=H","UseDPDF=Y")</f>
        <v>#NAME?</v>
      </c>
      <c r="BX126" s="2" t="e">
        <f ca="1">_xll.BDH($C$103,"CFO_SEQUENTIAL_GROWTH","FQ3 2018","FQ3 2018","Currency=INR","Period=FQ","BEST_FPERIOD_OVERRIDE=FQ","FILING_STATUS=OR","EQY_CONSOLIDATED=Y","Sort=A","Dates=H","DateFormat=P","Fill=—","Direction=H","UseDPDF=Y")</f>
        <v>#NAME?</v>
      </c>
      <c r="BY126" s="3" t="e">
        <f ca="1">_xll.BDH($C$103,"SHORT_AND_LONG_TERM_DEBT","FQ3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26" s="3" t="e">
        <f ca="1">_xll.BDH($C$103,"BS_ST_BORROW","FQ3 2018","FQ3 2018","Currency=INR","Period=FQ","BEST_FPERIOD_OVERRIDE=FQ","FILING_STATUS=OR","EQY_CONSOLIDATED=Y","SCALING_FORMAT=MLN","Sort=A","Dates=H","DateFormat=P","Fill=—","Direction=H","UseDPDF=Y")</f>
        <v>#NAME?</v>
      </c>
      <c r="CA126" s="3" t="e">
        <f ca="1">_xll.BDH($C$103,"BS_LT_BORROW","FQ3 2018","FQ3 2018","Currency=INR","Period=FQ","BEST_FPERIOD_OVERRIDE=FQ","FILING_STATUS=OR","EQY_CONSOLIDATED=Y","SCALING_FORMAT=MLN","Sort=A","Dates=H","DateFormat=P","Fill=—","Direction=H","UseDPDF=Y")</f>
        <v>#NAME?</v>
      </c>
      <c r="CB126" s="2" t="e">
        <f ca="1">_xll.BDH($C$103,"TOT_DEBT_TO_EBITDA","FQ3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26" s="2" t="e">
        <f ca="1">_xll.BDH($C$103,"NET_DEBT_TO_EBITDA","FQ3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26" s="2" t="e">
        <f ca="1">_xll.BDH($C$103,"TOTAL_DEBT_TO_EBIT","FQ3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26" s="2" t="e">
        <f ca="1">_xll.BDH($C$103,"NET_DEBT_TO_EBIT","FQ3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26" s="2" t="e">
        <f ca="1">_xll.BDH($C$103,"EBITDA_TO_INTEREST_EXPN","FQ3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26" s="2" t="e">
        <f ca="1">_xll.BDH($C$103,"COM_EQY_TO_TOT_ASSET","FQ3 2018","FQ3 2018","Currency=INR","Period=FQ","BEST_FPERIOD_OVERRIDE=FQ","FILING_STATUS=OR","EQY_CONSOLIDATED=Y","Sort=A","Dates=H","DateFormat=P","Fill=—","Direction=H","UseDPDF=Y")</f>
        <v>#NAME?</v>
      </c>
      <c r="CH126" s="2" t="e">
        <f ca="1">_xll.BDH($C$103,"LT_DEBT_TO_TOT_EQY","FQ3 2018","FQ3 2018","Currency=INR","Period=FQ","BEST_FPERIOD_OVERRIDE=FQ","FILING_STATUS=OR","EQY_CONSOLIDATED=Y","Sort=A","Dates=H","DateFormat=P","Fill=—","Direction=H","UseDPDF=Y")</f>
        <v>#NAME?</v>
      </c>
      <c r="CI126" s="2" t="e">
        <f ca="1">_xll.BDH($C$103,"LT_DEBT_TO_TOT_CAP","FQ3 2018","FQ3 2018","Currency=INR","Period=FQ","BEST_FPERIOD_OVERRIDE=FQ","FILING_STATUS=OR","EQY_CONSOLIDATED=Y","Sort=A","Dates=H","DateFormat=P","Fill=—","Direction=H","UseDPDF=Y")</f>
        <v>#NAME?</v>
      </c>
      <c r="CJ126" s="2" t="e">
        <f ca="1">_xll.BDH($C$103,"LT_DEBT_TO_TOT_ASSET","FQ3 2018","FQ3 2018","Currency=INR","Period=FQ","BEST_FPERIOD_OVERRIDE=FQ","FILING_STATUS=OR","EQY_CONSOLIDATED=Y","Sort=A","Dates=H","DateFormat=P","Fill=—","Direction=H","UseDPDF=Y")</f>
        <v>#NAME?</v>
      </c>
      <c r="CK126" s="2" t="e">
        <f ca="1">_xll.BDH($C$103,"TOT_DEBT_TO_TOT_EQY","FQ3 2018","FQ3 2018","Currency=INR","Period=FQ","BEST_FPERIOD_OVERRIDE=FQ","FILING_STATUS=OR","EQY_CONSOLIDATED=Y","Sort=A","Dates=H","DateFormat=P","Fill=—","Direction=H","UseDPDF=Y")</f>
        <v>#NAME?</v>
      </c>
      <c r="CL126" s="2" t="e">
        <f ca="1">_xll.BDH($C$103,"TOT_DEBT_TO_TOT_CAP","FQ3 2018","FQ3 2018","Currency=INR","Period=FQ","BEST_FPERIOD_OVERRIDE=FQ","FILING_STATUS=OR","EQY_CONSOLIDATED=Y","Sort=A","Dates=H","DateFormat=P","Fill=—","Direction=H","UseDPDF=Y")</f>
        <v>#NAME?</v>
      </c>
      <c r="CM126" s="2" t="e">
        <f ca="1">_xll.BDH($C$103,"TOT_DEBT_TO_TOT_ASSET","FQ3 2018","FQ3 2018","Currency=INR","Period=FQ","BEST_FPERIOD_OVERRIDE=FQ","FILING_STATUS=OR","EQY_CONSOLIDATED=Y","Sort=A","Dates=H","DateFormat=P","Fill=—","Direction=H","UseDPDF=Y")</f>
        <v>#NAME?</v>
      </c>
      <c r="CN126" s="2" t="e">
        <f ca="1">_xll.BDH($C$103,"NET_DEBT_TO_SHRHLDR_EQTY","FQ3 2018","FQ3 2018","Currency=INR","Period=FQ","BEST_FPERIOD_OVERRIDE=FQ","FILING_STATUS=OR","EQY_CONSOLIDATED=Y","Sort=A","Dates=H","DateFormat=P","Fill=—","Direction=H","UseDPDF=Y")</f>
        <v>#NAME?</v>
      </c>
      <c r="CO126" s="2" t="e">
        <f ca="1">_xll.BDH($C$103,"NET_DEBT_%_CAPITAL","FQ3 2018","FQ3 2018","Currency=INR","Period=FQ","BEST_FPERIOD_OVERRIDE=FQ","FILING_STATUS=OR","EQY_CONSOLIDATED=Y","Sort=A","Dates=H","DateFormat=P","Fill=—","Direction=H","UseDPDF=Y")</f>
        <v>#NAME?</v>
      </c>
      <c r="CP126" s="3" t="e">
        <f ca="1">_xll.BDH($C$103,"EBITDA","FQ3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26" s="3" t="e">
        <f ca="1">_xll.BDH($C$103,"EBITDA_AFTER_CAPEX","FQ3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26" s="3" t="e">
        <f ca="1">_xll.BDH($C$103,"IS_OPER_INC","FQ3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26" s="2" t="e">
        <f ca="1">_xll.BDH($C$103,"CASH_RATIO","FQ3 2018","FQ3 2018","Currency=INR","Period=FQ","BEST_FPERIOD_OVERRIDE=FQ","FILING_STATUS=OR","EQY_CONSOLIDATED=Y","Sort=A","Dates=H","DateFormat=P","Fill=—","Direction=H","UseDPDF=Y")</f>
        <v>#NAME?</v>
      </c>
      <c r="CT126" s="2" t="e">
        <f ca="1">_xll.BDH($C$103,"CUR_RATIO","FQ3 2018","FQ3 2018","Currency=INR","Period=FQ","BEST_FPERIOD_OVERRIDE=FQ","FILING_STATUS=OR","EQY_CONSOLIDATED=Y","Sort=A","Dates=H","DateFormat=P","Fill=—","Direction=H","UseDPDF=Y")</f>
        <v>#NAME?</v>
      </c>
      <c r="CU126" s="2" t="e">
        <f ca="1">_xll.BDH($C$103,"QUICK_RATIO","FQ3 2018","FQ3 2018","Currency=INR","Period=FQ","BEST_FPERIOD_OVERRIDE=FQ","FILING_STATUS=OR","EQY_CONSOLIDATED=Y","Sort=A","Dates=H","DateFormat=P","Fill=—","Direction=H","UseDPDF=Y")</f>
        <v>#NAME?</v>
      </c>
      <c r="CV126" s="2" t="e">
        <f ca="1">_xll.BDH($C$103,"ALTMAN_Z_SCORE","FQ3 2018","FQ3 2018","Currency=INR","Period=FQ","BEST_FPERIOD_OVERRIDE=FQ","FILING_STATUS=OR","EQY_CONSOLIDATED=Y","Sort=A","Dates=H","DateFormat=P","Fill=—","Direction=H","UseDPDF=Y")</f>
        <v>#NAME?</v>
      </c>
      <c r="CW126" s="4" t="e">
        <f ca="1">_xll.BDH($C$103,"ACCT_RCV_TURN","FQ3 2018","FQ3 2018","Currency=INR","Period=FQ","BEST_FPERIOD_OVERRIDE=FQ","FILING_STATUS=OR","EQY_CONSOLIDATED=Y","FA_ADJUSTED=GAAP","Sort=A","Dates=H","DateFormat=P","Fill=—","Direction=H","UseDPDF=Y")</f>
        <v>#NAME?</v>
      </c>
      <c r="CX126" s="2" t="e">
        <f ca="1">_xll.BDH($C$103,"ACCT_RCV_DAYS","FQ3 2018","FQ3 2018","Currency=INR","Period=FQ","BEST_FPERIOD_OVERRIDE=FQ","FILING_STATUS=OR","EQY_CONSOLIDATED=Y","FA_ADJUSTED=GAAP","Sort=A","Dates=H","DateFormat=P","Fill=—","Direction=H","UseDPDF=Y")</f>
        <v>#NAME?</v>
      </c>
      <c r="CY126" s="4" t="e">
        <f ca="1">_xll.BDH($C$103,"INVENT_TURN","FQ3 2018","FQ3 2018","Currency=INR","Period=FQ","BEST_FPERIOD_OVERRIDE=FQ","FILING_STATUS=OR","EQY_CONSOLIDATED=Y","FA_ADJUSTED=GAAP","Sort=A","Dates=H","DateFormat=P","Fill=—","Direction=H","UseDPDF=Y")</f>
        <v>#NAME?</v>
      </c>
      <c r="CZ126" s="2" t="e">
        <f ca="1">_xll.BDH($C$103,"INVENT_DAYS","FQ3 2018","FQ3 2018","Currency=INR","Period=FQ","BEST_FPERIOD_OVERRIDE=FQ","FILING_STATUS=OR","EQY_CONSOLIDATED=Y","FA_ADJUSTED=GAAP","Sort=A","Dates=H","DateFormat=P","Fill=—","Direction=H","UseDPDF=Y")</f>
        <v>#NAME?</v>
      </c>
      <c r="DA126" s="4" t="e">
        <f ca="1">_xll.BDH($C$103,"ACCOUNTS_PAYABLE_TURNOVER","FQ3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26" s="2" t="e">
        <f ca="1">_xll.BDH($C$103,"ACCOUNTS_PAYABLE_TURNOVER_DAYS","FQ3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26" s="4" t="e">
        <f ca="1">_xll.BDH($C$103,"CASH_CONVERSION_CYCLE","FQ3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26" s="4" t="e">
        <f ca="1">_xll.BDH($C$103,"INV_TO_CASH_DAYS","FQ3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26" s="5" t="e">
        <f ca="1">_xll.BDH($C$103,"BS_INVENTORIES","FQ3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26" s="3" t="e">
        <f ca="1">_xll.BDH($C$103,"INVTRY_RAW_MATERIALS","FQ3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26" s="3" t="e">
        <f ca="1">_xll.BDH($C$103,"INVTRY_IN_PROGRESS","FQ3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26" s="3" t="e">
        <f ca="1">_xll.BDH($C$103,"INVTRY_FINISHED_GOODS","FQ3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26" s="3" t="e">
        <f ca="1">_xll.BDH($C$103,"BS_OTHER_INV","FQ3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27" spans="1:113" x14ac:dyDescent="0.3">
      <c r="A127" s="6"/>
      <c r="B127" s="6"/>
      <c r="C127" s="6"/>
      <c r="D127" s="6"/>
      <c r="E127" t="s">
        <v>81</v>
      </c>
      <c r="F127" t="e">
        <f ca="1">_xll.BDH($C$103,"RETURN_COM_EQY","FQ4 2018","FQ4 2018","Currency=INR","Period=FQ","BEST_FPERIOD_OVERRIDE=FQ","FILING_STATUS=OR","EQY_CONSOLIDATED=Y","FA_ADJUSTED=GAAP","Sort=A","Dates=H","DateFormat=P","Fill=—","Direction=H","UseDPDF=Y")</f>
        <v>#NAME?</v>
      </c>
      <c r="G127" t="e">
        <f ca="1">_xll.BDH($C$103,"RETURN_ON_ASSET","FQ4 2018","FQ4 2018","Currency=INR","Period=FQ","BEST_FPERIOD_OVERRIDE=FQ","FILING_STATUS=OR","EQY_CONSOLIDATED=Y","FA_ADJUSTED=GAAP","Sort=A","Dates=H","DateFormat=P","Fill=—","Direction=H","UseDPDF=Y")</f>
        <v>#NAME?</v>
      </c>
      <c r="H127" t="e">
        <f ca="1">_xll.BDH($C$103,"RETURN_ON_CAP","FQ4 2018","FQ4 2018","Currency=INR","Period=FQ","BEST_FPERIOD_OVERRIDE=FQ","FILING_STATUS=OR","EQY_CONSOLIDATED=Y","FA_ADJUSTED=GAAP","Sort=A","Dates=H","DateFormat=P","Fill=—","Direction=H","UseDPDF=Y")</f>
        <v>#NAME?</v>
      </c>
      <c r="I127" t="e">
        <f ca="1">_xll.BDH($C$103,"RETURN_ON_INV_CAPITAL","FQ4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27" t="e">
        <f ca="1">_xll.BDH($C$103,"EBITDA_TO_REVENUE","FQ4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27" t="e">
        <f ca="1">_xll.BDH($C$103,"OPER_MARGIN","FQ4 2018","FQ4 2018","Currency=INR","Period=FQ","BEST_FPERIOD_OVERRIDE=FQ","FILING_STATUS=OR","EQY_CONSOLIDATED=Y","FA_ADJUSTED=GAAP","Sort=A","Dates=H","DateFormat=P","Fill=—","Direction=H","UseDPDF=Y")</f>
        <v>#NAME?</v>
      </c>
      <c r="L127" t="e">
        <f ca="1">_xll.BDH($C$103,"INCREMENTAL_OPERATING_MARGIN","FQ4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27" t="e">
        <f ca="1">_xll.BDH($C$103,"PRETAX_INC_TO_NET_SALES","FQ4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27" t="e">
        <f ca="1">_xll.BDH($C$103,"INC_BEF_XO_ITEMS_TO_NET_SALES","FQ4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27" t="e">
        <f ca="1">_xll.BDH($C$103,"PROF_MARGIN","FQ4 2018","FQ4 2018","Currency=INR","Period=FQ","BEST_FPERIOD_OVERRIDE=FQ","FILING_STATUS=OR","EQY_CONSOLIDATED=Y","FA_ADJUSTED=GAAP","Sort=A","Dates=H","DateFormat=P","Fill=—","Direction=H","UseDPDF=Y")</f>
        <v>#NAME?</v>
      </c>
      <c r="P127" t="e">
        <f ca="1">_xll.BDH($C$103,"NET_INCOME_TO_COMMON_MARGIN","FQ4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27" t="e">
        <f ca="1">_xll.BDH($C$103,"EFF_TAX_RATE","FQ4 2018","FQ4 2018","Currency=INR","Period=FQ","BEST_FPERIOD_OVERRIDE=FQ","FILING_STATUS=OR","EQY_CONSOLIDATED=Y","FA_ADJUSTED=GAAP","Sort=A","Dates=H","DateFormat=P","Fill=—","Direction=H","UseDPDF=Y")</f>
        <v>#NAME?</v>
      </c>
      <c r="R127" t="e">
        <f ca="1">_xll.BDH($C$103,"DVD_PAYOUT_RATIO","FQ4 2018","FQ4 2018","Currency=INR","Period=FQ","BEST_FPERIOD_OVERRIDE=FQ","FILING_STATUS=OR","EQY_CONSOLIDATED=Y","FA_ADJUSTED=GAAP","Sort=A","Dates=H","DateFormat=P","Fill=—","Direction=H","UseDPDF=Y")</f>
        <v>#NAME?</v>
      </c>
      <c r="S127" t="e">
        <f ca="1">_xll.BDH($C$103,"SUSTAIN_GROWTH_RT","FQ4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27" s="2" t="e">
        <f ca="1">_xll.BDH($C$103,"SALES_GROWTH","FQ4 2018","FQ4 2018","Currency=INR","Period=FQ","BEST_FPERIOD_OVERRIDE=FQ","FILING_STATUS=OR","EQY_CONSOLIDATED=Y","FA_ADJUSTED=GAAP","Sort=A","Dates=H","DateFormat=P","Fill=—","Direction=H","UseDPDF=Y")</f>
        <v>#NAME?</v>
      </c>
      <c r="U127" s="2" t="e">
        <f ca="1">_xll.BDH($C$103,"EBITDA_GROWTH","FQ4 2018","FQ4 2018","Currency=INR","Period=FQ","BEST_FPERIOD_OVERRIDE=FQ","FILING_STATUS=OR","EQY_CONSOLIDATED=Y","FA_ADJUSTED=GAAP","Sort=A","Dates=H","DateFormat=P","Fill=—","Direction=H","UseDPDF=Y")</f>
        <v>#NAME?</v>
      </c>
      <c r="V127" s="2" t="e">
        <f ca="1">_xll.BDH($C$103,"OPER_INC_GROWTH","FQ4 2018","FQ4 2018","Currency=INR","Period=FQ","BEST_FPERIOD_OVERRIDE=FQ","FILING_STATUS=OR","EQY_CONSOLIDATED=Y","FA_ADJUSTED=GAAP","Sort=A","Dates=H","DateFormat=P","Fill=—","Direction=H","UseDPDF=Y")</f>
        <v>#NAME?</v>
      </c>
      <c r="W127" s="2" t="e">
        <f ca="1">_xll.BDH($C$103,"EARN_FOR_COM_GROWTH","FQ4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27" s="2" t="e">
        <f ca="1">_xll.BDH($C$103,"DILUTED_EPS_AFT_XO_ITEMS_GROWTH","FQ4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27" s="2" t="e">
        <f ca="1">_xll.BDH($C$103,"DIVIDEND_PER_SHARE_1_YEAR_GROWTH","FQ4 2018","FQ4 2018","Currency=INR","Period=FQ","BEST_FPERIOD_OVERRIDE=FQ","FILING_STATUS=OR","EQY_CONSOLIDATED=Y","Sort=A","Dates=H","DateFormat=P","Fill=—","Direction=H","UseDPDF=Y")</f>
        <v>#NAME?</v>
      </c>
      <c r="Z127" s="2" t="e">
        <f ca="1">_xll.BDH($C$103,"ACCOUNTS_RECEIVABLE_GROWTH","FQ4 2018","FQ4 2018","Currency=INR","Period=FQ","BEST_FPERIOD_OVERRIDE=FQ","FILING_STATUS=OR","EQY_CONSOLIDATED=Y","Sort=A","Dates=H","DateFormat=P","Fill=—","Direction=H","UseDPDF=Y")</f>
        <v>#NAME?</v>
      </c>
      <c r="AA127" s="2" t="e">
        <f ca="1">_xll.BDH($C$103,"INVENTORY_GROWTH","FQ4 2018","FQ4 2018","Currency=INR","Period=FQ","BEST_FPERIOD_OVERRIDE=FQ","FILING_STATUS=OR","EQY_CONSOLIDATED=Y","Sort=A","Dates=H","DateFormat=P","Fill=—","Direction=H","UseDPDF=Y")</f>
        <v>#NAME?</v>
      </c>
      <c r="AB127" s="2" t="e">
        <f ca="1">_xll.BDH($C$103,"NET_FIXED_ASSETS_1_YEAR_GROWTH","FQ4 2018","FQ4 2018","Currency=INR","Period=FQ","BEST_FPERIOD_OVERRIDE=FQ","FILING_STATUS=OR","EQY_CONSOLIDATED=Y","Sort=A","Dates=H","DateFormat=P","Fill=—","Direction=H","UseDPDF=Y")</f>
        <v>#NAME?</v>
      </c>
      <c r="AC127" s="2" t="e">
        <f ca="1">_xll.BDH($C$103,"ASSET_GROWTH","FQ4 2018","FQ4 2018","Currency=INR","Period=FQ","BEST_FPERIOD_OVERRIDE=FQ","FILING_STATUS=OR","EQY_CONSOLIDATED=Y","Sort=A","Dates=H","DateFormat=P","Fill=—","Direction=H","UseDPDF=Y")</f>
        <v>#NAME?</v>
      </c>
      <c r="AD127" s="2" t="e">
        <f ca="1">_xll.BDH($C$103,"MODIFIED_WORK_CAP_GROWTH","FQ4 2018","FQ4 2018","Currency=INR","Period=FQ","BEST_FPERIOD_OVERRIDE=FQ","FILING_STATUS=OR","EQY_CONSOLIDATED=Y","Sort=A","Dates=H","DateFormat=P","Fill=—","Direction=H","UseDPDF=Y")</f>
        <v>#NAME?</v>
      </c>
      <c r="AE127" s="2" t="e">
        <f ca="1">_xll.BDH($C$103,"WORK_CAP_GROWTH","FQ4 2018","FQ4 2018","Currency=INR","Period=FQ","BEST_FPERIOD_OVERRIDE=FQ","FILING_STATUS=OR","EQY_CONSOLIDATED=Y","Sort=A","Dates=H","DateFormat=P","Fill=—","Direction=H","UseDPDF=Y")</f>
        <v>#NAME?</v>
      </c>
      <c r="AF127" s="2" t="e">
        <f ca="1">_xll.BDH($C$103,"ACCOUNTS_PAYABLE_GROWTH_1YR","FQ4 2018","FQ4 2018","Currency=INR","Period=FQ","BEST_FPERIOD_OVERRIDE=FQ","FILING_STATUS=OR","EQY_CONSOLIDATED=Y","Sort=A","Dates=H","DateFormat=P","Fill=—","Direction=H","UseDPDF=Y")</f>
        <v>#NAME?</v>
      </c>
      <c r="AG127" s="2" t="e">
        <f ca="1">_xll.BDH($C$103,"SHORT_TERM_DEBT_1_YEAR_GROWTH","FQ4 2018","FQ4 2018","Currency=INR","Period=FQ","BEST_FPERIOD_OVERRIDE=FQ","FILING_STATUS=OR","EQY_CONSOLIDATED=Y","Sort=A","Dates=H","DateFormat=P","Fill=—","Direction=H","UseDPDF=Y")</f>
        <v>#NAME?</v>
      </c>
      <c r="AH127" s="2" t="e">
        <f ca="1">_xll.BDH($C$103,"TOTAL_DEBT_1_YEAR_GROWTH","FQ4 2018","FQ4 2018","Currency=INR","Period=FQ","BEST_FPERIOD_OVERRIDE=FQ","FILING_STATUS=OR","EQY_CONSOLIDATED=Y","Sort=A","Dates=H","DateFormat=P","Fill=—","Direction=H","UseDPDF=Y")</f>
        <v>#NAME?</v>
      </c>
      <c r="AI127" s="2" t="e">
        <f ca="1">_xll.BDH($C$103,"TOTAL_EQUITY_1_YEAR_GROWTH","FQ4 2018","FQ4 2018","Currency=INR","Period=FQ","BEST_FPERIOD_OVERRIDE=FQ","FILING_STATUS=OR","EQY_CONSOLIDATED=Y","Sort=A","Dates=H","DateFormat=P","Fill=—","Direction=H","UseDPDF=Y")</f>
        <v>#NAME?</v>
      </c>
      <c r="AJ127" s="2" t="e">
        <f ca="1">_xll.BDH($C$103,"GROWTH_IN_CAP","FQ4 2018","FQ4 2018","Currency=INR","Period=FQ","BEST_FPERIOD_OVERRIDE=FQ","FILING_STATUS=OR","EQY_CONSOLIDATED=Y","Sort=A","Dates=H","DateFormat=P","Fill=—","Direction=H","UseDPDF=Y")</f>
        <v>#NAME?</v>
      </c>
      <c r="AK127" s="2" t="e">
        <f ca="1">_xll.BDH($C$103,"BVPS_GROWTH","FQ4 2018","FQ4 2018","Currency=INR","Period=FQ","BEST_FPERIOD_OVERRIDE=FQ","FILING_STATUS=OR","EQY_CONSOLIDATED=Y","Sort=A","Dates=H","DateFormat=P","Fill=—","Direction=H","UseDPDF=Y")</f>
        <v>#NAME?</v>
      </c>
      <c r="AL127" s="2" t="e">
        <f ca="1">_xll.BDH($C$103,"CASH_FLOW_GROWTH","FQ4 2018","FQ4 2018","Currency=INR","Period=FQ","BEST_FPERIOD_OVERRIDE=FQ","FILING_STATUS=OR","EQY_CONSOLIDATED=Y","Sort=A","Dates=H","DateFormat=P","Fill=—","Direction=H","UseDPDF=Y")</f>
        <v>#NAME?</v>
      </c>
      <c r="AM127" s="2" t="e">
        <f ca="1">_xll.BDH($C$103,"GEO_GROW_NET_SALES","FQ4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27" s="2" t="e">
        <f ca="1">_xll.BDH($C$103,"GEO_GROW_EBITDA","FQ4 2018","FQ4 2018","Currency=INR","Period=FQ","BEST_FPERIOD_OVERRIDE=FQ","FILING_STATUS=OR","EQY_CONSOLIDATED=Y","FA_ADJUSTED=GAAP","Sort=A","Dates=H","DateFormat=P","Fill=—","Direction=H","UseDPDF=Y")</f>
        <v>#NAME?</v>
      </c>
      <c r="AO127" s="2" t="e">
        <f ca="1">_xll.BDH($C$103,"GEO_GROW_OPER_INC","FQ4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27" s="2" t="e">
        <f ca="1">_xll.BDH($C$103,"NET_INCOME_TO_COMMON_5_YR_GROWTH","FQ4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27" s="2" t="e">
        <f ca="1">_xll.BDH($C$103,"5Y_GEO_GROWTH_DILUTED_EPS","FQ4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27" s="2" t="e">
        <f ca="1">_xll.BDH($C$103,"GEO_GROW_DVD_PER_SH","FQ4 2018","FQ4 2018","Currency=INR","Period=FQ","BEST_FPERIOD_OVERRIDE=FQ","FILING_STATUS=OR","EQY_CONSOLIDATED=Y","Sort=A","Dates=H","DateFormat=P","Fill=—","Direction=H","UseDPDF=Y")</f>
        <v>#NAME?</v>
      </c>
      <c r="AS127" s="2" t="e">
        <f ca="1">_xll.BDH($C$103,"ACCOUNTS_RECEIVABLE_5_YR_GROWTH","FQ4 2018","FQ4 2018","Currency=INR","Period=FQ","BEST_FPERIOD_OVERRIDE=FQ","FILING_STATUS=OR","EQY_CONSOLIDATED=Y","Sort=A","Dates=H","DateFormat=P","Fill=—","Direction=H","UseDPDF=Y")</f>
        <v>#NAME?</v>
      </c>
      <c r="AT127" s="2" t="e">
        <f ca="1">_xll.BDH($C$103,"INVENTORY_5_YEAR_GROWTH","FQ4 2018","FQ4 2018","Currency=INR","Period=FQ","BEST_FPERIOD_OVERRIDE=FQ","FILING_STATUS=OR","EQY_CONSOLIDATED=Y","Sort=A","Dates=H","DateFormat=P","Fill=—","Direction=H","UseDPDF=Y")</f>
        <v>#NAME?</v>
      </c>
      <c r="AU127" s="2" t="e">
        <f ca="1">_xll.BDH($C$103,"NET_FIXED_ASSETS_5_YEAR_GROWTH","FQ4 2018","FQ4 2018","Currency=INR","Period=FQ","BEST_FPERIOD_OVERRIDE=FQ","FILING_STATUS=OR","EQY_CONSOLIDATED=Y","Sort=A","Dates=H","DateFormat=P","Fill=—","Direction=H","UseDPDF=Y")</f>
        <v>#NAME?</v>
      </c>
      <c r="AV127" s="2" t="e">
        <f ca="1">_xll.BDH($C$103,"GEO_GROW_TOT_ASSET","FQ4 2018","FQ4 2018","Currency=INR","Period=FQ","BEST_FPERIOD_OVERRIDE=FQ","FILING_STATUS=OR","EQY_CONSOLIDATED=Y","Sort=A","Dates=H","DateFormat=P","Fill=—","Direction=H","UseDPDF=Y")</f>
        <v>#NAME?</v>
      </c>
      <c r="AW127" s="2" t="e">
        <f ca="1">_xll.BDH($C$103,"MODIFIED_WORKING_CPTL_5YR_GRWTH","FQ4 2018","FQ4 2018","Currency=INR","Period=FQ","BEST_FPERIOD_OVERRIDE=FQ","FILING_STATUS=OR","EQY_CONSOLIDATED=Y","Sort=A","Dates=H","DateFormat=P","Fill=—","Direction=H","UseDPDF=Y")</f>
        <v>#NAME?</v>
      </c>
      <c r="AX127" s="2" t="e">
        <f ca="1">_xll.BDH($C$103,"WORKING_CAPITAL_5_YEAR_GROWTH","FQ4 2018","FQ4 2018","Currency=INR","Period=FQ","BEST_FPERIOD_OVERRIDE=FQ","FILING_STATUS=OR","EQY_CONSOLIDATED=Y","Sort=A","Dates=H","DateFormat=P","Fill=—","Direction=H","UseDPDF=Y")</f>
        <v>#NAME?</v>
      </c>
      <c r="AY127" s="2" t="e">
        <f ca="1">_xll.BDH($C$103,"ACCOUNTS_PAYABLE_5_YEAR_GROWTH","FQ4 2018","FQ4 2018","Currency=INR","Period=FQ","BEST_FPERIOD_OVERRIDE=FQ","FILING_STATUS=OR","EQY_CONSOLIDATED=Y","Sort=A","Dates=H","DateFormat=P","Fill=—","Direction=H","UseDPDF=Y")</f>
        <v>#NAME?</v>
      </c>
      <c r="AZ127" s="2" t="e">
        <f ca="1">_xll.BDH($C$103,"SHORT_TERM_DEBT_5_YEAR_GROWTH","FQ4 2018","FQ4 2018","Currency=INR","Period=FQ","BEST_FPERIOD_OVERRIDE=FQ","FILING_STATUS=OR","EQY_CONSOLIDATED=Y","Sort=A","Dates=H","DateFormat=P","Fill=—","Direction=H","UseDPDF=Y")</f>
        <v>#NAME?</v>
      </c>
      <c r="BA127" s="2" t="e">
        <f ca="1">_xll.BDH($C$103,"TOTAL_DEBT_5_YEAR_GROWTH","FQ4 2018","FQ4 2018","Currency=INR","Period=FQ","BEST_FPERIOD_OVERRIDE=FQ","FILING_STATUS=OR","EQY_CONSOLIDATED=Y","Sort=A","Dates=H","DateFormat=P","Fill=—","Direction=H","UseDPDF=Y")</f>
        <v>#NAME?</v>
      </c>
      <c r="BB127" s="2" t="e">
        <f ca="1">_xll.BDH($C$103,"GEO_GROW_TOT_SHRHLDR_EQY","FQ4 2018","FQ4 2018","Currency=INR","Period=FQ","BEST_FPERIOD_OVERRIDE=FQ","FILING_STATUS=OR","EQY_CONSOLIDATED=Y","Sort=A","Dates=H","DateFormat=P","Fill=—","Direction=H","UseDPDF=Y")</f>
        <v>#NAME?</v>
      </c>
      <c r="BC127" s="2" t="e">
        <f ca="1">_xll.BDH($C$103,"TOTAL_CAPITAL_5_YEAR_GROWTH","FQ4 2018","FQ4 2018","Currency=INR","Period=FQ","BEST_FPERIOD_OVERRIDE=FQ","FILING_STATUS=OR","EQY_CONSOLIDATED=Y","Sort=A","Dates=H","DateFormat=P","Fill=—","Direction=H","UseDPDF=Y")</f>
        <v>#NAME?</v>
      </c>
      <c r="BD127" s="2" t="e">
        <f ca="1">_xll.BDH($C$103,"GEO_GROW_BOOK_VAL","FQ4 2018","FQ4 2018","Currency=INR","Period=FQ","BEST_FPERIOD_OVERRIDE=FQ","FILING_STATUS=OR","EQY_CONSOLIDATED=Y","Sort=A","Dates=H","DateFormat=P","Fill=—","Direction=H","UseDPDF=Y")</f>
        <v>#NAME?</v>
      </c>
      <c r="BE127" s="2" t="e">
        <f ca="1">_xll.BDH($C$103,"GEO_GROW_CASH_OPER_ACT","FQ4 2018","FQ4 2018","Currency=INR","Period=FQ","BEST_FPERIOD_OVERRIDE=FQ","FILING_STATUS=OR","EQY_CONSOLIDATED=Y","Sort=A","Dates=H","DateFormat=P","Fill=—","Direction=H","UseDPDF=Y")</f>
        <v>#NAME?</v>
      </c>
      <c r="BF127" s="2" t="e">
        <f ca="1">_xll.BDH($C$103,"REVENUE_SEQUENTIAL_GROWTH","FQ4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27" s="2" t="e">
        <f ca="1">_xll.BDH($C$103,"EBITDA_SEQUENTIAL_GROWTH","FQ4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27" s="2" t="e">
        <f ca="1">_xll.BDH($C$103,"OPERATING_INCOME_SEQ_GROWTH","FQ4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27" s="2" t="e">
        <f ca="1">_xll.BDH($C$103,"NET_INCOME_TO_COMMON_SEQ_GROWTH","FQ4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27" s="2" t="e">
        <f ca="1">_xll.BDH($C$103,"EPS_DILUTED_SEQUENTIAL_GROWTH","FQ4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27" s="2" t="e">
        <f ca="1">_xll.BDH($C$103,"DPS_SEQUENTIAL_GROWTH","FQ4 2018","FQ4 2018","Currency=INR","Period=FQ","BEST_FPERIOD_OVERRIDE=FQ","FILING_STATUS=OR","EQY_CONSOLIDATED=Y","Sort=A","Dates=H","DateFormat=P","Fill=—","Direction=H","UseDPDF=Y")</f>
        <v>#NAME?</v>
      </c>
      <c r="BL127" s="2" t="e">
        <f ca="1">_xll.BDH($C$103,"ACCOUNTS_RECEIVABLE_SEQ_GROWTH","FQ4 2018","FQ4 2018","Currency=INR","Period=FQ","BEST_FPERIOD_OVERRIDE=FQ","FILING_STATUS=OR","EQY_CONSOLIDATED=Y","Sort=A","Dates=H","DateFormat=P","Fill=—","Direction=H","UseDPDF=Y")</f>
        <v>#NAME?</v>
      </c>
      <c r="BM127" s="2" t="e">
        <f ca="1">_xll.BDH($C$103,"INVENTORY_SEQUENTIAL_GROWTH","FQ4 2018","FQ4 2018","Currency=INR","Period=FQ","BEST_FPERIOD_OVERRIDE=FQ","FILING_STATUS=OR","EQY_CONSOLIDATED=Y","Sort=A","Dates=H","DateFormat=P","Fill=—","Direction=H","UseDPDF=Y")</f>
        <v>#NAME?</v>
      </c>
      <c r="BN127" s="2" t="e">
        <f ca="1">_xll.BDH($C$103,"FIXED_ASSETS_SEQUENTIAL_GROWTH","FQ4 2018","FQ4 2018","Currency=INR","Period=FQ","BEST_FPERIOD_OVERRIDE=FQ","FILING_STATUS=OR","EQY_CONSOLIDATED=Y","Sort=A","Dates=H","DateFormat=P","Fill=—","Direction=H","UseDPDF=Y")</f>
        <v>#NAME?</v>
      </c>
      <c r="BO127" s="2" t="e">
        <f ca="1">_xll.BDH($C$103,"TOTAL_ASSETS_SEQUENTIAL_GROWTH","FQ4 2018","FQ4 2018","Currency=INR","Period=FQ","BEST_FPERIOD_OVERRIDE=FQ","FILING_STATUS=OR","EQY_CONSOLIDATED=Y","Sort=A","Dates=H","DateFormat=P","Fill=—","Direction=H","UseDPDF=Y")</f>
        <v>#NAME?</v>
      </c>
      <c r="BP127" s="2" t="e">
        <f ca="1">_xll.BDH($C$103,"MODIFIED_WORKING_CPTL_SEQ_GRWTH","FQ4 2018","FQ4 2018","Currency=INR","Period=FQ","BEST_FPERIOD_OVERRIDE=FQ","FILING_STATUS=OR","EQY_CONSOLIDATED=Y","Sort=A","Dates=H","DateFormat=P","Fill=—","Direction=H","UseDPDF=Y")</f>
        <v>#NAME?</v>
      </c>
      <c r="BQ127" s="2" t="e">
        <f ca="1">_xll.BDH($C$103,"WORKING_CAPITAL_SEQ_GROWTH","FQ4 2018","FQ4 2018","Currency=INR","Period=FQ","BEST_FPERIOD_OVERRIDE=FQ","FILING_STATUS=OR","EQY_CONSOLIDATED=Y","Sort=A","Dates=H","DateFormat=P","Fill=—","Direction=H","UseDPDF=Y")</f>
        <v>#NAME?</v>
      </c>
      <c r="BR127" s="2" t="e">
        <f ca="1">_xll.BDH($C$103,"ACCOUNTS_PAYABLE_SEQ_GROWTH","FQ4 2018","FQ4 2018","Currency=INR","Period=FQ","BEST_FPERIOD_OVERRIDE=FQ","FILING_STATUS=OR","EQY_CONSOLIDATED=Y","Sort=A","Dates=H","DateFormat=P","Fill=—","Direction=H","UseDPDF=Y")</f>
        <v>#NAME?</v>
      </c>
      <c r="BS127" s="2" t="e">
        <f ca="1">_xll.BDH($C$103,"ST_DEBT_SEQUENTIAL_GROWTH","FQ4 2018","FQ4 2018","Currency=INR","Period=FQ","BEST_FPERIOD_OVERRIDE=FQ","FILING_STATUS=OR","EQY_CONSOLIDATED=Y","Sort=A","Dates=H","DateFormat=P","Fill=—","Direction=H","UseDPDF=Y")</f>
        <v>#NAME?</v>
      </c>
      <c r="BT127" s="2" t="e">
        <f ca="1">_xll.BDH($C$103,"TOTAL_DEBT_SEQUENTIAL_GROWTH","FQ4 2018","FQ4 2018","Currency=INR","Period=FQ","BEST_FPERIOD_OVERRIDE=FQ","FILING_STATUS=OR","EQY_CONSOLIDATED=Y","Sort=A","Dates=H","DateFormat=P","Fill=—","Direction=H","UseDPDF=Y")</f>
        <v>#NAME?</v>
      </c>
      <c r="BU127" s="2" t="e">
        <f ca="1">_xll.BDH($C$103,"TOTAL_EQUITY_SEQUENTIAL_GROWTH","FQ4 2018","FQ4 2018","Currency=INR","Period=FQ","BEST_FPERIOD_OVERRIDE=FQ","FILING_STATUS=OR","EQY_CONSOLIDATED=Y","Sort=A","Dates=H","DateFormat=P","Fill=—","Direction=H","UseDPDF=Y")</f>
        <v>#NAME?</v>
      </c>
      <c r="BV127" s="2" t="e">
        <f ca="1">_xll.BDH($C$103,"TOTAL_CAPITAL_SEQUENTIAL_GROWTH","FQ4 2018","FQ4 2018","Currency=INR","Period=FQ","BEST_FPERIOD_OVERRIDE=FQ","FILING_STATUS=OR","EQY_CONSOLIDATED=Y","Sort=A","Dates=H","DateFormat=P","Fill=—","Direction=H","UseDPDF=Y")</f>
        <v>#NAME?</v>
      </c>
      <c r="BW127" s="2" t="e">
        <f ca="1">_xll.BDH($C$103,"BPS_SEQUENTIAL_GROWTH","FQ4 2018","FQ4 2018","Currency=INR","Period=FQ","BEST_FPERIOD_OVERRIDE=FQ","FILING_STATUS=OR","EQY_CONSOLIDATED=Y","Sort=A","Dates=H","DateFormat=P","Fill=—","Direction=H","UseDPDF=Y")</f>
        <v>#NAME?</v>
      </c>
      <c r="BX127" s="2" t="e">
        <f ca="1">_xll.BDH($C$103,"CFO_SEQUENTIAL_GROWTH","FQ4 2018","FQ4 2018","Currency=INR","Period=FQ","BEST_FPERIOD_OVERRIDE=FQ","FILING_STATUS=OR","EQY_CONSOLIDATED=Y","Sort=A","Dates=H","DateFormat=P","Fill=—","Direction=H","UseDPDF=Y")</f>
        <v>#NAME?</v>
      </c>
      <c r="BY127" s="3" t="e">
        <f ca="1">_xll.BDH($C$103,"SHORT_AND_LONG_TERM_DEBT","FQ4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27" s="3" t="e">
        <f ca="1">_xll.BDH($C$103,"BS_ST_BORROW","FQ4 2018","FQ4 2018","Currency=INR","Period=FQ","BEST_FPERIOD_OVERRIDE=FQ","FILING_STATUS=OR","EQY_CONSOLIDATED=Y","SCALING_FORMAT=MLN","Sort=A","Dates=H","DateFormat=P","Fill=—","Direction=H","UseDPDF=Y")</f>
        <v>#NAME?</v>
      </c>
      <c r="CA127" s="3" t="e">
        <f ca="1">_xll.BDH($C$103,"BS_LT_BORROW","FQ4 2018","FQ4 2018","Currency=INR","Period=FQ","BEST_FPERIOD_OVERRIDE=FQ","FILING_STATUS=OR","EQY_CONSOLIDATED=Y","SCALING_FORMAT=MLN","Sort=A","Dates=H","DateFormat=P","Fill=—","Direction=H","UseDPDF=Y")</f>
        <v>#NAME?</v>
      </c>
      <c r="CB127" s="2" t="e">
        <f ca="1">_xll.BDH($C$103,"TOT_DEBT_TO_EBITDA","FQ4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27" s="2" t="e">
        <f ca="1">_xll.BDH($C$103,"NET_DEBT_TO_EBITDA","FQ4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27" s="2" t="e">
        <f ca="1">_xll.BDH($C$103,"TOTAL_DEBT_TO_EBIT","FQ4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27" s="2" t="e">
        <f ca="1">_xll.BDH($C$103,"NET_DEBT_TO_EBIT","FQ4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27" s="2" t="e">
        <f ca="1">_xll.BDH($C$103,"EBITDA_TO_INTEREST_EXPN","FQ4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27" s="2" t="e">
        <f ca="1">_xll.BDH($C$103,"COM_EQY_TO_TOT_ASSET","FQ4 2018","FQ4 2018","Currency=INR","Period=FQ","BEST_FPERIOD_OVERRIDE=FQ","FILING_STATUS=OR","EQY_CONSOLIDATED=Y","Sort=A","Dates=H","DateFormat=P","Fill=—","Direction=H","UseDPDF=Y")</f>
        <v>#NAME?</v>
      </c>
      <c r="CH127" s="2" t="e">
        <f ca="1">_xll.BDH($C$103,"LT_DEBT_TO_TOT_EQY","FQ4 2018","FQ4 2018","Currency=INR","Period=FQ","BEST_FPERIOD_OVERRIDE=FQ","FILING_STATUS=OR","EQY_CONSOLIDATED=Y","Sort=A","Dates=H","DateFormat=P","Fill=—","Direction=H","UseDPDF=Y")</f>
        <v>#NAME?</v>
      </c>
      <c r="CI127" s="2" t="e">
        <f ca="1">_xll.BDH($C$103,"LT_DEBT_TO_TOT_CAP","FQ4 2018","FQ4 2018","Currency=INR","Period=FQ","BEST_FPERIOD_OVERRIDE=FQ","FILING_STATUS=OR","EQY_CONSOLIDATED=Y","Sort=A","Dates=H","DateFormat=P","Fill=—","Direction=H","UseDPDF=Y")</f>
        <v>#NAME?</v>
      </c>
      <c r="CJ127" s="2" t="e">
        <f ca="1">_xll.BDH($C$103,"LT_DEBT_TO_TOT_ASSET","FQ4 2018","FQ4 2018","Currency=INR","Period=FQ","BEST_FPERIOD_OVERRIDE=FQ","FILING_STATUS=OR","EQY_CONSOLIDATED=Y","Sort=A","Dates=H","DateFormat=P","Fill=—","Direction=H","UseDPDF=Y")</f>
        <v>#NAME?</v>
      </c>
      <c r="CK127" s="2" t="e">
        <f ca="1">_xll.BDH($C$103,"TOT_DEBT_TO_TOT_EQY","FQ4 2018","FQ4 2018","Currency=INR","Period=FQ","BEST_FPERIOD_OVERRIDE=FQ","FILING_STATUS=OR","EQY_CONSOLIDATED=Y","Sort=A","Dates=H","DateFormat=P","Fill=—","Direction=H","UseDPDF=Y")</f>
        <v>#NAME?</v>
      </c>
      <c r="CL127" s="2" t="e">
        <f ca="1">_xll.BDH($C$103,"TOT_DEBT_TO_TOT_CAP","FQ4 2018","FQ4 2018","Currency=INR","Period=FQ","BEST_FPERIOD_OVERRIDE=FQ","FILING_STATUS=OR","EQY_CONSOLIDATED=Y","Sort=A","Dates=H","DateFormat=P","Fill=—","Direction=H","UseDPDF=Y")</f>
        <v>#NAME?</v>
      </c>
      <c r="CM127" s="2" t="e">
        <f ca="1">_xll.BDH($C$103,"TOT_DEBT_TO_TOT_ASSET","FQ4 2018","FQ4 2018","Currency=INR","Period=FQ","BEST_FPERIOD_OVERRIDE=FQ","FILING_STATUS=OR","EQY_CONSOLIDATED=Y","Sort=A","Dates=H","DateFormat=P","Fill=—","Direction=H","UseDPDF=Y")</f>
        <v>#NAME?</v>
      </c>
      <c r="CN127" s="2" t="e">
        <f ca="1">_xll.BDH($C$103,"NET_DEBT_TO_SHRHLDR_EQTY","FQ4 2018","FQ4 2018","Currency=INR","Period=FQ","BEST_FPERIOD_OVERRIDE=FQ","FILING_STATUS=OR","EQY_CONSOLIDATED=Y","Sort=A","Dates=H","DateFormat=P","Fill=—","Direction=H","UseDPDF=Y")</f>
        <v>#NAME?</v>
      </c>
      <c r="CO127" s="2" t="e">
        <f ca="1">_xll.BDH($C$103,"NET_DEBT_%_CAPITAL","FQ4 2018","FQ4 2018","Currency=INR","Period=FQ","BEST_FPERIOD_OVERRIDE=FQ","FILING_STATUS=OR","EQY_CONSOLIDATED=Y","Sort=A","Dates=H","DateFormat=P","Fill=—","Direction=H","UseDPDF=Y")</f>
        <v>#NAME?</v>
      </c>
      <c r="CP127" s="3" t="e">
        <f ca="1">_xll.BDH($C$103,"EBITDA","FQ4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27" s="3" t="e">
        <f ca="1">_xll.BDH($C$103,"EBITDA_AFTER_CAPEX","FQ4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27" s="3" t="e">
        <f ca="1">_xll.BDH($C$103,"IS_OPER_INC","FQ4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27" s="2" t="e">
        <f ca="1">_xll.BDH($C$103,"CASH_RATIO","FQ4 2018","FQ4 2018","Currency=INR","Period=FQ","BEST_FPERIOD_OVERRIDE=FQ","FILING_STATUS=OR","EQY_CONSOLIDATED=Y","Sort=A","Dates=H","DateFormat=P","Fill=—","Direction=H","UseDPDF=Y")</f>
        <v>#NAME?</v>
      </c>
      <c r="CT127" s="2" t="e">
        <f ca="1">_xll.BDH($C$103,"CUR_RATIO","FQ4 2018","FQ4 2018","Currency=INR","Period=FQ","BEST_FPERIOD_OVERRIDE=FQ","FILING_STATUS=OR","EQY_CONSOLIDATED=Y","Sort=A","Dates=H","DateFormat=P","Fill=—","Direction=H","UseDPDF=Y")</f>
        <v>#NAME?</v>
      </c>
      <c r="CU127" s="2" t="e">
        <f ca="1">_xll.BDH($C$103,"QUICK_RATIO","FQ4 2018","FQ4 2018","Currency=INR","Period=FQ","BEST_FPERIOD_OVERRIDE=FQ","FILING_STATUS=OR","EQY_CONSOLIDATED=Y","Sort=A","Dates=H","DateFormat=P","Fill=—","Direction=H","UseDPDF=Y")</f>
        <v>#NAME?</v>
      </c>
      <c r="CV127" s="2" t="e">
        <f ca="1">_xll.BDH($C$103,"ALTMAN_Z_SCORE","FQ4 2018","FQ4 2018","Currency=INR","Period=FQ","BEST_FPERIOD_OVERRIDE=FQ","FILING_STATUS=OR","EQY_CONSOLIDATED=Y","Sort=A","Dates=H","DateFormat=P","Fill=—","Direction=H","UseDPDF=Y")</f>
        <v>#NAME?</v>
      </c>
      <c r="CW127" s="4" t="e">
        <f ca="1">_xll.BDH($C$103,"ACCT_RCV_TURN","FQ4 2018","FQ4 2018","Currency=INR","Period=FQ","BEST_FPERIOD_OVERRIDE=FQ","FILING_STATUS=OR","EQY_CONSOLIDATED=Y","FA_ADJUSTED=GAAP","Sort=A","Dates=H","DateFormat=P","Fill=—","Direction=H","UseDPDF=Y")</f>
        <v>#NAME?</v>
      </c>
      <c r="CX127" s="2" t="e">
        <f ca="1">_xll.BDH($C$103,"ACCT_RCV_DAYS","FQ4 2018","FQ4 2018","Currency=INR","Period=FQ","BEST_FPERIOD_OVERRIDE=FQ","FILING_STATUS=OR","EQY_CONSOLIDATED=Y","FA_ADJUSTED=GAAP","Sort=A","Dates=H","DateFormat=P","Fill=—","Direction=H","UseDPDF=Y")</f>
        <v>#NAME?</v>
      </c>
      <c r="CY127" s="4" t="e">
        <f ca="1">_xll.BDH($C$103,"INVENT_TURN","FQ4 2018","FQ4 2018","Currency=INR","Period=FQ","BEST_FPERIOD_OVERRIDE=FQ","FILING_STATUS=OR","EQY_CONSOLIDATED=Y","FA_ADJUSTED=GAAP","Sort=A","Dates=H","DateFormat=P","Fill=—","Direction=H","UseDPDF=Y")</f>
        <v>#NAME?</v>
      </c>
      <c r="CZ127" s="2" t="e">
        <f ca="1">_xll.BDH($C$103,"INVENT_DAYS","FQ4 2018","FQ4 2018","Currency=INR","Period=FQ","BEST_FPERIOD_OVERRIDE=FQ","FILING_STATUS=OR","EQY_CONSOLIDATED=Y","FA_ADJUSTED=GAAP","Sort=A","Dates=H","DateFormat=P","Fill=—","Direction=H","UseDPDF=Y")</f>
        <v>#NAME?</v>
      </c>
      <c r="DA127" s="4" t="e">
        <f ca="1">_xll.BDH($C$103,"ACCOUNTS_PAYABLE_TURNOVER","FQ4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27" s="2" t="e">
        <f ca="1">_xll.BDH($C$103,"ACCOUNTS_PAYABLE_TURNOVER_DAYS","FQ4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27" s="4" t="e">
        <f ca="1">_xll.BDH($C$103,"CASH_CONVERSION_CYCLE","FQ4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27" s="4" t="e">
        <f ca="1">_xll.BDH($C$103,"INV_TO_CASH_DAYS","FQ4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27" s="5" t="e">
        <f ca="1">_xll.BDH($C$103,"BS_INVENTORIES","FQ4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27" s="3" t="e">
        <f ca="1">_xll.BDH($C$103,"INVTRY_RAW_MATERIALS","FQ4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27" s="3" t="e">
        <f ca="1">_xll.BDH($C$103,"INVTRY_IN_PROGRESS","FQ4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27" s="3" t="e">
        <f ca="1">_xll.BDH($C$103,"INVTRY_FINISHED_GOODS","FQ4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27" s="3" t="e">
        <f ca="1">_xll.BDH($C$103,"BS_OTHER_INV","FQ4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28" spans="1:113" x14ac:dyDescent="0.3">
      <c r="A128" s="6">
        <v>81</v>
      </c>
      <c r="B128" s="6" t="s">
        <v>94</v>
      </c>
      <c r="C128" s="6" t="s">
        <v>95</v>
      </c>
      <c r="D128" s="6" t="s">
        <v>76</v>
      </c>
      <c r="E128" t="s">
        <v>77</v>
      </c>
      <c r="F128" t="e">
        <f ca="1">_xll.BDH($C$128,"RETURN_COM_EQY","FY 2014","FY 2014","Currency=INR","Period=FY","BEST_FPERIOD_OVERRIDE=FY","FILING_STATUS=OR","EQY_CONSOLIDATED=Y","FA_ADJUSTED=GAAP","Sort=A","Dates=H","DateFormat=P","Fill=—","Direction=H","UseDPDF=Y")</f>
        <v>#NAME?</v>
      </c>
      <c r="G128" t="e">
        <f ca="1">_xll.BDH($C$128,"RETURN_ON_ASSET","FY 2014","FY 2014","Currency=INR","Period=FY","BEST_FPERIOD_OVERRIDE=FY","FILING_STATUS=OR","EQY_CONSOLIDATED=Y","FA_ADJUSTED=GAAP","Sort=A","Dates=H","DateFormat=P","Fill=—","Direction=H","UseDPDF=Y")</f>
        <v>#NAME?</v>
      </c>
      <c r="H128" t="e">
        <f ca="1">_xll.BDH($C$128,"RETURN_ON_CAP","FY 2014","FY 2014","Currency=INR","Period=FY","BEST_FPERIOD_OVERRIDE=FY","FILING_STATUS=OR","EQY_CONSOLIDATED=Y","FA_ADJUSTED=GAAP","Sort=A","Dates=H","DateFormat=P","Fill=—","Direction=H","UseDPDF=Y")</f>
        <v>#NAME?</v>
      </c>
      <c r="I128" t="e">
        <f ca="1">_xll.BDH($C$128,"RETURN_ON_INV_CAPITAL","FY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28" t="e">
        <f ca="1">_xll.BDH($C$128,"EBITDA_TO_REVENUE","FY 2014","FY 2014","Currency=INR","Period=FY","BEST_FPERIOD_OVERRIDE=FY","FILING_STATUS=OR","EQY_CONSOLIDATED=Y","FA_ADJUSTED=GAAP","Sort=A","Dates=H","DateFormat=P","Fill=—","Direction=H","UseDPDF=Y")</f>
        <v>#NAME?</v>
      </c>
      <c r="K128" t="e">
        <f ca="1">_xll.BDH($C$128,"OPER_MARGIN","FY 2014","FY 2014","Currency=INR","Period=FY","BEST_FPERIOD_OVERRIDE=FY","FILING_STATUS=OR","EQY_CONSOLIDATED=Y","FA_ADJUSTED=GAAP","Sort=A","Dates=H","DateFormat=P","Fill=—","Direction=H","UseDPDF=Y")</f>
        <v>#NAME?</v>
      </c>
      <c r="L128" t="e">
        <f ca="1">_xll.BDH($C$128,"INCREMENTAL_OPERATING_MARGIN","FY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28" t="e">
        <f ca="1">_xll.BDH($C$128,"PRETAX_INC_TO_NET_SALES","FY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28" t="e">
        <f ca="1">_xll.BDH($C$128,"INC_BEF_XO_ITEMS_TO_NET_SALES","FY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28" t="e">
        <f ca="1">_xll.BDH($C$128,"PROF_MARGIN","FY 2014","FY 2014","Currency=INR","Period=FY","BEST_FPERIOD_OVERRIDE=FY","FILING_STATUS=OR","EQY_CONSOLIDATED=Y","FA_ADJUSTED=GAAP","Sort=A","Dates=H","DateFormat=P","Fill=—","Direction=H","UseDPDF=Y")</f>
        <v>#NAME?</v>
      </c>
      <c r="P128" t="e">
        <f ca="1">_xll.BDH($C$128,"NET_INCOME_TO_COMMON_MARGIN","FY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28" t="e">
        <f ca="1">_xll.BDH($C$128,"EFF_TAX_RATE","FY 2014","FY 2014","Currency=INR","Period=FY","BEST_FPERIOD_OVERRIDE=FY","FILING_STATUS=OR","EQY_CONSOLIDATED=Y","FA_ADJUSTED=GAAP","Sort=A","Dates=H","DateFormat=P","Fill=—","Direction=H","UseDPDF=Y")</f>
        <v>#NAME?</v>
      </c>
      <c r="R128" t="e">
        <f ca="1">_xll.BDH($C$128,"DVD_PAYOUT_RATIO","FY 2014","FY 2014","Currency=INR","Period=FY","BEST_FPERIOD_OVERRIDE=FY","FILING_STATUS=OR","EQY_CONSOLIDATED=Y","FA_ADJUSTED=GAAP","Sort=A","Dates=H","DateFormat=P","Fill=—","Direction=H","UseDPDF=Y")</f>
        <v>#NAME?</v>
      </c>
      <c r="S128" t="e">
        <f ca="1">_xll.BDH($C$128,"SUSTAIN_GROWTH_RT","FY 2014","FY 2014","Currency=INR","Period=FY","BEST_FPERIOD_OVERRIDE=FY","FILING_STATUS=OR","EQY_CONSOLIDATED=Y","FA_ADJUSTED=GAAP","Sort=A","Dates=H","DateFormat=P","Fill=—","Direction=H","UseDPDF=Y")</f>
        <v>#NAME?</v>
      </c>
      <c r="T128" s="2" t="e">
        <f ca="1">_xll.BDH($C$128,"SALES_GROWTH","FY 2014","FY 2014","Currency=INR","Period=FY","BEST_FPERIOD_OVERRIDE=FY","FILING_STATUS=OR","EQY_CONSOLIDATED=Y","FA_ADJUSTED=GAAP","Sort=A","Dates=H","DateFormat=P","Fill=—","Direction=H","UseDPDF=Y")</f>
        <v>#NAME?</v>
      </c>
      <c r="U128" s="2" t="e">
        <f ca="1">_xll.BDH($C$128,"EBITDA_GROWTH","FY 2014","FY 2014","Currency=INR","Period=FY","BEST_FPERIOD_OVERRIDE=FY","FILING_STATUS=OR","EQY_CONSOLIDATED=Y","FA_ADJUSTED=GAAP","Sort=A","Dates=H","DateFormat=P","Fill=—","Direction=H","UseDPDF=Y")</f>
        <v>#NAME?</v>
      </c>
      <c r="V128" s="2" t="e">
        <f ca="1">_xll.BDH($C$128,"OPER_INC_GROWTH","FY 2014","FY 2014","Currency=INR","Period=FY","BEST_FPERIOD_OVERRIDE=FY","FILING_STATUS=OR","EQY_CONSOLIDATED=Y","FA_ADJUSTED=GAAP","Sort=A","Dates=H","DateFormat=P","Fill=—","Direction=H","UseDPDF=Y")</f>
        <v>#NAME?</v>
      </c>
      <c r="W128" s="2" t="e">
        <f ca="1">_xll.BDH($C$128,"EARN_FOR_COM_GROWTH","FY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28" s="2" t="e">
        <f ca="1">_xll.BDH($C$128,"DILUTED_EPS_AFT_XO_ITEMS_GROWTH","FY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28" s="2" t="e">
        <f ca="1">_xll.BDH($C$128,"DIVIDEND_PER_SHARE_1_YEAR_GROWTH","FY 2014","FY 2014","Currency=INR","Period=FY","BEST_FPERIOD_OVERRIDE=FY","FILING_STATUS=OR","EQY_CONSOLIDATED=Y","Sort=A","Dates=H","DateFormat=P","Fill=—","Direction=H","UseDPDF=Y")</f>
        <v>#NAME?</v>
      </c>
      <c r="Z128" s="2" t="e">
        <f ca="1">_xll.BDH($C$128,"ACCOUNTS_RECEIVABLE_GROWTH","FY 2014","FY 2014","Currency=INR","Period=FY","BEST_FPERIOD_OVERRIDE=FY","FILING_STATUS=OR","EQY_CONSOLIDATED=Y","Sort=A","Dates=H","DateFormat=P","Fill=—","Direction=H","UseDPDF=Y")</f>
        <v>#NAME?</v>
      </c>
      <c r="AA128" s="2" t="e">
        <f ca="1">_xll.BDH($C$128,"INVENTORY_GROWTH","FY 2014","FY 2014","Currency=INR","Period=FY","BEST_FPERIOD_OVERRIDE=FY","FILING_STATUS=OR","EQY_CONSOLIDATED=Y","Sort=A","Dates=H","DateFormat=P","Fill=—","Direction=H","UseDPDF=Y")</f>
        <v>#NAME?</v>
      </c>
      <c r="AB128" s="2" t="e">
        <f ca="1">_xll.BDH($C$128,"NET_FIXED_ASSETS_1_YEAR_GROWTH","FY 2014","FY 2014","Currency=INR","Period=FY","BEST_FPERIOD_OVERRIDE=FY","FILING_STATUS=OR","EQY_CONSOLIDATED=Y","Sort=A","Dates=H","DateFormat=P","Fill=—","Direction=H","UseDPDF=Y")</f>
        <v>#NAME?</v>
      </c>
      <c r="AC128" s="2" t="e">
        <f ca="1">_xll.BDH($C$128,"ASSET_GROWTH","FY 2014","FY 2014","Currency=INR","Period=FY","BEST_FPERIOD_OVERRIDE=FY","FILING_STATUS=OR","EQY_CONSOLIDATED=Y","Sort=A","Dates=H","DateFormat=P","Fill=—","Direction=H","UseDPDF=Y")</f>
        <v>#NAME?</v>
      </c>
      <c r="AD128" s="2" t="e">
        <f ca="1">_xll.BDH($C$128,"MODIFIED_WORK_CAP_GROWTH","FY 2014","FY 2014","Currency=INR","Period=FY","BEST_FPERIOD_OVERRIDE=FY","FILING_STATUS=OR","EQY_CONSOLIDATED=Y","Sort=A","Dates=H","DateFormat=P","Fill=—","Direction=H","UseDPDF=Y")</f>
        <v>#NAME?</v>
      </c>
      <c r="AE128" s="2" t="e">
        <f ca="1">_xll.BDH($C$128,"WORK_CAP_GROWTH","FY 2014","FY 2014","Currency=INR","Period=FY","BEST_FPERIOD_OVERRIDE=FY","FILING_STATUS=OR","EQY_CONSOLIDATED=Y","Sort=A","Dates=H","DateFormat=P","Fill=—","Direction=H","UseDPDF=Y")</f>
        <v>#NAME?</v>
      </c>
      <c r="AF128" s="2" t="e">
        <f ca="1">_xll.BDH($C$128,"ACCOUNTS_PAYABLE_GROWTH_1YR","FY 2014","FY 2014","Currency=INR","Period=FY","BEST_FPERIOD_OVERRIDE=FY","FILING_STATUS=OR","EQY_CONSOLIDATED=Y","Sort=A","Dates=H","DateFormat=P","Fill=—","Direction=H","UseDPDF=Y")</f>
        <v>#NAME?</v>
      </c>
      <c r="AG128" s="2" t="e">
        <f ca="1">_xll.BDH($C$128,"SHORT_TERM_DEBT_1_YEAR_GROWTH","FY 2014","FY 2014","Currency=INR","Period=FY","BEST_FPERIOD_OVERRIDE=FY","FILING_STATUS=OR","EQY_CONSOLIDATED=Y","Sort=A","Dates=H","DateFormat=P","Fill=—","Direction=H","UseDPDF=Y")</f>
        <v>#NAME?</v>
      </c>
      <c r="AH128" s="2" t="e">
        <f ca="1">_xll.BDH($C$128,"TOTAL_DEBT_1_YEAR_GROWTH","FY 2014","FY 2014","Currency=INR","Period=FY","BEST_FPERIOD_OVERRIDE=FY","FILING_STATUS=OR","EQY_CONSOLIDATED=Y","Sort=A","Dates=H","DateFormat=P","Fill=—","Direction=H","UseDPDF=Y")</f>
        <v>#NAME?</v>
      </c>
      <c r="AI128" s="2" t="e">
        <f ca="1">_xll.BDH($C$128,"TOTAL_EQUITY_1_YEAR_GROWTH","FY 2014","FY 2014","Currency=INR","Period=FY","BEST_FPERIOD_OVERRIDE=FY","FILING_STATUS=OR","EQY_CONSOLIDATED=Y","Sort=A","Dates=H","DateFormat=P","Fill=—","Direction=H","UseDPDF=Y")</f>
        <v>#NAME?</v>
      </c>
      <c r="AJ128" s="2" t="e">
        <f ca="1">_xll.BDH($C$128,"GROWTH_IN_CAP","FY 2014","FY 2014","Currency=INR","Period=FY","BEST_FPERIOD_OVERRIDE=FY","FILING_STATUS=OR","EQY_CONSOLIDATED=Y","Sort=A","Dates=H","DateFormat=P","Fill=—","Direction=H","UseDPDF=Y")</f>
        <v>#NAME?</v>
      </c>
      <c r="AK128" s="2" t="e">
        <f ca="1">_xll.BDH($C$128,"BVPS_GROWTH","FY 2014","FY 2014","Currency=INR","Period=FY","BEST_FPERIOD_OVERRIDE=FY","FILING_STATUS=OR","EQY_CONSOLIDATED=Y","Sort=A","Dates=H","DateFormat=P","Fill=—","Direction=H","UseDPDF=Y")</f>
        <v>#NAME?</v>
      </c>
      <c r="AL128" s="2" t="e">
        <f ca="1">_xll.BDH($C$128,"CASH_FLOW_GROWTH","FY 2014","FY 2014","Currency=INR","Period=FY","BEST_FPERIOD_OVERRIDE=FY","FILING_STATUS=OR","EQY_CONSOLIDATED=Y","Sort=A","Dates=H","DateFormat=P","Fill=—","Direction=H","UseDPDF=Y")</f>
        <v>#NAME?</v>
      </c>
      <c r="AM128" s="2" t="e">
        <f ca="1">_xll.BDH($C$128,"GEO_GROW_NET_SALES","FY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28" s="2" t="e">
        <f ca="1">_xll.BDH($C$128,"GEO_GROW_EBITDA","FY 2014","FY 2014","Currency=INR","Period=FY","BEST_FPERIOD_OVERRIDE=FY","FILING_STATUS=OR","EQY_CONSOLIDATED=Y","FA_ADJUSTED=GAAP","Sort=A","Dates=H","DateFormat=P","Fill=—","Direction=H","UseDPDF=Y")</f>
        <v>#NAME?</v>
      </c>
      <c r="AO128" s="2" t="e">
        <f ca="1">_xll.BDH($C$128,"GEO_GROW_OPER_INC","FY 2014","FY 2014","Currency=INR","Period=FY","BEST_FPERIOD_OVERRIDE=FY","FILING_STATUS=OR","EQY_CONSOLIDATED=Y","FA_ADJUSTED=GAAP","Sort=A","Dates=H","DateFormat=P","Fill=—","Direction=H","UseDPDF=Y")</f>
        <v>#NAME?</v>
      </c>
      <c r="AP128" s="2" t="e">
        <f ca="1">_xll.BDH($C$128,"NET_INCOME_TO_COMMON_5_YR_GROWTH","FY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28" s="2" t="e">
        <f ca="1">_xll.BDH($C$128,"5Y_GEO_GROWTH_DILUTED_EPS","FY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28" s="2" t="e">
        <f ca="1">_xll.BDH($C$128,"GEO_GROW_DVD_PER_SH","FY 2014","FY 2014","Currency=INR","Period=FY","BEST_FPERIOD_OVERRIDE=FY","FILING_STATUS=OR","EQY_CONSOLIDATED=Y","Sort=A","Dates=H","DateFormat=P","Fill=—","Direction=H","UseDPDF=Y")</f>
        <v>#NAME?</v>
      </c>
      <c r="AS128" s="2" t="e">
        <f ca="1">_xll.BDH($C$128,"ACCOUNTS_RECEIVABLE_5_YR_GROWTH","FY 2014","FY 2014","Currency=INR","Period=FY","BEST_FPERIOD_OVERRIDE=FY","FILING_STATUS=OR","EQY_CONSOLIDATED=Y","Sort=A","Dates=H","DateFormat=P","Fill=—","Direction=H","UseDPDF=Y")</f>
        <v>#NAME?</v>
      </c>
      <c r="AT128" s="2" t="e">
        <f ca="1">_xll.BDH($C$128,"INVENTORY_5_YEAR_GROWTH","FY 2014","FY 2014","Currency=INR","Period=FY","BEST_FPERIOD_OVERRIDE=FY","FILING_STATUS=OR","EQY_CONSOLIDATED=Y","Sort=A","Dates=H","DateFormat=P","Fill=—","Direction=H","UseDPDF=Y")</f>
        <v>#NAME?</v>
      </c>
      <c r="AU128" s="2" t="e">
        <f ca="1">_xll.BDH($C$128,"NET_FIXED_ASSETS_5_YEAR_GROWTH","FY 2014","FY 2014","Currency=INR","Period=FY","BEST_FPERIOD_OVERRIDE=FY","FILING_STATUS=OR","EQY_CONSOLIDATED=Y","Sort=A","Dates=H","DateFormat=P","Fill=—","Direction=H","UseDPDF=Y")</f>
        <v>#NAME?</v>
      </c>
      <c r="AV128" s="2" t="e">
        <f ca="1">_xll.BDH($C$128,"GEO_GROW_TOT_ASSET","FY 2014","FY 2014","Currency=INR","Period=FY","BEST_FPERIOD_OVERRIDE=FY","FILING_STATUS=OR","EQY_CONSOLIDATED=Y","Sort=A","Dates=H","DateFormat=P","Fill=—","Direction=H","UseDPDF=Y")</f>
        <v>#NAME?</v>
      </c>
      <c r="AW128" s="2" t="e">
        <f ca="1">_xll.BDH($C$128,"MODIFIED_WORKING_CPTL_5YR_GRWTH","FY 2014","FY 2014","Currency=INR","Period=FY","BEST_FPERIOD_OVERRIDE=FY","FILING_STATUS=OR","EQY_CONSOLIDATED=Y","Sort=A","Dates=H","DateFormat=P","Fill=—","Direction=H","UseDPDF=Y")</f>
        <v>#NAME?</v>
      </c>
      <c r="AX128" s="2" t="e">
        <f ca="1">_xll.BDH($C$128,"WORKING_CAPITAL_5_YEAR_GROWTH","FY 2014","FY 2014","Currency=INR","Period=FY","BEST_FPERIOD_OVERRIDE=FY","FILING_STATUS=OR","EQY_CONSOLIDATED=Y","Sort=A","Dates=H","DateFormat=P","Fill=—","Direction=H","UseDPDF=Y")</f>
        <v>#NAME?</v>
      </c>
      <c r="AY128" s="2" t="e">
        <f ca="1">_xll.BDH($C$128,"ACCOUNTS_PAYABLE_5_YEAR_GROWTH","FY 2014","FY 2014","Currency=INR","Period=FY","BEST_FPERIOD_OVERRIDE=FY","FILING_STATUS=OR","EQY_CONSOLIDATED=Y","Sort=A","Dates=H","DateFormat=P","Fill=—","Direction=H","UseDPDF=Y")</f>
        <v>#NAME?</v>
      </c>
      <c r="AZ128" s="2" t="e">
        <f ca="1">_xll.BDH($C$128,"SHORT_TERM_DEBT_5_YEAR_GROWTH","FY 2014","FY 2014","Currency=INR","Period=FY","BEST_FPERIOD_OVERRIDE=FY","FILING_STATUS=OR","EQY_CONSOLIDATED=Y","Sort=A","Dates=H","DateFormat=P","Fill=—","Direction=H","UseDPDF=Y")</f>
        <v>#NAME?</v>
      </c>
      <c r="BA128" s="2" t="e">
        <f ca="1">_xll.BDH($C$128,"TOTAL_DEBT_5_YEAR_GROWTH","FY 2014","FY 2014","Currency=INR","Period=FY","BEST_FPERIOD_OVERRIDE=FY","FILING_STATUS=OR","EQY_CONSOLIDATED=Y","Sort=A","Dates=H","DateFormat=P","Fill=—","Direction=H","UseDPDF=Y")</f>
        <v>#NAME?</v>
      </c>
      <c r="BB128" s="2" t="e">
        <f ca="1">_xll.BDH($C$128,"GEO_GROW_TOT_SHRHLDR_EQY","FY 2014","FY 2014","Currency=INR","Period=FY","BEST_FPERIOD_OVERRIDE=FY","FILING_STATUS=OR","EQY_CONSOLIDATED=Y","Sort=A","Dates=H","DateFormat=P","Fill=—","Direction=H","UseDPDF=Y")</f>
        <v>#NAME?</v>
      </c>
      <c r="BC128" s="2" t="e">
        <f ca="1">_xll.BDH($C$128,"TOTAL_CAPITAL_5_YEAR_GROWTH","FY 2014","FY 2014","Currency=INR","Period=FY","BEST_FPERIOD_OVERRIDE=FY","FILING_STATUS=OR","EQY_CONSOLIDATED=Y","Sort=A","Dates=H","DateFormat=P","Fill=—","Direction=H","UseDPDF=Y")</f>
        <v>#NAME?</v>
      </c>
      <c r="BD128" s="2" t="e">
        <f ca="1">_xll.BDH($C$128,"GEO_GROW_BOOK_VAL","FY 2014","FY 2014","Currency=INR","Period=FY","BEST_FPERIOD_OVERRIDE=FY","FILING_STATUS=OR","EQY_CONSOLIDATED=Y","Sort=A","Dates=H","DateFormat=P","Fill=—","Direction=H","UseDPDF=Y")</f>
        <v>#NAME?</v>
      </c>
      <c r="BE128" s="2" t="e">
        <f ca="1">_xll.BDH($C$128,"GEO_GROW_CASH_OPER_ACT","FY 2014","FY 2014","Currency=INR","Period=FY","BEST_FPERIOD_OVERRIDE=FY","FILING_STATUS=OR","EQY_CONSOLIDATED=Y","Sort=A","Dates=H","DateFormat=P","Fill=—","Direction=H","UseDPDF=Y")</f>
        <v>#NAME?</v>
      </c>
      <c r="BF128" s="2" t="e">
        <f ca="1">_xll.BDH($C$128,"REVENUE_SEQUENTIAL_GROWTH","FY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28" s="2" t="e">
        <f ca="1">_xll.BDH($C$128,"EBITDA_SEQUENTIAL_GROWTH","FY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28" s="2" t="e">
        <f ca="1">_xll.BDH($C$128,"OPERATING_INCOME_SEQ_GROWTH","FY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28" s="2" t="e">
        <f ca="1">_xll.BDH($C$128,"NET_INCOME_TO_COMMON_SEQ_GROWTH","FY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28" s="2" t="e">
        <f ca="1">_xll.BDH($C$128,"EPS_DILUTED_SEQUENTIAL_GROWTH","FY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28" s="2" t="e">
        <f ca="1">_xll.BDH($C$128,"DPS_SEQUENTIAL_GROWTH","FY 2014","FY 2014","Currency=INR","Period=FY","BEST_FPERIOD_OVERRIDE=FY","FILING_STATUS=OR","EQY_CONSOLIDATED=Y","Sort=A","Dates=H","DateFormat=P","Fill=—","Direction=H","UseDPDF=Y")</f>
        <v>#NAME?</v>
      </c>
      <c r="BL128" s="2" t="e">
        <f ca="1">_xll.BDH($C$128,"ACCOUNTS_RECEIVABLE_SEQ_GROWTH","FY 2014","FY 2014","Currency=INR","Period=FY","BEST_FPERIOD_OVERRIDE=FY","FILING_STATUS=OR","EQY_CONSOLIDATED=Y","Sort=A","Dates=H","DateFormat=P","Fill=—","Direction=H","UseDPDF=Y")</f>
        <v>#NAME?</v>
      </c>
      <c r="BM128" s="2" t="e">
        <f ca="1">_xll.BDH($C$128,"INVENTORY_SEQUENTIAL_GROWTH","FY 2014","FY 2014","Currency=INR","Period=FY","BEST_FPERIOD_OVERRIDE=FY","FILING_STATUS=OR","EQY_CONSOLIDATED=Y","Sort=A","Dates=H","DateFormat=P","Fill=—","Direction=H","UseDPDF=Y")</f>
        <v>#NAME?</v>
      </c>
      <c r="BN128" s="2" t="e">
        <f ca="1">_xll.BDH($C$128,"FIXED_ASSETS_SEQUENTIAL_GROWTH","FY 2014","FY 2014","Currency=INR","Period=FY","BEST_FPERIOD_OVERRIDE=FY","FILING_STATUS=OR","EQY_CONSOLIDATED=Y","Sort=A","Dates=H","DateFormat=P","Fill=—","Direction=H","UseDPDF=Y")</f>
        <v>#NAME?</v>
      </c>
      <c r="BO128" s="2" t="e">
        <f ca="1">_xll.BDH($C$128,"TOTAL_ASSETS_SEQUENTIAL_GROWTH","FY 2014","FY 2014","Currency=INR","Period=FY","BEST_FPERIOD_OVERRIDE=FY","FILING_STATUS=OR","EQY_CONSOLIDATED=Y","Sort=A","Dates=H","DateFormat=P","Fill=—","Direction=H","UseDPDF=Y")</f>
        <v>#NAME?</v>
      </c>
      <c r="BP128" s="2" t="e">
        <f ca="1">_xll.BDH($C$128,"MODIFIED_WORKING_CPTL_SEQ_GRWTH","FY 2014","FY 2014","Currency=INR","Period=FY","BEST_FPERIOD_OVERRIDE=FY","FILING_STATUS=OR","EQY_CONSOLIDATED=Y","Sort=A","Dates=H","DateFormat=P","Fill=—","Direction=H","UseDPDF=Y")</f>
        <v>#NAME?</v>
      </c>
      <c r="BQ128" s="2" t="e">
        <f ca="1">_xll.BDH($C$128,"WORKING_CAPITAL_SEQ_GROWTH","FY 2014","FY 2014","Currency=INR","Period=FY","BEST_FPERIOD_OVERRIDE=FY","FILING_STATUS=OR","EQY_CONSOLIDATED=Y","Sort=A","Dates=H","DateFormat=P","Fill=—","Direction=H","UseDPDF=Y")</f>
        <v>#NAME?</v>
      </c>
      <c r="BR128" s="2" t="e">
        <f ca="1">_xll.BDH($C$128,"ACCOUNTS_PAYABLE_SEQ_GROWTH","FY 2014","FY 2014","Currency=INR","Period=FY","BEST_FPERIOD_OVERRIDE=FY","FILING_STATUS=OR","EQY_CONSOLIDATED=Y","Sort=A","Dates=H","DateFormat=P","Fill=—","Direction=H","UseDPDF=Y")</f>
        <v>#NAME?</v>
      </c>
      <c r="BS128" s="2" t="e">
        <f ca="1">_xll.BDH($C$128,"ST_DEBT_SEQUENTIAL_GROWTH","FY 2014","FY 2014","Currency=INR","Period=FY","BEST_FPERIOD_OVERRIDE=FY","FILING_STATUS=OR","EQY_CONSOLIDATED=Y","Sort=A","Dates=H","DateFormat=P","Fill=—","Direction=H","UseDPDF=Y")</f>
        <v>#NAME?</v>
      </c>
      <c r="BT128" s="2" t="e">
        <f ca="1">_xll.BDH($C$128,"TOTAL_DEBT_SEQUENTIAL_GROWTH","FY 2014","FY 2014","Currency=INR","Period=FY","BEST_FPERIOD_OVERRIDE=FY","FILING_STATUS=OR","EQY_CONSOLIDATED=Y","Sort=A","Dates=H","DateFormat=P","Fill=—","Direction=H","UseDPDF=Y")</f>
        <v>#NAME?</v>
      </c>
      <c r="BU128" s="2" t="e">
        <f ca="1">_xll.BDH($C$128,"TOTAL_EQUITY_SEQUENTIAL_GROWTH","FY 2014","FY 2014","Currency=INR","Period=FY","BEST_FPERIOD_OVERRIDE=FY","FILING_STATUS=OR","EQY_CONSOLIDATED=Y","Sort=A","Dates=H","DateFormat=P","Fill=—","Direction=H","UseDPDF=Y")</f>
        <v>#NAME?</v>
      </c>
      <c r="BV128" s="2" t="e">
        <f ca="1">_xll.BDH($C$128,"TOTAL_CAPITAL_SEQUENTIAL_GROWTH","FY 2014","FY 2014","Currency=INR","Period=FY","BEST_FPERIOD_OVERRIDE=FY","FILING_STATUS=OR","EQY_CONSOLIDATED=Y","Sort=A","Dates=H","DateFormat=P","Fill=—","Direction=H","UseDPDF=Y")</f>
        <v>#NAME?</v>
      </c>
      <c r="BW128" s="2" t="e">
        <f ca="1">_xll.BDH($C$128,"BPS_SEQUENTIAL_GROWTH","FY 2014","FY 2014","Currency=INR","Period=FY","BEST_FPERIOD_OVERRIDE=FY","FILING_STATUS=OR","EQY_CONSOLIDATED=Y","Sort=A","Dates=H","DateFormat=P","Fill=—","Direction=H","UseDPDF=Y")</f>
        <v>#NAME?</v>
      </c>
      <c r="BX128" s="2" t="e">
        <f ca="1">_xll.BDH($C$128,"CFO_SEQUENTIAL_GROWTH","FY 2014","FY 2014","Currency=INR","Period=FY","BEST_FPERIOD_OVERRIDE=FY","FILING_STATUS=OR","EQY_CONSOLIDATED=Y","Sort=A","Dates=H","DateFormat=P","Fill=—","Direction=H","UseDPDF=Y")</f>
        <v>#NAME?</v>
      </c>
      <c r="BY128" s="3" t="e">
        <f ca="1">_xll.BDH($C$128,"SHORT_AND_LONG_TERM_DEBT","FY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28" s="3" t="e">
        <f ca="1">_xll.BDH($C$128,"BS_ST_BORROW","FY 2014","FY 2014","Currency=INR","Period=FY","BEST_FPERIOD_OVERRIDE=FY","FILING_STATUS=OR","EQY_CONSOLIDATED=Y","SCALING_FORMAT=MLN","Sort=A","Dates=H","DateFormat=P","Fill=—","Direction=H","UseDPDF=Y")</f>
        <v>#NAME?</v>
      </c>
      <c r="CA128" s="3" t="e">
        <f ca="1">_xll.BDH($C$128,"BS_LT_BORROW","FY 2014","FY 2014","Currency=INR","Period=FY","BEST_FPERIOD_OVERRIDE=FY","FILING_STATUS=OR","EQY_CONSOLIDATED=Y","SCALING_FORMAT=MLN","Sort=A","Dates=H","DateFormat=P","Fill=—","Direction=H","UseDPDF=Y")</f>
        <v>#NAME?</v>
      </c>
      <c r="CB128" s="2" t="e">
        <f ca="1">_xll.BDH($C$128,"TOT_DEBT_TO_EBITDA","FY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28" s="2" t="e">
        <f ca="1">_xll.BDH($C$128,"NET_DEBT_TO_EBITDA","FY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28" s="2" t="e">
        <f ca="1">_xll.BDH($C$128,"TOTAL_DEBT_TO_EBIT","FY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28" s="2" t="e">
        <f ca="1">_xll.BDH($C$128,"NET_DEBT_TO_EBIT","FY 2014","FY 2014","Currency=INR","Period=FY","BEST_FPERIOD_OVERRIDE=FY","FILING_STATUS=OR","EQY_CONSOLIDATED=Y","FA_ADJUSTED=GAAP","Sort=A","Dates=H","DateFormat=P","Fill=—","Direction=H","UseDPDF=Y")</f>
        <v>#NAME?</v>
      </c>
      <c r="CF128" s="2" t="e">
        <f ca="1">_xll.BDH($C$128,"EBITDA_TO_INTEREST_EXPN","FY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28" s="2" t="e">
        <f ca="1">_xll.BDH($C$128,"COM_EQY_TO_TOT_ASSET","FY 2014","FY 2014","Currency=INR","Period=FY","BEST_FPERIOD_OVERRIDE=FY","FILING_STATUS=OR","EQY_CONSOLIDATED=Y","Sort=A","Dates=H","DateFormat=P","Fill=—","Direction=H","UseDPDF=Y")</f>
        <v>#NAME?</v>
      </c>
      <c r="CH128" s="2" t="e">
        <f ca="1">_xll.BDH($C$128,"LT_DEBT_TO_TOT_EQY","FY 2014","FY 2014","Currency=INR","Period=FY","BEST_FPERIOD_OVERRIDE=FY","FILING_STATUS=OR","EQY_CONSOLIDATED=Y","Sort=A","Dates=H","DateFormat=P","Fill=—","Direction=H","UseDPDF=Y")</f>
        <v>#NAME?</v>
      </c>
      <c r="CI128" s="2" t="e">
        <f ca="1">_xll.BDH($C$128,"LT_DEBT_TO_TOT_CAP","FY 2014","FY 2014","Currency=INR","Period=FY","BEST_FPERIOD_OVERRIDE=FY","FILING_STATUS=OR","EQY_CONSOLIDATED=Y","Sort=A","Dates=H","DateFormat=P","Fill=—","Direction=H","UseDPDF=Y")</f>
        <v>#NAME?</v>
      </c>
      <c r="CJ128" s="2" t="e">
        <f ca="1">_xll.BDH($C$128,"LT_DEBT_TO_TOT_ASSET","FY 2014","FY 2014","Currency=INR","Period=FY","BEST_FPERIOD_OVERRIDE=FY","FILING_STATUS=OR","EQY_CONSOLIDATED=Y","Sort=A","Dates=H","DateFormat=P","Fill=—","Direction=H","UseDPDF=Y")</f>
        <v>#NAME?</v>
      </c>
      <c r="CK128" s="2" t="e">
        <f ca="1">_xll.BDH($C$128,"TOT_DEBT_TO_TOT_EQY","FY 2014","FY 2014","Currency=INR","Period=FY","BEST_FPERIOD_OVERRIDE=FY","FILING_STATUS=OR","EQY_CONSOLIDATED=Y","Sort=A","Dates=H","DateFormat=P","Fill=—","Direction=H","UseDPDF=Y")</f>
        <v>#NAME?</v>
      </c>
      <c r="CL128" s="2" t="e">
        <f ca="1">_xll.BDH($C$128,"TOT_DEBT_TO_TOT_CAP","FY 2014","FY 2014","Currency=INR","Period=FY","BEST_FPERIOD_OVERRIDE=FY","FILING_STATUS=OR","EQY_CONSOLIDATED=Y","Sort=A","Dates=H","DateFormat=P","Fill=—","Direction=H","UseDPDF=Y")</f>
        <v>#NAME?</v>
      </c>
      <c r="CM128" s="2" t="e">
        <f ca="1">_xll.BDH($C$128,"TOT_DEBT_TO_TOT_ASSET","FY 2014","FY 2014","Currency=INR","Period=FY","BEST_FPERIOD_OVERRIDE=FY","FILING_STATUS=OR","EQY_CONSOLIDATED=Y","Sort=A","Dates=H","DateFormat=P","Fill=—","Direction=H","UseDPDF=Y")</f>
        <v>#NAME?</v>
      </c>
      <c r="CN128" s="2" t="e">
        <f ca="1">_xll.BDH($C$128,"NET_DEBT_TO_SHRHLDR_EQTY","FY 2014","FY 2014","Currency=INR","Period=FY","BEST_FPERIOD_OVERRIDE=FY","FILING_STATUS=OR","EQY_CONSOLIDATED=Y","Sort=A","Dates=H","DateFormat=P","Fill=—","Direction=H","UseDPDF=Y")</f>
        <v>#NAME?</v>
      </c>
      <c r="CO128" s="2" t="e">
        <f ca="1">_xll.BDH($C$128,"NET_DEBT_%_CAPITAL","FY 2014","FY 2014","Currency=INR","Period=FY","BEST_FPERIOD_OVERRIDE=FY","FILING_STATUS=OR","EQY_CONSOLIDATED=Y","Sort=A","Dates=H","DateFormat=P","Fill=—","Direction=H","UseDPDF=Y")</f>
        <v>#NAME?</v>
      </c>
      <c r="CP128" s="3" t="e">
        <f ca="1">_xll.BDH($C$128,"EBITDA","FY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28" s="3" t="e">
        <f ca="1">_xll.BDH($C$128,"EBITDA_AFTER_CAPEX","FY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28" s="3" t="e">
        <f ca="1">_xll.BDH($C$128,"IS_OPER_INC","FY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28" s="2" t="e">
        <f ca="1">_xll.BDH($C$128,"CASH_RATIO","FY 2014","FY 2014","Currency=INR","Period=FY","BEST_FPERIOD_OVERRIDE=FY","FILING_STATUS=OR","EQY_CONSOLIDATED=Y","Sort=A","Dates=H","DateFormat=P","Fill=—","Direction=H","UseDPDF=Y")</f>
        <v>#NAME?</v>
      </c>
      <c r="CT128" s="2" t="e">
        <f ca="1">_xll.BDH($C$128,"CUR_RATIO","FY 2014","FY 2014","Currency=INR","Period=FY","BEST_FPERIOD_OVERRIDE=FY","FILING_STATUS=OR","EQY_CONSOLIDATED=Y","Sort=A","Dates=H","DateFormat=P","Fill=—","Direction=H","UseDPDF=Y")</f>
        <v>#NAME?</v>
      </c>
      <c r="CU128" s="2" t="e">
        <f ca="1">_xll.BDH($C$128,"QUICK_RATIO","FY 2014","FY 2014","Currency=INR","Period=FY","BEST_FPERIOD_OVERRIDE=FY","FILING_STATUS=OR","EQY_CONSOLIDATED=Y","Sort=A","Dates=H","DateFormat=P","Fill=—","Direction=H","UseDPDF=Y")</f>
        <v>#NAME?</v>
      </c>
      <c r="CV128" s="2" t="e">
        <f ca="1">_xll.BDH($C$128,"ALTMAN_Z_SCORE","FY 2014","FY 2014","Currency=INR","Period=FY","BEST_FPERIOD_OVERRIDE=FY","FILING_STATUS=OR","EQY_CONSOLIDATED=Y","Sort=A","Dates=H","DateFormat=P","Fill=—","Direction=H","UseDPDF=Y")</f>
        <v>#NAME?</v>
      </c>
      <c r="CW128" s="4" t="e">
        <f ca="1">_xll.BDH($C$128,"ACCT_RCV_TURN","FY 2014","FY 2014","Currency=INR","Period=FY","BEST_FPERIOD_OVERRIDE=FY","FILING_STATUS=OR","EQY_CONSOLIDATED=Y","FA_ADJUSTED=GAAP","Sort=A","Dates=H","DateFormat=P","Fill=—","Direction=H","UseDPDF=Y")</f>
        <v>#NAME?</v>
      </c>
      <c r="CX128" s="2" t="e">
        <f ca="1">_xll.BDH($C$128,"ACCT_RCV_DAYS","FY 2014","FY 2014","Currency=INR","Period=FY","BEST_FPERIOD_OVERRIDE=FY","FILING_STATUS=OR","EQY_CONSOLIDATED=Y","FA_ADJUSTED=GAAP","Sort=A","Dates=H","DateFormat=P","Fill=—","Direction=H","UseDPDF=Y")</f>
        <v>#NAME?</v>
      </c>
      <c r="CY128" s="4" t="e">
        <f ca="1">_xll.BDH($C$128,"INVENT_TURN","FY 2014","FY 2014","Currency=INR","Period=FY","BEST_FPERIOD_OVERRIDE=FY","FILING_STATUS=OR","EQY_CONSOLIDATED=Y","FA_ADJUSTED=GAAP","Sort=A","Dates=H","DateFormat=P","Fill=—","Direction=H","UseDPDF=Y")</f>
        <v>#NAME?</v>
      </c>
      <c r="CZ128" s="2" t="e">
        <f ca="1">_xll.BDH($C$128,"INVENT_DAYS","FY 2014","FY 2014","Currency=INR","Period=FY","BEST_FPERIOD_OVERRIDE=FY","FILING_STATUS=OR","EQY_CONSOLIDATED=Y","FA_ADJUSTED=GAAP","Sort=A","Dates=H","DateFormat=P","Fill=—","Direction=H","UseDPDF=Y")</f>
        <v>#NAME?</v>
      </c>
      <c r="DA128" s="4" t="e">
        <f ca="1">_xll.BDH($C$128,"ACCOUNTS_PAYABLE_TURNOVER","FY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28" s="2" t="e">
        <f ca="1">_xll.BDH($C$128,"ACCOUNTS_PAYABLE_TURNOVER_DAYS","FY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28" s="4" t="e">
        <f ca="1">_xll.BDH($C$128,"CASH_CONVERSION_CYCLE","FY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28" s="4" t="e">
        <f ca="1">_xll.BDH($C$128,"INV_TO_CASH_DAYS","FY 2014","FY 2014","Currency=INR","Period=FY","BEST_FPERIOD_OVERRIDE=FY","FILING_STATUS=OR","EQY_CONSOLIDATED=Y","FA_ADJUSTED=GAAP","Sort=A","Dates=H","DateFormat=P","Fill=—","Direction=H","UseDPDF=Y")</f>
        <v>#NAME?</v>
      </c>
      <c r="DE128" s="5" t="e">
        <f ca="1">_xll.BDH($C$128,"BS_INVENTORIES","FY 2014","FY 2014","Currency=INR","Period=FY","BEST_FPERIOD_OVERRIDE=FY","FILING_STATUS=OR","EQY_CONSOLIDATED=Y","SCALING_FORMAT=MLN","Sort=A","Dates=H","DateFormat=P","Fill=—","Direction=H","UseDPDF=Y")</f>
        <v>#NAME?</v>
      </c>
      <c r="DF128" s="3" t="e">
        <f ca="1">_xll.BDH($C$128,"INVTRY_RAW_MATERIALS","FY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28" s="3" t="e">
        <f ca="1">_xll.BDH($C$128,"INVTRY_IN_PROGRESS","FY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28" s="3" t="e">
        <f ca="1">_xll.BDH($C$128,"INVTRY_FINISHED_GOODS","FY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28" s="3" t="e">
        <f ca="1">_xll.BDH($C$128,"BS_OTHER_INV","FY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29" spans="1:113" x14ac:dyDescent="0.3">
      <c r="A129" s="6"/>
      <c r="B129" s="6"/>
      <c r="C129" s="6"/>
      <c r="D129" s="6"/>
      <c r="E129" t="s">
        <v>78</v>
      </c>
      <c r="F129" t="e">
        <f ca="1">_xll.BDH($C$128,"RETURN_COM_EQY","FQ1 2014","FQ1 2014","Currency=INR","Period=FQ","BEST_FPERIOD_OVERRIDE=FQ","FILING_STATUS=OR","EQY_CONSOLIDATED=Y","FA_ADJUSTED=GAAP","Sort=A","Dates=H","DateFormat=P","Fill=—","Direction=H","UseDPDF=Y")</f>
        <v>#NAME?</v>
      </c>
      <c r="G129" t="e">
        <f ca="1">_xll.BDH($C$128,"RETURN_ON_ASSET","FQ1 2014","FQ1 2014","Currency=INR","Period=FQ","BEST_FPERIOD_OVERRIDE=FQ","FILING_STATUS=OR","EQY_CONSOLIDATED=Y","FA_ADJUSTED=GAAP","Sort=A","Dates=H","DateFormat=P","Fill=—","Direction=H","UseDPDF=Y")</f>
        <v>#NAME?</v>
      </c>
      <c r="H129" t="e">
        <f ca="1">_xll.BDH($C$128,"RETURN_ON_CAP","FQ1 2014","FQ1 2014","Currency=INR","Period=FQ","BEST_FPERIOD_OVERRIDE=FQ","FILING_STATUS=OR","EQY_CONSOLIDATED=Y","FA_ADJUSTED=GAAP","Sort=A","Dates=H","DateFormat=P","Fill=—","Direction=H","UseDPDF=Y")</f>
        <v>#NAME?</v>
      </c>
      <c r="I129" t="e">
        <f ca="1">_xll.BDH($C$128,"RETURN_ON_INV_CAPITAL","FQ1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29" t="e">
        <f ca="1">_xll.BDH($C$128,"EBITDA_TO_REVENUE","FQ1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29" t="e">
        <f ca="1">_xll.BDH($C$128,"OPER_MARGIN","FQ1 2014","FQ1 2014","Currency=INR","Period=FQ","BEST_FPERIOD_OVERRIDE=FQ","FILING_STATUS=OR","EQY_CONSOLIDATED=Y","FA_ADJUSTED=GAAP","Sort=A","Dates=H","DateFormat=P","Fill=—","Direction=H","UseDPDF=Y")</f>
        <v>#NAME?</v>
      </c>
      <c r="L129" t="e">
        <f ca="1">_xll.BDH($C$128,"INCREMENTAL_OPERATING_MARGIN","FQ1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29" t="e">
        <f ca="1">_xll.BDH($C$128,"PRETAX_INC_TO_NET_SALES","FQ1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29" t="e">
        <f ca="1">_xll.BDH($C$128,"INC_BEF_XO_ITEMS_TO_NET_SALES","FQ1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29" t="e">
        <f ca="1">_xll.BDH($C$128,"PROF_MARGIN","FQ1 2014","FQ1 2014","Currency=INR","Period=FQ","BEST_FPERIOD_OVERRIDE=FQ","FILING_STATUS=OR","EQY_CONSOLIDATED=Y","FA_ADJUSTED=GAAP","Sort=A","Dates=H","DateFormat=P","Fill=—","Direction=H","UseDPDF=Y")</f>
        <v>#NAME?</v>
      </c>
      <c r="P129" t="e">
        <f ca="1">_xll.BDH($C$128,"NET_INCOME_TO_COMMON_MARGIN","FQ1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29" t="e">
        <f ca="1">_xll.BDH($C$128,"EFF_TAX_RATE","FQ1 2014","FQ1 2014","Currency=INR","Period=FQ","BEST_FPERIOD_OVERRIDE=FQ","FILING_STATUS=OR","EQY_CONSOLIDATED=Y","FA_ADJUSTED=GAAP","Sort=A","Dates=H","DateFormat=P","Fill=—","Direction=H","UseDPDF=Y")</f>
        <v>#NAME?</v>
      </c>
      <c r="R129" t="e">
        <f ca="1">_xll.BDH($C$128,"DVD_PAYOUT_RATIO","FQ1 2014","FQ1 2014","Currency=INR","Period=FQ","BEST_FPERIOD_OVERRIDE=FQ","FILING_STATUS=OR","EQY_CONSOLIDATED=Y","FA_ADJUSTED=GAAP","Sort=A","Dates=H","DateFormat=P","Fill=—","Direction=H","UseDPDF=Y")</f>
        <v>#NAME?</v>
      </c>
      <c r="S129" t="e">
        <f ca="1">_xll.BDH($C$128,"SUSTAIN_GROWTH_RT","FQ1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29" s="2" t="e">
        <f ca="1">_xll.BDH($C$128,"SALES_GROWTH","FQ1 2014","FQ1 2014","Currency=INR","Period=FQ","BEST_FPERIOD_OVERRIDE=FQ","FILING_STATUS=OR","EQY_CONSOLIDATED=Y","FA_ADJUSTED=GAAP","Sort=A","Dates=H","DateFormat=P","Fill=—","Direction=H","UseDPDF=Y")</f>
        <v>#NAME?</v>
      </c>
      <c r="U129" s="2" t="e">
        <f ca="1">_xll.BDH($C$128,"EBITDA_GROWTH","FQ1 2014","FQ1 2014","Currency=INR","Period=FQ","BEST_FPERIOD_OVERRIDE=FQ","FILING_STATUS=OR","EQY_CONSOLIDATED=Y","FA_ADJUSTED=GAAP","Sort=A","Dates=H","DateFormat=P","Fill=—","Direction=H","UseDPDF=Y")</f>
        <v>#NAME?</v>
      </c>
      <c r="V129" s="2" t="e">
        <f ca="1">_xll.BDH($C$128,"OPER_INC_GROWTH","FQ1 2014","FQ1 2014","Currency=INR","Period=FQ","BEST_FPERIOD_OVERRIDE=FQ","FILING_STATUS=OR","EQY_CONSOLIDATED=Y","FA_ADJUSTED=GAAP","Sort=A","Dates=H","DateFormat=P","Fill=—","Direction=H","UseDPDF=Y")</f>
        <v>#NAME?</v>
      </c>
      <c r="W129" s="2" t="e">
        <f ca="1">_xll.BDH($C$128,"EARN_FOR_COM_GROWTH","FQ1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29" s="2" t="e">
        <f ca="1">_xll.BDH($C$128,"DILUTED_EPS_AFT_XO_ITEMS_GROWTH","FQ1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29" s="2" t="e">
        <f ca="1">_xll.BDH($C$128,"DIVIDEND_PER_SHARE_1_YEAR_GROWTH","FQ1 2014","FQ1 2014","Currency=INR","Period=FQ","BEST_FPERIOD_OVERRIDE=FQ","FILING_STATUS=OR","EQY_CONSOLIDATED=Y","Sort=A","Dates=H","DateFormat=P","Fill=—","Direction=H","UseDPDF=Y")</f>
        <v>#NAME?</v>
      </c>
      <c r="Z129" s="2" t="e">
        <f ca="1">_xll.BDH($C$128,"ACCOUNTS_RECEIVABLE_GROWTH","FQ1 2014","FQ1 2014","Currency=INR","Period=FQ","BEST_FPERIOD_OVERRIDE=FQ","FILING_STATUS=OR","EQY_CONSOLIDATED=Y","Sort=A","Dates=H","DateFormat=P","Fill=—","Direction=H","UseDPDF=Y")</f>
        <v>#NAME?</v>
      </c>
      <c r="AA129" s="2" t="e">
        <f ca="1">_xll.BDH($C$128,"INVENTORY_GROWTH","FQ1 2014","FQ1 2014","Currency=INR","Period=FQ","BEST_FPERIOD_OVERRIDE=FQ","FILING_STATUS=OR","EQY_CONSOLIDATED=Y","Sort=A","Dates=H","DateFormat=P","Fill=—","Direction=H","UseDPDF=Y")</f>
        <v>#NAME?</v>
      </c>
      <c r="AB129" s="2" t="e">
        <f ca="1">_xll.BDH($C$128,"NET_FIXED_ASSETS_1_YEAR_GROWTH","FQ1 2014","FQ1 2014","Currency=INR","Period=FQ","BEST_FPERIOD_OVERRIDE=FQ","FILING_STATUS=OR","EQY_CONSOLIDATED=Y","Sort=A","Dates=H","DateFormat=P","Fill=—","Direction=H","UseDPDF=Y")</f>
        <v>#NAME?</v>
      </c>
      <c r="AC129" s="2" t="e">
        <f ca="1">_xll.BDH($C$128,"ASSET_GROWTH","FQ1 2014","FQ1 2014","Currency=INR","Period=FQ","BEST_FPERIOD_OVERRIDE=FQ","FILING_STATUS=OR","EQY_CONSOLIDATED=Y","Sort=A","Dates=H","DateFormat=P","Fill=—","Direction=H","UseDPDF=Y")</f>
        <v>#NAME?</v>
      </c>
      <c r="AD129" s="2" t="e">
        <f ca="1">_xll.BDH($C$128,"MODIFIED_WORK_CAP_GROWTH","FQ1 2014","FQ1 2014","Currency=INR","Period=FQ","BEST_FPERIOD_OVERRIDE=FQ","FILING_STATUS=OR","EQY_CONSOLIDATED=Y","Sort=A","Dates=H","DateFormat=P","Fill=—","Direction=H","UseDPDF=Y")</f>
        <v>#NAME?</v>
      </c>
      <c r="AE129" s="2" t="e">
        <f ca="1">_xll.BDH($C$128,"WORK_CAP_GROWTH","FQ1 2014","FQ1 2014","Currency=INR","Period=FQ","BEST_FPERIOD_OVERRIDE=FQ","FILING_STATUS=OR","EQY_CONSOLIDATED=Y","Sort=A","Dates=H","DateFormat=P","Fill=—","Direction=H","UseDPDF=Y")</f>
        <v>#NAME?</v>
      </c>
      <c r="AF129" s="2" t="e">
        <f ca="1">_xll.BDH($C$128,"ACCOUNTS_PAYABLE_GROWTH_1YR","FQ1 2014","FQ1 2014","Currency=INR","Period=FQ","BEST_FPERIOD_OVERRIDE=FQ","FILING_STATUS=OR","EQY_CONSOLIDATED=Y","Sort=A","Dates=H","DateFormat=P","Fill=—","Direction=H","UseDPDF=Y")</f>
        <v>#NAME?</v>
      </c>
      <c r="AG129" s="2" t="e">
        <f ca="1">_xll.BDH($C$128,"SHORT_TERM_DEBT_1_YEAR_GROWTH","FQ1 2014","FQ1 2014","Currency=INR","Period=FQ","BEST_FPERIOD_OVERRIDE=FQ","FILING_STATUS=OR","EQY_CONSOLIDATED=Y","Sort=A","Dates=H","DateFormat=P","Fill=—","Direction=H","UseDPDF=Y")</f>
        <v>#NAME?</v>
      </c>
      <c r="AH129" s="2" t="e">
        <f ca="1">_xll.BDH($C$128,"TOTAL_DEBT_1_YEAR_GROWTH","FQ1 2014","FQ1 2014","Currency=INR","Period=FQ","BEST_FPERIOD_OVERRIDE=FQ","FILING_STATUS=OR","EQY_CONSOLIDATED=Y","Sort=A","Dates=H","DateFormat=P","Fill=—","Direction=H","UseDPDF=Y")</f>
        <v>#NAME?</v>
      </c>
      <c r="AI129" s="2" t="e">
        <f ca="1">_xll.BDH($C$128,"TOTAL_EQUITY_1_YEAR_GROWTH","FQ1 2014","FQ1 2014","Currency=INR","Period=FQ","BEST_FPERIOD_OVERRIDE=FQ","FILING_STATUS=OR","EQY_CONSOLIDATED=Y","Sort=A","Dates=H","DateFormat=P","Fill=—","Direction=H","UseDPDF=Y")</f>
        <v>#NAME?</v>
      </c>
      <c r="AJ129" s="2" t="e">
        <f ca="1">_xll.BDH($C$128,"GROWTH_IN_CAP","FQ1 2014","FQ1 2014","Currency=INR","Period=FQ","BEST_FPERIOD_OVERRIDE=FQ","FILING_STATUS=OR","EQY_CONSOLIDATED=Y","Sort=A","Dates=H","DateFormat=P","Fill=—","Direction=H","UseDPDF=Y")</f>
        <v>#NAME?</v>
      </c>
      <c r="AK129" s="2" t="e">
        <f ca="1">_xll.BDH($C$128,"BVPS_GROWTH","FQ1 2014","FQ1 2014","Currency=INR","Period=FQ","BEST_FPERIOD_OVERRIDE=FQ","FILING_STATUS=OR","EQY_CONSOLIDATED=Y","Sort=A","Dates=H","DateFormat=P","Fill=—","Direction=H","UseDPDF=Y")</f>
        <v>#NAME?</v>
      </c>
      <c r="AL129" s="2" t="e">
        <f ca="1">_xll.BDH($C$128,"CASH_FLOW_GROWTH","FQ1 2014","FQ1 2014","Currency=INR","Period=FQ","BEST_FPERIOD_OVERRIDE=FQ","FILING_STATUS=OR","EQY_CONSOLIDATED=Y","Sort=A","Dates=H","DateFormat=P","Fill=—","Direction=H","UseDPDF=Y")</f>
        <v>#NAME?</v>
      </c>
      <c r="AM129" s="2" t="e">
        <f ca="1">_xll.BDH($C$128,"GEO_GROW_NET_SALES","FQ1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29" s="2" t="e">
        <f ca="1">_xll.BDH($C$128,"GEO_GROW_EBITDA","FQ1 2014","FQ1 2014","Currency=INR","Period=FQ","BEST_FPERIOD_OVERRIDE=FQ","FILING_STATUS=OR","EQY_CONSOLIDATED=Y","FA_ADJUSTED=GAAP","Sort=A","Dates=H","DateFormat=P","Fill=—","Direction=H","UseDPDF=Y")</f>
        <v>#NAME?</v>
      </c>
      <c r="AO129" s="2" t="e">
        <f ca="1">_xll.BDH($C$128,"GEO_GROW_OPER_INC","FQ1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29" s="2" t="e">
        <f ca="1">_xll.BDH($C$128,"NET_INCOME_TO_COMMON_5_YR_GROWTH","FQ1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29" s="2" t="e">
        <f ca="1">_xll.BDH($C$128,"5Y_GEO_GROWTH_DILUTED_EPS","FQ1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29" s="2" t="e">
        <f ca="1">_xll.BDH($C$128,"GEO_GROW_DVD_PER_SH","FQ1 2014","FQ1 2014","Currency=INR","Period=FQ","BEST_FPERIOD_OVERRIDE=FQ","FILING_STATUS=OR","EQY_CONSOLIDATED=Y","Sort=A","Dates=H","DateFormat=P","Fill=—","Direction=H","UseDPDF=Y")</f>
        <v>#NAME?</v>
      </c>
      <c r="AS129" s="2" t="e">
        <f ca="1">_xll.BDH($C$128,"ACCOUNTS_RECEIVABLE_5_YR_GROWTH","FQ1 2014","FQ1 2014","Currency=INR","Period=FQ","BEST_FPERIOD_OVERRIDE=FQ","FILING_STATUS=OR","EQY_CONSOLIDATED=Y","Sort=A","Dates=H","DateFormat=P","Fill=—","Direction=H","UseDPDF=Y")</f>
        <v>#NAME?</v>
      </c>
      <c r="AT129" s="2" t="e">
        <f ca="1">_xll.BDH($C$128,"INVENTORY_5_YEAR_GROWTH","FQ1 2014","FQ1 2014","Currency=INR","Period=FQ","BEST_FPERIOD_OVERRIDE=FQ","FILING_STATUS=OR","EQY_CONSOLIDATED=Y","Sort=A","Dates=H","DateFormat=P","Fill=—","Direction=H","UseDPDF=Y")</f>
        <v>#NAME?</v>
      </c>
      <c r="AU129" s="2" t="e">
        <f ca="1">_xll.BDH($C$128,"NET_FIXED_ASSETS_5_YEAR_GROWTH","FQ1 2014","FQ1 2014","Currency=INR","Period=FQ","BEST_FPERIOD_OVERRIDE=FQ","FILING_STATUS=OR","EQY_CONSOLIDATED=Y","Sort=A","Dates=H","DateFormat=P","Fill=—","Direction=H","UseDPDF=Y")</f>
        <v>#NAME?</v>
      </c>
      <c r="AV129" s="2" t="e">
        <f ca="1">_xll.BDH($C$128,"GEO_GROW_TOT_ASSET","FQ1 2014","FQ1 2014","Currency=INR","Period=FQ","BEST_FPERIOD_OVERRIDE=FQ","FILING_STATUS=OR","EQY_CONSOLIDATED=Y","Sort=A","Dates=H","DateFormat=P","Fill=—","Direction=H","UseDPDF=Y")</f>
        <v>#NAME?</v>
      </c>
      <c r="AW129" s="2" t="e">
        <f ca="1">_xll.BDH($C$128,"MODIFIED_WORKING_CPTL_5YR_GRWTH","FQ1 2014","FQ1 2014","Currency=INR","Period=FQ","BEST_FPERIOD_OVERRIDE=FQ","FILING_STATUS=OR","EQY_CONSOLIDATED=Y","Sort=A","Dates=H","DateFormat=P","Fill=—","Direction=H","UseDPDF=Y")</f>
        <v>#NAME?</v>
      </c>
      <c r="AX129" s="2" t="e">
        <f ca="1">_xll.BDH($C$128,"WORKING_CAPITAL_5_YEAR_GROWTH","FQ1 2014","FQ1 2014","Currency=INR","Period=FQ","BEST_FPERIOD_OVERRIDE=FQ","FILING_STATUS=OR","EQY_CONSOLIDATED=Y","Sort=A","Dates=H","DateFormat=P","Fill=—","Direction=H","UseDPDF=Y")</f>
        <v>#NAME?</v>
      </c>
      <c r="AY129" s="2" t="e">
        <f ca="1">_xll.BDH($C$128,"ACCOUNTS_PAYABLE_5_YEAR_GROWTH","FQ1 2014","FQ1 2014","Currency=INR","Period=FQ","BEST_FPERIOD_OVERRIDE=FQ","FILING_STATUS=OR","EQY_CONSOLIDATED=Y","Sort=A","Dates=H","DateFormat=P","Fill=—","Direction=H","UseDPDF=Y")</f>
        <v>#NAME?</v>
      </c>
      <c r="AZ129" s="2" t="e">
        <f ca="1">_xll.BDH($C$128,"SHORT_TERM_DEBT_5_YEAR_GROWTH","FQ1 2014","FQ1 2014","Currency=INR","Period=FQ","BEST_FPERIOD_OVERRIDE=FQ","FILING_STATUS=OR","EQY_CONSOLIDATED=Y","Sort=A","Dates=H","DateFormat=P","Fill=—","Direction=H","UseDPDF=Y")</f>
        <v>#NAME?</v>
      </c>
      <c r="BA129" s="2" t="e">
        <f ca="1">_xll.BDH($C$128,"TOTAL_DEBT_5_YEAR_GROWTH","FQ1 2014","FQ1 2014","Currency=INR","Period=FQ","BEST_FPERIOD_OVERRIDE=FQ","FILING_STATUS=OR","EQY_CONSOLIDATED=Y","Sort=A","Dates=H","DateFormat=P","Fill=—","Direction=H","UseDPDF=Y")</f>
        <v>#NAME?</v>
      </c>
      <c r="BB129" s="2" t="e">
        <f ca="1">_xll.BDH($C$128,"GEO_GROW_TOT_SHRHLDR_EQY","FQ1 2014","FQ1 2014","Currency=INR","Period=FQ","BEST_FPERIOD_OVERRIDE=FQ","FILING_STATUS=OR","EQY_CONSOLIDATED=Y","Sort=A","Dates=H","DateFormat=P","Fill=—","Direction=H","UseDPDF=Y")</f>
        <v>#NAME?</v>
      </c>
      <c r="BC129" s="2" t="e">
        <f ca="1">_xll.BDH($C$128,"TOTAL_CAPITAL_5_YEAR_GROWTH","FQ1 2014","FQ1 2014","Currency=INR","Period=FQ","BEST_FPERIOD_OVERRIDE=FQ","FILING_STATUS=OR","EQY_CONSOLIDATED=Y","Sort=A","Dates=H","DateFormat=P","Fill=—","Direction=H","UseDPDF=Y")</f>
        <v>#NAME?</v>
      </c>
      <c r="BD129" s="2" t="e">
        <f ca="1">_xll.BDH($C$128,"GEO_GROW_BOOK_VAL","FQ1 2014","FQ1 2014","Currency=INR","Period=FQ","BEST_FPERIOD_OVERRIDE=FQ","FILING_STATUS=OR","EQY_CONSOLIDATED=Y","Sort=A","Dates=H","DateFormat=P","Fill=—","Direction=H","UseDPDF=Y")</f>
        <v>#NAME?</v>
      </c>
      <c r="BE129" s="2" t="e">
        <f ca="1">_xll.BDH($C$128,"GEO_GROW_CASH_OPER_ACT","FQ1 2014","FQ1 2014","Currency=INR","Period=FQ","BEST_FPERIOD_OVERRIDE=FQ","FILING_STATUS=OR","EQY_CONSOLIDATED=Y","Sort=A","Dates=H","DateFormat=P","Fill=—","Direction=H","UseDPDF=Y")</f>
        <v>#NAME?</v>
      </c>
      <c r="BF129" s="2" t="e">
        <f ca="1">_xll.BDH($C$128,"REVENUE_SEQUENTIAL_GROWTH","FQ1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29" s="2" t="e">
        <f ca="1">_xll.BDH($C$128,"EBITDA_SEQUENTIAL_GROWTH","FQ1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29" s="2" t="e">
        <f ca="1">_xll.BDH($C$128,"OPERATING_INCOME_SEQ_GROWTH","FQ1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29" s="2" t="e">
        <f ca="1">_xll.BDH($C$128,"NET_INCOME_TO_COMMON_SEQ_GROWTH","FQ1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29" s="2" t="e">
        <f ca="1">_xll.BDH($C$128,"EPS_DILUTED_SEQUENTIAL_GROWTH","FQ1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29" s="2" t="e">
        <f ca="1">_xll.BDH($C$128,"DPS_SEQUENTIAL_GROWTH","FQ1 2014","FQ1 2014","Currency=INR","Period=FQ","BEST_FPERIOD_OVERRIDE=FQ","FILING_STATUS=OR","EQY_CONSOLIDATED=Y","Sort=A","Dates=H","DateFormat=P","Fill=—","Direction=H","UseDPDF=Y")</f>
        <v>#NAME?</v>
      </c>
      <c r="BL129" s="2" t="e">
        <f ca="1">_xll.BDH($C$128,"ACCOUNTS_RECEIVABLE_SEQ_GROWTH","FQ1 2014","FQ1 2014","Currency=INR","Period=FQ","BEST_FPERIOD_OVERRIDE=FQ","FILING_STATUS=OR","EQY_CONSOLIDATED=Y","Sort=A","Dates=H","DateFormat=P","Fill=—","Direction=H","UseDPDF=Y")</f>
        <v>#NAME?</v>
      </c>
      <c r="BM129" s="2" t="e">
        <f ca="1">_xll.BDH($C$128,"INVENTORY_SEQUENTIAL_GROWTH","FQ1 2014","FQ1 2014","Currency=INR","Period=FQ","BEST_FPERIOD_OVERRIDE=FQ","FILING_STATUS=OR","EQY_CONSOLIDATED=Y","Sort=A","Dates=H","DateFormat=P","Fill=—","Direction=H","UseDPDF=Y")</f>
        <v>#NAME?</v>
      </c>
      <c r="BN129" s="2" t="e">
        <f ca="1">_xll.BDH($C$128,"FIXED_ASSETS_SEQUENTIAL_GROWTH","FQ1 2014","FQ1 2014","Currency=INR","Period=FQ","BEST_FPERIOD_OVERRIDE=FQ","FILING_STATUS=OR","EQY_CONSOLIDATED=Y","Sort=A","Dates=H","DateFormat=P","Fill=—","Direction=H","UseDPDF=Y")</f>
        <v>#NAME?</v>
      </c>
      <c r="BO129" s="2" t="e">
        <f ca="1">_xll.BDH($C$128,"TOTAL_ASSETS_SEQUENTIAL_GROWTH","FQ1 2014","FQ1 2014","Currency=INR","Period=FQ","BEST_FPERIOD_OVERRIDE=FQ","FILING_STATUS=OR","EQY_CONSOLIDATED=Y","Sort=A","Dates=H","DateFormat=P","Fill=—","Direction=H","UseDPDF=Y")</f>
        <v>#NAME?</v>
      </c>
      <c r="BP129" s="2" t="e">
        <f ca="1">_xll.BDH($C$128,"MODIFIED_WORKING_CPTL_SEQ_GRWTH","FQ1 2014","FQ1 2014","Currency=INR","Period=FQ","BEST_FPERIOD_OVERRIDE=FQ","FILING_STATUS=OR","EQY_CONSOLIDATED=Y","Sort=A","Dates=H","DateFormat=P","Fill=—","Direction=H","UseDPDF=Y")</f>
        <v>#NAME?</v>
      </c>
      <c r="BQ129" s="2" t="e">
        <f ca="1">_xll.BDH($C$128,"WORKING_CAPITAL_SEQ_GROWTH","FQ1 2014","FQ1 2014","Currency=INR","Period=FQ","BEST_FPERIOD_OVERRIDE=FQ","FILING_STATUS=OR","EQY_CONSOLIDATED=Y","Sort=A","Dates=H","DateFormat=P","Fill=—","Direction=H","UseDPDF=Y")</f>
        <v>#NAME?</v>
      </c>
      <c r="BR129" s="2" t="e">
        <f ca="1">_xll.BDH($C$128,"ACCOUNTS_PAYABLE_SEQ_GROWTH","FQ1 2014","FQ1 2014","Currency=INR","Period=FQ","BEST_FPERIOD_OVERRIDE=FQ","FILING_STATUS=OR","EQY_CONSOLIDATED=Y","Sort=A","Dates=H","DateFormat=P","Fill=—","Direction=H","UseDPDF=Y")</f>
        <v>#NAME?</v>
      </c>
      <c r="BS129" s="2" t="e">
        <f ca="1">_xll.BDH($C$128,"ST_DEBT_SEQUENTIAL_GROWTH","FQ1 2014","FQ1 2014","Currency=INR","Period=FQ","BEST_FPERIOD_OVERRIDE=FQ","FILING_STATUS=OR","EQY_CONSOLIDATED=Y","Sort=A","Dates=H","DateFormat=P","Fill=—","Direction=H","UseDPDF=Y")</f>
        <v>#NAME?</v>
      </c>
      <c r="BT129" s="2" t="e">
        <f ca="1">_xll.BDH($C$128,"TOTAL_DEBT_SEQUENTIAL_GROWTH","FQ1 2014","FQ1 2014","Currency=INR","Period=FQ","BEST_FPERIOD_OVERRIDE=FQ","FILING_STATUS=OR","EQY_CONSOLIDATED=Y","Sort=A","Dates=H","DateFormat=P","Fill=—","Direction=H","UseDPDF=Y")</f>
        <v>#NAME?</v>
      </c>
      <c r="BU129" s="2" t="e">
        <f ca="1">_xll.BDH($C$128,"TOTAL_EQUITY_SEQUENTIAL_GROWTH","FQ1 2014","FQ1 2014","Currency=INR","Period=FQ","BEST_FPERIOD_OVERRIDE=FQ","FILING_STATUS=OR","EQY_CONSOLIDATED=Y","Sort=A","Dates=H","DateFormat=P","Fill=—","Direction=H","UseDPDF=Y")</f>
        <v>#NAME?</v>
      </c>
      <c r="BV129" s="2" t="e">
        <f ca="1">_xll.BDH($C$128,"TOTAL_CAPITAL_SEQUENTIAL_GROWTH","FQ1 2014","FQ1 2014","Currency=INR","Period=FQ","BEST_FPERIOD_OVERRIDE=FQ","FILING_STATUS=OR","EQY_CONSOLIDATED=Y","Sort=A","Dates=H","DateFormat=P","Fill=—","Direction=H","UseDPDF=Y")</f>
        <v>#NAME?</v>
      </c>
      <c r="BW129" s="2" t="e">
        <f ca="1">_xll.BDH($C$128,"BPS_SEQUENTIAL_GROWTH","FQ1 2014","FQ1 2014","Currency=INR","Period=FQ","BEST_FPERIOD_OVERRIDE=FQ","FILING_STATUS=OR","EQY_CONSOLIDATED=Y","Sort=A","Dates=H","DateFormat=P","Fill=—","Direction=H","UseDPDF=Y")</f>
        <v>#NAME?</v>
      </c>
      <c r="BX129" s="2" t="e">
        <f ca="1">_xll.BDH($C$128,"CFO_SEQUENTIAL_GROWTH","FQ1 2014","FQ1 2014","Currency=INR","Period=FQ","BEST_FPERIOD_OVERRIDE=FQ","FILING_STATUS=OR","EQY_CONSOLIDATED=Y","Sort=A","Dates=H","DateFormat=P","Fill=—","Direction=H","UseDPDF=Y")</f>
        <v>#NAME?</v>
      </c>
      <c r="BY129" s="3" t="e">
        <f ca="1">_xll.BDH($C$128,"SHORT_AND_LONG_TERM_DEBT","FQ1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29" s="3" t="e">
        <f ca="1">_xll.BDH($C$128,"BS_ST_BORROW","FQ1 2014","FQ1 2014","Currency=INR","Period=FQ","BEST_FPERIOD_OVERRIDE=FQ","FILING_STATUS=OR","EQY_CONSOLIDATED=Y","SCALING_FORMAT=MLN","Sort=A","Dates=H","DateFormat=P","Fill=—","Direction=H","UseDPDF=Y")</f>
        <v>#NAME?</v>
      </c>
      <c r="CA129" s="3" t="e">
        <f ca="1">_xll.BDH($C$128,"BS_LT_BORROW","FQ1 2014","FQ1 2014","Currency=INR","Period=FQ","BEST_FPERIOD_OVERRIDE=FQ","FILING_STATUS=OR","EQY_CONSOLIDATED=Y","SCALING_FORMAT=MLN","Sort=A","Dates=H","DateFormat=P","Fill=—","Direction=H","UseDPDF=Y")</f>
        <v>#NAME?</v>
      </c>
      <c r="CB129" s="2" t="e">
        <f ca="1">_xll.BDH($C$128,"TOT_DEBT_TO_EBITDA","FQ1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29" s="2" t="e">
        <f ca="1">_xll.BDH($C$128,"NET_DEBT_TO_EBITDA","FQ1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29" s="2" t="e">
        <f ca="1">_xll.BDH($C$128,"TOTAL_DEBT_TO_EBIT","FQ1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29" s="2" t="e">
        <f ca="1">_xll.BDH($C$128,"NET_DEBT_TO_EBIT","FQ1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29" s="2" t="e">
        <f ca="1">_xll.BDH($C$128,"EBITDA_TO_INTEREST_EXPN","FQ1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29" s="2" t="e">
        <f ca="1">_xll.BDH($C$128,"COM_EQY_TO_TOT_ASSET","FQ1 2014","FQ1 2014","Currency=INR","Period=FQ","BEST_FPERIOD_OVERRIDE=FQ","FILING_STATUS=OR","EQY_CONSOLIDATED=Y","Sort=A","Dates=H","DateFormat=P","Fill=—","Direction=H","UseDPDF=Y")</f>
        <v>#NAME?</v>
      </c>
      <c r="CH129" s="2" t="e">
        <f ca="1">_xll.BDH($C$128,"LT_DEBT_TO_TOT_EQY","FQ1 2014","FQ1 2014","Currency=INR","Period=FQ","BEST_FPERIOD_OVERRIDE=FQ","FILING_STATUS=OR","EQY_CONSOLIDATED=Y","Sort=A","Dates=H","DateFormat=P","Fill=—","Direction=H","UseDPDF=Y")</f>
        <v>#NAME?</v>
      </c>
      <c r="CI129" s="2" t="e">
        <f ca="1">_xll.BDH($C$128,"LT_DEBT_TO_TOT_CAP","FQ1 2014","FQ1 2014","Currency=INR","Period=FQ","BEST_FPERIOD_OVERRIDE=FQ","FILING_STATUS=OR","EQY_CONSOLIDATED=Y","Sort=A","Dates=H","DateFormat=P","Fill=—","Direction=H","UseDPDF=Y")</f>
        <v>#NAME?</v>
      </c>
      <c r="CJ129" s="2" t="e">
        <f ca="1">_xll.BDH($C$128,"LT_DEBT_TO_TOT_ASSET","FQ1 2014","FQ1 2014","Currency=INR","Period=FQ","BEST_FPERIOD_OVERRIDE=FQ","FILING_STATUS=OR","EQY_CONSOLIDATED=Y","Sort=A","Dates=H","DateFormat=P","Fill=—","Direction=H","UseDPDF=Y")</f>
        <v>#NAME?</v>
      </c>
      <c r="CK129" s="2" t="e">
        <f ca="1">_xll.BDH($C$128,"TOT_DEBT_TO_TOT_EQY","FQ1 2014","FQ1 2014","Currency=INR","Period=FQ","BEST_FPERIOD_OVERRIDE=FQ","FILING_STATUS=OR","EQY_CONSOLIDATED=Y","Sort=A","Dates=H","DateFormat=P","Fill=—","Direction=H","UseDPDF=Y")</f>
        <v>#NAME?</v>
      </c>
      <c r="CL129" s="2" t="e">
        <f ca="1">_xll.BDH($C$128,"TOT_DEBT_TO_TOT_CAP","FQ1 2014","FQ1 2014","Currency=INR","Period=FQ","BEST_FPERIOD_OVERRIDE=FQ","FILING_STATUS=OR","EQY_CONSOLIDATED=Y","Sort=A","Dates=H","DateFormat=P","Fill=—","Direction=H","UseDPDF=Y")</f>
        <v>#NAME?</v>
      </c>
      <c r="CM129" s="2" t="e">
        <f ca="1">_xll.BDH($C$128,"TOT_DEBT_TO_TOT_ASSET","FQ1 2014","FQ1 2014","Currency=INR","Period=FQ","BEST_FPERIOD_OVERRIDE=FQ","FILING_STATUS=OR","EQY_CONSOLIDATED=Y","Sort=A","Dates=H","DateFormat=P","Fill=—","Direction=H","UseDPDF=Y")</f>
        <v>#NAME?</v>
      </c>
      <c r="CN129" s="2" t="e">
        <f ca="1">_xll.BDH($C$128,"NET_DEBT_TO_SHRHLDR_EQTY","FQ1 2014","FQ1 2014","Currency=INR","Period=FQ","BEST_FPERIOD_OVERRIDE=FQ","FILING_STATUS=OR","EQY_CONSOLIDATED=Y","Sort=A","Dates=H","DateFormat=P","Fill=—","Direction=H","UseDPDF=Y")</f>
        <v>#NAME?</v>
      </c>
      <c r="CO129" s="2" t="e">
        <f ca="1">_xll.BDH($C$128,"NET_DEBT_%_CAPITAL","FQ1 2014","FQ1 2014","Currency=INR","Period=FQ","BEST_FPERIOD_OVERRIDE=FQ","FILING_STATUS=OR","EQY_CONSOLIDATED=Y","Sort=A","Dates=H","DateFormat=P","Fill=—","Direction=H","UseDPDF=Y")</f>
        <v>#NAME?</v>
      </c>
      <c r="CP129" s="3" t="e">
        <f ca="1">_xll.BDH($C$128,"EBITDA","FQ1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29" s="3" t="e">
        <f ca="1">_xll.BDH($C$128,"EBITDA_AFTER_CAPEX","FQ1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29" s="3" t="e">
        <f ca="1">_xll.BDH($C$128,"IS_OPER_INC","FQ1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29" s="2" t="e">
        <f ca="1">_xll.BDH($C$128,"CASH_RATIO","FQ1 2014","FQ1 2014","Currency=INR","Period=FQ","BEST_FPERIOD_OVERRIDE=FQ","FILING_STATUS=OR","EQY_CONSOLIDATED=Y","Sort=A","Dates=H","DateFormat=P","Fill=—","Direction=H","UseDPDF=Y")</f>
        <v>#NAME?</v>
      </c>
      <c r="CT129" s="2" t="e">
        <f ca="1">_xll.BDH($C$128,"CUR_RATIO","FQ1 2014","FQ1 2014","Currency=INR","Period=FQ","BEST_FPERIOD_OVERRIDE=FQ","FILING_STATUS=OR","EQY_CONSOLIDATED=Y","Sort=A","Dates=H","DateFormat=P","Fill=—","Direction=H","UseDPDF=Y")</f>
        <v>#NAME?</v>
      </c>
      <c r="CU129" s="2" t="e">
        <f ca="1">_xll.BDH($C$128,"QUICK_RATIO","FQ1 2014","FQ1 2014","Currency=INR","Period=FQ","BEST_FPERIOD_OVERRIDE=FQ","FILING_STATUS=OR","EQY_CONSOLIDATED=Y","Sort=A","Dates=H","DateFormat=P","Fill=—","Direction=H","UseDPDF=Y")</f>
        <v>#NAME?</v>
      </c>
      <c r="CV129" s="2" t="e">
        <f ca="1">_xll.BDH($C$128,"ALTMAN_Z_SCORE","FQ1 2014","FQ1 2014","Currency=INR","Period=FQ","BEST_FPERIOD_OVERRIDE=FQ","FILING_STATUS=OR","EQY_CONSOLIDATED=Y","Sort=A","Dates=H","DateFormat=P","Fill=—","Direction=H","UseDPDF=Y")</f>
        <v>#NAME?</v>
      </c>
      <c r="CW129" s="4" t="e">
        <f ca="1">_xll.BDH($C$128,"ACCT_RCV_TURN","FQ1 2014","FQ1 2014","Currency=INR","Period=FQ","BEST_FPERIOD_OVERRIDE=FQ","FILING_STATUS=OR","EQY_CONSOLIDATED=Y","FA_ADJUSTED=GAAP","Sort=A","Dates=H","DateFormat=P","Fill=—","Direction=H","UseDPDF=Y")</f>
        <v>#NAME?</v>
      </c>
      <c r="CX129" s="2" t="e">
        <f ca="1">_xll.BDH($C$128,"ACCT_RCV_DAYS","FQ1 2014","FQ1 2014","Currency=INR","Period=FQ","BEST_FPERIOD_OVERRIDE=FQ","FILING_STATUS=OR","EQY_CONSOLIDATED=Y","FA_ADJUSTED=GAAP","Sort=A","Dates=H","DateFormat=P","Fill=—","Direction=H","UseDPDF=Y")</f>
        <v>#NAME?</v>
      </c>
      <c r="CY129" s="4" t="e">
        <f ca="1">_xll.BDH($C$128,"INVENT_TURN","FQ1 2014","FQ1 2014","Currency=INR","Period=FQ","BEST_FPERIOD_OVERRIDE=FQ","FILING_STATUS=OR","EQY_CONSOLIDATED=Y","FA_ADJUSTED=GAAP","Sort=A","Dates=H","DateFormat=P","Fill=—","Direction=H","UseDPDF=Y")</f>
        <v>#NAME?</v>
      </c>
      <c r="CZ129" s="2" t="e">
        <f ca="1">_xll.BDH($C$128,"INVENT_DAYS","FQ1 2014","FQ1 2014","Currency=INR","Period=FQ","BEST_FPERIOD_OVERRIDE=FQ","FILING_STATUS=OR","EQY_CONSOLIDATED=Y","FA_ADJUSTED=GAAP","Sort=A","Dates=H","DateFormat=P","Fill=—","Direction=H","UseDPDF=Y")</f>
        <v>#NAME?</v>
      </c>
      <c r="DA129" s="4" t="e">
        <f ca="1">_xll.BDH($C$128,"ACCOUNTS_PAYABLE_TURNOVER","FQ1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29" s="2" t="e">
        <f ca="1">_xll.BDH($C$128,"ACCOUNTS_PAYABLE_TURNOVER_DAYS","FQ1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29" s="4" t="e">
        <f ca="1">_xll.BDH($C$128,"CASH_CONVERSION_CYCLE","FQ1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29" s="4" t="e">
        <f ca="1">_xll.BDH($C$128,"INV_TO_CASH_DAYS","FQ1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29" s="5" t="e">
        <f ca="1">_xll.BDH($C$128,"BS_INVENTORIES","FQ1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29" s="3" t="e">
        <f ca="1">_xll.BDH($C$128,"INVTRY_RAW_MATERIALS","FQ1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29" s="3" t="e">
        <f ca="1">_xll.BDH($C$128,"INVTRY_IN_PROGRESS","FQ1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29" s="3" t="e">
        <f ca="1">_xll.BDH($C$128,"INVTRY_FINISHED_GOODS","FQ1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29" s="3" t="e">
        <f ca="1">_xll.BDH($C$128,"BS_OTHER_INV","FQ1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30" spans="1:113" x14ac:dyDescent="0.3">
      <c r="A130" s="6"/>
      <c r="B130" s="6"/>
      <c r="C130" s="6"/>
      <c r="D130" s="6"/>
      <c r="E130" t="s">
        <v>79</v>
      </c>
      <c r="F130" t="e">
        <f ca="1">_xll.BDH($C$128,"RETURN_COM_EQY","FQ2 2014","FQ2 2014","Currency=INR","Period=FQ","BEST_FPERIOD_OVERRIDE=FQ","FILING_STATUS=OR","EQY_CONSOLIDATED=Y","FA_ADJUSTED=GAAP","Sort=A","Dates=H","DateFormat=P","Fill=—","Direction=H","UseDPDF=Y")</f>
        <v>#NAME?</v>
      </c>
      <c r="G130" t="e">
        <f ca="1">_xll.BDH($C$128,"RETURN_ON_ASSET","FQ2 2014","FQ2 2014","Currency=INR","Period=FQ","BEST_FPERIOD_OVERRIDE=FQ","FILING_STATUS=OR","EQY_CONSOLIDATED=Y","FA_ADJUSTED=GAAP","Sort=A","Dates=H","DateFormat=P","Fill=—","Direction=H","UseDPDF=Y")</f>
        <v>#NAME?</v>
      </c>
      <c r="H130" t="e">
        <f ca="1">_xll.BDH($C$128,"RETURN_ON_CAP","FQ2 2014","FQ2 2014","Currency=INR","Period=FQ","BEST_FPERIOD_OVERRIDE=FQ","FILING_STATUS=OR","EQY_CONSOLIDATED=Y","FA_ADJUSTED=GAAP","Sort=A","Dates=H","DateFormat=P","Fill=—","Direction=H","UseDPDF=Y")</f>
        <v>#NAME?</v>
      </c>
      <c r="I130" t="e">
        <f ca="1">_xll.BDH($C$128,"RETURN_ON_INV_CAPITAL","FQ2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30" t="e">
        <f ca="1">_xll.BDH($C$128,"EBITDA_TO_REVENUE","FQ2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30" t="e">
        <f ca="1">_xll.BDH($C$128,"OPER_MARGIN","FQ2 2014","FQ2 2014","Currency=INR","Period=FQ","BEST_FPERIOD_OVERRIDE=FQ","FILING_STATUS=OR","EQY_CONSOLIDATED=Y","FA_ADJUSTED=GAAP","Sort=A","Dates=H","DateFormat=P","Fill=—","Direction=H","UseDPDF=Y")</f>
        <v>#NAME?</v>
      </c>
      <c r="L130" t="e">
        <f ca="1">_xll.BDH($C$128,"INCREMENTAL_OPERATING_MARGIN","FQ2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30" t="e">
        <f ca="1">_xll.BDH($C$128,"PRETAX_INC_TO_NET_SALES","FQ2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30" t="e">
        <f ca="1">_xll.BDH($C$128,"INC_BEF_XO_ITEMS_TO_NET_SALES","FQ2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30" t="e">
        <f ca="1">_xll.BDH($C$128,"PROF_MARGIN","FQ2 2014","FQ2 2014","Currency=INR","Period=FQ","BEST_FPERIOD_OVERRIDE=FQ","FILING_STATUS=OR","EQY_CONSOLIDATED=Y","FA_ADJUSTED=GAAP","Sort=A","Dates=H","DateFormat=P","Fill=—","Direction=H","UseDPDF=Y")</f>
        <v>#NAME?</v>
      </c>
      <c r="P130" t="e">
        <f ca="1">_xll.BDH($C$128,"NET_INCOME_TO_COMMON_MARGIN","FQ2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30" t="e">
        <f ca="1">_xll.BDH($C$128,"EFF_TAX_RATE","FQ2 2014","FQ2 2014","Currency=INR","Period=FQ","BEST_FPERIOD_OVERRIDE=FQ","FILING_STATUS=OR","EQY_CONSOLIDATED=Y","FA_ADJUSTED=GAAP","Sort=A","Dates=H","DateFormat=P","Fill=—","Direction=H","UseDPDF=Y")</f>
        <v>#NAME?</v>
      </c>
      <c r="R130" t="e">
        <f ca="1">_xll.BDH($C$128,"DVD_PAYOUT_RATIO","FQ2 2014","FQ2 2014","Currency=INR","Period=FQ","BEST_FPERIOD_OVERRIDE=FQ","FILING_STATUS=OR","EQY_CONSOLIDATED=Y","FA_ADJUSTED=GAAP","Sort=A","Dates=H","DateFormat=P","Fill=—","Direction=H","UseDPDF=Y")</f>
        <v>#NAME?</v>
      </c>
      <c r="S130" t="e">
        <f ca="1">_xll.BDH($C$128,"SUSTAIN_GROWTH_RT","FQ2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30" s="2" t="e">
        <f ca="1">_xll.BDH($C$128,"SALES_GROWTH","FQ2 2014","FQ2 2014","Currency=INR","Period=FQ","BEST_FPERIOD_OVERRIDE=FQ","FILING_STATUS=OR","EQY_CONSOLIDATED=Y","FA_ADJUSTED=GAAP","Sort=A","Dates=H","DateFormat=P","Fill=—","Direction=H","UseDPDF=Y")</f>
        <v>#NAME?</v>
      </c>
      <c r="U130" s="2" t="e">
        <f ca="1">_xll.BDH($C$128,"EBITDA_GROWTH","FQ2 2014","FQ2 2014","Currency=INR","Period=FQ","BEST_FPERIOD_OVERRIDE=FQ","FILING_STATUS=OR","EQY_CONSOLIDATED=Y","FA_ADJUSTED=GAAP","Sort=A","Dates=H","DateFormat=P","Fill=—","Direction=H","UseDPDF=Y")</f>
        <v>#NAME?</v>
      </c>
      <c r="V130" s="2" t="e">
        <f ca="1">_xll.BDH($C$128,"OPER_INC_GROWTH","FQ2 2014","FQ2 2014","Currency=INR","Period=FQ","BEST_FPERIOD_OVERRIDE=FQ","FILING_STATUS=OR","EQY_CONSOLIDATED=Y","FA_ADJUSTED=GAAP","Sort=A","Dates=H","DateFormat=P","Fill=—","Direction=H","UseDPDF=Y")</f>
        <v>#NAME?</v>
      </c>
      <c r="W130" s="2" t="e">
        <f ca="1">_xll.BDH($C$128,"EARN_FOR_COM_GROWTH","FQ2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30" s="2" t="e">
        <f ca="1">_xll.BDH($C$128,"DILUTED_EPS_AFT_XO_ITEMS_GROWTH","FQ2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30" s="2" t="e">
        <f ca="1">_xll.BDH($C$128,"DIVIDEND_PER_SHARE_1_YEAR_GROWTH","FQ2 2014","FQ2 2014","Currency=INR","Period=FQ","BEST_FPERIOD_OVERRIDE=FQ","FILING_STATUS=OR","EQY_CONSOLIDATED=Y","Sort=A","Dates=H","DateFormat=P","Fill=—","Direction=H","UseDPDF=Y")</f>
        <v>#NAME?</v>
      </c>
      <c r="Z130" s="2" t="e">
        <f ca="1">_xll.BDH($C$128,"ACCOUNTS_RECEIVABLE_GROWTH","FQ2 2014","FQ2 2014","Currency=INR","Period=FQ","BEST_FPERIOD_OVERRIDE=FQ","FILING_STATUS=OR","EQY_CONSOLIDATED=Y","Sort=A","Dates=H","DateFormat=P","Fill=—","Direction=H","UseDPDF=Y")</f>
        <v>#NAME?</v>
      </c>
      <c r="AA130" s="2" t="e">
        <f ca="1">_xll.BDH($C$128,"INVENTORY_GROWTH","FQ2 2014","FQ2 2014","Currency=INR","Period=FQ","BEST_FPERIOD_OVERRIDE=FQ","FILING_STATUS=OR","EQY_CONSOLIDATED=Y","Sort=A","Dates=H","DateFormat=P","Fill=—","Direction=H","UseDPDF=Y")</f>
        <v>#NAME?</v>
      </c>
      <c r="AB130" s="2" t="e">
        <f ca="1">_xll.BDH($C$128,"NET_FIXED_ASSETS_1_YEAR_GROWTH","FQ2 2014","FQ2 2014","Currency=INR","Period=FQ","BEST_FPERIOD_OVERRIDE=FQ","FILING_STATUS=OR","EQY_CONSOLIDATED=Y","Sort=A","Dates=H","DateFormat=P","Fill=—","Direction=H","UseDPDF=Y")</f>
        <v>#NAME?</v>
      </c>
      <c r="AC130" s="2" t="e">
        <f ca="1">_xll.BDH($C$128,"ASSET_GROWTH","FQ2 2014","FQ2 2014","Currency=INR","Period=FQ","BEST_FPERIOD_OVERRIDE=FQ","FILING_STATUS=OR","EQY_CONSOLIDATED=Y","Sort=A","Dates=H","DateFormat=P","Fill=—","Direction=H","UseDPDF=Y")</f>
        <v>#NAME?</v>
      </c>
      <c r="AD130" s="2" t="e">
        <f ca="1">_xll.BDH($C$128,"MODIFIED_WORK_CAP_GROWTH","FQ2 2014","FQ2 2014","Currency=INR","Period=FQ","BEST_FPERIOD_OVERRIDE=FQ","FILING_STATUS=OR","EQY_CONSOLIDATED=Y","Sort=A","Dates=H","DateFormat=P","Fill=—","Direction=H","UseDPDF=Y")</f>
        <v>#NAME?</v>
      </c>
      <c r="AE130" s="2" t="e">
        <f ca="1">_xll.BDH($C$128,"WORK_CAP_GROWTH","FQ2 2014","FQ2 2014","Currency=INR","Period=FQ","BEST_FPERIOD_OVERRIDE=FQ","FILING_STATUS=OR","EQY_CONSOLIDATED=Y","Sort=A","Dates=H","DateFormat=P","Fill=—","Direction=H","UseDPDF=Y")</f>
        <v>#NAME?</v>
      </c>
      <c r="AF130" s="2" t="e">
        <f ca="1">_xll.BDH($C$128,"ACCOUNTS_PAYABLE_GROWTH_1YR","FQ2 2014","FQ2 2014","Currency=INR","Period=FQ","BEST_FPERIOD_OVERRIDE=FQ","FILING_STATUS=OR","EQY_CONSOLIDATED=Y","Sort=A","Dates=H","DateFormat=P","Fill=—","Direction=H","UseDPDF=Y")</f>
        <v>#NAME?</v>
      </c>
      <c r="AG130" s="2" t="e">
        <f ca="1">_xll.BDH($C$128,"SHORT_TERM_DEBT_1_YEAR_GROWTH","FQ2 2014","FQ2 2014","Currency=INR","Period=FQ","BEST_FPERIOD_OVERRIDE=FQ","FILING_STATUS=OR","EQY_CONSOLIDATED=Y","Sort=A","Dates=H","DateFormat=P","Fill=—","Direction=H","UseDPDF=Y")</f>
        <v>#NAME?</v>
      </c>
      <c r="AH130" s="2" t="e">
        <f ca="1">_xll.BDH($C$128,"TOTAL_DEBT_1_YEAR_GROWTH","FQ2 2014","FQ2 2014","Currency=INR","Period=FQ","BEST_FPERIOD_OVERRIDE=FQ","FILING_STATUS=OR","EQY_CONSOLIDATED=Y","Sort=A","Dates=H","DateFormat=P","Fill=—","Direction=H","UseDPDF=Y")</f>
        <v>#NAME?</v>
      </c>
      <c r="AI130" s="2" t="e">
        <f ca="1">_xll.BDH($C$128,"TOTAL_EQUITY_1_YEAR_GROWTH","FQ2 2014","FQ2 2014","Currency=INR","Period=FQ","BEST_FPERIOD_OVERRIDE=FQ","FILING_STATUS=OR","EQY_CONSOLIDATED=Y","Sort=A","Dates=H","DateFormat=P","Fill=—","Direction=H","UseDPDF=Y")</f>
        <v>#NAME?</v>
      </c>
      <c r="AJ130" s="2" t="e">
        <f ca="1">_xll.BDH($C$128,"GROWTH_IN_CAP","FQ2 2014","FQ2 2014","Currency=INR","Period=FQ","BEST_FPERIOD_OVERRIDE=FQ","FILING_STATUS=OR","EQY_CONSOLIDATED=Y","Sort=A","Dates=H","DateFormat=P","Fill=—","Direction=H","UseDPDF=Y")</f>
        <v>#NAME?</v>
      </c>
      <c r="AK130" s="2" t="e">
        <f ca="1">_xll.BDH($C$128,"BVPS_GROWTH","FQ2 2014","FQ2 2014","Currency=INR","Period=FQ","BEST_FPERIOD_OVERRIDE=FQ","FILING_STATUS=OR","EQY_CONSOLIDATED=Y","Sort=A","Dates=H","DateFormat=P","Fill=—","Direction=H","UseDPDF=Y")</f>
        <v>#NAME?</v>
      </c>
      <c r="AL130" s="2" t="e">
        <f ca="1">_xll.BDH($C$128,"CASH_FLOW_GROWTH","FQ2 2014","FQ2 2014","Currency=INR","Period=FQ","BEST_FPERIOD_OVERRIDE=FQ","FILING_STATUS=OR","EQY_CONSOLIDATED=Y","Sort=A","Dates=H","DateFormat=P","Fill=—","Direction=H","UseDPDF=Y")</f>
        <v>#NAME?</v>
      </c>
      <c r="AM130" s="2" t="e">
        <f ca="1">_xll.BDH($C$128,"GEO_GROW_NET_SALES","FQ2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30" s="2" t="e">
        <f ca="1">_xll.BDH($C$128,"GEO_GROW_EBITDA","FQ2 2014","FQ2 2014","Currency=INR","Period=FQ","BEST_FPERIOD_OVERRIDE=FQ","FILING_STATUS=OR","EQY_CONSOLIDATED=Y","FA_ADJUSTED=GAAP","Sort=A","Dates=H","DateFormat=P","Fill=—","Direction=H","UseDPDF=Y")</f>
        <v>#NAME?</v>
      </c>
      <c r="AO130" s="2" t="e">
        <f ca="1">_xll.BDH($C$128,"GEO_GROW_OPER_INC","FQ2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30" s="2" t="e">
        <f ca="1">_xll.BDH($C$128,"NET_INCOME_TO_COMMON_5_YR_GROWTH","FQ2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30" s="2" t="e">
        <f ca="1">_xll.BDH($C$128,"5Y_GEO_GROWTH_DILUTED_EPS","FQ2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30" s="2" t="e">
        <f ca="1">_xll.BDH($C$128,"GEO_GROW_DVD_PER_SH","FQ2 2014","FQ2 2014","Currency=INR","Period=FQ","BEST_FPERIOD_OVERRIDE=FQ","FILING_STATUS=OR","EQY_CONSOLIDATED=Y","Sort=A","Dates=H","DateFormat=P","Fill=—","Direction=H","UseDPDF=Y")</f>
        <v>#NAME?</v>
      </c>
      <c r="AS130" s="2" t="e">
        <f ca="1">_xll.BDH($C$128,"ACCOUNTS_RECEIVABLE_5_YR_GROWTH","FQ2 2014","FQ2 2014","Currency=INR","Period=FQ","BEST_FPERIOD_OVERRIDE=FQ","FILING_STATUS=OR","EQY_CONSOLIDATED=Y","Sort=A","Dates=H","DateFormat=P","Fill=—","Direction=H","UseDPDF=Y")</f>
        <v>#NAME?</v>
      </c>
      <c r="AT130" s="2" t="e">
        <f ca="1">_xll.BDH($C$128,"INVENTORY_5_YEAR_GROWTH","FQ2 2014","FQ2 2014","Currency=INR","Period=FQ","BEST_FPERIOD_OVERRIDE=FQ","FILING_STATUS=OR","EQY_CONSOLIDATED=Y","Sort=A","Dates=H","DateFormat=P","Fill=—","Direction=H","UseDPDF=Y")</f>
        <v>#NAME?</v>
      </c>
      <c r="AU130" s="2" t="e">
        <f ca="1">_xll.BDH($C$128,"NET_FIXED_ASSETS_5_YEAR_GROWTH","FQ2 2014","FQ2 2014","Currency=INR","Period=FQ","BEST_FPERIOD_OVERRIDE=FQ","FILING_STATUS=OR","EQY_CONSOLIDATED=Y","Sort=A","Dates=H","DateFormat=P","Fill=—","Direction=H","UseDPDF=Y")</f>
        <v>#NAME?</v>
      </c>
      <c r="AV130" s="2" t="e">
        <f ca="1">_xll.BDH($C$128,"GEO_GROW_TOT_ASSET","FQ2 2014","FQ2 2014","Currency=INR","Period=FQ","BEST_FPERIOD_OVERRIDE=FQ","FILING_STATUS=OR","EQY_CONSOLIDATED=Y","Sort=A","Dates=H","DateFormat=P","Fill=—","Direction=H","UseDPDF=Y")</f>
        <v>#NAME?</v>
      </c>
      <c r="AW130" s="2" t="e">
        <f ca="1">_xll.BDH($C$128,"MODIFIED_WORKING_CPTL_5YR_GRWTH","FQ2 2014","FQ2 2014","Currency=INR","Period=FQ","BEST_FPERIOD_OVERRIDE=FQ","FILING_STATUS=OR","EQY_CONSOLIDATED=Y","Sort=A","Dates=H","DateFormat=P","Fill=—","Direction=H","UseDPDF=Y")</f>
        <v>#NAME?</v>
      </c>
      <c r="AX130" s="2" t="e">
        <f ca="1">_xll.BDH($C$128,"WORKING_CAPITAL_5_YEAR_GROWTH","FQ2 2014","FQ2 2014","Currency=INR","Period=FQ","BEST_FPERIOD_OVERRIDE=FQ","FILING_STATUS=OR","EQY_CONSOLIDATED=Y","Sort=A","Dates=H","DateFormat=P","Fill=—","Direction=H","UseDPDF=Y")</f>
        <v>#NAME?</v>
      </c>
      <c r="AY130" s="2" t="e">
        <f ca="1">_xll.BDH($C$128,"ACCOUNTS_PAYABLE_5_YEAR_GROWTH","FQ2 2014","FQ2 2014","Currency=INR","Period=FQ","BEST_FPERIOD_OVERRIDE=FQ","FILING_STATUS=OR","EQY_CONSOLIDATED=Y","Sort=A","Dates=H","DateFormat=P","Fill=—","Direction=H","UseDPDF=Y")</f>
        <v>#NAME?</v>
      </c>
      <c r="AZ130" s="2" t="e">
        <f ca="1">_xll.BDH($C$128,"SHORT_TERM_DEBT_5_YEAR_GROWTH","FQ2 2014","FQ2 2014","Currency=INR","Period=FQ","BEST_FPERIOD_OVERRIDE=FQ","FILING_STATUS=OR","EQY_CONSOLIDATED=Y","Sort=A","Dates=H","DateFormat=P","Fill=—","Direction=H","UseDPDF=Y")</f>
        <v>#NAME?</v>
      </c>
      <c r="BA130" s="2" t="e">
        <f ca="1">_xll.BDH($C$128,"TOTAL_DEBT_5_YEAR_GROWTH","FQ2 2014","FQ2 2014","Currency=INR","Period=FQ","BEST_FPERIOD_OVERRIDE=FQ","FILING_STATUS=OR","EQY_CONSOLIDATED=Y","Sort=A","Dates=H","DateFormat=P","Fill=—","Direction=H","UseDPDF=Y")</f>
        <v>#NAME?</v>
      </c>
      <c r="BB130" s="2" t="e">
        <f ca="1">_xll.BDH($C$128,"GEO_GROW_TOT_SHRHLDR_EQY","FQ2 2014","FQ2 2014","Currency=INR","Period=FQ","BEST_FPERIOD_OVERRIDE=FQ","FILING_STATUS=OR","EQY_CONSOLIDATED=Y","Sort=A","Dates=H","DateFormat=P","Fill=—","Direction=H","UseDPDF=Y")</f>
        <v>#NAME?</v>
      </c>
      <c r="BC130" s="2" t="e">
        <f ca="1">_xll.BDH($C$128,"TOTAL_CAPITAL_5_YEAR_GROWTH","FQ2 2014","FQ2 2014","Currency=INR","Period=FQ","BEST_FPERIOD_OVERRIDE=FQ","FILING_STATUS=OR","EQY_CONSOLIDATED=Y","Sort=A","Dates=H","DateFormat=P","Fill=—","Direction=H","UseDPDF=Y")</f>
        <v>#NAME?</v>
      </c>
      <c r="BD130" s="2" t="e">
        <f ca="1">_xll.BDH($C$128,"GEO_GROW_BOOK_VAL","FQ2 2014","FQ2 2014","Currency=INR","Period=FQ","BEST_FPERIOD_OVERRIDE=FQ","FILING_STATUS=OR","EQY_CONSOLIDATED=Y","Sort=A","Dates=H","DateFormat=P","Fill=—","Direction=H","UseDPDF=Y")</f>
        <v>#NAME?</v>
      </c>
      <c r="BE130" s="2" t="e">
        <f ca="1">_xll.BDH($C$128,"GEO_GROW_CASH_OPER_ACT","FQ2 2014","FQ2 2014","Currency=INR","Period=FQ","BEST_FPERIOD_OVERRIDE=FQ","FILING_STATUS=OR","EQY_CONSOLIDATED=Y","Sort=A","Dates=H","DateFormat=P","Fill=—","Direction=H","UseDPDF=Y")</f>
        <v>#NAME?</v>
      </c>
      <c r="BF130" s="2" t="e">
        <f ca="1">_xll.BDH($C$128,"REVENUE_SEQUENTIAL_GROWTH","FQ2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30" s="2" t="e">
        <f ca="1">_xll.BDH($C$128,"EBITDA_SEQUENTIAL_GROWTH","FQ2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30" s="2" t="e">
        <f ca="1">_xll.BDH($C$128,"OPERATING_INCOME_SEQ_GROWTH","FQ2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30" s="2" t="e">
        <f ca="1">_xll.BDH($C$128,"NET_INCOME_TO_COMMON_SEQ_GROWTH","FQ2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30" s="2" t="e">
        <f ca="1">_xll.BDH($C$128,"EPS_DILUTED_SEQUENTIAL_GROWTH","FQ2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30" s="2" t="e">
        <f ca="1">_xll.BDH($C$128,"DPS_SEQUENTIAL_GROWTH","FQ2 2014","FQ2 2014","Currency=INR","Period=FQ","BEST_FPERIOD_OVERRIDE=FQ","FILING_STATUS=OR","EQY_CONSOLIDATED=Y","Sort=A","Dates=H","DateFormat=P","Fill=—","Direction=H","UseDPDF=Y")</f>
        <v>#NAME?</v>
      </c>
      <c r="BL130" s="2" t="e">
        <f ca="1">_xll.BDH($C$128,"ACCOUNTS_RECEIVABLE_SEQ_GROWTH","FQ2 2014","FQ2 2014","Currency=INR","Period=FQ","BEST_FPERIOD_OVERRIDE=FQ","FILING_STATUS=OR","EQY_CONSOLIDATED=Y","Sort=A","Dates=H","DateFormat=P","Fill=—","Direction=H","UseDPDF=Y")</f>
        <v>#NAME?</v>
      </c>
      <c r="BM130" s="2" t="e">
        <f ca="1">_xll.BDH($C$128,"INVENTORY_SEQUENTIAL_GROWTH","FQ2 2014","FQ2 2014","Currency=INR","Period=FQ","BEST_FPERIOD_OVERRIDE=FQ","FILING_STATUS=OR","EQY_CONSOLIDATED=Y","Sort=A","Dates=H","DateFormat=P","Fill=—","Direction=H","UseDPDF=Y")</f>
        <v>#NAME?</v>
      </c>
      <c r="BN130" s="2" t="e">
        <f ca="1">_xll.BDH($C$128,"FIXED_ASSETS_SEQUENTIAL_GROWTH","FQ2 2014","FQ2 2014","Currency=INR","Period=FQ","BEST_FPERIOD_OVERRIDE=FQ","FILING_STATUS=OR","EQY_CONSOLIDATED=Y","Sort=A","Dates=H","DateFormat=P","Fill=—","Direction=H","UseDPDF=Y")</f>
        <v>#NAME?</v>
      </c>
      <c r="BO130" s="2" t="e">
        <f ca="1">_xll.BDH($C$128,"TOTAL_ASSETS_SEQUENTIAL_GROWTH","FQ2 2014","FQ2 2014","Currency=INR","Period=FQ","BEST_FPERIOD_OVERRIDE=FQ","FILING_STATUS=OR","EQY_CONSOLIDATED=Y","Sort=A","Dates=H","DateFormat=P","Fill=—","Direction=H","UseDPDF=Y")</f>
        <v>#NAME?</v>
      </c>
      <c r="BP130" s="2" t="e">
        <f ca="1">_xll.BDH($C$128,"MODIFIED_WORKING_CPTL_SEQ_GRWTH","FQ2 2014","FQ2 2014","Currency=INR","Period=FQ","BEST_FPERIOD_OVERRIDE=FQ","FILING_STATUS=OR","EQY_CONSOLIDATED=Y","Sort=A","Dates=H","DateFormat=P","Fill=—","Direction=H","UseDPDF=Y")</f>
        <v>#NAME?</v>
      </c>
      <c r="BQ130" s="2" t="e">
        <f ca="1">_xll.BDH($C$128,"WORKING_CAPITAL_SEQ_GROWTH","FQ2 2014","FQ2 2014","Currency=INR","Period=FQ","BEST_FPERIOD_OVERRIDE=FQ","FILING_STATUS=OR","EQY_CONSOLIDATED=Y","Sort=A","Dates=H","DateFormat=P","Fill=—","Direction=H","UseDPDF=Y")</f>
        <v>#NAME?</v>
      </c>
      <c r="BR130" s="2" t="e">
        <f ca="1">_xll.BDH($C$128,"ACCOUNTS_PAYABLE_SEQ_GROWTH","FQ2 2014","FQ2 2014","Currency=INR","Period=FQ","BEST_FPERIOD_OVERRIDE=FQ","FILING_STATUS=OR","EQY_CONSOLIDATED=Y","Sort=A","Dates=H","DateFormat=P","Fill=—","Direction=H","UseDPDF=Y")</f>
        <v>#NAME?</v>
      </c>
      <c r="BS130" s="2" t="e">
        <f ca="1">_xll.BDH($C$128,"ST_DEBT_SEQUENTIAL_GROWTH","FQ2 2014","FQ2 2014","Currency=INR","Period=FQ","BEST_FPERIOD_OVERRIDE=FQ","FILING_STATUS=OR","EQY_CONSOLIDATED=Y","Sort=A","Dates=H","DateFormat=P","Fill=—","Direction=H","UseDPDF=Y")</f>
        <v>#NAME?</v>
      </c>
      <c r="BT130" s="2" t="e">
        <f ca="1">_xll.BDH($C$128,"TOTAL_DEBT_SEQUENTIAL_GROWTH","FQ2 2014","FQ2 2014","Currency=INR","Period=FQ","BEST_FPERIOD_OVERRIDE=FQ","FILING_STATUS=OR","EQY_CONSOLIDATED=Y","Sort=A","Dates=H","DateFormat=P","Fill=—","Direction=H","UseDPDF=Y")</f>
        <v>#NAME?</v>
      </c>
      <c r="BU130" s="2" t="e">
        <f ca="1">_xll.BDH($C$128,"TOTAL_EQUITY_SEQUENTIAL_GROWTH","FQ2 2014","FQ2 2014","Currency=INR","Period=FQ","BEST_FPERIOD_OVERRIDE=FQ","FILING_STATUS=OR","EQY_CONSOLIDATED=Y","Sort=A","Dates=H","DateFormat=P","Fill=—","Direction=H","UseDPDF=Y")</f>
        <v>#NAME?</v>
      </c>
      <c r="BV130" s="2" t="e">
        <f ca="1">_xll.BDH($C$128,"TOTAL_CAPITAL_SEQUENTIAL_GROWTH","FQ2 2014","FQ2 2014","Currency=INR","Period=FQ","BEST_FPERIOD_OVERRIDE=FQ","FILING_STATUS=OR","EQY_CONSOLIDATED=Y","Sort=A","Dates=H","DateFormat=P","Fill=—","Direction=H","UseDPDF=Y")</f>
        <v>#NAME?</v>
      </c>
      <c r="BW130" s="2" t="e">
        <f ca="1">_xll.BDH($C$128,"BPS_SEQUENTIAL_GROWTH","FQ2 2014","FQ2 2014","Currency=INR","Period=FQ","BEST_FPERIOD_OVERRIDE=FQ","FILING_STATUS=OR","EQY_CONSOLIDATED=Y","Sort=A","Dates=H","DateFormat=P","Fill=—","Direction=H","UseDPDF=Y")</f>
        <v>#NAME?</v>
      </c>
      <c r="BX130" s="2" t="e">
        <f ca="1">_xll.BDH($C$128,"CFO_SEQUENTIAL_GROWTH","FQ2 2014","FQ2 2014","Currency=INR","Period=FQ","BEST_FPERIOD_OVERRIDE=FQ","FILING_STATUS=OR","EQY_CONSOLIDATED=Y","Sort=A","Dates=H","DateFormat=P","Fill=—","Direction=H","UseDPDF=Y")</f>
        <v>#NAME?</v>
      </c>
      <c r="BY130" s="3" t="e">
        <f ca="1">_xll.BDH($C$128,"SHORT_AND_LONG_TERM_DEBT","FQ2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30" s="3" t="e">
        <f ca="1">_xll.BDH($C$128,"BS_ST_BORROW","FQ2 2014","FQ2 2014","Currency=INR","Period=FQ","BEST_FPERIOD_OVERRIDE=FQ","FILING_STATUS=OR","EQY_CONSOLIDATED=Y","SCALING_FORMAT=MLN","Sort=A","Dates=H","DateFormat=P","Fill=—","Direction=H","UseDPDF=Y")</f>
        <v>#NAME?</v>
      </c>
      <c r="CA130" s="3" t="e">
        <f ca="1">_xll.BDH($C$128,"BS_LT_BORROW","FQ2 2014","FQ2 2014","Currency=INR","Period=FQ","BEST_FPERIOD_OVERRIDE=FQ","FILING_STATUS=OR","EQY_CONSOLIDATED=Y","SCALING_FORMAT=MLN","Sort=A","Dates=H","DateFormat=P","Fill=—","Direction=H","UseDPDF=Y")</f>
        <v>#NAME?</v>
      </c>
      <c r="CB130" s="2" t="e">
        <f ca="1">_xll.BDH($C$128,"TOT_DEBT_TO_EBITDA","FQ2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30" s="2" t="e">
        <f ca="1">_xll.BDH($C$128,"NET_DEBT_TO_EBITDA","FQ2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30" s="2" t="e">
        <f ca="1">_xll.BDH($C$128,"TOTAL_DEBT_TO_EBIT","FQ2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30" s="2" t="e">
        <f ca="1">_xll.BDH($C$128,"NET_DEBT_TO_EBIT","FQ2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30" s="2" t="e">
        <f ca="1">_xll.BDH($C$128,"EBITDA_TO_INTEREST_EXPN","FQ2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30" s="2" t="e">
        <f ca="1">_xll.BDH($C$128,"COM_EQY_TO_TOT_ASSET","FQ2 2014","FQ2 2014","Currency=INR","Period=FQ","BEST_FPERIOD_OVERRIDE=FQ","FILING_STATUS=OR","EQY_CONSOLIDATED=Y","Sort=A","Dates=H","DateFormat=P","Fill=—","Direction=H","UseDPDF=Y")</f>
        <v>#NAME?</v>
      </c>
      <c r="CH130" s="2" t="e">
        <f ca="1">_xll.BDH($C$128,"LT_DEBT_TO_TOT_EQY","FQ2 2014","FQ2 2014","Currency=INR","Period=FQ","BEST_FPERIOD_OVERRIDE=FQ","FILING_STATUS=OR","EQY_CONSOLIDATED=Y","Sort=A","Dates=H","DateFormat=P","Fill=—","Direction=H","UseDPDF=Y")</f>
        <v>#NAME?</v>
      </c>
      <c r="CI130" s="2" t="e">
        <f ca="1">_xll.BDH($C$128,"LT_DEBT_TO_TOT_CAP","FQ2 2014","FQ2 2014","Currency=INR","Period=FQ","BEST_FPERIOD_OVERRIDE=FQ","FILING_STATUS=OR","EQY_CONSOLIDATED=Y","Sort=A","Dates=H","DateFormat=P","Fill=—","Direction=H","UseDPDF=Y")</f>
        <v>#NAME?</v>
      </c>
      <c r="CJ130" s="2" t="e">
        <f ca="1">_xll.BDH($C$128,"LT_DEBT_TO_TOT_ASSET","FQ2 2014","FQ2 2014","Currency=INR","Period=FQ","BEST_FPERIOD_OVERRIDE=FQ","FILING_STATUS=OR","EQY_CONSOLIDATED=Y","Sort=A","Dates=H","DateFormat=P","Fill=—","Direction=H","UseDPDF=Y")</f>
        <v>#NAME?</v>
      </c>
      <c r="CK130" s="2" t="e">
        <f ca="1">_xll.BDH($C$128,"TOT_DEBT_TO_TOT_EQY","FQ2 2014","FQ2 2014","Currency=INR","Period=FQ","BEST_FPERIOD_OVERRIDE=FQ","FILING_STATUS=OR","EQY_CONSOLIDATED=Y","Sort=A","Dates=H","DateFormat=P","Fill=—","Direction=H","UseDPDF=Y")</f>
        <v>#NAME?</v>
      </c>
      <c r="CL130" s="2" t="e">
        <f ca="1">_xll.BDH($C$128,"TOT_DEBT_TO_TOT_CAP","FQ2 2014","FQ2 2014","Currency=INR","Period=FQ","BEST_FPERIOD_OVERRIDE=FQ","FILING_STATUS=OR","EQY_CONSOLIDATED=Y","Sort=A","Dates=H","DateFormat=P","Fill=—","Direction=H","UseDPDF=Y")</f>
        <v>#NAME?</v>
      </c>
      <c r="CM130" s="2" t="e">
        <f ca="1">_xll.BDH($C$128,"TOT_DEBT_TO_TOT_ASSET","FQ2 2014","FQ2 2014","Currency=INR","Period=FQ","BEST_FPERIOD_OVERRIDE=FQ","FILING_STATUS=OR","EQY_CONSOLIDATED=Y","Sort=A","Dates=H","DateFormat=P","Fill=—","Direction=H","UseDPDF=Y")</f>
        <v>#NAME?</v>
      </c>
      <c r="CN130" s="2" t="e">
        <f ca="1">_xll.BDH($C$128,"NET_DEBT_TO_SHRHLDR_EQTY","FQ2 2014","FQ2 2014","Currency=INR","Period=FQ","BEST_FPERIOD_OVERRIDE=FQ","FILING_STATUS=OR","EQY_CONSOLIDATED=Y","Sort=A","Dates=H","DateFormat=P","Fill=—","Direction=H","UseDPDF=Y")</f>
        <v>#NAME?</v>
      </c>
      <c r="CO130" s="2" t="e">
        <f ca="1">_xll.BDH($C$128,"NET_DEBT_%_CAPITAL","FQ2 2014","FQ2 2014","Currency=INR","Period=FQ","BEST_FPERIOD_OVERRIDE=FQ","FILING_STATUS=OR","EQY_CONSOLIDATED=Y","Sort=A","Dates=H","DateFormat=P","Fill=—","Direction=H","UseDPDF=Y")</f>
        <v>#NAME?</v>
      </c>
      <c r="CP130" s="3" t="e">
        <f ca="1">_xll.BDH($C$128,"EBITDA","FQ2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30" s="3" t="e">
        <f ca="1">_xll.BDH($C$128,"EBITDA_AFTER_CAPEX","FQ2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30" s="3" t="e">
        <f ca="1">_xll.BDH($C$128,"IS_OPER_INC","FQ2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30" s="2" t="e">
        <f ca="1">_xll.BDH($C$128,"CASH_RATIO","FQ2 2014","FQ2 2014","Currency=INR","Period=FQ","BEST_FPERIOD_OVERRIDE=FQ","FILING_STATUS=OR","EQY_CONSOLIDATED=Y","Sort=A","Dates=H","DateFormat=P","Fill=—","Direction=H","UseDPDF=Y")</f>
        <v>#NAME?</v>
      </c>
      <c r="CT130" s="2" t="e">
        <f ca="1">_xll.BDH($C$128,"CUR_RATIO","FQ2 2014","FQ2 2014","Currency=INR","Period=FQ","BEST_FPERIOD_OVERRIDE=FQ","FILING_STATUS=OR","EQY_CONSOLIDATED=Y","Sort=A","Dates=H","DateFormat=P","Fill=—","Direction=H","UseDPDF=Y")</f>
        <v>#NAME?</v>
      </c>
      <c r="CU130" s="2" t="e">
        <f ca="1">_xll.BDH($C$128,"QUICK_RATIO","FQ2 2014","FQ2 2014","Currency=INR","Period=FQ","BEST_FPERIOD_OVERRIDE=FQ","FILING_STATUS=OR","EQY_CONSOLIDATED=Y","Sort=A","Dates=H","DateFormat=P","Fill=—","Direction=H","UseDPDF=Y")</f>
        <v>#NAME?</v>
      </c>
      <c r="CV130" s="2" t="e">
        <f ca="1">_xll.BDH($C$128,"ALTMAN_Z_SCORE","FQ2 2014","FQ2 2014","Currency=INR","Period=FQ","BEST_FPERIOD_OVERRIDE=FQ","FILING_STATUS=OR","EQY_CONSOLIDATED=Y","Sort=A","Dates=H","DateFormat=P","Fill=—","Direction=H","UseDPDF=Y")</f>
        <v>#NAME?</v>
      </c>
      <c r="CW130" s="4" t="e">
        <f ca="1">_xll.BDH($C$128,"ACCT_RCV_TURN","FQ2 2014","FQ2 2014","Currency=INR","Period=FQ","BEST_FPERIOD_OVERRIDE=FQ","FILING_STATUS=OR","EQY_CONSOLIDATED=Y","FA_ADJUSTED=GAAP","Sort=A","Dates=H","DateFormat=P","Fill=—","Direction=H","UseDPDF=Y")</f>
        <v>#NAME?</v>
      </c>
      <c r="CX130" s="2" t="e">
        <f ca="1">_xll.BDH($C$128,"ACCT_RCV_DAYS","FQ2 2014","FQ2 2014","Currency=INR","Period=FQ","BEST_FPERIOD_OVERRIDE=FQ","FILING_STATUS=OR","EQY_CONSOLIDATED=Y","FA_ADJUSTED=GAAP","Sort=A","Dates=H","DateFormat=P","Fill=—","Direction=H","UseDPDF=Y")</f>
        <v>#NAME?</v>
      </c>
      <c r="CY130" s="4" t="e">
        <f ca="1">_xll.BDH($C$128,"INVENT_TURN","FQ2 2014","FQ2 2014","Currency=INR","Period=FQ","BEST_FPERIOD_OVERRIDE=FQ","FILING_STATUS=OR","EQY_CONSOLIDATED=Y","FA_ADJUSTED=GAAP","Sort=A","Dates=H","DateFormat=P","Fill=—","Direction=H","UseDPDF=Y")</f>
        <v>#NAME?</v>
      </c>
      <c r="CZ130" s="2" t="e">
        <f ca="1">_xll.BDH($C$128,"INVENT_DAYS","FQ2 2014","FQ2 2014","Currency=INR","Period=FQ","BEST_FPERIOD_OVERRIDE=FQ","FILING_STATUS=OR","EQY_CONSOLIDATED=Y","FA_ADJUSTED=GAAP","Sort=A","Dates=H","DateFormat=P","Fill=—","Direction=H","UseDPDF=Y")</f>
        <v>#NAME?</v>
      </c>
      <c r="DA130" s="4" t="e">
        <f ca="1">_xll.BDH($C$128,"ACCOUNTS_PAYABLE_TURNOVER","FQ2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30" s="2" t="e">
        <f ca="1">_xll.BDH($C$128,"ACCOUNTS_PAYABLE_TURNOVER_DAYS","FQ2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30" s="4" t="e">
        <f ca="1">_xll.BDH($C$128,"CASH_CONVERSION_CYCLE","FQ2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30" s="4" t="e">
        <f ca="1">_xll.BDH($C$128,"INV_TO_CASH_DAYS","FQ2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30" s="5" t="e">
        <f ca="1">_xll.BDH($C$128,"BS_INVENTORIES","FQ2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30" s="3" t="e">
        <f ca="1">_xll.BDH($C$128,"INVTRY_RAW_MATERIALS","FQ2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30" s="3" t="e">
        <f ca="1">_xll.BDH($C$128,"INVTRY_IN_PROGRESS","FQ2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30" s="3" t="e">
        <f ca="1">_xll.BDH($C$128,"INVTRY_FINISHED_GOODS","FQ2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30" s="3" t="e">
        <f ca="1">_xll.BDH($C$128,"BS_OTHER_INV","FQ2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31" spans="1:113" x14ac:dyDescent="0.3">
      <c r="A131" s="6"/>
      <c r="B131" s="6"/>
      <c r="C131" s="6"/>
      <c r="D131" s="6"/>
      <c r="E131" t="s">
        <v>80</v>
      </c>
      <c r="F131" t="e">
        <f ca="1">_xll.BDH($C$128,"RETURN_COM_EQY","FQ3 2014","FQ3 2014","Currency=INR","Period=FQ","BEST_FPERIOD_OVERRIDE=FQ","FILING_STATUS=OR","EQY_CONSOLIDATED=Y","FA_ADJUSTED=GAAP","Sort=A","Dates=H","DateFormat=P","Fill=—","Direction=H","UseDPDF=Y")</f>
        <v>#NAME?</v>
      </c>
      <c r="G131" t="e">
        <f ca="1">_xll.BDH($C$128,"RETURN_ON_ASSET","FQ3 2014","FQ3 2014","Currency=INR","Period=FQ","BEST_FPERIOD_OVERRIDE=FQ","FILING_STATUS=OR","EQY_CONSOLIDATED=Y","FA_ADJUSTED=GAAP","Sort=A","Dates=H","DateFormat=P","Fill=—","Direction=H","UseDPDF=Y")</f>
        <v>#NAME?</v>
      </c>
      <c r="H131" t="e">
        <f ca="1">_xll.BDH($C$128,"RETURN_ON_CAP","FQ3 2014","FQ3 2014","Currency=INR","Period=FQ","BEST_FPERIOD_OVERRIDE=FQ","FILING_STATUS=OR","EQY_CONSOLIDATED=Y","FA_ADJUSTED=GAAP","Sort=A","Dates=H","DateFormat=P","Fill=—","Direction=H","UseDPDF=Y")</f>
        <v>#NAME?</v>
      </c>
      <c r="I131" t="e">
        <f ca="1">_xll.BDH($C$128,"RETURN_ON_INV_CAPITAL","FQ3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31" t="e">
        <f ca="1">_xll.BDH($C$128,"EBITDA_TO_REVENUE","FQ3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31" t="e">
        <f ca="1">_xll.BDH($C$128,"OPER_MARGIN","FQ3 2014","FQ3 2014","Currency=INR","Period=FQ","BEST_FPERIOD_OVERRIDE=FQ","FILING_STATUS=OR","EQY_CONSOLIDATED=Y","FA_ADJUSTED=GAAP","Sort=A","Dates=H","DateFormat=P","Fill=—","Direction=H","UseDPDF=Y")</f>
        <v>#NAME?</v>
      </c>
      <c r="L131" t="e">
        <f ca="1">_xll.BDH($C$128,"INCREMENTAL_OPERATING_MARGIN","FQ3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31" t="e">
        <f ca="1">_xll.BDH($C$128,"PRETAX_INC_TO_NET_SALES","FQ3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31" t="e">
        <f ca="1">_xll.BDH($C$128,"INC_BEF_XO_ITEMS_TO_NET_SALES","FQ3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31" t="e">
        <f ca="1">_xll.BDH($C$128,"PROF_MARGIN","FQ3 2014","FQ3 2014","Currency=INR","Period=FQ","BEST_FPERIOD_OVERRIDE=FQ","FILING_STATUS=OR","EQY_CONSOLIDATED=Y","FA_ADJUSTED=GAAP","Sort=A","Dates=H","DateFormat=P","Fill=—","Direction=H","UseDPDF=Y")</f>
        <v>#NAME?</v>
      </c>
      <c r="P131" t="e">
        <f ca="1">_xll.BDH($C$128,"NET_INCOME_TO_COMMON_MARGIN","FQ3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31" t="e">
        <f ca="1">_xll.BDH($C$128,"EFF_TAX_RATE","FQ3 2014","FQ3 2014","Currency=INR","Period=FQ","BEST_FPERIOD_OVERRIDE=FQ","FILING_STATUS=OR","EQY_CONSOLIDATED=Y","FA_ADJUSTED=GAAP","Sort=A","Dates=H","DateFormat=P","Fill=—","Direction=H","UseDPDF=Y")</f>
        <v>#NAME?</v>
      </c>
      <c r="R131" t="e">
        <f ca="1">_xll.BDH($C$128,"DVD_PAYOUT_RATIO","FQ3 2014","FQ3 2014","Currency=INR","Period=FQ","BEST_FPERIOD_OVERRIDE=FQ","FILING_STATUS=OR","EQY_CONSOLIDATED=Y","FA_ADJUSTED=GAAP","Sort=A","Dates=H","DateFormat=P","Fill=—","Direction=H","UseDPDF=Y")</f>
        <v>#NAME?</v>
      </c>
      <c r="S131" t="e">
        <f ca="1">_xll.BDH($C$128,"SUSTAIN_GROWTH_RT","FQ3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31" s="2" t="e">
        <f ca="1">_xll.BDH($C$128,"SALES_GROWTH","FQ3 2014","FQ3 2014","Currency=INR","Period=FQ","BEST_FPERIOD_OVERRIDE=FQ","FILING_STATUS=OR","EQY_CONSOLIDATED=Y","FA_ADJUSTED=GAAP","Sort=A","Dates=H","DateFormat=P","Fill=—","Direction=H","UseDPDF=Y")</f>
        <v>#NAME?</v>
      </c>
      <c r="U131" s="2" t="e">
        <f ca="1">_xll.BDH($C$128,"EBITDA_GROWTH","FQ3 2014","FQ3 2014","Currency=INR","Period=FQ","BEST_FPERIOD_OVERRIDE=FQ","FILING_STATUS=OR","EQY_CONSOLIDATED=Y","FA_ADJUSTED=GAAP","Sort=A","Dates=H","DateFormat=P","Fill=—","Direction=H","UseDPDF=Y")</f>
        <v>#NAME?</v>
      </c>
      <c r="V131" s="2" t="e">
        <f ca="1">_xll.BDH($C$128,"OPER_INC_GROWTH","FQ3 2014","FQ3 2014","Currency=INR","Period=FQ","BEST_FPERIOD_OVERRIDE=FQ","FILING_STATUS=OR","EQY_CONSOLIDATED=Y","FA_ADJUSTED=GAAP","Sort=A","Dates=H","DateFormat=P","Fill=—","Direction=H","UseDPDF=Y")</f>
        <v>#NAME?</v>
      </c>
      <c r="W131" s="2" t="e">
        <f ca="1">_xll.BDH($C$128,"EARN_FOR_COM_GROWTH","FQ3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31" s="2" t="e">
        <f ca="1">_xll.BDH($C$128,"DILUTED_EPS_AFT_XO_ITEMS_GROWTH","FQ3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31" s="2" t="e">
        <f ca="1">_xll.BDH($C$128,"DIVIDEND_PER_SHARE_1_YEAR_GROWTH","FQ3 2014","FQ3 2014","Currency=INR","Period=FQ","BEST_FPERIOD_OVERRIDE=FQ","FILING_STATUS=OR","EQY_CONSOLIDATED=Y","Sort=A","Dates=H","DateFormat=P","Fill=—","Direction=H","UseDPDF=Y")</f>
        <v>#NAME?</v>
      </c>
      <c r="Z131" s="2" t="e">
        <f ca="1">_xll.BDH($C$128,"ACCOUNTS_RECEIVABLE_GROWTH","FQ3 2014","FQ3 2014","Currency=INR","Period=FQ","BEST_FPERIOD_OVERRIDE=FQ","FILING_STATUS=OR","EQY_CONSOLIDATED=Y","Sort=A","Dates=H","DateFormat=P","Fill=—","Direction=H","UseDPDF=Y")</f>
        <v>#NAME?</v>
      </c>
      <c r="AA131" s="2" t="e">
        <f ca="1">_xll.BDH($C$128,"INVENTORY_GROWTH","FQ3 2014","FQ3 2014","Currency=INR","Period=FQ","BEST_FPERIOD_OVERRIDE=FQ","FILING_STATUS=OR","EQY_CONSOLIDATED=Y","Sort=A","Dates=H","DateFormat=P","Fill=—","Direction=H","UseDPDF=Y")</f>
        <v>#NAME?</v>
      </c>
      <c r="AB131" s="2" t="e">
        <f ca="1">_xll.BDH($C$128,"NET_FIXED_ASSETS_1_YEAR_GROWTH","FQ3 2014","FQ3 2014","Currency=INR","Period=FQ","BEST_FPERIOD_OVERRIDE=FQ","FILING_STATUS=OR","EQY_CONSOLIDATED=Y","Sort=A","Dates=H","DateFormat=P","Fill=—","Direction=H","UseDPDF=Y")</f>
        <v>#NAME?</v>
      </c>
      <c r="AC131" s="2" t="e">
        <f ca="1">_xll.BDH($C$128,"ASSET_GROWTH","FQ3 2014","FQ3 2014","Currency=INR","Period=FQ","BEST_FPERIOD_OVERRIDE=FQ","FILING_STATUS=OR","EQY_CONSOLIDATED=Y","Sort=A","Dates=H","DateFormat=P","Fill=—","Direction=H","UseDPDF=Y")</f>
        <v>#NAME?</v>
      </c>
      <c r="AD131" s="2" t="e">
        <f ca="1">_xll.BDH($C$128,"MODIFIED_WORK_CAP_GROWTH","FQ3 2014","FQ3 2014","Currency=INR","Period=FQ","BEST_FPERIOD_OVERRIDE=FQ","FILING_STATUS=OR","EQY_CONSOLIDATED=Y","Sort=A","Dates=H","DateFormat=P","Fill=—","Direction=H","UseDPDF=Y")</f>
        <v>#NAME?</v>
      </c>
      <c r="AE131" s="2" t="e">
        <f ca="1">_xll.BDH($C$128,"WORK_CAP_GROWTH","FQ3 2014","FQ3 2014","Currency=INR","Period=FQ","BEST_FPERIOD_OVERRIDE=FQ","FILING_STATUS=OR","EQY_CONSOLIDATED=Y","Sort=A","Dates=H","DateFormat=P","Fill=—","Direction=H","UseDPDF=Y")</f>
        <v>#NAME?</v>
      </c>
      <c r="AF131" s="2" t="e">
        <f ca="1">_xll.BDH($C$128,"ACCOUNTS_PAYABLE_GROWTH_1YR","FQ3 2014","FQ3 2014","Currency=INR","Period=FQ","BEST_FPERIOD_OVERRIDE=FQ","FILING_STATUS=OR","EQY_CONSOLIDATED=Y","Sort=A","Dates=H","DateFormat=P","Fill=—","Direction=H","UseDPDF=Y")</f>
        <v>#NAME?</v>
      </c>
      <c r="AG131" s="2" t="e">
        <f ca="1">_xll.BDH($C$128,"SHORT_TERM_DEBT_1_YEAR_GROWTH","FQ3 2014","FQ3 2014","Currency=INR","Period=FQ","BEST_FPERIOD_OVERRIDE=FQ","FILING_STATUS=OR","EQY_CONSOLIDATED=Y","Sort=A","Dates=H","DateFormat=P","Fill=—","Direction=H","UseDPDF=Y")</f>
        <v>#NAME?</v>
      </c>
      <c r="AH131" s="2" t="e">
        <f ca="1">_xll.BDH($C$128,"TOTAL_DEBT_1_YEAR_GROWTH","FQ3 2014","FQ3 2014","Currency=INR","Period=FQ","BEST_FPERIOD_OVERRIDE=FQ","FILING_STATUS=OR","EQY_CONSOLIDATED=Y","Sort=A","Dates=H","DateFormat=P","Fill=—","Direction=H","UseDPDF=Y")</f>
        <v>#NAME?</v>
      </c>
      <c r="AI131" s="2" t="e">
        <f ca="1">_xll.BDH($C$128,"TOTAL_EQUITY_1_YEAR_GROWTH","FQ3 2014","FQ3 2014","Currency=INR","Period=FQ","BEST_FPERIOD_OVERRIDE=FQ","FILING_STATUS=OR","EQY_CONSOLIDATED=Y","Sort=A","Dates=H","DateFormat=P","Fill=—","Direction=H","UseDPDF=Y")</f>
        <v>#NAME?</v>
      </c>
      <c r="AJ131" s="2" t="e">
        <f ca="1">_xll.BDH($C$128,"GROWTH_IN_CAP","FQ3 2014","FQ3 2014","Currency=INR","Period=FQ","BEST_FPERIOD_OVERRIDE=FQ","FILING_STATUS=OR","EQY_CONSOLIDATED=Y","Sort=A","Dates=H","DateFormat=P","Fill=—","Direction=H","UseDPDF=Y")</f>
        <v>#NAME?</v>
      </c>
      <c r="AK131" s="2" t="e">
        <f ca="1">_xll.BDH($C$128,"BVPS_GROWTH","FQ3 2014","FQ3 2014","Currency=INR","Period=FQ","BEST_FPERIOD_OVERRIDE=FQ","FILING_STATUS=OR","EQY_CONSOLIDATED=Y","Sort=A","Dates=H","DateFormat=P","Fill=—","Direction=H","UseDPDF=Y")</f>
        <v>#NAME?</v>
      </c>
      <c r="AL131" s="2" t="e">
        <f ca="1">_xll.BDH($C$128,"CASH_FLOW_GROWTH","FQ3 2014","FQ3 2014","Currency=INR","Period=FQ","BEST_FPERIOD_OVERRIDE=FQ","FILING_STATUS=OR","EQY_CONSOLIDATED=Y","Sort=A","Dates=H","DateFormat=P","Fill=—","Direction=H","UseDPDF=Y")</f>
        <v>#NAME?</v>
      </c>
      <c r="AM131" s="2" t="e">
        <f ca="1">_xll.BDH($C$128,"GEO_GROW_NET_SALES","FQ3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31" s="2" t="e">
        <f ca="1">_xll.BDH($C$128,"GEO_GROW_EBITDA","FQ3 2014","FQ3 2014","Currency=INR","Period=FQ","BEST_FPERIOD_OVERRIDE=FQ","FILING_STATUS=OR","EQY_CONSOLIDATED=Y","FA_ADJUSTED=GAAP","Sort=A","Dates=H","DateFormat=P","Fill=—","Direction=H","UseDPDF=Y")</f>
        <v>#NAME?</v>
      </c>
      <c r="AO131" s="2" t="e">
        <f ca="1">_xll.BDH($C$128,"GEO_GROW_OPER_INC","FQ3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31" s="2" t="e">
        <f ca="1">_xll.BDH($C$128,"NET_INCOME_TO_COMMON_5_YR_GROWTH","FQ3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31" s="2" t="e">
        <f ca="1">_xll.BDH($C$128,"5Y_GEO_GROWTH_DILUTED_EPS","FQ3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31" s="2" t="e">
        <f ca="1">_xll.BDH($C$128,"GEO_GROW_DVD_PER_SH","FQ3 2014","FQ3 2014","Currency=INR","Period=FQ","BEST_FPERIOD_OVERRIDE=FQ","FILING_STATUS=OR","EQY_CONSOLIDATED=Y","Sort=A","Dates=H","DateFormat=P","Fill=—","Direction=H","UseDPDF=Y")</f>
        <v>#NAME?</v>
      </c>
      <c r="AS131" s="2" t="e">
        <f ca="1">_xll.BDH($C$128,"ACCOUNTS_RECEIVABLE_5_YR_GROWTH","FQ3 2014","FQ3 2014","Currency=INR","Period=FQ","BEST_FPERIOD_OVERRIDE=FQ","FILING_STATUS=OR","EQY_CONSOLIDATED=Y","Sort=A","Dates=H","DateFormat=P","Fill=—","Direction=H","UseDPDF=Y")</f>
        <v>#NAME?</v>
      </c>
      <c r="AT131" s="2" t="e">
        <f ca="1">_xll.BDH($C$128,"INVENTORY_5_YEAR_GROWTH","FQ3 2014","FQ3 2014","Currency=INR","Period=FQ","BEST_FPERIOD_OVERRIDE=FQ","FILING_STATUS=OR","EQY_CONSOLIDATED=Y","Sort=A","Dates=H","DateFormat=P","Fill=—","Direction=H","UseDPDF=Y")</f>
        <v>#NAME?</v>
      </c>
      <c r="AU131" s="2" t="e">
        <f ca="1">_xll.BDH($C$128,"NET_FIXED_ASSETS_5_YEAR_GROWTH","FQ3 2014","FQ3 2014","Currency=INR","Period=FQ","BEST_FPERIOD_OVERRIDE=FQ","FILING_STATUS=OR","EQY_CONSOLIDATED=Y","Sort=A","Dates=H","DateFormat=P","Fill=—","Direction=H","UseDPDF=Y")</f>
        <v>#NAME?</v>
      </c>
      <c r="AV131" s="2" t="e">
        <f ca="1">_xll.BDH($C$128,"GEO_GROW_TOT_ASSET","FQ3 2014","FQ3 2014","Currency=INR","Period=FQ","BEST_FPERIOD_OVERRIDE=FQ","FILING_STATUS=OR","EQY_CONSOLIDATED=Y","Sort=A","Dates=H","DateFormat=P","Fill=—","Direction=H","UseDPDF=Y")</f>
        <v>#NAME?</v>
      </c>
      <c r="AW131" s="2" t="e">
        <f ca="1">_xll.BDH($C$128,"MODIFIED_WORKING_CPTL_5YR_GRWTH","FQ3 2014","FQ3 2014","Currency=INR","Period=FQ","BEST_FPERIOD_OVERRIDE=FQ","FILING_STATUS=OR","EQY_CONSOLIDATED=Y","Sort=A","Dates=H","DateFormat=P","Fill=—","Direction=H","UseDPDF=Y")</f>
        <v>#NAME?</v>
      </c>
      <c r="AX131" s="2" t="e">
        <f ca="1">_xll.BDH($C$128,"WORKING_CAPITAL_5_YEAR_GROWTH","FQ3 2014","FQ3 2014","Currency=INR","Period=FQ","BEST_FPERIOD_OVERRIDE=FQ","FILING_STATUS=OR","EQY_CONSOLIDATED=Y","Sort=A","Dates=H","DateFormat=P","Fill=—","Direction=H","UseDPDF=Y")</f>
        <v>#NAME?</v>
      </c>
      <c r="AY131" s="2" t="e">
        <f ca="1">_xll.BDH($C$128,"ACCOUNTS_PAYABLE_5_YEAR_GROWTH","FQ3 2014","FQ3 2014","Currency=INR","Period=FQ","BEST_FPERIOD_OVERRIDE=FQ","FILING_STATUS=OR","EQY_CONSOLIDATED=Y","Sort=A","Dates=H","DateFormat=P","Fill=—","Direction=H","UseDPDF=Y")</f>
        <v>#NAME?</v>
      </c>
      <c r="AZ131" s="2" t="e">
        <f ca="1">_xll.BDH($C$128,"SHORT_TERM_DEBT_5_YEAR_GROWTH","FQ3 2014","FQ3 2014","Currency=INR","Period=FQ","BEST_FPERIOD_OVERRIDE=FQ","FILING_STATUS=OR","EQY_CONSOLIDATED=Y","Sort=A","Dates=H","DateFormat=P","Fill=—","Direction=H","UseDPDF=Y")</f>
        <v>#NAME?</v>
      </c>
      <c r="BA131" s="2" t="e">
        <f ca="1">_xll.BDH($C$128,"TOTAL_DEBT_5_YEAR_GROWTH","FQ3 2014","FQ3 2014","Currency=INR","Period=FQ","BEST_FPERIOD_OVERRIDE=FQ","FILING_STATUS=OR","EQY_CONSOLIDATED=Y","Sort=A","Dates=H","DateFormat=P","Fill=—","Direction=H","UseDPDF=Y")</f>
        <v>#NAME?</v>
      </c>
      <c r="BB131" s="2" t="e">
        <f ca="1">_xll.BDH($C$128,"GEO_GROW_TOT_SHRHLDR_EQY","FQ3 2014","FQ3 2014","Currency=INR","Period=FQ","BEST_FPERIOD_OVERRIDE=FQ","FILING_STATUS=OR","EQY_CONSOLIDATED=Y","Sort=A","Dates=H","DateFormat=P","Fill=—","Direction=H","UseDPDF=Y")</f>
        <v>#NAME?</v>
      </c>
      <c r="BC131" s="2" t="e">
        <f ca="1">_xll.BDH($C$128,"TOTAL_CAPITAL_5_YEAR_GROWTH","FQ3 2014","FQ3 2014","Currency=INR","Period=FQ","BEST_FPERIOD_OVERRIDE=FQ","FILING_STATUS=OR","EQY_CONSOLIDATED=Y","Sort=A","Dates=H","DateFormat=P","Fill=—","Direction=H","UseDPDF=Y")</f>
        <v>#NAME?</v>
      </c>
      <c r="BD131" s="2" t="e">
        <f ca="1">_xll.BDH($C$128,"GEO_GROW_BOOK_VAL","FQ3 2014","FQ3 2014","Currency=INR","Period=FQ","BEST_FPERIOD_OVERRIDE=FQ","FILING_STATUS=OR","EQY_CONSOLIDATED=Y","Sort=A","Dates=H","DateFormat=P","Fill=—","Direction=H","UseDPDF=Y")</f>
        <v>#NAME?</v>
      </c>
      <c r="BE131" s="2" t="e">
        <f ca="1">_xll.BDH($C$128,"GEO_GROW_CASH_OPER_ACT","FQ3 2014","FQ3 2014","Currency=INR","Period=FQ","BEST_FPERIOD_OVERRIDE=FQ","FILING_STATUS=OR","EQY_CONSOLIDATED=Y","Sort=A","Dates=H","DateFormat=P","Fill=—","Direction=H","UseDPDF=Y")</f>
        <v>#NAME?</v>
      </c>
      <c r="BF131" s="2" t="e">
        <f ca="1">_xll.BDH($C$128,"REVENUE_SEQUENTIAL_GROWTH","FQ3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31" s="2" t="e">
        <f ca="1">_xll.BDH($C$128,"EBITDA_SEQUENTIAL_GROWTH","FQ3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31" s="2" t="e">
        <f ca="1">_xll.BDH($C$128,"OPERATING_INCOME_SEQ_GROWTH","FQ3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31" s="2" t="e">
        <f ca="1">_xll.BDH($C$128,"NET_INCOME_TO_COMMON_SEQ_GROWTH","FQ3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31" s="2" t="e">
        <f ca="1">_xll.BDH($C$128,"EPS_DILUTED_SEQUENTIAL_GROWTH","FQ3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31" s="2" t="e">
        <f ca="1">_xll.BDH($C$128,"DPS_SEQUENTIAL_GROWTH","FQ3 2014","FQ3 2014","Currency=INR","Period=FQ","BEST_FPERIOD_OVERRIDE=FQ","FILING_STATUS=OR","EQY_CONSOLIDATED=Y","Sort=A","Dates=H","DateFormat=P","Fill=—","Direction=H","UseDPDF=Y")</f>
        <v>#NAME?</v>
      </c>
      <c r="BL131" s="2" t="e">
        <f ca="1">_xll.BDH($C$128,"ACCOUNTS_RECEIVABLE_SEQ_GROWTH","FQ3 2014","FQ3 2014","Currency=INR","Period=FQ","BEST_FPERIOD_OVERRIDE=FQ","FILING_STATUS=OR","EQY_CONSOLIDATED=Y","Sort=A","Dates=H","DateFormat=P","Fill=—","Direction=H","UseDPDF=Y")</f>
        <v>#NAME?</v>
      </c>
      <c r="BM131" s="2" t="e">
        <f ca="1">_xll.BDH($C$128,"INVENTORY_SEQUENTIAL_GROWTH","FQ3 2014","FQ3 2014","Currency=INR","Period=FQ","BEST_FPERIOD_OVERRIDE=FQ","FILING_STATUS=OR","EQY_CONSOLIDATED=Y","Sort=A","Dates=H","DateFormat=P","Fill=—","Direction=H","UseDPDF=Y")</f>
        <v>#NAME?</v>
      </c>
      <c r="BN131" s="2" t="e">
        <f ca="1">_xll.BDH($C$128,"FIXED_ASSETS_SEQUENTIAL_GROWTH","FQ3 2014","FQ3 2014","Currency=INR","Period=FQ","BEST_FPERIOD_OVERRIDE=FQ","FILING_STATUS=OR","EQY_CONSOLIDATED=Y","Sort=A","Dates=H","DateFormat=P","Fill=—","Direction=H","UseDPDF=Y")</f>
        <v>#NAME?</v>
      </c>
      <c r="BO131" s="2" t="e">
        <f ca="1">_xll.BDH($C$128,"TOTAL_ASSETS_SEQUENTIAL_GROWTH","FQ3 2014","FQ3 2014","Currency=INR","Period=FQ","BEST_FPERIOD_OVERRIDE=FQ","FILING_STATUS=OR","EQY_CONSOLIDATED=Y","Sort=A","Dates=H","DateFormat=P","Fill=—","Direction=H","UseDPDF=Y")</f>
        <v>#NAME?</v>
      </c>
      <c r="BP131" s="2" t="e">
        <f ca="1">_xll.BDH($C$128,"MODIFIED_WORKING_CPTL_SEQ_GRWTH","FQ3 2014","FQ3 2014","Currency=INR","Period=FQ","BEST_FPERIOD_OVERRIDE=FQ","FILING_STATUS=OR","EQY_CONSOLIDATED=Y","Sort=A","Dates=H","DateFormat=P","Fill=—","Direction=H","UseDPDF=Y")</f>
        <v>#NAME?</v>
      </c>
      <c r="BQ131" s="2" t="e">
        <f ca="1">_xll.BDH($C$128,"WORKING_CAPITAL_SEQ_GROWTH","FQ3 2014","FQ3 2014","Currency=INR","Period=FQ","BEST_FPERIOD_OVERRIDE=FQ","FILING_STATUS=OR","EQY_CONSOLIDATED=Y","Sort=A","Dates=H","DateFormat=P","Fill=—","Direction=H","UseDPDF=Y")</f>
        <v>#NAME?</v>
      </c>
      <c r="BR131" s="2" t="e">
        <f ca="1">_xll.BDH($C$128,"ACCOUNTS_PAYABLE_SEQ_GROWTH","FQ3 2014","FQ3 2014","Currency=INR","Period=FQ","BEST_FPERIOD_OVERRIDE=FQ","FILING_STATUS=OR","EQY_CONSOLIDATED=Y","Sort=A","Dates=H","DateFormat=P","Fill=—","Direction=H","UseDPDF=Y")</f>
        <v>#NAME?</v>
      </c>
      <c r="BS131" s="2" t="e">
        <f ca="1">_xll.BDH($C$128,"ST_DEBT_SEQUENTIAL_GROWTH","FQ3 2014","FQ3 2014","Currency=INR","Period=FQ","BEST_FPERIOD_OVERRIDE=FQ","FILING_STATUS=OR","EQY_CONSOLIDATED=Y","Sort=A","Dates=H","DateFormat=P","Fill=—","Direction=H","UseDPDF=Y")</f>
        <v>#NAME?</v>
      </c>
      <c r="BT131" s="2" t="e">
        <f ca="1">_xll.BDH($C$128,"TOTAL_DEBT_SEQUENTIAL_GROWTH","FQ3 2014","FQ3 2014","Currency=INR","Period=FQ","BEST_FPERIOD_OVERRIDE=FQ","FILING_STATUS=OR","EQY_CONSOLIDATED=Y","Sort=A","Dates=H","DateFormat=P","Fill=—","Direction=H","UseDPDF=Y")</f>
        <v>#NAME?</v>
      </c>
      <c r="BU131" s="2" t="e">
        <f ca="1">_xll.BDH($C$128,"TOTAL_EQUITY_SEQUENTIAL_GROWTH","FQ3 2014","FQ3 2014","Currency=INR","Period=FQ","BEST_FPERIOD_OVERRIDE=FQ","FILING_STATUS=OR","EQY_CONSOLIDATED=Y","Sort=A","Dates=H","DateFormat=P","Fill=—","Direction=H","UseDPDF=Y")</f>
        <v>#NAME?</v>
      </c>
      <c r="BV131" s="2" t="e">
        <f ca="1">_xll.BDH($C$128,"TOTAL_CAPITAL_SEQUENTIAL_GROWTH","FQ3 2014","FQ3 2014","Currency=INR","Period=FQ","BEST_FPERIOD_OVERRIDE=FQ","FILING_STATUS=OR","EQY_CONSOLIDATED=Y","Sort=A","Dates=H","DateFormat=P","Fill=—","Direction=H","UseDPDF=Y")</f>
        <v>#NAME?</v>
      </c>
      <c r="BW131" s="2" t="e">
        <f ca="1">_xll.BDH($C$128,"BPS_SEQUENTIAL_GROWTH","FQ3 2014","FQ3 2014","Currency=INR","Period=FQ","BEST_FPERIOD_OVERRIDE=FQ","FILING_STATUS=OR","EQY_CONSOLIDATED=Y","Sort=A","Dates=H","DateFormat=P","Fill=—","Direction=H","UseDPDF=Y")</f>
        <v>#NAME?</v>
      </c>
      <c r="BX131" s="2" t="e">
        <f ca="1">_xll.BDH($C$128,"CFO_SEQUENTIAL_GROWTH","FQ3 2014","FQ3 2014","Currency=INR","Period=FQ","BEST_FPERIOD_OVERRIDE=FQ","FILING_STATUS=OR","EQY_CONSOLIDATED=Y","Sort=A","Dates=H","DateFormat=P","Fill=—","Direction=H","UseDPDF=Y")</f>
        <v>#NAME?</v>
      </c>
      <c r="BY131" s="3" t="e">
        <f ca="1">_xll.BDH($C$128,"SHORT_AND_LONG_TERM_DEBT","FQ3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31" s="3" t="e">
        <f ca="1">_xll.BDH($C$128,"BS_ST_BORROW","FQ3 2014","FQ3 2014","Currency=INR","Period=FQ","BEST_FPERIOD_OVERRIDE=FQ","FILING_STATUS=OR","EQY_CONSOLIDATED=Y","SCALING_FORMAT=MLN","Sort=A","Dates=H","DateFormat=P","Fill=—","Direction=H","UseDPDF=Y")</f>
        <v>#NAME?</v>
      </c>
      <c r="CA131" s="3" t="e">
        <f ca="1">_xll.BDH($C$128,"BS_LT_BORROW","FQ3 2014","FQ3 2014","Currency=INR","Period=FQ","BEST_FPERIOD_OVERRIDE=FQ","FILING_STATUS=OR","EQY_CONSOLIDATED=Y","SCALING_FORMAT=MLN","Sort=A","Dates=H","DateFormat=P","Fill=—","Direction=H","UseDPDF=Y")</f>
        <v>#NAME?</v>
      </c>
      <c r="CB131" s="2" t="e">
        <f ca="1">_xll.BDH($C$128,"TOT_DEBT_TO_EBITDA","FQ3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31" s="2" t="e">
        <f ca="1">_xll.BDH($C$128,"NET_DEBT_TO_EBITDA","FQ3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31" s="2" t="e">
        <f ca="1">_xll.BDH($C$128,"TOTAL_DEBT_TO_EBIT","FQ3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31" s="2" t="e">
        <f ca="1">_xll.BDH($C$128,"NET_DEBT_TO_EBIT","FQ3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31" s="2" t="e">
        <f ca="1">_xll.BDH($C$128,"EBITDA_TO_INTEREST_EXPN","FQ3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31" s="2" t="e">
        <f ca="1">_xll.BDH($C$128,"COM_EQY_TO_TOT_ASSET","FQ3 2014","FQ3 2014","Currency=INR","Period=FQ","BEST_FPERIOD_OVERRIDE=FQ","FILING_STATUS=OR","EQY_CONSOLIDATED=Y","Sort=A","Dates=H","DateFormat=P","Fill=—","Direction=H","UseDPDF=Y")</f>
        <v>#NAME?</v>
      </c>
      <c r="CH131" s="2" t="e">
        <f ca="1">_xll.BDH($C$128,"LT_DEBT_TO_TOT_EQY","FQ3 2014","FQ3 2014","Currency=INR","Period=FQ","BEST_FPERIOD_OVERRIDE=FQ","FILING_STATUS=OR","EQY_CONSOLIDATED=Y","Sort=A","Dates=H","DateFormat=P","Fill=—","Direction=H","UseDPDF=Y")</f>
        <v>#NAME?</v>
      </c>
      <c r="CI131" s="2" t="e">
        <f ca="1">_xll.BDH($C$128,"LT_DEBT_TO_TOT_CAP","FQ3 2014","FQ3 2014","Currency=INR","Period=FQ","BEST_FPERIOD_OVERRIDE=FQ","FILING_STATUS=OR","EQY_CONSOLIDATED=Y","Sort=A","Dates=H","DateFormat=P","Fill=—","Direction=H","UseDPDF=Y")</f>
        <v>#NAME?</v>
      </c>
      <c r="CJ131" s="2" t="e">
        <f ca="1">_xll.BDH($C$128,"LT_DEBT_TO_TOT_ASSET","FQ3 2014","FQ3 2014","Currency=INR","Period=FQ","BEST_FPERIOD_OVERRIDE=FQ","FILING_STATUS=OR","EQY_CONSOLIDATED=Y","Sort=A","Dates=H","DateFormat=P","Fill=—","Direction=H","UseDPDF=Y")</f>
        <v>#NAME?</v>
      </c>
      <c r="CK131" s="2" t="e">
        <f ca="1">_xll.BDH($C$128,"TOT_DEBT_TO_TOT_EQY","FQ3 2014","FQ3 2014","Currency=INR","Period=FQ","BEST_FPERIOD_OVERRIDE=FQ","FILING_STATUS=OR","EQY_CONSOLIDATED=Y","Sort=A","Dates=H","DateFormat=P","Fill=—","Direction=H","UseDPDF=Y")</f>
        <v>#NAME?</v>
      </c>
      <c r="CL131" s="2" t="e">
        <f ca="1">_xll.BDH($C$128,"TOT_DEBT_TO_TOT_CAP","FQ3 2014","FQ3 2014","Currency=INR","Period=FQ","BEST_FPERIOD_OVERRIDE=FQ","FILING_STATUS=OR","EQY_CONSOLIDATED=Y","Sort=A","Dates=H","DateFormat=P","Fill=—","Direction=H","UseDPDF=Y")</f>
        <v>#NAME?</v>
      </c>
      <c r="CM131" s="2" t="e">
        <f ca="1">_xll.BDH($C$128,"TOT_DEBT_TO_TOT_ASSET","FQ3 2014","FQ3 2014","Currency=INR","Period=FQ","BEST_FPERIOD_OVERRIDE=FQ","FILING_STATUS=OR","EQY_CONSOLIDATED=Y","Sort=A","Dates=H","DateFormat=P","Fill=—","Direction=H","UseDPDF=Y")</f>
        <v>#NAME?</v>
      </c>
      <c r="CN131" s="2" t="e">
        <f ca="1">_xll.BDH($C$128,"NET_DEBT_TO_SHRHLDR_EQTY","FQ3 2014","FQ3 2014","Currency=INR","Period=FQ","BEST_FPERIOD_OVERRIDE=FQ","FILING_STATUS=OR","EQY_CONSOLIDATED=Y","Sort=A","Dates=H","DateFormat=P","Fill=—","Direction=H","UseDPDF=Y")</f>
        <v>#NAME?</v>
      </c>
      <c r="CO131" s="2" t="e">
        <f ca="1">_xll.BDH($C$128,"NET_DEBT_%_CAPITAL","FQ3 2014","FQ3 2014","Currency=INR","Period=FQ","BEST_FPERIOD_OVERRIDE=FQ","FILING_STATUS=OR","EQY_CONSOLIDATED=Y","Sort=A","Dates=H","DateFormat=P","Fill=—","Direction=H","UseDPDF=Y")</f>
        <v>#NAME?</v>
      </c>
      <c r="CP131" s="3" t="e">
        <f ca="1">_xll.BDH($C$128,"EBITDA","FQ3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31" s="3" t="e">
        <f ca="1">_xll.BDH($C$128,"EBITDA_AFTER_CAPEX","FQ3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31" s="3" t="e">
        <f ca="1">_xll.BDH($C$128,"IS_OPER_INC","FQ3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31" s="2" t="e">
        <f ca="1">_xll.BDH($C$128,"CASH_RATIO","FQ3 2014","FQ3 2014","Currency=INR","Period=FQ","BEST_FPERIOD_OVERRIDE=FQ","FILING_STATUS=OR","EQY_CONSOLIDATED=Y","Sort=A","Dates=H","DateFormat=P","Fill=—","Direction=H","UseDPDF=Y")</f>
        <v>#NAME?</v>
      </c>
      <c r="CT131" s="2" t="e">
        <f ca="1">_xll.BDH($C$128,"CUR_RATIO","FQ3 2014","FQ3 2014","Currency=INR","Period=FQ","BEST_FPERIOD_OVERRIDE=FQ","FILING_STATUS=OR","EQY_CONSOLIDATED=Y","Sort=A","Dates=H","DateFormat=P","Fill=—","Direction=H","UseDPDF=Y")</f>
        <v>#NAME?</v>
      </c>
      <c r="CU131" s="2" t="e">
        <f ca="1">_xll.BDH($C$128,"QUICK_RATIO","FQ3 2014","FQ3 2014","Currency=INR","Period=FQ","BEST_FPERIOD_OVERRIDE=FQ","FILING_STATUS=OR","EQY_CONSOLIDATED=Y","Sort=A","Dates=H","DateFormat=P","Fill=—","Direction=H","UseDPDF=Y")</f>
        <v>#NAME?</v>
      </c>
      <c r="CV131" s="2" t="e">
        <f ca="1">_xll.BDH($C$128,"ALTMAN_Z_SCORE","FQ3 2014","FQ3 2014","Currency=INR","Period=FQ","BEST_FPERIOD_OVERRIDE=FQ","FILING_STATUS=OR","EQY_CONSOLIDATED=Y","Sort=A","Dates=H","DateFormat=P","Fill=—","Direction=H","UseDPDF=Y")</f>
        <v>#NAME?</v>
      </c>
      <c r="CW131" s="4" t="e">
        <f ca="1">_xll.BDH($C$128,"ACCT_RCV_TURN","FQ3 2014","FQ3 2014","Currency=INR","Period=FQ","BEST_FPERIOD_OVERRIDE=FQ","FILING_STATUS=OR","EQY_CONSOLIDATED=Y","FA_ADJUSTED=GAAP","Sort=A","Dates=H","DateFormat=P","Fill=—","Direction=H","UseDPDF=Y")</f>
        <v>#NAME?</v>
      </c>
      <c r="CX131" s="2" t="e">
        <f ca="1">_xll.BDH($C$128,"ACCT_RCV_DAYS","FQ3 2014","FQ3 2014","Currency=INR","Period=FQ","BEST_FPERIOD_OVERRIDE=FQ","FILING_STATUS=OR","EQY_CONSOLIDATED=Y","FA_ADJUSTED=GAAP","Sort=A","Dates=H","DateFormat=P","Fill=—","Direction=H","UseDPDF=Y")</f>
        <v>#NAME?</v>
      </c>
      <c r="CY131" s="4" t="e">
        <f ca="1">_xll.BDH($C$128,"INVENT_TURN","FQ3 2014","FQ3 2014","Currency=INR","Period=FQ","BEST_FPERIOD_OVERRIDE=FQ","FILING_STATUS=OR","EQY_CONSOLIDATED=Y","FA_ADJUSTED=GAAP","Sort=A","Dates=H","DateFormat=P","Fill=—","Direction=H","UseDPDF=Y")</f>
        <v>#NAME?</v>
      </c>
      <c r="CZ131" s="2" t="e">
        <f ca="1">_xll.BDH($C$128,"INVENT_DAYS","FQ3 2014","FQ3 2014","Currency=INR","Period=FQ","BEST_FPERIOD_OVERRIDE=FQ","FILING_STATUS=OR","EQY_CONSOLIDATED=Y","FA_ADJUSTED=GAAP","Sort=A","Dates=H","DateFormat=P","Fill=—","Direction=H","UseDPDF=Y")</f>
        <v>#NAME?</v>
      </c>
      <c r="DA131" s="4" t="e">
        <f ca="1">_xll.BDH($C$128,"ACCOUNTS_PAYABLE_TURNOVER","FQ3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31" s="2" t="e">
        <f ca="1">_xll.BDH($C$128,"ACCOUNTS_PAYABLE_TURNOVER_DAYS","FQ3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31" s="4" t="e">
        <f ca="1">_xll.BDH($C$128,"CASH_CONVERSION_CYCLE","FQ3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31" s="4" t="e">
        <f ca="1">_xll.BDH($C$128,"INV_TO_CASH_DAYS","FQ3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31" s="5" t="e">
        <f ca="1">_xll.BDH($C$128,"BS_INVENTORIES","FQ3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31" s="3" t="e">
        <f ca="1">_xll.BDH($C$128,"INVTRY_RAW_MATERIALS","FQ3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31" s="3" t="e">
        <f ca="1">_xll.BDH($C$128,"INVTRY_IN_PROGRESS","FQ3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31" s="3" t="e">
        <f ca="1">_xll.BDH($C$128,"INVTRY_FINISHED_GOODS","FQ3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31" s="3" t="e">
        <f ca="1">_xll.BDH($C$128,"BS_OTHER_INV","FQ3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32" spans="1:113" x14ac:dyDescent="0.3">
      <c r="A132" s="6"/>
      <c r="B132" s="6"/>
      <c r="C132" s="6"/>
      <c r="D132" s="6"/>
      <c r="E132" t="s">
        <v>81</v>
      </c>
      <c r="F132" t="e">
        <f ca="1">_xll.BDH($C$128,"RETURN_COM_EQY","FQ4 2014","FQ4 2014","Currency=INR","Period=FQ","BEST_FPERIOD_OVERRIDE=FQ","FILING_STATUS=OR","EQY_CONSOLIDATED=Y","FA_ADJUSTED=GAAP","Sort=A","Dates=H","DateFormat=P","Fill=—","Direction=H","UseDPDF=Y")</f>
        <v>#NAME?</v>
      </c>
      <c r="G132" t="e">
        <f ca="1">_xll.BDH($C$128,"RETURN_ON_ASSET","FQ4 2014","FQ4 2014","Currency=INR","Period=FQ","BEST_FPERIOD_OVERRIDE=FQ","FILING_STATUS=OR","EQY_CONSOLIDATED=Y","FA_ADJUSTED=GAAP","Sort=A","Dates=H","DateFormat=P","Fill=—","Direction=H","UseDPDF=Y")</f>
        <v>#NAME?</v>
      </c>
      <c r="H132" t="e">
        <f ca="1">_xll.BDH($C$128,"RETURN_ON_CAP","FQ4 2014","FQ4 2014","Currency=INR","Period=FQ","BEST_FPERIOD_OVERRIDE=FQ","FILING_STATUS=OR","EQY_CONSOLIDATED=Y","FA_ADJUSTED=GAAP","Sort=A","Dates=H","DateFormat=P","Fill=—","Direction=H","UseDPDF=Y")</f>
        <v>#NAME?</v>
      </c>
      <c r="I132" t="e">
        <f ca="1">_xll.BDH($C$128,"RETURN_ON_INV_CAPITAL","FQ4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32" t="e">
        <f ca="1">_xll.BDH($C$128,"EBITDA_TO_REVENUE","FQ4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32" t="e">
        <f ca="1">_xll.BDH($C$128,"OPER_MARGIN","FQ4 2014","FQ4 2014","Currency=INR","Period=FQ","BEST_FPERIOD_OVERRIDE=FQ","FILING_STATUS=OR","EQY_CONSOLIDATED=Y","FA_ADJUSTED=GAAP","Sort=A","Dates=H","DateFormat=P","Fill=—","Direction=H","UseDPDF=Y")</f>
        <v>#NAME?</v>
      </c>
      <c r="L132" t="e">
        <f ca="1">_xll.BDH($C$128,"INCREMENTAL_OPERATING_MARGIN","FQ4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32" t="e">
        <f ca="1">_xll.BDH($C$128,"PRETAX_INC_TO_NET_SALES","FQ4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32" t="e">
        <f ca="1">_xll.BDH($C$128,"INC_BEF_XO_ITEMS_TO_NET_SALES","FQ4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32" t="e">
        <f ca="1">_xll.BDH($C$128,"PROF_MARGIN","FQ4 2014","FQ4 2014","Currency=INR","Period=FQ","BEST_FPERIOD_OVERRIDE=FQ","FILING_STATUS=OR","EQY_CONSOLIDATED=Y","FA_ADJUSTED=GAAP","Sort=A","Dates=H","DateFormat=P","Fill=—","Direction=H","UseDPDF=Y")</f>
        <v>#NAME?</v>
      </c>
      <c r="P132" t="e">
        <f ca="1">_xll.BDH($C$128,"NET_INCOME_TO_COMMON_MARGIN","FQ4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32" t="e">
        <f ca="1">_xll.BDH($C$128,"EFF_TAX_RATE","FQ4 2014","FQ4 2014","Currency=INR","Period=FQ","BEST_FPERIOD_OVERRIDE=FQ","FILING_STATUS=OR","EQY_CONSOLIDATED=Y","FA_ADJUSTED=GAAP","Sort=A","Dates=H","DateFormat=P","Fill=—","Direction=H","UseDPDF=Y")</f>
        <v>#NAME?</v>
      </c>
      <c r="R132" t="e">
        <f ca="1">_xll.BDH($C$128,"DVD_PAYOUT_RATIO","FQ4 2014","FQ4 2014","Currency=INR","Period=FQ","BEST_FPERIOD_OVERRIDE=FQ","FILING_STATUS=OR","EQY_CONSOLIDATED=Y","FA_ADJUSTED=GAAP","Sort=A","Dates=H","DateFormat=P","Fill=—","Direction=H","UseDPDF=Y")</f>
        <v>#NAME?</v>
      </c>
      <c r="S132" t="e">
        <f ca="1">_xll.BDH($C$128,"SUSTAIN_GROWTH_RT","FQ4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32" s="2" t="e">
        <f ca="1">_xll.BDH($C$128,"SALES_GROWTH","FQ4 2014","FQ4 2014","Currency=INR","Period=FQ","BEST_FPERIOD_OVERRIDE=FQ","FILING_STATUS=OR","EQY_CONSOLIDATED=Y","FA_ADJUSTED=GAAP","Sort=A","Dates=H","DateFormat=P","Fill=—","Direction=H","UseDPDF=Y")</f>
        <v>#NAME?</v>
      </c>
      <c r="U132" s="2" t="e">
        <f ca="1">_xll.BDH($C$128,"EBITDA_GROWTH","FQ4 2014","FQ4 2014","Currency=INR","Period=FQ","BEST_FPERIOD_OVERRIDE=FQ","FILING_STATUS=OR","EQY_CONSOLIDATED=Y","FA_ADJUSTED=GAAP","Sort=A","Dates=H","DateFormat=P","Fill=—","Direction=H","UseDPDF=Y")</f>
        <v>#NAME?</v>
      </c>
      <c r="V132" s="2" t="e">
        <f ca="1">_xll.BDH($C$128,"OPER_INC_GROWTH","FQ4 2014","FQ4 2014","Currency=INR","Period=FQ","BEST_FPERIOD_OVERRIDE=FQ","FILING_STATUS=OR","EQY_CONSOLIDATED=Y","FA_ADJUSTED=GAAP","Sort=A","Dates=H","DateFormat=P","Fill=—","Direction=H","UseDPDF=Y")</f>
        <v>#NAME?</v>
      </c>
      <c r="W132" s="2" t="e">
        <f ca="1">_xll.BDH($C$128,"EARN_FOR_COM_GROWTH","FQ4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32" s="2" t="e">
        <f ca="1">_xll.BDH($C$128,"DILUTED_EPS_AFT_XO_ITEMS_GROWTH","FQ4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32" s="2" t="e">
        <f ca="1">_xll.BDH($C$128,"DIVIDEND_PER_SHARE_1_YEAR_GROWTH","FQ4 2014","FQ4 2014","Currency=INR","Period=FQ","BEST_FPERIOD_OVERRIDE=FQ","FILING_STATUS=OR","EQY_CONSOLIDATED=Y","Sort=A","Dates=H","DateFormat=P","Fill=—","Direction=H","UseDPDF=Y")</f>
        <v>#NAME?</v>
      </c>
      <c r="Z132" s="2" t="e">
        <f ca="1">_xll.BDH($C$128,"ACCOUNTS_RECEIVABLE_GROWTH","FQ4 2014","FQ4 2014","Currency=INR","Period=FQ","BEST_FPERIOD_OVERRIDE=FQ","FILING_STATUS=OR","EQY_CONSOLIDATED=Y","Sort=A","Dates=H","DateFormat=P","Fill=—","Direction=H","UseDPDF=Y")</f>
        <v>#NAME?</v>
      </c>
      <c r="AA132" s="2" t="e">
        <f ca="1">_xll.BDH($C$128,"INVENTORY_GROWTH","FQ4 2014","FQ4 2014","Currency=INR","Period=FQ","BEST_FPERIOD_OVERRIDE=FQ","FILING_STATUS=OR","EQY_CONSOLIDATED=Y","Sort=A","Dates=H","DateFormat=P","Fill=—","Direction=H","UseDPDF=Y")</f>
        <v>#NAME?</v>
      </c>
      <c r="AB132" s="2" t="e">
        <f ca="1">_xll.BDH($C$128,"NET_FIXED_ASSETS_1_YEAR_GROWTH","FQ4 2014","FQ4 2014","Currency=INR","Period=FQ","BEST_FPERIOD_OVERRIDE=FQ","FILING_STATUS=OR","EQY_CONSOLIDATED=Y","Sort=A","Dates=H","DateFormat=P","Fill=—","Direction=H","UseDPDF=Y")</f>
        <v>#NAME?</v>
      </c>
      <c r="AC132" s="2" t="e">
        <f ca="1">_xll.BDH($C$128,"ASSET_GROWTH","FQ4 2014","FQ4 2014","Currency=INR","Period=FQ","BEST_FPERIOD_OVERRIDE=FQ","FILING_STATUS=OR","EQY_CONSOLIDATED=Y","Sort=A","Dates=H","DateFormat=P","Fill=—","Direction=H","UseDPDF=Y")</f>
        <v>#NAME?</v>
      </c>
      <c r="AD132" s="2" t="e">
        <f ca="1">_xll.BDH($C$128,"MODIFIED_WORK_CAP_GROWTH","FQ4 2014","FQ4 2014","Currency=INR","Period=FQ","BEST_FPERIOD_OVERRIDE=FQ","FILING_STATUS=OR","EQY_CONSOLIDATED=Y","Sort=A","Dates=H","DateFormat=P","Fill=—","Direction=H","UseDPDF=Y")</f>
        <v>#NAME?</v>
      </c>
      <c r="AE132" s="2" t="e">
        <f ca="1">_xll.BDH($C$128,"WORK_CAP_GROWTH","FQ4 2014","FQ4 2014","Currency=INR","Period=FQ","BEST_FPERIOD_OVERRIDE=FQ","FILING_STATUS=OR","EQY_CONSOLIDATED=Y","Sort=A","Dates=H","DateFormat=P","Fill=—","Direction=H","UseDPDF=Y")</f>
        <v>#NAME?</v>
      </c>
      <c r="AF132" s="2" t="e">
        <f ca="1">_xll.BDH($C$128,"ACCOUNTS_PAYABLE_GROWTH_1YR","FQ4 2014","FQ4 2014","Currency=INR","Period=FQ","BEST_FPERIOD_OVERRIDE=FQ","FILING_STATUS=OR","EQY_CONSOLIDATED=Y","Sort=A","Dates=H","DateFormat=P","Fill=—","Direction=H","UseDPDF=Y")</f>
        <v>#NAME?</v>
      </c>
      <c r="AG132" s="2" t="e">
        <f ca="1">_xll.BDH($C$128,"SHORT_TERM_DEBT_1_YEAR_GROWTH","FQ4 2014","FQ4 2014","Currency=INR","Period=FQ","BEST_FPERIOD_OVERRIDE=FQ","FILING_STATUS=OR","EQY_CONSOLIDATED=Y","Sort=A","Dates=H","DateFormat=P","Fill=—","Direction=H","UseDPDF=Y")</f>
        <v>#NAME?</v>
      </c>
      <c r="AH132" s="2" t="e">
        <f ca="1">_xll.BDH($C$128,"TOTAL_DEBT_1_YEAR_GROWTH","FQ4 2014","FQ4 2014","Currency=INR","Period=FQ","BEST_FPERIOD_OVERRIDE=FQ","FILING_STATUS=OR","EQY_CONSOLIDATED=Y","Sort=A","Dates=H","DateFormat=P","Fill=—","Direction=H","UseDPDF=Y")</f>
        <v>#NAME?</v>
      </c>
      <c r="AI132" s="2" t="e">
        <f ca="1">_xll.BDH($C$128,"TOTAL_EQUITY_1_YEAR_GROWTH","FQ4 2014","FQ4 2014","Currency=INR","Period=FQ","BEST_FPERIOD_OVERRIDE=FQ","FILING_STATUS=OR","EQY_CONSOLIDATED=Y","Sort=A","Dates=H","DateFormat=P","Fill=—","Direction=H","UseDPDF=Y")</f>
        <v>#NAME?</v>
      </c>
      <c r="AJ132" s="2" t="e">
        <f ca="1">_xll.BDH($C$128,"GROWTH_IN_CAP","FQ4 2014","FQ4 2014","Currency=INR","Period=FQ","BEST_FPERIOD_OVERRIDE=FQ","FILING_STATUS=OR","EQY_CONSOLIDATED=Y","Sort=A","Dates=H","DateFormat=P","Fill=—","Direction=H","UseDPDF=Y")</f>
        <v>#NAME?</v>
      </c>
      <c r="AK132" s="2" t="e">
        <f ca="1">_xll.BDH($C$128,"BVPS_GROWTH","FQ4 2014","FQ4 2014","Currency=INR","Period=FQ","BEST_FPERIOD_OVERRIDE=FQ","FILING_STATUS=OR","EQY_CONSOLIDATED=Y","Sort=A","Dates=H","DateFormat=P","Fill=—","Direction=H","UseDPDF=Y")</f>
        <v>#NAME?</v>
      </c>
      <c r="AL132" s="2" t="e">
        <f ca="1">_xll.BDH($C$128,"CASH_FLOW_GROWTH","FQ4 2014","FQ4 2014","Currency=INR","Period=FQ","BEST_FPERIOD_OVERRIDE=FQ","FILING_STATUS=OR","EQY_CONSOLIDATED=Y","Sort=A","Dates=H","DateFormat=P","Fill=—","Direction=H","UseDPDF=Y")</f>
        <v>#NAME?</v>
      </c>
      <c r="AM132" s="2" t="e">
        <f ca="1">_xll.BDH($C$128,"GEO_GROW_NET_SALES","FQ4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32" s="2" t="e">
        <f ca="1">_xll.BDH($C$128,"GEO_GROW_EBITDA","FQ4 2014","FQ4 2014","Currency=INR","Period=FQ","BEST_FPERIOD_OVERRIDE=FQ","FILING_STATUS=OR","EQY_CONSOLIDATED=Y","FA_ADJUSTED=GAAP","Sort=A","Dates=H","DateFormat=P","Fill=—","Direction=H","UseDPDF=Y")</f>
        <v>#NAME?</v>
      </c>
      <c r="AO132" s="2" t="e">
        <f ca="1">_xll.BDH($C$128,"GEO_GROW_OPER_INC","FQ4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32" s="2" t="e">
        <f ca="1">_xll.BDH($C$128,"NET_INCOME_TO_COMMON_5_YR_GROWTH","FQ4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32" s="2" t="e">
        <f ca="1">_xll.BDH($C$128,"5Y_GEO_GROWTH_DILUTED_EPS","FQ4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32" s="2" t="e">
        <f ca="1">_xll.BDH($C$128,"GEO_GROW_DVD_PER_SH","FQ4 2014","FQ4 2014","Currency=INR","Period=FQ","BEST_FPERIOD_OVERRIDE=FQ","FILING_STATUS=OR","EQY_CONSOLIDATED=Y","Sort=A","Dates=H","DateFormat=P","Fill=—","Direction=H","UseDPDF=Y")</f>
        <v>#NAME?</v>
      </c>
      <c r="AS132" s="2" t="e">
        <f ca="1">_xll.BDH($C$128,"ACCOUNTS_RECEIVABLE_5_YR_GROWTH","FQ4 2014","FQ4 2014","Currency=INR","Period=FQ","BEST_FPERIOD_OVERRIDE=FQ","FILING_STATUS=OR","EQY_CONSOLIDATED=Y","Sort=A","Dates=H","DateFormat=P","Fill=—","Direction=H","UseDPDF=Y")</f>
        <v>#NAME?</v>
      </c>
      <c r="AT132" s="2" t="e">
        <f ca="1">_xll.BDH($C$128,"INVENTORY_5_YEAR_GROWTH","FQ4 2014","FQ4 2014","Currency=INR","Period=FQ","BEST_FPERIOD_OVERRIDE=FQ","FILING_STATUS=OR","EQY_CONSOLIDATED=Y","Sort=A","Dates=H","DateFormat=P","Fill=—","Direction=H","UseDPDF=Y")</f>
        <v>#NAME?</v>
      </c>
      <c r="AU132" s="2" t="e">
        <f ca="1">_xll.BDH($C$128,"NET_FIXED_ASSETS_5_YEAR_GROWTH","FQ4 2014","FQ4 2014","Currency=INR","Period=FQ","BEST_FPERIOD_OVERRIDE=FQ","FILING_STATUS=OR","EQY_CONSOLIDATED=Y","Sort=A","Dates=H","DateFormat=P","Fill=—","Direction=H","UseDPDF=Y")</f>
        <v>#NAME?</v>
      </c>
      <c r="AV132" s="2" t="e">
        <f ca="1">_xll.BDH($C$128,"GEO_GROW_TOT_ASSET","FQ4 2014","FQ4 2014","Currency=INR","Period=FQ","BEST_FPERIOD_OVERRIDE=FQ","FILING_STATUS=OR","EQY_CONSOLIDATED=Y","Sort=A","Dates=H","DateFormat=P","Fill=—","Direction=H","UseDPDF=Y")</f>
        <v>#NAME?</v>
      </c>
      <c r="AW132" s="2" t="e">
        <f ca="1">_xll.BDH($C$128,"MODIFIED_WORKING_CPTL_5YR_GRWTH","FQ4 2014","FQ4 2014","Currency=INR","Period=FQ","BEST_FPERIOD_OVERRIDE=FQ","FILING_STATUS=OR","EQY_CONSOLIDATED=Y","Sort=A","Dates=H","DateFormat=P","Fill=—","Direction=H","UseDPDF=Y")</f>
        <v>#NAME?</v>
      </c>
      <c r="AX132" s="2" t="e">
        <f ca="1">_xll.BDH($C$128,"WORKING_CAPITAL_5_YEAR_GROWTH","FQ4 2014","FQ4 2014","Currency=INR","Period=FQ","BEST_FPERIOD_OVERRIDE=FQ","FILING_STATUS=OR","EQY_CONSOLIDATED=Y","Sort=A","Dates=H","DateFormat=P","Fill=—","Direction=H","UseDPDF=Y")</f>
        <v>#NAME?</v>
      </c>
      <c r="AY132" s="2" t="e">
        <f ca="1">_xll.BDH($C$128,"ACCOUNTS_PAYABLE_5_YEAR_GROWTH","FQ4 2014","FQ4 2014","Currency=INR","Period=FQ","BEST_FPERIOD_OVERRIDE=FQ","FILING_STATUS=OR","EQY_CONSOLIDATED=Y","Sort=A","Dates=H","DateFormat=P","Fill=—","Direction=H","UseDPDF=Y")</f>
        <v>#NAME?</v>
      </c>
      <c r="AZ132" s="2" t="e">
        <f ca="1">_xll.BDH($C$128,"SHORT_TERM_DEBT_5_YEAR_GROWTH","FQ4 2014","FQ4 2014","Currency=INR","Period=FQ","BEST_FPERIOD_OVERRIDE=FQ","FILING_STATUS=OR","EQY_CONSOLIDATED=Y","Sort=A","Dates=H","DateFormat=P","Fill=—","Direction=H","UseDPDF=Y")</f>
        <v>#NAME?</v>
      </c>
      <c r="BA132" s="2" t="e">
        <f ca="1">_xll.BDH($C$128,"TOTAL_DEBT_5_YEAR_GROWTH","FQ4 2014","FQ4 2014","Currency=INR","Period=FQ","BEST_FPERIOD_OVERRIDE=FQ","FILING_STATUS=OR","EQY_CONSOLIDATED=Y","Sort=A","Dates=H","DateFormat=P","Fill=—","Direction=H","UseDPDF=Y")</f>
        <v>#NAME?</v>
      </c>
      <c r="BB132" s="2" t="e">
        <f ca="1">_xll.BDH($C$128,"GEO_GROW_TOT_SHRHLDR_EQY","FQ4 2014","FQ4 2014","Currency=INR","Period=FQ","BEST_FPERIOD_OVERRIDE=FQ","FILING_STATUS=OR","EQY_CONSOLIDATED=Y","Sort=A","Dates=H","DateFormat=P","Fill=—","Direction=H","UseDPDF=Y")</f>
        <v>#NAME?</v>
      </c>
      <c r="BC132" s="2" t="e">
        <f ca="1">_xll.BDH($C$128,"TOTAL_CAPITAL_5_YEAR_GROWTH","FQ4 2014","FQ4 2014","Currency=INR","Period=FQ","BEST_FPERIOD_OVERRIDE=FQ","FILING_STATUS=OR","EQY_CONSOLIDATED=Y","Sort=A","Dates=H","DateFormat=P","Fill=—","Direction=H","UseDPDF=Y")</f>
        <v>#NAME?</v>
      </c>
      <c r="BD132" s="2" t="e">
        <f ca="1">_xll.BDH($C$128,"GEO_GROW_BOOK_VAL","FQ4 2014","FQ4 2014","Currency=INR","Period=FQ","BEST_FPERIOD_OVERRIDE=FQ","FILING_STATUS=OR","EQY_CONSOLIDATED=Y","Sort=A","Dates=H","DateFormat=P","Fill=—","Direction=H","UseDPDF=Y")</f>
        <v>#NAME?</v>
      </c>
      <c r="BE132" s="2" t="e">
        <f ca="1">_xll.BDH($C$128,"GEO_GROW_CASH_OPER_ACT","FQ4 2014","FQ4 2014","Currency=INR","Period=FQ","BEST_FPERIOD_OVERRIDE=FQ","FILING_STATUS=OR","EQY_CONSOLIDATED=Y","Sort=A","Dates=H","DateFormat=P","Fill=—","Direction=H","UseDPDF=Y")</f>
        <v>#NAME?</v>
      </c>
      <c r="BF132" s="2" t="e">
        <f ca="1">_xll.BDH($C$128,"REVENUE_SEQUENTIAL_GROWTH","FQ4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32" s="2" t="e">
        <f ca="1">_xll.BDH($C$128,"EBITDA_SEQUENTIAL_GROWTH","FQ4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32" s="2" t="e">
        <f ca="1">_xll.BDH($C$128,"OPERATING_INCOME_SEQ_GROWTH","FQ4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32" s="2" t="e">
        <f ca="1">_xll.BDH($C$128,"NET_INCOME_TO_COMMON_SEQ_GROWTH","FQ4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32" s="2" t="e">
        <f ca="1">_xll.BDH($C$128,"EPS_DILUTED_SEQUENTIAL_GROWTH","FQ4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32" s="2" t="e">
        <f ca="1">_xll.BDH($C$128,"DPS_SEQUENTIAL_GROWTH","FQ4 2014","FQ4 2014","Currency=INR","Period=FQ","BEST_FPERIOD_OVERRIDE=FQ","FILING_STATUS=OR","EQY_CONSOLIDATED=Y","Sort=A","Dates=H","DateFormat=P","Fill=—","Direction=H","UseDPDF=Y")</f>
        <v>#NAME?</v>
      </c>
      <c r="BL132" s="2" t="e">
        <f ca="1">_xll.BDH($C$128,"ACCOUNTS_RECEIVABLE_SEQ_GROWTH","FQ4 2014","FQ4 2014","Currency=INR","Period=FQ","BEST_FPERIOD_OVERRIDE=FQ","FILING_STATUS=OR","EQY_CONSOLIDATED=Y","Sort=A","Dates=H","DateFormat=P","Fill=—","Direction=H","UseDPDF=Y")</f>
        <v>#NAME?</v>
      </c>
      <c r="BM132" s="2" t="e">
        <f ca="1">_xll.BDH($C$128,"INVENTORY_SEQUENTIAL_GROWTH","FQ4 2014","FQ4 2014","Currency=INR","Period=FQ","BEST_FPERIOD_OVERRIDE=FQ","FILING_STATUS=OR","EQY_CONSOLIDATED=Y","Sort=A","Dates=H","DateFormat=P","Fill=—","Direction=H","UseDPDF=Y")</f>
        <v>#NAME?</v>
      </c>
      <c r="BN132" s="2" t="e">
        <f ca="1">_xll.BDH($C$128,"FIXED_ASSETS_SEQUENTIAL_GROWTH","FQ4 2014","FQ4 2014","Currency=INR","Period=FQ","BEST_FPERIOD_OVERRIDE=FQ","FILING_STATUS=OR","EQY_CONSOLIDATED=Y","Sort=A","Dates=H","DateFormat=P","Fill=—","Direction=H","UseDPDF=Y")</f>
        <v>#NAME?</v>
      </c>
      <c r="BO132" s="2" t="e">
        <f ca="1">_xll.BDH($C$128,"TOTAL_ASSETS_SEQUENTIAL_GROWTH","FQ4 2014","FQ4 2014","Currency=INR","Period=FQ","BEST_FPERIOD_OVERRIDE=FQ","FILING_STATUS=OR","EQY_CONSOLIDATED=Y","Sort=A","Dates=H","DateFormat=P","Fill=—","Direction=H","UseDPDF=Y")</f>
        <v>#NAME?</v>
      </c>
      <c r="BP132" s="2" t="e">
        <f ca="1">_xll.BDH($C$128,"MODIFIED_WORKING_CPTL_SEQ_GRWTH","FQ4 2014","FQ4 2014","Currency=INR","Period=FQ","BEST_FPERIOD_OVERRIDE=FQ","FILING_STATUS=OR","EQY_CONSOLIDATED=Y","Sort=A","Dates=H","DateFormat=P","Fill=—","Direction=H","UseDPDF=Y")</f>
        <v>#NAME?</v>
      </c>
      <c r="BQ132" s="2" t="e">
        <f ca="1">_xll.BDH($C$128,"WORKING_CAPITAL_SEQ_GROWTH","FQ4 2014","FQ4 2014","Currency=INR","Period=FQ","BEST_FPERIOD_OVERRIDE=FQ","FILING_STATUS=OR","EQY_CONSOLIDATED=Y","Sort=A","Dates=H","DateFormat=P","Fill=—","Direction=H","UseDPDF=Y")</f>
        <v>#NAME?</v>
      </c>
      <c r="BR132" s="2" t="e">
        <f ca="1">_xll.BDH($C$128,"ACCOUNTS_PAYABLE_SEQ_GROWTH","FQ4 2014","FQ4 2014","Currency=INR","Period=FQ","BEST_FPERIOD_OVERRIDE=FQ","FILING_STATUS=OR","EQY_CONSOLIDATED=Y","Sort=A","Dates=H","DateFormat=P","Fill=—","Direction=H","UseDPDF=Y")</f>
        <v>#NAME?</v>
      </c>
      <c r="BS132" s="2" t="e">
        <f ca="1">_xll.BDH($C$128,"ST_DEBT_SEQUENTIAL_GROWTH","FQ4 2014","FQ4 2014","Currency=INR","Period=FQ","BEST_FPERIOD_OVERRIDE=FQ","FILING_STATUS=OR","EQY_CONSOLIDATED=Y","Sort=A","Dates=H","DateFormat=P","Fill=—","Direction=H","UseDPDF=Y")</f>
        <v>#NAME?</v>
      </c>
      <c r="BT132" s="2" t="e">
        <f ca="1">_xll.BDH($C$128,"TOTAL_DEBT_SEQUENTIAL_GROWTH","FQ4 2014","FQ4 2014","Currency=INR","Period=FQ","BEST_FPERIOD_OVERRIDE=FQ","FILING_STATUS=OR","EQY_CONSOLIDATED=Y","Sort=A","Dates=H","DateFormat=P","Fill=—","Direction=H","UseDPDF=Y")</f>
        <v>#NAME?</v>
      </c>
      <c r="BU132" s="2" t="e">
        <f ca="1">_xll.BDH($C$128,"TOTAL_EQUITY_SEQUENTIAL_GROWTH","FQ4 2014","FQ4 2014","Currency=INR","Period=FQ","BEST_FPERIOD_OVERRIDE=FQ","FILING_STATUS=OR","EQY_CONSOLIDATED=Y","Sort=A","Dates=H","DateFormat=P","Fill=—","Direction=H","UseDPDF=Y")</f>
        <v>#NAME?</v>
      </c>
      <c r="BV132" s="2" t="e">
        <f ca="1">_xll.BDH($C$128,"TOTAL_CAPITAL_SEQUENTIAL_GROWTH","FQ4 2014","FQ4 2014","Currency=INR","Period=FQ","BEST_FPERIOD_OVERRIDE=FQ","FILING_STATUS=OR","EQY_CONSOLIDATED=Y","Sort=A","Dates=H","DateFormat=P","Fill=—","Direction=H","UseDPDF=Y")</f>
        <v>#NAME?</v>
      </c>
      <c r="BW132" s="2" t="e">
        <f ca="1">_xll.BDH($C$128,"BPS_SEQUENTIAL_GROWTH","FQ4 2014","FQ4 2014","Currency=INR","Period=FQ","BEST_FPERIOD_OVERRIDE=FQ","FILING_STATUS=OR","EQY_CONSOLIDATED=Y","Sort=A","Dates=H","DateFormat=P","Fill=—","Direction=H","UseDPDF=Y")</f>
        <v>#NAME?</v>
      </c>
      <c r="BX132" s="2" t="e">
        <f ca="1">_xll.BDH($C$128,"CFO_SEQUENTIAL_GROWTH","FQ4 2014","FQ4 2014","Currency=INR","Period=FQ","BEST_FPERIOD_OVERRIDE=FQ","FILING_STATUS=OR","EQY_CONSOLIDATED=Y","Sort=A","Dates=H","DateFormat=P","Fill=—","Direction=H","UseDPDF=Y")</f>
        <v>#NAME?</v>
      </c>
      <c r="BY132" s="3" t="e">
        <f ca="1">_xll.BDH($C$128,"SHORT_AND_LONG_TERM_DEBT","FQ4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32" s="3" t="e">
        <f ca="1">_xll.BDH($C$128,"BS_ST_BORROW","FQ4 2014","FQ4 2014","Currency=INR","Period=FQ","BEST_FPERIOD_OVERRIDE=FQ","FILING_STATUS=OR","EQY_CONSOLIDATED=Y","SCALING_FORMAT=MLN","Sort=A","Dates=H","DateFormat=P","Fill=—","Direction=H","UseDPDF=Y")</f>
        <v>#NAME?</v>
      </c>
      <c r="CA132" s="3" t="e">
        <f ca="1">_xll.BDH($C$128,"BS_LT_BORROW","FQ4 2014","FQ4 2014","Currency=INR","Period=FQ","BEST_FPERIOD_OVERRIDE=FQ","FILING_STATUS=OR","EQY_CONSOLIDATED=Y","SCALING_FORMAT=MLN","Sort=A","Dates=H","DateFormat=P","Fill=—","Direction=H","UseDPDF=Y")</f>
        <v>#NAME?</v>
      </c>
      <c r="CB132" s="2" t="e">
        <f ca="1">_xll.BDH($C$128,"TOT_DEBT_TO_EBITDA","FQ4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32" s="2" t="e">
        <f ca="1">_xll.BDH($C$128,"NET_DEBT_TO_EBITDA","FQ4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32" s="2" t="e">
        <f ca="1">_xll.BDH($C$128,"TOTAL_DEBT_TO_EBIT","FQ4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32" s="2" t="e">
        <f ca="1">_xll.BDH($C$128,"NET_DEBT_TO_EBIT","FQ4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32" s="2" t="e">
        <f ca="1">_xll.BDH($C$128,"EBITDA_TO_INTEREST_EXPN","FQ4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32" s="2" t="e">
        <f ca="1">_xll.BDH($C$128,"COM_EQY_TO_TOT_ASSET","FQ4 2014","FQ4 2014","Currency=INR","Period=FQ","BEST_FPERIOD_OVERRIDE=FQ","FILING_STATUS=OR","EQY_CONSOLIDATED=Y","Sort=A","Dates=H","DateFormat=P","Fill=—","Direction=H","UseDPDF=Y")</f>
        <v>#NAME?</v>
      </c>
      <c r="CH132" s="2" t="e">
        <f ca="1">_xll.BDH($C$128,"LT_DEBT_TO_TOT_EQY","FQ4 2014","FQ4 2014","Currency=INR","Period=FQ","BEST_FPERIOD_OVERRIDE=FQ","FILING_STATUS=OR","EQY_CONSOLIDATED=Y","Sort=A","Dates=H","DateFormat=P","Fill=—","Direction=H","UseDPDF=Y")</f>
        <v>#NAME?</v>
      </c>
      <c r="CI132" s="2" t="e">
        <f ca="1">_xll.BDH($C$128,"LT_DEBT_TO_TOT_CAP","FQ4 2014","FQ4 2014","Currency=INR","Period=FQ","BEST_FPERIOD_OVERRIDE=FQ","FILING_STATUS=OR","EQY_CONSOLIDATED=Y","Sort=A","Dates=H","DateFormat=P","Fill=—","Direction=H","UseDPDF=Y")</f>
        <v>#NAME?</v>
      </c>
      <c r="CJ132" s="2" t="e">
        <f ca="1">_xll.BDH($C$128,"LT_DEBT_TO_TOT_ASSET","FQ4 2014","FQ4 2014","Currency=INR","Period=FQ","BEST_FPERIOD_OVERRIDE=FQ","FILING_STATUS=OR","EQY_CONSOLIDATED=Y","Sort=A","Dates=H","DateFormat=P","Fill=—","Direction=H","UseDPDF=Y")</f>
        <v>#NAME?</v>
      </c>
      <c r="CK132" s="2" t="e">
        <f ca="1">_xll.BDH($C$128,"TOT_DEBT_TO_TOT_EQY","FQ4 2014","FQ4 2014","Currency=INR","Period=FQ","BEST_FPERIOD_OVERRIDE=FQ","FILING_STATUS=OR","EQY_CONSOLIDATED=Y","Sort=A","Dates=H","DateFormat=P","Fill=—","Direction=H","UseDPDF=Y")</f>
        <v>#NAME?</v>
      </c>
      <c r="CL132" s="2" t="e">
        <f ca="1">_xll.BDH($C$128,"TOT_DEBT_TO_TOT_CAP","FQ4 2014","FQ4 2014","Currency=INR","Period=FQ","BEST_FPERIOD_OVERRIDE=FQ","FILING_STATUS=OR","EQY_CONSOLIDATED=Y","Sort=A","Dates=H","DateFormat=P","Fill=—","Direction=H","UseDPDF=Y")</f>
        <v>#NAME?</v>
      </c>
      <c r="CM132" s="2" t="e">
        <f ca="1">_xll.BDH($C$128,"TOT_DEBT_TO_TOT_ASSET","FQ4 2014","FQ4 2014","Currency=INR","Period=FQ","BEST_FPERIOD_OVERRIDE=FQ","FILING_STATUS=OR","EQY_CONSOLIDATED=Y","Sort=A","Dates=H","DateFormat=P","Fill=—","Direction=H","UseDPDF=Y")</f>
        <v>#NAME?</v>
      </c>
      <c r="CN132" s="2" t="e">
        <f ca="1">_xll.BDH($C$128,"NET_DEBT_TO_SHRHLDR_EQTY","FQ4 2014","FQ4 2014","Currency=INR","Period=FQ","BEST_FPERIOD_OVERRIDE=FQ","FILING_STATUS=OR","EQY_CONSOLIDATED=Y","Sort=A","Dates=H","DateFormat=P","Fill=—","Direction=H","UseDPDF=Y")</f>
        <v>#NAME?</v>
      </c>
      <c r="CO132" s="2" t="e">
        <f ca="1">_xll.BDH($C$128,"NET_DEBT_%_CAPITAL","FQ4 2014","FQ4 2014","Currency=INR","Period=FQ","BEST_FPERIOD_OVERRIDE=FQ","FILING_STATUS=OR","EQY_CONSOLIDATED=Y","Sort=A","Dates=H","DateFormat=P","Fill=—","Direction=H","UseDPDF=Y")</f>
        <v>#NAME?</v>
      </c>
      <c r="CP132" s="3" t="e">
        <f ca="1">_xll.BDH($C$128,"EBITDA","FQ4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32" s="3" t="e">
        <f ca="1">_xll.BDH($C$128,"EBITDA_AFTER_CAPEX","FQ4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32" s="3" t="e">
        <f ca="1">_xll.BDH($C$128,"IS_OPER_INC","FQ4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32" s="2" t="e">
        <f ca="1">_xll.BDH($C$128,"CASH_RATIO","FQ4 2014","FQ4 2014","Currency=INR","Period=FQ","BEST_FPERIOD_OVERRIDE=FQ","FILING_STATUS=OR","EQY_CONSOLIDATED=Y","Sort=A","Dates=H","DateFormat=P","Fill=—","Direction=H","UseDPDF=Y")</f>
        <v>#NAME?</v>
      </c>
      <c r="CT132" s="2" t="e">
        <f ca="1">_xll.BDH($C$128,"CUR_RATIO","FQ4 2014","FQ4 2014","Currency=INR","Period=FQ","BEST_FPERIOD_OVERRIDE=FQ","FILING_STATUS=OR","EQY_CONSOLIDATED=Y","Sort=A","Dates=H","DateFormat=P","Fill=—","Direction=H","UseDPDF=Y")</f>
        <v>#NAME?</v>
      </c>
      <c r="CU132" s="2" t="e">
        <f ca="1">_xll.BDH($C$128,"QUICK_RATIO","FQ4 2014","FQ4 2014","Currency=INR","Period=FQ","BEST_FPERIOD_OVERRIDE=FQ","FILING_STATUS=OR","EQY_CONSOLIDATED=Y","Sort=A","Dates=H","DateFormat=P","Fill=—","Direction=H","UseDPDF=Y")</f>
        <v>#NAME?</v>
      </c>
      <c r="CV132" s="2" t="e">
        <f ca="1">_xll.BDH($C$128,"ALTMAN_Z_SCORE","FQ4 2014","FQ4 2014","Currency=INR","Period=FQ","BEST_FPERIOD_OVERRIDE=FQ","FILING_STATUS=OR","EQY_CONSOLIDATED=Y","Sort=A","Dates=H","DateFormat=P","Fill=—","Direction=H","UseDPDF=Y")</f>
        <v>#NAME?</v>
      </c>
      <c r="CW132" s="4" t="e">
        <f ca="1">_xll.BDH($C$128,"ACCT_RCV_TURN","FQ4 2014","FQ4 2014","Currency=INR","Period=FQ","BEST_FPERIOD_OVERRIDE=FQ","FILING_STATUS=OR","EQY_CONSOLIDATED=Y","FA_ADJUSTED=GAAP","Sort=A","Dates=H","DateFormat=P","Fill=—","Direction=H","UseDPDF=Y")</f>
        <v>#NAME?</v>
      </c>
      <c r="CX132" s="2" t="e">
        <f ca="1">_xll.BDH($C$128,"ACCT_RCV_DAYS","FQ4 2014","FQ4 2014","Currency=INR","Period=FQ","BEST_FPERIOD_OVERRIDE=FQ","FILING_STATUS=OR","EQY_CONSOLIDATED=Y","FA_ADJUSTED=GAAP","Sort=A","Dates=H","DateFormat=P","Fill=—","Direction=H","UseDPDF=Y")</f>
        <v>#NAME?</v>
      </c>
      <c r="CY132" s="4" t="e">
        <f ca="1">_xll.BDH($C$128,"INVENT_TURN","FQ4 2014","FQ4 2014","Currency=INR","Period=FQ","BEST_FPERIOD_OVERRIDE=FQ","FILING_STATUS=OR","EQY_CONSOLIDATED=Y","FA_ADJUSTED=GAAP","Sort=A","Dates=H","DateFormat=P","Fill=—","Direction=H","UseDPDF=Y")</f>
        <v>#NAME?</v>
      </c>
      <c r="CZ132" s="2" t="e">
        <f ca="1">_xll.BDH($C$128,"INVENT_DAYS","FQ4 2014","FQ4 2014","Currency=INR","Period=FQ","BEST_FPERIOD_OVERRIDE=FQ","FILING_STATUS=OR","EQY_CONSOLIDATED=Y","FA_ADJUSTED=GAAP","Sort=A","Dates=H","DateFormat=P","Fill=—","Direction=H","UseDPDF=Y")</f>
        <v>#NAME?</v>
      </c>
      <c r="DA132" s="4" t="e">
        <f ca="1">_xll.BDH($C$128,"ACCOUNTS_PAYABLE_TURNOVER","FQ4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32" s="2" t="e">
        <f ca="1">_xll.BDH($C$128,"ACCOUNTS_PAYABLE_TURNOVER_DAYS","FQ4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32" s="4" t="e">
        <f ca="1">_xll.BDH($C$128,"CASH_CONVERSION_CYCLE","FQ4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32" s="4" t="e">
        <f ca="1">_xll.BDH($C$128,"INV_TO_CASH_DAYS","FQ4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32" s="5" t="e">
        <f ca="1">_xll.BDH($C$128,"BS_INVENTORIES","FQ4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32" s="3" t="e">
        <f ca="1">_xll.BDH($C$128,"INVTRY_RAW_MATERIALS","FQ4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32" s="3" t="e">
        <f ca="1">_xll.BDH($C$128,"INVTRY_IN_PROGRESS","FQ4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32" s="3" t="e">
        <f ca="1">_xll.BDH($C$128,"INVTRY_FINISHED_GOODS","FQ4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32" s="3" t="e">
        <f ca="1">_xll.BDH($C$128,"BS_OTHER_INV","FQ4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33" spans="1:113" x14ac:dyDescent="0.3">
      <c r="A133" s="6"/>
      <c r="B133" s="6"/>
      <c r="C133" s="6"/>
      <c r="D133" s="6" t="s">
        <v>82</v>
      </c>
      <c r="E133" t="s">
        <v>77</v>
      </c>
      <c r="F133" t="e">
        <f ca="1">_xll.BDH($C$128,"RETURN_COM_EQY","FY 2015","FY 2015","Currency=INR","Period=FY","BEST_FPERIOD_OVERRIDE=FY","FILING_STATUS=OR","EQY_CONSOLIDATED=Y","FA_ADJUSTED=GAAP","Sort=A","Dates=H","DateFormat=P","Fill=—","Direction=H","UseDPDF=Y")</f>
        <v>#NAME?</v>
      </c>
      <c r="G133" t="e">
        <f ca="1">_xll.BDH($C$128,"RETURN_ON_ASSET","FY 2015","FY 2015","Currency=INR","Period=FY","BEST_FPERIOD_OVERRIDE=FY","FILING_STATUS=OR","EQY_CONSOLIDATED=Y","FA_ADJUSTED=GAAP","Sort=A","Dates=H","DateFormat=P","Fill=—","Direction=H","UseDPDF=Y")</f>
        <v>#NAME?</v>
      </c>
      <c r="H133" t="e">
        <f ca="1">_xll.BDH($C$128,"RETURN_ON_CAP","FY 2015","FY 2015","Currency=INR","Period=FY","BEST_FPERIOD_OVERRIDE=FY","FILING_STATUS=OR","EQY_CONSOLIDATED=Y","FA_ADJUSTED=GAAP","Sort=A","Dates=H","DateFormat=P","Fill=—","Direction=H","UseDPDF=Y")</f>
        <v>#NAME?</v>
      </c>
      <c r="I133" t="e">
        <f ca="1">_xll.BDH($C$128,"RETURN_ON_INV_CAPITAL","FY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33" t="e">
        <f ca="1">_xll.BDH($C$128,"EBITDA_TO_REVENUE","FY 2015","FY 2015","Currency=INR","Period=FY","BEST_FPERIOD_OVERRIDE=FY","FILING_STATUS=OR","EQY_CONSOLIDATED=Y","FA_ADJUSTED=GAAP","Sort=A","Dates=H","DateFormat=P","Fill=—","Direction=H","UseDPDF=Y")</f>
        <v>#NAME?</v>
      </c>
      <c r="K133" t="e">
        <f ca="1">_xll.BDH($C$128,"OPER_MARGIN","FY 2015","FY 2015","Currency=INR","Period=FY","BEST_FPERIOD_OVERRIDE=FY","FILING_STATUS=OR","EQY_CONSOLIDATED=Y","FA_ADJUSTED=GAAP","Sort=A","Dates=H","DateFormat=P","Fill=—","Direction=H","UseDPDF=Y")</f>
        <v>#NAME?</v>
      </c>
      <c r="L133" t="e">
        <f ca="1">_xll.BDH($C$128,"INCREMENTAL_OPERATING_MARGIN","FY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33" t="e">
        <f ca="1">_xll.BDH($C$128,"PRETAX_INC_TO_NET_SALES","FY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33" t="e">
        <f ca="1">_xll.BDH($C$128,"INC_BEF_XO_ITEMS_TO_NET_SALES","FY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33" t="e">
        <f ca="1">_xll.BDH($C$128,"PROF_MARGIN","FY 2015","FY 2015","Currency=INR","Period=FY","BEST_FPERIOD_OVERRIDE=FY","FILING_STATUS=OR","EQY_CONSOLIDATED=Y","FA_ADJUSTED=GAAP","Sort=A","Dates=H","DateFormat=P","Fill=—","Direction=H","UseDPDF=Y")</f>
        <v>#NAME?</v>
      </c>
      <c r="P133" t="e">
        <f ca="1">_xll.BDH($C$128,"NET_INCOME_TO_COMMON_MARGIN","FY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33" t="e">
        <f ca="1">_xll.BDH($C$128,"EFF_TAX_RATE","FY 2015","FY 2015","Currency=INR","Period=FY","BEST_FPERIOD_OVERRIDE=FY","FILING_STATUS=OR","EQY_CONSOLIDATED=Y","FA_ADJUSTED=GAAP","Sort=A","Dates=H","DateFormat=P","Fill=—","Direction=H","UseDPDF=Y")</f>
        <v>#NAME?</v>
      </c>
      <c r="R133" t="e">
        <f ca="1">_xll.BDH($C$128,"DVD_PAYOUT_RATIO","FY 2015","FY 2015","Currency=INR","Period=FY","BEST_FPERIOD_OVERRIDE=FY","FILING_STATUS=OR","EQY_CONSOLIDATED=Y","FA_ADJUSTED=GAAP","Sort=A","Dates=H","DateFormat=P","Fill=—","Direction=H","UseDPDF=Y")</f>
        <v>#NAME?</v>
      </c>
      <c r="S133" t="e">
        <f ca="1">_xll.BDH($C$128,"SUSTAIN_GROWTH_RT","FY 2015","FY 2015","Currency=INR","Period=FY","BEST_FPERIOD_OVERRIDE=FY","FILING_STATUS=OR","EQY_CONSOLIDATED=Y","FA_ADJUSTED=GAAP","Sort=A","Dates=H","DateFormat=P","Fill=—","Direction=H","UseDPDF=Y")</f>
        <v>#NAME?</v>
      </c>
      <c r="T133" s="2" t="e">
        <f ca="1">_xll.BDH($C$128,"SALES_GROWTH","FY 2015","FY 2015","Currency=INR","Period=FY","BEST_FPERIOD_OVERRIDE=FY","FILING_STATUS=OR","EQY_CONSOLIDATED=Y","FA_ADJUSTED=GAAP","Sort=A","Dates=H","DateFormat=P","Fill=—","Direction=H","UseDPDF=Y")</f>
        <v>#NAME?</v>
      </c>
      <c r="U133" s="2" t="e">
        <f ca="1">_xll.BDH($C$128,"EBITDA_GROWTH","FY 2015","FY 2015","Currency=INR","Period=FY","BEST_FPERIOD_OVERRIDE=FY","FILING_STATUS=OR","EQY_CONSOLIDATED=Y","FA_ADJUSTED=GAAP","Sort=A","Dates=H","DateFormat=P","Fill=—","Direction=H","UseDPDF=Y")</f>
        <v>#NAME?</v>
      </c>
      <c r="V133" s="2" t="e">
        <f ca="1">_xll.BDH($C$128,"OPER_INC_GROWTH","FY 2015","FY 2015","Currency=INR","Period=FY","BEST_FPERIOD_OVERRIDE=FY","FILING_STATUS=OR","EQY_CONSOLIDATED=Y","FA_ADJUSTED=GAAP","Sort=A","Dates=H","DateFormat=P","Fill=—","Direction=H","UseDPDF=Y")</f>
        <v>#NAME?</v>
      </c>
      <c r="W133" s="2" t="e">
        <f ca="1">_xll.BDH($C$128,"EARN_FOR_COM_GROWTH","FY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33" s="2" t="e">
        <f ca="1">_xll.BDH($C$128,"DILUTED_EPS_AFT_XO_ITEMS_GROWTH","FY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33" s="2" t="e">
        <f ca="1">_xll.BDH($C$128,"DIVIDEND_PER_SHARE_1_YEAR_GROWTH","FY 2015","FY 2015","Currency=INR","Period=FY","BEST_FPERIOD_OVERRIDE=FY","FILING_STATUS=OR","EQY_CONSOLIDATED=Y","Sort=A","Dates=H","DateFormat=P","Fill=—","Direction=H","UseDPDF=Y")</f>
        <v>#NAME?</v>
      </c>
      <c r="Z133" s="2" t="e">
        <f ca="1">_xll.BDH($C$128,"ACCOUNTS_RECEIVABLE_GROWTH","FY 2015","FY 2015","Currency=INR","Period=FY","BEST_FPERIOD_OVERRIDE=FY","FILING_STATUS=OR","EQY_CONSOLIDATED=Y","Sort=A","Dates=H","DateFormat=P","Fill=—","Direction=H","UseDPDF=Y")</f>
        <v>#NAME?</v>
      </c>
      <c r="AA133" s="2" t="e">
        <f ca="1">_xll.BDH($C$128,"INVENTORY_GROWTH","FY 2015","FY 2015","Currency=INR","Period=FY","BEST_FPERIOD_OVERRIDE=FY","FILING_STATUS=OR","EQY_CONSOLIDATED=Y","Sort=A","Dates=H","DateFormat=P","Fill=—","Direction=H","UseDPDF=Y")</f>
        <v>#NAME?</v>
      </c>
      <c r="AB133" s="2" t="e">
        <f ca="1">_xll.BDH($C$128,"NET_FIXED_ASSETS_1_YEAR_GROWTH","FY 2015","FY 2015","Currency=INR","Period=FY","BEST_FPERIOD_OVERRIDE=FY","FILING_STATUS=OR","EQY_CONSOLIDATED=Y","Sort=A","Dates=H","DateFormat=P","Fill=—","Direction=H","UseDPDF=Y")</f>
        <v>#NAME?</v>
      </c>
      <c r="AC133" s="2" t="e">
        <f ca="1">_xll.BDH($C$128,"ASSET_GROWTH","FY 2015","FY 2015","Currency=INR","Period=FY","BEST_FPERIOD_OVERRIDE=FY","FILING_STATUS=OR","EQY_CONSOLIDATED=Y","Sort=A","Dates=H","DateFormat=P","Fill=—","Direction=H","UseDPDF=Y")</f>
        <v>#NAME?</v>
      </c>
      <c r="AD133" s="2" t="e">
        <f ca="1">_xll.BDH($C$128,"MODIFIED_WORK_CAP_GROWTH","FY 2015","FY 2015","Currency=INR","Period=FY","BEST_FPERIOD_OVERRIDE=FY","FILING_STATUS=OR","EQY_CONSOLIDATED=Y","Sort=A","Dates=H","DateFormat=P","Fill=—","Direction=H","UseDPDF=Y")</f>
        <v>#NAME?</v>
      </c>
      <c r="AE133" s="2" t="e">
        <f ca="1">_xll.BDH($C$128,"WORK_CAP_GROWTH","FY 2015","FY 2015","Currency=INR","Period=FY","BEST_FPERIOD_OVERRIDE=FY","FILING_STATUS=OR","EQY_CONSOLIDATED=Y","Sort=A","Dates=H","DateFormat=P","Fill=—","Direction=H","UseDPDF=Y")</f>
        <v>#NAME?</v>
      </c>
      <c r="AF133" s="2" t="e">
        <f ca="1">_xll.BDH($C$128,"ACCOUNTS_PAYABLE_GROWTH_1YR","FY 2015","FY 2015","Currency=INR","Period=FY","BEST_FPERIOD_OVERRIDE=FY","FILING_STATUS=OR","EQY_CONSOLIDATED=Y","Sort=A","Dates=H","DateFormat=P","Fill=—","Direction=H","UseDPDF=Y")</f>
        <v>#NAME?</v>
      </c>
      <c r="AG133" s="2" t="e">
        <f ca="1">_xll.BDH($C$128,"SHORT_TERM_DEBT_1_YEAR_GROWTH","FY 2015","FY 2015","Currency=INR","Period=FY","BEST_FPERIOD_OVERRIDE=FY","FILING_STATUS=OR","EQY_CONSOLIDATED=Y","Sort=A","Dates=H","DateFormat=P","Fill=—","Direction=H","UseDPDF=Y")</f>
        <v>#NAME?</v>
      </c>
      <c r="AH133" s="2" t="e">
        <f ca="1">_xll.BDH($C$128,"TOTAL_DEBT_1_YEAR_GROWTH","FY 2015","FY 2015","Currency=INR","Period=FY","BEST_FPERIOD_OVERRIDE=FY","FILING_STATUS=OR","EQY_CONSOLIDATED=Y","Sort=A","Dates=H","DateFormat=P","Fill=—","Direction=H","UseDPDF=Y")</f>
        <v>#NAME?</v>
      </c>
      <c r="AI133" s="2" t="e">
        <f ca="1">_xll.BDH($C$128,"TOTAL_EQUITY_1_YEAR_GROWTH","FY 2015","FY 2015","Currency=INR","Period=FY","BEST_FPERIOD_OVERRIDE=FY","FILING_STATUS=OR","EQY_CONSOLIDATED=Y","Sort=A","Dates=H","DateFormat=P","Fill=—","Direction=H","UseDPDF=Y")</f>
        <v>#NAME?</v>
      </c>
      <c r="AJ133" s="2" t="e">
        <f ca="1">_xll.BDH($C$128,"GROWTH_IN_CAP","FY 2015","FY 2015","Currency=INR","Period=FY","BEST_FPERIOD_OVERRIDE=FY","FILING_STATUS=OR","EQY_CONSOLIDATED=Y","Sort=A","Dates=H","DateFormat=P","Fill=—","Direction=H","UseDPDF=Y")</f>
        <v>#NAME?</v>
      </c>
      <c r="AK133" s="2" t="e">
        <f ca="1">_xll.BDH($C$128,"BVPS_GROWTH","FY 2015","FY 2015","Currency=INR","Period=FY","BEST_FPERIOD_OVERRIDE=FY","FILING_STATUS=OR","EQY_CONSOLIDATED=Y","Sort=A","Dates=H","DateFormat=P","Fill=—","Direction=H","UseDPDF=Y")</f>
        <v>#NAME?</v>
      </c>
      <c r="AL133" s="2" t="e">
        <f ca="1">_xll.BDH($C$128,"CASH_FLOW_GROWTH","FY 2015","FY 2015","Currency=INR","Period=FY","BEST_FPERIOD_OVERRIDE=FY","FILING_STATUS=OR","EQY_CONSOLIDATED=Y","Sort=A","Dates=H","DateFormat=P","Fill=—","Direction=H","UseDPDF=Y")</f>
        <v>#NAME?</v>
      </c>
      <c r="AM133" s="2" t="e">
        <f ca="1">_xll.BDH($C$128,"GEO_GROW_NET_SALES","FY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33" s="2" t="e">
        <f ca="1">_xll.BDH($C$128,"GEO_GROW_EBITDA","FY 2015","FY 2015","Currency=INR","Period=FY","BEST_FPERIOD_OVERRIDE=FY","FILING_STATUS=OR","EQY_CONSOLIDATED=Y","FA_ADJUSTED=GAAP","Sort=A","Dates=H","DateFormat=P","Fill=—","Direction=H","UseDPDF=Y")</f>
        <v>#NAME?</v>
      </c>
      <c r="AO133" s="2" t="e">
        <f ca="1">_xll.BDH($C$128,"GEO_GROW_OPER_INC","FY 2015","FY 2015","Currency=INR","Period=FY","BEST_FPERIOD_OVERRIDE=FY","FILING_STATUS=OR","EQY_CONSOLIDATED=Y","FA_ADJUSTED=GAAP","Sort=A","Dates=H","DateFormat=P","Fill=—","Direction=H","UseDPDF=Y")</f>
        <v>#NAME?</v>
      </c>
      <c r="AP133" s="2" t="e">
        <f ca="1">_xll.BDH($C$128,"NET_INCOME_TO_COMMON_5_YR_GROWTH","FY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33" s="2" t="e">
        <f ca="1">_xll.BDH($C$128,"5Y_GEO_GROWTH_DILUTED_EPS","FY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33" s="2" t="e">
        <f ca="1">_xll.BDH($C$128,"GEO_GROW_DVD_PER_SH","FY 2015","FY 2015","Currency=INR","Period=FY","BEST_FPERIOD_OVERRIDE=FY","FILING_STATUS=OR","EQY_CONSOLIDATED=Y","Sort=A","Dates=H","DateFormat=P","Fill=—","Direction=H","UseDPDF=Y")</f>
        <v>#NAME?</v>
      </c>
      <c r="AS133" s="2" t="e">
        <f ca="1">_xll.BDH($C$128,"ACCOUNTS_RECEIVABLE_5_YR_GROWTH","FY 2015","FY 2015","Currency=INR","Period=FY","BEST_FPERIOD_OVERRIDE=FY","FILING_STATUS=OR","EQY_CONSOLIDATED=Y","Sort=A","Dates=H","DateFormat=P","Fill=—","Direction=H","UseDPDF=Y")</f>
        <v>#NAME?</v>
      </c>
      <c r="AT133" s="2" t="e">
        <f ca="1">_xll.BDH($C$128,"INVENTORY_5_YEAR_GROWTH","FY 2015","FY 2015","Currency=INR","Period=FY","BEST_FPERIOD_OVERRIDE=FY","FILING_STATUS=OR","EQY_CONSOLIDATED=Y","Sort=A","Dates=H","DateFormat=P","Fill=—","Direction=H","UseDPDF=Y")</f>
        <v>#NAME?</v>
      </c>
      <c r="AU133" s="2" t="e">
        <f ca="1">_xll.BDH($C$128,"NET_FIXED_ASSETS_5_YEAR_GROWTH","FY 2015","FY 2015","Currency=INR","Period=FY","BEST_FPERIOD_OVERRIDE=FY","FILING_STATUS=OR","EQY_CONSOLIDATED=Y","Sort=A","Dates=H","DateFormat=P","Fill=—","Direction=H","UseDPDF=Y")</f>
        <v>#NAME?</v>
      </c>
      <c r="AV133" s="2" t="e">
        <f ca="1">_xll.BDH($C$128,"GEO_GROW_TOT_ASSET","FY 2015","FY 2015","Currency=INR","Period=FY","BEST_FPERIOD_OVERRIDE=FY","FILING_STATUS=OR","EQY_CONSOLIDATED=Y","Sort=A","Dates=H","DateFormat=P","Fill=—","Direction=H","UseDPDF=Y")</f>
        <v>#NAME?</v>
      </c>
      <c r="AW133" s="2" t="e">
        <f ca="1">_xll.BDH($C$128,"MODIFIED_WORKING_CPTL_5YR_GRWTH","FY 2015","FY 2015","Currency=INR","Period=FY","BEST_FPERIOD_OVERRIDE=FY","FILING_STATUS=OR","EQY_CONSOLIDATED=Y","Sort=A","Dates=H","DateFormat=P","Fill=—","Direction=H","UseDPDF=Y")</f>
        <v>#NAME?</v>
      </c>
      <c r="AX133" s="2" t="e">
        <f ca="1">_xll.BDH($C$128,"WORKING_CAPITAL_5_YEAR_GROWTH","FY 2015","FY 2015","Currency=INR","Period=FY","BEST_FPERIOD_OVERRIDE=FY","FILING_STATUS=OR","EQY_CONSOLIDATED=Y","Sort=A","Dates=H","DateFormat=P","Fill=—","Direction=H","UseDPDF=Y")</f>
        <v>#NAME?</v>
      </c>
      <c r="AY133" s="2" t="e">
        <f ca="1">_xll.BDH($C$128,"ACCOUNTS_PAYABLE_5_YEAR_GROWTH","FY 2015","FY 2015","Currency=INR","Period=FY","BEST_FPERIOD_OVERRIDE=FY","FILING_STATUS=OR","EQY_CONSOLIDATED=Y","Sort=A","Dates=H","DateFormat=P","Fill=—","Direction=H","UseDPDF=Y")</f>
        <v>#NAME?</v>
      </c>
      <c r="AZ133" s="2" t="e">
        <f ca="1">_xll.BDH($C$128,"SHORT_TERM_DEBT_5_YEAR_GROWTH","FY 2015","FY 2015","Currency=INR","Period=FY","BEST_FPERIOD_OVERRIDE=FY","FILING_STATUS=OR","EQY_CONSOLIDATED=Y","Sort=A","Dates=H","DateFormat=P","Fill=—","Direction=H","UseDPDF=Y")</f>
        <v>#NAME?</v>
      </c>
      <c r="BA133" s="2" t="e">
        <f ca="1">_xll.BDH($C$128,"TOTAL_DEBT_5_YEAR_GROWTH","FY 2015","FY 2015","Currency=INR","Period=FY","BEST_FPERIOD_OVERRIDE=FY","FILING_STATUS=OR","EQY_CONSOLIDATED=Y","Sort=A","Dates=H","DateFormat=P","Fill=—","Direction=H","UseDPDF=Y")</f>
        <v>#NAME?</v>
      </c>
      <c r="BB133" s="2" t="e">
        <f ca="1">_xll.BDH($C$128,"GEO_GROW_TOT_SHRHLDR_EQY","FY 2015","FY 2015","Currency=INR","Period=FY","BEST_FPERIOD_OVERRIDE=FY","FILING_STATUS=OR","EQY_CONSOLIDATED=Y","Sort=A","Dates=H","DateFormat=P","Fill=—","Direction=H","UseDPDF=Y")</f>
        <v>#NAME?</v>
      </c>
      <c r="BC133" s="2" t="e">
        <f ca="1">_xll.BDH($C$128,"TOTAL_CAPITAL_5_YEAR_GROWTH","FY 2015","FY 2015","Currency=INR","Period=FY","BEST_FPERIOD_OVERRIDE=FY","FILING_STATUS=OR","EQY_CONSOLIDATED=Y","Sort=A","Dates=H","DateFormat=P","Fill=—","Direction=H","UseDPDF=Y")</f>
        <v>#NAME?</v>
      </c>
      <c r="BD133" s="2" t="e">
        <f ca="1">_xll.BDH($C$128,"GEO_GROW_BOOK_VAL","FY 2015","FY 2015","Currency=INR","Period=FY","BEST_FPERIOD_OVERRIDE=FY","FILING_STATUS=OR","EQY_CONSOLIDATED=Y","Sort=A","Dates=H","DateFormat=P","Fill=—","Direction=H","UseDPDF=Y")</f>
        <v>#NAME?</v>
      </c>
      <c r="BE133" s="2" t="e">
        <f ca="1">_xll.BDH($C$128,"GEO_GROW_CASH_OPER_ACT","FY 2015","FY 2015","Currency=INR","Period=FY","BEST_FPERIOD_OVERRIDE=FY","FILING_STATUS=OR","EQY_CONSOLIDATED=Y","Sort=A","Dates=H","DateFormat=P","Fill=—","Direction=H","UseDPDF=Y")</f>
        <v>#NAME?</v>
      </c>
      <c r="BF133" s="2" t="e">
        <f ca="1">_xll.BDH($C$128,"REVENUE_SEQUENTIAL_GROWTH","FY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33" s="2" t="e">
        <f ca="1">_xll.BDH($C$128,"EBITDA_SEQUENTIAL_GROWTH","FY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33" s="2" t="e">
        <f ca="1">_xll.BDH($C$128,"OPERATING_INCOME_SEQ_GROWTH","FY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33" s="2" t="e">
        <f ca="1">_xll.BDH($C$128,"NET_INCOME_TO_COMMON_SEQ_GROWTH","FY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33" s="2" t="e">
        <f ca="1">_xll.BDH($C$128,"EPS_DILUTED_SEQUENTIAL_GROWTH","FY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33" s="2" t="e">
        <f ca="1">_xll.BDH($C$128,"DPS_SEQUENTIAL_GROWTH","FY 2015","FY 2015","Currency=INR","Period=FY","BEST_FPERIOD_OVERRIDE=FY","FILING_STATUS=OR","EQY_CONSOLIDATED=Y","Sort=A","Dates=H","DateFormat=P","Fill=—","Direction=H","UseDPDF=Y")</f>
        <v>#NAME?</v>
      </c>
      <c r="BL133" s="2" t="e">
        <f ca="1">_xll.BDH($C$128,"ACCOUNTS_RECEIVABLE_SEQ_GROWTH","FY 2015","FY 2015","Currency=INR","Period=FY","BEST_FPERIOD_OVERRIDE=FY","FILING_STATUS=OR","EQY_CONSOLIDATED=Y","Sort=A","Dates=H","DateFormat=P","Fill=—","Direction=H","UseDPDF=Y")</f>
        <v>#NAME?</v>
      </c>
      <c r="BM133" s="2" t="e">
        <f ca="1">_xll.BDH($C$128,"INVENTORY_SEQUENTIAL_GROWTH","FY 2015","FY 2015","Currency=INR","Period=FY","BEST_FPERIOD_OVERRIDE=FY","FILING_STATUS=OR","EQY_CONSOLIDATED=Y","Sort=A","Dates=H","DateFormat=P","Fill=—","Direction=H","UseDPDF=Y")</f>
        <v>#NAME?</v>
      </c>
      <c r="BN133" s="2" t="e">
        <f ca="1">_xll.BDH($C$128,"FIXED_ASSETS_SEQUENTIAL_GROWTH","FY 2015","FY 2015","Currency=INR","Period=FY","BEST_FPERIOD_OVERRIDE=FY","FILING_STATUS=OR","EQY_CONSOLIDATED=Y","Sort=A","Dates=H","DateFormat=P","Fill=—","Direction=H","UseDPDF=Y")</f>
        <v>#NAME?</v>
      </c>
      <c r="BO133" s="2" t="e">
        <f ca="1">_xll.BDH($C$128,"TOTAL_ASSETS_SEQUENTIAL_GROWTH","FY 2015","FY 2015","Currency=INR","Period=FY","BEST_FPERIOD_OVERRIDE=FY","FILING_STATUS=OR","EQY_CONSOLIDATED=Y","Sort=A","Dates=H","DateFormat=P","Fill=—","Direction=H","UseDPDF=Y")</f>
        <v>#NAME?</v>
      </c>
      <c r="BP133" s="2" t="e">
        <f ca="1">_xll.BDH($C$128,"MODIFIED_WORKING_CPTL_SEQ_GRWTH","FY 2015","FY 2015","Currency=INR","Period=FY","BEST_FPERIOD_OVERRIDE=FY","FILING_STATUS=OR","EQY_CONSOLIDATED=Y","Sort=A","Dates=H","DateFormat=P","Fill=—","Direction=H","UseDPDF=Y")</f>
        <v>#NAME?</v>
      </c>
      <c r="BQ133" s="2" t="e">
        <f ca="1">_xll.BDH($C$128,"WORKING_CAPITAL_SEQ_GROWTH","FY 2015","FY 2015","Currency=INR","Period=FY","BEST_FPERIOD_OVERRIDE=FY","FILING_STATUS=OR","EQY_CONSOLIDATED=Y","Sort=A","Dates=H","DateFormat=P","Fill=—","Direction=H","UseDPDF=Y")</f>
        <v>#NAME?</v>
      </c>
      <c r="BR133" s="2" t="e">
        <f ca="1">_xll.BDH($C$128,"ACCOUNTS_PAYABLE_SEQ_GROWTH","FY 2015","FY 2015","Currency=INR","Period=FY","BEST_FPERIOD_OVERRIDE=FY","FILING_STATUS=OR","EQY_CONSOLIDATED=Y","Sort=A","Dates=H","DateFormat=P","Fill=—","Direction=H","UseDPDF=Y")</f>
        <v>#NAME?</v>
      </c>
      <c r="BS133" s="2" t="e">
        <f ca="1">_xll.BDH($C$128,"ST_DEBT_SEQUENTIAL_GROWTH","FY 2015","FY 2015","Currency=INR","Period=FY","BEST_FPERIOD_OVERRIDE=FY","FILING_STATUS=OR","EQY_CONSOLIDATED=Y","Sort=A","Dates=H","DateFormat=P","Fill=—","Direction=H","UseDPDF=Y")</f>
        <v>#NAME?</v>
      </c>
      <c r="BT133" s="2" t="e">
        <f ca="1">_xll.BDH($C$128,"TOTAL_DEBT_SEQUENTIAL_GROWTH","FY 2015","FY 2015","Currency=INR","Period=FY","BEST_FPERIOD_OVERRIDE=FY","FILING_STATUS=OR","EQY_CONSOLIDATED=Y","Sort=A","Dates=H","DateFormat=P","Fill=—","Direction=H","UseDPDF=Y")</f>
        <v>#NAME?</v>
      </c>
      <c r="BU133" s="2" t="e">
        <f ca="1">_xll.BDH($C$128,"TOTAL_EQUITY_SEQUENTIAL_GROWTH","FY 2015","FY 2015","Currency=INR","Period=FY","BEST_FPERIOD_OVERRIDE=FY","FILING_STATUS=OR","EQY_CONSOLIDATED=Y","Sort=A","Dates=H","DateFormat=P","Fill=—","Direction=H","UseDPDF=Y")</f>
        <v>#NAME?</v>
      </c>
      <c r="BV133" s="2" t="e">
        <f ca="1">_xll.BDH($C$128,"TOTAL_CAPITAL_SEQUENTIAL_GROWTH","FY 2015","FY 2015","Currency=INR","Period=FY","BEST_FPERIOD_OVERRIDE=FY","FILING_STATUS=OR","EQY_CONSOLIDATED=Y","Sort=A","Dates=H","DateFormat=P","Fill=—","Direction=H","UseDPDF=Y")</f>
        <v>#NAME?</v>
      </c>
      <c r="BW133" s="2" t="e">
        <f ca="1">_xll.BDH($C$128,"BPS_SEQUENTIAL_GROWTH","FY 2015","FY 2015","Currency=INR","Period=FY","BEST_FPERIOD_OVERRIDE=FY","FILING_STATUS=OR","EQY_CONSOLIDATED=Y","Sort=A","Dates=H","DateFormat=P","Fill=—","Direction=H","UseDPDF=Y")</f>
        <v>#NAME?</v>
      </c>
      <c r="BX133" s="2" t="e">
        <f ca="1">_xll.BDH($C$128,"CFO_SEQUENTIAL_GROWTH","FY 2015","FY 2015","Currency=INR","Period=FY","BEST_FPERIOD_OVERRIDE=FY","FILING_STATUS=OR","EQY_CONSOLIDATED=Y","Sort=A","Dates=H","DateFormat=P","Fill=—","Direction=H","UseDPDF=Y")</f>
        <v>#NAME?</v>
      </c>
      <c r="BY133" s="3" t="e">
        <f ca="1">_xll.BDH($C$128,"SHORT_AND_LONG_TERM_DEBT","FY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33" s="3" t="e">
        <f ca="1">_xll.BDH($C$128,"BS_ST_BORROW","FY 2015","FY 2015","Currency=INR","Period=FY","BEST_FPERIOD_OVERRIDE=FY","FILING_STATUS=OR","EQY_CONSOLIDATED=Y","SCALING_FORMAT=MLN","Sort=A","Dates=H","DateFormat=P","Fill=—","Direction=H","UseDPDF=Y")</f>
        <v>#NAME?</v>
      </c>
      <c r="CA133" s="3" t="e">
        <f ca="1">_xll.BDH($C$128,"BS_LT_BORROW","FY 2015","FY 2015","Currency=INR","Period=FY","BEST_FPERIOD_OVERRIDE=FY","FILING_STATUS=OR","EQY_CONSOLIDATED=Y","SCALING_FORMAT=MLN","Sort=A","Dates=H","DateFormat=P","Fill=—","Direction=H","UseDPDF=Y")</f>
        <v>#NAME?</v>
      </c>
      <c r="CB133" s="2" t="e">
        <f ca="1">_xll.BDH($C$128,"TOT_DEBT_TO_EBITDA","FY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33" s="2" t="e">
        <f ca="1">_xll.BDH($C$128,"NET_DEBT_TO_EBITDA","FY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33" s="2" t="e">
        <f ca="1">_xll.BDH($C$128,"TOTAL_DEBT_TO_EBIT","FY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33" s="2" t="e">
        <f ca="1">_xll.BDH($C$128,"NET_DEBT_TO_EBIT","FY 2015","FY 2015","Currency=INR","Period=FY","BEST_FPERIOD_OVERRIDE=FY","FILING_STATUS=OR","EQY_CONSOLIDATED=Y","FA_ADJUSTED=GAAP","Sort=A","Dates=H","DateFormat=P","Fill=—","Direction=H","UseDPDF=Y")</f>
        <v>#NAME?</v>
      </c>
      <c r="CF133" s="2" t="e">
        <f ca="1">_xll.BDH($C$128,"EBITDA_TO_INTEREST_EXPN","FY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33" s="2" t="e">
        <f ca="1">_xll.BDH($C$128,"COM_EQY_TO_TOT_ASSET","FY 2015","FY 2015","Currency=INR","Period=FY","BEST_FPERIOD_OVERRIDE=FY","FILING_STATUS=OR","EQY_CONSOLIDATED=Y","Sort=A","Dates=H","DateFormat=P","Fill=—","Direction=H","UseDPDF=Y")</f>
        <v>#NAME?</v>
      </c>
      <c r="CH133" s="2" t="e">
        <f ca="1">_xll.BDH($C$128,"LT_DEBT_TO_TOT_EQY","FY 2015","FY 2015","Currency=INR","Period=FY","BEST_FPERIOD_OVERRIDE=FY","FILING_STATUS=OR","EQY_CONSOLIDATED=Y","Sort=A","Dates=H","DateFormat=P","Fill=—","Direction=H","UseDPDF=Y")</f>
        <v>#NAME?</v>
      </c>
      <c r="CI133" s="2" t="e">
        <f ca="1">_xll.BDH($C$128,"LT_DEBT_TO_TOT_CAP","FY 2015","FY 2015","Currency=INR","Period=FY","BEST_FPERIOD_OVERRIDE=FY","FILING_STATUS=OR","EQY_CONSOLIDATED=Y","Sort=A","Dates=H","DateFormat=P","Fill=—","Direction=H","UseDPDF=Y")</f>
        <v>#NAME?</v>
      </c>
      <c r="CJ133" s="2" t="e">
        <f ca="1">_xll.BDH($C$128,"LT_DEBT_TO_TOT_ASSET","FY 2015","FY 2015","Currency=INR","Period=FY","BEST_FPERIOD_OVERRIDE=FY","FILING_STATUS=OR","EQY_CONSOLIDATED=Y","Sort=A","Dates=H","DateFormat=P","Fill=—","Direction=H","UseDPDF=Y")</f>
        <v>#NAME?</v>
      </c>
      <c r="CK133" s="2" t="e">
        <f ca="1">_xll.BDH($C$128,"TOT_DEBT_TO_TOT_EQY","FY 2015","FY 2015","Currency=INR","Period=FY","BEST_FPERIOD_OVERRIDE=FY","FILING_STATUS=OR","EQY_CONSOLIDATED=Y","Sort=A","Dates=H","DateFormat=P","Fill=—","Direction=H","UseDPDF=Y")</f>
        <v>#NAME?</v>
      </c>
      <c r="CL133" s="2" t="e">
        <f ca="1">_xll.BDH($C$128,"TOT_DEBT_TO_TOT_CAP","FY 2015","FY 2015","Currency=INR","Period=FY","BEST_FPERIOD_OVERRIDE=FY","FILING_STATUS=OR","EQY_CONSOLIDATED=Y","Sort=A","Dates=H","DateFormat=P","Fill=—","Direction=H","UseDPDF=Y")</f>
        <v>#NAME?</v>
      </c>
      <c r="CM133" s="2" t="e">
        <f ca="1">_xll.BDH($C$128,"TOT_DEBT_TO_TOT_ASSET","FY 2015","FY 2015","Currency=INR","Period=FY","BEST_FPERIOD_OVERRIDE=FY","FILING_STATUS=OR","EQY_CONSOLIDATED=Y","Sort=A","Dates=H","DateFormat=P","Fill=—","Direction=H","UseDPDF=Y")</f>
        <v>#NAME?</v>
      </c>
      <c r="CN133" s="2" t="e">
        <f ca="1">_xll.BDH($C$128,"NET_DEBT_TO_SHRHLDR_EQTY","FY 2015","FY 2015","Currency=INR","Period=FY","BEST_FPERIOD_OVERRIDE=FY","FILING_STATUS=OR","EQY_CONSOLIDATED=Y","Sort=A","Dates=H","DateFormat=P","Fill=—","Direction=H","UseDPDF=Y")</f>
        <v>#NAME?</v>
      </c>
      <c r="CO133" s="2" t="e">
        <f ca="1">_xll.BDH($C$128,"NET_DEBT_%_CAPITAL","FY 2015","FY 2015","Currency=INR","Period=FY","BEST_FPERIOD_OVERRIDE=FY","FILING_STATUS=OR","EQY_CONSOLIDATED=Y","Sort=A","Dates=H","DateFormat=P","Fill=—","Direction=H","UseDPDF=Y")</f>
        <v>#NAME?</v>
      </c>
      <c r="CP133" s="3" t="e">
        <f ca="1">_xll.BDH($C$128,"EBITDA","FY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33" s="3" t="e">
        <f ca="1">_xll.BDH($C$128,"EBITDA_AFTER_CAPEX","FY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33" s="3" t="e">
        <f ca="1">_xll.BDH($C$128,"IS_OPER_INC","FY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33" s="2" t="e">
        <f ca="1">_xll.BDH($C$128,"CASH_RATIO","FY 2015","FY 2015","Currency=INR","Period=FY","BEST_FPERIOD_OVERRIDE=FY","FILING_STATUS=OR","EQY_CONSOLIDATED=Y","Sort=A","Dates=H","DateFormat=P","Fill=—","Direction=H","UseDPDF=Y")</f>
        <v>#NAME?</v>
      </c>
      <c r="CT133" s="2" t="e">
        <f ca="1">_xll.BDH($C$128,"CUR_RATIO","FY 2015","FY 2015","Currency=INR","Period=FY","BEST_FPERIOD_OVERRIDE=FY","FILING_STATUS=OR","EQY_CONSOLIDATED=Y","Sort=A","Dates=H","DateFormat=P","Fill=—","Direction=H","UseDPDF=Y")</f>
        <v>#NAME?</v>
      </c>
      <c r="CU133" s="2" t="e">
        <f ca="1">_xll.BDH($C$128,"QUICK_RATIO","FY 2015","FY 2015","Currency=INR","Period=FY","BEST_FPERIOD_OVERRIDE=FY","FILING_STATUS=OR","EQY_CONSOLIDATED=Y","Sort=A","Dates=H","DateFormat=P","Fill=—","Direction=H","UseDPDF=Y")</f>
        <v>#NAME?</v>
      </c>
      <c r="CV133" s="2" t="e">
        <f ca="1">_xll.BDH($C$128,"ALTMAN_Z_SCORE","FY 2015","FY 2015","Currency=INR","Period=FY","BEST_FPERIOD_OVERRIDE=FY","FILING_STATUS=OR","EQY_CONSOLIDATED=Y","Sort=A","Dates=H","DateFormat=P","Fill=—","Direction=H","UseDPDF=Y")</f>
        <v>#NAME?</v>
      </c>
      <c r="CW133" s="4" t="e">
        <f ca="1">_xll.BDH($C$128,"ACCT_RCV_TURN","FY 2015","FY 2015","Currency=INR","Period=FY","BEST_FPERIOD_OVERRIDE=FY","FILING_STATUS=OR","EQY_CONSOLIDATED=Y","FA_ADJUSTED=GAAP","Sort=A","Dates=H","DateFormat=P","Fill=—","Direction=H","UseDPDF=Y")</f>
        <v>#NAME?</v>
      </c>
      <c r="CX133" s="2" t="e">
        <f ca="1">_xll.BDH($C$128,"ACCT_RCV_DAYS","FY 2015","FY 2015","Currency=INR","Period=FY","BEST_FPERIOD_OVERRIDE=FY","FILING_STATUS=OR","EQY_CONSOLIDATED=Y","FA_ADJUSTED=GAAP","Sort=A","Dates=H","DateFormat=P","Fill=—","Direction=H","UseDPDF=Y")</f>
        <v>#NAME?</v>
      </c>
      <c r="CY133" s="4" t="e">
        <f ca="1">_xll.BDH($C$128,"INVENT_TURN","FY 2015","FY 2015","Currency=INR","Period=FY","BEST_FPERIOD_OVERRIDE=FY","FILING_STATUS=OR","EQY_CONSOLIDATED=Y","FA_ADJUSTED=GAAP","Sort=A","Dates=H","DateFormat=P","Fill=—","Direction=H","UseDPDF=Y")</f>
        <v>#NAME?</v>
      </c>
      <c r="CZ133" s="2" t="e">
        <f ca="1">_xll.BDH($C$128,"INVENT_DAYS","FY 2015","FY 2015","Currency=INR","Period=FY","BEST_FPERIOD_OVERRIDE=FY","FILING_STATUS=OR","EQY_CONSOLIDATED=Y","FA_ADJUSTED=GAAP","Sort=A","Dates=H","DateFormat=P","Fill=—","Direction=H","UseDPDF=Y")</f>
        <v>#NAME?</v>
      </c>
      <c r="DA133" s="4" t="e">
        <f ca="1">_xll.BDH($C$128,"ACCOUNTS_PAYABLE_TURNOVER","FY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33" s="2" t="e">
        <f ca="1">_xll.BDH($C$128,"ACCOUNTS_PAYABLE_TURNOVER_DAYS","FY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33" s="4" t="e">
        <f ca="1">_xll.BDH($C$128,"CASH_CONVERSION_CYCLE","FY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33" s="4" t="e">
        <f ca="1">_xll.BDH($C$128,"INV_TO_CASH_DAYS","FY 2015","FY 2015","Currency=INR","Period=FY","BEST_FPERIOD_OVERRIDE=FY","FILING_STATUS=OR","EQY_CONSOLIDATED=Y","FA_ADJUSTED=GAAP","Sort=A","Dates=H","DateFormat=P","Fill=—","Direction=H","UseDPDF=Y")</f>
        <v>#NAME?</v>
      </c>
      <c r="DE133" s="5" t="e">
        <f ca="1">_xll.BDH($C$128,"BS_INVENTORIES","FY 2015","FY 2015","Currency=INR","Period=FY","BEST_FPERIOD_OVERRIDE=FY","FILING_STATUS=OR","EQY_CONSOLIDATED=Y","SCALING_FORMAT=MLN","Sort=A","Dates=H","DateFormat=P","Fill=—","Direction=H","UseDPDF=Y")</f>
        <v>#NAME?</v>
      </c>
      <c r="DF133" s="3" t="e">
        <f ca="1">_xll.BDH($C$128,"INVTRY_RAW_MATERIALS","FY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33" s="3" t="e">
        <f ca="1">_xll.BDH($C$128,"INVTRY_IN_PROGRESS","FY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33" s="3" t="e">
        <f ca="1">_xll.BDH($C$128,"INVTRY_FINISHED_GOODS","FY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33" s="3" t="e">
        <f ca="1">_xll.BDH($C$128,"BS_OTHER_INV","FY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34" spans="1:113" x14ac:dyDescent="0.3">
      <c r="A134" s="6"/>
      <c r="B134" s="6"/>
      <c r="C134" s="6"/>
      <c r="D134" s="6"/>
      <c r="E134" t="s">
        <v>78</v>
      </c>
      <c r="F134" t="e">
        <f ca="1">_xll.BDH($C$128,"RETURN_COM_EQY","FQ1 2015","FQ1 2015","Currency=INR","Period=FQ","BEST_FPERIOD_OVERRIDE=FQ","FILING_STATUS=OR","EQY_CONSOLIDATED=Y","FA_ADJUSTED=GAAP","Sort=A","Dates=H","DateFormat=P","Fill=—","Direction=H","UseDPDF=Y")</f>
        <v>#NAME?</v>
      </c>
      <c r="G134" t="e">
        <f ca="1">_xll.BDH($C$128,"RETURN_ON_ASSET","FQ1 2015","FQ1 2015","Currency=INR","Period=FQ","BEST_FPERIOD_OVERRIDE=FQ","FILING_STATUS=OR","EQY_CONSOLIDATED=Y","FA_ADJUSTED=GAAP","Sort=A","Dates=H","DateFormat=P","Fill=—","Direction=H","UseDPDF=Y")</f>
        <v>#NAME?</v>
      </c>
      <c r="H134" t="e">
        <f ca="1">_xll.BDH($C$128,"RETURN_ON_CAP","FQ1 2015","FQ1 2015","Currency=INR","Period=FQ","BEST_FPERIOD_OVERRIDE=FQ","FILING_STATUS=OR","EQY_CONSOLIDATED=Y","FA_ADJUSTED=GAAP","Sort=A","Dates=H","DateFormat=P","Fill=—","Direction=H","UseDPDF=Y")</f>
        <v>#NAME?</v>
      </c>
      <c r="I134" t="e">
        <f ca="1">_xll.BDH($C$128,"RETURN_ON_INV_CAPITAL","FQ1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34" t="e">
        <f ca="1">_xll.BDH($C$128,"EBITDA_TO_REVENUE","FQ1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34" t="e">
        <f ca="1">_xll.BDH($C$128,"OPER_MARGIN","FQ1 2015","FQ1 2015","Currency=INR","Period=FQ","BEST_FPERIOD_OVERRIDE=FQ","FILING_STATUS=OR","EQY_CONSOLIDATED=Y","FA_ADJUSTED=GAAP","Sort=A","Dates=H","DateFormat=P","Fill=—","Direction=H","UseDPDF=Y")</f>
        <v>#NAME?</v>
      </c>
      <c r="L134" t="e">
        <f ca="1">_xll.BDH($C$128,"INCREMENTAL_OPERATING_MARGIN","FQ1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34" t="e">
        <f ca="1">_xll.BDH($C$128,"PRETAX_INC_TO_NET_SALES","FQ1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34" t="e">
        <f ca="1">_xll.BDH($C$128,"INC_BEF_XO_ITEMS_TO_NET_SALES","FQ1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34" t="e">
        <f ca="1">_xll.BDH($C$128,"PROF_MARGIN","FQ1 2015","FQ1 2015","Currency=INR","Period=FQ","BEST_FPERIOD_OVERRIDE=FQ","FILING_STATUS=OR","EQY_CONSOLIDATED=Y","FA_ADJUSTED=GAAP","Sort=A","Dates=H","DateFormat=P","Fill=—","Direction=H","UseDPDF=Y")</f>
        <v>#NAME?</v>
      </c>
      <c r="P134" t="e">
        <f ca="1">_xll.BDH($C$128,"NET_INCOME_TO_COMMON_MARGIN","FQ1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34" t="e">
        <f ca="1">_xll.BDH($C$128,"EFF_TAX_RATE","FQ1 2015","FQ1 2015","Currency=INR","Period=FQ","BEST_FPERIOD_OVERRIDE=FQ","FILING_STATUS=OR","EQY_CONSOLIDATED=Y","FA_ADJUSTED=GAAP","Sort=A","Dates=H","DateFormat=P","Fill=—","Direction=H","UseDPDF=Y")</f>
        <v>#NAME?</v>
      </c>
      <c r="R134" t="e">
        <f ca="1">_xll.BDH($C$128,"DVD_PAYOUT_RATIO","FQ1 2015","FQ1 2015","Currency=INR","Period=FQ","BEST_FPERIOD_OVERRIDE=FQ","FILING_STATUS=OR","EQY_CONSOLIDATED=Y","FA_ADJUSTED=GAAP","Sort=A","Dates=H","DateFormat=P","Fill=—","Direction=H","UseDPDF=Y")</f>
        <v>#NAME?</v>
      </c>
      <c r="S134" t="e">
        <f ca="1">_xll.BDH($C$128,"SUSTAIN_GROWTH_RT","FQ1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34" s="2" t="e">
        <f ca="1">_xll.BDH($C$128,"SALES_GROWTH","FQ1 2015","FQ1 2015","Currency=INR","Period=FQ","BEST_FPERIOD_OVERRIDE=FQ","FILING_STATUS=OR","EQY_CONSOLIDATED=Y","FA_ADJUSTED=GAAP","Sort=A","Dates=H","DateFormat=P","Fill=—","Direction=H","UseDPDF=Y")</f>
        <v>#NAME?</v>
      </c>
      <c r="U134" s="2" t="e">
        <f ca="1">_xll.BDH($C$128,"EBITDA_GROWTH","FQ1 2015","FQ1 2015","Currency=INR","Period=FQ","BEST_FPERIOD_OVERRIDE=FQ","FILING_STATUS=OR","EQY_CONSOLIDATED=Y","FA_ADJUSTED=GAAP","Sort=A","Dates=H","DateFormat=P","Fill=—","Direction=H","UseDPDF=Y")</f>
        <v>#NAME?</v>
      </c>
      <c r="V134" s="2" t="e">
        <f ca="1">_xll.BDH($C$128,"OPER_INC_GROWTH","FQ1 2015","FQ1 2015","Currency=INR","Period=FQ","BEST_FPERIOD_OVERRIDE=FQ","FILING_STATUS=OR","EQY_CONSOLIDATED=Y","FA_ADJUSTED=GAAP","Sort=A","Dates=H","DateFormat=P","Fill=—","Direction=H","UseDPDF=Y")</f>
        <v>#NAME?</v>
      </c>
      <c r="W134" s="2" t="e">
        <f ca="1">_xll.BDH($C$128,"EARN_FOR_COM_GROWTH","FQ1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34" s="2" t="e">
        <f ca="1">_xll.BDH($C$128,"DILUTED_EPS_AFT_XO_ITEMS_GROWTH","FQ1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34" s="2" t="e">
        <f ca="1">_xll.BDH($C$128,"DIVIDEND_PER_SHARE_1_YEAR_GROWTH","FQ1 2015","FQ1 2015","Currency=INR","Period=FQ","BEST_FPERIOD_OVERRIDE=FQ","FILING_STATUS=OR","EQY_CONSOLIDATED=Y","Sort=A","Dates=H","DateFormat=P","Fill=—","Direction=H","UseDPDF=Y")</f>
        <v>#NAME?</v>
      </c>
      <c r="Z134" s="2" t="e">
        <f ca="1">_xll.BDH($C$128,"ACCOUNTS_RECEIVABLE_GROWTH","FQ1 2015","FQ1 2015","Currency=INR","Period=FQ","BEST_FPERIOD_OVERRIDE=FQ","FILING_STATUS=OR","EQY_CONSOLIDATED=Y","Sort=A","Dates=H","DateFormat=P","Fill=—","Direction=H","UseDPDF=Y")</f>
        <v>#NAME?</v>
      </c>
      <c r="AA134" s="2" t="e">
        <f ca="1">_xll.BDH($C$128,"INVENTORY_GROWTH","FQ1 2015","FQ1 2015","Currency=INR","Period=FQ","BEST_FPERIOD_OVERRIDE=FQ","FILING_STATUS=OR","EQY_CONSOLIDATED=Y","Sort=A","Dates=H","DateFormat=P","Fill=—","Direction=H","UseDPDF=Y")</f>
        <v>#NAME?</v>
      </c>
      <c r="AB134" s="2" t="e">
        <f ca="1">_xll.BDH($C$128,"NET_FIXED_ASSETS_1_YEAR_GROWTH","FQ1 2015","FQ1 2015","Currency=INR","Period=FQ","BEST_FPERIOD_OVERRIDE=FQ","FILING_STATUS=OR","EQY_CONSOLIDATED=Y","Sort=A","Dates=H","DateFormat=P","Fill=—","Direction=H","UseDPDF=Y")</f>
        <v>#NAME?</v>
      </c>
      <c r="AC134" s="2" t="e">
        <f ca="1">_xll.BDH($C$128,"ASSET_GROWTH","FQ1 2015","FQ1 2015","Currency=INR","Period=FQ","BEST_FPERIOD_OVERRIDE=FQ","FILING_STATUS=OR","EQY_CONSOLIDATED=Y","Sort=A","Dates=H","DateFormat=P","Fill=—","Direction=H","UseDPDF=Y")</f>
        <v>#NAME?</v>
      </c>
      <c r="AD134" s="2" t="e">
        <f ca="1">_xll.BDH($C$128,"MODIFIED_WORK_CAP_GROWTH","FQ1 2015","FQ1 2015","Currency=INR","Period=FQ","BEST_FPERIOD_OVERRIDE=FQ","FILING_STATUS=OR","EQY_CONSOLIDATED=Y","Sort=A","Dates=H","DateFormat=P","Fill=—","Direction=H","UseDPDF=Y")</f>
        <v>#NAME?</v>
      </c>
      <c r="AE134" s="2" t="e">
        <f ca="1">_xll.BDH($C$128,"WORK_CAP_GROWTH","FQ1 2015","FQ1 2015","Currency=INR","Period=FQ","BEST_FPERIOD_OVERRIDE=FQ","FILING_STATUS=OR","EQY_CONSOLIDATED=Y","Sort=A","Dates=H","DateFormat=P","Fill=—","Direction=H","UseDPDF=Y")</f>
        <v>#NAME?</v>
      </c>
      <c r="AF134" s="2" t="e">
        <f ca="1">_xll.BDH($C$128,"ACCOUNTS_PAYABLE_GROWTH_1YR","FQ1 2015","FQ1 2015","Currency=INR","Period=FQ","BEST_FPERIOD_OVERRIDE=FQ","FILING_STATUS=OR","EQY_CONSOLIDATED=Y","Sort=A","Dates=H","DateFormat=P","Fill=—","Direction=H","UseDPDF=Y")</f>
        <v>#NAME?</v>
      </c>
      <c r="AG134" s="2" t="e">
        <f ca="1">_xll.BDH($C$128,"SHORT_TERM_DEBT_1_YEAR_GROWTH","FQ1 2015","FQ1 2015","Currency=INR","Period=FQ","BEST_FPERIOD_OVERRIDE=FQ","FILING_STATUS=OR","EQY_CONSOLIDATED=Y","Sort=A","Dates=H","DateFormat=P","Fill=—","Direction=H","UseDPDF=Y")</f>
        <v>#NAME?</v>
      </c>
      <c r="AH134" s="2" t="e">
        <f ca="1">_xll.BDH($C$128,"TOTAL_DEBT_1_YEAR_GROWTH","FQ1 2015","FQ1 2015","Currency=INR","Period=FQ","BEST_FPERIOD_OVERRIDE=FQ","FILING_STATUS=OR","EQY_CONSOLIDATED=Y","Sort=A","Dates=H","DateFormat=P","Fill=—","Direction=H","UseDPDF=Y")</f>
        <v>#NAME?</v>
      </c>
      <c r="AI134" s="2" t="e">
        <f ca="1">_xll.BDH($C$128,"TOTAL_EQUITY_1_YEAR_GROWTH","FQ1 2015","FQ1 2015","Currency=INR","Period=FQ","BEST_FPERIOD_OVERRIDE=FQ","FILING_STATUS=OR","EQY_CONSOLIDATED=Y","Sort=A","Dates=H","DateFormat=P","Fill=—","Direction=H","UseDPDF=Y")</f>
        <v>#NAME?</v>
      </c>
      <c r="AJ134" s="2" t="e">
        <f ca="1">_xll.BDH($C$128,"GROWTH_IN_CAP","FQ1 2015","FQ1 2015","Currency=INR","Period=FQ","BEST_FPERIOD_OVERRIDE=FQ","FILING_STATUS=OR","EQY_CONSOLIDATED=Y","Sort=A","Dates=H","DateFormat=P","Fill=—","Direction=H","UseDPDF=Y")</f>
        <v>#NAME?</v>
      </c>
      <c r="AK134" s="2" t="e">
        <f ca="1">_xll.BDH($C$128,"BVPS_GROWTH","FQ1 2015","FQ1 2015","Currency=INR","Period=FQ","BEST_FPERIOD_OVERRIDE=FQ","FILING_STATUS=OR","EQY_CONSOLIDATED=Y","Sort=A","Dates=H","DateFormat=P","Fill=—","Direction=H","UseDPDF=Y")</f>
        <v>#NAME?</v>
      </c>
      <c r="AL134" s="2" t="e">
        <f ca="1">_xll.BDH($C$128,"CASH_FLOW_GROWTH","FQ1 2015","FQ1 2015","Currency=INR","Period=FQ","BEST_FPERIOD_OVERRIDE=FQ","FILING_STATUS=OR","EQY_CONSOLIDATED=Y","Sort=A","Dates=H","DateFormat=P","Fill=—","Direction=H","UseDPDF=Y")</f>
        <v>#NAME?</v>
      </c>
      <c r="AM134" s="2" t="e">
        <f ca="1">_xll.BDH($C$128,"GEO_GROW_NET_SALES","FQ1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34" s="2" t="e">
        <f ca="1">_xll.BDH($C$128,"GEO_GROW_EBITDA","FQ1 2015","FQ1 2015","Currency=INR","Period=FQ","BEST_FPERIOD_OVERRIDE=FQ","FILING_STATUS=OR","EQY_CONSOLIDATED=Y","FA_ADJUSTED=GAAP","Sort=A","Dates=H","DateFormat=P","Fill=—","Direction=H","UseDPDF=Y")</f>
        <v>#NAME?</v>
      </c>
      <c r="AO134" s="2" t="e">
        <f ca="1">_xll.BDH($C$128,"GEO_GROW_OPER_INC","FQ1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34" s="2" t="e">
        <f ca="1">_xll.BDH($C$128,"NET_INCOME_TO_COMMON_5_YR_GROWTH","FQ1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34" s="2" t="e">
        <f ca="1">_xll.BDH($C$128,"5Y_GEO_GROWTH_DILUTED_EPS","FQ1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34" s="2" t="e">
        <f ca="1">_xll.BDH($C$128,"GEO_GROW_DVD_PER_SH","FQ1 2015","FQ1 2015","Currency=INR","Period=FQ","BEST_FPERIOD_OVERRIDE=FQ","FILING_STATUS=OR","EQY_CONSOLIDATED=Y","Sort=A","Dates=H","DateFormat=P","Fill=—","Direction=H","UseDPDF=Y")</f>
        <v>#NAME?</v>
      </c>
      <c r="AS134" s="2" t="e">
        <f ca="1">_xll.BDH($C$128,"ACCOUNTS_RECEIVABLE_5_YR_GROWTH","FQ1 2015","FQ1 2015","Currency=INR","Period=FQ","BEST_FPERIOD_OVERRIDE=FQ","FILING_STATUS=OR","EQY_CONSOLIDATED=Y","Sort=A","Dates=H","DateFormat=P","Fill=—","Direction=H","UseDPDF=Y")</f>
        <v>#NAME?</v>
      </c>
      <c r="AT134" s="2" t="e">
        <f ca="1">_xll.BDH($C$128,"INVENTORY_5_YEAR_GROWTH","FQ1 2015","FQ1 2015","Currency=INR","Period=FQ","BEST_FPERIOD_OVERRIDE=FQ","FILING_STATUS=OR","EQY_CONSOLIDATED=Y","Sort=A","Dates=H","DateFormat=P","Fill=—","Direction=H","UseDPDF=Y")</f>
        <v>#NAME?</v>
      </c>
      <c r="AU134" s="2" t="e">
        <f ca="1">_xll.BDH($C$128,"NET_FIXED_ASSETS_5_YEAR_GROWTH","FQ1 2015","FQ1 2015","Currency=INR","Period=FQ","BEST_FPERIOD_OVERRIDE=FQ","FILING_STATUS=OR","EQY_CONSOLIDATED=Y","Sort=A","Dates=H","DateFormat=P","Fill=—","Direction=H","UseDPDF=Y")</f>
        <v>#NAME?</v>
      </c>
      <c r="AV134" s="2" t="e">
        <f ca="1">_xll.BDH($C$128,"GEO_GROW_TOT_ASSET","FQ1 2015","FQ1 2015","Currency=INR","Period=FQ","BEST_FPERIOD_OVERRIDE=FQ","FILING_STATUS=OR","EQY_CONSOLIDATED=Y","Sort=A","Dates=H","DateFormat=P","Fill=—","Direction=H","UseDPDF=Y")</f>
        <v>#NAME?</v>
      </c>
      <c r="AW134" s="2" t="e">
        <f ca="1">_xll.BDH($C$128,"MODIFIED_WORKING_CPTL_5YR_GRWTH","FQ1 2015","FQ1 2015","Currency=INR","Period=FQ","BEST_FPERIOD_OVERRIDE=FQ","FILING_STATUS=OR","EQY_CONSOLIDATED=Y","Sort=A","Dates=H","DateFormat=P","Fill=—","Direction=H","UseDPDF=Y")</f>
        <v>#NAME?</v>
      </c>
      <c r="AX134" s="2" t="e">
        <f ca="1">_xll.BDH($C$128,"WORKING_CAPITAL_5_YEAR_GROWTH","FQ1 2015","FQ1 2015","Currency=INR","Period=FQ","BEST_FPERIOD_OVERRIDE=FQ","FILING_STATUS=OR","EQY_CONSOLIDATED=Y","Sort=A","Dates=H","DateFormat=P","Fill=—","Direction=H","UseDPDF=Y")</f>
        <v>#NAME?</v>
      </c>
      <c r="AY134" s="2" t="e">
        <f ca="1">_xll.BDH($C$128,"ACCOUNTS_PAYABLE_5_YEAR_GROWTH","FQ1 2015","FQ1 2015","Currency=INR","Period=FQ","BEST_FPERIOD_OVERRIDE=FQ","FILING_STATUS=OR","EQY_CONSOLIDATED=Y","Sort=A","Dates=H","DateFormat=P","Fill=—","Direction=H","UseDPDF=Y")</f>
        <v>#NAME?</v>
      </c>
      <c r="AZ134" s="2" t="e">
        <f ca="1">_xll.BDH($C$128,"SHORT_TERM_DEBT_5_YEAR_GROWTH","FQ1 2015","FQ1 2015","Currency=INR","Period=FQ","BEST_FPERIOD_OVERRIDE=FQ","FILING_STATUS=OR","EQY_CONSOLIDATED=Y","Sort=A","Dates=H","DateFormat=P","Fill=—","Direction=H","UseDPDF=Y")</f>
        <v>#NAME?</v>
      </c>
      <c r="BA134" s="2" t="e">
        <f ca="1">_xll.BDH($C$128,"TOTAL_DEBT_5_YEAR_GROWTH","FQ1 2015","FQ1 2015","Currency=INR","Period=FQ","BEST_FPERIOD_OVERRIDE=FQ","FILING_STATUS=OR","EQY_CONSOLIDATED=Y","Sort=A","Dates=H","DateFormat=P","Fill=—","Direction=H","UseDPDF=Y")</f>
        <v>#NAME?</v>
      </c>
      <c r="BB134" s="2" t="e">
        <f ca="1">_xll.BDH($C$128,"GEO_GROW_TOT_SHRHLDR_EQY","FQ1 2015","FQ1 2015","Currency=INR","Period=FQ","BEST_FPERIOD_OVERRIDE=FQ","FILING_STATUS=OR","EQY_CONSOLIDATED=Y","Sort=A","Dates=H","DateFormat=P","Fill=—","Direction=H","UseDPDF=Y")</f>
        <v>#NAME?</v>
      </c>
      <c r="BC134" s="2" t="e">
        <f ca="1">_xll.BDH($C$128,"TOTAL_CAPITAL_5_YEAR_GROWTH","FQ1 2015","FQ1 2015","Currency=INR","Period=FQ","BEST_FPERIOD_OVERRIDE=FQ","FILING_STATUS=OR","EQY_CONSOLIDATED=Y","Sort=A","Dates=H","DateFormat=P","Fill=—","Direction=H","UseDPDF=Y")</f>
        <v>#NAME?</v>
      </c>
      <c r="BD134" s="2" t="e">
        <f ca="1">_xll.BDH($C$128,"GEO_GROW_BOOK_VAL","FQ1 2015","FQ1 2015","Currency=INR","Period=FQ","BEST_FPERIOD_OVERRIDE=FQ","FILING_STATUS=OR","EQY_CONSOLIDATED=Y","Sort=A","Dates=H","DateFormat=P","Fill=—","Direction=H","UseDPDF=Y")</f>
        <v>#NAME?</v>
      </c>
      <c r="BE134" s="2" t="e">
        <f ca="1">_xll.BDH($C$128,"GEO_GROW_CASH_OPER_ACT","FQ1 2015","FQ1 2015","Currency=INR","Period=FQ","BEST_FPERIOD_OVERRIDE=FQ","FILING_STATUS=OR","EQY_CONSOLIDATED=Y","Sort=A","Dates=H","DateFormat=P","Fill=—","Direction=H","UseDPDF=Y")</f>
        <v>#NAME?</v>
      </c>
      <c r="BF134" s="2" t="e">
        <f ca="1">_xll.BDH($C$128,"REVENUE_SEQUENTIAL_GROWTH","FQ1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34" s="2" t="e">
        <f ca="1">_xll.BDH($C$128,"EBITDA_SEQUENTIAL_GROWTH","FQ1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34" s="2" t="e">
        <f ca="1">_xll.BDH($C$128,"OPERATING_INCOME_SEQ_GROWTH","FQ1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34" s="2" t="e">
        <f ca="1">_xll.BDH($C$128,"NET_INCOME_TO_COMMON_SEQ_GROWTH","FQ1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34" s="2" t="e">
        <f ca="1">_xll.BDH($C$128,"EPS_DILUTED_SEQUENTIAL_GROWTH","FQ1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34" s="2" t="e">
        <f ca="1">_xll.BDH($C$128,"DPS_SEQUENTIAL_GROWTH","FQ1 2015","FQ1 2015","Currency=INR","Period=FQ","BEST_FPERIOD_OVERRIDE=FQ","FILING_STATUS=OR","EQY_CONSOLIDATED=Y","Sort=A","Dates=H","DateFormat=P","Fill=—","Direction=H","UseDPDF=Y")</f>
        <v>#NAME?</v>
      </c>
      <c r="BL134" s="2" t="e">
        <f ca="1">_xll.BDH($C$128,"ACCOUNTS_RECEIVABLE_SEQ_GROWTH","FQ1 2015","FQ1 2015","Currency=INR","Period=FQ","BEST_FPERIOD_OVERRIDE=FQ","FILING_STATUS=OR","EQY_CONSOLIDATED=Y","Sort=A","Dates=H","DateFormat=P","Fill=—","Direction=H","UseDPDF=Y")</f>
        <v>#NAME?</v>
      </c>
      <c r="BM134" s="2" t="e">
        <f ca="1">_xll.BDH($C$128,"INVENTORY_SEQUENTIAL_GROWTH","FQ1 2015","FQ1 2015","Currency=INR","Period=FQ","BEST_FPERIOD_OVERRIDE=FQ","FILING_STATUS=OR","EQY_CONSOLIDATED=Y","Sort=A","Dates=H","DateFormat=P","Fill=—","Direction=H","UseDPDF=Y")</f>
        <v>#NAME?</v>
      </c>
      <c r="BN134" s="2" t="e">
        <f ca="1">_xll.BDH($C$128,"FIXED_ASSETS_SEQUENTIAL_GROWTH","FQ1 2015","FQ1 2015","Currency=INR","Period=FQ","BEST_FPERIOD_OVERRIDE=FQ","FILING_STATUS=OR","EQY_CONSOLIDATED=Y","Sort=A","Dates=H","DateFormat=P","Fill=—","Direction=H","UseDPDF=Y")</f>
        <v>#NAME?</v>
      </c>
      <c r="BO134" s="2" t="e">
        <f ca="1">_xll.BDH($C$128,"TOTAL_ASSETS_SEQUENTIAL_GROWTH","FQ1 2015","FQ1 2015","Currency=INR","Period=FQ","BEST_FPERIOD_OVERRIDE=FQ","FILING_STATUS=OR","EQY_CONSOLIDATED=Y","Sort=A","Dates=H","DateFormat=P","Fill=—","Direction=H","UseDPDF=Y")</f>
        <v>#NAME?</v>
      </c>
      <c r="BP134" s="2" t="e">
        <f ca="1">_xll.BDH($C$128,"MODIFIED_WORKING_CPTL_SEQ_GRWTH","FQ1 2015","FQ1 2015","Currency=INR","Period=FQ","BEST_FPERIOD_OVERRIDE=FQ","FILING_STATUS=OR","EQY_CONSOLIDATED=Y","Sort=A","Dates=H","DateFormat=P","Fill=—","Direction=H","UseDPDF=Y")</f>
        <v>#NAME?</v>
      </c>
      <c r="BQ134" s="2" t="e">
        <f ca="1">_xll.BDH($C$128,"WORKING_CAPITAL_SEQ_GROWTH","FQ1 2015","FQ1 2015","Currency=INR","Period=FQ","BEST_FPERIOD_OVERRIDE=FQ","FILING_STATUS=OR","EQY_CONSOLIDATED=Y","Sort=A","Dates=H","DateFormat=P","Fill=—","Direction=H","UseDPDF=Y")</f>
        <v>#NAME?</v>
      </c>
      <c r="BR134" s="2" t="e">
        <f ca="1">_xll.BDH($C$128,"ACCOUNTS_PAYABLE_SEQ_GROWTH","FQ1 2015","FQ1 2015","Currency=INR","Period=FQ","BEST_FPERIOD_OVERRIDE=FQ","FILING_STATUS=OR","EQY_CONSOLIDATED=Y","Sort=A","Dates=H","DateFormat=P","Fill=—","Direction=H","UseDPDF=Y")</f>
        <v>#NAME?</v>
      </c>
      <c r="BS134" s="2" t="e">
        <f ca="1">_xll.BDH($C$128,"ST_DEBT_SEQUENTIAL_GROWTH","FQ1 2015","FQ1 2015","Currency=INR","Period=FQ","BEST_FPERIOD_OVERRIDE=FQ","FILING_STATUS=OR","EQY_CONSOLIDATED=Y","Sort=A","Dates=H","DateFormat=P","Fill=—","Direction=H","UseDPDF=Y")</f>
        <v>#NAME?</v>
      </c>
      <c r="BT134" s="2" t="e">
        <f ca="1">_xll.BDH($C$128,"TOTAL_DEBT_SEQUENTIAL_GROWTH","FQ1 2015","FQ1 2015","Currency=INR","Period=FQ","BEST_FPERIOD_OVERRIDE=FQ","FILING_STATUS=OR","EQY_CONSOLIDATED=Y","Sort=A","Dates=H","DateFormat=P","Fill=—","Direction=H","UseDPDF=Y")</f>
        <v>#NAME?</v>
      </c>
      <c r="BU134" s="2" t="e">
        <f ca="1">_xll.BDH($C$128,"TOTAL_EQUITY_SEQUENTIAL_GROWTH","FQ1 2015","FQ1 2015","Currency=INR","Period=FQ","BEST_FPERIOD_OVERRIDE=FQ","FILING_STATUS=OR","EQY_CONSOLIDATED=Y","Sort=A","Dates=H","DateFormat=P","Fill=—","Direction=H","UseDPDF=Y")</f>
        <v>#NAME?</v>
      </c>
      <c r="BV134" s="2" t="e">
        <f ca="1">_xll.BDH($C$128,"TOTAL_CAPITAL_SEQUENTIAL_GROWTH","FQ1 2015","FQ1 2015","Currency=INR","Period=FQ","BEST_FPERIOD_OVERRIDE=FQ","FILING_STATUS=OR","EQY_CONSOLIDATED=Y","Sort=A","Dates=H","DateFormat=P","Fill=—","Direction=H","UseDPDF=Y")</f>
        <v>#NAME?</v>
      </c>
      <c r="BW134" s="2" t="e">
        <f ca="1">_xll.BDH($C$128,"BPS_SEQUENTIAL_GROWTH","FQ1 2015","FQ1 2015","Currency=INR","Period=FQ","BEST_FPERIOD_OVERRIDE=FQ","FILING_STATUS=OR","EQY_CONSOLIDATED=Y","Sort=A","Dates=H","DateFormat=P","Fill=—","Direction=H","UseDPDF=Y")</f>
        <v>#NAME?</v>
      </c>
      <c r="BX134" s="2" t="e">
        <f ca="1">_xll.BDH($C$128,"CFO_SEQUENTIAL_GROWTH","FQ1 2015","FQ1 2015","Currency=INR","Period=FQ","BEST_FPERIOD_OVERRIDE=FQ","FILING_STATUS=OR","EQY_CONSOLIDATED=Y","Sort=A","Dates=H","DateFormat=P","Fill=—","Direction=H","UseDPDF=Y")</f>
        <v>#NAME?</v>
      </c>
      <c r="BY134" s="3" t="e">
        <f ca="1">_xll.BDH($C$128,"SHORT_AND_LONG_TERM_DEBT","FQ1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34" s="3" t="e">
        <f ca="1">_xll.BDH($C$128,"BS_ST_BORROW","FQ1 2015","FQ1 2015","Currency=INR","Period=FQ","BEST_FPERIOD_OVERRIDE=FQ","FILING_STATUS=OR","EQY_CONSOLIDATED=Y","SCALING_FORMAT=MLN","Sort=A","Dates=H","DateFormat=P","Fill=—","Direction=H","UseDPDF=Y")</f>
        <v>#NAME?</v>
      </c>
      <c r="CA134" s="3" t="e">
        <f ca="1">_xll.BDH($C$128,"BS_LT_BORROW","FQ1 2015","FQ1 2015","Currency=INR","Period=FQ","BEST_FPERIOD_OVERRIDE=FQ","FILING_STATUS=OR","EQY_CONSOLIDATED=Y","SCALING_FORMAT=MLN","Sort=A","Dates=H","DateFormat=P","Fill=—","Direction=H","UseDPDF=Y")</f>
        <v>#NAME?</v>
      </c>
      <c r="CB134" s="2" t="e">
        <f ca="1">_xll.BDH($C$128,"TOT_DEBT_TO_EBITDA","FQ1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34" s="2" t="e">
        <f ca="1">_xll.BDH($C$128,"NET_DEBT_TO_EBITDA","FQ1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34" s="2" t="e">
        <f ca="1">_xll.BDH($C$128,"TOTAL_DEBT_TO_EBIT","FQ1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34" s="2" t="e">
        <f ca="1">_xll.BDH($C$128,"NET_DEBT_TO_EBIT","FQ1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34" s="2" t="e">
        <f ca="1">_xll.BDH($C$128,"EBITDA_TO_INTEREST_EXPN","FQ1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34" s="2" t="e">
        <f ca="1">_xll.BDH($C$128,"COM_EQY_TO_TOT_ASSET","FQ1 2015","FQ1 2015","Currency=INR","Period=FQ","BEST_FPERIOD_OVERRIDE=FQ","FILING_STATUS=OR","EQY_CONSOLIDATED=Y","Sort=A","Dates=H","DateFormat=P","Fill=—","Direction=H","UseDPDF=Y")</f>
        <v>#NAME?</v>
      </c>
      <c r="CH134" s="2" t="e">
        <f ca="1">_xll.BDH($C$128,"LT_DEBT_TO_TOT_EQY","FQ1 2015","FQ1 2015","Currency=INR","Period=FQ","BEST_FPERIOD_OVERRIDE=FQ","FILING_STATUS=OR","EQY_CONSOLIDATED=Y","Sort=A","Dates=H","DateFormat=P","Fill=—","Direction=H","UseDPDF=Y")</f>
        <v>#NAME?</v>
      </c>
      <c r="CI134" s="2" t="e">
        <f ca="1">_xll.BDH($C$128,"LT_DEBT_TO_TOT_CAP","FQ1 2015","FQ1 2015","Currency=INR","Period=FQ","BEST_FPERIOD_OVERRIDE=FQ","FILING_STATUS=OR","EQY_CONSOLIDATED=Y","Sort=A","Dates=H","DateFormat=P","Fill=—","Direction=H","UseDPDF=Y")</f>
        <v>#NAME?</v>
      </c>
      <c r="CJ134" s="2" t="e">
        <f ca="1">_xll.BDH($C$128,"LT_DEBT_TO_TOT_ASSET","FQ1 2015","FQ1 2015","Currency=INR","Period=FQ","BEST_FPERIOD_OVERRIDE=FQ","FILING_STATUS=OR","EQY_CONSOLIDATED=Y","Sort=A","Dates=H","DateFormat=P","Fill=—","Direction=H","UseDPDF=Y")</f>
        <v>#NAME?</v>
      </c>
      <c r="CK134" s="2" t="e">
        <f ca="1">_xll.BDH($C$128,"TOT_DEBT_TO_TOT_EQY","FQ1 2015","FQ1 2015","Currency=INR","Period=FQ","BEST_FPERIOD_OVERRIDE=FQ","FILING_STATUS=OR","EQY_CONSOLIDATED=Y","Sort=A","Dates=H","DateFormat=P","Fill=—","Direction=H","UseDPDF=Y")</f>
        <v>#NAME?</v>
      </c>
      <c r="CL134" s="2" t="e">
        <f ca="1">_xll.BDH($C$128,"TOT_DEBT_TO_TOT_CAP","FQ1 2015","FQ1 2015","Currency=INR","Period=FQ","BEST_FPERIOD_OVERRIDE=FQ","FILING_STATUS=OR","EQY_CONSOLIDATED=Y","Sort=A","Dates=H","DateFormat=P","Fill=—","Direction=H","UseDPDF=Y")</f>
        <v>#NAME?</v>
      </c>
      <c r="CM134" s="2" t="e">
        <f ca="1">_xll.BDH($C$128,"TOT_DEBT_TO_TOT_ASSET","FQ1 2015","FQ1 2015","Currency=INR","Period=FQ","BEST_FPERIOD_OVERRIDE=FQ","FILING_STATUS=OR","EQY_CONSOLIDATED=Y","Sort=A","Dates=H","DateFormat=P","Fill=—","Direction=H","UseDPDF=Y")</f>
        <v>#NAME?</v>
      </c>
      <c r="CN134" s="2" t="e">
        <f ca="1">_xll.BDH($C$128,"NET_DEBT_TO_SHRHLDR_EQTY","FQ1 2015","FQ1 2015","Currency=INR","Period=FQ","BEST_FPERIOD_OVERRIDE=FQ","FILING_STATUS=OR","EQY_CONSOLIDATED=Y","Sort=A","Dates=H","DateFormat=P","Fill=—","Direction=H","UseDPDF=Y")</f>
        <v>#NAME?</v>
      </c>
      <c r="CO134" s="2" t="e">
        <f ca="1">_xll.BDH($C$128,"NET_DEBT_%_CAPITAL","FQ1 2015","FQ1 2015","Currency=INR","Period=FQ","BEST_FPERIOD_OVERRIDE=FQ","FILING_STATUS=OR","EQY_CONSOLIDATED=Y","Sort=A","Dates=H","DateFormat=P","Fill=—","Direction=H","UseDPDF=Y")</f>
        <v>#NAME?</v>
      </c>
      <c r="CP134" s="3" t="e">
        <f ca="1">_xll.BDH($C$128,"EBITDA","FQ1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34" s="3" t="e">
        <f ca="1">_xll.BDH($C$128,"EBITDA_AFTER_CAPEX","FQ1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34" s="3" t="e">
        <f ca="1">_xll.BDH($C$128,"IS_OPER_INC","FQ1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34" s="2" t="e">
        <f ca="1">_xll.BDH($C$128,"CASH_RATIO","FQ1 2015","FQ1 2015","Currency=INR","Period=FQ","BEST_FPERIOD_OVERRIDE=FQ","FILING_STATUS=OR","EQY_CONSOLIDATED=Y","Sort=A","Dates=H","DateFormat=P","Fill=—","Direction=H","UseDPDF=Y")</f>
        <v>#NAME?</v>
      </c>
      <c r="CT134" s="2" t="e">
        <f ca="1">_xll.BDH($C$128,"CUR_RATIO","FQ1 2015","FQ1 2015","Currency=INR","Period=FQ","BEST_FPERIOD_OVERRIDE=FQ","FILING_STATUS=OR","EQY_CONSOLIDATED=Y","Sort=A","Dates=H","DateFormat=P","Fill=—","Direction=H","UseDPDF=Y")</f>
        <v>#NAME?</v>
      </c>
      <c r="CU134" s="2" t="e">
        <f ca="1">_xll.BDH($C$128,"QUICK_RATIO","FQ1 2015","FQ1 2015","Currency=INR","Period=FQ","BEST_FPERIOD_OVERRIDE=FQ","FILING_STATUS=OR","EQY_CONSOLIDATED=Y","Sort=A","Dates=H","DateFormat=P","Fill=—","Direction=H","UseDPDF=Y")</f>
        <v>#NAME?</v>
      </c>
      <c r="CV134" s="2" t="e">
        <f ca="1">_xll.BDH($C$128,"ALTMAN_Z_SCORE","FQ1 2015","FQ1 2015","Currency=INR","Period=FQ","BEST_FPERIOD_OVERRIDE=FQ","FILING_STATUS=OR","EQY_CONSOLIDATED=Y","Sort=A","Dates=H","DateFormat=P","Fill=—","Direction=H","UseDPDF=Y")</f>
        <v>#NAME?</v>
      </c>
      <c r="CW134" s="4" t="e">
        <f ca="1">_xll.BDH($C$128,"ACCT_RCV_TURN","FQ1 2015","FQ1 2015","Currency=INR","Period=FQ","BEST_FPERIOD_OVERRIDE=FQ","FILING_STATUS=OR","EQY_CONSOLIDATED=Y","FA_ADJUSTED=GAAP","Sort=A","Dates=H","DateFormat=P","Fill=—","Direction=H","UseDPDF=Y")</f>
        <v>#NAME?</v>
      </c>
      <c r="CX134" s="2" t="e">
        <f ca="1">_xll.BDH($C$128,"ACCT_RCV_DAYS","FQ1 2015","FQ1 2015","Currency=INR","Period=FQ","BEST_FPERIOD_OVERRIDE=FQ","FILING_STATUS=OR","EQY_CONSOLIDATED=Y","FA_ADJUSTED=GAAP","Sort=A","Dates=H","DateFormat=P","Fill=—","Direction=H","UseDPDF=Y")</f>
        <v>#NAME?</v>
      </c>
      <c r="CY134" s="4" t="e">
        <f ca="1">_xll.BDH($C$128,"INVENT_TURN","FQ1 2015","FQ1 2015","Currency=INR","Period=FQ","BEST_FPERIOD_OVERRIDE=FQ","FILING_STATUS=OR","EQY_CONSOLIDATED=Y","FA_ADJUSTED=GAAP","Sort=A","Dates=H","DateFormat=P","Fill=—","Direction=H","UseDPDF=Y")</f>
        <v>#NAME?</v>
      </c>
      <c r="CZ134" s="2" t="e">
        <f ca="1">_xll.BDH($C$128,"INVENT_DAYS","FQ1 2015","FQ1 2015","Currency=INR","Period=FQ","BEST_FPERIOD_OVERRIDE=FQ","FILING_STATUS=OR","EQY_CONSOLIDATED=Y","FA_ADJUSTED=GAAP","Sort=A","Dates=H","DateFormat=P","Fill=—","Direction=H","UseDPDF=Y")</f>
        <v>#NAME?</v>
      </c>
      <c r="DA134" s="4" t="e">
        <f ca="1">_xll.BDH($C$128,"ACCOUNTS_PAYABLE_TURNOVER","FQ1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34" s="2" t="e">
        <f ca="1">_xll.BDH($C$128,"ACCOUNTS_PAYABLE_TURNOVER_DAYS","FQ1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34" s="4" t="e">
        <f ca="1">_xll.BDH($C$128,"CASH_CONVERSION_CYCLE","FQ1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34" s="4" t="e">
        <f ca="1">_xll.BDH($C$128,"INV_TO_CASH_DAYS","FQ1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34" s="5" t="e">
        <f ca="1">_xll.BDH($C$128,"BS_INVENTORIES","FQ1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34" s="3" t="e">
        <f ca="1">_xll.BDH($C$128,"INVTRY_RAW_MATERIALS","FQ1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34" s="3" t="e">
        <f ca="1">_xll.BDH($C$128,"INVTRY_IN_PROGRESS","FQ1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34" s="3" t="e">
        <f ca="1">_xll.BDH($C$128,"INVTRY_FINISHED_GOODS","FQ1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34" s="3" t="e">
        <f ca="1">_xll.BDH($C$128,"BS_OTHER_INV","FQ1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35" spans="1:113" x14ac:dyDescent="0.3">
      <c r="A135" s="6"/>
      <c r="B135" s="6"/>
      <c r="C135" s="6"/>
      <c r="D135" s="6"/>
      <c r="E135" t="s">
        <v>79</v>
      </c>
      <c r="F135" t="e">
        <f ca="1">_xll.BDH($C$128,"RETURN_COM_EQY","FQ2 2015","FQ2 2015","Currency=INR","Period=FQ","BEST_FPERIOD_OVERRIDE=FQ","FILING_STATUS=OR","EQY_CONSOLIDATED=Y","FA_ADJUSTED=GAAP","Sort=A","Dates=H","DateFormat=P","Fill=—","Direction=H","UseDPDF=Y")</f>
        <v>#NAME?</v>
      </c>
      <c r="G135" t="e">
        <f ca="1">_xll.BDH($C$128,"RETURN_ON_ASSET","FQ2 2015","FQ2 2015","Currency=INR","Period=FQ","BEST_FPERIOD_OVERRIDE=FQ","FILING_STATUS=OR","EQY_CONSOLIDATED=Y","FA_ADJUSTED=GAAP","Sort=A","Dates=H","DateFormat=P","Fill=—","Direction=H","UseDPDF=Y")</f>
        <v>#NAME?</v>
      </c>
      <c r="H135" t="e">
        <f ca="1">_xll.BDH($C$128,"RETURN_ON_CAP","FQ2 2015","FQ2 2015","Currency=INR","Period=FQ","BEST_FPERIOD_OVERRIDE=FQ","FILING_STATUS=OR","EQY_CONSOLIDATED=Y","FA_ADJUSTED=GAAP","Sort=A","Dates=H","DateFormat=P","Fill=—","Direction=H","UseDPDF=Y")</f>
        <v>#NAME?</v>
      </c>
      <c r="I135" t="e">
        <f ca="1">_xll.BDH($C$128,"RETURN_ON_INV_CAPITAL","FQ2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35" t="e">
        <f ca="1">_xll.BDH($C$128,"EBITDA_TO_REVENUE","FQ2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35" t="e">
        <f ca="1">_xll.BDH($C$128,"OPER_MARGIN","FQ2 2015","FQ2 2015","Currency=INR","Period=FQ","BEST_FPERIOD_OVERRIDE=FQ","FILING_STATUS=OR","EQY_CONSOLIDATED=Y","FA_ADJUSTED=GAAP","Sort=A","Dates=H","DateFormat=P","Fill=—","Direction=H","UseDPDF=Y")</f>
        <v>#NAME?</v>
      </c>
      <c r="L135" t="e">
        <f ca="1">_xll.BDH($C$128,"INCREMENTAL_OPERATING_MARGIN","FQ2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35" t="e">
        <f ca="1">_xll.BDH($C$128,"PRETAX_INC_TO_NET_SALES","FQ2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35" t="e">
        <f ca="1">_xll.BDH($C$128,"INC_BEF_XO_ITEMS_TO_NET_SALES","FQ2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35" t="e">
        <f ca="1">_xll.BDH($C$128,"PROF_MARGIN","FQ2 2015","FQ2 2015","Currency=INR","Period=FQ","BEST_FPERIOD_OVERRIDE=FQ","FILING_STATUS=OR","EQY_CONSOLIDATED=Y","FA_ADJUSTED=GAAP","Sort=A","Dates=H","DateFormat=P","Fill=—","Direction=H","UseDPDF=Y")</f>
        <v>#NAME?</v>
      </c>
      <c r="P135" t="e">
        <f ca="1">_xll.BDH($C$128,"NET_INCOME_TO_COMMON_MARGIN","FQ2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35" t="e">
        <f ca="1">_xll.BDH($C$128,"EFF_TAX_RATE","FQ2 2015","FQ2 2015","Currency=INR","Period=FQ","BEST_FPERIOD_OVERRIDE=FQ","FILING_STATUS=OR","EQY_CONSOLIDATED=Y","FA_ADJUSTED=GAAP","Sort=A","Dates=H","DateFormat=P","Fill=—","Direction=H","UseDPDF=Y")</f>
        <v>#NAME?</v>
      </c>
      <c r="R135" t="e">
        <f ca="1">_xll.BDH($C$128,"DVD_PAYOUT_RATIO","FQ2 2015","FQ2 2015","Currency=INR","Period=FQ","BEST_FPERIOD_OVERRIDE=FQ","FILING_STATUS=OR","EQY_CONSOLIDATED=Y","FA_ADJUSTED=GAAP","Sort=A","Dates=H","DateFormat=P","Fill=—","Direction=H","UseDPDF=Y")</f>
        <v>#NAME?</v>
      </c>
      <c r="S135" t="e">
        <f ca="1">_xll.BDH($C$128,"SUSTAIN_GROWTH_RT","FQ2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35" s="2" t="e">
        <f ca="1">_xll.BDH($C$128,"SALES_GROWTH","FQ2 2015","FQ2 2015","Currency=INR","Period=FQ","BEST_FPERIOD_OVERRIDE=FQ","FILING_STATUS=OR","EQY_CONSOLIDATED=Y","FA_ADJUSTED=GAAP","Sort=A","Dates=H","DateFormat=P","Fill=—","Direction=H","UseDPDF=Y")</f>
        <v>#NAME?</v>
      </c>
      <c r="U135" s="2" t="e">
        <f ca="1">_xll.BDH($C$128,"EBITDA_GROWTH","FQ2 2015","FQ2 2015","Currency=INR","Period=FQ","BEST_FPERIOD_OVERRIDE=FQ","FILING_STATUS=OR","EQY_CONSOLIDATED=Y","FA_ADJUSTED=GAAP","Sort=A","Dates=H","DateFormat=P","Fill=—","Direction=H","UseDPDF=Y")</f>
        <v>#NAME?</v>
      </c>
      <c r="V135" s="2" t="e">
        <f ca="1">_xll.BDH($C$128,"OPER_INC_GROWTH","FQ2 2015","FQ2 2015","Currency=INR","Period=FQ","BEST_FPERIOD_OVERRIDE=FQ","FILING_STATUS=OR","EQY_CONSOLIDATED=Y","FA_ADJUSTED=GAAP","Sort=A","Dates=H","DateFormat=P","Fill=—","Direction=H","UseDPDF=Y")</f>
        <v>#NAME?</v>
      </c>
      <c r="W135" s="2" t="e">
        <f ca="1">_xll.BDH($C$128,"EARN_FOR_COM_GROWTH","FQ2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35" s="2" t="e">
        <f ca="1">_xll.BDH($C$128,"DILUTED_EPS_AFT_XO_ITEMS_GROWTH","FQ2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35" s="2" t="e">
        <f ca="1">_xll.BDH($C$128,"DIVIDEND_PER_SHARE_1_YEAR_GROWTH","FQ2 2015","FQ2 2015","Currency=INR","Period=FQ","BEST_FPERIOD_OVERRIDE=FQ","FILING_STATUS=OR","EQY_CONSOLIDATED=Y","Sort=A","Dates=H","DateFormat=P","Fill=—","Direction=H","UseDPDF=Y")</f>
        <v>#NAME?</v>
      </c>
      <c r="Z135" s="2" t="e">
        <f ca="1">_xll.BDH($C$128,"ACCOUNTS_RECEIVABLE_GROWTH","FQ2 2015","FQ2 2015","Currency=INR","Period=FQ","BEST_FPERIOD_OVERRIDE=FQ","FILING_STATUS=OR","EQY_CONSOLIDATED=Y","Sort=A","Dates=H","DateFormat=P","Fill=—","Direction=H","UseDPDF=Y")</f>
        <v>#NAME?</v>
      </c>
      <c r="AA135" s="2" t="e">
        <f ca="1">_xll.BDH($C$128,"INVENTORY_GROWTH","FQ2 2015","FQ2 2015","Currency=INR","Period=FQ","BEST_FPERIOD_OVERRIDE=FQ","FILING_STATUS=OR","EQY_CONSOLIDATED=Y","Sort=A","Dates=H","DateFormat=P","Fill=—","Direction=H","UseDPDF=Y")</f>
        <v>#NAME?</v>
      </c>
      <c r="AB135" s="2" t="e">
        <f ca="1">_xll.BDH($C$128,"NET_FIXED_ASSETS_1_YEAR_GROWTH","FQ2 2015","FQ2 2015","Currency=INR","Period=FQ","BEST_FPERIOD_OVERRIDE=FQ","FILING_STATUS=OR","EQY_CONSOLIDATED=Y","Sort=A","Dates=H","DateFormat=P","Fill=—","Direction=H","UseDPDF=Y")</f>
        <v>#NAME?</v>
      </c>
      <c r="AC135" s="2" t="e">
        <f ca="1">_xll.BDH($C$128,"ASSET_GROWTH","FQ2 2015","FQ2 2015","Currency=INR","Period=FQ","BEST_FPERIOD_OVERRIDE=FQ","FILING_STATUS=OR","EQY_CONSOLIDATED=Y","Sort=A","Dates=H","DateFormat=P","Fill=—","Direction=H","UseDPDF=Y")</f>
        <v>#NAME?</v>
      </c>
      <c r="AD135" s="2" t="e">
        <f ca="1">_xll.BDH($C$128,"MODIFIED_WORK_CAP_GROWTH","FQ2 2015","FQ2 2015","Currency=INR","Period=FQ","BEST_FPERIOD_OVERRIDE=FQ","FILING_STATUS=OR","EQY_CONSOLIDATED=Y","Sort=A","Dates=H","DateFormat=P","Fill=—","Direction=H","UseDPDF=Y")</f>
        <v>#NAME?</v>
      </c>
      <c r="AE135" s="2" t="e">
        <f ca="1">_xll.BDH($C$128,"WORK_CAP_GROWTH","FQ2 2015","FQ2 2015","Currency=INR","Period=FQ","BEST_FPERIOD_OVERRIDE=FQ","FILING_STATUS=OR","EQY_CONSOLIDATED=Y","Sort=A","Dates=H","DateFormat=P","Fill=—","Direction=H","UseDPDF=Y")</f>
        <v>#NAME?</v>
      </c>
      <c r="AF135" s="2" t="e">
        <f ca="1">_xll.BDH($C$128,"ACCOUNTS_PAYABLE_GROWTH_1YR","FQ2 2015","FQ2 2015","Currency=INR","Period=FQ","BEST_FPERIOD_OVERRIDE=FQ","FILING_STATUS=OR","EQY_CONSOLIDATED=Y","Sort=A","Dates=H","DateFormat=P","Fill=—","Direction=H","UseDPDF=Y")</f>
        <v>#NAME?</v>
      </c>
      <c r="AG135" s="2" t="e">
        <f ca="1">_xll.BDH($C$128,"SHORT_TERM_DEBT_1_YEAR_GROWTH","FQ2 2015","FQ2 2015","Currency=INR","Period=FQ","BEST_FPERIOD_OVERRIDE=FQ","FILING_STATUS=OR","EQY_CONSOLIDATED=Y","Sort=A","Dates=H","DateFormat=P","Fill=—","Direction=H","UseDPDF=Y")</f>
        <v>#NAME?</v>
      </c>
      <c r="AH135" s="2" t="e">
        <f ca="1">_xll.BDH($C$128,"TOTAL_DEBT_1_YEAR_GROWTH","FQ2 2015","FQ2 2015","Currency=INR","Period=FQ","BEST_FPERIOD_OVERRIDE=FQ","FILING_STATUS=OR","EQY_CONSOLIDATED=Y","Sort=A","Dates=H","DateFormat=P","Fill=—","Direction=H","UseDPDF=Y")</f>
        <v>#NAME?</v>
      </c>
      <c r="AI135" s="2" t="e">
        <f ca="1">_xll.BDH($C$128,"TOTAL_EQUITY_1_YEAR_GROWTH","FQ2 2015","FQ2 2015","Currency=INR","Period=FQ","BEST_FPERIOD_OVERRIDE=FQ","FILING_STATUS=OR","EQY_CONSOLIDATED=Y","Sort=A","Dates=H","DateFormat=P","Fill=—","Direction=H","UseDPDF=Y")</f>
        <v>#NAME?</v>
      </c>
      <c r="AJ135" s="2" t="e">
        <f ca="1">_xll.BDH($C$128,"GROWTH_IN_CAP","FQ2 2015","FQ2 2015","Currency=INR","Period=FQ","BEST_FPERIOD_OVERRIDE=FQ","FILING_STATUS=OR","EQY_CONSOLIDATED=Y","Sort=A","Dates=H","DateFormat=P","Fill=—","Direction=H","UseDPDF=Y")</f>
        <v>#NAME?</v>
      </c>
      <c r="AK135" s="2" t="e">
        <f ca="1">_xll.BDH($C$128,"BVPS_GROWTH","FQ2 2015","FQ2 2015","Currency=INR","Period=FQ","BEST_FPERIOD_OVERRIDE=FQ","FILING_STATUS=OR","EQY_CONSOLIDATED=Y","Sort=A","Dates=H","DateFormat=P","Fill=—","Direction=H","UseDPDF=Y")</f>
        <v>#NAME?</v>
      </c>
      <c r="AL135" s="2" t="e">
        <f ca="1">_xll.BDH($C$128,"CASH_FLOW_GROWTH","FQ2 2015","FQ2 2015","Currency=INR","Period=FQ","BEST_FPERIOD_OVERRIDE=FQ","FILING_STATUS=OR","EQY_CONSOLIDATED=Y","Sort=A","Dates=H","DateFormat=P","Fill=—","Direction=H","UseDPDF=Y")</f>
        <v>#NAME?</v>
      </c>
      <c r="AM135" s="2" t="e">
        <f ca="1">_xll.BDH($C$128,"GEO_GROW_NET_SALES","FQ2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35" s="2" t="e">
        <f ca="1">_xll.BDH($C$128,"GEO_GROW_EBITDA","FQ2 2015","FQ2 2015","Currency=INR","Period=FQ","BEST_FPERIOD_OVERRIDE=FQ","FILING_STATUS=OR","EQY_CONSOLIDATED=Y","FA_ADJUSTED=GAAP","Sort=A","Dates=H","DateFormat=P","Fill=—","Direction=H","UseDPDF=Y")</f>
        <v>#NAME?</v>
      </c>
      <c r="AO135" s="2" t="e">
        <f ca="1">_xll.BDH($C$128,"GEO_GROW_OPER_INC","FQ2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35" s="2" t="e">
        <f ca="1">_xll.BDH($C$128,"NET_INCOME_TO_COMMON_5_YR_GROWTH","FQ2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35" s="2" t="e">
        <f ca="1">_xll.BDH($C$128,"5Y_GEO_GROWTH_DILUTED_EPS","FQ2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35" s="2" t="e">
        <f ca="1">_xll.BDH($C$128,"GEO_GROW_DVD_PER_SH","FQ2 2015","FQ2 2015","Currency=INR","Period=FQ","BEST_FPERIOD_OVERRIDE=FQ","FILING_STATUS=OR","EQY_CONSOLIDATED=Y","Sort=A","Dates=H","DateFormat=P","Fill=—","Direction=H","UseDPDF=Y")</f>
        <v>#NAME?</v>
      </c>
      <c r="AS135" s="2" t="e">
        <f ca="1">_xll.BDH($C$128,"ACCOUNTS_RECEIVABLE_5_YR_GROWTH","FQ2 2015","FQ2 2015","Currency=INR","Period=FQ","BEST_FPERIOD_OVERRIDE=FQ","FILING_STATUS=OR","EQY_CONSOLIDATED=Y","Sort=A","Dates=H","DateFormat=P","Fill=—","Direction=H","UseDPDF=Y")</f>
        <v>#NAME?</v>
      </c>
      <c r="AT135" s="2" t="e">
        <f ca="1">_xll.BDH($C$128,"INVENTORY_5_YEAR_GROWTH","FQ2 2015","FQ2 2015","Currency=INR","Period=FQ","BEST_FPERIOD_OVERRIDE=FQ","FILING_STATUS=OR","EQY_CONSOLIDATED=Y","Sort=A","Dates=H","DateFormat=P","Fill=—","Direction=H","UseDPDF=Y")</f>
        <v>#NAME?</v>
      </c>
      <c r="AU135" s="2" t="e">
        <f ca="1">_xll.BDH($C$128,"NET_FIXED_ASSETS_5_YEAR_GROWTH","FQ2 2015","FQ2 2015","Currency=INR","Period=FQ","BEST_FPERIOD_OVERRIDE=FQ","FILING_STATUS=OR","EQY_CONSOLIDATED=Y","Sort=A","Dates=H","DateFormat=P","Fill=—","Direction=H","UseDPDF=Y")</f>
        <v>#NAME?</v>
      </c>
      <c r="AV135" s="2" t="e">
        <f ca="1">_xll.BDH($C$128,"GEO_GROW_TOT_ASSET","FQ2 2015","FQ2 2015","Currency=INR","Period=FQ","BEST_FPERIOD_OVERRIDE=FQ","FILING_STATUS=OR","EQY_CONSOLIDATED=Y","Sort=A","Dates=H","DateFormat=P","Fill=—","Direction=H","UseDPDF=Y")</f>
        <v>#NAME?</v>
      </c>
      <c r="AW135" s="2" t="e">
        <f ca="1">_xll.BDH($C$128,"MODIFIED_WORKING_CPTL_5YR_GRWTH","FQ2 2015","FQ2 2015","Currency=INR","Period=FQ","BEST_FPERIOD_OVERRIDE=FQ","FILING_STATUS=OR","EQY_CONSOLIDATED=Y","Sort=A","Dates=H","DateFormat=P","Fill=—","Direction=H","UseDPDF=Y")</f>
        <v>#NAME?</v>
      </c>
      <c r="AX135" s="2" t="e">
        <f ca="1">_xll.BDH($C$128,"WORKING_CAPITAL_5_YEAR_GROWTH","FQ2 2015","FQ2 2015","Currency=INR","Period=FQ","BEST_FPERIOD_OVERRIDE=FQ","FILING_STATUS=OR","EQY_CONSOLIDATED=Y","Sort=A","Dates=H","DateFormat=P","Fill=—","Direction=H","UseDPDF=Y")</f>
        <v>#NAME?</v>
      </c>
      <c r="AY135" s="2" t="e">
        <f ca="1">_xll.BDH($C$128,"ACCOUNTS_PAYABLE_5_YEAR_GROWTH","FQ2 2015","FQ2 2015","Currency=INR","Period=FQ","BEST_FPERIOD_OVERRIDE=FQ","FILING_STATUS=OR","EQY_CONSOLIDATED=Y","Sort=A","Dates=H","DateFormat=P","Fill=—","Direction=H","UseDPDF=Y")</f>
        <v>#NAME?</v>
      </c>
      <c r="AZ135" s="2" t="e">
        <f ca="1">_xll.BDH($C$128,"SHORT_TERM_DEBT_5_YEAR_GROWTH","FQ2 2015","FQ2 2015","Currency=INR","Period=FQ","BEST_FPERIOD_OVERRIDE=FQ","FILING_STATUS=OR","EQY_CONSOLIDATED=Y","Sort=A","Dates=H","DateFormat=P","Fill=—","Direction=H","UseDPDF=Y")</f>
        <v>#NAME?</v>
      </c>
      <c r="BA135" s="2" t="e">
        <f ca="1">_xll.BDH($C$128,"TOTAL_DEBT_5_YEAR_GROWTH","FQ2 2015","FQ2 2015","Currency=INR","Period=FQ","BEST_FPERIOD_OVERRIDE=FQ","FILING_STATUS=OR","EQY_CONSOLIDATED=Y","Sort=A","Dates=H","DateFormat=P","Fill=—","Direction=H","UseDPDF=Y")</f>
        <v>#NAME?</v>
      </c>
      <c r="BB135" s="2" t="e">
        <f ca="1">_xll.BDH($C$128,"GEO_GROW_TOT_SHRHLDR_EQY","FQ2 2015","FQ2 2015","Currency=INR","Period=FQ","BEST_FPERIOD_OVERRIDE=FQ","FILING_STATUS=OR","EQY_CONSOLIDATED=Y","Sort=A","Dates=H","DateFormat=P","Fill=—","Direction=H","UseDPDF=Y")</f>
        <v>#NAME?</v>
      </c>
      <c r="BC135" s="2" t="e">
        <f ca="1">_xll.BDH($C$128,"TOTAL_CAPITAL_5_YEAR_GROWTH","FQ2 2015","FQ2 2015","Currency=INR","Period=FQ","BEST_FPERIOD_OVERRIDE=FQ","FILING_STATUS=OR","EQY_CONSOLIDATED=Y","Sort=A","Dates=H","DateFormat=P","Fill=—","Direction=H","UseDPDF=Y")</f>
        <v>#NAME?</v>
      </c>
      <c r="BD135" s="2" t="e">
        <f ca="1">_xll.BDH($C$128,"GEO_GROW_BOOK_VAL","FQ2 2015","FQ2 2015","Currency=INR","Period=FQ","BEST_FPERIOD_OVERRIDE=FQ","FILING_STATUS=OR","EQY_CONSOLIDATED=Y","Sort=A","Dates=H","DateFormat=P","Fill=—","Direction=H","UseDPDF=Y")</f>
        <v>#NAME?</v>
      </c>
      <c r="BE135" s="2" t="e">
        <f ca="1">_xll.BDH($C$128,"GEO_GROW_CASH_OPER_ACT","FQ2 2015","FQ2 2015","Currency=INR","Period=FQ","BEST_FPERIOD_OVERRIDE=FQ","FILING_STATUS=OR","EQY_CONSOLIDATED=Y","Sort=A","Dates=H","DateFormat=P","Fill=—","Direction=H","UseDPDF=Y")</f>
        <v>#NAME?</v>
      </c>
      <c r="BF135" s="2" t="e">
        <f ca="1">_xll.BDH($C$128,"REVENUE_SEQUENTIAL_GROWTH","FQ2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35" s="2" t="e">
        <f ca="1">_xll.BDH($C$128,"EBITDA_SEQUENTIAL_GROWTH","FQ2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35" s="2" t="e">
        <f ca="1">_xll.BDH($C$128,"OPERATING_INCOME_SEQ_GROWTH","FQ2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35" s="2" t="e">
        <f ca="1">_xll.BDH($C$128,"NET_INCOME_TO_COMMON_SEQ_GROWTH","FQ2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35" s="2" t="e">
        <f ca="1">_xll.BDH($C$128,"EPS_DILUTED_SEQUENTIAL_GROWTH","FQ2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35" s="2" t="e">
        <f ca="1">_xll.BDH($C$128,"DPS_SEQUENTIAL_GROWTH","FQ2 2015","FQ2 2015","Currency=INR","Period=FQ","BEST_FPERIOD_OVERRIDE=FQ","FILING_STATUS=OR","EQY_CONSOLIDATED=Y","Sort=A","Dates=H","DateFormat=P","Fill=—","Direction=H","UseDPDF=Y")</f>
        <v>#NAME?</v>
      </c>
      <c r="BL135" s="2" t="e">
        <f ca="1">_xll.BDH($C$128,"ACCOUNTS_RECEIVABLE_SEQ_GROWTH","FQ2 2015","FQ2 2015","Currency=INR","Period=FQ","BEST_FPERIOD_OVERRIDE=FQ","FILING_STATUS=OR","EQY_CONSOLIDATED=Y","Sort=A","Dates=H","DateFormat=P","Fill=—","Direction=H","UseDPDF=Y")</f>
        <v>#NAME?</v>
      </c>
      <c r="BM135" s="2" t="e">
        <f ca="1">_xll.BDH($C$128,"INVENTORY_SEQUENTIAL_GROWTH","FQ2 2015","FQ2 2015","Currency=INR","Period=FQ","BEST_FPERIOD_OVERRIDE=FQ","FILING_STATUS=OR","EQY_CONSOLIDATED=Y","Sort=A","Dates=H","DateFormat=P","Fill=—","Direction=H","UseDPDF=Y")</f>
        <v>#NAME?</v>
      </c>
      <c r="BN135" s="2" t="e">
        <f ca="1">_xll.BDH($C$128,"FIXED_ASSETS_SEQUENTIAL_GROWTH","FQ2 2015","FQ2 2015","Currency=INR","Period=FQ","BEST_FPERIOD_OVERRIDE=FQ","FILING_STATUS=OR","EQY_CONSOLIDATED=Y","Sort=A","Dates=H","DateFormat=P","Fill=—","Direction=H","UseDPDF=Y")</f>
        <v>#NAME?</v>
      </c>
      <c r="BO135" s="2" t="e">
        <f ca="1">_xll.BDH($C$128,"TOTAL_ASSETS_SEQUENTIAL_GROWTH","FQ2 2015","FQ2 2015","Currency=INR","Period=FQ","BEST_FPERIOD_OVERRIDE=FQ","FILING_STATUS=OR","EQY_CONSOLIDATED=Y","Sort=A","Dates=H","DateFormat=P","Fill=—","Direction=H","UseDPDF=Y")</f>
        <v>#NAME?</v>
      </c>
      <c r="BP135" s="2" t="e">
        <f ca="1">_xll.BDH($C$128,"MODIFIED_WORKING_CPTL_SEQ_GRWTH","FQ2 2015","FQ2 2015","Currency=INR","Period=FQ","BEST_FPERIOD_OVERRIDE=FQ","FILING_STATUS=OR","EQY_CONSOLIDATED=Y","Sort=A","Dates=H","DateFormat=P","Fill=—","Direction=H","UseDPDF=Y")</f>
        <v>#NAME?</v>
      </c>
      <c r="BQ135" s="2" t="e">
        <f ca="1">_xll.BDH($C$128,"WORKING_CAPITAL_SEQ_GROWTH","FQ2 2015","FQ2 2015","Currency=INR","Period=FQ","BEST_FPERIOD_OVERRIDE=FQ","FILING_STATUS=OR","EQY_CONSOLIDATED=Y","Sort=A","Dates=H","DateFormat=P","Fill=—","Direction=H","UseDPDF=Y")</f>
        <v>#NAME?</v>
      </c>
      <c r="BR135" s="2" t="e">
        <f ca="1">_xll.BDH($C$128,"ACCOUNTS_PAYABLE_SEQ_GROWTH","FQ2 2015","FQ2 2015","Currency=INR","Period=FQ","BEST_FPERIOD_OVERRIDE=FQ","FILING_STATUS=OR","EQY_CONSOLIDATED=Y","Sort=A","Dates=H","DateFormat=P","Fill=—","Direction=H","UseDPDF=Y")</f>
        <v>#NAME?</v>
      </c>
      <c r="BS135" s="2" t="e">
        <f ca="1">_xll.BDH($C$128,"ST_DEBT_SEQUENTIAL_GROWTH","FQ2 2015","FQ2 2015","Currency=INR","Period=FQ","BEST_FPERIOD_OVERRIDE=FQ","FILING_STATUS=OR","EQY_CONSOLIDATED=Y","Sort=A","Dates=H","DateFormat=P","Fill=—","Direction=H","UseDPDF=Y")</f>
        <v>#NAME?</v>
      </c>
      <c r="BT135" s="2" t="e">
        <f ca="1">_xll.BDH($C$128,"TOTAL_DEBT_SEQUENTIAL_GROWTH","FQ2 2015","FQ2 2015","Currency=INR","Period=FQ","BEST_FPERIOD_OVERRIDE=FQ","FILING_STATUS=OR","EQY_CONSOLIDATED=Y","Sort=A","Dates=H","DateFormat=P","Fill=—","Direction=H","UseDPDF=Y")</f>
        <v>#NAME?</v>
      </c>
      <c r="BU135" s="2" t="e">
        <f ca="1">_xll.BDH($C$128,"TOTAL_EQUITY_SEQUENTIAL_GROWTH","FQ2 2015","FQ2 2015","Currency=INR","Period=FQ","BEST_FPERIOD_OVERRIDE=FQ","FILING_STATUS=OR","EQY_CONSOLIDATED=Y","Sort=A","Dates=H","DateFormat=P","Fill=—","Direction=H","UseDPDF=Y")</f>
        <v>#NAME?</v>
      </c>
      <c r="BV135" s="2" t="e">
        <f ca="1">_xll.BDH($C$128,"TOTAL_CAPITAL_SEQUENTIAL_GROWTH","FQ2 2015","FQ2 2015","Currency=INR","Period=FQ","BEST_FPERIOD_OVERRIDE=FQ","FILING_STATUS=OR","EQY_CONSOLIDATED=Y","Sort=A","Dates=H","DateFormat=P","Fill=—","Direction=H","UseDPDF=Y")</f>
        <v>#NAME?</v>
      </c>
      <c r="BW135" s="2" t="e">
        <f ca="1">_xll.BDH($C$128,"BPS_SEQUENTIAL_GROWTH","FQ2 2015","FQ2 2015","Currency=INR","Period=FQ","BEST_FPERIOD_OVERRIDE=FQ","FILING_STATUS=OR","EQY_CONSOLIDATED=Y","Sort=A","Dates=H","DateFormat=P","Fill=—","Direction=H","UseDPDF=Y")</f>
        <v>#NAME?</v>
      </c>
      <c r="BX135" s="2" t="e">
        <f ca="1">_xll.BDH($C$128,"CFO_SEQUENTIAL_GROWTH","FQ2 2015","FQ2 2015","Currency=INR","Period=FQ","BEST_FPERIOD_OVERRIDE=FQ","FILING_STATUS=OR","EQY_CONSOLIDATED=Y","Sort=A","Dates=H","DateFormat=P","Fill=—","Direction=H","UseDPDF=Y")</f>
        <v>#NAME?</v>
      </c>
      <c r="BY135" s="3" t="e">
        <f ca="1">_xll.BDH($C$128,"SHORT_AND_LONG_TERM_DEBT","FQ2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35" s="3" t="e">
        <f ca="1">_xll.BDH($C$128,"BS_ST_BORROW","FQ2 2015","FQ2 2015","Currency=INR","Period=FQ","BEST_FPERIOD_OVERRIDE=FQ","FILING_STATUS=OR","EQY_CONSOLIDATED=Y","SCALING_FORMAT=MLN","Sort=A","Dates=H","DateFormat=P","Fill=—","Direction=H","UseDPDF=Y")</f>
        <v>#NAME?</v>
      </c>
      <c r="CA135" s="3" t="e">
        <f ca="1">_xll.BDH($C$128,"BS_LT_BORROW","FQ2 2015","FQ2 2015","Currency=INR","Period=FQ","BEST_FPERIOD_OVERRIDE=FQ","FILING_STATUS=OR","EQY_CONSOLIDATED=Y","SCALING_FORMAT=MLN","Sort=A","Dates=H","DateFormat=P","Fill=—","Direction=H","UseDPDF=Y")</f>
        <v>#NAME?</v>
      </c>
      <c r="CB135" s="2" t="e">
        <f ca="1">_xll.BDH($C$128,"TOT_DEBT_TO_EBITDA","FQ2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35" s="2" t="e">
        <f ca="1">_xll.BDH($C$128,"NET_DEBT_TO_EBITDA","FQ2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35" s="2" t="e">
        <f ca="1">_xll.BDH($C$128,"TOTAL_DEBT_TO_EBIT","FQ2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35" s="2" t="e">
        <f ca="1">_xll.BDH($C$128,"NET_DEBT_TO_EBIT","FQ2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35" s="2" t="e">
        <f ca="1">_xll.BDH($C$128,"EBITDA_TO_INTEREST_EXPN","FQ2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35" s="2" t="e">
        <f ca="1">_xll.BDH($C$128,"COM_EQY_TO_TOT_ASSET","FQ2 2015","FQ2 2015","Currency=INR","Period=FQ","BEST_FPERIOD_OVERRIDE=FQ","FILING_STATUS=OR","EQY_CONSOLIDATED=Y","Sort=A","Dates=H","DateFormat=P","Fill=—","Direction=H","UseDPDF=Y")</f>
        <v>#NAME?</v>
      </c>
      <c r="CH135" s="2" t="e">
        <f ca="1">_xll.BDH($C$128,"LT_DEBT_TO_TOT_EQY","FQ2 2015","FQ2 2015","Currency=INR","Period=FQ","BEST_FPERIOD_OVERRIDE=FQ","FILING_STATUS=OR","EQY_CONSOLIDATED=Y","Sort=A","Dates=H","DateFormat=P","Fill=—","Direction=H","UseDPDF=Y")</f>
        <v>#NAME?</v>
      </c>
      <c r="CI135" s="2" t="e">
        <f ca="1">_xll.BDH($C$128,"LT_DEBT_TO_TOT_CAP","FQ2 2015","FQ2 2015","Currency=INR","Period=FQ","BEST_FPERIOD_OVERRIDE=FQ","FILING_STATUS=OR","EQY_CONSOLIDATED=Y","Sort=A","Dates=H","DateFormat=P","Fill=—","Direction=H","UseDPDF=Y")</f>
        <v>#NAME?</v>
      </c>
      <c r="CJ135" s="2" t="e">
        <f ca="1">_xll.BDH($C$128,"LT_DEBT_TO_TOT_ASSET","FQ2 2015","FQ2 2015","Currency=INR","Period=FQ","BEST_FPERIOD_OVERRIDE=FQ","FILING_STATUS=OR","EQY_CONSOLIDATED=Y","Sort=A","Dates=H","DateFormat=P","Fill=—","Direction=H","UseDPDF=Y")</f>
        <v>#NAME?</v>
      </c>
      <c r="CK135" s="2" t="e">
        <f ca="1">_xll.BDH($C$128,"TOT_DEBT_TO_TOT_EQY","FQ2 2015","FQ2 2015","Currency=INR","Period=FQ","BEST_FPERIOD_OVERRIDE=FQ","FILING_STATUS=OR","EQY_CONSOLIDATED=Y","Sort=A","Dates=H","DateFormat=P","Fill=—","Direction=H","UseDPDF=Y")</f>
        <v>#NAME?</v>
      </c>
      <c r="CL135" s="2" t="e">
        <f ca="1">_xll.BDH($C$128,"TOT_DEBT_TO_TOT_CAP","FQ2 2015","FQ2 2015","Currency=INR","Period=FQ","BEST_FPERIOD_OVERRIDE=FQ","FILING_STATUS=OR","EQY_CONSOLIDATED=Y","Sort=A","Dates=H","DateFormat=P","Fill=—","Direction=H","UseDPDF=Y")</f>
        <v>#NAME?</v>
      </c>
      <c r="CM135" s="2" t="e">
        <f ca="1">_xll.BDH($C$128,"TOT_DEBT_TO_TOT_ASSET","FQ2 2015","FQ2 2015","Currency=INR","Period=FQ","BEST_FPERIOD_OVERRIDE=FQ","FILING_STATUS=OR","EQY_CONSOLIDATED=Y","Sort=A","Dates=H","DateFormat=P","Fill=—","Direction=H","UseDPDF=Y")</f>
        <v>#NAME?</v>
      </c>
      <c r="CN135" s="2" t="e">
        <f ca="1">_xll.BDH($C$128,"NET_DEBT_TO_SHRHLDR_EQTY","FQ2 2015","FQ2 2015","Currency=INR","Period=FQ","BEST_FPERIOD_OVERRIDE=FQ","FILING_STATUS=OR","EQY_CONSOLIDATED=Y","Sort=A","Dates=H","DateFormat=P","Fill=—","Direction=H","UseDPDF=Y")</f>
        <v>#NAME?</v>
      </c>
      <c r="CO135" s="2" t="e">
        <f ca="1">_xll.BDH($C$128,"NET_DEBT_%_CAPITAL","FQ2 2015","FQ2 2015","Currency=INR","Period=FQ","BEST_FPERIOD_OVERRIDE=FQ","FILING_STATUS=OR","EQY_CONSOLIDATED=Y","Sort=A","Dates=H","DateFormat=P","Fill=—","Direction=H","UseDPDF=Y")</f>
        <v>#NAME?</v>
      </c>
      <c r="CP135" s="3" t="e">
        <f ca="1">_xll.BDH($C$128,"EBITDA","FQ2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35" s="3" t="e">
        <f ca="1">_xll.BDH($C$128,"EBITDA_AFTER_CAPEX","FQ2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35" s="3" t="e">
        <f ca="1">_xll.BDH($C$128,"IS_OPER_INC","FQ2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35" s="2" t="e">
        <f ca="1">_xll.BDH($C$128,"CASH_RATIO","FQ2 2015","FQ2 2015","Currency=INR","Period=FQ","BEST_FPERIOD_OVERRIDE=FQ","FILING_STATUS=OR","EQY_CONSOLIDATED=Y","Sort=A","Dates=H","DateFormat=P","Fill=—","Direction=H","UseDPDF=Y")</f>
        <v>#NAME?</v>
      </c>
      <c r="CT135" s="2" t="e">
        <f ca="1">_xll.BDH($C$128,"CUR_RATIO","FQ2 2015","FQ2 2015","Currency=INR","Period=FQ","BEST_FPERIOD_OVERRIDE=FQ","FILING_STATUS=OR","EQY_CONSOLIDATED=Y","Sort=A","Dates=H","DateFormat=P","Fill=—","Direction=H","UseDPDF=Y")</f>
        <v>#NAME?</v>
      </c>
      <c r="CU135" s="2" t="e">
        <f ca="1">_xll.BDH($C$128,"QUICK_RATIO","FQ2 2015","FQ2 2015","Currency=INR","Period=FQ","BEST_FPERIOD_OVERRIDE=FQ","FILING_STATUS=OR","EQY_CONSOLIDATED=Y","Sort=A","Dates=H","DateFormat=P","Fill=—","Direction=H","UseDPDF=Y")</f>
        <v>#NAME?</v>
      </c>
      <c r="CV135" s="2" t="e">
        <f ca="1">_xll.BDH($C$128,"ALTMAN_Z_SCORE","FQ2 2015","FQ2 2015","Currency=INR","Period=FQ","BEST_FPERIOD_OVERRIDE=FQ","FILING_STATUS=OR","EQY_CONSOLIDATED=Y","Sort=A","Dates=H","DateFormat=P","Fill=—","Direction=H","UseDPDF=Y")</f>
        <v>#NAME?</v>
      </c>
      <c r="CW135" s="4" t="e">
        <f ca="1">_xll.BDH($C$128,"ACCT_RCV_TURN","FQ2 2015","FQ2 2015","Currency=INR","Period=FQ","BEST_FPERIOD_OVERRIDE=FQ","FILING_STATUS=OR","EQY_CONSOLIDATED=Y","FA_ADJUSTED=GAAP","Sort=A","Dates=H","DateFormat=P","Fill=—","Direction=H","UseDPDF=Y")</f>
        <v>#NAME?</v>
      </c>
      <c r="CX135" s="2" t="e">
        <f ca="1">_xll.BDH($C$128,"ACCT_RCV_DAYS","FQ2 2015","FQ2 2015","Currency=INR","Period=FQ","BEST_FPERIOD_OVERRIDE=FQ","FILING_STATUS=OR","EQY_CONSOLIDATED=Y","FA_ADJUSTED=GAAP","Sort=A","Dates=H","DateFormat=P","Fill=—","Direction=H","UseDPDF=Y")</f>
        <v>#NAME?</v>
      </c>
      <c r="CY135" s="4" t="e">
        <f ca="1">_xll.BDH($C$128,"INVENT_TURN","FQ2 2015","FQ2 2015","Currency=INR","Period=FQ","BEST_FPERIOD_OVERRIDE=FQ","FILING_STATUS=OR","EQY_CONSOLIDATED=Y","FA_ADJUSTED=GAAP","Sort=A","Dates=H","DateFormat=P","Fill=—","Direction=H","UseDPDF=Y")</f>
        <v>#NAME?</v>
      </c>
      <c r="CZ135" s="2" t="e">
        <f ca="1">_xll.BDH($C$128,"INVENT_DAYS","FQ2 2015","FQ2 2015","Currency=INR","Period=FQ","BEST_FPERIOD_OVERRIDE=FQ","FILING_STATUS=OR","EQY_CONSOLIDATED=Y","FA_ADJUSTED=GAAP","Sort=A","Dates=H","DateFormat=P","Fill=—","Direction=H","UseDPDF=Y")</f>
        <v>#NAME?</v>
      </c>
      <c r="DA135" s="4" t="e">
        <f ca="1">_xll.BDH($C$128,"ACCOUNTS_PAYABLE_TURNOVER","FQ2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35" s="2" t="e">
        <f ca="1">_xll.BDH($C$128,"ACCOUNTS_PAYABLE_TURNOVER_DAYS","FQ2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35" s="4" t="e">
        <f ca="1">_xll.BDH($C$128,"CASH_CONVERSION_CYCLE","FQ2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35" s="4" t="e">
        <f ca="1">_xll.BDH($C$128,"INV_TO_CASH_DAYS","FQ2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35" s="5" t="e">
        <f ca="1">_xll.BDH($C$128,"BS_INVENTORIES","FQ2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35" s="3" t="e">
        <f ca="1">_xll.BDH($C$128,"INVTRY_RAW_MATERIALS","FQ2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35" s="3" t="e">
        <f ca="1">_xll.BDH($C$128,"INVTRY_IN_PROGRESS","FQ2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35" s="3" t="e">
        <f ca="1">_xll.BDH($C$128,"INVTRY_FINISHED_GOODS","FQ2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35" s="3" t="e">
        <f ca="1">_xll.BDH($C$128,"BS_OTHER_INV","FQ2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36" spans="1:113" x14ac:dyDescent="0.3">
      <c r="A136" s="6"/>
      <c r="B136" s="6"/>
      <c r="C136" s="6"/>
      <c r="D136" s="6"/>
      <c r="E136" t="s">
        <v>80</v>
      </c>
      <c r="F136" t="e">
        <f ca="1">_xll.BDH($C$128,"RETURN_COM_EQY","FQ3 2015","FQ3 2015","Currency=INR","Period=FQ","BEST_FPERIOD_OVERRIDE=FQ","FILING_STATUS=OR","EQY_CONSOLIDATED=Y","FA_ADJUSTED=GAAP","Sort=A","Dates=H","DateFormat=P","Fill=—","Direction=H","UseDPDF=Y")</f>
        <v>#NAME?</v>
      </c>
      <c r="G136" t="e">
        <f ca="1">_xll.BDH($C$128,"RETURN_ON_ASSET","FQ3 2015","FQ3 2015","Currency=INR","Period=FQ","BEST_FPERIOD_OVERRIDE=FQ","FILING_STATUS=OR","EQY_CONSOLIDATED=Y","FA_ADJUSTED=GAAP","Sort=A","Dates=H","DateFormat=P","Fill=—","Direction=H","UseDPDF=Y")</f>
        <v>#NAME?</v>
      </c>
      <c r="H136" t="e">
        <f ca="1">_xll.BDH($C$128,"RETURN_ON_CAP","FQ3 2015","FQ3 2015","Currency=INR","Period=FQ","BEST_FPERIOD_OVERRIDE=FQ","FILING_STATUS=OR","EQY_CONSOLIDATED=Y","FA_ADJUSTED=GAAP","Sort=A","Dates=H","DateFormat=P","Fill=—","Direction=H","UseDPDF=Y")</f>
        <v>#NAME?</v>
      </c>
      <c r="I136" t="e">
        <f ca="1">_xll.BDH($C$128,"RETURN_ON_INV_CAPITAL","FQ3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36" t="e">
        <f ca="1">_xll.BDH($C$128,"EBITDA_TO_REVENUE","FQ3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36" t="e">
        <f ca="1">_xll.BDH($C$128,"OPER_MARGIN","FQ3 2015","FQ3 2015","Currency=INR","Period=FQ","BEST_FPERIOD_OVERRIDE=FQ","FILING_STATUS=OR","EQY_CONSOLIDATED=Y","FA_ADJUSTED=GAAP","Sort=A","Dates=H","DateFormat=P","Fill=—","Direction=H","UseDPDF=Y")</f>
        <v>#NAME?</v>
      </c>
      <c r="L136" t="e">
        <f ca="1">_xll.BDH($C$128,"INCREMENTAL_OPERATING_MARGIN","FQ3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36" t="e">
        <f ca="1">_xll.BDH($C$128,"PRETAX_INC_TO_NET_SALES","FQ3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36" t="e">
        <f ca="1">_xll.BDH($C$128,"INC_BEF_XO_ITEMS_TO_NET_SALES","FQ3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36" t="e">
        <f ca="1">_xll.BDH($C$128,"PROF_MARGIN","FQ3 2015","FQ3 2015","Currency=INR","Period=FQ","BEST_FPERIOD_OVERRIDE=FQ","FILING_STATUS=OR","EQY_CONSOLIDATED=Y","FA_ADJUSTED=GAAP","Sort=A","Dates=H","DateFormat=P","Fill=—","Direction=H","UseDPDF=Y")</f>
        <v>#NAME?</v>
      </c>
      <c r="P136" t="e">
        <f ca="1">_xll.BDH($C$128,"NET_INCOME_TO_COMMON_MARGIN","FQ3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36" t="e">
        <f ca="1">_xll.BDH($C$128,"EFF_TAX_RATE","FQ3 2015","FQ3 2015","Currency=INR","Period=FQ","BEST_FPERIOD_OVERRIDE=FQ","FILING_STATUS=OR","EQY_CONSOLIDATED=Y","FA_ADJUSTED=GAAP","Sort=A","Dates=H","DateFormat=P","Fill=—","Direction=H","UseDPDF=Y")</f>
        <v>#NAME?</v>
      </c>
      <c r="R136" t="e">
        <f ca="1">_xll.BDH($C$128,"DVD_PAYOUT_RATIO","FQ3 2015","FQ3 2015","Currency=INR","Period=FQ","BEST_FPERIOD_OVERRIDE=FQ","FILING_STATUS=OR","EQY_CONSOLIDATED=Y","FA_ADJUSTED=GAAP","Sort=A","Dates=H","DateFormat=P","Fill=—","Direction=H","UseDPDF=Y")</f>
        <v>#NAME?</v>
      </c>
      <c r="S136" t="e">
        <f ca="1">_xll.BDH($C$128,"SUSTAIN_GROWTH_RT","FQ3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36" s="2" t="e">
        <f ca="1">_xll.BDH($C$128,"SALES_GROWTH","FQ3 2015","FQ3 2015","Currency=INR","Period=FQ","BEST_FPERIOD_OVERRIDE=FQ","FILING_STATUS=OR","EQY_CONSOLIDATED=Y","FA_ADJUSTED=GAAP","Sort=A","Dates=H","DateFormat=P","Fill=—","Direction=H","UseDPDF=Y")</f>
        <v>#NAME?</v>
      </c>
      <c r="U136" s="2" t="e">
        <f ca="1">_xll.BDH($C$128,"EBITDA_GROWTH","FQ3 2015","FQ3 2015","Currency=INR","Period=FQ","BEST_FPERIOD_OVERRIDE=FQ","FILING_STATUS=OR","EQY_CONSOLIDATED=Y","FA_ADJUSTED=GAAP","Sort=A","Dates=H","DateFormat=P","Fill=—","Direction=H","UseDPDF=Y")</f>
        <v>#NAME?</v>
      </c>
      <c r="V136" s="2" t="e">
        <f ca="1">_xll.BDH($C$128,"OPER_INC_GROWTH","FQ3 2015","FQ3 2015","Currency=INR","Period=FQ","BEST_FPERIOD_OVERRIDE=FQ","FILING_STATUS=OR","EQY_CONSOLIDATED=Y","FA_ADJUSTED=GAAP","Sort=A","Dates=H","DateFormat=P","Fill=—","Direction=H","UseDPDF=Y")</f>
        <v>#NAME?</v>
      </c>
      <c r="W136" s="2" t="e">
        <f ca="1">_xll.BDH($C$128,"EARN_FOR_COM_GROWTH","FQ3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36" s="2" t="e">
        <f ca="1">_xll.BDH($C$128,"DILUTED_EPS_AFT_XO_ITEMS_GROWTH","FQ3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36" s="2" t="e">
        <f ca="1">_xll.BDH($C$128,"DIVIDEND_PER_SHARE_1_YEAR_GROWTH","FQ3 2015","FQ3 2015","Currency=INR","Period=FQ","BEST_FPERIOD_OVERRIDE=FQ","FILING_STATUS=OR","EQY_CONSOLIDATED=Y","Sort=A","Dates=H","DateFormat=P","Fill=—","Direction=H","UseDPDF=Y")</f>
        <v>#NAME?</v>
      </c>
      <c r="Z136" s="2" t="e">
        <f ca="1">_xll.BDH($C$128,"ACCOUNTS_RECEIVABLE_GROWTH","FQ3 2015","FQ3 2015","Currency=INR","Period=FQ","BEST_FPERIOD_OVERRIDE=FQ","FILING_STATUS=OR","EQY_CONSOLIDATED=Y","Sort=A","Dates=H","DateFormat=P","Fill=—","Direction=H","UseDPDF=Y")</f>
        <v>#NAME?</v>
      </c>
      <c r="AA136" s="2" t="e">
        <f ca="1">_xll.BDH($C$128,"INVENTORY_GROWTH","FQ3 2015","FQ3 2015","Currency=INR","Period=FQ","BEST_FPERIOD_OVERRIDE=FQ","FILING_STATUS=OR","EQY_CONSOLIDATED=Y","Sort=A","Dates=H","DateFormat=P","Fill=—","Direction=H","UseDPDF=Y")</f>
        <v>#NAME?</v>
      </c>
      <c r="AB136" s="2" t="e">
        <f ca="1">_xll.BDH($C$128,"NET_FIXED_ASSETS_1_YEAR_GROWTH","FQ3 2015","FQ3 2015","Currency=INR","Period=FQ","BEST_FPERIOD_OVERRIDE=FQ","FILING_STATUS=OR","EQY_CONSOLIDATED=Y","Sort=A","Dates=H","DateFormat=P","Fill=—","Direction=H","UseDPDF=Y")</f>
        <v>#NAME?</v>
      </c>
      <c r="AC136" s="2" t="e">
        <f ca="1">_xll.BDH($C$128,"ASSET_GROWTH","FQ3 2015","FQ3 2015","Currency=INR","Period=FQ","BEST_FPERIOD_OVERRIDE=FQ","FILING_STATUS=OR","EQY_CONSOLIDATED=Y","Sort=A","Dates=H","DateFormat=P","Fill=—","Direction=H","UseDPDF=Y")</f>
        <v>#NAME?</v>
      </c>
      <c r="AD136" s="2" t="e">
        <f ca="1">_xll.BDH($C$128,"MODIFIED_WORK_CAP_GROWTH","FQ3 2015","FQ3 2015","Currency=INR","Period=FQ","BEST_FPERIOD_OVERRIDE=FQ","FILING_STATUS=OR","EQY_CONSOLIDATED=Y","Sort=A","Dates=H","DateFormat=P","Fill=—","Direction=H","UseDPDF=Y")</f>
        <v>#NAME?</v>
      </c>
      <c r="AE136" s="2" t="e">
        <f ca="1">_xll.BDH($C$128,"WORK_CAP_GROWTH","FQ3 2015","FQ3 2015","Currency=INR","Period=FQ","BEST_FPERIOD_OVERRIDE=FQ","FILING_STATUS=OR","EQY_CONSOLIDATED=Y","Sort=A","Dates=H","DateFormat=P","Fill=—","Direction=H","UseDPDF=Y")</f>
        <v>#NAME?</v>
      </c>
      <c r="AF136" s="2" t="e">
        <f ca="1">_xll.BDH($C$128,"ACCOUNTS_PAYABLE_GROWTH_1YR","FQ3 2015","FQ3 2015","Currency=INR","Period=FQ","BEST_FPERIOD_OVERRIDE=FQ","FILING_STATUS=OR","EQY_CONSOLIDATED=Y","Sort=A","Dates=H","DateFormat=P","Fill=—","Direction=H","UseDPDF=Y")</f>
        <v>#NAME?</v>
      </c>
      <c r="AG136" s="2" t="e">
        <f ca="1">_xll.BDH($C$128,"SHORT_TERM_DEBT_1_YEAR_GROWTH","FQ3 2015","FQ3 2015","Currency=INR","Period=FQ","BEST_FPERIOD_OVERRIDE=FQ","FILING_STATUS=OR","EQY_CONSOLIDATED=Y","Sort=A","Dates=H","DateFormat=P","Fill=—","Direction=H","UseDPDF=Y")</f>
        <v>#NAME?</v>
      </c>
      <c r="AH136" s="2" t="e">
        <f ca="1">_xll.BDH($C$128,"TOTAL_DEBT_1_YEAR_GROWTH","FQ3 2015","FQ3 2015","Currency=INR","Period=FQ","BEST_FPERIOD_OVERRIDE=FQ","FILING_STATUS=OR","EQY_CONSOLIDATED=Y","Sort=A","Dates=H","DateFormat=P","Fill=—","Direction=H","UseDPDF=Y")</f>
        <v>#NAME?</v>
      </c>
      <c r="AI136" s="2" t="e">
        <f ca="1">_xll.BDH($C$128,"TOTAL_EQUITY_1_YEAR_GROWTH","FQ3 2015","FQ3 2015","Currency=INR","Period=FQ","BEST_FPERIOD_OVERRIDE=FQ","FILING_STATUS=OR","EQY_CONSOLIDATED=Y","Sort=A","Dates=H","DateFormat=P","Fill=—","Direction=H","UseDPDF=Y")</f>
        <v>#NAME?</v>
      </c>
      <c r="AJ136" s="2" t="e">
        <f ca="1">_xll.BDH($C$128,"GROWTH_IN_CAP","FQ3 2015","FQ3 2015","Currency=INR","Period=FQ","BEST_FPERIOD_OVERRIDE=FQ","FILING_STATUS=OR","EQY_CONSOLIDATED=Y","Sort=A","Dates=H","DateFormat=P","Fill=—","Direction=H","UseDPDF=Y")</f>
        <v>#NAME?</v>
      </c>
      <c r="AK136" s="2" t="e">
        <f ca="1">_xll.BDH($C$128,"BVPS_GROWTH","FQ3 2015","FQ3 2015","Currency=INR","Period=FQ","BEST_FPERIOD_OVERRIDE=FQ","FILING_STATUS=OR","EQY_CONSOLIDATED=Y","Sort=A","Dates=H","DateFormat=P","Fill=—","Direction=H","UseDPDF=Y")</f>
        <v>#NAME?</v>
      </c>
      <c r="AL136" s="2" t="e">
        <f ca="1">_xll.BDH($C$128,"CASH_FLOW_GROWTH","FQ3 2015","FQ3 2015","Currency=INR","Period=FQ","BEST_FPERIOD_OVERRIDE=FQ","FILING_STATUS=OR","EQY_CONSOLIDATED=Y","Sort=A","Dates=H","DateFormat=P","Fill=—","Direction=H","UseDPDF=Y")</f>
        <v>#NAME?</v>
      </c>
      <c r="AM136" s="2" t="e">
        <f ca="1">_xll.BDH($C$128,"GEO_GROW_NET_SALES","FQ3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36" s="2" t="e">
        <f ca="1">_xll.BDH($C$128,"GEO_GROW_EBITDA","FQ3 2015","FQ3 2015","Currency=INR","Period=FQ","BEST_FPERIOD_OVERRIDE=FQ","FILING_STATUS=OR","EQY_CONSOLIDATED=Y","FA_ADJUSTED=GAAP","Sort=A","Dates=H","DateFormat=P","Fill=—","Direction=H","UseDPDF=Y")</f>
        <v>#NAME?</v>
      </c>
      <c r="AO136" s="2" t="e">
        <f ca="1">_xll.BDH($C$128,"GEO_GROW_OPER_INC","FQ3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36" s="2" t="e">
        <f ca="1">_xll.BDH($C$128,"NET_INCOME_TO_COMMON_5_YR_GROWTH","FQ3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36" s="2" t="e">
        <f ca="1">_xll.BDH($C$128,"5Y_GEO_GROWTH_DILUTED_EPS","FQ3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36" s="2" t="e">
        <f ca="1">_xll.BDH($C$128,"GEO_GROW_DVD_PER_SH","FQ3 2015","FQ3 2015","Currency=INR","Period=FQ","BEST_FPERIOD_OVERRIDE=FQ","FILING_STATUS=OR","EQY_CONSOLIDATED=Y","Sort=A","Dates=H","DateFormat=P","Fill=—","Direction=H","UseDPDF=Y")</f>
        <v>#NAME?</v>
      </c>
      <c r="AS136" s="2" t="e">
        <f ca="1">_xll.BDH($C$128,"ACCOUNTS_RECEIVABLE_5_YR_GROWTH","FQ3 2015","FQ3 2015","Currency=INR","Period=FQ","BEST_FPERIOD_OVERRIDE=FQ","FILING_STATUS=OR","EQY_CONSOLIDATED=Y","Sort=A","Dates=H","DateFormat=P","Fill=—","Direction=H","UseDPDF=Y")</f>
        <v>#NAME?</v>
      </c>
      <c r="AT136" s="2" t="e">
        <f ca="1">_xll.BDH($C$128,"INVENTORY_5_YEAR_GROWTH","FQ3 2015","FQ3 2015","Currency=INR","Period=FQ","BEST_FPERIOD_OVERRIDE=FQ","FILING_STATUS=OR","EQY_CONSOLIDATED=Y","Sort=A","Dates=H","DateFormat=P","Fill=—","Direction=H","UseDPDF=Y")</f>
        <v>#NAME?</v>
      </c>
      <c r="AU136" s="2" t="e">
        <f ca="1">_xll.BDH($C$128,"NET_FIXED_ASSETS_5_YEAR_GROWTH","FQ3 2015","FQ3 2015","Currency=INR","Period=FQ","BEST_FPERIOD_OVERRIDE=FQ","FILING_STATUS=OR","EQY_CONSOLIDATED=Y","Sort=A","Dates=H","DateFormat=P","Fill=—","Direction=H","UseDPDF=Y")</f>
        <v>#NAME?</v>
      </c>
      <c r="AV136" s="2" t="e">
        <f ca="1">_xll.BDH($C$128,"GEO_GROW_TOT_ASSET","FQ3 2015","FQ3 2015","Currency=INR","Period=FQ","BEST_FPERIOD_OVERRIDE=FQ","FILING_STATUS=OR","EQY_CONSOLIDATED=Y","Sort=A","Dates=H","DateFormat=P","Fill=—","Direction=H","UseDPDF=Y")</f>
        <v>#NAME?</v>
      </c>
      <c r="AW136" s="2" t="e">
        <f ca="1">_xll.BDH($C$128,"MODIFIED_WORKING_CPTL_5YR_GRWTH","FQ3 2015","FQ3 2015","Currency=INR","Period=FQ","BEST_FPERIOD_OVERRIDE=FQ","FILING_STATUS=OR","EQY_CONSOLIDATED=Y","Sort=A","Dates=H","DateFormat=P","Fill=—","Direction=H","UseDPDF=Y")</f>
        <v>#NAME?</v>
      </c>
      <c r="AX136" s="2" t="e">
        <f ca="1">_xll.BDH($C$128,"WORKING_CAPITAL_5_YEAR_GROWTH","FQ3 2015","FQ3 2015","Currency=INR","Period=FQ","BEST_FPERIOD_OVERRIDE=FQ","FILING_STATUS=OR","EQY_CONSOLIDATED=Y","Sort=A","Dates=H","DateFormat=P","Fill=—","Direction=H","UseDPDF=Y")</f>
        <v>#NAME?</v>
      </c>
      <c r="AY136" s="2" t="e">
        <f ca="1">_xll.BDH($C$128,"ACCOUNTS_PAYABLE_5_YEAR_GROWTH","FQ3 2015","FQ3 2015","Currency=INR","Period=FQ","BEST_FPERIOD_OVERRIDE=FQ","FILING_STATUS=OR","EQY_CONSOLIDATED=Y","Sort=A","Dates=H","DateFormat=P","Fill=—","Direction=H","UseDPDF=Y")</f>
        <v>#NAME?</v>
      </c>
      <c r="AZ136" s="2" t="e">
        <f ca="1">_xll.BDH($C$128,"SHORT_TERM_DEBT_5_YEAR_GROWTH","FQ3 2015","FQ3 2015","Currency=INR","Period=FQ","BEST_FPERIOD_OVERRIDE=FQ","FILING_STATUS=OR","EQY_CONSOLIDATED=Y","Sort=A","Dates=H","DateFormat=P","Fill=—","Direction=H","UseDPDF=Y")</f>
        <v>#NAME?</v>
      </c>
      <c r="BA136" s="2" t="e">
        <f ca="1">_xll.BDH($C$128,"TOTAL_DEBT_5_YEAR_GROWTH","FQ3 2015","FQ3 2015","Currency=INR","Period=FQ","BEST_FPERIOD_OVERRIDE=FQ","FILING_STATUS=OR","EQY_CONSOLIDATED=Y","Sort=A","Dates=H","DateFormat=P","Fill=—","Direction=H","UseDPDF=Y")</f>
        <v>#NAME?</v>
      </c>
      <c r="BB136" s="2" t="e">
        <f ca="1">_xll.BDH($C$128,"GEO_GROW_TOT_SHRHLDR_EQY","FQ3 2015","FQ3 2015","Currency=INR","Period=FQ","BEST_FPERIOD_OVERRIDE=FQ","FILING_STATUS=OR","EQY_CONSOLIDATED=Y","Sort=A","Dates=H","DateFormat=P","Fill=—","Direction=H","UseDPDF=Y")</f>
        <v>#NAME?</v>
      </c>
      <c r="BC136" s="2" t="e">
        <f ca="1">_xll.BDH($C$128,"TOTAL_CAPITAL_5_YEAR_GROWTH","FQ3 2015","FQ3 2015","Currency=INR","Period=FQ","BEST_FPERIOD_OVERRIDE=FQ","FILING_STATUS=OR","EQY_CONSOLIDATED=Y","Sort=A","Dates=H","DateFormat=P","Fill=—","Direction=H","UseDPDF=Y")</f>
        <v>#NAME?</v>
      </c>
      <c r="BD136" s="2" t="e">
        <f ca="1">_xll.BDH($C$128,"GEO_GROW_BOOK_VAL","FQ3 2015","FQ3 2015","Currency=INR","Period=FQ","BEST_FPERIOD_OVERRIDE=FQ","FILING_STATUS=OR","EQY_CONSOLIDATED=Y","Sort=A","Dates=H","DateFormat=P","Fill=—","Direction=H","UseDPDF=Y")</f>
        <v>#NAME?</v>
      </c>
      <c r="BE136" s="2" t="e">
        <f ca="1">_xll.BDH($C$128,"GEO_GROW_CASH_OPER_ACT","FQ3 2015","FQ3 2015","Currency=INR","Period=FQ","BEST_FPERIOD_OVERRIDE=FQ","FILING_STATUS=OR","EQY_CONSOLIDATED=Y","Sort=A","Dates=H","DateFormat=P","Fill=—","Direction=H","UseDPDF=Y")</f>
        <v>#NAME?</v>
      </c>
      <c r="BF136" s="2" t="e">
        <f ca="1">_xll.BDH($C$128,"REVENUE_SEQUENTIAL_GROWTH","FQ3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36" s="2" t="e">
        <f ca="1">_xll.BDH($C$128,"EBITDA_SEQUENTIAL_GROWTH","FQ3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36" s="2" t="e">
        <f ca="1">_xll.BDH($C$128,"OPERATING_INCOME_SEQ_GROWTH","FQ3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36" s="2" t="e">
        <f ca="1">_xll.BDH($C$128,"NET_INCOME_TO_COMMON_SEQ_GROWTH","FQ3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36" s="2" t="e">
        <f ca="1">_xll.BDH($C$128,"EPS_DILUTED_SEQUENTIAL_GROWTH","FQ3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36" s="2" t="e">
        <f ca="1">_xll.BDH($C$128,"DPS_SEQUENTIAL_GROWTH","FQ3 2015","FQ3 2015","Currency=INR","Period=FQ","BEST_FPERIOD_OVERRIDE=FQ","FILING_STATUS=OR","EQY_CONSOLIDATED=Y","Sort=A","Dates=H","DateFormat=P","Fill=—","Direction=H","UseDPDF=Y")</f>
        <v>#NAME?</v>
      </c>
      <c r="BL136" s="2" t="e">
        <f ca="1">_xll.BDH($C$128,"ACCOUNTS_RECEIVABLE_SEQ_GROWTH","FQ3 2015","FQ3 2015","Currency=INR","Period=FQ","BEST_FPERIOD_OVERRIDE=FQ","FILING_STATUS=OR","EQY_CONSOLIDATED=Y","Sort=A","Dates=H","DateFormat=P","Fill=—","Direction=H","UseDPDF=Y")</f>
        <v>#NAME?</v>
      </c>
      <c r="BM136" s="2" t="e">
        <f ca="1">_xll.BDH($C$128,"INVENTORY_SEQUENTIAL_GROWTH","FQ3 2015","FQ3 2015","Currency=INR","Period=FQ","BEST_FPERIOD_OVERRIDE=FQ","FILING_STATUS=OR","EQY_CONSOLIDATED=Y","Sort=A","Dates=H","DateFormat=P","Fill=—","Direction=H","UseDPDF=Y")</f>
        <v>#NAME?</v>
      </c>
      <c r="BN136" s="2" t="e">
        <f ca="1">_xll.BDH($C$128,"FIXED_ASSETS_SEQUENTIAL_GROWTH","FQ3 2015","FQ3 2015","Currency=INR","Period=FQ","BEST_FPERIOD_OVERRIDE=FQ","FILING_STATUS=OR","EQY_CONSOLIDATED=Y","Sort=A","Dates=H","DateFormat=P","Fill=—","Direction=H","UseDPDF=Y")</f>
        <v>#NAME?</v>
      </c>
      <c r="BO136" s="2" t="e">
        <f ca="1">_xll.BDH($C$128,"TOTAL_ASSETS_SEQUENTIAL_GROWTH","FQ3 2015","FQ3 2015","Currency=INR","Period=FQ","BEST_FPERIOD_OVERRIDE=FQ","FILING_STATUS=OR","EQY_CONSOLIDATED=Y","Sort=A","Dates=H","DateFormat=P","Fill=—","Direction=H","UseDPDF=Y")</f>
        <v>#NAME?</v>
      </c>
      <c r="BP136" s="2" t="e">
        <f ca="1">_xll.BDH($C$128,"MODIFIED_WORKING_CPTL_SEQ_GRWTH","FQ3 2015","FQ3 2015","Currency=INR","Period=FQ","BEST_FPERIOD_OVERRIDE=FQ","FILING_STATUS=OR","EQY_CONSOLIDATED=Y","Sort=A","Dates=H","DateFormat=P","Fill=—","Direction=H","UseDPDF=Y")</f>
        <v>#NAME?</v>
      </c>
      <c r="BQ136" s="2" t="e">
        <f ca="1">_xll.BDH($C$128,"WORKING_CAPITAL_SEQ_GROWTH","FQ3 2015","FQ3 2015","Currency=INR","Period=FQ","BEST_FPERIOD_OVERRIDE=FQ","FILING_STATUS=OR","EQY_CONSOLIDATED=Y","Sort=A","Dates=H","DateFormat=P","Fill=—","Direction=H","UseDPDF=Y")</f>
        <v>#NAME?</v>
      </c>
      <c r="BR136" s="2" t="e">
        <f ca="1">_xll.BDH($C$128,"ACCOUNTS_PAYABLE_SEQ_GROWTH","FQ3 2015","FQ3 2015","Currency=INR","Period=FQ","BEST_FPERIOD_OVERRIDE=FQ","FILING_STATUS=OR","EQY_CONSOLIDATED=Y","Sort=A","Dates=H","DateFormat=P","Fill=—","Direction=H","UseDPDF=Y")</f>
        <v>#NAME?</v>
      </c>
      <c r="BS136" s="2" t="e">
        <f ca="1">_xll.BDH($C$128,"ST_DEBT_SEQUENTIAL_GROWTH","FQ3 2015","FQ3 2015","Currency=INR","Period=FQ","BEST_FPERIOD_OVERRIDE=FQ","FILING_STATUS=OR","EQY_CONSOLIDATED=Y","Sort=A","Dates=H","DateFormat=P","Fill=—","Direction=H","UseDPDF=Y")</f>
        <v>#NAME?</v>
      </c>
      <c r="BT136" s="2" t="e">
        <f ca="1">_xll.BDH($C$128,"TOTAL_DEBT_SEQUENTIAL_GROWTH","FQ3 2015","FQ3 2015","Currency=INR","Period=FQ","BEST_FPERIOD_OVERRIDE=FQ","FILING_STATUS=OR","EQY_CONSOLIDATED=Y","Sort=A","Dates=H","DateFormat=P","Fill=—","Direction=H","UseDPDF=Y")</f>
        <v>#NAME?</v>
      </c>
      <c r="BU136" s="2" t="e">
        <f ca="1">_xll.BDH($C$128,"TOTAL_EQUITY_SEQUENTIAL_GROWTH","FQ3 2015","FQ3 2015","Currency=INR","Period=FQ","BEST_FPERIOD_OVERRIDE=FQ","FILING_STATUS=OR","EQY_CONSOLIDATED=Y","Sort=A","Dates=H","DateFormat=P","Fill=—","Direction=H","UseDPDF=Y")</f>
        <v>#NAME?</v>
      </c>
      <c r="BV136" s="2" t="e">
        <f ca="1">_xll.BDH($C$128,"TOTAL_CAPITAL_SEQUENTIAL_GROWTH","FQ3 2015","FQ3 2015","Currency=INR","Period=FQ","BEST_FPERIOD_OVERRIDE=FQ","FILING_STATUS=OR","EQY_CONSOLIDATED=Y","Sort=A","Dates=H","DateFormat=P","Fill=—","Direction=H","UseDPDF=Y")</f>
        <v>#NAME?</v>
      </c>
      <c r="BW136" s="2" t="e">
        <f ca="1">_xll.BDH($C$128,"BPS_SEQUENTIAL_GROWTH","FQ3 2015","FQ3 2015","Currency=INR","Period=FQ","BEST_FPERIOD_OVERRIDE=FQ","FILING_STATUS=OR","EQY_CONSOLIDATED=Y","Sort=A","Dates=H","DateFormat=P","Fill=—","Direction=H","UseDPDF=Y")</f>
        <v>#NAME?</v>
      </c>
      <c r="BX136" s="2" t="e">
        <f ca="1">_xll.BDH($C$128,"CFO_SEQUENTIAL_GROWTH","FQ3 2015","FQ3 2015","Currency=INR","Period=FQ","BEST_FPERIOD_OVERRIDE=FQ","FILING_STATUS=OR","EQY_CONSOLIDATED=Y","Sort=A","Dates=H","DateFormat=P","Fill=—","Direction=H","UseDPDF=Y")</f>
        <v>#NAME?</v>
      </c>
      <c r="BY136" s="3" t="e">
        <f ca="1">_xll.BDH($C$128,"SHORT_AND_LONG_TERM_DEBT","FQ3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36" s="3" t="e">
        <f ca="1">_xll.BDH($C$128,"BS_ST_BORROW","FQ3 2015","FQ3 2015","Currency=INR","Period=FQ","BEST_FPERIOD_OVERRIDE=FQ","FILING_STATUS=OR","EQY_CONSOLIDATED=Y","SCALING_FORMAT=MLN","Sort=A","Dates=H","DateFormat=P","Fill=—","Direction=H","UseDPDF=Y")</f>
        <v>#NAME?</v>
      </c>
      <c r="CA136" s="3" t="e">
        <f ca="1">_xll.BDH($C$128,"BS_LT_BORROW","FQ3 2015","FQ3 2015","Currency=INR","Period=FQ","BEST_FPERIOD_OVERRIDE=FQ","FILING_STATUS=OR","EQY_CONSOLIDATED=Y","SCALING_FORMAT=MLN","Sort=A","Dates=H","DateFormat=P","Fill=—","Direction=H","UseDPDF=Y")</f>
        <v>#NAME?</v>
      </c>
      <c r="CB136" s="2" t="e">
        <f ca="1">_xll.BDH($C$128,"TOT_DEBT_TO_EBITDA","FQ3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36" s="2" t="e">
        <f ca="1">_xll.BDH($C$128,"NET_DEBT_TO_EBITDA","FQ3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36" s="2" t="e">
        <f ca="1">_xll.BDH($C$128,"TOTAL_DEBT_TO_EBIT","FQ3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36" s="2" t="e">
        <f ca="1">_xll.BDH($C$128,"NET_DEBT_TO_EBIT","FQ3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36" s="2" t="e">
        <f ca="1">_xll.BDH($C$128,"EBITDA_TO_INTEREST_EXPN","FQ3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36" s="2" t="e">
        <f ca="1">_xll.BDH($C$128,"COM_EQY_TO_TOT_ASSET","FQ3 2015","FQ3 2015","Currency=INR","Period=FQ","BEST_FPERIOD_OVERRIDE=FQ","FILING_STATUS=OR","EQY_CONSOLIDATED=Y","Sort=A","Dates=H","DateFormat=P","Fill=—","Direction=H","UseDPDF=Y")</f>
        <v>#NAME?</v>
      </c>
      <c r="CH136" s="2" t="e">
        <f ca="1">_xll.BDH($C$128,"LT_DEBT_TO_TOT_EQY","FQ3 2015","FQ3 2015","Currency=INR","Period=FQ","BEST_FPERIOD_OVERRIDE=FQ","FILING_STATUS=OR","EQY_CONSOLIDATED=Y","Sort=A","Dates=H","DateFormat=P","Fill=—","Direction=H","UseDPDF=Y")</f>
        <v>#NAME?</v>
      </c>
      <c r="CI136" s="2" t="e">
        <f ca="1">_xll.BDH($C$128,"LT_DEBT_TO_TOT_CAP","FQ3 2015","FQ3 2015","Currency=INR","Period=FQ","BEST_FPERIOD_OVERRIDE=FQ","FILING_STATUS=OR","EQY_CONSOLIDATED=Y","Sort=A","Dates=H","DateFormat=P","Fill=—","Direction=H","UseDPDF=Y")</f>
        <v>#NAME?</v>
      </c>
      <c r="CJ136" s="2" t="e">
        <f ca="1">_xll.BDH($C$128,"LT_DEBT_TO_TOT_ASSET","FQ3 2015","FQ3 2015","Currency=INR","Period=FQ","BEST_FPERIOD_OVERRIDE=FQ","FILING_STATUS=OR","EQY_CONSOLIDATED=Y","Sort=A","Dates=H","DateFormat=P","Fill=—","Direction=H","UseDPDF=Y")</f>
        <v>#NAME?</v>
      </c>
      <c r="CK136" s="2" t="e">
        <f ca="1">_xll.BDH($C$128,"TOT_DEBT_TO_TOT_EQY","FQ3 2015","FQ3 2015","Currency=INR","Period=FQ","BEST_FPERIOD_OVERRIDE=FQ","FILING_STATUS=OR","EQY_CONSOLIDATED=Y","Sort=A","Dates=H","DateFormat=P","Fill=—","Direction=H","UseDPDF=Y")</f>
        <v>#NAME?</v>
      </c>
      <c r="CL136" s="2" t="e">
        <f ca="1">_xll.BDH($C$128,"TOT_DEBT_TO_TOT_CAP","FQ3 2015","FQ3 2015","Currency=INR","Period=FQ","BEST_FPERIOD_OVERRIDE=FQ","FILING_STATUS=OR","EQY_CONSOLIDATED=Y","Sort=A","Dates=H","DateFormat=P","Fill=—","Direction=H","UseDPDF=Y")</f>
        <v>#NAME?</v>
      </c>
      <c r="CM136" s="2" t="e">
        <f ca="1">_xll.BDH($C$128,"TOT_DEBT_TO_TOT_ASSET","FQ3 2015","FQ3 2015","Currency=INR","Period=FQ","BEST_FPERIOD_OVERRIDE=FQ","FILING_STATUS=OR","EQY_CONSOLIDATED=Y","Sort=A","Dates=H","DateFormat=P","Fill=—","Direction=H","UseDPDF=Y")</f>
        <v>#NAME?</v>
      </c>
      <c r="CN136" s="2" t="e">
        <f ca="1">_xll.BDH($C$128,"NET_DEBT_TO_SHRHLDR_EQTY","FQ3 2015","FQ3 2015","Currency=INR","Period=FQ","BEST_FPERIOD_OVERRIDE=FQ","FILING_STATUS=OR","EQY_CONSOLIDATED=Y","Sort=A","Dates=H","DateFormat=P","Fill=—","Direction=H","UseDPDF=Y")</f>
        <v>#NAME?</v>
      </c>
      <c r="CO136" s="2" t="e">
        <f ca="1">_xll.BDH($C$128,"NET_DEBT_%_CAPITAL","FQ3 2015","FQ3 2015","Currency=INR","Period=FQ","BEST_FPERIOD_OVERRIDE=FQ","FILING_STATUS=OR","EQY_CONSOLIDATED=Y","Sort=A","Dates=H","DateFormat=P","Fill=—","Direction=H","UseDPDF=Y")</f>
        <v>#NAME?</v>
      </c>
      <c r="CP136" s="3" t="e">
        <f ca="1">_xll.BDH($C$128,"EBITDA","FQ3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36" s="3" t="e">
        <f ca="1">_xll.BDH($C$128,"EBITDA_AFTER_CAPEX","FQ3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36" s="3" t="e">
        <f ca="1">_xll.BDH($C$128,"IS_OPER_INC","FQ3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36" s="2" t="e">
        <f ca="1">_xll.BDH($C$128,"CASH_RATIO","FQ3 2015","FQ3 2015","Currency=INR","Period=FQ","BEST_FPERIOD_OVERRIDE=FQ","FILING_STATUS=OR","EQY_CONSOLIDATED=Y","Sort=A","Dates=H","DateFormat=P","Fill=—","Direction=H","UseDPDF=Y")</f>
        <v>#NAME?</v>
      </c>
      <c r="CT136" s="2" t="e">
        <f ca="1">_xll.BDH($C$128,"CUR_RATIO","FQ3 2015","FQ3 2015","Currency=INR","Period=FQ","BEST_FPERIOD_OVERRIDE=FQ","FILING_STATUS=OR","EQY_CONSOLIDATED=Y","Sort=A","Dates=H","DateFormat=P","Fill=—","Direction=H","UseDPDF=Y")</f>
        <v>#NAME?</v>
      </c>
      <c r="CU136" s="2" t="e">
        <f ca="1">_xll.BDH($C$128,"QUICK_RATIO","FQ3 2015","FQ3 2015","Currency=INR","Period=FQ","BEST_FPERIOD_OVERRIDE=FQ","FILING_STATUS=OR","EQY_CONSOLIDATED=Y","Sort=A","Dates=H","DateFormat=P","Fill=—","Direction=H","UseDPDF=Y")</f>
        <v>#NAME?</v>
      </c>
      <c r="CV136" s="2" t="e">
        <f ca="1">_xll.BDH($C$128,"ALTMAN_Z_SCORE","FQ3 2015","FQ3 2015","Currency=INR","Period=FQ","BEST_FPERIOD_OVERRIDE=FQ","FILING_STATUS=OR","EQY_CONSOLIDATED=Y","Sort=A","Dates=H","DateFormat=P","Fill=—","Direction=H","UseDPDF=Y")</f>
        <v>#NAME?</v>
      </c>
      <c r="CW136" s="4" t="e">
        <f ca="1">_xll.BDH($C$128,"ACCT_RCV_TURN","FQ3 2015","FQ3 2015","Currency=INR","Period=FQ","BEST_FPERIOD_OVERRIDE=FQ","FILING_STATUS=OR","EQY_CONSOLIDATED=Y","FA_ADJUSTED=GAAP","Sort=A","Dates=H","DateFormat=P","Fill=—","Direction=H","UseDPDF=Y")</f>
        <v>#NAME?</v>
      </c>
      <c r="CX136" s="2" t="e">
        <f ca="1">_xll.BDH($C$128,"ACCT_RCV_DAYS","FQ3 2015","FQ3 2015","Currency=INR","Period=FQ","BEST_FPERIOD_OVERRIDE=FQ","FILING_STATUS=OR","EQY_CONSOLIDATED=Y","FA_ADJUSTED=GAAP","Sort=A","Dates=H","DateFormat=P","Fill=—","Direction=H","UseDPDF=Y")</f>
        <v>#NAME?</v>
      </c>
      <c r="CY136" s="4" t="e">
        <f ca="1">_xll.BDH($C$128,"INVENT_TURN","FQ3 2015","FQ3 2015","Currency=INR","Period=FQ","BEST_FPERIOD_OVERRIDE=FQ","FILING_STATUS=OR","EQY_CONSOLIDATED=Y","FA_ADJUSTED=GAAP","Sort=A","Dates=H","DateFormat=P","Fill=—","Direction=H","UseDPDF=Y")</f>
        <v>#NAME?</v>
      </c>
      <c r="CZ136" s="2" t="e">
        <f ca="1">_xll.BDH($C$128,"INVENT_DAYS","FQ3 2015","FQ3 2015","Currency=INR","Period=FQ","BEST_FPERIOD_OVERRIDE=FQ","FILING_STATUS=OR","EQY_CONSOLIDATED=Y","FA_ADJUSTED=GAAP","Sort=A","Dates=H","DateFormat=P","Fill=—","Direction=H","UseDPDF=Y")</f>
        <v>#NAME?</v>
      </c>
      <c r="DA136" s="4" t="e">
        <f ca="1">_xll.BDH($C$128,"ACCOUNTS_PAYABLE_TURNOVER","FQ3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36" s="2" t="e">
        <f ca="1">_xll.BDH($C$128,"ACCOUNTS_PAYABLE_TURNOVER_DAYS","FQ3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36" s="4" t="e">
        <f ca="1">_xll.BDH($C$128,"CASH_CONVERSION_CYCLE","FQ3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36" s="4" t="e">
        <f ca="1">_xll.BDH($C$128,"INV_TO_CASH_DAYS","FQ3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36" s="5" t="e">
        <f ca="1">_xll.BDH($C$128,"BS_INVENTORIES","FQ3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36" s="3" t="e">
        <f ca="1">_xll.BDH($C$128,"INVTRY_RAW_MATERIALS","FQ3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36" s="3" t="e">
        <f ca="1">_xll.BDH($C$128,"INVTRY_IN_PROGRESS","FQ3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36" s="3" t="e">
        <f ca="1">_xll.BDH($C$128,"INVTRY_FINISHED_GOODS","FQ3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36" s="3" t="e">
        <f ca="1">_xll.BDH($C$128,"BS_OTHER_INV","FQ3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37" spans="1:113" x14ac:dyDescent="0.3">
      <c r="A137" s="6"/>
      <c r="B137" s="6"/>
      <c r="C137" s="6"/>
      <c r="D137" s="6"/>
      <c r="E137" t="s">
        <v>81</v>
      </c>
      <c r="F137" t="e">
        <f ca="1">_xll.BDH($C$128,"RETURN_COM_EQY","FQ4 2015","FQ4 2015","Currency=INR","Period=FQ","BEST_FPERIOD_OVERRIDE=FQ","FILING_STATUS=OR","EQY_CONSOLIDATED=Y","FA_ADJUSTED=GAAP","Sort=A","Dates=H","DateFormat=P","Fill=—","Direction=H","UseDPDF=Y")</f>
        <v>#NAME?</v>
      </c>
      <c r="G137" t="e">
        <f ca="1">_xll.BDH($C$128,"RETURN_ON_ASSET","FQ4 2015","FQ4 2015","Currency=INR","Period=FQ","BEST_FPERIOD_OVERRIDE=FQ","FILING_STATUS=OR","EQY_CONSOLIDATED=Y","FA_ADJUSTED=GAAP","Sort=A","Dates=H","DateFormat=P","Fill=—","Direction=H","UseDPDF=Y")</f>
        <v>#NAME?</v>
      </c>
      <c r="H137" t="e">
        <f ca="1">_xll.BDH($C$128,"RETURN_ON_CAP","FQ4 2015","FQ4 2015","Currency=INR","Period=FQ","BEST_FPERIOD_OVERRIDE=FQ","FILING_STATUS=OR","EQY_CONSOLIDATED=Y","FA_ADJUSTED=GAAP","Sort=A","Dates=H","DateFormat=P","Fill=—","Direction=H","UseDPDF=Y")</f>
        <v>#NAME?</v>
      </c>
      <c r="I137" t="e">
        <f ca="1">_xll.BDH($C$128,"RETURN_ON_INV_CAPITAL","FQ4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37" t="e">
        <f ca="1">_xll.BDH($C$128,"EBITDA_TO_REVENUE","FQ4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37" t="e">
        <f ca="1">_xll.BDH($C$128,"OPER_MARGIN","FQ4 2015","FQ4 2015","Currency=INR","Period=FQ","BEST_FPERIOD_OVERRIDE=FQ","FILING_STATUS=OR","EQY_CONSOLIDATED=Y","FA_ADJUSTED=GAAP","Sort=A","Dates=H","DateFormat=P","Fill=—","Direction=H","UseDPDF=Y")</f>
        <v>#NAME?</v>
      </c>
      <c r="L137" t="e">
        <f ca="1">_xll.BDH($C$128,"INCREMENTAL_OPERATING_MARGIN","FQ4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37" t="e">
        <f ca="1">_xll.BDH($C$128,"PRETAX_INC_TO_NET_SALES","FQ4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37" t="e">
        <f ca="1">_xll.BDH($C$128,"INC_BEF_XO_ITEMS_TO_NET_SALES","FQ4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37" t="e">
        <f ca="1">_xll.BDH($C$128,"PROF_MARGIN","FQ4 2015","FQ4 2015","Currency=INR","Period=FQ","BEST_FPERIOD_OVERRIDE=FQ","FILING_STATUS=OR","EQY_CONSOLIDATED=Y","FA_ADJUSTED=GAAP","Sort=A","Dates=H","DateFormat=P","Fill=—","Direction=H","UseDPDF=Y")</f>
        <v>#NAME?</v>
      </c>
      <c r="P137" t="e">
        <f ca="1">_xll.BDH($C$128,"NET_INCOME_TO_COMMON_MARGIN","FQ4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37" t="e">
        <f ca="1">_xll.BDH($C$128,"EFF_TAX_RATE","FQ4 2015","FQ4 2015","Currency=INR","Period=FQ","BEST_FPERIOD_OVERRIDE=FQ","FILING_STATUS=OR","EQY_CONSOLIDATED=Y","FA_ADJUSTED=GAAP","Sort=A","Dates=H","DateFormat=P","Fill=—","Direction=H","UseDPDF=Y")</f>
        <v>#NAME?</v>
      </c>
      <c r="R137" t="e">
        <f ca="1">_xll.BDH($C$128,"DVD_PAYOUT_RATIO","FQ4 2015","FQ4 2015","Currency=INR","Period=FQ","BEST_FPERIOD_OVERRIDE=FQ","FILING_STATUS=OR","EQY_CONSOLIDATED=Y","FA_ADJUSTED=GAAP","Sort=A","Dates=H","DateFormat=P","Fill=—","Direction=H","UseDPDF=Y")</f>
        <v>#NAME?</v>
      </c>
      <c r="S137" t="e">
        <f ca="1">_xll.BDH($C$128,"SUSTAIN_GROWTH_RT","FQ4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37" s="2" t="e">
        <f ca="1">_xll.BDH($C$128,"SALES_GROWTH","FQ4 2015","FQ4 2015","Currency=INR","Period=FQ","BEST_FPERIOD_OVERRIDE=FQ","FILING_STATUS=OR","EQY_CONSOLIDATED=Y","FA_ADJUSTED=GAAP","Sort=A","Dates=H","DateFormat=P","Fill=—","Direction=H","UseDPDF=Y")</f>
        <v>#NAME?</v>
      </c>
      <c r="U137" s="2" t="e">
        <f ca="1">_xll.BDH($C$128,"EBITDA_GROWTH","FQ4 2015","FQ4 2015","Currency=INR","Period=FQ","BEST_FPERIOD_OVERRIDE=FQ","FILING_STATUS=OR","EQY_CONSOLIDATED=Y","FA_ADJUSTED=GAAP","Sort=A","Dates=H","DateFormat=P","Fill=—","Direction=H","UseDPDF=Y")</f>
        <v>#NAME?</v>
      </c>
      <c r="V137" s="2" t="e">
        <f ca="1">_xll.BDH($C$128,"OPER_INC_GROWTH","FQ4 2015","FQ4 2015","Currency=INR","Period=FQ","BEST_FPERIOD_OVERRIDE=FQ","FILING_STATUS=OR","EQY_CONSOLIDATED=Y","FA_ADJUSTED=GAAP","Sort=A","Dates=H","DateFormat=P","Fill=—","Direction=H","UseDPDF=Y")</f>
        <v>#NAME?</v>
      </c>
      <c r="W137" s="2" t="e">
        <f ca="1">_xll.BDH($C$128,"EARN_FOR_COM_GROWTH","FQ4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37" s="2" t="e">
        <f ca="1">_xll.BDH($C$128,"DILUTED_EPS_AFT_XO_ITEMS_GROWTH","FQ4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37" s="2" t="e">
        <f ca="1">_xll.BDH($C$128,"DIVIDEND_PER_SHARE_1_YEAR_GROWTH","FQ4 2015","FQ4 2015","Currency=INR","Period=FQ","BEST_FPERIOD_OVERRIDE=FQ","FILING_STATUS=OR","EQY_CONSOLIDATED=Y","Sort=A","Dates=H","DateFormat=P","Fill=—","Direction=H","UseDPDF=Y")</f>
        <v>#NAME?</v>
      </c>
      <c r="Z137" s="2" t="e">
        <f ca="1">_xll.BDH($C$128,"ACCOUNTS_RECEIVABLE_GROWTH","FQ4 2015","FQ4 2015","Currency=INR","Period=FQ","BEST_FPERIOD_OVERRIDE=FQ","FILING_STATUS=OR","EQY_CONSOLIDATED=Y","Sort=A","Dates=H","DateFormat=P","Fill=—","Direction=H","UseDPDF=Y")</f>
        <v>#NAME?</v>
      </c>
      <c r="AA137" s="2" t="e">
        <f ca="1">_xll.BDH($C$128,"INVENTORY_GROWTH","FQ4 2015","FQ4 2015","Currency=INR","Period=FQ","BEST_FPERIOD_OVERRIDE=FQ","FILING_STATUS=OR","EQY_CONSOLIDATED=Y","Sort=A","Dates=H","DateFormat=P","Fill=—","Direction=H","UseDPDF=Y")</f>
        <v>#NAME?</v>
      </c>
      <c r="AB137" s="2" t="e">
        <f ca="1">_xll.BDH($C$128,"NET_FIXED_ASSETS_1_YEAR_GROWTH","FQ4 2015","FQ4 2015","Currency=INR","Period=FQ","BEST_FPERIOD_OVERRIDE=FQ","FILING_STATUS=OR","EQY_CONSOLIDATED=Y","Sort=A","Dates=H","DateFormat=P","Fill=—","Direction=H","UseDPDF=Y")</f>
        <v>#NAME?</v>
      </c>
      <c r="AC137" s="2" t="e">
        <f ca="1">_xll.BDH($C$128,"ASSET_GROWTH","FQ4 2015","FQ4 2015","Currency=INR","Period=FQ","BEST_FPERIOD_OVERRIDE=FQ","FILING_STATUS=OR","EQY_CONSOLIDATED=Y","Sort=A","Dates=H","DateFormat=P","Fill=—","Direction=H","UseDPDF=Y")</f>
        <v>#NAME?</v>
      </c>
      <c r="AD137" s="2" t="e">
        <f ca="1">_xll.BDH($C$128,"MODIFIED_WORK_CAP_GROWTH","FQ4 2015","FQ4 2015","Currency=INR","Period=FQ","BEST_FPERIOD_OVERRIDE=FQ","FILING_STATUS=OR","EQY_CONSOLIDATED=Y","Sort=A","Dates=H","DateFormat=P","Fill=—","Direction=H","UseDPDF=Y")</f>
        <v>#NAME?</v>
      </c>
      <c r="AE137" s="2" t="e">
        <f ca="1">_xll.BDH($C$128,"WORK_CAP_GROWTH","FQ4 2015","FQ4 2015","Currency=INR","Period=FQ","BEST_FPERIOD_OVERRIDE=FQ","FILING_STATUS=OR","EQY_CONSOLIDATED=Y","Sort=A","Dates=H","DateFormat=P","Fill=—","Direction=H","UseDPDF=Y")</f>
        <v>#NAME?</v>
      </c>
      <c r="AF137" s="2" t="e">
        <f ca="1">_xll.BDH($C$128,"ACCOUNTS_PAYABLE_GROWTH_1YR","FQ4 2015","FQ4 2015","Currency=INR","Period=FQ","BEST_FPERIOD_OVERRIDE=FQ","FILING_STATUS=OR","EQY_CONSOLIDATED=Y","Sort=A","Dates=H","DateFormat=P","Fill=—","Direction=H","UseDPDF=Y")</f>
        <v>#NAME?</v>
      </c>
      <c r="AG137" s="2" t="e">
        <f ca="1">_xll.BDH($C$128,"SHORT_TERM_DEBT_1_YEAR_GROWTH","FQ4 2015","FQ4 2015","Currency=INR","Period=FQ","BEST_FPERIOD_OVERRIDE=FQ","FILING_STATUS=OR","EQY_CONSOLIDATED=Y","Sort=A","Dates=H","DateFormat=P","Fill=—","Direction=H","UseDPDF=Y")</f>
        <v>#NAME?</v>
      </c>
      <c r="AH137" s="2" t="e">
        <f ca="1">_xll.BDH($C$128,"TOTAL_DEBT_1_YEAR_GROWTH","FQ4 2015","FQ4 2015","Currency=INR","Period=FQ","BEST_FPERIOD_OVERRIDE=FQ","FILING_STATUS=OR","EQY_CONSOLIDATED=Y","Sort=A","Dates=H","DateFormat=P","Fill=—","Direction=H","UseDPDF=Y")</f>
        <v>#NAME?</v>
      </c>
      <c r="AI137" s="2" t="e">
        <f ca="1">_xll.BDH($C$128,"TOTAL_EQUITY_1_YEAR_GROWTH","FQ4 2015","FQ4 2015","Currency=INR","Period=FQ","BEST_FPERIOD_OVERRIDE=FQ","FILING_STATUS=OR","EQY_CONSOLIDATED=Y","Sort=A","Dates=H","DateFormat=P","Fill=—","Direction=H","UseDPDF=Y")</f>
        <v>#NAME?</v>
      </c>
      <c r="AJ137" s="2" t="e">
        <f ca="1">_xll.BDH($C$128,"GROWTH_IN_CAP","FQ4 2015","FQ4 2015","Currency=INR","Period=FQ","BEST_FPERIOD_OVERRIDE=FQ","FILING_STATUS=OR","EQY_CONSOLIDATED=Y","Sort=A","Dates=H","DateFormat=P","Fill=—","Direction=H","UseDPDF=Y")</f>
        <v>#NAME?</v>
      </c>
      <c r="AK137" s="2" t="e">
        <f ca="1">_xll.BDH($C$128,"BVPS_GROWTH","FQ4 2015","FQ4 2015","Currency=INR","Period=FQ","BEST_FPERIOD_OVERRIDE=FQ","FILING_STATUS=OR","EQY_CONSOLIDATED=Y","Sort=A","Dates=H","DateFormat=P","Fill=—","Direction=H","UseDPDF=Y")</f>
        <v>#NAME?</v>
      </c>
      <c r="AL137" s="2" t="e">
        <f ca="1">_xll.BDH($C$128,"CASH_FLOW_GROWTH","FQ4 2015","FQ4 2015","Currency=INR","Period=FQ","BEST_FPERIOD_OVERRIDE=FQ","FILING_STATUS=OR","EQY_CONSOLIDATED=Y","Sort=A","Dates=H","DateFormat=P","Fill=—","Direction=H","UseDPDF=Y")</f>
        <v>#NAME?</v>
      </c>
      <c r="AM137" s="2" t="e">
        <f ca="1">_xll.BDH($C$128,"GEO_GROW_NET_SALES","FQ4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37" s="2" t="e">
        <f ca="1">_xll.BDH($C$128,"GEO_GROW_EBITDA","FQ4 2015","FQ4 2015","Currency=INR","Period=FQ","BEST_FPERIOD_OVERRIDE=FQ","FILING_STATUS=OR","EQY_CONSOLIDATED=Y","FA_ADJUSTED=GAAP","Sort=A","Dates=H","DateFormat=P","Fill=—","Direction=H","UseDPDF=Y")</f>
        <v>#NAME?</v>
      </c>
      <c r="AO137" s="2" t="e">
        <f ca="1">_xll.BDH($C$128,"GEO_GROW_OPER_INC","FQ4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37" s="2" t="e">
        <f ca="1">_xll.BDH($C$128,"NET_INCOME_TO_COMMON_5_YR_GROWTH","FQ4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37" s="2" t="e">
        <f ca="1">_xll.BDH($C$128,"5Y_GEO_GROWTH_DILUTED_EPS","FQ4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37" s="2" t="e">
        <f ca="1">_xll.BDH($C$128,"GEO_GROW_DVD_PER_SH","FQ4 2015","FQ4 2015","Currency=INR","Period=FQ","BEST_FPERIOD_OVERRIDE=FQ","FILING_STATUS=OR","EQY_CONSOLIDATED=Y","Sort=A","Dates=H","DateFormat=P","Fill=—","Direction=H","UseDPDF=Y")</f>
        <v>#NAME?</v>
      </c>
      <c r="AS137" s="2" t="e">
        <f ca="1">_xll.BDH($C$128,"ACCOUNTS_RECEIVABLE_5_YR_GROWTH","FQ4 2015","FQ4 2015","Currency=INR","Period=FQ","BEST_FPERIOD_OVERRIDE=FQ","FILING_STATUS=OR","EQY_CONSOLIDATED=Y","Sort=A","Dates=H","DateFormat=P","Fill=—","Direction=H","UseDPDF=Y")</f>
        <v>#NAME?</v>
      </c>
      <c r="AT137" s="2" t="e">
        <f ca="1">_xll.BDH($C$128,"INVENTORY_5_YEAR_GROWTH","FQ4 2015","FQ4 2015","Currency=INR","Period=FQ","BEST_FPERIOD_OVERRIDE=FQ","FILING_STATUS=OR","EQY_CONSOLIDATED=Y","Sort=A","Dates=H","DateFormat=P","Fill=—","Direction=H","UseDPDF=Y")</f>
        <v>#NAME?</v>
      </c>
      <c r="AU137" s="2" t="e">
        <f ca="1">_xll.BDH($C$128,"NET_FIXED_ASSETS_5_YEAR_GROWTH","FQ4 2015","FQ4 2015","Currency=INR","Period=FQ","BEST_FPERIOD_OVERRIDE=FQ","FILING_STATUS=OR","EQY_CONSOLIDATED=Y","Sort=A","Dates=H","DateFormat=P","Fill=—","Direction=H","UseDPDF=Y")</f>
        <v>#NAME?</v>
      </c>
      <c r="AV137" s="2" t="e">
        <f ca="1">_xll.BDH($C$128,"GEO_GROW_TOT_ASSET","FQ4 2015","FQ4 2015","Currency=INR","Period=FQ","BEST_FPERIOD_OVERRIDE=FQ","FILING_STATUS=OR","EQY_CONSOLIDATED=Y","Sort=A","Dates=H","DateFormat=P","Fill=—","Direction=H","UseDPDF=Y")</f>
        <v>#NAME?</v>
      </c>
      <c r="AW137" s="2" t="e">
        <f ca="1">_xll.BDH($C$128,"MODIFIED_WORKING_CPTL_5YR_GRWTH","FQ4 2015","FQ4 2015","Currency=INR","Period=FQ","BEST_FPERIOD_OVERRIDE=FQ","FILING_STATUS=OR","EQY_CONSOLIDATED=Y","Sort=A","Dates=H","DateFormat=P","Fill=—","Direction=H","UseDPDF=Y")</f>
        <v>#NAME?</v>
      </c>
      <c r="AX137" s="2" t="e">
        <f ca="1">_xll.BDH($C$128,"WORKING_CAPITAL_5_YEAR_GROWTH","FQ4 2015","FQ4 2015","Currency=INR","Period=FQ","BEST_FPERIOD_OVERRIDE=FQ","FILING_STATUS=OR","EQY_CONSOLIDATED=Y","Sort=A","Dates=H","DateFormat=P","Fill=—","Direction=H","UseDPDF=Y")</f>
        <v>#NAME?</v>
      </c>
      <c r="AY137" s="2" t="e">
        <f ca="1">_xll.BDH($C$128,"ACCOUNTS_PAYABLE_5_YEAR_GROWTH","FQ4 2015","FQ4 2015","Currency=INR","Period=FQ","BEST_FPERIOD_OVERRIDE=FQ","FILING_STATUS=OR","EQY_CONSOLIDATED=Y","Sort=A","Dates=H","DateFormat=P","Fill=—","Direction=H","UseDPDF=Y")</f>
        <v>#NAME?</v>
      </c>
      <c r="AZ137" s="2" t="e">
        <f ca="1">_xll.BDH($C$128,"SHORT_TERM_DEBT_5_YEAR_GROWTH","FQ4 2015","FQ4 2015","Currency=INR","Period=FQ","BEST_FPERIOD_OVERRIDE=FQ","FILING_STATUS=OR","EQY_CONSOLIDATED=Y","Sort=A","Dates=H","DateFormat=P","Fill=—","Direction=H","UseDPDF=Y")</f>
        <v>#NAME?</v>
      </c>
      <c r="BA137" s="2" t="e">
        <f ca="1">_xll.BDH($C$128,"TOTAL_DEBT_5_YEAR_GROWTH","FQ4 2015","FQ4 2015","Currency=INR","Period=FQ","BEST_FPERIOD_OVERRIDE=FQ","FILING_STATUS=OR","EQY_CONSOLIDATED=Y","Sort=A","Dates=H","DateFormat=P","Fill=—","Direction=H","UseDPDF=Y")</f>
        <v>#NAME?</v>
      </c>
      <c r="BB137" s="2" t="e">
        <f ca="1">_xll.BDH($C$128,"GEO_GROW_TOT_SHRHLDR_EQY","FQ4 2015","FQ4 2015","Currency=INR","Period=FQ","BEST_FPERIOD_OVERRIDE=FQ","FILING_STATUS=OR","EQY_CONSOLIDATED=Y","Sort=A","Dates=H","DateFormat=P","Fill=—","Direction=H","UseDPDF=Y")</f>
        <v>#NAME?</v>
      </c>
      <c r="BC137" s="2" t="e">
        <f ca="1">_xll.BDH($C$128,"TOTAL_CAPITAL_5_YEAR_GROWTH","FQ4 2015","FQ4 2015","Currency=INR","Period=FQ","BEST_FPERIOD_OVERRIDE=FQ","FILING_STATUS=OR","EQY_CONSOLIDATED=Y","Sort=A","Dates=H","DateFormat=P","Fill=—","Direction=H","UseDPDF=Y")</f>
        <v>#NAME?</v>
      </c>
      <c r="BD137" s="2" t="e">
        <f ca="1">_xll.BDH($C$128,"GEO_GROW_BOOK_VAL","FQ4 2015","FQ4 2015","Currency=INR","Period=FQ","BEST_FPERIOD_OVERRIDE=FQ","FILING_STATUS=OR","EQY_CONSOLIDATED=Y","Sort=A","Dates=H","DateFormat=P","Fill=—","Direction=H","UseDPDF=Y")</f>
        <v>#NAME?</v>
      </c>
      <c r="BE137" s="2" t="e">
        <f ca="1">_xll.BDH($C$128,"GEO_GROW_CASH_OPER_ACT","FQ4 2015","FQ4 2015","Currency=INR","Period=FQ","BEST_FPERIOD_OVERRIDE=FQ","FILING_STATUS=OR","EQY_CONSOLIDATED=Y","Sort=A","Dates=H","DateFormat=P","Fill=—","Direction=H","UseDPDF=Y")</f>
        <v>#NAME?</v>
      </c>
      <c r="BF137" s="2" t="e">
        <f ca="1">_xll.BDH($C$128,"REVENUE_SEQUENTIAL_GROWTH","FQ4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37" s="2" t="e">
        <f ca="1">_xll.BDH($C$128,"EBITDA_SEQUENTIAL_GROWTH","FQ4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37" s="2" t="e">
        <f ca="1">_xll.BDH($C$128,"OPERATING_INCOME_SEQ_GROWTH","FQ4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37" s="2" t="e">
        <f ca="1">_xll.BDH($C$128,"NET_INCOME_TO_COMMON_SEQ_GROWTH","FQ4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37" s="2" t="e">
        <f ca="1">_xll.BDH($C$128,"EPS_DILUTED_SEQUENTIAL_GROWTH","FQ4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37" s="2" t="e">
        <f ca="1">_xll.BDH($C$128,"DPS_SEQUENTIAL_GROWTH","FQ4 2015","FQ4 2015","Currency=INR","Period=FQ","BEST_FPERIOD_OVERRIDE=FQ","FILING_STATUS=OR","EQY_CONSOLIDATED=Y","Sort=A","Dates=H","DateFormat=P","Fill=—","Direction=H","UseDPDF=Y")</f>
        <v>#NAME?</v>
      </c>
      <c r="BL137" s="2" t="e">
        <f ca="1">_xll.BDH($C$128,"ACCOUNTS_RECEIVABLE_SEQ_GROWTH","FQ4 2015","FQ4 2015","Currency=INR","Period=FQ","BEST_FPERIOD_OVERRIDE=FQ","FILING_STATUS=OR","EQY_CONSOLIDATED=Y","Sort=A","Dates=H","DateFormat=P","Fill=—","Direction=H","UseDPDF=Y")</f>
        <v>#NAME?</v>
      </c>
      <c r="BM137" s="2" t="e">
        <f ca="1">_xll.BDH($C$128,"INVENTORY_SEQUENTIAL_GROWTH","FQ4 2015","FQ4 2015","Currency=INR","Period=FQ","BEST_FPERIOD_OVERRIDE=FQ","FILING_STATUS=OR","EQY_CONSOLIDATED=Y","Sort=A","Dates=H","DateFormat=P","Fill=—","Direction=H","UseDPDF=Y")</f>
        <v>#NAME?</v>
      </c>
      <c r="BN137" s="2" t="e">
        <f ca="1">_xll.BDH($C$128,"FIXED_ASSETS_SEQUENTIAL_GROWTH","FQ4 2015","FQ4 2015","Currency=INR","Period=FQ","BEST_FPERIOD_OVERRIDE=FQ","FILING_STATUS=OR","EQY_CONSOLIDATED=Y","Sort=A","Dates=H","DateFormat=P","Fill=—","Direction=H","UseDPDF=Y")</f>
        <v>#NAME?</v>
      </c>
      <c r="BO137" s="2" t="e">
        <f ca="1">_xll.BDH($C$128,"TOTAL_ASSETS_SEQUENTIAL_GROWTH","FQ4 2015","FQ4 2015","Currency=INR","Period=FQ","BEST_FPERIOD_OVERRIDE=FQ","FILING_STATUS=OR","EQY_CONSOLIDATED=Y","Sort=A","Dates=H","DateFormat=P","Fill=—","Direction=H","UseDPDF=Y")</f>
        <v>#NAME?</v>
      </c>
      <c r="BP137" s="2" t="e">
        <f ca="1">_xll.BDH($C$128,"MODIFIED_WORKING_CPTL_SEQ_GRWTH","FQ4 2015","FQ4 2015","Currency=INR","Period=FQ","BEST_FPERIOD_OVERRIDE=FQ","FILING_STATUS=OR","EQY_CONSOLIDATED=Y","Sort=A","Dates=H","DateFormat=P","Fill=—","Direction=H","UseDPDF=Y")</f>
        <v>#NAME?</v>
      </c>
      <c r="BQ137" s="2" t="e">
        <f ca="1">_xll.BDH($C$128,"WORKING_CAPITAL_SEQ_GROWTH","FQ4 2015","FQ4 2015","Currency=INR","Period=FQ","BEST_FPERIOD_OVERRIDE=FQ","FILING_STATUS=OR","EQY_CONSOLIDATED=Y","Sort=A","Dates=H","DateFormat=P","Fill=—","Direction=H","UseDPDF=Y")</f>
        <v>#NAME?</v>
      </c>
      <c r="BR137" s="2" t="e">
        <f ca="1">_xll.BDH($C$128,"ACCOUNTS_PAYABLE_SEQ_GROWTH","FQ4 2015","FQ4 2015","Currency=INR","Period=FQ","BEST_FPERIOD_OVERRIDE=FQ","FILING_STATUS=OR","EQY_CONSOLIDATED=Y","Sort=A","Dates=H","DateFormat=P","Fill=—","Direction=H","UseDPDF=Y")</f>
        <v>#NAME?</v>
      </c>
      <c r="BS137" s="2" t="e">
        <f ca="1">_xll.BDH($C$128,"ST_DEBT_SEQUENTIAL_GROWTH","FQ4 2015","FQ4 2015","Currency=INR","Period=FQ","BEST_FPERIOD_OVERRIDE=FQ","FILING_STATUS=OR","EQY_CONSOLIDATED=Y","Sort=A","Dates=H","DateFormat=P","Fill=—","Direction=H","UseDPDF=Y")</f>
        <v>#NAME?</v>
      </c>
      <c r="BT137" s="2" t="e">
        <f ca="1">_xll.BDH($C$128,"TOTAL_DEBT_SEQUENTIAL_GROWTH","FQ4 2015","FQ4 2015","Currency=INR","Period=FQ","BEST_FPERIOD_OVERRIDE=FQ","FILING_STATUS=OR","EQY_CONSOLIDATED=Y","Sort=A","Dates=H","DateFormat=P","Fill=—","Direction=H","UseDPDF=Y")</f>
        <v>#NAME?</v>
      </c>
      <c r="BU137" s="2" t="e">
        <f ca="1">_xll.BDH($C$128,"TOTAL_EQUITY_SEQUENTIAL_GROWTH","FQ4 2015","FQ4 2015","Currency=INR","Period=FQ","BEST_FPERIOD_OVERRIDE=FQ","FILING_STATUS=OR","EQY_CONSOLIDATED=Y","Sort=A","Dates=H","DateFormat=P","Fill=—","Direction=H","UseDPDF=Y")</f>
        <v>#NAME?</v>
      </c>
      <c r="BV137" s="2" t="e">
        <f ca="1">_xll.BDH($C$128,"TOTAL_CAPITAL_SEQUENTIAL_GROWTH","FQ4 2015","FQ4 2015","Currency=INR","Period=FQ","BEST_FPERIOD_OVERRIDE=FQ","FILING_STATUS=OR","EQY_CONSOLIDATED=Y","Sort=A","Dates=H","DateFormat=P","Fill=—","Direction=H","UseDPDF=Y")</f>
        <v>#NAME?</v>
      </c>
      <c r="BW137" s="2" t="e">
        <f ca="1">_xll.BDH($C$128,"BPS_SEQUENTIAL_GROWTH","FQ4 2015","FQ4 2015","Currency=INR","Period=FQ","BEST_FPERIOD_OVERRIDE=FQ","FILING_STATUS=OR","EQY_CONSOLIDATED=Y","Sort=A","Dates=H","DateFormat=P","Fill=—","Direction=H","UseDPDF=Y")</f>
        <v>#NAME?</v>
      </c>
      <c r="BX137" s="2" t="e">
        <f ca="1">_xll.BDH($C$128,"CFO_SEQUENTIAL_GROWTH","FQ4 2015","FQ4 2015","Currency=INR","Period=FQ","BEST_FPERIOD_OVERRIDE=FQ","FILING_STATUS=OR","EQY_CONSOLIDATED=Y","Sort=A","Dates=H","DateFormat=P","Fill=—","Direction=H","UseDPDF=Y")</f>
        <v>#NAME?</v>
      </c>
      <c r="BY137" s="3" t="e">
        <f ca="1">_xll.BDH($C$128,"SHORT_AND_LONG_TERM_DEBT","FQ4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37" s="3" t="e">
        <f ca="1">_xll.BDH($C$128,"BS_ST_BORROW","FQ4 2015","FQ4 2015","Currency=INR","Period=FQ","BEST_FPERIOD_OVERRIDE=FQ","FILING_STATUS=OR","EQY_CONSOLIDATED=Y","SCALING_FORMAT=MLN","Sort=A","Dates=H","DateFormat=P","Fill=—","Direction=H","UseDPDF=Y")</f>
        <v>#NAME?</v>
      </c>
      <c r="CA137" s="3" t="e">
        <f ca="1">_xll.BDH($C$128,"BS_LT_BORROW","FQ4 2015","FQ4 2015","Currency=INR","Period=FQ","BEST_FPERIOD_OVERRIDE=FQ","FILING_STATUS=OR","EQY_CONSOLIDATED=Y","SCALING_FORMAT=MLN","Sort=A","Dates=H","DateFormat=P","Fill=—","Direction=H","UseDPDF=Y")</f>
        <v>#NAME?</v>
      </c>
      <c r="CB137" s="2" t="e">
        <f ca="1">_xll.BDH($C$128,"TOT_DEBT_TO_EBITDA","FQ4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37" s="2" t="e">
        <f ca="1">_xll.BDH($C$128,"NET_DEBT_TO_EBITDA","FQ4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37" s="2" t="e">
        <f ca="1">_xll.BDH($C$128,"TOTAL_DEBT_TO_EBIT","FQ4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37" s="2" t="e">
        <f ca="1">_xll.BDH($C$128,"NET_DEBT_TO_EBIT","FQ4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37" s="2" t="e">
        <f ca="1">_xll.BDH($C$128,"EBITDA_TO_INTEREST_EXPN","FQ4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37" s="2" t="e">
        <f ca="1">_xll.BDH($C$128,"COM_EQY_TO_TOT_ASSET","FQ4 2015","FQ4 2015","Currency=INR","Period=FQ","BEST_FPERIOD_OVERRIDE=FQ","FILING_STATUS=OR","EQY_CONSOLIDATED=Y","Sort=A","Dates=H","DateFormat=P","Fill=—","Direction=H","UseDPDF=Y")</f>
        <v>#NAME?</v>
      </c>
      <c r="CH137" s="2" t="e">
        <f ca="1">_xll.BDH($C$128,"LT_DEBT_TO_TOT_EQY","FQ4 2015","FQ4 2015","Currency=INR","Period=FQ","BEST_FPERIOD_OVERRIDE=FQ","FILING_STATUS=OR","EQY_CONSOLIDATED=Y","Sort=A","Dates=H","DateFormat=P","Fill=—","Direction=H","UseDPDF=Y")</f>
        <v>#NAME?</v>
      </c>
      <c r="CI137" s="2" t="e">
        <f ca="1">_xll.BDH($C$128,"LT_DEBT_TO_TOT_CAP","FQ4 2015","FQ4 2015","Currency=INR","Period=FQ","BEST_FPERIOD_OVERRIDE=FQ","FILING_STATUS=OR","EQY_CONSOLIDATED=Y","Sort=A","Dates=H","DateFormat=P","Fill=—","Direction=H","UseDPDF=Y")</f>
        <v>#NAME?</v>
      </c>
      <c r="CJ137" s="2" t="e">
        <f ca="1">_xll.BDH($C$128,"LT_DEBT_TO_TOT_ASSET","FQ4 2015","FQ4 2015","Currency=INR","Period=FQ","BEST_FPERIOD_OVERRIDE=FQ","FILING_STATUS=OR","EQY_CONSOLIDATED=Y","Sort=A","Dates=H","DateFormat=P","Fill=—","Direction=H","UseDPDF=Y")</f>
        <v>#NAME?</v>
      </c>
      <c r="CK137" s="2" t="e">
        <f ca="1">_xll.BDH($C$128,"TOT_DEBT_TO_TOT_EQY","FQ4 2015","FQ4 2015","Currency=INR","Period=FQ","BEST_FPERIOD_OVERRIDE=FQ","FILING_STATUS=OR","EQY_CONSOLIDATED=Y","Sort=A","Dates=H","DateFormat=P","Fill=—","Direction=H","UseDPDF=Y")</f>
        <v>#NAME?</v>
      </c>
      <c r="CL137" s="2" t="e">
        <f ca="1">_xll.BDH($C$128,"TOT_DEBT_TO_TOT_CAP","FQ4 2015","FQ4 2015","Currency=INR","Period=FQ","BEST_FPERIOD_OVERRIDE=FQ","FILING_STATUS=OR","EQY_CONSOLIDATED=Y","Sort=A","Dates=H","DateFormat=P","Fill=—","Direction=H","UseDPDF=Y")</f>
        <v>#NAME?</v>
      </c>
      <c r="CM137" s="2" t="e">
        <f ca="1">_xll.BDH($C$128,"TOT_DEBT_TO_TOT_ASSET","FQ4 2015","FQ4 2015","Currency=INR","Period=FQ","BEST_FPERIOD_OVERRIDE=FQ","FILING_STATUS=OR","EQY_CONSOLIDATED=Y","Sort=A","Dates=H","DateFormat=P","Fill=—","Direction=H","UseDPDF=Y")</f>
        <v>#NAME?</v>
      </c>
      <c r="CN137" s="2" t="e">
        <f ca="1">_xll.BDH($C$128,"NET_DEBT_TO_SHRHLDR_EQTY","FQ4 2015","FQ4 2015","Currency=INR","Period=FQ","BEST_FPERIOD_OVERRIDE=FQ","FILING_STATUS=OR","EQY_CONSOLIDATED=Y","Sort=A","Dates=H","DateFormat=P","Fill=—","Direction=H","UseDPDF=Y")</f>
        <v>#NAME?</v>
      </c>
      <c r="CO137" s="2" t="e">
        <f ca="1">_xll.BDH($C$128,"NET_DEBT_%_CAPITAL","FQ4 2015","FQ4 2015","Currency=INR","Period=FQ","BEST_FPERIOD_OVERRIDE=FQ","FILING_STATUS=OR","EQY_CONSOLIDATED=Y","Sort=A","Dates=H","DateFormat=P","Fill=—","Direction=H","UseDPDF=Y")</f>
        <v>#NAME?</v>
      </c>
      <c r="CP137" s="3" t="e">
        <f ca="1">_xll.BDH($C$128,"EBITDA","FQ4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37" s="3" t="e">
        <f ca="1">_xll.BDH($C$128,"EBITDA_AFTER_CAPEX","FQ4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37" s="3" t="e">
        <f ca="1">_xll.BDH($C$128,"IS_OPER_INC","FQ4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37" s="2" t="e">
        <f ca="1">_xll.BDH($C$128,"CASH_RATIO","FQ4 2015","FQ4 2015","Currency=INR","Period=FQ","BEST_FPERIOD_OVERRIDE=FQ","FILING_STATUS=OR","EQY_CONSOLIDATED=Y","Sort=A","Dates=H","DateFormat=P","Fill=—","Direction=H","UseDPDF=Y")</f>
        <v>#NAME?</v>
      </c>
      <c r="CT137" s="2" t="e">
        <f ca="1">_xll.BDH($C$128,"CUR_RATIO","FQ4 2015","FQ4 2015","Currency=INR","Period=FQ","BEST_FPERIOD_OVERRIDE=FQ","FILING_STATUS=OR","EQY_CONSOLIDATED=Y","Sort=A","Dates=H","DateFormat=P","Fill=—","Direction=H","UseDPDF=Y")</f>
        <v>#NAME?</v>
      </c>
      <c r="CU137" s="2" t="e">
        <f ca="1">_xll.BDH($C$128,"QUICK_RATIO","FQ4 2015","FQ4 2015","Currency=INR","Period=FQ","BEST_FPERIOD_OVERRIDE=FQ","FILING_STATUS=OR","EQY_CONSOLIDATED=Y","Sort=A","Dates=H","DateFormat=P","Fill=—","Direction=H","UseDPDF=Y")</f>
        <v>#NAME?</v>
      </c>
      <c r="CV137" s="2" t="e">
        <f ca="1">_xll.BDH($C$128,"ALTMAN_Z_SCORE","FQ4 2015","FQ4 2015","Currency=INR","Period=FQ","BEST_FPERIOD_OVERRIDE=FQ","FILING_STATUS=OR","EQY_CONSOLIDATED=Y","Sort=A","Dates=H","DateFormat=P","Fill=—","Direction=H","UseDPDF=Y")</f>
        <v>#NAME?</v>
      </c>
      <c r="CW137" s="4" t="e">
        <f ca="1">_xll.BDH($C$128,"ACCT_RCV_TURN","FQ4 2015","FQ4 2015","Currency=INR","Period=FQ","BEST_FPERIOD_OVERRIDE=FQ","FILING_STATUS=OR","EQY_CONSOLIDATED=Y","FA_ADJUSTED=GAAP","Sort=A","Dates=H","DateFormat=P","Fill=—","Direction=H","UseDPDF=Y")</f>
        <v>#NAME?</v>
      </c>
      <c r="CX137" s="2" t="e">
        <f ca="1">_xll.BDH($C$128,"ACCT_RCV_DAYS","FQ4 2015","FQ4 2015","Currency=INR","Period=FQ","BEST_FPERIOD_OVERRIDE=FQ","FILING_STATUS=OR","EQY_CONSOLIDATED=Y","FA_ADJUSTED=GAAP","Sort=A","Dates=H","DateFormat=P","Fill=—","Direction=H","UseDPDF=Y")</f>
        <v>#NAME?</v>
      </c>
      <c r="CY137" s="4" t="e">
        <f ca="1">_xll.BDH($C$128,"INVENT_TURN","FQ4 2015","FQ4 2015","Currency=INR","Period=FQ","BEST_FPERIOD_OVERRIDE=FQ","FILING_STATUS=OR","EQY_CONSOLIDATED=Y","FA_ADJUSTED=GAAP","Sort=A","Dates=H","DateFormat=P","Fill=—","Direction=H","UseDPDF=Y")</f>
        <v>#NAME?</v>
      </c>
      <c r="CZ137" s="2" t="e">
        <f ca="1">_xll.BDH($C$128,"INVENT_DAYS","FQ4 2015","FQ4 2015","Currency=INR","Period=FQ","BEST_FPERIOD_OVERRIDE=FQ","FILING_STATUS=OR","EQY_CONSOLIDATED=Y","FA_ADJUSTED=GAAP","Sort=A","Dates=H","DateFormat=P","Fill=—","Direction=H","UseDPDF=Y")</f>
        <v>#NAME?</v>
      </c>
      <c r="DA137" s="4" t="e">
        <f ca="1">_xll.BDH($C$128,"ACCOUNTS_PAYABLE_TURNOVER","FQ4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37" s="2" t="e">
        <f ca="1">_xll.BDH($C$128,"ACCOUNTS_PAYABLE_TURNOVER_DAYS","FQ4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37" s="4" t="e">
        <f ca="1">_xll.BDH($C$128,"CASH_CONVERSION_CYCLE","FQ4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37" s="4" t="e">
        <f ca="1">_xll.BDH($C$128,"INV_TO_CASH_DAYS","FQ4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37" s="5" t="e">
        <f ca="1">_xll.BDH($C$128,"BS_INVENTORIES","FQ4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37" s="3" t="e">
        <f ca="1">_xll.BDH($C$128,"INVTRY_RAW_MATERIALS","FQ4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37" s="3" t="e">
        <f ca="1">_xll.BDH($C$128,"INVTRY_IN_PROGRESS","FQ4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37" s="3" t="e">
        <f ca="1">_xll.BDH($C$128,"INVTRY_FINISHED_GOODS","FQ4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37" s="3" t="e">
        <f ca="1">_xll.BDH($C$128,"BS_OTHER_INV","FQ4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38" spans="1:113" x14ac:dyDescent="0.3">
      <c r="A138" s="6"/>
      <c r="B138" s="6"/>
      <c r="C138" s="6"/>
      <c r="D138" s="6" t="s">
        <v>83</v>
      </c>
      <c r="E138" t="s">
        <v>77</v>
      </c>
      <c r="F138" t="e">
        <f ca="1">_xll.BDH($C$128,"RETURN_COM_EQY","FY 2016","FY 2016","Currency=INR","Period=FY","BEST_FPERIOD_OVERRIDE=FY","FILING_STATUS=OR","EQY_CONSOLIDATED=Y","FA_ADJUSTED=GAAP","Sort=A","Dates=H","DateFormat=P","Fill=—","Direction=H","UseDPDF=Y")</f>
        <v>#NAME?</v>
      </c>
      <c r="G138" t="e">
        <f ca="1">_xll.BDH($C$128,"RETURN_ON_ASSET","FY 2016","FY 2016","Currency=INR","Period=FY","BEST_FPERIOD_OVERRIDE=FY","FILING_STATUS=OR","EQY_CONSOLIDATED=Y","FA_ADJUSTED=GAAP","Sort=A","Dates=H","DateFormat=P","Fill=—","Direction=H","UseDPDF=Y")</f>
        <v>#NAME?</v>
      </c>
      <c r="H138" t="e">
        <f ca="1">_xll.BDH($C$128,"RETURN_ON_CAP","FY 2016","FY 2016","Currency=INR","Period=FY","BEST_FPERIOD_OVERRIDE=FY","FILING_STATUS=OR","EQY_CONSOLIDATED=Y","FA_ADJUSTED=GAAP","Sort=A","Dates=H","DateFormat=P","Fill=—","Direction=H","UseDPDF=Y")</f>
        <v>#NAME?</v>
      </c>
      <c r="I138" t="e">
        <f ca="1">_xll.BDH($C$128,"RETURN_ON_INV_CAPITAL","FY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38" t="e">
        <f ca="1">_xll.BDH($C$128,"EBITDA_TO_REVENUE","FY 2016","FY 2016","Currency=INR","Period=FY","BEST_FPERIOD_OVERRIDE=FY","FILING_STATUS=OR","EQY_CONSOLIDATED=Y","FA_ADJUSTED=GAAP","Sort=A","Dates=H","DateFormat=P","Fill=—","Direction=H","UseDPDF=Y")</f>
        <v>#NAME?</v>
      </c>
      <c r="K138" t="e">
        <f ca="1">_xll.BDH($C$128,"OPER_MARGIN","FY 2016","FY 2016","Currency=INR","Period=FY","BEST_FPERIOD_OVERRIDE=FY","FILING_STATUS=OR","EQY_CONSOLIDATED=Y","FA_ADJUSTED=GAAP","Sort=A","Dates=H","DateFormat=P","Fill=—","Direction=H","UseDPDF=Y")</f>
        <v>#NAME?</v>
      </c>
      <c r="L138" t="e">
        <f ca="1">_xll.BDH($C$128,"INCREMENTAL_OPERATING_MARGIN","FY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38" t="e">
        <f ca="1">_xll.BDH($C$128,"PRETAX_INC_TO_NET_SALES","FY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38" t="e">
        <f ca="1">_xll.BDH($C$128,"INC_BEF_XO_ITEMS_TO_NET_SALES","FY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38" t="e">
        <f ca="1">_xll.BDH($C$128,"PROF_MARGIN","FY 2016","FY 2016","Currency=INR","Period=FY","BEST_FPERIOD_OVERRIDE=FY","FILING_STATUS=OR","EQY_CONSOLIDATED=Y","FA_ADJUSTED=GAAP","Sort=A","Dates=H","DateFormat=P","Fill=—","Direction=H","UseDPDF=Y")</f>
        <v>#NAME?</v>
      </c>
      <c r="P138" t="e">
        <f ca="1">_xll.BDH($C$128,"NET_INCOME_TO_COMMON_MARGIN","FY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38" t="e">
        <f ca="1">_xll.BDH($C$128,"EFF_TAX_RATE","FY 2016","FY 2016","Currency=INR","Period=FY","BEST_FPERIOD_OVERRIDE=FY","FILING_STATUS=OR","EQY_CONSOLIDATED=Y","FA_ADJUSTED=GAAP","Sort=A","Dates=H","DateFormat=P","Fill=—","Direction=H","UseDPDF=Y")</f>
        <v>#NAME?</v>
      </c>
      <c r="R138" t="e">
        <f ca="1">_xll.BDH($C$128,"DVD_PAYOUT_RATIO","FY 2016","FY 2016","Currency=INR","Period=FY","BEST_FPERIOD_OVERRIDE=FY","FILING_STATUS=OR","EQY_CONSOLIDATED=Y","FA_ADJUSTED=GAAP","Sort=A","Dates=H","DateFormat=P","Fill=—","Direction=H","UseDPDF=Y")</f>
        <v>#NAME?</v>
      </c>
      <c r="S138" t="e">
        <f ca="1">_xll.BDH($C$128,"SUSTAIN_GROWTH_RT","FY 2016","FY 2016","Currency=INR","Period=FY","BEST_FPERIOD_OVERRIDE=FY","FILING_STATUS=OR","EQY_CONSOLIDATED=Y","FA_ADJUSTED=GAAP","Sort=A","Dates=H","DateFormat=P","Fill=—","Direction=H","UseDPDF=Y")</f>
        <v>#NAME?</v>
      </c>
      <c r="T138" s="2" t="e">
        <f ca="1">_xll.BDH($C$128,"SALES_GROWTH","FY 2016","FY 2016","Currency=INR","Period=FY","BEST_FPERIOD_OVERRIDE=FY","FILING_STATUS=OR","EQY_CONSOLIDATED=Y","FA_ADJUSTED=GAAP","Sort=A","Dates=H","DateFormat=P","Fill=—","Direction=H","UseDPDF=Y")</f>
        <v>#NAME?</v>
      </c>
      <c r="U138" s="2" t="e">
        <f ca="1">_xll.BDH($C$128,"EBITDA_GROWTH","FY 2016","FY 2016","Currency=INR","Period=FY","BEST_FPERIOD_OVERRIDE=FY","FILING_STATUS=OR","EQY_CONSOLIDATED=Y","FA_ADJUSTED=GAAP","Sort=A","Dates=H","DateFormat=P","Fill=—","Direction=H","UseDPDF=Y")</f>
        <v>#NAME?</v>
      </c>
      <c r="V138" s="2" t="e">
        <f ca="1">_xll.BDH($C$128,"OPER_INC_GROWTH","FY 2016","FY 2016","Currency=INR","Period=FY","BEST_FPERIOD_OVERRIDE=FY","FILING_STATUS=OR","EQY_CONSOLIDATED=Y","FA_ADJUSTED=GAAP","Sort=A","Dates=H","DateFormat=P","Fill=—","Direction=H","UseDPDF=Y")</f>
        <v>#NAME?</v>
      </c>
      <c r="W138" s="2" t="e">
        <f ca="1">_xll.BDH($C$128,"EARN_FOR_COM_GROWTH","FY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38" s="2" t="e">
        <f ca="1">_xll.BDH($C$128,"DILUTED_EPS_AFT_XO_ITEMS_GROWTH","FY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38" s="2" t="e">
        <f ca="1">_xll.BDH($C$128,"DIVIDEND_PER_SHARE_1_YEAR_GROWTH","FY 2016","FY 2016","Currency=INR","Period=FY","BEST_FPERIOD_OVERRIDE=FY","FILING_STATUS=OR","EQY_CONSOLIDATED=Y","Sort=A","Dates=H","DateFormat=P","Fill=—","Direction=H","UseDPDF=Y")</f>
        <v>#NAME?</v>
      </c>
      <c r="Z138" s="2" t="e">
        <f ca="1">_xll.BDH($C$128,"ACCOUNTS_RECEIVABLE_GROWTH","FY 2016","FY 2016","Currency=INR","Period=FY","BEST_FPERIOD_OVERRIDE=FY","FILING_STATUS=OR","EQY_CONSOLIDATED=Y","Sort=A","Dates=H","DateFormat=P","Fill=—","Direction=H","UseDPDF=Y")</f>
        <v>#NAME?</v>
      </c>
      <c r="AA138" s="2" t="e">
        <f ca="1">_xll.BDH($C$128,"INVENTORY_GROWTH","FY 2016","FY 2016","Currency=INR","Period=FY","BEST_FPERIOD_OVERRIDE=FY","FILING_STATUS=OR","EQY_CONSOLIDATED=Y","Sort=A","Dates=H","DateFormat=P","Fill=—","Direction=H","UseDPDF=Y")</f>
        <v>#NAME?</v>
      </c>
      <c r="AB138" s="2" t="e">
        <f ca="1">_xll.BDH($C$128,"NET_FIXED_ASSETS_1_YEAR_GROWTH","FY 2016","FY 2016","Currency=INR","Period=FY","BEST_FPERIOD_OVERRIDE=FY","FILING_STATUS=OR","EQY_CONSOLIDATED=Y","Sort=A","Dates=H","DateFormat=P","Fill=—","Direction=H","UseDPDF=Y")</f>
        <v>#NAME?</v>
      </c>
      <c r="AC138" s="2" t="e">
        <f ca="1">_xll.BDH($C$128,"ASSET_GROWTH","FY 2016","FY 2016","Currency=INR","Period=FY","BEST_FPERIOD_OVERRIDE=FY","FILING_STATUS=OR","EQY_CONSOLIDATED=Y","Sort=A","Dates=H","DateFormat=P","Fill=—","Direction=H","UseDPDF=Y")</f>
        <v>#NAME?</v>
      </c>
      <c r="AD138" s="2" t="e">
        <f ca="1">_xll.BDH($C$128,"MODIFIED_WORK_CAP_GROWTH","FY 2016","FY 2016","Currency=INR","Period=FY","BEST_FPERIOD_OVERRIDE=FY","FILING_STATUS=OR","EQY_CONSOLIDATED=Y","Sort=A","Dates=H","DateFormat=P","Fill=—","Direction=H","UseDPDF=Y")</f>
        <v>#NAME?</v>
      </c>
      <c r="AE138" s="2" t="e">
        <f ca="1">_xll.BDH($C$128,"WORK_CAP_GROWTH","FY 2016","FY 2016","Currency=INR","Period=FY","BEST_FPERIOD_OVERRIDE=FY","FILING_STATUS=OR","EQY_CONSOLIDATED=Y","Sort=A","Dates=H","DateFormat=P","Fill=—","Direction=H","UseDPDF=Y")</f>
        <v>#NAME?</v>
      </c>
      <c r="AF138" s="2" t="e">
        <f ca="1">_xll.BDH($C$128,"ACCOUNTS_PAYABLE_GROWTH_1YR","FY 2016","FY 2016","Currency=INR","Period=FY","BEST_FPERIOD_OVERRIDE=FY","FILING_STATUS=OR","EQY_CONSOLIDATED=Y","Sort=A","Dates=H","DateFormat=P","Fill=—","Direction=H","UseDPDF=Y")</f>
        <v>#NAME?</v>
      </c>
      <c r="AG138" s="2" t="e">
        <f ca="1">_xll.BDH($C$128,"SHORT_TERM_DEBT_1_YEAR_GROWTH","FY 2016","FY 2016","Currency=INR","Period=FY","BEST_FPERIOD_OVERRIDE=FY","FILING_STATUS=OR","EQY_CONSOLIDATED=Y","Sort=A","Dates=H","DateFormat=P","Fill=—","Direction=H","UseDPDF=Y")</f>
        <v>#NAME?</v>
      </c>
      <c r="AH138" s="2" t="e">
        <f ca="1">_xll.BDH($C$128,"TOTAL_DEBT_1_YEAR_GROWTH","FY 2016","FY 2016","Currency=INR","Period=FY","BEST_FPERIOD_OVERRIDE=FY","FILING_STATUS=OR","EQY_CONSOLIDATED=Y","Sort=A","Dates=H","DateFormat=P","Fill=—","Direction=H","UseDPDF=Y")</f>
        <v>#NAME?</v>
      </c>
      <c r="AI138" s="2" t="e">
        <f ca="1">_xll.BDH($C$128,"TOTAL_EQUITY_1_YEAR_GROWTH","FY 2016","FY 2016","Currency=INR","Period=FY","BEST_FPERIOD_OVERRIDE=FY","FILING_STATUS=OR","EQY_CONSOLIDATED=Y","Sort=A","Dates=H","DateFormat=P","Fill=—","Direction=H","UseDPDF=Y")</f>
        <v>#NAME?</v>
      </c>
      <c r="AJ138" s="2" t="e">
        <f ca="1">_xll.BDH($C$128,"GROWTH_IN_CAP","FY 2016","FY 2016","Currency=INR","Period=FY","BEST_FPERIOD_OVERRIDE=FY","FILING_STATUS=OR","EQY_CONSOLIDATED=Y","Sort=A","Dates=H","DateFormat=P","Fill=—","Direction=H","UseDPDF=Y")</f>
        <v>#NAME?</v>
      </c>
      <c r="AK138" s="2" t="e">
        <f ca="1">_xll.BDH($C$128,"BVPS_GROWTH","FY 2016","FY 2016","Currency=INR","Period=FY","BEST_FPERIOD_OVERRIDE=FY","FILING_STATUS=OR","EQY_CONSOLIDATED=Y","Sort=A","Dates=H","DateFormat=P","Fill=—","Direction=H","UseDPDF=Y")</f>
        <v>#NAME?</v>
      </c>
      <c r="AL138" s="2" t="e">
        <f ca="1">_xll.BDH($C$128,"CASH_FLOW_GROWTH","FY 2016","FY 2016","Currency=INR","Period=FY","BEST_FPERIOD_OVERRIDE=FY","FILING_STATUS=OR","EQY_CONSOLIDATED=Y","Sort=A","Dates=H","DateFormat=P","Fill=—","Direction=H","UseDPDF=Y")</f>
        <v>#NAME?</v>
      </c>
      <c r="AM138" s="2" t="e">
        <f ca="1">_xll.BDH($C$128,"GEO_GROW_NET_SALES","FY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38" s="2" t="e">
        <f ca="1">_xll.BDH($C$128,"GEO_GROW_EBITDA","FY 2016","FY 2016","Currency=INR","Period=FY","BEST_FPERIOD_OVERRIDE=FY","FILING_STATUS=OR","EQY_CONSOLIDATED=Y","FA_ADJUSTED=GAAP","Sort=A","Dates=H","DateFormat=P","Fill=—","Direction=H","UseDPDF=Y")</f>
        <v>#NAME?</v>
      </c>
      <c r="AO138" s="2" t="e">
        <f ca="1">_xll.BDH($C$128,"GEO_GROW_OPER_INC","FY 2016","FY 2016","Currency=INR","Period=FY","BEST_FPERIOD_OVERRIDE=FY","FILING_STATUS=OR","EQY_CONSOLIDATED=Y","FA_ADJUSTED=GAAP","Sort=A","Dates=H","DateFormat=P","Fill=—","Direction=H","UseDPDF=Y")</f>
        <v>#NAME?</v>
      </c>
      <c r="AP138" s="2" t="e">
        <f ca="1">_xll.BDH($C$128,"NET_INCOME_TO_COMMON_5_YR_GROWTH","FY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38" s="2" t="e">
        <f ca="1">_xll.BDH($C$128,"5Y_GEO_GROWTH_DILUTED_EPS","FY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38" s="2" t="e">
        <f ca="1">_xll.BDH($C$128,"GEO_GROW_DVD_PER_SH","FY 2016","FY 2016","Currency=INR","Period=FY","BEST_FPERIOD_OVERRIDE=FY","FILING_STATUS=OR","EQY_CONSOLIDATED=Y","Sort=A","Dates=H","DateFormat=P","Fill=—","Direction=H","UseDPDF=Y")</f>
        <v>#NAME?</v>
      </c>
      <c r="AS138" s="2" t="e">
        <f ca="1">_xll.BDH($C$128,"ACCOUNTS_RECEIVABLE_5_YR_GROWTH","FY 2016","FY 2016","Currency=INR","Period=FY","BEST_FPERIOD_OVERRIDE=FY","FILING_STATUS=OR","EQY_CONSOLIDATED=Y","Sort=A","Dates=H","DateFormat=P","Fill=—","Direction=H","UseDPDF=Y")</f>
        <v>#NAME?</v>
      </c>
      <c r="AT138" s="2" t="e">
        <f ca="1">_xll.BDH($C$128,"INVENTORY_5_YEAR_GROWTH","FY 2016","FY 2016","Currency=INR","Period=FY","BEST_FPERIOD_OVERRIDE=FY","FILING_STATUS=OR","EQY_CONSOLIDATED=Y","Sort=A","Dates=H","DateFormat=P","Fill=—","Direction=H","UseDPDF=Y")</f>
        <v>#NAME?</v>
      </c>
      <c r="AU138" s="2" t="e">
        <f ca="1">_xll.BDH($C$128,"NET_FIXED_ASSETS_5_YEAR_GROWTH","FY 2016","FY 2016","Currency=INR","Period=FY","BEST_FPERIOD_OVERRIDE=FY","FILING_STATUS=OR","EQY_CONSOLIDATED=Y","Sort=A","Dates=H","DateFormat=P","Fill=—","Direction=H","UseDPDF=Y")</f>
        <v>#NAME?</v>
      </c>
      <c r="AV138" s="2" t="e">
        <f ca="1">_xll.BDH($C$128,"GEO_GROW_TOT_ASSET","FY 2016","FY 2016","Currency=INR","Period=FY","BEST_FPERIOD_OVERRIDE=FY","FILING_STATUS=OR","EQY_CONSOLIDATED=Y","Sort=A","Dates=H","DateFormat=P","Fill=—","Direction=H","UseDPDF=Y")</f>
        <v>#NAME?</v>
      </c>
      <c r="AW138" s="2" t="e">
        <f ca="1">_xll.BDH($C$128,"MODIFIED_WORKING_CPTL_5YR_GRWTH","FY 2016","FY 2016","Currency=INR","Period=FY","BEST_FPERIOD_OVERRIDE=FY","FILING_STATUS=OR","EQY_CONSOLIDATED=Y","Sort=A","Dates=H","DateFormat=P","Fill=—","Direction=H","UseDPDF=Y")</f>
        <v>#NAME?</v>
      </c>
      <c r="AX138" s="2" t="e">
        <f ca="1">_xll.BDH($C$128,"WORKING_CAPITAL_5_YEAR_GROWTH","FY 2016","FY 2016","Currency=INR","Period=FY","BEST_FPERIOD_OVERRIDE=FY","FILING_STATUS=OR","EQY_CONSOLIDATED=Y","Sort=A","Dates=H","DateFormat=P","Fill=—","Direction=H","UseDPDF=Y")</f>
        <v>#NAME?</v>
      </c>
      <c r="AY138" s="2" t="e">
        <f ca="1">_xll.BDH($C$128,"ACCOUNTS_PAYABLE_5_YEAR_GROWTH","FY 2016","FY 2016","Currency=INR","Period=FY","BEST_FPERIOD_OVERRIDE=FY","FILING_STATUS=OR","EQY_CONSOLIDATED=Y","Sort=A","Dates=H","DateFormat=P","Fill=—","Direction=H","UseDPDF=Y")</f>
        <v>#NAME?</v>
      </c>
      <c r="AZ138" s="2" t="e">
        <f ca="1">_xll.BDH($C$128,"SHORT_TERM_DEBT_5_YEAR_GROWTH","FY 2016","FY 2016","Currency=INR","Period=FY","BEST_FPERIOD_OVERRIDE=FY","FILING_STATUS=OR","EQY_CONSOLIDATED=Y","Sort=A","Dates=H","DateFormat=P","Fill=—","Direction=H","UseDPDF=Y")</f>
        <v>#NAME?</v>
      </c>
      <c r="BA138" s="2" t="e">
        <f ca="1">_xll.BDH($C$128,"TOTAL_DEBT_5_YEAR_GROWTH","FY 2016","FY 2016","Currency=INR","Period=FY","BEST_FPERIOD_OVERRIDE=FY","FILING_STATUS=OR","EQY_CONSOLIDATED=Y","Sort=A","Dates=H","DateFormat=P","Fill=—","Direction=H","UseDPDF=Y")</f>
        <v>#NAME?</v>
      </c>
      <c r="BB138" s="2" t="e">
        <f ca="1">_xll.BDH($C$128,"GEO_GROW_TOT_SHRHLDR_EQY","FY 2016","FY 2016","Currency=INR","Period=FY","BEST_FPERIOD_OVERRIDE=FY","FILING_STATUS=OR","EQY_CONSOLIDATED=Y","Sort=A","Dates=H","DateFormat=P","Fill=—","Direction=H","UseDPDF=Y")</f>
        <v>#NAME?</v>
      </c>
      <c r="BC138" s="2" t="e">
        <f ca="1">_xll.BDH($C$128,"TOTAL_CAPITAL_5_YEAR_GROWTH","FY 2016","FY 2016","Currency=INR","Period=FY","BEST_FPERIOD_OVERRIDE=FY","FILING_STATUS=OR","EQY_CONSOLIDATED=Y","Sort=A","Dates=H","DateFormat=P","Fill=—","Direction=H","UseDPDF=Y")</f>
        <v>#NAME?</v>
      </c>
      <c r="BD138" s="2" t="e">
        <f ca="1">_xll.BDH($C$128,"GEO_GROW_BOOK_VAL","FY 2016","FY 2016","Currency=INR","Period=FY","BEST_FPERIOD_OVERRIDE=FY","FILING_STATUS=OR","EQY_CONSOLIDATED=Y","Sort=A","Dates=H","DateFormat=P","Fill=—","Direction=H","UseDPDF=Y")</f>
        <v>#NAME?</v>
      </c>
      <c r="BE138" s="2" t="e">
        <f ca="1">_xll.BDH($C$128,"GEO_GROW_CASH_OPER_ACT","FY 2016","FY 2016","Currency=INR","Period=FY","BEST_FPERIOD_OVERRIDE=FY","FILING_STATUS=OR","EQY_CONSOLIDATED=Y","Sort=A","Dates=H","DateFormat=P","Fill=—","Direction=H","UseDPDF=Y")</f>
        <v>#NAME?</v>
      </c>
      <c r="BF138" s="2" t="e">
        <f ca="1">_xll.BDH($C$128,"REVENUE_SEQUENTIAL_GROWTH","FY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38" s="2" t="e">
        <f ca="1">_xll.BDH($C$128,"EBITDA_SEQUENTIAL_GROWTH","FY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38" s="2" t="e">
        <f ca="1">_xll.BDH($C$128,"OPERATING_INCOME_SEQ_GROWTH","FY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38" s="2" t="e">
        <f ca="1">_xll.BDH($C$128,"NET_INCOME_TO_COMMON_SEQ_GROWTH","FY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38" s="2" t="e">
        <f ca="1">_xll.BDH($C$128,"EPS_DILUTED_SEQUENTIAL_GROWTH","FY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38" s="2" t="e">
        <f ca="1">_xll.BDH($C$128,"DPS_SEQUENTIAL_GROWTH","FY 2016","FY 2016","Currency=INR","Period=FY","BEST_FPERIOD_OVERRIDE=FY","FILING_STATUS=OR","EQY_CONSOLIDATED=Y","Sort=A","Dates=H","DateFormat=P","Fill=—","Direction=H","UseDPDF=Y")</f>
        <v>#NAME?</v>
      </c>
      <c r="BL138" s="2" t="e">
        <f ca="1">_xll.BDH($C$128,"ACCOUNTS_RECEIVABLE_SEQ_GROWTH","FY 2016","FY 2016","Currency=INR","Period=FY","BEST_FPERIOD_OVERRIDE=FY","FILING_STATUS=OR","EQY_CONSOLIDATED=Y","Sort=A","Dates=H","DateFormat=P","Fill=—","Direction=H","UseDPDF=Y")</f>
        <v>#NAME?</v>
      </c>
      <c r="BM138" s="2" t="e">
        <f ca="1">_xll.BDH($C$128,"INVENTORY_SEQUENTIAL_GROWTH","FY 2016","FY 2016","Currency=INR","Period=FY","BEST_FPERIOD_OVERRIDE=FY","FILING_STATUS=OR","EQY_CONSOLIDATED=Y","Sort=A","Dates=H","DateFormat=P","Fill=—","Direction=H","UseDPDF=Y")</f>
        <v>#NAME?</v>
      </c>
      <c r="BN138" s="2" t="e">
        <f ca="1">_xll.BDH($C$128,"FIXED_ASSETS_SEQUENTIAL_GROWTH","FY 2016","FY 2016","Currency=INR","Period=FY","BEST_FPERIOD_OVERRIDE=FY","FILING_STATUS=OR","EQY_CONSOLIDATED=Y","Sort=A","Dates=H","DateFormat=P","Fill=—","Direction=H","UseDPDF=Y")</f>
        <v>#NAME?</v>
      </c>
      <c r="BO138" s="2" t="e">
        <f ca="1">_xll.BDH($C$128,"TOTAL_ASSETS_SEQUENTIAL_GROWTH","FY 2016","FY 2016","Currency=INR","Period=FY","BEST_FPERIOD_OVERRIDE=FY","FILING_STATUS=OR","EQY_CONSOLIDATED=Y","Sort=A","Dates=H","DateFormat=P","Fill=—","Direction=H","UseDPDF=Y")</f>
        <v>#NAME?</v>
      </c>
      <c r="BP138" s="2" t="e">
        <f ca="1">_xll.BDH($C$128,"MODIFIED_WORKING_CPTL_SEQ_GRWTH","FY 2016","FY 2016","Currency=INR","Period=FY","BEST_FPERIOD_OVERRIDE=FY","FILING_STATUS=OR","EQY_CONSOLIDATED=Y","Sort=A","Dates=H","DateFormat=P","Fill=—","Direction=H","UseDPDF=Y")</f>
        <v>#NAME?</v>
      </c>
      <c r="BQ138" s="2" t="e">
        <f ca="1">_xll.BDH($C$128,"WORKING_CAPITAL_SEQ_GROWTH","FY 2016","FY 2016","Currency=INR","Period=FY","BEST_FPERIOD_OVERRIDE=FY","FILING_STATUS=OR","EQY_CONSOLIDATED=Y","Sort=A","Dates=H","DateFormat=P","Fill=—","Direction=H","UseDPDF=Y")</f>
        <v>#NAME?</v>
      </c>
      <c r="BR138" s="2" t="e">
        <f ca="1">_xll.BDH($C$128,"ACCOUNTS_PAYABLE_SEQ_GROWTH","FY 2016","FY 2016","Currency=INR","Period=FY","BEST_FPERIOD_OVERRIDE=FY","FILING_STATUS=OR","EQY_CONSOLIDATED=Y","Sort=A","Dates=H","DateFormat=P","Fill=—","Direction=H","UseDPDF=Y")</f>
        <v>#NAME?</v>
      </c>
      <c r="BS138" s="2" t="e">
        <f ca="1">_xll.BDH($C$128,"ST_DEBT_SEQUENTIAL_GROWTH","FY 2016","FY 2016","Currency=INR","Period=FY","BEST_FPERIOD_OVERRIDE=FY","FILING_STATUS=OR","EQY_CONSOLIDATED=Y","Sort=A","Dates=H","DateFormat=P","Fill=—","Direction=H","UseDPDF=Y")</f>
        <v>#NAME?</v>
      </c>
      <c r="BT138" s="2" t="e">
        <f ca="1">_xll.BDH($C$128,"TOTAL_DEBT_SEQUENTIAL_GROWTH","FY 2016","FY 2016","Currency=INR","Period=FY","BEST_FPERIOD_OVERRIDE=FY","FILING_STATUS=OR","EQY_CONSOLIDATED=Y","Sort=A","Dates=H","DateFormat=P","Fill=—","Direction=H","UseDPDF=Y")</f>
        <v>#NAME?</v>
      </c>
      <c r="BU138" s="2" t="e">
        <f ca="1">_xll.BDH($C$128,"TOTAL_EQUITY_SEQUENTIAL_GROWTH","FY 2016","FY 2016","Currency=INR","Period=FY","BEST_FPERIOD_OVERRIDE=FY","FILING_STATUS=OR","EQY_CONSOLIDATED=Y","Sort=A","Dates=H","DateFormat=P","Fill=—","Direction=H","UseDPDF=Y")</f>
        <v>#NAME?</v>
      </c>
      <c r="BV138" s="2" t="e">
        <f ca="1">_xll.BDH($C$128,"TOTAL_CAPITAL_SEQUENTIAL_GROWTH","FY 2016","FY 2016","Currency=INR","Period=FY","BEST_FPERIOD_OVERRIDE=FY","FILING_STATUS=OR","EQY_CONSOLIDATED=Y","Sort=A","Dates=H","DateFormat=P","Fill=—","Direction=H","UseDPDF=Y")</f>
        <v>#NAME?</v>
      </c>
      <c r="BW138" s="2" t="e">
        <f ca="1">_xll.BDH($C$128,"BPS_SEQUENTIAL_GROWTH","FY 2016","FY 2016","Currency=INR","Period=FY","BEST_FPERIOD_OVERRIDE=FY","FILING_STATUS=OR","EQY_CONSOLIDATED=Y","Sort=A","Dates=H","DateFormat=P","Fill=—","Direction=H","UseDPDF=Y")</f>
        <v>#NAME?</v>
      </c>
      <c r="BX138" s="2" t="e">
        <f ca="1">_xll.BDH($C$128,"CFO_SEQUENTIAL_GROWTH","FY 2016","FY 2016","Currency=INR","Period=FY","BEST_FPERIOD_OVERRIDE=FY","FILING_STATUS=OR","EQY_CONSOLIDATED=Y","Sort=A","Dates=H","DateFormat=P","Fill=—","Direction=H","UseDPDF=Y")</f>
        <v>#NAME?</v>
      </c>
      <c r="BY138" s="3" t="e">
        <f ca="1">_xll.BDH($C$128,"SHORT_AND_LONG_TERM_DEBT","FY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38" s="3" t="e">
        <f ca="1">_xll.BDH($C$128,"BS_ST_BORROW","FY 2016","FY 2016","Currency=INR","Period=FY","BEST_FPERIOD_OVERRIDE=FY","FILING_STATUS=OR","EQY_CONSOLIDATED=Y","SCALING_FORMAT=MLN","Sort=A","Dates=H","DateFormat=P","Fill=—","Direction=H","UseDPDF=Y")</f>
        <v>#NAME?</v>
      </c>
      <c r="CA138" s="3" t="e">
        <f ca="1">_xll.BDH($C$128,"BS_LT_BORROW","FY 2016","FY 2016","Currency=INR","Period=FY","BEST_FPERIOD_OVERRIDE=FY","FILING_STATUS=OR","EQY_CONSOLIDATED=Y","SCALING_FORMAT=MLN","Sort=A","Dates=H","DateFormat=P","Fill=—","Direction=H","UseDPDF=Y")</f>
        <v>#NAME?</v>
      </c>
      <c r="CB138" s="2" t="e">
        <f ca="1">_xll.BDH($C$128,"TOT_DEBT_TO_EBITDA","FY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38" s="2" t="e">
        <f ca="1">_xll.BDH($C$128,"NET_DEBT_TO_EBITDA","FY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38" s="2" t="e">
        <f ca="1">_xll.BDH($C$128,"TOTAL_DEBT_TO_EBIT","FY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38" s="2" t="e">
        <f ca="1">_xll.BDH($C$128,"NET_DEBT_TO_EBIT","FY 2016","FY 2016","Currency=INR","Period=FY","BEST_FPERIOD_OVERRIDE=FY","FILING_STATUS=OR","EQY_CONSOLIDATED=Y","FA_ADJUSTED=GAAP","Sort=A","Dates=H","DateFormat=P","Fill=—","Direction=H","UseDPDF=Y")</f>
        <v>#NAME?</v>
      </c>
      <c r="CF138" s="2" t="e">
        <f ca="1">_xll.BDH($C$128,"EBITDA_TO_INTEREST_EXPN","FY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38" s="2" t="e">
        <f ca="1">_xll.BDH($C$128,"COM_EQY_TO_TOT_ASSET","FY 2016","FY 2016","Currency=INR","Period=FY","BEST_FPERIOD_OVERRIDE=FY","FILING_STATUS=OR","EQY_CONSOLIDATED=Y","Sort=A","Dates=H","DateFormat=P","Fill=—","Direction=H","UseDPDF=Y")</f>
        <v>#NAME?</v>
      </c>
      <c r="CH138" s="2" t="e">
        <f ca="1">_xll.BDH($C$128,"LT_DEBT_TO_TOT_EQY","FY 2016","FY 2016","Currency=INR","Period=FY","BEST_FPERIOD_OVERRIDE=FY","FILING_STATUS=OR","EQY_CONSOLIDATED=Y","Sort=A","Dates=H","DateFormat=P","Fill=—","Direction=H","UseDPDF=Y")</f>
        <v>#NAME?</v>
      </c>
      <c r="CI138" s="2" t="e">
        <f ca="1">_xll.BDH($C$128,"LT_DEBT_TO_TOT_CAP","FY 2016","FY 2016","Currency=INR","Period=FY","BEST_FPERIOD_OVERRIDE=FY","FILING_STATUS=OR","EQY_CONSOLIDATED=Y","Sort=A","Dates=H","DateFormat=P","Fill=—","Direction=H","UseDPDF=Y")</f>
        <v>#NAME?</v>
      </c>
      <c r="CJ138" s="2" t="e">
        <f ca="1">_xll.BDH($C$128,"LT_DEBT_TO_TOT_ASSET","FY 2016","FY 2016","Currency=INR","Period=FY","BEST_FPERIOD_OVERRIDE=FY","FILING_STATUS=OR","EQY_CONSOLIDATED=Y","Sort=A","Dates=H","DateFormat=P","Fill=—","Direction=H","UseDPDF=Y")</f>
        <v>#NAME?</v>
      </c>
      <c r="CK138" s="2" t="e">
        <f ca="1">_xll.BDH($C$128,"TOT_DEBT_TO_TOT_EQY","FY 2016","FY 2016","Currency=INR","Period=FY","BEST_FPERIOD_OVERRIDE=FY","FILING_STATUS=OR","EQY_CONSOLIDATED=Y","Sort=A","Dates=H","DateFormat=P","Fill=—","Direction=H","UseDPDF=Y")</f>
        <v>#NAME?</v>
      </c>
      <c r="CL138" s="2" t="e">
        <f ca="1">_xll.BDH($C$128,"TOT_DEBT_TO_TOT_CAP","FY 2016","FY 2016","Currency=INR","Period=FY","BEST_FPERIOD_OVERRIDE=FY","FILING_STATUS=OR","EQY_CONSOLIDATED=Y","Sort=A","Dates=H","DateFormat=P","Fill=—","Direction=H","UseDPDF=Y")</f>
        <v>#NAME?</v>
      </c>
      <c r="CM138" s="2" t="e">
        <f ca="1">_xll.BDH($C$128,"TOT_DEBT_TO_TOT_ASSET","FY 2016","FY 2016","Currency=INR","Period=FY","BEST_FPERIOD_OVERRIDE=FY","FILING_STATUS=OR","EQY_CONSOLIDATED=Y","Sort=A","Dates=H","DateFormat=P","Fill=—","Direction=H","UseDPDF=Y")</f>
        <v>#NAME?</v>
      </c>
      <c r="CN138" s="2" t="e">
        <f ca="1">_xll.BDH($C$128,"NET_DEBT_TO_SHRHLDR_EQTY","FY 2016","FY 2016","Currency=INR","Period=FY","BEST_FPERIOD_OVERRIDE=FY","FILING_STATUS=OR","EQY_CONSOLIDATED=Y","Sort=A","Dates=H","DateFormat=P","Fill=—","Direction=H","UseDPDF=Y")</f>
        <v>#NAME?</v>
      </c>
      <c r="CO138" s="2" t="e">
        <f ca="1">_xll.BDH($C$128,"NET_DEBT_%_CAPITAL","FY 2016","FY 2016","Currency=INR","Period=FY","BEST_FPERIOD_OVERRIDE=FY","FILING_STATUS=OR","EQY_CONSOLIDATED=Y","Sort=A","Dates=H","DateFormat=P","Fill=—","Direction=H","UseDPDF=Y")</f>
        <v>#NAME?</v>
      </c>
      <c r="CP138" s="3" t="e">
        <f ca="1">_xll.BDH($C$128,"EBITDA","FY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38" s="3" t="e">
        <f ca="1">_xll.BDH($C$128,"EBITDA_AFTER_CAPEX","FY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38" s="3" t="e">
        <f ca="1">_xll.BDH($C$128,"IS_OPER_INC","FY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38" s="2" t="e">
        <f ca="1">_xll.BDH($C$128,"CASH_RATIO","FY 2016","FY 2016","Currency=INR","Period=FY","BEST_FPERIOD_OVERRIDE=FY","FILING_STATUS=OR","EQY_CONSOLIDATED=Y","Sort=A","Dates=H","DateFormat=P","Fill=—","Direction=H","UseDPDF=Y")</f>
        <v>#NAME?</v>
      </c>
      <c r="CT138" s="2" t="e">
        <f ca="1">_xll.BDH($C$128,"CUR_RATIO","FY 2016","FY 2016","Currency=INR","Period=FY","BEST_FPERIOD_OVERRIDE=FY","FILING_STATUS=OR","EQY_CONSOLIDATED=Y","Sort=A","Dates=H","DateFormat=P","Fill=—","Direction=H","UseDPDF=Y")</f>
        <v>#NAME?</v>
      </c>
      <c r="CU138" s="2" t="e">
        <f ca="1">_xll.BDH($C$128,"QUICK_RATIO","FY 2016","FY 2016","Currency=INR","Period=FY","BEST_FPERIOD_OVERRIDE=FY","FILING_STATUS=OR","EQY_CONSOLIDATED=Y","Sort=A","Dates=H","DateFormat=P","Fill=—","Direction=H","UseDPDF=Y")</f>
        <v>#NAME?</v>
      </c>
      <c r="CV138" s="2" t="e">
        <f ca="1">_xll.BDH($C$128,"ALTMAN_Z_SCORE","FY 2016","FY 2016","Currency=INR","Period=FY","BEST_FPERIOD_OVERRIDE=FY","FILING_STATUS=OR","EQY_CONSOLIDATED=Y","Sort=A","Dates=H","DateFormat=P","Fill=—","Direction=H","UseDPDF=Y")</f>
        <v>#NAME?</v>
      </c>
      <c r="CW138" s="4" t="e">
        <f ca="1">_xll.BDH($C$128,"ACCT_RCV_TURN","FY 2016","FY 2016","Currency=INR","Period=FY","BEST_FPERIOD_OVERRIDE=FY","FILING_STATUS=OR","EQY_CONSOLIDATED=Y","FA_ADJUSTED=GAAP","Sort=A","Dates=H","DateFormat=P","Fill=—","Direction=H","UseDPDF=Y")</f>
        <v>#NAME?</v>
      </c>
      <c r="CX138" s="2" t="e">
        <f ca="1">_xll.BDH($C$128,"ACCT_RCV_DAYS","FY 2016","FY 2016","Currency=INR","Period=FY","BEST_FPERIOD_OVERRIDE=FY","FILING_STATUS=OR","EQY_CONSOLIDATED=Y","FA_ADJUSTED=GAAP","Sort=A","Dates=H","DateFormat=P","Fill=—","Direction=H","UseDPDF=Y")</f>
        <v>#NAME?</v>
      </c>
      <c r="CY138" s="4" t="e">
        <f ca="1">_xll.BDH($C$128,"INVENT_TURN","FY 2016","FY 2016","Currency=INR","Period=FY","BEST_FPERIOD_OVERRIDE=FY","FILING_STATUS=OR","EQY_CONSOLIDATED=Y","FA_ADJUSTED=GAAP","Sort=A","Dates=H","DateFormat=P","Fill=—","Direction=H","UseDPDF=Y")</f>
        <v>#NAME?</v>
      </c>
      <c r="CZ138" s="2" t="e">
        <f ca="1">_xll.BDH($C$128,"INVENT_DAYS","FY 2016","FY 2016","Currency=INR","Period=FY","BEST_FPERIOD_OVERRIDE=FY","FILING_STATUS=OR","EQY_CONSOLIDATED=Y","FA_ADJUSTED=GAAP","Sort=A","Dates=H","DateFormat=P","Fill=—","Direction=H","UseDPDF=Y")</f>
        <v>#NAME?</v>
      </c>
      <c r="DA138" s="4" t="e">
        <f ca="1">_xll.BDH($C$128,"ACCOUNTS_PAYABLE_TURNOVER","FY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38" s="2" t="e">
        <f ca="1">_xll.BDH($C$128,"ACCOUNTS_PAYABLE_TURNOVER_DAYS","FY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38" s="4" t="e">
        <f ca="1">_xll.BDH($C$128,"CASH_CONVERSION_CYCLE","FY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38" s="4" t="e">
        <f ca="1">_xll.BDH($C$128,"INV_TO_CASH_DAYS","FY 2016","FY 2016","Currency=INR","Period=FY","BEST_FPERIOD_OVERRIDE=FY","FILING_STATUS=OR","EQY_CONSOLIDATED=Y","FA_ADJUSTED=GAAP","Sort=A","Dates=H","DateFormat=P","Fill=—","Direction=H","UseDPDF=Y")</f>
        <v>#NAME?</v>
      </c>
      <c r="DE138" s="5" t="e">
        <f ca="1">_xll.BDH($C$128,"BS_INVENTORIES","FY 2016","FY 2016","Currency=INR","Period=FY","BEST_FPERIOD_OVERRIDE=FY","FILING_STATUS=OR","EQY_CONSOLIDATED=Y","SCALING_FORMAT=MLN","Sort=A","Dates=H","DateFormat=P","Fill=—","Direction=H","UseDPDF=Y")</f>
        <v>#NAME?</v>
      </c>
      <c r="DF138" s="3" t="e">
        <f ca="1">_xll.BDH($C$128,"INVTRY_RAW_MATERIALS","FY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38" s="3" t="e">
        <f ca="1">_xll.BDH($C$128,"INVTRY_IN_PROGRESS","FY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38" s="3" t="e">
        <f ca="1">_xll.BDH($C$128,"INVTRY_FINISHED_GOODS","FY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38" s="3" t="e">
        <f ca="1">_xll.BDH($C$128,"BS_OTHER_INV","FY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39" spans="1:113" x14ac:dyDescent="0.3">
      <c r="A139" s="6"/>
      <c r="B139" s="6"/>
      <c r="C139" s="6"/>
      <c r="D139" s="6"/>
      <c r="E139" t="s">
        <v>78</v>
      </c>
      <c r="F139" t="e">
        <f ca="1">_xll.BDH($C$128,"RETURN_COM_EQY","FQ1 2016","FQ1 2016","Currency=INR","Period=FQ","BEST_FPERIOD_OVERRIDE=FQ","FILING_STATUS=OR","EQY_CONSOLIDATED=Y","FA_ADJUSTED=GAAP","Sort=A","Dates=H","DateFormat=P","Fill=—","Direction=H","UseDPDF=Y")</f>
        <v>#NAME?</v>
      </c>
      <c r="G139" t="e">
        <f ca="1">_xll.BDH($C$128,"RETURN_ON_ASSET","FQ1 2016","FQ1 2016","Currency=INR","Period=FQ","BEST_FPERIOD_OVERRIDE=FQ","FILING_STATUS=OR","EQY_CONSOLIDATED=Y","FA_ADJUSTED=GAAP","Sort=A","Dates=H","DateFormat=P","Fill=—","Direction=H","UseDPDF=Y")</f>
        <v>#NAME?</v>
      </c>
      <c r="H139" t="e">
        <f ca="1">_xll.BDH($C$128,"RETURN_ON_CAP","FQ1 2016","FQ1 2016","Currency=INR","Period=FQ","BEST_FPERIOD_OVERRIDE=FQ","FILING_STATUS=OR","EQY_CONSOLIDATED=Y","FA_ADJUSTED=GAAP","Sort=A","Dates=H","DateFormat=P","Fill=—","Direction=H","UseDPDF=Y")</f>
        <v>#NAME?</v>
      </c>
      <c r="I139" t="e">
        <f ca="1">_xll.BDH($C$128,"RETURN_ON_INV_CAPITAL","FQ1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39" t="e">
        <f ca="1">_xll.BDH($C$128,"EBITDA_TO_REVENUE","FQ1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39" t="e">
        <f ca="1">_xll.BDH($C$128,"OPER_MARGIN","FQ1 2016","FQ1 2016","Currency=INR","Period=FQ","BEST_FPERIOD_OVERRIDE=FQ","FILING_STATUS=OR","EQY_CONSOLIDATED=Y","FA_ADJUSTED=GAAP","Sort=A","Dates=H","DateFormat=P","Fill=—","Direction=H","UseDPDF=Y")</f>
        <v>#NAME?</v>
      </c>
      <c r="L139" t="e">
        <f ca="1">_xll.BDH($C$128,"INCREMENTAL_OPERATING_MARGIN","FQ1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39" t="e">
        <f ca="1">_xll.BDH($C$128,"PRETAX_INC_TO_NET_SALES","FQ1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39" t="e">
        <f ca="1">_xll.BDH($C$128,"INC_BEF_XO_ITEMS_TO_NET_SALES","FQ1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39" t="e">
        <f ca="1">_xll.BDH($C$128,"PROF_MARGIN","FQ1 2016","FQ1 2016","Currency=INR","Period=FQ","BEST_FPERIOD_OVERRIDE=FQ","FILING_STATUS=OR","EQY_CONSOLIDATED=Y","FA_ADJUSTED=GAAP","Sort=A","Dates=H","DateFormat=P","Fill=—","Direction=H","UseDPDF=Y")</f>
        <v>#NAME?</v>
      </c>
      <c r="P139" t="e">
        <f ca="1">_xll.BDH($C$128,"NET_INCOME_TO_COMMON_MARGIN","FQ1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39" t="e">
        <f ca="1">_xll.BDH($C$128,"EFF_TAX_RATE","FQ1 2016","FQ1 2016","Currency=INR","Period=FQ","BEST_FPERIOD_OVERRIDE=FQ","FILING_STATUS=OR","EQY_CONSOLIDATED=Y","FA_ADJUSTED=GAAP","Sort=A","Dates=H","DateFormat=P","Fill=—","Direction=H","UseDPDF=Y")</f>
        <v>#NAME?</v>
      </c>
      <c r="R139" t="e">
        <f ca="1">_xll.BDH($C$128,"DVD_PAYOUT_RATIO","FQ1 2016","FQ1 2016","Currency=INR","Period=FQ","BEST_FPERIOD_OVERRIDE=FQ","FILING_STATUS=OR","EQY_CONSOLIDATED=Y","FA_ADJUSTED=GAAP","Sort=A","Dates=H","DateFormat=P","Fill=—","Direction=H","UseDPDF=Y")</f>
        <v>#NAME?</v>
      </c>
      <c r="S139" t="e">
        <f ca="1">_xll.BDH($C$128,"SUSTAIN_GROWTH_RT","FQ1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39" s="2" t="e">
        <f ca="1">_xll.BDH($C$128,"SALES_GROWTH","FQ1 2016","FQ1 2016","Currency=INR","Period=FQ","BEST_FPERIOD_OVERRIDE=FQ","FILING_STATUS=OR","EQY_CONSOLIDATED=Y","FA_ADJUSTED=GAAP","Sort=A","Dates=H","DateFormat=P","Fill=—","Direction=H","UseDPDF=Y")</f>
        <v>#NAME?</v>
      </c>
      <c r="U139" s="2" t="e">
        <f ca="1">_xll.BDH($C$128,"EBITDA_GROWTH","FQ1 2016","FQ1 2016","Currency=INR","Period=FQ","BEST_FPERIOD_OVERRIDE=FQ","FILING_STATUS=OR","EQY_CONSOLIDATED=Y","FA_ADJUSTED=GAAP","Sort=A","Dates=H","DateFormat=P","Fill=—","Direction=H","UseDPDF=Y")</f>
        <v>#NAME?</v>
      </c>
      <c r="V139" s="2" t="e">
        <f ca="1">_xll.BDH($C$128,"OPER_INC_GROWTH","FQ1 2016","FQ1 2016","Currency=INR","Period=FQ","BEST_FPERIOD_OVERRIDE=FQ","FILING_STATUS=OR","EQY_CONSOLIDATED=Y","FA_ADJUSTED=GAAP","Sort=A","Dates=H","DateFormat=P","Fill=—","Direction=H","UseDPDF=Y")</f>
        <v>#NAME?</v>
      </c>
      <c r="W139" s="2" t="e">
        <f ca="1">_xll.BDH($C$128,"EARN_FOR_COM_GROWTH","FQ1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39" s="2" t="e">
        <f ca="1">_xll.BDH($C$128,"DILUTED_EPS_AFT_XO_ITEMS_GROWTH","FQ1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39" s="2" t="e">
        <f ca="1">_xll.BDH($C$128,"DIVIDEND_PER_SHARE_1_YEAR_GROWTH","FQ1 2016","FQ1 2016","Currency=INR","Period=FQ","BEST_FPERIOD_OVERRIDE=FQ","FILING_STATUS=OR","EQY_CONSOLIDATED=Y","Sort=A","Dates=H","DateFormat=P","Fill=—","Direction=H","UseDPDF=Y")</f>
        <v>#NAME?</v>
      </c>
      <c r="Z139" s="2" t="e">
        <f ca="1">_xll.BDH($C$128,"ACCOUNTS_RECEIVABLE_GROWTH","FQ1 2016","FQ1 2016","Currency=INR","Period=FQ","BEST_FPERIOD_OVERRIDE=FQ","FILING_STATUS=OR","EQY_CONSOLIDATED=Y","Sort=A","Dates=H","DateFormat=P","Fill=—","Direction=H","UseDPDF=Y")</f>
        <v>#NAME?</v>
      </c>
      <c r="AA139" s="2" t="e">
        <f ca="1">_xll.BDH($C$128,"INVENTORY_GROWTH","FQ1 2016","FQ1 2016","Currency=INR","Period=FQ","BEST_FPERIOD_OVERRIDE=FQ","FILING_STATUS=OR","EQY_CONSOLIDATED=Y","Sort=A","Dates=H","DateFormat=P","Fill=—","Direction=H","UseDPDF=Y")</f>
        <v>#NAME?</v>
      </c>
      <c r="AB139" s="2" t="e">
        <f ca="1">_xll.BDH($C$128,"NET_FIXED_ASSETS_1_YEAR_GROWTH","FQ1 2016","FQ1 2016","Currency=INR","Period=FQ","BEST_FPERIOD_OVERRIDE=FQ","FILING_STATUS=OR","EQY_CONSOLIDATED=Y","Sort=A","Dates=H","DateFormat=P","Fill=—","Direction=H","UseDPDF=Y")</f>
        <v>#NAME?</v>
      </c>
      <c r="AC139" s="2" t="e">
        <f ca="1">_xll.BDH($C$128,"ASSET_GROWTH","FQ1 2016","FQ1 2016","Currency=INR","Period=FQ","BEST_FPERIOD_OVERRIDE=FQ","FILING_STATUS=OR","EQY_CONSOLIDATED=Y","Sort=A","Dates=H","DateFormat=P","Fill=—","Direction=H","UseDPDF=Y")</f>
        <v>#NAME?</v>
      </c>
      <c r="AD139" s="2" t="e">
        <f ca="1">_xll.BDH($C$128,"MODIFIED_WORK_CAP_GROWTH","FQ1 2016","FQ1 2016","Currency=INR","Period=FQ","BEST_FPERIOD_OVERRIDE=FQ","FILING_STATUS=OR","EQY_CONSOLIDATED=Y","Sort=A","Dates=H","DateFormat=P","Fill=—","Direction=H","UseDPDF=Y")</f>
        <v>#NAME?</v>
      </c>
      <c r="AE139" s="2" t="e">
        <f ca="1">_xll.BDH($C$128,"WORK_CAP_GROWTH","FQ1 2016","FQ1 2016","Currency=INR","Period=FQ","BEST_FPERIOD_OVERRIDE=FQ","FILING_STATUS=OR","EQY_CONSOLIDATED=Y","Sort=A","Dates=H","DateFormat=P","Fill=—","Direction=H","UseDPDF=Y")</f>
        <v>#NAME?</v>
      </c>
      <c r="AF139" s="2" t="e">
        <f ca="1">_xll.BDH($C$128,"ACCOUNTS_PAYABLE_GROWTH_1YR","FQ1 2016","FQ1 2016","Currency=INR","Period=FQ","BEST_FPERIOD_OVERRIDE=FQ","FILING_STATUS=OR","EQY_CONSOLIDATED=Y","Sort=A","Dates=H","DateFormat=P","Fill=—","Direction=H","UseDPDF=Y")</f>
        <v>#NAME?</v>
      </c>
      <c r="AG139" s="2" t="e">
        <f ca="1">_xll.BDH($C$128,"SHORT_TERM_DEBT_1_YEAR_GROWTH","FQ1 2016","FQ1 2016","Currency=INR","Period=FQ","BEST_FPERIOD_OVERRIDE=FQ","FILING_STATUS=OR","EQY_CONSOLIDATED=Y","Sort=A","Dates=H","DateFormat=P","Fill=—","Direction=H","UseDPDF=Y")</f>
        <v>#NAME?</v>
      </c>
      <c r="AH139" s="2" t="e">
        <f ca="1">_xll.BDH($C$128,"TOTAL_DEBT_1_YEAR_GROWTH","FQ1 2016","FQ1 2016","Currency=INR","Period=FQ","BEST_FPERIOD_OVERRIDE=FQ","FILING_STATUS=OR","EQY_CONSOLIDATED=Y","Sort=A","Dates=H","DateFormat=P","Fill=—","Direction=H","UseDPDF=Y")</f>
        <v>#NAME?</v>
      </c>
      <c r="AI139" s="2" t="e">
        <f ca="1">_xll.BDH($C$128,"TOTAL_EQUITY_1_YEAR_GROWTH","FQ1 2016","FQ1 2016","Currency=INR","Period=FQ","BEST_FPERIOD_OVERRIDE=FQ","FILING_STATUS=OR","EQY_CONSOLIDATED=Y","Sort=A","Dates=H","DateFormat=P","Fill=—","Direction=H","UseDPDF=Y")</f>
        <v>#NAME?</v>
      </c>
      <c r="AJ139" s="2" t="e">
        <f ca="1">_xll.BDH($C$128,"GROWTH_IN_CAP","FQ1 2016","FQ1 2016","Currency=INR","Period=FQ","BEST_FPERIOD_OVERRIDE=FQ","FILING_STATUS=OR","EQY_CONSOLIDATED=Y","Sort=A","Dates=H","DateFormat=P","Fill=—","Direction=H","UseDPDF=Y")</f>
        <v>#NAME?</v>
      </c>
      <c r="AK139" s="2" t="e">
        <f ca="1">_xll.BDH($C$128,"BVPS_GROWTH","FQ1 2016","FQ1 2016","Currency=INR","Period=FQ","BEST_FPERIOD_OVERRIDE=FQ","FILING_STATUS=OR","EQY_CONSOLIDATED=Y","Sort=A","Dates=H","DateFormat=P","Fill=—","Direction=H","UseDPDF=Y")</f>
        <v>#NAME?</v>
      </c>
      <c r="AL139" s="2" t="e">
        <f ca="1">_xll.BDH($C$128,"CASH_FLOW_GROWTH","FQ1 2016","FQ1 2016","Currency=INR","Period=FQ","BEST_FPERIOD_OVERRIDE=FQ","FILING_STATUS=OR","EQY_CONSOLIDATED=Y","Sort=A","Dates=H","DateFormat=P","Fill=—","Direction=H","UseDPDF=Y")</f>
        <v>#NAME?</v>
      </c>
      <c r="AM139" s="2" t="e">
        <f ca="1">_xll.BDH($C$128,"GEO_GROW_NET_SALES","FQ1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39" s="2" t="e">
        <f ca="1">_xll.BDH($C$128,"GEO_GROW_EBITDA","FQ1 2016","FQ1 2016","Currency=INR","Period=FQ","BEST_FPERIOD_OVERRIDE=FQ","FILING_STATUS=OR","EQY_CONSOLIDATED=Y","FA_ADJUSTED=GAAP","Sort=A","Dates=H","DateFormat=P","Fill=—","Direction=H","UseDPDF=Y")</f>
        <v>#NAME?</v>
      </c>
      <c r="AO139" s="2" t="e">
        <f ca="1">_xll.BDH($C$128,"GEO_GROW_OPER_INC","FQ1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39" s="2" t="e">
        <f ca="1">_xll.BDH($C$128,"NET_INCOME_TO_COMMON_5_YR_GROWTH","FQ1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39" s="2" t="e">
        <f ca="1">_xll.BDH($C$128,"5Y_GEO_GROWTH_DILUTED_EPS","FQ1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39" s="2" t="e">
        <f ca="1">_xll.BDH($C$128,"GEO_GROW_DVD_PER_SH","FQ1 2016","FQ1 2016","Currency=INR","Period=FQ","BEST_FPERIOD_OVERRIDE=FQ","FILING_STATUS=OR","EQY_CONSOLIDATED=Y","Sort=A","Dates=H","DateFormat=P","Fill=—","Direction=H","UseDPDF=Y")</f>
        <v>#NAME?</v>
      </c>
      <c r="AS139" s="2" t="e">
        <f ca="1">_xll.BDH($C$128,"ACCOUNTS_RECEIVABLE_5_YR_GROWTH","FQ1 2016","FQ1 2016","Currency=INR","Period=FQ","BEST_FPERIOD_OVERRIDE=FQ","FILING_STATUS=OR","EQY_CONSOLIDATED=Y","Sort=A","Dates=H","DateFormat=P","Fill=—","Direction=H","UseDPDF=Y")</f>
        <v>#NAME?</v>
      </c>
      <c r="AT139" s="2" t="e">
        <f ca="1">_xll.BDH($C$128,"INVENTORY_5_YEAR_GROWTH","FQ1 2016","FQ1 2016","Currency=INR","Period=FQ","BEST_FPERIOD_OVERRIDE=FQ","FILING_STATUS=OR","EQY_CONSOLIDATED=Y","Sort=A","Dates=H","DateFormat=P","Fill=—","Direction=H","UseDPDF=Y")</f>
        <v>#NAME?</v>
      </c>
      <c r="AU139" s="2" t="e">
        <f ca="1">_xll.BDH($C$128,"NET_FIXED_ASSETS_5_YEAR_GROWTH","FQ1 2016","FQ1 2016","Currency=INR","Period=FQ","BEST_FPERIOD_OVERRIDE=FQ","FILING_STATUS=OR","EQY_CONSOLIDATED=Y","Sort=A","Dates=H","DateFormat=P","Fill=—","Direction=H","UseDPDF=Y")</f>
        <v>#NAME?</v>
      </c>
      <c r="AV139" s="2" t="e">
        <f ca="1">_xll.BDH($C$128,"GEO_GROW_TOT_ASSET","FQ1 2016","FQ1 2016","Currency=INR","Period=FQ","BEST_FPERIOD_OVERRIDE=FQ","FILING_STATUS=OR","EQY_CONSOLIDATED=Y","Sort=A","Dates=H","DateFormat=P","Fill=—","Direction=H","UseDPDF=Y")</f>
        <v>#NAME?</v>
      </c>
      <c r="AW139" s="2" t="e">
        <f ca="1">_xll.BDH($C$128,"MODIFIED_WORKING_CPTL_5YR_GRWTH","FQ1 2016","FQ1 2016","Currency=INR","Period=FQ","BEST_FPERIOD_OVERRIDE=FQ","FILING_STATUS=OR","EQY_CONSOLIDATED=Y","Sort=A","Dates=H","DateFormat=P","Fill=—","Direction=H","UseDPDF=Y")</f>
        <v>#NAME?</v>
      </c>
      <c r="AX139" s="2" t="e">
        <f ca="1">_xll.BDH($C$128,"WORKING_CAPITAL_5_YEAR_GROWTH","FQ1 2016","FQ1 2016","Currency=INR","Period=FQ","BEST_FPERIOD_OVERRIDE=FQ","FILING_STATUS=OR","EQY_CONSOLIDATED=Y","Sort=A","Dates=H","DateFormat=P","Fill=—","Direction=H","UseDPDF=Y")</f>
        <v>#NAME?</v>
      </c>
      <c r="AY139" s="2" t="e">
        <f ca="1">_xll.BDH($C$128,"ACCOUNTS_PAYABLE_5_YEAR_GROWTH","FQ1 2016","FQ1 2016","Currency=INR","Period=FQ","BEST_FPERIOD_OVERRIDE=FQ","FILING_STATUS=OR","EQY_CONSOLIDATED=Y","Sort=A","Dates=H","DateFormat=P","Fill=—","Direction=H","UseDPDF=Y")</f>
        <v>#NAME?</v>
      </c>
      <c r="AZ139" s="2" t="e">
        <f ca="1">_xll.BDH($C$128,"SHORT_TERM_DEBT_5_YEAR_GROWTH","FQ1 2016","FQ1 2016","Currency=INR","Period=FQ","BEST_FPERIOD_OVERRIDE=FQ","FILING_STATUS=OR","EQY_CONSOLIDATED=Y","Sort=A","Dates=H","DateFormat=P","Fill=—","Direction=H","UseDPDF=Y")</f>
        <v>#NAME?</v>
      </c>
      <c r="BA139" s="2" t="e">
        <f ca="1">_xll.BDH($C$128,"TOTAL_DEBT_5_YEAR_GROWTH","FQ1 2016","FQ1 2016","Currency=INR","Period=FQ","BEST_FPERIOD_OVERRIDE=FQ","FILING_STATUS=OR","EQY_CONSOLIDATED=Y","Sort=A","Dates=H","DateFormat=P","Fill=—","Direction=H","UseDPDF=Y")</f>
        <v>#NAME?</v>
      </c>
      <c r="BB139" s="2" t="e">
        <f ca="1">_xll.BDH($C$128,"GEO_GROW_TOT_SHRHLDR_EQY","FQ1 2016","FQ1 2016","Currency=INR","Period=FQ","BEST_FPERIOD_OVERRIDE=FQ","FILING_STATUS=OR","EQY_CONSOLIDATED=Y","Sort=A","Dates=H","DateFormat=P","Fill=—","Direction=H","UseDPDF=Y")</f>
        <v>#NAME?</v>
      </c>
      <c r="BC139" s="2" t="e">
        <f ca="1">_xll.BDH($C$128,"TOTAL_CAPITAL_5_YEAR_GROWTH","FQ1 2016","FQ1 2016","Currency=INR","Period=FQ","BEST_FPERIOD_OVERRIDE=FQ","FILING_STATUS=OR","EQY_CONSOLIDATED=Y","Sort=A","Dates=H","DateFormat=P","Fill=—","Direction=H","UseDPDF=Y")</f>
        <v>#NAME?</v>
      </c>
      <c r="BD139" s="2" t="e">
        <f ca="1">_xll.BDH($C$128,"GEO_GROW_BOOK_VAL","FQ1 2016","FQ1 2016","Currency=INR","Period=FQ","BEST_FPERIOD_OVERRIDE=FQ","FILING_STATUS=OR","EQY_CONSOLIDATED=Y","Sort=A","Dates=H","DateFormat=P","Fill=—","Direction=H","UseDPDF=Y")</f>
        <v>#NAME?</v>
      </c>
      <c r="BE139" s="2" t="e">
        <f ca="1">_xll.BDH($C$128,"GEO_GROW_CASH_OPER_ACT","FQ1 2016","FQ1 2016","Currency=INR","Period=FQ","BEST_FPERIOD_OVERRIDE=FQ","FILING_STATUS=OR","EQY_CONSOLIDATED=Y","Sort=A","Dates=H","DateFormat=P","Fill=—","Direction=H","UseDPDF=Y")</f>
        <v>#NAME?</v>
      </c>
      <c r="BF139" s="2" t="e">
        <f ca="1">_xll.BDH($C$128,"REVENUE_SEQUENTIAL_GROWTH","FQ1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39" s="2" t="e">
        <f ca="1">_xll.BDH($C$128,"EBITDA_SEQUENTIAL_GROWTH","FQ1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39" s="2" t="e">
        <f ca="1">_xll.BDH($C$128,"OPERATING_INCOME_SEQ_GROWTH","FQ1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39" s="2" t="e">
        <f ca="1">_xll.BDH($C$128,"NET_INCOME_TO_COMMON_SEQ_GROWTH","FQ1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39" s="2" t="e">
        <f ca="1">_xll.BDH($C$128,"EPS_DILUTED_SEQUENTIAL_GROWTH","FQ1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39" s="2" t="e">
        <f ca="1">_xll.BDH($C$128,"DPS_SEQUENTIAL_GROWTH","FQ1 2016","FQ1 2016","Currency=INR","Period=FQ","BEST_FPERIOD_OVERRIDE=FQ","FILING_STATUS=OR","EQY_CONSOLIDATED=Y","Sort=A","Dates=H","DateFormat=P","Fill=—","Direction=H","UseDPDF=Y")</f>
        <v>#NAME?</v>
      </c>
      <c r="BL139" s="2" t="e">
        <f ca="1">_xll.BDH($C$128,"ACCOUNTS_RECEIVABLE_SEQ_GROWTH","FQ1 2016","FQ1 2016","Currency=INR","Period=FQ","BEST_FPERIOD_OVERRIDE=FQ","FILING_STATUS=OR","EQY_CONSOLIDATED=Y","Sort=A","Dates=H","DateFormat=P","Fill=—","Direction=H","UseDPDF=Y")</f>
        <v>#NAME?</v>
      </c>
      <c r="BM139" s="2" t="e">
        <f ca="1">_xll.BDH($C$128,"INVENTORY_SEQUENTIAL_GROWTH","FQ1 2016","FQ1 2016","Currency=INR","Period=FQ","BEST_FPERIOD_OVERRIDE=FQ","FILING_STATUS=OR","EQY_CONSOLIDATED=Y","Sort=A","Dates=H","DateFormat=P","Fill=—","Direction=H","UseDPDF=Y")</f>
        <v>#NAME?</v>
      </c>
      <c r="BN139" s="2" t="e">
        <f ca="1">_xll.BDH($C$128,"FIXED_ASSETS_SEQUENTIAL_GROWTH","FQ1 2016","FQ1 2016","Currency=INR","Period=FQ","BEST_FPERIOD_OVERRIDE=FQ","FILING_STATUS=OR","EQY_CONSOLIDATED=Y","Sort=A","Dates=H","DateFormat=P","Fill=—","Direction=H","UseDPDF=Y")</f>
        <v>#NAME?</v>
      </c>
      <c r="BO139" s="2" t="e">
        <f ca="1">_xll.BDH($C$128,"TOTAL_ASSETS_SEQUENTIAL_GROWTH","FQ1 2016","FQ1 2016","Currency=INR","Period=FQ","BEST_FPERIOD_OVERRIDE=FQ","FILING_STATUS=OR","EQY_CONSOLIDATED=Y","Sort=A","Dates=H","DateFormat=P","Fill=—","Direction=H","UseDPDF=Y")</f>
        <v>#NAME?</v>
      </c>
      <c r="BP139" s="2" t="e">
        <f ca="1">_xll.BDH($C$128,"MODIFIED_WORKING_CPTL_SEQ_GRWTH","FQ1 2016","FQ1 2016","Currency=INR","Period=FQ","BEST_FPERIOD_OVERRIDE=FQ","FILING_STATUS=OR","EQY_CONSOLIDATED=Y","Sort=A","Dates=H","DateFormat=P","Fill=—","Direction=H","UseDPDF=Y")</f>
        <v>#NAME?</v>
      </c>
      <c r="BQ139" s="2" t="e">
        <f ca="1">_xll.BDH($C$128,"WORKING_CAPITAL_SEQ_GROWTH","FQ1 2016","FQ1 2016","Currency=INR","Period=FQ","BEST_FPERIOD_OVERRIDE=FQ","FILING_STATUS=OR","EQY_CONSOLIDATED=Y","Sort=A","Dates=H","DateFormat=P","Fill=—","Direction=H","UseDPDF=Y")</f>
        <v>#NAME?</v>
      </c>
      <c r="BR139" s="2" t="e">
        <f ca="1">_xll.BDH($C$128,"ACCOUNTS_PAYABLE_SEQ_GROWTH","FQ1 2016","FQ1 2016","Currency=INR","Period=FQ","BEST_FPERIOD_OVERRIDE=FQ","FILING_STATUS=OR","EQY_CONSOLIDATED=Y","Sort=A","Dates=H","DateFormat=P","Fill=—","Direction=H","UseDPDF=Y")</f>
        <v>#NAME?</v>
      </c>
      <c r="BS139" s="2" t="e">
        <f ca="1">_xll.BDH($C$128,"ST_DEBT_SEQUENTIAL_GROWTH","FQ1 2016","FQ1 2016","Currency=INR","Period=FQ","BEST_FPERIOD_OVERRIDE=FQ","FILING_STATUS=OR","EQY_CONSOLIDATED=Y","Sort=A","Dates=H","DateFormat=P","Fill=—","Direction=H","UseDPDF=Y")</f>
        <v>#NAME?</v>
      </c>
      <c r="BT139" s="2" t="e">
        <f ca="1">_xll.BDH($C$128,"TOTAL_DEBT_SEQUENTIAL_GROWTH","FQ1 2016","FQ1 2016","Currency=INR","Period=FQ","BEST_FPERIOD_OVERRIDE=FQ","FILING_STATUS=OR","EQY_CONSOLIDATED=Y","Sort=A","Dates=H","DateFormat=P","Fill=—","Direction=H","UseDPDF=Y")</f>
        <v>#NAME?</v>
      </c>
      <c r="BU139" s="2" t="e">
        <f ca="1">_xll.BDH($C$128,"TOTAL_EQUITY_SEQUENTIAL_GROWTH","FQ1 2016","FQ1 2016","Currency=INR","Period=FQ","BEST_FPERIOD_OVERRIDE=FQ","FILING_STATUS=OR","EQY_CONSOLIDATED=Y","Sort=A","Dates=H","DateFormat=P","Fill=—","Direction=H","UseDPDF=Y")</f>
        <v>#NAME?</v>
      </c>
      <c r="BV139" s="2" t="e">
        <f ca="1">_xll.BDH($C$128,"TOTAL_CAPITAL_SEQUENTIAL_GROWTH","FQ1 2016","FQ1 2016","Currency=INR","Period=FQ","BEST_FPERIOD_OVERRIDE=FQ","FILING_STATUS=OR","EQY_CONSOLIDATED=Y","Sort=A","Dates=H","DateFormat=P","Fill=—","Direction=H","UseDPDF=Y")</f>
        <v>#NAME?</v>
      </c>
      <c r="BW139" s="2" t="e">
        <f ca="1">_xll.BDH($C$128,"BPS_SEQUENTIAL_GROWTH","FQ1 2016","FQ1 2016","Currency=INR","Period=FQ","BEST_FPERIOD_OVERRIDE=FQ","FILING_STATUS=OR","EQY_CONSOLIDATED=Y","Sort=A","Dates=H","DateFormat=P","Fill=—","Direction=H","UseDPDF=Y")</f>
        <v>#NAME?</v>
      </c>
      <c r="BX139" s="2" t="e">
        <f ca="1">_xll.BDH($C$128,"CFO_SEQUENTIAL_GROWTH","FQ1 2016","FQ1 2016","Currency=INR","Period=FQ","BEST_FPERIOD_OVERRIDE=FQ","FILING_STATUS=OR","EQY_CONSOLIDATED=Y","Sort=A","Dates=H","DateFormat=P","Fill=—","Direction=H","UseDPDF=Y")</f>
        <v>#NAME?</v>
      </c>
      <c r="BY139" s="3" t="e">
        <f ca="1">_xll.BDH($C$128,"SHORT_AND_LONG_TERM_DEBT","FQ1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39" s="3" t="e">
        <f ca="1">_xll.BDH($C$128,"BS_ST_BORROW","FQ1 2016","FQ1 2016","Currency=INR","Period=FQ","BEST_FPERIOD_OVERRIDE=FQ","FILING_STATUS=OR","EQY_CONSOLIDATED=Y","SCALING_FORMAT=MLN","Sort=A","Dates=H","DateFormat=P","Fill=—","Direction=H","UseDPDF=Y")</f>
        <v>#NAME?</v>
      </c>
      <c r="CA139" s="3" t="e">
        <f ca="1">_xll.BDH($C$128,"BS_LT_BORROW","FQ1 2016","FQ1 2016","Currency=INR","Period=FQ","BEST_FPERIOD_OVERRIDE=FQ","FILING_STATUS=OR","EQY_CONSOLIDATED=Y","SCALING_FORMAT=MLN","Sort=A","Dates=H","DateFormat=P","Fill=—","Direction=H","UseDPDF=Y")</f>
        <v>#NAME?</v>
      </c>
      <c r="CB139" s="2" t="e">
        <f ca="1">_xll.BDH($C$128,"TOT_DEBT_TO_EBITDA","FQ1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39" s="2" t="e">
        <f ca="1">_xll.BDH($C$128,"NET_DEBT_TO_EBITDA","FQ1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39" s="2" t="e">
        <f ca="1">_xll.BDH($C$128,"TOTAL_DEBT_TO_EBIT","FQ1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39" s="2" t="e">
        <f ca="1">_xll.BDH($C$128,"NET_DEBT_TO_EBIT","FQ1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39" s="2" t="e">
        <f ca="1">_xll.BDH($C$128,"EBITDA_TO_INTEREST_EXPN","FQ1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39" s="2" t="e">
        <f ca="1">_xll.BDH($C$128,"COM_EQY_TO_TOT_ASSET","FQ1 2016","FQ1 2016","Currency=INR","Period=FQ","BEST_FPERIOD_OVERRIDE=FQ","FILING_STATUS=OR","EQY_CONSOLIDATED=Y","Sort=A","Dates=H","DateFormat=P","Fill=—","Direction=H","UseDPDF=Y")</f>
        <v>#NAME?</v>
      </c>
      <c r="CH139" s="2" t="e">
        <f ca="1">_xll.BDH($C$128,"LT_DEBT_TO_TOT_EQY","FQ1 2016","FQ1 2016","Currency=INR","Period=FQ","BEST_FPERIOD_OVERRIDE=FQ","FILING_STATUS=OR","EQY_CONSOLIDATED=Y","Sort=A","Dates=H","DateFormat=P","Fill=—","Direction=H","UseDPDF=Y")</f>
        <v>#NAME?</v>
      </c>
      <c r="CI139" s="2" t="e">
        <f ca="1">_xll.BDH($C$128,"LT_DEBT_TO_TOT_CAP","FQ1 2016","FQ1 2016","Currency=INR","Period=FQ","BEST_FPERIOD_OVERRIDE=FQ","FILING_STATUS=OR","EQY_CONSOLIDATED=Y","Sort=A","Dates=H","DateFormat=P","Fill=—","Direction=H","UseDPDF=Y")</f>
        <v>#NAME?</v>
      </c>
      <c r="CJ139" s="2" t="e">
        <f ca="1">_xll.BDH($C$128,"LT_DEBT_TO_TOT_ASSET","FQ1 2016","FQ1 2016","Currency=INR","Period=FQ","BEST_FPERIOD_OVERRIDE=FQ","FILING_STATUS=OR","EQY_CONSOLIDATED=Y","Sort=A","Dates=H","DateFormat=P","Fill=—","Direction=H","UseDPDF=Y")</f>
        <v>#NAME?</v>
      </c>
      <c r="CK139" s="2" t="e">
        <f ca="1">_xll.BDH($C$128,"TOT_DEBT_TO_TOT_EQY","FQ1 2016","FQ1 2016","Currency=INR","Period=FQ","BEST_FPERIOD_OVERRIDE=FQ","FILING_STATUS=OR","EQY_CONSOLIDATED=Y","Sort=A","Dates=H","DateFormat=P","Fill=—","Direction=H","UseDPDF=Y")</f>
        <v>#NAME?</v>
      </c>
      <c r="CL139" s="2" t="e">
        <f ca="1">_xll.BDH($C$128,"TOT_DEBT_TO_TOT_CAP","FQ1 2016","FQ1 2016","Currency=INR","Period=FQ","BEST_FPERIOD_OVERRIDE=FQ","FILING_STATUS=OR","EQY_CONSOLIDATED=Y","Sort=A","Dates=H","DateFormat=P","Fill=—","Direction=H","UseDPDF=Y")</f>
        <v>#NAME?</v>
      </c>
      <c r="CM139" s="2" t="e">
        <f ca="1">_xll.BDH($C$128,"TOT_DEBT_TO_TOT_ASSET","FQ1 2016","FQ1 2016","Currency=INR","Period=FQ","BEST_FPERIOD_OVERRIDE=FQ","FILING_STATUS=OR","EQY_CONSOLIDATED=Y","Sort=A","Dates=H","DateFormat=P","Fill=—","Direction=H","UseDPDF=Y")</f>
        <v>#NAME?</v>
      </c>
      <c r="CN139" s="2" t="e">
        <f ca="1">_xll.BDH($C$128,"NET_DEBT_TO_SHRHLDR_EQTY","FQ1 2016","FQ1 2016","Currency=INR","Period=FQ","BEST_FPERIOD_OVERRIDE=FQ","FILING_STATUS=OR","EQY_CONSOLIDATED=Y","Sort=A","Dates=H","DateFormat=P","Fill=—","Direction=H","UseDPDF=Y")</f>
        <v>#NAME?</v>
      </c>
      <c r="CO139" s="2" t="e">
        <f ca="1">_xll.BDH($C$128,"NET_DEBT_%_CAPITAL","FQ1 2016","FQ1 2016","Currency=INR","Period=FQ","BEST_FPERIOD_OVERRIDE=FQ","FILING_STATUS=OR","EQY_CONSOLIDATED=Y","Sort=A","Dates=H","DateFormat=P","Fill=—","Direction=H","UseDPDF=Y")</f>
        <v>#NAME?</v>
      </c>
      <c r="CP139" s="3" t="e">
        <f ca="1">_xll.BDH($C$128,"EBITDA","FQ1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39" s="3" t="e">
        <f ca="1">_xll.BDH($C$128,"EBITDA_AFTER_CAPEX","FQ1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39" s="3" t="e">
        <f ca="1">_xll.BDH($C$128,"IS_OPER_INC","FQ1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39" s="2" t="e">
        <f ca="1">_xll.BDH($C$128,"CASH_RATIO","FQ1 2016","FQ1 2016","Currency=INR","Period=FQ","BEST_FPERIOD_OVERRIDE=FQ","FILING_STATUS=OR","EQY_CONSOLIDATED=Y","Sort=A","Dates=H","DateFormat=P","Fill=—","Direction=H","UseDPDF=Y")</f>
        <v>#NAME?</v>
      </c>
      <c r="CT139" s="2" t="e">
        <f ca="1">_xll.BDH($C$128,"CUR_RATIO","FQ1 2016","FQ1 2016","Currency=INR","Period=FQ","BEST_FPERIOD_OVERRIDE=FQ","FILING_STATUS=OR","EQY_CONSOLIDATED=Y","Sort=A","Dates=H","DateFormat=P","Fill=—","Direction=H","UseDPDF=Y")</f>
        <v>#NAME?</v>
      </c>
      <c r="CU139" s="2" t="e">
        <f ca="1">_xll.BDH($C$128,"QUICK_RATIO","FQ1 2016","FQ1 2016","Currency=INR","Period=FQ","BEST_FPERIOD_OVERRIDE=FQ","FILING_STATUS=OR","EQY_CONSOLIDATED=Y","Sort=A","Dates=H","DateFormat=P","Fill=—","Direction=H","UseDPDF=Y")</f>
        <v>#NAME?</v>
      </c>
      <c r="CV139" s="2" t="e">
        <f ca="1">_xll.BDH($C$128,"ALTMAN_Z_SCORE","FQ1 2016","FQ1 2016","Currency=INR","Period=FQ","BEST_FPERIOD_OVERRIDE=FQ","FILING_STATUS=OR","EQY_CONSOLIDATED=Y","Sort=A","Dates=H","DateFormat=P","Fill=—","Direction=H","UseDPDF=Y")</f>
        <v>#NAME?</v>
      </c>
      <c r="CW139" s="4" t="e">
        <f ca="1">_xll.BDH($C$128,"ACCT_RCV_TURN","FQ1 2016","FQ1 2016","Currency=INR","Period=FQ","BEST_FPERIOD_OVERRIDE=FQ","FILING_STATUS=OR","EQY_CONSOLIDATED=Y","FA_ADJUSTED=GAAP","Sort=A","Dates=H","DateFormat=P","Fill=—","Direction=H","UseDPDF=Y")</f>
        <v>#NAME?</v>
      </c>
      <c r="CX139" s="2" t="e">
        <f ca="1">_xll.BDH($C$128,"ACCT_RCV_DAYS","FQ1 2016","FQ1 2016","Currency=INR","Period=FQ","BEST_FPERIOD_OVERRIDE=FQ","FILING_STATUS=OR","EQY_CONSOLIDATED=Y","FA_ADJUSTED=GAAP","Sort=A","Dates=H","DateFormat=P","Fill=—","Direction=H","UseDPDF=Y")</f>
        <v>#NAME?</v>
      </c>
      <c r="CY139" s="4" t="e">
        <f ca="1">_xll.BDH($C$128,"INVENT_TURN","FQ1 2016","FQ1 2016","Currency=INR","Period=FQ","BEST_FPERIOD_OVERRIDE=FQ","FILING_STATUS=OR","EQY_CONSOLIDATED=Y","FA_ADJUSTED=GAAP","Sort=A","Dates=H","DateFormat=P","Fill=—","Direction=H","UseDPDF=Y")</f>
        <v>#NAME?</v>
      </c>
      <c r="CZ139" s="2" t="e">
        <f ca="1">_xll.BDH($C$128,"INVENT_DAYS","FQ1 2016","FQ1 2016","Currency=INR","Period=FQ","BEST_FPERIOD_OVERRIDE=FQ","FILING_STATUS=OR","EQY_CONSOLIDATED=Y","FA_ADJUSTED=GAAP","Sort=A","Dates=H","DateFormat=P","Fill=—","Direction=H","UseDPDF=Y")</f>
        <v>#NAME?</v>
      </c>
      <c r="DA139" s="4" t="e">
        <f ca="1">_xll.BDH($C$128,"ACCOUNTS_PAYABLE_TURNOVER","FQ1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39" s="2" t="e">
        <f ca="1">_xll.BDH($C$128,"ACCOUNTS_PAYABLE_TURNOVER_DAYS","FQ1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39" s="4" t="e">
        <f ca="1">_xll.BDH($C$128,"CASH_CONVERSION_CYCLE","FQ1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39" s="4" t="e">
        <f ca="1">_xll.BDH($C$128,"INV_TO_CASH_DAYS","FQ1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39" s="5" t="e">
        <f ca="1">_xll.BDH($C$128,"BS_INVENTORIES","FQ1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39" s="3" t="e">
        <f ca="1">_xll.BDH($C$128,"INVTRY_RAW_MATERIALS","FQ1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39" s="3" t="e">
        <f ca="1">_xll.BDH($C$128,"INVTRY_IN_PROGRESS","FQ1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39" s="3" t="e">
        <f ca="1">_xll.BDH($C$128,"INVTRY_FINISHED_GOODS","FQ1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39" s="3" t="e">
        <f ca="1">_xll.BDH($C$128,"BS_OTHER_INV","FQ1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40" spans="1:113" x14ac:dyDescent="0.3">
      <c r="A140" s="6"/>
      <c r="B140" s="6"/>
      <c r="C140" s="6"/>
      <c r="D140" s="6"/>
      <c r="E140" t="s">
        <v>79</v>
      </c>
      <c r="F140" t="e">
        <f ca="1">_xll.BDH($C$128,"RETURN_COM_EQY","FQ2 2016","FQ2 2016","Currency=INR","Period=FQ","BEST_FPERIOD_OVERRIDE=FQ","FILING_STATUS=OR","EQY_CONSOLIDATED=Y","FA_ADJUSTED=GAAP","Sort=A","Dates=H","DateFormat=P","Fill=—","Direction=H","UseDPDF=Y")</f>
        <v>#NAME?</v>
      </c>
      <c r="G140" t="e">
        <f ca="1">_xll.BDH($C$128,"RETURN_ON_ASSET","FQ2 2016","FQ2 2016","Currency=INR","Period=FQ","BEST_FPERIOD_OVERRIDE=FQ","FILING_STATUS=OR","EQY_CONSOLIDATED=Y","FA_ADJUSTED=GAAP","Sort=A","Dates=H","DateFormat=P","Fill=—","Direction=H","UseDPDF=Y")</f>
        <v>#NAME?</v>
      </c>
      <c r="H140" t="e">
        <f ca="1">_xll.BDH($C$128,"RETURN_ON_CAP","FQ2 2016","FQ2 2016","Currency=INR","Period=FQ","BEST_FPERIOD_OVERRIDE=FQ","FILING_STATUS=OR","EQY_CONSOLIDATED=Y","FA_ADJUSTED=GAAP","Sort=A","Dates=H","DateFormat=P","Fill=—","Direction=H","UseDPDF=Y")</f>
        <v>#NAME?</v>
      </c>
      <c r="I140" t="e">
        <f ca="1">_xll.BDH($C$128,"RETURN_ON_INV_CAPITAL","FQ2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40" t="e">
        <f ca="1">_xll.BDH($C$128,"EBITDA_TO_REVENUE","FQ2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40" t="e">
        <f ca="1">_xll.BDH($C$128,"OPER_MARGIN","FQ2 2016","FQ2 2016","Currency=INR","Period=FQ","BEST_FPERIOD_OVERRIDE=FQ","FILING_STATUS=OR","EQY_CONSOLIDATED=Y","FA_ADJUSTED=GAAP","Sort=A","Dates=H","DateFormat=P","Fill=—","Direction=H","UseDPDF=Y")</f>
        <v>#NAME?</v>
      </c>
      <c r="L140" t="e">
        <f ca="1">_xll.BDH($C$128,"INCREMENTAL_OPERATING_MARGIN","FQ2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40" t="e">
        <f ca="1">_xll.BDH($C$128,"PRETAX_INC_TO_NET_SALES","FQ2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40" t="e">
        <f ca="1">_xll.BDH($C$128,"INC_BEF_XO_ITEMS_TO_NET_SALES","FQ2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40" t="e">
        <f ca="1">_xll.BDH($C$128,"PROF_MARGIN","FQ2 2016","FQ2 2016","Currency=INR","Period=FQ","BEST_FPERIOD_OVERRIDE=FQ","FILING_STATUS=OR","EQY_CONSOLIDATED=Y","FA_ADJUSTED=GAAP","Sort=A","Dates=H","DateFormat=P","Fill=—","Direction=H","UseDPDF=Y")</f>
        <v>#NAME?</v>
      </c>
      <c r="P140" t="e">
        <f ca="1">_xll.BDH($C$128,"NET_INCOME_TO_COMMON_MARGIN","FQ2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40" t="e">
        <f ca="1">_xll.BDH($C$128,"EFF_TAX_RATE","FQ2 2016","FQ2 2016","Currency=INR","Period=FQ","BEST_FPERIOD_OVERRIDE=FQ","FILING_STATUS=OR","EQY_CONSOLIDATED=Y","FA_ADJUSTED=GAAP","Sort=A","Dates=H","DateFormat=P","Fill=—","Direction=H","UseDPDF=Y")</f>
        <v>#NAME?</v>
      </c>
      <c r="R140" t="e">
        <f ca="1">_xll.BDH($C$128,"DVD_PAYOUT_RATIO","FQ2 2016","FQ2 2016","Currency=INR","Period=FQ","BEST_FPERIOD_OVERRIDE=FQ","FILING_STATUS=OR","EQY_CONSOLIDATED=Y","FA_ADJUSTED=GAAP","Sort=A","Dates=H","DateFormat=P","Fill=—","Direction=H","UseDPDF=Y")</f>
        <v>#NAME?</v>
      </c>
      <c r="S140" t="e">
        <f ca="1">_xll.BDH($C$128,"SUSTAIN_GROWTH_RT","FQ2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40" s="2" t="e">
        <f ca="1">_xll.BDH($C$128,"SALES_GROWTH","FQ2 2016","FQ2 2016","Currency=INR","Period=FQ","BEST_FPERIOD_OVERRIDE=FQ","FILING_STATUS=OR","EQY_CONSOLIDATED=Y","FA_ADJUSTED=GAAP","Sort=A","Dates=H","DateFormat=P","Fill=—","Direction=H","UseDPDF=Y")</f>
        <v>#NAME?</v>
      </c>
      <c r="U140" s="2" t="e">
        <f ca="1">_xll.BDH($C$128,"EBITDA_GROWTH","FQ2 2016","FQ2 2016","Currency=INR","Period=FQ","BEST_FPERIOD_OVERRIDE=FQ","FILING_STATUS=OR","EQY_CONSOLIDATED=Y","FA_ADJUSTED=GAAP","Sort=A","Dates=H","DateFormat=P","Fill=—","Direction=H","UseDPDF=Y")</f>
        <v>#NAME?</v>
      </c>
      <c r="V140" s="2" t="e">
        <f ca="1">_xll.BDH($C$128,"OPER_INC_GROWTH","FQ2 2016","FQ2 2016","Currency=INR","Period=FQ","BEST_FPERIOD_OVERRIDE=FQ","FILING_STATUS=OR","EQY_CONSOLIDATED=Y","FA_ADJUSTED=GAAP","Sort=A","Dates=H","DateFormat=P","Fill=—","Direction=H","UseDPDF=Y")</f>
        <v>#NAME?</v>
      </c>
      <c r="W140" s="2" t="e">
        <f ca="1">_xll.BDH($C$128,"EARN_FOR_COM_GROWTH","FQ2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40" s="2" t="e">
        <f ca="1">_xll.BDH($C$128,"DILUTED_EPS_AFT_XO_ITEMS_GROWTH","FQ2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40" s="2" t="e">
        <f ca="1">_xll.BDH($C$128,"DIVIDEND_PER_SHARE_1_YEAR_GROWTH","FQ2 2016","FQ2 2016","Currency=INR","Period=FQ","BEST_FPERIOD_OVERRIDE=FQ","FILING_STATUS=OR","EQY_CONSOLIDATED=Y","Sort=A","Dates=H","DateFormat=P","Fill=—","Direction=H","UseDPDF=Y")</f>
        <v>#NAME?</v>
      </c>
      <c r="Z140" s="2" t="e">
        <f ca="1">_xll.BDH($C$128,"ACCOUNTS_RECEIVABLE_GROWTH","FQ2 2016","FQ2 2016","Currency=INR","Period=FQ","BEST_FPERIOD_OVERRIDE=FQ","FILING_STATUS=OR","EQY_CONSOLIDATED=Y","Sort=A","Dates=H","DateFormat=P","Fill=—","Direction=H","UseDPDF=Y")</f>
        <v>#NAME?</v>
      </c>
      <c r="AA140" s="2" t="e">
        <f ca="1">_xll.BDH($C$128,"INVENTORY_GROWTH","FQ2 2016","FQ2 2016","Currency=INR","Period=FQ","BEST_FPERIOD_OVERRIDE=FQ","FILING_STATUS=OR","EQY_CONSOLIDATED=Y","Sort=A","Dates=H","DateFormat=P","Fill=—","Direction=H","UseDPDF=Y")</f>
        <v>#NAME?</v>
      </c>
      <c r="AB140" s="2" t="e">
        <f ca="1">_xll.BDH($C$128,"NET_FIXED_ASSETS_1_YEAR_GROWTH","FQ2 2016","FQ2 2016","Currency=INR","Period=FQ","BEST_FPERIOD_OVERRIDE=FQ","FILING_STATUS=OR","EQY_CONSOLIDATED=Y","Sort=A","Dates=H","DateFormat=P","Fill=—","Direction=H","UseDPDF=Y")</f>
        <v>#NAME?</v>
      </c>
      <c r="AC140" s="2" t="e">
        <f ca="1">_xll.BDH($C$128,"ASSET_GROWTH","FQ2 2016","FQ2 2016","Currency=INR","Period=FQ","BEST_FPERIOD_OVERRIDE=FQ","FILING_STATUS=OR","EQY_CONSOLIDATED=Y","Sort=A","Dates=H","DateFormat=P","Fill=—","Direction=H","UseDPDF=Y")</f>
        <v>#NAME?</v>
      </c>
      <c r="AD140" s="2" t="e">
        <f ca="1">_xll.BDH($C$128,"MODIFIED_WORK_CAP_GROWTH","FQ2 2016","FQ2 2016","Currency=INR","Period=FQ","BEST_FPERIOD_OVERRIDE=FQ","FILING_STATUS=OR","EQY_CONSOLIDATED=Y","Sort=A","Dates=H","DateFormat=P","Fill=—","Direction=H","UseDPDF=Y")</f>
        <v>#NAME?</v>
      </c>
      <c r="AE140" s="2" t="e">
        <f ca="1">_xll.BDH($C$128,"WORK_CAP_GROWTH","FQ2 2016","FQ2 2016","Currency=INR","Period=FQ","BEST_FPERIOD_OVERRIDE=FQ","FILING_STATUS=OR","EQY_CONSOLIDATED=Y","Sort=A","Dates=H","DateFormat=P","Fill=—","Direction=H","UseDPDF=Y")</f>
        <v>#NAME?</v>
      </c>
      <c r="AF140" s="2" t="e">
        <f ca="1">_xll.BDH($C$128,"ACCOUNTS_PAYABLE_GROWTH_1YR","FQ2 2016","FQ2 2016","Currency=INR","Period=FQ","BEST_FPERIOD_OVERRIDE=FQ","FILING_STATUS=OR","EQY_CONSOLIDATED=Y","Sort=A","Dates=H","DateFormat=P","Fill=—","Direction=H","UseDPDF=Y")</f>
        <v>#NAME?</v>
      </c>
      <c r="AG140" s="2" t="e">
        <f ca="1">_xll.BDH($C$128,"SHORT_TERM_DEBT_1_YEAR_GROWTH","FQ2 2016","FQ2 2016","Currency=INR","Period=FQ","BEST_FPERIOD_OVERRIDE=FQ","FILING_STATUS=OR","EQY_CONSOLIDATED=Y","Sort=A","Dates=H","DateFormat=P","Fill=—","Direction=H","UseDPDF=Y")</f>
        <v>#NAME?</v>
      </c>
      <c r="AH140" s="2" t="e">
        <f ca="1">_xll.BDH($C$128,"TOTAL_DEBT_1_YEAR_GROWTH","FQ2 2016","FQ2 2016","Currency=INR","Period=FQ","BEST_FPERIOD_OVERRIDE=FQ","FILING_STATUS=OR","EQY_CONSOLIDATED=Y","Sort=A","Dates=H","DateFormat=P","Fill=—","Direction=H","UseDPDF=Y")</f>
        <v>#NAME?</v>
      </c>
      <c r="AI140" s="2" t="e">
        <f ca="1">_xll.BDH($C$128,"TOTAL_EQUITY_1_YEAR_GROWTH","FQ2 2016","FQ2 2016","Currency=INR","Period=FQ","BEST_FPERIOD_OVERRIDE=FQ","FILING_STATUS=OR","EQY_CONSOLIDATED=Y","Sort=A","Dates=H","DateFormat=P","Fill=—","Direction=H","UseDPDF=Y")</f>
        <v>#NAME?</v>
      </c>
      <c r="AJ140" s="2" t="e">
        <f ca="1">_xll.BDH($C$128,"GROWTH_IN_CAP","FQ2 2016","FQ2 2016","Currency=INR","Period=FQ","BEST_FPERIOD_OVERRIDE=FQ","FILING_STATUS=OR","EQY_CONSOLIDATED=Y","Sort=A","Dates=H","DateFormat=P","Fill=—","Direction=H","UseDPDF=Y")</f>
        <v>#NAME?</v>
      </c>
      <c r="AK140" s="2" t="e">
        <f ca="1">_xll.BDH($C$128,"BVPS_GROWTH","FQ2 2016","FQ2 2016","Currency=INR","Period=FQ","BEST_FPERIOD_OVERRIDE=FQ","FILING_STATUS=OR","EQY_CONSOLIDATED=Y","Sort=A","Dates=H","DateFormat=P","Fill=—","Direction=H","UseDPDF=Y")</f>
        <v>#NAME?</v>
      </c>
      <c r="AL140" s="2" t="e">
        <f ca="1">_xll.BDH($C$128,"CASH_FLOW_GROWTH","FQ2 2016","FQ2 2016","Currency=INR","Period=FQ","BEST_FPERIOD_OVERRIDE=FQ","FILING_STATUS=OR","EQY_CONSOLIDATED=Y","Sort=A","Dates=H","DateFormat=P","Fill=—","Direction=H","UseDPDF=Y")</f>
        <v>#NAME?</v>
      </c>
      <c r="AM140" s="2" t="e">
        <f ca="1">_xll.BDH($C$128,"GEO_GROW_NET_SALES","FQ2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40" s="2" t="e">
        <f ca="1">_xll.BDH($C$128,"GEO_GROW_EBITDA","FQ2 2016","FQ2 2016","Currency=INR","Period=FQ","BEST_FPERIOD_OVERRIDE=FQ","FILING_STATUS=OR","EQY_CONSOLIDATED=Y","FA_ADJUSTED=GAAP","Sort=A","Dates=H","DateFormat=P","Fill=—","Direction=H","UseDPDF=Y")</f>
        <v>#NAME?</v>
      </c>
      <c r="AO140" s="2" t="e">
        <f ca="1">_xll.BDH($C$128,"GEO_GROW_OPER_INC","FQ2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40" s="2" t="e">
        <f ca="1">_xll.BDH($C$128,"NET_INCOME_TO_COMMON_5_YR_GROWTH","FQ2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40" s="2" t="e">
        <f ca="1">_xll.BDH($C$128,"5Y_GEO_GROWTH_DILUTED_EPS","FQ2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40" s="2" t="e">
        <f ca="1">_xll.BDH($C$128,"GEO_GROW_DVD_PER_SH","FQ2 2016","FQ2 2016","Currency=INR","Period=FQ","BEST_FPERIOD_OVERRIDE=FQ","FILING_STATUS=OR","EQY_CONSOLIDATED=Y","Sort=A","Dates=H","DateFormat=P","Fill=—","Direction=H","UseDPDF=Y")</f>
        <v>#NAME?</v>
      </c>
      <c r="AS140" s="2" t="e">
        <f ca="1">_xll.BDH($C$128,"ACCOUNTS_RECEIVABLE_5_YR_GROWTH","FQ2 2016","FQ2 2016","Currency=INR","Period=FQ","BEST_FPERIOD_OVERRIDE=FQ","FILING_STATUS=OR","EQY_CONSOLIDATED=Y","Sort=A","Dates=H","DateFormat=P","Fill=—","Direction=H","UseDPDF=Y")</f>
        <v>#NAME?</v>
      </c>
      <c r="AT140" s="2" t="e">
        <f ca="1">_xll.BDH($C$128,"INVENTORY_5_YEAR_GROWTH","FQ2 2016","FQ2 2016","Currency=INR","Period=FQ","BEST_FPERIOD_OVERRIDE=FQ","FILING_STATUS=OR","EQY_CONSOLIDATED=Y","Sort=A","Dates=H","DateFormat=P","Fill=—","Direction=H","UseDPDF=Y")</f>
        <v>#NAME?</v>
      </c>
      <c r="AU140" s="2" t="e">
        <f ca="1">_xll.BDH($C$128,"NET_FIXED_ASSETS_5_YEAR_GROWTH","FQ2 2016","FQ2 2016","Currency=INR","Period=FQ","BEST_FPERIOD_OVERRIDE=FQ","FILING_STATUS=OR","EQY_CONSOLIDATED=Y","Sort=A","Dates=H","DateFormat=P","Fill=—","Direction=H","UseDPDF=Y")</f>
        <v>#NAME?</v>
      </c>
      <c r="AV140" s="2" t="e">
        <f ca="1">_xll.BDH($C$128,"GEO_GROW_TOT_ASSET","FQ2 2016","FQ2 2016","Currency=INR","Period=FQ","BEST_FPERIOD_OVERRIDE=FQ","FILING_STATUS=OR","EQY_CONSOLIDATED=Y","Sort=A","Dates=H","DateFormat=P","Fill=—","Direction=H","UseDPDF=Y")</f>
        <v>#NAME?</v>
      </c>
      <c r="AW140" s="2" t="e">
        <f ca="1">_xll.BDH($C$128,"MODIFIED_WORKING_CPTL_5YR_GRWTH","FQ2 2016","FQ2 2016","Currency=INR","Period=FQ","BEST_FPERIOD_OVERRIDE=FQ","FILING_STATUS=OR","EQY_CONSOLIDATED=Y","Sort=A","Dates=H","DateFormat=P","Fill=—","Direction=H","UseDPDF=Y")</f>
        <v>#NAME?</v>
      </c>
      <c r="AX140" s="2" t="e">
        <f ca="1">_xll.BDH($C$128,"WORKING_CAPITAL_5_YEAR_GROWTH","FQ2 2016","FQ2 2016","Currency=INR","Period=FQ","BEST_FPERIOD_OVERRIDE=FQ","FILING_STATUS=OR","EQY_CONSOLIDATED=Y","Sort=A","Dates=H","DateFormat=P","Fill=—","Direction=H","UseDPDF=Y")</f>
        <v>#NAME?</v>
      </c>
      <c r="AY140" s="2" t="e">
        <f ca="1">_xll.BDH($C$128,"ACCOUNTS_PAYABLE_5_YEAR_GROWTH","FQ2 2016","FQ2 2016","Currency=INR","Period=FQ","BEST_FPERIOD_OVERRIDE=FQ","FILING_STATUS=OR","EQY_CONSOLIDATED=Y","Sort=A","Dates=H","DateFormat=P","Fill=—","Direction=H","UseDPDF=Y")</f>
        <v>#NAME?</v>
      </c>
      <c r="AZ140" s="2" t="e">
        <f ca="1">_xll.BDH($C$128,"SHORT_TERM_DEBT_5_YEAR_GROWTH","FQ2 2016","FQ2 2016","Currency=INR","Period=FQ","BEST_FPERIOD_OVERRIDE=FQ","FILING_STATUS=OR","EQY_CONSOLIDATED=Y","Sort=A","Dates=H","DateFormat=P","Fill=—","Direction=H","UseDPDF=Y")</f>
        <v>#NAME?</v>
      </c>
      <c r="BA140" s="2" t="e">
        <f ca="1">_xll.BDH($C$128,"TOTAL_DEBT_5_YEAR_GROWTH","FQ2 2016","FQ2 2016","Currency=INR","Period=FQ","BEST_FPERIOD_OVERRIDE=FQ","FILING_STATUS=OR","EQY_CONSOLIDATED=Y","Sort=A","Dates=H","DateFormat=P","Fill=—","Direction=H","UseDPDF=Y")</f>
        <v>#NAME?</v>
      </c>
      <c r="BB140" s="2" t="e">
        <f ca="1">_xll.BDH($C$128,"GEO_GROW_TOT_SHRHLDR_EQY","FQ2 2016","FQ2 2016","Currency=INR","Period=FQ","BEST_FPERIOD_OVERRIDE=FQ","FILING_STATUS=OR","EQY_CONSOLIDATED=Y","Sort=A","Dates=H","DateFormat=P","Fill=—","Direction=H","UseDPDF=Y")</f>
        <v>#NAME?</v>
      </c>
      <c r="BC140" s="2" t="e">
        <f ca="1">_xll.BDH($C$128,"TOTAL_CAPITAL_5_YEAR_GROWTH","FQ2 2016","FQ2 2016","Currency=INR","Period=FQ","BEST_FPERIOD_OVERRIDE=FQ","FILING_STATUS=OR","EQY_CONSOLIDATED=Y","Sort=A","Dates=H","DateFormat=P","Fill=—","Direction=H","UseDPDF=Y")</f>
        <v>#NAME?</v>
      </c>
      <c r="BD140" s="2" t="e">
        <f ca="1">_xll.BDH($C$128,"GEO_GROW_BOOK_VAL","FQ2 2016","FQ2 2016","Currency=INR","Period=FQ","BEST_FPERIOD_OVERRIDE=FQ","FILING_STATUS=OR","EQY_CONSOLIDATED=Y","Sort=A","Dates=H","DateFormat=P","Fill=—","Direction=H","UseDPDF=Y")</f>
        <v>#NAME?</v>
      </c>
      <c r="BE140" s="2" t="e">
        <f ca="1">_xll.BDH($C$128,"GEO_GROW_CASH_OPER_ACT","FQ2 2016","FQ2 2016","Currency=INR","Period=FQ","BEST_FPERIOD_OVERRIDE=FQ","FILING_STATUS=OR","EQY_CONSOLIDATED=Y","Sort=A","Dates=H","DateFormat=P","Fill=—","Direction=H","UseDPDF=Y")</f>
        <v>#NAME?</v>
      </c>
      <c r="BF140" s="2" t="e">
        <f ca="1">_xll.BDH($C$128,"REVENUE_SEQUENTIAL_GROWTH","FQ2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40" s="2" t="e">
        <f ca="1">_xll.BDH($C$128,"EBITDA_SEQUENTIAL_GROWTH","FQ2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40" s="2" t="e">
        <f ca="1">_xll.BDH($C$128,"OPERATING_INCOME_SEQ_GROWTH","FQ2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40" s="2" t="e">
        <f ca="1">_xll.BDH($C$128,"NET_INCOME_TO_COMMON_SEQ_GROWTH","FQ2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40" s="2" t="e">
        <f ca="1">_xll.BDH($C$128,"EPS_DILUTED_SEQUENTIAL_GROWTH","FQ2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40" s="2" t="e">
        <f ca="1">_xll.BDH($C$128,"DPS_SEQUENTIAL_GROWTH","FQ2 2016","FQ2 2016","Currency=INR","Period=FQ","BEST_FPERIOD_OVERRIDE=FQ","FILING_STATUS=OR","EQY_CONSOLIDATED=Y","Sort=A","Dates=H","DateFormat=P","Fill=—","Direction=H","UseDPDF=Y")</f>
        <v>#NAME?</v>
      </c>
      <c r="BL140" s="2" t="e">
        <f ca="1">_xll.BDH($C$128,"ACCOUNTS_RECEIVABLE_SEQ_GROWTH","FQ2 2016","FQ2 2016","Currency=INR","Period=FQ","BEST_FPERIOD_OVERRIDE=FQ","FILING_STATUS=OR","EQY_CONSOLIDATED=Y","Sort=A","Dates=H","DateFormat=P","Fill=—","Direction=H","UseDPDF=Y")</f>
        <v>#NAME?</v>
      </c>
      <c r="BM140" s="2" t="e">
        <f ca="1">_xll.BDH($C$128,"INVENTORY_SEQUENTIAL_GROWTH","FQ2 2016","FQ2 2016","Currency=INR","Period=FQ","BEST_FPERIOD_OVERRIDE=FQ","FILING_STATUS=OR","EQY_CONSOLIDATED=Y","Sort=A","Dates=H","DateFormat=P","Fill=—","Direction=H","UseDPDF=Y")</f>
        <v>#NAME?</v>
      </c>
      <c r="BN140" s="2" t="e">
        <f ca="1">_xll.BDH($C$128,"FIXED_ASSETS_SEQUENTIAL_GROWTH","FQ2 2016","FQ2 2016","Currency=INR","Period=FQ","BEST_FPERIOD_OVERRIDE=FQ","FILING_STATUS=OR","EQY_CONSOLIDATED=Y","Sort=A","Dates=H","DateFormat=P","Fill=—","Direction=H","UseDPDF=Y")</f>
        <v>#NAME?</v>
      </c>
      <c r="BO140" s="2" t="e">
        <f ca="1">_xll.BDH($C$128,"TOTAL_ASSETS_SEQUENTIAL_GROWTH","FQ2 2016","FQ2 2016","Currency=INR","Period=FQ","BEST_FPERIOD_OVERRIDE=FQ","FILING_STATUS=OR","EQY_CONSOLIDATED=Y","Sort=A","Dates=H","DateFormat=P","Fill=—","Direction=H","UseDPDF=Y")</f>
        <v>#NAME?</v>
      </c>
      <c r="BP140" s="2" t="e">
        <f ca="1">_xll.BDH($C$128,"MODIFIED_WORKING_CPTL_SEQ_GRWTH","FQ2 2016","FQ2 2016","Currency=INR","Period=FQ","BEST_FPERIOD_OVERRIDE=FQ","FILING_STATUS=OR","EQY_CONSOLIDATED=Y","Sort=A","Dates=H","DateFormat=P","Fill=—","Direction=H","UseDPDF=Y")</f>
        <v>#NAME?</v>
      </c>
      <c r="BQ140" s="2" t="e">
        <f ca="1">_xll.BDH($C$128,"WORKING_CAPITAL_SEQ_GROWTH","FQ2 2016","FQ2 2016","Currency=INR","Period=FQ","BEST_FPERIOD_OVERRIDE=FQ","FILING_STATUS=OR","EQY_CONSOLIDATED=Y","Sort=A","Dates=H","DateFormat=P","Fill=—","Direction=H","UseDPDF=Y")</f>
        <v>#NAME?</v>
      </c>
      <c r="BR140" s="2" t="e">
        <f ca="1">_xll.BDH($C$128,"ACCOUNTS_PAYABLE_SEQ_GROWTH","FQ2 2016","FQ2 2016","Currency=INR","Period=FQ","BEST_FPERIOD_OVERRIDE=FQ","FILING_STATUS=OR","EQY_CONSOLIDATED=Y","Sort=A","Dates=H","DateFormat=P","Fill=—","Direction=H","UseDPDF=Y")</f>
        <v>#NAME?</v>
      </c>
      <c r="BS140" s="2" t="e">
        <f ca="1">_xll.BDH($C$128,"ST_DEBT_SEQUENTIAL_GROWTH","FQ2 2016","FQ2 2016","Currency=INR","Period=FQ","BEST_FPERIOD_OVERRIDE=FQ","FILING_STATUS=OR","EQY_CONSOLIDATED=Y","Sort=A","Dates=H","DateFormat=P","Fill=—","Direction=H","UseDPDF=Y")</f>
        <v>#NAME?</v>
      </c>
      <c r="BT140" s="2" t="e">
        <f ca="1">_xll.BDH($C$128,"TOTAL_DEBT_SEQUENTIAL_GROWTH","FQ2 2016","FQ2 2016","Currency=INR","Period=FQ","BEST_FPERIOD_OVERRIDE=FQ","FILING_STATUS=OR","EQY_CONSOLIDATED=Y","Sort=A","Dates=H","DateFormat=P","Fill=—","Direction=H","UseDPDF=Y")</f>
        <v>#NAME?</v>
      </c>
      <c r="BU140" s="2" t="e">
        <f ca="1">_xll.BDH($C$128,"TOTAL_EQUITY_SEQUENTIAL_GROWTH","FQ2 2016","FQ2 2016","Currency=INR","Period=FQ","BEST_FPERIOD_OVERRIDE=FQ","FILING_STATUS=OR","EQY_CONSOLIDATED=Y","Sort=A","Dates=H","DateFormat=P","Fill=—","Direction=H","UseDPDF=Y")</f>
        <v>#NAME?</v>
      </c>
      <c r="BV140" s="2" t="e">
        <f ca="1">_xll.BDH($C$128,"TOTAL_CAPITAL_SEQUENTIAL_GROWTH","FQ2 2016","FQ2 2016","Currency=INR","Period=FQ","BEST_FPERIOD_OVERRIDE=FQ","FILING_STATUS=OR","EQY_CONSOLIDATED=Y","Sort=A","Dates=H","DateFormat=P","Fill=—","Direction=H","UseDPDF=Y")</f>
        <v>#NAME?</v>
      </c>
      <c r="BW140" s="2" t="e">
        <f ca="1">_xll.BDH($C$128,"BPS_SEQUENTIAL_GROWTH","FQ2 2016","FQ2 2016","Currency=INR","Period=FQ","BEST_FPERIOD_OVERRIDE=FQ","FILING_STATUS=OR","EQY_CONSOLIDATED=Y","Sort=A","Dates=H","DateFormat=P","Fill=—","Direction=H","UseDPDF=Y")</f>
        <v>#NAME?</v>
      </c>
      <c r="BX140" s="2" t="e">
        <f ca="1">_xll.BDH($C$128,"CFO_SEQUENTIAL_GROWTH","FQ2 2016","FQ2 2016","Currency=INR","Period=FQ","BEST_FPERIOD_OVERRIDE=FQ","FILING_STATUS=OR","EQY_CONSOLIDATED=Y","Sort=A","Dates=H","DateFormat=P","Fill=—","Direction=H","UseDPDF=Y")</f>
        <v>#NAME?</v>
      </c>
      <c r="BY140" s="3" t="e">
        <f ca="1">_xll.BDH($C$128,"SHORT_AND_LONG_TERM_DEBT","FQ2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40" s="3" t="e">
        <f ca="1">_xll.BDH($C$128,"BS_ST_BORROW","FQ2 2016","FQ2 2016","Currency=INR","Period=FQ","BEST_FPERIOD_OVERRIDE=FQ","FILING_STATUS=OR","EQY_CONSOLIDATED=Y","SCALING_FORMAT=MLN","Sort=A","Dates=H","DateFormat=P","Fill=—","Direction=H","UseDPDF=Y")</f>
        <v>#NAME?</v>
      </c>
      <c r="CA140" s="3" t="e">
        <f ca="1">_xll.BDH($C$128,"BS_LT_BORROW","FQ2 2016","FQ2 2016","Currency=INR","Period=FQ","BEST_FPERIOD_OVERRIDE=FQ","FILING_STATUS=OR","EQY_CONSOLIDATED=Y","SCALING_FORMAT=MLN","Sort=A","Dates=H","DateFormat=P","Fill=—","Direction=H","UseDPDF=Y")</f>
        <v>#NAME?</v>
      </c>
      <c r="CB140" s="2" t="e">
        <f ca="1">_xll.BDH($C$128,"TOT_DEBT_TO_EBITDA","FQ2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40" s="2" t="e">
        <f ca="1">_xll.BDH($C$128,"NET_DEBT_TO_EBITDA","FQ2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40" s="2" t="e">
        <f ca="1">_xll.BDH($C$128,"TOTAL_DEBT_TO_EBIT","FQ2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40" s="2" t="e">
        <f ca="1">_xll.BDH($C$128,"NET_DEBT_TO_EBIT","FQ2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40" s="2" t="e">
        <f ca="1">_xll.BDH($C$128,"EBITDA_TO_INTEREST_EXPN","FQ2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40" s="2" t="e">
        <f ca="1">_xll.BDH($C$128,"COM_EQY_TO_TOT_ASSET","FQ2 2016","FQ2 2016","Currency=INR","Period=FQ","BEST_FPERIOD_OVERRIDE=FQ","FILING_STATUS=OR","EQY_CONSOLIDATED=Y","Sort=A","Dates=H","DateFormat=P","Fill=—","Direction=H","UseDPDF=Y")</f>
        <v>#NAME?</v>
      </c>
      <c r="CH140" s="2" t="e">
        <f ca="1">_xll.BDH($C$128,"LT_DEBT_TO_TOT_EQY","FQ2 2016","FQ2 2016","Currency=INR","Period=FQ","BEST_FPERIOD_OVERRIDE=FQ","FILING_STATUS=OR","EQY_CONSOLIDATED=Y","Sort=A","Dates=H","DateFormat=P","Fill=—","Direction=H","UseDPDF=Y")</f>
        <v>#NAME?</v>
      </c>
      <c r="CI140" s="2" t="e">
        <f ca="1">_xll.BDH($C$128,"LT_DEBT_TO_TOT_CAP","FQ2 2016","FQ2 2016","Currency=INR","Period=FQ","BEST_FPERIOD_OVERRIDE=FQ","FILING_STATUS=OR","EQY_CONSOLIDATED=Y","Sort=A","Dates=H","DateFormat=P","Fill=—","Direction=H","UseDPDF=Y")</f>
        <v>#NAME?</v>
      </c>
      <c r="CJ140" s="2" t="e">
        <f ca="1">_xll.BDH($C$128,"LT_DEBT_TO_TOT_ASSET","FQ2 2016","FQ2 2016","Currency=INR","Period=FQ","BEST_FPERIOD_OVERRIDE=FQ","FILING_STATUS=OR","EQY_CONSOLIDATED=Y","Sort=A","Dates=H","DateFormat=P","Fill=—","Direction=H","UseDPDF=Y")</f>
        <v>#NAME?</v>
      </c>
      <c r="CK140" s="2" t="e">
        <f ca="1">_xll.BDH($C$128,"TOT_DEBT_TO_TOT_EQY","FQ2 2016","FQ2 2016","Currency=INR","Period=FQ","BEST_FPERIOD_OVERRIDE=FQ","FILING_STATUS=OR","EQY_CONSOLIDATED=Y","Sort=A","Dates=H","DateFormat=P","Fill=—","Direction=H","UseDPDF=Y")</f>
        <v>#NAME?</v>
      </c>
      <c r="CL140" s="2" t="e">
        <f ca="1">_xll.BDH($C$128,"TOT_DEBT_TO_TOT_CAP","FQ2 2016","FQ2 2016","Currency=INR","Period=FQ","BEST_FPERIOD_OVERRIDE=FQ","FILING_STATUS=OR","EQY_CONSOLIDATED=Y","Sort=A","Dates=H","DateFormat=P","Fill=—","Direction=H","UseDPDF=Y")</f>
        <v>#NAME?</v>
      </c>
      <c r="CM140" s="2" t="e">
        <f ca="1">_xll.BDH($C$128,"TOT_DEBT_TO_TOT_ASSET","FQ2 2016","FQ2 2016","Currency=INR","Period=FQ","BEST_FPERIOD_OVERRIDE=FQ","FILING_STATUS=OR","EQY_CONSOLIDATED=Y","Sort=A","Dates=H","DateFormat=P","Fill=—","Direction=H","UseDPDF=Y")</f>
        <v>#NAME?</v>
      </c>
      <c r="CN140" s="2" t="e">
        <f ca="1">_xll.BDH($C$128,"NET_DEBT_TO_SHRHLDR_EQTY","FQ2 2016","FQ2 2016","Currency=INR","Period=FQ","BEST_FPERIOD_OVERRIDE=FQ","FILING_STATUS=OR","EQY_CONSOLIDATED=Y","Sort=A","Dates=H","DateFormat=P","Fill=—","Direction=H","UseDPDF=Y")</f>
        <v>#NAME?</v>
      </c>
      <c r="CO140" s="2" t="e">
        <f ca="1">_xll.BDH($C$128,"NET_DEBT_%_CAPITAL","FQ2 2016","FQ2 2016","Currency=INR","Period=FQ","BEST_FPERIOD_OVERRIDE=FQ","FILING_STATUS=OR","EQY_CONSOLIDATED=Y","Sort=A","Dates=H","DateFormat=P","Fill=—","Direction=H","UseDPDF=Y")</f>
        <v>#NAME?</v>
      </c>
      <c r="CP140" s="3" t="e">
        <f ca="1">_xll.BDH($C$128,"EBITDA","FQ2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40" s="3" t="e">
        <f ca="1">_xll.BDH($C$128,"EBITDA_AFTER_CAPEX","FQ2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40" s="3" t="e">
        <f ca="1">_xll.BDH($C$128,"IS_OPER_INC","FQ2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40" s="2" t="e">
        <f ca="1">_xll.BDH($C$128,"CASH_RATIO","FQ2 2016","FQ2 2016","Currency=INR","Period=FQ","BEST_FPERIOD_OVERRIDE=FQ","FILING_STATUS=OR","EQY_CONSOLIDATED=Y","Sort=A","Dates=H","DateFormat=P","Fill=—","Direction=H","UseDPDF=Y")</f>
        <v>#NAME?</v>
      </c>
      <c r="CT140" s="2" t="e">
        <f ca="1">_xll.BDH($C$128,"CUR_RATIO","FQ2 2016","FQ2 2016","Currency=INR","Period=FQ","BEST_FPERIOD_OVERRIDE=FQ","FILING_STATUS=OR","EQY_CONSOLIDATED=Y","Sort=A","Dates=H","DateFormat=P","Fill=—","Direction=H","UseDPDF=Y")</f>
        <v>#NAME?</v>
      </c>
      <c r="CU140" s="2" t="e">
        <f ca="1">_xll.BDH($C$128,"QUICK_RATIO","FQ2 2016","FQ2 2016","Currency=INR","Period=FQ","BEST_FPERIOD_OVERRIDE=FQ","FILING_STATUS=OR","EQY_CONSOLIDATED=Y","Sort=A","Dates=H","DateFormat=P","Fill=—","Direction=H","UseDPDF=Y")</f>
        <v>#NAME?</v>
      </c>
      <c r="CV140" s="2" t="e">
        <f ca="1">_xll.BDH($C$128,"ALTMAN_Z_SCORE","FQ2 2016","FQ2 2016","Currency=INR","Period=FQ","BEST_FPERIOD_OVERRIDE=FQ","FILING_STATUS=OR","EQY_CONSOLIDATED=Y","Sort=A","Dates=H","DateFormat=P","Fill=—","Direction=H","UseDPDF=Y")</f>
        <v>#NAME?</v>
      </c>
      <c r="CW140" s="4" t="e">
        <f ca="1">_xll.BDH($C$128,"ACCT_RCV_TURN","FQ2 2016","FQ2 2016","Currency=INR","Period=FQ","BEST_FPERIOD_OVERRIDE=FQ","FILING_STATUS=OR","EQY_CONSOLIDATED=Y","FA_ADJUSTED=GAAP","Sort=A","Dates=H","DateFormat=P","Fill=—","Direction=H","UseDPDF=Y")</f>
        <v>#NAME?</v>
      </c>
      <c r="CX140" s="2" t="e">
        <f ca="1">_xll.BDH($C$128,"ACCT_RCV_DAYS","FQ2 2016","FQ2 2016","Currency=INR","Period=FQ","BEST_FPERIOD_OVERRIDE=FQ","FILING_STATUS=OR","EQY_CONSOLIDATED=Y","FA_ADJUSTED=GAAP","Sort=A","Dates=H","DateFormat=P","Fill=—","Direction=H","UseDPDF=Y")</f>
        <v>#NAME?</v>
      </c>
      <c r="CY140" s="4" t="e">
        <f ca="1">_xll.BDH($C$128,"INVENT_TURN","FQ2 2016","FQ2 2016","Currency=INR","Period=FQ","BEST_FPERIOD_OVERRIDE=FQ","FILING_STATUS=OR","EQY_CONSOLIDATED=Y","FA_ADJUSTED=GAAP","Sort=A","Dates=H","DateFormat=P","Fill=—","Direction=H","UseDPDF=Y")</f>
        <v>#NAME?</v>
      </c>
      <c r="CZ140" s="2" t="e">
        <f ca="1">_xll.BDH($C$128,"INVENT_DAYS","FQ2 2016","FQ2 2016","Currency=INR","Period=FQ","BEST_FPERIOD_OVERRIDE=FQ","FILING_STATUS=OR","EQY_CONSOLIDATED=Y","FA_ADJUSTED=GAAP","Sort=A","Dates=H","DateFormat=P","Fill=—","Direction=H","UseDPDF=Y")</f>
        <v>#NAME?</v>
      </c>
      <c r="DA140" s="4" t="e">
        <f ca="1">_xll.BDH($C$128,"ACCOUNTS_PAYABLE_TURNOVER","FQ2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40" s="2" t="e">
        <f ca="1">_xll.BDH($C$128,"ACCOUNTS_PAYABLE_TURNOVER_DAYS","FQ2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40" s="4" t="e">
        <f ca="1">_xll.BDH($C$128,"CASH_CONVERSION_CYCLE","FQ2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40" s="4" t="e">
        <f ca="1">_xll.BDH($C$128,"INV_TO_CASH_DAYS","FQ2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40" s="5" t="e">
        <f ca="1">_xll.BDH($C$128,"BS_INVENTORIES","FQ2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40" s="3" t="e">
        <f ca="1">_xll.BDH($C$128,"INVTRY_RAW_MATERIALS","FQ2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40" s="3" t="e">
        <f ca="1">_xll.BDH($C$128,"INVTRY_IN_PROGRESS","FQ2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40" s="3" t="e">
        <f ca="1">_xll.BDH($C$128,"INVTRY_FINISHED_GOODS","FQ2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40" s="3" t="e">
        <f ca="1">_xll.BDH($C$128,"BS_OTHER_INV","FQ2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41" spans="1:113" x14ac:dyDescent="0.3">
      <c r="A141" s="6"/>
      <c r="B141" s="6"/>
      <c r="C141" s="6"/>
      <c r="D141" s="6"/>
      <c r="E141" t="s">
        <v>80</v>
      </c>
      <c r="F141" t="e">
        <f ca="1">_xll.BDH($C$128,"RETURN_COM_EQY","FQ3 2016","FQ3 2016","Currency=INR","Period=FQ","BEST_FPERIOD_OVERRIDE=FQ","FILING_STATUS=OR","EQY_CONSOLIDATED=Y","FA_ADJUSTED=GAAP","Sort=A","Dates=H","DateFormat=P","Fill=—","Direction=H","UseDPDF=Y")</f>
        <v>#NAME?</v>
      </c>
      <c r="G141" t="e">
        <f ca="1">_xll.BDH($C$128,"RETURN_ON_ASSET","FQ3 2016","FQ3 2016","Currency=INR","Period=FQ","BEST_FPERIOD_OVERRIDE=FQ","FILING_STATUS=OR","EQY_CONSOLIDATED=Y","FA_ADJUSTED=GAAP","Sort=A","Dates=H","DateFormat=P","Fill=—","Direction=H","UseDPDF=Y")</f>
        <v>#NAME?</v>
      </c>
      <c r="H141" t="e">
        <f ca="1">_xll.BDH($C$128,"RETURN_ON_CAP","FQ3 2016","FQ3 2016","Currency=INR","Period=FQ","BEST_FPERIOD_OVERRIDE=FQ","FILING_STATUS=OR","EQY_CONSOLIDATED=Y","FA_ADJUSTED=GAAP","Sort=A","Dates=H","DateFormat=P","Fill=—","Direction=H","UseDPDF=Y")</f>
        <v>#NAME?</v>
      </c>
      <c r="I141" t="e">
        <f ca="1">_xll.BDH($C$128,"RETURN_ON_INV_CAPITAL","FQ3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41" t="e">
        <f ca="1">_xll.BDH($C$128,"EBITDA_TO_REVENUE","FQ3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41" t="e">
        <f ca="1">_xll.BDH($C$128,"OPER_MARGIN","FQ3 2016","FQ3 2016","Currency=INR","Period=FQ","BEST_FPERIOD_OVERRIDE=FQ","FILING_STATUS=OR","EQY_CONSOLIDATED=Y","FA_ADJUSTED=GAAP","Sort=A","Dates=H","DateFormat=P","Fill=—","Direction=H","UseDPDF=Y")</f>
        <v>#NAME?</v>
      </c>
      <c r="L141" t="e">
        <f ca="1">_xll.BDH($C$128,"INCREMENTAL_OPERATING_MARGIN","FQ3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41" t="e">
        <f ca="1">_xll.BDH($C$128,"PRETAX_INC_TO_NET_SALES","FQ3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41" t="e">
        <f ca="1">_xll.BDH($C$128,"INC_BEF_XO_ITEMS_TO_NET_SALES","FQ3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41" t="e">
        <f ca="1">_xll.BDH($C$128,"PROF_MARGIN","FQ3 2016","FQ3 2016","Currency=INR","Period=FQ","BEST_FPERIOD_OVERRIDE=FQ","FILING_STATUS=OR","EQY_CONSOLIDATED=Y","FA_ADJUSTED=GAAP","Sort=A","Dates=H","DateFormat=P","Fill=—","Direction=H","UseDPDF=Y")</f>
        <v>#NAME?</v>
      </c>
      <c r="P141" t="e">
        <f ca="1">_xll.BDH($C$128,"NET_INCOME_TO_COMMON_MARGIN","FQ3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41" t="e">
        <f ca="1">_xll.BDH($C$128,"EFF_TAX_RATE","FQ3 2016","FQ3 2016","Currency=INR","Period=FQ","BEST_FPERIOD_OVERRIDE=FQ","FILING_STATUS=OR","EQY_CONSOLIDATED=Y","FA_ADJUSTED=GAAP","Sort=A","Dates=H","DateFormat=P","Fill=—","Direction=H","UseDPDF=Y")</f>
        <v>#NAME?</v>
      </c>
      <c r="R141" t="e">
        <f ca="1">_xll.BDH($C$128,"DVD_PAYOUT_RATIO","FQ3 2016","FQ3 2016","Currency=INR","Period=FQ","BEST_FPERIOD_OVERRIDE=FQ","FILING_STATUS=OR","EQY_CONSOLIDATED=Y","FA_ADJUSTED=GAAP","Sort=A","Dates=H","DateFormat=P","Fill=—","Direction=H","UseDPDF=Y")</f>
        <v>#NAME?</v>
      </c>
      <c r="S141" t="e">
        <f ca="1">_xll.BDH($C$128,"SUSTAIN_GROWTH_RT","FQ3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41" s="2" t="e">
        <f ca="1">_xll.BDH($C$128,"SALES_GROWTH","FQ3 2016","FQ3 2016","Currency=INR","Period=FQ","BEST_FPERIOD_OVERRIDE=FQ","FILING_STATUS=OR","EQY_CONSOLIDATED=Y","FA_ADJUSTED=GAAP","Sort=A","Dates=H","DateFormat=P","Fill=—","Direction=H","UseDPDF=Y")</f>
        <v>#NAME?</v>
      </c>
      <c r="U141" s="2" t="e">
        <f ca="1">_xll.BDH($C$128,"EBITDA_GROWTH","FQ3 2016","FQ3 2016","Currency=INR","Period=FQ","BEST_FPERIOD_OVERRIDE=FQ","FILING_STATUS=OR","EQY_CONSOLIDATED=Y","FA_ADJUSTED=GAAP","Sort=A","Dates=H","DateFormat=P","Fill=—","Direction=H","UseDPDF=Y")</f>
        <v>#NAME?</v>
      </c>
      <c r="V141" s="2" t="e">
        <f ca="1">_xll.BDH($C$128,"OPER_INC_GROWTH","FQ3 2016","FQ3 2016","Currency=INR","Period=FQ","BEST_FPERIOD_OVERRIDE=FQ","FILING_STATUS=OR","EQY_CONSOLIDATED=Y","FA_ADJUSTED=GAAP","Sort=A","Dates=H","DateFormat=P","Fill=—","Direction=H","UseDPDF=Y")</f>
        <v>#NAME?</v>
      </c>
      <c r="W141" s="2" t="e">
        <f ca="1">_xll.BDH($C$128,"EARN_FOR_COM_GROWTH","FQ3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41" s="2" t="e">
        <f ca="1">_xll.BDH($C$128,"DILUTED_EPS_AFT_XO_ITEMS_GROWTH","FQ3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41" s="2" t="e">
        <f ca="1">_xll.BDH($C$128,"DIVIDEND_PER_SHARE_1_YEAR_GROWTH","FQ3 2016","FQ3 2016","Currency=INR","Period=FQ","BEST_FPERIOD_OVERRIDE=FQ","FILING_STATUS=OR","EQY_CONSOLIDATED=Y","Sort=A","Dates=H","DateFormat=P","Fill=—","Direction=H","UseDPDF=Y")</f>
        <v>#NAME?</v>
      </c>
      <c r="Z141" s="2" t="e">
        <f ca="1">_xll.BDH($C$128,"ACCOUNTS_RECEIVABLE_GROWTH","FQ3 2016","FQ3 2016","Currency=INR","Period=FQ","BEST_FPERIOD_OVERRIDE=FQ","FILING_STATUS=OR","EQY_CONSOLIDATED=Y","Sort=A","Dates=H","DateFormat=P","Fill=—","Direction=H","UseDPDF=Y")</f>
        <v>#NAME?</v>
      </c>
      <c r="AA141" s="2" t="e">
        <f ca="1">_xll.BDH($C$128,"INVENTORY_GROWTH","FQ3 2016","FQ3 2016","Currency=INR","Period=FQ","BEST_FPERIOD_OVERRIDE=FQ","FILING_STATUS=OR","EQY_CONSOLIDATED=Y","Sort=A","Dates=H","DateFormat=P","Fill=—","Direction=H","UseDPDF=Y")</f>
        <v>#NAME?</v>
      </c>
      <c r="AB141" s="2" t="e">
        <f ca="1">_xll.BDH($C$128,"NET_FIXED_ASSETS_1_YEAR_GROWTH","FQ3 2016","FQ3 2016","Currency=INR","Period=FQ","BEST_FPERIOD_OVERRIDE=FQ","FILING_STATUS=OR","EQY_CONSOLIDATED=Y","Sort=A","Dates=H","DateFormat=P","Fill=—","Direction=H","UseDPDF=Y")</f>
        <v>#NAME?</v>
      </c>
      <c r="AC141" s="2" t="e">
        <f ca="1">_xll.BDH($C$128,"ASSET_GROWTH","FQ3 2016","FQ3 2016","Currency=INR","Period=FQ","BEST_FPERIOD_OVERRIDE=FQ","FILING_STATUS=OR","EQY_CONSOLIDATED=Y","Sort=A","Dates=H","DateFormat=P","Fill=—","Direction=H","UseDPDF=Y")</f>
        <v>#NAME?</v>
      </c>
      <c r="AD141" s="2" t="e">
        <f ca="1">_xll.BDH($C$128,"MODIFIED_WORK_CAP_GROWTH","FQ3 2016","FQ3 2016","Currency=INR","Period=FQ","BEST_FPERIOD_OVERRIDE=FQ","FILING_STATUS=OR","EQY_CONSOLIDATED=Y","Sort=A","Dates=H","DateFormat=P","Fill=—","Direction=H","UseDPDF=Y")</f>
        <v>#NAME?</v>
      </c>
      <c r="AE141" s="2" t="e">
        <f ca="1">_xll.BDH($C$128,"WORK_CAP_GROWTH","FQ3 2016","FQ3 2016","Currency=INR","Period=FQ","BEST_FPERIOD_OVERRIDE=FQ","FILING_STATUS=OR","EQY_CONSOLIDATED=Y","Sort=A","Dates=H","DateFormat=P","Fill=—","Direction=H","UseDPDF=Y")</f>
        <v>#NAME?</v>
      </c>
      <c r="AF141" s="2" t="e">
        <f ca="1">_xll.BDH($C$128,"ACCOUNTS_PAYABLE_GROWTH_1YR","FQ3 2016","FQ3 2016","Currency=INR","Period=FQ","BEST_FPERIOD_OVERRIDE=FQ","FILING_STATUS=OR","EQY_CONSOLIDATED=Y","Sort=A","Dates=H","DateFormat=P","Fill=—","Direction=H","UseDPDF=Y")</f>
        <v>#NAME?</v>
      </c>
      <c r="AG141" s="2" t="e">
        <f ca="1">_xll.BDH($C$128,"SHORT_TERM_DEBT_1_YEAR_GROWTH","FQ3 2016","FQ3 2016","Currency=INR","Period=FQ","BEST_FPERIOD_OVERRIDE=FQ","FILING_STATUS=OR","EQY_CONSOLIDATED=Y","Sort=A","Dates=H","DateFormat=P","Fill=—","Direction=H","UseDPDF=Y")</f>
        <v>#NAME?</v>
      </c>
      <c r="AH141" s="2" t="e">
        <f ca="1">_xll.BDH($C$128,"TOTAL_DEBT_1_YEAR_GROWTH","FQ3 2016","FQ3 2016","Currency=INR","Period=FQ","BEST_FPERIOD_OVERRIDE=FQ","FILING_STATUS=OR","EQY_CONSOLIDATED=Y","Sort=A","Dates=H","DateFormat=P","Fill=—","Direction=H","UseDPDF=Y")</f>
        <v>#NAME?</v>
      </c>
      <c r="AI141" s="2" t="e">
        <f ca="1">_xll.BDH($C$128,"TOTAL_EQUITY_1_YEAR_GROWTH","FQ3 2016","FQ3 2016","Currency=INR","Period=FQ","BEST_FPERIOD_OVERRIDE=FQ","FILING_STATUS=OR","EQY_CONSOLIDATED=Y","Sort=A","Dates=H","DateFormat=P","Fill=—","Direction=H","UseDPDF=Y")</f>
        <v>#NAME?</v>
      </c>
      <c r="AJ141" s="2" t="e">
        <f ca="1">_xll.BDH($C$128,"GROWTH_IN_CAP","FQ3 2016","FQ3 2016","Currency=INR","Period=FQ","BEST_FPERIOD_OVERRIDE=FQ","FILING_STATUS=OR","EQY_CONSOLIDATED=Y","Sort=A","Dates=H","DateFormat=P","Fill=—","Direction=H","UseDPDF=Y")</f>
        <v>#NAME?</v>
      </c>
      <c r="AK141" s="2" t="e">
        <f ca="1">_xll.BDH($C$128,"BVPS_GROWTH","FQ3 2016","FQ3 2016","Currency=INR","Period=FQ","BEST_FPERIOD_OVERRIDE=FQ","FILING_STATUS=OR","EQY_CONSOLIDATED=Y","Sort=A","Dates=H","DateFormat=P","Fill=—","Direction=H","UseDPDF=Y")</f>
        <v>#NAME?</v>
      </c>
      <c r="AL141" s="2" t="e">
        <f ca="1">_xll.BDH($C$128,"CASH_FLOW_GROWTH","FQ3 2016","FQ3 2016","Currency=INR","Period=FQ","BEST_FPERIOD_OVERRIDE=FQ","FILING_STATUS=OR","EQY_CONSOLIDATED=Y","Sort=A","Dates=H","DateFormat=P","Fill=—","Direction=H","UseDPDF=Y")</f>
        <v>#NAME?</v>
      </c>
      <c r="AM141" s="2" t="e">
        <f ca="1">_xll.BDH($C$128,"GEO_GROW_NET_SALES","FQ3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41" s="2" t="e">
        <f ca="1">_xll.BDH($C$128,"GEO_GROW_EBITDA","FQ3 2016","FQ3 2016","Currency=INR","Period=FQ","BEST_FPERIOD_OVERRIDE=FQ","FILING_STATUS=OR","EQY_CONSOLIDATED=Y","FA_ADJUSTED=GAAP","Sort=A","Dates=H","DateFormat=P","Fill=—","Direction=H","UseDPDF=Y")</f>
        <v>#NAME?</v>
      </c>
      <c r="AO141" s="2" t="e">
        <f ca="1">_xll.BDH($C$128,"GEO_GROW_OPER_INC","FQ3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41" s="2" t="e">
        <f ca="1">_xll.BDH($C$128,"NET_INCOME_TO_COMMON_5_YR_GROWTH","FQ3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41" s="2" t="e">
        <f ca="1">_xll.BDH($C$128,"5Y_GEO_GROWTH_DILUTED_EPS","FQ3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41" s="2" t="e">
        <f ca="1">_xll.BDH($C$128,"GEO_GROW_DVD_PER_SH","FQ3 2016","FQ3 2016","Currency=INR","Period=FQ","BEST_FPERIOD_OVERRIDE=FQ","FILING_STATUS=OR","EQY_CONSOLIDATED=Y","Sort=A","Dates=H","DateFormat=P","Fill=—","Direction=H","UseDPDF=Y")</f>
        <v>#NAME?</v>
      </c>
      <c r="AS141" s="2" t="e">
        <f ca="1">_xll.BDH($C$128,"ACCOUNTS_RECEIVABLE_5_YR_GROWTH","FQ3 2016","FQ3 2016","Currency=INR","Period=FQ","BEST_FPERIOD_OVERRIDE=FQ","FILING_STATUS=OR","EQY_CONSOLIDATED=Y","Sort=A","Dates=H","DateFormat=P","Fill=—","Direction=H","UseDPDF=Y")</f>
        <v>#NAME?</v>
      </c>
      <c r="AT141" s="2" t="e">
        <f ca="1">_xll.BDH($C$128,"INVENTORY_5_YEAR_GROWTH","FQ3 2016","FQ3 2016","Currency=INR","Period=FQ","BEST_FPERIOD_OVERRIDE=FQ","FILING_STATUS=OR","EQY_CONSOLIDATED=Y","Sort=A","Dates=H","DateFormat=P","Fill=—","Direction=H","UseDPDF=Y")</f>
        <v>#NAME?</v>
      </c>
      <c r="AU141" s="2" t="e">
        <f ca="1">_xll.BDH($C$128,"NET_FIXED_ASSETS_5_YEAR_GROWTH","FQ3 2016","FQ3 2016","Currency=INR","Period=FQ","BEST_FPERIOD_OVERRIDE=FQ","FILING_STATUS=OR","EQY_CONSOLIDATED=Y","Sort=A","Dates=H","DateFormat=P","Fill=—","Direction=H","UseDPDF=Y")</f>
        <v>#NAME?</v>
      </c>
      <c r="AV141" s="2" t="e">
        <f ca="1">_xll.BDH($C$128,"GEO_GROW_TOT_ASSET","FQ3 2016","FQ3 2016","Currency=INR","Period=FQ","BEST_FPERIOD_OVERRIDE=FQ","FILING_STATUS=OR","EQY_CONSOLIDATED=Y","Sort=A","Dates=H","DateFormat=P","Fill=—","Direction=H","UseDPDF=Y")</f>
        <v>#NAME?</v>
      </c>
      <c r="AW141" s="2" t="e">
        <f ca="1">_xll.BDH($C$128,"MODIFIED_WORKING_CPTL_5YR_GRWTH","FQ3 2016","FQ3 2016","Currency=INR","Period=FQ","BEST_FPERIOD_OVERRIDE=FQ","FILING_STATUS=OR","EQY_CONSOLIDATED=Y","Sort=A","Dates=H","DateFormat=P","Fill=—","Direction=H","UseDPDF=Y")</f>
        <v>#NAME?</v>
      </c>
      <c r="AX141" s="2" t="e">
        <f ca="1">_xll.BDH($C$128,"WORKING_CAPITAL_5_YEAR_GROWTH","FQ3 2016","FQ3 2016","Currency=INR","Period=FQ","BEST_FPERIOD_OVERRIDE=FQ","FILING_STATUS=OR","EQY_CONSOLIDATED=Y","Sort=A","Dates=H","DateFormat=P","Fill=—","Direction=H","UseDPDF=Y")</f>
        <v>#NAME?</v>
      </c>
      <c r="AY141" s="2" t="e">
        <f ca="1">_xll.BDH($C$128,"ACCOUNTS_PAYABLE_5_YEAR_GROWTH","FQ3 2016","FQ3 2016","Currency=INR","Period=FQ","BEST_FPERIOD_OVERRIDE=FQ","FILING_STATUS=OR","EQY_CONSOLIDATED=Y","Sort=A","Dates=H","DateFormat=P","Fill=—","Direction=H","UseDPDF=Y")</f>
        <v>#NAME?</v>
      </c>
      <c r="AZ141" s="2" t="e">
        <f ca="1">_xll.BDH($C$128,"SHORT_TERM_DEBT_5_YEAR_GROWTH","FQ3 2016","FQ3 2016","Currency=INR","Period=FQ","BEST_FPERIOD_OVERRIDE=FQ","FILING_STATUS=OR","EQY_CONSOLIDATED=Y","Sort=A","Dates=H","DateFormat=P","Fill=—","Direction=H","UseDPDF=Y")</f>
        <v>#NAME?</v>
      </c>
      <c r="BA141" s="2" t="e">
        <f ca="1">_xll.BDH($C$128,"TOTAL_DEBT_5_YEAR_GROWTH","FQ3 2016","FQ3 2016","Currency=INR","Period=FQ","BEST_FPERIOD_OVERRIDE=FQ","FILING_STATUS=OR","EQY_CONSOLIDATED=Y","Sort=A","Dates=H","DateFormat=P","Fill=—","Direction=H","UseDPDF=Y")</f>
        <v>#NAME?</v>
      </c>
      <c r="BB141" s="2" t="e">
        <f ca="1">_xll.BDH($C$128,"GEO_GROW_TOT_SHRHLDR_EQY","FQ3 2016","FQ3 2016","Currency=INR","Period=FQ","BEST_FPERIOD_OVERRIDE=FQ","FILING_STATUS=OR","EQY_CONSOLIDATED=Y","Sort=A","Dates=H","DateFormat=P","Fill=—","Direction=H","UseDPDF=Y")</f>
        <v>#NAME?</v>
      </c>
      <c r="BC141" s="2" t="e">
        <f ca="1">_xll.BDH($C$128,"TOTAL_CAPITAL_5_YEAR_GROWTH","FQ3 2016","FQ3 2016","Currency=INR","Period=FQ","BEST_FPERIOD_OVERRIDE=FQ","FILING_STATUS=OR","EQY_CONSOLIDATED=Y","Sort=A","Dates=H","DateFormat=P","Fill=—","Direction=H","UseDPDF=Y")</f>
        <v>#NAME?</v>
      </c>
      <c r="BD141" s="2" t="e">
        <f ca="1">_xll.BDH($C$128,"GEO_GROW_BOOK_VAL","FQ3 2016","FQ3 2016","Currency=INR","Period=FQ","BEST_FPERIOD_OVERRIDE=FQ","FILING_STATUS=OR","EQY_CONSOLIDATED=Y","Sort=A","Dates=H","DateFormat=P","Fill=—","Direction=H","UseDPDF=Y")</f>
        <v>#NAME?</v>
      </c>
      <c r="BE141" s="2" t="e">
        <f ca="1">_xll.BDH($C$128,"GEO_GROW_CASH_OPER_ACT","FQ3 2016","FQ3 2016","Currency=INR","Period=FQ","BEST_FPERIOD_OVERRIDE=FQ","FILING_STATUS=OR","EQY_CONSOLIDATED=Y","Sort=A","Dates=H","DateFormat=P","Fill=—","Direction=H","UseDPDF=Y")</f>
        <v>#NAME?</v>
      </c>
      <c r="BF141" s="2" t="e">
        <f ca="1">_xll.BDH($C$128,"REVENUE_SEQUENTIAL_GROWTH","FQ3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41" s="2" t="e">
        <f ca="1">_xll.BDH($C$128,"EBITDA_SEQUENTIAL_GROWTH","FQ3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41" s="2" t="e">
        <f ca="1">_xll.BDH($C$128,"OPERATING_INCOME_SEQ_GROWTH","FQ3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41" s="2" t="e">
        <f ca="1">_xll.BDH($C$128,"NET_INCOME_TO_COMMON_SEQ_GROWTH","FQ3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41" s="2" t="e">
        <f ca="1">_xll.BDH($C$128,"EPS_DILUTED_SEQUENTIAL_GROWTH","FQ3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41" s="2" t="e">
        <f ca="1">_xll.BDH($C$128,"DPS_SEQUENTIAL_GROWTH","FQ3 2016","FQ3 2016","Currency=INR","Period=FQ","BEST_FPERIOD_OVERRIDE=FQ","FILING_STATUS=OR","EQY_CONSOLIDATED=Y","Sort=A","Dates=H","DateFormat=P","Fill=—","Direction=H","UseDPDF=Y")</f>
        <v>#NAME?</v>
      </c>
      <c r="BL141" s="2" t="e">
        <f ca="1">_xll.BDH($C$128,"ACCOUNTS_RECEIVABLE_SEQ_GROWTH","FQ3 2016","FQ3 2016","Currency=INR","Period=FQ","BEST_FPERIOD_OVERRIDE=FQ","FILING_STATUS=OR","EQY_CONSOLIDATED=Y","Sort=A","Dates=H","DateFormat=P","Fill=—","Direction=H","UseDPDF=Y")</f>
        <v>#NAME?</v>
      </c>
      <c r="BM141" s="2" t="e">
        <f ca="1">_xll.BDH($C$128,"INVENTORY_SEQUENTIAL_GROWTH","FQ3 2016","FQ3 2016","Currency=INR","Period=FQ","BEST_FPERIOD_OVERRIDE=FQ","FILING_STATUS=OR","EQY_CONSOLIDATED=Y","Sort=A","Dates=H","DateFormat=P","Fill=—","Direction=H","UseDPDF=Y")</f>
        <v>#NAME?</v>
      </c>
      <c r="BN141" s="2" t="e">
        <f ca="1">_xll.BDH($C$128,"FIXED_ASSETS_SEQUENTIAL_GROWTH","FQ3 2016","FQ3 2016","Currency=INR","Period=FQ","BEST_FPERIOD_OVERRIDE=FQ","FILING_STATUS=OR","EQY_CONSOLIDATED=Y","Sort=A","Dates=H","DateFormat=P","Fill=—","Direction=H","UseDPDF=Y")</f>
        <v>#NAME?</v>
      </c>
      <c r="BO141" s="2" t="e">
        <f ca="1">_xll.BDH($C$128,"TOTAL_ASSETS_SEQUENTIAL_GROWTH","FQ3 2016","FQ3 2016","Currency=INR","Period=FQ","BEST_FPERIOD_OVERRIDE=FQ","FILING_STATUS=OR","EQY_CONSOLIDATED=Y","Sort=A","Dates=H","DateFormat=P","Fill=—","Direction=H","UseDPDF=Y")</f>
        <v>#NAME?</v>
      </c>
      <c r="BP141" s="2" t="e">
        <f ca="1">_xll.BDH($C$128,"MODIFIED_WORKING_CPTL_SEQ_GRWTH","FQ3 2016","FQ3 2016","Currency=INR","Period=FQ","BEST_FPERIOD_OVERRIDE=FQ","FILING_STATUS=OR","EQY_CONSOLIDATED=Y","Sort=A","Dates=H","DateFormat=P","Fill=—","Direction=H","UseDPDF=Y")</f>
        <v>#NAME?</v>
      </c>
      <c r="BQ141" s="2" t="e">
        <f ca="1">_xll.BDH($C$128,"WORKING_CAPITAL_SEQ_GROWTH","FQ3 2016","FQ3 2016","Currency=INR","Period=FQ","BEST_FPERIOD_OVERRIDE=FQ","FILING_STATUS=OR","EQY_CONSOLIDATED=Y","Sort=A","Dates=H","DateFormat=P","Fill=—","Direction=H","UseDPDF=Y")</f>
        <v>#NAME?</v>
      </c>
      <c r="BR141" s="2" t="e">
        <f ca="1">_xll.BDH($C$128,"ACCOUNTS_PAYABLE_SEQ_GROWTH","FQ3 2016","FQ3 2016","Currency=INR","Period=FQ","BEST_FPERIOD_OVERRIDE=FQ","FILING_STATUS=OR","EQY_CONSOLIDATED=Y","Sort=A","Dates=H","DateFormat=P","Fill=—","Direction=H","UseDPDF=Y")</f>
        <v>#NAME?</v>
      </c>
      <c r="BS141" s="2" t="e">
        <f ca="1">_xll.BDH($C$128,"ST_DEBT_SEQUENTIAL_GROWTH","FQ3 2016","FQ3 2016","Currency=INR","Period=FQ","BEST_FPERIOD_OVERRIDE=FQ","FILING_STATUS=OR","EQY_CONSOLIDATED=Y","Sort=A","Dates=H","DateFormat=P","Fill=—","Direction=H","UseDPDF=Y")</f>
        <v>#NAME?</v>
      </c>
      <c r="BT141" s="2" t="e">
        <f ca="1">_xll.BDH($C$128,"TOTAL_DEBT_SEQUENTIAL_GROWTH","FQ3 2016","FQ3 2016","Currency=INR","Period=FQ","BEST_FPERIOD_OVERRIDE=FQ","FILING_STATUS=OR","EQY_CONSOLIDATED=Y","Sort=A","Dates=H","DateFormat=P","Fill=—","Direction=H","UseDPDF=Y")</f>
        <v>#NAME?</v>
      </c>
      <c r="BU141" s="2" t="e">
        <f ca="1">_xll.BDH($C$128,"TOTAL_EQUITY_SEQUENTIAL_GROWTH","FQ3 2016","FQ3 2016","Currency=INR","Period=FQ","BEST_FPERIOD_OVERRIDE=FQ","FILING_STATUS=OR","EQY_CONSOLIDATED=Y","Sort=A","Dates=H","DateFormat=P","Fill=—","Direction=H","UseDPDF=Y")</f>
        <v>#NAME?</v>
      </c>
      <c r="BV141" s="2" t="e">
        <f ca="1">_xll.BDH($C$128,"TOTAL_CAPITAL_SEQUENTIAL_GROWTH","FQ3 2016","FQ3 2016","Currency=INR","Period=FQ","BEST_FPERIOD_OVERRIDE=FQ","FILING_STATUS=OR","EQY_CONSOLIDATED=Y","Sort=A","Dates=H","DateFormat=P","Fill=—","Direction=H","UseDPDF=Y")</f>
        <v>#NAME?</v>
      </c>
      <c r="BW141" s="2" t="e">
        <f ca="1">_xll.BDH($C$128,"BPS_SEQUENTIAL_GROWTH","FQ3 2016","FQ3 2016","Currency=INR","Period=FQ","BEST_FPERIOD_OVERRIDE=FQ","FILING_STATUS=OR","EQY_CONSOLIDATED=Y","Sort=A","Dates=H","DateFormat=P","Fill=—","Direction=H","UseDPDF=Y")</f>
        <v>#NAME?</v>
      </c>
      <c r="BX141" s="2" t="e">
        <f ca="1">_xll.BDH($C$128,"CFO_SEQUENTIAL_GROWTH","FQ3 2016","FQ3 2016","Currency=INR","Period=FQ","BEST_FPERIOD_OVERRIDE=FQ","FILING_STATUS=OR","EQY_CONSOLIDATED=Y","Sort=A","Dates=H","DateFormat=P","Fill=—","Direction=H","UseDPDF=Y")</f>
        <v>#NAME?</v>
      </c>
      <c r="BY141" s="3" t="e">
        <f ca="1">_xll.BDH($C$128,"SHORT_AND_LONG_TERM_DEBT","FQ3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41" s="3" t="e">
        <f ca="1">_xll.BDH($C$128,"BS_ST_BORROW","FQ3 2016","FQ3 2016","Currency=INR","Period=FQ","BEST_FPERIOD_OVERRIDE=FQ","FILING_STATUS=OR","EQY_CONSOLIDATED=Y","SCALING_FORMAT=MLN","Sort=A","Dates=H","DateFormat=P","Fill=—","Direction=H","UseDPDF=Y")</f>
        <v>#NAME?</v>
      </c>
      <c r="CA141" s="3" t="e">
        <f ca="1">_xll.BDH($C$128,"BS_LT_BORROW","FQ3 2016","FQ3 2016","Currency=INR","Period=FQ","BEST_FPERIOD_OVERRIDE=FQ","FILING_STATUS=OR","EQY_CONSOLIDATED=Y","SCALING_FORMAT=MLN","Sort=A","Dates=H","DateFormat=P","Fill=—","Direction=H","UseDPDF=Y")</f>
        <v>#NAME?</v>
      </c>
      <c r="CB141" s="2" t="e">
        <f ca="1">_xll.BDH($C$128,"TOT_DEBT_TO_EBITDA","FQ3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41" s="2" t="e">
        <f ca="1">_xll.BDH($C$128,"NET_DEBT_TO_EBITDA","FQ3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41" s="2" t="e">
        <f ca="1">_xll.BDH($C$128,"TOTAL_DEBT_TO_EBIT","FQ3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41" s="2" t="e">
        <f ca="1">_xll.BDH($C$128,"NET_DEBT_TO_EBIT","FQ3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41" s="2" t="e">
        <f ca="1">_xll.BDH($C$128,"EBITDA_TO_INTEREST_EXPN","FQ3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41" s="2" t="e">
        <f ca="1">_xll.BDH($C$128,"COM_EQY_TO_TOT_ASSET","FQ3 2016","FQ3 2016","Currency=INR","Period=FQ","BEST_FPERIOD_OVERRIDE=FQ","FILING_STATUS=OR","EQY_CONSOLIDATED=Y","Sort=A","Dates=H","DateFormat=P","Fill=—","Direction=H","UseDPDF=Y")</f>
        <v>#NAME?</v>
      </c>
      <c r="CH141" s="2" t="e">
        <f ca="1">_xll.BDH($C$128,"LT_DEBT_TO_TOT_EQY","FQ3 2016","FQ3 2016","Currency=INR","Period=FQ","BEST_FPERIOD_OVERRIDE=FQ","FILING_STATUS=OR","EQY_CONSOLIDATED=Y","Sort=A","Dates=H","DateFormat=P","Fill=—","Direction=H","UseDPDF=Y")</f>
        <v>#NAME?</v>
      </c>
      <c r="CI141" s="2" t="e">
        <f ca="1">_xll.BDH($C$128,"LT_DEBT_TO_TOT_CAP","FQ3 2016","FQ3 2016","Currency=INR","Period=FQ","BEST_FPERIOD_OVERRIDE=FQ","FILING_STATUS=OR","EQY_CONSOLIDATED=Y","Sort=A","Dates=H","DateFormat=P","Fill=—","Direction=H","UseDPDF=Y")</f>
        <v>#NAME?</v>
      </c>
      <c r="CJ141" s="2" t="e">
        <f ca="1">_xll.BDH($C$128,"LT_DEBT_TO_TOT_ASSET","FQ3 2016","FQ3 2016","Currency=INR","Period=FQ","BEST_FPERIOD_OVERRIDE=FQ","FILING_STATUS=OR","EQY_CONSOLIDATED=Y","Sort=A","Dates=H","DateFormat=P","Fill=—","Direction=H","UseDPDF=Y")</f>
        <v>#NAME?</v>
      </c>
      <c r="CK141" s="2" t="e">
        <f ca="1">_xll.BDH($C$128,"TOT_DEBT_TO_TOT_EQY","FQ3 2016","FQ3 2016","Currency=INR","Period=FQ","BEST_FPERIOD_OVERRIDE=FQ","FILING_STATUS=OR","EQY_CONSOLIDATED=Y","Sort=A","Dates=H","DateFormat=P","Fill=—","Direction=H","UseDPDF=Y")</f>
        <v>#NAME?</v>
      </c>
      <c r="CL141" s="2" t="e">
        <f ca="1">_xll.BDH($C$128,"TOT_DEBT_TO_TOT_CAP","FQ3 2016","FQ3 2016","Currency=INR","Period=FQ","BEST_FPERIOD_OVERRIDE=FQ","FILING_STATUS=OR","EQY_CONSOLIDATED=Y","Sort=A","Dates=H","DateFormat=P","Fill=—","Direction=H","UseDPDF=Y")</f>
        <v>#NAME?</v>
      </c>
      <c r="CM141" s="2" t="e">
        <f ca="1">_xll.BDH($C$128,"TOT_DEBT_TO_TOT_ASSET","FQ3 2016","FQ3 2016","Currency=INR","Period=FQ","BEST_FPERIOD_OVERRIDE=FQ","FILING_STATUS=OR","EQY_CONSOLIDATED=Y","Sort=A","Dates=H","DateFormat=P","Fill=—","Direction=H","UseDPDF=Y")</f>
        <v>#NAME?</v>
      </c>
      <c r="CN141" s="2" t="e">
        <f ca="1">_xll.BDH($C$128,"NET_DEBT_TO_SHRHLDR_EQTY","FQ3 2016","FQ3 2016","Currency=INR","Period=FQ","BEST_FPERIOD_OVERRIDE=FQ","FILING_STATUS=OR","EQY_CONSOLIDATED=Y","Sort=A","Dates=H","DateFormat=P","Fill=—","Direction=H","UseDPDF=Y")</f>
        <v>#NAME?</v>
      </c>
      <c r="CO141" s="2" t="e">
        <f ca="1">_xll.BDH($C$128,"NET_DEBT_%_CAPITAL","FQ3 2016","FQ3 2016","Currency=INR","Period=FQ","BEST_FPERIOD_OVERRIDE=FQ","FILING_STATUS=OR","EQY_CONSOLIDATED=Y","Sort=A","Dates=H","DateFormat=P","Fill=—","Direction=H","UseDPDF=Y")</f>
        <v>#NAME?</v>
      </c>
      <c r="CP141" s="3" t="e">
        <f ca="1">_xll.BDH($C$128,"EBITDA","FQ3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41" s="3" t="e">
        <f ca="1">_xll.BDH($C$128,"EBITDA_AFTER_CAPEX","FQ3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41" s="3" t="e">
        <f ca="1">_xll.BDH($C$128,"IS_OPER_INC","FQ3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41" s="2" t="e">
        <f ca="1">_xll.BDH($C$128,"CASH_RATIO","FQ3 2016","FQ3 2016","Currency=INR","Period=FQ","BEST_FPERIOD_OVERRIDE=FQ","FILING_STATUS=OR","EQY_CONSOLIDATED=Y","Sort=A","Dates=H","DateFormat=P","Fill=—","Direction=H","UseDPDF=Y")</f>
        <v>#NAME?</v>
      </c>
      <c r="CT141" s="2" t="e">
        <f ca="1">_xll.BDH($C$128,"CUR_RATIO","FQ3 2016","FQ3 2016","Currency=INR","Period=FQ","BEST_FPERIOD_OVERRIDE=FQ","FILING_STATUS=OR","EQY_CONSOLIDATED=Y","Sort=A","Dates=H","DateFormat=P","Fill=—","Direction=H","UseDPDF=Y")</f>
        <v>#NAME?</v>
      </c>
      <c r="CU141" s="2" t="e">
        <f ca="1">_xll.BDH($C$128,"QUICK_RATIO","FQ3 2016","FQ3 2016","Currency=INR","Period=FQ","BEST_FPERIOD_OVERRIDE=FQ","FILING_STATUS=OR","EQY_CONSOLIDATED=Y","Sort=A","Dates=H","DateFormat=P","Fill=—","Direction=H","UseDPDF=Y")</f>
        <v>#NAME?</v>
      </c>
      <c r="CV141" s="2" t="e">
        <f ca="1">_xll.BDH($C$128,"ALTMAN_Z_SCORE","FQ3 2016","FQ3 2016","Currency=INR","Period=FQ","BEST_FPERIOD_OVERRIDE=FQ","FILING_STATUS=OR","EQY_CONSOLIDATED=Y","Sort=A","Dates=H","DateFormat=P","Fill=—","Direction=H","UseDPDF=Y")</f>
        <v>#NAME?</v>
      </c>
      <c r="CW141" s="4" t="e">
        <f ca="1">_xll.BDH($C$128,"ACCT_RCV_TURN","FQ3 2016","FQ3 2016","Currency=INR","Period=FQ","BEST_FPERIOD_OVERRIDE=FQ","FILING_STATUS=OR","EQY_CONSOLIDATED=Y","FA_ADJUSTED=GAAP","Sort=A","Dates=H","DateFormat=P","Fill=—","Direction=H","UseDPDF=Y")</f>
        <v>#NAME?</v>
      </c>
      <c r="CX141" s="2" t="e">
        <f ca="1">_xll.BDH($C$128,"ACCT_RCV_DAYS","FQ3 2016","FQ3 2016","Currency=INR","Period=FQ","BEST_FPERIOD_OVERRIDE=FQ","FILING_STATUS=OR","EQY_CONSOLIDATED=Y","FA_ADJUSTED=GAAP","Sort=A","Dates=H","DateFormat=P","Fill=—","Direction=H","UseDPDF=Y")</f>
        <v>#NAME?</v>
      </c>
      <c r="CY141" s="4" t="e">
        <f ca="1">_xll.BDH($C$128,"INVENT_TURN","FQ3 2016","FQ3 2016","Currency=INR","Period=FQ","BEST_FPERIOD_OVERRIDE=FQ","FILING_STATUS=OR","EQY_CONSOLIDATED=Y","FA_ADJUSTED=GAAP","Sort=A","Dates=H","DateFormat=P","Fill=—","Direction=H","UseDPDF=Y")</f>
        <v>#NAME?</v>
      </c>
      <c r="CZ141" s="2" t="e">
        <f ca="1">_xll.BDH($C$128,"INVENT_DAYS","FQ3 2016","FQ3 2016","Currency=INR","Period=FQ","BEST_FPERIOD_OVERRIDE=FQ","FILING_STATUS=OR","EQY_CONSOLIDATED=Y","FA_ADJUSTED=GAAP","Sort=A","Dates=H","DateFormat=P","Fill=—","Direction=H","UseDPDF=Y")</f>
        <v>#NAME?</v>
      </c>
      <c r="DA141" s="4" t="e">
        <f ca="1">_xll.BDH($C$128,"ACCOUNTS_PAYABLE_TURNOVER","FQ3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41" s="2" t="e">
        <f ca="1">_xll.BDH($C$128,"ACCOUNTS_PAYABLE_TURNOVER_DAYS","FQ3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41" s="4" t="e">
        <f ca="1">_xll.BDH($C$128,"CASH_CONVERSION_CYCLE","FQ3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41" s="4" t="e">
        <f ca="1">_xll.BDH($C$128,"INV_TO_CASH_DAYS","FQ3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41" s="5" t="e">
        <f ca="1">_xll.BDH($C$128,"BS_INVENTORIES","FQ3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41" s="3" t="e">
        <f ca="1">_xll.BDH($C$128,"INVTRY_RAW_MATERIALS","FQ3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41" s="3" t="e">
        <f ca="1">_xll.BDH($C$128,"INVTRY_IN_PROGRESS","FQ3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41" s="3" t="e">
        <f ca="1">_xll.BDH($C$128,"INVTRY_FINISHED_GOODS","FQ3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41" s="3" t="e">
        <f ca="1">_xll.BDH($C$128,"BS_OTHER_INV","FQ3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42" spans="1:113" x14ac:dyDescent="0.3">
      <c r="A142" s="6"/>
      <c r="B142" s="6"/>
      <c r="C142" s="6"/>
      <c r="D142" s="6"/>
      <c r="E142" t="s">
        <v>81</v>
      </c>
      <c r="F142" t="e">
        <f ca="1">_xll.BDH($C$128,"RETURN_COM_EQY","FQ4 2016","FQ4 2016","Currency=INR","Period=FQ","BEST_FPERIOD_OVERRIDE=FQ","FILING_STATUS=OR","EQY_CONSOLIDATED=Y","FA_ADJUSTED=GAAP","Sort=A","Dates=H","DateFormat=P","Fill=—","Direction=H","UseDPDF=Y")</f>
        <v>#NAME?</v>
      </c>
      <c r="G142" t="e">
        <f ca="1">_xll.BDH($C$128,"RETURN_ON_ASSET","FQ4 2016","FQ4 2016","Currency=INR","Period=FQ","BEST_FPERIOD_OVERRIDE=FQ","FILING_STATUS=OR","EQY_CONSOLIDATED=Y","FA_ADJUSTED=GAAP","Sort=A","Dates=H","DateFormat=P","Fill=—","Direction=H","UseDPDF=Y")</f>
        <v>#NAME?</v>
      </c>
      <c r="H142" t="e">
        <f ca="1">_xll.BDH($C$128,"RETURN_ON_CAP","FQ4 2016","FQ4 2016","Currency=INR","Period=FQ","BEST_FPERIOD_OVERRIDE=FQ","FILING_STATUS=OR","EQY_CONSOLIDATED=Y","FA_ADJUSTED=GAAP","Sort=A","Dates=H","DateFormat=P","Fill=—","Direction=H","UseDPDF=Y")</f>
        <v>#NAME?</v>
      </c>
      <c r="I142" t="e">
        <f ca="1">_xll.BDH($C$128,"RETURN_ON_INV_CAPITAL","FQ4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42" t="e">
        <f ca="1">_xll.BDH($C$128,"EBITDA_TO_REVENUE","FQ4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42" t="e">
        <f ca="1">_xll.BDH($C$128,"OPER_MARGIN","FQ4 2016","FQ4 2016","Currency=INR","Period=FQ","BEST_FPERIOD_OVERRIDE=FQ","FILING_STATUS=OR","EQY_CONSOLIDATED=Y","FA_ADJUSTED=GAAP","Sort=A","Dates=H","DateFormat=P","Fill=—","Direction=H","UseDPDF=Y")</f>
        <v>#NAME?</v>
      </c>
      <c r="L142" t="e">
        <f ca="1">_xll.BDH($C$128,"INCREMENTAL_OPERATING_MARGIN","FQ4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42" t="e">
        <f ca="1">_xll.BDH($C$128,"PRETAX_INC_TO_NET_SALES","FQ4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42" t="e">
        <f ca="1">_xll.BDH($C$128,"INC_BEF_XO_ITEMS_TO_NET_SALES","FQ4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42" t="e">
        <f ca="1">_xll.BDH($C$128,"PROF_MARGIN","FQ4 2016","FQ4 2016","Currency=INR","Period=FQ","BEST_FPERIOD_OVERRIDE=FQ","FILING_STATUS=OR","EQY_CONSOLIDATED=Y","FA_ADJUSTED=GAAP","Sort=A","Dates=H","DateFormat=P","Fill=—","Direction=H","UseDPDF=Y")</f>
        <v>#NAME?</v>
      </c>
      <c r="P142" t="e">
        <f ca="1">_xll.BDH($C$128,"NET_INCOME_TO_COMMON_MARGIN","FQ4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42" t="e">
        <f ca="1">_xll.BDH($C$128,"EFF_TAX_RATE","FQ4 2016","FQ4 2016","Currency=INR","Period=FQ","BEST_FPERIOD_OVERRIDE=FQ","FILING_STATUS=OR","EQY_CONSOLIDATED=Y","FA_ADJUSTED=GAAP","Sort=A","Dates=H","DateFormat=P","Fill=—","Direction=H","UseDPDF=Y")</f>
        <v>#NAME?</v>
      </c>
      <c r="R142" t="e">
        <f ca="1">_xll.BDH($C$128,"DVD_PAYOUT_RATIO","FQ4 2016","FQ4 2016","Currency=INR","Period=FQ","BEST_FPERIOD_OVERRIDE=FQ","FILING_STATUS=OR","EQY_CONSOLIDATED=Y","FA_ADJUSTED=GAAP","Sort=A","Dates=H","DateFormat=P","Fill=—","Direction=H","UseDPDF=Y")</f>
        <v>#NAME?</v>
      </c>
      <c r="S142" t="e">
        <f ca="1">_xll.BDH($C$128,"SUSTAIN_GROWTH_RT","FQ4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42" s="2" t="e">
        <f ca="1">_xll.BDH($C$128,"SALES_GROWTH","FQ4 2016","FQ4 2016","Currency=INR","Period=FQ","BEST_FPERIOD_OVERRIDE=FQ","FILING_STATUS=OR","EQY_CONSOLIDATED=Y","FA_ADJUSTED=GAAP","Sort=A","Dates=H","DateFormat=P","Fill=—","Direction=H","UseDPDF=Y")</f>
        <v>#NAME?</v>
      </c>
      <c r="U142" s="2" t="e">
        <f ca="1">_xll.BDH($C$128,"EBITDA_GROWTH","FQ4 2016","FQ4 2016","Currency=INR","Period=FQ","BEST_FPERIOD_OVERRIDE=FQ","FILING_STATUS=OR","EQY_CONSOLIDATED=Y","FA_ADJUSTED=GAAP","Sort=A","Dates=H","DateFormat=P","Fill=—","Direction=H","UseDPDF=Y")</f>
        <v>#NAME?</v>
      </c>
      <c r="V142" s="2" t="e">
        <f ca="1">_xll.BDH($C$128,"OPER_INC_GROWTH","FQ4 2016","FQ4 2016","Currency=INR","Period=FQ","BEST_FPERIOD_OVERRIDE=FQ","FILING_STATUS=OR","EQY_CONSOLIDATED=Y","FA_ADJUSTED=GAAP","Sort=A","Dates=H","DateFormat=P","Fill=—","Direction=H","UseDPDF=Y")</f>
        <v>#NAME?</v>
      </c>
      <c r="W142" s="2" t="e">
        <f ca="1">_xll.BDH($C$128,"EARN_FOR_COM_GROWTH","FQ4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42" s="2" t="e">
        <f ca="1">_xll.BDH($C$128,"DILUTED_EPS_AFT_XO_ITEMS_GROWTH","FQ4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42" s="2" t="e">
        <f ca="1">_xll.BDH($C$128,"DIVIDEND_PER_SHARE_1_YEAR_GROWTH","FQ4 2016","FQ4 2016","Currency=INR","Period=FQ","BEST_FPERIOD_OVERRIDE=FQ","FILING_STATUS=OR","EQY_CONSOLIDATED=Y","Sort=A","Dates=H","DateFormat=P","Fill=—","Direction=H","UseDPDF=Y")</f>
        <v>#NAME?</v>
      </c>
      <c r="Z142" s="2" t="e">
        <f ca="1">_xll.BDH($C$128,"ACCOUNTS_RECEIVABLE_GROWTH","FQ4 2016","FQ4 2016","Currency=INR","Period=FQ","BEST_FPERIOD_OVERRIDE=FQ","FILING_STATUS=OR","EQY_CONSOLIDATED=Y","Sort=A","Dates=H","DateFormat=P","Fill=—","Direction=H","UseDPDF=Y")</f>
        <v>#NAME?</v>
      </c>
      <c r="AA142" s="2" t="e">
        <f ca="1">_xll.BDH($C$128,"INVENTORY_GROWTH","FQ4 2016","FQ4 2016","Currency=INR","Period=FQ","BEST_FPERIOD_OVERRIDE=FQ","FILING_STATUS=OR","EQY_CONSOLIDATED=Y","Sort=A","Dates=H","DateFormat=P","Fill=—","Direction=H","UseDPDF=Y")</f>
        <v>#NAME?</v>
      </c>
      <c r="AB142" s="2" t="e">
        <f ca="1">_xll.BDH($C$128,"NET_FIXED_ASSETS_1_YEAR_GROWTH","FQ4 2016","FQ4 2016","Currency=INR","Period=FQ","BEST_FPERIOD_OVERRIDE=FQ","FILING_STATUS=OR","EQY_CONSOLIDATED=Y","Sort=A","Dates=H","DateFormat=P","Fill=—","Direction=H","UseDPDF=Y")</f>
        <v>#NAME?</v>
      </c>
      <c r="AC142" s="2" t="e">
        <f ca="1">_xll.BDH($C$128,"ASSET_GROWTH","FQ4 2016","FQ4 2016","Currency=INR","Period=FQ","BEST_FPERIOD_OVERRIDE=FQ","FILING_STATUS=OR","EQY_CONSOLIDATED=Y","Sort=A","Dates=H","DateFormat=P","Fill=—","Direction=H","UseDPDF=Y")</f>
        <v>#NAME?</v>
      </c>
      <c r="AD142" s="2" t="e">
        <f ca="1">_xll.BDH($C$128,"MODIFIED_WORK_CAP_GROWTH","FQ4 2016","FQ4 2016","Currency=INR","Period=FQ","BEST_FPERIOD_OVERRIDE=FQ","FILING_STATUS=OR","EQY_CONSOLIDATED=Y","Sort=A","Dates=H","DateFormat=P","Fill=—","Direction=H","UseDPDF=Y")</f>
        <v>#NAME?</v>
      </c>
      <c r="AE142" s="2" t="e">
        <f ca="1">_xll.BDH($C$128,"WORK_CAP_GROWTH","FQ4 2016","FQ4 2016","Currency=INR","Period=FQ","BEST_FPERIOD_OVERRIDE=FQ","FILING_STATUS=OR","EQY_CONSOLIDATED=Y","Sort=A","Dates=H","DateFormat=P","Fill=—","Direction=H","UseDPDF=Y")</f>
        <v>#NAME?</v>
      </c>
      <c r="AF142" s="2" t="e">
        <f ca="1">_xll.BDH($C$128,"ACCOUNTS_PAYABLE_GROWTH_1YR","FQ4 2016","FQ4 2016","Currency=INR","Period=FQ","BEST_FPERIOD_OVERRIDE=FQ","FILING_STATUS=OR","EQY_CONSOLIDATED=Y","Sort=A","Dates=H","DateFormat=P","Fill=—","Direction=H","UseDPDF=Y")</f>
        <v>#NAME?</v>
      </c>
      <c r="AG142" s="2" t="e">
        <f ca="1">_xll.BDH($C$128,"SHORT_TERM_DEBT_1_YEAR_GROWTH","FQ4 2016","FQ4 2016","Currency=INR","Period=FQ","BEST_FPERIOD_OVERRIDE=FQ","FILING_STATUS=OR","EQY_CONSOLIDATED=Y","Sort=A","Dates=H","DateFormat=P","Fill=—","Direction=H","UseDPDF=Y")</f>
        <v>#NAME?</v>
      </c>
      <c r="AH142" s="2" t="e">
        <f ca="1">_xll.BDH($C$128,"TOTAL_DEBT_1_YEAR_GROWTH","FQ4 2016","FQ4 2016","Currency=INR","Period=FQ","BEST_FPERIOD_OVERRIDE=FQ","FILING_STATUS=OR","EQY_CONSOLIDATED=Y","Sort=A","Dates=H","DateFormat=P","Fill=—","Direction=H","UseDPDF=Y")</f>
        <v>#NAME?</v>
      </c>
      <c r="AI142" s="2" t="e">
        <f ca="1">_xll.BDH($C$128,"TOTAL_EQUITY_1_YEAR_GROWTH","FQ4 2016","FQ4 2016","Currency=INR","Period=FQ","BEST_FPERIOD_OVERRIDE=FQ","FILING_STATUS=OR","EQY_CONSOLIDATED=Y","Sort=A","Dates=H","DateFormat=P","Fill=—","Direction=H","UseDPDF=Y")</f>
        <v>#NAME?</v>
      </c>
      <c r="AJ142" s="2" t="e">
        <f ca="1">_xll.BDH($C$128,"GROWTH_IN_CAP","FQ4 2016","FQ4 2016","Currency=INR","Period=FQ","BEST_FPERIOD_OVERRIDE=FQ","FILING_STATUS=OR","EQY_CONSOLIDATED=Y","Sort=A","Dates=H","DateFormat=P","Fill=—","Direction=H","UseDPDF=Y")</f>
        <v>#NAME?</v>
      </c>
      <c r="AK142" s="2" t="e">
        <f ca="1">_xll.BDH($C$128,"BVPS_GROWTH","FQ4 2016","FQ4 2016","Currency=INR","Period=FQ","BEST_FPERIOD_OVERRIDE=FQ","FILING_STATUS=OR","EQY_CONSOLIDATED=Y","Sort=A","Dates=H","DateFormat=P","Fill=—","Direction=H","UseDPDF=Y")</f>
        <v>#NAME?</v>
      </c>
      <c r="AL142" s="2" t="e">
        <f ca="1">_xll.BDH($C$128,"CASH_FLOW_GROWTH","FQ4 2016","FQ4 2016","Currency=INR","Period=FQ","BEST_FPERIOD_OVERRIDE=FQ","FILING_STATUS=OR","EQY_CONSOLIDATED=Y","Sort=A","Dates=H","DateFormat=P","Fill=—","Direction=H","UseDPDF=Y")</f>
        <v>#NAME?</v>
      </c>
      <c r="AM142" s="2" t="e">
        <f ca="1">_xll.BDH($C$128,"GEO_GROW_NET_SALES","FQ4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42" s="2" t="e">
        <f ca="1">_xll.BDH($C$128,"GEO_GROW_EBITDA","FQ4 2016","FQ4 2016","Currency=INR","Period=FQ","BEST_FPERIOD_OVERRIDE=FQ","FILING_STATUS=OR","EQY_CONSOLIDATED=Y","FA_ADJUSTED=GAAP","Sort=A","Dates=H","DateFormat=P","Fill=—","Direction=H","UseDPDF=Y")</f>
        <v>#NAME?</v>
      </c>
      <c r="AO142" s="2" t="e">
        <f ca="1">_xll.BDH($C$128,"GEO_GROW_OPER_INC","FQ4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42" s="2" t="e">
        <f ca="1">_xll.BDH($C$128,"NET_INCOME_TO_COMMON_5_YR_GROWTH","FQ4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42" s="2" t="e">
        <f ca="1">_xll.BDH($C$128,"5Y_GEO_GROWTH_DILUTED_EPS","FQ4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42" s="2" t="e">
        <f ca="1">_xll.BDH($C$128,"GEO_GROW_DVD_PER_SH","FQ4 2016","FQ4 2016","Currency=INR","Period=FQ","BEST_FPERIOD_OVERRIDE=FQ","FILING_STATUS=OR","EQY_CONSOLIDATED=Y","Sort=A","Dates=H","DateFormat=P","Fill=—","Direction=H","UseDPDF=Y")</f>
        <v>#NAME?</v>
      </c>
      <c r="AS142" s="2" t="e">
        <f ca="1">_xll.BDH($C$128,"ACCOUNTS_RECEIVABLE_5_YR_GROWTH","FQ4 2016","FQ4 2016","Currency=INR","Period=FQ","BEST_FPERIOD_OVERRIDE=FQ","FILING_STATUS=OR","EQY_CONSOLIDATED=Y","Sort=A","Dates=H","DateFormat=P","Fill=—","Direction=H","UseDPDF=Y")</f>
        <v>#NAME?</v>
      </c>
      <c r="AT142" s="2" t="e">
        <f ca="1">_xll.BDH($C$128,"INVENTORY_5_YEAR_GROWTH","FQ4 2016","FQ4 2016","Currency=INR","Period=FQ","BEST_FPERIOD_OVERRIDE=FQ","FILING_STATUS=OR","EQY_CONSOLIDATED=Y","Sort=A","Dates=H","DateFormat=P","Fill=—","Direction=H","UseDPDF=Y")</f>
        <v>#NAME?</v>
      </c>
      <c r="AU142" s="2" t="e">
        <f ca="1">_xll.BDH($C$128,"NET_FIXED_ASSETS_5_YEAR_GROWTH","FQ4 2016","FQ4 2016","Currency=INR","Period=FQ","BEST_FPERIOD_OVERRIDE=FQ","FILING_STATUS=OR","EQY_CONSOLIDATED=Y","Sort=A","Dates=H","DateFormat=P","Fill=—","Direction=H","UseDPDF=Y")</f>
        <v>#NAME?</v>
      </c>
      <c r="AV142" s="2" t="e">
        <f ca="1">_xll.BDH($C$128,"GEO_GROW_TOT_ASSET","FQ4 2016","FQ4 2016","Currency=INR","Period=FQ","BEST_FPERIOD_OVERRIDE=FQ","FILING_STATUS=OR","EQY_CONSOLIDATED=Y","Sort=A","Dates=H","DateFormat=P","Fill=—","Direction=H","UseDPDF=Y")</f>
        <v>#NAME?</v>
      </c>
      <c r="AW142" s="2" t="e">
        <f ca="1">_xll.BDH($C$128,"MODIFIED_WORKING_CPTL_5YR_GRWTH","FQ4 2016","FQ4 2016","Currency=INR","Period=FQ","BEST_FPERIOD_OVERRIDE=FQ","FILING_STATUS=OR","EQY_CONSOLIDATED=Y","Sort=A","Dates=H","DateFormat=P","Fill=—","Direction=H","UseDPDF=Y")</f>
        <v>#NAME?</v>
      </c>
      <c r="AX142" s="2" t="e">
        <f ca="1">_xll.BDH($C$128,"WORKING_CAPITAL_5_YEAR_GROWTH","FQ4 2016","FQ4 2016","Currency=INR","Period=FQ","BEST_FPERIOD_OVERRIDE=FQ","FILING_STATUS=OR","EQY_CONSOLIDATED=Y","Sort=A","Dates=H","DateFormat=P","Fill=—","Direction=H","UseDPDF=Y")</f>
        <v>#NAME?</v>
      </c>
      <c r="AY142" s="2" t="e">
        <f ca="1">_xll.BDH($C$128,"ACCOUNTS_PAYABLE_5_YEAR_GROWTH","FQ4 2016","FQ4 2016","Currency=INR","Period=FQ","BEST_FPERIOD_OVERRIDE=FQ","FILING_STATUS=OR","EQY_CONSOLIDATED=Y","Sort=A","Dates=H","DateFormat=P","Fill=—","Direction=H","UseDPDF=Y")</f>
        <v>#NAME?</v>
      </c>
      <c r="AZ142" s="2" t="e">
        <f ca="1">_xll.BDH($C$128,"SHORT_TERM_DEBT_5_YEAR_GROWTH","FQ4 2016","FQ4 2016","Currency=INR","Period=FQ","BEST_FPERIOD_OVERRIDE=FQ","FILING_STATUS=OR","EQY_CONSOLIDATED=Y","Sort=A","Dates=H","DateFormat=P","Fill=—","Direction=H","UseDPDF=Y")</f>
        <v>#NAME?</v>
      </c>
      <c r="BA142" s="2" t="e">
        <f ca="1">_xll.BDH($C$128,"TOTAL_DEBT_5_YEAR_GROWTH","FQ4 2016","FQ4 2016","Currency=INR","Period=FQ","BEST_FPERIOD_OVERRIDE=FQ","FILING_STATUS=OR","EQY_CONSOLIDATED=Y","Sort=A","Dates=H","DateFormat=P","Fill=—","Direction=H","UseDPDF=Y")</f>
        <v>#NAME?</v>
      </c>
      <c r="BB142" s="2" t="e">
        <f ca="1">_xll.BDH($C$128,"GEO_GROW_TOT_SHRHLDR_EQY","FQ4 2016","FQ4 2016","Currency=INR","Period=FQ","BEST_FPERIOD_OVERRIDE=FQ","FILING_STATUS=OR","EQY_CONSOLIDATED=Y","Sort=A","Dates=H","DateFormat=P","Fill=—","Direction=H","UseDPDF=Y")</f>
        <v>#NAME?</v>
      </c>
      <c r="BC142" s="2" t="e">
        <f ca="1">_xll.BDH($C$128,"TOTAL_CAPITAL_5_YEAR_GROWTH","FQ4 2016","FQ4 2016","Currency=INR","Period=FQ","BEST_FPERIOD_OVERRIDE=FQ","FILING_STATUS=OR","EQY_CONSOLIDATED=Y","Sort=A","Dates=H","DateFormat=P","Fill=—","Direction=H","UseDPDF=Y")</f>
        <v>#NAME?</v>
      </c>
      <c r="BD142" s="2" t="e">
        <f ca="1">_xll.BDH($C$128,"GEO_GROW_BOOK_VAL","FQ4 2016","FQ4 2016","Currency=INR","Period=FQ","BEST_FPERIOD_OVERRIDE=FQ","FILING_STATUS=OR","EQY_CONSOLIDATED=Y","Sort=A","Dates=H","DateFormat=P","Fill=—","Direction=H","UseDPDF=Y")</f>
        <v>#NAME?</v>
      </c>
      <c r="BE142" s="2" t="e">
        <f ca="1">_xll.BDH($C$128,"GEO_GROW_CASH_OPER_ACT","FQ4 2016","FQ4 2016","Currency=INR","Period=FQ","BEST_FPERIOD_OVERRIDE=FQ","FILING_STATUS=OR","EQY_CONSOLIDATED=Y","Sort=A","Dates=H","DateFormat=P","Fill=—","Direction=H","UseDPDF=Y")</f>
        <v>#NAME?</v>
      </c>
      <c r="BF142" s="2" t="e">
        <f ca="1">_xll.BDH($C$128,"REVENUE_SEQUENTIAL_GROWTH","FQ4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42" s="2" t="e">
        <f ca="1">_xll.BDH($C$128,"EBITDA_SEQUENTIAL_GROWTH","FQ4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42" s="2" t="e">
        <f ca="1">_xll.BDH($C$128,"OPERATING_INCOME_SEQ_GROWTH","FQ4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42" s="2" t="e">
        <f ca="1">_xll.BDH($C$128,"NET_INCOME_TO_COMMON_SEQ_GROWTH","FQ4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42" s="2" t="e">
        <f ca="1">_xll.BDH($C$128,"EPS_DILUTED_SEQUENTIAL_GROWTH","FQ4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42" s="2" t="e">
        <f ca="1">_xll.BDH($C$128,"DPS_SEQUENTIAL_GROWTH","FQ4 2016","FQ4 2016","Currency=INR","Period=FQ","BEST_FPERIOD_OVERRIDE=FQ","FILING_STATUS=OR","EQY_CONSOLIDATED=Y","Sort=A","Dates=H","DateFormat=P","Fill=—","Direction=H","UseDPDF=Y")</f>
        <v>#NAME?</v>
      </c>
      <c r="BL142" s="2" t="e">
        <f ca="1">_xll.BDH($C$128,"ACCOUNTS_RECEIVABLE_SEQ_GROWTH","FQ4 2016","FQ4 2016","Currency=INR","Period=FQ","BEST_FPERIOD_OVERRIDE=FQ","FILING_STATUS=OR","EQY_CONSOLIDATED=Y","Sort=A","Dates=H","DateFormat=P","Fill=—","Direction=H","UseDPDF=Y")</f>
        <v>#NAME?</v>
      </c>
      <c r="BM142" s="2" t="e">
        <f ca="1">_xll.BDH($C$128,"INVENTORY_SEQUENTIAL_GROWTH","FQ4 2016","FQ4 2016","Currency=INR","Period=FQ","BEST_FPERIOD_OVERRIDE=FQ","FILING_STATUS=OR","EQY_CONSOLIDATED=Y","Sort=A","Dates=H","DateFormat=P","Fill=—","Direction=H","UseDPDF=Y")</f>
        <v>#NAME?</v>
      </c>
      <c r="BN142" s="2" t="e">
        <f ca="1">_xll.BDH($C$128,"FIXED_ASSETS_SEQUENTIAL_GROWTH","FQ4 2016","FQ4 2016","Currency=INR","Period=FQ","BEST_FPERIOD_OVERRIDE=FQ","FILING_STATUS=OR","EQY_CONSOLIDATED=Y","Sort=A","Dates=H","DateFormat=P","Fill=—","Direction=H","UseDPDF=Y")</f>
        <v>#NAME?</v>
      </c>
      <c r="BO142" s="2" t="e">
        <f ca="1">_xll.BDH($C$128,"TOTAL_ASSETS_SEQUENTIAL_GROWTH","FQ4 2016","FQ4 2016","Currency=INR","Period=FQ","BEST_FPERIOD_OVERRIDE=FQ","FILING_STATUS=OR","EQY_CONSOLIDATED=Y","Sort=A","Dates=H","DateFormat=P","Fill=—","Direction=H","UseDPDF=Y")</f>
        <v>#NAME?</v>
      </c>
      <c r="BP142" s="2" t="e">
        <f ca="1">_xll.BDH($C$128,"MODIFIED_WORKING_CPTL_SEQ_GRWTH","FQ4 2016","FQ4 2016","Currency=INR","Period=FQ","BEST_FPERIOD_OVERRIDE=FQ","FILING_STATUS=OR","EQY_CONSOLIDATED=Y","Sort=A","Dates=H","DateFormat=P","Fill=—","Direction=H","UseDPDF=Y")</f>
        <v>#NAME?</v>
      </c>
      <c r="BQ142" s="2" t="e">
        <f ca="1">_xll.BDH($C$128,"WORKING_CAPITAL_SEQ_GROWTH","FQ4 2016","FQ4 2016","Currency=INR","Period=FQ","BEST_FPERIOD_OVERRIDE=FQ","FILING_STATUS=OR","EQY_CONSOLIDATED=Y","Sort=A","Dates=H","DateFormat=P","Fill=—","Direction=H","UseDPDF=Y")</f>
        <v>#NAME?</v>
      </c>
      <c r="BR142" s="2" t="e">
        <f ca="1">_xll.BDH($C$128,"ACCOUNTS_PAYABLE_SEQ_GROWTH","FQ4 2016","FQ4 2016","Currency=INR","Period=FQ","BEST_FPERIOD_OVERRIDE=FQ","FILING_STATUS=OR","EQY_CONSOLIDATED=Y","Sort=A","Dates=H","DateFormat=P","Fill=—","Direction=H","UseDPDF=Y")</f>
        <v>#NAME?</v>
      </c>
      <c r="BS142" s="2" t="e">
        <f ca="1">_xll.BDH($C$128,"ST_DEBT_SEQUENTIAL_GROWTH","FQ4 2016","FQ4 2016","Currency=INR","Period=FQ","BEST_FPERIOD_OVERRIDE=FQ","FILING_STATUS=OR","EQY_CONSOLIDATED=Y","Sort=A","Dates=H","DateFormat=P","Fill=—","Direction=H","UseDPDF=Y")</f>
        <v>#NAME?</v>
      </c>
      <c r="BT142" s="2" t="e">
        <f ca="1">_xll.BDH($C$128,"TOTAL_DEBT_SEQUENTIAL_GROWTH","FQ4 2016","FQ4 2016","Currency=INR","Period=FQ","BEST_FPERIOD_OVERRIDE=FQ","FILING_STATUS=OR","EQY_CONSOLIDATED=Y","Sort=A","Dates=H","DateFormat=P","Fill=—","Direction=H","UseDPDF=Y")</f>
        <v>#NAME?</v>
      </c>
      <c r="BU142" s="2" t="e">
        <f ca="1">_xll.BDH($C$128,"TOTAL_EQUITY_SEQUENTIAL_GROWTH","FQ4 2016","FQ4 2016","Currency=INR","Period=FQ","BEST_FPERIOD_OVERRIDE=FQ","FILING_STATUS=OR","EQY_CONSOLIDATED=Y","Sort=A","Dates=H","DateFormat=P","Fill=—","Direction=H","UseDPDF=Y")</f>
        <v>#NAME?</v>
      </c>
      <c r="BV142" s="2" t="e">
        <f ca="1">_xll.BDH($C$128,"TOTAL_CAPITAL_SEQUENTIAL_GROWTH","FQ4 2016","FQ4 2016","Currency=INR","Period=FQ","BEST_FPERIOD_OVERRIDE=FQ","FILING_STATUS=OR","EQY_CONSOLIDATED=Y","Sort=A","Dates=H","DateFormat=P","Fill=—","Direction=H","UseDPDF=Y")</f>
        <v>#NAME?</v>
      </c>
      <c r="BW142" s="2" t="e">
        <f ca="1">_xll.BDH($C$128,"BPS_SEQUENTIAL_GROWTH","FQ4 2016","FQ4 2016","Currency=INR","Period=FQ","BEST_FPERIOD_OVERRIDE=FQ","FILING_STATUS=OR","EQY_CONSOLIDATED=Y","Sort=A","Dates=H","DateFormat=P","Fill=—","Direction=H","UseDPDF=Y")</f>
        <v>#NAME?</v>
      </c>
      <c r="BX142" s="2" t="e">
        <f ca="1">_xll.BDH($C$128,"CFO_SEQUENTIAL_GROWTH","FQ4 2016","FQ4 2016","Currency=INR","Period=FQ","BEST_FPERIOD_OVERRIDE=FQ","FILING_STATUS=OR","EQY_CONSOLIDATED=Y","Sort=A","Dates=H","DateFormat=P","Fill=—","Direction=H","UseDPDF=Y")</f>
        <v>#NAME?</v>
      </c>
      <c r="BY142" s="3" t="e">
        <f ca="1">_xll.BDH($C$128,"SHORT_AND_LONG_TERM_DEBT","FQ4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42" s="3" t="e">
        <f ca="1">_xll.BDH($C$128,"BS_ST_BORROW","FQ4 2016","FQ4 2016","Currency=INR","Period=FQ","BEST_FPERIOD_OVERRIDE=FQ","FILING_STATUS=OR","EQY_CONSOLIDATED=Y","SCALING_FORMAT=MLN","Sort=A","Dates=H","DateFormat=P","Fill=—","Direction=H","UseDPDF=Y")</f>
        <v>#NAME?</v>
      </c>
      <c r="CA142" s="3" t="e">
        <f ca="1">_xll.BDH($C$128,"BS_LT_BORROW","FQ4 2016","FQ4 2016","Currency=INR","Period=FQ","BEST_FPERIOD_OVERRIDE=FQ","FILING_STATUS=OR","EQY_CONSOLIDATED=Y","SCALING_FORMAT=MLN","Sort=A","Dates=H","DateFormat=P","Fill=—","Direction=H","UseDPDF=Y")</f>
        <v>#NAME?</v>
      </c>
      <c r="CB142" s="2" t="e">
        <f ca="1">_xll.BDH($C$128,"TOT_DEBT_TO_EBITDA","FQ4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42" s="2" t="e">
        <f ca="1">_xll.BDH($C$128,"NET_DEBT_TO_EBITDA","FQ4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42" s="2" t="e">
        <f ca="1">_xll.BDH($C$128,"TOTAL_DEBT_TO_EBIT","FQ4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42" s="2" t="e">
        <f ca="1">_xll.BDH($C$128,"NET_DEBT_TO_EBIT","FQ4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42" s="2" t="e">
        <f ca="1">_xll.BDH($C$128,"EBITDA_TO_INTEREST_EXPN","FQ4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42" s="2" t="e">
        <f ca="1">_xll.BDH($C$128,"COM_EQY_TO_TOT_ASSET","FQ4 2016","FQ4 2016","Currency=INR","Period=FQ","BEST_FPERIOD_OVERRIDE=FQ","FILING_STATUS=OR","EQY_CONSOLIDATED=Y","Sort=A","Dates=H","DateFormat=P","Fill=—","Direction=H","UseDPDF=Y")</f>
        <v>#NAME?</v>
      </c>
      <c r="CH142" s="2" t="e">
        <f ca="1">_xll.BDH($C$128,"LT_DEBT_TO_TOT_EQY","FQ4 2016","FQ4 2016","Currency=INR","Period=FQ","BEST_FPERIOD_OVERRIDE=FQ","FILING_STATUS=OR","EQY_CONSOLIDATED=Y","Sort=A","Dates=H","DateFormat=P","Fill=—","Direction=H","UseDPDF=Y")</f>
        <v>#NAME?</v>
      </c>
      <c r="CI142" s="2" t="e">
        <f ca="1">_xll.BDH($C$128,"LT_DEBT_TO_TOT_CAP","FQ4 2016","FQ4 2016","Currency=INR","Period=FQ","BEST_FPERIOD_OVERRIDE=FQ","FILING_STATUS=OR","EQY_CONSOLIDATED=Y","Sort=A","Dates=H","DateFormat=P","Fill=—","Direction=H","UseDPDF=Y")</f>
        <v>#NAME?</v>
      </c>
      <c r="CJ142" s="2" t="e">
        <f ca="1">_xll.BDH($C$128,"LT_DEBT_TO_TOT_ASSET","FQ4 2016","FQ4 2016","Currency=INR","Period=FQ","BEST_FPERIOD_OVERRIDE=FQ","FILING_STATUS=OR","EQY_CONSOLIDATED=Y","Sort=A","Dates=H","DateFormat=P","Fill=—","Direction=H","UseDPDF=Y")</f>
        <v>#NAME?</v>
      </c>
      <c r="CK142" s="2" t="e">
        <f ca="1">_xll.BDH($C$128,"TOT_DEBT_TO_TOT_EQY","FQ4 2016","FQ4 2016","Currency=INR","Period=FQ","BEST_FPERIOD_OVERRIDE=FQ","FILING_STATUS=OR","EQY_CONSOLIDATED=Y","Sort=A","Dates=H","DateFormat=P","Fill=—","Direction=H","UseDPDF=Y")</f>
        <v>#NAME?</v>
      </c>
      <c r="CL142" s="2" t="e">
        <f ca="1">_xll.BDH($C$128,"TOT_DEBT_TO_TOT_CAP","FQ4 2016","FQ4 2016","Currency=INR","Period=FQ","BEST_FPERIOD_OVERRIDE=FQ","FILING_STATUS=OR","EQY_CONSOLIDATED=Y","Sort=A","Dates=H","DateFormat=P","Fill=—","Direction=H","UseDPDF=Y")</f>
        <v>#NAME?</v>
      </c>
      <c r="CM142" s="2" t="e">
        <f ca="1">_xll.BDH($C$128,"TOT_DEBT_TO_TOT_ASSET","FQ4 2016","FQ4 2016","Currency=INR","Period=FQ","BEST_FPERIOD_OVERRIDE=FQ","FILING_STATUS=OR","EQY_CONSOLIDATED=Y","Sort=A","Dates=H","DateFormat=P","Fill=—","Direction=H","UseDPDF=Y")</f>
        <v>#NAME?</v>
      </c>
      <c r="CN142" s="2" t="e">
        <f ca="1">_xll.BDH($C$128,"NET_DEBT_TO_SHRHLDR_EQTY","FQ4 2016","FQ4 2016","Currency=INR","Period=FQ","BEST_FPERIOD_OVERRIDE=FQ","FILING_STATUS=OR","EQY_CONSOLIDATED=Y","Sort=A","Dates=H","DateFormat=P","Fill=—","Direction=H","UseDPDF=Y")</f>
        <v>#NAME?</v>
      </c>
      <c r="CO142" s="2" t="e">
        <f ca="1">_xll.BDH($C$128,"NET_DEBT_%_CAPITAL","FQ4 2016","FQ4 2016","Currency=INR","Period=FQ","BEST_FPERIOD_OVERRIDE=FQ","FILING_STATUS=OR","EQY_CONSOLIDATED=Y","Sort=A","Dates=H","DateFormat=P","Fill=—","Direction=H","UseDPDF=Y")</f>
        <v>#NAME?</v>
      </c>
      <c r="CP142" s="3" t="e">
        <f ca="1">_xll.BDH($C$128,"EBITDA","FQ4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42" s="3" t="e">
        <f ca="1">_xll.BDH($C$128,"EBITDA_AFTER_CAPEX","FQ4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42" s="3" t="e">
        <f ca="1">_xll.BDH($C$128,"IS_OPER_INC","FQ4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42" s="2" t="e">
        <f ca="1">_xll.BDH($C$128,"CASH_RATIO","FQ4 2016","FQ4 2016","Currency=INR","Period=FQ","BEST_FPERIOD_OVERRIDE=FQ","FILING_STATUS=OR","EQY_CONSOLIDATED=Y","Sort=A","Dates=H","DateFormat=P","Fill=—","Direction=H","UseDPDF=Y")</f>
        <v>#NAME?</v>
      </c>
      <c r="CT142" s="2" t="e">
        <f ca="1">_xll.BDH($C$128,"CUR_RATIO","FQ4 2016","FQ4 2016","Currency=INR","Period=FQ","BEST_FPERIOD_OVERRIDE=FQ","FILING_STATUS=OR","EQY_CONSOLIDATED=Y","Sort=A","Dates=H","DateFormat=P","Fill=—","Direction=H","UseDPDF=Y")</f>
        <v>#NAME?</v>
      </c>
      <c r="CU142" s="2" t="e">
        <f ca="1">_xll.BDH($C$128,"QUICK_RATIO","FQ4 2016","FQ4 2016","Currency=INR","Period=FQ","BEST_FPERIOD_OVERRIDE=FQ","FILING_STATUS=OR","EQY_CONSOLIDATED=Y","Sort=A","Dates=H","DateFormat=P","Fill=—","Direction=H","UseDPDF=Y")</f>
        <v>#NAME?</v>
      </c>
      <c r="CV142" s="2" t="e">
        <f ca="1">_xll.BDH($C$128,"ALTMAN_Z_SCORE","FQ4 2016","FQ4 2016","Currency=INR","Period=FQ","BEST_FPERIOD_OVERRIDE=FQ","FILING_STATUS=OR","EQY_CONSOLIDATED=Y","Sort=A","Dates=H","DateFormat=P","Fill=—","Direction=H","UseDPDF=Y")</f>
        <v>#NAME?</v>
      </c>
      <c r="CW142" s="4" t="e">
        <f ca="1">_xll.BDH($C$128,"ACCT_RCV_TURN","FQ4 2016","FQ4 2016","Currency=INR","Period=FQ","BEST_FPERIOD_OVERRIDE=FQ","FILING_STATUS=OR","EQY_CONSOLIDATED=Y","FA_ADJUSTED=GAAP","Sort=A","Dates=H","DateFormat=P","Fill=—","Direction=H","UseDPDF=Y")</f>
        <v>#NAME?</v>
      </c>
      <c r="CX142" s="2" t="e">
        <f ca="1">_xll.BDH($C$128,"ACCT_RCV_DAYS","FQ4 2016","FQ4 2016","Currency=INR","Period=FQ","BEST_FPERIOD_OVERRIDE=FQ","FILING_STATUS=OR","EQY_CONSOLIDATED=Y","FA_ADJUSTED=GAAP","Sort=A","Dates=H","DateFormat=P","Fill=—","Direction=H","UseDPDF=Y")</f>
        <v>#NAME?</v>
      </c>
      <c r="CY142" s="4" t="e">
        <f ca="1">_xll.BDH($C$128,"INVENT_TURN","FQ4 2016","FQ4 2016","Currency=INR","Period=FQ","BEST_FPERIOD_OVERRIDE=FQ","FILING_STATUS=OR","EQY_CONSOLIDATED=Y","FA_ADJUSTED=GAAP","Sort=A","Dates=H","DateFormat=P","Fill=—","Direction=H","UseDPDF=Y")</f>
        <v>#NAME?</v>
      </c>
      <c r="CZ142" s="2" t="e">
        <f ca="1">_xll.BDH($C$128,"INVENT_DAYS","FQ4 2016","FQ4 2016","Currency=INR","Period=FQ","BEST_FPERIOD_OVERRIDE=FQ","FILING_STATUS=OR","EQY_CONSOLIDATED=Y","FA_ADJUSTED=GAAP","Sort=A","Dates=H","DateFormat=P","Fill=—","Direction=H","UseDPDF=Y")</f>
        <v>#NAME?</v>
      </c>
      <c r="DA142" s="4" t="e">
        <f ca="1">_xll.BDH($C$128,"ACCOUNTS_PAYABLE_TURNOVER","FQ4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42" s="2" t="e">
        <f ca="1">_xll.BDH($C$128,"ACCOUNTS_PAYABLE_TURNOVER_DAYS","FQ4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42" s="4" t="e">
        <f ca="1">_xll.BDH($C$128,"CASH_CONVERSION_CYCLE","FQ4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42" s="4" t="e">
        <f ca="1">_xll.BDH($C$128,"INV_TO_CASH_DAYS","FQ4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42" s="5" t="e">
        <f ca="1">_xll.BDH($C$128,"BS_INVENTORIES","FQ4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42" s="3" t="e">
        <f ca="1">_xll.BDH($C$128,"INVTRY_RAW_MATERIALS","FQ4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42" s="3" t="e">
        <f ca="1">_xll.BDH($C$128,"INVTRY_IN_PROGRESS","FQ4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42" s="3" t="e">
        <f ca="1">_xll.BDH($C$128,"INVTRY_FINISHED_GOODS","FQ4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42" s="3" t="e">
        <f ca="1">_xll.BDH($C$128,"BS_OTHER_INV","FQ4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43" spans="1:113" x14ac:dyDescent="0.3">
      <c r="A143" s="6"/>
      <c r="B143" s="6"/>
      <c r="C143" s="6"/>
      <c r="D143" s="6" t="s">
        <v>84</v>
      </c>
      <c r="E143" t="s">
        <v>77</v>
      </c>
      <c r="F143" t="e">
        <f ca="1">_xll.BDH($C$128,"RETURN_COM_EQY","FY 2017","FY 2017","Currency=INR","Period=FY","BEST_FPERIOD_OVERRIDE=FY","FILING_STATUS=OR","EQY_CONSOLIDATED=Y","FA_ADJUSTED=GAAP","Sort=A","Dates=H","DateFormat=P","Fill=—","Direction=H","UseDPDF=Y")</f>
        <v>#NAME?</v>
      </c>
      <c r="G143" t="e">
        <f ca="1">_xll.BDH($C$128,"RETURN_ON_ASSET","FY 2017","FY 2017","Currency=INR","Period=FY","BEST_FPERIOD_OVERRIDE=FY","FILING_STATUS=OR","EQY_CONSOLIDATED=Y","FA_ADJUSTED=GAAP","Sort=A","Dates=H","DateFormat=P","Fill=—","Direction=H","UseDPDF=Y")</f>
        <v>#NAME?</v>
      </c>
      <c r="H143" t="e">
        <f ca="1">_xll.BDH($C$128,"RETURN_ON_CAP","FY 2017","FY 2017","Currency=INR","Period=FY","BEST_FPERIOD_OVERRIDE=FY","FILING_STATUS=OR","EQY_CONSOLIDATED=Y","FA_ADJUSTED=GAAP","Sort=A","Dates=H","DateFormat=P","Fill=—","Direction=H","UseDPDF=Y")</f>
        <v>#NAME?</v>
      </c>
      <c r="I143" t="e">
        <f ca="1">_xll.BDH($C$128,"RETURN_ON_INV_CAPITAL","FY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43" t="e">
        <f ca="1">_xll.BDH($C$128,"EBITDA_TO_REVENUE","FY 2017","FY 2017","Currency=INR","Period=FY","BEST_FPERIOD_OVERRIDE=FY","FILING_STATUS=OR","EQY_CONSOLIDATED=Y","FA_ADJUSTED=GAAP","Sort=A","Dates=H","DateFormat=P","Fill=—","Direction=H","UseDPDF=Y")</f>
        <v>#NAME?</v>
      </c>
      <c r="K143" t="e">
        <f ca="1">_xll.BDH($C$128,"OPER_MARGIN","FY 2017","FY 2017","Currency=INR","Period=FY","BEST_FPERIOD_OVERRIDE=FY","FILING_STATUS=OR","EQY_CONSOLIDATED=Y","FA_ADJUSTED=GAAP","Sort=A","Dates=H","DateFormat=P","Fill=—","Direction=H","UseDPDF=Y")</f>
        <v>#NAME?</v>
      </c>
      <c r="L143" t="e">
        <f ca="1">_xll.BDH($C$128,"INCREMENTAL_OPERATING_MARGIN","FY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43" t="e">
        <f ca="1">_xll.BDH($C$128,"PRETAX_INC_TO_NET_SALES","FY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43" t="e">
        <f ca="1">_xll.BDH($C$128,"INC_BEF_XO_ITEMS_TO_NET_SALES","FY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43" t="e">
        <f ca="1">_xll.BDH($C$128,"PROF_MARGIN","FY 2017","FY 2017","Currency=INR","Period=FY","BEST_FPERIOD_OVERRIDE=FY","FILING_STATUS=OR","EQY_CONSOLIDATED=Y","FA_ADJUSTED=GAAP","Sort=A","Dates=H","DateFormat=P","Fill=—","Direction=H","UseDPDF=Y")</f>
        <v>#NAME?</v>
      </c>
      <c r="P143" t="e">
        <f ca="1">_xll.BDH($C$128,"NET_INCOME_TO_COMMON_MARGIN","FY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43" t="e">
        <f ca="1">_xll.BDH($C$128,"EFF_TAX_RATE","FY 2017","FY 2017","Currency=INR","Period=FY","BEST_FPERIOD_OVERRIDE=FY","FILING_STATUS=OR","EQY_CONSOLIDATED=Y","FA_ADJUSTED=GAAP","Sort=A","Dates=H","DateFormat=P","Fill=—","Direction=H","UseDPDF=Y")</f>
        <v>#NAME?</v>
      </c>
      <c r="R143" t="e">
        <f ca="1">_xll.BDH($C$128,"DVD_PAYOUT_RATIO","FY 2017","FY 2017","Currency=INR","Period=FY","BEST_FPERIOD_OVERRIDE=FY","FILING_STATUS=OR","EQY_CONSOLIDATED=Y","FA_ADJUSTED=GAAP","Sort=A","Dates=H","DateFormat=P","Fill=—","Direction=H","UseDPDF=Y")</f>
        <v>#NAME?</v>
      </c>
      <c r="S143" t="e">
        <f ca="1">_xll.BDH($C$128,"SUSTAIN_GROWTH_RT","FY 2017","FY 2017","Currency=INR","Period=FY","BEST_FPERIOD_OVERRIDE=FY","FILING_STATUS=OR","EQY_CONSOLIDATED=Y","FA_ADJUSTED=GAAP","Sort=A","Dates=H","DateFormat=P","Fill=—","Direction=H","UseDPDF=Y")</f>
        <v>#NAME?</v>
      </c>
      <c r="T143" s="2" t="e">
        <f ca="1">_xll.BDH($C$128,"SALES_GROWTH","FY 2017","FY 2017","Currency=INR","Period=FY","BEST_FPERIOD_OVERRIDE=FY","FILING_STATUS=OR","EQY_CONSOLIDATED=Y","FA_ADJUSTED=GAAP","Sort=A","Dates=H","DateFormat=P","Fill=—","Direction=H","UseDPDF=Y")</f>
        <v>#NAME?</v>
      </c>
      <c r="U143" s="2" t="e">
        <f ca="1">_xll.BDH($C$128,"EBITDA_GROWTH","FY 2017","FY 2017","Currency=INR","Period=FY","BEST_FPERIOD_OVERRIDE=FY","FILING_STATUS=OR","EQY_CONSOLIDATED=Y","FA_ADJUSTED=GAAP","Sort=A","Dates=H","DateFormat=P","Fill=—","Direction=H","UseDPDF=Y")</f>
        <v>#NAME?</v>
      </c>
      <c r="V143" s="2" t="e">
        <f ca="1">_xll.BDH($C$128,"OPER_INC_GROWTH","FY 2017","FY 2017","Currency=INR","Period=FY","BEST_FPERIOD_OVERRIDE=FY","FILING_STATUS=OR","EQY_CONSOLIDATED=Y","FA_ADJUSTED=GAAP","Sort=A","Dates=H","DateFormat=P","Fill=—","Direction=H","UseDPDF=Y")</f>
        <v>#NAME?</v>
      </c>
      <c r="W143" s="2" t="e">
        <f ca="1">_xll.BDH($C$128,"EARN_FOR_COM_GROWTH","FY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43" s="2" t="e">
        <f ca="1">_xll.BDH($C$128,"DILUTED_EPS_AFT_XO_ITEMS_GROWTH","FY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43" s="2" t="e">
        <f ca="1">_xll.BDH($C$128,"DIVIDEND_PER_SHARE_1_YEAR_GROWTH","FY 2017","FY 2017","Currency=INR","Period=FY","BEST_FPERIOD_OVERRIDE=FY","FILING_STATUS=OR","EQY_CONSOLIDATED=Y","Sort=A","Dates=H","DateFormat=P","Fill=—","Direction=H","UseDPDF=Y")</f>
        <v>#NAME?</v>
      </c>
      <c r="Z143" s="2" t="e">
        <f ca="1">_xll.BDH($C$128,"ACCOUNTS_RECEIVABLE_GROWTH","FY 2017","FY 2017","Currency=INR","Period=FY","BEST_FPERIOD_OVERRIDE=FY","FILING_STATUS=OR","EQY_CONSOLIDATED=Y","Sort=A","Dates=H","DateFormat=P","Fill=—","Direction=H","UseDPDF=Y")</f>
        <v>#NAME?</v>
      </c>
      <c r="AA143" s="2" t="e">
        <f ca="1">_xll.BDH($C$128,"INVENTORY_GROWTH","FY 2017","FY 2017","Currency=INR","Period=FY","BEST_FPERIOD_OVERRIDE=FY","FILING_STATUS=OR","EQY_CONSOLIDATED=Y","Sort=A","Dates=H","DateFormat=P","Fill=—","Direction=H","UseDPDF=Y")</f>
        <v>#NAME?</v>
      </c>
      <c r="AB143" s="2" t="e">
        <f ca="1">_xll.BDH($C$128,"NET_FIXED_ASSETS_1_YEAR_GROWTH","FY 2017","FY 2017","Currency=INR","Period=FY","BEST_FPERIOD_OVERRIDE=FY","FILING_STATUS=OR","EQY_CONSOLIDATED=Y","Sort=A","Dates=H","DateFormat=P","Fill=—","Direction=H","UseDPDF=Y")</f>
        <v>#NAME?</v>
      </c>
      <c r="AC143" s="2" t="e">
        <f ca="1">_xll.BDH($C$128,"ASSET_GROWTH","FY 2017","FY 2017","Currency=INR","Period=FY","BEST_FPERIOD_OVERRIDE=FY","FILING_STATUS=OR","EQY_CONSOLIDATED=Y","Sort=A","Dates=H","DateFormat=P","Fill=—","Direction=H","UseDPDF=Y")</f>
        <v>#NAME?</v>
      </c>
      <c r="AD143" s="2" t="e">
        <f ca="1">_xll.BDH($C$128,"MODIFIED_WORK_CAP_GROWTH","FY 2017","FY 2017","Currency=INR","Period=FY","BEST_FPERIOD_OVERRIDE=FY","FILING_STATUS=OR","EQY_CONSOLIDATED=Y","Sort=A","Dates=H","DateFormat=P","Fill=—","Direction=H","UseDPDF=Y")</f>
        <v>#NAME?</v>
      </c>
      <c r="AE143" s="2" t="e">
        <f ca="1">_xll.BDH($C$128,"WORK_CAP_GROWTH","FY 2017","FY 2017","Currency=INR","Period=FY","BEST_FPERIOD_OVERRIDE=FY","FILING_STATUS=OR","EQY_CONSOLIDATED=Y","Sort=A","Dates=H","DateFormat=P","Fill=—","Direction=H","UseDPDF=Y")</f>
        <v>#NAME?</v>
      </c>
      <c r="AF143" s="2" t="e">
        <f ca="1">_xll.BDH($C$128,"ACCOUNTS_PAYABLE_GROWTH_1YR","FY 2017","FY 2017","Currency=INR","Period=FY","BEST_FPERIOD_OVERRIDE=FY","FILING_STATUS=OR","EQY_CONSOLIDATED=Y","Sort=A","Dates=H","DateFormat=P","Fill=—","Direction=H","UseDPDF=Y")</f>
        <v>#NAME?</v>
      </c>
      <c r="AG143" s="2" t="e">
        <f ca="1">_xll.BDH($C$128,"SHORT_TERM_DEBT_1_YEAR_GROWTH","FY 2017","FY 2017","Currency=INR","Period=FY","BEST_FPERIOD_OVERRIDE=FY","FILING_STATUS=OR","EQY_CONSOLIDATED=Y","Sort=A","Dates=H","DateFormat=P","Fill=—","Direction=H","UseDPDF=Y")</f>
        <v>#NAME?</v>
      </c>
      <c r="AH143" s="2" t="e">
        <f ca="1">_xll.BDH($C$128,"TOTAL_DEBT_1_YEAR_GROWTH","FY 2017","FY 2017","Currency=INR","Period=FY","BEST_FPERIOD_OVERRIDE=FY","FILING_STATUS=OR","EQY_CONSOLIDATED=Y","Sort=A","Dates=H","DateFormat=P","Fill=—","Direction=H","UseDPDF=Y")</f>
        <v>#NAME?</v>
      </c>
      <c r="AI143" s="2" t="e">
        <f ca="1">_xll.BDH($C$128,"TOTAL_EQUITY_1_YEAR_GROWTH","FY 2017","FY 2017","Currency=INR","Period=FY","BEST_FPERIOD_OVERRIDE=FY","FILING_STATUS=OR","EQY_CONSOLIDATED=Y","Sort=A","Dates=H","DateFormat=P","Fill=—","Direction=H","UseDPDF=Y")</f>
        <v>#NAME?</v>
      </c>
      <c r="AJ143" s="2" t="e">
        <f ca="1">_xll.BDH($C$128,"GROWTH_IN_CAP","FY 2017","FY 2017","Currency=INR","Period=FY","BEST_FPERIOD_OVERRIDE=FY","FILING_STATUS=OR","EQY_CONSOLIDATED=Y","Sort=A","Dates=H","DateFormat=P","Fill=—","Direction=H","UseDPDF=Y")</f>
        <v>#NAME?</v>
      </c>
      <c r="AK143" s="2" t="e">
        <f ca="1">_xll.BDH($C$128,"BVPS_GROWTH","FY 2017","FY 2017","Currency=INR","Period=FY","BEST_FPERIOD_OVERRIDE=FY","FILING_STATUS=OR","EQY_CONSOLIDATED=Y","Sort=A","Dates=H","DateFormat=P","Fill=—","Direction=H","UseDPDF=Y")</f>
        <v>#NAME?</v>
      </c>
      <c r="AL143" s="2" t="e">
        <f ca="1">_xll.BDH($C$128,"CASH_FLOW_GROWTH","FY 2017","FY 2017","Currency=INR","Period=FY","BEST_FPERIOD_OVERRIDE=FY","FILING_STATUS=OR","EQY_CONSOLIDATED=Y","Sort=A","Dates=H","DateFormat=P","Fill=—","Direction=H","UseDPDF=Y")</f>
        <v>#NAME?</v>
      </c>
      <c r="AM143" s="2" t="e">
        <f ca="1">_xll.BDH($C$128,"GEO_GROW_NET_SALES","FY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43" s="2" t="e">
        <f ca="1">_xll.BDH($C$128,"GEO_GROW_EBITDA","FY 2017","FY 2017","Currency=INR","Period=FY","BEST_FPERIOD_OVERRIDE=FY","FILING_STATUS=OR","EQY_CONSOLIDATED=Y","FA_ADJUSTED=GAAP","Sort=A","Dates=H","DateFormat=P","Fill=—","Direction=H","UseDPDF=Y")</f>
        <v>#NAME?</v>
      </c>
      <c r="AO143" s="2" t="e">
        <f ca="1">_xll.BDH($C$128,"GEO_GROW_OPER_INC","FY 2017","FY 2017","Currency=INR","Period=FY","BEST_FPERIOD_OVERRIDE=FY","FILING_STATUS=OR","EQY_CONSOLIDATED=Y","FA_ADJUSTED=GAAP","Sort=A","Dates=H","DateFormat=P","Fill=—","Direction=H","UseDPDF=Y")</f>
        <v>#NAME?</v>
      </c>
      <c r="AP143" s="2" t="e">
        <f ca="1">_xll.BDH($C$128,"NET_INCOME_TO_COMMON_5_YR_GROWTH","FY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43" s="2" t="e">
        <f ca="1">_xll.BDH($C$128,"5Y_GEO_GROWTH_DILUTED_EPS","FY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43" s="2" t="e">
        <f ca="1">_xll.BDH($C$128,"GEO_GROW_DVD_PER_SH","FY 2017","FY 2017","Currency=INR","Period=FY","BEST_FPERIOD_OVERRIDE=FY","FILING_STATUS=OR","EQY_CONSOLIDATED=Y","Sort=A","Dates=H","DateFormat=P","Fill=—","Direction=H","UseDPDF=Y")</f>
        <v>#NAME?</v>
      </c>
      <c r="AS143" s="2" t="e">
        <f ca="1">_xll.BDH($C$128,"ACCOUNTS_RECEIVABLE_5_YR_GROWTH","FY 2017","FY 2017","Currency=INR","Period=FY","BEST_FPERIOD_OVERRIDE=FY","FILING_STATUS=OR","EQY_CONSOLIDATED=Y","Sort=A","Dates=H","DateFormat=P","Fill=—","Direction=H","UseDPDF=Y")</f>
        <v>#NAME?</v>
      </c>
      <c r="AT143" s="2" t="e">
        <f ca="1">_xll.BDH($C$128,"INVENTORY_5_YEAR_GROWTH","FY 2017","FY 2017","Currency=INR","Period=FY","BEST_FPERIOD_OVERRIDE=FY","FILING_STATUS=OR","EQY_CONSOLIDATED=Y","Sort=A","Dates=H","DateFormat=P","Fill=—","Direction=H","UseDPDF=Y")</f>
        <v>#NAME?</v>
      </c>
      <c r="AU143" s="2" t="e">
        <f ca="1">_xll.BDH($C$128,"NET_FIXED_ASSETS_5_YEAR_GROWTH","FY 2017","FY 2017","Currency=INR","Period=FY","BEST_FPERIOD_OVERRIDE=FY","FILING_STATUS=OR","EQY_CONSOLIDATED=Y","Sort=A","Dates=H","DateFormat=P","Fill=—","Direction=H","UseDPDF=Y")</f>
        <v>#NAME?</v>
      </c>
      <c r="AV143" s="2" t="e">
        <f ca="1">_xll.BDH($C$128,"GEO_GROW_TOT_ASSET","FY 2017","FY 2017","Currency=INR","Period=FY","BEST_FPERIOD_OVERRIDE=FY","FILING_STATUS=OR","EQY_CONSOLIDATED=Y","Sort=A","Dates=H","DateFormat=P","Fill=—","Direction=H","UseDPDF=Y")</f>
        <v>#NAME?</v>
      </c>
      <c r="AW143" s="2" t="e">
        <f ca="1">_xll.BDH($C$128,"MODIFIED_WORKING_CPTL_5YR_GRWTH","FY 2017","FY 2017","Currency=INR","Period=FY","BEST_FPERIOD_OVERRIDE=FY","FILING_STATUS=OR","EQY_CONSOLIDATED=Y","Sort=A","Dates=H","DateFormat=P","Fill=—","Direction=H","UseDPDF=Y")</f>
        <v>#NAME?</v>
      </c>
      <c r="AX143" s="2" t="e">
        <f ca="1">_xll.BDH($C$128,"WORKING_CAPITAL_5_YEAR_GROWTH","FY 2017","FY 2017","Currency=INR","Period=FY","BEST_FPERIOD_OVERRIDE=FY","FILING_STATUS=OR","EQY_CONSOLIDATED=Y","Sort=A","Dates=H","DateFormat=P","Fill=—","Direction=H","UseDPDF=Y")</f>
        <v>#NAME?</v>
      </c>
      <c r="AY143" s="2" t="e">
        <f ca="1">_xll.BDH($C$128,"ACCOUNTS_PAYABLE_5_YEAR_GROWTH","FY 2017","FY 2017","Currency=INR","Period=FY","BEST_FPERIOD_OVERRIDE=FY","FILING_STATUS=OR","EQY_CONSOLIDATED=Y","Sort=A","Dates=H","DateFormat=P","Fill=—","Direction=H","UseDPDF=Y")</f>
        <v>#NAME?</v>
      </c>
      <c r="AZ143" s="2" t="e">
        <f ca="1">_xll.BDH($C$128,"SHORT_TERM_DEBT_5_YEAR_GROWTH","FY 2017","FY 2017","Currency=INR","Period=FY","BEST_FPERIOD_OVERRIDE=FY","FILING_STATUS=OR","EQY_CONSOLIDATED=Y","Sort=A","Dates=H","DateFormat=P","Fill=—","Direction=H","UseDPDF=Y")</f>
        <v>#NAME?</v>
      </c>
      <c r="BA143" s="2" t="e">
        <f ca="1">_xll.BDH($C$128,"TOTAL_DEBT_5_YEAR_GROWTH","FY 2017","FY 2017","Currency=INR","Period=FY","BEST_FPERIOD_OVERRIDE=FY","FILING_STATUS=OR","EQY_CONSOLIDATED=Y","Sort=A","Dates=H","DateFormat=P","Fill=—","Direction=H","UseDPDF=Y")</f>
        <v>#NAME?</v>
      </c>
      <c r="BB143" s="2" t="e">
        <f ca="1">_xll.BDH($C$128,"GEO_GROW_TOT_SHRHLDR_EQY","FY 2017","FY 2017","Currency=INR","Period=FY","BEST_FPERIOD_OVERRIDE=FY","FILING_STATUS=OR","EQY_CONSOLIDATED=Y","Sort=A","Dates=H","DateFormat=P","Fill=—","Direction=H","UseDPDF=Y")</f>
        <v>#NAME?</v>
      </c>
      <c r="BC143" s="2" t="e">
        <f ca="1">_xll.BDH($C$128,"TOTAL_CAPITAL_5_YEAR_GROWTH","FY 2017","FY 2017","Currency=INR","Period=FY","BEST_FPERIOD_OVERRIDE=FY","FILING_STATUS=OR","EQY_CONSOLIDATED=Y","Sort=A","Dates=H","DateFormat=P","Fill=—","Direction=H","UseDPDF=Y")</f>
        <v>#NAME?</v>
      </c>
      <c r="BD143" s="2" t="e">
        <f ca="1">_xll.BDH($C$128,"GEO_GROW_BOOK_VAL","FY 2017","FY 2017","Currency=INR","Period=FY","BEST_FPERIOD_OVERRIDE=FY","FILING_STATUS=OR","EQY_CONSOLIDATED=Y","Sort=A","Dates=H","DateFormat=P","Fill=—","Direction=H","UseDPDF=Y")</f>
        <v>#NAME?</v>
      </c>
      <c r="BE143" s="2" t="e">
        <f ca="1">_xll.BDH($C$128,"GEO_GROW_CASH_OPER_ACT","FY 2017","FY 2017","Currency=INR","Period=FY","BEST_FPERIOD_OVERRIDE=FY","FILING_STATUS=OR","EQY_CONSOLIDATED=Y","Sort=A","Dates=H","DateFormat=P","Fill=—","Direction=H","UseDPDF=Y")</f>
        <v>#NAME?</v>
      </c>
      <c r="BF143" s="2" t="e">
        <f ca="1">_xll.BDH($C$128,"REVENUE_SEQUENTIAL_GROWTH","FY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43" s="2" t="e">
        <f ca="1">_xll.BDH($C$128,"EBITDA_SEQUENTIAL_GROWTH","FY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43" s="2" t="e">
        <f ca="1">_xll.BDH($C$128,"OPERATING_INCOME_SEQ_GROWTH","FY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43" s="2" t="e">
        <f ca="1">_xll.BDH($C$128,"NET_INCOME_TO_COMMON_SEQ_GROWTH","FY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43" s="2" t="e">
        <f ca="1">_xll.BDH($C$128,"EPS_DILUTED_SEQUENTIAL_GROWTH","FY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43" s="2" t="e">
        <f ca="1">_xll.BDH($C$128,"DPS_SEQUENTIAL_GROWTH","FY 2017","FY 2017","Currency=INR","Period=FY","BEST_FPERIOD_OVERRIDE=FY","FILING_STATUS=OR","EQY_CONSOLIDATED=Y","Sort=A","Dates=H","DateFormat=P","Fill=—","Direction=H","UseDPDF=Y")</f>
        <v>#NAME?</v>
      </c>
      <c r="BL143" s="2" t="e">
        <f ca="1">_xll.BDH($C$128,"ACCOUNTS_RECEIVABLE_SEQ_GROWTH","FY 2017","FY 2017","Currency=INR","Period=FY","BEST_FPERIOD_OVERRIDE=FY","FILING_STATUS=OR","EQY_CONSOLIDATED=Y","Sort=A","Dates=H","DateFormat=P","Fill=—","Direction=H","UseDPDF=Y")</f>
        <v>#NAME?</v>
      </c>
      <c r="BM143" s="2" t="e">
        <f ca="1">_xll.BDH($C$128,"INVENTORY_SEQUENTIAL_GROWTH","FY 2017","FY 2017","Currency=INR","Period=FY","BEST_FPERIOD_OVERRIDE=FY","FILING_STATUS=OR","EQY_CONSOLIDATED=Y","Sort=A","Dates=H","DateFormat=P","Fill=—","Direction=H","UseDPDF=Y")</f>
        <v>#NAME?</v>
      </c>
      <c r="BN143" s="2" t="e">
        <f ca="1">_xll.BDH($C$128,"FIXED_ASSETS_SEQUENTIAL_GROWTH","FY 2017","FY 2017","Currency=INR","Period=FY","BEST_FPERIOD_OVERRIDE=FY","FILING_STATUS=OR","EQY_CONSOLIDATED=Y","Sort=A","Dates=H","DateFormat=P","Fill=—","Direction=H","UseDPDF=Y")</f>
        <v>#NAME?</v>
      </c>
      <c r="BO143" s="2" t="e">
        <f ca="1">_xll.BDH($C$128,"TOTAL_ASSETS_SEQUENTIAL_GROWTH","FY 2017","FY 2017","Currency=INR","Period=FY","BEST_FPERIOD_OVERRIDE=FY","FILING_STATUS=OR","EQY_CONSOLIDATED=Y","Sort=A","Dates=H","DateFormat=P","Fill=—","Direction=H","UseDPDF=Y")</f>
        <v>#NAME?</v>
      </c>
      <c r="BP143" s="2" t="e">
        <f ca="1">_xll.BDH($C$128,"MODIFIED_WORKING_CPTL_SEQ_GRWTH","FY 2017","FY 2017","Currency=INR","Period=FY","BEST_FPERIOD_OVERRIDE=FY","FILING_STATUS=OR","EQY_CONSOLIDATED=Y","Sort=A","Dates=H","DateFormat=P","Fill=—","Direction=H","UseDPDF=Y")</f>
        <v>#NAME?</v>
      </c>
      <c r="BQ143" s="2" t="e">
        <f ca="1">_xll.BDH($C$128,"WORKING_CAPITAL_SEQ_GROWTH","FY 2017","FY 2017","Currency=INR","Period=FY","BEST_FPERIOD_OVERRIDE=FY","FILING_STATUS=OR","EQY_CONSOLIDATED=Y","Sort=A","Dates=H","DateFormat=P","Fill=—","Direction=H","UseDPDF=Y")</f>
        <v>#NAME?</v>
      </c>
      <c r="BR143" s="2" t="e">
        <f ca="1">_xll.BDH($C$128,"ACCOUNTS_PAYABLE_SEQ_GROWTH","FY 2017","FY 2017","Currency=INR","Period=FY","BEST_FPERIOD_OVERRIDE=FY","FILING_STATUS=OR","EQY_CONSOLIDATED=Y","Sort=A","Dates=H","DateFormat=P","Fill=—","Direction=H","UseDPDF=Y")</f>
        <v>#NAME?</v>
      </c>
      <c r="BS143" s="2" t="e">
        <f ca="1">_xll.BDH($C$128,"ST_DEBT_SEQUENTIAL_GROWTH","FY 2017","FY 2017","Currency=INR","Period=FY","BEST_FPERIOD_OVERRIDE=FY","FILING_STATUS=OR","EQY_CONSOLIDATED=Y","Sort=A","Dates=H","DateFormat=P","Fill=—","Direction=H","UseDPDF=Y")</f>
        <v>#NAME?</v>
      </c>
      <c r="BT143" s="2" t="e">
        <f ca="1">_xll.BDH($C$128,"TOTAL_DEBT_SEQUENTIAL_GROWTH","FY 2017","FY 2017","Currency=INR","Period=FY","BEST_FPERIOD_OVERRIDE=FY","FILING_STATUS=OR","EQY_CONSOLIDATED=Y","Sort=A","Dates=H","DateFormat=P","Fill=—","Direction=H","UseDPDF=Y")</f>
        <v>#NAME?</v>
      </c>
      <c r="BU143" s="2" t="e">
        <f ca="1">_xll.BDH($C$128,"TOTAL_EQUITY_SEQUENTIAL_GROWTH","FY 2017","FY 2017","Currency=INR","Period=FY","BEST_FPERIOD_OVERRIDE=FY","FILING_STATUS=OR","EQY_CONSOLIDATED=Y","Sort=A","Dates=H","DateFormat=P","Fill=—","Direction=H","UseDPDF=Y")</f>
        <v>#NAME?</v>
      </c>
      <c r="BV143" s="2" t="e">
        <f ca="1">_xll.BDH($C$128,"TOTAL_CAPITAL_SEQUENTIAL_GROWTH","FY 2017","FY 2017","Currency=INR","Period=FY","BEST_FPERIOD_OVERRIDE=FY","FILING_STATUS=OR","EQY_CONSOLIDATED=Y","Sort=A","Dates=H","DateFormat=P","Fill=—","Direction=H","UseDPDF=Y")</f>
        <v>#NAME?</v>
      </c>
      <c r="BW143" s="2" t="e">
        <f ca="1">_xll.BDH($C$128,"BPS_SEQUENTIAL_GROWTH","FY 2017","FY 2017","Currency=INR","Period=FY","BEST_FPERIOD_OVERRIDE=FY","FILING_STATUS=OR","EQY_CONSOLIDATED=Y","Sort=A","Dates=H","DateFormat=P","Fill=—","Direction=H","UseDPDF=Y")</f>
        <v>#NAME?</v>
      </c>
      <c r="BX143" s="2" t="e">
        <f ca="1">_xll.BDH($C$128,"CFO_SEQUENTIAL_GROWTH","FY 2017","FY 2017","Currency=INR","Period=FY","BEST_FPERIOD_OVERRIDE=FY","FILING_STATUS=OR","EQY_CONSOLIDATED=Y","Sort=A","Dates=H","DateFormat=P","Fill=—","Direction=H","UseDPDF=Y")</f>
        <v>#NAME?</v>
      </c>
      <c r="BY143" s="3" t="e">
        <f ca="1">_xll.BDH($C$128,"SHORT_AND_LONG_TERM_DEBT","FY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43" s="3" t="e">
        <f ca="1">_xll.BDH($C$128,"BS_ST_BORROW","FY 2017","FY 2017","Currency=INR","Period=FY","BEST_FPERIOD_OVERRIDE=FY","FILING_STATUS=OR","EQY_CONSOLIDATED=Y","SCALING_FORMAT=MLN","Sort=A","Dates=H","DateFormat=P","Fill=—","Direction=H","UseDPDF=Y")</f>
        <v>#NAME?</v>
      </c>
      <c r="CA143" s="3" t="e">
        <f ca="1">_xll.BDH($C$128,"BS_LT_BORROW","FY 2017","FY 2017","Currency=INR","Period=FY","BEST_FPERIOD_OVERRIDE=FY","FILING_STATUS=OR","EQY_CONSOLIDATED=Y","SCALING_FORMAT=MLN","Sort=A","Dates=H","DateFormat=P","Fill=—","Direction=H","UseDPDF=Y")</f>
        <v>#NAME?</v>
      </c>
      <c r="CB143" s="2" t="e">
        <f ca="1">_xll.BDH($C$128,"TOT_DEBT_TO_EBITDA","FY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43" s="2" t="e">
        <f ca="1">_xll.BDH($C$128,"NET_DEBT_TO_EBITDA","FY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43" s="2" t="e">
        <f ca="1">_xll.BDH($C$128,"TOTAL_DEBT_TO_EBIT","FY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43" s="2" t="e">
        <f ca="1">_xll.BDH($C$128,"NET_DEBT_TO_EBIT","FY 2017","FY 2017","Currency=INR","Period=FY","BEST_FPERIOD_OVERRIDE=FY","FILING_STATUS=OR","EQY_CONSOLIDATED=Y","FA_ADJUSTED=GAAP","Sort=A","Dates=H","DateFormat=P","Fill=—","Direction=H","UseDPDF=Y")</f>
        <v>#NAME?</v>
      </c>
      <c r="CF143" s="2" t="e">
        <f ca="1">_xll.BDH($C$128,"EBITDA_TO_INTEREST_EXPN","FY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43" s="2" t="e">
        <f ca="1">_xll.BDH($C$128,"COM_EQY_TO_TOT_ASSET","FY 2017","FY 2017","Currency=INR","Period=FY","BEST_FPERIOD_OVERRIDE=FY","FILING_STATUS=OR","EQY_CONSOLIDATED=Y","Sort=A","Dates=H","DateFormat=P","Fill=—","Direction=H","UseDPDF=Y")</f>
        <v>#NAME?</v>
      </c>
      <c r="CH143" s="2" t="e">
        <f ca="1">_xll.BDH($C$128,"LT_DEBT_TO_TOT_EQY","FY 2017","FY 2017","Currency=INR","Period=FY","BEST_FPERIOD_OVERRIDE=FY","FILING_STATUS=OR","EQY_CONSOLIDATED=Y","Sort=A","Dates=H","DateFormat=P","Fill=—","Direction=H","UseDPDF=Y")</f>
        <v>#NAME?</v>
      </c>
      <c r="CI143" s="2" t="e">
        <f ca="1">_xll.BDH($C$128,"LT_DEBT_TO_TOT_CAP","FY 2017","FY 2017","Currency=INR","Period=FY","BEST_FPERIOD_OVERRIDE=FY","FILING_STATUS=OR","EQY_CONSOLIDATED=Y","Sort=A","Dates=H","DateFormat=P","Fill=—","Direction=H","UseDPDF=Y")</f>
        <v>#NAME?</v>
      </c>
      <c r="CJ143" s="2" t="e">
        <f ca="1">_xll.BDH($C$128,"LT_DEBT_TO_TOT_ASSET","FY 2017","FY 2017","Currency=INR","Period=FY","BEST_FPERIOD_OVERRIDE=FY","FILING_STATUS=OR","EQY_CONSOLIDATED=Y","Sort=A","Dates=H","DateFormat=P","Fill=—","Direction=H","UseDPDF=Y")</f>
        <v>#NAME?</v>
      </c>
      <c r="CK143" s="2" t="e">
        <f ca="1">_xll.BDH($C$128,"TOT_DEBT_TO_TOT_EQY","FY 2017","FY 2017","Currency=INR","Period=FY","BEST_FPERIOD_OVERRIDE=FY","FILING_STATUS=OR","EQY_CONSOLIDATED=Y","Sort=A","Dates=H","DateFormat=P","Fill=—","Direction=H","UseDPDF=Y")</f>
        <v>#NAME?</v>
      </c>
      <c r="CL143" s="2" t="e">
        <f ca="1">_xll.BDH($C$128,"TOT_DEBT_TO_TOT_CAP","FY 2017","FY 2017","Currency=INR","Period=FY","BEST_FPERIOD_OVERRIDE=FY","FILING_STATUS=OR","EQY_CONSOLIDATED=Y","Sort=A","Dates=H","DateFormat=P","Fill=—","Direction=H","UseDPDF=Y")</f>
        <v>#NAME?</v>
      </c>
      <c r="CM143" s="2" t="e">
        <f ca="1">_xll.BDH($C$128,"TOT_DEBT_TO_TOT_ASSET","FY 2017","FY 2017","Currency=INR","Period=FY","BEST_FPERIOD_OVERRIDE=FY","FILING_STATUS=OR","EQY_CONSOLIDATED=Y","Sort=A","Dates=H","DateFormat=P","Fill=—","Direction=H","UseDPDF=Y")</f>
        <v>#NAME?</v>
      </c>
      <c r="CN143" s="2" t="e">
        <f ca="1">_xll.BDH($C$128,"NET_DEBT_TO_SHRHLDR_EQTY","FY 2017","FY 2017","Currency=INR","Period=FY","BEST_FPERIOD_OVERRIDE=FY","FILING_STATUS=OR","EQY_CONSOLIDATED=Y","Sort=A","Dates=H","DateFormat=P","Fill=—","Direction=H","UseDPDF=Y")</f>
        <v>#NAME?</v>
      </c>
      <c r="CO143" s="2" t="e">
        <f ca="1">_xll.BDH($C$128,"NET_DEBT_%_CAPITAL","FY 2017","FY 2017","Currency=INR","Period=FY","BEST_FPERIOD_OVERRIDE=FY","FILING_STATUS=OR","EQY_CONSOLIDATED=Y","Sort=A","Dates=H","DateFormat=P","Fill=—","Direction=H","UseDPDF=Y")</f>
        <v>#NAME?</v>
      </c>
      <c r="CP143" s="3" t="e">
        <f ca="1">_xll.BDH($C$128,"EBITDA","FY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43" s="3" t="e">
        <f ca="1">_xll.BDH($C$128,"EBITDA_AFTER_CAPEX","FY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43" s="3" t="e">
        <f ca="1">_xll.BDH($C$128,"IS_OPER_INC","FY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43" s="2" t="e">
        <f ca="1">_xll.BDH($C$128,"CASH_RATIO","FY 2017","FY 2017","Currency=INR","Period=FY","BEST_FPERIOD_OVERRIDE=FY","FILING_STATUS=OR","EQY_CONSOLIDATED=Y","Sort=A","Dates=H","DateFormat=P","Fill=—","Direction=H","UseDPDF=Y")</f>
        <v>#NAME?</v>
      </c>
      <c r="CT143" s="2" t="e">
        <f ca="1">_xll.BDH($C$128,"CUR_RATIO","FY 2017","FY 2017","Currency=INR","Period=FY","BEST_FPERIOD_OVERRIDE=FY","FILING_STATUS=OR","EQY_CONSOLIDATED=Y","Sort=A","Dates=H","DateFormat=P","Fill=—","Direction=H","UseDPDF=Y")</f>
        <v>#NAME?</v>
      </c>
      <c r="CU143" s="2" t="e">
        <f ca="1">_xll.BDH($C$128,"QUICK_RATIO","FY 2017","FY 2017","Currency=INR","Period=FY","BEST_FPERIOD_OVERRIDE=FY","FILING_STATUS=OR","EQY_CONSOLIDATED=Y","Sort=A","Dates=H","DateFormat=P","Fill=—","Direction=H","UseDPDF=Y")</f>
        <v>#NAME?</v>
      </c>
      <c r="CV143" s="2" t="e">
        <f ca="1">_xll.BDH($C$128,"ALTMAN_Z_SCORE","FY 2017","FY 2017","Currency=INR","Period=FY","BEST_FPERIOD_OVERRIDE=FY","FILING_STATUS=OR","EQY_CONSOLIDATED=Y","Sort=A","Dates=H","DateFormat=P","Fill=—","Direction=H","UseDPDF=Y")</f>
        <v>#NAME?</v>
      </c>
      <c r="CW143" s="4" t="e">
        <f ca="1">_xll.BDH($C$128,"ACCT_RCV_TURN","FY 2017","FY 2017","Currency=INR","Period=FY","BEST_FPERIOD_OVERRIDE=FY","FILING_STATUS=OR","EQY_CONSOLIDATED=Y","FA_ADJUSTED=GAAP","Sort=A","Dates=H","DateFormat=P","Fill=—","Direction=H","UseDPDF=Y")</f>
        <v>#NAME?</v>
      </c>
      <c r="CX143" s="2" t="e">
        <f ca="1">_xll.BDH($C$128,"ACCT_RCV_DAYS","FY 2017","FY 2017","Currency=INR","Period=FY","BEST_FPERIOD_OVERRIDE=FY","FILING_STATUS=OR","EQY_CONSOLIDATED=Y","FA_ADJUSTED=GAAP","Sort=A","Dates=H","DateFormat=P","Fill=—","Direction=H","UseDPDF=Y")</f>
        <v>#NAME?</v>
      </c>
      <c r="CY143" s="4" t="e">
        <f ca="1">_xll.BDH($C$128,"INVENT_TURN","FY 2017","FY 2017","Currency=INR","Period=FY","BEST_FPERIOD_OVERRIDE=FY","FILING_STATUS=OR","EQY_CONSOLIDATED=Y","FA_ADJUSTED=GAAP","Sort=A","Dates=H","DateFormat=P","Fill=—","Direction=H","UseDPDF=Y")</f>
        <v>#NAME?</v>
      </c>
      <c r="CZ143" s="2" t="e">
        <f ca="1">_xll.BDH($C$128,"INVENT_DAYS","FY 2017","FY 2017","Currency=INR","Period=FY","BEST_FPERIOD_OVERRIDE=FY","FILING_STATUS=OR","EQY_CONSOLIDATED=Y","FA_ADJUSTED=GAAP","Sort=A","Dates=H","DateFormat=P","Fill=—","Direction=H","UseDPDF=Y")</f>
        <v>#NAME?</v>
      </c>
      <c r="DA143" s="4" t="e">
        <f ca="1">_xll.BDH($C$128,"ACCOUNTS_PAYABLE_TURNOVER","FY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43" s="2" t="e">
        <f ca="1">_xll.BDH($C$128,"ACCOUNTS_PAYABLE_TURNOVER_DAYS","FY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43" s="4" t="e">
        <f ca="1">_xll.BDH($C$128,"CASH_CONVERSION_CYCLE","FY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43" s="4" t="e">
        <f ca="1">_xll.BDH($C$128,"INV_TO_CASH_DAYS","FY 2017","FY 2017","Currency=INR","Period=FY","BEST_FPERIOD_OVERRIDE=FY","FILING_STATUS=OR","EQY_CONSOLIDATED=Y","FA_ADJUSTED=GAAP","Sort=A","Dates=H","DateFormat=P","Fill=—","Direction=H","UseDPDF=Y")</f>
        <v>#NAME?</v>
      </c>
      <c r="DE143" s="5" t="e">
        <f ca="1">_xll.BDH($C$128,"BS_INVENTORIES","FY 2017","FY 2017","Currency=INR","Period=FY","BEST_FPERIOD_OVERRIDE=FY","FILING_STATUS=OR","EQY_CONSOLIDATED=Y","SCALING_FORMAT=MLN","Sort=A","Dates=H","DateFormat=P","Fill=—","Direction=H","UseDPDF=Y")</f>
        <v>#NAME?</v>
      </c>
      <c r="DF143" s="3" t="e">
        <f ca="1">_xll.BDH($C$128,"INVTRY_RAW_MATERIALS","FY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43" s="3" t="e">
        <f ca="1">_xll.BDH($C$128,"INVTRY_IN_PROGRESS","FY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43" s="3" t="e">
        <f ca="1">_xll.BDH($C$128,"INVTRY_FINISHED_GOODS","FY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43" s="3" t="e">
        <f ca="1">_xll.BDH($C$128,"BS_OTHER_INV","FY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44" spans="1:113" x14ac:dyDescent="0.3">
      <c r="A144" s="6"/>
      <c r="B144" s="6"/>
      <c r="C144" s="6"/>
      <c r="D144" s="6"/>
      <c r="E144" t="s">
        <v>78</v>
      </c>
      <c r="F144" t="e">
        <f ca="1">_xll.BDH($C$128,"RETURN_COM_EQY","FQ1 2017","FQ1 2017","Currency=INR","Period=FQ","BEST_FPERIOD_OVERRIDE=FQ","FILING_STATUS=OR","EQY_CONSOLIDATED=Y","FA_ADJUSTED=GAAP","Sort=A","Dates=H","DateFormat=P","Fill=—","Direction=H","UseDPDF=Y")</f>
        <v>#NAME?</v>
      </c>
      <c r="G144" t="e">
        <f ca="1">_xll.BDH($C$128,"RETURN_ON_ASSET","FQ1 2017","FQ1 2017","Currency=INR","Period=FQ","BEST_FPERIOD_OVERRIDE=FQ","FILING_STATUS=OR","EQY_CONSOLIDATED=Y","FA_ADJUSTED=GAAP","Sort=A","Dates=H","DateFormat=P","Fill=—","Direction=H","UseDPDF=Y")</f>
        <v>#NAME?</v>
      </c>
      <c r="H144" t="e">
        <f ca="1">_xll.BDH($C$128,"RETURN_ON_CAP","FQ1 2017","FQ1 2017","Currency=INR","Period=FQ","BEST_FPERIOD_OVERRIDE=FQ","FILING_STATUS=OR","EQY_CONSOLIDATED=Y","FA_ADJUSTED=GAAP","Sort=A","Dates=H","DateFormat=P","Fill=—","Direction=H","UseDPDF=Y")</f>
        <v>#NAME?</v>
      </c>
      <c r="I144" t="e">
        <f ca="1">_xll.BDH($C$128,"RETURN_ON_INV_CAPITAL","FQ1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44" t="e">
        <f ca="1">_xll.BDH($C$128,"EBITDA_TO_REVENUE","FQ1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44" t="e">
        <f ca="1">_xll.BDH($C$128,"OPER_MARGIN","FQ1 2017","FQ1 2017","Currency=INR","Period=FQ","BEST_FPERIOD_OVERRIDE=FQ","FILING_STATUS=OR","EQY_CONSOLIDATED=Y","FA_ADJUSTED=GAAP","Sort=A","Dates=H","DateFormat=P","Fill=—","Direction=H","UseDPDF=Y")</f>
        <v>#NAME?</v>
      </c>
      <c r="L144" t="e">
        <f ca="1">_xll.BDH($C$128,"INCREMENTAL_OPERATING_MARGIN","FQ1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44" t="e">
        <f ca="1">_xll.BDH($C$128,"PRETAX_INC_TO_NET_SALES","FQ1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44" t="e">
        <f ca="1">_xll.BDH($C$128,"INC_BEF_XO_ITEMS_TO_NET_SALES","FQ1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44" t="e">
        <f ca="1">_xll.BDH($C$128,"PROF_MARGIN","FQ1 2017","FQ1 2017","Currency=INR","Period=FQ","BEST_FPERIOD_OVERRIDE=FQ","FILING_STATUS=OR","EQY_CONSOLIDATED=Y","FA_ADJUSTED=GAAP","Sort=A","Dates=H","DateFormat=P","Fill=—","Direction=H","UseDPDF=Y")</f>
        <v>#NAME?</v>
      </c>
      <c r="P144" t="e">
        <f ca="1">_xll.BDH($C$128,"NET_INCOME_TO_COMMON_MARGIN","FQ1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44" t="e">
        <f ca="1">_xll.BDH($C$128,"EFF_TAX_RATE","FQ1 2017","FQ1 2017","Currency=INR","Period=FQ","BEST_FPERIOD_OVERRIDE=FQ","FILING_STATUS=OR","EQY_CONSOLIDATED=Y","FA_ADJUSTED=GAAP","Sort=A","Dates=H","DateFormat=P","Fill=—","Direction=H","UseDPDF=Y")</f>
        <v>#NAME?</v>
      </c>
      <c r="R144" t="e">
        <f ca="1">_xll.BDH($C$128,"DVD_PAYOUT_RATIO","FQ1 2017","FQ1 2017","Currency=INR","Period=FQ","BEST_FPERIOD_OVERRIDE=FQ","FILING_STATUS=OR","EQY_CONSOLIDATED=Y","FA_ADJUSTED=GAAP","Sort=A","Dates=H","DateFormat=P","Fill=—","Direction=H","UseDPDF=Y")</f>
        <v>#NAME?</v>
      </c>
      <c r="S144" t="e">
        <f ca="1">_xll.BDH($C$128,"SUSTAIN_GROWTH_RT","FQ1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44" s="2" t="e">
        <f ca="1">_xll.BDH($C$128,"SALES_GROWTH","FQ1 2017","FQ1 2017","Currency=INR","Period=FQ","BEST_FPERIOD_OVERRIDE=FQ","FILING_STATUS=OR","EQY_CONSOLIDATED=Y","FA_ADJUSTED=GAAP","Sort=A","Dates=H","DateFormat=P","Fill=—","Direction=H","UseDPDF=Y")</f>
        <v>#NAME?</v>
      </c>
      <c r="U144" s="2" t="e">
        <f ca="1">_xll.BDH($C$128,"EBITDA_GROWTH","FQ1 2017","FQ1 2017","Currency=INR","Period=FQ","BEST_FPERIOD_OVERRIDE=FQ","FILING_STATUS=OR","EQY_CONSOLIDATED=Y","FA_ADJUSTED=GAAP","Sort=A","Dates=H","DateFormat=P","Fill=—","Direction=H","UseDPDF=Y")</f>
        <v>#NAME?</v>
      </c>
      <c r="V144" s="2" t="e">
        <f ca="1">_xll.BDH($C$128,"OPER_INC_GROWTH","FQ1 2017","FQ1 2017","Currency=INR","Period=FQ","BEST_FPERIOD_OVERRIDE=FQ","FILING_STATUS=OR","EQY_CONSOLIDATED=Y","FA_ADJUSTED=GAAP","Sort=A","Dates=H","DateFormat=P","Fill=—","Direction=H","UseDPDF=Y")</f>
        <v>#NAME?</v>
      </c>
      <c r="W144" s="2" t="e">
        <f ca="1">_xll.BDH($C$128,"EARN_FOR_COM_GROWTH","FQ1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44" s="2" t="e">
        <f ca="1">_xll.BDH($C$128,"DILUTED_EPS_AFT_XO_ITEMS_GROWTH","FQ1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44" s="2" t="e">
        <f ca="1">_xll.BDH($C$128,"DIVIDEND_PER_SHARE_1_YEAR_GROWTH","FQ1 2017","FQ1 2017","Currency=INR","Period=FQ","BEST_FPERIOD_OVERRIDE=FQ","FILING_STATUS=OR","EQY_CONSOLIDATED=Y","Sort=A","Dates=H","DateFormat=P","Fill=—","Direction=H","UseDPDF=Y")</f>
        <v>#NAME?</v>
      </c>
      <c r="Z144" s="2" t="e">
        <f ca="1">_xll.BDH($C$128,"ACCOUNTS_RECEIVABLE_GROWTH","FQ1 2017","FQ1 2017","Currency=INR","Period=FQ","BEST_FPERIOD_OVERRIDE=FQ","FILING_STATUS=OR","EQY_CONSOLIDATED=Y","Sort=A","Dates=H","DateFormat=P","Fill=—","Direction=H","UseDPDF=Y")</f>
        <v>#NAME?</v>
      </c>
      <c r="AA144" s="2" t="e">
        <f ca="1">_xll.BDH($C$128,"INVENTORY_GROWTH","FQ1 2017","FQ1 2017","Currency=INR","Period=FQ","BEST_FPERIOD_OVERRIDE=FQ","FILING_STATUS=OR","EQY_CONSOLIDATED=Y","Sort=A","Dates=H","DateFormat=P","Fill=—","Direction=H","UseDPDF=Y")</f>
        <v>#NAME?</v>
      </c>
      <c r="AB144" s="2" t="e">
        <f ca="1">_xll.BDH($C$128,"NET_FIXED_ASSETS_1_YEAR_GROWTH","FQ1 2017","FQ1 2017","Currency=INR","Period=FQ","BEST_FPERIOD_OVERRIDE=FQ","FILING_STATUS=OR","EQY_CONSOLIDATED=Y","Sort=A","Dates=H","DateFormat=P","Fill=—","Direction=H","UseDPDF=Y")</f>
        <v>#NAME?</v>
      </c>
      <c r="AC144" s="2" t="e">
        <f ca="1">_xll.BDH($C$128,"ASSET_GROWTH","FQ1 2017","FQ1 2017","Currency=INR","Period=FQ","BEST_FPERIOD_OVERRIDE=FQ","FILING_STATUS=OR","EQY_CONSOLIDATED=Y","Sort=A","Dates=H","DateFormat=P","Fill=—","Direction=H","UseDPDF=Y")</f>
        <v>#NAME?</v>
      </c>
      <c r="AD144" s="2" t="e">
        <f ca="1">_xll.BDH($C$128,"MODIFIED_WORK_CAP_GROWTH","FQ1 2017","FQ1 2017","Currency=INR","Period=FQ","BEST_FPERIOD_OVERRIDE=FQ","FILING_STATUS=OR","EQY_CONSOLIDATED=Y","Sort=A","Dates=H","DateFormat=P","Fill=—","Direction=H","UseDPDF=Y")</f>
        <v>#NAME?</v>
      </c>
      <c r="AE144" s="2" t="e">
        <f ca="1">_xll.BDH($C$128,"WORK_CAP_GROWTH","FQ1 2017","FQ1 2017","Currency=INR","Period=FQ","BEST_FPERIOD_OVERRIDE=FQ","FILING_STATUS=OR","EQY_CONSOLIDATED=Y","Sort=A","Dates=H","DateFormat=P","Fill=—","Direction=H","UseDPDF=Y")</f>
        <v>#NAME?</v>
      </c>
      <c r="AF144" s="2" t="e">
        <f ca="1">_xll.BDH($C$128,"ACCOUNTS_PAYABLE_GROWTH_1YR","FQ1 2017","FQ1 2017","Currency=INR","Period=FQ","BEST_FPERIOD_OVERRIDE=FQ","FILING_STATUS=OR","EQY_CONSOLIDATED=Y","Sort=A","Dates=H","DateFormat=P","Fill=—","Direction=H","UseDPDF=Y")</f>
        <v>#NAME?</v>
      </c>
      <c r="AG144" s="2" t="e">
        <f ca="1">_xll.BDH($C$128,"SHORT_TERM_DEBT_1_YEAR_GROWTH","FQ1 2017","FQ1 2017","Currency=INR","Period=FQ","BEST_FPERIOD_OVERRIDE=FQ","FILING_STATUS=OR","EQY_CONSOLIDATED=Y","Sort=A","Dates=H","DateFormat=P","Fill=—","Direction=H","UseDPDF=Y")</f>
        <v>#NAME?</v>
      </c>
      <c r="AH144" s="2" t="e">
        <f ca="1">_xll.BDH($C$128,"TOTAL_DEBT_1_YEAR_GROWTH","FQ1 2017","FQ1 2017","Currency=INR","Period=FQ","BEST_FPERIOD_OVERRIDE=FQ","FILING_STATUS=OR","EQY_CONSOLIDATED=Y","Sort=A","Dates=H","DateFormat=P","Fill=—","Direction=H","UseDPDF=Y")</f>
        <v>#NAME?</v>
      </c>
      <c r="AI144" s="2" t="e">
        <f ca="1">_xll.BDH($C$128,"TOTAL_EQUITY_1_YEAR_GROWTH","FQ1 2017","FQ1 2017","Currency=INR","Period=FQ","BEST_FPERIOD_OVERRIDE=FQ","FILING_STATUS=OR","EQY_CONSOLIDATED=Y","Sort=A","Dates=H","DateFormat=P","Fill=—","Direction=H","UseDPDF=Y")</f>
        <v>#NAME?</v>
      </c>
      <c r="AJ144" s="2" t="e">
        <f ca="1">_xll.BDH($C$128,"GROWTH_IN_CAP","FQ1 2017","FQ1 2017","Currency=INR","Period=FQ","BEST_FPERIOD_OVERRIDE=FQ","FILING_STATUS=OR","EQY_CONSOLIDATED=Y","Sort=A","Dates=H","DateFormat=P","Fill=—","Direction=H","UseDPDF=Y")</f>
        <v>#NAME?</v>
      </c>
      <c r="AK144" s="2" t="e">
        <f ca="1">_xll.BDH($C$128,"BVPS_GROWTH","FQ1 2017","FQ1 2017","Currency=INR","Period=FQ","BEST_FPERIOD_OVERRIDE=FQ","FILING_STATUS=OR","EQY_CONSOLIDATED=Y","Sort=A","Dates=H","DateFormat=P","Fill=—","Direction=H","UseDPDF=Y")</f>
        <v>#NAME?</v>
      </c>
      <c r="AL144" s="2" t="e">
        <f ca="1">_xll.BDH($C$128,"CASH_FLOW_GROWTH","FQ1 2017","FQ1 2017","Currency=INR","Period=FQ","BEST_FPERIOD_OVERRIDE=FQ","FILING_STATUS=OR","EQY_CONSOLIDATED=Y","Sort=A","Dates=H","DateFormat=P","Fill=—","Direction=H","UseDPDF=Y")</f>
        <v>#NAME?</v>
      </c>
      <c r="AM144" s="2" t="e">
        <f ca="1">_xll.BDH($C$128,"GEO_GROW_NET_SALES","FQ1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44" s="2" t="e">
        <f ca="1">_xll.BDH($C$128,"GEO_GROW_EBITDA","FQ1 2017","FQ1 2017","Currency=INR","Period=FQ","BEST_FPERIOD_OVERRIDE=FQ","FILING_STATUS=OR","EQY_CONSOLIDATED=Y","FA_ADJUSTED=GAAP","Sort=A","Dates=H","DateFormat=P","Fill=—","Direction=H","UseDPDF=Y")</f>
        <v>#NAME?</v>
      </c>
      <c r="AO144" s="2" t="e">
        <f ca="1">_xll.BDH($C$128,"GEO_GROW_OPER_INC","FQ1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44" s="2" t="e">
        <f ca="1">_xll.BDH($C$128,"NET_INCOME_TO_COMMON_5_YR_GROWTH","FQ1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44" s="2" t="e">
        <f ca="1">_xll.BDH($C$128,"5Y_GEO_GROWTH_DILUTED_EPS","FQ1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44" s="2" t="e">
        <f ca="1">_xll.BDH($C$128,"GEO_GROW_DVD_PER_SH","FQ1 2017","FQ1 2017","Currency=INR","Period=FQ","BEST_FPERIOD_OVERRIDE=FQ","FILING_STATUS=OR","EQY_CONSOLIDATED=Y","Sort=A","Dates=H","DateFormat=P","Fill=—","Direction=H","UseDPDF=Y")</f>
        <v>#NAME?</v>
      </c>
      <c r="AS144" s="2" t="e">
        <f ca="1">_xll.BDH($C$128,"ACCOUNTS_RECEIVABLE_5_YR_GROWTH","FQ1 2017","FQ1 2017","Currency=INR","Period=FQ","BEST_FPERIOD_OVERRIDE=FQ","FILING_STATUS=OR","EQY_CONSOLIDATED=Y","Sort=A","Dates=H","DateFormat=P","Fill=—","Direction=H","UseDPDF=Y")</f>
        <v>#NAME?</v>
      </c>
      <c r="AT144" s="2" t="e">
        <f ca="1">_xll.BDH($C$128,"INVENTORY_5_YEAR_GROWTH","FQ1 2017","FQ1 2017","Currency=INR","Period=FQ","BEST_FPERIOD_OVERRIDE=FQ","FILING_STATUS=OR","EQY_CONSOLIDATED=Y","Sort=A","Dates=H","DateFormat=P","Fill=—","Direction=H","UseDPDF=Y")</f>
        <v>#NAME?</v>
      </c>
      <c r="AU144" s="2" t="e">
        <f ca="1">_xll.BDH($C$128,"NET_FIXED_ASSETS_5_YEAR_GROWTH","FQ1 2017","FQ1 2017","Currency=INR","Period=FQ","BEST_FPERIOD_OVERRIDE=FQ","FILING_STATUS=OR","EQY_CONSOLIDATED=Y","Sort=A","Dates=H","DateFormat=P","Fill=—","Direction=H","UseDPDF=Y")</f>
        <v>#NAME?</v>
      </c>
      <c r="AV144" s="2" t="e">
        <f ca="1">_xll.BDH($C$128,"GEO_GROW_TOT_ASSET","FQ1 2017","FQ1 2017","Currency=INR","Period=FQ","BEST_FPERIOD_OVERRIDE=FQ","FILING_STATUS=OR","EQY_CONSOLIDATED=Y","Sort=A","Dates=H","DateFormat=P","Fill=—","Direction=H","UseDPDF=Y")</f>
        <v>#NAME?</v>
      </c>
      <c r="AW144" s="2" t="e">
        <f ca="1">_xll.BDH($C$128,"MODIFIED_WORKING_CPTL_5YR_GRWTH","FQ1 2017","FQ1 2017","Currency=INR","Period=FQ","BEST_FPERIOD_OVERRIDE=FQ","FILING_STATUS=OR","EQY_CONSOLIDATED=Y","Sort=A","Dates=H","DateFormat=P","Fill=—","Direction=H","UseDPDF=Y")</f>
        <v>#NAME?</v>
      </c>
      <c r="AX144" s="2" t="e">
        <f ca="1">_xll.BDH($C$128,"WORKING_CAPITAL_5_YEAR_GROWTH","FQ1 2017","FQ1 2017","Currency=INR","Period=FQ","BEST_FPERIOD_OVERRIDE=FQ","FILING_STATUS=OR","EQY_CONSOLIDATED=Y","Sort=A","Dates=H","DateFormat=P","Fill=—","Direction=H","UseDPDF=Y")</f>
        <v>#NAME?</v>
      </c>
      <c r="AY144" s="2" t="e">
        <f ca="1">_xll.BDH($C$128,"ACCOUNTS_PAYABLE_5_YEAR_GROWTH","FQ1 2017","FQ1 2017","Currency=INR","Period=FQ","BEST_FPERIOD_OVERRIDE=FQ","FILING_STATUS=OR","EQY_CONSOLIDATED=Y","Sort=A","Dates=H","DateFormat=P","Fill=—","Direction=H","UseDPDF=Y")</f>
        <v>#NAME?</v>
      </c>
      <c r="AZ144" s="2" t="e">
        <f ca="1">_xll.BDH($C$128,"SHORT_TERM_DEBT_5_YEAR_GROWTH","FQ1 2017","FQ1 2017","Currency=INR","Period=FQ","BEST_FPERIOD_OVERRIDE=FQ","FILING_STATUS=OR","EQY_CONSOLIDATED=Y","Sort=A","Dates=H","DateFormat=P","Fill=—","Direction=H","UseDPDF=Y")</f>
        <v>#NAME?</v>
      </c>
      <c r="BA144" s="2" t="e">
        <f ca="1">_xll.BDH($C$128,"TOTAL_DEBT_5_YEAR_GROWTH","FQ1 2017","FQ1 2017","Currency=INR","Period=FQ","BEST_FPERIOD_OVERRIDE=FQ","FILING_STATUS=OR","EQY_CONSOLIDATED=Y","Sort=A","Dates=H","DateFormat=P","Fill=—","Direction=H","UseDPDF=Y")</f>
        <v>#NAME?</v>
      </c>
      <c r="BB144" s="2" t="e">
        <f ca="1">_xll.BDH($C$128,"GEO_GROW_TOT_SHRHLDR_EQY","FQ1 2017","FQ1 2017","Currency=INR","Period=FQ","BEST_FPERIOD_OVERRIDE=FQ","FILING_STATUS=OR","EQY_CONSOLIDATED=Y","Sort=A","Dates=H","DateFormat=P","Fill=—","Direction=H","UseDPDF=Y")</f>
        <v>#NAME?</v>
      </c>
      <c r="BC144" s="2" t="e">
        <f ca="1">_xll.BDH($C$128,"TOTAL_CAPITAL_5_YEAR_GROWTH","FQ1 2017","FQ1 2017","Currency=INR","Period=FQ","BEST_FPERIOD_OVERRIDE=FQ","FILING_STATUS=OR","EQY_CONSOLIDATED=Y","Sort=A","Dates=H","DateFormat=P","Fill=—","Direction=H","UseDPDF=Y")</f>
        <v>#NAME?</v>
      </c>
      <c r="BD144" s="2" t="e">
        <f ca="1">_xll.BDH($C$128,"GEO_GROW_BOOK_VAL","FQ1 2017","FQ1 2017","Currency=INR","Period=FQ","BEST_FPERIOD_OVERRIDE=FQ","FILING_STATUS=OR","EQY_CONSOLIDATED=Y","Sort=A","Dates=H","DateFormat=P","Fill=—","Direction=H","UseDPDF=Y")</f>
        <v>#NAME?</v>
      </c>
      <c r="BE144" s="2" t="e">
        <f ca="1">_xll.BDH($C$128,"GEO_GROW_CASH_OPER_ACT","FQ1 2017","FQ1 2017","Currency=INR","Period=FQ","BEST_FPERIOD_OVERRIDE=FQ","FILING_STATUS=OR","EQY_CONSOLIDATED=Y","Sort=A","Dates=H","DateFormat=P","Fill=—","Direction=H","UseDPDF=Y")</f>
        <v>#NAME?</v>
      </c>
      <c r="BF144" s="2" t="e">
        <f ca="1">_xll.BDH($C$128,"REVENUE_SEQUENTIAL_GROWTH","FQ1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44" s="2" t="e">
        <f ca="1">_xll.BDH($C$128,"EBITDA_SEQUENTIAL_GROWTH","FQ1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44" s="2" t="e">
        <f ca="1">_xll.BDH($C$128,"OPERATING_INCOME_SEQ_GROWTH","FQ1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44" s="2" t="e">
        <f ca="1">_xll.BDH($C$128,"NET_INCOME_TO_COMMON_SEQ_GROWTH","FQ1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44" s="2" t="e">
        <f ca="1">_xll.BDH($C$128,"EPS_DILUTED_SEQUENTIAL_GROWTH","FQ1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44" s="2" t="e">
        <f ca="1">_xll.BDH($C$128,"DPS_SEQUENTIAL_GROWTH","FQ1 2017","FQ1 2017","Currency=INR","Period=FQ","BEST_FPERIOD_OVERRIDE=FQ","FILING_STATUS=OR","EQY_CONSOLIDATED=Y","Sort=A","Dates=H","DateFormat=P","Fill=—","Direction=H","UseDPDF=Y")</f>
        <v>#NAME?</v>
      </c>
      <c r="BL144" s="2" t="e">
        <f ca="1">_xll.BDH($C$128,"ACCOUNTS_RECEIVABLE_SEQ_GROWTH","FQ1 2017","FQ1 2017","Currency=INR","Period=FQ","BEST_FPERIOD_OVERRIDE=FQ","FILING_STATUS=OR","EQY_CONSOLIDATED=Y","Sort=A","Dates=H","DateFormat=P","Fill=—","Direction=H","UseDPDF=Y")</f>
        <v>#NAME?</v>
      </c>
      <c r="BM144" s="2" t="e">
        <f ca="1">_xll.BDH($C$128,"INVENTORY_SEQUENTIAL_GROWTH","FQ1 2017","FQ1 2017","Currency=INR","Period=FQ","BEST_FPERIOD_OVERRIDE=FQ","FILING_STATUS=OR","EQY_CONSOLIDATED=Y","Sort=A","Dates=H","DateFormat=P","Fill=—","Direction=H","UseDPDF=Y")</f>
        <v>#NAME?</v>
      </c>
      <c r="BN144" s="2" t="e">
        <f ca="1">_xll.BDH($C$128,"FIXED_ASSETS_SEQUENTIAL_GROWTH","FQ1 2017","FQ1 2017","Currency=INR","Period=FQ","BEST_FPERIOD_OVERRIDE=FQ","FILING_STATUS=OR","EQY_CONSOLIDATED=Y","Sort=A","Dates=H","DateFormat=P","Fill=—","Direction=H","UseDPDF=Y")</f>
        <v>#NAME?</v>
      </c>
      <c r="BO144" s="2" t="e">
        <f ca="1">_xll.BDH($C$128,"TOTAL_ASSETS_SEQUENTIAL_GROWTH","FQ1 2017","FQ1 2017","Currency=INR","Period=FQ","BEST_FPERIOD_OVERRIDE=FQ","FILING_STATUS=OR","EQY_CONSOLIDATED=Y","Sort=A","Dates=H","DateFormat=P","Fill=—","Direction=H","UseDPDF=Y")</f>
        <v>#NAME?</v>
      </c>
      <c r="BP144" s="2" t="e">
        <f ca="1">_xll.BDH($C$128,"MODIFIED_WORKING_CPTL_SEQ_GRWTH","FQ1 2017","FQ1 2017","Currency=INR","Period=FQ","BEST_FPERIOD_OVERRIDE=FQ","FILING_STATUS=OR","EQY_CONSOLIDATED=Y","Sort=A","Dates=H","DateFormat=P","Fill=—","Direction=H","UseDPDF=Y")</f>
        <v>#NAME?</v>
      </c>
      <c r="BQ144" s="2" t="e">
        <f ca="1">_xll.BDH($C$128,"WORKING_CAPITAL_SEQ_GROWTH","FQ1 2017","FQ1 2017","Currency=INR","Period=FQ","BEST_FPERIOD_OVERRIDE=FQ","FILING_STATUS=OR","EQY_CONSOLIDATED=Y","Sort=A","Dates=H","DateFormat=P","Fill=—","Direction=H","UseDPDF=Y")</f>
        <v>#NAME?</v>
      </c>
      <c r="BR144" s="2" t="e">
        <f ca="1">_xll.BDH($C$128,"ACCOUNTS_PAYABLE_SEQ_GROWTH","FQ1 2017","FQ1 2017","Currency=INR","Period=FQ","BEST_FPERIOD_OVERRIDE=FQ","FILING_STATUS=OR","EQY_CONSOLIDATED=Y","Sort=A","Dates=H","DateFormat=P","Fill=—","Direction=H","UseDPDF=Y")</f>
        <v>#NAME?</v>
      </c>
      <c r="BS144" s="2" t="e">
        <f ca="1">_xll.BDH($C$128,"ST_DEBT_SEQUENTIAL_GROWTH","FQ1 2017","FQ1 2017","Currency=INR","Period=FQ","BEST_FPERIOD_OVERRIDE=FQ","FILING_STATUS=OR","EQY_CONSOLIDATED=Y","Sort=A","Dates=H","DateFormat=P","Fill=—","Direction=H","UseDPDF=Y")</f>
        <v>#NAME?</v>
      </c>
      <c r="BT144" s="2" t="e">
        <f ca="1">_xll.BDH($C$128,"TOTAL_DEBT_SEQUENTIAL_GROWTH","FQ1 2017","FQ1 2017","Currency=INR","Period=FQ","BEST_FPERIOD_OVERRIDE=FQ","FILING_STATUS=OR","EQY_CONSOLIDATED=Y","Sort=A","Dates=H","DateFormat=P","Fill=—","Direction=H","UseDPDF=Y")</f>
        <v>#NAME?</v>
      </c>
      <c r="BU144" s="2" t="e">
        <f ca="1">_xll.BDH($C$128,"TOTAL_EQUITY_SEQUENTIAL_GROWTH","FQ1 2017","FQ1 2017","Currency=INR","Period=FQ","BEST_FPERIOD_OVERRIDE=FQ","FILING_STATUS=OR","EQY_CONSOLIDATED=Y","Sort=A","Dates=H","DateFormat=P","Fill=—","Direction=H","UseDPDF=Y")</f>
        <v>#NAME?</v>
      </c>
      <c r="BV144" s="2" t="e">
        <f ca="1">_xll.BDH($C$128,"TOTAL_CAPITAL_SEQUENTIAL_GROWTH","FQ1 2017","FQ1 2017","Currency=INR","Period=FQ","BEST_FPERIOD_OVERRIDE=FQ","FILING_STATUS=OR","EQY_CONSOLIDATED=Y","Sort=A","Dates=H","DateFormat=P","Fill=—","Direction=H","UseDPDF=Y")</f>
        <v>#NAME?</v>
      </c>
      <c r="BW144" s="2" t="e">
        <f ca="1">_xll.BDH($C$128,"BPS_SEQUENTIAL_GROWTH","FQ1 2017","FQ1 2017","Currency=INR","Period=FQ","BEST_FPERIOD_OVERRIDE=FQ","FILING_STATUS=OR","EQY_CONSOLIDATED=Y","Sort=A","Dates=H","DateFormat=P","Fill=—","Direction=H","UseDPDF=Y")</f>
        <v>#NAME?</v>
      </c>
      <c r="BX144" s="2" t="e">
        <f ca="1">_xll.BDH($C$128,"CFO_SEQUENTIAL_GROWTH","FQ1 2017","FQ1 2017","Currency=INR","Period=FQ","BEST_FPERIOD_OVERRIDE=FQ","FILING_STATUS=OR","EQY_CONSOLIDATED=Y","Sort=A","Dates=H","DateFormat=P","Fill=—","Direction=H","UseDPDF=Y")</f>
        <v>#NAME?</v>
      </c>
      <c r="BY144" s="3" t="e">
        <f ca="1">_xll.BDH($C$128,"SHORT_AND_LONG_TERM_DEBT","FQ1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44" s="3" t="e">
        <f ca="1">_xll.BDH($C$128,"BS_ST_BORROW","FQ1 2017","FQ1 2017","Currency=INR","Period=FQ","BEST_FPERIOD_OVERRIDE=FQ","FILING_STATUS=OR","EQY_CONSOLIDATED=Y","SCALING_FORMAT=MLN","Sort=A","Dates=H","DateFormat=P","Fill=—","Direction=H","UseDPDF=Y")</f>
        <v>#NAME?</v>
      </c>
      <c r="CA144" s="3" t="e">
        <f ca="1">_xll.BDH($C$128,"BS_LT_BORROW","FQ1 2017","FQ1 2017","Currency=INR","Period=FQ","BEST_FPERIOD_OVERRIDE=FQ","FILING_STATUS=OR","EQY_CONSOLIDATED=Y","SCALING_FORMAT=MLN","Sort=A","Dates=H","DateFormat=P","Fill=—","Direction=H","UseDPDF=Y")</f>
        <v>#NAME?</v>
      </c>
      <c r="CB144" s="2" t="e">
        <f ca="1">_xll.BDH($C$128,"TOT_DEBT_TO_EBITDA","FQ1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44" s="2" t="e">
        <f ca="1">_xll.BDH($C$128,"NET_DEBT_TO_EBITDA","FQ1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44" s="2" t="e">
        <f ca="1">_xll.BDH($C$128,"TOTAL_DEBT_TO_EBIT","FQ1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44" s="2" t="e">
        <f ca="1">_xll.BDH($C$128,"NET_DEBT_TO_EBIT","FQ1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44" s="2" t="e">
        <f ca="1">_xll.BDH($C$128,"EBITDA_TO_INTEREST_EXPN","FQ1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44" s="2" t="e">
        <f ca="1">_xll.BDH($C$128,"COM_EQY_TO_TOT_ASSET","FQ1 2017","FQ1 2017","Currency=INR","Period=FQ","BEST_FPERIOD_OVERRIDE=FQ","FILING_STATUS=OR","EQY_CONSOLIDATED=Y","Sort=A","Dates=H","DateFormat=P","Fill=—","Direction=H","UseDPDF=Y")</f>
        <v>#NAME?</v>
      </c>
      <c r="CH144" s="2" t="e">
        <f ca="1">_xll.BDH($C$128,"LT_DEBT_TO_TOT_EQY","FQ1 2017","FQ1 2017","Currency=INR","Period=FQ","BEST_FPERIOD_OVERRIDE=FQ","FILING_STATUS=OR","EQY_CONSOLIDATED=Y","Sort=A","Dates=H","DateFormat=P","Fill=—","Direction=H","UseDPDF=Y")</f>
        <v>#NAME?</v>
      </c>
      <c r="CI144" s="2" t="e">
        <f ca="1">_xll.BDH($C$128,"LT_DEBT_TO_TOT_CAP","FQ1 2017","FQ1 2017","Currency=INR","Period=FQ","BEST_FPERIOD_OVERRIDE=FQ","FILING_STATUS=OR","EQY_CONSOLIDATED=Y","Sort=A","Dates=H","DateFormat=P","Fill=—","Direction=H","UseDPDF=Y")</f>
        <v>#NAME?</v>
      </c>
      <c r="CJ144" s="2" t="e">
        <f ca="1">_xll.BDH($C$128,"LT_DEBT_TO_TOT_ASSET","FQ1 2017","FQ1 2017","Currency=INR","Period=FQ","BEST_FPERIOD_OVERRIDE=FQ","FILING_STATUS=OR","EQY_CONSOLIDATED=Y","Sort=A","Dates=H","DateFormat=P","Fill=—","Direction=H","UseDPDF=Y")</f>
        <v>#NAME?</v>
      </c>
      <c r="CK144" s="2" t="e">
        <f ca="1">_xll.BDH($C$128,"TOT_DEBT_TO_TOT_EQY","FQ1 2017","FQ1 2017","Currency=INR","Period=FQ","BEST_FPERIOD_OVERRIDE=FQ","FILING_STATUS=OR","EQY_CONSOLIDATED=Y","Sort=A","Dates=H","DateFormat=P","Fill=—","Direction=H","UseDPDF=Y")</f>
        <v>#NAME?</v>
      </c>
      <c r="CL144" s="2" t="e">
        <f ca="1">_xll.BDH($C$128,"TOT_DEBT_TO_TOT_CAP","FQ1 2017","FQ1 2017","Currency=INR","Period=FQ","BEST_FPERIOD_OVERRIDE=FQ","FILING_STATUS=OR","EQY_CONSOLIDATED=Y","Sort=A","Dates=H","DateFormat=P","Fill=—","Direction=H","UseDPDF=Y")</f>
        <v>#NAME?</v>
      </c>
      <c r="CM144" s="2" t="e">
        <f ca="1">_xll.BDH($C$128,"TOT_DEBT_TO_TOT_ASSET","FQ1 2017","FQ1 2017","Currency=INR","Period=FQ","BEST_FPERIOD_OVERRIDE=FQ","FILING_STATUS=OR","EQY_CONSOLIDATED=Y","Sort=A","Dates=H","DateFormat=P","Fill=—","Direction=H","UseDPDF=Y")</f>
        <v>#NAME?</v>
      </c>
      <c r="CN144" s="2" t="e">
        <f ca="1">_xll.BDH($C$128,"NET_DEBT_TO_SHRHLDR_EQTY","FQ1 2017","FQ1 2017","Currency=INR","Period=FQ","BEST_FPERIOD_OVERRIDE=FQ","FILING_STATUS=OR","EQY_CONSOLIDATED=Y","Sort=A","Dates=H","DateFormat=P","Fill=—","Direction=H","UseDPDF=Y")</f>
        <v>#NAME?</v>
      </c>
      <c r="CO144" s="2" t="e">
        <f ca="1">_xll.BDH($C$128,"NET_DEBT_%_CAPITAL","FQ1 2017","FQ1 2017","Currency=INR","Period=FQ","BEST_FPERIOD_OVERRIDE=FQ","FILING_STATUS=OR","EQY_CONSOLIDATED=Y","Sort=A","Dates=H","DateFormat=P","Fill=—","Direction=H","UseDPDF=Y")</f>
        <v>#NAME?</v>
      </c>
      <c r="CP144" s="3" t="e">
        <f ca="1">_xll.BDH($C$128,"EBITDA","FQ1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44" s="3" t="e">
        <f ca="1">_xll.BDH($C$128,"EBITDA_AFTER_CAPEX","FQ1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44" s="3" t="e">
        <f ca="1">_xll.BDH($C$128,"IS_OPER_INC","FQ1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44" s="2" t="e">
        <f ca="1">_xll.BDH($C$128,"CASH_RATIO","FQ1 2017","FQ1 2017","Currency=INR","Period=FQ","BEST_FPERIOD_OVERRIDE=FQ","FILING_STATUS=OR","EQY_CONSOLIDATED=Y","Sort=A","Dates=H","DateFormat=P","Fill=—","Direction=H","UseDPDF=Y")</f>
        <v>#NAME?</v>
      </c>
      <c r="CT144" s="2" t="e">
        <f ca="1">_xll.BDH($C$128,"CUR_RATIO","FQ1 2017","FQ1 2017","Currency=INR","Period=FQ","BEST_FPERIOD_OVERRIDE=FQ","FILING_STATUS=OR","EQY_CONSOLIDATED=Y","Sort=A","Dates=H","DateFormat=P","Fill=—","Direction=H","UseDPDF=Y")</f>
        <v>#NAME?</v>
      </c>
      <c r="CU144" s="2" t="e">
        <f ca="1">_xll.BDH($C$128,"QUICK_RATIO","FQ1 2017","FQ1 2017","Currency=INR","Period=FQ","BEST_FPERIOD_OVERRIDE=FQ","FILING_STATUS=OR","EQY_CONSOLIDATED=Y","Sort=A","Dates=H","DateFormat=P","Fill=—","Direction=H","UseDPDF=Y")</f>
        <v>#NAME?</v>
      </c>
      <c r="CV144" s="2" t="e">
        <f ca="1">_xll.BDH($C$128,"ALTMAN_Z_SCORE","FQ1 2017","FQ1 2017","Currency=INR","Period=FQ","BEST_FPERIOD_OVERRIDE=FQ","FILING_STATUS=OR","EQY_CONSOLIDATED=Y","Sort=A","Dates=H","DateFormat=P","Fill=—","Direction=H","UseDPDF=Y")</f>
        <v>#NAME?</v>
      </c>
      <c r="CW144" s="4" t="e">
        <f ca="1">_xll.BDH($C$128,"ACCT_RCV_TURN","FQ1 2017","FQ1 2017","Currency=INR","Period=FQ","BEST_FPERIOD_OVERRIDE=FQ","FILING_STATUS=OR","EQY_CONSOLIDATED=Y","FA_ADJUSTED=GAAP","Sort=A","Dates=H","DateFormat=P","Fill=—","Direction=H","UseDPDF=Y")</f>
        <v>#NAME?</v>
      </c>
      <c r="CX144" s="2" t="e">
        <f ca="1">_xll.BDH($C$128,"ACCT_RCV_DAYS","FQ1 2017","FQ1 2017","Currency=INR","Period=FQ","BEST_FPERIOD_OVERRIDE=FQ","FILING_STATUS=OR","EQY_CONSOLIDATED=Y","FA_ADJUSTED=GAAP","Sort=A","Dates=H","DateFormat=P","Fill=—","Direction=H","UseDPDF=Y")</f>
        <v>#NAME?</v>
      </c>
      <c r="CY144" s="4" t="e">
        <f ca="1">_xll.BDH($C$128,"INVENT_TURN","FQ1 2017","FQ1 2017","Currency=INR","Period=FQ","BEST_FPERIOD_OVERRIDE=FQ","FILING_STATUS=OR","EQY_CONSOLIDATED=Y","FA_ADJUSTED=GAAP","Sort=A","Dates=H","DateFormat=P","Fill=—","Direction=H","UseDPDF=Y")</f>
        <v>#NAME?</v>
      </c>
      <c r="CZ144" s="2" t="e">
        <f ca="1">_xll.BDH($C$128,"INVENT_DAYS","FQ1 2017","FQ1 2017","Currency=INR","Period=FQ","BEST_FPERIOD_OVERRIDE=FQ","FILING_STATUS=OR","EQY_CONSOLIDATED=Y","FA_ADJUSTED=GAAP","Sort=A","Dates=H","DateFormat=P","Fill=—","Direction=H","UseDPDF=Y")</f>
        <v>#NAME?</v>
      </c>
      <c r="DA144" s="4" t="e">
        <f ca="1">_xll.BDH($C$128,"ACCOUNTS_PAYABLE_TURNOVER","FQ1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44" s="2" t="e">
        <f ca="1">_xll.BDH($C$128,"ACCOUNTS_PAYABLE_TURNOVER_DAYS","FQ1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44" s="4" t="e">
        <f ca="1">_xll.BDH($C$128,"CASH_CONVERSION_CYCLE","FQ1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44" s="4" t="e">
        <f ca="1">_xll.BDH($C$128,"INV_TO_CASH_DAYS","FQ1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44" s="5" t="e">
        <f ca="1">_xll.BDH($C$128,"BS_INVENTORIES","FQ1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44" s="3" t="e">
        <f ca="1">_xll.BDH($C$128,"INVTRY_RAW_MATERIALS","FQ1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44" s="3" t="e">
        <f ca="1">_xll.BDH($C$128,"INVTRY_IN_PROGRESS","FQ1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44" s="3" t="e">
        <f ca="1">_xll.BDH($C$128,"INVTRY_FINISHED_GOODS","FQ1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44" s="3" t="e">
        <f ca="1">_xll.BDH($C$128,"BS_OTHER_INV","FQ1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45" spans="1:113" x14ac:dyDescent="0.3">
      <c r="A145" s="6"/>
      <c r="B145" s="6"/>
      <c r="C145" s="6"/>
      <c r="D145" s="6"/>
      <c r="E145" t="s">
        <v>79</v>
      </c>
      <c r="F145" t="e">
        <f ca="1">_xll.BDH($C$128,"RETURN_COM_EQY","FQ2 2017","FQ2 2017","Currency=INR","Period=FQ","BEST_FPERIOD_OVERRIDE=FQ","FILING_STATUS=OR","EQY_CONSOLIDATED=Y","FA_ADJUSTED=GAAP","Sort=A","Dates=H","DateFormat=P","Fill=—","Direction=H","UseDPDF=Y")</f>
        <v>#NAME?</v>
      </c>
      <c r="G145" t="e">
        <f ca="1">_xll.BDH($C$128,"RETURN_ON_ASSET","FQ2 2017","FQ2 2017","Currency=INR","Period=FQ","BEST_FPERIOD_OVERRIDE=FQ","FILING_STATUS=OR","EQY_CONSOLIDATED=Y","FA_ADJUSTED=GAAP","Sort=A","Dates=H","DateFormat=P","Fill=—","Direction=H","UseDPDF=Y")</f>
        <v>#NAME?</v>
      </c>
      <c r="H145" t="e">
        <f ca="1">_xll.BDH($C$128,"RETURN_ON_CAP","FQ2 2017","FQ2 2017","Currency=INR","Period=FQ","BEST_FPERIOD_OVERRIDE=FQ","FILING_STATUS=OR","EQY_CONSOLIDATED=Y","FA_ADJUSTED=GAAP","Sort=A","Dates=H","DateFormat=P","Fill=—","Direction=H","UseDPDF=Y")</f>
        <v>#NAME?</v>
      </c>
      <c r="I145" t="e">
        <f ca="1">_xll.BDH($C$128,"RETURN_ON_INV_CAPITAL","FQ2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45" t="e">
        <f ca="1">_xll.BDH($C$128,"EBITDA_TO_REVENUE","FQ2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45" t="e">
        <f ca="1">_xll.BDH($C$128,"OPER_MARGIN","FQ2 2017","FQ2 2017","Currency=INR","Period=FQ","BEST_FPERIOD_OVERRIDE=FQ","FILING_STATUS=OR","EQY_CONSOLIDATED=Y","FA_ADJUSTED=GAAP","Sort=A","Dates=H","DateFormat=P","Fill=—","Direction=H","UseDPDF=Y")</f>
        <v>#NAME?</v>
      </c>
      <c r="L145" t="e">
        <f ca="1">_xll.BDH($C$128,"INCREMENTAL_OPERATING_MARGIN","FQ2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45" t="e">
        <f ca="1">_xll.BDH($C$128,"PRETAX_INC_TO_NET_SALES","FQ2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45" t="e">
        <f ca="1">_xll.BDH($C$128,"INC_BEF_XO_ITEMS_TO_NET_SALES","FQ2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45" t="e">
        <f ca="1">_xll.BDH($C$128,"PROF_MARGIN","FQ2 2017","FQ2 2017","Currency=INR","Period=FQ","BEST_FPERIOD_OVERRIDE=FQ","FILING_STATUS=OR","EQY_CONSOLIDATED=Y","FA_ADJUSTED=GAAP","Sort=A","Dates=H","DateFormat=P","Fill=—","Direction=H","UseDPDF=Y")</f>
        <v>#NAME?</v>
      </c>
      <c r="P145" t="e">
        <f ca="1">_xll.BDH($C$128,"NET_INCOME_TO_COMMON_MARGIN","FQ2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45" t="e">
        <f ca="1">_xll.BDH($C$128,"EFF_TAX_RATE","FQ2 2017","FQ2 2017","Currency=INR","Period=FQ","BEST_FPERIOD_OVERRIDE=FQ","FILING_STATUS=OR","EQY_CONSOLIDATED=Y","FA_ADJUSTED=GAAP","Sort=A","Dates=H","DateFormat=P","Fill=—","Direction=H","UseDPDF=Y")</f>
        <v>#NAME?</v>
      </c>
      <c r="R145" t="e">
        <f ca="1">_xll.BDH($C$128,"DVD_PAYOUT_RATIO","FQ2 2017","FQ2 2017","Currency=INR","Period=FQ","BEST_FPERIOD_OVERRIDE=FQ","FILING_STATUS=OR","EQY_CONSOLIDATED=Y","FA_ADJUSTED=GAAP","Sort=A","Dates=H","DateFormat=P","Fill=—","Direction=H","UseDPDF=Y")</f>
        <v>#NAME?</v>
      </c>
      <c r="S145" t="e">
        <f ca="1">_xll.BDH($C$128,"SUSTAIN_GROWTH_RT","FQ2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45" s="2" t="e">
        <f ca="1">_xll.BDH($C$128,"SALES_GROWTH","FQ2 2017","FQ2 2017","Currency=INR","Period=FQ","BEST_FPERIOD_OVERRIDE=FQ","FILING_STATUS=OR","EQY_CONSOLIDATED=Y","FA_ADJUSTED=GAAP","Sort=A","Dates=H","DateFormat=P","Fill=—","Direction=H","UseDPDF=Y")</f>
        <v>#NAME?</v>
      </c>
      <c r="U145" s="2" t="e">
        <f ca="1">_xll.BDH($C$128,"EBITDA_GROWTH","FQ2 2017","FQ2 2017","Currency=INR","Period=FQ","BEST_FPERIOD_OVERRIDE=FQ","FILING_STATUS=OR","EQY_CONSOLIDATED=Y","FA_ADJUSTED=GAAP","Sort=A","Dates=H","DateFormat=P","Fill=—","Direction=H","UseDPDF=Y")</f>
        <v>#NAME?</v>
      </c>
      <c r="V145" s="2" t="e">
        <f ca="1">_xll.BDH($C$128,"OPER_INC_GROWTH","FQ2 2017","FQ2 2017","Currency=INR","Period=FQ","BEST_FPERIOD_OVERRIDE=FQ","FILING_STATUS=OR","EQY_CONSOLIDATED=Y","FA_ADJUSTED=GAAP","Sort=A","Dates=H","DateFormat=P","Fill=—","Direction=H","UseDPDF=Y")</f>
        <v>#NAME?</v>
      </c>
      <c r="W145" s="2" t="e">
        <f ca="1">_xll.BDH($C$128,"EARN_FOR_COM_GROWTH","FQ2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45" s="2" t="e">
        <f ca="1">_xll.BDH($C$128,"DILUTED_EPS_AFT_XO_ITEMS_GROWTH","FQ2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45" s="2" t="e">
        <f ca="1">_xll.BDH($C$128,"DIVIDEND_PER_SHARE_1_YEAR_GROWTH","FQ2 2017","FQ2 2017","Currency=INR","Period=FQ","BEST_FPERIOD_OVERRIDE=FQ","FILING_STATUS=OR","EQY_CONSOLIDATED=Y","Sort=A","Dates=H","DateFormat=P","Fill=—","Direction=H","UseDPDF=Y")</f>
        <v>#NAME?</v>
      </c>
      <c r="Z145" s="2" t="e">
        <f ca="1">_xll.BDH($C$128,"ACCOUNTS_RECEIVABLE_GROWTH","FQ2 2017","FQ2 2017","Currency=INR","Period=FQ","BEST_FPERIOD_OVERRIDE=FQ","FILING_STATUS=OR","EQY_CONSOLIDATED=Y","Sort=A","Dates=H","DateFormat=P","Fill=—","Direction=H","UseDPDF=Y")</f>
        <v>#NAME?</v>
      </c>
      <c r="AA145" s="2" t="e">
        <f ca="1">_xll.BDH($C$128,"INVENTORY_GROWTH","FQ2 2017","FQ2 2017","Currency=INR","Period=FQ","BEST_FPERIOD_OVERRIDE=FQ","FILING_STATUS=OR","EQY_CONSOLIDATED=Y","Sort=A","Dates=H","DateFormat=P","Fill=—","Direction=H","UseDPDF=Y")</f>
        <v>#NAME?</v>
      </c>
      <c r="AB145" s="2" t="e">
        <f ca="1">_xll.BDH($C$128,"NET_FIXED_ASSETS_1_YEAR_GROWTH","FQ2 2017","FQ2 2017","Currency=INR","Period=FQ","BEST_FPERIOD_OVERRIDE=FQ","FILING_STATUS=OR","EQY_CONSOLIDATED=Y","Sort=A","Dates=H","DateFormat=P","Fill=—","Direction=H","UseDPDF=Y")</f>
        <v>#NAME?</v>
      </c>
      <c r="AC145" s="2" t="e">
        <f ca="1">_xll.BDH($C$128,"ASSET_GROWTH","FQ2 2017","FQ2 2017","Currency=INR","Period=FQ","BEST_FPERIOD_OVERRIDE=FQ","FILING_STATUS=OR","EQY_CONSOLIDATED=Y","Sort=A","Dates=H","DateFormat=P","Fill=—","Direction=H","UseDPDF=Y")</f>
        <v>#NAME?</v>
      </c>
      <c r="AD145" s="2" t="e">
        <f ca="1">_xll.BDH($C$128,"MODIFIED_WORK_CAP_GROWTH","FQ2 2017","FQ2 2017","Currency=INR","Period=FQ","BEST_FPERIOD_OVERRIDE=FQ","FILING_STATUS=OR","EQY_CONSOLIDATED=Y","Sort=A","Dates=H","DateFormat=P","Fill=—","Direction=H","UseDPDF=Y")</f>
        <v>#NAME?</v>
      </c>
      <c r="AE145" s="2" t="e">
        <f ca="1">_xll.BDH($C$128,"WORK_CAP_GROWTH","FQ2 2017","FQ2 2017","Currency=INR","Period=FQ","BEST_FPERIOD_OVERRIDE=FQ","FILING_STATUS=OR","EQY_CONSOLIDATED=Y","Sort=A","Dates=H","DateFormat=P","Fill=—","Direction=H","UseDPDF=Y")</f>
        <v>#NAME?</v>
      </c>
      <c r="AF145" s="2" t="e">
        <f ca="1">_xll.BDH($C$128,"ACCOUNTS_PAYABLE_GROWTH_1YR","FQ2 2017","FQ2 2017","Currency=INR","Period=FQ","BEST_FPERIOD_OVERRIDE=FQ","FILING_STATUS=OR","EQY_CONSOLIDATED=Y","Sort=A","Dates=H","DateFormat=P","Fill=—","Direction=H","UseDPDF=Y")</f>
        <v>#NAME?</v>
      </c>
      <c r="AG145" s="2" t="e">
        <f ca="1">_xll.BDH($C$128,"SHORT_TERM_DEBT_1_YEAR_GROWTH","FQ2 2017","FQ2 2017","Currency=INR","Period=FQ","BEST_FPERIOD_OVERRIDE=FQ","FILING_STATUS=OR","EQY_CONSOLIDATED=Y","Sort=A","Dates=H","DateFormat=P","Fill=—","Direction=H","UseDPDF=Y")</f>
        <v>#NAME?</v>
      </c>
      <c r="AH145" s="2" t="e">
        <f ca="1">_xll.BDH($C$128,"TOTAL_DEBT_1_YEAR_GROWTH","FQ2 2017","FQ2 2017","Currency=INR","Period=FQ","BEST_FPERIOD_OVERRIDE=FQ","FILING_STATUS=OR","EQY_CONSOLIDATED=Y","Sort=A","Dates=H","DateFormat=P","Fill=—","Direction=H","UseDPDF=Y")</f>
        <v>#NAME?</v>
      </c>
      <c r="AI145" s="2" t="e">
        <f ca="1">_xll.BDH($C$128,"TOTAL_EQUITY_1_YEAR_GROWTH","FQ2 2017","FQ2 2017","Currency=INR","Period=FQ","BEST_FPERIOD_OVERRIDE=FQ","FILING_STATUS=OR","EQY_CONSOLIDATED=Y","Sort=A","Dates=H","DateFormat=P","Fill=—","Direction=H","UseDPDF=Y")</f>
        <v>#NAME?</v>
      </c>
      <c r="AJ145" s="2" t="e">
        <f ca="1">_xll.BDH($C$128,"GROWTH_IN_CAP","FQ2 2017","FQ2 2017","Currency=INR","Period=FQ","BEST_FPERIOD_OVERRIDE=FQ","FILING_STATUS=OR","EQY_CONSOLIDATED=Y","Sort=A","Dates=H","DateFormat=P","Fill=—","Direction=H","UseDPDF=Y")</f>
        <v>#NAME?</v>
      </c>
      <c r="AK145" s="2" t="e">
        <f ca="1">_xll.BDH($C$128,"BVPS_GROWTH","FQ2 2017","FQ2 2017","Currency=INR","Period=FQ","BEST_FPERIOD_OVERRIDE=FQ","FILING_STATUS=OR","EQY_CONSOLIDATED=Y","Sort=A","Dates=H","DateFormat=P","Fill=—","Direction=H","UseDPDF=Y")</f>
        <v>#NAME?</v>
      </c>
      <c r="AL145" s="2" t="e">
        <f ca="1">_xll.BDH($C$128,"CASH_FLOW_GROWTH","FQ2 2017","FQ2 2017","Currency=INR","Period=FQ","BEST_FPERIOD_OVERRIDE=FQ","FILING_STATUS=OR","EQY_CONSOLIDATED=Y","Sort=A","Dates=H","DateFormat=P","Fill=—","Direction=H","UseDPDF=Y")</f>
        <v>#NAME?</v>
      </c>
      <c r="AM145" s="2" t="e">
        <f ca="1">_xll.BDH($C$128,"GEO_GROW_NET_SALES","FQ2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45" s="2" t="e">
        <f ca="1">_xll.BDH($C$128,"GEO_GROW_EBITDA","FQ2 2017","FQ2 2017","Currency=INR","Period=FQ","BEST_FPERIOD_OVERRIDE=FQ","FILING_STATUS=OR","EQY_CONSOLIDATED=Y","FA_ADJUSTED=GAAP","Sort=A","Dates=H","DateFormat=P","Fill=—","Direction=H","UseDPDF=Y")</f>
        <v>#NAME?</v>
      </c>
      <c r="AO145" s="2" t="e">
        <f ca="1">_xll.BDH($C$128,"GEO_GROW_OPER_INC","FQ2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45" s="2" t="e">
        <f ca="1">_xll.BDH($C$128,"NET_INCOME_TO_COMMON_5_YR_GROWTH","FQ2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45" s="2" t="e">
        <f ca="1">_xll.BDH($C$128,"5Y_GEO_GROWTH_DILUTED_EPS","FQ2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45" s="2" t="e">
        <f ca="1">_xll.BDH($C$128,"GEO_GROW_DVD_PER_SH","FQ2 2017","FQ2 2017","Currency=INR","Period=FQ","BEST_FPERIOD_OVERRIDE=FQ","FILING_STATUS=OR","EQY_CONSOLIDATED=Y","Sort=A","Dates=H","DateFormat=P","Fill=—","Direction=H","UseDPDF=Y")</f>
        <v>#NAME?</v>
      </c>
      <c r="AS145" s="2" t="e">
        <f ca="1">_xll.BDH($C$128,"ACCOUNTS_RECEIVABLE_5_YR_GROWTH","FQ2 2017","FQ2 2017","Currency=INR","Period=FQ","BEST_FPERIOD_OVERRIDE=FQ","FILING_STATUS=OR","EQY_CONSOLIDATED=Y","Sort=A","Dates=H","DateFormat=P","Fill=—","Direction=H","UseDPDF=Y")</f>
        <v>#NAME?</v>
      </c>
      <c r="AT145" s="2" t="e">
        <f ca="1">_xll.BDH($C$128,"INVENTORY_5_YEAR_GROWTH","FQ2 2017","FQ2 2017","Currency=INR","Period=FQ","BEST_FPERIOD_OVERRIDE=FQ","FILING_STATUS=OR","EQY_CONSOLIDATED=Y","Sort=A","Dates=H","DateFormat=P","Fill=—","Direction=H","UseDPDF=Y")</f>
        <v>#NAME?</v>
      </c>
      <c r="AU145" s="2" t="e">
        <f ca="1">_xll.BDH($C$128,"NET_FIXED_ASSETS_5_YEAR_GROWTH","FQ2 2017","FQ2 2017","Currency=INR","Period=FQ","BEST_FPERIOD_OVERRIDE=FQ","FILING_STATUS=OR","EQY_CONSOLIDATED=Y","Sort=A","Dates=H","DateFormat=P","Fill=—","Direction=H","UseDPDF=Y")</f>
        <v>#NAME?</v>
      </c>
      <c r="AV145" s="2" t="e">
        <f ca="1">_xll.BDH($C$128,"GEO_GROW_TOT_ASSET","FQ2 2017","FQ2 2017","Currency=INR","Period=FQ","BEST_FPERIOD_OVERRIDE=FQ","FILING_STATUS=OR","EQY_CONSOLIDATED=Y","Sort=A","Dates=H","DateFormat=P","Fill=—","Direction=H","UseDPDF=Y")</f>
        <v>#NAME?</v>
      </c>
      <c r="AW145" s="2" t="e">
        <f ca="1">_xll.BDH($C$128,"MODIFIED_WORKING_CPTL_5YR_GRWTH","FQ2 2017","FQ2 2017","Currency=INR","Period=FQ","BEST_FPERIOD_OVERRIDE=FQ","FILING_STATUS=OR","EQY_CONSOLIDATED=Y","Sort=A","Dates=H","DateFormat=P","Fill=—","Direction=H","UseDPDF=Y")</f>
        <v>#NAME?</v>
      </c>
      <c r="AX145" s="2" t="e">
        <f ca="1">_xll.BDH($C$128,"WORKING_CAPITAL_5_YEAR_GROWTH","FQ2 2017","FQ2 2017","Currency=INR","Period=FQ","BEST_FPERIOD_OVERRIDE=FQ","FILING_STATUS=OR","EQY_CONSOLIDATED=Y","Sort=A","Dates=H","DateFormat=P","Fill=—","Direction=H","UseDPDF=Y")</f>
        <v>#NAME?</v>
      </c>
      <c r="AY145" s="2" t="e">
        <f ca="1">_xll.BDH($C$128,"ACCOUNTS_PAYABLE_5_YEAR_GROWTH","FQ2 2017","FQ2 2017","Currency=INR","Period=FQ","BEST_FPERIOD_OVERRIDE=FQ","FILING_STATUS=OR","EQY_CONSOLIDATED=Y","Sort=A","Dates=H","DateFormat=P","Fill=—","Direction=H","UseDPDF=Y")</f>
        <v>#NAME?</v>
      </c>
      <c r="AZ145" s="2" t="e">
        <f ca="1">_xll.BDH($C$128,"SHORT_TERM_DEBT_5_YEAR_GROWTH","FQ2 2017","FQ2 2017","Currency=INR","Period=FQ","BEST_FPERIOD_OVERRIDE=FQ","FILING_STATUS=OR","EQY_CONSOLIDATED=Y","Sort=A","Dates=H","DateFormat=P","Fill=—","Direction=H","UseDPDF=Y")</f>
        <v>#NAME?</v>
      </c>
      <c r="BA145" s="2" t="e">
        <f ca="1">_xll.BDH($C$128,"TOTAL_DEBT_5_YEAR_GROWTH","FQ2 2017","FQ2 2017","Currency=INR","Period=FQ","BEST_FPERIOD_OVERRIDE=FQ","FILING_STATUS=OR","EQY_CONSOLIDATED=Y","Sort=A","Dates=H","DateFormat=P","Fill=—","Direction=H","UseDPDF=Y")</f>
        <v>#NAME?</v>
      </c>
      <c r="BB145" s="2" t="e">
        <f ca="1">_xll.BDH($C$128,"GEO_GROW_TOT_SHRHLDR_EQY","FQ2 2017","FQ2 2017","Currency=INR","Period=FQ","BEST_FPERIOD_OVERRIDE=FQ","FILING_STATUS=OR","EQY_CONSOLIDATED=Y","Sort=A","Dates=H","DateFormat=P","Fill=—","Direction=H","UseDPDF=Y")</f>
        <v>#NAME?</v>
      </c>
      <c r="BC145" s="2" t="e">
        <f ca="1">_xll.BDH($C$128,"TOTAL_CAPITAL_5_YEAR_GROWTH","FQ2 2017","FQ2 2017","Currency=INR","Period=FQ","BEST_FPERIOD_OVERRIDE=FQ","FILING_STATUS=OR","EQY_CONSOLIDATED=Y","Sort=A","Dates=H","DateFormat=P","Fill=—","Direction=H","UseDPDF=Y")</f>
        <v>#NAME?</v>
      </c>
      <c r="BD145" s="2" t="e">
        <f ca="1">_xll.BDH($C$128,"GEO_GROW_BOOK_VAL","FQ2 2017","FQ2 2017","Currency=INR","Period=FQ","BEST_FPERIOD_OVERRIDE=FQ","FILING_STATUS=OR","EQY_CONSOLIDATED=Y","Sort=A","Dates=H","DateFormat=P","Fill=—","Direction=H","UseDPDF=Y")</f>
        <v>#NAME?</v>
      </c>
      <c r="BE145" s="2" t="e">
        <f ca="1">_xll.BDH($C$128,"GEO_GROW_CASH_OPER_ACT","FQ2 2017","FQ2 2017","Currency=INR","Period=FQ","BEST_FPERIOD_OVERRIDE=FQ","FILING_STATUS=OR","EQY_CONSOLIDATED=Y","Sort=A","Dates=H","DateFormat=P","Fill=—","Direction=H","UseDPDF=Y")</f>
        <v>#NAME?</v>
      </c>
      <c r="BF145" s="2" t="e">
        <f ca="1">_xll.BDH($C$128,"REVENUE_SEQUENTIAL_GROWTH","FQ2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45" s="2" t="e">
        <f ca="1">_xll.BDH($C$128,"EBITDA_SEQUENTIAL_GROWTH","FQ2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45" s="2" t="e">
        <f ca="1">_xll.BDH($C$128,"OPERATING_INCOME_SEQ_GROWTH","FQ2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45" s="2" t="e">
        <f ca="1">_xll.BDH($C$128,"NET_INCOME_TO_COMMON_SEQ_GROWTH","FQ2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45" s="2" t="e">
        <f ca="1">_xll.BDH($C$128,"EPS_DILUTED_SEQUENTIAL_GROWTH","FQ2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45" s="2" t="e">
        <f ca="1">_xll.BDH($C$128,"DPS_SEQUENTIAL_GROWTH","FQ2 2017","FQ2 2017","Currency=INR","Period=FQ","BEST_FPERIOD_OVERRIDE=FQ","FILING_STATUS=OR","EQY_CONSOLIDATED=Y","Sort=A","Dates=H","DateFormat=P","Fill=—","Direction=H","UseDPDF=Y")</f>
        <v>#NAME?</v>
      </c>
      <c r="BL145" s="2" t="e">
        <f ca="1">_xll.BDH($C$128,"ACCOUNTS_RECEIVABLE_SEQ_GROWTH","FQ2 2017","FQ2 2017","Currency=INR","Period=FQ","BEST_FPERIOD_OVERRIDE=FQ","FILING_STATUS=OR","EQY_CONSOLIDATED=Y","Sort=A","Dates=H","DateFormat=P","Fill=—","Direction=H","UseDPDF=Y")</f>
        <v>#NAME?</v>
      </c>
      <c r="BM145" s="2" t="e">
        <f ca="1">_xll.BDH($C$128,"INVENTORY_SEQUENTIAL_GROWTH","FQ2 2017","FQ2 2017","Currency=INR","Period=FQ","BEST_FPERIOD_OVERRIDE=FQ","FILING_STATUS=OR","EQY_CONSOLIDATED=Y","Sort=A","Dates=H","DateFormat=P","Fill=—","Direction=H","UseDPDF=Y")</f>
        <v>#NAME?</v>
      </c>
      <c r="BN145" s="2" t="e">
        <f ca="1">_xll.BDH($C$128,"FIXED_ASSETS_SEQUENTIAL_GROWTH","FQ2 2017","FQ2 2017","Currency=INR","Period=FQ","BEST_FPERIOD_OVERRIDE=FQ","FILING_STATUS=OR","EQY_CONSOLIDATED=Y","Sort=A","Dates=H","DateFormat=P","Fill=—","Direction=H","UseDPDF=Y")</f>
        <v>#NAME?</v>
      </c>
      <c r="BO145" s="2" t="e">
        <f ca="1">_xll.BDH($C$128,"TOTAL_ASSETS_SEQUENTIAL_GROWTH","FQ2 2017","FQ2 2017","Currency=INR","Period=FQ","BEST_FPERIOD_OVERRIDE=FQ","FILING_STATUS=OR","EQY_CONSOLIDATED=Y","Sort=A","Dates=H","DateFormat=P","Fill=—","Direction=H","UseDPDF=Y")</f>
        <v>#NAME?</v>
      </c>
      <c r="BP145" s="2" t="e">
        <f ca="1">_xll.BDH($C$128,"MODIFIED_WORKING_CPTL_SEQ_GRWTH","FQ2 2017","FQ2 2017","Currency=INR","Period=FQ","BEST_FPERIOD_OVERRIDE=FQ","FILING_STATUS=OR","EQY_CONSOLIDATED=Y","Sort=A","Dates=H","DateFormat=P","Fill=—","Direction=H","UseDPDF=Y")</f>
        <v>#NAME?</v>
      </c>
      <c r="BQ145" s="2" t="e">
        <f ca="1">_xll.BDH($C$128,"WORKING_CAPITAL_SEQ_GROWTH","FQ2 2017","FQ2 2017","Currency=INR","Period=FQ","BEST_FPERIOD_OVERRIDE=FQ","FILING_STATUS=OR","EQY_CONSOLIDATED=Y","Sort=A","Dates=H","DateFormat=P","Fill=—","Direction=H","UseDPDF=Y")</f>
        <v>#NAME?</v>
      </c>
      <c r="BR145" s="2" t="e">
        <f ca="1">_xll.BDH($C$128,"ACCOUNTS_PAYABLE_SEQ_GROWTH","FQ2 2017","FQ2 2017","Currency=INR","Period=FQ","BEST_FPERIOD_OVERRIDE=FQ","FILING_STATUS=OR","EQY_CONSOLIDATED=Y","Sort=A","Dates=H","DateFormat=P","Fill=—","Direction=H","UseDPDF=Y")</f>
        <v>#NAME?</v>
      </c>
      <c r="BS145" s="2" t="e">
        <f ca="1">_xll.BDH($C$128,"ST_DEBT_SEQUENTIAL_GROWTH","FQ2 2017","FQ2 2017","Currency=INR","Period=FQ","BEST_FPERIOD_OVERRIDE=FQ","FILING_STATUS=OR","EQY_CONSOLIDATED=Y","Sort=A","Dates=H","DateFormat=P","Fill=—","Direction=H","UseDPDF=Y")</f>
        <v>#NAME?</v>
      </c>
      <c r="BT145" s="2" t="e">
        <f ca="1">_xll.BDH($C$128,"TOTAL_DEBT_SEQUENTIAL_GROWTH","FQ2 2017","FQ2 2017","Currency=INR","Period=FQ","BEST_FPERIOD_OVERRIDE=FQ","FILING_STATUS=OR","EQY_CONSOLIDATED=Y","Sort=A","Dates=H","DateFormat=P","Fill=—","Direction=H","UseDPDF=Y")</f>
        <v>#NAME?</v>
      </c>
      <c r="BU145" s="2" t="e">
        <f ca="1">_xll.BDH($C$128,"TOTAL_EQUITY_SEQUENTIAL_GROWTH","FQ2 2017","FQ2 2017","Currency=INR","Period=FQ","BEST_FPERIOD_OVERRIDE=FQ","FILING_STATUS=OR","EQY_CONSOLIDATED=Y","Sort=A","Dates=H","DateFormat=P","Fill=—","Direction=H","UseDPDF=Y")</f>
        <v>#NAME?</v>
      </c>
      <c r="BV145" s="2" t="e">
        <f ca="1">_xll.BDH($C$128,"TOTAL_CAPITAL_SEQUENTIAL_GROWTH","FQ2 2017","FQ2 2017","Currency=INR","Period=FQ","BEST_FPERIOD_OVERRIDE=FQ","FILING_STATUS=OR","EQY_CONSOLIDATED=Y","Sort=A","Dates=H","DateFormat=P","Fill=—","Direction=H","UseDPDF=Y")</f>
        <v>#NAME?</v>
      </c>
      <c r="BW145" s="2" t="e">
        <f ca="1">_xll.BDH($C$128,"BPS_SEQUENTIAL_GROWTH","FQ2 2017","FQ2 2017","Currency=INR","Period=FQ","BEST_FPERIOD_OVERRIDE=FQ","FILING_STATUS=OR","EQY_CONSOLIDATED=Y","Sort=A","Dates=H","DateFormat=P","Fill=—","Direction=H","UseDPDF=Y")</f>
        <v>#NAME?</v>
      </c>
      <c r="BX145" s="2" t="e">
        <f ca="1">_xll.BDH($C$128,"CFO_SEQUENTIAL_GROWTH","FQ2 2017","FQ2 2017","Currency=INR","Period=FQ","BEST_FPERIOD_OVERRIDE=FQ","FILING_STATUS=OR","EQY_CONSOLIDATED=Y","Sort=A","Dates=H","DateFormat=P","Fill=—","Direction=H","UseDPDF=Y")</f>
        <v>#NAME?</v>
      </c>
      <c r="BY145" s="3" t="e">
        <f ca="1">_xll.BDH($C$128,"SHORT_AND_LONG_TERM_DEBT","FQ2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45" s="3" t="e">
        <f ca="1">_xll.BDH($C$128,"BS_ST_BORROW","FQ2 2017","FQ2 2017","Currency=INR","Period=FQ","BEST_FPERIOD_OVERRIDE=FQ","FILING_STATUS=OR","EQY_CONSOLIDATED=Y","SCALING_FORMAT=MLN","Sort=A","Dates=H","DateFormat=P","Fill=—","Direction=H","UseDPDF=Y")</f>
        <v>#NAME?</v>
      </c>
      <c r="CA145" s="3" t="e">
        <f ca="1">_xll.BDH($C$128,"BS_LT_BORROW","FQ2 2017","FQ2 2017","Currency=INR","Period=FQ","BEST_FPERIOD_OVERRIDE=FQ","FILING_STATUS=OR","EQY_CONSOLIDATED=Y","SCALING_FORMAT=MLN","Sort=A","Dates=H","DateFormat=P","Fill=—","Direction=H","UseDPDF=Y")</f>
        <v>#NAME?</v>
      </c>
      <c r="CB145" s="2" t="e">
        <f ca="1">_xll.BDH($C$128,"TOT_DEBT_TO_EBITDA","FQ2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45" s="2" t="e">
        <f ca="1">_xll.BDH($C$128,"NET_DEBT_TO_EBITDA","FQ2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45" s="2" t="e">
        <f ca="1">_xll.BDH($C$128,"TOTAL_DEBT_TO_EBIT","FQ2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45" s="2" t="e">
        <f ca="1">_xll.BDH($C$128,"NET_DEBT_TO_EBIT","FQ2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45" s="2" t="e">
        <f ca="1">_xll.BDH($C$128,"EBITDA_TO_INTEREST_EXPN","FQ2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45" s="2" t="e">
        <f ca="1">_xll.BDH($C$128,"COM_EQY_TO_TOT_ASSET","FQ2 2017","FQ2 2017","Currency=INR","Period=FQ","BEST_FPERIOD_OVERRIDE=FQ","FILING_STATUS=OR","EQY_CONSOLIDATED=Y","Sort=A","Dates=H","DateFormat=P","Fill=—","Direction=H","UseDPDF=Y")</f>
        <v>#NAME?</v>
      </c>
      <c r="CH145" s="2" t="e">
        <f ca="1">_xll.BDH($C$128,"LT_DEBT_TO_TOT_EQY","FQ2 2017","FQ2 2017","Currency=INR","Period=FQ","BEST_FPERIOD_OVERRIDE=FQ","FILING_STATUS=OR","EQY_CONSOLIDATED=Y","Sort=A","Dates=H","DateFormat=P","Fill=—","Direction=H","UseDPDF=Y")</f>
        <v>#NAME?</v>
      </c>
      <c r="CI145" s="2" t="e">
        <f ca="1">_xll.BDH($C$128,"LT_DEBT_TO_TOT_CAP","FQ2 2017","FQ2 2017","Currency=INR","Period=FQ","BEST_FPERIOD_OVERRIDE=FQ","FILING_STATUS=OR","EQY_CONSOLIDATED=Y","Sort=A","Dates=H","DateFormat=P","Fill=—","Direction=H","UseDPDF=Y")</f>
        <v>#NAME?</v>
      </c>
      <c r="CJ145" s="2" t="e">
        <f ca="1">_xll.BDH($C$128,"LT_DEBT_TO_TOT_ASSET","FQ2 2017","FQ2 2017","Currency=INR","Period=FQ","BEST_FPERIOD_OVERRIDE=FQ","FILING_STATUS=OR","EQY_CONSOLIDATED=Y","Sort=A","Dates=H","DateFormat=P","Fill=—","Direction=H","UseDPDF=Y")</f>
        <v>#NAME?</v>
      </c>
      <c r="CK145" s="2" t="e">
        <f ca="1">_xll.BDH($C$128,"TOT_DEBT_TO_TOT_EQY","FQ2 2017","FQ2 2017","Currency=INR","Period=FQ","BEST_FPERIOD_OVERRIDE=FQ","FILING_STATUS=OR","EQY_CONSOLIDATED=Y","Sort=A","Dates=H","DateFormat=P","Fill=—","Direction=H","UseDPDF=Y")</f>
        <v>#NAME?</v>
      </c>
      <c r="CL145" s="2" t="e">
        <f ca="1">_xll.BDH($C$128,"TOT_DEBT_TO_TOT_CAP","FQ2 2017","FQ2 2017","Currency=INR","Period=FQ","BEST_FPERIOD_OVERRIDE=FQ","FILING_STATUS=OR","EQY_CONSOLIDATED=Y","Sort=A","Dates=H","DateFormat=P","Fill=—","Direction=H","UseDPDF=Y")</f>
        <v>#NAME?</v>
      </c>
      <c r="CM145" s="2" t="e">
        <f ca="1">_xll.BDH($C$128,"TOT_DEBT_TO_TOT_ASSET","FQ2 2017","FQ2 2017","Currency=INR","Period=FQ","BEST_FPERIOD_OVERRIDE=FQ","FILING_STATUS=OR","EQY_CONSOLIDATED=Y","Sort=A","Dates=H","DateFormat=P","Fill=—","Direction=H","UseDPDF=Y")</f>
        <v>#NAME?</v>
      </c>
      <c r="CN145" s="2" t="e">
        <f ca="1">_xll.BDH($C$128,"NET_DEBT_TO_SHRHLDR_EQTY","FQ2 2017","FQ2 2017","Currency=INR","Period=FQ","BEST_FPERIOD_OVERRIDE=FQ","FILING_STATUS=OR","EQY_CONSOLIDATED=Y","Sort=A","Dates=H","DateFormat=P","Fill=—","Direction=H","UseDPDF=Y")</f>
        <v>#NAME?</v>
      </c>
      <c r="CO145" s="2" t="e">
        <f ca="1">_xll.BDH($C$128,"NET_DEBT_%_CAPITAL","FQ2 2017","FQ2 2017","Currency=INR","Period=FQ","BEST_FPERIOD_OVERRIDE=FQ","FILING_STATUS=OR","EQY_CONSOLIDATED=Y","Sort=A","Dates=H","DateFormat=P","Fill=—","Direction=H","UseDPDF=Y")</f>
        <v>#NAME?</v>
      </c>
      <c r="CP145" s="3" t="e">
        <f ca="1">_xll.BDH($C$128,"EBITDA","FQ2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45" s="3" t="e">
        <f ca="1">_xll.BDH($C$128,"EBITDA_AFTER_CAPEX","FQ2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45" s="3" t="e">
        <f ca="1">_xll.BDH($C$128,"IS_OPER_INC","FQ2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45" s="2" t="e">
        <f ca="1">_xll.BDH($C$128,"CASH_RATIO","FQ2 2017","FQ2 2017","Currency=INR","Period=FQ","BEST_FPERIOD_OVERRIDE=FQ","FILING_STATUS=OR","EQY_CONSOLIDATED=Y","Sort=A","Dates=H","DateFormat=P","Fill=—","Direction=H","UseDPDF=Y")</f>
        <v>#NAME?</v>
      </c>
      <c r="CT145" s="2" t="e">
        <f ca="1">_xll.BDH($C$128,"CUR_RATIO","FQ2 2017","FQ2 2017","Currency=INR","Period=FQ","BEST_FPERIOD_OVERRIDE=FQ","FILING_STATUS=OR","EQY_CONSOLIDATED=Y","Sort=A","Dates=H","DateFormat=P","Fill=—","Direction=H","UseDPDF=Y")</f>
        <v>#NAME?</v>
      </c>
      <c r="CU145" s="2" t="e">
        <f ca="1">_xll.BDH($C$128,"QUICK_RATIO","FQ2 2017","FQ2 2017","Currency=INR","Period=FQ","BEST_FPERIOD_OVERRIDE=FQ","FILING_STATUS=OR","EQY_CONSOLIDATED=Y","Sort=A","Dates=H","DateFormat=P","Fill=—","Direction=H","UseDPDF=Y")</f>
        <v>#NAME?</v>
      </c>
      <c r="CV145" s="2" t="e">
        <f ca="1">_xll.BDH($C$128,"ALTMAN_Z_SCORE","FQ2 2017","FQ2 2017","Currency=INR","Period=FQ","BEST_FPERIOD_OVERRIDE=FQ","FILING_STATUS=OR","EQY_CONSOLIDATED=Y","Sort=A","Dates=H","DateFormat=P","Fill=—","Direction=H","UseDPDF=Y")</f>
        <v>#NAME?</v>
      </c>
      <c r="CW145" s="4" t="e">
        <f ca="1">_xll.BDH($C$128,"ACCT_RCV_TURN","FQ2 2017","FQ2 2017","Currency=INR","Period=FQ","BEST_FPERIOD_OVERRIDE=FQ","FILING_STATUS=OR","EQY_CONSOLIDATED=Y","FA_ADJUSTED=GAAP","Sort=A","Dates=H","DateFormat=P","Fill=—","Direction=H","UseDPDF=Y")</f>
        <v>#NAME?</v>
      </c>
      <c r="CX145" s="2" t="e">
        <f ca="1">_xll.BDH($C$128,"ACCT_RCV_DAYS","FQ2 2017","FQ2 2017","Currency=INR","Period=FQ","BEST_FPERIOD_OVERRIDE=FQ","FILING_STATUS=OR","EQY_CONSOLIDATED=Y","FA_ADJUSTED=GAAP","Sort=A","Dates=H","DateFormat=P","Fill=—","Direction=H","UseDPDF=Y")</f>
        <v>#NAME?</v>
      </c>
      <c r="CY145" s="4" t="e">
        <f ca="1">_xll.BDH($C$128,"INVENT_TURN","FQ2 2017","FQ2 2017","Currency=INR","Period=FQ","BEST_FPERIOD_OVERRIDE=FQ","FILING_STATUS=OR","EQY_CONSOLIDATED=Y","FA_ADJUSTED=GAAP","Sort=A","Dates=H","DateFormat=P","Fill=—","Direction=H","UseDPDF=Y")</f>
        <v>#NAME?</v>
      </c>
      <c r="CZ145" s="2" t="e">
        <f ca="1">_xll.BDH($C$128,"INVENT_DAYS","FQ2 2017","FQ2 2017","Currency=INR","Period=FQ","BEST_FPERIOD_OVERRIDE=FQ","FILING_STATUS=OR","EQY_CONSOLIDATED=Y","FA_ADJUSTED=GAAP","Sort=A","Dates=H","DateFormat=P","Fill=—","Direction=H","UseDPDF=Y")</f>
        <v>#NAME?</v>
      </c>
      <c r="DA145" s="4" t="e">
        <f ca="1">_xll.BDH($C$128,"ACCOUNTS_PAYABLE_TURNOVER","FQ2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45" s="2" t="e">
        <f ca="1">_xll.BDH($C$128,"ACCOUNTS_PAYABLE_TURNOVER_DAYS","FQ2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45" s="4" t="e">
        <f ca="1">_xll.BDH($C$128,"CASH_CONVERSION_CYCLE","FQ2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45" s="4" t="e">
        <f ca="1">_xll.BDH($C$128,"INV_TO_CASH_DAYS","FQ2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45" s="5" t="e">
        <f ca="1">_xll.BDH($C$128,"BS_INVENTORIES","FQ2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45" s="3" t="e">
        <f ca="1">_xll.BDH($C$128,"INVTRY_RAW_MATERIALS","FQ2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45" s="3" t="e">
        <f ca="1">_xll.BDH($C$128,"INVTRY_IN_PROGRESS","FQ2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45" s="3" t="e">
        <f ca="1">_xll.BDH($C$128,"INVTRY_FINISHED_GOODS","FQ2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45" s="3" t="e">
        <f ca="1">_xll.BDH($C$128,"BS_OTHER_INV","FQ2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46" spans="1:113" x14ac:dyDescent="0.3">
      <c r="A146" s="6"/>
      <c r="B146" s="6"/>
      <c r="C146" s="6"/>
      <c r="D146" s="6"/>
      <c r="E146" t="s">
        <v>80</v>
      </c>
      <c r="F146" t="e">
        <f ca="1">_xll.BDH($C$128,"RETURN_COM_EQY","FQ3 2017","FQ3 2017","Currency=INR","Period=FQ","BEST_FPERIOD_OVERRIDE=FQ","FILING_STATUS=OR","EQY_CONSOLIDATED=Y","FA_ADJUSTED=GAAP","Sort=A","Dates=H","DateFormat=P","Fill=—","Direction=H","UseDPDF=Y")</f>
        <v>#NAME?</v>
      </c>
      <c r="G146" t="e">
        <f ca="1">_xll.BDH($C$128,"RETURN_ON_ASSET","FQ3 2017","FQ3 2017","Currency=INR","Period=FQ","BEST_FPERIOD_OVERRIDE=FQ","FILING_STATUS=OR","EQY_CONSOLIDATED=Y","FA_ADJUSTED=GAAP","Sort=A","Dates=H","DateFormat=P","Fill=—","Direction=H","UseDPDF=Y")</f>
        <v>#NAME?</v>
      </c>
      <c r="H146" t="e">
        <f ca="1">_xll.BDH($C$128,"RETURN_ON_CAP","FQ3 2017","FQ3 2017","Currency=INR","Period=FQ","BEST_FPERIOD_OVERRIDE=FQ","FILING_STATUS=OR","EQY_CONSOLIDATED=Y","FA_ADJUSTED=GAAP","Sort=A","Dates=H","DateFormat=P","Fill=—","Direction=H","UseDPDF=Y")</f>
        <v>#NAME?</v>
      </c>
      <c r="I146" t="e">
        <f ca="1">_xll.BDH($C$128,"RETURN_ON_INV_CAPITAL","FQ3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46" t="e">
        <f ca="1">_xll.BDH($C$128,"EBITDA_TO_REVENUE","FQ3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46" t="e">
        <f ca="1">_xll.BDH($C$128,"OPER_MARGIN","FQ3 2017","FQ3 2017","Currency=INR","Period=FQ","BEST_FPERIOD_OVERRIDE=FQ","FILING_STATUS=OR","EQY_CONSOLIDATED=Y","FA_ADJUSTED=GAAP","Sort=A","Dates=H","DateFormat=P","Fill=—","Direction=H","UseDPDF=Y")</f>
        <v>#NAME?</v>
      </c>
      <c r="L146" t="e">
        <f ca="1">_xll.BDH($C$128,"INCREMENTAL_OPERATING_MARGIN","FQ3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46" t="e">
        <f ca="1">_xll.BDH($C$128,"PRETAX_INC_TO_NET_SALES","FQ3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46" t="e">
        <f ca="1">_xll.BDH($C$128,"INC_BEF_XO_ITEMS_TO_NET_SALES","FQ3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46" t="e">
        <f ca="1">_xll.BDH($C$128,"PROF_MARGIN","FQ3 2017","FQ3 2017","Currency=INR","Period=FQ","BEST_FPERIOD_OVERRIDE=FQ","FILING_STATUS=OR","EQY_CONSOLIDATED=Y","FA_ADJUSTED=GAAP","Sort=A","Dates=H","DateFormat=P","Fill=—","Direction=H","UseDPDF=Y")</f>
        <v>#NAME?</v>
      </c>
      <c r="P146" t="e">
        <f ca="1">_xll.BDH($C$128,"NET_INCOME_TO_COMMON_MARGIN","FQ3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46" t="e">
        <f ca="1">_xll.BDH($C$128,"EFF_TAX_RATE","FQ3 2017","FQ3 2017","Currency=INR","Period=FQ","BEST_FPERIOD_OVERRIDE=FQ","FILING_STATUS=OR","EQY_CONSOLIDATED=Y","FA_ADJUSTED=GAAP","Sort=A","Dates=H","DateFormat=P","Fill=—","Direction=H","UseDPDF=Y")</f>
        <v>#NAME?</v>
      </c>
      <c r="R146" t="e">
        <f ca="1">_xll.BDH($C$128,"DVD_PAYOUT_RATIO","FQ3 2017","FQ3 2017","Currency=INR","Period=FQ","BEST_FPERIOD_OVERRIDE=FQ","FILING_STATUS=OR","EQY_CONSOLIDATED=Y","FA_ADJUSTED=GAAP","Sort=A","Dates=H","DateFormat=P","Fill=—","Direction=H","UseDPDF=Y")</f>
        <v>#NAME?</v>
      </c>
      <c r="S146" t="e">
        <f ca="1">_xll.BDH($C$128,"SUSTAIN_GROWTH_RT","FQ3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46" s="2" t="e">
        <f ca="1">_xll.BDH($C$128,"SALES_GROWTH","FQ3 2017","FQ3 2017","Currency=INR","Period=FQ","BEST_FPERIOD_OVERRIDE=FQ","FILING_STATUS=OR","EQY_CONSOLIDATED=Y","FA_ADJUSTED=GAAP","Sort=A","Dates=H","DateFormat=P","Fill=—","Direction=H","UseDPDF=Y")</f>
        <v>#NAME?</v>
      </c>
      <c r="U146" s="2" t="e">
        <f ca="1">_xll.BDH($C$128,"EBITDA_GROWTH","FQ3 2017","FQ3 2017","Currency=INR","Period=FQ","BEST_FPERIOD_OVERRIDE=FQ","FILING_STATUS=OR","EQY_CONSOLIDATED=Y","FA_ADJUSTED=GAAP","Sort=A","Dates=H","DateFormat=P","Fill=—","Direction=H","UseDPDF=Y")</f>
        <v>#NAME?</v>
      </c>
      <c r="V146" s="2" t="e">
        <f ca="1">_xll.BDH($C$128,"OPER_INC_GROWTH","FQ3 2017","FQ3 2017","Currency=INR","Period=FQ","BEST_FPERIOD_OVERRIDE=FQ","FILING_STATUS=OR","EQY_CONSOLIDATED=Y","FA_ADJUSTED=GAAP","Sort=A","Dates=H","DateFormat=P","Fill=—","Direction=H","UseDPDF=Y")</f>
        <v>#NAME?</v>
      </c>
      <c r="W146" s="2" t="e">
        <f ca="1">_xll.BDH($C$128,"EARN_FOR_COM_GROWTH","FQ3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46" s="2" t="e">
        <f ca="1">_xll.BDH($C$128,"DILUTED_EPS_AFT_XO_ITEMS_GROWTH","FQ3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46" s="2" t="e">
        <f ca="1">_xll.BDH($C$128,"DIVIDEND_PER_SHARE_1_YEAR_GROWTH","FQ3 2017","FQ3 2017","Currency=INR","Period=FQ","BEST_FPERIOD_OVERRIDE=FQ","FILING_STATUS=OR","EQY_CONSOLIDATED=Y","Sort=A","Dates=H","DateFormat=P","Fill=—","Direction=H","UseDPDF=Y")</f>
        <v>#NAME?</v>
      </c>
      <c r="Z146" s="2" t="e">
        <f ca="1">_xll.BDH($C$128,"ACCOUNTS_RECEIVABLE_GROWTH","FQ3 2017","FQ3 2017","Currency=INR","Period=FQ","BEST_FPERIOD_OVERRIDE=FQ","FILING_STATUS=OR","EQY_CONSOLIDATED=Y","Sort=A","Dates=H","DateFormat=P","Fill=—","Direction=H","UseDPDF=Y")</f>
        <v>#NAME?</v>
      </c>
      <c r="AA146" s="2" t="e">
        <f ca="1">_xll.BDH($C$128,"INVENTORY_GROWTH","FQ3 2017","FQ3 2017","Currency=INR","Period=FQ","BEST_FPERIOD_OVERRIDE=FQ","FILING_STATUS=OR","EQY_CONSOLIDATED=Y","Sort=A","Dates=H","DateFormat=P","Fill=—","Direction=H","UseDPDF=Y")</f>
        <v>#NAME?</v>
      </c>
      <c r="AB146" s="2" t="e">
        <f ca="1">_xll.BDH($C$128,"NET_FIXED_ASSETS_1_YEAR_GROWTH","FQ3 2017","FQ3 2017","Currency=INR","Period=FQ","BEST_FPERIOD_OVERRIDE=FQ","FILING_STATUS=OR","EQY_CONSOLIDATED=Y","Sort=A","Dates=H","DateFormat=P","Fill=—","Direction=H","UseDPDF=Y")</f>
        <v>#NAME?</v>
      </c>
      <c r="AC146" s="2" t="e">
        <f ca="1">_xll.BDH($C$128,"ASSET_GROWTH","FQ3 2017","FQ3 2017","Currency=INR","Period=FQ","BEST_FPERIOD_OVERRIDE=FQ","FILING_STATUS=OR","EQY_CONSOLIDATED=Y","Sort=A","Dates=H","DateFormat=P","Fill=—","Direction=H","UseDPDF=Y")</f>
        <v>#NAME?</v>
      </c>
      <c r="AD146" s="2" t="e">
        <f ca="1">_xll.BDH($C$128,"MODIFIED_WORK_CAP_GROWTH","FQ3 2017","FQ3 2017","Currency=INR","Period=FQ","BEST_FPERIOD_OVERRIDE=FQ","FILING_STATUS=OR","EQY_CONSOLIDATED=Y","Sort=A","Dates=H","DateFormat=P","Fill=—","Direction=H","UseDPDF=Y")</f>
        <v>#NAME?</v>
      </c>
      <c r="AE146" s="2" t="e">
        <f ca="1">_xll.BDH($C$128,"WORK_CAP_GROWTH","FQ3 2017","FQ3 2017","Currency=INR","Period=FQ","BEST_FPERIOD_OVERRIDE=FQ","FILING_STATUS=OR","EQY_CONSOLIDATED=Y","Sort=A","Dates=H","DateFormat=P","Fill=—","Direction=H","UseDPDF=Y")</f>
        <v>#NAME?</v>
      </c>
      <c r="AF146" s="2" t="e">
        <f ca="1">_xll.BDH($C$128,"ACCOUNTS_PAYABLE_GROWTH_1YR","FQ3 2017","FQ3 2017","Currency=INR","Period=FQ","BEST_FPERIOD_OVERRIDE=FQ","FILING_STATUS=OR","EQY_CONSOLIDATED=Y","Sort=A","Dates=H","DateFormat=P","Fill=—","Direction=H","UseDPDF=Y")</f>
        <v>#NAME?</v>
      </c>
      <c r="AG146" s="2" t="e">
        <f ca="1">_xll.BDH($C$128,"SHORT_TERM_DEBT_1_YEAR_GROWTH","FQ3 2017","FQ3 2017","Currency=INR","Period=FQ","BEST_FPERIOD_OVERRIDE=FQ","FILING_STATUS=OR","EQY_CONSOLIDATED=Y","Sort=A","Dates=H","DateFormat=P","Fill=—","Direction=H","UseDPDF=Y")</f>
        <v>#NAME?</v>
      </c>
      <c r="AH146" s="2" t="e">
        <f ca="1">_xll.BDH($C$128,"TOTAL_DEBT_1_YEAR_GROWTH","FQ3 2017","FQ3 2017","Currency=INR","Period=FQ","BEST_FPERIOD_OVERRIDE=FQ","FILING_STATUS=OR","EQY_CONSOLIDATED=Y","Sort=A","Dates=H","DateFormat=P","Fill=—","Direction=H","UseDPDF=Y")</f>
        <v>#NAME?</v>
      </c>
      <c r="AI146" s="2" t="e">
        <f ca="1">_xll.BDH($C$128,"TOTAL_EQUITY_1_YEAR_GROWTH","FQ3 2017","FQ3 2017","Currency=INR","Period=FQ","BEST_FPERIOD_OVERRIDE=FQ","FILING_STATUS=OR","EQY_CONSOLIDATED=Y","Sort=A","Dates=H","DateFormat=P","Fill=—","Direction=H","UseDPDF=Y")</f>
        <v>#NAME?</v>
      </c>
      <c r="AJ146" s="2" t="e">
        <f ca="1">_xll.BDH($C$128,"GROWTH_IN_CAP","FQ3 2017","FQ3 2017","Currency=INR","Period=FQ","BEST_FPERIOD_OVERRIDE=FQ","FILING_STATUS=OR","EQY_CONSOLIDATED=Y","Sort=A","Dates=H","DateFormat=P","Fill=—","Direction=H","UseDPDF=Y")</f>
        <v>#NAME?</v>
      </c>
      <c r="AK146" s="2" t="e">
        <f ca="1">_xll.BDH($C$128,"BVPS_GROWTH","FQ3 2017","FQ3 2017","Currency=INR","Period=FQ","BEST_FPERIOD_OVERRIDE=FQ","FILING_STATUS=OR","EQY_CONSOLIDATED=Y","Sort=A","Dates=H","DateFormat=P","Fill=—","Direction=H","UseDPDF=Y")</f>
        <v>#NAME?</v>
      </c>
      <c r="AL146" s="2" t="e">
        <f ca="1">_xll.BDH($C$128,"CASH_FLOW_GROWTH","FQ3 2017","FQ3 2017","Currency=INR","Period=FQ","BEST_FPERIOD_OVERRIDE=FQ","FILING_STATUS=OR","EQY_CONSOLIDATED=Y","Sort=A","Dates=H","DateFormat=P","Fill=—","Direction=H","UseDPDF=Y")</f>
        <v>#NAME?</v>
      </c>
      <c r="AM146" s="2" t="e">
        <f ca="1">_xll.BDH($C$128,"GEO_GROW_NET_SALES","FQ3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46" s="2" t="e">
        <f ca="1">_xll.BDH($C$128,"GEO_GROW_EBITDA","FQ3 2017","FQ3 2017","Currency=INR","Period=FQ","BEST_FPERIOD_OVERRIDE=FQ","FILING_STATUS=OR","EQY_CONSOLIDATED=Y","FA_ADJUSTED=GAAP","Sort=A","Dates=H","DateFormat=P","Fill=—","Direction=H","UseDPDF=Y")</f>
        <v>#NAME?</v>
      </c>
      <c r="AO146" s="2" t="e">
        <f ca="1">_xll.BDH($C$128,"GEO_GROW_OPER_INC","FQ3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46" s="2" t="e">
        <f ca="1">_xll.BDH($C$128,"NET_INCOME_TO_COMMON_5_YR_GROWTH","FQ3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46" s="2" t="e">
        <f ca="1">_xll.BDH($C$128,"5Y_GEO_GROWTH_DILUTED_EPS","FQ3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46" s="2" t="e">
        <f ca="1">_xll.BDH($C$128,"GEO_GROW_DVD_PER_SH","FQ3 2017","FQ3 2017","Currency=INR","Period=FQ","BEST_FPERIOD_OVERRIDE=FQ","FILING_STATUS=OR","EQY_CONSOLIDATED=Y","Sort=A","Dates=H","DateFormat=P","Fill=—","Direction=H","UseDPDF=Y")</f>
        <v>#NAME?</v>
      </c>
      <c r="AS146" s="2" t="e">
        <f ca="1">_xll.BDH($C$128,"ACCOUNTS_RECEIVABLE_5_YR_GROWTH","FQ3 2017","FQ3 2017","Currency=INR","Period=FQ","BEST_FPERIOD_OVERRIDE=FQ","FILING_STATUS=OR","EQY_CONSOLIDATED=Y","Sort=A","Dates=H","DateFormat=P","Fill=—","Direction=H","UseDPDF=Y")</f>
        <v>#NAME?</v>
      </c>
      <c r="AT146" s="2" t="e">
        <f ca="1">_xll.BDH($C$128,"INVENTORY_5_YEAR_GROWTH","FQ3 2017","FQ3 2017","Currency=INR","Period=FQ","BEST_FPERIOD_OVERRIDE=FQ","FILING_STATUS=OR","EQY_CONSOLIDATED=Y","Sort=A","Dates=H","DateFormat=P","Fill=—","Direction=H","UseDPDF=Y")</f>
        <v>#NAME?</v>
      </c>
      <c r="AU146" s="2" t="e">
        <f ca="1">_xll.BDH($C$128,"NET_FIXED_ASSETS_5_YEAR_GROWTH","FQ3 2017","FQ3 2017","Currency=INR","Period=FQ","BEST_FPERIOD_OVERRIDE=FQ","FILING_STATUS=OR","EQY_CONSOLIDATED=Y","Sort=A","Dates=H","DateFormat=P","Fill=—","Direction=H","UseDPDF=Y")</f>
        <v>#NAME?</v>
      </c>
      <c r="AV146" s="2" t="e">
        <f ca="1">_xll.BDH($C$128,"GEO_GROW_TOT_ASSET","FQ3 2017","FQ3 2017","Currency=INR","Period=FQ","BEST_FPERIOD_OVERRIDE=FQ","FILING_STATUS=OR","EQY_CONSOLIDATED=Y","Sort=A","Dates=H","DateFormat=P","Fill=—","Direction=H","UseDPDF=Y")</f>
        <v>#NAME?</v>
      </c>
      <c r="AW146" s="2" t="e">
        <f ca="1">_xll.BDH($C$128,"MODIFIED_WORKING_CPTL_5YR_GRWTH","FQ3 2017","FQ3 2017","Currency=INR","Period=FQ","BEST_FPERIOD_OVERRIDE=FQ","FILING_STATUS=OR","EQY_CONSOLIDATED=Y","Sort=A","Dates=H","DateFormat=P","Fill=—","Direction=H","UseDPDF=Y")</f>
        <v>#NAME?</v>
      </c>
      <c r="AX146" s="2" t="e">
        <f ca="1">_xll.BDH($C$128,"WORKING_CAPITAL_5_YEAR_GROWTH","FQ3 2017","FQ3 2017","Currency=INR","Period=FQ","BEST_FPERIOD_OVERRIDE=FQ","FILING_STATUS=OR","EQY_CONSOLIDATED=Y","Sort=A","Dates=H","DateFormat=P","Fill=—","Direction=H","UseDPDF=Y")</f>
        <v>#NAME?</v>
      </c>
      <c r="AY146" s="2" t="e">
        <f ca="1">_xll.BDH($C$128,"ACCOUNTS_PAYABLE_5_YEAR_GROWTH","FQ3 2017","FQ3 2017","Currency=INR","Period=FQ","BEST_FPERIOD_OVERRIDE=FQ","FILING_STATUS=OR","EQY_CONSOLIDATED=Y","Sort=A","Dates=H","DateFormat=P","Fill=—","Direction=H","UseDPDF=Y")</f>
        <v>#NAME?</v>
      </c>
      <c r="AZ146" s="2" t="e">
        <f ca="1">_xll.BDH($C$128,"SHORT_TERM_DEBT_5_YEAR_GROWTH","FQ3 2017","FQ3 2017","Currency=INR","Period=FQ","BEST_FPERIOD_OVERRIDE=FQ","FILING_STATUS=OR","EQY_CONSOLIDATED=Y","Sort=A","Dates=H","DateFormat=P","Fill=—","Direction=H","UseDPDF=Y")</f>
        <v>#NAME?</v>
      </c>
      <c r="BA146" s="2" t="e">
        <f ca="1">_xll.BDH($C$128,"TOTAL_DEBT_5_YEAR_GROWTH","FQ3 2017","FQ3 2017","Currency=INR","Period=FQ","BEST_FPERIOD_OVERRIDE=FQ","FILING_STATUS=OR","EQY_CONSOLIDATED=Y","Sort=A","Dates=H","DateFormat=P","Fill=—","Direction=H","UseDPDF=Y")</f>
        <v>#NAME?</v>
      </c>
      <c r="BB146" s="2" t="e">
        <f ca="1">_xll.BDH($C$128,"GEO_GROW_TOT_SHRHLDR_EQY","FQ3 2017","FQ3 2017","Currency=INR","Period=FQ","BEST_FPERIOD_OVERRIDE=FQ","FILING_STATUS=OR","EQY_CONSOLIDATED=Y","Sort=A","Dates=H","DateFormat=P","Fill=—","Direction=H","UseDPDF=Y")</f>
        <v>#NAME?</v>
      </c>
      <c r="BC146" s="2" t="e">
        <f ca="1">_xll.BDH($C$128,"TOTAL_CAPITAL_5_YEAR_GROWTH","FQ3 2017","FQ3 2017","Currency=INR","Period=FQ","BEST_FPERIOD_OVERRIDE=FQ","FILING_STATUS=OR","EQY_CONSOLIDATED=Y","Sort=A","Dates=H","DateFormat=P","Fill=—","Direction=H","UseDPDF=Y")</f>
        <v>#NAME?</v>
      </c>
      <c r="BD146" s="2" t="e">
        <f ca="1">_xll.BDH($C$128,"GEO_GROW_BOOK_VAL","FQ3 2017","FQ3 2017","Currency=INR","Period=FQ","BEST_FPERIOD_OVERRIDE=FQ","FILING_STATUS=OR","EQY_CONSOLIDATED=Y","Sort=A","Dates=H","DateFormat=P","Fill=—","Direction=H","UseDPDF=Y")</f>
        <v>#NAME?</v>
      </c>
      <c r="BE146" s="2" t="e">
        <f ca="1">_xll.BDH($C$128,"GEO_GROW_CASH_OPER_ACT","FQ3 2017","FQ3 2017","Currency=INR","Period=FQ","BEST_FPERIOD_OVERRIDE=FQ","FILING_STATUS=OR","EQY_CONSOLIDATED=Y","Sort=A","Dates=H","DateFormat=P","Fill=—","Direction=H","UseDPDF=Y")</f>
        <v>#NAME?</v>
      </c>
      <c r="BF146" s="2" t="e">
        <f ca="1">_xll.BDH($C$128,"REVENUE_SEQUENTIAL_GROWTH","FQ3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46" s="2" t="e">
        <f ca="1">_xll.BDH($C$128,"EBITDA_SEQUENTIAL_GROWTH","FQ3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46" s="2" t="e">
        <f ca="1">_xll.BDH($C$128,"OPERATING_INCOME_SEQ_GROWTH","FQ3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46" s="2" t="e">
        <f ca="1">_xll.BDH($C$128,"NET_INCOME_TO_COMMON_SEQ_GROWTH","FQ3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46" s="2" t="e">
        <f ca="1">_xll.BDH($C$128,"EPS_DILUTED_SEQUENTIAL_GROWTH","FQ3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46" s="2" t="e">
        <f ca="1">_xll.BDH($C$128,"DPS_SEQUENTIAL_GROWTH","FQ3 2017","FQ3 2017","Currency=INR","Period=FQ","BEST_FPERIOD_OVERRIDE=FQ","FILING_STATUS=OR","EQY_CONSOLIDATED=Y","Sort=A","Dates=H","DateFormat=P","Fill=—","Direction=H","UseDPDF=Y")</f>
        <v>#NAME?</v>
      </c>
      <c r="BL146" s="2" t="e">
        <f ca="1">_xll.BDH($C$128,"ACCOUNTS_RECEIVABLE_SEQ_GROWTH","FQ3 2017","FQ3 2017","Currency=INR","Period=FQ","BEST_FPERIOD_OVERRIDE=FQ","FILING_STATUS=OR","EQY_CONSOLIDATED=Y","Sort=A","Dates=H","DateFormat=P","Fill=—","Direction=H","UseDPDF=Y")</f>
        <v>#NAME?</v>
      </c>
      <c r="BM146" s="2" t="e">
        <f ca="1">_xll.BDH($C$128,"INVENTORY_SEQUENTIAL_GROWTH","FQ3 2017","FQ3 2017","Currency=INR","Period=FQ","BEST_FPERIOD_OVERRIDE=FQ","FILING_STATUS=OR","EQY_CONSOLIDATED=Y","Sort=A","Dates=H","DateFormat=P","Fill=—","Direction=H","UseDPDF=Y")</f>
        <v>#NAME?</v>
      </c>
      <c r="BN146" s="2" t="e">
        <f ca="1">_xll.BDH($C$128,"FIXED_ASSETS_SEQUENTIAL_GROWTH","FQ3 2017","FQ3 2017","Currency=INR","Period=FQ","BEST_FPERIOD_OVERRIDE=FQ","FILING_STATUS=OR","EQY_CONSOLIDATED=Y","Sort=A","Dates=H","DateFormat=P","Fill=—","Direction=H","UseDPDF=Y")</f>
        <v>#NAME?</v>
      </c>
      <c r="BO146" s="2" t="e">
        <f ca="1">_xll.BDH($C$128,"TOTAL_ASSETS_SEQUENTIAL_GROWTH","FQ3 2017","FQ3 2017","Currency=INR","Period=FQ","BEST_FPERIOD_OVERRIDE=FQ","FILING_STATUS=OR","EQY_CONSOLIDATED=Y","Sort=A","Dates=H","DateFormat=P","Fill=—","Direction=H","UseDPDF=Y")</f>
        <v>#NAME?</v>
      </c>
      <c r="BP146" s="2" t="e">
        <f ca="1">_xll.BDH($C$128,"MODIFIED_WORKING_CPTL_SEQ_GRWTH","FQ3 2017","FQ3 2017","Currency=INR","Period=FQ","BEST_FPERIOD_OVERRIDE=FQ","FILING_STATUS=OR","EQY_CONSOLIDATED=Y","Sort=A","Dates=H","DateFormat=P","Fill=—","Direction=H","UseDPDF=Y")</f>
        <v>#NAME?</v>
      </c>
      <c r="BQ146" s="2" t="e">
        <f ca="1">_xll.BDH($C$128,"WORKING_CAPITAL_SEQ_GROWTH","FQ3 2017","FQ3 2017","Currency=INR","Period=FQ","BEST_FPERIOD_OVERRIDE=FQ","FILING_STATUS=OR","EQY_CONSOLIDATED=Y","Sort=A","Dates=H","DateFormat=P","Fill=—","Direction=H","UseDPDF=Y")</f>
        <v>#NAME?</v>
      </c>
      <c r="BR146" s="2" t="e">
        <f ca="1">_xll.BDH($C$128,"ACCOUNTS_PAYABLE_SEQ_GROWTH","FQ3 2017","FQ3 2017","Currency=INR","Period=FQ","BEST_FPERIOD_OVERRIDE=FQ","FILING_STATUS=OR","EQY_CONSOLIDATED=Y","Sort=A","Dates=H","DateFormat=P","Fill=—","Direction=H","UseDPDF=Y")</f>
        <v>#NAME?</v>
      </c>
      <c r="BS146" s="2" t="e">
        <f ca="1">_xll.BDH($C$128,"ST_DEBT_SEQUENTIAL_GROWTH","FQ3 2017","FQ3 2017","Currency=INR","Period=FQ","BEST_FPERIOD_OVERRIDE=FQ","FILING_STATUS=OR","EQY_CONSOLIDATED=Y","Sort=A","Dates=H","DateFormat=P","Fill=—","Direction=H","UseDPDF=Y")</f>
        <v>#NAME?</v>
      </c>
      <c r="BT146" s="2" t="e">
        <f ca="1">_xll.BDH($C$128,"TOTAL_DEBT_SEQUENTIAL_GROWTH","FQ3 2017","FQ3 2017","Currency=INR","Period=FQ","BEST_FPERIOD_OVERRIDE=FQ","FILING_STATUS=OR","EQY_CONSOLIDATED=Y","Sort=A","Dates=H","DateFormat=P","Fill=—","Direction=H","UseDPDF=Y")</f>
        <v>#NAME?</v>
      </c>
      <c r="BU146" s="2" t="e">
        <f ca="1">_xll.BDH($C$128,"TOTAL_EQUITY_SEQUENTIAL_GROWTH","FQ3 2017","FQ3 2017","Currency=INR","Period=FQ","BEST_FPERIOD_OVERRIDE=FQ","FILING_STATUS=OR","EQY_CONSOLIDATED=Y","Sort=A","Dates=H","DateFormat=P","Fill=—","Direction=H","UseDPDF=Y")</f>
        <v>#NAME?</v>
      </c>
      <c r="BV146" s="2" t="e">
        <f ca="1">_xll.BDH($C$128,"TOTAL_CAPITAL_SEQUENTIAL_GROWTH","FQ3 2017","FQ3 2017","Currency=INR","Period=FQ","BEST_FPERIOD_OVERRIDE=FQ","FILING_STATUS=OR","EQY_CONSOLIDATED=Y","Sort=A","Dates=H","DateFormat=P","Fill=—","Direction=H","UseDPDF=Y")</f>
        <v>#NAME?</v>
      </c>
      <c r="BW146" s="2" t="e">
        <f ca="1">_xll.BDH($C$128,"BPS_SEQUENTIAL_GROWTH","FQ3 2017","FQ3 2017","Currency=INR","Period=FQ","BEST_FPERIOD_OVERRIDE=FQ","FILING_STATUS=OR","EQY_CONSOLIDATED=Y","Sort=A","Dates=H","DateFormat=P","Fill=—","Direction=H","UseDPDF=Y")</f>
        <v>#NAME?</v>
      </c>
      <c r="BX146" s="2" t="e">
        <f ca="1">_xll.BDH($C$128,"CFO_SEQUENTIAL_GROWTH","FQ3 2017","FQ3 2017","Currency=INR","Period=FQ","BEST_FPERIOD_OVERRIDE=FQ","FILING_STATUS=OR","EQY_CONSOLIDATED=Y","Sort=A","Dates=H","DateFormat=P","Fill=—","Direction=H","UseDPDF=Y")</f>
        <v>#NAME?</v>
      </c>
      <c r="BY146" s="3" t="e">
        <f ca="1">_xll.BDH($C$128,"SHORT_AND_LONG_TERM_DEBT","FQ3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46" s="3" t="e">
        <f ca="1">_xll.BDH($C$128,"BS_ST_BORROW","FQ3 2017","FQ3 2017","Currency=INR","Period=FQ","BEST_FPERIOD_OVERRIDE=FQ","FILING_STATUS=OR","EQY_CONSOLIDATED=Y","SCALING_FORMAT=MLN","Sort=A","Dates=H","DateFormat=P","Fill=—","Direction=H","UseDPDF=Y")</f>
        <v>#NAME?</v>
      </c>
      <c r="CA146" s="3" t="e">
        <f ca="1">_xll.BDH($C$128,"BS_LT_BORROW","FQ3 2017","FQ3 2017","Currency=INR","Period=FQ","BEST_FPERIOD_OVERRIDE=FQ","FILING_STATUS=OR","EQY_CONSOLIDATED=Y","SCALING_FORMAT=MLN","Sort=A","Dates=H","DateFormat=P","Fill=—","Direction=H","UseDPDF=Y")</f>
        <v>#NAME?</v>
      </c>
      <c r="CB146" s="2" t="e">
        <f ca="1">_xll.BDH($C$128,"TOT_DEBT_TO_EBITDA","FQ3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46" s="2" t="e">
        <f ca="1">_xll.BDH($C$128,"NET_DEBT_TO_EBITDA","FQ3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46" s="2" t="e">
        <f ca="1">_xll.BDH($C$128,"TOTAL_DEBT_TO_EBIT","FQ3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46" s="2" t="e">
        <f ca="1">_xll.BDH($C$128,"NET_DEBT_TO_EBIT","FQ3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46" s="2" t="e">
        <f ca="1">_xll.BDH($C$128,"EBITDA_TO_INTEREST_EXPN","FQ3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46" s="2" t="e">
        <f ca="1">_xll.BDH($C$128,"COM_EQY_TO_TOT_ASSET","FQ3 2017","FQ3 2017","Currency=INR","Period=FQ","BEST_FPERIOD_OVERRIDE=FQ","FILING_STATUS=OR","EQY_CONSOLIDATED=Y","Sort=A","Dates=H","DateFormat=P","Fill=—","Direction=H","UseDPDF=Y")</f>
        <v>#NAME?</v>
      </c>
      <c r="CH146" s="2" t="e">
        <f ca="1">_xll.BDH($C$128,"LT_DEBT_TO_TOT_EQY","FQ3 2017","FQ3 2017","Currency=INR","Period=FQ","BEST_FPERIOD_OVERRIDE=FQ","FILING_STATUS=OR","EQY_CONSOLIDATED=Y","Sort=A","Dates=H","DateFormat=P","Fill=—","Direction=H","UseDPDF=Y")</f>
        <v>#NAME?</v>
      </c>
      <c r="CI146" s="2" t="e">
        <f ca="1">_xll.BDH($C$128,"LT_DEBT_TO_TOT_CAP","FQ3 2017","FQ3 2017","Currency=INR","Period=FQ","BEST_FPERIOD_OVERRIDE=FQ","FILING_STATUS=OR","EQY_CONSOLIDATED=Y","Sort=A","Dates=H","DateFormat=P","Fill=—","Direction=H","UseDPDF=Y")</f>
        <v>#NAME?</v>
      </c>
      <c r="CJ146" s="2" t="e">
        <f ca="1">_xll.BDH($C$128,"LT_DEBT_TO_TOT_ASSET","FQ3 2017","FQ3 2017","Currency=INR","Period=FQ","BEST_FPERIOD_OVERRIDE=FQ","FILING_STATUS=OR","EQY_CONSOLIDATED=Y","Sort=A","Dates=H","DateFormat=P","Fill=—","Direction=H","UseDPDF=Y")</f>
        <v>#NAME?</v>
      </c>
      <c r="CK146" s="2" t="e">
        <f ca="1">_xll.BDH($C$128,"TOT_DEBT_TO_TOT_EQY","FQ3 2017","FQ3 2017","Currency=INR","Period=FQ","BEST_FPERIOD_OVERRIDE=FQ","FILING_STATUS=OR","EQY_CONSOLIDATED=Y","Sort=A","Dates=H","DateFormat=P","Fill=—","Direction=H","UseDPDF=Y")</f>
        <v>#NAME?</v>
      </c>
      <c r="CL146" s="2" t="e">
        <f ca="1">_xll.BDH($C$128,"TOT_DEBT_TO_TOT_CAP","FQ3 2017","FQ3 2017","Currency=INR","Period=FQ","BEST_FPERIOD_OVERRIDE=FQ","FILING_STATUS=OR","EQY_CONSOLIDATED=Y","Sort=A","Dates=H","DateFormat=P","Fill=—","Direction=H","UseDPDF=Y")</f>
        <v>#NAME?</v>
      </c>
      <c r="CM146" s="2" t="e">
        <f ca="1">_xll.BDH($C$128,"TOT_DEBT_TO_TOT_ASSET","FQ3 2017","FQ3 2017","Currency=INR","Period=FQ","BEST_FPERIOD_OVERRIDE=FQ","FILING_STATUS=OR","EQY_CONSOLIDATED=Y","Sort=A","Dates=H","DateFormat=P","Fill=—","Direction=H","UseDPDF=Y")</f>
        <v>#NAME?</v>
      </c>
      <c r="CN146" s="2" t="e">
        <f ca="1">_xll.BDH($C$128,"NET_DEBT_TO_SHRHLDR_EQTY","FQ3 2017","FQ3 2017","Currency=INR","Period=FQ","BEST_FPERIOD_OVERRIDE=FQ","FILING_STATUS=OR","EQY_CONSOLIDATED=Y","Sort=A","Dates=H","DateFormat=P","Fill=—","Direction=H","UseDPDF=Y")</f>
        <v>#NAME?</v>
      </c>
      <c r="CO146" s="2" t="e">
        <f ca="1">_xll.BDH($C$128,"NET_DEBT_%_CAPITAL","FQ3 2017","FQ3 2017","Currency=INR","Period=FQ","BEST_FPERIOD_OVERRIDE=FQ","FILING_STATUS=OR","EQY_CONSOLIDATED=Y","Sort=A","Dates=H","DateFormat=P","Fill=—","Direction=H","UseDPDF=Y")</f>
        <v>#NAME?</v>
      </c>
      <c r="CP146" s="3" t="e">
        <f ca="1">_xll.BDH($C$128,"EBITDA","FQ3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46" s="3" t="e">
        <f ca="1">_xll.BDH($C$128,"EBITDA_AFTER_CAPEX","FQ3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46" s="3" t="e">
        <f ca="1">_xll.BDH($C$128,"IS_OPER_INC","FQ3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46" s="2" t="e">
        <f ca="1">_xll.BDH($C$128,"CASH_RATIO","FQ3 2017","FQ3 2017","Currency=INR","Period=FQ","BEST_FPERIOD_OVERRIDE=FQ","FILING_STATUS=OR","EQY_CONSOLIDATED=Y","Sort=A","Dates=H","DateFormat=P","Fill=—","Direction=H","UseDPDF=Y")</f>
        <v>#NAME?</v>
      </c>
      <c r="CT146" s="2" t="e">
        <f ca="1">_xll.BDH($C$128,"CUR_RATIO","FQ3 2017","FQ3 2017","Currency=INR","Period=FQ","BEST_FPERIOD_OVERRIDE=FQ","FILING_STATUS=OR","EQY_CONSOLIDATED=Y","Sort=A","Dates=H","DateFormat=P","Fill=—","Direction=H","UseDPDF=Y")</f>
        <v>#NAME?</v>
      </c>
      <c r="CU146" s="2" t="e">
        <f ca="1">_xll.BDH($C$128,"QUICK_RATIO","FQ3 2017","FQ3 2017","Currency=INR","Period=FQ","BEST_FPERIOD_OVERRIDE=FQ","FILING_STATUS=OR","EQY_CONSOLIDATED=Y","Sort=A","Dates=H","DateFormat=P","Fill=—","Direction=H","UseDPDF=Y")</f>
        <v>#NAME?</v>
      </c>
      <c r="CV146" s="2" t="e">
        <f ca="1">_xll.BDH($C$128,"ALTMAN_Z_SCORE","FQ3 2017","FQ3 2017","Currency=INR","Period=FQ","BEST_FPERIOD_OVERRIDE=FQ","FILING_STATUS=OR","EQY_CONSOLIDATED=Y","Sort=A","Dates=H","DateFormat=P","Fill=—","Direction=H","UseDPDF=Y")</f>
        <v>#NAME?</v>
      </c>
      <c r="CW146" s="4" t="e">
        <f ca="1">_xll.BDH($C$128,"ACCT_RCV_TURN","FQ3 2017","FQ3 2017","Currency=INR","Period=FQ","BEST_FPERIOD_OVERRIDE=FQ","FILING_STATUS=OR","EQY_CONSOLIDATED=Y","FA_ADJUSTED=GAAP","Sort=A","Dates=H","DateFormat=P","Fill=—","Direction=H","UseDPDF=Y")</f>
        <v>#NAME?</v>
      </c>
      <c r="CX146" s="2" t="e">
        <f ca="1">_xll.BDH($C$128,"ACCT_RCV_DAYS","FQ3 2017","FQ3 2017","Currency=INR","Period=FQ","BEST_FPERIOD_OVERRIDE=FQ","FILING_STATUS=OR","EQY_CONSOLIDATED=Y","FA_ADJUSTED=GAAP","Sort=A","Dates=H","DateFormat=P","Fill=—","Direction=H","UseDPDF=Y")</f>
        <v>#NAME?</v>
      </c>
      <c r="CY146" s="4" t="e">
        <f ca="1">_xll.BDH($C$128,"INVENT_TURN","FQ3 2017","FQ3 2017","Currency=INR","Period=FQ","BEST_FPERIOD_OVERRIDE=FQ","FILING_STATUS=OR","EQY_CONSOLIDATED=Y","FA_ADJUSTED=GAAP","Sort=A","Dates=H","DateFormat=P","Fill=—","Direction=H","UseDPDF=Y")</f>
        <v>#NAME?</v>
      </c>
      <c r="CZ146" s="2" t="e">
        <f ca="1">_xll.BDH($C$128,"INVENT_DAYS","FQ3 2017","FQ3 2017","Currency=INR","Period=FQ","BEST_FPERIOD_OVERRIDE=FQ","FILING_STATUS=OR","EQY_CONSOLIDATED=Y","FA_ADJUSTED=GAAP","Sort=A","Dates=H","DateFormat=P","Fill=—","Direction=H","UseDPDF=Y")</f>
        <v>#NAME?</v>
      </c>
      <c r="DA146" s="4" t="e">
        <f ca="1">_xll.BDH($C$128,"ACCOUNTS_PAYABLE_TURNOVER","FQ3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46" s="2" t="e">
        <f ca="1">_xll.BDH($C$128,"ACCOUNTS_PAYABLE_TURNOVER_DAYS","FQ3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46" s="4" t="e">
        <f ca="1">_xll.BDH($C$128,"CASH_CONVERSION_CYCLE","FQ3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46" s="4" t="e">
        <f ca="1">_xll.BDH($C$128,"INV_TO_CASH_DAYS","FQ3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46" s="5" t="e">
        <f ca="1">_xll.BDH($C$128,"BS_INVENTORIES","FQ3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46" s="3" t="e">
        <f ca="1">_xll.BDH($C$128,"INVTRY_RAW_MATERIALS","FQ3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46" s="3" t="e">
        <f ca="1">_xll.BDH($C$128,"INVTRY_IN_PROGRESS","FQ3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46" s="3" t="e">
        <f ca="1">_xll.BDH($C$128,"INVTRY_FINISHED_GOODS","FQ3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46" s="3" t="e">
        <f ca="1">_xll.BDH($C$128,"BS_OTHER_INV","FQ3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47" spans="1:113" x14ac:dyDescent="0.3">
      <c r="A147" s="6"/>
      <c r="B147" s="6"/>
      <c r="C147" s="6"/>
      <c r="D147" s="6"/>
      <c r="E147" t="s">
        <v>81</v>
      </c>
      <c r="F147" t="e">
        <f ca="1">_xll.BDH($C$128,"RETURN_COM_EQY","FQ4 2017","FQ4 2017","Currency=INR","Period=FQ","BEST_FPERIOD_OVERRIDE=FQ","FILING_STATUS=OR","EQY_CONSOLIDATED=Y","FA_ADJUSTED=GAAP","Sort=A","Dates=H","DateFormat=P","Fill=—","Direction=H","UseDPDF=Y")</f>
        <v>#NAME?</v>
      </c>
      <c r="G147" t="e">
        <f ca="1">_xll.BDH($C$128,"RETURN_ON_ASSET","FQ4 2017","FQ4 2017","Currency=INR","Period=FQ","BEST_FPERIOD_OVERRIDE=FQ","FILING_STATUS=OR","EQY_CONSOLIDATED=Y","FA_ADJUSTED=GAAP","Sort=A","Dates=H","DateFormat=P","Fill=—","Direction=H","UseDPDF=Y")</f>
        <v>#NAME?</v>
      </c>
      <c r="H147" t="e">
        <f ca="1">_xll.BDH($C$128,"RETURN_ON_CAP","FQ4 2017","FQ4 2017","Currency=INR","Period=FQ","BEST_FPERIOD_OVERRIDE=FQ","FILING_STATUS=OR","EQY_CONSOLIDATED=Y","FA_ADJUSTED=GAAP","Sort=A","Dates=H","DateFormat=P","Fill=—","Direction=H","UseDPDF=Y")</f>
        <v>#NAME?</v>
      </c>
      <c r="I147" t="e">
        <f ca="1">_xll.BDH($C$128,"RETURN_ON_INV_CAPITAL","FQ4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47" t="e">
        <f ca="1">_xll.BDH($C$128,"EBITDA_TO_REVENUE","FQ4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47" t="e">
        <f ca="1">_xll.BDH($C$128,"OPER_MARGIN","FQ4 2017","FQ4 2017","Currency=INR","Period=FQ","BEST_FPERIOD_OVERRIDE=FQ","FILING_STATUS=OR","EQY_CONSOLIDATED=Y","FA_ADJUSTED=GAAP","Sort=A","Dates=H","DateFormat=P","Fill=—","Direction=H","UseDPDF=Y")</f>
        <v>#NAME?</v>
      </c>
      <c r="L147" t="e">
        <f ca="1">_xll.BDH($C$128,"INCREMENTAL_OPERATING_MARGIN","FQ4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47" t="e">
        <f ca="1">_xll.BDH($C$128,"PRETAX_INC_TO_NET_SALES","FQ4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47" t="e">
        <f ca="1">_xll.BDH($C$128,"INC_BEF_XO_ITEMS_TO_NET_SALES","FQ4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47" t="e">
        <f ca="1">_xll.BDH($C$128,"PROF_MARGIN","FQ4 2017","FQ4 2017","Currency=INR","Period=FQ","BEST_FPERIOD_OVERRIDE=FQ","FILING_STATUS=OR","EQY_CONSOLIDATED=Y","FA_ADJUSTED=GAAP","Sort=A","Dates=H","DateFormat=P","Fill=—","Direction=H","UseDPDF=Y")</f>
        <v>#NAME?</v>
      </c>
      <c r="P147" t="e">
        <f ca="1">_xll.BDH($C$128,"NET_INCOME_TO_COMMON_MARGIN","FQ4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47" t="e">
        <f ca="1">_xll.BDH($C$128,"EFF_TAX_RATE","FQ4 2017","FQ4 2017","Currency=INR","Period=FQ","BEST_FPERIOD_OVERRIDE=FQ","FILING_STATUS=OR","EQY_CONSOLIDATED=Y","FA_ADJUSTED=GAAP","Sort=A","Dates=H","DateFormat=P","Fill=—","Direction=H","UseDPDF=Y")</f>
        <v>#NAME?</v>
      </c>
      <c r="R147" t="e">
        <f ca="1">_xll.BDH($C$128,"DVD_PAYOUT_RATIO","FQ4 2017","FQ4 2017","Currency=INR","Period=FQ","BEST_FPERIOD_OVERRIDE=FQ","FILING_STATUS=OR","EQY_CONSOLIDATED=Y","FA_ADJUSTED=GAAP","Sort=A","Dates=H","DateFormat=P","Fill=—","Direction=H","UseDPDF=Y")</f>
        <v>#NAME?</v>
      </c>
      <c r="S147" t="e">
        <f ca="1">_xll.BDH($C$128,"SUSTAIN_GROWTH_RT","FQ4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47" s="2" t="e">
        <f ca="1">_xll.BDH($C$128,"SALES_GROWTH","FQ4 2017","FQ4 2017","Currency=INR","Period=FQ","BEST_FPERIOD_OVERRIDE=FQ","FILING_STATUS=OR","EQY_CONSOLIDATED=Y","FA_ADJUSTED=GAAP","Sort=A","Dates=H","DateFormat=P","Fill=—","Direction=H","UseDPDF=Y")</f>
        <v>#NAME?</v>
      </c>
      <c r="U147" s="2" t="e">
        <f ca="1">_xll.BDH($C$128,"EBITDA_GROWTH","FQ4 2017","FQ4 2017","Currency=INR","Period=FQ","BEST_FPERIOD_OVERRIDE=FQ","FILING_STATUS=OR","EQY_CONSOLIDATED=Y","FA_ADJUSTED=GAAP","Sort=A","Dates=H","DateFormat=P","Fill=—","Direction=H","UseDPDF=Y")</f>
        <v>#NAME?</v>
      </c>
      <c r="V147" s="2" t="e">
        <f ca="1">_xll.BDH($C$128,"OPER_INC_GROWTH","FQ4 2017","FQ4 2017","Currency=INR","Period=FQ","BEST_FPERIOD_OVERRIDE=FQ","FILING_STATUS=OR","EQY_CONSOLIDATED=Y","FA_ADJUSTED=GAAP","Sort=A","Dates=H","DateFormat=P","Fill=—","Direction=H","UseDPDF=Y")</f>
        <v>#NAME?</v>
      </c>
      <c r="W147" s="2" t="e">
        <f ca="1">_xll.BDH($C$128,"EARN_FOR_COM_GROWTH","FQ4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47" s="2" t="e">
        <f ca="1">_xll.BDH($C$128,"DILUTED_EPS_AFT_XO_ITEMS_GROWTH","FQ4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47" s="2" t="e">
        <f ca="1">_xll.BDH($C$128,"DIVIDEND_PER_SHARE_1_YEAR_GROWTH","FQ4 2017","FQ4 2017","Currency=INR","Period=FQ","BEST_FPERIOD_OVERRIDE=FQ","FILING_STATUS=OR","EQY_CONSOLIDATED=Y","Sort=A","Dates=H","DateFormat=P","Fill=—","Direction=H","UseDPDF=Y")</f>
        <v>#NAME?</v>
      </c>
      <c r="Z147" s="2" t="e">
        <f ca="1">_xll.BDH($C$128,"ACCOUNTS_RECEIVABLE_GROWTH","FQ4 2017","FQ4 2017","Currency=INR","Period=FQ","BEST_FPERIOD_OVERRIDE=FQ","FILING_STATUS=OR","EQY_CONSOLIDATED=Y","Sort=A","Dates=H","DateFormat=P","Fill=—","Direction=H","UseDPDF=Y")</f>
        <v>#NAME?</v>
      </c>
      <c r="AA147" s="2" t="e">
        <f ca="1">_xll.BDH($C$128,"INVENTORY_GROWTH","FQ4 2017","FQ4 2017","Currency=INR","Period=FQ","BEST_FPERIOD_OVERRIDE=FQ","FILING_STATUS=OR","EQY_CONSOLIDATED=Y","Sort=A","Dates=H","DateFormat=P","Fill=—","Direction=H","UseDPDF=Y")</f>
        <v>#NAME?</v>
      </c>
      <c r="AB147" s="2" t="e">
        <f ca="1">_xll.BDH($C$128,"NET_FIXED_ASSETS_1_YEAR_GROWTH","FQ4 2017","FQ4 2017","Currency=INR","Period=FQ","BEST_FPERIOD_OVERRIDE=FQ","FILING_STATUS=OR","EQY_CONSOLIDATED=Y","Sort=A","Dates=H","DateFormat=P","Fill=—","Direction=H","UseDPDF=Y")</f>
        <v>#NAME?</v>
      </c>
      <c r="AC147" s="2" t="e">
        <f ca="1">_xll.BDH($C$128,"ASSET_GROWTH","FQ4 2017","FQ4 2017","Currency=INR","Period=FQ","BEST_FPERIOD_OVERRIDE=FQ","FILING_STATUS=OR","EQY_CONSOLIDATED=Y","Sort=A","Dates=H","DateFormat=P","Fill=—","Direction=H","UseDPDF=Y")</f>
        <v>#NAME?</v>
      </c>
      <c r="AD147" s="2" t="e">
        <f ca="1">_xll.BDH($C$128,"MODIFIED_WORK_CAP_GROWTH","FQ4 2017","FQ4 2017","Currency=INR","Period=FQ","BEST_FPERIOD_OVERRIDE=FQ","FILING_STATUS=OR","EQY_CONSOLIDATED=Y","Sort=A","Dates=H","DateFormat=P","Fill=—","Direction=H","UseDPDF=Y")</f>
        <v>#NAME?</v>
      </c>
      <c r="AE147" s="2" t="e">
        <f ca="1">_xll.BDH($C$128,"WORK_CAP_GROWTH","FQ4 2017","FQ4 2017","Currency=INR","Period=FQ","BEST_FPERIOD_OVERRIDE=FQ","FILING_STATUS=OR","EQY_CONSOLIDATED=Y","Sort=A","Dates=H","DateFormat=P","Fill=—","Direction=H","UseDPDF=Y")</f>
        <v>#NAME?</v>
      </c>
      <c r="AF147" s="2" t="e">
        <f ca="1">_xll.BDH($C$128,"ACCOUNTS_PAYABLE_GROWTH_1YR","FQ4 2017","FQ4 2017","Currency=INR","Period=FQ","BEST_FPERIOD_OVERRIDE=FQ","FILING_STATUS=OR","EQY_CONSOLIDATED=Y","Sort=A","Dates=H","DateFormat=P","Fill=—","Direction=H","UseDPDF=Y")</f>
        <v>#NAME?</v>
      </c>
      <c r="AG147" s="2" t="e">
        <f ca="1">_xll.BDH($C$128,"SHORT_TERM_DEBT_1_YEAR_GROWTH","FQ4 2017","FQ4 2017","Currency=INR","Period=FQ","BEST_FPERIOD_OVERRIDE=FQ","FILING_STATUS=OR","EQY_CONSOLIDATED=Y","Sort=A","Dates=H","DateFormat=P","Fill=—","Direction=H","UseDPDF=Y")</f>
        <v>#NAME?</v>
      </c>
      <c r="AH147" s="2" t="e">
        <f ca="1">_xll.BDH($C$128,"TOTAL_DEBT_1_YEAR_GROWTH","FQ4 2017","FQ4 2017","Currency=INR","Period=FQ","BEST_FPERIOD_OVERRIDE=FQ","FILING_STATUS=OR","EQY_CONSOLIDATED=Y","Sort=A","Dates=H","DateFormat=P","Fill=—","Direction=H","UseDPDF=Y")</f>
        <v>#NAME?</v>
      </c>
      <c r="AI147" s="2" t="e">
        <f ca="1">_xll.BDH($C$128,"TOTAL_EQUITY_1_YEAR_GROWTH","FQ4 2017","FQ4 2017","Currency=INR","Period=FQ","BEST_FPERIOD_OVERRIDE=FQ","FILING_STATUS=OR","EQY_CONSOLIDATED=Y","Sort=A","Dates=H","DateFormat=P","Fill=—","Direction=H","UseDPDF=Y")</f>
        <v>#NAME?</v>
      </c>
      <c r="AJ147" s="2" t="e">
        <f ca="1">_xll.BDH($C$128,"GROWTH_IN_CAP","FQ4 2017","FQ4 2017","Currency=INR","Period=FQ","BEST_FPERIOD_OVERRIDE=FQ","FILING_STATUS=OR","EQY_CONSOLIDATED=Y","Sort=A","Dates=H","DateFormat=P","Fill=—","Direction=H","UseDPDF=Y")</f>
        <v>#NAME?</v>
      </c>
      <c r="AK147" s="2" t="e">
        <f ca="1">_xll.BDH($C$128,"BVPS_GROWTH","FQ4 2017","FQ4 2017","Currency=INR","Period=FQ","BEST_FPERIOD_OVERRIDE=FQ","FILING_STATUS=OR","EQY_CONSOLIDATED=Y","Sort=A","Dates=H","DateFormat=P","Fill=—","Direction=H","UseDPDF=Y")</f>
        <v>#NAME?</v>
      </c>
      <c r="AL147" s="2" t="e">
        <f ca="1">_xll.BDH($C$128,"CASH_FLOW_GROWTH","FQ4 2017","FQ4 2017","Currency=INR","Period=FQ","BEST_FPERIOD_OVERRIDE=FQ","FILING_STATUS=OR","EQY_CONSOLIDATED=Y","Sort=A","Dates=H","DateFormat=P","Fill=—","Direction=H","UseDPDF=Y")</f>
        <v>#NAME?</v>
      </c>
      <c r="AM147" s="2" t="e">
        <f ca="1">_xll.BDH($C$128,"GEO_GROW_NET_SALES","FQ4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47" s="2" t="e">
        <f ca="1">_xll.BDH($C$128,"GEO_GROW_EBITDA","FQ4 2017","FQ4 2017","Currency=INR","Period=FQ","BEST_FPERIOD_OVERRIDE=FQ","FILING_STATUS=OR","EQY_CONSOLIDATED=Y","FA_ADJUSTED=GAAP","Sort=A","Dates=H","DateFormat=P","Fill=—","Direction=H","UseDPDF=Y")</f>
        <v>#NAME?</v>
      </c>
      <c r="AO147" s="2" t="e">
        <f ca="1">_xll.BDH($C$128,"GEO_GROW_OPER_INC","FQ4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47" s="2" t="e">
        <f ca="1">_xll.BDH($C$128,"NET_INCOME_TO_COMMON_5_YR_GROWTH","FQ4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47" s="2" t="e">
        <f ca="1">_xll.BDH($C$128,"5Y_GEO_GROWTH_DILUTED_EPS","FQ4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47" s="2" t="e">
        <f ca="1">_xll.BDH($C$128,"GEO_GROW_DVD_PER_SH","FQ4 2017","FQ4 2017","Currency=INR","Period=FQ","BEST_FPERIOD_OVERRIDE=FQ","FILING_STATUS=OR","EQY_CONSOLIDATED=Y","Sort=A","Dates=H","DateFormat=P","Fill=—","Direction=H","UseDPDF=Y")</f>
        <v>#NAME?</v>
      </c>
      <c r="AS147" s="2" t="e">
        <f ca="1">_xll.BDH($C$128,"ACCOUNTS_RECEIVABLE_5_YR_GROWTH","FQ4 2017","FQ4 2017","Currency=INR","Period=FQ","BEST_FPERIOD_OVERRIDE=FQ","FILING_STATUS=OR","EQY_CONSOLIDATED=Y","Sort=A","Dates=H","DateFormat=P","Fill=—","Direction=H","UseDPDF=Y")</f>
        <v>#NAME?</v>
      </c>
      <c r="AT147" s="2" t="e">
        <f ca="1">_xll.BDH($C$128,"INVENTORY_5_YEAR_GROWTH","FQ4 2017","FQ4 2017","Currency=INR","Period=FQ","BEST_FPERIOD_OVERRIDE=FQ","FILING_STATUS=OR","EQY_CONSOLIDATED=Y","Sort=A","Dates=H","DateFormat=P","Fill=—","Direction=H","UseDPDF=Y")</f>
        <v>#NAME?</v>
      </c>
      <c r="AU147" s="2" t="e">
        <f ca="1">_xll.BDH($C$128,"NET_FIXED_ASSETS_5_YEAR_GROWTH","FQ4 2017","FQ4 2017","Currency=INR","Period=FQ","BEST_FPERIOD_OVERRIDE=FQ","FILING_STATUS=OR","EQY_CONSOLIDATED=Y","Sort=A","Dates=H","DateFormat=P","Fill=—","Direction=H","UseDPDF=Y")</f>
        <v>#NAME?</v>
      </c>
      <c r="AV147" s="2" t="e">
        <f ca="1">_xll.BDH($C$128,"GEO_GROW_TOT_ASSET","FQ4 2017","FQ4 2017","Currency=INR","Period=FQ","BEST_FPERIOD_OVERRIDE=FQ","FILING_STATUS=OR","EQY_CONSOLIDATED=Y","Sort=A","Dates=H","DateFormat=P","Fill=—","Direction=H","UseDPDF=Y")</f>
        <v>#NAME?</v>
      </c>
      <c r="AW147" s="2" t="e">
        <f ca="1">_xll.BDH($C$128,"MODIFIED_WORKING_CPTL_5YR_GRWTH","FQ4 2017","FQ4 2017","Currency=INR","Period=FQ","BEST_FPERIOD_OVERRIDE=FQ","FILING_STATUS=OR","EQY_CONSOLIDATED=Y","Sort=A","Dates=H","DateFormat=P","Fill=—","Direction=H","UseDPDF=Y")</f>
        <v>#NAME?</v>
      </c>
      <c r="AX147" s="2" t="e">
        <f ca="1">_xll.BDH($C$128,"WORKING_CAPITAL_5_YEAR_GROWTH","FQ4 2017","FQ4 2017","Currency=INR","Period=FQ","BEST_FPERIOD_OVERRIDE=FQ","FILING_STATUS=OR","EQY_CONSOLIDATED=Y","Sort=A","Dates=H","DateFormat=P","Fill=—","Direction=H","UseDPDF=Y")</f>
        <v>#NAME?</v>
      </c>
      <c r="AY147" s="2" t="e">
        <f ca="1">_xll.BDH($C$128,"ACCOUNTS_PAYABLE_5_YEAR_GROWTH","FQ4 2017","FQ4 2017","Currency=INR","Period=FQ","BEST_FPERIOD_OVERRIDE=FQ","FILING_STATUS=OR","EQY_CONSOLIDATED=Y","Sort=A","Dates=H","DateFormat=P","Fill=—","Direction=H","UseDPDF=Y")</f>
        <v>#NAME?</v>
      </c>
      <c r="AZ147" s="2" t="e">
        <f ca="1">_xll.BDH($C$128,"SHORT_TERM_DEBT_5_YEAR_GROWTH","FQ4 2017","FQ4 2017","Currency=INR","Period=FQ","BEST_FPERIOD_OVERRIDE=FQ","FILING_STATUS=OR","EQY_CONSOLIDATED=Y","Sort=A","Dates=H","DateFormat=P","Fill=—","Direction=H","UseDPDF=Y")</f>
        <v>#NAME?</v>
      </c>
      <c r="BA147" s="2" t="e">
        <f ca="1">_xll.BDH($C$128,"TOTAL_DEBT_5_YEAR_GROWTH","FQ4 2017","FQ4 2017","Currency=INR","Period=FQ","BEST_FPERIOD_OVERRIDE=FQ","FILING_STATUS=OR","EQY_CONSOLIDATED=Y","Sort=A","Dates=H","DateFormat=P","Fill=—","Direction=H","UseDPDF=Y")</f>
        <v>#NAME?</v>
      </c>
      <c r="BB147" s="2" t="e">
        <f ca="1">_xll.BDH($C$128,"GEO_GROW_TOT_SHRHLDR_EQY","FQ4 2017","FQ4 2017","Currency=INR","Period=FQ","BEST_FPERIOD_OVERRIDE=FQ","FILING_STATUS=OR","EQY_CONSOLIDATED=Y","Sort=A","Dates=H","DateFormat=P","Fill=—","Direction=H","UseDPDF=Y")</f>
        <v>#NAME?</v>
      </c>
      <c r="BC147" s="2" t="e">
        <f ca="1">_xll.BDH($C$128,"TOTAL_CAPITAL_5_YEAR_GROWTH","FQ4 2017","FQ4 2017","Currency=INR","Period=FQ","BEST_FPERIOD_OVERRIDE=FQ","FILING_STATUS=OR","EQY_CONSOLIDATED=Y","Sort=A","Dates=H","DateFormat=P","Fill=—","Direction=H","UseDPDF=Y")</f>
        <v>#NAME?</v>
      </c>
      <c r="BD147" s="2" t="e">
        <f ca="1">_xll.BDH($C$128,"GEO_GROW_BOOK_VAL","FQ4 2017","FQ4 2017","Currency=INR","Period=FQ","BEST_FPERIOD_OVERRIDE=FQ","FILING_STATUS=OR","EQY_CONSOLIDATED=Y","Sort=A","Dates=H","DateFormat=P","Fill=—","Direction=H","UseDPDF=Y")</f>
        <v>#NAME?</v>
      </c>
      <c r="BE147" s="2" t="e">
        <f ca="1">_xll.BDH($C$128,"GEO_GROW_CASH_OPER_ACT","FQ4 2017","FQ4 2017","Currency=INR","Period=FQ","BEST_FPERIOD_OVERRIDE=FQ","FILING_STATUS=OR","EQY_CONSOLIDATED=Y","Sort=A","Dates=H","DateFormat=P","Fill=—","Direction=H","UseDPDF=Y")</f>
        <v>#NAME?</v>
      </c>
      <c r="BF147" s="2" t="e">
        <f ca="1">_xll.BDH($C$128,"REVENUE_SEQUENTIAL_GROWTH","FQ4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47" s="2" t="e">
        <f ca="1">_xll.BDH($C$128,"EBITDA_SEQUENTIAL_GROWTH","FQ4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47" s="2" t="e">
        <f ca="1">_xll.BDH($C$128,"OPERATING_INCOME_SEQ_GROWTH","FQ4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47" s="2" t="e">
        <f ca="1">_xll.BDH($C$128,"NET_INCOME_TO_COMMON_SEQ_GROWTH","FQ4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47" s="2" t="e">
        <f ca="1">_xll.BDH($C$128,"EPS_DILUTED_SEQUENTIAL_GROWTH","FQ4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47" s="2" t="e">
        <f ca="1">_xll.BDH($C$128,"DPS_SEQUENTIAL_GROWTH","FQ4 2017","FQ4 2017","Currency=INR","Period=FQ","BEST_FPERIOD_OVERRIDE=FQ","FILING_STATUS=OR","EQY_CONSOLIDATED=Y","Sort=A","Dates=H","DateFormat=P","Fill=—","Direction=H","UseDPDF=Y")</f>
        <v>#NAME?</v>
      </c>
      <c r="BL147" s="2" t="e">
        <f ca="1">_xll.BDH($C$128,"ACCOUNTS_RECEIVABLE_SEQ_GROWTH","FQ4 2017","FQ4 2017","Currency=INR","Period=FQ","BEST_FPERIOD_OVERRIDE=FQ","FILING_STATUS=OR","EQY_CONSOLIDATED=Y","Sort=A","Dates=H","DateFormat=P","Fill=—","Direction=H","UseDPDF=Y")</f>
        <v>#NAME?</v>
      </c>
      <c r="BM147" s="2" t="e">
        <f ca="1">_xll.BDH($C$128,"INVENTORY_SEQUENTIAL_GROWTH","FQ4 2017","FQ4 2017","Currency=INR","Period=FQ","BEST_FPERIOD_OVERRIDE=FQ","FILING_STATUS=OR","EQY_CONSOLIDATED=Y","Sort=A","Dates=H","DateFormat=P","Fill=—","Direction=H","UseDPDF=Y")</f>
        <v>#NAME?</v>
      </c>
      <c r="BN147" s="2" t="e">
        <f ca="1">_xll.BDH($C$128,"FIXED_ASSETS_SEQUENTIAL_GROWTH","FQ4 2017","FQ4 2017","Currency=INR","Period=FQ","BEST_FPERIOD_OVERRIDE=FQ","FILING_STATUS=OR","EQY_CONSOLIDATED=Y","Sort=A","Dates=H","DateFormat=P","Fill=—","Direction=H","UseDPDF=Y")</f>
        <v>#NAME?</v>
      </c>
      <c r="BO147" s="2" t="e">
        <f ca="1">_xll.BDH($C$128,"TOTAL_ASSETS_SEQUENTIAL_GROWTH","FQ4 2017","FQ4 2017","Currency=INR","Period=FQ","BEST_FPERIOD_OVERRIDE=FQ","FILING_STATUS=OR","EQY_CONSOLIDATED=Y","Sort=A","Dates=H","DateFormat=P","Fill=—","Direction=H","UseDPDF=Y")</f>
        <v>#NAME?</v>
      </c>
      <c r="BP147" s="2" t="e">
        <f ca="1">_xll.BDH($C$128,"MODIFIED_WORKING_CPTL_SEQ_GRWTH","FQ4 2017","FQ4 2017","Currency=INR","Period=FQ","BEST_FPERIOD_OVERRIDE=FQ","FILING_STATUS=OR","EQY_CONSOLIDATED=Y","Sort=A","Dates=H","DateFormat=P","Fill=—","Direction=H","UseDPDF=Y")</f>
        <v>#NAME?</v>
      </c>
      <c r="BQ147" s="2" t="e">
        <f ca="1">_xll.BDH($C$128,"WORKING_CAPITAL_SEQ_GROWTH","FQ4 2017","FQ4 2017","Currency=INR","Period=FQ","BEST_FPERIOD_OVERRIDE=FQ","FILING_STATUS=OR","EQY_CONSOLIDATED=Y","Sort=A","Dates=H","DateFormat=P","Fill=—","Direction=H","UseDPDF=Y")</f>
        <v>#NAME?</v>
      </c>
      <c r="BR147" s="2" t="e">
        <f ca="1">_xll.BDH($C$128,"ACCOUNTS_PAYABLE_SEQ_GROWTH","FQ4 2017","FQ4 2017","Currency=INR","Period=FQ","BEST_FPERIOD_OVERRIDE=FQ","FILING_STATUS=OR","EQY_CONSOLIDATED=Y","Sort=A","Dates=H","DateFormat=P","Fill=—","Direction=H","UseDPDF=Y")</f>
        <v>#NAME?</v>
      </c>
      <c r="BS147" s="2" t="e">
        <f ca="1">_xll.BDH($C$128,"ST_DEBT_SEQUENTIAL_GROWTH","FQ4 2017","FQ4 2017","Currency=INR","Period=FQ","BEST_FPERIOD_OVERRIDE=FQ","FILING_STATUS=OR","EQY_CONSOLIDATED=Y","Sort=A","Dates=H","DateFormat=P","Fill=—","Direction=H","UseDPDF=Y")</f>
        <v>#NAME?</v>
      </c>
      <c r="BT147" s="2" t="e">
        <f ca="1">_xll.BDH($C$128,"TOTAL_DEBT_SEQUENTIAL_GROWTH","FQ4 2017","FQ4 2017","Currency=INR","Period=FQ","BEST_FPERIOD_OVERRIDE=FQ","FILING_STATUS=OR","EQY_CONSOLIDATED=Y","Sort=A","Dates=H","DateFormat=P","Fill=—","Direction=H","UseDPDF=Y")</f>
        <v>#NAME?</v>
      </c>
      <c r="BU147" s="2" t="e">
        <f ca="1">_xll.BDH($C$128,"TOTAL_EQUITY_SEQUENTIAL_GROWTH","FQ4 2017","FQ4 2017","Currency=INR","Period=FQ","BEST_FPERIOD_OVERRIDE=FQ","FILING_STATUS=OR","EQY_CONSOLIDATED=Y","Sort=A","Dates=H","DateFormat=P","Fill=—","Direction=H","UseDPDF=Y")</f>
        <v>#NAME?</v>
      </c>
      <c r="BV147" s="2" t="e">
        <f ca="1">_xll.BDH($C$128,"TOTAL_CAPITAL_SEQUENTIAL_GROWTH","FQ4 2017","FQ4 2017","Currency=INR","Period=FQ","BEST_FPERIOD_OVERRIDE=FQ","FILING_STATUS=OR","EQY_CONSOLIDATED=Y","Sort=A","Dates=H","DateFormat=P","Fill=—","Direction=H","UseDPDF=Y")</f>
        <v>#NAME?</v>
      </c>
      <c r="BW147" s="2" t="e">
        <f ca="1">_xll.BDH($C$128,"BPS_SEQUENTIAL_GROWTH","FQ4 2017","FQ4 2017","Currency=INR","Period=FQ","BEST_FPERIOD_OVERRIDE=FQ","FILING_STATUS=OR","EQY_CONSOLIDATED=Y","Sort=A","Dates=H","DateFormat=P","Fill=—","Direction=H","UseDPDF=Y")</f>
        <v>#NAME?</v>
      </c>
      <c r="BX147" s="2" t="e">
        <f ca="1">_xll.BDH($C$128,"CFO_SEQUENTIAL_GROWTH","FQ4 2017","FQ4 2017","Currency=INR","Period=FQ","BEST_FPERIOD_OVERRIDE=FQ","FILING_STATUS=OR","EQY_CONSOLIDATED=Y","Sort=A","Dates=H","DateFormat=P","Fill=—","Direction=H","UseDPDF=Y")</f>
        <v>#NAME?</v>
      </c>
      <c r="BY147" s="3" t="e">
        <f ca="1">_xll.BDH($C$128,"SHORT_AND_LONG_TERM_DEBT","FQ4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47" s="3" t="e">
        <f ca="1">_xll.BDH($C$128,"BS_ST_BORROW","FQ4 2017","FQ4 2017","Currency=INR","Period=FQ","BEST_FPERIOD_OVERRIDE=FQ","FILING_STATUS=OR","EQY_CONSOLIDATED=Y","SCALING_FORMAT=MLN","Sort=A","Dates=H","DateFormat=P","Fill=—","Direction=H","UseDPDF=Y")</f>
        <v>#NAME?</v>
      </c>
      <c r="CA147" s="3" t="e">
        <f ca="1">_xll.BDH($C$128,"BS_LT_BORROW","FQ4 2017","FQ4 2017","Currency=INR","Period=FQ","BEST_FPERIOD_OVERRIDE=FQ","FILING_STATUS=OR","EQY_CONSOLIDATED=Y","SCALING_FORMAT=MLN","Sort=A","Dates=H","DateFormat=P","Fill=—","Direction=H","UseDPDF=Y")</f>
        <v>#NAME?</v>
      </c>
      <c r="CB147" s="2" t="e">
        <f ca="1">_xll.BDH($C$128,"TOT_DEBT_TO_EBITDA","FQ4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47" s="2" t="e">
        <f ca="1">_xll.BDH($C$128,"NET_DEBT_TO_EBITDA","FQ4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47" s="2" t="e">
        <f ca="1">_xll.BDH($C$128,"TOTAL_DEBT_TO_EBIT","FQ4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47" s="2" t="e">
        <f ca="1">_xll.BDH($C$128,"NET_DEBT_TO_EBIT","FQ4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47" s="2" t="e">
        <f ca="1">_xll.BDH($C$128,"EBITDA_TO_INTEREST_EXPN","FQ4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47" s="2" t="e">
        <f ca="1">_xll.BDH($C$128,"COM_EQY_TO_TOT_ASSET","FQ4 2017","FQ4 2017","Currency=INR","Period=FQ","BEST_FPERIOD_OVERRIDE=FQ","FILING_STATUS=OR","EQY_CONSOLIDATED=Y","Sort=A","Dates=H","DateFormat=P","Fill=—","Direction=H","UseDPDF=Y")</f>
        <v>#NAME?</v>
      </c>
      <c r="CH147" s="2" t="e">
        <f ca="1">_xll.BDH($C$128,"LT_DEBT_TO_TOT_EQY","FQ4 2017","FQ4 2017","Currency=INR","Period=FQ","BEST_FPERIOD_OVERRIDE=FQ","FILING_STATUS=OR","EQY_CONSOLIDATED=Y","Sort=A","Dates=H","DateFormat=P","Fill=—","Direction=H","UseDPDF=Y")</f>
        <v>#NAME?</v>
      </c>
      <c r="CI147" s="2" t="e">
        <f ca="1">_xll.BDH($C$128,"LT_DEBT_TO_TOT_CAP","FQ4 2017","FQ4 2017","Currency=INR","Period=FQ","BEST_FPERIOD_OVERRIDE=FQ","FILING_STATUS=OR","EQY_CONSOLIDATED=Y","Sort=A","Dates=H","DateFormat=P","Fill=—","Direction=H","UseDPDF=Y")</f>
        <v>#NAME?</v>
      </c>
      <c r="CJ147" s="2" t="e">
        <f ca="1">_xll.BDH($C$128,"LT_DEBT_TO_TOT_ASSET","FQ4 2017","FQ4 2017","Currency=INR","Period=FQ","BEST_FPERIOD_OVERRIDE=FQ","FILING_STATUS=OR","EQY_CONSOLIDATED=Y","Sort=A","Dates=H","DateFormat=P","Fill=—","Direction=H","UseDPDF=Y")</f>
        <v>#NAME?</v>
      </c>
      <c r="CK147" s="2" t="e">
        <f ca="1">_xll.BDH($C$128,"TOT_DEBT_TO_TOT_EQY","FQ4 2017","FQ4 2017","Currency=INR","Period=FQ","BEST_FPERIOD_OVERRIDE=FQ","FILING_STATUS=OR","EQY_CONSOLIDATED=Y","Sort=A","Dates=H","DateFormat=P","Fill=—","Direction=H","UseDPDF=Y")</f>
        <v>#NAME?</v>
      </c>
      <c r="CL147" s="2" t="e">
        <f ca="1">_xll.BDH($C$128,"TOT_DEBT_TO_TOT_CAP","FQ4 2017","FQ4 2017","Currency=INR","Period=FQ","BEST_FPERIOD_OVERRIDE=FQ","FILING_STATUS=OR","EQY_CONSOLIDATED=Y","Sort=A","Dates=H","DateFormat=P","Fill=—","Direction=H","UseDPDF=Y")</f>
        <v>#NAME?</v>
      </c>
      <c r="CM147" s="2" t="e">
        <f ca="1">_xll.BDH($C$128,"TOT_DEBT_TO_TOT_ASSET","FQ4 2017","FQ4 2017","Currency=INR","Period=FQ","BEST_FPERIOD_OVERRIDE=FQ","FILING_STATUS=OR","EQY_CONSOLIDATED=Y","Sort=A","Dates=H","DateFormat=P","Fill=—","Direction=H","UseDPDF=Y")</f>
        <v>#NAME?</v>
      </c>
      <c r="CN147" s="2" t="e">
        <f ca="1">_xll.BDH($C$128,"NET_DEBT_TO_SHRHLDR_EQTY","FQ4 2017","FQ4 2017","Currency=INR","Period=FQ","BEST_FPERIOD_OVERRIDE=FQ","FILING_STATUS=OR","EQY_CONSOLIDATED=Y","Sort=A","Dates=H","DateFormat=P","Fill=—","Direction=H","UseDPDF=Y")</f>
        <v>#NAME?</v>
      </c>
      <c r="CO147" s="2" t="e">
        <f ca="1">_xll.BDH($C$128,"NET_DEBT_%_CAPITAL","FQ4 2017","FQ4 2017","Currency=INR","Period=FQ","BEST_FPERIOD_OVERRIDE=FQ","FILING_STATUS=OR","EQY_CONSOLIDATED=Y","Sort=A","Dates=H","DateFormat=P","Fill=—","Direction=H","UseDPDF=Y")</f>
        <v>#NAME?</v>
      </c>
      <c r="CP147" s="3" t="e">
        <f ca="1">_xll.BDH($C$128,"EBITDA","FQ4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47" s="3" t="e">
        <f ca="1">_xll.BDH($C$128,"EBITDA_AFTER_CAPEX","FQ4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47" s="3" t="e">
        <f ca="1">_xll.BDH($C$128,"IS_OPER_INC","FQ4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47" s="2" t="e">
        <f ca="1">_xll.BDH($C$128,"CASH_RATIO","FQ4 2017","FQ4 2017","Currency=INR","Period=FQ","BEST_FPERIOD_OVERRIDE=FQ","FILING_STATUS=OR","EQY_CONSOLIDATED=Y","Sort=A","Dates=H","DateFormat=P","Fill=—","Direction=H","UseDPDF=Y")</f>
        <v>#NAME?</v>
      </c>
      <c r="CT147" s="2" t="e">
        <f ca="1">_xll.BDH($C$128,"CUR_RATIO","FQ4 2017","FQ4 2017","Currency=INR","Period=FQ","BEST_FPERIOD_OVERRIDE=FQ","FILING_STATUS=OR","EQY_CONSOLIDATED=Y","Sort=A","Dates=H","DateFormat=P","Fill=—","Direction=H","UseDPDF=Y")</f>
        <v>#NAME?</v>
      </c>
      <c r="CU147" s="2" t="e">
        <f ca="1">_xll.BDH($C$128,"QUICK_RATIO","FQ4 2017","FQ4 2017","Currency=INR","Period=FQ","BEST_FPERIOD_OVERRIDE=FQ","FILING_STATUS=OR","EQY_CONSOLIDATED=Y","Sort=A","Dates=H","DateFormat=P","Fill=—","Direction=H","UseDPDF=Y")</f>
        <v>#NAME?</v>
      </c>
      <c r="CV147" s="2" t="e">
        <f ca="1">_xll.BDH($C$128,"ALTMAN_Z_SCORE","FQ4 2017","FQ4 2017","Currency=INR","Period=FQ","BEST_FPERIOD_OVERRIDE=FQ","FILING_STATUS=OR","EQY_CONSOLIDATED=Y","Sort=A","Dates=H","DateFormat=P","Fill=—","Direction=H","UseDPDF=Y")</f>
        <v>#NAME?</v>
      </c>
      <c r="CW147" s="4" t="e">
        <f ca="1">_xll.BDH($C$128,"ACCT_RCV_TURN","FQ4 2017","FQ4 2017","Currency=INR","Period=FQ","BEST_FPERIOD_OVERRIDE=FQ","FILING_STATUS=OR","EQY_CONSOLIDATED=Y","FA_ADJUSTED=GAAP","Sort=A","Dates=H","DateFormat=P","Fill=—","Direction=H","UseDPDF=Y")</f>
        <v>#NAME?</v>
      </c>
      <c r="CX147" s="2" t="e">
        <f ca="1">_xll.BDH($C$128,"ACCT_RCV_DAYS","FQ4 2017","FQ4 2017","Currency=INR","Period=FQ","BEST_FPERIOD_OVERRIDE=FQ","FILING_STATUS=OR","EQY_CONSOLIDATED=Y","FA_ADJUSTED=GAAP","Sort=A","Dates=H","DateFormat=P","Fill=—","Direction=H","UseDPDF=Y")</f>
        <v>#NAME?</v>
      </c>
      <c r="CY147" s="4" t="e">
        <f ca="1">_xll.BDH($C$128,"INVENT_TURN","FQ4 2017","FQ4 2017","Currency=INR","Period=FQ","BEST_FPERIOD_OVERRIDE=FQ","FILING_STATUS=OR","EQY_CONSOLIDATED=Y","FA_ADJUSTED=GAAP","Sort=A","Dates=H","DateFormat=P","Fill=—","Direction=H","UseDPDF=Y")</f>
        <v>#NAME?</v>
      </c>
      <c r="CZ147" s="2" t="e">
        <f ca="1">_xll.BDH($C$128,"INVENT_DAYS","FQ4 2017","FQ4 2017","Currency=INR","Period=FQ","BEST_FPERIOD_OVERRIDE=FQ","FILING_STATUS=OR","EQY_CONSOLIDATED=Y","FA_ADJUSTED=GAAP","Sort=A","Dates=H","DateFormat=P","Fill=—","Direction=H","UseDPDF=Y")</f>
        <v>#NAME?</v>
      </c>
      <c r="DA147" s="4" t="e">
        <f ca="1">_xll.BDH($C$128,"ACCOUNTS_PAYABLE_TURNOVER","FQ4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47" s="2" t="e">
        <f ca="1">_xll.BDH($C$128,"ACCOUNTS_PAYABLE_TURNOVER_DAYS","FQ4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47" s="4" t="e">
        <f ca="1">_xll.BDH($C$128,"CASH_CONVERSION_CYCLE","FQ4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47" s="4" t="e">
        <f ca="1">_xll.BDH($C$128,"INV_TO_CASH_DAYS","FQ4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47" s="5" t="e">
        <f ca="1">_xll.BDH($C$128,"BS_INVENTORIES","FQ4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47" s="3" t="e">
        <f ca="1">_xll.BDH($C$128,"INVTRY_RAW_MATERIALS","FQ4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47" s="3" t="e">
        <f ca="1">_xll.BDH($C$128,"INVTRY_IN_PROGRESS","FQ4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47" s="3" t="e">
        <f ca="1">_xll.BDH($C$128,"INVTRY_FINISHED_GOODS","FQ4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47" s="3" t="e">
        <f ca="1">_xll.BDH($C$128,"BS_OTHER_INV","FQ4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48" spans="1:113" x14ac:dyDescent="0.3">
      <c r="A148" s="6"/>
      <c r="B148" s="6"/>
      <c r="C148" s="6"/>
      <c r="D148" s="6" t="s">
        <v>85</v>
      </c>
      <c r="E148" t="s">
        <v>77</v>
      </c>
      <c r="F148" t="e">
        <f ca="1">_xll.BDH($C$128,"RETURN_COM_EQY","FY 2018","FY 2018","Currency=INR","Period=FY","BEST_FPERIOD_OVERRIDE=FY","FILING_STATUS=OR","EQY_CONSOLIDATED=Y","FA_ADJUSTED=GAAP","Sort=A","Dates=H","DateFormat=P","Fill=—","Direction=H","UseDPDF=Y")</f>
        <v>#NAME?</v>
      </c>
      <c r="G148" t="e">
        <f ca="1">_xll.BDH($C$128,"RETURN_ON_ASSET","FY 2018","FY 2018","Currency=INR","Period=FY","BEST_FPERIOD_OVERRIDE=FY","FILING_STATUS=OR","EQY_CONSOLIDATED=Y","FA_ADJUSTED=GAAP","Sort=A","Dates=H","DateFormat=P","Fill=—","Direction=H","UseDPDF=Y")</f>
        <v>#NAME?</v>
      </c>
      <c r="H148" t="e">
        <f ca="1">_xll.BDH($C$128,"RETURN_ON_CAP","FY 2018","FY 2018","Currency=INR","Period=FY","BEST_FPERIOD_OVERRIDE=FY","FILING_STATUS=OR","EQY_CONSOLIDATED=Y","FA_ADJUSTED=GAAP","Sort=A","Dates=H","DateFormat=P","Fill=—","Direction=H","UseDPDF=Y")</f>
        <v>#NAME?</v>
      </c>
      <c r="I148" t="e">
        <f ca="1">_xll.BDH($C$128,"RETURN_ON_INV_CAPITAL","FY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48" t="e">
        <f ca="1">_xll.BDH($C$128,"EBITDA_TO_REVENUE","FY 2018","FY 2018","Currency=INR","Period=FY","BEST_FPERIOD_OVERRIDE=FY","FILING_STATUS=OR","EQY_CONSOLIDATED=Y","FA_ADJUSTED=GAAP","Sort=A","Dates=H","DateFormat=P","Fill=—","Direction=H","UseDPDF=Y")</f>
        <v>#NAME?</v>
      </c>
      <c r="K148" t="e">
        <f ca="1">_xll.BDH($C$128,"OPER_MARGIN","FY 2018","FY 2018","Currency=INR","Period=FY","BEST_FPERIOD_OVERRIDE=FY","FILING_STATUS=OR","EQY_CONSOLIDATED=Y","FA_ADJUSTED=GAAP","Sort=A","Dates=H","DateFormat=P","Fill=—","Direction=H","UseDPDF=Y")</f>
        <v>#NAME?</v>
      </c>
      <c r="L148" t="e">
        <f ca="1">_xll.BDH($C$128,"INCREMENTAL_OPERATING_MARGIN","FY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48" t="e">
        <f ca="1">_xll.BDH($C$128,"PRETAX_INC_TO_NET_SALES","FY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48" t="e">
        <f ca="1">_xll.BDH($C$128,"INC_BEF_XO_ITEMS_TO_NET_SALES","FY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48" t="e">
        <f ca="1">_xll.BDH($C$128,"PROF_MARGIN","FY 2018","FY 2018","Currency=INR","Period=FY","BEST_FPERIOD_OVERRIDE=FY","FILING_STATUS=OR","EQY_CONSOLIDATED=Y","FA_ADJUSTED=GAAP","Sort=A","Dates=H","DateFormat=P","Fill=—","Direction=H","UseDPDF=Y")</f>
        <v>#NAME?</v>
      </c>
      <c r="P148" t="e">
        <f ca="1">_xll.BDH($C$128,"NET_INCOME_TO_COMMON_MARGIN","FY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48" t="e">
        <f ca="1">_xll.BDH($C$128,"EFF_TAX_RATE","FY 2018","FY 2018","Currency=INR","Period=FY","BEST_FPERIOD_OVERRIDE=FY","FILING_STATUS=OR","EQY_CONSOLIDATED=Y","FA_ADJUSTED=GAAP","Sort=A","Dates=H","DateFormat=P","Fill=—","Direction=H","UseDPDF=Y")</f>
        <v>#NAME?</v>
      </c>
      <c r="R148" t="e">
        <f ca="1">_xll.BDH($C$128,"DVD_PAYOUT_RATIO","FY 2018","FY 2018","Currency=INR","Period=FY","BEST_FPERIOD_OVERRIDE=FY","FILING_STATUS=OR","EQY_CONSOLIDATED=Y","FA_ADJUSTED=GAAP","Sort=A","Dates=H","DateFormat=P","Fill=—","Direction=H","UseDPDF=Y")</f>
        <v>#NAME?</v>
      </c>
      <c r="S148" t="e">
        <f ca="1">_xll.BDH($C$128,"SUSTAIN_GROWTH_RT","FY 2018","FY 2018","Currency=INR","Period=FY","BEST_FPERIOD_OVERRIDE=FY","FILING_STATUS=OR","EQY_CONSOLIDATED=Y","FA_ADJUSTED=GAAP","Sort=A","Dates=H","DateFormat=P","Fill=—","Direction=H","UseDPDF=Y")</f>
        <v>#NAME?</v>
      </c>
      <c r="T148" s="2" t="e">
        <f ca="1">_xll.BDH($C$128,"SALES_GROWTH","FY 2018","FY 2018","Currency=INR","Period=FY","BEST_FPERIOD_OVERRIDE=FY","FILING_STATUS=OR","EQY_CONSOLIDATED=Y","FA_ADJUSTED=GAAP","Sort=A","Dates=H","DateFormat=P","Fill=—","Direction=H","UseDPDF=Y")</f>
        <v>#NAME?</v>
      </c>
      <c r="U148" s="2" t="e">
        <f ca="1">_xll.BDH($C$128,"EBITDA_GROWTH","FY 2018","FY 2018","Currency=INR","Period=FY","BEST_FPERIOD_OVERRIDE=FY","FILING_STATUS=OR","EQY_CONSOLIDATED=Y","FA_ADJUSTED=GAAP","Sort=A","Dates=H","DateFormat=P","Fill=—","Direction=H","UseDPDF=Y")</f>
        <v>#NAME?</v>
      </c>
      <c r="V148" s="2" t="e">
        <f ca="1">_xll.BDH($C$128,"OPER_INC_GROWTH","FY 2018","FY 2018","Currency=INR","Period=FY","BEST_FPERIOD_OVERRIDE=FY","FILING_STATUS=OR","EQY_CONSOLIDATED=Y","FA_ADJUSTED=GAAP","Sort=A","Dates=H","DateFormat=P","Fill=—","Direction=H","UseDPDF=Y")</f>
        <v>#NAME?</v>
      </c>
      <c r="W148" s="2" t="e">
        <f ca="1">_xll.BDH($C$128,"EARN_FOR_COM_GROWTH","FY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48" s="2" t="e">
        <f ca="1">_xll.BDH($C$128,"DILUTED_EPS_AFT_XO_ITEMS_GROWTH","FY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48" s="2" t="e">
        <f ca="1">_xll.BDH($C$128,"DIVIDEND_PER_SHARE_1_YEAR_GROWTH","FY 2018","FY 2018","Currency=INR","Period=FY","BEST_FPERIOD_OVERRIDE=FY","FILING_STATUS=OR","EQY_CONSOLIDATED=Y","Sort=A","Dates=H","DateFormat=P","Fill=—","Direction=H","UseDPDF=Y")</f>
        <v>#NAME?</v>
      </c>
      <c r="Z148" s="2" t="e">
        <f ca="1">_xll.BDH($C$128,"ACCOUNTS_RECEIVABLE_GROWTH","FY 2018","FY 2018","Currency=INR","Period=FY","BEST_FPERIOD_OVERRIDE=FY","FILING_STATUS=OR","EQY_CONSOLIDATED=Y","Sort=A","Dates=H","DateFormat=P","Fill=—","Direction=H","UseDPDF=Y")</f>
        <v>#NAME?</v>
      </c>
      <c r="AA148" s="2" t="e">
        <f ca="1">_xll.BDH($C$128,"INVENTORY_GROWTH","FY 2018","FY 2018","Currency=INR","Period=FY","BEST_FPERIOD_OVERRIDE=FY","FILING_STATUS=OR","EQY_CONSOLIDATED=Y","Sort=A","Dates=H","DateFormat=P","Fill=—","Direction=H","UseDPDF=Y")</f>
        <v>#NAME?</v>
      </c>
      <c r="AB148" s="2" t="e">
        <f ca="1">_xll.BDH($C$128,"NET_FIXED_ASSETS_1_YEAR_GROWTH","FY 2018","FY 2018","Currency=INR","Period=FY","BEST_FPERIOD_OVERRIDE=FY","FILING_STATUS=OR","EQY_CONSOLIDATED=Y","Sort=A","Dates=H","DateFormat=P","Fill=—","Direction=H","UseDPDF=Y")</f>
        <v>#NAME?</v>
      </c>
      <c r="AC148" s="2" t="e">
        <f ca="1">_xll.BDH($C$128,"ASSET_GROWTH","FY 2018","FY 2018","Currency=INR","Period=FY","BEST_FPERIOD_OVERRIDE=FY","FILING_STATUS=OR","EQY_CONSOLIDATED=Y","Sort=A","Dates=H","DateFormat=P","Fill=—","Direction=H","UseDPDF=Y")</f>
        <v>#NAME?</v>
      </c>
      <c r="AD148" s="2" t="e">
        <f ca="1">_xll.BDH($C$128,"MODIFIED_WORK_CAP_GROWTH","FY 2018","FY 2018","Currency=INR","Period=FY","BEST_FPERIOD_OVERRIDE=FY","FILING_STATUS=OR","EQY_CONSOLIDATED=Y","Sort=A","Dates=H","DateFormat=P","Fill=—","Direction=H","UseDPDF=Y")</f>
        <v>#NAME?</v>
      </c>
      <c r="AE148" s="2" t="e">
        <f ca="1">_xll.BDH($C$128,"WORK_CAP_GROWTH","FY 2018","FY 2018","Currency=INR","Period=FY","BEST_FPERIOD_OVERRIDE=FY","FILING_STATUS=OR","EQY_CONSOLIDATED=Y","Sort=A","Dates=H","DateFormat=P","Fill=—","Direction=H","UseDPDF=Y")</f>
        <v>#NAME?</v>
      </c>
      <c r="AF148" s="2" t="e">
        <f ca="1">_xll.BDH($C$128,"ACCOUNTS_PAYABLE_GROWTH_1YR","FY 2018","FY 2018","Currency=INR","Period=FY","BEST_FPERIOD_OVERRIDE=FY","FILING_STATUS=OR","EQY_CONSOLIDATED=Y","Sort=A","Dates=H","DateFormat=P","Fill=—","Direction=H","UseDPDF=Y")</f>
        <v>#NAME?</v>
      </c>
      <c r="AG148" s="2" t="e">
        <f ca="1">_xll.BDH($C$128,"SHORT_TERM_DEBT_1_YEAR_GROWTH","FY 2018","FY 2018","Currency=INR","Period=FY","BEST_FPERIOD_OVERRIDE=FY","FILING_STATUS=OR","EQY_CONSOLIDATED=Y","Sort=A","Dates=H","DateFormat=P","Fill=—","Direction=H","UseDPDF=Y")</f>
        <v>#NAME?</v>
      </c>
      <c r="AH148" s="2" t="e">
        <f ca="1">_xll.BDH($C$128,"TOTAL_DEBT_1_YEAR_GROWTH","FY 2018","FY 2018","Currency=INR","Period=FY","BEST_FPERIOD_OVERRIDE=FY","FILING_STATUS=OR","EQY_CONSOLIDATED=Y","Sort=A","Dates=H","DateFormat=P","Fill=—","Direction=H","UseDPDF=Y")</f>
        <v>#NAME?</v>
      </c>
      <c r="AI148" s="2" t="e">
        <f ca="1">_xll.BDH($C$128,"TOTAL_EQUITY_1_YEAR_GROWTH","FY 2018","FY 2018","Currency=INR","Period=FY","BEST_FPERIOD_OVERRIDE=FY","FILING_STATUS=OR","EQY_CONSOLIDATED=Y","Sort=A","Dates=H","DateFormat=P","Fill=—","Direction=H","UseDPDF=Y")</f>
        <v>#NAME?</v>
      </c>
      <c r="AJ148" s="2" t="e">
        <f ca="1">_xll.BDH($C$128,"GROWTH_IN_CAP","FY 2018","FY 2018","Currency=INR","Period=FY","BEST_FPERIOD_OVERRIDE=FY","FILING_STATUS=OR","EQY_CONSOLIDATED=Y","Sort=A","Dates=H","DateFormat=P","Fill=—","Direction=H","UseDPDF=Y")</f>
        <v>#NAME?</v>
      </c>
      <c r="AK148" s="2" t="e">
        <f ca="1">_xll.BDH($C$128,"BVPS_GROWTH","FY 2018","FY 2018","Currency=INR","Period=FY","BEST_FPERIOD_OVERRIDE=FY","FILING_STATUS=OR","EQY_CONSOLIDATED=Y","Sort=A","Dates=H","DateFormat=P","Fill=—","Direction=H","UseDPDF=Y")</f>
        <v>#NAME?</v>
      </c>
      <c r="AL148" s="2" t="e">
        <f ca="1">_xll.BDH($C$128,"CASH_FLOW_GROWTH","FY 2018","FY 2018","Currency=INR","Period=FY","BEST_FPERIOD_OVERRIDE=FY","FILING_STATUS=OR","EQY_CONSOLIDATED=Y","Sort=A","Dates=H","DateFormat=P","Fill=—","Direction=H","UseDPDF=Y")</f>
        <v>#NAME?</v>
      </c>
      <c r="AM148" s="2" t="e">
        <f ca="1">_xll.BDH($C$128,"GEO_GROW_NET_SALES","FY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48" s="2" t="e">
        <f ca="1">_xll.BDH($C$128,"GEO_GROW_EBITDA","FY 2018","FY 2018","Currency=INR","Period=FY","BEST_FPERIOD_OVERRIDE=FY","FILING_STATUS=OR","EQY_CONSOLIDATED=Y","FA_ADJUSTED=GAAP","Sort=A","Dates=H","DateFormat=P","Fill=—","Direction=H","UseDPDF=Y")</f>
        <v>#NAME?</v>
      </c>
      <c r="AO148" s="2" t="e">
        <f ca="1">_xll.BDH($C$128,"GEO_GROW_OPER_INC","FY 2018","FY 2018","Currency=INR","Period=FY","BEST_FPERIOD_OVERRIDE=FY","FILING_STATUS=OR","EQY_CONSOLIDATED=Y","FA_ADJUSTED=GAAP","Sort=A","Dates=H","DateFormat=P","Fill=—","Direction=H","UseDPDF=Y")</f>
        <v>#NAME?</v>
      </c>
      <c r="AP148" s="2" t="e">
        <f ca="1">_xll.BDH($C$128,"NET_INCOME_TO_COMMON_5_YR_GROWTH","FY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48" s="2" t="e">
        <f ca="1">_xll.BDH($C$128,"5Y_GEO_GROWTH_DILUTED_EPS","FY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48" s="2" t="e">
        <f ca="1">_xll.BDH($C$128,"GEO_GROW_DVD_PER_SH","FY 2018","FY 2018","Currency=INR","Period=FY","BEST_FPERIOD_OVERRIDE=FY","FILING_STATUS=OR","EQY_CONSOLIDATED=Y","Sort=A","Dates=H","DateFormat=P","Fill=—","Direction=H","UseDPDF=Y")</f>
        <v>#NAME?</v>
      </c>
      <c r="AS148" s="2" t="e">
        <f ca="1">_xll.BDH($C$128,"ACCOUNTS_RECEIVABLE_5_YR_GROWTH","FY 2018","FY 2018","Currency=INR","Period=FY","BEST_FPERIOD_OVERRIDE=FY","FILING_STATUS=OR","EQY_CONSOLIDATED=Y","Sort=A","Dates=H","DateFormat=P","Fill=—","Direction=H","UseDPDF=Y")</f>
        <v>#NAME?</v>
      </c>
      <c r="AT148" s="2" t="e">
        <f ca="1">_xll.BDH($C$128,"INVENTORY_5_YEAR_GROWTH","FY 2018","FY 2018","Currency=INR","Period=FY","BEST_FPERIOD_OVERRIDE=FY","FILING_STATUS=OR","EQY_CONSOLIDATED=Y","Sort=A","Dates=H","DateFormat=P","Fill=—","Direction=H","UseDPDF=Y")</f>
        <v>#NAME?</v>
      </c>
      <c r="AU148" s="2" t="e">
        <f ca="1">_xll.BDH($C$128,"NET_FIXED_ASSETS_5_YEAR_GROWTH","FY 2018","FY 2018","Currency=INR","Period=FY","BEST_FPERIOD_OVERRIDE=FY","FILING_STATUS=OR","EQY_CONSOLIDATED=Y","Sort=A","Dates=H","DateFormat=P","Fill=—","Direction=H","UseDPDF=Y")</f>
        <v>#NAME?</v>
      </c>
      <c r="AV148" s="2" t="e">
        <f ca="1">_xll.BDH($C$128,"GEO_GROW_TOT_ASSET","FY 2018","FY 2018","Currency=INR","Period=FY","BEST_FPERIOD_OVERRIDE=FY","FILING_STATUS=OR","EQY_CONSOLIDATED=Y","Sort=A","Dates=H","DateFormat=P","Fill=—","Direction=H","UseDPDF=Y")</f>
        <v>#NAME?</v>
      </c>
      <c r="AW148" s="2" t="e">
        <f ca="1">_xll.BDH($C$128,"MODIFIED_WORKING_CPTL_5YR_GRWTH","FY 2018","FY 2018","Currency=INR","Period=FY","BEST_FPERIOD_OVERRIDE=FY","FILING_STATUS=OR","EQY_CONSOLIDATED=Y","Sort=A","Dates=H","DateFormat=P","Fill=—","Direction=H","UseDPDF=Y")</f>
        <v>#NAME?</v>
      </c>
      <c r="AX148" s="2" t="e">
        <f ca="1">_xll.BDH($C$128,"WORKING_CAPITAL_5_YEAR_GROWTH","FY 2018","FY 2018","Currency=INR","Period=FY","BEST_FPERIOD_OVERRIDE=FY","FILING_STATUS=OR","EQY_CONSOLIDATED=Y","Sort=A","Dates=H","DateFormat=P","Fill=—","Direction=H","UseDPDF=Y")</f>
        <v>#NAME?</v>
      </c>
      <c r="AY148" s="2" t="e">
        <f ca="1">_xll.BDH($C$128,"ACCOUNTS_PAYABLE_5_YEAR_GROWTH","FY 2018","FY 2018","Currency=INR","Period=FY","BEST_FPERIOD_OVERRIDE=FY","FILING_STATUS=OR","EQY_CONSOLIDATED=Y","Sort=A","Dates=H","DateFormat=P","Fill=—","Direction=H","UseDPDF=Y")</f>
        <v>#NAME?</v>
      </c>
      <c r="AZ148" s="2" t="e">
        <f ca="1">_xll.BDH($C$128,"SHORT_TERM_DEBT_5_YEAR_GROWTH","FY 2018","FY 2018","Currency=INR","Period=FY","BEST_FPERIOD_OVERRIDE=FY","FILING_STATUS=OR","EQY_CONSOLIDATED=Y","Sort=A","Dates=H","DateFormat=P","Fill=—","Direction=H","UseDPDF=Y")</f>
        <v>#NAME?</v>
      </c>
      <c r="BA148" s="2" t="e">
        <f ca="1">_xll.BDH($C$128,"TOTAL_DEBT_5_YEAR_GROWTH","FY 2018","FY 2018","Currency=INR","Period=FY","BEST_FPERIOD_OVERRIDE=FY","FILING_STATUS=OR","EQY_CONSOLIDATED=Y","Sort=A","Dates=H","DateFormat=P","Fill=—","Direction=H","UseDPDF=Y")</f>
        <v>#NAME?</v>
      </c>
      <c r="BB148" s="2" t="e">
        <f ca="1">_xll.BDH($C$128,"GEO_GROW_TOT_SHRHLDR_EQY","FY 2018","FY 2018","Currency=INR","Period=FY","BEST_FPERIOD_OVERRIDE=FY","FILING_STATUS=OR","EQY_CONSOLIDATED=Y","Sort=A","Dates=H","DateFormat=P","Fill=—","Direction=H","UseDPDF=Y")</f>
        <v>#NAME?</v>
      </c>
      <c r="BC148" s="2" t="e">
        <f ca="1">_xll.BDH($C$128,"TOTAL_CAPITAL_5_YEAR_GROWTH","FY 2018","FY 2018","Currency=INR","Period=FY","BEST_FPERIOD_OVERRIDE=FY","FILING_STATUS=OR","EQY_CONSOLIDATED=Y","Sort=A","Dates=H","DateFormat=P","Fill=—","Direction=H","UseDPDF=Y")</f>
        <v>#NAME?</v>
      </c>
      <c r="BD148" s="2" t="e">
        <f ca="1">_xll.BDH($C$128,"GEO_GROW_BOOK_VAL","FY 2018","FY 2018","Currency=INR","Period=FY","BEST_FPERIOD_OVERRIDE=FY","FILING_STATUS=OR","EQY_CONSOLIDATED=Y","Sort=A","Dates=H","DateFormat=P","Fill=—","Direction=H","UseDPDF=Y")</f>
        <v>#NAME?</v>
      </c>
      <c r="BE148" s="2" t="e">
        <f ca="1">_xll.BDH($C$128,"GEO_GROW_CASH_OPER_ACT","FY 2018","FY 2018","Currency=INR","Period=FY","BEST_FPERIOD_OVERRIDE=FY","FILING_STATUS=OR","EQY_CONSOLIDATED=Y","Sort=A","Dates=H","DateFormat=P","Fill=—","Direction=H","UseDPDF=Y")</f>
        <v>#NAME?</v>
      </c>
      <c r="BF148" s="2" t="e">
        <f ca="1">_xll.BDH($C$128,"REVENUE_SEQUENTIAL_GROWTH","FY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48" s="2" t="e">
        <f ca="1">_xll.BDH($C$128,"EBITDA_SEQUENTIAL_GROWTH","FY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48" s="2" t="e">
        <f ca="1">_xll.BDH($C$128,"OPERATING_INCOME_SEQ_GROWTH","FY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48" s="2" t="e">
        <f ca="1">_xll.BDH($C$128,"NET_INCOME_TO_COMMON_SEQ_GROWTH","FY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48" s="2" t="e">
        <f ca="1">_xll.BDH($C$128,"EPS_DILUTED_SEQUENTIAL_GROWTH","FY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48" s="2" t="e">
        <f ca="1">_xll.BDH($C$128,"DPS_SEQUENTIAL_GROWTH","FY 2018","FY 2018","Currency=INR","Period=FY","BEST_FPERIOD_OVERRIDE=FY","FILING_STATUS=OR","EQY_CONSOLIDATED=Y","Sort=A","Dates=H","DateFormat=P","Fill=—","Direction=H","UseDPDF=Y")</f>
        <v>#NAME?</v>
      </c>
      <c r="BL148" s="2" t="e">
        <f ca="1">_xll.BDH($C$128,"ACCOUNTS_RECEIVABLE_SEQ_GROWTH","FY 2018","FY 2018","Currency=INR","Period=FY","BEST_FPERIOD_OVERRIDE=FY","FILING_STATUS=OR","EQY_CONSOLIDATED=Y","Sort=A","Dates=H","DateFormat=P","Fill=—","Direction=H","UseDPDF=Y")</f>
        <v>#NAME?</v>
      </c>
      <c r="BM148" s="2" t="e">
        <f ca="1">_xll.BDH($C$128,"INVENTORY_SEQUENTIAL_GROWTH","FY 2018","FY 2018","Currency=INR","Period=FY","BEST_FPERIOD_OVERRIDE=FY","FILING_STATUS=OR","EQY_CONSOLIDATED=Y","Sort=A","Dates=H","DateFormat=P","Fill=—","Direction=H","UseDPDF=Y")</f>
        <v>#NAME?</v>
      </c>
      <c r="BN148" s="2" t="e">
        <f ca="1">_xll.BDH($C$128,"FIXED_ASSETS_SEQUENTIAL_GROWTH","FY 2018","FY 2018","Currency=INR","Period=FY","BEST_FPERIOD_OVERRIDE=FY","FILING_STATUS=OR","EQY_CONSOLIDATED=Y","Sort=A","Dates=H","DateFormat=P","Fill=—","Direction=H","UseDPDF=Y")</f>
        <v>#NAME?</v>
      </c>
      <c r="BO148" s="2" t="e">
        <f ca="1">_xll.BDH($C$128,"TOTAL_ASSETS_SEQUENTIAL_GROWTH","FY 2018","FY 2018","Currency=INR","Period=FY","BEST_FPERIOD_OVERRIDE=FY","FILING_STATUS=OR","EQY_CONSOLIDATED=Y","Sort=A","Dates=H","DateFormat=P","Fill=—","Direction=H","UseDPDF=Y")</f>
        <v>#NAME?</v>
      </c>
      <c r="BP148" s="2" t="e">
        <f ca="1">_xll.BDH($C$128,"MODIFIED_WORKING_CPTL_SEQ_GRWTH","FY 2018","FY 2018","Currency=INR","Period=FY","BEST_FPERIOD_OVERRIDE=FY","FILING_STATUS=OR","EQY_CONSOLIDATED=Y","Sort=A","Dates=H","DateFormat=P","Fill=—","Direction=H","UseDPDF=Y")</f>
        <v>#NAME?</v>
      </c>
      <c r="BQ148" s="2" t="e">
        <f ca="1">_xll.BDH($C$128,"WORKING_CAPITAL_SEQ_GROWTH","FY 2018","FY 2018","Currency=INR","Period=FY","BEST_FPERIOD_OVERRIDE=FY","FILING_STATUS=OR","EQY_CONSOLIDATED=Y","Sort=A","Dates=H","DateFormat=P","Fill=—","Direction=H","UseDPDF=Y")</f>
        <v>#NAME?</v>
      </c>
      <c r="BR148" s="2" t="e">
        <f ca="1">_xll.BDH($C$128,"ACCOUNTS_PAYABLE_SEQ_GROWTH","FY 2018","FY 2018","Currency=INR","Period=FY","BEST_FPERIOD_OVERRIDE=FY","FILING_STATUS=OR","EQY_CONSOLIDATED=Y","Sort=A","Dates=H","DateFormat=P","Fill=—","Direction=H","UseDPDF=Y")</f>
        <v>#NAME?</v>
      </c>
      <c r="BS148" s="2" t="e">
        <f ca="1">_xll.BDH($C$128,"ST_DEBT_SEQUENTIAL_GROWTH","FY 2018","FY 2018","Currency=INR","Period=FY","BEST_FPERIOD_OVERRIDE=FY","FILING_STATUS=OR","EQY_CONSOLIDATED=Y","Sort=A","Dates=H","DateFormat=P","Fill=—","Direction=H","UseDPDF=Y")</f>
        <v>#NAME?</v>
      </c>
      <c r="BT148" s="2" t="e">
        <f ca="1">_xll.BDH($C$128,"TOTAL_DEBT_SEQUENTIAL_GROWTH","FY 2018","FY 2018","Currency=INR","Period=FY","BEST_FPERIOD_OVERRIDE=FY","FILING_STATUS=OR","EQY_CONSOLIDATED=Y","Sort=A","Dates=H","DateFormat=P","Fill=—","Direction=H","UseDPDF=Y")</f>
        <v>#NAME?</v>
      </c>
      <c r="BU148" s="2" t="e">
        <f ca="1">_xll.BDH($C$128,"TOTAL_EQUITY_SEQUENTIAL_GROWTH","FY 2018","FY 2018","Currency=INR","Period=FY","BEST_FPERIOD_OVERRIDE=FY","FILING_STATUS=OR","EQY_CONSOLIDATED=Y","Sort=A","Dates=H","DateFormat=P","Fill=—","Direction=H","UseDPDF=Y")</f>
        <v>#NAME?</v>
      </c>
      <c r="BV148" s="2" t="e">
        <f ca="1">_xll.BDH($C$128,"TOTAL_CAPITAL_SEQUENTIAL_GROWTH","FY 2018","FY 2018","Currency=INR","Period=FY","BEST_FPERIOD_OVERRIDE=FY","FILING_STATUS=OR","EQY_CONSOLIDATED=Y","Sort=A","Dates=H","DateFormat=P","Fill=—","Direction=H","UseDPDF=Y")</f>
        <v>#NAME?</v>
      </c>
      <c r="BW148" s="2" t="e">
        <f ca="1">_xll.BDH($C$128,"BPS_SEQUENTIAL_GROWTH","FY 2018","FY 2018","Currency=INR","Period=FY","BEST_FPERIOD_OVERRIDE=FY","FILING_STATUS=OR","EQY_CONSOLIDATED=Y","Sort=A","Dates=H","DateFormat=P","Fill=—","Direction=H","UseDPDF=Y")</f>
        <v>#NAME?</v>
      </c>
      <c r="BX148" s="2" t="e">
        <f ca="1">_xll.BDH($C$128,"CFO_SEQUENTIAL_GROWTH","FY 2018","FY 2018","Currency=INR","Period=FY","BEST_FPERIOD_OVERRIDE=FY","FILING_STATUS=OR","EQY_CONSOLIDATED=Y","Sort=A","Dates=H","DateFormat=P","Fill=—","Direction=H","UseDPDF=Y")</f>
        <v>#NAME?</v>
      </c>
      <c r="BY148" s="3" t="e">
        <f ca="1">_xll.BDH($C$128,"SHORT_AND_LONG_TERM_DEBT","FY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48" s="3" t="e">
        <f ca="1">_xll.BDH($C$128,"BS_ST_BORROW","FY 2018","FY 2018","Currency=INR","Period=FY","BEST_FPERIOD_OVERRIDE=FY","FILING_STATUS=OR","EQY_CONSOLIDATED=Y","SCALING_FORMAT=MLN","Sort=A","Dates=H","DateFormat=P","Fill=—","Direction=H","UseDPDF=Y")</f>
        <v>#NAME?</v>
      </c>
      <c r="CA148" s="3" t="e">
        <f ca="1">_xll.BDH($C$128,"BS_LT_BORROW","FY 2018","FY 2018","Currency=INR","Period=FY","BEST_FPERIOD_OVERRIDE=FY","FILING_STATUS=OR","EQY_CONSOLIDATED=Y","SCALING_FORMAT=MLN","Sort=A","Dates=H","DateFormat=P","Fill=—","Direction=H","UseDPDF=Y")</f>
        <v>#NAME?</v>
      </c>
      <c r="CB148" s="2" t="e">
        <f ca="1">_xll.BDH($C$128,"TOT_DEBT_TO_EBITDA","FY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48" s="2" t="e">
        <f ca="1">_xll.BDH($C$128,"NET_DEBT_TO_EBITDA","FY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48" s="2" t="e">
        <f ca="1">_xll.BDH($C$128,"TOTAL_DEBT_TO_EBIT","FY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48" s="2" t="e">
        <f ca="1">_xll.BDH($C$128,"NET_DEBT_TO_EBIT","FY 2018","FY 2018","Currency=INR","Period=FY","BEST_FPERIOD_OVERRIDE=FY","FILING_STATUS=OR","EQY_CONSOLIDATED=Y","FA_ADJUSTED=GAAP","Sort=A","Dates=H","DateFormat=P","Fill=—","Direction=H","UseDPDF=Y")</f>
        <v>#NAME?</v>
      </c>
      <c r="CF148" s="2" t="e">
        <f ca="1">_xll.BDH($C$128,"EBITDA_TO_INTEREST_EXPN","FY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48" s="2" t="e">
        <f ca="1">_xll.BDH($C$128,"COM_EQY_TO_TOT_ASSET","FY 2018","FY 2018","Currency=INR","Period=FY","BEST_FPERIOD_OVERRIDE=FY","FILING_STATUS=OR","EQY_CONSOLIDATED=Y","Sort=A","Dates=H","DateFormat=P","Fill=—","Direction=H","UseDPDF=Y")</f>
        <v>#NAME?</v>
      </c>
      <c r="CH148" s="2" t="e">
        <f ca="1">_xll.BDH($C$128,"LT_DEBT_TO_TOT_EQY","FY 2018","FY 2018","Currency=INR","Period=FY","BEST_FPERIOD_OVERRIDE=FY","FILING_STATUS=OR","EQY_CONSOLIDATED=Y","Sort=A","Dates=H","DateFormat=P","Fill=—","Direction=H","UseDPDF=Y")</f>
        <v>#NAME?</v>
      </c>
      <c r="CI148" s="2" t="e">
        <f ca="1">_xll.BDH($C$128,"LT_DEBT_TO_TOT_CAP","FY 2018","FY 2018","Currency=INR","Period=FY","BEST_FPERIOD_OVERRIDE=FY","FILING_STATUS=OR","EQY_CONSOLIDATED=Y","Sort=A","Dates=H","DateFormat=P","Fill=—","Direction=H","UseDPDF=Y")</f>
        <v>#NAME?</v>
      </c>
      <c r="CJ148" s="2" t="e">
        <f ca="1">_xll.BDH($C$128,"LT_DEBT_TO_TOT_ASSET","FY 2018","FY 2018","Currency=INR","Period=FY","BEST_FPERIOD_OVERRIDE=FY","FILING_STATUS=OR","EQY_CONSOLIDATED=Y","Sort=A","Dates=H","DateFormat=P","Fill=—","Direction=H","UseDPDF=Y")</f>
        <v>#NAME?</v>
      </c>
      <c r="CK148" s="2" t="e">
        <f ca="1">_xll.BDH($C$128,"TOT_DEBT_TO_TOT_EQY","FY 2018","FY 2018","Currency=INR","Period=FY","BEST_FPERIOD_OVERRIDE=FY","FILING_STATUS=OR","EQY_CONSOLIDATED=Y","Sort=A","Dates=H","DateFormat=P","Fill=—","Direction=H","UseDPDF=Y")</f>
        <v>#NAME?</v>
      </c>
      <c r="CL148" s="2" t="e">
        <f ca="1">_xll.BDH($C$128,"TOT_DEBT_TO_TOT_CAP","FY 2018","FY 2018","Currency=INR","Period=FY","BEST_FPERIOD_OVERRIDE=FY","FILING_STATUS=OR","EQY_CONSOLIDATED=Y","Sort=A","Dates=H","DateFormat=P","Fill=—","Direction=H","UseDPDF=Y")</f>
        <v>#NAME?</v>
      </c>
      <c r="CM148" s="2" t="e">
        <f ca="1">_xll.BDH($C$128,"TOT_DEBT_TO_TOT_ASSET","FY 2018","FY 2018","Currency=INR","Period=FY","BEST_FPERIOD_OVERRIDE=FY","FILING_STATUS=OR","EQY_CONSOLIDATED=Y","Sort=A","Dates=H","DateFormat=P","Fill=—","Direction=H","UseDPDF=Y")</f>
        <v>#NAME?</v>
      </c>
      <c r="CN148" s="2" t="e">
        <f ca="1">_xll.BDH($C$128,"NET_DEBT_TO_SHRHLDR_EQTY","FY 2018","FY 2018","Currency=INR","Period=FY","BEST_FPERIOD_OVERRIDE=FY","FILING_STATUS=OR","EQY_CONSOLIDATED=Y","Sort=A","Dates=H","DateFormat=P","Fill=—","Direction=H","UseDPDF=Y")</f>
        <v>#NAME?</v>
      </c>
      <c r="CO148" s="2" t="e">
        <f ca="1">_xll.BDH($C$128,"NET_DEBT_%_CAPITAL","FY 2018","FY 2018","Currency=INR","Period=FY","BEST_FPERIOD_OVERRIDE=FY","FILING_STATUS=OR","EQY_CONSOLIDATED=Y","Sort=A","Dates=H","DateFormat=P","Fill=—","Direction=H","UseDPDF=Y")</f>
        <v>#NAME?</v>
      </c>
      <c r="CP148" s="3" t="e">
        <f ca="1">_xll.BDH($C$128,"EBITDA","FY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48" s="3" t="e">
        <f ca="1">_xll.BDH($C$128,"EBITDA_AFTER_CAPEX","FY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48" s="3" t="e">
        <f ca="1">_xll.BDH($C$128,"IS_OPER_INC","FY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48" s="2" t="e">
        <f ca="1">_xll.BDH($C$128,"CASH_RATIO","FY 2018","FY 2018","Currency=INR","Period=FY","BEST_FPERIOD_OVERRIDE=FY","FILING_STATUS=OR","EQY_CONSOLIDATED=Y","Sort=A","Dates=H","DateFormat=P","Fill=—","Direction=H","UseDPDF=Y")</f>
        <v>#NAME?</v>
      </c>
      <c r="CT148" s="2" t="e">
        <f ca="1">_xll.BDH($C$128,"CUR_RATIO","FY 2018","FY 2018","Currency=INR","Period=FY","BEST_FPERIOD_OVERRIDE=FY","FILING_STATUS=OR","EQY_CONSOLIDATED=Y","Sort=A","Dates=H","DateFormat=P","Fill=—","Direction=H","UseDPDF=Y")</f>
        <v>#NAME?</v>
      </c>
      <c r="CU148" s="2" t="e">
        <f ca="1">_xll.BDH($C$128,"QUICK_RATIO","FY 2018","FY 2018","Currency=INR","Period=FY","BEST_FPERIOD_OVERRIDE=FY","FILING_STATUS=OR","EQY_CONSOLIDATED=Y","Sort=A","Dates=H","DateFormat=P","Fill=—","Direction=H","UseDPDF=Y")</f>
        <v>#NAME?</v>
      </c>
      <c r="CV148" s="2" t="e">
        <f ca="1">_xll.BDH($C$128,"ALTMAN_Z_SCORE","FY 2018","FY 2018","Currency=INR","Period=FY","BEST_FPERIOD_OVERRIDE=FY","FILING_STATUS=OR","EQY_CONSOLIDATED=Y","Sort=A","Dates=H","DateFormat=P","Fill=—","Direction=H","UseDPDF=Y")</f>
        <v>#NAME?</v>
      </c>
      <c r="CW148" s="4" t="e">
        <f ca="1">_xll.BDH($C$128,"ACCT_RCV_TURN","FY 2018","FY 2018","Currency=INR","Period=FY","BEST_FPERIOD_OVERRIDE=FY","FILING_STATUS=OR","EQY_CONSOLIDATED=Y","FA_ADJUSTED=GAAP","Sort=A","Dates=H","DateFormat=P","Fill=—","Direction=H","UseDPDF=Y")</f>
        <v>#NAME?</v>
      </c>
      <c r="CX148" s="2" t="e">
        <f ca="1">_xll.BDH($C$128,"ACCT_RCV_DAYS","FY 2018","FY 2018","Currency=INR","Period=FY","BEST_FPERIOD_OVERRIDE=FY","FILING_STATUS=OR","EQY_CONSOLIDATED=Y","FA_ADJUSTED=GAAP","Sort=A","Dates=H","DateFormat=P","Fill=—","Direction=H","UseDPDF=Y")</f>
        <v>#NAME?</v>
      </c>
      <c r="CY148" s="4" t="e">
        <f ca="1">_xll.BDH($C$128,"INVENT_TURN","FY 2018","FY 2018","Currency=INR","Period=FY","BEST_FPERIOD_OVERRIDE=FY","FILING_STATUS=OR","EQY_CONSOLIDATED=Y","FA_ADJUSTED=GAAP","Sort=A","Dates=H","DateFormat=P","Fill=—","Direction=H","UseDPDF=Y")</f>
        <v>#NAME?</v>
      </c>
      <c r="CZ148" s="2" t="e">
        <f ca="1">_xll.BDH($C$128,"INVENT_DAYS","FY 2018","FY 2018","Currency=INR","Period=FY","BEST_FPERIOD_OVERRIDE=FY","FILING_STATUS=OR","EQY_CONSOLIDATED=Y","FA_ADJUSTED=GAAP","Sort=A","Dates=H","DateFormat=P","Fill=—","Direction=H","UseDPDF=Y")</f>
        <v>#NAME?</v>
      </c>
      <c r="DA148" s="4" t="e">
        <f ca="1">_xll.BDH($C$128,"ACCOUNTS_PAYABLE_TURNOVER","FY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48" s="2" t="e">
        <f ca="1">_xll.BDH($C$128,"ACCOUNTS_PAYABLE_TURNOVER_DAYS","FY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48" s="4" t="e">
        <f ca="1">_xll.BDH($C$128,"CASH_CONVERSION_CYCLE","FY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48" s="4" t="e">
        <f ca="1">_xll.BDH($C$128,"INV_TO_CASH_DAYS","FY 2018","FY 2018","Currency=INR","Period=FY","BEST_FPERIOD_OVERRIDE=FY","FILING_STATUS=OR","EQY_CONSOLIDATED=Y","FA_ADJUSTED=GAAP","Sort=A","Dates=H","DateFormat=P","Fill=—","Direction=H","UseDPDF=Y")</f>
        <v>#NAME?</v>
      </c>
      <c r="DE148" s="5" t="e">
        <f ca="1">_xll.BDH($C$128,"BS_INVENTORIES","FY 2018","FY 2018","Currency=INR","Period=FY","BEST_FPERIOD_OVERRIDE=FY","FILING_STATUS=OR","EQY_CONSOLIDATED=Y","SCALING_FORMAT=MLN","Sort=A","Dates=H","DateFormat=P","Fill=—","Direction=H","UseDPDF=Y")</f>
        <v>#NAME?</v>
      </c>
      <c r="DF148" s="3" t="e">
        <f ca="1">_xll.BDH($C$128,"INVTRY_RAW_MATERIALS","FY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48" s="3" t="e">
        <f ca="1">_xll.BDH($C$128,"INVTRY_IN_PROGRESS","FY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48" s="3" t="e">
        <f ca="1">_xll.BDH($C$128,"INVTRY_FINISHED_GOODS","FY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48" s="3" t="e">
        <f ca="1">_xll.BDH($C$128,"BS_OTHER_INV","FY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49" spans="1:113" x14ac:dyDescent="0.3">
      <c r="A149" s="6"/>
      <c r="B149" s="6"/>
      <c r="C149" s="6"/>
      <c r="D149" s="6"/>
      <c r="E149" t="s">
        <v>78</v>
      </c>
      <c r="F149" t="e">
        <f ca="1">_xll.BDH($C$128,"RETURN_COM_EQY","FQ1 2018","FQ1 2018","Currency=INR","Period=FQ","BEST_FPERIOD_OVERRIDE=FQ","FILING_STATUS=OR","EQY_CONSOLIDATED=Y","FA_ADJUSTED=GAAP","Sort=A","Dates=H","DateFormat=P","Fill=—","Direction=H","UseDPDF=Y")</f>
        <v>#NAME?</v>
      </c>
      <c r="G149" t="e">
        <f ca="1">_xll.BDH($C$128,"RETURN_ON_ASSET","FQ1 2018","FQ1 2018","Currency=INR","Period=FQ","BEST_FPERIOD_OVERRIDE=FQ","FILING_STATUS=OR","EQY_CONSOLIDATED=Y","FA_ADJUSTED=GAAP","Sort=A","Dates=H","DateFormat=P","Fill=—","Direction=H","UseDPDF=Y")</f>
        <v>#NAME?</v>
      </c>
      <c r="H149" t="e">
        <f ca="1">_xll.BDH($C$128,"RETURN_ON_CAP","FQ1 2018","FQ1 2018","Currency=INR","Period=FQ","BEST_FPERIOD_OVERRIDE=FQ","FILING_STATUS=OR","EQY_CONSOLIDATED=Y","FA_ADJUSTED=GAAP","Sort=A","Dates=H","DateFormat=P","Fill=—","Direction=H","UseDPDF=Y")</f>
        <v>#NAME?</v>
      </c>
      <c r="I149" t="e">
        <f ca="1">_xll.BDH($C$128,"RETURN_ON_INV_CAPITAL","FQ1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49" t="e">
        <f ca="1">_xll.BDH($C$128,"EBITDA_TO_REVENUE","FQ1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49" t="e">
        <f ca="1">_xll.BDH($C$128,"OPER_MARGIN","FQ1 2018","FQ1 2018","Currency=INR","Period=FQ","BEST_FPERIOD_OVERRIDE=FQ","FILING_STATUS=OR","EQY_CONSOLIDATED=Y","FA_ADJUSTED=GAAP","Sort=A","Dates=H","DateFormat=P","Fill=—","Direction=H","UseDPDF=Y")</f>
        <v>#NAME?</v>
      </c>
      <c r="L149" t="e">
        <f ca="1">_xll.BDH($C$128,"INCREMENTAL_OPERATING_MARGIN","FQ1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49" t="e">
        <f ca="1">_xll.BDH($C$128,"PRETAX_INC_TO_NET_SALES","FQ1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49" t="e">
        <f ca="1">_xll.BDH($C$128,"INC_BEF_XO_ITEMS_TO_NET_SALES","FQ1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49" t="e">
        <f ca="1">_xll.BDH($C$128,"PROF_MARGIN","FQ1 2018","FQ1 2018","Currency=INR","Period=FQ","BEST_FPERIOD_OVERRIDE=FQ","FILING_STATUS=OR","EQY_CONSOLIDATED=Y","FA_ADJUSTED=GAAP","Sort=A","Dates=H","DateFormat=P","Fill=—","Direction=H","UseDPDF=Y")</f>
        <v>#NAME?</v>
      </c>
      <c r="P149" t="e">
        <f ca="1">_xll.BDH($C$128,"NET_INCOME_TO_COMMON_MARGIN","FQ1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49" t="e">
        <f ca="1">_xll.BDH($C$128,"EFF_TAX_RATE","FQ1 2018","FQ1 2018","Currency=INR","Period=FQ","BEST_FPERIOD_OVERRIDE=FQ","FILING_STATUS=OR","EQY_CONSOLIDATED=Y","FA_ADJUSTED=GAAP","Sort=A","Dates=H","DateFormat=P","Fill=—","Direction=H","UseDPDF=Y")</f>
        <v>#NAME?</v>
      </c>
      <c r="R149" t="e">
        <f ca="1">_xll.BDH($C$128,"DVD_PAYOUT_RATIO","FQ1 2018","FQ1 2018","Currency=INR","Period=FQ","BEST_FPERIOD_OVERRIDE=FQ","FILING_STATUS=OR","EQY_CONSOLIDATED=Y","FA_ADJUSTED=GAAP","Sort=A","Dates=H","DateFormat=P","Fill=—","Direction=H","UseDPDF=Y")</f>
        <v>#NAME?</v>
      </c>
      <c r="S149" t="e">
        <f ca="1">_xll.BDH($C$128,"SUSTAIN_GROWTH_RT","FQ1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49" s="2" t="e">
        <f ca="1">_xll.BDH($C$128,"SALES_GROWTH","FQ1 2018","FQ1 2018","Currency=INR","Period=FQ","BEST_FPERIOD_OVERRIDE=FQ","FILING_STATUS=OR","EQY_CONSOLIDATED=Y","FA_ADJUSTED=GAAP","Sort=A","Dates=H","DateFormat=P","Fill=—","Direction=H","UseDPDF=Y")</f>
        <v>#NAME?</v>
      </c>
      <c r="U149" s="2" t="e">
        <f ca="1">_xll.BDH($C$128,"EBITDA_GROWTH","FQ1 2018","FQ1 2018","Currency=INR","Period=FQ","BEST_FPERIOD_OVERRIDE=FQ","FILING_STATUS=OR","EQY_CONSOLIDATED=Y","FA_ADJUSTED=GAAP","Sort=A","Dates=H","DateFormat=P","Fill=—","Direction=H","UseDPDF=Y")</f>
        <v>#NAME?</v>
      </c>
      <c r="V149" s="2" t="e">
        <f ca="1">_xll.BDH($C$128,"OPER_INC_GROWTH","FQ1 2018","FQ1 2018","Currency=INR","Period=FQ","BEST_FPERIOD_OVERRIDE=FQ","FILING_STATUS=OR","EQY_CONSOLIDATED=Y","FA_ADJUSTED=GAAP","Sort=A","Dates=H","DateFormat=P","Fill=—","Direction=H","UseDPDF=Y")</f>
        <v>#NAME?</v>
      </c>
      <c r="W149" s="2" t="e">
        <f ca="1">_xll.BDH($C$128,"EARN_FOR_COM_GROWTH","FQ1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49" s="2" t="e">
        <f ca="1">_xll.BDH($C$128,"DILUTED_EPS_AFT_XO_ITEMS_GROWTH","FQ1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49" s="2" t="e">
        <f ca="1">_xll.BDH($C$128,"DIVIDEND_PER_SHARE_1_YEAR_GROWTH","FQ1 2018","FQ1 2018","Currency=INR","Period=FQ","BEST_FPERIOD_OVERRIDE=FQ","FILING_STATUS=OR","EQY_CONSOLIDATED=Y","Sort=A","Dates=H","DateFormat=P","Fill=—","Direction=H","UseDPDF=Y")</f>
        <v>#NAME?</v>
      </c>
      <c r="Z149" s="2" t="e">
        <f ca="1">_xll.BDH($C$128,"ACCOUNTS_RECEIVABLE_GROWTH","FQ1 2018","FQ1 2018","Currency=INR","Period=FQ","BEST_FPERIOD_OVERRIDE=FQ","FILING_STATUS=OR","EQY_CONSOLIDATED=Y","Sort=A","Dates=H","DateFormat=P","Fill=—","Direction=H","UseDPDF=Y")</f>
        <v>#NAME?</v>
      </c>
      <c r="AA149" s="2" t="e">
        <f ca="1">_xll.BDH($C$128,"INVENTORY_GROWTH","FQ1 2018","FQ1 2018","Currency=INR","Period=FQ","BEST_FPERIOD_OVERRIDE=FQ","FILING_STATUS=OR","EQY_CONSOLIDATED=Y","Sort=A","Dates=H","DateFormat=P","Fill=—","Direction=H","UseDPDF=Y")</f>
        <v>#NAME?</v>
      </c>
      <c r="AB149" s="2" t="e">
        <f ca="1">_xll.BDH($C$128,"NET_FIXED_ASSETS_1_YEAR_GROWTH","FQ1 2018","FQ1 2018","Currency=INR","Period=FQ","BEST_FPERIOD_OVERRIDE=FQ","FILING_STATUS=OR","EQY_CONSOLIDATED=Y","Sort=A","Dates=H","DateFormat=P","Fill=—","Direction=H","UseDPDF=Y")</f>
        <v>#NAME?</v>
      </c>
      <c r="AC149" s="2" t="e">
        <f ca="1">_xll.BDH($C$128,"ASSET_GROWTH","FQ1 2018","FQ1 2018","Currency=INR","Period=FQ","BEST_FPERIOD_OVERRIDE=FQ","FILING_STATUS=OR","EQY_CONSOLIDATED=Y","Sort=A","Dates=H","DateFormat=P","Fill=—","Direction=H","UseDPDF=Y")</f>
        <v>#NAME?</v>
      </c>
      <c r="AD149" s="2" t="e">
        <f ca="1">_xll.BDH($C$128,"MODIFIED_WORK_CAP_GROWTH","FQ1 2018","FQ1 2018","Currency=INR","Period=FQ","BEST_FPERIOD_OVERRIDE=FQ","FILING_STATUS=OR","EQY_CONSOLIDATED=Y","Sort=A","Dates=H","DateFormat=P","Fill=—","Direction=H","UseDPDF=Y")</f>
        <v>#NAME?</v>
      </c>
      <c r="AE149" s="2" t="e">
        <f ca="1">_xll.BDH($C$128,"WORK_CAP_GROWTH","FQ1 2018","FQ1 2018","Currency=INR","Period=FQ","BEST_FPERIOD_OVERRIDE=FQ","FILING_STATUS=OR","EQY_CONSOLIDATED=Y","Sort=A","Dates=H","DateFormat=P","Fill=—","Direction=H","UseDPDF=Y")</f>
        <v>#NAME?</v>
      </c>
      <c r="AF149" s="2" t="e">
        <f ca="1">_xll.BDH($C$128,"ACCOUNTS_PAYABLE_GROWTH_1YR","FQ1 2018","FQ1 2018","Currency=INR","Period=FQ","BEST_FPERIOD_OVERRIDE=FQ","FILING_STATUS=OR","EQY_CONSOLIDATED=Y","Sort=A","Dates=H","DateFormat=P","Fill=—","Direction=H","UseDPDF=Y")</f>
        <v>#NAME?</v>
      </c>
      <c r="AG149" s="2" t="e">
        <f ca="1">_xll.BDH($C$128,"SHORT_TERM_DEBT_1_YEAR_GROWTH","FQ1 2018","FQ1 2018","Currency=INR","Period=FQ","BEST_FPERIOD_OVERRIDE=FQ","FILING_STATUS=OR","EQY_CONSOLIDATED=Y","Sort=A","Dates=H","DateFormat=P","Fill=—","Direction=H","UseDPDF=Y")</f>
        <v>#NAME?</v>
      </c>
      <c r="AH149" s="2" t="e">
        <f ca="1">_xll.BDH($C$128,"TOTAL_DEBT_1_YEAR_GROWTH","FQ1 2018","FQ1 2018","Currency=INR","Period=FQ","BEST_FPERIOD_OVERRIDE=FQ","FILING_STATUS=OR","EQY_CONSOLIDATED=Y","Sort=A","Dates=H","DateFormat=P","Fill=—","Direction=H","UseDPDF=Y")</f>
        <v>#NAME?</v>
      </c>
      <c r="AI149" s="2" t="e">
        <f ca="1">_xll.BDH($C$128,"TOTAL_EQUITY_1_YEAR_GROWTH","FQ1 2018","FQ1 2018","Currency=INR","Period=FQ","BEST_FPERIOD_OVERRIDE=FQ","FILING_STATUS=OR","EQY_CONSOLIDATED=Y","Sort=A","Dates=H","DateFormat=P","Fill=—","Direction=H","UseDPDF=Y")</f>
        <v>#NAME?</v>
      </c>
      <c r="AJ149" s="2" t="e">
        <f ca="1">_xll.BDH($C$128,"GROWTH_IN_CAP","FQ1 2018","FQ1 2018","Currency=INR","Period=FQ","BEST_FPERIOD_OVERRIDE=FQ","FILING_STATUS=OR","EQY_CONSOLIDATED=Y","Sort=A","Dates=H","DateFormat=P","Fill=—","Direction=H","UseDPDF=Y")</f>
        <v>#NAME?</v>
      </c>
      <c r="AK149" s="2" t="e">
        <f ca="1">_xll.BDH($C$128,"BVPS_GROWTH","FQ1 2018","FQ1 2018","Currency=INR","Period=FQ","BEST_FPERIOD_OVERRIDE=FQ","FILING_STATUS=OR","EQY_CONSOLIDATED=Y","Sort=A","Dates=H","DateFormat=P","Fill=—","Direction=H","UseDPDF=Y")</f>
        <v>#NAME?</v>
      </c>
      <c r="AL149" s="2" t="e">
        <f ca="1">_xll.BDH($C$128,"CASH_FLOW_GROWTH","FQ1 2018","FQ1 2018","Currency=INR","Period=FQ","BEST_FPERIOD_OVERRIDE=FQ","FILING_STATUS=OR","EQY_CONSOLIDATED=Y","Sort=A","Dates=H","DateFormat=P","Fill=—","Direction=H","UseDPDF=Y")</f>
        <v>#NAME?</v>
      </c>
      <c r="AM149" s="2" t="e">
        <f ca="1">_xll.BDH($C$128,"GEO_GROW_NET_SALES","FQ1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49" s="2" t="e">
        <f ca="1">_xll.BDH($C$128,"GEO_GROW_EBITDA","FQ1 2018","FQ1 2018","Currency=INR","Period=FQ","BEST_FPERIOD_OVERRIDE=FQ","FILING_STATUS=OR","EQY_CONSOLIDATED=Y","FA_ADJUSTED=GAAP","Sort=A","Dates=H","DateFormat=P","Fill=—","Direction=H","UseDPDF=Y")</f>
        <v>#NAME?</v>
      </c>
      <c r="AO149" s="2" t="e">
        <f ca="1">_xll.BDH($C$128,"GEO_GROW_OPER_INC","FQ1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49" s="2" t="e">
        <f ca="1">_xll.BDH($C$128,"NET_INCOME_TO_COMMON_5_YR_GROWTH","FQ1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49" s="2" t="e">
        <f ca="1">_xll.BDH($C$128,"5Y_GEO_GROWTH_DILUTED_EPS","FQ1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49" s="2" t="e">
        <f ca="1">_xll.BDH($C$128,"GEO_GROW_DVD_PER_SH","FQ1 2018","FQ1 2018","Currency=INR","Period=FQ","BEST_FPERIOD_OVERRIDE=FQ","FILING_STATUS=OR","EQY_CONSOLIDATED=Y","Sort=A","Dates=H","DateFormat=P","Fill=—","Direction=H","UseDPDF=Y")</f>
        <v>#NAME?</v>
      </c>
      <c r="AS149" s="2" t="e">
        <f ca="1">_xll.BDH($C$128,"ACCOUNTS_RECEIVABLE_5_YR_GROWTH","FQ1 2018","FQ1 2018","Currency=INR","Period=FQ","BEST_FPERIOD_OVERRIDE=FQ","FILING_STATUS=OR","EQY_CONSOLIDATED=Y","Sort=A","Dates=H","DateFormat=P","Fill=—","Direction=H","UseDPDF=Y")</f>
        <v>#NAME?</v>
      </c>
      <c r="AT149" s="2" t="e">
        <f ca="1">_xll.BDH($C$128,"INVENTORY_5_YEAR_GROWTH","FQ1 2018","FQ1 2018","Currency=INR","Period=FQ","BEST_FPERIOD_OVERRIDE=FQ","FILING_STATUS=OR","EQY_CONSOLIDATED=Y","Sort=A","Dates=H","DateFormat=P","Fill=—","Direction=H","UseDPDF=Y")</f>
        <v>#NAME?</v>
      </c>
      <c r="AU149" s="2" t="e">
        <f ca="1">_xll.BDH($C$128,"NET_FIXED_ASSETS_5_YEAR_GROWTH","FQ1 2018","FQ1 2018","Currency=INR","Period=FQ","BEST_FPERIOD_OVERRIDE=FQ","FILING_STATUS=OR","EQY_CONSOLIDATED=Y","Sort=A","Dates=H","DateFormat=P","Fill=—","Direction=H","UseDPDF=Y")</f>
        <v>#NAME?</v>
      </c>
      <c r="AV149" s="2" t="e">
        <f ca="1">_xll.BDH($C$128,"GEO_GROW_TOT_ASSET","FQ1 2018","FQ1 2018","Currency=INR","Period=FQ","BEST_FPERIOD_OVERRIDE=FQ","FILING_STATUS=OR","EQY_CONSOLIDATED=Y","Sort=A","Dates=H","DateFormat=P","Fill=—","Direction=H","UseDPDF=Y")</f>
        <v>#NAME?</v>
      </c>
      <c r="AW149" s="2" t="e">
        <f ca="1">_xll.BDH($C$128,"MODIFIED_WORKING_CPTL_5YR_GRWTH","FQ1 2018","FQ1 2018","Currency=INR","Period=FQ","BEST_FPERIOD_OVERRIDE=FQ","FILING_STATUS=OR","EQY_CONSOLIDATED=Y","Sort=A","Dates=H","DateFormat=P","Fill=—","Direction=H","UseDPDF=Y")</f>
        <v>#NAME?</v>
      </c>
      <c r="AX149" s="2" t="e">
        <f ca="1">_xll.BDH($C$128,"WORKING_CAPITAL_5_YEAR_GROWTH","FQ1 2018","FQ1 2018","Currency=INR","Period=FQ","BEST_FPERIOD_OVERRIDE=FQ","FILING_STATUS=OR","EQY_CONSOLIDATED=Y","Sort=A","Dates=H","DateFormat=P","Fill=—","Direction=H","UseDPDF=Y")</f>
        <v>#NAME?</v>
      </c>
      <c r="AY149" s="2" t="e">
        <f ca="1">_xll.BDH($C$128,"ACCOUNTS_PAYABLE_5_YEAR_GROWTH","FQ1 2018","FQ1 2018","Currency=INR","Period=FQ","BEST_FPERIOD_OVERRIDE=FQ","FILING_STATUS=OR","EQY_CONSOLIDATED=Y","Sort=A","Dates=H","DateFormat=P","Fill=—","Direction=H","UseDPDF=Y")</f>
        <v>#NAME?</v>
      </c>
      <c r="AZ149" s="2" t="e">
        <f ca="1">_xll.BDH($C$128,"SHORT_TERM_DEBT_5_YEAR_GROWTH","FQ1 2018","FQ1 2018","Currency=INR","Period=FQ","BEST_FPERIOD_OVERRIDE=FQ","FILING_STATUS=OR","EQY_CONSOLIDATED=Y","Sort=A","Dates=H","DateFormat=P","Fill=—","Direction=H","UseDPDF=Y")</f>
        <v>#NAME?</v>
      </c>
      <c r="BA149" s="2" t="e">
        <f ca="1">_xll.BDH($C$128,"TOTAL_DEBT_5_YEAR_GROWTH","FQ1 2018","FQ1 2018","Currency=INR","Period=FQ","BEST_FPERIOD_OVERRIDE=FQ","FILING_STATUS=OR","EQY_CONSOLIDATED=Y","Sort=A","Dates=H","DateFormat=P","Fill=—","Direction=H","UseDPDF=Y")</f>
        <v>#NAME?</v>
      </c>
      <c r="BB149" s="2" t="e">
        <f ca="1">_xll.BDH($C$128,"GEO_GROW_TOT_SHRHLDR_EQY","FQ1 2018","FQ1 2018","Currency=INR","Period=FQ","BEST_FPERIOD_OVERRIDE=FQ","FILING_STATUS=OR","EQY_CONSOLIDATED=Y","Sort=A","Dates=H","DateFormat=P","Fill=—","Direction=H","UseDPDF=Y")</f>
        <v>#NAME?</v>
      </c>
      <c r="BC149" s="2" t="e">
        <f ca="1">_xll.BDH($C$128,"TOTAL_CAPITAL_5_YEAR_GROWTH","FQ1 2018","FQ1 2018","Currency=INR","Period=FQ","BEST_FPERIOD_OVERRIDE=FQ","FILING_STATUS=OR","EQY_CONSOLIDATED=Y","Sort=A","Dates=H","DateFormat=P","Fill=—","Direction=H","UseDPDF=Y")</f>
        <v>#NAME?</v>
      </c>
      <c r="BD149" s="2" t="e">
        <f ca="1">_xll.BDH($C$128,"GEO_GROW_BOOK_VAL","FQ1 2018","FQ1 2018","Currency=INR","Period=FQ","BEST_FPERIOD_OVERRIDE=FQ","FILING_STATUS=OR","EQY_CONSOLIDATED=Y","Sort=A","Dates=H","DateFormat=P","Fill=—","Direction=H","UseDPDF=Y")</f>
        <v>#NAME?</v>
      </c>
      <c r="BE149" s="2" t="e">
        <f ca="1">_xll.BDH($C$128,"GEO_GROW_CASH_OPER_ACT","FQ1 2018","FQ1 2018","Currency=INR","Period=FQ","BEST_FPERIOD_OVERRIDE=FQ","FILING_STATUS=OR","EQY_CONSOLIDATED=Y","Sort=A","Dates=H","DateFormat=P","Fill=—","Direction=H","UseDPDF=Y")</f>
        <v>#NAME?</v>
      </c>
      <c r="BF149" s="2" t="e">
        <f ca="1">_xll.BDH($C$128,"REVENUE_SEQUENTIAL_GROWTH","FQ1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49" s="2" t="e">
        <f ca="1">_xll.BDH($C$128,"EBITDA_SEQUENTIAL_GROWTH","FQ1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49" s="2" t="e">
        <f ca="1">_xll.BDH($C$128,"OPERATING_INCOME_SEQ_GROWTH","FQ1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49" s="2" t="e">
        <f ca="1">_xll.BDH($C$128,"NET_INCOME_TO_COMMON_SEQ_GROWTH","FQ1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49" s="2" t="e">
        <f ca="1">_xll.BDH($C$128,"EPS_DILUTED_SEQUENTIAL_GROWTH","FQ1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49" s="2" t="e">
        <f ca="1">_xll.BDH($C$128,"DPS_SEQUENTIAL_GROWTH","FQ1 2018","FQ1 2018","Currency=INR","Period=FQ","BEST_FPERIOD_OVERRIDE=FQ","FILING_STATUS=OR","EQY_CONSOLIDATED=Y","Sort=A","Dates=H","DateFormat=P","Fill=—","Direction=H","UseDPDF=Y")</f>
        <v>#NAME?</v>
      </c>
      <c r="BL149" s="2" t="e">
        <f ca="1">_xll.BDH($C$128,"ACCOUNTS_RECEIVABLE_SEQ_GROWTH","FQ1 2018","FQ1 2018","Currency=INR","Period=FQ","BEST_FPERIOD_OVERRIDE=FQ","FILING_STATUS=OR","EQY_CONSOLIDATED=Y","Sort=A","Dates=H","DateFormat=P","Fill=—","Direction=H","UseDPDF=Y")</f>
        <v>#NAME?</v>
      </c>
      <c r="BM149" s="2" t="e">
        <f ca="1">_xll.BDH($C$128,"INVENTORY_SEQUENTIAL_GROWTH","FQ1 2018","FQ1 2018","Currency=INR","Period=FQ","BEST_FPERIOD_OVERRIDE=FQ","FILING_STATUS=OR","EQY_CONSOLIDATED=Y","Sort=A","Dates=H","DateFormat=P","Fill=—","Direction=H","UseDPDF=Y")</f>
        <v>#NAME?</v>
      </c>
      <c r="BN149" s="2" t="e">
        <f ca="1">_xll.BDH($C$128,"FIXED_ASSETS_SEQUENTIAL_GROWTH","FQ1 2018","FQ1 2018","Currency=INR","Period=FQ","BEST_FPERIOD_OVERRIDE=FQ","FILING_STATUS=OR","EQY_CONSOLIDATED=Y","Sort=A","Dates=H","DateFormat=P","Fill=—","Direction=H","UseDPDF=Y")</f>
        <v>#NAME?</v>
      </c>
      <c r="BO149" s="2" t="e">
        <f ca="1">_xll.BDH($C$128,"TOTAL_ASSETS_SEQUENTIAL_GROWTH","FQ1 2018","FQ1 2018","Currency=INR","Period=FQ","BEST_FPERIOD_OVERRIDE=FQ","FILING_STATUS=OR","EQY_CONSOLIDATED=Y","Sort=A","Dates=H","DateFormat=P","Fill=—","Direction=H","UseDPDF=Y")</f>
        <v>#NAME?</v>
      </c>
      <c r="BP149" s="2" t="e">
        <f ca="1">_xll.BDH($C$128,"MODIFIED_WORKING_CPTL_SEQ_GRWTH","FQ1 2018","FQ1 2018","Currency=INR","Period=FQ","BEST_FPERIOD_OVERRIDE=FQ","FILING_STATUS=OR","EQY_CONSOLIDATED=Y","Sort=A","Dates=H","DateFormat=P","Fill=—","Direction=H","UseDPDF=Y")</f>
        <v>#NAME?</v>
      </c>
      <c r="BQ149" s="2" t="e">
        <f ca="1">_xll.BDH($C$128,"WORKING_CAPITAL_SEQ_GROWTH","FQ1 2018","FQ1 2018","Currency=INR","Period=FQ","BEST_FPERIOD_OVERRIDE=FQ","FILING_STATUS=OR","EQY_CONSOLIDATED=Y","Sort=A","Dates=H","DateFormat=P","Fill=—","Direction=H","UseDPDF=Y")</f>
        <v>#NAME?</v>
      </c>
      <c r="BR149" s="2" t="e">
        <f ca="1">_xll.BDH($C$128,"ACCOUNTS_PAYABLE_SEQ_GROWTH","FQ1 2018","FQ1 2018","Currency=INR","Period=FQ","BEST_FPERIOD_OVERRIDE=FQ","FILING_STATUS=OR","EQY_CONSOLIDATED=Y","Sort=A","Dates=H","DateFormat=P","Fill=—","Direction=H","UseDPDF=Y")</f>
        <v>#NAME?</v>
      </c>
      <c r="BS149" s="2" t="e">
        <f ca="1">_xll.BDH($C$128,"ST_DEBT_SEQUENTIAL_GROWTH","FQ1 2018","FQ1 2018","Currency=INR","Period=FQ","BEST_FPERIOD_OVERRIDE=FQ","FILING_STATUS=OR","EQY_CONSOLIDATED=Y","Sort=A","Dates=H","DateFormat=P","Fill=—","Direction=H","UseDPDF=Y")</f>
        <v>#NAME?</v>
      </c>
      <c r="BT149" s="2" t="e">
        <f ca="1">_xll.BDH($C$128,"TOTAL_DEBT_SEQUENTIAL_GROWTH","FQ1 2018","FQ1 2018","Currency=INR","Period=FQ","BEST_FPERIOD_OVERRIDE=FQ","FILING_STATUS=OR","EQY_CONSOLIDATED=Y","Sort=A","Dates=H","DateFormat=P","Fill=—","Direction=H","UseDPDF=Y")</f>
        <v>#NAME?</v>
      </c>
      <c r="BU149" s="2" t="e">
        <f ca="1">_xll.BDH($C$128,"TOTAL_EQUITY_SEQUENTIAL_GROWTH","FQ1 2018","FQ1 2018","Currency=INR","Period=FQ","BEST_FPERIOD_OVERRIDE=FQ","FILING_STATUS=OR","EQY_CONSOLIDATED=Y","Sort=A","Dates=H","DateFormat=P","Fill=—","Direction=H","UseDPDF=Y")</f>
        <v>#NAME?</v>
      </c>
      <c r="BV149" s="2" t="e">
        <f ca="1">_xll.BDH($C$128,"TOTAL_CAPITAL_SEQUENTIAL_GROWTH","FQ1 2018","FQ1 2018","Currency=INR","Period=FQ","BEST_FPERIOD_OVERRIDE=FQ","FILING_STATUS=OR","EQY_CONSOLIDATED=Y","Sort=A","Dates=H","DateFormat=P","Fill=—","Direction=H","UseDPDF=Y")</f>
        <v>#NAME?</v>
      </c>
      <c r="BW149" s="2" t="e">
        <f ca="1">_xll.BDH($C$128,"BPS_SEQUENTIAL_GROWTH","FQ1 2018","FQ1 2018","Currency=INR","Period=FQ","BEST_FPERIOD_OVERRIDE=FQ","FILING_STATUS=OR","EQY_CONSOLIDATED=Y","Sort=A","Dates=H","DateFormat=P","Fill=—","Direction=H","UseDPDF=Y")</f>
        <v>#NAME?</v>
      </c>
      <c r="BX149" s="2" t="e">
        <f ca="1">_xll.BDH($C$128,"CFO_SEQUENTIAL_GROWTH","FQ1 2018","FQ1 2018","Currency=INR","Period=FQ","BEST_FPERIOD_OVERRIDE=FQ","FILING_STATUS=OR","EQY_CONSOLIDATED=Y","Sort=A","Dates=H","DateFormat=P","Fill=—","Direction=H","UseDPDF=Y")</f>
        <v>#NAME?</v>
      </c>
      <c r="BY149" s="3" t="e">
        <f ca="1">_xll.BDH($C$128,"SHORT_AND_LONG_TERM_DEBT","FQ1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49" s="3" t="e">
        <f ca="1">_xll.BDH($C$128,"BS_ST_BORROW","FQ1 2018","FQ1 2018","Currency=INR","Period=FQ","BEST_FPERIOD_OVERRIDE=FQ","FILING_STATUS=OR","EQY_CONSOLIDATED=Y","SCALING_FORMAT=MLN","Sort=A","Dates=H","DateFormat=P","Fill=—","Direction=H","UseDPDF=Y")</f>
        <v>#NAME?</v>
      </c>
      <c r="CA149" s="3" t="e">
        <f ca="1">_xll.BDH($C$128,"BS_LT_BORROW","FQ1 2018","FQ1 2018","Currency=INR","Period=FQ","BEST_FPERIOD_OVERRIDE=FQ","FILING_STATUS=OR","EQY_CONSOLIDATED=Y","SCALING_FORMAT=MLN","Sort=A","Dates=H","DateFormat=P","Fill=—","Direction=H","UseDPDF=Y")</f>
        <v>#NAME?</v>
      </c>
      <c r="CB149" s="2" t="e">
        <f ca="1">_xll.BDH($C$128,"TOT_DEBT_TO_EBITDA","FQ1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49" s="2" t="e">
        <f ca="1">_xll.BDH($C$128,"NET_DEBT_TO_EBITDA","FQ1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49" s="2" t="e">
        <f ca="1">_xll.BDH($C$128,"TOTAL_DEBT_TO_EBIT","FQ1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49" s="2" t="e">
        <f ca="1">_xll.BDH($C$128,"NET_DEBT_TO_EBIT","FQ1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49" s="2" t="e">
        <f ca="1">_xll.BDH($C$128,"EBITDA_TO_INTEREST_EXPN","FQ1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49" s="2" t="e">
        <f ca="1">_xll.BDH($C$128,"COM_EQY_TO_TOT_ASSET","FQ1 2018","FQ1 2018","Currency=INR","Period=FQ","BEST_FPERIOD_OVERRIDE=FQ","FILING_STATUS=OR","EQY_CONSOLIDATED=Y","Sort=A","Dates=H","DateFormat=P","Fill=—","Direction=H","UseDPDF=Y")</f>
        <v>#NAME?</v>
      </c>
      <c r="CH149" s="2" t="e">
        <f ca="1">_xll.BDH($C$128,"LT_DEBT_TO_TOT_EQY","FQ1 2018","FQ1 2018","Currency=INR","Period=FQ","BEST_FPERIOD_OVERRIDE=FQ","FILING_STATUS=OR","EQY_CONSOLIDATED=Y","Sort=A","Dates=H","DateFormat=P","Fill=—","Direction=H","UseDPDF=Y")</f>
        <v>#NAME?</v>
      </c>
      <c r="CI149" s="2" t="e">
        <f ca="1">_xll.BDH($C$128,"LT_DEBT_TO_TOT_CAP","FQ1 2018","FQ1 2018","Currency=INR","Period=FQ","BEST_FPERIOD_OVERRIDE=FQ","FILING_STATUS=OR","EQY_CONSOLIDATED=Y","Sort=A","Dates=H","DateFormat=P","Fill=—","Direction=H","UseDPDF=Y")</f>
        <v>#NAME?</v>
      </c>
      <c r="CJ149" s="2" t="e">
        <f ca="1">_xll.BDH($C$128,"LT_DEBT_TO_TOT_ASSET","FQ1 2018","FQ1 2018","Currency=INR","Period=FQ","BEST_FPERIOD_OVERRIDE=FQ","FILING_STATUS=OR","EQY_CONSOLIDATED=Y","Sort=A","Dates=H","DateFormat=P","Fill=—","Direction=H","UseDPDF=Y")</f>
        <v>#NAME?</v>
      </c>
      <c r="CK149" s="2" t="e">
        <f ca="1">_xll.BDH($C$128,"TOT_DEBT_TO_TOT_EQY","FQ1 2018","FQ1 2018","Currency=INR","Period=FQ","BEST_FPERIOD_OVERRIDE=FQ","FILING_STATUS=OR","EQY_CONSOLIDATED=Y","Sort=A","Dates=H","DateFormat=P","Fill=—","Direction=H","UseDPDF=Y")</f>
        <v>#NAME?</v>
      </c>
      <c r="CL149" s="2" t="e">
        <f ca="1">_xll.BDH($C$128,"TOT_DEBT_TO_TOT_CAP","FQ1 2018","FQ1 2018","Currency=INR","Period=FQ","BEST_FPERIOD_OVERRIDE=FQ","FILING_STATUS=OR","EQY_CONSOLIDATED=Y","Sort=A","Dates=H","DateFormat=P","Fill=—","Direction=H","UseDPDF=Y")</f>
        <v>#NAME?</v>
      </c>
      <c r="CM149" s="2" t="e">
        <f ca="1">_xll.BDH($C$128,"TOT_DEBT_TO_TOT_ASSET","FQ1 2018","FQ1 2018","Currency=INR","Period=FQ","BEST_FPERIOD_OVERRIDE=FQ","FILING_STATUS=OR","EQY_CONSOLIDATED=Y","Sort=A","Dates=H","DateFormat=P","Fill=—","Direction=H","UseDPDF=Y")</f>
        <v>#NAME?</v>
      </c>
      <c r="CN149" s="2" t="e">
        <f ca="1">_xll.BDH($C$128,"NET_DEBT_TO_SHRHLDR_EQTY","FQ1 2018","FQ1 2018","Currency=INR","Period=FQ","BEST_FPERIOD_OVERRIDE=FQ","FILING_STATUS=OR","EQY_CONSOLIDATED=Y","Sort=A","Dates=H","DateFormat=P","Fill=—","Direction=H","UseDPDF=Y")</f>
        <v>#NAME?</v>
      </c>
      <c r="CO149" s="2" t="e">
        <f ca="1">_xll.BDH($C$128,"NET_DEBT_%_CAPITAL","FQ1 2018","FQ1 2018","Currency=INR","Period=FQ","BEST_FPERIOD_OVERRIDE=FQ","FILING_STATUS=OR","EQY_CONSOLIDATED=Y","Sort=A","Dates=H","DateFormat=P","Fill=—","Direction=H","UseDPDF=Y")</f>
        <v>#NAME?</v>
      </c>
      <c r="CP149" s="3" t="e">
        <f ca="1">_xll.BDH($C$128,"EBITDA","FQ1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49" s="3" t="e">
        <f ca="1">_xll.BDH($C$128,"EBITDA_AFTER_CAPEX","FQ1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49" s="3" t="e">
        <f ca="1">_xll.BDH($C$128,"IS_OPER_INC","FQ1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49" s="2" t="e">
        <f ca="1">_xll.BDH($C$128,"CASH_RATIO","FQ1 2018","FQ1 2018","Currency=INR","Period=FQ","BEST_FPERIOD_OVERRIDE=FQ","FILING_STATUS=OR","EQY_CONSOLIDATED=Y","Sort=A","Dates=H","DateFormat=P","Fill=—","Direction=H","UseDPDF=Y")</f>
        <v>#NAME?</v>
      </c>
      <c r="CT149" s="2" t="e">
        <f ca="1">_xll.BDH($C$128,"CUR_RATIO","FQ1 2018","FQ1 2018","Currency=INR","Period=FQ","BEST_FPERIOD_OVERRIDE=FQ","FILING_STATUS=OR","EQY_CONSOLIDATED=Y","Sort=A","Dates=H","DateFormat=P","Fill=—","Direction=H","UseDPDF=Y")</f>
        <v>#NAME?</v>
      </c>
      <c r="CU149" s="2" t="e">
        <f ca="1">_xll.BDH($C$128,"QUICK_RATIO","FQ1 2018","FQ1 2018","Currency=INR","Period=FQ","BEST_FPERIOD_OVERRIDE=FQ","FILING_STATUS=OR","EQY_CONSOLIDATED=Y","Sort=A","Dates=H","DateFormat=P","Fill=—","Direction=H","UseDPDF=Y")</f>
        <v>#NAME?</v>
      </c>
      <c r="CV149" s="2" t="e">
        <f ca="1">_xll.BDH($C$128,"ALTMAN_Z_SCORE","FQ1 2018","FQ1 2018","Currency=INR","Period=FQ","BEST_FPERIOD_OVERRIDE=FQ","FILING_STATUS=OR","EQY_CONSOLIDATED=Y","Sort=A","Dates=H","DateFormat=P","Fill=—","Direction=H","UseDPDF=Y")</f>
        <v>#NAME?</v>
      </c>
      <c r="CW149" s="4" t="e">
        <f ca="1">_xll.BDH($C$128,"ACCT_RCV_TURN","FQ1 2018","FQ1 2018","Currency=INR","Period=FQ","BEST_FPERIOD_OVERRIDE=FQ","FILING_STATUS=OR","EQY_CONSOLIDATED=Y","FA_ADJUSTED=GAAP","Sort=A","Dates=H","DateFormat=P","Fill=—","Direction=H","UseDPDF=Y")</f>
        <v>#NAME?</v>
      </c>
      <c r="CX149" s="2" t="e">
        <f ca="1">_xll.BDH($C$128,"ACCT_RCV_DAYS","FQ1 2018","FQ1 2018","Currency=INR","Period=FQ","BEST_FPERIOD_OVERRIDE=FQ","FILING_STATUS=OR","EQY_CONSOLIDATED=Y","FA_ADJUSTED=GAAP","Sort=A","Dates=H","DateFormat=P","Fill=—","Direction=H","UseDPDF=Y")</f>
        <v>#NAME?</v>
      </c>
      <c r="CY149" s="4" t="e">
        <f ca="1">_xll.BDH($C$128,"INVENT_TURN","FQ1 2018","FQ1 2018","Currency=INR","Period=FQ","BEST_FPERIOD_OVERRIDE=FQ","FILING_STATUS=OR","EQY_CONSOLIDATED=Y","FA_ADJUSTED=GAAP","Sort=A","Dates=H","DateFormat=P","Fill=—","Direction=H","UseDPDF=Y")</f>
        <v>#NAME?</v>
      </c>
      <c r="CZ149" s="2" t="e">
        <f ca="1">_xll.BDH($C$128,"INVENT_DAYS","FQ1 2018","FQ1 2018","Currency=INR","Period=FQ","BEST_FPERIOD_OVERRIDE=FQ","FILING_STATUS=OR","EQY_CONSOLIDATED=Y","FA_ADJUSTED=GAAP","Sort=A","Dates=H","DateFormat=P","Fill=—","Direction=H","UseDPDF=Y")</f>
        <v>#NAME?</v>
      </c>
      <c r="DA149" s="4" t="e">
        <f ca="1">_xll.BDH($C$128,"ACCOUNTS_PAYABLE_TURNOVER","FQ1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49" s="2" t="e">
        <f ca="1">_xll.BDH($C$128,"ACCOUNTS_PAYABLE_TURNOVER_DAYS","FQ1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49" s="4" t="e">
        <f ca="1">_xll.BDH($C$128,"CASH_CONVERSION_CYCLE","FQ1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49" s="4" t="e">
        <f ca="1">_xll.BDH($C$128,"INV_TO_CASH_DAYS","FQ1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49" s="5" t="e">
        <f ca="1">_xll.BDH($C$128,"BS_INVENTORIES","FQ1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49" s="3" t="e">
        <f ca="1">_xll.BDH($C$128,"INVTRY_RAW_MATERIALS","FQ1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49" s="3" t="e">
        <f ca="1">_xll.BDH($C$128,"INVTRY_IN_PROGRESS","FQ1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49" s="3" t="e">
        <f ca="1">_xll.BDH($C$128,"INVTRY_FINISHED_GOODS","FQ1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49" s="3" t="e">
        <f ca="1">_xll.BDH($C$128,"BS_OTHER_INV","FQ1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50" spans="1:113" x14ac:dyDescent="0.3">
      <c r="A150" s="6"/>
      <c r="B150" s="6"/>
      <c r="C150" s="6"/>
      <c r="D150" s="6"/>
      <c r="E150" t="s">
        <v>79</v>
      </c>
      <c r="F150" t="e">
        <f ca="1">_xll.BDH($C$128,"RETURN_COM_EQY","FQ2 2018","FQ2 2018","Currency=INR","Period=FQ","BEST_FPERIOD_OVERRIDE=FQ","FILING_STATUS=OR","EQY_CONSOLIDATED=Y","FA_ADJUSTED=GAAP","Sort=A","Dates=H","DateFormat=P","Fill=—","Direction=H","UseDPDF=Y")</f>
        <v>#NAME?</v>
      </c>
      <c r="G150" t="e">
        <f ca="1">_xll.BDH($C$128,"RETURN_ON_ASSET","FQ2 2018","FQ2 2018","Currency=INR","Period=FQ","BEST_FPERIOD_OVERRIDE=FQ","FILING_STATUS=OR","EQY_CONSOLIDATED=Y","FA_ADJUSTED=GAAP","Sort=A","Dates=H","DateFormat=P","Fill=—","Direction=H","UseDPDF=Y")</f>
        <v>#NAME?</v>
      </c>
      <c r="H150" t="e">
        <f ca="1">_xll.BDH($C$128,"RETURN_ON_CAP","FQ2 2018","FQ2 2018","Currency=INR","Period=FQ","BEST_FPERIOD_OVERRIDE=FQ","FILING_STATUS=OR","EQY_CONSOLIDATED=Y","FA_ADJUSTED=GAAP","Sort=A","Dates=H","DateFormat=P","Fill=—","Direction=H","UseDPDF=Y")</f>
        <v>#NAME?</v>
      </c>
      <c r="I150" t="e">
        <f ca="1">_xll.BDH($C$128,"RETURN_ON_INV_CAPITAL","FQ2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50" t="e">
        <f ca="1">_xll.BDH($C$128,"EBITDA_TO_REVENUE","FQ2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150" t="e">
        <f ca="1">_xll.BDH($C$128,"OPER_MARGIN","FQ2 2018","FQ2 2018","Currency=INR","Period=FQ","BEST_FPERIOD_OVERRIDE=FQ","FILING_STATUS=OR","EQY_CONSOLIDATED=Y","FA_ADJUSTED=GAAP","Sort=A","Dates=H","DateFormat=P","Fill=—","Direction=H","UseDPDF=Y")</f>
        <v>#NAME?</v>
      </c>
      <c r="L150" t="e">
        <f ca="1">_xll.BDH($C$128,"INCREMENTAL_OPERATING_MARGIN","FQ2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50" t="e">
        <f ca="1">_xll.BDH($C$128,"PRETAX_INC_TO_NET_SALES","FQ2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50" t="e">
        <f ca="1">_xll.BDH($C$128,"INC_BEF_XO_ITEMS_TO_NET_SALES","FQ2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50" t="e">
        <f ca="1">_xll.BDH($C$128,"PROF_MARGIN","FQ2 2018","FQ2 2018","Currency=INR","Period=FQ","BEST_FPERIOD_OVERRIDE=FQ","FILING_STATUS=OR","EQY_CONSOLIDATED=Y","FA_ADJUSTED=GAAP","Sort=A","Dates=H","DateFormat=P","Fill=—","Direction=H","UseDPDF=Y")</f>
        <v>#NAME?</v>
      </c>
      <c r="P150" t="e">
        <f ca="1">_xll.BDH($C$128,"NET_INCOME_TO_COMMON_MARGIN","FQ2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50" t="e">
        <f ca="1">_xll.BDH($C$128,"EFF_TAX_RATE","FQ2 2018","FQ2 2018","Currency=INR","Period=FQ","BEST_FPERIOD_OVERRIDE=FQ","FILING_STATUS=OR","EQY_CONSOLIDATED=Y","FA_ADJUSTED=GAAP","Sort=A","Dates=H","DateFormat=P","Fill=—","Direction=H","UseDPDF=Y")</f>
        <v>#NAME?</v>
      </c>
      <c r="R150" t="e">
        <f ca="1">_xll.BDH($C$128,"DVD_PAYOUT_RATIO","FQ2 2018","FQ2 2018","Currency=INR","Period=FQ","BEST_FPERIOD_OVERRIDE=FQ","FILING_STATUS=OR","EQY_CONSOLIDATED=Y","FA_ADJUSTED=GAAP","Sort=A","Dates=H","DateFormat=P","Fill=—","Direction=H","UseDPDF=Y")</f>
        <v>#NAME?</v>
      </c>
      <c r="S150" t="e">
        <f ca="1">_xll.BDH($C$128,"SUSTAIN_GROWTH_RT","FQ2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150" s="2" t="e">
        <f ca="1">_xll.BDH($C$128,"SALES_GROWTH","FQ2 2018","FQ2 2018","Currency=INR","Period=FQ","BEST_FPERIOD_OVERRIDE=FQ","FILING_STATUS=OR","EQY_CONSOLIDATED=Y","FA_ADJUSTED=GAAP","Sort=A","Dates=H","DateFormat=P","Fill=—","Direction=H","UseDPDF=Y")</f>
        <v>#NAME?</v>
      </c>
      <c r="U150" s="2" t="e">
        <f ca="1">_xll.BDH($C$128,"EBITDA_GROWTH","FQ2 2018","FQ2 2018","Currency=INR","Period=FQ","BEST_FPERIOD_OVERRIDE=FQ","FILING_STATUS=OR","EQY_CONSOLIDATED=Y","FA_ADJUSTED=GAAP","Sort=A","Dates=H","DateFormat=P","Fill=—","Direction=H","UseDPDF=Y")</f>
        <v>#NAME?</v>
      </c>
      <c r="V150" s="2" t="e">
        <f ca="1">_xll.BDH($C$128,"OPER_INC_GROWTH","FQ2 2018","FQ2 2018","Currency=INR","Period=FQ","BEST_FPERIOD_OVERRIDE=FQ","FILING_STATUS=OR","EQY_CONSOLIDATED=Y","FA_ADJUSTED=GAAP","Sort=A","Dates=H","DateFormat=P","Fill=—","Direction=H","UseDPDF=Y")</f>
        <v>#NAME?</v>
      </c>
      <c r="W150" s="2" t="e">
        <f ca="1">_xll.BDH($C$128,"EARN_FOR_COM_GROWTH","FQ2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50" s="2" t="e">
        <f ca="1">_xll.BDH($C$128,"DILUTED_EPS_AFT_XO_ITEMS_GROWTH","FQ2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50" s="2" t="e">
        <f ca="1">_xll.BDH($C$128,"DIVIDEND_PER_SHARE_1_YEAR_GROWTH","FQ2 2018","FQ2 2018","Currency=INR","Period=FQ","BEST_FPERIOD_OVERRIDE=FQ","FILING_STATUS=OR","EQY_CONSOLIDATED=Y","Sort=A","Dates=H","DateFormat=P","Fill=—","Direction=H","UseDPDF=Y")</f>
        <v>#NAME?</v>
      </c>
      <c r="Z150" s="2" t="e">
        <f ca="1">_xll.BDH($C$128,"ACCOUNTS_RECEIVABLE_GROWTH","FQ2 2018","FQ2 2018","Currency=INR","Period=FQ","BEST_FPERIOD_OVERRIDE=FQ","FILING_STATUS=OR","EQY_CONSOLIDATED=Y","Sort=A","Dates=H","DateFormat=P","Fill=—","Direction=H","UseDPDF=Y")</f>
        <v>#NAME?</v>
      </c>
      <c r="AA150" s="2" t="e">
        <f ca="1">_xll.BDH($C$128,"INVENTORY_GROWTH","FQ2 2018","FQ2 2018","Currency=INR","Period=FQ","BEST_FPERIOD_OVERRIDE=FQ","FILING_STATUS=OR","EQY_CONSOLIDATED=Y","Sort=A","Dates=H","DateFormat=P","Fill=—","Direction=H","UseDPDF=Y")</f>
        <v>#NAME?</v>
      </c>
      <c r="AB150" s="2" t="e">
        <f ca="1">_xll.BDH($C$128,"NET_FIXED_ASSETS_1_YEAR_GROWTH","FQ2 2018","FQ2 2018","Currency=INR","Period=FQ","BEST_FPERIOD_OVERRIDE=FQ","FILING_STATUS=OR","EQY_CONSOLIDATED=Y","Sort=A","Dates=H","DateFormat=P","Fill=—","Direction=H","UseDPDF=Y")</f>
        <v>#NAME?</v>
      </c>
      <c r="AC150" s="2" t="e">
        <f ca="1">_xll.BDH($C$128,"ASSET_GROWTH","FQ2 2018","FQ2 2018","Currency=INR","Period=FQ","BEST_FPERIOD_OVERRIDE=FQ","FILING_STATUS=OR","EQY_CONSOLIDATED=Y","Sort=A","Dates=H","DateFormat=P","Fill=—","Direction=H","UseDPDF=Y")</f>
        <v>#NAME?</v>
      </c>
      <c r="AD150" s="2" t="e">
        <f ca="1">_xll.BDH($C$128,"MODIFIED_WORK_CAP_GROWTH","FQ2 2018","FQ2 2018","Currency=INR","Period=FQ","BEST_FPERIOD_OVERRIDE=FQ","FILING_STATUS=OR","EQY_CONSOLIDATED=Y","Sort=A","Dates=H","DateFormat=P","Fill=—","Direction=H","UseDPDF=Y")</f>
        <v>#NAME?</v>
      </c>
      <c r="AE150" s="2" t="e">
        <f ca="1">_xll.BDH($C$128,"WORK_CAP_GROWTH","FQ2 2018","FQ2 2018","Currency=INR","Period=FQ","BEST_FPERIOD_OVERRIDE=FQ","FILING_STATUS=OR","EQY_CONSOLIDATED=Y","Sort=A","Dates=H","DateFormat=P","Fill=—","Direction=H","UseDPDF=Y")</f>
        <v>#NAME?</v>
      </c>
      <c r="AF150" s="2" t="e">
        <f ca="1">_xll.BDH($C$128,"ACCOUNTS_PAYABLE_GROWTH_1YR","FQ2 2018","FQ2 2018","Currency=INR","Period=FQ","BEST_FPERIOD_OVERRIDE=FQ","FILING_STATUS=OR","EQY_CONSOLIDATED=Y","Sort=A","Dates=H","DateFormat=P","Fill=—","Direction=H","UseDPDF=Y")</f>
        <v>#NAME?</v>
      </c>
      <c r="AG150" s="2" t="e">
        <f ca="1">_xll.BDH($C$128,"SHORT_TERM_DEBT_1_YEAR_GROWTH","FQ2 2018","FQ2 2018","Currency=INR","Period=FQ","BEST_FPERIOD_OVERRIDE=FQ","FILING_STATUS=OR","EQY_CONSOLIDATED=Y","Sort=A","Dates=H","DateFormat=P","Fill=—","Direction=H","UseDPDF=Y")</f>
        <v>#NAME?</v>
      </c>
      <c r="AH150" s="2" t="e">
        <f ca="1">_xll.BDH($C$128,"TOTAL_DEBT_1_YEAR_GROWTH","FQ2 2018","FQ2 2018","Currency=INR","Period=FQ","BEST_FPERIOD_OVERRIDE=FQ","FILING_STATUS=OR","EQY_CONSOLIDATED=Y","Sort=A","Dates=H","DateFormat=P","Fill=—","Direction=H","UseDPDF=Y")</f>
        <v>#NAME?</v>
      </c>
      <c r="AI150" s="2" t="e">
        <f ca="1">_xll.BDH($C$128,"TOTAL_EQUITY_1_YEAR_GROWTH","FQ2 2018","FQ2 2018","Currency=INR","Period=FQ","BEST_FPERIOD_OVERRIDE=FQ","FILING_STATUS=OR","EQY_CONSOLIDATED=Y","Sort=A","Dates=H","DateFormat=P","Fill=—","Direction=H","UseDPDF=Y")</f>
        <v>#NAME?</v>
      </c>
      <c r="AJ150" s="2" t="e">
        <f ca="1">_xll.BDH($C$128,"GROWTH_IN_CAP","FQ2 2018","FQ2 2018","Currency=INR","Period=FQ","BEST_FPERIOD_OVERRIDE=FQ","FILING_STATUS=OR","EQY_CONSOLIDATED=Y","Sort=A","Dates=H","DateFormat=P","Fill=—","Direction=H","UseDPDF=Y")</f>
        <v>#NAME?</v>
      </c>
      <c r="AK150" s="2" t="e">
        <f ca="1">_xll.BDH($C$128,"BVPS_GROWTH","FQ2 2018","FQ2 2018","Currency=INR","Period=FQ","BEST_FPERIOD_OVERRIDE=FQ","FILING_STATUS=OR","EQY_CONSOLIDATED=Y","Sort=A","Dates=H","DateFormat=P","Fill=—","Direction=H","UseDPDF=Y")</f>
        <v>#NAME?</v>
      </c>
      <c r="AL150" s="2" t="e">
        <f ca="1">_xll.BDH($C$128,"CASH_FLOW_GROWTH","FQ2 2018","FQ2 2018","Currency=INR","Period=FQ","BEST_FPERIOD_OVERRIDE=FQ","FILING_STATUS=OR","EQY_CONSOLIDATED=Y","Sort=A","Dates=H","DateFormat=P","Fill=—","Direction=H","UseDPDF=Y")</f>
        <v>#NAME?</v>
      </c>
      <c r="AM150" s="2" t="e">
        <f ca="1">_xll.BDH($C$128,"GEO_GROW_NET_SALES","FQ2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50" s="2" t="e">
        <f ca="1">_xll.BDH($C$128,"GEO_GROW_EBITDA","FQ2 2018","FQ2 2018","Currency=INR","Period=FQ","BEST_FPERIOD_OVERRIDE=FQ","FILING_STATUS=OR","EQY_CONSOLIDATED=Y","FA_ADJUSTED=GAAP","Sort=A","Dates=H","DateFormat=P","Fill=—","Direction=H","UseDPDF=Y")</f>
        <v>#NAME?</v>
      </c>
      <c r="AO150" s="2" t="e">
        <f ca="1">_xll.BDH($C$128,"GEO_GROW_OPER_INC","FQ2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50" s="2" t="e">
        <f ca="1">_xll.BDH($C$128,"NET_INCOME_TO_COMMON_5_YR_GROWTH","FQ2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50" s="2" t="e">
        <f ca="1">_xll.BDH($C$128,"5Y_GEO_GROWTH_DILUTED_EPS","FQ2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50" s="2" t="e">
        <f ca="1">_xll.BDH($C$128,"GEO_GROW_DVD_PER_SH","FQ2 2018","FQ2 2018","Currency=INR","Period=FQ","BEST_FPERIOD_OVERRIDE=FQ","FILING_STATUS=OR","EQY_CONSOLIDATED=Y","Sort=A","Dates=H","DateFormat=P","Fill=—","Direction=H","UseDPDF=Y")</f>
        <v>#NAME?</v>
      </c>
      <c r="AS150" s="2" t="e">
        <f ca="1">_xll.BDH($C$128,"ACCOUNTS_RECEIVABLE_5_YR_GROWTH","FQ2 2018","FQ2 2018","Currency=INR","Period=FQ","BEST_FPERIOD_OVERRIDE=FQ","FILING_STATUS=OR","EQY_CONSOLIDATED=Y","Sort=A","Dates=H","DateFormat=P","Fill=—","Direction=H","UseDPDF=Y")</f>
        <v>#NAME?</v>
      </c>
      <c r="AT150" s="2" t="e">
        <f ca="1">_xll.BDH($C$128,"INVENTORY_5_YEAR_GROWTH","FQ2 2018","FQ2 2018","Currency=INR","Period=FQ","BEST_FPERIOD_OVERRIDE=FQ","FILING_STATUS=OR","EQY_CONSOLIDATED=Y","Sort=A","Dates=H","DateFormat=P","Fill=—","Direction=H","UseDPDF=Y")</f>
        <v>#NAME?</v>
      </c>
      <c r="AU150" s="2" t="e">
        <f ca="1">_xll.BDH($C$128,"NET_FIXED_ASSETS_5_YEAR_GROWTH","FQ2 2018","FQ2 2018","Currency=INR","Period=FQ","BEST_FPERIOD_OVERRIDE=FQ","FILING_STATUS=OR","EQY_CONSOLIDATED=Y","Sort=A","Dates=H","DateFormat=P","Fill=—","Direction=H","UseDPDF=Y")</f>
        <v>#NAME?</v>
      </c>
      <c r="AV150" s="2" t="e">
        <f ca="1">_xll.BDH($C$128,"GEO_GROW_TOT_ASSET","FQ2 2018","FQ2 2018","Currency=INR","Period=FQ","BEST_FPERIOD_OVERRIDE=FQ","FILING_STATUS=OR","EQY_CONSOLIDATED=Y","Sort=A","Dates=H","DateFormat=P","Fill=—","Direction=H","UseDPDF=Y")</f>
        <v>#NAME?</v>
      </c>
      <c r="AW150" s="2" t="e">
        <f ca="1">_xll.BDH($C$128,"MODIFIED_WORKING_CPTL_5YR_GRWTH","FQ2 2018","FQ2 2018","Currency=INR","Period=FQ","BEST_FPERIOD_OVERRIDE=FQ","FILING_STATUS=OR","EQY_CONSOLIDATED=Y","Sort=A","Dates=H","DateFormat=P","Fill=—","Direction=H","UseDPDF=Y")</f>
        <v>#NAME?</v>
      </c>
      <c r="AX150" s="2" t="e">
        <f ca="1">_xll.BDH($C$128,"WORKING_CAPITAL_5_YEAR_GROWTH","FQ2 2018","FQ2 2018","Currency=INR","Period=FQ","BEST_FPERIOD_OVERRIDE=FQ","FILING_STATUS=OR","EQY_CONSOLIDATED=Y","Sort=A","Dates=H","DateFormat=P","Fill=—","Direction=H","UseDPDF=Y")</f>
        <v>#NAME?</v>
      </c>
      <c r="AY150" s="2" t="e">
        <f ca="1">_xll.BDH($C$128,"ACCOUNTS_PAYABLE_5_YEAR_GROWTH","FQ2 2018","FQ2 2018","Currency=INR","Period=FQ","BEST_FPERIOD_OVERRIDE=FQ","FILING_STATUS=OR","EQY_CONSOLIDATED=Y","Sort=A","Dates=H","DateFormat=P","Fill=—","Direction=H","UseDPDF=Y")</f>
        <v>#NAME?</v>
      </c>
      <c r="AZ150" s="2" t="e">
        <f ca="1">_xll.BDH($C$128,"SHORT_TERM_DEBT_5_YEAR_GROWTH","FQ2 2018","FQ2 2018","Currency=INR","Period=FQ","BEST_FPERIOD_OVERRIDE=FQ","FILING_STATUS=OR","EQY_CONSOLIDATED=Y","Sort=A","Dates=H","DateFormat=P","Fill=—","Direction=H","UseDPDF=Y")</f>
        <v>#NAME?</v>
      </c>
      <c r="BA150" s="2" t="e">
        <f ca="1">_xll.BDH($C$128,"TOTAL_DEBT_5_YEAR_GROWTH","FQ2 2018","FQ2 2018","Currency=INR","Period=FQ","BEST_FPERIOD_OVERRIDE=FQ","FILING_STATUS=OR","EQY_CONSOLIDATED=Y","Sort=A","Dates=H","DateFormat=P","Fill=—","Direction=H","UseDPDF=Y")</f>
        <v>#NAME?</v>
      </c>
      <c r="BB150" s="2" t="e">
        <f ca="1">_xll.BDH($C$128,"GEO_GROW_TOT_SHRHLDR_EQY","FQ2 2018","FQ2 2018","Currency=INR","Period=FQ","BEST_FPERIOD_OVERRIDE=FQ","FILING_STATUS=OR","EQY_CONSOLIDATED=Y","Sort=A","Dates=H","DateFormat=P","Fill=—","Direction=H","UseDPDF=Y")</f>
        <v>#NAME?</v>
      </c>
      <c r="BC150" s="2" t="e">
        <f ca="1">_xll.BDH($C$128,"TOTAL_CAPITAL_5_YEAR_GROWTH","FQ2 2018","FQ2 2018","Currency=INR","Period=FQ","BEST_FPERIOD_OVERRIDE=FQ","FILING_STATUS=OR","EQY_CONSOLIDATED=Y","Sort=A","Dates=H","DateFormat=P","Fill=—","Direction=H","UseDPDF=Y")</f>
        <v>#NAME?</v>
      </c>
      <c r="BD150" s="2" t="e">
        <f ca="1">_xll.BDH($C$128,"GEO_GROW_BOOK_VAL","FQ2 2018","FQ2 2018","Currency=INR","Period=FQ","BEST_FPERIOD_OVERRIDE=FQ","FILING_STATUS=OR","EQY_CONSOLIDATED=Y","Sort=A","Dates=H","DateFormat=P","Fill=—","Direction=H","UseDPDF=Y")</f>
        <v>#NAME?</v>
      </c>
      <c r="BE150" s="2" t="e">
        <f ca="1">_xll.BDH($C$128,"GEO_GROW_CASH_OPER_ACT","FQ2 2018","FQ2 2018","Currency=INR","Period=FQ","BEST_FPERIOD_OVERRIDE=FQ","FILING_STATUS=OR","EQY_CONSOLIDATED=Y","Sort=A","Dates=H","DateFormat=P","Fill=—","Direction=H","UseDPDF=Y")</f>
        <v>#NAME?</v>
      </c>
      <c r="BF150" s="2" t="e">
        <f ca="1">_xll.BDH($C$128,"REVENUE_SEQUENTIAL_GROWTH","FQ2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50" s="2" t="e">
        <f ca="1">_xll.BDH($C$128,"EBITDA_SEQUENTIAL_GROWTH","FQ2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50" s="2" t="e">
        <f ca="1">_xll.BDH($C$128,"OPERATING_INCOME_SEQ_GROWTH","FQ2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50" s="2" t="e">
        <f ca="1">_xll.BDH($C$128,"NET_INCOME_TO_COMMON_SEQ_GROWTH","FQ2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50" s="2" t="e">
        <f ca="1">_xll.BDH($C$128,"EPS_DILUTED_SEQUENTIAL_GROWTH","FQ2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50" s="2" t="e">
        <f ca="1">_xll.BDH($C$128,"DPS_SEQUENTIAL_GROWTH","FQ2 2018","FQ2 2018","Currency=INR","Period=FQ","BEST_FPERIOD_OVERRIDE=FQ","FILING_STATUS=OR","EQY_CONSOLIDATED=Y","Sort=A","Dates=H","DateFormat=P","Fill=—","Direction=H","UseDPDF=Y")</f>
        <v>#NAME?</v>
      </c>
      <c r="BL150" s="2" t="e">
        <f ca="1">_xll.BDH($C$128,"ACCOUNTS_RECEIVABLE_SEQ_GROWTH","FQ2 2018","FQ2 2018","Currency=INR","Period=FQ","BEST_FPERIOD_OVERRIDE=FQ","FILING_STATUS=OR","EQY_CONSOLIDATED=Y","Sort=A","Dates=H","DateFormat=P","Fill=—","Direction=H","UseDPDF=Y")</f>
        <v>#NAME?</v>
      </c>
      <c r="BM150" s="2" t="e">
        <f ca="1">_xll.BDH($C$128,"INVENTORY_SEQUENTIAL_GROWTH","FQ2 2018","FQ2 2018","Currency=INR","Period=FQ","BEST_FPERIOD_OVERRIDE=FQ","FILING_STATUS=OR","EQY_CONSOLIDATED=Y","Sort=A","Dates=H","DateFormat=P","Fill=—","Direction=H","UseDPDF=Y")</f>
        <v>#NAME?</v>
      </c>
      <c r="BN150" s="2" t="e">
        <f ca="1">_xll.BDH($C$128,"FIXED_ASSETS_SEQUENTIAL_GROWTH","FQ2 2018","FQ2 2018","Currency=INR","Period=FQ","BEST_FPERIOD_OVERRIDE=FQ","FILING_STATUS=OR","EQY_CONSOLIDATED=Y","Sort=A","Dates=H","DateFormat=P","Fill=—","Direction=H","UseDPDF=Y")</f>
        <v>#NAME?</v>
      </c>
      <c r="BO150" s="2" t="e">
        <f ca="1">_xll.BDH($C$128,"TOTAL_ASSETS_SEQUENTIAL_GROWTH","FQ2 2018","FQ2 2018","Currency=INR","Period=FQ","BEST_FPERIOD_OVERRIDE=FQ","FILING_STATUS=OR","EQY_CONSOLIDATED=Y","Sort=A","Dates=H","DateFormat=P","Fill=—","Direction=H","UseDPDF=Y")</f>
        <v>#NAME?</v>
      </c>
      <c r="BP150" s="2" t="e">
        <f ca="1">_xll.BDH($C$128,"MODIFIED_WORKING_CPTL_SEQ_GRWTH","FQ2 2018","FQ2 2018","Currency=INR","Period=FQ","BEST_FPERIOD_OVERRIDE=FQ","FILING_STATUS=OR","EQY_CONSOLIDATED=Y","Sort=A","Dates=H","DateFormat=P","Fill=—","Direction=H","UseDPDF=Y")</f>
        <v>#NAME?</v>
      </c>
      <c r="BQ150" s="2" t="e">
        <f ca="1">_xll.BDH($C$128,"WORKING_CAPITAL_SEQ_GROWTH","FQ2 2018","FQ2 2018","Currency=INR","Period=FQ","BEST_FPERIOD_OVERRIDE=FQ","FILING_STATUS=OR","EQY_CONSOLIDATED=Y","Sort=A","Dates=H","DateFormat=P","Fill=—","Direction=H","UseDPDF=Y")</f>
        <v>#NAME?</v>
      </c>
      <c r="BR150" s="2" t="e">
        <f ca="1">_xll.BDH($C$128,"ACCOUNTS_PAYABLE_SEQ_GROWTH","FQ2 2018","FQ2 2018","Currency=INR","Period=FQ","BEST_FPERIOD_OVERRIDE=FQ","FILING_STATUS=OR","EQY_CONSOLIDATED=Y","Sort=A","Dates=H","DateFormat=P","Fill=—","Direction=H","UseDPDF=Y")</f>
        <v>#NAME?</v>
      </c>
      <c r="BS150" s="2" t="e">
        <f ca="1">_xll.BDH($C$128,"ST_DEBT_SEQUENTIAL_GROWTH","FQ2 2018","FQ2 2018","Currency=INR","Period=FQ","BEST_FPERIOD_OVERRIDE=FQ","FILING_STATUS=OR","EQY_CONSOLIDATED=Y","Sort=A","Dates=H","DateFormat=P","Fill=—","Direction=H","UseDPDF=Y")</f>
        <v>#NAME?</v>
      </c>
      <c r="BT150" s="2" t="e">
        <f ca="1">_xll.BDH($C$128,"TOTAL_DEBT_SEQUENTIAL_GROWTH","FQ2 2018","FQ2 2018","Currency=INR","Period=FQ","BEST_FPERIOD_OVERRIDE=FQ","FILING_STATUS=OR","EQY_CONSOLIDATED=Y","Sort=A","Dates=H","DateFormat=P","Fill=—","Direction=H","UseDPDF=Y")</f>
        <v>#NAME?</v>
      </c>
      <c r="BU150" s="2" t="e">
        <f ca="1">_xll.BDH($C$128,"TOTAL_EQUITY_SEQUENTIAL_GROWTH","FQ2 2018","FQ2 2018","Currency=INR","Period=FQ","BEST_FPERIOD_OVERRIDE=FQ","FILING_STATUS=OR","EQY_CONSOLIDATED=Y","Sort=A","Dates=H","DateFormat=P","Fill=—","Direction=H","UseDPDF=Y")</f>
        <v>#NAME?</v>
      </c>
      <c r="BV150" s="2" t="e">
        <f ca="1">_xll.BDH($C$128,"TOTAL_CAPITAL_SEQUENTIAL_GROWTH","FQ2 2018","FQ2 2018","Currency=INR","Period=FQ","BEST_FPERIOD_OVERRIDE=FQ","FILING_STATUS=OR","EQY_CONSOLIDATED=Y","Sort=A","Dates=H","DateFormat=P","Fill=—","Direction=H","UseDPDF=Y")</f>
        <v>#NAME?</v>
      </c>
      <c r="BW150" s="2" t="e">
        <f ca="1">_xll.BDH($C$128,"BPS_SEQUENTIAL_GROWTH","FQ2 2018","FQ2 2018","Currency=INR","Period=FQ","BEST_FPERIOD_OVERRIDE=FQ","FILING_STATUS=OR","EQY_CONSOLIDATED=Y","Sort=A","Dates=H","DateFormat=P","Fill=—","Direction=H","UseDPDF=Y")</f>
        <v>#NAME?</v>
      </c>
      <c r="BX150" s="2" t="e">
        <f ca="1">_xll.BDH($C$128,"CFO_SEQUENTIAL_GROWTH","FQ2 2018","FQ2 2018","Currency=INR","Period=FQ","BEST_FPERIOD_OVERRIDE=FQ","FILING_STATUS=OR","EQY_CONSOLIDATED=Y","Sort=A","Dates=H","DateFormat=P","Fill=—","Direction=H","UseDPDF=Y")</f>
        <v>#NAME?</v>
      </c>
      <c r="BY150" s="3" t="e">
        <f ca="1">_xll.BDH($C$128,"SHORT_AND_LONG_TERM_DEBT","FQ2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50" s="3" t="e">
        <f ca="1">_xll.BDH($C$128,"BS_ST_BORROW","FQ2 2018","FQ2 2018","Currency=INR","Period=FQ","BEST_FPERIOD_OVERRIDE=FQ","FILING_STATUS=OR","EQY_CONSOLIDATED=Y","SCALING_FORMAT=MLN","Sort=A","Dates=H","DateFormat=P","Fill=—","Direction=H","UseDPDF=Y")</f>
        <v>#NAME?</v>
      </c>
      <c r="CA150" s="3" t="e">
        <f ca="1">_xll.BDH($C$128,"BS_LT_BORROW","FQ2 2018","FQ2 2018","Currency=INR","Period=FQ","BEST_FPERIOD_OVERRIDE=FQ","FILING_STATUS=OR","EQY_CONSOLIDATED=Y","SCALING_FORMAT=MLN","Sort=A","Dates=H","DateFormat=P","Fill=—","Direction=H","UseDPDF=Y")</f>
        <v>#NAME?</v>
      </c>
      <c r="CB150" s="2" t="e">
        <f ca="1">_xll.BDH($C$128,"TOT_DEBT_TO_EBITDA","FQ2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50" s="2" t="e">
        <f ca="1">_xll.BDH($C$128,"NET_DEBT_TO_EBITDA","FQ2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50" s="2" t="e">
        <f ca="1">_xll.BDH($C$128,"TOTAL_DEBT_TO_EBIT","FQ2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50" s="2" t="e">
        <f ca="1">_xll.BDH($C$128,"NET_DEBT_TO_EBIT","FQ2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150" s="2" t="e">
        <f ca="1">_xll.BDH($C$128,"EBITDA_TO_INTEREST_EXPN","FQ2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50" s="2" t="e">
        <f ca="1">_xll.BDH($C$128,"COM_EQY_TO_TOT_ASSET","FQ2 2018","FQ2 2018","Currency=INR","Period=FQ","BEST_FPERIOD_OVERRIDE=FQ","FILING_STATUS=OR","EQY_CONSOLIDATED=Y","Sort=A","Dates=H","DateFormat=P","Fill=—","Direction=H","UseDPDF=Y")</f>
        <v>#NAME?</v>
      </c>
      <c r="CH150" s="2" t="e">
        <f ca="1">_xll.BDH($C$128,"LT_DEBT_TO_TOT_EQY","FQ2 2018","FQ2 2018","Currency=INR","Period=FQ","BEST_FPERIOD_OVERRIDE=FQ","FILING_STATUS=OR","EQY_CONSOLIDATED=Y","Sort=A","Dates=H","DateFormat=P","Fill=—","Direction=H","UseDPDF=Y")</f>
        <v>#NAME?</v>
      </c>
      <c r="CI150" s="2" t="e">
        <f ca="1">_xll.BDH($C$128,"LT_DEBT_TO_TOT_CAP","FQ2 2018","FQ2 2018","Currency=INR","Period=FQ","BEST_FPERIOD_OVERRIDE=FQ","FILING_STATUS=OR","EQY_CONSOLIDATED=Y","Sort=A","Dates=H","DateFormat=P","Fill=—","Direction=H","UseDPDF=Y")</f>
        <v>#NAME?</v>
      </c>
      <c r="CJ150" s="2" t="e">
        <f ca="1">_xll.BDH($C$128,"LT_DEBT_TO_TOT_ASSET","FQ2 2018","FQ2 2018","Currency=INR","Period=FQ","BEST_FPERIOD_OVERRIDE=FQ","FILING_STATUS=OR","EQY_CONSOLIDATED=Y","Sort=A","Dates=H","DateFormat=P","Fill=—","Direction=H","UseDPDF=Y")</f>
        <v>#NAME?</v>
      </c>
      <c r="CK150" s="2" t="e">
        <f ca="1">_xll.BDH($C$128,"TOT_DEBT_TO_TOT_EQY","FQ2 2018","FQ2 2018","Currency=INR","Period=FQ","BEST_FPERIOD_OVERRIDE=FQ","FILING_STATUS=OR","EQY_CONSOLIDATED=Y","Sort=A","Dates=H","DateFormat=P","Fill=—","Direction=H","UseDPDF=Y")</f>
        <v>#NAME?</v>
      </c>
      <c r="CL150" s="2" t="e">
        <f ca="1">_xll.BDH($C$128,"TOT_DEBT_TO_TOT_CAP","FQ2 2018","FQ2 2018","Currency=INR","Period=FQ","BEST_FPERIOD_OVERRIDE=FQ","FILING_STATUS=OR","EQY_CONSOLIDATED=Y","Sort=A","Dates=H","DateFormat=P","Fill=—","Direction=H","UseDPDF=Y")</f>
        <v>#NAME?</v>
      </c>
      <c r="CM150" s="2" t="e">
        <f ca="1">_xll.BDH($C$128,"TOT_DEBT_TO_TOT_ASSET","FQ2 2018","FQ2 2018","Currency=INR","Period=FQ","BEST_FPERIOD_OVERRIDE=FQ","FILING_STATUS=OR","EQY_CONSOLIDATED=Y","Sort=A","Dates=H","DateFormat=P","Fill=—","Direction=H","UseDPDF=Y")</f>
        <v>#NAME?</v>
      </c>
      <c r="CN150" s="2" t="e">
        <f ca="1">_xll.BDH($C$128,"NET_DEBT_TO_SHRHLDR_EQTY","FQ2 2018","FQ2 2018","Currency=INR","Period=FQ","BEST_FPERIOD_OVERRIDE=FQ","FILING_STATUS=OR","EQY_CONSOLIDATED=Y","Sort=A","Dates=H","DateFormat=P","Fill=—","Direction=H","UseDPDF=Y")</f>
        <v>#NAME?</v>
      </c>
      <c r="CO150" s="2" t="e">
        <f ca="1">_xll.BDH($C$128,"NET_DEBT_%_CAPITAL","FQ2 2018","FQ2 2018","Currency=INR","Period=FQ","BEST_FPERIOD_OVERRIDE=FQ","FILING_STATUS=OR","EQY_CONSOLIDATED=Y","Sort=A","Dates=H","DateFormat=P","Fill=—","Direction=H","UseDPDF=Y")</f>
        <v>#NAME?</v>
      </c>
      <c r="CP150" s="3" t="e">
        <f ca="1">_xll.BDH($C$128,"EBITDA","FQ2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50" s="3" t="e">
        <f ca="1">_xll.BDH($C$128,"EBITDA_AFTER_CAPEX","FQ2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50" s="3" t="e">
        <f ca="1">_xll.BDH($C$128,"IS_OPER_INC","FQ2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50" s="2" t="e">
        <f ca="1">_xll.BDH($C$128,"CASH_RATIO","FQ2 2018","FQ2 2018","Currency=INR","Period=FQ","BEST_FPERIOD_OVERRIDE=FQ","FILING_STATUS=OR","EQY_CONSOLIDATED=Y","Sort=A","Dates=H","DateFormat=P","Fill=—","Direction=H","UseDPDF=Y")</f>
        <v>#NAME?</v>
      </c>
      <c r="CT150" s="2" t="e">
        <f ca="1">_xll.BDH($C$128,"CUR_RATIO","FQ2 2018","FQ2 2018","Currency=INR","Period=FQ","BEST_FPERIOD_OVERRIDE=FQ","FILING_STATUS=OR","EQY_CONSOLIDATED=Y","Sort=A","Dates=H","DateFormat=P","Fill=—","Direction=H","UseDPDF=Y")</f>
        <v>#NAME?</v>
      </c>
      <c r="CU150" s="2" t="e">
        <f ca="1">_xll.BDH($C$128,"QUICK_RATIO","FQ2 2018","FQ2 2018","Currency=INR","Period=FQ","BEST_FPERIOD_OVERRIDE=FQ","FILING_STATUS=OR","EQY_CONSOLIDATED=Y","Sort=A","Dates=H","DateFormat=P","Fill=—","Direction=H","UseDPDF=Y")</f>
        <v>#NAME?</v>
      </c>
      <c r="CV150" s="2" t="e">
        <f ca="1">_xll.BDH($C$128,"ALTMAN_Z_SCORE","FQ2 2018","FQ2 2018","Currency=INR","Period=FQ","BEST_FPERIOD_OVERRIDE=FQ","FILING_STATUS=OR","EQY_CONSOLIDATED=Y","Sort=A","Dates=H","DateFormat=P","Fill=—","Direction=H","UseDPDF=Y")</f>
        <v>#NAME?</v>
      </c>
      <c r="CW150" s="4" t="e">
        <f ca="1">_xll.BDH($C$128,"ACCT_RCV_TURN","FQ2 2018","FQ2 2018","Currency=INR","Period=FQ","BEST_FPERIOD_OVERRIDE=FQ","FILING_STATUS=OR","EQY_CONSOLIDATED=Y","FA_ADJUSTED=GAAP","Sort=A","Dates=H","DateFormat=P","Fill=—","Direction=H","UseDPDF=Y")</f>
        <v>#NAME?</v>
      </c>
      <c r="CX150" s="2" t="e">
        <f ca="1">_xll.BDH($C$128,"ACCT_RCV_DAYS","FQ2 2018","FQ2 2018","Currency=INR","Period=FQ","BEST_FPERIOD_OVERRIDE=FQ","FILING_STATUS=OR","EQY_CONSOLIDATED=Y","FA_ADJUSTED=GAAP","Sort=A","Dates=H","DateFormat=P","Fill=—","Direction=H","UseDPDF=Y")</f>
        <v>#NAME?</v>
      </c>
      <c r="CY150" s="4" t="e">
        <f ca="1">_xll.BDH($C$128,"INVENT_TURN","FQ2 2018","FQ2 2018","Currency=INR","Period=FQ","BEST_FPERIOD_OVERRIDE=FQ","FILING_STATUS=OR","EQY_CONSOLIDATED=Y","FA_ADJUSTED=GAAP","Sort=A","Dates=H","DateFormat=P","Fill=—","Direction=H","UseDPDF=Y")</f>
        <v>#NAME?</v>
      </c>
      <c r="CZ150" s="2" t="e">
        <f ca="1">_xll.BDH($C$128,"INVENT_DAYS","FQ2 2018","FQ2 2018","Currency=INR","Period=FQ","BEST_FPERIOD_OVERRIDE=FQ","FILING_STATUS=OR","EQY_CONSOLIDATED=Y","FA_ADJUSTED=GAAP","Sort=A","Dates=H","DateFormat=P","Fill=—","Direction=H","UseDPDF=Y")</f>
        <v>#NAME?</v>
      </c>
      <c r="DA150" s="4" t="e">
        <f ca="1">_xll.BDH($C$128,"ACCOUNTS_PAYABLE_TURNOVER","FQ2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50" s="2" t="e">
        <f ca="1">_xll.BDH($C$128,"ACCOUNTS_PAYABLE_TURNOVER_DAYS","FQ2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50" s="4" t="e">
        <f ca="1">_xll.BDH($C$128,"CASH_CONVERSION_CYCLE","FQ2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50" s="4" t="e">
        <f ca="1">_xll.BDH($C$128,"INV_TO_CASH_DAYS","FQ2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150" s="5" t="e">
        <f ca="1">_xll.BDH($C$128,"BS_INVENTORIES","FQ2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150" s="3" t="e">
        <f ca="1">_xll.BDH($C$128,"INVTRY_RAW_MATERIALS","FQ2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50" s="3" t="e">
        <f ca="1">_xll.BDH($C$128,"INVTRY_IN_PROGRESS","FQ2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50" s="3" t="e">
        <f ca="1">_xll.BDH($C$128,"INVTRY_FINISHED_GOODS","FQ2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50" s="3" t="e">
        <f ca="1">_xll.BDH($C$128,"BS_OTHER_INV","FQ2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51" spans="1:113" x14ac:dyDescent="0.3">
      <c r="A151" s="6"/>
      <c r="B151" s="6"/>
      <c r="C151" s="6"/>
      <c r="D151" s="6"/>
      <c r="E151" t="s">
        <v>80</v>
      </c>
      <c r="F151" t="e">
        <f ca="1">_xll.BDH($C$128,"RETURN_COM_EQY","FQ3 2018","FQ3 2018","Currency=INR","Period=FQ","BEST_FPERIOD_OVERRIDE=FQ","FILING_STATUS=OR","EQY_CONSOLIDATED=Y","FA_ADJUSTED=GAAP","Sort=A","Dates=H","DateFormat=P","Fill=—","Direction=H","UseDPDF=Y")</f>
        <v>#NAME?</v>
      </c>
      <c r="G151" t="e">
        <f ca="1">_xll.BDH($C$128,"RETURN_ON_ASSET","FQ3 2018","FQ3 2018","Currency=INR","Period=FQ","BEST_FPERIOD_OVERRIDE=FQ","FILING_STATUS=OR","EQY_CONSOLIDATED=Y","FA_ADJUSTED=GAAP","Sort=A","Dates=H","DateFormat=P","Fill=—","Direction=H","UseDPDF=Y")</f>
        <v>#NAME?</v>
      </c>
      <c r="H151" t="e">
        <f ca="1">_xll.BDH($C$128,"RETURN_ON_CAP","FQ3 2018","FQ3 2018","Currency=INR","Period=FQ","BEST_FPERIOD_OVERRIDE=FQ","FILING_STATUS=OR","EQY_CONSOLIDATED=Y","FA_ADJUSTED=GAAP","Sort=A","Dates=H","DateFormat=P","Fill=—","Direction=H","UseDPDF=Y")</f>
        <v>#NAME?</v>
      </c>
      <c r="I151" t="e">
        <f ca="1">_xll.BDH($C$128,"RETURN_ON_INV_CAPITAL","FQ3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51" t="e">
        <f ca="1">_xll.BDH($C$128,"EBITDA_TO_REVENUE","FQ3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151" t="e">
        <f ca="1">_xll.BDH($C$128,"OPER_MARGIN","FQ3 2018","FQ3 2018","Currency=INR","Period=FQ","BEST_FPERIOD_OVERRIDE=FQ","FILING_STATUS=OR","EQY_CONSOLIDATED=Y","FA_ADJUSTED=GAAP","Sort=A","Dates=H","DateFormat=P","Fill=—","Direction=H","UseDPDF=Y")</f>
        <v>#NAME?</v>
      </c>
      <c r="L151" t="e">
        <f ca="1">_xll.BDH($C$128,"INCREMENTAL_OPERATING_MARGIN","FQ3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51" t="e">
        <f ca="1">_xll.BDH($C$128,"PRETAX_INC_TO_NET_SALES","FQ3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51" t="e">
        <f ca="1">_xll.BDH($C$128,"INC_BEF_XO_ITEMS_TO_NET_SALES","FQ3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51" t="e">
        <f ca="1">_xll.BDH($C$128,"PROF_MARGIN","FQ3 2018","FQ3 2018","Currency=INR","Period=FQ","BEST_FPERIOD_OVERRIDE=FQ","FILING_STATUS=OR","EQY_CONSOLIDATED=Y","FA_ADJUSTED=GAAP","Sort=A","Dates=H","DateFormat=P","Fill=—","Direction=H","UseDPDF=Y")</f>
        <v>#NAME?</v>
      </c>
      <c r="P151" t="e">
        <f ca="1">_xll.BDH($C$128,"NET_INCOME_TO_COMMON_MARGIN","FQ3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51" t="e">
        <f ca="1">_xll.BDH($C$128,"EFF_TAX_RATE","FQ3 2018","FQ3 2018","Currency=INR","Period=FQ","BEST_FPERIOD_OVERRIDE=FQ","FILING_STATUS=OR","EQY_CONSOLIDATED=Y","FA_ADJUSTED=GAAP","Sort=A","Dates=H","DateFormat=P","Fill=—","Direction=H","UseDPDF=Y")</f>
        <v>#NAME?</v>
      </c>
      <c r="R151" t="e">
        <f ca="1">_xll.BDH($C$128,"DVD_PAYOUT_RATIO","FQ3 2018","FQ3 2018","Currency=INR","Period=FQ","BEST_FPERIOD_OVERRIDE=FQ","FILING_STATUS=OR","EQY_CONSOLIDATED=Y","FA_ADJUSTED=GAAP","Sort=A","Dates=H","DateFormat=P","Fill=—","Direction=H","UseDPDF=Y")</f>
        <v>#NAME?</v>
      </c>
      <c r="S151" t="e">
        <f ca="1">_xll.BDH($C$128,"SUSTAIN_GROWTH_RT","FQ3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151" s="2" t="e">
        <f ca="1">_xll.BDH($C$128,"SALES_GROWTH","FQ3 2018","FQ3 2018","Currency=INR","Period=FQ","BEST_FPERIOD_OVERRIDE=FQ","FILING_STATUS=OR","EQY_CONSOLIDATED=Y","FA_ADJUSTED=GAAP","Sort=A","Dates=H","DateFormat=P","Fill=—","Direction=H","UseDPDF=Y")</f>
        <v>#NAME?</v>
      </c>
      <c r="U151" s="2" t="e">
        <f ca="1">_xll.BDH($C$128,"EBITDA_GROWTH","FQ3 2018","FQ3 2018","Currency=INR","Period=FQ","BEST_FPERIOD_OVERRIDE=FQ","FILING_STATUS=OR","EQY_CONSOLIDATED=Y","FA_ADJUSTED=GAAP","Sort=A","Dates=H","DateFormat=P","Fill=—","Direction=H","UseDPDF=Y")</f>
        <v>#NAME?</v>
      </c>
      <c r="V151" s="2" t="e">
        <f ca="1">_xll.BDH($C$128,"OPER_INC_GROWTH","FQ3 2018","FQ3 2018","Currency=INR","Period=FQ","BEST_FPERIOD_OVERRIDE=FQ","FILING_STATUS=OR","EQY_CONSOLIDATED=Y","FA_ADJUSTED=GAAP","Sort=A","Dates=H","DateFormat=P","Fill=—","Direction=H","UseDPDF=Y")</f>
        <v>#NAME?</v>
      </c>
      <c r="W151" s="2" t="e">
        <f ca="1">_xll.BDH($C$128,"EARN_FOR_COM_GROWTH","FQ3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51" s="2" t="e">
        <f ca="1">_xll.BDH($C$128,"DILUTED_EPS_AFT_XO_ITEMS_GROWTH","FQ3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51" s="2" t="e">
        <f ca="1">_xll.BDH($C$128,"DIVIDEND_PER_SHARE_1_YEAR_GROWTH","FQ3 2018","FQ3 2018","Currency=INR","Period=FQ","BEST_FPERIOD_OVERRIDE=FQ","FILING_STATUS=OR","EQY_CONSOLIDATED=Y","Sort=A","Dates=H","DateFormat=P","Fill=—","Direction=H","UseDPDF=Y")</f>
        <v>#NAME?</v>
      </c>
      <c r="Z151" s="2" t="e">
        <f ca="1">_xll.BDH($C$128,"ACCOUNTS_RECEIVABLE_GROWTH","FQ3 2018","FQ3 2018","Currency=INR","Period=FQ","BEST_FPERIOD_OVERRIDE=FQ","FILING_STATUS=OR","EQY_CONSOLIDATED=Y","Sort=A","Dates=H","DateFormat=P","Fill=—","Direction=H","UseDPDF=Y")</f>
        <v>#NAME?</v>
      </c>
      <c r="AA151" s="2" t="e">
        <f ca="1">_xll.BDH($C$128,"INVENTORY_GROWTH","FQ3 2018","FQ3 2018","Currency=INR","Period=FQ","BEST_FPERIOD_OVERRIDE=FQ","FILING_STATUS=OR","EQY_CONSOLIDATED=Y","Sort=A","Dates=H","DateFormat=P","Fill=—","Direction=H","UseDPDF=Y")</f>
        <v>#NAME?</v>
      </c>
      <c r="AB151" s="2" t="e">
        <f ca="1">_xll.BDH($C$128,"NET_FIXED_ASSETS_1_YEAR_GROWTH","FQ3 2018","FQ3 2018","Currency=INR","Period=FQ","BEST_FPERIOD_OVERRIDE=FQ","FILING_STATUS=OR","EQY_CONSOLIDATED=Y","Sort=A","Dates=H","DateFormat=P","Fill=—","Direction=H","UseDPDF=Y")</f>
        <v>#NAME?</v>
      </c>
      <c r="AC151" s="2" t="e">
        <f ca="1">_xll.BDH($C$128,"ASSET_GROWTH","FQ3 2018","FQ3 2018","Currency=INR","Period=FQ","BEST_FPERIOD_OVERRIDE=FQ","FILING_STATUS=OR","EQY_CONSOLIDATED=Y","Sort=A","Dates=H","DateFormat=P","Fill=—","Direction=H","UseDPDF=Y")</f>
        <v>#NAME?</v>
      </c>
      <c r="AD151" s="2" t="e">
        <f ca="1">_xll.BDH($C$128,"MODIFIED_WORK_CAP_GROWTH","FQ3 2018","FQ3 2018","Currency=INR","Period=FQ","BEST_FPERIOD_OVERRIDE=FQ","FILING_STATUS=OR","EQY_CONSOLIDATED=Y","Sort=A","Dates=H","DateFormat=P","Fill=—","Direction=H","UseDPDF=Y")</f>
        <v>#NAME?</v>
      </c>
      <c r="AE151" s="2" t="e">
        <f ca="1">_xll.BDH($C$128,"WORK_CAP_GROWTH","FQ3 2018","FQ3 2018","Currency=INR","Period=FQ","BEST_FPERIOD_OVERRIDE=FQ","FILING_STATUS=OR","EQY_CONSOLIDATED=Y","Sort=A","Dates=H","DateFormat=P","Fill=—","Direction=H","UseDPDF=Y")</f>
        <v>#NAME?</v>
      </c>
      <c r="AF151" s="2" t="e">
        <f ca="1">_xll.BDH($C$128,"ACCOUNTS_PAYABLE_GROWTH_1YR","FQ3 2018","FQ3 2018","Currency=INR","Period=FQ","BEST_FPERIOD_OVERRIDE=FQ","FILING_STATUS=OR","EQY_CONSOLIDATED=Y","Sort=A","Dates=H","DateFormat=P","Fill=—","Direction=H","UseDPDF=Y")</f>
        <v>#NAME?</v>
      </c>
      <c r="AG151" s="2" t="e">
        <f ca="1">_xll.BDH($C$128,"SHORT_TERM_DEBT_1_YEAR_GROWTH","FQ3 2018","FQ3 2018","Currency=INR","Period=FQ","BEST_FPERIOD_OVERRIDE=FQ","FILING_STATUS=OR","EQY_CONSOLIDATED=Y","Sort=A","Dates=H","DateFormat=P","Fill=—","Direction=H","UseDPDF=Y")</f>
        <v>#NAME?</v>
      </c>
      <c r="AH151" s="2" t="e">
        <f ca="1">_xll.BDH($C$128,"TOTAL_DEBT_1_YEAR_GROWTH","FQ3 2018","FQ3 2018","Currency=INR","Period=FQ","BEST_FPERIOD_OVERRIDE=FQ","FILING_STATUS=OR","EQY_CONSOLIDATED=Y","Sort=A","Dates=H","DateFormat=P","Fill=—","Direction=H","UseDPDF=Y")</f>
        <v>#NAME?</v>
      </c>
      <c r="AI151" s="2" t="e">
        <f ca="1">_xll.BDH($C$128,"TOTAL_EQUITY_1_YEAR_GROWTH","FQ3 2018","FQ3 2018","Currency=INR","Period=FQ","BEST_FPERIOD_OVERRIDE=FQ","FILING_STATUS=OR","EQY_CONSOLIDATED=Y","Sort=A","Dates=H","DateFormat=P","Fill=—","Direction=H","UseDPDF=Y")</f>
        <v>#NAME?</v>
      </c>
      <c r="AJ151" s="2" t="e">
        <f ca="1">_xll.BDH($C$128,"GROWTH_IN_CAP","FQ3 2018","FQ3 2018","Currency=INR","Period=FQ","BEST_FPERIOD_OVERRIDE=FQ","FILING_STATUS=OR","EQY_CONSOLIDATED=Y","Sort=A","Dates=H","DateFormat=P","Fill=—","Direction=H","UseDPDF=Y")</f>
        <v>#NAME?</v>
      </c>
      <c r="AK151" s="2" t="e">
        <f ca="1">_xll.BDH($C$128,"BVPS_GROWTH","FQ3 2018","FQ3 2018","Currency=INR","Period=FQ","BEST_FPERIOD_OVERRIDE=FQ","FILING_STATUS=OR","EQY_CONSOLIDATED=Y","Sort=A","Dates=H","DateFormat=P","Fill=—","Direction=H","UseDPDF=Y")</f>
        <v>#NAME?</v>
      </c>
      <c r="AL151" s="2" t="e">
        <f ca="1">_xll.BDH($C$128,"CASH_FLOW_GROWTH","FQ3 2018","FQ3 2018","Currency=INR","Period=FQ","BEST_FPERIOD_OVERRIDE=FQ","FILING_STATUS=OR","EQY_CONSOLIDATED=Y","Sort=A","Dates=H","DateFormat=P","Fill=—","Direction=H","UseDPDF=Y")</f>
        <v>#NAME?</v>
      </c>
      <c r="AM151" s="2" t="e">
        <f ca="1">_xll.BDH($C$128,"GEO_GROW_NET_SALES","FQ3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51" s="2" t="e">
        <f ca="1">_xll.BDH($C$128,"GEO_GROW_EBITDA","FQ3 2018","FQ3 2018","Currency=INR","Period=FQ","BEST_FPERIOD_OVERRIDE=FQ","FILING_STATUS=OR","EQY_CONSOLIDATED=Y","FA_ADJUSTED=GAAP","Sort=A","Dates=H","DateFormat=P","Fill=—","Direction=H","UseDPDF=Y")</f>
        <v>#NAME?</v>
      </c>
      <c r="AO151" s="2" t="e">
        <f ca="1">_xll.BDH($C$128,"GEO_GROW_OPER_INC","FQ3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51" s="2" t="e">
        <f ca="1">_xll.BDH($C$128,"NET_INCOME_TO_COMMON_5_YR_GROWTH","FQ3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51" s="2" t="e">
        <f ca="1">_xll.BDH($C$128,"5Y_GEO_GROWTH_DILUTED_EPS","FQ3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51" s="2" t="e">
        <f ca="1">_xll.BDH($C$128,"GEO_GROW_DVD_PER_SH","FQ3 2018","FQ3 2018","Currency=INR","Period=FQ","BEST_FPERIOD_OVERRIDE=FQ","FILING_STATUS=OR","EQY_CONSOLIDATED=Y","Sort=A","Dates=H","DateFormat=P","Fill=—","Direction=H","UseDPDF=Y")</f>
        <v>#NAME?</v>
      </c>
      <c r="AS151" s="2" t="e">
        <f ca="1">_xll.BDH($C$128,"ACCOUNTS_RECEIVABLE_5_YR_GROWTH","FQ3 2018","FQ3 2018","Currency=INR","Period=FQ","BEST_FPERIOD_OVERRIDE=FQ","FILING_STATUS=OR","EQY_CONSOLIDATED=Y","Sort=A","Dates=H","DateFormat=P","Fill=—","Direction=H","UseDPDF=Y")</f>
        <v>#NAME?</v>
      </c>
      <c r="AT151" s="2" t="e">
        <f ca="1">_xll.BDH($C$128,"INVENTORY_5_YEAR_GROWTH","FQ3 2018","FQ3 2018","Currency=INR","Period=FQ","BEST_FPERIOD_OVERRIDE=FQ","FILING_STATUS=OR","EQY_CONSOLIDATED=Y","Sort=A","Dates=H","DateFormat=P","Fill=—","Direction=H","UseDPDF=Y")</f>
        <v>#NAME?</v>
      </c>
      <c r="AU151" s="2" t="e">
        <f ca="1">_xll.BDH($C$128,"NET_FIXED_ASSETS_5_YEAR_GROWTH","FQ3 2018","FQ3 2018","Currency=INR","Period=FQ","BEST_FPERIOD_OVERRIDE=FQ","FILING_STATUS=OR","EQY_CONSOLIDATED=Y","Sort=A","Dates=H","DateFormat=P","Fill=—","Direction=H","UseDPDF=Y")</f>
        <v>#NAME?</v>
      </c>
      <c r="AV151" s="2" t="e">
        <f ca="1">_xll.BDH($C$128,"GEO_GROW_TOT_ASSET","FQ3 2018","FQ3 2018","Currency=INR","Period=FQ","BEST_FPERIOD_OVERRIDE=FQ","FILING_STATUS=OR","EQY_CONSOLIDATED=Y","Sort=A","Dates=H","DateFormat=P","Fill=—","Direction=H","UseDPDF=Y")</f>
        <v>#NAME?</v>
      </c>
      <c r="AW151" s="2" t="e">
        <f ca="1">_xll.BDH($C$128,"MODIFIED_WORKING_CPTL_5YR_GRWTH","FQ3 2018","FQ3 2018","Currency=INR","Period=FQ","BEST_FPERIOD_OVERRIDE=FQ","FILING_STATUS=OR","EQY_CONSOLIDATED=Y","Sort=A","Dates=H","DateFormat=P","Fill=—","Direction=H","UseDPDF=Y")</f>
        <v>#NAME?</v>
      </c>
      <c r="AX151" s="2" t="e">
        <f ca="1">_xll.BDH($C$128,"WORKING_CAPITAL_5_YEAR_GROWTH","FQ3 2018","FQ3 2018","Currency=INR","Period=FQ","BEST_FPERIOD_OVERRIDE=FQ","FILING_STATUS=OR","EQY_CONSOLIDATED=Y","Sort=A","Dates=H","DateFormat=P","Fill=—","Direction=H","UseDPDF=Y")</f>
        <v>#NAME?</v>
      </c>
      <c r="AY151" s="2" t="e">
        <f ca="1">_xll.BDH($C$128,"ACCOUNTS_PAYABLE_5_YEAR_GROWTH","FQ3 2018","FQ3 2018","Currency=INR","Period=FQ","BEST_FPERIOD_OVERRIDE=FQ","FILING_STATUS=OR","EQY_CONSOLIDATED=Y","Sort=A","Dates=H","DateFormat=P","Fill=—","Direction=H","UseDPDF=Y")</f>
        <v>#NAME?</v>
      </c>
      <c r="AZ151" s="2" t="e">
        <f ca="1">_xll.BDH($C$128,"SHORT_TERM_DEBT_5_YEAR_GROWTH","FQ3 2018","FQ3 2018","Currency=INR","Period=FQ","BEST_FPERIOD_OVERRIDE=FQ","FILING_STATUS=OR","EQY_CONSOLIDATED=Y","Sort=A","Dates=H","DateFormat=P","Fill=—","Direction=H","UseDPDF=Y")</f>
        <v>#NAME?</v>
      </c>
      <c r="BA151" s="2" t="e">
        <f ca="1">_xll.BDH($C$128,"TOTAL_DEBT_5_YEAR_GROWTH","FQ3 2018","FQ3 2018","Currency=INR","Period=FQ","BEST_FPERIOD_OVERRIDE=FQ","FILING_STATUS=OR","EQY_CONSOLIDATED=Y","Sort=A","Dates=H","DateFormat=P","Fill=—","Direction=H","UseDPDF=Y")</f>
        <v>#NAME?</v>
      </c>
      <c r="BB151" s="2" t="e">
        <f ca="1">_xll.BDH($C$128,"GEO_GROW_TOT_SHRHLDR_EQY","FQ3 2018","FQ3 2018","Currency=INR","Period=FQ","BEST_FPERIOD_OVERRIDE=FQ","FILING_STATUS=OR","EQY_CONSOLIDATED=Y","Sort=A","Dates=H","DateFormat=P","Fill=—","Direction=H","UseDPDF=Y")</f>
        <v>#NAME?</v>
      </c>
      <c r="BC151" s="2" t="e">
        <f ca="1">_xll.BDH($C$128,"TOTAL_CAPITAL_5_YEAR_GROWTH","FQ3 2018","FQ3 2018","Currency=INR","Period=FQ","BEST_FPERIOD_OVERRIDE=FQ","FILING_STATUS=OR","EQY_CONSOLIDATED=Y","Sort=A","Dates=H","DateFormat=P","Fill=—","Direction=H","UseDPDF=Y")</f>
        <v>#NAME?</v>
      </c>
      <c r="BD151" s="2" t="e">
        <f ca="1">_xll.BDH($C$128,"GEO_GROW_BOOK_VAL","FQ3 2018","FQ3 2018","Currency=INR","Period=FQ","BEST_FPERIOD_OVERRIDE=FQ","FILING_STATUS=OR","EQY_CONSOLIDATED=Y","Sort=A","Dates=H","DateFormat=P","Fill=—","Direction=H","UseDPDF=Y")</f>
        <v>#NAME?</v>
      </c>
      <c r="BE151" s="2" t="e">
        <f ca="1">_xll.BDH($C$128,"GEO_GROW_CASH_OPER_ACT","FQ3 2018","FQ3 2018","Currency=INR","Period=FQ","BEST_FPERIOD_OVERRIDE=FQ","FILING_STATUS=OR","EQY_CONSOLIDATED=Y","Sort=A","Dates=H","DateFormat=P","Fill=—","Direction=H","UseDPDF=Y")</f>
        <v>#NAME?</v>
      </c>
      <c r="BF151" s="2" t="e">
        <f ca="1">_xll.BDH($C$128,"REVENUE_SEQUENTIAL_GROWTH","FQ3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51" s="2" t="e">
        <f ca="1">_xll.BDH($C$128,"EBITDA_SEQUENTIAL_GROWTH","FQ3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51" s="2" t="e">
        <f ca="1">_xll.BDH($C$128,"OPERATING_INCOME_SEQ_GROWTH","FQ3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51" s="2" t="e">
        <f ca="1">_xll.BDH($C$128,"NET_INCOME_TO_COMMON_SEQ_GROWTH","FQ3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51" s="2" t="e">
        <f ca="1">_xll.BDH($C$128,"EPS_DILUTED_SEQUENTIAL_GROWTH","FQ3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51" s="2" t="e">
        <f ca="1">_xll.BDH($C$128,"DPS_SEQUENTIAL_GROWTH","FQ3 2018","FQ3 2018","Currency=INR","Period=FQ","BEST_FPERIOD_OVERRIDE=FQ","FILING_STATUS=OR","EQY_CONSOLIDATED=Y","Sort=A","Dates=H","DateFormat=P","Fill=—","Direction=H","UseDPDF=Y")</f>
        <v>#NAME?</v>
      </c>
      <c r="BL151" s="2" t="e">
        <f ca="1">_xll.BDH($C$128,"ACCOUNTS_RECEIVABLE_SEQ_GROWTH","FQ3 2018","FQ3 2018","Currency=INR","Period=FQ","BEST_FPERIOD_OVERRIDE=FQ","FILING_STATUS=OR","EQY_CONSOLIDATED=Y","Sort=A","Dates=H","DateFormat=P","Fill=—","Direction=H","UseDPDF=Y")</f>
        <v>#NAME?</v>
      </c>
      <c r="BM151" s="2" t="e">
        <f ca="1">_xll.BDH($C$128,"INVENTORY_SEQUENTIAL_GROWTH","FQ3 2018","FQ3 2018","Currency=INR","Period=FQ","BEST_FPERIOD_OVERRIDE=FQ","FILING_STATUS=OR","EQY_CONSOLIDATED=Y","Sort=A","Dates=H","DateFormat=P","Fill=—","Direction=H","UseDPDF=Y")</f>
        <v>#NAME?</v>
      </c>
      <c r="BN151" s="2" t="e">
        <f ca="1">_xll.BDH($C$128,"FIXED_ASSETS_SEQUENTIAL_GROWTH","FQ3 2018","FQ3 2018","Currency=INR","Period=FQ","BEST_FPERIOD_OVERRIDE=FQ","FILING_STATUS=OR","EQY_CONSOLIDATED=Y","Sort=A","Dates=H","DateFormat=P","Fill=—","Direction=H","UseDPDF=Y")</f>
        <v>#NAME?</v>
      </c>
      <c r="BO151" s="2" t="e">
        <f ca="1">_xll.BDH($C$128,"TOTAL_ASSETS_SEQUENTIAL_GROWTH","FQ3 2018","FQ3 2018","Currency=INR","Period=FQ","BEST_FPERIOD_OVERRIDE=FQ","FILING_STATUS=OR","EQY_CONSOLIDATED=Y","Sort=A","Dates=H","DateFormat=P","Fill=—","Direction=H","UseDPDF=Y")</f>
        <v>#NAME?</v>
      </c>
      <c r="BP151" s="2" t="e">
        <f ca="1">_xll.BDH($C$128,"MODIFIED_WORKING_CPTL_SEQ_GRWTH","FQ3 2018","FQ3 2018","Currency=INR","Period=FQ","BEST_FPERIOD_OVERRIDE=FQ","FILING_STATUS=OR","EQY_CONSOLIDATED=Y","Sort=A","Dates=H","DateFormat=P","Fill=—","Direction=H","UseDPDF=Y")</f>
        <v>#NAME?</v>
      </c>
      <c r="BQ151" s="2" t="e">
        <f ca="1">_xll.BDH($C$128,"WORKING_CAPITAL_SEQ_GROWTH","FQ3 2018","FQ3 2018","Currency=INR","Period=FQ","BEST_FPERIOD_OVERRIDE=FQ","FILING_STATUS=OR","EQY_CONSOLIDATED=Y","Sort=A","Dates=H","DateFormat=P","Fill=—","Direction=H","UseDPDF=Y")</f>
        <v>#NAME?</v>
      </c>
      <c r="BR151" s="2" t="e">
        <f ca="1">_xll.BDH($C$128,"ACCOUNTS_PAYABLE_SEQ_GROWTH","FQ3 2018","FQ3 2018","Currency=INR","Period=FQ","BEST_FPERIOD_OVERRIDE=FQ","FILING_STATUS=OR","EQY_CONSOLIDATED=Y","Sort=A","Dates=H","DateFormat=P","Fill=—","Direction=H","UseDPDF=Y")</f>
        <v>#NAME?</v>
      </c>
      <c r="BS151" s="2" t="e">
        <f ca="1">_xll.BDH($C$128,"ST_DEBT_SEQUENTIAL_GROWTH","FQ3 2018","FQ3 2018","Currency=INR","Period=FQ","BEST_FPERIOD_OVERRIDE=FQ","FILING_STATUS=OR","EQY_CONSOLIDATED=Y","Sort=A","Dates=H","DateFormat=P","Fill=—","Direction=H","UseDPDF=Y")</f>
        <v>#NAME?</v>
      </c>
      <c r="BT151" s="2" t="e">
        <f ca="1">_xll.BDH($C$128,"TOTAL_DEBT_SEQUENTIAL_GROWTH","FQ3 2018","FQ3 2018","Currency=INR","Period=FQ","BEST_FPERIOD_OVERRIDE=FQ","FILING_STATUS=OR","EQY_CONSOLIDATED=Y","Sort=A","Dates=H","DateFormat=P","Fill=—","Direction=H","UseDPDF=Y")</f>
        <v>#NAME?</v>
      </c>
      <c r="BU151" s="2" t="e">
        <f ca="1">_xll.BDH($C$128,"TOTAL_EQUITY_SEQUENTIAL_GROWTH","FQ3 2018","FQ3 2018","Currency=INR","Period=FQ","BEST_FPERIOD_OVERRIDE=FQ","FILING_STATUS=OR","EQY_CONSOLIDATED=Y","Sort=A","Dates=H","DateFormat=P","Fill=—","Direction=H","UseDPDF=Y")</f>
        <v>#NAME?</v>
      </c>
      <c r="BV151" s="2" t="e">
        <f ca="1">_xll.BDH($C$128,"TOTAL_CAPITAL_SEQUENTIAL_GROWTH","FQ3 2018","FQ3 2018","Currency=INR","Period=FQ","BEST_FPERIOD_OVERRIDE=FQ","FILING_STATUS=OR","EQY_CONSOLIDATED=Y","Sort=A","Dates=H","DateFormat=P","Fill=—","Direction=H","UseDPDF=Y")</f>
        <v>#NAME?</v>
      </c>
      <c r="BW151" s="2" t="e">
        <f ca="1">_xll.BDH($C$128,"BPS_SEQUENTIAL_GROWTH","FQ3 2018","FQ3 2018","Currency=INR","Period=FQ","BEST_FPERIOD_OVERRIDE=FQ","FILING_STATUS=OR","EQY_CONSOLIDATED=Y","Sort=A","Dates=H","DateFormat=P","Fill=—","Direction=H","UseDPDF=Y")</f>
        <v>#NAME?</v>
      </c>
      <c r="BX151" s="2" t="e">
        <f ca="1">_xll.BDH($C$128,"CFO_SEQUENTIAL_GROWTH","FQ3 2018","FQ3 2018","Currency=INR","Period=FQ","BEST_FPERIOD_OVERRIDE=FQ","FILING_STATUS=OR","EQY_CONSOLIDATED=Y","Sort=A","Dates=H","DateFormat=P","Fill=—","Direction=H","UseDPDF=Y")</f>
        <v>#NAME?</v>
      </c>
      <c r="BY151" s="3" t="e">
        <f ca="1">_xll.BDH($C$128,"SHORT_AND_LONG_TERM_DEBT","FQ3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51" s="3" t="e">
        <f ca="1">_xll.BDH($C$128,"BS_ST_BORROW","FQ3 2018","FQ3 2018","Currency=INR","Period=FQ","BEST_FPERIOD_OVERRIDE=FQ","FILING_STATUS=OR","EQY_CONSOLIDATED=Y","SCALING_FORMAT=MLN","Sort=A","Dates=H","DateFormat=P","Fill=—","Direction=H","UseDPDF=Y")</f>
        <v>#NAME?</v>
      </c>
      <c r="CA151" s="3" t="e">
        <f ca="1">_xll.BDH($C$128,"BS_LT_BORROW","FQ3 2018","FQ3 2018","Currency=INR","Period=FQ","BEST_FPERIOD_OVERRIDE=FQ","FILING_STATUS=OR","EQY_CONSOLIDATED=Y","SCALING_FORMAT=MLN","Sort=A","Dates=H","DateFormat=P","Fill=—","Direction=H","UseDPDF=Y")</f>
        <v>#NAME?</v>
      </c>
      <c r="CB151" s="2" t="e">
        <f ca="1">_xll.BDH($C$128,"TOT_DEBT_TO_EBITDA","FQ3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51" s="2" t="e">
        <f ca="1">_xll.BDH($C$128,"NET_DEBT_TO_EBITDA","FQ3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51" s="2" t="e">
        <f ca="1">_xll.BDH($C$128,"TOTAL_DEBT_TO_EBIT","FQ3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51" s="2" t="e">
        <f ca="1">_xll.BDH($C$128,"NET_DEBT_TO_EBIT","FQ3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151" s="2" t="e">
        <f ca="1">_xll.BDH($C$128,"EBITDA_TO_INTEREST_EXPN","FQ3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51" s="2" t="e">
        <f ca="1">_xll.BDH($C$128,"COM_EQY_TO_TOT_ASSET","FQ3 2018","FQ3 2018","Currency=INR","Period=FQ","BEST_FPERIOD_OVERRIDE=FQ","FILING_STATUS=OR","EQY_CONSOLIDATED=Y","Sort=A","Dates=H","DateFormat=P","Fill=—","Direction=H","UseDPDF=Y")</f>
        <v>#NAME?</v>
      </c>
      <c r="CH151" s="2" t="e">
        <f ca="1">_xll.BDH($C$128,"LT_DEBT_TO_TOT_EQY","FQ3 2018","FQ3 2018","Currency=INR","Period=FQ","BEST_FPERIOD_OVERRIDE=FQ","FILING_STATUS=OR","EQY_CONSOLIDATED=Y","Sort=A","Dates=H","DateFormat=P","Fill=—","Direction=H","UseDPDF=Y")</f>
        <v>#NAME?</v>
      </c>
      <c r="CI151" s="2" t="e">
        <f ca="1">_xll.BDH($C$128,"LT_DEBT_TO_TOT_CAP","FQ3 2018","FQ3 2018","Currency=INR","Period=FQ","BEST_FPERIOD_OVERRIDE=FQ","FILING_STATUS=OR","EQY_CONSOLIDATED=Y","Sort=A","Dates=H","DateFormat=P","Fill=—","Direction=H","UseDPDF=Y")</f>
        <v>#NAME?</v>
      </c>
      <c r="CJ151" s="2" t="e">
        <f ca="1">_xll.BDH($C$128,"LT_DEBT_TO_TOT_ASSET","FQ3 2018","FQ3 2018","Currency=INR","Period=FQ","BEST_FPERIOD_OVERRIDE=FQ","FILING_STATUS=OR","EQY_CONSOLIDATED=Y","Sort=A","Dates=H","DateFormat=P","Fill=—","Direction=H","UseDPDF=Y")</f>
        <v>#NAME?</v>
      </c>
      <c r="CK151" s="2" t="e">
        <f ca="1">_xll.BDH($C$128,"TOT_DEBT_TO_TOT_EQY","FQ3 2018","FQ3 2018","Currency=INR","Period=FQ","BEST_FPERIOD_OVERRIDE=FQ","FILING_STATUS=OR","EQY_CONSOLIDATED=Y","Sort=A","Dates=H","DateFormat=P","Fill=—","Direction=H","UseDPDF=Y")</f>
        <v>#NAME?</v>
      </c>
      <c r="CL151" s="2" t="e">
        <f ca="1">_xll.BDH($C$128,"TOT_DEBT_TO_TOT_CAP","FQ3 2018","FQ3 2018","Currency=INR","Period=FQ","BEST_FPERIOD_OVERRIDE=FQ","FILING_STATUS=OR","EQY_CONSOLIDATED=Y","Sort=A","Dates=H","DateFormat=P","Fill=—","Direction=H","UseDPDF=Y")</f>
        <v>#NAME?</v>
      </c>
      <c r="CM151" s="2" t="e">
        <f ca="1">_xll.BDH($C$128,"TOT_DEBT_TO_TOT_ASSET","FQ3 2018","FQ3 2018","Currency=INR","Period=FQ","BEST_FPERIOD_OVERRIDE=FQ","FILING_STATUS=OR","EQY_CONSOLIDATED=Y","Sort=A","Dates=H","DateFormat=P","Fill=—","Direction=H","UseDPDF=Y")</f>
        <v>#NAME?</v>
      </c>
      <c r="CN151" s="2" t="e">
        <f ca="1">_xll.BDH($C$128,"NET_DEBT_TO_SHRHLDR_EQTY","FQ3 2018","FQ3 2018","Currency=INR","Period=FQ","BEST_FPERIOD_OVERRIDE=FQ","FILING_STATUS=OR","EQY_CONSOLIDATED=Y","Sort=A","Dates=H","DateFormat=P","Fill=—","Direction=H","UseDPDF=Y")</f>
        <v>#NAME?</v>
      </c>
      <c r="CO151" s="2" t="e">
        <f ca="1">_xll.BDH($C$128,"NET_DEBT_%_CAPITAL","FQ3 2018","FQ3 2018","Currency=INR","Period=FQ","BEST_FPERIOD_OVERRIDE=FQ","FILING_STATUS=OR","EQY_CONSOLIDATED=Y","Sort=A","Dates=H","DateFormat=P","Fill=—","Direction=H","UseDPDF=Y")</f>
        <v>#NAME?</v>
      </c>
      <c r="CP151" s="3" t="e">
        <f ca="1">_xll.BDH($C$128,"EBITDA","FQ3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51" s="3" t="e">
        <f ca="1">_xll.BDH($C$128,"EBITDA_AFTER_CAPEX","FQ3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51" s="3" t="e">
        <f ca="1">_xll.BDH($C$128,"IS_OPER_INC","FQ3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51" s="2" t="e">
        <f ca="1">_xll.BDH($C$128,"CASH_RATIO","FQ3 2018","FQ3 2018","Currency=INR","Period=FQ","BEST_FPERIOD_OVERRIDE=FQ","FILING_STATUS=OR","EQY_CONSOLIDATED=Y","Sort=A","Dates=H","DateFormat=P","Fill=—","Direction=H","UseDPDF=Y")</f>
        <v>#NAME?</v>
      </c>
      <c r="CT151" s="2" t="e">
        <f ca="1">_xll.BDH($C$128,"CUR_RATIO","FQ3 2018","FQ3 2018","Currency=INR","Period=FQ","BEST_FPERIOD_OVERRIDE=FQ","FILING_STATUS=OR","EQY_CONSOLIDATED=Y","Sort=A","Dates=H","DateFormat=P","Fill=—","Direction=H","UseDPDF=Y")</f>
        <v>#NAME?</v>
      </c>
      <c r="CU151" s="2" t="e">
        <f ca="1">_xll.BDH($C$128,"QUICK_RATIO","FQ3 2018","FQ3 2018","Currency=INR","Period=FQ","BEST_FPERIOD_OVERRIDE=FQ","FILING_STATUS=OR","EQY_CONSOLIDATED=Y","Sort=A","Dates=H","DateFormat=P","Fill=—","Direction=H","UseDPDF=Y")</f>
        <v>#NAME?</v>
      </c>
      <c r="CV151" s="2" t="e">
        <f ca="1">_xll.BDH($C$128,"ALTMAN_Z_SCORE","FQ3 2018","FQ3 2018","Currency=INR","Period=FQ","BEST_FPERIOD_OVERRIDE=FQ","FILING_STATUS=OR","EQY_CONSOLIDATED=Y","Sort=A","Dates=H","DateFormat=P","Fill=—","Direction=H","UseDPDF=Y")</f>
        <v>#NAME?</v>
      </c>
      <c r="CW151" s="4" t="e">
        <f ca="1">_xll.BDH($C$128,"ACCT_RCV_TURN","FQ3 2018","FQ3 2018","Currency=INR","Period=FQ","BEST_FPERIOD_OVERRIDE=FQ","FILING_STATUS=OR","EQY_CONSOLIDATED=Y","FA_ADJUSTED=GAAP","Sort=A","Dates=H","DateFormat=P","Fill=—","Direction=H","UseDPDF=Y")</f>
        <v>#NAME?</v>
      </c>
      <c r="CX151" s="2" t="e">
        <f ca="1">_xll.BDH($C$128,"ACCT_RCV_DAYS","FQ3 2018","FQ3 2018","Currency=INR","Period=FQ","BEST_FPERIOD_OVERRIDE=FQ","FILING_STATUS=OR","EQY_CONSOLIDATED=Y","FA_ADJUSTED=GAAP","Sort=A","Dates=H","DateFormat=P","Fill=—","Direction=H","UseDPDF=Y")</f>
        <v>#NAME?</v>
      </c>
      <c r="CY151" s="4" t="e">
        <f ca="1">_xll.BDH($C$128,"INVENT_TURN","FQ3 2018","FQ3 2018","Currency=INR","Period=FQ","BEST_FPERIOD_OVERRIDE=FQ","FILING_STATUS=OR","EQY_CONSOLIDATED=Y","FA_ADJUSTED=GAAP","Sort=A","Dates=H","DateFormat=P","Fill=—","Direction=H","UseDPDF=Y")</f>
        <v>#NAME?</v>
      </c>
      <c r="CZ151" s="2" t="e">
        <f ca="1">_xll.BDH($C$128,"INVENT_DAYS","FQ3 2018","FQ3 2018","Currency=INR","Period=FQ","BEST_FPERIOD_OVERRIDE=FQ","FILING_STATUS=OR","EQY_CONSOLIDATED=Y","FA_ADJUSTED=GAAP","Sort=A","Dates=H","DateFormat=P","Fill=—","Direction=H","UseDPDF=Y")</f>
        <v>#NAME?</v>
      </c>
      <c r="DA151" s="4" t="e">
        <f ca="1">_xll.BDH($C$128,"ACCOUNTS_PAYABLE_TURNOVER","FQ3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51" s="2" t="e">
        <f ca="1">_xll.BDH($C$128,"ACCOUNTS_PAYABLE_TURNOVER_DAYS","FQ3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51" s="4" t="e">
        <f ca="1">_xll.BDH($C$128,"CASH_CONVERSION_CYCLE","FQ3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51" s="4" t="e">
        <f ca="1">_xll.BDH($C$128,"INV_TO_CASH_DAYS","FQ3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151" s="5" t="e">
        <f ca="1">_xll.BDH($C$128,"BS_INVENTORIES","FQ3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151" s="3" t="e">
        <f ca="1">_xll.BDH($C$128,"INVTRY_RAW_MATERIALS","FQ3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51" s="3" t="e">
        <f ca="1">_xll.BDH($C$128,"INVTRY_IN_PROGRESS","FQ3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51" s="3" t="e">
        <f ca="1">_xll.BDH($C$128,"INVTRY_FINISHED_GOODS","FQ3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51" s="3" t="e">
        <f ca="1">_xll.BDH($C$128,"BS_OTHER_INV","FQ3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52" spans="1:113" x14ac:dyDescent="0.3">
      <c r="A152" s="6"/>
      <c r="B152" s="6"/>
      <c r="C152" s="6"/>
      <c r="D152" s="6"/>
      <c r="E152" t="s">
        <v>81</v>
      </c>
      <c r="F152" t="e">
        <f ca="1">_xll.BDH($C$128,"RETURN_COM_EQY","FQ4 2018","FQ4 2018","Currency=INR","Period=FQ","BEST_FPERIOD_OVERRIDE=FQ","FILING_STATUS=OR","EQY_CONSOLIDATED=Y","FA_ADJUSTED=GAAP","Sort=A","Dates=H","DateFormat=P","Fill=—","Direction=H","UseDPDF=Y")</f>
        <v>#NAME?</v>
      </c>
      <c r="G152" t="e">
        <f ca="1">_xll.BDH($C$128,"RETURN_ON_ASSET","FQ4 2018","FQ4 2018","Currency=INR","Period=FQ","BEST_FPERIOD_OVERRIDE=FQ","FILING_STATUS=OR","EQY_CONSOLIDATED=Y","FA_ADJUSTED=GAAP","Sort=A","Dates=H","DateFormat=P","Fill=—","Direction=H","UseDPDF=Y")</f>
        <v>#NAME?</v>
      </c>
      <c r="H152" t="e">
        <f ca="1">_xll.BDH($C$128,"RETURN_ON_CAP","FQ4 2018","FQ4 2018","Currency=INR","Period=FQ","BEST_FPERIOD_OVERRIDE=FQ","FILING_STATUS=OR","EQY_CONSOLIDATED=Y","FA_ADJUSTED=GAAP","Sort=A","Dates=H","DateFormat=P","Fill=—","Direction=H","UseDPDF=Y")</f>
        <v>#NAME?</v>
      </c>
      <c r="I152" t="e">
        <f ca="1">_xll.BDH($C$128,"RETURN_ON_INV_CAPITAL","FQ4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52" t="e">
        <f ca="1">_xll.BDH($C$128,"EBITDA_TO_REVENUE","FQ4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152" t="e">
        <f ca="1">_xll.BDH($C$128,"OPER_MARGIN","FQ4 2018","FQ4 2018","Currency=INR","Period=FQ","BEST_FPERIOD_OVERRIDE=FQ","FILING_STATUS=OR","EQY_CONSOLIDATED=Y","FA_ADJUSTED=GAAP","Sort=A","Dates=H","DateFormat=P","Fill=—","Direction=H","UseDPDF=Y")</f>
        <v>#NAME?</v>
      </c>
      <c r="L152" t="e">
        <f ca="1">_xll.BDH($C$128,"INCREMENTAL_OPERATING_MARGIN","FQ4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52" t="e">
        <f ca="1">_xll.BDH($C$128,"PRETAX_INC_TO_NET_SALES","FQ4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52" t="e">
        <f ca="1">_xll.BDH($C$128,"INC_BEF_XO_ITEMS_TO_NET_SALES","FQ4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52" t="e">
        <f ca="1">_xll.BDH($C$128,"PROF_MARGIN","FQ4 2018","FQ4 2018","Currency=INR","Period=FQ","BEST_FPERIOD_OVERRIDE=FQ","FILING_STATUS=OR","EQY_CONSOLIDATED=Y","FA_ADJUSTED=GAAP","Sort=A","Dates=H","DateFormat=P","Fill=—","Direction=H","UseDPDF=Y")</f>
        <v>#NAME?</v>
      </c>
      <c r="P152" t="e">
        <f ca="1">_xll.BDH($C$128,"NET_INCOME_TO_COMMON_MARGIN","FQ4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52" t="e">
        <f ca="1">_xll.BDH($C$128,"EFF_TAX_RATE","FQ4 2018","FQ4 2018","Currency=INR","Period=FQ","BEST_FPERIOD_OVERRIDE=FQ","FILING_STATUS=OR","EQY_CONSOLIDATED=Y","FA_ADJUSTED=GAAP","Sort=A","Dates=H","DateFormat=P","Fill=—","Direction=H","UseDPDF=Y")</f>
        <v>#NAME?</v>
      </c>
      <c r="R152" t="e">
        <f ca="1">_xll.BDH($C$128,"DVD_PAYOUT_RATIO","FQ4 2018","FQ4 2018","Currency=INR","Period=FQ","BEST_FPERIOD_OVERRIDE=FQ","FILING_STATUS=OR","EQY_CONSOLIDATED=Y","FA_ADJUSTED=GAAP","Sort=A","Dates=H","DateFormat=P","Fill=—","Direction=H","UseDPDF=Y")</f>
        <v>#NAME?</v>
      </c>
      <c r="S152" t="e">
        <f ca="1">_xll.BDH($C$128,"SUSTAIN_GROWTH_RT","FQ4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152" s="2" t="e">
        <f ca="1">_xll.BDH($C$128,"SALES_GROWTH","FQ4 2018","FQ4 2018","Currency=INR","Period=FQ","BEST_FPERIOD_OVERRIDE=FQ","FILING_STATUS=OR","EQY_CONSOLIDATED=Y","FA_ADJUSTED=GAAP","Sort=A","Dates=H","DateFormat=P","Fill=—","Direction=H","UseDPDF=Y")</f>
        <v>#NAME?</v>
      </c>
      <c r="U152" s="2" t="e">
        <f ca="1">_xll.BDH($C$128,"EBITDA_GROWTH","FQ4 2018","FQ4 2018","Currency=INR","Period=FQ","BEST_FPERIOD_OVERRIDE=FQ","FILING_STATUS=OR","EQY_CONSOLIDATED=Y","FA_ADJUSTED=GAAP","Sort=A","Dates=H","DateFormat=P","Fill=—","Direction=H","UseDPDF=Y")</f>
        <v>#NAME?</v>
      </c>
      <c r="V152" s="2" t="e">
        <f ca="1">_xll.BDH($C$128,"OPER_INC_GROWTH","FQ4 2018","FQ4 2018","Currency=INR","Period=FQ","BEST_FPERIOD_OVERRIDE=FQ","FILING_STATUS=OR","EQY_CONSOLIDATED=Y","FA_ADJUSTED=GAAP","Sort=A","Dates=H","DateFormat=P","Fill=—","Direction=H","UseDPDF=Y")</f>
        <v>#NAME?</v>
      </c>
      <c r="W152" s="2" t="e">
        <f ca="1">_xll.BDH($C$128,"EARN_FOR_COM_GROWTH","FQ4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52" s="2" t="e">
        <f ca="1">_xll.BDH($C$128,"DILUTED_EPS_AFT_XO_ITEMS_GROWTH","FQ4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52" s="2" t="e">
        <f ca="1">_xll.BDH($C$128,"DIVIDEND_PER_SHARE_1_YEAR_GROWTH","FQ4 2018","FQ4 2018","Currency=INR","Period=FQ","BEST_FPERIOD_OVERRIDE=FQ","FILING_STATUS=OR","EQY_CONSOLIDATED=Y","Sort=A","Dates=H","DateFormat=P","Fill=—","Direction=H","UseDPDF=Y")</f>
        <v>#NAME?</v>
      </c>
      <c r="Z152" s="2" t="e">
        <f ca="1">_xll.BDH($C$128,"ACCOUNTS_RECEIVABLE_GROWTH","FQ4 2018","FQ4 2018","Currency=INR","Period=FQ","BEST_FPERIOD_OVERRIDE=FQ","FILING_STATUS=OR","EQY_CONSOLIDATED=Y","Sort=A","Dates=H","DateFormat=P","Fill=—","Direction=H","UseDPDF=Y")</f>
        <v>#NAME?</v>
      </c>
      <c r="AA152" s="2" t="e">
        <f ca="1">_xll.BDH($C$128,"INVENTORY_GROWTH","FQ4 2018","FQ4 2018","Currency=INR","Period=FQ","BEST_FPERIOD_OVERRIDE=FQ","FILING_STATUS=OR","EQY_CONSOLIDATED=Y","Sort=A","Dates=H","DateFormat=P","Fill=—","Direction=H","UseDPDF=Y")</f>
        <v>#NAME?</v>
      </c>
      <c r="AB152" s="2" t="e">
        <f ca="1">_xll.BDH($C$128,"NET_FIXED_ASSETS_1_YEAR_GROWTH","FQ4 2018","FQ4 2018","Currency=INR","Period=FQ","BEST_FPERIOD_OVERRIDE=FQ","FILING_STATUS=OR","EQY_CONSOLIDATED=Y","Sort=A","Dates=H","DateFormat=P","Fill=—","Direction=H","UseDPDF=Y")</f>
        <v>#NAME?</v>
      </c>
      <c r="AC152" s="2" t="e">
        <f ca="1">_xll.BDH($C$128,"ASSET_GROWTH","FQ4 2018","FQ4 2018","Currency=INR","Period=FQ","BEST_FPERIOD_OVERRIDE=FQ","FILING_STATUS=OR","EQY_CONSOLIDATED=Y","Sort=A","Dates=H","DateFormat=P","Fill=—","Direction=H","UseDPDF=Y")</f>
        <v>#NAME?</v>
      </c>
      <c r="AD152" s="2" t="e">
        <f ca="1">_xll.BDH($C$128,"MODIFIED_WORK_CAP_GROWTH","FQ4 2018","FQ4 2018","Currency=INR","Period=FQ","BEST_FPERIOD_OVERRIDE=FQ","FILING_STATUS=OR","EQY_CONSOLIDATED=Y","Sort=A","Dates=H","DateFormat=P","Fill=—","Direction=H","UseDPDF=Y")</f>
        <v>#NAME?</v>
      </c>
      <c r="AE152" s="2" t="e">
        <f ca="1">_xll.BDH($C$128,"WORK_CAP_GROWTH","FQ4 2018","FQ4 2018","Currency=INR","Period=FQ","BEST_FPERIOD_OVERRIDE=FQ","FILING_STATUS=OR","EQY_CONSOLIDATED=Y","Sort=A","Dates=H","DateFormat=P","Fill=—","Direction=H","UseDPDF=Y")</f>
        <v>#NAME?</v>
      </c>
      <c r="AF152" s="2" t="e">
        <f ca="1">_xll.BDH($C$128,"ACCOUNTS_PAYABLE_GROWTH_1YR","FQ4 2018","FQ4 2018","Currency=INR","Period=FQ","BEST_FPERIOD_OVERRIDE=FQ","FILING_STATUS=OR","EQY_CONSOLIDATED=Y","Sort=A","Dates=H","DateFormat=P","Fill=—","Direction=H","UseDPDF=Y")</f>
        <v>#NAME?</v>
      </c>
      <c r="AG152" s="2" t="e">
        <f ca="1">_xll.BDH($C$128,"SHORT_TERM_DEBT_1_YEAR_GROWTH","FQ4 2018","FQ4 2018","Currency=INR","Period=FQ","BEST_FPERIOD_OVERRIDE=FQ","FILING_STATUS=OR","EQY_CONSOLIDATED=Y","Sort=A","Dates=H","DateFormat=P","Fill=—","Direction=H","UseDPDF=Y")</f>
        <v>#NAME?</v>
      </c>
      <c r="AH152" s="2" t="e">
        <f ca="1">_xll.BDH($C$128,"TOTAL_DEBT_1_YEAR_GROWTH","FQ4 2018","FQ4 2018","Currency=INR","Period=FQ","BEST_FPERIOD_OVERRIDE=FQ","FILING_STATUS=OR","EQY_CONSOLIDATED=Y","Sort=A","Dates=H","DateFormat=P","Fill=—","Direction=H","UseDPDF=Y")</f>
        <v>#NAME?</v>
      </c>
      <c r="AI152" s="2" t="e">
        <f ca="1">_xll.BDH($C$128,"TOTAL_EQUITY_1_YEAR_GROWTH","FQ4 2018","FQ4 2018","Currency=INR","Period=FQ","BEST_FPERIOD_OVERRIDE=FQ","FILING_STATUS=OR","EQY_CONSOLIDATED=Y","Sort=A","Dates=H","DateFormat=P","Fill=—","Direction=H","UseDPDF=Y")</f>
        <v>#NAME?</v>
      </c>
      <c r="AJ152" s="2" t="e">
        <f ca="1">_xll.BDH($C$128,"GROWTH_IN_CAP","FQ4 2018","FQ4 2018","Currency=INR","Period=FQ","BEST_FPERIOD_OVERRIDE=FQ","FILING_STATUS=OR","EQY_CONSOLIDATED=Y","Sort=A","Dates=H","DateFormat=P","Fill=—","Direction=H","UseDPDF=Y")</f>
        <v>#NAME?</v>
      </c>
      <c r="AK152" s="2" t="e">
        <f ca="1">_xll.BDH($C$128,"BVPS_GROWTH","FQ4 2018","FQ4 2018","Currency=INR","Period=FQ","BEST_FPERIOD_OVERRIDE=FQ","FILING_STATUS=OR","EQY_CONSOLIDATED=Y","Sort=A","Dates=H","DateFormat=P","Fill=—","Direction=H","UseDPDF=Y")</f>
        <v>#NAME?</v>
      </c>
      <c r="AL152" s="2" t="e">
        <f ca="1">_xll.BDH($C$128,"CASH_FLOW_GROWTH","FQ4 2018","FQ4 2018","Currency=INR","Period=FQ","BEST_FPERIOD_OVERRIDE=FQ","FILING_STATUS=OR","EQY_CONSOLIDATED=Y","Sort=A","Dates=H","DateFormat=P","Fill=—","Direction=H","UseDPDF=Y")</f>
        <v>#NAME?</v>
      </c>
      <c r="AM152" s="2" t="e">
        <f ca="1">_xll.BDH($C$128,"GEO_GROW_NET_SALES","FQ4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52" s="2" t="e">
        <f ca="1">_xll.BDH($C$128,"GEO_GROW_EBITDA","FQ4 2018","FQ4 2018","Currency=INR","Period=FQ","BEST_FPERIOD_OVERRIDE=FQ","FILING_STATUS=OR","EQY_CONSOLIDATED=Y","FA_ADJUSTED=GAAP","Sort=A","Dates=H","DateFormat=P","Fill=—","Direction=H","UseDPDF=Y")</f>
        <v>#NAME?</v>
      </c>
      <c r="AO152" s="2" t="e">
        <f ca="1">_xll.BDH($C$128,"GEO_GROW_OPER_INC","FQ4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52" s="2" t="e">
        <f ca="1">_xll.BDH($C$128,"NET_INCOME_TO_COMMON_5_YR_GROWTH","FQ4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52" s="2" t="e">
        <f ca="1">_xll.BDH($C$128,"5Y_GEO_GROWTH_DILUTED_EPS","FQ4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52" s="2" t="e">
        <f ca="1">_xll.BDH($C$128,"GEO_GROW_DVD_PER_SH","FQ4 2018","FQ4 2018","Currency=INR","Period=FQ","BEST_FPERIOD_OVERRIDE=FQ","FILING_STATUS=OR","EQY_CONSOLIDATED=Y","Sort=A","Dates=H","DateFormat=P","Fill=—","Direction=H","UseDPDF=Y")</f>
        <v>#NAME?</v>
      </c>
      <c r="AS152" s="2" t="e">
        <f ca="1">_xll.BDH($C$128,"ACCOUNTS_RECEIVABLE_5_YR_GROWTH","FQ4 2018","FQ4 2018","Currency=INR","Period=FQ","BEST_FPERIOD_OVERRIDE=FQ","FILING_STATUS=OR","EQY_CONSOLIDATED=Y","Sort=A","Dates=H","DateFormat=P","Fill=—","Direction=H","UseDPDF=Y")</f>
        <v>#NAME?</v>
      </c>
      <c r="AT152" s="2" t="e">
        <f ca="1">_xll.BDH($C$128,"INVENTORY_5_YEAR_GROWTH","FQ4 2018","FQ4 2018","Currency=INR","Period=FQ","BEST_FPERIOD_OVERRIDE=FQ","FILING_STATUS=OR","EQY_CONSOLIDATED=Y","Sort=A","Dates=H","DateFormat=P","Fill=—","Direction=H","UseDPDF=Y")</f>
        <v>#NAME?</v>
      </c>
      <c r="AU152" s="2" t="e">
        <f ca="1">_xll.BDH($C$128,"NET_FIXED_ASSETS_5_YEAR_GROWTH","FQ4 2018","FQ4 2018","Currency=INR","Period=FQ","BEST_FPERIOD_OVERRIDE=FQ","FILING_STATUS=OR","EQY_CONSOLIDATED=Y","Sort=A","Dates=H","DateFormat=P","Fill=—","Direction=H","UseDPDF=Y")</f>
        <v>#NAME?</v>
      </c>
      <c r="AV152" s="2" t="e">
        <f ca="1">_xll.BDH($C$128,"GEO_GROW_TOT_ASSET","FQ4 2018","FQ4 2018","Currency=INR","Period=FQ","BEST_FPERIOD_OVERRIDE=FQ","FILING_STATUS=OR","EQY_CONSOLIDATED=Y","Sort=A","Dates=H","DateFormat=P","Fill=—","Direction=H","UseDPDF=Y")</f>
        <v>#NAME?</v>
      </c>
      <c r="AW152" s="2" t="e">
        <f ca="1">_xll.BDH($C$128,"MODIFIED_WORKING_CPTL_5YR_GRWTH","FQ4 2018","FQ4 2018","Currency=INR","Period=FQ","BEST_FPERIOD_OVERRIDE=FQ","FILING_STATUS=OR","EQY_CONSOLIDATED=Y","Sort=A","Dates=H","DateFormat=P","Fill=—","Direction=H","UseDPDF=Y")</f>
        <v>#NAME?</v>
      </c>
      <c r="AX152" s="2" t="e">
        <f ca="1">_xll.BDH($C$128,"WORKING_CAPITAL_5_YEAR_GROWTH","FQ4 2018","FQ4 2018","Currency=INR","Period=FQ","BEST_FPERIOD_OVERRIDE=FQ","FILING_STATUS=OR","EQY_CONSOLIDATED=Y","Sort=A","Dates=H","DateFormat=P","Fill=—","Direction=H","UseDPDF=Y")</f>
        <v>#NAME?</v>
      </c>
      <c r="AY152" s="2" t="e">
        <f ca="1">_xll.BDH($C$128,"ACCOUNTS_PAYABLE_5_YEAR_GROWTH","FQ4 2018","FQ4 2018","Currency=INR","Period=FQ","BEST_FPERIOD_OVERRIDE=FQ","FILING_STATUS=OR","EQY_CONSOLIDATED=Y","Sort=A","Dates=H","DateFormat=P","Fill=—","Direction=H","UseDPDF=Y")</f>
        <v>#NAME?</v>
      </c>
      <c r="AZ152" s="2" t="e">
        <f ca="1">_xll.BDH($C$128,"SHORT_TERM_DEBT_5_YEAR_GROWTH","FQ4 2018","FQ4 2018","Currency=INR","Period=FQ","BEST_FPERIOD_OVERRIDE=FQ","FILING_STATUS=OR","EQY_CONSOLIDATED=Y","Sort=A","Dates=H","DateFormat=P","Fill=—","Direction=H","UseDPDF=Y")</f>
        <v>#NAME?</v>
      </c>
      <c r="BA152" s="2" t="e">
        <f ca="1">_xll.BDH($C$128,"TOTAL_DEBT_5_YEAR_GROWTH","FQ4 2018","FQ4 2018","Currency=INR","Period=FQ","BEST_FPERIOD_OVERRIDE=FQ","FILING_STATUS=OR","EQY_CONSOLIDATED=Y","Sort=A","Dates=H","DateFormat=P","Fill=—","Direction=H","UseDPDF=Y")</f>
        <v>#NAME?</v>
      </c>
      <c r="BB152" s="2" t="e">
        <f ca="1">_xll.BDH($C$128,"GEO_GROW_TOT_SHRHLDR_EQY","FQ4 2018","FQ4 2018","Currency=INR","Period=FQ","BEST_FPERIOD_OVERRIDE=FQ","FILING_STATUS=OR","EQY_CONSOLIDATED=Y","Sort=A","Dates=H","DateFormat=P","Fill=—","Direction=H","UseDPDF=Y")</f>
        <v>#NAME?</v>
      </c>
      <c r="BC152" s="2" t="e">
        <f ca="1">_xll.BDH($C$128,"TOTAL_CAPITAL_5_YEAR_GROWTH","FQ4 2018","FQ4 2018","Currency=INR","Period=FQ","BEST_FPERIOD_OVERRIDE=FQ","FILING_STATUS=OR","EQY_CONSOLIDATED=Y","Sort=A","Dates=H","DateFormat=P","Fill=—","Direction=H","UseDPDF=Y")</f>
        <v>#NAME?</v>
      </c>
      <c r="BD152" s="2" t="e">
        <f ca="1">_xll.BDH($C$128,"GEO_GROW_BOOK_VAL","FQ4 2018","FQ4 2018","Currency=INR","Period=FQ","BEST_FPERIOD_OVERRIDE=FQ","FILING_STATUS=OR","EQY_CONSOLIDATED=Y","Sort=A","Dates=H","DateFormat=P","Fill=—","Direction=H","UseDPDF=Y")</f>
        <v>#NAME?</v>
      </c>
      <c r="BE152" s="2" t="e">
        <f ca="1">_xll.BDH($C$128,"GEO_GROW_CASH_OPER_ACT","FQ4 2018","FQ4 2018","Currency=INR","Period=FQ","BEST_FPERIOD_OVERRIDE=FQ","FILING_STATUS=OR","EQY_CONSOLIDATED=Y","Sort=A","Dates=H","DateFormat=P","Fill=—","Direction=H","UseDPDF=Y")</f>
        <v>#NAME?</v>
      </c>
      <c r="BF152" s="2" t="e">
        <f ca="1">_xll.BDH($C$128,"REVENUE_SEQUENTIAL_GROWTH","FQ4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52" s="2" t="e">
        <f ca="1">_xll.BDH($C$128,"EBITDA_SEQUENTIAL_GROWTH","FQ4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52" s="2" t="e">
        <f ca="1">_xll.BDH($C$128,"OPERATING_INCOME_SEQ_GROWTH","FQ4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52" s="2" t="e">
        <f ca="1">_xll.BDH($C$128,"NET_INCOME_TO_COMMON_SEQ_GROWTH","FQ4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52" s="2" t="e">
        <f ca="1">_xll.BDH($C$128,"EPS_DILUTED_SEQUENTIAL_GROWTH","FQ4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52" s="2" t="e">
        <f ca="1">_xll.BDH($C$128,"DPS_SEQUENTIAL_GROWTH","FQ4 2018","FQ4 2018","Currency=INR","Period=FQ","BEST_FPERIOD_OVERRIDE=FQ","FILING_STATUS=OR","EQY_CONSOLIDATED=Y","Sort=A","Dates=H","DateFormat=P","Fill=—","Direction=H","UseDPDF=Y")</f>
        <v>#NAME?</v>
      </c>
      <c r="BL152" s="2" t="e">
        <f ca="1">_xll.BDH($C$128,"ACCOUNTS_RECEIVABLE_SEQ_GROWTH","FQ4 2018","FQ4 2018","Currency=INR","Period=FQ","BEST_FPERIOD_OVERRIDE=FQ","FILING_STATUS=OR","EQY_CONSOLIDATED=Y","Sort=A","Dates=H","DateFormat=P","Fill=—","Direction=H","UseDPDF=Y")</f>
        <v>#NAME?</v>
      </c>
      <c r="BM152" s="2" t="e">
        <f ca="1">_xll.BDH($C$128,"INVENTORY_SEQUENTIAL_GROWTH","FQ4 2018","FQ4 2018","Currency=INR","Period=FQ","BEST_FPERIOD_OVERRIDE=FQ","FILING_STATUS=OR","EQY_CONSOLIDATED=Y","Sort=A","Dates=H","DateFormat=P","Fill=—","Direction=H","UseDPDF=Y")</f>
        <v>#NAME?</v>
      </c>
      <c r="BN152" s="2" t="e">
        <f ca="1">_xll.BDH($C$128,"FIXED_ASSETS_SEQUENTIAL_GROWTH","FQ4 2018","FQ4 2018","Currency=INR","Period=FQ","BEST_FPERIOD_OVERRIDE=FQ","FILING_STATUS=OR","EQY_CONSOLIDATED=Y","Sort=A","Dates=H","DateFormat=P","Fill=—","Direction=H","UseDPDF=Y")</f>
        <v>#NAME?</v>
      </c>
      <c r="BO152" s="2" t="e">
        <f ca="1">_xll.BDH($C$128,"TOTAL_ASSETS_SEQUENTIAL_GROWTH","FQ4 2018","FQ4 2018","Currency=INR","Period=FQ","BEST_FPERIOD_OVERRIDE=FQ","FILING_STATUS=OR","EQY_CONSOLIDATED=Y","Sort=A","Dates=H","DateFormat=P","Fill=—","Direction=H","UseDPDF=Y")</f>
        <v>#NAME?</v>
      </c>
      <c r="BP152" s="2" t="e">
        <f ca="1">_xll.BDH($C$128,"MODIFIED_WORKING_CPTL_SEQ_GRWTH","FQ4 2018","FQ4 2018","Currency=INR","Period=FQ","BEST_FPERIOD_OVERRIDE=FQ","FILING_STATUS=OR","EQY_CONSOLIDATED=Y","Sort=A","Dates=H","DateFormat=P","Fill=—","Direction=H","UseDPDF=Y")</f>
        <v>#NAME?</v>
      </c>
      <c r="BQ152" s="2" t="e">
        <f ca="1">_xll.BDH($C$128,"WORKING_CAPITAL_SEQ_GROWTH","FQ4 2018","FQ4 2018","Currency=INR","Period=FQ","BEST_FPERIOD_OVERRIDE=FQ","FILING_STATUS=OR","EQY_CONSOLIDATED=Y","Sort=A","Dates=H","DateFormat=P","Fill=—","Direction=H","UseDPDF=Y")</f>
        <v>#NAME?</v>
      </c>
      <c r="BR152" s="2" t="e">
        <f ca="1">_xll.BDH($C$128,"ACCOUNTS_PAYABLE_SEQ_GROWTH","FQ4 2018","FQ4 2018","Currency=INR","Period=FQ","BEST_FPERIOD_OVERRIDE=FQ","FILING_STATUS=OR","EQY_CONSOLIDATED=Y","Sort=A","Dates=H","DateFormat=P","Fill=—","Direction=H","UseDPDF=Y")</f>
        <v>#NAME?</v>
      </c>
      <c r="BS152" s="2" t="e">
        <f ca="1">_xll.BDH($C$128,"ST_DEBT_SEQUENTIAL_GROWTH","FQ4 2018","FQ4 2018","Currency=INR","Period=FQ","BEST_FPERIOD_OVERRIDE=FQ","FILING_STATUS=OR","EQY_CONSOLIDATED=Y","Sort=A","Dates=H","DateFormat=P","Fill=—","Direction=H","UseDPDF=Y")</f>
        <v>#NAME?</v>
      </c>
      <c r="BT152" s="2" t="e">
        <f ca="1">_xll.BDH($C$128,"TOTAL_DEBT_SEQUENTIAL_GROWTH","FQ4 2018","FQ4 2018","Currency=INR","Period=FQ","BEST_FPERIOD_OVERRIDE=FQ","FILING_STATUS=OR","EQY_CONSOLIDATED=Y","Sort=A","Dates=H","DateFormat=P","Fill=—","Direction=H","UseDPDF=Y")</f>
        <v>#NAME?</v>
      </c>
      <c r="BU152" s="2" t="e">
        <f ca="1">_xll.BDH($C$128,"TOTAL_EQUITY_SEQUENTIAL_GROWTH","FQ4 2018","FQ4 2018","Currency=INR","Period=FQ","BEST_FPERIOD_OVERRIDE=FQ","FILING_STATUS=OR","EQY_CONSOLIDATED=Y","Sort=A","Dates=H","DateFormat=P","Fill=—","Direction=H","UseDPDF=Y")</f>
        <v>#NAME?</v>
      </c>
      <c r="BV152" s="2" t="e">
        <f ca="1">_xll.BDH($C$128,"TOTAL_CAPITAL_SEQUENTIAL_GROWTH","FQ4 2018","FQ4 2018","Currency=INR","Period=FQ","BEST_FPERIOD_OVERRIDE=FQ","FILING_STATUS=OR","EQY_CONSOLIDATED=Y","Sort=A","Dates=H","DateFormat=P","Fill=—","Direction=H","UseDPDF=Y")</f>
        <v>#NAME?</v>
      </c>
      <c r="BW152" s="2" t="e">
        <f ca="1">_xll.BDH($C$128,"BPS_SEQUENTIAL_GROWTH","FQ4 2018","FQ4 2018","Currency=INR","Period=FQ","BEST_FPERIOD_OVERRIDE=FQ","FILING_STATUS=OR","EQY_CONSOLIDATED=Y","Sort=A","Dates=H","DateFormat=P","Fill=—","Direction=H","UseDPDF=Y")</f>
        <v>#NAME?</v>
      </c>
      <c r="BX152" s="2" t="e">
        <f ca="1">_xll.BDH($C$128,"CFO_SEQUENTIAL_GROWTH","FQ4 2018","FQ4 2018","Currency=INR","Period=FQ","BEST_FPERIOD_OVERRIDE=FQ","FILING_STATUS=OR","EQY_CONSOLIDATED=Y","Sort=A","Dates=H","DateFormat=P","Fill=—","Direction=H","UseDPDF=Y")</f>
        <v>#NAME?</v>
      </c>
      <c r="BY152" s="3" t="e">
        <f ca="1">_xll.BDH($C$128,"SHORT_AND_LONG_TERM_DEBT","FQ4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52" s="3" t="e">
        <f ca="1">_xll.BDH($C$128,"BS_ST_BORROW","FQ4 2018","FQ4 2018","Currency=INR","Period=FQ","BEST_FPERIOD_OVERRIDE=FQ","FILING_STATUS=OR","EQY_CONSOLIDATED=Y","SCALING_FORMAT=MLN","Sort=A","Dates=H","DateFormat=P","Fill=—","Direction=H","UseDPDF=Y")</f>
        <v>#NAME?</v>
      </c>
      <c r="CA152" s="3" t="e">
        <f ca="1">_xll.BDH($C$128,"BS_LT_BORROW","FQ4 2018","FQ4 2018","Currency=INR","Period=FQ","BEST_FPERIOD_OVERRIDE=FQ","FILING_STATUS=OR","EQY_CONSOLIDATED=Y","SCALING_FORMAT=MLN","Sort=A","Dates=H","DateFormat=P","Fill=—","Direction=H","UseDPDF=Y")</f>
        <v>#NAME?</v>
      </c>
      <c r="CB152" s="2" t="e">
        <f ca="1">_xll.BDH($C$128,"TOT_DEBT_TO_EBITDA","FQ4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52" s="2" t="e">
        <f ca="1">_xll.BDH($C$128,"NET_DEBT_TO_EBITDA","FQ4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52" s="2" t="e">
        <f ca="1">_xll.BDH($C$128,"TOTAL_DEBT_TO_EBIT","FQ4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52" s="2" t="e">
        <f ca="1">_xll.BDH($C$128,"NET_DEBT_TO_EBIT","FQ4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152" s="2" t="e">
        <f ca="1">_xll.BDH($C$128,"EBITDA_TO_INTEREST_EXPN","FQ4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52" s="2" t="e">
        <f ca="1">_xll.BDH($C$128,"COM_EQY_TO_TOT_ASSET","FQ4 2018","FQ4 2018","Currency=INR","Period=FQ","BEST_FPERIOD_OVERRIDE=FQ","FILING_STATUS=OR","EQY_CONSOLIDATED=Y","Sort=A","Dates=H","DateFormat=P","Fill=—","Direction=H","UseDPDF=Y")</f>
        <v>#NAME?</v>
      </c>
      <c r="CH152" s="2" t="e">
        <f ca="1">_xll.BDH($C$128,"LT_DEBT_TO_TOT_EQY","FQ4 2018","FQ4 2018","Currency=INR","Period=FQ","BEST_FPERIOD_OVERRIDE=FQ","FILING_STATUS=OR","EQY_CONSOLIDATED=Y","Sort=A","Dates=H","DateFormat=P","Fill=—","Direction=H","UseDPDF=Y")</f>
        <v>#NAME?</v>
      </c>
      <c r="CI152" s="2" t="e">
        <f ca="1">_xll.BDH($C$128,"LT_DEBT_TO_TOT_CAP","FQ4 2018","FQ4 2018","Currency=INR","Period=FQ","BEST_FPERIOD_OVERRIDE=FQ","FILING_STATUS=OR","EQY_CONSOLIDATED=Y","Sort=A","Dates=H","DateFormat=P","Fill=—","Direction=H","UseDPDF=Y")</f>
        <v>#NAME?</v>
      </c>
      <c r="CJ152" s="2" t="e">
        <f ca="1">_xll.BDH($C$128,"LT_DEBT_TO_TOT_ASSET","FQ4 2018","FQ4 2018","Currency=INR","Period=FQ","BEST_FPERIOD_OVERRIDE=FQ","FILING_STATUS=OR","EQY_CONSOLIDATED=Y","Sort=A","Dates=H","DateFormat=P","Fill=—","Direction=H","UseDPDF=Y")</f>
        <v>#NAME?</v>
      </c>
      <c r="CK152" s="2" t="e">
        <f ca="1">_xll.BDH($C$128,"TOT_DEBT_TO_TOT_EQY","FQ4 2018","FQ4 2018","Currency=INR","Period=FQ","BEST_FPERIOD_OVERRIDE=FQ","FILING_STATUS=OR","EQY_CONSOLIDATED=Y","Sort=A","Dates=H","DateFormat=P","Fill=—","Direction=H","UseDPDF=Y")</f>
        <v>#NAME?</v>
      </c>
      <c r="CL152" s="2" t="e">
        <f ca="1">_xll.BDH($C$128,"TOT_DEBT_TO_TOT_CAP","FQ4 2018","FQ4 2018","Currency=INR","Period=FQ","BEST_FPERIOD_OVERRIDE=FQ","FILING_STATUS=OR","EQY_CONSOLIDATED=Y","Sort=A","Dates=H","DateFormat=P","Fill=—","Direction=H","UseDPDF=Y")</f>
        <v>#NAME?</v>
      </c>
      <c r="CM152" s="2" t="e">
        <f ca="1">_xll.BDH($C$128,"TOT_DEBT_TO_TOT_ASSET","FQ4 2018","FQ4 2018","Currency=INR","Period=FQ","BEST_FPERIOD_OVERRIDE=FQ","FILING_STATUS=OR","EQY_CONSOLIDATED=Y","Sort=A","Dates=H","DateFormat=P","Fill=—","Direction=H","UseDPDF=Y")</f>
        <v>#NAME?</v>
      </c>
      <c r="CN152" s="2" t="e">
        <f ca="1">_xll.BDH($C$128,"NET_DEBT_TO_SHRHLDR_EQTY","FQ4 2018","FQ4 2018","Currency=INR","Period=FQ","BEST_FPERIOD_OVERRIDE=FQ","FILING_STATUS=OR","EQY_CONSOLIDATED=Y","Sort=A","Dates=H","DateFormat=P","Fill=—","Direction=H","UseDPDF=Y")</f>
        <v>#NAME?</v>
      </c>
      <c r="CO152" s="2" t="e">
        <f ca="1">_xll.BDH($C$128,"NET_DEBT_%_CAPITAL","FQ4 2018","FQ4 2018","Currency=INR","Period=FQ","BEST_FPERIOD_OVERRIDE=FQ","FILING_STATUS=OR","EQY_CONSOLIDATED=Y","Sort=A","Dates=H","DateFormat=P","Fill=—","Direction=H","UseDPDF=Y")</f>
        <v>#NAME?</v>
      </c>
      <c r="CP152" s="3" t="e">
        <f ca="1">_xll.BDH($C$128,"EBITDA","FQ4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52" s="3" t="e">
        <f ca="1">_xll.BDH($C$128,"EBITDA_AFTER_CAPEX","FQ4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52" s="3" t="e">
        <f ca="1">_xll.BDH($C$128,"IS_OPER_INC","FQ4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52" s="2" t="e">
        <f ca="1">_xll.BDH($C$128,"CASH_RATIO","FQ4 2018","FQ4 2018","Currency=INR","Period=FQ","BEST_FPERIOD_OVERRIDE=FQ","FILING_STATUS=OR","EQY_CONSOLIDATED=Y","Sort=A","Dates=H","DateFormat=P","Fill=—","Direction=H","UseDPDF=Y")</f>
        <v>#NAME?</v>
      </c>
      <c r="CT152" s="2" t="e">
        <f ca="1">_xll.BDH($C$128,"CUR_RATIO","FQ4 2018","FQ4 2018","Currency=INR","Period=FQ","BEST_FPERIOD_OVERRIDE=FQ","FILING_STATUS=OR","EQY_CONSOLIDATED=Y","Sort=A","Dates=H","DateFormat=P","Fill=—","Direction=H","UseDPDF=Y")</f>
        <v>#NAME?</v>
      </c>
      <c r="CU152" s="2" t="e">
        <f ca="1">_xll.BDH($C$128,"QUICK_RATIO","FQ4 2018","FQ4 2018","Currency=INR","Period=FQ","BEST_FPERIOD_OVERRIDE=FQ","FILING_STATUS=OR","EQY_CONSOLIDATED=Y","Sort=A","Dates=H","DateFormat=P","Fill=—","Direction=H","UseDPDF=Y")</f>
        <v>#NAME?</v>
      </c>
      <c r="CV152" s="2" t="e">
        <f ca="1">_xll.BDH($C$128,"ALTMAN_Z_SCORE","FQ4 2018","FQ4 2018","Currency=INR","Period=FQ","BEST_FPERIOD_OVERRIDE=FQ","FILING_STATUS=OR","EQY_CONSOLIDATED=Y","Sort=A","Dates=H","DateFormat=P","Fill=—","Direction=H","UseDPDF=Y")</f>
        <v>#NAME?</v>
      </c>
      <c r="CW152" s="4" t="e">
        <f ca="1">_xll.BDH($C$128,"ACCT_RCV_TURN","FQ4 2018","FQ4 2018","Currency=INR","Period=FQ","BEST_FPERIOD_OVERRIDE=FQ","FILING_STATUS=OR","EQY_CONSOLIDATED=Y","FA_ADJUSTED=GAAP","Sort=A","Dates=H","DateFormat=P","Fill=—","Direction=H","UseDPDF=Y")</f>
        <v>#NAME?</v>
      </c>
      <c r="CX152" s="2" t="e">
        <f ca="1">_xll.BDH($C$128,"ACCT_RCV_DAYS","FQ4 2018","FQ4 2018","Currency=INR","Period=FQ","BEST_FPERIOD_OVERRIDE=FQ","FILING_STATUS=OR","EQY_CONSOLIDATED=Y","FA_ADJUSTED=GAAP","Sort=A","Dates=H","DateFormat=P","Fill=—","Direction=H","UseDPDF=Y")</f>
        <v>#NAME?</v>
      </c>
      <c r="CY152" s="4" t="e">
        <f ca="1">_xll.BDH($C$128,"INVENT_TURN","FQ4 2018","FQ4 2018","Currency=INR","Period=FQ","BEST_FPERIOD_OVERRIDE=FQ","FILING_STATUS=OR","EQY_CONSOLIDATED=Y","FA_ADJUSTED=GAAP","Sort=A","Dates=H","DateFormat=P","Fill=—","Direction=H","UseDPDF=Y")</f>
        <v>#NAME?</v>
      </c>
      <c r="CZ152" s="2" t="e">
        <f ca="1">_xll.BDH($C$128,"INVENT_DAYS","FQ4 2018","FQ4 2018","Currency=INR","Period=FQ","BEST_FPERIOD_OVERRIDE=FQ","FILING_STATUS=OR","EQY_CONSOLIDATED=Y","FA_ADJUSTED=GAAP","Sort=A","Dates=H","DateFormat=P","Fill=—","Direction=H","UseDPDF=Y")</f>
        <v>#NAME?</v>
      </c>
      <c r="DA152" s="4" t="e">
        <f ca="1">_xll.BDH($C$128,"ACCOUNTS_PAYABLE_TURNOVER","FQ4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52" s="2" t="e">
        <f ca="1">_xll.BDH($C$128,"ACCOUNTS_PAYABLE_TURNOVER_DAYS","FQ4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52" s="4" t="e">
        <f ca="1">_xll.BDH($C$128,"CASH_CONVERSION_CYCLE","FQ4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52" s="4" t="e">
        <f ca="1">_xll.BDH($C$128,"INV_TO_CASH_DAYS","FQ4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152" s="5" t="e">
        <f ca="1">_xll.BDH($C$128,"BS_INVENTORIES","FQ4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152" s="3" t="e">
        <f ca="1">_xll.BDH($C$128,"INVTRY_RAW_MATERIALS","FQ4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52" s="3" t="e">
        <f ca="1">_xll.BDH($C$128,"INVTRY_IN_PROGRESS","FQ4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52" s="3" t="e">
        <f ca="1">_xll.BDH($C$128,"INVTRY_FINISHED_GOODS","FQ4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52" s="3" t="e">
        <f ca="1">_xll.BDH($C$128,"BS_OTHER_INV","FQ4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53" spans="1:113" x14ac:dyDescent="0.3">
      <c r="A153" s="6">
        <v>82</v>
      </c>
      <c r="B153" s="6" t="s">
        <v>96</v>
      </c>
      <c r="C153" s="6" t="s">
        <v>97</v>
      </c>
      <c r="D153" s="6" t="s">
        <v>76</v>
      </c>
      <c r="E153" t="s">
        <v>77</v>
      </c>
      <c r="F153" t="e">
        <f ca="1">_xll.BDH($C$153,"RETURN_COM_EQY","FY 2014","FY 2014","Currency=INR","Period=FY","BEST_FPERIOD_OVERRIDE=FY","FILING_STATUS=OR","EQY_CONSOLIDATED=Y","FA_ADJUSTED=GAAP","Sort=A","Dates=H","DateFormat=P","Fill=—","Direction=H","UseDPDF=Y")</f>
        <v>#NAME?</v>
      </c>
      <c r="G153" t="e">
        <f ca="1">_xll.BDH($C$153,"RETURN_ON_ASSET","FY 2014","FY 2014","Currency=INR","Period=FY","BEST_FPERIOD_OVERRIDE=FY","FILING_STATUS=OR","EQY_CONSOLIDATED=Y","FA_ADJUSTED=GAAP","Sort=A","Dates=H","DateFormat=P","Fill=—","Direction=H","UseDPDF=Y")</f>
        <v>#NAME?</v>
      </c>
      <c r="H153" t="e">
        <f ca="1">_xll.BDH($C$153,"RETURN_ON_CAP","FY 2014","FY 2014","Currency=INR","Period=FY","BEST_FPERIOD_OVERRIDE=FY","FILING_STATUS=OR","EQY_CONSOLIDATED=Y","FA_ADJUSTED=GAAP","Sort=A","Dates=H","DateFormat=P","Fill=—","Direction=H","UseDPDF=Y")</f>
        <v>#NAME?</v>
      </c>
      <c r="I153" t="e">
        <f ca="1">_xll.BDH($C$153,"RETURN_ON_INV_CAPITAL","FY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53" t="e">
        <f ca="1">_xll.BDH($C$153,"EBITDA_TO_REVENUE","FY 2014","FY 2014","Currency=INR","Period=FY","BEST_FPERIOD_OVERRIDE=FY","FILING_STATUS=OR","EQY_CONSOLIDATED=Y","FA_ADJUSTED=GAAP","Sort=A","Dates=H","DateFormat=P","Fill=—","Direction=H","UseDPDF=Y")</f>
        <v>#NAME?</v>
      </c>
      <c r="K153" t="e">
        <f ca="1">_xll.BDH($C$153,"OPER_MARGIN","FY 2014","FY 2014","Currency=INR","Period=FY","BEST_FPERIOD_OVERRIDE=FY","FILING_STATUS=OR","EQY_CONSOLIDATED=Y","FA_ADJUSTED=GAAP","Sort=A","Dates=H","DateFormat=P","Fill=—","Direction=H","UseDPDF=Y")</f>
        <v>#NAME?</v>
      </c>
      <c r="L153" t="e">
        <f ca="1">_xll.BDH($C$153,"INCREMENTAL_OPERATING_MARGIN","FY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53" t="e">
        <f ca="1">_xll.BDH($C$153,"PRETAX_INC_TO_NET_SALES","FY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53" t="e">
        <f ca="1">_xll.BDH($C$153,"INC_BEF_XO_ITEMS_TO_NET_SALES","FY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53" t="e">
        <f ca="1">_xll.BDH($C$153,"PROF_MARGIN","FY 2014","FY 2014","Currency=INR","Period=FY","BEST_FPERIOD_OVERRIDE=FY","FILING_STATUS=OR","EQY_CONSOLIDATED=Y","FA_ADJUSTED=GAAP","Sort=A","Dates=H","DateFormat=P","Fill=—","Direction=H","UseDPDF=Y")</f>
        <v>#NAME?</v>
      </c>
      <c r="P153" t="e">
        <f ca="1">_xll.BDH($C$153,"NET_INCOME_TO_COMMON_MARGIN","FY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53" t="e">
        <f ca="1">_xll.BDH($C$153,"EFF_TAX_RATE","FY 2014","FY 2014","Currency=INR","Period=FY","BEST_FPERIOD_OVERRIDE=FY","FILING_STATUS=OR","EQY_CONSOLIDATED=Y","FA_ADJUSTED=GAAP","Sort=A","Dates=H","DateFormat=P","Fill=—","Direction=H","UseDPDF=Y")</f>
        <v>#NAME?</v>
      </c>
      <c r="R153" t="e">
        <f ca="1">_xll.BDH($C$153,"DVD_PAYOUT_RATIO","FY 2014","FY 2014","Currency=INR","Period=FY","BEST_FPERIOD_OVERRIDE=FY","FILING_STATUS=OR","EQY_CONSOLIDATED=Y","FA_ADJUSTED=GAAP","Sort=A","Dates=H","DateFormat=P","Fill=—","Direction=H","UseDPDF=Y")</f>
        <v>#NAME?</v>
      </c>
      <c r="S153" t="e">
        <f ca="1">_xll.BDH($C$153,"SUSTAIN_GROWTH_RT","FY 2014","FY 2014","Currency=INR","Period=FY","BEST_FPERIOD_OVERRIDE=FY","FILING_STATUS=OR","EQY_CONSOLIDATED=Y","FA_ADJUSTED=GAAP","Sort=A","Dates=H","DateFormat=P","Fill=—","Direction=H","UseDPDF=Y")</f>
        <v>#NAME?</v>
      </c>
      <c r="T153" s="2" t="e">
        <f ca="1">_xll.BDH($C$153,"SALES_GROWTH","FY 2014","FY 2014","Currency=INR","Period=FY","BEST_FPERIOD_OVERRIDE=FY","FILING_STATUS=OR","EQY_CONSOLIDATED=Y","FA_ADJUSTED=GAAP","Sort=A","Dates=H","DateFormat=P","Fill=—","Direction=H","UseDPDF=Y")</f>
        <v>#NAME?</v>
      </c>
      <c r="U153" s="2" t="e">
        <f ca="1">_xll.BDH($C$153,"EBITDA_GROWTH","FY 2014","FY 2014","Currency=INR","Period=FY","BEST_FPERIOD_OVERRIDE=FY","FILING_STATUS=OR","EQY_CONSOLIDATED=Y","FA_ADJUSTED=GAAP","Sort=A","Dates=H","DateFormat=P","Fill=—","Direction=H","UseDPDF=Y")</f>
        <v>#NAME?</v>
      </c>
      <c r="V153" s="2" t="e">
        <f ca="1">_xll.BDH($C$153,"OPER_INC_GROWTH","FY 2014","FY 2014","Currency=INR","Period=FY","BEST_FPERIOD_OVERRIDE=FY","FILING_STATUS=OR","EQY_CONSOLIDATED=Y","FA_ADJUSTED=GAAP","Sort=A","Dates=H","DateFormat=P","Fill=—","Direction=H","UseDPDF=Y")</f>
        <v>#NAME?</v>
      </c>
      <c r="W153" s="2" t="e">
        <f ca="1">_xll.BDH($C$153,"EARN_FOR_COM_GROWTH","FY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153" s="2" t="e">
        <f ca="1">_xll.BDH($C$153,"DILUTED_EPS_AFT_XO_ITEMS_GROWTH","FY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53" s="2" t="e">
        <f ca="1">_xll.BDH($C$153,"DIVIDEND_PER_SHARE_1_YEAR_GROWTH","FY 2014","FY 2014","Currency=INR","Period=FY","BEST_FPERIOD_OVERRIDE=FY","FILING_STATUS=OR","EQY_CONSOLIDATED=Y","Sort=A","Dates=H","DateFormat=P","Fill=—","Direction=H","UseDPDF=Y")</f>
        <v>#NAME?</v>
      </c>
      <c r="Z153" s="2" t="e">
        <f ca="1">_xll.BDH($C$153,"ACCOUNTS_RECEIVABLE_GROWTH","FY 2014","FY 2014","Currency=INR","Period=FY","BEST_FPERIOD_OVERRIDE=FY","FILING_STATUS=OR","EQY_CONSOLIDATED=Y","Sort=A","Dates=H","DateFormat=P","Fill=—","Direction=H","UseDPDF=Y")</f>
        <v>#NAME?</v>
      </c>
      <c r="AA153" s="2" t="e">
        <f ca="1">_xll.BDH($C$153,"INVENTORY_GROWTH","FY 2014","FY 2014","Currency=INR","Period=FY","BEST_FPERIOD_OVERRIDE=FY","FILING_STATUS=OR","EQY_CONSOLIDATED=Y","Sort=A","Dates=H","DateFormat=P","Fill=—","Direction=H","UseDPDF=Y")</f>
        <v>#NAME?</v>
      </c>
      <c r="AB153" s="2" t="e">
        <f ca="1">_xll.BDH($C$153,"NET_FIXED_ASSETS_1_YEAR_GROWTH","FY 2014","FY 2014","Currency=INR","Period=FY","BEST_FPERIOD_OVERRIDE=FY","FILING_STATUS=OR","EQY_CONSOLIDATED=Y","Sort=A","Dates=H","DateFormat=P","Fill=—","Direction=H","UseDPDF=Y")</f>
        <v>#NAME?</v>
      </c>
      <c r="AC153" s="2" t="e">
        <f ca="1">_xll.BDH($C$153,"ASSET_GROWTH","FY 2014","FY 2014","Currency=INR","Period=FY","BEST_FPERIOD_OVERRIDE=FY","FILING_STATUS=OR","EQY_CONSOLIDATED=Y","Sort=A","Dates=H","DateFormat=P","Fill=—","Direction=H","UseDPDF=Y")</f>
        <v>#NAME?</v>
      </c>
      <c r="AD153" s="2" t="e">
        <f ca="1">_xll.BDH($C$153,"MODIFIED_WORK_CAP_GROWTH","FY 2014","FY 2014","Currency=INR","Period=FY","BEST_FPERIOD_OVERRIDE=FY","FILING_STATUS=OR","EQY_CONSOLIDATED=Y","Sort=A","Dates=H","DateFormat=P","Fill=—","Direction=H","UseDPDF=Y")</f>
        <v>#NAME?</v>
      </c>
      <c r="AE153" s="2" t="e">
        <f ca="1">_xll.BDH($C$153,"WORK_CAP_GROWTH","FY 2014","FY 2014","Currency=INR","Period=FY","BEST_FPERIOD_OVERRIDE=FY","FILING_STATUS=OR","EQY_CONSOLIDATED=Y","Sort=A","Dates=H","DateFormat=P","Fill=—","Direction=H","UseDPDF=Y")</f>
        <v>#NAME?</v>
      </c>
      <c r="AF153" s="2" t="e">
        <f ca="1">_xll.BDH($C$153,"ACCOUNTS_PAYABLE_GROWTH_1YR","FY 2014","FY 2014","Currency=INR","Period=FY","BEST_FPERIOD_OVERRIDE=FY","FILING_STATUS=OR","EQY_CONSOLIDATED=Y","Sort=A","Dates=H","DateFormat=P","Fill=—","Direction=H","UseDPDF=Y")</f>
        <v>#NAME?</v>
      </c>
      <c r="AG153" s="2" t="e">
        <f ca="1">_xll.BDH($C$153,"SHORT_TERM_DEBT_1_YEAR_GROWTH","FY 2014","FY 2014","Currency=INR","Period=FY","BEST_FPERIOD_OVERRIDE=FY","FILING_STATUS=OR","EQY_CONSOLIDATED=Y","Sort=A","Dates=H","DateFormat=P","Fill=—","Direction=H","UseDPDF=Y")</f>
        <v>#NAME?</v>
      </c>
      <c r="AH153" s="2" t="e">
        <f ca="1">_xll.BDH($C$153,"TOTAL_DEBT_1_YEAR_GROWTH","FY 2014","FY 2014","Currency=INR","Period=FY","BEST_FPERIOD_OVERRIDE=FY","FILING_STATUS=OR","EQY_CONSOLIDATED=Y","Sort=A","Dates=H","DateFormat=P","Fill=—","Direction=H","UseDPDF=Y")</f>
        <v>#NAME?</v>
      </c>
      <c r="AI153" s="2" t="e">
        <f ca="1">_xll.BDH($C$153,"TOTAL_EQUITY_1_YEAR_GROWTH","FY 2014","FY 2014","Currency=INR","Period=FY","BEST_FPERIOD_OVERRIDE=FY","FILING_STATUS=OR","EQY_CONSOLIDATED=Y","Sort=A","Dates=H","DateFormat=P","Fill=—","Direction=H","UseDPDF=Y")</f>
        <v>#NAME?</v>
      </c>
      <c r="AJ153" s="2" t="e">
        <f ca="1">_xll.BDH($C$153,"GROWTH_IN_CAP","FY 2014","FY 2014","Currency=INR","Period=FY","BEST_FPERIOD_OVERRIDE=FY","FILING_STATUS=OR","EQY_CONSOLIDATED=Y","Sort=A","Dates=H","DateFormat=P","Fill=—","Direction=H","UseDPDF=Y")</f>
        <v>#NAME?</v>
      </c>
      <c r="AK153" s="2" t="e">
        <f ca="1">_xll.BDH($C$153,"BVPS_GROWTH","FY 2014","FY 2014","Currency=INR","Period=FY","BEST_FPERIOD_OVERRIDE=FY","FILING_STATUS=OR","EQY_CONSOLIDATED=Y","Sort=A","Dates=H","DateFormat=P","Fill=—","Direction=H","UseDPDF=Y")</f>
        <v>#NAME?</v>
      </c>
      <c r="AL153" s="2" t="e">
        <f ca="1">_xll.BDH($C$153,"CASH_FLOW_GROWTH","FY 2014","FY 2014","Currency=INR","Period=FY","BEST_FPERIOD_OVERRIDE=FY","FILING_STATUS=OR","EQY_CONSOLIDATED=Y","Sort=A","Dates=H","DateFormat=P","Fill=—","Direction=H","UseDPDF=Y")</f>
        <v>#NAME?</v>
      </c>
      <c r="AM153" s="2" t="e">
        <f ca="1">_xll.BDH($C$153,"GEO_GROW_NET_SALES","FY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153" s="2" t="e">
        <f ca="1">_xll.BDH($C$153,"GEO_GROW_EBITDA","FY 2014","FY 2014","Currency=INR","Period=FY","BEST_FPERIOD_OVERRIDE=FY","FILING_STATUS=OR","EQY_CONSOLIDATED=Y","FA_ADJUSTED=GAAP","Sort=A","Dates=H","DateFormat=P","Fill=—","Direction=H","UseDPDF=Y")</f>
        <v>#NAME?</v>
      </c>
      <c r="AO153" s="2" t="e">
        <f ca="1">_xll.BDH($C$153,"GEO_GROW_OPER_INC","FY 2014","FY 2014","Currency=INR","Period=FY","BEST_FPERIOD_OVERRIDE=FY","FILING_STATUS=OR","EQY_CONSOLIDATED=Y","FA_ADJUSTED=GAAP","Sort=A","Dates=H","DateFormat=P","Fill=—","Direction=H","UseDPDF=Y")</f>
        <v>#NAME?</v>
      </c>
      <c r="AP153" s="2" t="e">
        <f ca="1">_xll.BDH($C$153,"NET_INCOME_TO_COMMON_5_YR_GROWTH","FY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53" s="2" t="e">
        <f ca="1">_xll.BDH($C$153,"5Y_GEO_GROWTH_DILUTED_EPS","FY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53" s="2" t="e">
        <f ca="1">_xll.BDH($C$153,"GEO_GROW_DVD_PER_SH","FY 2014","FY 2014","Currency=INR","Period=FY","BEST_FPERIOD_OVERRIDE=FY","FILING_STATUS=OR","EQY_CONSOLIDATED=Y","Sort=A","Dates=H","DateFormat=P","Fill=—","Direction=H","UseDPDF=Y")</f>
        <v>#NAME?</v>
      </c>
      <c r="AS153" s="2" t="e">
        <f ca="1">_xll.BDH($C$153,"ACCOUNTS_RECEIVABLE_5_YR_GROWTH","FY 2014","FY 2014","Currency=INR","Period=FY","BEST_FPERIOD_OVERRIDE=FY","FILING_STATUS=OR","EQY_CONSOLIDATED=Y","Sort=A","Dates=H","DateFormat=P","Fill=—","Direction=H","UseDPDF=Y")</f>
        <v>#NAME?</v>
      </c>
      <c r="AT153" s="2" t="e">
        <f ca="1">_xll.BDH($C$153,"INVENTORY_5_YEAR_GROWTH","FY 2014","FY 2014","Currency=INR","Period=FY","BEST_FPERIOD_OVERRIDE=FY","FILING_STATUS=OR","EQY_CONSOLIDATED=Y","Sort=A","Dates=H","DateFormat=P","Fill=—","Direction=H","UseDPDF=Y")</f>
        <v>#NAME?</v>
      </c>
      <c r="AU153" s="2" t="e">
        <f ca="1">_xll.BDH($C$153,"NET_FIXED_ASSETS_5_YEAR_GROWTH","FY 2014","FY 2014","Currency=INR","Period=FY","BEST_FPERIOD_OVERRIDE=FY","FILING_STATUS=OR","EQY_CONSOLIDATED=Y","Sort=A","Dates=H","DateFormat=P","Fill=—","Direction=H","UseDPDF=Y")</f>
        <v>#NAME?</v>
      </c>
      <c r="AV153" s="2" t="e">
        <f ca="1">_xll.BDH($C$153,"GEO_GROW_TOT_ASSET","FY 2014","FY 2014","Currency=INR","Period=FY","BEST_FPERIOD_OVERRIDE=FY","FILING_STATUS=OR","EQY_CONSOLIDATED=Y","Sort=A","Dates=H","DateFormat=P","Fill=—","Direction=H","UseDPDF=Y")</f>
        <v>#NAME?</v>
      </c>
      <c r="AW153" s="2" t="e">
        <f ca="1">_xll.BDH($C$153,"MODIFIED_WORKING_CPTL_5YR_GRWTH","FY 2014","FY 2014","Currency=INR","Period=FY","BEST_FPERIOD_OVERRIDE=FY","FILING_STATUS=OR","EQY_CONSOLIDATED=Y","Sort=A","Dates=H","DateFormat=P","Fill=—","Direction=H","UseDPDF=Y")</f>
        <v>#NAME?</v>
      </c>
      <c r="AX153" s="2" t="e">
        <f ca="1">_xll.BDH($C$153,"WORKING_CAPITAL_5_YEAR_GROWTH","FY 2014","FY 2014","Currency=INR","Period=FY","BEST_FPERIOD_OVERRIDE=FY","FILING_STATUS=OR","EQY_CONSOLIDATED=Y","Sort=A","Dates=H","DateFormat=P","Fill=—","Direction=H","UseDPDF=Y")</f>
        <v>#NAME?</v>
      </c>
      <c r="AY153" s="2" t="e">
        <f ca="1">_xll.BDH($C$153,"ACCOUNTS_PAYABLE_5_YEAR_GROWTH","FY 2014","FY 2014","Currency=INR","Period=FY","BEST_FPERIOD_OVERRIDE=FY","FILING_STATUS=OR","EQY_CONSOLIDATED=Y","Sort=A","Dates=H","DateFormat=P","Fill=—","Direction=H","UseDPDF=Y")</f>
        <v>#NAME?</v>
      </c>
      <c r="AZ153" s="2" t="e">
        <f ca="1">_xll.BDH($C$153,"SHORT_TERM_DEBT_5_YEAR_GROWTH","FY 2014","FY 2014","Currency=INR","Period=FY","BEST_FPERIOD_OVERRIDE=FY","FILING_STATUS=OR","EQY_CONSOLIDATED=Y","Sort=A","Dates=H","DateFormat=P","Fill=—","Direction=H","UseDPDF=Y")</f>
        <v>#NAME?</v>
      </c>
      <c r="BA153" s="2" t="e">
        <f ca="1">_xll.BDH($C$153,"TOTAL_DEBT_5_YEAR_GROWTH","FY 2014","FY 2014","Currency=INR","Period=FY","BEST_FPERIOD_OVERRIDE=FY","FILING_STATUS=OR","EQY_CONSOLIDATED=Y","Sort=A","Dates=H","DateFormat=P","Fill=—","Direction=H","UseDPDF=Y")</f>
        <v>#NAME?</v>
      </c>
      <c r="BB153" s="2" t="e">
        <f ca="1">_xll.BDH($C$153,"GEO_GROW_TOT_SHRHLDR_EQY","FY 2014","FY 2014","Currency=INR","Period=FY","BEST_FPERIOD_OVERRIDE=FY","FILING_STATUS=OR","EQY_CONSOLIDATED=Y","Sort=A","Dates=H","DateFormat=P","Fill=—","Direction=H","UseDPDF=Y")</f>
        <v>#NAME?</v>
      </c>
      <c r="BC153" s="2" t="e">
        <f ca="1">_xll.BDH($C$153,"TOTAL_CAPITAL_5_YEAR_GROWTH","FY 2014","FY 2014","Currency=INR","Period=FY","BEST_FPERIOD_OVERRIDE=FY","FILING_STATUS=OR","EQY_CONSOLIDATED=Y","Sort=A","Dates=H","DateFormat=P","Fill=—","Direction=H","UseDPDF=Y")</f>
        <v>#NAME?</v>
      </c>
      <c r="BD153" s="2" t="e">
        <f ca="1">_xll.BDH($C$153,"GEO_GROW_BOOK_VAL","FY 2014","FY 2014","Currency=INR","Period=FY","BEST_FPERIOD_OVERRIDE=FY","FILING_STATUS=OR","EQY_CONSOLIDATED=Y","Sort=A","Dates=H","DateFormat=P","Fill=—","Direction=H","UseDPDF=Y")</f>
        <v>#NAME?</v>
      </c>
      <c r="BE153" s="2" t="e">
        <f ca="1">_xll.BDH($C$153,"GEO_GROW_CASH_OPER_ACT","FY 2014","FY 2014","Currency=INR","Period=FY","BEST_FPERIOD_OVERRIDE=FY","FILING_STATUS=OR","EQY_CONSOLIDATED=Y","Sort=A","Dates=H","DateFormat=P","Fill=—","Direction=H","UseDPDF=Y")</f>
        <v>#NAME?</v>
      </c>
      <c r="BF153" s="2" t="e">
        <f ca="1">_xll.BDH($C$153,"REVENUE_SEQUENTIAL_GROWTH","FY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53" s="2" t="e">
        <f ca="1">_xll.BDH($C$153,"EBITDA_SEQUENTIAL_GROWTH","FY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53" s="2" t="e">
        <f ca="1">_xll.BDH($C$153,"OPERATING_INCOME_SEQ_GROWTH","FY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53" s="2" t="e">
        <f ca="1">_xll.BDH($C$153,"NET_INCOME_TO_COMMON_SEQ_GROWTH","FY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53" s="2" t="e">
        <f ca="1">_xll.BDH($C$153,"EPS_DILUTED_SEQUENTIAL_GROWTH","FY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53" s="2" t="e">
        <f ca="1">_xll.BDH($C$153,"DPS_SEQUENTIAL_GROWTH","FY 2014","FY 2014","Currency=INR","Period=FY","BEST_FPERIOD_OVERRIDE=FY","FILING_STATUS=OR","EQY_CONSOLIDATED=Y","Sort=A","Dates=H","DateFormat=P","Fill=—","Direction=H","UseDPDF=Y")</f>
        <v>#NAME?</v>
      </c>
      <c r="BL153" s="2" t="e">
        <f ca="1">_xll.BDH($C$153,"ACCOUNTS_RECEIVABLE_SEQ_GROWTH","FY 2014","FY 2014","Currency=INR","Period=FY","BEST_FPERIOD_OVERRIDE=FY","FILING_STATUS=OR","EQY_CONSOLIDATED=Y","Sort=A","Dates=H","DateFormat=P","Fill=—","Direction=H","UseDPDF=Y")</f>
        <v>#NAME?</v>
      </c>
      <c r="BM153" s="2" t="e">
        <f ca="1">_xll.BDH($C$153,"INVENTORY_SEQUENTIAL_GROWTH","FY 2014","FY 2014","Currency=INR","Period=FY","BEST_FPERIOD_OVERRIDE=FY","FILING_STATUS=OR","EQY_CONSOLIDATED=Y","Sort=A","Dates=H","DateFormat=P","Fill=—","Direction=H","UseDPDF=Y")</f>
        <v>#NAME?</v>
      </c>
      <c r="BN153" s="2" t="e">
        <f ca="1">_xll.BDH($C$153,"FIXED_ASSETS_SEQUENTIAL_GROWTH","FY 2014","FY 2014","Currency=INR","Period=FY","BEST_FPERIOD_OVERRIDE=FY","FILING_STATUS=OR","EQY_CONSOLIDATED=Y","Sort=A","Dates=H","DateFormat=P","Fill=—","Direction=H","UseDPDF=Y")</f>
        <v>#NAME?</v>
      </c>
      <c r="BO153" s="2" t="e">
        <f ca="1">_xll.BDH($C$153,"TOTAL_ASSETS_SEQUENTIAL_GROWTH","FY 2014","FY 2014","Currency=INR","Period=FY","BEST_FPERIOD_OVERRIDE=FY","FILING_STATUS=OR","EQY_CONSOLIDATED=Y","Sort=A","Dates=H","DateFormat=P","Fill=—","Direction=H","UseDPDF=Y")</f>
        <v>#NAME?</v>
      </c>
      <c r="BP153" s="2" t="e">
        <f ca="1">_xll.BDH($C$153,"MODIFIED_WORKING_CPTL_SEQ_GRWTH","FY 2014","FY 2014","Currency=INR","Period=FY","BEST_FPERIOD_OVERRIDE=FY","FILING_STATUS=OR","EQY_CONSOLIDATED=Y","Sort=A","Dates=H","DateFormat=P","Fill=—","Direction=H","UseDPDF=Y")</f>
        <v>#NAME?</v>
      </c>
      <c r="BQ153" s="2" t="e">
        <f ca="1">_xll.BDH($C$153,"WORKING_CAPITAL_SEQ_GROWTH","FY 2014","FY 2014","Currency=INR","Period=FY","BEST_FPERIOD_OVERRIDE=FY","FILING_STATUS=OR","EQY_CONSOLIDATED=Y","Sort=A","Dates=H","DateFormat=P","Fill=—","Direction=H","UseDPDF=Y")</f>
        <v>#NAME?</v>
      </c>
      <c r="BR153" s="2" t="e">
        <f ca="1">_xll.BDH($C$153,"ACCOUNTS_PAYABLE_SEQ_GROWTH","FY 2014","FY 2014","Currency=INR","Period=FY","BEST_FPERIOD_OVERRIDE=FY","FILING_STATUS=OR","EQY_CONSOLIDATED=Y","Sort=A","Dates=H","DateFormat=P","Fill=—","Direction=H","UseDPDF=Y")</f>
        <v>#NAME?</v>
      </c>
      <c r="BS153" s="2" t="e">
        <f ca="1">_xll.BDH($C$153,"ST_DEBT_SEQUENTIAL_GROWTH","FY 2014","FY 2014","Currency=INR","Period=FY","BEST_FPERIOD_OVERRIDE=FY","FILING_STATUS=OR","EQY_CONSOLIDATED=Y","Sort=A","Dates=H","DateFormat=P","Fill=—","Direction=H","UseDPDF=Y")</f>
        <v>#NAME?</v>
      </c>
      <c r="BT153" s="2" t="e">
        <f ca="1">_xll.BDH($C$153,"TOTAL_DEBT_SEQUENTIAL_GROWTH","FY 2014","FY 2014","Currency=INR","Period=FY","BEST_FPERIOD_OVERRIDE=FY","FILING_STATUS=OR","EQY_CONSOLIDATED=Y","Sort=A","Dates=H","DateFormat=P","Fill=—","Direction=H","UseDPDF=Y")</f>
        <v>#NAME?</v>
      </c>
      <c r="BU153" s="2" t="e">
        <f ca="1">_xll.BDH($C$153,"TOTAL_EQUITY_SEQUENTIAL_GROWTH","FY 2014","FY 2014","Currency=INR","Period=FY","BEST_FPERIOD_OVERRIDE=FY","FILING_STATUS=OR","EQY_CONSOLIDATED=Y","Sort=A","Dates=H","DateFormat=P","Fill=—","Direction=H","UseDPDF=Y")</f>
        <v>#NAME?</v>
      </c>
      <c r="BV153" s="2" t="e">
        <f ca="1">_xll.BDH($C$153,"TOTAL_CAPITAL_SEQUENTIAL_GROWTH","FY 2014","FY 2014","Currency=INR","Period=FY","BEST_FPERIOD_OVERRIDE=FY","FILING_STATUS=OR","EQY_CONSOLIDATED=Y","Sort=A","Dates=H","DateFormat=P","Fill=—","Direction=H","UseDPDF=Y")</f>
        <v>#NAME?</v>
      </c>
      <c r="BW153" s="2" t="e">
        <f ca="1">_xll.BDH($C$153,"BPS_SEQUENTIAL_GROWTH","FY 2014","FY 2014","Currency=INR","Period=FY","BEST_FPERIOD_OVERRIDE=FY","FILING_STATUS=OR","EQY_CONSOLIDATED=Y","Sort=A","Dates=H","DateFormat=P","Fill=—","Direction=H","UseDPDF=Y")</f>
        <v>#NAME?</v>
      </c>
      <c r="BX153" s="2" t="e">
        <f ca="1">_xll.BDH($C$153,"CFO_SEQUENTIAL_GROWTH","FY 2014","FY 2014","Currency=INR","Period=FY","BEST_FPERIOD_OVERRIDE=FY","FILING_STATUS=OR","EQY_CONSOLIDATED=Y","Sort=A","Dates=H","DateFormat=P","Fill=—","Direction=H","UseDPDF=Y")</f>
        <v>#NAME?</v>
      </c>
      <c r="BY153" s="3" t="e">
        <f ca="1">_xll.BDH($C$153,"SHORT_AND_LONG_TERM_DEBT","FY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53" s="3" t="e">
        <f ca="1">_xll.BDH($C$153,"BS_ST_BORROW","FY 2014","FY 2014","Currency=INR","Period=FY","BEST_FPERIOD_OVERRIDE=FY","FILING_STATUS=OR","EQY_CONSOLIDATED=Y","SCALING_FORMAT=MLN","Sort=A","Dates=H","DateFormat=P","Fill=—","Direction=H","UseDPDF=Y")</f>
        <v>#NAME?</v>
      </c>
      <c r="CA153" s="3" t="e">
        <f ca="1">_xll.BDH($C$153,"BS_LT_BORROW","FY 2014","FY 2014","Currency=INR","Period=FY","BEST_FPERIOD_OVERRIDE=FY","FILING_STATUS=OR","EQY_CONSOLIDATED=Y","SCALING_FORMAT=MLN","Sort=A","Dates=H","DateFormat=P","Fill=—","Direction=H","UseDPDF=Y")</f>
        <v>#NAME?</v>
      </c>
      <c r="CB153" s="2" t="e">
        <f ca="1">_xll.BDH($C$153,"TOT_DEBT_TO_EBITDA","FY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153" s="2" t="e">
        <f ca="1">_xll.BDH($C$153,"NET_DEBT_TO_EBITDA","FY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153" s="2" t="e">
        <f ca="1">_xll.BDH($C$153,"TOTAL_DEBT_TO_EBIT","FY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153" s="2" t="e">
        <f ca="1">_xll.BDH($C$153,"NET_DEBT_TO_EBIT","FY 2014","FY 2014","Currency=INR","Period=FY","BEST_FPERIOD_OVERRIDE=FY","FILING_STATUS=OR","EQY_CONSOLIDATED=Y","FA_ADJUSTED=GAAP","Sort=A","Dates=H","DateFormat=P","Fill=—","Direction=H","UseDPDF=Y")</f>
        <v>#NAME?</v>
      </c>
      <c r="CF153" s="2" t="e">
        <f ca="1">_xll.BDH($C$153,"EBITDA_TO_INTEREST_EXPN","FY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53" s="2" t="e">
        <f ca="1">_xll.BDH($C$153,"COM_EQY_TO_TOT_ASSET","FY 2014","FY 2014","Currency=INR","Period=FY","BEST_FPERIOD_OVERRIDE=FY","FILING_STATUS=OR","EQY_CONSOLIDATED=Y","Sort=A","Dates=H","DateFormat=P","Fill=—","Direction=H","UseDPDF=Y")</f>
        <v>#NAME?</v>
      </c>
      <c r="CH153" s="2" t="e">
        <f ca="1">_xll.BDH($C$153,"LT_DEBT_TO_TOT_EQY","FY 2014","FY 2014","Currency=INR","Period=FY","BEST_FPERIOD_OVERRIDE=FY","FILING_STATUS=OR","EQY_CONSOLIDATED=Y","Sort=A","Dates=H","DateFormat=P","Fill=—","Direction=H","UseDPDF=Y")</f>
        <v>#NAME?</v>
      </c>
      <c r="CI153" s="2" t="e">
        <f ca="1">_xll.BDH($C$153,"LT_DEBT_TO_TOT_CAP","FY 2014","FY 2014","Currency=INR","Period=FY","BEST_FPERIOD_OVERRIDE=FY","FILING_STATUS=OR","EQY_CONSOLIDATED=Y","Sort=A","Dates=H","DateFormat=P","Fill=—","Direction=H","UseDPDF=Y")</f>
        <v>#NAME?</v>
      </c>
      <c r="CJ153" s="2" t="e">
        <f ca="1">_xll.BDH($C$153,"LT_DEBT_TO_TOT_ASSET","FY 2014","FY 2014","Currency=INR","Period=FY","BEST_FPERIOD_OVERRIDE=FY","FILING_STATUS=OR","EQY_CONSOLIDATED=Y","Sort=A","Dates=H","DateFormat=P","Fill=—","Direction=H","UseDPDF=Y")</f>
        <v>#NAME?</v>
      </c>
      <c r="CK153" s="2" t="e">
        <f ca="1">_xll.BDH($C$153,"TOT_DEBT_TO_TOT_EQY","FY 2014","FY 2014","Currency=INR","Period=FY","BEST_FPERIOD_OVERRIDE=FY","FILING_STATUS=OR","EQY_CONSOLIDATED=Y","Sort=A","Dates=H","DateFormat=P","Fill=—","Direction=H","UseDPDF=Y")</f>
        <v>#NAME?</v>
      </c>
      <c r="CL153" s="2" t="e">
        <f ca="1">_xll.BDH($C$153,"TOT_DEBT_TO_TOT_CAP","FY 2014","FY 2014","Currency=INR","Period=FY","BEST_FPERIOD_OVERRIDE=FY","FILING_STATUS=OR","EQY_CONSOLIDATED=Y","Sort=A","Dates=H","DateFormat=P","Fill=—","Direction=H","UseDPDF=Y")</f>
        <v>#NAME?</v>
      </c>
      <c r="CM153" s="2" t="e">
        <f ca="1">_xll.BDH($C$153,"TOT_DEBT_TO_TOT_ASSET","FY 2014","FY 2014","Currency=INR","Period=FY","BEST_FPERIOD_OVERRIDE=FY","FILING_STATUS=OR","EQY_CONSOLIDATED=Y","Sort=A","Dates=H","DateFormat=P","Fill=—","Direction=H","UseDPDF=Y")</f>
        <v>#NAME?</v>
      </c>
      <c r="CN153" s="2" t="e">
        <f ca="1">_xll.BDH($C$153,"NET_DEBT_TO_SHRHLDR_EQTY","FY 2014","FY 2014","Currency=INR","Period=FY","BEST_FPERIOD_OVERRIDE=FY","FILING_STATUS=OR","EQY_CONSOLIDATED=Y","Sort=A","Dates=H","DateFormat=P","Fill=—","Direction=H","UseDPDF=Y")</f>
        <v>#NAME?</v>
      </c>
      <c r="CO153" s="2" t="e">
        <f ca="1">_xll.BDH($C$153,"NET_DEBT_%_CAPITAL","FY 2014","FY 2014","Currency=INR","Period=FY","BEST_FPERIOD_OVERRIDE=FY","FILING_STATUS=OR","EQY_CONSOLIDATED=Y","Sort=A","Dates=H","DateFormat=P","Fill=—","Direction=H","UseDPDF=Y")</f>
        <v>#NAME?</v>
      </c>
      <c r="CP153" s="3" t="e">
        <f ca="1">_xll.BDH($C$153,"EBITDA","FY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53" s="3" t="e">
        <f ca="1">_xll.BDH($C$153,"EBITDA_AFTER_CAPEX","FY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53" s="3" t="e">
        <f ca="1">_xll.BDH($C$153,"IS_OPER_INC","FY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53" s="2" t="e">
        <f ca="1">_xll.BDH($C$153,"CASH_RATIO","FY 2014","FY 2014","Currency=INR","Period=FY","BEST_FPERIOD_OVERRIDE=FY","FILING_STATUS=OR","EQY_CONSOLIDATED=Y","Sort=A","Dates=H","DateFormat=P","Fill=—","Direction=H","UseDPDF=Y")</f>
        <v>#NAME?</v>
      </c>
      <c r="CT153" s="2" t="e">
        <f ca="1">_xll.BDH($C$153,"CUR_RATIO","FY 2014","FY 2014","Currency=INR","Period=FY","BEST_FPERIOD_OVERRIDE=FY","FILING_STATUS=OR","EQY_CONSOLIDATED=Y","Sort=A","Dates=H","DateFormat=P","Fill=—","Direction=H","UseDPDF=Y")</f>
        <v>#NAME?</v>
      </c>
      <c r="CU153" s="2" t="e">
        <f ca="1">_xll.BDH($C$153,"QUICK_RATIO","FY 2014","FY 2014","Currency=INR","Period=FY","BEST_FPERIOD_OVERRIDE=FY","FILING_STATUS=OR","EQY_CONSOLIDATED=Y","Sort=A","Dates=H","DateFormat=P","Fill=—","Direction=H","UseDPDF=Y")</f>
        <v>#NAME?</v>
      </c>
      <c r="CV153" s="2" t="e">
        <f ca="1">_xll.BDH($C$153,"ALTMAN_Z_SCORE","FY 2014","FY 2014","Currency=INR","Period=FY","BEST_FPERIOD_OVERRIDE=FY","FILING_STATUS=OR","EQY_CONSOLIDATED=Y","Sort=A","Dates=H","DateFormat=P","Fill=—","Direction=H","UseDPDF=Y")</f>
        <v>#NAME?</v>
      </c>
      <c r="CW153" s="4" t="e">
        <f ca="1">_xll.BDH($C$153,"ACCT_RCV_TURN","FY 2014","FY 2014","Currency=INR","Period=FY","BEST_FPERIOD_OVERRIDE=FY","FILING_STATUS=OR","EQY_CONSOLIDATED=Y","FA_ADJUSTED=GAAP","Sort=A","Dates=H","DateFormat=P","Fill=—","Direction=H","UseDPDF=Y")</f>
        <v>#NAME?</v>
      </c>
      <c r="CX153" s="2" t="e">
        <f ca="1">_xll.BDH($C$153,"ACCT_RCV_DAYS","FY 2014","FY 2014","Currency=INR","Period=FY","BEST_FPERIOD_OVERRIDE=FY","FILING_STATUS=OR","EQY_CONSOLIDATED=Y","FA_ADJUSTED=GAAP","Sort=A","Dates=H","DateFormat=P","Fill=—","Direction=H","UseDPDF=Y")</f>
        <v>#NAME?</v>
      </c>
      <c r="CY153" s="4" t="e">
        <f ca="1">_xll.BDH($C$153,"INVENT_TURN","FY 2014","FY 2014","Currency=INR","Period=FY","BEST_FPERIOD_OVERRIDE=FY","FILING_STATUS=OR","EQY_CONSOLIDATED=Y","FA_ADJUSTED=GAAP","Sort=A","Dates=H","DateFormat=P","Fill=—","Direction=H","UseDPDF=Y")</f>
        <v>#NAME?</v>
      </c>
      <c r="CZ153" s="2" t="e">
        <f ca="1">_xll.BDH($C$153,"INVENT_DAYS","FY 2014","FY 2014","Currency=INR","Period=FY","BEST_FPERIOD_OVERRIDE=FY","FILING_STATUS=OR","EQY_CONSOLIDATED=Y","FA_ADJUSTED=GAAP","Sort=A","Dates=H","DateFormat=P","Fill=—","Direction=H","UseDPDF=Y")</f>
        <v>#NAME?</v>
      </c>
      <c r="DA153" s="4" t="e">
        <f ca="1">_xll.BDH($C$153,"ACCOUNTS_PAYABLE_TURNOVER","FY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53" s="2" t="e">
        <f ca="1">_xll.BDH($C$153,"ACCOUNTS_PAYABLE_TURNOVER_DAYS","FY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53" s="4" t="e">
        <f ca="1">_xll.BDH($C$153,"CASH_CONVERSION_CYCLE","FY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53" s="4" t="e">
        <f ca="1">_xll.BDH($C$153,"INV_TO_CASH_DAYS","FY 2014","FY 2014","Currency=INR","Period=FY","BEST_FPERIOD_OVERRIDE=FY","FILING_STATUS=OR","EQY_CONSOLIDATED=Y","FA_ADJUSTED=GAAP","Sort=A","Dates=H","DateFormat=P","Fill=—","Direction=H","UseDPDF=Y")</f>
        <v>#NAME?</v>
      </c>
      <c r="DE153" s="5" t="e">
        <f ca="1">_xll.BDH($C$153,"BS_INVENTORIES","FY 2014","FY 2014","Currency=INR","Period=FY","BEST_FPERIOD_OVERRIDE=FY","FILING_STATUS=OR","EQY_CONSOLIDATED=Y","SCALING_FORMAT=MLN","Sort=A","Dates=H","DateFormat=P","Fill=—","Direction=H","UseDPDF=Y")</f>
        <v>#NAME?</v>
      </c>
      <c r="DF153" s="3" t="e">
        <f ca="1">_xll.BDH($C$153,"INVTRY_RAW_MATERIALS","FY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53" s="3" t="e">
        <f ca="1">_xll.BDH($C$153,"INVTRY_IN_PROGRESS","FY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53" s="3" t="e">
        <f ca="1">_xll.BDH($C$153,"INVTRY_FINISHED_GOODS","FY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53" s="3" t="e">
        <f ca="1">_xll.BDH($C$153,"BS_OTHER_INV","FY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54" spans="1:113" x14ac:dyDescent="0.3">
      <c r="A154" s="6"/>
      <c r="B154" s="6"/>
      <c r="C154" s="6"/>
      <c r="D154" s="6"/>
      <c r="E154" t="s">
        <v>78</v>
      </c>
      <c r="F154" t="e">
        <f ca="1">_xll.BDH($C$153,"RETURN_COM_EQY","FQ1 2014","FQ1 2014","Currency=INR","Period=FQ","BEST_FPERIOD_OVERRIDE=FQ","FILING_STATUS=OR","EQY_CONSOLIDATED=Y","FA_ADJUSTED=GAAP","Sort=A","Dates=H","DateFormat=P","Fill=—","Direction=H","UseDPDF=Y")</f>
        <v>#NAME?</v>
      </c>
      <c r="G154" t="e">
        <f ca="1">_xll.BDH($C$153,"RETURN_ON_ASSET","FQ1 2014","FQ1 2014","Currency=INR","Period=FQ","BEST_FPERIOD_OVERRIDE=FQ","FILING_STATUS=OR","EQY_CONSOLIDATED=Y","FA_ADJUSTED=GAAP","Sort=A","Dates=H","DateFormat=P","Fill=—","Direction=H","UseDPDF=Y")</f>
        <v>#NAME?</v>
      </c>
      <c r="H154" t="e">
        <f ca="1">_xll.BDH($C$153,"RETURN_ON_CAP","FQ1 2014","FQ1 2014","Currency=INR","Period=FQ","BEST_FPERIOD_OVERRIDE=FQ","FILING_STATUS=OR","EQY_CONSOLIDATED=Y","FA_ADJUSTED=GAAP","Sort=A","Dates=H","DateFormat=P","Fill=—","Direction=H","UseDPDF=Y")</f>
        <v>#NAME?</v>
      </c>
      <c r="I154" t="e">
        <f ca="1">_xll.BDH($C$153,"RETURN_ON_INV_CAPITAL","FQ1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54" t="e">
        <f ca="1">_xll.BDH($C$153,"EBITDA_TO_REVENUE","FQ1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154" t="e">
        <f ca="1">_xll.BDH($C$153,"OPER_MARGIN","FQ1 2014","FQ1 2014","Currency=INR","Period=FQ","BEST_FPERIOD_OVERRIDE=FQ","FILING_STATUS=OR","EQY_CONSOLIDATED=Y","FA_ADJUSTED=GAAP","Sort=A","Dates=H","DateFormat=P","Fill=—","Direction=H","UseDPDF=Y")</f>
        <v>#NAME?</v>
      </c>
      <c r="L154" t="e">
        <f ca="1">_xll.BDH($C$153,"INCREMENTAL_OPERATING_MARGIN","FQ1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54" t="e">
        <f ca="1">_xll.BDH($C$153,"PRETAX_INC_TO_NET_SALES","FQ1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54" t="e">
        <f ca="1">_xll.BDH($C$153,"INC_BEF_XO_ITEMS_TO_NET_SALES","FQ1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54" t="e">
        <f ca="1">_xll.BDH($C$153,"PROF_MARGIN","FQ1 2014","FQ1 2014","Currency=INR","Period=FQ","BEST_FPERIOD_OVERRIDE=FQ","FILING_STATUS=OR","EQY_CONSOLIDATED=Y","FA_ADJUSTED=GAAP","Sort=A","Dates=H","DateFormat=P","Fill=—","Direction=H","UseDPDF=Y")</f>
        <v>#NAME?</v>
      </c>
      <c r="P154" t="e">
        <f ca="1">_xll.BDH($C$153,"NET_INCOME_TO_COMMON_MARGIN","FQ1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54" t="e">
        <f ca="1">_xll.BDH($C$153,"EFF_TAX_RATE","FQ1 2014","FQ1 2014","Currency=INR","Period=FQ","BEST_FPERIOD_OVERRIDE=FQ","FILING_STATUS=OR","EQY_CONSOLIDATED=Y","FA_ADJUSTED=GAAP","Sort=A","Dates=H","DateFormat=P","Fill=—","Direction=H","UseDPDF=Y")</f>
        <v>#NAME?</v>
      </c>
      <c r="R154" t="e">
        <f ca="1">_xll.BDH($C$153,"DVD_PAYOUT_RATIO","FQ1 2014","FQ1 2014","Currency=INR","Period=FQ","BEST_FPERIOD_OVERRIDE=FQ","FILING_STATUS=OR","EQY_CONSOLIDATED=Y","FA_ADJUSTED=GAAP","Sort=A","Dates=H","DateFormat=P","Fill=—","Direction=H","UseDPDF=Y")</f>
        <v>#NAME?</v>
      </c>
      <c r="S154" t="e">
        <f ca="1">_xll.BDH($C$153,"SUSTAIN_GROWTH_RT","FQ1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154" s="2" t="e">
        <f ca="1">_xll.BDH($C$153,"SALES_GROWTH","FQ1 2014","FQ1 2014","Currency=INR","Period=FQ","BEST_FPERIOD_OVERRIDE=FQ","FILING_STATUS=OR","EQY_CONSOLIDATED=Y","FA_ADJUSTED=GAAP","Sort=A","Dates=H","DateFormat=P","Fill=—","Direction=H","UseDPDF=Y")</f>
        <v>#NAME?</v>
      </c>
      <c r="U154" s="2" t="e">
        <f ca="1">_xll.BDH($C$153,"EBITDA_GROWTH","FQ1 2014","FQ1 2014","Currency=INR","Period=FQ","BEST_FPERIOD_OVERRIDE=FQ","FILING_STATUS=OR","EQY_CONSOLIDATED=Y","FA_ADJUSTED=GAAP","Sort=A","Dates=H","DateFormat=P","Fill=—","Direction=H","UseDPDF=Y")</f>
        <v>#NAME?</v>
      </c>
      <c r="V154" s="2" t="e">
        <f ca="1">_xll.BDH($C$153,"OPER_INC_GROWTH","FQ1 2014","FQ1 2014","Currency=INR","Period=FQ","BEST_FPERIOD_OVERRIDE=FQ","FILING_STATUS=OR","EQY_CONSOLIDATED=Y","FA_ADJUSTED=GAAP","Sort=A","Dates=H","DateFormat=P","Fill=—","Direction=H","UseDPDF=Y")</f>
        <v>#NAME?</v>
      </c>
      <c r="W154" s="2" t="e">
        <f ca="1">_xll.BDH($C$153,"EARN_FOR_COM_GROWTH","FQ1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54" s="2" t="e">
        <f ca="1">_xll.BDH($C$153,"DILUTED_EPS_AFT_XO_ITEMS_GROWTH","FQ1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54" s="2" t="e">
        <f ca="1">_xll.BDH($C$153,"DIVIDEND_PER_SHARE_1_YEAR_GROWTH","FQ1 2014","FQ1 2014","Currency=INR","Period=FQ","BEST_FPERIOD_OVERRIDE=FQ","FILING_STATUS=OR","EQY_CONSOLIDATED=Y","Sort=A","Dates=H","DateFormat=P","Fill=—","Direction=H","UseDPDF=Y")</f>
        <v>#NAME?</v>
      </c>
      <c r="Z154" s="2" t="e">
        <f ca="1">_xll.BDH($C$153,"ACCOUNTS_RECEIVABLE_GROWTH","FQ1 2014","FQ1 2014","Currency=INR","Period=FQ","BEST_FPERIOD_OVERRIDE=FQ","FILING_STATUS=OR","EQY_CONSOLIDATED=Y","Sort=A","Dates=H","DateFormat=P","Fill=—","Direction=H","UseDPDF=Y")</f>
        <v>#NAME?</v>
      </c>
      <c r="AA154" s="2" t="e">
        <f ca="1">_xll.BDH($C$153,"INVENTORY_GROWTH","FQ1 2014","FQ1 2014","Currency=INR","Period=FQ","BEST_FPERIOD_OVERRIDE=FQ","FILING_STATUS=OR","EQY_CONSOLIDATED=Y","Sort=A","Dates=H","DateFormat=P","Fill=—","Direction=H","UseDPDF=Y")</f>
        <v>#NAME?</v>
      </c>
      <c r="AB154" s="2" t="e">
        <f ca="1">_xll.BDH($C$153,"NET_FIXED_ASSETS_1_YEAR_GROWTH","FQ1 2014","FQ1 2014","Currency=INR","Period=FQ","BEST_FPERIOD_OVERRIDE=FQ","FILING_STATUS=OR","EQY_CONSOLIDATED=Y","Sort=A","Dates=H","DateFormat=P","Fill=—","Direction=H","UseDPDF=Y")</f>
        <v>#NAME?</v>
      </c>
      <c r="AC154" s="2" t="e">
        <f ca="1">_xll.BDH($C$153,"ASSET_GROWTH","FQ1 2014","FQ1 2014","Currency=INR","Period=FQ","BEST_FPERIOD_OVERRIDE=FQ","FILING_STATUS=OR","EQY_CONSOLIDATED=Y","Sort=A","Dates=H","DateFormat=P","Fill=—","Direction=H","UseDPDF=Y")</f>
        <v>#NAME?</v>
      </c>
      <c r="AD154" s="2" t="e">
        <f ca="1">_xll.BDH($C$153,"MODIFIED_WORK_CAP_GROWTH","FQ1 2014","FQ1 2014","Currency=INR","Period=FQ","BEST_FPERIOD_OVERRIDE=FQ","FILING_STATUS=OR","EQY_CONSOLIDATED=Y","Sort=A","Dates=H","DateFormat=P","Fill=—","Direction=H","UseDPDF=Y")</f>
        <v>#NAME?</v>
      </c>
      <c r="AE154" s="2" t="e">
        <f ca="1">_xll.BDH($C$153,"WORK_CAP_GROWTH","FQ1 2014","FQ1 2014","Currency=INR","Period=FQ","BEST_FPERIOD_OVERRIDE=FQ","FILING_STATUS=OR","EQY_CONSOLIDATED=Y","Sort=A","Dates=H","DateFormat=P","Fill=—","Direction=H","UseDPDF=Y")</f>
        <v>#NAME?</v>
      </c>
      <c r="AF154" s="2" t="e">
        <f ca="1">_xll.BDH($C$153,"ACCOUNTS_PAYABLE_GROWTH_1YR","FQ1 2014","FQ1 2014","Currency=INR","Period=FQ","BEST_FPERIOD_OVERRIDE=FQ","FILING_STATUS=OR","EQY_CONSOLIDATED=Y","Sort=A","Dates=H","DateFormat=P","Fill=—","Direction=H","UseDPDF=Y")</f>
        <v>#NAME?</v>
      </c>
      <c r="AG154" s="2" t="e">
        <f ca="1">_xll.BDH($C$153,"SHORT_TERM_DEBT_1_YEAR_GROWTH","FQ1 2014","FQ1 2014","Currency=INR","Period=FQ","BEST_FPERIOD_OVERRIDE=FQ","FILING_STATUS=OR","EQY_CONSOLIDATED=Y","Sort=A","Dates=H","DateFormat=P","Fill=—","Direction=H","UseDPDF=Y")</f>
        <v>#NAME?</v>
      </c>
      <c r="AH154" s="2" t="e">
        <f ca="1">_xll.BDH($C$153,"TOTAL_DEBT_1_YEAR_GROWTH","FQ1 2014","FQ1 2014","Currency=INR","Period=FQ","BEST_FPERIOD_OVERRIDE=FQ","FILING_STATUS=OR","EQY_CONSOLIDATED=Y","Sort=A","Dates=H","DateFormat=P","Fill=—","Direction=H","UseDPDF=Y")</f>
        <v>#NAME?</v>
      </c>
      <c r="AI154" s="2" t="e">
        <f ca="1">_xll.BDH($C$153,"TOTAL_EQUITY_1_YEAR_GROWTH","FQ1 2014","FQ1 2014","Currency=INR","Period=FQ","BEST_FPERIOD_OVERRIDE=FQ","FILING_STATUS=OR","EQY_CONSOLIDATED=Y","Sort=A","Dates=H","DateFormat=P","Fill=—","Direction=H","UseDPDF=Y")</f>
        <v>#NAME?</v>
      </c>
      <c r="AJ154" s="2" t="e">
        <f ca="1">_xll.BDH($C$153,"GROWTH_IN_CAP","FQ1 2014","FQ1 2014","Currency=INR","Period=FQ","BEST_FPERIOD_OVERRIDE=FQ","FILING_STATUS=OR","EQY_CONSOLIDATED=Y","Sort=A","Dates=H","DateFormat=P","Fill=—","Direction=H","UseDPDF=Y")</f>
        <v>#NAME?</v>
      </c>
      <c r="AK154" s="2" t="e">
        <f ca="1">_xll.BDH($C$153,"BVPS_GROWTH","FQ1 2014","FQ1 2014","Currency=INR","Period=FQ","BEST_FPERIOD_OVERRIDE=FQ","FILING_STATUS=OR","EQY_CONSOLIDATED=Y","Sort=A","Dates=H","DateFormat=P","Fill=—","Direction=H","UseDPDF=Y")</f>
        <v>#NAME?</v>
      </c>
      <c r="AL154" s="2" t="e">
        <f ca="1">_xll.BDH($C$153,"CASH_FLOW_GROWTH","FQ1 2014","FQ1 2014","Currency=INR","Period=FQ","BEST_FPERIOD_OVERRIDE=FQ","FILING_STATUS=OR","EQY_CONSOLIDATED=Y","Sort=A","Dates=H","DateFormat=P","Fill=—","Direction=H","UseDPDF=Y")</f>
        <v>#NAME?</v>
      </c>
      <c r="AM154" s="2" t="e">
        <f ca="1">_xll.BDH($C$153,"GEO_GROW_NET_SALES","FQ1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54" s="2" t="e">
        <f ca="1">_xll.BDH($C$153,"GEO_GROW_EBITDA","FQ1 2014","FQ1 2014","Currency=INR","Period=FQ","BEST_FPERIOD_OVERRIDE=FQ","FILING_STATUS=OR","EQY_CONSOLIDATED=Y","FA_ADJUSTED=GAAP","Sort=A","Dates=H","DateFormat=P","Fill=—","Direction=H","UseDPDF=Y")</f>
        <v>#NAME?</v>
      </c>
      <c r="AO154" s="2" t="e">
        <f ca="1">_xll.BDH($C$153,"GEO_GROW_OPER_INC","FQ1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54" s="2" t="e">
        <f ca="1">_xll.BDH($C$153,"NET_INCOME_TO_COMMON_5_YR_GROWTH","FQ1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54" s="2" t="e">
        <f ca="1">_xll.BDH($C$153,"5Y_GEO_GROWTH_DILUTED_EPS","FQ1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54" s="2" t="e">
        <f ca="1">_xll.BDH($C$153,"GEO_GROW_DVD_PER_SH","FQ1 2014","FQ1 2014","Currency=INR","Period=FQ","BEST_FPERIOD_OVERRIDE=FQ","FILING_STATUS=OR","EQY_CONSOLIDATED=Y","Sort=A","Dates=H","DateFormat=P","Fill=—","Direction=H","UseDPDF=Y")</f>
        <v>#NAME?</v>
      </c>
      <c r="AS154" s="2" t="e">
        <f ca="1">_xll.BDH($C$153,"ACCOUNTS_RECEIVABLE_5_YR_GROWTH","FQ1 2014","FQ1 2014","Currency=INR","Period=FQ","BEST_FPERIOD_OVERRIDE=FQ","FILING_STATUS=OR","EQY_CONSOLIDATED=Y","Sort=A","Dates=H","DateFormat=P","Fill=—","Direction=H","UseDPDF=Y")</f>
        <v>#NAME?</v>
      </c>
      <c r="AT154" s="2" t="e">
        <f ca="1">_xll.BDH($C$153,"INVENTORY_5_YEAR_GROWTH","FQ1 2014","FQ1 2014","Currency=INR","Period=FQ","BEST_FPERIOD_OVERRIDE=FQ","FILING_STATUS=OR","EQY_CONSOLIDATED=Y","Sort=A","Dates=H","DateFormat=P","Fill=—","Direction=H","UseDPDF=Y")</f>
        <v>#NAME?</v>
      </c>
      <c r="AU154" s="2" t="e">
        <f ca="1">_xll.BDH($C$153,"NET_FIXED_ASSETS_5_YEAR_GROWTH","FQ1 2014","FQ1 2014","Currency=INR","Period=FQ","BEST_FPERIOD_OVERRIDE=FQ","FILING_STATUS=OR","EQY_CONSOLIDATED=Y","Sort=A","Dates=H","DateFormat=P","Fill=—","Direction=H","UseDPDF=Y")</f>
        <v>#NAME?</v>
      </c>
      <c r="AV154" s="2" t="e">
        <f ca="1">_xll.BDH($C$153,"GEO_GROW_TOT_ASSET","FQ1 2014","FQ1 2014","Currency=INR","Period=FQ","BEST_FPERIOD_OVERRIDE=FQ","FILING_STATUS=OR","EQY_CONSOLIDATED=Y","Sort=A","Dates=H","DateFormat=P","Fill=—","Direction=H","UseDPDF=Y")</f>
        <v>#NAME?</v>
      </c>
      <c r="AW154" s="2" t="e">
        <f ca="1">_xll.BDH($C$153,"MODIFIED_WORKING_CPTL_5YR_GRWTH","FQ1 2014","FQ1 2014","Currency=INR","Period=FQ","BEST_FPERIOD_OVERRIDE=FQ","FILING_STATUS=OR","EQY_CONSOLIDATED=Y","Sort=A","Dates=H","DateFormat=P","Fill=—","Direction=H","UseDPDF=Y")</f>
        <v>#NAME?</v>
      </c>
      <c r="AX154" s="2" t="e">
        <f ca="1">_xll.BDH($C$153,"WORKING_CAPITAL_5_YEAR_GROWTH","FQ1 2014","FQ1 2014","Currency=INR","Period=FQ","BEST_FPERIOD_OVERRIDE=FQ","FILING_STATUS=OR","EQY_CONSOLIDATED=Y","Sort=A","Dates=H","DateFormat=P","Fill=—","Direction=H","UseDPDF=Y")</f>
        <v>#NAME?</v>
      </c>
      <c r="AY154" s="2" t="e">
        <f ca="1">_xll.BDH($C$153,"ACCOUNTS_PAYABLE_5_YEAR_GROWTH","FQ1 2014","FQ1 2014","Currency=INR","Period=FQ","BEST_FPERIOD_OVERRIDE=FQ","FILING_STATUS=OR","EQY_CONSOLIDATED=Y","Sort=A","Dates=H","DateFormat=P","Fill=—","Direction=H","UseDPDF=Y")</f>
        <v>#NAME?</v>
      </c>
      <c r="AZ154" s="2" t="e">
        <f ca="1">_xll.BDH($C$153,"SHORT_TERM_DEBT_5_YEAR_GROWTH","FQ1 2014","FQ1 2014","Currency=INR","Period=FQ","BEST_FPERIOD_OVERRIDE=FQ","FILING_STATUS=OR","EQY_CONSOLIDATED=Y","Sort=A","Dates=H","DateFormat=P","Fill=—","Direction=H","UseDPDF=Y")</f>
        <v>#NAME?</v>
      </c>
      <c r="BA154" s="2" t="e">
        <f ca="1">_xll.BDH($C$153,"TOTAL_DEBT_5_YEAR_GROWTH","FQ1 2014","FQ1 2014","Currency=INR","Period=FQ","BEST_FPERIOD_OVERRIDE=FQ","FILING_STATUS=OR","EQY_CONSOLIDATED=Y","Sort=A","Dates=H","DateFormat=P","Fill=—","Direction=H","UseDPDF=Y")</f>
        <v>#NAME?</v>
      </c>
      <c r="BB154" s="2" t="e">
        <f ca="1">_xll.BDH($C$153,"GEO_GROW_TOT_SHRHLDR_EQY","FQ1 2014","FQ1 2014","Currency=INR","Period=FQ","BEST_FPERIOD_OVERRIDE=FQ","FILING_STATUS=OR","EQY_CONSOLIDATED=Y","Sort=A","Dates=H","DateFormat=P","Fill=—","Direction=H","UseDPDF=Y")</f>
        <v>#NAME?</v>
      </c>
      <c r="BC154" s="2" t="e">
        <f ca="1">_xll.BDH($C$153,"TOTAL_CAPITAL_5_YEAR_GROWTH","FQ1 2014","FQ1 2014","Currency=INR","Period=FQ","BEST_FPERIOD_OVERRIDE=FQ","FILING_STATUS=OR","EQY_CONSOLIDATED=Y","Sort=A","Dates=H","DateFormat=P","Fill=—","Direction=H","UseDPDF=Y")</f>
        <v>#NAME?</v>
      </c>
      <c r="BD154" s="2" t="e">
        <f ca="1">_xll.BDH($C$153,"GEO_GROW_BOOK_VAL","FQ1 2014","FQ1 2014","Currency=INR","Period=FQ","BEST_FPERIOD_OVERRIDE=FQ","FILING_STATUS=OR","EQY_CONSOLIDATED=Y","Sort=A","Dates=H","DateFormat=P","Fill=—","Direction=H","UseDPDF=Y")</f>
        <v>#NAME?</v>
      </c>
      <c r="BE154" s="2" t="e">
        <f ca="1">_xll.BDH($C$153,"GEO_GROW_CASH_OPER_ACT","FQ1 2014","FQ1 2014","Currency=INR","Period=FQ","BEST_FPERIOD_OVERRIDE=FQ","FILING_STATUS=OR","EQY_CONSOLIDATED=Y","Sort=A","Dates=H","DateFormat=P","Fill=—","Direction=H","UseDPDF=Y")</f>
        <v>#NAME?</v>
      </c>
      <c r="BF154" s="2" t="e">
        <f ca="1">_xll.BDH($C$153,"REVENUE_SEQUENTIAL_GROWTH","FQ1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54" s="2" t="e">
        <f ca="1">_xll.BDH($C$153,"EBITDA_SEQUENTIAL_GROWTH","FQ1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54" s="2" t="e">
        <f ca="1">_xll.BDH($C$153,"OPERATING_INCOME_SEQ_GROWTH","FQ1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54" s="2" t="e">
        <f ca="1">_xll.BDH($C$153,"NET_INCOME_TO_COMMON_SEQ_GROWTH","FQ1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54" s="2" t="e">
        <f ca="1">_xll.BDH($C$153,"EPS_DILUTED_SEQUENTIAL_GROWTH","FQ1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54" s="2" t="e">
        <f ca="1">_xll.BDH($C$153,"DPS_SEQUENTIAL_GROWTH","FQ1 2014","FQ1 2014","Currency=INR","Period=FQ","BEST_FPERIOD_OVERRIDE=FQ","FILING_STATUS=OR","EQY_CONSOLIDATED=Y","Sort=A","Dates=H","DateFormat=P","Fill=—","Direction=H","UseDPDF=Y")</f>
        <v>#NAME?</v>
      </c>
      <c r="BL154" s="2" t="e">
        <f ca="1">_xll.BDH($C$153,"ACCOUNTS_RECEIVABLE_SEQ_GROWTH","FQ1 2014","FQ1 2014","Currency=INR","Period=FQ","BEST_FPERIOD_OVERRIDE=FQ","FILING_STATUS=OR","EQY_CONSOLIDATED=Y","Sort=A","Dates=H","DateFormat=P","Fill=—","Direction=H","UseDPDF=Y")</f>
        <v>#NAME?</v>
      </c>
      <c r="BM154" s="2" t="e">
        <f ca="1">_xll.BDH($C$153,"INVENTORY_SEQUENTIAL_GROWTH","FQ1 2014","FQ1 2014","Currency=INR","Period=FQ","BEST_FPERIOD_OVERRIDE=FQ","FILING_STATUS=OR","EQY_CONSOLIDATED=Y","Sort=A","Dates=H","DateFormat=P","Fill=—","Direction=H","UseDPDF=Y")</f>
        <v>#NAME?</v>
      </c>
      <c r="BN154" s="2" t="e">
        <f ca="1">_xll.BDH($C$153,"FIXED_ASSETS_SEQUENTIAL_GROWTH","FQ1 2014","FQ1 2014","Currency=INR","Period=FQ","BEST_FPERIOD_OVERRIDE=FQ","FILING_STATUS=OR","EQY_CONSOLIDATED=Y","Sort=A","Dates=H","DateFormat=P","Fill=—","Direction=H","UseDPDF=Y")</f>
        <v>#NAME?</v>
      </c>
      <c r="BO154" s="2" t="e">
        <f ca="1">_xll.BDH($C$153,"TOTAL_ASSETS_SEQUENTIAL_GROWTH","FQ1 2014","FQ1 2014","Currency=INR","Period=FQ","BEST_FPERIOD_OVERRIDE=FQ","FILING_STATUS=OR","EQY_CONSOLIDATED=Y","Sort=A","Dates=H","DateFormat=P","Fill=—","Direction=H","UseDPDF=Y")</f>
        <v>#NAME?</v>
      </c>
      <c r="BP154" s="2" t="e">
        <f ca="1">_xll.BDH($C$153,"MODIFIED_WORKING_CPTL_SEQ_GRWTH","FQ1 2014","FQ1 2014","Currency=INR","Period=FQ","BEST_FPERIOD_OVERRIDE=FQ","FILING_STATUS=OR","EQY_CONSOLIDATED=Y","Sort=A","Dates=H","DateFormat=P","Fill=—","Direction=H","UseDPDF=Y")</f>
        <v>#NAME?</v>
      </c>
      <c r="BQ154" s="2" t="e">
        <f ca="1">_xll.BDH($C$153,"WORKING_CAPITAL_SEQ_GROWTH","FQ1 2014","FQ1 2014","Currency=INR","Period=FQ","BEST_FPERIOD_OVERRIDE=FQ","FILING_STATUS=OR","EQY_CONSOLIDATED=Y","Sort=A","Dates=H","DateFormat=P","Fill=—","Direction=H","UseDPDF=Y")</f>
        <v>#NAME?</v>
      </c>
      <c r="BR154" s="2" t="e">
        <f ca="1">_xll.BDH($C$153,"ACCOUNTS_PAYABLE_SEQ_GROWTH","FQ1 2014","FQ1 2014","Currency=INR","Period=FQ","BEST_FPERIOD_OVERRIDE=FQ","FILING_STATUS=OR","EQY_CONSOLIDATED=Y","Sort=A","Dates=H","DateFormat=P","Fill=—","Direction=H","UseDPDF=Y")</f>
        <v>#NAME?</v>
      </c>
      <c r="BS154" s="2" t="e">
        <f ca="1">_xll.BDH($C$153,"ST_DEBT_SEQUENTIAL_GROWTH","FQ1 2014","FQ1 2014","Currency=INR","Period=FQ","BEST_FPERIOD_OVERRIDE=FQ","FILING_STATUS=OR","EQY_CONSOLIDATED=Y","Sort=A","Dates=H","DateFormat=P","Fill=—","Direction=H","UseDPDF=Y")</f>
        <v>#NAME?</v>
      </c>
      <c r="BT154" s="2" t="e">
        <f ca="1">_xll.BDH($C$153,"TOTAL_DEBT_SEQUENTIAL_GROWTH","FQ1 2014","FQ1 2014","Currency=INR","Period=FQ","BEST_FPERIOD_OVERRIDE=FQ","FILING_STATUS=OR","EQY_CONSOLIDATED=Y","Sort=A","Dates=H","DateFormat=P","Fill=—","Direction=H","UseDPDF=Y")</f>
        <v>#NAME?</v>
      </c>
      <c r="BU154" s="2" t="e">
        <f ca="1">_xll.BDH($C$153,"TOTAL_EQUITY_SEQUENTIAL_GROWTH","FQ1 2014","FQ1 2014","Currency=INR","Period=FQ","BEST_FPERIOD_OVERRIDE=FQ","FILING_STATUS=OR","EQY_CONSOLIDATED=Y","Sort=A","Dates=H","DateFormat=P","Fill=—","Direction=H","UseDPDF=Y")</f>
        <v>#NAME?</v>
      </c>
      <c r="BV154" s="2" t="e">
        <f ca="1">_xll.BDH($C$153,"TOTAL_CAPITAL_SEQUENTIAL_GROWTH","FQ1 2014","FQ1 2014","Currency=INR","Period=FQ","BEST_FPERIOD_OVERRIDE=FQ","FILING_STATUS=OR","EQY_CONSOLIDATED=Y","Sort=A","Dates=H","DateFormat=P","Fill=—","Direction=H","UseDPDF=Y")</f>
        <v>#NAME?</v>
      </c>
      <c r="BW154" s="2" t="e">
        <f ca="1">_xll.BDH($C$153,"BPS_SEQUENTIAL_GROWTH","FQ1 2014","FQ1 2014","Currency=INR","Period=FQ","BEST_FPERIOD_OVERRIDE=FQ","FILING_STATUS=OR","EQY_CONSOLIDATED=Y","Sort=A","Dates=H","DateFormat=P","Fill=—","Direction=H","UseDPDF=Y")</f>
        <v>#NAME?</v>
      </c>
      <c r="BX154" s="2" t="e">
        <f ca="1">_xll.BDH($C$153,"CFO_SEQUENTIAL_GROWTH","FQ1 2014","FQ1 2014","Currency=INR","Period=FQ","BEST_FPERIOD_OVERRIDE=FQ","FILING_STATUS=OR","EQY_CONSOLIDATED=Y","Sort=A","Dates=H","DateFormat=P","Fill=—","Direction=H","UseDPDF=Y")</f>
        <v>#NAME?</v>
      </c>
      <c r="BY154" s="3" t="e">
        <f ca="1">_xll.BDH($C$153,"SHORT_AND_LONG_TERM_DEBT","FQ1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54" s="3" t="e">
        <f ca="1">_xll.BDH($C$153,"BS_ST_BORROW","FQ1 2014","FQ1 2014","Currency=INR","Period=FQ","BEST_FPERIOD_OVERRIDE=FQ","FILING_STATUS=OR","EQY_CONSOLIDATED=Y","SCALING_FORMAT=MLN","Sort=A","Dates=H","DateFormat=P","Fill=—","Direction=H","UseDPDF=Y")</f>
        <v>#NAME?</v>
      </c>
      <c r="CA154" s="3" t="e">
        <f ca="1">_xll.BDH($C$153,"BS_LT_BORROW","FQ1 2014","FQ1 2014","Currency=INR","Period=FQ","BEST_FPERIOD_OVERRIDE=FQ","FILING_STATUS=OR","EQY_CONSOLIDATED=Y","SCALING_FORMAT=MLN","Sort=A","Dates=H","DateFormat=P","Fill=—","Direction=H","UseDPDF=Y")</f>
        <v>#NAME?</v>
      </c>
      <c r="CB154" s="2" t="e">
        <f ca="1">_xll.BDH($C$153,"TOT_DEBT_TO_EBITDA","FQ1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54" s="2" t="e">
        <f ca="1">_xll.BDH($C$153,"NET_DEBT_TO_EBITDA","FQ1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54" s="2" t="e">
        <f ca="1">_xll.BDH($C$153,"TOTAL_DEBT_TO_EBIT","FQ1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54" s="2" t="e">
        <f ca="1">_xll.BDH($C$153,"NET_DEBT_TO_EBIT","FQ1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154" s="2" t="e">
        <f ca="1">_xll.BDH($C$153,"EBITDA_TO_INTEREST_EXPN","FQ1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54" s="2" t="e">
        <f ca="1">_xll.BDH($C$153,"COM_EQY_TO_TOT_ASSET","FQ1 2014","FQ1 2014","Currency=INR","Period=FQ","BEST_FPERIOD_OVERRIDE=FQ","FILING_STATUS=OR","EQY_CONSOLIDATED=Y","Sort=A","Dates=H","DateFormat=P","Fill=—","Direction=H","UseDPDF=Y")</f>
        <v>#NAME?</v>
      </c>
      <c r="CH154" s="2" t="e">
        <f ca="1">_xll.BDH($C$153,"LT_DEBT_TO_TOT_EQY","FQ1 2014","FQ1 2014","Currency=INR","Period=FQ","BEST_FPERIOD_OVERRIDE=FQ","FILING_STATUS=OR","EQY_CONSOLIDATED=Y","Sort=A","Dates=H","DateFormat=P","Fill=—","Direction=H","UseDPDF=Y")</f>
        <v>#NAME?</v>
      </c>
      <c r="CI154" s="2" t="e">
        <f ca="1">_xll.BDH($C$153,"LT_DEBT_TO_TOT_CAP","FQ1 2014","FQ1 2014","Currency=INR","Period=FQ","BEST_FPERIOD_OVERRIDE=FQ","FILING_STATUS=OR","EQY_CONSOLIDATED=Y","Sort=A","Dates=H","DateFormat=P","Fill=—","Direction=H","UseDPDF=Y")</f>
        <v>#NAME?</v>
      </c>
      <c r="CJ154" s="2" t="e">
        <f ca="1">_xll.BDH($C$153,"LT_DEBT_TO_TOT_ASSET","FQ1 2014","FQ1 2014","Currency=INR","Period=FQ","BEST_FPERIOD_OVERRIDE=FQ","FILING_STATUS=OR","EQY_CONSOLIDATED=Y","Sort=A","Dates=H","DateFormat=P","Fill=—","Direction=H","UseDPDF=Y")</f>
        <v>#NAME?</v>
      </c>
      <c r="CK154" s="2" t="e">
        <f ca="1">_xll.BDH($C$153,"TOT_DEBT_TO_TOT_EQY","FQ1 2014","FQ1 2014","Currency=INR","Period=FQ","BEST_FPERIOD_OVERRIDE=FQ","FILING_STATUS=OR","EQY_CONSOLIDATED=Y","Sort=A","Dates=H","DateFormat=P","Fill=—","Direction=H","UseDPDF=Y")</f>
        <v>#NAME?</v>
      </c>
      <c r="CL154" s="2" t="e">
        <f ca="1">_xll.BDH($C$153,"TOT_DEBT_TO_TOT_CAP","FQ1 2014","FQ1 2014","Currency=INR","Period=FQ","BEST_FPERIOD_OVERRIDE=FQ","FILING_STATUS=OR","EQY_CONSOLIDATED=Y","Sort=A","Dates=H","DateFormat=P","Fill=—","Direction=H","UseDPDF=Y")</f>
        <v>#NAME?</v>
      </c>
      <c r="CM154" s="2" t="e">
        <f ca="1">_xll.BDH($C$153,"TOT_DEBT_TO_TOT_ASSET","FQ1 2014","FQ1 2014","Currency=INR","Period=FQ","BEST_FPERIOD_OVERRIDE=FQ","FILING_STATUS=OR","EQY_CONSOLIDATED=Y","Sort=A","Dates=H","DateFormat=P","Fill=—","Direction=H","UseDPDF=Y")</f>
        <v>#NAME?</v>
      </c>
      <c r="CN154" s="2" t="e">
        <f ca="1">_xll.BDH($C$153,"NET_DEBT_TO_SHRHLDR_EQTY","FQ1 2014","FQ1 2014","Currency=INR","Period=FQ","BEST_FPERIOD_OVERRIDE=FQ","FILING_STATUS=OR","EQY_CONSOLIDATED=Y","Sort=A","Dates=H","DateFormat=P","Fill=—","Direction=H","UseDPDF=Y")</f>
        <v>#NAME?</v>
      </c>
      <c r="CO154" s="2" t="e">
        <f ca="1">_xll.BDH($C$153,"NET_DEBT_%_CAPITAL","FQ1 2014","FQ1 2014","Currency=INR","Period=FQ","BEST_FPERIOD_OVERRIDE=FQ","FILING_STATUS=OR","EQY_CONSOLIDATED=Y","Sort=A","Dates=H","DateFormat=P","Fill=—","Direction=H","UseDPDF=Y")</f>
        <v>#NAME?</v>
      </c>
      <c r="CP154" s="3" t="e">
        <f ca="1">_xll.BDH($C$153,"EBITDA","FQ1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54" s="3" t="e">
        <f ca="1">_xll.BDH($C$153,"EBITDA_AFTER_CAPEX","FQ1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54" s="3" t="e">
        <f ca="1">_xll.BDH($C$153,"IS_OPER_INC","FQ1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54" s="2" t="e">
        <f ca="1">_xll.BDH($C$153,"CASH_RATIO","FQ1 2014","FQ1 2014","Currency=INR","Period=FQ","BEST_FPERIOD_OVERRIDE=FQ","FILING_STATUS=OR","EQY_CONSOLIDATED=Y","Sort=A","Dates=H","DateFormat=P","Fill=—","Direction=H","UseDPDF=Y")</f>
        <v>#NAME?</v>
      </c>
      <c r="CT154" s="2" t="e">
        <f ca="1">_xll.BDH($C$153,"CUR_RATIO","FQ1 2014","FQ1 2014","Currency=INR","Period=FQ","BEST_FPERIOD_OVERRIDE=FQ","FILING_STATUS=OR","EQY_CONSOLIDATED=Y","Sort=A","Dates=H","DateFormat=P","Fill=—","Direction=H","UseDPDF=Y")</f>
        <v>#NAME?</v>
      </c>
      <c r="CU154" s="2" t="e">
        <f ca="1">_xll.BDH($C$153,"QUICK_RATIO","FQ1 2014","FQ1 2014","Currency=INR","Period=FQ","BEST_FPERIOD_OVERRIDE=FQ","FILING_STATUS=OR","EQY_CONSOLIDATED=Y","Sort=A","Dates=H","DateFormat=P","Fill=—","Direction=H","UseDPDF=Y")</f>
        <v>#NAME?</v>
      </c>
      <c r="CV154" s="2" t="e">
        <f ca="1">_xll.BDH($C$153,"ALTMAN_Z_SCORE","FQ1 2014","FQ1 2014","Currency=INR","Period=FQ","BEST_FPERIOD_OVERRIDE=FQ","FILING_STATUS=OR","EQY_CONSOLIDATED=Y","Sort=A","Dates=H","DateFormat=P","Fill=—","Direction=H","UseDPDF=Y")</f>
        <v>#NAME?</v>
      </c>
      <c r="CW154" s="4" t="e">
        <f ca="1">_xll.BDH($C$153,"ACCT_RCV_TURN","FQ1 2014","FQ1 2014","Currency=INR","Period=FQ","BEST_FPERIOD_OVERRIDE=FQ","FILING_STATUS=OR","EQY_CONSOLIDATED=Y","FA_ADJUSTED=GAAP","Sort=A","Dates=H","DateFormat=P","Fill=—","Direction=H","UseDPDF=Y")</f>
        <v>#NAME?</v>
      </c>
      <c r="CX154" s="2" t="e">
        <f ca="1">_xll.BDH($C$153,"ACCT_RCV_DAYS","FQ1 2014","FQ1 2014","Currency=INR","Period=FQ","BEST_FPERIOD_OVERRIDE=FQ","FILING_STATUS=OR","EQY_CONSOLIDATED=Y","FA_ADJUSTED=GAAP","Sort=A","Dates=H","DateFormat=P","Fill=—","Direction=H","UseDPDF=Y")</f>
        <v>#NAME?</v>
      </c>
      <c r="CY154" s="4" t="e">
        <f ca="1">_xll.BDH($C$153,"INVENT_TURN","FQ1 2014","FQ1 2014","Currency=INR","Period=FQ","BEST_FPERIOD_OVERRIDE=FQ","FILING_STATUS=OR","EQY_CONSOLIDATED=Y","FA_ADJUSTED=GAAP","Sort=A","Dates=H","DateFormat=P","Fill=—","Direction=H","UseDPDF=Y")</f>
        <v>#NAME?</v>
      </c>
      <c r="CZ154" s="2" t="e">
        <f ca="1">_xll.BDH($C$153,"INVENT_DAYS","FQ1 2014","FQ1 2014","Currency=INR","Period=FQ","BEST_FPERIOD_OVERRIDE=FQ","FILING_STATUS=OR","EQY_CONSOLIDATED=Y","FA_ADJUSTED=GAAP","Sort=A","Dates=H","DateFormat=P","Fill=—","Direction=H","UseDPDF=Y")</f>
        <v>#NAME?</v>
      </c>
      <c r="DA154" s="4" t="e">
        <f ca="1">_xll.BDH($C$153,"ACCOUNTS_PAYABLE_TURNOVER","FQ1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54" s="2" t="e">
        <f ca="1">_xll.BDH($C$153,"ACCOUNTS_PAYABLE_TURNOVER_DAYS","FQ1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54" s="4" t="e">
        <f ca="1">_xll.BDH($C$153,"CASH_CONVERSION_CYCLE","FQ1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54" s="4" t="e">
        <f ca="1">_xll.BDH($C$153,"INV_TO_CASH_DAYS","FQ1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154" s="5" t="e">
        <f ca="1">_xll.BDH($C$153,"BS_INVENTORIES","FQ1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154" s="3" t="e">
        <f ca="1">_xll.BDH($C$153,"INVTRY_RAW_MATERIALS","FQ1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54" s="3" t="e">
        <f ca="1">_xll.BDH($C$153,"INVTRY_IN_PROGRESS","FQ1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54" s="3" t="e">
        <f ca="1">_xll.BDH($C$153,"INVTRY_FINISHED_GOODS","FQ1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54" s="3" t="e">
        <f ca="1">_xll.BDH($C$153,"BS_OTHER_INV","FQ1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55" spans="1:113" x14ac:dyDescent="0.3">
      <c r="A155" s="6"/>
      <c r="B155" s="6"/>
      <c r="C155" s="6"/>
      <c r="D155" s="6"/>
      <c r="E155" t="s">
        <v>79</v>
      </c>
      <c r="F155" t="e">
        <f ca="1">_xll.BDH($C$153,"RETURN_COM_EQY","FQ2 2014","FQ2 2014","Currency=INR","Period=FQ","BEST_FPERIOD_OVERRIDE=FQ","FILING_STATUS=OR","EQY_CONSOLIDATED=Y","FA_ADJUSTED=GAAP","Sort=A","Dates=H","DateFormat=P","Fill=—","Direction=H","UseDPDF=Y")</f>
        <v>#NAME?</v>
      </c>
      <c r="G155" t="e">
        <f ca="1">_xll.BDH($C$153,"RETURN_ON_ASSET","FQ2 2014","FQ2 2014","Currency=INR","Period=FQ","BEST_FPERIOD_OVERRIDE=FQ","FILING_STATUS=OR","EQY_CONSOLIDATED=Y","FA_ADJUSTED=GAAP","Sort=A","Dates=H","DateFormat=P","Fill=—","Direction=H","UseDPDF=Y")</f>
        <v>#NAME?</v>
      </c>
      <c r="H155" t="e">
        <f ca="1">_xll.BDH($C$153,"RETURN_ON_CAP","FQ2 2014","FQ2 2014","Currency=INR","Period=FQ","BEST_FPERIOD_OVERRIDE=FQ","FILING_STATUS=OR","EQY_CONSOLIDATED=Y","FA_ADJUSTED=GAAP","Sort=A","Dates=H","DateFormat=P","Fill=—","Direction=H","UseDPDF=Y")</f>
        <v>#NAME?</v>
      </c>
      <c r="I155" t="e">
        <f ca="1">_xll.BDH($C$153,"RETURN_ON_INV_CAPITAL","FQ2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55" t="e">
        <f ca="1">_xll.BDH($C$153,"EBITDA_TO_REVENUE","FQ2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155" t="e">
        <f ca="1">_xll.BDH($C$153,"OPER_MARGIN","FQ2 2014","FQ2 2014","Currency=INR","Period=FQ","BEST_FPERIOD_OVERRIDE=FQ","FILING_STATUS=OR","EQY_CONSOLIDATED=Y","FA_ADJUSTED=GAAP","Sort=A","Dates=H","DateFormat=P","Fill=—","Direction=H","UseDPDF=Y")</f>
        <v>#NAME?</v>
      </c>
      <c r="L155" t="e">
        <f ca="1">_xll.BDH($C$153,"INCREMENTAL_OPERATING_MARGIN","FQ2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55" t="e">
        <f ca="1">_xll.BDH($C$153,"PRETAX_INC_TO_NET_SALES","FQ2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55" t="e">
        <f ca="1">_xll.BDH($C$153,"INC_BEF_XO_ITEMS_TO_NET_SALES","FQ2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55" t="e">
        <f ca="1">_xll.BDH($C$153,"PROF_MARGIN","FQ2 2014","FQ2 2014","Currency=INR","Period=FQ","BEST_FPERIOD_OVERRIDE=FQ","FILING_STATUS=OR","EQY_CONSOLIDATED=Y","FA_ADJUSTED=GAAP","Sort=A","Dates=H","DateFormat=P","Fill=—","Direction=H","UseDPDF=Y")</f>
        <v>#NAME?</v>
      </c>
      <c r="P155" t="e">
        <f ca="1">_xll.BDH($C$153,"NET_INCOME_TO_COMMON_MARGIN","FQ2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55" t="e">
        <f ca="1">_xll.BDH($C$153,"EFF_TAX_RATE","FQ2 2014","FQ2 2014","Currency=INR","Period=FQ","BEST_FPERIOD_OVERRIDE=FQ","FILING_STATUS=OR","EQY_CONSOLIDATED=Y","FA_ADJUSTED=GAAP","Sort=A","Dates=H","DateFormat=P","Fill=—","Direction=H","UseDPDF=Y")</f>
        <v>#NAME?</v>
      </c>
      <c r="R155" t="e">
        <f ca="1">_xll.BDH($C$153,"DVD_PAYOUT_RATIO","FQ2 2014","FQ2 2014","Currency=INR","Period=FQ","BEST_FPERIOD_OVERRIDE=FQ","FILING_STATUS=OR","EQY_CONSOLIDATED=Y","FA_ADJUSTED=GAAP","Sort=A","Dates=H","DateFormat=P","Fill=—","Direction=H","UseDPDF=Y")</f>
        <v>#NAME?</v>
      </c>
      <c r="S155" t="e">
        <f ca="1">_xll.BDH($C$153,"SUSTAIN_GROWTH_RT","FQ2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155" s="2" t="e">
        <f ca="1">_xll.BDH($C$153,"SALES_GROWTH","FQ2 2014","FQ2 2014","Currency=INR","Period=FQ","BEST_FPERIOD_OVERRIDE=FQ","FILING_STATUS=OR","EQY_CONSOLIDATED=Y","FA_ADJUSTED=GAAP","Sort=A","Dates=H","DateFormat=P","Fill=—","Direction=H","UseDPDF=Y")</f>
        <v>#NAME?</v>
      </c>
      <c r="U155" s="2" t="e">
        <f ca="1">_xll.BDH($C$153,"EBITDA_GROWTH","FQ2 2014","FQ2 2014","Currency=INR","Period=FQ","BEST_FPERIOD_OVERRIDE=FQ","FILING_STATUS=OR","EQY_CONSOLIDATED=Y","FA_ADJUSTED=GAAP","Sort=A","Dates=H","DateFormat=P","Fill=—","Direction=H","UseDPDF=Y")</f>
        <v>#NAME?</v>
      </c>
      <c r="V155" s="2" t="e">
        <f ca="1">_xll.BDH($C$153,"OPER_INC_GROWTH","FQ2 2014","FQ2 2014","Currency=INR","Period=FQ","BEST_FPERIOD_OVERRIDE=FQ","FILING_STATUS=OR","EQY_CONSOLIDATED=Y","FA_ADJUSTED=GAAP","Sort=A","Dates=H","DateFormat=P","Fill=—","Direction=H","UseDPDF=Y")</f>
        <v>#NAME?</v>
      </c>
      <c r="W155" s="2" t="e">
        <f ca="1">_xll.BDH($C$153,"EARN_FOR_COM_GROWTH","FQ2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55" s="2" t="e">
        <f ca="1">_xll.BDH($C$153,"DILUTED_EPS_AFT_XO_ITEMS_GROWTH","FQ2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55" s="2" t="e">
        <f ca="1">_xll.BDH($C$153,"DIVIDEND_PER_SHARE_1_YEAR_GROWTH","FQ2 2014","FQ2 2014","Currency=INR","Period=FQ","BEST_FPERIOD_OVERRIDE=FQ","FILING_STATUS=OR","EQY_CONSOLIDATED=Y","Sort=A","Dates=H","DateFormat=P","Fill=—","Direction=H","UseDPDF=Y")</f>
        <v>#NAME?</v>
      </c>
      <c r="Z155" s="2" t="e">
        <f ca="1">_xll.BDH($C$153,"ACCOUNTS_RECEIVABLE_GROWTH","FQ2 2014","FQ2 2014","Currency=INR","Period=FQ","BEST_FPERIOD_OVERRIDE=FQ","FILING_STATUS=OR","EQY_CONSOLIDATED=Y","Sort=A","Dates=H","DateFormat=P","Fill=—","Direction=H","UseDPDF=Y")</f>
        <v>#NAME?</v>
      </c>
      <c r="AA155" s="2" t="e">
        <f ca="1">_xll.BDH($C$153,"INVENTORY_GROWTH","FQ2 2014","FQ2 2014","Currency=INR","Period=FQ","BEST_FPERIOD_OVERRIDE=FQ","FILING_STATUS=OR","EQY_CONSOLIDATED=Y","Sort=A","Dates=H","DateFormat=P","Fill=—","Direction=H","UseDPDF=Y")</f>
        <v>#NAME?</v>
      </c>
      <c r="AB155" s="2" t="e">
        <f ca="1">_xll.BDH($C$153,"NET_FIXED_ASSETS_1_YEAR_GROWTH","FQ2 2014","FQ2 2014","Currency=INR","Period=FQ","BEST_FPERIOD_OVERRIDE=FQ","FILING_STATUS=OR","EQY_CONSOLIDATED=Y","Sort=A","Dates=H","DateFormat=P","Fill=—","Direction=H","UseDPDF=Y")</f>
        <v>#NAME?</v>
      </c>
      <c r="AC155" s="2" t="e">
        <f ca="1">_xll.BDH($C$153,"ASSET_GROWTH","FQ2 2014","FQ2 2014","Currency=INR","Period=FQ","BEST_FPERIOD_OVERRIDE=FQ","FILING_STATUS=OR","EQY_CONSOLIDATED=Y","Sort=A","Dates=H","DateFormat=P","Fill=—","Direction=H","UseDPDF=Y")</f>
        <v>#NAME?</v>
      </c>
      <c r="AD155" s="2" t="e">
        <f ca="1">_xll.BDH($C$153,"MODIFIED_WORK_CAP_GROWTH","FQ2 2014","FQ2 2014","Currency=INR","Period=FQ","BEST_FPERIOD_OVERRIDE=FQ","FILING_STATUS=OR","EQY_CONSOLIDATED=Y","Sort=A","Dates=H","DateFormat=P","Fill=—","Direction=H","UseDPDF=Y")</f>
        <v>#NAME?</v>
      </c>
      <c r="AE155" s="2" t="e">
        <f ca="1">_xll.BDH($C$153,"WORK_CAP_GROWTH","FQ2 2014","FQ2 2014","Currency=INR","Period=FQ","BEST_FPERIOD_OVERRIDE=FQ","FILING_STATUS=OR","EQY_CONSOLIDATED=Y","Sort=A","Dates=H","DateFormat=P","Fill=—","Direction=H","UseDPDF=Y")</f>
        <v>#NAME?</v>
      </c>
      <c r="AF155" s="2" t="e">
        <f ca="1">_xll.BDH($C$153,"ACCOUNTS_PAYABLE_GROWTH_1YR","FQ2 2014","FQ2 2014","Currency=INR","Period=FQ","BEST_FPERIOD_OVERRIDE=FQ","FILING_STATUS=OR","EQY_CONSOLIDATED=Y","Sort=A","Dates=H","DateFormat=P","Fill=—","Direction=H","UseDPDF=Y")</f>
        <v>#NAME?</v>
      </c>
      <c r="AG155" s="2" t="e">
        <f ca="1">_xll.BDH($C$153,"SHORT_TERM_DEBT_1_YEAR_GROWTH","FQ2 2014","FQ2 2014","Currency=INR","Period=FQ","BEST_FPERIOD_OVERRIDE=FQ","FILING_STATUS=OR","EQY_CONSOLIDATED=Y","Sort=A","Dates=H","DateFormat=P","Fill=—","Direction=H","UseDPDF=Y")</f>
        <v>#NAME?</v>
      </c>
      <c r="AH155" s="2" t="e">
        <f ca="1">_xll.BDH($C$153,"TOTAL_DEBT_1_YEAR_GROWTH","FQ2 2014","FQ2 2014","Currency=INR","Period=FQ","BEST_FPERIOD_OVERRIDE=FQ","FILING_STATUS=OR","EQY_CONSOLIDATED=Y","Sort=A","Dates=H","DateFormat=P","Fill=—","Direction=H","UseDPDF=Y")</f>
        <v>#NAME?</v>
      </c>
      <c r="AI155" s="2" t="e">
        <f ca="1">_xll.BDH($C$153,"TOTAL_EQUITY_1_YEAR_GROWTH","FQ2 2014","FQ2 2014","Currency=INR","Period=FQ","BEST_FPERIOD_OVERRIDE=FQ","FILING_STATUS=OR","EQY_CONSOLIDATED=Y","Sort=A","Dates=H","DateFormat=P","Fill=—","Direction=H","UseDPDF=Y")</f>
        <v>#NAME?</v>
      </c>
      <c r="AJ155" s="2" t="e">
        <f ca="1">_xll.BDH($C$153,"GROWTH_IN_CAP","FQ2 2014","FQ2 2014","Currency=INR","Period=FQ","BEST_FPERIOD_OVERRIDE=FQ","FILING_STATUS=OR","EQY_CONSOLIDATED=Y","Sort=A","Dates=H","DateFormat=P","Fill=—","Direction=H","UseDPDF=Y")</f>
        <v>#NAME?</v>
      </c>
      <c r="AK155" s="2" t="e">
        <f ca="1">_xll.BDH($C$153,"BVPS_GROWTH","FQ2 2014","FQ2 2014","Currency=INR","Period=FQ","BEST_FPERIOD_OVERRIDE=FQ","FILING_STATUS=OR","EQY_CONSOLIDATED=Y","Sort=A","Dates=H","DateFormat=P","Fill=—","Direction=H","UseDPDF=Y")</f>
        <v>#NAME?</v>
      </c>
      <c r="AL155" s="2" t="e">
        <f ca="1">_xll.BDH($C$153,"CASH_FLOW_GROWTH","FQ2 2014","FQ2 2014","Currency=INR","Period=FQ","BEST_FPERIOD_OVERRIDE=FQ","FILING_STATUS=OR","EQY_CONSOLIDATED=Y","Sort=A","Dates=H","DateFormat=P","Fill=—","Direction=H","UseDPDF=Y")</f>
        <v>#NAME?</v>
      </c>
      <c r="AM155" s="2" t="e">
        <f ca="1">_xll.BDH($C$153,"GEO_GROW_NET_SALES","FQ2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55" s="2" t="e">
        <f ca="1">_xll.BDH($C$153,"GEO_GROW_EBITDA","FQ2 2014","FQ2 2014","Currency=INR","Period=FQ","BEST_FPERIOD_OVERRIDE=FQ","FILING_STATUS=OR","EQY_CONSOLIDATED=Y","FA_ADJUSTED=GAAP","Sort=A","Dates=H","DateFormat=P","Fill=—","Direction=H","UseDPDF=Y")</f>
        <v>#NAME?</v>
      </c>
      <c r="AO155" s="2" t="e">
        <f ca="1">_xll.BDH($C$153,"GEO_GROW_OPER_INC","FQ2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55" s="2" t="e">
        <f ca="1">_xll.BDH($C$153,"NET_INCOME_TO_COMMON_5_YR_GROWTH","FQ2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55" s="2" t="e">
        <f ca="1">_xll.BDH($C$153,"5Y_GEO_GROWTH_DILUTED_EPS","FQ2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55" s="2" t="e">
        <f ca="1">_xll.BDH($C$153,"GEO_GROW_DVD_PER_SH","FQ2 2014","FQ2 2014","Currency=INR","Period=FQ","BEST_FPERIOD_OVERRIDE=FQ","FILING_STATUS=OR","EQY_CONSOLIDATED=Y","Sort=A","Dates=H","DateFormat=P","Fill=—","Direction=H","UseDPDF=Y")</f>
        <v>#NAME?</v>
      </c>
      <c r="AS155" s="2" t="e">
        <f ca="1">_xll.BDH($C$153,"ACCOUNTS_RECEIVABLE_5_YR_GROWTH","FQ2 2014","FQ2 2014","Currency=INR","Period=FQ","BEST_FPERIOD_OVERRIDE=FQ","FILING_STATUS=OR","EQY_CONSOLIDATED=Y","Sort=A","Dates=H","DateFormat=P","Fill=—","Direction=H","UseDPDF=Y")</f>
        <v>#NAME?</v>
      </c>
      <c r="AT155" s="2" t="e">
        <f ca="1">_xll.BDH($C$153,"INVENTORY_5_YEAR_GROWTH","FQ2 2014","FQ2 2014","Currency=INR","Period=FQ","BEST_FPERIOD_OVERRIDE=FQ","FILING_STATUS=OR","EQY_CONSOLIDATED=Y","Sort=A","Dates=H","DateFormat=P","Fill=—","Direction=H","UseDPDF=Y")</f>
        <v>#NAME?</v>
      </c>
      <c r="AU155" s="2" t="e">
        <f ca="1">_xll.BDH($C$153,"NET_FIXED_ASSETS_5_YEAR_GROWTH","FQ2 2014","FQ2 2014","Currency=INR","Period=FQ","BEST_FPERIOD_OVERRIDE=FQ","FILING_STATUS=OR","EQY_CONSOLIDATED=Y","Sort=A","Dates=H","DateFormat=P","Fill=—","Direction=H","UseDPDF=Y")</f>
        <v>#NAME?</v>
      </c>
      <c r="AV155" s="2" t="e">
        <f ca="1">_xll.BDH($C$153,"GEO_GROW_TOT_ASSET","FQ2 2014","FQ2 2014","Currency=INR","Period=FQ","BEST_FPERIOD_OVERRIDE=FQ","FILING_STATUS=OR","EQY_CONSOLIDATED=Y","Sort=A","Dates=H","DateFormat=P","Fill=—","Direction=H","UseDPDF=Y")</f>
        <v>#NAME?</v>
      </c>
      <c r="AW155" s="2" t="e">
        <f ca="1">_xll.BDH($C$153,"MODIFIED_WORKING_CPTL_5YR_GRWTH","FQ2 2014","FQ2 2014","Currency=INR","Period=FQ","BEST_FPERIOD_OVERRIDE=FQ","FILING_STATUS=OR","EQY_CONSOLIDATED=Y","Sort=A","Dates=H","DateFormat=P","Fill=—","Direction=H","UseDPDF=Y")</f>
        <v>#NAME?</v>
      </c>
      <c r="AX155" s="2" t="e">
        <f ca="1">_xll.BDH($C$153,"WORKING_CAPITAL_5_YEAR_GROWTH","FQ2 2014","FQ2 2014","Currency=INR","Period=FQ","BEST_FPERIOD_OVERRIDE=FQ","FILING_STATUS=OR","EQY_CONSOLIDATED=Y","Sort=A","Dates=H","DateFormat=P","Fill=—","Direction=H","UseDPDF=Y")</f>
        <v>#NAME?</v>
      </c>
      <c r="AY155" s="2" t="e">
        <f ca="1">_xll.BDH($C$153,"ACCOUNTS_PAYABLE_5_YEAR_GROWTH","FQ2 2014","FQ2 2014","Currency=INR","Period=FQ","BEST_FPERIOD_OVERRIDE=FQ","FILING_STATUS=OR","EQY_CONSOLIDATED=Y","Sort=A","Dates=H","DateFormat=P","Fill=—","Direction=H","UseDPDF=Y")</f>
        <v>#NAME?</v>
      </c>
      <c r="AZ155" s="2" t="e">
        <f ca="1">_xll.BDH($C$153,"SHORT_TERM_DEBT_5_YEAR_GROWTH","FQ2 2014","FQ2 2014","Currency=INR","Period=FQ","BEST_FPERIOD_OVERRIDE=FQ","FILING_STATUS=OR","EQY_CONSOLIDATED=Y","Sort=A","Dates=H","DateFormat=P","Fill=—","Direction=H","UseDPDF=Y")</f>
        <v>#NAME?</v>
      </c>
      <c r="BA155" s="2" t="e">
        <f ca="1">_xll.BDH($C$153,"TOTAL_DEBT_5_YEAR_GROWTH","FQ2 2014","FQ2 2014","Currency=INR","Period=FQ","BEST_FPERIOD_OVERRIDE=FQ","FILING_STATUS=OR","EQY_CONSOLIDATED=Y","Sort=A","Dates=H","DateFormat=P","Fill=—","Direction=H","UseDPDF=Y")</f>
        <v>#NAME?</v>
      </c>
      <c r="BB155" s="2" t="e">
        <f ca="1">_xll.BDH($C$153,"GEO_GROW_TOT_SHRHLDR_EQY","FQ2 2014","FQ2 2014","Currency=INR","Period=FQ","BEST_FPERIOD_OVERRIDE=FQ","FILING_STATUS=OR","EQY_CONSOLIDATED=Y","Sort=A","Dates=H","DateFormat=P","Fill=—","Direction=H","UseDPDF=Y")</f>
        <v>#NAME?</v>
      </c>
      <c r="BC155" s="2" t="e">
        <f ca="1">_xll.BDH($C$153,"TOTAL_CAPITAL_5_YEAR_GROWTH","FQ2 2014","FQ2 2014","Currency=INR","Period=FQ","BEST_FPERIOD_OVERRIDE=FQ","FILING_STATUS=OR","EQY_CONSOLIDATED=Y","Sort=A","Dates=H","DateFormat=P","Fill=—","Direction=H","UseDPDF=Y")</f>
        <v>#NAME?</v>
      </c>
      <c r="BD155" s="2" t="e">
        <f ca="1">_xll.BDH($C$153,"GEO_GROW_BOOK_VAL","FQ2 2014","FQ2 2014","Currency=INR","Period=FQ","BEST_FPERIOD_OVERRIDE=FQ","FILING_STATUS=OR","EQY_CONSOLIDATED=Y","Sort=A","Dates=H","DateFormat=P","Fill=—","Direction=H","UseDPDF=Y")</f>
        <v>#NAME?</v>
      </c>
      <c r="BE155" s="2" t="e">
        <f ca="1">_xll.BDH($C$153,"GEO_GROW_CASH_OPER_ACT","FQ2 2014","FQ2 2014","Currency=INR","Period=FQ","BEST_FPERIOD_OVERRIDE=FQ","FILING_STATUS=OR","EQY_CONSOLIDATED=Y","Sort=A","Dates=H","DateFormat=P","Fill=—","Direction=H","UseDPDF=Y")</f>
        <v>#NAME?</v>
      </c>
      <c r="BF155" s="2" t="e">
        <f ca="1">_xll.BDH($C$153,"REVENUE_SEQUENTIAL_GROWTH","FQ2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55" s="2" t="e">
        <f ca="1">_xll.BDH($C$153,"EBITDA_SEQUENTIAL_GROWTH","FQ2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55" s="2" t="e">
        <f ca="1">_xll.BDH($C$153,"OPERATING_INCOME_SEQ_GROWTH","FQ2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55" s="2" t="e">
        <f ca="1">_xll.BDH($C$153,"NET_INCOME_TO_COMMON_SEQ_GROWTH","FQ2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55" s="2" t="e">
        <f ca="1">_xll.BDH($C$153,"EPS_DILUTED_SEQUENTIAL_GROWTH","FQ2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55" s="2" t="e">
        <f ca="1">_xll.BDH($C$153,"DPS_SEQUENTIAL_GROWTH","FQ2 2014","FQ2 2014","Currency=INR","Period=FQ","BEST_FPERIOD_OVERRIDE=FQ","FILING_STATUS=OR","EQY_CONSOLIDATED=Y","Sort=A","Dates=H","DateFormat=P","Fill=—","Direction=H","UseDPDF=Y")</f>
        <v>#NAME?</v>
      </c>
      <c r="BL155" s="2" t="e">
        <f ca="1">_xll.BDH($C$153,"ACCOUNTS_RECEIVABLE_SEQ_GROWTH","FQ2 2014","FQ2 2014","Currency=INR","Period=FQ","BEST_FPERIOD_OVERRIDE=FQ","FILING_STATUS=OR","EQY_CONSOLIDATED=Y","Sort=A","Dates=H","DateFormat=P","Fill=—","Direction=H","UseDPDF=Y")</f>
        <v>#NAME?</v>
      </c>
      <c r="BM155" s="2" t="e">
        <f ca="1">_xll.BDH($C$153,"INVENTORY_SEQUENTIAL_GROWTH","FQ2 2014","FQ2 2014","Currency=INR","Period=FQ","BEST_FPERIOD_OVERRIDE=FQ","FILING_STATUS=OR","EQY_CONSOLIDATED=Y","Sort=A","Dates=H","DateFormat=P","Fill=—","Direction=H","UseDPDF=Y")</f>
        <v>#NAME?</v>
      </c>
      <c r="BN155" s="2" t="e">
        <f ca="1">_xll.BDH($C$153,"FIXED_ASSETS_SEQUENTIAL_GROWTH","FQ2 2014","FQ2 2014","Currency=INR","Period=FQ","BEST_FPERIOD_OVERRIDE=FQ","FILING_STATUS=OR","EQY_CONSOLIDATED=Y","Sort=A","Dates=H","DateFormat=P","Fill=—","Direction=H","UseDPDF=Y")</f>
        <v>#NAME?</v>
      </c>
      <c r="BO155" s="2" t="e">
        <f ca="1">_xll.BDH($C$153,"TOTAL_ASSETS_SEQUENTIAL_GROWTH","FQ2 2014","FQ2 2014","Currency=INR","Period=FQ","BEST_FPERIOD_OVERRIDE=FQ","FILING_STATUS=OR","EQY_CONSOLIDATED=Y","Sort=A","Dates=H","DateFormat=P","Fill=—","Direction=H","UseDPDF=Y")</f>
        <v>#NAME?</v>
      </c>
      <c r="BP155" s="2" t="e">
        <f ca="1">_xll.BDH($C$153,"MODIFIED_WORKING_CPTL_SEQ_GRWTH","FQ2 2014","FQ2 2014","Currency=INR","Period=FQ","BEST_FPERIOD_OVERRIDE=FQ","FILING_STATUS=OR","EQY_CONSOLIDATED=Y","Sort=A","Dates=H","DateFormat=P","Fill=—","Direction=H","UseDPDF=Y")</f>
        <v>#NAME?</v>
      </c>
      <c r="BQ155" s="2" t="e">
        <f ca="1">_xll.BDH($C$153,"WORKING_CAPITAL_SEQ_GROWTH","FQ2 2014","FQ2 2014","Currency=INR","Period=FQ","BEST_FPERIOD_OVERRIDE=FQ","FILING_STATUS=OR","EQY_CONSOLIDATED=Y","Sort=A","Dates=H","DateFormat=P","Fill=—","Direction=H","UseDPDF=Y")</f>
        <v>#NAME?</v>
      </c>
      <c r="BR155" s="2" t="e">
        <f ca="1">_xll.BDH($C$153,"ACCOUNTS_PAYABLE_SEQ_GROWTH","FQ2 2014","FQ2 2014","Currency=INR","Period=FQ","BEST_FPERIOD_OVERRIDE=FQ","FILING_STATUS=OR","EQY_CONSOLIDATED=Y","Sort=A","Dates=H","DateFormat=P","Fill=—","Direction=H","UseDPDF=Y")</f>
        <v>#NAME?</v>
      </c>
      <c r="BS155" s="2" t="e">
        <f ca="1">_xll.BDH($C$153,"ST_DEBT_SEQUENTIAL_GROWTH","FQ2 2014","FQ2 2014","Currency=INR","Period=FQ","BEST_FPERIOD_OVERRIDE=FQ","FILING_STATUS=OR","EQY_CONSOLIDATED=Y","Sort=A","Dates=H","DateFormat=P","Fill=—","Direction=H","UseDPDF=Y")</f>
        <v>#NAME?</v>
      </c>
      <c r="BT155" s="2" t="e">
        <f ca="1">_xll.BDH($C$153,"TOTAL_DEBT_SEQUENTIAL_GROWTH","FQ2 2014","FQ2 2014","Currency=INR","Period=FQ","BEST_FPERIOD_OVERRIDE=FQ","FILING_STATUS=OR","EQY_CONSOLIDATED=Y","Sort=A","Dates=H","DateFormat=P","Fill=—","Direction=H","UseDPDF=Y")</f>
        <v>#NAME?</v>
      </c>
      <c r="BU155" s="2" t="e">
        <f ca="1">_xll.BDH($C$153,"TOTAL_EQUITY_SEQUENTIAL_GROWTH","FQ2 2014","FQ2 2014","Currency=INR","Period=FQ","BEST_FPERIOD_OVERRIDE=FQ","FILING_STATUS=OR","EQY_CONSOLIDATED=Y","Sort=A","Dates=H","DateFormat=P","Fill=—","Direction=H","UseDPDF=Y")</f>
        <v>#NAME?</v>
      </c>
      <c r="BV155" s="2" t="e">
        <f ca="1">_xll.BDH($C$153,"TOTAL_CAPITAL_SEQUENTIAL_GROWTH","FQ2 2014","FQ2 2014","Currency=INR","Period=FQ","BEST_FPERIOD_OVERRIDE=FQ","FILING_STATUS=OR","EQY_CONSOLIDATED=Y","Sort=A","Dates=H","DateFormat=P","Fill=—","Direction=H","UseDPDF=Y")</f>
        <v>#NAME?</v>
      </c>
      <c r="BW155" s="2" t="e">
        <f ca="1">_xll.BDH($C$153,"BPS_SEQUENTIAL_GROWTH","FQ2 2014","FQ2 2014","Currency=INR","Period=FQ","BEST_FPERIOD_OVERRIDE=FQ","FILING_STATUS=OR","EQY_CONSOLIDATED=Y","Sort=A","Dates=H","DateFormat=P","Fill=—","Direction=H","UseDPDF=Y")</f>
        <v>#NAME?</v>
      </c>
      <c r="BX155" s="2" t="e">
        <f ca="1">_xll.BDH($C$153,"CFO_SEQUENTIAL_GROWTH","FQ2 2014","FQ2 2014","Currency=INR","Period=FQ","BEST_FPERIOD_OVERRIDE=FQ","FILING_STATUS=OR","EQY_CONSOLIDATED=Y","Sort=A","Dates=H","DateFormat=P","Fill=—","Direction=H","UseDPDF=Y")</f>
        <v>#NAME?</v>
      </c>
      <c r="BY155" s="3" t="e">
        <f ca="1">_xll.BDH($C$153,"SHORT_AND_LONG_TERM_DEBT","FQ2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55" s="3" t="e">
        <f ca="1">_xll.BDH($C$153,"BS_ST_BORROW","FQ2 2014","FQ2 2014","Currency=INR","Period=FQ","BEST_FPERIOD_OVERRIDE=FQ","FILING_STATUS=OR","EQY_CONSOLIDATED=Y","SCALING_FORMAT=MLN","Sort=A","Dates=H","DateFormat=P","Fill=—","Direction=H","UseDPDF=Y")</f>
        <v>#NAME?</v>
      </c>
      <c r="CA155" s="3" t="e">
        <f ca="1">_xll.BDH($C$153,"BS_LT_BORROW","FQ2 2014","FQ2 2014","Currency=INR","Period=FQ","BEST_FPERIOD_OVERRIDE=FQ","FILING_STATUS=OR","EQY_CONSOLIDATED=Y","SCALING_FORMAT=MLN","Sort=A","Dates=H","DateFormat=P","Fill=—","Direction=H","UseDPDF=Y")</f>
        <v>#NAME?</v>
      </c>
      <c r="CB155" s="2" t="e">
        <f ca="1">_xll.BDH($C$153,"TOT_DEBT_TO_EBITDA","FQ2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55" s="2" t="e">
        <f ca="1">_xll.BDH($C$153,"NET_DEBT_TO_EBITDA","FQ2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55" s="2" t="e">
        <f ca="1">_xll.BDH($C$153,"TOTAL_DEBT_TO_EBIT","FQ2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55" s="2" t="e">
        <f ca="1">_xll.BDH($C$153,"NET_DEBT_TO_EBIT","FQ2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155" s="2" t="e">
        <f ca="1">_xll.BDH($C$153,"EBITDA_TO_INTEREST_EXPN","FQ2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55" s="2" t="e">
        <f ca="1">_xll.BDH($C$153,"COM_EQY_TO_TOT_ASSET","FQ2 2014","FQ2 2014","Currency=INR","Period=FQ","BEST_FPERIOD_OVERRIDE=FQ","FILING_STATUS=OR","EQY_CONSOLIDATED=Y","Sort=A","Dates=H","DateFormat=P","Fill=—","Direction=H","UseDPDF=Y")</f>
        <v>#NAME?</v>
      </c>
      <c r="CH155" s="2" t="e">
        <f ca="1">_xll.BDH($C$153,"LT_DEBT_TO_TOT_EQY","FQ2 2014","FQ2 2014","Currency=INR","Period=FQ","BEST_FPERIOD_OVERRIDE=FQ","FILING_STATUS=OR","EQY_CONSOLIDATED=Y","Sort=A","Dates=H","DateFormat=P","Fill=—","Direction=H","UseDPDF=Y")</f>
        <v>#NAME?</v>
      </c>
      <c r="CI155" s="2" t="e">
        <f ca="1">_xll.BDH($C$153,"LT_DEBT_TO_TOT_CAP","FQ2 2014","FQ2 2014","Currency=INR","Period=FQ","BEST_FPERIOD_OVERRIDE=FQ","FILING_STATUS=OR","EQY_CONSOLIDATED=Y","Sort=A","Dates=H","DateFormat=P","Fill=—","Direction=H","UseDPDF=Y")</f>
        <v>#NAME?</v>
      </c>
      <c r="CJ155" s="2" t="e">
        <f ca="1">_xll.BDH($C$153,"LT_DEBT_TO_TOT_ASSET","FQ2 2014","FQ2 2014","Currency=INR","Period=FQ","BEST_FPERIOD_OVERRIDE=FQ","FILING_STATUS=OR","EQY_CONSOLIDATED=Y","Sort=A","Dates=H","DateFormat=P","Fill=—","Direction=H","UseDPDF=Y")</f>
        <v>#NAME?</v>
      </c>
      <c r="CK155" s="2" t="e">
        <f ca="1">_xll.BDH($C$153,"TOT_DEBT_TO_TOT_EQY","FQ2 2014","FQ2 2014","Currency=INR","Period=FQ","BEST_FPERIOD_OVERRIDE=FQ","FILING_STATUS=OR","EQY_CONSOLIDATED=Y","Sort=A","Dates=H","DateFormat=P","Fill=—","Direction=H","UseDPDF=Y")</f>
        <v>#NAME?</v>
      </c>
      <c r="CL155" s="2" t="e">
        <f ca="1">_xll.BDH($C$153,"TOT_DEBT_TO_TOT_CAP","FQ2 2014","FQ2 2014","Currency=INR","Period=FQ","BEST_FPERIOD_OVERRIDE=FQ","FILING_STATUS=OR","EQY_CONSOLIDATED=Y","Sort=A","Dates=H","DateFormat=P","Fill=—","Direction=H","UseDPDF=Y")</f>
        <v>#NAME?</v>
      </c>
      <c r="CM155" s="2" t="e">
        <f ca="1">_xll.BDH($C$153,"TOT_DEBT_TO_TOT_ASSET","FQ2 2014","FQ2 2014","Currency=INR","Period=FQ","BEST_FPERIOD_OVERRIDE=FQ","FILING_STATUS=OR","EQY_CONSOLIDATED=Y","Sort=A","Dates=H","DateFormat=P","Fill=—","Direction=H","UseDPDF=Y")</f>
        <v>#NAME?</v>
      </c>
      <c r="CN155" s="2" t="e">
        <f ca="1">_xll.BDH($C$153,"NET_DEBT_TO_SHRHLDR_EQTY","FQ2 2014","FQ2 2014","Currency=INR","Period=FQ","BEST_FPERIOD_OVERRIDE=FQ","FILING_STATUS=OR","EQY_CONSOLIDATED=Y","Sort=A","Dates=H","DateFormat=P","Fill=—","Direction=H","UseDPDF=Y")</f>
        <v>#NAME?</v>
      </c>
      <c r="CO155" s="2" t="e">
        <f ca="1">_xll.BDH($C$153,"NET_DEBT_%_CAPITAL","FQ2 2014","FQ2 2014","Currency=INR","Period=FQ","BEST_FPERIOD_OVERRIDE=FQ","FILING_STATUS=OR","EQY_CONSOLIDATED=Y","Sort=A","Dates=H","DateFormat=P","Fill=—","Direction=H","UseDPDF=Y")</f>
        <v>#NAME?</v>
      </c>
      <c r="CP155" s="3" t="e">
        <f ca="1">_xll.BDH($C$153,"EBITDA","FQ2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55" s="3" t="e">
        <f ca="1">_xll.BDH($C$153,"EBITDA_AFTER_CAPEX","FQ2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55" s="3" t="e">
        <f ca="1">_xll.BDH($C$153,"IS_OPER_INC","FQ2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55" s="2" t="e">
        <f ca="1">_xll.BDH($C$153,"CASH_RATIO","FQ2 2014","FQ2 2014","Currency=INR","Period=FQ","BEST_FPERIOD_OVERRIDE=FQ","FILING_STATUS=OR","EQY_CONSOLIDATED=Y","Sort=A","Dates=H","DateFormat=P","Fill=—","Direction=H","UseDPDF=Y")</f>
        <v>#NAME?</v>
      </c>
      <c r="CT155" s="2" t="e">
        <f ca="1">_xll.BDH($C$153,"CUR_RATIO","FQ2 2014","FQ2 2014","Currency=INR","Period=FQ","BEST_FPERIOD_OVERRIDE=FQ","FILING_STATUS=OR","EQY_CONSOLIDATED=Y","Sort=A","Dates=H","DateFormat=P","Fill=—","Direction=H","UseDPDF=Y")</f>
        <v>#NAME?</v>
      </c>
      <c r="CU155" s="2" t="e">
        <f ca="1">_xll.BDH($C$153,"QUICK_RATIO","FQ2 2014","FQ2 2014","Currency=INR","Period=FQ","BEST_FPERIOD_OVERRIDE=FQ","FILING_STATUS=OR","EQY_CONSOLIDATED=Y","Sort=A","Dates=H","DateFormat=P","Fill=—","Direction=H","UseDPDF=Y")</f>
        <v>#NAME?</v>
      </c>
      <c r="CV155" s="2" t="e">
        <f ca="1">_xll.BDH($C$153,"ALTMAN_Z_SCORE","FQ2 2014","FQ2 2014","Currency=INR","Period=FQ","BEST_FPERIOD_OVERRIDE=FQ","FILING_STATUS=OR","EQY_CONSOLIDATED=Y","Sort=A","Dates=H","DateFormat=P","Fill=—","Direction=H","UseDPDF=Y")</f>
        <v>#NAME?</v>
      </c>
      <c r="CW155" s="4" t="e">
        <f ca="1">_xll.BDH($C$153,"ACCT_RCV_TURN","FQ2 2014","FQ2 2014","Currency=INR","Period=FQ","BEST_FPERIOD_OVERRIDE=FQ","FILING_STATUS=OR","EQY_CONSOLIDATED=Y","FA_ADJUSTED=GAAP","Sort=A","Dates=H","DateFormat=P","Fill=—","Direction=H","UseDPDF=Y")</f>
        <v>#NAME?</v>
      </c>
      <c r="CX155" s="2" t="e">
        <f ca="1">_xll.BDH($C$153,"ACCT_RCV_DAYS","FQ2 2014","FQ2 2014","Currency=INR","Period=FQ","BEST_FPERIOD_OVERRIDE=FQ","FILING_STATUS=OR","EQY_CONSOLIDATED=Y","FA_ADJUSTED=GAAP","Sort=A","Dates=H","DateFormat=P","Fill=—","Direction=H","UseDPDF=Y")</f>
        <v>#NAME?</v>
      </c>
      <c r="CY155" s="4" t="e">
        <f ca="1">_xll.BDH($C$153,"INVENT_TURN","FQ2 2014","FQ2 2014","Currency=INR","Period=FQ","BEST_FPERIOD_OVERRIDE=FQ","FILING_STATUS=OR","EQY_CONSOLIDATED=Y","FA_ADJUSTED=GAAP","Sort=A","Dates=H","DateFormat=P","Fill=—","Direction=H","UseDPDF=Y")</f>
        <v>#NAME?</v>
      </c>
      <c r="CZ155" s="2" t="e">
        <f ca="1">_xll.BDH($C$153,"INVENT_DAYS","FQ2 2014","FQ2 2014","Currency=INR","Period=FQ","BEST_FPERIOD_OVERRIDE=FQ","FILING_STATUS=OR","EQY_CONSOLIDATED=Y","FA_ADJUSTED=GAAP","Sort=A","Dates=H","DateFormat=P","Fill=—","Direction=H","UseDPDF=Y")</f>
        <v>#NAME?</v>
      </c>
      <c r="DA155" s="4" t="e">
        <f ca="1">_xll.BDH($C$153,"ACCOUNTS_PAYABLE_TURNOVER","FQ2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55" s="2" t="e">
        <f ca="1">_xll.BDH($C$153,"ACCOUNTS_PAYABLE_TURNOVER_DAYS","FQ2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55" s="4" t="e">
        <f ca="1">_xll.BDH($C$153,"CASH_CONVERSION_CYCLE","FQ2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55" s="4" t="e">
        <f ca="1">_xll.BDH($C$153,"INV_TO_CASH_DAYS","FQ2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155" s="5" t="e">
        <f ca="1">_xll.BDH($C$153,"BS_INVENTORIES","FQ2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155" s="3" t="e">
        <f ca="1">_xll.BDH($C$153,"INVTRY_RAW_MATERIALS","FQ2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55" s="3" t="e">
        <f ca="1">_xll.BDH($C$153,"INVTRY_IN_PROGRESS","FQ2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55" s="3" t="e">
        <f ca="1">_xll.BDH($C$153,"INVTRY_FINISHED_GOODS","FQ2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55" s="3" t="e">
        <f ca="1">_xll.BDH($C$153,"BS_OTHER_INV","FQ2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56" spans="1:113" x14ac:dyDescent="0.3">
      <c r="A156" s="6"/>
      <c r="B156" s="6"/>
      <c r="C156" s="6"/>
      <c r="D156" s="6"/>
      <c r="E156" t="s">
        <v>80</v>
      </c>
      <c r="F156" t="e">
        <f ca="1">_xll.BDH($C$153,"RETURN_COM_EQY","FQ3 2014","FQ3 2014","Currency=INR","Period=FQ","BEST_FPERIOD_OVERRIDE=FQ","FILING_STATUS=OR","EQY_CONSOLIDATED=Y","FA_ADJUSTED=GAAP","Sort=A","Dates=H","DateFormat=P","Fill=—","Direction=H","UseDPDF=Y")</f>
        <v>#NAME?</v>
      </c>
      <c r="G156" t="e">
        <f ca="1">_xll.BDH($C$153,"RETURN_ON_ASSET","FQ3 2014","FQ3 2014","Currency=INR","Period=FQ","BEST_FPERIOD_OVERRIDE=FQ","FILING_STATUS=OR","EQY_CONSOLIDATED=Y","FA_ADJUSTED=GAAP","Sort=A","Dates=H","DateFormat=P","Fill=—","Direction=H","UseDPDF=Y")</f>
        <v>#NAME?</v>
      </c>
      <c r="H156" t="e">
        <f ca="1">_xll.BDH($C$153,"RETURN_ON_CAP","FQ3 2014","FQ3 2014","Currency=INR","Period=FQ","BEST_FPERIOD_OVERRIDE=FQ","FILING_STATUS=OR","EQY_CONSOLIDATED=Y","FA_ADJUSTED=GAAP","Sort=A","Dates=H","DateFormat=P","Fill=—","Direction=H","UseDPDF=Y")</f>
        <v>#NAME?</v>
      </c>
      <c r="I156" t="e">
        <f ca="1">_xll.BDH($C$153,"RETURN_ON_INV_CAPITAL","FQ3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56" t="e">
        <f ca="1">_xll.BDH($C$153,"EBITDA_TO_REVENUE","FQ3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156" t="e">
        <f ca="1">_xll.BDH($C$153,"OPER_MARGIN","FQ3 2014","FQ3 2014","Currency=INR","Period=FQ","BEST_FPERIOD_OVERRIDE=FQ","FILING_STATUS=OR","EQY_CONSOLIDATED=Y","FA_ADJUSTED=GAAP","Sort=A","Dates=H","DateFormat=P","Fill=—","Direction=H","UseDPDF=Y")</f>
        <v>#NAME?</v>
      </c>
      <c r="L156" t="e">
        <f ca="1">_xll.BDH($C$153,"INCREMENTAL_OPERATING_MARGIN","FQ3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56" t="e">
        <f ca="1">_xll.BDH($C$153,"PRETAX_INC_TO_NET_SALES","FQ3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56" t="e">
        <f ca="1">_xll.BDH($C$153,"INC_BEF_XO_ITEMS_TO_NET_SALES","FQ3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56" t="e">
        <f ca="1">_xll.BDH($C$153,"PROF_MARGIN","FQ3 2014","FQ3 2014","Currency=INR","Period=FQ","BEST_FPERIOD_OVERRIDE=FQ","FILING_STATUS=OR","EQY_CONSOLIDATED=Y","FA_ADJUSTED=GAAP","Sort=A","Dates=H","DateFormat=P","Fill=—","Direction=H","UseDPDF=Y")</f>
        <v>#NAME?</v>
      </c>
      <c r="P156" t="e">
        <f ca="1">_xll.BDH($C$153,"NET_INCOME_TO_COMMON_MARGIN","FQ3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56" t="e">
        <f ca="1">_xll.BDH($C$153,"EFF_TAX_RATE","FQ3 2014","FQ3 2014","Currency=INR","Period=FQ","BEST_FPERIOD_OVERRIDE=FQ","FILING_STATUS=OR","EQY_CONSOLIDATED=Y","FA_ADJUSTED=GAAP","Sort=A","Dates=H","DateFormat=P","Fill=—","Direction=H","UseDPDF=Y")</f>
        <v>#NAME?</v>
      </c>
      <c r="R156" t="e">
        <f ca="1">_xll.BDH($C$153,"DVD_PAYOUT_RATIO","FQ3 2014","FQ3 2014","Currency=INR","Period=FQ","BEST_FPERIOD_OVERRIDE=FQ","FILING_STATUS=OR","EQY_CONSOLIDATED=Y","FA_ADJUSTED=GAAP","Sort=A","Dates=H","DateFormat=P","Fill=—","Direction=H","UseDPDF=Y")</f>
        <v>#NAME?</v>
      </c>
      <c r="S156" t="e">
        <f ca="1">_xll.BDH($C$153,"SUSTAIN_GROWTH_RT","FQ3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156" s="2" t="e">
        <f ca="1">_xll.BDH($C$153,"SALES_GROWTH","FQ3 2014","FQ3 2014","Currency=INR","Period=FQ","BEST_FPERIOD_OVERRIDE=FQ","FILING_STATUS=OR","EQY_CONSOLIDATED=Y","FA_ADJUSTED=GAAP","Sort=A","Dates=H","DateFormat=P","Fill=—","Direction=H","UseDPDF=Y")</f>
        <v>#NAME?</v>
      </c>
      <c r="U156" s="2" t="e">
        <f ca="1">_xll.BDH($C$153,"EBITDA_GROWTH","FQ3 2014","FQ3 2014","Currency=INR","Period=FQ","BEST_FPERIOD_OVERRIDE=FQ","FILING_STATUS=OR","EQY_CONSOLIDATED=Y","FA_ADJUSTED=GAAP","Sort=A","Dates=H","DateFormat=P","Fill=—","Direction=H","UseDPDF=Y")</f>
        <v>#NAME?</v>
      </c>
      <c r="V156" s="2" t="e">
        <f ca="1">_xll.BDH($C$153,"OPER_INC_GROWTH","FQ3 2014","FQ3 2014","Currency=INR","Period=FQ","BEST_FPERIOD_OVERRIDE=FQ","FILING_STATUS=OR","EQY_CONSOLIDATED=Y","FA_ADJUSTED=GAAP","Sort=A","Dates=H","DateFormat=P","Fill=—","Direction=H","UseDPDF=Y")</f>
        <v>#NAME?</v>
      </c>
      <c r="W156" s="2" t="e">
        <f ca="1">_xll.BDH($C$153,"EARN_FOR_COM_GROWTH","FQ3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56" s="2" t="e">
        <f ca="1">_xll.BDH($C$153,"DILUTED_EPS_AFT_XO_ITEMS_GROWTH","FQ3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56" s="2" t="e">
        <f ca="1">_xll.BDH($C$153,"DIVIDEND_PER_SHARE_1_YEAR_GROWTH","FQ3 2014","FQ3 2014","Currency=INR","Period=FQ","BEST_FPERIOD_OVERRIDE=FQ","FILING_STATUS=OR","EQY_CONSOLIDATED=Y","Sort=A","Dates=H","DateFormat=P","Fill=—","Direction=H","UseDPDF=Y")</f>
        <v>#NAME?</v>
      </c>
      <c r="Z156" s="2" t="e">
        <f ca="1">_xll.BDH($C$153,"ACCOUNTS_RECEIVABLE_GROWTH","FQ3 2014","FQ3 2014","Currency=INR","Period=FQ","BEST_FPERIOD_OVERRIDE=FQ","FILING_STATUS=OR","EQY_CONSOLIDATED=Y","Sort=A","Dates=H","DateFormat=P","Fill=—","Direction=H","UseDPDF=Y")</f>
        <v>#NAME?</v>
      </c>
      <c r="AA156" s="2" t="e">
        <f ca="1">_xll.BDH($C$153,"INVENTORY_GROWTH","FQ3 2014","FQ3 2014","Currency=INR","Period=FQ","BEST_FPERIOD_OVERRIDE=FQ","FILING_STATUS=OR","EQY_CONSOLIDATED=Y","Sort=A","Dates=H","DateFormat=P","Fill=—","Direction=H","UseDPDF=Y")</f>
        <v>#NAME?</v>
      </c>
      <c r="AB156" s="2" t="e">
        <f ca="1">_xll.BDH($C$153,"NET_FIXED_ASSETS_1_YEAR_GROWTH","FQ3 2014","FQ3 2014","Currency=INR","Period=FQ","BEST_FPERIOD_OVERRIDE=FQ","FILING_STATUS=OR","EQY_CONSOLIDATED=Y","Sort=A","Dates=H","DateFormat=P","Fill=—","Direction=H","UseDPDF=Y")</f>
        <v>#NAME?</v>
      </c>
      <c r="AC156" s="2" t="e">
        <f ca="1">_xll.BDH($C$153,"ASSET_GROWTH","FQ3 2014","FQ3 2014","Currency=INR","Period=FQ","BEST_FPERIOD_OVERRIDE=FQ","FILING_STATUS=OR","EQY_CONSOLIDATED=Y","Sort=A","Dates=H","DateFormat=P","Fill=—","Direction=H","UseDPDF=Y")</f>
        <v>#NAME?</v>
      </c>
      <c r="AD156" s="2" t="e">
        <f ca="1">_xll.BDH($C$153,"MODIFIED_WORK_CAP_GROWTH","FQ3 2014","FQ3 2014","Currency=INR","Period=FQ","BEST_FPERIOD_OVERRIDE=FQ","FILING_STATUS=OR","EQY_CONSOLIDATED=Y","Sort=A","Dates=H","DateFormat=P","Fill=—","Direction=H","UseDPDF=Y")</f>
        <v>#NAME?</v>
      </c>
      <c r="AE156" s="2" t="e">
        <f ca="1">_xll.BDH($C$153,"WORK_CAP_GROWTH","FQ3 2014","FQ3 2014","Currency=INR","Period=FQ","BEST_FPERIOD_OVERRIDE=FQ","FILING_STATUS=OR","EQY_CONSOLIDATED=Y","Sort=A","Dates=H","DateFormat=P","Fill=—","Direction=H","UseDPDF=Y")</f>
        <v>#NAME?</v>
      </c>
      <c r="AF156" s="2" t="e">
        <f ca="1">_xll.BDH($C$153,"ACCOUNTS_PAYABLE_GROWTH_1YR","FQ3 2014","FQ3 2014","Currency=INR","Period=FQ","BEST_FPERIOD_OVERRIDE=FQ","FILING_STATUS=OR","EQY_CONSOLIDATED=Y","Sort=A","Dates=H","DateFormat=P","Fill=—","Direction=H","UseDPDF=Y")</f>
        <v>#NAME?</v>
      </c>
      <c r="AG156" s="2" t="e">
        <f ca="1">_xll.BDH($C$153,"SHORT_TERM_DEBT_1_YEAR_GROWTH","FQ3 2014","FQ3 2014","Currency=INR","Period=FQ","BEST_FPERIOD_OVERRIDE=FQ","FILING_STATUS=OR","EQY_CONSOLIDATED=Y","Sort=A","Dates=H","DateFormat=P","Fill=—","Direction=H","UseDPDF=Y")</f>
        <v>#NAME?</v>
      </c>
      <c r="AH156" s="2" t="e">
        <f ca="1">_xll.BDH($C$153,"TOTAL_DEBT_1_YEAR_GROWTH","FQ3 2014","FQ3 2014","Currency=INR","Period=FQ","BEST_FPERIOD_OVERRIDE=FQ","FILING_STATUS=OR","EQY_CONSOLIDATED=Y","Sort=A","Dates=H","DateFormat=P","Fill=—","Direction=H","UseDPDF=Y")</f>
        <v>#NAME?</v>
      </c>
      <c r="AI156" s="2" t="e">
        <f ca="1">_xll.BDH($C$153,"TOTAL_EQUITY_1_YEAR_GROWTH","FQ3 2014","FQ3 2014","Currency=INR","Period=FQ","BEST_FPERIOD_OVERRIDE=FQ","FILING_STATUS=OR","EQY_CONSOLIDATED=Y","Sort=A","Dates=H","DateFormat=P","Fill=—","Direction=H","UseDPDF=Y")</f>
        <v>#NAME?</v>
      </c>
      <c r="AJ156" s="2" t="e">
        <f ca="1">_xll.BDH($C$153,"GROWTH_IN_CAP","FQ3 2014","FQ3 2014","Currency=INR","Period=FQ","BEST_FPERIOD_OVERRIDE=FQ","FILING_STATUS=OR","EQY_CONSOLIDATED=Y","Sort=A","Dates=H","DateFormat=P","Fill=—","Direction=H","UseDPDF=Y")</f>
        <v>#NAME?</v>
      </c>
      <c r="AK156" s="2" t="e">
        <f ca="1">_xll.BDH($C$153,"BVPS_GROWTH","FQ3 2014","FQ3 2014","Currency=INR","Period=FQ","BEST_FPERIOD_OVERRIDE=FQ","FILING_STATUS=OR","EQY_CONSOLIDATED=Y","Sort=A","Dates=H","DateFormat=P","Fill=—","Direction=H","UseDPDF=Y")</f>
        <v>#NAME?</v>
      </c>
      <c r="AL156" s="2" t="e">
        <f ca="1">_xll.BDH($C$153,"CASH_FLOW_GROWTH","FQ3 2014","FQ3 2014","Currency=INR","Period=FQ","BEST_FPERIOD_OVERRIDE=FQ","FILING_STATUS=OR","EQY_CONSOLIDATED=Y","Sort=A","Dates=H","DateFormat=P","Fill=—","Direction=H","UseDPDF=Y")</f>
        <v>#NAME?</v>
      </c>
      <c r="AM156" s="2" t="e">
        <f ca="1">_xll.BDH($C$153,"GEO_GROW_NET_SALES","FQ3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56" s="2" t="e">
        <f ca="1">_xll.BDH($C$153,"GEO_GROW_EBITDA","FQ3 2014","FQ3 2014","Currency=INR","Period=FQ","BEST_FPERIOD_OVERRIDE=FQ","FILING_STATUS=OR","EQY_CONSOLIDATED=Y","FA_ADJUSTED=GAAP","Sort=A","Dates=H","DateFormat=P","Fill=—","Direction=H","UseDPDF=Y")</f>
        <v>#NAME?</v>
      </c>
      <c r="AO156" s="2" t="e">
        <f ca="1">_xll.BDH($C$153,"GEO_GROW_OPER_INC","FQ3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56" s="2" t="e">
        <f ca="1">_xll.BDH($C$153,"NET_INCOME_TO_COMMON_5_YR_GROWTH","FQ3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56" s="2" t="e">
        <f ca="1">_xll.BDH($C$153,"5Y_GEO_GROWTH_DILUTED_EPS","FQ3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56" s="2" t="e">
        <f ca="1">_xll.BDH($C$153,"GEO_GROW_DVD_PER_SH","FQ3 2014","FQ3 2014","Currency=INR","Period=FQ","BEST_FPERIOD_OVERRIDE=FQ","FILING_STATUS=OR","EQY_CONSOLIDATED=Y","Sort=A","Dates=H","DateFormat=P","Fill=—","Direction=H","UseDPDF=Y")</f>
        <v>#NAME?</v>
      </c>
      <c r="AS156" s="2" t="e">
        <f ca="1">_xll.BDH($C$153,"ACCOUNTS_RECEIVABLE_5_YR_GROWTH","FQ3 2014","FQ3 2014","Currency=INR","Period=FQ","BEST_FPERIOD_OVERRIDE=FQ","FILING_STATUS=OR","EQY_CONSOLIDATED=Y","Sort=A","Dates=H","DateFormat=P","Fill=—","Direction=H","UseDPDF=Y")</f>
        <v>#NAME?</v>
      </c>
      <c r="AT156" s="2" t="e">
        <f ca="1">_xll.BDH($C$153,"INVENTORY_5_YEAR_GROWTH","FQ3 2014","FQ3 2014","Currency=INR","Period=FQ","BEST_FPERIOD_OVERRIDE=FQ","FILING_STATUS=OR","EQY_CONSOLIDATED=Y","Sort=A","Dates=H","DateFormat=P","Fill=—","Direction=H","UseDPDF=Y")</f>
        <v>#NAME?</v>
      </c>
      <c r="AU156" s="2" t="e">
        <f ca="1">_xll.BDH($C$153,"NET_FIXED_ASSETS_5_YEAR_GROWTH","FQ3 2014","FQ3 2014","Currency=INR","Period=FQ","BEST_FPERIOD_OVERRIDE=FQ","FILING_STATUS=OR","EQY_CONSOLIDATED=Y","Sort=A","Dates=H","DateFormat=P","Fill=—","Direction=H","UseDPDF=Y")</f>
        <v>#NAME?</v>
      </c>
      <c r="AV156" s="2" t="e">
        <f ca="1">_xll.BDH($C$153,"GEO_GROW_TOT_ASSET","FQ3 2014","FQ3 2014","Currency=INR","Period=FQ","BEST_FPERIOD_OVERRIDE=FQ","FILING_STATUS=OR","EQY_CONSOLIDATED=Y","Sort=A","Dates=H","DateFormat=P","Fill=—","Direction=H","UseDPDF=Y")</f>
        <v>#NAME?</v>
      </c>
      <c r="AW156" s="2" t="e">
        <f ca="1">_xll.BDH($C$153,"MODIFIED_WORKING_CPTL_5YR_GRWTH","FQ3 2014","FQ3 2014","Currency=INR","Period=FQ","BEST_FPERIOD_OVERRIDE=FQ","FILING_STATUS=OR","EQY_CONSOLIDATED=Y","Sort=A","Dates=H","DateFormat=P","Fill=—","Direction=H","UseDPDF=Y")</f>
        <v>#NAME?</v>
      </c>
      <c r="AX156" s="2" t="e">
        <f ca="1">_xll.BDH($C$153,"WORKING_CAPITAL_5_YEAR_GROWTH","FQ3 2014","FQ3 2014","Currency=INR","Period=FQ","BEST_FPERIOD_OVERRIDE=FQ","FILING_STATUS=OR","EQY_CONSOLIDATED=Y","Sort=A","Dates=H","DateFormat=P","Fill=—","Direction=H","UseDPDF=Y")</f>
        <v>#NAME?</v>
      </c>
      <c r="AY156" s="2" t="e">
        <f ca="1">_xll.BDH($C$153,"ACCOUNTS_PAYABLE_5_YEAR_GROWTH","FQ3 2014","FQ3 2014","Currency=INR","Period=FQ","BEST_FPERIOD_OVERRIDE=FQ","FILING_STATUS=OR","EQY_CONSOLIDATED=Y","Sort=A","Dates=H","DateFormat=P","Fill=—","Direction=H","UseDPDF=Y")</f>
        <v>#NAME?</v>
      </c>
      <c r="AZ156" s="2" t="e">
        <f ca="1">_xll.BDH($C$153,"SHORT_TERM_DEBT_5_YEAR_GROWTH","FQ3 2014","FQ3 2014","Currency=INR","Period=FQ","BEST_FPERIOD_OVERRIDE=FQ","FILING_STATUS=OR","EQY_CONSOLIDATED=Y","Sort=A","Dates=H","DateFormat=P","Fill=—","Direction=H","UseDPDF=Y")</f>
        <v>#NAME?</v>
      </c>
      <c r="BA156" s="2" t="e">
        <f ca="1">_xll.BDH($C$153,"TOTAL_DEBT_5_YEAR_GROWTH","FQ3 2014","FQ3 2014","Currency=INR","Period=FQ","BEST_FPERIOD_OVERRIDE=FQ","FILING_STATUS=OR","EQY_CONSOLIDATED=Y","Sort=A","Dates=H","DateFormat=P","Fill=—","Direction=H","UseDPDF=Y")</f>
        <v>#NAME?</v>
      </c>
      <c r="BB156" s="2" t="e">
        <f ca="1">_xll.BDH($C$153,"GEO_GROW_TOT_SHRHLDR_EQY","FQ3 2014","FQ3 2014","Currency=INR","Period=FQ","BEST_FPERIOD_OVERRIDE=FQ","FILING_STATUS=OR","EQY_CONSOLIDATED=Y","Sort=A","Dates=H","DateFormat=P","Fill=—","Direction=H","UseDPDF=Y")</f>
        <v>#NAME?</v>
      </c>
      <c r="BC156" s="2" t="e">
        <f ca="1">_xll.BDH($C$153,"TOTAL_CAPITAL_5_YEAR_GROWTH","FQ3 2014","FQ3 2014","Currency=INR","Period=FQ","BEST_FPERIOD_OVERRIDE=FQ","FILING_STATUS=OR","EQY_CONSOLIDATED=Y","Sort=A","Dates=H","DateFormat=P","Fill=—","Direction=H","UseDPDF=Y")</f>
        <v>#NAME?</v>
      </c>
      <c r="BD156" s="2" t="e">
        <f ca="1">_xll.BDH($C$153,"GEO_GROW_BOOK_VAL","FQ3 2014","FQ3 2014","Currency=INR","Period=FQ","BEST_FPERIOD_OVERRIDE=FQ","FILING_STATUS=OR","EQY_CONSOLIDATED=Y","Sort=A","Dates=H","DateFormat=P","Fill=—","Direction=H","UseDPDF=Y")</f>
        <v>#NAME?</v>
      </c>
      <c r="BE156" s="2" t="e">
        <f ca="1">_xll.BDH($C$153,"GEO_GROW_CASH_OPER_ACT","FQ3 2014","FQ3 2014","Currency=INR","Period=FQ","BEST_FPERIOD_OVERRIDE=FQ","FILING_STATUS=OR","EQY_CONSOLIDATED=Y","Sort=A","Dates=H","DateFormat=P","Fill=—","Direction=H","UseDPDF=Y")</f>
        <v>#NAME?</v>
      </c>
      <c r="BF156" s="2" t="e">
        <f ca="1">_xll.BDH($C$153,"REVENUE_SEQUENTIAL_GROWTH","FQ3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56" s="2" t="e">
        <f ca="1">_xll.BDH($C$153,"EBITDA_SEQUENTIAL_GROWTH","FQ3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56" s="2" t="e">
        <f ca="1">_xll.BDH($C$153,"OPERATING_INCOME_SEQ_GROWTH","FQ3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56" s="2" t="e">
        <f ca="1">_xll.BDH($C$153,"NET_INCOME_TO_COMMON_SEQ_GROWTH","FQ3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56" s="2" t="e">
        <f ca="1">_xll.BDH($C$153,"EPS_DILUTED_SEQUENTIAL_GROWTH","FQ3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56" s="2" t="e">
        <f ca="1">_xll.BDH($C$153,"DPS_SEQUENTIAL_GROWTH","FQ3 2014","FQ3 2014","Currency=INR","Period=FQ","BEST_FPERIOD_OVERRIDE=FQ","FILING_STATUS=OR","EQY_CONSOLIDATED=Y","Sort=A","Dates=H","DateFormat=P","Fill=—","Direction=H","UseDPDF=Y")</f>
        <v>#NAME?</v>
      </c>
      <c r="BL156" s="2" t="e">
        <f ca="1">_xll.BDH($C$153,"ACCOUNTS_RECEIVABLE_SEQ_GROWTH","FQ3 2014","FQ3 2014","Currency=INR","Period=FQ","BEST_FPERIOD_OVERRIDE=FQ","FILING_STATUS=OR","EQY_CONSOLIDATED=Y","Sort=A","Dates=H","DateFormat=P","Fill=—","Direction=H","UseDPDF=Y")</f>
        <v>#NAME?</v>
      </c>
      <c r="BM156" s="2" t="e">
        <f ca="1">_xll.BDH($C$153,"INVENTORY_SEQUENTIAL_GROWTH","FQ3 2014","FQ3 2014","Currency=INR","Period=FQ","BEST_FPERIOD_OVERRIDE=FQ","FILING_STATUS=OR","EQY_CONSOLIDATED=Y","Sort=A","Dates=H","DateFormat=P","Fill=—","Direction=H","UseDPDF=Y")</f>
        <v>#NAME?</v>
      </c>
      <c r="BN156" s="2" t="e">
        <f ca="1">_xll.BDH($C$153,"FIXED_ASSETS_SEQUENTIAL_GROWTH","FQ3 2014","FQ3 2014","Currency=INR","Period=FQ","BEST_FPERIOD_OVERRIDE=FQ","FILING_STATUS=OR","EQY_CONSOLIDATED=Y","Sort=A","Dates=H","DateFormat=P","Fill=—","Direction=H","UseDPDF=Y")</f>
        <v>#NAME?</v>
      </c>
      <c r="BO156" s="2" t="e">
        <f ca="1">_xll.BDH($C$153,"TOTAL_ASSETS_SEQUENTIAL_GROWTH","FQ3 2014","FQ3 2014","Currency=INR","Period=FQ","BEST_FPERIOD_OVERRIDE=FQ","FILING_STATUS=OR","EQY_CONSOLIDATED=Y","Sort=A","Dates=H","DateFormat=P","Fill=—","Direction=H","UseDPDF=Y")</f>
        <v>#NAME?</v>
      </c>
      <c r="BP156" s="2" t="e">
        <f ca="1">_xll.BDH($C$153,"MODIFIED_WORKING_CPTL_SEQ_GRWTH","FQ3 2014","FQ3 2014","Currency=INR","Period=FQ","BEST_FPERIOD_OVERRIDE=FQ","FILING_STATUS=OR","EQY_CONSOLIDATED=Y","Sort=A","Dates=H","DateFormat=P","Fill=—","Direction=H","UseDPDF=Y")</f>
        <v>#NAME?</v>
      </c>
      <c r="BQ156" s="2" t="e">
        <f ca="1">_xll.BDH($C$153,"WORKING_CAPITAL_SEQ_GROWTH","FQ3 2014","FQ3 2014","Currency=INR","Period=FQ","BEST_FPERIOD_OVERRIDE=FQ","FILING_STATUS=OR","EQY_CONSOLIDATED=Y","Sort=A","Dates=H","DateFormat=P","Fill=—","Direction=H","UseDPDF=Y")</f>
        <v>#NAME?</v>
      </c>
      <c r="BR156" s="2" t="e">
        <f ca="1">_xll.BDH($C$153,"ACCOUNTS_PAYABLE_SEQ_GROWTH","FQ3 2014","FQ3 2014","Currency=INR","Period=FQ","BEST_FPERIOD_OVERRIDE=FQ","FILING_STATUS=OR","EQY_CONSOLIDATED=Y","Sort=A","Dates=H","DateFormat=P","Fill=—","Direction=H","UseDPDF=Y")</f>
        <v>#NAME?</v>
      </c>
      <c r="BS156" s="2" t="e">
        <f ca="1">_xll.BDH($C$153,"ST_DEBT_SEQUENTIAL_GROWTH","FQ3 2014","FQ3 2014","Currency=INR","Period=FQ","BEST_FPERIOD_OVERRIDE=FQ","FILING_STATUS=OR","EQY_CONSOLIDATED=Y","Sort=A","Dates=H","DateFormat=P","Fill=—","Direction=H","UseDPDF=Y")</f>
        <v>#NAME?</v>
      </c>
      <c r="BT156" s="2" t="e">
        <f ca="1">_xll.BDH($C$153,"TOTAL_DEBT_SEQUENTIAL_GROWTH","FQ3 2014","FQ3 2014","Currency=INR","Period=FQ","BEST_FPERIOD_OVERRIDE=FQ","FILING_STATUS=OR","EQY_CONSOLIDATED=Y","Sort=A","Dates=H","DateFormat=P","Fill=—","Direction=H","UseDPDF=Y")</f>
        <v>#NAME?</v>
      </c>
      <c r="BU156" s="2" t="e">
        <f ca="1">_xll.BDH($C$153,"TOTAL_EQUITY_SEQUENTIAL_GROWTH","FQ3 2014","FQ3 2014","Currency=INR","Period=FQ","BEST_FPERIOD_OVERRIDE=FQ","FILING_STATUS=OR","EQY_CONSOLIDATED=Y","Sort=A","Dates=H","DateFormat=P","Fill=—","Direction=H","UseDPDF=Y")</f>
        <v>#NAME?</v>
      </c>
      <c r="BV156" s="2" t="e">
        <f ca="1">_xll.BDH($C$153,"TOTAL_CAPITAL_SEQUENTIAL_GROWTH","FQ3 2014","FQ3 2014","Currency=INR","Period=FQ","BEST_FPERIOD_OVERRIDE=FQ","FILING_STATUS=OR","EQY_CONSOLIDATED=Y","Sort=A","Dates=H","DateFormat=P","Fill=—","Direction=H","UseDPDF=Y")</f>
        <v>#NAME?</v>
      </c>
      <c r="BW156" s="2" t="e">
        <f ca="1">_xll.BDH($C$153,"BPS_SEQUENTIAL_GROWTH","FQ3 2014","FQ3 2014","Currency=INR","Period=FQ","BEST_FPERIOD_OVERRIDE=FQ","FILING_STATUS=OR","EQY_CONSOLIDATED=Y","Sort=A","Dates=H","DateFormat=P","Fill=—","Direction=H","UseDPDF=Y")</f>
        <v>#NAME?</v>
      </c>
      <c r="BX156" s="2" t="e">
        <f ca="1">_xll.BDH($C$153,"CFO_SEQUENTIAL_GROWTH","FQ3 2014","FQ3 2014","Currency=INR","Period=FQ","BEST_FPERIOD_OVERRIDE=FQ","FILING_STATUS=OR","EQY_CONSOLIDATED=Y","Sort=A","Dates=H","DateFormat=P","Fill=—","Direction=H","UseDPDF=Y")</f>
        <v>#NAME?</v>
      </c>
      <c r="BY156" s="3" t="e">
        <f ca="1">_xll.BDH($C$153,"SHORT_AND_LONG_TERM_DEBT","FQ3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56" s="3" t="e">
        <f ca="1">_xll.BDH($C$153,"BS_ST_BORROW","FQ3 2014","FQ3 2014","Currency=INR","Period=FQ","BEST_FPERIOD_OVERRIDE=FQ","FILING_STATUS=OR","EQY_CONSOLIDATED=Y","SCALING_FORMAT=MLN","Sort=A","Dates=H","DateFormat=P","Fill=—","Direction=H","UseDPDF=Y")</f>
        <v>#NAME?</v>
      </c>
      <c r="CA156" s="3" t="e">
        <f ca="1">_xll.BDH($C$153,"BS_LT_BORROW","FQ3 2014","FQ3 2014","Currency=INR","Period=FQ","BEST_FPERIOD_OVERRIDE=FQ","FILING_STATUS=OR","EQY_CONSOLIDATED=Y","SCALING_FORMAT=MLN","Sort=A","Dates=H","DateFormat=P","Fill=—","Direction=H","UseDPDF=Y")</f>
        <v>#NAME?</v>
      </c>
      <c r="CB156" s="2" t="e">
        <f ca="1">_xll.BDH($C$153,"TOT_DEBT_TO_EBITDA","FQ3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56" s="2" t="e">
        <f ca="1">_xll.BDH($C$153,"NET_DEBT_TO_EBITDA","FQ3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56" s="2" t="e">
        <f ca="1">_xll.BDH($C$153,"TOTAL_DEBT_TO_EBIT","FQ3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56" s="2" t="e">
        <f ca="1">_xll.BDH($C$153,"NET_DEBT_TO_EBIT","FQ3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156" s="2" t="e">
        <f ca="1">_xll.BDH($C$153,"EBITDA_TO_INTEREST_EXPN","FQ3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56" s="2" t="e">
        <f ca="1">_xll.BDH($C$153,"COM_EQY_TO_TOT_ASSET","FQ3 2014","FQ3 2014","Currency=INR","Period=FQ","BEST_FPERIOD_OVERRIDE=FQ","FILING_STATUS=OR","EQY_CONSOLIDATED=Y","Sort=A","Dates=H","DateFormat=P","Fill=—","Direction=H","UseDPDF=Y")</f>
        <v>#NAME?</v>
      </c>
      <c r="CH156" s="2" t="e">
        <f ca="1">_xll.BDH($C$153,"LT_DEBT_TO_TOT_EQY","FQ3 2014","FQ3 2014","Currency=INR","Period=FQ","BEST_FPERIOD_OVERRIDE=FQ","FILING_STATUS=OR","EQY_CONSOLIDATED=Y","Sort=A","Dates=H","DateFormat=P","Fill=—","Direction=H","UseDPDF=Y")</f>
        <v>#NAME?</v>
      </c>
      <c r="CI156" s="2" t="e">
        <f ca="1">_xll.BDH($C$153,"LT_DEBT_TO_TOT_CAP","FQ3 2014","FQ3 2014","Currency=INR","Period=FQ","BEST_FPERIOD_OVERRIDE=FQ","FILING_STATUS=OR","EQY_CONSOLIDATED=Y","Sort=A","Dates=H","DateFormat=P","Fill=—","Direction=H","UseDPDF=Y")</f>
        <v>#NAME?</v>
      </c>
      <c r="CJ156" s="2" t="e">
        <f ca="1">_xll.BDH($C$153,"LT_DEBT_TO_TOT_ASSET","FQ3 2014","FQ3 2014","Currency=INR","Period=FQ","BEST_FPERIOD_OVERRIDE=FQ","FILING_STATUS=OR","EQY_CONSOLIDATED=Y","Sort=A","Dates=H","DateFormat=P","Fill=—","Direction=H","UseDPDF=Y")</f>
        <v>#NAME?</v>
      </c>
      <c r="CK156" s="2" t="e">
        <f ca="1">_xll.BDH($C$153,"TOT_DEBT_TO_TOT_EQY","FQ3 2014","FQ3 2014","Currency=INR","Period=FQ","BEST_FPERIOD_OVERRIDE=FQ","FILING_STATUS=OR","EQY_CONSOLIDATED=Y","Sort=A","Dates=H","DateFormat=P","Fill=—","Direction=H","UseDPDF=Y")</f>
        <v>#NAME?</v>
      </c>
      <c r="CL156" s="2" t="e">
        <f ca="1">_xll.BDH($C$153,"TOT_DEBT_TO_TOT_CAP","FQ3 2014","FQ3 2014","Currency=INR","Period=FQ","BEST_FPERIOD_OVERRIDE=FQ","FILING_STATUS=OR","EQY_CONSOLIDATED=Y","Sort=A","Dates=H","DateFormat=P","Fill=—","Direction=H","UseDPDF=Y")</f>
        <v>#NAME?</v>
      </c>
      <c r="CM156" s="2" t="e">
        <f ca="1">_xll.BDH($C$153,"TOT_DEBT_TO_TOT_ASSET","FQ3 2014","FQ3 2014","Currency=INR","Period=FQ","BEST_FPERIOD_OVERRIDE=FQ","FILING_STATUS=OR","EQY_CONSOLIDATED=Y","Sort=A","Dates=H","DateFormat=P","Fill=—","Direction=H","UseDPDF=Y")</f>
        <v>#NAME?</v>
      </c>
      <c r="CN156" s="2" t="e">
        <f ca="1">_xll.BDH($C$153,"NET_DEBT_TO_SHRHLDR_EQTY","FQ3 2014","FQ3 2014","Currency=INR","Period=FQ","BEST_FPERIOD_OVERRIDE=FQ","FILING_STATUS=OR","EQY_CONSOLIDATED=Y","Sort=A","Dates=H","DateFormat=P","Fill=—","Direction=H","UseDPDF=Y")</f>
        <v>#NAME?</v>
      </c>
      <c r="CO156" s="2" t="e">
        <f ca="1">_xll.BDH($C$153,"NET_DEBT_%_CAPITAL","FQ3 2014","FQ3 2014","Currency=INR","Period=FQ","BEST_FPERIOD_OVERRIDE=FQ","FILING_STATUS=OR","EQY_CONSOLIDATED=Y","Sort=A","Dates=H","DateFormat=P","Fill=—","Direction=H","UseDPDF=Y")</f>
        <v>#NAME?</v>
      </c>
      <c r="CP156" s="3" t="e">
        <f ca="1">_xll.BDH($C$153,"EBITDA","FQ3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56" s="3" t="e">
        <f ca="1">_xll.BDH($C$153,"EBITDA_AFTER_CAPEX","FQ3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56" s="3" t="e">
        <f ca="1">_xll.BDH($C$153,"IS_OPER_INC","FQ3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56" s="2" t="e">
        <f ca="1">_xll.BDH($C$153,"CASH_RATIO","FQ3 2014","FQ3 2014","Currency=INR","Period=FQ","BEST_FPERIOD_OVERRIDE=FQ","FILING_STATUS=OR","EQY_CONSOLIDATED=Y","Sort=A","Dates=H","DateFormat=P","Fill=—","Direction=H","UseDPDF=Y")</f>
        <v>#NAME?</v>
      </c>
      <c r="CT156" s="2" t="e">
        <f ca="1">_xll.BDH($C$153,"CUR_RATIO","FQ3 2014","FQ3 2014","Currency=INR","Period=FQ","BEST_FPERIOD_OVERRIDE=FQ","FILING_STATUS=OR","EQY_CONSOLIDATED=Y","Sort=A","Dates=H","DateFormat=P","Fill=—","Direction=H","UseDPDF=Y")</f>
        <v>#NAME?</v>
      </c>
      <c r="CU156" s="2" t="e">
        <f ca="1">_xll.BDH($C$153,"QUICK_RATIO","FQ3 2014","FQ3 2014","Currency=INR","Period=FQ","BEST_FPERIOD_OVERRIDE=FQ","FILING_STATUS=OR","EQY_CONSOLIDATED=Y","Sort=A","Dates=H","DateFormat=P","Fill=—","Direction=H","UseDPDF=Y")</f>
        <v>#NAME?</v>
      </c>
      <c r="CV156" s="2" t="e">
        <f ca="1">_xll.BDH($C$153,"ALTMAN_Z_SCORE","FQ3 2014","FQ3 2014","Currency=INR","Period=FQ","BEST_FPERIOD_OVERRIDE=FQ","FILING_STATUS=OR","EQY_CONSOLIDATED=Y","Sort=A","Dates=H","DateFormat=P","Fill=—","Direction=H","UseDPDF=Y")</f>
        <v>#NAME?</v>
      </c>
      <c r="CW156" s="4" t="e">
        <f ca="1">_xll.BDH($C$153,"ACCT_RCV_TURN","FQ3 2014","FQ3 2014","Currency=INR","Period=FQ","BEST_FPERIOD_OVERRIDE=FQ","FILING_STATUS=OR","EQY_CONSOLIDATED=Y","FA_ADJUSTED=GAAP","Sort=A","Dates=H","DateFormat=P","Fill=—","Direction=H","UseDPDF=Y")</f>
        <v>#NAME?</v>
      </c>
      <c r="CX156" s="2" t="e">
        <f ca="1">_xll.BDH($C$153,"ACCT_RCV_DAYS","FQ3 2014","FQ3 2014","Currency=INR","Period=FQ","BEST_FPERIOD_OVERRIDE=FQ","FILING_STATUS=OR","EQY_CONSOLIDATED=Y","FA_ADJUSTED=GAAP","Sort=A","Dates=H","DateFormat=P","Fill=—","Direction=H","UseDPDF=Y")</f>
        <v>#NAME?</v>
      </c>
      <c r="CY156" s="4" t="e">
        <f ca="1">_xll.BDH($C$153,"INVENT_TURN","FQ3 2014","FQ3 2014","Currency=INR","Period=FQ","BEST_FPERIOD_OVERRIDE=FQ","FILING_STATUS=OR","EQY_CONSOLIDATED=Y","FA_ADJUSTED=GAAP","Sort=A","Dates=H","DateFormat=P","Fill=—","Direction=H","UseDPDF=Y")</f>
        <v>#NAME?</v>
      </c>
      <c r="CZ156" s="2" t="e">
        <f ca="1">_xll.BDH($C$153,"INVENT_DAYS","FQ3 2014","FQ3 2014","Currency=INR","Period=FQ","BEST_FPERIOD_OVERRIDE=FQ","FILING_STATUS=OR","EQY_CONSOLIDATED=Y","FA_ADJUSTED=GAAP","Sort=A","Dates=H","DateFormat=P","Fill=—","Direction=H","UseDPDF=Y")</f>
        <v>#NAME?</v>
      </c>
      <c r="DA156" s="4" t="e">
        <f ca="1">_xll.BDH($C$153,"ACCOUNTS_PAYABLE_TURNOVER","FQ3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56" s="2" t="e">
        <f ca="1">_xll.BDH($C$153,"ACCOUNTS_PAYABLE_TURNOVER_DAYS","FQ3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56" s="4" t="e">
        <f ca="1">_xll.BDH($C$153,"CASH_CONVERSION_CYCLE","FQ3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56" s="4" t="e">
        <f ca="1">_xll.BDH($C$153,"INV_TO_CASH_DAYS","FQ3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156" s="5" t="e">
        <f ca="1">_xll.BDH($C$153,"BS_INVENTORIES","FQ3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156" s="3" t="e">
        <f ca="1">_xll.BDH($C$153,"INVTRY_RAW_MATERIALS","FQ3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56" s="3" t="e">
        <f ca="1">_xll.BDH($C$153,"INVTRY_IN_PROGRESS","FQ3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56" s="3" t="e">
        <f ca="1">_xll.BDH($C$153,"INVTRY_FINISHED_GOODS","FQ3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56" s="3" t="e">
        <f ca="1">_xll.BDH($C$153,"BS_OTHER_INV","FQ3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57" spans="1:113" x14ac:dyDescent="0.3">
      <c r="A157" s="6"/>
      <c r="B157" s="6"/>
      <c r="C157" s="6"/>
      <c r="D157" s="6"/>
      <c r="E157" t="s">
        <v>81</v>
      </c>
      <c r="F157" t="e">
        <f ca="1">_xll.BDH($C$153,"RETURN_COM_EQY","FQ4 2014","FQ4 2014","Currency=INR","Period=FQ","BEST_FPERIOD_OVERRIDE=FQ","FILING_STATUS=OR","EQY_CONSOLIDATED=Y","FA_ADJUSTED=GAAP","Sort=A","Dates=H","DateFormat=P","Fill=—","Direction=H","UseDPDF=Y")</f>
        <v>#NAME?</v>
      </c>
      <c r="G157" t="e">
        <f ca="1">_xll.BDH($C$153,"RETURN_ON_ASSET","FQ4 2014","FQ4 2014","Currency=INR","Period=FQ","BEST_FPERIOD_OVERRIDE=FQ","FILING_STATUS=OR","EQY_CONSOLIDATED=Y","FA_ADJUSTED=GAAP","Sort=A","Dates=H","DateFormat=P","Fill=—","Direction=H","UseDPDF=Y")</f>
        <v>#NAME?</v>
      </c>
      <c r="H157" t="e">
        <f ca="1">_xll.BDH($C$153,"RETURN_ON_CAP","FQ4 2014","FQ4 2014","Currency=INR","Period=FQ","BEST_FPERIOD_OVERRIDE=FQ","FILING_STATUS=OR","EQY_CONSOLIDATED=Y","FA_ADJUSTED=GAAP","Sort=A","Dates=H","DateFormat=P","Fill=—","Direction=H","UseDPDF=Y")</f>
        <v>#NAME?</v>
      </c>
      <c r="I157" t="e">
        <f ca="1">_xll.BDH($C$153,"RETURN_ON_INV_CAPITAL","FQ4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57" t="e">
        <f ca="1">_xll.BDH($C$153,"EBITDA_TO_REVENUE","FQ4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157" t="e">
        <f ca="1">_xll.BDH($C$153,"OPER_MARGIN","FQ4 2014","FQ4 2014","Currency=INR","Period=FQ","BEST_FPERIOD_OVERRIDE=FQ","FILING_STATUS=OR","EQY_CONSOLIDATED=Y","FA_ADJUSTED=GAAP","Sort=A","Dates=H","DateFormat=P","Fill=—","Direction=H","UseDPDF=Y")</f>
        <v>#NAME?</v>
      </c>
      <c r="L157" t="e">
        <f ca="1">_xll.BDH($C$153,"INCREMENTAL_OPERATING_MARGIN","FQ4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57" t="e">
        <f ca="1">_xll.BDH($C$153,"PRETAX_INC_TO_NET_SALES","FQ4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57" t="e">
        <f ca="1">_xll.BDH($C$153,"INC_BEF_XO_ITEMS_TO_NET_SALES","FQ4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57" t="e">
        <f ca="1">_xll.BDH($C$153,"PROF_MARGIN","FQ4 2014","FQ4 2014","Currency=INR","Period=FQ","BEST_FPERIOD_OVERRIDE=FQ","FILING_STATUS=OR","EQY_CONSOLIDATED=Y","FA_ADJUSTED=GAAP","Sort=A","Dates=H","DateFormat=P","Fill=—","Direction=H","UseDPDF=Y")</f>
        <v>#NAME?</v>
      </c>
      <c r="P157" t="e">
        <f ca="1">_xll.BDH($C$153,"NET_INCOME_TO_COMMON_MARGIN","FQ4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57" t="e">
        <f ca="1">_xll.BDH($C$153,"EFF_TAX_RATE","FQ4 2014","FQ4 2014","Currency=INR","Period=FQ","BEST_FPERIOD_OVERRIDE=FQ","FILING_STATUS=OR","EQY_CONSOLIDATED=Y","FA_ADJUSTED=GAAP","Sort=A","Dates=H","DateFormat=P","Fill=—","Direction=H","UseDPDF=Y")</f>
        <v>#NAME?</v>
      </c>
      <c r="R157" t="e">
        <f ca="1">_xll.BDH($C$153,"DVD_PAYOUT_RATIO","FQ4 2014","FQ4 2014","Currency=INR","Period=FQ","BEST_FPERIOD_OVERRIDE=FQ","FILING_STATUS=OR","EQY_CONSOLIDATED=Y","FA_ADJUSTED=GAAP","Sort=A","Dates=H","DateFormat=P","Fill=—","Direction=H","UseDPDF=Y")</f>
        <v>#NAME?</v>
      </c>
      <c r="S157" t="e">
        <f ca="1">_xll.BDH($C$153,"SUSTAIN_GROWTH_RT","FQ4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157" s="2" t="e">
        <f ca="1">_xll.BDH($C$153,"SALES_GROWTH","FQ4 2014","FQ4 2014","Currency=INR","Period=FQ","BEST_FPERIOD_OVERRIDE=FQ","FILING_STATUS=OR","EQY_CONSOLIDATED=Y","FA_ADJUSTED=GAAP","Sort=A","Dates=H","DateFormat=P","Fill=—","Direction=H","UseDPDF=Y")</f>
        <v>#NAME?</v>
      </c>
      <c r="U157" s="2" t="e">
        <f ca="1">_xll.BDH($C$153,"EBITDA_GROWTH","FQ4 2014","FQ4 2014","Currency=INR","Period=FQ","BEST_FPERIOD_OVERRIDE=FQ","FILING_STATUS=OR","EQY_CONSOLIDATED=Y","FA_ADJUSTED=GAAP","Sort=A","Dates=H","DateFormat=P","Fill=—","Direction=H","UseDPDF=Y")</f>
        <v>#NAME?</v>
      </c>
      <c r="V157" s="2" t="e">
        <f ca="1">_xll.BDH($C$153,"OPER_INC_GROWTH","FQ4 2014","FQ4 2014","Currency=INR","Period=FQ","BEST_FPERIOD_OVERRIDE=FQ","FILING_STATUS=OR","EQY_CONSOLIDATED=Y","FA_ADJUSTED=GAAP","Sort=A","Dates=H","DateFormat=P","Fill=—","Direction=H","UseDPDF=Y")</f>
        <v>#NAME?</v>
      </c>
      <c r="W157" s="2" t="e">
        <f ca="1">_xll.BDH($C$153,"EARN_FOR_COM_GROWTH","FQ4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57" s="2" t="e">
        <f ca="1">_xll.BDH($C$153,"DILUTED_EPS_AFT_XO_ITEMS_GROWTH","FQ4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57" s="2" t="e">
        <f ca="1">_xll.BDH($C$153,"DIVIDEND_PER_SHARE_1_YEAR_GROWTH","FQ4 2014","FQ4 2014","Currency=INR","Period=FQ","BEST_FPERIOD_OVERRIDE=FQ","FILING_STATUS=OR","EQY_CONSOLIDATED=Y","Sort=A","Dates=H","DateFormat=P","Fill=—","Direction=H","UseDPDF=Y")</f>
        <v>#NAME?</v>
      </c>
      <c r="Z157" s="2" t="e">
        <f ca="1">_xll.BDH($C$153,"ACCOUNTS_RECEIVABLE_GROWTH","FQ4 2014","FQ4 2014","Currency=INR","Period=FQ","BEST_FPERIOD_OVERRIDE=FQ","FILING_STATUS=OR","EQY_CONSOLIDATED=Y","Sort=A","Dates=H","DateFormat=P","Fill=—","Direction=H","UseDPDF=Y")</f>
        <v>#NAME?</v>
      </c>
      <c r="AA157" s="2" t="e">
        <f ca="1">_xll.BDH($C$153,"INVENTORY_GROWTH","FQ4 2014","FQ4 2014","Currency=INR","Period=FQ","BEST_FPERIOD_OVERRIDE=FQ","FILING_STATUS=OR","EQY_CONSOLIDATED=Y","Sort=A","Dates=H","DateFormat=P","Fill=—","Direction=H","UseDPDF=Y")</f>
        <v>#NAME?</v>
      </c>
      <c r="AB157" s="2" t="e">
        <f ca="1">_xll.BDH($C$153,"NET_FIXED_ASSETS_1_YEAR_GROWTH","FQ4 2014","FQ4 2014","Currency=INR","Period=FQ","BEST_FPERIOD_OVERRIDE=FQ","FILING_STATUS=OR","EQY_CONSOLIDATED=Y","Sort=A","Dates=H","DateFormat=P","Fill=—","Direction=H","UseDPDF=Y")</f>
        <v>#NAME?</v>
      </c>
      <c r="AC157" s="2" t="e">
        <f ca="1">_xll.BDH($C$153,"ASSET_GROWTH","FQ4 2014","FQ4 2014","Currency=INR","Period=FQ","BEST_FPERIOD_OVERRIDE=FQ","FILING_STATUS=OR","EQY_CONSOLIDATED=Y","Sort=A","Dates=H","DateFormat=P","Fill=—","Direction=H","UseDPDF=Y")</f>
        <v>#NAME?</v>
      </c>
      <c r="AD157" s="2" t="e">
        <f ca="1">_xll.BDH($C$153,"MODIFIED_WORK_CAP_GROWTH","FQ4 2014","FQ4 2014","Currency=INR","Period=FQ","BEST_FPERIOD_OVERRIDE=FQ","FILING_STATUS=OR","EQY_CONSOLIDATED=Y","Sort=A","Dates=H","DateFormat=P","Fill=—","Direction=H","UseDPDF=Y")</f>
        <v>#NAME?</v>
      </c>
      <c r="AE157" s="2" t="e">
        <f ca="1">_xll.BDH($C$153,"WORK_CAP_GROWTH","FQ4 2014","FQ4 2014","Currency=INR","Period=FQ","BEST_FPERIOD_OVERRIDE=FQ","FILING_STATUS=OR","EQY_CONSOLIDATED=Y","Sort=A","Dates=H","DateFormat=P","Fill=—","Direction=H","UseDPDF=Y")</f>
        <v>#NAME?</v>
      </c>
      <c r="AF157" s="2" t="e">
        <f ca="1">_xll.BDH($C$153,"ACCOUNTS_PAYABLE_GROWTH_1YR","FQ4 2014","FQ4 2014","Currency=INR","Period=FQ","BEST_FPERIOD_OVERRIDE=FQ","FILING_STATUS=OR","EQY_CONSOLIDATED=Y","Sort=A","Dates=H","DateFormat=P","Fill=—","Direction=H","UseDPDF=Y")</f>
        <v>#NAME?</v>
      </c>
      <c r="AG157" s="2" t="e">
        <f ca="1">_xll.BDH($C$153,"SHORT_TERM_DEBT_1_YEAR_GROWTH","FQ4 2014","FQ4 2014","Currency=INR","Period=FQ","BEST_FPERIOD_OVERRIDE=FQ","FILING_STATUS=OR","EQY_CONSOLIDATED=Y","Sort=A","Dates=H","DateFormat=P","Fill=—","Direction=H","UseDPDF=Y")</f>
        <v>#NAME?</v>
      </c>
      <c r="AH157" s="2" t="e">
        <f ca="1">_xll.BDH($C$153,"TOTAL_DEBT_1_YEAR_GROWTH","FQ4 2014","FQ4 2014","Currency=INR","Period=FQ","BEST_FPERIOD_OVERRIDE=FQ","FILING_STATUS=OR","EQY_CONSOLIDATED=Y","Sort=A","Dates=H","DateFormat=P","Fill=—","Direction=H","UseDPDF=Y")</f>
        <v>#NAME?</v>
      </c>
      <c r="AI157" s="2" t="e">
        <f ca="1">_xll.BDH($C$153,"TOTAL_EQUITY_1_YEAR_GROWTH","FQ4 2014","FQ4 2014","Currency=INR","Period=FQ","BEST_FPERIOD_OVERRIDE=FQ","FILING_STATUS=OR","EQY_CONSOLIDATED=Y","Sort=A","Dates=H","DateFormat=P","Fill=—","Direction=H","UseDPDF=Y")</f>
        <v>#NAME?</v>
      </c>
      <c r="AJ157" s="2" t="e">
        <f ca="1">_xll.BDH($C$153,"GROWTH_IN_CAP","FQ4 2014","FQ4 2014","Currency=INR","Period=FQ","BEST_FPERIOD_OVERRIDE=FQ","FILING_STATUS=OR","EQY_CONSOLIDATED=Y","Sort=A","Dates=H","DateFormat=P","Fill=—","Direction=H","UseDPDF=Y")</f>
        <v>#NAME?</v>
      </c>
      <c r="AK157" s="2" t="e">
        <f ca="1">_xll.BDH($C$153,"BVPS_GROWTH","FQ4 2014","FQ4 2014","Currency=INR","Period=FQ","BEST_FPERIOD_OVERRIDE=FQ","FILING_STATUS=OR","EQY_CONSOLIDATED=Y","Sort=A","Dates=H","DateFormat=P","Fill=—","Direction=H","UseDPDF=Y")</f>
        <v>#NAME?</v>
      </c>
      <c r="AL157" s="2" t="e">
        <f ca="1">_xll.BDH($C$153,"CASH_FLOW_GROWTH","FQ4 2014","FQ4 2014","Currency=INR","Period=FQ","BEST_FPERIOD_OVERRIDE=FQ","FILING_STATUS=OR","EQY_CONSOLIDATED=Y","Sort=A","Dates=H","DateFormat=P","Fill=—","Direction=H","UseDPDF=Y")</f>
        <v>#NAME?</v>
      </c>
      <c r="AM157" s="2" t="e">
        <f ca="1">_xll.BDH($C$153,"GEO_GROW_NET_SALES","FQ4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57" s="2" t="e">
        <f ca="1">_xll.BDH($C$153,"GEO_GROW_EBITDA","FQ4 2014","FQ4 2014","Currency=INR","Period=FQ","BEST_FPERIOD_OVERRIDE=FQ","FILING_STATUS=OR","EQY_CONSOLIDATED=Y","FA_ADJUSTED=GAAP","Sort=A","Dates=H","DateFormat=P","Fill=—","Direction=H","UseDPDF=Y")</f>
        <v>#NAME?</v>
      </c>
      <c r="AO157" s="2" t="e">
        <f ca="1">_xll.BDH($C$153,"GEO_GROW_OPER_INC","FQ4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57" s="2" t="e">
        <f ca="1">_xll.BDH($C$153,"NET_INCOME_TO_COMMON_5_YR_GROWTH","FQ4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57" s="2" t="e">
        <f ca="1">_xll.BDH($C$153,"5Y_GEO_GROWTH_DILUTED_EPS","FQ4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57" s="2" t="e">
        <f ca="1">_xll.BDH($C$153,"GEO_GROW_DVD_PER_SH","FQ4 2014","FQ4 2014","Currency=INR","Period=FQ","BEST_FPERIOD_OVERRIDE=FQ","FILING_STATUS=OR","EQY_CONSOLIDATED=Y","Sort=A","Dates=H","DateFormat=P","Fill=—","Direction=H","UseDPDF=Y")</f>
        <v>#NAME?</v>
      </c>
      <c r="AS157" s="2" t="e">
        <f ca="1">_xll.BDH($C$153,"ACCOUNTS_RECEIVABLE_5_YR_GROWTH","FQ4 2014","FQ4 2014","Currency=INR","Period=FQ","BEST_FPERIOD_OVERRIDE=FQ","FILING_STATUS=OR","EQY_CONSOLIDATED=Y","Sort=A","Dates=H","DateFormat=P","Fill=—","Direction=H","UseDPDF=Y")</f>
        <v>#NAME?</v>
      </c>
      <c r="AT157" s="2" t="e">
        <f ca="1">_xll.BDH($C$153,"INVENTORY_5_YEAR_GROWTH","FQ4 2014","FQ4 2014","Currency=INR","Period=FQ","BEST_FPERIOD_OVERRIDE=FQ","FILING_STATUS=OR","EQY_CONSOLIDATED=Y","Sort=A","Dates=H","DateFormat=P","Fill=—","Direction=H","UseDPDF=Y")</f>
        <v>#NAME?</v>
      </c>
      <c r="AU157" s="2" t="e">
        <f ca="1">_xll.BDH($C$153,"NET_FIXED_ASSETS_5_YEAR_GROWTH","FQ4 2014","FQ4 2014","Currency=INR","Period=FQ","BEST_FPERIOD_OVERRIDE=FQ","FILING_STATUS=OR","EQY_CONSOLIDATED=Y","Sort=A","Dates=H","DateFormat=P","Fill=—","Direction=H","UseDPDF=Y")</f>
        <v>#NAME?</v>
      </c>
      <c r="AV157" s="2" t="e">
        <f ca="1">_xll.BDH($C$153,"GEO_GROW_TOT_ASSET","FQ4 2014","FQ4 2014","Currency=INR","Period=FQ","BEST_FPERIOD_OVERRIDE=FQ","FILING_STATUS=OR","EQY_CONSOLIDATED=Y","Sort=A","Dates=H","DateFormat=P","Fill=—","Direction=H","UseDPDF=Y")</f>
        <v>#NAME?</v>
      </c>
      <c r="AW157" s="2" t="e">
        <f ca="1">_xll.BDH($C$153,"MODIFIED_WORKING_CPTL_5YR_GRWTH","FQ4 2014","FQ4 2014","Currency=INR","Period=FQ","BEST_FPERIOD_OVERRIDE=FQ","FILING_STATUS=OR","EQY_CONSOLIDATED=Y","Sort=A","Dates=H","DateFormat=P","Fill=—","Direction=H","UseDPDF=Y")</f>
        <v>#NAME?</v>
      </c>
      <c r="AX157" s="2" t="e">
        <f ca="1">_xll.BDH($C$153,"WORKING_CAPITAL_5_YEAR_GROWTH","FQ4 2014","FQ4 2014","Currency=INR","Period=FQ","BEST_FPERIOD_OVERRIDE=FQ","FILING_STATUS=OR","EQY_CONSOLIDATED=Y","Sort=A","Dates=H","DateFormat=P","Fill=—","Direction=H","UseDPDF=Y")</f>
        <v>#NAME?</v>
      </c>
      <c r="AY157" s="2" t="e">
        <f ca="1">_xll.BDH($C$153,"ACCOUNTS_PAYABLE_5_YEAR_GROWTH","FQ4 2014","FQ4 2014","Currency=INR","Period=FQ","BEST_FPERIOD_OVERRIDE=FQ","FILING_STATUS=OR","EQY_CONSOLIDATED=Y","Sort=A","Dates=H","DateFormat=P","Fill=—","Direction=H","UseDPDF=Y")</f>
        <v>#NAME?</v>
      </c>
      <c r="AZ157" s="2" t="e">
        <f ca="1">_xll.BDH($C$153,"SHORT_TERM_DEBT_5_YEAR_GROWTH","FQ4 2014","FQ4 2014","Currency=INR","Period=FQ","BEST_FPERIOD_OVERRIDE=FQ","FILING_STATUS=OR","EQY_CONSOLIDATED=Y","Sort=A","Dates=H","DateFormat=P","Fill=—","Direction=H","UseDPDF=Y")</f>
        <v>#NAME?</v>
      </c>
      <c r="BA157" s="2" t="e">
        <f ca="1">_xll.BDH($C$153,"TOTAL_DEBT_5_YEAR_GROWTH","FQ4 2014","FQ4 2014","Currency=INR","Period=FQ","BEST_FPERIOD_OVERRIDE=FQ","FILING_STATUS=OR","EQY_CONSOLIDATED=Y","Sort=A","Dates=H","DateFormat=P","Fill=—","Direction=H","UseDPDF=Y")</f>
        <v>#NAME?</v>
      </c>
      <c r="BB157" s="2" t="e">
        <f ca="1">_xll.BDH($C$153,"GEO_GROW_TOT_SHRHLDR_EQY","FQ4 2014","FQ4 2014","Currency=INR","Period=FQ","BEST_FPERIOD_OVERRIDE=FQ","FILING_STATUS=OR","EQY_CONSOLIDATED=Y","Sort=A","Dates=H","DateFormat=P","Fill=—","Direction=H","UseDPDF=Y")</f>
        <v>#NAME?</v>
      </c>
      <c r="BC157" s="2" t="e">
        <f ca="1">_xll.BDH($C$153,"TOTAL_CAPITAL_5_YEAR_GROWTH","FQ4 2014","FQ4 2014","Currency=INR","Period=FQ","BEST_FPERIOD_OVERRIDE=FQ","FILING_STATUS=OR","EQY_CONSOLIDATED=Y","Sort=A","Dates=H","DateFormat=P","Fill=—","Direction=H","UseDPDF=Y")</f>
        <v>#NAME?</v>
      </c>
      <c r="BD157" s="2" t="e">
        <f ca="1">_xll.BDH($C$153,"GEO_GROW_BOOK_VAL","FQ4 2014","FQ4 2014","Currency=INR","Period=FQ","BEST_FPERIOD_OVERRIDE=FQ","FILING_STATUS=OR","EQY_CONSOLIDATED=Y","Sort=A","Dates=H","DateFormat=P","Fill=—","Direction=H","UseDPDF=Y")</f>
        <v>#NAME?</v>
      </c>
      <c r="BE157" s="2" t="e">
        <f ca="1">_xll.BDH($C$153,"GEO_GROW_CASH_OPER_ACT","FQ4 2014","FQ4 2014","Currency=INR","Period=FQ","BEST_FPERIOD_OVERRIDE=FQ","FILING_STATUS=OR","EQY_CONSOLIDATED=Y","Sort=A","Dates=H","DateFormat=P","Fill=—","Direction=H","UseDPDF=Y")</f>
        <v>#NAME?</v>
      </c>
      <c r="BF157" s="2" t="e">
        <f ca="1">_xll.BDH($C$153,"REVENUE_SEQUENTIAL_GROWTH","FQ4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57" s="2" t="e">
        <f ca="1">_xll.BDH($C$153,"EBITDA_SEQUENTIAL_GROWTH","FQ4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57" s="2" t="e">
        <f ca="1">_xll.BDH($C$153,"OPERATING_INCOME_SEQ_GROWTH","FQ4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57" s="2" t="e">
        <f ca="1">_xll.BDH($C$153,"NET_INCOME_TO_COMMON_SEQ_GROWTH","FQ4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57" s="2" t="e">
        <f ca="1">_xll.BDH($C$153,"EPS_DILUTED_SEQUENTIAL_GROWTH","FQ4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57" s="2" t="e">
        <f ca="1">_xll.BDH($C$153,"DPS_SEQUENTIAL_GROWTH","FQ4 2014","FQ4 2014","Currency=INR","Period=FQ","BEST_FPERIOD_OVERRIDE=FQ","FILING_STATUS=OR","EQY_CONSOLIDATED=Y","Sort=A","Dates=H","DateFormat=P","Fill=—","Direction=H","UseDPDF=Y")</f>
        <v>#NAME?</v>
      </c>
      <c r="BL157" s="2" t="e">
        <f ca="1">_xll.BDH($C$153,"ACCOUNTS_RECEIVABLE_SEQ_GROWTH","FQ4 2014","FQ4 2014","Currency=INR","Period=FQ","BEST_FPERIOD_OVERRIDE=FQ","FILING_STATUS=OR","EQY_CONSOLIDATED=Y","Sort=A","Dates=H","DateFormat=P","Fill=—","Direction=H","UseDPDF=Y")</f>
        <v>#NAME?</v>
      </c>
      <c r="BM157" s="2" t="e">
        <f ca="1">_xll.BDH($C$153,"INVENTORY_SEQUENTIAL_GROWTH","FQ4 2014","FQ4 2014","Currency=INR","Period=FQ","BEST_FPERIOD_OVERRIDE=FQ","FILING_STATUS=OR","EQY_CONSOLIDATED=Y","Sort=A","Dates=H","DateFormat=P","Fill=—","Direction=H","UseDPDF=Y")</f>
        <v>#NAME?</v>
      </c>
      <c r="BN157" s="2" t="e">
        <f ca="1">_xll.BDH($C$153,"FIXED_ASSETS_SEQUENTIAL_GROWTH","FQ4 2014","FQ4 2014","Currency=INR","Period=FQ","BEST_FPERIOD_OVERRIDE=FQ","FILING_STATUS=OR","EQY_CONSOLIDATED=Y","Sort=A","Dates=H","DateFormat=P","Fill=—","Direction=H","UseDPDF=Y")</f>
        <v>#NAME?</v>
      </c>
      <c r="BO157" s="2" t="e">
        <f ca="1">_xll.BDH($C$153,"TOTAL_ASSETS_SEQUENTIAL_GROWTH","FQ4 2014","FQ4 2014","Currency=INR","Period=FQ","BEST_FPERIOD_OVERRIDE=FQ","FILING_STATUS=OR","EQY_CONSOLIDATED=Y","Sort=A","Dates=H","DateFormat=P","Fill=—","Direction=H","UseDPDF=Y")</f>
        <v>#NAME?</v>
      </c>
      <c r="BP157" s="2" t="e">
        <f ca="1">_xll.BDH($C$153,"MODIFIED_WORKING_CPTL_SEQ_GRWTH","FQ4 2014","FQ4 2014","Currency=INR","Period=FQ","BEST_FPERIOD_OVERRIDE=FQ","FILING_STATUS=OR","EQY_CONSOLIDATED=Y","Sort=A","Dates=H","DateFormat=P","Fill=—","Direction=H","UseDPDF=Y")</f>
        <v>#NAME?</v>
      </c>
      <c r="BQ157" s="2" t="e">
        <f ca="1">_xll.BDH($C$153,"WORKING_CAPITAL_SEQ_GROWTH","FQ4 2014","FQ4 2014","Currency=INR","Period=FQ","BEST_FPERIOD_OVERRIDE=FQ","FILING_STATUS=OR","EQY_CONSOLIDATED=Y","Sort=A","Dates=H","DateFormat=P","Fill=—","Direction=H","UseDPDF=Y")</f>
        <v>#NAME?</v>
      </c>
      <c r="BR157" s="2" t="e">
        <f ca="1">_xll.BDH($C$153,"ACCOUNTS_PAYABLE_SEQ_GROWTH","FQ4 2014","FQ4 2014","Currency=INR","Period=FQ","BEST_FPERIOD_OVERRIDE=FQ","FILING_STATUS=OR","EQY_CONSOLIDATED=Y","Sort=A","Dates=H","DateFormat=P","Fill=—","Direction=H","UseDPDF=Y")</f>
        <v>#NAME?</v>
      </c>
      <c r="BS157" s="2" t="e">
        <f ca="1">_xll.BDH($C$153,"ST_DEBT_SEQUENTIAL_GROWTH","FQ4 2014","FQ4 2014","Currency=INR","Period=FQ","BEST_FPERIOD_OVERRIDE=FQ","FILING_STATUS=OR","EQY_CONSOLIDATED=Y","Sort=A","Dates=H","DateFormat=P","Fill=—","Direction=H","UseDPDF=Y")</f>
        <v>#NAME?</v>
      </c>
      <c r="BT157" s="2" t="e">
        <f ca="1">_xll.BDH($C$153,"TOTAL_DEBT_SEQUENTIAL_GROWTH","FQ4 2014","FQ4 2014","Currency=INR","Period=FQ","BEST_FPERIOD_OVERRIDE=FQ","FILING_STATUS=OR","EQY_CONSOLIDATED=Y","Sort=A","Dates=H","DateFormat=P","Fill=—","Direction=H","UseDPDF=Y")</f>
        <v>#NAME?</v>
      </c>
      <c r="BU157" s="2" t="e">
        <f ca="1">_xll.BDH($C$153,"TOTAL_EQUITY_SEQUENTIAL_GROWTH","FQ4 2014","FQ4 2014","Currency=INR","Period=FQ","BEST_FPERIOD_OVERRIDE=FQ","FILING_STATUS=OR","EQY_CONSOLIDATED=Y","Sort=A","Dates=H","DateFormat=P","Fill=—","Direction=H","UseDPDF=Y")</f>
        <v>#NAME?</v>
      </c>
      <c r="BV157" s="2" t="e">
        <f ca="1">_xll.BDH($C$153,"TOTAL_CAPITAL_SEQUENTIAL_GROWTH","FQ4 2014","FQ4 2014","Currency=INR","Period=FQ","BEST_FPERIOD_OVERRIDE=FQ","FILING_STATUS=OR","EQY_CONSOLIDATED=Y","Sort=A","Dates=H","DateFormat=P","Fill=—","Direction=H","UseDPDF=Y")</f>
        <v>#NAME?</v>
      </c>
      <c r="BW157" s="2" t="e">
        <f ca="1">_xll.BDH($C$153,"BPS_SEQUENTIAL_GROWTH","FQ4 2014","FQ4 2014","Currency=INR","Period=FQ","BEST_FPERIOD_OVERRIDE=FQ","FILING_STATUS=OR","EQY_CONSOLIDATED=Y","Sort=A","Dates=H","DateFormat=P","Fill=—","Direction=H","UseDPDF=Y")</f>
        <v>#NAME?</v>
      </c>
      <c r="BX157" s="2" t="e">
        <f ca="1">_xll.BDH($C$153,"CFO_SEQUENTIAL_GROWTH","FQ4 2014","FQ4 2014","Currency=INR","Period=FQ","BEST_FPERIOD_OVERRIDE=FQ","FILING_STATUS=OR","EQY_CONSOLIDATED=Y","Sort=A","Dates=H","DateFormat=P","Fill=—","Direction=H","UseDPDF=Y")</f>
        <v>#NAME?</v>
      </c>
      <c r="BY157" s="3" t="e">
        <f ca="1">_xll.BDH($C$153,"SHORT_AND_LONG_TERM_DEBT","FQ4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57" s="3" t="e">
        <f ca="1">_xll.BDH($C$153,"BS_ST_BORROW","FQ4 2014","FQ4 2014","Currency=INR","Period=FQ","BEST_FPERIOD_OVERRIDE=FQ","FILING_STATUS=OR","EQY_CONSOLIDATED=Y","SCALING_FORMAT=MLN","Sort=A","Dates=H","DateFormat=P","Fill=—","Direction=H","UseDPDF=Y")</f>
        <v>#NAME?</v>
      </c>
      <c r="CA157" s="3" t="e">
        <f ca="1">_xll.BDH($C$153,"BS_LT_BORROW","FQ4 2014","FQ4 2014","Currency=INR","Period=FQ","BEST_FPERIOD_OVERRIDE=FQ","FILING_STATUS=OR","EQY_CONSOLIDATED=Y","SCALING_FORMAT=MLN","Sort=A","Dates=H","DateFormat=P","Fill=—","Direction=H","UseDPDF=Y")</f>
        <v>#NAME?</v>
      </c>
      <c r="CB157" s="2" t="e">
        <f ca="1">_xll.BDH($C$153,"TOT_DEBT_TO_EBITDA","FQ4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57" s="2" t="e">
        <f ca="1">_xll.BDH($C$153,"NET_DEBT_TO_EBITDA","FQ4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57" s="2" t="e">
        <f ca="1">_xll.BDH($C$153,"TOTAL_DEBT_TO_EBIT","FQ4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57" s="2" t="e">
        <f ca="1">_xll.BDH($C$153,"NET_DEBT_TO_EBIT","FQ4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157" s="2" t="e">
        <f ca="1">_xll.BDH($C$153,"EBITDA_TO_INTEREST_EXPN","FQ4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57" s="2" t="e">
        <f ca="1">_xll.BDH($C$153,"COM_EQY_TO_TOT_ASSET","FQ4 2014","FQ4 2014","Currency=INR","Period=FQ","BEST_FPERIOD_OVERRIDE=FQ","FILING_STATUS=OR","EQY_CONSOLIDATED=Y","Sort=A","Dates=H","DateFormat=P","Fill=—","Direction=H","UseDPDF=Y")</f>
        <v>#NAME?</v>
      </c>
      <c r="CH157" s="2" t="e">
        <f ca="1">_xll.BDH($C$153,"LT_DEBT_TO_TOT_EQY","FQ4 2014","FQ4 2014","Currency=INR","Period=FQ","BEST_FPERIOD_OVERRIDE=FQ","FILING_STATUS=OR","EQY_CONSOLIDATED=Y","Sort=A","Dates=H","DateFormat=P","Fill=—","Direction=H","UseDPDF=Y")</f>
        <v>#NAME?</v>
      </c>
      <c r="CI157" s="2" t="e">
        <f ca="1">_xll.BDH($C$153,"LT_DEBT_TO_TOT_CAP","FQ4 2014","FQ4 2014","Currency=INR","Period=FQ","BEST_FPERIOD_OVERRIDE=FQ","FILING_STATUS=OR","EQY_CONSOLIDATED=Y","Sort=A","Dates=H","DateFormat=P","Fill=—","Direction=H","UseDPDF=Y")</f>
        <v>#NAME?</v>
      </c>
      <c r="CJ157" s="2" t="e">
        <f ca="1">_xll.BDH($C$153,"LT_DEBT_TO_TOT_ASSET","FQ4 2014","FQ4 2014","Currency=INR","Period=FQ","BEST_FPERIOD_OVERRIDE=FQ","FILING_STATUS=OR","EQY_CONSOLIDATED=Y","Sort=A","Dates=H","DateFormat=P","Fill=—","Direction=H","UseDPDF=Y")</f>
        <v>#NAME?</v>
      </c>
      <c r="CK157" s="2" t="e">
        <f ca="1">_xll.BDH($C$153,"TOT_DEBT_TO_TOT_EQY","FQ4 2014","FQ4 2014","Currency=INR","Period=FQ","BEST_FPERIOD_OVERRIDE=FQ","FILING_STATUS=OR","EQY_CONSOLIDATED=Y","Sort=A","Dates=H","DateFormat=P","Fill=—","Direction=H","UseDPDF=Y")</f>
        <v>#NAME?</v>
      </c>
      <c r="CL157" s="2" t="e">
        <f ca="1">_xll.BDH($C$153,"TOT_DEBT_TO_TOT_CAP","FQ4 2014","FQ4 2014","Currency=INR","Period=FQ","BEST_FPERIOD_OVERRIDE=FQ","FILING_STATUS=OR","EQY_CONSOLIDATED=Y","Sort=A","Dates=H","DateFormat=P","Fill=—","Direction=H","UseDPDF=Y")</f>
        <v>#NAME?</v>
      </c>
      <c r="CM157" s="2" t="e">
        <f ca="1">_xll.BDH($C$153,"TOT_DEBT_TO_TOT_ASSET","FQ4 2014","FQ4 2014","Currency=INR","Period=FQ","BEST_FPERIOD_OVERRIDE=FQ","FILING_STATUS=OR","EQY_CONSOLIDATED=Y","Sort=A","Dates=H","DateFormat=P","Fill=—","Direction=H","UseDPDF=Y")</f>
        <v>#NAME?</v>
      </c>
      <c r="CN157" s="2" t="e">
        <f ca="1">_xll.BDH($C$153,"NET_DEBT_TO_SHRHLDR_EQTY","FQ4 2014","FQ4 2014","Currency=INR","Period=FQ","BEST_FPERIOD_OVERRIDE=FQ","FILING_STATUS=OR","EQY_CONSOLIDATED=Y","Sort=A","Dates=H","DateFormat=P","Fill=—","Direction=H","UseDPDF=Y")</f>
        <v>#NAME?</v>
      </c>
      <c r="CO157" s="2" t="e">
        <f ca="1">_xll.BDH($C$153,"NET_DEBT_%_CAPITAL","FQ4 2014","FQ4 2014","Currency=INR","Period=FQ","BEST_FPERIOD_OVERRIDE=FQ","FILING_STATUS=OR","EQY_CONSOLIDATED=Y","Sort=A","Dates=H","DateFormat=P","Fill=—","Direction=H","UseDPDF=Y")</f>
        <v>#NAME?</v>
      </c>
      <c r="CP157" s="3" t="e">
        <f ca="1">_xll.BDH($C$153,"EBITDA","FQ4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57" s="3" t="e">
        <f ca="1">_xll.BDH($C$153,"EBITDA_AFTER_CAPEX","FQ4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57" s="3" t="e">
        <f ca="1">_xll.BDH($C$153,"IS_OPER_INC","FQ4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57" s="2" t="e">
        <f ca="1">_xll.BDH($C$153,"CASH_RATIO","FQ4 2014","FQ4 2014","Currency=INR","Period=FQ","BEST_FPERIOD_OVERRIDE=FQ","FILING_STATUS=OR","EQY_CONSOLIDATED=Y","Sort=A","Dates=H","DateFormat=P","Fill=—","Direction=H","UseDPDF=Y")</f>
        <v>#NAME?</v>
      </c>
      <c r="CT157" s="2" t="e">
        <f ca="1">_xll.BDH($C$153,"CUR_RATIO","FQ4 2014","FQ4 2014","Currency=INR","Period=FQ","BEST_FPERIOD_OVERRIDE=FQ","FILING_STATUS=OR","EQY_CONSOLIDATED=Y","Sort=A","Dates=H","DateFormat=P","Fill=—","Direction=H","UseDPDF=Y")</f>
        <v>#NAME?</v>
      </c>
      <c r="CU157" s="2" t="e">
        <f ca="1">_xll.BDH($C$153,"QUICK_RATIO","FQ4 2014","FQ4 2014","Currency=INR","Period=FQ","BEST_FPERIOD_OVERRIDE=FQ","FILING_STATUS=OR","EQY_CONSOLIDATED=Y","Sort=A","Dates=H","DateFormat=P","Fill=—","Direction=H","UseDPDF=Y")</f>
        <v>#NAME?</v>
      </c>
      <c r="CV157" s="2" t="e">
        <f ca="1">_xll.BDH($C$153,"ALTMAN_Z_SCORE","FQ4 2014","FQ4 2014","Currency=INR","Period=FQ","BEST_FPERIOD_OVERRIDE=FQ","FILING_STATUS=OR","EQY_CONSOLIDATED=Y","Sort=A","Dates=H","DateFormat=P","Fill=—","Direction=H","UseDPDF=Y")</f>
        <v>#NAME?</v>
      </c>
      <c r="CW157" s="4" t="e">
        <f ca="1">_xll.BDH($C$153,"ACCT_RCV_TURN","FQ4 2014","FQ4 2014","Currency=INR","Period=FQ","BEST_FPERIOD_OVERRIDE=FQ","FILING_STATUS=OR","EQY_CONSOLIDATED=Y","FA_ADJUSTED=GAAP","Sort=A","Dates=H","DateFormat=P","Fill=—","Direction=H","UseDPDF=Y")</f>
        <v>#NAME?</v>
      </c>
      <c r="CX157" s="2" t="e">
        <f ca="1">_xll.BDH($C$153,"ACCT_RCV_DAYS","FQ4 2014","FQ4 2014","Currency=INR","Period=FQ","BEST_FPERIOD_OVERRIDE=FQ","FILING_STATUS=OR","EQY_CONSOLIDATED=Y","FA_ADJUSTED=GAAP","Sort=A","Dates=H","DateFormat=P","Fill=—","Direction=H","UseDPDF=Y")</f>
        <v>#NAME?</v>
      </c>
      <c r="CY157" s="4" t="e">
        <f ca="1">_xll.BDH($C$153,"INVENT_TURN","FQ4 2014","FQ4 2014","Currency=INR","Period=FQ","BEST_FPERIOD_OVERRIDE=FQ","FILING_STATUS=OR","EQY_CONSOLIDATED=Y","FA_ADJUSTED=GAAP","Sort=A","Dates=H","DateFormat=P","Fill=—","Direction=H","UseDPDF=Y")</f>
        <v>#NAME?</v>
      </c>
      <c r="CZ157" s="2" t="e">
        <f ca="1">_xll.BDH($C$153,"INVENT_DAYS","FQ4 2014","FQ4 2014","Currency=INR","Period=FQ","BEST_FPERIOD_OVERRIDE=FQ","FILING_STATUS=OR","EQY_CONSOLIDATED=Y","FA_ADJUSTED=GAAP","Sort=A","Dates=H","DateFormat=P","Fill=—","Direction=H","UseDPDF=Y")</f>
        <v>#NAME?</v>
      </c>
      <c r="DA157" s="4" t="e">
        <f ca="1">_xll.BDH($C$153,"ACCOUNTS_PAYABLE_TURNOVER","FQ4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57" s="2" t="e">
        <f ca="1">_xll.BDH($C$153,"ACCOUNTS_PAYABLE_TURNOVER_DAYS","FQ4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57" s="4" t="e">
        <f ca="1">_xll.BDH($C$153,"CASH_CONVERSION_CYCLE","FQ4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57" s="4" t="e">
        <f ca="1">_xll.BDH($C$153,"INV_TO_CASH_DAYS","FQ4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157" s="5" t="e">
        <f ca="1">_xll.BDH($C$153,"BS_INVENTORIES","FQ4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157" s="3" t="e">
        <f ca="1">_xll.BDH($C$153,"INVTRY_RAW_MATERIALS","FQ4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57" s="3" t="e">
        <f ca="1">_xll.BDH($C$153,"INVTRY_IN_PROGRESS","FQ4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57" s="3" t="e">
        <f ca="1">_xll.BDH($C$153,"INVTRY_FINISHED_GOODS","FQ4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57" s="3" t="e">
        <f ca="1">_xll.BDH($C$153,"BS_OTHER_INV","FQ4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58" spans="1:113" x14ac:dyDescent="0.3">
      <c r="A158" s="6"/>
      <c r="B158" s="6"/>
      <c r="C158" s="6"/>
      <c r="D158" s="6" t="s">
        <v>82</v>
      </c>
      <c r="E158" t="s">
        <v>77</v>
      </c>
      <c r="F158" t="e">
        <f ca="1">_xll.BDH($C$153,"RETURN_COM_EQY","FY 2015","FY 2015","Currency=INR","Period=FY","BEST_FPERIOD_OVERRIDE=FY","FILING_STATUS=OR","EQY_CONSOLIDATED=Y","FA_ADJUSTED=GAAP","Sort=A","Dates=H","DateFormat=P","Fill=—","Direction=H","UseDPDF=Y")</f>
        <v>#NAME?</v>
      </c>
      <c r="G158" t="e">
        <f ca="1">_xll.BDH($C$153,"RETURN_ON_ASSET","FY 2015","FY 2015","Currency=INR","Period=FY","BEST_FPERIOD_OVERRIDE=FY","FILING_STATUS=OR","EQY_CONSOLIDATED=Y","FA_ADJUSTED=GAAP","Sort=A","Dates=H","DateFormat=P","Fill=—","Direction=H","UseDPDF=Y")</f>
        <v>#NAME?</v>
      </c>
      <c r="H158" t="e">
        <f ca="1">_xll.BDH($C$153,"RETURN_ON_CAP","FY 2015","FY 2015","Currency=INR","Period=FY","BEST_FPERIOD_OVERRIDE=FY","FILING_STATUS=OR","EQY_CONSOLIDATED=Y","FA_ADJUSTED=GAAP","Sort=A","Dates=H","DateFormat=P","Fill=—","Direction=H","UseDPDF=Y")</f>
        <v>#NAME?</v>
      </c>
      <c r="I158" t="e">
        <f ca="1">_xll.BDH($C$153,"RETURN_ON_INV_CAPITAL","FY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58" t="e">
        <f ca="1">_xll.BDH($C$153,"EBITDA_TO_REVENUE","FY 2015","FY 2015","Currency=INR","Period=FY","BEST_FPERIOD_OVERRIDE=FY","FILING_STATUS=OR","EQY_CONSOLIDATED=Y","FA_ADJUSTED=GAAP","Sort=A","Dates=H","DateFormat=P","Fill=—","Direction=H","UseDPDF=Y")</f>
        <v>#NAME?</v>
      </c>
      <c r="K158" t="e">
        <f ca="1">_xll.BDH($C$153,"OPER_MARGIN","FY 2015","FY 2015","Currency=INR","Period=FY","BEST_FPERIOD_OVERRIDE=FY","FILING_STATUS=OR","EQY_CONSOLIDATED=Y","FA_ADJUSTED=GAAP","Sort=A","Dates=H","DateFormat=P","Fill=—","Direction=H","UseDPDF=Y")</f>
        <v>#NAME?</v>
      </c>
      <c r="L158" t="e">
        <f ca="1">_xll.BDH($C$153,"INCREMENTAL_OPERATING_MARGIN","FY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58" t="e">
        <f ca="1">_xll.BDH($C$153,"PRETAX_INC_TO_NET_SALES","FY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58" t="e">
        <f ca="1">_xll.BDH($C$153,"INC_BEF_XO_ITEMS_TO_NET_SALES","FY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58" t="e">
        <f ca="1">_xll.BDH($C$153,"PROF_MARGIN","FY 2015","FY 2015","Currency=INR","Period=FY","BEST_FPERIOD_OVERRIDE=FY","FILING_STATUS=OR","EQY_CONSOLIDATED=Y","FA_ADJUSTED=GAAP","Sort=A","Dates=H","DateFormat=P","Fill=—","Direction=H","UseDPDF=Y")</f>
        <v>#NAME?</v>
      </c>
      <c r="P158" t="e">
        <f ca="1">_xll.BDH($C$153,"NET_INCOME_TO_COMMON_MARGIN","FY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58" t="e">
        <f ca="1">_xll.BDH($C$153,"EFF_TAX_RATE","FY 2015","FY 2015","Currency=INR","Period=FY","BEST_FPERIOD_OVERRIDE=FY","FILING_STATUS=OR","EQY_CONSOLIDATED=Y","FA_ADJUSTED=GAAP","Sort=A","Dates=H","DateFormat=P","Fill=—","Direction=H","UseDPDF=Y")</f>
        <v>#NAME?</v>
      </c>
      <c r="R158" t="e">
        <f ca="1">_xll.BDH($C$153,"DVD_PAYOUT_RATIO","FY 2015","FY 2015","Currency=INR","Period=FY","BEST_FPERIOD_OVERRIDE=FY","FILING_STATUS=OR","EQY_CONSOLIDATED=Y","FA_ADJUSTED=GAAP","Sort=A","Dates=H","DateFormat=P","Fill=—","Direction=H","UseDPDF=Y")</f>
        <v>#NAME?</v>
      </c>
      <c r="S158" t="e">
        <f ca="1">_xll.BDH($C$153,"SUSTAIN_GROWTH_RT","FY 2015","FY 2015","Currency=INR","Period=FY","BEST_FPERIOD_OVERRIDE=FY","FILING_STATUS=OR","EQY_CONSOLIDATED=Y","FA_ADJUSTED=GAAP","Sort=A","Dates=H","DateFormat=P","Fill=—","Direction=H","UseDPDF=Y")</f>
        <v>#NAME?</v>
      </c>
      <c r="T158" s="2" t="e">
        <f ca="1">_xll.BDH($C$153,"SALES_GROWTH","FY 2015","FY 2015","Currency=INR","Period=FY","BEST_FPERIOD_OVERRIDE=FY","FILING_STATUS=OR","EQY_CONSOLIDATED=Y","FA_ADJUSTED=GAAP","Sort=A","Dates=H","DateFormat=P","Fill=—","Direction=H","UseDPDF=Y")</f>
        <v>#NAME?</v>
      </c>
      <c r="U158" s="2" t="e">
        <f ca="1">_xll.BDH($C$153,"EBITDA_GROWTH","FY 2015","FY 2015","Currency=INR","Period=FY","BEST_FPERIOD_OVERRIDE=FY","FILING_STATUS=OR","EQY_CONSOLIDATED=Y","FA_ADJUSTED=GAAP","Sort=A","Dates=H","DateFormat=P","Fill=—","Direction=H","UseDPDF=Y")</f>
        <v>#NAME?</v>
      </c>
      <c r="V158" s="2" t="e">
        <f ca="1">_xll.BDH($C$153,"OPER_INC_GROWTH","FY 2015","FY 2015","Currency=INR","Period=FY","BEST_FPERIOD_OVERRIDE=FY","FILING_STATUS=OR","EQY_CONSOLIDATED=Y","FA_ADJUSTED=GAAP","Sort=A","Dates=H","DateFormat=P","Fill=—","Direction=H","UseDPDF=Y")</f>
        <v>#NAME?</v>
      </c>
      <c r="W158" s="2" t="e">
        <f ca="1">_xll.BDH($C$153,"EARN_FOR_COM_GROWTH","FY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158" s="2" t="e">
        <f ca="1">_xll.BDH($C$153,"DILUTED_EPS_AFT_XO_ITEMS_GROWTH","FY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58" s="2" t="e">
        <f ca="1">_xll.BDH($C$153,"DIVIDEND_PER_SHARE_1_YEAR_GROWTH","FY 2015","FY 2015","Currency=INR","Period=FY","BEST_FPERIOD_OVERRIDE=FY","FILING_STATUS=OR","EQY_CONSOLIDATED=Y","Sort=A","Dates=H","DateFormat=P","Fill=—","Direction=H","UseDPDF=Y")</f>
        <v>#NAME?</v>
      </c>
      <c r="Z158" s="2" t="e">
        <f ca="1">_xll.BDH($C$153,"ACCOUNTS_RECEIVABLE_GROWTH","FY 2015","FY 2015","Currency=INR","Period=FY","BEST_FPERIOD_OVERRIDE=FY","FILING_STATUS=OR","EQY_CONSOLIDATED=Y","Sort=A","Dates=H","DateFormat=P","Fill=—","Direction=H","UseDPDF=Y")</f>
        <v>#NAME?</v>
      </c>
      <c r="AA158" s="2" t="e">
        <f ca="1">_xll.BDH($C$153,"INVENTORY_GROWTH","FY 2015","FY 2015","Currency=INR","Period=FY","BEST_FPERIOD_OVERRIDE=FY","FILING_STATUS=OR","EQY_CONSOLIDATED=Y","Sort=A","Dates=H","DateFormat=P","Fill=—","Direction=H","UseDPDF=Y")</f>
        <v>#NAME?</v>
      </c>
      <c r="AB158" s="2" t="e">
        <f ca="1">_xll.BDH($C$153,"NET_FIXED_ASSETS_1_YEAR_GROWTH","FY 2015","FY 2015","Currency=INR","Period=FY","BEST_FPERIOD_OVERRIDE=FY","FILING_STATUS=OR","EQY_CONSOLIDATED=Y","Sort=A","Dates=H","DateFormat=P","Fill=—","Direction=H","UseDPDF=Y")</f>
        <v>#NAME?</v>
      </c>
      <c r="AC158" s="2" t="e">
        <f ca="1">_xll.BDH($C$153,"ASSET_GROWTH","FY 2015","FY 2015","Currency=INR","Period=FY","BEST_FPERIOD_OVERRIDE=FY","FILING_STATUS=OR","EQY_CONSOLIDATED=Y","Sort=A","Dates=H","DateFormat=P","Fill=—","Direction=H","UseDPDF=Y")</f>
        <v>#NAME?</v>
      </c>
      <c r="AD158" s="2" t="e">
        <f ca="1">_xll.BDH($C$153,"MODIFIED_WORK_CAP_GROWTH","FY 2015","FY 2015","Currency=INR","Period=FY","BEST_FPERIOD_OVERRIDE=FY","FILING_STATUS=OR","EQY_CONSOLIDATED=Y","Sort=A","Dates=H","DateFormat=P","Fill=—","Direction=H","UseDPDF=Y")</f>
        <v>#NAME?</v>
      </c>
      <c r="AE158" s="2" t="e">
        <f ca="1">_xll.BDH($C$153,"WORK_CAP_GROWTH","FY 2015","FY 2015","Currency=INR","Period=FY","BEST_FPERIOD_OVERRIDE=FY","FILING_STATUS=OR","EQY_CONSOLIDATED=Y","Sort=A","Dates=H","DateFormat=P","Fill=—","Direction=H","UseDPDF=Y")</f>
        <v>#NAME?</v>
      </c>
      <c r="AF158" s="2" t="e">
        <f ca="1">_xll.BDH($C$153,"ACCOUNTS_PAYABLE_GROWTH_1YR","FY 2015","FY 2015","Currency=INR","Period=FY","BEST_FPERIOD_OVERRIDE=FY","FILING_STATUS=OR","EQY_CONSOLIDATED=Y","Sort=A","Dates=H","DateFormat=P","Fill=—","Direction=H","UseDPDF=Y")</f>
        <v>#NAME?</v>
      </c>
      <c r="AG158" s="2" t="e">
        <f ca="1">_xll.BDH($C$153,"SHORT_TERM_DEBT_1_YEAR_GROWTH","FY 2015","FY 2015","Currency=INR","Period=FY","BEST_FPERIOD_OVERRIDE=FY","FILING_STATUS=OR","EQY_CONSOLIDATED=Y","Sort=A","Dates=H","DateFormat=P","Fill=—","Direction=H","UseDPDF=Y")</f>
        <v>#NAME?</v>
      </c>
      <c r="AH158" s="2" t="e">
        <f ca="1">_xll.BDH($C$153,"TOTAL_DEBT_1_YEAR_GROWTH","FY 2015","FY 2015","Currency=INR","Period=FY","BEST_FPERIOD_OVERRIDE=FY","FILING_STATUS=OR","EQY_CONSOLIDATED=Y","Sort=A","Dates=H","DateFormat=P","Fill=—","Direction=H","UseDPDF=Y")</f>
        <v>#NAME?</v>
      </c>
      <c r="AI158" s="2" t="e">
        <f ca="1">_xll.BDH($C$153,"TOTAL_EQUITY_1_YEAR_GROWTH","FY 2015","FY 2015","Currency=INR","Period=FY","BEST_FPERIOD_OVERRIDE=FY","FILING_STATUS=OR","EQY_CONSOLIDATED=Y","Sort=A","Dates=H","DateFormat=P","Fill=—","Direction=H","UseDPDF=Y")</f>
        <v>#NAME?</v>
      </c>
      <c r="AJ158" s="2" t="e">
        <f ca="1">_xll.BDH($C$153,"GROWTH_IN_CAP","FY 2015","FY 2015","Currency=INR","Period=FY","BEST_FPERIOD_OVERRIDE=FY","FILING_STATUS=OR","EQY_CONSOLIDATED=Y","Sort=A","Dates=H","DateFormat=P","Fill=—","Direction=H","UseDPDF=Y")</f>
        <v>#NAME?</v>
      </c>
      <c r="AK158" s="2" t="e">
        <f ca="1">_xll.BDH($C$153,"BVPS_GROWTH","FY 2015","FY 2015","Currency=INR","Period=FY","BEST_FPERIOD_OVERRIDE=FY","FILING_STATUS=OR","EQY_CONSOLIDATED=Y","Sort=A","Dates=H","DateFormat=P","Fill=—","Direction=H","UseDPDF=Y")</f>
        <v>#NAME?</v>
      </c>
      <c r="AL158" s="2" t="e">
        <f ca="1">_xll.BDH($C$153,"CASH_FLOW_GROWTH","FY 2015","FY 2015","Currency=INR","Period=FY","BEST_FPERIOD_OVERRIDE=FY","FILING_STATUS=OR","EQY_CONSOLIDATED=Y","Sort=A","Dates=H","DateFormat=P","Fill=—","Direction=H","UseDPDF=Y")</f>
        <v>#NAME?</v>
      </c>
      <c r="AM158" s="2" t="e">
        <f ca="1">_xll.BDH($C$153,"GEO_GROW_NET_SALES","FY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158" s="2" t="e">
        <f ca="1">_xll.BDH($C$153,"GEO_GROW_EBITDA","FY 2015","FY 2015","Currency=INR","Period=FY","BEST_FPERIOD_OVERRIDE=FY","FILING_STATUS=OR","EQY_CONSOLIDATED=Y","FA_ADJUSTED=GAAP","Sort=A","Dates=H","DateFormat=P","Fill=—","Direction=H","UseDPDF=Y")</f>
        <v>#NAME?</v>
      </c>
      <c r="AO158" s="2" t="e">
        <f ca="1">_xll.BDH($C$153,"GEO_GROW_OPER_INC","FY 2015","FY 2015","Currency=INR","Period=FY","BEST_FPERIOD_OVERRIDE=FY","FILING_STATUS=OR","EQY_CONSOLIDATED=Y","FA_ADJUSTED=GAAP","Sort=A","Dates=H","DateFormat=P","Fill=—","Direction=H","UseDPDF=Y")</f>
        <v>#NAME?</v>
      </c>
      <c r="AP158" s="2" t="e">
        <f ca="1">_xll.BDH($C$153,"NET_INCOME_TO_COMMON_5_YR_GROWTH","FY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58" s="2" t="e">
        <f ca="1">_xll.BDH($C$153,"5Y_GEO_GROWTH_DILUTED_EPS","FY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58" s="2" t="e">
        <f ca="1">_xll.BDH($C$153,"GEO_GROW_DVD_PER_SH","FY 2015","FY 2015","Currency=INR","Period=FY","BEST_FPERIOD_OVERRIDE=FY","FILING_STATUS=OR","EQY_CONSOLIDATED=Y","Sort=A","Dates=H","DateFormat=P","Fill=—","Direction=H","UseDPDF=Y")</f>
        <v>#NAME?</v>
      </c>
      <c r="AS158" s="2" t="e">
        <f ca="1">_xll.BDH($C$153,"ACCOUNTS_RECEIVABLE_5_YR_GROWTH","FY 2015","FY 2015","Currency=INR","Period=FY","BEST_FPERIOD_OVERRIDE=FY","FILING_STATUS=OR","EQY_CONSOLIDATED=Y","Sort=A","Dates=H","DateFormat=P","Fill=—","Direction=H","UseDPDF=Y")</f>
        <v>#NAME?</v>
      </c>
      <c r="AT158" s="2" t="e">
        <f ca="1">_xll.BDH($C$153,"INVENTORY_5_YEAR_GROWTH","FY 2015","FY 2015","Currency=INR","Period=FY","BEST_FPERIOD_OVERRIDE=FY","FILING_STATUS=OR","EQY_CONSOLIDATED=Y","Sort=A","Dates=H","DateFormat=P","Fill=—","Direction=H","UseDPDF=Y")</f>
        <v>#NAME?</v>
      </c>
      <c r="AU158" s="2" t="e">
        <f ca="1">_xll.BDH($C$153,"NET_FIXED_ASSETS_5_YEAR_GROWTH","FY 2015","FY 2015","Currency=INR","Period=FY","BEST_FPERIOD_OVERRIDE=FY","FILING_STATUS=OR","EQY_CONSOLIDATED=Y","Sort=A","Dates=H","DateFormat=P","Fill=—","Direction=H","UseDPDF=Y")</f>
        <v>#NAME?</v>
      </c>
      <c r="AV158" s="2" t="e">
        <f ca="1">_xll.BDH($C$153,"GEO_GROW_TOT_ASSET","FY 2015","FY 2015","Currency=INR","Period=FY","BEST_FPERIOD_OVERRIDE=FY","FILING_STATUS=OR","EQY_CONSOLIDATED=Y","Sort=A","Dates=H","DateFormat=P","Fill=—","Direction=H","UseDPDF=Y")</f>
        <v>#NAME?</v>
      </c>
      <c r="AW158" s="2" t="e">
        <f ca="1">_xll.BDH($C$153,"MODIFIED_WORKING_CPTL_5YR_GRWTH","FY 2015","FY 2015","Currency=INR","Period=FY","BEST_FPERIOD_OVERRIDE=FY","FILING_STATUS=OR","EQY_CONSOLIDATED=Y","Sort=A","Dates=H","DateFormat=P","Fill=—","Direction=H","UseDPDF=Y")</f>
        <v>#NAME?</v>
      </c>
      <c r="AX158" s="2" t="e">
        <f ca="1">_xll.BDH($C$153,"WORKING_CAPITAL_5_YEAR_GROWTH","FY 2015","FY 2015","Currency=INR","Period=FY","BEST_FPERIOD_OVERRIDE=FY","FILING_STATUS=OR","EQY_CONSOLIDATED=Y","Sort=A","Dates=H","DateFormat=P","Fill=—","Direction=H","UseDPDF=Y")</f>
        <v>#NAME?</v>
      </c>
      <c r="AY158" s="2" t="e">
        <f ca="1">_xll.BDH($C$153,"ACCOUNTS_PAYABLE_5_YEAR_GROWTH","FY 2015","FY 2015","Currency=INR","Period=FY","BEST_FPERIOD_OVERRIDE=FY","FILING_STATUS=OR","EQY_CONSOLIDATED=Y","Sort=A","Dates=H","DateFormat=P","Fill=—","Direction=H","UseDPDF=Y")</f>
        <v>#NAME?</v>
      </c>
      <c r="AZ158" s="2" t="e">
        <f ca="1">_xll.BDH($C$153,"SHORT_TERM_DEBT_5_YEAR_GROWTH","FY 2015","FY 2015","Currency=INR","Period=FY","BEST_FPERIOD_OVERRIDE=FY","FILING_STATUS=OR","EQY_CONSOLIDATED=Y","Sort=A","Dates=H","DateFormat=P","Fill=—","Direction=H","UseDPDF=Y")</f>
        <v>#NAME?</v>
      </c>
      <c r="BA158" s="2" t="e">
        <f ca="1">_xll.BDH($C$153,"TOTAL_DEBT_5_YEAR_GROWTH","FY 2015","FY 2015","Currency=INR","Period=FY","BEST_FPERIOD_OVERRIDE=FY","FILING_STATUS=OR","EQY_CONSOLIDATED=Y","Sort=A","Dates=H","DateFormat=P","Fill=—","Direction=H","UseDPDF=Y")</f>
        <v>#NAME?</v>
      </c>
      <c r="BB158" s="2" t="e">
        <f ca="1">_xll.BDH($C$153,"GEO_GROW_TOT_SHRHLDR_EQY","FY 2015","FY 2015","Currency=INR","Period=FY","BEST_FPERIOD_OVERRIDE=FY","FILING_STATUS=OR","EQY_CONSOLIDATED=Y","Sort=A","Dates=H","DateFormat=P","Fill=—","Direction=H","UseDPDF=Y")</f>
        <v>#NAME?</v>
      </c>
      <c r="BC158" s="2" t="e">
        <f ca="1">_xll.BDH($C$153,"TOTAL_CAPITAL_5_YEAR_GROWTH","FY 2015","FY 2015","Currency=INR","Period=FY","BEST_FPERIOD_OVERRIDE=FY","FILING_STATUS=OR","EQY_CONSOLIDATED=Y","Sort=A","Dates=H","DateFormat=P","Fill=—","Direction=H","UseDPDF=Y")</f>
        <v>#NAME?</v>
      </c>
      <c r="BD158" s="2" t="e">
        <f ca="1">_xll.BDH($C$153,"GEO_GROW_BOOK_VAL","FY 2015","FY 2015","Currency=INR","Period=FY","BEST_FPERIOD_OVERRIDE=FY","FILING_STATUS=OR","EQY_CONSOLIDATED=Y","Sort=A","Dates=H","DateFormat=P","Fill=—","Direction=H","UseDPDF=Y")</f>
        <v>#NAME?</v>
      </c>
      <c r="BE158" s="2" t="e">
        <f ca="1">_xll.BDH($C$153,"GEO_GROW_CASH_OPER_ACT","FY 2015","FY 2015","Currency=INR","Period=FY","BEST_FPERIOD_OVERRIDE=FY","FILING_STATUS=OR","EQY_CONSOLIDATED=Y","Sort=A","Dates=H","DateFormat=P","Fill=—","Direction=H","UseDPDF=Y")</f>
        <v>#NAME?</v>
      </c>
      <c r="BF158" s="2" t="e">
        <f ca="1">_xll.BDH($C$153,"REVENUE_SEQUENTIAL_GROWTH","FY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58" s="2" t="e">
        <f ca="1">_xll.BDH($C$153,"EBITDA_SEQUENTIAL_GROWTH","FY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58" s="2" t="e">
        <f ca="1">_xll.BDH($C$153,"OPERATING_INCOME_SEQ_GROWTH","FY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58" s="2" t="e">
        <f ca="1">_xll.BDH($C$153,"NET_INCOME_TO_COMMON_SEQ_GROWTH","FY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58" s="2" t="e">
        <f ca="1">_xll.BDH($C$153,"EPS_DILUTED_SEQUENTIAL_GROWTH","FY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58" s="2" t="e">
        <f ca="1">_xll.BDH($C$153,"DPS_SEQUENTIAL_GROWTH","FY 2015","FY 2015","Currency=INR","Period=FY","BEST_FPERIOD_OVERRIDE=FY","FILING_STATUS=OR","EQY_CONSOLIDATED=Y","Sort=A","Dates=H","DateFormat=P","Fill=—","Direction=H","UseDPDF=Y")</f>
        <v>#NAME?</v>
      </c>
      <c r="BL158" s="2" t="e">
        <f ca="1">_xll.BDH($C$153,"ACCOUNTS_RECEIVABLE_SEQ_GROWTH","FY 2015","FY 2015","Currency=INR","Period=FY","BEST_FPERIOD_OVERRIDE=FY","FILING_STATUS=OR","EQY_CONSOLIDATED=Y","Sort=A","Dates=H","DateFormat=P","Fill=—","Direction=H","UseDPDF=Y")</f>
        <v>#NAME?</v>
      </c>
      <c r="BM158" s="2" t="e">
        <f ca="1">_xll.BDH($C$153,"INVENTORY_SEQUENTIAL_GROWTH","FY 2015","FY 2015","Currency=INR","Period=FY","BEST_FPERIOD_OVERRIDE=FY","FILING_STATUS=OR","EQY_CONSOLIDATED=Y","Sort=A","Dates=H","DateFormat=P","Fill=—","Direction=H","UseDPDF=Y")</f>
        <v>#NAME?</v>
      </c>
      <c r="BN158" s="2" t="e">
        <f ca="1">_xll.BDH($C$153,"FIXED_ASSETS_SEQUENTIAL_GROWTH","FY 2015","FY 2015","Currency=INR","Period=FY","BEST_FPERIOD_OVERRIDE=FY","FILING_STATUS=OR","EQY_CONSOLIDATED=Y","Sort=A","Dates=H","DateFormat=P","Fill=—","Direction=H","UseDPDF=Y")</f>
        <v>#NAME?</v>
      </c>
      <c r="BO158" s="2" t="e">
        <f ca="1">_xll.BDH($C$153,"TOTAL_ASSETS_SEQUENTIAL_GROWTH","FY 2015","FY 2015","Currency=INR","Period=FY","BEST_FPERIOD_OVERRIDE=FY","FILING_STATUS=OR","EQY_CONSOLIDATED=Y","Sort=A","Dates=H","DateFormat=P","Fill=—","Direction=H","UseDPDF=Y")</f>
        <v>#NAME?</v>
      </c>
      <c r="BP158" s="2" t="e">
        <f ca="1">_xll.BDH($C$153,"MODIFIED_WORKING_CPTL_SEQ_GRWTH","FY 2015","FY 2015","Currency=INR","Period=FY","BEST_FPERIOD_OVERRIDE=FY","FILING_STATUS=OR","EQY_CONSOLIDATED=Y","Sort=A","Dates=H","DateFormat=P","Fill=—","Direction=H","UseDPDF=Y")</f>
        <v>#NAME?</v>
      </c>
      <c r="BQ158" s="2" t="e">
        <f ca="1">_xll.BDH($C$153,"WORKING_CAPITAL_SEQ_GROWTH","FY 2015","FY 2015","Currency=INR","Period=FY","BEST_FPERIOD_OVERRIDE=FY","FILING_STATUS=OR","EQY_CONSOLIDATED=Y","Sort=A","Dates=H","DateFormat=P","Fill=—","Direction=H","UseDPDF=Y")</f>
        <v>#NAME?</v>
      </c>
      <c r="BR158" s="2" t="e">
        <f ca="1">_xll.BDH($C$153,"ACCOUNTS_PAYABLE_SEQ_GROWTH","FY 2015","FY 2015","Currency=INR","Period=FY","BEST_FPERIOD_OVERRIDE=FY","FILING_STATUS=OR","EQY_CONSOLIDATED=Y","Sort=A","Dates=H","DateFormat=P","Fill=—","Direction=H","UseDPDF=Y")</f>
        <v>#NAME?</v>
      </c>
      <c r="BS158" s="2" t="e">
        <f ca="1">_xll.BDH($C$153,"ST_DEBT_SEQUENTIAL_GROWTH","FY 2015","FY 2015","Currency=INR","Period=FY","BEST_FPERIOD_OVERRIDE=FY","FILING_STATUS=OR","EQY_CONSOLIDATED=Y","Sort=A","Dates=H","DateFormat=P","Fill=—","Direction=H","UseDPDF=Y")</f>
        <v>#NAME?</v>
      </c>
      <c r="BT158" s="2" t="e">
        <f ca="1">_xll.BDH($C$153,"TOTAL_DEBT_SEQUENTIAL_GROWTH","FY 2015","FY 2015","Currency=INR","Period=FY","BEST_FPERIOD_OVERRIDE=FY","FILING_STATUS=OR","EQY_CONSOLIDATED=Y","Sort=A","Dates=H","DateFormat=P","Fill=—","Direction=H","UseDPDF=Y")</f>
        <v>#NAME?</v>
      </c>
      <c r="BU158" s="2" t="e">
        <f ca="1">_xll.BDH($C$153,"TOTAL_EQUITY_SEQUENTIAL_GROWTH","FY 2015","FY 2015","Currency=INR","Period=FY","BEST_FPERIOD_OVERRIDE=FY","FILING_STATUS=OR","EQY_CONSOLIDATED=Y","Sort=A","Dates=H","DateFormat=P","Fill=—","Direction=H","UseDPDF=Y")</f>
        <v>#NAME?</v>
      </c>
      <c r="BV158" s="2" t="e">
        <f ca="1">_xll.BDH($C$153,"TOTAL_CAPITAL_SEQUENTIAL_GROWTH","FY 2015","FY 2015","Currency=INR","Period=FY","BEST_FPERIOD_OVERRIDE=FY","FILING_STATUS=OR","EQY_CONSOLIDATED=Y","Sort=A","Dates=H","DateFormat=P","Fill=—","Direction=H","UseDPDF=Y")</f>
        <v>#NAME?</v>
      </c>
      <c r="BW158" s="2" t="e">
        <f ca="1">_xll.BDH($C$153,"BPS_SEQUENTIAL_GROWTH","FY 2015","FY 2015","Currency=INR","Period=FY","BEST_FPERIOD_OVERRIDE=FY","FILING_STATUS=OR","EQY_CONSOLIDATED=Y","Sort=A","Dates=H","DateFormat=P","Fill=—","Direction=H","UseDPDF=Y")</f>
        <v>#NAME?</v>
      </c>
      <c r="BX158" s="2" t="e">
        <f ca="1">_xll.BDH($C$153,"CFO_SEQUENTIAL_GROWTH","FY 2015","FY 2015","Currency=INR","Period=FY","BEST_FPERIOD_OVERRIDE=FY","FILING_STATUS=OR","EQY_CONSOLIDATED=Y","Sort=A","Dates=H","DateFormat=P","Fill=—","Direction=H","UseDPDF=Y")</f>
        <v>#NAME?</v>
      </c>
      <c r="BY158" s="3" t="e">
        <f ca="1">_xll.BDH($C$153,"SHORT_AND_LONG_TERM_DEBT","FY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58" s="3" t="e">
        <f ca="1">_xll.BDH($C$153,"BS_ST_BORROW","FY 2015","FY 2015","Currency=INR","Period=FY","BEST_FPERIOD_OVERRIDE=FY","FILING_STATUS=OR","EQY_CONSOLIDATED=Y","SCALING_FORMAT=MLN","Sort=A","Dates=H","DateFormat=P","Fill=—","Direction=H","UseDPDF=Y")</f>
        <v>#NAME?</v>
      </c>
      <c r="CA158" s="3" t="e">
        <f ca="1">_xll.BDH($C$153,"BS_LT_BORROW","FY 2015","FY 2015","Currency=INR","Period=FY","BEST_FPERIOD_OVERRIDE=FY","FILING_STATUS=OR","EQY_CONSOLIDATED=Y","SCALING_FORMAT=MLN","Sort=A","Dates=H","DateFormat=P","Fill=—","Direction=H","UseDPDF=Y")</f>
        <v>#NAME?</v>
      </c>
      <c r="CB158" s="2" t="e">
        <f ca="1">_xll.BDH($C$153,"TOT_DEBT_TO_EBITDA","FY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158" s="2" t="e">
        <f ca="1">_xll.BDH($C$153,"NET_DEBT_TO_EBITDA","FY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158" s="2" t="e">
        <f ca="1">_xll.BDH($C$153,"TOTAL_DEBT_TO_EBIT","FY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158" s="2" t="e">
        <f ca="1">_xll.BDH($C$153,"NET_DEBT_TO_EBIT","FY 2015","FY 2015","Currency=INR","Period=FY","BEST_FPERIOD_OVERRIDE=FY","FILING_STATUS=OR","EQY_CONSOLIDATED=Y","FA_ADJUSTED=GAAP","Sort=A","Dates=H","DateFormat=P","Fill=—","Direction=H","UseDPDF=Y")</f>
        <v>#NAME?</v>
      </c>
      <c r="CF158" s="2" t="e">
        <f ca="1">_xll.BDH($C$153,"EBITDA_TO_INTEREST_EXPN","FY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58" s="2" t="e">
        <f ca="1">_xll.BDH($C$153,"COM_EQY_TO_TOT_ASSET","FY 2015","FY 2015","Currency=INR","Period=FY","BEST_FPERIOD_OVERRIDE=FY","FILING_STATUS=OR","EQY_CONSOLIDATED=Y","Sort=A","Dates=H","DateFormat=P","Fill=—","Direction=H","UseDPDF=Y")</f>
        <v>#NAME?</v>
      </c>
      <c r="CH158" s="2" t="e">
        <f ca="1">_xll.BDH($C$153,"LT_DEBT_TO_TOT_EQY","FY 2015","FY 2015","Currency=INR","Period=FY","BEST_FPERIOD_OVERRIDE=FY","FILING_STATUS=OR","EQY_CONSOLIDATED=Y","Sort=A","Dates=H","DateFormat=P","Fill=—","Direction=H","UseDPDF=Y")</f>
        <v>#NAME?</v>
      </c>
      <c r="CI158" s="2" t="e">
        <f ca="1">_xll.BDH($C$153,"LT_DEBT_TO_TOT_CAP","FY 2015","FY 2015","Currency=INR","Period=FY","BEST_FPERIOD_OVERRIDE=FY","FILING_STATUS=OR","EQY_CONSOLIDATED=Y","Sort=A","Dates=H","DateFormat=P","Fill=—","Direction=H","UseDPDF=Y")</f>
        <v>#NAME?</v>
      </c>
      <c r="CJ158" s="2" t="e">
        <f ca="1">_xll.BDH($C$153,"LT_DEBT_TO_TOT_ASSET","FY 2015","FY 2015","Currency=INR","Period=FY","BEST_FPERIOD_OVERRIDE=FY","FILING_STATUS=OR","EQY_CONSOLIDATED=Y","Sort=A","Dates=H","DateFormat=P","Fill=—","Direction=H","UseDPDF=Y")</f>
        <v>#NAME?</v>
      </c>
      <c r="CK158" s="2" t="e">
        <f ca="1">_xll.BDH($C$153,"TOT_DEBT_TO_TOT_EQY","FY 2015","FY 2015","Currency=INR","Period=FY","BEST_FPERIOD_OVERRIDE=FY","FILING_STATUS=OR","EQY_CONSOLIDATED=Y","Sort=A","Dates=H","DateFormat=P","Fill=—","Direction=H","UseDPDF=Y")</f>
        <v>#NAME?</v>
      </c>
      <c r="CL158" s="2" t="e">
        <f ca="1">_xll.BDH($C$153,"TOT_DEBT_TO_TOT_CAP","FY 2015","FY 2015","Currency=INR","Period=FY","BEST_FPERIOD_OVERRIDE=FY","FILING_STATUS=OR","EQY_CONSOLIDATED=Y","Sort=A","Dates=H","DateFormat=P","Fill=—","Direction=H","UseDPDF=Y")</f>
        <v>#NAME?</v>
      </c>
      <c r="CM158" s="2" t="e">
        <f ca="1">_xll.BDH($C$153,"TOT_DEBT_TO_TOT_ASSET","FY 2015","FY 2015","Currency=INR","Period=FY","BEST_FPERIOD_OVERRIDE=FY","FILING_STATUS=OR","EQY_CONSOLIDATED=Y","Sort=A","Dates=H","DateFormat=P","Fill=—","Direction=H","UseDPDF=Y")</f>
        <v>#NAME?</v>
      </c>
      <c r="CN158" s="2" t="e">
        <f ca="1">_xll.BDH($C$153,"NET_DEBT_TO_SHRHLDR_EQTY","FY 2015","FY 2015","Currency=INR","Period=FY","BEST_FPERIOD_OVERRIDE=FY","FILING_STATUS=OR","EQY_CONSOLIDATED=Y","Sort=A","Dates=H","DateFormat=P","Fill=—","Direction=H","UseDPDF=Y")</f>
        <v>#NAME?</v>
      </c>
      <c r="CO158" s="2" t="e">
        <f ca="1">_xll.BDH($C$153,"NET_DEBT_%_CAPITAL","FY 2015","FY 2015","Currency=INR","Period=FY","BEST_FPERIOD_OVERRIDE=FY","FILING_STATUS=OR","EQY_CONSOLIDATED=Y","Sort=A","Dates=H","DateFormat=P","Fill=—","Direction=H","UseDPDF=Y")</f>
        <v>#NAME?</v>
      </c>
      <c r="CP158" s="3" t="e">
        <f ca="1">_xll.BDH($C$153,"EBITDA","FY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58" s="3" t="e">
        <f ca="1">_xll.BDH($C$153,"EBITDA_AFTER_CAPEX","FY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58" s="3" t="e">
        <f ca="1">_xll.BDH($C$153,"IS_OPER_INC","FY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58" s="2" t="e">
        <f ca="1">_xll.BDH($C$153,"CASH_RATIO","FY 2015","FY 2015","Currency=INR","Period=FY","BEST_FPERIOD_OVERRIDE=FY","FILING_STATUS=OR","EQY_CONSOLIDATED=Y","Sort=A","Dates=H","DateFormat=P","Fill=—","Direction=H","UseDPDF=Y")</f>
        <v>#NAME?</v>
      </c>
      <c r="CT158" s="2" t="e">
        <f ca="1">_xll.BDH($C$153,"CUR_RATIO","FY 2015","FY 2015","Currency=INR","Period=FY","BEST_FPERIOD_OVERRIDE=FY","FILING_STATUS=OR","EQY_CONSOLIDATED=Y","Sort=A","Dates=H","DateFormat=P","Fill=—","Direction=H","UseDPDF=Y")</f>
        <v>#NAME?</v>
      </c>
      <c r="CU158" s="2" t="e">
        <f ca="1">_xll.BDH($C$153,"QUICK_RATIO","FY 2015","FY 2015","Currency=INR","Period=FY","BEST_FPERIOD_OVERRIDE=FY","FILING_STATUS=OR","EQY_CONSOLIDATED=Y","Sort=A","Dates=H","DateFormat=P","Fill=—","Direction=H","UseDPDF=Y")</f>
        <v>#NAME?</v>
      </c>
      <c r="CV158" s="2" t="e">
        <f ca="1">_xll.BDH($C$153,"ALTMAN_Z_SCORE","FY 2015","FY 2015","Currency=INR","Period=FY","BEST_FPERIOD_OVERRIDE=FY","FILING_STATUS=OR","EQY_CONSOLIDATED=Y","Sort=A","Dates=H","DateFormat=P","Fill=—","Direction=H","UseDPDF=Y")</f>
        <v>#NAME?</v>
      </c>
      <c r="CW158" s="4" t="e">
        <f ca="1">_xll.BDH($C$153,"ACCT_RCV_TURN","FY 2015","FY 2015","Currency=INR","Period=FY","BEST_FPERIOD_OVERRIDE=FY","FILING_STATUS=OR","EQY_CONSOLIDATED=Y","FA_ADJUSTED=GAAP","Sort=A","Dates=H","DateFormat=P","Fill=—","Direction=H","UseDPDF=Y")</f>
        <v>#NAME?</v>
      </c>
      <c r="CX158" s="2" t="e">
        <f ca="1">_xll.BDH($C$153,"ACCT_RCV_DAYS","FY 2015","FY 2015","Currency=INR","Period=FY","BEST_FPERIOD_OVERRIDE=FY","FILING_STATUS=OR","EQY_CONSOLIDATED=Y","FA_ADJUSTED=GAAP","Sort=A","Dates=H","DateFormat=P","Fill=—","Direction=H","UseDPDF=Y")</f>
        <v>#NAME?</v>
      </c>
      <c r="CY158" s="4" t="e">
        <f ca="1">_xll.BDH($C$153,"INVENT_TURN","FY 2015","FY 2015","Currency=INR","Period=FY","BEST_FPERIOD_OVERRIDE=FY","FILING_STATUS=OR","EQY_CONSOLIDATED=Y","FA_ADJUSTED=GAAP","Sort=A","Dates=H","DateFormat=P","Fill=—","Direction=H","UseDPDF=Y")</f>
        <v>#NAME?</v>
      </c>
      <c r="CZ158" s="2" t="e">
        <f ca="1">_xll.BDH($C$153,"INVENT_DAYS","FY 2015","FY 2015","Currency=INR","Period=FY","BEST_FPERIOD_OVERRIDE=FY","FILING_STATUS=OR","EQY_CONSOLIDATED=Y","FA_ADJUSTED=GAAP","Sort=A","Dates=H","DateFormat=P","Fill=—","Direction=H","UseDPDF=Y")</f>
        <v>#NAME?</v>
      </c>
      <c r="DA158" s="4" t="e">
        <f ca="1">_xll.BDH($C$153,"ACCOUNTS_PAYABLE_TURNOVER","FY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58" s="2" t="e">
        <f ca="1">_xll.BDH($C$153,"ACCOUNTS_PAYABLE_TURNOVER_DAYS","FY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58" s="4" t="e">
        <f ca="1">_xll.BDH($C$153,"CASH_CONVERSION_CYCLE","FY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58" s="4" t="e">
        <f ca="1">_xll.BDH($C$153,"INV_TO_CASH_DAYS","FY 2015","FY 2015","Currency=INR","Period=FY","BEST_FPERIOD_OVERRIDE=FY","FILING_STATUS=OR","EQY_CONSOLIDATED=Y","FA_ADJUSTED=GAAP","Sort=A","Dates=H","DateFormat=P","Fill=—","Direction=H","UseDPDF=Y")</f>
        <v>#NAME?</v>
      </c>
      <c r="DE158" s="5" t="e">
        <f ca="1">_xll.BDH($C$153,"BS_INVENTORIES","FY 2015","FY 2015","Currency=INR","Period=FY","BEST_FPERIOD_OVERRIDE=FY","FILING_STATUS=OR","EQY_CONSOLIDATED=Y","SCALING_FORMAT=MLN","Sort=A","Dates=H","DateFormat=P","Fill=—","Direction=H","UseDPDF=Y")</f>
        <v>#NAME?</v>
      </c>
      <c r="DF158" s="3" t="e">
        <f ca="1">_xll.BDH($C$153,"INVTRY_RAW_MATERIALS","FY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58" s="3" t="e">
        <f ca="1">_xll.BDH($C$153,"INVTRY_IN_PROGRESS","FY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58" s="3" t="e">
        <f ca="1">_xll.BDH($C$153,"INVTRY_FINISHED_GOODS","FY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58" s="3" t="e">
        <f ca="1">_xll.BDH($C$153,"BS_OTHER_INV","FY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59" spans="1:113" x14ac:dyDescent="0.3">
      <c r="A159" s="6"/>
      <c r="B159" s="6"/>
      <c r="C159" s="6"/>
      <c r="D159" s="6"/>
      <c r="E159" t="s">
        <v>78</v>
      </c>
      <c r="F159" t="e">
        <f ca="1">_xll.BDH($C$153,"RETURN_COM_EQY","FQ1 2015","FQ1 2015","Currency=INR","Period=FQ","BEST_FPERIOD_OVERRIDE=FQ","FILING_STATUS=OR","EQY_CONSOLIDATED=Y","FA_ADJUSTED=GAAP","Sort=A","Dates=H","DateFormat=P","Fill=—","Direction=H","UseDPDF=Y")</f>
        <v>#NAME?</v>
      </c>
      <c r="G159" t="e">
        <f ca="1">_xll.BDH($C$153,"RETURN_ON_ASSET","FQ1 2015","FQ1 2015","Currency=INR","Period=FQ","BEST_FPERIOD_OVERRIDE=FQ","FILING_STATUS=OR","EQY_CONSOLIDATED=Y","FA_ADJUSTED=GAAP","Sort=A","Dates=H","DateFormat=P","Fill=—","Direction=H","UseDPDF=Y")</f>
        <v>#NAME?</v>
      </c>
      <c r="H159" t="e">
        <f ca="1">_xll.BDH($C$153,"RETURN_ON_CAP","FQ1 2015","FQ1 2015","Currency=INR","Period=FQ","BEST_FPERIOD_OVERRIDE=FQ","FILING_STATUS=OR","EQY_CONSOLIDATED=Y","FA_ADJUSTED=GAAP","Sort=A","Dates=H","DateFormat=P","Fill=—","Direction=H","UseDPDF=Y")</f>
        <v>#NAME?</v>
      </c>
      <c r="I159" t="e">
        <f ca="1">_xll.BDH($C$153,"RETURN_ON_INV_CAPITAL","FQ1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59" t="e">
        <f ca="1">_xll.BDH($C$153,"EBITDA_TO_REVENUE","FQ1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159" t="e">
        <f ca="1">_xll.BDH($C$153,"OPER_MARGIN","FQ1 2015","FQ1 2015","Currency=INR","Period=FQ","BEST_FPERIOD_OVERRIDE=FQ","FILING_STATUS=OR","EQY_CONSOLIDATED=Y","FA_ADJUSTED=GAAP","Sort=A","Dates=H","DateFormat=P","Fill=—","Direction=H","UseDPDF=Y")</f>
        <v>#NAME?</v>
      </c>
      <c r="L159" t="e">
        <f ca="1">_xll.BDH($C$153,"INCREMENTAL_OPERATING_MARGIN","FQ1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59" t="e">
        <f ca="1">_xll.BDH($C$153,"PRETAX_INC_TO_NET_SALES","FQ1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59" t="e">
        <f ca="1">_xll.BDH($C$153,"INC_BEF_XO_ITEMS_TO_NET_SALES","FQ1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59" t="e">
        <f ca="1">_xll.BDH($C$153,"PROF_MARGIN","FQ1 2015","FQ1 2015","Currency=INR","Period=FQ","BEST_FPERIOD_OVERRIDE=FQ","FILING_STATUS=OR","EQY_CONSOLIDATED=Y","FA_ADJUSTED=GAAP","Sort=A","Dates=H","DateFormat=P","Fill=—","Direction=H","UseDPDF=Y")</f>
        <v>#NAME?</v>
      </c>
      <c r="P159" t="e">
        <f ca="1">_xll.BDH($C$153,"NET_INCOME_TO_COMMON_MARGIN","FQ1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59" t="e">
        <f ca="1">_xll.BDH($C$153,"EFF_TAX_RATE","FQ1 2015","FQ1 2015","Currency=INR","Period=FQ","BEST_FPERIOD_OVERRIDE=FQ","FILING_STATUS=OR","EQY_CONSOLIDATED=Y","FA_ADJUSTED=GAAP","Sort=A","Dates=H","DateFormat=P","Fill=—","Direction=H","UseDPDF=Y")</f>
        <v>#NAME?</v>
      </c>
      <c r="R159" t="e">
        <f ca="1">_xll.BDH($C$153,"DVD_PAYOUT_RATIO","FQ1 2015","FQ1 2015","Currency=INR","Period=FQ","BEST_FPERIOD_OVERRIDE=FQ","FILING_STATUS=OR","EQY_CONSOLIDATED=Y","FA_ADJUSTED=GAAP","Sort=A","Dates=H","DateFormat=P","Fill=—","Direction=H","UseDPDF=Y")</f>
        <v>#NAME?</v>
      </c>
      <c r="S159" t="e">
        <f ca="1">_xll.BDH($C$153,"SUSTAIN_GROWTH_RT","FQ1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159" s="2" t="e">
        <f ca="1">_xll.BDH($C$153,"SALES_GROWTH","FQ1 2015","FQ1 2015","Currency=INR","Period=FQ","BEST_FPERIOD_OVERRIDE=FQ","FILING_STATUS=OR","EQY_CONSOLIDATED=Y","FA_ADJUSTED=GAAP","Sort=A","Dates=H","DateFormat=P","Fill=—","Direction=H","UseDPDF=Y")</f>
        <v>#NAME?</v>
      </c>
      <c r="U159" s="2" t="e">
        <f ca="1">_xll.BDH($C$153,"EBITDA_GROWTH","FQ1 2015","FQ1 2015","Currency=INR","Period=FQ","BEST_FPERIOD_OVERRIDE=FQ","FILING_STATUS=OR","EQY_CONSOLIDATED=Y","FA_ADJUSTED=GAAP","Sort=A","Dates=H","DateFormat=P","Fill=—","Direction=H","UseDPDF=Y")</f>
        <v>#NAME?</v>
      </c>
      <c r="V159" s="2" t="e">
        <f ca="1">_xll.BDH($C$153,"OPER_INC_GROWTH","FQ1 2015","FQ1 2015","Currency=INR","Period=FQ","BEST_FPERIOD_OVERRIDE=FQ","FILING_STATUS=OR","EQY_CONSOLIDATED=Y","FA_ADJUSTED=GAAP","Sort=A","Dates=H","DateFormat=P","Fill=—","Direction=H","UseDPDF=Y")</f>
        <v>#NAME?</v>
      </c>
      <c r="W159" s="2" t="e">
        <f ca="1">_xll.BDH($C$153,"EARN_FOR_COM_GROWTH","FQ1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59" s="2" t="e">
        <f ca="1">_xll.BDH($C$153,"DILUTED_EPS_AFT_XO_ITEMS_GROWTH","FQ1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59" s="2" t="e">
        <f ca="1">_xll.BDH($C$153,"DIVIDEND_PER_SHARE_1_YEAR_GROWTH","FQ1 2015","FQ1 2015","Currency=INR","Period=FQ","BEST_FPERIOD_OVERRIDE=FQ","FILING_STATUS=OR","EQY_CONSOLIDATED=Y","Sort=A","Dates=H","DateFormat=P","Fill=—","Direction=H","UseDPDF=Y")</f>
        <v>#NAME?</v>
      </c>
      <c r="Z159" s="2" t="e">
        <f ca="1">_xll.BDH($C$153,"ACCOUNTS_RECEIVABLE_GROWTH","FQ1 2015","FQ1 2015","Currency=INR","Period=FQ","BEST_FPERIOD_OVERRIDE=FQ","FILING_STATUS=OR","EQY_CONSOLIDATED=Y","Sort=A","Dates=H","DateFormat=P","Fill=—","Direction=H","UseDPDF=Y")</f>
        <v>#NAME?</v>
      </c>
      <c r="AA159" s="2" t="e">
        <f ca="1">_xll.BDH($C$153,"INVENTORY_GROWTH","FQ1 2015","FQ1 2015","Currency=INR","Period=FQ","BEST_FPERIOD_OVERRIDE=FQ","FILING_STATUS=OR","EQY_CONSOLIDATED=Y","Sort=A","Dates=H","DateFormat=P","Fill=—","Direction=H","UseDPDF=Y")</f>
        <v>#NAME?</v>
      </c>
      <c r="AB159" s="2" t="e">
        <f ca="1">_xll.BDH($C$153,"NET_FIXED_ASSETS_1_YEAR_GROWTH","FQ1 2015","FQ1 2015","Currency=INR","Period=FQ","BEST_FPERIOD_OVERRIDE=FQ","FILING_STATUS=OR","EQY_CONSOLIDATED=Y","Sort=A","Dates=H","DateFormat=P","Fill=—","Direction=H","UseDPDF=Y")</f>
        <v>#NAME?</v>
      </c>
      <c r="AC159" s="2" t="e">
        <f ca="1">_xll.BDH($C$153,"ASSET_GROWTH","FQ1 2015","FQ1 2015","Currency=INR","Period=FQ","BEST_FPERIOD_OVERRIDE=FQ","FILING_STATUS=OR","EQY_CONSOLIDATED=Y","Sort=A","Dates=H","DateFormat=P","Fill=—","Direction=H","UseDPDF=Y")</f>
        <v>#NAME?</v>
      </c>
      <c r="AD159" s="2" t="e">
        <f ca="1">_xll.BDH($C$153,"MODIFIED_WORK_CAP_GROWTH","FQ1 2015","FQ1 2015","Currency=INR","Period=FQ","BEST_FPERIOD_OVERRIDE=FQ","FILING_STATUS=OR","EQY_CONSOLIDATED=Y","Sort=A","Dates=H","DateFormat=P","Fill=—","Direction=H","UseDPDF=Y")</f>
        <v>#NAME?</v>
      </c>
      <c r="AE159" s="2" t="e">
        <f ca="1">_xll.BDH($C$153,"WORK_CAP_GROWTH","FQ1 2015","FQ1 2015","Currency=INR","Period=FQ","BEST_FPERIOD_OVERRIDE=FQ","FILING_STATUS=OR","EQY_CONSOLIDATED=Y","Sort=A","Dates=H","DateFormat=P","Fill=—","Direction=H","UseDPDF=Y")</f>
        <v>#NAME?</v>
      </c>
      <c r="AF159" s="2" t="e">
        <f ca="1">_xll.BDH($C$153,"ACCOUNTS_PAYABLE_GROWTH_1YR","FQ1 2015","FQ1 2015","Currency=INR","Period=FQ","BEST_FPERIOD_OVERRIDE=FQ","FILING_STATUS=OR","EQY_CONSOLIDATED=Y","Sort=A","Dates=H","DateFormat=P","Fill=—","Direction=H","UseDPDF=Y")</f>
        <v>#NAME?</v>
      </c>
      <c r="AG159" s="2" t="e">
        <f ca="1">_xll.BDH($C$153,"SHORT_TERM_DEBT_1_YEAR_GROWTH","FQ1 2015","FQ1 2015","Currency=INR","Period=FQ","BEST_FPERIOD_OVERRIDE=FQ","FILING_STATUS=OR","EQY_CONSOLIDATED=Y","Sort=A","Dates=H","DateFormat=P","Fill=—","Direction=H","UseDPDF=Y")</f>
        <v>#NAME?</v>
      </c>
      <c r="AH159" s="2" t="e">
        <f ca="1">_xll.BDH($C$153,"TOTAL_DEBT_1_YEAR_GROWTH","FQ1 2015","FQ1 2015","Currency=INR","Period=FQ","BEST_FPERIOD_OVERRIDE=FQ","FILING_STATUS=OR","EQY_CONSOLIDATED=Y","Sort=A","Dates=H","DateFormat=P","Fill=—","Direction=H","UseDPDF=Y")</f>
        <v>#NAME?</v>
      </c>
      <c r="AI159" s="2" t="e">
        <f ca="1">_xll.BDH($C$153,"TOTAL_EQUITY_1_YEAR_GROWTH","FQ1 2015","FQ1 2015","Currency=INR","Period=FQ","BEST_FPERIOD_OVERRIDE=FQ","FILING_STATUS=OR","EQY_CONSOLIDATED=Y","Sort=A","Dates=H","DateFormat=P","Fill=—","Direction=H","UseDPDF=Y")</f>
        <v>#NAME?</v>
      </c>
      <c r="AJ159" s="2" t="e">
        <f ca="1">_xll.BDH($C$153,"GROWTH_IN_CAP","FQ1 2015","FQ1 2015","Currency=INR","Period=FQ","BEST_FPERIOD_OVERRIDE=FQ","FILING_STATUS=OR","EQY_CONSOLIDATED=Y","Sort=A","Dates=H","DateFormat=P","Fill=—","Direction=H","UseDPDF=Y")</f>
        <v>#NAME?</v>
      </c>
      <c r="AK159" s="2" t="e">
        <f ca="1">_xll.BDH($C$153,"BVPS_GROWTH","FQ1 2015","FQ1 2015","Currency=INR","Period=FQ","BEST_FPERIOD_OVERRIDE=FQ","FILING_STATUS=OR","EQY_CONSOLIDATED=Y","Sort=A","Dates=H","DateFormat=P","Fill=—","Direction=H","UseDPDF=Y")</f>
        <v>#NAME?</v>
      </c>
      <c r="AL159" s="2" t="e">
        <f ca="1">_xll.BDH($C$153,"CASH_FLOW_GROWTH","FQ1 2015","FQ1 2015","Currency=INR","Period=FQ","BEST_FPERIOD_OVERRIDE=FQ","FILING_STATUS=OR","EQY_CONSOLIDATED=Y","Sort=A","Dates=H","DateFormat=P","Fill=—","Direction=H","UseDPDF=Y")</f>
        <v>#NAME?</v>
      </c>
      <c r="AM159" s="2" t="e">
        <f ca="1">_xll.BDH($C$153,"GEO_GROW_NET_SALES","FQ1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59" s="2" t="e">
        <f ca="1">_xll.BDH($C$153,"GEO_GROW_EBITDA","FQ1 2015","FQ1 2015","Currency=INR","Period=FQ","BEST_FPERIOD_OVERRIDE=FQ","FILING_STATUS=OR","EQY_CONSOLIDATED=Y","FA_ADJUSTED=GAAP","Sort=A","Dates=H","DateFormat=P","Fill=—","Direction=H","UseDPDF=Y")</f>
        <v>#NAME?</v>
      </c>
      <c r="AO159" s="2" t="e">
        <f ca="1">_xll.BDH($C$153,"GEO_GROW_OPER_INC","FQ1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59" s="2" t="e">
        <f ca="1">_xll.BDH($C$153,"NET_INCOME_TO_COMMON_5_YR_GROWTH","FQ1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59" s="2" t="e">
        <f ca="1">_xll.BDH($C$153,"5Y_GEO_GROWTH_DILUTED_EPS","FQ1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59" s="2" t="e">
        <f ca="1">_xll.BDH($C$153,"GEO_GROW_DVD_PER_SH","FQ1 2015","FQ1 2015","Currency=INR","Period=FQ","BEST_FPERIOD_OVERRIDE=FQ","FILING_STATUS=OR","EQY_CONSOLIDATED=Y","Sort=A","Dates=H","DateFormat=P","Fill=—","Direction=H","UseDPDF=Y")</f>
        <v>#NAME?</v>
      </c>
      <c r="AS159" s="2" t="e">
        <f ca="1">_xll.BDH($C$153,"ACCOUNTS_RECEIVABLE_5_YR_GROWTH","FQ1 2015","FQ1 2015","Currency=INR","Period=FQ","BEST_FPERIOD_OVERRIDE=FQ","FILING_STATUS=OR","EQY_CONSOLIDATED=Y","Sort=A","Dates=H","DateFormat=P","Fill=—","Direction=H","UseDPDF=Y")</f>
        <v>#NAME?</v>
      </c>
      <c r="AT159" s="2" t="e">
        <f ca="1">_xll.BDH($C$153,"INVENTORY_5_YEAR_GROWTH","FQ1 2015","FQ1 2015","Currency=INR","Period=FQ","BEST_FPERIOD_OVERRIDE=FQ","FILING_STATUS=OR","EQY_CONSOLIDATED=Y","Sort=A","Dates=H","DateFormat=P","Fill=—","Direction=H","UseDPDF=Y")</f>
        <v>#NAME?</v>
      </c>
      <c r="AU159" s="2" t="e">
        <f ca="1">_xll.BDH($C$153,"NET_FIXED_ASSETS_5_YEAR_GROWTH","FQ1 2015","FQ1 2015","Currency=INR","Period=FQ","BEST_FPERIOD_OVERRIDE=FQ","FILING_STATUS=OR","EQY_CONSOLIDATED=Y","Sort=A","Dates=H","DateFormat=P","Fill=—","Direction=H","UseDPDF=Y")</f>
        <v>#NAME?</v>
      </c>
      <c r="AV159" s="2" t="e">
        <f ca="1">_xll.BDH($C$153,"GEO_GROW_TOT_ASSET","FQ1 2015","FQ1 2015","Currency=INR","Period=FQ","BEST_FPERIOD_OVERRIDE=FQ","FILING_STATUS=OR","EQY_CONSOLIDATED=Y","Sort=A","Dates=H","DateFormat=P","Fill=—","Direction=H","UseDPDF=Y")</f>
        <v>#NAME?</v>
      </c>
      <c r="AW159" s="2" t="e">
        <f ca="1">_xll.BDH($C$153,"MODIFIED_WORKING_CPTL_5YR_GRWTH","FQ1 2015","FQ1 2015","Currency=INR","Period=FQ","BEST_FPERIOD_OVERRIDE=FQ","FILING_STATUS=OR","EQY_CONSOLIDATED=Y","Sort=A","Dates=H","DateFormat=P","Fill=—","Direction=H","UseDPDF=Y")</f>
        <v>#NAME?</v>
      </c>
      <c r="AX159" s="2" t="e">
        <f ca="1">_xll.BDH($C$153,"WORKING_CAPITAL_5_YEAR_GROWTH","FQ1 2015","FQ1 2015","Currency=INR","Period=FQ","BEST_FPERIOD_OVERRIDE=FQ","FILING_STATUS=OR","EQY_CONSOLIDATED=Y","Sort=A","Dates=H","DateFormat=P","Fill=—","Direction=H","UseDPDF=Y")</f>
        <v>#NAME?</v>
      </c>
      <c r="AY159" s="2" t="e">
        <f ca="1">_xll.BDH($C$153,"ACCOUNTS_PAYABLE_5_YEAR_GROWTH","FQ1 2015","FQ1 2015","Currency=INR","Period=FQ","BEST_FPERIOD_OVERRIDE=FQ","FILING_STATUS=OR","EQY_CONSOLIDATED=Y","Sort=A","Dates=H","DateFormat=P","Fill=—","Direction=H","UseDPDF=Y")</f>
        <v>#NAME?</v>
      </c>
      <c r="AZ159" s="2" t="e">
        <f ca="1">_xll.BDH($C$153,"SHORT_TERM_DEBT_5_YEAR_GROWTH","FQ1 2015","FQ1 2015","Currency=INR","Period=FQ","BEST_FPERIOD_OVERRIDE=FQ","FILING_STATUS=OR","EQY_CONSOLIDATED=Y","Sort=A","Dates=H","DateFormat=P","Fill=—","Direction=H","UseDPDF=Y")</f>
        <v>#NAME?</v>
      </c>
      <c r="BA159" s="2" t="e">
        <f ca="1">_xll.BDH($C$153,"TOTAL_DEBT_5_YEAR_GROWTH","FQ1 2015","FQ1 2015","Currency=INR","Period=FQ","BEST_FPERIOD_OVERRIDE=FQ","FILING_STATUS=OR","EQY_CONSOLIDATED=Y","Sort=A","Dates=H","DateFormat=P","Fill=—","Direction=H","UseDPDF=Y")</f>
        <v>#NAME?</v>
      </c>
      <c r="BB159" s="2" t="e">
        <f ca="1">_xll.BDH($C$153,"GEO_GROW_TOT_SHRHLDR_EQY","FQ1 2015","FQ1 2015","Currency=INR","Period=FQ","BEST_FPERIOD_OVERRIDE=FQ","FILING_STATUS=OR","EQY_CONSOLIDATED=Y","Sort=A","Dates=H","DateFormat=P","Fill=—","Direction=H","UseDPDF=Y")</f>
        <v>#NAME?</v>
      </c>
      <c r="BC159" s="2" t="e">
        <f ca="1">_xll.BDH($C$153,"TOTAL_CAPITAL_5_YEAR_GROWTH","FQ1 2015","FQ1 2015","Currency=INR","Period=FQ","BEST_FPERIOD_OVERRIDE=FQ","FILING_STATUS=OR","EQY_CONSOLIDATED=Y","Sort=A","Dates=H","DateFormat=P","Fill=—","Direction=H","UseDPDF=Y")</f>
        <v>#NAME?</v>
      </c>
      <c r="BD159" s="2" t="e">
        <f ca="1">_xll.BDH($C$153,"GEO_GROW_BOOK_VAL","FQ1 2015","FQ1 2015","Currency=INR","Period=FQ","BEST_FPERIOD_OVERRIDE=FQ","FILING_STATUS=OR","EQY_CONSOLIDATED=Y","Sort=A","Dates=H","DateFormat=P","Fill=—","Direction=H","UseDPDF=Y")</f>
        <v>#NAME?</v>
      </c>
      <c r="BE159" s="2" t="e">
        <f ca="1">_xll.BDH($C$153,"GEO_GROW_CASH_OPER_ACT","FQ1 2015","FQ1 2015","Currency=INR","Period=FQ","BEST_FPERIOD_OVERRIDE=FQ","FILING_STATUS=OR","EQY_CONSOLIDATED=Y","Sort=A","Dates=H","DateFormat=P","Fill=—","Direction=H","UseDPDF=Y")</f>
        <v>#NAME?</v>
      </c>
      <c r="BF159" s="2" t="e">
        <f ca="1">_xll.BDH($C$153,"REVENUE_SEQUENTIAL_GROWTH","FQ1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59" s="2" t="e">
        <f ca="1">_xll.BDH($C$153,"EBITDA_SEQUENTIAL_GROWTH","FQ1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59" s="2" t="e">
        <f ca="1">_xll.BDH($C$153,"OPERATING_INCOME_SEQ_GROWTH","FQ1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59" s="2" t="e">
        <f ca="1">_xll.BDH($C$153,"NET_INCOME_TO_COMMON_SEQ_GROWTH","FQ1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59" s="2" t="e">
        <f ca="1">_xll.BDH($C$153,"EPS_DILUTED_SEQUENTIAL_GROWTH","FQ1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59" s="2" t="e">
        <f ca="1">_xll.BDH($C$153,"DPS_SEQUENTIAL_GROWTH","FQ1 2015","FQ1 2015","Currency=INR","Period=FQ","BEST_FPERIOD_OVERRIDE=FQ","FILING_STATUS=OR","EQY_CONSOLIDATED=Y","Sort=A","Dates=H","DateFormat=P","Fill=—","Direction=H","UseDPDF=Y")</f>
        <v>#NAME?</v>
      </c>
      <c r="BL159" s="2" t="e">
        <f ca="1">_xll.BDH($C$153,"ACCOUNTS_RECEIVABLE_SEQ_GROWTH","FQ1 2015","FQ1 2015","Currency=INR","Period=FQ","BEST_FPERIOD_OVERRIDE=FQ","FILING_STATUS=OR","EQY_CONSOLIDATED=Y","Sort=A","Dates=H","DateFormat=P","Fill=—","Direction=H","UseDPDF=Y")</f>
        <v>#NAME?</v>
      </c>
      <c r="BM159" s="2" t="e">
        <f ca="1">_xll.BDH($C$153,"INVENTORY_SEQUENTIAL_GROWTH","FQ1 2015","FQ1 2015","Currency=INR","Period=FQ","BEST_FPERIOD_OVERRIDE=FQ","FILING_STATUS=OR","EQY_CONSOLIDATED=Y","Sort=A","Dates=H","DateFormat=P","Fill=—","Direction=H","UseDPDF=Y")</f>
        <v>#NAME?</v>
      </c>
      <c r="BN159" s="2" t="e">
        <f ca="1">_xll.BDH($C$153,"FIXED_ASSETS_SEQUENTIAL_GROWTH","FQ1 2015","FQ1 2015","Currency=INR","Period=FQ","BEST_FPERIOD_OVERRIDE=FQ","FILING_STATUS=OR","EQY_CONSOLIDATED=Y","Sort=A","Dates=H","DateFormat=P","Fill=—","Direction=H","UseDPDF=Y")</f>
        <v>#NAME?</v>
      </c>
      <c r="BO159" s="2" t="e">
        <f ca="1">_xll.BDH($C$153,"TOTAL_ASSETS_SEQUENTIAL_GROWTH","FQ1 2015","FQ1 2015","Currency=INR","Period=FQ","BEST_FPERIOD_OVERRIDE=FQ","FILING_STATUS=OR","EQY_CONSOLIDATED=Y","Sort=A","Dates=H","DateFormat=P","Fill=—","Direction=H","UseDPDF=Y")</f>
        <v>#NAME?</v>
      </c>
      <c r="BP159" s="2" t="e">
        <f ca="1">_xll.BDH($C$153,"MODIFIED_WORKING_CPTL_SEQ_GRWTH","FQ1 2015","FQ1 2015","Currency=INR","Period=FQ","BEST_FPERIOD_OVERRIDE=FQ","FILING_STATUS=OR","EQY_CONSOLIDATED=Y","Sort=A","Dates=H","DateFormat=P","Fill=—","Direction=H","UseDPDF=Y")</f>
        <v>#NAME?</v>
      </c>
      <c r="BQ159" s="2" t="e">
        <f ca="1">_xll.BDH($C$153,"WORKING_CAPITAL_SEQ_GROWTH","FQ1 2015","FQ1 2015","Currency=INR","Period=FQ","BEST_FPERIOD_OVERRIDE=FQ","FILING_STATUS=OR","EQY_CONSOLIDATED=Y","Sort=A","Dates=H","DateFormat=P","Fill=—","Direction=H","UseDPDF=Y")</f>
        <v>#NAME?</v>
      </c>
      <c r="BR159" s="2" t="e">
        <f ca="1">_xll.BDH($C$153,"ACCOUNTS_PAYABLE_SEQ_GROWTH","FQ1 2015","FQ1 2015","Currency=INR","Period=FQ","BEST_FPERIOD_OVERRIDE=FQ","FILING_STATUS=OR","EQY_CONSOLIDATED=Y","Sort=A","Dates=H","DateFormat=P","Fill=—","Direction=H","UseDPDF=Y")</f>
        <v>#NAME?</v>
      </c>
      <c r="BS159" s="2" t="e">
        <f ca="1">_xll.BDH($C$153,"ST_DEBT_SEQUENTIAL_GROWTH","FQ1 2015","FQ1 2015","Currency=INR","Period=FQ","BEST_FPERIOD_OVERRIDE=FQ","FILING_STATUS=OR","EQY_CONSOLIDATED=Y","Sort=A","Dates=H","DateFormat=P","Fill=—","Direction=H","UseDPDF=Y")</f>
        <v>#NAME?</v>
      </c>
      <c r="BT159" s="2" t="e">
        <f ca="1">_xll.BDH($C$153,"TOTAL_DEBT_SEQUENTIAL_GROWTH","FQ1 2015","FQ1 2015","Currency=INR","Period=FQ","BEST_FPERIOD_OVERRIDE=FQ","FILING_STATUS=OR","EQY_CONSOLIDATED=Y","Sort=A","Dates=H","DateFormat=P","Fill=—","Direction=H","UseDPDF=Y")</f>
        <v>#NAME?</v>
      </c>
      <c r="BU159" s="2" t="e">
        <f ca="1">_xll.BDH($C$153,"TOTAL_EQUITY_SEQUENTIAL_GROWTH","FQ1 2015","FQ1 2015","Currency=INR","Period=FQ","BEST_FPERIOD_OVERRIDE=FQ","FILING_STATUS=OR","EQY_CONSOLIDATED=Y","Sort=A","Dates=H","DateFormat=P","Fill=—","Direction=H","UseDPDF=Y")</f>
        <v>#NAME?</v>
      </c>
      <c r="BV159" s="2" t="e">
        <f ca="1">_xll.BDH($C$153,"TOTAL_CAPITAL_SEQUENTIAL_GROWTH","FQ1 2015","FQ1 2015","Currency=INR","Period=FQ","BEST_FPERIOD_OVERRIDE=FQ","FILING_STATUS=OR","EQY_CONSOLIDATED=Y","Sort=A","Dates=H","DateFormat=P","Fill=—","Direction=H","UseDPDF=Y")</f>
        <v>#NAME?</v>
      </c>
      <c r="BW159" s="2" t="e">
        <f ca="1">_xll.BDH($C$153,"BPS_SEQUENTIAL_GROWTH","FQ1 2015","FQ1 2015","Currency=INR","Period=FQ","BEST_FPERIOD_OVERRIDE=FQ","FILING_STATUS=OR","EQY_CONSOLIDATED=Y","Sort=A","Dates=H","DateFormat=P","Fill=—","Direction=H","UseDPDF=Y")</f>
        <v>#NAME?</v>
      </c>
      <c r="BX159" s="2" t="e">
        <f ca="1">_xll.BDH($C$153,"CFO_SEQUENTIAL_GROWTH","FQ1 2015","FQ1 2015","Currency=INR","Period=FQ","BEST_FPERIOD_OVERRIDE=FQ","FILING_STATUS=OR","EQY_CONSOLIDATED=Y","Sort=A","Dates=H","DateFormat=P","Fill=—","Direction=H","UseDPDF=Y")</f>
        <v>#NAME?</v>
      </c>
      <c r="BY159" s="3" t="e">
        <f ca="1">_xll.BDH($C$153,"SHORT_AND_LONG_TERM_DEBT","FQ1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59" s="3" t="e">
        <f ca="1">_xll.BDH($C$153,"BS_ST_BORROW","FQ1 2015","FQ1 2015","Currency=INR","Period=FQ","BEST_FPERIOD_OVERRIDE=FQ","FILING_STATUS=OR","EQY_CONSOLIDATED=Y","SCALING_FORMAT=MLN","Sort=A","Dates=H","DateFormat=P","Fill=—","Direction=H","UseDPDF=Y")</f>
        <v>#NAME?</v>
      </c>
      <c r="CA159" s="3" t="e">
        <f ca="1">_xll.BDH($C$153,"BS_LT_BORROW","FQ1 2015","FQ1 2015","Currency=INR","Period=FQ","BEST_FPERIOD_OVERRIDE=FQ","FILING_STATUS=OR","EQY_CONSOLIDATED=Y","SCALING_FORMAT=MLN","Sort=A","Dates=H","DateFormat=P","Fill=—","Direction=H","UseDPDF=Y")</f>
        <v>#NAME?</v>
      </c>
      <c r="CB159" s="2" t="e">
        <f ca="1">_xll.BDH($C$153,"TOT_DEBT_TO_EBITDA","FQ1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59" s="2" t="e">
        <f ca="1">_xll.BDH($C$153,"NET_DEBT_TO_EBITDA","FQ1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59" s="2" t="e">
        <f ca="1">_xll.BDH($C$153,"TOTAL_DEBT_TO_EBIT","FQ1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59" s="2" t="e">
        <f ca="1">_xll.BDH($C$153,"NET_DEBT_TO_EBIT","FQ1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159" s="2" t="e">
        <f ca="1">_xll.BDH($C$153,"EBITDA_TO_INTEREST_EXPN","FQ1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59" s="2" t="e">
        <f ca="1">_xll.BDH($C$153,"COM_EQY_TO_TOT_ASSET","FQ1 2015","FQ1 2015","Currency=INR","Period=FQ","BEST_FPERIOD_OVERRIDE=FQ","FILING_STATUS=OR","EQY_CONSOLIDATED=Y","Sort=A","Dates=H","DateFormat=P","Fill=—","Direction=H","UseDPDF=Y")</f>
        <v>#NAME?</v>
      </c>
      <c r="CH159" s="2" t="e">
        <f ca="1">_xll.BDH($C$153,"LT_DEBT_TO_TOT_EQY","FQ1 2015","FQ1 2015","Currency=INR","Period=FQ","BEST_FPERIOD_OVERRIDE=FQ","FILING_STATUS=OR","EQY_CONSOLIDATED=Y","Sort=A","Dates=H","DateFormat=P","Fill=—","Direction=H","UseDPDF=Y")</f>
        <v>#NAME?</v>
      </c>
      <c r="CI159" s="2" t="e">
        <f ca="1">_xll.BDH($C$153,"LT_DEBT_TO_TOT_CAP","FQ1 2015","FQ1 2015","Currency=INR","Period=FQ","BEST_FPERIOD_OVERRIDE=FQ","FILING_STATUS=OR","EQY_CONSOLIDATED=Y","Sort=A","Dates=H","DateFormat=P","Fill=—","Direction=H","UseDPDF=Y")</f>
        <v>#NAME?</v>
      </c>
      <c r="CJ159" s="2" t="e">
        <f ca="1">_xll.BDH($C$153,"LT_DEBT_TO_TOT_ASSET","FQ1 2015","FQ1 2015","Currency=INR","Period=FQ","BEST_FPERIOD_OVERRIDE=FQ","FILING_STATUS=OR","EQY_CONSOLIDATED=Y","Sort=A","Dates=H","DateFormat=P","Fill=—","Direction=H","UseDPDF=Y")</f>
        <v>#NAME?</v>
      </c>
      <c r="CK159" s="2" t="e">
        <f ca="1">_xll.BDH($C$153,"TOT_DEBT_TO_TOT_EQY","FQ1 2015","FQ1 2015","Currency=INR","Period=FQ","BEST_FPERIOD_OVERRIDE=FQ","FILING_STATUS=OR","EQY_CONSOLIDATED=Y","Sort=A","Dates=H","DateFormat=P","Fill=—","Direction=H","UseDPDF=Y")</f>
        <v>#NAME?</v>
      </c>
      <c r="CL159" s="2" t="e">
        <f ca="1">_xll.BDH($C$153,"TOT_DEBT_TO_TOT_CAP","FQ1 2015","FQ1 2015","Currency=INR","Period=FQ","BEST_FPERIOD_OVERRIDE=FQ","FILING_STATUS=OR","EQY_CONSOLIDATED=Y","Sort=A","Dates=H","DateFormat=P","Fill=—","Direction=H","UseDPDF=Y")</f>
        <v>#NAME?</v>
      </c>
      <c r="CM159" s="2" t="e">
        <f ca="1">_xll.BDH($C$153,"TOT_DEBT_TO_TOT_ASSET","FQ1 2015","FQ1 2015","Currency=INR","Period=FQ","BEST_FPERIOD_OVERRIDE=FQ","FILING_STATUS=OR","EQY_CONSOLIDATED=Y","Sort=A","Dates=H","DateFormat=P","Fill=—","Direction=H","UseDPDF=Y")</f>
        <v>#NAME?</v>
      </c>
      <c r="CN159" s="2" t="e">
        <f ca="1">_xll.BDH($C$153,"NET_DEBT_TO_SHRHLDR_EQTY","FQ1 2015","FQ1 2015","Currency=INR","Period=FQ","BEST_FPERIOD_OVERRIDE=FQ","FILING_STATUS=OR","EQY_CONSOLIDATED=Y","Sort=A","Dates=H","DateFormat=P","Fill=—","Direction=H","UseDPDF=Y")</f>
        <v>#NAME?</v>
      </c>
      <c r="CO159" s="2" t="e">
        <f ca="1">_xll.BDH($C$153,"NET_DEBT_%_CAPITAL","FQ1 2015","FQ1 2015","Currency=INR","Period=FQ","BEST_FPERIOD_OVERRIDE=FQ","FILING_STATUS=OR","EQY_CONSOLIDATED=Y","Sort=A","Dates=H","DateFormat=P","Fill=—","Direction=H","UseDPDF=Y")</f>
        <v>#NAME?</v>
      </c>
      <c r="CP159" s="3" t="e">
        <f ca="1">_xll.BDH($C$153,"EBITDA","FQ1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59" s="3" t="e">
        <f ca="1">_xll.BDH($C$153,"EBITDA_AFTER_CAPEX","FQ1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59" s="3" t="e">
        <f ca="1">_xll.BDH($C$153,"IS_OPER_INC","FQ1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59" s="2" t="e">
        <f ca="1">_xll.BDH($C$153,"CASH_RATIO","FQ1 2015","FQ1 2015","Currency=INR","Period=FQ","BEST_FPERIOD_OVERRIDE=FQ","FILING_STATUS=OR","EQY_CONSOLIDATED=Y","Sort=A","Dates=H","DateFormat=P","Fill=—","Direction=H","UseDPDF=Y")</f>
        <v>#NAME?</v>
      </c>
      <c r="CT159" s="2" t="e">
        <f ca="1">_xll.BDH($C$153,"CUR_RATIO","FQ1 2015","FQ1 2015","Currency=INR","Period=FQ","BEST_FPERIOD_OVERRIDE=FQ","FILING_STATUS=OR","EQY_CONSOLIDATED=Y","Sort=A","Dates=H","DateFormat=P","Fill=—","Direction=H","UseDPDF=Y")</f>
        <v>#NAME?</v>
      </c>
      <c r="CU159" s="2" t="e">
        <f ca="1">_xll.BDH($C$153,"QUICK_RATIO","FQ1 2015","FQ1 2015","Currency=INR","Period=FQ","BEST_FPERIOD_OVERRIDE=FQ","FILING_STATUS=OR","EQY_CONSOLIDATED=Y","Sort=A","Dates=H","DateFormat=P","Fill=—","Direction=H","UseDPDF=Y")</f>
        <v>#NAME?</v>
      </c>
      <c r="CV159" s="2" t="e">
        <f ca="1">_xll.BDH($C$153,"ALTMAN_Z_SCORE","FQ1 2015","FQ1 2015","Currency=INR","Period=FQ","BEST_FPERIOD_OVERRIDE=FQ","FILING_STATUS=OR","EQY_CONSOLIDATED=Y","Sort=A","Dates=H","DateFormat=P","Fill=—","Direction=H","UseDPDF=Y")</f>
        <v>#NAME?</v>
      </c>
      <c r="CW159" s="4" t="e">
        <f ca="1">_xll.BDH($C$153,"ACCT_RCV_TURN","FQ1 2015","FQ1 2015","Currency=INR","Period=FQ","BEST_FPERIOD_OVERRIDE=FQ","FILING_STATUS=OR","EQY_CONSOLIDATED=Y","FA_ADJUSTED=GAAP","Sort=A","Dates=H","DateFormat=P","Fill=—","Direction=H","UseDPDF=Y")</f>
        <v>#NAME?</v>
      </c>
      <c r="CX159" s="2" t="e">
        <f ca="1">_xll.BDH($C$153,"ACCT_RCV_DAYS","FQ1 2015","FQ1 2015","Currency=INR","Period=FQ","BEST_FPERIOD_OVERRIDE=FQ","FILING_STATUS=OR","EQY_CONSOLIDATED=Y","FA_ADJUSTED=GAAP","Sort=A","Dates=H","DateFormat=P","Fill=—","Direction=H","UseDPDF=Y")</f>
        <v>#NAME?</v>
      </c>
      <c r="CY159" s="4" t="e">
        <f ca="1">_xll.BDH($C$153,"INVENT_TURN","FQ1 2015","FQ1 2015","Currency=INR","Period=FQ","BEST_FPERIOD_OVERRIDE=FQ","FILING_STATUS=OR","EQY_CONSOLIDATED=Y","FA_ADJUSTED=GAAP","Sort=A","Dates=H","DateFormat=P","Fill=—","Direction=H","UseDPDF=Y")</f>
        <v>#NAME?</v>
      </c>
      <c r="CZ159" s="2" t="e">
        <f ca="1">_xll.BDH($C$153,"INVENT_DAYS","FQ1 2015","FQ1 2015","Currency=INR","Period=FQ","BEST_FPERIOD_OVERRIDE=FQ","FILING_STATUS=OR","EQY_CONSOLIDATED=Y","FA_ADJUSTED=GAAP","Sort=A","Dates=H","DateFormat=P","Fill=—","Direction=H","UseDPDF=Y")</f>
        <v>#NAME?</v>
      </c>
      <c r="DA159" s="4" t="e">
        <f ca="1">_xll.BDH($C$153,"ACCOUNTS_PAYABLE_TURNOVER","FQ1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59" s="2" t="e">
        <f ca="1">_xll.BDH($C$153,"ACCOUNTS_PAYABLE_TURNOVER_DAYS","FQ1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59" s="4" t="e">
        <f ca="1">_xll.BDH($C$153,"CASH_CONVERSION_CYCLE","FQ1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59" s="4" t="e">
        <f ca="1">_xll.BDH($C$153,"INV_TO_CASH_DAYS","FQ1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159" s="5" t="e">
        <f ca="1">_xll.BDH($C$153,"BS_INVENTORIES","FQ1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159" s="3" t="e">
        <f ca="1">_xll.BDH($C$153,"INVTRY_RAW_MATERIALS","FQ1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59" s="3" t="e">
        <f ca="1">_xll.BDH($C$153,"INVTRY_IN_PROGRESS","FQ1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59" s="3" t="e">
        <f ca="1">_xll.BDH($C$153,"INVTRY_FINISHED_GOODS","FQ1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59" s="3" t="e">
        <f ca="1">_xll.BDH($C$153,"BS_OTHER_INV","FQ1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60" spans="1:113" x14ac:dyDescent="0.3">
      <c r="A160" s="6"/>
      <c r="B160" s="6"/>
      <c r="C160" s="6"/>
      <c r="D160" s="6"/>
      <c r="E160" t="s">
        <v>79</v>
      </c>
      <c r="F160" t="e">
        <f ca="1">_xll.BDH($C$153,"RETURN_COM_EQY","FQ2 2015","FQ2 2015","Currency=INR","Period=FQ","BEST_FPERIOD_OVERRIDE=FQ","FILING_STATUS=OR","EQY_CONSOLIDATED=Y","FA_ADJUSTED=GAAP","Sort=A","Dates=H","DateFormat=P","Fill=—","Direction=H","UseDPDF=Y")</f>
        <v>#NAME?</v>
      </c>
      <c r="G160" t="e">
        <f ca="1">_xll.BDH($C$153,"RETURN_ON_ASSET","FQ2 2015","FQ2 2015","Currency=INR","Period=FQ","BEST_FPERIOD_OVERRIDE=FQ","FILING_STATUS=OR","EQY_CONSOLIDATED=Y","FA_ADJUSTED=GAAP","Sort=A","Dates=H","DateFormat=P","Fill=—","Direction=H","UseDPDF=Y")</f>
        <v>#NAME?</v>
      </c>
      <c r="H160" t="e">
        <f ca="1">_xll.BDH($C$153,"RETURN_ON_CAP","FQ2 2015","FQ2 2015","Currency=INR","Period=FQ","BEST_FPERIOD_OVERRIDE=FQ","FILING_STATUS=OR","EQY_CONSOLIDATED=Y","FA_ADJUSTED=GAAP","Sort=A","Dates=H","DateFormat=P","Fill=—","Direction=H","UseDPDF=Y")</f>
        <v>#NAME?</v>
      </c>
      <c r="I160" t="e">
        <f ca="1">_xll.BDH($C$153,"RETURN_ON_INV_CAPITAL","FQ2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60" t="e">
        <f ca="1">_xll.BDH($C$153,"EBITDA_TO_REVENUE","FQ2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160" t="e">
        <f ca="1">_xll.BDH($C$153,"OPER_MARGIN","FQ2 2015","FQ2 2015","Currency=INR","Period=FQ","BEST_FPERIOD_OVERRIDE=FQ","FILING_STATUS=OR","EQY_CONSOLIDATED=Y","FA_ADJUSTED=GAAP","Sort=A","Dates=H","DateFormat=P","Fill=—","Direction=H","UseDPDF=Y")</f>
        <v>#NAME?</v>
      </c>
      <c r="L160" t="e">
        <f ca="1">_xll.BDH($C$153,"INCREMENTAL_OPERATING_MARGIN","FQ2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60" t="e">
        <f ca="1">_xll.BDH($C$153,"PRETAX_INC_TO_NET_SALES","FQ2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60" t="e">
        <f ca="1">_xll.BDH($C$153,"INC_BEF_XO_ITEMS_TO_NET_SALES","FQ2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60" t="e">
        <f ca="1">_xll.BDH($C$153,"PROF_MARGIN","FQ2 2015","FQ2 2015","Currency=INR","Period=FQ","BEST_FPERIOD_OVERRIDE=FQ","FILING_STATUS=OR","EQY_CONSOLIDATED=Y","FA_ADJUSTED=GAAP","Sort=A","Dates=H","DateFormat=P","Fill=—","Direction=H","UseDPDF=Y")</f>
        <v>#NAME?</v>
      </c>
      <c r="P160" t="e">
        <f ca="1">_xll.BDH($C$153,"NET_INCOME_TO_COMMON_MARGIN","FQ2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60" t="e">
        <f ca="1">_xll.BDH($C$153,"EFF_TAX_RATE","FQ2 2015","FQ2 2015","Currency=INR","Period=FQ","BEST_FPERIOD_OVERRIDE=FQ","FILING_STATUS=OR","EQY_CONSOLIDATED=Y","FA_ADJUSTED=GAAP","Sort=A","Dates=H","DateFormat=P","Fill=—","Direction=H","UseDPDF=Y")</f>
        <v>#NAME?</v>
      </c>
      <c r="R160" t="e">
        <f ca="1">_xll.BDH($C$153,"DVD_PAYOUT_RATIO","FQ2 2015","FQ2 2015","Currency=INR","Period=FQ","BEST_FPERIOD_OVERRIDE=FQ","FILING_STATUS=OR","EQY_CONSOLIDATED=Y","FA_ADJUSTED=GAAP","Sort=A","Dates=H","DateFormat=P","Fill=—","Direction=H","UseDPDF=Y")</f>
        <v>#NAME?</v>
      </c>
      <c r="S160" t="e">
        <f ca="1">_xll.BDH($C$153,"SUSTAIN_GROWTH_RT","FQ2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160" s="2" t="e">
        <f ca="1">_xll.BDH($C$153,"SALES_GROWTH","FQ2 2015","FQ2 2015","Currency=INR","Period=FQ","BEST_FPERIOD_OVERRIDE=FQ","FILING_STATUS=OR","EQY_CONSOLIDATED=Y","FA_ADJUSTED=GAAP","Sort=A","Dates=H","DateFormat=P","Fill=—","Direction=H","UseDPDF=Y")</f>
        <v>#NAME?</v>
      </c>
      <c r="U160" s="2" t="e">
        <f ca="1">_xll.BDH($C$153,"EBITDA_GROWTH","FQ2 2015","FQ2 2015","Currency=INR","Period=FQ","BEST_FPERIOD_OVERRIDE=FQ","FILING_STATUS=OR","EQY_CONSOLIDATED=Y","FA_ADJUSTED=GAAP","Sort=A","Dates=H","DateFormat=P","Fill=—","Direction=H","UseDPDF=Y")</f>
        <v>#NAME?</v>
      </c>
      <c r="V160" s="2" t="e">
        <f ca="1">_xll.BDH($C$153,"OPER_INC_GROWTH","FQ2 2015","FQ2 2015","Currency=INR","Period=FQ","BEST_FPERIOD_OVERRIDE=FQ","FILING_STATUS=OR","EQY_CONSOLIDATED=Y","FA_ADJUSTED=GAAP","Sort=A","Dates=H","DateFormat=P","Fill=—","Direction=H","UseDPDF=Y")</f>
        <v>#NAME?</v>
      </c>
      <c r="W160" s="2" t="e">
        <f ca="1">_xll.BDH($C$153,"EARN_FOR_COM_GROWTH","FQ2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60" s="2" t="e">
        <f ca="1">_xll.BDH($C$153,"DILUTED_EPS_AFT_XO_ITEMS_GROWTH","FQ2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60" s="2" t="e">
        <f ca="1">_xll.BDH($C$153,"DIVIDEND_PER_SHARE_1_YEAR_GROWTH","FQ2 2015","FQ2 2015","Currency=INR","Period=FQ","BEST_FPERIOD_OVERRIDE=FQ","FILING_STATUS=OR","EQY_CONSOLIDATED=Y","Sort=A","Dates=H","DateFormat=P","Fill=—","Direction=H","UseDPDF=Y")</f>
        <v>#NAME?</v>
      </c>
      <c r="Z160" s="2" t="e">
        <f ca="1">_xll.BDH($C$153,"ACCOUNTS_RECEIVABLE_GROWTH","FQ2 2015","FQ2 2015","Currency=INR","Period=FQ","BEST_FPERIOD_OVERRIDE=FQ","FILING_STATUS=OR","EQY_CONSOLIDATED=Y","Sort=A","Dates=H","DateFormat=P","Fill=—","Direction=H","UseDPDF=Y")</f>
        <v>#NAME?</v>
      </c>
      <c r="AA160" s="2" t="e">
        <f ca="1">_xll.BDH($C$153,"INVENTORY_GROWTH","FQ2 2015","FQ2 2015","Currency=INR","Period=FQ","BEST_FPERIOD_OVERRIDE=FQ","FILING_STATUS=OR","EQY_CONSOLIDATED=Y","Sort=A","Dates=H","DateFormat=P","Fill=—","Direction=H","UseDPDF=Y")</f>
        <v>#NAME?</v>
      </c>
      <c r="AB160" s="2" t="e">
        <f ca="1">_xll.BDH($C$153,"NET_FIXED_ASSETS_1_YEAR_GROWTH","FQ2 2015","FQ2 2015","Currency=INR","Period=FQ","BEST_FPERIOD_OVERRIDE=FQ","FILING_STATUS=OR","EQY_CONSOLIDATED=Y","Sort=A","Dates=H","DateFormat=P","Fill=—","Direction=H","UseDPDF=Y")</f>
        <v>#NAME?</v>
      </c>
      <c r="AC160" s="2" t="e">
        <f ca="1">_xll.BDH($C$153,"ASSET_GROWTH","FQ2 2015","FQ2 2015","Currency=INR","Period=FQ","BEST_FPERIOD_OVERRIDE=FQ","FILING_STATUS=OR","EQY_CONSOLIDATED=Y","Sort=A","Dates=H","DateFormat=P","Fill=—","Direction=H","UseDPDF=Y")</f>
        <v>#NAME?</v>
      </c>
      <c r="AD160" s="2" t="e">
        <f ca="1">_xll.BDH($C$153,"MODIFIED_WORK_CAP_GROWTH","FQ2 2015","FQ2 2015","Currency=INR","Period=FQ","BEST_FPERIOD_OVERRIDE=FQ","FILING_STATUS=OR","EQY_CONSOLIDATED=Y","Sort=A","Dates=H","DateFormat=P","Fill=—","Direction=H","UseDPDF=Y")</f>
        <v>#NAME?</v>
      </c>
      <c r="AE160" s="2" t="e">
        <f ca="1">_xll.BDH($C$153,"WORK_CAP_GROWTH","FQ2 2015","FQ2 2015","Currency=INR","Period=FQ","BEST_FPERIOD_OVERRIDE=FQ","FILING_STATUS=OR","EQY_CONSOLIDATED=Y","Sort=A","Dates=H","DateFormat=P","Fill=—","Direction=H","UseDPDF=Y")</f>
        <v>#NAME?</v>
      </c>
      <c r="AF160" s="2" t="e">
        <f ca="1">_xll.BDH($C$153,"ACCOUNTS_PAYABLE_GROWTH_1YR","FQ2 2015","FQ2 2015","Currency=INR","Period=FQ","BEST_FPERIOD_OVERRIDE=FQ","FILING_STATUS=OR","EQY_CONSOLIDATED=Y","Sort=A","Dates=H","DateFormat=P","Fill=—","Direction=H","UseDPDF=Y")</f>
        <v>#NAME?</v>
      </c>
      <c r="AG160" s="2" t="e">
        <f ca="1">_xll.BDH($C$153,"SHORT_TERM_DEBT_1_YEAR_GROWTH","FQ2 2015","FQ2 2015","Currency=INR","Period=FQ","BEST_FPERIOD_OVERRIDE=FQ","FILING_STATUS=OR","EQY_CONSOLIDATED=Y","Sort=A","Dates=H","DateFormat=P","Fill=—","Direction=H","UseDPDF=Y")</f>
        <v>#NAME?</v>
      </c>
      <c r="AH160" s="2" t="e">
        <f ca="1">_xll.BDH($C$153,"TOTAL_DEBT_1_YEAR_GROWTH","FQ2 2015","FQ2 2015","Currency=INR","Period=FQ","BEST_FPERIOD_OVERRIDE=FQ","FILING_STATUS=OR","EQY_CONSOLIDATED=Y","Sort=A","Dates=H","DateFormat=P","Fill=—","Direction=H","UseDPDF=Y")</f>
        <v>#NAME?</v>
      </c>
      <c r="AI160" s="2" t="e">
        <f ca="1">_xll.BDH($C$153,"TOTAL_EQUITY_1_YEAR_GROWTH","FQ2 2015","FQ2 2015","Currency=INR","Period=FQ","BEST_FPERIOD_OVERRIDE=FQ","FILING_STATUS=OR","EQY_CONSOLIDATED=Y","Sort=A","Dates=H","DateFormat=P","Fill=—","Direction=H","UseDPDF=Y")</f>
        <v>#NAME?</v>
      </c>
      <c r="AJ160" s="2" t="e">
        <f ca="1">_xll.BDH($C$153,"GROWTH_IN_CAP","FQ2 2015","FQ2 2015","Currency=INR","Period=FQ","BEST_FPERIOD_OVERRIDE=FQ","FILING_STATUS=OR","EQY_CONSOLIDATED=Y","Sort=A","Dates=H","DateFormat=P","Fill=—","Direction=H","UseDPDF=Y")</f>
        <v>#NAME?</v>
      </c>
      <c r="AK160" s="2" t="e">
        <f ca="1">_xll.BDH($C$153,"BVPS_GROWTH","FQ2 2015","FQ2 2015","Currency=INR","Period=FQ","BEST_FPERIOD_OVERRIDE=FQ","FILING_STATUS=OR","EQY_CONSOLIDATED=Y","Sort=A","Dates=H","DateFormat=P","Fill=—","Direction=H","UseDPDF=Y")</f>
        <v>#NAME?</v>
      </c>
      <c r="AL160" s="2" t="e">
        <f ca="1">_xll.BDH($C$153,"CASH_FLOW_GROWTH","FQ2 2015","FQ2 2015","Currency=INR","Period=FQ","BEST_FPERIOD_OVERRIDE=FQ","FILING_STATUS=OR","EQY_CONSOLIDATED=Y","Sort=A","Dates=H","DateFormat=P","Fill=—","Direction=H","UseDPDF=Y")</f>
        <v>#NAME?</v>
      </c>
      <c r="AM160" s="2" t="e">
        <f ca="1">_xll.BDH($C$153,"GEO_GROW_NET_SALES","FQ2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60" s="2" t="e">
        <f ca="1">_xll.BDH($C$153,"GEO_GROW_EBITDA","FQ2 2015","FQ2 2015","Currency=INR","Period=FQ","BEST_FPERIOD_OVERRIDE=FQ","FILING_STATUS=OR","EQY_CONSOLIDATED=Y","FA_ADJUSTED=GAAP","Sort=A","Dates=H","DateFormat=P","Fill=—","Direction=H","UseDPDF=Y")</f>
        <v>#NAME?</v>
      </c>
      <c r="AO160" s="2" t="e">
        <f ca="1">_xll.BDH($C$153,"GEO_GROW_OPER_INC","FQ2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60" s="2" t="e">
        <f ca="1">_xll.BDH($C$153,"NET_INCOME_TO_COMMON_5_YR_GROWTH","FQ2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60" s="2" t="e">
        <f ca="1">_xll.BDH($C$153,"5Y_GEO_GROWTH_DILUTED_EPS","FQ2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60" s="2" t="e">
        <f ca="1">_xll.BDH($C$153,"GEO_GROW_DVD_PER_SH","FQ2 2015","FQ2 2015","Currency=INR","Period=FQ","BEST_FPERIOD_OVERRIDE=FQ","FILING_STATUS=OR","EQY_CONSOLIDATED=Y","Sort=A","Dates=H","DateFormat=P","Fill=—","Direction=H","UseDPDF=Y")</f>
        <v>#NAME?</v>
      </c>
      <c r="AS160" s="2" t="e">
        <f ca="1">_xll.BDH($C$153,"ACCOUNTS_RECEIVABLE_5_YR_GROWTH","FQ2 2015","FQ2 2015","Currency=INR","Period=FQ","BEST_FPERIOD_OVERRIDE=FQ","FILING_STATUS=OR","EQY_CONSOLIDATED=Y","Sort=A","Dates=H","DateFormat=P","Fill=—","Direction=H","UseDPDF=Y")</f>
        <v>#NAME?</v>
      </c>
      <c r="AT160" s="2" t="e">
        <f ca="1">_xll.BDH($C$153,"INVENTORY_5_YEAR_GROWTH","FQ2 2015","FQ2 2015","Currency=INR","Period=FQ","BEST_FPERIOD_OVERRIDE=FQ","FILING_STATUS=OR","EQY_CONSOLIDATED=Y","Sort=A","Dates=H","DateFormat=P","Fill=—","Direction=H","UseDPDF=Y")</f>
        <v>#NAME?</v>
      </c>
      <c r="AU160" s="2" t="e">
        <f ca="1">_xll.BDH($C$153,"NET_FIXED_ASSETS_5_YEAR_GROWTH","FQ2 2015","FQ2 2015","Currency=INR","Period=FQ","BEST_FPERIOD_OVERRIDE=FQ","FILING_STATUS=OR","EQY_CONSOLIDATED=Y","Sort=A","Dates=H","DateFormat=P","Fill=—","Direction=H","UseDPDF=Y")</f>
        <v>#NAME?</v>
      </c>
      <c r="AV160" s="2" t="e">
        <f ca="1">_xll.BDH($C$153,"GEO_GROW_TOT_ASSET","FQ2 2015","FQ2 2015","Currency=INR","Period=FQ","BEST_FPERIOD_OVERRIDE=FQ","FILING_STATUS=OR","EQY_CONSOLIDATED=Y","Sort=A","Dates=H","DateFormat=P","Fill=—","Direction=H","UseDPDF=Y")</f>
        <v>#NAME?</v>
      </c>
      <c r="AW160" s="2" t="e">
        <f ca="1">_xll.BDH($C$153,"MODIFIED_WORKING_CPTL_5YR_GRWTH","FQ2 2015","FQ2 2015","Currency=INR","Period=FQ","BEST_FPERIOD_OVERRIDE=FQ","FILING_STATUS=OR","EQY_CONSOLIDATED=Y","Sort=A","Dates=H","DateFormat=P","Fill=—","Direction=H","UseDPDF=Y")</f>
        <v>#NAME?</v>
      </c>
      <c r="AX160" s="2" t="e">
        <f ca="1">_xll.BDH($C$153,"WORKING_CAPITAL_5_YEAR_GROWTH","FQ2 2015","FQ2 2015","Currency=INR","Period=FQ","BEST_FPERIOD_OVERRIDE=FQ","FILING_STATUS=OR","EQY_CONSOLIDATED=Y","Sort=A","Dates=H","DateFormat=P","Fill=—","Direction=H","UseDPDF=Y")</f>
        <v>#NAME?</v>
      </c>
      <c r="AY160" s="2" t="e">
        <f ca="1">_xll.BDH($C$153,"ACCOUNTS_PAYABLE_5_YEAR_GROWTH","FQ2 2015","FQ2 2015","Currency=INR","Period=FQ","BEST_FPERIOD_OVERRIDE=FQ","FILING_STATUS=OR","EQY_CONSOLIDATED=Y","Sort=A","Dates=H","DateFormat=P","Fill=—","Direction=H","UseDPDF=Y")</f>
        <v>#NAME?</v>
      </c>
      <c r="AZ160" s="2" t="e">
        <f ca="1">_xll.BDH($C$153,"SHORT_TERM_DEBT_5_YEAR_GROWTH","FQ2 2015","FQ2 2015","Currency=INR","Period=FQ","BEST_FPERIOD_OVERRIDE=FQ","FILING_STATUS=OR","EQY_CONSOLIDATED=Y","Sort=A","Dates=H","DateFormat=P","Fill=—","Direction=H","UseDPDF=Y")</f>
        <v>#NAME?</v>
      </c>
      <c r="BA160" s="2" t="e">
        <f ca="1">_xll.BDH($C$153,"TOTAL_DEBT_5_YEAR_GROWTH","FQ2 2015","FQ2 2015","Currency=INR","Period=FQ","BEST_FPERIOD_OVERRIDE=FQ","FILING_STATUS=OR","EQY_CONSOLIDATED=Y","Sort=A","Dates=H","DateFormat=P","Fill=—","Direction=H","UseDPDF=Y")</f>
        <v>#NAME?</v>
      </c>
      <c r="BB160" s="2" t="e">
        <f ca="1">_xll.BDH($C$153,"GEO_GROW_TOT_SHRHLDR_EQY","FQ2 2015","FQ2 2015","Currency=INR","Period=FQ","BEST_FPERIOD_OVERRIDE=FQ","FILING_STATUS=OR","EQY_CONSOLIDATED=Y","Sort=A","Dates=H","DateFormat=P","Fill=—","Direction=H","UseDPDF=Y")</f>
        <v>#NAME?</v>
      </c>
      <c r="BC160" s="2" t="e">
        <f ca="1">_xll.BDH($C$153,"TOTAL_CAPITAL_5_YEAR_GROWTH","FQ2 2015","FQ2 2015","Currency=INR","Period=FQ","BEST_FPERIOD_OVERRIDE=FQ","FILING_STATUS=OR","EQY_CONSOLIDATED=Y","Sort=A","Dates=H","DateFormat=P","Fill=—","Direction=H","UseDPDF=Y")</f>
        <v>#NAME?</v>
      </c>
      <c r="BD160" s="2" t="e">
        <f ca="1">_xll.BDH($C$153,"GEO_GROW_BOOK_VAL","FQ2 2015","FQ2 2015","Currency=INR","Period=FQ","BEST_FPERIOD_OVERRIDE=FQ","FILING_STATUS=OR","EQY_CONSOLIDATED=Y","Sort=A","Dates=H","DateFormat=P","Fill=—","Direction=H","UseDPDF=Y")</f>
        <v>#NAME?</v>
      </c>
      <c r="BE160" s="2" t="e">
        <f ca="1">_xll.BDH($C$153,"GEO_GROW_CASH_OPER_ACT","FQ2 2015","FQ2 2015","Currency=INR","Period=FQ","BEST_FPERIOD_OVERRIDE=FQ","FILING_STATUS=OR","EQY_CONSOLIDATED=Y","Sort=A","Dates=H","DateFormat=P","Fill=—","Direction=H","UseDPDF=Y")</f>
        <v>#NAME?</v>
      </c>
      <c r="BF160" s="2" t="e">
        <f ca="1">_xll.BDH($C$153,"REVENUE_SEQUENTIAL_GROWTH","FQ2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60" s="2" t="e">
        <f ca="1">_xll.BDH($C$153,"EBITDA_SEQUENTIAL_GROWTH","FQ2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60" s="2" t="e">
        <f ca="1">_xll.BDH($C$153,"OPERATING_INCOME_SEQ_GROWTH","FQ2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60" s="2" t="e">
        <f ca="1">_xll.BDH($C$153,"NET_INCOME_TO_COMMON_SEQ_GROWTH","FQ2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60" s="2" t="e">
        <f ca="1">_xll.BDH($C$153,"EPS_DILUTED_SEQUENTIAL_GROWTH","FQ2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60" s="2" t="e">
        <f ca="1">_xll.BDH($C$153,"DPS_SEQUENTIAL_GROWTH","FQ2 2015","FQ2 2015","Currency=INR","Period=FQ","BEST_FPERIOD_OVERRIDE=FQ","FILING_STATUS=OR","EQY_CONSOLIDATED=Y","Sort=A","Dates=H","DateFormat=P","Fill=—","Direction=H","UseDPDF=Y")</f>
        <v>#NAME?</v>
      </c>
      <c r="BL160" s="2" t="e">
        <f ca="1">_xll.BDH($C$153,"ACCOUNTS_RECEIVABLE_SEQ_GROWTH","FQ2 2015","FQ2 2015","Currency=INR","Period=FQ","BEST_FPERIOD_OVERRIDE=FQ","FILING_STATUS=OR","EQY_CONSOLIDATED=Y","Sort=A","Dates=H","DateFormat=P","Fill=—","Direction=H","UseDPDF=Y")</f>
        <v>#NAME?</v>
      </c>
      <c r="BM160" s="2" t="e">
        <f ca="1">_xll.BDH($C$153,"INVENTORY_SEQUENTIAL_GROWTH","FQ2 2015","FQ2 2015","Currency=INR","Period=FQ","BEST_FPERIOD_OVERRIDE=FQ","FILING_STATUS=OR","EQY_CONSOLIDATED=Y","Sort=A","Dates=H","DateFormat=P","Fill=—","Direction=H","UseDPDF=Y")</f>
        <v>#NAME?</v>
      </c>
      <c r="BN160" s="2" t="e">
        <f ca="1">_xll.BDH($C$153,"FIXED_ASSETS_SEQUENTIAL_GROWTH","FQ2 2015","FQ2 2015","Currency=INR","Period=FQ","BEST_FPERIOD_OVERRIDE=FQ","FILING_STATUS=OR","EQY_CONSOLIDATED=Y","Sort=A","Dates=H","DateFormat=P","Fill=—","Direction=H","UseDPDF=Y")</f>
        <v>#NAME?</v>
      </c>
      <c r="BO160" s="2" t="e">
        <f ca="1">_xll.BDH($C$153,"TOTAL_ASSETS_SEQUENTIAL_GROWTH","FQ2 2015","FQ2 2015","Currency=INR","Period=FQ","BEST_FPERIOD_OVERRIDE=FQ","FILING_STATUS=OR","EQY_CONSOLIDATED=Y","Sort=A","Dates=H","DateFormat=P","Fill=—","Direction=H","UseDPDF=Y")</f>
        <v>#NAME?</v>
      </c>
      <c r="BP160" s="2" t="e">
        <f ca="1">_xll.BDH($C$153,"MODIFIED_WORKING_CPTL_SEQ_GRWTH","FQ2 2015","FQ2 2015","Currency=INR","Period=FQ","BEST_FPERIOD_OVERRIDE=FQ","FILING_STATUS=OR","EQY_CONSOLIDATED=Y","Sort=A","Dates=H","DateFormat=P","Fill=—","Direction=H","UseDPDF=Y")</f>
        <v>#NAME?</v>
      </c>
      <c r="BQ160" s="2" t="e">
        <f ca="1">_xll.BDH($C$153,"WORKING_CAPITAL_SEQ_GROWTH","FQ2 2015","FQ2 2015","Currency=INR","Period=FQ","BEST_FPERIOD_OVERRIDE=FQ","FILING_STATUS=OR","EQY_CONSOLIDATED=Y","Sort=A","Dates=H","DateFormat=P","Fill=—","Direction=H","UseDPDF=Y")</f>
        <v>#NAME?</v>
      </c>
      <c r="BR160" s="2" t="e">
        <f ca="1">_xll.BDH($C$153,"ACCOUNTS_PAYABLE_SEQ_GROWTH","FQ2 2015","FQ2 2015","Currency=INR","Period=FQ","BEST_FPERIOD_OVERRIDE=FQ","FILING_STATUS=OR","EQY_CONSOLIDATED=Y","Sort=A","Dates=H","DateFormat=P","Fill=—","Direction=H","UseDPDF=Y")</f>
        <v>#NAME?</v>
      </c>
      <c r="BS160" s="2" t="e">
        <f ca="1">_xll.BDH($C$153,"ST_DEBT_SEQUENTIAL_GROWTH","FQ2 2015","FQ2 2015","Currency=INR","Period=FQ","BEST_FPERIOD_OVERRIDE=FQ","FILING_STATUS=OR","EQY_CONSOLIDATED=Y","Sort=A","Dates=H","DateFormat=P","Fill=—","Direction=H","UseDPDF=Y")</f>
        <v>#NAME?</v>
      </c>
      <c r="BT160" s="2" t="e">
        <f ca="1">_xll.BDH($C$153,"TOTAL_DEBT_SEQUENTIAL_GROWTH","FQ2 2015","FQ2 2015","Currency=INR","Period=FQ","BEST_FPERIOD_OVERRIDE=FQ","FILING_STATUS=OR","EQY_CONSOLIDATED=Y","Sort=A","Dates=H","DateFormat=P","Fill=—","Direction=H","UseDPDF=Y")</f>
        <v>#NAME?</v>
      </c>
      <c r="BU160" s="2" t="e">
        <f ca="1">_xll.BDH($C$153,"TOTAL_EQUITY_SEQUENTIAL_GROWTH","FQ2 2015","FQ2 2015","Currency=INR","Period=FQ","BEST_FPERIOD_OVERRIDE=FQ","FILING_STATUS=OR","EQY_CONSOLIDATED=Y","Sort=A","Dates=H","DateFormat=P","Fill=—","Direction=H","UseDPDF=Y")</f>
        <v>#NAME?</v>
      </c>
      <c r="BV160" s="2" t="e">
        <f ca="1">_xll.BDH($C$153,"TOTAL_CAPITAL_SEQUENTIAL_GROWTH","FQ2 2015","FQ2 2015","Currency=INR","Period=FQ","BEST_FPERIOD_OVERRIDE=FQ","FILING_STATUS=OR","EQY_CONSOLIDATED=Y","Sort=A","Dates=H","DateFormat=P","Fill=—","Direction=H","UseDPDF=Y")</f>
        <v>#NAME?</v>
      </c>
      <c r="BW160" s="2" t="e">
        <f ca="1">_xll.BDH($C$153,"BPS_SEQUENTIAL_GROWTH","FQ2 2015","FQ2 2015","Currency=INR","Period=FQ","BEST_FPERIOD_OVERRIDE=FQ","FILING_STATUS=OR","EQY_CONSOLIDATED=Y","Sort=A","Dates=H","DateFormat=P","Fill=—","Direction=H","UseDPDF=Y")</f>
        <v>#NAME?</v>
      </c>
      <c r="BX160" s="2" t="e">
        <f ca="1">_xll.BDH($C$153,"CFO_SEQUENTIAL_GROWTH","FQ2 2015","FQ2 2015","Currency=INR","Period=FQ","BEST_FPERIOD_OVERRIDE=FQ","FILING_STATUS=OR","EQY_CONSOLIDATED=Y","Sort=A","Dates=H","DateFormat=P","Fill=—","Direction=H","UseDPDF=Y")</f>
        <v>#NAME?</v>
      </c>
      <c r="BY160" s="3" t="e">
        <f ca="1">_xll.BDH($C$153,"SHORT_AND_LONG_TERM_DEBT","FQ2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60" s="3" t="e">
        <f ca="1">_xll.BDH($C$153,"BS_ST_BORROW","FQ2 2015","FQ2 2015","Currency=INR","Period=FQ","BEST_FPERIOD_OVERRIDE=FQ","FILING_STATUS=OR","EQY_CONSOLIDATED=Y","SCALING_FORMAT=MLN","Sort=A","Dates=H","DateFormat=P","Fill=—","Direction=H","UseDPDF=Y")</f>
        <v>#NAME?</v>
      </c>
      <c r="CA160" s="3" t="e">
        <f ca="1">_xll.BDH($C$153,"BS_LT_BORROW","FQ2 2015","FQ2 2015","Currency=INR","Period=FQ","BEST_FPERIOD_OVERRIDE=FQ","FILING_STATUS=OR","EQY_CONSOLIDATED=Y","SCALING_FORMAT=MLN","Sort=A","Dates=H","DateFormat=P","Fill=—","Direction=H","UseDPDF=Y")</f>
        <v>#NAME?</v>
      </c>
      <c r="CB160" s="2" t="e">
        <f ca="1">_xll.BDH($C$153,"TOT_DEBT_TO_EBITDA","FQ2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60" s="2" t="e">
        <f ca="1">_xll.BDH($C$153,"NET_DEBT_TO_EBITDA","FQ2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60" s="2" t="e">
        <f ca="1">_xll.BDH($C$153,"TOTAL_DEBT_TO_EBIT","FQ2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60" s="2" t="e">
        <f ca="1">_xll.BDH($C$153,"NET_DEBT_TO_EBIT","FQ2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160" s="2" t="e">
        <f ca="1">_xll.BDH($C$153,"EBITDA_TO_INTEREST_EXPN","FQ2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60" s="2" t="e">
        <f ca="1">_xll.BDH($C$153,"COM_EQY_TO_TOT_ASSET","FQ2 2015","FQ2 2015","Currency=INR","Period=FQ","BEST_FPERIOD_OVERRIDE=FQ","FILING_STATUS=OR","EQY_CONSOLIDATED=Y","Sort=A","Dates=H","DateFormat=P","Fill=—","Direction=H","UseDPDF=Y")</f>
        <v>#NAME?</v>
      </c>
      <c r="CH160" s="2" t="e">
        <f ca="1">_xll.BDH($C$153,"LT_DEBT_TO_TOT_EQY","FQ2 2015","FQ2 2015","Currency=INR","Period=FQ","BEST_FPERIOD_OVERRIDE=FQ","FILING_STATUS=OR","EQY_CONSOLIDATED=Y","Sort=A","Dates=H","DateFormat=P","Fill=—","Direction=H","UseDPDF=Y")</f>
        <v>#NAME?</v>
      </c>
      <c r="CI160" s="2" t="e">
        <f ca="1">_xll.BDH($C$153,"LT_DEBT_TO_TOT_CAP","FQ2 2015","FQ2 2015","Currency=INR","Period=FQ","BEST_FPERIOD_OVERRIDE=FQ","FILING_STATUS=OR","EQY_CONSOLIDATED=Y","Sort=A","Dates=H","DateFormat=P","Fill=—","Direction=H","UseDPDF=Y")</f>
        <v>#NAME?</v>
      </c>
      <c r="CJ160" s="2" t="e">
        <f ca="1">_xll.BDH($C$153,"LT_DEBT_TO_TOT_ASSET","FQ2 2015","FQ2 2015","Currency=INR","Period=FQ","BEST_FPERIOD_OVERRIDE=FQ","FILING_STATUS=OR","EQY_CONSOLIDATED=Y","Sort=A","Dates=H","DateFormat=P","Fill=—","Direction=H","UseDPDF=Y")</f>
        <v>#NAME?</v>
      </c>
      <c r="CK160" s="2" t="e">
        <f ca="1">_xll.BDH($C$153,"TOT_DEBT_TO_TOT_EQY","FQ2 2015","FQ2 2015","Currency=INR","Period=FQ","BEST_FPERIOD_OVERRIDE=FQ","FILING_STATUS=OR","EQY_CONSOLIDATED=Y","Sort=A","Dates=H","DateFormat=P","Fill=—","Direction=H","UseDPDF=Y")</f>
        <v>#NAME?</v>
      </c>
      <c r="CL160" s="2" t="e">
        <f ca="1">_xll.BDH($C$153,"TOT_DEBT_TO_TOT_CAP","FQ2 2015","FQ2 2015","Currency=INR","Period=FQ","BEST_FPERIOD_OVERRIDE=FQ","FILING_STATUS=OR","EQY_CONSOLIDATED=Y","Sort=A","Dates=H","DateFormat=P","Fill=—","Direction=H","UseDPDF=Y")</f>
        <v>#NAME?</v>
      </c>
      <c r="CM160" s="2" t="e">
        <f ca="1">_xll.BDH($C$153,"TOT_DEBT_TO_TOT_ASSET","FQ2 2015","FQ2 2015","Currency=INR","Period=FQ","BEST_FPERIOD_OVERRIDE=FQ","FILING_STATUS=OR","EQY_CONSOLIDATED=Y","Sort=A","Dates=H","DateFormat=P","Fill=—","Direction=H","UseDPDF=Y")</f>
        <v>#NAME?</v>
      </c>
      <c r="CN160" s="2" t="e">
        <f ca="1">_xll.BDH($C$153,"NET_DEBT_TO_SHRHLDR_EQTY","FQ2 2015","FQ2 2015","Currency=INR","Period=FQ","BEST_FPERIOD_OVERRIDE=FQ","FILING_STATUS=OR","EQY_CONSOLIDATED=Y","Sort=A","Dates=H","DateFormat=P","Fill=—","Direction=H","UseDPDF=Y")</f>
        <v>#NAME?</v>
      </c>
      <c r="CO160" s="2" t="e">
        <f ca="1">_xll.BDH($C$153,"NET_DEBT_%_CAPITAL","FQ2 2015","FQ2 2015","Currency=INR","Period=FQ","BEST_FPERIOD_OVERRIDE=FQ","FILING_STATUS=OR","EQY_CONSOLIDATED=Y","Sort=A","Dates=H","DateFormat=P","Fill=—","Direction=H","UseDPDF=Y")</f>
        <v>#NAME?</v>
      </c>
      <c r="CP160" s="3" t="e">
        <f ca="1">_xll.BDH($C$153,"EBITDA","FQ2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60" s="3" t="e">
        <f ca="1">_xll.BDH($C$153,"EBITDA_AFTER_CAPEX","FQ2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60" s="3" t="e">
        <f ca="1">_xll.BDH($C$153,"IS_OPER_INC","FQ2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60" s="2" t="e">
        <f ca="1">_xll.BDH($C$153,"CASH_RATIO","FQ2 2015","FQ2 2015","Currency=INR","Period=FQ","BEST_FPERIOD_OVERRIDE=FQ","FILING_STATUS=OR","EQY_CONSOLIDATED=Y","Sort=A","Dates=H","DateFormat=P","Fill=—","Direction=H","UseDPDF=Y")</f>
        <v>#NAME?</v>
      </c>
      <c r="CT160" s="2" t="e">
        <f ca="1">_xll.BDH($C$153,"CUR_RATIO","FQ2 2015","FQ2 2015","Currency=INR","Period=FQ","BEST_FPERIOD_OVERRIDE=FQ","FILING_STATUS=OR","EQY_CONSOLIDATED=Y","Sort=A","Dates=H","DateFormat=P","Fill=—","Direction=H","UseDPDF=Y")</f>
        <v>#NAME?</v>
      </c>
      <c r="CU160" s="2" t="e">
        <f ca="1">_xll.BDH($C$153,"QUICK_RATIO","FQ2 2015","FQ2 2015","Currency=INR","Period=FQ","BEST_FPERIOD_OVERRIDE=FQ","FILING_STATUS=OR","EQY_CONSOLIDATED=Y","Sort=A","Dates=H","DateFormat=P","Fill=—","Direction=H","UseDPDF=Y")</f>
        <v>#NAME?</v>
      </c>
      <c r="CV160" s="2" t="e">
        <f ca="1">_xll.BDH($C$153,"ALTMAN_Z_SCORE","FQ2 2015","FQ2 2015","Currency=INR","Period=FQ","BEST_FPERIOD_OVERRIDE=FQ","FILING_STATUS=OR","EQY_CONSOLIDATED=Y","Sort=A","Dates=H","DateFormat=P","Fill=—","Direction=H","UseDPDF=Y")</f>
        <v>#NAME?</v>
      </c>
      <c r="CW160" s="4" t="e">
        <f ca="1">_xll.BDH($C$153,"ACCT_RCV_TURN","FQ2 2015","FQ2 2015","Currency=INR","Period=FQ","BEST_FPERIOD_OVERRIDE=FQ","FILING_STATUS=OR","EQY_CONSOLIDATED=Y","FA_ADJUSTED=GAAP","Sort=A","Dates=H","DateFormat=P","Fill=—","Direction=H","UseDPDF=Y")</f>
        <v>#NAME?</v>
      </c>
      <c r="CX160" s="2" t="e">
        <f ca="1">_xll.BDH($C$153,"ACCT_RCV_DAYS","FQ2 2015","FQ2 2015","Currency=INR","Period=FQ","BEST_FPERIOD_OVERRIDE=FQ","FILING_STATUS=OR","EQY_CONSOLIDATED=Y","FA_ADJUSTED=GAAP","Sort=A","Dates=H","DateFormat=P","Fill=—","Direction=H","UseDPDF=Y")</f>
        <v>#NAME?</v>
      </c>
      <c r="CY160" s="4" t="e">
        <f ca="1">_xll.BDH($C$153,"INVENT_TURN","FQ2 2015","FQ2 2015","Currency=INR","Period=FQ","BEST_FPERIOD_OVERRIDE=FQ","FILING_STATUS=OR","EQY_CONSOLIDATED=Y","FA_ADJUSTED=GAAP","Sort=A","Dates=H","DateFormat=P","Fill=—","Direction=H","UseDPDF=Y")</f>
        <v>#NAME?</v>
      </c>
      <c r="CZ160" s="2" t="e">
        <f ca="1">_xll.BDH($C$153,"INVENT_DAYS","FQ2 2015","FQ2 2015","Currency=INR","Period=FQ","BEST_FPERIOD_OVERRIDE=FQ","FILING_STATUS=OR","EQY_CONSOLIDATED=Y","FA_ADJUSTED=GAAP","Sort=A","Dates=H","DateFormat=P","Fill=—","Direction=H","UseDPDF=Y")</f>
        <v>#NAME?</v>
      </c>
      <c r="DA160" s="4" t="e">
        <f ca="1">_xll.BDH($C$153,"ACCOUNTS_PAYABLE_TURNOVER","FQ2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60" s="2" t="e">
        <f ca="1">_xll.BDH($C$153,"ACCOUNTS_PAYABLE_TURNOVER_DAYS","FQ2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60" s="4" t="e">
        <f ca="1">_xll.BDH($C$153,"CASH_CONVERSION_CYCLE","FQ2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60" s="4" t="e">
        <f ca="1">_xll.BDH($C$153,"INV_TO_CASH_DAYS","FQ2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160" s="5" t="e">
        <f ca="1">_xll.BDH($C$153,"BS_INVENTORIES","FQ2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160" s="3" t="e">
        <f ca="1">_xll.BDH($C$153,"INVTRY_RAW_MATERIALS","FQ2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60" s="3" t="e">
        <f ca="1">_xll.BDH($C$153,"INVTRY_IN_PROGRESS","FQ2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60" s="3" t="e">
        <f ca="1">_xll.BDH($C$153,"INVTRY_FINISHED_GOODS","FQ2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60" s="3" t="e">
        <f ca="1">_xll.BDH($C$153,"BS_OTHER_INV","FQ2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61" spans="1:113" x14ac:dyDescent="0.3">
      <c r="A161" s="6"/>
      <c r="B161" s="6"/>
      <c r="C161" s="6"/>
      <c r="D161" s="6"/>
      <c r="E161" t="s">
        <v>80</v>
      </c>
      <c r="F161" t="e">
        <f ca="1">_xll.BDH($C$153,"RETURN_COM_EQY","FQ3 2015","FQ3 2015","Currency=INR","Period=FQ","BEST_FPERIOD_OVERRIDE=FQ","FILING_STATUS=OR","EQY_CONSOLIDATED=Y","FA_ADJUSTED=GAAP","Sort=A","Dates=H","DateFormat=P","Fill=—","Direction=H","UseDPDF=Y")</f>
        <v>#NAME?</v>
      </c>
      <c r="G161" t="e">
        <f ca="1">_xll.BDH($C$153,"RETURN_ON_ASSET","FQ3 2015","FQ3 2015","Currency=INR","Period=FQ","BEST_FPERIOD_OVERRIDE=FQ","FILING_STATUS=OR","EQY_CONSOLIDATED=Y","FA_ADJUSTED=GAAP","Sort=A","Dates=H","DateFormat=P","Fill=—","Direction=H","UseDPDF=Y")</f>
        <v>#NAME?</v>
      </c>
      <c r="H161" t="e">
        <f ca="1">_xll.BDH($C$153,"RETURN_ON_CAP","FQ3 2015","FQ3 2015","Currency=INR","Period=FQ","BEST_FPERIOD_OVERRIDE=FQ","FILING_STATUS=OR","EQY_CONSOLIDATED=Y","FA_ADJUSTED=GAAP","Sort=A","Dates=H","DateFormat=P","Fill=—","Direction=H","UseDPDF=Y")</f>
        <v>#NAME?</v>
      </c>
      <c r="I161" t="e">
        <f ca="1">_xll.BDH($C$153,"RETURN_ON_INV_CAPITAL","FQ3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61" t="e">
        <f ca="1">_xll.BDH($C$153,"EBITDA_TO_REVENUE","FQ3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161" t="e">
        <f ca="1">_xll.BDH($C$153,"OPER_MARGIN","FQ3 2015","FQ3 2015","Currency=INR","Period=FQ","BEST_FPERIOD_OVERRIDE=FQ","FILING_STATUS=OR","EQY_CONSOLIDATED=Y","FA_ADJUSTED=GAAP","Sort=A","Dates=H","DateFormat=P","Fill=—","Direction=H","UseDPDF=Y")</f>
        <v>#NAME?</v>
      </c>
      <c r="L161" t="e">
        <f ca="1">_xll.BDH($C$153,"INCREMENTAL_OPERATING_MARGIN","FQ3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61" t="e">
        <f ca="1">_xll.BDH($C$153,"PRETAX_INC_TO_NET_SALES","FQ3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61" t="e">
        <f ca="1">_xll.BDH($C$153,"INC_BEF_XO_ITEMS_TO_NET_SALES","FQ3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61" t="e">
        <f ca="1">_xll.BDH($C$153,"PROF_MARGIN","FQ3 2015","FQ3 2015","Currency=INR","Period=FQ","BEST_FPERIOD_OVERRIDE=FQ","FILING_STATUS=OR","EQY_CONSOLIDATED=Y","FA_ADJUSTED=GAAP","Sort=A","Dates=H","DateFormat=P","Fill=—","Direction=H","UseDPDF=Y")</f>
        <v>#NAME?</v>
      </c>
      <c r="P161" t="e">
        <f ca="1">_xll.BDH($C$153,"NET_INCOME_TO_COMMON_MARGIN","FQ3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61" t="e">
        <f ca="1">_xll.BDH($C$153,"EFF_TAX_RATE","FQ3 2015","FQ3 2015","Currency=INR","Period=FQ","BEST_FPERIOD_OVERRIDE=FQ","FILING_STATUS=OR","EQY_CONSOLIDATED=Y","FA_ADJUSTED=GAAP","Sort=A","Dates=H","DateFormat=P","Fill=—","Direction=H","UseDPDF=Y")</f>
        <v>#NAME?</v>
      </c>
      <c r="R161" t="e">
        <f ca="1">_xll.BDH($C$153,"DVD_PAYOUT_RATIO","FQ3 2015","FQ3 2015","Currency=INR","Period=FQ","BEST_FPERIOD_OVERRIDE=FQ","FILING_STATUS=OR","EQY_CONSOLIDATED=Y","FA_ADJUSTED=GAAP","Sort=A","Dates=H","DateFormat=P","Fill=—","Direction=H","UseDPDF=Y")</f>
        <v>#NAME?</v>
      </c>
      <c r="S161" t="e">
        <f ca="1">_xll.BDH($C$153,"SUSTAIN_GROWTH_RT","FQ3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161" s="2" t="e">
        <f ca="1">_xll.BDH($C$153,"SALES_GROWTH","FQ3 2015","FQ3 2015","Currency=INR","Period=FQ","BEST_FPERIOD_OVERRIDE=FQ","FILING_STATUS=OR","EQY_CONSOLIDATED=Y","FA_ADJUSTED=GAAP","Sort=A","Dates=H","DateFormat=P","Fill=—","Direction=H","UseDPDF=Y")</f>
        <v>#NAME?</v>
      </c>
      <c r="U161" s="2" t="e">
        <f ca="1">_xll.BDH($C$153,"EBITDA_GROWTH","FQ3 2015","FQ3 2015","Currency=INR","Period=FQ","BEST_FPERIOD_OVERRIDE=FQ","FILING_STATUS=OR","EQY_CONSOLIDATED=Y","FA_ADJUSTED=GAAP","Sort=A","Dates=H","DateFormat=P","Fill=—","Direction=H","UseDPDF=Y")</f>
        <v>#NAME?</v>
      </c>
      <c r="V161" s="2" t="e">
        <f ca="1">_xll.BDH($C$153,"OPER_INC_GROWTH","FQ3 2015","FQ3 2015","Currency=INR","Period=FQ","BEST_FPERIOD_OVERRIDE=FQ","FILING_STATUS=OR","EQY_CONSOLIDATED=Y","FA_ADJUSTED=GAAP","Sort=A","Dates=H","DateFormat=P","Fill=—","Direction=H","UseDPDF=Y")</f>
        <v>#NAME?</v>
      </c>
      <c r="W161" s="2" t="e">
        <f ca="1">_xll.BDH($C$153,"EARN_FOR_COM_GROWTH","FQ3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61" s="2" t="e">
        <f ca="1">_xll.BDH($C$153,"DILUTED_EPS_AFT_XO_ITEMS_GROWTH","FQ3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61" s="2" t="e">
        <f ca="1">_xll.BDH($C$153,"DIVIDEND_PER_SHARE_1_YEAR_GROWTH","FQ3 2015","FQ3 2015","Currency=INR","Period=FQ","BEST_FPERIOD_OVERRIDE=FQ","FILING_STATUS=OR","EQY_CONSOLIDATED=Y","Sort=A","Dates=H","DateFormat=P","Fill=—","Direction=H","UseDPDF=Y")</f>
        <v>#NAME?</v>
      </c>
      <c r="Z161" s="2" t="e">
        <f ca="1">_xll.BDH($C$153,"ACCOUNTS_RECEIVABLE_GROWTH","FQ3 2015","FQ3 2015","Currency=INR","Period=FQ","BEST_FPERIOD_OVERRIDE=FQ","FILING_STATUS=OR","EQY_CONSOLIDATED=Y","Sort=A","Dates=H","DateFormat=P","Fill=—","Direction=H","UseDPDF=Y")</f>
        <v>#NAME?</v>
      </c>
      <c r="AA161" s="2" t="e">
        <f ca="1">_xll.BDH($C$153,"INVENTORY_GROWTH","FQ3 2015","FQ3 2015","Currency=INR","Period=FQ","BEST_FPERIOD_OVERRIDE=FQ","FILING_STATUS=OR","EQY_CONSOLIDATED=Y","Sort=A","Dates=H","DateFormat=P","Fill=—","Direction=H","UseDPDF=Y")</f>
        <v>#NAME?</v>
      </c>
      <c r="AB161" s="2" t="e">
        <f ca="1">_xll.BDH($C$153,"NET_FIXED_ASSETS_1_YEAR_GROWTH","FQ3 2015","FQ3 2015","Currency=INR","Period=FQ","BEST_FPERIOD_OVERRIDE=FQ","FILING_STATUS=OR","EQY_CONSOLIDATED=Y","Sort=A","Dates=H","DateFormat=P","Fill=—","Direction=H","UseDPDF=Y")</f>
        <v>#NAME?</v>
      </c>
      <c r="AC161" s="2" t="e">
        <f ca="1">_xll.BDH($C$153,"ASSET_GROWTH","FQ3 2015","FQ3 2015","Currency=INR","Period=FQ","BEST_FPERIOD_OVERRIDE=FQ","FILING_STATUS=OR","EQY_CONSOLIDATED=Y","Sort=A","Dates=H","DateFormat=P","Fill=—","Direction=H","UseDPDF=Y")</f>
        <v>#NAME?</v>
      </c>
      <c r="AD161" s="2" t="e">
        <f ca="1">_xll.BDH($C$153,"MODIFIED_WORK_CAP_GROWTH","FQ3 2015","FQ3 2015","Currency=INR","Period=FQ","BEST_FPERIOD_OVERRIDE=FQ","FILING_STATUS=OR","EQY_CONSOLIDATED=Y","Sort=A","Dates=H","DateFormat=P","Fill=—","Direction=H","UseDPDF=Y")</f>
        <v>#NAME?</v>
      </c>
      <c r="AE161" s="2" t="e">
        <f ca="1">_xll.BDH($C$153,"WORK_CAP_GROWTH","FQ3 2015","FQ3 2015","Currency=INR","Period=FQ","BEST_FPERIOD_OVERRIDE=FQ","FILING_STATUS=OR","EQY_CONSOLIDATED=Y","Sort=A","Dates=H","DateFormat=P","Fill=—","Direction=H","UseDPDF=Y")</f>
        <v>#NAME?</v>
      </c>
      <c r="AF161" s="2" t="e">
        <f ca="1">_xll.BDH($C$153,"ACCOUNTS_PAYABLE_GROWTH_1YR","FQ3 2015","FQ3 2015","Currency=INR","Period=FQ","BEST_FPERIOD_OVERRIDE=FQ","FILING_STATUS=OR","EQY_CONSOLIDATED=Y","Sort=A","Dates=H","DateFormat=P","Fill=—","Direction=H","UseDPDF=Y")</f>
        <v>#NAME?</v>
      </c>
      <c r="AG161" s="2" t="e">
        <f ca="1">_xll.BDH($C$153,"SHORT_TERM_DEBT_1_YEAR_GROWTH","FQ3 2015","FQ3 2015","Currency=INR","Period=FQ","BEST_FPERIOD_OVERRIDE=FQ","FILING_STATUS=OR","EQY_CONSOLIDATED=Y","Sort=A","Dates=H","DateFormat=P","Fill=—","Direction=H","UseDPDF=Y")</f>
        <v>#NAME?</v>
      </c>
      <c r="AH161" s="2" t="e">
        <f ca="1">_xll.BDH($C$153,"TOTAL_DEBT_1_YEAR_GROWTH","FQ3 2015","FQ3 2015","Currency=INR","Period=FQ","BEST_FPERIOD_OVERRIDE=FQ","FILING_STATUS=OR","EQY_CONSOLIDATED=Y","Sort=A","Dates=H","DateFormat=P","Fill=—","Direction=H","UseDPDF=Y")</f>
        <v>#NAME?</v>
      </c>
      <c r="AI161" s="2" t="e">
        <f ca="1">_xll.BDH($C$153,"TOTAL_EQUITY_1_YEAR_GROWTH","FQ3 2015","FQ3 2015","Currency=INR","Period=FQ","BEST_FPERIOD_OVERRIDE=FQ","FILING_STATUS=OR","EQY_CONSOLIDATED=Y","Sort=A","Dates=H","DateFormat=P","Fill=—","Direction=H","UseDPDF=Y")</f>
        <v>#NAME?</v>
      </c>
      <c r="AJ161" s="2" t="e">
        <f ca="1">_xll.BDH($C$153,"GROWTH_IN_CAP","FQ3 2015","FQ3 2015","Currency=INR","Period=FQ","BEST_FPERIOD_OVERRIDE=FQ","FILING_STATUS=OR","EQY_CONSOLIDATED=Y","Sort=A","Dates=H","DateFormat=P","Fill=—","Direction=H","UseDPDF=Y")</f>
        <v>#NAME?</v>
      </c>
      <c r="AK161" s="2" t="e">
        <f ca="1">_xll.BDH($C$153,"BVPS_GROWTH","FQ3 2015","FQ3 2015","Currency=INR","Period=FQ","BEST_FPERIOD_OVERRIDE=FQ","FILING_STATUS=OR","EQY_CONSOLIDATED=Y","Sort=A","Dates=H","DateFormat=P","Fill=—","Direction=H","UseDPDF=Y")</f>
        <v>#NAME?</v>
      </c>
      <c r="AL161" s="2" t="e">
        <f ca="1">_xll.BDH($C$153,"CASH_FLOW_GROWTH","FQ3 2015","FQ3 2015","Currency=INR","Period=FQ","BEST_FPERIOD_OVERRIDE=FQ","FILING_STATUS=OR","EQY_CONSOLIDATED=Y","Sort=A","Dates=H","DateFormat=P","Fill=—","Direction=H","UseDPDF=Y")</f>
        <v>#NAME?</v>
      </c>
      <c r="AM161" s="2" t="e">
        <f ca="1">_xll.BDH($C$153,"GEO_GROW_NET_SALES","FQ3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61" s="2" t="e">
        <f ca="1">_xll.BDH($C$153,"GEO_GROW_EBITDA","FQ3 2015","FQ3 2015","Currency=INR","Period=FQ","BEST_FPERIOD_OVERRIDE=FQ","FILING_STATUS=OR","EQY_CONSOLIDATED=Y","FA_ADJUSTED=GAAP","Sort=A","Dates=H","DateFormat=P","Fill=—","Direction=H","UseDPDF=Y")</f>
        <v>#NAME?</v>
      </c>
      <c r="AO161" s="2" t="e">
        <f ca="1">_xll.BDH($C$153,"GEO_GROW_OPER_INC","FQ3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61" s="2" t="e">
        <f ca="1">_xll.BDH($C$153,"NET_INCOME_TO_COMMON_5_YR_GROWTH","FQ3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61" s="2" t="e">
        <f ca="1">_xll.BDH($C$153,"5Y_GEO_GROWTH_DILUTED_EPS","FQ3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61" s="2" t="e">
        <f ca="1">_xll.BDH($C$153,"GEO_GROW_DVD_PER_SH","FQ3 2015","FQ3 2015","Currency=INR","Period=FQ","BEST_FPERIOD_OVERRIDE=FQ","FILING_STATUS=OR","EQY_CONSOLIDATED=Y","Sort=A","Dates=H","DateFormat=P","Fill=—","Direction=H","UseDPDF=Y")</f>
        <v>#NAME?</v>
      </c>
      <c r="AS161" s="2" t="e">
        <f ca="1">_xll.BDH($C$153,"ACCOUNTS_RECEIVABLE_5_YR_GROWTH","FQ3 2015","FQ3 2015","Currency=INR","Period=FQ","BEST_FPERIOD_OVERRIDE=FQ","FILING_STATUS=OR","EQY_CONSOLIDATED=Y","Sort=A","Dates=H","DateFormat=P","Fill=—","Direction=H","UseDPDF=Y")</f>
        <v>#NAME?</v>
      </c>
      <c r="AT161" s="2" t="e">
        <f ca="1">_xll.BDH($C$153,"INVENTORY_5_YEAR_GROWTH","FQ3 2015","FQ3 2015","Currency=INR","Period=FQ","BEST_FPERIOD_OVERRIDE=FQ","FILING_STATUS=OR","EQY_CONSOLIDATED=Y","Sort=A","Dates=H","DateFormat=P","Fill=—","Direction=H","UseDPDF=Y")</f>
        <v>#NAME?</v>
      </c>
      <c r="AU161" s="2" t="e">
        <f ca="1">_xll.BDH($C$153,"NET_FIXED_ASSETS_5_YEAR_GROWTH","FQ3 2015","FQ3 2015","Currency=INR","Period=FQ","BEST_FPERIOD_OVERRIDE=FQ","FILING_STATUS=OR","EQY_CONSOLIDATED=Y","Sort=A","Dates=H","DateFormat=P","Fill=—","Direction=H","UseDPDF=Y")</f>
        <v>#NAME?</v>
      </c>
      <c r="AV161" s="2" t="e">
        <f ca="1">_xll.BDH($C$153,"GEO_GROW_TOT_ASSET","FQ3 2015","FQ3 2015","Currency=INR","Period=FQ","BEST_FPERIOD_OVERRIDE=FQ","FILING_STATUS=OR","EQY_CONSOLIDATED=Y","Sort=A","Dates=H","DateFormat=P","Fill=—","Direction=H","UseDPDF=Y")</f>
        <v>#NAME?</v>
      </c>
      <c r="AW161" s="2" t="e">
        <f ca="1">_xll.BDH($C$153,"MODIFIED_WORKING_CPTL_5YR_GRWTH","FQ3 2015","FQ3 2015","Currency=INR","Period=FQ","BEST_FPERIOD_OVERRIDE=FQ","FILING_STATUS=OR","EQY_CONSOLIDATED=Y","Sort=A","Dates=H","DateFormat=P","Fill=—","Direction=H","UseDPDF=Y")</f>
        <v>#NAME?</v>
      </c>
      <c r="AX161" s="2" t="e">
        <f ca="1">_xll.BDH($C$153,"WORKING_CAPITAL_5_YEAR_GROWTH","FQ3 2015","FQ3 2015","Currency=INR","Period=FQ","BEST_FPERIOD_OVERRIDE=FQ","FILING_STATUS=OR","EQY_CONSOLIDATED=Y","Sort=A","Dates=H","DateFormat=P","Fill=—","Direction=H","UseDPDF=Y")</f>
        <v>#NAME?</v>
      </c>
      <c r="AY161" s="2" t="e">
        <f ca="1">_xll.BDH($C$153,"ACCOUNTS_PAYABLE_5_YEAR_GROWTH","FQ3 2015","FQ3 2015","Currency=INR","Period=FQ","BEST_FPERIOD_OVERRIDE=FQ","FILING_STATUS=OR","EQY_CONSOLIDATED=Y","Sort=A","Dates=H","DateFormat=P","Fill=—","Direction=H","UseDPDF=Y")</f>
        <v>#NAME?</v>
      </c>
      <c r="AZ161" s="2" t="e">
        <f ca="1">_xll.BDH($C$153,"SHORT_TERM_DEBT_5_YEAR_GROWTH","FQ3 2015","FQ3 2015","Currency=INR","Period=FQ","BEST_FPERIOD_OVERRIDE=FQ","FILING_STATUS=OR","EQY_CONSOLIDATED=Y","Sort=A","Dates=H","DateFormat=P","Fill=—","Direction=H","UseDPDF=Y")</f>
        <v>#NAME?</v>
      </c>
      <c r="BA161" s="2" t="e">
        <f ca="1">_xll.BDH($C$153,"TOTAL_DEBT_5_YEAR_GROWTH","FQ3 2015","FQ3 2015","Currency=INR","Period=FQ","BEST_FPERIOD_OVERRIDE=FQ","FILING_STATUS=OR","EQY_CONSOLIDATED=Y","Sort=A","Dates=H","DateFormat=P","Fill=—","Direction=H","UseDPDF=Y")</f>
        <v>#NAME?</v>
      </c>
      <c r="BB161" s="2" t="e">
        <f ca="1">_xll.BDH($C$153,"GEO_GROW_TOT_SHRHLDR_EQY","FQ3 2015","FQ3 2015","Currency=INR","Period=FQ","BEST_FPERIOD_OVERRIDE=FQ","FILING_STATUS=OR","EQY_CONSOLIDATED=Y","Sort=A","Dates=H","DateFormat=P","Fill=—","Direction=H","UseDPDF=Y")</f>
        <v>#NAME?</v>
      </c>
      <c r="BC161" s="2" t="e">
        <f ca="1">_xll.BDH($C$153,"TOTAL_CAPITAL_5_YEAR_GROWTH","FQ3 2015","FQ3 2015","Currency=INR","Period=FQ","BEST_FPERIOD_OVERRIDE=FQ","FILING_STATUS=OR","EQY_CONSOLIDATED=Y","Sort=A","Dates=H","DateFormat=P","Fill=—","Direction=H","UseDPDF=Y")</f>
        <v>#NAME?</v>
      </c>
      <c r="BD161" s="2" t="e">
        <f ca="1">_xll.BDH($C$153,"GEO_GROW_BOOK_VAL","FQ3 2015","FQ3 2015","Currency=INR","Period=FQ","BEST_FPERIOD_OVERRIDE=FQ","FILING_STATUS=OR","EQY_CONSOLIDATED=Y","Sort=A","Dates=H","DateFormat=P","Fill=—","Direction=H","UseDPDF=Y")</f>
        <v>#NAME?</v>
      </c>
      <c r="BE161" s="2" t="e">
        <f ca="1">_xll.BDH($C$153,"GEO_GROW_CASH_OPER_ACT","FQ3 2015","FQ3 2015","Currency=INR","Period=FQ","BEST_FPERIOD_OVERRIDE=FQ","FILING_STATUS=OR","EQY_CONSOLIDATED=Y","Sort=A","Dates=H","DateFormat=P","Fill=—","Direction=H","UseDPDF=Y")</f>
        <v>#NAME?</v>
      </c>
      <c r="BF161" s="2" t="e">
        <f ca="1">_xll.BDH($C$153,"REVENUE_SEQUENTIAL_GROWTH","FQ3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61" s="2" t="e">
        <f ca="1">_xll.BDH($C$153,"EBITDA_SEQUENTIAL_GROWTH","FQ3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61" s="2" t="e">
        <f ca="1">_xll.BDH($C$153,"OPERATING_INCOME_SEQ_GROWTH","FQ3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61" s="2" t="e">
        <f ca="1">_xll.BDH($C$153,"NET_INCOME_TO_COMMON_SEQ_GROWTH","FQ3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61" s="2" t="e">
        <f ca="1">_xll.BDH($C$153,"EPS_DILUTED_SEQUENTIAL_GROWTH","FQ3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61" s="2" t="e">
        <f ca="1">_xll.BDH($C$153,"DPS_SEQUENTIAL_GROWTH","FQ3 2015","FQ3 2015","Currency=INR","Period=FQ","BEST_FPERIOD_OVERRIDE=FQ","FILING_STATUS=OR","EQY_CONSOLIDATED=Y","Sort=A","Dates=H","DateFormat=P","Fill=—","Direction=H","UseDPDF=Y")</f>
        <v>#NAME?</v>
      </c>
      <c r="BL161" s="2" t="e">
        <f ca="1">_xll.BDH($C$153,"ACCOUNTS_RECEIVABLE_SEQ_GROWTH","FQ3 2015","FQ3 2015","Currency=INR","Period=FQ","BEST_FPERIOD_OVERRIDE=FQ","FILING_STATUS=OR","EQY_CONSOLIDATED=Y","Sort=A","Dates=H","DateFormat=P","Fill=—","Direction=H","UseDPDF=Y")</f>
        <v>#NAME?</v>
      </c>
      <c r="BM161" s="2" t="e">
        <f ca="1">_xll.BDH($C$153,"INVENTORY_SEQUENTIAL_GROWTH","FQ3 2015","FQ3 2015","Currency=INR","Period=FQ","BEST_FPERIOD_OVERRIDE=FQ","FILING_STATUS=OR","EQY_CONSOLIDATED=Y","Sort=A","Dates=H","DateFormat=P","Fill=—","Direction=H","UseDPDF=Y")</f>
        <v>#NAME?</v>
      </c>
      <c r="BN161" s="2" t="e">
        <f ca="1">_xll.BDH($C$153,"FIXED_ASSETS_SEQUENTIAL_GROWTH","FQ3 2015","FQ3 2015","Currency=INR","Period=FQ","BEST_FPERIOD_OVERRIDE=FQ","FILING_STATUS=OR","EQY_CONSOLIDATED=Y","Sort=A","Dates=H","DateFormat=P","Fill=—","Direction=H","UseDPDF=Y")</f>
        <v>#NAME?</v>
      </c>
      <c r="BO161" s="2" t="e">
        <f ca="1">_xll.BDH($C$153,"TOTAL_ASSETS_SEQUENTIAL_GROWTH","FQ3 2015","FQ3 2015","Currency=INR","Period=FQ","BEST_FPERIOD_OVERRIDE=FQ","FILING_STATUS=OR","EQY_CONSOLIDATED=Y","Sort=A","Dates=H","DateFormat=P","Fill=—","Direction=H","UseDPDF=Y")</f>
        <v>#NAME?</v>
      </c>
      <c r="BP161" s="2" t="e">
        <f ca="1">_xll.BDH($C$153,"MODIFIED_WORKING_CPTL_SEQ_GRWTH","FQ3 2015","FQ3 2015","Currency=INR","Period=FQ","BEST_FPERIOD_OVERRIDE=FQ","FILING_STATUS=OR","EQY_CONSOLIDATED=Y","Sort=A","Dates=H","DateFormat=P","Fill=—","Direction=H","UseDPDF=Y")</f>
        <v>#NAME?</v>
      </c>
      <c r="BQ161" s="2" t="e">
        <f ca="1">_xll.BDH($C$153,"WORKING_CAPITAL_SEQ_GROWTH","FQ3 2015","FQ3 2015","Currency=INR","Period=FQ","BEST_FPERIOD_OVERRIDE=FQ","FILING_STATUS=OR","EQY_CONSOLIDATED=Y","Sort=A","Dates=H","DateFormat=P","Fill=—","Direction=H","UseDPDF=Y")</f>
        <v>#NAME?</v>
      </c>
      <c r="BR161" s="2" t="e">
        <f ca="1">_xll.BDH($C$153,"ACCOUNTS_PAYABLE_SEQ_GROWTH","FQ3 2015","FQ3 2015","Currency=INR","Period=FQ","BEST_FPERIOD_OVERRIDE=FQ","FILING_STATUS=OR","EQY_CONSOLIDATED=Y","Sort=A","Dates=H","DateFormat=P","Fill=—","Direction=H","UseDPDF=Y")</f>
        <v>#NAME?</v>
      </c>
      <c r="BS161" s="2" t="e">
        <f ca="1">_xll.BDH($C$153,"ST_DEBT_SEQUENTIAL_GROWTH","FQ3 2015","FQ3 2015","Currency=INR","Period=FQ","BEST_FPERIOD_OVERRIDE=FQ","FILING_STATUS=OR","EQY_CONSOLIDATED=Y","Sort=A","Dates=H","DateFormat=P","Fill=—","Direction=H","UseDPDF=Y")</f>
        <v>#NAME?</v>
      </c>
      <c r="BT161" s="2" t="e">
        <f ca="1">_xll.BDH($C$153,"TOTAL_DEBT_SEQUENTIAL_GROWTH","FQ3 2015","FQ3 2015","Currency=INR","Period=FQ","BEST_FPERIOD_OVERRIDE=FQ","FILING_STATUS=OR","EQY_CONSOLIDATED=Y","Sort=A","Dates=H","DateFormat=P","Fill=—","Direction=H","UseDPDF=Y")</f>
        <v>#NAME?</v>
      </c>
      <c r="BU161" s="2" t="e">
        <f ca="1">_xll.BDH($C$153,"TOTAL_EQUITY_SEQUENTIAL_GROWTH","FQ3 2015","FQ3 2015","Currency=INR","Period=FQ","BEST_FPERIOD_OVERRIDE=FQ","FILING_STATUS=OR","EQY_CONSOLIDATED=Y","Sort=A","Dates=H","DateFormat=P","Fill=—","Direction=H","UseDPDF=Y")</f>
        <v>#NAME?</v>
      </c>
      <c r="BV161" s="2" t="e">
        <f ca="1">_xll.BDH($C$153,"TOTAL_CAPITAL_SEQUENTIAL_GROWTH","FQ3 2015","FQ3 2015","Currency=INR","Period=FQ","BEST_FPERIOD_OVERRIDE=FQ","FILING_STATUS=OR","EQY_CONSOLIDATED=Y","Sort=A","Dates=H","DateFormat=P","Fill=—","Direction=H","UseDPDF=Y")</f>
        <v>#NAME?</v>
      </c>
      <c r="BW161" s="2" t="e">
        <f ca="1">_xll.BDH($C$153,"BPS_SEQUENTIAL_GROWTH","FQ3 2015","FQ3 2015","Currency=INR","Period=FQ","BEST_FPERIOD_OVERRIDE=FQ","FILING_STATUS=OR","EQY_CONSOLIDATED=Y","Sort=A","Dates=H","DateFormat=P","Fill=—","Direction=H","UseDPDF=Y")</f>
        <v>#NAME?</v>
      </c>
      <c r="BX161" s="2" t="e">
        <f ca="1">_xll.BDH($C$153,"CFO_SEQUENTIAL_GROWTH","FQ3 2015","FQ3 2015","Currency=INR","Period=FQ","BEST_FPERIOD_OVERRIDE=FQ","FILING_STATUS=OR","EQY_CONSOLIDATED=Y","Sort=A","Dates=H","DateFormat=P","Fill=—","Direction=H","UseDPDF=Y")</f>
        <v>#NAME?</v>
      </c>
      <c r="BY161" s="3" t="e">
        <f ca="1">_xll.BDH($C$153,"SHORT_AND_LONG_TERM_DEBT","FQ3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61" s="3" t="e">
        <f ca="1">_xll.BDH($C$153,"BS_ST_BORROW","FQ3 2015","FQ3 2015","Currency=INR","Period=FQ","BEST_FPERIOD_OVERRIDE=FQ","FILING_STATUS=OR","EQY_CONSOLIDATED=Y","SCALING_FORMAT=MLN","Sort=A","Dates=H","DateFormat=P","Fill=—","Direction=H","UseDPDF=Y")</f>
        <v>#NAME?</v>
      </c>
      <c r="CA161" s="3" t="e">
        <f ca="1">_xll.BDH($C$153,"BS_LT_BORROW","FQ3 2015","FQ3 2015","Currency=INR","Period=FQ","BEST_FPERIOD_OVERRIDE=FQ","FILING_STATUS=OR","EQY_CONSOLIDATED=Y","SCALING_FORMAT=MLN","Sort=A","Dates=H","DateFormat=P","Fill=—","Direction=H","UseDPDF=Y")</f>
        <v>#NAME?</v>
      </c>
      <c r="CB161" s="2" t="e">
        <f ca="1">_xll.BDH($C$153,"TOT_DEBT_TO_EBITDA","FQ3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61" s="2" t="e">
        <f ca="1">_xll.BDH($C$153,"NET_DEBT_TO_EBITDA","FQ3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61" s="2" t="e">
        <f ca="1">_xll.BDH($C$153,"TOTAL_DEBT_TO_EBIT","FQ3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61" s="2" t="e">
        <f ca="1">_xll.BDH($C$153,"NET_DEBT_TO_EBIT","FQ3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161" s="2" t="e">
        <f ca="1">_xll.BDH($C$153,"EBITDA_TO_INTEREST_EXPN","FQ3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61" s="2" t="e">
        <f ca="1">_xll.BDH($C$153,"COM_EQY_TO_TOT_ASSET","FQ3 2015","FQ3 2015","Currency=INR","Period=FQ","BEST_FPERIOD_OVERRIDE=FQ","FILING_STATUS=OR","EQY_CONSOLIDATED=Y","Sort=A","Dates=H","DateFormat=P","Fill=—","Direction=H","UseDPDF=Y")</f>
        <v>#NAME?</v>
      </c>
      <c r="CH161" s="2" t="e">
        <f ca="1">_xll.BDH($C$153,"LT_DEBT_TO_TOT_EQY","FQ3 2015","FQ3 2015","Currency=INR","Period=FQ","BEST_FPERIOD_OVERRIDE=FQ","FILING_STATUS=OR","EQY_CONSOLIDATED=Y","Sort=A","Dates=H","DateFormat=P","Fill=—","Direction=H","UseDPDF=Y")</f>
        <v>#NAME?</v>
      </c>
      <c r="CI161" s="2" t="e">
        <f ca="1">_xll.BDH($C$153,"LT_DEBT_TO_TOT_CAP","FQ3 2015","FQ3 2015","Currency=INR","Period=FQ","BEST_FPERIOD_OVERRIDE=FQ","FILING_STATUS=OR","EQY_CONSOLIDATED=Y","Sort=A","Dates=H","DateFormat=P","Fill=—","Direction=H","UseDPDF=Y")</f>
        <v>#NAME?</v>
      </c>
      <c r="CJ161" s="2" t="e">
        <f ca="1">_xll.BDH($C$153,"LT_DEBT_TO_TOT_ASSET","FQ3 2015","FQ3 2015","Currency=INR","Period=FQ","BEST_FPERIOD_OVERRIDE=FQ","FILING_STATUS=OR","EQY_CONSOLIDATED=Y","Sort=A","Dates=H","DateFormat=P","Fill=—","Direction=H","UseDPDF=Y")</f>
        <v>#NAME?</v>
      </c>
      <c r="CK161" s="2" t="e">
        <f ca="1">_xll.BDH($C$153,"TOT_DEBT_TO_TOT_EQY","FQ3 2015","FQ3 2015","Currency=INR","Period=FQ","BEST_FPERIOD_OVERRIDE=FQ","FILING_STATUS=OR","EQY_CONSOLIDATED=Y","Sort=A","Dates=H","DateFormat=P","Fill=—","Direction=H","UseDPDF=Y")</f>
        <v>#NAME?</v>
      </c>
      <c r="CL161" s="2" t="e">
        <f ca="1">_xll.BDH($C$153,"TOT_DEBT_TO_TOT_CAP","FQ3 2015","FQ3 2015","Currency=INR","Period=FQ","BEST_FPERIOD_OVERRIDE=FQ","FILING_STATUS=OR","EQY_CONSOLIDATED=Y","Sort=A","Dates=H","DateFormat=P","Fill=—","Direction=H","UseDPDF=Y")</f>
        <v>#NAME?</v>
      </c>
      <c r="CM161" s="2" t="e">
        <f ca="1">_xll.BDH($C$153,"TOT_DEBT_TO_TOT_ASSET","FQ3 2015","FQ3 2015","Currency=INR","Period=FQ","BEST_FPERIOD_OVERRIDE=FQ","FILING_STATUS=OR","EQY_CONSOLIDATED=Y","Sort=A","Dates=H","DateFormat=P","Fill=—","Direction=H","UseDPDF=Y")</f>
        <v>#NAME?</v>
      </c>
      <c r="CN161" s="2" t="e">
        <f ca="1">_xll.BDH($C$153,"NET_DEBT_TO_SHRHLDR_EQTY","FQ3 2015","FQ3 2015","Currency=INR","Period=FQ","BEST_FPERIOD_OVERRIDE=FQ","FILING_STATUS=OR","EQY_CONSOLIDATED=Y","Sort=A","Dates=H","DateFormat=P","Fill=—","Direction=H","UseDPDF=Y")</f>
        <v>#NAME?</v>
      </c>
      <c r="CO161" s="2" t="e">
        <f ca="1">_xll.BDH($C$153,"NET_DEBT_%_CAPITAL","FQ3 2015","FQ3 2015","Currency=INR","Period=FQ","BEST_FPERIOD_OVERRIDE=FQ","FILING_STATUS=OR","EQY_CONSOLIDATED=Y","Sort=A","Dates=H","DateFormat=P","Fill=—","Direction=H","UseDPDF=Y")</f>
        <v>#NAME?</v>
      </c>
      <c r="CP161" s="3" t="e">
        <f ca="1">_xll.BDH($C$153,"EBITDA","FQ3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61" s="3" t="e">
        <f ca="1">_xll.BDH($C$153,"EBITDA_AFTER_CAPEX","FQ3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61" s="3" t="e">
        <f ca="1">_xll.BDH($C$153,"IS_OPER_INC","FQ3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61" s="2" t="e">
        <f ca="1">_xll.BDH($C$153,"CASH_RATIO","FQ3 2015","FQ3 2015","Currency=INR","Period=FQ","BEST_FPERIOD_OVERRIDE=FQ","FILING_STATUS=OR","EQY_CONSOLIDATED=Y","Sort=A","Dates=H","DateFormat=P","Fill=—","Direction=H","UseDPDF=Y")</f>
        <v>#NAME?</v>
      </c>
      <c r="CT161" s="2" t="e">
        <f ca="1">_xll.BDH($C$153,"CUR_RATIO","FQ3 2015","FQ3 2015","Currency=INR","Period=FQ","BEST_FPERIOD_OVERRIDE=FQ","FILING_STATUS=OR","EQY_CONSOLIDATED=Y","Sort=A","Dates=H","DateFormat=P","Fill=—","Direction=H","UseDPDF=Y")</f>
        <v>#NAME?</v>
      </c>
      <c r="CU161" s="2" t="e">
        <f ca="1">_xll.BDH($C$153,"QUICK_RATIO","FQ3 2015","FQ3 2015","Currency=INR","Period=FQ","BEST_FPERIOD_OVERRIDE=FQ","FILING_STATUS=OR","EQY_CONSOLIDATED=Y","Sort=A","Dates=H","DateFormat=P","Fill=—","Direction=H","UseDPDF=Y")</f>
        <v>#NAME?</v>
      </c>
      <c r="CV161" s="2" t="e">
        <f ca="1">_xll.BDH($C$153,"ALTMAN_Z_SCORE","FQ3 2015","FQ3 2015","Currency=INR","Period=FQ","BEST_FPERIOD_OVERRIDE=FQ","FILING_STATUS=OR","EQY_CONSOLIDATED=Y","Sort=A","Dates=H","DateFormat=P","Fill=—","Direction=H","UseDPDF=Y")</f>
        <v>#NAME?</v>
      </c>
      <c r="CW161" s="4" t="e">
        <f ca="1">_xll.BDH($C$153,"ACCT_RCV_TURN","FQ3 2015","FQ3 2015","Currency=INR","Period=FQ","BEST_FPERIOD_OVERRIDE=FQ","FILING_STATUS=OR","EQY_CONSOLIDATED=Y","FA_ADJUSTED=GAAP","Sort=A","Dates=H","DateFormat=P","Fill=—","Direction=H","UseDPDF=Y")</f>
        <v>#NAME?</v>
      </c>
      <c r="CX161" s="2" t="e">
        <f ca="1">_xll.BDH($C$153,"ACCT_RCV_DAYS","FQ3 2015","FQ3 2015","Currency=INR","Period=FQ","BEST_FPERIOD_OVERRIDE=FQ","FILING_STATUS=OR","EQY_CONSOLIDATED=Y","FA_ADJUSTED=GAAP","Sort=A","Dates=H","DateFormat=P","Fill=—","Direction=H","UseDPDF=Y")</f>
        <v>#NAME?</v>
      </c>
      <c r="CY161" s="4" t="e">
        <f ca="1">_xll.BDH($C$153,"INVENT_TURN","FQ3 2015","FQ3 2015","Currency=INR","Period=FQ","BEST_FPERIOD_OVERRIDE=FQ","FILING_STATUS=OR","EQY_CONSOLIDATED=Y","FA_ADJUSTED=GAAP","Sort=A","Dates=H","DateFormat=P","Fill=—","Direction=H","UseDPDF=Y")</f>
        <v>#NAME?</v>
      </c>
      <c r="CZ161" s="2" t="e">
        <f ca="1">_xll.BDH($C$153,"INVENT_DAYS","FQ3 2015","FQ3 2015","Currency=INR","Period=FQ","BEST_FPERIOD_OVERRIDE=FQ","FILING_STATUS=OR","EQY_CONSOLIDATED=Y","FA_ADJUSTED=GAAP","Sort=A","Dates=H","DateFormat=P","Fill=—","Direction=H","UseDPDF=Y")</f>
        <v>#NAME?</v>
      </c>
      <c r="DA161" s="4" t="e">
        <f ca="1">_xll.BDH($C$153,"ACCOUNTS_PAYABLE_TURNOVER","FQ3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61" s="2" t="e">
        <f ca="1">_xll.BDH($C$153,"ACCOUNTS_PAYABLE_TURNOVER_DAYS","FQ3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61" s="4" t="e">
        <f ca="1">_xll.BDH($C$153,"CASH_CONVERSION_CYCLE","FQ3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61" s="4" t="e">
        <f ca="1">_xll.BDH($C$153,"INV_TO_CASH_DAYS","FQ3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161" s="5" t="e">
        <f ca="1">_xll.BDH($C$153,"BS_INVENTORIES","FQ3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161" s="3" t="e">
        <f ca="1">_xll.BDH($C$153,"INVTRY_RAW_MATERIALS","FQ3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61" s="3" t="e">
        <f ca="1">_xll.BDH($C$153,"INVTRY_IN_PROGRESS","FQ3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61" s="3" t="e">
        <f ca="1">_xll.BDH($C$153,"INVTRY_FINISHED_GOODS","FQ3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61" s="3" t="e">
        <f ca="1">_xll.BDH($C$153,"BS_OTHER_INV","FQ3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62" spans="1:113" x14ac:dyDescent="0.3">
      <c r="A162" s="6"/>
      <c r="B162" s="6"/>
      <c r="C162" s="6"/>
      <c r="D162" s="6"/>
      <c r="E162" t="s">
        <v>81</v>
      </c>
      <c r="F162" t="e">
        <f ca="1">_xll.BDH($C$153,"RETURN_COM_EQY","FQ4 2015","FQ4 2015","Currency=INR","Period=FQ","BEST_FPERIOD_OVERRIDE=FQ","FILING_STATUS=OR","EQY_CONSOLIDATED=Y","FA_ADJUSTED=GAAP","Sort=A","Dates=H","DateFormat=P","Fill=—","Direction=H","UseDPDF=Y")</f>
        <v>#NAME?</v>
      </c>
      <c r="G162" t="e">
        <f ca="1">_xll.BDH($C$153,"RETURN_ON_ASSET","FQ4 2015","FQ4 2015","Currency=INR","Period=FQ","BEST_FPERIOD_OVERRIDE=FQ","FILING_STATUS=OR","EQY_CONSOLIDATED=Y","FA_ADJUSTED=GAAP","Sort=A","Dates=H","DateFormat=P","Fill=—","Direction=H","UseDPDF=Y")</f>
        <v>#NAME?</v>
      </c>
      <c r="H162" t="e">
        <f ca="1">_xll.BDH($C$153,"RETURN_ON_CAP","FQ4 2015","FQ4 2015","Currency=INR","Period=FQ","BEST_FPERIOD_OVERRIDE=FQ","FILING_STATUS=OR","EQY_CONSOLIDATED=Y","FA_ADJUSTED=GAAP","Sort=A","Dates=H","DateFormat=P","Fill=—","Direction=H","UseDPDF=Y")</f>
        <v>#NAME?</v>
      </c>
      <c r="I162" t="e">
        <f ca="1">_xll.BDH($C$153,"RETURN_ON_INV_CAPITAL","FQ4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62" t="e">
        <f ca="1">_xll.BDH($C$153,"EBITDA_TO_REVENUE","FQ4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162" t="e">
        <f ca="1">_xll.BDH($C$153,"OPER_MARGIN","FQ4 2015","FQ4 2015","Currency=INR","Period=FQ","BEST_FPERIOD_OVERRIDE=FQ","FILING_STATUS=OR","EQY_CONSOLIDATED=Y","FA_ADJUSTED=GAAP","Sort=A","Dates=H","DateFormat=P","Fill=—","Direction=H","UseDPDF=Y")</f>
        <v>#NAME?</v>
      </c>
      <c r="L162" t="e">
        <f ca="1">_xll.BDH($C$153,"INCREMENTAL_OPERATING_MARGIN","FQ4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62" t="e">
        <f ca="1">_xll.BDH($C$153,"PRETAX_INC_TO_NET_SALES","FQ4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62" t="e">
        <f ca="1">_xll.BDH($C$153,"INC_BEF_XO_ITEMS_TO_NET_SALES","FQ4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62" t="e">
        <f ca="1">_xll.BDH($C$153,"PROF_MARGIN","FQ4 2015","FQ4 2015","Currency=INR","Period=FQ","BEST_FPERIOD_OVERRIDE=FQ","FILING_STATUS=OR","EQY_CONSOLIDATED=Y","FA_ADJUSTED=GAAP","Sort=A","Dates=H","DateFormat=P","Fill=—","Direction=H","UseDPDF=Y")</f>
        <v>#NAME?</v>
      </c>
      <c r="P162" t="e">
        <f ca="1">_xll.BDH($C$153,"NET_INCOME_TO_COMMON_MARGIN","FQ4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62" t="e">
        <f ca="1">_xll.BDH($C$153,"EFF_TAX_RATE","FQ4 2015","FQ4 2015","Currency=INR","Period=FQ","BEST_FPERIOD_OVERRIDE=FQ","FILING_STATUS=OR","EQY_CONSOLIDATED=Y","FA_ADJUSTED=GAAP","Sort=A","Dates=H","DateFormat=P","Fill=—","Direction=H","UseDPDF=Y")</f>
        <v>#NAME?</v>
      </c>
      <c r="R162" t="e">
        <f ca="1">_xll.BDH($C$153,"DVD_PAYOUT_RATIO","FQ4 2015","FQ4 2015","Currency=INR","Period=FQ","BEST_FPERIOD_OVERRIDE=FQ","FILING_STATUS=OR","EQY_CONSOLIDATED=Y","FA_ADJUSTED=GAAP","Sort=A","Dates=H","DateFormat=P","Fill=—","Direction=H","UseDPDF=Y")</f>
        <v>#NAME?</v>
      </c>
      <c r="S162" t="e">
        <f ca="1">_xll.BDH($C$153,"SUSTAIN_GROWTH_RT","FQ4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162" s="2" t="e">
        <f ca="1">_xll.BDH($C$153,"SALES_GROWTH","FQ4 2015","FQ4 2015","Currency=INR","Period=FQ","BEST_FPERIOD_OVERRIDE=FQ","FILING_STATUS=OR","EQY_CONSOLIDATED=Y","FA_ADJUSTED=GAAP","Sort=A","Dates=H","DateFormat=P","Fill=—","Direction=H","UseDPDF=Y")</f>
        <v>#NAME?</v>
      </c>
      <c r="U162" s="2" t="e">
        <f ca="1">_xll.BDH($C$153,"EBITDA_GROWTH","FQ4 2015","FQ4 2015","Currency=INR","Period=FQ","BEST_FPERIOD_OVERRIDE=FQ","FILING_STATUS=OR","EQY_CONSOLIDATED=Y","FA_ADJUSTED=GAAP","Sort=A","Dates=H","DateFormat=P","Fill=—","Direction=H","UseDPDF=Y")</f>
        <v>#NAME?</v>
      </c>
      <c r="V162" s="2" t="e">
        <f ca="1">_xll.BDH($C$153,"OPER_INC_GROWTH","FQ4 2015","FQ4 2015","Currency=INR","Period=FQ","BEST_FPERIOD_OVERRIDE=FQ","FILING_STATUS=OR","EQY_CONSOLIDATED=Y","FA_ADJUSTED=GAAP","Sort=A","Dates=H","DateFormat=P","Fill=—","Direction=H","UseDPDF=Y")</f>
        <v>#NAME?</v>
      </c>
      <c r="W162" s="2" t="e">
        <f ca="1">_xll.BDH($C$153,"EARN_FOR_COM_GROWTH","FQ4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62" s="2" t="e">
        <f ca="1">_xll.BDH($C$153,"DILUTED_EPS_AFT_XO_ITEMS_GROWTH","FQ4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62" s="2" t="e">
        <f ca="1">_xll.BDH($C$153,"DIVIDEND_PER_SHARE_1_YEAR_GROWTH","FQ4 2015","FQ4 2015","Currency=INR","Period=FQ","BEST_FPERIOD_OVERRIDE=FQ","FILING_STATUS=OR","EQY_CONSOLIDATED=Y","Sort=A","Dates=H","DateFormat=P","Fill=—","Direction=H","UseDPDF=Y")</f>
        <v>#NAME?</v>
      </c>
      <c r="Z162" s="2" t="e">
        <f ca="1">_xll.BDH($C$153,"ACCOUNTS_RECEIVABLE_GROWTH","FQ4 2015","FQ4 2015","Currency=INR","Period=FQ","BEST_FPERIOD_OVERRIDE=FQ","FILING_STATUS=OR","EQY_CONSOLIDATED=Y","Sort=A","Dates=H","DateFormat=P","Fill=—","Direction=H","UseDPDF=Y")</f>
        <v>#NAME?</v>
      </c>
      <c r="AA162" s="2" t="e">
        <f ca="1">_xll.BDH($C$153,"INVENTORY_GROWTH","FQ4 2015","FQ4 2015","Currency=INR","Period=FQ","BEST_FPERIOD_OVERRIDE=FQ","FILING_STATUS=OR","EQY_CONSOLIDATED=Y","Sort=A","Dates=H","DateFormat=P","Fill=—","Direction=H","UseDPDF=Y")</f>
        <v>#NAME?</v>
      </c>
      <c r="AB162" s="2" t="e">
        <f ca="1">_xll.BDH($C$153,"NET_FIXED_ASSETS_1_YEAR_GROWTH","FQ4 2015","FQ4 2015","Currency=INR","Period=FQ","BEST_FPERIOD_OVERRIDE=FQ","FILING_STATUS=OR","EQY_CONSOLIDATED=Y","Sort=A","Dates=H","DateFormat=P","Fill=—","Direction=H","UseDPDF=Y")</f>
        <v>#NAME?</v>
      </c>
      <c r="AC162" s="2" t="e">
        <f ca="1">_xll.BDH($C$153,"ASSET_GROWTH","FQ4 2015","FQ4 2015","Currency=INR","Period=FQ","BEST_FPERIOD_OVERRIDE=FQ","FILING_STATUS=OR","EQY_CONSOLIDATED=Y","Sort=A","Dates=H","DateFormat=P","Fill=—","Direction=H","UseDPDF=Y")</f>
        <v>#NAME?</v>
      </c>
      <c r="AD162" s="2" t="e">
        <f ca="1">_xll.BDH($C$153,"MODIFIED_WORK_CAP_GROWTH","FQ4 2015","FQ4 2015","Currency=INR","Period=FQ","BEST_FPERIOD_OVERRIDE=FQ","FILING_STATUS=OR","EQY_CONSOLIDATED=Y","Sort=A","Dates=H","DateFormat=P","Fill=—","Direction=H","UseDPDF=Y")</f>
        <v>#NAME?</v>
      </c>
      <c r="AE162" s="2" t="e">
        <f ca="1">_xll.BDH($C$153,"WORK_CAP_GROWTH","FQ4 2015","FQ4 2015","Currency=INR","Period=FQ","BEST_FPERIOD_OVERRIDE=FQ","FILING_STATUS=OR","EQY_CONSOLIDATED=Y","Sort=A","Dates=H","DateFormat=P","Fill=—","Direction=H","UseDPDF=Y")</f>
        <v>#NAME?</v>
      </c>
      <c r="AF162" s="2" t="e">
        <f ca="1">_xll.BDH($C$153,"ACCOUNTS_PAYABLE_GROWTH_1YR","FQ4 2015","FQ4 2015","Currency=INR","Period=FQ","BEST_FPERIOD_OVERRIDE=FQ","FILING_STATUS=OR","EQY_CONSOLIDATED=Y","Sort=A","Dates=H","DateFormat=P","Fill=—","Direction=H","UseDPDF=Y")</f>
        <v>#NAME?</v>
      </c>
      <c r="AG162" s="2" t="e">
        <f ca="1">_xll.BDH($C$153,"SHORT_TERM_DEBT_1_YEAR_GROWTH","FQ4 2015","FQ4 2015","Currency=INR","Period=FQ","BEST_FPERIOD_OVERRIDE=FQ","FILING_STATUS=OR","EQY_CONSOLIDATED=Y","Sort=A","Dates=H","DateFormat=P","Fill=—","Direction=H","UseDPDF=Y")</f>
        <v>#NAME?</v>
      </c>
      <c r="AH162" s="2" t="e">
        <f ca="1">_xll.BDH($C$153,"TOTAL_DEBT_1_YEAR_GROWTH","FQ4 2015","FQ4 2015","Currency=INR","Period=FQ","BEST_FPERIOD_OVERRIDE=FQ","FILING_STATUS=OR","EQY_CONSOLIDATED=Y","Sort=A","Dates=H","DateFormat=P","Fill=—","Direction=H","UseDPDF=Y")</f>
        <v>#NAME?</v>
      </c>
      <c r="AI162" s="2" t="e">
        <f ca="1">_xll.BDH($C$153,"TOTAL_EQUITY_1_YEAR_GROWTH","FQ4 2015","FQ4 2015","Currency=INR","Period=FQ","BEST_FPERIOD_OVERRIDE=FQ","FILING_STATUS=OR","EQY_CONSOLIDATED=Y","Sort=A","Dates=H","DateFormat=P","Fill=—","Direction=H","UseDPDF=Y")</f>
        <v>#NAME?</v>
      </c>
      <c r="AJ162" s="2" t="e">
        <f ca="1">_xll.BDH($C$153,"GROWTH_IN_CAP","FQ4 2015","FQ4 2015","Currency=INR","Period=FQ","BEST_FPERIOD_OVERRIDE=FQ","FILING_STATUS=OR","EQY_CONSOLIDATED=Y","Sort=A","Dates=H","DateFormat=P","Fill=—","Direction=H","UseDPDF=Y")</f>
        <v>#NAME?</v>
      </c>
      <c r="AK162" s="2" t="e">
        <f ca="1">_xll.BDH($C$153,"BVPS_GROWTH","FQ4 2015","FQ4 2015","Currency=INR","Period=FQ","BEST_FPERIOD_OVERRIDE=FQ","FILING_STATUS=OR","EQY_CONSOLIDATED=Y","Sort=A","Dates=H","DateFormat=P","Fill=—","Direction=H","UseDPDF=Y")</f>
        <v>#NAME?</v>
      </c>
      <c r="AL162" s="2" t="e">
        <f ca="1">_xll.BDH($C$153,"CASH_FLOW_GROWTH","FQ4 2015","FQ4 2015","Currency=INR","Period=FQ","BEST_FPERIOD_OVERRIDE=FQ","FILING_STATUS=OR","EQY_CONSOLIDATED=Y","Sort=A","Dates=H","DateFormat=P","Fill=—","Direction=H","UseDPDF=Y")</f>
        <v>#NAME?</v>
      </c>
      <c r="AM162" s="2" t="e">
        <f ca="1">_xll.BDH($C$153,"GEO_GROW_NET_SALES","FQ4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62" s="2" t="e">
        <f ca="1">_xll.BDH($C$153,"GEO_GROW_EBITDA","FQ4 2015","FQ4 2015","Currency=INR","Period=FQ","BEST_FPERIOD_OVERRIDE=FQ","FILING_STATUS=OR","EQY_CONSOLIDATED=Y","FA_ADJUSTED=GAAP","Sort=A","Dates=H","DateFormat=P","Fill=—","Direction=H","UseDPDF=Y")</f>
        <v>#NAME?</v>
      </c>
      <c r="AO162" s="2" t="e">
        <f ca="1">_xll.BDH($C$153,"GEO_GROW_OPER_INC","FQ4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62" s="2" t="e">
        <f ca="1">_xll.BDH($C$153,"NET_INCOME_TO_COMMON_5_YR_GROWTH","FQ4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62" s="2" t="e">
        <f ca="1">_xll.BDH($C$153,"5Y_GEO_GROWTH_DILUTED_EPS","FQ4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62" s="2" t="e">
        <f ca="1">_xll.BDH($C$153,"GEO_GROW_DVD_PER_SH","FQ4 2015","FQ4 2015","Currency=INR","Period=FQ","BEST_FPERIOD_OVERRIDE=FQ","FILING_STATUS=OR","EQY_CONSOLIDATED=Y","Sort=A","Dates=H","DateFormat=P","Fill=—","Direction=H","UseDPDF=Y")</f>
        <v>#NAME?</v>
      </c>
      <c r="AS162" s="2" t="e">
        <f ca="1">_xll.BDH($C$153,"ACCOUNTS_RECEIVABLE_5_YR_GROWTH","FQ4 2015","FQ4 2015","Currency=INR","Period=FQ","BEST_FPERIOD_OVERRIDE=FQ","FILING_STATUS=OR","EQY_CONSOLIDATED=Y","Sort=A","Dates=H","DateFormat=P","Fill=—","Direction=H","UseDPDF=Y")</f>
        <v>#NAME?</v>
      </c>
      <c r="AT162" s="2" t="e">
        <f ca="1">_xll.BDH($C$153,"INVENTORY_5_YEAR_GROWTH","FQ4 2015","FQ4 2015","Currency=INR","Period=FQ","BEST_FPERIOD_OVERRIDE=FQ","FILING_STATUS=OR","EQY_CONSOLIDATED=Y","Sort=A","Dates=H","DateFormat=P","Fill=—","Direction=H","UseDPDF=Y")</f>
        <v>#NAME?</v>
      </c>
      <c r="AU162" s="2" t="e">
        <f ca="1">_xll.BDH($C$153,"NET_FIXED_ASSETS_5_YEAR_GROWTH","FQ4 2015","FQ4 2015","Currency=INR","Period=FQ","BEST_FPERIOD_OVERRIDE=FQ","FILING_STATUS=OR","EQY_CONSOLIDATED=Y","Sort=A","Dates=H","DateFormat=P","Fill=—","Direction=H","UseDPDF=Y")</f>
        <v>#NAME?</v>
      </c>
      <c r="AV162" s="2" t="e">
        <f ca="1">_xll.BDH($C$153,"GEO_GROW_TOT_ASSET","FQ4 2015","FQ4 2015","Currency=INR","Period=FQ","BEST_FPERIOD_OVERRIDE=FQ","FILING_STATUS=OR","EQY_CONSOLIDATED=Y","Sort=A","Dates=H","DateFormat=P","Fill=—","Direction=H","UseDPDF=Y")</f>
        <v>#NAME?</v>
      </c>
      <c r="AW162" s="2" t="e">
        <f ca="1">_xll.BDH($C$153,"MODIFIED_WORKING_CPTL_5YR_GRWTH","FQ4 2015","FQ4 2015","Currency=INR","Period=FQ","BEST_FPERIOD_OVERRIDE=FQ","FILING_STATUS=OR","EQY_CONSOLIDATED=Y","Sort=A","Dates=H","DateFormat=P","Fill=—","Direction=H","UseDPDF=Y")</f>
        <v>#NAME?</v>
      </c>
      <c r="AX162" s="2" t="e">
        <f ca="1">_xll.BDH($C$153,"WORKING_CAPITAL_5_YEAR_GROWTH","FQ4 2015","FQ4 2015","Currency=INR","Period=FQ","BEST_FPERIOD_OVERRIDE=FQ","FILING_STATUS=OR","EQY_CONSOLIDATED=Y","Sort=A","Dates=H","DateFormat=P","Fill=—","Direction=H","UseDPDF=Y")</f>
        <v>#NAME?</v>
      </c>
      <c r="AY162" s="2" t="e">
        <f ca="1">_xll.BDH($C$153,"ACCOUNTS_PAYABLE_5_YEAR_GROWTH","FQ4 2015","FQ4 2015","Currency=INR","Period=FQ","BEST_FPERIOD_OVERRIDE=FQ","FILING_STATUS=OR","EQY_CONSOLIDATED=Y","Sort=A","Dates=H","DateFormat=P","Fill=—","Direction=H","UseDPDF=Y")</f>
        <v>#NAME?</v>
      </c>
      <c r="AZ162" s="2" t="e">
        <f ca="1">_xll.BDH($C$153,"SHORT_TERM_DEBT_5_YEAR_GROWTH","FQ4 2015","FQ4 2015","Currency=INR","Period=FQ","BEST_FPERIOD_OVERRIDE=FQ","FILING_STATUS=OR","EQY_CONSOLIDATED=Y","Sort=A","Dates=H","DateFormat=P","Fill=—","Direction=H","UseDPDF=Y")</f>
        <v>#NAME?</v>
      </c>
      <c r="BA162" s="2" t="e">
        <f ca="1">_xll.BDH($C$153,"TOTAL_DEBT_5_YEAR_GROWTH","FQ4 2015","FQ4 2015","Currency=INR","Period=FQ","BEST_FPERIOD_OVERRIDE=FQ","FILING_STATUS=OR","EQY_CONSOLIDATED=Y","Sort=A","Dates=H","DateFormat=P","Fill=—","Direction=H","UseDPDF=Y")</f>
        <v>#NAME?</v>
      </c>
      <c r="BB162" s="2" t="e">
        <f ca="1">_xll.BDH($C$153,"GEO_GROW_TOT_SHRHLDR_EQY","FQ4 2015","FQ4 2015","Currency=INR","Period=FQ","BEST_FPERIOD_OVERRIDE=FQ","FILING_STATUS=OR","EQY_CONSOLIDATED=Y","Sort=A","Dates=H","DateFormat=P","Fill=—","Direction=H","UseDPDF=Y")</f>
        <v>#NAME?</v>
      </c>
      <c r="BC162" s="2" t="e">
        <f ca="1">_xll.BDH($C$153,"TOTAL_CAPITAL_5_YEAR_GROWTH","FQ4 2015","FQ4 2015","Currency=INR","Period=FQ","BEST_FPERIOD_OVERRIDE=FQ","FILING_STATUS=OR","EQY_CONSOLIDATED=Y","Sort=A","Dates=H","DateFormat=P","Fill=—","Direction=H","UseDPDF=Y")</f>
        <v>#NAME?</v>
      </c>
      <c r="BD162" s="2" t="e">
        <f ca="1">_xll.BDH($C$153,"GEO_GROW_BOOK_VAL","FQ4 2015","FQ4 2015","Currency=INR","Period=FQ","BEST_FPERIOD_OVERRIDE=FQ","FILING_STATUS=OR","EQY_CONSOLIDATED=Y","Sort=A","Dates=H","DateFormat=P","Fill=—","Direction=H","UseDPDF=Y")</f>
        <v>#NAME?</v>
      </c>
      <c r="BE162" s="2" t="e">
        <f ca="1">_xll.BDH($C$153,"GEO_GROW_CASH_OPER_ACT","FQ4 2015","FQ4 2015","Currency=INR","Period=FQ","BEST_FPERIOD_OVERRIDE=FQ","FILING_STATUS=OR","EQY_CONSOLIDATED=Y","Sort=A","Dates=H","DateFormat=P","Fill=—","Direction=H","UseDPDF=Y")</f>
        <v>#NAME?</v>
      </c>
      <c r="BF162" s="2" t="e">
        <f ca="1">_xll.BDH($C$153,"REVENUE_SEQUENTIAL_GROWTH","FQ4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62" s="2" t="e">
        <f ca="1">_xll.BDH($C$153,"EBITDA_SEQUENTIAL_GROWTH","FQ4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62" s="2" t="e">
        <f ca="1">_xll.BDH($C$153,"OPERATING_INCOME_SEQ_GROWTH","FQ4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62" s="2" t="e">
        <f ca="1">_xll.BDH($C$153,"NET_INCOME_TO_COMMON_SEQ_GROWTH","FQ4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62" s="2" t="e">
        <f ca="1">_xll.BDH($C$153,"EPS_DILUTED_SEQUENTIAL_GROWTH","FQ4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62" s="2" t="e">
        <f ca="1">_xll.BDH($C$153,"DPS_SEQUENTIAL_GROWTH","FQ4 2015","FQ4 2015","Currency=INR","Period=FQ","BEST_FPERIOD_OVERRIDE=FQ","FILING_STATUS=OR","EQY_CONSOLIDATED=Y","Sort=A","Dates=H","DateFormat=P","Fill=—","Direction=H","UseDPDF=Y")</f>
        <v>#NAME?</v>
      </c>
      <c r="BL162" s="2" t="e">
        <f ca="1">_xll.BDH($C$153,"ACCOUNTS_RECEIVABLE_SEQ_GROWTH","FQ4 2015","FQ4 2015","Currency=INR","Period=FQ","BEST_FPERIOD_OVERRIDE=FQ","FILING_STATUS=OR","EQY_CONSOLIDATED=Y","Sort=A","Dates=H","DateFormat=P","Fill=—","Direction=H","UseDPDF=Y")</f>
        <v>#NAME?</v>
      </c>
      <c r="BM162" s="2" t="e">
        <f ca="1">_xll.BDH($C$153,"INVENTORY_SEQUENTIAL_GROWTH","FQ4 2015","FQ4 2015","Currency=INR","Period=FQ","BEST_FPERIOD_OVERRIDE=FQ","FILING_STATUS=OR","EQY_CONSOLIDATED=Y","Sort=A","Dates=H","DateFormat=P","Fill=—","Direction=H","UseDPDF=Y")</f>
        <v>#NAME?</v>
      </c>
      <c r="BN162" s="2" t="e">
        <f ca="1">_xll.BDH($C$153,"FIXED_ASSETS_SEQUENTIAL_GROWTH","FQ4 2015","FQ4 2015","Currency=INR","Period=FQ","BEST_FPERIOD_OVERRIDE=FQ","FILING_STATUS=OR","EQY_CONSOLIDATED=Y","Sort=A","Dates=H","DateFormat=P","Fill=—","Direction=H","UseDPDF=Y")</f>
        <v>#NAME?</v>
      </c>
      <c r="BO162" s="2" t="e">
        <f ca="1">_xll.BDH($C$153,"TOTAL_ASSETS_SEQUENTIAL_GROWTH","FQ4 2015","FQ4 2015","Currency=INR","Period=FQ","BEST_FPERIOD_OVERRIDE=FQ","FILING_STATUS=OR","EQY_CONSOLIDATED=Y","Sort=A","Dates=H","DateFormat=P","Fill=—","Direction=H","UseDPDF=Y")</f>
        <v>#NAME?</v>
      </c>
      <c r="BP162" s="2" t="e">
        <f ca="1">_xll.BDH($C$153,"MODIFIED_WORKING_CPTL_SEQ_GRWTH","FQ4 2015","FQ4 2015","Currency=INR","Period=FQ","BEST_FPERIOD_OVERRIDE=FQ","FILING_STATUS=OR","EQY_CONSOLIDATED=Y","Sort=A","Dates=H","DateFormat=P","Fill=—","Direction=H","UseDPDF=Y")</f>
        <v>#NAME?</v>
      </c>
      <c r="BQ162" s="2" t="e">
        <f ca="1">_xll.BDH($C$153,"WORKING_CAPITAL_SEQ_GROWTH","FQ4 2015","FQ4 2015","Currency=INR","Period=FQ","BEST_FPERIOD_OVERRIDE=FQ","FILING_STATUS=OR","EQY_CONSOLIDATED=Y","Sort=A","Dates=H","DateFormat=P","Fill=—","Direction=H","UseDPDF=Y")</f>
        <v>#NAME?</v>
      </c>
      <c r="BR162" s="2" t="e">
        <f ca="1">_xll.BDH($C$153,"ACCOUNTS_PAYABLE_SEQ_GROWTH","FQ4 2015","FQ4 2015","Currency=INR","Period=FQ","BEST_FPERIOD_OVERRIDE=FQ","FILING_STATUS=OR","EQY_CONSOLIDATED=Y","Sort=A","Dates=H","DateFormat=P","Fill=—","Direction=H","UseDPDF=Y")</f>
        <v>#NAME?</v>
      </c>
      <c r="BS162" s="2" t="e">
        <f ca="1">_xll.BDH($C$153,"ST_DEBT_SEQUENTIAL_GROWTH","FQ4 2015","FQ4 2015","Currency=INR","Period=FQ","BEST_FPERIOD_OVERRIDE=FQ","FILING_STATUS=OR","EQY_CONSOLIDATED=Y","Sort=A","Dates=H","DateFormat=P","Fill=—","Direction=H","UseDPDF=Y")</f>
        <v>#NAME?</v>
      </c>
      <c r="BT162" s="2" t="e">
        <f ca="1">_xll.BDH($C$153,"TOTAL_DEBT_SEQUENTIAL_GROWTH","FQ4 2015","FQ4 2015","Currency=INR","Period=FQ","BEST_FPERIOD_OVERRIDE=FQ","FILING_STATUS=OR","EQY_CONSOLIDATED=Y","Sort=A","Dates=H","DateFormat=P","Fill=—","Direction=H","UseDPDF=Y")</f>
        <v>#NAME?</v>
      </c>
      <c r="BU162" s="2" t="e">
        <f ca="1">_xll.BDH($C$153,"TOTAL_EQUITY_SEQUENTIAL_GROWTH","FQ4 2015","FQ4 2015","Currency=INR","Period=FQ","BEST_FPERIOD_OVERRIDE=FQ","FILING_STATUS=OR","EQY_CONSOLIDATED=Y","Sort=A","Dates=H","DateFormat=P","Fill=—","Direction=H","UseDPDF=Y")</f>
        <v>#NAME?</v>
      </c>
      <c r="BV162" s="2" t="e">
        <f ca="1">_xll.BDH($C$153,"TOTAL_CAPITAL_SEQUENTIAL_GROWTH","FQ4 2015","FQ4 2015","Currency=INR","Period=FQ","BEST_FPERIOD_OVERRIDE=FQ","FILING_STATUS=OR","EQY_CONSOLIDATED=Y","Sort=A","Dates=H","DateFormat=P","Fill=—","Direction=H","UseDPDF=Y")</f>
        <v>#NAME?</v>
      </c>
      <c r="BW162" s="2" t="e">
        <f ca="1">_xll.BDH($C$153,"BPS_SEQUENTIAL_GROWTH","FQ4 2015","FQ4 2015","Currency=INR","Period=FQ","BEST_FPERIOD_OVERRIDE=FQ","FILING_STATUS=OR","EQY_CONSOLIDATED=Y","Sort=A","Dates=H","DateFormat=P","Fill=—","Direction=H","UseDPDF=Y")</f>
        <v>#NAME?</v>
      </c>
      <c r="BX162" s="2" t="e">
        <f ca="1">_xll.BDH($C$153,"CFO_SEQUENTIAL_GROWTH","FQ4 2015","FQ4 2015","Currency=INR","Period=FQ","BEST_FPERIOD_OVERRIDE=FQ","FILING_STATUS=OR","EQY_CONSOLIDATED=Y","Sort=A","Dates=H","DateFormat=P","Fill=—","Direction=H","UseDPDF=Y")</f>
        <v>#NAME?</v>
      </c>
      <c r="BY162" s="3" t="e">
        <f ca="1">_xll.BDH($C$153,"SHORT_AND_LONG_TERM_DEBT","FQ4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62" s="3" t="e">
        <f ca="1">_xll.BDH($C$153,"BS_ST_BORROW","FQ4 2015","FQ4 2015","Currency=INR","Period=FQ","BEST_FPERIOD_OVERRIDE=FQ","FILING_STATUS=OR","EQY_CONSOLIDATED=Y","SCALING_FORMAT=MLN","Sort=A","Dates=H","DateFormat=P","Fill=—","Direction=H","UseDPDF=Y")</f>
        <v>#NAME?</v>
      </c>
      <c r="CA162" s="3" t="e">
        <f ca="1">_xll.BDH($C$153,"BS_LT_BORROW","FQ4 2015","FQ4 2015","Currency=INR","Period=FQ","BEST_FPERIOD_OVERRIDE=FQ","FILING_STATUS=OR","EQY_CONSOLIDATED=Y","SCALING_FORMAT=MLN","Sort=A","Dates=H","DateFormat=P","Fill=—","Direction=H","UseDPDF=Y")</f>
        <v>#NAME?</v>
      </c>
      <c r="CB162" s="2" t="e">
        <f ca="1">_xll.BDH($C$153,"TOT_DEBT_TO_EBITDA","FQ4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62" s="2" t="e">
        <f ca="1">_xll.BDH($C$153,"NET_DEBT_TO_EBITDA","FQ4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62" s="2" t="e">
        <f ca="1">_xll.BDH($C$153,"TOTAL_DEBT_TO_EBIT","FQ4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62" s="2" t="e">
        <f ca="1">_xll.BDH($C$153,"NET_DEBT_TO_EBIT","FQ4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162" s="2" t="e">
        <f ca="1">_xll.BDH($C$153,"EBITDA_TO_INTEREST_EXPN","FQ4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62" s="2" t="e">
        <f ca="1">_xll.BDH($C$153,"COM_EQY_TO_TOT_ASSET","FQ4 2015","FQ4 2015","Currency=INR","Period=FQ","BEST_FPERIOD_OVERRIDE=FQ","FILING_STATUS=OR","EQY_CONSOLIDATED=Y","Sort=A","Dates=H","DateFormat=P","Fill=—","Direction=H","UseDPDF=Y")</f>
        <v>#NAME?</v>
      </c>
      <c r="CH162" s="2" t="e">
        <f ca="1">_xll.BDH($C$153,"LT_DEBT_TO_TOT_EQY","FQ4 2015","FQ4 2015","Currency=INR","Period=FQ","BEST_FPERIOD_OVERRIDE=FQ","FILING_STATUS=OR","EQY_CONSOLIDATED=Y","Sort=A","Dates=H","DateFormat=P","Fill=—","Direction=H","UseDPDF=Y")</f>
        <v>#NAME?</v>
      </c>
      <c r="CI162" s="2" t="e">
        <f ca="1">_xll.BDH($C$153,"LT_DEBT_TO_TOT_CAP","FQ4 2015","FQ4 2015","Currency=INR","Period=FQ","BEST_FPERIOD_OVERRIDE=FQ","FILING_STATUS=OR","EQY_CONSOLIDATED=Y","Sort=A","Dates=H","DateFormat=P","Fill=—","Direction=H","UseDPDF=Y")</f>
        <v>#NAME?</v>
      </c>
      <c r="CJ162" s="2" t="e">
        <f ca="1">_xll.BDH($C$153,"LT_DEBT_TO_TOT_ASSET","FQ4 2015","FQ4 2015","Currency=INR","Period=FQ","BEST_FPERIOD_OVERRIDE=FQ","FILING_STATUS=OR","EQY_CONSOLIDATED=Y","Sort=A","Dates=H","DateFormat=P","Fill=—","Direction=H","UseDPDF=Y")</f>
        <v>#NAME?</v>
      </c>
      <c r="CK162" s="2" t="e">
        <f ca="1">_xll.BDH($C$153,"TOT_DEBT_TO_TOT_EQY","FQ4 2015","FQ4 2015","Currency=INR","Period=FQ","BEST_FPERIOD_OVERRIDE=FQ","FILING_STATUS=OR","EQY_CONSOLIDATED=Y","Sort=A","Dates=H","DateFormat=P","Fill=—","Direction=H","UseDPDF=Y")</f>
        <v>#NAME?</v>
      </c>
      <c r="CL162" s="2" t="e">
        <f ca="1">_xll.BDH($C$153,"TOT_DEBT_TO_TOT_CAP","FQ4 2015","FQ4 2015","Currency=INR","Period=FQ","BEST_FPERIOD_OVERRIDE=FQ","FILING_STATUS=OR","EQY_CONSOLIDATED=Y","Sort=A","Dates=H","DateFormat=P","Fill=—","Direction=H","UseDPDF=Y")</f>
        <v>#NAME?</v>
      </c>
      <c r="CM162" s="2" t="e">
        <f ca="1">_xll.BDH($C$153,"TOT_DEBT_TO_TOT_ASSET","FQ4 2015","FQ4 2015","Currency=INR","Period=FQ","BEST_FPERIOD_OVERRIDE=FQ","FILING_STATUS=OR","EQY_CONSOLIDATED=Y","Sort=A","Dates=H","DateFormat=P","Fill=—","Direction=H","UseDPDF=Y")</f>
        <v>#NAME?</v>
      </c>
      <c r="CN162" s="2" t="e">
        <f ca="1">_xll.BDH($C$153,"NET_DEBT_TO_SHRHLDR_EQTY","FQ4 2015","FQ4 2015","Currency=INR","Period=FQ","BEST_FPERIOD_OVERRIDE=FQ","FILING_STATUS=OR","EQY_CONSOLIDATED=Y","Sort=A","Dates=H","DateFormat=P","Fill=—","Direction=H","UseDPDF=Y")</f>
        <v>#NAME?</v>
      </c>
      <c r="CO162" s="2" t="e">
        <f ca="1">_xll.BDH($C$153,"NET_DEBT_%_CAPITAL","FQ4 2015","FQ4 2015","Currency=INR","Period=FQ","BEST_FPERIOD_OVERRIDE=FQ","FILING_STATUS=OR","EQY_CONSOLIDATED=Y","Sort=A","Dates=H","DateFormat=P","Fill=—","Direction=H","UseDPDF=Y")</f>
        <v>#NAME?</v>
      </c>
      <c r="CP162" s="3" t="e">
        <f ca="1">_xll.BDH($C$153,"EBITDA","FQ4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62" s="3" t="e">
        <f ca="1">_xll.BDH($C$153,"EBITDA_AFTER_CAPEX","FQ4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62" s="3" t="e">
        <f ca="1">_xll.BDH($C$153,"IS_OPER_INC","FQ4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62" s="2" t="e">
        <f ca="1">_xll.BDH($C$153,"CASH_RATIO","FQ4 2015","FQ4 2015","Currency=INR","Period=FQ","BEST_FPERIOD_OVERRIDE=FQ","FILING_STATUS=OR","EQY_CONSOLIDATED=Y","Sort=A","Dates=H","DateFormat=P","Fill=—","Direction=H","UseDPDF=Y")</f>
        <v>#NAME?</v>
      </c>
      <c r="CT162" s="2" t="e">
        <f ca="1">_xll.BDH($C$153,"CUR_RATIO","FQ4 2015","FQ4 2015","Currency=INR","Period=FQ","BEST_FPERIOD_OVERRIDE=FQ","FILING_STATUS=OR","EQY_CONSOLIDATED=Y","Sort=A","Dates=H","DateFormat=P","Fill=—","Direction=H","UseDPDF=Y")</f>
        <v>#NAME?</v>
      </c>
      <c r="CU162" s="2" t="e">
        <f ca="1">_xll.BDH($C$153,"QUICK_RATIO","FQ4 2015","FQ4 2015","Currency=INR","Period=FQ","BEST_FPERIOD_OVERRIDE=FQ","FILING_STATUS=OR","EQY_CONSOLIDATED=Y","Sort=A","Dates=H","DateFormat=P","Fill=—","Direction=H","UseDPDF=Y")</f>
        <v>#NAME?</v>
      </c>
      <c r="CV162" s="2" t="e">
        <f ca="1">_xll.BDH($C$153,"ALTMAN_Z_SCORE","FQ4 2015","FQ4 2015","Currency=INR","Period=FQ","BEST_FPERIOD_OVERRIDE=FQ","FILING_STATUS=OR","EQY_CONSOLIDATED=Y","Sort=A","Dates=H","DateFormat=P","Fill=—","Direction=H","UseDPDF=Y")</f>
        <v>#NAME?</v>
      </c>
      <c r="CW162" s="4" t="e">
        <f ca="1">_xll.BDH($C$153,"ACCT_RCV_TURN","FQ4 2015","FQ4 2015","Currency=INR","Period=FQ","BEST_FPERIOD_OVERRIDE=FQ","FILING_STATUS=OR","EQY_CONSOLIDATED=Y","FA_ADJUSTED=GAAP","Sort=A","Dates=H","DateFormat=P","Fill=—","Direction=H","UseDPDF=Y")</f>
        <v>#NAME?</v>
      </c>
      <c r="CX162" s="2" t="e">
        <f ca="1">_xll.BDH($C$153,"ACCT_RCV_DAYS","FQ4 2015","FQ4 2015","Currency=INR","Period=FQ","BEST_FPERIOD_OVERRIDE=FQ","FILING_STATUS=OR","EQY_CONSOLIDATED=Y","FA_ADJUSTED=GAAP","Sort=A","Dates=H","DateFormat=P","Fill=—","Direction=H","UseDPDF=Y")</f>
        <v>#NAME?</v>
      </c>
      <c r="CY162" s="4" t="e">
        <f ca="1">_xll.BDH($C$153,"INVENT_TURN","FQ4 2015","FQ4 2015","Currency=INR","Period=FQ","BEST_FPERIOD_OVERRIDE=FQ","FILING_STATUS=OR","EQY_CONSOLIDATED=Y","FA_ADJUSTED=GAAP","Sort=A","Dates=H","DateFormat=P","Fill=—","Direction=H","UseDPDF=Y")</f>
        <v>#NAME?</v>
      </c>
      <c r="CZ162" s="2" t="e">
        <f ca="1">_xll.BDH($C$153,"INVENT_DAYS","FQ4 2015","FQ4 2015","Currency=INR","Period=FQ","BEST_FPERIOD_OVERRIDE=FQ","FILING_STATUS=OR","EQY_CONSOLIDATED=Y","FA_ADJUSTED=GAAP","Sort=A","Dates=H","DateFormat=P","Fill=—","Direction=H","UseDPDF=Y")</f>
        <v>#NAME?</v>
      </c>
      <c r="DA162" s="4" t="e">
        <f ca="1">_xll.BDH($C$153,"ACCOUNTS_PAYABLE_TURNOVER","FQ4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62" s="2" t="e">
        <f ca="1">_xll.BDH($C$153,"ACCOUNTS_PAYABLE_TURNOVER_DAYS","FQ4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62" s="4" t="e">
        <f ca="1">_xll.BDH($C$153,"CASH_CONVERSION_CYCLE","FQ4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62" s="4" t="e">
        <f ca="1">_xll.BDH($C$153,"INV_TO_CASH_DAYS","FQ4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162" s="5" t="e">
        <f ca="1">_xll.BDH($C$153,"BS_INVENTORIES","FQ4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162" s="3" t="e">
        <f ca="1">_xll.BDH($C$153,"INVTRY_RAW_MATERIALS","FQ4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62" s="3" t="e">
        <f ca="1">_xll.BDH($C$153,"INVTRY_IN_PROGRESS","FQ4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62" s="3" t="e">
        <f ca="1">_xll.BDH($C$153,"INVTRY_FINISHED_GOODS","FQ4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62" s="3" t="e">
        <f ca="1">_xll.BDH($C$153,"BS_OTHER_INV","FQ4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63" spans="1:113" x14ac:dyDescent="0.3">
      <c r="A163" s="6"/>
      <c r="B163" s="6"/>
      <c r="C163" s="6"/>
      <c r="D163" s="6" t="s">
        <v>83</v>
      </c>
      <c r="E163" t="s">
        <v>77</v>
      </c>
      <c r="F163" t="e">
        <f ca="1">_xll.BDH($C$153,"RETURN_COM_EQY","FY 2016","FY 2016","Currency=INR","Period=FY","BEST_FPERIOD_OVERRIDE=FY","FILING_STATUS=OR","EQY_CONSOLIDATED=Y","FA_ADJUSTED=GAAP","Sort=A","Dates=H","DateFormat=P","Fill=—","Direction=H","UseDPDF=Y")</f>
        <v>#NAME?</v>
      </c>
      <c r="G163" t="e">
        <f ca="1">_xll.BDH($C$153,"RETURN_ON_ASSET","FY 2016","FY 2016","Currency=INR","Period=FY","BEST_FPERIOD_OVERRIDE=FY","FILING_STATUS=OR","EQY_CONSOLIDATED=Y","FA_ADJUSTED=GAAP","Sort=A","Dates=H","DateFormat=P","Fill=—","Direction=H","UseDPDF=Y")</f>
        <v>#NAME?</v>
      </c>
      <c r="H163" t="e">
        <f ca="1">_xll.BDH($C$153,"RETURN_ON_CAP","FY 2016","FY 2016","Currency=INR","Period=FY","BEST_FPERIOD_OVERRIDE=FY","FILING_STATUS=OR","EQY_CONSOLIDATED=Y","FA_ADJUSTED=GAAP","Sort=A","Dates=H","DateFormat=P","Fill=—","Direction=H","UseDPDF=Y")</f>
        <v>#NAME?</v>
      </c>
      <c r="I163" t="e">
        <f ca="1">_xll.BDH($C$153,"RETURN_ON_INV_CAPITAL","FY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63" t="e">
        <f ca="1">_xll.BDH($C$153,"EBITDA_TO_REVENUE","FY 2016","FY 2016","Currency=INR","Period=FY","BEST_FPERIOD_OVERRIDE=FY","FILING_STATUS=OR","EQY_CONSOLIDATED=Y","FA_ADJUSTED=GAAP","Sort=A","Dates=H","DateFormat=P","Fill=—","Direction=H","UseDPDF=Y")</f>
        <v>#NAME?</v>
      </c>
      <c r="K163" t="e">
        <f ca="1">_xll.BDH($C$153,"OPER_MARGIN","FY 2016","FY 2016","Currency=INR","Period=FY","BEST_FPERIOD_OVERRIDE=FY","FILING_STATUS=OR","EQY_CONSOLIDATED=Y","FA_ADJUSTED=GAAP","Sort=A","Dates=H","DateFormat=P","Fill=—","Direction=H","UseDPDF=Y")</f>
        <v>#NAME?</v>
      </c>
      <c r="L163" t="e">
        <f ca="1">_xll.BDH($C$153,"INCREMENTAL_OPERATING_MARGIN","FY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63" t="e">
        <f ca="1">_xll.BDH($C$153,"PRETAX_INC_TO_NET_SALES","FY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63" t="e">
        <f ca="1">_xll.BDH($C$153,"INC_BEF_XO_ITEMS_TO_NET_SALES","FY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63" t="e">
        <f ca="1">_xll.BDH($C$153,"PROF_MARGIN","FY 2016","FY 2016","Currency=INR","Period=FY","BEST_FPERIOD_OVERRIDE=FY","FILING_STATUS=OR","EQY_CONSOLIDATED=Y","FA_ADJUSTED=GAAP","Sort=A","Dates=H","DateFormat=P","Fill=—","Direction=H","UseDPDF=Y")</f>
        <v>#NAME?</v>
      </c>
      <c r="P163" t="e">
        <f ca="1">_xll.BDH($C$153,"NET_INCOME_TO_COMMON_MARGIN","FY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63" t="e">
        <f ca="1">_xll.BDH($C$153,"EFF_TAX_RATE","FY 2016","FY 2016","Currency=INR","Period=FY","BEST_FPERIOD_OVERRIDE=FY","FILING_STATUS=OR","EQY_CONSOLIDATED=Y","FA_ADJUSTED=GAAP","Sort=A","Dates=H","DateFormat=P","Fill=—","Direction=H","UseDPDF=Y")</f>
        <v>#NAME?</v>
      </c>
      <c r="R163" t="e">
        <f ca="1">_xll.BDH($C$153,"DVD_PAYOUT_RATIO","FY 2016","FY 2016","Currency=INR","Period=FY","BEST_FPERIOD_OVERRIDE=FY","FILING_STATUS=OR","EQY_CONSOLIDATED=Y","FA_ADJUSTED=GAAP","Sort=A","Dates=H","DateFormat=P","Fill=—","Direction=H","UseDPDF=Y")</f>
        <v>#NAME?</v>
      </c>
      <c r="S163" t="e">
        <f ca="1">_xll.BDH($C$153,"SUSTAIN_GROWTH_RT","FY 2016","FY 2016","Currency=INR","Period=FY","BEST_FPERIOD_OVERRIDE=FY","FILING_STATUS=OR","EQY_CONSOLIDATED=Y","FA_ADJUSTED=GAAP","Sort=A","Dates=H","DateFormat=P","Fill=—","Direction=H","UseDPDF=Y")</f>
        <v>#NAME?</v>
      </c>
      <c r="T163" s="2" t="e">
        <f ca="1">_xll.BDH($C$153,"SALES_GROWTH","FY 2016","FY 2016","Currency=INR","Period=FY","BEST_FPERIOD_OVERRIDE=FY","FILING_STATUS=OR","EQY_CONSOLIDATED=Y","FA_ADJUSTED=GAAP","Sort=A","Dates=H","DateFormat=P","Fill=—","Direction=H","UseDPDF=Y")</f>
        <v>#NAME?</v>
      </c>
      <c r="U163" s="2" t="e">
        <f ca="1">_xll.BDH($C$153,"EBITDA_GROWTH","FY 2016","FY 2016","Currency=INR","Period=FY","BEST_FPERIOD_OVERRIDE=FY","FILING_STATUS=OR","EQY_CONSOLIDATED=Y","FA_ADJUSTED=GAAP","Sort=A","Dates=H","DateFormat=P","Fill=—","Direction=H","UseDPDF=Y")</f>
        <v>#NAME?</v>
      </c>
      <c r="V163" s="2" t="e">
        <f ca="1">_xll.BDH($C$153,"OPER_INC_GROWTH","FY 2016","FY 2016","Currency=INR","Period=FY","BEST_FPERIOD_OVERRIDE=FY","FILING_STATUS=OR","EQY_CONSOLIDATED=Y","FA_ADJUSTED=GAAP","Sort=A","Dates=H","DateFormat=P","Fill=—","Direction=H","UseDPDF=Y")</f>
        <v>#NAME?</v>
      </c>
      <c r="W163" s="2" t="e">
        <f ca="1">_xll.BDH($C$153,"EARN_FOR_COM_GROWTH","FY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163" s="2" t="e">
        <f ca="1">_xll.BDH($C$153,"DILUTED_EPS_AFT_XO_ITEMS_GROWTH","FY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63" s="2" t="e">
        <f ca="1">_xll.BDH($C$153,"DIVIDEND_PER_SHARE_1_YEAR_GROWTH","FY 2016","FY 2016","Currency=INR","Period=FY","BEST_FPERIOD_OVERRIDE=FY","FILING_STATUS=OR","EQY_CONSOLIDATED=Y","Sort=A","Dates=H","DateFormat=P","Fill=—","Direction=H","UseDPDF=Y")</f>
        <v>#NAME?</v>
      </c>
      <c r="Z163" s="2" t="e">
        <f ca="1">_xll.BDH($C$153,"ACCOUNTS_RECEIVABLE_GROWTH","FY 2016","FY 2016","Currency=INR","Period=FY","BEST_FPERIOD_OVERRIDE=FY","FILING_STATUS=OR","EQY_CONSOLIDATED=Y","Sort=A","Dates=H","DateFormat=P","Fill=—","Direction=H","UseDPDF=Y")</f>
        <v>#NAME?</v>
      </c>
      <c r="AA163" s="2" t="e">
        <f ca="1">_xll.BDH($C$153,"INVENTORY_GROWTH","FY 2016","FY 2016","Currency=INR","Period=FY","BEST_FPERIOD_OVERRIDE=FY","FILING_STATUS=OR","EQY_CONSOLIDATED=Y","Sort=A","Dates=H","DateFormat=P","Fill=—","Direction=H","UseDPDF=Y")</f>
        <v>#NAME?</v>
      </c>
      <c r="AB163" s="2" t="e">
        <f ca="1">_xll.BDH($C$153,"NET_FIXED_ASSETS_1_YEAR_GROWTH","FY 2016","FY 2016","Currency=INR","Period=FY","BEST_FPERIOD_OVERRIDE=FY","FILING_STATUS=OR","EQY_CONSOLIDATED=Y","Sort=A","Dates=H","DateFormat=P","Fill=—","Direction=H","UseDPDF=Y")</f>
        <v>#NAME?</v>
      </c>
      <c r="AC163" s="2" t="e">
        <f ca="1">_xll.BDH($C$153,"ASSET_GROWTH","FY 2016","FY 2016","Currency=INR","Period=FY","BEST_FPERIOD_OVERRIDE=FY","FILING_STATUS=OR","EQY_CONSOLIDATED=Y","Sort=A","Dates=H","DateFormat=P","Fill=—","Direction=H","UseDPDF=Y")</f>
        <v>#NAME?</v>
      </c>
      <c r="AD163" s="2" t="e">
        <f ca="1">_xll.BDH($C$153,"MODIFIED_WORK_CAP_GROWTH","FY 2016","FY 2016","Currency=INR","Period=FY","BEST_FPERIOD_OVERRIDE=FY","FILING_STATUS=OR","EQY_CONSOLIDATED=Y","Sort=A","Dates=H","DateFormat=P","Fill=—","Direction=H","UseDPDF=Y")</f>
        <v>#NAME?</v>
      </c>
      <c r="AE163" s="2" t="e">
        <f ca="1">_xll.BDH($C$153,"WORK_CAP_GROWTH","FY 2016","FY 2016","Currency=INR","Period=FY","BEST_FPERIOD_OVERRIDE=FY","FILING_STATUS=OR","EQY_CONSOLIDATED=Y","Sort=A","Dates=H","DateFormat=P","Fill=—","Direction=H","UseDPDF=Y")</f>
        <v>#NAME?</v>
      </c>
      <c r="AF163" s="2" t="e">
        <f ca="1">_xll.BDH($C$153,"ACCOUNTS_PAYABLE_GROWTH_1YR","FY 2016","FY 2016","Currency=INR","Period=FY","BEST_FPERIOD_OVERRIDE=FY","FILING_STATUS=OR","EQY_CONSOLIDATED=Y","Sort=A","Dates=H","DateFormat=P","Fill=—","Direction=H","UseDPDF=Y")</f>
        <v>#NAME?</v>
      </c>
      <c r="AG163" s="2" t="e">
        <f ca="1">_xll.BDH($C$153,"SHORT_TERM_DEBT_1_YEAR_GROWTH","FY 2016","FY 2016","Currency=INR","Period=FY","BEST_FPERIOD_OVERRIDE=FY","FILING_STATUS=OR","EQY_CONSOLIDATED=Y","Sort=A","Dates=H","DateFormat=P","Fill=—","Direction=H","UseDPDF=Y")</f>
        <v>#NAME?</v>
      </c>
      <c r="AH163" s="2" t="e">
        <f ca="1">_xll.BDH($C$153,"TOTAL_DEBT_1_YEAR_GROWTH","FY 2016","FY 2016","Currency=INR","Period=FY","BEST_FPERIOD_OVERRIDE=FY","FILING_STATUS=OR","EQY_CONSOLIDATED=Y","Sort=A","Dates=H","DateFormat=P","Fill=—","Direction=H","UseDPDF=Y")</f>
        <v>#NAME?</v>
      </c>
      <c r="AI163" s="2" t="e">
        <f ca="1">_xll.BDH($C$153,"TOTAL_EQUITY_1_YEAR_GROWTH","FY 2016","FY 2016","Currency=INR","Period=FY","BEST_FPERIOD_OVERRIDE=FY","FILING_STATUS=OR","EQY_CONSOLIDATED=Y","Sort=A","Dates=H","DateFormat=P","Fill=—","Direction=H","UseDPDF=Y")</f>
        <v>#NAME?</v>
      </c>
      <c r="AJ163" s="2" t="e">
        <f ca="1">_xll.BDH($C$153,"GROWTH_IN_CAP","FY 2016","FY 2016","Currency=INR","Period=FY","BEST_FPERIOD_OVERRIDE=FY","FILING_STATUS=OR","EQY_CONSOLIDATED=Y","Sort=A","Dates=H","DateFormat=P","Fill=—","Direction=H","UseDPDF=Y")</f>
        <v>#NAME?</v>
      </c>
      <c r="AK163" s="2" t="e">
        <f ca="1">_xll.BDH($C$153,"BVPS_GROWTH","FY 2016","FY 2016","Currency=INR","Period=FY","BEST_FPERIOD_OVERRIDE=FY","FILING_STATUS=OR","EQY_CONSOLIDATED=Y","Sort=A","Dates=H","DateFormat=P","Fill=—","Direction=H","UseDPDF=Y")</f>
        <v>#NAME?</v>
      </c>
      <c r="AL163" s="2" t="e">
        <f ca="1">_xll.BDH($C$153,"CASH_FLOW_GROWTH","FY 2016","FY 2016","Currency=INR","Period=FY","BEST_FPERIOD_OVERRIDE=FY","FILING_STATUS=OR","EQY_CONSOLIDATED=Y","Sort=A","Dates=H","DateFormat=P","Fill=—","Direction=H","UseDPDF=Y")</f>
        <v>#NAME?</v>
      </c>
      <c r="AM163" s="2" t="e">
        <f ca="1">_xll.BDH($C$153,"GEO_GROW_NET_SALES","FY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163" s="2" t="e">
        <f ca="1">_xll.BDH($C$153,"GEO_GROW_EBITDA","FY 2016","FY 2016","Currency=INR","Period=FY","BEST_FPERIOD_OVERRIDE=FY","FILING_STATUS=OR","EQY_CONSOLIDATED=Y","FA_ADJUSTED=GAAP","Sort=A","Dates=H","DateFormat=P","Fill=—","Direction=H","UseDPDF=Y")</f>
        <v>#NAME?</v>
      </c>
      <c r="AO163" s="2" t="e">
        <f ca="1">_xll.BDH($C$153,"GEO_GROW_OPER_INC","FY 2016","FY 2016","Currency=INR","Period=FY","BEST_FPERIOD_OVERRIDE=FY","FILING_STATUS=OR","EQY_CONSOLIDATED=Y","FA_ADJUSTED=GAAP","Sort=A","Dates=H","DateFormat=P","Fill=—","Direction=H","UseDPDF=Y")</f>
        <v>#NAME?</v>
      </c>
      <c r="AP163" s="2" t="e">
        <f ca="1">_xll.BDH($C$153,"NET_INCOME_TO_COMMON_5_YR_GROWTH","FY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63" s="2" t="e">
        <f ca="1">_xll.BDH($C$153,"5Y_GEO_GROWTH_DILUTED_EPS","FY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63" s="2" t="e">
        <f ca="1">_xll.BDH($C$153,"GEO_GROW_DVD_PER_SH","FY 2016","FY 2016","Currency=INR","Period=FY","BEST_FPERIOD_OVERRIDE=FY","FILING_STATUS=OR","EQY_CONSOLIDATED=Y","Sort=A","Dates=H","DateFormat=P","Fill=—","Direction=H","UseDPDF=Y")</f>
        <v>#NAME?</v>
      </c>
      <c r="AS163" s="2" t="e">
        <f ca="1">_xll.BDH($C$153,"ACCOUNTS_RECEIVABLE_5_YR_GROWTH","FY 2016","FY 2016","Currency=INR","Period=FY","BEST_FPERIOD_OVERRIDE=FY","FILING_STATUS=OR","EQY_CONSOLIDATED=Y","Sort=A","Dates=H","DateFormat=P","Fill=—","Direction=H","UseDPDF=Y")</f>
        <v>#NAME?</v>
      </c>
      <c r="AT163" s="2" t="e">
        <f ca="1">_xll.BDH($C$153,"INVENTORY_5_YEAR_GROWTH","FY 2016","FY 2016","Currency=INR","Period=FY","BEST_FPERIOD_OVERRIDE=FY","FILING_STATUS=OR","EQY_CONSOLIDATED=Y","Sort=A","Dates=H","DateFormat=P","Fill=—","Direction=H","UseDPDF=Y")</f>
        <v>#NAME?</v>
      </c>
      <c r="AU163" s="2" t="e">
        <f ca="1">_xll.BDH($C$153,"NET_FIXED_ASSETS_5_YEAR_GROWTH","FY 2016","FY 2016","Currency=INR","Period=FY","BEST_FPERIOD_OVERRIDE=FY","FILING_STATUS=OR","EQY_CONSOLIDATED=Y","Sort=A","Dates=H","DateFormat=P","Fill=—","Direction=H","UseDPDF=Y")</f>
        <v>#NAME?</v>
      </c>
      <c r="AV163" s="2" t="e">
        <f ca="1">_xll.BDH($C$153,"GEO_GROW_TOT_ASSET","FY 2016","FY 2016","Currency=INR","Period=FY","BEST_FPERIOD_OVERRIDE=FY","FILING_STATUS=OR","EQY_CONSOLIDATED=Y","Sort=A","Dates=H","DateFormat=P","Fill=—","Direction=H","UseDPDF=Y")</f>
        <v>#NAME?</v>
      </c>
      <c r="AW163" s="2" t="e">
        <f ca="1">_xll.BDH($C$153,"MODIFIED_WORKING_CPTL_5YR_GRWTH","FY 2016","FY 2016","Currency=INR","Period=FY","BEST_FPERIOD_OVERRIDE=FY","FILING_STATUS=OR","EQY_CONSOLIDATED=Y","Sort=A","Dates=H","DateFormat=P","Fill=—","Direction=H","UseDPDF=Y")</f>
        <v>#NAME?</v>
      </c>
      <c r="AX163" s="2" t="e">
        <f ca="1">_xll.BDH($C$153,"WORKING_CAPITAL_5_YEAR_GROWTH","FY 2016","FY 2016","Currency=INR","Period=FY","BEST_FPERIOD_OVERRIDE=FY","FILING_STATUS=OR","EQY_CONSOLIDATED=Y","Sort=A","Dates=H","DateFormat=P","Fill=—","Direction=H","UseDPDF=Y")</f>
        <v>#NAME?</v>
      </c>
      <c r="AY163" s="2" t="e">
        <f ca="1">_xll.BDH($C$153,"ACCOUNTS_PAYABLE_5_YEAR_GROWTH","FY 2016","FY 2016","Currency=INR","Period=FY","BEST_FPERIOD_OVERRIDE=FY","FILING_STATUS=OR","EQY_CONSOLIDATED=Y","Sort=A","Dates=H","DateFormat=P","Fill=—","Direction=H","UseDPDF=Y")</f>
        <v>#NAME?</v>
      </c>
      <c r="AZ163" s="2" t="e">
        <f ca="1">_xll.BDH($C$153,"SHORT_TERM_DEBT_5_YEAR_GROWTH","FY 2016","FY 2016","Currency=INR","Period=FY","BEST_FPERIOD_OVERRIDE=FY","FILING_STATUS=OR","EQY_CONSOLIDATED=Y","Sort=A","Dates=H","DateFormat=P","Fill=—","Direction=H","UseDPDF=Y")</f>
        <v>#NAME?</v>
      </c>
      <c r="BA163" s="2" t="e">
        <f ca="1">_xll.BDH($C$153,"TOTAL_DEBT_5_YEAR_GROWTH","FY 2016","FY 2016","Currency=INR","Period=FY","BEST_FPERIOD_OVERRIDE=FY","FILING_STATUS=OR","EQY_CONSOLIDATED=Y","Sort=A","Dates=H","DateFormat=P","Fill=—","Direction=H","UseDPDF=Y")</f>
        <v>#NAME?</v>
      </c>
      <c r="BB163" s="2" t="e">
        <f ca="1">_xll.BDH($C$153,"GEO_GROW_TOT_SHRHLDR_EQY","FY 2016","FY 2016","Currency=INR","Period=FY","BEST_FPERIOD_OVERRIDE=FY","FILING_STATUS=OR","EQY_CONSOLIDATED=Y","Sort=A","Dates=H","DateFormat=P","Fill=—","Direction=H","UseDPDF=Y")</f>
        <v>#NAME?</v>
      </c>
      <c r="BC163" s="2" t="e">
        <f ca="1">_xll.BDH($C$153,"TOTAL_CAPITAL_5_YEAR_GROWTH","FY 2016","FY 2016","Currency=INR","Period=FY","BEST_FPERIOD_OVERRIDE=FY","FILING_STATUS=OR","EQY_CONSOLIDATED=Y","Sort=A","Dates=H","DateFormat=P","Fill=—","Direction=H","UseDPDF=Y")</f>
        <v>#NAME?</v>
      </c>
      <c r="BD163" s="2" t="e">
        <f ca="1">_xll.BDH($C$153,"GEO_GROW_BOOK_VAL","FY 2016","FY 2016","Currency=INR","Period=FY","BEST_FPERIOD_OVERRIDE=FY","FILING_STATUS=OR","EQY_CONSOLIDATED=Y","Sort=A","Dates=H","DateFormat=P","Fill=—","Direction=H","UseDPDF=Y")</f>
        <v>#NAME?</v>
      </c>
      <c r="BE163" s="2" t="e">
        <f ca="1">_xll.BDH($C$153,"GEO_GROW_CASH_OPER_ACT","FY 2016","FY 2016","Currency=INR","Period=FY","BEST_FPERIOD_OVERRIDE=FY","FILING_STATUS=OR","EQY_CONSOLIDATED=Y","Sort=A","Dates=H","DateFormat=P","Fill=—","Direction=H","UseDPDF=Y")</f>
        <v>#NAME?</v>
      </c>
      <c r="BF163" s="2" t="e">
        <f ca="1">_xll.BDH($C$153,"REVENUE_SEQUENTIAL_GROWTH","FY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63" s="2" t="e">
        <f ca="1">_xll.BDH($C$153,"EBITDA_SEQUENTIAL_GROWTH","FY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63" s="2" t="e">
        <f ca="1">_xll.BDH($C$153,"OPERATING_INCOME_SEQ_GROWTH","FY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63" s="2" t="e">
        <f ca="1">_xll.BDH($C$153,"NET_INCOME_TO_COMMON_SEQ_GROWTH","FY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63" s="2" t="e">
        <f ca="1">_xll.BDH($C$153,"EPS_DILUTED_SEQUENTIAL_GROWTH","FY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63" s="2" t="e">
        <f ca="1">_xll.BDH($C$153,"DPS_SEQUENTIAL_GROWTH","FY 2016","FY 2016","Currency=INR","Period=FY","BEST_FPERIOD_OVERRIDE=FY","FILING_STATUS=OR","EQY_CONSOLIDATED=Y","Sort=A","Dates=H","DateFormat=P","Fill=—","Direction=H","UseDPDF=Y")</f>
        <v>#NAME?</v>
      </c>
      <c r="BL163" s="2" t="e">
        <f ca="1">_xll.BDH($C$153,"ACCOUNTS_RECEIVABLE_SEQ_GROWTH","FY 2016","FY 2016","Currency=INR","Period=FY","BEST_FPERIOD_OVERRIDE=FY","FILING_STATUS=OR","EQY_CONSOLIDATED=Y","Sort=A","Dates=H","DateFormat=P","Fill=—","Direction=H","UseDPDF=Y")</f>
        <v>#NAME?</v>
      </c>
      <c r="BM163" s="2" t="e">
        <f ca="1">_xll.BDH($C$153,"INVENTORY_SEQUENTIAL_GROWTH","FY 2016","FY 2016","Currency=INR","Period=FY","BEST_FPERIOD_OVERRIDE=FY","FILING_STATUS=OR","EQY_CONSOLIDATED=Y","Sort=A","Dates=H","DateFormat=P","Fill=—","Direction=H","UseDPDF=Y")</f>
        <v>#NAME?</v>
      </c>
      <c r="BN163" s="2" t="e">
        <f ca="1">_xll.BDH($C$153,"FIXED_ASSETS_SEQUENTIAL_GROWTH","FY 2016","FY 2016","Currency=INR","Period=FY","BEST_FPERIOD_OVERRIDE=FY","FILING_STATUS=OR","EQY_CONSOLIDATED=Y","Sort=A","Dates=H","DateFormat=P","Fill=—","Direction=H","UseDPDF=Y")</f>
        <v>#NAME?</v>
      </c>
      <c r="BO163" s="2" t="e">
        <f ca="1">_xll.BDH($C$153,"TOTAL_ASSETS_SEQUENTIAL_GROWTH","FY 2016","FY 2016","Currency=INR","Period=FY","BEST_FPERIOD_OVERRIDE=FY","FILING_STATUS=OR","EQY_CONSOLIDATED=Y","Sort=A","Dates=H","DateFormat=P","Fill=—","Direction=H","UseDPDF=Y")</f>
        <v>#NAME?</v>
      </c>
      <c r="BP163" s="2" t="e">
        <f ca="1">_xll.BDH($C$153,"MODIFIED_WORKING_CPTL_SEQ_GRWTH","FY 2016","FY 2016","Currency=INR","Period=FY","BEST_FPERIOD_OVERRIDE=FY","FILING_STATUS=OR","EQY_CONSOLIDATED=Y","Sort=A","Dates=H","DateFormat=P","Fill=—","Direction=H","UseDPDF=Y")</f>
        <v>#NAME?</v>
      </c>
      <c r="BQ163" s="2" t="e">
        <f ca="1">_xll.BDH($C$153,"WORKING_CAPITAL_SEQ_GROWTH","FY 2016","FY 2016","Currency=INR","Period=FY","BEST_FPERIOD_OVERRIDE=FY","FILING_STATUS=OR","EQY_CONSOLIDATED=Y","Sort=A","Dates=H","DateFormat=P","Fill=—","Direction=H","UseDPDF=Y")</f>
        <v>#NAME?</v>
      </c>
      <c r="BR163" s="2" t="e">
        <f ca="1">_xll.BDH($C$153,"ACCOUNTS_PAYABLE_SEQ_GROWTH","FY 2016","FY 2016","Currency=INR","Period=FY","BEST_FPERIOD_OVERRIDE=FY","FILING_STATUS=OR","EQY_CONSOLIDATED=Y","Sort=A","Dates=H","DateFormat=P","Fill=—","Direction=H","UseDPDF=Y")</f>
        <v>#NAME?</v>
      </c>
      <c r="BS163" s="2" t="e">
        <f ca="1">_xll.BDH($C$153,"ST_DEBT_SEQUENTIAL_GROWTH","FY 2016","FY 2016","Currency=INR","Period=FY","BEST_FPERIOD_OVERRIDE=FY","FILING_STATUS=OR","EQY_CONSOLIDATED=Y","Sort=A","Dates=H","DateFormat=P","Fill=—","Direction=H","UseDPDF=Y")</f>
        <v>#NAME?</v>
      </c>
      <c r="BT163" s="2" t="e">
        <f ca="1">_xll.BDH($C$153,"TOTAL_DEBT_SEQUENTIAL_GROWTH","FY 2016","FY 2016","Currency=INR","Period=FY","BEST_FPERIOD_OVERRIDE=FY","FILING_STATUS=OR","EQY_CONSOLIDATED=Y","Sort=A","Dates=H","DateFormat=P","Fill=—","Direction=H","UseDPDF=Y")</f>
        <v>#NAME?</v>
      </c>
      <c r="BU163" s="2" t="e">
        <f ca="1">_xll.BDH($C$153,"TOTAL_EQUITY_SEQUENTIAL_GROWTH","FY 2016","FY 2016","Currency=INR","Period=FY","BEST_FPERIOD_OVERRIDE=FY","FILING_STATUS=OR","EQY_CONSOLIDATED=Y","Sort=A","Dates=H","DateFormat=P","Fill=—","Direction=H","UseDPDF=Y")</f>
        <v>#NAME?</v>
      </c>
      <c r="BV163" s="2" t="e">
        <f ca="1">_xll.BDH($C$153,"TOTAL_CAPITAL_SEQUENTIAL_GROWTH","FY 2016","FY 2016","Currency=INR","Period=FY","BEST_FPERIOD_OVERRIDE=FY","FILING_STATUS=OR","EQY_CONSOLIDATED=Y","Sort=A","Dates=H","DateFormat=P","Fill=—","Direction=H","UseDPDF=Y")</f>
        <v>#NAME?</v>
      </c>
      <c r="BW163" s="2" t="e">
        <f ca="1">_xll.BDH($C$153,"BPS_SEQUENTIAL_GROWTH","FY 2016","FY 2016","Currency=INR","Period=FY","BEST_FPERIOD_OVERRIDE=FY","FILING_STATUS=OR","EQY_CONSOLIDATED=Y","Sort=A","Dates=H","DateFormat=P","Fill=—","Direction=H","UseDPDF=Y")</f>
        <v>#NAME?</v>
      </c>
      <c r="BX163" s="2" t="e">
        <f ca="1">_xll.BDH($C$153,"CFO_SEQUENTIAL_GROWTH","FY 2016","FY 2016","Currency=INR","Period=FY","BEST_FPERIOD_OVERRIDE=FY","FILING_STATUS=OR","EQY_CONSOLIDATED=Y","Sort=A","Dates=H","DateFormat=P","Fill=—","Direction=H","UseDPDF=Y")</f>
        <v>#NAME?</v>
      </c>
      <c r="BY163" s="3" t="e">
        <f ca="1">_xll.BDH($C$153,"SHORT_AND_LONG_TERM_DEBT","FY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63" s="3" t="e">
        <f ca="1">_xll.BDH($C$153,"BS_ST_BORROW","FY 2016","FY 2016","Currency=INR","Period=FY","BEST_FPERIOD_OVERRIDE=FY","FILING_STATUS=OR","EQY_CONSOLIDATED=Y","SCALING_FORMAT=MLN","Sort=A","Dates=H","DateFormat=P","Fill=—","Direction=H","UseDPDF=Y")</f>
        <v>#NAME?</v>
      </c>
      <c r="CA163" s="3" t="e">
        <f ca="1">_xll.BDH($C$153,"BS_LT_BORROW","FY 2016","FY 2016","Currency=INR","Period=FY","BEST_FPERIOD_OVERRIDE=FY","FILING_STATUS=OR","EQY_CONSOLIDATED=Y","SCALING_FORMAT=MLN","Sort=A","Dates=H","DateFormat=P","Fill=—","Direction=H","UseDPDF=Y")</f>
        <v>#NAME?</v>
      </c>
      <c r="CB163" s="2" t="e">
        <f ca="1">_xll.BDH($C$153,"TOT_DEBT_TO_EBITDA","FY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163" s="2" t="e">
        <f ca="1">_xll.BDH($C$153,"NET_DEBT_TO_EBITDA","FY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163" s="2" t="e">
        <f ca="1">_xll.BDH($C$153,"TOTAL_DEBT_TO_EBIT","FY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163" s="2" t="e">
        <f ca="1">_xll.BDH($C$153,"NET_DEBT_TO_EBIT","FY 2016","FY 2016","Currency=INR","Period=FY","BEST_FPERIOD_OVERRIDE=FY","FILING_STATUS=OR","EQY_CONSOLIDATED=Y","FA_ADJUSTED=GAAP","Sort=A","Dates=H","DateFormat=P","Fill=—","Direction=H","UseDPDF=Y")</f>
        <v>#NAME?</v>
      </c>
      <c r="CF163" s="2" t="e">
        <f ca="1">_xll.BDH($C$153,"EBITDA_TO_INTEREST_EXPN","FY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63" s="2" t="e">
        <f ca="1">_xll.BDH($C$153,"COM_EQY_TO_TOT_ASSET","FY 2016","FY 2016","Currency=INR","Period=FY","BEST_FPERIOD_OVERRIDE=FY","FILING_STATUS=OR","EQY_CONSOLIDATED=Y","Sort=A","Dates=H","DateFormat=P","Fill=—","Direction=H","UseDPDF=Y")</f>
        <v>#NAME?</v>
      </c>
      <c r="CH163" s="2" t="e">
        <f ca="1">_xll.BDH($C$153,"LT_DEBT_TO_TOT_EQY","FY 2016","FY 2016","Currency=INR","Period=FY","BEST_FPERIOD_OVERRIDE=FY","FILING_STATUS=OR","EQY_CONSOLIDATED=Y","Sort=A","Dates=H","DateFormat=P","Fill=—","Direction=H","UseDPDF=Y")</f>
        <v>#NAME?</v>
      </c>
      <c r="CI163" s="2" t="e">
        <f ca="1">_xll.BDH($C$153,"LT_DEBT_TO_TOT_CAP","FY 2016","FY 2016","Currency=INR","Period=FY","BEST_FPERIOD_OVERRIDE=FY","FILING_STATUS=OR","EQY_CONSOLIDATED=Y","Sort=A","Dates=H","DateFormat=P","Fill=—","Direction=H","UseDPDF=Y")</f>
        <v>#NAME?</v>
      </c>
      <c r="CJ163" s="2" t="e">
        <f ca="1">_xll.BDH($C$153,"LT_DEBT_TO_TOT_ASSET","FY 2016","FY 2016","Currency=INR","Period=FY","BEST_FPERIOD_OVERRIDE=FY","FILING_STATUS=OR","EQY_CONSOLIDATED=Y","Sort=A","Dates=H","DateFormat=P","Fill=—","Direction=H","UseDPDF=Y")</f>
        <v>#NAME?</v>
      </c>
      <c r="CK163" s="2" t="e">
        <f ca="1">_xll.BDH($C$153,"TOT_DEBT_TO_TOT_EQY","FY 2016","FY 2016","Currency=INR","Period=FY","BEST_FPERIOD_OVERRIDE=FY","FILING_STATUS=OR","EQY_CONSOLIDATED=Y","Sort=A","Dates=H","DateFormat=P","Fill=—","Direction=H","UseDPDF=Y")</f>
        <v>#NAME?</v>
      </c>
      <c r="CL163" s="2" t="e">
        <f ca="1">_xll.BDH($C$153,"TOT_DEBT_TO_TOT_CAP","FY 2016","FY 2016","Currency=INR","Period=FY","BEST_FPERIOD_OVERRIDE=FY","FILING_STATUS=OR","EQY_CONSOLIDATED=Y","Sort=A","Dates=H","DateFormat=P","Fill=—","Direction=H","UseDPDF=Y")</f>
        <v>#NAME?</v>
      </c>
      <c r="CM163" s="2" t="e">
        <f ca="1">_xll.BDH($C$153,"TOT_DEBT_TO_TOT_ASSET","FY 2016","FY 2016","Currency=INR","Period=FY","BEST_FPERIOD_OVERRIDE=FY","FILING_STATUS=OR","EQY_CONSOLIDATED=Y","Sort=A","Dates=H","DateFormat=P","Fill=—","Direction=H","UseDPDF=Y")</f>
        <v>#NAME?</v>
      </c>
      <c r="CN163" s="2" t="e">
        <f ca="1">_xll.BDH($C$153,"NET_DEBT_TO_SHRHLDR_EQTY","FY 2016","FY 2016","Currency=INR","Period=FY","BEST_FPERIOD_OVERRIDE=FY","FILING_STATUS=OR","EQY_CONSOLIDATED=Y","Sort=A","Dates=H","DateFormat=P","Fill=—","Direction=H","UseDPDF=Y")</f>
        <v>#NAME?</v>
      </c>
      <c r="CO163" s="2" t="e">
        <f ca="1">_xll.BDH($C$153,"NET_DEBT_%_CAPITAL","FY 2016","FY 2016","Currency=INR","Period=FY","BEST_FPERIOD_OVERRIDE=FY","FILING_STATUS=OR","EQY_CONSOLIDATED=Y","Sort=A","Dates=H","DateFormat=P","Fill=—","Direction=H","UseDPDF=Y")</f>
        <v>#NAME?</v>
      </c>
      <c r="CP163" s="3" t="e">
        <f ca="1">_xll.BDH($C$153,"EBITDA","FY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63" s="3" t="e">
        <f ca="1">_xll.BDH($C$153,"EBITDA_AFTER_CAPEX","FY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63" s="3" t="e">
        <f ca="1">_xll.BDH($C$153,"IS_OPER_INC","FY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63" s="2" t="e">
        <f ca="1">_xll.BDH($C$153,"CASH_RATIO","FY 2016","FY 2016","Currency=INR","Period=FY","BEST_FPERIOD_OVERRIDE=FY","FILING_STATUS=OR","EQY_CONSOLIDATED=Y","Sort=A","Dates=H","DateFormat=P","Fill=—","Direction=H","UseDPDF=Y")</f>
        <v>#NAME?</v>
      </c>
      <c r="CT163" s="2" t="e">
        <f ca="1">_xll.BDH($C$153,"CUR_RATIO","FY 2016","FY 2016","Currency=INR","Period=FY","BEST_FPERIOD_OVERRIDE=FY","FILING_STATUS=OR","EQY_CONSOLIDATED=Y","Sort=A","Dates=H","DateFormat=P","Fill=—","Direction=H","UseDPDF=Y")</f>
        <v>#NAME?</v>
      </c>
      <c r="CU163" s="2" t="e">
        <f ca="1">_xll.BDH($C$153,"QUICK_RATIO","FY 2016","FY 2016","Currency=INR","Period=FY","BEST_FPERIOD_OVERRIDE=FY","FILING_STATUS=OR","EQY_CONSOLIDATED=Y","Sort=A","Dates=H","DateFormat=P","Fill=—","Direction=H","UseDPDF=Y")</f>
        <v>#NAME?</v>
      </c>
      <c r="CV163" s="2" t="e">
        <f ca="1">_xll.BDH($C$153,"ALTMAN_Z_SCORE","FY 2016","FY 2016","Currency=INR","Period=FY","BEST_FPERIOD_OVERRIDE=FY","FILING_STATUS=OR","EQY_CONSOLIDATED=Y","Sort=A","Dates=H","DateFormat=P","Fill=—","Direction=H","UseDPDF=Y")</f>
        <v>#NAME?</v>
      </c>
      <c r="CW163" s="4" t="e">
        <f ca="1">_xll.BDH($C$153,"ACCT_RCV_TURN","FY 2016","FY 2016","Currency=INR","Period=FY","BEST_FPERIOD_OVERRIDE=FY","FILING_STATUS=OR","EQY_CONSOLIDATED=Y","FA_ADJUSTED=GAAP","Sort=A","Dates=H","DateFormat=P","Fill=—","Direction=H","UseDPDF=Y")</f>
        <v>#NAME?</v>
      </c>
      <c r="CX163" s="2" t="e">
        <f ca="1">_xll.BDH($C$153,"ACCT_RCV_DAYS","FY 2016","FY 2016","Currency=INR","Period=FY","BEST_FPERIOD_OVERRIDE=FY","FILING_STATUS=OR","EQY_CONSOLIDATED=Y","FA_ADJUSTED=GAAP","Sort=A","Dates=H","DateFormat=P","Fill=—","Direction=H","UseDPDF=Y")</f>
        <v>#NAME?</v>
      </c>
      <c r="CY163" s="4" t="e">
        <f ca="1">_xll.BDH($C$153,"INVENT_TURN","FY 2016","FY 2016","Currency=INR","Period=FY","BEST_FPERIOD_OVERRIDE=FY","FILING_STATUS=OR","EQY_CONSOLIDATED=Y","FA_ADJUSTED=GAAP","Sort=A","Dates=H","DateFormat=P","Fill=—","Direction=H","UseDPDF=Y")</f>
        <v>#NAME?</v>
      </c>
      <c r="CZ163" s="2" t="e">
        <f ca="1">_xll.BDH($C$153,"INVENT_DAYS","FY 2016","FY 2016","Currency=INR","Period=FY","BEST_FPERIOD_OVERRIDE=FY","FILING_STATUS=OR","EQY_CONSOLIDATED=Y","FA_ADJUSTED=GAAP","Sort=A","Dates=H","DateFormat=P","Fill=—","Direction=H","UseDPDF=Y")</f>
        <v>#NAME?</v>
      </c>
      <c r="DA163" s="4" t="e">
        <f ca="1">_xll.BDH($C$153,"ACCOUNTS_PAYABLE_TURNOVER","FY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63" s="2" t="e">
        <f ca="1">_xll.BDH($C$153,"ACCOUNTS_PAYABLE_TURNOVER_DAYS","FY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63" s="4" t="e">
        <f ca="1">_xll.BDH($C$153,"CASH_CONVERSION_CYCLE","FY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63" s="4" t="e">
        <f ca="1">_xll.BDH($C$153,"INV_TO_CASH_DAYS","FY 2016","FY 2016","Currency=INR","Period=FY","BEST_FPERIOD_OVERRIDE=FY","FILING_STATUS=OR","EQY_CONSOLIDATED=Y","FA_ADJUSTED=GAAP","Sort=A","Dates=H","DateFormat=P","Fill=—","Direction=H","UseDPDF=Y")</f>
        <v>#NAME?</v>
      </c>
      <c r="DE163" s="5" t="e">
        <f ca="1">_xll.BDH($C$153,"BS_INVENTORIES","FY 2016","FY 2016","Currency=INR","Period=FY","BEST_FPERIOD_OVERRIDE=FY","FILING_STATUS=OR","EQY_CONSOLIDATED=Y","SCALING_FORMAT=MLN","Sort=A","Dates=H","DateFormat=P","Fill=—","Direction=H","UseDPDF=Y")</f>
        <v>#NAME?</v>
      </c>
      <c r="DF163" s="3" t="e">
        <f ca="1">_xll.BDH($C$153,"INVTRY_RAW_MATERIALS","FY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63" s="3" t="e">
        <f ca="1">_xll.BDH($C$153,"INVTRY_IN_PROGRESS","FY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63" s="3" t="e">
        <f ca="1">_xll.BDH($C$153,"INVTRY_FINISHED_GOODS","FY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63" s="3" t="e">
        <f ca="1">_xll.BDH($C$153,"BS_OTHER_INV","FY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64" spans="1:113" x14ac:dyDescent="0.3">
      <c r="A164" s="6"/>
      <c r="B164" s="6"/>
      <c r="C164" s="6"/>
      <c r="D164" s="6"/>
      <c r="E164" t="s">
        <v>78</v>
      </c>
      <c r="F164" t="e">
        <f ca="1">_xll.BDH($C$153,"RETURN_COM_EQY","FQ1 2016","FQ1 2016","Currency=INR","Period=FQ","BEST_FPERIOD_OVERRIDE=FQ","FILING_STATUS=OR","EQY_CONSOLIDATED=Y","FA_ADJUSTED=GAAP","Sort=A","Dates=H","DateFormat=P","Fill=—","Direction=H","UseDPDF=Y")</f>
        <v>#NAME?</v>
      </c>
      <c r="G164" t="e">
        <f ca="1">_xll.BDH($C$153,"RETURN_ON_ASSET","FQ1 2016","FQ1 2016","Currency=INR","Period=FQ","BEST_FPERIOD_OVERRIDE=FQ","FILING_STATUS=OR","EQY_CONSOLIDATED=Y","FA_ADJUSTED=GAAP","Sort=A","Dates=H","DateFormat=P","Fill=—","Direction=H","UseDPDF=Y")</f>
        <v>#NAME?</v>
      </c>
      <c r="H164" t="e">
        <f ca="1">_xll.BDH($C$153,"RETURN_ON_CAP","FQ1 2016","FQ1 2016","Currency=INR","Period=FQ","BEST_FPERIOD_OVERRIDE=FQ","FILING_STATUS=OR","EQY_CONSOLIDATED=Y","FA_ADJUSTED=GAAP","Sort=A","Dates=H","DateFormat=P","Fill=—","Direction=H","UseDPDF=Y")</f>
        <v>#NAME?</v>
      </c>
      <c r="I164" t="e">
        <f ca="1">_xll.BDH($C$153,"RETURN_ON_INV_CAPITAL","FQ1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64" t="e">
        <f ca="1">_xll.BDH($C$153,"EBITDA_TO_REVENUE","FQ1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164" t="e">
        <f ca="1">_xll.BDH($C$153,"OPER_MARGIN","FQ1 2016","FQ1 2016","Currency=INR","Period=FQ","BEST_FPERIOD_OVERRIDE=FQ","FILING_STATUS=OR","EQY_CONSOLIDATED=Y","FA_ADJUSTED=GAAP","Sort=A","Dates=H","DateFormat=P","Fill=—","Direction=H","UseDPDF=Y")</f>
        <v>#NAME?</v>
      </c>
      <c r="L164" t="e">
        <f ca="1">_xll.BDH($C$153,"INCREMENTAL_OPERATING_MARGIN","FQ1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64" t="e">
        <f ca="1">_xll.BDH($C$153,"PRETAX_INC_TO_NET_SALES","FQ1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64" t="e">
        <f ca="1">_xll.BDH($C$153,"INC_BEF_XO_ITEMS_TO_NET_SALES","FQ1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64" t="e">
        <f ca="1">_xll.BDH($C$153,"PROF_MARGIN","FQ1 2016","FQ1 2016","Currency=INR","Period=FQ","BEST_FPERIOD_OVERRIDE=FQ","FILING_STATUS=OR","EQY_CONSOLIDATED=Y","FA_ADJUSTED=GAAP","Sort=A","Dates=H","DateFormat=P","Fill=—","Direction=H","UseDPDF=Y")</f>
        <v>#NAME?</v>
      </c>
      <c r="P164" t="e">
        <f ca="1">_xll.BDH($C$153,"NET_INCOME_TO_COMMON_MARGIN","FQ1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64" t="e">
        <f ca="1">_xll.BDH($C$153,"EFF_TAX_RATE","FQ1 2016","FQ1 2016","Currency=INR","Period=FQ","BEST_FPERIOD_OVERRIDE=FQ","FILING_STATUS=OR","EQY_CONSOLIDATED=Y","FA_ADJUSTED=GAAP","Sort=A","Dates=H","DateFormat=P","Fill=—","Direction=H","UseDPDF=Y")</f>
        <v>#NAME?</v>
      </c>
      <c r="R164" t="e">
        <f ca="1">_xll.BDH($C$153,"DVD_PAYOUT_RATIO","FQ1 2016","FQ1 2016","Currency=INR","Period=FQ","BEST_FPERIOD_OVERRIDE=FQ","FILING_STATUS=OR","EQY_CONSOLIDATED=Y","FA_ADJUSTED=GAAP","Sort=A","Dates=H","DateFormat=P","Fill=—","Direction=H","UseDPDF=Y")</f>
        <v>#NAME?</v>
      </c>
      <c r="S164" t="e">
        <f ca="1">_xll.BDH($C$153,"SUSTAIN_GROWTH_RT","FQ1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164" s="2" t="e">
        <f ca="1">_xll.BDH($C$153,"SALES_GROWTH","FQ1 2016","FQ1 2016","Currency=INR","Period=FQ","BEST_FPERIOD_OVERRIDE=FQ","FILING_STATUS=OR","EQY_CONSOLIDATED=Y","FA_ADJUSTED=GAAP","Sort=A","Dates=H","DateFormat=P","Fill=—","Direction=H","UseDPDF=Y")</f>
        <v>#NAME?</v>
      </c>
      <c r="U164" s="2" t="e">
        <f ca="1">_xll.BDH($C$153,"EBITDA_GROWTH","FQ1 2016","FQ1 2016","Currency=INR","Period=FQ","BEST_FPERIOD_OVERRIDE=FQ","FILING_STATUS=OR","EQY_CONSOLIDATED=Y","FA_ADJUSTED=GAAP","Sort=A","Dates=H","DateFormat=P","Fill=—","Direction=H","UseDPDF=Y")</f>
        <v>#NAME?</v>
      </c>
      <c r="V164" s="2" t="e">
        <f ca="1">_xll.BDH($C$153,"OPER_INC_GROWTH","FQ1 2016","FQ1 2016","Currency=INR","Period=FQ","BEST_FPERIOD_OVERRIDE=FQ","FILING_STATUS=OR","EQY_CONSOLIDATED=Y","FA_ADJUSTED=GAAP","Sort=A","Dates=H","DateFormat=P","Fill=—","Direction=H","UseDPDF=Y")</f>
        <v>#NAME?</v>
      </c>
      <c r="W164" s="2" t="e">
        <f ca="1">_xll.BDH($C$153,"EARN_FOR_COM_GROWTH","FQ1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64" s="2" t="e">
        <f ca="1">_xll.BDH($C$153,"DILUTED_EPS_AFT_XO_ITEMS_GROWTH","FQ1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64" s="2" t="e">
        <f ca="1">_xll.BDH($C$153,"DIVIDEND_PER_SHARE_1_YEAR_GROWTH","FQ1 2016","FQ1 2016","Currency=INR","Period=FQ","BEST_FPERIOD_OVERRIDE=FQ","FILING_STATUS=OR","EQY_CONSOLIDATED=Y","Sort=A","Dates=H","DateFormat=P","Fill=—","Direction=H","UseDPDF=Y")</f>
        <v>#NAME?</v>
      </c>
      <c r="Z164" s="2" t="e">
        <f ca="1">_xll.BDH($C$153,"ACCOUNTS_RECEIVABLE_GROWTH","FQ1 2016","FQ1 2016","Currency=INR","Period=FQ","BEST_FPERIOD_OVERRIDE=FQ","FILING_STATUS=OR","EQY_CONSOLIDATED=Y","Sort=A","Dates=H","DateFormat=P","Fill=—","Direction=H","UseDPDF=Y")</f>
        <v>#NAME?</v>
      </c>
      <c r="AA164" s="2" t="e">
        <f ca="1">_xll.BDH($C$153,"INVENTORY_GROWTH","FQ1 2016","FQ1 2016","Currency=INR","Period=FQ","BEST_FPERIOD_OVERRIDE=FQ","FILING_STATUS=OR","EQY_CONSOLIDATED=Y","Sort=A","Dates=H","DateFormat=P","Fill=—","Direction=H","UseDPDF=Y")</f>
        <v>#NAME?</v>
      </c>
      <c r="AB164" s="2" t="e">
        <f ca="1">_xll.BDH($C$153,"NET_FIXED_ASSETS_1_YEAR_GROWTH","FQ1 2016","FQ1 2016","Currency=INR","Period=FQ","BEST_FPERIOD_OVERRIDE=FQ","FILING_STATUS=OR","EQY_CONSOLIDATED=Y","Sort=A","Dates=H","DateFormat=P","Fill=—","Direction=H","UseDPDF=Y")</f>
        <v>#NAME?</v>
      </c>
      <c r="AC164" s="2" t="e">
        <f ca="1">_xll.BDH($C$153,"ASSET_GROWTH","FQ1 2016","FQ1 2016","Currency=INR","Period=FQ","BEST_FPERIOD_OVERRIDE=FQ","FILING_STATUS=OR","EQY_CONSOLIDATED=Y","Sort=A","Dates=H","DateFormat=P","Fill=—","Direction=H","UseDPDF=Y")</f>
        <v>#NAME?</v>
      </c>
      <c r="AD164" s="2" t="e">
        <f ca="1">_xll.BDH($C$153,"MODIFIED_WORK_CAP_GROWTH","FQ1 2016","FQ1 2016","Currency=INR","Period=FQ","BEST_FPERIOD_OVERRIDE=FQ","FILING_STATUS=OR","EQY_CONSOLIDATED=Y","Sort=A","Dates=H","DateFormat=P","Fill=—","Direction=H","UseDPDF=Y")</f>
        <v>#NAME?</v>
      </c>
      <c r="AE164" s="2" t="e">
        <f ca="1">_xll.BDH($C$153,"WORK_CAP_GROWTH","FQ1 2016","FQ1 2016","Currency=INR","Period=FQ","BEST_FPERIOD_OVERRIDE=FQ","FILING_STATUS=OR","EQY_CONSOLIDATED=Y","Sort=A","Dates=H","DateFormat=P","Fill=—","Direction=H","UseDPDF=Y")</f>
        <v>#NAME?</v>
      </c>
      <c r="AF164" s="2" t="e">
        <f ca="1">_xll.BDH($C$153,"ACCOUNTS_PAYABLE_GROWTH_1YR","FQ1 2016","FQ1 2016","Currency=INR","Period=FQ","BEST_FPERIOD_OVERRIDE=FQ","FILING_STATUS=OR","EQY_CONSOLIDATED=Y","Sort=A","Dates=H","DateFormat=P","Fill=—","Direction=H","UseDPDF=Y")</f>
        <v>#NAME?</v>
      </c>
      <c r="AG164" s="2" t="e">
        <f ca="1">_xll.BDH($C$153,"SHORT_TERM_DEBT_1_YEAR_GROWTH","FQ1 2016","FQ1 2016","Currency=INR","Period=FQ","BEST_FPERIOD_OVERRIDE=FQ","FILING_STATUS=OR","EQY_CONSOLIDATED=Y","Sort=A","Dates=H","DateFormat=P","Fill=—","Direction=H","UseDPDF=Y")</f>
        <v>#NAME?</v>
      </c>
      <c r="AH164" s="2" t="e">
        <f ca="1">_xll.BDH($C$153,"TOTAL_DEBT_1_YEAR_GROWTH","FQ1 2016","FQ1 2016","Currency=INR","Period=FQ","BEST_FPERIOD_OVERRIDE=FQ","FILING_STATUS=OR","EQY_CONSOLIDATED=Y","Sort=A","Dates=H","DateFormat=P","Fill=—","Direction=H","UseDPDF=Y")</f>
        <v>#NAME?</v>
      </c>
      <c r="AI164" s="2" t="e">
        <f ca="1">_xll.BDH($C$153,"TOTAL_EQUITY_1_YEAR_GROWTH","FQ1 2016","FQ1 2016","Currency=INR","Period=FQ","BEST_FPERIOD_OVERRIDE=FQ","FILING_STATUS=OR","EQY_CONSOLIDATED=Y","Sort=A","Dates=H","DateFormat=P","Fill=—","Direction=H","UseDPDF=Y")</f>
        <v>#NAME?</v>
      </c>
      <c r="AJ164" s="2" t="e">
        <f ca="1">_xll.BDH($C$153,"GROWTH_IN_CAP","FQ1 2016","FQ1 2016","Currency=INR","Period=FQ","BEST_FPERIOD_OVERRIDE=FQ","FILING_STATUS=OR","EQY_CONSOLIDATED=Y","Sort=A","Dates=H","DateFormat=P","Fill=—","Direction=H","UseDPDF=Y")</f>
        <v>#NAME?</v>
      </c>
      <c r="AK164" s="2" t="e">
        <f ca="1">_xll.BDH($C$153,"BVPS_GROWTH","FQ1 2016","FQ1 2016","Currency=INR","Period=FQ","BEST_FPERIOD_OVERRIDE=FQ","FILING_STATUS=OR","EQY_CONSOLIDATED=Y","Sort=A","Dates=H","DateFormat=P","Fill=—","Direction=H","UseDPDF=Y")</f>
        <v>#NAME?</v>
      </c>
      <c r="AL164" s="2" t="e">
        <f ca="1">_xll.BDH($C$153,"CASH_FLOW_GROWTH","FQ1 2016","FQ1 2016","Currency=INR","Period=FQ","BEST_FPERIOD_OVERRIDE=FQ","FILING_STATUS=OR","EQY_CONSOLIDATED=Y","Sort=A","Dates=H","DateFormat=P","Fill=—","Direction=H","UseDPDF=Y")</f>
        <v>#NAME?</v>
      </c>
      <c r="AM164" s="2" t="e">
        <f ca="1">_xll.BDH($C$153,"GEO_GROW_NET_SALES","FQ1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64" s="2" t="e">
        <f ca="1">_xll.BDH($C$153,"GEO_GROW_EBITDA","FQ1 2016","FQ1 2016","Currency=INR","Period=FQ","BEST_FPERIOD_OVERRIDE=FQ","FILING_STATUS=OR","EQY_CONSOLIDATED=Y","FA_ADJUSTED=GAAP","Sort=A","Dates=H","DateFormat=P","Fill=—","Direction=H","UseDPDF=Y")</f>
        <v>#NAME?</v>
      </c>
      <c r="AO164" s="2" t="e">
        <f ca="1">_xll.BDH($C$153,"GEO_GROW_OPER_INC","FQ1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64" s="2" t="e">
        <f ca="1">_xll.BDH($C$153,"NET_INCOME_TO_COMMON_5_YR_GROWTH","FQ1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64" s="2" t="e">
        <f ca="1">_xll.BDH($C$153,"5Y_GEO_GROWTH_DILUTED_EPS","FQ1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64" s="2" t="e">
        <f ca="1">_xll.BDH($C$153,"GEO_GROW_DVD_PER_SH","FQ1 2016","FQ1 2016","Currency=INR","Period=FQ","BEST_FPERIOD_OVERRIDE=FQ","FILING_STATUS=OR","EQY_CONSOLIDATED=Y","Sort=A","Dates=H","DateFormat=P","Fill=—","Direction=H","UseDPDF=Y")</f>
        <v>#NAME?</v>
      </c>
      <c r="AS164" s="2" t="e">
        <f ca="1">_xll.BDH($C$153,"ACCOUNTS_RECEIVABLE_5_YR_GROWTH","FQ1 2016","FQ1 2016","Currency=INR","Period=FQ","BEST_FPERIOD_OVERRIDE=FQ","FILING_STATUS=OR","EQY_CONSOLIDATED=Y","Sort=A","Dates=H","DateFormat=P","Fill=—","Direction=H","UseDPDF=Y")</f>
        <v>#NAME?</v>
      </c>
      <c r="AT164" s="2" t="e">
        <f ca="1">_xll.BDH($C$153,"INVENTORY_5_YEAR_GROWTH","FQ1 2016","FQ1 2016","Currency=INR","Period=FQ","BEST_FPERIOD_OVERRIDE=FQ","FILING_STATUS=OR","EQY_CONSOLIDATED=Y","Sort=A","Dates=H","DateFormat=P","Fill=—","Direction=H","UseDPDF=Y")</f>
        <v>#NAME?</v>
      </c>
      <c r="AU164" s="2" t="e">
        <f ca="1">_xll.BDH($C$153,"NET_FIXED_ASSETS_5_YEAR_GROWTH","FQ1 2016","FQ1 2016","Currency=INR","Period=FQ","BEST_FPERIOD_OVERRIDE=FQ","FILING_STATUS=OR","EQY_CONSOLIDATED=Y","Sort=A","Dates=H","DateFormat=P","Fill=—","Direction=H","UseDPDF=Y")</f>
        <v>#NAME?</v>
      </c>
      <c r="AV164" s="2" t="e">
        <f ca="1">_xll.BDH($C$153,"GEO_GROW_TOT_ASSET","FQ1 2016","FQ1 2016","Currency=INR","Period=FQ","BEST_FPERIOD_OVERRIDE=FQ","FILING_STATUS=OR","EQY_CONSOLIDATED=Y","Sort=A","Dates=H","DateFormat=P","Fill=—","Direction=H","UseDPDF=Y")</f>
        <v>#NAME?</v>
      </c>
      <c r="AW164" s="2" t="e">
        <f ca="1">_xll.BDH($C$153,"MODIFIED_WORKING_CPTL_5YR_GRWTH","FQ1 2016","FQ1 2016","Currency=INR","Period=FQ","BEST_FPERIOD_OVERRIDE=FQ","FILING_STATUS=OR","EQY_CONSOLIDATED=Y","Sort=A","Dates=H","DateFormat=P","Fill=—","Direction=H","UseDPDF=Y")</f>
        <v>#NAME?</v>
      </c>
      <c r="AX164" s="2" t="e">
        <f ca="1">_xll.BDH($C$153,"WORKING_CAPITAL_5_YEAR_GROWTH","FQ1 2016","FQ1 2016","Currency=INR","Period=FQ","BEST_FPERIOD_OVERRIDE=FQ","FILING_STATUS=OR","EQY_CONSOLIDATED=Y","Sort=A","Dates=H","DateFormat=P","Fill=—","Direction=H","UseDPDF=Y")</f>
        <v>#NAME?</v>
      </c>
      <c r="AY164" s="2" t="e">
        <f ca="1">_xll.BDH($C$153,"ACCOUNTS_PAYABLE_5_YEAR_GROWTH","FQ1 2016","FQ1 2016","Currency=INR","Period=FQ","BEST_FPERIOD_OVERRIDE=FQ","FILING_STATUS=OR","EQY_CONSOLIDATED=Y","Sort=A","Dates=H","DateFormat=P","Fill=—","Direction=H","UseDPDF=Y")</f>
        <v>#NAME?</v>
      </c>
      <c r="AZ164" s="2" t="e">
        <f ca="1">_xll.BDH($C$153,"SHORT_TERM_DEBT_5_YEAR_GROWTH","FQ1 2016","FQ1 2016","Currency=INR","Period=FQ","BEST_FPERIOD_OVERRIDE=FQ","FILING_STATUS=OR","EQY_CONSOLIDATED=Y","Sort=A","Dates=H","DateFormat=P","Fill=—","Direction=H","UseDPDF=Y")</f>
        <v>#NAME?</v>
      </c>
      <c r="BA164" s="2" t="e">
        <f ca="1">_xll.BDH($C$153,"TOTAL_DEBT_5_YEAR_GROWTH","FQ1 2016","FQ1 2016","Currency=INR","Period=FQ","BEST_FPERIOD_OVERRIDE=FQ","FILING_STATUS=OR","EQY_CONSOLIDATED=Y","Sort=A","Dates=H","DateFormat=P","Fill=—","Direction=H","UseDPDF=Y")</f>
        <v>#NAME?</v>
      </c>
      <c r="BB164" s="2" t="e">
        <f ca="1">_xll.BDH($C$153,"GEO_GROW_TOT_SHRHLDR_EQY","FQ1 2016","FQ1 2016","Currency=INR","Period=FQ","BEST_FPERIOD_OVERRIDE=FQ","FILING_STATUS=OR","EQY_CONSOLIDATED=Y","Sort=A","Dates=H","DateFormat=P","Fill=—","Direction=H","UseDPDF=Y")</f>
        <v>#NAME?</v>
      </c>
      <c r="BC164" s="2" t="e">
        <f ca="1">_xll.BDH($C$153,"TOTAL_CAPITAL_5_YEAR_GROWTH","FQ1 2016","FQ1 2016","Currency=INR","Period=FQ","BEST_FPERIOD_OVERRIDE=FQ","FILING_STATUS=OR","EQY_CONSOLIDATED=Y","Sort=A","Dates=H","DateFormat=P","Fill=—","Direction=H","UseDPDF=Y")</f>
        <v>#NAME?</v>
      </c>
      <c r="BD164" s="2" t="e">
        <f ca="1">_xll.BDH($C$153,"GEO_GROW_BOOK_VAL","FQ1 2016","FQ1 2016","Currency=INR","Period=FQ","BEST_FPERIOD_OVERRIDE=FQ","FILING_STATUS=OR","EQY_CONSOLIDATED=Y","Sort=A","Dates=H","DateFormat=P","Fill=—","Direction=H","UseDPDF=Y")</f>
        <v>#NAME?</v>
      </c>
      <c r="BE164" s="2" t="e">
        <f ca="1">_xll.BDH($C$153,"GEO_GROW_CASH_OPER_ACT","FQ1 2016","FQ1 2016","Currency=INR","Period=FQ","BEST_FPERIOD_OVERRIDE=FQ","FILING_STATUS=OR","EQY_CONSOLIDATED=Y","Sort=A","Dates=H","DateFormat=P","Fill=—","Direction=H","UseDPDF=Y")</f>
        <v>#NAME?</v>
      </c>
      <c r="BF164" s="2" t="e">
        <f ca="1">_xll.BDH($C$153,"REVENUE_SEQUENTIAL_GROWTH","FQ1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64" s="2" t="e">
        <f ca="1">_xll.BDH($C$153,"EBITDA_SEQUENTIAL_GROWTH","FQ1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64" s="2" t="e">
        <f ca="1">_xll.BDH($C$153,"OPERATING_INCOME_SEQ_GROWTH","FQ1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64" s="2" t="e">
        <f ca="1">_xll.BDH($C$153,"NET_INCOME_TO_COMMON_SEQ_GROWTH","FQ1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64" s="2" t="e">
        <f ca="1">_xll.BDH($C$153,"EPS_DILUTED_SEQUENTIAL_GROWTH","FQ1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64" s="2" t="e">
        <f ca="1">_xll.BDH($C$153,"DPS_SEQUENTIAL_GROWTH","FQ1 2016","FQ1 2016","Currency=INR","Period=FQ","BEST_FPERIOD_OVERRIDE=FQ","FILING_STATUS=OR","EQY_CONSOLIDATED=Y","Sort=A","Dates=H","DateFormat=P","Fill=—","Direction=H","UseDPDF=Y")</f>
        <v>#NAME?</v>
      </c>
      <c r="BL164" s="2" t="e">
        <f ca="1">_xll.BDH($C$153,"ACCOUNTS_RECEIVABLE_SEQ_GROWTH","FQ1 2016","FQ1 2016","Currency=INR","Period=FQ","BEST_FPERIOD_OVERRIDE=FQ","FILING_STATUS=OR","EQY_CONSOLIDATED=Y","Sort=A","Dates=H","DateFormat=P","Fill=—","Direction=H","UseDPDF=Y")</f>
        <v>#NAME?</v>
      </c>
      <c r="BM164" s="2" t="e">
        <f ca="1">_xll.BDH($C$153,"INVENTORY_SEQUENTIAL_GROWTH","FQ1 2016","FQ1 2016","Currency=INR","Period=FQ","BEST_FPERIOD_OVERRIDE=FQ","FILING_STATUS=OR","EQY_CONSOLIDATED=Y","Sort=A","Dates=H","DateFormat=P","Fill=—","Direction=H","UseDPDF=Y")</f>
        <v>#NAME?</v>
      </c>
      <c r="BN164" s="2" t="e">
        <f ca="1">_xll.BDH($C$153,"FIXED_ASSETS_SEQUENTIAL_GROWTH","FQ1 2016","FQ1 2016","Currency=INR","Period=FQ","BEST_FPERIOD_OVERRIDE=FQ","FILING_STATUS=OR","EQY_CONSOLIDATED=Y","Sort=A","Dates=H","DateFormat=P","Fill=—","Direction=H","UseDPDF=Y")</f>
        <v>#NAME?</v>
      </c>
      <c r="BO164" s="2" t="e">
        <f ca="1">_xll.BDH($C$153,"TOTAL_ASSETS_SEQUENTIAL_GROWTH","FQ1 2016","FQ1 2016","Currency=INR","Period=FQ","BEST_FPERIOD_OVERRIDE=FQ","FILING_STATUS=OR","EQY_CONSOLIDATED=Y","Sort=A","Dates=H","DateFormat=P","Fill=—","Direction=H","UseDPDF=Y")</f>
        <v>#NAME?</v>
      </c>
      <c r="BP164" s="2" t="e">
        <f ca="1">_xll.BDH($C$153,"MODIFIED_WORKING_CPTL_SEQ_GRWTH","FQ1 2016","FQ1 2016","Currency=INR","Period=FQ","BEST_FPERIOD_OVERRIDE=FQ","FILING_STATUS=OR","EQY_CONSOLIDATED=Y","Sort=A","Dates=H","DateFormat=P","Fill=—","Direction=H","UseDPDF=Y")</f>
        <v>#NAME?</v>
      </c>
      <c r="BQ164" s="2" t="e">
        <f ca="1">_xll.BDH($C$153,"WORKING_CAPITAL_SEQ_GROWTH","FQ1 2016","FQ1 2016","Currency=INR","Period=FQ","BEST_FPERIOD_OVERRIDE=FQ","FILING_STATUS=OR","EQY_CONSOLIDATED=Y","Sort=A","Dates=H","DateFormat=P","Fill=—","Direction=H","UseDPDF=Y")</f>
        <v>#NAME?</v>
      </c>
      <c r="BR164" s="2" t="e">
        <f ca="1">_xll.BDH($C$153,"ACCOUNTS_PAYABLE_SEQ_GROWTH","FQ1 2016","FQ1 2016","Currency=INR","Period=FQ","BEST_FPERIOD_OVERRIDE=FQ","FILING_STATUS=OR","EQY_CONSOLIDATED=Y","Sort=A","Dates=H","DateFormat=P","Fill=—","Direction=H","UseDPDF=Y")</f>
        <v>#NAME?</v>
      </c>
      <c r="BS164" s="2" t="e">
        <f ca="1">_xll.BDH($C$153,"ST_DEBT_SEQUENTIAL_GROWTH","FQ1 2016","FQ1 2016","Currency=INR","Period=FQ","BEST_FPERIOD_OVERRIDE=FQ","FILING_STATUS=OR","EQY_CONSOLIDATED=Y","Sort=A","Dates=H","DateFormat=P","Fill=—","Direction=H","UseDPDF=Y")</f>
        <v>#NAME?</v>
      </c>
      <c r="BT164" s="2" t="e">
        <f ca="1">_xll.BDH($C$153,"TOTAL_DEBT_SEQUENTIAL_GROWTH","FQ1 2016","FQ1 2016","Currency=INR","Period=FQ","BEST_FPERIOD_OVERRIDE=FQ","FILING_STATUS=OR","EQY_CONSOLIDATED=Y","Sort=A","Dates=H","DateFormat=P","Fill=—","Direction=H","UseDPDF=Y")</f>
        <v>#NAME?</v>
      </c>
      <c r="BU164" s="2" t="e">
        <f ca="1">_xll.BDH($C$153,"TOTAL_EQUITY_SEQUENTIAL_GROWTH","FQ1 2016","FQ1 2016","Currency=INR","Period=FQ","BEST_FPERIOD_OVERRIDE=FQ","FILING_STATUS=OR","EQY_CONSOLIDATED=Y","Sort=A","Dates=H","DateFormat=P","Fill=—","Direction=H","UseDPDF=Y")</f>
        <v>#NAME?</v>
      </c>
      <c r="BV164" s="2" t="e">
        <f ca="1">_xll.BDH($C$153,"TOTAL_CAPITAL_SEQUENTIAL_GROWTH","FQ1 2016","FQ1 2016","Currency=INR","Period=FQ","BEST_FPERIOD_OVERRIDE=FQ","FILING_STATUS=OR","EQY_CONSOLIDATED=Y","Sort=A","Dates=H","DateFormat=P","Fill=—","Direction=H","UseDPDF=Y")</f>
        <v>#NAME?</v>
      </c>
      <c r="BW164" s="2" t="e">
        <f ca="1">_xll.BDH($C$153,"BPS_SEQUENTIAL_GROWTH","FQ1 2016","FQ1 2016","Currency=INR","Period=FQ","BEST_FPERIOD_OVERRIDE=FQ","FILING_STATUS=OR","EQY_CONSOLIDATED=Y","Sort=A","Dates=H","DateFormat=P","Fill=—","Direction=H","UseDPDF=Y")</f>
        <v>#NAME?</v>
      </c>
      <c r="BX164" s="2" t="e">
        <f ca="1">_xll.BDH($C$153,"CFO_SEQUENTIAL_GROWTH","FQ1 2016","FQ1 2016","Currency=INR","Period=FQ","BEST_FPERIOD_OVERRIDE=FQ","FILING_STATUS=OR","EQY_CONSOLIDATED=Y","Sort=A","Dates=H","DateFormat=P","Fill=—","Direction=H","UseDPDF=Y")</f>
        <v>#NAME?</v>
      </c>
      <c r="BY164" s="3" t="e">
        <f ca="1">_xll.BDH($C$153,"SHORT_AND_LONG_TERM_DEBT","FQ1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64" s="3" t="e">
        <f ca="1">_xll.BDH($C$153,"BS_ST_BORROW","FQ1 2016","FQ1 2016","Currency=INR","Period=FQ","BEST_FPERIOD_OVERRIDE=FQ","FILING_STATUS=OR","EQY_CONSOLIDATED=Y","SCALING_FORMAT=MLN","Sort=A","Dates=H","DateFormat=P","Fill=—","Direction=H","UseDPDF=Y")</f>
        <v>#NAME?</v>
      </c>
      <c r="CA164" s="3" t="e">
        <f ca="1">_xll.BDH($C$153,"BS_LT_BORROW","FQ1 2016","FQ1 2016","Currency=INR","Period=FQ","BEST_FPERIOD_OVERRIDE=FQ","FILING_STATUS=OR","EQY_CONSOLIDATED=Y","SCALING_FORMAT=MLN","Sort=A","Dates=H","DateFormat=P","Fill=—","Direction=H","UseDPDF=Y")</f>
        <v>#NAME?</v>
      </c>
      <c r="CB164" s="2" t="e">
        <f ca="1">_xll.BDH($C$153,"TOT_DEBT_TO_EBITDA","FQ1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64" s="2" t="e">
        <f ca="1">_xll.BDH($C$153,"NET_DEBT_TO_EBITDA","FQ1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64" s="2" t="e">
        <f ca="1">_xll.BDH($C$153,"TOTAL_DEBT_TO_EBIT","FQ1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64" s="2" t="e">
        <f ca="1">_xll.BDH($C$153,"NET_DEBT_TO_EBIT","FQ1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164" s="2" t="e">
        <f ca="1">_xll.BDH($C$153,"EBITDA_TO_INTEREST_EXPN","FQ1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64" s="2" t="e">
        <f ca="1">_xll.BDH($C$153,"COM_EQY_TO_TOT_ASSET","FQ1 2016","FQ1 2016","Currency=INR","Period=FQ","BEST_FPERIOD_OVERRIDE=FQ","FILING_STATUS=OR","EQY_CONSOLIDATED=Y","Sort=A","Dates=H","DateFormat=P","Fill=—","Direction=H","UseDPDF=Y")</f>
        <v>#NAME?</v>
      </c>
      <c r="CH164" s="2" t="e">
        <f ca="1">_xll.BDH($C$153,"LT_DEBT_TO_TOT_EQY","FQ1 2016","FQ1 2016","Currency=INR","Period=FQ","BEST_FPERIOD_OVERRIDE=FQ","FILING_STATUS=OR","EQY_CONSOLIDATED=Y","Sort=A","Dates=H","DateFormat=P","Fill=—","Direction=H","UseDPDF=Y")</f>
        <v>#NAME?</v>
      </c>
      <c r="CI164" s="2" t="e">
        <f ca="1">_xll.BDH($C$153,"LT_DEBT_TO_TOT_CAP","FQ1 2016","FQ1 2016","Currency=INR","Period=FQ","BEST_FPERIOD_OVERRIDE=FQ","FILING_STATUS=OR","EQY_CONSOLIDATED=Y","Sort=A","Dates=H","DateFormat=P","Fill=—","Direction=H","UseDPDF=Y")</f>
        <v>#NAME?</v>
      </c>
      <c r="CJ164" s="2" t="e">
        <f ca="1">_xll.BDH($C$153,"LT_DEBT_TO_TOT_ASSET","FQ1 2016","FQ1 2016","Currency=INR","Period=FQ","BEST_FPERIOD_OVERRIDE=FQ","FILING_STATUS=OR","EQY_CONSOLIDATED=Y","Sort=A","Dates=H","DateFormat=P","Fill=—","Direction=H","UseDPDF=Y")</f>
        <v>#NAME?</v>
      </c>
      <c r="CK164" s="2" t="e">
        <f ca="1">_xll.BDH($C$153,"TOT_DEBT_TO_TOT_EQY","FQ1 2016","FQ1 2016","Currency=INR","Period=FQ","BEST_FPERIOD_OVERRIDE=FQ","FILING_STATUS=OR","EQY_CONSOLIDATED=Y","Sort=A","Dates=H","DateFormat=P","Fill=—","Direction=H","UseDPDF=Y")</f>
        <v>#NAME?</v>
      </c>
      <c r="CL164" s="2" t="e">
        <f ca="1">_xll.BDH($C$153,"TOT_DEBT_TO_TOT_CAP","FQ1 2016","FQ1 2016","Currency=INR","Period=FQ","BEST_FPERIOD_OVERRIDE=FQ","FILING_STATUS=OR","EQY_CONSOLIDATED=Y","Sort=A","Dates=H","DateFormat=P","Fill=—","Direction=H","UseDPDF=Y")</f>
        <v>#NAME?</v>
      </c>
      <c r="CM164" s="2" t="e">
        <f ca="1">_xll.BDH($C$153,"TOT_DEBT_TO_TOT_ASSET","FQ1 2016","FQ1 2016","Currency=INR","Period=FQ","BEST_FPERIOD_OVERRIDE=FQ","FILING_STATUS=OR","EQY_CONSOLIDATED=Y","Sort=A","Dates=H","DateFormat=P","Fill=—","Direction=H","UseDPDF=Y")</f>
        <v>#NAME?</v>
      </c>
      <c r="CN164" s="2" t="e">
        <f ca="1">_xll.BDH($C$153,"NET_DEBT_TO_SHRHLDR_EQTY","FQ1 2016","FQ1 2016","Currency=INR","Period=FQ","BEST_FPERIOD_OVERRIDE=FQ","FILING_STATUS=OR","EQY_CONSOLIDATED=Y","Sort=A","Dates=H","DateFormat=P","Fill=—","Direction=H","UseDPDF=Y")</f>
        <v>#NAME?</v>
      </c>
      <c r="CO164" s="2" t="e">
        <f ca="1">_xll.BDH($C$153,"NET_DEBT_%_CAPITAL","FQ1 2016","FQ1 2016","Currency=INR","Period=FQ","BEST_FPERIOD_OVERRIDE=FQ","FILING_STATUS=OR","EQY_CONSOLIDATED=Y","Sort=A","Dates=H","DateFormat=P","Fill=—","Direction=H","UseDPDF=Y")</f>
        <v>#NAME?</v>
      </c>
      <c r="CP164" s="3" t="e">
        <f ca="1">_xll.BDH($C$153,"EBITDA","FQ1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64" s="3" t="e">
        <f ca="1">_xll.BDH($C$153,"EBITDA_AFTER_CAPEX","FQ1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64" s="3" t="e">
        <f ca="1">_xll.BDH($C$153,"IS_OPER_INC","FQ1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64" s="2" t="e">
        <f ca="1">_xll.BDH($C$153,"CASH_RATIO","FQ1 2016","FQ1 2016","Currency=INR","Period=FQ","BEST_FPERIOD_OVERRIDE=FQ","FILING_STATUS=OR","EQY_CONSOLIDATED=Y","Sort=A","Dates=H","DateFormat=P","Fill=—","Direction=H","UseDPDF=Y")</f>
        <v>#NAME?</v>
      </c>
      <c r="CT164" s="2" t="e">
        <f ca="1">_xll.BDH($C$153,"CUR_RATIO","FQ1 2016","FQ1 2016","Currency=INR","Period=FQ","BEST_FPERIOD_OVERRIDE=FQ","FILING_STATUS=OR","EQY_CONSOLIDATED=Y","Sort=A","Dates=H","DateFormat=P","Fill=—","Direction=H","UseDPDF=Y")</f>
        <v>#NAME?</v>
      </c>
      <c r="CU164" s="2" t="e">
        <f ca="1">_xll.BDH($C$153,"QUICK_RATIO","FQ1 2016","FQ1 2016","Currency=INR","Period=FQ","BEST_FPERIOD_OVERRIDE=FQ","FILING_STATUS=OR","EQY_CONSOLIDATED=Y","Sort=A","Dates=H","DateFormat=P","Fill=—","Direction=H","UseDPDF=Y")</f>
        <v>#NAME?</v>
      </c>
      <c r="CV164" s="2" t="e">
        <f ca="1">_xll.BDH($C$153,"ALTMAN_Z_SCORE","FQ1 2016","FQ1 2016","Currency=INR","Period=FQ","BEST_FPERIOD_OVERRIDE=FQ","FILING_STATUS=OR","EQY_CONSOLIDATED=Y","Sort=A","Dates=H","DateFormat=P","Fill=—","Direction=H","UseDPDF=Y")</f>
        <v>#NAME?</v>
      </c>
      <c r="CW164" s="4" t="e">
        <f ca="1">_xll.BDH($C$153,"ACCT_RCV_TURN","FQ1 2016","FQ1 2016","Currency=INR","Period=FQ","BEST_FPERIOD_OVERRIDE=FQ","FILING_STATUS=OR","EQY_CONSOLIDATED=Y","FA_ADJUSTED=GAAP","Sort=A","Dates=H","DateFormat=P","Fill=—","Direction=H","UseDPDF=Y")</f>
        <v>#NAME?</v>
      </c>
      <c r="CX164" s="2" t="e">
        <f ca="1">_xll.BDH($C$153,"ACCT_RCV_DAYS","FQ1 2016","FQ1 2016","Currency=INR","Period=FQ","BEST_FPERIOD_OVERRIDE=FQ","FILING_STATUS=OR","EQY_CONSOLIDATED=Y","FA_ADJUSTED=GAAP","Sort=A","Dates=H","DateFormat=P","Fill=—","Direction=H","UseDPDF=Y")</f>
        <v>#NAME?</v>
      </c>
      <c r="CY164" s="4" t="e">
        <f ca="1">_xll.BDH($C$153,"INVENT_TURN","FQ1 2016","FQ1 2016","Currency=INR","Period=FQ","BEST_FPERIOD_OVERRIDE=FQ","FILING_STATUS=OR","EQY_CONSOLIDATED=Y","FA_ADJUSTED=GAAP","Sort=A","Dates=H","DateFormat=P","Fill=—","Direction=H","UseDPDF=Y")</f>
        <v>#NAME?</v>
      </c>
      <c r="CZ164" s="2" t="e">
        <f ca="1">_xll.BDH($C$153,"INVENT_DAYS","FQ1 2016","FQ1 2016","Currency=INR","Period=FQ","BEST_FPERIOD_OVERRIDE=FQ","FILING_STATUS=OR","EQY_CONSOLIDATED=Y","FA_ADJUSTED=GAAP","Sort=A","Dates=H","DateFormat=P","Fill=—","Direction=H","UseDPDF=Y")</f>
        <v>#NAME?</v>
      </c>
      <c r="DA164" s="4" t="e">
        <f ca="1">_xll.BDH($C$153,"ACCOUNTS_PAYABLE_TURNOVER","FQ1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64" s="2" t="e">
        <f ca="1">_xll.BDH($C$153,"ACCOUNTS_PAYABLE_TURNOVER_DAYS","FQ1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64" s="4" t="e">
        <f ca="1">_xll.BDH($C$153,"CASH_CONVERSION_CYCLE","FQ1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64" s="4" t="e">
        <f ca="1">_xll.BDH($C$153,"INV_TO_CASH_DAYS","FQ1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164" s="5" t="e">
        <f ca="1">_xll.BDH($C$153,"BS_INVENTORIES","FQ1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164" s="3" t="e">
        <f ca="1">_xll.BDH($C$153,"INVTRY_RAW_MATERIALS","FQ1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64" s="3" t="e">
        <f ca="1">_xll.BDH($C$153,"INVTRY_IN_PROGRESS","FQ1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64" s="3" t="e">
        <f ca="1">_xll.BDH($C$153,"INVTRY_FINISHED_GOODS","FQ1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64" s="3" t="e">
        <f ca="1">_xll.BDH($C$153,"BS_OTHER_INV","FQ1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65" spans="1:113" x14ac:dyDescent="0.3">
      <c r="A165" s="6"/>
      <c r="B165" s="6"/>
      <c r="C165" s="6"/>
      <c r="D165" s="6"/>
      <c r="E165" t="s">
        <v>79</v>
      </c>
      <c r="F165" t="e">
        <f ca="1">_xll.BDH($C$153,"RETURN_COM_EQY","FQ2 2016","FQ2 2016","Currency=INR","Period=FQ","BEST_FPERIOD_OVERRIDE=FQ","FILING_STATUS=OR","EQY_CONSOLIDATED=Y","FA_ADJUSTED=GAAP","Sort=A","Dates=H","DateFormat=P","Fill=—","Direction=H","UseDPDF=Y")</f>
        <v>#NAME?</v>
      </c>
      <c r="G165" t="e">
        <f ca="1">_xll.BDH($C$153,"RETURN_ON_ASSET","FQ2 2016","FQ2 2016","Currency=INR","Period=FQ","BEST_FPERIOD_OVERRIDE=FQ","FILING_STATUS=OR","EQY_CONSOLIDATED=Y","FA_ADJUSTED=GAAP","Sort=A","Dates=H","DateFormat=P","Fill=—","Direction=H","UseDPDF=Y")</f>
        <v>#NAME?</v>
      </c>
      <c r="H165" t="e">
        <f ca="1">_xll.BDH($C$153,"RETURN_ON_CAP","FQ2 2016","FQ2 2016","Currency=INR","Period=FQ","BEST_FPERIOD_OVERRIDE=FQ","FILING_STATUS=OR","EQY_CONSOLIDATED=Y","FA_ADJUSTED=GAAP","Sort=A","Dates=H","DateFormat=P","Fill=—","Direction=H","UseDPDF=Y")</f>
        <v>#NAME?</v>
      </c>
      <c r="I165" t="e">
        <f ca="1">_xll.BDH($C$153,"RETURN_ON_INV_CAPITAL","FQ2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65" t="e">
        <f ca="1">_xll.BDH($C$153,"EBITDA_TO_REVENUE","FQ2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165" t="e">
        <f ca="1">_xll.BDH($C$153,"OPER_MARGIN","FQ2 2016","FQ2 2016","Currency=INR","Period=FQ","BEST_FPERIOD_OVERRIDE=FQ","FILING_STATUS=OR","EQY_CONSOLIDATED=Y","FA_ADJUSTED=GAAP","Sort=A","Dates=H","DateFormat=P","Fill=—","Direction=H","UseDPDF=Y")</f>
        <v>#NAME?</v>
      </c>
      <c r="L165" t="e">
        <f ca="1">_xll.BDH($C$153,"INCREMENTAL_OPERATING_MARGIN","FQ2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65" t="e">
        <f ca="1">_xll.BDH($C$153,"PRETAX_INC_TO_NET_SALES","FQ2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65" t="e">
        <f ca="1">_xll.BDH($C$153,"INC_BEF_XO_ITEMS_TO_NET_SALES","FQ2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65" t="e">
        <f ca="1">_xll.BDH($C$153,"PROF_MARGIN","FQ2 2016","FQ2 2016","Currency=INR","Period=FQ","BEST_FPERIOD_OVERRIDE=FQ","FILING_STATUS=OR","EQY_CONSOLIDATED=Y","FA_ADJUSTED=GAAP","Sort=A","Dates=H","DateFormat=P","Fill=—","Direction=H","UseDPDF=Y")</f>
        <v>#NAME?</v>
      </c>
      <c r="P165" t="e">
        <f ca="1">_xll.BDH($C$153,"NET_INCOME_TO_COMMON_MARGIN","FQ2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65" t="e">
        <f ca="1">_xll.BDH($C$153,"EFF_TAX_RATE","FQ2 2016","FQ2 2016","Currency=INR","Period=FQ","BEST_FPERIOD_OVERRIDE=FQ","FILING_STATUS=OR","EQY_CONSOLIDATED=Y","FA_ADJUSTED=GAAP","Sort=A","Dates=H","DateFormat=P","Fill=—","Direction=H","UseDPDF=Y")</f>
        <v>#NAME?</v>
      </c>
      <c r="R165" t="e">
        <f ca="1">_xll.BDH($C$153,"DVD_PAYOUT_RATIO","FQ2 2016","FQ2 2016","Currency=INR","Period=FQ","BEST_FPERIOD_OVERRIDE=FQ","FILING_STATUS=OR","EQY_CONSOLIDATED=Y","FA_ADJUSTED=GAAP","Sort=A","Dates=H","DateFormat=P","Fill=—","Direction=H","UseDPDF=Y")</f>
        <v>#NAME?</v>
      </c>
      <c r="S165" t="e">
        <f ca="1">_xll.BDH($C$153,"SUSTAIN_GROWTH_RT","FQ2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165" s="2" t="e">
        <f ca="1">_xll.BDH($C$153,"SALES_GROWTH","FQ2 2016","FQ2 2016","Currency=INR","Period=FQ","BEST_FPERIOD_OVERRIDE=FQ","FILING_STATUS=OR","EQY_CONSOLIDATED=Y","FA_ADJUSTED=GAAP","Sort=A","Dates=H","DateFormat=P","Fill=—","Direction=H","UseDPDF=Y")</f>
        <v>#NAME?</v>
      </c>
      <c r="U165" s="2" t="e">
        <f ca="1">_xll.BDH($C$153,"EBITDA_GROWTH","FQ2 2016","FQ2 2016","Currency=INR","Period=FQ","BEST_FPERIOD_OVERRIDE=FQ","FILING_STATUS=OR","EQY_CONSOLIDATED=Y","FA_ADJUSTED=GAAP","Sort=A","Dates=H","DateFormat=P","Fill=—","Direction=H","UseDPDF=Y")</f>
        <v>#NAME?</v>
      </c>
      <c r="V165" s="2" t="e">
        <f ca="1">_xll.BDH($C$153,"OPER_INC_GROWTH","FQ2 2016","FQ2 2016","Currency=INR","Period=FQ","BEST_FPERIOD_OVERRIDE=FQ","FILING_STATUS=OR","EQY_CONSOLIDATED=Y","FA_ADJUSTED=GAAP","Sort=A","Dates=H","DateFormat=P","Fill=—","Direction=H","UseDPDF=Y")</f>
        <v>#NAME?</v>
      </c>
      <c r="W165" s="2" t="e">
        <f ca="1">_xll.BDH($C$153,"EARN_FOR_COM_GROWTH","FQ2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65" s="2" t="e">
        <f ca="1">_xll.BDH($C$153,"DILUTED_EPS_AFT_XO_ITEMS_GROWTH","FQ2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65" s="2" t="e">
        <f ca="1">_xll.BDH($C$153,"DIVIDEND_PER_SHARE_1_YEAR_GROWTH","FQ2 2016","FQ2 2016","Currency=INR","Period=FQ","BEST_FPERIOD_OVERRIDE=FQ","FILING_STATUS=OR","EQY_CONSOLIDATED=Y","Sort=A","Dates=H","DateFormat=P","Fill=—","Direction=H","UseDPDF=Y")</f>
        <v>#NAME?</v>
      </c>
      <c r="Z165" s="2" t="e">
        <f ca="1">_xll.BDH($C$153,"ACCOUNTS_RECEIVABLE_GROWTH","FQ2 2016","FQ2 2016","Currency=INR","Period=FQ","BEST_FPERIOD_OVERRIDE=FQ","FILING_STATUS=OR","EQY_CONSOLIDATED=Y","Sort=A","Dates=H","DateFormat=P","Fill=—","Direction=H","UseDPDF=Y")</f>
        <v>#NAME?</v>
      </c>
      <c r="AA165" s="2" t="e">
        <f ca="1">_xll.BDH($C$153,"INVENTORY_GROWTH","FQ2 2016","FQ2 2016","Currency=INR","Period=FQ","BEST_FPERIOD_OVERRIDE=FQ","FILING_STATUS=OR","EQY_CONSOLIDATED=Y","Sort=A","Dates=H","DateFormat=P","Fill=—","Direction=H","UseDPDF=Y")</f>
        <v>#NAME?</v>
      </c>
      <c r="AB165" s="2" t="e">
        <f ca="1">_xll.BDH($C$153,"NET_FIXED_ASSETS_1_YEAR_GROWTH","FQ2 2016","FQ2 2016","Currency=INR","Period=FQ","BEST_FPERIOD_OVERRIDE=FQ","FILING_STATUS=OR","EQY_CONSOLIDATED=Y","Sort=A","Dates=H","DateFormat=P","Fill=—","Direction=H","UseDPDF=Y")</f>
        <v>#NAME?</v>
      </c>
      <c r="AC165" s="2" t="e">
        <f ca="1">_xll.BDH($C$153,"ASSET_GROWTH","FQ2 2016","FQ2 2016","Currency=INR","Period=FQ","BEST_FPERIOD_OVERRIDE=FQ","FILING_STATUS=OR","EQY_CONSOLIDATED=Y","Sort=A","Dates=H","DateFormat=P","Fill=—","Direction=H","UseDPDF=Y")</f>
        <v>#NAME?</v>
      </c>
      <c r="AD165" s="2" t="e">
        <f ca="1">_xll.BDH($C$153,"MODIFIED_WORK_CAP_GROWTH","FQ2 2016","FQ2 2016","Currency=INR","Period=FQ","BEST_FPERIOD_OVERRIDE=FQ","FILING_STATUS=OR","EQY_CONSOLIDATED=Y","Sort=A","Dates=H","DateFormat=P","Fill=—","Direction=H","UseDPDF=Y")</f>
        <v>#NAME?</v>
      </c>
      <c r="AE165" s="2" t="e">
        <f ca="1">_xll.BDH($C$153,"WORK_CAP_GROWTH","FQ2 2016","FQ2 2016","Currency=INR","Period=FQ","BEST_FPERIOD_OVERRIDE=FQ","FILING_STATUS=OR","EQY_CONSOLIDATED=Y","Sort=A","Dates=H","DateFormat=P","Fill=—","Direction=H","UseDPDF=Y")</f>
        <v>#NAME?</v>
      </c>
      <c r="AF165" s="2" t="e">
        <f ca="1">_xll.BDH($C$153,"ACCOUNTS_PAYABLE_GROWTH_1YR","FQ2 2016","FQ2 2016","Currency=INR","Period=FQ","BEST_FPERIOD_OVERRIDE=FQ","FILING_STATUS=OR","EQY_CONSOLIDATED=Y","Sort=A","Dates=H","DateFormat=P","Fill=—","Direction=H","UseDPDF=Y")</f>
        <v>#NAME?</v>
      </c>
      <c r="AG165" s="2" t="e">
        <f ca="1">_xll.BDH($C$153,"SHORT_TERM_DEBT_1_YEAR_GROWTH","FQ2 2016","FQ2 2016","Currency=INR","Period=FQ","BEST_FPERIOD_OVERRIDE=FQ","FILING_STATUS=OR","EQY_CONSOLIDATED=Y","Sort=A","Dates=H","DateFormat=P","Fill=—","Direction=H","UseDPDF=Y")</f>
        <v>#NAME?</v>
      </c>
      <c r="AH165" s="2" t="e">
        <f ca="1">_xll.BDH($C$153,"TOTAL_DEBT_1_YEAR_GROWTH","FQ2 2016","FQ2 2016","Currency=INR","Period=FQ","BEST_FPERIOD_OVERRIDE=FQ","FILING_STATUS=OR","EQY_CONSOLIDATED=Y","Sort=A","Dates=H","DateFormat=P","Fill=—","Direction=H","UseDPDF=Y")</f>
        <v>#NAME?</v>
      </c>
      <c r="AI165" s="2" t="e">
        <f ca="1">_xll.BDH($C$153,"TOTAL_EQUITY_1_YEAR_GROWTH","FQ2 2016","FQ2 2016","Currency=INR","Period=FQ","BEST_FPERIOD_OVERRIDE=FQ","FILING_STATUS=OR","EQY_CONSOLIDATED=Y","Sort=A","Dates=H","DateFormat=P","Fill=—","Direction=H","UseDPDF=Y")</f>
        <v>#NAME?</v>
      </c>
      <c r="AJ165" s="2" t="e">
        <f ca="1">_xll.BDH($C$153,"GROWTH_IN_CAP","FQ2 2016","FQ2 2016","Currency=INR","Period=FQ","BEST_FPERIOD_OVERRIDE=FQ","FILING_STATUS=OR","EQY_CONSOLIDATED=Y","Sort=A","Dates=H","DateFormat=P","Fill=—","Direction=H","UseDPDF=Y")</f>
        <v>#NAME?</v>
      </c>
      <c r="AK165" s="2" t="e">
        <f ca="1">_xll.BDH($C$153,"BVPS_GROWTH","FQ2 2016","FQ2 2016","Currency=INR","Period=FQ","BEST_FPERIOD_OVERRIDE=FQ","FILING_STATUS=OR","EQY_CONSOLIDATED=Y","Sort=A","Dates=H","DateFormat=P","Fill=—","Direction=H","UseDPDF=Y")</f>
        <v>#NAME?</v>
      </c>
      <c r="AL165" s="2" t="e">
        <f ca="1">_xll.BDH($C$153,"CASH_FLOW_GROWTH","FQ2 2016","FQ2 2016","Currency=INR","Period=FQ","BEST_FPERIOD_OVERRIDE=FQ","FILING_STATUS=OR","EQY_CONSOLIDATED=Y","Sort=A","Dates=H","DateFormat=P","Fill=—","Direction=H","UseDPDF=Y")</f>
        <v>#NAME?</v>
      </c>
      <c r="AM165" s="2" t="e">
        <f ca="1">_xll.BDH($C$153,"GEO_GROW_NET_SALES","FQ2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65" s="2" t="e">
        <f ca="1">_xll.BDH($C$153,"GEO_GROW_EBITDA","FQ2 2016","FQ2 2016","Currency=INR","Period=FQ","BEST_FPERIOD_OVERRIDE=FQ","FILING_STATUS=OR","EQY_CONSOLIDATED=Y","FA_ADJUSTED=GAAP","Sort=A","Dates=H","DateFormat=P","Fill=—","Direction=H","UseDPDF=Y")</f>
        <v>#NAME?</v>
      </c>
      <c r="AO165" s="2" t="e">
        <f ca="1">_xll.BDH($C$153,"GEO_GROW_OPER_INC","FQ2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65" s="2" t="e">
        <f ca="1">_xll.BDH($C$153,"NET_INCOME_TO_COMMON_5_YR_GROWTH","FQ2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65" s="2" t="e">
        <f ca="1">_xll.BDH($C$153,"5Y_GEO_GROWTH_DILUTED_EPS","FQ2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65" s="2" t="e">
        <f ca="1">_xll.BDH($C$153,"GEO_GROW_DVD_PER_SH","FQ2 2016","FQ2 2016","Currency=INR","Period=FQ","BEST_FPERIOD_OVERRIDE=FQ","FILING_STATUS=OR","EQY_CONSOLIDATED=Y","Sort=A","Dates=H","DateFormat=P","Fill=—","Direction=H","UseDPDF=Y")</f>
        <v>#NAME?</v>
      </c>
      <c r="AS165" s="2" t="e">
        <f ca="1">_xll.BDH($C$153,"ACCOUNTS_RECEIVABLE_5_YR_GROWTH","FQ2 2016","FQ2 2016","Currency=INR","Period=FQ","BEST_FPERIOD_OVERRIDE=FQ","FILING_STATUS=OR","EQY_CONSOLIDATED=Y","Sort=A","Dates=H","DateFormat=P","Fill=—","Direction=H","UseDPDF=Y")</f>
        <v>#NAME?</v>
      </c>
      <c r="AT165" s="2" t="e">
        <f ca="1">_xll.BDH($C$153,"INVENTORY_5_YEAR_GROWTH","FQ2 2016","FQ2 2016","Currency=INR","Period=FQ","BEST_FPERIOD_OVERRIDE=FQ","FILING_STATUS=OR","EQY_CONSOLIDATED=Y","Sort=A","Dates=H","DateFormat=P","Fill=—","Direction=H","UseDPDF=Y")</f>
        <v>#NAME?</v>
      </c>
      <c r="AU165" s="2" t="e">
        <f ca="1">_xll.BDH($C$153,"NET_FIXED_ASSETS_5_YEAR_GROWTH","FQ2 2016","FQ2 2016","Currency=INR","Period=FQ","BEST_FPERIOD_OVERRIDE=FQ","FILING_STATUS=OR","EQY_CONSOLIDATED=Y","Sort=A","Dates=H","DateFormat=P","Fill=—","Direction=H","UseDPDF=Y")</f>
        <v>#NAME?</v>
      </c>
      <c r="AV165" s="2" t="e">
        <f ca="1">_xll.BDH($C$153,"GEO_GROW_TOT_ASSET","FQ2 2016","FQ2 2016","Currency=INR","Period=FQ","BEST_FPERIOD_OVERRIDE=FQ","FILING_STATUS=OR","EQY_CONSOLIDATED=Y","Sort=A","Dates=H","DateFormat=P","Fill=—","Direction=H","UseDPDF=Y")</f>
        <v>#NAME?</v>
      </c>
      <c r="AW165" s="2" t="e">
        <f ca="1">_xll.BDH($C$153,"MODIFIED_WORKING_CPTL_5YR_GRWTH","FQ2 2016","FQ2 2016","Currency=INR","Period=FQ","BEST_FPERIOD_OVERRIDE=FQ","FILING_STATUS=OR","EQY_CONSOLIDATED=Y","Sort=A","Dates=H","DateFormat=P","Fill=—","Direction=H","UseDPDF=Y")</f>
        <v>#NAME?</v>
      </c>
      <c r="AX165" s="2" t="e">
        <f ca="1">_xll.BDH($C$153,"WORKING_CAPITAL_5_YEAR_GROWTH","FQ2 2016","FQ2 2016","Currency=INR","Period=FQ","BEST_FPERIOD_OVERRIDE=FQ","FILING_STATUS=OR","EQY_CONSOLIDATED=Y","Sort=A","Dates=H","DateFormat=P","Fill=—","Direction=H","UseDPDF=Y")</f>
        <v>#NAME?</v>
      </c>
      <c r="AY165" s="2" t="e">
        <f ca="1">_xll.BDH($C$153,"ACCOUNTS_PAYABLE_5_YEAR_GROWTH","FQ2 2016","FQ2 2016","Currency=INR","Period=FQ","BEST_FPERIOD_OVERRIDE=FQ","FILING_STATUS=OR","EQY_CONSOLIDATED=Y","Sort=A","Dates=H","DateFormat=P","Fill=—","Direction=H","UseDPDF=Y")</f>
        <v>#NAME?</v>
      </c>
      <c r="AZ165" s="2" t="e">
        <f ca="1">_xll.BDH($C$153,"SHORT_TERM_DEBT_5_YEAR_GROWTH","FQ2 2016","FQ2 2016","Currency=INR","Period=FQ","BEST_FPERIOD_OVERRIDE=FQ","FILING_STATUS=OR","EQY_CONSOLIDATED=Y","Sort=A","Dates=H","DateFormat=P","Fill=—","Direction=H","UseDPDF=Y")</f>
        <v>#NAME?</v>
      </c>
      <c r="BA165" s="2" t="e">
        <f ca="1">_xll.BDH($C$153,"TOTAL_DEBT_5_YEAR_GROWTH","FQ2 2016","FQ2 2016","Currency=INR","Period=FQ","BEST_FPERIOD_OVERRIDE=FQ","FILING_STATUS=OR","EQY_CONSOLIDATED=Y","Sort=A","Dates=H","DateFormat=P","Fill=—","Direction=H","UseDPDF=Y")</f>
        <v>#NAME?</v>
      </c>
      <c r="BB165" s="2" t="e">
        <f ca="1">_xll.BDH($C$153,"GEO_GROW_TOT_SHRHLDR_EQY","FQ2 2016","FQ2 2016","Currency=INR","Period=FQ","BEST_FPERIOD_OVERRIDE=FQ","FILING_STATUS=OR","EQY_CONSOLIDATED=Y","Sort=A","Dates=H","DateFormat=P","Fill=—","Direction=H","UseDPDF=Y")</f>
        <v>#NAME?</v>
      </c>
      <c r="BC165" s="2" t="e">
        <f ca="1">_xll.BDH($C$153,"TOTAL_CAPITAL_5_YEAR_GROWTH","FQ2 2016","FQ2 2016","Currency=INR","Period=FQ","BEST_FPERIOD_OVERRIDE=FQ","FILING_STATUS=OR","EQY_CONSOLIDATED=Y","Sort=A","Dates=H","DateFormat=P","Fill=—","Direction=H","UseDPDF=Y")</f>
        <v>#NAME?</v>
      </c>
      <c r="BD165" s="2" t="e">
        <f ca="1">_xll.BDH($C$153,"GEO_GROW_BOOK_VAL","FQ2 2016","FQ2 2016","Currency=INR","Period=FQ","BEST_FPERIOD_OVERRIDE=FQ","FILING_STATUS=OR","EQY_CONSOLIDATED=Y","Sort=A","Dates=H","DateFormat=P","Fill=—","Direction=H","UseDPDF=Y")</f>
        <v>#NAME?</v>
      </c>
      <c r="BE165" s="2" t="e">
        <f ca="1">_xll.BDH($C$153,"GEO_GROW_CASH_OPER_ACT","FQ2 2016","FQ2 2016","Currency=INR","Period=FQ","BEST_FPERIOD_OVERRIDE=FQ","FILING_STATUS=OR","EQY_CONSOLIDATED=Y","Sort=A","Dates=H","DateFormat=P","Fill=—","Direction=H","UseDPDF=Y")</f>
        <v>#NAME?</v>
      </c>
      <c r="BF165" s="2" t="e">
        <f ca="1">_xll.BDH($C$153,"REVENUE_SEQUENTIAL_GROWTH","FQ2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65" s="2" t="e">
        <f ca="1">_xll.BDH($C$153,"EBITDA_SEQUENTIAL_GROWTH","FQ2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65" s="2" t="e">
        <f ca="1">_xll.BDH($C$153,"OPERATING_INCOME_SEQ_GROWTH","FQ2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65" s="2" t="e">
        <f ca="1">_xll.BDH($C$153,"NET_INCOME_TO_COMMON_SEQ_GROWTH","FQ2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65" s="2" t="e">
        <f ca="1">_xll.BDH($C$153,"EPS_DILUTED_SEQUENTIAL_GROWTH","FQ2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65" s="2" t="e">
        <f ca="1">_xll.BDH($C$153,"DPS_SEQUENTIAL_GROWTH","FQ2 2016","FQ2 2016","Currency=INR","Period=FQ","BEST_FPERIOD_OVERRIDE=FQ","FILING_STATUS=OR","EQY_CONSOLIDATED=Y","Sort=A","Dates=H","DateFormat=P","Fill=—","Direction=H","UseDPDF=Y")</f>
        <v>#NAME?</v>
      </c>
      <c r="BL165" s="2" t="e">
        <f ca="1">_xll.BDH($C$153,"ACCOUNTS_RECEIVABLE_SEQ_GROWTH","FQ2 2016","FQ2 2016","Currency=INR","Period=FQ","BEST_FPERIOD_OVERRIDE=FQ","FILING_STATUS=OR","EQY_CONSOLIDATED=Y","Sort=A","Dates=H","DateFormat=P","Fill=—","Direction=H","UseDPDF=Y")</f>
        <v>#NAME?</v>
      </c>
      <c r="BM165" s="2" t="e">
        <f ca="1">_xll.BDH($C$153,"INVENTORY_SEQUENTIAL_GROWTH","FQ2 2016","FQ2 2016","Currency=INR","Period=FQ","BEST_FPERIOD_OVERRIDE=FQ","FILING_STATUS=OR","EQY_CONSOLIDATED=Y","Sort=A","Dates=H","DateFormat=P","Fill=—","Direction=H","UseDPDF=Y")</f>
        <v>#NAME?</v>
      </c>
      <c r="BN165" s="2" t="e">
        <f ca="1">_xll.BDH($C$153,"FIXED_ASSETS_SEQUENTIAL_GROWTH","FQ2 2016","FQ2 2016","Currency=INR","Period=FQ","BEST_FPERIOD_OVERRIDE=FQ","FILING_STATUS=OR","EQY_CONSOLIDATED=Y","Sort=A","Dates=H","DateFormat=P","Fill=—","Direction=H","UseDPDF=Y")</f>
        <v>#NAME?</v>
      </c>
      <c r="BO165" s="2" t="e">
        <f ca="1">_xll.BDH($C$153,"TOTAL_ASSETS_SEQUENTIAL_GROWTH","FQ2 2016","FQ2 2016","Currency=INR","Period=FQ","BEST_FPERIOD_OVERRIDE=FQ","FILING_STATUS=OR","EQY_CONSOLIDATED=Y","Sort=A","Dates=H","DateFormat=P","Fill=—","Direction=H","UseDPDF=Y")</f>
        <v>#NAME?</v>
      </c>
      <c r="BP165" s="2" t="e">
        <f ca="1">_xll.BDH($C$153,"MODIFIED_WORKING_CPTL_SEQ_GRWTH","FQ2 2016","FQ2 2016","Currency=INR","Period=FQ","BEST_FPERIOD_OVERRIDE=FQ","FILING_STATUS=OR","EQY_CONSOLIDATED=Y","Sort=A","Dates=H","DateFormat=P","Fill=—","Direction=H","UseDPDF=Y")</f>
        <v>#NAME?</v>
      </c>
      <c r="BQ165" s="2" t="e">
        <f ca="1">_xll.BDH($C$153,"WORKING_CAPITAL_SEQ_GROWTH","FQ2 2016","FQ2 2016","Currency=INR","Period=FQ","BEST_FPERIOD_OVERRIDE=FQ","FILING_STATUS=OR","EQY_CONSOLIDATED=Y","Sort=A","Dates=H","DateFormat=P","Fill=—","Direction=H","UseDPDF=Y")</f>
        <v>#NAME?</v>
      </c>
      <c r="BR165" s="2" t="e">
        <f ca="1">_xll.BDH($C$153,"ACCOUNTS_PAYABLE_SEQ_GROWTH","FQ2 2016","FQ2 2016","Currency=INR","Period=FQ","BEST_FPERIOD_OVERRIDE=FQ","FILING_STATUS=OR","EQY_CONSOLIDATED=Y","Sort=A","Dates=H","DateFormat=P","Fill=—","Direction=H","UseDPDF=Y")</f>
        <v>#NAME?</v>
      </c>
      <c r="BS165" s="2" t="e">
        <f ca="1">_xll.BDH($C$153,"ST_DEBT_SEQUENTIAL_GROWTH","FQ2 2016","FQ2 2016","Currency=INR","Period=FQ","BEST_FPERIOD_OVERRIDE=FQ","FILING_STATUS=OR","EQY_CONSOLIDATED=Y","Sort=A","Dates=H","DateFormat=P","Fill=—","Direction=H","UseDPDF=Y")</f>
        <v>#NAME?</v>
      </c>
      <c r="BT165" s="2" t="e">
        <f ca="1">_xll.BDH($C$153,"TOTAL_DEBT_SEQUENTIAL_GROWTH","FQ2 2016","FQ2 2016","Currency=INR","Period=FQ","BEST_FPERIOD_OVERRIDE=FQ","FILING_STATUS=OR","EQY_CONSOLIDATED=Y","Sort=A","Dates=H","DateFormat=P","Fill=—","Direction=H","UseDPDF=Y")</f>
        <v>#NAME?</v>
      </c>
      <c r="BU165" s="2" t="e">
        <f ca="1">_xll.BDH($C$153,"TOTAL_EQUITY_SEQUENTIAL_GROWTH","FQ2 2016","FQ2 2016","Currency=INR","Period=FQ","BEST_FPERIOD_OVERRIDE=FQ","FILING_STATUS=OR","EQY_CONSOLIDATED=Y","Sort=A","Dates=H","DateFormat=P","Fill=—","Direction=H","UseDPDF=Y")</f>
        <v>#NAME?</v>
      </c>
      <c r="BV165" s="2" t="e">
        <f ca="1">_xll.BDH($C$153,"TOTAL_CAPITAL_SEQUENTIAL_GROWTH","FQ2 2016","FQ2 2016","Currency=INR","Period=FQ","BEST_FPERIOD_OVERRIDE=FQ","FILING_STATUS=OR","EQY_CONSOLIDATED=Y","Sort=A","Dates=H","DateFormat=P","Fill=—","Direction=H","UseDPDF=Y")</f>
        <v>#NAME?</v>
      </c>
      <c r="BW165" s="2" t="e">
        <f ca="1">_xll.BDH($C$153,"BPS_SEQUENTIAL_GROWTH","FQ2 2016","FQ2 2016","Currency=INR","Period=FQ","BEST_FPERIOD_OVERRIDE=FQ","FILING_STATUS=OR","EQY_CONSOLIDATED=Y","Sort=A","Dates=H","DateFormat=P","Fill=—","Direction=H","UseDPDF=Y")</f>
        <v>#NAME?</v>
      </c>
      <c r="BX165" s="2" t="e">
        <f ca="1">_xll.BDH($C$153,"CFO_SEQUENTIAL_GROWTH","FQ2 2016","FQ2 2016","Currency=INR","Period=FQ","BEST_FPERIOD_OVERRIDE=FQ","FILING_STATUS=OR","EQY_CONSOLIDATED=Y","Sort=A","Dates=H","DateFormat=P","Fill=—","Direction=H","UseDPDF=Y")</f>
        <v>#NAME?</v>
      </c>
      <c r="BY165" s="3" t="e">
        <f ca="1">_xll.BDH($C$153,"SHORT_AND_LONG_TERM_DEBT","FQ2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65" s="3" t="e">
        <f ca="1">_xll.BDH($C$153,"BS_ST_BORROW","FQ2 2016","FQ2 2016","Currency=INR","Period=FQ","BEST_FPERIOD_OVERRIDE=FQ","FILING_STATUS=OR","EQY_CONSOLIDATED=Y","SCALING_FORMAT=MLN","Sort=A","Dates=H","DateFormat=P","Fill=—","Direction=H","UseDPDF=Y")</f>
        <v>#NAME?</v>
      </c>
      <c r="CA165" s="3" t="e">
        <f ca="1">_xll.BDH($C$153,"BS_LT_BORROW","FQ2 2016","FQ2 2016","Currency=INR","Period=FQ","BEST_FPERIOD_OVERRIDE=FQ","FILING_STATUS=OR","EQY_CONSOLIDATED=Y","SCALING_FORMAT=MLN","Sort=A","Dates=H","DateFormat=P","Fill=—","Direction=H","UseDPDF=Y")</f>
        <v>#NAME?</v>
      </c>
      <c r="CB165" s="2" t="e">
        <f ca="1">_xll.BDH($C$153,"TOT_DEBT_TO_EBITDA","FQ2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65" s="2" t="e">
        <f ca="1">_xll.BDH($C$153,"NET_DEBT_TO_EBITDA","FQ2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65" s="2" t="e">
        <f ca="1">_xll.BDH($C$153,"TOTAL_DEBT_TO_EBIT","FQ2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65" s="2" t="e">
        <f ca="1">_xll.BDH($C$153,"NET_DEBT_TO_EBIT","FQ2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165" s="2" t="e">
        <f ca="1">_xll.BDH($C$153,"EBITDA_TO_INTEREST_EXPN","FQ2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65" s="2" t="e">
        <f ca="1">_xll.BDH($C$153,"COM_EQY_TO_TOT_ASSET","FQ2 2016","FQ2 2016","Currency=INR","Period=FQ","BEST_FPERIOD_OVERRIDE=FQ","FILING_STATUS=OR","EQY_CONSOLIDATED=Y","Sort=A","Dates=H","DateFormat=P","Fill=—","Direction=H","UseDPDF=Y")</f>
        <v>#NAME?</v>
      </c>
      <c r="CH165" s="2" t="e">
        <f ca="1">_xll.BDH($C$153,"LT_DEBT_TO_TOT_EQY","FQ2 2016","FQ2 2016","Currency=INR","Period=FQ","BEST_FPERIOD_OVERRIDE=FQ","FILING_STATUS=OR","EQY_CONSOLIDATED=Y","Sort=A","Dates=H","DateFormat=P","Fill=—","Direction=H","UseDPDF=Y")</f>
        <v>#NAME?</v>
      </c>
      <c r="CI165" s="2" t="e">
        <f ca="1">_xll.BDH($C$153,"LT_DEBT_TO_TOT_CAP","FQ2 2016","FQ2 2016","Currency=INR","Period=FQ","BEST_FPERIOD_OVERRIDE=FQ","FILING_STATUS=OR","EQY_CONSOLIDATED=Y","Sort=A","Dates=H","DateFormat=P","Fill=—","Direction=H","UseDPDF=Y")</f>
        <v>#NAME?</v>
      </c>
      <c r="CJ165" s="2" t="e">
        <f ca="1">_xll.BDH($C$153,"LT_DEBT_TO_TOT_ASSET","FQ2 2016","FQ2 2016","Currency=INR","Period=FQ","BEST_FPERIOD_OVERRIDE=FQ","FILING_STATUS=OR","EQY_CONSOLIDATED=Y","Sort=A","Dates=H","DateFormat=P","Fill=—","Direction=H","UseDPDF=Y")</f>
        <v>#NAME?</v>
      </c>
      <c r="CK165" s="2" t="e">
        <f ca="1">_xll.BDH($C$153,"TOT_DEBT_TO_TOT_EQY","FQ2 2016","FQ2 2016","Currency=INR","Period=FQ","BEST_FPERIOD_OVERRIDE=FQ","FILING_STATUS=OR","EQY_CONSOLIDATED=Y","Sort=A","Dates=H","DateFormat=P","Fill=—","Direction=H","UseDPDF=Y")</f>
        <v>#NAME?</v>
      </c>
      <c r="CL165" s="2" t="e">
        <f ca="1">_xll.BDH($C$153,"TOT_DEBT_TO_TOT_CAP","FQ2 2016","FQ2 2016","Currency=INR","Period=FQ","BEST_FPERIOD_OVERRIDE=FQ","FILING_STATUS=OR","EQY_CONSOLIDATED=Y","Sort=A","Dates=H","DateFormat=P","Fill=—","Direction=H","UseDPDF=Y")</f>
        <v>#NAME?</v>
      </c>
      <c r="CM165" s="2" t="e">
        <f ca="1">_xll.BDH($C$153,"TOT_DEBT_TO_TOT_ASSET","FQ2 2016","FQ2 2016","Currency=INR","Period=FQ","BEST_FPERIOD_OVERRIDE=FQ","FILING_STATUS=OR","EQY_CONSOLIDATED=Y","Sort=A","Dates=H","DateFormat=P","Fill=—","Direction=H","UseDPDF=Y")</f>
        <v>#NAME?</v>
      </c>
      <c r="CN165" s="2" t="e">
        <f ca="1">_xll.BDH($C$153,"NET_DEBT_TO_SHRHLDR_EQTY","FQ2 2016","FQ2 2016","Currency=INR","Period=FQ","BEST_FPERIOD_OVERRIDE=FQ","FILING_STATUS=OR","EQY_CONSOLIDATED=Y","Sort=A","Dates=H","DateFormat=P","Fill=—","Direction=H","UseDPDF=Y")</f>
        <v>#NAME?</v>
      </c>
      <c r="CO165" s="2" t="e">
        <f ca="1">_xll.BDH($C$153,"NET_DEBT_%_CAPITAL","FQ2 2016","FQ2 2016","Currency=INR","Period=FQ","BEST_FPERIOD_OVERRIDE=FQ","FILING_STATUS=OR","EQY_CONSOLIDATED=Y","Sort=A","Dates=H","DateFormat=P","Fill=—","Direction=H","UseDPDF=Y")</f>
        <v>#NAME?</v>
      </c>
      <c r="CP165" s="3" t="e">
        <f ca="1">_xll.BDH($C$153,"EBITDA","FQ2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65" s="3" t="e">
        <f ca="1">_xll.BDH($C$153,"EBITDA_AFTER_CAPEX","FQ2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65" s="3" t="e">
        <f ca="1">_xll.BDH($C$153,"IS_OPER_INC","FQ2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65" s="2" t="e">
        <f ca="1">_xll.BDH($C$153,"CASH_RATIO","FQ2 2016","FQ2 2016","Currency=INR","Period=FQ","BEST_FPERIOD_OVERRIDE=FQ","FILING_STATUS=OR","EQY_CONSOLIDATED=Y","Sort=A","Dates=H","DateFormat=P","Fill=—","Direction=H","UseDPDF=Y")</f>
        <v>#NAME?</v>
      </c>
      <c r="CT165" s="2" t="e">
        <f ca="1">_xll.BDH($C$153,"CUR_RATIO","FQ2 2016","FQ2 2016","Currency=INR","Period=FQ","BEST_FPERIOD_OVERRIDE=FQ","FILING_STATUS=OR","EQY_CONSOLIDATED=Y","Sort=A","Dates=H","DateFormat=P","Fill=—","Direction=H","UseDPDF=Y")</f>
        <v>#NAME?</v>
      </c>
      <c r="CU165" s="2" t="e">
        <f ca="1">_xll.BDH($C$153,"QUICK_RATIO","FQ2 2016","FQ2 2016","Currency=INR","Period=FQ","BEST_FPERIOD_OVERRIDE=FQ","FILING_STATUS=OR","EQY_CONSOLIDATED=Y","Sort=A","Dates=H","DateFormat=P","Fill=—","Direction=H","UseDPDF=Y")</f>
        <v>#NAME?</v>
      </c>
      <c r="CV165" s="2" t="e">
        <f ca="1">_xll.BDH($C$153,"ALTMAN_Z_SCORE","FQ2 2016","FQ2 2016","Currency=INR","Period=FQ","BEST_FPERIOD_OVERRIDE=FQ","FILING_STATUS=OR","EQY_CONSOLIDATED=Y","Sort=A","Dates=H","DateFormat=P","Fill=—","Direction=H","UseDPDF=Y")</f>
        <v>#NAME?</v>
      </c>
      <c r="CW165" s="4" t="e">
        <f ca="1">_xll.BDH($C$153,"ACCT_RCV_TURN","FQ2 2016","FQ2 2016","Currency=INR","Period=FQ","BEST_FPERIOD_OVERRIDE=FQ","FILING_STATUS=OR","EQY_CONSOLIDATED=Y","FA_ADJUSTED=GAAP","Sort=A","Dates=H","DateFormat=P","Fill=—","Direction=H","UseDPDF=Y")</f>
        <v>#NAME?</v>
      </c>
      <c r="CX165" s="2" t="e">
        <f ca="1">_xll.BDH($C$153,"ACCT_RCV_DAYS","FQ2 2016","FQ2 2016","Currency=INR","Period=FQ","BEST_FPERIOD_OVERRIDE=FQ","FILING_STATUS=OR","EQY_CONSOLIDATED=Y","FA_ADJUSTED=GAAP","Sort=A","Dates=H","DateFormat=P","Fill=—","Direction=H","UseDPDF=Y")</f>
        <v>#NAME?</v>
      </c>
      <c r="CY165" s="4" t="e">
        <f ca="1">_xll.BDH($C$153,"INVENT_TURN","FQ2 2016","FQ2 2016","Currency=INR","Period=FQ","BEST_FPERIOD_OVERRIDE=FQ","FILING_STATUS=OR","EQY_CONSOLIDATED=Y","FA_ADJUSTED=GAAP","Sort=A","Dates=H","DateFormat=P","Fill=—","Direction=H","UseDPDF=Y")</f>
        <v>#NAME?</v>
      </c>
      <c r="CZ165" s="2" t="e">
        <f ca="1">_xll.BDH($C$153,"INVENT_DAYS","FQ2 2016","FQ2 2016","Currency=INR","Period=FQ","BEST_FPERIOD_OVERRIDE=FQ","FILING_STATUS=OR","EQY_CONSOLIDATED=Y","FA_ADJUSTED=GAAP","Sort=A","Dates=H","DateFormat=P","Fill=—","Direction=H","UseDPDF=Y")</f>
        <v>#NAME?</v>
      </c>
      <c r="DA165" s="4" t="e">
        <f ca="1">_xll.BDH($C$153,"ACCOUNTS_PAYABLE_TURNOVER","FQ2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65" s="2" t="e">
        <f ca="1">_xll.BDH($C$153,"ACCOUNTS_PAYABLE_TURNOVER_DAYS","FQ2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65" s="4" t="e">
        <f ca="1">_xll.BDH($C$153,"CASH_CONVERSION_CYCLE","FQ2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65" s="4" t="e">
        <f ca="1">_xll.BDH($C$153,"INV_TO_CASH_DAYS","FQ2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165" s="5" t="e">
        <f ca="1">_xll.BDH($C$153,"BS_INVENTORIES","FQ2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165" s="3" t="e">
        <f ca="1">_xll.BDH($C$153,"INVTRY_RAW_MATERIALS","FQ2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65" s="3" t="e">
        <f ca="1">_xll.BDH($C$153,"INVTRY_IN_PROGRESS","FQ2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65" s="3" t="e">
        <f ca="1">_xll.BDH($C$153,"INVTRY_FINISHED_GOODS","FQ2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65" s="3" t="e">
        <f ca="1">_xll.BDH($C$153,"BS_OTHER_INV","FQ2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66" spans="1:113" x14ac:dyDescent="0.3">
      <c r="A166" s="6"/>
      <c r="B166" s="6"/>
      <c r="C166" s="6"/>
      <c r="D166" s="6"/>
      <c r="E166" t="s">
        <v>80</v>
      </c>
      <c r="F166" t="e">
        <f ca="1">_xll.BDH($C$153,"RETURN_COM_EQY","FQ3 2016","FQ3 2016","Currency=INR","Period=FQ","BEST_FPERIOD_OVERRIDE=FQ","FILING_STATUS=OR","EQY_CONSOLIDATED=Y","FA_ADJUSTED=GAAP","Sort=A","Dates=H","DateFormat=P","Fill=—","Direction=H","UseDPDF=Y")</f>
        <v>#NAME?</v>
      </c>
      <c r="G166" t="e">
        <f ca="1">_xll.BDH($C$153,"RETURN_ON_ASSET","FQ3 2016","FQ3 2016","Currency=INR","Period=FQ","BEST_FPERIOD_OVERRIDE=FQ","FILING_STATUS=OR","EQY_CONSOLIDATED=Y","FA_ADJUSTED=GAAP","Sort=A","Dates=H","DateFormat=P","Fill=—","Direction=H","UseDPDF=Y")</f>
        <v>#NAME?</v>
      </c>
      <c r="H166" t="e">
        <f ca="1">_xll.BDH($C$153,"RETURN_ON_CAP","FQ3 2016","FQ3 2016","Currency=INR","Period=FQ","BEST_FPERIOD_OVERRIDE=FQ","FILING_STATUS=OR","EQY_CONSOLIDATED=Y","FA_ADJUSTED=GAAP","Sort=A","Dates=H","DateFormat=P","Fill=—","Direction=H","UseDPDF=Y")</f>
        <v>#NAME?</v>
      </c>
      <c r="I166" t="e">
        <f ca="1">_xll.BDH($C$153,"RETURN_ON_INV_CAPITAL","FQ3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66" t="e">
        <f ca="1">_xll.BDH($C$153,"EBITDA_TO_REVENUE","FQ3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166" t="e">
        <f ca="1">_xll.BDH($C$153,"OPER_MARGIN","FQ3 2016","FQ3 2016","Currency=INR","Period=FQ","BEST_FPERIOD_OVERRIDE=FQ","FILING_STATUS=OR","EQY_CONSOLIDATED=Y","FA_ADJUSTED=GAAP","Sort=A","Dates=H","DateFormat=P","Fill=—","Direction=H","UseDPDF=Y")</f>
        <v>#NAME?</v>
      </c>
      <c r="L166" t="e">
        <f ca="1">_xll.BDH($C$153,"INCREMENTAL_OPERATING_MARGIN","FQ3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66" t="e">
        <f ca="1">_xll.BDH($C$153,"PRETAX_INC_TO_NET_SALES","FQ3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66" t="e">
        <f ca="1">_xll.BDH($C$153,"INC_BEF_XO_ITEMS_TO_NET_SALES","FQ3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66" t="e">
        <f ca="1">_xll.BDH($C$153,"PROF_MARGIN","FQ3 2016","FQ3 2016","Currency=INR","Period=FQ","BEST_FPERIOD_OVERRIDE=FQ","FILING_STATUS=OR","EQY_CONSOLIDATED=Y","FA_ADJUSTED=GAAP","Sort=A","Dates=H","DateFormat=P","Fill=—","Direction=H","UseDPDF=Y")</f>
        <v>#NAME?</v>
      </c>
      <c r="P166" t="e">
        <f ca="1">_xll.BDH($C$153,"NET_INCOME_TO_COMMON_MARGIN","FQ3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66" t="e">
        <f ca="1">_xll.BDH($C$153,"EFF_TAX_RATE","FQ3 2016","FQ3 2016","Currency=INR","Period=FQ","BEST_FPERIOD_OVERRIDE=FQ","FILING_STATUS=OR","EQY_CONSOLIDATED=Y","FA_ADJUSTED=GAAP","Sort=A","Dates=H","DateFormat=P","Fill=—","Direction=H","UseDPDF=Y")</f>
        <v>#NAME?</v>
      </c>
      <c r="R166" t="e">
        <f ca="1">_xll.BDH($C$153,"DVD_PAYOUT_RATIO","FQ3 2016","FQ3 2016","Currency=INR","Period=FQ","BEST_FPERIOD_OVERRIDE=FQ","FILING_STATUS=OR","EQY_CONSOLIDATED=Y","FA_ADJUSTED=GAAP","Sort=A","Dates=H","DateFormat=P","Fill=—","Direction=H","UseDPDF=Y")</f>
        <v>#NAME?</v>
      </c>
      <c r="S166" t="e">
        <f ca="1">_xll.BDH($C$153,"SUSTAIN_GROWTH_RT","FQ3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166" s="2" t="e">
        <f ca="1">_xll.BDH($C$153,"SALES_GROWTH","FQ3 2016","FQ3 2016","Currency=INR","Period=FQ","BEST_FPERIOD_OVERRIDE=FQ","FILING_STATUS=OR","EQY_CONSOLIDATED=Y","FA_ADJUSTED=GAAP","Sort=A","Dates=H","DateFormat=P","Fill=—","Direction=H","UseDPDF=Y")</f>
        <v>#NAME?</v>
      </c>
      <c r="U166" s="2" t="e">
        <f ca="1">_xll.BDH($C$153,"EBITDA_GROWTH","FQ3 2016","FQ3 2016","Currency=INR","Period=FQ","BEST_FPERIOD_OVERRIDE=FQ","FILING_STATUS=OR","EQY_CONSOLIDATED=Y","FA_ADJUSTED=GAAP","Sort=A","Dates=H","DateFormat=P","Fill=—","Direction=H","UseDPDF=Y")</f>
        <v>#NAME?</v>
      </c>
      <c r="V166" s="2" t="e">
        <f ca="1">_xll.BDH($C$153,"OPER_INC_GROWTH","FQ3 2016","FQ3 2016","Currency=INR","Period=FQ","BEST_FPERIOD_OVERRIDE=FQ","FILING_STATUS=OR","EQY_CONSOLIDATED=Y","FA_ADJUSTED=GAAP","Sort=A","Dates=H","DateFormat=P","Fill=—","Direction=H","UseDPDF=Y")</f>
        <v>#NAME?</v>
      </c>
      <c r="W166" s="2" t="e">
        <f ca="1">_xll.BDH($C$153,"EARN_FOR_COM_GROWTH","FQ3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66" s="2" t="e">
        <f ca="1">_xll.BDH($C$153,"DILUTED_EPS_AFT_XO_ITEMS_GROWTH","FQ3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66" s="2" t="e">
        <f ca="1">_xll.BDH($C$153,"DIVIDEND_PER_SHARE_1_YEAR_GROWTH","FQ3 2016","FQ3 2016","Currency=INR","Period=FQ","BEST_FPERIOD_OVERRIDE=FQ","FILING_STATUS=OR","EQY_CONSOLIDATED=Y","Sort=A","Dates=H","DateFormat=P","Fill=—","Direction=H","UseDPDF=Y")</f>
        <v>#NAME?</v>
      </c>
      <c r="Z166" s="2" t="e">
        <f ca="1">_xll.BDH($C$153,"ACCOUNTS_RECEIVABLE_GROWTH","FQ3 2016","FQ3 2016","Currency=INR","Period=FQ","BEST_FPERIOD_OVERRIDE=FQ","FILING_STATUS=OR","EQY_CONSOLIDATED=Y","Sort=A","Dates=H","DateFormat=P","Fill=—","Direction=H","UseDPDF=Y")</f>
        <v>#NAME?</v>
      </c>
      <c r="AA166" s="2" t="e">
        <f ca="1">_xll.BDH($C$153,"INVENTORY_GROWTH","FQ3 2016","FQ3 2016","Currency=INR","Period=FQ","BEST_FPERIOD_OVERRIDE=FQ","FILING_STATUS=OR","EQY_CONSOLIDATED=Y","Sort=A","Dates=H","DateFormat=P","Fill=—","Direction=H","UseDPDF=Y")</f>
        <v>#NAME?</v>
      </c>
      <c r="AB166" s="2" t="e">
        <f ca="1">_xll.BDH($C$153,"NET_FIXED_ASSETS_1_YEAR_GROWTH","FQ3 2016","FQ3 2016","Currency=INR","Period=FQ","BEST_FPERIOD_OVERRIDE=FQ","FILING_STATUS=OR","EQY_CONSOLIDATED=Y","Sort=A","Dates=H","DateFormat=P","Fill=—","Direction=H","UseDPDF=Y")</f>
        <v>#NAME?</v>
      </c>
      <c r="AC166" s="2" t="e">
        <f ca="1">_xll.BDH($C$153,"ASSET_GROWTH","FQ3 2016","FQ3 2016","Currency=INR","Period=FQ","BEST_FPERIOD_OVERRIDE=FQ","FILING_STATUS=OR","EQY_CONSOLIDATED=Y","Sort=A","Dates=H","DateFormat=P","Fill=—","Direction=H","UseDPDF=Y")</f>
        <v>#NAME?</v>
      </c>
      <c r="AD166" s="2" t="e">
        <f ca="1">_xll.BDH($C$153,"MODIFIED_WORK_CAP_GROWTH","FQ3 2016","FQ3 2016","Currency=INR","Period=FQ","BEST_FPERIOD_OVERRIDE=FQ","FILING_STATUS=OR","EQY_CONSOLIDATED=Y","Sort=A","Dates=H","DateFormat=P","Fill=—","Direction=H","UseDPDF=Y")</f>
        <v>#NAME?</v>
      </c>
      <c r="AE166" s="2" t="e">
        <f ca="1">_xll.BDH($C$153,"WORK_CAP_GROWTH","FQ3 2016","FQ3 2016","Currency=INR","Period=FQ","BEST_FPERIOD_OVERRIDE=FQ","FILING_STATUS=OR","EQY_CONSOLIDATED=Y","Sort=A","Dates=H","DateFormat=P","Fill=—","Direction=H","UseDPDF=Y")</f>
        <v>#NAME?</v>
      </c>
      <c r="AF166" s="2" t="e">
        <f ca="1">_xll.BDH($C$153,"ACCOUNTS_PAYABLE_GROWTH_1YR","FQ3 2016","FQ3 2016","Currency=INR","Period=FQ","BEST_FPERIOD_OVERRIDE=FQ","FILING_STATUS=OR","EQY_CONSOLIDATED=Y","Sort=A","Dates=H","DateFormat=P","Fill=—","Direction=H","UseDPDF=Y")</f>
        <v>#NAME?</v>
      </c>
      <c r="AG166" s="2" t="e">
        <f ca="1">_xll.BDH($C$153,"SHORT_TERM_DEBT_1_YEAR_GROWTH","FQ3 2016","FQ3 2016","Currency=INR","Period=FQ","BEST_FPERIOD_OVERRIDE=FQ","FILING_STATUS=OR","EQY_CONSOLIDATED=Y","Sort=A","Dates=H","DateFormat=P","Fill=—","Direction=H","UseDPDF=Y")</f>
        <v>#NAME?</v>
      </c>
      <c r="AH166" s="2" t="e">
        <f ca="1">_xll.BDH($C$153,"TOTAL_DEBT_1_YEAR_GROWTH","FQ3 2016","FQ3 2016","Currency=INR","Period=FQ","BEST_FPERIOD_OVERRIDE=FQ","FILING_STATUS=OR","EQY_CONSOLIDATED=Y","Sort=A","Dates=H","DateFormat=P","Fill=—","Direction=H","UseDPDF=Y")</f>
        <v>#NAME?</v>
      </c>
      <c r="AI166" s="2" t="e">
        <f ca="1">_xll.BDH($C$153,"TOTAL_EQUITY_1_YEAR_GROWTH","FQ3 2016","FQ3 2016","Currency=INR","Period=FQ","BEST_FPERIOD_OVERRIDE=FQ","FILING_STATUS=OR","EQY_CONSOLIDATED=Y","Sort=A","Dates=H","DateFormat=P","Fill=—","Direction=H","UseDPDF=Y")</f>
        <v>#NAME?</v>
      </c>
      <c r="AJ166" s="2" t="e">
        <f ca="1">_xll.BDH($C$153,"GROWTH_IN_CAP","FQ3 2016","FQ3 2016","Currency=INR","Period=FQ","BEST_FPERIOD_OVERRIDE=FQ","FILING_STATUS=OR","EQY_CONSOLIDATED=Y","Sort=A","Dates=H","DateFormat=P","Fill=—","Direction=H","UseDPDF=Y")</f>
        <v>#NAME?</v>
      </c>
      <c r="AK166" s="2" t="e">
        <f ca="1">_xll.BDH($C$153,"BVPS_GROWTH","FQ3 2016","FQ3 2016","Currency=INR","Period=FQ","BEST_FPERIOD_OVERRIDE=FQ","FILING_STATUS=OR","EQY_CONSOLIDATED=Y","Sort=A","Dates=H","DateFormat=P","Fill=—","Direction=H","UseDPDF=Y")</f>
        <v>#NAME?</v>
      </c>
      <c r="AL166" s="2" t="e">
        <f ca="1">_xll.BDH($C$153,"CASH_FLOW_GROWTH","FQ3 2016","FQ3 2016","Currency=INR","Period=FQ","BEST_FPERIOD_OVERRIDE=FQ","FILING_STATUS=OR","EQY_CONSOLIDATED=Y","Sort=A","Dates=H","DateFormat=P","Fill=—","Direction=H","UseDPDF=Y")</f>
        <v>#NAME?</v>
      </c>
      <c r="AM166" s="2" t="e">
        <f ca="1">_xll.BDH($C$153,"GEO_GROW_NET_SALES","FQ3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66" s="2" t="e">
        <f ca="1">_xll.BDH($C$153,"GEO_GROW_EBITDA","FQ3 2016","FQ3 2016","Currency=INR","Period=FQ","BEST_FPERIOD_OVERRIDE=FQ","FILING_STATUS=OR","EQY_CONSOLIDATED=Y","FA_ADJUSTED=GAAP","Sort=A","Dates=H","DateFormat=P","Fill=—","Direction=H","UseDPDF=Y")</f>
        <v>#NAME?</v>
      </c>
      <c r="AO166" s="2" t="e">
        <f ca="1">_xll.BDH($C$153,"GEO_GROW_OPER_INC","FQ3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66" s="2" t="e">
        <f ca="1">_xll.BDH($C$153,"NET_INCOME_TO_COMMON_5_YR_GROWTH","FQ3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66" s="2" t="e">
        <f ca="1">_xll.BDH($C$153,"5Y_GEO_GROWTH_DILUTED_EPS","FQ3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66" s="2" t="e">
        <f ca="1">_xll.BDH($C$153,"GEO_GROW_DVD_PER_SH","FQ3 2016","FQ3 2016","Currency=INR","Period=FQ","BEST_FPERIOD_OVERRIDE=FQ","FILING_STATUS=OR","EQY_CONSOLIDATED=Y","Sort=A","Dates=H","DateFormat=P","Fill=—","Direction=H","UseDPDF=Y")</f>
        <v>#NAME?</v>
      </c>
      <c r="AS166" s="2" t="e">
        <f ca="1">_xll.BDH($C$153,"ACCOUNTS_RECEIVABLE_5_YR_GROWTH","FQ3 2016","FQ3 2016","Currency=INR","Period=FQ","BEST_FPERIOD_OVERRIDE=FQ","FILING_STATUS=OR","EQY_CONSOLIDATED=Y","Sort=A","Dates=H","DateFormat=P","Fill=—","Direction=H","UseDPDF=Y")</f>
        <v>#NAME?</v>
      </c>
      <c r="AT166" s="2" t="e">
        <f ca="1">_xll.BDH($C$153,"INVENTORY_5_YEAR_GROWTH","FQ3 2016","FQ3 2016","Currency=INR","Period=FQ","BEST_FPERIOD_OVERRIDE=FQ","FILING_STATUS=OR","EQY_CONSOLIDATED=Y","Sort=A","Dates=H","DateFormat=P","Fill=—","Direction=H","UseDPDF=Y")</f>
        <v>#NAME?</v>
      </c>
      <c r="AU166" s="2" t="e">
        <f ca="1">_xll.BDH($C$153,"NET_FIXED_ASSETS_5_YEAR_GROWTH","FQ3 2016","FQ3 2016","Currency=INR","Period=FQ","BEST_FPERIOD_OVERRIDE=FQ","FILING_STATUS=OR","EQY_CONSOLIDATED=Y","Sort=A","Dates=H","DateFormat=P","Fill=—","Direction=H","UseDPDF=Y")</f>
        <v>#NAME?</v>
      </c>
      <c r="AV166" s="2" t="e">
        <f ca="1">_xll.BDH($C$153,"GEO_GROW_TOT_ASSET","FQ3 2016","FQ3 2016","Currency=INR","Period=FQ","BEST_FPERIOD_OVERRIDE=FQ","FILING_STATUS=OR","EQY_CONSOLIDATED=Y","Sort=A","Dates=H","DateFormat=P","Fill=—","Direction=H","UseDPDF=Y")</f>
        <v>#NAME?</v>
      </c>
      <c r="AW166" s="2" t="e">
        <f ca="1">_xll.BDH($C$153,"MODIFIED_WORKING_CPTL_5YR_GRWTH","FQ3 2016","FQ3 2016","Currency=INR","Period=FQ","BEST_FPERIOD_OVERRIDE=FQ","FILING_STATUS=OR","EQY_CONSOLIDATED=Y","Sort=A","Dates=H","DateFormat=P","Fill=—","Direction=H","UseDPDF=Y")</f>
        <v>#NAME?</v>
      </c>
      <c r="AX166" s="2" t="e">
        <f ca="1">_xll.BDH($C$153,"WORKING_CAPITAL_5_YEAR_GROWTH","FQ3 2016","FQ3 2016","Currency=INR","Period=FQ","BEST_FPERIOD_OVERRIDE=FQ","FILING_STATUS=OR","EQY_CONSOLIDATED=Y","Sort=A","Dates=H","DateFormat=P","Fill=—","Direction=H","UseDPDF=Y")</f>
        <v>#NAME?</v>
      </c>
      <c r="AY166" s="2" t="e">
        <f ca="1">_xll.BDH($C$153,"ACCOUNTS_PAYABLE_5_YEAR_GROWTH","FQ3 2016","FQ3 2016","Currency=INR","Period=FQ","BEST_FPERIOD_OVERRIDE=FQ","FILING_STATUS=OR","EQY_CONSOLIDATED=Y","Sort=A","Dates=H","DateFormat=P","Fill=—","Direction=H","UseDPDF=Y")</f>
        <v>#NAME?</v>
      </c>
      <c r="AZ166" s="2" t="e">
        <f ca="1">_xll.BDH($C$153,"SHORT_TERM_DEBT_5_YEAR_GROWTH","FQ3 2016","FQ3 2016","Currency=INR","Period=FQ","BEST_FPERIOD_OVERRIDE=FQ","FILING_STATUS=OR","EQY_CONSOLIDATED=Y","Sort=A","Dates=H","DateFormat=P","Fill=—","Direction=H","UseDPDF=Y")</f>
        <v>#NAME?</v>
      </c>
      <c r="BA166" s="2" t="e">
        <f ca="1">_xll.BDH($C$153,"TOTAL_DEBT_5_YEAR_GROWTH","FQ3 2016","FQ3 2016","Currency=INR","Period=FQ","BEST_FPERIOD_OVERRIDE=FQ","FILING_STATUS=OR","EQY_CONSOLIDATED=Y","Sort=A","Dates=H","DateFormat=P","Fill=—","Direction=H","UseDPDF=Y")</f>
        <v>#NAME?</v>
      </c>
      <c r="BB166" s="2" t="e">
        <f ca="1">_xll.BDH($C$153,"GEO_GROW_TOT_SHRHLDR_EQY","FQ3 2016","FQ3 2016","Currency=INR","Period=FQ","BEST_FPERIOD_OVERRIDE=FQ","FILING_STATUS=OR","EQY_CONSOLIDATED=Y","Sort=A","Dates=H","DateFormat=P","Fill=—","Direction=H","UseDPDF=Y")</f>
        <v>#NAME?</v>
      </c>
      <c r="BC166" s="2" t="e">
        <f ca="1">_xll.BDH($C$153,"TOTAL_CAPITAL_5_YEAR_GROWTH","FQ3 2016","FQ3 2016","Currency=INR","Period=FQ","BEST_FPERIOD_OVERRIDE=FQ","FILING_STATUS=OR","EQY_CONSOLIDATED=Y","Sort=A","Dates=H","DateFormat=P","Fill=—","Direction=H","UseDPDF=Y")</f>
        <v>#NAME?</v>
      </c>
      <c r="BD166" s="2" t="e">
        <f ca="1">_xll.BDH($C$153,"GEO_GROW_BOOK_VAL","FQ3 2016","FQ3 2016","Currency=INR","Period=FQ","BEST_FPERIOD_OVERRIDE=FQ","FILING_STATUS=OR","EQY_CONSOLIDATED=Y","Sort=A","Dates=H","DateFormat=P","Fill=—","Direction=H","UseDPDF=Y")</f>
        <v>#NAME?</v>
      </c>
      <c r="BE166" s="2" t="e">
        <f ca="1">_xll.BDH($C$153,"GEO_GROW_CASH_OPER_ACT","FQ3 2016","FQ3 2016","Currency=INR","Period=FQ","BEST_FPERIOD_OVERRIDE=FQ","FILING_STATUS=OR","EQY_CONSOLIDATED=Y","Sort=A","Dates=H","DateFormat=P","Fill=—","Direction=H","UseDPDF=Y")</f>
        <v>#NAME?</v>
      </c>
      <c r="BF166" s="2" t="e">
        <f ca="1">_xll.BDH($C$153,"REVENUE_SEQUENTIAL_GROWTH","FQ3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66" s="2" t="e">
        <f ca="1">_xll.BDH($C$153,"EBITDA_SEQUENTIAL_GROWTH","FQ3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66" s="2" t="e">
        <f ca="1">_xll.BDH($C$153,"OPERATING_INCOME_SEQ_GROWTH","FQ3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66" s="2" t="e">
        <f ca="1">_xll.BDH($C$153,"NET_INCOME_TO_COMMON_SEQ_GROWTH","FQ3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66" s="2" t="e">
        <f ca="1">_xll.BDH($C$153,"EPS_DILUTED_SEQUENTIAL_GROWTH","FQ3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66" s="2" t="e">
        <f ca="1">_xll.BDH($C$153,"DPS_SEQUENTIAL_GROWTH","FQ3 2016","FQ3 2016","Currency=INR","Period=FQ","BEST_FPERIOD_OVERRIDE=FQ","FILING_STATUS=OR","EQY_CONSOLIDATED=Y","Sort=A","Dates=H","DateFormat=P","Fill=—","Direction=H","UseDPDF=Y")</f>
        <v>#NAME?</v>
      </c>
      <c r="BL166" s="2" t="e">
        <f ca="1">_xll.BDH($C$153,"ACCOUNTS_RECEIVABLE_SEQ_GROWTH","FQ3 2016","FQ3 2016","Currency=INR","Period=FQ","BEST_FPERIOD_OVERRIDE=FQ","FILING_STATUS=OR","EQY_CONSOLIDATED=Y","Sort=A","Dates=H","DateFormat=P","Fill=—","Direction=H","UseDPDF=Y")</f>
        <v>#NAME?</v>
      </c>
      <c r="BM166" s="2" t="e">
        <f ca="1">_xll.BDH($C$153,"INVENTORY_SEQUENTIAL_GROWTH","FQ3 2016","FQ3 2016","Currency=INR","Period=FQ","BEST_FPERIOD_OVERRIDE=FQ","FILING_STATUS=OR","EQY_CONSOLIDATED=Y","Sort=A","Dates=H","DateFormat=P","Fill=—","Direction=H","UseDPDF=Y")</f>
        <v>#NAME?</v>
      </c>
      <c r="BN166" s="2" t="e">
        <f ca="1">_xll.BDH($C$153,"FIXED_ASSETS_SEQUENTIAL_GROWTH","FQ3 2016","FQ3 2016","Currency=INR","Period=FQ","BEST_FPERIOD_OVERRIDE=FQ","FILING_STATUS=OR","EQY_CONSOLIDATED=Y","Sort=A","Dates=H","DateFormat=P","Fill=—","Direction=H","UseDPDF=Y")</f>
        <v>#NAME?</v>
      </c>
      <c r="BO166" s="2" t="e">
        <f ca="1">_xll.BDH($C$153,"TOTAL_ASSETS_SEQUENTIAL_GROWTH","FQ3 2016","FQ3 2016","Currency=INR","Period=FQ","BEST_FPERIOD_OVERRIDE=FQ","FILING_STATUS=OR","EQY_CONSOLIDATED=Y","Sort=A","Dates=H","DateFormat=P","Fill=—","Direction=H","UseDPDF=Y")</f>
        <v>#NAME?</v>
      </c>
      <c r="BP166" s="2" t="e">
        <f ca="1">_xll.BDH($C$153,"MODIFIED_WORKING_CPTL_SEQ_GRWTH","FQ3 2016","FQ3 2016","Currency=INR","Period=FQ","BEST_FPERIOD_OVERRIDE=FQ","FILING_STATUS=OR","EQY_CONSOLIDATED=Y","Sort=A","Dates=H","DateFormat=P","Fill=—","Direction=H","UseDPDF=Y")</f>
        <v>#NAME?</v>
      </c>
      <c r="BQ166" s="2" t="e">
        <f ca="1">_xll.BDH($C$153,"WORKING_CAPITAL_SEQ_GROWTH","FQ3 2016","FQ3 2016","Currency=INR","Period=FQ","BEST_FPERIOD_OVERRIDE=FQ","FILING_STATUS=OR","EQY_CONSOLIDATED=Y","Sort=A","Dates=H","DateFormat=P","Fill=—","Direction=H","UseDPDF=Y")</f>
        <v>#NAME?</v>
      </c>
      <c r="BR166" s="2" t="e">
        <f ca="1">_xll.BDH($C$153,"ACCOUNTS_PAYABLE_SEQ_GROWTH","FQ3 2016","FQ3 2016","Currency=INR","Period=FQ","BEST_FPERIOD_OVERRIDE=FQ","FILING_STATUS=OR","EQY_CONSOLIDATED=Y","Sort=A","Dates=H","DateFormat=P","Fill=—","Direction=H","UseDPDF=Y")</f>
        <v>#NAME?</v>
      </c>
      <c r="BS166" s="2" t="e">
        <f ca="1">_xll.BDH($C$153,"ST_DEBT_SEQUENTIAL_GROWTH","FQ3 2016","FQ3 2016","Currency=INR","Period=FQ","BEST_FPERIOD_OVERRIDE=FQ","FILING_STATUS=OR","EQY_CONSOLIDATED=Y","Sort=A","Dates=H","DateFormat=P","Fill=—","Direction=H","UseDPDF=Y")</f>
        <v>#NAME?</v>
      </c>
      <c r="BT166" s="2" t="e">
        <f ca="1">_xll.BDH($C$153,"TOTAL_DEBT_SEQUENTIAL_GROWTH","FQ3 2016","FQ3 2016","Currency=INR","Period=FQ","BEST_FPERIOD_OVERRIDE=FQ","FILING_STATUS=OR","EQY_CONSOLIDATED=Y","Sort=A","Dates=H","DateFormat=P","Fill=—","Direction=H","UseDPDF=Y")</f>
        <v>#NAME?</v>
      </c>
      <c r="BU166" s="2" t="e">
        <f ca="1">_xll.BDH($C$153,"TOTAL_EQUITY_SEQUENTIAL_GROWTH","FQ3 2016","FQ3 2016","Currency=INR","Period=FQ","BEST_FPERIOD_OVERRIDE=FQ","FILING_STATUS=OR","EQY_CONSOLIDATED=Y","Sort=A","Dates=H","DateFormat=P","Fill=—","Direction=H","UseDPDF=Y")</f>
        <v>#NAME?</v>
      </c>
      <c r="BV166" s="2" t="e">
        <f ca="1">_xll.BDH($C$153,"TOTAL_CAPITAL_SEQUENTIAL_GROWTH","FQ3 2016","FQ3 2016","Currency=INR","Period=FQ","BEST_FPERIOD_OVERRIDE=FQ","FILING_STATUS=OR","EQY_CONSOLIDATED=Y","Sort=A","Dates=H","DateFormat=P","Fill=—","Direction=H","UseDPDF=Y")</f>
        <v>#NAME?</v>
      </c>
      <c r="BW166" s="2" t="e">
        <f ca="1">_xll.BDH($C$153,"BPS_SEQUENTIAL_GROWTH","FQ3 2016","FQ3 2016","Currency=INR","Period=FQ","BEST_FPERIOD_OVERRIDE=FQ","FILING_STATUS=OR","EQY_CONSOLIDATED=Y","Sort=A","Dates=H","DateFormat=P","Fill=—","Direction=H","UseDPDF=Y")</f>
        <v>#NAME?</v>
      </c>
      <c r="BX166" s="2" t="e">
        <f ca="1">_xll.BDH($C$153,"CFO_SEQUENTIAL_GROWTH","FQ3 2016","FQ3 2016","Currency=INR","Period=FQ","BEST_FPERIOD_OVERRIDE=FQ","FILING_STATUS=OR","EQY_CONSOLIDATED=Y","Sort=A","Dates=H","DateFormat=P","Fill=—","Direction=H","UseDPDF=Y")</f>
        <v>#NAME?</v>
      </c>
      <c r="BY166" s="3" t="e">
        <f ca="1">_xll.BDH($C$153,"SHORT_AND_LONG_TERM_DEBT","FQ3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66" s="3" t="e">
        <f ca="1">_xll.BDH($C$153,"BS_ST_BORROW","FQ3 2016","FQ3 2016","Currency=INR","Period=FQ","BEST_FPERIOD_OVERRIDE=FQ","FILING_STATUS=OR","EQY_CONSOLIDATED=Y","SCALING_FORMAT=MLN","Sort=A","Dates=H","DateFormat=P","Fill=—","Direction=H","UseDPDF=Y")</f>
        <v>#NAME?</v>
      </c>
      <c r="CA166" s="3" t="e">
        <f ca="1">_xll.BDH($C$153,"BS_LT_BORROW","FQ3 2016","FQ3 2016","Currency=INR","Period=FQ","BEST_FPERIOD_OVERRIDE=FQ","FILING_STATUS=OR","EQY_CONSOLIDATED=Y","SCALING_FORMAT=MLN","Sort=A","Dates=H","DateFormat=P","Fill=—","Direction=H","UseDPDF=Y")</f>
        <v>#NAME?</v>
      </c>
      <c r="CB166" s="2" t="e">
        <f ca="1">_xll.BDH($C$153,"TOT_DEBT_TO_EBITDA","FQ3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66" s="2" t="e">
        <f ca="1">_xll.BDH($C$153,"NET_DEBT_TO_EBITDA","FQ3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66" s="2" t="e">
        <f ca="1">_xll.BDH($C$153,"TOTAL_DEBT_TO_EBIT","FQ3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66" s="2" t="e">
        <f ca="1">_xll.BDH($C$153,"NET_DEBT_TO_EBIT","FQ3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166" s="2" t="e">
        <f ca="1">_xll.BDH($C$153,"EBITDA_TO_INTEREST_EXPN","FQ3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66" s="2" t="e">
        <f ca="1">_xll.BDH($C$153,"COM_EQY_TO_TOT_ASSET","FQ3 2016","FQ3 2016","Currency=INR","Period=FQ","BEST_FPERIOD_OVERRIDE=FQ","FILING_STATUS=OR","EQY_CONSOLIDATED=Y","Sort=A","Dates=H","DateFormat=P","Fill=—","Direction=H","UseDPDF=Y")</f>
        <v>#NAME?</v>
      </c>
      <c r="CH166" s="2" t="e">
        <f ca="1">_xll.BDH($C$153,"LT_DEBT_TO_TOT_EQY","FQ3 2016","FQ3 2016","Currency=INR","Period=FQ","BEST_FPERIOD_OVERRIDE=FQ","FILING_STATUS=OR","EQY_CONSOLIDATED=Y","Sort=A","Dates=H","DateFormat=P","Fill=—","Direction=H","UseDPDF=Y")</f>
        <v>#NAME?</v>
      </c>
      <c r="CI166" s="2" t="e">
        <f ca="1">_xll.BDH($C$153,"LT_DEBT_TO_TOT_CAP","FQ3 2016","FQ3 2016","Currency=INR","Period=FQ","BEST_FPERIOD_OVERRIDE=FQ","FILING_STATUS=OR","EQY_CONSOLIDATED=Y","Sort=A","Dates=H","DateFormat=P","Fill=—","Direction=H","UseDPDF=Y")</f>
        <v>#NAME?</v>
      </c>
      <c r="CJ166" s="2" t="e">
        <f ca="1">_xll.BDH($C$153,"LT_DEBT_TO_TOT_ASSET","FQ3 2016","FQ3 2016","Currency=INR","Period=FQ","BEST_FPERIOD_OVERRIDE=FQ","FILING_STATUS=OR","EQY_CONSOLIDATED=Y","Sort=A","Dates=H","DateFormat=P","Fill=—","Direction=H","UseDPDF=Y")</f>
        <v>#NAME?</v>
      </c>
      <c r="CK166" s="2" t="e">
        <f ca="1">_xll.BDH($C$153,"TOT_DEBT_TO_TOT_EQY","FQ3 2016","FQ3 2016","Currency=INR","Period=FQ","BEST_FPERIOD_OVERRIDE=FQ","FILING_STATUS=OR","EQY_CONSOLIDATED=Y","Sort=A","Dates=H","DateFormat=P","Fill=—","Direction=H","UseDPDF=Y")</f>
        <v>#NAME?</v>
      </c>
      <c r="CL166" s="2" t="e">
        <f ca="1">_xll.BDH($C$153,"TOT_DEBT_TO_TOT_CAP","FQ3 2016","FQ3 2016","Currency=INR","Period=FQ","BEST_FPERIOD_OVERRIDE=FQ","FILING_STATUS=OR","EQY_CONSOLIDATED=Y","Sort=A","Dates=H","DateFormat=P","Fill=—","Direction=H","UseDPDF=Y")</f>
        <v>#NAME?</v>
      </c>
      <c r="CM166" s="2" t="e">
        <f ca="1">_xll.BDH($C$153,"TOT_DEBT_TO_TOT_ASSET","FQ3 2016","FQ3 2016","Currency=INR","Period=FQ","BEST_FPERIOD_OVERRIDE=FQ","FILING_STATUS=OR","EQY_CONSOLIDATED=Y","Sort=A","Dates=H","DateFormat=P","Fill=—","Direction=H","UseDPDF=Y")</f>
        <v>#NAME?</v>
      </c>
      <c r="CN166" s="2" t="e">
        <f ca="1">_xll.BDH($C$153,"NET_DEBT_TO_SHRHLDR_EQTY","FQ3 2016","FQ3 2016","Currency=INR","Period=FQ","BEST_FPERIOD_OVERRIDE=FQ","FILING_STATUS=OR","EQY_CONSOLIDATED=Y","Sort=A","Dates=H","DateFormat=P","Fill=—","Direction=H","UseDPDF=Y")</f>
        <v>#NAME?</v>
      </c>
      <c r="CO166" s="2" t="e">
        <f ca="1">_xll.BDH($C$153,"NET_DEBT_%_CAPITAL","FQ3 2016","FQ3 2016","Currency=INR","Period=FQ","BEST_FPERIOD_OVERRIDE=FQ","FILING_STATUS=OR","EQY_CONSOLIDATED=Y","Sort=A","Dates=H","DateFormat=P","Fill=—","Direction=H","UseDPDF=Y")</f>
        <v>#NAME?</v>
      </c>
      <c r="CP166" s="3" t="e">
        <f ca="1">_xll.BDH($C$153,"EBITDA","FQ3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66" s="3" t="e">
        <f ca="1">_xll.BDH($C$153,"EBITDA_AFTER_CAPEX","FQ3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66" s="3" t="e">
        <f ca="1">_xll.BDH($C$153,"IS_OPER_INC","FQ3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66" s="2" t="e">
        <f ca="1">_xll.BDH($C$153,"CASH_RATIO","FQ3 2016","FQ3 2016","Currency=INR","Period=FQ","BEST_FPERIOD_OVERRIDE=FQ","FILING_STATUS=OR","EQY_CONSOLIDATED=Y","Sort=A","Dates=H","DateFormat=P","Fill=—","Direction=H","UseDPDF=Y")</f>
        <v>#NAME?</v>
      </c>
      <c r="CT166" s="2" t="e">
        <f ca="1">_xll.BDH($C$153,"CUR_RATIO","FQ3 2016","FQ3 2016","Currency=INR","Period=FQ","BEST_FPERIOD_OVERRIDE=FQ","FILING_STATUS=OR","EQY_CONSOLIDATED=Y","Sort=A","Dates=H","DateFormat=P","Fill=—","Direction=H","UseDPDF=Y")</f>
        <v>#NAME?</v>
      </c>
      <c r="CU166" s="2" t="e">
        <f ca="1">_xll.BDH($C$153,"QUICK_RATIO","FQ3 2016","FQ3 2016","Currency=INR","Period=FQ","BEST_FPERIOD_OVERRIDE=FQ","FILING_STATUS=OR","EQY_CONSOLIDATED=Y","Sort=A","Dates=H","DateFormat=P","Fill=—","Direction=H","UseDPDF=Y")</f>
        <v>#NAME?</v>
      </c>
      <c r="CV166" s="2" t="e">
        <f ca="1">_xll.BDH($C$153,"ALTMAN_Z_SCORE","FQ3 2016","FQ3 2016","Currency=INR","Period=FQ","BEST_FPERIOD_OVERRIDE=FQ","FILING_STATUS=OR","EQY_CONSOLIDATED=Y","Sort=A","Dates=H","DateFormat=P","Fill=—","Direction=H","UseDPDF=Y")</f>
        <v>#NAME?</v>
      </c>
      <c r="CW166" s="4" t="e">
        <f ca="1">_xll.BDH($C$153,"ACCT_RCV_TURN","FQ3 2016","FQ3 2016","Currency=INR","Period=FQ","BEST_FPERIOD_OVERRIDE=FQ","FILING_STATUS=OR","EQY_CONSOLIDATED=Y","FA_ADJUSTED=GAAP","Sort=A","Dates=H","DateFormat=P","Fill=—","Direction=H","UseDPDF=Y")</f>
        <v>#NAME?</v>
      </c>
      <c r="CX166" s="2" t="e">
        <f ca="1">_xll.BDH($C$153,"ACCT_RCV_DAYS","FQ3 2016","FQ3 2016","Currency=INR","Period=FQ","BEST_FPERIOD_OVERRIDE=FQ","FILING_STATUS=OR","EQY_CONSOLIDATED=Y","FA_ADJUSTED=GAAP","Sort=A","Dates=H","DateFormat=P","Fill=—","Direction=H","UseDPDF=Y")</f>
        <v>#NAME?</v>
      </c>
      <c r="CY166" s="4" t="e">
        <f ca="1">_xll.BDH($C$153,"INVENT_TURN","FQ3 2016","FQ3 2016","Currency=INR","Period=FQ","BEST_FPERIOD_OVERRIDE=FQ","FILING_STATUS=OR","EQY_CONSOLIDATED=Y","FA_ADJUSTED=GAAP","Sort=A","Dates=H","DateFormat=P","Fill=—","Direction=H","UseDPDF=Y")</f>
        <v>#NAME?</v>
      </c>
      <c r="CZ166" s="2" t="e">
        <f ca="1">_xll.BDH($C$153,"INVENT_DAYS","FQ3 2016","FQ3 2016","Currency=INR","Period=FQ","BEST_FPERIOD_OVERRIDE=FQ","FILING_STATUS=OR","EQY_CONSOLIDATED=Y","FA_ADJUSTED=GAAP","Sort=A","Dates=H","DateFormat=P","Fill=—","Direction=H","UseDPDF=Y")</f>
        <v>#NAME?</v>
      </c>
      <c r="DA166" s="4" t="e">
        <f ca="1">_xll.BDH($C$153,"ACCOUNTS_PAYABLE_TURNOVER","FQ3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66" s="2" t="e">
        <f ca="1">_xll.BDH($C$153,"ACCOUNTS_PAYABLE_TURNOVER_DAYS","FQ3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66" s="4" t="e">
        <f ca="1">_xll.BDH($C$153,"CASH_CONVERSION_CYCLE","FQ3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66" s="4" t="e">
        <f ca="1">_xll.BDH($C$153,"INV_TO_CASH_DAYS","FQ3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166" s="5" t="e">
        <f ca="1">_xll.BDH($C$153,"BS_INVENTORIES","FQ3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166" s="3" t="e">
        <f ca="1">_xll.BDH($C$153,"INVTRY_RAW_MATERIALS","FQ3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66" s="3" t="e">
        <f ca="1">_xll.BDH($C$153,"INVTRY_IN_PROGRESS","FQ3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66" s="3" t="e">
        <f ca="1">_xll.BDH($C$153,"INVTRY_FINISHED_GOODS","FQ3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66" s="3" t="e">
        <f ca="1">_xll.BDH($C$153,"BS_OTHER_INV","FQ3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67" spans="1:113" x14ac:dyDescent="0.3">
      <c r="A167" s="6"/>
      <c r="B167" s="6"/>
      <c r="C167" s="6"/>
      <c r="D167" s="6"/>
      <c r="E167" t="s">
        <v>81</v>
      </c>
      <c r="F167" t="e">
        <f ca="1">_xll.BDH($C$153,"RETURN_COM_EQY","FQ4 2016","FQ4 2016","Currency=INR","Period=FQ","BEST_FPERIOD_OVERRIDE=FQ","FILING_STATUS=OR","EQY_CONSOLIDATED=Y","FA_ADJUSTED=GAAP","Sort=A","Dates=H","DateFormat=P","Fill=—","Direction=H","UseDPDF=Y")</f>
        <v>#NAME?</v>
      </c>
      <c r="G167" t="e">
        <f ca="1">_xll.BDH($C$153,"RETURN_ON_ASSET","FQ4 2016","FQ4 2016","Currency=INR","Period=FQ","BEST_FPERIOD_OVERRIDE=FQ","FILING_STATUS=OR","EQY_CONSOLIDATED=Y","FA_ADJUSTED=GAAP","Sort=A","Dates=H","DateFormat=P","Fill=—","Direction=H","UseDPDF=Y")</f>
        <v>#NAME?</v>
      </c>
      <c r="H167" t="e">
        <f ca="1">_xll.BDH($C$153,"RETURN_ON_CAP","FQ4 2016","FQ4 2016","Currency=INR","Period=FQ","BEST_FPERIOD_OVERRIDE=FQ","FILING_STATUS=OR","EQY_CONSOLIDATED=Y","FA_ADJUSTED=GAAP","Sort=A","Dates=H","DateFormat=P","Fill=—","Direction=H","UseDPDF=Y")</f>
        <v>#NAME?</v>
      </c>
      <c r="I167" t="e">
        <f ca="1">_xll.BDH($C$153,"RETURN_ON_INV_CAPITAL","FQ4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67" t="e">
        <f ca="1">_xll.BDH($C$153,"EBITDA_TO_REVENUE","FQ4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167" t="e">
        <f ca="1">_xll.BDH($C$153,"OPER_MARGIN","FQ4 2016","FQ4 2016","Currency=INR","Period=FQ","BEST_FPERIOD_OVERRIDE=FQ","FILING_STATUS=OR","EQY_CONSOLIDATED=Y","FA_ADJUSTED=GAAP","Sort=A","Dates=H","DateFormat=P","Fill=—","Direction=H","UseDPDF=Y")</f>
        <v>#NAME?</v>
      </c>
      <c r="L167" t="e">
        <f ca="1">_xll.BDH($C$153,"INCREMENTAL_OPERATING_MARGIN","FQ4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67" t="e">
        <f ca="1">_xll.BDH($C$153,"PRETAX_INC_TO_NET_SALES","FQ4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67" t="e">
        <f ca="1">_xll.BDH($C$153,"INC_BEF_XO_ITEMS_TO_NET_SALES","FQ4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67" t="e">
        <f ca="1">_xll.BDH($C$153,"PROF_MARGIN","FQ4 2016","FQ4 2016","Currency=INR","Period=FQ","BEST_FPERIOD_OVERRIDE=FQ","FILING_STATUS=OR","EQY_CONSOLIDATED=Y","FA_ADJUSTED=GAAP","Sort=A","Dates=H","DateFormat=P","Fill=—","Direction=H","UseDPDF=Y")</f>
        <v>#NAME?</v>
      </c>
      <c r="P167" t="e">
        <f ca="1">_xll.BDH($C$153,"NET_INCOME_TO_COMMON_MARGIN","FQ4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67" t="e">
        <f ca="1">_xll.BDH($C$153,"EFF_TAX_RATE","FQ4 2016","FQ4 2016","Currency=INR","Period=FQ","BEST_FPERIOD_OVERRIDE=FQ","FILING_STATUS=OR","EQY_CONSOLIDATED=Y","FA_ADJUSTED=GAAP","Sort=A","Dates=H","DateFormat=P","Fill=—","Direction=H","UseDPDF=Y")</f>
        <v>#NAME?</v>
      </c>
      <c r="R167" t="e">
        <f ca="1">_xll.BDH($C$153,"DVD_PAYOUT_RATIO","FQ4 2016","FQ4 2016","Currency=INR","Period=FQ","BEST_FPERIOD_OVERRIDE=FQ","FILING_STATUS=OR","EQY_CONSOLIDATED=Y","FA_ADJUSTED=GAAP","Sort=A","Dates=H","DateFormat=P","Fill=—","Direction=H","UseDPDF=Y")</f>
        <v>#NAME?</v>
      </c>
      <c r="S167" t="e">
        <f ca="1">_xll.BDH($C$153,"SUSTAIN_GROWTH_RT","FQ4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167" s="2" t="e">
        <f ca="1">_xll.BDH($C$153,"SALES_GROWTH","FQ4 2016","FQ4 2016","Currency=INR","Period=FQ","BEST_FPERIOD_OVERRIDE=FQ","FILING_STATUS=OR","EQY_CONSOLIDATED=Y","FA_ADJUSTED=GAAP","Sort=A","Dates=H","DateFormat=P","Fill=—","Direction=H","UseDPDF=Y")</f>
        <v>#NAME?</v>
      </c>
      <c r="U167" s="2" t="e">
        <f ca="1">_xll.BDH($C$153,"EBITDA_GROWTH","FQ4 2016","FQ4 2016","Currency=INR","Period=FQ","BEST_FPERIOD_OVERRIDE=FQ","FILING_STATUS=OR","EQY_CONSOLIDATED=Y","FA_ADJUSTED=GAAP","Sort=A","Dates=H","DateFormat=P","Fill=—","Direction=H","UseDPDF=Y")</f>
        <v>#NAME?</v>
      </c>
      <c r="V167" s="2" t="e">
        <f ca="1">_xll.BDH($C$153,"OPER_INC_GROWTH","FQ4 2016","FQ4 2016","Currency=INR","Period=FQ","BEST_FPERIOD_OVERRIDE=FQ","FILING_STATUS=OR","EQY_CONSOLIDATED=Y","FA_ADJUSTED=GAAP","Sort=A","Dates=H","DateFormat=P","Fill=—","Direction=H","UseDPDF=Y")</f>
        <v>#NAME?</v>
      </c>
      <c r="W167" s="2" t="e">
        <f ca="1">_xll.BDH($C$153,"EARN_FOR_COM_GROWTH","FQ4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67" s="2" t="e">
        <f ca="1">_xll.BDH($C$153,"DILUTED_EPS_AFT_XO_ITEMS_GROWTH","FQ4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67" s="2" t="e">
        <f ca="1">_xll.BDH($C$153,"DIVIDEND_PER_SHARE_1_YEAR_GROWTH","FQ4 2016","FQ4 2016","Currency=INR","Period=FQ","BEST_FPERIOD_OVERRIDE=FQ","FILING_STATUS=OR","EQY_CONSOLIDATED=Y","Sort=A","Dates=H","DateFormat=P","Fill=—","Direction=H","UseDPDF=Y")</f>
        <v>#NAME?</v>
      </c>
      <c r="Z167" s="2" t="e">
        <f ca="1">_xll.BDH($C$153,"ACCOUNTS_RECEIVABLE_GROWTH","FQ4 2016","FQ4 2016","Currency=INR","Period=FQ","BEST_FPERIOD_OVERRIDE=FQ","FILING_STATUS=OR","EQY_CONSOLIDATED=Y","Sort=A","Dates=H","DateFormat=P","Fill=—","Direction=H","UseDPDF=Y")</f>
        <v>#NAME?</v>
      </c>
      <c r="AA167" s="2" t="e">
        <f ca="1">_xll.BDH($C$153,"INVENTORY_GROWTH","FQ4 2016","FQ4 2016","Currency=INR","Period=FQ","BEST_FPERIOD_OVERRIDE=FQ","FILING_STATUS=OR","EQY_CONSOLIDATED=Y","Sort=A","Dates=H","DateFormat=P","Fill=—","Direction=H","UseDPDF=Y")</f>
        <v>#NAME?</v>
      </c>
      <c r="AB167" s="2" t="e">
        <f ca="1">_xll.BDH($C$153,"NET_FIXED_ASSETS_1_YEAR_GROWTH","FQ4 2016","FQ4 2016","Currency=INR","Period=FQ","BEST_FPERIOD_OVERRIDE=FQ","FILING_STATUS=OR","EQY_CONSOLIDATED=Y","Sort=A","Dates=H","DateFormat=P","Fill=—","Direction=H","UseDPDF=Y")</f>
        <v>#NAME?</v>
      </c>
      <c r="AC167" s="2" t="e">
        <f ca="1">_xll.BDH($C$153,"ASSET_GROWTH","FQ4 2016","FQ4 2016","Currency=INR","Period=FQ","BEST_FPERIOD_OVERRIDE=FQ","FILING_STATUS=OR","EQY_CONSOLIDATED=Y","Sort=A","Dates=H","DateFormat=P","Fill=—","Direction=H","UseDPDF=Y")</f>
        <v>#NAME?</v>
      </c>
      <c r="AD167" s="2" t="e">
        <f ca="1">_xll.BDH($C$153,"MODIFIED_WORK_CAP_GROWTH","FQ4 2016","FQ4 2016","Currency=INR","Period=FQ","BEST_FPERIOD_OVERRIDE=FQ","FILING_STATUS=OR","EQY_CONSOLIDATED=Y","Sort=A","Dates=H","DateFormat=P","Fill=—","Direction=H","UseDPDF=Y")</f>
        <v>#NAME?</v>
      </c>
      <c r="AE167" s="2" t="e">
        <f ca="1">_xll.BDH($C$153,"WORK_CAP_GROWTH","FQ4 2016","FQ4 2016","Currency=INR","Period=FQ","BEST_FPERIOD_OVERRIDE=FQ","FILING_STATUS=OR","EQY_CONSOLIDATED=Y","Sort=A","Dates=H","DateFormat=P","Fill=—","Direction=H","UseDPDF=Y")</f>
        <v>#NAME?</v>
      </c>
      <c r="AF167" s="2" t="e">
        <f ca="1">_xll.BDH($C$153,"ACCOUNTS_PAYABLE_GROWTH_1YR","FQ4 2016","FQ4 2016","Currency=INR","Period=FQ","BEST_FPERIOD_OVERRIDE=FQ","FILING_STATUS=OR","EQY_CONSOLIDATED=Y","Sort=A","Dates=H","DateFormat=P","Fill=—","Direction=H","UseDPDF=Y")</f>
        <v>#NAME?</v>
      </c>
      <c r="AG167" s="2" t="e">
        <f ca="1">_xll.BDH($C$153,"SHORT_TERM_DEBT_1_YEAR_GROWTH","FQ4 2016","FQ4 2016","Currency=INR","Period=FQ","BEST_FPERIOD_OVERRIDE=FQ","FILING_STATUS=OR","EQY_CONSOLIDATED=Y","Sort=A","Dates=H","DateFormat=P","Fill=—","Direction=H","UseDPDF=Y")</f>
        <v>#NAME?</v>
      </c>
      <c r="AH167" s="2" t="e">
        <f ca="1">_xll.BDH($C$153,"TOTAL_DEBT_1_YEAR_GROWTH","FQ4 2016","FQ4 2016","Currency=INR","Period=FQ","BEST_FPERIOD_OVERRIDE=FQ","FILING_STATUS=OR","EQY_CONSOLIDATED=Y","Sort=A","Dates=H","DateFormat=P","Fill=—","Direction=H","UseDPDF=Y")</f>
        <v>#NAME?</v>
      </c>
      <c r="AI167" s="2" t="e">
        <f ca="1">_xll.BDH($C$153,"TOTAL_EQUITY_1_YEAR_GROWTH","FQ4 2016","FQ4 2016","Currency=INR","Period=FQ","BEST_FPERIOD_OVERRIDE=FQ","FILING_STATUS=OR","EQY_CONSOLIDATED=Y","Sort=A","Dates=H","DateFormat=P","Fill=—","Direction=H","UseDPDF=Y")</f>
        <v>#NAME?</v>
      </c>
      <c r="AJ167" s="2" t="e">
        <f ca="1">_xll.BDH($C$153,"GROWTH_IN_CAP","FQ4 2016","FQ4 2016","Currency=INR","Period=FQ","BEST_FPERIOD_OVERRIDE=FQ","FILING_STATUS=OR","EQY_CONSOLIDATED=Y","Sort=A","Dates=H","DateFormat=P","Fill=—","Direction=H","UseDPDF=Y")</f>
        <v>#NAME?</v>
      </c>
      <c r="AK167" s="2" t="e">
        <f ca="1">_xll.BDH($C$153,"BVPS_GROWTH","FQ4 2016","FQ4 2016","Currency=INR","Period=FQ","BEST_FPERIOD_OVERRIDE=FQ","FILING_STATUS=OR","EQY_CONSOLIDATED=Y","Sort=A","Dates=H","DateFormat=P","Fill=—","Direction=H","UseDPDF=Y")</f>
        <v>#NAME?</v>
      </c>
      <c r="AL167" s="2" t="e">
        <f ca="1">_xll.BDH($C$153,"CASH_FLOW_GROWTH","FQ4 2016","FQ4 2016","Currency=INR","Period=FQ","BEST_FPERIOD_OVERRIDE=FQ","FILING_STATUS=OR","EQY_CONSOLIDATED=Y","Sort=A","Dates=H","DateFormat=P","Fill=—","Direction=H","UseDPDF=Y")</f>
        <v>#NAME?</v>
      </c>
      <c r="AM167" s="2" t="e">
        <f ca="1">_xll.BDH($C$153,"GEO_GROW_NET_SALES","FQ4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67" s="2" t="e">
        <f ca="1">_xll.BDH($C$153,"GEO_GROW_EBITDA","FQ4 2016","FQ4 2016","Currency=INR","Period=FQ","BEST_FPERIOD_OVERRIDE=FQ","FILING_STATUS=OR","EQY_CONSOLIDATED=Y","FA_ADJUSTED=GAAP","Sort=A","Dates=H","DateFormat=P","Fill=—","Direction=H","UseDPDF=Y")</f>
        <v>#NAME?</v>
      </c>
      <c r="AO167" s="2" t="e">
        <f ca="1">_xll.BDH($C$153,"GEO_GROW_OPER_INC","FQ4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67" s="2" t="e">
        <f ca="1">_xll.BDH($C$153,"NET_INCOME_TO_COMMON_5_YR_GROWTH","FQ4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67" s="2" t="e">
        <f ca="1">_xll.BDH($C$153,"5Y_GEO_GROWTH_DILUTED_EPS","FQ4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67" s="2" t="e">
        <f ca="1">_xll.BDH($C$153,"GEO_GROW_DVD_PER_SH","FQ4 2016","FQ4 2016","Currency=INR","Period=FQ","BEST_FPERIOD_OVERRIDE=FQ","FILING_STATUS=OR","EQY_CONSOLIDATED=Y","Sort=A","Dates=H","DateFormat=P","Fill=—","Direction=H","UseDPDF=Y")</f>
        <v>#NAME?</v>
      </c>
      <c r="AS167" s="2" t="e">
        <f ca="1">_xll.BDH($C$153,"ACCOUNTS_RECEIVABLE_5_YR_GROWTH","FQ4 2016","FQ4 2016","Currency=INR","Period=FQ","BEST_FPERIOD_OVERRIDE=FQ","FILING_STATUS=OR","EQY_CONSOLIDATED=Y","Sort=A","Dates=H","DateFormat=P","Fill=—","Direction=H","UseDPDF=Y")</f>
        <v>#NAME?</v>
      </c>
      <c r="AT167" s="2" t="e">
        <f ca="1">_xll.BDH($C$153,"INVENTORY_5_YEAR_GROWTH","FQ4 2016","FQ4 2016","Currency=INR","Period=FQ","BEST_FPERIOD_OVERRIDE=FQ","FILING_STATUS=OR","EQY_CONSOLIDATED=Y","Sort=A","Dates=H","DateFormat=P","Fill=—","Direction=H","UseDPDF=Y")</f>
        <v>#NAME?</v>
      </c>
      <c r="AU167" s="2" t="e">
        <f ca="1">_xll.BDH($C$153,"NET_FIXED_ASSETS_5_YEAR_GROWTH","FQ4 2016","FQ4 2016","Currency=INR","Period=FQ","BEST_FPERIOD_OVERRIDE=FQ","FILING_STATUS=OR","EQY_CONSOLIDATED=Y","Sort=A","Dates=H","DateFormat=P","Fill=—","Direction=H","UseDPDF=Y")</f>
        <v>#NAME?</v>
      </c>
      <c r="AV167" s="2" t="e">
        <f ca="1">_xll.BDH($C$153,"GEO_GROW_TOT_ASSET","FQ4 2016","FQ4 2016","Currency=INR","Period=FQ","BEST_FPERIOD_OVERRIDE=FQ","FILING_STATUS=OR","EQY_CONSOLIDATED=Y","Sort=A","Dates=H","DateFormat=P","Fill=—","Direction=H","UseDPDF=Y")</f>
        <v>#NAME?</v>
      </c>
      <c r="AW167" s="2" t="e">
        <f ca="1">_xll.BDH($C$153,"MODIFIED_WORKING_CPTL_5YR_GRWTH","FQ4 2016","FQ4 2016","Currency=INR","Period=FQ","BEST_FPERIOD_OVERRIDE=FQ","FILING_STATUS=OR","EQY_CONSOLIDATED=Y","Sort=A","Dates=H","DateFormat=P","Fill=—","Direction=H","UseDPDF=Y")</f>
        <v>#NAME?</v>
      </c>
      <c r="AX167" s="2" t="e">
        <f ca="1">_xll.BDH($C$153,"WORKING_CAPITAL_5_YEAR_GROWTH","FQ4 2016","FQ4 2016","Currency=INR","Period=FQ","BEST_FPERIOD_OVERRIDE=FQ","FILING_STATUS=OR","EQY_CONSOLIDATED=Y","Sort=A","Dates=H","DateFormat=P","Fill=—","Direction=H","UseDPDF=Y")</f>
        <v>#NAME?</v>
      </c>
      <c r="AY167" s="2" t="e">
        <f ca="1">_xll.BDH($C$153,"ACCOUNTS_PAYABLE_5_YEAR_GROWTH","FQ4 2016","FQ4 2016","Currency=INR","Period=FQ","BEST_FPERIOD_OVERRIDE=FQ","FILING_STATUS=OR","EQY_CONSOLIDATED=Y","Sort=A","Dates=H","DateFormat=P","Fill=—","Direction=H","UseDPDF=Y")</f>
        <v>#NAME?</v>
      </c>
      <c r="AZ167" s="2" t="e">
        <f ca="1">_xll.BDH($C$153,"SHORT_TERM_DEBT_5_YEAR_GROWTH","FQ4 2016","FQ4 2016","Currency=INR","Period=FQ","BEST_FPERIOD_OVERRIDE=FQ","FILING_STATUS=OR","EQY_CONSOLIDATED=Y","Sort=A","Dates=H","DateFormat=P","Fill=—","Direction=H","UseDPDF=Y")</f>
        <v>#NAME?</v>
      </c>
      <c r="BA167" s="2" t="e">
        <f ca="1">_xll.BDH($C$153,"TOTAL_DEBT_5_YEAR_GROWTH","FQ4 2016","FQ4 2016","Currency=INR","Period=FQ","BEST_FPERIOD_OVERRIDE=FQ","FILING_STATUS=OR","EQY_CONSOLIDATED=Y","Sort=A","Dates=H","DateFormat=P","Fill=—","Direction=H","UseDPDF=Y")</f>
        <v>#NAME?</v>
      </c>
      <c r="BB167" s="2" t="e">
        <f ca="1">_xll.BDH($C$153,"GEO_GROW_TOT_SHRHLDR_EQY","FQ4 2016","FQ4 2016","Currency=INR","Period=FQ","BEST_FPERIOD_OVERRIDE=FQ","FILING_STATUS=OR","EQY_CONSOLIDATED=Y","Sort=A","Dates=H","DateFormat=P","Fill=—","Direction=H","UseDPDF=Y")</f>
        <v>#NAME?</v>
      </c>
      <c r="BC167" s="2" t="e">
        <f ca="1">_xll.BDH($C$153,"TOTAL_CAPITAL_5_YEAR_GROWTH","FQ4 2016","FQ4 2016","Currency=INR","Period=FQ","BEST_FPERIOD_OVERRIDE=FQ","FILING_STATUS=OR","EQY_CONSOLIDATED=Y","Sort=A","Dates=H","DateFormat=P","Fill=—","Direction=H","UseDPDF=Y")</f>
        <v>#NAME?</v>
      </c>
      <c r="BD167" s="2" t="e">
        <f ca="1">_xll.BDH($C$153,"GEO_GROW_BOOK_VAL","FQ4 2016","FQ4 2016","Currency=INR","Period=FQ","BEST_FPERIOD_OVERRIDE=FQ","FILING_STATUS=OR","EQY_CONSOLIDATED=Y","Sort=A","Dates=H","DateFormat=P","Fill=—","Direction=H","UseDPDF=Y")</f>
        <v>#NAME?</v>
      </c>
      <c r="BE167" s="2" t="e">
        <f ca="1">_xll.BDH($C$153,"GEO_GROW_CASH_OPER_ACT","FQ4 2016","FQ4 2016","Currency=INR","Period=FQ","BEST_FPERIOD_OVERRIDE=FQ","FILING_STATUS=OR","EQY_CONSOLIDATED=Y","Sort=A","Dates=H","DateFormat=P","Fill=—","Direction=H","UseDPDF=Y")</f>
        <v>#NAME?</v>
      </c>
      <c r="BF167" s="2" t="e">
        <f ca="1">_xll.BDH($C$153,"REVENUE_SEQUENTIAL_GROWTH","FQ4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67" s="2" t="e">
        <f ca="1">_xll.BDH($C$153,"EBITDA_SEQUENTIAL_GROWTH","FQ4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67" s="2" t="e">
        <f ca="1">_xll.BDH($C$153,"OPERATING_INCOME_SEQ_GROWTH","FQ4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67" s="2" t="e">
        <f ca="1">_xll.BDH($C$153,"NET_INCOME_TO_COMMON_SEQ_GROWTH","FQ4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67" s="2" t="e">
        <f ca="1">_xll.BDH($C$153,"EPS_DILUTED_SEQUENTIAL_GROWTH","FQ4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67" s="2" t="e">
        <f ca="1">_xll.BDH($C$153,"DPS_SEQUENTIAL_GROWTH","FQ4 2016","FQ4 2016","Currency=INR","Period=FQ","BEST_FPERIOD_OVERRIDE=FQ","FILING_STATUS=OR","EQY_CONSOLIDATED=Y","Sort=A","Dates=H","DateFormat=P","Fill=—","Direction=H","UseDPDF=Y")</f>
        <v>#NAME?</v>
      </c>
      <c r="BL167" s="2" t="e">
        <f ca="1">_xll.BDH($C$153,"ACCOUNTS_RECEIVABLE_SEQ_GROWTH","FQ4 2016","FQ4 2016","Currency=INR","Period=FQ","BEST_FPERIOD_OVERRIDE=FQ","FILING_STATUS=OR","EQY_CONSOLIDATED=Y","Sort=A","Dates=H","DateFormat=P","Fill=—","Direction=H","UseDPDF=Y")</f>
        <v>#NAME?</v>
      </c>
      <c r="BM167" s="2" t="e">
        <f ca="1">_xll.BDH($C$153,"INVENTORY_SEQUENTIAL_GROWTH","FQ4 2016","FQ4 2016","Currency=INR","Period=FQ","BEST_FPERIOD_OVERRIDE=FQ","FILING_STATUS=OR","EQY_CONSOLIDATED=Y","Sort=A","Dates=H","DateFormat=P","Fill=—","Direction=H","UseDPDF=Y")</f>
        <v>#NAME?</v>
      </c>
      <c r="BN167" s="2" t="e">
        <f ca="1">_xll.BDH($C$153,"FIXED_ASSETS_SEQUENTIAL_GROWTH","FQ4 2016","FQ4 2016","Currency=INR","Period=FQ","BEST_FPERIOD_OVERRIDE=FQ","FILING_STATUS=OR","EQY_CONSOLIDATED=Y","Sort=A","Dates=H","DateFormat=P","Fill=—","Direction=H","UseDPDF=Y")</f>
        <v>#NAME?</v>
      </c>
      <c r="BO167" s="2" t="e">
        <f ca="1">_xll.BDH($C$153,"TOTAL_ASSETS_SEQUENTIAL_GROWTH","FQ4 2016","FQ4 2016","Currency=INR","Period=FQ","BEST_FPERIOD_OVERRIDE=FQ","FILING_STATUS=OR","EQY_CONSOLIDATED=Y","Sort=A","Dates=H","DateFormat=P","Fill=—","Direction=H","UseDPDF=Y")</f>
        <v>#NAME?</v>
      </c>
      <c r="BP167" s="2" t="e">
        <f ca="1">_xll.BDH($C$153,"MODIFIED_WORKING_CPTL_SEQ_GRWTH","FQ4 2016","FQ4 2016","Currency=INR","Period=FQ","BEST_FPERIOD_OVERRIDE=FQ","FILING_STATUS=OR","EQY_CONSOLIDATED=Y","Sort=A","Dates=H","DateFormat=P","Fill=—","Direction=H","UseDPDF=Y")</f>
        <v>#NAME?</v>
      </c>
      <c r="BQ167" s="2" t="e">
        <f ca="1">_xll.BDH($C$153,"WORKING_CAPITAL_SEQ_GROWTH","FQ4 2016","FQ4 2016","Currency=INR","Period=FQ","BEST_FPERIOD_OVERRIDE=FQ","FILING_STATUS=OR","EQY_CONSOLIDATED=Y","Sort=A","Dates=H","DateFormat=P","Fill=—","Direction=H","UseDPDF=Y")</f>
        <v>#NAME?</v>
      </c>
      <c r="BR167" s="2" t="e">
        <f ca="1">_xll.BDH($C$153,"ACCOUNTS_PAYABLE_SEQ_GROWTH","FQ4 2016","FQ4 2016","Currency=INR","Period=FQ","BEST_FPERIOD_OVERRIDE=FQ","FILING_STATUS=OR","EQY_CONSOLIDATED=Y","Sort=A","Dates=H","DateFormat=P","Fill=—","Direction=H","UseDPDF=Y")</f>
        <v>#NAME?</v>
      </c>
      <c r="BS167" s="2" t="e">
        <f ca="1">_xll.BDH($C$153,"ST_DEBT_SEQUENTIAL_GROWTH","FQ4 2016","FQ4 2016","Currency=INR","Period=FQ","BEST_FPERIOD_OVERRIDE=FQ","FILING_STATUS=OR","EQY_CONSOLIDATED=Y","Sort=A","Dates=H","DateFormat=P","Fill=—","Direction=H","UseDPDF=Y")</f>
        <v>#NAME?</v>
      </c>
      <c r="BT167" s="2" t="e">
        <f ca="1">_xll.BDH($C$153,"TOTAL_DEBT_SEQUENTIAL_GROWTH","FQ4 2016","FQ4 2016","Currency=INR","Period=FQ","BEST_FPERIOD_OVERRIDE=FQ","FILING_STATUS=OR","EQY_CONSOLIDATED=Y","Sort=A","Dates=H","DateFormat=P","Fill=—","Direction=H","UseDPDF=Y")</f>
        <v>#NAME?</v>
      </c>
      <c r="BU167" s="2" t="e">
        <f ca="1">_xll.BDH($C$153,"TOTAL_EQUITY_SEQUENTIAL_GROWTH","FQ4 2016","FQ4 2016","Currency=INR","Period=FQ","BEST_FPERIOD_OVERRIDE=FQ","FILING_STATUS=OR","EQY_CONSOLIDATED=Y","Sort=A","Dates=H","DateFormat=P","Fill=—","Direction=H","UseDPDF=Y")</f>
        <v>#NAME?</v>
      </c>
      <c r="BV167" s="2" t="e">
        <f ca="1">_xll.BDH($C$153,"TOTAL_CAPITAL_SEQUENTIAL_GROWTH","FQ4 2016","FQ4 2016","Currency=INR","Period=FQ","BEST_FPERIOD_OVERRIDE=FQ","FILING_STATUS=OR","EQY_CONSOLIDATED=Y","Sort=A","Dates=H","DateFormat=P","Fill=—","Direction=H","UseDPDF=Y")</f>
        <v>#NAME?</v>
      </c>
      <c r="BW167" s="2" t="e">
        <f ca="1">_xll.BDH($C$153,"BPS_SEQUENTIAL_GROWTH","FQ4 2016","FQ4 2016","Currency=INR","Period=FQ","BEST_FPERIOD_OVERRIDE=FQ","FILING_STATUS=OR","EQY_CONSOLIDATED=Y","Sort=A","Dates=H","DateFormat=P","Fill=—","Direction=H","UseDPDF=Y")</f>
        <v>#NAME?</v>
      </c>
      <c r="BX167" s="2" t="e">
        <f ca="1">_xll.BDH($C$153,"CFO_SEQUENTIAL_GROWTH","FQ4 2016","FQ4 2016","Currency=INR","Period=FQ","BEST_FPERIOD_OVERRIDE=FQ","FILING_STATUS=OR","EQY_CONSOLIDATED=Y","Sort=A","Dates=H","DateFormat=P","Fill=—","Direction=H","UseDPDF=Y")</f>
        <v>#NAME?</v>
      </c>
      <c r="BY167" s="3" t="e">
        <f ca="1">_xll.BDH($C$153,"SHORT_AND_LONG_TERM_DEBT","FQ4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67" s="3" t="e">
        <f ca="1">_xll.BDH($C$153,"BS_ST_BORROW","FQ4 2016","FQ4 2016","Currency=INR","Period=FQ","BEST_FPERIOD_OVERRIDE=FQ","FILING_STATUS=OR","EQY_CONSOLIDATED=Y","SCALING_FORMAT=MLN","Sort=A","Dates=H","DateFormat=P","Fill=—","Direction=H","UseDPDF=Y")</f>
        <v>#NAME?</v>
      </c>
      <c r="CA167" s="3" t="e">
        <f ca="1">_xll.BDH($C$153,"BS_LT_BORROW","FQ4 2016","FQ4 2016","Currency=INR","Period=FQ","BEST_FPERIOD_OVERRIDE=FQ","FILING_STATUS=OR","EQY_CONSOLIDATED=Y","SCALING_FORMAT=MLN","Sort=A","Dates=H","DateFormat=P","Fill=—","Direction=H","UseDPDF=Y")</f>
        <v>#NAME?</v>
      </c>
      <c r="CB167" s="2" t="e">
        <f ca="1">_xll.BDH($C$153,"TOT_DEBT_TO_EBITDA","FQ4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67" s="2" t="e">
        <f ca="1">_xll.BDH($C$153,"NET_DEBT_TO_EBITDA","FQ4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67" s="2" t="e">
        <f ca="1">_xll.BDH($C$153,"TOTAL_DEBT_TO_EBIT","FQ4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67" s="2" t="e">
        <f ca="1">_xll.BDH($C$153,"NET_DEBT_TO_EBIT","FQ4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167" s="2" t="e">
        <f ca="1">_xll.BDH($C$153,"EBITDA_TO_INTEREST_EXPN","FQ4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67" s="2" t="e">
        <f ca="1">_xll.BDH($C$153,"COM_EQY_TO_TOT_ASSET","FQ4 2016","FQ4 2016","Currency=INR","Period=FQ","BEST_FPERIOD_OVERRIDE=FQ","FILING_STATUS=OR","EQY_CONSOLIDATED=Y","Sort=A","Dates=H","DateFormat=P","Fill=—","Direction=H","UseDPDF=Y")</f>
        <v>#NAME?</v>
      </c>
      <c r="CH167" s="2" t="e">
        <f ca="1">_xll.BDH($C$153,"LT_DEBT_TO_TOT_EQY","FQ4 2016","FQ4 2016","Currency=INR","Period=FQ","BEST_FPERIOD_OVERRIDE=FQ","FILING_STATUS=OR","EQY_CONSOLIDATED=Y","Sort=A","Dates=H","DateFormat=P","Fill=—","Direction=H","UseDPDF=Y")</f>
        <v>#NAME?</v>
      </c>
      <c r="CI167" s="2" t="e">
        <f ca="1">_xll.BDH($C$153,"LT_DEBT_TO_TOT_CAP","FQ4 2016","FQ4 2016","Currency=INR","Period=FQ","BEST_FPERIOD_OVERRIDE=FQ","FILING_STATUS=OR","EQY_CONSOLIDATED=Y","Sort=A","Dates=H","DateFormat=P","Fill=—","Direction=H","UseDPDF=Y")</f>
        <v>#NAME?</v>
      </c>
      <c r="CJ167" s="2" t="e">
        <f ca="1">_xll.BDH($C$153,"LT_DEBT_TO_TOT_ASSET","FQ4 2016","FQ4 2016","Currency=INR","Period=FQ","BEST_FPERIOD_OVERRIDE=FQ","FILING_STATUS=OR","EQY_CONSOLIDATED=Y","Sort=A","Dates=H","DateFormat=P","Fill=—","Direction=H","UseDPDF=Y")</f>
        <v>#NAME?</v>
      </c>
      <c r="CK167" s="2" t="e">
        <f ca="1">_xll.BDH($C$153,"TOT_DEBT_TO_TOT_EQY","FQ4 2016","FQ4 2016","Currency=INR","Period=FQ","BEST_FPERIOD_OVERRIDE=FQ","FILING_STATUS=OR","EQY_CONSOLIDATED=Y","Sort=A","Dates=H","DateFormat=P","Fill=—","Direction=H","UseDPDF=Y")</f>
        <v>#NAME?</v>
      </c>
      <c r="CL167" s="2" t="e">
        <f ca="1">_xll.BDH($C$153,"TOT_DEBT_TO_TOT_CAP","FQ4 2016","FQ4 2016","Currency=INR","Period=FQ","BEST_FPERIOD_OVERRIDE=FQ","FILING_STATUS=OR","EQY_CONSOLIDATED=Y","Sort=A","Dates=H","DateFormat=P","Fill=—","Direction=H","UseDPDF=Y")</f>
        <v>#NAME?</v>
      </c>
      <c r="CM167" s="2" t="e">
        <f ca="1">_xll.BDH($C$153,"TOT_DEBT_TO_TOT_ASSET","FQ4 2016","FQ4 2016","Currency=INR","Period=FQ","BEST_FPERIOD_OVERRIDE=FQ","FILING_STATUS=OR","EQY_CONSOLIDATED=Y","Sort=A","Dates=H","DateFormat=P","Fill=—","Direction=H","UseDPDF=Y")</f>
        <v>#NAME?</v>
      </c>
      <c r="CN167" s="2" t="e">
        <f ca="1">_xll.BDH($C$153,"NET_DEBT_TO_SHRHLDR_EQTY","FQ4 2016","FQ4 2016","Currency=INR","Period=FQ","BEST_FPERIOD_OVERRIDE=FQ","FILING_STATUS=OR","EQY_CONSOLIDATED=Y","Sort=A","Dates=H","DateFormat=P","Fill=—","Direction=H","UseDPDF=Y")</f>
        <v>#NAME?</v>
      </c>
      <c r="CO167" s="2" t="e">
        <f ca="1">_xll.BDH($C$153,"NET_DEBT_%_CAPITAL","FQ4 2016","FQ4 2016","Currency=INR","Period=FQ","BEST_FPERIOD_OVERRIDE=FQ","FILING_STATUS=OR","EQY_CONSOLIDATED=Y","Sort=A","Dates=H","DateFormat=P","Fill=—","Direction=H","UseDPDF=Y")</f>
        <v>#NAME?</v>
      </c>
      <c r="CP167" s="3" t="e">
        <f ca="1">_xll.BDH($C$153,"EBITDA","FQ4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67" s="3" t="e">
        <f ca="1">_xll.BDH($C$153,"EBITDA_AFTER_CAPEX","FQ4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67" s="3" t="e">
        <f ca="1">_xll.BDH($C$153,"IS_OPER_INC","FQ4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67" s="2" t="e">
        <f ca="1">_xll.BDH($C$153,"CASH_RATIO","FQ4 2016","FQ4 2016","Currency=INR","Period=FQ","BEST_FPERIOD_OVERRIDE=FQ","FILING_STATUS=OR","EQY_CONSOLIDATED=Y","Sort=A","Dates=H","DateFormat=P","Fill=—","Direction=H","UseDPDF=Y")</f>
        <v>#NAME?</v>
      </c>
      <c r="CT167" s="2" t="e">
        <f ca="1">_xll.BDH($C$153,"CUR_RATIO","FQ4 2016","FQ4 2016","Currency=INR","Period=FQ","BEST_FPERIOD_OVERRIDE=FQ","FILING_STATUS=OR","EQY_CONSOLIDATED=Y","Sort=A","Dates=H","DateFormat=P","Fill=—","Direction=H","UseDPDF=Y")</f>
        <v>#NAME?</v>
      </c>
      <c r="CU167" s="2" t="e">
        <f ca="1">_xll.BDH($C$153,"QUICK_RATIO","FQ4 2016","FQ4 2016","Currency=INR","Period=FQ","BEST_FPERIOD_OVERRIDE=FQ","FILING_STATUS=OR","EQY_CONSOLIDATED=Y","Sort=A","Dates=H","DateFormat=P","Fill=—","Direction=H","UseDPDF=Y")</f>
        <v>#NAME?</v>
      </c>
      <c r="CV167" s="2" t="e">
        <f ca="1">_xll.BDH($C$153,"ALTMAN_Z_SCORE","FQ4 2016","FQ4 2016","Currency=INR","Period=FQ","BEST_FPERIOD_OVERRIDE=FQ","FILING_STATUS=OR","EQY_CONSOLIDATED=Y","Sort=A","Dates=H","DateFormat=P","Fill=—","Direction=H","UseDPDF=Y")</f>
        <v>#NAME?</v>
      </c>
      <c r="CW167" s="4" t="e">
        <f ca="1">_xll.BDH($C$153,"ACCT_RCV_TURN","FQ4 2016","FQ4 2016","Currency=INR","Period=FQ","BEST_FPERIOD_OVERRIDE=FQ","FILING_STATUS=OR","EQY_CONSOLIDATED=Y","FA_ADJUSTED=GAAP","Sort=A","Dates=H","DateFormat=P","Fill=—","Direction=H","UseDPDF=Y")</f>
        <v>#NAME?</v>
      </c>
      <c r="CX167" s="2" t="e">
        <f ca="1">_xll.BDH($C$153,"ACCT_RCV_DAYS","FQ4 2016","FQ4 2016","Currency=INR","Period=FQ","BEST_FPERIOD_OVERRIDE=FQ","FILING_STATUS=OR","EQY_CONSOLIDATED=Y","FA_ADJUSTED=GAAP","Sort=A","Dates=H","DateFormat=P","Fill=—","Direction=H","UseDPDF=Y")</f>
        <v>#NAME?</v>
      </c>
      <c r="CY167" s="4" t="e">
        <f ca="1">_xll.BDH($C$153,"INVENT_TURN","FQ4 2016","FQ4 2016","Currency=INR","Period=FQ","BEST_FPERIOD_OVERRIDE=FQ","FILING_STATUS=OR","EQY_CONSOLIDATED=Y","FA_ADJUSTED=GAAP","Sort=A","Dates=H","DateFormat=P","Fill=—","Direction=H","UseDPDF=Y")</f>
        <v>#NAME?</v>
      </c>
      <c r="CZ167" s="2" t="e">
        <f ca="1">_xll.BDH($C$153,"INVENT_DAYS","FQ4 2016","FQ4 2016","Currency=INR","Period=FQ","BEST_FPERIOD_OVERRIDE=FQ","FILING_STATUS=OR","EQY_CONSOLIDATED=Y","FA_ADJUSTED=GAAP","Sort=A","Dates=H","DateFormat=P","Fill=—","Direction=H","UseDPDF=Y")</f>
        <v>#NAME?</v>
      </c>
      <c r="DA167" s="4" t="e">
        <f ca="1">_xll.BDH($C$153,"ACCOUNTS_PAYABLE_TURNOVER","FQ4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67" s="2" t="e">
        <f ca="1">_xll.BDH($C$153,"ACCOUNTS_PAYABLE_TURNOVER_DAYS","FQ4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67" s="4" t="e">
        <f ca="1">_xll.BDH($C$153,"CASH_CONVERSION_CYCLE","FQ4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67" s="4" t="e">
        <f ca="1">_xll.BDH($C$153,"INV_TO_CASH_DAYS","FQ4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167" s="5" t="e">
        <f ca="1">_xll.BDH($C$153,"BS_INVENTORIES","FQ4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167" s="3" t="e">
        <f ca="1">_xll.BDH($C$153,"INVTRY_RAW_MATERIALS","FQ4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67" s="3" t="e">
        <f ca="1">_xll.BDH($C$153,"INVTRY_IN_PROGRESS","FQ4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67" s="3" t="e">
        <f ca="1">_xll.BDH($C$153,"INVTRY_FINISHED_GOODS","FQ4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67" s="3" t="e">
        <f ca="1">_xll.BDH($C$153,"BS_OTHER_INV","FQ4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68" spans="1:113" x14ac:dyDescent="0.3">
      <c r="A168" s="6"/>
      <c r="B168" s="6"/>
      <c r="C168" s="6"/>
      <c r="D168" s="6" t="s">
        <v>84</v>
      </c>
      <c r="E168" t="s">
        <v>77</v>
      </c>
      <c r="F168" t="e">
        <f ca="1">_xll.BDH($C$153,"RETURN_COM_EQY","FY 2017","FY 2017","Currency=INR","Period=FY","BEST_FPERIOD_OVERRIDE=FY","FILING_STATUS=OR","EQY_CONSOLIDATED=Y","FA_ADJUSTED=GAAP","Sort=A","Dates=H","DateFormat=P","Fill=—","Direction=H","UseDPDF=Y")</f>
        <v>#NAME?</v>
      </c>
      <c r="G168" t="e">
        <f ca="1">_xll.BDH($C$153,"RETURN_ON_ASSET","FY 2017","FY 2017","Currency=INR","Period=FY","BEST_FPERIOD_OVERRIDE=FY","FILING_STATUS=OR","EQY_CONSOLIDATED=Y","FA_ADJUSTED=GAAP","Sort=A","Dates=H","DateFormat=P","Fill=—","Direction=H","UseDPDF=Y")</f>
        <v>#NAME?</v>
      </c>
      <c r="H168" t="e">
        <f ca="1">_xll.BDH($C$153,"RETURN_ON_CAP","FY 2017","FY 2017","Currency=INR","Period=FY","BEST_FPERIOD_OVERRIDE=FY","FILING_STATUS=OR","EQY_CONSOLIDATED=Y","FA_ADJUSTED=GAAP","Sort=A","Dates=H","DateFormat=P","Fill=—","Direction=H","UseDPDF=Y")</f>
        <v>#NAME?</v>
      </c>
      <c r="I168" t="e">
        <f ca="1">_xll.BDH($C$153,"RETURN_ON_INV_CAPITAL","FY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68" t="e">
        <f ca="1">_xll.BDH($C$153,"EBITDA_TO_REVENUE","FY 2017","FY 2017","Currency=INR","Period=FY","BEST_FPERIOD_OVERRIDE=FY","FILING_STATUS=OR","EQY_CONSOLIDATED=Y","FA_ADJUSTED=GAAP","Sort=A","Dates=H","DateFormat=P","Fill=—","Direction=H","UseDPDF=Y")</f>
        <v>#NAME?</v>
      </c>
      <c r="K168" t="e">
        <f ca="1">_xll.BDH($C$153,"OPER_MARGIN","FY 2017","FY 2017","Currency=INR","Period=FY","BEST_FPERIOD_OVERRIDE=FY","FILING_STATUS=OR","EQY_CONSOLIDATED=Y","FA_ADJUSTED=GAAP","Sort=A","Dates=H","DateFormat=P","Fill=—","Direction=H","UseDPDF=Y")</f>
        <v>#NAME?</v>
      </c>
      <c r="L168" t="e">
        <f ca="1">_xll.BDH($C$153,"INCREMENTAL_OPERATING_MARGIN","FY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68" t="e">
        <f ca="1">_xll.BDH($C$153,"PRETAX_INC_TO_NET_SALES","FY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68" t="e">
        <f ca="1">_xll.BDH($C$153,"INC_BEF_XO_ITEMS_TO_NET_SALES","FY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68" t="e">
        <f ca="1">_xll.BDH($C$153,"PROF_MARGIN","FY 2017","FY 2017","Currency=INR","Period=FY","BEST_FPERIOD_OVERRIDE=FY","FILING_STATUS=OR","EQY_CONSOLIDATED=Y","FA_ADJUSTED=GAAP","Sort=A","Dates=H","DateFormat=P","Fill=—","Direction=H","UseDPDF=Y")</f>
        <v>#NAME?</v>
      </c>
      <c r="P168" t="e">
        <f ca="1">_xll.BDH($C$153,"NET_INCOME_TO_COMMON_MARGIN","FY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68" t="e">
        <f ca="1">_xll.BDH($C$153,"EFF_TAX_RATE","FY 2017","FY 2017","Currency=INR","Period=FY","BEST_FPERIOD_OVERRIDE=FY","FILING_STATUS=OR","EQY_CONSOLIDATED=Y","FA_ADJUSTED=GAAP","Sort=A","Dates=H","DateFormat=P","Fill=—","Direction=H","UseDPDF=Y")</f>
        <v>#NAME?</v>
      </c>
      <c r="R168" t="e">
        <f ca="1">_xll.BDH($C$153,"DVD_PAYOUT_RATIO","FY 2017","FY 2017","Currency=INR","Period=FY","BEST_FPERIOD_OVERRIDE=FY","FILING_STATUS=OR","EQY_CONSOLIDATED=Y","FA_ADJUSTED=GAAP","Sort=A","Dates=H","DateFormat=P","Fill=—","Direction=H","UseDPDF=Y")</f>
        <v>#NAME?</v>
      </c>
      <c r="S168" t="e">
        <f ca="1">_xll.BDH($C$153,"SUSTAIN_GROWTH_RT","FY 2017","FY 2017","Currency=INR","Period=FY","BEST_FPERIOD_OVERRIDE=FY","FILING_STATUS=OR","EQY_CONSOLIDATED=Y","FA_ADJUSTED=GAAP","Sort=A","Dates=H","DateFormat=P","Fill=—","Direction=H","UseDPDF=Y")</f>
        <v>#NAME?</v>
      </c>
      <c r="T168" s="2" t="e">
        <f ca="1">_xll.BDH($C$153,"SALES_GROWTH","FY 2017","FY 2017","Currency=INR","Period=FY","BEST_FPERIOD_OVERRIDE=FY","FILING_STATUS=OR","EQY_CONSOLIDATED=Y","FA_ADJUSTED=GAAP","Sort=A","Dates=H","DateFormat=P","Fill=—","Direction=H","UseDPDF=Y")</f>
        <v>#NAME?</v>
      </c>
      <c r="U168" s="2" t="e">
        <f ca="1">_xll.BDH($C$153,"EBITDA_GROWTH","FY 2017","FY 2017","Currency=INR","Period=FY","BEST_FPERIOD_OVERRIDE=FY","FILING_STATUS=OR","EQY_CONSOLIDATED=Y","FA_ADJUSTED=GAAP","Sort=A","Dates=H","DateFormat=P","Fill=—","Direction=H","UseDPDF=Y")</f>
        <v>#NAME?</v>
      </c>
      <c r="V168" s="2" t="e">
        <f ca="1">_xll.BDH($C$153,"OPER_INC_GROWTH","FY 2017","FY 2017","Currency=INR","Period=FY","BEST_FPERIOD_OVERRIDE=FY","FILING_STATUS=OR","EQY_CONSOLIDATED=Y","FA_ADJUSTED=GAAP","Sort=A","Dates=H","DateFormat=P","Fill=—","Direction=H","UseDPDF=Y")</f>
        <v>#NAME?</v>
      </c>
      <c r="W168" s="2" t="e">
        <f ca="1">_xll.BDH($C$153,"EARN_FOR_COM_GROWTH","FY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168" s="2" t="e">
        <f ca="1">_xll.BDH($C$153,"DILUTED_EPS_AFT_XO_ITEMS_GROWTH","FY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68" s="2" t="e">
        <f ca="1">_xll.BDH($C$153,"DIVIDEND_PER_SHARE_1_YEAR_GROWTH","FY 2017","FY 2017","Currency=INR","Period=FY","BEST_FPERIOD_OVERRIDE=FY","FILING_STATUS=OR","EQY_CONSOLIDATED=Y","Sort=A","Dates=H","DateFormat=P","Fill=—","Direction=H","UseDPDF=Y")</f>
        <v>#NAME?</v>
      </c>
      <c r="Z168" s="2" t="e">
        <f ca="1">_xll.BDH($C$153,"ACCOUNTS_RECEIVABLE_GROWTH","FY 2017","FY 2017","Currency=INR","Period=FY","BEST_FPERIOD_OVERRIDE=FY","FILING_STATUS=OR","EQY_CONSOLIDATED=Y","Sort=A","Dates=H","DateFormat=P","Fill=—","Direction=H","UseDPDF=Y")</f>
        <v>#NAME?</v>
      </c>
      <c r="AA168" s="2" t="e">
        <f ca="1">_xll.BDH($C$153,"INVENTORY_GROWTH","FY 2017","FY 2017","Currency=INR","Period=FY","BEST_FPERIOD_OVERRIDE=FY","FILING_STATUS=OR","EQY_CONSOLIDATED=Y","Sort=A","Dates=H","DateFormat=P","Fill=—","Direction=H","UseDPDF=Y")</f>
        <v>#NAME?</v>
      </c>
      <c r="AB168" s="2" t="e">
        <f ca="1">_xll.BDH($C$153,"NET_FIXED_ASSETS_1_YEAR_GROWTH","FY 2017","FY 2017","Currency=INR","Period=FY","BEST_FPERIOD_OVERRIDE=FY","FILING_STATUS=OR","EQY_CONSOLIDATED=Y","Sort=A","Dates=H","DateFormat=P","Fill=—","Direction=H","UseDPDF=Y")</f>
        <v>#NAME?</v>
      </c>
      <c r="AC168" s="2" t="e">
        <f ca="1">_xll.BDH($C$153,"ASSET_GROWTH","FY 2017","FY 2017","Currency=INR","Period=FY","BEST_FPERIOD_OVERRIDE=FY","FILING_STATUS=OR","EQY_CONSOLIDATED=Y","Sort=A","Dates=H","DateFormat=P","Fill=—","Direction=H","UseDPDF=Y")</f>
        <v>#NAME?</v>
      </c>
      <c r="AD168" s="2" t="e">
        <f ca="1">_xll.BDH($C$153,"MODIFIED_WORK_CAP_GROWTH","FY 2017","FY 2017","Currency=INR","Period=FY","BEST_FPERIOD_OVERRIDE=FY","FILING_STATUS=OR","EQY_CONSOLIDATED=Y","Sort=A","Dates=H","DateFormat=P","Fill=—","Direction=H","UseDPDF=Y")</f>
        <v>#NAME?</v>
      </c>
      <c r="AE168" s="2" t="e">
        <f ca="1">_xll.BDH($C$153,"WORK_CAP_GROWTH","FY 2017","FY 2017","Currency=INR","Period=FY","BEST_FPERIOD_OVERRIDE=FY","FILING_STATUS=OR","EQY_CONSOLIDATED=Y","Sort=A","Dates=H","DateFormat=P","Fill=—","Direction=H","UseDPDF=Y")</f>
        <v>#NAME?</v>
      </c>
      <c r="AF168" s="2" t="e">
        <f ca="1">_xll.BDH($C$153,"ACCOUNTS_PAYABLE_GROWTH_1YR","FY 2017","FY 2017","Currency=INR","Period=FY","BEST_FPERIOD_OVERRIDE=FY","FILING_STATUS=OR","EQY_CONSOLIDATED=Y","Sort=A","Dates=H","DateFormat=P","Fill=—","Direction=H","UseDPDF=Y")</f>
        <v>#NAME?</v>
      </c>
      <c r="AG168" s="2" t="e">
        <f ca="1">_xll.BDH($C$153,"SHORT_TERM_DEBT_1_YEAR_GROWTH","FY 2017","FY 2017","Currency=INR","Period=FY","BEST_FPERIOD_OVERRIDE=FY","FILING_STATUS=OR","EQY_CONSOLIDATED=Y","Sort=A","Dates=H","DateFormat=P","Fill=—","Direction=H","UseDPDF=Y")</f>
        <v>#NAME?</v>
      </c>
      <c r="AH168" s="2" t="e">
        <f ca="1">_xll.BDH($C$153,"TOTAL_DEBT_1_YEAR_GROWTH","FY 2017","FY 2017","Currency=INR","Period=FY","BEST_FPERIOD_OVERRIDE=FY","FILING_STATUS=OR","EQY_CONSOLIDATED=Y","Sort=A","Dates=H","DateFormat=P","Fill=—","Direction=H","UseDPDF=Y")</f>
        <v>#NAME?</v>
      </c>
      <c r="AI168" s="2" t="e">
        <f ca="1">_xll.BDH($C$153,"TOTAL_EQUITY_1_YEAR_GROWTH","FY 2017","FY 2017","Currency=INR","Period=FY","BEST_FPERIOD_OVERRIDE=FY","FILING_STATUS=OR","EQY_CONSOLIDATED=Y","Sort=A","Dates=H","DateFormat=P","Fill=—","Direction=H","UseDPDF=Y")</f>
        <v>#NAME?</v>
      </c>
      <c r="AJ168" s="2" t="e">
        <f ca="1">_xll.BDH($C$153,"GROWTH_IN_CAP","FY 2017","FY 2017","Currency=INR","Period=FY","BEST_FPERIOD_OVERRIDE=FY","FILING_STATUS=OR","EQY_CONSOLIDATED=Y","Sort=A","Dates=H","DateFormat=P","Fill=—","Direction=H","UseDPDF=Y")</f>
        <v>#NAME?</v>
      </c>
      <c r="AK168" s="2" t="e">
        <f ca="1">_xll.BDH($C$153,"BVPS_GROWTH","FY 2017","FY 2017","Currency=INR","Period=FY","BEST_FPERIOD_OVERRIDE=FY","FILING_STATUS=OR","EQY_CONSOLIDATED=Y","Sort=A","Dates=H","DateFormat=P","Fill=—","Direction=H","UseDPDF=Y")</f>
        <v>#NAME?</v>
      </c>
      <c r="AL168" s="2" t="e">
        <f ca="1">_xll.BDH($C$153,"CASH_FLOW_GROWTH","FY 2017","FY 2017","Currency=INR","Period=FY","BEST_FPERIOD_OVERRIDE=FY","FILING_STATUS=OR","EQY_CONSOLIDATED=Y","Sort=A","Dates=H","DateFormat=P","Fill=—","Direction=H","UseDPDF=Y")</f>
        <v>#NAME?</v>
      </c>
      <c r="AM168" s="2" t="e">
        <f ca="1">_xll.BDH($C$153,"GEO_GROW_NET_SALES","FY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168" s="2" t="e">
        <f ca="1">_xll.BDH($C$153,"GEO_GROW_EBITDA","FY 2017","FY 2017","Currency=INR","Period=FY","BEST_FPERIOD_OVERRIDE=FY","FILING_STATUS=OR","EQY_CONSOLIDATED=Y","FA_ADJUSTED=GAAP","Sort=A","Dates=H","DateFormat=P","Fill=—","Direction=H","UseDPDF=Y")</f>
        <v>#NAME?</v>
      </c>
      <c r="AO168" s="2" t="e">
        <f ca="1">_xll.BDH($C$153,"GEO_GROW_OPER_INC","FY 2017","FY 2017","Currency=INR","Period=FY","BEST_FPERIOD_OVERRIDE=FY","FILING_STATUS=OR","EQY_CONSOLIDATED=Y","FA_ADJUSTED=GAAP","Sort=A","Dates=H","DateFormat=P","Fill=—","Direction=H","UseDPDF=Y")</f>
        <v>#NAME?</v>
      </c>
      <c r="AP168" s="2" t="e">
        <f ca="1">_xll.BDH($C$153,"NET_INCOME_TO_COMMON_5_YR_GROWTH","FY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68" s="2" t="e">
        <f ca="1">_xll.BDH($C$153,"5Y_GEO_GROWTH_DILUTED_EPS","FY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68" s="2" t="e">
        <f ca="1">_xll.BDH($C$153,"GEO_GROW_DVD_PER_SH","FY 2017","FY 2017","Currency=INR","Period=FY","BEST_FPERIOD_OVERRIDE=FY","FILING_STATUS=OR","EQY_CONSOLIDATED=Y","Sort=A","Dates=H","DateFormat=P","Fill=—","Direction=H","UseDPDF=Y")</f>
        <v>#NAME?</v>
      </c>
      <c r="AS168" s="2" t="e">
        <f ca="1">_xll.BDH($C$153,"ACCOUNTS_RECEIVABLE_5_YR_GROWTH","FY 2017","FY 2017","Currency=INR","Period=FY","BEST_FPERIOD_OVERRIDE=FY","FILING_STATUS=OR","EQY_CONSOLIDATED=Y","Sort=A","Dates=H","DateFormat=P","Fill=—","Direction=H","UseDPDF=Y")</f>
        <v>#NAME?</v>
      </c>
      <c r="AT168" s="2" t="e">
        <f ca="1">_xll.BDH($C$153,"INVENTORY_5_YEAR_GROWTH","FY 2017","FY 2017","Currency=INR","Period=FY","BEST_FPERIOD_OVERRIDE=FY","FILING_STATUS=OR","EQY_CONSOLIDATED=Y","Sort=A","Dates=H","DateFormat=P","Fill=—","Direction=H","UseDPDF=Y")</f>
        <v>#NAME?</v>
      </c>
      <c r="AU168" s="2" t="e">
        <f ca="1">_xll.BDH($C$153,"NET_FIXED_ASSETS_5_YEAR_GROWTH","FY 2017","FY 2017","Currency=INR","Period=FY","BEST_FPERIOD_OVERRIDE=FY","FILING_STATUS=OR","EQY_CONSOLIDATED=Y","Sort=A","Dates=H","DateFormat=P","Fill=—","Direction=H","UseDPDF=Y")</f>
        <v>#NAME?</v>
      </c>
      <c r="AV168" s="2" t="e">
        <f ca="1">_xll.BDH($C$153,"GEO_GROW_TOT_ASSET","FY 2017","FY 2017","Currency=INR","Period=FY","BEST_FPERIOD_OVERRIDE=FY","FILING_STATUS=OR","EQY_CONSOLIDATED=Y","Sort=A","Dates=H","DateFormat=P","Fill=—","Direction=H","UseDPDF=Y")</f>
        <v>#NAME?</v>
      </c>
      <c r="AW168" s="2" t="e">
        <f ca="1">_xll.BDH($C$153,"MODIFIED_WORKING_CPTL_5YR_GRWTH","FY 2017","FY 2017","Currency=INR","Period=FY","BEST_FPERIOD_OVERRIDE=FY","FILING_STATUS=OR","EQY_CONSOLIDATED=Y","Sort=A","Dates=H","DateFormat=P","Fill=—","Direction=H","UseDPDF=Y")</f>
        <v>#NAME?</v>
      </c>
      <c r="AX168" s="2" t="e">
        <f ca="1">_xll.BDH($C$153,"WORKING_CAPITAL_5_YEAR_GROWTH","FY 2017","FY 2017","Currency=INR","Period=FY","BEST_FPERIOD_OVERRIDE=FY","FILING_STATUS=OR","EQY_CONSOLIDATED=Y","Sort=A","Dates=H","DateFormat=P","Fill=—","Direction=H","UseDPDF=Y")</f>
        <v>#NAME?</v>
      </c>
      <c r="AY168" s="2" t="e">
        <f ca="1">_xll.BDH($C$153,"ACCOUNTS_PAYABLE_5_YEAR_GROWTH","FY 2017","FY 2017","Currency=INR","Period=FY","BEST_FPERIOD_OVERRIDE=FY","FILING_STATUS=OR","EQY_CONSOLIDATED=Y","Sort=A","Dates=H","DateFormat=P","Fill=—","Direction=H","UseDPDF=Y")</f>
        <v>#NAME?</v>
      </c>
      <c r="AZ168" s="2" t="e">
        <f ca="1">_xll.BDH($C$153,"SHORT_TERM_DEBT_5_YEAR_GROWTH","FY 2017","FY 2017","Currency=INR","Period=FY","BEST_FPERIOD_OVERRIDE=FY","FILING_STATUS=OR","EQY_CONSOLIDATED=Y","Sort=A","Dates=H","DateFormat=P","Fill=—","Direction=H","UseDPDF=Y")</f>
        <v>#NAME?</v>
      </c>
      <c r="BA168" s="2" t="e">
        <f ca="1">_xll.BDH($C$153,"TOTAL_DEBT_5_YEAR_GROWTH","FY 2017","FY 2017","Currency=INR","Period=FY","BEST_FPERIOD_OVERRIDE=FY","FILING_STATUS=OR","EQY_CONSOLIDATED=Y","Sort=A","Dates=H","DateFormat=P","Fill=—","Direction=H","UseDPDF=Y")</f>
        <v>#NAME?</v>
      </c>
      <c r="BB168" s="2" t="e">
        <f ca="1">_xll.BDH($C$153,"GEO_GROW_TOT_SHRHLDR_EQY","FY 2017","FY 2017","Currency=INR","Period=FY","BEST_FPERIOD_OVERRIDE=FY","FILING_STATUS=OR","EQY_CONSOLIDATED=Y","Sort=A","Dates=H","DateFormat=P","Fill=—","Direction=H","UseDPDF=Y")</f>
        <v>#NAME?</v>
      </c>
      <c r="BC168" s="2" t="e">
        <f ca="1">_xll.BDH($C$153,"TOTAL_CAPITAL_5_YEAR_GROWTH","FY 2017","FY 2017","Currency=INR","Period=FY","BEST_FPERIOD_OVERRIDE=FY","FILING_STATUS=OR","EQY_CONSOLIDATED=Y","Sort=A","Dates=H","DateFormat=P","Fill=—","Direction=H","UseDPDF=Y")</f>
        <v>#NAME?</v>
      </c>
      <c r="BD168" s="2" t="e">
        <f ca="1">_xll.BDH($C$153,"GEO_GROW_BOOK_VAL","FY 2017","FY 2017","Currency=INR","Period=FY","BEST_FPERIOD_OVERRIDE=FY","FILING_STATUS=OR","EQY_CONSOLIDATED=Y","Sort=A","Dates=H","DateFormat=P","Fill=—","Direction=H","UseDPDF=Y")</f>
        <v>#NAME?</v>
      </c>
      <c r="BE168" s="2" t="e">
        <f ca="1">_xll.BDH($C$153,"GEO_GROW_CASH_OPER_ACT","FY 2017","FY 2017","Currency=INR","Period=FY","BEST_FPERIOD_OVERRIDE=FY","FILING_STATUS=OR","EQY_CONSOLIDATED=Y","Sort=A","Dates=H","DateFormat=P","Fill=—","Direction=H","UseDPDF=Y")</f>
        <v>#NAME?</v>
      </c>
      <c r="BF168" s="2" t="e">
        <f ca="1">_xll.BDH($C$153,"REVENUE_SEQUENTIAL_GROWTH","FY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68" s="2" t="e">
        <f ca="1">_xll.BDH($C$153,"EBITDA_SEQUENTIAL_GROWTH","FY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68" s="2" t="e">
        <f ca="1">_xll.BDH($C$153,"OPERATING_INCOME_SEQ_GROWTH","FY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68" s="2" t="e">
        <f ca="1">_xll.BDH($C$153,"NET_INCOME_TO_COMMON_SEQ_GROWTH","FY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68" s="2" t="e">
        <f ca="1">_xll.BDH($C$153,"EPS_DILUTED_SEQUENTIAL_GROWTH","FY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68" s="2" t="e">
        <f ca="1">_xll.BDH($C$153,"DPS_SEQUENTIAL_GROWTH","FY 2017","FY 2017","Currency=INR","Period=FY","BEST_FPERIOD_OVERRIDE=FY","FILING_STATUS=OR","EQY_CONSOLIDATED=Y","Sort=A","Dates=H","DateFormat=P","Fill=—","Direction=H","UseDPDF=Y")</f>
        <v>#NAME?</v>
      </c>
      <c r="BL168" s="2" t="e">
        <f ca="1">_xll.BDH($C$153,"ACCOUNTS_RECEIVABLE_SEQ_GROWTH","FY 2017","FY 2017","Currency=INR","Period=FY","BEST_FPERIOD_OVERRIDE=FY","FILING_STATUS=OR","EQY_CONSOLIDATED=Y","Sort=A","Dates=H","DateFormat=P","Fill=—","Direction=H","UseDPDF=Y")</f>
        <v>#NAME?</v>
      </c>
      <c r="BM168" s="2" t="e">
        <f ca="1">_xll.BDH($C$153,"INVENTORY_SEQUENTIAL_GROWTH","FY 2017","FY 2017","Currency=INR","Period=FY","BEST_FPERIOD_OVERRIDE=FY","FILING_STATUS=OR","EQY_CONSOLIDATED=Y","Sort=A","Dates=H","DateFormat=P","Fill=—","Direction=H","UseDPDF=Y")</f>
        <v>#NAME?</v>
      </c>
      <c r="BN168" s="2" t="e">
        <f ca="1">_xll.BDH($C$153,"FIXED_ASSETS_SEQUENTIAL_GROWTH","FY 2017","FY 2017","Currency=INR","Period=FY","BEST_FPERIOD_OVERRIDE=FY","FILING_STATUS=OR","EQY_CONSOLIDATED=Y","Sort=A","Dates=H","DateFormat=P","Fill=—","Direction=H","UseDPDF=Y")</f>
        <v>#NAME?</v>
      </c>
      <c r="BO168" s="2" t="e">
        <f ca="1">_xll.BDH($C$153,"TOTAL_ASSETS_SEQUENTIAL_GROWTH","FY 2017","FY 2017","Currency=INR","Period=FY","BEST_FPERIOD_OVERRIDE=FY","FILING_STATUS=OR","EQY_CONSOLIDATED=Y","Sort=A","Dates=H","DateFormat=P","Fill=—","Direction=H","UseDPDF=Y")</f>
        <v>#NAME?</v>
      </c>
      <c r="BP168" s="2" t="e">
        <f ca="1">_xll.BDH($C$153,"MODIFIED_WORKING_CPTL_SEQ_GRWTH","FY 2017","FY 2017","Currency=INR","Period=FY","BEST_FPERIOD_OVERRIDE=FY","FILING_STATUS=OR","EQY_CONSOLIDATED=Y","Sort=A","Dates=H","DateFormat=P","Fill=—","Direction=H","UseDPDF=Y")</f>
        <v>#NAME?</v>
      </c>
      <c r="BQ168" s="2" t="e">
        <f ca="1">_xll.BDH($C$153,"WORKING_CAPITAL_SEQ_GROWTH","FY 2017","FY 2017","Currency=INR","Period=FY","BEST_FPERIOD_OVERRIDE=FY","FILING_STATUS=OR","EQY_CONSOLIDATED=Y","Sort=A","Dates=H","DateFormat=P","Fill=—","Direction=H","UseDPDF=Y")</f>
        <v>#NAME?</v>
      </c>
      <c r="BR168" s="2" t="e">
        <f ca="1">_xll.BDH($C$153,"ACCOUNTS_PAYABLE_SEQ_GROWTH","FY 2017","FY 2017","Currency=INR","Period=FY","BEST_FPERIOD_OVERRIDE=FY","FILING_STATUS=OR","EQY_CONSOLIDATED=Y","Sort=A","Dates=H","DateFormat=P","Fill=—","Direction=H","UseDPDF=Y")</f>
        <v>#NAME?</v>
      </c>
      <c r="BS168" s="2" t="e">
        <f ca="1">_xll.BDH($C$153,"ST_DEBT_SEQUENTIAL_GROWTH","FY 2017","FY 2017","Currency=INR","Period=FY","BEST_FPERIOD_OVERRIDE=FY","FILING_STATUS=OR","EQY_CONSOLIDATED=Y","Sort=A","Dates=H","DateFormat=P","Fill=—","Direction=H","UseDPDF=Y")</f>
        <v>#NAME?</v>
      </c>
      <c r="BT168" s="2" t="e">
        <f ca="1">_xll.BDH($C$153,"TOTAL_DEBT_SEQUENTIAL_GROWTH","FY 2017","FY 2017","Currency=INR","Period=FY","BEST_FPERIOD_OVERRIDE=FY","FILING_STATUS=OR","EQY_CONSOLIDATED=Y","Sort=A","Dates=H","DateFormat=P","Fill=—","Direction=H","UseDPDF=Y")</f>
        <v>#NAME?</v>
      </c>
      <c r="BU168" s="2" t="e">
        <f ca="1">_xll.BDH($C$153,"TOTAL_EQUITY_SEQUENTIAL_GROWTH","FY 2017","FY 2017","Currency=INR","Period=FY","BEST_FPERIOD_OVERRIDE=FY","FILING_STATUS=OR","EQY_CONSOLIDATED=Y","Sort=A","Dates=H","DateFormat=P","Fill=—","Direction=H","UseDPDF=Y")</f>
        <v>#NAME?</v>
      </c>
      <c r="BV168" s="2" t="e">
        <f ca="1">_xll.BDH($C$153,"TOTAL_CAPITAL_SEQUENTIAL_GROWTH","FY 2017","FY 2017","Currency=INR","Period=FY","BEST_FPERIOD_OVERRIDE=FY","FILING_STATUS=OR","EQY_CONSOLIDATED=Y","Sort=A","Dates=H","DateFormat=P","Fill=—","Direction=H","UseDPDF=Y")</f>
        <v>#NAME?</v>
      </c>
      <c r="BW168" s="2" t="e">
        <f ca="1">_xll.BDH($C$153,"BPS_SEQUENTIAL_GROWTH","FY 2017","FY 2017","Currency=INR","Period=FY","BEST_FPERIOD_OVERRIDE=FY","FILING_STATUS=OR","EQY_CONSOLIDATED=Y","Sort=A","Dates=H","DateFormat=P","Fill=—","Direction=H","UseDPDF=Y")</f>
        <v>#NAME?</v>
      </c>
      <c r="BX168" s="2" t="e">
        <f ca="1">_xll.BDH($C$153,"CFO_SEQUENTIAL_GROWTH","FY 2017","FY 2017","Currency=INR","Period=FY","BEST_FPERIOD_OVERRIDE=FY","FILING_STATUS=OR","EQY_CONSOLIDATED=Y","Sort=A","Dates=H","DateFormat=P","Fill=—","Direction=H","UseDPDF=Y")</f>
        <v>#NAME?</v>
      </c>
      <c r="BY168" s="3" t="e">
        <f ca="1">_xll.BDH($C$153,"SHORT_AND_LONG_TERM_DEBT","FY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68" s="3" t="e">
        <f ca="1">_xll.BDH($C$153,"BS_ST_BORROW","FY 2017","FY 2017","Currency=INR","Period=FY","BEST_FPERIOD_OVERRIDE=FY","FILING_STATUS=OR","EQY_CONSOLIDATED=Y","SCALING_FORMAT=MLN","Sort=A","Dates=H","DateFormat=P","Fill=—","Direction=H","UseDPDF=Y")</f>
        <v>#NAME?</v>
      </c>
      <c r="CA168" s="3" t="e">
        <f ca="1">_xll.BDH($C$153,"BS_LT_BORROW","FY 2017","FY 2017","Currency=INR","Period=FY","BEST_FPERIOD_OVERRIDE=FY","FILING_STATUS=OR","EQY_CONSOLIDATED=Y","SCALING_FORMAT=MLN","Sort=A","Dates=H","DateFormat=P","Fill=—","Direction=H","UseDPDF=Y")</f>
        <v>#NAME?</v>
      </c>
      <c r="CB168" s="2" t="e">
        <f ca="1">_xll.BDH($C$153,"TOT_DEBT_TO_EBITDA","FY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168" s="2" t="e">
        <f ca="1">_xll.BDH($C$153,"NET_DEBT_TO_EBITDA","FY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168" s="2" t="e">
        <f ca="1">_xll.BDH($C$153,"TOTAL_DEBT_TO_EBIT","FY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168" s="2" t="e">
        <f ca="1">_xll.BDH($C$153,"NET_DEBT_TO_EBIT","FY 2017","FY 2017","Currency=INR","Period=FY","BEST_FPERIOD_OVERRIDE=FY","FILING_STATUS=OR","EQY_CONSOLIDATED=Y","FA_ADJUSTED=GAAP","Sort=A","Dates=H","DateFormat=P","Fill=—","Direction=H","UseDPDF=Y")</f>
        <v>#NAME?</v>
      </c>
      <c r="CF168" s="2" t="e">
        <f ca="1">_xll.BDH($C$153,"EBITDA_TO_INTEREST_EXPN","FY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68" s="2" t="e">
        <f ca="1">_xll.BDH($C$153,"COM_EQY_TO_TOT_ASSET","FY 2017","FY 2017","Currency=INR","Period=FY","BEST_FPERIOD_OVERRIDE=FY","FILING_STATUS=OR","EQY_CONSOLIDATED=Y","Sort=A","Dates=H","DateFormat=P","Fill=—","Direction=H","UseDPDF=Y")</f>
        <v>#NAME?</v>
      </c>
      <c r="CH168" s="2" t="e">
        <f ca="1">_xll.BDH($C$153,"LT_DEBT_TO_TOT_EQY","FY 2017","FY 2017","Currency=INR","Period=FY","BEST_FPERIOD_OVERRIDE=FY","FILING_STATUS=OR","EQY_CONSOLIDATED=Y","Sort=A","Dates=H","DateFormat=P","Fill=—","Direction=H","UseDPDF=Y")</f>
        <v>#NAME?</v>
      </c>
      <c r="CI168" s="2" t="e">
        <f ca="1">_xll.BDH($C$153,"LT_DEBT_TO_TOT_CAP","FY 2017","FY 2017","Currency=INR","Period=FY","BEST_FPERIOD_OVERRIDE=FY","FILING_STATUS=OR","EQY_CONSOLIDATED=Y","Sort=A","Dates=H","DateFormat=P","Fill=—","Direction=H","UseDPDF=Y")</f>
        <v>#NAME?</v>
      </c>
      <c r="CJ168" s="2" t="e">
        <f ca="1">_xll.BDH($C$153,"LT_DEBT_TO_TOT_ASSET","FY 2017","FY 2017","Currency=INR","Period=FY","BEST_FPERIOD_OVERRIDE=FY","FILING_STATUS=OR","EQY_CONSOLIDATED=Y","Sort=A","Dates=H","DateFormat=P","Fill=—","Direction=H","UseDPDF=Y")</f>
        <v>#NAME?</v>
      </c>
      <c r="CK168" s="2" t="e">
        <f ca="1">_xll.BDH($C$153,"TOT_DEBT_TO_TOT_EQY","FY 2017","FY 2017","Currency=INR","Period=FY","BEST_FPERIOD_OVERRIDE=FY","FILING_STATUS=OR","EQY_CONSOLIDATED=Y","Sort=A","Dates=H","DateFormat=P","Fill=—","Direction=H","UseDPDF=Y")</f>
        <v>#NAME?</v>
      </c>
      <c r="CL168" s="2" t="e">
        <f ca="1">_xll.BDH($C$153,"TOT_DEBT_TO_TOT_CAP","FY 2017","FY 2017","Currency=INR","Period=FY","BEST_FPERIOD_OVERRIDE=FY","FILING_STATUS=OR","EQY_CONSOLIDATED=Y","Sort=A","Dates=H","DateFormat=P","Fill=—","Direction=H","UseDPDF=Y")</f>
        <v>#NAME?</v>
      </c>
      <c r="CM168" s="2" t="e">
        <f ca="1">_xll.BDH($C$153,"TOT_DEBT_TO_TOT_ASSET","FY 2017","FY 2017","Currency=INR","Period=FY","BEST_FPERIOD_OVERRIDE=FY","FILING_STATUS=OR","EQY_CONSOLIDATED=Y","Sort=A","Dates=H","DateFormat=P","Fill=—","Direction=H","UseDPDF=Y")</f>
        <v>#NAME?</v>
      </c>
      <c r="CN168" s="2" t="e">
        <f ca="1">_xll.BDH($C$153,"NET_DEBT_TO_SHRHLDR_EQTY","FY 2017","FY 2017","Currency=INR","Period=FY","BEST_FPERIOD_OVERRIDE=FY","FILING_STATUS=OR","EQY_CONSOLIDATED=Y","Sort=A","Dates=H","DateFormat=P","Fill=—","Direction=H","UseDPDF=Y")</f>
        <v>#NAME?</v>
      </c>
      <c r="CO168" s="2" t="e">
        <f ca="1">_xll.BDH($C$153,"NET_DEBT_%_CAPITAL","FY 2017","FY 2017","Currency=INR","Period=FY","BEST_FPERIOD_OVERRIDE=FY","FILING_STATUS=OR","EQY_CONSOLIDATED=Y","Sort=A","Dates=H","DateFormat=P","Fill=—","Direction=H","UseDPDF=Y")</f>
        <v>#NAME?</v>
      </c>
      <c r="CP168" s="3" t="e">
        <f ca="1">_xll.BDH($C$153,"EBITDA","FY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68" s="3" t="e">
        <f ca="1">_xll.BDH($C$153,"EBITDA_AFTER_CAPEX","FY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68" s="3" t="e">
        <f ca="1">_xll.BDH($C$153,"IS_OPER_INC","FY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68" s="2" t="e">
        <f ca="1">_xll.BDH($C$153,"CASH_RATIO","FY 2017","FY 2017","Currency=INR","Period=FY","BEST_FPERIOD_OVERRIDE=FY","FILING_STATUS=OR","EQY_CONSOLIDATED=Y","Sort=A","Dates=H","DateFormat=P","Fill=—","Direction=H","UseDPDF=Y")</f>
        <v>#NAME?</v>
      </c>
      <c r="CT168" s="2" t="e">
        <f ca="1">_xll.BDH($C$153,"CUR_RATIO","FY 2017","FY 2017","Currency=INR","Period=FY","BEST_FPERIOD_OVERRIDE=FY","FILING_STATUS=OR","EQY_CONSOLIDATED=Y","Sort=A","Dates=H","DateFormat=P","Fill=—","Direction=H","UseDPDF=Y")</f>
        <v>#NAME?</v>
      </c>
      <c r="CU168" s="2" t="e">
        <f ca="1">_xll.BDH($C$153,"QUICK_RATIO","FY 2017","FY 2017","Currency=INR","Period=FY","BEST_FPERIOD_OVERRIDE=FY","FILING_STATUS=OR","EQY_CONSOLIDATED=Y","Sort=A","Dates=H","DateFormat=P","Fill=—","Direction=H","UseDPDF=Y")</f>
        <v>#NAME?</v>
      </c>
      <c r="CV168" s="2" t="e">
        <f ca="1">_xll.BDH($C$153,"ALTMAN_Z_SCORE","FY 2017","FY 2017","Currency=INR","Period=FY","BEST_FPERIOD_OVERRIDE=FY","FILING_STATUS=OR","EQY_CONSOLIDATED=Y","Sort=A","Dates=H","DateFormat=P","Fill=—","Direction=H","UseDPDF=Y")</f>
        <v>#NAME?</v>
      </c>
      <c r="CW168" s="4" t="e">
        <f ca="1">_xll.BDH($C$153,"ACCT_RCV_TURN","FY 2017","FY 2017","Currency=INR","Period=FY","BEST_FPERIOD_OVERRIDE=FY","FILING_STATUS=OR","EQY_CONSOLIDATED=Y","FA_ADJUSTED=GAAP","Sort=A","Dates=H","DateFormat=P","Fill=—","Direction=H","UseDPDF=Y")</f>
        <v>#NAME?</v>
      </c>
      <c r="CX168" s="2" t="e">
        <f ca="1">_xll.BDH($C$153,"ACCT_RCV_DAYS","FY 2017","FY 2017","Currency=INR","Period=FY","BEST_FPERIOD_OVERRIDE=FY","FILING_STATUS=OR","EQY_CONSOLIDATED=Y","FA_ADJUSTED=GAAP","Sort=A","Dates=H","DateFormat=P","Fill=—","Direction=H","UseDPDF=Y")</f>
        <v>#NAME?</v>
      </c>
      <c r="CY168" s="4" t="e">
        <f ca="1">_xll.BDH($C$153,"INVENT_TURN","FY 2017","FY 2017","Currency=INR","Period=FY","BEST_FPERIOD_OVERRIDE=FY","FILING_STATUS=OR","EQY_CONSOLIDATED=Y","FA_ADJUSTED=GAAP","Sort=A","Dates=H","DateFormat=P","Fill=—","Direction=H","UseDPDF=Y")</f>
        <v>#NAME?</v>
      </c>
      <c r="CZ168" s="2" t="e">
        <f ca="1">_xll.BDH($C$153,"INVENT_DAYS","FY 2017","FY 2017","Currency=INR","Period=FY","BEST_FPERIOD_OVERRIDE=FY","FILING_STATUS=OR","EQY_CONSOLIDATED=Y","FA_ADJUSTED=GAAP","Sort=A","Dates=H","DateFormat=P","Fill=—","Direction=H","UseDPDF=Y")</f>
        <v>#NAME?</v>
      </c>
      <c r="DA168" s="4" t="e">
        <f ca="1">_xll.BDH($C$153,"ACCOUNTS_PAYABLE_TURNOVER","FY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68" s="2" t="e">
        <f ca="1">_xll.BDH($C$153,"ACCOUNTS_PAYABLE_TURNOVER_DAYS","FY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68" s="4" t="e">
        <f ca="1">_xll.BDH($C$153,"CASH_CONVERSION_CYCLE","FY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68" s="4" t="e">
        <f ca="1">_xll.BDH($C$153,"INV_TO_CASH_DAYS","FY 2017","FY 2017","Currency=INR","Period=FY","BEST_FPERIOD_OVERRIDE=FY","FILING_STATUS=OR","EQY_CONSOLIDATED=Y","FA_ADJUSTED=GAAP","Sort=A","Dates=H","DateFormat=P","Fill=—","Direction=H","UseDPDF=Y")</f>
        <v>#NAME?</v>
      </c>
      <c r="DE168" s="5" t="e">
        <f ca="1">_xll.BDH($C$153,"BS_INVENTORIES","FY 2017","FY 2017","Currency=INR","Period=FY","BEST_FPERIOD_OVERRIDE=FY","FILING_STATUS=OR","EQY_CONSOLIDATED=Y","SCALING_FORMAT=MLN","Sort=A","Dates=H","DateFormat=P","Fill=—","Direction=H","UseDPDF=Y")</f>
        <v>#NAME?</v>
      </c>
      <c r="DF168" s="3" t="e">
        <f ca="1">_xll.BDH($C$153,"INVTRY_RAW_MATERIALS","FY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68" s="3" t="e">
        <f ca="1">_xll.BDH($C$153,"INVTRY_IN_PROGRESS","FY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68" s="3" t="e">
        <f ca="1">_xll.BDH($C$153,"INVTRY_FINISHED_GOODS","FY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68" s="3" t="e">
        <f ca="1">_xll.BDH($C$153,"BS_OTHER_INV","FY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69" spans="1:113" x14ac:dyDescent="0.3">
      <c r="A169" s="6"/>
      <c r="B169" s="6"/>
      <c r="C169" s="6"/>
      <c r="D169" s="6"/>
      <c r="E169" t="s">
        <v>78</v>
      </c>
      <c r="F169" t="e">
        <f ca="1">_xll.BDH($C$153,"RETURN_COM_EQY","FQ1 2017","FQ1 2017","Currency=INR","Period=FQ","BEST_FPERIOD_OVERRIDE=FQ","FILING_STATUS=OR","EQY_CONSOLIDATED=Y","FA_ADJUSTED=GAAP","Sort=A","Dates=H","DateFormat=P","Fill=—","Direction=H","UseDPDF=Y")</f>
        <v>#NAME?</v>
      </c>
      <c r="G169" t="e">
        <f ca="1">_xll.BDH($C$153,"RETURN_ON_ASSET","FQ1 2017","FQ1 2017","Currency=INR","Period=FQ","BEST_FPERIOD_OVERRIDE=FQ","FILING_STATUS=OR","EQY_CONSOLIDATED=Y","FA_ADJUSTED=GAAP","Sort=A","Dates=H","DateFormat=P","Fill=—","Direction=H","UseDPDF=Y")</f>
        <v>#NAME?</v>
      </c>
      <c r="H169" t="e">
        <f ca="1">_xll.BDH($C$153,"RETURN_ON_CAP","FQ1 2017","FQ1 2017","Currency=INR","Period=FQ","BEST_FPERIOD_OVERRIDE=FQ","FILING_STATUS=OR","EQY_CONSOLIDATED=Y","FA_ADJUSTED=GAAP","Sort=A","Dates=H","DateFormat=P","Fill=—","Direction=H","UseDPDF=Y")</f>
        <v>#NAME?</v>
      </c>
      <c r="I169" t="e">
        <f ca="1">_xll.BDH($C$153,"RETURN_ON_INV_CAPITAL","FQ1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69" t="e">
        <f ca="1">_xll.BDH($C$153,"EBITDA_TO_REVENUE","FQ1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169" t="e">
        <f ca="1">_xll.BDH($C$153,"OPER_MARGIN","FQ1 2017","FQ1 2017","Currency=INR","Period=FQ","BEST_FPERIOD_OVERRIDE=FQ","FILING_STATUS=OR","EQY_CONSOLIDATED=Y","FA_ADJUSTED=GAAP","Sort=A","Dates=H","DateFormat=P","Fill=—","Direction=H","UseDPDF=Y")</f>
        <v>#NAME?</v>
      </c>
      <c r="L169" t="e">
        <f ca="1">_xll.BDH($C$153,"INCREMENTAL_OPERATING_MARGIN","FQ1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69" t="e">
        <f ca="1">_xll.BDH($C$153,"PRETAX_INC_TO_NET_SALES","FQ1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69" t="e">
        <f ca="1">_xll.BDH($C$153,"INC_BEF_XO_ITEMS_TO_NET_SALES","FQ1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69" t="e">
        <f ca="1">_xll.BDH($C$153,"PROF_MARGIN","FQ1 2017","FQ1 2017","Currency=INR","Period=FQ","BEST_FPERIOD_OVERRIDE=FQ","FILING_STATUS=OR","EQY_CONSOLIDATED=Y","FA_ADJUSTED=GAAP","Sort=A","Dates=H","DateFormat=P","Fill=—","Direction=H","UseDPDF=Y")</f>
        <v>#NAME?</v>
      </c>
      <c r="P169" t="e">
        <f ca="1">_xll.BDH($C$153,"NET_INCOME_TO_COMMON_MARGIN","FQ1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69" t="e">
        <f ca="1">_xll.BDH($C$153,"EFF_TAX_RATE","FQ1 2017","FQ1 2017","Currency=INR","Period=FQ","BEST_FPERIOD_OVERRIDE=FQ","FILING_STATUS=OR","EQY_CONSOLIDATED=Y","FA_ADJUSTED=GAAP","Sort=A","Dates=H","DateFormat=P","Fill=—","Direction=H","UseDPDF=Y")</f>
        <v>#NAME?</v>
      </c>
      <c r="R169" t="e">
        <f ca="1">_xll.BDH($C$153,"DVD_PAYOUT_RATIO","FQ1 2017","FQ1 2017","Currency=INR","Period=FQ","BEST_FPERIOD_OVERRIDE=FQ","FILING_STATUS=OR","EQY_CONSOLIDATED=Y","FA_ADJUSTED=GAAP","Sort=A","Dates=H","DateFormat=P","Fill=—","Direction=H","UseDPDF=Y")</f>
        <v>#NAME?</v>
      </c>
      <c r="S169" t="e">
        <f ca="1">_xll.BDH($C$153,"SUSTAIN_GROWTH_RT","FQ1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169" s="2" t="e">
        <f ca="1">_xll.BDH($C$153,"SALES_GROWTH","FQ1 2017","FQ1 2017","Currency=INR","Period=FQ","BEST_FPERIOD_OVERRIDE=FQ","FILING_STATUS=OR","EQY_CONSOLIDATED=Y","FA_ADJUSTED=GAAP","Sort=A","Dates=H","DateFormat=P","Fill=—","Direction=H","UseDPDF=Y")</f>
        <v>#NAME?</v>
      </c>
      <c r="U169" s="2" t="e">
        <f ca="1">_xll.BDH($C$153,"EBITDA_GROWTH","FQ1 2017","FQ1 2017","Currency=INR","Period=FQ","BEST_FPERIOD_OVERRIDE=FQ","FILING_STATUS=OR","EQY_CONSOLIDATED=Y","FA_ADJUSTED=GAAP","Sort=A","Dates=H","DateFormat=P","Fill=—","Direction=H","UseDPDF=Y")</f>
        <v>#NAME?</v>
      </c>
      <c r="V169" s="2" t="e">
        <f ca="1">_xll.BDH($C$153,"OPER_INC_GROWTH","FQ1 2017","FQ1 2017","Currency=INR","Period=FQ","BEST_FPERIOD_OVERRIDE=FQ","FILING_STATUS=OR","EQY_CONSOLIDATED=Y","FA_ADJUSTED=GAAP","Sort=A","Dates=H","DateFormat=P","Fill=—","Direction=H","UseDPDF=Y")</f>
        <v>#NAME?</v>
      </c>
      <c r="W169" s="2" t="e">
        <f ca="1">_xll.BDH($C$153,"EARN_FOR_COM_GROWTH","FQ1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69" s="2" t="e">
        <f ca="1">_xll.BDH($C$153,"DILUTED_EPS_AFT_XO_ITEMS_GROWTH","FQ1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69" s="2" t="e">
        <f ca="1">_xll.BDH($C$153,"DIVIDEND_PER_SHARE_1_YEAR_GROWTH","FQ1 2017","FQ1 2017","Currency=INR","Period=FQ","BEST_FPERIOD_OVERRIDE=FQ","FILING_STATUS=OR","EQY_CONSOLIDATED=Y","Sort=A","Dates=H","DateFormat=P","Fill=—","Direction=H","UseDPDF=Y")</f>
        <v>#NAME?</v>
      </c>
      <c r="Z169" s="2" t="e">
        <f ca="1">_xll.BDH($C$153,"ACCOUNTS_RECEIVABLE_GROWTH","FQ1 2017","FQ1 2017","Currency=INR","Period=FQ","BEST_FPERIOD_OVERRIDE=FQ","FILING_STATUS=OR","EQY_CONSOLIDATED=Y","Sort=A","Dates=H","DateFormat=P","Fill=—","Direction=H","UseDPDF=Y")</f>
        <v>#NAME?</v>
      </c>
      <c r="AA169" s="2" t="e">
        <f ca="1">_xll.BDH($C$153,"INVENTORY_GROWTH","FQ1 2017","FQ1 2017","Currency=INR","Period=FQ","BEST_FPERIOD_OVERRIDE=FQ","FILING_STATUS=OR","EQY_CONSOLIDATED=Y","Sort=A","Dates=H","DateFormat=P","Fill=—","Direction=H","UseDPDF=Y")</f>
        <v>#NAME?</v>
      </c>
      <c r="AB169" s="2" t="e">
        <f ca="1">_xll.BDH($C$153,"NET_FIXED_ASSETS_1_YEAR_GROWTH","FQ1 2017","FQ1 2017","Currency=INR","Period=FQ","BEST_FPERIOD_OVERRIDE=FQ","FILING_STATUS=OR","EQY_CONSOLIDATED=Y","Sort=A","Dates=H","DateFormat=P","Fill=—","Direction=H","UseDPDF=Y")</f>
        <v>#NAME?</v>
      </c>
      <c r="AC169" s="2" t="e">
        <f ca="1">_xll.BDH($C$153,"ASSET_GROWTH","FQ1 2017","FQ1 2017","Currency=INR","Period=FQ","BEST_FPERIOD_OVERRIDE=FQ","FILING_STATUS=OR","EQY_CONSOLIDATED=Y","Sort=A","Dates=H","DateFormat=P","Fill=—","Direction=H","UseDPDF=Y")</f>
        <v>#NAME?</v>
      </c>
      <c r="AD169" s="2" t="e">
        <f ca="1">_xll.BDH($C$153,"MODIFIED_WORK_CAP_GROWTH","FQ1 2017","FQ1 2017","Currency=INR","Period=FQ","BEST_FPERIOD_OVERRIDE=FQ","FILING_STATUS=OR","EQY_CONSOLIDATED=Y","Sort=A","Dates=H","DateFormat=P","Fill=—","Direction=H","UseDPDF=Y")</f>
        <v>#NAME?</v>
      </c>
      <c r="AE169" s="2" t="e">
        <f ca="1">_xll.BDH($C$153,"WORK_CAP_GROWTH","FQ1 2017","FQ1 2017","Currency=INR","Period=FQ","BEST_FPERIOD_OVERRIDE=FQ","FILING_STATUS=OR","EQY_CONSOLIDATED=Y","Sort=A","Dates=H","DateFormat=P","Fill=—","Direction=H","UseDPDF=Y")</f>
        <v>#NAME?</v>
      </c>
      <c r="AF169" s="2" t="e">
        <f ca="1">_xll.BDH($C$153,"ACCOUNTS_PAYABLE_GROWTH_1YR","FQ1 2017","FQ1 2017","Currency=INR","Period=FQ","BEST_FPERIOD_OVERRIDE=FQ","FILING_STATUS=OR","EQY_CONSOLIDATED=Y","Sort=A","Dates=H","DateFormat=P","Fill=—","Direction=H","UseDPDF=Y")</f>
        <v>#NAME?</v>
      </c>
      <c r="AG169" s="2" t="e">
        <f ca="1">_xll.BDH($C$153,"SHORT_TERM_DEBT_1_YEAR_GROWTH","FQ1 2017","FQ1 2017","Currency=INR","Period=FQ","BEST_FPERIOD_OVERRIDE=FQ","FILING_STATUS=OR","EQY_CONSOLIDATED=Y","Sort=A","Dates=H","DateFormat=P","Fill=—","Direction=H","UseDPDF=Y")</f>
        <v>#NAME?</v>
      </c>
      <c r="AH169" s="2" t="e">
        <f ca="1">_xll.BDH($C$153,"TOTAL_DEBT_1_YEAR_GROWTH","FQ1 2017","FQ1 2017","Currency=INR","Period=FQ","BEST_FPERIOD_OVERRIDE=FQ","FILING_STATUS=OR","EQY_CONSOLIDATED=Y","Sort=A","Dates=H","DateFormat=P","Fill=—","Direction=H","UseDPDF=Y")</f>
        <v>#NAME?</v>
      </c>
      <c r="AI169" s="2" t="e">
        <f ca="1">_xll.BDH($C$153,"TOTAL_EQUITY_1_YEAR_GROWTH","FQ1 2017","FQ1 2017","Currency=INR","Period=FQ","BEST_FPERIOD_OVERRIDE=FQ","FILING_STATUS=OR","EQY_CONSOLIDATED=Y","Sort=A","Dates=H","DateFormat=P","Fill=—","Direction=H","UseDPDF=Y")</f>
        <v>#NAME?</v>
      </c>
      <c r="AJ169" s="2" t="e">
        <f ca="1">_xll.BDH($C$153,"GROWTH_IN_CAP","FQ1 2017","FQ1 2017","Currency=INR","Period=FQ","BEST_FPERIOD_OVERRIDE=FQ","FILING_STATUS=OR","EQY_CONSOLIDATED=Y","Sort=A","Dates=H","DateFormat=P","Fill=—","Direction=H","UseDPDF=Y")</f>
        <v>#NAME?</v>
      </c>
      <c r="AK169" s="2" t="e">
        <f ca="1">_xll.BDH($C$153,"BVPS_GROWTH","FQ1 2017","FQ1 2017","Currency=INR","Period=FQ","BEST_FPERIOD_OVERRIDE=FQ","FILING_STATUS=OR","EQY_CONSOLIDATED=Y","Sort=A","Dates=H","DateFormat=P","Fill=—","Direction=H","UseDPDF=Y")</f>
        <v>#NAME?</v>
      </c>
      <c r="AL169" s="2" t="e">
        <f ca="1">_xll.BDH($C$153,"CASH_FLOW_GROWTH","FQ1 2017","FQ1 2017","Currency=INR","Period=FQ","BEST_FPERIOD_OVERRIDE=FQ","FILING_STATUS=OR","EQY_CONSOLIDATED=Y","Sort=A","Dates=H","DateFormat=P","Fill=—","Direction=H","UseDPDF=Y")</f>
        <v>#NAME?</v>
      </c>
      <c r="AM169" s="2" t="e">
        <f ca="1">_xll.BDH($C$153,"GEO_GROW_NET_SALES","FQ1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69" s="2" t="e">
        <f ca="1">_xll.BDH($C$153,"GEO_GROW_EBITDA","FQ1 2017","FQ1 2017","Currency=INR","Period=FQ","BEST_FPERIOD_OVERRIDE=FQ","FILING_STATUS=OR","EQY_CONSOLIDATED=Y","FA_ADJUSTED=GAAP","Sort=A","Dates=H","DateFormat=P","Fill=—","Direction=H","UseDPDF=Y")</f>
        <v>#NAME?</v>
      </c>
      <c r="AO169" s="2" t="e">
        <f ca="1">_xll.BDH($C$153,"GEO_GROW_OPER_INC","FQ1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69" s="2" t="e">
        <f ca="1">_xll.BDH($C$153,"NET_INCOME_TO_COMMON_5_YR_GROWTH","FQ1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69" s="2" t="e">
        <f ca="1">_xll.BDH($C$153,"5Y_GEO_GROWTH_DILUTED_EPS","FQ1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69" s="2" t="e">
        <f ca="1">_xll.BDH($C$153,"GEO_GROW_DVD_PER_SH","FQ1 2017","FQ1 2017","Currency=INR","Period=FQ","BEST_FPERIOD_OVERRIDE=FQ","FILING_STATUS=OR","EQY_CONSOLIDATED=Y","Sort=A","Dates=H","DateFormat=P","Fill=—","Direction=H","UseDPDF=Y")</f>
        <v>#NAME?</v>
      </c>
      <c r="AS169" s="2" t="e">
        <f ca="1">_xll.BDH($C$153,"ACCOUNTS_RECEIVABLE_5_YR_GROWTH","FQ1 2017","FQ1 2017","Currency=INR","Period=FQ","BEST_FPERIOD_OVERRIDE=FQ","FILING_STATUS=OR","EQY_CONSOLIDATED=Y","Sort=A","Dates=H","DateFormat=P","Fill=—","Direction=H","UseDPDF=Y")</f>
        <v>#NAME?</v>
      </c>
      <c r="AT169" s="2" t="e">
        <f ca="1">_xll.BDH($C$153,"INVENTORY_5_YEAR_GROWTH","FQ1 2017","FQ1 2017","Currency=INR","Period=FQ","BEST_FPERIOD_OVERRIDE=FQ","FILING_STATUS=OR","EQY_CONSOLIDATED=Y","Sort=A","Dates=H","DateFormat=P","Fill=—","Direction=H","UseDPDF=Y")</f>
        <v>#NAME?</v>
      </c>
      <c r="AU169" s="2" t="e">
        <f ca="1">_xll.BDH($C$153,"NET_FIXED_ASSETS_5_YEAR_GROWTH","FQ1 2017","FQ1 2017","Currency=INR","Period=FQ","BEST_FPERIOD_OVERRIDE=FQ","FILING_STATUS=OR","EQY_CONSOLIDATED=Y","Sort=A","Dates=H","DateFormat=P","Fill=—","Direction=H","UseDPDF=Y")</f>
        <v>#NAME?</v>
      </c>
      <c r="AV169" s="2" t="e">
        <f ca="1">_xll.BDH($C$153,"GEO_GROW_TOT_ASSET","FQ1 2017","FQ1 2017","Currency=INR","Period=FQ","BEST_FPERIOD_OVERRIDE=FQ","FILING_STATUS=OR","EQY_CONSOLIDATED=Y","Sort=A","Dates=H","DateFormat=P","Fill=—","Direction=H","UseDPDF=Y")</f>
        <v>#NAME?</v>
      </c>
      <c r="AW169" s="2" t="e">
        <f ca="1">_xll.BDH($C$153,"MODIFIED_WORKING_CPTL_5YR_GRWTH","FQ1 2017","FQ1 2017","Currency=INR","Period=FQ","BEST_FPERIOD_OVERRIDE=FQ","FILING_STATUS=OR","EQY_CONSOLIDATED=Y","Sort=A","Dates=H","DateFormat=P","Fill=—","Direction=H","UseDPDF=Y")</f>
        <v>#NAME?</v>
      </c>
      <c r="AX169" s="2" t="e">
        <f ca="1">_xll.BDH($C$153,"WORKING_CAPITAL_5_YEAR_GROWTH","FQ1 2017","FQ1 2017","Currency=INR","Period=FQ","BEST_FPERIOD_OVERRIDE=FQ","FILING_STATUS=OR","EQY_CONSOLIDATED=Y","Sort=A","Dates=H","DateFormat=P","Fill=—","Direction=H","UseDPDF=Y")</f>
        <v>#NAME?</v>
      </c>
      <c r="AY169" s="2" t="e">
        <f ca="1">_xll.BDH($C$153,"ACCOUNTS_PAYABLE_5_YEAR_GROWTH","FQ1 2017","FQ1 2017","Currency=INR","Period=FQ","BEST_FPERIOD_OVERRIDE=FQ","FILING_STATUS=OR","EQY_CONSOLIDATED=Y","Sort=A","Dates=H","DateFormat=P","Fill=—","Direction=H","UseDPDF=Y")</f>
        <v>#NAME?</v>
      </c>
      <c r="AZ169" s="2" t="e">
        <f ca="1">_xll.BDH($C$153,"SHORT_TERM_DEBT_5_YEAR_GROWTH","FQ1 2017","FQ1 2017","Currency=INR","Period=FQ","BEST_FPERIOD_OVERRIDE=FQ","FILING_STATUS=OR","EQY_CONSOLIDATED=Y","Sort=A","Dates=H","DateFormat=P","Fill=—","Direction=H","UseDPDF=Y")</f>
        <v>#NAME?</v>
      </c>
      <c r="BA169" s="2" t="e">
        <f ca="1">_xll.BDH($C$153,"TOTAL_DEBT_5_YEAR_GROWTH","FQ1 2017","FQ1 2017","Currency=INR","Period=FQ","BEST_FPERIOD_OVERRIDE=FQ","FILING_STATUS=OR","EQY_CONSOLIDATED=Y","Sort=A","Dates=H","DateFormat=P","Fill=—","Direction=H","UseDPDF=Y")</f>
        <v>#NAME?</v>
      </c>
      <c r="BB169" s="2" t="e">
        <f ca="1">_xll.BDH($C$153,"GEO_GROW_TOT_SHRHLDR_EQY","FQ1 2017","FQ1 2017","Currency=INR","Period=FQ","BEST_FPERIOD_OVERRIDE=FQ","FILING_STATUS=OR","EQY_CONSOLIDATED=Y","Sort=A","Dates=H","DateFormat=P","Fill=—","Direction=H","UseDPDF=Y")</f>
        <v>#NAME?</v>
      </c>
      <c r="BC169" s="2" t="e">
        <f ca="1">_xll.BDH($C$153,"TOTAL_CAPITAL_5_YEAR_GROWTH","FQ1 2017","FQ1 2017","Currency=INR","Period=FQ","BEST_FPERIOD_OVERRIDE=FQ","FILING_STATUS=OR","EQY_CONSOLIDATED=Y","Sort=A","Dates=H","DateFormat=P","Fill=—","Direction=H","UseDPDF=Y")</f>
        <v>#NAME?</v>
      </c>
      <c r="BD169" s="2" t="e">
        <f ca="1">_xll.BDH($C$153,"GEO_GROW_BOOK_VAL","FQ1 2017","FQ1 2017","Currency=INR","Period=FQ","BEST_FPERIOD_OVERRIDE=FQ","FILING_STATUS=OR","EQY_CONSOLIDATED=Y","Sort=A","Dates=H","DateFormat=P","Fill=—","Direction=H","UseDPDF=Y")</f>
        <v>#NAME?</v>
      </c>
      <c r="BE169" s="2" t="e">
        <f ca="1">_xll.BDH($C$153,"GEO_GROW_CASH_OPER_ACT","FQ1 2017","FQ1 2017","Currency=INR","Period=FQ","BEST_FPERIOD_OVERRIDE=FQ","FILING_STATUS=OR","EQY_CONSOLIDATED=Y","Sort=A","Dates=H","DateFormat=P","Fill=—","Direction=H","UseDPDF=Y")</f>
        <v>#NAME?</v>
      </c>
      <c r="BF169" s="2" t="e">
        <f ca="1">_xll.BDH($C$153,"REVENUE_SEQUENTIAL_GROWTH","FQ1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69" s="2" t="e">
        <f ca="1">_xll.BDH($C$153,"EBITDA_SEQUENTIAL_GROWTH","FQ1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69" s="2" t="e">
        <f ca="1">_xll.BDH($C$153,"OPERATING_INCOME_SEQ_GROWTH","FQ1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69" s="2" t="e">
        <f ca="1">_xll.BDH($C$153,"NET_INCOME_TO_COMMON_SEQ_GROWTH","FQ1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69" s="2" t="e">
        <f ca="1">_xll.BDH($C$153,"EPS_DILUTED_SEQUENTIAL_GROWTH","FQ1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69" s="2" t="e">
        <f ca="1">_xll.BDH($C$153,"DPS_SEQUENTIAL_GROWTH","FQ1 2017","FQ1 2017","Currency=INR","Period=FQ","BEST_FPERIOD_OVERRIDE=FQ","FILING_STATUS=OR","EQY_CONSOLIDATED=Y","Sort=A","Dates=H","DateFormat=P","Fill=—","Direction=H","UseDPDF=Y")</f>
        <v>#NAME?</v>
      </c>
      <c r="BL169" s="2" t="e">
        <f ca="1">_xll.BDH($C$153,"ACCOUNTS_RECEIVABLE_SEQ_GROWTH","FQ1 2017","FQ1 2017","Currency=INR","Period=FQ","BEST_FPERIOD_OVERRIDE=FQ","FILING_STATUS=OR","EQY_CONSOLIDATED=Y","Sort=A","Dates=H","DateFormat=P","Fill=—","Direction=H","UseDPDF=Y")</f>
        <v>#NAME?</v>
      </c>
      <c r="BM169" s="2" t="e">
        <f ca="1">_xll.BDH($C$153,"INVENTORY_SEQUENTIAL_GROWTH","FQ1 2017","FQ1 2017","Currency=INR","Period=FQ","BEST_FPERIOD_OVERRIDE=FQ","FILING_STATUS=OR","EQY_CONSOLIDATED=Y","Sort=A","Dates=H","DateFormat=P","Fill=—","Direction=H","UseDPDF=Y")</f>
        <v>#NAME?</v>
      </c>
      <c r="BN169" s="2" t="e">
        <f ca="1">_xll.BDH($C$153,"FIXED_ASSETS_SEQUENTIAL_GROWTH","FQ1 2017","FQ1 2017","Currency=INR","Period=FQ","BEST_FPERIOD_OVERRIDE=FQ","FILING_STATUS=OR","EQY_CONSOLIDATED=Y","Sort=A","Dates=H","DateFormat=P","Fill=—","Direction=H","UseDPDF=Y")</f>
        <v>#NAME?</v>
      </c>
      <c r="BO169" s="2" t="e">
        <f ca="1">_xll.BDH($C$153,"TOTAL_ASSETS_SEQUENTIAL_GROWTH","FQ1 2017","FQ1 2017","Currency=INR","Period=FQ","BEST_FPERIOD_OVERRIDE=FQ","FILING_STATUS=OR","EQY_CONSOLIDATED=Y","Sort=A","Dates=H","DateFormat=P","Fill=—","Direction=H","UseDPDF=Y")</f>
        <v>#NAME?</v>
      </c>
      <c r="BP169" s="2" t="e">
        <f ca="1">_xll.BDH($C$153,"MODIFIED_WORKING_CPTL_SEQ_GRWTH","FQ1 2017","FQ1 2017","Currency=INR","Period=FQ","BEST_FPERIOD_OVERRIDE=FQ","FILING_STATUS=OR","EQY_CONSOLIDATED=Y","Sort=A","Dates=H","DateFormat=P","Fill=—","Direction=H","UseDPDF=Y")</f>
        <v>#NAME?</v>
      </c>
      <c r="BQ169" s="2" t="e">
        <f ca="1">_xll.BDH($C$153,"WORKING_CAPITAL_SEQ_GROWTH","FQ1 2017","FQ1 2017","Currency=INR","Period=FQ","BEST_FPERIOD_OVERRIDE=FQ","FILING_STATUS=OR","EQY_CONSOLIDATED=Y","Sort=A","Dates=H","DateFormat=P","Fill=—","Direction=H","UseDPDF=Y")</f>
        <v>#NAME?</v>
      </c>
      <c r="BR169" s="2" t="e">
        <f ca="1">_xll.BDH($C$153,"ACCOUNTS_PAYABLE_SEQ_GROWTH","FQ1 2017","FQ1 2017","Currency=INR","Period=FQ","BEST_FPERIOD_OVERRIDE=FQ","FILING_STATUS=OR","EQY_CONSOLIDATED=Y","Sort=A","Dates=H","DateFormat=P","Fill=—","Direction=H","UseDPDF=Y")</f>
        <v>#NAME?</v>
      </c>
      <c r="BS169" s="2" t="e">
        <f ca="1">_xll.BDH($C$153,"ST_DEBT_SEQUENTIAL_GROWTH","FQ1 2017","FQ1 2017","Currency=INR","Period=FQ","BEST_FPERIOD_OVERRIDE=FQ","FILING_STATUS=OR","EQY_CONSOLIDATED=Y","Sort=A","Dates=H","DateFormat=P","Fill=—","Direction=H","UseDPDF=Y")</f>
        <v>#NAME?</v>
      </c>
      <c r="BT169" s="2" t="e">
        <f ca="1">_xll.BDH($C$153,"TOTAL_DEBT_SEQUENTIAL_GROWTH","FQ1 2017","FQ1 2017","Currency=INR","Period=FQ","BEST_FPERIOD_OVERRIDE=FQ","FILING_STATUS=OR","EQY_CONSOLIDATED=Y","Sort=A","Dates=H","DateFormat=P","Fill=—","Direction=H","UseDPDF=Y")</f>
        <v>#NAME?</v>
      </c>
      <c r="BU169" s="2" t="e">
        <f ca="1">_xll.BDH($C$153,"TOTAL_EQUITY_SEQUENTIAL_GROWTH","FQ1 2017","FQ1 2017","Currency=INR","Period=FQ","BEST_FPERIOD_OVERRIDE=FQ","FILING_STATUS=OR","EQY_CONSOLIDATED=Y","Sort=A","Dates=H","DateFormat=P","Fill=—","Direction=H","UseDPDF=Y")</f>
        <v>#NAME?</v>
      </c>
      <c r="BV169" s="2" t="e">
        <f ca="1">_xll.BDH($C$153,"TOTAL_CAPITAL_SEQUENTIAL_GROWTH","FQ1 2017","FQ1 2017","Currency=INR","Period=FQ","BEST_FPERIOD_OVERRIDE=FQ","FILING_STATUS=OR","EQY_CONSOLIDATED=Y","Sort=A","Dates=H","DateFormat=P","Fill=—","Direction=H","UseDPDF=Y")</f>
        <v>#NAME?</v>
      </c>
      <c r="BW169" s="2" t="e">
        <f ca="1">_xll.BDH($C$153,"BPS_SEQUENTIAL_GROWTH","FQ1 2017","FQ1 2017","Currency=INR","Period=FQ","BEST_FPERIOD_OVERRIDE=FQ","FILING_STATUS=OR","EQY_CONSOLIDATED=Y","Sort=A","Dates=H","DateFormat=P","Fill=—","Direction=H","UseDPDF=Y")</f>
        <v>#NAME?</v>
      </c>
      <c r="BX169" s="2" t="e">
        <f ca="1">_xll.BDH($C$153,"CFO_SEQUENTIAL_GROWTH","FQ1 2017","FQ1 2017","Currency=INR","Period=FQ","BEST_FPERIOD_OVERRIDE=FQ","FILING_STATUS=OR","EQY_CONSOLIDATED=Y","Sort=A","Dates=H","DateFormat=P","Fill=—","Direction=H","UseDPDF=Y")</f>
        <v>#NAME?</v>
      </c>
      <c r="BY169" s="3" t="e">
        <f ca="1">_xll.BDH($C$153,"SHORT_AND_LONG_TERM_DEBT","FQ1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69" s="3" t="e">
        <f ca="1">_xll.BDH($C$153,"BS_ST_BORROW","FQ1 2017","FQ1 2017","Currency=INR","Period=FQ","BEST_FPERIOD_OVERRIDE=FQ","FILING_STATUS=OR","EQY_CONSOLIDATED=Y","SCALING_FORMAT=MLN","Sort=A","Dates=H","DateFormat=P","Fill=—","Direction=H","UseDPDF=Y")</f>
        <v>#NAME?</v>
      </c>
      <c r="CA169" s="3" t="e">
        <f ca="1">_xll.BDH($C$153,"BS_LT_BORROW","FQ1 2017","FQ1 2017","Currency=INR","Period=FQ","BEST_FPERIOD_OVERRIDE=FQ","FILING_STATUS=OR","EQY_CONSOLIDATED=Y","SCALING_FORMAT=MLN","Sort=A","Dates=H","DateFormat=P","Fill=—","Direction=H","UseDPDF=Y")</f>
        <v>#NAME?</v>
      </c>
      <c r="CB169" s="2" t="e">
        <f ca="1">_xll.BDH($C$153,"TOT_DEBT_TO_EBITDA","FQ1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69" s="2" t="e">
        <f ca="1">_xll.BDH($C$153,"NET_DEBT_TO_EBITDA","FQ1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69" s="2" t="e">
        <f ca="1">_xll.BDH($C$153,"TOTAL_DEBT_TO_EBIT","FQ1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69" s="2" t="e">
        <f ca="1">_xll.BDH($C$153,"NET_DEBT_TO_EBIT","FQ1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169" s="2" t="e">
        <f ca="1">_xll.BDH($C$153,"EBITDA_TO_INTEREST_EXPN","FQ1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69" s="2" t="e">
        <f ca="1">_xll.BDH($C$153,"COM_EQY_TO_TOT_ASSET","FQ1 2017","FQ1 2017","Currency=INR","Period=FQ","BEST_FPERIOD_OVERRIDE=FQ","FILING_STATUS=OR","EQY_CONSOLIDATED=Y","Sort=A","Dates=H","DateFormat=P","Fill=—","Direction=H","UseDPDF=Y")</f>
        <v>#NAME?</v>
      </c>
      <c r="CH169" s="2" t="e">
        <f ca="1">_xll.BDH($C$153,"LT_DEBT_TO_TOT_EQY","FQ1 2017","FQ1 2017","Currency=INR","Period=FQ","BEST_FPERIOD_OVERRIDE=FQ","FILING_STATUS=OR","EQY_CONSOLIDATED=Y","Sort=A","Dates=H","DateFormat=P","Fill=—","Direction=H","UseDPDF=Y")</f>
        <v>#NAME?</v>
      </c>
      <c r="CI169" s="2" t="e">
        <f ca="1">_xll.BDH($C$153,"LT_DEBT_TO_TOT_CAP","FQ1 2017","FQ1 2017","Currency=INR","Period=FQ","BEST_FPERIOD_OVERRIDE=FQ","FILING_STATUS=OR","EQY_CONSOLIDATED=Y","Sort=A","Dates=H","DateFormat=P","Fill=—","Direction=H","UseDPDF=Y")</f>
        <v>#NAME?</v>
      </c>
      <c r="CJ169" s="2" t="e">
        <f ca="1">_xll.BDH($C$153,"LT_DEBT_TO_TOT_ASSET","FQ1 2017","FQ1 2017","Currency=INR","Period=FQ","BEST_FPERIOD_OVERRIDE=FQ","FILING_STATUS=OR","EQY_CONSOLIDATED=Y","Sort=A","Dates=H","DateFormat=P","Fill=—","Direction=H","UseDPDF=Y")</f>
        <v>#NAME?</v>
      </c>
      <c r="CK169" s="2" t="e">
        <f ca="1">_xll.BDH($C$153,"TOT_DEBT_TO_TOT_EQY","FQ1 2017","FQ1 2017","Currency=INR","Period=FQ","BEST_FPERIOD_OVERRIDE=FQ","FILING_STATUS=OR","EQY_CONSOLIDATED=Y","Sort=A","Dates=H","DateFormat=P","Fill=—","Direction=H","UseDPDF=Y")</f>
        <v>#NAME?</v>
      </c>
      <c r="CL169" s="2" t="e">
        <f ca="1">_xll.BDH($C$153,"TOT_DEBT_TO_TOT_CAP","FQ1 2017","FQ1 2017","Currency=INR","Period=FQ","BEST_FPERIOD_OVERRIDE=FQ","FILING_STATUS=OR","EQY_CONSOLIDATED=Y","Sort=A","Dates=H","DateFormat=P","Fill=—","Direction=H","UseDPDF=Y")</f>
        <v>#NAME?</v>
      </c>
      <c r="CM169" s="2" t="e">
        <f ca="1">_xll.BDH($C$153,"TOT_DEBT_TO_TOT_ASSET","FQ1 2017","FQ1 2017","Currency=INR","Period=FQ","BEST_FPERIOD_OVERRIDE=FQ","FILING_STATUS=OR","EQY_CONSOLIDATED=Y","Sort=A","Dates=H","DateFormat=P","Fill=—","Direction=H","UseDPDF=Y")</f>
        <v>#NAME?</v>
      </c>
      <c r="CN169" s="2" t="e">
        <f ca="1">_xll.BDH($C$153,"NET_DEBT_TO_SHRHLDR_EQTY","FQ1 2017","FQ1 2017","Currency=INR","Period=FQ","BEST_FPERIOD_OVERRIDE=FQ","FILING_STATUS=OR","EQY_CONSOLIDATED=Y","Sort=A","Dates=H","DateFormat=P","Fill=—","Direction=H","UseDPDF=Y")</f>
        <v>#NAME?</v>
      </c>
      <c r="CO169" s="2" t="e">
        <f ca="1">_xll.BDH($C$153,"NET_DEBT_%_CAPITAL","FQ1 2017","FQ1 2017","Currency=INR","Period=FQ","BEST_FPERIOD_OVERRIDE=FQ","FILING_STATUS=OR","EQY_CONSOLIDATED=Y","Sort=A","Dates=H","DateFormat=P","Fill=—","Direction=H","UseDPDF=Y")</f>
        <v>#NAME?</v>
      </c>
      <c r="CP169" s="3" t="e">
        <f ca="1">_xll.BDH($C$153,"EBITDA","FQ1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69" s="3" t="e">
        <f ca="1">_xll.BDH($C$153,"EBITDA_AFTER_CAPEX","FQ1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69" s="3" t="e">
        <f ca="1">_xll.BDH($C$153,"IS_OPER_INC","FQ1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69" s="2" t="e">
        <f ca="1">_xll.BDH($C$153,"CASH_RATIO","FQ1 2017","FQ1 2017","Currency=INR","Period=FQ","BEST_FPERIOD_OVERRIDE=FQ","FILING_STATUS=OR","EQY_CONSOLIDATED=Y","Sort=A","Dates=H","DateFormat=P","Fill=—","Direction=H","UseDPDF=Y")</f>
        <v>#NAME?</v>
      </c>
      <c r="CT169" s="2" t="e">
        <f ca="1">_xll.BDH($C$153,"CUR_RATIO","FQ1 2017","FQ1 2017","Currency=INR","Period=FQ","BEST_FPERIOD_OVERRIDE=FQ","FILING_STATUS=OR","EQY_CONSOLIDATED=Y","Sort=A","Dates=H","DateFormat=P","Fill=—","Direction=H","UseDPDF=Y")</f>
        <v>#NAME?</v>
      </c>
      <c r="CU169" s="2" t="e">
        <f ca="1">_xll.BDH($C$153,"QUICK_RATIO","FQ1 2017","FQ1 2017","Currency=INR","Period=FQ","BEST_FPERIOD_OVERRIDE=FQ","FILING_STATUS=OR","EQY_CONSOLIDATED=Y","Sort=A","Dates=H","DateFormat=P","Fill=—","Direction=H","UseDPDF=Y")</f>
        <v>#NAME?</v>
      </c>
      <c r="CV169" s="2" t="e">
        <f ca="1">_xll.BDH($C$153,"ALTMAN_Z_SCORE","FQ1 2017","FQ1 2017","Currency=INR","Period=FQ","BEST_FPERIOD_OVERRIDE=FQ","FILING_STATUS=OR","EQY_CONSOLIDATED=Y","Sort=A","Dates=H","DateFormat=P","Fill=—","Direction=H","UseDPDF=Y")</f>
        <v>#NAME?</v>
      </c>
      <c r="CW169" s="4" t="e">
        <f ca="1">_xll.BDH($C$153,"ACCT_RCV_TURN","FQ1 2017","FQ1 2017","Currency=INR","Period=FQ","BEST_FPERIOD_OVERRIDE=FQ","FILING_STATUS=OR","EQY_CONSOLIDATED=Y","FA_ADJUSTED=GAAP","Sort=A","Dates=H","DateFormat=P","Fill=—","Direction=H","UseDPDF=Y")</f>
        <v>#NAME?</v>
      </c>
      <c r="CX169" s="2" t="e">
        <f ca="1">_xll.BDH($C$153,"ACCT_RCV_DAYS","FQ1 2017","FQ1 2017","Currency=INR","Period=FQ","BEST_FPERIOD_OVERRIDE=FQ","FILING_STATUS=OR","EQY_CONSOLIDATED=Y","FA_ADJUSTED=GAAP","Sort=A","Dates=H","DateFormat=P","Fill=—","Direction=H","UseDPDF=Y")</f>
        <v>#NAME?</v>
      </c>
      <c r="CY169" s="4" t="e">
        <f ca="1">_xll.BDH($C$153,"INVENT_TURN","FQ1 2017","FQ1 2017","Currency=INR","Period=FQ","BEST_FPERIOD_OVERRIDE=FQ","FILING_STATUS=OR","EQY_CONSOLIDATED=Y","FA_ADJUSTED=GAAP","Sort=A","Dates=H","DateFormat=P","Fill=—","Direction=H","UseDPDF=Y")</f>
        <v>#NAME?</v>
      </c>
      <c r="CZ169" s="2" t="e">
        <f ca="1">_xll.BDH($C$153,"INVENT_DAYS","FQ1 2017","FQ1 2017","Currency=INR","Period=FQ","BEST_FPERIOD_OVERRIDE=FQ","FILING_STATUS=OR","EQY_CONSOLIDATED=Y","FA_ADJUSTED=GAAP","Sort=A","Dates=H","DateFormat=P","Fill=—","Direction=H","UseDPDF=Y")</f>
        <v>#NAME?</v>
      </c>
      <c r="DA169" s="4" t="e">
        <f ca="1">_xll.BDH($C$153,"ACCOUNTS_PAYABLE_TURNOVER","FQ1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69" s="2" t="e">
        <f ca="1">_xll.BDH($C$153,"ACCOUNTS_PAYABLE_TURNOVER_DAYS","FQ1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69" s="4" t="e">
        <f ca="1">_xll.BDH($C$153,"CASH_CONVERSION_CYCLE","FQ1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69" s="4" t="e">
        <f ca="1">_xll.BDH($C$153,"INV_TO_CASH_DAYS","FQ1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169" s="5" t="e">
        <f ca="1">_xll.BDH($C$153,"BS_INVENTORIES","FQ1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169" s="3" t="e">
        <f ca="1">_xll.BDH($C$153,"INVTRY_RAW_MATERIALS","FQ1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69" s="3" t="e">
        <f ca="1">_xll.BDH($C$153,"INVTRY_IN_PROGRESS","FQ1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69" s="3" t="e">
        <f ca="1">_xll.BDH($C$153,"INVTRY_FINISHED_GOODS","FQ1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69" s="3" t="e">
        <f ca="1">_xll.BDH($C$153,"BS_OTHER_INV","FQ1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70" spans="1:113" x14ac:dyDescent="0.3">
      <c r="A170" s="6"/>
      <c r="B170" s="6"/>
      <c r="C170" s="6"/>
      <c r="D170" s="6"/>
      <c r="E170" t="s">
        <v>79</v>
      </c>
      <c r="F170" t="e">
        <f ca="1">_xll.BDH($C$153,"RETURN_COM_EQY","FQ2 2017","FQ2 2017","Currency=INR","Period=FQ","BEST_FPERIOD_OVERRIDE=FQ","FILING_STATUS=OR","EQY_CONSOLIDATED=Y","FA_ADJUSTED=GAAP","Sort=A","Dates=H","DateFormat=P","Fill=—","Direction=H","UseDPDF=Y")</f>
        <v>#NAME?</v>
      </c>
      <c r="G170" t="e">
        <f ca="1">_xll.BDH($C$153,"RETURN_ON_ASSET","FQ2 2017","FQ2 2017","Currency=INR","Period=FQ","BEST_FPERIOD_OVERRIDE=FQ","FILING_STATUS=OR","EQY_CONSOLIDATED=Y","FA_ADJUSTED=GAAP","Sort=A","Dates=H","DateFormat=P","Fill=—","Direction=H","UseDPDF=Y")</f>
        <v>#NAME?</v>
      </c>
      <c r="H170" t="e">
        <f ca="1">_xll.BDH($C$153,"RETURN_ON_CAP","FQ2 2017","FQ2 2017","Currency=INR","Period=FQ","BEST_FPERIOD_OVERRIDE=FQ","FILING_STATUS=OR","EQY_CONSOLIDATED=Y","FA_ADJUSTED=GAAP","Sort=A","Dates=H","DateFormat=P","Fill=—","Direction=H","UseDPDF=Y")</f>
        <v>#NAME?</v>
      </c>
      <c r="I170" t="e">
        <f ca="1">_xll.BDH($C$153,"RETURN_ON_INV_CAPITAL","FQ2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70" t="e">
        <f ca="1">_xll.BDH($C$153,"EBITDA_TO_REVENUE","FQ2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170" t="e">
        <f ca="1">_xll.BDH($C$153,"OPER_MARGIN","FQ2 2017","FQ2 2017","Currency=INR","Period=FQ","BEST_FPERIOD_OVERRIDE=FQ","FILING_STATUS=OR","EQY_CONSOLIDATED=Y","FA_ADJUSTED=GAAP","Sort=A","Dates=H","DateFormat=P","Fill=—","Direction=H","UseDPDF=Y")</f>
        <v>#NAME?</v>
      </c>
      <c r="L170" t="e">
        <f ca="1">_xll.BDH($C$153,"INCREMENTAL_OPERATING_MARGIN","FQ2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70" t="e">
        <f ca="1">_xll.BDH($C$153,"PRETAX_INC_TO_NET_SALES","FQ2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70" t="e">
        <f ca="1">_xll.BDH($C$153,"INC_BEF_XO_ITEMS_TO_NET_SALES","FQ2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70" t="e">
        <f ca="1">_xll.BDH($C$153,"PROF_MARGIN","FQ2 2017","FQ2 2017","Currency=INR","Period=FQ","BEST_FPERIOD_OVERRIDE=FQ","FILING_STATUS=OR","EQY_CONSOLIDATED=Y","FA_ADJUSTED=GAAP","Sort=A","Dates=H","DateFormat=P","Fill=—","Direction=H","UseDPDF=Y")</f>
        <v>#NAME?</v>
      </c>
      <c r="P170" t="e">
        <f ca="1">_xll.BDH($C$153,"NET_INCOME_TO_COMMON_MARGIN","FQ2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70" t="e">
        <f ca="1">_xll.BDH($C$153,"EFF_TAX_RATE","FQ2 2017","FQ2 2017","Currency=INR","Period=FQ","BEST_FPERIOD_OVERRIDE=FQ","FILING_STATUS=OR","EQY_CONSOLIDATED=Y","FA_ADJUSTED=GAAP","Sort=A","Dates=H","DateFormat=P","Fill=—","Direction=H","UseDPDF=Y")</f>
        <v>#NAME?</v>
      </c>
      <c r="R170" t="e">
        <f ca="1">_xll.BDH($C$153,"DVD_PAYOUT_RATIO","FQ2 2017","FQ2 2017","Currency=INR","Period=FQ","BEST_FPERIOD_OVERRIDE=FQ","FILING_STATUS=OR","EQY_CONSOLIDATED=Y","FA_ADJUSTED=GAAP","Sort=A","Dates=H","DateFormat=P","Fill=—","Direction=H","UseDPDF=Y")</f>
        <v>#NAME?</v>
      </c>
      <c r="S170" t="e">
        <f ca="1">_xll.BDH($C$153,"SUSTAIN_GROWTH_RT","FQ2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170" s="2" t="e">
        <f ca="1">_xll.BDH($C$153,"SALES_GROWTH","FQ2 2017","FQ2 2017","Currency=INR","Period=FQ","BEST_FPERIOD_OVERRIDE=FQ","FILING_STATUS=OR","EQY_CONSOLIDATED=Y","FA_ADJUSTED=GAAP","Sort=A","Dates=H","DateFormat=P","Fill=—","Direction=H","UseDPDF=Y")</f>
        <v>#NAME?</v>
      </c>
      <c r="U170" s="2" t="e">
        <f ca="1">_xll.BDH($C$153,"EBITDA_GROWTH","FQ2 2017","FQ2 2017","Currency=INR","Period=FQ","BEST_FPERIOD_OVERRIDE=FQ","FILING_STATUS=OR","EQY_CONSOLIDATED=Y","FA_ADJUSTED=GAAP","Sort=A","Dates=H","DateFormat=P","Fill=—","Direction=H","UseDPDF=Y")</f>
        <v>#NAME?</v>
      </c>
      <c r="V170" s="2" t="e">
        <f ca="1">_xll.BDH($C$153,"OPER_INC_GROWTH","FQ2 2017","FQ2 2017","Currency=INR","Period=FQ","BEST_FPERIOD_OVERRIDE=FQ","FILING_STATUS=OR","EQY_CONSOLIDATED=Y","FA_ADJUSTED=GAAP","Sort=A","Dates=H","DateFormat=P","Fill=—","Direction=H","UseDPDF=Y")</f>
        <v>#NAME?</v>
      </c>
      <c r="W170" s="2" t="e">
        <f ca="1">_xll.BDH($C$153,"EARN_FOR_COM_GROWTH","FQ2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70" s="2" t="e">
        <f ca="1">_xll.BDH($C$153,"DILUTED_EPS_AFT_XO_ITEMS_GROWTH","FQ2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70" s="2" t="e">
        <f ca="1">_xll.BDH($C$153,"DIVIDEND_PER_SHARE_1_YEAR_GROWTH","FQ2 2017","FQ2 2017","Currency=INR","Period=FQ","BEST_FPERIOD_OVERRIDE=FQ","FILING_STATUS=OR","EQY_CONSOLIDATED=Y","Sort=A","Dates=H","DateFormat=P","Fill=—","Direction=H","UseDPDF=Y")</f>
        <v>#NAME?</v>
      </c>
      <c r="Z170" s="2" t="e">
        <f ca="1">_xll.BDH($C$153,"ACCOUNTS_RECEIVABLE_GROWTH","FQ2 2017","FQ2 2017","Currency=INR","Period=FQ","BEST_FPERIOD_OVERRIDE=FQ","FILING_STATUS=OR","EQY_CONSOLIDATED=Y","Sort=A","Dates=H","DateFormat=P","Fill=—","Direction=H","UseDPDF=Y")</f>
        <v>#NAME?</v>
      </c>
      <c r="AA170" s="2" t="e">
        <f ca="1">_xll.BDH($C$153,"INVENTORY_GROWTH","FQ2 2017","FQ2 2017","Currency=INR","Period=FQ","BEST_FPERIOD_OVERRIDE=FQ","FILING_STATUS=OR","EQY_CONSOLIDATED=Y","Sort=A","Dates=H","DateFormat=P","Fill=—","Direction=H","UseDPDF=Y")</f>
        <v>#NAME?</v>
      </c>
      <c r="AB170" s="2" t="e">
        <f ca="1">_xll.BDH($C$153,"NET_FIXED_ASSETS_1_YEAR_GROWTH","FQ2 2017","FQ2 2017","Currency=INR","Period=FQ","BEST_FPERIOD_OVERRIDE=FQ","FILING_STATUS=OR","EQY_CONSOLIDATED=Y","Sort=A","Dates=H","DateFormat=P","Fill=—","Direction=H","UseDPDF=Y")</f>
        <v>#NAME?</v>
      </c>
      <c r="AC170" s="2" t="e">
        <f ca="1">_xll.BDH($C$153,"ASSET_GROWTH","FQ2 2017","FQ2 2017","Currency=INR","Period=FQ","BEST_FPERIOD_OVERRIDE=FQ","FILING_STATUS=OR","EQY_CONSOLIDATED=Y","Sort=A","Dates=H","DateFormat=P","Fill=—","Direction=H","UseDPDF=Y")</f>
        <v>#NAME?</v>
      </c>
      <c r="AD170" s="2" t="e">
        <f ca="1">_xll.BDH($C$153,"MODIFIED_WORK_CAP_GROWTH","FQ2 2017","FQ2 2017","Currency=INR","Period=FQ","BEST_FPERIOD_OVERRIDE=FQ","FILING_STATUS=OR","EQY_CONSOLIDATED=Y","Sort=A","Dates=H","DateFormat=P","Fill=—","Direction=H","UseDPDF=Y")</f>
        <v>#NAME?</v>
      </c>
      <c r="AE170" s="2" t="e">
        <f ca="1">_xll.BDH($C$153,"WORK_CAP_GROWTH","FQ2 2017","FQ2 2017","Currency=INR","Period=FQ","BEST_FPERIOD_OVERRIDE=FQ","FILING_STATUS=OR","EQY_CONSOLIDATED=Y","Sort=A","Dates=H","DateFormat=P","Fill=—","Direction=H","UseDPDF=Y")</f>
        <v>#NAME?</v>
      </c>
      <c r="AF170" s="2" t="e">
        <f ca="1">_xll.BDH($C$153,"ACCOUNTS_PAYABLE_GROWTH_1YR","FQ2 2017","FQ2 2017","Currency=INR","Period=FQ","BEST_FPERIOD_OVERRIDE=FQ","FILING_STATUS=OR","EQY_CONSOLIDATED=Y","Sort=A","Dates=H","DateFormat=P","Fill=—","Direction=H","UseDPDF=Y")</f>
        <v>#NAME?</v>
      </c>
      <c r="AG170" s="2" t="e">
        <f ca="1">_xll.BDH($C$153,"SHORT_TERM_DEBT_1_YEAR_GROWTH","FQ2 2017","FQ2 2017","Currency=INR","Period=FQ","BEST_FPERIOD_OVERRIDE=FQ","FILING_STATUS=OR","EQY_CONSOLIDATED=Y","Sort=A","Dates=H","DateFormat=P","Fill=—","Direction=H","UseDPDF=Y")</f>
        <v>#NAME?</v>
      </c>
      <c r="AH170" s="2" t="e">
        <f ca="1">_xll.BDH($C$153,"TOTAL_DEBT_1_YEAR_GROWTH","FQ2 2017","FQ2 2017","Currency=INR","Period=FQ","BEST_FPERIOD_OVERRIDE=FQ","FILING_STATUS=OR","EQY_CONSOLIDATED=Y","Sort=A","Dates=H","DateFormat=P","Fill=—","Direction=H","UseDPDF=Y")</f>
        <v>#NAME?</v>
      </c>
      <c r="AI170" s="2" t="e">
        <f ca="1">_xll.BDH($C$153,"TOTAL_EQUITY_1_YEAR_GROWTH","FQ2 2017","FQ2 2017","Currency=INR","Period=FQ","BEST_FPERIOD_OVERRIDE=FQ","FILING_STATUS=OR","EQY_CONSOLIDATED=Y","Sort=A","Dates=H","DateFormat=P","Fill=—","Direction=H","UseDPDF=Y")</f>
        <v>#NAME?</v>
      </c>
      <c r="AJ170" s="2" t="e">
        <f ca="1">_xll.BDH($C$153,"GROWTH_IN_CAP","FQ2 2017","FQ2 2017","Currency=INR","Period=FQ","BEST_FPERIOD_OVERRIDE=FQ","FILING_STATUS=OR","EQY_CONSOLIDATED=Y","Sort=A","Dates=H","DateFormat=P","Fill=—","Direction=H","UseDPDF=Y")</f>
        <v>#NAME?</v>
      </c>
      <c r="AK170" s="2" t="e">
        <f ca="1">_xll.BDH($C$153,"BVPS_GROWTH","FQ2 2017","FQ2 2017","Currency=INR","Period=FQ","BEST_FPERIOD_OVERRIDE=FQ","FILING_STATUS=OR","EQY_CONSOLIDATED=Y","Sort=A","Dates=H","DateFormat=P","Fill=—","Direction=H","UseDPDF=Y")</f>
        <v>#NAME?</v>
      </c>
      <c r="AL170" s="2" t="e">
        <f ca="1">_xll.BDH($C$153,"CASH_FLOW_GROWTH","FQ2 2017","FQ2 2017","Currency=INR","Period=FQ","BEST_FPERIOD_OVERRIDE=FQ","FILING_STATUS=OR","EQY_CONSOLIDATED=Y","Sort=A","Dates=H","DateFormat=P","Fill=—","Direction=H","UseDPDF=Y")</f>
        <v>#NAME?</v>
      </c>
      <c r="AM170" s="2" t="e">
        <f ca="1">_xll.BDH($C$153,"GEO_GROW_NET_SALES","FQ2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70" s="2" t="e">
        <f ca="1">_xll.BDH($C$153,"GEO_GROW_EBITDA","FQ2 2017","FQ2 2017","Currency=INR","Period=FQ","BEST_FPERIOD_OVERRIDE=FQ","FILING_STATUS=OR","EQY_CONSOLIDATED=Y","FA_ADJUSTED=GAAP","Sort=A","Dates=H","DateFormat=P","Fill=—","Direction=H","UseDPDF=Y")</f>
        <v>#NAME?</v>
      </c>
      <c r="AO170" s="2" t="e">
        <f ca="1">_xll.BDH($C$153,"GEO_GROW_OPER_INC","FQ2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70" s="2" t="e">
        <f ca="1">_xll.BDH($C$153,"NET_INCOME_TO_COMMON_5_YR_GROWTH","FQ2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70" s="2" t="e">
        <f ca="1">_xll.BDH($C$153,"5Y_GEO_GROWTH_DILUTED_EPS","FQ2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70" s="2" t="e">
        <f ca="1">_xll.BDH($C$153,"GEO_GROW_DVD_PER_SH","FQ2 2017","FQ2 2017","Currency=INR","Period=FQ","BEST_FPERIOD_OVERRIDE=FQ","FILING_STATUS=OR","EQY_CONSOLIDATED=Y","Sort=A","Dates=H","DateFormat=P","Fill=—","Direction=H","UseDPDF=Y")</f>
        <v>#NAME?</v>
      </c>
      <c r="AS170" s="2" t="e">
        <f ca="1">_xll.BDH($C$153,"ACCOUNTS_RECEIVABLE_5_YR_GROWTH","FQ2 2017","FQ2 2017","Currency=INR","Period=FQ","BEST_FPERIOD_OVERRIDE=FQ","FILING_STATUS=OR","EQY_CONSOLIDATED=Y","Sort=A","Dates=H","DateFormat=P","Fill=—","Direction=H","UseDPDF=Y")</f>
        <v>#NAME?</v>
      </c>
      <c r="AT170" s="2" t="e">
        <f ca="1">_xll.BDH($C$153,"INVENTORY_5_YEAR_GROWTH","FQ2 2017","FQ2 2017","Currency=INR","Period=FQ","BEST_FPERIOD_OVERRIDE=FQ","FILING_STATUS=OR","EQY_CONSOLIDATED=Y","Sort=A","Dates=H","DateFormat=P","Fill=—","Direction=H","UseDPDF=Y")</f>
        <v>#NAME?</v>
      </c>
      <c r="AU170" s="2" t="e">
        <f ca="1">_xll.BDH($C$153,"NET_FIXED_ASSETS_5_YEAR_GROWTH","FQ2 2017","FQ2 2017","Currency=INR","Period=FQ","BEST_FPERIOD_OVERRIDE=FQ","FILING_STATUS=OR","EQY_CONSOLIDATED=Y","Sort=A","Dates=H","DateFormat=P","Fill=—","Direction=H","UseDPDF=Y")</f>
        <v>#NAME?</v>
      </c>
      <c r="AV170" s="2" t="e">
        <f ca="1">_xll.BDH($C$153,"GEO_GROW_TOT_ASSET","FQ2 2017","FQ2 2017","Currency=INR","Period=FQ","BEST_FPERIOD_OVERRIDE=FQ","FILING_STATUS=OR","EQY_CONSOLIDATED=Y","Sort=A","Dates=H","DateFormat=P","Fill=—","Direction=H","UseDPDF=Y")</f>
        <v>#NAME?</v>
      </c>
      <c r="AW170" s="2" t="e">
        <f ca="1">_xll.BDH($C$153,"MODIFIED_WORKING_CPTL_5YR_GRWTH","FQ2 2017","FQ2 2017","Currency=INR","Period=FQ","BEST_FPERIOD_OVERRIDE=FQ","FILING_STATUS=OR","EQY_CONSOLIDATED=Y","Sort=A","Dates=H","DateFormat=P","Fill=—","Direction=H","UseDPDF=Y")</f>
        <v>#NAME?</v>
      </c>
      <c r="AX170" s="2" t="e">
        <f ca="1">_xll.BDH($C$153,"WORKING_CAPITAL_5_YEAR_GROWTH","FQ2 2017","FQ2 2017","Currency=INR","Period=FQ","BEST_FPERIOD_OVERRIDE=FQ","FILING_STATUS=OR","EQY_CONSOLIDATED=Y","Sort=A","Dates=H","DateFormat=P","Fill=—","Direction=H","UseDPDF=Y")</f>
        <v>#NAME?</v>
      </c>
      <c r="AY170" s="2" t="e">
        <f ca="1">_xll.BDH($C$153,"ACCOUNTS_PAYABLE_5_YEAR_GROWTH","FQ2 2017","FQ2 2017","Currency=INR","Period=FQ","BEST_FPERIOD_OVERRIDE=FQ","FILING_STATUS=OR","EQY_CONSOLIDATED=Y","Sort=A","Dates=H","DateFormat=P","Fill=—","Direction=H","UseDPDF=Y")</f>
        <v>#NAME?</v>
      </c>
      <c r="AZ170" s="2" t="e">
        <f ca="1">_xll.BDH($C$153,"SHORT_TERM_DEBT_5_YEAR_GROWTH","FQ2 2017","FQ2 2017","Currency=INR","Period=FQ","BEST_FPERIOD_OVERRIDE=FQ","FILING_STATUS=OR","EQY_CONSOLIDATED=Y","Sort=A","Dates=H","DateFormat=P","Fill=—","Direction=H","UseDPDF=Y")</f>
        <v>#NAME?</v>
      </c>
      <c r="BA170" s="2" t="e">
        <f ca="1">_xll.BDH($C$153,"TOTAL_DEBT_5_YEAR_GROWTH","FQ2 2017","FQ2 2017","Currency=INR","Period=FQ","BEST_FPERIOD_OVERRIDE=FQ","FILING_STATUS=OR","EQY_CONSOLIDATED=Y","Sort=A","Dates=H","DateFormat=P","Fill=—","Direction=H","UseDPDF=Y")</f>
        <v>#NAME?</v>
      </c>
      <c r="BB170" s="2" t="e">
        <f ca="1">_xll.BDH($C$153,"GEO_GROW_TOT_SHRHLDR_EQY","FQ2 2017","FQ2 2017","Currency=INR","Period=FQ","BEST_FPERIOD_OVERRIDE=FQ","FILING_STATUS=OR","EQY_CONSOLIDATED=Y","Sort=A","Dates=H","DateFormat=P","Fill=—","Direction=H","UseDPDF=Y")</f>
        <v>#NAME?</v>
      </c>
      <c r="BC170" s="2" t="e">
        <f ca="1">_xll.BDH($C$153,"TOTAL_CAPITAL_5_YEAR_GROWTH","FQ2 2017","FQ2 2017","Currency=INR","Period=FQ","BEST_FPERIOD_OVERRIDE=FQ","FILING_STATUS=OR","EQY_CONSOLIDATED=Y","Sort=A","Dates=H","DateFormat=P","Fill=—","Direction=H","UseDPDF=Y")</f>
        <v>#NAME?</v>
      </c>
      <c r="BD170" s="2" t="e">
        <f ca="1">_xll.BDH($C$153,"GEO_GROW_BOOK_VAL","FQ2 2017","FQ2 2017","Currency=INR","Period=FQ","BEST_FPERIOD_OVERRIDE=FQ","FILING_STATUS=OR","EQY_CONSOLIDATED=Y","Sort=A","Dates=H","DateFormat=P","Fill=—","Direction=H","UseDPDF=Y")</f>
        <v>#NAME?</v>
      </c>
      <c r="BE170" s="2" t="e">
        <f ca="1">_xll.BDH($C$153,"GEO_GROW_CASH_OPER_ACT","FQ2 2017","FQ2 2017","Currency=INR","Period=FQ","BEST_FPERIOD_OVERRIDE=FQ","FILING_STATUS=OR","EQY_CONSOLIDATED=Y","Sort=A","Dates=H","DateFormat=P","Fill=—","Direction=H","UseDPDF=Y")</f>
        <v>#NAME?</v>
      </c>
      <c r="BF170" s="2" t="e">
        <f ca="1">_xll.BDH($C$153,"REVENUE_SEQUENTIAL_GROWTH","FQ2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70" s="2" t="e">
        <f ca="1">_xll.BDH($C$153,"EBITDA_SEQUENTIAL_GROWTH","FQ2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70" s="2" t="e">
        <f ca="1">_xll.BDH($C$153,"OPERATING_INCOME_SEQ_GROWTH","FQ2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70" s="2" t="e">
        <f ca="1">_xll.BDH($C$153,"NET_INCOME_TO_COMMON_SEQ_GROWTH","FQ2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70" s="2" t="e">
        <f ca="1">_xll.BDH($C$153,"EPS_DILUTED_SEQUENTIAL_GROWTH","FQ2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70" s="2" t="e">
        <f ca="1">_xll.BDH($C$153,"DPS_SEQUENTIAL_GROWTH","FQ2 2017","FQ2 2017","Currency=INR","Period=FQ","BEST_FPERIOD_OVERRIDE=FQ","FILING_STATUS=OR","EQY_CONSOLIDATED=Y","Sort=A","Dates=H","DateFormat=P","Fill=—","Direction=H","UseDPDF=Y")</f>
        <v>#NAME?</v>
      </c>
      <c r="BL170" s="2" t="e">
        <f ca="1">_xll.BDH($C$153,"ACCOUNTS_RECEIVABLE_SEQ_GROWTH","FQ2 2017","FQ2 2017","Currency=INR","Period=FQ","BEST_FPERIOD_OVERRIDE=FQ","FILING_STATUS=OR","EQY_CONSOLIDATED=Y","Sort=A","Dates=H","DateFormat=P","Fill=—","Direction=H","UseDPDF=Y")</f>
        <v>#NAME?</v>
      </c>
      <c r="BM170" s="2" t="e">
        <f ca="1">_xll.BDH($C$153,"INVENTORY_SEQUENTIAL_GROWTH","FQ2 2017","FQ2 2017","Currency=INR","Period=FQ","BEST_FPERIOD_OVERRIDE=FQ","FILING_STATUS=OR","EQY_CONSOLIDATED=Y","Sort=A","Dates=H","DateFormat=P","Fill=—","Direction=H","UseDPDF=Y")</f>
        <v>#NAME?</v>
      </c>
      <c r="BN170" s="2" t="e">
        <f ca="1">_xll.BDH($C$153,"FIXED_ASSETS_SEQUENTIAL_GROWTH","FQ2 2017","FQ2 2017","Currency=INR","Period=FQ","BEST_FPERIOD_OVERRIDE=FQ","FILING_STATUS=OR","EQY_CONSOLIDATED=Y","Sort=A","Dates=H","DateFormat=P","Fill=—","Direction=H","UseDPDF=Y")</f>
        <v>#NAME?</v>
      </c>
      <c r="BO170" s="2" t="e">
        <f ca="1">_xll.BDH($C$153,"TOTAL_ASSETS_SEQUENTIAL_GROWTH","FQ2 2017","FQ2 2017","Currency=INR","Period=FQ","BEST_FPERIOD_OVERRIDE=FQ","FILING_STATUS=OR","EQY_CONSOLIDATED=Y","Sort=A","Dates=H","DateFormat=P","Fill=—","Direction=H","UseDPDF=Y")</f>
        <v>#NAME?</v>
      </c>
      <c r="BP170" s="2" t="e">
        <f ca="1">_xll.BDH($C$153,"MODIFIED_WORKING_CPTL_SEQ_GRWTH","FQ2 2017","FQ2 2017","Currency=INR","Period=FQ","BEST_FPERIOD_OVERRIDE=FQ","FILING_STATUS=OR","EQY_CONSOLIDATED=Y","Sort=A","Dates=H","DateFormat=P","Fill=—","Direction=H","UseDPDF=Y")</f>
        <v>#NAME?</v>
      </c>
      <c r="BQ170" s="2" t="e">
        <f ca="1">_xll.BDH($C$153,"WORKING_CAPITAL_SEQ_GROWTH","FQ2 2017","FQ2 2017","Currency=INR","Period=FQ","BEST_FPERIOD_OVERRIDE=FQ","FILING_STATUS=OR","EQY_CONSOLIDATED=Y","Sort=A","Dates=H","DateFormat=P","Fill=—","Direction=H","UseDPDF=Y")</f>
        <v>#NAME?</v>
      </c>
      <c r="BR170" s="2" t="e">
        <f ca="1">_xll.BDH($C$153,"ACCOUNTS_PAYABLE_SEQ_GROWTH","FQ2 2017","FQ2 2017","Currency=INR","Period=FQ","BEST_FPERIOD_OVERRIDE=FQ","FILING_STATUS=OR","EQY_CONSOLIDATED=Y","Sort=A","Dates=H","DateFormat=P","Fill=—","Direction=H","UseDPDF=Y")</f>
        <v>#NAME?</v>
      </c>
      <c r="BS170" s="2" t="e">
        <f ca="1">_xll.BDH($C$153,"ST_DEBT_SEQUENTIAL_GROWTH","FQ2 2017","FQ2 2017","Currency=INR","Period=FQ","BEST_FPERIOD_OVERRIDE=FQ","FILING_STATUS=OR","EQY_CONSOLIDATED=Y","Sort=A","Dates=H","DateFormat=P","Fill=—","Direction=H","UseDPDF=Y")</f>
        <v>#NAME?</v>
      </c>
      <c r="BT170" s="2" t="e">
        <f ca="1">_xll.BDH($C$153,"TOTAL_DEBT_SEQUENTIAL_GROWTH","FQ2 2017","FQ2 2017","Currency=INR","Period=FQ","BEST_FPERIOD_OVERRIDE=FQ","FILING_STATUS=OR","EQY_CONSOLIDATED=Y","Sort=A","Dates=H","DateFormat=P","Fill=—","Direction=H","UseDPDF=Y")</f>
        <v>#NAME?</v>
      </c>
      <c r="BU170" s="2" t="e">
        <f ca="1">_xll.BDH($C$153,"TOTAL_EQUITY_SEQUENTIAL_GROWTH","FQ2 2017","FQ2 2017","Currency=INR","Period=FQ","BEST_FPERIOD_OVERRIDE=FQ","FILING_STATUS=OR","EQY_CONSOLIDATED=Y","Sort=A","Dates=H","DateFormat=P","Fill=—","Direction=H","UseDPDF=Y")</f>
        <v>#NAME?</v>
      </c>
      <c r="BV170" s="2" t="e">
        <f ca="1">_xll.BDH($C$153,"TOTAL_CAPITAL_SEQUENTIAL_GROWTH","FQ2 2017","FQ2 2017","Currency=INR","Period=FQ","BEST_FPERIOD_OVERRIDE=FQ","FILING_STATUS=OR","EQY_CONSOLIDATED=Y","Sort=A","Dates=H","DateFormat=P","Fill=—","Direction=H","UseDPDF=Y")</f>
        <v>#NAME?</v>
      </c>
      <c r="BW170" s="2" t="e">
        <f ca="1">_xll.BDH($C$153,"BPS_SEQUENTIAL_GROWTH","FQ2 2017","FQ2 2017","Currency=INR","Period=FQ","BEST_FPERIOD_OVERRIDE=FQ","FILING_STATUS=OR","EQY_CONSOLIDATED=Y","Sort=A","Dates=H","DateFormat=P","Fill=—","Direction=H","UseDPDF=Y")</f>
        <v>#NAME?</v>
      </c>
      <c r="BX170" s="2" t="e">
        <f ca="1">_xll.BDH($C$153,"CFO_SEQUENTIAL_GROWTH","FQ2 2017","FQ2 2017","Currency=INR","Period=FQ","BEST_FPERIOD_OVERRIDE=FQ","FILING_STATUS=OR","EQY_CONSOLIDATED=Y","Sort=A","Dates=H","DateFormat=P","Fill=—","Direction=H","UseDPDF=Y")</f>
        <v>#NAME?</v>
      </c>
      <c r="BY170" s="3" t="e">
        <f ca="1">_xll.BDH($C$153,"SHORT_AND_LONG_TERM_DEBT","FQ2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70" s="3" t="e">
        <f ca="1">_xll.BDH($C$153,"BS_ST_BORROW","FQ2 2017","FQ2 2017","Currency=INR","Period=FQ","BEST_FPERIOD_OVERRIDE=FQ","FILING_STATUS=OR","EQY_CONSOLIDATED=Y","SCALING_FORMAT=MLN","Sort=A","Dates=H","DateFormat=P","Fill=—","Direction=H","UseDPDF=Y")</f>
        <v>#NAME?</v>
      </c>
      <c r="CA170" s="3" t="e">
        <f ca="1">_xll.BDH($C$153,"BS_LT_BORROW","FQ2 2017","FQ2 2017","Currency=INR","Period=FQ","BEST_FPERIOD_OVERRIDE=FQ","FILING_STATUS=OR","EQY_CONSOLIDATED=Y","SCALING_FORMAT=MLN","Sort=A","Dates=H","DateFormat=P","Fill=—","Direction=H","UseDPDF=Y")</f>
        <v>#NAME?</v>
      </c>
      <c r="CB170" s="2" t="e">
        <f ca="1">_xll.BDH($C$153,"TOT_DEBT_TO_EBITDA","FQ2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70" s="2" t="e">
        <f ca="1">_xll.BDH($C$153,"NET_DEBT_TO_EBITDA","FQ2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70" s="2" t="e">
        <f ca="1">_xll.BDH($C$153,"TOTAL_DEBT_TO_EBIT","FQ2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70" s="2" t="e">
        <f ca="1">_xll.BDH($C$153,"NET_DEBT_TO_EBIT","FQ2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170" s="2" t="e">
        <f ca="1">_xll.BDH($C$153,"EBITDA_TO_INTEREST_EXPN","FQ2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70" s="2" t="e">
        <f ca="1">_xll.BDH($C$153,"COM_EQY_TO_TOT_ASSET","FQ2 2017","FQ2 2017","Currency=INR","Period=FQ","BEST_FPERIOD_OVERRIDE=FQ","FILING_STATUS=OR","EQY_CONSOLIDATED=Y","Sort=A","Dates=H","DateFormat=P","Fill=—","Direction=H","UseDPDF=Y")</f>
        <v>#NAME?</v>
      </c>
      <c r="CH170" s="2" t="e">
        <f ca="1">_xll.BDH($C$153,"LT_DEBT_TO_TOT_EQY","FQ2 2017","FQ2 2017","Currency=INR","Period=FQ","BEST_FPERIOD_OVERRIDE=FQ","FILING_STATUS=OR","EQY_CONSOLIDATED=Y","Sort=A","Dates=H","DateFormat=P","Fill=—","Direction=H","UseDPDF=Y")</f>
        <v>#NAME?</v>
      </c>
      <c r="CI170" s="2" t="e">
        <f ca="1">_xll.BDH($C$153,"LT_DEBT_TO_TOT_CAP","FQ2 2017","FQ2 2017","Currency=INR","Period=FQ","BEST_FPERIOD_OVERRIDE=FQ","FILING_STATUS=OR","EQY_CONSOLIDATED=Y","Sort=A","Dates=H","DateFormat=P","Fill=—","Direction=H","UseDPDF=Y")</f>
        <v>#NAME?</v>
      </c>
      <c r="CJ170" s="2" t="e">
        <f ca="1">_xll.BDH($C$153,"LT_DEBT_TO_TOT_ASSET","FQ2 2017","FQ2 2017","Currency=INR","Period=FQ","BEST_FPERIOD_OVERRIDE=FQ","FILING_STATUS=OR","EQY_CONSOLIDATED=Y","Sort=A","Dates=H","DateFormat=P","Fill=—","Direction=H","UseDPDF=Y")</f>
        <v>#NAME?</v>
      </c>
      <c r="CK170" s="2" t="e">
        <f ca="1">_xll.BDH($C$153,"TOT_DEBT_TO_TOT_EQY","FQ2 2017","FQ2 2017","Currency=INR","Period=FQ","BEST_FPERIOD_OVERRIDE=FQ","FILING_STATUS=OR","EQY_CONSOLIDATED=Y","Sort=A","Dates=H","DateFormat=P","Fill=—","Direction=H","UseDPDF=Y")</f>
        <v>#NAME?</v>
      </c>
      <c r="CL170" s="2" t="e">
        <f ca="1">_xll.BDH($C$153,"TOT_DEBT_TO_TOT_CAP","FQ2 2017","FQ2 2017","Currency=INR","Period=FQ","BEST_FPERIOD_OVERRIDE=FQ","FILING_STATUS=OR","EQY_CONSOLIDATED=Y","Sort=A","Dates=H","DateFormat=P","Fill=—","Direction=H","UseDPDF=Y")</f>
        <v>#NAME?</v>
      </c>
      <c r="CM170" s="2" t="e">
        <f ca="1">_xll.BDH($C$153,"TOT_DEBT_TO_TOT_ASSET","FQ2 2017","FQ2 2017","Currency=INR","Period=FQ","BEST_FPERIOD_OVERRIDE=FQ","FILING_STATUS=OR","EQY_CONSOLIDATED=Y","Sort=A","Dates=H","DateFormat=P","Fill=—","Direction=H","UseDPDF=Y")</f>
        <v>#NAME?</v>
      </c>
      <c r="CN170" s="2" t="e">
        <f ca="1">_xll.BDH($C$153,"NET_DEBT_TO_SHRHLDR_EQTY","FQ2 2017","FQ2 2017","Currency=INR","Period=FQ","BEST_FPERIOD_OVERRIDE=FQ","FILING_STATUS=OR","EQY_CONSOLIDATED=Y","Sort=A","Dates=H","DateFormat=P","Fill=—","Direction=H","UseDPDF=Y")</f>
        <v>#NAME?</v>
      </c>
      <c r="CO170" s="2" t="e">
        <f ca="1">_xll.BDH($C$153,"NET_DEBT_%_CAPITAL","FQ2 2017","FQ2 2017","Currency=INR","Period=FQ","BEST_FPERIOD_OVERRIDE=FQ","FILING_STATUS=OR","EQY_CONSOLIDATED=Y","Sort=A","Dates=H","DateFormat=P","Fill=—","Direction=H","UseDPDF=Y")</f>
        <v>#NAME?</v>
      </c>
      <c r="CP170" s="3" t="e">
        <f ca="1">_xll.BDH($C$153,"EBITDA","FQ2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70" s="3" t="e">
        <f ca="1">_xll.BDH($C$153,"EBITDA_AFTER_CAPEX","FQ2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70" s="3" t="e">
        <f ca="1">_xll.BDH($C$153,"IS_OPER_INC","FQ2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70" s="2" t="e">
        <f ca="1">_xll.BDH($C$153,"CASH_RATIO","FQ2 2017","FQ2 2017","Currency=INR","Period=FQ","BEST_FPERIOD_OVERRIDE=FQ","FILING_STATUS=OR","EQY_CONSOLIDATED=Y","Sort=A","Dates=H","DateFormat=P","Fill=—","Direction=H","UseDPDF=Y")</f>
        <v>#NAME?</v>
      </c>
      <c r="CT170" s="2" t="e">
        <f ca="1">_xll.BDH($C$153,"CUR_RATIO","FQ2 2017","FQ2 2017","Currency=INR","Period=FQ","BEST_FPERIOD_OVERRIDE=FQ","FILING_STATUS=OR","EQY_CONSOLIDATED=Y","Sort=A","Dates=H","DateFormat=P","Fill=—","Direction=H","UseDPDF=Y")</f>
        <v>#NAME?</v>
      </c>
      <c r="CU170" s="2" t="e">
        <f ca="1">_xll.BDH($C$153,"QUICK_RATIO","FQ2 2017","FQ2 2017","Currency=INR","Period=FQ","BEST_FPERIOD_OVERRIDE=FQ","FILING_STATUS=OR","EQY_CONSOLIDATED=Y","Sort=A","Dates=H","DateFormat=P","Fill=—","Direction=H","UseDPDF=Y")</f>
        <v>#NAME?</v>
      </c>
      <c r="CV170" s="2" t="e">
        <f ca="1">_xll.BDH($C$153,"ALTMAN_Z_SCORE","FQ2 2017","FQ2 2017","Currency=INR","Period=FQ","BEST_FPERIOD_OVERRIDE=FQ","FILING_STATUS=OR","EQY_CONSOLIDATED=Y","Sort=A","Dates=H","DateFormat=P","Fill=—","Direction=H","UseDPDF=Y")</f>
        <v>#NAME?</v>
      </c>
      <c r="CW170" s="4" t="e">
        <f ca="1">_xll.BDH($C$153,"ACCT_RCV_TURN","FQ2 2017","FQ2 2017","Currency=INR","Period=FQ","BEST_FPERIOD_OVERRIDE=FQ","FILING_STATUS=OR","EQY_CONSOLIDATED=Y","FA_ADJUSTED=GAAP","Sort=A","Dates=H","DateFormat=P","Fill=—","Direction=H","UseDPDF=Y")</f>
        <v>#NAME?</v>
      </c>
      <c r="CX170" s="2" t="e">
        <f ca="1">_xll.BDH($C$153,"ACCT_RCV_DAYS","FQ2 2017","FQ2 2017","Currency=INR","Period=FQ","BEST_FPERIOD_OVERRIDE=FQ","FILING_STATUS=OR","EQY_CONSOLIDATED=Y","FA_ADJUSTED=GAAP","Sort=A","Dates=H","DateFormat=P","Fill=—","Direction=H","UseDPDF=Y")</f>
        <v>#NAME?</v>
      </c>
      <c r="CY170" s="4" t="e">
        <f ca="1">_xll.BDH($C$153,"INVENT_TURN","FQ2 2017","FQ2 2017","Currency=INR","Period=FQ","BEST_FPERIOD_OVERRIDE=FQ","FILING_STATUS=OR","EQY_CONSOLIDATED=Y","FA_ADJUSTED=GAAP","Sort=A","Dates=H","DateFormat=P","Fill=—","Direction=H","UseDPDF=Y")</f>
        <v>#NAME?</v>
      </c>
      <c r="CZ170" s="2" t="e">
        <f ca="1">_xll.BDH($C$153,"INVENT_DAYS","FQ2 2017","FQ2 2017","Currency=INR","Period=FQ","BEST_FPERIOD_OVERRIDE=FQ","FILING_STATUS=OR","EQY_CONSOLIDATED=Y","FA_ADJUSTED=GAAP","Sort=A","Dates=H","DateFormat=P","Fill=—","Direction=H","UseDPDF=Y")</f>
        <v>#NAME?</v>
      </c>
      <c r="DA170" s="4" t="e">
        <f ca="1">_xll.BDH($C$153,"ACCOUNTS_PAYABLE_TURNOVER","FQ2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70" s="2" t="e">
        <f ca="1">_xll.BDH($C$153,"ACCOUNTS_PAYABLE_TURNOVER_DAYS","FQ2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70" s="4" t="e">
        <f ca="1">_xll.BDH($C$153,"CASH_CONVERSION_CYCLE","FQ2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70" s="4" t="e">
        <f ca="1">_xll.BDH($C$153,"INV_TO_CASH_DAYS","FQ2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170" s="5" t="e">
        <f ca="1">_xll.BDH($C$153,"BS_INVENTORIES","FQ2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170" s="3" t="e">
        <f ca="1">_xll.BDH($C$153,"INVTRY_RAW_MATERIALS","FQ2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70" s="3" t="e">
        <f ca="1">_xll.BDH($C$153,"INVTRY_IN_PROGRESS","FQ2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70" s="3" t="e">
        <f ca="1">_xll.BDH($C$153,"INVTRY_FINISHED_GOODS","FQ2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70" s="3" t="e">
        <f ca="1">_xll.BDH($C$153,"BS_OTHER_INV","FQ2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71" spans="1:113" x14ac:dyDescent="0.3">
      <c r="A171" s="6"/>
      <c r="B171" s="6"/>
      <c r="C171" s="6"/>
      <c r="D171" s="6"/>
      <c r="E171" t="s">
        <v>80</v>
      </c>
      <c r="F171" t="e">
        <f ca="1">_xll.BDH($C$153,"RETURN_COM_EQY","FQ3 2017","FQ3 2017","Currency=INR","Period=FQ","BEST_FPERIOD_OVERRIDE=FQ","FILING_STATUS=OR","EQY_CONSOLIDATED=Y","FA_ADJUSTED=GAAP","Sort=A","Dates=H","DateFormat=P","Fill=—","Direction=H","UseDPDF=Y")</f>
        <v>#NAME?</v>
      </c>
      <c r="G171" t="e">
        <f ca="1">_xll.BDH($C$153,"RETURN_ON_ASSET","FQ3 2017","FQ3 2017","Currency=INR","Period=FQ","BEST_FPERIOD_OVERRIDE=FQ","FILING_STATUS=OR","EQY_CONSOLIDATED=Y","FA_ADJUSTED=GAAP","Sort=A","Dates=H","DateFormat=P","Fill=—","Direction=H","UseDPDF=Y")</f>
        <v>#NAME?</v>
      </c>
      <c r="H171" t="e">
        <f ca="1">_xll.BDH($C$153,"RETURN_ON_CAP","FQ3 2017","FQ3 2017","Currency=INR","Period=FQ","BEST_FPERIOD_OVERRIDE=FQ","FILING_STATUS=OR","EQY_CONSOLIDATED=Y","FA_ADJUSTED=GAAP","Sort=A","Dates=H","DateFormat=P","Fill=—","Direction=H","UseDPDF=Y")</f>
        <v>#NAME?</v>
      </c>
      <c r="I171" t="e">
        <f ca="1">_xll.BDH($C$153,"RETURN_ON_INV_CAPITAL","FQ3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71" t="e">
        <f ca="1">_xll.BDH($C$153,"EBITDA_TO_REVENUE","FQ3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171" t="e">
        <f ca="1">_xll.BDH($C$153,"OPER_MARGIN","FQ3 2017","FQ3 2017","Currency=INR","Period=FQ","BEST_FPERIOD_OVERRIDE=FQ","FILING_STATUS=OR","EQY_CONSOLIDATED=Y","FA_ADJUSTED=GAAP","Sort=A","Dates=H","DateFormat=P","Fill=—","Direction=H","UseDPDF=Y")</f>
        <v>#NAME?</v>
      </c>
      <c r="L171" t="e">
        <f ca="1">_xll.BDH($C$153,"INCREMENTAL_OPERATING_MARGIN","FQ3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71" t="e">
        <f ca="1">_xll.BDH($C$153,"PRETAX_INC_TO_NET_SALES","FQ3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71" t="e">
        <f ca="1">_xll.BDH($C$153,"INC_BEF_XO_ITEMS_TO_NET_SALES","FQ3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71" t="e">
        <f ca="1">_xll.BDH($C$153,"PROF_MARGIN","FQ3 2017","FQ3 2017","Currency=INR","Period=FQ","BEST_FPERIOD_OVERRIDE=FQ","FILING_STATUS=OR","EQY_CONSOLIDATED=Y","FA_ADJUSTED=GAAP","Sort=A","Dates=H","DateFormat=P","Fill=—","Direction=H","UseDPDF=Y")</f>
        <v>#NAME?</v>
      </c>
      <c r="P171" t="e">
        <f ca="1">_xll.BDH($C$153,"NET_INCOME_TO_COMMON_MARGIN","FQ3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71" t="e">
        <f ca="1">_xll.BDH($C$153,"EFF_TAX_RATE","FQ3 2017","FQ3 2017","Currency=INR","Period=FQ","BEST_FPERIOD_OVERRIDE=FQ","FILING_STATUS=OR","EQY_CONSOLIDATED=Y","FA_ADJUSTED=GAAP","Sort=A","Dates=H","DateFormat=P","Fill=—","Direction=H","UseDPDF=Y")</f>
        <v>#NAME?</v>
      </c>
      <c r="R171" t="e">
        <f ca="1">_xll.BDH($C$153,"DVD_PAYOUT_RATIO","FQ3 2017","FQ3 2017","Currency=INR","Period=FQ","BEST_FPERIOD_OVERRIDE=FQ","FILING_STATUS=OR","EQY_CONSOLIDATED=Y","FA_ADJUSTED=GAAP","Sort=A","Dates=H","DateFormat=P","Fill=—","Direction=H","UseDPDF=Y")</f>
        <v>#NAME?</v>
      </c>
      <c r="S171" t="e">
        <f ca="1">_xll.BDH($C$153,"SUSTAIN_GROWTH_RT","FQ3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171" s="2" t="e">
        <f ca="1">_xll.BDH($C$153,"SALES_GROWTH","FQ3 2017","FQ3 2017","Currency=INR","Period=FQ","BEST_FPERIOD_OVERRIDE=FQ","FILING_STATUS=OR","EQY_CONSOLIDATED=Y","FA_ADJUSTED=GAAP","Sort=A","Dates=H","DateFormat=P","Fill=—","Direction=H","UseDPDF=Y")</f>
        <v>#NAME?</v>
      </c>
      <c r="U171" s="2" t="e">
        <f ca="1">_xll.BDH($C$153,"EBITDA_GROWTH","FQ3 2017","FQ3 2017","Currency=INR","Period=FQ","BEST_FPERIOD_OVERRIDE=FQ","FILING_STATUS=OR","EQY_CONSOLIDATED=Y","FA_ADJUSTED=GAAP","Sort=A","Dates=H","DateFormat=P","Fill=—","Direction=H","UseDPDF=Y")</f>
        <v>#NAME?</v>
      </c>
      <c r="V171" s="2" t="e">
        <f ca="1">_xll.BDH($C$153,"OPER_INC_GROWTH","FQ3 2017","FQ3 2017","Currency=INR","Period=FQ","BEST_FPERIOD_OVERRIDE=FQ","FILING_STATUS=OR","EQY_CONSOLIDATED=Y","FA_ADJUSTED=GAAP","Sort=A","Dates=H","DateFormat=P","Fill=—","Direction=H","UseDPDF=Y")</f>
        <v>#NAME?</v>
      </c>
      <c r="W171" s="2" t="e">
        <f ca="1">_xll.BDH($C$153,"EARN_FOR_COM_GROWTH","FQ3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71" s="2" t="e">
        <f ca="1">_xll.BDH($C$153,"DILUTED_EPS_AFT_XO_ITEMS_GROWTH","FQ3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71" s="2" t="e">
        <f ca="1">_xll.BDH($C$153,"DIVIDEND_PER_SHARE_1_YEAR_GROWTH","FQ3 2017","FQ3 2017","Currency=INR","Period=FQ","BEST_FPERIOD_OVERRIDE=FQ","FILING_STATUS=OR","EQY_CONSOLIDATED=Y","Sort=A","Dates=H","DateFormat=P","Fill=—","Direction=H","UseDPDF=Y")</f>
        <v>#NAME?</v>
      </c>
      <c r="Z171" s="2" t="e">
        <f ca="1">_xll.BDH($C$153,"ACCOUNTS_RECEIVABLE_GROWTH","FQ3 2017","FQ3 2017","Currency=INR","Period=FQ","BEST_FPERIOD_OVERRIDE=FQ","FILING_STATUS=OR","EQY_CONSOLIDATED=Y","Sort=A","Dates=H","DateFormat=P","Fill=—","Direction=H","UseDPDF=Y")</f>
        <v>#NAME?</v>
      </c>
      <c r="AA171" s="2" t="e">
        <f ca="1">_xll.BDH($C$153,"INVENTORY_GROWTH","FQ3 2017","FQ3 2017","Currency=INR","Period=FQ","BEST_FPERIOD_OVERRIDE=FQ","FILING_STATUS=OR","EQY_CONSOLIDATED=Y","Sort=A","Dates=H","DateFormat=P","Fill=—","Direction=H","UseDPDF=Y")</f>
        <v>#NAME?</v>
      </c>
      <c r="AB171" s="2" t="e">
        <f ca="1">_xll.BDH($C$153,"NET_FIXED_ASSETS_1_YEAR_GROWTH","FQ3 2017","FQ3 2017","Currency=INR","Period=FQ","BEST_FPERIOD_OVERRIDE=FQ","FILING_STATUS=OR","EQY_CONSOLIDATED=Y","Sort=A","Dates=H","DateFormat=P","Fill=—","Direction=H","UseDPDF=Y")</f>
        <v>#NAME?</v>
      </c>
      <c r="AC171" s="2" t="e">
        <f ca="1">_xll.BDH($C$153,"ASSET_GROWTH","FQ3 2017","FQ3 2017","Currency=INR","Period=FQ","BEST_FPERIOD_OVERRIDE=FQ","FILING_STATUS=OR","EQY_CONSOLIDATED=Y","Sort=A","Dates=H","DateFormat=P","Fill=—","Direction=H","UseDPDF=Y")</f>
        <v>#NAME?</v>
      </c>
      <c r="AD171" s="2" t="e">
        <f ca="1">_xll.BDH($C$153,"MODIFIED_WORK_CAP_GROWTH","FQ3 2017","FQ3 2017","Currency=INR","Period=FQ","BEST_FPERIOD_OVERRIDE=FQ","FILING_STATUS=OR","EQY_CONSOLIDATED=Y","Sort=A","Dates=H","DateFormat=P","Fill=—","Direction=H","UseDPDF=Y")</f>
        <v>#NAME?</v>
      </c>
      <c r="AE171" s="2" t="e">
        <f ca="1">_xll.BDH($C$153,"WORK_CAP_GROWTH","FQ3 2017","FQ3 2017","Currency=INR","Period=FQ","BEST_FPERIOD_OVERRIDE=FQ","FILING_STATUS=OR","EQY_CONSOLIDATED=Y","Sort=A","Dates=H","DateFormat=P","Fill=—","Direction=H","UseDPDF=Y")</f>
        <v>#NAME?</v>
      </c>
      <c r="AF171" s="2" t="e">
        <f ca="1">_xll.BDH($C$153,"ACCOUNTS_PAYABLE_GROWTH_1YR","FQ3 2017","FQ3 2017","Currency=INR","Period=FQ","BEST_FPERIOD_OVERRIDE=FQ","FILING_STATUS=OR","EQY_CONSOLIDATED=Y","Sort=A","Dates=H","DateFormat=P","Fill=—","Direction=H","UseDPDF=Y")</f>
        <v>#NAME?</v>
      </c>
      <c r="AG171" s="2" t="e">
        <f ca="1">_xll.BDH($C$153,"SHORT_TERM_DEBT_1_YEAR_GROWTH","FQ3 2017","FQ3 2017","Currency=INR","Period=FQ","BEST_FPERIOD_OVERRIDE=FQ","FILING_STATUS=OR","EQY_CONSOLIDATED=Y","Sort=A","Dates=H","DateFormat=P","Fill=—","Direction=H","UseDPDF=Y")</f>
        <v>#NAME?</v>
      </c>
      <c r="AH171" s="2" t="e">
        <f ca="1">_xll.BDH($C$153,"TOTAL_DEBT_1_YEAR_GROWTH","FQ3 2017","FQ3 2017","Currency=INR","Period=FQ","BEST_FPERIOD_OVERRIDE=FQ","FILING_STATUS=OR","EQY_CONSOLIDATED=Y","Sort=A","Dates=H","DateFormat=P","Fill=—","Direction=H","UseDPDF=Y")</f>
        <v>#NAME?</v>
      </c>
      <c r="AI171" s="2" t="e">
        <f ca="1">_xll.BDH($C$153,"TOTAL_EQUITY_1_YEAR_GROWTH","FQ3 2017","FQ3 2017","Currency=INR","Period=FQ","BEST_FPERIOD_OVERRIDE=FQ","FILING_STATUS=OR","EQY_CONSOLIDATED=Y","Sort=A","Dates=H","DateFormat=P","Fill=—","Direction=H","UseDPDF=Y")</f>
        <v>#NAME?</v>
      </c>
      <c r="AJ171" s="2" t="e">
        <f ca="1">_xll.BDH($C$153,"GROWTH_IN_CAP","FQ3 2017","FQ3 2017","Currency=INR","Period=FQ","BEST_FPERIOD_OVERRIDE=FQ","FILING_STATUS=OR","EQY_CONSOLIDATED=Y","Sort=A","Dates=H","DateFormat=P","Fill=—","Direction=H","UseDPDF=Y")</f>
        <v>#NAME?</v>
      </c>
      <c r="AK171" s="2" t="e">
        <f ca="1">_xll.BDH($C$153,"BVPS_GROWTH","FQ3 2017","FQ3 2017","Currency=INR","Period=FQ","BEST_FPERIOD_OVERRIDE=FQ","FILING_STATUS=OR","EQY_CONSOLIDATED=Y","Sort=A","Dates=H","DateFormat=P","Fill=—","Direction=H","UseDPDF=Y")</f>
        <v>#NAME?</v>
      </c>
      <c r="AL171" s="2" t="e">
        <f ca="1">_xll.BDH($C$153,"CASH_FLOW_GROWTH","FQ3 2017","FQ3 2017","Currency=INR","Period=FQ","BEST_FPERIOD_OVERRIDE=FQ","FILING_STATUS=OR","EQY_CONSOLIDATED=Y","Sort=A","Dates=H","DateFormat=P","Fill=—","Direction=H","UseDPDF=Y")</f>
        <v>#NAME?</v>
      </c>
      <c r="AM171" s="2" t="e">
        <f ca="1">_xll.BDH($C$153,"GEO_GROW_NET_SALES","FQ3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71" s="2" t="e">
        <f ca="1">_xll.BDH($C$153,"GEO_GROW_EBITDA","FQ3 2017","FQ3 2017","Currency=INR","Period=FQ","BEST_FPERIOD_OVERRIDE=FQ","FILING_STATUS=OR","EQY_CONSOLIDATED=Y","FA_ADJUSTED=GAAP","Sort=A","Dates=H","DateFormat=P","Fill=—","Direction=H","UseDPDF=Y")</f>
        <v>#NAME?</v>
      </c>
      <c r="AO171" s="2" t="e">
        <f ca="1">_xll.BDH($C$153,"GEO_GROW_OPER_INC","FQ3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71" s="2" t="e">
        <f ca="1">_xll.BDH($C$153,"NET_INCOME_TO_COMMON_5_YR_GROWTH","FQ3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71" s="2" t="e">
        <f ca="1">_xll.BDH($C$153,"5Y_GEO_GROWTH_DILUTED_EPS","FQ3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71" s="2" t="e">
        <f ca="1">_xll.BDH($C$153,"GEO_GROW_DVD_PER_SH","FQ3 2017","FQ3 2017","Currency=INR","Period=FQ","BEST_FPERIOD_OVERRIDE=FQ","FILING_STATUS=OR","EQY_CONSOLIDATED=Y","Sort=A","Dates=H","DateFormat=P","Fill=—","Direction=H","UseDPDF=Y")</f>
        <v>#NAME?</v>
      </c>
      <c r="AS171" s="2" t="e">
        <f ca="1">_xll.BDH($C$153,"ACCOUNTS_RECEIVABLE_5_YR_GROWTH","FQ3 2017","FQ3 2017","Currency=INR","Period=FQ","BEST_FPERIOD_OVERRIDE=FQ","FILING_STATUS=OR","EQY_CONSOLIDATED=Y","Sort=A","Dates=H","DateFormat=P","Fill=—","Direction=H","UseDPDF=Y")</f>
        <v>#NAME?</v>
      </c>
      <c r="AT171" s="2" t="e">
        <f ca="1">_xll.BDH($C$153,"INVENTORY_5_YEAR_GROWTH","FQ3 2017","FQ3 2017","Currency=INR","Period=FQ","BEST_FPERIOD_OVERRIDE=FQ","FILING_STATUS=OR","EQY_CONSOLIDATED=Y","Sort=A","Dates=H","DateFormat=P","Fill=—","Direction=H","UseDPDF=Y")</f>
        <v>#NAME?</v>
      </c>
      <c r="AU171" s="2" t="e">
        <f ca="1">_xll.BDH($C$153,"NET_FIXED_ASSETS_5_YEAR_GROWTH","FQ3 2017","FQ3 2017","Currency=INR","Period=FQ","BEST_FPERIOD_OVERRIDE=FQ","FILING_STATUS=OR","EQY_CONSOLIDATED=Y","Sort=A","Dates=H","DateFormat=P","Fill=—","Direction=H","UseDPDF=Y")</f>
        <v>#NAME?</v>
      </c>
      <c r="AV171" s="2" t="e">
        <f ca="1">_xll.BDH($C$153,"GEO_GROW_TOT_ASSET","FQ3 2017","FQ3 2017","Currency=INR","Period=FQ","BEST_FPERIOD_OVERRIDE=FQ","FILING_STATUS=OR","EQY_CONSOLIDATED=Y","Sort=A","Dates=H","DateFormat=P","Fill=—","Direction=H","UseDPDF=Y")</f>
        <v>#NAME?</v>
      </c>
      <c r="AW171" s="2" t="e">
        <f ca="1">_xll.BDH($C$153,"MODIFIED_WORKING_CPTL_5YR_GRWTH","FQ3 2017","FQ3 2017","Currency=INR","Period=FQ","BEST_FPERIOD_OVERRIDE=FQ","FILING_STATUS=OR","EQY_CONSOLIDATED=Y","Sort=A","Dates=H","DateFormat=P","Fill=—","Direction=H","UseDPDF=Y")</f>
        <v>#NAME?</v>
      </c>
      <c r="AX171" s="2" t="e">
        <f ca="1">_xll.BDH($C$153,"WORKING_CAPITAL_5_YEAR_GROWTH","FQ3 2017","FQ3 2017","Currency=INR","Period=FQ","BEST_FPERIOD_OVERRIDE=FQ","FILING_STATUS=OR","EQY_CONSOLIDATED=Y","Sort=A","Dates=H","DateFormat=P","Fill=—","Direction=H","UseDPDF=Y")</f>
        <v>#NAME?</v>
      </c>
      <c r="AY171" s="2" t="e">
        <f ca="1">_xll.BDH($C$153,"ACCOUNTS_PAYABLE_5_YEAR_GROWTH","FQ3 2017","FQ3 2017","Currency=INR","Period=FQ","BEST_FPERIOD_OVERRIDE=FQ","FILING_STATUS=OR","EQY_CONSOLIDATED=Y","Sort=A","Dates=H","DateFormat=P","Fill=—","Direction=H","UseDPDF=Y")</f>
        <v>#NAME?</v>
      </c>
      <c r="AZ171" s="2" t="e">
        <f ca="1">_xll.BDH($C$153,"SHORT_TERM_DEBT_5_YEAR_GROWTH","FQ3 2017","FQ3 2017","Currency=INR","Period=FQ","BEST_FPERIOD_OVERRIDE=FQ","FILING_STATUS=OR","EQY_CONSOLIDATED=Y","Sort=A","Dates=H","DateFormat=P","Fill=—","Direction=H","UseDPDF=Y")</f>
        <v>#NAME?</v>
      </c>
      <c r="BA171" s="2" t="e">
        <f ca="1">_xll.BDH($C$153,"TOTAL_DEBT_5_YEAR_GROWTH","FQ3 2017","FQ3 2017","Currency=INR","Period=FQ","BEST_FPERIOD_OVERRIDE=FQ","FILING_STATUS=OR","EQY_CONSOLIDATED=Y","Sort=A","Dates=H","DateFormat=P","Fill=—","Direction=H","UseDPDF=Y")</f>
        <v>#NAME?</v>
      </c>
      <c r="BB171" s="2" t="e">
        <f ca="1">_xll.BDH($C$153,"GEO_GROW_TOT_SHRHLDR_EQY","FQ3 2017","FQ3 2017","Currency=INR","Period=FQ","BEST_FPERIOD_OVERRIDE=FQ","FILING_STATUS=OR","EQY_CONSOLIDATED=Y","Sort=A","Dates=H","DateFormat=P","Fill=—","Direction=H","UseDPDF=Y")</f>
        <v>#NAME?</v>
      </c>
      <c r="BC171" s="2" t="e">
        <f ca="1">_xll.BDH($C$153,"TOTAL_CAPITAL_5_YEAR_GROWTH","FQ3 2017","FQ3 2017","Currency=INR","Period=FQ","BEST_FPERIOD_OVERRIDE=FQ","FILING_STATUS=OR","EQY_CONSOLIDATED=Y","Sort=A","Dates=H","DateFormat=P","Fill=—","Direction=H","UseDPDF=Y")</f>
        <v>#NAME?</v>
      </c>
      <c r="BD171" s="2" t="e">
        <f ca="1">_xll.BDH($C$153,"GEO_GROW_BOOK_VAL","FQ3 2017","FQ3 2017","Currency=INR","Period=FQ","BEST_FPERIOD_OVERRIDE=FQ","FILING_STATUS=OR","EQY_CONSOLIDATED=Y","Sort=A","Dates=H","DateFormat=P","Fill=—","Direction=H","UseDPDF=Y")</f>
        <v>#NAME?</v>
      </c>
      <c r="BE171" s="2" t="e">
        <f ca="1">_xll.BDH($C$153,"GEO_GROW_CASH_OPER_ACT","FQ3 2017","FQ3 2017","Currency=INR","Period=FQ","BEST_FPERIOD_OVERRIDE=FQ","FILING_STATUS=OR","EQY_CONSOLIDATED=Y","Sort=A","Dates=H","DateFormat=P","Fill=—","Direction=H","UseDPDF=Y")</f>
        <v>#NAME?</v>
      </c>
      <c r="BF171" s="2" t="e">
        <f ca="1">_xll.BDH($C$153,"REVENUE_SEQUENTIAL_GROWTH","FQ3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71" s="2" t="e">
        <f ca="1">_xll.BDH($C$153,"EBITDA_SEQUENTIAL_GROWTH","FQ3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71" s="2" t="e">
        <f ca="1">_xll.BDH($C$153,"OPERATING_INCOME_SEQ_GROWTH","FQ3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71" s="2" t="e">
        <f ca="1">_xll.BDH($C$153,"NET_INCOME_TO_COMMON_SEQ_GROWTH","FQ3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71" s="2" t="e">
        <f ca="1">_xll.BDH($C$153,"EPS_DILUTED_SEQUENTIAL_GROWTH","FQ3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71" s="2" t="e">
        <f ca="1">_xll.BDH($C$153,"DPS_SEQUENTIAL_GROWTH","FQ3 2017","FQ3 2017","Currency=INR","Period=FQ","BEST_FPERIOD_OVERRIDE=FQ","FILING_STATUS=OR","EQY_CONSOLIDATED=Y","Sort=A","Dates=H","DateFormat=P","Fill=—","Direction=H","UseDPDF=Y")</f>
        <v>#NAME?</v>
      </c>
      <c r="BL171" s="2" t="e">
        <f ca="1">_xll.BDH($C$153,"ACCOUNTS_RECEIVABLE_SEQ_GROWTH","FQ3 2017","FQ3 2017","Currency=INR","Period=FQ","BEST_FPERIOD_OVERRIDE=FQ","FILING_STATUS=OR","EQY_CONSOLIDATED=Y","Sort=A","Dates=H","DateFormat=P","Fill=—","Direction=H","UseDPDF=Y")</f>
        <v>#NAME?</v>
      </c>
      <c r="BM171" s="2" t="e">
        <f ca="1">_xll.BDH($C$153,"INVENTORY_SEQUENTIAL_GROWTH","FQ3 2017","FQ3 2017","Currency=INR","Period=FQ","BEST_FPERIOD_OVERRIDE=FQ","FILING_STATUS=OR","EQY_CONSOLIDATED=Y","Sort=A","Dates=H","DateFormat=P","Fill=—","Direction=H","UseDPDF=Y")</f>
        <v>#NAME?</v>
      </c>
      <c r="BN171" s="2" t="e">
        <f ca="1">_xll.BDH($C$153,"FIXED_ASSETS_SEQUENTIAL_GROWTH","FQ3 2017","FQ3 2017","Currency=INR","Period=FQ","BEST_FPERIOD_OVERRIDE=FQ","FILING_STATUS=OR","EQY_CONSOLIDATED=Y","Sort=A","Dates=H","DateFormat=P","Fill=—","Direction=H","UseDPDF=Y")</f>
        <v>#NAME?</v>
      </c>
      <c r="BO171" s="2" t="e">
        <f ca="1">_xll.BDH($C$153,"TOTAL_ASSETS_SEQUENTIAL_GROWTH","FQ3 2017","FQ3 2017","Currency=INR","Period=FQ","BEST_FPERIOD_OVERRIDE=FQ","FILING_STATUS=OR","EQY_CONSOLIDATED=Y","Sort=A","Dates=H","DateFormat=P","Fill=—","Direction=H","UseDPDF=Y")</f>
        <v>#NAME?</v>
      </c>
      <c r="BP171" s="2" t="e">
        <f ca="1">_xll.BDH($C$153,"MODIFIED_WORKING_CPTL_SEQ_GRWTH","FQ3 2017","FQ3 2017","Currency=INR","Period=FQ","BEST_FPERIOD_OVERRIDE=FQ","FILING_STATUS=OR","EQY_CONSOLIDATED=Y","Sort=A","Dates=H","DateFormat=P","Fill=—","Direction=H","UseDPDF=Y")</f>
        <v>#NAME?</v>
      </c>
      <c r="BQ171" s="2" t="e">
        <f ca="1">_xll.BDH($C$153,"WORKING_CAPITAL_SEQ_GROWTH","FQ3 2017","FQ3 2017","Currency=INR","Period=FQ","BEST_FPERIOD_OVERRIDE=FQ","FILING_STATUS=OR","EQY_CONSOLIDATED=Y","Sort=A","Dates=H","DateFormat=P","Fill=—","Direction=H","UseDPDF=Y")</f>
        <v>#NAME?</v>
      </c>
      <c r="BR171" s="2" t="e">
        <f ca="1">_xll.BDH($C$153,"ACCOUNTS_PAYABLE_SEQ_GROWTH","FQ3 2017","FQ3 2017","Currency=INR","Period=FQ","BEST_FPERIOD_OVERRIDE=FQ","FILING_STATUS=OR","EQY_CONSOLIDATED=Y","Sort=A","Dates=H","DateFormat=P","Fill=—","Direction=H","UseDPDF=Y")</f>
        <v>#NAME?</v>
      </c>
      <c r="BS171" s="2" t="e">
        <f ca="1">_xll.BDH($C$153,"ST_DEBT_SEQUENTIAL_GROWTH","FQ3 2017","FQ3 2017","Currency=INR","Period=FQ","BEST_FPERIOD_OVERRIDE=FQ","FILING_STATUS=OR","EQY_CONSOLIDATED=Y","Sort=A","Dates=H","DateFormat=P","Fill=—","Direction=H","UseDPDF=Y")</f>
        <v>#NAME?</v>
      </c>
      <c r="BT171" s="2" t="e">
        <f ca="1">_xll.BDH($C$153,"TOTAL_DEBT_SEQUENTIAL_GROWTH","FQ3 2017","FQ3 2017","Currency=INR","Period=FQ","BEST_FPERIOD_OVERRIDE=FQ","FILING_STATUS=OR","EQY_CONSOLIDATED=Y","Sort=A","Dates=H","DateFormat=P","Fill=—","Direction=H","UseDPDF=Y")</f>
        <v>#NAME?</v>
      </c>
      <c r="BU171" s="2" t="e">
        <f ca="1">_xll.BDH($C$153,"TOTAL_EQUITY_SEQUENTIAL_GROWTH","FQ3 2017","FQ3 2017","Currency=INR","Period=FQ","BEST_FPERIOD_OVERRIDE=FQ","FILING_STATUS=OR","EQY_CONSOLIDATED=Y","Sort=A","Dates=H","DateFormat=P","Fill=—","Direction=H","UseDPDF=Y")</f>
        <v>#NAME?</v>
      </c>
      <c r="BV171" s="2" t="e">
        <f ca="1">_xll.BDH($C$153,"TOTAL_CAPITAL_SEQUENTIAL_GROWTH","FQ3 2017","FQ3 2017","Currency=INR","Period=FQ","BEST_FPERIOD_OVERRIDE=FQ","FILING_STATUS=OR","EQY_CONSOLIDATED=Y","Sort=A","Dates=H","DateFormat=P","Fill=—","Direction=H","UseDPDF=Y")</f>
        <v>#NAME?</v>
      </c>
      <c r="BW171" s="2" t="e">
        <f ca="1">_xll.BDH($C$153,"BPS_SEQUENTIAL_GROWTH","FQ3 2017","FQ3 2017","Currency=INR","Period=FQ","BEST_FPERIOD_OVERRIDE=FQ","FILING_STATUS=OR","EQY_CONSOLIDATED=Y","Sort=A","Dates=H","DateFormat=P","Fill=—","Direction=H","UseDPDF=Y")</f>
        <v>#NAME?</v>
      </c>
      <c r="BX171" s="2" t="e">
        <f ca="1">_xll.BDH($C$153,"CFO_SEQUENTIAL_GROWTH","FQ3 2017","FQ3 2017","Currency=INR","Period=FQ","BEST_FPERIOD_OVERRIDE=FQ","FILING_STATUS=OR","EQY_CONSOLIDATED=Y","Sort=A","Dates=H","DateFormat=P","Fill=—","Direction=H","UseDPDF=Y")</f>
        <v>#NAME?</v>
      </c>
      <c r="BY171" s="3" t="e">
        <f ca="1">_xll.BDH($C$153,"SHORT_AND_LONG_TERM_DEBT","FQ3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71" s="3" t="e">
        <f ca="1">_xll.BDH($C$153,"BS_ST_BORROW","FQ3 2017","FQ3 2017","Currency=INR","Period=FQ","BEST_FPERIOD_OVERRIDE=FQ","FILING_STATUS=OR","EQY_CONSOLIDATED=Y","SCALING_FORMAT=MLN","Sort=A","Dates=H","DateFormat=P","Fill=—","Direction=H","UseDPDF=Y")</f>
        <v>#NAME?</v>
      </c>
      <c r="CA171" s="3" t="e">
        <f ca="1">_xll.BDH($C$153,"BS_LT_BORROW","FQ3 2017","FQ3 2017","Currency=INR","Period=FQ","BEST_FPERIOD_OVERRIDE=FQ","FILING_STATUS=OR","EQY_CONSOLIDATED=Y","SCALING_FORMAT=MLN","Sort=A","Dates=H","DateFormat=P","Fill=—","Direction=H","UseDPDF=Y")</f>
        <v>#NAME?</v>
      </c>
      <c r="CB171" s="2" t="e">
        <f ca="1">_xll.BDH($C$153,"TOT_DEBT_TO_EBITDA","FQ3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71" s="2" t="e">
        <f ca="1">_xll.BDH($C$153,"NET_DEBT_TO_EBITDA","FQ3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71" s="2" t="e">
        <f ca="1">_xll.BDH($C$153,"TOTAL_DEBT_TO_EBIT","FQ3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71" s="2" t="e">
        <f ca="1">_xll.BDH($C$153,"NET_DEBT_TO_EBIT","FQ3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171" s="2" t="e">
        <f ca="1">_xll.BDH($C$153,"EBITDA_TO_INTEREST_EXPN","FQ3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71" s="2" t="e">
        <f ca="1">_xll.BDH($C$153,"COM_EQY_TO_TOT_ASSET","FQ3 2017","FQ3 2017","Currency=INR","Period=FQ","BEST_FPERIOD_OVERRIDE=FQ","FILING_STATUS=OR","EQY_CONSOLIDATED=Y","Sort=A","Dates=H","DateFormat=P","Fill=—","Direction=H","UseDPDF=Y")</f>
        <v>#NAME?</v>
      </c>
      <c r="CH171" s="2" t="e">
        <f ca="1">_xll.BDH($C$153,"LT_DEBT_TO_TOT_EQY","FQ3 2017","FQ3 2017","Currency=INR","Period=FQ","BEST_FPERIOD_OVERRIDE=FQ","FILING_STATUS=OR","EQY_CONSOLIDATED=Y","Sort=A","Dates=H","DateFormat=P","Fill=—","Direction=H","UseDPDF=Y")</f>
        <v>#NAME?</v>
      </c>
      <c r="CI171" s="2" t="e">
        <f ca="1">_xll.BDH($C$153,"LT_DEBT_TO_TOT_CAP","FQ3 2017","FQ3 2017","Currency=INR","Period=FQ","BEST_FPERIOD_OVERRIDE=FQ","FILING_STATUS=OR","EQY_CONSOLIDATED=Y","Sort=A","Dates=H","DateFormat=P","Fill=—","Direction=H","UseDPDF=Y")</f>
        <v>#NAME?</v>
      </c>
      <c r="CJ171" s="2" t="e">
        <f ca="1">_xll.BDH($C$153,"LT_DEBT_TO_TOT_ASSET","FQ3 2017","FQ3 2017","Currency=INR","Period=FQ","BEST_FPERIOD_OVERRIDE=FQ","FILING_STATUS=OR","EQY_CONSOLIDATED=Y","Sort=A","Dates=H","DateFormat=P","Fill=—","Direction=H","UseDPDF=Y")</f>
        <v>#NAME?</v>
      </c>
      <c r="CK171" s="2" t="e">
        <f ca="1">_xll.BDH($C$153,"TOT_DEBT_TO_TOT_EQY","FQ3 2017","FQ3 2017","Currency=INR","Period=FQ","BEST_FPERIOD_OVERRIDE=FQ","FILING_STATUS=OR","EQY_CONSOLIDATED=Y","Sort=A","Dates=H","DateFormat=P","Fill=—","Direction=H","UseDPDF=Y")</f>
        <v>#NAME?</v>
      </c>
      <c r="CL171" s="2" t="e">
        <f ca="1">_xll.BDH($C$153,"TOT_DEBT_TO_TOT_CAP","FQ3 2017","FQ3 2017","Currency=INR","Period=FQ","BEST_FPERIOD_OVERRIDE=FQ","FILING_STATUS=OR","EQY_CONSOLIDATED=Y","Sort=A","Dates=H","DateFormat=P","Fill=—","Direction=H","UseDPDF=Y")</f>
        <v>#NAME?</v>
      </c>
      <c r="CM171" s="2" t="e">
        <f ca="1">_xll.BDH($C$153,"TOT_DEBT_TO_TOT_ASSET","FQ3 2017","FQ3 2017","Currency=INR","Period=FQ","BEST_FPERIOD_OVERRIDE=FQ","FILING_STATUS=OR","EQY_CONSOLIDATED=Y","Sort=A","Dates=H","DateFormat=P","Fill=—","Direction=H","UseDPDF=Y")</f>
        <v>#NAME?</v>
      </c>
      <c r="CN171" s="2" t="e">
        <f ca="1">_xll.BDH($C$153,"NET_DEBT_TO_SHRHLDR_EQTY","FQ3 2017","FQ3 2017","Currency=INR","Period=FQ","BEST_FPERIOD_OVERRIDE=FQ","FILING_STATUS=OR","EQY_CONSOLIDATED=Y","Sort=A","Dates=H","DateFormat=P","Fill=—","Direction=H","UseDPDF=Y")</f>
        <v>#NAME?</v>
      </c>
      <c r="CO171" s="2" t="e">
        <f ca="1">_xll.BDH($C$153,"NET_DEBT_%_CAPITAL","FQ3 2017","FQ3 2017","Currency=INR","Period=FQ","BEST_FPERIOD_OVERRIDE=FQ","FILING_STATUS=OR","EQY_CONSOLIDATED=Y","Sort=A","Dates=H","DateFormat=P","Fill=—","Direction=H","UseDPDF=Y")</f>
        <v>#NAME?</v>
      </c>
      <c r="CP171" s="3" t="e">
        <f ca="1">_xll.BDH($C$153,"EBITDA","FQ3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71" s="3" t="e">
        <f ca="1">_xll.BDH($C$153,"EBITDA_AFTER_CAPEX","FQ3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71" s="3" t="e">
        <f ca="1">_xll.BDH($C$153,"IS_OPER_INC","FQ3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71" s="2" t="e">
        <f ca="1">_xll.BDH($C$153,"CASH_RATIO","FQ3 2017","FQ3 2017","Currency=INR","Period=FQ","BEST_FPERIOD_OVERRIDE=FQ","FILING_STATUS=OR","EQY_CONSOLIDATED=Y","Sort=A","Dates=H","DateFormat=P","Fill=—","Direction=H","UseDPDF=Y")</f>
        <v>#NAME?</v>
      </c>
      <c r="CT171" s="2" t="e">
        <f ca="1">_xll.BDH($C$153,"CUR_RATIO","FQ3 2017","FQ3 2017","Currency=INR","Period=FQ","BEST_FPERIOD_OVERRIDE=FQ","FILING_STATUS=OR","EQY_CONSOLIDATED=Y","Sort=A","Dates=H","DateFormat=P","Fill=—","Direction=H","UseDPDF=Y")</f>
        <v>#NAME?</v>
      </c>
      <c r="CU171" s="2" t="e">
        <f ca="1">_xll.BDH($C$153,"QUICK_RATIO","FQ3 2017","FQ3 2017","Currency=INR","Period=FQ","BEST_FPERIOD_OVERRIDE=FQ","FILING_STATUS=OR","EQY_CONSOLIDATED=Y","Sort=A","Dates=H","DateFormat=P","Fill=—","Direction=H","UseDPDF=Y")</f>
        <v>#NAME?</v>
      </c>
      <c r="CV171" s="2" t="e">
        <f ca="1">_xll.BDH($C$153,"ALTMAN_Z_SCORE","FQ3 2017","FQ3 2017","Currency=INR","Period=FQ","BEST_FPERIOD_OVERRIDE=FQ","FILING_STATUS=OR","EQY_CONSOLIDATED=Y","Sort=A","Dates=H","DateFormat=P","Fill=—","Direction=H","UseDPDF=Y")</f>
        <v>#NAME?</v>
      </c>
      <c r="CW171" s="4" t="e">
        <f ca="1">_xll.BDH($C$153,"ACCT_RCV_TURN","FQ3 2017","FQ3 2017","Currency=INR","Period=FQ","BEST_FPERIOD_OVERRIDE=FQ","FILING_STATUS=OR","EQY_CONSOLIDATED=Y","FA_ADJUSTED=GAAP","Sort=A","Dates=H","DateFormat=P","Fill=—","Direction=H","UseDPDF=Y")</f>
        <v>#NAME?</v>
      </c>
      <c r="CX171" s="2" t="e">
        <f ca="1">_xll.BDH($C$153,"ACCT_RCV_DAYS","FQ3 2017","FQ3 2017","Currency=INR","Period=FQ","BEST_FPERIOD_OVERRIDE=FQ","FILING_STATUS=OR","EQY_CONSOLIDATED=Y","FA_ADJUSTED=GAAP","Sort=A","Dates=H","DateFormat=P","Fill=—","Direction=H","UseDPDF=Y")</f>
        <v>#NAME?</v>
      </c>
      <c r="CY171" s="4" t="e">
        <f ca="1">_xll.BDH($C$153,"INVENT_TURN","FQ3 2017","FQ3 2017","Currency=INR","Period=FQ","BEST_FPERIOD_OVERRIDE=FQ","FILING_STATUS=OR","EQY_CONSOLIDATED=Y","FA_ADJUSTED=GAAP","Sort=A","Dates=H","DateFormat=P","Fill=—","Direction=H","UseDPDF=Y")</f>
        <v>#NAME?</v>
      </c>
      <c r="CZ171" s="2" t="e">
        <f ca="1">_xll.BDH($C$153,"INVENT_DAYS","FQ3 2017","FQ3 2017","Currency=INR","Period=FQ","BEST_FPERIOD_OVERRIDE=FQ","FILING_STATUS=OR","EQY_CONSOLIDATED=Y","FA_ADJUSTED=GAAP","Sort=A","Dates=H","DateFormat=P","Fill=—","Direction=H","UseDPDF=Y")</f>
        <v>#NAME?</v>
      </c>
      <c r="DA171" s="4" t="e">
        <f ca="1">_xll.BDH($C$153,"ACCOUNTS_PAYABLE_TURNOVER","FQ3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71" s="2" t="e">
        <f ca="1">_xll.BDH($C$153,"ACCOUNTS_PAYABLE_TURNOVER_DAYS","FQ3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71" s="4" t="e">
        <f ca="1">_xll.BDH($C$153,"CASH_CONVERSION_CYCLE","FQ3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71" s="4" t="e">
        <f ca="1">_xll.BDH($C$153,"INV_TO_CASH_DAYS","FQ3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171" s="5" t="e">
        <f ca="1">_xll.BDH($C$153,"BS_INVENTORIES","FQ3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171" s="3" t="e">
        <f ca="1">_xll.BDH($C$153,"INVTRY_RAW_MATERIALS","FQ3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71" s="3" t="e">
        <f ca="1">_xll.BDH($C$153,"INVTRY_IN_PROGRESS","FQ3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71" s="3" t="e">
        <f ca="1">_xll.BDH($C$153,"INVTRY_FINISHED_GOODS","FQ3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71" s="3" t="e">
        <f ca="1">_xll.BDH($C$153,"BS_OTHER_INV","FQ3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72" spans="1:113" x14ac:dyDescent="0.3">
      <c r="A172" s="6"/>
      <c r="B172" s="6"/>
      <c r="C172" s="6"/>
      <c r="D172" s="6"/>
      <c r="E172" t="s">
        <v>81</v>
      </c>
      <c r="F172" t="e">
        <f ca="1">_xll.BDH($C$153,"RETURN_COM_EQY","FQ4 2017","FQ4 2017","Currency=INR","Period=FQ","BEST_FPERIOD_OVERRIDE=FQ","FILING_STATUS=OR","EQY_CONSOLIDATED=Y","FA_ADJUSTED=GAAP","Sort=A","Dates=H","DateFormat=P","Fill=—","Direction=H","UseDPDF=Y")</f>
        <v>#NAME?</v>
      </c>
      <c r="G172" t="e">
        <f ca="1">_xll.BDH($C$153,"RETURN_ON_ASSET","FQ4 2017","FQ4 2017","Currency=INR","Period=FQ","BEST_FPERIOD_OVERRIDE=FQ","FILING_STATUS=OR","EQY_CONSOLIDATED=Y","FA_ADJUSTED=GAAP","Sort=A","Dates=H","DateFormat=P","Fill=—","Direction=H","UseDPDF=Y")</f>
        <v>#NAME?</v>
      </c>
      <c r="H172" t="e">
        <f ca="1">_xll.BDH($C$153,"RETURN_ON_CAP","FQ4 2017","FQ4 2017","Currency=INR","Period=FQ","BEST_FPERIOD_OVERRIDE=FQ","FILING_STATUS=OR","EQY_CONSOLIDATED=Y","FA_ADJUSTED=GAAP","Sort=A","Dates=H","DateFormat=P","Fill=—","Direction=H","UseDPDF=Y")</f>
        <v>#NAME?</v>
      </c>
      <c r="I172" t="e">
        <f ca="1">_xll.BDH($C$153,"RETURN_ON_INV_CAPITAL","FQ4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72" t="e">
        <f ca="1">_xll.BDH($C$153,"EBITDA_TO_REVENUE","FQ4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172" t="e">
        <f ca="1">_xll.BDH($C$153,"OPER_MARGIN","FQ4 2017","FQ4 2017","Currency=INR","Period=FQ","BEST_FPERIOD_OVERRIDE=FQ","FILING_STATUS=OR","EQY_CONSOLIDATED=Y","FA_ADJUSTED=GAAP","Sort=A","Dates=H","DateFormat=P","Fill=—","Direction=H","UseDPDF=Y")</f>
        <v>#NAME?</v>
      </c>
      <c r="L172" t="e">
        <f ca="1">_xll.BDH($C$153,"INCREMENTAL_OPERATING_MARGIN","FQ4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72" t="e">
        <f ca="1">_xll.BDH($C$153,"PRETAX_INC_TO_NET_SALES","FQ4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72" t="e">
        <f ca="1">_xll.BDH($C$153,"INC_BEF_XO_ITEMS_TO_NET_SALES","FQ4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72" t="e">
        <f ca="1">_xll.BDH($C$153,"PROF_MARGIN","FQ4 2017","FQ4 2017","Currency=INR","Period=FQ","BEST_FPERIOD_OVERRIDE=FQ","FILING_STATUS=OR","EQY_CONSOLIDATED=Y","FA_ADJUSTED=GAAP","Sort=A","Dates=H","DateFormat=P","Fill=—","Direction=H","UseDPDF=Y")</f>
        <v>#NAME?</v>
      </c>
      <c r="P172" t="e">
        <f ca="1">_xll.BDH($C$153,"NET_INCOME_TO_COMMON_MARGIN","FQ4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72" t="e">
        <f ca="1">_xll.BDH($C$153,"EFF_TAX_RATE","FQ4 2017","FQ4 2017","Currency=INR","Period=FQ","BEST_FPERIOD_OVERRIDE=FQ","FILING_STATUS=OR","EQY_CONSOLIDATED=Y","FA_ADJUSTED=GAAP","Sort=A","Dates=H","DateFormat=P","Fill=—","Direction=H","UseDPDF=Y")</f>
        <v>#NAME?</v>
      </c>
      <c r="R172" t="e">
        <f ca="1">_xll.BDH($C$153,"DVD_PAYOUT_RATIO","FQ4 2017","FQ4 2017","Currency=INR","Period=FQ","BEST_FPERIOD_OVERRIDE=FQ","FILING_STATUS=OR","EQY_CONSOLIDATED=Y","FA_ADJUSTED=GAAP","Sort=A","Dates=H","DateFormat=P","Fill=—","Direction=H","UseDPDF=Y")</f>
        <v>#NAME?</v>
      </c>
      <c r="S172" t="e">
        <f ca="1">_xll.BDH($C$153,"SUSTAIN_GROWTH_RT","FQ4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172" s="2" t="e">
        <f ca="1">_xll.BDH($C$153,"SALES_GROWTH","FQ4 2017","FQ4 2017","Currency=INR","Period=FQ","BEST_FPERIOD_OVERRIDE=FQ","FILING_STATUS=OR","EQY_CONSOLIDATED=Y","FA_ADJUSTED=GAAP","Sort=A","Dates=H","DateFormat=P","Fill=—","Direction=H","UseDPDF=Y")</f>
        <v>#NAME?</v>
      </c>
      <c r="U172" s="2" t="e">
        <f ca="1">_xll.BDH($C$153,"EBITDA_GROWTH","FQ4 2017","FQ4 2017","Currency=INR","Period=FQ","BEST_FPERIOD_OVERRIDE=FQ","FILING_STATUS=OR","EQY_CONSOLIDATED=Y","FA_ADJUSTED=GAAP","Sort=A","Dates=H","DateFormat=P","Fill=—","Direction=H","UseDPDF=Y")</f>
        <v>#NAME?</v>
      </c>
      <c r="V172" s="2" t="e">
        <f ca="1">_xll.BDH($C$153,"OPER_INC_GROWTH","FQ4 2017","FQ4 2017","Currency=INR","Period=FQ","BEST_FPERIOD_OVERRIDE=FQ","FILING_STATUS=OR","EQY_CONSOLIDATED=Y","FA_ADJUSTED=GAAP","Sort=A","Dates=H","DateFormat=P","Fill=—","Direction=H","UseDPDF=Y")</f>
        <v>#NAME?</v>
      </c>
      <c r="W172" s="2" t="e">
        <f ca="1">_xll.BDH($C$153,"EARN_FOR_COM_GROWTH","FQ4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72" s="2" t="e">
        <f ca="1">_xll.BDH($C$153,"DILUTED_EPS_AFT_XO_ITEMS_GROWTH","FQ4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72" s="2" t="e">
        <f ca="1">_xll.BDH($C$153,"DIVIDEND_PER_SHARE_1_YEAR_GROWTH","FQ4 2017","FQ4 2017","Currency=INR","Period=FQ","BEST_FPERIOD_OVERRIDE=FQ","FILING_STATUS=OR","EQY_CONSOLIDATED=Y","Sort=A","Dates=H","DateFormat=P","Fill=—","Direction=H","UseDPDF=Y")</f>
        <v>#NAME?</v>
      </c>
      <c r="Z172" s="2" t="e">
        <f ca="1">_xll.BDH($C$153,"ACCOUNTS_RECEIVABLE_GROWTH","FQ4 2017","FQ4 2017","Currency=INR","Period=FQ","BEST_FPERIOD_OVERRIDE=FQ","FILING_STATUS=OR","EQY_CONSOLIDATED=Y","Sort=A","Dates=H","DateFormat=P","Fill=—","Direction=H","UseDPDF=Y")</f>
        <v>#NAME?</v>
      </c>
      <c r="AA172" s="2" t="e">
        <f ca="1">_xll.BDH($C$153,"INVENTORY_GROWTH","FQ4 2017","FQ4 2017","Currency=INR","Period=FQ","BEST_FPERIOD_OVERRIDE=FQ","FILING_STATUS=OR","EQY_CONSOLIDATED=Y","Sort=A","Dates=H","DateFormat=P","Fill=—","Direction=H","UseDPDF=Y")</f>
        <v>#NAME?</v>
      </c>
      <c r="AB172" s="2" t="e">
        <f ca="1">_xll.BDH($C$153,"NET_FIXED_ASSETS_1_YEAR_GROWTH","FQ4 2017","FQ4 2017","Currency=INR","Period=FQ","BEST_FPERIOD_OVERRIDE=FQ","FILING_STATUS=OR","EQY_CONSOLIDATED=Y","Sort=A","Dates=H","DateFormat=P","Fill=—","Direction=H","UseDPDF=Y")</f>
        <v>#NAME?</v>
      </c>
      <c r="AC172" s="2" t="e">
        <f ca="1">_xll.BDH($C$153,"ASSET_GROWTH","FQ4 2017","FQ4 2017","Currency=INR","Period=FQ","BEST_FPERIOD_OVERRIDE=FQ","FILING_STATUS=OR","EQY_CONSOLIDATED=Y","Sort=A","Dates=H","DateFormat=P","Fill=—","Direction=H","UseDPDF=Y")</f>
        <v>#NAME?</v>
      </c>
      <c r="AD172" s="2" t="e">
        <f ca="1">_xll.BDH($C$153,"MODIFIED_WORK_CAP_GROWTH","FQ4 2017","FQ4 2017","Currency=INR","Period=FQ","BEST_FPERIOD_OVERRIDE=FQ","FILING_STATUS=OR","EQY_CONSOLIDATED=Y","Sort=A","Dates=H","DateFormat=P","Fill=—","Direction=H","UseDPDF=Y")</f>
        <v>#NAME?</v>
      </c>
      <c r="AE172" s="2" t="e">
        <f ca="1">_xll.BDH($C$153,"WORK_CAP_GROWTH","FQ4 2017","FQ4 2017","Currency=INR","Period=FQ","BEST_FPERIOD_OVERRIDE=FQ","FILING_STATUS=OR","EQY_CONSOLIDATED=Y","Sort=A","Dates=H","DateFormat=P","Fill=—","Direction=H","UseDPDF=Y")</f>
        <v>#NAME?</v>
      </c>
      <c r="AF172" s="2" t="e">
        <f ca="1">_xll.BDH($C$153,"ACCOUNTS_PAYABLE_GROWTH_1YR","FQ4 2017","FQ4 2017","Currency=INR","Period=FQ","BEST_FPERIOD_OVERRIDE=FQ","FILING_STATUS=OR","EQY_CONSOLIDATED=Y","Sort=A","Dates=H","DateFormat=P","Fill=—","Direction=H","UseDPDF=Y")</f>
        <v>#NAME?</v>
      </c>
      <c r="AG172" s="2" t="e">
        <f ca="1">_xll.BDH($C$153,"SHORT_TERM_DEBT_1_YEAR_GROWTH","FQ4 2017","FQ4 2017","Currency=INR","Period=FQ","BEST_FPERIOD_OVERRIDE=FQ","FILING_STATUS=OR","EQY_CONSOLIDATED=Y","Sort=A","Dates=H","DateFormat=P","Fill=—","Direction=H","UseDPDF=Y")</f>
        <v>#NAME?</v>
      </c>
      <c r="AH172" s="2" t="e">
        <f ca="1">_xll.BDH($C$153,"TOTAL_DEBT_1_YEAR_GROWTH","FQ4 2017","FQ4 2017","Currency=INR","Period=FQ","BEST_FPERIOD_OVERRIDE=FQ","FILING_STATUS=OR","EQY_CONSOLIDATED=Y","Sort=A","Dates=H","DateFormat=P","Fill=—","Direction=H","UseDPDF=Y")</f>
        <v>#NAME?</v>
      </c>
      <c r="AI172" s="2" t="e">
        <f ca="1">_xll.BDH($C$153,"TOTAL_EQUITY_1_YEAR_GROWTH","FQ4 2017","FQ4 2017","Currency=INR","Period=FQ","BEST_FPERIOD_OVERRIDE=FQ","FILING_STATUS=OR","EQY_CONSOLIDATED=Y","Sort=A","Dates=H","DateFormat=P","Fill=—","Direction=H","UseDPDF=Y")</f>
        <v>#NAME?</v>
      </c>
      <c r="AJ172" s="2" t="e">
        <f ca="1">_xll.BDH($C$153,"GROWTH_IN_CAP","FQ4 2017","FQ4 2017","Currency=INR","Period=FQ","BEST_FPERIOD_OVERRIDE=FQ","FILING_STATUS=OR","EQY_CONSOLIDATED=Y","Sort=A","Dates=H","DateFormat=P","Fill=—","Direction=H","UseDPDF=Y")</f>
        <v>#NAME?</v>
      </c>
      <c r="AK172" s="2" t="e">
        <f ca="1">_xll.BDH($C$153,"BVPS_GROWTH","FQ4 2017","FQ4 2017","Currency=INR","Period=FQ","BEST_FPERIOD_OVERRIDE=FQ","FILING_STATUS=OR","EQY_CONSOLIDATED=Y","Sort=A","Dates=H","DateFormat=P","Fill=—","Direction=H","UseDPDF=Y")</f>
        <v>#NAME?</v>
      </c>
      <c r="AL172" s="2" t="e">
        <f ca="1">_xll.BDH($C$153,"CASH_FLOW_GROWTH","FQ4 2017","FQ4 2017","Currency=INR","Period=FQ","BEST_FPERIOD_OVERRIDE=FQ","FILING_STATUS=OR","EQY_CONSOLIDATED=Y","Sort=A","Dates=H","DateFormat=P","Fill=—","Direction=H","UseDPDF=Y")</f>
        <v>#NAME?</v>
      </c>
      <c r="AM172" s="2" t="e">
        <f ca="1">_xll.BDH($C$153,"GEO_GROW_NET_SALES","FQ4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72" s="2" t="e">
        <f ca="1">_xll.BDH($C$153,"GEO_GROW_EBITDA","FQ4 2017","FQ4 2017","Currency=INR","Period=FQ","BEST_FPERIOD_OVERRIDE=FQ","FILING_STATUS=OR","EQY_CONSOLIDATED=Y","FA_ADJUSTED=GAAP","Sort=A","Dates=H","DateFormat=P","Fill=—","Direction=H","UseDPDF=Y")</f>
        <v>#NAME?</v>
      </c>
      <c r="AO172" s="2" t="e">
        <f ca="1">_xll.BDH($C$153,"GEO_GROW_OPER_INC","FQ4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72" s="2" t="e">
        <f ca="1">_xll.BDH($C$153,"NET_INCOME_TO_COMMON_5_YR_GROWTH","FQ4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72" s="2" t="e">
        <f ca="1">_xll.BDH($C$153,"5Y_GEO_GROWTH_DILUTED_EPS","FQ4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72" s="2" t="e">
        <f ca="1">_xll.BDH($C$153,"GEO_GROW_DVD_PER_SH","FQ4 2017","FQ4 2017","Currency=INR","Period=FQ","BEST_FPERIOD_OVERRIDE=FQ","FILING_STATUS=OR","EQY_CONSOLIDATED=Y","Sort=A","Dates=H","DateFormat=P","Fill=—","Direction=H","UseDPDF=Y")</f>
        <v>#NAME?</v>
      </c>
      <c r="AS172" s="2" t="e">
        <f ca="1">_xll.BDH($C$153,"ACCOUNTS_RECEIVABLE_5_YR_GROWTH","FQ4 2017","FQ4 2017","Currency=INR","Period=FQ","BEST_FPERIOD_OVERRIDE=FQ","FILING_STATUS=OR","EQY_CONSOLIDATED=Y","Sort=A","Dates=H","DateFormat=P","Fill=—","Direction=H","UseDPDF=Y")</f>
        <v>#NAME?</v>
      </c>
      <c r="AT172" s="2" t="e">
        <f ca="1">_xll.BDH($C$153,"INVENTORY_5_YEAR_GROWTH","FQ4 2017","FQ4 2017","Currency=INR","Period=FQ","BEST_FPERIOD_OVERRIDE=FQ","FILING_STATUS=OR","EQY_CONSOLIDATED=Y","Sort=A","Dates=H","DateFormat=P","Fill=—","Direction=H","UseDPDF=Y")</f>
        <v>#NAME?</v>
      </c>
      <c r="AU172" s="2" t="e">
        <f ca="1">_xll.BDH($C$153,"NET_FIXED_ASSETS_5_YEAR_GROWTH","FQ4 2017","FQ4 2017","Currency=INR","Period=FQ","BEST_FPERIOD_OVERRIDE=FQ","FILING_STATUS=OR","EQY_CONSOLIDATED=Y","Sort=A","Dates=H","DateFormat=P","Fill=—","Direction=H","UseDPDF=Y")</f>
        <v>#NAME?</v>
      </c>
      <c r="AV172" s="2" t="e">
        <f ca="1">_xll.BDH($C$153,"GEO_GROW_TOT_ASSET","FQ4 2017","FQ4 2017","Currency=INR","Period=FQ","BEST_FPERIOD_OVERRIDE=FQ","FILING_STATUS=OR","EQY_CONSOLIDATED=Y","Sort=A","Dates=H","DateFormat=P","Fill=—","Direction=H","UseDPDF=Y")</f>
        <v>#NAME?</v>
      </c>
      <c r="AW172" s="2" t="e">
        <f ca="1">_xll.BDH($C$153,"MODIFIED_WORKING_CPTL_5YR_GRWTH","FQ4 2017","FQ4 2017","Currency=INR","Period=FQ","BEST_FPERIOD_OVERRIDE=FQ","FILING_STATUS=OR","EQY_CONSOLIDATED=Y","Sort=A","Dates=H","DateFormat=P","Fill=—","Direction=H","UseDPDF=Y")</f>
        <v>#NAME?</v>
      </c>
      <c r="AX172" s="2" t="e">
        <f ca="1">_xll.BDH($C$153,"WORKING_CAPITAL_5_YEAR_GROWTH","FQ4 2017","FQ4 2017","Currency=INR","Period=FQ","BEST_FPERIOD_OVERRIDE=FQ","FILING_STATUS=OR","EQY_CONSOLIDATED=Y","Sort=A","Dates=H","DateFormat=P","Fill=—","Direction=H","UseDPDF=Y")</f>
        <v>#NAME?</v>
      </c>
      <c r="AY172" s="2" t="e">
        <f ca="1">_xll.BDH($C$153,"ACCOUNTS_PAYABLE_5_YEAR_GROWTH","FQ4 2017","FQ4 2017","Currency=INR","Period=FQ","BEST_FPERIOD_OVERRIDE=FQ","FILING_STATUS=OR","EQY_CONSOLIDATED=Y","Sort=A","Dates=H","DateFormat=P","Fill=—","Direction=H","UseDPDF=Y")</f>
        <v>#NAME?</v>
      </c>
      <c r="AZ172" s="2" t="e">
        <f ca="1">_xll.BDH($C$153,"SHORT_TERM_DEBT_5_YEAR_GROWTH","FQ4 2017","FQ4 2017","Currency=INR","Period=FQ","BEST_FPERIOD_OVERRIDE=FQ","FILING_STATUS=OR","EQY_CONSOLIDATED=Y","Sort=A","Dates=H","DateFormat=P","Fill=—","Direction=H","UseDPDF=Y")</f>
        <v>#NAME?</v>
      </c>
      <c r="BA172" s="2" t="e">
        <f ca="1">_xll.BDH($C$153,"TOTAL_DEBT_5_YEAR_GROWTH","FQ4 2017","FQ4 2017","Currency=INR","Period=FQ","BEST_FPERIOD_OVERRIDE=FQ","FILING_STATUS=OR","EQY_CONSOLIDATED=Y","Sort=A","Dates=H","DateFormat=P","Fill=—","Direction=H","UseDPDF=Y")</f>
        <v>#NAME?</v>
      </c>
      <c r="BB172" s="2" t="e">
        <f ca="1">_xll.BDH($C$153,"GEO_GROW_TOT_SHRHLDR_EQY","FQ4 2017","FQ4 2017","Currency=INR","Period=FQ","BEST_FPERIOD_OVERRIDE=FQ","FILING_STATUS=OR","EQY_CONSOLIDATED=Y","Sort=A","Dates=H","DateFormat=P","Fill=—","Direction=H","UseDPDF=Y")</f>
        <v>#NAME?</v>
      </c>
      <c r="BC172" s="2" t="e">
        <f ca="1">_xll.BDH($C$153,"TOTAL_CAPITAL_5_YEAR_GROWTH","FQ4 2017","FQ4 2017","Currency=INR","Period=FQ","BEST_FPERIOD_OVERRIDE=FQ","FILING_STATUS=OR","EQY_CONSOLIDATED=Y","Sort=A","Dates=H","DateFormat=P","Fill=—","Direction=H","UseDPDF=Y")</f>
        <v>#NAME?</v>
      </c>
      <c r="BD172" s="2" t="e">
        <f ca="1">_xll.BDH($C$153,"GEO_GROW_BOOK_VAL","FQ4 2017","FQ4 2017","Currency=INR","Period=FQ","BEST_FPERIOD_OVERRIDE=FQ","FILING_STATUS=OR","EQY_CONSOLIDATED=Y","Sort=A","Dates=H","DateFormat=P","Fill=—","Direction=H","UseDPDF=Y")</f>
        <v>#NAME?</v>
      </c>
      <c r="BE172" s="2" t="e">
        <f ca="1">_xll.BDH($C$153,"GEO_GROW_CASH_OPER_ACT","FQ4 2017","FQ4 2017","Currency=INR","Period=FQ","BEST_FPERIOD_OVERRIDE=FQ","FILING_STATUS=OR","EQY_CONSOLIDATED=Y","Sort=A","Dates=H","DateFormat=P","Fill=—","Direction=H","UseDPDF=Y")</f>
        <v>#NAME?</v>
      </c>
      <c r="BF172" s="2" t="e">
        <f ca="1">_xll.BDH($C$153,"REVENUE_SEQUENTIAL_GROWTH","FQ4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72" s="2" t="e">
        <f ca="1">_xll.BDH($C$153,"EBITDA_SEQUENTIAL_GROWTH","FQ4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72" s="2" t="e">
        <f ca="1">_xll.BDH($C$153,"OPERATING_INCOME_SEQ_GROWTH","FQ4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72" s="2" t="e">
        <f ca="1">_xll.BDH($C$153,"NET_INCOME_TO_COMMON_SEQ_GROWTH","FQ4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72" s="2" t="e">
        <f ca="1">_xll.BDH($C$153,"EPS_DILUTED_SEQUENTIAL_GROWTH","FQ4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72" s="2" t="e">
        <f ca="1">_xll.BDH($C$153,"DPS_SEQUENTIAL_GROWTH","FQ4 2017","FQ4 2017","Currency=INR","Period=FQ","BEST_FPERIOD_OVERRIDE=FQ","FILING_STATUS=OR","EQY_CONSOLIDATED=Y","Sort=A","Dates=H","DateFormat=P","Fill=—","Direction=H","UseDPDF=Y")</f>
        <v>#NAME?</v>
      </c>
      <c r="BL172" s="2" t="e">
        <f ca="1">_xll.BDH($C$153,"ACCOUNTS_RECEIVABLE_SEQ_GROWTH","FQ4 2017","FQ4 2017","Currency=INR","Period=FQ","BEST_FPERIOD_OVERRIDE=FQ","FILING_STATUS=OR","EQY_CONSOLIDATED=Y","Sort=A","Dates=H","DateFormat=P","Fill=—","Direction=H","UseDPDF=Y")</f>
        <v>#NAME?</v>
      </c>
      <c r="BM172" s="2" t="e">
        <f ca="1">_xll.BDH($C$153,"INVENTORY_SEQUENTIAL_GROWTH","FQ4 2017","FQ4 2017","Currency=INR","Period=FQ","BEST_FPERIOD_OVERRIDE=FQ","FILING_STATUS=OR","EQY_CONSOLIDATED=Y","Sort=A","Dates=H","DateFormat=P","Fill=—","Direction=H","UseDPDF=Y")</f>
        <v>#NAME?</v>
      </c>
      <c r="BN172" s="2" t="e">
        <f ca="1">_xll.BDH($C$153,"FIXED_ASSETS_SEQUENTIAL_GROWTH","FQ4 2017","FQ4 2017","Currency=INR","Period=FQ","BEST_FPERIOD_OVERRIDE=FQ","FILING_STATUS=OR","EQY_CONSOLIDATED=Y","Sort=A","Dates=H","DateFormat=P","Fill=—","Direction=H","UseDPDF=Y")</f>
        <v>#NAME?</v>
      </c>
      <c r="BO172" s="2" t="e">
        <f ca="1">_xll.BDH($C$153,"TOTAL_ASSETS_SEQUENTIAL_GROWTH","FQ4 2017","FQ4 2017","Currency=INR","Period=FQ","BEST_FPERIOD_OVERRIDE=FQ","FILING_STATUS=OR","EQY_CONSOLIDATED=Y","Sort=A","Dates=H","DateFormat=P","Fill=—","Direction=H","UseDPDF=Y")</f>
        <v>#NAME?</v>
      </c>
      <c r="BP172" s="2" t="e">
        <f ca="1">_xll.BDH($C$153,"MODIFIED_WORKING_CPTL_SEQ_GRWTH","FQ4 2017","FQ4 2017","Currency=INR","Period=FQ","BEST_FPERIOD_OVERRIDE=FQ","FILING_STATUS=OR","EQY_CONSOLIDATED=Y","Sort=A","Dates=H","DateFormat=P","Fill=—","Direction=H","UseDPDF=Y")</f>
        <v>#NAME?</v>
      </c>
      <c r="BQ172" s="2" t="e">
        <f ca="1">_xll.BDH($C$153,"WORKING_CAPITAL_SEQ_GROWTH","FQ4 2017","FQ4 2017","Currency=INR","Period=FQ","BEST_FPERIOD_OVERRIDE=FQ","FILING_STATUS=OR","EQY_CONSOLIDATED=Y","Sort=A","Dates=H","DateFormat=P","Fill=—","Direction=H","UseDPDF=Y")</f>
        <v>#NAME?</v>
      </c>
      <c r="BR172" s="2" t="e">
        <f ca="1">_xll.BDH($C$153,"ACCOUNTS_PAYABLE_SEQ_GROWTH","FQ4 2017","FQ4 2017","Currency=INR","Period=FQ","BEST_FPERIOD_OVERRIDE=FQ","FILING_STATUS=OR","EQY_CONSOLIDATED=Y","Sort=A","Dates=H","DateFormat=P","Fill=—","Direction=H","UseDPDF=Y")</f>
        <v>#NAME?</v>
      </c>
      <c r="BS172" s="2" t="e">
        <f ca="1">_xll.BDH($C$153,"ST_DEBT_SEQUENTIAL_GROWTH","FQ4 2017","FQ4 2017","Currency=INR","Period=FQ","BEST_FPERIOD_OVERRIDE=FQ","FILING_STATUS=OR","EQY_CONSOLIDATED=Y","Sort=A","Dates=H","DateFormat=P","Fill=—","Direction=H","UseDPDF=Y")</f>
        <v>#NAME?</v>
      </c>
      <c r="BT172" s="2" t="e">
        <f ca="1">_xll.BDH($C$153,"TOTAL_DEBT_SEQUENTIAL_GROWTH","FQ4 2017","FQ4 2017","Currency=INR","Period=FQ","BEST_FPERIOD_OVERRIDE=FQ","FILING_STATUS=OR","EQY_CONSOLIDATED=Y","Sort=A","Dates=H","DateFormat=P","Fill=—","Direction=H","UseDPDF=Y")</f>
        <v>#NAME?</v>
      </c>
      <c r="BU172" s="2" t="e">
        <f ca="1">_xll.BDH($C$153,"TOTAL_EQUITY_SEQUENTIAL_GROWTH","FQ4 2017","FQ4 2017","Currency=INR","Period=FQ","BEST_FPERIOD_OVERRIDE=FQ","FILING_STATUS=OR","EQY_CONSOLIDATED=Y","Sort=A","Dates=H","DateFormat=P","Fill=—","Direction=H","UseDPDF=Y")</f>
        <v>#NAME?</v>
      </c>
      <c r="BV172" s="2" t="e">
        <f ca="1">_xll.BDH($C$153,"TOTAL_CAPITAL_SEQUENTIAL_GROWTH","FQ4 2017","FQ4 2017","Currency=INR","Period=FQ","BEST_FPERIOD_OVERRIDE=FQ","FILING_STATUS=OR","EQY_CONSOLIDATED=Y","Sort=A","Dates=H","DateFormat=P","Fill=—","Direction=H","UseDPDF=Y")</f>
        <v>#NAME?</v>
      </c>
      <c r="BW172" s="2" t="e">
        <f ca="1">_xll.BDH($C$153,"BPS_SEQUENTIAL_GROWTH","FQ4 2017","FQ4 2017","Currency=INR","Period=FQ","BEST_FPERIOD_OVERRIDE=FQ","FILING_STATUS=OR","EQY_CONSOLIDATED=Y","Sort=A","Dates=H","DateFormat=P","Fill=—","Direction=H","UseDPDF=Y")</f>
        <v>#NAME?</v>
      </c>
      <c r="BX172" s="2" t="e">
        <f ca="1">_xll.BDH($C$153,"CFO_SEQUENTIAL_GROWTH","FQ4 2017","FQ4 2017","Currency=INR","Period=FQ","BEST_FPERIOD_OVERRIDE=FQ","FILING_STATUS=OR","EQY_CONSOLIDATED=Y","Sort=A","Dates=H","DateFormat=P","Fill=—","Direction=H","UseDPDF=Y")</f>
        <v>#NAME?</v>
      </c>
      <c r="BY172" s="3" t="e">
        <f ca="1">_xll.BDH($C$153,"SHORT_AND_LONG_TERM_DEBT","FQ4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72" s="3" t="e">
        <f ca="1">_xll.BDH($C$153,"BS_ST_BORROW","FQ4 2017","FQ4 2017","Currency=INR","Period=FQ","BEST_FPERIOD_OVERRIDE=FQ","FILING_STATUS=OR","EQY_CONSOLIDATED=Y","SCALING_FORMAT=MLN","Sort=A","Dates=H","DateFormat=P","Fill=—","Direction=H","UseDPDF=Y")</f>
        <v>#NAME?</v>
      </c>
      <c r="CA172" s="3" t="e">
        <f ca="1">_xll.BDH($C$153,"BS_LT_BORROW","FQ4 2017","FQ4 2017","Currency=INR","Period=FQ","BEST_FPERIOD_OVERRIDE=FQ","FILING_STATUS=OR","EQY_CONSOLIDATED=Y","SCALING_FORMAT=MLN","Sort=A","Dates=H","DateFormat=P","Fill=—","Direction=H","UseDPDF=Y")</f>
        <v>#NAME?</v>
      </c>
      <c r="CB172" s="2" t="e">
        <f ca="1">_xll.BDH($C$153,"TOT_DEBT_TO_EBITDA","FQ4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72" s="2" t="e">
        <f ca="1">_xll.BDH($C$153,"NET_DEBT_TO_EBITDA","FQ4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72" s="2" t="e">
        <f ca="1">_xll.BDH($C$153,"TOTAL_DEBT_TO_EBIT","FQ4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72" s="2" t="e">
        <f ca="1">_xll.BDH($C$153,"NET_DEBT_TO_EBIT","FQ4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172" s="2" t="e">
        <f ca="1">_xll.BDH($C$153,"EBITDA_TO_INTEREST_EXPN","FQ4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72" s="2" t="e">
        <f ca="1">_xll.BDH($C$153,"COM_EQY_TO_TOT_ASSET","FQ4 2017","FQ4 2017","Currency=INR","Period=FQ","BEST_FPERIOD_OVERRIDE=FQ","FILING_STATUS=OR","EQY_CONSOLIDATED=Y","Sort=A","Dates=H","DateFormat=P","Fill=—","Direction=H","UseDPDF=Y")</f>
        <v>#NAME?</v>
      </c>
      <c r="CH172" s="2" t="e">
        <f ca="1">_xll.BDH($C$153,"LT_DEBT_TO_TOT_EQY","FQ4 2017","FQ4 2017","Currency=INR","Period=FQ","BEST_FPERIOD_OVERRIDE=FQ","FILING_STATUS=OR","EQY_CONSOLIDATED=Y","Sort=A","Dates=H","DateFormat=P","Fill=—","Direction=H","UseDPDF=Y")</f>
        <v>#NAME?</v>
      </c>
      <c r="CI172" s="2" t="e">
        <f ca="1">_xll.BDH($C$153,"LT_DEBT_TO_TOT_CAP","FQ4 2017","FQ4 2017","Currency=INR","Period=FQ","BEST_FPERIOD_OVERRIDE=FQ","FILING_STATUS=OR","EQY_CONSOLIDATED=Y","Sort=A","Dates=H","DateFormat=P","Fill=—","Direction=H","UseDPDF=Y")</f>
        <v>#NAME?</v>
      </c>
      <c r="CJ172" s="2" t="e">
        <f ca="1">_xll.BDH($C$153,"LT_DEBT_TO_TOT_ASSET","FQ4 2017","FQ4 2017","Currency=INR","Period=FQ","BEST_FPERIOD_OVERRIDE=FQ","FILING_STATUS=OR","EQY_CONSOLIDATED=Y","Sort=A","Dates=H","DateFormat=P","Fill=—","Direction=H","UseDPDF=Y")</f>
        <v>#NAME?</v>
      </c>
      <c r="CK172" s="2" t="e">
        <f ca="1">_xll.BDH($C$153,"TOT_DEBT_TO_TOT_EQY","FQ4 2017","FQ4 2017","Currency=INR","Period=FQ","BEST_FPERIOD_OVERRIDE=FQ","FILING_STATUS=OR","EQY_CONSOLIDATED=Y","Sort=A","Dates=H","DateFormat=P","Fill=—","Direction=H","UseDPDF=Y")</f>
        <v>#NAME?</v>
      </c>
      <c r="CL172" s="2" t="e">
        <f ca="1">_xll.BDH($C$153,"TOT_DEBT_TO_TOT_CAP","FQ4 2017","FQ4 2017","Currency=INR","Period=FQ","BEST_FPERIOD_OVERRIDE=FQ","FILING_STATUS=OR","EQY_CONSOLIDATED=Y","Sort=A","Dates=H","DateFormat=P","Fill=—","Direction=H","UseDPDF=Y")</f>
        <v>#NAME?</v>
      </c>
      <c r="CM172" s="2" t="e">
        <f ca="1">_xll.BDH($C$153,"TOT_DEBT_TO_TOT_ASSET","FQ4 2017","FQ4 2017","Currency=INR","Period=FQ","BEST_FPERIOD_OVERRIDE=FQ","FILING_STATUS=OR","EQY_CONSOLIDATED=Y","Sort=A","Dates=H","DateFormat=P","Fill=—","Direction=H","UseDPDF=Y")</f>
        <v>#NAME?</v>
      </c>
      <c r="CN172" s="2" t="e">
        <f ca="1">_xll.BDH($C$153,"NET_DEBT_TO_SHRHLDR_EQTY","FQ4 2017","FQ4 2017","Currency=INR","Period=FQ","BEST_FPERIOD_OVERRIDE=FQ","FILING_STATUS=OR","EQY_CONSOLIDATED=Y","Sort=A","Dates=H","DateFormat=P","Fill=—","Direction=H","UseDPDF=Y")</f>
        <v>#NAME?</v>
      </c>
      <c r="CO172" s="2" t="e">
        <f ca="1">_xll.BDH($C$153,"NET_DEBT_%_CAPITAL","FQ4 2017","FQ4 2017","Currency=INR","Period=FQ","BEST_FPERIOD_OVERRIDE=FQ","FILING_STATUS=OR","EQY_CONSOLIDATED=Y","Sort=A","Dates=H","DateFormat=P","Fill=—","Direction=H","UseDPDF=Y")</f>
        <v>#NAME?</v>
      </c>
      <c r="CP172" s="3" t="e">
        <f ca="1">_xll.BDH($C$153,"EBITDA","FQ4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72" s="3" t="e">
        <f ca="1">_xll.BDH($C$153,"EBITDA_AFTER_CAPEX","FQ4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72" s="3" t="e">
        <f ca="1">_xll.BDH($C$153,"IS_OPER_INC","FQ4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72" s="2" t="e">
        <f ca="1">_xll.BDH($C$153,"CASH_RATIO","FQ4 2017","FQ4 2017","Currency=INR","Period=FQ","BEST_FPERIOD_OVERRIDE=FQ","FILING_STATUS=OR","EQY_CONSOLIDATED=Y","Sort=A","Dates=H","DateFormat=P","Fill=—","Direction=H","UseDPDF=Y")</f>
        <v>#NAME?</v>
      </c>
      <c r="CT172" s="2" t="e">
        <f ca="1">_xll.BDH($C$153,"CUR_RATIO","FQ4 2017","FQ4 2017","Currency=INR","Period=FQ","BEST_FPERIOD_OVERRIDE=FQ","FILING_STATUS=OR","EQY_CONSOLIDATED=Y","Sort=A","Dates=H","DateFormat=P","Fill=—","Direction=H","UseDPDF=Y")</f>
        <v>#NAME?</v>
      </c>
      <c r="CU172" s="2" t="e">
        <f ca="1">_xll.BDH($C$153,"QUICK_RATIO","FQ4 2017","FQ4 2017","Currency=INR","Period=FQ","BEST_FPERIOD_OVERRIDE=FQ","FILING_STATUS=OR","EQY_CONSOLIDATED=Y","Sort=A","Dates=H","DateFormat=P","Fill=—","Direction=H","UseDPDF=Y")</f>
        <v>#NAME?</v>
      </c>
      <c r="CV172" s="2" t="e">
        <f ca="1">_xll.BDH($C$153,"ALTMAN_Z_SCORE","FQ4 2017","FQ4 2017","Currency=INR","Period=FQ","BEST_FPERIOD_OVERRIDE=FQ","FILING_STATUS=OR","EQY_CONSOLIDATED=Y","Sort=A","Dates=H","DateFormat=P","Fill=—","Direction=H","UseDPDF=Y")</f>
        <v>#NAME?</v>
      </c>
      <c r="CW172" s="4" t="e">
        <f ca="1">_xll.BDH($C$153,"ACCT_RCV_TURN","FQ4 2017","FQ4 2017","Currency=INR","Period=FQ","BEST_FPERIOD_OVERRIDE=FQ","FILING_STATUS=OR","EQY_CONSOLIDATED=Y","FA_ADJUSTED=GAAP","Sort=A","Dates=H","DateFormat=P","Fill=—","Direction=H","UseDPDF=Y")</f>
        <v>#NAME?</v>
      </c>
      <c r="CX172" s="2" t="e">
        <f ca="1">_xll.BDH($C$153,"ACCT_RCV_DAYS","FQ4 2017","FQ4 2017","Currency=INR","Period=FQ","BEST_FPERIOD_OVERRIDE=FQ","FILING_STATUS=OR","EQY_CONSOLIDATED=Y","FA_ADJUSTED=GAAP","Sort=A","Dates=H","DateFormat=P","Fill=—","Direction=H","UseDPDF=Y")</f>
        <v>#NAME?</v>
      </c>
      <c r="CY172" s="4" t="e">
        <f ca="1">_xll.BDH($C$153,"INVENT_TURN","FQ4 2017","FQ4 2017","Currency=INR","Period=FQ","BEST_FPERIOD_OVERRIDE=FQ","FILING_STATUS=OR","EQY_CONSOLIDATED=Y","FA_ADJUSTED=GAAP","Sort=A","Dates=H","DateFormat=P","Fill=—","Direction=H","UseDPDF=Y")</f>
        <v>#NAME?</v>
      </c>
      <c r="CZ172" s="2" t="e">
        <f ca="1">_xll.BDH($C$153,"INVENT_DAYS","FQ4 2017","FQ4 2017","Currency=INR","Period=FQ","BEST_FPERIOD_OVERRIDE=FQ","FILING_STATUS=OR","EQY_CONSOLIDATED=Y","FA_ADJUSTED=GAAP","Sort=A","Dates=H","DateFormat=P","Fill=—","Direction=H","UseDPDF=Y")</f>
        <v>#NAME?</v>
      </c>
      <c r="DA172" s="4" t="e">
        <f ca="1">_xll.BDH($C$153,"ACCOUNTS_PAYABLE_TURNOVER","FQ4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72" s="2" t="e">
        <f ca="1">_xll.BDH($C$153,"ACCOUNTS_PAYABLE_TURNOVER_DAYS","FQ4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72" s="4" t="e">
        <f ca="1">_xll.BDH($C$153,"CASH_CONVERSION_CYCLE","FQ4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72" s="4" t="e">
        <f ca="1">_xll.BDH($C$153,"INV_TO_CASH_DAYS","FQ4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172" s="5" t="e">
        <f ca="1">_xll.BDH($C$153,"BS_INVENTORIES","FQ4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172" s="3" t="e">
        <f ca="1">_xll.BDH($C$153,"INVTRY_RAW_MATERIALS","FQ4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72" s="3" t="e">
        <f ca="1">_xll.BDH($C$153,"INVTRY_IN_PROGRESS","FQ4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72" s="3" t="e">
        <f ca="1">_xll.BDH($C$153,"INVTRY_FINISHED_GOODS","FQ4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72" s="3" t="e">
        <f ca="1">_xll.BDH($C$153,"BS_OTHER_INV","FQ4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73" spans="1:113" x14ac:dyDescent="0.3">
      <c r="A173" s="6"/>
      <c r="B173" s="6"/>
      <c r="C173" s="6"/>
      <c r="D173" s="6" t="s">
        <v>85</v>
      </c>
      <c r="E173" t="s">
        <v>77</v>
      </c>
      <c r="F173" t="e">
        <f ca="1">_xll.BDH($C$153,"RETURN_COM_EQY","FY 2018","FY 2018","Currency=INR","Period=FY","BEST_FPERIOD_OVERRIDE=FY","FILING_STATUS=OR","EQY_CONSOLIDATED=Y","FA_ADJUSTED=GAAP","Sort=A","Dates=H","DateFormat=P","Fill=—","Direction=H","UseDPDF=Y")</f>
        <v>#NAME?</v>
      </c>
      <c r="G173" t="e">
        <f ca="1">_xll.BDH($C$153,"RETURN_ON_ASSET","FY 2018","FY 2018","Currency=INR","Period=FY","BEST_FPERIOD_OVERRIDE=FY","FILING_STATUS=OR","EQY_CONSOLIDATED=Y","FA_ADJUSTED=GAAP","Sort=A","Dates=H","DateFormat=P","Fill=—","Direction=H","UseDPDF=Y")</f>
        <v>#NAME?</v>
      </c>
      <c r="H173" t="e">
        <f ca="1">_xll.BDH($C$153,"RETURN_ON_CAP","FY 2018","FY 2018","Currency=INR","Period=FY","BEST_FPERIOD_OVERRIDE=FY","FILING_STATUS=OR","EQY_CONSOLIDATED=Y","FA_ADJUSTED=GAAP","Sort=A","Dates=H","DateFormat=P","Fill=—","Direction=H","UseDPDF=Y")</f>
        <v>#NAME?</v>
      </c>
      <c r="I173" t="e">
        <f ca="1">_xll.BDH($C$153,"RETURN_ON_INV_CAPITAL","FY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73" t="e">
        <f ca="1">_xll.BDH($C$153,"EBITDA_TO_REVENUE","FY 2018","FY 2018","Currency=INR","Period=FY","BEST_FPERIOD_OVERRIDE=FY","FILING_STATUS=OR","EQY_CONSOLIDATED=Y","FA_ADJUSTED=GAAP","Sort=A","Dates=H","DateFormat=P","Fill=—","Direction=H","UseDPDF=Y")</f>
        <v>#NAME?</v>
      </c>
      <c r="K173" t="e">
        <f ca="1">_xll.BDH($C$153,"OPER_MARGIN","FY 2018","FY 2018","Currency=INR","Period=FY","BEST_FPERIOD_OVERRIDE=FY","FILING_STATUS=OR","EQY_CONSOLIDATED=Y","FA_ADJUSTED=GAAP","Sort=A","Dates=H","DateFormat=P","Fill=—","Direction=H","UseDPDF=Y")</f>
        <v>#NAME?</v>
      </c>
      <c r="L173" t="e">
        <f ca="1">_xll.BDH($C$153,"INCREMENTAL_OPERATING_MARGIN","FY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73" t="e">
        <f ca="1">_xll.BDH($C$153,"PRETAX_INC_TO_NET_SALES","FY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73" t="e">
        <f ca="1">_xll.BDH($C$153,"INC_BEF_XO_ITEMS_TO_NET_SALES","FY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73" t="e">
        <f ca="1">_xll.BDH($C$153,"PROF_MARGIN","FY 2018","FY 2018","Currency=INR","Period=FY","BEST_FPERIOD_OVERRIDE=FY","FILING_STATUS=OR","EQY_CONSOLIDATED=Y","FA_ADJUSTED=GAAP","Sort=A","Dates=H","DateFormat=P","Fill=—","Direction=H","UseDPDF=Y")</f>
        <v>#NAME?</v>
      </c>
      <c r="P173" t="e">
        <f ca="1">_xll.BDH($C$153,"NET_INCOME_TO_COMMON_MARGIN","FY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73" t="e">
        <f ca="1">_xll.BDH($C$153,"EFF_TAX_RATE","FY 2018","FY 2018","Currency=INR","Period=FY","BEST_FPERIOD_OVERRIDE=FY","FILING_STATUS=OR","EQY_CONSOLIDATED=Y","FA_ADJUSTED=GAAP","Sort=A","Dates=H","DateFormat=P","Fill=—","Direction=H","UseDPDF=Y")</f>
        <v>#NAME?</v>
      </c>
      <c r="R173" t="e">
        <f ca="1">_xll.BDH($C$153,"DVD_PAYOUT_RATIO","FY 2018","FY 2018","Currency=INR","Period=FY","BEST_FPERIOD_OVERRIDE=FY","FILING_STATUS=OR","EQY_CONSOLIDATED=Y","FA_ADJUSTED=GAAP","Sort=A","Dates=H","DateFormat=P","Fill=—","Direction=H","UseDPDF=Y")</f>
        <v>#NAME?</v>
      </c>
      <c r="S173" t="e">
        <f ca="1">_xll.BDH($C$153,"SUSTAIN_GROWTH_RT","FY 2018","FY 2018","Currency=INR","Period=FY","BEST_FPERIOD_OVERRIDE=FY","FILING_STATUS=OR","EQY_CONSOLIDATED=Y","FA_ADJUSTED=GAAP","Sort=A","Dates=H","DateFormat=P","Fill=—","Direction=H","UseDPDF=Y")</f>
        <v>#NAME?</v>
      </c>
      <c r="T173" s="2" t="e">
        <f ca="1">_xll.BDH($C$153,"SALES_GROWTH","FY 2018","FY 2018","Currency=INR","Period=FY","BEST_FPERIOD_OVERRIDE=FY","FILING_STATUS=OR","EQY_CONSOLIDATED=Y","FA_ADJUSTED=GAAP","Sort=A","Dates=H","DateFormat=P","Fill=—","Direction=H","UseDPDF=Y")</f>
        <v>#NAME?</v>
      </c>
      <c r="U173" s="2" t="e">
        <f ca="1">_xll.BDH($C$153,"EBITDA_GROWTH","FY 2018","FY 2018","Currency=INR","Period=FY","BEST_FPERIOD_OVERRIDE=FY","FILING_STATUS=OR","EQY_CONSOLIDATED=Y","FA_ADJUSTED=GAAP","Sort=A","Dates=H","DateFormat=P","Fill=—","Direction=H","UseDPDF=Y")</f>
        <v>#NAME?</v>
      </c>
      <c r="V173" s="2" t="e">
        <f ca="1">_xll.BDH($C$153,"OPER_INC_GROWTH","FY 2018","FY 2018","Currency=INR","Period=FY","BEST_FPERIOD_OVERRIDE=FY","FILING_STATUS=OR","EQY_CONSOLIDATED=Y","FA_ADJUSTED=GAAP","Sort=A","Dates=H","DateFormat=P","Fill=—","Direction=H","UseDPDF=Y")</f>
        <v>#NAME?</v>
      </c>
      <c r="W173" s="2" t="e">
        <f ca="1">_xll.BDH($C$153,"EARN_FOR_COM_GROWTH","FY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173" s="2" t="e">
        <f ca="1">_xll.BDH($C$153,"DILUTED_EPS_AFT_XO_ITEMS_GROWTH","FY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73" s="2" t="e">
        <f ca="1">_xll.BDH($C$153,"DIVIDEND_PER_SHARE_1_YEAR_GROWTH","FY 2018","FY 2018","Currency=INR","Period=FY","BEST_FPERIOD_OVERRIDE=FY","FILING_STATUS=OR","EQY_CONSOLIDATED=Y","Sort=A","Dates=H","DateFormat=P","Fill=—","Direction=H","UseDPDF=Y")</f>
        <v>#NAME?</v>
      </c>
      <c r="Z173" s="2" t="e">
        <f ca="1">_xll.BDH($C$153,"ACCOUNTS_RECEIVABLE_GROWTH","FY 2018","FY 2018","Currency=INR","Period=FY","BEST_FPERIOD_OVERRIDE=FY","FILING_STATUS=OR","EQY_CONSOLIDATED=Y","Sort=A","Dates=H","DateFormat=P","Fill=—","Direction=H","UseDPDF=Y")</f>
        <v>#NAME?</v>
      </c>
      <c r="AA173" s="2" t="e">
        <f ca="1">_xll.BDH($C$153,"INVENTORY_GROWTH","FY 2018","FY 2018","Currency=INR","Period=FY","BEST_FPERIOD_OVERRIDE=FY","FILING_STATUS=OR","EQY_CONSOLIDATED=Y","Sort=A","Dates=H","DateFormat=P","Fill=—","Direction=H","UseDPDF=Y")</f>
        <v>#NAME?</v>
      </c>
      <c r="AB173" s="2" t="e">
        <f ca="1">_xll.BDH($C$153,"NET_FIXED_ASSETS_1_YEAR_GROWTH","FY 2018","FY 2018","Currency=INR","Period=FY","BEST_FPERIOD_OVERRIDE=FY","FILING_STATUS=OR","EQY_CONSOLIDATED=Y","Sort=A","Dates=H","DateFormat=P","Fill=—","Direction=H","UseDPDF=Y")</f>
        <v>#NAME?</v>
      </c>
      <c r="AC173" s="2" t="e">
        <f ca="1">_xll.BDH($C$153,"ASSET_GROWTH","FY 2018","FY 2018","Currency=INR","Period=FY","BEST_FPERIOD_OVERRIDE=FY","FILING_STATUS=OR","EQY_CONSOLIDATED=Y","Sort=A","Dates=H","DateFormat=P","Fill=—","Direction=H","UseDPDF=Y")</f>
        <v>#NAME?</v>
      </c>
      <c r="AD173" s="2" t="e">
        <f ca="1">_xll.BDH($C$153,"MODIFIED_WORK_CAP_GROWTH","FY 2018","FY 2018","Currency=INR","Period=FY","BEST_FPERIOD_OVERRIDE=FY","FILING_STATUS=OR","EQY_CONSOLIDATED=Y","Sort=A","Dates=H","DateFormat=P","Fill=—","Direction=H","UseDPDF=Y")</f>
        <v>#NAME?</v>
      </c>
      <c r="AE173" s="2" t="e">
        <f ca="1">_xll.BDH($C$153,"WORK_CAP_GROWTH","FY 2018","FY 2018","Currency=INR","Period=FY","BEST_FPERIOD_OVERRIDE=FY","FILING_STATUS=OR","EQY_CONSOLIDATED=Y","Sort=A","Dates=H","DateFormat=P","Fill=—","Direction=H","UseDPDF=Y")</f>
        <v>#NAME?</v>
      </c>
      <c r="AF173" s="2" t="e">
        <f ca="1">_xll.BDH($C$153,"ACCOUNTS_PAYABLE_GROWTH_1YR","FY 2018","FY 2018","Currency=INR","Period=FY","BEST_FPERIOD_OVERRIDE=FY","FILING_STATUS=OR","EQY_CONSOLIDATED=Y","Sort=A","Dates=H","DateFormat=P","Fill=—","Direction=H","UseDPDF=Y")</f>
        <v>#NAME?</v>
      </c>
      <c r="AG173" s="2" t="e">
        <f ca="1">_xll.BDH($C$153,"SHORT_TERM_DEBT_1_YEAR_GROWTH","FY 2018","FY 2018","Currency=INR","Period=FY","BEST_FPERIOD_OVERRIDE=FY","FILING_STATUS=OR","EQY_CONSOLIDATED=Y","Sort=A","Dates=H","DateFormat=P","Fill=—","Direction=H","UseDPDF=Y")</f>
        <v>#NAME?</v>
      </c>
      <c r="AH173" s="2" t="e">
        <f ca="1">_xll.BDH($C$153,"TOTAL_DEBT_1_YEAR_GROWTH","FY 2018","FY 2018","Currency=INR","Period=FY","BEST_FPERIOD_OVERRIDE=FY","FILING_STATUS=OR","EQY_CONSOLIDATED=Y","Sort=A","Dates=H","DateFormat=P","Fill=—","Direction=H","UseDPDF=Y")</f>
        <v>#NAME?</v>
      </c>
      <c r="AI173" s="2" t="e">
        <f ca="1">_xll.BDH($C$153,"TOTAL_EQUITY_1_YEAR_GROWTH","FY 2018","FY 2018","Currency=INR","Period=FY","BEST_FPERIOD_OVERRIDE=FY","FILING_STATUS=OR","EQY_CONSOLIDATED=Y","Sort=A","Dates=H","DateFormat=P","Fill=—","Direction=H","UseDPDF=Y")</f>
        <v>#NAME?</v>
      </c>
      <c r="AJ173" s="2" t="e">
        <f ca="1">_xll.BDH($C$153,"GROWTH_IN_CAP","FY 2018","FY 2018","Currency=INR","Period=FY","BEST_FPERIOD_OVERRIDE=FY","FILING_STATUS=OR","EQY_CONSOLIDATED=Y","Sort=A","Dates=H","DateFormat=P","Fill=—","Direction=H","UseDPDF=Y")</f>
        <v>#NAME?</v>
      </c>
      <c r="AK173" s="2" t="e">
        <f ca="1">_xll.BDH($C$153,"BVPS_GROWTH","FY 2018","FY 2018","Currency=INR","Period=FY","BEST_FPERIOD_OVERRIDE=FY","FILING_STATUS=OR","EQY_CONSOLIDATED=Y","Sort=A","Dates=H","DateFormat=P","Fill=—","Direction=H","UseDPDF=Y")</f>
        <v>#NAME?</v>
      </c>
      <c r="AL173" s="2" t="e">
        <f ca="1">_xll.BDH($C$153,"CASH_FLOW_GROWTH","FY 2018","FY 2018","Currency=INR","Period=FY","BEST_FPERIOD_OVERRIDE=FY","FILING_STATUS=OR","EQY_CONSOLIDATED=Y","Sort=A","Dates=H","DateFormat=P","Fill=—","Direction=H","UseDPDF=Y")</f>
        <v>#NAME?</v>
      </c>
      <c r="AM173" s="2" t="e">
        <f ca="1">_xll.BDH($C$153,"GEO_GROW_NET_SALES","FY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173" s="2" t="e">
        <f ca="1">_xll.BDH($C$153,"GEO_GROW_EBITDA","FY 2018","FY 2018","Currency=INR","Period=FY","BEST_FPERIOD_OVERRIDE=FY","FILING_STATUS=OR","EQY_CONSOLIDATED=Y","FA_ADJUSTED=GAAP","Sort=A","Dates=H","DateFormat=P","Fill=—","Direction=H","UseDPDF=Y")</f>
        <v>#NAME?</v>
      </c>
      <c r="AO173" s="2" t="e">
        <f ca="1">_xll.BDH($C$153,"GEO_GROW_OPER_INC","FY 2018","FY 2018","Currency=INR","Period=FY","BEST_FPERIOD_OVERRIDE=FY","FILING_STATUS=OR","EQY_CONSOLIDATED=Y","FA_ADJUSTED=GAAP","Sort=A","Dates=H","DateFormat=P","Fill=—","Direction=H","UseDPDF=Y")</f>
        <v>#NAME?</v>
      </c>
      <c r="AP173" s="2" t="e">
        <f ca="1">_xll.BDH($C$153,"NET_INCOME_TO_COMMON_5_YR_GROWTH","FY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73" s="2" t="e">
        <f ca="1">_xll.BDH($C$153,"5Y_GEO_GROWTH_DILUTED_EPS","FY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73" s="2" t="e">
        <f ca="1">_xll.BDH($C$153,"GEO_GROW_DVD_PER_SH","FY 2018","FY 2018","Currency=INR","Period=FY","BEST_FPERIOD_OVERRIDE=FY","FILING_STATUS=OR","EQY_CONSOLIDATED=Y","Sort=A","Dates=H","DateFormat=P","Fill=—","Direction=H","UseDPDF=Y")</f>
        <v>#NAME?</v>
      </c>
      <c r="AS173" s="2" t="e">
        <f ca="1">_xll.BDH($C$153,"ACCOUNTS_RECEIVABLE_5_YR_GROWTH","FY 2018","FY 2018","Currency=INR","Period=FY","BEST_FPERIOD_OVERRIDE=FY","FILING_STATUS=OR","EQY_CONSOLIDATED=Y","Sort=A","Dates=H","DateFormat=P","Fill=—","Direction=H","UseDPDF=Y")</f>
        <v>#NAME?</v>
      </c>
      <c r="AT173" s="2" t="e">
        <f ca="1">_xll.BDH($C$153,"INVENTORY_5_YEAR_GROWTH","FY 2018","FY 2018","Currency=INR","Period=FY","BEST_FPERIOD_OVERRIDE=FY","FILING_STATUS=OR","EQY_CONSOLIDATED=Y","Sort=A","Dates=H","DateFormat=P","Fill=—","Direction=H","UseDPDF=Y")</f>
        <v>#NAME?</v>
      </c>
      <c r="AU173" s="2" t="e">
        <f ca="1">_xll.BDH($C$153,"NET_FIXED_ASSETS_5_YEAR_GROWTH","FY 2018","FY 2018","Currency=INR","Period=FY","BEST_FPERIOD_OVERRIDE=FY","FILING_STATUS=OR","EQY_CONSOLIDATED=Y","Sort=A","Dates=H","DateFormat=P","Fill=—","Direction=H","UseDPDF=Y")</f>
        <v>#NAME?</v>
      </c>
      <c r="AV173" s="2" t="e">
        <f ca="1">_xll.BDH($C$153,"GEO_GROW_TOT_ASSET","FY 2018","FY 2018","Currency=INR","Period=FY","BEST_FPERIOD_OVERRIDE=FY","FILING_STATUS=OR","EQY_CONSOLIDATED=Y","Sort=A","Dates=H","DateFormat=P","Fill=—","Direction=H","UseDPDF=Y")</f>
        <v>#NAME?</v>
      </c>
      <c r="AW173" s="2" t="e">
        <f ca="1">_xll.BDH($C$153,"MODIFIED_WORKING_CPTL_5YR_GRWTH","FY 2018","FY 2018","Currency=INR","Period=FY","BEST_FPERIOD_OVERRIDE=FY","FILING_STATUS=OR","EQY_CONSOLIDATED=Y","Sort=A","Dates=H","DateFormat=P","Fill=—","Direction=H","UseDPDF=Y")</f>
        <v>#NAME?</v>
      </c>
      <c r="AX173" s="2" t="e">
        <f ca="1">_xll.BDH($C$153,"WORKING_CAPITAL_5_YEAR_GROWTH","FY 2018","FY 2018","Currency=INR","Period=FY","BEST_FPERIOD_OVERRIDE=FY","FILING_STATUS=OR","EQY_CONSOLIDATED=Y","Sort=A","Dates=H","DateFormat=P","Fill=—","Direction=H","UseDPDF=Y")</f>
        <v>#NAME?</v>
      </c>
      <c r="AY173" s="2" t="e">
        <f ca="1">_xll.BDH($C$153,"ACCOUNTS_PAYABLE_5_YEAR_GROWTH","FY 2018","FY 2018","Currency=INR","Period=FY","BEST_FPERIOD_OVERRIDE=FY","FILING_STATUS=OR","EQY_CONSOLIDATED=Y","Sort=A","Dates=H","DateFormat=P","Fill=—","Direction=H","UseDPDF=Y")</f>
        <v>#NAME?</v>
      </c>
      <c r="AZ173" s="2" t="e">
        <f ca="1">_xll.BDH($C$153,"SHORT_TERM_DEBT_5_YEAR_GROWTH","FY 2018","FY 2018","Currency=INR","Period=FY","BEST_FPERIOD_OVERRIDE=FY","FILING_STATUS=OR","EQY_CONSOLIDATED=Y","Sort=A","Dates=H","DateFormat=P","Fill=—","Direction=H","UseDPDF=Y")</f>
        <v>#NAME?</v>
      </c>
      <c r="BA173" s="2" t="e">
        <f ca="1">_xll.BDH($C$153,"TOTAL_DEBT_5_YEAR_GROWTH","FY 2018","FY 2018","Currency=INR","Period=FY","BEST_FPERIOD_OVERRIDE=FY","FILING_STATUS=OR","EQY_CONSOLIDATED=Y","Sort=A","Dates=H","DateFormat=P","Fill=—","Direction=H","UseDPDF=Y")</f>
        <v>#NAME?</v>
      </c>
      <c r="BB173" s="2" t="e">
        <f ca="1">_xll.BDH($C$153,"GEO_GROW_TOT_SHRHLDR_EQY","FY 2018","FY 2018","Currency=INR","Period=FY","BEST_FPERIOD_OVERRIDE=FY","FILING_STATUS=OR","EQY_CONSOLIDATED=Y","Sort=A","Dates=H","DateFormat=P","Fill=—","Direction=H","UseDPDF=Y")</f>
        <v>#NAME?</v>
      </c>
      <c r="BC173" s="2" t="e">
        <f ca="1">_xll.BDH($C$153,"TOTAL_CAPITAL_5_YEAR_GROWTH","FY 2018","FY 2018","Currency=INR","Period=FY","BEST_FPERIOD_OVERRIDE=FY","FILING_STATUS=OR","EQY_CONSOLIDATED=Y","Sort=A","Dates=H","DateFormat=P","Fill=—","Direction=H","UseDPDF=Y")</f>
        <v>#NAME?</v>
      </c>
      <c r="BD173" s="2" t="e">
        <f ca="1">_xll.BDH($C$153,"GEO_GROW_BOOK_VAL","FY 2018","FY 2018","Currency=INR","Period=FY","BEST_FPERIOD_OVERRIDE=FY","FILING_STATUS=OR","EQY_CONSOLIDATED=Y","Sort=A","Dates=H","DateFormat=P","Fill=—","Direction=H","UseDPDF=Y")</f>
        <v>#NAME?</v>
      </c>
      <c r="BE173" s="2" t="e">
        <f ca="1">_xll.BDH($C$153,"GEO_GROW_CASH_OPER_ACT","FY 2018","FY 2018","Currency=INR","Period=FY","BEST_FPERIOD_OVERRIDE=FY","FILING_STATUS=OR","EQY_CONSOLIDATED=Y","Sort=A","Dates=H","DateFormat=P","Fill=—","Direction=H","UseDPDF=Y")</f>
        <v>#NAME?</v>
      </c>
      <c r="BF173" s="2" t="e">
        <f ca="1">_xll.BDH($C$153,"REVENUE_SEQUENTIAL_GROWTH","FY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73" s="2" t="e">
        <f ca="1">_xll.BDH($C$153,"EBITDA_SEQUENTIAL_GROWTH","FY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73" s="2" t="e">
        <f ca="1">_xll.BDH($C$153,"OPERATING_INCOME_SEQ_GROWTH","FY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73" s="2" t="e">
        <f ca="1">_xll.BDH($C$153,"NET_INCOME_TO_COMMON_SEQ_GROWTH","FY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73" s="2" t="e">
        <f ca="1">_xll.BDH($C$153,"EPS_DILUTED_SEQUENTIAL_GROWTH","FY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73" s="2" t="e">
        <f ca="1">_xll.BDH($C$153,"DPS_SEQUENTIAL_GROWTH","FY 2018","FY 2018","Currency=INR","Period=FY","BEST_FPERIOD_OVERRIDE=FY","FILING_STATUS=OR","EQY_CONSOLIDATED=Y","Sort=A","Dates=H","DateFormat=P","Fill=—","Direction=H","UseDPDF=Y")</f>
        <v>#NAME?</v>
      </c>
      <c r="BL173" s="2" t="e">
        <f ca="1">_xll.BDH($C$153,"ACCOUNTS_RECEIVABLE_SEQ_GROWTH","FY 2018","FY 2018","Currency=INR","Period=FY","BEST_FPERIOD_OVERRIDE=FY","FILING_STATUS=OR","EQY_CONSOLIDATED=Y","Sort=A","Dates=H","DateFormat=P","Fill=—","Direction=H","UseDPDF=Y")</f>
        <v>#NAME?</v>
      </c>
      <c r="BM173" s="2" t="e">
        <f ca="1">_xll.BDH($C$153,"INVENTORY_SEQUENTIAL_GROWTH","FY 2018","FY 2018","Currency=INR","Period=FY","BEST_FPERIOD_OVERRIDE=FY","FILING_STATUS=OR","EQY_CONSOLIDATED=Y","Sort=A","Dates=H","DateFormat=P","Fill=—","Direction=H","UseDPDF=Y")</f>
        <v>#NAME?</v>
      </c>
      <c r="BN173" s="2" t="e">
        <f ca="1">_xll.BDH($C$153,"FIXED_ASSETS_SEQUENTIAL_GROWTH","FY 2018","FY 2018","Currency=INR","Period=FY","BEST_FPERIOD_OVERRIDE=FY","FILING_STATUS=OR","EQY_CONSOLIDATED=Y","Sort=A","Dates=H","DateFormat=P","Fill=—","Direction=H","UseDPDF=Y")</f>
        <v>#NAME?</v>
      </c>
      <c r="BO173" s="2" t="e">
        <f ca="1">_xll.BDH($C$153,"TOTAL_ASSETS_SEQUENTIAL_GROWTH","FY 2018","FY 2018","Currency=INR","Period=FY","BEST_FPERIOD_OVERRIDE=FY","FILING_STATUS=OR","EQY_CONSOLIDATED=Y","Sort=A","Dates=H","DateFormat=P","Fill=—","Direction=H","UseDPDF=Y")</f>
        <v>#NAME?</v>
      </c>
      <c r="BP173" s="2" t="e">
        <f ca="1">_xll.BDH($C$153,"MODIFIED_WORKING_CPTL_SEQ_GRWTH","FY 2018","FY 2018","Currency=INR","Period=FY","BEST_FPERIOD_OVERRIDE=FY","FILING_STATUS=OR","EQY_CONSOLIDATED=Y","Sort=A","Dates=H","DateFormat=P","Fill=—","Direction=H","UseDPDF=Y")</f>
        <v>#NAME?</v>
      </c>
      <c r="BQ173" s="2" t="e">
        <f ca="1">_xll.BDH($C$153,"WORKING_CAPITAL_SEQ_GROWTH","FY 2018","FY 2018","Currency=INR","Period=FY","BEST_FPERIOD_OVERRIDE=FY","FILING_STATUS=OR","EQY_CONSOLIDATED=Y","Sort=A","Dates=H","DateFormat=P","Fill=—","Direction=H","UseDPDF=Y")</f>
        <v>#NAME?</v>
      </c>
      <c r="BR173" s="2" t="e">
        <f ca="1">_xll.BDH($C$153,"ACCOUNTS_PAYABLE_SEQ_GROWTH","FY 2018","FY 2018","Currency=INR","Period=FY","BEST_FPERIOD_OVERRIDE=FY","FILING_STATUS=OR","EQY_CONSOLIDATED=Y","Sort=A","Dates=H","DateFormat=P","Fill=—","Direction=H","UseDPDF=Y")</f>
        <v>#NAME?</v>
      </c>
      <c r="BS173" s="2" t="e">
        <f ca="1">_xll.BDH($C$153,"ST_DEBT_SEQUENTIAL_GROWTH","FY 2018","FY 2018","Currency=INR","Period=FY","BEST_FPERIOD_OVERRIDE=FY","FILING_STATUS=OR","EQY_CONSOLIDATED=Y","Sort=A","Dates=H","DateFormat=P","Fill=—","Direction=H","UseDPDF=Y")</f>
        <v>#NAME?</v>
      </c>
      <c r="BT173" s="2" t="e">
        <f ca="1">_xll.BDH($C$153,"TOTAL_DEBT_SEQUENTIAL_GROWTH","FY 2018","FY 2018","Currency=INR","Period=FY","BEST_FPERIOD_OVERRIDE=FY","FILING_STATUS=OR","EQY_CONSOLIDATED=Y","Sort=A","Dates=H","DateFormat=P","Fill=—","Direction=H","UseDPDF=Y")</f>
        <v>#NAME?</v>
      </c>
      <c r="BU173" s="2" t="e">
        <f ca="1">_xll.BDH($C$153,"TOTAL_EQUITY_SEQUENTIAL_GROWTH","FY 2018","FY 2018","Currency=INR","Period=FY","BEST_FPERIOD_OVERRIDE=FY","FILING_STATUS=OR","EQY_CONSOLIDATED=Y","Sort=A","Dates=H","DateFormat=P","Fill=—","Direction=H","UseDPDF=Y")</f>
        <v>#NAME?</v>
      </c>
      <c r="BV173" s="2" t="e">
        <f ca="1">_xll.BDH($C$153,"TOTAL_CAPITAL_SEQUENTIAL_GROWTH","FY 2018","FY 2018","Currency=INR","Period=FY","BEST_FPERIOD_OVERRIDE=FY","FILING_STATUS=OR","EQY_CONSOLIDATED=Y","Sort=A","Dates=H","DateFormat=P","Fill=—","Direction=H","UseDPDF=Y")</f>
        <v>#NAME?</v>
      </c>
      <c r="BW173" s="2" t="e">
        <f ca="1">_xll.BDH($C$153,"BPS_SEQUENTIAL_GROWTH","FY 2018","FY 2018","Currency=INR","Period=FY","BEST_FPERIOD_OVERRIDE=FY","FILING_STATUS=OR","EQY_CONSOLIDATED=Y","Sort=A","Dates=H","DateFormat=P","Fill=—","Direction=H","UseDPDF=Y")</f>
        <v>#NAME?</v>
      </c>
      <c r="BX173" s="2" t="e">
        <f ca="1">_xll.BDH($C$153,"CFO_SEQUENTIAL_GROWTH","FY 2018","FY 2018","Currency=INR","Period=FY","BEST_FPERIOD_OVERRIDE=FY","FILING_STATUS=OR","EQY_CONSOLIDATED=Y","Sort=A","Dates=H","DateFormat=P","Fill=—","Direction=H","UseDPDF=Y")</f>
        <v>#NAME?</v>
      </c>
      <c r="BY173" s="3" t="e">
        <f ca="1">_xll.BDH($C$153,"SHORT_AND_LONG_TERM_DEBT","FY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73" s="3" t="e">
        <f ca="1">_xll.BDH($C$153,"BS_ST_BORROW","FY 2018","FY 2018","Currency=INR","Period=FY","BEST_FPERIOD_OVERRIDE=FY","FILING_STATUS=OR","EQY_CONSOLIDATED=Y","SCALING_FORMAT=MLN","Sort=A","Dates=H","DateFormat=P","Fill=—","Direction=H","UseDPDF=Y")</f>
        <v>#NAME?</v>
      </c>
      <c r="CA173" s="3" t="e">
        <f ca="1">_xll.BDH($C$153,"BS_LT_BORROW","FY 2018","FY 2018","Currency=INR","Period=FY","BEST_FPERIOD_OVERRIDE=FY","FILING_STATUS=OR","EQY_CONSOLIDATED=Y","SCALING_FORMAT=MLN","Sort=A","Dates=H","DateFormat=P","Fill=—","Direction=H","UseDPDF=Y")</f>
        <v>#NAME?</v>
      </c>
      <c r="CB173" s="2" t="e">
        <f ca="1">_xll.BDH($C$153,"TOT_DEBT_TO_EBITDA","FY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173" s="2" t="e">
        <f ca="1">_xll.BDH($C$153,"NET_DEBT_TO_EBITDA","FY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173" s="2" t="e">
        <f ca="1">_xll.BDH($C$153,"TOTAL_DEBT_TO_EBIT","FY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173" s="2" t="e">
        <f ca="1">_xll.BDH($C$153,"NET_DEBT_TO_EBIT","FY 2018","FY 2018","Currency=INR","Period=FY","BEST_FPERIOD_OVERRIDE=FY","FILING_STATUS=OR","EQY_CONSOLIDATED=Y","FA_ADJUSTED=GAAP","Sort=A","Dates=H","DateFormat=P","Fill=—","Direction=H","UseDPDF=Y")</f>
        <v>#NAME?</v>
      </c>
      <c r="CF173" s="2" t="e">
        <f ca="1">_xll.BDH($C$153,"EBITDA_TO_INTEREST_EXPN","FY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73" s="2" t="e">
        <f ca="1">_xll.BDH($C$153,"COM_EQY_TO_TOT_ASSET","FY 2018","FY 2018","Currency=INR","Period=FY","BEST_FPERIOD_OVERRIDE=FY","FILING_STATUS=OR","EQY_CONSOLIDATED=Y","Sort=A","Dates=H","DateFormat=P","Fill=—","Direction=H","UseDPDF=Y")</f>
        <v>#NAME?</v>
      </c>
      <c r="CH173" s="2" t="e">
        <f ca="1">_xll.BDH($C$153,"LT_DEBT_TO_TOT_EQY","FY 2018","FY 2018","Currency=INR","Period=FY","BEST_FPERIOD_OVERRIDE=FY","FILING_STATUS=OR","EQY_CONSOLIDATED=Y","Sort=A","Dates=H","DateFormat=P","Fill=—","Direction=H","UseDPDF=Y")</f>
        <v>#NAME?</v>
      </c>
      <c r="CI173" s="2" t="e">
        <f ca="1">_xll.BDH($C$153,"LT_DEBT_TO_TOT_CAP","FY 2018","FY 2018","Currency=INR","Period=FY","BEST_FPERIOD_OVERRIDE=FY","FILING_STATUS=OR","EQY_CONSOLIDATED=Y","Sort=A","Dates=H","DateFormat=P","Fill=—","Direction=H","UseDPDF=Y")</f>
        <v>#NAME?</v>
      </c>
      <c r="CJ173" s="2" t="e">
        <f ca="1">_xll.BDH($C$153,"LT_DEBT_TO_TOT_ASSET","FY 2018","FY 2018","Currency=INR","Period=FY","BEST_FPERIOD_OVERRIDE=FY","FILING_STATUS=OR","EQY_CONSOLIDATED=Y","Sort=A","Dates=H","DateFormat=P","Fill=—","Direction=H","UseDPDF=Y")</f>
        <v>#NAME?</v>
      </c>
      <c r="CK173" s="2" t="e">
        <f ca="1">_xll.BDH($C$153,"TOT_DEBT_TO_TOT_EQY","FY 2018","FY 2018","Currency=INR","Period=FY","BEST_FPERIOD_OVERRIDE=FY","FILING_STATUS=OR","EQY_CONSOLIDATED=Y","Sort=A","Dates=H","DateFormat=P","Fill=—","Direction=H","UseDPDF=Y")</f>
        <v>#NAME?</v>
      </c>
      <c r="CL173" s="2" t="e">
        <f ca="1">_xll.BDH($C$153,"TOT_DEBT_TO_TOT_CAP","FY 2018","FY 2018","Currency=INR","Period=FY","BEST_FPERIOD_OVERRIDE=FY","FILING_STATUS=OR","EQY_CONSOLIDATED=Y","Sort=A","Dates=H","DateFormat=P","Fill=—","Direction=H","UseDPDF=Y")</f>
        <v>#NAME?</v>
      </c>
      <c r="CM173" s="2" t="e">
        <f ca="1">_xll.BDH($C$153,"TOT_DEBT_TO_TOT_ASSET","FY 2018","FY 2018","Currency=INR","Period=FY","BEST_FPERIOD_OVERRIDE=FY","FILING_STATUS=OR","EQY_CONSOLIDATED=Y","Sort=A","Dates=H","DateFormat=P","Fill=—","Direction=H","UseDPDF=Y")</f>
        <v>#NAME?</v>
      </c>
      <c r="CN173" s="2" t="e">
        <f ca="1">_xll.BDH($C$153,"NET_DEBT_TO_SHRHLDR_EQTY","FY 2018","FY 2018","Currency=INR","Period=FY","BEST_FPERIOD_OVERRIDE=FY","FILING_STATUS=OR","EQY_CONSOLIDATED=Y","Sort=A","Dates=H","DateFormat=P","Fill=—","Direction=H","UseDPDF=Y")</f>
        <v>#NAME?</v>
      </c>
      <c r="CO173" s="2" t="e">
        <f ca="1">_xll.BDH($C$153,"NET_DEBT_%_CAPITAL","FY 2018","FY 2018","Currency=INR","Period=FY","BEST_FPERIOD_OVERRIDE=FY","FILING_STATUS=OR","EQY_CONSOLIDATED=Y","Sort=A","Dates=H","DateFormat=P","Fill=—","Direction=H","UseDPDF=Y")</f>
        <v>#NAME?</v>
      </c>
      <c r="CP173" s="3" t="e">
        <f ca="1">_xll.BDH($C$153,"EBITDA","FY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73" s="3" t="e">
        <f ca="1">_xll.BDH($C$153,"EBITDA_AFTER_CAPEX","FY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73" s="3" t="e">
        <f ca="1">_xll.BDH($C$153,"IS_OPER_INC","FY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73" s="2" t="e">
        <f ca="1">_xll.BDH($C$153,"CASH_RATIO","FY 2018","FY 2018","Currency=INR","Period=FY","BEST_FPERIOD_OVERRIDE=FY","FILING_STATUS=OR","EQY_CONSOLIDATED=Y","Sort=A","Dates=H","DateFormat=P","Fill=—","Direction=H","UseDPDF=Y")</f>
        <v>#NAME?</v>
      </c>
      <c r="CT173" s="2" t="e">
        <f ca="1">_xll.BDH($C$153,"CUR_RATIO","FY 2018","FY 2018","Currency=INR","Period=FY","BEST_FPERIOD_OVERRIDE=FY","FILING_STATUS=OR","EQY_CONSOLIDATED=Y","Sort=A","Dates=H","DateFormat=P","Fill=—","Direction=H","UseDPDF=Y")</f>
        <v>#NAME?</v>
      </c>
      <c r="CU173" s="2" t="e">
        <f ca="1">_xll.BDH($C$153,"QUICK_RATIO","FY 2018","FY 2018","Currency=INR","Period=FY","BEST_FPERIOD_OVERRIDE=FY","FILING_STATUS=OR","EQY_CONSOLIDATED=Y","Sort=A","Dates=H","DateFormat=P","Fill=—","Direction=H","UseDPDF=Y")</f>
        <v>#NAME?</v>
      </c>
      <c r="CV173" s="2" t="e">
        <f ca="1">_xll.BDH($C$153,"ALTMAN_Z_SCORE","FY 2018","FY 2018","Currency=INR","Period=FY","BEST_FPERIOD_OVERRIDE=FY","FILING_STATUS=OR","EQY_CONSOLIDATED=Y","Sort=A","Dates=H","DateFormat=P","Fill=—","Direction=H","UseDPDF=Y")</f>
        <v>#NAME?</v>
      </c>
      <c r="CW173" s="4" t="e">
        <f ca="1">_xll.BDH($C$153,"ACCT_RCV_TURN","FY 2018","FY 2018","Currency=INR","Period=FY","BEST_FPERIOD_OVERRIDE=FY","FILING_STATUS=OR","EQY_CONSOLIDATED=Y","FA_ADJUSTED=GAAP","Sort=A","Dates=H","DateFormat=P","Fill=—","Direction=H","UseDPDF=Y")</f>
        <v>#NAME?</v>
      </c>
      <c r="CX173" s="2" t="e">
        <f ca="1">_xll.BDH($C$153,"ACCT_RCV_DAYS","FY 2018","FY 2018","Currency=INR","Period=FY","BEST_FPERIOD_OVERRIDE=FY","FILING_STATUS=OR","EQY_CONSOLIDATED=Y","FA_ADJUSTED=GAAP","Sort=A","Dates=H","DateFormat=P","Fill=—","Direction=H","UseDPDF=Y")</f>
        <v>#NAME?</v>
      </c>
      <c r="CY173" s="4" t="e">
        <f ca="1">_xll.BDH($C$153,"INVENT_TURN","FY 2018","FY 2018","Currency=INR","Period=FY","BEST_FPERIOD_OVERRIDE=FY","FILING_STATUS=OR","EQY_CONSOLIDATED=Y","FA_ADJUSTED=GAAP","Sort=A","Dates=H","DateFormat=P","Fill=—","Direction=H","UseDPDF=Y")</f>
        <v>#NAME?</v>
      </c>
      <c r="CZ173" s="2" t="e">
        <f ca="1">_xll.BDH($C$153,"INVENT_DAYS","FY 2018","FY 2018","Currency=INR","Period=FY","BEST_FPERIOD_OVERRIDE=FY","FILING_STATUS=OR","EQY_CONSOLIDATED=Y","FA_ADJUSTED=GAAP","Sort=A","Dates=H","DateFormat=P","Fill=—","Direction=H","UseDPDF=Y")</f>
        <v>#NAME?</v>
      </c>
      <c r="DA173" s="4" t="e">
        <f ca="1">_xll.BDH($C$153,"ACCOUNTS_PAYABLE_TURNOVER","FY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73" s="2" t="e">
        <f ca="1">_xll.BDH($C$153,"ACCOUNTS_PAYABLE_TURNOVER_DAYS","FY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73" s="4" t="e">
        <f ca="1">_xll.BDH($C$153,"CASH_CONVERSION_CYCLE","FY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73" s="4" t="e">
        <f ca="1">_xll.BDH($C$153,"INV_TO_CASH_DAYS","FY 2018","FY 2018","Currency=INR","Period=FY","BEST_FPERIOD_OVERRIDE=FY","FILING_STATUS=OR","EQY_CONSOLIDATED=Y","FA_ADJUSTED=GAAP","Sort=A","Dates=H","DateFormat=P","Fill=—","Direction=H","UseDPDF=Y")</f>
        <v>#NAME?</v>
      </c>
      <c r="DE173" s="5" t="e">
        <f ca="1">_xll.BDH($C$153,"BS_INVENTORIES","FY 2018","FY 2018","Currency=INR","Period=FY","BEST_FPERIOD_OVERRIDE=FY","FILING_STATUS=OR","EQY_CONSOLIDATED=Y","SCALING_FORMAT=MLN","Sort=A","Dates=H","DateFormat=P","Fill=—","Direction=H","UseDPDF=Y")</f>
        <v>#NAME?</v>
      </c>
      <c r="DF173" s="3" t="e">
        <f ca="1">_xll.BDH($C$153,"INVTRY_RAW_MATERIALS","FY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73" s="3" t="e">
        <f ca="1">_xll.BDH($C$153,"INVTRY_IN_PROGRESS","FY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73" s="3" t="e">
        <f ca="1">_xll.BDH($C$153,"INVTRY_FINISHED_GOODS","FY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73" s="3" t="e">
        <f ca="1">_xll.BDH($C$153,"BS_OTHER_INV","FY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74" spans="1:113" x14ac:dyDescent="0.3">
      <c r="A174" s="6"/>
      <c r="B174" s="6"/>
      <c r="C174" s="6"/>
      <c r="D174" s="6"/>
      <c r="E174" t="s">
        <v>78</v>
      </c>
      <c r="F174" t="e">
        <f ca="1">_xll.BDH($C$153,"RETURN_COM_EQY","FQ1 2018","FQ1 2018","Currency=INR","Period=FQ","BEST_FPERIOD_OVERRIDE=FQ","FILING_STATUS=OR","EQY_CONSOLIDATED=Y","FA_ADJUSTED=GAAP","Sort=A","Dates=H","DateFormat=P","Fill=—","Direction=H","UseDPDF=Y")</f>
        <v>#NAME?</v>
      </c>
      <c r="G174" t="e">
        <f ca="1">_xll.BDH($C$153,"RETURN_ON_ASSET","FQ1 2018","FQ1 2018","Currency=INR","Period=FQ","BEST_FPERIOD_OVERRIDE=FQ","FILING_STATUS=OR","EQY_CONSOLIDATED=Y","FA_ADJUSTED=GAAP","Sort=A","Dates=H","DateFormat=P","Fill=—","Direction=H","UseDPDF=Y")</f>
        <v>#NAME?</v>
      </c>
      <c r="H174" t="e">
        <f ca="1">_xll.BDH($C$153,"RETURN_ON_CAP","FQ1 2018","FQ1 2018","Currency=INR","Period=FQ","BEST_FPERIOD_OVERRIDE=FQ","FILING_STATUS=OR","EQY_CONSOLIDATED=Y","FA_ADJUSTED=GAAP","Sort=A","Dates=H","DateFormat=P","Fill=—","Direction=H","UseDPDF=Y")</f>
        <v>#NAME?</v>
      </c>
      <c r="I174" t="e">
        <f ca="1">_xll.BDH($C$153,"RETURN_ON_INV_CAPITAL","FQ1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74" t="e">
        <f ca="1">_xll.BDH($C$153,"EBITDA_TO_REVENUE","FQ1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174" t="e">
        <f ca="1">_xll.BDH($C$153,"OPER_MARGIN","FQ1 2018","FQ1 2018","Currency=INR","Period=FQ","BEST_FPERIOD_OVERRIDE=FQ","FILING_STATUS=OR","EQY_CONSOLIDATED=Y","FA_ADJUSTED=GAAP","Sort=A","Dates=H","DateFormat=P","Fill=—","Direction=H","UseDPDF=Y")</f>
        <v>#NAME?</v>
      </c>
      <c r="L174" t="e">
        <f ca="1">_xll.BDH($C$153,"INCREMENTAL_OPERATING_MARGIN","FQ1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74" t="e">
        <f ca="1">_xll.BDH($C$153,"PRETAX_INC_TO_NET_SALES","FQ1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74" t="e">
        <f ca="1">_xll.BDH($C$153,"INC_BEF_XO_ITEMS_TO_NET_SALES","FQ1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74" t="e">
        <f ca="1">_xll.BDH($C$153,"PROF_MARGIN","FQ1 2018","FQ1 2018","Currency=INR","Period=FQ","BEST_FPERIOD_OVERRIDE=FQ","FILING_STATUS=OR","EQY_CONSOLIDATED=Y","FA_ADJUSTED=GAAP","Sort=A","Dates=H","DateFormat=P","Fill=—","Direction=H","UseDPDF=Y")</f>
        <v>#NAME?</v>
      </c>
      <c r="P174" t="e">
        <f ca="1">_xll.BDH($C$153,"NET_INCOME_TO_COMMON_MARGIN","FQ1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74" t="e">
        <f ca="1">_xll.BDH($C$153,"EFF_TAX_RATE","FQ1 2018","FQ1 2018","Currency=INR","Period=FQ","BEST_FPERIOD_OVERRIDE=FQ","FILING_STATUS=OR","EQY_CONSOLIDATED=Y","FA_ADJUSTED=GAAP","Sort=A","Dates=H","DateFormat=P","Fill=—","Direction=H","UseDPDF=Y")</f>
        <v>#NAME?</v>
      </c>
      <c r="R174" t="e">
        <f ca="1">_xll.BDH($C$153,"DVD_PAYOUT_RATIO","FQ1 2018","FQ1 2018","Currency=INR","Period=FQ","BEST_FPERIOD_OVERRIDE=FQ","FILING_STATUS=OR","EQY_CONSOLIDATED=Y","FA_ADJUSTED=GAAP","Sort=A","Dates=H","DateFormat=P","Fill=—","Direction=H","UseDPDF=Y")</f>
        <v>#NAME?</v>
      </c>
      <c r="S174" t="e">
        <f ca="1">_xll.BDH($C$153,"SUSTAIN_GROWTH_RT","FQ1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174" s="2" t="e">
        <f ca="1">_xll.BDH($C$153,"SALES_GROWTH","FQ1 2018","FQ1 2018","Currency=INR","Period=FQ","BEST_FPERIOD_OVERRIDE=FQ","FILING_STATUS=OR","EQY_CONSOLIDATED=Y","FA_ADJUSTED=GAAP","Sort=A","Dates=H","DateFormat=P","Fill=—","Direction=H","UseDPDF=Y")</f>
        <v>#NAME?</v>
      </c>
      <c r="U174" s="2" t="e">
        <f ca="1">_xll.BDH($C$153,"EBITDA_GROWTH","FQ1 2018","FQ1 2018","Currency=INR","Period=FQ","BEST_FPERIOD_OVERRIDE=FQ","FILING_STATUS=OR","EQY_CONSOLIDATED=Y","FA_ADJUSTED=GAAP","Sort=A","Dates=H","DateFormat=P","Fill=—","Direction=H","UseDPDF=Y")</f>
        <v>#NAME?</v>
      </c>
      <c r="V174" s="2" t="e">
        <f ca="1">_xll.BDH($C$153,"OPER_INC_GROWTH","FQ1 2018","FQ1 2018","Currency=INR","Period=FQ","BEST_FPERIOD_OVERRIDE=FQ","FILING_STATUS=OR","EQY_CONSOLIDATED=Y","FA_ADJUSTED=GAAP","Sort=A","Dates=H","DateFormat=P","Fill=—","Direction=H","UseDPDF=Y")</f>
        <v>#NAME?</v>
      </c>
      <c r="W174" s="2" t="e">
        <f ca="1">_xll.BDH($C$153,"EARN_FOR_COM_GROWTH","FQ1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74" s="2" t="e">
        <f ca="1">_xll.BDH($C$153,"DILUTED_EPS_AFT_XO_ITEMS_GROWTH","FQ1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74" s="2" t="e">
        <f ca="1">_xll.BDH($C$153,"DIVIDEND_PER_SHARE_1_YEAR_GROWTH","FQ1 2018","FQ1 2018","Currency=INR","Period=FQ","BEST_FPERIOD_OVERRIDE=FQ","FILING_STATUS=OR","EQY_CONSOLIDATED=Y","Sort=A","Dates=H","DateFormat=P","Fill=—","Direction=H","UseDPDF=Y")</f>
        <v>#NAME?</v>
      </c>
      <c r="Z174" s="2" t="e">
        <f ca="1">_xll.BDH($C$153,"ACCOUNTS_RECEIVABLE_GROWTH","FQ1 2018","FQ1 2018","Currency=INR","Period=FQ","BEST_FPERIOD_OVERRIDE=FQ","FILING_STATUS=OR","EQY_CONSOLIDATED=Y","Sort=A","Dates=H","DateFormat=P","Fill=—","Direction=H","UseDPDF=Y")</f>
        <v>#NAME?</v>
      </c>
      <c r="AA174" s="2" t="e">
        <f ca="1">_xll.BDH($C$153,"INVENTORY_GROWTH","FQ1 2018","FQ1 2018","Currency=INR","Period=FQ","BEST_FPERIOD_OVERRIDE=FQ","FILING_STATUS=OR","EQY_CONSOLIDATED=Y","Sort=A","Dates=H","DateFormat=P","Fill=—","Direction=H","UseDPDF=Y")</f>
        <v>#NAME?</v>
      </c>
      <c r="AB174" s="2" t="e">
        <f ca="1">_xll.BDH($C$153,"NET_FIXED_ASSETS_1_YEAR_GROWTH","FQ1 2018","FQ1 2018","Currency=INR","Period=FQ","BEST_FPERIOD_OVERRIDE=FQ","FILING_STATUS=OR","EQY_CONSOLIDATED=Y","Sort=A","Dates=H","DateFormat=P","Fill=—","Direction=H","UseDPDF=Y")</f>
        <v>#NAME?</v>
      </c>
      <c r="AC174" s="2" t="e">
        <f ca="1">_xll.BDH($C$153,"ASSET_GROWTH","FQ1 2018","FQ1 2018","Currency=INR","Period=FQ","BEST_FPERIOD_OVERRIDE=FQ","FILING_STATUS=OR","EQY_CONSOLIDATED=Y","Sort=A","Dates=H","DateFormat=P","Fill=—","Direction=H","UseDPDF=Y")</f>
        <v>#NAME?</v>
      </c>
      <c r="AD174" s="2" t="e">
        <f ca="1">_xll.BDH($C$153,"MODIFIED_WORK_CAP_GROWTH","FQ1 2018","FQ1 2018","Currency=INR","Period=FQ","BEST_FPERIOD_OVERRIDE=FQ","FILING_STATUS=OR","EQY_CONSOLIDATED=Y","Sort=A","Dates=H","DateFormat=P","Fill=—","Direction=H","UseDPDF=Y")</f>
        <v>#NAME?</v>
      </c>
      <c r="AE174" s="2" t="e">
        <f ca="1">_xll.BDH($C$153,"WORK_CAP_GROWTH","FQ1 2018","FQ1 2018","Currency=INR","Period=FQ","BEST_FPERIOD_OVERRIDE=FQ","FILING_STATUS=OR","EQY_CONSOLIDATED=Y","Sort=A","Dates=H","DateFormat=P","Fill=—","Direction=H","UseDPDF=Y")</f>
        <v>#NAME?</v>
      </c>
      <c r="AF174" s="2" t="e">
        <f ca="1">_xll.BDH($C$153,"ACCOUNTS_PAYABLE_GROWTH_1YR","FQ1 2018","FQ1 2018","Currency=INR","Period=FQ","BEST_FPERIOD_OVERRIDE=FQ","FILING_STATUS=OR","EQY_CONSOLIDATED=Y","Sort=A","Dates=H","DateFormat=P","Fill=—","Direction=H","UseDPDF=Y")</f>
        <v>#NAME?</v>
      </c>
      <c r="AG174" s="2" t="e">
        <f ca="1">_xll.BDH($C$153,"SHORT_TERM_DEBT_1_YEAR_GROWTH","FQ1 2018","FQ1 2018","Currency=INR","Period=FQ","BEST_FPERIOD_OVERRIDE=FQ","FILING_STATUS=OR","EQY_CONSOLIDATED=Y","Sort=A","Dates=H","DateFormat=P","Fill=—","Direction=H","UseDPDF=Y")</f>
        <v>#NAME?</v>
      </c>
      <c r="AH174" s="2" t="e">
        <f ca="1">_xll.BDH($C$153,"TOTAL_DEBT_1_YEAR_GROWTH","FQ1 2018","FQ1 2018","Currency=INR","Period=FQ","BEST_FPERIOD_OVERRIDE=FQ","FILING_STATUS=OR","EQY_CONSOLIDATED=Y","Sort=A","Dates=H","DateFormat=P","Fill=—","Direction=H","UseDPDF=Y")</f>
        <v>#NAME?</v>
      </c>
      <c r="AI174" s="2" t="e">
        <f ca="1">_xll.BDH($C$153,"TOTAL_EQUITY_1_YEAR_GROWTH","FQ1 2018","FQ1 2018","Currency=INR","Period=FQ","BEST_FPERIOD_OVERRIDE=FQ","FILING_STATUS=OR","EQY_CONSOLIDATED=Y","Sort=A","Dates=H","DateFormat=P","Fill=—","Direction=H","UseDPDF=Y")</f>
        <v>#NAME?</v>
      </c>
      <c r="AJ174" s="2" t="e">
        <f ca="1">_xll.BDH($C$153,"GROWTH_IN_CAP","FQ1 2018","FQ1 2018","Currency=INR","Period=FQ","BEST_FPERIOD_OVERRIDE=FQ","FILING_STATUS=OR","EQY_CONSOLIDATED=Y","Sort=A","Dates=H","DateFormat=P","Fill=—","Direction=H","UseDPDF=Y")</f>
        <v>#NAME?</v>
      </c>
      <c r="AK174" s="2" t="e">
        <f ca="1">_xll.BDH($C$153,"BVPS_GROWTH","FQ1 2018","FQ1 2018","Currency=INR","Period=FQ","BEST_FPERIOD_OVERRIDE=FQ","FILING_STATUS=OR","EQY_CONSOLIDATED=Y","Sort=A","Dates=H","DateFormat=P","Fill=—","Direction=H","UseDPDF=Y")</f>
        <v>#NAME?</v>
      </c>
      <c r="AL174" s="2" t="e">
        <f ca="1">_xll.BDH($C$153,"CASH_FLOW_GROWTH","FQ1 2018","FQ1 2018","Currency=INR","Period=FQ","BEST_FPERIOD_OVERRIDE=FQ","FILING_STATUS=OR","EQY_CONSOLIDATED=Y","Sort=A","Dates=H","DateFormat=P","Fill=—","Direction=H","UseDPDF=Y")</f>
        <v>#NAME?</v>
      </c>
      <c r="AM174" s="2" t="e">
        <f ca="1">_xll.BDH($C$153,"GEO_GROW_NET_SALES","FQ1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74" s="2" t="e">
        <f ca="1">_xll.BDH($C$153,"GEO_GROW_EBITDA","FQ1 2018","FQ1 2018","Currency=INR","Period=FQ","BEST_FPERIOD_OVERRIDE=FQ","FILING_STATUS=OR","EQY_CONSOLIDATED=Y","FA_ADJUSTED=GAAP","Sort=A","Dates=H","DateFormat=P","Fill=—","Direction=H","UseDPDF=Y")</f>
        <v>#NAME?</v>
      </c>
      <c r="AO174" s="2" t="e">
        <f ca="1">_xll.BDH($C$153,"GEO_GROW_OPER_INC","FQ1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74" s="2" t="e">
        <f ca="1">_xll.BDH($C$153,"NET_INCOME_TO_COMMON_5_YR_GROWTH","FQ1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74" s="2" t="e">
        <f ca="1">_xll.BDH($C$153,"5Y_GEO_GROWTH_DILUTED_EPS","FQ1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74" s="2" t="e">
        <f ca="1">_xll.BDH($C$153,"GEO_GROW_DVD_PER_SH","FQ1 2018","FQ1 2018","Currency=INR","Period=FQ","BEST_FPERIOD_OVERRIDE=FQ","FILING_STATUS=OR","EQY_CONSOLIDATED=Y","Sort=A","Dates=H","DateFormat=P","Fill=—","Direction=H","UseDPDF=Y")</f>
        <v>#NAME?</v>
      </c>
      <c r="AS174" s="2" t="e">
        <f ca="1">_xll.BDH($C$153,"ACCOUNTS_RECEIVABLE_5_YR_GROWTH","FQ1 2018","FQ1 2018","Currency=INR","Period=FQ","BEST_FPERIOD_OVERRIDE=FQ","FILING_STATUS=OR","EQY_CONSOLIDATED=Y","Sort=A","Dates=H","DateFormat=P","Fill=—","Direction=H","UseDPDF=Y")</f>
        <v>#NAME?</v>
      </c>
      <c r="AT174" s="2" t="e">
        <f ca="1">_xll.BDH($C$153,"INVENTORY_5_YEAR_GROWTH","FQ1 2018","FQ1 2018","Currency=INR","Period=FQ","BEST_FPERIOD_OVERRIDE=FQ","FILING_STATUS=OR","EQY_CONSOLIDATED=Y","Sort=A","Dates=H","DateFormat=P","Fill=—","Direction=H","UseDPDF=Y")</f>
        <v>#NAME?</v>
      </c>
      <c r="AU174" s="2" t="e">
        <f ca="1">_xll.BDH($C$153,"NET_FIXED_ASSETS_5_YEAR_GROWTH","FQ1 2018","FQ1 2018","Currency=INR","Period=FQ","BEST_FPERIOD_OVERRIDE=FQ","FILING_STATUS=OR","EQY_CONSOLIDATED=Y","Sort=A","Dates=H","DateFormat=P","Fill=—","Direction=H","UseDPDF=Y")</f>
        <v>#NAME?</v>
      </c>
      <c r="AV174" s="2" t="e">
        <f ca="1">_xll.BDH($C$153,"GEO_GROW_TOT_ASSET","FQ1 2018","FQ1 2018","Currency=INR","Period=FQ","BEST_FPERIOD_OVERRIDE=FQ","FILING_STATUS=OR","EQY_CONSOLIDATED=Y","Sort=A","Dates=H","DateFormat=P","Fill=—","Direction=H","UseDPDF=Y")</f>
        <v>#NAME?</v>
      </c>
      <c r="AW174" s="2" t="e">
        <f ca="1">_xll.BDH($C$153,"MODIFIED_WORKING_CPTL_5YR_GRWTH","FQ1 2018","FQ1 2018","Currency=INR","Period=FQ","BEST_FPERIOD_OVERRIDE=FQ","FILING_STATUS=OR","EQY_CONSOLIDATED=Y","Sort=A","Dates=H","DateFormat=P","Fill=—","Direction=H","UseDPDF=Y")</f>
        <v>#NAME?</v>
      </c>
      <c r="AX174" s="2" t="e">
        <f ca="1">_xll.BDH($C$153,"WORKING_CAPITAL_5_YEAR_GROWTH","FQ1 2018","FQ1 2018","Currency=INR","Period=FQ","BEST_FPERIOD_OVERRIDE=FQ","FILING_STATUS=OR","EQY_CONSOLIDATED=Y","Sort=A","Dates=H","DateFormat=P","Fill=—","Direction=H","UseDPDF=Y")</f>
        <v>#NAME?</v>
      </c>
      <c r="AY174" s="2" t="e">
        <f ca="1">_xll.BDH($C$153,"ACCOUNTS_PAYABLE_5_YEAR_GROWTH","FQ1 2018","FQ1 2018","Currency=INR","Period=FQ","BEST_FPERIOD_OVERRIDE=FQ","FILING_STATUS=OR","EQY_CONSOLIDATED=Y","Sort=A","Dates=H","DateFormat=P","Fill=—","Direction=H","UseDPDF=Y")</f>
        <v>#NAME?</v>
      </c>
      <c r="AZ174" s="2" t="e">
        <f ca="1">_xll.BDH($C$153,"SHORT_TERM_DEBT_5_YEAR_GROWTH","FQ1 2018","FQ1 2018","Currency=INR","Period=FQ","BEST_FPERIOD_OVERRIDE=FQ","FILING_STATUS=OR","EQY_CONSOLIDATED=Y","Sort=A","Dates=H","DateFormat=P","Fill=—","Direction=H","UseDPDF=Y")</f>
        <v>#NAME?</v>
      </c>
      <c r="BA174" s="2" t="e">
        <f ca="1">_xll.BDH($C$153,"TOTAL_DEBT_5_YEAR_GROWTH","FQ1 2018","FQ1 2018","Currency=INR","Period=FQ","BEST_FPERIOD_OVERRIDE=FQ","FILING_STATUS=OR","EQY_CONSOLIDATED=Y","Sort=A","Dates=H","DateFormat=P","Fill=—","Direction=H","UseDPDF=Y")</f>
        <v>#NAME?</v>
      </c>
      <c r="BB174" s="2" t="e">
        <f ca="1">_xll.BDH($C$153,"GEO_GROW_TOT_SHRHLDR_EQY","FQ1 2018","FQ1 2018","Currency=INR","Period=FQ","BEST_FPERIOD_OVERRIDE=FQ","FILING_STATUS=OR","EQY_CONSOLIDATED=Y","Sort=A","Dates=H","DateFormat=P","Fill=—","Direction=H","UseDPDF=Y")</f>
        <v>#NAME?</v>
      </c>
      <c r="BC174" s="2" t="e">
        <f ca="1">_xll.BDH($C$153,"TOTAL_CAPITAL_5_YEAR_GROWTH","FQ1 2018","FQ1 2018","Currency=INR","Period=FQ","BEST_FPERIOD_OVERRIDE=FQ","FILING_STATUS=OR","EQY_CONSOLIDATED=Y","Sort=A","Dates=H","DateFormat=P","Fill=—","Direction=H","UseDPDF=Y")</f>
        <v>#NAME?</v>
      </c>
      <c r="BD174" s="2" t="e">
        <f ca="1">_xll.BDH($C$153,"GEO_GROW_BOOK_VAL","FQ1 2018","FQ1 2018","Currency=INR","Period=FQ","BEST_FPERIOD_OVERRIDE=FQ","FILING_STATUS=OR","EQY_CONSOLIDATED=Y","Sort=A","Dates=H","DateFormat=P","Fill=—","Direction=H","UseDPDF=Y")</f>
        <v>#NAME?</v>
      </c>
      <c r="BE174" s="2" t="e">
        <f ca="1">_xll.BDH($C$153,"GEO_GROW_CASH_OPER_ACT","FQ1 2018","FQ1 2018","Currency=INR","Period=FQ","BEST_FPERIOD_OVERRIDE=FQ","FILING_STATUS=OR","EQY_CONSOLIDATED=Y","Sort=A","Dates=H","DateFormat=P","Fill=—","Direction=H","UseDPDF=Y")</f>
        <v>#NAME?</v>
      </c>
      <c r="BF174" s="2" t="e">
        <f ca="1">_xll.BDH($C$153,"REVENUE_SEQUENTIAL_GROWTH","FQ1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74" s="2" t="e">
        <f ca="1">_xll.BDH($C$153,"EBITDA_SEQUENTIAL_GROWTH","FQ1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74" s="2" t="e">
        <f ca="1">_xll.BDH($C$153,"OPERATING_INCOME_SEQ_GROWTH","FQ1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74" s="2" t="e">
        <f ca="1">_xll.BDH($C$153,"NET_INCOME_TO_COMMON_SEQ_GROWTH","FQ1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74" s="2" t="e">
        <f ca="1">_xll.BDH($C$153,"EPS_DILUTED_SEQUENTIAL_GROWTH","FQ1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74" s="2" t="e">
        <f ca="1">_xll.BDH($C$153,"DPS_SEQUENTIAL_GROWTH","FQ1 2018","FQ1 2018","Currency=INR","Period=FQ","BEST_FPERIOD_OVERRIDE=FQ","FILING_STATUS=OR","EQY_CONSOLIDATED=Y","Sort=A","Dates=H","DateFormat=P","Fill=—","Direction=H","UseDPDF=Y")</f>
        <v>#NAME?</v>
      </c>
      <c r="BL174" s="2" t="e">
        <f ca="1">_xll.BDH($C$153,"ACCOUNTS_RECEIVABLE_SEQ_GROWTH","FQ1 2018","FQ1 2018","Currency=INR","Period=FQ","BEST_FPERIOD_OVERRIDE=FQ","FILING_STATUS=OR","EQY_CONSOLIDATED=Y","Sort=A","Dates=H","DateFormat=P","Fill=—","Direction=H","UseDPDF=Y")</f>
        <v>#NAME?</v>
      </c>
      <c r="BM174" s="2" t="e">
        <f ca="1">_xll.BDH($C$153,"INVENTORY_SEQUENTIAL_GROWTH","FQ1 2018","FQ1 2018","Currency=INR","Period=FQ","BEST_FPERIOD_OVERRIDE=FQ","FILING_STATUS=OR","EQY_CONSOLIDATED=Y","Sort=A","Dates=H","DateFormat=P","Fill=—","Direction=H","UseDPDF=Y")</f>
        <v>#NAME?</v>
      </c>
      <c r="BN174" s="2" t="e">
        <f ca="1">_xll.BDH($C$153,"FIXED_ASSETS_SEQUENTIAL_GROWTH","FQ1 2018","FQ1 2018","Currency=INR","Period=FQ","BEST_FPERIOD_OVERRIDE=FQ","FILING_STATUS=OR","EQY_CONSOLIDATED=Y","Sort=A","Dates=H","DateFormat=P","Fill=—","Direction=H","UseDPDF=Y")</f>
        <v>#NAME?</v>
      </c>
      <c r="BO174" s="2" t="e">
        <f ca="1">_xll.BDH($C$153,"TOTAL_ASSETS_SEQUENTIAL_GROWTH","FQ1 2018","FQ1 2018","Currency=INR","Period=FQ","BEST_FPERIOD_OVERRIDE=FQ","FILING_STATUS=OR","EQY_CONSOLIDATED=Y","Sort=A","Dates=H","DateFormat=P","Fill=—","Direction=H","UseDPDF=Y")</f>
        <v>#NAME?</v>
      </c>
      <c r="BP174" s="2" t="e">
        <f ca="1">_xll.BDH($C$153,"MODIFIED_WORKING_CPTL_SEQ_GRWTH","FQ1 2018","FQ1 2018","Currency=INR","Period=FQ","BEST_FPERIOD_OVERRIDE=FQ","FILING_STATUS=OR","EQY_CONSOLIDATED=Y","Sort=A","Dates=H","DateFormat=P","Fill=—","Direction=H","UseDPDF=Y")</f>
        <v>#NAME?</v>
      </c>
      <c r="BQ174" s="2" t="e">
        <f ca="1">_xll.BDH($C$153,"WORKING_CAPITAL_SEQ_GROWTH","FQ1 2018","FQ1 2018","Currency=INR","Period=FQ","BEST_FPERIOD_OVERRIDE=FQ","FILING_STATUS=OR","EQY_CONSOLIDATED=Y","Sort=A","Dates=H","DateFormat=P","Fill=—","Direction=H","UseDPDF=Y")</f>
        <v>#NAME?</v>
      </c>
      <c r="BR174" s="2" t="e">
        <f ca="1">_xll.BDH($C$153,"ACCOUNTS_PAYABLE_SEQ_GROWTH","FQ1 2018","FQ1 2018","Currency=INR","Period=FQ","BEST_FPERIOD_OVERRIDE=FQ","FILING_STATUS=OR","EQY_CONSOLIDATED=Y","Sort=A","Dates=H","DateFormat=P","Fill=—","Direction=H","UseDPDF=Y")</f>
        <v>#NAME?</v>
      </c>
      <c r="BS174" s="2" t="e">
        <f ca="1">_xll.BDH($C$153,"ST_DEBT_SEQUENTIAL_GROWTH","FQ1 2018","FQ1 2018","Currency=INR","Period=FQ","BEST_FPERIOD_OVERRIDE=FQ","FILING_STATUS=OR","EQY_CONSOLIDATED=Y","Sort=A","Dates=H","DateFormat=P","Fill=—","Direction=H","UseDPDF=Y")</f>
        <v>#NAME?</v>
      </c>
      <c r="BT174" s="2" t="e">
        <f ca="1">_xll.BDH($C$153,"TOTAL_DEBT_SEQUENTIAL_GROWTH","FQ1 2018","FQ1 2018","Currency=INR","Period=FQ","BEST_FPERIOD_OVERRIDE=FQ","FILING_STATUS=OR","EQY_CONSOLIDATED=Y","Sort=A","Dates=H","DateFormat=P","Fill=—","Direction=H","UseDPDF=Y")</f>
        <v>#NAME?</v>
      </c>
      <c r="BU174" s="2" t="e">
        <f ca="1">_xll.BDH($C$153,"TOTAL_EQUITY_SEQUENTIAL_GROWTH","FQ1 2018","FQ1 2018","Currency=INR","Period=FQ","BEST_FPERIOD_OVERRIDE=FQ","FILING_STATUS=OR","EQY_CONSOLIDATED=Y","Sort=A","Dates=H","DateFormat=P","Fill=—","Direction=H","UseDPDF=Y")</f>
        <v>#NAME?</v>
      </c>
      <c r="BV174" s="2" t="e">
        <f ca="1">_xll.BDH($C$153,"TOTAL_CAPITAL_SEQUENTIAL_GROWTH","FQ1 2018","FQ1 2018","Currency=INR","Period=FQ","BEST_FPERIOD_OVERRIDE=FQ","FILING_STATUS=OR","EQY_CONSOLIDATED=Y","Sort=A","Dates=H","DateFormat=P","Fill=—","Direction=H","UseDPDF=Y")</f>
        <v>#NAME?</v>
      </c>
      <c r="BW174" s="2" t="e">
        <f ca="1">_xll.BDH($C$153,"BPS_SEQUENTIAL_GROWTH","FQ1 2018","FQ1 2018","Currency=INR","Period=FQ","BEST_FPERIOD_OVERRIDE=FQ","FILING_STATUS=OR","EQY_CONSOLIDATED=Y","Sort=A","Dates=H","DateFormat=P","Fill=—","Direction=H","UseDPDF=Y")</f>
        <v>#NAME?</v>
      </c>
      <c r="BX174" s="2" t="e">
        <f ca="1">_xll.BDH($C$153,"CFO_SEQUENTIAL_GROWTH","FQ1 2018","FQ1 2018","Currency=INR","Period=FQ","BEST_FPERIOD_OVERRIDE=FQ","FILING_STATUS=OR","EQY_CONSOLIDATED=Y","Sort=A","Dates=H","DateFormat=P","Fill=—","Direction=H","UseDPDF=Y")</f>
        <v>#NAME?</v>
      </c>
      <c r="BY174" s="3" t="e">
        <f ca="1">_xll.BDH($C$153,"SHORT_AND_LONG_TERM_DEBT","FQ1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74" s="3" t="e">
        <f ca="1">_xll.BDH($C$153,"BS_ST_BORROW","FQ1 2018","FQ1 2018","Currency=INR","Period=FQ","BEST_FPERIOD_OVERRIDE=FQ","FILING_STATUS=OR","EQY_CONSOLIDATED=Y","SCALING_FORMAT=MLN","Sort=A","Dates=H","DateFormat=P","Fill=—","Direction=H","UseDPDF=Y")</f>
        <v>#NAME?</v>
      </c>
      <c r="CA174" s="3" t="e">
        <f ca="1">_xll.BDH($C$153,"BS_LT_BORROW","FQ1 2018","FQ1 2018","Currency=INR","Period=FQ","BEST_FPERIOD_OVERRIDE=FQ","FILING_STATUS=OR","EQY_CONSOLIDATED=Y","SCALING_FORMAT=MLN","Sort=A","Dates=H","DateFormat=P","Fill=—","Direction=H","UseDPDF=Y")</f>
        <v>#NAME?</v>
      </c>
      <c r="CB174" s="2" t="e">
        <f ca="1">_xll.BDH($C$153,"TOT_DEBT_TO_EBITDA","FQ1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74" s="2" t="e">
        <f ca="1">_xll.BDH($C$153,"NET_DEBT_TO_EBITDA","FQ1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74" s="2" t="e">
        <f ca="1">_xll.BDH($C$153,"TOTAL_DEBT_TO_EBIT","FQ1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74" s="2" t="e">
        <f ca="1">_xll.BDH($C$153,"NET_DEBT_TO_EBIT","FQ1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174" s="2" t="e">
        <f ca="1">_xll.BDH($C$153,"EBITDA_TO_INTEREST_EXPN","FQ1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74" s="2" t="e">
        <f ca="1">_xll.BDH($C$153,"COM_EQY_TO_TOT_ASSET","FQ1 2018","FQ1 2018","Currency=INR","Period=FQ","BEST_FPERIOD_OVERRIDE=FQ","FILING_STATUS=OR","EQY_CONSOLIDATED=Y","Sort=A","Dates=H","DateFormat=P","Fill=—","Direction=H","UseDPDF=Y")</f>
        <v>#NAME?</v>
      </c>
      <c r="CH174" s="2" t="e">
        <f ca="1">_xll.BDH($C$153,"LT_DEBT_TO_TOT_EQY","FQ1 2018","FQ1 2018","Currency=INR","Period=FQ","BEST_FPERIOD_OVERRIDE=FQ","FILING_STATUS=OR","EQY_CONSOLIDATED=Y","Sort=A","Dates=H","DateFormat=P","Fill=—","Direction=H","UseDPDF=Y")</f>
        <v>#NAME?</v>
      </c>
      <c r="CI174" s="2" t="e">
        <f ca="1">_xll.BDH($C$153,"LT_DEBT_TO_TOT_CAP","FQ1 2018","FQ1 2018","Currency=INR","Period=FQ","BEST_FPERIOD_OVERRIDE=FQ","FILING_STATUS=OR","EQY_CONSOLIDATED=Y","Sort=A","Dates=H","DateFormat=P","Fill=—","Direction=H","UseDPDF=Y")</f>
        <v>#NAME?</v>
      </c>
      <c r="CJ174" s="2" t="e">
        <f ca="1">_xll.BDH($C$153,"LT_DEBT_TO_TOT_ASSET","FQ1 2018","FQ1 2018","Currency=INR","Period=FQ","BEST_FPERIOD_OVERRIDE=FQ","FILING_STATUS=OR","EQY_CONSOLIDATED=Y","Sort=A","Dates=H","DateFormat=P","Fill=—","Direction=H","UseDPDF=Y")</f>
        <v>#NAME?</v>
      </c>
      <c r="CK174" s="2" t="e">
        <f ca="1">_xll.BDH($C$153,"TOT_DEBT_TO_TOT_EQY","FQ1 2018","FQ1 2018","Currency=INR","Period=FQ","BEST_FPERIOD_OVERRIDE=FQ","FILING_STATUS=OR","EQY_CONSOLIDATED=Y","Sort=A","Dates=H","DateFormat=P","Fill=—","Direction=H","UseDPDF=Y")</f>
        <v>#NAME?</v>
      </c>
      <c r="CL174" s="2" t="e">
        <f ca="1">_xll.BDH($C$153,"TOT_DEBT_TO_TOT_CAP","FQ1 2018","FQ1 2018","Currency=INR","Period=FQ","BEST_FPERIOD_OVERRIDE=FQ","FILING_STATUS=OR","EQY_CONSOLIDATED=Y","Sort=A","Dates=H","DateFormat=P","Fill=—","Direction=H","UseDPDF=Y")</f>
        <v>#NAME?</v>
      </c>
      <c r="CM174" s="2" t="e">
        <f ca="1">_xll.BDH($C$153,"TOT_DEBT_TO_TOT_ASSET","FQ1 2018","FQ1 2018","Currency=INR","Period=FQ","BEST_FPERIOD_OVERRIDE=FQ","FILING_STATUS=OR","EQY_CONSOLIDATED=Y","Sort=A","Dates=H","DateFormat=P","Fill=—","Direction=H","UseDPDF=Y")</f>
        <v>#NAME?</v>
      </c>
      <c r="CN174" s="2" t="e">
        <f ca="1">_xll.BDH($C$153,"NET_DEBT_TO_SHRHLDR_EQTY","FQ1 2018","FQ1 2018","Currency=INR","Period=FQ","BEST_FPERIOD_OVERRIDE=FQ","FILING_STATUS=OR","EQY_CONSOLIDATED=Y","Sort=A","Dates=H","DateFormat=P","Fill=—","Direction=H","UseDPDF=Y")</f>
        <v>#NAME?</v>
      </c>
      <c r="CO174" s="2" t="e">
        <f ca="1">_xll.BDH($C$153,"NET_DEBT_%_CAPITAL","FQ1 2018","FQ1 2018","Currency=INR","Period=FQ","BEST_FPERIOD_OVERRIDE=FQ","FILING_STATUS=OR","EQY_CONSOLIDATED=Y","Sort=A","Dates=H","DateFormat=P","Fill=—","Direction=H","UseDPDF=Y")</f>
        <v>#NAME?</v>
      </c>
      <c r="CP174" s="3" t="e">
        <f ca="1">_xll.BDH($C$153,"EBITDA","FQ1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74" s="3" t="e">
        <f ca="1">_xll.BDH($C$153,"EBITDA_AFTER_CAPEX","FQ1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74" s="3" t="e">
        <f ca="1">_xll.BDH($C$153,"IS_OPER_INC","FQ1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74" s="2" t="e">
        <f ca="1">_xll.BDH($C$153,"CASH_RATIO","FQ1 2018","FQ1 2018","Currency=INR","Period=FQ","BEST_FPERIOD_OVERRIDE=FQ","FILING_STATUS=OR","EQY_CONSOLIDATED=Y","Sort=A","Dates=H","DateFormat=P","Fill=—","Direction=H","UseDPDF=Y")</f>
        <v>#NAME?</v>
      </c>
      <c r="CT174" s="2" t="e">
        <f ca="1">_xll.BDH($C$153,"CUR_RATIO","FQ1 2018","FQ1 2018","Currency=INR","Period=FQ","BEST_FPERIOD_OVERRIDE=FQ","FILING_STATUS=OR","EQY_CONSOLIDATED=Y","Sort=A","Dates=H","DateFormat=P","Fill=—","Direction=H","UseDPDF=Y")</f>
        <v>#NAME?</v>
      </c>
      <c r="CU174" s="2" t="e">
        <f ca="1">_xll.BDH($C$153,"QUICK_RATIO","FQ1 2018","FQ1 2018","Currency=INR","Period=FQ","BEST_FPERIOD_OVERRIDE=FQ","FILING_STATUS=OR","EQY_CONSOLIDATED=Y","Sort=A","Dates=H","DateFormat=P","Fill=—","Direction=H","UseDPDF=Y")</f>
        <v>#NAME?</v>
      </c>
      <c r="CV174" s="2" t="e">
        <f ca="1">_xll.BDH($C$153,"ALTMAN_Z_SCORE","FQ1 2018","FQ1 2018","Currency=INR","Period=FQ","BEST_FPERIOD_OVERRIDE=FQ","FILING_STATUS=OR","EQY_CONSOLIDATED=Y","Sort=A","Dates=H","DateFormat=P","Fill=—","Direction=H","UseDPDF=Y")</f>
        <v>#NAME?</v>
      </c>
      <c r="CW174" s="4" t="e">
        <f ca="1">_xll.BDH($C$153,"ACCT_RCV_TURN","FQ1 2018","FQ1 2018","Currency=INR","Period=FQ","BEST_FPERIOD_OVERRIDE=FQ","FILING_STATUS=OR","EQY_CONSOLIDATED=Y","FA_ADJUSTED=GAAP","Sort=A","Dates=H","DateFormat=P","Fill=—","Direction=H","UseDPDF=Y")</f>
        <v>#NAME?</v>
      </c>
      <c r="CX174" s="2" t="e">
        <f ca="1">_xll.BDH($C$153,"ACCT_RCV_DAYS","FQ1 2018","FQ1 2018","Currency=INR","Period=FQ","BEST_FPERIOD_OVERRIDE=FQ","FILING_STATUS=OR","EQY_CONSOLIDATED=Y","FA_ADJUSTED=GAAP","Sort=A","Dates=H","DateFormat=P","Fill=—","Direction=H","UseDPDF=Y")</f>
        <v>#NAME?</v>
      </c>
      <c r="CY174" s="4" t="e">
        <f ca="1">_xll.BDH($C$153,"INVENT_TURN","FQ1 2018","FQ1 2018","Currency=INR","Period=FQ","BEST_FPERIOD_OVERRIDE=FQ","FILING_STATUS=OR","EQY_CONSOLIDATED=Y","FA_ADJUSTED=GAAP","Sort=A","Dates=H","DateFormat=P","Fill=—","Direction=H","UseDPDF=Y")</f>
        <v>#NAME?</v>
      </c>
      <c r="CZ174" s="2" t="e">
        <f ca="1">_xll.BDH($C$153,"INVENT_DAYS","FQ1 2018","FQ1 2018","Currency=INR","Period=FQ","BEST_FPERIOD_OVERRIDE=FQ","FILING_STATUS=OR","EQY_CONSOLIDATED=Y","FA_ADJUSTED=GAAP","Sort=A","Dates=H","DateFormat=P","Fill=—","Direction=H","UseDPDF=Y")</f>
        <v>#NAME?</v>
      </c>
      <c r="DA174" s="4" t="e">
        <f ca="1">_xll.BDH($C$153,"ACCOUNTS_PAYABLE_TURNOVER","FQ1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74" s="2" t="e">
        <f ca="1">_xll.BDH($C$153,"ACCOUNTS_PAYABLE_TURNOVER_DAYS","FQ1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74" s="4" t="e">
        <f ca="1">_xll.BDH($C$153,"CASH_CONVERSION_CYCLE","FQ1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74" s="4" t="e">
        <f ca="1">_xll.BDH($C$153,"INV_TO_CASH_DAYS","FQ1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174" s="5" t="e">
        <f ca="1">_xll.BDH($C$153,"BS_INVENTORIES","FQ1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174" s="3" t="e">
        <f ca="1">_xll.BDH($C$153,"INVTRY_RAW_MATERIALS","FQ1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74" s="3" t="e">
        <f ca="1">_xll.BDH($C$153,"INVTRY_IN_PROGRESS","FQ1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74" s="3" t="e">
        <f ca="1">_xll.BDH($C$153,"INVTRY_FINISHED_GOODS","FQ1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74" s="3" t="e">
        <f ca="1">_xll.BDH($C$153,"BS_OTHER_INV","FQ1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175" spans="1:113" x14ac:dyDescent="0.3">
      <c r="A175" s="6"/>
      <c r="B175" s="6"/>
      <c r="C175" s="6"/>
      <c r="D175" s="6"/>
      <c r="E175" t="s">
        <v>79</v>
      </c>
      <c r="F175" t="e">
        <f ca="1">_xll.BDH($C$153,"RETURN_COM_EQY","FQ2 2018","FQ2 2018","Currency=INR","Period=FQ","BEST_FPERIOD_OVERRIDE=FQ","FILING_STATUS=OR","EQY_CONSOLIDATED=Y","FA_ADJUSTED=GAAP","Sort=A","Dates=H","DateFormat=P","Fill=—","Direction=H","UseDPDF=Y")</f>
        <v>#NAME?</v>
      </c>
      <c r="G175" t="e">
        <f ca="1">_xll.BDH($C$153,"RETURN_ON_ASSET","FQ2 2018","FQ2 2018","Currency=INR","Period=FQ","BEST_FPERIOD_OVERRIDE=FQ","FILING_STATUS=OR","EQY_CONSOLIDATED=Y","FA_ADJUSTED=GAAP","Sort=A","Dates=H","DateFormat=P","Fill=—","Direction=H","UseDPDF=Y")</f>
        <v>#NAME?</v>
      </c>
      <c r="H175" t="e">
        <f ca="1">_xll.BDH($C$153,"RETURN_ON_CAP","FQ2 2018","FQ2 2018","Currency=INR","Period=FQ","BEST_FPERIOD_OVERRIDE=FQ","FILING_STATUS=OR","EQY_CONSOLIDATED=Y","FA_ADJUSTED=GAAP","Sort=A","Dates=H","DateFormat=P","Fill=—","Direction=H","UseDPDF=Y")</f>
        <v>#NAME?</v>
      </c>
      <c r="I175" t="e">
        <f ca="1">_xll.BDH($C$153,"RETURN_ON_INV_CAPITAL","FQ2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175" t="e">
        <f ca="1">_xll.BDH($C$153,"EBITDA_TO_REVENUE","FQ2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175" t="e">
        <f ca="1">_xll.BDH($C$153,"OPER_MARGIN","FQ2 2018","FQ2 2018","Currency=INR","Period=FQ","BEST_FPERIOD_OVERRIDE=FQ","FILING_STATUS=OR","EQY_CONSOLIDATED=Y","FA_ADJUSTED=GAAP","Sort=A","Dates=H","DateFormat=P","Fill=—","Direction=H","UseDPDF=Y")</f>
        <v>#NAME?</v>
      </c>
      <c r="L175" t="e">
        <f ca="1">_xll.BDH($C$153,"INCREMENTAL_OPERATING_MARGIN","FQ2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175" t="e">
        <f ca="1">_xll.BDH($C$153,"PRETAX_INC_TO_NET_SALES","FQ2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175" t="e">
        <f ca="1">_xll.BDH($C$153,"INC_BEF_XO_ITEMS_TO_NET_SALES","FQ2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175" t="e">
        <f ca="1">_xll.BDH($C$153,"PROF_MARGIN","FQ2 2018","FQ2 2018","Currency=INR","Period=FQ","BEST_FPERIOD_OVERRIDE=FQ","FILING_STATUS=OR","EQY_CONSOLIDATED=Y","FA_ADJUSTED=GAAP","Sort=A","Dates=H","DateFormat=P","Fill=—","Direction=H","UseDPDF=Y")</f>
        <v>#NAME?</v>
      </c>
      <c r="P175" t="e">
        <f ca="1">_xll.BDH($C$153,"NET_INCOME_TO_COMMON_MARGIN","FQ2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175" t="e">
        <f ca="1">_xll.BDH($C$153,"EFF_TAX_RATE","FQ2 2018","FQ2 2018","Currency=INR","Period=FQ","BEST_FPERIOD_OVERRIDE=FQ","FILING_STATUS=OR","EQY_CONSOLIDATED=Y","FA_ADJUSTED=GAAP","Sort=A","Dates=H","DateFormat=P","Fill=—","Direction=H","UseDPDF=Y")</f>
        <v>#NAME?</v>
      </c>
      <c r="R175" t="e">
        <f ca="1">_xll.BDH($C$153,"DVD_PAYOUT_RATIO","FQ2 2018","FQ2 2018","Currency=INR","Period=FQ","BEST_FPERIOD_OVERRIDE=FQ","FILING_STATUS=OR","EQY_CONSOLIDATED=Y","FA_ADJUSTED=GAAP","Sort=A","Dates=H","DateFormat=P","Fill=—","Direction=H","UseDPDF=Y")</f>
        <v>#NAME?</v>
      </c>
      <c r="S175" t="e">
        <f ca="1">_xll.BDH($C$153,"SUSTAIN_GROWTH_RT","FQ2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175" s="2" t="e">
        <f ca="1">_xll.BDH($C$153,"SALES_GROWTH","FQ2 2018","FQ2 2018","Currency=INR","Period=FQ","BEST_FPERIOD_OVERRIDE=FQ","FILING_STATUS=OR","EQY_CONSOLIDATED=Y","FA_ADJUSTED=GAAP","Sort=A","Dates=H","DateFormat=P","Fill=—","Direction=H","UseDPDF=Y")</f>
        <v>#NAME?</v>
      </c>
      <c r="U175" s="2" t="e">
        <f ca="1">_xll.BDH($C$153,"EBITDA_GROWTH","FQ2 2018","FQ2 2018","Currency=INR","Period=FQ","BEST_FPERIOD_OVERRIDE=FQ","FILING_STATUS=OR","EQY_CONSOLIDATED=Y","FA_ADJUSTED=GAAP","Sort=A","Dates=H","DateFormat=P","Fill=—","Direction=H","UseDPDF=Y")</f>
        <v>#NAME?</v>
      </c>
      <c r="V175" s="2" t="e">
        <f ca="1">_xll.BDH($C$153,"OPER_INC_GROWTH","FQ2 2018","FQ2 2018","Currency=INR","Period=FQ","BEST_FPERIOD_OVERRIDE=FQ","FILING_STATUS=OR","EQY_CONSOLIDATED=Y","FA_ADJUSTED=GAAP","Sort=A","Dates=H","DateFormat=P","Fill=—","Direction=H","UseDPDF=Y")</f>
        <v>#NAME?</v>
      </c>
      <c r="W175" s="2" t="e">
        <f ca="1">_xll.BDH($C$153,"EARN_FOR_COM_GROWTH","FQ2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175" s="2" t="e">
        <f ca="1">_xll.BDH($C$153,"DILUTED_EPS_AFT_XO_ITEMS_GROWTH","FQ2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175" s="2" t="e">
        <f ca="1">_xll.BDH($C$153,"DIVIDEND_PER_SHARE_1_YEAR_GROWTH","FQ2 2018","FQ2 2018","Currency=INR","Period=FQ","BEST_FPERIOD_OVERRIDE=FQ","FILING_STATUS=OR","EQY_CONSOLIDATED=Y","Sort=A","Dates=H","DateFormat=P","Fill=—","Direction=H","UseDPDF=Y")</f>
        <v>#NAME?</v>
      </c>
      <c r="Z175" s="2" t="e">
        <f ca="1">_xll.BDH($C$153,"ACCOUNTS_RECEIVABLE_GROWTH","FQ2 2018","FQ2 2018","Currency=INR","Period=FQ","BEST_FPERIOD_OVERRIDE=FQ","FILING_STATUS=OR","EQY_CONSOLIDATED=Y","Sort=A","Dates=H","DateFormat=P","Fill=—","Direction=H","UseDPDF=Y")</f>
        <v>#NAME?</v>
      </c>
      <c r="AA175" s="2" t="e">
        <f ca="1">_xll.BDH($C$153,"INVENTORY_GROWTH","FQ2 2018","FQ2 2018","Currency=INR","Period=FQ","BEST_FPERIOD_OVERRIDE=FQ","FILING_STATUS=OR","EQY_CONSOLIDATED=Y","Sort=A","Dates=H","DateFormat=P","Fill=—","Direction=H","UseDPDF=Y")</f>
        <v>#NAME?</v>
      </c>
      <c r="AB175" s="2" t="e">
        <f ca="1">_xll.BDH($C$153,"NET_FIXED_ASSETS_1_YEAR_GROWTH","FQ2 2018","FQ2 2018","Currency=INR","Period=FQ","BEST_FPERIOD_OVERRIDE=FQ","FILING_STATUS=OR","EQY_CONSOLIDATED=Y","Sort=A","Dates=H","DateFormat=P","Fill=—","Direction=H","UseDPDF=Y")</f>
        <v>#NAME?</v>
      </c>
      <c r="AC175" s="2" t="e">
        <f ca="1">_xll.BDH($C$153,"ASSET_GROWTH","FQ2 2018","FQ2 2018","Currency=INR","Period=FQ","BEST_FPERIOD_OVERRIDE=FQ","FILING_STATUS=OR","EQY_CONSOLIDATED=Y","Sort=A","Dates=H","DateFormat=P","Fill=—","Direction=H","UseDPDF=Y")</f>
        <v>#NAME?</v>
      </c>
      <c r="AD175" s="2" t="e">
        <f ca="1">_xll.BDH($C$153,"MODIFIED_WORK_CAP_GROWTH","FQ2 2018","FQ2 2018","Currency=INR","Period=FQ","BEST_FPERIOD_OVERRIDE=FQ","FILING_STATUS=OR","EQY_CONSOLIDATED=Y","Sort=A","Dates=H","DateFormat=P","Fill=—","Direction=H","UseDPDF=Y")</f>
        <v>#NAME?</v>
      </c>
      <c r="AE175" s="2" t="e">
        <f ca="1">_xll.BDH($C$153,"WORK_CAP_GROWTH","FQ2 2018","FQ2 2018","Currency=INR","Period=FQ","BEST_FPERIOD_OVERRIDE=FQ","FILING_STATUS=OR","EQY_CONSOLIDATED=Y","Sort=A","Dates=H","DateFormat=P","Fill=—","Direction=H","UseDPDF=Y")</f>
        <v>#NAME?</v>
      </c>
      <c r="AF175" s="2" t="e">
        <f ca="1">_xll.BDH($C$153,"ACCOUNTS_PAYABLE_GROWTH_1YR","FQ2 2018","FQ2 2018","Currency=INR","Period=FQ","BEST_FPERIOD_OVERRIDE=FQ","FILING_STATUS=OR","EQY_CONSOLIDATED=Y","Sort=A","Dates=H","DateFormat=P","Fill=—","Direction=H","UseDPDF=Y")</f>
        <v>#NAME?</v>
      </c>
      <c r="AG175" s="2" t="e">
        <f ca="1">_xll.BDH($C$153,"SHORT_TERM_DEBT_1_YEAR_GROWTH","FQ2 2018","FQ2 2018","Currency=INR","Period=FQ","BEST_FPERIOD_OVERRIDE=FQ","FILING_STATUS=OR","EQY_CONSOLIDATED=Y","Sort=A","Dates=H","DateFormat=P","Fill=—","Direction=H","UseDPDF=Y")</f>
        <v>#NAME?</v>
      </c>
      <c r="AH175" s="2" t="e">
        <f ca="1">_xll.BDH($C$153,"TOTAL_DEBT_1_YEAR_GROWTH","FQ2 2018","FQ2 2018","Currency=INR","Period=FQ","BEST_FPERIOD_OVERRIDE=FQ","FILING_STATUS=OR","EQY_CONSOLIDATED=Y","Sort=A","Dates=H","DateFormat=P","Fill=—","Direction=H","UseDPDF=Y")</f>
        <v>#NAME?</v>
      </c>
      <c r="AI175" s="2" t="e">
        <f ca="1">_xll.BDH($C$153,"TOTAL_EQUITY_1_YEAR_GROWTH","FQ2 2018","FQ2 2018","Currency=INR","Period=FQ","BEST_FPERIOD_OVERRIDE=FQ","FILING_STATUS=OR","EQY_CONSOLIDATED=Y","Sort=A","Dates=H","DateFormat=P","Fill=—","Direction=H","UseDPDF=Y")</f>
        <v>#NAME?</v>
      </c>
      <c r="AJ175" s="2" t="e">
        <f ca="1">_xll.BDH($C$153,"GROWTH_IN_CAP","FQ2 2018","FQ2 2018","Currency=INR","Period=FQ","BEST_FPERIOD_OVERRIDE=FQ","FILING_STATUS=OR","EQY_CONSOLIDATED=Y","Sort=A","Dates=H","DateFormat=P","Fill=—","Direction=H","UseDPDF=Y")</f>
        <v>#NAME?</v>
      </c>
      <c r="AK175" s="2" t="e">
        <f ca="1">_xll.BDH($C$153,"BVPS_GROWTH","FQ2 2018","FQ2 2018","Currency=INR","Period=FQ","BEST_FPERIOD_OVERRIDE=FQ","FILING_STATUS=OR","EQY_CONSOLIDATED=Y","Sort=A","Dates=H","DateFormat=P","Fill=—","Direction=H","UseDPDF=Y")</f>
        <v>#NAME?</v>
      </c>
      <c r="AL175" s="2" t="e">
        <f ca="1">_xll.BDH($C$153,"CASH_FLOW_GROWTH","FQ2 2018","FQ2 2018","Currency=INR","Period=FQ","BEST_FPERIOD_OVERRIDE=FQ","FILING_STATUS=OR","EQY_CONSOLIDATED=Y","Sort=A","Dates=H","DateFormat=P","Fill=—","Direction=H","UseDPDF=Y")</f>
        <v>#NAME?</v>
      </c>
      <c r="AM175" s="2" t="e">
        <f ca="1">_xll.BDH($C$153,"GEO_GROW_NET_SALES","FQ2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175" s="2" t="e">
        <f ca="1">_xll.BDH($C$153,"GEO_GROW_EBITDA","FQ2 2018","FQ2 2018","Currency=INR","Period=FQ","BEST_FPERIOD_OVERRIDE=FQ","FILING_STATUS=OR","EQY_CONSOLIDATED=Y","FA_ADJUSTED=GAAP","Sort=A","Dates=H","DateFormat=P","Fill=—","Direction=H","UseDPDF=Y")</f>
        <v>#NAME?</v>
      </c>
      <c r="AO175" s="2" t="e">
        <f ca="1">_xll.BDH($C$153,"GEO_GROW_OPER_INC","FQ2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175" s="2" t="e">
        <f ca="1">_xll.BDH($C$153,"NET_INCOME_TO_COMMON_5_YR_GROWTH","FQ2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175" s="2" t="e">
        <f ca="1">_xll.BDH($C$153,"5Y_GEO_GROWTH_DILUTED_EPS","FQ2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175" s="2" t="e">
        <f ca="1">_xll.BDH($C$153,"GEO_GROW_DVD_PER_SH","FQ2 2018","FQ2 2018","Currency=INR","Period=FQ","BEST_FPERIOD_OVERRIDE=FQ","FILING_STATUS=OR","EQY_CONSOLIDATED=Y","Sort=A","Dates=H","DateFormat=P","Fill=—","Direction=H","UseDPDF=Y")</f>
        <v>#NAME?</v>
      </c>
      <c r="AS175" s="2" t="e">
        <f ca="1">_xll.BDH($C$153,"ACCOUNTS_RECEIVABLE_5_YR_GROWTH","FQ2 2018","FQ2 2018","Currency=INR","Period=FQ","BEST_FPERIOD_OVERRIDE=FQ","FILING_STATUS=OR","EQY_CONSOLIDATED=Y","Sort=A","Dates=H","DateFormat=P","Fill=—","Direction=H","UseDPDF=Y")</f>
        <v>#NAME?</v>
      </c>
      <c r="AT175" s="2" t="e">
        <f ca="1">_xll.BDH($C$153,"INVENTORY_5_YEAR_GROWTH","FQ2 2018","FQ2 2018","Currency=INR","Period=FQ","BEST_FPERIOD_OVERRIDE=FQ","FILING_STATUS=OR","EQY_CONSOLIDATED=Y","Sort=A","Dates=H","DateFormat=P","Fill=—","Direction=H","UseDPDF=Y")</f>
        <v>#NAME?</v>
      </c>
      <c r="AU175" s="2" t="e">
        <f ca="1">_xll.BDH($C$153,"NET_FIXED_ASSETS_5_YEAR_GROWTH","FQ2 2018","FQ2 2018","Currency=INR","Period=FQ","BEST_FPERIOD_OVERRIDE=FQ","FILING_STATUS=OR","EQY_CONSOLIDATED=Y","Sort=A","Dates=H","DateFormat=P","Fill=—","Direction=H","UseDPDF=Y")</f>
        <v>#NAME?</v>
      </c>
      <c r="AV175" s="2" t="e">
        <f ca="1">_xll.BDH($C$153,"GEO_GROW_TOT_ASSET","FQ2 2018","FQ2 2018","Currency=INR","Period=FQ","BEST_FPERIOD_OVERRIDE=FQ","FILING_STATUS=OR","EQY_CONSOLIDATED=Y","Sort=A","Dates=H","DateFormat=P","Fill=—","Direction=H","UseDPDF=Y")</f>
        <v>#NAME?</v>
      </c>
      <c r="AW175" s="2" t="e">
        <f ca="1">_xll.BDH($C$153,"MODIFIED_WORKING_CPTL_5YR_GRWTH","FQ2 2018","FQ2 2018","Currency=INR","Period=FQ","BEST_FPERIOD_OVERRIDE=FQ","FILING_STATUS=OR","EQY_CONSOLIDATED=Y","Sort=A","Dates=H","DateFormat=P","Fill=—","Direction=H","UseDPDF=Y")</f>
        <v>#NAME?</v>
      </c>
      <c r="AX175" s="2" t="e">
        <f ca="1">_xll.BDH($C$153,"WORKING_CAPITAL_5_YEAR_GROWTH","FQ2 2018","FQ2 2018","Currency=INR","Period=FQ","BEST_FPERIOD_OVERRIDE=FQ","FILING_STATUS=OR","EQY_CONSOLIDATED=Y","Sort=A","Dates=H","DateFormat=P","Fill=—","Direction=H","UseDPDF=Y")</f>
        <v>#NAME?</v>
      </c>
      <c r="AY175" s="2" t="e">
        <f ca="1">_xll.BDH($C$153,"ACCOUNTS_PAYABLE_5_YEAR_GROWTH","FQ2 2018","FQ2 2018","Currency=INR","Period=FQ","BEST_FPERIOD_OVERRIDE=FQ","FILING_STATUS=OR","EQY_CONSOLIDATED=Y","Sort=A","Dates=H","DateFormat=P","Fill=—","Direction=H","UseDPDF=Y")</f>
        <v>#NAME?</v>
      </c>
      <c r="AZ175" s="2" t="e">
        <f ca="1">_xll.BDH($C$153,"SHORT_TERM_DEBT_5_YEAR_GROWTH","FQ2 2018","FQ2 2018","Currency=INR","Period=FQ","BEST_FPERIOD_OVERRIDE=FQ","FILING_STATUS=OR","EQY_CONSOLIDATED=Y","Sort=A","Dates=H","DateFormat=P","Fill=—","Direction=H","UseDPDF=Y")</f>
        <v>#NAME?</v>
      </c>
      <c r="BA175" s="2" t="e">
        <f ca="1">_xll.BDH($C$153,"TOTAL_DEBT_5_YEAR_GROWTH","FQ2 2018","FQ2 2018","Currency=INR","Period=FQ","BEST_FPERIOD_OVERRIDE=FQ","FILING_STATUS=OR","EQY_CONSOLIDATED=Y","Sort=A","Dates=H","DateFormat=P","Fill=—","Direction=H","UseDPDF=Y")</f>
        <v>#NAME?</v>
      </c>
      <c r="BB175" s="2" t="e">
        <f ca="1">_xll.BDH($C$153,"GEO_GROW_TOT_SHRHLDR_EQY","FQ2 2018","FQ2 2018","Currency=INR","Period=FQ","BEST_FPERIOD_OVERRIDE=FQ","FILING_STATUS=OR","EQY_CONSOLIDATED=Y","Sort=A","Dates=H","DateFormat=P","Fill=—","Direction=H","UseDPDF=Y")</f>
        <v>#NAME?</v>
      </c>
      <c r="BC175" s="2" t="e">
        <f ca="1">_xll.BDH($C$153,"TOTAL_CAPITAL_5_YEAR_GROWTH","FQ2 2018","FQ2 2018","Currency=INR","Period=FQ","BEST_FPERIOD_OVERRIDE=FQ","FILING_STATUS=OR","EQY_CONSOLIDATED=Y","Sort=A","Dates=H","DateFormat=P","Fill=—","Direction=H","UseDPDF=Y")</f>
        <v>#NAME?</v>
      </c>
      <c r="BD175" s="2" t="e">
        <f ca="1">_xll.BDH($C$153,"GEO_GROW_BOOK_VAL","FQ2 2018","FQ2 2018","Currency=INR","Period=FQ","BEST_FPERIOD_OVERRIDE=FQ","FILING_STATUS=OR","EQY_CONSOLIDATED=Y","Sort=A","Dates=H","DateFormat=P","Fill=—","Direction=H","UseDPDF=Y")</f>
        <v>#NAME?</v>
      </c>
      <c r="BE175" s="2" t="e">
        <f ca="1">_xll.BDH($C$153,"GEO_GROW_CASH_OPER_ACT","FQ2 2018","FQ2 2018","Currency=INR","Period=FQ","BEST_FPERIOD_OVERRIDE=FQ","FILING_STATUS=OR","EQY_CONSOLIDATED=Y","Sort=A","Dates=H","DateFormat=P","Fill=—","Direction=H","UseDPDF=Y")</f>
        <v>#NAME?</v>
      </c>
      <c r="BF175" s="2" t="e">
        <f ca="1">_xll.BDH($C$153,"REVENUE_SEQUENTIAL_GROWTH","FQ2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175" s="2" t="e">
        <f ca="1">_xll.BDH($C$153,"EBITDA_SEQUENTIAL_GROWTH","FQ2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175" s="2" t="e">
        <f ca="1">_xll.BDH($C$153,"OPERATING_INCOME_SEQ_GROWTH","FQ2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175" s="2" t="e">
        <f ca="1">_xll.BDH($C$153,"NET_INCOME_TO_COMMON_SEQ_GROWTH","FQ2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175" s="2" t="e">
        <f ca="1">_xll.BDH($C$153,"EPS_DILUTED_SEQUENTIAL_GROWTH","FQ2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175" s="2" t="e">
        <f ca="1">_xll.BDH($C$153,"DPS_SEQUENTIAL_GROWTH","FQ2 2018","FQ2 2018","Currency=INR","Period=FQ","BEST_FPERIOD_OVERRIDE=FQ","FILING_STATUS=OR","EQY_CONSOLIDATED=Y","Sort=A","Dates=H","DateFormat=P","Fill=—","Direction=H","UseDPDF=Y")</f>
        <v>#NAME?</v>
      </c>
      <c r="BL175" s="2" t="e">
        <f ca="1">_xll.BDH($C$153,"ACCOUNTS_RECEIVABLE_SEQ_GROWTH","FQ2 2018","FQ2 2018","Currency=INR","Period=FQ","BEST_FPERIOD_OVERRIDE=FQ","FILING_STATUS=OR","EQY_CONSOLIDATED=Y","Sort=A","Dates=H","DateFormat=P","Fill=—","Direction=H","UseDPDF=Y")</f>
        <v>#NAME?</v>
      </c>
      <c r="BM175" s="2" t="e">
        <f ca="1">_xll.BDH($C$153,"INVENTORY_SEQUENTIAL_GROWTH","FQ2 2018","FQ2 2018","Currency=INR","Period=FQ","BEST_FPERIOD_OVERRIDE=FQ","FILING_STATUS=OR","EQY_CONSOLIDATED=Y","Sort=A","Dates=H","DateFormat=P","Fill=—","Direction=H","UseDPDF=Y")</f>
        <v>#NAME?</v>
      </c>
      <c r="BN175" s="2" t="e">
        <f ca="1">_xll.BDH($C$153,"FIXED_ASSETS_SEQUENTIAL_GROWTH","FQ2 2018","FQ2 2018","Currency=INR","Period=FQ","BEST_FPERIOD_OVERRIDE=FQ","FILING_STATUS=OR","EQY_CONSOLIDATED=Y","Sort=A","Dates=H","DateFormat=P","Fill=—","Direction=H","UseDPDF=Y")</f>
        <v>#NAME?</v>
      </c>
      <c r="BO175" s="2" t="e">
        <f ca="1">_xll.BDH($C$153,"TOTAL_ASSETS_SEQUENTIAL_GROWTH","FQ2 2018","FQ2 2018","Currency=INR","Period=FQ","BEST_FPERIOD_OVERRIDE=FQ","FILING_STATUS=OR","EQY_CONSOLIDATED=Y","Sort=A","Dates=H","DateFormat=P","Fill=—","Direction=H","UseDPDF=Y")</f>
        <v>#NAME?</v>
      </c>
      <c r="BP175" s="2" t="e">
        <f ca="1">_xll.BDH($C$153,"MODIFIED_WORKING_CPTL_SEQ_GRWTH","FQ2 2018","FQ2 2018","Currency=INR","Period=FQ","BEST_FPERIOD_OVERRIDE=FQ","FILING_STATUS=OR","EQY_CONSOLIDATED=Y","Sort=A","Dates=H","DateFormat=P","Fill=—","Direction=H","UseDPDF=Y")</f>
        <v>#NAME?</v>
      </c>
      <c r="BQ175" s="2" t="e">
        <f ca="1">_xll.BDH($C$153,"WORKING_CAPITAL_SEQ_GROWTH","FQ2 2018","FQ2 2018","Currency=INR","Period=FQ","BEST_FPERIOD_OVERRIDE=FQ","FILING_STATUS=OR","EQY_CONSOLIDATED=Y","Sort=A","Dates=H","DateFormat=P","Fill=—","Direction=H","UseDPDF=Y")</f>
        <v>#NAME?</v>
      </c>
      <c r="BR175" s="2" t="e">
        <f ca="1">_xll.BDH($C$153,"ACCOUNTS_PAYABLE_SEQ_GROWTH","FQ2 2018","FQ2 2018","Currency=INR","Period=FQ","BEST_FPERIOD_OVERRIDE=FQ","FILING_STATUS=OR","EQY_CONSOLIDATED=Y","Sort=A","Dates=H","DateFormat=P","Fill=—","Direction=H","UseDPDF=Y")</f>
        <v>#NAME?</v>
      </c>
      <c r="BS175" s="2" t="e">
        <f ca="1">_xll.BDH($C$153,"ST_DEBT_SEQUENTIAL_GROWTH","FQ2 2018","FQ2 2018","Currency=INR","Period=FQ","BEST_FPERIOD_OVERRIDE=FQ","FILING_STATUS=OR","EQY_CONSOLIDATED=Y","Sort=A","Dates=H","DateFormat=P","Fill=—","Direction=H","UseDPDF=Y")</f>
        <v>#NAME?</v>
      </c>
      <c r="BT175" s="2" t="e">
        <f ca="1">_xll.BDH($C$153,"TOTAL_DEBT_SEQUENTIAL_GROWTH","FQ2 2018","FQ2 2018","Currency=INR","Period=FQ","BEST_FPERIOD_OVERRIDE=FQ","FILING_STATUS=OR","EQY_CONSOLIDATED=Y","Sort=A","Dates=H","DateFormat=P","Fill=—","Direction=H","UseDPDF=Y")</f>
        <v>#NAME?</v>
      </c>
      <c r="BU175" s="2" t="e">
        <f ca="1">_xll.BDH($C$153,"TOTAL_EQUITY_SEQUENTIAL_GROWTH","FQ2 2018","FQ2 2018","Currency=INR","Period=FQ","BEST_FPERIOD_OVERRIDE=FQ","FILING_STATUS=OR","EQY_CONSOLIDATED=Y","Sort=A","Dates=H","DateFormat=P","Fill=—","Direction=H","UseDPDF=Y")</f>
        <v>#NAME?</v>
      </c>
      <c r="BV175" s="2" t="e">
        <f ca="1">_xll.BDH($C$153,"TOTAL_CAPITAL_SEQUENTIAL_GROWTH","FQ2 2018","FQ2 2018","Currency=INR","Period=FQ","BEST_FPERIOD_OVERRIDE=FQ","FILING_STATUS=OR","EQY_CONSOLIDATED=Y","Sort=A","Dates=H","DateFormat=P","Fill=—","Direction=H","UseDPDF=Y")</f>
        <v>#NAME?</v>
      </c>
      <c r="BW175" s="2" t="e">
        <f ca="1">_xll.BDH($C$153,"BPS_SEQUENTIAL_GROWTH","FQ2 2018","FQ2 2018","Currency=INR","Period=FQ","BEST_FPERIOD_OVERRIDE=FQ","FILING_STATUS=OR","EQY_CONSOLIDATED=Y","Sort=A","Dates=H","DateFormat=P","Fill=—","Direction=H","UseDPDF=Y")</f>
        <v>#NAME?</v>
      </c>
      <c r="BX175" s="2" t="e">
        <f ca="1">_xll.BDH($C$153,"CFO_SEQUENTIAL_GROWTH","FQ2 2018","FQ2 2018","Currency=INR","Period=FQ","BEST_FPERIOD_OVERRIDE=FQ","FILING_STATUS=OR","EQY_CONSOLIDATED=Y","Sort=A","Dates=H","DateFormat=P","Fill=—","Direction=H","UseDPDF=Y")</f>
        <v>#NAME?</v>
      </c>
      <c r="BY175" s="3" t="e">
        <f ca="1">_xll.BDH($C$153,"SHORT_AND_LONG_TERM_DEBT","FQ2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175" s="3" t="e">
        <f ca="1">_xll.BDH($C$153,"BS_ST_BORROW","FQ2 2018","FQ2 2018","Currency=INR","Period=FQ","BEST_FPERIOD_OVERRIDE=FQ","FILING_STATUS=OR","EQY_CONSOLIDATED=Y","SCALING_FORMAT=MLN","Sort=A","Dates=H","DateFormat=P","Fill=—","Direction=H","UseDPDF=Y")</f>
        <v>#NAME?</v>
      </c>
      <c r="CA175" s="3" t="e">
        <f ca="1">_xll.BDH($C$153,"BS_LT_BORROW","FQ2 2018","FQ2 2018","Currency=INR","Period=FQ","BEST_FPERIOD_OVERRIDE=FQ","FILING_STATUS=OR","EQY_CONSOLIDATED=Y","SCALING_FORMAT=MLN","Sort=A","Dates=H","DateFormat=P","Fill=—","Direction=H","UseDPDF=Y")</f>
        <v>#NAME?</v>
      </c>
      <c r="CB175" s="2" t="e">
        <f ca="1">_xll.BDH($C$153,"TOT_DEBT_TO_EBITDA","FQ2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175" s="2" t="e">
        <f ca="1">_xll.BDH($C$153,"NET_DEBT_TO_EBITDA","FQ2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175" s="2" t="e">
        <f ca="1">_xll.BDH($C$153,"TOTAL_DEBT_TO_EBIT","FQ2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175" s="2" t="e">
        <f ca="1">_xll.BDH($C$153,"NET_DEBT_TO_EBIT","FQ2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175" s="2" t="e">
        <f ca="1">_xll.BDH($C$153,"EBITDA_TO_INTEREST_EXPN","FQ2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175" s="2" t="e">
        <f ca="1">_xll.BDH($C$153,"COM_EQY_TO_TOT_ASSET","FQ2 2018","FQ2 2018","Currency=INR","Period=FQ","BEST_FPERIOD_OVERRIDE=FQ","FILING_STATUS=OR","EQY_CONSOLIDATED=Y","Sort=A","Dates=H","DateFormat=P","Fill=—","Direction=H","UseDPDF=Y")</f>
        <v>#NAME?</v>
      </c>
      <c r="CH175" s="2" t="e">
        <f ca="1">_xll.BDH($C$153,"LT_DEBT_TO_TOT_EQY","FQ2 2018","FQ2 2018","Currency=INR","Period=FQ","BEST_FPERIOD_OVERRIDE=FQ","FILING_STATUS=OR","EQY_CONSOLIDATED=Y","Sort=A","Dates=H","DateFormat=P","Fill=—","Direction=H","UseDPDF=Y")</f>
        <v>#NAME?</v>
      </c>
      <c r="CI175" s="2" t="e">
        <f ca="1">_xll.BDH($C$153,"LT_DEBT_TO_TOT_CAP","FQ2 2018","FQ2 2018","Currency=INR","Period=FQ","BEST_FPERIOD_OVERRIDE=FQ","FILING_STATUS=OR","EQY_CONSOLIDATED=Y","Sort=A","Dates=H","DateFormat=P","Fill=—","Direction=H","UseDPDF=Y")</f>
        <v>#NAME?</v>
      </c>
      <c r="CJ175" s="2" t="e">
        <f ca="1">_xll.BDH($C$153,"LT_DEBT_TO_TOT_ASSET","FQ2 2018","FQ2 2018","Currency=INR","Period=FQ","BEST_FPERIOD_OVERRIDE=FQ","FILING_STATUS=OR","EQY_CONSOLIDATED=Y","Sort=A","Dates=H","DateFormat=P","Fill=—","Direction=H","UseDPDF=Y")</f>
        <v>#NAME?</v>
      </c>
      <c r="CK175" s="2" t="e">
        <f ca="1">_xll.BDH($C$153,"TOT_DEBT_TO_TOT_EQY","FQ2 2018","FQ2 2018","Currency=INR","Period=FQ","BEST_FPERIOD_OVERRIDE=FQ","FILING_STATUS=OR","EQY_CONSOLIDATED=Y","Sort=A","Dates=H","DateFormat=P","Fill=—","Direction=H","UseDPDF=Y")</f>
        <v>#NAME?</v>
      </c>
      <c r="CL175" s="2" t="e">
        <f ca="1">_xll.BDH($C$153,"TOT_DEBT_TO_TOT_CAP","FQ2 2018","FQ2 2018","Currency=INR","Period=FQ","BEST_FPERIOD_OVERRIDE=FQ","FILING_STATUS=OR","EQY_CONSOLIDATED=Y","Sort=A","Dates=H","DateFormat=P","Fill=—","Direction=H","UseDPDF=Y")</f>
        <v>#NAME?</v>
      </c>
      <c r="CM175" s="2" t="e">
        <f ca="1">_xll.BDH($C$153,"TOT_DEBT_TO_TOT_ASSET","FQ2 2018","FQ2 2018","Currency=INR","Period=FQ","BEST_FPERIOD_OVERRIDE=FQ","FILING_STATUS=OR","EQY_CONSOLIDATED=Y","Sort=A","Dates=H","DateFormat=P","Fill=—","Direction=H","UseDPDF=Y")</f>
        <v>#NAME?</v>
      </c>
      <c r="CN175" s="2" t="e">
        <f ca="1">_xll.BDH($C$153,"NET_DEBT_TO_SHRHLDR_EQTY","FQ2 2018","FQ2 2018","Currency=INR","Period=FQ","BEST_FPERIOD_OVERRIDE=FQ","FILING_STATUS=OR","EQY_CONSOLIDATED=Y","Sort=A","Dates=H","DateFormat=P","Fill=—","Direction=H","UseDPDF=Y")</f>
        <v>#NAME?</v>
      </c>
      <c r="CO175" s="2" t="e">
        <f ca="1">_xll.BDH($C$153,"NET_DEBT_%_CAPITAL","FQ2 2018","FQ2 2018","Currency=INR","Period=FQ","BEST_FPERIOD_OVERRIDE=FQ","FILING_STATUS=OR","EQY_CONSOLIDATED=Y","Sort=A","Dates=H","DateFormat=P","Fill=—","Direction=H","UseDPDF=Y")</f>
        <v>#NAME?</v>
      </c>
      <c r="CP175" s="3" t="e">
        <f ca="1">_xll.BDH($C$153,"EBITDA","FQ2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175" s="3" t="e">
        <f ca="1">_xll.BDH($C$153,"EBITDA_AFTER_CAPEX","FQ2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175" s="3" t="e">
        <f ca="1">_xll.BDH($C$153,"IS_OPER_INC","FQ2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175" s="2" t="e">
        <f ca="1">_xll.BDH($C$153,"CASH_RATIO","FQ2 2018","FQ2 2018","Currency=INR","Period=FQ","BEST_FPERIOD_OVERRIDE=FQ","FILING_STATUS=OR","EQY_CONSOLIDATED=Y","Sort=A","Dates=H","DateFormat=P","Fill=—","Direction=H","UseDPDF=Y")</f>
        <v>#NAME?</v>
      </c>
      <c r="CT175" s="2" t="e">
        <f ca="1">_xll.BDH($C$153,"CUR_RATIO","FQ2 2018","FQ2 2018","Currency=INR","Period=FQ","BEST_FPERIOD_OVERRIDE=FQ","FILING_STATUS=OR","EQY_CONSOLIDATED=Y","Sort=A","Dates=H","DateFormat=P","Fill=—","Direction=H","UseDPDF=Y")</f>
        <v>#NAME?</v>
      </c>
      <c r="CU175" s="2" t="e">
        <f ca="1">_xll.BDH($C$153,"QUICK_RATIO","FQ2 2018","FQ2 2018","Currency=INR","Period=FQ","BEST_FPERIOD_OVERRIDE=FQ","FILING_STATUS=OR","EQY_CONSOLIDATED=Y","Sort=A","Dates=H","DateFormat=P","Fill=—","Direction=H","UseDPDF=Y")</f>
        <v>#NAME?</v>
      </c>
      <c r="CV175" s="2" t="e">
        <f ca="1">_xll.BDH($C$153,"ALTMAN_Z_SCORE","FQ2 2018","FQ2 2018","Currency=INR","Period=FQ","BEST_FPERIOD_OVERRIDE=FQ","FILING_STATUS=OR","EQY_CONSOLIDATED=Y","Sort=A","Dates=H","DateFormat=P","Fill=—","Direction=H","UseDPDF=Y")</f>
        <v>#NAME?</v>
      </c>
      <c r="CW175" s="4" t="e">
        <f ca="1">_xll.BDH($C$153,"ACCT_RCV_TURN","FQ2 2018","FQ2 2018","Currency=INR","Period=FQ","BEST_FPERIOD_OVERRIDE=FQ","FILING_STATUS=OR","EQY_CONSOLIDATED=Y","FA_ADJUSTED=GAAP","Sort=A","Dates=H","DateFormat=P","Fill=—","Direction=H","UseDPDF=Y")</f>
        <v>#NAME?</v>
      </c>
      <c r="CX175" s="2" t="e">
        <f ca="1">_xll.BDH($C$153,"ACCT_RCV_DAYS","FQ2 2018","FQ2 2018","Currency=INR","Period=FQ","BEST_FPERIOD_OVERRIDE=FQ","FILING_STATUS=OR","EQY_CONSOLIDATED=Y","FA_ADJUSTED=GAAP","Sort=A","Dates=H","DateFormat=P","Fill=—","Direction=H","UseDPDF=Y")</f>
        <v>#NAME?</v>
      </c>
      <c r="CY175" s="4" t="e">
        <f ca="1">_xll.BDH($C$153,"INVENT_TURN","FQ2 2018","FQ2 2018","Currency=INR","Period=FQ","BEST_FPERIOD_OVERRIDE=FQ","FILING_STATUS=OR","EQY_CONSOLIDATED=Y","FA_ADJUSTED=GAAP","Sort=A","Dates=H","DateFormat=P","Fill=—","Direction=H","UseDPDF=Y")</f>
        <v>#NAME?</v>
      </c>
      <c r="CZ175" s="2" t="e">
        <f ca="1">_xll.BDH($C$153,"INVENT_DAYS","FQ2 2018","FQ2 2018","Currency=INR","Period=FQ","BEST_FPERIOD_OVERRIDE=FQ","FILING_STATUS=OR","EQY_CONSOLIDATED=Y","FA_ADJUSTED=GAAP","Sort=A","Dates=H","DateFormat=P","Fill=—","Direction=H","UseDPDF=Y")</f>
        <v>#NAME?</v>
      </c>
      <c r="DA175" s="4" t="e">
        <f ca="1">_xll.BDH($C$153,"ACCOUNTS_PAYABLE_TURNOVER","FQ2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175" s="2" t="e">
        <f ca="1">_xll.BDH($C$153,"ACCOUNTS_PAYABLE_TURNOVER_DAYS","FQ2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175" s="4" t="e">
        <f ca="1">_xll.BDH($C$153,"CASH_CONVERSION_CYCLE","FQ2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175" s="4" t="e">
        <f ca="1">_xll.BDH($C$153,"INV_TO_CASH_DAYS","FQ2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175" s="5" t="e">
        <f ca="1">_xll.BDH($C$153,"BS_INVENTORIES","FQ2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175" s="3" t="e">
        <f ca="1">_xll.BDH($C$153,"INVTRY_RAW_MATERIALS","FQ2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175" s="3" t="e">
        <f ca="1">_xll.BDH($C$153,"INVTRY_IN_PROGRESS","FQ2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175" s="3" t="e">
        <f ca="1">_xll.BDH($C$153,"INVTRY_FINISHED_GOODS","FQ2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175" s="3" t="e">
        <f ca="1">_xll.BDH($C$153,"BS_OTHER_INV","FQ2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176" spans="1:113" x14ac:dyDescent="0.3">
      <c r="A176" s="6"/>
      <c r="B176" s="6"/>
      <c r="C176" s="6"/>
      <c r="D176" s="6"/>
      <c r="E176" t="s">
        <v>80</v>
      </c>
      <c r="F176" t="e">
        <f ca="1">_xll.BDH($C$153,"RETURN_COM_EQY","FQ3 2018","FQ3 2018","Currency=INR","Period=FQ","BEST_FPERIOD_OVERRIDE=FQ","FILING_STATUS=OR","EQY_CONSOLIDATED=Y","FA_ADJUSTED=GAAP","Sort=A","Dates=H","DateFormat=P","Fill=—","Direction=H","UseDPDF=Y")</f>
        <v>#NAME?</v>
      </c>
      <c r="G176" t="e">
        <f ca="1">_xll.BDH($C$153,"RETURN_ON_ASSET","FQ3 2018","FQ3 2018","Currency=INR","Period=FQ","BEST_FPERIOD_OVERRIDE=FQ","FILING_STATUS=OR","EQY_CONSOLIDATED=Y","FA_ADJUSTED=GAAP","Sort=A","Dates=H","DateFormat=P","Fill=—","Direction=H","UseDPDF=Y")</f>
        <v>#NAME?</v>
      </c>
      <c r="H176" t="e">
        <f ca="1">_xll.BDH($C$153,"RETURN_ON_CAP","FQ3 2018","FQ3 2018","Currency=INR","Period=FQ","BEST_FPERIOD_OVERRIDE=FQ","FILING_STATUS=OR","EQY_CONSOLIDATED=Y","FA_ADJUSTED=GAAP","Sort=A","Dates=H","DateFormat=P","Fill=—","Direction=H","UseDPDF=Y")</f>
        <v>#NAME?</v>
      </c>
      <c r="I176" t="e">
        <f ca="1">_xll.BDH($C$153,"RETURN_ON_INV_CAPITAL","FQ3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176" t="e">
        <f ca="1">_xll.BDH($C$153,"EBITDA_TO_REVENUE","FQ3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176" t="e">
        <f ca="1">_xll.BDH($C$153,"OPER_MARGIN","FQ3 2018","FQ3 2018","Currency=INR","Period=FQ","BEST_FPERIOD_OVERRIDE=FQ","FILING_STATUS=OR","EQY_CONSOLIDATED=Y","FA_ADJUSTED=GAAP","Sort=A","Dates=H","DateFormat=P","Fill=—","Direction=H","UseDPDF=Y")</f>
        <v>#NAME?</v>
      </c>
      <c r="L176" t="e">
        <f ca="1">_xll.BDH($C$153,"INCREMENTAL_OPERATING_MARGIN","FQ3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176" t="e">
        <f ca="1">_xll.BDH($C$153,"PRETAX_INC_TO_NET_SALES","FQ3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176" t="e">
        <f ca="1">_xll.BDH($C$153,"INC_BEF_XO_ITEMS_TO_NET_SALES","FQ3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176" t="e">
        <f ca="1">_xll.BDH($C$153,"PROF_MARGIN","FQ3 2018","FQ3 2018","Currency=INR","Period=FQ","BEST_FPERIOD_OVERRIDE=FQ","FILING_STATUS=OR","EQY_CONSOLIDATED=Y","FA_ADJUSTED=GAAP","Sort=A","Dates=H","DateFormat=P","Fill=—","Direction=H","UseDPDF=Y")</f>
        <v>#NAME?</v>
      </c>
      <c r="P176" t="e">
        <f ca="1">_xll.BDH($C$153,"NET_INCOME_TO_COMMON_MARGIN","FQ3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176" t="e">
        <f ca="1">_xll.BDH($C$153,"EFF_TAX_RATE","FQ3 2018","FQ3 2018","Currency=INR","Period=FQ","BEST_FPERIOD_OVERRIDE=FQ","FILING_STATUS=OR","EQY_CONSOLIDATED=Y","FA_ADJUSTED=GAAP","Sort=A","Dates=H","DateFormat=P","Fill=—","Direction=H","UseDPDF=Y")</f>
        <v>#NAME?</v>
      </c>
      <c r="R176" t="e">
        <f ca="1">_xll.BDH($C$153,"DVD_PAYOUT_RATIO","FQ3 2018","FQ3 2018","Currency=INR","Period=FQ","BEST_FPERIOD_OVERRIDE=FQ","FILING_STATUS=OR","EQY_CONSOLIDATED=Y","FA_ADJUSTED=GAAP","Sort=A","Dates=H","DateFormat=P","Fill=—","Direction=H","UseDPDF=Y")</f>
        <v>#NAME?</v>
      </c>
      <c r="S176" t="e">
        <f ca="1">_xll.BDH($C$153,"SUSTAIN_GROWTH_RT","FQ3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176" s="2" t="e">
        <f ca="1">_xll.BDH($C$153,"SALES_GROWTH","FQ3 2018","FQ3 2018","Currency=INR","Period=FQ","BEST_FPERIOD_OVERRIDE=FQ","FILING_STATUS=OR","EQY_CONSOLIDATED=Y","FA_ADJUSTED=GAAP","Sort=A","Dates=H","DateFormat=P","Fill=—","Direction=H","UseDPDF=Y")</f>
        <v>#NAME?</v>
      </c>
      <c r="U176" s="2" t="e">
        <f ca="1">_xll.BDH($C$153,"EBITDA_GROWTH","FQ3 2018","FQ3 2018","Currency=INR","Period=FQ","BEST_FPERIOD_OVERRIDE=FQ","FILING_STATUS=OR","EQY_CONSOLIDATED=Y","FA_ADJUSTED=GAAP","Sort=A","Dates=H","DateFormat=P","Fill=—","Direction=H","UseDPDF=Y")</f>
        <v>#NAME?</v>
      </c>
      <c r="V176" s="2" t="e">
        <f ca="1">_xll.BDH($C$153,"OPER_INC_GROWTH","FQ3 2018","FQ3 2018","Currency=INR","Period=FQ","BEST_FPERIOD_OVERRIDE=FQ","FILING_STATUS=OR","EQY_CONSOLIDATED=Y","FA_ADJUSTED=GAAP","Sort=A","Dates=H","DateFormat=P","Fill=—","Direction=H","UseDPDF=Y")</f>
        <v>#NAME?</v>
      </c>
      <c r="W176" s="2" t="e">
        <f ca="1">_xll.BDH($C$153,"EARN_FOR_COM_GROWTH","FQ3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176" s="2" t="e">
        <f ca="1">_xll.BDH($C$153,"DILUTED_EPS_AFT_XO_ITEMS_GROWTH","FQ3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176" s="2" t="e">
        <f ca="1">_xll.BDH($C$153,"DIVIDEND_PER_SHARE_1_YEAR_GROWTH","FQ3 2018","FQ3 2018","Currency=INR","Period=FQ","BEST_FPERIOD_OVERRIDE=FQ","FILING_STATUS=OR","EQY_CONSOLIDATED=Y","Sort=A","Dates=H","DateFormat=P","Fill=—","Direction=H","UseDPDF=Y")</f>
        <v>#NAME?</v>
      </c>
      <c r="Z176" s="2" t="e">
        <f ca="1">_xll.BDH($C$153,"ACCOUNTS_RECEIVABLE_GROWTH","FQ3 2018","FQ3 2018","Currency=INR","Period=FQ","BEST_FPERIOD_OVERRIDE=FQ","FILING_STATUS=OR","EQY_CONSOLIDATED=Y","Sort=A","Dates=H","DateFormat=P","Fill=—","Direction=H","UseDPDF=Y")</f>
        <v>#NAME?</v>
      </c>
      <c r="AA176" s="2" t="e">
        <f ca="1">_xll.BDH($C$153,"INVENTORY_GROWTH","FQ3 2018","FQ3 2018","Currency=INR","Period=FQ","BEST_FPERIOD_OVERRIDE=FQ","FILING_STATUS=OR","EQY_CONSOLIDATED=Y","Sort=A","Dates=H","DateFormat=P","Fill=—","Direction=H","UseDPDF=Y")</f>
        <v>#NAME?</v>
      </c>
      <c r="AB176" s="2" t="e">
        <f ca="1">_xll.BDH($C$153,"NET_FIXED_ASSETS_1_YEAR_GROWTH","FQ3 2018","FQ3 2018","Currency=INR","Period=FQ","BEST_FPERIOD_OVERRIDE=FQ","FILING_STATUS=OR","EQY_CONSOLIDATED=Y","Sort=A","Dates=H","DateFormat=P","Fill=—","Direction=H","UseDPDF=Y")</f>
        <v>#NAME?</v>
      </c>
      <c r="AC176" s="2" t="e">
        <f ca="1">_xll.BDH($C$153,"ASSET_GROWTH","FQ3 2018","FQ3 2018","Currency=INR","Period=FQ","BEST_FPERIOD_OVERRIDE=FQ","FILING_STATUS=OR","EQY_CONSOLIDATED=Y","Sort=A","Dates=H","DateFormat=P","Fill=—","Direction=H","UseDPDF=Y")</f>
        <v>#NAME?</v>
      </c>
      <c r="AD176" s="2" t="e">
        <f ca="1">_xll.BDH($C$153,"MODIFIED_WORK_CAP_GROWTH","FQ3 2018","FQ3 2018","Currency=INR","Period=FQ","BEST_FPERIOD_OVERRIDE=FQ","FILING_STATUS=OR","EQY_CONSOLIDATED=Y","Sort=A","Dates=H","DateFormat=P","Fill=—","Direction=H","UseDPDF=Y")</f>
        <v>#NAME?</v>
      </c>
      <c r="AE176" s="2" t="e">
        <f ca="1">_xll.BDH($C$153,"WORK_CAP_GROWTH","FQ3 2018","FQ3 2018","Currency=INR","Period=FQ","BEST_FPERIOD_OVERRIDE=FQ","FILING_STATUS=OR","EQY_CONSOLIDATED=Y","Sort=A","Dates=H","DateFormat=P","Fill=—","Direction=H","UseDPDF=Y")</f>
        <v>#NAME?</v>
      </c>
      <c r="AF176" s="2" t="e">
        <f ca="1">_xll.BDH($C$153,"ACCOUNTS_PAYABLE_GROWTH_1YR","FQ3 2018","FQ3 2018","Currency=INR","Period=FQ","BEST_FPERIOD_OVERRIDE=FQ","FILING_STATUS=OR","EQY_CONSOLIDATED=Y","Sort=A","Dates=H","DateFormat=P","Fill=—","Direction=H","UseDPDF=Y")</f>
        <v>#NAME?</v>
      </c>
      <c r="AG176" s="2" t="e">
        <f ca="1">_xll.BDH($C$153,"SHORT_TERM_DEBT_1_YEAR_GROWTH","FQ3 2018","FQ3 2018","Currency=INR","Period=FQ","BEST_FPERIOD_OVERRIDE=FQ","FILING_STATUS=OR","EQY_CONSOLIDATED=Y","Sort=A","Dates=H","DateFormat=P","Fill=—","Direction=H","UseDPDF=Y")</f>
        <v>#NAME?</v>
      </c>
      <c r="AH176" s="2" t="e">
        <f ca="1">_xll.BDH($C$153,"TOTAL_DEBT_1_YEAR_GROWTH","FQ3 2018","FQ3 2018","Currency=INR","Period=FQ","BEST_FPERIOD_OVERRIDE=FQ","FILING_STATUS=OR","EQY_CONSOLIDATED=Y","Sort=A","Dates=H","DateFormat=P","Fill=—","Direction=H","UseDPDF=Y")</f>
        <v>#NAME?</v>
      </c>
      <c r="AI176" s="2" t="e">
        <f ca="1">_xll.BDH($C$153,"TOTAL_EQUITY_1_YEAR_GROWTH","FQ3 2018","FQ3 2018","Currency=INR","Period=FQ","BEST_FPERIOD_OVERRIDE=FQ","FILING_STATUS=OR","EQY_CONSOLIDATED=Y","Sort=A","Dates=H","DateFormat=P","Fill=—","Direction=H","UseDPDF=Y")</f>
        <v>#NAME?</v>
      </c>
      <c r="AJ176" s="2" t="e">
        <f ca="1">_xll.BDH($C$153,"GROWTH_IN_CAP","FQ3 2018","FQ3 2018","Currency=INR","Period=FQ","BEST_FPERIOD_OVERRIDE=FQ","FILING_STATUS=OR","EQY_CONSOLIDATED=Y","Sort=A","Dates=H","DateFormat=P","Fill=—","Direction=H","UseDPDF=Y")</f>
        <v>#NAME?</v>
      </c>
      <c r="AK176" s="2" t="e">
        <f ca="1">_xll.BDH($C$153,"BVPS_GROWTH","FQ3 2018","FQ3 2018","Currency=INR","Period=FQ","BEST_FPERIOD_OVERRIDE=FQ","FILING_STATUS=OR","EQY_CONSOLIDATED=Y","Sort=A","Dates=H","DateFormat=P","Fill=—","Direction=H","UseDPDF=Y")</f>
        <v>#NAME?</v>
      </c>
      <c r="AL176" s="2" t="e">
        <f ca="1">_xll.BDH($C$153,"CASH_FLOW_GROWTH","FQ3 2018","FQ3 2018","Currency=INR","Period=FQ","BEST_FPERIOD_OVERRIDE=FQ","FILING_STATUS=OR","EQY_CONSOLIDATED=Y","Sort=A","Dates=H","DateFormat=P","Fill=—","Direction=H","UseDPDF=Y")</f>
        <v>#NAME?</v>
      </c>
      <c r="AM176" s="2" t="e">
        <f ca="1">_xll.BDH($C$153,"GEO_GROW_NET_SALES","FQ3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176" s="2" t="e">
        <f ca="1">_xll.BDH($C$153,"GEO_GROW_EBITDA","FQ3 2018","FQ3 2018","Currency=INR","Period=FQ","BEST_FPERIOD_OVERRIDE=FQ","FILING_STATUS=OR","EQY_CONSOLIDATED=Y","FA_ADJUSTED=GAAP","Sort=A","Dates=H","DateFormat=P","Fill=—","Direction=H","UseDPDF=Y")</f>
        <v>#NAME?</v>
      </c>
      <c r="AO176" s="2" t="e">
        <f ca="1">_xll.BDH($C$153,"GEO_GROW_OPER_INC","FQ3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176" s="2" t="e">
        <f ca="1">_xll.BDH($C$153,"NET_INCOME_TO_COMMON_5_YR_GROWTH","FQ3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176" s="2" t="e">
        <f ca="1">_xll.BDH($C$153,"5Y_GEO_GROWTH_DILUTED_EPS","FQ3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176" s="2" t="e">
        <f ca="1">_xll.BDH($C$153,"GEO_GROW_DVD_PER_SH","FQ3 2018","FQ3 2018","Currency=INR","Period=FQ","BEST_FPERIOD_OVERRIDE=FQ","FILING_STATUS=OR","EQY_CONSOLIDATED=Y","Sort=A","Dates=H","DateFormat=P","Fill=—","Direction=H","UseDPDF=Y")</f>
        <v>#NAME?</v>
      </c>
      <c r="AS176" s="2" t="e">
        <f ca="1">_xll.BDH($C$153,"ACCOUNTS_RECEIVABLE_5_YR_GROWTH","FQ3 2018","FQ3 2018","Currency=INR","Period=FQ","BEST_FPERIOD_OVERRIDE=FQ","FILING_STATUS=OR","EQY_CONSOLIDATED=Y","Sort=A","Dates=H","DateFormat=P","Fill=—","Direction=H","UseDPDF=Y")</f>
        <v>#NAME?</v>
      </c>
      <c r="AT176" s="2" t="e">
        <f ca="1">_xll.BDH($C$153,"INVENTORY_5_YEAR_GROWTH","FQ3 2018","FQ3 2018","Currency=INR","Period=FQ","BEST_FPERIOD_OVERRIDE=FQ","FILING_STATUS=OR","EQY_CONSOLIDATED=Y","Sort=A","Dates=H","DateFormat=P","Fill=—","Direction=H","UseDPDF=Y")</f>
        <v>#NAME?</v>
      </c>
      <c r="AU176" s="2" t="e">
        <f ca="1">_xll.BDH($C$153,"NET_FIXED_ASSETS_5_YEAR_GROWTH","FQ3 2018","FQ3 2018","Currency=INR","Period=FQ","BEST_FPERIOD_OVERRIDE=FQ","FILING_STATUS=OR","EQY_CONSOLIDATED=Y","Sort=A","Dates=H","DateFormat=P","Fill=—","Direction=H","UseDPDF=Y")</f>
        <v>#NAME?</v>
      </c>
      <c r="AV176" s="2" t="e">
        <f ca="1">_xll.BDH($C$153,"GEO_GROW_TOT_ASSET","FQ3 2018","FQ3 2018","Currency=INR","Period=FQ","BEST_FPERIOD_OVERRIDE=FQ","FILING_STATUS=OR","EQY_CONSOLIDATED=Y","Sort=A","Dates=H","DateFormat=P","Fill=—","Direction=H","UseDPDF=Y")</f>
        <v>#NAME?</v>
      </c>
      <c r="AW176" s="2" t="e">
        <f ca="1">_xll.BDH($C$153,"MODIFIED_WORKING_CPTL_5YR_GRWTH","FQ3 2018","FQ3 2018","Currency=INR","Period=FQ","BEST_FPERIOD_OVERRIDE=FQ","FILING_STATUS=OR","EQY_CONSOLIDATED=Y","Sort=A","Dates=H","DateFormat=P","Fill=—","Direction=H","UseDPDF=Y")</f>
        <v>#NAME?</v>
      </c>
      <c r="AX176" s="2" t="e">
        <f ca="1">_xll.BDH($C$153,"WORKING_CAPITAL_5_YEAR_GROWTH","FQ3 2018","FQ3 2018","Currency=INR","Period=FQ","BEST_FPERIOD_OVERRIDE=FQ","FILING_STATUS=OR","EQY_CONSOLIDATED=Y","Sort=A","Dates=H","DateFormat=P","Fill=—","Direction=H","UseDPDF=Y")</f>
        <v>#NAME?</v>
      </c>
      <c r="AY176" s="2" t="e">
        <f ca="1">_xll.BDH($C$153,"ACCOUNTS_PAYABLE_5_YEAR_GROWTH","FQ3 2018","FQ3 2018","Currency=INR","Period=FQ","BEST_FPERIOD_OVERRIDE=FQ","FILING_STATUS=OR","EQY_CONSOLIDATED=Y","Sort=A","Dates=H","DateFormat=P","Fill=—","Direction=H","UseDPDF=Y")</f>
        <v>#NAME?</v>
      </c>
      <c r="AZ176" s="2" t="e">
        <f ca="1">_xll.BDH($C$153,"SHORT_TERM_DEBT_5_YEAR_GROWTH","FQ3 2018","FQ3 2018","Currency=INR","Period=FQ","BEST_FPERIOD_OVERRIDE=FQ","FILING_STATUS=OR","EQY_CONSOLIDATED=Y","Sort=A","Dates=H","DateFormat=P","Fill=—","Direction=H","UseDPDF=Y")</f>
        <v>#NAME?</v>
      </c>
      <c r="BA176" s="2" t="e">
        <f ca="1">_xll.BDH($C$153,"TOTAL_DEBT_5_YEAR_GROWTH","FQ3 2018","FQ3 2018","Currency=INR","Period=FQ","BEST_FPERIOD_OVERRIDE=FQ","FILING_STATUS=OR","EQY_CONSOLIDATED=Y","Sort=A","Dates=H","DateFormat=P","Fill=—","Direction=H","UseDPDF=Y")</f>
        <v>#NAME?</v>
      </c>
      <c r="BB176" s="2" t="e">
        <f ca="1">_xll.BDH($C$153,"GEO_GROW_TOT_SHRHLDR_EQY","FQ3 2018","FQ3 2018","Currency=INR","Period=FQ","BEST_FPERIOD_OVERRIDE=FQ","FILING_STATUS=OR","EQY_CONSOLIDATED=Y","Sort=A","Dates=H","DateFormat=P","Fill=—","Direction=H","UseDPDF=Y")</f>
        <v>#NAME?</v>
      </c>
      <c r="BC176" s="2" t="e">
        <f ca="1">_xll.BDH($C$153,"TOTAL_CAPITAL_5_YEAR_GROWTH","FQ3 2018","FQ3 2018","Currency=INR","Period=FQ","BEST_FPERIOD_OVERRIDE=FQ","FILING_STATUS=OR","EQY_CONSOLIDATED=Y","Sort=A","Dates=H","DateFormat=P","Fill=—","Direction=H","UseDPDF=Y")</f>
        <v>#NAME?</v>
      </c>
      <c r="BD176" s="2" t="e">
        <f ca="1">_xll.BDH($C$153,"GEO_GROW_BOOK_VAL","FQ3 2018","FQ3 2018","Currency=INR","Period=FQ","BEST_FPERIOD_OVERRIDE=FQ","FILING_STATUS=OR","EQY_CONSOLIDATED=Y","Sort=A","Dates=H","DateFormat=P","Fill=—","Direction=H","UseDPDF=Y")</f>
        <v>#NAME?</v>
      </c>
      <c r="BE176" s="2" t="e">
        <f ca="1">_xll.BDH($C$153,"GEO_GROW_CASH_OPER_ACT","FQ3 2018","FQ3 2018","Currency=INR","Period=FQ","BEST_FPERIOD_OVERRIDE=FQ","FILING_STATUS=OR","EQY_CONSOLIDATED=Y","Sort=A","Dates=H","DateFormat=P","Fill=—","Direction=H","UseDPDF=Y")</f>
        <v>#NAME?</v>
      </c>
      <c r="BF176" s="2" t="e">
        <f ca="1">_xll.BDH($C$153,"REVENUE_SEQUENTIAL_GROWTH","FQ3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176" s="2" t="e">
        <f ca="1">_xll.BDH($C$153,"EBITDA_SEQUENTIAL_GROWTH","FQ3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176" s="2" t="e">
        <f ca="1">_xll.BDH($C$153,"OPERATING_INCOME_SEQ_GROWTH","FQ3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176" s="2" t="e">
        <f ca="1">_xll.BDH($C$153,"NET_INCOME_TO_COMMON_SEQ_GROWTH","FQ3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176" s="2" t="e">
        <f ca="1">_xll.BDH($C$153,"EPS_DILUTED_SEQUENTIAL_GROWTH","FQ3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176" s="2" t="e">
        <f ca="1">_xll.BDH($C$153,"DPS_SEQUENTIAL_GROWTH","FQ3 2018","FQ3 2018","Currency=INR","Period=FQ","BEST_FPERIOD_OVERRIDE=FQ","FILING_STATUS=OR","EQY_CONSOLIDATED=Y","Sort=A","Dates=H","DateFormat=P","Fill=—","Direction=H","UseDPDF=Y")</f>
        <v>#NAME?</v>
      </c>
      <c r="BL176" s="2" t="e">
        <f ca="1">_xll.BDH($C$153,"ACCOUNTS_RECEIVABLE_SEQ_GROWTH","FQ3 2018","FQ3 2018","Currency=INR","Period=FQ","BEST_FPERIOD_OVERRIDE=FQ","FILING_STATUS=OR","EQY_CONSOLIDATED=Y","Sort=A","Dates=H","DateFormat=P","Fill=—","Direction=H","UseDPDF=Y")</f>
        <v>#NAME?</v>
      </c>
      <c r="BM176" s="2" t="e">
        <f ca="1">_xll.BDH($C$153,"INVENTORY_SEQUENTIAL_GROWTH","FQ3 2018","FQ3 2018","Currency=INR","Period=FQ","BEST_FPERIOD_OVERRIDE=FQ","FILING_STATUS=OR","EQY_CONSOLIDATED=Y","Sort=A","Dates=H","DateFormat=P","Fill=—","Direction=H","UseDPDF=Y")</f>
        <v>#NAME?</v>
      </c>
      <c r="BN176" s="2" t="e">
        <f ca="1">_xll.BDH($C$153,"FIXED_ASSETS_SEQUENTIAL_GROWTH","FQ3 2018","FQ3 2018","Currency=INR","Period=FQ","BEST_FPERIOD_OVERRIDE=FQ","FILING_STATUS=OR","EQY_CONSOLIDATED=Y","Sort=A","Dates=H","DateFormat=P","Fill=—","Direction=H","UseDPDF=Y")</f>
        <v>#NAME?</v>
      </c>
      <c r="BO176" s="2" t="e">
        <f ca="1">_xll.BDH($C$153,"TOTAL_ASSETS_SEQUENTIAL_GROWTH","FQ3 2018","FQ3 2018","Currency=INR","Period=FQ","BEST_FPERIOD_OVERRIDE=FQ","FILING_STATUS=OR","EQY_CONSOLIDATED=Y","Sort=A","Dates=H","DateFormat=P","Fill=—","Direction=H","UseDPDF=Y")</f>
        <v>#NAME?</v>
      </c>
      <c r="BP176" s="2" t="e">
        <f ca="1">_xll.BDH($C$153,"MODIFIED_WORKING_CPTL_SEQ_GRWTH","FQ3 2018","FQ3 2018","Currency=INR","Period=FQ","BEST_FPERIOD_OVERRIDE=FQ","FILING_STATUS=OR","EQY_CONSOLIDATED=Y","Sort=A","Dates=H","DateFormat=P","Fill=—","Direction=H","UseDPDF=Y")</f>
        <v>#NAME?</v>
      </c>
      <c r="BQ176" s="2" t="e">
        <f ca="1">_xll.BDH($C$153,"WORKING_CAPITAL_SEQ_GROWTH","FQ3 2018","FQ3 2018","Currency=INR","Period=FQ","BEST_FPERIOD_OVERRIDE=FQ","FILING_STATUS=OR","EQY_CONSOLIDATED=Y","Sort=A","Dates=H","DateFormat=P","Fill=—","Direction=H","UseDPDF=Y")</f>
        <v>#NAME?</v>
      </c>
      <c r="BR176" s="2" t="e">
        <f ca="1">_xll.BDH($C$153,"ACCOUNTS_PAYABLE_SEQ_GROWTH","FQ3 2018","FQ3 2018","Currency=INR","Period=FQ","BEST_FPERIOD_OVERRIDE=FQ","FILING_STATUS=OR","EQY_CONSOLIDATED=Y","Sort=A","Dates=H","DateFormat=P","Fill=—","Direction=H","UseDPDF=Y")</f>
        <v>#NAME?</v>
      </c>
      <c r="BS176" s="2" t="e">
        <f ca="1">_xll.BDH($C$153,"ST_DEBT_SEQUENTIAL_GROWTH","FQ3 2018","FQ3 2018","Currency=INR","Period=FQ","BEST_FPERIOD_OVERRIDE=FQ","FILING_STATUS=OR","EQY_CONSOLIDATED=Y","Sort=A","Dates=H","DateFormat=P","Fill=—","Direction=H","UseDPDF=Y")</f>
        <v>#NAME?</v>
      </c>
      <c r="BT176" s="2" t="e">
        <f ca="1">_xll.BDH($C$153,"TOTAL_DEBT_SEQUENTIAL_GROWTH","FQ3 2018","FQ3 2018","Currency=INR","Period=FQ","BEST_FPERIOD_OVERRIDE=FQ","FILING_STATUS=OR","EQY_CONSOLIDATED=Y","Sort=A","Dates=H","DateFormat=P","Fill=—","Direction=H","UseDPDF=Y")</f>
        <v>#NAME?</v>
      </c>
      <c r="BU176" s="2" t="e">
        <f ca="1">_xll.BDH($C$153,"TOTAL_EQUITY_SEQUENTIAL_GROWTH","FQ3 2018","FQ3 2018","Currency=INR","Period=FQ","BEST_FPERIOD_OVERRIDE=FQ","FILING_STATUS=OR","EQY_CONSOLIDATED=Y","Sort=A","Dates=H","DateFormat=P","Fill=—","Direction=H","UseDPDF=Y")</f>
        <v>#NAME?</v>
      </c>
      <c r="BV176" s="2" t="e">
        <f ca="1">_xll.BDH($C$153,"TOTAL_CAPITAL_SEQUENTIAL_GROWTH","FQ3 2018","FQ3 2018","Currency=INR","Period=FQ","BEST_FPERIOD_OVERRIDE=FQ","FILING_STATUS=OR","EQY_CONSOLIDATED=Y","Sort=A","Dates=H","DateFormat=P","Fill=—","Direction=H","UseDPDF=Y")</f>
        <v>#NAME?</v>
      </c>
      <c r="BW176" s="2" t="e">
        <f ca="1">_xll.BDH($C$153,"BPS_SEQUENTIAL_GROWTH","FQ3 2018","FQ3 2018","Currency=INR","Period=FQ","BEST_FPERIOD_OVERRIDE=FQ","FILING_STATUS=OR","EQY_CONSOLIDATED=Y","Sort=A","Dates=H","DateFormat=P","Fill=—","Direction=H","UseDPDF=Y")</f>
        <v>#NAME?</v>
      </c>
      <c r="BX176" s="2" t="e">
        <f ca="1">_xll.BDH($C$153,"CFO_SEQUENTIAL_GROWTH","FQ3 2018","FQ3 2018","Currency=INR","Period=FQ","BEST_FPERIOD_OVERRIDE=FQ","FILING_STATUS=OR","EQY_CONSOLIDATED=Y","Sort=A","Dates=H","DateFormat=P","Fill=—","Direction=H","UseDPDF=Y")</f>
        <v>#NAME?</v>
      </c>
      <c r="BY176" s="3" t="e">
        <f ca="1">_xll.BDH($C$153,"SHORT_AND_LONG_TERM_DEBT","FQ3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176" s="3" t="e">
        <f ca="1">_xll.BDH($C$153,"BS_ST_BORROW","FQ3 2018","FQ3 2018","Currency=INR","Period=FQ","BEST_FPERIOD_OVERRIDE=FQ","FILING_STATUS=OR","EQY_CONSOLIDATED=Y","SCALING_FORMAT=MLN","Sort=A","Dates=H","DateFormat=P","Fill=—","Direction=H","UseDPDF=Y")</f>
        <v>#NAME?</v>
      </c>
      <c r="CA176" s="3" t="e">
        <f ca="1">_xll.BDH($C$153,"BS_LT_BORROW","FQ3 2018","FQ3 2018","Currency=INR","Period=FQ","BEST_FPERIOD_OVERRIDE=FQ","FILING_STATUS=OR","EQY_CONSOLIDATED=Y","SCALING_FORMAT=MLN","Sort=A","Dates=H","DateFormat=P","Fill=—","Direction=H","UseDPDF=Y")</f>
        <v>#NAME?</v>
      </c>
      <c r="CB176" s="2" t="e">
        <f ca="1">_xll.BDH($C$153,"TOT_DEBT_TO_EBITDA","FQ3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176" s="2" t="e">
        <f ca="1">_xll.BDH($C$153,"NET_DEBT_TO_EBITDA","FQ3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176" s="2" t="e">
        <f ca="1">_xll.BDH($C$153,"TOTAL_DEBT_TO_EBIT","FQ3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176" s="2" t="e">
        <f ca="1">_xll.BDH($C$153,"NET_DEBT_TO_EBIT","FQ3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176" s="2" t="e">
        <f ca="1">_xll.BDH($C$153,"EBITDA_TO_INTEREST_EXPN","FQ3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176" s="2" t="e">
        <f ca="1">_xll.BDH($C$153,"COM_EQY_TO_TOT_ASSET","FQ3 2018","FQ3 2018","Currency=INR","Period=FQ","BEST_FPERIOD_OVERRIDE=FQ","FILING_STATUS=OR","EQY_CONSOLIDATED=Y","Sort=A","Dates=H","DateFormat=P","Fill=—","Direction=H","UseDPDF=Y")</f>
        <v>#NAME?</v>
      </c>
      <c r="CH176" s="2" t="e">
        <f ca="1">_xll.BDH($C$153,"LT_DEBT_TO_TOT_EQY","FQ3 2018","FQ3 2018","Currency=INR","Period=FQ","BEST_FPERIOD_OVERRIDE=FQ","FILING_STATUS=OR","EQY_CONSOLIDATED=Y","Sort=A","Dates=H","DateFormat=P","Fill=—","Direction=H","UseDPDF=Y")</f>
        <v>#NAME?</v>
      </c>
      <c r="CI176" s="2" t="e">
        <f ca="1">_xll.BDH($C$153,"LT_DEBT_TO_TOT_CAP","FQ3 2018","FQ3 2018","Currency=INR","Period=FQ","BEST_FPERIOD_OVERRIDE=FQ","FILING_STATUS=OR","EQY_CONSOLIDATED=Y","Sort=A","Dates=H","DateFormat=P","Fill=—","Direction=H","UseDPDF=Y")</f>
        <v>#NAME?</v>
      </c>
      <c r="CJ176" s="2" t="e">
        <f ca="1">_xll.BDH($C$153,"LT_DEBT_TO_TOT_ASSET","FQ3 2018","FQ3 2018","Currency=INR","Period=FQ","BEST_FPERIOD_OVERRIDE=FQ","FILING_STATUS=OR","EQY_CONSOLIDATED=Y","Sort=A","Dates=H","DateFormat=P","Fill=—","Direction=H","UseDPDF=Y")</f>
        <v>#NAME?</v>
      </c>
      <c r="CK176" s="2" t="e">
        <f ca="1">_xll.BDH($C$153,"TOT_DEBT_TO_TOT_EQY","FQ3 2018","FQ3 2018","Currency=INR","Period=FQ","BEST_FPERIOD_OVERRIDE=FQ","FILING_STATUS=OR","EQY_CONSOLIDATED=Y","Sort=A","Dates=H","DateFormat=P","Fill=—","Direction=H","UseDPDF=Y")</f>
        <v>#NAME?</v>
      </c>
      <c r="CL176" s="2" t="e">
        <f ca="1">_xll.BDH($C$153,"TOT_DEBT_TO_TOT_CAP","FQ3 2018","FQ3 2018","Currency=INR","Period=FQ","BEST_FPERIOD_OVERRIDE=FQ","FILING_STATUS=OR","EQY_CONSOLIDATED=Y","Sort=A","Dates=H","DateFormat=P","Fill=—","Direction=H","UseDPDF=Y")</f>
        <v>#NAME?</v>
      </c>
      <c r="CM176" s="2" t="e">
        <f ca="1">_xll.BDH($C$153,"TOT_DEBT_TO_TOT_ASSET","FQ3 2018","FQ3 2018","Currency=INR","Period=FQ","BEST_FPERIOD_OVERRIDE=FQ","FILING_STATUS=OR","EQY_CONSOLIDATED=Y","Sort=A","Dates=H","DateFormat=P","Fill=—","Direction=H","UseDPDF=Y")</f>
        <v>#NAME?</v>
      </c>
      <c r="CN176" s="2" t="e">
        <f ca="1">_xll.BDH($C$153,"NET_DEBT_TO_SHRHLDR_EQTY","FQ3 2018","FQ3 2018","Currency=INR","Period=FQ","BEST_FPERIOD_OVERRIDE=FQ","FILING_STATUS=OR","EQY_CONSOLIDATED=Y","Sort=A","Dates=H","DateFormat=P","Fill=—","Direction=H","UseDPDF=Y")</f>
        <v>#NAME?</v>
      </c>
      <c r="CO176" s="2" t="e">
        <f ca="1">_xll.BDH($C$153,"NET_DEBT_%_CAPITAL","FQ3 2018","FQ3 2018","Currency=INR","Period=FQ","BEST_FPERIOD_OVERRIDE=FQ","FILING_STATUS=OR","EQY_CONSOLIDATED=Y","Sort=A","Dates=H","DateFormat=P","Fill=—","Direction=H","UseDPDF=Y")</f>
        <v>#NAME?</v>
      </c>
      <c r="CP176" s="3" t="e">
        <f ca="1">_xll.BDH($C$153,"EBITDA","FQ3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176" s="3" t="e">
        <f ca="1">_xll.BDH($C$153,"EBITDA_AFTER_CAPEX","FQ3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176" s="3" t="e">
        <f ca="1">_xll.BDH($C$153,"IS_OPER_INC","FQ3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176" s="2" t="e">
        <f ca="1">_xll.BDH($C$153,"CASH_RATIO","FQ3 2018","FQ3 2018","Currency=INR","Period=FQ","BEST_FPERIOD_OVERRIDE=FQ","FILING_STATUS=OR","EQY_CONSOLIDATED=Y","Sort=A","Dates=H","DateFormat=P","Fill=—","Direction=H","UseDPDF=Y")</f>
        <v>#NAME?</v>
      </c>
      <c r="CT176" s="2" t="e">
        <f ca="1">_xll.BDH($C$153,"CUR_RATIO","FQ3 2018","FQ3 2018","Currency=INR","Period=FQ","BEST_FPERIOD_OVERRIDE=FQ","FILING_STATUS=OR","EQY_CONSOLIDATED=Y","Sort=A","Dates=H","DateFormat=P","Fill=—","Direction=H","UseDPDF=Y")</f>
        <v>#NAME?</v>
      </c>
      <c r="CU176" s="2" t="e">
        <f ca="1">_xll.BDH($C$153,"QUICK_RATIO","FQ3 2018","FQ3 2018","Currency=INR","Period=FQ","BEST_FPERIOD_OVERRIDE=FQ","FILING_STATUS=OR","EQY_CONSOLIDATED=Y","Sort=A","Dates=H","DateFormat=P","Fill=—","Direction=H","UseDPDF=Y")</f>
        <v>#NAME?</v>
      </c>
      <c r="CV176" s="2" t="e">
        <f ca="1">_xll.BDH($C$153,"ALTMAN_Z_SCORE","FQ3 2018","FQ3 2018","Currency=INR","Period=FQ","BEST_FPERIOD_OVERRIDE=FQ","FILING_STATUS=OR","EQY_CONSOLIDATED=Y","Sort=A","Dates=H","DateFormat=P","Fill=—","Direction=H","UseDPDF=Y")</f>
        <v>#NAME?</v>
      </c>
      <c r="CW176" s="4" t="e">
        <f ca="1">_xll.BDH($C$153,"ACCT_RCV_TURN","FQ3 2018","FQ3 2018","Currency=INR","Period=FQ","BEST_FPERIOD_OVERRIDE=FQ","FILING_STATUS=OR","EQY_CONSOLIDATED=Y","FA_ADJUSTED=GAAP","Sort=A","Dates=H","DateFormat=P","Fill=—","Direction=H","UseDPDF=Y")</f>
        <v>#NAME?</v>
      </c>
      <c r="CX176" s="2" t="e">
        <f ca="1">_xll.BDH($C$153,"ACCT_RCV_DAYS","FQ3 2018","FQ3 2018","Currency=INR","Period=FQ","BEST_FPERIOD_OVERRIDE=FQ","FILING_STATUS=OR","EQY_CONSOLIDATED=Y","FA_ADJUSTED=GAAP","Sort=A","Dates=H","DateFormat=P","Fill=—","Direction=H","UseDPDF=Y")</f>
        <v>#NAME?</v>
      </c>
      <c r="CY176" s="4" t="e">
        <f ca="1">_xll.BDH($C$153,"INVENT_TURN","FQ3 2018","FQ3 2018","Currency=INR","Period=FQ","BEST_FPERIOD_OVERRIDE=FQ","FILING_STATUS=OR","EQY_CONSOLIDATED=Y","FA_ADJUSTED=GAAP","Sort=A","Dates=H","DateFormat=P","Fill=—","Direction=H","UseDPDF=Y")</f>
        <v>#NAME?</v>
      </c>
      <c r="CZ176" s="2" t="e">
        <f ca="1">_xll.BDH($C$153,"INVENT_DAYS","FQ3 2018","FQ3 2018","Currency=INR","Period=FQ","BEST_FPERIOD_OVERRIDE=FQ","FILING_STATUS=OR","EQY_CONSOLIDATED=Y","FA_ADJUSTED=GAAP","Sort=A","Dates=H","DateFormat=P","Fill=—","Direction=H","UseDPDF=Y")</f>
        <v>#NAME?</v>
      </c>
      <c r="DA176" s="4" t="e">
        <f ca="1">_xll.BDH($C$153,"ACCOUNTS_PAYABLE_TURNOVER","FQ3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176" s="2" t="e">
        <f ca="1">_xll.BDH($C$153,"ACCOUNTS_PAYABLE_TURNOVER_DAYS","FQ3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176" s="4" t="e">
        <f ca="1">_xll.BDH($C$153,"CASH_CONVERSION_CYCLE","FQ3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176" s="4" t="e">
        <f ca="1">_xll.BDH($C$153,"INV_TO_CASH_DAYS","FQ3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176" s="5" t="e">
        <f ca="1">_xll.BDH($C$153,"BS_INVENTORIES","FQ3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176" s="3" t="e">
        <f ca="1">_xll.BDH($C$153,"INVTRY_RAW_MATERIALS","FQ3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176" s="3" t="e">
        <f ca="1">_xll.BDH($C$153,"INVTRY_IN_PROGRESS","FQ3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176" s="3" t="e">
        <f ca="1">_xll.BDH($C$153,"INVTRY_FINISHED_GOODS","FQ3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176" s="3" t="e">
        <f ca="1">_xll.BDH($C$153,"BS_OTHER_INV","FQ3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177" spans="1:113" x14ac:dyDescent="0.3">
      <c r="A177" s="6"/>
      <c r="B177" s="6"/>
      <c r="C177" s="6"/>
      <c r="D177" s="6"/>
      <c r="E177" t="s">
        <v>81</v>
      </c>
      <c r="F177" t="e">
        <f ca="1">_xll.BDH($C$153,"RETURN_COM_EQY","FQ4 2018","FQ4 2018","Currency=INR","Period=FQ","BEST_FPERIOD_OVERRIDE=FQ","FILING_STATUS=OR","EQY_CONSOLIDATED=Y","FA_ADJUSTED=GAAP","Sort=A","Dates=H","DateFormat=P","Fill=—","Direction=H","UseDPDF=Y")</f>
        <v>#NAME?</v>
      </c>
      <c r="G177" t="e">
        <f ca="1">_xll.BDH($C$153,"RETURN_ON_ASSET","FQ4 2018","FQ4 2018","Currency=INR","Period=FQ","BEST_FPERIOD_OVERRIDE=FQ","FILING_STATUS=OR","EQY_CONSOLIDATED=Y","FA_ADJUSTED=GAAP","Sort=A","Dates=H","DateFormat=P","Fill=—","Direction=H","UseDPDF=Y")</f>
        <v>#NAME?</v>
      </c>
      <c r="H177" t="e">
        <f ca="1">_xll.BDH($C$153,"RETURN_ON_CAP","FQ4 2018","FQ4 2018","Currency=INR","Period=FQ","BEST_FPERIOD_OVERRIDE=FQ","FILING_STATUS=OR","EQY_CONSOLIDATED=Y","FA_ADJUSTED=GAAP","Sort=A","Dates=H","DateFormat=P","Fill=—","Direction=H","UseDPDF=Y")</f>
        <v>#NAME?</v>
      </c>
      <c r="I177" t="e">
        <f ca="1">_xll.BDH($C$153,"RETURN_ON_INV_CAPITAL","FQ4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177" t="e">
        <f ca="1">_xll.BDH($C$153,"EBITDA_TO_REVENUE","FQ4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177" t="e">
        <f ca="1">_xll.BDH($C$153,"OPER_MARGIN","FQ4 2018","FQ4 2018","Currency=INR","Period=FQ","BEST_FPERIOD_OVERRIDE=FQ","FILING_STATUS=OR","EQY_CONSOLIDATED=Y","FA_ADJUSTED=GAAP","Sort=A","Dates=H","DateFormat=P","Fill=—","Direction=H","UseDPDF=Y")</f>
        <v>#NAME?</v>
      </c>
      <c r="L177" t="e">
        <f ca="1">_xll.BDH($C$153,"INCREMENTAL_OPERATING_MARGIN","FQ4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177" t="e">
        <f ca="1">_xll.BDH($C$153,"PRETAX_INC_TO_NET_SALES","FQ4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177" t="e">
        <f ca="1">_xll.BDH($C$153,"INC_BEF_XO_ITEMS_TO_NET_SALES","FQ4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177" t="e">
        <f ca="1">_xll.BDH($C$153,"PROF_MARGIN","FQ4 2018","FQ4 2018","Currency=INR","Period=FQ","BEST_FPERIOD_OVERRIDE=FQ","FILING_STATUS=OR","EQY_CONSOLIDATED=Y","FA_ADJUSTED=GAAP","Sort=A","Dates=H","DateFormat=P","Fill=—","Direction=H","UseDPDF=Y")</f>
        <v>#NAME?</v>
      </c>
      <c r="P177" t="e">
        <f ca="1">_xll.BDH($C$153,"NET_INCOME_TO_COMMON_MARGIN","FQ4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177" t="e">
        <f ca="1">_xll.BDH($C$153,"EFF_TAX_RATE","FQ4 2018","FQ4 2018","Currency=INR","Period=FQ","BEST_FPERIOD_OVERRIDE=FQ","FILING_STATUS=OR","EQY_CONSOLIDATED=Y","FA_ADJUSTED=GAAP","Sort=A","Dates=H","DateFormat=P","Fill=—","Direction=H","UseDPDF=Y")</f>
        <v>#NAME?</v>
      </c>
      <c r="R177" t="e">
        <f ca="1">_xll.BDH($C$153,"DVD_PAYOUT_RATIO","FQ4 2018","FQ4 2018","Currency=INR","Period=FQ","BEST_FPERIOD_OVERRIDE=FQ","FILING_STATUS=OR","EQY_CONSOLIDATED=Y","FA_ADJUSTED=GAAP","Sort=A","Dates=H","DateFormat=P","Fill=—","Direction=H","UseDPDF=Y")</f>
        <v>#NAME?</v>
      </c>
      <c r="S177" t="e">
        <f ca="1">_xll.BDH($C$153,"SUSTAIN_GROWTH_RT","FQ4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177" s="2" t="e">
        <f ca="1">_xll.BDH($C$153,"SALES_GROWTH","FQ4 2018","FQ4 2018","Currency=INR","Period=FQ","BEST_FPERIOD_OVERRIDE=FQ","FILING_STATUS=OR","EQY_CONSOLIDATED=Y","FA_ADJUSTED=GAAP","Sort=A","Dates=H","DateFormat=P","Fill=—","Direction=H","UseDPDF=Y")</f>
        <v>#NAME?</v>
      </c>
      <c r="U177" s="2" t="e">
        <f ca="1">_xll.BDH($C$153,"EBITDA_GROWTH","FQ4 2018","FQ4 2018","Currency=INR","Period=FQ","BEST_FPERIOD_OVERRIDE=FQ","FILING_STATUS=OR","EQY_CONSOLIDATED=Y","FA_ADJUSTED=GAAP","Sort=A","Dates=H","DateFormat=P","Fill=—","Direction=H","UseDPDF=Y")</f>
        <v>#NAME?</v>
      </c>
      <c r="V177" s="2" t="e">
        <f ca="1">_xll.BDH($C$153,"OPER_INC_GROWTH","FQ4 2018","FQ4 2018","Currency=INR","Period=FQ","BEST_FPERIOD_OVERRIDE=FQ","FILING_STATUS=OR","EQY_CONSOLIDATED=Y","FA_ADJUSTED=GAAP","Sort=A","Dates=H","DateFormat=P","Fill=—","Direction=H","UseDPDF=Y")</f>
        <v>#NAME?</v>
      </c>
      <c r="W177" s="2" t="e">
        <f ca="1">_xll.BDH($C$153,"EARN_FOR_COM_GROWTH","FQ4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177" s="2" t="e">
        <f ca="1">_xll.BDH($C$153,"DILUTED_EPS_AFT_XO_ITEMS_GROWTH","FQ4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177" s="2" t="e">
        <f ca="1">_xll.BDH($C$153,"DIVIDEND_PER_SHARE_1_YEAR_GROWTH","FQ4 2018","FQ4 2018","Currency=INR","Period=FQ","BEST_FPERIOD_OVERRIDE=FQ","FILING_STATUS=OR","EQY_CONSOLIDATED=Y","Sort=A","Dates=H","DateFormat=P","Fill=—","Direction=H","UseDPDF=Y")</f>
        <v>#NAME?</v>
      </c>
      <c r="Z177" s="2" t="e">
        <f ca="1">_xll.BDH($C$153,"ACCOUNTS_RECEIVABLE_GROWTH","FQ4 2018","FQ4 2018","Currency=INR","Period=FQ","BEST_FPERIOD_OVERRIDE=FQ","FILING_STATUS=OR","EQY_CONSOLIDATED=Y","Sort=A","Dates=H","DateFormat=P","Fill=—","Direction=H","UseDPDF=Y")</f>
        <v>#NAME?</v>
      </c>
      <c r="AA177" s="2" t="e">
        <f ca="1">_xll.BDH($C$153,"INVENTORY_GROWTH","FQ4 2018","FQ4 2018","Currency=INR","Period=FQ","BEST_FPERIOD_OVERRIDE=FQ","FILING_STATUS=OR","EQY_CONSOLIDATED=Y","Sort=A","Dates=H","DateFormat=P","Fill=—","Direction=H","UseDPDF=Y")</f>
        <v>#NAME?</v>
      </c>
      <c r="AB177" s="2" t="e">
        <f ca="1">_xll.BDH($C$153,"NET_FIXED_ASSETS_1_YEAR_GROWTH","FQ4 2018","FQ4 2018","Currency=INR","Period=FQ","BEST_FPERIOD_OVERRIDE=FQ","FILING_STATUS=OR","EQY_CONSOLIDATED=Y","Sort=A","Dates=H","DateFormat=P","Fill=—","Direction=H","UseDPDF=Y")</f>
        <v>#NAME?</v>
      </c>
      <c r="AC177" s="2" t="e">
        <f ca="1">_xll.BDH($C$153,"ASSET_GROWTH","FQ4 2018","FQ4 2018","Currency=INR","Period=FQ","BEST_FPERIOD_OVERRIDE=FQ","FILING_STATUS=OR","EQY_CONSOLIDATED=Y","Sort=A","Dates=H","DateFormat=P","Fill=—","Direction=H","UseDPDF=Y")</f>
        <v>#NAME?</v>
      </c>
      <c r="AD177" s="2" t="e">
        <f ca="1">_xll.BDH($C$153,"MODIFIED_WORK_CAP_GROWTH","FQ4 2018","FQ4 2018","Currency=INR","Period=FQ","BEST_FPERIOD_OVERRIDE=FQ","FILING_STATUS=OR","EQY_CONSOLIDATED=Y","Sort=A","Dates=H","DateFormat=P","Fill=—","Direction=H","UseDPDF=Y")</f>
        <v>#NAME?</v>
      </c>
      <c r="AE177" s="2" t="e">
        <f ca="1">_xll.BDH($C$153,"WORK_CAP_GROWTH","FQ4 2018","FQ4 2018","Currency=INR","Period=FQ","BEST_FPERIOD_OVERRIDE=FQ","FILING_STATUS=OR","EQY_CONSOLIDATED=Y","Sort=A","Dates=H","DateFormat=P","Fill=—","Direction=H","UseDPDF=Y")</f>
        <v>#NAME?</v>
      </c>
      <c r="AF177" s="2" t="e">
        <f ca="1">_xll.BDH($C$153,"ACCOUNTS_PAYABLE_GROWTH_1YR","FQ4 2018","FQ4 2018","Currency=INR","Period=FQ","BEST_FPERIOD_OVERRIDE=FQ","FILING_STATUS=OR","EQY_CONSOLIDATED=Y","Sort=A","Dates=H","DateFormat=P","Fill=—","Direction=H","UseDPDF=Y")</f>
        <v>#NAME?</v>
      </c>
      <c r="AG177" s="2" t="e">
        <f ca="1">_xll.BDH($C$153,"SHORT_TERM_DEBT_1_YEAR_GROWTH","FQ4 2018","FQ4 2018","Currency=INR","Period=FQ","BEST_FPERIOD_OVERRIDE=FQ","FILING_STATUS=OR","EQY_CONSOLIDATED=Y","Sort=A","Dates=H","DateFormat=P","Fill=—","Direction=H","UseDPDF=Y")</f>
        <v>#NAME?</v>
      </c>
      <c r="AH177" s="2" t="e">
        <f ca="1">_xll.BDH($C$153,"TOTAL_DEBT_1_YEAR_GROWTH","FQ4 2018","FQ4 2018","Currency=INR","Period=FQ","BEST_FPERIOD_OVERRIDE=FQ","FILING_STATUS=OR","EQY_CONSOLIDATED=Y","Sort=A","Dates=H","DateFormat=P","Fill=—","Direction=H","UseDPDF=Y")</f>
        <v>#NAME?</v>
      </c>
      <c r="AI177" s="2" t="e">
        <f ca="1">_xll.BDH($C$153,"TOTAL_EQUITY_1_YEAR_GROWTH","FQ4 2018","FQ4 2018","Currency=INR","Period=FQ","BEST_FPERIOD_OVERRIDE=FQ","FILING_STATUS=OR","EQY_CONSOLIDATED=Y","Sort=A","Dates=H","DateFormat=P","Fill=—","Direction=H","UseDPDF=Y")</f>
        <v>#NAME?</v>
      </c>
      <c r="AJ177" s="2" t="e">
        <f ca="1">_xll.BDH($C$153,"GROWTH_IN_CAP","FQ4 2018","FQ4 2018","Currency=INR","Period=FQ","BEST_FPERIOD_OVERRIDE=FQ","FILING_STATUS=OR","EQY_CONSOLIDATED=Y","Sort=A","Dates=H","DateFormat=P","Fill=—","Direction=H","UseDPDF=Y")</f>
        <v>#NAME?</v>
      </c>
      <c r="AK177" s="2" t="e">
        <f ca="1">_xll.BDH($C$153,"BVPS_GROWTH","FQ4 2018","FQ4 2018","Currency=INR","Period=FQ","BEST_FPERIOD_OVERRIDE=FQ","FILING_STATUS=OR","EQY_CONSOLIDATED=Y","Sort=A","Dates=H","DateFormat=P","Fill=—","Direction=H","UseDPDF=Y")</f>
        <v>#NAME?</v>
      </c>
      <c r="AL177" s="2" t="e">
        <f ca="1">_xll.BDH($C$153,"CASH_FLOW_GROWTH","FQ4 2018","FQ4 2018","Currency=INR","Period=FQ","BEST_FPERIOD_OVERRIDE=FQ","FILING_STATUS=OR","EQY_CONSOLIDATED=Y","Sort=A","Dates=H","DateFormat=P","Fill=—","Direction=H","UseDPDF=Y")</f>
        <v>#NAME?</v>
      </c>
      <c r="AM177" s="2" t="e">
        <f ca="1">_xll.BDH($C$153,"GEO_GROW_NET_SALES","FQ4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177" s="2" t="e">
        <f ca="1">_xll.BDH($C$153,"GEO_GROW_EBITDA","FQ4 2018","FQ4 2018","Currency=INR","Period=FQ","BEST_FPERIOD_OVERRIDE=FQ","FILING_STATUS=OR","EQY_CONSOLIDATED=Y","FA_ADJUSTED=GAAP","Sort=A","Dates=H","DateFormat=P","Fill=—","Direction=H","UseDPDF=Y")</f>
        <v>#NAME?</v>
      </c>
      <c r="AO177" s="2" t="e">
        <f ca="1">_xll.BDH($C$153,"GEO_GROW_OPER_INC","FQ4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177" s="2" t="e">
        <f ca="1">_xll.BDH($C$153,"NET_INCOME_TO_COMMON_5_YR_GROWTH","FQ4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177" s="2" t="e">
        <f ca="1">_xll.BDH($C$153,"5Y_GEO_GROWTH_DILUTED_EPS","FQ4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177" s="2" t="e">
        <f ca="1">_xll.BDH($C$153,"GEO_GROW_DVD_PER_SH","FQ4 2018","FQ4 2018","Currency=INR","Period=FQ","BEST_FPERIOD_OVERRIDE=FQ","FILING_STATUS=OR","EQY_CONSOLIDATED=Y","Sort=A","Dates=H","DateFormat=P","Fill=—","Direction=H","UseDPDF=Y")</f>
        <v>#NAME?</v>
      </c>
      <c r="AS177" s="2" t="e">
        <f ca="1">_xll.BDH($C$153,"ACCOUNTS_RECEIVABLE_5_YR_GROWTH","FQ4 2018","FQ4 2018","Currency=INR","Period=FQ","BEST_FPERIOD_OVERRIDE=FQ","FILING_STATUS=OR","EQY_CONSOLIDATED=Y","Sort=A","Dates=H","DateFormat=P","Fill=—","Direction=H","UseDPDF=Y")</f>
        <v>#NAME?</v>
      </c>
      <c r="AT177" s="2" t="e">
        <f ca="1">_xll.BDH($C$153,"INVENTORY_5_YEAR_GROWTH","FQ4 2018","FQ4 2018","Currency=INR","Period=FQ","BEST_FPERIOD_OVERRIDE=FQ","FILING_STATUS=OR","EQY_CONSOLIDATED=Y","Sort=A","Dates=H","DateFormat=P","Fill=—","Direction=H","UseDPDF=Y")</f>
        <v>#NAME?</v>
      </c>
      <c r="AU177" s="2" t="e">
        <f ca="1">_xll.BDH($C$153,"NET_FIXED_ASSETS_5_YEAR_GROWTH","FQ4 2018","FQ4 2018","Currency=INR","Period=FQ","BEST_FPERIOD_OVERRIDE=FQ","FILING_STATUS=OR","EQY_CONSOLIDATED=Y","Sort=A","Dates=H","DateFormat=P","Fill=—","Direction=H","UseDPDF=Y")</f>
        <v>#NAME?</v>
      </c>
      <c r="AV177" s="2" t="e">
        <f ca="1">_xll.BDH($C$153,"GEO_GROW_TOT_ASSET","FQ4 2018","FQ4 2018","Currency=INR","Period=FQ","BEST_FPERIOD_OVERRIDE=FQ","FILING_STATUS=OR","EQY_CONSOLIDATED=Y","Sort=A","Dates=H","DateFormat=P","Fill=—","Direction=H","UseDPDF=Y")</f>
        <v>#NAME?</v>
      </c>
      <c r="AW177" s="2" t="e">
        <f ca="1">_xll.BDH($C$153,"MODIFIED_WORKING_CPTL_5YR_GRWTH","FQ4 2018","FQ4 2018","Currency=INR","Period=FQ","BEST_FPERIOD_OVERRIDE=FQ","FILING_STATUS=OR","EQY_CONSOLIDATED=Y","Sort=A","Dates=H","DateFormat=P","Fill=—","Direction=H","UseDPDF=Y")</f>
        <v>#NAME?</v>
      </c>
      <c r="AX177" s="2" t="e">
        <f ca="1">_xll.BDH($C$153,"WORKING_CAPITAL_5_YEAR_GROWTH","FQ4 2018","FQ4 2018","Currency=INR","Period=FQ","BEST_FPERIOD_OVERRIDE=FQ","FILING_STATUS=OR","EQY_CONSOLIDATED=Y","Sort=A","Dates=H","DateFormat=P","Fill=—","Direction=H","UseDPDF=Y")</f>
        <v>#NAME?</v>
      </c>
      <c r="AY177" s="2" t="e">
        <f ca="1">_xll.BDH($C$153,"ACCOUNTS_PAYABLE_5_YEAR_GROWTH","FQ4 2018","FQ4 2018","Currency=INR","Period=FQ","BEST_FPERIOD_OVERRIDE=FQ","FILING_STATUS=OR","EQY_CONSOLIDATED=Y","Sort=A","Dates=H","DateFormat=P","Fill=—","Direction=H","UseDPDF=Y")</f>
        <v>#NAME?</v>
      </c>
      <c r="AZ177" s="2" t="e">
        <f ca="1">_xll.BDH($C$153,"SHORT_TERM_DEBT_5_YEAR_GROWTH","FQ4 2018","FQ4 2018","Currency=INR","Period=FQ","BEST_FPERIOD_OVERRIDE=FQ","FILING_STATUS=OR","EQY_CONSOLIDATED=Y","Sort=A","Dates=H","DateFormat=P","Fill=—","Direction=H","UseDPDF=Y")</f>
        <v>#NAME?</v>
      </c>
      <c r="BA177" s="2" t="e">
        <f ca="1">_xll.BDH($C$153,"TOTAL_DEBT_5_YEAR_GROWTH","FQ4 2018","FQ4 2018","Currency=INR","Period=FQ","BEST_FPERIOD_OVERRIDE=FQ","FILING_STATUS=OR","EQY_CONSOLIDATED=Y","Sort=A","Dates=H","DateFormat=P","Fill=—","Direction=H","UseDPDF=Y")</f>
        <v>#NAME?</v>
      </c>
      <c r="BB177" s="2" t="e">
        <f ca="1">_xll.BDH($C$153,"GEO_GROW_TOT_SHRHLDR_EQY","FQ4 2018","FQ4 2018","Currency=INR","Period=FQ","BEST_FPERIOD_OVERRIDE=FQ","FILING_STATUS=OR","EQY_CONSOLIDATED=Y","Sort=A","Dates=H","DateFormat=P","Fill=—","Direction=H","UseDPDF=Y")</f>
        <v>#NAME?</v>
      </c>
      <c r="BC177" s="2" t="e">
        <f ca="1">_xll.BDH($C$153,"TOTAL_CAPITAL_5_YEAR_GROWTH","FQ4 2018","FQ4 2018","Currency=INR","Period=FQ","BEST_FPERIOD_OVERRIDE=FQ","FILING_STATUS=OR","EQY_CONSOLIDATED=Y","Sort=A","Dates=H","DateFormat=P","Fill=—","Direction=H","UseDPDF=Y")</f>
        <v>#NAME?</v>
      </c>
      <c r="BD177" s="2" t="e">
        <f ca="1">_xll.BDH($C$153,"GEO_GROW_BOOK_VAL","FQ4 2018","FQ4 2018","Currency=INR","Period=FQ","BEST_FPERIOD_OVERRIDE=FQ","FILING_STATUS=OR","EQY_CONSOLIDATED=Y","Sort=A","Dates=H","DateFormat=P","Fill=—","Direction=H","UseDPDF=Y")</f>
        <v>#NAME?</v>
      </c>
      <c r="BE177" s="2" t="e">
        <f ca="1">_xll.BDH($C$153,"GEO_GROW_CASH_OPER_ACT","FQ4 2018","FQ4 2018","Currency=INR","Period=FQ","BEST_FPERIOD_OVERRIDE=FQ","FILING_STATUS=OR","EQY_CONSOLIDATED=Y","Sort=A","Dates=H","DateFormat=P","Fill=—","Direction=H","UseDPDF=Y")</f>
        <v>#NAME?</v>
      </c>
      <c r="BF177" s="2" t="e">
        <f ca="1">_xll.BDH($C$153,"REVENUE_SEQUENTIAL_GROWTH","FQ4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177" s="2" t="e">
        <f ca="1">_xll.BDH($C$153,"EBITDA_SEQUENTIAL_GROWTH","FQ4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177" s="2" t="e">
        <f ca="1">_xll.BDH($C$153,"OPERATING_INCOME_SEQ_GROWTH","FQ4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177" s="2" t="e">
        <f ca="1">_xll.BDH($C$153,"NET_INCOME_TO_COMMON_SEQ_GROWTH","FQ4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177" s="2" t="e">
        <f ca="1">_xll.BDH($C$153,"EPS_DILUTED_SEQUENTIAL_GROWTH","FQ4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177" s="2" t="e">
        <f ca="1">_xll.BDH($C$153,"DPS_SEQUENTIAL_GROWTH","FQ4 2018","FQ4 2018","Currency=INR","Period=FQ","BEST_FPERIOD_OVERRIDE=FQ","FILING_STATUS=OR","EQY_CONSOLIDATED=Y","Sort=A","Dates=H","DateFormat=P","Fill=—","Direction=H","UseDPDF=Y")</f>
        <v>#NAME?</v>
      </c>
      <c r="BL177" s="2" t="e">
        <f ca="1">_xll.BDH($C$153,"ACCOUNTS_RECEIVABLE_SEQ_GROWTH","FQ4 2018","FQ4 2018","Currency=INR","Period=FQ","BEST_FPERIOD_OVERRIDE=FQ","FILING_STATUS=OR","EQY_CONSOLIDATED=Y","Sort=A","Dates=H","DateFormat=P","Fill=—","Direction=H","UseDPDF=Y")</f>
        <v>#NAME?</v>
      </c>
      <c r="BM177" s="2" t="e">
        <f ca="1">_xll.BDH($C$153,"INVENTORY_SEQUENTIAL_GROWTH","FQ4 2018","FQ4 2018","Currency=INR","Period=FQ","BEST_FPERIOD_OVERRIDE=FQ","FILING_STATUS=OR","EQY_CONSOLIDATED=Y","Sort=A","Dates=H","DateFormat=P","Fill=—","Direction=H","UseDPDF=Y")</f>
        <v>#NAME?</v>
      </c>
      <c r="BN177" s="2" t="e">
        <f ca="1">_xll.BDH($C$153,"FIXED_ASSETS_SEQUENTIAL_GROWTH","FQ4 2018","FQ4 2018","Currency=INR","Period=FQ","BEST_FPERIOD_OVERRIDE=FQ","FILING_STATUS=OR","EQY_CONSOLIDATED=Y","Sort=A","Dates=H","DateFormat=P","Fill=—","Direction=H","UseDPDF=Y")</f>
        <v>#NAME?</v>
      </c>
      <c r="BO177" s="2" t="e">
        <f ca="1">_xll.BDH($C$153,"TOTAL_ASSETS_SEQUENTIAL_GROWTH","FQ4 2018","FQ4 2018","Currency=INR","Period=FQ","BEST_FPERIOD_OVERRIDE=FQ","FILING_STATUS=OR","EQY_CONSOLIDATED=Y","Sort=A","Dates=H","DateFormat=P","Fill=—","Direction=H","UseDPDF=Y")</f>
        <v>#NAME?</v>
      </c>
      <c r="BP177" s="2" t="e">
        <f ca="1">_xll.BDH($C$153,"MODIFIED_WORKING_CPTL_SEQ_GRWTH","FQ4 2018","FQ4 2018","Currency=INR","Period=FQ","BEST_FPERIOD_OVERRIDE=FQ","FILING_STATUS=OR","EQY_CONSOLIDATED=Y","Sort=A","Dates=H","DateFormat=P","Fill=—","Direction=H","UseDPDF=Y")</f>
        <v>#NAME?</v>
      </c>
      <c r="BQ177" s="2" t="e">
        <f ca="1">_xll.BDH($C$153,"WORKING_CAPITAL_SEQ_GROWTH","FQ4 2018","FQ4 2018","Currency=INR","Period=FQ","BEST_FPERIOD_OVERRIDE=FQ","FILING_STATUS=OR","EQY_CONSOLIDATED=Y","Sort=A","Dates=H","DateFormat=P","Fill=—","Direction=H","UseDPDF=Y")</f>
        <v>#NAME?</v>
      </c>
      <c r="BR177" s="2" t="e">
        <f ca="1">_xll.BDH($C$153,"ACCOUNTS_PAYABLE_SEQ_GROWTH","FQ4 2018","FQ4 2018","Currency=INR","Period=FQ","BEST_FPERIOD_OVERRIDE=FQ","FILING_STATUS=OR","EQY_CONSOLIDATED=Y","Sort=A","Dates=H","DateFormat=P","Fill=—","Direction=H","UseDPDF=Y")</f>
        <v>#NAME?</v>
      </c>
      <c r="BS177" s="2" t="e">
        <f ca="1">_xll.BDH($C$153,"ST_DEBT_SEQUENTIAL_GROWTH","FQ4 2018","FQ4 2018","Currency=INR","Period=FQ","BEST_FPERIOD_OVERRIDE=FQ","FILING_STATUS=OR","EQY_CONSOLIDATED=Y","Sort=A","Dates=H","DateFormat=P","Fill=—","Direction=H","UseDPDF=Y")</f>
        <v>#NAME?</v>
      </c>
      <c r="BT177" s="2" t="e">
        <f ca="1">_xll.BDH($C$153,"TOTAL_DEBT_SEQUENTIAL_GROWTH","FQ4 2018","FQ4 2018","Currency=INR","Period=FQ","BEST_FPERIOD_OVERRIDE=FQ","FILING_STATUS=OR","EQY_CONSOLIDATED=Y","Sort=A","Dates=H","DateFormat=P","Fill=—","Direction=H","UseDPDF=Y")</f>
        <v>#NAME?</v>
      </c>
      <c r="BU177" s="2" t="e">
        <f ca="1">_xll.BDH($C$153,"TOTAL_EQUITY_SEQUENTIAL_GROWTH","FQ4 2018","FQ4 2018","Currency=INR","Period=FQ","BEST_FPERIOD_OVERRIDE=FQ","FILING_STATUS=OR","EQY_CONSOLIDATED=Y","Sort=A","Dates=H","DateFormat=P","Fill=—","Direction=H","UseDPDF=Y")</f>
        <v>#NAME?</v>
      </c>
      <c r="BV177" s="2" t="e">
        <f ca="1">_xll.BDH($C$153,"TOTAL_CAPITAL_SEQUENTIAL_GROWTH","FQ4 2018","FQ4 2018","Currency=INR","Period=FQ","BEST_FPERIOD_OVERRIDE=FQ","FILING_STATUS=OR","EQY_CONSOLIDATED=Y","Sort=A","Dates=H","DateFormat=P","Fill=—","Direction=H","UseDPDF=Y")</f>
        <v>#NAME?</v>
      </c>
      <c r="BW177" s="2" t="e">
        <f ca="1">_xll.BDH($C$153,"BPS_SEQUENTIAL_GROWTH","FQ4 2018","FQ4 2018","Currency=INR","Period=FQ","BEST_FPERIOD_OVERRIDE=FQ","FILING_STATUS=OR","EQY_CONSOLIDATED=Y","Sort=A","Dates=H","DateFormat=P","Fill=—","Direction=H","UseDPDF=Y")</f>
        <v>#NAME?</v>
      </c>
      <c r="BX177" s="2" t="e">
        <f ca="1">_xll.BDH($C$153,"CFO_SEQUENTIAL_GROWTH","FQ4 2018","FQ4 2018","Currency=INR","Period=FQ","BEST_FPERIOD_OVERRIDE=FQ","FILING_STATUS=OR","EQY_CONSOLIDATED=Y","Sort=A","Dates=H","DateFormat=P","Fill=—","Direction=H","UseDPDF=Y")</f>
        <v>#NAME?</v>
      </c>
      <c r="BY177" s="3" t="e">
        <f ca="1">_xll.BDH($C$153,"SHORT_AND_LONG_TERM_DEBT","FQ4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177" s="3" t="e">
        <f ca="1">_xll.BDH($C$153,"BS_ST_BORROW","FQ4 2018","FQ4 2018","Currency=INR","Period=FQ","BEST_FPERIOD_OVERRIDE=FQ","FILING_STATUS=OR","EQY_CONSOLIDATED=Y","SCALING_FORMAT=MLN","Sort=A","Dates=H","DateFormat=P","Fill=—","Direction=H","UseDPDF=Y")</f>
        <v>#NAME?</v>
      </c>
      <c r="CA177" s="3" t="e">
        <f ca="1">_xll.BDH($C$153,"BS_LT_BORROW","FQ4 2018","FQ4 2018","Currency=INR","Period=FQ","BEST_FPERIOD_OVERRIDE=FQ","FILING_STATUS=OR","EQY_CONSOLIDATED=Y","SCALING_FORMAT=MLN","Sort=A","Dates=H","DateFormat=P","Fill=—","Direction=H","UseDPDF=Y")</f>
        <v>#NAME?</v>
      </c>
      <c r="CB177" s="2" t="e">
        <f ca="1">_xll.BDH($C$153,"TOT_DEBT_TO_EBITDA","FQ4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177" s="2" t="e">
        <f ca="1">_xll.BDH($C$153,"NET_DEBT_TO_EBITDA","FQ4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177" s="2" t="e">
        <f ca="1">_xll.BDH($C$153,"TOTAL_DEBT_TO_EBIT","FQ4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177" s="2" t="e">
        <f ca="1">_xll.BDH($C$153,"NET_DEBT_TO_EBIT","FQ4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177" s="2" t="e">
        <f ca="1">_xll.BDH($C$153,"EBITDA_TO_INTEREST_EXPN","FQ4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177" s="2" t="e">
        <f ca="1">_xll.BDH($C$153,"COM_EQY_TO_TOT_ASSET","FQ4 2018","FQ4 2018","Currency=INR","Period=FQ","BEST_FPERIOD_OVERRIDE=FQ","FILING_STATUS=OR","EQY_CONSOLIDATED=Y","Sort=A","Dates=H","DateFormat=P","Fill=—","Direction=H","UseDPDF=Y")</f>
        <v>#NAME?</v>
      </c>
      <c r="CH177" s="2" t="e">
        <f ca="1">_xll.BDH($C$153,"LT_DEBT_TO_TOT_EQY","FQ4 2018","FQ4 2018","Currency=INR","Period=FQ","BEST_FPERIOD_OVERRIDE=FQ","FILING_STATUS=OR","EQY_CONSOLIDATED=Y","Sort=A","Dates=H","DateFormat=P","Fill=—","Direction=H","UseDPDF=Y")</f>
        <v>#NAME?</v>
      </c>
      <c r="CI177" s="2" t="e">
        <f ca="1">_xll.BDH($C$153,"LT_DEBT_TO_TOT_CAP","FQ4 2018","FQ4 2018","Currency=INR","Period=FQ","BEST_FPERIOD_OVERRIDE=FQ","FILING_STATUS=OR","EQY_CONSOLIDATED=Y","Sort=A","Dates=H","DateFormat=P","Fill=—","Direction=H","UseDPDF=Y")</f>
        <v>#NAME?</v>
      </c>
      <c r="CJ177" s="2" t="e">
        <f ca="1">_xll.BDH($C$153,"LT_DEBT_TO_TOT_ASSET","FQ4 2018","FQ4 2018","Currency=INR","Period=FQ","BEST_FPERIOD_OVERRIDE=FQ","FILING_STATUS=OR","EQY_CONSOLIDATED=Y","Sort=A","Dates=H","DateFormat=P","Fill=—","Direction=H","UseDPDF=Y")</f>
        <v>#NAME?</v>
      </c>
      <c r="CK177" s="2" t="e">
        <f ca="1">_xll.BDH($C$153,"TOT_DEBT_TO_TOT_EQY","FQ4 2018","FQ4 2018","Currency=INR","Period=FQ","BEST_FPERIOD_OVERRIDE=FQ","FILING_STATUS=OR","EQY_CONSOLIDATED=Y","Sort=A","Dates=H","DateFormat=P","Fill=—","Direction=H","UseDPDF=Y")</f>
        <v>#NAME?</v>
      </c>
      <c r="CL177" s="2" t="e">
        <f ca="1">_xll.BDH($C$153,"TOT_DEBT_TO_TOT_CAP","FQ4 2018","FQ4 2018","Currency=INR","Period=FQ","BEST_FPERIOD_OVERRIDE=FQ","FILING_STATUS=OR","EQY_CONSOLIDATED=Y","Sort=A","Dates=H","DateFormat=P","Fill=—","Direction=H","UseDPDF=Y")</f>
        <v>#NAME?</v>
      </c>
      <c r="CM177" s="2" t="e">
        <f ca="1">_xll.BDH($C$153,"TOT_DEBT_TO_TOT_ASSET","FQ4 2018","FQ4 2018","Currency=INR","Period=FQ","BEST_FPERIOD_OVERRIDE=FQ","FILING_STATUS=OR","EQY_CONSOLIDATED=Y","Sort=A","Dates=H","DateFormat=P","Fill=—","Direction=H","UseDPDF=Y")</f>
        <v>#NAME?</v>
      </c>
      <c r="CN177" s="2" t="e">
        <f ca="1">_xll.BDH($C$153,"NET_DEBT_TO_SHRHLDR_EQTY","FQ4 2018","FQ4 2018","Currency=INR","Period=FQ","BEST_FPERIOD_OVERRIDE=FQ","FILING_STATUS=OR","EQY_CONSOLIDATED=Y","Sort=A","Dates=H","DateFormat=P","Fill=—","Direction=H","UseDPDF=Y")</f>
        <v>#NAME?</v>
      </c>
      <c r="CO177" s="2" t="e">
        <f ca="1">_xll.BDH($C$153,"NET_DEBT_%_CAPITAL","FQ4 2018","FQ4 2018","Currency=INR","Period=FQ","BEST_FPERIOD_OVERRIDE=FQ","FILING_STATUS=OR","EQY_CONSOLIDATED=Y","Sort=A","Dates=H","DateFormat=P","Fill=—","Direction=H","UseDPDF=Y")</f>
        <v>#NAME?</v>
      </c>
      <c r="CP177" s="3" t="e">
        <f ca="1">_xll.BDH($C$153,"EBITDA","FQ4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177" s="3" t="e">
        <f ca="1">_xll.BDH($C$153,"EBITDA_AFTER_CAPEX","FQ4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177" s="3" t="e">
        <f ca="1">_xll.BDH($C$153,"IS_OPER_INC","FQ4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177" s="2" t="e">
        <f ca="1">_xll.BDH($C$153,"CASH_RATIO","FQ4 2018","FQ4 2018","Currency=INR","Period=FQ","BEST_FPERIOD_OVERRIDE=FQ","FILING_STATUS=OR","EQY_CONSOLIDATED=Y","Sort=A","Dates=H","DateFormat=P","Fill=—","Direction=H","UseDPDF=Y")</f>
        <v>#NAME?</v>
      </c>
      <c r="CT177" s="2" t="e">
        <f ca="1">_xll.BDH($C$153,"CUR_RATIO","FQ4 2018","FQ4 2018","Currency=INR","Period=FQ","BEST_FPERIOD_OVERRIDE=FQ","FILING_STATUS=OR","EQY_CONSOLIDATED=Y","Sort=A","Dates=H","DateFormat=P","Fill=—","Direction=H","UseDPDF=Y")</f>
        <v>#NAME?</v>
      </c>
      <c r="CU177" s="2" t="e">
        <f ca="1">_xll.BDH($C$153,"QUICK_RATIO","FQ4 2018","FQ4 2018","Currency=INR","Period=FQ","BEST_FPERIOD_OVERRIDE=FQ","FILING_STATUS=OR","EQY_CONSOLIDATED=Y","Sort=A","Dates=H","DateFormat=P","Fill=—","Direction=H","UseDPDF=Y")</f>
        <v>#NAME?</v>
      </c>
      <c r="CV177" s="2" t="e">
        <f ca="1">_xll.BDH($C$153,"ALTMAN_Z_SCORE","FQ4 2018","FQ4 2018","Currency=INR","Period=FQ","BEST_FPERIOD_OVERRIDE=FQ","FILING_STATUS=OR","EQY_CONSOLIDATED=Y","Sort=A","Dates=H","DateFormat=P","Fill=—","Direction=H","UseDPDF=Y")</f>
        <v>#NAME?</v>
      </c>
      <c r="CW177" s="4" t="e">
        <f ca="1">_xll.BDH($C$153,"ACCT_RCV_TURN","FQ4 2018","FQ4 2018","Currency=INR","Period=FQ","BEST_FPERIOD_OVERRIDE=FQ","FILING_STATUS=OR","EQY_CONSOLIDATED=Y","FA_ADJUSTED=GAAP","Sort=A","Dates=H","DateFormat=P","Fill=—","Direction=H","UseDPDF=Y")</f>
        <v>#NAME?</v>
      </c>
      <c r="CX177" s="2" t="e">
        <f ca="1">_xll.BDH($C$153,"ACCT_RCV_DAYS","FQ4 2018","FQ4 2018","Currency=INR","Period=FQ","BEST_FPERIOD_OVERRIDE=FQ","FILING_STATUS=OR","EQY_CONSOLIDATED=Y","FA_ADJUSTED=GAAP","Sort=A","Dates=H","DateFormat=P","Fill=—","Direction=H","UseDPDF=Y")</f>
        <v>#NAME?</v>
      </c>
      <c r="CY177" s="4" t="e">
        <f ca="1">_xll.BDH($C$153,"INVENT_TURN","FQ4 2018","FQ4 2018","Currency=INR","Period=FQ","BEST_FPERIOD_OVERRIDE=FQ","FILING_STATUS=OR","EQY_CONSOLIDATED=Y","FA_ADJUSTED=GAAP","Sort=A","Dates=H","DateFormat=P","Fill=—","Direction=H","UseDPDF=Y")</f>
        <v>#NAME?</v>
      </c>
      <c r="CZ177" s="2" t="e">
        <f ca="1">_xll.BDH($C$153,"INVENT_DAYS","FQ4 2018","FQ4 2018","Currency=INR","Period=FQ","BEST_FPERIOD_OVERRIDE=FQ","FILING_STATUS=OR","EQY_CONSOLIDATED=Y","FA_ADJUSTED=GAAP","Sort=A","Dates=H","DateFormat=P","Fill=—","Direction=H","UseDPDF=Y")</f>
        <v>#NAME?</v>
      </c>
      <c r="DA177" s="4" t="e">
        <f ca="1">_xll.BDH($C$153,"ACCOUNTS_PAYABLE_TURNOVER","FQ4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177" s="2" t="e">
        <f ca="1">_xll.BDH($C$153,"ACCOUNTS_PAYABLE_TURNOVER_DAYS","FQ4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177" s="4" t="e">
        <f ca="1">_xll.BDH($C$153,"CASH_CONVERSION_CYCLE","FQ4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177" s="4" t="e">
        <f ca="1">_xll.BDH($C$153,"INV_TO_CASH_DAYS","FQ4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177" s="5" t="e">
        <f ca="1">_xll.BDH($C$153,"BS_INVENTORIES","FQ4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177" s="3" t="e">
        <f ca="1">_xll.BDH($C$153,"INVTRY_RAW_MATERIALS","FQ4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177" s="3" t="e">
        <f ca="1">_xll.BDH($C$153,"INVTRY_IN_PROGRESS","FQ4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177" s="3" t="e">
        <f ca="1">_xll.BDH($C$153,"INVTRY_FINISHED_GOODS","FQ4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177" s="3" t="e">
        <f ca="1">_xll.BDH($C$153,"BS_OTHER_INV","FQ4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178" spans="1:113" x14ac:dyDescent="0.3">
      <c r="A178" s="6">
        <v>83</v>
      </c>
      <c r="B178" s="6" t="s">
        <v>98</v>
      </c>
      <c r="C178" s="6" t="s">
        <v>99</v>
      </c>
      <c r="D178" s="6" t="s">
        <v>76</v>
      </c>
      <c r="E178" t="s">
        <v>77</v>
      </c>
      <c r="F178" t="e">
        <f ca="1">_xll.BDH($C$178,"RETURN_COM_EQY","FY 2014","FY 2014","Currency=INR","Period=FY","BEST_FPERIOD_OVERRIDE=FY","FILING_STATUS=OR","EQY_CONSOLIDATED=Y","FA_ADJUSTED=GAAP","Sort=A","Dates=H","DateFormat=P","Fill=—","Direction=H","UseDPDF=Y")</f>
        <v>#NAME?</v>
      </c>
      <c r="G178" t="e">
        <f ca="1">_xll.BDH($C$178,"RETURN_ON_ASSET","FY 2014","FY 2014","Currency=INR","Period=FY","BEST_FPERIOD_OVERRIDE=FY","FILING_STATUS=OR","EQY_CONSOLIDATED=Y","FA_ADJUSTED=GAAP","Sort=A","Dates=H","DateFormat=P","Fill=—","Direction=H","UseDPDF=Y")</f>
        <v>#NAME?</v>
      </c>
      <c r="H178" t="e">
        <f ca="1">_xll.BDH($C$178,"RETURN_ON_CAP","FY 2014","FY 2014","Currency=INR","Period=FY","BEST_FPERIOD_OVERRIDE=FY","FILING_STATUS=OR","EQY_CONSOLIDATED=Y","FA_ADJUSTED=GAAP","Sort=A","Dates=H","DateFormat=P","Fill=—","Direction=H","UseDPDF=Y")</f>
        <v>#NAME?</v>
      </c>
      <c r="I178" t="e">
        <f ca="1">_xll.BDH($C$178,"RETURN_ON_INV_CAPITAL","FY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178" t="e">
        <f ca="1">_xll.BDH($C$178,"EBITDA_TO_REVENUE","FY 2014","FY 2014","Currency=INR","Period=FY","BEST_FPERIOD_OVERRIDE=FY","FILING_STATUS=OR","EQY_CONSOLIDATED=Y","FA_ADJUSTED=GAAP","Sort=A","Dates=H","DateFormat=P","Fill=—","Direction=H","UseDPDF=Y")</f>
        <v>#NAME?</v>
      </c>
      <c r="K178" t="e">
        <f ca="1">_xll.BDH($C$178,"OPER_MARGIN","FY 2014","FY 2014","Currency=INR","Period=FY","BEST_FPERIOD_OVERRIDE=FY","FILING_STATUS=OR","EQY_CONSOLIDATED=Y","FA_ADJUSTED=GAAP","Sort=A","Dates=H","DateFormat=P","Fill=—","Direction=H","UseDPDF=Y")</f>
        <v>#NAME?</v>
      </c>
      <c r="L178" t="e">
        <f ca="1">_xll.BDH($C$178,"INCREMENTAL_OPERATING_MARGIN","FY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178" t="e">
        <f ca="1">_xll.BDH($C$178,"PRETAX_INC_TO_NET_SALES","FY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178" t="e">
        <f ca="1">_xll.BDH($C$178,"INC_BEF_XO_ITEMS_TO_NET_SALES","FY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178" t="e">
        <f ca="1">_xll.BDH($C$178,"PROF_MARGIN","FY 2014","FY 2014","Currency=INR","Period=FY","BEST_FPERIOD_OVERRIDE=FY","FILING_STATUS=OR","EQY_CONSOLIDATED=Y","FA_ADJUSTED=GAAP","Sort=A","Dates=H","DateFormat=P","Fill=—","Direction=H","UseDPDF=Y")</f>
        <v>#NAME?</v>
      </c>
      <c r="P178" t="e">
        <f ca="1">_xll.BDH($C$178,"NET_INCOME_TO_COMMON_MARGIN","FY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178" t="e">
        <f ca="1">_xll.BDH($C$178,"EFF_TAX_RATE","FY 2014","FY 2014","Currency=INR","Period=FY","BEST_FPERIOD_OVERRIDE=FY","FILING_STATUS=OR","EQY_CONSOLIDATED=Y","FA_ADJUSTED=GAAP","Sort=A","Dates=H","DateFormat=P","Fill=—","Direction=H","UseDPDF=Y")</f>
        <v>#NAME?</v>
      </c>
      <c r="R178" t="e">
        <f ca="1">_xll.BDH($C$178,"DVD_PAYOUT_RATIO","FY 2014","FY 2014","Currency=INR","Period=FY","BEST_FPERIOD_OVERRIDE=FY","FILING_STATUS=OR","EQY_CONSOLIDATED=Y","FA_ADJUSTED=GAAP","Sort=A","Dates=H","DateFormat=P","Fill=—","Direction=H","UseDPDF=Y")</f>
        <v>#NAME?</v>
      </c>
      <c r="S178" t="e">
        <f ca="1">_xll.BDH($C$178,"SUSTAIN_GROWTH_RT","FY 2014","FY 2014","Currency=INR","Period=FY","BEST_FPERIOD_OVERRIDE=FY","FILING_STATUS=OR","EQY_CONSOLIDATED=Y","FA_ADJUSTED=GAAP","Sort=A","Dates=H","DateFormat=P","Fill=—","Direction=H","UseDPDF=Y")</f>
        <v>#NAME?</v>
      </c>
      <c r="T178" s="2" t="e">
        <f ca="1">_xll.BDH($C$178,"SALES_GROWTH","FY 2014","FY 2014","Currency=INR","Period=FY","BEST_FPERIOD_OVERRIDE=FY","FILING_STATUS=OR","EQY_CONSOLIDATED=Y","FA_ADJUSTED=GAAP","Sort=A","Dates=H","DateFormat=P","Fill=—","Direction=H","UseDPDF=Y")</f>
        <v>#NAME?</v>
      </c>
      <c r="U178" s="2" t="e">
        <f ca="1">_xll.BDH($C$178,"EBITDA_GROWTH","FY 2014","FY 2014","Currency=INR","Period=FY","BEST_FPERIOD_OVERRIDE=FY","FILING_STATUS=OR","EQY_CONSOLIDATED=Y","FA_ADJUSTED=GAAP","Sort=A","Dates=H","DateFormat=P","Fill=—","Direction=H","UseDPDF=Y")</f>
        <v>#NAME?</v>
      </c>
      <c r="V178" s="2" t="e">
        <f ca="1">_xll.BDH($C$178,"OPER_INC_GROWTH","FY 2014","FY 2014","Currency=INR","Period=FY","BEST_FPERIOD_OVERRIDE=FY","FILING_STATUS=OR","EQY_CONSOLIDATED=Y","FA_ADJUSTED=GAAP","Sort=A","Dates=H","DateFormat=P","Fill=—","Direction=H","UseDPDF=Y")</f>
        <v>#NAME?</v>
      </c>
      <c r="W178" s="2" t="e">
        <f ca="1">_xll.BDH($C$178,"EARN_FOR_COM_GROWTH","FY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178" s="2" t="e">
        <f ca="1">_xll.BDH($C$178,"DILUTED_EPS_AFT_XO_ITEMS_GROWTH","FY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178" s="2" t="e">
        <f ca="1">_xll.BDH($C$178,"DIVIDEND_PER_SHARE_1_YEAR_GROWTH","FY 2014","FY 2014","Currency=INR","Period=FY","BEST_FPERIOD_OVERRIDE=FY","FILING_STATUS=OR","EQY_CONSOLIDATED=Y","Sort=A","Dates=H","DateFormat=P","Fill=—","Direction=H","UseDPDF=Y")</f>
        <v>#NAME?</v>
      </c>
      <c r="Z178" s="2" t="e">
        <f ca="1">_xll.BDH($C$178,"ACCOUNTS_RECEIVABLE_GROWTH","FY 2014","FY 2014","Currency=INR","Period=FY","BEST_FPERIOD_OVERRIDE=FY","FILING_STATUS=OR","EQY_CONSOLIDATED=Y","Sort=A","Dates=H","DateFormat=P","Fill=—","Direction=H","UseDPDF=Y")</f>
        <v>#NAME?</v>
      </c>
      <c r="AA178" s="2" t="e">
        <f ca="1">_xll.BDH($C$178,"INVENTORY_GROWTH","FY 2014","FY 2014","Currency=INR","Period=FY","BEST_FPERIOD_OVERRIDE=FY","FILING_STATUS=OR","EQY_CONSOLIDATED=Y","Sort=A","Dates=H","DateFormat=P","Fill=—","Direction=H","UseDPDF=Y")</f>
        <v>#NAME?</v>
      </c>
      <c r="AB178" s="2" t="e">
        <f ca="1">_xll.BDH($C$178,"NET_FIXED_ASSETS_1_YEAR_GROWTH","FY 2014","FY 2014","Currency=INR","Period=FY","BEST_FPERIOD_OVERRIDE=FY","FILING_STATUS=OR","EQY_CONSOLIDATED=Y","Sort=A","Dates=H","DateFormat=P","Fill=—","Direction=H","UseDPDF=Y")</f>
        <v>#NAME?</v>
      </c>
      <c r="AC178" s="2" t="e">
        <f ca="1">_xll.BDH($C$178,"ASSET_GROWTH","FY 2014","FY 2014","Currency=INR","Period=FY","BEST_FPERIOD_OVERRIDE=FY","FILING_STATUS=OR","EQY_CONSOLIDATED=Y","Sort=A","Dates=H","DateFormat=P","Fill=—","Direction=H","UseDPDF=Y")</f>
        <v>#NAME?</v>
      </c>
      <c r="AD178" s="2" t="e">
        <f ca="1">_xll.BDH($C$178,"MODIFIED_WORK_CAP_GROWTH","FY 2014","FY 2014","Currency=INR","Period=FY","BEST_FPERIOD_OVERRIDE=FY","FILING_STATUS=OR","EQY_CONSOLIDATED=Y","Sort=A","Dates=H","DateFormat=P","Fill=—","Direction=H","UseDPDF=Y")</f>
        <v>#NAME?</v>
      </c>
      <c r="AE178" s="2" t="e">
        <f ca="1">_xll.BDH($C$178,"WORK_CAP_GROWTH","FY 2014","FY 2014","Currency=INR","Period=FY","BEST_FPERIOD_OVERRIDE=FY","FILING_STATUS=OR","EQY_CONSOLIDATED=Y","Sort=A","Dates=H","DateFormat=P","Fill=—","Direction=H","UseDPDF=Y")</f>
        <v>#NAME?</v>
      </c>
      <c r="AF178" s="2" t="e">
        <f ca="1">_xll.BDH($C$178,"ACCOUNTS_PAYABLE_GROWTH_1YR","FY 2014","FY 2014","Currency=INR","Period=FY","BEST_FPERIOD_OVERRIDE=FY","FILING_STATUS=OR","EQY_CONSOLIDATED=Y","Sort=A","Dates=H","DateFormat=P","Fill=—","Direction=H","UseDPDF=Y")</f>
        <v>#NAME?</v>
      </c>
      <c r="AG178" s="2" t="e">
        <f ca="1">_xll.BDH($C$178,"SHORT_TERM_DEBT_1_YEAR_GROWTH","FY 2014","FY 2014","Currency=INR","Period=FY","BEST_FPERIOD_OVERRIDE=FY","FILING_STATUS=OR","EQY_CONSOLIDATED=Y","Sort=A","Dates=H","DateFormat=P","Fill=—","Direction=H","UseDPDF=Y")</f>
        <v>#NAME?</v>
      </c>
      <c r="AH178" s="2" t="e">
        <f ca="1">_xll.BDH($C$178,"TOTAL_DEBT_1_YEAR_GROWTH","FY 2014","FY 2014","Currency=INR","Period=FY","BEST_FPERIOD_OVERRIDE=FY","FILING_STATUS=OR","EQY_CONSOLIDATED=Y","Sort=A","Dates=H","DateFormat=P","Fill=—","Direction=H","UseDPDF=Y")</f>
        <v>#NAME?</v>
      </c>
      <c r="AI178" s="2" t="e">
        <f ca="1">_xll.BDH($C$178,"TOTAL_EQUITY_1_YEAR_GROWTH","FY 2014","FY 2014","Currency=INR","Period=FY","BEST_FPERIOD_OVERRIDE=FY","FILING_STATUS=OR","EQY_CONSOLIDATED=Y","Sort=A","Dates=H","DateFormat=P","Fill=—","Direction=H","UseDPDF=Y")</f>
        <v>#NAME?</v>
      </c>
      <c r="AJ178" s="2" t="e">
        <f ca="1">_xll.BDH($C$178,"GROWTH_IN_CAP","FY 2014","FY 2014","Currency=INR","Period=FY","BEST_FPERIOD_OVERRIDE=FY","FILING_STATUS=OR","EQY_CONSOLIDATED=Y","Sort=A","Dates=H","DateFormat=P","Fill=—","Direction=H","UseDPDF=Y")</f>
        <v>#NAME?</v>
      </c>
      <c r="AK178" s="2" t="e">
        <f ca="1">_xll.BDH($C$178,"BVPS_GROWTH","FY 2014","FY 2014","Currency=INR","Period=FY","BEST_FPERIOD_OVERRIDE=FY","FILING_STATUS=OR","EQY_CONSOLIDATED=Y","Sort=A","Dates=H","DateFormat=P","Fill=—","Direction=H","UseDPDF=Y")</f>
        <v>#NAME?</v>
      </c>
      <c r="AL178" s="2" t="e">
        <f ca="1">_xll.BDH($C$178,"CASH_FLOW_GROWTH","FY 2014","FY 2014","Currency=INR","Period=FY","BEST_FPERIOD_OVERRIDE=FY","FILING_STATUS=OR","EQY_CONSOLIDATED=Y","Sort=A","Dates=H","DateFormat=P","Fill=—","Direction=H","UseDPDF=Y")</f>
        <v>#NAME?</v>
      </c>
      <c r="AM178" s="2" t="e">
        <f ca="1">_xll.BDH($C$178,"GEO_GROW_NET_SALES","FY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178" s="2" t="e">
        <f ca="1">_xll.BDH($C$178,"GEO_GROW_EBITDA","FY 2014","FY 2014","Currency=INR","Period=FY","BEST_FPERIOD_OVERRIDE=FY","FILING_STATUS=OR","EQY_CONSOLIDATED=Y","FA_ADJUSTED=GAAP","Sort=A","Dates=H","DateFormat=P","Fill=—","Direction=H","UseDPDF=Y")</f>
        <v>#NAME?</v>
      </c>
      <c r="AO178" s="2" t="e">
        <f ca="1">_xll.BDH($C$178,"GEO_GROW_OPER_INC","FY 2014","FY 2014","Currency=INR","Period=FY","BEST_FPERIOD_OVERRIDE=FY","FILING_STATUS=OR","EQY_CONSOLIDATED=Y","FA_ADJUSTED=GAAP","Sort=A","Dates=H","DateFormat=P","Fill=—","Direction=H","UseDPDF=Y")</f>
        <v>#NAME?</v>
      </c>
      <c r="AP178" s="2" t="e">
        <f ca="1">_xll.BDH($C$178,"NET_INCOME_TO_COMMON_5_YR_GROWTH","FY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178" s="2" t="e">
        <f ca="1">_xll.BDH($C$178,"5Y_GEO_GROWTH_DILUTED_EPS","FY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178" s="2" t="e">
        <f ca="1">_xll.BDH($C$178,"GEO_GROW_DVD_PER_SH","FY 2014","FY 2014","Currency=INR","Period=FY","BEST_FPERIOD_OVERRIDE=FY","FILING_STATUS=OR","EQY_CONSOLIDATED=Y","Sort=A","Dates=H","DateFormat=P","Fill=—","Direction=H","UseDPDF=Y")</f>
        <v>#NAME?</v>
      </c>
      <c r="AS178" s="2" t="e">
        <f ca="1">_xll.BDH($C$178,"ACCOUNTS_RECEIVABLE_5_YR_GROWTH","FY 2014","FY 2014","Currency=INR","Period=FY","BEST_FPERIOD_OVERRIDE=FY","FILING_STATUS=OR","EQY_CONSOLIDATED=Y","Sort=A","Dates=H","DateFormat=P","Fill=—","Direction=H","UseDPDF=Y")</f>
        <v>#NAME?</v>
      </c>
      <c r="AT178" s="2" t="e">
        <f ca="1">_xll.BDH($C$178,"INVENTORY_5_YEAR_GROWTH","FY 2014","FY 2014","Currency=INR","Period=FY","BEST_FPERIOD_OVERRIDE=FY","FILING_STATUS=OR","EQY_CONSOLIDATED=Y","Sort=A","Dates=H","DateFormat=P","Fill=—","Direction=H","UseDPDF=Y")</f>
        <v>#NAME?</v>
      </c>
      <c r="AU178" s="2" t="e">
        <f ca="1">_xll.BDH($C$178,"NET_FIXED_ASSETS_5_YEAR_GROWTH","FY 2014","FY 2014","Currency=INR","Period=FY","BEST_FPERIOD_OVERRIDE=FY","FILING_STATUS=OR","EQY_CONSOLIDATED=Y","Sort=A","Dates=H","DateFormat=P","Fill=—","Direction=H","UseDPDF=Y")</f>
        <v>#NAME?</v>
      </c>
      <c r="AV178" s="2" t="e">
        <f ca="1">_xll.BDH($C$178,"GEO_GROW_TOT_ASSET","FY 2014","FY 2014","Currency=INR","Period=FY","BEST_FPERIOD_OVERRIDE=FY","FILING_STATUS=OR","EQY_CONSOLIDATED=Y","Sort=A","Dates=H","DateFormat=P","Fill=—","Direction=H","UseDPDF=Y")</f>
        <v>#NAME?</v>
      </c>
      <c r="AW178" s="2" t="e">
        <f ca="1">_xll.BDH($C$178,"MODIFIED_WORKING_CPTL_5YR_GRWTH","FY 2014","FY 2014","Currency=INR","Period=FY","BEST_FPERIOD_OVERRIDE=FY","FILING_STATUS=OR","EQY_CONSOLIDATED=Y","Sort=A","Dates=H","DateFormat=P","Fill=—","Direction=H","UseDPDF=Y")</f>
        <v>#NAME?</v>
      </c>
      <c r="AX178" s="2" t="e">
        <f ca="1">_xll.BDH($C$178,"WORKING_CAPITAL_5_YEAR_GROWTH","FY 2014","FY 2014","Currency=INR","Period=FY","BEST_FPERIOD_OVERRIDE=FY","FILING_STATUS=OR","EQY_CONSOLIDATED=Y","Sort=A","Dates=H","DateFormat=P","Fill=—","Direction=H","UseDPDF=Y")</f>
        <v>#NAME?</v>
      </c>
      <c r="AY178" s="2" t="e">
        <f ca="1">_xll.BDH($C$178,"ACCOUNTS_PAYABLE_5_YEAR_GROWTH","FY 2014","FY 2014","Currency=INR","Period=FY","BEST_FPERIOD_OVERRIDE=FY","FILING_STATUS=OR","EQY_CONSOLIDATED=Y","Sort=A","Dates=H","DateFormat=P","Fill=—","Direction=H","UseDPDF=Y")</f>
        <v>#NAME?</v>
      </c>
      <c r="AZ178" s="2" t="e">
        <f ca="1">_xll.BDH($C$178,"SHORT_TERM_DEBT_5_YEAR_GROWTH","FY 2014","FY 2014","Currency=INR","Period=FY","BEST_FPERIOD_OVERRIDE=FY","FILING_STATUS=OR","EQY_CONSOLIDATED=Y","Sort=A","Dates=H","DateFormat=P","Fill=—","Direction=H","UseDPDF=Y")</f>
        <v>#NAME?</v>
      </c>
      <c r="BA178" s="2" t="e">
        <f ca="1">_xll.BDH($C$178,"TOTAL_DEBT_5_YEAR_GROWTH","FY 2014","FY 2014","Currency=INR","Period=FY","BEST_FPERIOD_OVERRIDE=FY","FILING_STATUS=OR","EQY_CONSOLIDATED=Y","Sort=A","Dates=H","DateFormat=P","Fill=—","Direction=H","UseDPDF=Y")</f>
        <v>#NAME?</v>
      </c>
      <c r="BB178" s="2" t="e">
        <f ca="1">_xll.BDH($C$178,"GEO_GROW_TOT_SHRHLDR_EQY","FY 2014","FY 2014","Currency=INR","Period=FY","BEST_FPERIOD_OVERRIDE=FY","FILING_STATUS=OR","EQY_CONSOLIDATED=Y","Sort=A","Dates=H","DateFormat=P","Fill=—","Direction=H","UseDPDF=Y")</f>
        <v>#NAME?</v>
      </c>
      <c r="BC178" s="2" t="e">
        <f ca="1">_xll.BDH($C$178,"TOTAL_CAPITAL_5_YEAR_GROWTH","FY 2014","FY 2014","Currency=INR","Period=FY","BEST_FPERIOD_OVERRIDE=FY","FILING_STATUS=OR","EQY_CONSOLIDATED=Y","Sort=A","Dates=H","DateFormat=P","Fill=—","Direction=H","UseDPDF=Y")</f>
        <v>#NAME?</v>
      </c>
      <c r="BD178" s="2" t="e">
        <f ca="1">_xll.BDH($C$178,"GEO_GROW_BOOK_VAL","FY 2014","FY 2014","Currency=INR","Period=FY","BEST_FPERIOD_OVERRIDE=FY","FILING_STATUS=OR","EQY_CONSOLIDATED=Y","Sort=A","Dates=H","DateFormat=P","Fill=—","Direction=H","UseDPDF=Y")</f>
        <v>#NAME?</v>
      </c>
      <c r="BE178" s="2" t="e">
        <f ca="1">_xll.BDH($C$178,"GEO_GROW_CASH_OPER_ACT","FY 2014","FY 2014","Currency=INR","Period=FY","BEST_FPERIOD_OVERRIDE=FY","FILING_STATUS=OR","EQY_CONSOLIDATED=Y","Sort=A","Dates=H","DateFormat=P","Fill=—","Direction=H","UseDPDF=Y")</f>
        <v>#NAME?</v>
      </c>
      <c r="BF178" s="2" t="e">
        <f ca="1">_xll.BDH($C$178,"REVENUE_SEQUENTIAL_GROWTH","FY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178" s="2" t="e">
        <f ca="1">_xll.BDH($C$178,"EBITDA_SEQUENTIAL_GROWTH","FY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178" s="2" t="e">
        <f ca="1">_xll.BDH($C$178,"OPERATING_INCOME_SEQ_GROWTH","FY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178" s="2" t="e">
        <f ca="1">_xll.BDH($C$178,"NET_INCOME_TO_COMMON_SEQ_GROWTH","FY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178" s="2" t="e">
        <f ca="1">_xll.BDH($C$178,"EPS_DILUTED_SEQUENTIAL_GROWTH","FY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178" s="2" t="e">
        <f ca="1">_xll.BDH($C$178,"DPS_SEQUENTIAL_GROWTH","FY 2014","FY 2014","Currency=INR","Period=FY","BEST_FPERIOD_OVERRIDE=FY","FILING_STATUS=OR","EQY_CONSOLIDATED=Y","Sort=A","Dates=H","DateFormat=P","Fill=—","Direction=H","UseDPDF=Y")</f>
        <v>#NAME?</v>
      </c>
      <c r="BL178" s="2" t="e">
        <f ca="1">_xll.BDH($C$178,"ACCOUNTS_RECEIVABLE_SEQ_GROWTH","FY 2014","FY 2014","Currency=INR","Period=FY","BEST_FPERIOD_OVERRIDE=FY","FILING_STATUS=OR","EQY_CONSOLIDATED=Y","Sort=A","Dates=H","DateFormat=P","Fill=—","Direction=H","UseDPDF=Y")</f>
        <v>#NAME?</v>
      </c>
      <c r="BM178" s="2" t="e">
        <f ca="1">_xll.BDH($C$178,"INVENTORY_SEQUENTIAL_GROWTH","FY 2014","FY 2014","Currency=INR","Period=FY","BEST_FPERIOD_OVERRIDE=FY","FILING_STATUS=OR","EQY_CONSOLIDATED=Y","Sort=A","Dates=H","DateFormat=P","Fill=—","Direction=H","UseDPDF=Y")</f>
        <v>#NAME?</v>
      </c>
      <c r="BN178" s="2" t="e">
        <f ca="1">_xll.BDH($C$178,"FIXED_ASSETS_SEQUENTIAL_GROWTH","FY 2014","FY 2014","Currency=INR","Period=FY","BEST_FPERIOD_OVERRIDE=FY","FILING_STATUS=OR","EQY_CONSOLIDATED=Y","Sort=A","Dates=H","DateFormat=P","Fill=—","Direction=H","UseDPDF=Y")</f>
        <v>#NAME?</v>
      </c>
      <c r="BO178" s="2" t="e">
        <f ca="1">_xll.BDH($C$178,"TOTAL_ASSETS_SEQUENTIAL_GROWTH","FY 2014","FY 2014","Currency=INR","Period=FY","BEST_FPERIOD_OVERRIDE=FY","FILING_STATUS=OR","EQY_CONSOLIDATED=Y","Sort=A","Dates=H","DateFormat=P","Fill=—","Direction=H","UseDPDF=Y")</f>
        <v>#NAME?</v>
      </c>
      <c r="BP178" s="2" t="e">
        <f ca="1">_xll.BDH($C$178,"MODIFIED_WORKING_CPTL_SEQ_GRWTH","FY 2014","FY 2014","Currency=INR","Period=FY","BEST_FPERIOD_OVERRIDE=FY","FILING_STATUS=OR","EQY_CONSOLIDATED=Y","Sort=A","Dates=H","DateFormat=P","Fill=—","Direction=H","UseDPDF=Y")</f>
        <v>#NAME?</v>
      </c>
      <c r="BQ178" s="2" t="e">
        <f ca="1">_xll.BDH($C$178,"WORKING_CAPITAL_SEQ_GROWTH","FY 2014","FY 2014","Currency=INR","Period=FY","BEST_FPERIOD_OVERRIDE=FY","FILING_STATUS=OR","EQY_CONSOLIDATED=Y","Sort=A","Dates=H","DateFormat=P","Fill=—","Direction=H","UseDPDF=Y")</f>
        <v>#NAME?</v>
      </c>
      <c r="BR178" s="2" t="e">
        <f ca="1">_xll.BDH($C$178,"ACCOUNTS_PAYABLE_SEQ_GROWTH","FY 2014","FY 2014","Currency=INR","Period=FY","BEST_FPERIOD_OVERRIDE=FY","FILING_STATUS=OR","EQY_CONSOLIDATED=Y","Sort=A","Dates=H","DateFormat=P","Fill=—","Direction=H","UseDPDF=Y")</f>
        <v>#NAME?</v>
      </c>
      <c r="BS178" s="2" t="e">
        <f ca="1">_xll.BDH($C$178,"ST_DEBT_SEQUENTIAL_GROWTH","FY 2014","FY 2014","Currency=INR","Period=FY","BEST_FPERIOD_OVERRIDE=FY","FILING_STATUS=OR","EQY_CONSOLIDATED=Y","Sort=A","Dates=H","DateFormat=P","Fill=—","Direction=H","UseDPDF=Y")</f>
        <v>#NAME?</v>
      </c>
      <c r="BT178" s="2" t="e">
        <f ca="1">_xll.BDH($C$178,"TOTAL_DEBT_SEQUENTIAL_GROWTH","FY 2014","FY 2014","Currency=INR","Period=FY","BEST_FPERIOD_OVERRIDE=FY","FILING_STATUS=OR","EQY_CONSOLIDATED=Y","Sort=A","Dates=H","DateFormat=P","Fill=—","Direction=H","UseDPDF=Y")</f>
        <v>#NAME?</v>
      </c>
      <c r="BU178" s="2" t="e">
        <f ca="1">_xll.BDH($C$178,"TOTAL_EQUITY_SEQUENTIAL_GROWTH","FY 2014","FY 2014","Currency=INR","Period=FY","BEST_FPERIOD_OVERRIDE=FY","FILING_STATUS=OR","EQY_CONSOLIDATED=Y","Sort=A","Dates=H","DateFormat=P","Fill=—","Direction=H","UseDPDF=Y")</f>
        <v>#NAME?</v>
      </c>
      <c r="BV178" s="2" t="e">
        <f ca="1">_xll.BDH($C$178,"TOTAL_CAPITAL_SEQUENTIAL_GROWTH","FY 2014","FY 2014","Currency=INR","Period=FY","BEST_FPERIOD_OVERRIDE=FY","FILING_STATUS=OR","EQY_CONSOLIDATED=Y","Sort=A","Dates=H","DateFormat=P","Fill=—","Direction=H","UseDPDF=Y")</f>
        <v>#NAME?</v>
      </c>
      <c r="BW178" s="2" t="e">
        <f ca="1">_xll.BDH($C$178,"BPS_SEQUENTIAL_GROWTH","FY 2014","FY 2014","Currency=INR","Period=FY","BEST_FPERIOD_OVERRIDE=FY","FILING_STATUS=OR","EQY_CONSOLIDATED=Y","Sort=A","Dates=H","DateFormat=P","Fill=—","Direction=H","UseDPDF=Y")</f>
        <v>#NAME?</v>
      </c>
      <c r="BX178" s="2" t="e">
        <f ca="1">_xll.BDH($C$178,"CFO_SEQUENTIAL_GROWTH","FY 2014","FY 2014","Currency=INR","Period=FY","BEST_FPERIOD_OVERRIDE=FY","FILING_STATUS=OR","EQY_CONSOLIDATED=Y","Sort=A","Dates=H","DateFormat=P","Fill=—","Direction=H","UseDPDF=Y")</f>
        <v>#NAME?</v>
      </c>
      <c r="BY178" s="3" t="e">
        <f ca="1">_xll.BDH($C$178,"SHORT_AND_LONG_TERM_DEBT","FY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178" s="3" t="e">
        <f ca="1">_xll.BDH($C$178,"BS_ST_BORROW","FY 2014","FY 2014","Currency=INR","Period=FY","BEST_FPERIOD_OVERRIDE=FY","FILING_STATUS=OR","EQY_CONSOLIDATED=Y","SCALING_FORMAT=MLN","Sort=A","Dates=H","DateFormat=P","Fill=—","Direction=H","UseDPDF=Y")</f>
        <v>#NAME?</v>
      </c>
      <c r="CA178" s="3" t="e">
        <f ca="1">_xll.BDH($C$178,"BS_LT_BORROW","FY 2014","FY 2014","Currency=INR","Period=FY","BEST_FPERIOD_OVERRIDE=FY","FILING_STATUS=OR","EQY_CONSOLIDATED=Y","SCALING_FORMAT=MLN","Sort=A","Dates=H","DateFormat=P","Fill=—","Direction=H","UseDPDF=Y")</f>
        <v>#NAME?</v>
      </c>
      <c r="CB178" s="2" t="e">
        <f ca="1">_xll.BDH($C$178,"TOT_DEBT_TO_EBITDA","FY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178" s="2" t="e">
        <f ca="1">_xll.BDH($C$178,"NET_DEBT_TO_EBITDA","FY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178" s="2" t="e">
        <f ca="1">_xll.BDH($C$178,"TOTAL_DEBT_TO_EBIT","FY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178" s="2" t="e">
        <f ca="1">_xll.BDH($C$178,"NET_DEBT_TO_EBIT","FY 2014","FY 2014","Currency=INR","Period=FY","BEST_FPERIOD_OVERRIDE=FY","FILING_STATUS=OR","EQY_CONSOLIDATED=Y","FA_ADJUSTED=GAAP","Sort=A","Dates=H","DateFormat=P","Fill=—","Direction=H","UseDPDF=Y")</f>
        <v>#NAME?</v>
      </c>
      <c r="CF178" s="2" t="e">
        <f ca="1">_xll.BDH($C$178,"EBITDA_TO_INTEREST_EXPN","FY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178" s="2" t="e">
        <f ca="1">_xll.BDH($C$178,"COM_EQY_TO_TOT_ASSET","FY 2014","FY 2014","Currency=INR","Period=FY","BEST_FPERIOD_OVERRIDE=FY","FILING_STATUS=OR","EQY_CONSOLIDATED=Y","Sort=A","Dates=H","DateFormat=P","Fill=—","Direction=H","UseDPDF=Y")</f>
        <v>#NAME?</v>
      </c>
      <c r="CH178" s="2" t="e">
        <f ca="1">_xll.BDH($C$178,"LT_DEBT_TO_TOT_EQY","FY 2014","FY 2014","Currency=INR","Period=FY","BEST_FPERIOD_OVERRIDE=FY","FILING_STATUS=OR","EQY_CONSOLIDATED=Y","Sort=A","Dates=H","DateFormat=P","Fill=—","Direction=H","UseDPDF=Y")</f>
        <v>#NAME?</v>
      </c>
      <c r="CI178" s="2" t="e">
        <f ca="1">_xll.BDH($C$178,"LT_DEBT_TO_TOT_CAP","FY 2014","FY 2014","Currency=INR","Period=FY","BEST_FPERIOD_OVERRIDE=FY","FILING_STATUS=OR","EQY_CONSOLIDATED=Y","Sort=A","Dates=H","DateFormat=P","Fill=—","Direction=H","UseDPDF=Y")</f>
        <v>#NAME?</v>
      </c>
      <c r="CJ178" s="2" t="e">
        <f ca="1">_xll.BDH($C$178,"LT_DEBT_TO_TOT_ASSET","FY 2014","FY 2014","Currency=INR","Period=FY","BEST_FPERIOD_OVERRIDE=FY","FILING_STATUS=OR","EQY_CONSOLIDATED=Y","Sort=A","Dates=H","DateFormat=P","Fill=—","Direction=H","UseDPDF=Y")</f>
        <v>#NAME?</v>
      </c>
      <c r="CK178" s="2" t="e">
        <f ca="1">_xll.BDH($C$178,"TOT_DEBT_TO_TOT_EQY","FY 2014","FY 2014","Currency=INR","Period=FY","BEST_FPERIOD_OVERRIDE=FY","FILING_STATUS=OR","EQY_CONSOLIDATED=Y","Sort=A","Dates=H","DateFormat=P","Fill=—","Direction=H","UseDPDF=Y")</f>
        <v>#NAME?</v>
      </c>
      <c r="CL178" s="2" t="e">
        <f ca="1">_xll.BDH($C$178,"TOT_DEBT_TO_TOT_CAP","FY 2014","FY 2014","Currency=INR","Period=FY","BEST_FPERIOD_OVERRIDE=FY","FILING_STATUS=OR","EQY_CONSOLIDATED=Y","Sort=A","Dates=H","DateFormat=P","Fill=—","Direction=H","UseDPDF=Y")</f>
        <v>#NAME?</v>
      </c>
      <c r="CM178" s="2" t="e">
        <f ca="1">_xll.BDH($C$178,"TOT_DEBT_TO_TOT_ASSET","FY 2014","FY 2014","Currency=INR","Period=FY","BEST_FPERIOD_OVERRIDE=FY","FILING_STATUS=OR","EQY_CONSOLIDATED=Y","Sort=A","Dates=H","DateFormat=P","Fill=—","Direction=H","UseDPDF=Y")</f>
        <v>#NAME?</v>
      </c>
      <c r="CN178" s="2" t="e">
        <f ca="1">_xll.BDH($C$178,"NET_DEBT_TO_SHRHLDR_EQTY","FY 2014","FY 2014","Currency=INR","Period=FY","BEST_FPERIOD_OVERRIDE=FY","FILING_STATUS=OR","EQY_CONSOLIDATED=Y","Sort=A","Dates=H","DateFormat=P","Fill=—","Direction=H","UseDPDF=Y")</f>
        <v>#NAME?</v>
      </c>
      <c r="CO178" s="2" t="e">
        <f ca="1">_xll.BDH($C$178,"NET_DEBT_%_CAPITAL","FY 2014","FY 2014","Currency=INR","Period=FY","BEST_FPERIOD_OVERRIDE=FY","FILING_STATUS=OR","EQY_CONSOLIDATED=Y","Sort=A","Dates=H","DateFormat=P","Fill=—","Direction=H","UseDPDF=Y")</f>
        <v>#NAME?</v>
      </c>
      <c r="CP178" s="3" t="e">
        <f ca="1">_xll.BDH($C$178,"EBITDA","FY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178" s="3" t="e">
        <f ca="1">_xll.BDH($C$178,"EBITDA_AFTER_CAPEX","FY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178" s="3" t="e">
        <f ca="1">_xll.BDH($C$178,"IS_OPER_INC","FY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178" s="2" t="e">
        <f ca="1">_xll.BDH($C$178,"CASH_RATIO","FY 2014","FY 2014","Currency=INR","Period=FY","BEST_FPERIOD_OVERRIDE=FY","FILING_STATUS=OR","EQY_CONSOLIDATED=Y","Sort=A","Dates=H","DateFormat=P","Fill=—","Direction=H","UseDPDF=Y")</f>
        <v>#NAME?</v>
      </c>
      <c r="CT178" s="2" t="e">
        <f ca="1">_xll.BDH($C$178,"CUR_RATIO","FY 2014","FY 2014","Currency=INR","Period=FY","BEST_FPERIOD_OVERRIDE=FY","FILING_STATUS=OR","EQY_CONSOLIDATED=Y","Sort=A","Dates=H","DateFormat=P","Fill=—","Direction=H","UseDPDF=Y")</f>
        <v>#NAME?</v>
      </c>
      <c r="CU178" s="2" t="e">
        <f ca="1">_xll.BDH($C$178,"QUICK_RATIO","FY 2014","FY 2014","Currency=INR","Period=FY","BEST_FPERIOD_OVERRIDE=FY","FILING_STATUS=OR","EQY_CONSOLIDATED=Y","Sort=A","Dates=H","DateFormat=P","Fill=—","Direction=H","UseDPDF=Y")</f>
        <v>#NAME?</v>
      </c>
      <c r="CV178" s="2" t="e">
        <f ca="1">_xll.BDH($C$178,"ALTMAN_Z_SCORE","FY 2014","FY 2014","Currency=INR","Period=FY","BEST_FPERIOD_OVERRIDE=FY","FILING_STATUS=OR","EQY_CONSOLIDATED=Y","Sort=A","Dates=H","DateFormat=P","Fill=—","Direction=H","UseDPDF=Y")</f>
        <v>#NAME?</v>
      </c>
      <c r="CW178" s="4" t="e">
        <f ca="1">_xll.BDH($C$178,"ACCT_RCV_TURN","FY 2014","FY 2014","Currency=INR","Period=FY","BEST_FPERIOD_OVERRIDE=FY","FILING_STATUS=OR","EQY_CONSOLIDATED=Y","FA_ADJUSTED=GAAP","Sort=A","Dates=H","DateFormat=P","Fill=—","Direction=H","UseDPDF=Y")</f>
        <v>#NAME?</v>
      </c>
      <c r="CX178" s="2" t="e">
        <f ca="1">_xll.BDH($C$178,"ACCT_RCV_DAYS","FY 2014","FY 2014","Currency=INR","Period=FY","BEST_FPERIOD_OVERRIDE=FY","FILING_STATUS=OR","EQY_CONSOLIDATED=Y","FA_ADJUSTED=GAAP","Sort=A","Dates=H","DateFormat=P","Fill=—","Direction=H","UseDPDF=Y")</f>
        <v>#NAME?</v>
      </c>
      <c r="CY178" s="4" t="e">
        <f ca="1">_xll.BDH($C$178,"INVENT_TURN","FY 2014","FY 2014","Currency=INR","Period=FY","BEST_FPERIOD_OVERRIDE=FY","FILING_STATUS=OR","EQY_CONSOLIDATED=Y","FA_ADJUSTED=GAAP","Sort=A","Dates=H","DateFormat=P","Fill=—","Direction=H","UseDPDF=Y")</f>
        <v>#NAME?</v>
      </c>
      <c r="CZ178" s="2" t="e">
        <f ca="1">_xll.BDH($C$178,"INVENT_DAYS","FY 2014","FY 2014","Currency=INR","Period=FY","BEST_FPERIOD_OVERRIDE=FY","FILING_STATUS=OR","EQY_CONSOLIDATED=Y","FA_ADJUSTED=GAAP","Sort=A","Dates=H","DateFormat=P","Fill=—","Direction=H","UseDPDF=Y")</f>
        <v>#NAME?</v>
      </c>
      <c r="DA178" s="4" t="e">
        <f ca="1">_xll.BDH($C$178,"ACCOUNTS_PAYABLE_TURNOVER","FY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178" s="2" t="e">
        <f ca="1">_xll.BDH($C$178,"ACCOUNTS_PAYABLE_TURNOVER_DAYS","FY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178" s="4" t="e">
        <f ca="1">_xll.BDH($C$178,"CASH_CONVERSION_CYCLE","FY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178" s="4" t="e">
        <f ca="1">_xll.BDH($C$178,"INV_TO_CASH_DAYS","FY 2014","FY 2014","Currency=INR","Period=FY","BEST_FPERIOD_OVERRIDE=FY","FILING_STATUS=OR","EQY_CONSOLIDATED=Y","FA_ADJUSTED=GAAP","Sort=A","Dates=H","DateFormat=P","Fill=—","Direction=H","UseDPDF=Y")</f>
        <v>#NAME?</v>
      </c>
      <c r="DE178" s="5" t="e">
        <f ca="1">_xll.BDH($C$178,"BS_INVENTORIES","FY 2014","FY 2014","Currency=INR","Period=FY","BEST_FPERIOD_OVERRIDE=FY","FILING_STATUS=OR","EQY_CONSOLIDATED=Y","SCALING_FORMAT=MLN","Sort=A","Dates=H","DateFormat=P","Fill=—","Direction=H","UseDPDF=Y")</f>
        <v>#NAME?</v>
      </c>
      <c r="DF178" s="3" t="e">
        <f ca="1">_xll.BDH($C$178,"INVTRY_RAW_MATERIALS","FY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178" s="3" t="e">
        <f ca="1">_xll.BDH($C$178,"INVTRY_IN_PROGRESS","FY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178" s="3" t="e">
        <f ca="1">_xll.BDH($C$178,"INVTRY_FINISHED_GOODS","FY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178" s="3" t="e">
        <f ca="1">_xll.BDH($C$178,"BS_OTHER_INV","FY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179" spans="1:113" x14ac:dyDescent="0.3">
      <c r="A179" s="6"/>
      <c r="B179" s="6"/>
      <c r="C179" s="6"/>
      <c r="D179" s="6"/>
      <c r="E179" t="s">
        <v>78</v>
      </c>
      <c r="F179" t="e">
        <f ca="1">_xll.BDH($C$178,"RETURN_COM_EQY","FQ1 2014","FQ1 2014","Currency=INR","Period=FQ","BEST_FPERIOD_OVERRIDE=FQ","FILING_STATUS=OR","EQY_CONSOLIDATED=Y","FA_ADJUSTED=GAAP","Sort=A","Dates=H","DateFormat=P","Fill=—","Direction=H","UseDPDF=Y")</f>
        <v>#NAME?</v>
      </c>
      <c r="G179" t="e">
        <f ca="1">_xll.BDH($C$178,"RETURN_ON_ASSET","FQ1 2014","FQ1 2014","Currency=INR","Period=FQ","BEST_FPERIOD_OVERRIDE=FQ","FILING_STATUS=OR","EQY_CONSOLIDATED=Y","FA_ADJUSTED=GAAP","Sort=A","Dates=H","DateFormat=P","Fill=—","Direction=H","UseDPDF=Y")</f>
        <v>#NAME?</v>
      </c>
      <c r="H179" t="e">
        <f ca="1">_xll.BDH($C$178,"RETURN_ON_CAP","FQ1 2014","FQ1 2014","Currency=INR","Period=FQ","BEST_FPERIOD_OVERRIDE=FQ","FILING_STATUS=OR","EQY_CONSOLIDATED=Y","FA_ADJUSTED=GAAP","Sort=A","Dates=H","DateFormat=P","Fill=—","Direction=H","UseDPDF=Y")</f>
        <v>#NAME?</v>
      </c>
      <c r="I179" t="e">
        <f ca="1">_xll.BDH($C$178,"RETURN_ON_INV_CAPITAL","FQ1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179" t="e">
        <f ca="1">_xll.BDH($C$178,"EBITDA_TO_REVENUE","FQ1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179" t="e">
        <f ca="1">_xll.BDH($C$178,"OPER_MARGIN","FQ1 2014","FQ1 2014","Currency=INR","Period=FQ","BEST_FPERIOD_OVERRIDE=FQ","FILING_STATUS=OR","EQY_CONSOLIDATED=Y","FA_ADJUSTED=GAAP","Sort=A","Dates=H","DateFormat=P","Fill=—","Direction=H","UseDPDF=Y")</f>
        <v>#NAME?</v>
      </c>
      <c r="L179" t="e">
        <f ca="1">_xll.BDH($C$178,"INCREMENTAL_OPERATING_MARGIN","FQ1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179" t="e">
        <f ca="1">_xll.BDH($C$178,"PRETAX_INC_TO_NET_SALES","FQ1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179" t="e">
        <f ca="1">_xll.BDH($C$178,"INC_BEF_XO_ITEMS_TO_NET_SALES","FQ1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179" t="e">
        <f ca="1">_xll.BDH($C$178,"PROF_MARGIN","FQ1 2014","FQ1 2014","Currency=INR","Period=FQ","BEST_FPERIOD_OVERRIDE=FQ","FILING_STATUS=OR","EQY_CONSOLIDATED=Y","FA_ADJUSTED=GAAP","Sort=A","Dates=H","DateFormat=P","Fill=—","Direction=H","UseDPDF=Y")</f>
        <v>#NAME?</v>
      </c>
      <c r="P179" t="e">
        <f ca="1">_xll.BDH($C$178,"NET_INCOME_TO_COMMON_MARGIN","FQ1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179" t="e">
        <f ca="1">_xll.BDH($C$178,"EFF_TAX_RATE","FQ1 2014","FQ1 2014","Currency=INR","Period=FQ","BEST_FPERIOD_OVERRIDE=FQ","FILING_STATUS=OR","EQY_CONSOLIDATED=Y","FA_ADJUSTED=GAAP","Sort=A","Dates=H","DateFormat=P","Fill=—","Direction=H","UseDPDF=Y")</f>
        <v>#NAME?</v>
      </c>
      <c r="R179" t="e">
        <f ca="1">_xll.BDH($C$178,"DVD_PAYOUT_RATIO","FQ1 2014","FQ1 2014","Currency=INR","Period=FQ","BEST_FPERIOD_OVERRIDE=FQ","FILING_STATUS=OR","EQY_CONSOLIDATED=Y","FA_ADJUSTED=GAAP","Sort=A","Dates=H","DateFormat=P","Fill=—","Direction=H","UseDPDF=Y")</f>
        <v>#NAME?</v>
      </c>
      <c r="S179" t="e">
        <f ca="1">_xll.BDH($C$178,"SUSTAIN_GROWTH_RT","FQ1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179" s="2" t="e">
        <f ca="1">_xll.BDH($C$178,"SALES_GROWTH","FQ1 2014","FQ1 2014","Currency=INR","Period=FQ","BEST_FPERIOD_OVERRIDE=FQ","FILING_STATUS=OR","EQY_CONSOLIDATED=Y","FA_ADJUSTED=GAAP","Sort=A","Dates=H","DateFormat=P","Fill=—","Direction=H","UseDPDF=Y")</f>
        <v>#NAME?</v>
      </c>
      <c r="U179" s="2" t="e">
        <f ca="1">_xll.BDH($C$178,"EBITDA_GROWTH","FQ1 2014","FQ1 2014","Currency=INR","Period=FQ","BEST_FPERIOD_OVERRIDE=FQ","FILING_STATUS=OR","EQY_CONSOLIDATED=Y","FA_ADJUSTED=GAAP","Sort=A","Dates=H","DateFormat=P","Fill=—","Direction=H","UseDPDF=Y")</f>
        <v>#NAME?</v>
      </c>
      <c r="V179" s="2" t="e">
        <f ca="1">_xll.BDH($C$178,"OPER_INC_GROWTH","FQ1 2014","FQ1 2014","Currency=INR","Period=FQ","BEST_FPERIOD_OVERRIDE=FQ","FILING_STATUS=OR","EQY_CONSOLIDATED=Y","FA_ADJUSTED=GAAP","Sort=A","Dates=H","DateFormat=P","Fill=—","Direction=H","UseDPDF=Y")</f>
        <v>#NAME?</v>
      </c>
      <c r="W179" s="2" t="e">
        <f ca="1">_xll.BDH($C$178,"EARN_FOR_COM_GROWTH","FQ1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179" s="2" t="e">
        <f ca="1">_xll.BDH($C$178,"DILUTED_EPS_AFT_XO_ITEMS_GROWTH","FQ1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179" s="2" t="e">
        <f ca="1">_xll.BDH($C$178,"DIVIDEND_PER_SHARE_1_YEAR_GROWTH","FQ1 2014","FQ1 2014","Currency=INR","Period=FQ","BEST_FPERIOD_OVERRIDE=FQ","FILING_STATUS=OR","EQY_CONSOLIDATED=Y","Sort=A","Dates=H","DateFormat=P","Fill=—","Direction=H","UseDPDF=Y")</f>
        <v>#NAME?</v>
      </c>
      <c r="Z179" s="2" t="e">
        <f ca="1">_xll.BDH($C$178,"ACCOUNTS_RECEIVABLE_GROWTH","FQ1 2014","FQ1 2014","Currency=INR","Period=FQ","BEST_FPERIOD_OVERRIDE=FQ","FILING_STATUS=OR","EQY_CONSOLIDATED=Y","Sort=A","Dates=H","DateFormat=P","Fill=—","Direction=H","UseDPDF=Y")</f>
        <v>#NAME?</v>
      </c>
      <c r="AA179" s="2" t="e">
        <f ca="1">_xll.BDH($C$178,"INVENTORY_GROWTH","FQ1 2014","FQ1 2014","Currency=INR","Period=FQ","BEST_FPERIOD_OVERRIDE=FQ","FILING_STATUS=OR","EQY_CONSOLIDATED=Y","Sort=A","Dates=H","DateFormat=P","Fill=—","Direction=H","UseDPDF=Y")</f>
        <v>#NAME?</v>
      </c>
      <c r="AB179" s="2" t="e">
        <f ca="1">_xll.BDH($C$178,"NET_FIXED_ASSETS_1_YEAR_GROWTH","FQ1 2014","FQ1 2014","Currency=INR","Period=FQ","BEST_FPERIOD_OVERRIDE=FQ","FILING_STATUS=OR","EQY_CONSOLIDATED=Y","Sort=A","Dates=H","DateFormat=P","Fill=—","Direction=H","UseDPDF=Y")</f>
        <v>#NAME?</v>
      </c>
      <c r="AC179" s="2" t="e">
        <f ca="1">_xll.BDH($C$178,"ASSET_GROWTH","FQ1 2014","FQ1 2014","Currency=INR","Period=FQ","BEST_FPERIOD_OVERRIDE=FQ","FILING_STATUS=OR","EQY_CONSOLIDATED=Y","Sort=A","Dates=H","DateFormat=P","Fill=—","Direction=H","UseDPDF=Y")</f>
        <v>#NAME?</v>
      </c>
      <c r="AD179" s="2" t="e">
        <f ca="1">_xll.BDH($C$178,"MODIFIED_WORK_CAP_GROWTH","FQ1 2014","FQ1 2014","Currency=INR","Period=FQ","BEST_FPERIOD_OVERRIDE=FQ","FILING_STATUS=OR","EQY_CONSOLIDATED=Y","Sort=A","Dates=H","DateFormat=P","Fill=—","Direction=H","UseDPDF=Y")</f>
        <v>#NAME?</v>
      </c>
      <c r="AE179" s="2" t="e">
        <f ca="1">_xll.BDH($C$178,"WORK_CAP_GROWTH","FQ1 2014","FQ1 2014","Currency=INR","Period=FQ","BEST_FPERIOD_OVERRIDE=FQ","FILING_STATUS=OR","EQY_CONSOLIDATED=Y","Sort=A","Dates=H","DateFormat=P","Fill=—","Direction=H","UseDPDF=Y")</f>
        <v>#NAME?</v>
      </c>
      <c r="AF179" s="2" t="e">
        <f ca="1">_xll.BDH($C$178,"ACCOUNTS_PAYABLE_GROWTH_1YR","FQ1 2014","FQ1 2014","Currency=INR","Period=FQ","BEST_FPERIOD_OVERRIDE=FQ","FILING_STATUS=OR","EQY_CONSOLIDATED=Y","Sort=A","Dates=H","DateFormat=P","Fill=—","Direction=H","UseDPDF=Y")</f>
        <v>#NAME?</v>
      </c>
      <c r="AG179" s="2" t="e">
        <f ca="1">_xll.BDH($C$178,"SHORT_TERM_DEBT_1_YEAR_GROWTH","FQ1 2014","FQ1 2014","Currency=INR","Period=FQ","BEST_FPERIOD_OVERRIDE=FQ","FILING_STATUS=OR","EQY_CONSOLIDATED=Y","Sort=A","Dates=H","DateFormat=P","Fill=—","Direction=H","UseDPDF=Y")</f>
        <v>#NAME?</v>
      </c>
      <c r="AH179" s="2" t="e">
        <f ca="1">_xll.BDH($C$178,"TOTAL_DEBT_1_YEAR_GROWTH","FQ1 2014","FQ1 2014","Currency=INR","Period=FQ","BEST_FPERIOD_OVERRIDE=FQ","FILING_STATUS=OR","EQY_CONSOLIDATED=Y","Sort=A","Dates=H","DateFormat=P","Fill=—","Direction=H","UseDPDF=Y")</f>
        <v>#NAME?</v>
      </c>
      <c r="AI179" s="2" t="e">
        <f ca="1">_xll.BDH($C$178,"TOTAL_EQUITY_1_YEAR_GROWTH","FQ1 2014","FQ1 2014","Currency=INR","Period=FQ","BEST_FPERIOD_OVERRIDE=FQ","FILING_STATUS=OR","EQY_CONSOLIDATED=Y","Sort=A","Dates=H","DateFormat=P","Fill=—","Direction=H","UseDPDF=Y")</f>
        <v>#NAME?</v>
      </c>
      <c r="AJ179" s="2" t="e">
        <f ca="1">_xll.BDH($C$178,"GROWTH_IN_CAP","FQ1 2014","FQ1 2014","Currency=INR","Period=FQ","BEST_FPERIOD_OVERRIDE=FQ","FILING_STATUS=OR","EQY_CONSOLIDATED=Y","Sort=A","Dates=H","DateFormat=P","Fill=—","Direction=H","UseDPDF=Y")</f>
        <v>#NAME?</v>
      </c>
      <c r="AK179" s="2" t="e">
        <f ca="1">_xll.BDH($C$178,"BVPS_GROWTH","FQ1 2014","FQ1 2014","Currency=INR","Period=FQ","BEST_FPERIOD_OVERRIDE=FQ","FILING_STATUS=OR","EQY_CONSOLIDATED=Y","Sort=A","Dates=H","DateFormat=P","Fill=—","Direction=H","UseDPDF=Y")</f>
        <v>#NAME?</v>
      </c>
      <c r="AL179" s="2" t="e">
        <f ca="1">_xll.BDH($C$178,"CASH_FLOW_GROWTH","FQ1 2014","FQ1 2014","Currency=INR","Period=FQ","BEST_FPERIOD_OVERRIDE=FQ","FILING_STATUS=OR","EQY_CONSOLIDATED=Y","Sort=A","Dates=H","DateFormat=P","Fill=—","Direction=H","UseDPDF=Y")</f>
        <v>#NAME?</v>
      </c>
      <c r="AM179" s="2" t="e">
        <f ca="1">_xll.BDH($C$178,"GEO_GROW_NET_SALES","FQ1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179" s="2" t="e">
        <f ca="1">_xll.BDH($C$178,"GEO_GROW_EBITDA","FQ1 2014","FQ1 2014","Currency=INR","Period=FQ","BEST_FPERIOD_OVERRIDE=FQ","FILING_STATUS=OR","EQY_CONSOLIDATED=Y","FA_ADJUSTED=GAAP","Sort=A","Dates=H","DateFormat=P","Fill=—","Direction=H","UseDPDF=Y")</f>
        <v>#NAME?</v>
      </c>
      <c r="AO179" s="2" t="e">
        <f ca="1">_xll.BDH($C$178,"GEO_GROW_OPER_INC","FQ1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179" s="2" t="e">
        <f ca="1">_xll.BDH($C$178,"NET_INCOME_TO_COMMON_5_YR_GROWTH","FQ1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179" s="2" t="e">
        <f ca="1">_xll.BDH($C$178,"5Y_GEO_GROWTH_DILUTED_EPS","FQ1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179" s="2" t="e">
        <f ca="1">_xll.BDH($C$178,"GEO_GROW_DVD_PER_SH","FQ1 2014","FQ1 2014","Currency=INR","Period=FQ","BEST_FPERIOD_OVERRIDE=FQ","FILING_STATUS=OR","EQY_CONSOLIDATED=Y","Sort=A","Dates=H","DateFormat=P","Fill=—","Direction=H","UseDPDF=Y")</f>
        <v>#NAME?</v>
      </c>
      <c r="AS179" s="2" t="e">
        <f ca="1">_xll.BDH($C$178,"ACCOUNTS_RECEIVABLE_5_YR_GROWTH","FQ1 2014","FQ1 2014","Currency=INR","Period=FQ","BEST_FPERIOD_OVERRIDE=FQ","FILING_STATUS=OR","EQY_CONSOLIDATED=Y","Sort=A","Dates=H","DateFormat=P","Fill=—","Direction=H","UseDPDF=Y")</f>
        <v>#NAME?</v>
      </c>
      <c r="AT179" s="2" t="e">
        <f ca="1">_xll.BDH($C$178,"INVENTORY_5_YEAR_GROWTH","FQ1 2014","FQ1 2014","Currency=INR","Period=FQ","BEST_FPERIOD_OVERRIDE=FQ","FILING_STATUS=OR","EQY_CONSOLIDATED=Y","Sort=A","Dates=H","DateFormat=P","Fill=—","Direction=H","UseDPDF=Y")</f>
        <v>#NAME?</v>
      </c>
      <c r="AU179" s="2" t="e">
        <f ca="1">_xll.BDH($C$178,"NET_FIXED_ASSETS_5_YEAR_GROWTH","FQ1 2014","FQ1 2014","Currency=INR","Period=FQ","BEST_FPERIOD_OVERRIDE=FQ","FILING_STATUS=OR","EQY_CONSOLIDATED=Y","Sort=A","Dates=H","DateFormat=P","Fill=—","Direction=H","UseDPDF=Y")</f>
        <v>#NAME?</v>
      </c>
      <c r="AV179" s="2" t="e">
        <f ca="1">_xll.BDH($C$178,"GEO_GROW_TOT_ASSET","FQ1 2014","FQ1 2014","Currency=INR","Period=FQ","BEST_FPERIOD_OVERRIDE=FQ","FILING_STATUS=OR","EQY_CONSOLIDATED=Y","Sort=A","Dates=H","DateFormat=P","Fill=—","Direction=H","UseDPDF=Y")</f>
        <v>#NAME?</v>
      </c>
      <c r="AW179" s="2" t="e">
        <f ca="1">_xll.BDH($C$178,"MODIFIED_WORKING_CPTL_5YR_GRWTH","FQ1 2014","FQ1 2014","Currency=INR","Period=FQ","BEST_FPERIOD_OVERRIDE=FQ","FILING_STATUS=OR","EQY_CONSOLIDATED=Y","Sort=A","Dates=H","DateFormat=P","Fill=—","Direction=H","UseDPDF=Y")</f>
        <v>#NAME?</v>
      </c>
      <c r="AX179" s="2" t="e">
        <f ca="1">_xll.BDH($C$178,"WORKING_CAPITAL_5_YEAR_GROWTH","FQ1 2014","FQ1 2014","Currency=INR","Period=FQ","BEST_FPERIOD_OVERRIDE=FQ","FILING_STATUS=OR","EQY_CONSOLIDATED=Y","Sort=A","Dates=H","DateFormat=P","Fill=—","Direction=H","UseDPDF=Y")</f>
        <v>#NAME?</v>
      </c>
      <c r="AY179" s="2" t="e">
        <f ca="1">_xll.BDH($C$178,"ACCOUNTS_PAYABLE_5_YEAR_GROWTH","FQ1 2014","FQ1 2014","Currency=INR","Period=FQ","BEST_FPERIOD_OVERRIDE=FQ","FILING_STATUS=OR","EQY_CONSOLIDATED=Y","Sort=A","Dates=H","DateFormat=P","Fill=—","Direction=H","UseDPDF=Y")</f>
        <v>#NAME?</v>
      </c>
      <c r="AZ179" s="2" t="e">
        <f ca="1">_xll.BDH($C$178,"SHORT_TERM_DEBT_5_YEAR_GROWTH","FQ1 2014","FQ1 2014","Currency=INR","Period=FQ","BEST_FPERIOD_OVERRIDE=FQ","FILING_STATUS=OR","EQY_CONSOLIDATED=Y","Sort=A","Dates=H","DateFormat=P","Fill=—","Direction=H","UseDPDF=Y")</f>
        <v>#NAME?</v>
      </c>
      <c r="BA179" s="2" t="e">
        <f ca="1">_xll.BDH($C$178,"TOTAL_DEBT_5_YEAR_GROWTH","FQ1 2014","FQ1 2014","Currency=INR","Period=FQ","BEST_FPERIOD_OVERRIDE=FQ","FILING_STATUS=OR","EQY_CONSOLIDATED=Y","Sort=A","Dates=H","DateFormat=P","Fill=—","Direction=H","UseDPDF=Y")</f>
        <v>#NAME?</v>
      </c>
      <c r="BB179" s="2" t="e">
        <f ca="1">_xll.BDH($C$178,"GEO_GROW_TOT_SHRHLDR_EQY","FQ1 2014","FQ1 2014","Currency=INR","Period=FQ","BEST_FPERIOD_OVERRIDE=FQ","FILING_STATUS=OR","EQY_CONSOLIDATED=Y","Sort=A","Dates=H","DateFormat=P","Fill=—","Direction=H","UseDPDF=Y")</f>
        <v>#NAME?</v>
      </c>
      <c r="BC179" s="2" t="e">
        <f ca="1">_xll.BDH($C$178,"TOTAL_CAPITAL_5_YEAR_GROWTH","FQ1 2014","FQ1 2014","Currency=INR","Period=FQ","BEST_FPERIOD_OVERRIDE=FQ","FILING_STATUS=OR","EQY_CONSOLIDATED=Y","Sort=A","Dates=H","DateFormat=P","Fill=—","Direction=H","UseDPDF=Y")</f>
        <v>#NAME?</v>
      </c>
      <c r="BD179" s="2" t="e">
        <f ca="1">_xll.BDH($C$178,"GEO_GROW_BOOK_VAL","FQ1 2014","FQ1 2014","Currency=INR","Period=FQ","BEST_FPERIOD_OVERRIDE=FQ","FILING_STATUS=OR","EQY_CONSOLIDATED=Y","Sort=A","Dates=H","DateFormat=P","Fill=—","Direction=H","UseDPDF=Y")</f>
        <v>#NAME?</v>
      </c>
      <c r="BE179" s="2" t="e">
        <f ca="1">_xll.BDH($C$178,"GEO_GROW_CASH_OPER_ACT","FQ1 2014","FQ1 2014","Currency=INR","Period=FQ","BEST_FPERIOD_OVERRIDE=FQ","FILING_STATUS=OR","EQY_CONSOLIDATED=Y","Sort=A","Dates=H","DateFormat=P","Fill=—","Direction=H","UseDPDF=Y")</f>
        <v>#NAME?</v>
      </c>
      <c r="BF179" s="2" t="e">
        <f ca="1">_xll.BDH($C$178,"REVENUE_SEQUENTIAL_GROWTH","FQ1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179" s="2" t="e">
        <f ca="1">_xll.BDH($C$178,"EBITDA_SEQUENTIAL_GROWTH","FQ1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179" s="2" t="e">
        <f ca="1">_xll.BDH($C$178,"OPERATING_INCOME_SEQ_GROWTH","FQ1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179" s="2" t="e">
        <f ca="1">_xll.BDH($C$178,"NET_INCOME_TO_COMMON_SEQ_GROWTH","FQ1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179" s="2" t="e">
        <f ca="1">_xll.BDH($C$178,"EPS_DILUTED_SEQUENTIAL_GROWTH","FQ1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179" s="2" t="e">
        <f ca="1">_xll.BDH($C$178,"DPS_SEQUENTIAL_GROWTH","FQ1 2014","FQ1 2014","Currency=INR","Period=FQ","BEST_FPERIOD_OVERRIDE=FQ","FILING_STATUS=OR","EQY_CONSOLIDATED=Y","Sort=A","Dates=H","DateFormat=P","Fill=—","Direction=H","UseDPDF=Y")</f>
        <v>#NAME?</v>
      </c>
      <c r="BL179" s="2" t="e">
        <f ca="1">_xll.BDH($C$178,"ACCOUNTS_RECEIVABLE_SEQ_GROWTH","FQ1 2014","FQ1 2014","Currency=INR","Period=FQ","BEST_FPERIOD_OVERRIDE=FQ","FILING_STATUS=OR","EQY_CONSOLIDATED=Y","Sort=A","Dates=H","DateFormat=P","Fill=—","Direction=H","UseDPDF=Y")</f>
        <v>#NAME?</v>
      </c>
      <c r="BM179" s="2" t="e">
        <f ca="1">_xll.BDH($C$178,"INVENTORY_SEQUENTIAL_GROWTH","FQ1 2014","FQ1 2014","Currency=INR","Period=FQ","BEST_FPERIOD_OVERRIDE=FQ","FILING_STATUS=OR","EQY_CONSOLIDATED=Y","Sort=A","Dates=H","DateFormat=P","Fill=—","Direction=H","UseDPDF=Y")</f>
        <v>#NAME?</v>
      </c>
      <c r="BN179" s="2" t="e">
        <f ca="1">_xll.BDH($C$178,"FIXED_ASSETS_SEQUENTIAL_GROWTH","FQ1 2014","FQ1 2014","Currency=INR","Period=FQ","BEST_FPERIOD_OVERRIDE=FQ","FILING_STATUS=OR","EQY_CONSOLIDATED=Y","Sort=A","Dates=H","DateFormat=P","Fill=—","Direction=H","UseDPDF=Y")</f>
        <v>#NAME?</v>
      </c>
      <c r="BO179" s="2" t="e">
        <f ca="1">_xll.BDH($C$178,"TOTAL_ASSETS_SEQUENTIAL_GROWTH","FQ1 2014","FQ1 2014","Currency=INR","Period=FQ","BEST_FPERIOD_OVERRIDE=FQ","FILING_STATUS=OR","EQY_CONSOLIDATED=Y","Sort=A","Dates=H","DateFormat=P","Fill=—","Direction=H","UseDPDF=Y")</f>
        <v>#NAME?</v>
      </c>
      <c r="BP179" s="2" t="e">
        <f ca="1">_xll.BDH($C$178,"MODIFIED_WORKING_CPTL_SEQ_GRWTH","FQ1 2014","FQ1 2014","Currency=INR","Period=FQ","BEST_FPERIOD_OVERRIDE=FQ","FILING_STATUS=OR","EQY_CONSOLIDATED=Y","Sort=A","Dates=H","DateFormat=P","Fill=—","Direction=H","UseDPDF=Y")</f>
        <v>#NAME?</v>
      </c>
      <c r="BQ179" s="2" t="e">
        <f ca="1">_xll.BDH($C$178,"WORKING_CAPITAL_SEQ_GROWTH","FQ1 2014","FQ1 2014","Currency=INR","Period=FQ","BEST_FPERIOD_OVERRIDE=FQ","FILING_STATUS=OR","EQY_CONSOLIDATED=Y","Sort=A","Dates=H","DateFormat=P","Fill=—","Direction=H","UseDPDF=Y")</f>
        <v>#NAME?</v>
      </c>
      <c r="BR179" s="2" t="e">
        <f ca="1">_xll.BDH($C$178,"ACCOUNTS_PAYABLE_SEQ_GROWTH","FQ1 2014","FQ1 2014","Currency=INR","Period=FQ","BEST_FPERIOD_OVERRIDE=FQ","FILING_STATUS=OR","EQY_CONSOLIDATED=Y","Sort=A","Dates=H","DateFormat=P","Fill=—","Direction=H","UseDPDF=Y")</f>
        <v>#NAME?</v>
      </c>
      <c r="BS179" s="2" t="e">
        <f ca="1">_xll.BDH($C$178,"ST_DEBT_SEQUENTIAL_GROWTH","FQ1 2014","FQ1 2014","Currency=INR","Period=FQ","BEST_FPERIOD_OVERRIDE=FQ","FILING_STATUS=OR","EQY_CONSOLIDATED=Y","Sort=A","Dates=H","DateFormat=P","Fill=—","Direction=H","UseDPDF=Y")</f>
        <v>#NAME?</v>
      </c>
      <c r="BT179" s="2" t="e">
        <f ca="1">_xll.BDH($C$178,"TOTAL_DEBT_SEQUENTIAL_GROWTH","FQ1 2014","FQ1 2014","Currency=INR","Period=FQ","BEST_FPERIOD_OVERRIDE=FQ","FILING_STATUS=OR","EQY_CONSOLIDATED=Y","Sort=A","Dates=H","DateFormat=P","Fill=—","Direction=H","UseDPDF=Y")</f>
        <v>#NAME?</v>
      </c>
      <c r="BU179" s="2" t="e">
        <f ca="1">_xll.BDH($C$178,"TOTAL_EQUITY_SEQUENTIAL_GROWTH","FQ1 2014","FQ1 2014","Currency=INR","Period=FQ","BEST_FPERIOD_OVERRIDE=FQ","FILING_STATUS=OR","EQY_CONSOLIDATED=Y","Sort=A","Dates=H","DateFormat=P","Fill=—","Direction=H","UseDPDF=Y")</f>
        <v>#NAME?</v>
      </c>
      <c r="BV179" s="2" t="e">
        <f ca="1">_xll.BDH($C$178,"TOTAL_CAPITAL_SEQUENTIAL_GROWTH","FQ1 2014","FQ1 2014","Currency=INR","Period=FQ","BEST_FPERIOD_OVERRIDE=FQ","FILING_STATUS=OR","EQY_CONSOLIDATED=Y","Sort=A","Dates=H","DateFormat=P","Fill=—","Direction=H","UseDPDF=Y")</f>
        <v>#NAME?</v>
      </c>
      <c r="BW179" s="2" t="e">
        <f ca="1">_xll.BDH($C$178,"BPS_SEQUENTIAL_GROWTH","FQ1 2014","FQ1 2014","Currency=INR","Period=FQ","BEST_FPERIOD_OVERRIDE=FQ","FILING_STATUS=OR","EQY_CONSOLIDATED=Y","Sort=A","Dates=H","DateFormat=P","Fill=—","Direction=H","UseDPDF=Y")</f>
        <v>#NAME?</v>
      </c>
      <c r="BX179" s="2" t="e">
        <f ca="1">_xll.BDH($C$178,"CFO_SEQUENTIAL_GROWTH","FQ1 2014","FQ1 2014","Currency=INR","Period=FQ","BEST_FPERIOD_OVERRIDE=FQ","FILING_STATUS=OR","EQY_CONSOLIDATED=Y","Sort=A","Dates=H","DateFormat=P","Fill=—","Direction=H","UseDPDF=Y")</f>
        <v>#NAME?</v>
      </c>
      <c r="BY179" s="3" t="e">
        <f ca="1">_xll.BDH($C$178,"SHORT_AND_LONG_TERM_DEBT","FQ1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179" s="3" t="e">
        <f ca="1">_xll.BDH($C$178,"BS_ST_BORROW","FQ1 2014","FQ1 2014","Currency=INR","Period=FQ","BEST_FPERIOD_OVERRIDE=FQ","FILING_STATUS=OR","EQY_CONSOLIDATED=Y","SCALING_FORMAT=MLN","Sort=A","Dates=H","DateFormat=P","Fill=—","Direction=H","UseDPDF=Y")</f>
        <v>#NAME?</v>
      </c>
      <c r="CA179" s="3" t="e">
        <f ca="1">_xll.BDH($C$178,"BS_LT_BORROW","FQ1 2014","FQ1 2014","Currency=INR","Period=FQ","BEST_FPERIOD_OVERRIDE=FQ","FILING_STATUS=OR","EQY_CONSOLIDATED=Y","SCALING_FORMAT=MLN","Sort=A","Dates=H","DateFormat=P","Fill=—","Direction=H","UseDPDF=Y")</f>
        <v>#NAME?</v>
      </c>
      <c r="CB179" s="2" t="e">
        <f ca="1">_xll.BDH($C$178,"TOT_DEBT_TO_EBITDA","FQ1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179" s="2" t="e">
        <f ca="1">_xll.BDH($C$178,"NET_DEBT_TO_EBITDA","FQ1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179" s="2" t="e">
        <f ca="1">_xll.BDH($C$178,"TOTAL_DEBT_TO_EBIT","FQ1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179" s="2" t="e">
        <f ca="1">_xll.BDH($C$178,"NET_DEBT_TO_EBIT","FQ1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179" s="2" t="e">
        <f ca="1">_xll.BDH($C$178,"EBITDA_TO_INTEREST_EXPN","FQ1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179" s="2" t="e">
        <f ca="1">_xll.BDH($C$178,"COM_EQY_TO_TOT_ASSET","FQ1 2014","FQ1 2014","Currency=INR","Period=FQ","BEST_FPERIOD_OVERRIDE=FQ","FILING_STATUS=OR","EQY_CONSOLIDATED=Y","Sort=A","Dates=H","DateFormat=P","Fill=—","Direction=H","UseDPDF=Y")</f>
        <v>#NAME?</v>
      </c>
      <c r="CH179" s="2" t="e">
        <f ca="1">_xll.BDH($C$178,"LT_DEBT_TO_TOT_EQY","FQ1 2014","FQ1 2014","Currency=INR","Period=FQ","BEST_FPERIOD_OVERRIDE=FQ","FILING_STATUS=OR","EQY_CONSOLIDATED=Y","Sort=A","Dates=H","DateFormat=P","Fill=—","Direction=H","UseDPDF=Y")</f>
        <v>#NAME?</v>
      </c>
      <c r="CI179" s="2" t="e">
        <f ca="1">_xll.BDH($C$178,"LT_DEBT_TO_TOT_CAP","FQ1 2014","FQ1 2014","Currency=INR","Period=FQ","BEST_FPERIOD_OVERRIDE=FQ","FILING_STATUS=OR","EQY_CONSOLIDATED=Y","Sort=A","Dates=H","DateFormat=P","Fill=—","Direction=H","UseDPDF=Y")</f>
        <v>#NAME?</v>
      </c>
      <c r="CJ179" s="2" t="e">
        <f ca="1">_xll.BDH($C$178,"LT_DEBT_TO_TOT_ASSET","FQ1 2014","FQ1 2014","Currency=INR","Period=FQ","BEST_FPERIOD_OVERRIDE=FQ","FILING_STATUS=OR","EQY_CONSOLIDATED=Y","Sort=A","Dates=H","DateFormat=P","Fill=—","Direction=H","UseDPDF=Y")</f>
        <v>#NAME?</v>
      </c>
      <c r="CK179" s="2" t="e">
        <f ca="1">_xll.BDH($C$178,"TOT_DEBT_TO_TOT_EQY","FQ1 2014","FQ1 2014","Currency=INR","Period=FQ","BEST_FPERIOD_OVERRIDE=FQ","FILING_STATUS=OR","EQY_CONSOLIDATED=Y","Sort=A","Dates=H","DateFormat=P","Fill=—","Direction=H","UseDPDF=Y")</f>
        <v>#NAME?</v>
      </c>
      <c r="CL179" s="2" t="e">
        <f ca="1">_xll.BDH($C$178,"TOT_DEBT_TO_TOT_CAP","FQ1 2014","FQ1 2014","Currency=INR","Period=FQ","BEST_FPERIOD_OVERRIDE=FQ","FILING_STATUS=OR","EQY_CONSOLIDATED=Y","Sort=A","Dates=H","DateFormat=P","Fill=—","Direction=H","UseDPDF=Y")</f>
        <v>#NAME?</v>
      </c>
      <c r="CM179" s="2" t="e">
        <f ca="1">_xll.BDH($C$178,"TOT_DEBT_TO_TOT_ASSET","FQ1 2014","FQ1 2014","Currency=INR","Period=FQ","BEST_FPERIOD_OVERRIDE=FQ","FILING_STATUS=OR","EQY_CONSOLIDATED=Y","Sort=A","Dates=H","DateFormat=P","Fill=—","Direction=H","UseDPDF=Y")</f>
        <v>#NAME?</v>
      </c>
      <c r="CN179" s="2" t="e">
        <f ca="1">_xll.BDH($C$178,"NET_DEBT_TO_SHRHLDR_EQTY","FQ1 2014","FQ1 2014","Currency=INR","Period=FQ","BEST_FPERIOD_OVERRIDE=FQ","FILING_STATUS=OR","EQY_CONSOLIDATED=Y","Sort=A","Dates=H","DateFormat=P","Fill=—","Direction=H","UseDPDF=Y")</f>
        <v>#NAME?</v>
      </c>
      <c r="CO179" s="2" t="e">
        <f ca="1">_xll.BDH($C$178,"NET_DEBT_%_CAPITAL","FQ1 2014","FQ1 2014","Currency=INR","Period=FQ","BEST_FPERIOD_OVERRIDE=FQ","FILING_STATUS=OR","EQY_CONSOLIDATED=Y","Sort=A","Dates=H","DateFormat=P","Fill=—","Direction=H","UseDPDF=Y")</f>
        <v>#NAME?</v>
      </c>
      <c r="CP179" s="3" t="e">
        <f ca="1">_xll.BDH($C$178,"EBITDA","FQ1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179" s="3" t="e">
        <f ca="1">_xll.BDH($C$178,"EBITDA_AFTER_CAPEX","FQ1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179" s="3" t="e">
        <f ca="1">_xll.BDH($C$178,"IS_OPER_INC","FQ1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179" s="2" t="e">
        <f ca="1">_xll.BDH($C$178,"CASH_RATIO","FQ1 2014","FQ1 2014","Currency=INR","Period=FQ","BEST_FPERIOD_OVERRIDE=FQ","FILING_STATUS=OR","EQY_CONSOLIDATED=Y","Sort=A","Dates=H","DateFormat=P","Fill=—","Direction=H","UseDPDF=Y")</f>
        <v>#NAME?</v>
      </c>
      <c r="CT179" s="2" t="e">
        <f ca="1">_xll.BDH($C$178,"CUR_RATIO","FQ1 2014","FQ1 2014","Currency=INR","Period=FQ","BEST_FPERIOD_OVERRIDE=FQ","FILING_STATUS=OR","EQY_CONSOLIDATED=Y","Sort=A","Dates=H","DateFormat=P","Fill=—","Direction=H","UseDPDF=Y")</f>
        <v>#NAME?</v>
      </c>
      <c r="CU179" s="2" t="e">
        <f ca="1">_xll.BDH($C$178,"QUICK_RATIO","FQ1 2014","FQ1 2014","Currency=INR","Period=FQ","BEST_FPERIOD_OVERRIDE=FQ","FILING_STATUS=OR","EQY_CONSOLIDATED=Y","Sort=A","Dates=H","DateFormat=P","Fill=—","Direction=H","UseDPDF=Y")</f>
        <v>#NAME?</v>
      </c>
      <c r="CV179" s="2" t="e">
        <f ca="1">_xll.BDH($C$178,"ALTMAN_Z_SCORE","FQ1 2014","FQ1 2014","Currency=INR","Period=FQ","BEST_FPERIOD_OVERRIDE=FQ","FILING_STATUS=OR","EQY_CONSOLIDATED=Y","Sort=A","Dates=H","DateFormat=P","Fill=—","Direction=H","UseDPDF=Y")</f>
        <v>#NAME?</v>
      </c>
      <c r="CW179" s="4" t="e">
        <f ca="1">_xll.BDH($C$178,"ACCT_RCV_TURN","FQ1 2014","FQ1 2014","Currency=INR","Period=FQ","BEST_FPERIOD_OVERRIDE=FQ","FILING_STATUS=OR","EQY_CONSOLIDATED=Y","FA_ADJUSTED=GAAP","Sort=A","Dates=H","DateFormat=P","Fill=—","Direction=H","UseDPDF=Y")</f>
        <v>#NAME?</v>
      </c>
      <c r="CX179" s="2" t="e">
        <f ca="1">_xll.BDH($C$178,"ACCT_RCV_DAYS","FQ1 2014","FQ1 2014","Currency=INR","Period=FQ","BEST_FPERIOD_OVERRIDE=FQ","FILING_STATUS=OR","EQY_CONSOLIDATED=Y","FA_ADJUSTED=GAAP","Sort=A","Dates=H","DateFormat=P","Fill=—","Direction=H","UseDPDF=Y")</f>
        <v>#NAME?</v>
      </c>
      <c r="CY179" s="4" t="e">
        <f ca="1">_xll.BDH($C$178,"INVENT_TURN","FQ1 2014","FQ1 2014","Currency=INR","Period=FQ","BEST_FPERIOD_OVERRIDE=FQ","FILING_STATUS=OR","EQY_CONSOLIDATED=Y","FA_ADJUSTED=GAAP","Sort=A","Dates=H","DateFormat=P","Fill=—","Direction=H","UseDPDF=Y")</f>
        <v>#NAME?</v>
      </c>
      <c r="CZ179" s="2" t="e">
        <f ca="1">_xll.BDH($C$178,"INVENT_DAYS","FQ1 2014","FQ1 2014","Currency=INR","Period=FQ","BEST_FPERIOD_OVERRIDE=FQ","FILING_STATUS=OR","EQY_CONSOLIDATED=Y","FA_ADJUSTED=GAAP","Sort=A","Dates=H","DateFormat=P","Fill=—","Direction=H","UseDPDF=Y")</f>
        <v>#NAME?</v>
      </c>
      <c r="DA179" s="4" t="e">
        <f ca="1">_xll.BDH($C$178,"ACCOUNTS_PAYABLE_TURNOVER","FQ1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179" s="2" t="e">
        <f ca="1">_xll.BDH($C$178,"ACCOUNTS_PAYABLE_TURNOVER_DAYS","FQ1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179" s="4" t="e">
        <f ca="1">_xll.BDH($C$178,"CASH_CONVERSION_CYCLE","FQ1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179" s="4" t="e">
        <f ca="1">_xll.BDH($C$178,"INV_TO_CASH_DAYS","FQ1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179" s="5" t="e">
        <f ca="1">_xll.BDH($C$178,"BS_INVENTORIES","FQ1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179" s="3" t="e">
        <f ca="1">_xll.BDH($C$178,"INVTRY_RAW_MATERIALS","FQ1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179" s="3" t="e">
        <f ca="1">_xll.BDH($C$178,"INVTRY_IN_PROGRESS","FQ1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179" s="3" t="e">
        <f ca="1">_xll.BDH($C$178,"INVTRY_FINISHED_GOODS","FQ1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179" s="3" t="e">
        <f ca="1">_xll.BDH($C$178,"BS_OTHER_INV","FQ1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180" spans="1:113" x14ac:dyDescent="0.3">
      <c r="A180" s="6"/>
      <c r="B180" s="6"/>
      <c r="C180" s="6"/>
      <c r="D180" s="6"/>
      <c r="E180" t="s">
        <v>79</v>
      </c>
      <c r="F180" t="e">
        <f ca="1">_xll.BDH($C$178,"RETURN_COM_EQY","FQ2 2014","FQ2 2014","Currency=INR","Period=FQ","BEST_FPERIOD_OVERRIDE=FQ","FILING_STATUS=OR","EQY_CONSOLIDATED=Y","FA_ADJUSTED=GAAP","Sort=A","Dates=H","DateFormat=P","Fill=—","Direction=H","UseDPDF=Y")</f>
        <v>#NAME?</v>
      </c>
      <c r="G180" t="e">
        <f ca="1">_xll.BDH($C$178,"RETURN_ON_ASSET","FQ2 2014","FQ2 2014","Currency=INR","Period=FQ","BEST_FPERIOD_OVERRIDE=FQ","FILING_STATUS=OR","EQY_CONSOLIDATED=Y","FA_ADJUSTED=GAAP","Sort=A","Dates=H","DateFormat=P","Fill=—","Direction=H","UseDPDF=Y")</f>
        <v>#NAME?</v>
      </c>
      <c r="H180" t="e">
        <f ca="1">_xll.BDH($C$178,"RETURN_ON_CAP","FQ2 2014","FQ2 2014","Currency=INR","Period=FQ","BEST_FPERIOD_OVERRIDE=FQ","FILING_STATUS=OR","EQY_CONSOLIDATED=Y","FA_ADJUSTED=GAAP","Sort=A","Dates=H","DateFormat=P","Fill=—","Direction=H","UseDPDF=Y")</f>
        <v>#NAME?</v>
      </c>
      <c r="I180" t="e">
        <f ca="1">_xll.BDH($C$178,"RETURN_ON_INV_CAPITAL","FQ2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180" t="e">
        <f ca="1">_xll.BDH($C$178,"EBITDA_TO_REVENUE","FQ2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180" t="e">
        <f ca="1">_xll.BDH($C$178,"OPER_MARGIN","FQ2 2014","FQ2 2014","Currency=INR","Period=FQ","BEST_FPERIOD_OVERRIDE=FQ","FILING_STATUS=OR","EQY_CONSOLIDATED=Y","FA_ADJUSTED=GAAP","Sort=A","Dates=H","DateFormat=P","Fill=—","Direction=H","UseDPDF=Y")</f>
        <v>#NAME?</v>
      </c>
      <c r="L180" t="e">
        <f ca="1">_xll.BDH($C$178,"INCREMENTAL_OPERATING_MARGIN","FQ2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180" t="e">
        <f ca="1">_xll.BDH($C$178,"PRETAX_INC_TO_NET_SALES","FQ2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180" t="e">
        <f ca="1">_xll.BDH($C$178,"INC_BEF_XO_ITEMS_TO_NET_SALES","FQ2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180" t="e">
        <f ca="1">_xll.BDH($C$178,"PROF_MARGIN","FQ2 2014","FQ2 2014","Currency=INR","Period=FQ","BEST_FPERIOD_OVERRIDE=FQ","FILING_STATUS=OR","EQY_CONSOLIDATED=Y","FA_ADJUSTED=GAAP","Sort=A","Dates=H","DateFormat=P","Fill=—","Direction=H","UseDPDF=Y")</f>
        <v>#NAME?</v>
      </c>
      <c r="P180" t="e">
        <f ca="1">_xll.BDH($C$178,"NET_INCOME_TO_COMMON_MARGIN","FQ2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180" t="e">
        <f ca="1">_xll.BDH($C$178,"EFF_TAX_RATE","FQ2 2014","FQ2 2014","Currency=INR","Period=FQ","BEST_FPERIOD_OVERRIDE=FQ","FILING_STATUS=OR","EQY_CONSOLIDATED=Y","FA_ADJUSTED=GAAP","Sort=A","Dates=H","DateFormat=P","Fill=—","Direction=H","UseDPDF=Y")</f>
        <v>#NAME?</v>
      </c>
      <c r="R180" t="e">
        <f ca="1">_xll.BDH($C$178,"DVD_PAYOUT_RATIO","FQ2 2014","FQ2 2014","Currency=INR","Period=FQ","BEST_FPERIOD_OVERRIDE=FQ","FILING_STATUS=OR","EQY_CONSOLIDATED=Y","FA_ADJUSTED=GAAP","Sort=A","Dates=H","DateFormat=P","Fill=—","Direction=H","UseDPDF=Y")</f>
        <v>#NAME?</v>
      </c>
      <c r="S180" t="e">
        <f ca="1">_xll.BDH($C$178,"SUSTAIN_GROWTH_RT","FQ2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180" s="2" t="e">
        <f ca="1">_xll.BDH($C$178,"SALES_GROWTH","FQ2 2014","FQ2 2014","Currency=INR","Period=FQ","BEST_FPERIOD_OVERRIDE=FQ","FILING_STATUS=OR","EQY_CONSOLIDATED=Y","FA_ADJUSTED=GAAP","Sort=A","Dates=H","DateFormat=P","Fill=—","Direction=H","UseDPDF=Y")</f>
        <v>#NAME?</v>
      </c>
      <c r="U180" s="2" t="e">
        <f ca="1">_xll.BDH($C$178,"EBITDA_GROWTH","FQ2 2014","FQ2 2014","Currency=INR","Period=FQ","BEST_FPERIOD_OVERRIDE=FQ","FILING_STATUS=OR","EQY_CONSOLIDATED=Y","FA_ADJUSTED=GAAP","Sort=A","Dates=H","DateFormat=P","Fill=—","Direction=H","UseDPDF=Y")</f>
        <v>#NAME?</v>
      </c>
      <c r="V180" s="2" t="e">
        <f ca="1">_xll.BDH($C$178,"OPER_INC_GROWTH","FQ2 2014","FQ2 2014","Currency=INR","Period=FQ","BEST_FPERIOD_OVERRIDE=FQ","FILING_STATUS=OR","EQY_CONSOLIDATED=Y","FA_ADJUSTED=GAAP","Sort=A","Dates=H","DateFormat=P","Fill=—","Direction=H","UseDPDF=Y")</f>
        <v>#NAME?</v>
      </c>
      <c r="W180" s="2" t="e">
        <f ca="1">_xll.BDH($C$178,"EARN_FOR_COM_GROWTH","FQ2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180" s="2" t="e">
        <f ca="1">_xll.BDH($C$178,"DILUTED_EPS_AFT_XO_ITEMS_GROWTH","FQ2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180" s="2" t="e">
        <f ca="1">_xll.BDH($C$178,"DIVIDEND_PER_SHARE_1_YEAR_GROWTH","FQ2 2014","FQ2 2014","Currency=INR","Period=FQ","BEST_FPERIOD_OVERRIDE=FQ","FILING_STATUS=OR","EQY_CONSOLIDATED=Y","Sort=A","Dates=H","DateFormat=P","Fill=—","Direction=H","UseDPDF=Y")</f>
        <v>#NAME?</v>
      </c>
      <c r="Z180" s="2" t="e">
        <f ca="1">_xll.BDH($C$178,"ACCOUNTS_RECEIVABLE_GROWTH","FQ2 2014","FQ2 2014","Currency=INR","Period=FQ","BEST_FPERIOD_OVERRIDE=FQ","FILING_STATUS=OR","EQY_CONSOLIDATED=Y","Sort=A","Dates=H","DateFormat=P","Fill=—","Direction=H","UseDPDF=Y")</f>
        <v>#NAME?</v>
      </c>
      <c r="AA180" s="2" t="e">
        <f ca="1">_xll.BDH($C$178,"INVENTORY_GROWTH","FQ2 2014","FQ2 2014","Currency=INR","Period=FQ","BEST_FPERIOD_OVERRIDE=FQ","FILING_STATUS=OR","EQY_CONSOLIDATED=Y","Sort=A","Dates=H","DateFormat=P","Fill=—","Direction=H","UseDPDF=Y")</f>
        <v>#NAME?</v>
      </c>
      <c r="AB180" s="2" t="e">
        <f ca="1">_xll.BDH($C$178,"NET_FIXED_ASSETS_1_YEAR_GROWTH","FQ2 2014","FQ2 2014","Currency=INR","Period=FQ","BEST_FPERIOD_OVERRIDE=FQ","FILING_STATUS=OR","EQY_CONSOLIDATED=Y","Sort=A","Dates=H","DateFormat=P","Fill=—","Direction=H","UseDPDF=Y")</f>
        <v>#NAME?</v>
      </c>
      <c r="AC180" s="2" t="e">
        <f ca="1">_xll.BDH($C$178,"ASSET_GROWTH","FQ2 2014","FQ2 2014","Currency=INR","Period=FQ","BEST_FPERIOD_OVERRIDE=FQ","FILING_STATUS=OR","EQY_CONSOLIDATED=Y","Sort=A","Dates=H","DateFormat=P","Fill=—","Direction=H","UseDPDF=Y")</f>
        <v>#NAME?</v>
      </c>
      <c r="AD180" s="2" t="e">
        <f ca="1">_xll.BDH($C$178,"MODIFIED_WORK_CAP_GROWTH","FQ2 2014","FQ2 2014","Currency=INR","Period=FQ","BEST_FPERIOD_OVERRIDE=FQ","FILING_STATUS=OR","EQY_CONSOLIDATED=Y","Sort=A","Dates=H","DateFormat=P","Fill=—","Direction=H","UseDPDF=Y")</f>
        <v>#NAME?</v>
      </c>
      <c r="AE180" s="2" t="e">
        <f ca="1">_xll.BDH($C$178,"WORK_CAP_GROWTH","FQ2 2014","FQ2 2014","Currency=INR","Period=FQ","BEST_FPERIOD_OVERRIDE=FQ","FILING_STATUS=OR","EQY_CONSOLIDATED=Y","Sort=A","Dates=H","DateFormat=P","Fill=—","Direction=H","UseDPDF=Y")</f>
        <v>#NAME?</v>
      </c>
      <c r="AF180" s="2" t="e">
        <f ca="1">_xll.BDH($C$178,"ACCOUNTS_PAYABLE_GROWTH_1YR","FQ2 2014","FQ2 2014","Currency=INR","Period=FQ","BEST_FPERIOD_OVERRIDE=FQ","FILING_STATUS=OR","EQY_CONSOLIDATED=Y","Sort=A","Dates=H","DateFormat=P","Fill=—","Direction=H","UseDPDF=Y")</f>
        <v>#NAME?</v>
      </c>
      <c r="AG180" s="2" t="e">
        <f ca="1">_xll.BDH($C$178,"SHORT_TERM_DEBT_1_YEAR_GROWTH","FQ2 2014","FQ2 2014","Currency=INR","Period=FQ","BEST_FPERIOD_OVERRIDE=FQ","FILING_STATUS=OR","EQY_CONSOLIDATED=Y","Sort=A","Dates=H","DateFormat=P","Fill=—","Direction=H","UseDPDF=Y")</f>
        <v>#NAME?</v>
      </c>
      <c r="AH180" s="2" t="e">
        <f ca="1">_xll.BDH($C$178,"TOTAL_DEBT_1_YEAR_GROWTH","FQ2 2014","FQ2 2014","Currency=INR","Period=FQ","BEST_FPERIOD_OVERRIDE=FQ","FILING_STATUS=OR","EQY_CONSOLIDATED=Y","Sort=A","Dates=H","DateFormat=P","Fill=—","Direction=H","UseDPDF=Y")</f>
        <v>#NAME?</v>
      </c>
      <c r="AI180" s="2" t="e">
        <f ca="1">_xll.BDH($C$178,"TOTAL_EQUITY_1_YEAR_GROWTH","FQ2 2014","FQ2 2014","Currency=INR","Period=FQ","BEST_FPERIOD_OVERRIDE=FQ","FILING_STATUS=OR","EQY_CONSOLIDATED=Y","Sort=A","Dates=H","DateFormat=P","Fill=—","Direction=H","UseDPDF=Y")</f>
        <v>#NAME?</v>
      </c>
      <c r="AJ180" s="2" t="e">
        <f ca="1">_xll.BDH($C$178,"GROWTH_IN_CAP","FQ2 2014","FQ2 2014","Currency=INR","Period=FQ","BEST_FPERIOD_OVERRIDE=FQ","FILING_STATUS=OR","EQY_CONSOLIDATED=Y","Sort=A","Dates=H","DateFormat=P","Fill=—","Direction=H","UseDPDF=Y")</f>
        <v>#NAME?</v>
      </c>
      <c r="AK180" s="2" t="e">
        <f ca="1">_xll.BDH($C$178,"BVPS_GROWTH","FQ2 2014","FQ2 2014","Currency=INR","Period=FQ","BEST_FPERIOD_OVERRIDE=FQ","FILING_STATUS=OR","EQY_CONSOLIDATED=Y","Sort=A","Dates=H","DateFormat=P","Fill=—","Direction=H","UseDPDF=Y")</f>
        <v>#NAME?</v>
      </c>
      <c r="AL180" s="2" t="e">
        <f ca="1">_xll.BDH($C$178,"CASH_FLOW_GROWTH","FQ2 2014","FQ2 2014","Currency=INR","Period=FQ","BEST_FPERIOD_OVERRIDE=FQ","FILING_STATUS=OR","EQY_CONSOLIDATED=Y","Sort=A","Dates=H","DateFormat=P","Fill=—","Direction=H","UseDPDF=Y")</f>
        <v>#NAME?</v>
      </c>
      <c r="AM180" s="2" t="e">
        <f ca="1">_xll.BDH($C$178,"GEO_GROW_NET_SALES","FQ2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180" s="2" t="e">
        <f ca="1">_xll.BDH($C$178,"GEO_GROW_EBITDA","FQ2 2014","FQ2 2014","Currency=INR","Period=FQ","BEST_FPERIOD_OVERRIDE=FQ","FILING_STATUS=OR","EQY_CONSOLIDATED=Y","FA_ADJUSTED=GAAP","Sort=A","Dates=H","DateFormat=P","Fill=—","Direction=H","UseDPDF=Y")</f>
        <v>#NAME?</v>
      </c>
      <c r="AO180" s="2" t="e">
        <f ca="1">_xll.BDH($C$178,"GEO_GROW_OPER_INC","FQ2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180" s="2" t="e">
        <f ca="1">_xll.BDH($C$178,"NET_INCOME_TO_COMMON_5_YR_GROWTH","FQ2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180" s="2" t="e">
        <f ca="1">_xll.BDH($C$178,"5Y_GEO_GROWTH_DILUTED_EPS","FQ2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180" s="2" t="e">
        <f ca="1">_xll.BDH($C$178,"GEO_GROW_DVD_PER_SH","FQ2 2014","FQ2 2014","Currency=INR","Period=FQ","BEST_FPERIOD_OVERRIDE=FQ","FILING_STATUS=OR","EQY_CONSOLIDATED=Y","Sort=A","Dates=H","DateFormat=P","Fill=—","Direction=H","UseDPDF=Y")</f>
        <v>#NAME?</v>
      </c>
      <c r="AS180" s="2" t="e">
        <f ca="1">_xll.BDH($C$178,"ACCOUNTS_RECEIVABLE_5_YR_GROWTH","FQ2 2014","FQ2 2014","Currency=INR","Period=FQ","BEST_FPERIOD_OVERRIDE=FQ","FILING_STATUS=OR","EQY_CONSOLIDATED=Y","Sort=A","Dates=H","DateFormat=P","Fill=—","Direction=H","UseDPDF=Y")</f>
        <v>#NAME?</v>
      </c>
      <c r="AT180" s="2" t="e">
        <f ca="1">_xll.BDH($C$178,"INVENTORY_5_YEAR_GROWTH","FQ2 2014","FQ2 2014","Currency=INR","Period=FQ","BEST_FPERIOD_OVERRIDE=FQ","FILING_STATUS=OR","EQY_CONSOLIDATED=Y","Sort=A","Dates=H","DateFormat=P","Fill=—","Direction=H","UseDPDF=Y")</f>
        <v>#NAME?</v>
      </c>
      <c r="AU180" s="2" t="e">
        <f ca="1">_xll.BDH($C$178,"NET_FIXED_ASSETS_5_YEAR_GROWTH","FQ2 2014","FQ2 2014","Currency=INR","Period=FQ","BEST_FPERIOD_OVERRIDE=FQ","FILING_STATUS=OR","EQY_CONSOLIDATED=Y","Sort=A","Dates=H","DateFormat=P","Fill=—","Direction=H","UseDPDF=Y")</f>
        <v>#NAME?</v>
      </c>
      <c r="AV180" s="2" t="e">
        <f ca="1">_xll.BDH($C$178,"GEO_GROW_TOT_ASSET","FQ2 2014","FQ2 2014","Currency=INR","Period=FQ","BEST_FPERIOD_OVERRIDE=FQ","FILING_STATUS=OR","EQY_CONSOLIDATED=Y","Sort=A","Dates=H","DateFormat=P","Fill=—","Direction=H","UseDPDF=Y")</f>
        <v>#NAME?</v>
      </c>
      <c r="AW180" s="2" t="e">
        <f ca="1">_xll.BDH($C$178,"MODIFIED_WORKING_CPTL_5YR_GRWTH","FQ2 2014","FQ2 2014","Currency=INR","Period=FQ","BEST_FPERIOD_OVERRIDE=FQ","FILING_STATUS=OR","EQY_CONSOLIDATED=Y","Sort=A","Dates=H","DateFormat=P","Fill=—","Direction=H","UseDPDF=Y")</f>
        <v>#NAME?</v>
      </c>
      <c r="AX180" s="2" t="e">
        <f ca="1">_xll.BDH($C$178,"WORKING_CAPITAL_5_YEAR_GROWTH","FQ2 2014","FQ2 2014","Currency=INR","Period=FQ","BEST_FPERIOD_OVERRIDE=FQ","FILING_STATUS=OR","EQY_CONSOLIDATED=Y","Sort=A","Dates=H","DateFormat=P","Fill=—","Direction=H","UseDPDF=Y")</f>
        <v>#NAME?</v>
      </c>
      <c r="AY180" s="2" t="e">
        <f ca="1">_xll.BDH($C$178,"ACCOUNTS_PAYABLE_5_YEAR_GROWTH","FQ2 2014","FQ2 2014","Currency=INR","Period=FQ","BEST_FPERIOD_OVERRIDE=FQ","FILING_STATUS=OR","EQY_CONSOLIDATED=Y","Sort=A","Dates=H","DateFormat=P","Fill=—","Direction=H","UseDPDF=Y")</f>
        <v>#NAME?</v>
      </c>
      <c r="AZ180" s="2" t="e">
        <f ca="1">_xll.BDH($C$178,"SHORT_TERM_DEBT_5_YEAR_GROWTH","FQ2 2014","FQ2 2014","Currency=INR","Period=FQ","BEST_FPERIOD_OVERRIDE=FQ","FILING_STATUS=OR","EQY_CONSOLIDATED=Y","Sort=A","Dates=H","DateFormat=P","Fill=—","Direction=H","UseDPDF=Y")</f>
        <v>#NAME?</v>
      </c>
      <c r="BA180" s="2" t="e">
        <f ca="1">_xll.BDH($C$178,"TOTAL_DEBT_5_YEAR_GROWTH","FQ2 2014","FQ2 2014","Currency=INR","Period=FQ","BEST_FPERIOD_OVERRIDE=FQ","FILING_STATUS=OR","EQY_CONSOLIDATED=Y","Sort=A","Dates=H","DateFormat=P","Fill=—","Direction=H","UseDPDF=Y")</f>
        <v>#NAME?</v>
      </c>
      <c r="BB180" s="2" t="e">
        <f ca="1">_xll.BDH($C$178,"GEO_GROW_TOT_SHRHLDR_EQY","FQ2 2014","FQ2 2014","Currency=INR","Period=FQ","BEST_FPERIOD_OVERRIDE=FQ","FILING_STATUS=OR","EQY_CONSOLIDATED=Y","Sort=A","Dates=H","DateFormat=P","Fill=—","Direction=H","UseDPDF=Y")</f>
        <v>#NAME?</v>
      </c>
      <c r="BC180" s="2" t="e">
        <f ca="1">_xll.BDH($C$178,"TOTAL_CAPITAL_5_YEAR_GROWTH","FQ2 2014","FQ2 2014","Currency=INR","Period=FQ","BEST_FPERIOD_OVERRIDE=FQ","FILING_STATUS=OR","EQY_CONSOLIDATED=Y","Sort=A","Dates=H","DateFormat=P","Fill=—","Direction=H","UseDPDF=Y")</f>
        <v>#NAME?</v>
      </c>
      <c r="BD180" s="2" t="e">
        <f ca="1">_xll.BDH($C$178,"GEO_GROW_BOOK_VAL","FQ2 2014","FQ2 2014","Currency=INR","Period=FQ","BEST_FPERIOD_OVERRIDE=FQ","FILING_STATUS=OR","EQY_CONSOLIDATED=Y","Sort=A","Dates=H","DateFormat=P","Fill=—","Direction=H","UseDPDF=Y")</f>
        <v>#NAME?</v>
      </c>
      <c r="BE180" s="2" t="e">
        <f ca="1">_xll.BDH($C$178,"GEO_GROW_CASH_OPER_ACT","FQ2 2014","FQ2 2014","Currency=INR","Period=FQ","BEST_FPERIOD_OVERRIDE=FQ","FILING_STATUS=OR","EQY_CONSOLIDATED=Y","Sort=A","Dates=H","DateFormat=P","Fill=—","Direction=H","UseDPDF=Y")</f>
        <v>#NAME?</v>
      </c>
      <c r="BF180" s="2" t="e">
        <f ca="1">_xll.BDH($C$178,"REVENUE_SEQUENTIAL_GROWTH","FQ2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180" s="2" t="e">
        <f ca="1">_xll.BDH($C$178,"EBITDA_SEQUENTIAL_GROWTH","FQ2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180" s="2" t="e">
        <f ca="1">_xll.BDH($C$178,"OPERATING_INCOME_SEQ_GROWTH","FQ2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180" s="2" t="e">
        <f ca="1">_xll.BDH($C$178,"NET_INCOME_TO_COMMON_SEQ_GROWTH","FQ2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180" s="2" t="e">
        <f ca="1">_xll.BDH($C$178,"EPS_DILUTED_SEQUENTIAL_GROWTH","FQ2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180" s="2" t="e">
        <f ca="1">_xll.BDH($C$178,"DPS_SEQUENTIAL_GROWTH","FQ2 2014","FQ2 2014","Currency=INR","Period=FQ","BEST_FPERIOD_OVERRIDE=FQ","FILING_STATUS=OR","EQY_CONSOLIDATED=Y","Sort=A","Dates=H","DateFormat=P","Fill=—","Direction=H","UseDPDF=Y")</f>
        <v>#NAME?</v>
      </c>
      <c r="BL180" s="2" t="e">
        <f ca="1">_xll.BDH($C$178,"ACCOUNTS_RECEIVABLE_SEQ_GROWTH","FQ2 2014","FQ2 2014","Currency=INR","Period=FQ","BEST_FPERIOD_OVERRIDE=FQ","FILING_STATUS=OR","EQY_CONSOLIDATED=Y","Sort=A","Dates=H","DateFormat=P","Fill=—","Direction=H","UseDPDF=Y")</f>
        <v>#NAME?</v>
      </c>
      <c r="BM180" s="2" t="e">
        <f ca="1">_xll.BDH($C$178,"INVENTORY_SEQUENTIAL_GROWTH","FQ2 2014","FQ2 2014","Currency=INR","Period=FQ","BEST_FPERIOD_OVERRIDE=FQ","FILING_STATUS=OR","EQY_CONSOLIDATED=Y","Sort=A","Dates=H","DateFormat=P","Fill=—","Direction=H","UseDPDF=Y")</f>
        <v>#NAME?</v>
      </c>
      <c r="BN180" s="2" t="e">
        <f ca="1">_xll.BDH($C$178,"FIXED_ASSETS_SEQUENTIAL_GROWTH","FQ2 2014","FQ2 2014","Currency=INR","Period=FQ","BEST_FPERIOD_OVERRIDE=FQ","FILING_STATUS=OR","EQY_CONSOLIDATED=Y","Sort=A","Dates=H","DateFormat=P","Fill=—","Direction=H","UseDPDF=Y")</f>
        <v>#NAME?</v>
      </c>
      <c r="BO180" s="2" t="e">
        <f ca="1">_xll.BDH($C$178,"TOTAL_ASSETS_SEQUENTIAL_GROWTH","FQ2 2014","FQ2 2014","Currency=INR","Period=FQ","BEST_FPERIOD_OVERRIDE=FQ","FILING_STATUS=OR","EQY_CONSOLIDATED=Y","Sort=A","Dates=H","DateFormat=P","Fill=—","Direction=H","UseDPDF=Y")</f>
        <v>#NAME?</v>
      </c>
      <c r="BP180" s="2" t="e">
        <f ca="1">_xll.BDH($C$178,"MODIFIED_WORKING_CPTL_SEQ_GRWTH","FQ2 2014","FQ2 2014","Currency=INR","Period=FQ","BEST_FPERIOD_OVERRIDE=FQ","FILING_STATUS=OR","EQY_CONSOLIDATED=Y","Sort=A","Dates=H","DateFormat=P","Fill=—","Direction=H","UseDPDF=Y")</f>
        <v>#NAME?</v>
      </c>
      <c r="BQ180" s="2" t="e">
        <f ca="1">_xll.BDH($C$178,"WORKING_CAPITAL_SEQ_GROWTH","FQ2 2014","FQ2 2014","Currency=INR","Period=FQ","BEST_FPERIOD_OVERRIDE=FQ","FILING_STATUS=OR","EQY_CONSOLIDATED=Y","Sort=A","Dates=H","DateFormat=P","Fill=—","Direction=H","UseDPDF=Y")</f>
        <v>#NAME?</v>
      </c>
      <c r="BR180" s="2" t="e">
        <f ca="1">_xll.BDH($C$178,"ACCOUNTS_PAYABLE_SEQ_GROWTH","FQ2 2014","FQ2 2014","Currency=INR","Period=FQ","BEST_FPERIOD_OVERRIDE=FQ","FILING_STATUS=OR","EQY_CONSOLIDATED=Y","Sort=A","Dates=H","DateFormat=P","Fill=—","Direction=H","UseDPDF=Y")</f>
        <v>#NAME?</v>
      </c>
      <c r="BS180" s="2" t="e">
        <f ca="1">_xll.BDH($C$178,"ST_DEBT_SEQUENTIAL_GROWTH","FQ2 2014","FQ2 2014","Currency=INR","Period=FQ","BEST_FPERIOD_OVERRIDE=FQ","FILING_STATUS=OR","EQY_CONSOLIDATED=Y","Sort=A","Dates=H","DateFormat=P","Fill=—","Direction=H","UseDPDF=Y")</f>
        <v>#NAME?</v>
      </c>
      <c r="BT180" s="2" t="e">
        <f ca="1">_xll.BDH($C$178,"TOTAL_DEBT_SEQUENTIAL_GROWTH","FQ2 2014","FQ2 2014","Currency=INR","Period=FQ","BEST_FPERIOD_OVERRIDE=FQ","FILING_STATUS=OR","EQY_CONSOLIDATED=Y","Sort=A","Dates=H","DateFormat=P","Fill=—","Direction=H","UseDPDF=Y")</f>
        <v>#NAME?</v>
      </c>
      <c r="BU180" s="2" t="e">
        <f ca="1">_xll.BDH($C$178,"TOTAL_EQUITY_SEQUENTIAL_GROWTH","FQ2 2014","FQ2 2014","Currency=INR","Period=FQ","BEST_FPERIOD_OVERRIDE=FQ","FILING_STATUS=OR","EQY_CONSOLIDATED=Y","Sort=A","Dates=H","DateFormat=P","Fill=—","Direction=H","UseDPDF=Y")</f>
        <v>#NAME?</v>
      </c>
      <c r="BV180" s="2" t="e">
        <f ca="1">_xll.BDH($C$178,"TOTAL_CAPITAL_SEQUENTIAL_GROWTH","FQ2 2014","FQ2 2014","Currency=INR","Period=FQ","BEST_FPERIOD_OVERRIDE=FQ","FILING_STATUS=OR","EQY_CONSOLIDATED=Y","Sort=A","Dates=H","DateFormat=P","Fill=—","Direction=H","UseDPDF=Y")</f>
        <v>#NAME?</v>
      </c>
      <c r="BW180" s="2" t="e">
        <f ca="1">_xll.BDH($C$178,"BPS_SEQUENTIAL_GROWTH","FQ2 2014","FQ2 2014","Currency=INR","Period=FQ","BEST_FPERIOD_OVERRIDE=FQ","FILING_STATUS=OR","EQY_CONSOLIDATED=Y","Sort=A","Dates=H","DateFormat=P","Fill=—","Direction=H","UseDPDF=Y")</f>
        <v>#NAME?</v>
      </c>
      <c r="BX180" s="2" t="e">
        <f ca="1">_xll.BDH($C$178,"CFO_SEQUENTIAL_GROWTH","FQ2 2014","FQ2 2014","Currency=INR","Period=FQ","BEST_FPERIOD_OVERRIDE=FQ","FILING_STATUS=OR","EQY_CONSOLIDATED=Y","Sort=A","Dates=H","DateFormat=P","Fill=—","Direction=H","UseDPDF=Y")</f>
        <v>#NAME?</v>
      </c>
      <c r="BY180" s="3" t="e">
        <f ca="1">_xll.BDH($C$178,"SHORT_AND_LONG_TERM_DEBT","FQ2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180" s="3" t="e">
        <f ca="1">_xll.BDH($C$178,"BS_ST_BORROW","FQ2 2014","FQ2 2014","Currency=INR","Period=FQ","BEST_FPERIOD_OVERRIDE=FQ","FILING_STATUS=OR","EQY_CONSOLIDATED=Y","SCALING_FORMAT=MLN","Sort=A","Dates=H","DateFormat=P","Fill=—","Direction=H","UseDPDF=Y")</f>
        <v>#NAME?</v>
      </c>
      <c r="CA180" s="3" t="e">
        <f ca="1">_xll.BDH($C$178,"BS_LT_BORROW","FQ2 2014","FQ2 2014","Currency=INR","Period=FQ","BEST_FPERIOD_OVERRIDE=FQ","FILING_STATUS=OR","EQY_CONSOLIDATED=Y","SCALING_FORMAT=MLN","Sort=A","Dates=H","DateFormat=P","Fill=—","Direction=H","UseDPDF=Y")</f>
        <v>#NAME?</v>
      </c>
      <c r="CB180" s="2" t="e">
        <f ca="1">_xll.BDH($C$178,"TOT_DEBT_TO_EBITDA","FQ2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180" s="2" t="e">
        <f ca="1">_xll.BDH($C$178,"NET_DEBT_TO_EBITDA","FQ2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180" s="2" t="e">
        <f ca="1">_xll.BDH($C$178,"TOTAL_DEBT_TO_EBIT","FQ2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180" s="2" t="e">
        <f ca="1">_xll.BDH($C$178,"NET_DEBT_TO_EBIT","FQ2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180" s="2" t="e">
        <f ca="1">_xll.BDH($C$178,"EBITDA_TO_INTEREST_EXPN","FQ2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180" s="2" t="e">
        <f ca="1">_xll.BDH($C$178,"COM_EQY_TO_TOT_ASSET","FQ2 2014","FQ2 2014","Currency=INR","Period=FQ","BEST_FPERIOD_OVERRIDE=FQ","FILING_STATUS=OR","EQY_CONSOLIDATED=Y","Sort=A","Dates=H","DateFormat=P","Fill=—","Direction=H","UseDPDF=Y")</f>
        <v>#NAME?</v>
      </c>
      <c r="CH180" s="2" t="e">
        <f ca="1">_xll.BDH($C$178,"LT_DEBT_TO_TOT_EQY","FQ2 2014","FQ2 2014","Currency=INR","Period=FQ","BEST_FPERIOD_OVERRIDE=FQ","FILING_STATUS=OR","EQY_CONSOLIDATED=Y","Sort=A","Dates=H","DateFormat=P","Fill=—","Direction=H","UseDPDF=Y")</f>
        <v>#NAME?</v>
      </c>
      <c r="CI180" s="2" t="e">
        <f ca="1">_xll.BDH($C$178,"LT_DEBT_TO_TOT_CAP","FQ2 2014","FQ2 2014","Currency=INR","Period=FQ","BEST_FPERIOD_OVERRIDE=FQ","FILING_STATUS=OR","EQY_CONSOLIDATED=Y","Sort=A","Dates=H","DateFormat=P","Fill=—","Direction=H","UseDPDF=Y")</f>
        <v>#NAME?</v>
      </c>
      <c r="CJ180" s="2" t="e">
        <f ca="1">_xll.BDH($C$178,"LT_DEBT_TO_TOT_ASSET","FQ2 2014","FQ2 2014","Currency=INR","Period=FQ","BEST_FPERIOD_OVERRIDE=FQ","FILING_STATUS=OR","EQY_CONSOLIDATED=Y","Sort=A","Dates=H","DateFormat=P","Fill=—","Direction=H","UseDPDF=Y")</f>
        <v>#NAME?</v>
      </c>
      <c r="CK180" s="2" t="e">
        <f ca="1">_xll.BDH($C$178,"TOT_DEBT_TO_TOT_EQY","FQ2 2014","FQ2 2014","Currency=INR","Period=FQ","BEST_FPERIOD_OVERRIDE=FQ","FILING_STATUS=OR","EQY_CONSOLIDATED=Y","Sort=A","Dates=H","DateFormat=P","Fill=—","Direction=H","UseDPDF=Y")</f>
        <v>#NAME?</v>
      </c>
      <c r="CL180" s="2" t="e">
        <f ca="1">_xll.BDH($C$178,"TOT_DEBT_TO_TOT_CAP","FQ2 2014","FQ2 2014","Currency=INR","Period=FQ","BEST_FPERIOD_OVERRIDE=FQ","FILING_STATUS=OR","EQY_CONSOLIDATED=Y","Sort=A","Dates=H","DateFormat=P","Fill=—","Direction=H","UseDPDF=Y")</f>
        <v>#NAME?</v>
      </c>
      <c r="CM180" s="2" t="e">
        <f ca="1">_xll.BDH($C$178,"TOT_DEBT_TO_TOT_ASSET","FQ2 2014","FQ2 2014","Currency=INR","Period=FQ","BEST_FPERIOD_OVERRIDE=FQ","FILING_STATUS=OR","EQY_CONSOLIDATED=Y","Sort=A","Dates=H","DateFormat=P","Fill=—","Direction=H","UseDPDF=Y")</f>
        <v>#NAME?</v>
      </c>
      <c r="CN180" s="2" t="e">
        <f ca="1">_xll.BDH($C$178,"NET_DEBT_TO_SHRHLDR_EQTY","FQ2 2014","FQ2 2014","Currency=INR","Period=FQ","BEST_FPERIOD_OVERRIDE=FQ","FILING_STATUS=OR","EQY_CONSOLIDATED=Y","Sort=A","Dates=H","DateFormat=P","Fill=—","Direction=H","UseDPDF=Y")</f>
        <v>#NAME?</v>
      </c>
      <c r="CO180" s="2" t="e">
        <f ca="1">_xll.BDH($C$178,"NET_DEBT_%_CAPITAL","FQ2 2014","FQ2 2014","Currency=INR","Period=FQ","BEST_FPERIOD_OVERRIDE=FQ","FILING_STATUS=OR","EQY_CONSOLIDATED=Y","Sort=A","Dates=H","DateFormat=P","Fill=—","Direction=H","UseDPDF=Y")</f>
        <v>#NAME?</v>
      </c>
      <c r="CP180" s="3" t="e">
        <f ca="1">_xll.BDH($C$178,"EBITDA","FQ2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180" s="3" t="e">
        <f ca="1">_xll.BDH($C$178,"EBITDA_AFTER_CAPEX","FQ2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180" s="3" t="e">
        <f ca="1">_xll.BDH($C$178,"IS_OPER_INC","FQ2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180" s="2" t="e">
        <f ca="1">_xll.BDH($C$178,"CASH_RATIO","FQ2 2014","FQ2 2014","Currency=INR","Period=FQ","BEST_FPERIOD_OVERRIDE=FQ","FILING_STATUS=OR","EQY_CONSOLIDATED=Y","Sort=A","Dates=H","DateFormat=P","Fill=—","Direction=H","UseDPDF=Y")</f>
        <v>#NAME?</v>
      </c>
      <c r="CT180" s="2" t="e">
        <f ca="1">_xll.BDH($C$178,"CUR_RATIO","FQ2 2014","FQ2 2014","Currency=INR","Period=FQ","BEST_FPERIOD_OVERRIDE=FQ","FILING_STATUS=OR","EQY_CONSOLIDATED=Y","Sort=A","Dates=H","DateFormat=P","Fill=—","Direction=H","UseDPDF=Y")</f>
        <v>#NAME?</v>
      </c>
      <c r="CU180" s="2" t="e">
        <f ca="1">_xll.BDH($C$178,"QUICK_RATIO","FQ2 2014","FQ2 2014","Currency=INR","Period=FQ","BEST_FPERIOD_OVERRIDE=FQ","FILING_STATUS=OR","EQY_CONSOLIDATED=Y","Sort=A","Dates=H","DateFormat=P","Fill=—","Direction=H","UseDPDF=Y")</f>
        <v>#NAME?</v>
      </c>
      <c r="CV180" s="2" t="e">
        <f ca="1">_xll.BDH($C$178,"ALTMAN_Z_SCORE","FQ2 2014","FQ2 2014","Currency=INR","Period=FQ","BEST_FPERIOD_OVERRIDE=FQ","FILING_STATUS=OR","EQY_CONSOLIDATED=Y","Sort=A","Dates=H","DateFormat=P","Fill=—","Direction=H","UseDPDF=Y")</f>
        <v>#NAME?</v>
      </c>
      <c r="CW180" s="4" t="e">
        <f ca="1">_xll.BDH($C$178,"ACCT_RCV_TURN","FQ2 2014","FQ2 2014","Currency=INR","Period=FQ","BEST_FPERIOD_OVERRIDE=FQ","FILING_STATUS=OR","EQY_CONSOLIDATED=Y","FA_ADJUSTED=GAAP","Sort=A","Dates=H","DateFormat=P","Fill=—","Direction=H","UseDPDF=Y")</f>
        <v>#NAME?</v>
      </c>
      <c r="CX180" s="2" t="e">
        <f ca="1">_xll.BDH($C$178,"ACCT_RCV_DAYS","FQ2 2014","FQ2 2014","Currency=INR","Period=FQ","BEST_FPERIOD_OVERRIDE=FQ","FILING_STATUS=OR","EQY_CONSOLIDATED=Y","FA_ADJUSTED=GAAP","Sort=A","Dates=H","DateFormat=P","Fill=—","Direction=H","UseDPDF=Y")</f>
        <v>#NAME?</v>
      </c>
      <c r="CY180" s="4" t="e">
        <f ca="1">_xll.BDH($C$178,"INVENT_TURN","FQ2 2014","FQ2 2014","Currency=INR","Period=FQ","BEST_FPERIOD_OVERRIDE=FQ","FILING_STATUS=OR","EQY_CONSOLIDATED=Y","FA_ADJUSTED=GAAP","Sort=A","Dates=H","DateFormat=P","Fill=—","Direction=H","UseDPDF=Y")</f>
        <v>#NAME?</v>
      </c>
      <c r="CZ180" s="2" t="e">
        <f ca="1">_xll.BDH($C$178,"INVENT_DAYS","FQ2 2014","FQ2 2014","Currency=INR","Period=FQ","BEST_FPERIOD_OVERRIDE=FQ","FILING_STATUS=OR","EQY_CONSOLIDATED=Y","FA_ADJUSTED=GAAP","Sort=A","Dates=H","DateFormat=P","Fill=—","Direction=H","UseDPDF=Y")</f>
        <v>#NAME?</v>
      </c>
      <c r="DA180" s="4" t="e">
        <f ca="1">_xll.BDH($C$178,"ACCOUNTS_PAYABLE_TURNOVER","FQ2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180" s="2" t="e">
        <f ca="1">_xll.BDH($C$178,"ACCOUNTS_PAYABLE_TURNOVER_DAYS","FQ2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180" s="4" t="e">
        <f ca="1">_xll.BDH($C$178,"CASH_CONVERSION_CYCLE","FQ2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180" s="4" t="e">
        <f ca="1">_xll.BDH($C$178,"INV_TO_CASH_DAYS","FQ2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180" s="5" t="e">
        <f ca="1">_xll.BDH($C$178,"BS_INVENTORIES","FQ2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180" s="3" t="e">
        <f ca="1">_xll.BDH($C$178,"INVTRY_RAW_MATERIALS","FQ2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180" s="3" t="e">
        <f ca="1">_xll.BDH($C$178,"INVTRY_IN_PROGRESS","FQ2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180" s="3" t="e">
        <f ca="1">_xll.BDH($C$178,"INVTRY_FINISHED_GOODS","FQ2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180" s="3" t="e">
        <f ca="1">_xll.BDH($C$178,"BS_OTHER_INV","FQ2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181" spans="1:113" x14ac:dyDescent="0.3">
      <c r="A181" s="6"/>
      <c r="B181" s="6"/>
      <c r="C181" s="6"/>
      <c r="D181" s="6"/>
      <c r="E181" t="s">
        <v>80</v>
      </c>
      <c r="F181" t="e">
        <f ca="1">_xll.BDH($C$178,"RETURN_COM_EQY","FQ3 2014","FQ3 2014","Currency=INR","Period=FQ","BEST_FPERIOD_OVERRIDE=FQ","FILING_STATUS=OR","EQY_CONSOLIDATED=Y","FA_ADJUSTED=GAAP","Sort=A","Dates=H","DateFormat=P","Fill=—","Direction=H","UseDPDF=Y")</f>
        <v>#NAME?</v>
      </c>
      <c r="G181" t="e">
        <f ca="1">_xll.BDH($C$178,"RETURN_ON_ASSET","FQ3 2014","FQ3 2014","Currency=INR","Period=FQ","BEST_FPERIOD_OVERRIDE=FQ","FILING_STATUS=OR","EQY_CONSOLIDATED=Y","FA_ADJUSTED=GAAP","Sort=A","Dates=H","DateFormat=P","Fill=—","Direction=H","UseDPDF=Y")</f>
        <v>#NAME?</v>
      </c>
      <c r="H181" t="e">
        <f ca="1">_xll.BDH($C$178,"RETURN_ON_CAP","FQ3 2014","FQ3 2014","Currency=INR","Period=FQ","BEST_FPERIOD_OVERRIDE=FQ","FILING_STATUS=OR","EQY_CONSOLIDATED=Y","FA_ADJUSTED=GAAP","Sort=A","Dates=H","DateFormat=P","Fill=—","Direction=H","UseDPDF=Y")</f>
        <v>#NAME?</v>
      </c>
      <c r="I181" t="e">
        <f ca="1">_xll.BDH($C$178,"RETURN_ON_INV_CAPITAL","FQ3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181" t="e">
        <f ca="1">_xll.BDH($C$178,"EBITDA_TO_REVENUE","FQ3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181" t="e">
        <f ca="1">_xll.BDH($C$178,"OPER_MARGIN","FQ3 2014","FQ3 2014","Currency=INR","Period=FQ","BEST_FPERIOD_OVERRIDE=FQ","FILING_STATUS=OR","EQY_CONSOLIDATED=Y","FA_ADJUSTED=GAAP","Sort=A","Dates=H","DateFormat=P","Fill=—","Direction=H","UseDPDF=Y")</f>
        <v>#NAME?</v>
      </c>
      <c r="L181" t="e">
        <f ca="1">_xll.BDH($C$178,"INCREMENTAL_OPERATING_MARGIN","FQ3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181" t="e">
        <f ca="1">_xll.BDH($C$178,"PRETAX_INC_TO_NET_SALES","FQ3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181" t="e">
        <f ca="1">_xll.BDH($C$178,"INC_BEF_XO_ITEMS_TO_NET_SALES","FQ3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181" t="e">
        <f ca="1">_xll.BDH($C$178,"PROF_MARGIN","FQ3 2014","FQ3 2014","Currency=INR","Period=FQ","BEST_FPERIOD_OVERRIDE=FQ","FILING_STATUS=OR","EQY_CONSOLIDATED=Y","FA_ADJUSTED=GAAP","Sort=A","Dates=H","DateFormat=P","Fill=—","Direction=H","UseDPDF=Y")</f>
        <v>#NAME?</v>
      </c>
      <c r="P181" t="e">
        <f ca="1">_xll.BDH($C$178,"NET_INCOME_TO_COMMON_MARGIN","FQ3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181" t="e">
        <f ca="1">_xll.BDH($C$178,"EFF_TAX_RATE","FQ3 2014","FQ3 2014","Currency=INR","Period=FQ","BEST_FPERIOD_OVERRIDE=FQ","FILING_STATUS=OR","EQY_CONSOLIDATED=Y","FA_ADJUSTED=GAAP","Sort=A","Dates=H","DateFormat=P","Fill=—","Direction=H","UseDPDF=Y")</f>
        <v>#NAME?</v>
      </c>
      <c r="R181" t="e">
        <f ca="1">_xll.BDH($C$178,"DVD_PAYOUT_RATIO","FQ3 2014","FQ3 2014","Currency=INR","Period=FQ","BEST_FPERIOD_OVERRIDE=FQ","FILING_STATUS=OR","EQY_CONSOLIDATED=Y","FA_ADJUSTED=GAAP","Sort=A","Dates=H","DateFormat=P","Fill=—","Direction=H","UseDPDF=Y")</f>
        <v>#NAME?</v>
      </c>
      <c r="S181" t="e">
        <f ca="1">_xll.BDH($C$178,"SUSTAIN_GROWTH_RT","FQ3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181" s="2" t="e">
        <f ca="1">_xll.BDH($C$178,"SALES_GROWTH","FQ3 2014","FQ3 2014","Currency=INR","Period=FQ","BEST_FPERIOD_OVERRIDE=FQ","FILING_STATUS=OR","EQY_CONSOLIDATED=Y","FA_ADJUSTED=GAAP","Sort=A","Dates=H","DateFormat=P","Fill=—","Direction=H","UseDPDF=Y")</f>
        <v>#NAME?</v>
      </c>
      <c r="U181" s="2" t="e">
        <f ca="1">_xll.BDH($C$178,"EBITDA_GROWTH","FQ3 2014","FQ3 2014","Currency=INR","Period=FQ","BEST_FPERIOD_OVERRIDE=FQ","FILING_STATUS=OR","EQY_CONSOLIDATED=Y","FA_ADJUSTED=GAAP","Sort=A","Dates=H","DateFormat=P","Fill=—","Direction=H","UseDPDF=Y")</f>
        <v>#NAME?</v>
      </c>
      <c r="V181" s="2" t="e">
        <f ca="1">_xll.BDH($C$178,"OPER_INC_GROWTH","FQ3 2014","FQ3 2014","Currency=INR","Period=FQ","BEST_FPERIOD_OVERRIDE=FQ","FILING_STATUS=OR","EQY_CONSOLIDATED=Y","FA_ADJUSTED=GAAP","Sort=A","Dates=H","DateFormat=P","Fill=—","Direction=H","UseDPDF=Y")</f>
        <v>#NAME?</v>
      </c>
      <c r="W181" s="2" t="e">
        <f ca="1">_xll.BDH($C$178,"EARN_FOR_COM_GROWTH","FQ3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181" s="2" t="e">
        <f ca="1">_xll.BDH($C$178,"DILUTED_EPS_AFT_XO_ITEMS_GROWTH","FQ3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181" s="2" t="e">
        <f ca="1">_xll.BDH($C$178,"DIVIDEND_PER_SHARE_1_YEAR_GROWTH","FQ3 2014","FQ3 2014","Currency=INR","Period=FQ","BEST_FPERIOD_OVERRIDE=FQ","FILING_STATUS=OR","EQY_CONSOLIDATED=Y","Sort=A","Dates=H","DateFormat=P","Fill=—","Direction=H","UseDPDF=Y")</f>
        <v>#NAME?</v>
      </c>
      <c r="Z181" s="2" t="e">
        <f ca="1">_xll.BDH($C$178,"ACCOUNTS_RECEIVABLE_GROWTH","FQ3 2014","FQ3 2014","Currency=INR","Period=FQ","BEST_FPERIOD_OVERRIDE=FQ","FILING_STATUS=OR","EQY_CONSOLIDATED=Y","Sort=A","Dates=H","DateFormat=P","Fill=—","Direction=H","UseDPDF=Y")</f>
        <v>#NAME?</v>
      </c>
      <c r="AA181" s="2" t="e">
        <f ca="1">_xll.BDH($C$178,"INVENTORY_GROWTH","FQ3 2014","FQ3 2014","Currency=INR","Period=FQ","BEST_FPERIOD_OVERRIDE=FQ","FILING_STATUS=OR","EQY_CONSOLIDATED=Y","Sort=A","Dates=H","DateFormat=P","Fill=—","Direction=H","UseDPDF=Y")</f>
        <v>#NAME?</v>
      </c>
      <c r="AB181" s="2" t="e">
        <f ca="1">_xll.BDH($C$178,"NET_FIXED_ASSETS_1_YEAR_GROWTH","FQ3 2014","FQ3 2014","Currency=INR","Period=FQ","BEST_FPERIOD_OVERRIDE=FQ","FILING_STATUS=OR","EQY_CONSOLIDATED=Y","Sort=A","Dates=H","DateFormat=P","Fill=—","Direction=H","UseDPDF=Y")</f>
        <v>#NAME?</v>
      </c>
      <c r="AC181" s="2" t="e">
        <f ca="1">_xll.BDH($C$178,"ASSET_GROWTH","FQ3 2014","FQ3 2014","Currency=INR","Period=FQ","BEST_FPERIOD_OVERRIDE=FQ","FILING_STATUS=OR","EQY_CONSOLIDATED=Y","Sort=A","Dates=H","DateFormat=P","Fill=—","Direction=H","UseDPDF=Y")</f>
        <v>#NAME?</v>
      </c>
      <c r="AD181" s="2" t="e">
        <f ca="1">_xll.BDH($C$178,"MODIFIED_WORK_CAP_GROWTH","FQ3 2014","FQ3 2014","Currency=INR","Period=FQ","BEST_FPERIOD_OVERRIDE=FQ","FILING_STATUS=OR","EQY_CONSOLIDATED=Y","Sort=A","Dates=H","DateFormat=P","Fill=—","Direction=H","UseDPDF=Y")</f>
        <v>#NAME?</v>
      </c>
      <c r="AE181" s="2" t="e">
        <f ca="1">_xll.BDH($C$178,"WORK_CAP_GROWTH","FQ3 2014","FQ3 2014","Currency=INR","Period=FQ","BEST_FPERIOD_OVERRIDE=FQ","FILING_STATUS=OR","EQY_CONSOLIDATED=Y","Sort=A","Dates=H","DateFormat=P","Fill=—","Direction=H","UseDPDF=Y")</f>
        <v>#NAME?</v>
      </c>
      <c r="AF181" s="2" t="e">
        <f ca="1">_xll.BDH($C$178,"ACCOUNTS_PAYABLE_GROWTH_1YR","FQ3 2014","FQ3 2014","Currency=INR","Period=FQ","BEST_FPERIOD_OVERRIDE=FQ","FILING_STATUS=OR","EQY_CONSOLIDATED=Y","Sort=A","Dates=H","DateFormat=P","Fill=—","Direction=H","UseDPDF=Y")</f>
        <v>#NAME?</v>
      </c>
      <c r="AG181" s="2" t="e">
        <f ca="1">_xll.BDH($C$178,"SHORT_TERM_DEBT_1_YEAR_GROWTH","FQ3 2014","FQ3 2014","Currency=INR","Period=FQ","BEST_FPERIOD_OVERRIDE=FQ","FILING_STATUS=OR","EQY_CONSOLIDATED=Y","Sort=A","Dates=H","DateFormat=P","Fill=—","Direction=H","UseDPDF=Y")</f>
        <v>#NAME?</v>
      </c>
      <c r="AH181" s="2" t="e">
        <f ca="1">_xll.BDH($C$178,"TOTAL_DEBT_1_YEAR_GROWTH","FQ3 2014","FQ3 2014","Currency=INR","Period=FQ","BEST_FPERIOD_OVERRIDE=FQ","FILING_STATUS=OR","EQY_CONSOLIDATED=Y","Sort=A","Dates=H","DateFormat=P","Fill=—","Direction=H","UseDPDF=Y")</f>
        <v>#NAME?</v>
      </c>
      <c r="AI181" s="2" t="e">
        <f ca="1">_xll.BDH($C$178,"TOTAL_EQUITY_1_YEAR_GROWTH","FQ3 2014","FQ3 2014","Currency=INR","Period=FQ","BEST_FPERIOD_OVERRIDE=FQ","FILING_STATUS=OR","EQY_CONSOLIDATED=Y","Sort=A","Dates=H","DateFormat=P","Fill=—","Direction=H","UseDPDF=Y")</f>
        <v>#NAME?</v>
      </c>
      <c r="AJ181" s="2" t="e">
        <f ca="1">_xll.BDH($C$178,"GROWTH_IN_CAP","FQ3 2014","FQ3 2014","Currency=INR","Period=FQ","BEST_FPERIOD_OVERRIDE=FQ","FILING_STATUS=OR","EQY_CONSOLIDATED=Y","Sort=A","Dates=H","DateFormat=P","Fill=—","Direction=H","UseDPDF=Y")</f>
        <v>#NAME?</v>
      </c>
      <c r="AK181" s="2" t="e">
        <f ca="1">_xll.BDH($C$178,"BVPS_GROWTH","FQ3 2014","FQ3 2014","Currency=INR","Period=FQ","BEST_FPERIOD_OVERRIDE=FQ","FILING_STATUS=OR","EQY_CONSOLIDATED=Y","Sort=A","Dates=H","DateFormat=P","Fill=—","Direction=H","UseDPDF=Y")</f>
        <v>#NAME?</v>
      </c>
      <c r="AL181" s="2" t="e">
        <f ca="1">_xll.BDH($C$178,"CASH_FLOW_GROWTH","FQ3 2014","FQ3 2014","Currency=INR","Period=FQ","BEST_FPERIOD_OVERRIDE=FQ","FILING_STATUS=OR","EQY_CONSOLIDATED=Y","Sort=A","Dates=H","DateFormat=P","Fill=—","Direction=H","UseDPDF=Y")</f>
        <v>#NAME?</v>
      </c>
      <c r="AM181" s="2" t="e">
        <f ca="1">_xll.BDH($C$178,"GEO_GROW_NET_SALES","FQ3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181" s="2" t="e">
        <f ca="1">_xll.BDH($C$178,"GEO_GROW_EBITDA","FQ3 2014","FQ3 2014","Currency=INR","Period=FQ","BEST_FPERIOD_OVERRIDE=FQ","FILING_STATUS=OR","EQY_CONSOLIDATED=Y","FA_ADJUSTED=GAAP","Sort=A","Dates=H","DateFormat=P","Fill=—","Direction=H","UseDPDF=Y")</f>
        <v>#NAME?</v>
      </c>
      <c r="AO181" s="2" t="e">
        <f ca="1">_xll.BDH($C$178,"GEO_GROW_OPER_INC","FQ3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181" s="2" t="e">
        <f ca="1">_xll.BDH($C$178,"NET_INCOME_TO_COMMON_5_YR_GROWTH","FQ3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181" s="2" t="e">
        <f ca="1">_xll.BDH($C$178,"5Y_GEO_GROWTH_DILUTED_EPS","FQ3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181" s="2" t="e">
        <f ca="1">_xll.BDH($C$178,"GEO_GROW_DVD_PER_SH","FQ3 2014","FQ3 2014","Currency=INR","Period=FQ","BEST_FPERIOD_OVERRIDE=FQ","FILING_STATUS=OR","EQY_CONSOLIDATED=Y","Sort=A","Dates=H","DateFormat=P","Fill=—","Direction=H","UseDPDF=Y")</f>
        <v>#NAME?</v>
      </c>
      <c r="AS181" s="2" t="e">
        <f ca="1">_xll.BDH($C$178,"ACCOUNTS_RECEIVABLE_5_YR_GROWTH","FQ3 2014","FQ3 2014","Currency=INR","Period=FQ","BEST_FPERIOD_OVERRIDE=FQ","FILING_STATUS=OR","EQY_CONSOLIDATED=Y","Sort=A","Dates=H","DateFormat=P","Fill=—","Direction=H","UseDPDF=Y")</f>
        <v>#NAME?</v>
      </c>
      <c r="AT181" s="2" t="e">
        <f ca="1">_xll.BDH($C$178,"INVENTORY_5_YEAR_GROWTH","FQ3 2014","FQ3 2014","Currency=INR","Period=FQ","BEST_FPERIOD_OVERRIDE=FQ","FILING_STATUS=OR","EQY_CONSOLIDATED=Y","Sort=A","Dates=H","DateFormat=P","Fill=—","Direction=H","UseDPDF=Y")</f>
        <v>#NAME?</v>
      </c>
      <c r="AU181" s="2" t="e">
        <f ca="1">_xll.BDH($C$178,"NET_FIXED_ASSETS_5_YEAR_GROWTH","FQ3 2014","FQ3 2014","Currency=INR","Period=FQ","BEST_FPERIOD_OVERRIDE=FQ","FILING_STATUS=OR","EQY_CONSOLIDATED=Y","Sort=A","Dates=H","DateFormat=P","Fill=—","Direction=H","UseDPDF=Y")</f>
        <v>#NAME?</v>
      </c>
      <c r="AV181" s="2" t="e">
        <f ca="1">_xll.BDH($C$178,"GEO_GROW_TOT_ASSET","FQ3 2014","FQ3 2014","Currency=INR","Period=FQ","BEST_FPERIOD_OVERRIDE=FQ","FILING_STATUS=OR","EQY_CONSOLIDATED=Y","Sort=A","Dates=H","DateFormat=P","Fill=—","Direction=H","UseDPDF=Y")</f>
        <v>#NAME?</v>
      </c>
      <c r="AW181" s="2" t="e">
        <f ca="1">_xll.BDH($C$178,"MODIFIED_WORKING_CPTL_5YR_GRWTH","FQ3 2014","FQ3 2014","Currency=INR","Period=FQ","BEST_FPERIOD_OVERRIDE=FQ","FILING_STATUS=OR","EQY_CONSOLIDATED=Y","Sort=A","Dates=H","DateFormat=P","Fill=—","Direction=H","UseDPDF=Y")</f>
        <v>#NAME?</v>
      </c>
      <c r="AX181" s="2" t="e">
        <f ca="1">_xll.BDH($C$178,"WORKING_CAPITAL_5_YEAR_GROWTH","FQ3 2014","FQ3 2014","Currency=INR","Period=FQ","BEST_FPERIOD_OVERRIDE=FQ","FILING_STATUS=OR","EQY_CONSOLIDATED=Y","Sort=A","Dates=H","DateFormat=P","Fill=—","Direction=H","UseDPDF=Y")</f>
        <v>#NAME?</v>
      </c>
      <c r="AY181" s="2" t="e">
        <f ca="1">_xll.BDH($C$178,"ACCOUNTS_PAYABLE_5_YEAR_GROWTH","FQ3 2014","FQ3 2014","Currency=INR","Period=FQ","BEST_FPERIOD_OVERRIDE=FQ","FILING_STATUS=OR","EQY_CONSOLIDATED=Y","Sort=A","Dates=H","DateFormat=P","Fill=—","Direction=H","UseDPDF=Y")</f>
        <v>#NAME?</v>
      </c>
      <c r="AZ181" s="2" t="e">
        <f ca="1">_xll.BDH($C$178,"SHORT_TERM_DEBT_5_YEAR_GROWTH","FQ3 2014","FQ3 2014","Currency=INR","Period=FQ","BEST_FPERIOD_OVERRIDE=FQ","FILING_STATUS=OR","EQY_CONSOLIDATED=Y","Sort=A","Dates=H","DateFormat=P","Fill=—","Direction=H","UseDPDF=Y")</f>
        <v>#NAME?</v>
      </c>
      <c r="BA181" s="2" t="e">
        <f ca="1">_xll.BDH($C$178,"TOTAL_DEBT_5_YEAR_GROWTH","FQ3 2014","FQ3 2014","Currency=INR","Period=FQ","BEST_FPERIOD_OVERRIDE=FQ","FILING_STATUS=OR","EQY_CONSOLIDATED=Y","Sort=A","Dates=H","DateFormat=P","Fill=—","Direction=H","UseDPDF=Y")</f>
        <v>#NAME?</v>
      </c>
      <c r="BB181" s="2" t="e">
        <f ca="1">_xll.BDH($C$178,"GEO_GROW_TOT_SHRHLDR_EQY","FQ3 2014","FQ3 2014","Currency=INR","Period=FQ","BEST_FPERIOD_OVERRIDE=FQ","FILING_STATUS=OR","EQY_CONSOLIDATED=Y","Sort=A","Dates=H","DateFormat=P","Fill=—","Direction=H","UseDPDF=Y")</f>
        <v>#NAME?</v>
      </c>
      <c r="BC181" s="2" t="e">
        <f ca="1">_xll.BDH($C$178,"TOTAL_CAPITAL_5_YEAR_GROWTH","FQ3 2014","FQ3 2014","Currency=INR","Period=FQ","BEST_FPERIOD_OVERRIDE=FQ","FILING_STATUS=OR","EQY_CONSOLIDATED=Y","Sort=A","Dates=H","DateFormat=P","Fill=—","Direction=H","UseDPDF=Y")</f>
        <v>#NAME?</v>
      </c>
      <c r="BD181" s="2" t="e">
        <f ca="1">_xll.BDH($C$178,"GEO_GROW_BOOK_VAL","FQ3 2014","FQ3 2014","Currency=INR","Period=FQ","BEST_FPERIOD_OVERRIDE=FQ","FILING_STATUS=OR","EQY_CONSOLIDATED=Y","Sort=A","Dates=H","DateFormat=P","Fill=—","Direction=H","UseDPDF=Y")</f>
        <v>#NAME?</v>
      </c>
      <c r="BE181" s="2" t="e">
        <f ca="1">_xll.BDH($C$178,"GEO_GROW_CASH_OPER_ACT","FQ3 2014","FQ3 2014","Currency=INR","Period=FQ","BEST_FPERIOD_OVERRIDE=FQ","FILING_STATUS=OR","EQY_CONSOLIDATED=Y","Sort=A","Dates=H","DateFormat=P","Fill=—","Direction=H","UseDPDF=Y")</f>
        <v>#NAME?</v>
      </c>
      <c r="BF181" s="2" t="e">
        <f ca="1">_xll.BDH($C$178,"REVENUE_SEQUENTIAL_GROWTH","FQ3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181" s="2" t="e">
        <f ca="1">_xll.BDH($C$178,"EBITDA_SEQUENTIAL_GROWTH","FQ3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181" s="2" t="e">
        <f ca="1">_xll.BDH($C$178,"OPERATING_INCOME_SEQ_GROWTH","FQ3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181" s="2" t="e">
        <f ca="1">_xll.BDH($C$178,"NET_INCOME_TO_COMMON_SEQ_GROWTH","FQ3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181" s="2" t="e">
        <f ca="1">_xll.BDH($C$178,"EPS_DILUTED_SEQUENTIAL_GROWTH","FQ3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181" s="2" t="e">
        <f ca="1">_xll.BDH($C$178,"DPS_SEQUENTIAL_GROWTH","FQ3 2014","FQ3 2014","Currency=INR","Period=FQ","BEST_FPERIOD_OVERRIDE=FQ","FILING_STATUS=OR","EQY_CONSOLIDATED=Y","Sort=A","Dates=H","DateFormat=P","Fill=—","Direction=H","UseDPDF=Y")</f>
        <v>#NAME?</v>
      </c>
      <c r="BL181" s="2" t="e">
        <f ca="1">_xll.BDH($C$178,"ACCOUNTS_RECEIVABLE_SEQ_GROWTH","FQ3 2014","FQ3 2014","Currency=INR","Period=FQ","BEST_FPERIOD_OVERRIDE=FQ","FILING_STATUS=OR","EQY_CONSOLIDATED=Y","Sort=A","Dates=H","DateFormat=P","Fill=—","Direction=H","UseDPDF=Y")</f>
        <v>#NAME?</v>
      </c>
      <c r="BM181" s="2" t="e">
        <f ca="1">_xll.BDH($C$178,"INVENTORY_SEQUENTIAL_GROWTH","FQ3 2014","FQ3 2014","Currency=INR","Period=FQ","BEST_FPERIOD_OVERRIDE=FQ","FILING_STATUS=OR","EQY_CONSOLIDATED=Y","Sort=A","Dates=H","DateFormat=P","Fill=—","Direction=H","UseDPDF=Y")</f>
        <v>#NAME?</v>
      </c>
      <c r="BN181" s="2" t="e">
        <f ca="1">_xll.BDH($C$178,"FIXED_ASSETS_SEQUENTIAL_GROWTH","FQ3 2014","FQ3 2014","Currency=INR","Period=FQ","BEST_FPERIOD_OVERRIDE=FQ","FILING_STATUS=OR","EQY_CONSOLIDATED=Y","Sort=A","Dates=H","DateFormat=P","Fill=—","Direction=H","UseDPDF=Y")</f>
        <v>#NAME?</v>
      </c>
      <c r="BO181" s="2" t="e">
        <f ca="1">_xll.BDH($C$178,"TOTAL_ASSETS_SEQUENTIAL_GROWTH","FQ3 2014","FQ3 2014","Currency=INR","Period=FQ","BEST_FPERIOD_OVERRIDE=FQ","FILING_STATUS=OR","EQY_CONSOLIDATED=Y","Sort=A","Dates=H","DateFormat=P","Fill=—","Direction=H","UseDPDF=Y")</f>
        <v>#NAME?</v>
      </c>
      <c r="BP181" s="2" t="e">
        <f ca="1">_xll.BDH($C$178,"MODIFIED_WORKING_CPTL_SEQ_GRWTH","FQ3 2014","FQ3 2014","Currency=INR","Period=FQ","BEST_FPERIOD_OVERRIDE=FQ","FILING_STATUS=OR","EQY_CONSOLIDATED=Y","Sort=A","Dates=H","DateFormat=P","Fill=—","Direction=H","UseDPDF=Y")</f>
        <v>#NAME?</v>
      </c>
      <c r="BQ181" s="2" t="e">
        <f ca="1">_xll.BDH($C$178,"WORKING_CAPITAL_SEQ_GROWTH","FQ3 2014","FQ3 2014","Currency=INR","Period=FQ","BEST_FPERIOD_OVERRIDE=FQ","FILING_STATUS=OR","EQY_CONSOLIDATED=Y","Sort=A","Dates=H","DateFormat=P","Fill=—","Direction=H","UseDPDF=Y")</f>
        <v>#NAME?</v>
      </c>
      <c r="BR181" s="2" t="e">
        <f ca="1">_xll.BDH($C$178,"ACCOUNTS_PAYABLE_SEQ_GROWTH","FQ3 2014","FQ3 2014","Currency=INR","Period=FQ","BEST_FPERIOD_OVERRIDE=FQ","FILING_STATUS=OR","EQY_CONSOLIDATED=Y","Sort=A","Dates=H","DateFormat=P","Fill=—","Direction=H","UseDPDF=Y")</f>
        <v>#NAME?</v>
      </c>
      <c r="BS181" s="2" t="e">
        <f ca="1">_xll.BDH($C$178,"ST_DEBT_SEQUENTIAL_GROWTH","FQ3 2014","FQ3 2014","Currency=INR","Period=FQ","BEST_FPERIOD_OVERRIDE=FQ","FILING_STATUS=OR","EQY_CONSOLIDATED=Y","Sort=A","Dates=H","DateFormat=P","Fill=—","Direction=H","UseDPDF=Y")</f>
        <v>#NAME?</v>
      </c>
      <c r="BT181" s="2" t="e">
        <f ca="1">_xll.BDH($C$178,"TOTAL_DEBT_SEQUENTIAL_GROWTH","FQ3 2014","FQ3 2014","Currency=INR","Period=FQ","BEST_FPERIOD_OVERRIDE=FQ","FILING_STATUS=OR","EQY_CONSOLIDATED=Y","Sort=A","Dates=H","DateFormat=P","Fill=—","Direction=H","UseDPDF=Y")</f>
        <v>#NAME?</v>
      </c>
      <c r="BU181" s="2" t="e">
        <f ca="1">_xll.BDH($C$178,"TOTAL_EQUITY_SEQUENTIAL_GROWTH","FQ3 2014","FQ3 2014","Currency=INR","Period=FQ","BEST_FPERIOD_OVERRIDE=FQ","FILING_STATUS=OR","EQY_CONSOLIDATED=Y","Sort=A","Dates=H","DateFormat=P","Fill=—","Direction=H","UseDPDF=Y")</f>
        <v>#NAME?</v>
      </c>
      <c r="BV181" s="2" t="e">
        <f ca="1">_xll.BDH($C$178,"TOTAL_CAPITAL_SEQUENTIAL_GROWTH","FQ3 2014","FQ3 2014","Currency=INR","Period=FQ","BEST_FPERIOD_OVERRIDE=FQ","FILING_STATUS=OR","EQY_CONSOLIDATED=Y","Sort=A","Dates=H","DateFormat=P","Fill=—","Direction=H","UseDPDF=Y")</f>
        <v>#NAME?</v>
      </c>
      <c r="BW181" s="2" t="e">
        <f ca="1">_xll.BDH($C$178,"BPS_SEQUENTIAL_GROWTH","FQ3 2014","FQ3 2014","Currency=INR","Period=FQ","BEST_FPERIOD_OVERRIDE=FQ","FILING_STATUS=OR","EQY_CONSOLIDATED=Y","Sort=A","Dates=H","DateFormat=P","Fill=—","Direction=H","UseDPDF=Y")</f>
        <v>#NAME?</v>
      </c>
      <c r="BX181" s="2" t="e">
        <f ca="1">_xll.BDH($C$178,"CFO_SEQUENTIAL_GROWTH","FQ3 2014","FQ3 2014","Currency=INR","Period=FQ","BEST_FPERIOD_OVERRIDE=FQ","FILING_STATUS=OR","EQY_CONSOLIDATED=Y","Sort=A","Dates=H","DateFormat=P","Fill=—","Direction=H","UseDPDF=Y")</f>
        <v>#NAME?</v>
      </c>
      <c r="BY181" s="3" t="e">
        <f ca="1">_xll.BDH($C$178,"SHORT_AND_LONG_TERM_DEBT","FQ3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181" s="3" t="e">
        <f ca="1">_xll.BDH($C$178,"BS_ST_BORROW","FQ3 2014","FQ3 2014","Currency=INR","Period=FQ","BEST_FPERIOD_OVERRIDE=FQ","FILING_STATUS=OR","EQY_CONSOLIDATED=Y","SCALING_FORMAT=MLN","Sort=A","Dates=H","DateFormat=P","Fill=—","Direction=H","UseDPDF=Y")</f>
        <v>#NAME?</v>
      </c>
      <c r="CA181" s="3" t="e">
        <f ca="1">_xll.BDH($C$178,"BS_LT_BORROW","FQ3 2014","FQ3 2014","Currency=INR","Period=FQ","BEST_FPERIOD_OVERRIDE=FQ","FILING_STATUS=OR","EQY_CONSOLIDATED=Y","SCALING_FORMAT=MLN","Sort=A","Dates=H","DateFormat=P","Fill=—","Direction=H","UseDPDF=Y")</f>
        <v>#NAME?</v>
      </c>
      <c r="CB181" s="2" t="e">
        <f ca="1">_xll.BDH($C$178,"TOT_DEBT_TO_EBITDA","FQ3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181" s="2" t="e">
        <f ca="1">_xll.BDH($C$178,"NET_DEBT_TO_EBITDA","FQ3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181" s="2" t="e">
        <f ca="1">_xll.BDH($C$178,"TOTAL_DEBT_TO_EBIT","FQ3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181" s="2" t="e">
        <f ca="1">_xll.BDH($C$178,"NET_DEBT_TO_EBIT","FQ3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181" s="2" t="e">
        <f ca="1">_xll.BDH($C$178,"EBITDA_TO_INTEREST_EXPN","FQ3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181" s="2" t="e">
        <f ca="1">_xll.BDH($C$178,"COM_EQY_TO_TOT_ASSET","FQ3 2014","FQ3 2014","Currency=INR","Period=FQ","BEST_FPERIOD_OVERRIDE=FQ","FILING_STATUS=OR","EQY_CONSOLIDATED=Y","Sort=A","Dates=H","DateFormat=P","Fill=—","Direction=H","UseDPDF=Y")</f>
        <v>#NAME?</v>
      </c>
      <c r="CH181" s="2" t="e">
        <f ca="1">_xll.BDH($C$178,"LT_DEBT_TO_TOT_EQY","FQ3 2014","FQ3 2014","Currency=INR","Period=FQ","BEST_FPERIOD_OVERRIDE=FQ","FILING_STATUS=OR","EQY_CONSOLIDATED=Y","Sort=A","Dates=H","DateFormat=P","Fill=—","Direction=H","UseDPDF=Y")</f>
        <v>#NAME?</v>
      </c>
      <c r="CI181" s="2" t="e">
        <f ca="1">_xll.BDH($C$178,"LT_DEBT_TO_TOT_CAP","FQ3 2014","FQ3 2014","Currency=INR","Period=FQ","BEST_FPERIOD_OVERRIDE=FQ","FILING_STATUS=OR","EQY_CONSOLIDATED=Y","Sort=A","Dates=H","DateFormat=P","Fill=—","Direction=H","UseDPDF=Y")</f>
        <v>#NAME?</v>
      </c>
      <c r="CJ181" s="2" t="e">
        <f ca="1">_xll.BDH($C$178,"LT_DEBT_TO_TOT_ASSET","FQ3 2014","FQ3 2014","Currency=INR","Period=FQ","BEST_FPERIOD_OVERRIDE=FQ","FILING_STATUS=OR","EQY_CONSOLIDATED=Y","Sort=A","Dates=H","DateFormat=P","Fill=—","Direction=H","UseDPDF=Y")</f>
        <v>#NAME?</v>
      </c>
      <c r="CK181" s="2" t="e">
        <f ca="1">_xll.BDH($C$178,"TOT_DEBT_TO_TOT_EQY","FQ3 2014","FQ3 2014","Currency=INR","Period=FQ","BEST_FPERIOD_OVERRIDE=FQ","FILING_STATUS=OR","EQY_CONSOLIDATED=Y","Sort=A","Dates=H","DateFormat=P","Fill=—","Direction=H","UseDPDF=Y")</f>
        <v>#NAME?</v>
      </c>
      <c r="CL181" s="2" t="e">
        <f ca="1">_xll.BDH($C$178,"TOT_DEBT_TO_TOT_CAP","FQ3 2014","FQ3 2014","Currency=INR","Period=FQ","BEST_FPERIOD_OVERRIDE=FQ","FILING_STATUS=OR","EQY_CONSOLIDATED=Y","Sort=A","Dates=H","DateFormat=P","Fill=—","Direction=H","UseDPDF=Y")</f>
        <v>#NAME?</v>
      </c>
      <c r="CM181" s="2" t="e">
        <f ca="1">_xll.BDH($C$178,"TOT_DEBT_TO_TOT_ASSET","FQ3 2014","FQ3 2014","Currency=INR","Period=FQ","BEST_FPERIOD_OVERRIDE=FQ","FILING_STATUS=OR","EQY_CONSOLIDATED=Y","Sort=A","Dates=H","DateFormat=P","Fill=—","Direction=H","UseDPDF=Y")</f>
        <v>#NAME?</v>
      </c>
      <c r="CN181" s="2" t="e">
        <f ca="1">_xll.BDH($C$178,"NET_DEBT_TO_SHRHLDR_EQTY","FQ3 2014","FQ3 2014","Currency=INR","Period=FQ","BEST_FPERIOD_OVERRIDE=FQ","FILING_STATUS=OR","EQY_CONSOLIDATED=Y","Sort=A","Dates=H","DateFormat=P","Fill=—","Direction=H","UseDPDF=Y")</f>
        <v>#NAME?</v>
      </c>
      <c r="CO181" s="2" t="e">
        <f ca="1">_xll.BDH($C$178,"NET_DEBT_%_CAPITAL","FQ3 2014","FQ3 2014","Currency=INR","Period=FQ","BEST_FPERIOD_OVERRIDE=FQ","FILING_STATUS=OR","EQY_CONSOLIDATED=Y","Sort=A","Dates=H","DateFormat=P","Fill=—","Direction=H","UseDPDF=Y")</f>
        <v>#NAME?</v>
      </c>
      <c r="CP181" s="3" t="e">
        <f ca="1">_xll.BDH($C$178,"EBITDA","FQ3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181" s="3" t="e">
        <f ca="1">_xll.BDH($C$178,"EBITDA_AFTER_CAPEX","FQ3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181" s="3" t="e">
        <f ca="1">_xll.BDH($C$178,"IS_OPER_INC","FQ3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181" s="2" t="e">
        <f ca="1">_xll.BDH($C$178,"CASH_RATIO","FQ3 2014","FQ3 2014","Currency=INR","Period=FQ","BEST_FPERIOD_OVERRIDE=FQ","FILING_STATUS=OR","EQY_CONSOLIDATED=Y","Sort=A","Dates=H","DateFormat=P","Fill=—","Direction=H","UseDPDF=Y")</f>
        <v>#NAME?</v>
      </c>
      <c r="CT181" s="2" t="e">
        <f ca="1">_xll.BDH($C$178,"CUR_RATIO","FQ3 2014","FQ3 2014","Currency=INR","Period=FQ","BEST_FPERIOD_OVERRIDE=FQ","FILING_STATUS=OR","EQY_CONSOLIDATED=Y","Sort=A","Dates=H","DateFormat=P","Fill=—","Direction=H","UseDPDF=Y")</f>
        <v>#NAME?</v>
      </c>
      <c r="CU181" s="2" t="e">
        <f ca="1">_xll.BDH($C$178,"QUICK_RATIO","FQ3 2014","FQ3 2014","Currency=INR","Period=FQ","BEST_FPERIOD_OVERRIDE=FQ","FILING_STATUS=OR","EQY_CONSOLIDATED=Y","Sort=A","Dates=H","DateFormat=P","Fill=—","Direction=H","UseDPDF=Y")</f>
        <v>#NAME?</v>
      </c>
      <c r="CV181" s="2" t="e">
        <f ca="1">_xll.BDH($C$178,"ALTMAN_Z_SCORE","FQ3 2014","FQ3 2014","Currency=INR","Period=FQ","BEST_FPERIOD_OVERRIDE=FQ","FILING_STATUS=OR","EQY_CONSOLIDATED=Y","Sort=A","Dates=H","DateFormat=P","Fill=—","Direction=H","UseDPDF=Y")</f>
        <v>#NAME?</v>
      </c>
      <c r="CW181" s="4" t="e">
        <f ca="1">_xll.BDH($C$178,"ACCT_RCV_TURN","FQ3 2014","FQ3 2014","Currency=INR","Period=FQ","BEST_FPERIOD_OVERRIDE=FQ","FILING_STATUS=OR","EQY_CONSOLIDATED=Y","FA_ADJUSTED=GAAP","Sort=A","Dates=H","DateFormat=P","Fill=—","Direction=H","UseDPDF=Y")</f>
        <v>#NAME?</v>
      </c>
      <c r="CX181" s="2" t="e">
        <f ca="1">_xll.BDH($C$178,"ACCT_RCV_DAYS","FQ3 2014","FQ3 2014","Currency=INR","Period=FQ","BEST_FPERIOD_OVERRIDE=FQ","FILING_STATUS=OR","EQY_CONSOLIDATED=Y","FA_ADJUSTED=GAAP","Sort=A","Dates=H","DateFormat=P","Fill=—","Direction=H","UseDPDF=Y")</f>
        <v>#NAME?</v>
      </c>
      <c r="CY181" s="4" t="e">
        <f ca="1">_xll.BDH($C$178,"INVENT_TURN","FQ3 2014","FQ3 2014","Currency=INR","Period=FQ","BEST_FPERIOD_OVERRIDE=FQ","FILING_STATUS=OR","EQY_CONSOLIDATED=Y","FA_ADJUSTED=GAAP","Sort=A","Dates=H","DateFormat=P","Fill=—","Direction=H","UseDPDF=Y")</f>
        <v>#NAME?</v>
      </c>
      <c r="CZ181" s="2" t="e">
        <f ca="1">_xll.BDH($C$178,"INVENT_DAYS","FQ3 2014","FQ3 2014","Currency=INR","Period=FQ","BEST_FPERIOD_OVERRIDE=FQ","FILING_STATUS=OR","EQY_CONSOLIDATED=Y","FA_ADJUSTED=GAAP","Sort=A","Dates=H","DateFormat=P","Fill=—","Direction=H","UseDPDF=Y")</f>
        <v>#NAME?</v>
      </c>
      <c r="DA181" s="4" t="e">
        <f ca="1">_xll.BDH($C$178,"ACCOUNTS_PAYABLE_TURNOVER","FQ3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181" s="2" t="e">
        <f ca="1">_xll.BDH($C$178,"ACCOUNTS_PAYABLE_TURNOVER_DAYS","FQ3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181" s="4" t="e">
        <f ca="1">_xll.BDH($C$178,"CASH_CONVERSION_CYCLE","FQ3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181" s="4" t="e">
        <f ca="1">_xll.BDH($C$178,"INV_TO_CASH_DAYS","FQ3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181" s="5" t="e">
        <f ca="1">_xll.BDH($C$178,"BS_INVENTORIES","FQ3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181" s="3" t="e">
        <f ca="1">_xll.BDH($C$178,"INVTRY_RAW_MATERIALS","FQ3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181" s="3" t="e">
        <f ca="1">_xll.BDH($C$178,"INVTRY_IN_PROGRESS","FQ3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181" s="3" t="e">
        <f ca="1">_xll.BDH($C$178,"INVTRY_FINISHED_GOODS","FQ3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181" s="3" t="e">
        <f ca="1">_xll.BDH($C$178,"BS_OTHER_INV","FQ3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182" spans="1:113" x14ac:dyDescent="0.3">
      <c r="A182" s="6"/>
      <c r="B182" s="6"/>
      <c r="C182" s="6"/>
      <c r="D182" s="6"/>
      <c r="E182" t="s">
        <v>81</v>
      </c>
      <c r="F182" t="e">
        <f ca="1">_xll.BDH($C$178,"RETURN_COM_EQY","FQ4 2014","FQ4 2014","Currency=INR","Period=FQ","BEST_FPERIOD_OVERRIDE=FQ","FILING_STATUS=OR","EQY_CONSOLIDATED=Y","FA_ADJUSTED=GAAP","Sort=A","Dates=H","DateFormat=P","Fill=—","Direction=H","UseDPDF=Y")</f>
        <v>#NAME?</v>
      </c>
      <c r="G182" t="e">
        <f ca="1">_xll.BDH($C$178,"RETURN_ON_ASSET","FQ4 2014","FQ4 2014","Currency=INR","Period=FQ","BEST_FPERIOD_OVERRIDE=FQ","FILING_STATUS=OR","EQY_CONSOLIDATED=Y","FA_ADJUSTED=GAAP","Sort=A","Dates=H","DateFormat=P","Fill=—","Direction=H","UseDPDF=Y")</f>
        <v>#NAME?</v>
      </c>
      <c r="H182" t="e">
        <f ca="1">_xll.BDH($C$178,"RETURN_ON_CAP","FQ4 2014","FQ4 2014","Currency=INR","Period=FQ","BEST_FPERIOD_OVERRIDE=FQ","FILING_STATUS=OR","EQY_CONSOLIDATED=Y","FA_ADJUSTED=GAAP","Sort=A","Dates=H","DateFormat=P","Fill=—","Direction=H","UseDPDF=Y")</f>
        <v>#NAME?</v>
      </c>
      <c r="I182" t="e">
        <f ca="1">_xll.BDH($C$178,"RETURN_ON_INV_CAPITAL","FQ4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182" t="e">
        <f ca="1">_xll.BDH($C$178,"EBITDA_TO_REVENUE","FQ4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182" t="e">
        <f ca="1">_xll.BDH($C$178,"OPER_MARGIN","FQ4 2014","FQ4 2014","Currency=INR","Period=FQ","BEST_FPERIOD_OVERRIDE=FQ","FILING_STATUS=OR","EQY_CONSOLIDATED=Y","FA_ADJUSTED=GAAP","Sort=A","Dates=H","DateFormat=P","Fill=—","Direction=H","UseDPDF=Y")</f>
        <v>#NAME?</v>
      </c>
      <c r="L182" t="e">
        <f ca="1">_xll.BDH($C$178,"INCREMENTAL_OPERATING_MARGIN","FQ4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182" t="e">
        <f ca="1">_xll.BDH($C$178,"PRETAX_INC_TO_NET_SALES","FQ4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182" t="e">
        <f ca="1">_xll.BDH($C$178,"INC_BEF_XO_ITEMS_TO_NET_SALES","FQ4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182" t="e">
        <f ca="1">_xll.BDH($C$178,"PROF_MARGIN","FQ4 2014","FQ4 2014","Currency=INR","Period=FQ","BEST_FPERIOD_OVERRIDE=FQ","FILING_STATUS=OR","EQY_CONSOLIDATED=Y","FA_ADJUSTED=GAAP","Sort=A","Dates=H","DateFormat=P","Fill=—","Direction=H","UseDPDF=Y")</f>
        <v>#NAME?</v>
      </c>
      <c r="P182" t="e">
        <f ca="1">_xll.BDH($C$178,"NET_INCOME_TO_COMMON_MARGIN","FQ4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182" t="e">
        <f ca="1">_xll.BDH($C$178,"EFF_TAX_RATE","FQ4 2014","FQ4 2014","Currency=INR","Period=FQ","BEST_FPERIOD_OVERRIDE=FQ","FILING_STATUS=OR","EQY_CONSOLIDATED=Y","FA_ADJUSTED=GAAP","Sort=A","Dates=H","DateFormat=P","Fill=—","Direction=H","UseDPDF=Y")</f>
        <v>#NAME?</v>
      </c>
      <c r="R182" t="e">
        <f ca="1">_xll.BDH($C$178,"DVD_PAYOUT_RATIO","FQ4 2014","FQ4 2014","Currency=INR","Period=FQ","BEST_FPERIOD_OVERRIDE=FQ","FILING_STATUS=OR","EQY_CONSOLIDATED=Y","FA_ADJUSTED=GAAP","Sort=A","Dates=H","DateFormat=P","Fill=—","Direction=H","UseDPDF=Y")</f>
        <v>#NAME?</v>
      </c>
      <c r="S182" t="e">
        <f ca="1">_xll.BDH($C$178,"SUSTAIN_GROWTH_RT","FQ4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182" s="2" t="e">
        <f ca="1">_xll.BDH($C$178,"SALES_GROWTH","FQ4 2014","FQ4 2014","Currency=INR","Period=FQ","BEST_FPERIOD_OVERRIDE=FQ","FILING_STATUS=OR","EQY_CONSOLIDATED=Y","FA_ADJUSTED=GAAP","Sort=A","Dates=H","DateFormat=P","Fill=—","Direction=H","UseDPDF=Y")</f>
        <v>#NAME?</v>
      </c>
      <c r="U182" s="2" t="e">
        <f ca="1">_xll.BDH($C$178,"EBITDA_GROWTH","FQ4 2014","FQ4 2014","Currency=INR","Period=FQ","BEST_FPERIOD_OVERRIDE=FQ","FILING_STATUS=OR","EQY_CONSOLIDATED=Y","FA_ADJUSTED=GAAP","Sort=A","Dates=H","DateFormat=P","Fill=—","Direction=H","UseDPDF=Y")</f>
        <v>#NAME?</v>
      </c>
      <c r="V182" s="2" t="e">
        <f ca="1">_xll.BDH($C$178,"OPER_INC_GROWTH","FQ4 2014","FQ4 2014","Currency=INR","Period=FQ","BEST_FPERIOD_OVERRIDE=FQ","FILING_STATUS=OR","EQY_CONSOLIDATED=Y","FA_ADJUSTED=GAAP","Sort=A","Dates=H","DateFormat=P","Fill=—","Direction=H","UseDPDF=Y")</f>
        <v>#NAME?</v>
      </c>
      <c r="W182" s="2" t="e">
        <f ca="1">_xll.BDH($C$178,"EARN_FOR_COM_GROWTH","FQ4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182" s="2" t="e">
        <f ca="1">_xll.BDH($C$178,"DILUTED_EPS_AFT_XO_ITEMS_GROWTH","FQ4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182" s="2" t="e">
        <f ca="1">_xll.BDH($C$178,"DIVIDEND_PER_SHARE_1_YEAR_GROWTH","FQ4 2014","FQ4 2014","Currency=INR","Period=FQ","BEST_FPERIOD_OVERRIDE=FQ","FILING_STATUS=OR","EQY_CONSOLIDATED=Y","Sort=A","Dates=H","DateFormat=P","Fill=—","Direction=H","UseDPDF=Y")</f>
        <v>#NAME?</v>
      </c>
      <c r="Z182" s="2" t="e">
        <f ca="1">_xll.BDH($C$178,"ACCOUNTS_RECEIVABLE_GROWTH","FQ4 2014","FQ4 2014","Currency=INR","Period=FQ","BEST_FPERIOD_OVERRIDE=FQ","FILING_STATUS=OR","EQY_CONSOLIDATED=Y","Sort=A","Dates=H","DateFormat=P","Fill=—","Direction=H","UseDPDF=Y")</f>
        <v>#NAME?</v>
      </c>
      <c r="AA182" s="2" t="e">
        <f ca="1">_xll.BDH($C$178,"INVENTORY_GROWTH","FQ4 2014","FQ4 2014","Currency=INR","Period=FQ","BEST_FPERIOD_OVERRIDE=FQ","FILING_STATUS=OR","EQY_CONSOLIDATED=Y","Sort=A","Dates=H","DateFormat=P","Fill=—","Direction=H","UseDPDF=Y")</f>
        <v>#NAME?</v>
      </c>
      <c r="AB182" s="2" t="e">
        <f ca="1">_xll.BDH($C$178,"NET_FIXED_ASSETS_1_YEAR_GROWTH","FQ4 2014","FQ4 2014","Currency=INR","Period=FQ","BEST_FPERIOD_OVERRIDE=FQ","FILING_STATUS=OR","EQY_CONSOLIDATED=Y","Sort=A","Dates=H","DateFormat=P","Fill=—","Direction=H","UseDPDF=Y")</f>
        <v>#NAME?</v>
      </c>
      <c r="AC182" s="2" t="e">
        <f ca="1">_xll.BDH($C$178,"ASSET_GROWTH","FQ4 2014","FQ4 2014","Currency=INR","Period=FQ","BEST_FPERIOD_OVERRIDE=FQ","FILING_STATUS=OR","EQY_CONSOLIDATED=Y","Sort=A","Dates=H","DateFormat=P","Fill=—","Direction=H","UseDPDF=Y")</f>
        <v>#NAME?</v>
      </c>
      <c r="AD182" s="2" t="e">
        <f ca="1">_xll.BDH($C$178,"MODIFIED_WORK_CAP_GROWTH","FQ4 2014","FQ4 2014","Currency=INR","Period=FQ","BEST_FPERIOD_OVERRIDE=FQ","FILING_STATUS=OR","EQY_CONSOLIDATED=Y","Sort=A","Dates=H","DateFormat=P","Fill=—","Direction=H","UseDPDF=Y")</f>
        <v>#NAME?</v>
      </c>
      <c r="AE182" s="2" t="e">
        <f ca="1">_xll.BDH($C$178,"WORK_CAP_GROWTH","FQ4 2014","FQ4 2014","Currency=INR","Period=FQ","BEST_FPERIOD_OVERRIDE=FQ","FILING_STATUS=OR","EQY_CONSOLIDATED=Y","Sort=A","Dates=H","DateFormat=P","Fill=—","Direction=H","UseDPDF=Y")</f>
        <v>#NAME?</v>
      </c>
      <c r="AF182" s="2" t="e">
        <f ca="1">_xll.BDH($C$178,"ACCOUNTS_PAYABLE_GROWTH_1YR","FQ4 2014","FQ4 2014","Currency=INR","Period=FQ","BEST_FPERIOD_OVERRIDE=FQ","FILING_STATUS=OR","EQY_CONSOLIDATED=Y","Sort=A","Dates=H","DateFormat=P","Fill=—","Direction=H","UseDPDF=Y")</f>
        <v>#NAME?</v>
      </c>
      <c r="AG182" s="2" t="e">
        <f ca="1">_xll.BDH($C$178,"SHORT_TERM_DEBT_1_YEAR_GROWTH","FQ4 2014","FQ4 2014","Currency=INR","Period=FQ","BEST_FPERIOD_OVERRIDE=FQ","FILING_STATUS=OR","EQY_CONSOLIDATED=Y","Sort=A","Dates=H","DateFormat=P","Fill=—","Direction=H","UseDPDF=Y")</f>
        <v>#NAME?</v>
      </c>
      <c r="AH182" s="2" t="e">
        <f ca="1">_xll.BDH($C$178,"TOTAL_DEBT_1_YEAR_GROWTH","FQ4 2014","FQ4 2014","Currency=INR","Period=FQ","BEST_FPERIOD_OVERRIDE=FQ","FILING_STATUS=OR","EQY_CONSOLIDATED=Y","Sort=A","Dates=H","DateFormat=P","Fill=—","Direction=H","UseDPDF=Y")</f>
        <v>#NAME?</v>
      </c>
      <c r="AI182" s="2" t="e">
        <f ca="1">_xll.BDH($C$178,"TOTAL_EQUITY_1_YEAR_GROWTH","FQ4 2014","FQ4 2014","Currency=INR","Period=FQ","BEST_FPERIOD_OVERRIDE=FQ","FILING_STATUS=OR","EQY_CONSOLIDATED=Y","Sort=A","Dates=H","DateFormat=P","Fill=—","Direction=H","UseDPDF=Y")</f>
        <v>#NAME?</v>
      </c>
      <c r="AJ182" s="2" t="e">
        <f ca="1">_xll.BDH($C$178,"GROWTH_IN_CAP","FQ4 2014","FQ4 2014","Currency=INR","Period=FQ","BEST_FPERIOD_OVERRIDE=FQ","FILING_STATUS=OR","EQY_CONSOLIDATED=Y","Sort=A","Dates=H","DateFormat=P","Fill=—","Direction=H","UseDPDF=Y")</f>
        <v>#NAME?</v>
      </c>
      <c r="AK182" s="2" t="e">
        <f ca="1">_xll.BDH($C$178,"BVPS_GROWTH","FQ4 2014","FQ4 2014","Currency=INR","Period=FQ","BEST_FPERIOD_OVERRIDE=FQ","FILING_STATUS=OR","EQY_CONSOLIDATED=Y","Sort=A","Dates=H","DateFormat=P","Fill=—","Direction=H","UseDPDF=Y")</f>
        <v>#NAME?</v>
      </c>
      <c r="AL182" s="2" t="e">
        <f ca="1">_xll.BDH($C$178,"CASH_FLOW_GROWTH","FQ4 2014","FQ4 2014","Currency=INR","Period=FQ","BEST_FPERIOD_OVERRIDE=FQ","FILING_STATUS=OR","EQY_CONSOLIDATED=Y","Sort=A","Dates=H","DateFormat=P","Fill=—","Direction=H","UseDPDF=Y")</f>
        <v>#NAME?</v>
      </c>
      <c r="AM182" s="2" t="e">
        <f ca="1">_xll.BDH($C$178,"GEO_GROW_NET_SALES","FQ4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182" s="2" t="e">
        <f ca="1">_xll.BDH($C$178,"GEO_GROW_EBITDA","FQ4 2014","FQ4 2014","Currency=INR","Period=FQ","BEST_FPERIOD_OVERRIDE=FQ","FILING_STATUS=OR","EQY_CONSOLIDATED=Y","FA_ADJUSTED=GAAP","Sort=A","Dates=H","DateFormat=P","Fill=—","Direction=H","UseDPDF=Y")</f>
        <v>#NAME?</v>
      </c>
      <c r="AO182" s="2" t="e">
        <f ca="1">_xll.BDH($C$178,"GEO_GROW_OPER_INC","FQ4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182" s="2" t="e">
        <f ca="1">_xll.BDH($C$178,"NET_INCOME_TO_COMMON_5_YR_GROWTH","FQ4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182" s="2" t="e">
        <f ca="1">_xll.BDH($C$178,"5Y_GEO_GROWTH_DILUTED_EPS","FQ4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182" s="2" t="e">
        <f ca="1">_xll.BDH($C$178,"GEO_GROW_DVD_PER_SH","FQ4 2014","FQ4 2014","Currency=INR","Period=FQ","BEST_FPERIOD_OVERRIDE=FQ","FILING_STATUS=OR","EQY_CONSOLIDATED=Y","Sort=A","Dates=H","DateFormat=P","Fill=—","Direction=H","UseDPDF=Y")</f>
        <v>#NAME?</v>
      </c>
      <c r="AS182" s="2" t="e">
        <f ca="1">_xll.BDH($C$178,"ACCOUNTS_RECEIVABLE_5_YR_GROWTH","FQ4 2014","FQ4 2014","Currency=INR","Period=FQ","BEST_FPERIOD_OVERRIDE=FQ","FILING_STATUS=OR","EQY_CONSOLIDATED=Y","Sort=A","Dates=H","DateFormat=P","Fill=—","Direction=H","UseDPDF=Y")</f>
        <v>#NAME?</v>
      </c>
      <c r="AT182" s="2" t="e">
        <f ca="1">_xll.BDH($C$178,"INVENTORY_5_YEAR_GROWTH","FQ4 2014","FQ4 2014","Currency=INR","Period=FQ","BEST_FPERIOD_OVERRIDE=FQ","FILING_STATUS=OR","EQY_CONSOLIDATED=Y","Sort=A","Dates=H","DateFormat=P","Fill=—","Direction=H","UseDPDF=Y")</f>
        <v>#NAME?</v>
      </c>
      <c r="AU182" s="2" t="e">
        <f ca="1">_xll.BDH($C$178,"NET_FIXED_ASSETS_5_YEAR_GROWTH","FQ4 2014","FQ4 2014","Currency=INR","Period=FQ","BEST_FPERIOD_OVERRIDE=FQ","FILING_STATUS=OR","EQY_CONSOLIDATED=Y","Sort=A","Dates=H","DateFormat=P","Fill=—","Direction=H","UseDPDF=Y")</f>
        <v>#NAME?</v>
      </c>
      <c r="AV182" s="2" t="e">
        <f ca="1">_xll.BDH($C$178,"GEO_GROW_TOT_ASSET","FQ4 2014","FQ4 2014","Currency=INR","Period=FQ","BEST_FPERIOD_OVERRIDE=FQ","FILING_STATUS=OR","EQY_CONSOLIDATED=Y","Sort=A","Dates=H","DateFormat=P","Fill=—","Direction=H","UseDPDF=Y")</f>
        <v>#NAME?</v>
      </c>
      <c r="AW182" s="2" t="e">
        <f ca="1">_xll.BDH($C$178,"MODIFIED_WORKING_CPTL_5YR_GRWTH","FQ4 2014","FQ4 2014","Currency=INR","Period=FQ","BEST_FPERIOD_OVERRIDE=FQ","FILING_STATUS=OR","EQY_CONSOLIDATED=Y","Sort=A","Dates=H","DateFormat=P","Fill=—","Direction=H","UseDPDF=Y")</f>
        <v>#NAME?</v>
      </c>
      <c r="AX182" s="2" t="e">
        <f ca="1">_xll.BDH($C$178,"WORKING_CAPITAL_5_YEAR_GROWTH","FQ4 2014","FQ4 2014","Currency=INR","Period=FQ","BEST_FPERIOD_OVERRIDE=FQ","FILING_STATUS=OR","EQY_CONSOLIDATED=Y","Sort=A","Dates=H","DateFormat=P","Fill=—","Direction=H","UseDPDF=Y")</f>
        <v>#NAME?</v>
      </c>
      <c r="AY182" s="2" t="e">
        <f ca="1">_xll.BDH($C$178,"ACCOUNTS_PAYABLE_5_YEAR_GROWTH","FQ4 2014","FQ4 2014","Currency=INR","Period=FQ","BEST_FPERIOD_OVERRIDE=FQ","FILING_STATUS=OR","EQY_CONSOLIDATED=Y","Sort=A","Dates=H","DateFormat=P","Fill=—","Direction=H","UseDPDF=Y")</f>
        <v>#NAME?</v>
      </c>
      <c r="AZ182" s="2" t="e">
        <f ca="1">_xll.BDH($C$178,"SHORT_TERM_DEBT_5_YEAR_GROWTH","FQ4 2014","FQ4 2014","Currency=INR","Period=FQ","BEST_FPERIOD_OVERRIDE=FQ","FILING_STATUS=OR","EQY_CONSOLIDATED=Y","Sort=A","Dates=H","DateFormat=P","Fill=—","Direction=H","UseDPDF=Y")</f>
        <v>#NAME?</v>
      </c>
      <c r="BA182" s="2" t="e">
        <f ca="1">_xll.BDH($C$178,"TOTAL_DEBT_5_YEAR_GROWTH","FQ4 2014","FQ4 2014","Currency=INR","Period=FQ","BEST_FPERIOD_OVERRIDE=FQ","FILING_STATUS=OR","EQY_CONSOLIDATED=Y","Sort=A","Dates=H","DateFormat=P","Fill=—","Direction=H","UseDPDF=Y")</f>
        <v>#NAME?</v>
      </c>
      <c r="BB182" s="2" t="e">
        <f ca="1">_xll.BDH($C$178,"GEO_GROW_TOT_SHRHLDR_EQY","FQ4 2014","FQ4 2014","Currency=INR","Period=FQ","BEST_FPERIOD_OVERRIDE=FQ","FILING_STATUS=OR","EQY_CONSOLIDATED=Y","Sort=A","Dates=H","DateFormat=P","Fill=—","Direction=H","UseDPDF=Y")</f>
        <v>#NAME?</v>
      </c>
      <c r="BC182" s="2" t="e">
        <f ca="1">_xll.BDH($C$178,"TOTAL_CAPITAL_5_YEAR_GROWTH","FQ4 2014","FQ4 2014","Currency=INR","Period=FQ","BEST_FPERIOD_OVERRIDE=FQ","FILING_STATUS=OR","EQY_CONSOLIDATED=Y","Sort=A","Dates=H","DateFormat=P","Fill=—","Direction=H","UseDPDF=Y")</f>
        <v>#NAME?</v>
      </c>
      <c r="BD182" s="2" t="e">
        <f ca="1">_xll.BDH($C$178,"GEO_GROW_BOOK_VAL","FQ4 2014","FQ4 2014","Currency=INR","Period=FQ","BEST_FPERIOD_OVERRIDE=FQ","FILING_STATUS=OR","EQY_CONSOLIDATED=Y","Sort=A","Dates=H","DateFormat=P","Fill=—","Direction=H","UseDPDF=Y")</f>
        <v>#NAME?</v>
      </c>
      <c r="BE182" s="2" t="e">
        <f ca="1">_xll.BDH($C$178,"GEO_GROW_CASH_OPER_ACT","FQ4 2014","FQ4 2014","Currency=INR","Period=FQ","BEST_FPERIOD_OVERRIDE=FQ","FILING_STATUS=OR","EQY_CONSOLIDATED=Y","Sort=A","Dates=H","DateFormat=P","Fill=—","Direction=H","UseDPDF=Y")</f>
        <v>#NAME?</v>
      </c>
      <c r="BF182" s="2" t="e">
        <f ca="1">_xll.BDH($C$178,"REVENUE_SEQUENTIAL_GROWTH","FQ4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182" s="2" t="e">
        <f ca="1">_xll.BDH($C$178,"EBITDA_SEQUENTIAL_GROWTH","FQ4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182" s="2" t="e">
        <f ca="1">_xll.BDH($C$178,"OPERATING_INCOME_SEQ_GROWTH","FQ4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182" s="2" t="e">
        <f ca="1">_xll.BDH($C$178,"NET_INCOME_TO_COMMON_SEQ_GROWTH","FQ4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182" s="2" t="e">
        <f ca="1">_xll.BDH($C$178,"EPS_DILUTED_SEQUENTIAL_GROWTH","FQ4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182" s="2" t="e">
        <f ca="1">_xll.BDH($C$178,"DPS_SEQUENTIAL_GROWTH","FQ4 2014","FQ4 2014","Currency=INR","Period=FQ","BEST_FPERIOD_OVERRIDE=FQ","FILING_STATUS=OR","EQY_CONSOLIDATED=Y","Sort=A","Dates=H","DateFormat=P","Fill=—","Direction=H","UseDPDF=Y")</f>
        <v>#NAME?</v>
      </c>
      <c r="BL182" s="2" t="e">
        <f ca="1">_xll.BDH($C$178,"ACCOUNTS_RECEIVABLE_SEQ_GROWTH","FQ4 2014","FQ4 2014","Currency=INR","Period=FQ","BEST_FPERIOD_OVERRIDE=FQ","FILING_STATUS=OR","EQY_CONSOLIDATED=Y","Sort=A","Dates=H","DateFormat=P","Fill=—","Direction=H","UseDPDF=Y")</f>
        <v>#NAME?</v>
      </c>
      <c r="BM182" s="2" t="e">
        <f ca="1">_xll.BDH($C$178,"INVENTORY_SEQUENTIAL_GROWTH","FQ4 2014","FQ4 2014","Currency=INR","Period=FQ","BEST_FPERIOD_OVERRIDE=FQ","FILING_STATUS=OR","EQY_CONSOLIDATED=Y","Sort=A","Dates=H","DateFormat=P","Fill=—","Direction=H","UseDPDF=Y")</f>
        <v>#NAME?</v>
      </c>
      <c r="BN182" s="2" t="e">
        <f ca="1">_xll.BDH($C$178,"FIXED_ASSETS_SEQUENTIAL_GROWTH","FQ4 2014","FQ4 2014","Currency=INR","Period=FQ","BEST_FPERIOD_OVERRIDE=FQ","FILING_STATUS=OR","EQY_CONSOLIDATED=Y","Sort=A","Dates=H","DateFormat=P","Fill=—","Direction=H","UseDPDF=Y")</f>
        <v>#NAME?</v>
      </c>
      <c r="BO182" s="2" t="e">
        <f ca="1">_xll.BDH($C$178,"TOTAL_ASSETS_SEQUENTIAL_GROWTH","FQ4 2014","FQ4 2014","Currency=INR","Period=FQ","BEST_FPERIOD_OVERRIDE=FQ","FILING_STATUS=OR","EQY_CONSOLIDATED=Y","Sort=A","Dates=H","DateFormat=P","Fill=—","Direction=H","UseDPDF=Y")</f>
        <v>#NAME?</v>
      </c>
      <c r="BP182" s="2" t="e">
        <f ca="1">_xll.BDH($C$178,"MODIFIED_WORKING_CPTL_SEQ_GRWTH","FQ4 2014","FQ4 2014","Currency=INR","Period=FQ","BEST_FPERIOD_OVERRIDE=FQ","FILING_STATUS=OR","EQY_CONSOLIDATED=Y","Sort=A","Dates=H","DateFormat=P","Fill=—","Direction=H","UseDPDF=Y")</f>
        <v>#NAME?</v>
      </c>
      <c r="BQ182" s="2" t="e">
        <f ca="1">_xll.BDH($C$178,"WORKING_CAPITAL_SEQ_GROWTH","FQ4 2014","FQ4 2014","Currency=INR","Period=FQ","BEST_FPERIOD_OVERRIDE=FQ","FILING_STATUS=OR","EQY_CONSOLIDATED=Y","Sort=A","Dates=H","DateFormat=P","Fill=—","Direction=H","UseDPDF=Y")</f>
        <v>#NAME?</v>
      </c>
      <c r="BR182" s="2" t="e">
        <f ca="1">_xll.BDH($C$178,"ACCOUNTS_PAYABLE_SEQ_GROWTH","FQ4 2014","FQ4 2014","Currency=INR","Period=FQ","BEST_FPERIOD_OVERRIDE=FQ","FILING_STATUS=OR","EQY_CONSOLIDATED=Y","Sort=A","Dates=H","DateFormat=P","Fill=—","Direction=H","UseDPDF=Y")</f>
        <v>#NAME?</v>
      </c>
      <c r="BS182" s="2" t="e">
        <f ca="1">_xll.BDH($C$178,"ST_DEBT_SEQUENTIAL_GROWTH","FQ4 2014","FQ4 2014","Currency=INR","Period=FQ","BEST_FPERIOD_OVERRIDE=FQ","FILING_STATUS=OR","EQY_CONSOLIDATED=Y","Sort=A","Dates=H","DateFormat=P","Fill=—","Direction=H","UseDPDF=Y")</f>
        <v>#NAME?</v>
      </c>
      <c r="BT182" s="2" t="e">
        <f ca="1">_xll.BDH($C$178,"TOTAL_DEBT_SEQUENTIAL_GROWTH","FQ4 2014","FQ4 2014","Currency=INR","Period=FQ","BEST_FPERIOD_OVERRIDE=FQ","FILING_STATUS=OR","EQY_CONSOLIDATED=Y","Sort=A","Dates=H","DateFormat=P","Fill=—","Direction=H","UseDPDF=Y")</f>
        <v>#NAME?</v>
      </c>
      <c r="BU182" s="2" t="e">
        <f ca="1">_xll.BDH($C$178,"TOTAL_EQUITY_SEQUENTIAL_GROWTH","FQ4 2014","FQ4 2014","Currency=INR","Period=FQ","BEST_FPERIOD_OVERRIDE=FQ","FILING_STATUS=OR","EQY_CONSOLIDATED=Y","Sort=A","Dates=H","DateFormat=P","Fill=—","Direction=H","UseDPDF=Y")</f>
        <v>#NAME?</v>
      </c>
      <c r="BV182" s="2" t="e">
        <f ca="1">_xll.BDH($C$178,"TOTAL_CAPITAL_SEQUENTIAL_GROWTH","FQ4 2014","FQ4 2014","Currency=INR","Period=FQ","BEST_FPERIOD_OVERRIDE=FQ","FILING_STATUS=OR","EQY_CONSOLIDATED=Y","Sort=A","Dates=H","DateFormat=P","Fill=—","Direction=H","UseDPDF=Y")</f>
        <v>#NAME?</v>
      </c>
      <c r="BW182" s="2" t="e">
        <f ca="1">_xll.BDH($C$178,"BPS_SEQUENTIAL_GROWTH","FQ4 2014","FQ4 2014","Currency=INR","Period=FQ","BEST_FPERIOD_OVERRIDE=FQ","FILING_STATUS=OR","EQY_CONSOLIDATED=Y","Sort=A","Dates=H","DateFormat=P","Fill=—","Direction=H","UseDPDF=Y")</f>
        <v>#NAME?</v>
      </c>
      <c r="BX182" s="2" t="e">
        <f ca="1">_xll.BDH($C$178,"CFO_SEQUENTIAL_GROWTH","FQ4 2014","FQ4 2014","Currency=INR","Period=FQ","BEST_FPERIOD_OVERRIDE=FQ","FILING_STATUS=OR","EQY_CONSOLIDATED=Y","Sort=A","Dates=H","DateFormat=P","Fill=—","Direction=H","UseDPDF=Y")</f>
        <v>#NAME?</v>
      </c>
      <c r="BY182" s="3" t="e">
        <f ca="1">_xll.BDH($C$178,"SHORT_AND_LONG_TERM_DEBT","FQ4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182" s="3" t="e">
        <f ca="1">_xll.BDH($C$178,"BS_ST_BORROW","FQ4 2014","FQ4 2014","Currency=INR","Period=FQ","BEST_FPERIOD_OVERRIDE=FQ","FILING_STATUS=OR","EQY_CONSOLIDATED=Y","SCALING_FORMAT=MLN","Sort=A","Dates=H","DateFormat=P","Fill=—","Direction=H","UseDPDF=Y")</f>
        <v>#NAME?</v>
      </c>
      <c r="CA182" s="3" t="e">
        <f ca="1">_xll.BDH($C$178,"BS_LT_BORROW","FQ4 2014","FQ4 2014","Currency=INR","Period=FQ","BEST_FPERIOD_OVERRIDE=FQ","FILING_STATUS=OR","EQY_CONSOLIDATED=Y","SCALING_FORMAT=MLN","Sort=A","Dates=H","DateFormat=P","Fill=—","Direction=H","UseDPDF=Y")</f>
        <v>#NAME?</v>
      </c>
      <c r="CB182" s="2" t="e">
        <f ca="1">_xll.BDH($C$178,"TOT_DEBT_TO_EBITDA","FQ4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182" s="2" t="e">
        <f ca="1">_xll.BDH($C$178,"NET_DEBT_TO_EBITDA","FQ4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182" s="2" t="e">
        <f ca="1">_xll.BDH($C$178,"TOTAL_DEBT_TO_EBIT","FQ4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182" s="2" t="e">
        <f ca="1">_xll.BDH($C$178,"NET_DEBT_TO_EBIT","FQ4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182" s="2" t="e">
        <f ca="1">_xll.BDH($C$178,"EBITDA_TO_INTEREST_EXPN","FQ4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182" s="2" t="e">
        <f ca="1">_xll.BDH($C$178,"COM_EQY_TO_TOT_ASSET","FQ4 2014","FQ4 2014","Currency=INR","Period=FQ","BEST_FPERIOD_OVERRIDE=FQ","FILING_STATUS=OR","EQY_CONSOLIDATED=Y","Sort=A","Dates=H","DateFormat=P","Fill=—","Direction=H","UseDPDF=Y")</f>
        <v>#NAME?</v>
      </c>
      <c r="CH182" s="2" t="e">
        <f ca="1">_xll.BDH($C$178,"LT_DEBT_TO_TOT_EQY","FQ4 2014","FQ4 2014","Currency=INR","Period=FQ","BEST_FPERIOD_OVERRIDE=FQ","FILING_STATUS=OR","EQY_CONSOLIDATED=Y","Sort=A","Dates=H","DateFormat=P","Fill=—","Direction=H","UseDPDF=Y")</f>
        <v>#NAME?</v>
      </c>
      <c r="CI182" s="2" t="e">
        <f ca="1">_xll.BDH($C$178,"LT_DEBT_TO_TOT_CAP","FQ4 2014","FQ4 2014","Currency=INR","Period=FQ","BEST_FPERIOD_OVERRIDE=FQ","FILING_STATUS=OR","EQY_CONSOLIDATED=Y","Sort=A","Dates=H","DateFormat=P","Fill=—","Direction=H","UseDPDF=Y")</f>
        <v>#NAME?</v>
      </c>
      <c r="CJ182" s="2" t="e">
        <f ca="1">_xll.BDH($C$178,"LT_DEBT_TO_TOT_ASSET","FQ4 2014","FQ4 2014","Currency=INR","Period=FQ","BEST_FPERIOD_OVERRIDE=FQ","FILING_STATUS=OR","EQY_CONSOLIDATED=Y","Sort=A","Dates=H","DateFormat=P","Fill=—","Direction=H","UseDPDF=Y")</f>
        <v>#NAME?</v>
      </c>
      <c r="CK182" s="2" t="e">
        <f ca="1">_xll.BDH($C$178,"TOT_DEBT_TO_TOT_EQY","FQ4 2014","FQ4 2014","Currency=INR","Period=FQ","BEST_FPERIOD_OVERRIDE=FQ","FILING_STATUS=OR","EQY_CONSOLIDATED=Y","Sort=A","Dates=H","DateFormat=P","Fill=—","Direction=H","UseDPDF=Y")</f>
        <v>#NAME?</v>
      </c>
      <c r="CL182" s="2" t="e">
        <f ca="1">_xll.BDH($C$178,"TOT_DEBT_TO_TOT_CAP","FQ4 2014","FQ4 2014","Currency=INR","Period=FQ","BEST_FPERIOD_OVERRIDE=FQ","FILING_STATUS=OR","EQY_CONSOLIDATED=Y","Sort=A","Dates=H","DateFormat=P","Fill=—","Direction=H","UseDPDF=Y")</f>
        <v>#NAME?</v>
      </c>
      <c r="CM182" s="2" t="e">
        <f ca="1">_xll.BDH($C$178,"TOT_DEBT_TO_TOT_ASSET","FQ4 2014","FQ4 2014","Currency=INR","Period=FQ","BEST_FPERIOD_OVERRIDE=FQ","FILING_STATUS=OR","EQY_CONSOLIDATED=Y","Sort=A","Dates=H","DateFormat=P","Fill=—","Direction=H","UseDPDF=Y")</f>
        <v>#NAME?</v>
      </c>
      <c r="CN182" s="2" t="e">
        <f ca="1">_xll.BDH($C$178,"NET_DEBT_TO_SHRHLDR_EQTY","FQ4 2014","FQ4 2014","Currency=INR","Period=FQ","BEST_FPERIOD_OVERRIDE=FQ","FILING_STATUS=OR","EQY_CONSOLIDATED=Y","Sort=A","Dates=H","DateFormat=P","Fill=—","Direction=H","UseDPDF=Y")</f>
        <v>#NAME?</v>
      </c>
      <c r="CO182" s="2" t="e">
        <f ca="1">_xll.BDH($C$178,"NET_DEBT_%_CAPITAL","FQ4 2014","FQ4 2014","Currency=INR","Period=FQ","BEST_FPERIOD_OVERRIDE=FQ","FILING_STATUS=OR","EQY_CONSOLIDATED=Y","Sort=A","Dates=H","DateFormat=P","Fill=—","Direction=H","UseDPDF=Y")</f>
        <v>#NAME?</v>
      </c>
      <c r="CP182" s="3" t="e">
        <f ca="1">_xll.BDH($C$178,"EBITDA","FQ4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182" s="3" t="e">
        <f ca="1">_xll.BDH($C$178,"EBITDA_AFTER_CAPEX","FQ4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182" s="3" t="e">
        <f ca="1">_xll.BDH($C$178,"IS_OPER_INC","FQ4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182" s="2" t="e">
        <f ca="1">_xll.BDH($C$178,"CASH_RATIO","FQ4 2014","FQ4 2014","Currency=INR","Period=FQ","BEST_FPERIOD_OVERRIDE=FQ","FILING_STATUS=OR","EQY_CONSOLIDATED=Y","Sort=A","Dates=H","DateFormat=P","Fill=—","Direction=H","UseDPDF=Y")</f>
        <v>#NAME?</v>
      </c>
      <c r="CT182" s="2" t="e">
        <f ca="1">_xll.BDH($C$178,"CUR_RATIO","FQ4 2014","FQ4 2014","Currency=INR","Period=FQ","BEST_FPERIOD_OVERRIDE=FQ","FILING_STATUS=OR","EQY_CONSOLIDATED=Y","Sort=A","Dates=H","DateFormat=P","Fill=—","Direction=H","UseDPDF=Y")</f>
        <v>#NAME?</v>
      </c>
      <c r="CU182" s="2" t="e">
        <f ca="1">_xll.BDH($C$178,"QUICK_RATIO","FQ4 2014","FQ4 2014","Currency=INR","Period=FQ","BEST_FPERIOD_OVERRIDE=FQ","FILING_STATUS=OR","EQY_CONSOLIDATED=Y","Sort=A","Dates=H","DateFormat=P","Fill=—","Direction=H","UseDPDF=Y")</f>
        <v>#NAME?</v>
      </c>
      <c r="CV182" s="2" t="e">
        <f ca="1">_xll.BDH($C$178,"ALTMAN_Z_SCORE","FQ4 2014","FQ4 2014","Currency=INR","Period=FQ","BEST_FPERIOD_OVERRIDE=FQ","FILING_STATUS=OR","EQY_CONSOLIDATED=Y","Sort=A","Dates=H","DateFormat=P","Fill=—","Direction=H","UseDPDF=Y")</f>
        <v>#NAME?</v>
      </c>
      <c r="CW182" s="4" t="e">
        <f ca="1">_xll.BDH($C$178,"ACCT_RCV_TURN","FQ4 2014","FQ4 2014","Currency=INR","Period=FQ","BEST_FPERIOD_OVERRIDE=FQ","FILING_STATUS=OR","EQY_CONSOLIDATED=Y","FA_ADJUSTED=GAAP","Sort=A","Dates=H","DateFormat=P","Fill=—","Direction=H","UseDPDF=Y")</f>
        <v>#NAME?</v>
      </c>
      <c r="CX182" s="2" t="e">
        <f ca="1">_xll.BDH($C$178,"ACCT_RCV_DAYS","FQ4 2014","FQ4 2014","Currency=INR","Period=FQ","BEST_FPERIOD_OVERRIDE=FQ","FILING_STATUS=OR","EQY_CONSOLIDATED=Y","FA_ADJUSTED=GAAP","Sort=A","Dates=H","DateFormat=P","Fill=—","Direction=H","UseDPDF=Y")</f>
        <v>#NAME?</v>
      </c>
      <c r="CY182" s="4" t="e">
        <f ca="1">_xll.BDH($C$178,"INVENT_TURN","FQ4 2014","FQ4 2014","Currency=INR","Period=FQ","BEST_FPERIOD_OVERRIDE=FQ","FILING_STATUS=OR","EQY_CONSOLIDATED=Y","FA_ADJUSTED=GAAP","Sort=A","Dates=H","DateFormat=P","Fill=—","Direction=H","UseDPDF=Y")</f>
        <v>#NAME?</v>
      </c>
      <c r="CZ182" s="2" t="e">
        <f ca="1">_xll.BDH($C$178,"INVENT_DAYS","FQ4 2014","FQ4 2014","Currency=INR","Period=FQ","BEST_FPERIOD_OVERRIDE=FQ","FILING_STATUS=OR","EQY_CONSOLIDATED=Y","FA_ADJUSTED=GAAP","Sort=A","Dates=H","DateFormat=P","Fill=—","Direction=H","UseDPDF=Y")</f>
        <v>#NAME?</v>
      </c>
      <c r="DA182" s="4" t="e">
        <f ca="1">_xll.BDH($C$178,"ACCOUNTS_PAYABLE_TURNOVER","FQ4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182" s="2" t="e">
        <f ca="1">_xll.BDH($C$178,"ACCOUNTS_PAYABLE_TURNOVER_DAYS","FQ4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182" s="4" t="e">
        <f ca="1">_xll.BDH($C$178,"CASH_CONVERSION_CYCLE","FQ4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182" s="4" t="e">
        <f ca="1">_xll.BDH($C$178,"INV_TO_CASH_DAYS","FQ4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182" s="5" t="e">
        <f ca="1">_xll.BDH($C$178,"BS_INVENTORIES","FQ4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182" s="3" t="e">
        <f ca="1">_xll.BDH($C$178,"INVTRY_RAW_MATERIALS","FQ4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182" s="3" t="e">
        <f ca="1">_xll.BDH($C$178,"INVTRY_IN_PROGRESS","FQ4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182" s="3" t="e">
        <f ca="1">_xll.BDH($C$178,"INVTRY_FINISHED_GOODS","FQ4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182" s="3" t="e">
        <f ca="1">_xll.BDH($C$178,"BS_OTHER_INV","FQ4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183" spans="1:113" x14ac:dyDescent="0.3">
      <c r="A183" s="6"/>
      <c r="B183" s="6"/>
      <c r="C183" s="6"/>
      <c r="D183" s="6" t="s">
        <v>82</v>
      </c>
      <c r="E183" t="s">
        <v>77</v>
      </c>
      <c r="F183" t="e">
        <f ca="1">_xll.BDH($C$178,"RETURN_COM_EQY","FY 2015","FY 2015","Currency=INR","Period=FY","BEST_FPERIOD_OVERRIDE=FY","FILING_STATUS=OR","EQY_CONSOLIDATED=Y","FA_ADJUSTED=GAAP","Sort=A","Dates=H","DateFormat=P","Fill=—","Direction=H","UseDPDF=Y")</f>
        <v>#NAME?</v>
      </c>
      <c r="G183" t="e">
        <f ca="1">_xll.BDH($C$178,"RETURN_ON_ASSET","FY 2015","FY 2015","Currency=INR","Period=FY","BEST_FPERIOD_OVERRIDE=FY","FILING_STATUS=OR","EQY_CONSOLIDATED=Y","FA_ADJUSTED=GAAP","Sort=A","Dates=H","DateFormat=P","Fill=—","Direction=H","UseDPDF=Y")</f>
        <v>#NAME?</v>
      </c>
      <c r="H183" t="e">
        <f ca="1">_xll.BDH($C$178,"RETURN_ON_CAP","FY 2015","FY 2015","Currency=INR","Period=FY","BEST_FPERIOD_OVERRIDE=FY","FILING_STATUS=OR","EQY_CONSOLIDATED=Y","FA_ADJUSTED=GAAP","Sort=A","Dates=H","DateFormat=P","Fill=—","Direction=H","UseDPDF=Y")</f>
        <v>#NAME?</v>
      </c>
      <c r="I183" t="e">
        <f ca="1">_xll.BDH($C$178,"RETURN_ON_INV_CAPITAL","FY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183" t="e">
        <f ca="1">_xll.BDH($C$178,"EBITDA_TO_REVENUE","FY 2015","FY 2015","Currency=INR","Period=FY","BEST_FPERIOD_OVERRIDE=FY","FILING_STATUS=OR","EQY_CONSOLIDATED=Y","FA_ADJUSTED=GAAP","Sort=A","Dates=H","DateFormat=P","Fill=—","Direction=H","UseDPDF=Y")</f>
        <v>#NAME?</v>
      </c>
      <c r="K183" t="e">
        <f ca="1">_xll.BDH($C$178,"OPER_MARGIN","FY 2015","FY 2015","Currency=INR","Period=FY","BEST_FPERIOD_OVERRIDE=FY","FILING_STATUS=OR","EQY_CONSOLIDATED=Y","FA_ADJUSTED=GAAP","Sort=A","Dates=H","DateFormat=P","Fill=—","Direction=H","UseDPDF=Y")</f>
        <v>#NAME?</v>
      </c>
      <c r="L183" t="e">
        <f ca="1">_xll.BDH($C$178,"INCREMENTAL_OPERATING_MARGIN","FY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183" t="e">
        <f ca="1">_xll.BDH($C$178,"PRETAX_INC_TO_NET_SALES","FY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183" t="e">
        <f ca="1">_xll.BDH($C$178,"INC_BEF_XO_ITEMS_TO_NET_SALES","FY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183" t="e">
        <f ca="1">_xll.BDH($C$178,"PROF_MARGIN","FY 2015","FY 2015","Currency=INR","Period=FY","BEST_FPERIOD_OVERRIDE=FY","FILING_STATUS=OR","EQY_CONSOLIDATED=Y","FA_ADJUSTED=GAAP","Sort=A","Dates=H","DateFormat=P","Fill=—","Direction=H","UseDPDF=Y")</f>
        <v>#NAME?</v>
      </c>
      <c r="P183" t="e">
        <f ca="1">_xll.BDH($C$178,"NET_INCOME_TO_COMMON_MARGIN","FY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183" t="e">
        <f ca="1">_xll.BDH($C$178,"EFF_TAX_RATE","FY 2015","FY 2015","Currency=INR","Period=FY","BEST_FPERIOD_OVERRIDE=FY","FILING_STATUS=OR","EQY_CONSOLIDATED=Y","FA_ADJUSTED=GAAP","Sort=A","Dates=H","DateFormat=P","Fill=—","Direction=H","UseDPDF=Y")</f>
        <v>#NAME?</v>
      </c>
      <c r="R183" t="e">
        <f ca="1">_xll.BDH($C$178,"DVD_PAYOUT_RATIO","FY 2015","FY 2015","Currency=INR","Period=FY","BEST_FPERIOD_OVERRIDE=FY","FILING_STATUS=OR","EQY_CONSOLIDATED=Y","FA_ADJUSTED=GAAP","Sort=A","Dates=H","DateFormat=P","Fill=—","Direction=H","UseDPDF=Y")</f>
        <v>#NAME?</v>
      </c>
      <c r="S183" t="e">
        <f ca="1">_xll.BDH($C$178,"SUSTAIN_GROWTH_RT","FY 2015","FY 2015","Currency=INR","Period=FY","BEST_FPERIOD_OVERRIDE=FY","FILING_STATUS=OR","EQY_CONSOLIDATED=Y","FA_ADJUSTED=GAAP","Sort=A","Dates=H","DateFormat=P","Fill=—","Direction=H","UseDPDF=Y")</f>
        <v>#NAME?</v>
      </c>
      <c r="T183" s="2" t="e">
        <f ca="1">_xll.BDH($C$178,"SALES_GROWTH","FY 2015","FY 2015","Currency=INR","Period=FY","BEST_FPERIOD_OVERRIDE=FY","FILING_STATUS=OR","EQY_CONSOLIDATED=Y","FA_ADJUSTED=GAAP","Sort=A","Dates=H","DateFormat=P","Fill=—","Direction=H","UseDPDF=Y")</f>
        <v>#NAME?</v>
      </c>
      <c r="U183" s="2" t="e">
        <f ca="1">_xll.BDH($C$178,"EBITDA_GROWTH","FY 2015","FY 2015","Currency=INR","Period=FY","BEST_FPERIOD_OVERRIDE=FY","FILING_STATUS=OR","EQY_CONSOLIDATED=Y","FA_ADJUSTED=GAAP","Sort=A","Dates=H","DateFormat=P","Fill=—","Direction=H","UseDPDF=Y")</f>
        <v>#NAME?</v>
      </c>
      <c r="V183" s="2" t="e">
        <f ca="1">_xll.BDH($C$178,"OPER_INC_GROWTH","FY 2015","FY 2015","Currency=INR","Period=FY","BEST_FPERIOD_OVERRIDE=FY","FILING_STATUS=OR","EQY_CONSOLIDATED=Y","FA_ADJUSTED=GAAP","Sort=A","Dates=H","DateFormat=P","Fill=—","Direction=H","UseDPDF=Y")</f>
        <v>#NAME?</v>
      </c>
      <c r="W183" s="2" t="e">
        <f ca="1">_xll.BDH($C$178,"EARN_FOR_COM_GROWTH","FY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183" s="2" t="e">
        <f ca="1">_xll.BDH($C$178,"DILUTED_EPS_AFT_XO_ITEMS_GROWTH","FY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183" s="2" t="e">
        <f ca="1">_xll.BDH($C$178,"DIVIDEND_PER_SHARE_1_YEAR_GROWTH","FY 2015","FY 2015","Currency=INR","Period=FY","BEST_FPERIOD_OVERRIDE=FY","FILING_STATUS=OR","EQY_CONSOLIDATED=Y","Sort=A","Dates=H","DateFormat=P","Fill=—","Direction=H","UseDPDF=Y")</f>
        <v>#NAME?</v>
      </c>
      <c r="Z183" s="2" t="e">
        <f ca="1">_xll.BDH($C$178,"ACCOUNTS_RECEIVABLE_GROWTH","FY 2015","FY 2015","Currency=INR","Period=FY","BEST_FPERIOD_OVERRIDE=FY","FILING_STATUS=OR","EQY_CONSOLIDATED=Y","Sort=A","Dates=H","DateFormat=P","Fill=—","Direction=H","UseDPDF=Y")</f>
        <v>#NAME?</v>
      </c>
      <c r="AA183" s="2" t="e">
        <f ca="1">_xll.BDH($C$178,"INVENTORY_GROWTH","FY 2015","FY 2015","Currency=INR","Period=FY","BEST_FPERIOD_OVERRIDE=FY","FILING_STATUS=OR","EQY_CONSOLIDATED=Y","Sort=A","Dates=H","DateFormat=P","Fill=—","Direction=H","UseDPDF=Y")</f>
        <v>#NAME?</v>
      </c>
      <c r="AB183" s="2" t="e">
        <f ca="1">_xll.BDH($C$178,"NET_FIXED_ASSETS_1_YEAR_GROWTH","FY 2015","FY 2015","Currency=INR","Period=FY","BEST_FPERIOD_OVERRIDE=FY","FILING_STATUS=OR","EQY_CONSOLIDATED=Y","Sort=A","Dates=H","DateFormat=P","Fill=—","Direction=H","UseDPDF=Y")</f>
        <v>#NAME?</v>
      </c>
      <c r="AC183" s="2" t="e">
        <f ca="1">_xll.BDH($C$178,"ASSET_GROWTH","FY 2015","FY 2015","Currency=INR","Period=FY","BEST_FPERIOD_OVERRIDE=FY","FILING_STATUS=OR","EQY_CONSOLIDATED=Y","Sort=A","Dates=H","DateFormat=P","Fill=—","Direction=H","UseDPDF=Y")</f>
        <v>#NAME?</v>
      </c>
      <c r="AD183" s="2" t="e">
        <f ca="1">_xll.BDH($C$178,"MODIFIED_WORK_CAP_GROWTH","FY 2015","FY 2015","Currency=INR","Period=FY","BEST_FPERIOD_OVERRIDE=FY","FILING_STATUS=OR","EQY_CONSOLIDATED=Y","Sort=A","Dates=H","DateFormat=P","Fill=—","Direction=H","UseDPDF=Y")</f>
        <v>#NAME?</v>
      </c>
      <c r="AE183" s="2" t="e">
        <f ca="1">_xll.BDH($C$178,"WORK_CAP_GROWTH","FY 2015","FY 2015","Currency=INR","Period=FY","BEST_FPERIOD_OVERRIDE=FY","FILING_STATUS=OR","EQY_CONSOLIDATED=Y","Sort=A","Dates=H","DateFormat=P","Fill=—","Direction=H","UseDPDF=Y")</f>
        <v>#NAME?</v>
      </c>
      <c r="AF183" s="2" t="e">
        <f ca="1">_xll.BDH($C$178,"ACCOUNTS_PAYABLE_GROWTH_1YR","FY 2015","FY 2015","Currency=INR","Period=FY","BEST_FPERIOD_OVERRIDE=FY","FILING_STATUS=OR","EQY_CONSOLIDATED=Y","Sort=A","Dates=H","DateFormat=P","Fill=—","Direction=H","UseDPDF=Y")</f>
        <v>#NAME?</v>
      </c>
      <c r="AG183" s="2" t="e">
        <f ca="1">_xll.BDH($C$178,"SHORT_TERM_DEBT_1_YEAR_GROWTH","FY 2015","FY 2015","Currency=INR","Period=FY","BEST_FPERIOD_OVERRIDE=FY","FILING_STATUS=OR","EQY_CONSOLIDATED=Y","Sort=A","Dates=H","DateFormat=P","Fill=—","Direction=H","UseDPDF=Y")</f>
        <v>#NAME?</v>
      </c>
      <c r="AH183" s="2" t="e">
        <f ca="1">_xll.BDH($C$178,"TOTAL_DEBT_1_YEAR_GROWTH","FY 2015","FY 2015","Currency=INR","Period=FY","BEST_FPERIOD_OVERRIDE=FY","FILING_STATUS=OR","EQY_CONSOLIDATED=Y","Sort=A","Dates=H","DateFormat=P","Fill=—","Direction=H","UseDPDF=Y")</f>
        <v>#NAME?</v>
      </c>
      <c r="AI183" s="2" t="e">
        <f ca="1">_xll.BDH($C$178,"TOTAL_EQUITY_1_YEAR_GROWTH","FY 2015","FY 2015","Currency=INR","Period=FY","BEST_FPERIOD_OVERRIDE=FY","FILING_STATUS=OR","EQY_CONSOLIDATED=Y","Sort=A","Dates=H","DateFormat=P","Fill=—","Direction=H","UseDPDF=Y")</f>
        <v>#NAME?</v>
      </c>
      <c r="AJ183" s="2" t="e">
        <f ca="1">_xll.BDH($C$178,"GROWTH_IN_CAP","FY 2015","FY 2015","Currency=INR","Period=FY","BEST_FPERIOD_OVERRIDE=FY","FILING_STATUS=OR","EQY_CONSOLIDATED=Y","Sort=A","Dates=H","DateFormat=P","Fill=—","Direction=H","UseDPDF=Y")</f>
        <v>#NAME?</v>
      </c>
      <c r="AK183" s="2" t="e">
        <f ca="1">_xll.BDH($C$178,"BVPS_GROWTH","FY 2015","FY 2015","Currency=INR","Period=FY","BEST_FPERIOD_OVERRIDE=FY","FILING_STATUS=OR","EQY_CONSOLIDATED=Y","Sort=A","Dates=H","DateFormat=P","Fill=—","Direction=H","UseDPDF=Y")</f>
        <v>#NAME?</v>
      </c>
      <c r="AL183" s="2" t="e">
        <f ca="1">_xll.BDH($C$178,"CASH_FLOW_GROWTH","FY 2015","FY 2015","Currency=INR","Period=FY","BEST_FPERIOD_OVERRIDE=FY","FILING_STATUS=OR","EQY_CONSOLIDATED=Y","Sort=A","Dates=H","DateFormat=P","Fill=—","Direction=H","UseDPDF=Y")</f>
        <v>#NAME?</v>
      </c>
      <c r="AM183" s="2" t="e">
        <f ca="1">_xll.BDH($C$178,"GEO_GROW_NET_SALES","FY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183" s="2" t="e">
        <f ca="1">_xll.BDH($C$178,"GEO_GROW_EBITDA","FY 2015","FY 2015","Currency=INR","Period=FY","BEST_FPERIOD_OVERRIDE=FY","FILING_STATUS=OR","EQY_CONSOLIDATED=Y","FA_ADJUSTED=GAAP","Sort=A","Dates=H","DateFormat=P","Fill=—","Direction=H","UseDPDF=Y")</f>
        <v>#NAME?</v>
      </c>
      <c r="AO183" s="2" t="e">
        <f ca="1">_xll.BDH($C$178,"GEO_GROW_OPER_INC","FY 2015","FY 2015","Currency=INR","Period=FY","BEST_FPERIOD_OVERRIDE=FY","FILING_STATUS=OR","EQY_CONSOLIDATED=Y","FA_ADJUSTED=GAAP","Sort=A","Dates=H","DateFormat=P","Fill=—","Direction=H","UseDPDF=Y")</f>
        <v>#NAME?</v>
      </c>
      <c r="AP183" s="2" t="e">
        <f ca="1">_xll.BDH($C$178,"NET_INCOME_TO_COMMON_5_YR_GROWTH","FY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183" s="2" t="e">
        <f ca="1">_xll.BDH($C$178,"5Y_GEO_GROWTH_DILUTED_EPS","FY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183" s="2" t="e">
        <f ca="1">_xll.BDH($C$178,"GEO_GROW_DVD_PER_SH","FY 2015","FY 2015","Currency=INR","Period=FY","BEST_FPERIOD_OVERRIDE=FY","FILING_STATUS=OR","EQY_CONSOLIDATED=Y","Sort=A","Dates=H","DateFormat=P","Fill=—","Direction=H","UseDPDF=Y")</f>
        <v>#NAME?</v>
      </c>
      <c r="AS183" s="2" t="e">
        <f ca="1">_xll.BDH($C$178,"ACCOUNTS_RECEIVABLE_5_YR_GROWTH","FY 2015","FY 2015","Currency=INR","Period=FY","BEST_FPERIOD_OVERRIDE=FY","FILING_STATUS=OR","EQY_CONSOLIDATED=Y","Sort=A","Dates=H","DateFormat=P","Fill=—","Direction=H","UseDPDF=Y")</f>
        <v>#NAME?</v>
      </c>
      <c r="AT183" s="2" t="e">
        <f ca="1">_xll.BDH($C$178,"INVENTORY_5_YEAR_GROWTH","FY 2015","FY 2015","Currency=INR","Period=FY","BEST_FPERIOD_OVERRIDE=FY","FILING_STATUS=OR","EQY_CONSOLIDATED=Y","Sort=A","Dates=H","DateFormat=P","Fill=—","Direction=H","UseDPDF=Y")</f>
        <v>#NAME?</v>
      </c>
      <c r="AU183" s="2" t="e">
        <f ca="1">_xll.BDH($C$178,"NET_FIXED_ASSETS_5_YEAR_GROWTH","FY 2015","FY 2015","Currency=INR","Period=FY","BEST_FPERIOD_OVERRIDE=FY","FILING_STATUS=OR","EQY_CONSOLIDATED=Y","Sort=A","Dates=H","DateFormat=P","Fill=—","Direction=H","UseDPDF=Y")</f>
        <v>#NAME?</v>
      </c>
      <c r="AV183" s="2" t="e">
        <f ca="1">_xll.BDH($C$178,"GEO_GROW_TOT_ASSET","FY 2015","FY 2015","Currency=INR","Period=FY","BEST_FPERIOD_OVERRIDE=FY","FILING_STATUS=OR","EQY_CONSOLIDATED=Y","Sort=A","Dates=H","DateFormat=P","Fill=—","Direction=H","UseDPDF=Y")</f>
        <v>#NAME?</v>
      </c>
      <c r="AW183" s="2" t="e">
        <f ca="1">_xll.BDH($C$178,"MODIFIED_WORKING_CPTL_5YR_GRWTH","FY 2015","FY 2015","Currency=INR","Period=FY","BEST_FPERIOD_OVERRIDE=FY","FILING_STATUS=OR","EQY_CONSOLIDATED=Y","Sort=A","Dates=H","DateFormat=P","Fill=—","Direction=H","UseDPDF=Y")</f>
        <v>#NAME?</v>
      </c>
      <c r="AX183" s="2" t="e">
        <f ca="1">_xll.BDH($C$178,"WORKING_CAPITAL_5_YEAR_GROWTH","FY 2015","FY 2015","Currency=INR","Period=FY","BEST_FPERIOD_OVERRIDE=FY","FILING_STATUS=OR","EQY_CONSOLIDATED=Y","Sort=A","Dates=H","DateFormat=P","Fill=—","Direction=H","UseDPDF=Y")</f>
        <v>#NAME?</v>
      </c>
      <c r="AY183" s="2" t="e">
        <f ca="1">_xll.BDH($C$178,"ACCOUNTS_PAYABLE_5_YEAR_GROWTH","FY 2015","FY 2015","Currency=INR","Period=FY","BEST_FPERIOD_OVERRIDE=FY","FILING_STATUS=OR","EQY_CONSOLIDATED=Y","Sort=A","Dates=H","DateFormat=P","Fill=—","Direction=H","UseDPDF=Y")</f>
        <v>#NAME?</v>
      </c>
      <c r="AZ183" s="2" t="e">
        <f ca="1">_xll.BDH($C$178,"SHORT_TERM_DEBT_5_YEAR_GROWTH","FY 2015","FY 2015","Currency=INR","Period=FY","BEST_FPERIOD_OVERRIDE=FY","FILING_STATUS=OR","EQY_CONSOLIDATED=Y","Sort=A","Dates=H","DateFormat=P","Fill=—","Direction=H","UseDPDF=Y")</f>
        <v>#NAME?</v>
      </c>
      <c r="BA183" s="2" t="e">
        <f ca="1">_xll.BDH($C$178,"TOTAL_DEBT_5_YEAR_GROWTH","FY 2015","FY 2015","Currency=INR","Period=FY","BEST_FPERIOD_OVERRIDE=FY","FILING_STATUS=OR","EQY_CONSOLIDATED=Y","Sort=A","Dates=H","DateFormat=P","Fill=—","Direction=H","UseDPDF=Y")</f>
        <v>#NAME?</v>
      </c>
      <c r="BB183" s="2" t="e">
        <f ca="1">_xll.BDH($C$178,"GEO_GROW_TOT_SHRHLDR_EQY","FY 2015","FY 2015","Currency=INR","Period=FY","BEST_FPERIOD_OVERRIDE=FY","FILING_STATUS=OR","EQY_CONSOLIDATED=Y","Sort=A","Dates=H","DateFormat=P","Fill=—","Direction=H","UseDPDF=Y")</f>
        <v>#NAME?</v>
      </c>
      <c r="BC183" s="2" t="e">
        <f ca="1">_xll.BDH($C$178,"TOTAL_CAPITAL_5_YEAR_GROWTH","FY 2015","FY 2015","Currency=INR","Period=FY","BEST_FPERIOD_OVERRIDE=FY","FILING_STATUS=OR","EQY_CONSOLIDATED=Y","Sort=A","Dates=H","DateFormat=P","Fill=—","Direction=H","UseDPDF=Y")</f>
        <v>#NAME?</v>
      </c>
      <c r="BD183" s="2" t="e">
        <f ca="1">_xll.BDH($C$178,"GEO_GROW_BOOK_VAL","FY 2015","FY 2015","Currency=INR","Period=FY","BEST_FPERIOD_OVERRIDE=FY","FILING_STATUS=OR","EQY_CONSOLIDATED=Y","Sort=A","Dates=H","DateFormat=P","Fill=—","Direction=H","UseDPDF=Y")</f>
        <v>#NAME?</v>
      </c>
      <c r="BE183" s="2" t="e">
        <f ca="1">_xll.BDH($C$178,"GEO_GROW_CASH_OPER_ACT","FY 2015","FY 2015","Currency=INR","Period=FY","BEST_FPERIOD_OVERRIDE=FY","FILING_STATUS=OR","EQY_CONSOLIDATED=Y","Sort=A","Dates=H","DateFormat=P","Fill=—","Direction=H","UseDPDF=Y")</f>
        <v>#NAME?</v>
      </c>
      <c r="BF183" s="2" t="e">
        <f ca="1">_xll.BDH($C$178,"REVENUE_SEQUENTIAL_GROWTH","FY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183" s="2" t="e">
        <f ca="1">_xll.BDH($C$178,"EBITDA_SEQUENTIAL_GROWTH","FY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183" s="2" t="e">
        <f ca="1">_xll.BDH($C$178,"OPERATING_INCOME_SEQ_GROWTH","FY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183" s="2" t="e">
        <f ca="1">_xll.BDH($C$178,"NET_INCOME_TO_COMMON_SEQ_GROWTH","FY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183" s="2" t="e">
        <f ca="1">_xll.BDH($C$178,"EPS_DILUTED_SEQUENTIAL_GROWTH","FY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183" s="2" t="e">
        <f ca="1">_xll.BDH($C$178,"DPS_SEQUENTIAL_GROWTH","FY 2015","FY 2015","Currency=INR","Period=FY","BEST_FPERIOD_OVERRIDE=FY","FILING_STATUS=OR","EQY_CONSOLIDATED=Y","Sort=A","Dates=H","DateFormat=P","Fill=—","Direction=H","UseDPDF=Y")</f>
        <v>#NAME?</v>
      </c>
      <c r="BL183" s="2" t="e">
        <f ca="1">_xll.BDH($C$178,"ACCOUNTS_RECEIVABLE_SEQ_GROWTH","FY 2015","FY 2015","Currency=INR","Period=FY","BEST_FPERIOD_OVERRIDE=FY","FILING_STATUS=OR","EQY_CONSOLIDATED=Y","Sort=A","Dates=H","DateFormat=P","Fill=—","Direction=H","UseDPDF=Y")</f>
        <v>#NAME?</v>
      </c>
      <c r="BM183" s="2" t="e">
        <f ca="1">_xll.BDH($C$178,"INVENTORY_SEQUENTIAL_GROWTH","FY 2015","FY 2015","Currency=INR","Period=FY","BEST_FPERIOD_OVERRIDE=FY","FILING_STATUS=OR","EQY_CONSOLIDATED=Y","Sort=A","Dates=H","DateFormat=P","Fill=—","Direction=H","UseDPDF=Y")</f>
        <v>#NAME?</v>
      </c>
      <c r="BN183" s="2" t="e">
        <f ca="1">_xll.BDH($C$178,"FIXED_ASSETS_SEQUENTIAL_GROWTH","FY 2015","FY 2015","Currency=INR","Period=FY","BEST_FPERIOD_OVERRIDE=FY","FILING_STATUS=OR","EQY_CONSOLIDATED=Y","Sort=A","Dates=H","DateFormat=P","Fill=—","Direction=H","UseDPDF=Y")</f>
        <v>#NAME?</v>
      </c>
      <c r="BO183" s="2" t="e">
        <f ca="1">_xll.BDH($C$178,"TOTAL_ASSETS_SEQUENTIAL_GROWTH","FY 2015","FY 2015","Currency=INR","Period=FY","BEST_FPERIOD_OVERRIDE=FY","FILING_STATUS=OR","EQY_CONSOLIDATED=Y","Sort=A","Dates=H","DateFormat=P","Fill=—","Direction=H","UseDPDF=Y")</f>
        <v>#NAME?</v>
      </c>
      <c r="BP183" s="2" t="e">
        <f ca="1">_xll.BDH($C$178,"MODIFIED_WORKING_CPTL_SEQ_GRWTH","FY 2015","FY 2015","Currency=INR","Period=FY","BEST_FPERIOD_OVERRIDE=FY","FILING_STATUS=OR","EQY_CONSOLIDATED=Y","Sort=A","Dates=H","DateFormat=P","Fill=—","Direction=H","UseDPDF=Y")</f>
        <v>#NAME?</v>
      </c>
      <c r="BQ183" s="2" t="e">
        <f ca="1">_xll.BDH($C$178,"WORKING_CAPITAL_SEQ_GROWTH","FY 2015","FY 2015","Currency=INR","Period=FY","BEST_FPERIOD_OVERRIDE=FY","FILING_STATUS=OR","EQY_CONSOLIDATED=Y","Sort=A","Dates=H","DateFormat=P","Fill=—","Direction=H","UseDPDF=Y")</f>
        <v>#NAME?</v>
      </c>
      <c r="BR183" s="2" t="e">
        <f ca="1">_xll.BDH($C$178,"ACCOUNTS_PAYABLE_SEQ_GROWTH","FY 2015","FY 2015","Currency=INR","Period=FY","BEST_FPERIOD_OVERRIDE=FY","FILING_STATUS=OR","EQY_CONSOLIDATED=Y","Sort=A","Dates=H","DateFormat=P","Fill=—","Direction=H","UseDPDF=Y")</f>
        <v>#NAME?</v>
      </c>
      <c r="BS183" s="2" t="e">
        <f ca="1">_xll.BDH($C$178,"ST_DEBT_SEQUENTIAL_GROWTH","FY 2015","FY 2015","Currency=INR","Period=FY","BEST_FPERIOD_OVERRIDE=FY","FILING_STATUS=OR","EQY_CONSOLIDATED=Y","Sort=A","Dates=H","DateFormat=P","Fill=—","Direction=H","UseDPDF=Y")</f>
        <v>#NAME?</v>
      </c>
      <c r="BT183" s="2" t="e">
        <f ca="1">_xll.BDH($C$178,"TOTAL_DEBT_SEQUENTIAL_GROWTH","FY 2015","FY 2015","Currency=INR","Period=FY","BEST_FPERIOD_OVERRIDE=FY","FILING_STATUS=OR","EQY_CONSOLIDATED=Y","Sort=A","Dates=H","DateFormat=P","Fill=—","Direction=H","UseDPDF=Y")</f>
        <v>#NAME?</v>
      </c>
      <c r="BU183" s="2" t="e">
        <f ca="1">_xll.BDH($C$178,"TOTAL_EQUITY_SEQUENTIAL_GROWTH","FY 2015","FY 2015","Currency=INR","Period=FY","BEST_FPERIOD_OVERRIDE=FY","FILING_STATUS=OR","EQY_CONSOLIDATED=Y","Sort=A","Dates=H","DateFormat=P","Fill=—","Direction=H","UseDPDF=Y")</f>
        <v>#NAME?</v>
      </c>
      <c r="BV183" s="2" t="e">
        <f ca="1">_xll.BDH($C$178,"TOTAL_CAPITAL_SEQUENTIAL_GROWTH","FY 2015","FY 2015","Currency=INR","Period=FY","BEST_FPERIOD_OVERRIDE=FY","FILING_STATUS=OR","EQY_CONSOLIDATED=Y","Sort=A","Dates=H","DateFormat=P","Fill=—","Direction=H","UseDPDF=Y")</f>
        <v>#NAME?</v>
      </c>
      <c r="BW183" s="2" t="e">
        <f ca="1">_xll.BDH($C$178,"BPS_SEQUENTIAL_GROWTH","FY 2015","FY 2015","Currency=INR","Period=FY","BEST_FPERIOD_OVERRIDE=FY","FILING_STATUS=OR","EQY_CONSOLIDATED=Y","Sort=A","Dates=H","DateFormat=P","Fill=—","Direction=H","UseDPDF=Y")</f>
        <v>#NAME?</v>
      </c>
      <c r="BX183" s="2" t="e">
        <f ca="1">_xll.BDH($C$178,"CFO_SEQUENTIAL_GROWTH","FY 2015","FY 2015","Currency=INR","Period=FY","BEST_FPERIOD_OVERRIDE=FY","FILING_STATUS=OR","EQY_CONSOLIDATED=Y","Sort=A","Dates=H","DateFormat=P","Fill=—","Direction=H","UseDPDF=Y")</f>
        <v>#NAME?</v>
      </c>
      <c r="BY183" s="3" t="e">
        <f ca="1">_xll.BDH($C$178,"SHORT_AND_LONG_TERM_DEBT","FY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183" s="3" t="e">
        <f ca="1">_xll.BDH($C$178,"BS_ST_BORROW","FY 2015","FY 2015","Currency=INR","Period=FY","BEST_FPERIOD_OVERRIDE=FY","FILING_STATUS=OR","EQY_CONSOLIDATED=Y","SCALING_FORMAT=MLN","Sort=A","Dates=H","DateFormat=P","Fill=—","Direction=H","UseDPDF=Y")</f>
        <v>#NAME?</v>
      </c>
      <c r="CA183" s="3" t="e">
        <f ca="1">_xll.BDH($C$178,"BS_LT_BORROW","FY 2015","FY 2015","Currency=INR","Period=FY","BEST_FPERIOD_OVERRIDE=FY","FILING_STATUS=OR","EQY_CONSOLIDATED=Y","SCALING_FORMAT=MLN","Sort=A","Dates=H","DateFormat=P","Fill=—","Direction=H","UseDPDF=Y")</f>
        <v>#NAME?</v>
      </c>
      <c r="CB183" s="2" t="e">
        <f ca="1">_xll.BDH($C$178,"TOT_DEBT_TO_EBITDA","FY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183" s="2" t="e">
        <f ca="1">_xll.BDH($C$178,"NET_DEBT_TO_EBITDA","FY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183" s="2" t="e">
        <f ca="1">_xll.BDH($C$178,"TOTAL_DEBT_TO_EBIT","FY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183" s="2" t="e">
        <f ca="1">_xll.BDH($C$178,"NET_DEBT_TO_EBIT","FY 2015","FY 2015","Currency=INR","Period=FY","BEST_FPERIOD_OVERRIDE=FY","FILING_STATUS=OR","EQY_CONSOLIDATED=Y","FA_ADJUSTED=GAAP","Sort=A","Dates=H","DateFormat=P","Fill=—","Direction=H","UseDPDF=Y")</f>
        <v>#NAME?</v>
      </c>
      <c r="CF183" s="2" t="e">
        <f ca="1">_xll.BDH($C$178,"EBITDA_TO_INTEREST_EXPN","FY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183" s="2" t="e">
        <f ca="1">_xll.BDH($C$178,"COM_EQY_TO_TOT_ASSET","FY 2015","FY 2015","Currency=INR","Period=FY","BEST_FPERIOD_OVERRIDE=FY","FILING_STATUS=OR","EQY_CONSOLIDATED=Y","Sort=A","Dates=H","DateFormat=P","Fill=—","Direction=H","UseDPDF=Y")</f>
        <v>#NAME?</v>
      </c>
      <c r="CH183" s="2" t="e">
        <f ca="1">_xll.BDH($C$178,"LT_DEBT_TO_TOT_EQY","FY 2015","FY 2015","Currency=INR","Period=FY","BEST_FPERIOD_OVERRIDE=FY","FILING_STATUS=OR","EQY_CONSOLIDATED=Y","Sort=A","Dates=H","DateFormat=P","Fill=—","Direction=H","UseDPDF=Y")</f>
        <v>#NAME?</v>
      </c>
      <c r="CI183" s="2" t="e">
        <f ca="1">_xll.BDH($C$178,"LT_DEBT_TO_TOT_CAP","FY 2015","FY 2015","Currency=INR","Period=FY","BEST_FPERIOD_OVERRIDE=FY","FILING_STATUS=OR","EQY_CONSOLIDATED=Y","Sort=A","Dates=H","DateFormat=P","Fill=—","Direction=H","UseDPDF=Y")</f>
        <v>#NAME?</v>
      </c>
      <c r="CJ183" s="2" t="e">
        <f ca="1">_xll.BDH($C$178,"LT_DEBT_TO_TOT_ASSET","FY 2015","FY 2015","Currency=INR","Period=FY","BEST_FPERIOD_OVERRIDE=FY","FILING_STATUS=OR","EQY_CONSOLIDATED=Y","Sort=A","Dates=H","DateFormat=P","Fill=—","Direction=H","UseDPDF=Y")</f>
        <v>#NAME?</v>
      </c>
      <c r="CK183" s="2" t="e">
        <f ca="1">_xll.BDH($C$178,"TOT_DEBT_TO_TOT_EQY","FY 2015","FY 2015","Currency=INR","Period=FY","BEST_FPERIOD_OVERRIDE=FY","FILING_STATUS=OR","EQY_CONSOLIDATED=Y","Sort=A","Dates=H","DateFormat=P","Fill=—","Direction=H","UseDPDF=Y")</f>
        <v>#NAME?</v>
      </c>
      <c r="CL183" s="2" t="e">
        <f ca="1">_xll.BDH($C$178,"TOT_DEBT_TO_TOT_CAP","FY 2015","FY 2015","Currency=INR","Period=FY","BEST_FPERIOD_OVERRIDE=FY","FILING_STATUS=OR","EQY_CONSOLIDATED=Y","Sort=A","Dates=H","DateFormat=P","Fill=—","Direction=H","UseDPDF=Y")</f>
        <v>#NAME?</v>
      </c>
      <c r="CM183" s="2" t="e">
        <f ca="1">_xll.BDH($C$178,"TOT_DEBT_TO_TOT_ASSET","FY 2015","FY 2015","Currency=INR","Period=FY","BEST_FPERIOD_OVERRIDE=FY","FILING_STATUS=OR","EQY_CONSOLIDATED=Y","Sort=A","Dates=H","DateFormat=P","Fill=—","Direction=H","UseDPDF=Y")</f>
        <v>#NAME?</v>
      </c>
      <c r="CN183" s="2" t="e">
        <f ca="1">_xll.BDH($C$178,"NET_DEBT_TO_SHRHLDR_EQTY","FY 2015","FY 2015","Currency=INR","Period=FY","BEST_FPERIOD_OVERRIDE=FY","FILING_STATUS=OR","EQY_CONSOLIDATED=Y","Sort=A","Dates=H","DateFormat=P","Fill=—","Direction=H","UseDPDF=Y")</f>
        <v>#NAME?</v>
      </c>
      <c r="CO183" s="2" t="e">
        <f ca="1">_xll.BDH($C$178,"NET_DEBT_%_CAPITAL","FY 2015","FY 2015","Currency=INR","Period=FY","BEST_FPERIOD_OVERRIDE=FY","FILING_STATUS=OR","EQY_CONSOLIDATED=Y","Sort=A","Dates=H","DateFormat=P","Fill=—","Direction=H","UseDPDF=Y")</f>
        <v>#NAME?</v>
      </c>
      <c r="CP183" s="3" t="e">
        <f ca="1">_xll.BDH($C$178,"EBITDA","FY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183" s="3" t="e">
        <f ca="1">_xll.BDH($C$178,"EBITDA_AFTER_CAPEX","FY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183" s="3" t="e">
        <f ca="1">_xll.BDH($C$178,"IS_OPER_INC","FY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183" s="2" t="e">
        <f ca="1">_xll.BDH($C$178,"CASH_RATIO","FY 2015","FY 2015","Currency=INR","Period=FY","BEST_FPERIOD_OVERRIDE=FY","FILING_STATUS=OR","EQY_CONSOLIDATED=Y","Sort=A","Dates=H","DateFormat=P","Fill=—","Direction=H","UseDPDF=Y")</f>
        <v>#NAME?</v>
      </c>
      <c r="CT183" s="2" t="e">
        <f ca="1">_xll.BDH($C$178,"CUR_RATIO","FY 2015","FY 2015","Currency=INR","Period=FY","BEST_FPERIOD_OVERRIDE=FY","FILING_STATUS=OR","EQY_CONSOLIDATED=Y","Sort=A","Dates=H","DateFormat=P","Fill=—","Direction=H","UseDPDF=Y")</f>
        <v>#NAME?</v>
      </c>
      <c r="CU183" s="2" t="e">
        <f ca="1">_xll.BDH($C$178,"QUICK_RATIO","FY 2015","FY 2015","Currency=INR","Period=FY","BEST_FPERIOD_OVERRIDE=FY","FILING_STATUS=OR","EQY_CONSOLIDATED=Y","Sort=A","Dates=H","DateFormat=P","Fill=—","Direction=H","UseDPDF=Y")</f>
        <v>#NAME?</v>
      </c>
      <c r="CV183" s="2" t="e">
        <f ca="1">_xll.BDH($C$178,"ALTMAN_Z_SCORE","FY 2015","FY 2015","Currency=INR","Period=FY","BEST_FPERIOD_OVERRIDE=FY","FILING_STATUS=OR","EQY_CONSOLIDATED=Y","Sort=A","Dates=H","DateFormat=P","Fill=—","Direction=H","UseDPDF=Y")</f>
        <v>#NAME?</v>
      </c>
      <c r="CW183" s="4" t="e">
        <f ca="1">_xll.BDH($C$178,"ACCT_RCV_TURN","FY 2015","FY 2015","Currency=INR","Period=FY","BEST_FPERIOD_OVERRIDE=FY","FILING_STATUS=OR","EQY_CONSOLIDATED=Y","FA_ADJUSTED=GAAP","Sort=A","Dates=H","DateFormat=P","Fill=—","Direction=H","UseDPDF=Y")</f>
        <v>#NAME?</v>
      </c>
      <c r="CX183" s="2" t="e">
        <f ca="1">_xll.BDH($C$178,"ACCT_RCV_DAYS","FY 2015","FY 2015","Currency=INR","Period=FY","BEST_FPERIOD_OVERRIDE=FY","FILING_STATUS=OR","EQY_CONSOLIDATED=Y","FA_ADJUSTED=GAAP","Sort=A","Dates=H","DateFormat=P","Fill=—","Direction=H","UseDPDF=Y")</f>
        <v>#NAME?</v>
      </c>
      <c r="CY183" s="4" t="e">
        <f ca="1">_xll.BDH($C$178,"INVENT_TURN","FY 2015","FY 2015","Currency=INR","Period=FY","BEST_FPERIOD_OVERRIDE=FY","FILING_STATUS=OR","EQY_CONSOLIDATED=Y","FA_ADJUSTED=GAAP","Sort=A","Dates=H","DateFormat=P","Fill=—","Direction=H","UseDPDF=Y")</f>
        <v>#NAME?</v>
      </c>
      <c r="CZ183" s="2" t="e">
        <f ca="1">_xll.BDH($C$178,"INVENT_DAYS","FY 2015","FY 2015","Currency=INR","Period=FY","BEST_FPERIOD_OVERRIDE=FY","FILING_STATUS=OR","EQY_CONSOLIDATED=Y","FA_ADJUSTED=GAAP","Sort=A","Dates=H","DateFormat=P","Fill=—","Direction=H","UseDPDF=Y")</f>
        <v>#NAME?</v>
      </c>
      <c r="DA183" s="4" t="e">
        <f ca="1">_xll.BDH($C$178,"ACCOUNTS_PAYABLE_TURNOVER","FY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183" s="2" t="e">
        <f ca="1">_xll.BDH($C$178,"ACCOUNTS_PAYABLE_TURNOVER_DAYS","FY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183" s="4" t="e">
        <f ca="1">_xll.BDH($C$178,"CASH_CONVERSION_CYCLE","FY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183" s="4" t="e">
        <f ca="1">_xll.BDH($C$178,"INV_TO_CASH_DAYS","FY 2015","FY 2015","Currency=INR","Period=FY","BEST_FPERIOD_OVERRIDE=FY","FILING_STATUS=OR","EQY_CONSOLIDATED=Y","FA_ADJUSTED=GAAP","Sort=A","Dates=H","DateFormat=P","Fill=—","Direction=H","UseDPDF=Y")</f>
        <v>#NAME?</v>
      </c>
      <c r="DE183" s="5" t="e">
        <f ca="1">_xll.BDH($C$178,"BS_INVENTORIES","FY 2015","FY 2015","Currency=INR","Period=FY","BEST_FPERIOD_OVERRIDE=FY","FILING_STATUS=OR","EQY_CONSOLIDATED=Y","SCALING_FORMAT=MLN","Sort=A","Dates=H","DateFormat=P","Fill=—","Direction=H","UseDPDF=Y")</f>
        <v>#NAME?</v>
      </c>
      <c r="DF183" s="3" t="e">
        <f ca="1">_xll.BDH($C$178,"INVTRY_RAW_MATERIALS","FY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183" s="3" t="e">
        <f ca="1">_xll.BDH($C$178,"INVTRY_IN_PROGRESS","FY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183" s="3" t="e">
        <f ca="1">_xll.BDH($C$178,"INVTRY_FINISHED_GOODS","FY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183" s="3" t="e">
        <f ca="1">_xll.BDH($C$178,"BS_OTHER_INV","FY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184" spans="1:113" x14ac:dyDescent="0.3">
      <c r="A184" s="6"/>
      <c r="B184" s="6"/>
      <c r="C184" s="6"/>
      <c r="D184" s="6"/>
      <c r="E184" t="s">
        <v>78</v>
      </c>
      <c r="F184" t="e">
        <f ca="1">_xll.BDH($C$178,"RETURN_COM_EQY","FQ1 2015","FQ1 2015","Currency=INR","Period=FQ","BEST_FPERIOD_OVERRIDE=FQ","FILING_STATUS=OR","EQY_CONSOLIDATED=Y","FA_ADJUSTED=GAAP","Sort=A","Dates=H","DateFormat=P","Fill=—","Direction=H","UseDPDF=Y")</f>
        <v>#NAME?</v>
      </c>
      <c r="G184" t="e">
        <f ca="1">_xll.BDH($C$178,"RETURN_ON_ASSET","FQ1 2015","FQ1 2015","Currency=INR","Period=FQ","BEST_FPERIOD_OVERRIDE=FQ","FILING_STATUS=OR","EQY_CONSOLIDATED=Y","FA_ADJUSTED=GAAP","Sort=A","Dates=H","DateFormat=P","Fill=—","Direction=H","UseDPDF=Y")</f>
        <v>#NAME?</v>
      </c>
      <c r="H184" t="e">
        <f ca="1">_xll.BDH($C$178,"RETURN_ON_CAP","FQ1 2015","FQ1 2015","Currency=INR","Period=FQ","BEST_FPERIOD_OVERRIDE=FQ","FILING_STATUS=OR","EQY_CONSOLIDATED=Y","FA_ADJUSTED=GAAP","Sort=A","Dates=H","DateFormat=P","Fill=—","Direction=H","UseDPDF=Y")</f>
        <v>#NAME?</v>
      </c>
      <c r="I184" t="e">
        <f ca="1">_xll.BDH($C$178,"RETURN_ON_INV_CAPITAL","FQ1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184" t="e">
        <f ca="1">_xll.BDH($C$178,"EBITDA_TO_REVENUE","FQ1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184" t="e">
        <f ca="1">_xll.BDH($C$178,"OPER_MARGIN","FQ1 2015","FQ1 2015","Currency=INR","Period=FQ","BEST_FPERIOD_OVERRIDE=FQ","FILING_STATUS=OR","EQY_CONSOLIDATED=Y","FA_ADJUSTED=GAAP","Sort=A","Dates=H","DateFormat=P","Fill=—","Direction=H","UseDPDF=Y")</f>
        <v>#NAME?</v>
      </c>
      <c r="L184" t="e">
        <f ca="1">_xll.BDH($C$178,"INCREMENTAL_OPERATING_MARGIN","FQ1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184" t="e">
        <f ca="1">_xll.BDH($C$178,"PRETAX_INC_TO_NET_SALES","FQ1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184" t="e">
        <f ca="1">_xll.BDH($C$178,"INC_BEF_XO_ITEMS_TO_NET_SALES","FQ1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184" t="e">
        <f ca="1">_xll.BDH($C$178,"PROF_MARGIN","FQ1 2015","FQ1 2015","Currency=INR","Period=FQ","BEST_FPERIOD_OVERRIDE=FQ","FILING_STATUS=OR","EQY_CONSOLIDATED=Y","FA_ADJUSTED=GAAP","Sort=A","Dates=H","DateFormat=P","Fill=—","Direction=H","UseDPDF=Y")</f>
        <v>#NAME?</v>
      </c>
      <c r="P184" t="e">
        <f ca="1">_xll.BDH($C$178,"NET_INCOME_TO_COMMON_MARGIN","FQ1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184" t="e">
        <f ca="1">_xll.BDH($C$178,"EFF_TAX_RATE","FQ1 2015","FQ1 2015","Currency=INR","Period=FQ","BEST_FPERIOD_OVERRIDE=FQ","FILING_STATUS=OR","EQY_CONSOLIDATED=Y","FA_ADJUSTED=GAAP","Sort=A","Dates=H","DateFormat=P","Fill=—","Direction=H","UseDPDF=Y")</f>
        <v>#NAME?</v>
      </c>
      <c r="R184" t="e">
        <f ca="1">_xll.BDH($C$178,"DVD_PAYOUT_RATIO","FQ1 2015","FQ1 2015","Currency=INR","Period=FQ","BEST_FPERIOD_OVERRIDE=FQ","FILING_STATUS=OR","EQY_CONSOLIDATED=Y","FA_ADJUSTED=GAAP","Sort=A","Dates=H","DateFormat=P","Fill=—","Direction=H","UseDPDF=Y")</f>
        <v>#NAME?</v>
      </c>
      <c r="S184" t="e">
        <f ca="1">_xll.BDH($C$178,"SUSTAIN_GROWTH_RT","FQ1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184" s="2" t="e">
        <f ca="1">_xll.BDH($C$178,"SALES_GROWTH","FQ1 2015","FQ1 2015","Currency=INR","Period=FQ","BEST_FPERIOD_OVERRIDE=FQ","FILING_STATUS=OR","EQY_CONSOLIDATED=Y","FA_ADJUSTED=GAAP","Sort=A","Dates=H","DateFormat=P","Fill=—","Direction=H","UseDPDF=Y")</f>
        <v>#NAME?</v>
      </c>
      <c r="U184" s="2" t="e">
        <f ca="1">_xll.BDH($C$178,"EBITDA_GROWTH","FQ1 2015","FQ1 2015","Currency=INR","Period=FQ","BEST_FPERIOD_OVERRIDE=FQ","FILING_STATUS=OR","EQY_CONSOLIDATED=Y","FA_ADJUSTED=GAAP","Sort=A","Dates=H","DateFormat=P","Fill=—","Direction=H","UseDPDF=Y")</f>
        <v>#NAME?</v>
      </c>
      <c r="V184" s="2" t="e">
        <f ca="1">_xll.BDH($C$178,"OPER_INC_GROWTH","FQ1 2015","FQ1 2015","Currency=INR","Period=FQ","BEST_FPERIOD_OVERRIDE=FQ","FILING_STATUS=OR","EQY_CONSOLIDATED=Y","FA_ADJUSTED=GAAP","Sort=A","Dates=H","DateFormat=P","Fill=—","Direction=H","UseDPDF=Y")</f>
        <v>#NAME?</v>
      </c>
      <c r="W184" s="2" t="e">
        <f ca="1">_xll.BDH($C$178,"EARN_FOR_COM_GROWTH","FQ1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184" s="2" t="e">
        <f ca="1">_xll.BDH($C$178,"DILUTED_EPS_AFT_XO_ITEMS_GROWTH","FQ1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184" s="2" t="e">
        <f ca="1">_xll.BDH($C$178,"DIVIDEND_PER_SHARE_1_YEAR_GROWTH","FQ1 2015","FQ1 2015","Currency=INR","Period=FQ","BEST_FPERIOD_OVERRIDE=FQ","FILING_STATUS=OR","EQY_CONSOLIDATED=Y","Sort=A","Dates=H","DateFormat=P","Fill=—","Direction=H","UseDPDF=Y")</f>
        <v>#NAME?</v>
      </c>
      <c r="Z184" s="2" t="e">
        <f ca="1">_xll.BDH($C$178,"ACCOUNTS_RECEIVABLE_GROWTH","FQ1 2015","FQ1 2015","Currency=INR","Period=FQ","BEST_FPERIOD_OVERRIDE=FQ","FILING_STATUS=OR","EQY_CONSOLIDATED=Y","Sort=A","Dates=H","DateFormat=P","Fill=—","Direction=H","UseDPDF=Y")</f>
        <v>#NAME?</v>
      </c>
      <c r="AA184" s="2" t="e">
        <f ca="1">_xll.BDH($C$178,"INVENTORY_GROWTH","FQ1 2015","FQ1 2015","Currency=INR","Period=FQ","BEST_FPERIOD_OVERRIDE=FQ","FILING_STATUS=OR","EQY_CONSOLIDATED=Y","Sort=A","Dates=H","DateFormat=P","Fill=—","Direction=H","UseDPDF=Y")</f>
        <v>#NAME?</v>
      </c>
      <c r="AB184" s="2" t="e">
        <f ca="1">_xll.BDH($C$178,"NET_FIXED_ASSETS_1_YEAR_GROWTH","FQ1 2015","FQ1 2015","Currency=INR","Period=FQ","BEST_FPERIOD_OVERRIDE=FQ","FILING_STATUS=OR","EQY_CONSOLIDATED=Y","Sort=A","Dates=H","DateFormat=P","Fill=—","Direction=H","UseDPDF=Y")</f>
        <v>#NAME?</v>
      </c>
      <c r="AC184" s="2" t="e">
        <f ca="1">_xll.BDH($C$178,"ASSET_GROWTH","FQ1 2015","FQ1 2015","Currency=INR","Period=FQ","BEST_FPERIOD_OVERRIDE=FQ","FILING_STATUS=OR","EQY_CONSOLIDATED=Y","Sort=A","Dates=H","DateFormat=P","Fill=—","Direction=H","UseDPDF=Y")</f>
        <v>#NAME?</v>
      </c>
      <c r="AD184" s="2" t="e">
        <f ca="1">_xll.BDH($C$178,"MODIFIED_WORK_CAP_GROWTH","FQ1 2015","FQ1 2015","Currency=INR","Period=FQ","BEST_FPERIOD_OVERRIDE=FQ","FILING_STATUS=OR","EQY_CONSOLIDATED=Y","Sort=A","Dates=H","DateFormat=P","Fill=—","Direction=H","UseDPDF=Y")</f>
        <v>#NAME?</v>
      </c>
      <c r="AE184" s="2" t="e">
        <f ca="1">_xll.BDH($C$178,"WORK_CAP_GROWTH","FQ1 2015","FQ1 2015","Currency=INR","Period=FQ","BEST_FPERIOD_OVERRIDE=FQ","FILING_STATUS=OR","EQY_CONSOLIDATED=Y","Sort=A","Dates=H","DateFormat=P","Fill=—","Direction=H","UseDPDF=Y")</f>
        <v>#NAME?</v>
      </c>
      <c r="AF184" s="2" t="e">
        <f ca="1">_xll.BDH($C$178,"ACCOUNTS_PAYABLE_GROWTH_1YR","FQ1 2015","FQ1 2015","Currency=INR","Period=FQ","BEST_FPERIOD_OVERRIDE=FQ","FILING_STATUS=OR","EQY_CONSOLIDATED=Y","Sort=A","Dates=H","DateFormat=P","Fill=—","Direction=H","UseDPDF=Y")</f>
        <v>#NAME?</v>
      </c>
      <c r="AG184" s="2" t="e">
        <f ca="1">_xll.BDH($C$178,"SHORT_TERM_DEBT_1_YEAR_GROWTH","FQ1 2015","FQ1 2015","Currency=INR","Period=FQ","BEST_FPERIOD_OVERRIDE=FQ","FILING_STATUS=OR","EQY_CONSOLIDATED=Y","Sort=A","Dates=H","DateFormat=P","Fill=—","Direction=H","UseDPDF=Y")</f>
        <v>#NAME?</v>
      </c>
      <c r="AH184" s="2" t="e">
        <f ca="1">_xll.BDH($C$178,"TOTAL_DEBT_1_YEAR_GROWTH","FQ1 2015","FQ1 2015","Currency=INR","Period=FQ","BEST_FPERIOD_OVERRIDE=FQ","FILING_STATUS=OR","EQY_CONSOLIDATED=Y","Sort=A","Dates=H","DateFormat=P","Fill=—","Direction=H","UseDPDF=Y")</f>
        <v>#NAME?</v>
      </c>
      <c r="AI184" s="2" t="e">
        <f ca="1">_xll.BDH($C$178,"TOTAL_EQUITY_1_YEAR_GROWTH","FQ1 2015","FQ1 2015","Currency=INR","Period=FQ","BEST_FPERIOD_OVERRIDE=FQ","FILING_STATUS=OR","EQY_CONSOLIDATED=Y","Sort=A","Dates=H","DateFormat=P","Fill=—","Direction=H","UseDPDF=Y")</f>
        <v>#NAME?</v>
      </c>
      <c r="AJ184" s="2" t="e">
        <f ca="1">_xll.BDH($C$178,"GROWTH_IN_CAP","FQ1 2015","FQ1 2015","Currency=INR","Period=FQ","BEST_FPERIOD_OVERRIDE=FQ","FILING_STATUS=OR","EQY_CONSOLIDATED=Y","Sort=A","Dates=H","DateFormat=P","Fill=—","Direction=H","UseDPDF=Y")</f>
        <v>#NAME?</v>
      </c>
      <c r="AK184" s="2" t="e">
        <f ca="1">_xll.BDH($C$178,"BVPS_GROWTH","FQ1 2015","FQ1 2015","Currency=INR","Period=FQ","BEST_FPERIOD_OVERRIDE=FQ","FILING_STATUS=OR","EQY_CONSOLIDATED=Y","Sort=A","Dates=H","DateFormat=P","Fill=—","Direction=H","UseDPDF=Y")</f>
        <v>#NAME?</v>
      </c>
      <c r="AL184" s="2" t="e">
        <f ca="1">_xll.BDH($C$178,"CASH_FLOW_GROWTH","FQ1 2015","FQ1 2015","Currency=INR","Period=FQ","BEST_FPERIOD_OVERRIDE=FQ","FILING_STATUS=OR","EQY_CONSOLIDATED=Y","Sort=A","Dates=H","DateFormat=P","Fill=—","Direction=H","UseDPDF=Y")</f>
        <v>#NAME?</v>
      </c>
      <c r="AM184" s="2" t="e">
        <f ca="1">_xll.BDH($C$178,"GEO_GROW_NET_SALES","FQ1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184" s="2" t="e">
        <f ca="1">_xll.BDH($C$178,"GEO_GROW_EBITDA","FQ1 2015","FQ1 2015","Currency=INR","Period=FQ","BEST_FPERIOD_OVERRIDE=FQ","FILING_STATUS=OR","EQY_CONSOLIDATED=Y","FA_ADJUSTED=GAAP","Sort=A","Dates=H","DateFormat=P","Fill=—","Direction=H","UseDPDF=Y")</f>
        <v>#NAME?</v>
      </c>
      <c r="AO184" s="2" t="e">
        <f ca="1">_xll.BDH($C$178,"GEO_GROW_OPER_INC","FQ1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184" s="2" t="e">
        <f ca="1">_xll.BDH($C$178,"NET_INCOME_TO_COMMON_5_YR_GROWTH","FQ1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184" s="2" t="e">
        <f ca="1">_xll.BDH($C$178,"5Y_GEO_GROWTH_DILUTED_EPS","FQ1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184" s="2" t="e">
        <f ca="1">_xll.BDH($C$178,"GEO_GROW_DVD_PER_SH","FQ1 2015","FQ1 2015","Currency=INR","Period=FQ","BEST_FPERIOD_OVERRIDE=FQ","FILING_STATUS=OR","EQY_CONSOLIDATED=Y","Sort=A","Dates=H","DateFormat=P","Fill=—","Direction=H","UseDPDF=Y")</f>
        <v>#NAME?</v>
      </c>
      <c r="AS184" s="2" t="e">
        <f ca="1">_xll.BDH($C$178,"ACCOUNTS_RECEIVABLE_5_YR_GROWTH","FQ1 2015","FQ1 2015","Currency=INR","Period=FQ","BEST_FPERIOD_OVERRIDE=FQ","FILING_STATUS=OR","EQY_CONSOLIDATED=Y","Sort=A","Dates=H","DateFormat=P","Fill=—","Direction=H","UseDPDF=Y")</f>
        <v>#NAME?</v>
      </c>
      <c r="AT184" s="2" t="e">
        <f ca="1">_xll.BDH($C$178,"INVENTORY_5_YEAR_GROWTH","FQ1 2015","FQ1 2015","Currency=INR","Period=FQ","BEST_FPERIOD_OVERRIDE=FQ","FILING_STATUS=OR","EQY_CONSOLIDATED=Y","Sort=A","Dates=H","DateFormat=P","Fill=—","Direction=H","UseDPDF=Y")</f>
        <v>#NAME?</v>
      </c>
      <c r="AU184" s="2" t="e">
        <f ca="1">_xll.BDH($C$178,"NET_FIXED_ASSETS_5_YEAR_GROWTH","FQ1 2015","FQ1 2015","Currency=INR","Period=FQ","BEST_FPERIOD_OVERRIDE=FQ","FILING_STATUS=OR","EQY_CONSOLIDATED=Y","Sort=A","Dates=H","DateFormat=P","Fill=—","Direction=H","UseDPDF=Y")</f>
        <v>#NAME?</v>
      </c>
      <c r="AV184" s="2" t="e">
        <f ca="1">_xll.BDH($C$178,"GEO_GROW_TOT_ASSET","FQ1 2015","FQ1 2015","Currency=INR","Period=FQ","BEST_FPERIOD_OVERRIDE=FQ","FILING_STATUS=OR","EQY_CONSOLIDATED=Y","Sort=A","Dates=H","DateFormat=P","Fill=—","Direction=H","UseDPDF=Y")</f>
        <v>#NAME?</v>
      </c>
      <c r="AW184" s="2" t="e">
        <f ca="1">_xll.BDH($C$178,"MODIFIED_WORKING_CPTL_5YR_GRWTH","FQ1 2015","FQ1 2015","Currency=INR","Period=FQ","BEST_FPERIOD_OVERRIDE=FQ","FILING_STATUS=OR","EQY_CONSOLIDATED=Y","Sort=A","Dates=H","DateFormat=P","Fill=—","Direction=H","UseDPDF=Y")</f>
        <v>#NAME?</v>
      </c>
      <c r="AX184" s="2" t="e">
        <f ca="1">_xll.BDH($C$178,"WORKING_CAPITAL_5_YEAR_GROWTH","FQ1 2015","FQ1 2015","Currency=INR","Period=FQ","BEST_FPERIOD_OVERRIDE=FQ","FILING_STATUS=OR","EQY_CONSOLIDATED=Y","Sort=A","Dates=H","DateFormat=P","Fill=—","Direction=H","UseDPDF=Y")</f>
        <v>#NAME?</v>
      </c>
      <c r="AY184" s="2" t="e">
        <f ca="1">_xll.BDH($C$178,"ACCOUNTS_PAYABLE_5_YEAR_GROWTH","FQ1 2015","FQ1 2015","Currency=INR","Period=FQ","BEST_FPERIOD_OVERRIDE=FQ","FILING_STATUS=OR","EQY_CONSOLIDATED=Y","Sort=A","Dates=H","DateFormat=P","Fill=—","Direction=H","UseDPDF=Y")</f>
        <v>#NAME?</v>
      </c>
      <c r="AZ184" s="2" t="e">
        <f ca="1">_xll.BDH($C$178,"SHORT_TERM_DEBT_5_YEAR_GROWTH","FQ1 2015","FQ1 2015","Currency=INR","Period=FQ","BEST_FPERIOD_OVERRIDE=FQ","FILING_STATUS=OR","EQY_CONSOLIDATED=Y","Sort=A","Dates=H","DateFormat=P","Fill=—","Direction=H","UseDPDF=Y")</f>
        <v>#NAME?</v>
      </c>
      <c r="BA184" s="2" t="e">
        <f ca="1">_xll.BDH($C$178,"TOTAL_DEBT_5_YEAR_GROWTH","FQ1 2015","FQ1 2015","Currency=INR","Period=FQ","BEST_FPERIOD_OVERRIDE=FQ","FILING_STATUS=OR","EQY_CONSOLIDATED=Y","Sort=A","Dates=H","DateFormat=P","Fill=—","Direction=H","UseDPDF=Y")</f>
        <v>#NAME?</v>
      </c>
      <c r="BB184" s="2" t="e">
        <f ca="1">_xll.BDH($C$178,"GEO_GROW_TOT_SHRHLDR_EQY","FQ1 2015","FQ1 2015","Currency=INR","Period=FQ","BEST_FPERIOD_OVERRIDE=FQ","FILING_STATUS=OR","EQY_CONSOLIDATED=Y","Sort=A","Dates=H","DateFormat=P","Fill=—","Direction=H","UseDPDF=Y")</f>
        <v>#NAME?</v>
      </c>
      <c r="BC184" s="2" t="e">
        <f ca="1">_xll.BDH($C$178,"TOTAL_CAPITAL_5_YEAR_GROWTH","FQ1 2015","FQ1 2015","Currency=INR","Period=FQ","BEST_FPERIOD_OVERRIDE=FQ","FILING_STATUS=OR","EQY_CONSOLIDATED=Y","Sort=A","Dates=H","DateFormat=P","Fill=—","Direction=H","UseDPDF=Y")</f>
        <v>#NAME?</v>
      </c>
      <c r="BD184" s="2" t="e">
        <f ca="1">_xll.BDH($C$178,"GEO_GROW_BOOK_VAL","FQ1 2015","FQ1 2015","Currency=INR","Period=FQ","BEST_FPERIOD_OVERRIDE=FQ","FILING_STATUS=OR","EQY_CONSOLIDATED=Y","Sort=A","Dates=H","DateFormat=P","Fill=—","Direction=H","UseDPDF=Y")</f>
        <v>#NAME?</v>
      </c>
      <c r="BE184" s="2" t="e">
        <f ca="1">_xll.BDH($C$178,"GEO_GROW_CASH_OPER_ACT","FQ1 2015","FQ1 2015","Currency=INR","Period=FQ","BEST_FPERIOD_OVERRIDE=FQ","FILING_STATUS=OR","EQY_CONSOLIDATED=Y","Sort=A","Dates=H","DateFormat=P","Fill=—","Direction=H","UseDPDF=Y")</f>
        <v>#NAME?</v>
      </c>
      <c r="BF184" s="2" t="e">
        <f ca="1">_xll.BDH($C$178,"REVENUE_SEQUENTIAL_GROWTH","FQ1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184" s="2" t="e">
        <f ca="1">_xll.BDH($C$178,"EBITDA_SEQUENTIAL_GROWTH","FQ1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184" s="2" t="e">
        <f ca="1">_xll.BDH($C$178,"OPERATING_INCOME_SEQ_GROWTH","FQ1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184" s="2" t="e">
        <f ca="1">_xll.BDH($C$178,"NET_INCOME_TO_COMMON_SEQ_GROWTH","FQ1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184" s="2" t="e">
        <f ca="1">_xll.BDH($C$178,"EPS_DILUTED_SEQUENTIAL_GROWTH","FQ1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184" s="2" t="e">
        <f ca="1">_xll.BDH($C$178,"DPS_SEQUENTIAL_GROWTH","FQ1 2015","FQ1 2015","Currency=INR","Period=FQ","BEST_FPERIOD_OVERRIDE=FQ","FILING_STATUS=OR","EQY_CONSOLIDATED=Y","Sort=A","Dates=H","DateFormat=P","Fill=—","Direction=H","UseDPDF=Y")</f>
        <v>#NAME?</v>
      </c>
      <c r="BL184" s="2" t="e">
        <f ca="1">_xll.BDH($C$178,"ACCOUNTS_RECEIVABLE_SEQ_GROWTH","FQ1 2015","FQ1 2015","Currency=INR","Period=FQ","BEST_FPERIOD_OVERRIDE=FQ","FILING_STATUS=OR","EQY_CONSOLIDATED=Y","Sort=A","Dates=H","DateFormat=P","Fill=—","Direction=H","UseDPDF=Y")</f>
        <v>#NAME?</v>
      </c>
      <c r="BM184" s="2" t="e">
        <f ca="1">_xll.BDH($C$178,"INVENTORY_SEQUENTIAL_GROWTH","FQ1 2015","FQ1 2015","Currency=INR","Period=FQ","BEST_FPERIOD_OVERRIDE=FQ","FILING_STATUS=OR","EQY_CONSOLIDATED=Y","Sort=A","Dates=H","DateFormat=P","Fill=—","Direction=H","UseDPDF=Y")</f>
        <v>#NAME?</v>
      </c>
      <c r="BN184" s="2" t="e">
        <f ca="1">_xll.BDH($C$178,"FIXED_ASSETS_SEQUENTIAL_GROWTH","FQ1 2015","FQ1 2015","Currency=INR","Period=FQ","BEST_FPERIOD_OVERRIDE=FQ","FILING_STATUS=OR","EQY_CONSOLIDATED=Y","Sort=A","Dates=H","DateFormat=P","Fill=—","Direction=H","UseDPDF=Y")</f>
        <v>#NAME?</v>
      </c>
      <c r="BO184" s="2" t="e">
        <f ca="1">_xll.BDH($C$178,"TOTAL_ASSETS_SEQUENTIAL_GROWTH","FQ1 2015","FQ1 2015","Currency=INR","Period=FQ","BEST_FPERIOD_OVERRIDE=FQ","FILING_STATUS=OR","EQY_CONSOLIDATED=Y","Sort=A","Dates=H","DateFormat=P","Fill=—","Direction=H","UseDPDF=Y")</f>
        <v>#NAME?</v>
      </c>
      <c r="BP184" s="2" t="e">
        <f ca="1">_xll.BDH($C$178,"MODIFIED_WORKING_CPTL_SEQ_GRWTH","FQ1 2015","FQ1 2015","Currency=INR","Period=FQ","BEST_FPERIOD_OVERRIDE=FQ","FILING_STATUS=OR","EQY_CONSOLIDATED=Y","Sort=A","Dates=H","DateFormat=P","Fill=—","Direction=H","UseDPDF=Y")</f>
        <v>#NAME?</v>
      </c>
      <c r="BQ184" s="2" t="e">
        <f ca="1">_xll.BDH($C$178,"WORKING_CAPITAL_SEQ_GROWTH","FQ1 2015","FQ1 2015","Currency=INR","Period=FQ","BEST_FPERIOD_OVERRIDE=FQ","FILING_STATUS=OR","EQY_CONSOLIDATED=Y","Sort=A","Dates=H","DateFormat=P","Fill=—","Direction=H","UseDPDF=Y")</f>
        <v>#NAME?</v>
      </c>
      <c r="BR184" s="2" t="e">
        <f ca="1">_xll.BDH($C$178,"ACCOUNTS_PAYABLE_SEQ_GROWTH","FQ1 2015","FQ1 2015","Currency=INR","Period=FQ","BEST_FPERIOD_OVERRIDE=FQ","FILING_STATUS=OR","EQY_CONSOLIDATED=Y","Sort=A","Dates=H","DateFormat=P","Fill=—","Direction=H","UseDPDF=Y")</f>
        <v>#NAME?</v>
      </c>
      <c r="BS184" s="2" t="e">
        <f ca="1">_xll.BDH($C$178,"ST_DEBT_SEQUENTIAL_GROWTH","FQ1 2015","FQ1 2015","Currency=INR","Period=FQ","BEST_FPERIOD_OVERRIDE=FQ","FILING_STATUS=OR","EQY_CONSOLIDATED=Y","Sort=A","Dates=H","DateFormat=P","Fill=—","Direction=H","UseDPDF=Y")</f>
        <v>#NAME?</v>
      </c>
      <c r="BT184" s="2" t="e">
        <f ca="1">_xll.BDH($C$178,"TOTAL_DEBT_SEQUENTIAL_GROWTH","FQ1 2015","FQ1 2015","Currency=INR","Period=FQ","BEST_FPERIOD_OVERRIDE=FQ","FILING_STATUS=OR","EQY_CONSOLIDATED=Y","Sort=A","Dates=H","DateFormat=P","Fill=—","Direction=H","UseDPDF=Y")</f>
        <v>#NAME?</v>
      </c>
      <c r="BU184" s="2" t="e">
        <f ca="1">_xll.BDH($C$178,"TOTAL_EQUITY_SEQUENTIAL_GROWTH","FQ1 2015","FQ1 2015","Currency=INR","Period=FQ","BEST_FPERIOD_OVERRIDE=FQ","FILING_STATUS=OR","EQY_CONSOLIDATED=Y","Sort=A","Dates=H","DateFormat=P","Fill=—","Direction=H","UseDPDF=Y")</f>
        <v>#NAME?</v>
      </c>
      <c r="BV184" s="2" t="e">
        <f ca="1">_xll.BDH($C$178,"TOTAL_CAPITAL_SEQUENTIAL_GROWTH","FQ1 2015","FQ1 2015","Currency=INR","Period=FQ","BEST_FPERIOD_OVERRIDE=FQ","FILING_STATUS=OR","EQY_CONSOLIDATED=Y","Sort=A","Dates=H","DateFormat=P","Fill=—","Direction=H","UseDPDF=Y")</f>
        <v>#NAME?</v>
      </c>
      <c r="BW184" s="2" t="e">
        <f ca="1">_xll.BDH($C$178,"BPS_SEQUENTIAL_GROWTH","FQ1 2015","FQ1 2015","Currency=INR","Period=FQ","BEST_FPERIOD_OVERRIDE=FQ","FILING_STATUS=OR","EQY_CONSOLIDATED=Y","Sort=A","Dates=H","DateFormat=P","Fill=—","Direction=H","UseDPDF=Y")</f>
        <v>#NAME?</v>
      </c>
      <c r="BX184" s="2" t="e">
        <f ca="1">_xll.BDH($C$178,"CFO_SEQUENTIAL_GROWTH","FQ1 2015","FQ1 2015","Currency=INR","Period=FQ","BEST_FPERIOD_OVERRIDE=FQ","FILING_STATUS=OR","EQY_CONSOLIDATED=Y","Sort=A","Dates=H","DateFormat=P","Fill=—","Direction=H","UseDPDF=Y")</f>
        <v>#NAME?</v>
      </c>
      <c r="BY184" s="3" t="e">
        <f ca="1">_xll.BDH($C$178,"SHORT_AND_LONG_TERM_DEBT","FQ1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184" s="3" t="e">
        <f ca="1">_xll.BDH($C$178,"BS_ST_BORROW","FQ1 2015","FQ1 2015","Currency=INR","Period=FQ","BEST_FPERIOD_OVERRIDE=FQ","FILING_STATUS=OR","EQY_CONSOLIDATED=Y","SCALING_FORMAT=MLN","Sort=A","Dates=H","DateFormat=P","Fill=—","Direction=H","UseDPDF=Y")</f>
        <v>#NAME?</v>
      </c>
      <c r="CA184" s="3" t="e">
        <f ca="1">_xll.BDH($C$178,"BS_LT_BORROW","FQ1 2015","FQ1 2015","Currency=INR","Period=FQ","BEST_FPERIOD_OVERRIDE=FQ","FILING_STATUS=OR","EQY_CONSOLIDATED=Y","SCALING_FORMAT=MLN","Sort=A","Dates=H","DateFormat=P","Fill=—","Direction=H","UseDPDF=Y")</f>
        <v>#NAME?</v>
      </c>
      <c r="CB184" s="2" t="e">
        <f ca="1">_xll.BDH($C$178,"TOT_DEBT_TO_EBITDA","FQ1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184" s="2" t="e">
        <f ca="1">_xll.BDH($C$178,"NET_DEBT_TO_EBITDA","FQ1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184" s="2" t="e">
        <f ca="1">_xll.BDH($C$178,"TOTAL_DEBT_TO_EBIT","FQ1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184" s="2" t="e">
        <f ca="1">_xll.BDH($C$178,"NET_DEBT_TO_EBIT","FQ1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184" s="2" t="e">
        <f ca="1">_xll.BDH($C$178,"EBITDA_TO_INTEREST_EXPN","FQ1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184" s="2" t="e">
        <f ca="1">_xll.BDH($C$178,"COM_EQY_TO_TOT_ASSET","FQ1 2015","FQ1 2015","Currency=INR","Period=FQ","BEST_FPERIOD_OVERRIDE=FQ","FILING_STATUS=OR","EQY_CONSOLIDATED=Y","Sort=A","Dates=H","DateFormat=P","Fill=—","Direction=H","UseDPDF=Y")</f>
        <v>#NAME?</v>
      </c>
      <c r="CH184" s="2" t="e">
        <f ca="1">_xll.BDH($C$178,"LT_DEBT_TO_TOT_EQY","FQ1 2015","FQ1 2015","Currency=INR","Period=FQ","BEST_FPERIOD_OVERRIDE=FQ","FILING_STATUS=OR","EQY_CONSOLIDATED=Y","Sort=A","Dates=H","DateFormat=P","Fill=—","Direction=H","UseDPDF=Y")</f>
        <v>#NAME?</v>
      </c>
      <c r="CI184" s="2" t="e">
        <f ca="1">_xll.BDH($C$178,"LT_DEBT_TO_TOT_CAP","FQ1 2015","FQ1 2015","Currency=INR","Period=FQ","BEST_FPERIOD_OVERRIDE=FQ","FILING_STATUS=OR","EQY_CONSOLIDATED=Y","Sort=A","Dates=H","DateFormat=P","Fill=—","Direction=H","UseDPDF=Y")</f>
        <v>#NAME?</v>
      </c>
      <c r="CJ184" s="2" t="e">
        <f ca="1">_xll.BDH($C$178,"LT_DEBT_TO_TOT_ASSET","FQ1 2015","FQ1 2015","Currency=INR","Period=FQ","BEST_FPERIOD_OVERRIDE=FQ","FILING_STATUS=OR","EQY_CONSOLIDATED=Y","Sort=A","Dates=H","DateFormat=P","Fill=—","Direction=H","UseDPDF=Y")</f>
        <v>#NAME?</v>
      </c>
      <c r="CK184" s="2" t="e">
        <f ca="1">_xll.BDH($C$178,"TOT_DEBT_TO_TOT_EQY","FQ1 2015","FQ1 2015","Currency=INR","Period=FQ","BEST_FPERIOD_OVERRIDE=FQ","FILING_STATUS=OR","EQY_CONSOLIDATED=Y","Sort=A","Dates=H","DateFormat=P","Fill=—","Direction=H","UseDPDF=Y")</f>
        <v>#NAME?</v>
      </c>
      <c r="CL184" s="2" t="e">
        <f ca="1">_xll.BDH($C$178,"TOT_DEBT_TO_TOT_CAP","FQ1 2015","FQ1 2015","Currency=INR","Period=FQ","BEST_FPERIOD_OVERRIDE=FQ","FILING_STATUS=OR","EQY_CONSOLIDATED=Y","Sort=A","Dates=H","DateFormat=P","Fill=—","Direction=H","UseDPDF=Y")</f>
        <v>#NAME?</v>
      </c>
      <c r="CM184" s="2" t="e">
        <f ca="1">_xll.BDH($C$178,"TOT_DEBT_TO_TOT_ASSET","FQ1 2015","FQ1 2015","Currency=INR","Period=FQ","BEST_FPERIOD_OVERRIDE=FQ","FILING_STATUS=OR","EQY_CONSOLIDATED=Y","Sort=A","Dates=H","DateFormat=P","Fill=—","Direction=H","UseDPDF=Y")</f>
        <v>#NAME?</v>
      </c>
      <c r="CN184" s="2" t="e">
        <f ca="1">_xll.BDH($C$178,"NET_DEBT_TO_SHRHLDR_EQTY","FQ1 2015","FQ1 2015","Currency=INR","Period=FQ","BEST_FPERIOD_OVERRIDE=FQ","FILING_STATUS=OR","EQY_CONSOLIDATED=Y","Sort=A","Dates=H","DateFormat=P","Fill=—","Direction=H","UseDPDF=Y")</f>
        <v>#NAME?</v>
      </c>
      <c r="CO184" s="2" t="e">
        <f ca="1">_xll.BDH($C$178,"NET_DEBT_%_CAPITAL","FQ1 2015","FQ1 2015","Currency=INR","Period=FQ","BEST_FPERIOD_OVERRIDE=FQ","FILING_STATUS=OR","EQY_CONSOLIDATED=Y","Sort=A","Dates=H","DateFormat=P","Fill=—","Direction=H","UseDPDF=Y")</f>
        <v>#NAME?</v>
      </c>
      <c r="CP184" s="3" t="e">
        <f ca="1">_xll.BDH($C$178,"EBITDA","FQ1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184" s="3" t="e">
        <f ca="1">_xll.BDH($C$178,"EBITDA_AFTER_CAPEX","FQ1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184" s="3" t="e">
        <f ca="1">_xll.BDH($C$178,"IS_OPER_INC","FQ1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184" s="2" t="e">
        <f ca="1">_xll.BDH($C$178,"CASH_RATIO","FQ1 2015","FQ1 2015","Currency=INR","Period=FQ","BEST_FPERIOD_OVERRIDE=FQ","FILING_STATUS=OR","EQY_CONSOLIDATED=Y","Sort=A","Dates=H","DateFormat=P","Fill=—","Direction=H","UseDPDF=Y")</f>
        <v>#NAME?</v>
      </c>
      <c r="CT184" s="2" t="e">
        <f ca="1">_xll.BDH($C$178,"CUR_RATIO","FQ1 2015","FQ1 2015","Currency=INR","Period=FQ","BEST_FPERIOD_OVERRIDE=FQ","FILING_STATUS=OR","EQY_CONSOLIDATED=Y","Sort=A","Dates=H","DateFormat=P","Fill=—","Direction=H","UseDPDF=Y")</f>
        <v>#NAME?</v>
      </c>
      <c r="CU184" s="2" t="e">
        <f ca="1">_xll.BDH($C$178,"QUICK_RATIO","FQ1 2015","FQ1 2015","Currency=INR","Period=FQ","BEST_FPERIOD_OVERRIDE=FQ","FILING_STATUS=OR","EQY_CONSOLIDATED=Y","Sort=A","Dates=H","DateFormat=P","Fill=—","Direction=H","UseDPDF=Y")</f>
        <v>#NAME?</v>
      </c>
      <c r="CV184" s="2" t="e">
        <f ca="1">_xll.BDH($C$178,"ALTMAN_Z_SCORE","FQ1 2015","FQ1 2015","Currency=INR","Period=FQ","BEST_FPERIOD_OVERRIDE=FQ","FILING_STATUS=OR","EQY_CONSOLIDATED=Y","Sort=A","Dates=H","DateFormat=P","Fill=—","Direction=H","UseDPDF=Y")</f>
        <v>#NAME?</v>
      </c>
      <c r="CW184" s="4" t="e">
        <f ca="1">_xll.BDH($C$178,"ACCT_RCV_TURN","FQ1 2015","FQ1 2015","Currency=INR","Period=FQ","BEST_FPERIOD_OVERRIDE=FQ","FILING_STATUS=OR","EQY_CONSOLIDATED=Y","FA_ADJUSTED=GAAP","Sort=A","Dates=H","DateFormat=P","Fill=—","Direction=H","UseDPDF=Y")</f>
        <v>#NAME?</v>
      </c>
      <c r="CX184" s="2" t="e">
        <f ca="1">_xll.BDH($C$178,"ACCT_RCV_DAYS","FQ1 2015","FQ1 2015","Currency=INR","Period=FQ","BEST_FPERIOD_OVERRIDE=FQ","FILING_STATUS=OR","EQY_CONSOLIDATED=Y","FA_ADJUSTED=GAAP","Sort=A","Dates=H","DateFormat=P","Fill=—","Direction=H","UseDPDF=Y")</f>
        <v>#NAME?</v>
      </c>
      <c r="CY184" s="4" t="e">
        <f ca="1">_xll.BDH($C$178,"INVENT_TURN","FQ1 2015","FQ1 2015","Currency=INR","Period=FQ","BEST_FPERIOD_OVERRIDE=FQ","FILING_STATUS=OR","EQY_CONSOLIDATED=Y","FA_ADJUSTED=GAAP","Sort=A","Dates=H","DateFormat=P","Fill=—","Direction=H","UseDPDF=Y")</f>
        <v>#NAME?</v>
      </c>
      <c r="CZ184" s="2" t="e">
        <f ca="1">_xll.BDH($C$178,"INVENT_DAYS","FQ1 2015","FQ1 2015","Currency=INR","Period=FQ","BEST_FPERIOD_OVERRIDE=FQ","FILING_STATUS=OR","EQY_CONSOLIDATED=Y","FA_ADJUSTED=GAAP","Sort=A","Dates=H","DateFormat=P","Fill=—","Direction=H","UseDPDF=Y")</f>
        <v>#NAME?</v>
      </c>
      <c r="DA184" s="4" t="e">
        <f ca="1">_xll.BDH($C$178,"ACCOUNTS_PAYABLE_TURNOVER","FQ1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184" s="2" t="e">
        <f ca="1">_xll.BDH($C$178,"ACCOUNTS_PAYABLE_TURNOVER_DAYS","FQ1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184" s="4" t="e">
        <f ca="1">_xll.BDH($C$178,"CASH_CONVERSION_CYCLE","FQ1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184" s="4" t="e">
        <f ca="1">_xll.BDH($C$178,"INV_TO_CASH_DAYS","FQ1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184" s="5" t="e">
        <f ca="1">_xll.BDH($C$178,"BS_INVENTORIES","FQ1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184" s="3" t="e">
        <f ca="1">_xll.BDH($C$178,"INVTRY_RAW_MATERIALS","FQ1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184" s="3" t="e">
        <f ca="1">_xll.BDH($C$178,"INVTRY_IN_PROGRESS","FQ1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184" s="3" t="e">
        <f ca="1">_xll.BDH($C$178,"INVTRY_FINISHED_GOODS","FQ1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184" s="3" t="e">
        <f ca="1">_xll.BDH($C$178,"BS_OTHER_INV","FQ1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185" spans="1:113" x14ac:dyDescent="0.3">
      <c r="A185" s="6"/>
      <c r="B185" s="6"/>
      <c r="C185" s="6"/>
      <c r="D185" s="6"/>
      <c r="E185" t="s">
        <v>79</v>
      </c>
      <c r="F185" t="e">
        <f ca="1">_xll.BDH($C$178,"RETURN_COM_EQY","FQ2 2015","FQ2 2015","Currency=INR","Period=FQ","BEST_FPERIOD_OVERRIDE=FQ","FILING_STATUS=OR","EQY_CONSOLIDATED=Y","FA_ADJUSTED=GAAP","Sort=A","Dates=H","DateFormat=P","Fill=—","Direction=H","UseDPDF=Y")</f>
        <v>#NAME?</v>
      </c>
      <c r="G185" t="e">
        <f ca="1">_xll.BDH($C$178,"RETURN_ON_ASSET","FQ2 2015","FQ2 2015","Currency=INR","Period=FQ","BEST_FPERIOD_OVERRIDE=FQ","FILING_STATUS=OR","EQY_CONSOLIDATED=Y","FA_ADJUSTED=GAAP","Sort=A","Dates=H","DateFormat=P","Fill=—","Direction=H","UseDPDF=Y")</f>
        <v>#NAME?</v>
      </c>
      <c r="H185" t="e">
        <f ca="1">_xll.BDH($C$178,"RETURN_ON_CAP","FQ2 2015","FQ2 2015","Currency=INR","Period=FQ","BEST_FPERIOD_OVERRIDE=FQ","FILING_STATUS=OR","EQY_CONSOLIDATED=Y","FA_ADJUSTED=GAAP","Sort=A","Dates=H","DateFormat=P","Fill=—","Direction=H","UseDPDF=Y")</f>
        <v>#NAME?</v>
      </c>
      <c r="I185" t="e">
        <f ca="1">_xll.BDH($C$178,"RETURN_ON_INV_CAPITAL","FQ2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185" t="e">
        <f ca="1">_xll.BDH($C$178,"EBITDA_TO_REVENUE","FQ2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185" t="e">
        <f ca="1">_xll.BDH($C$178,"OPER_MARGIN","FQ2 2015","FQ2 2015","Currency=INR","Period=FQ","BEST_FPERIOD_OVERRIDE=FQ","FILING_STATUS=OR","EQY_CONSOLIDATED=Y","FA_ADJUSTED=GAAP","Sort=A","Dates=H","DateFormat=P","Fill=—","Direction=H","UseDPDF=Y")</f>
        <v>#NAME?</v>
      </c>
      <c r="L185" t="e">
        <f ca="1">_xll.BDH($C$178,"INCREMENTAL_OPERATING_MARGIN","FQ2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185" t="e">
        <f ca="1">_xll.BDH($C$178,"PRETAX_INC_TO_NET_SALES","FQ2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185" t="e">
        <f ca="1">_xll.BDH($C$178,"INC_BEF_XO_ITEMS_TO_NET_SALES","FQ2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185" t="e">
        <f ca="1">_xll.BDH($C$178,"PROF_MARGIN","FQ2 2015","FQ2 2015","Currency=INR","Period=FQ","BEST_FPERIOD_OVERRIDE=FQ","FILING_STATUS=OR","EQY_CONSOLIDATED=Y","FA_ADJUSTED=GAAP","Sort=A","Dates=H","DateFormat=P","Fill=—","Direction=H","UseDPDF=Y")</f>
        <v>#NAME?</v>
      </c>
      <c r="P185" t="e">
        <f ca="1">_xll.BDH($C$178,"NET_INCOME_TO_COMMON_MARGIN","FQ2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185" t="e">
        <f ca="1">_xll.BDH($C$178,"EFF_TAX_RATE","FQ2 2015","FQ2 2015","Currency=INR","Period=FQ","BEST_FPERIOD_OVERRIDE=FQ","FILING_STATUS=OR","EQY_CONSOLIDATED=Y","FA_ADJUSTED=GAAP","Sort=A","Dates=H","DateFormat=P","Fill=—","Direction=H","UseDPDF=Y")</f>
        <v>#NAME?</v>
      </c>
      <c r="R185" t="e">
        <f ca="1">_xll.BDH($C$178,"DVD_PAYOUT_RATIO","FQ2 2015","FQ2 2015","Currency=INR","Period=FQ","BEST_FPERIOD_OVERRIDE=FQ","FILING_STATUS=OR","EQY_CONSOLIDATED=Y","FA_ADJUSTED=GAAP","Sort=A","Dates=H","DateFormat=P","Fill=—","Direction=H","UseDPDF=Y")</f>
        <v>#NAME?</v>
      </c>
      <c r="S185" t="e">
        <f ca="1">_xll.BDH($C$178,"SUSTAIN_GROWTH_RT","FQ2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185" s="2" t="e">
        <f ca="1">_xll.BDH($C$178,"SALES_GROWTH","FQ2 2015","FQ2 2015","Currency=INR","Period=FQ","BEST_FPERIOD_OVERRIDE=FQ","FILING_STATUS=OR","EQY_CONSOLIDATED=Y","FA_ADJUSTED=GAAP","Sort=A","Dates=H","DateFormat=P","Fill=—","Direction=H","UseDPDF=Y")</f>
        <v>#NAME?</v>
      </c>
      <c r="U185" s="2" t="e">
        <f ca="1">_xll.BDH($C$178,"EBITDA_GROWTH","FQ2 2015","FQ2 2015","Currency=INR","Period=FQ","BEST_FPERIOD_OVERRIDE=FQ","FILING_STATUS=OR","EQY_CONSOLIDATED=Y","FA_ADJUSTED=GAAP","Sort=A","Dates=H","DateFormat=P","Fill=—","Direction=H","UseDPDF=Y")</f>
        <v>#NAME?</v>
      </c>
      <c r="V185" s="2" t="e">
        <f ca="1">_xll.BDH($C$178,"OPER_INC_GROWTH","FQ2 2015","FQ2 2015","Currency=INR","Period=FQ","BEST_FPERIOD_OVERRIDE=FQ","FILING_STATUS=OR","EQY_CONSOLIDATED=Y","FA_ADJUSTED=GAAP","Sort=A","Dates=H","DateFormat=P","Fill=—","Direction=H","UseDPDF=Y")</f>
        <v>#NAME?</v>
      </c>
      <c r="W185" s="2" t="e">
        <f ca="1">_xll.BDH($C$178,"EARN_FOR_COM_GROWTH","FQ2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185" s="2" t="e">
        <f ca="1">_xll.BDH($C$178,"DILUTED_EPS_AFT_XO_ITEMS_GROWTH","FQ2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185" s="2" t="e">
        <f ca="1">_xll.BDH($C$178,"DIVIDEND_PER_SHARE_1_YEAR_GROWTH","FQ2 2015","FQ2 2015","Currency=INR","Period=FQ","BEST_FPERIOD_OVERRIDE=FQ","FILING_STATUS=OR","EQY_CONSOLIDATED=Y","Sort=A","Dates=H","DateFormat=P","Fill=—","Direction=H","UseDPDF=Y")</f>
        <v>#NAME?</v>
      </c>
      <c r="Z185" s="2" t="e">
        <f ca="1">_xll.BDH($C$178,"ACCOUNTS_RECEIVABLE_GROWTH","FQ2 2015","FQ2 2015","Currency=INR","Period=FQ","BEST_FPERIOD_OVERRIDE=FQ","FILING_STATUS=OR","EQY_CONSOLIDATED=Y","Sort=A","Dates=H","DateFormat=P","Fill=—","Direction=H","UseDPDF=Y")</f>
        <v>#NAME?</v>
      </c>
      <c r="AA185" s="2" t="e">
        <f ca="1">_xll.BDH($C$178,"INVENTORY_GROWTH","FQ2 2015","FQ2 2015","Currency=INR","Period=FQ","BEST_FPERIOD_OVERRIDE=FQ","FILING_STATUS=OR","EQY_CONSOLIDATED=Y","Sort=A","Dates=H","DateFormat=P","Fill=—","Direction=H","UseDPDF=Y")</f>
        <v>#NAME?</v>
      </c>
      <c r="AB185" s="2" t="e">
        <f ca="1">_xll.BDH($C$178,"NET_FIXED_ASSETS_1_YEAR_GROWTH","FQ2 2015","FQ2 2015","Currency=INR","Period=FQ","BEST_FPERIOD_OVERRIDE=FQ","FILING_STATUS=OR","EQY_CONSOLIDATED=Y","Sort=A","Dates=H","DateFormat=P","Fill=—","Direction=H","UseDPDF=Y")</f>
        <v>#NAME?</v>
      </c>
      <c r="AC185" s="2" t="e">
        <f ca="1">_xll.BDH($C$178,"ASSET_GROWTH","FQ2 2015","FQ2 2015","Currency=INR","Period=FQ","BEST_FPERIOD_OVERRIDE=FQ","FILING_STATUS=OR","EQY_CONSOLIDATED=Y","Sort=A","Dates=H","DateFormat=P","Fill=—","Direction=H","UseDPDF=Y")</f>
        <v>#NAME?</v>
      </c>
      <c r="AD185" s="2" t="e">
        <f ca="1">_xll.BDH($C$178,"MODIFIED_WORK_CAP_GROWTH","FQ2 2015","FQ2 2015","Currency=INR","Period=FQ","BEST_FPERIOD_OVERRIDE=FQ","FILING_STATUS=OR","EQY_CONSOLIDATED=Y","Sort=A","Dates=H","DateFormat=P","Fill=—","Direction=H","UseDPDF=Y")</f>
        <v>#NAME?</v>
      </c>
      <c r="AE185" s="2" t="e">
        <f ca="1">_xll.BDH($C$178,"WORK_CAP_GROWTH","FQ2 2015","FQ2 2015","Currency=INR","Period=FQ","BEST_FPERIOD_OVERRIDE=FQ","FILING_STATUS=OR","EQY_CONSOLIDATED=Y","Sort=A","Dates=H","DateFormat=P","Fill=—","Direction=H","UseDPDF=Y")</f>
        <v>#NAME?</v>
      </c>
      <c r="AF185" s="2" t="e">
        <f ca="1">_xll.BDH($C$178,"ACCOUNTS_PAYABLE_GROWTH_1YR","FQ2 2015","FQ2 2015","Currency=INR","Period=FQ","BEST_FPERIOD_OVERRIDE=FQ","FILING_STATUS=OR","EQY_CONSOLIDATED=Y","Sort=A","Dates=H","DateFormat=P","Fill=—","Direction=H","UseDPDF=Y")</f>
        <v>#NAME?</v>
      </c>
      <c r="AG185" s="2" t="e">
        <f ca="1">_xll.BDH($C$178,"SHORT_TERM_DEBT_1_YEAR_GROWTH","FQ2 2015","FQ2 2015","Currency=INR","Period=FQ","BEST_FPERIOD_OVERRIDE=FQ","FILING_STATUS=OR","EQY_CONSOLIDATED=Y","Sort=A","Dates=H","DateFormat=P","Fill=—","Direction=H","UseDPDF=Y")</f>
        <v>#NAME?</v>
      </c>
      <c r="AH185" s="2" t="e">
        <f ca="1">_xll.BDH($C$178,"TOTAL_DEBT_1_YEAR_GROWTH","FQ2 2015","FQ2 2015","Currency=INR","Period=FQ","BEST_FPERIOD_OVERRIDE=FQ","FILING_STATUS=OR","EQY_CONSOLIDATED=Y","Sort=A","Dates=H","DateFormat=P","Fill=—","Direction=H","UseDPDF=Y")</f>
        <v>#NAME?</v>
      </c>
      <c r="AI185" s="2" t="e">
        <f ca="1">_xll.BDH($C$178,"TOTAL_EQUITY_1_YEAR_GROWTH","FQ2 2015","FQ2 2015","Currency=INR","Period=FQ","BEST_FPERIOD_OVERRIDE=FQ","FILING_STATUS=OR","EQY_CONSOLIDATED=Y","Sort=A","Dates=H","DateFormat=P","Fill=—","Direction=H","UseDPDF=Y")</f>
        <v>#NAME?</v>
      </c>
      <c r="AJ185" s="2" t="e">
        <f ca="1">_xll.BDH($C$178,"GROWTH_IN_CAP","FQ2 2015","FQ2 2015","Currency=INR","Period=FQ","BEST_FPERIOD_OVERRIDE=FQ","FILING_STATUS=OR","EQY_CONSOLIDATED=Y","Sort=A","Dates=H","DateFormat=P","Fill=—","Direction=H","UseDPDF=Y")</f>
        <v>#NAME?</v>
      </c>
      <c r="AK185" s="2" t="e">
        <f ca="1">_xll.BDH($C$178,"BVPS_GROWTH","FQ2 2015","FQ2 2015","Currency=INR","Period=FQ","BEST_FPERIOD_OVERRIDE=FQ","FILING_STATUS=OR","EQY_CONSOLIDATED=Y","Sort=A","Dates=H","DateFormat=P","Fill=—","Direction=H","UseDPDF=Y")</f>
        <v>#NAME?</v>
      </c>
      <c r="AL185" s="2" t="e">
        <f ca="1">_xll.BDH($C$178,"CASH_FLOW_GROWTH","FQ2 2015","FQ2 2015","Currency=INR","Period=FQ","BEST_FPERIOD_OVERRIDE=FQ","FILING_STATUS=OR","EQY_CONSOLIDATED=Y","Sort=A","Dates=H","DateFormat=P","Fill=—","Direction=H","UseDPDF=Y")</f>
        <v>#NAME?</v>
      </c>
      <c r="AM185" s="2" t="e">
        <f ca="1">_xll.BDH($C$178,"GEO_GROW_NET_SALES","FQ2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185" s="2" t="e">
        <f ca="1">_xll.BDH($C$178,"GEO_GROW_EBITDA","FQ2 2015","FQ2 2015","Currency=INR","Period=FQ","BEST_FPERIOD_OVERRIDE=FQ","FILING_STATUS=OR","EQY_CONSOLIDATED=Y","FA_ADJUSTED=GAAP","Sort=A","Dates=H","DateFormat=P","Fill=—","Direction=H","UseDPDF=Y")</f>
        <v>#NAME?</v>
      </c>
      <c r="AO185" s="2" t="e">
        <f ca="1">_xll.BDH($C$178,"GEO_GROW_OPER_INC","FQ2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185" s="2" t="e">
        <f ca="1">_xll.BDH($C$178,"NET_INCOME_TO_COMMON_5_YR_GROWTH","FQ2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185" s="2" t="e">
        <f ca="1">_xll.BDH($C$178,"5Y_GEO_GROWTH_DILUTED_EPS","FQ2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185" s="2" t="e">
        <f ca="1">_xll.BDH($C$178,"GEO_GROW_DVD_PER_SH","FQ2 2015","FQ2 2015","Currency=INR","Period=FQ","BEST_FPERIOD_OVERRIDE=FQ","FILING_STATUS=OR","EQY_CONSOLIDATED=Y","Sort=A","Dates=H","DateFormat=P","Fill=—","Direction=H","UseDPDF=Y")</f>
        <v>#NAME?</v>
      </c>
      <c r="AS185" s="2" t="e">
        <f ca="1">_xll.BDH($C$178,"ACCOUNTS_RECEIVABLE_5_YR_GROWTH","FQ2 2015","FQ2 2015","Currency=INR","Period=FQ","BEST_FPERIOD_OVERRIDE=FQ","FILING_STATUS=OR","EQY_CONSOLIDATED=Y","Sort=A","Dates=H","DateFormat=P","Fill=—","Direction=H","UseDPDF=Y")</f>
        <v>#NAME?</v>
      </c>
      <c r="AT185" s="2" t="e">
        <f ca="1">_xll.BDH($C$178,"INVENTORY_5_YEAR_GROWTH","FQ2 2015","FQ2 2015","Currency=INR","Period=FQ","BEST_FPERIOD_OVERRIDE=FQ","FILING_STATUS=OR","EQY_CONSOLIDATED=Y","Sort=A","Dates=H","DateFormat=P","Fill=—","Direction=H","UseDPDF=Y")</f>
        <v>#NAME?</v>
      </c>
      <c r="AU185" s="2" t="e">
        <f ca="1">_xll.BDH($C$178,"NET_FIXED_ASSETS_5_YEAR_GROWTH","FQ2 2015","FQ2 2015","Currency=INR","Period=FQ","BEST_FPERIOD_OVERRIDE=FQ","FILING_STATUS=OR","EQY_CONSOLIDATED=Y","Sort=A","Dates=H","DateFormat=P","Fill=—","Direction=H","UseDPDF=Y")</f>
        <v>#NAME?</v>
      </c>
      <c r="AV185" s="2" t="e">
        <f ca="1">_xll.BDH($C$178,"GEO_GROW_TOT_ASSET","FQ2 2015","FQ2 2015","Currency=INR","Period=FQ","BEST_FPERIOD_OVERRIDE=FQ","FILING_STATUS=OR","EQY_CONSOLIDATED=Y","Sort=A","Dates=H","DateFormat=P","Fill=—","Direction=H","UseDPDF=Y")</f>
        <v>#NAME?</v>
      </c>
      <c r="AW185" s="2" t="e">
        <f ca="1">_xll.BDH($C$178,"MODIFIED_WORKING_CPTL_5YR_GRWTH","FQ2 2015","FQ2 2015","Currency=INR","Period=FQ","BEST_FPERIOD_OVERRIDE=FQ","FILING_STATUS=OR","EQY_CONSOLIDATED=Y","Sort=A","Dates=H","DateFormat=P","Fill=—","Direction=H","UseDPDF=Y")</f>
        <v>#NAME?</v>
      </c>
      <c r="AX185" s="2" t="e">
        <f ca="1">_xll.BDH($C$178,"WORKING_CAPITAL_5_YEAR_GROWTH","FQ2 2015","FQ2 2015","Currency=INR","Period=FQ","BEST_FPERIOD_OVERRIDE=FQ","FILING_STATUS=OR","EQY_CONSOLIDATED=Y","Sort=A","Dates=H","DateFormat=P","Fill=—","Direction=H","UseDPDF=Y")</f>
        <v>#NAME?</v>
      </c>
      <c r="AY185" s="2" t="e">
        <f ca="1">_xll.BDH($C$178,"ACCOUNTS_PAYABLE_5_YEAR_GROWTH","FQ2 2015","FQ2 2015","Currency=INR","Period=FQ","BEST_FPERIOD_OVERRIDE=FQ","FILING_STATUS=OR","EQY_CONSOLIDATED=Y","Sort=A","Dates=H","DateFormat=P","Fill=—","Direction=H","UseDPDF=Y")</f>
        <v>#NAME?</v>
      </c>
      <c r="AZ185" s="2" t="e">
        <f ca="1">_xll.BDH($C$178,"SHORT_TERM_DEBT_5_YEAR_GROWTH","FQ2 2015","FQ2 2015","Currency=INR","Period=FQ","BEST_FPERIOD_OVERRIDE=FQ","FILING_STATUS=OR","EQY_CONSOLIDATED=Y","Sort=A","Dates=H","DateFormat=P","Fill=—","Direction=H","UseDPDF=Y")</f>
        <v>#NAME?</v>
      </c>
      <c r="BA185" s="2" t="e">
        <f ca="1">_xll.BDH($C$178,"TOTAL_DEBT_5_YEAR_GROWTH","FQ2 2015","FQ2 2015","Currency=INR","Period=FQ","BEST_FPERIOD_OVERRIDE=FQ","FILING_STATUS=OR","EQY_CONSOLIDATED=Y","Sort=A","Dates=H","DateFormat=P","Fill=—","Direction=H","UseDPDF=Y")</f>
        <v>#NAME?</v>
      </c>
      <c r="BB185" s="2" t="e">
        <f ca="1">_xll.BDH($C$178,"GEO_GROW_TOT_SHRHLDR_EQY","FQ2 2015","FQ2 2015","Currency=INR","Period=FQ","BEST_FPERIOD_OVERRIDE=FQ","FILING_STATUS=OR","EQY_CONSOLIDATED=Y","Sort=A","Dates=H","DateFormat=P","Fill=—","Direction=H","UseDPDF=Y")</f>
        <v>#NAME?</v>
      </c>
      <c r="BC185" s="2" t="e">
        <f ca="1">_xll.BDH($C$178,"TOTAL_CAPITAL_5_YEAR_GROWTH","FQ2 2015","FQ2 2015","Currency=INR","Period=FQ","BEST_FPERIOD_OVERRIDE=FQ","FILING_STATUS=OR","EQY_CONSOLIDATED=Y","Sort=A","Dates=H","DateFormat=P","Fill=—","Direction=H","UseDPDF=Y")</f>
        <v>#NAME?</v>
      </c>
      <c r="BD185" s="2" t="e">
        <f ca="1">_xll.BDH($C$178,"GEO_GROW_BOOK_VAL","FQ2 2015","FQ2 2015","Currency=INR","Period=FQ","BEST_FPERIOD_OVERRIDE=FQ","FILING_STATUS=OR","EQY_CONSOLIDATED=Y","Sort=A","Dates=H","DateFormat=P","Fill=—","Direction=H","UseDPDF=Y")</f>
        <v>#NAME?</v>
      </c>
      <c r="BE185" s="2" t="e">
        <f ca="1">_xll.BDH($C$178,"GEO_GROW_CASH_OPER_ACT","FQ2 2015","FQ2 2015","Currency=INR","Period=FQ","BEST_FPERIOD_OVERRIDE=FQ","FILING_STATUS=OR","EQY_CONSOLIDATED=Y","Sort=A","Dates=H","DateFormat=P","Fill=—","Direction=H","UseDPDF=Y")</f>
        <v>#NAME?</v>
      </c>
      <c r="BF185" s="2" t="e">
        <f ca="1">_xll.BDH($C$178,"REVENUE_SEQUENTIAL_GROWTH","FQ2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185" s="2" t="e">
        <f ca="1">_xll.BDH($C$178,"EBITDA_SEQUENTIAL_GROWTH","FQ2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185" s="2" t="e">
        <f ca="1">_xll.BDH($C$178,"OPERATING_INCOME_SEQ_GROWTH","FQ2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185" s="2" t="e">
        <f ca="1">_xll.BDH($C$178,"NET_INCOME_TO_COMMON_SEQ_GROWTH","FQ2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185" s="2" t="e">
        <f ca="1">_xll.BDH($C$178,"EPS_DILUTED_SEQUENTIAL_GROWTH","FQ2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185" s="2" t="e">
        <f ca="1">_xll.BDH($C$178,"DPS_SEQUENTIAL_GROWTH","FQ2 2015","FQ2 2015","Currency=INR","Period=FQ","BEST_FPERIOD_OVERRIDE=FQ","FILING_STATUS=OR","EQY_CONSOLIDATED=Y","Sort=A","Dates=H","DateFormat=P","Fill=—","Direction=H","UseDPDF=Y")</f>
        <v>#NAME?</v>
      </c>
      <c r="BL185" s="2" t="e">
        <f ca="1">_xll.BDH($C$178,"ACCOUNTS_RECEIVABLE_SEQ_GROWTH","FQ2 2015","FQ2 2015","Currency=INR","Period=FQ","BEST_FPERIOD_OVERRIDE=FQ","FILING_STATUS=OR","EQY_CONSOLIDATED=Y","Sort=A","Dates=H","DateFormat=P","Fill=—","Direction=H","UseDPDF=Y")</f>
        <v>#NAME?</v>
      </c>
      <c r="BM185" s="2" t="e">
        <f ca="1">_xll.BDH($C$178,"INVENTORY_SEQUENTIAL_GROWTH","FQ2 2015","FQ2 2015","Currency=INR","Period=FQ","BEST_FPERIOD_OVERRIDE=FQ","FILING_STATUS=OR","EQY_CONSOLIDATED=Y","Sort=A","Dates=H","DateFormat=P","Fill=—","Direction=H","UseDPDF=Y")</f>
        <v>#NAME?</v>
      </c>
      <c r="BN185" s="2" t="e">
        <f ca="1">_xll.BDH($C$178,"FIXED_ASSETS_SEQUENTIAL_GROWTH","FQ2 2015","FQ2 2015","Currency=INR","Period=FQ","BEST_FPERIOD_OVERRIDE=FQ","FILING_STATUS=OR","EQY_CONSOLIDATED=Y","Sort=A","Dates=H","DateFormat=P","Fill=—","Direction=H","UseDPDF=Y")</f>
        <v>#NAME?</v>
      </c>
      <c r="BO185" s="2" t="e">
        <f ca="1">_xll.BDH($C$178,"TOTAL_ASSETS_SEQUENTIAL_GROWTH","FQ2 2015","FQ2 2015","Currency=INR","Period=FQ","BEST_FPERIOD_OVERRIDE=FQ","FILING_STATUS=OR","EQY_CONSOLIDATED=Y","Sort=A","Dates=H","DateFormat=P","Fill=—","Direction=H","UseDPDF=Y")</f>
        <v>#NAME?</v>
      </c>
      <c r="BP185" s="2" t="e">
        <f ca="1">_xll.BDH($C$178,"MODIFIED_WORKING_CPTL_SEQ_GRWTH","FQ2 2015","FQ2 2015","Currency=INR","Period=FQ","BEST_FPERIOD_OVERRIDE=FQ","FILING_STATUS=OR","EQY_CONSOLIDATED=Y","Sort=A","Dates=H","DateFormat=P","Fill=—","Direction=H","UseDPDF=Y")</f>
        <v>#NAME?</v>
      </c>
      <c r="BQ185" s="2" t="e">
        <f ca="1">_xll.BDH($C$178,"WORKING_CAPITAL_SEQ_GROWTH","FQ2 2015","FQ2 2015","Currency=INR","Period=FQ","BEST_FPERIOD_OVERRIDE=FQ","FILING_STATUS=OR","EQY_CONSOLIDATED=Y","Sort=A","Dates=H","DateFormat=P","Fill=—","Direction=H","UseDPDF=Y")</f>
        <v>#NAME?</v>
      </c>
      <c r="BR185" s="2" t="e">
        <f ca="1">_xll.BDH($C$178,"ACCOUNTS_PAYABLE_SEQ_GROWTH","FQ2 2015","FQ2 2015","Currency=INR","Period=FQ","BEST_FPERIOD_OVERRIDE=FQ","FILING_STATUS=OR","EQY_CONSOLIDATED=Y","Sort=A","Dates=H","DateFormat=P","Fill=—","Direction=H","UseDPDF=Y")</f>
        <v>#NAME?</v>
      </c>
      <c r="BS185" s="2" t="e">
        <f ca="1">_xll.BDH($C$178,"ST_DEBT_SEQUENTIAL_GROWTH","FQ2 2015","FQ2 2015","Currency=INR","Period=FQ","BEST_FPERIOD_OVERRIDE=FQ","FILING_STATUS=OR","EQY_CONSOLIDATED=Y","Sort=A","Dates=H","DateFormat=P","Fill=—","Direction=H","UseDPDF=Y")</f>
        <v>#NAME?</v>
      </c>
      <c r="BT185" s="2" t="e">
        <f ca="1">_xll.BDH($C$178,"TOTAL_DEBT_SEQUENTIAL_GROWTH","FQ2 2015","FQ2 2015","Currency=INR","Period=FQ","BEST_FPERIOD_OVERRIDE=FQ","FILING_STATUS=OR","EQY_CONSOLIDATED=Y","Sort=A","Dates=H","DateFormat=P","Fill=—","Direction=H","UseDPDF=Y")</f>
        <v>#NAME?</v>
      </c>
      <c r="BU185" s="2" t="e">
        <f ca="1">_xll.BDH($C$178,"TOTAL_EQUITY_SEQUENTIAL_GROWTH","FQ2 2015","FQ2 2015","Currency=INR","Period=FQ","BEST_FPERIOD_OVERRIDE=FQ","FILING_STATUS=OR","EQY_CONSOLIDATED=Y","Sort=A","Dates=H","DateFormat=P","Fill=—","Direction=H","UseDPDF=Y")</f>
        <v>#NAME?</v>
      </c>
      <c r="BV185" s="2" t="e">
        <f ca="1">_xll.BDH($C$178,"TOTAL_CAPITAL_SEQUENTIAL_GROWTH","FQ2 2015","FQ2 2015","Currency=INR","Period=FQ","BEST_FPERIOD_OVERRIDE=FQ","FILING_STATUS=OR","EQY_CONSOLIDATED=Y","Sort=A","Dates=H","DateFormat=P","Fill=—","Direction=H","UseDPDF=Y")</f>
        <v>#NAME?</v>
      </c>
      <c r="BW185" s="2" t="e">
        <f ca="1">_xll.BDH($C$178,"BPS_SEQUENTIAL_GROWTH","FQ2 2015","FQ2 2015","Currency=INR","Period=FQ","BEST_FPERIOD_OVERRIDE=FQ","FILING_STATUS=OR","EQY_CONSOLIDATED=Y","Sort=A","Dates=H","DateFormat=P","Fill=—","Direction=H","UseDPDF=Y")</f>
        <v>#NAME?</v>
      </c>
      <c r="BX185" s="2" t="e">
        <f ca="1">_xll.BDH($C$178,"CFO_SEQUENTIAL_GROWTH","FQ2 2015","FQ2 2015","Currency=INR","Period=FQ","BEST_FPERIOD_OVERRIDE=FQ","FILING_STATUS=OR","EQY_CONSOLIDATED=Y","Sort=A","Dates=H","DateFormat=P","Fill=—","Direction=H","UseDPDF=Y")</f>
        <v>#NAME?</v>
      </c>
      <c r="BY185" s="3" t="e">
        <f ca="1">_xll.BDH($C$178,"SHORT_AND_LONG_TERM_DEBT","FQ2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185" s="3" t="e">
        <f ca="1">_xll.BDH($C$178,"BS_ST_BORROW","FQ2 2015","FQ2 2015","Currency=INR","Period=FQ","BEST_FPERIOD_OVERRIDE=FQ","FILING_STATUS=OR","EQY_CONSOLIDATED=Y","SCALING_FORMAT=MLN","Sort=A","Dates=H","DateFormat=P","Fill=—","Direction=H","UseDPDF=Y")</f>
        <v>#NAME?</v>
      </c>
      <c r="CA185" s="3" t="e">
        <f ca="1">_xll.BDH($C$178,"BS_LT_BORROW","FQ2 2015","FQ2 2015","Currency=INR","Period=FQ","BEST_FPERIOD_OVERRIDE=FQ","FILING_STATUS=OR","EQY_CONSOLIDATED=Y","SCALING_FORMAT=MLN","Sort=A","Dates=H","DateFormat=P","Fill=—","Direction=H","UseDPDF=Y")</f>
        <v>#NAME?</v>
      </c>
      <c r="CB185" s="2" t="e">
        <f ca="1">_xll.BDH($C$178,"TOT_DEBT_TO_EBITDA","FQ2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185" s="2" t="e">
        <f ca="1">_xll.BDH($C$178,"NET_DEBT_TO_EBITDA","FQ2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185" s="2" t="e">
        <f ca="1">_xll.BDH($C$178,"TOTAL_DEBT_TO_EBIT","FQ2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185" s="2" t="e">
        <f ca="1">_xll.BDH($C$178,"NET_DEBT_TO_EBIT","FQ2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185" s="2" t="e">
        <f ca="1">_xll.BDH($C$178,"EBITDA_TO_INTEREST_EXPN","FQ2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185" s="2" t="e">
        <f ca="1">_xll.BDH($C$178,"COM_EQY_TO_TOT_ASSET","FQ2 2015","FQ2 2015","Currency=INR","Period=FQ","BEST_FPERIOD_OVERRIDE=FQ","FILING_STATUS=OR","EQY_CONSOLIDATED=Y","Sort=A","Dates=H","DateFormat=P","Fill=—","Direction=H","UseDPDF=Y")</f>
        <v>#NAME?</v>
      </c>
      <c r="CH185" s="2" t="e">
        <f ca="1">_xll.BDH($C$178,"LT_DEBT_TO_TOT_EQY","FQ2 2015","FQ2 2015","Currency=INR","Period=FQ","BEST_FPERIOD_OVERRIDE=FQ","FILING_STATUS=OR","EQY_CONSOLIDATED=Y","Sort=A","Dates=H","DateFormat=P","Fill=—","Direction=H","UseDPDF=Y")</f>
        <v>#NAME?</v>
      </c>
      <c r="CI185" s="2" t="e">
        <f ca="1">_xll.BDH($C$178,"LT_DEBT_TO_TOT_CAP","FQ2 2015","FQ2 2015","Currency=INR","Period=FQ","BEST_FPERIOD_OVERRIDE=FQ","FILING_STATUS=OR","EQY_CONSOLIDATED=Y","Sort=A","Dates=H","DateFormat=P","Fill=—","Direction=H","UseDPDF=Y")</f>
        <v>#NAME?</v>
      </c>
      <c r="CJ185" s="2" t="e">
        <f ca="1">_xll.BDH($C$178,"LT_DEBT_TO_TOT_ASSET","FQ2 2015","FQ2 2015","Currency=INR","Period=FQ","BEST_FPERIOD_OVERRIDE=FQ","FILING_STATUS=OR","EQY_CONSOLIDATED=Y","Sort=A","Dates=H","DateFormat=P","Fill=—","Direction=H","UseDPDF=Y")</f>
        <v>#NAME?</v>
      </c>
      <c r="CK185" s="2" t="e">
        <f ca="1">_xll.BDH($C$178,"TOT_DEBT_TO_TOT_EQY","FQ2 2015","FQ2 2015","Currency=INR","Period=FQ","BEST_FPERIOD_OVERRIDE=FQ","FILING_STATUS=OR","EQY_CONSOLIDATED=Y","Sort=A","Dates=H","DateFormat=P","Fill=—","Direction=H","UseDPDF=Y")</f>
        <v>#NAME?</v>
      </c>
      <c r="CL185" s="2" t="e">
        <f ca="1">_xll.BDH($C$178,"TOT_DEBT_TO_TOT_CAP","FQ2 2015","FQ2 2015","Currency=INR","Period=FQ","BEST_FPERIOD_OVERRIDE=FQ","FILING_STATUS=OR","EQY_CONSOLIDATED=Y","Sort=A","Dates=H","DateFormat=P","Fill=—","Direction=H","UseDPDF=Y")</f>
        <v>#NAME?</v>
      </c>
      <c r="CM185" s="2" t="e">
        <f ca="1">_xll.BDH($C$178,"TOT_DEBT_TO_TOT_ASSET","FQ2 2015","FQ2 2015","Currency=INR","Period=FQ","BEST_FPERIOD_OVERRIDE=FQ","FILING_STATUS=OR","EQY_CONSOLIDATED=Y","Sort=A","Dates=H","DateFormat=P","Fill=—","Direction=H","UseDPDF=Y")</f>
        <v>#NAME?</v>
      </c>
      <c r="CN185" s="2" t="e">
        <f ca="1">_xll.BDH($C$178,"NET_DEBT_TO_SHRHLDR_EQTY","FQ2 2015","FQ2 2015","Currency=INR","Period=FQ","BEST_FPERIOD_OVERRIDE=FQ","FILING_STATUS=OR","EQY_CONSOLIDATED=Y","Sort=A","Dates=H","DateFormat=P","Fill=—","Direction=H","UseDPDF=Y")</f>
        <v>#NAME?</v>
      </c>
      <c r="CO185" s="2" t="e">
        <f ca="1">_xll.BDH($C$178,"NET_DEBT_%_CAPITAL","FQ2 2015","FQ2 2015","Currency=INR","Period=FQ","BEST_FPERIOD_OVERRIDE=FQ","FILING_STATUS=OR","EQY_CONSOLIDATED=Y","Sort=A","Dates=H","DateFormat=P","Fill=—","Direction=H","UseDPDF=Y")</f>
        <v>#NAME?</v>
      </c>
      <c r="CP185" s="3" t="e">
        <f ca="1">_xll.BDH($C$178,"EBITDA","FQ2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185" s="3" t="e">
        <f ca="1">_xll.BDH($C$178,"EBITDA_AFTER_CAPEX","FQ2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185" s="3" t="e">
        <f ca="1">_xll.BDH($C$178,"IS_OPER_INC","FQ2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185" s="2" t="e">
        <f ca="1">_xll.BDH($C$178,"CASH_RATIO","FQ2 2015","FQ2 2015","Currency=INR","Period=FQ","BEST_FPERIOD_OVERRIDE=FQ","FILING_STATUS=OR","EQY_CONSOLIDATED=Y","Sort=A","Dates=H","DateFormat=P","Fill=—","Direction=H","UseDPDF=Y")</f>
        <v>#NAME?</v>
      </c>
      <c r="CT185" s="2" t="e">
        <f ca="1">_xll.BDH($C$178,"CUR_RATIO","FQ2 2015","FQ2 2015","Currency=INR","Period=FQ","BEST_FPERIOD_OVERRIDE=FQ","FILING_STATUS=OR","EQY_CONSOLIDATED=Y","Sort=A","Dates=H","DateFormat=P","Fill=—","Direction=H","UseDPDF=Y")</f>
        <v>#NAME?</v>
      </c>
      <c r="CU185" s="2" t="e">
        <f ca="1">_xll.BDH($C$178,"QUICK_RATIO","FQ2 2015","FQ2 2015","Currency=INR","Period=FQ","BEST_FPERIOD_OVERRIDE=FQ","FILING_STATUS=OR","EQY_CONSOLIDATED=Y","Sort=A","Dates=H","DateFormat=P","Fill=—","Direction=H","UseDPDF=Y")</f>
        <v>#NAME?</v>
      </c>
      <c r="CV185" s="2" t="e">
        <f ca="1">_xll.BDH($C$178,"ALTMAN_Z_SCORE","FQ2 2015","FQ2 2015","Currency=INR","Period=FQ","BEST_FPERIOD_OVERRIDE=FQ","FILING_STATUS=OR","EQY_CONSOLIDATED=Y","Sort=A","Dates=H","DateFormat=P","Fill=—","Direction=H","UseDPDF=Y")</f>
        <v>#NAME?</v>
      </c>
      <c r="CW185" s="4" t="e">
        <f ca="1">_xll.BDH($C$178,"ACCT_RCV_TURN","FQ2 2015","FQ2 2015","Currency=INR","Period=FQ","BEST_FPERIOD_OVERRIDE=FQ","FILING_STATUS=OR","EQY_CONSOLIDATED=Y","FA_ADJUSTED=GAAP","Sort=A","Dates=H","DateFormat=P","Fill=—","Direction=H","UseDPDF=Y")</f>
        <v>#NAME?</v>
      </c>
      <c r="CX185" s="2" t="e">
        <f ca="1">_xll.BDH($C$178,"ACCT_RCV_DAYS","FQ2 2015","FQ2 2015","Currency=INR","Period=FQ","BEST_FPERIOD_OVERRIDE=FQ","FILING_STATUS=OR","EQY_CONSOLIDATED=Y","FA_ADJUSTED=GAAP","Sort=A","Dates=H","DateFormat=P","Fill=—","Direction=H","UseDPDF=Y")</f>
        <v>#NAME?</v>
      </c>
      <c r="CY185" s="4" t="e">
        <f ca="1">_xll.BDH($C$178,"INVENT_TURN","FQ2 2015","FQ2 2015","Currency=INR","Period=FQ","BEST_FPERIOD_OVERRIDE=FQ","FILING_STATUS=OR","EQY_CONSOLIDATED=Y","FA_ADJUSTED=GAAP","Sort=A","Dates=H","DateFormat=P","Fill=—","Direction=H","UseDPDF=Y")</f>
        <v>#NAME?</v>
      </c>
      <c r="CZ185" s="2" t="e">
        <f ca="1">_xll.BDH($C$178,"INVENT_DAYS","FQ2 2015","FQ2 2015","Currency=INR","Period=FQ","BEST_FPERIOD_OVERRIDE=FQ","FILING_STATUS=OR","EQY_CONSOLIDATED=Y","FA_ADJUSTED=GAAP","Sort=A","Dates=H","DateFormat=P","Fill=—","Direction=H","UseDPDF=Y")</f>
        <v>#NAME?</v>
      </c>
      <c r="DA185" s="4" t="e">
        <f ca="1">_xll.BDH($C$178,"ACCOUNTS_PAYABLE_TURNOVER","FQ2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185" s="2" t="e">
        <f ca="1">_xll.BDH($C$178,"ACCOUNTS_PAYABLE_TURNOVER_DAYS","FQ2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185" s="4" t="e">
        <f ca="1">_xll.BDH($C$178,"CASH_CONVERSION_CYCLE","FQ2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185" s="4" t="e">
        <f ca="1">_xll.BDH($C$178,"INV_TO_CASH_DAYS","FQ2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185" s="5" t="e">
        <f ca="1">_xll.BDH($C$178,"BS_INVENTORIES","FQ2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185" s="3" t="e">
        <f ca="1">_xll.BDH($C$178,"INVTRY_RAW_MATERIALS","FQ2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185" s="3" t="e">
        <f ca="1">_xll.BDH($C$178,"INVTRY_IN_PROGRESS","FQ2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185" s="3" t="e">
        <f ca="1">_xll.BDH($C$178,"INVTRY_FINISHED_GOODS","FQ2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185" s="3" t="e">
        <f ca="1">_xll.BDH($C$178,"BS_OTHER_INV","FQ2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186" spans="1:113" x14ac:dyDescent="0.3">
      <c r="A186" s="6"/>
      <c r="B186" s="6"/>
      <c r="C186" s="6"/>
      <c r="D186" s="6"/>
      <c r="E186" t="s">
        <v>80</v>
      </c>
      <c r="F186" t="e">
        <f ca="1">_xll.BDH($C$178,"RETURN_COM_EQY","FQ3 2015","FQ3 2015","Currency=INR","Period=FQ","BEST_FPERIOD_OVERRIDE=FQ","FILING_STATUS=OR","EQY_CONSOLIDATED=Y","FA_ADJUSTED=GAAP","Sort=A","Dates=H","DateFormat=P","Fill=—","Direction=H","UseDPDF=Y")</f>
        <v>#NAME?</v>
      </c>
      <c r="G186" t="e">
        <f ca="1">_xll.BDH($C$178,"RETURN_ON_ASSET","FQ3 2015","FQ3 2015","Currency=INR","Period=FQ","BEST_FPERIOD_OVERRIDE=FQ","FILING_STATUS=OR","EQY_CONSOLIDATED=Y","FA_ADJUSTED=GAAP","Sort=A","Dates=H","DateFormat=P","Fill=—","Direction=H","UseDPDF=Y")</f>
        <v>#NAME?</v>
      </c>
      <c r="H186" t="e">
        <f ca="1">_xll.BDH($C$178,"RETURN_ON_CAP","FQ3 2015","FQ3 2015","Currency=INR","Period=FQ","BEST_FPERIOD_OVERRIDE=FQ","FILING_STATUS=OR","EQY_CONSOLIDATED=Y","FA_ADJUSTED=GAAP","Sort=A","Dates=H","DateFormat=P","Fill=—","Direction=H","UseDPDF=Y")</f>
        <v>#NAME?</v>
      </c>
      <c r="I186" t="e">
        <f ca="1">_xll.BDH($C$178,"RETURN_ON_INV_CAPITAL","FQ3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186" t="e">
        <f ca="1">_xll.BDH($C$178,"EBITDA_TO_REVENUE","FQ3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186" t="e">
        <f ca="1">_xll.BDH($C$178,"OPER_MARGIN","FQ3 2015","FQ3 2015","Currency=INR","Period=FQ","BEST_FPERIOD_OVERRIDE=FQ","FILING_STATUS=OR","EQY_CONSOLIDATED=Y","FA_ADJUSTED=GAAP","Sort=A","Dates=H","DateFormat=P","Fill=—","Direction=H","UseDPDF=Y")</f>
        <v>#NAME?</v>
      </c>
      <c r="L186" t="e">
        <f ca="1">_xll.BDH($C$178,"INCREMENTAL_OPERATING_MARGIN","FQ3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186" t="e">
        <f ca="1">_xll.BDH($C$178,"PRETAX_INC_TO_NET_SALES","FQ3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186" t="e">
        <f ca="1">_xll.BDH($C$178,"INC_BEF_XO_ITEMS_TO_NET_SALES","FQ3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186" t="e">
        <f ca="1">_xll.BDH($C$178,"PROF_MARGIN","FQ3 2015","FQ3 2015","Currency=INR","Period=FQ","BEST_FPERIOD_OVERRIDE=FQ","FILING_STATUS=OR","EQY_CONSOLIDATED=Y","FA_ADJUSTED=GAAP","Sort=A","Dates=H","DateFormat=P","Fill=—","Direction=H","UseDPDF=Y")</f>
        <v>#NAME?</v>
      </c>
      <c r="P186" t="e">
        <f ca="1">_xll.BDH($C$178,"NET_INCOME_TO_COMMON_MARGIN","FQ3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186" t="e">
        <f ca="1">_xll.BDH($C$178,"EFF_TAX_RATE","FQ3 2015","FQ3 2015","Currency=INR","Period=FQ","BEST_FPERIOD_OVERRIDE=FQ","FILING_STATUS=OR","EQY_CONSOLIDATED=Y","FA_ADJUSTED=GAAP","Sort=A","Dates=H","DateFormat=P","Fill=—","Direction=H","UseDPDF=Y")</f>
        <v>#NAME?</v>
      </c>
      <c r="R186" t="e">
        <f ca="1">_xll.BDH($C$178,"DVD_PAYOUT_RATIO","FQ3 2015","FQ3 2015","Currency=INR","Period=FQ","BEST_FPERIOD_OVERRIDE=FQ","FILING_STATUS=OR","EQY_CONSOLIDATED=Y","FA_ADJUSTED=GAAP","Sort=A","Dates=H","DateFormat=P","Fill=—","Direction=H","UseDPDF=Y")</f>
        <v>#NAME?</v>
      </c>
      <c r="S186" t="e">
        <f ca="1">_xll.BDH($C$178,"SUSTAIN_GROWTH_RT","FQ3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186" s="2" t="e">
        <f ca="1">_xll.BDH($C$178,"SALES_GROWTH","FQ3 2015","FQ3 2015","Currency=INR","Period=FQ","BEST_FPERIOD_OVERRIDE=FQ","FILING_STATUS=OR","EQY_CONSOLIDATED=Y","FA_ADJUSTED=GAAP","Sort=A","Dates=H","DateFormat=P","Fill=—","Direction=H","UseDPDF=Y")</f>
        <v>#NAME?</v>
      </c>
      <c r="U186" s="2" t="e">
        <f ca="1">_xll.BDH($C$178,"EBITDA_GROWTH","FQ3 2015","FQ3 2015","Currency=INR","Period=FQ","BEST_FPERIOD_OVERRIDE=FQ","FILING_STATUS=OR","EQY_CONSOLIDATED=Y","FA_ADJUSTED=GAAP","Sort=A","Dates=H","DateFormat=P","Fill=—","Direction=H","UseDPDF=Y")</f>
        <v>#NAME?</v>
      </c>
      <c r="V186" s="2" t="e">
        <f ca="1">_xll.BDH($C$178,"OPER_INC_GROWTH","FQ3 2015","FQ3 2015","Currency=INR","Period=FQ","BEST_FPERIOD_OVERRIDE=FQ","FILING_STATUS=OR","EQY_CONSOLIDATED=Y","FA_ADJUSTED=GAAP","Sort=A","Dates=H","DateFormat=P","Fill=—","Direction=H","UseDPDF=Y")</f>
        <v>#NAME?</v>
      </c>
      <c r="W186" s="2" t="e">
        <f ca="1">_xll.BDH($C$178,"EARN_FOR_COM_GROWTH","FQ3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186" s="2" t="e">
        <f ca="1">_xll.BDH($C$178,"DILUTED_EPS_AFT_XO_ITEMS_GROWTH","FQ3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186" s="2" t="e">
        <f ca="1">_xll.BDH($C$178,"DIVIDEND_PER_SHARE_1_YEAR_GROWTH","FQ3 2015","FQ3 2015","Currency=INR","Period=FQ","BEST_FPERIOD_OVERRIDE=FQ","FILING_STATUS=OR","EQY_CONSOLIDATED=Y","Sort=A","Dates=H","DateFormat=P","Fill=—","Direction=H","UseDPDF=Y")</f>
        <v>#NAME?</v>
      </c>
      <c r="Z186" s="2" t="e">
        <f ca="1">_xll.BDH($C$178,"ACCOUNTS_RECEIVABLE_GROWTH","FQ3 2015","FQ3 2015","Currency=INR","Period=FQ","BEST_FPERIOD_OVERRIDE=FQ","FILING_STATUS=OR","EQY_CONSOLIDATED=Y","Sort=A","Dates=H","DateFormat=P","Fill=—","Direction=H","UseDPDF=Y")</f>
        <v>#NAME?</v>
      </c>
      <c r="AA186" s="2" t="e">
        <f ca="1">_xll.BDH($C$178,"INVENTORY_GROWTH","FQ3 2015","FQ3 2015","Currency=INR","Period=FQ","BEST_FPERIOD_OVERRIDE=FQ","FILING_STATUS=OR","EQY_CONSOLIDATED=Y","Sort=A","Dates=H","DateFormat=P","Fill=—","Direction=H","UseDPDF=Y")</f>
        <v>#NAME?</v>
      </c>
      <c r="AB186" s="2" t="e">
        <f ca="1">_xll.BDH($C$178,"NET_FIXED_ASSETS_1_YEAR_GROWTH","FQ3 2015","FQ3 2015","Currency=INR","Period=FQ","BEST_FPERIOD_OVERRIDE=FQ","FILING_STATUS=OR","EQY_CONSOLIDATED=Y","Sort=A","Dates=H","DateFormat=P","Fill=—","Direction=H","UseDPDF=Y")</f>
        <v>#NAME?</v>
      </c>
      <c r="AC186" s="2" t="e">
        <f ca="1">_xll.BDH($C$178,"ASSET_GROWTH","FQ3 2015","FQ3 2015","Currency=INR","Period=FQ","BEST_FPERIOD_OVERRIDE=FQ","FILING_STATUS=OR","EQY_CONSOLIDATED=Y","Sort=A","Dates=H","DateFormat=P","Fill=—","Direction=H","UseDPDF=Y")</f>
        <v>#NAME?</v>
      </c>
      <c r="AD186" s="2" t="e">
        <f ca="1">_xll.BDH($C$178,"MODIFIED_WORK_CAP_GROWTH","FQ3 2015","FQ3 2015","Currency=INR","Period=FQ","BEST_FPERIOD_OVERRIDE=FQ","FILING_STATUS=OR","EQY_CONSOLIDATED=Y","Sort=A","Dates=H","DateFormat=P","Fill=—","Direction=H","UseDPDF=Y")</f>
        <v>#NAME?</v>
      </c>
      <c r="AE186" s="2" t="e">
        <f ca="1">_xll.BDH($C$178,"WORK_CAP_GROWTH","FQ3 2015","FQ3 2015","Currency=INR","Period=FQ","BEST_FPERIOD_OVERRIDE=FQ","FILING_STATUS=OR","EQY_CONSOLIDATED=Y","Sort=A","Dates=H","DateFormat=P","Fill=—","Direction=H","UseDPDF=Y")</f>
        <v>#NAME?</v>
      </c>
      <c r="AF186" s="2" t="e">
        <f ca="1">_xll.BDH($C$178,"ACCOUNTS_PAYABLE_GROWTH_1YR","FQ3 2015","FQ3 2015","Currency=INR","Period=FQ","BEST_FPERIOD_OVERRIDE=FQ","FILING_STATUS=OR","EQY_CONSOLIDATED=Y","Sort=A","Dates=H","DateFormat=P","Fill=—","Direction=H","UseDPDF=Y")</f>
        <v>#NAME?</v>
      </c>
      <c r="AG186" s="2" t="e">
        <f ca="1">_xll.BDH($C$178,"SHORT_TERM_DEBT_1_YEAR_GROWTH","FQ3 2015","FQ3 2015","Currency=INR","Period=FQ","BEST_FPERIOD_OVERRIDE=FQ","FILING_STATUS=OR","EQY_CONSOLIDATED=Y","Sort=A","Dates=H","DateFormat=P","Fill=—","Direction=H","UseDPDF=Y")</f>
        <v>#NAME?</v>
      </c>
      <c r="AH186" s="2" t="e">
        <f ca="1">_xll.BDH($C$178,"TOTAL_DEBT_1_YEAR_GROWTH","FQ3 2015","FQ3 2015","Currency=INR","Period=FQ","BEST_FPERIOD_OVERRIDE=FQ","FILING_STATUS=OR","EQY_CONSOLIDATED=Y","Sort=A","Dates=H","DateFormat=P","Fill=—","Direction=H","UseDPDF=Y")</f>
        <v>#NAME?</v>
      </c>
      <c r="AI186" s="2" t="e">
        <f ca="1">_xll.BDH($C$178,"TOTAL_EQUITY_1_YEAR_GROWTH","FQ3 2015","FQ3 2015","Currency=INR","Period=FQ","BEST_FPERIOD_OVERRIDE=FQ","FILING_STATUS=OR","EQY_CONSOLIDATED=Y","Sort=A","Dates=H","DateFormat=P","Fill=—","Direction=H","UseDPDF=Y")</f>
        <v>#NAME?</v>
      </c>
      <c r="AJ186" s="2" t="e">
        <f ca="1">_xll.BDH($C$178,"GROWTH_IN_CAP","FQ3 2015","FQ3 2015","Currency=INR","Period=FQ","BEST_FPERIOD_OVERRIDE=FQ","FILING_STATUS=OR","EQY_CONSOLIDATED=Y","Sort=A","Dates=H","DateFormat=P","Fill=—","Direction=H","UseDPDF=Y")</f>
        <v>#NAME?</v>
      </c>
      <c r="AK186" s="2" t="e">
        <f ca="1">_xll.BDH($C$178,"BVPS_GROWTH","FQ3 2015","FQ3 2015","Currency=INR","Period=FQ","BEST_FPERIOD_OVERRIDE=FQ","FILING_STATUS=OR","EQY_CONSOLIDATED=Y","Sort=A","Dates=H","DateFormat=P","Fill=—","Direction=H","UseDPDF=Y")</f>
        <v>#NAME?</v>
      </c>
      <c r="AL186" s="2" t="e">
        <f ca="1">_xll.BDH($C$178,"CASH_FLOW_GROWTH","FQ3 2015","FQ3 2015","Currency=INR","Period=FQ","BEST_FPERIOD_OVERRIDE=FQ","FILING_STATUS=OR","EQY_CONSOLIDATED=Y","Sort=A","Dates=H","DateFormat=P","Fill=—","Direction=H","UseDPDF=Y")</f>
        <v>#NAME?</v>
      </c>
      <c r="AM186" s="2" t="e">
        <f ca="1">_xll.BDH($C$178,"GEO_GROW_NET_SALES","FQ3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186" s="2" t="e">
        <f ca="1">_xll.BDH($C$178,"GEO_GROW_EBITDA","FQ3 2015","FQ3 2015","Currency=INR","Period=FQ","BEST_FPERIOD_OVERRIDE=FQ","FILING_STATUS=OR","EQY_CONSOLIDATED=Y","FA_ADJUSTED=GAAP","Sort=A","Dates=H","DateFormat=P","Fill=—","Direction=H","UseDPDF=Y")</f>
        <v>#NAME?</v>
      </c>
      <c r="AO186" s="2" t="e">
        <f ca="1">_xll.BDH($C$178,"GEO_GROW_OPER_INC","FQ3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186" s="2" t="e">
        <f ca="1">_xll.BDH($C$178,"NET_INCOME_TO_COMMON_5_YR_GROWTH","FQ3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186" s="2" t="e">
        <f ca="1">_xll.BDH($C$178,"5Y_GEO_GROWTH_DILUTED_EPS","FQ3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186" s="2" t="e">
        <f ca="1">_xll.BDH($C$178,"GEO_GROW_DVD_PER_SH","FQ3 2015","FQ3 2015","Currency=INR","Period=FQ","BEST_FPERIOD_OVERRIDE=FQ","FILING_STATUS=OR","EQY_CONSOLIDATED=Y","Sort=A","Dates=H","DateFormat=P","Fill=—","Direction=H","UseDPDF=Y")</f>
        <v>#NAME?</v>
      </c>
      <c r="AS186" s="2" t="e">
        <f ca="1">_xll.BDH($C$178,"ACCOUNTS_RECEIVABLE_5_YR_GROWTH","FQ3 2015","FQ3 2015","Currency=INR","Period=FQ","BEST_FPERIOD_OVERRIDE=FQ","FILING_STATUS=OR","EQY_CONSOLIDATED=Y","Sort=A","Dates=H","DateFormat=P","Fill=—","Direction=H","UseDPDF=Y")</f>
        <v>#NAME?</v>
      </c>
      <c r="AT186" s="2" t="e">
        <f ca="1">_xll.BDH($C$178,"INVENTORY_5_YEAR_GROWTH","FQ3 2015","FQ3 2015","Currency=INR","Period=FQ","BEST_FPERIOD_OVERRIDE=FQ","FILING_STATUS=OR","EQY_CONSOLIDATED=Y","Sort=A","Dates=H","DateFormat=P","Fill=—","Direction=H","UseDPDF=Y")</f>
        <v>#NAME?</v>
      </c>
      <c r="AU186" s="2" t="e">
        <f ca="1">_xll.BDH($C$178,"NET_FIXED_ASSETS_5_YEAR_GROWTH","FQ3 2015","FQ3 2015","Currency=INR","Period=FQ","BEST_FPERIOD_OVERRIDE=FQ","FILING_STATUS=OR","EQY_CONSOLIDATED=Y","Sort=A","Dates=H","DateFormat=P","Fill=—","Direction=H","UseDPDF=Y")</f>
        <v>#NAME?</v>
      </c>
      <c r="AV186" s="2" t="e">
        <f ca="1">_xll.BDH($C$178,"GEO_GROW_TOT_ASSET","FQ3 2015","FQ3 2015","Currency=INR","Period=FQ","BEST_FPERIOD_OVERRIDE=FQ","FILING_STATUS=OR","EQY_CONSOLIDATED=Y","Sort=A","Dates=H","DateFormat=P","Fill=—","Direction=H","UseDPDF=Y")</f>
        <v>#NAME?</v>
      </c>
      <c r="AW186" s="2" t="e">
        <f ca="1">_xll.BDH($C$178,"MODIFIED_WORKING_CPTL_5YR_GRWTH","FQ3 2015","FQ3 2015","Currency=INR","Period=FQ","BEST_FPERIOD_OVERRIDE=FQ","FILING_STATUS=OR","EQY_CONSOLIDATED=Y","Sort=A","Dates=H","DateFormat=P","Fill=—","Direction=H","UseDPDF=Y")</f>
        <v>#NAME?</v>
      </c>
      <c r="AX186" s="2" t="e">
        <f ca="1">_xll.BDH($C$178,"WORKING_CAPITAL_5_YEAR_GROWTH","FQ3 2015","FQ3 2015","Currency=INR","Period=FQ","BEST_FPERIOD_OVERRIDE=FQ","FILING_STATUS=OR","EQY_CONSOLIDATED=Y","Sort=A","Dates=H","DateFormat=P","Fill=—","Direction=H","UseDPDF=Y")</f>
        <v>#NAME?</v>
      </c>
      <c r="AY186" s="2" t="e">
        <f ca="1">_xll.BDH($C$178,"ACCOUNTS_PAYABLE_5_YEAR_GROWTH","FQ3 2015","FQ3 2015","Currency=INR","Period=FQ","BEST_FPERIOD_OVERRIDE=FQ","FILING_STATUS=OR","EQY_CONSOLIDATED=Y","Sort=A","Dates=H","DateFormat=P","Fill=—","Direction=H","UseDPDF=Y")</f>
        <v>#NAME?</v>
      </c>
      <c r="AZ186" s="2" t="e">
        <f ca="1">_xll.BDH($C$178,"SHORT_TERM_DEBT_5_YEAR_GROWTH","FQ3 2015","FQ3 2015","Currency=INR","Period=FQ","BEST_FPERIOD_OVERRIDE=FQ","FILING_STATUS=OR","EQY_CONSOLIDATED=Y","Sort=A","Dates=H","DateFormat=P","Fill=—","Direction=H","UseDPDF=Y")</f>
        <v>#NAME?</v>
      </c>
      <c r="BA186" s="2" t="e">
        <f ca="1">_xll.BDH($C$178,"TOTAL_DEBT_5_YEAR_GROWTH","FQ3 2015","FQ3 2015","Currency=INR","Period=FQ","BEST_FPERIOD_OVERRIDE=FQ","FILING_STATUS=OR","EQY_CONSOLIDATED=Y","Sort=A","Dates=H","DateFormat=P","Fill=—","Direction=H","UseDPDF=Y")</f>
        <v>#NAME?</v>
      </c>
      <c r="BB186" s="2" t="e">
        <f ca="1">_xll.BDH($C$178,"GEO_GROW_TOT_SHRHLDR_EQY","FQ3 2015","FQ3 2015","Currency=INR","Period=FQ","BEST_FPERIOD_OVERRIDE=FQ","FILING_STATUS=OR","EQY_CONSOLIDATED=Y","Sort=A","Dates=H","DateFormat=P","Fill=—","Direction=H","UseDPDF=Y")</f>
        <v>#NAME?</v>
      </c>
      <c r="BC186" s="2" t="e">
        <f ca="1">_xll.BDH($C$178,"TOTAL_CAPITAL_5_YEAR_GROWTH","FQ3 2015","FQ3 2015","Currency=INR","Period=FQ","BEST_FPERIOD_OVERRIDE=FQ","FILING_STATUS=OR","EQY_CONSOLIDATED=Y","Sort=A","Dates=H","DateFormat=P","Fill=—","Direction=H","UseDPDF=Y")</f>
        <v>#NAME?</v>
      </c>
      <c r="BD186" s="2" t="e">
        <f ca="1">_xll.BDH($C$178,"GEO_GROW_BOOK_VAL","FQ3 2015","FQ3 2015","Currency=INR","Period=FQ","BEST_FPERIOD_OVERRIDE=FQ","FILING_STATUS=OR","EQY_CONSOLIDATED=Y","Sort=A","Dates=H","DateFormat=P","Fill=—","Direction=H","UseDPDF=Y")</f>
        <v>#NAME?</v>
      </c>
      <c r="BE186" s="2" t="e">
        <f ca="1">_xll.BDH($C$178,"GEO_GROW_CASH_OPER_ACT","FQ3 2015","FQ3 2015","Currency=INR","Period=FQ","BEST_FPERIOD_OVERRIDE=FQ","FILING_STATUS=OR","EQY_CONSOLIDATED=Y","Sort=A","Dates=H","DateFormat=P","Fill=—","Direction=H","UseDPDF=Y")</f>
        <v>#NAME?</v>
      </c>
      <c r="BF186" s="2" t="e">
        <f ca="1">_xll.BDH($C$178,"REVENUE_SEQUENTIAL_GROWTH","FQ3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186" s="2" t="e">
        <f ca="1">_xll.BDH($C$178,"EBITDA_SEQUENTIAL_GROWTH","FQ3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186" s="2" t="e">
        <f ca="1">_xll.BDH($C$178,"OPERATING_INCOME_SEQ_GROWTH","FQ3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186" s="2" t="e">
        <f ca="1">_xll.BDH($C$178,"NET_INCOME_TO_COMMON_SEQ_GROWTH","FQ3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186" s="2" t="e">
        <f ca="1">_xll.BDH($C$178,"EPS_DILUTED_SEQUENTIAL_GROWTH","FQ3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186" s="2" t="e">
        <f ca="1">_xll.BDH($C$178,"DPS_SEQUENTIAL_GROWTH","FQ3 2015","FQ3 2015","Currency=INR","Period=FQ","BEST_FPERIOD_OVERRIDE=FQ","FILING_STATUS=OR","EQY_CONSOLIDATED=Y","Sort=A","Dates=H","DateFormat=P","Fill=—","Direction=H","UseDPDF=Y")</f>
        <v>#NAME?</v>
      </c>
      <c r="BL186" s="2" t="e">
        <f ca="1">_xll.BDH($C$178,"ACCOUNTS_RECEIVABLE_SEQ_GROWTH","FQ3 2015","FQ3 2015","Currency=INR","Period=FQ","BEST_FPERIOD_OVERRIDE=FQ","FILING_STATUS=OR","EQY_CONSOLIDATED=Y","Sort=A","Dates=H","DateFormat=P","Fill=—","Direction=H","UseDPDF=Y")</f>
        <v>#NAME?</v>
      </c>
      <c r="BM186" s="2" t="e">
        <f ca="1">_xll.BDH($C$178,"INVENTORY_SEQUENTIAL_GROWTH","FQ3 2015","FQ3 2015","Currency=INR","Period=FQ","BEST_FPERIOD_OVERRIDE=FQ","FILING_STATUS=OR","EQY_CONSOLIDATED=Y","Sort=A","Dates=H","DateFormat=P","Fill=—","Direction=H","UseDPDF=Y")</f>
        <v>#NAME?</v>
      </c>
      <c r="BN186" s="2" t="e">
        <f ca="1">_xll.BDH($C$178,"FIXED_ASSETS_SEQUENTIAL_GROWTH","FQ3 2015","FQ3 2015","Currency=INR","Period=FQ","BEST_FPERIOD_OVERRIDE=FQ","FILING_STATUS=OR","EQY_CONSOLIDATED=Y","Sort=A","Dates=H","DateFormat=P","Fill=—","Direction=H","UseDPDF=Y")</f>
        <v>#NAME?</v>
      </c>
      <c r="BO186" s="2" t="e">
        <f ca="1">_xll.BDH($C$178,"TOTAL_ASSETS_SEQUENTIAL_GROWTH","FQ3 2015","FQ3 2015","Currency=INR","Period=FQ","BEST_FPERIOD_OVERRIDE=FQ","FILING_STATUS=OR","EQY_CONSOLIDATED=Y","Sort=A","Dates=H","DateFormat=P","Fill=—","Direction=H","UseDPDF=Y")</f>
        <v>#NAME?</v>
      </c>
      <c r="BP186" s="2" t="e">
        <f ca="1">_xll.BDH($C$178,"MODIFIED_WORKING_CPTL_SEQ_GRWTH","FQ3 2015","FQ3 2015","Currency=INR","Period=FQ","BEST_FPERIOD_OVERRIDE=FQ","FILING_STATUS=OR","EQY_CONSOLIDATED=Y","Sort=A","Dates=H","DateFormat=P","Fill=—","Direction=H","UseDPDF=Y")</f>
        <v>#NAME?</v>
      </c>
      <c r="BQ186" s="2" t="e">
        <f ca="1">_xll.BDH($C$178,"WORKING_CAPITAL_SEQ_GROWTH","FQ3 2015","FQ3 2015","Currency=INR","Period=FQ","BEST_FPERIOD_OVERRIDE=FQ","FILING_STATUS=OR","EQY_CONSOLIDATED=Y","Sort=A","Dates=H","DateFormat=P","Fill=—","Direction=H","UseDPDF=Y")</f>
        <v>#NAME?</v>
      </c>
      <c r="BR186" s="2" t="e">
        <f ca="1">_xll.BDH($C$178,"ACCOUNTS_PAYABLE_SEQ_GROWTH","FQ3 2015","FQ3 2015","Currency=INR","Period=FQ","BEST_FPERIOD_OVERRIDE=FQ","FILING_STATUS=OR","EQY_CONSOLIDATED=Y","Sort=A","Dates=H","DateFormat=P","Fill=—","Direction=H","UseDPDF=Y")</f>
        <v>#NAME?</v>
      </c>
      <c r="BS186" s="2" t="e">
        <f ca="1">_xll.BDH($C$178,"ST_DEBT_SEQUENTIAL_GROWTH","FQ3 2015","FQ3 2015","Currency=INR","Period=FQ","BEST_FPERIOD_OVERRIDE=FQ","FILING_STATUS=OR","EQY_CONSOLIDATED=Y","Sort=A","Dates=H","DateFormat=P","Fill=—","Direction=H","UseDPDF=Y")</f>
        <v>#NAME?</v>
      </c>
      <c r="BT186" s="2" t="e">
        <f ca="1">_xll.BDH($C$178,"TOTAL_DEBT_SEQUENTIAL_GROWTH","FQ3 2015","FQ3 2015","Currency=INR","Period=FQ","BEST_FPERIOD_OVERRIDE=FQ","FILING_STATUS=OR","EQY_CONSOLIDATED=Y","Sort=A","Dates=H","DateFormat=P","Fill=—","Direction=H","UseDPDF=Y")</f>
        <v>#NAME?</v>
      </c>
      <c r="BU186" s="2" t="e">
        <f ca="1">_xll.BDH($C$178,"TOTAL_EQUITY_SEQUENTIAL_GROWTH","FQ3 2015","FQ3 2015","Currency=INR","Period=FQ","BEST_FPERIOD_OVERRIDE=FQ","FILING_STATUS=OR","EQY_CONSOLIDATED=Y","Sort=A","Dates=H","DateFormat=P","Fill=—","Direction=H","UseDPDF=Y")</f>
        <v>#NAME?</v>
      </c>
      <c r="BV186" s="2" t="e">
        <f ca="1">_xll.BDH($C$178,"TOTAL_CAPITAL_SEQUENTIAL_GROWTH","FQ3 2015","FQ3 2015","Currency=INR","Period=FQ","BEST_FPERIOD_OVERRIDE=FQ","FILING_STATUS=OR","EQY_CONSOLIDATED=Y","Sort=A","Dates=H","DateFormat=P","Fill=—","Direction=H","UseDPDF=Y")</f>
        <v>#NAME?</v>
      </c>
      <c r="BW186" s="2" t="e">
        <f ca="1">_xll.BDH($C$178,"BPS_SEQUENTIAL_GROWTH","FQ3 2015","FQ3 2015","Currency=INR","Period=FQ","BEST_FPERIOD_OVERRIDE=FQ","FILING_STATUS=OR","EQY_CONSOLIDATED=Y","Sort=A","Dates=H","DateFormat=P","Fill=—","Direction=H","UseDPDF=Y")</f>
        <v>#NAME?</v>
      </c>
      <c r="BX186" s="2" t="e">
        <f ca="1">_xll.BDH($C$178,"CFO_SEQUENTIAL_GROWTH","FQ3 2015","FQ3 2015","Currency=INR","Period=FQ","BEST_FPERIOD_OVERRIDE=FQ","FILING_STATUS=OR","EQY_CONSOLIDATED=Y","Sort=A","Dates=H","DateFormat=P","Fill=—","Direction=H","UseDPDF=Y")</f>
        <v>#NAME?</v>
      </c>
      <c r="BY186" s="3" t="e">
        <f ca="1">_xll.BDH($C$178,"SHORT_AND_LONG_TERM_DEBT","FQ3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186" s="3" t="e">
        <f ca="1">_xll.BDH($C$178,"BS_ST_BORROW","FQ3 2015","FQ3 2015","Currency=INR","Period=FQ","BEST_FPERIOD_OVERRIDE=FQ","FILING_STATUS=OR","EQY_CONSOLIDATED=Y","SCALING_FORMAT=MLN","Sort=A","Dates=H","DateFormat=P","Fill=—","Direction=H","UseDPDF=Y")</f>
        <v>#NAME?</v>
      </c>
      <c r="CA186" s="3" t="e">
        <f ca="1">_xll.BDH($C$178,"BS_LT_BORROW","FQ3 2015","FQ3 2015","Currency=INR","Period=FQ","BEST_FPERIOD_OVERRIDE=FQ","FILING_STATUS=OR","EQY_CONSOLIDATED=Y","SCALING_FORMAT=MLN","Sort=A","Dates=H","DateFormat=P","Fill=—","Direction=H","UseDPDF=Y")</f>
        <v>#NAME?</v>
      </c>
      <c r="CB186" s="2" t="e">
        <f ca="1">_xll.BDH($C$178,"TOT_DEBT_TO_EBITDA","FQ3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186" s="2" t="e">
        <f ca="1">_xll.BDH($C$178,"NET_DEBT_TO_EBITDA","FQ3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186" s="2" t="e">
        <f ca="1">_xll.BDH($C$178,"TOTAL_DEBT_TO_EBIT","FQ3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186" s="2" t="e">
        <f ca="1">_xll.BDH($C$178,"NET_DEBT_TO_EBIT","FQ3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186" s="2" t="e">
        <f ca="1">_xll.BDH($C$178,"EBITDA_TO_INTEREST_EXPN","FQ3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186" s="2" t="e">
        <f ca="1">_xll.BDH($C$178,"COM_EQY_TO_TOT_ASSET","FQ3 2015","FQ3 2015","Currency=INR","Period=FQ","BEST_FPERIOD_OVERRIDE=FQ","FILING_STATUS=OR","EQY_CONSOLIDATED=Y","Sort=A","Dates=H","DateFormat=P","Fill=—","Direction=H","UseDPDF=Y")</f>
        <v>#NAME?</v>
      </c>
      <c r="CH186" s="2" t="e">
        <f ca="1">_xll.BDH($C$178,"LT_DEBT_TO_TOT_EQY","FQ3 2015","FQ3 2015","Currency=INR","Period=FQ","BEST_FPERIOD_OVERRIDE=FQ","FILING_STATUS=OR","EQY_CONSOLIDATED=Y","Sort=A","Dates=H","DateFormat=P","Fill=—","Direction=H","UseDPDF=Y")</f>
        <v>#NAME?</v>
      </c>
      <c r="CI186" s="2" t="e">
        <f ca="1">_xll.BDH($C$178,"LT_DEBT_TO_TOT_CAP","FQ3 2015","FQ3 2015","Currency=INR","Period=FQ","BEST_FPERIOD_OVERRIDE=FQ","FILING_STATUS=OR","EQY_CONSOLIDATED=Y","Sort=A","Dates=H","DateFormat=P","Fill=—","Direction=H","UseDPDF=Y")</f>
        <v>#NAME?</v>
      </c>
      <c r="CJ186" s="2" t="e">
        <f ca="1">_xll.BDH($C$178,"LT_DEBT_TO_TOT_ASSET","FQ3 2015","FQ3 2015","Currency=INR","Period=FQ","BEST_FPERIOD_OVERRIDE=FQ","FILING_STATUS=OR","EQY_CONSOLIDATED=Y","Sort=A","Dates=H","DateFormat=P","Fill=—","Direction=H","UseDPDF=Y")</f>
        <v>#NAME?</v>
      </c>
      <c r="CK186" s="2" t="e">
        <f ca="1">_xll.BDH($C$178,"TOT_DEBT_TO_TOT_EQY","FQ3 2015","FQ3 2015","Currency=INR","Period=FQ","BEST_FPERIOD_OVERRIDE=FQ","FILING_STATUS=OR","EQY_CONSOLIDATED=Y","Sort=A","Dates=H","DateFormat=P","Fill=—","Direction=H","UseDPDF=Y")</f>
        <v>#NAME?</v>
      </c>
      <c r="CL186" s="2" t="e">
        <f ca="1">_xll.BDH($C$178,"TOT_DEBT_TO_TOT_CAP","FQ3 2015","FQ3 2015","Currency=INR","Period=FQ","BEST_FPERIOD_OVERRIDE=FQ","FILING_STATUS=OR","EQY_CONSOLIDATED=Y","Sort=A","Dates=H","DateFormat=P","Fill=—","Direction=H","UseDPDF=Y")</f>
        <v>#NAME?</v>
      </c>
      <c r="CM186" s="2" t="e">
        <f ca="1">_xll.BDH($C$178,"TOT_DEBT_TO_TOT_ASSET","FQ3 2015","FQ3 2015","Currency=INR","Period=FQ","BEST_FPERIOD_OVERRIDE=FQ","FILING_STATUS=OR","EQY_CONSOLIDATED=Y","Sort=A","Dates=H","DateFormat=P","Fill=—","Direction=H","UseDPDF=Y")</f>
        <v>#NAME?</v>
      </c>
      <c r="CN186" s="2" t="e">
        <f ca="1">_xll.BDH($C$178,"NET_DEBT_TO_SHRHLDR_EQTY","FQ3 2015","FQ3 2015","Currency=INR","Period=FQ","BEST_FPERIOD_OVERRIDE=FQ","FILING_STATUS=OR","EQY_CONSOLIDATED=Y","Sort=A","Dates=H","DateFormat=P","Fill=—","Direction=H","UseDPDF=Y")</f>
        <v>#NAME?</v>
      </c>
      <c r="CO186" s="2" t="e">
        <f ca="1">_xll.BDH($C$178,"NET_DEBT_%_CAPITAL","FQ3 2015","FQ3 2015","Currency=INR","Period=FQ","BEST_FPERIOD_OVERRIDE=FQ","FILING_STATUS=OR","EQY_CONSOLIDATED=Y","Sort=A","Dates=H","DateFormat=P","Fill=—","Direction=H","UseDPDF=Y")</f>
        <v>#NAME?</v>
      </c>
      <c r="CP186" s="3" t="e">
        <f ca="1">_xll.BDH($C$178,"EBITDA","FQ3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186" s="3" t="e">
        <f ca="1">_xll.BDH($C$178,"EBITDA_AFTER_CAPEX","FQ3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186" s="3" t="e">
        <f ca="1">_xll.BDH($C$178,"IS_OPER_INC","FQ3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186" s="2" t="e">
        <f ca="1">_xll.BDH($C$178,"CASH_RATIO","FQ3 2015","FQ3 2015","Currency=INR","Period=FQ","BEST_FPERIOD_OVERRIDE=FQ","FILING_STATUS=OR","EQY_CONSOLIDATED=Y","Sort=A","Dates=H","DateFormat=P","Fill=—","Direction=H","UseDPDF=Y")</f>
        <v>#NAME?</v>
      </c>
      <c r="CT186" s="2" t="e">
        <f ca="1">_xll.BDH($C$178,"CUR_RATIO","FQ3 2015","FQ3 2015","Currency=INR","Period=FQ","BEST_FPERIOD_OVERRIDE=FQ","FILING_STATUS=OR","EQY_CONSOLIDATED=Y","Sort=A","Dates=H","DateFormat=P","Fill=—","Direction=H","UseDPDF=Y")</f>
        <v>#NAME?</v>
      </c>
      <c r="CU186" s="2" t="e">
        <f ca="1">_xll.BDH($C$178,"QUICK_RATIO","FQ3 2015","FQ3 2015","Currency=INR","Period=FQ","BEST_FPERIOD_OVERRIDE=FQ","FILING_STATUS=OR","EQY_CONSOLIDATED=Y","Sort=A","Dates=H","DateFormat=P","Fill=—","Direction=H","UseDPDF=Y")</f>
        <v>#NAME?</v>
      </c>
      <c r="CV186" s="2" t="e">
        <f ca="1">_xll.BDH($C$178,"ALTMAN_Z_SCORE","FQ3 2015","FQ3 2015","Currency=INR","Period=FQ","BEST_FPERIOD_OVERRIDE=FQ","FILING_STATUS=OR","EQY_CONSOLIDATED=Y","Sort=A","Dates=H","DateFormat=P","Fill=—","Direction=H","UseDPDF=Y")</f>
        <v>#NAME?</v>
      </c>
      <c r="CW186" s="4" t="e">
        <f ca="1">_xll.BDH($C$178,"ACCT_RCV_TURN","FQ3 2015","FQ3 2015","Currency=INR","Period=FQ","BEST_FPERIOD_OVERRIDE=FQ","FILING_STATUS=OR","EQY_CONSOLIDATED=Y","FA_ADJUSTED=GAAP","Sort=A","Dates=H","DateFormat=P","Fill=—","Direction=H","UseDPDF=Y")</f>
        <v>#NAME?</v>
      </c>
      <c r="CX186" s="2" t="e">
        <f ca="1">_xll.BDH($C$178,"ACCT_RCV_DAYS","FQ3 2015","FQ3 2015","Currency=INR","Period=FQ","BEST_FPERIOD_OVERRIDE=FQ","FILING_STATUS=OR","EQY_CONSOLIDATED=Y","FA_ADJUSTED=GAAP","Sort=A","Dates=H","DateFormat=P","Fill=—","Direction=H","UseDPDF=Y")</f>
        <v>#NAME?</v>
      </c>
      <c r="CY186" s="4" t="e">
        <f ca="1">_xll.BDH($C$178,"INVENT_TURN","FQ3 2015","FQ3 2015","Currency=INR","Period=FQ","BEST_FPERIOD_OVERRIDE=FQ","FILING_STATUS=OR","EQY_CONSOLIDATED=Y","FA_ADJUSTED=GAAP","Sort=A","Dates=H","DateFormat=P","Fill=—","Direction=H","UseDPDF=Y")</f>
        <v>#NAME?</v>
      </c>
      <c r="CZ186" s="2" t="e">
        <f ca="1">_xll.BDH($C$178,"INVENT_DAYS","FQ3 2015","FQ3 2015","Currency=INR","Period=FQ","BEST_FPERIOD_OVERRIDE=FQ","FILING_STATUS=OR","EQY_CONSOLIDATED=Y","FA_ADJUSTED=GAAP","Sort=A","Dates=H","DateFormat=P","Fill=—","Direction=H","UseDPDF=Y")</f>
        <v>#NAME?</v>
      </c>
      <c r="DA186" s="4" t="e">
        <f ca="1">_xll.BDH($C$178,"ACCOUNTS_PAYABLE_TURNOVER","FQ3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186" s="2" t="e">
        <f ca="1">_xll.BDH($C$178,"ACCOUNTS_PAYABLE_TURNOVER_DAYS","FQ3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186" s="4" t="e">
        <f ca="1">_xll.BDH($C$178,"CASH_CONVERSION_CYCLE","FQ3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186" s="4" t="e">
        <f ca="1">_xll.BDH($C$178,"INV_TO_CASH_DAYS","FQ3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186" s="5" t="e">
        <f ca="1">_xll.BDH($C$178,"BS_INVENTORIES","FQ3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186" s="3" t="e">
        <f ca="1">_xll.BDH($C$178,"INVTRY_RAW_MATERIALS","FQ3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186" s="3" t="e">
        <f ca="1">_xll.BDH($C$178,"INVTRY_IN_PROGRESS","FQ3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186" s="3" t="e">
        <f ca="1">_xll.BDH($C$178,"INVTRY_FINISHED_GOODS","FQ3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186" s="3" t="e">
        <f ca="1">_xll.BDH($C$178,"BS_OTHER_INV","FQ3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187" spans="1:113" x14ac:dyDescent="0.3">
      <c r="A187" s="6"/>
      <c r="B187" s="6"/>
      <c r="C187" s="6"/>
      <c r="D187" s="6"/>
      <c r="E187" t="s">
        <v>81</v>
      </c>
      <c r="F187" t="e">
        <f ca="1">_xll.BDH($C$178,"RETURN_COM_EQY","FQ4 2015","FQ4 2015","Currency=INR","Period=FQ","BEST_FPERIOD_OVERRIDE=FQ","FILING_STATUS=OR","EQY_CONSOLIDATED=Y","FA_ADJUSTED=GAAP","Sort=A","Dates=H","DateFormat=P","Fill=—","Direction=H","UseDPDF=Y")</f>
        <v>#NAME?</v>
      </c>
      <c r="G187" t="e">
        <f ca="1">_xll.BDH($C$178,"RETURN_ON_ASSET","FQ4 2015","FQ4 2015","Currency=INR","Period=FQ","BEST_FPERIOD_OVERRIDE=FQ","FILING_STATUS=OR","EQY_CONSOLIDATED=Y","FA_ADJUSTED=GAAP","Sort=A","Dates=H","DateFormat=P","Fill=—","Direction=H","UseDPDF=Y")</f>
        <v>#NAME?</v>
      </c>
      <c r="H187" t="e">
        <f ca="1">_xll.BDH($C$178,"RETURN_ON_CAP","FQ4 2015","FQ4 2015","Currency=INR","Period=FQ","BEST_FPERIOD_OVERRIDE=FQ","FILING_STATUS=OR","EQY_CONSOLIDATED=Y","FA_ADJUSTED=GAAP","Sort=A","Dates=H","DateFormat=P","Fill=—","Direction=H","UseDPDF=Y")</f>
        <v>#NAME?</v>
      </c>
      <c r="I187" t="e">
        <f ca="1">_xll.BDH($C$178,"RETURN_ON_INV_CAPITAL","FQ4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187" t="e">
        <f ca="1">_xll.BDH($C$178,"EBITDA_TO_REVENUE","FQ4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187" t="e">
        <f ca="1">_xll.BDH($C$178,"OPER_MARGIN","FQ4 2015","FQ4 2015","Currency=INR","Period=FQ","BEST_FPERIOD_OVERRIDE=FQ","FILING_STATUS=OR","EQY_CONSOLIDATED=Y","FA_ADJUSTED=GAAP","Sort=A","Dates=H","DateFormat=P","Fill=—","Direction=H","UseDPDF=Y")</f>
        <v>#NAME?</v>
      </c>
      <c r="L187" t="e">
        <f ca="1">_xll.BDH($C$178,"INCREMENTAL_OPERATING_MARGIN","FQ4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187" t="e">
        <f ca="1">_xll.BDH($C$178,"PRETAX_INC_TO_NET_SALES","FQ4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187" t="e">
        <f ca="1">_xll.BDH($C$178,"INC_BEF_XO_ITEMS_TO_NET_SALES","FQ4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187" t="e">
        <f ca="1">_xll.BDH($C$178,"PROF_MARGIN","FQ4 2015","FQ4 2015","Currency=INR","Period=FQ","BEST_FPERIOD_OVERRIDE=FQ","FILING_STATUS=OR","EQY_CONSOLIDATED=Y","FA_ADJUSTED=GAAP","Sort=A","Dates=H","DateFormat=P","Fill=—","Direction=H","UseDPDF=Y")</f>
        <v>#NAME?</v>
      </c>
      <c r="P187" t="e">
        <f ca="1">_xll.BDH($C$178,"NET_INCOME_TO_COMMON_MARGIN","FQ4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187" t="e">
        <f ca="1">_xll.BDH($C$178,"EFF_TAX_RATE","FQ4 2015","FQ4 2015","Currency=INR","Period=FQ","BEST_FPERIOD_OVERRIDE=FQ","FILING_STATUS=OR","EQY_CONSOLIDATED=Y","FA_ADJUSTED=GAAP","Sort=A","Dates=H","DateFormat=P","Fill=—","Direction=H","UseDPDF=Y")</f>
        <v>#NAME?</v>
      </c>
      <c r="R187" t="e">
        <f ca="1">_xll.BDH($C$178,"DVD_PAYOUT_RATIO","FQ4 2015","FQ4 2015","Currency=INR","Period=FQ","BEST_FPERIOD_OVERRIDE=FQ","FILING_STATUS=OR","EQY_CONSOLIDATED=Y","FA_ADJUSTED=GAAP","Sort=A","Dates=H","DateFormat=P","Fill=—","Direction=H","UseDPDF=Y")</f>
        <v>#NAME?</v>
      </c>
      <c r="S187" t="e">
        <f ca="1">_xll.BDH($C$178,"SUSTAIN_GROWTH_RT","FQ4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187" s="2" t="e">
        <f ca="1">_xll.BDH($C$178,"SALES_GROWTH","FQ4 2015","FQ4 2015","Currency=INR","Period=FQ","BEST_FPERIOD_OVERRIDE=FQ","FILING_STATUS=OR","EQY_CONSOLIDATED=Y","FA_ADJUSTED=GAAP","Sort=A","Dates=H","DateFormat=P","Fill=—","Direction=H","UseDPDF=Y")</f>
        <v>#NAME?</v>
      </c>
      <c r="U187" s="2" t="e">
        <f ca="1">_xll.BDH($C$178,"EBITDA_GROWTH","FQ4 2015","FQ4 2015","Currency=INR","Period=FQ","BEST_FPERIOD_OVERRIDE=FQ","FILING_STATUS=OR","EQY_CONSOLIDATED=Y","FA_ADJUSTED=GAAP","Sort=A","Dates=H","DateFormat=P","Fill=—","Direction=H","UseDPDF=Y")</f>
        <v>#NAME?</v>
      </c>
      <c r="V187" s="2" t="e">
        <f ca="1">_xll.BDH($C$178,"OPER_INC_GROWTH","FQ4 2015","FQ4 2015","Currency=INR","Period=FQ","BEST_FPERIOD_OVERRIDE=FQ","FILING_STATUS=OR","EQY_CONSOLIDATED=Y","FA_ADJUSTED=GAAP","Sort=A","Dates=H","DateFormat=P","Fill=—","Direction=H","UseDPDF=Y")</f>
        <v>#NAME?</v>
      </c>
      <c r="W187" s="2" t="e">
        <f ca="1">_xll.BDH($C$178,"EARN_FOR_COM_GROWTH","FQ4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187" s="2" t="e">
        <f ca="1">_xll.BDH($C$178,"DILUTED_EPS_AFT_XO_ITEMS_GROWTH","FQ4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187" s="2" t="e">
        <f ca="1">_xll.BDH($C$178,"DIVIDEND_PER_SHARE_1_YEAR_GROWTH","FQ4 2015","FQ4 2015","Currency=INR","Period=FQ","BEST_FPERIOD_OVERRIDE=FQ","FILING_STATUS=OR","EQY_CONSOLIDATED=Y","Sort=A","Dates=H","DateFormat=P","Fill=—","Direction=H","UseDPDF=Y")</f>
        <v>#NAME?</v>
      </c>
      <c r="Z187" s="2" t="e">
        <f ca="1">_xll.BDH($C$178,"ACCOUNTS_RECEIVABLE_GROWTH","FQ4 2015","FQ4 2015","Currency=INR","Period=FQ","BEST_FPERIOD_OVERRIDE=FQ","FILING_STATUS=OR","EQY_CONSOLIDATED=Y","Sort=A","Dates=H","DateFormat=P","Fill=—","Direction=H","UseDPDF=Y")</f>
        <v>#NAME?</v>
      </c>
      <c r="AA187" s="2" t="e">
        <f ca="1">_xll.BDH($C$178,"INVENTORY_GROWTH","FQ4 2015","FQ4 2015","Currency=INR","Period=FQ","BEST_FPERIOD_OVERRIDE=FQ","FILING_STATUS=OR","EQY_CONSOLIDATED=Y","Sort=A","Dates=H","DateFormat=P","Fill=—","Direction=H","UseDPDF=Y")</f>
        <v>#NAME?</v>
      </c>
      <c r="AB187" s="2" t="e">
        <f ca="1">_xll.BDH($C$178,"NET_FIXED_ASSETS_1_YEAR_GROWTH","FQ4 2015","FQ4 2015","Currency=INR","Period=FQ","BEST_FPERIOD_OVERRIDE=FQ","FILING_STATUS=OR","EQY_CONSOLIDATED=Y","Sort=A","Dates=H","DateFormat=P","Fill=—","Direction=H","UseDPDF=Y")</f>
        <v>#NAME?</v>
      </c>
      <c r="AC187" s="2" t="e">
        <f ca="1">_xll.BDH($C$178,"ASSET_GROWTH","FQ4 2015","FQ4 2015","Currency=INR","Period=FQ","BEST_FPERIOD_OVERRIDE=FQ","FILING_STATUS=OR","EQY_CONSOLIDATED=Y","Sort=A","Dates=H","DateFormat=P","Fill=—","Direction=H","UseDPDF=Y")</f>
        <v>#NAME?</v>
      </c>
      <c r="AD187" s="2" t="e">
        <f ca="1">_xll.BDH($C$178,"MODIFIED_WORK_CAP_GROWTH","FQ4 2015","FQ4 2015","Currency=INR","Period=FQ","BEST_FPERIOD_OVERRIDE=FQ","FILING_STATUS=OR","EQY_CONSOLIDATED=Y","Sort=A","Dates=H","DateFormat=P","Fill=—","Direction=H","UseDPDF=Y")</f>
        <v>#NAME?</v>
      </c>
      <c r="AE187" s="2" t="e">
        <f ca="1">_xll.BDH($C$178,"WORK_CAP_GROWTH","FQ4 2015","FQ4 2015","Currency=INR","Period=FQ","BEST_FPERIOD_OVERRIDE=FQ","FILING_STATUS=OR","EQY_CONSOLIDATED=Y","Sort=A","Dates=H","DateFormat=P","Fill=—","Direction=H","UseDPDF=Y")</f>
        <v>#NAME?</v>
      </c>
      <c r="AF187" s="2" t="e">
        <f ca="1">_xll.BDH($C$178,"ACCOUNTS_PAYABLE_GROWTH_1YR","FQ4 2015","FQ4 2015","Currency=INR","Period=FQ","BEST_FPERIOD_OVERRIDE=FQ","FILING_STATUS=OR","EQY_CONSOLIDATED=Y","Sort=A","Dates=H","DateFormat=P","Fill=—","Direction=H","UseDPDF=Y")</f>
        <v>#NAME?</v>
      </c>
      <c r="AG187" s="2" t="e">
        <f ca="1">_xll.BDH($C$178,"SHORT_TERM_DEBT_1_YEAR_GROWTH","FQ4 2015","FQ4 2015","Currency=INR","Period=FQ","BEST_FPERIOD_OVERRIDE=FQ","FILING_STATUS=OR","EQY_CONSOLIDATED=Y","Sort=A","Dates=H","DateFormat=P","Fill=—","Direction=H","UseDPDF=Y")</f>
        <v>#NAME?</v>
      </c>
      <c r="AH187" s="2" t="e">
        <f ca="1">_xll.BDH($C$178,"TOTAL_DEBT_1_YEAR_GROWTH","FQ4 2015","FQ4 2015","Currency=INR","Period=FQ","BEST_FPERIOD_OVERRIDE=FQ","FILING_STATUS=OR","EQY_CONSOLIDATED=Y","Sort=A","Dates=H","DateFormat=P","Fill=—","Direction=H","UseDPDF=Y")</f>
        <v>#NAME?</v>
      </c>
      <c r="AI187" s="2" t="e">
        <f ca="1">_xll.BDH($C$178,"TOTAL_EQUITY_1_YEAR_GROWTH","FQ4 2015","FQ4 2015","Currency=INR","Period=FQ","BEST_FPERIOD_OVERRIDE=FQ","FILING_STATUS=OR","EQY_CONSOLIDATED=Y","Sort=A","Dates=H","DateFormat=P","Fill=—","Direction=H","UseDPDF=Y")</f>
        <v>#NAME?</v>
      </c>
      <c r="AJ187" s="2" t="e">
        <f ca="1">_xll.BDH($C$178,"GROWTH_IN_CAP","FQ4 2015","FQ4 2015","Currency=INR","Period=FQ","BEST_FPERIOD_OVERRIDE=FQ","FILING_STATUS=OR","EQY_CONSOLIDATED=Y","Sort=A","Dates=H","DateFormat=P","Fill=—","Direction=H","UseDPDF=Y")</f>
        <v>#NAME?</v>
      </c>
      <c r="AK187" s="2" t="e">
        <f ca="1">_xll.BDH($C$178,"BVPS_GROWTH","FQ4 2015","FQ4 2015","Currency=INR","Period=FQ","BEST_FPERIOD_OVERRIDE=FQ","FILING_STATUS=OR","EQY_CONSOLIDATED=Y","Sort=A","Dates=H","DateFormat=P","Fill=—","Direction=H","UseDPDF=Y")</f>
        <v>#NAME?</v>
      </c>
      <c r="AL187" s="2" t="e">
        <f ca="1">_xll.BDH($C$178,"CASH_FLOW_GROWTH","FQ4 2015","FQ4 2015","Currency=INR","Period=FQ","BEST_FPERIOD_OVERRIDE=FQ","FILING_STATUS=OR","EQY_CONSOLIDATED=Y","Sort=A","Dates=H","DateFormat=P","Fill=—","Direction=H","UseDPDF=Y")</f>
        <v>#NAME?</v>
      </c>
      <c r="AM187" s="2" t="e">
        <f ca="1">_xll.BDH($C$178,"GEO_GROW_NET_SALES","FQ4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187" s="2" t="e">
        <f ca="1">_xll.BDH($C$178,"GEO_GROW_EBITDA","FQ4 2015","FQ4 2015","Currency=INR","Period=FQ","BEST_FPERIOD_OVERRIDE=FQ","FILING_STATUS=OR","EQY_CONSOLIDATED=Y","FA_ADJUSTED=GAAP","Sort=A","Dates=H","DateFormat=P","Fill=—","Direction=H","UseDPDF=Y")</f>
        <v>#NAME?</v>
      </c>
      <c r="AO187" s="2" t="e">
        <f ca="1">_xll.BDH($C$178,"GEO_GROW_OPER_INC","FQ4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187" s="2" t="e">
        <f ca="1">_xll.BDH($C$178,"NET_INCOME_TO_COMMON_5_YR_GROWTH","FQ4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187" s="2" t="e">
        <f ca="1">_xll.BDH($C$178,"5Y_GEO_GROWTH_DILUTED_EPS","FQ4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187" s="2" t="e">
        <f ca="1">_xll.BDH($C$178,"GEO_GROW_DVD_PER_SH","FQ4 2015","FQ4 2015","Currency=INR","Period=FQ","BEST_FPERIOD_OVERRIDE=FQ","FILING_STATUS=OR","EQY_CONSOLIDATED=Y","Sort=A","Dates=H","DateFormat=P","Fill=—","Direction=H","UseDPDF=Y")</f>
        <v>#NAME?</v>
      </c>
      <c r="AS187" s="2" t="e">
        <f ca="1">_xll.BDH($C$178,"ACCOUNTS_RECEIVABLE_5_YR_GROWTH","FQ4 2015","FQ4 2015","Currency=INR","Period=FQ","BEST_FPERIOD_OVERRIDE=FQ","FILING_STATUS=OR","EQY_CONSOLIDATED=Y","Sort=A","Dates=H","DateFormat=P","Fill=—","Direction=H","UseDPDF=Y")</f>
        <v>#NAME?</v>
      </c>
      <c r="AT187" s="2" t="e">
        <f ca="1">_xll.BDH($C$178,"INVENTORY_5_YEAR_GROWTH","FQ4 2015","FQ4 2015","Currency=INR","Period=FQ","BEST_FPERIOD_OVERRIDE=FQ","FILING_STATUS=OR","EQY_CONSOLIDATED=Y","Sort=A","Dates=H","DateFormat=P","Fill=—","Direction=H","UseDPDF=Y")</f>
        <v>#NAME?</v>
      </c>
      <c r="AU187" s="2" t="e">
        <f ca="1">_xll.BDH($C$178,"NET_FIXED_ASSETS_5_YEAR_GROWTH","FQ4 2015","FQ4 2015","Currency=INR","Period=FQ","BEST_FPERIOD_OVERRIDE=FQ","FILING_STATUS=OR","EQY_CONSOLIDATED=Y","Sort=A","Dates=H","DateFormat=P","Fill=—","Direction=H","UseDPDF=Y")</f>
        <v>#NAME?</v>
      </c>
      <c r="AV187" s="2" t="e">
        <f ca="1">_xll.BDH($C$178,"GEO_GROW_TOT_ASSET","FQ4 2015","FQ4 2015","Currency=INR","Period=FQ","BEST_FPERIOD_OVERRIDE=FQ","FILING_STATUS=OR","EQY_CONSOLIDATED=Y","Sort=A","Dates=H","DateFormat=P","Fill=—","Direction=H","UseDPDF=Y")</f>
        <v>#NAME?</v>
      </c>
      <c r="AW187" s="2" t="e">
        <f ca="1">_xll.BDH($C$178,"MODIFIED_WORKING_CPTL_5YR_GRWTH","FQ4 2015","FQ4 2015","Currency=INR","Period=FQ","BEST_FPERIOD_OVERRIDE=FQ","FILING_STATUS=OR","EQY_CONSOLIDATED=Y","Sort=A","Dates=H","DateFormat=P","Fill=—","Direction=H","UseDPDF=Y")</f>
        <v>#NAME?</v>
      </c>
      <c r="AX187" s="2" t="e">
        <f ca="1">_xll.BDH($C$178,"WORKING_CAPITAL_5_YEAR_GROWTH","FQ4 2015","FQ4 2015","Currency=INR","Period=FQ","BEST_FPERIOD_OVERRIDE=FQ","FILING_STATUS=OR","EQY_CONSOLIDATED=Y","Sort=A","Dates=H","DateFormat=P","Fill=—","Direction=H","UseDPDF=Y")</f>
        <v>#NAME?</v>
      </c>
      <c r="AY187" s="2" t="e">
        <f ca="1">_xll.BDH($C$178,"ACCOUNTS_PAYABLE_5_YEAR_GROWTH","FQ4 2015","FQ4 2015","Currency=INR","Period=FQ","BEST_FPERIOD_OVERRIDE=FQ","FILING_STATUS=OR","EQY_CONSOLIDATED=Y","Sort=A","Dates=H","DateFormat=P","Fill=—","Direction=H","UseDPDF=Y")</f>
        <v>#NAME?</v>
      </c>
      <c r="AZ187" s="2" t="e">
        <f ca="1">_xll.BDH($C$178,"SHORT_TERM_DEBT_5_YEAR_GROWTH","FQ4 2015","FQ4 2015","Currency=INR","Period=FQ","BEST_FPERIOD_OVERRIDE=FQ","FILING_STATUS=OR","EQY_CONSOLIDATED=Y","Sort=A","Dates=H","DateFormat=P","Fill=—","Direction=H","UseDPDF=Y")</f>
        <v>#NAME?</v>
      </c>
      <c r="BA187" s="2" t="e">
        <f ca="1">_xll.BDH($C$178,"TOTAL_DEBT_5_YEAR_GROWTH","FQ4 2015","FQ4 2015","Currency=INR","Period=FQ","BEST_FPERIOD_OVERRIDE=FQ","FILING_STATUS=OR","EQY_CONSOLIDATED=Y","Sort=A","Dates=H","DateFormat=P","Fill=—","Direction=H","UseDPDF=Y")</f>
        <v>#NAME?</v>
      </c>
      <c r="BB187" s="2" t="e">
        <f ca="1">_xll.BDH($C$178,"GEO_GROW_TOT_SHRHLDR_EQY","FQ4 2015","FQ4 2015","Currency=INR","Period=FQ","BEST_FPERIOD_OVERRIDE=FQ","FILING_STATUS=OR","EQY_CONSOLIDATED=Y","Sort=A","Dates=H","DateFormat=P","Fill=—","Direction=H","UseDPDF=Y")</f>
        <v>#NAME?</v>
      </c>
      <c r="BC187" s="2" t="e">
        <f ca="1">_xll.BDH($C$178,"TOTAL_CAPITAL_5_YEAR_GROWTH","FQ4 2015","FQ4 2015","Currency=INR","Period=FQ","BEST_FPERIOD_OVERRIDE=FQ","FILING_STATUS=OR","EQY_CONSOLIDATED=Y","Sort=A","Dates=H","DateFormat=P","Fill=—","Direction=H","UseDPDF=Y")</f>
        <v>#NAME?</v>
      </c>
      <c r="BD187" s="2" t="e">
        <f ca="1">_xll.BDH($C$178,"GEO_GROW_BOOK_VAL","FQ4 2015","FQ4 2015","Currency=INR","Period=FQ","BEST_FPERIOD_OVERRIDE=FQ","FILING_STATUS=OR","EQY_CONSOLIDATED=Y","Sort=A","Dates=H","DateFormat=P","Fill=—","Direction=H","UseDPDF=Y")</f>
        <v>#NAME?</v>
      </c>
      <c r="BE187" s="2" t="e">
        <f ca="1">_xll.BDH($C$178,"GEO_GROW_CASH_OPER_ACT","FQ4 2015","FQ4 2015","Currency=INR","Period=FQ","BEST_FPERIOD_OVERRIDE=FQ","FILING_STATUS=OR","EQY_CONSOLIDATED=Y","Sort=A","Dates=H","DateFormat=P","Fill=—","Direction=H","UseDPDF=Y")</f>
        <v>#NAME?</v>
      </c>
      <c r="BF187" s="2" t="e">
        <f ca="1">_xll.BDH($C$178,"REVENUE_SEQUENTIAL_GROWTH","FQ4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187" s="2" t="e">
        <f ca="1">_xll.BDH($C$178,"EBITDA_SEQUENTIAL_GROWTH","FQ4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187" s="2" t="e">
        <f ca="1">_xll.BDH($C$178,"OPERATING_INCOME_SEQ_GROWTH","FQ4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187" s="2" t="e">
        <f ca="1">_xll.BDH($C$178,"NET_INCOME_TO_COMMON_SEQ_GROWTH","FQ4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187" s="2" t="e">
        <f ca="1">_xll.BDH($C$178,"EPS_DILUTED_SEQUENTIAL_GROWTH","FQ4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187" s="2" t="e">
        <f ca="1">_xll.BDH($C$178,"DPS_SEQUENTIAL_GROWTH","FQ4 2015","FQ4 2015","Currency=INR","Period=FQ","BEST_FPERIOD_OVERRIDE=FQ","FILING_STATUS=OR","EQY_CONSOLIDATED=Y","Sort=A","Dates=H","DateFormat=P","Fill=—","Direction=H","UseDPDF=Y")</f>
        <v>#NAME?</v>
      </c>
      <c r="BL187" s="2" t="e">
        <f ca="1">_xll.BDH($C$178,"ACCOUNTS_RECEIVABLE_SEQ_GROWTH","FQ4 2015","FQ4 2015","Currency=INR","Period=FQ","BEST_FPERIOD_OVERRIDE=FQ","FILING_STATUS=OR","EQY_CONSOLIDATED=Y","Sort=A","Dates=H","DateFormat=P","Fill=—","Direction=H","UseDPDF=Y")</f>
        <v>#NAME?</v>
      </c>
      <c r="BM187" s="2" t="e">
        <f ca="1">_xll.BDH($C$178,"INVENTORY_SEQUENTIAL_GROWTH","FQ4 2015","FQ4 2015","Currency=INR","Period=FQ","BEST_FPERIOD_OVERRIDE=FQ","FILING_STATUS=OR","EQY_CONSOLIDATED=Y","Sort=A","Dates=H","DateFormat=P","Fill=—","Direction=H","UseDPDF=Y")</f>
        <v>#NAME?</v>
      </c>
      <c r="BN187" s="2" t="e">
        <f ca="1">_xll.BDH($C$178,"FIXED_ASSETS_SEQUENTIAL_GROWTH","FQ4 2015","FQ4 2015","Currency=INR","Period=FQ","BEST_FPERIOD_OVERRIDE=FQ","FILING_STATUS=OR","EQY_CONSOLIDATED=Y","Sort=A","Dates=H","DateFormat=P","Fill=—","Direction=H","UseDPDF=Y")</f>
        <v>#NAME?</v>
      </c>
      <c r="BO187" s="2" t="e">
        <f ca="1">_xll.BDH($C$178,"TOTAL_ASSETS_SEQUENTIAL_GROWTH","FQ4 2015","FQ4 2015","Currency=INR","Period=FQ","BEST_FPERIOD_OVERRIDE=FQ","FILING_STATUS=OR","EQY_CONSOLIDATED=Y","Sort=A","Dates=H","DateFormat=P","Fill=—","Direction=H","UseDPDF=Y")</f>
        <v>#NAME?</v>
      </c>
      <c r="BP187" s="2" t="e">
        <f ca="1">_xll.BDH($C$178,"MODIFIED_WORKING_CPTL_SEQ_GRWTH","FQ4 2015","FQ4 2015","Currency=INR","Period=FQ","BEST_FPERIOD_OVERRIDE=FQ","FILING_STATUS=OR","EQY_CONSOLIDATED=Y","Sort=A","Dates=H","DateFormat=P","Fill=—","Direction=H","UseDPDF=Y")</f>
        <v>#NAME?</v>
      </c>
      <c r="BQ187" s="2" t="e">
        <f ca="1">_xll.BDH($C$178,"WORKING_CAPITAL_SEQ_GROWTH","FQ4 2015","FQ4 2015","Currency=INR","Period=FQ","BEST_FPERIOD_OVERRIDE=FQ","FILING_STATUS=OR","EQY_CONSOLIDATED=Y","Sort=A","Dates=H","DateFormat=P","Fill=—","Direction=H","UseDPDF=Y")</f>
        <v>#NAME?</v>
      </c>
      <c r="BR187" s="2" t="e">
        <f ca="1">_xll.BDH($C$178,"ACCOUNTS_PAYABLE_SEQ_GROWTH","FQ4 2015","FQ4 2015","Currency=INR","Period=FQ","BEST_FPERIOD_OVERRIDE=FQ","FILING_STATUS=OR","EQY_CONSOLIDATED=Y","Sort=A","Dates=H","DateFormat=P","Fill=—","Direction=H","UseDPDF=Y")</f>
        <v>#NAME?</v>
      </c>
      <c r="BS187" s="2" t="e">
        <f ca="1">_xll.BDH($C$178,"ST_DEBT_SEQUENTIAL_GROWTH","FQ4 2015","FQ4 2015","Currency=INR","Period=FQ","BEST_FPERIOD_OVERRIDE=FQ","FILING_STATUS=OR","EQY_CONSOLIDATED=Y","Sort=A","Dates=H","DateFormat=P","Fill=—","Direction=H","UseDPDF=Y")</f>
        <v>#NAME?</v>
      </c>
      <c r="BT187" s="2" t="e">
        <f ca="1">_xll.BDH($C$178,"TOTAL_DEBT_SEQUENTIAL_GROWTH","FQ4 2015","FQ4 2015","Currency=INR","Period=FQ","BEST_FPERIOD_OVERRIDE=FQ","FILING_STATUS=OR","EQY_CONSOLIDATED=Y","Sort=A","Dates=H","DateFormat=P","Fill=—","Direction=H","UseDPDF=Y")</f>
        <v>#NAME?</v>
      </c>
      <c r="BU187" s="2" t="e">
        <f ca="1">_xll.BDH($C$178,"TOTAL_EQUITY_SEQUENTIAL_GROWTH","FQ4 2015","FQ4 2015","Currency=INR","Period=FQ","BEST_FPERIOD_OVERRIDE=FQ","FILING_STATUS=OR","EQY_CONSOLIDATED=Y","Sort=A","Dates=H","DateFormat=P","Fill=—","Direction=H","UseDPDF=Y")</f>
        <v>#NAME?</v>
      </c>
      <c r="BV187" s="2" t="e">
        <f ca="1">_xll.BDH($C$178,"TOTAL_CAPITAL_SEQUENTIAL_GROWTH","FQ4 2015","FQ4 2015","Currency=INR","Period=FQ","BEST_FPERIOD_OVERRIDE=FQ","FILING_STATUS=OR","EQY_CONSOLIDATED=Y","Sort=A","Dates=H","DateFormat=P","Fill=—","Direction=H","UseDPDF=Y")</f>
        <v>#NAME?</v>
      </c>
      <c r="BW187" s="2" t="e">
        <f ca="1">_xll.BDH($C$178,"BPS_SEQUENTIAL_GROWTH","FQ4 2015","FQ4 2015","Currency=INR","Period=FQ","BEST_FPERIOD_OVERRIDE=FQ","FILING_STATUS=OR","EQY_CONSOLIDATED=Y","Sort=A","Dates=H","DateFormat=P","Fill=—","Direction=H","UseDPDF=Y")</f>
        <v>#NAME?</v>
      </c>
      <c r="BX187" s="2" t="e">
        <f ca="1">_xll.BDH($C$178,"CFO_SEQUENTIAL_GROWTH","FQ4 2015","FQ4 2015","Currency=INR","Period=FQ","BEST_FPERIOD_OVERRIDE=FQ","FILING_STATUS=OR","EQY_CONSOLIDATED=Y","Sort=A","Dates=H","DateFormat=P","Fill=—","Direction=H","UseDPDF=Y")</f>
        <v>#NAME?</v>
      </c>
      <c r="BY187" s="3" t="e">
        <f ca="1">_xll.BDH($C$178,"SHORT_AND_LONG_TERM_DEBT","FQ4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187" s="3" t="e">
        <f ca="1">_xll.BDH($C$178,"BS_ST_BORROW","FQ4 2015","FQ4 2015","Currency=INR","Period=FQ","BEST_FPERIOD_OVERRIDE=FQ","FILING_STATUS=OR","EQY_CONSOLIDATED=Y","SCALING_FORMAT=MLN","Sort=A","Dates=H","DateFormat=P","Fill=—","Direction=H","UseDPDF=Y")</f>
        <v>#NAME?</v>
      </c>
      <c r="CA187" s="3" t="e">
        <f ca="1">_xll.BDH($C$178,"BS_LT_BORROW","FQ4 2015","FQ4 2015","Currency=INR","Period=FQ","BEST_FPERIOD_OVERRIDE=FQ","FILING_STATUS=OR","EQY_CONSOLIDATED=Y","SCALING_FORMAT=MLN","Sort=A","Dates=H","DateFormat=P","Fill=—","Direction=H","UseDPDF=Y")</f>
        <v>#NAME?</v>
      </c>
      <c r="CB187" s="2" t="e">
        <f ca="1">_xll.BDH($C$178,"TOT_DEBT_TO_EBITDA","FQ4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187" s="2" t="e">
        <f ca="1">_xll.BDH($C$178,"NET_DEBT_TO_EBITDA","FQ4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187" s="2" t="e">
        <f ca="1">_xll.BDH($C$178,"TOTAL_DEBT_TO_EBIT","FQ4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187" s="2" t="e">
        <f ca="1">_xll.BDH($C$178,"NET_DEBT_TO_EBIT","FQ4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187" s="2" t="e">
        <f ca="1">_xll.BDH($C$178,"EBITDA_TO_INTEREST_EXPN","FQ4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187" s="2" t="e">
        <f ca="1">_xll.BDH($C$178,"COM_EQY_TO_TOT_ASSET","FQ4 2015","FQ4 2015","Currency=INR","Period=FQ","BEST_FPERIOD_OVERRIDE=FQ","FILING_STATUS=OR","EQY_CONSOLIDATED=Y","Sort=A","Dates=H","DateFormat=P","Fill=—","Direction=H","UseDPDF=Y")</f>
        <v>#NAME?</v>
      </c>
      <c r="CH187" s="2" t="e">
        <f ca="1">_xll.BDH($C$178,"LT_DEBT_TO_TOT_EQY","FQ4 2015","FQ4 2015","Currency=INR","Period=FQ","BEST_FPERIOD_OVERRIDE=FQ","FILING_STATUS=OR","EQY_CONSOLIDATED=Y","Sort=A","Dates=H","DateFormat=P","Fill=—","Direction=H","UseDPDF=Y")</f>
        <v>#NAME?</v>
      </c>
      <c r="CI187" s="2" t="e">
        <f ca="1">_xll.BDH($C$178,"LT_DEBT_TO_TOT_CAP","FQ4 2015","FQ4 2015","Currency=INR","Period=FQ","BEST_FPERIOD_OVERRIDE=FQ","FILING_STATUS=OR","EQY_CONSOLIDATED=Y","Sort=A","Dates=H","DateFormat=P","Fill=—","Direction=H","UseDPDF=Y")</f>
        <v>#NAME?</v>
      </c>
      <c r="CJ187" s="2" t="e">
        <f ca="1">_xll.BDH($C$178,"LT_DEBT_TO_TOT_ASSET","FQ4 2015","FQ4 2015","Currency=INR","Period=FQ","BEST_FPERIOD_OVERRIDE=FQ","FILING_STATUS=OR","EQY_CONSOLIDATED=Y","Sort=A","Dates=H","DateFormat=P","Fill=—","Direction=H","UseDPDF=Y")</f>
        <v>#NAME?</v>
      </c>
      <c r="CK187" s="2" t="e">
        <f ca="1">_xll.BDH($C$178,"TOT_DEBT_TO_TOT_EQY","FQ4 2015","FQ4 2015","Currency=INR","Period=FQ","BEST_FPERIOD_OVERRIDE=FQ","FILING_STATUS=OR","EQY_CONSOLIDATED=Y","Sort=A","Dates=H","DateFormat=P","Fill=—","Direction=H","UseDPDF=Y")</f>
        <v>#NAME?</v>
      </c>
      <c r="CL187" s="2" t="e">
        <f ca="1">_xll.BDH($C$178,"TOT_DEBT_TO_TOT_CAP","FQ4 2015","FQ4 2015","Currency=INR","Period=FQ","BEST_FPERIOD_OVERRIDE=FQ","FILING_STATUS=OR","EQY_CONSOLIDATED=Y","Sort=A","Dates=H","DateFormat=P","Fill=—","Direction=H","UseDPDF=Y")</f>
        <v>#NAME?</v>
      </c>
      <c r="CM187" s="2" t="e">
        <f ca="1">_xll.BDH($C$178,"TOT_DEBT_TO_TOT_ASSET","FQ4 2015","FQ4 2015","Currency=INR","Period=FQ","BEST_FPERIOD_OVERRIDE=FQ","FILING_STATUS=OR","EQY_CONSOLIDATED=Y","Sort=A","Dates=H","DateFormat=P","Fill=—","Direction=H","UseDPDF=Y")</f>
        <v>#NAME?</v>
      </c>
      <c r="CN187" s="2" t="e">
        <f ca="1">_xll.BDH($C$178,"NET_DEBT_TO_SHRHLDR_EQTY","FQ4 2015","FQ4 2015","Currency=INR","Period=FQ","BEST_FPERIOD_OVERRIDE=FQ","FILING_STATUS=OR","EQY_CONSOLIDATED=Y","Sort=A","Dates=H","DateFormat=P","Fill=—","Direction=H","UseDPDF=Y")</f>
        <v>#NAME?</v>
      </c>
      <c r="CO187" s="2" t="e">
        <f ca="1">_xll.BDH($C$178,"NET_DEBT_%_CAPITAL","FQ4 2015","FQ4 2015","Currency=INR","Period=FQ","BEST_FPERIOD_OVERRIDE=FQ","FILING_STATUS=OR","EQY_CONSOLIDATED=Y","Sort=A","Dates=H","DateFormat=P","Fill=—","Direction=H","UseDPDF=Y")</f>
        <v>#NAME?</v>
      </c>
      <c r="CP187" s="3" t="e">
        <f ca="1">_xll.BDH($C$178,"EBITDA","FQ4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187" s="3" t="e">
        <f ca="1">_xll.BDH($C$178,"EBITDA_AFTER_CAPEX","FQ4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187" s="3" t="e">
        <f ca="1">_xll.BDH($C$178,"IS_OPER_INC","FQ4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187" s="2" t="e">
        <f ca="1">_xll.BDH($C$178,"CASH_RATIO","FQ4 2015","FQ4 2015","Currency=INR","Period=FQ","BEST_FPERIOD_OVERRIDE=FQ","FILING_STATUS=OR","EQY_CONSOLIDATED=Y","Sort=A","Dates=H","DateFormat=P","Fill=—","Direction=H","UseDPDF=Y")</f>
        <v>#NAME?</v>
      </c>
      <c r="CT187" s="2" t="e">
        <f ca="1">_xll.BDH($C$178,"CUR_RATIO","FQ4 2015","FQ4 2015","Currency=INR","Period=FQ","BEST_FPERIOD_OVERRIDE=FQ","FILING_STATUS=OR","EQY_CONSOLIDATED=Y","Sort=A","Dates=H","DateFormat=P","Fill=—","Direction=H","UseDPDF=Y")</f>
        <v>#NAME?</v>
      </c>
      <c r="CU187" s="2" t="e">
        <f ca="1">_xll.BDH($C$178,"QUICK_RATIO","FQ4 2015","FQ4 2015","Currency=INR","Period=FQ","BEST_FPERIOD_OVERRIDE=FQ","FILING_STATUS=OR","EQY_CONSOLIDATED=Y","Sort=A","Dates=H","DateFormat=P","Fill=—","Direction=H","UseDPDF=Y")</f>
        <v>#NAME?</v>
      </c>
      <c r="CV187" s="2" t="e">
        <f ca="1">_xll.BDH($C$178,"ALTMAN_Z_SCORE","FQ4 2015","FQ4 2015","Currency=INR","Period=FQ","BEST_FPERIOD_OVERRIDE=FQ","FILING_STATUS=OR","EQY_CONSOLIDATED=Y","Sort=A","Dates=H","DateFormat=P","Fill=—","Direction=H","UseDPDF=Y")</f>
        <v>#NAME?</v>
      </c>
      <c r="CW187" s="4" t="e">
        <f ca="1">_xll.BDH($C$178,"ACCT_RCV_TURN","FQ4 2015","FQ4 2015","Currency=INR","Period=FQ","BEST_FPERIOD_OVERRIDE=FQ","FILING_STATUS=OR","EQY_CONSOLIDATED=Y","FA_ADJUSTED=GAAP","Sort=A","Dates=H","DateFormat=P","Fill=—","Direction=H","UseDPDF=Y")</f>
        <v>#NAME?</v>
      </c>
      <c r="CX187" s="2" t="e">
        <f ca="1">_xll.BDH($C$178,"ACCT_RCV_DAYS","FQ4 2015","FQ4 2015","Currency=INR","Period=FQ","BEST_FPERIOD_OVERRIDE=FQ","FILING_STATUS=OR","EQY_CONSOLIDATED=Y","FA_ADJUSTED=GAAP","Sort=A","Dates=H","DateFormat=P","Fill=—","Direction=H","UseDPDF=Y")</f>
        <v>#NAME?</v>
      </c>
      <c r="CY187" s="4" t="e">
        <f ca="1">_xll.BDH($C$178,"INVENT_TURN","FQ4 2015","FQ4 2015","Currency=INR","Period=FQ","BEST_FPERIOD_OVERRIDE=FQ","FILING_STATUS=OR","EQY_CONSOLIDATED=Y","FA_ADJUSTED=GAAP","Sort=A","Dates=H","DateFormat=P","Fill=—","Direction=H","UseDPDF=Y")</f>
        <v>#NAME?</v>
      </c>
      <c r="CZ187" s="2" t="e">
        <f ca="1">_xll.BDH($C$178,"INVENT_DAYS","FQ4 2015","FQ4 2015","Currency=INR","Period=FQ","BEST_FPERIOD_OVERRIDE=FQ","FILING_STATUS=OR","EQY_CONSOLIDATED=Y","FA_ADJUSTED=GAAP","Sort=A","Dates=H","DateFormat=P","Fill=—","Direction=H","UseDPDF=Y")</f>
        <v>#NAME?</v>
      </c>
      <c r="DA187" s="4" t="e">
        <f ca="1">_xll.BDH($C$178,"ACCOUNTS_PAYABLE_TURNOVER","FQ4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187" s="2" t="e">
        <f ca="1">_xll.BDH($C$178,"ACCOUNTS_PAYABLE_TURNOVER_DAYS","FQ4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187" s="4" t="e">
        <f ca="1">_xll.BDH($C$178,"CASH_CONVERSION_CYCLE","FQ4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187" s="4" t="e">
        <f ca="1">_xll.BDH($C$178,"INV_TO_CASH_DAYS","FQ4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187" s="5" t="e">
        <f ca="1">_xll.BDH($C$178,"BS_INVENTORIES","FQ4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187" s="3" t="e">
        <f ca="1">_xll.BDH($C$178,"INVTRY_RAW_MATERIALS","FQ4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187" s="3" t="e">
        <f ca="1">_xll.BDH($C$178,"INVTRY_IN_PROGRESS","FQ4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187" s="3" t="e">
        <f ca="1">_xll.BDH($C$178,"INVTRY_FINISHED_GOODS","FQ4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187" s="3" t="e">
        <f ca="1">_xll.BDH($C$178,"BS_OTHER_INV","FQ4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188" spans="1:113" x14ac:dyDescent="0.3">
      <c r="A188" s="6"/>
      <c r="B188" s="6"/>
      <c r="C188" s="6"/>
      <c r="D188" s="6" t="s">
        <v>83</v>
      </c>
      <c r="E188" t="s">
        <v>77</v>
      </c>
      <c r="F188" t="e">
        <f ca="1">_xll.BDH($C$178,"RETURN_COM_EQY","FY 2016","FY 2016","Currency=INR","Period=FY","BEST_FPERIOD_OVERRIDE=FY","FILING_STATUS=OR","EQY_CONSOLIDATED=Y","FA_ADJUSTED=GAAP","Sort=A","Dates=H","DateFormat=P","Fill=—","Direction=H","UseDPDF=Y")</f>
        <v>#NAME?</v>
      </c>
      <c r="G188" t="e">
        <f ca="1">_xll.BDH($C$178,"RETURN_ON_ASSET","FY 2016","FY 2016","Currency=INR","Period=FY","BEST_FPERIOD_OVERRIDE=FY","FILING_STATUS=OR","EQY_CONSOLIDATED=Y","FA_ADJUSTED=GAAP","Sort=A","Dates=H","DateFormat=P","Fill=—","Direction=H","UseDPDF=Y")</f>
        <v>#NAME?</v>
      </c>
      <c r="H188" t="e">
        <f ca="1">_xll.BDH($C$178,"RETURN_ON_CAP","FY 2016","FY 2016","Currency=INR","Period=FY","BEST_FPERIOD_OVERRIDE=FY","FILING_STATUS=OR","EQY_CONSOLIDATED=Y","FA_ADJUSTED=GAAP","Sort=A","Dates=H","DateFormat=P","Fill=—","Direction=H","UseDPDF=Y")</f>
        <v>#NAME?</v>
      </c>
      <c r="I188" t="e">
        <f ca="1">_xll.BDH($C$178,"RETURN_ON_INV_CAPITAL","FY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188" t="e">
        <f ca="1">_xll.BDH($C$178,"EBITDA_TO_REVENUE","FY 2016","FY 2016","Currency=INR","Period=FY","BEST_FPERIOD_OVERRIDE=FY","FILING_STATUS=OR","EQY_CONSOLIDATED=Y","FA_ADJUSTED=GAAP","Sort=A","Dates=H","DateFormat=P","Fill=—","Direction=H","UseDPDF=Y")</f>
        <v>#NAME?</v>
      </c>
      <c r="K188" t="e">
        <f ca="1">_xll.BDH($C$178,"OPER_MARGIN","FY 2016","FY 2016","Currency=INR","Period=FY","BEST_FPERIOD_OVERRIDE=FY","FILING_STATUS=OR","EQY_CONSOLIDATED=Y","FA_ADJUSTED=GAAP","Sort=A","Dates=H","DateFormat=P","Fill=—","Direction=H","UseDPDF=Y")</f>
        <v>#NAME?</v>
      </c>
      <c r="L188" t="e">
        <f ca="1">_xll.BDH($C$178,"INCREMENTAL_OPERATING_MARGIN","FY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188" t="e">
        <f ca="1">_xll.BDH($C$178,"PRETAX_INC_TO_NET_SALES","FY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188" t="e">
        <f ca="1">_xll.BDH($C$178,"INC_BEF_XO_ITEMS_TO_NET_SALES","FY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188" t="e">
        <f ca="1">_xll.BDH($C$178,"PROF_MARGIN","FY 2016","FY 2016","Currency=INR","Period=FY","BEST_FPERIOD_OVERRIDE=FY","FILING_STATUS=OR","EQY_CONSOLIDATED=Y","FA_ADJUSTED=GAAP","Sort=A","Dates=H","DateFormat=P","Fill=—","Direction=H","UseDPDF=Y")</f>
        <v>#NAME?</v>
      </c>
      <c r="P188" t="e">
        <f ca="1">_xll.BDH($C$178,"NET_INCOME_TO_COMMON_MARGIN","FY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188" t="e">
        <f ca="1">_xll.BDH($C$178,"EFF_TAX_RATE","FY 2016","FY 2016","Currency=INR","Period=FY","BEST_FPERIOD_OVERRIDE=FY","FILING_STATUS=OR","EQY_CONSOLIDATED=Y","FA_ADJUSTED=GAAP","Sort=A","Dates=H","DateFormat=P","Fill=—","Direction=H","UseDPDF=Y")</f>
        <v>#NAME?</v>
      </c>
      <c r="R188" t="e">
        <f ca="1">_xll.BDH($C$178,"DVD_PAYOUT_RATIO","FY 2016","FY 2016","Currency=INR","Period=FY","BEST_FPERIOD_OVERRIDE=FY","FILING_STATUS=OR","EQY_CONSOLIDATED=Y","FA_ADJUSTED=GAAP","Sort=A","Dates=H","DateFormat=P","Fill=—","Direction=H","UseDPDF=Y")</f>
        <v>#NAME?</v>
      </c>
      <c r="S188" t="e">
        <f ca="1">_xll.BDH($C$178,"SUSTAIN_GROWTH_RT","FY 2016","FY 2016","Currency=INR","Period=FY","BEST_FPERIOD_OVERRIDE=FY","FILING_STATUS=OR","EQY_CONSOLIDATED=Y","FA_ADJUSTED=GAAP","Sort=A","Dates=H","DateFormat=P","Fill=—","Direction=H","UseDPDF=Y")</f>
        <v>#NAME?</v>
      </c>
      <c r="T188" s="2" t="e">
        <f ca="1">_xll.BDH($C$178,"SALES_GROWTH","FY 2016","FY 2016","Currency=INR","Period=FY","BEST_FPERIOD_OVERRIDE=FY","FILING_STATUS=OR","EQY_CONSOLIDATED=Y","FA_ADJUSTED=GAAP","Sort=A","Dates=H","DateFormat=P","Fill=—","Direction=H","UseDPDF=Y")</f>
        <v>#NAME?</v>
      </c>
      <c r="U188" s="2" t="e">
        <f ca="1">_xll.BDH($C$178,"EBITDA_GROWTH","FY 2016","FY 2016","Currency=INR","Period=FY","BEST_FPERIOD_OVERRIDE=FY","FILING_STATUS=OR","EQY_CONSOLIDATED=Y","FA_ADJUSTED=GAAP","Sort=A","Dates=H","DateFormat=P","Fill=—","Direction=H","UseDPDF=Y")</f>
        <v>#NAME?</v>
      </c>
      <c r="V188" s="2" t="e">
        <f ca="1">_xll.BDH($C$178,"OPER_INC_GROWTH","FY 2016","FY 2016","Currency=INR","Period=FY","BEST_FPERIOD_OVERRIDE=FY","FILING_STATUS=OR","EQY_CONSOLIDATED=Y","FA_ADJUSTED=GAAP","Sort=A","Dates=H","DateFormat=P","Fill=—","Direction=H","UseDPDF=Y")</f>
        <v>#NAME?</v>
      </c>
      <c r="W188" s="2" t="e">
        <f ca="1">_xll.BDH($C$178,"EARN_FOR_COM_GROWTH","FY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188" s="2" t="e">
        <f ca="1">_xll.BDH($C$178,"DILUTED_EPS_AFT_XO_ITEMS_GROWTH","FY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188" s="2" t="e">
        <f ca="1">_xll.BDH($C$178,"DIVIDEND_PER_SHARE_1_YEAR_GROWTH","FY 2016","FY 2016","Currency=INR","Period=FY","BEST_FPERIOD_OVERRIDE=FY","FILING_STATUS=OR","EQY_CONSOLIDATED=Y","Sort=A","Dates=H","DateFormat=P","Fill=—","Direction=H","UseDPDF=Y")</f>
        <v>#NAME?</v>
      </c>
      <c r="Z188" s="2" t="e">
        <f ca="1">_xll.BDH($C$178,"ACCOUNTS_RECEIVABLE_GROWTH","FY 2016","FY 2016","Currency=INR","Period=FY","BEST_FPERIOD_OVERRIDE=FY","FILING_STATUS=OR","EQY_CONSOLIDATED=Y","Sort=A","Dates=H","DateFormat=P","Fill=—","Direction=H","UseDPDF=Y")</f>
        <v>#NAME?</v>
      </c>
      <c r="AA188" s="2" t="e">
        <f ca="1">_xll.BDH($C$178,"INVENTORY_GROWTH","FY 2016","FY 2016","Currency=INR","Period=FY","BEST_FPERIOD_OVERRIDE=FY","FILING_STATUS=OR","EQY_CONSOLIDATED=Y","Sort=A","Dates=H","DateFormat=P","Fill=—","Direction=H","UseDPDF=Y")</f>
        <v>#NAME?</v>
      </c>
      <c r="AB188" s="2" t="e">
        <f ca="1">_xll.BDH($C$178,"NET_FIXED_ASSETS_1_YEAR_GROWTH","FY 2016","FY 2016","Currency=INR","Period=FY","BEST_FPERIOD_OVERRIDE=FY","FILING_STATUS=OR","EQY_CONSOLIDATED=Y","Sort=A","Dates=H","DateFormat=P","Fill=—","Direction=H","UseDPDF=Y")</f>
        <v>#NAME?</v>
      </c>
      <c r="AC188" s="2" t="e">
        <f ca="1">_xll.BDH($C$178,"ASSET_GROWTH","FY 2016","FY 2016","Currency=INR","Period=FY","BEST_FPERIOD_OVERRIDE=FY","FILING_STATUS=OR","EQY_CONSOLIDATED=Y","Sort=A","Dates=H","DateFormat=P","Fill=—","Direction=H","UseDPDF=Y")</f>
        <v>#NAME?</v>
      </c>
      <c r="AD188" s="2" t="e">
        <f ca="1">_xll.BDH($C$178,"MODIFIED_WORK_CAP_GROWTH","FY 2016","FY 2016","Currency=INR","Period=FY","BEST_FPERIOD_OVERRIDE=FY","FILING_STATUS=OR","EQY_CONSOLIDATED=Y","Sort=A","Dates=H","DateFormat=P","Fill=—","Direction=H","UseDPDF=Y")</f>
        <v>#NAME?</v>
      </c>
      <c r="AE188" s="2" t="e">
        <f ca="1">_xll.BDH($C$178,"WORK_CAP_GROWTH","FY 2016","FY 2016","Currency=INR","Period=FY","BEST_FPERIOD_OVERRIDE=FY","FILING_STATUS=OR","EQY_CONSOLIDATED=Y","Sort=A","Dates=H","DateFormat=P","Fill=—","Direction=H","UseDPDF=Y")</f>
        <v>#NAME?</v>
      </c>
      <c r="AF188" s="2" t="e">
        <f ca="1">_xll.BDH($C$178,"ACCOUNTS_PAYABLE_GROWTH_1YR","FY 2016","FY 2016","Currency=INR","Period=FY","BEST_FPERIOD_OVERRIDE=FY","FILING_STATUS=OR","EQY_CONSOLIDATED=Y","Sort=A","Dates=H","DateFormat=P","Fill=—","Direction=H","UseDPDF=Y")</f>
        <v>#NAME?</v>
      </c>
      <c r="AG188" s="2" t="e">
        <f ca="1">_xll.BDH($C$178,"SHORT_TERM_DEBT_1_YEAR_GROWTH","FY 2016","FY 2016","Currency=INR","Period=FY","BEST_FPERIOD_OVERRIDE=FY","FILING_STATUS=OR","EQY_CONSOLIDATED=Y","Sort=A","Dates=H","DateFormat=P","Fill=—","Direction=H","UseDPDF=Y")</f>
        <v>#NAME?</v>
      </c>
      <c r="AH188" s="2" t="e">
        <f ca="1">_xll.BDH($C$178,"TOTAL_DEBT_1_YEAR_GROWTH","FY 2016","FY 2016","Currency=INR","Period=FY","BEST_FPERIOD_OVERRIDE=FY","FILING_STATUS=OR","EQY_CONSOLIDATED=Y","Sort=A","Dates=H","DateFormat=P","Fill=—","Direction=H","UseDPDF=Y")</f>
        <v>#NAME?</v>
      </c>
      <c r="AI188" s="2" t="e">
        <f ca="1">_xll.BDH($C$178,"TOTAL_EQUITY_1_YEAR_GROWTH","FY 2016","FY 2016","Currency=INR","Period=FY","BEST_FPERIOD_OVERRIDE=FY","FILING_STATUS=OR","EQY_CONSOLIDATED=Y","Sort=A","Dates=H","DateFormat=P","Fill=—","Direction=H","UseDPDF=Y")</f>
        <v>#NAME?</v>
      </c>
      <c r="AJ188" s="2" t="e">
        <f ca="1">_xll.BDH($C$178,"GROWTH_IN_CAP","FY 2016","FY 2016","Currency=INR","Period=FY","BEST_FPERIOD_OVERRIDE=FY","FILING_STATUS=OR","EQY_CONSOLIDATED=Y","Sort=A","Dates=H","DateFormat=P","Fill=—","Direction=H","UseDPDF=Y")</f>
        <v>#NAME?</v>
      </c>
      <c r="AK188" s="2" t="e">
        <f ca="1">_xll.BDH($C$178,"BVPS_GROWTH","FY 2016","FY 2016","Currency=INR","Period=FY","BEST_FPERIOD_OVERRIDE=FY","FILING_STATUS=OR","EQY_CONSOLIDATED=Y","Sort=A","Dates=H","DateFormat=P","Fill=—","Direction=H","UseDPDF=Y")</f>
        <v>#NAME?</v>
      </c>
      <c r="AL188" s="2" t="e">
        <f ca="1">_xll.BDH($C$178,"CASH_FLOW_GROWTH","FY 2016","FY 2016","Currency=INR","Period=FY","BEST_FPERIOD_OVERRIDE=FY","FILING_STATUS=OR","EQY_CONSOLIDATED=Y","Sort=A","Dates=H","DateFormat=P","Fill=—","Direction=H","UseDPDF=Y")</f>
        <v>#NAME?</v>
      </c>
      <c r="AM188" s="2" t="e">
        <f ca="1">_xll.BDH($C$178,"GEO_GROW_NET_SALES","FY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188" s="2" t="e">
        <f ca="1">_xll.BDH($C$178,"GEO_GROW_EBITDA","FY 2016","FY 2016","Currency=INR","Period=FY","BEST_FPERIOD_OVERRIDE=FY","FILING_STATUS=OR","EQY_CONSOLIDATED=Y","FA_ADJUSTED=GAAP","Sort=A","Dates=H","DateFormat=P","Fill=—","Direction=H","UseDPDF=Y")</f>
        <v>#NAME?</v>
      </c>
      <c r="AO188" s="2" t="e">
        <f ca="1">_xll.BDH($C$178,"GEO_GROW_OPER_INC","FY 2016","FY 2016","Currency=INR","Period=FY","BEST_FPERIOD_OVERRIDE=FY","FILING_STATUS=OR","EQY_CONSOLIDATED=Y","FA_ADJUSTED=GAAP","Sort=A","Dates=H","DateFormat=P","Fill=—","Direction=H","UseDPDF=Y")</f>
        <v>#NAME?</v>
      </c>
      <c r="AP188" s="2" t="e">
        <f ca="1">_xll.BDH($C$178,"NET_INCOME_TO_COMMON_5_YR_GROWTH","FY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188" s="2" t="e">
        <f ca="1">_xll.BDH($C$178,"5Y_GEO_GROWTH_DILUTED_EPS","FY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188" s="2" t="e">
        <f ca="1">_xll.BDH($C$178,"GEO_GROW_DVD_PER_SH","FY 2016","FY 2016","Currency=INR","Period=FY","BEST_FPERIOD_OVERRIDE=FY","FILING_STATUS=OR","EQY_CONSOLIDATED=Y","Sort=A","Dates=H","DateFormat=P","Fill=—","Direction=H","UseDPDF=Y")</f>
        <v>#NAME?</v>
      </c>
      <c r="AS188" s="2" t="e">
        <f ca="1">_xll.BDH($C$178,"ACCOUNTS_RECEIVABLE_5_YR_GROWTH","FY 2016","FY 2016","Currency=INR","Period=FY","BEST_FPERIOD_OVERRIDE=FY","FILING_STATUS=OR","EQY_CONSOLIDATED=Y","Sort=A","Dates=H","DateFormat=P","Fill=—","Direction=H","UseDPDF=Y")</f>
        <v>#NAME?</v>
      </c>
      <c r="AT188" s="2" t="e">
        <f ca="1">_xll.BDH($C$178,"INVENTORY_5_YEAR_GROWTH","FY 2016","FY 2016","Currency=INR","Period=FY","BEST_FPERIOD_OVERRIDE=FY","FILING_STATUS=OR","EQY_CONSOLIDATED=Y","Sort=A","Dates=H","DateFormat=P","Fill=—","Direction=H","UseDPDF=Y")</f>
        <v>#NAME?</v>
      </c>
      <c r="AU188" s="2" t="e">
        <f ca="1">_xll.BDH($C$178,"NET_FIXED_ASSETS_5_YEAR_GROWTH","FY 2016","FY 2016","Currency=INR","Period=FY","BEST_FPERIOD_OVERRIDE=FY","FILING_STATUS=OR","EQY_CONSOLIDATED=Y","Sort=A","Dates=H","DateFormat=P","Fill=—","Direction=H","UseDPDF=Y")</f>
        <v>#NAME?</v>
      </c>
      <c r="AV188" s="2" t="e">
        <f ca="1">_xll.BDH($C$178,"GEO_GROW_TOT_ASSET","FY 2016","FY 2016","Currency=INR","Period=FY","BEST_FPERIOD_OVERRIDE=FY","FILING_STATUS=OR","EQY_CONSOLIDATED=Y","Sort=A","Dates=H","DateFormat=P","Fill=—","Direction=H","UseDPDF=Y")</f>
        <v>#NAME?</v>
      </c>
      <c r="AW188" s="2" t="e">
        <f ca="1">_xll.BDH($C$178,"MODIFIED_WORKING_CPTL_5YR_GRWTH","FY 2016","FY 2016","Currency=INR","Period=FY","BEST_FPERIOD_OVERRIDE=FY","FILING_STATUS=OR","EQY_CONSOLIDATED=Y","Sort=A","Dates=H","DateFormat=P","Fill=—","Direction=H","UseDPDF=Y")</f>
        <v>#NAME?</v>
      </c>
      <c r="AX188" s="2" t="e">
        <f ca="1">_xll.BDH($C$178,"WORKING_CAPITAL_5_YEAR_GROWTH","FY 2016","FY 2016","Currency=INR","Period=FY","BEST_FPERIOD_OVERRIDE=FY","FILING_STATUS=OR","EQY_CONSOLIDATED=Y","Sort=A","Dates=H","DateFormat=P","Fill=—","Direction=H","UseDPDF=Y")</f>
        <v>#NAME?</v>
      </c>
      <c r="AY188" s="2" t="e">
        <f ca="1">_xll.BDH($C$178,"ACCOUNTS_PAYABLE_5_YEAR_GROWTH","FY 2016","FY 2016","Currency=INR","Period=FY","BEST_FPERIOD_OVERRIDE=FY","FILING_STATUS=OR","EQY_CONSOLIDATED=Y","Sort=A","Dates=H","DateFormat=P","Fill=—","Direction=H","UseDPDF=Y")</f>
        <v>#NAME?</v>
      </c>
      <c r="AZ188" s="2" t="e">
        <f ca="1">_xll.BDH($C$178,"SHORT_TERM_DEBT_5_YEAR_GROWTH","FY 2016","FY 2016","Currency=INR","Period=FY","BEST_FPERIOD_OVERRIDE=FY","FILING_STATUS=OR","EQY_CONSOLIDATED=Y","Sort=A","Dates=H","DateFormat=P","Fill=—","Direction=H","UseDPDF=Y")</f>
        <v>#NAME?</v>
      </c>
      <c r="BA188" s="2" t="e">
        <f ca="1">_xll.BDH($C$178,"TOTAL_DEBT_5_YEAR_GROWTH","FY 2016","FY 2016","Currency=INR","Period=FY","BEST_FPERIOD_OVERRIDE=FY","FILING_STATUS=OR","EQY_CONSOLIDATED=Y","Sort=A","Dates=H","DateFormat=P","Fill=—","Direction=H","UseDPDF=Y")</f>
        <v>#NAME?</v>
      </c>
      <c r="BB188" s="2" t="e">
        <f ca="1">_xll.BDH($C$178,"GEO_GROW_TOT_SHRHLDR_EQY","FY 2016","FY 2016","Currency=INR","Period=FY","BEST_FPERIOD_OVERRIDE=FY","FILING_STATUS=OR","EQY_CONSOLIDATED=Y","Sort=A","Dates=H","DateFormat=P","Fill=—","Direction=H","UseDPDF=Y")</f>
        <v>#NAME?</v>
      </c>
      <c r="BC188" s="2" t="e">
        <f ca="1">_xll.BDH($C$178,"TOTAL_CAPITAL_5_YEAR_GROWTH","FY 2016","FY 2016","Currency=INR","Period=FY","BEST_FPERIOD_OVERRIDE=FY","FILING_STATUS=OR","EQY_CONSOLIDATED=Y","Sort=A","Dates=H","DateFormat=P","Fill=—","Direction=H","UseDPDF=Y")</f>
        <v>#NAME?</v>
      </c>
      <c r="BD188" s="2" t="e">
        <f ca="1">_xll.BDH($C$178,"GEO_GROW_BOOK_VAL","FY 2016","FY 2016","Currency=INR","Period=FY","BEST_FPERIOD_OVERRIDE=FY","FILING_STATUS=OR","EQY_CONSOLIDATED=Y","Sort=A","Dates=H","DateFormat=P","Fill=—","Direction=H","UseDPDF=Y")</f>
        <v>#NAME?</v>
      </c>
      <c r="BE188" s="2" t="e">
        <f ca="1">_xll.BDH($C$178,"GEO_GROW_CASH_OPER_ACT","FY 2016","FY 2016","Currency=INR","Period=FY","BEST_FPERIOD_OVERRIDE=FY","FILING_STATUS=OR","EQY_CONSOLIDATED=Y","Sort=A","Dates=H","DateFormat=P","Fill=—","Direction=H","UseDPDF=Y")</f>
        <v>#NAME?</v>
      </c>
      <c r="BF188" s="2" t="e">
        <f ca="1">_xll.BDH($C$178,"REVENUE_SEQUENTIAL_GROWTH","FY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188" s="2" t="e">
        <f ca="1">_xll.BDH($C$178,"EBITDA_SEQUENTIAL_GROWTH","FY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188" s="2" t="e">
        <f ca="1">_xll.BDH($C$178,"OPERATING_INCOME_SEQ_GROWTH","FY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188" s="2" t="e">
        <f ca="1">_xll.BDH($C$178,"NET_INCOME_TO_COMMON_SEQ_GROWTH","FY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188" s="2" t="e">
        <f ca="1">_xll.BDH($C$178,"EPS_DILUTED_SEQUENTIAL_GROWTH","FY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188" s="2" t="e">
        <f ca="1">_xll.BDH($C$178,"DPS_SEQUENTIAL_GROWTH","FY 2016","FY 2016","Currency=INR","Period=FY","BEST_FPERIOD_OVERRIDE=FY","FILING_STATUS=OR","EQY_CONSOLIDATED=Y","Sort=A","Dates=H","DateFormat=P","Fill=—","Direction=H","UseDPDF=Y")</f>
        <v>#NAME?</v>
      </c>
      <c r="BL188" s="2" t="e">
        <f ca="1">_xll.BDH($C$178,"ACCOUNTS_RECEIVABLE_SEQ_GROWTH","FY 2016","FY 2016","Currency=INR","Period=FY","BEST_FPERIOD_OVERRIDE=FY","FILING_STATUS=OR","EQY_CONSOLIDATED=Y","Sort=A","Dates=H","DateFormat=P","Fill=—","Direction=H","UseDPDF=Y")</f>
        <v>#NAME?</v>
      </c>
      <c r="BM188" s="2" t="e">
        <f ca="1">_xll.BDH($C$178,"INVENTORY_SEQUENTIAL_GROWTH","FY 2016","FY 2016","Currency=INR","Period=FY","BEST_FPERIOD_OVERRIDE=FY","FILING_STATUS=OR","EQY_CONSOLIDATED=Y","Sort=A","Dates=H","DateFormat=P","Fill=—","Direction=H","UseDPDF=Y")</f>
        <v>#NAME?</v>
      </c>
      <c r="BN188" s="2" t="e">
        <f ca="1">_xll.BDH($C$178,"FIXED_ASSETS_SEQUENTIAL_GROWTH","FY 2016","FY 2016","Currency=INR","Period=FY","BEST_FPERIOD_OVERRIDE=FY","FILING_STATUS=OR","EQY_CONSOLIDATED=Y","Sort=A","Dates=H","DateFormat=P","Fill=—","Direction=H","UseDPDF=Y")</f>
        <v>#NAME?</v>
      </c>
      <c r="BO188" s="2" t="e">
        <f ca="1">_xll.BDH($C$178,"TOTAL_ASSETS_SEQUENTIAL_GROWTH","FY 2016","FY 2016","Currency=INR","Period=FY","BEST_FPERIOD_OVERRIDE=FY","FILING_STATUS=OR","EQY_CONSOLIDATED=Y","Sort=A","Dates=H","DateFormat=P","Fill=—","Direction=H","UseDPDF=Y")</f>
        <v>#NAME?</v>
      </c>
      <c r="BP188" s="2" t="e">
        <f ca="1">_xll.BDH($C$178,"MODIFIED_WORKING_CPTL_SEQ_GRWTH","FY 2016","FY 2016","Currency=INR","Period=FY","BEST_FPERIOD_OVERRIDE=FY","FILING_STATUS=OR","EQY_CONSOLIDATED=Y","Sort=A","Dates=H","DateFormat=P","Fill=—","Direction=H","UseDPDF=Y")</f>
        <v>#NAME?</v>
      </c>
      <c r="BQ188" s="2" t="e">
        <f ca="1">_xll.BDH($C$178,"WORKING_CAPITAL_SEQ_GROWTH","FY 2016","FY 2016","Currency=INR","Period=FY","BEST_FPERIOD_OVERRIDE=FY","FILING_STATUS=OR","EQY_CONSOLIDATED=Y","Sort=A","Dates=H","DateFormat=P","Fill=—","Direction=H","UseDPDF=Y")</f>
        <v>#NAME?</v>
      </c>
      <c r="BR188" s="2" t="e">
        <f ca="1">_xll.BDH($C$178,"ACCOUNTS_PAYABLE_SEQ_GROWTH","FY 2016","FY 2016","Currency=INR","Period=FY","BEST_FPERIOD_OVERRIDE=FY","FILING_STATUS=OR","EQY_CONSOLIDATED=Y","Sort=A","Dates=H","DateFormat=P","Fill=—","Direction=H","UseDPDF=Y")</f>
        <v>#NAME?</v>
      </c>
      <c r="BS188" s="2" t="e">
        <f ca="1">_xll.BDH($C$178,"ST_DEBT_SEQUENTIAL_GROWTH","FY 2016","FY 2016","Currency=INR","Period=FY","BEST_FPERIOD_OVERRIDE=FY","FILING_STATUS=OR","EQY_CONSOLIDATED=Y","Sort=A","Dates=H","DateFormat=P","Fill=—","Direction=H","UseDPDF=Y")</f>
        <v>#NAME?</v>
      </c>
      <c r="BT188" s="2" t="e">
        <f ca="1">_xll.BDH($C$178,"TOTAL_DEBT_SEQUENTIAL_GROWTH","FY 2016","FY 2016","Currency=INR","Period=FY","BEST_FPERIOD_OVERRIDE=FY","FILING_STATUS=OR","EQY_CONSOLIDATED=Y","Sort=A","Dates=H","DateFormat=P","Fill=—","Direction=H","UseDPDF=Y")</f>
        <v>#NAME?</v>
      </c>
      <c r="BU188" s="2" t="e">
        <f ca="1">_xll.BDH($C$178,"TOTAL_EQUITY_SEQUENTIAL_GROWTH","FY 2016","FY 2016","Currency=INR","Period=FY","BEST_FPERIOD_OVERRIDE=FY","FILING_STATUS=OR","EQY_CONSOLIDATED=Y","Sort=A","Dates=H","DateFormat=P","Fill=—","Direction=H","UseDPDF=Y")</f>
        <v>#NAME?</v>
      </c>
      <c r="BV188" s="2" t="e">
        <f ca="1">_xll.BDH($C$178,"TOTAL_CAPITAL_SEQUENTIAL_GROWTH","FY 2016","FY 2016","Currency=INR","Period=FY","BEST_FPERIOD_OVERRIDE=FY","FILING_STATUS=OR","EQY_CONSOLIDATED=Y","Sort=A","Dates=H","DateFormat=P","Fill=—","Direction=H","UseDPDF=Y")</f>
        <v>#NAME?</v>
      </c>
      <c r="BW188" s="2" t="e">
        <f ca="1">_xll.BDH($C$178,"BPS_SEQUENTIAL_GROWTH","FY 2016","FY 2016","Currency=INR","Period=FY","BEST_FPERIOD_OVERRIDE=FY","FILING_STATUS=OR","EQY_CONSOLIDATED=Y","Sort=A","Dates=H","DateFormat=P","Fill=—","Direction=H","UseDPDF=Y")</f>
        <v>#NAME?</v>
      </c>
      <c r="BX188" s="2" t="e">
        <f ca="1">_xll.BDH($C$178,"CFO_SEQUENTIAL_GROWTH","FY 2016","FY 2016","Currency=INR","Period=FY","BEST_FPERIOD_OVERRIDE=FY","FILING_STATUS=OR","EQY_CONSOLIDATED=Y","Sort=A","Dates=H","DateFormat=P","Fill=—","Direction=H","UseDPDF=Y")</f>
        <v>#NAME?</v>
      </c>
      <c r="BY188" s="3" t="e">
        <f ca="1">_xll.BDH($C$178,"SHORT_AND_LONG_TERM_DEBT","FY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188" s="3" t="e">
        <f ca="1">_xll.BDH($C$178,"BS_ST_BORROW","FY 2016","FY 2016","Currency=INR","Period=FY","BEST_FPERIOD_OVERRIDE=FY","FILING_STATUS=OR","EQY_CONSOLIDATED=Y","SCALING_FORMAT=MLN","Sort=A","Dates=H","DateFormat=P","Fill=—","Direction=H","UseDPDF=Y")</f>
        <v>#NAME?</v>
      </c>
      <c r="CA188" s="3" t="e">
        <f ca="1">_xll.BDH($C$178,"BS_LT_BORROW","FY 2016","FY 2016","Currency=INR","Period=FY","BEST_FPERIOD_OVERRIDE=FY","FILING_STATUS=OR","EQY_CONSOLIDATED=Y","SCALING_FORMAT=MLN","Sort=A","Dates=H","DateFormat=P","Fill=—","Direction=H","UseDPDF=Y")</f>
        <v>#NAME?</v>
      </c>
      <c r="CB188" s="2" t="e">
        <f ca="1">_xll.BDH($C$178,"TOT_DEBT_TO_EBITDA","FY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188" s="2" t="e">
        <f ca="1">_xll.BDH($C$178,"NET_DEBT_TO_EBITDA","FY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188" s="2" t="e">
        <f ca="1">_xll.BDH($C$178,"TOTAL_DEBT_TO_EBIT","FY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188" s="2" t="e">
        <f ca="1">_xll.BDH($C$178,"NET_DEBT_TO_EBIT","FY 2016","FY 2016","Currency=INR","Period=FY","BEST_FPERIOD_OVERRIDE=FY","FILING_STATUS=OR","EQY_CONSOLIDATED=Y","FA_ADJUSTED=GAAP","Sort=A","Dates=H","DateFormat=P","Fill=—","Direction=H","UseDPDF=Y")</f>
        <v>#NAME?</v>
      </c>
      <c r="CF188" s="2" t="e">
        <f ca="1">_xll.BDH($C$178,"EBITDA_TO_INTEREST_EXPN","FY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188" s="2" t="e">
        <f ca="1">_xll.BDH($C$178,"COM_EQY_TO_TOT_ASSET","FY 2016","FY 2016","Currency=INR","Period=FY","BEST_FPERIOD_OVERRIDE=FY","FILING_STATUS=OR","EQY_CONSOLIDATED=Y","Sort=A","Dates=H","DateFormat=P","Fill=—","Direction=H","UseDPDF=Y")</f>
        <v>#NAME?</v>
      </c>
      <c r="CH188" s="2" t="e">
        <f ca="1">_xll.BDH($C$178,"LT_DEBT_TO_TOT_EQY","FY 2016","FY 2016","Currency=INR","Period=FY","BEST_FPERIOD_OVERRIDE=FY","FILING_STATUS=OR","EQY_CONSOLIDATED=Y","Sort=A","Dates=H","DateFormat=P","Fill=—","Direction=H","UseDPDF=Y")</f>
        <v>#NAME?</v>
      </c>
      <c r="CI188" s="2" t="e">
        <f ca="1">_xll.BDH($C$178,"LT_DEBT_TO_TOT_CAP","FY 2016","FY 2016","Currency=INR","Period=FY","BEST_FPERIOD_OVERRIDE=FY","FILING_STATUS=OR","EQY_CONSOLIDATED=Y","Sort=A","Dates=H","DateFormat=P","Fill=—","Direction=H","UseDPDF=Y")</f>
        <v>#NAME?</v>
      </c>
      <c r="CJ188" s="2" t="e">
        <f ca="1">_xll.BDH($C$178,"LT_DEBT_TO_TOT_ASSET","FY 2016","FY 2016","Currency=INR","Period=FY","BEST_FPERIOD_OVERRIDE=FY","FILING_STATUS=OR","EQY_CONSOLIDATED=Y","Sort=A","Dates=H","DateFormat=P","Fill=—","Direction=H","UseDPDF=Y")</f>
        <v>#NAME?</v>
      </c>
      <c r="CK188" s="2" t="e">
        <f ca="1">_xll.BDH($C$178,"TOT_DEBT_TO_TOT_EQY","FY 2016","FY 2016","Currency=INR","Period=FY","BEST_FPERIOD_OVERRIDE=FY","FILING_STATUS=OR","EQY_CONSOLIDATED=Y","Sort=A","Dates=H","DateFormat=P","Fill=—","Direction=H","UseDPDF=Y")</f>
        <v>#NAME?</v>
      </c>
      <c r="CL188" s="2" t="e">
        <f ca="1">_xll.BDH($C$178,"TOT_DEBT_TO_TOT_CAP","FY 2016","FY 2016","Currency=INR","Period=FY","BEST_FPERIOD_OVERRIDE=FY","FILING_STATUS=OR","EQY_CONSOLIDATED=Y","Sort=A","Dates=H","DateFormat=P","Fill=—","Direction=H","UseDPDF=Y")</f>
        <v>#NAME?</v>
      </c>
      <c r="CM188" s="2" t="e">
        <f ca="1">_xll.BDH($C$178,"TOT_DEBT_TO_TOT_ASSET","FY 2016","FY 2016","Currency=INR","Period=FY","BEST_FPERIOD_OVERRIDE=FY","FILING_STATUS=OR","EQY_CONSOLIDATED=Y","Sort=A","Dates=H","DateFormat=P","Fill=—","Direction=H","UseDPDF=Y")</f>
        <v>#NAME?</v>
      </c>
      <c r="CN188" s="2" t="e">
        <f ca="1">_xll.BDH($C$178,"NET_DEBT_TO_SHRHLDR_EQTY","FY 2016","FY 2016","Currency=INR","Period=FY","BEST_FPERIOD_OVERRIDE=FY","FILING_STATUS=OR","EQY_CONSOLIDATED=Y","Sort=A","Dates=H","DateFormat=P","Fill=—","Direction=H","UseDPDF=Y")</f>
        <v>#NAME?</v>
      </c>
      <c r="CO188" s="2" t="e">
        <f ca="1">_xll.BDH($C$178,"NET_DEBT_%_CAPITAL","FY 2016","FY 2016","Currency=INR","Period=FY","BEST_FPERIOD_OVERRIDE=FY","FILING_STATUS=OR","EQY_CONSOLIDATED=Y","Sort=A","Dates=H","DateFormat=P","Fill=—","Direction=H","UseDPDF=Y")</f>
        <v>#NAME?</v>
      </c>
      <c r="CP188" s="3" t="e">
        <f ca="1">_xll.BDH($C$178,"EBITDA","FY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188" s="3" t="e">
        <f ca="1">_xll.BDH($C$178,"EBITDA_AFTER_CAPEX","FY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188" s="3" t="e">
        <f ca="1">_xll.BDH($C$178,"IS_OPER_INC","FY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188" s="2" t="e">
        <f ca="1">_xll.BDH($C$178,"CASH_RATIO","FY 2016","FY 2016","Currency=INR","Period=FY","BEST_FPERIOD_OVERRIDE=FY","FILING_STATUS=OR","EQY_CONSOLIDATED=Y","Sort=A","Dates=H","DateFormat=P","Fill=—","Direction=H","UseDPDF=Y")</f>
        <v>#NAME?</v>
      </c>
      <c r="CT188" s="2" t="e">
        <f ca="1">_xll.BDH($C$178,"CUR_RATIO","FY 2016","FY 2016","Currency=INR","Period=FY","BEST_FPERIOD_OVERRIDE=FY","FILING_STATUS=OR","EQY_CONSOLIDATED=Y","Sort=A","Dates=H","DateFormat=P","Fill=—","Direction=H","UseDPDF=Y")</f>
        <v>#NAME?</v>
      </c>
      <c r="CU188" s="2" t="e">
        <f ca="1">_xll.BDH($C$178,"QUICK_RATIO","FY 2016","FY 2016","Currency=INR","Period=FY","BEST_FPERIOD_OVERRIDE=FY","FILING_STATUS=OR","EQY_CONSOLIDATED=Y","Sort=A","Dates=H","DateFormat=P","Fill=—","Direction=H","UseDPDF=Y")</f>
        <v>#NAME?</v>
      </c>
      <c r="CV188" s="2" t="e">
        <f ca="1">_xll.BDH($C$178,"ALTMAN_Z_SCORE","FY 2016","FY 2016","Currency=INR","Period=FY","BEST_FPERIOD_OVERRIDE=FY","FILING_STATUS=OR","EQY_CONSOLIDATED=Y","Sort=A","Dates=H","DateFormat=P","Fill=—","Direction=H","UseDPDF=Y")</f>
        <v>#NAME?</v>
      </c>
      <c r="CW188" s="4" t="e">
        <f ca="1">_xll.BDH($C$178,"ACCT_RCV_TURN","FY 2016","FY 2016","Currency=INR","Period=FY","BEST_FPERIOD_OVERRIDE=FY","FILING_STATUS=OR","EQY_CONSOLIDATED=Y","FA_ADJUSTED=GAAP","Sort=A","Dates=H","DateFormat=P","Fill=—","Direction=H","UseDPDF=Y")</f>
        <v>#NAME?</v>
      </c>
      <c r="CX188" s="2" t="e">
        <f ca="1">_xll.BDH($C$178,"ACCT_RCV_DAYS","FY 2016","FY 2016","Currency=INR","Period=FY","BEST_FPERIOD_OVERRIDE=FY","FILING_STATUS=OR","EQY_CONSOLIDATED=Y","FA_ADJUSTED=GAAP","Sort=A","Dates=H","DateFormat=P","Fill=—","Direction=H","UseDPDF=Y")</f>
        <v>#NAME?</v>
      </c>
      <c r="CY188" s="4" t="e">
        <f ca="1">_xll.BDH($C$178,"INVENT_TURN","FY 2016","FY 2016","Currency=INR","Period=FY","BEST_FPERIOD_OVERRIDE=FY","FILING_STATUS=OR","EQY_CONSOLIDATED=Y","FA_ADJUSTED=GAAP","Sort=A","Dates=H","DateFormat=P","Fill=—","Direction=H","UseDPDF=Y")</f>
        <v>#NAME?</v>
      </c>
      <c r="CZ188" s="2" t="e">
        <f ca="1">_xll.BDH($C$178,"INVENT_DAYS","FY 2016","FY 2016","Currency=INR","Period=FY","BEST_FPERIOD_OVERRIDE=FY","FILING_STATUS=OR","EQY_CONSOLIDATED=Y","FA_ADJUSTED=GAAP","Sort=A","Dates=H","DateFormat=P","Fill=—","Direction=H","UseDPDF=Y")</f>
        <v>#NAME?</v>
      </c>
      <c r="DA188" s="4" t="e">
        <f ca="1">_xll.BDH($C$178,"ACCOUNTS_PAYABLE_TURNOVER","FY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188" s="2" t="e">
        <f ca="1">_xll.BDH($C$178,"ACCOUNTS_PAYABLE_TURNOVER_DAYS","FY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188" s="4" t="e">
        <f ca="1">_xll.BDH($C$178,"CASH_CONVERSION_CYCLE","FY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188" s="4" t="e">
        <f ca="1">_xll.BDH($C$178,"INV_TO_CASH_DAYS","FY 2016","FY 2016","Currency=INR","Period=FY","BEST_FPERIOD_OVERRIDE=FY","FILING_STATUS=OR","EQY_CONSOLIDATED=Y","FA_ADJUSTED=GAAP","Sort=A","Dates=H","DateFormat=P","Fill=—","Direction=H","UseDPDF=Y")</f>
        <v>#NAME?</v>
      </c>
      <c r="DE188" s="5" t="e">
        <f ca="1">_xll.BDH($C$178,"BS_INVENTORIES","FY 2016","FY 2016","Currency=INR","Period=FY","BEST_FPERIOD_OVERRIDE=FY","FILING_STATUS=OR","EQY_CONSOLIDATED=Y","SCALING_FORMAT=MLN","Sort=A","Dates=H","DateFormat=P","Fill=—","Direction=H","UseDPDF=Y")</f>
        <v>#NAME?</v>
      </c>
      <c r="DF188" s="3" t="e">
        <f ca="1">_xll.BDH($C$178,"INVTRY_RAW_MATERIALS","FY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188" s="3" t="e">
        <f ca="1">_xll.BDH($C$178,"INVTRY_IN_PROGRESS","FY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188" s="3" t="e">
        <f ca="1">_xll.BDH($C$178,"INVTRY_FINISHED_GOODS","FY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188" s="3" t="e">
        <f ca="1">_xll.BDH($C$178,"BS_OTHER_INV","FY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189" spans="1:113" x14ac:dyDescent="0.3">
      <c r="A189" s="6"/>
      <c r="B189" s="6"/>
      <c r="C189" s="6"/>
      <c r="D189" s="6"/>
      <c r="E189" t="s">
        <v>78</v>
      </c>
      <c r="F189" t="e">
        <f ca="1">_xll.BDH($C$178,"RETURN_COM_EQY","FQ1 2016","FQ1 2016","Currency=INR","Period=FQ","BEST_FPERIOD_OVERRIDE=FQ","FILING_STATUS=OR","EQY_CONSOLIDATED=Y","FA_ADJUSTED=GAAP","Sort=A","Dates=H","DateFormat=P","Fill=—","Direction=H","UseDPDF=Y")</f>
        <v>#NAME?</v>
      </c>
      <c r="G189" t="e">
        <f ca="1">_xll.BDH($C$178,"RETURN_ON_ASSET","FQ1 2016","FQ1 2016","Currency=INR","Period=FQ","BEST_FPERIOD_OVERRIDE=FQ","FILING_STATUS=OR","EQY_CONSOLIDATED=Y","FA_ADJUSTED=GAAP","Sort=A","Dates=H","DateFormat=P","Fill=—","Direction=H","UseDPDF=Y")</f>
        <v>#NAME?</v>
      </c>
      <c r="H189" t="e">
        <f ca="1">_xll.BDH($C$178,"RETURN_ON_CAP","FQ1 2016","FQ1 2016","Currency=INR","Period=FQ","BEST_FPERIOD_OVERRIDE=FQ","FILING_STATUS=OR","EQY_CONSOLIDATED=Y","FA_ADJUSTED=GAAP","Sort=A","Dates=H","DateFormat=P","Fill=—","Direction=H","UseDPDF=Y")</f>
        <v>#NAME?</v>
      </c>
      <c r="I189" t="e">
        <f ca="1">_xll.BDH($C$178,"RETURN_ON_INV_CAPITAL","FQ1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189" t="e">
        <f ca="1">_xll.BDH($C$178,"EBITDA_TO_REVENUE","FQ1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189" t="e">
        <f ca="1">_xll.BDH($C$178,"OPER_MARGIN","FQ1 2016","FQ1 2016","Currency=INR","Period=FQ","BEST_FPERIOD_OVERRIDE=FQ","FILING_STATUS=OR","EQY_CONSOLIDATED=Y","FA_ADJUSTED=GAAP","Sort=A","Dates=H","DateFormat=P","Fill=—","Direction=H","UseDPDF=Y")</f>
        <v>#NAME?</v>
      </c>
      <c r="L189" t="e">
        <f ca="1">_xll.BDH($C$178,"INCREMENTAL_OPERATING_MARGIN","FQ1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189" t="e">
        <f ca="1">_xll.BDH($C$178,"PRETAX_INC_TO_NET_SALES","FQ1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189" t="e">
        <f ca="1">_xll.BDH($C$178,"INC_BEF_XO_ITEMS_TO_NET_SALES","FQ1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189" t="e">
        <f ca="1">_xll.BDH($C$178,"PROF_MARGIN","FQ1 2016","FQ1 2016","Currency=INR","Period=FQ","BEST_FPERIOD_OVERRIDE=FQ","FILING_STATUS=OR","EQY_CONSOLIDATED=Y","FA_ADJUSTED=GAAP","Sort=A","Dates=H","DateFormat=P","Fill=—","Direction=H","UseDPDF=Y")</f>
        <v>#NAME?</v>
      </c>
      <c r="P189" t="e">
        <f ca="1">_xll.BDH($C$178,"NET_INCOME_TO_COMMON_MARGIN","FQ1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189" t="e">
        <f ca="1">_xll.BDH($C$178,"EFF_TAX_RATE","FQ1 2016","FQ1 2016","Currency=INR","Period=FQ","BEST_FPERIOD_OVERRIDE=FQ","FILING_STATUS=OR","EQY_CONSOLIDATED=Y","FA_ADJUSTED=GAAP","Sort=A","Dates=H","DateFormat=P","Fill=—","Direction=H","UseDPDF=Y")</f>
        <v>#NAME?</v>
      </c>
      <c r="R189" t="e">
        <f ca="1">_xll.BDH($C$178,"DVD_PAYOUT_RATIO","FQ1 2016","FQ1 2016","Currency=INR","Period=FQ","BEST_FPERIOD_OVERRIDE=FQ","FILING_STATUS=OR","EQY_CONSOLIDATED=Y","FA_ADJUSTED=GAAP","Sort=A","Dates=H","DateFormat=P","Fill=—","Direction=H","UseDPDF=Y")</f>
        <v>#NAME?</v>
      </c>
      <c r="S189" t="e">
        <f ca="1">_xll.BDH($C$178,"SUSTAIN_GROWTH_RT","FQ1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189" s="2" t="e">
        <f ca="1">_xll.BDH($C$178,"SALES_GROWTH","FQ1 2016","FQ1 2016","Currency=INR","Period=FQ","BEST_FPERIOD_OVERRIDE=FQ","FILING_STATUS=OR","EQY_CONSOLIDATED=Y","FA_ADJUSTED=GAAP","Sort=A","Dates=H","DateFormat=P","Fill=—","Direction=H","UseDPDF=Y")</f>
        <v>#NAME?</v>
      </c>
      <c r="U189" s="2" t="e">
        <f ca="1">_xll.BDH($C$178,"EBITDA_GROWTH","FQ1 2016","FQ1 2016","Currency=INR","Period=FQ","BEST_FPERIOD_OVERRIDE=FQ","FILING_STATUS=OR","EQY_CONSOLIDATED=Y","FA_ADJUSTED=GAAP","Sort=A","Dates=H","DateFormat=P","Fill=—","Direction=H","UseDPDF=Y")</f>
        <v>#NAME?</v>
      </c>
      <c r="V189" s="2" t="e">
        <f ca="1">_xll.BDH($C$178,"OPER_INC_GROWTH","FQ1 2016","FQ1 2016","Currency=INR","Period=FQ","BEST_FPERIOD_OVERRIDE=FQ","FILING_STATUS=OR","EQY_CONSOLIDATED=Y","FA_ADJUSTED=GAAP","Sort=A","Dates=H","DateFormat=P","Fill=—","Direction=H","UseDPDF=Y")</f>
        <v>#NAME?</v>
      </c>
      <c r="W189" s="2" t="e">
        <f ca="1">_xll.BDH($C$178,"EARN_FOR_COM_GROWTH","FQ1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189" s="2" t="e">
        <f ca="1">_xll.BDH($C$178,"DILUTED_EPS_AFT_XO_ITEMS_GROWTH","FQ1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189" s="2" t="e">
        <f ca="1">_xll.BDH($C$178,"DIVIDEND_PER_SHARE_1_YEAR_GROWTH","FQ1 2016","FQ1 2016","Currency=INR","Period=FQ","BEST_FPERIOD_OVERRIDE=FQ","FILING_STATUS=OR","EQY_CONSOLIDATED=Y","Sort=A","Dates=H","DateFormat=P","Fill=—","Direction=H","UseDPDF=Y")</f>
        <v>#NAME?</v>
      </c>
      <c r="Z189" s="2" t="e">
        <f ca="1">_xll.BDH($C$178,"ACCOUNTS_RECEIVABLE_GROWTH","FQ1 2016","FQ1 2016","Currency=INR","Period=FQ","BEST_FPERIOD_OVERRIDE=FQ","FILING_STATUS=OR","EQY_CONSOLIDATED=Y","Sort=A","Dates=H","DateFormat=P","Fill=—","Direction=H","UseDPDF=Y")</f>
        <v>#NAME?</v>
      </c>
      <c r="AA189" s="2" t="e">
        <f ca="1">_xll.BDH($C$178,"INVENTORY_GROWTH","FQ1 2016","FQ1 2016","Currency=INR","Period=FQ","BEST_FPERIOD_OVERRIDE=FQ","FILING_STATUS=OR","EQY_CONSOLIDATED=Y","Sort=A","Dates=H","DateFormat=P","Fill=—","Direction=H","UseDPDF=Y")</f>
        <v>#NAME?</v>
      </c>
      <c r="AB189" s="2" t="e">
        <f ca="1">_xll.BDH($C$178,"NET_FIXED_ASSETS_1_YEAR_GROWTH","FQ1 2016","FQ1 2016","Currency=INR","Period=FQ","BEST_FPERIOD_OVERRIDE=FQ","FILING_STATUS=OR","EQY_CONSOLIDATED=Y","Sort=A","Dates=H","DateFormat=P","Fill=—","Direction=H","UseDPDF=Y")</f>
        <v>#NAME?</v>
      </c>
      <c r="AC189" s="2" t="e">
        <f ca="1">_xll.BDH($C$178,"ASSET_GROWTH","FQ1 2016","FQ1 2016","Currency=INR","Period=FQ","BEST_FPERIOD_OVERRIDE=FQ","FILING_STATUS=OR","EQY_CONSOLIDATED=Y","Sort=A","Dates=H","DateFormat=P","Fill=—","Direction=H","UseDPDF=Y")</f>
        <v>#NAME?</v>
      </c>
      <c r="AD189" s="2" t="e">
        <f ca="1">_xll.BDH($C$178,"MODIFIED_WORK_CAP_GROWTH","FQ1 2016","FQ1 2016","Currency=INR","Period=FQ","BEST_FPERIOD_OVERRIDE=FQ","FILING_STATUS=OR","EQY_CONSOLIDATED=Y","Sort=A","Dates=H","DateFormat=P","Fill=—","Direction=H","UseDPDF=Y")</f>
        <v>#NAME?</v>
      </c>
      <c r="AE189" s="2" t="e">
        <f ca="1">_xll.BDH($C$178,"WORK_CAP_GROWTH","FQ1 2016","FQ1 2016","Currency=INR","Period=FQ","BEST_FPERIOD_OVERRIDE=FQ","FILING_STATUS=OR","EQY_CONSOLIDATED=Y","Sort=A","Dates=H","DateFormat=P","Fill=—","Direction=H","UseDPDF=Y")</f>
        <v>#NAME?</v>
      </c>
      <c r="AF189" s="2" t="e">
        <f ca="1">_xll.BDH($C$178,"ACCOUNTS_PAYABLE_GROWTH_1YR","FQ1 2016","FQ1 2016","Currency=INR","Period=FQ","BEST_FPERIOD_OVERRIDE=FQ","FILING_STATUS=OR","EQY_CONSOLIDATED=Y","Sort=A","Dates=H","DateFormat=P","Fill=—","Direction=H","UseDPDF=Y")</f>
        <v>#NAME?</v>
      </c>
      <c r="AG189" s="2" t="e">
        <f ca="1">_xll.BDH($C$178,"SHORT_TERM_DEBT_1_YEAR_GROWTH","FQ1 2016","FQ1 2016","Currency=INR","Period=FQ","BEST_FPERIOD_OVERRIDE=FQ","FILING_STATUS=OR","EQY_CONSOLIDATED=Y","Sort=A","Dates=H","DateFormat=P","Fill=—","Direction=H","UseDPDF=Y")</f>
        <v>#NAME?</v>
      </c>
      <c r="AH189" s="2" t="e">
        <f ca="1">_xll.BDH($C$178,"TOTAL_DEBT_1_YEAR_GROWTH","FQ1 2016","FQ1 2016","Currency=INR","Period=FQ","BEST_FPERIOD_OVERRIDE=FQ","FILING_STATUS=OR","EQY_CONSOLIDATED=Y","Sort=A","Dates=H","DateFormat=P","Fill=—","Direction=H","UseDPDF=Y")</f>
        <v>#NAME?</v>
      </c>
      <c r="AI189" s="2" t="e">
        <f ca="1">_xll.BDH($C$178,"TOTAL_EQUITY_1_YEAR_GROWTH","FQ1 2016","FQ1 2016","Currency=INR","Period=FQ","BEST_FPERIOD_OVERRIDE=FQ","FILING_STATUS=OR","EQY_CONSOLIDATED=Y","Sort=A","Dates=H","DateFormat=P","Fill=—","Direction=H","UseDPDF=Y")</f>
        <v>#NAME?</v>
      </c>
      <c r="AJ189" s="2" t="e">
        <f ca="1">_xll.BDH($C$178,"GROWTH_IN_CAP","FQ1 2016","FQ1 2016","Currency=INR","Period=FQ","BEST_FPERIOD_OVERRIDE=FQ","FILING_STATUS=OR","EQY_CONSOLIDATED=Y","Sort=A","Dates=H","DateFormat=P","Fill=—","Direction=H","UseDPDF=Y")</f>
        <v>#NAME?</v>
      </c>
      <c r="AK189" s="2" t="e">
        <f ca="1">_xll.BDH($C$178,"BVPS_GROWTH","FQ1 2016","FQ1 2016","Currency=INR","Period=FQ","BEST_FPERIOD_OVERRIDE=FQ","FILING_STATUS=OR","EQY_CONSOLIDATED=Y","Sort=A","Dates=H","DateFormat=P","Fill=—","Direction=H","UseDPDF=Y")</f>
        <v>#NAME?</v>
      </c>
      <c r="AL189" s="2" t="e">
        <f ca="1">_xll.BDH($C$178,"CASH_FLOW_GROWTH","FQ1 2016","FQ1 2016","Currency=INR","Period=FQ","BEST_FPERIOD_OVERRIDE=FQ","FILING_STATUS=OR","EQY_CONSOLIDATED=Y","Sort=A","Dates=H","DateFormat=P","Fill=—","Direction=H","UseDPDF=Y")</f>
        <v>#NAME?</v>
      </c>
      <c r="AM189" s="2" t="e">
        <f ca="1">_xll.BDH($C$178,"GEO_GROW_NET_SALES","FQ1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189" s="2" t="e">
        <f ca="1">_xll.BDH($C$178,"GEO_GROW_EBITDA","FQ1 2016","FQ1 2016","Currency=INR","Period=FQ","BEST_FPERIOD_OVERRIDE=FQ","FILING_STATUS=OR","EQY_CONSOLIDATED=Y","FA_ADJUSTED=GAAP","Sort=A","Dates=H","DateFormat=P","Fill=—","Direction=H","UseDPDF=Y")</f>
        <v>#NAME?</v>
      </c>
      <c r="AO189" s="2" t="e">
        <f ca="1">_xll.BDH($C$178,"GEO_GROW_OPER_INC","FQ1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189" s="2" t="e">
        <f ca="1">_xll.BDH($C$178,"NET_INCOME_TO_COMMON_5_YR_GROWTH","FQ1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189" s="2" t="e">
        <f ca="1">_xll.BDH($C$178,"5Y_GEO_GROWTH_DILUTED_EPS","FQ1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189" s="2" t="e">
        <f ca="1">_xll.BDH($C$178,"GEO_GROW_DVD_PER_SH","FQ1 2016","FQ1 2016","Currency=INR","Period=FQ","BEST_FPERIOD_OVERRIDE=FQ","FILING_STATUS=OR","EQY_CONSOLIDATED=Y","Sort=A","Dates=H","DateFormat=P","Fill=—","Direction=H","UseDPDF=Y")</f>
        <v>#NAME?</v>
      </c>
      <c r="AS189" s="2" t="e">
        <f ca="1">_xll.BDH($C$178,"ACCOUNTS_RECEIVABLE_5_YR_GROWTH","FQ1 2016","FQ1 2016","Currency=INR","Period=FQ","BEST_FPERIOD_OVERRIDE=FQ","FILING_STATUS=OR","EQY_CONSOLIDATED=Y","Sort=A","Dates=H","DateFormat=P","Fill=—","Direction=H","UseDPDF=Y")</f>
        <v>#NAME?</v>
      </c>
      <c r="AT189" s="2" t="e">
        <f ca="1">_xll.BDH($C$178,"INVENTORY_5_YEAR_GROWTH","FQ1 2016","FQ1 2016","Currency=INR","Period=FQ","BEST_FPERIOD_OVERRIDE=FQ","FILING_STATUS=OR","EQY_CONSOLIDATED=Y","Sort=A","Dates=H","DateFormat=P","Fill=—","Direction=H","UseDPDF=Y")</f>
        <v>#NAME?</v>
      </c>
      <c r="AU189" s="2" t="e">
        <f ca="1">_xll.BDH($C$178,"NET_FIXED_ASSETS_5_YEAR_GROWTH","FQ1 2016","FQ1 2016","Currency=INR","Period=FQ","BEST_FPERIOD_OVERRIDE=FQ","FILING_STATUS=OR","EQY_CONSOLIDATED=Y","Sort=A","Dates=H","DateFormat=P","Fill=—","Direction=H","UseDPDF=Y")</f>
        <v>#NAME?</v>
      </c>
      <c r="AV189" s="2" t="e">
        <f ca="1">_xll.BDH($C$178,"GEO_GROW_TOT_ASSET","FQ1 2016","FQ1 2016","Currency=INR","Period=FQ","BEST_FPERIOD_OVERRIDE=FQ","FILING_STATUS=OR","EQY_CONSOLIDATED=Y","Sort=A","Dates=H","DateFormat=P","Fill=—","Direction=H","UseDPDF=Y")</f>
        <v>#NAME?</v>
      </c>
      <c r="AW189" s="2" t="e">
        <f ca="1">_xll.BDH($C$178,"MODIFIED_WORKING_CPTL_5YR_GRWTH","FQ1 2016","FQ1 2016","Currency=INR","Period=FQ","BEST_FPERIOD_OVERRIDE=FQ","FILING_STATUS=OR","EQY_CONSOLIDATED=Y","Sort=A","Dates=H","DateFormat=P","Fill=—","Direction=H","UseDPDF=Y")</f>
        <v>#NAME?</v>
      </c>
      <c r="AX189" s="2" t="e">
        <f ca="1">_xll.BDH($C$178,"WORKING_CAPITAL_5_YEAR_GROWTH","FQ1 2016","FQ1 2016","Currency=INR","Period=FQ","BEST_FPERIOD_OVERRIDE=FQ","FILING_STATUS=OR","EQY_CONSOLIDATED=Y","Sort=A","Dates=H","DateFormat=P","Fill=—","Direction=H","UseDPDF=Y")</f>
        <v>#NAME?</v>
      </c>
      <c r="AY189" s="2" t="e">
        <f ca="1">_xll.BDH($C$178,"ACCOUNTS_PAYABLE_5_YEAR_GROWTH","FQ1 2016","FQ1 2016","Currency=INR","Period=FQ","BEST_FPERIOD_OVERRIDE=FQ","FILING_STATUS=OR","EQY_CONSOLIDATED=Y","Sort=A","Dates=H","DateFormat=P","Fill=—","Direction=H","UseDPDF=Y")</f>
        <v>#NAME?</v>
      </c>
      <c r="AZ189" s="2" t="e">
        <f ca="1">_xll.BDH($C$178,"SHORT_TERM_DEBT_5_YEAR_GROWTH","FQ1 2016","FQ1 2016","Currency=INR","Period=FQ","BEST_FPERIOD_OVERRIDE=FQ","FILING_STATUS=OR","EQY_CONSOLIDATED=Y","Sort=A","Dates=H","DateFormat=P","Fill=—","Direction=H","UseDPDF=Y")</f>
        <v>#NAME?</v>
      </c>
      <c r="BA189" s="2" t="e">
        <f ca="1">_xll.BDH($C$178,"TOTAL_DEBT_5_YEAR_GROWTH","FQ1 2016","FQ1 2016","Currency=INR","Period=FQ","BEST_FPERIOD_OVERRIDE=FQ","FILING_STATUS=OR","EQY_CONSOLIDATED=Y","Sort=A","Dates=H","DateFormat=P","Fill=—","Direction=H","UseDPDF=Y")</f>
        <v>#NAME?</v>
      </c>
      <c r="BB189" s="2" t="e">
        <f ca="1">_xll.BDH($C$178,"GEO_GROW_TOT_SHRHLDR_EQY","FQ1 2016","FQ1 2016","Currency=INR","Period=FQ","BEST_FPERIOD_OVERRIDE=FQ","FILING_STATUS=OR","EQY_CONSOLIDATED=Y","Sort=A","Dates=H","DateFormat=P","Fill=—","Direction=H","UseDPDF=Y")</f>
        <v>#NAME?</v>
      </c>
      <c r="BC189" s="2" t="e">
        <f ca="1">_xll.BDH($C$178,"TOTAL_CAPITAL_5_YEAR_GROWTH","FQ1 2016","FQ1 2016","Currency=INR","Period=FQ","BEST_FPERIOD_OVERRIDE=FQ","FILING_STATUS=OR","EQY_CONSOLIDATED=Y","Sort=A","Dates=H","DateFormat=P","Fill=—","Direction=H","UseDPDF=Y")</f>
        <v>#NAME?</v>
      </c>
      <c r="BD189" s="2" t="e">
        <f ca="1">_xll.BDH($C$178,"GEO_GROW_BOOK_VAL","FQ1 2016","FQ1 2016","Currency=INR","Period=FQ","BEST_FPERIOD_OVERRIDE=FQ","FILING_STATUS=OR","EQY_CONSOLIDATED=Y","Sort=A","Dates=H","DateFormat=P","Fill=—","Direction=H","UseDPDF=Y")</f>
        <v>#NAME?</v>
      </c>
      <c r="BE189" s="2" t="e">
        <f ca="1">_xll.BDH($C$178,"GEO_GROW_CASH_OPER_ACT","FQ1 2016","FQ1 2016","Currency=INR","Period=FQ","BEST_FPERIOD_OVERRIDE=FQ","FILING_STATUS=OR","EQY_CONSOLIDATED=Y","Sort=A","Dates=H","DateFormat=P","Fill=—","Direction=H","UseDPDF=Y")</f>
        <v>#NAME?</v>
      </c>
      <c r="BF189" s="2" t="e">
        <f ca="1">_xll.BDH($C$178,"REVENUE_SEQUENTIAL_GROWTH","FQ1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189" s="2" t="e">
        <f ca="1">_xll.BDH($C$178,"EBITDA_SEQUENTIAL_GROWTH","FQ1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189" s="2" t="e">
        <f ca="1">_xll.BDH($C$178,"OPERATING_INCOME_SEQ_GROWTH","FQ1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189" s="2" t="e">
        <f ca="1">_xll.BDH($C$178,"NET_INCOME_TO_COMMON_SEQ_GROWTH","FQ1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189" s="2" t="e">
        <f ca="1">_xll.BDH($C$178,"EPS_DILUTED_SEQUENTIAL_GROWTH","FQ1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189" s="2" t="e">
        <f ca="1">_xll.BDH($C$178,"DPS_SEQUENTIAL_GROWTH","FQ1 2016","FQ1 2016","Currency=INR","Period=FQ","BEST_FPERIOD_OVERRIDE=FQ","FILING_STATUS=OR","EQY_CONSOLIDATED=Y","Sort=A","Dates=H","DateFormat=P","Fill=—","Direction=H","UseDPDF=Y")</f>
        <v>#NAME?</v>
      </c>
      <c r="BL189" s="2" t="e">
        <f ca="1">_xll.BDH($C$178,"ACCOUNTS_RECEIVABLE_SEQ_GROWTH","FQ1 2016","FQ1 2016","Currency=INR","Period=FQ","BEST_FPERIOD_OVERRIDE=FQ","FILING_STATUS=OR","EQY_CONSOLIDATED=Y","Sort=A","Dates=H","DateFormat=P","Fill=—","Direction=H","UseDPDF=Y")</f>
        <v>#NAME?</v>
      </c>
      <c r="BM189" s="2" t="e">
        <f ca="1">_xll.BDH($C$178,"INVENTORY_SEQUENTIAL_GROWTH","FQ1 2016","FQ1 2016","Currency=INR","Period=FQ","BEST_FPERIOD_OVERRIDE=FQ","FILING_STATUS=OR","EQY_CONSOLIDATED=Y","Sort=A","Dates=H","DateFormat=P","Fill=—","Direction=H","UseDPDF=Y")</f>
        <v>#NAME?</v>
      </c>
      <c r="BN189" s="2" t="e">
        <f ca="1">_xll.BDH($C$178,"FIXED_ASSETS_SEQUENTIAL_GROWTH","FQ1 2016","FQ1 2016","Currency=INR","Period=FQ","BEST_FPERIOD_OVERRIDE=FQ","FILING_STATUS=OR","EQY_CONSOLIDATED=Y","Sort=A","Dates=H","DateFormat=P","Fill=—","Direction=H","UseDPDF=Y")</f>
        <v>#NAME?</v>
      </c>
      <c r="BO189" s="2" t="e">
        <f ca="1">_xll.BDH($C$178,"TOTAL_ASSETS_SEQUENTIAL_GROWTH","FQ1 2016","FQ1 2016","Currency=INR","Period=FQ","BEST_FPERIOD_OVERRIDE=FQ","FILING_STATUS=OR","EQY_CONSOLIDATED=Y","Sort=A","Dates=H","DateFormat=P","Fill=—","Direction=H","UseDPDF=Y")</f>
        <v>#NAME?</v>
      </c>
      <c r="BP189" s="2" t="e">
        <f ca="1">_xll.BDH($C$178,"MODIFIED_WORKING_CPTL_SEQ_GRWTH","FQ1 2016","FQ1 2016","Currency=INR","Period=FQ","BEST_FPERIOD_OVERRIDE=FQ","FILING_STATUS=OR","EQY_CONSOLIDATED=Y","Sort=A","Dates=H","DateFormat=P","Fill=—","Direction=H","UseDPDF=Y")</f>
        <v>#NAME?</v>
      </c>
      <c r="BQ189" s="2" t="e">
        <f ca="1">_xll.BDH($C$178,"WORKING_CAPITAL_SEQ_GROWTH","FQ1 2016","FQ1 2016","Currency=INR","Period=FQ","BEST_FPERIOD_OVERRIDE=FQ","FILING_STATUS=OR","EQY_CONSOLIDATED=Y","Sort=A","Dates=H","DateFormat=P","Fill=—","Direction=H","UseDPDF=Y")</f>
        <v>#NAME?</v>
      </c>
      <c r="BR189" s="2" t="e">
        <f ca="1">_xll.BDH($C$178,"ACCOUNTS_PAYABLE_SEQ_GROWTH","FQ1 2016","FQ1 2016","Currency=INR","Period=FQ","BEST_FPERIOD_OVERRIDE=FQ","FILING_STATUS=OR","EQY_CONSOLIDATED=Y","Sort=A","Dates=H","DateFormat=P","Fill=—","Direction=H","UseDPDF=Y")</f>
        <v>#NAME?</v>
      </c>
      <c r="BS189" s="2" t="e">
        <f ca="1">_xll.BDH($C$178,"ST_DEBT_SEQUENTIAL_GROWTH","FQ1 2016","FQ1 2016","Currency=INR","Period=FQ","BEST_FPERIOD_OVERRIDE=FQ","FILING_STATUS=OR","EQY_CONSOLIDATED=Y","Sort=A","Dates=H","DateFormat=P","Fill=—","Direction=H","UseDPDF=Y")</f>
        <v>#NAME?</v>
      </c>
      <c r="BT189" s="2" t="e">
        <f ca="1">_xll.BDH($C$178,"TOTAL_DEBT_SEQUENTIAL_GROWTH","FQ1 2016","FQ1 2016","Currency=INR","Period=FQ","BEST_FPERIOD_OVERRIDE=FQ","FILING_STATUS=OR","EQY_CONSOLIDATED=Y","Sort=A","Dates=H","DateFormat=P","Fill=—","Direction=H","UseDPDF=Y")</f>
        <v>#NAME?</v>
      </c>
      <c r="BU189" s="2" t="e">
        <f ca="1">_xll.BDH($C$178,"TOTAL_EQUITY_SEQUENTIAL_GROWTH","FQ1 2016","FQ1 2016","Currency=INR","Period=FQ","BEST_FPERIOD_OVERRIDE=FQ","FILING_STATUS=OR","EQY_CONSOLIDATED=Y","Sort=A","Dates=H","DateFormat=P","Fill=—","Direction=H","UseDPDF=Y")</f>
        <v>#NAME?</v>
      </c>
      <c r="BV189" s="2" t="e">
        <f ca="1">_xll.BDH($C$178,"TOTAL_CAPITAL_SEQUENTIAL_GROWTH","FQ1 2016","FQ1 2016","Currency=INR","Period=FQ","BEST_FPERIOD_OVERRIDE=FQ","FILING_STATUS=OR","EQY_CONSOLIDATED=Y","Sort=A","Dates=H","DateFormat=P","Fill=—","Direction=H","UseDPDF=Y")</f>
        <v>#NAME?</v>
      </c>
      <c r="BW189" s="2" t="e">
        <f ca="1">_xll.BDH($C$178,"BPS_SEQUENTIAL_GROWTH","FQ1 2016","FQ1 2016","Currency=INR","Period=FQ","BEST_FPERIOD_OVERRIDE=FQ","FILING_STATUS=OR","EQY_CONSOLIDATED=Y","Sort=A","Dates=H","DateFormat=P","Fill=—","Direction=H","UseDPDF=Y")</f>
        <v>#NAME?</v>
      </c>
      <c r="BX189" s="2" t="e">
        <f ca="1">_xll.BDH($C$178,"CFO_SEQUENTIAL_GROWTH","FQ1 2016","FQ1 2016","Currency=INR","Period=FQ","BEST_FPERIOD_OVERRIDE=FQ","FILING_STATUS=OR","EQY_CONSOLIDATED=Y","Sort=A","Dates=H","DateFormat=P","Fill=—","Direction=H","UseDPDF=Y")</f>
        <v>#NAME?</v>
      </c>
      <c r="BY189" s="3" t="e">
        <f ca="1">_xll.BDH($C$178,"SHORT_AND_LONG_TERM_DEBT","FQ1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189" s="3" t="e">
        <f ca="1">_xll.BDH($C$178,"BS_ST_BORROW","FQ1 2016","FQ1 2016","Currency=INR","Period=FQ","BEST_FPERIOD_OVERRIDE=FQ","FILING_STATUS=OR","EQY_CONSOLIDATED=Y","SCALING_FORMAT=MLN","Sort=A","Dates=H","DateFormat=P","Fill=—","Direction=H","UseDPDF=Y")</f>
        <v>#NAME?</v>
      </c>
      <c r="CA189" s="3" t="e">
        <f ca="1">_xll.BDH($C$178,"BS_LT_BORROW","FQ1 2016","FQ1 2016","Currency=INR","Period=FQ","BEST_FPERIOD_OVERRIDE=FQ","FILING_STATUS=OR","EQY_CONSOLIDATED=Y","SCALING_FORMAT=MLN","Sort=A","Dates=H","DateFormat=P","Fill=—","Direction=H","UseDPDF=Y")</f>
        <v>#NAME?</v>
      </c>
      <c r="CB189" s="2" t="e">
        <f ca="1">_xll.BDH($C$178,"TOT_DEBT_TO_EBITDA","FQ1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189" s="2" t="e">
        <f ca="1">_xll.BDH($C$178,"NET_DEBT_TO_EBITDA","FQ1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189" s="2" t="e">
        <f ca="1">_xll.BDH($C$178,"TOTAL_DEBT_TO_EBIT","FQ1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189" s="2" t="e">
        <f ca="1">_xll.BDH($C$178,"NET_DEBT_TO_EBIT","FQ1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189" s="2" t="e">
        <f ca="1">_xll.BDH($C$178,"EBITDA_TO_INTEREST_EXPN","FQ1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189" s="2" t="e">
        <f ca="1">_xll.BDH($C$178,"COM_EQY_TO_TOT_ASSET","FQ1 2016","FQ1 2016","Currency=INR","Period=FQ","BEST_FPERIOD_OVERRIDE=FQ","FILING_STATUS=OR","EQY_CONSOLIDATED=Y","Sort=A","Dates=H","DateFormat=P","Fill=—","Direction=H","UseDPDF=Y")</f>
        <v>#NAME?</v>
      </c>
      <c r="CH189" s="2" t="e">
        <f ca="1">_xll.BDH($C$178,"LT_DEBT_TO_TOT_EQY","FQ1 2016","FQ1 2016","Currency=INR","Period=FQ","BEST_FPERIOD_OVERRIDE=FQ","FILING_STATUS=OR","EQY_CONSOLIDATED=Y","Sort=A","Dates=H","DateFormat=P","Fill=—","Direction=H","UseDPDF=Y")</f>
        <v>#NAME?</v>
      </c>
      <c r="CI189" s="2" t="e">
        <f ca="1">_xll.BDH($C$178,"LT_DEBT_TO_TOT_CAP","FQ1 2016","FQ1 2016","Currency=INR","Period=FQ","BEST_FPERIOD_OVERRIDE=FQ","FILING_STATUS=OR","EQY_CONSOLIDATED=Y","Sort=A","Dates=H","DateFormat=P","Fill=—","Direction=H","UseDPDF=Y")</f>
        <v>#NAME?</v>
      </c>
      <c r="CJ189" s="2" t="e">
        <f ca="1">_xll.BDH($C$178,"LT_DEBT_TO_TOT_ASSET","FQ1 2016","FQ1 2016","Currency=INR","Period=FQ","BEST_FPERIOD_OVERRIDE=FQ","FILING_STATUS=OR","EQY_CONSOLIDATED=Y","Sort=A","Dates=H","DateFormat=P","Fill=—","Direction=H","UseDPDF=Y")</f>
        <v>#NAME?</v>
      </c>
      <c r="CK189" s="2" t="e">
        <f ca="1">_xll.BDH($C$178,"TOT_DEBT_TO_TOT_EQY","FQ1 2016","FQ1 2016","Currency=INR","Period=FQ","BEST_FPERIOD_OVERRIDE=FQ","FILING_STATUS=OR","EQY_CONSOLIDATED=Y","Sort=A","Dates=H","DateFormat=P","Fill=—","Direction=H","UseDPDF=Y")</f>
        <v>#NAME?</v>
      </c>
      <c r="CL189" s="2" t="e">
        <f ca="1">_xll.BDH($C$178,"TOT_DEBT_TO_TOT_CAP","FQ1 2016","FQ1 2016","Currency=INR","Period=FQ","BEST_FPERIOD_OVERRIDE=FQ","FILING_STATUS=OR","EQY_CONSOLIDATED=Y","Sort=A","Dates=H","DateFormat=P","Fill=—","Direction=H","UseDPDF=Y")</f>
        <v>#NAME?</v>
      </c>
      <c r="CM189" s="2" t="e">
        <f ca="1">_xll.BDH($C$178,"TOT_DEBT_TO_TOT_ASSET","FQ1 2016","FQ1 2016","Currency=INR","Period=FQ","BEST_FPERIOD_OVERRIDE=FQ","FILING_STATUS=OR","EQY_CONSOLIDATED=Y","Sort=A","Dates=H","DateFormat=P","Fill=—","Direction=H","UseDPDF=Y")</f>
        <v>#NAME?</v>
      </c>
      <c r="CN189" s="2" t="e">
        <f ca="1">_xll.BDH($C$178,"NET_DEBT_TO_SHRHLDR_EQTY","FQ1 2016","FQ1 2016","Currency=INR","Period=FQ","BEST_FPERIOD_OVERRIDE=FQ","FILING_STATUS=OR","EQY_CONSOLIDATED=Y","Sort=A","Dates=H","DateFormat=P","Fill=—","Direction=H","UseDPDF=Y")</f>
        <v>#NAME?</v>
      </c>
      <c r="CO189" s="2" t="e">
        <f ca="1">_xll.BDH($C$178,"NET_DEBT_%_CAPITAL","FQ1 2016","FQ1 2016","Currency=INR","Period=FQ","BEST_FPERIOD_OVERRIDE=FQ","FILING_STATUS=OR","EQY_CONSOLIDATED=Y","Sort=A","Dates=H","DateFormat=P","Fill=—","Direction=H","UseDPDF=Y")</f>
        <v>#NAME?</v>
      </c>
      <c r="CP189" s="3" t="e">
        <f ca="1">_xll.BDH($C$178,"EBITDA","FQ1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189" s="3" t="e">
        <f ca="1">_xll.BDH($C$178,"EBITDA_AFTER_CAPEX","FQ1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189" s="3" t="e">
        <f ca="1">_xll.BDH($C$178,"IS_OPER_INC","FQ1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189" s="2" t="e">
        <f ca="1">_xll.BDH($C$178,"CASH_RATIO","FQ1 2016","FQ1 2016","Currency=INR","Period=FQ","BEST_FPERIOD_OVERRIDE=FQ","FILING_STATUS=OR","EQY_CONSOLIDATED=Y","Sort=A","Dates=H","DateFormat=P","Fill=—","Direction=H","UseDPDF=Y")</f>
        <v>#NAME?</v>
      </c>
      <c r="CT189" s="2" t="e">
        <f ca="1">_xll.BDH($C$178,"CUR_RATIO","FQ1 2016","FQ1 2016","Currency=INR","Period=FQ","BEST_FPERIOD_OVERRIDE=FQ","FILING_STATUS=OR","EQY_CONSOLIDATED=Y","Sort=A","Dates=H","DateFormat=P","Fill=—","Direction=H","UseDPDF=Y")</f>
        <v>#NAME?</v>
      </c>
      <c r="CU189" s="2" t="e">
        <f ca="1">_xll.BDH($C$178,"QUICK_RATIO","FQ1 2016","FQ1 2016","Currency=INR","Period=FQ","BEST_FPERIOD_OVERRIDE=FQ","FILING_STATUS=OR","EQY_CONSOLIDATED=Y","Sort=A","Dates=H","DateFormat=P","Fill=—","Direction=H","UseDPDF=Y")</f>
        <v>#NAME?</v>
      </c>
      <c r="CV189" s="2" t="e">
        <f ca="1">_xll.BDH($C$178,"ALTMAN_Z_SCORE","FQ1 2016","FQ1 2016","Currency=INR","Period=FQ","BEST_FPERIOD_OVERRIDE=FQ","FILING_STATUS=OR","EQY_CONSOLIDATED=Y","Sort=A","Dates=H","DateFormat=P","Fill=—","Direction=H","UseDPDF=Y")</f>
        <v>#NAME?</v>
      </c>
      <c r="CW189" s="4" t="e">
        <f ca="1">_xll.BDH($C$178,"ACCT_RCV_TURN","FQ1 2016","FQ1 2016","Currency=INR","Period=FQ","BEST_FPERIOD_OVERRIDE=FQ","FILING_STATUS=OR","EQY_CONSOLIDATED=Y","FA_ADJUSTED=GAAP","Sort=A","Dates=H","DateFormat=P","Fill=—","Direction=H","UseDPDF=Y")</f>
        <v>#NAME?</v>
      </c>
      <c r="CX189" s="2" t="e">
        <f ca="1">_xll.BDH($C$178,"ACCT_RCV_DAYS","FQ1 2016","FQ1 2016","Currency=INR","Period=FQ","BEST_FPERIOD_OVERRIDE=FQ","FILING_STATUS=OR","EQY_CONSOLIDATED=Y","FA_ADJUSTED=GAAP","Sort=A","Dates=H","DateFormat=P","Fill=—","Direction=H","UseDPDF=Y")</f>
        <v>#NAME?</v>
      </c>
      <c r="CY189" s="4" t="e">
        <f ca="1">_xll.BDH($C$178,"INVENT_TURN","FQ1 2016","FQ1 2016","Currency=INR","Period=FQ","BEST_FPERIOD_OVERRIDE=FQ","FILING_STATUS=OR","EQY_CONSOLIDATED=Y","FA_ADJUSTED=GAAP","Sort=A","Dates=H","DateFormat=P","Fill=—","Direction=H","UseDPDF=Y")</f>
        <v>#NAME?</v>
      </c>
      <c r="CZ189" s="2" t="e">
        <f ca="1">_xll.BDH($C$178,"INVENT_DAYS","FQ1 2016","FQ1 2016","Currency=INR","Period=FQ","BEST_FPERIOD_OVERRIDE=FQ","FILING_STATUS=OR","EQY_CONSOLIDATED=Y","FA_ADJUSTED=GAAP","Sort=A","Dates=H","DateFormat=P","Fill=—","Direction=H","UseDPDF=Y")</f>
        <v>#NAME?</v>
      </c>
      <c r="DA189" s="4" t="e">
        <f ca="1">_xll.BDH($C$178,"ACCOUNTS_PAYABLE_TURNOVER","FQ1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189" s="2" t="e">
        <f ca="1">_xll.BDH($C$178,"ACCOUNTS_PAYABLE_TURNOVER_DAYS","FQ1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189" s="4" t="e">
        <f ca="1">_xll.BDH($C$178,"CASH_CONVERSION_CYCLE","FQ1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189" s="4" t="e">
        <f ca="1">_xll.BDH($C$178,"INV_TO_CASH_DAYS","FQ1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189" s="5" t="e">
        <f ca="1">_xll.BDH($C$178,"BS_INVENTORIES","FQ1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189" s="3" t="e">
        <f ca="1">_xll.BDH($C$178,"INVTRY_RAW_MATERIALS","FQ1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189" s="3" t="e">
        <f ca="1">_xll.BDH($C$178,"INVTRY_IN_PROGRESS","FQ1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189" s="3" t="e">
        <f ca="1">_xll.BDH($C$178,"INVTRY_FINISHED_GOODS","FQ1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189" s="3" t="e">
        <f ca="1">_xll.BDH($C$178,"BS_OTHER_INV","FQ1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190" spans="1:113" x14ac:dyDescent="0.3">
      <c r="A190" s="6"/>
      <c r="B190" s="6"/>
      <c r="C190" s="6"/>
      <c r="D190" s="6"/>
      <c r="E190" t="s">
        <v>79</v>
      </c>
      <c r="F190" t="e">
        <f ca="1">_xll.BDH($C$178,"RETURN_COM_EQY","FQ2 2016","FQ2 2016","Currency=INR","Period=FQ","BEST_FPERIOD_OVERRIDE=FQ","FILING_STATUS=OR","EQY_CONSOLIDATED=Y","FA_ADJUSTED=GAAP","Sort=A","Dates=H","DateFormat=P","Fill=—","Direction=H","UseDPDF=Y")</f>
        <v>#NAME?</v>
      </c>
      <c r="G190" t="e">
        <f ca="1">_xll.BDH($C$178,"RETURN_ON_ASSET","FQ2 2016","FQ2 2016","Currency=INR","Period=FQ","BEST_FPERIOD_OVERRIDE=FQ","FILING_STATUS=OR","EQY_CONSOLIDATED=Y","FA_ADJUSTED=GAAP","Sort=A","Dates=H","DateFormat=P","Fill=—","Direction=H","UseDPDF=Y")</f>
        <v>#NAME?</v>
      </c>
      <c r="H190" t="e">
        <f ca="1">_xll.BDH($C$178,"RETURN_ON_CAP","FQ2 2016","FQ2 2016","Currency=INR","Period=FQ","BEST_FPERIOD_OVERRIDE=FQ","FILING_STATUS=OR","EQY_CONSOLIDATED=Y","FA_ADJUSTED=GAAP","Sort=A","Dates=H","DateFormat=P","Fill=—","Direction=H","UseDPDF=Y")</f>
        <v>#NAME?</v>
      </c>
      <c r="I190" t="e">
        <f ca="1">_xll.BDH($C$178,"RETURN_ON_INV_CAPITAL","FQ2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190" t="e">
        <f ca="1">_xll.BDH($C$178,"EBITDA_TO_REVENUE","FQ2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190" t="e">
        <f ca="1">_xll.BDH($C$178,"OPER_MARGIN","FQ2 2016","FQ2 2016","Currency=INR","Period=FQ","BEST_FPERIOD_OVERRIDE=FQ","FILING_STATUS=OR","EQY_CONSOLIDATED=Y","FA_ADJUSTED=GAAP","Sort=A","Dates=H","DateFormat=P","Fill=—","Direction=H","UseDPDF=Y")</f>
        <v>#NAME?</v>
      </c>
      <c r="L190" t="e">
        <f ca="1">_xll.BDH($C$178,"INCREMENTAL_OPERATING_MARGIN","FQ2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190" t="e">
        <f ca="1">_xll.BDH($C$178,"PRETAX_INC_TO_NET_SALES","FQ2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190" t="e">
        <f ca="1">_xll.BDH($C$178,"INC_BEF_XO_ITEMS_TO_NET_SALES","FQ2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190" t="e">
        <f ca="1">_xll.BDH($C$178,"PROF_MARGIN","FQ2 2016","FQ2 2016","Currency=INR","Period=FQ","BEST_FPERIOD_OVERRIDE=FQ","FILING_STATUS=OR","EQY_CONSOLIDATED=Y","FA_ADJUSTED=GAAP","Sort=A","Dates=H","DateFormat=P","Fill=—","Direction=H","UseDPDF=Y")</f>
        <v>#NAME?</v>
      </c>
      <c r="P190" t="e">
        <f ca="1">_xll.BDH($C$178,"NET_INCOME_TO_COMMON_MARGIN","FQ2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190" t="e">
        <f ca="1">_xll.BDH($C$178,"EFF_TAX_RATE","FQ2 2016","FQ2 2016","Currency=INR","Period=FQ","BEST_FPERIOD_OVERRIDE=FQ","FILING_STATUS=OR","EQY_CONSOLIDATED=Y","FA_ADJUSTED=GAAP","Sort=A","Dates=H","DateFormat=P","Fill=—","Direction=H","UseDPDF=Y")</f>
        <v>#NAME?</v>
      </c>
      <c r="R190" t="e">
        <f ca="1">_xll.BDH($C$178,"DVD_PAYOUT_RATIO","FQ2 2016","FQ2 2016","Currency=INR","Period=FQ","BEST_FPERIOD_OVERRIDE=FQ","FILING_STATUS=OR","EQY_CONSOLIDATED=Y","FA_ADJUSTED=GAAP","Sort=A","Dates=H","DateFormat=P","Fill=—","Direction=H","UseDPDF=Y")</f>
        <v>#NAME?</v>
      </c>
      <c r="S190" t="e">
        <f ca="1">_xll.BDH($C$178,"SUSTAIN_GROWTH_RT","FQ2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190" s="2" t="e">
        <f ca="1">_xll.BDH($C$178,"SALES_GROWTH","FQ2 2016","FQ2 2016","Currency=INR","Period=FQ","BEST_FPERIOD_OVERRIDE=FQ","FILING_STATUS=OR","EQY_CONSOLIDATED=Y","FA_ADJUSTED=GAAP","Sort=A","Dates=H","DateFormat=P","Fill=—","Direction=H","UseDPDF=Y")</f>
        <v>#NAME?</v>
      </c>
      <c r="U190" s="2" t="e">
        <f ca="1">_xll.BDH($C$178,"EBITDA_GROWTH","FQ2 2016","FQ2 2016","Currency=INR","Period=FQ","BEST_FPERIOD_OVERRIDE=FQ","FILING_STATUS=OR","EQY_CONSOLIDATED=Y","FA_ADJUSTED=GAAP","Sort=A","Dates=H","DateFormat=P","Fill=—","Direction=H","UseDPDF=Y")</f>
        <v>#NAME?</v>
      </c>
      <c r="V190" s="2" t="e">
        <f ca="1">_xll.BDH($C$178,"OPER_INC_GROWTH","FQ2 2016","FQ2 2016","Currency=INR","Period=FQ","BEST_FPERIOD_OVERRIDE=FQ","FILING_STATUS=OR","EQY_CONSOLIDATED=Y","FA_ADJUSTED=GAAP","Sort=A","Dates=H","DateFormat=P","Fill=—","Direction=H","UseDPDF=Y")</f>
        <v>#NAME?</v>
      </c>
      <c r="W190" s="2" t="e">
        <f ca="1">_xll.BDH($C$178,"EARN_FOR_COM_GROWTH","FQ2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190" s="2" t="e">
        <f ca="1">_xll.BDH($C$178,"DILUTED_EPS_AFT_XO_ITEMS_GROWTH","FQ2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190" s="2" t="e">
        <f ca="1">_xll.BDH($C$178,"DIVIDEND_PER_SHARE_1_YEAR_GROWTH","FQ2 2016","FQ2 2016","Currency=INR","Period=FQ","BEST_FPERIOD_OVERRIDE=FQ","FILING_STATUS=OR","EQY_CONSOLIDATED=Y","Sort=A","Dates=H","DateFormat=P","Fill=—","Direction=H","UseDPDF=Y")</f>
        <v>#NAME?</v>
      </c>
      <c r="Z190" s="2" t="e">
        <f ca="1">_xll.BDH($C$178,"ACCOUNTS_RECEIVABLE_GROWTH","FQ2 2016","FQ2 2016","Currency=INR","Period=FQ","BEST_FPERIOD_OVERRIDE=FQ","FILING_STATUS=OR","EQY_CONSOLIDATED=Y","Sort=A","Dates=H","DateFormat=P","Fill=—","Direction=H","UseDPDF=Y")</f>
        <v>#NAME?</v>
      </c>
      <c r="AA190" s="2" t="e">
        <f ca="1">_xll.BDH($C$178,"INVENTORY_GROWTH","FQ2 2016","FQ2 2016","Currency=INR","Period=FQ","BEST_FPERIOD_OVERRIDE=FQ","FILING_STATUS=OR","EQY_CONSOLIDATED=Y","Sort=A","Dates=H","DateFormat=P","Fill=—","Direction=H","UseDPDF=Y")</f>
        <v>#NAME?</v>
      </c>
      <c r="AB190" s="2" t="e">
        <f ca="1">_xll.BDH($C$178,"NET_FIXED_ASSETS_1_YEAR_GROWTH","FQ2 2016","FQ2 2016","Currency=INR","Period=FQ","BEST_FPERIOD_OVERRIDE=FQ","FILING_STATUS=OR","EQY_CONSOLIDATED=Y","Sort=A","Dates=H","DateFormat=P","Fill=—","Direction=H","UseDPDF=Y")</f>
        <v>#NAME?</v>
      </c>
      <c r="AC190" s="2" t="e">
        <f ca="1">_xll.BDH($C$178,"ASSET_GROWTH","FQ2 2016","FQ2 2016","Currency=INR","Period=FQ","BEST_FPERIOD_OVERRIDE=FQ","FILING_STATUS=OR","EQY_CONSOLIDATED=Y","Sort=A","Dates=H","DateFormat=P","Fill=—","Direction=H","UseDPDF=Y")</f>
        <v>#NAME?</v>
      </c>
      <c r="AD190" s="2" t="e">
        <f ca="1">_xll.BDH($C$178,"MODIFIED_WORK_CAP_GROWTH","FQ2 2016","FQ2 2016","Currency=INR","Period=FQ","BEST_FPERIOD_OVERRIDE=FQ","FILING_STATUS=OR","EQY_CONSOLIDATED=Y","Sort=A","Dates=H","DateFormat=P","Fill=—","Direction=H","UseDPDF=Y")</f>
        <v>#NAME?</v>
      </c>
      <c r="AE190" s="2" t="e">
        <f ca="1">_xll.BDH($C$178,"WORK_CAP_GROWTH","FQ2 2016","FQ2 2016","Currency=INR","Period=FQ","BEST_FPERIOD_OVERRIDE=FQ","FILING_STATUS=OR","EQY_CONSOLIDATED=Y","Sort=A","Dates=H","DateFormat=P","Fill=—","Direction=H","UseDPDF=Y")</f>
        <v>#NAME?</v>
      </c>
      <c r="AF190" s="2" t="e">
        <f ca="1">_xll.BDH($C$178,"ACCOUNTS_PAYABLE_GROWTH_1YR","FQ2 2016","FQ2 2016","Currency=INR","Period=FQ","BEST_FPERIOD_OVERRIDE=FQ","FILING_STATUS=OR","EQY_CONSOLIDATED=Y","Sort=A","Dates=H","DateFormat=P","Fill=—","Direction=H","UseDPDF=Y")</f>
        <v>#NAME?</v>
      </c>
      <c r="AG190" s="2" t="e">
        <f ca="1">_xll.BDH($C$178,"SHORT_TERM_DEBT_1_YEAR_GROWTH","FQ2 2016","FQ2 2016","Currency=INR","Period=FQ","BEST_FPERIOD_OVERRIDE=FQ","FILING_STATUS=OR","EQY_CONSOLIDATED=Y","Sort=A","Dates=H","DateFormat=P","Fill=—","Direction=H","UseDPDF=Y")</f>
        <v>#NAME?</v>
      </c>
      <c r="AH190" s="2" t="e">
        <f ca="1">_xll.BDH($C$178,"TOTAL_DEBT_1_YEAR_GROWTH","FQ2 2016","FQ2 2016","Currency=INR","Period=FQ","BEST_FPERIOD_OVERRIDE=FQ","FILING_STATUS=OR","EQY_CONSOLIDATED=Y","Sort=A","Dates=H","DateFormat=P","Fill=—","Direction=H","UseDPDF=Y")</f>
        <v>#NAME?</v>
      </c>
      <c r="AI190" s="2" t="e">
        <f ca="1">_xll.BDH($C$178,"TOTAL_EQUITY_1_YEAR_GROWTH","FQ2 2016","FQ2 2016","Currency=INR","Period=FQ","BEST_FPERIOD_OVERRIDE=FQ","FILING_STATUS=OR","EQY_CONSOLIDATED=Y","Sort=A","Dates=H","DateFormat=P","Fill=—","Direction=H","UseDPDF=Y")</f>
        <v>#NAME?</v>
      </c>
      <c r="AJ190" s="2" t="e">
        <f ca="1">_xll.BDH($C$178,"GROWTH_IN_CAP","FQ2 2016","FQ2 2016","Currency=INR","Period=FQ","BEST_FPERIOD_OVERRIDE=FQ","FILING_STATUS=OR","EQY_CONSOLIDATED=Y","Sort=A","Dates=H","DateFormat=P","Fill=—","Direction=H","UseDPDF=Y")</f>
        <v>#NAME?</v>
      </c>
      <c r="AK190" s="2" t="e">
        <f ca="1">_xll.BDH($C$178,"BVPS_GROWTH","FQ2 2016","FQ2 2016","Currency=INR","Period=FQ","BEST_FPERIOD_OVERRIDE=FQ","FILING_STATUS=OR","EQY_CONSOLIDATED=Y","Sort=A","Dates=H","DateFormat=P","Fill=—","Direction=H","UseDPDF=Y")</f>
        <v>#NAME?</v>
      </c>
      <c r="AL190" s="2" t="e">
        <f ca="1">_xll.BDH($C$178,"CASH_FLOW_GROWTH","FQ2 2016","FQ2 2016","Currency=INR","Period=FQ","BEST_FPERIOD_OVERRIDE=FQ","FILING_STATUS=OR","EQY_CONSOLIDATED=Y","Sort=A","Dates=H","DateFormat=P","Fill=—","Direction=H","UseDPDF=Y")</f>
        <v>#NAME?</v>
      </c>
      <c r="AM190" s="2" t="e">
        <f ca="1">_xll.BDH($C$178,"GEO_GROW_NET_SALES","FQ2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190" s="2" t="e">
        <f ca="1">_xll.BDH($C$178,"GEO_GROW_EBITDA","FQ2 2016","FQ2 2016","Currency=INR","Period=FQ","BEST_FPERIOD_OVERRIDE=FQ","FILING_STATUS=OR","EQY_CONSOLIDATED=Y","FA_ADJUSTED=GAAP","Sort=A","Dates=H","DateFormat=P","Fill=—","Direction=H","UseDPDF=Y")</f>
        <v>#NAME?</v>
      </c>
      <c r="AO190" s="2" t="e">
        <f ca="1">_xll.BDH($C$178,"GEO_GROW_OPER_INC","FQ2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190" s="2" t="e">
        <f ca="1">_xll.BDH($C$178,"NET_INCOME_TO_COMMON_5_YR_GROWTH","FQ2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190" s="2" t="e">
        <f ca="1">_xll.BDH($C$178,"5Y_GEO_GROWTH_DILUTED_EPS","FQ2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190" s="2" t="e">
        <f ca="1">_xll.BDH($C$178,"GEO_GROW_DVD_PER_SH","FQ2 2016","FQ2 2016","Currency=INR","Period=FQ","BEST_FPERIOD_OVERRIDE=FQ","FILING_STATUS=OR","EQY_CONSOLIDATED=Y","Sort=A","Dates=H","DateFormat=P","Fill=—","Direction=H","UseDPDF=Y")</f>
        <v>#NAME?</v>
      </c>
      <c r="AS190" s="2" t="e">
        <f ca="1">_xll.BDH($C$178,"ACCOUNTS_RECEIVABLE_5_YR_GROWTH","FQ2 2016","FQ2 2016","Currency=INR","Period=FQ","BEST_FPERIOD_OVERRIDE=FQ","FILING_STATUS=OR","EQY_CONSOLIDATED=Y","Sort=A","Dates=H","DateFormat=P","Fill=—","Direction=H","UseDPDF=Y")</f>
        <v>#NAME?</v>
      </c>
      <c r="AT190" s="2" t="e">
        <f ca="1">_xll.BDH($C$178,"INVENTORY_5_YEAR_GROWTH","FQ2 2016","FQ2 2016","Currency=INR","Period=FQ","BEST_FPERIOD_OVERRIDE=FQ","FILING_STATUS=OR","EQY_CONSOLIDATED=Y","Sort=A","Dates=H","DateFormat=P","Fill=—","Direction=H","UseDPDF=Y")</f>
        <v>#NAME?</v>
      </c>
      <c r="AU190" s="2" t="e">
        <f ca="1">_xll.BDH($C$178,"NET_FIXED_ASSETS_5_YEAR_GROWTH","FQ2 2016","FQ2 2016","Currency=INR","Period=FQ","BEST_FPERIOD_OVERRIDE=FQ","FILING_STATUS=OR","EQY_CONSOLIDATED=Y","Sort=A","Dates=H","DateFormat=P","Fill=—","Direction=H","UseDPDF=Y")</f>
        <v>#NAME?</v>
      </c>
      <c r="AV190" s="2" t="e">
        <f ca="1">_xll.BDH($C$178,"GEO_GROW_TOT_ASSET","FQ2 2016","FQ2 2016","Currency=INR","Period=FQ","BEST_FPERIOD_OVERRIDE=FQ","FILING_STATUS=OR","EQY_CONSOLIDATED=Y","Sort=A","Dates=H","DateFormat=P","Fill=—","Direction=H","UseDPDF=Y")</f>
        <v>#NAME?</v>
      </c>
      <c r="AW190" s="2" t="e">
        <f ca="1">_xll.BDH($C$178,"MODIFIED_WORKING_CPTL_5YR_GRWTH","FQ2 2016","FQ2 2016","Currency=INR","Period=FQ","BEST_FPERIOD_OVERRIDE=FQ","FILING_STATUS=OR","EQY_CONSOLIDATED=Y","Sort=A","Dates=H","DateFormat=P","Fill=—","Direction=H","UseDPDF=Y")</f>
        <v>#NAME?</v>
      </c>
      <c r="AX190" s="2" t="e">
        <f ca="1">_xll.BDH($C$178,"WORKING_CAPITAL_5_YEAR_GROWTH","FQ2 2016","FQ2 2016","Currency=INR","Period=FQ","BEST_FPERIOD_OVERRIDE=FQ","FILING_STATUS=OR","EQY_CONSOLIDATED=Y","Sort=A","Dates=H","DateFormat=P","Fill=—","Direction=H","UseDPDF=Y")</f>
        <v>#NAME?</v>
      </c>
      <c r="AY190" s="2" t="e">
        <f ca="1">_xll.BDH($C$178,"ACCOUNTS_PAYABLE_5_YEAR_GROWTH","FQ2 2016","FQ2 2016","Currency=INR","Period=FQ","BEST_FPERIOD_OVERRIDE=FQ","FILING_STATUS=OR","EQY_CONSOLIDATED=Y","Sort=A","Dates=H","DateFormat=P","Fill=—","Direction=H","UseDPDF=Y")</f>
        <v>#NAME?</v>
      </c>
      <c r="AZ190" s="2" t="e">
        <f ca="1">_xll.BDH($C$178,"SHORT_TERM_DEBT_5_YEAR_GROWTH","FQ2 2016","FQ2 2016","Currency=INR","Period=FQ","BEST_FPERIOD_OVERRIDE=FQ","FILING_STATUS=OR","EQY_CONSOLIDATED=Y","Sort=A","Dates=H","DateFormat=P","Fill=—","Direction=H","UseDPDF=Y")</f>
        <v>#NAME?</v>
      </c>
      <c r="BA190" s="2" t="e">
        <f ca="1">_xll.BDH($C$178,"TOTAL_DEBT_5_YEAR_GROWTH","FQ2 2016","FQ2 2016","Currency=INR","Period=FQ","BEST_FPERIOD_OVERRIDE=FQ","FILING_STATUS=OR","EQY_CONSOLIDATED=Y","Sort=A","Dates=H","DateFormat=P","Fill=—","Direction=H","UseDPDF=Y")</f>
        <v>#NAME?</v>
      </c>
      <c r="BB190" s="2" t="e">
        <f ca="1">_xll.BDH($C$178,"GEO_GROW_TOT_SHRHLDR_EQY","FQ2 2016","FQ2 2016","Currency=INR","Period=FQ","BEST_FPERIOD_OVERRIDE=FQ","FILING_STATUS=OR","EQY_CONSOLIDATED=Y","Sort=A","Dates=H","DateFormat=P","Fill=—","Direction=H","UseDPDF=Y")</f>
        <v>#NAME?</v>
      </c>
      <c r="BC190" s="2" t="e">
        <f ca="1">_xll.BDH($C$178,"TOTAL_CAPITAL_5_YEAR_GROWTH","FQ2 2016","FQ2 2016","Currency=INR","Period=FQ","BEST_FPERIOD_OVERRIDE=FQ","FILING_STATUS=OR","EQY_CONSOLIDATED=Y","Sort=A","Dates=H","DateFormat=P","Fill=—","Direction=H","UseDPDF=Y")</f>
        <v>#NAME?</v>
      </c>
      <c r="BD190" s="2" t="e">
        <f ca="1">_xll.BDH($C$178,"GEO_GROW_BOOK_VAL","FQ2 2016","FQ2 2016","Currency=INR","Period=FQ","BEST_FPERIOD_OVERRIDE=FQ","FILING_STATUS=OR","EQY_CONSOLIDATED=Y","Sort=A","Dates=H","DateFormat=P","Fill=—","Direction=H","UseDPDF=Y")</f>
        <v>#NAME?</v>
      </c>
      <c r="BE190" s="2" t="e">
        <f ca="1">_xll.BDH($C$178,"GEO_GROW_CASH_OPER_ACT","FQ2 2016","FQ2 2016","Currency=INR","Period=FQ","BEST_FPERIOD_OVERRIDE=FQ","FILING_STATUS=OR","EQY_CONSOLIDATED=Y","Sort=A","Dates=H","DateFormat=P","Fill=—","Direction=H","UseDPDF=Y")</f>
        <v>#NAME?</v>
      </c>
      <c r="BF190" s="2" t="e">
        <f ca="1">_xll.BDH($C$178,"REVENUE_SEQUENTIAL_GROWTH","FQ2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190" s="2" t="e">
        <f ca="1">_xll.BDH($C$178,"EBITDA_SEQUENTIAL_GROWTH","FQ2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190" s="2" t="e">
        <f ca="1">_xll.BDH($C$178,"OPERATING_INCOME_SEQ_GROWTH","FQ2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190" s="2" t="e">
        <f ca="1">_xll.BDH($C$178,"NET_INCOME_TO_COMMON_SEQ_GROWTH","FQ2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190" s="2" t="e">
        <f ca="1">_xll.BDH($C$178,"EPS_DILUTED_SEQUENTIAL_GROWTH","FQ2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190" s="2" t="e">
        <f ca="1">_xll.BDH($C$178,"DPS_SEQUENTIAL_GROWTH","FQ2 2016","FQ2 2016","Currency=INR","Period=FQ","BEST_FPERIOD_OVERRIDE=FQ","FILING_STATUS=OR","EQY_CONSOLIDATED=Y","Sort=A","Dates=H","DateFormat=P","Fill=—","Direction=H","UseDPDF=Y")</f>
        <v>#NAME?</v>
      </c>
      <c r="BL190" s="2" t="e">
        <f ca="1">_xll.BDH($C$178,"ACCOUNTS_RECEIVABLE_SEQ_GROWTH","FQ2 2016","FQ2 2016","Currency=INR","Period=FQ","BEST_FPERIOD_OVERRIDE=FQ","FILING_STATUS=OR","EQY_CONSOLIDATED=Y","Sort=A","Dates=H","DateFormat=P","Fill=—","Direction=H","UseDPDF=Y")</f>
        <v>#NAME?</v>
      </c>
      <c r="BM190" s="2" t="e">
        <f ca="1">_xll.BDH($C$178,"INVENTORY_SEQUENTIAL_GROWTH","FQ2 2016","FQ2 2016","Currency=INR","Period=FQ","BEST_FPERIOD_OVERRIDE=FQ","FILING_STATUS=OR","EQY_CONSOLIDATED=Y","Sort=A","Dates=H","DateFormat=P","Fill=—","Direction=H","UseDPDF=Y")</f>
        <v>#NAME?</v>
      </c>
      <c r="BN190" s="2" t="e">
        <f ca="1">_xll.BDH($C$178,"FIXED_ASSETS_SEQUENTIAL_GROWTH","FQ2 2016","FQ2 2016","Currency=INR","Period=FQ","BEST_FPERIOD_OVERRIDE=FQ","FILING_STATUS=OR","EQY_CONSOLIDATED=Y","Sort=A","Dates=H","DateFormat=P","Fill=—","Direction=H","UseDPDF=Y")</f>
        <v>#NAME?</v>
      </c>
      <c r="BO190" s="2" t="e">
        <f ca="1">_xll.BDH($C$178,"TOTAL_ASSETS_SEQUENTIAL_GROWTH","FQ2 2016","FQ2 2016","Currency=INR","Period=FQ","BEST_FPERIOD_OVERRIDE=FQ","FILING_STATUS=OR","EQY_CONSOLIDATED=Y","Sort=A","Dates=H","DateFormat=P","Fill=—","Direction=H","UseDPDF=Y")</f>
        <v>#NAME?</v>
      </c>
      <c r="BP190" s="2" t="e">
        <f ca="1">_xll.BDH($C$178,"MODIFIED_WORKING_CPTL_SEQ_GRWTH","FQ2 2016","FQ2 2016","Currency=INR","Period=FQ","BEST_FPERIOD_OVERRIDE=FQ","FILING_STATUS=OR","EQY_CONSOLIDATED=Y","Sort=A","Dates=H","DateFormat=P","Fill=—","Direction=H","UseDPDF=Y")</f>
        <v>#NAME?</v>
      </c>
      <c r="BQ190" s="2" t="e">
        <f ca="1">_xll.BDH($C$178,"WORKING_CAPITAL_SEQ_GROWTH","FQ2 2016","FQ2 2016","Currency=INR","Period=FQ","BEST_FPERIOD_OVERRIDE=FQ","FILING_STATUS=OR","EQY_CONSOLIDATED=Y","Sort=A","Dates=H","DateFormat=P","Fill=—","Direction=H","UseDPDF=Y")</f>
        <v>#NAME?</v>
      </c>
      <c r="BR190" s="2" t="e">
        <f ca="1">_xll.BDH($C$178,"ACCOUNTS_PAYABLE_SEQ_GROWTH","FQ2 2016","FQ2 2016","Currency=INR","Period=FQ","BEST_FPERIOD_OVERRIDE=FQ","FILING_STATUS=OR","EQY_CONSOLIDATED=Y","Sort=A","Dates=H","DateFormat=P","Fill=—","Direction=H","UseDPDF=Y")</f>
        <v>#NAME?</v>
      </c>
      <c r="BS190" s="2" t="e">
        <f ca="1">_xll.BDH($C$178,"ST_DEBT_SEQUENTIAL_GROWTH","FQ2 2016","FQ2 2016","Currency=INR","Period=FQ","BEST_FPERIOD_OVERRIDE=FQ","FILING_STATUS=OR","EQY_CONSOLIDATED=Y","Sort=A","Dates=H","DateFormat=P","Fill=—","Direction=H","UseDPDF=Y")</f>
        <v>#NAME?</v>
      </c>
      <c r="BT190" s="2" t="e">
        <f ca="1">_xll.BDH($C$178,"TOTAL_DEBT_SEQUENTIAL_GROWTH","FQ2 2016","FQ2 2016","Currency=INR","Period=FQ","BEST_FPERIOD_OVERRIDE=FQ","FILING_STATUS=OR","EQY_CONSOLIDATED=Y","Sort=A","Dates=H","DateFormat=P","Fill=—","Direction=H","UseDPDF=Y")</f>
        <v>#NAME?</v>
      </c>
      <c r="BU190" s="2" t="e">
        <f ca="1">_xll.BDH($C$178,"TOTAL_EQUITY_SEQUENTIAL_GROWTH","FQ2 2016","FQ2 2016","Currency=INR","Period=FQ","BEST_FPERIOD_OVERRIDE=FQ","FILING_STATUS=OR","EQY_CONSOLIDATED=Y","Sort=A","Dates=H","DateFormat=P","Fill=—","Direction=H","UseDPDF=Y")</f>
        <v>#NAME?</v>
      </c>
      <c r="BV190" s="2" t="e">
        <f ca="1">_xll.BDH($C$178,"TOTAL_CAPITAL_SEQUENTIAL_GROWTH","FQ2 2016","FQ2 2016","Currency=INR","Period=FQ","BEST_FPERIOD_OVERRIDE=FQ","FILING_STATUS=OR","EQY_CONSOLIDATED=Y","Sort=A","Dates=H","DateFormat=P","Fill=—","Direction=H","UseDPDF=Y")</f>
        <v>#NAME?</v>
      </c>
      <c r="BW190" s="2" t="e">
        <f ca="1">_xll.BDH($C$178,"BPS_SEQUENTIAL_GROWTH","FQ2 2016","FQ2 2016","Currency=INR","Period=FQ","BEST_FPERIOD_OVERRIDE=FQ","FILING_STATUS=OR","EQY_CONSOLIDATED=Y","Sort=A","Dates=H","DateFormat=P","Fill=—","Direction=H","UseDPDF=Y")</f>
        <v>#NAME?</v>
      </c>
      <c r="BX190" s="2" t="e">
        <f ca="1">_xll.BDH($C$178,"CFO_SEQUENTIAL_GROWTH","FQ2 2016","FQ2 2016","Currency=INR","Period=FQ","BEST_FPERIOD_OVERRIDE=FQ","FILING_STATUS=OR","EQY_CONSOLIDATED=Y","Sort=A","Dates=H","DateFormat=P","Fill=—","Direction=H","UseDPDF=Y")</f>
        <v>#NAME?</v>
      </c>
      <c r="BY190" s="3" t="e">
        <f ca="1">_xll.BDH($C$178,"SHORT_AND_LONG_TERM_DEBT","FQ2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190" s="3" t="e">
        <f ca="1">_xll.BDH($C$178,"BS_ST_BORROW","FQ2 2016","FQ2 2016","Currency=INR","Period=FQ","BEST_FPERIOD_OVERRIDE=FQ","FILING_STATUS=OR","EQY_CONSOLIDATED=Y","SCALING_FORMAT=MLN","Sort=A","Dates=H","DateFormat=P","Fill=—","Direction=H","UseDPDF=Y")</f>
        <v>#NAME?</v>
      </c>
      <c r="CA190" s="3" t="e">
        <f ca="1">_xll.BDH($C$178,"BS_LT_BORROW","FQ2 2016","FQ2 2016","Currency=INR","Period=FQ","BEST_FPERIOD_OVERRIDE=FQ","FILING_STATUS=OR","EQY_CONSOLIDATED=Y","SCALING_FORMAT=MLN","Sort=A","Dates=H","DateFormat=P","Fill=—","Direction=H","UseDPDF=Y")</f>
        <v>#NAME?</v>
      </c>
      <c r="CB190" s="2" t="e">
        <f ca="1">_xll.BDH($C$178,"TOT_DEBT_TO_EBITDA","FQ2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190" s="2" t="e">
        <f ca="1">_xll.BDH($C$178,"NET_DEBT_TO_EBITDA","FQ2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190" s="2" t="e">
        <f ca="1">_xll.BDH($C$178,"TOTAL_DEBT_TO_EBIT","FQ2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190" s="2" t="e">
        <f ca="1">_xll.BDH($C$178,"NET_DEBT_TO_EBIT","FQ2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190" s="2" t="e">
        <f ca="1">_xll.BDH($C$178,"EBITDA_TO_INTEREST_EXPN","FQ2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190" s="2" t="e">
        <f ca="1">_xll.BDH($C$178,"COM_EQY_TO_TOT_ASSET","FQ2 2016","FQ2 2016","Currency=INR","Period=FQ","BEST_FPERIOD_OVERRIDE=FQ","FILING_STATUS=OR","EQY_CONSOLIDATED=Y","Sort=A","Dates=H","DateFormat=P","Fill=—","Direction=H","UseDPDF=Y")</f>
        <v>#NAME?</v>
      </c>
      <c r="CH190" s="2" t="e">
        <f ca="1">_xll.BDH($C$178,"LT_DEBT_TO_TOT_EQY","FQ2 2016","FQ2 2016","Currency=INR","Period=FQ","BEST_FPERIOD_OVERRIDE=FQ","FILING_STATUS=OR","EQY_CONSOLIDATED=Y","Sort=A","Dates=H","DateFormat=P","Fill=—","Direction=H","UseDPDF=Y")</f>
        <v>#NAME?</v>
      </c>
      <c r="CI190" s="2" t="e">
        <f ca="1">_xll.BDH($C$178,"LT_DEBT_TO_TOT_CAP","FQ2 2016","FQ2 2016","Currency=INR","Period=FQ","BEST_FPERIOD_OVERRIDE=FQ","FILING_STATUS=OR","EQY_CONSOLIDATED=Y","Sort=A","Dates=H","DateFormat=P","Fill=—","Direction=H","UseDPDF=Y")</f>
        <v>#NAME?</v>
      </c>
      <c r="CJ190" s="2" t="e">
        <f ca="1">_xll.BDH($C$178,"LT_DEBT_TO_TOT_ASSET","FQ2 2016","FQ2 2016","Currency=INR","Period=FQ","BEST_FPERIOD_OVERRIDE=FQ","FILING_STATUS=OR","EQY_CONSOLIDATED=Y","Sort=A","Dates=H","DateFormat=P","Fill=—","Direction=H","UseDPDF=Y")</f>
        <v>#NAME?</v>
      </c>
      <c r="CK190" s="2" t="e">
        <f ca="1">_xll.BDH($C$178,"TOT_DEBT_TO_TOT_EQY","FQ2 2016","FQ2 2016","Currency=INR","Period=FQ","BEST_FPERIOD_OVERRIDE=FQ","FILING_STATUS=OR","EQY_CONSOLIDATED=Y","Sort=A","Dates=H","DateFormat=P","Fill=—","Direction=H","UseDPDF=Y")</f>
        <v>#NAME?</v>
      </c>
      <c r="CL190" s="2" t="e">
        <f ca="1">_xll.BDH($C$178,"TOT_DEBT_TO_TOT_CAP","FQ2 2016","FQ2 2016","Currency=INR","Period=FQ","BEST_FPERIOD_OVERRIDE=FQ","FILING_STATUS=OR","EQY_CONSOLIDATED=Y","Sort=A","Dates=H","DateFormat=P","Fill=—","Direction=H","UseDPDF=Y")</f>
        <v>#NAME?</v>
      </c>
      <c r="CM190" s="2" t="e">
        <f ca="1">_xll.BDH($C$178,"TOT_DEBT_TO_TOT_ASSET","FQ2 2016","FQ2 2016","Currency=INR","Period=FQ","BEST_FPERIOD_OVERRIDE=FQ","FILING_STATUS=OR","EQY_CONSOLIDATED=Y","Sort=A","Dates=H","DateFormat=P","Fill=—","Direction=H","UseDPDF=Y")</f>
        <v>#NAME?</v>
      </c>
      <c r="CN190" s="2" t="e">
        <f ca="1">_xll.BDH($C$178,"NET_DEBT_TO_SHRHLDR_EQTY","FQ2 2016","FQ2 2016","Currency=INR","Period=FQ","BEST_FPERIOD_OVERRIDE=FQ","FILING_STATUS=OR","EQY_CONSOLIDATED=Y","Sort=A","Dates=H","DateFormat=P","Fill=—","Direction=H","UseDPDF=Y")</f>
        <v>#NAME?</v>
      </c>
      <c r="CO190" s="2" t="e">
        <f ca="1">_xll.BDH($C$178,"NET_DEBT_%_CAPITAL","FQ2 2016","FQ2 2016","Currency=INR","Period=FQ","BEST_FPERIOD_OVERRIDE=FQ","FILING_STATUS=OR","EQY_CONSOLIDATED=Y","Sort=A","Dates=H","DateFormat=P","Fill=—","Direction=H","UseDPDF=Y")</f>
        <v>#NAME?</v>
      </c>
      <c r="CP190" s="3" t="e">
        <f ca="1">_xll.BDH($C$178,"EBITDA","FQ2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190" s="3" t="e">
        <f ca="1">_xll.BDH($C$178,"EBITDA_AFTER_CAPEX","FQ2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190" s="3" t="e">
        <f ca="1">_xll.BDH($C$178,"IS_OPER_INC","FQ2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190" s="2" t="e">
        <f ca="1">_xll.BDH($C$178,"CASH_RATIO","FQ2 2016","FQ2 2016","Currency=INR","Period=FQ","BEST_FPERIOD_OVERRIDE=FQ","FILING_STATUS=OR","EQY_CONSOLIDATED=Y","Sort=A","Dates=H","DateFormat=P","Fill=—","Direction=H","UseDPDF=Y")</f>
        <v>#NAME?</v>
      </c>
      <c r="CT190" s="2" t="e">
        <f ca="1">_xll.BDH($C$178,"CUR_RATIO","FQ2 2016","FQ2 2016","Currency=INR","Period=FQ","BEST_FPERIOD_OVERRIDE=FQ","FILING_STATUS=OR","EQY_CONSOLIDATED=Y","Sort=A","Dates=H","DateFormat=P","Fill=—","Direction=H","UseDPDF=Y")</f>
        <v>#NAME?</v>
      </c>
      <c r="CU190" s="2" t="e">
        <f ca="1">_xll.BDH($C$178,"QUICK_RATIO","FQ2 2016","FQ2 2016","Currency=INR","Period=FQ","BEST_FPERIOD_OVERRIDE=FQ","FILING_STATUS=OR","EQY_CONSOLIDATED=Y","Sort=A","Dates=H","DateFormat=P","Fill=—","Direction=H","UseDPDF=Y")</f>
        <v>#NAME?</v>
      </c>
      <c r="CV190" s="2" t="e">
        <f ca="1">_xll.BDH($C$178,"ALTMAN_Z_SCORE","FQ2 2016","FQ2 2016","Currency=INR","Period=FQ","BEST_FPERIOD_OVERRIDE=FQ","FILING_STATUS=OR","EQY_CONSOLIDATED=Y","Sort=A","Dates=H","DateFormat=P","Fill=—","Direction=H","UseDPDF=Y")</f>
        <v>#NAME?</v>
      </c>
      <c r="CW190" s="4" t="e">
        <f ca="1">_xll.BDH($C$178,"ACCT_RCV_TURN","FQ2 2016","FQ2 2016","Currency=INR","Period=FQ","BEST_FPERIOD_OVERRIDE=FQ","FILING_STATUS=OR","EQY_CONSOLIDATED=Y","FA_ADJUSTED=GAAP","Sort=A","Dates=H","DateFormat=P","Fill=—","Direction=H","UseDPDF=Y")</f>
        <v>#NAME?</v>
      </c>
      <c r="CX190" s="2" t="e">
        <f ca="1">_xll.BDH($C$178,"ACCT_RCV_DAYS","FQ2 2016","FQ2 2016","Currency=INR","Period=FQ","BEST_FPERIOD_OVERRIDE=FQ","FILING_STATUS=OR","EQY_CONSOLIDATED=Y","FA_ADJUSTED=GAAP","Sort=A","Dates=H","DateFormat=P","Fill=—","Direction=H","UseDPDF=Y")</f>
        <v>#NAME?</v>
      </c>
      <c r="CY190" s="4" t="e">
        <f ca="1">_xll.BDH($C$178,"INVENT_TURN","FQ2 2016","FQ2 2016","Currency=INR","Period=FQ","BEST_FPERIOD_OVERRIDE=FQ","FILING_STATUS=OR","EQY_CONSOLIDATED=Y","FA_ADJUSTED=GAAP","Sort=A","Dates=H","DateFormat=P","Fill=—","Direction=H","UseDPDF=Y")</f>
        <v>#NAME?</v>
      </c>
      <c r="CZ190" s="2" t="e">
        <f ca="1">_xll.BDH($C$178,"INVENT_DAYS","FQ2 2016","FQ2 2016","Currency=INR","Period=FQ","BEST_FPERIOD_OVERRIDE=FQ","FILING_STATUS=OR","EQY_CONSOLIDATED=Y","FA_ADJUSTED=GAAP","Sort=A","Dates=H","DateFormat=P","Fill=—","Direction=H","UseDPDF=Y")</f>
        <v>#NAME?</v>
      </c>
      <c r="DA190" s="4" t="e">
        <f ca="1">_xll.BDH($C$178,"ACCOUNTS_PAYABLE_TURNOVER","FQ2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190" s="2" t="e">
        <f ca="1">_xll.BDH($C$178,"ACCOUNTS_PAYABLE_TURNOVER_DAYS","FQ2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190" s="4" t="e">
        <f ca="1">_xll.BDH($C$178,"CASH_CONVERSION_CYCLE","FQ2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190" s="4" t="e">
        <f ca="1">_xll.BDH($C$178,"INV_TO_CASH_DAYS","FQ2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190" s="5" t="e">
        <f ca="1">_xll.BDH($C$178,"BS_INVENTORIES","FQ2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190" s="3" t="e">
        <f ca="1">_xll.BDH($C$178,"INVTRY_RAW_MATERIALS","FQ2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190" s="3" t="e">
        <f ca="1">_xll.BDH($C$178,"INVTRY_IN_PROGRESS","FQ2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190" s="3" t="e">
        <f ca="1">_xll.BDH($C$178,"INVTRY_FINISHED_GOODS","FQ2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190" s="3" t="e">
        <f ca="1">_xll.BDH($C$178,"BS_OTHER_INV","FQ2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191" spans="1:113" x14ac:dyDescent="0.3">
      <c r="A191" s="6"/>
      <c r="B191" s="6"/>
      <c r="C191" s="6"/>
      <c r="D191" s="6"/>
      <c r="E191" t="s">
        <v>80</v>
      </c>
      <c r="F191" t="e">
        <f ca="1">_xll.BDH($C$178,"RETURN_COM_EQY","FQ3 2016","FQ3 2016","Currency=INR","Period=FQ","BEST_FPERIOD_OVERRIDE=FQ","FILING_STATUS=OR","EQY_CONSOLIDATED=Y","FA_ADJUSTED=GAAP","Sort=A","Dates=H","DateFormat=P","Fill=—","Direction=H","UseDPDF=Y")</f>
        <v>#NAME?</v>
      </c>
      <c r="G191" t="e">
        <f ca="1">_xll.BDH($C$178,"RETURN_ON_ASSET","FQ3 2016","FQ3 2016","Currency=INR","Period=FQ","BEST_FPERIOD_OVERRIDE=FQ","FILING_STATUS=OR","EQY_CONSOLIDATED=Y","FA_ADJUSTED=GAAP","Sort=A","Dates=H","DateFormat=P","Fill=—","Direction=H","UseDPDF=Y")</f>
        <v>#NAME?</v>
      </c>
      <c r="H191" t="e">
        <f ca="1">_xll.BDH($C$178,"RETURN_ON_CAP","FQ3 2016","FQ3 2016","Currency=INR","Period=FQ","BEST_FPERIOD_OVERRIDE=FQ","FILING_STATUS=OR","EQY_CONSOLIDATED=Y","FA_ADJUSTED=GAAP","Sort=A","Dates=H","DateFormat=P","Fill=—","Direction=H","UseDPDF=Y")</f>
        <v>#NAME?</v>
      </c>
      <c r="I191" t="e">
        <f ca="1">_xll.BDH($C$178,"RETURN_ON_INV_CAPITAL","FQ3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191" t="e">
        <f ca="1">_xll.BDH($C$178,"EBITDA_TO_REVENUE","FQ3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191" t="e">
        <f ca="1">_xll.BDH($C$178,"OPER_MARGIN","FQ3 2016","FQ3 2016","Currency=INR","Period=FQ","BEST_FPERIOD_OVERRIDE=FQ","FILING_STATUS=OR","EQY_CONSOLIDATED=Y","FA_ADJUSTED=GAAP","Sort=A","Dates=H","DateFormat=P","Fill=—","Direction=H","UseDPDF=Y")</f>
        <v>#NAME?</v>
      </c>
      <c r="L191" t="e">
        <f ca="1">_xll.BDH($C$178,"INCREMENTAL_OPERATING_MARGIN","FQ3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191" t="e">
        <f ca="1">_xll.BDH($C$178,"PRETAX_INC_TO_NET_SALES","FQ3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191" t="e">
        <f ca="1">_xll.BDH($C$178,"INC_BEF_XO_ITEMS_TO_NET_SALES","FQ3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191" t="e">
        <f ca="1">_xll.BDH($C$178,"PROF_MARGIN","FQ3 2016","FQ3 2016","Currency=INR","Period=FQ","BEST_FPERIOD_OVERRIDE=FQ","FILING_STATUS=OR","EQY_CONSOLIDATED=Y","FA_ADJUSTED=GAAP","Sort=A","Dates=H","DateFormat=P","Fill=—","Direction=H","UseDPDF=Y")</f>
        <v>#NAME?</v>
      </c>
      <c r="P191" t="e">
        <f ca="1">_xll.BDH($C$178,"NET_INCOME_TO_COMMON_MARGIN","FQ3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191" t="e">
        <f ca="1">_xll.BDH($C$178,"EFF_TAX_RATE","FQ3 2016","FQ3 2016","Currency=INR","Period=FQ","BEST_FPERIOD_OVERRIDE=FQ","FILING_STATUS=OR","EQY_CONSOLIDATED=Y","FA_ADJUSTED=GAAP","Sort=A","Dates=H","DateFormat=P","Fill=—","Direction=H","UseDPDF=Y")</f>
        <v>#NAME?</v>
      </c>
      <c r="R191" t="e">
        <f ca="1">_xll.BDH($C$178,"DVD_PAYOUT_RATIO","FQ3 2016","FQ3 2016","Currency=INR","Period=FQ","BEST_FPERIOD_OVERRIDE=FQ","FILING_STATUS=OR","EQY_CONSOLIDATED=Y","FA_ADJUSTED=GAAP","Sort=A","Dates=H","DateFormat=P","Fill=—","Direction=H","UseDPDF=Y")</f>
        <v>#NAME?</v>
      </c>
      <c r="S191" t="e">
        <f ca="1">_xll.BDH($C$178,"SUSTAIN_GROWTH_RT","FQ3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191" s="2" t="e">
        <f ca="1">_xll.BDH($C$178,"SALES_GROWTH","FQ3 2016","FQ3 2016","Currency=INR","Period=FQ","BEST_FPERIOD_OVERRIDE=FQ","FILING_STATUS=OR","EQY_CONSOLIDATED=Y","FA_ADJUSTED=GAAP","Sort=A","Dates=H","DateFormat=P","Fill=—","Direction=H","UseDPDF=Y")</f>
        <v>#NAME?</v>
      </c>
      <c r="U191" s="2" t="e">
        <f ca="1">_xll.BDH($C$178,"EBITDA_GROWTH","FQ3 2016","FQ3 2016","Currency=INR","Period=FQ","BEST_FPERIOD_OVERRIDE=FQ","FILING_STATUS=OR","EQY_CONSOLIDATED=Y","FA_ADJUSTED=GAAP","Sort=A","Dates=H","DateFormat=P","Fill=—","Direction=H","UseDPDF=Y")</f>
        <v>#NAME?</v>
      </c>
      <c r="V191" s="2" t="e">
        <f ca="1">_xll.BDH($C$178,"OPER_INC_GROWTH","FQ3 2016","FQ3 2016","Currency=INR","Period=FQ","BEST_FPERIOD_OVERRIDE=FQ","FILING_STATUS=OR","EQY_CONSOLIDATED=Y","FA_ADJUSTED=GAAP","Sort=A","Dates=H","DateFormat=P","Fill=—","Direction=H","UseDPDF=Y")</f>
        <v>#NAME?</v>
      </c>
      <c r="W191" s="2" t="e">
        <f ca="1">_xll.BDH($C$178,"EARN_FOR_COM_GROWTH","FQ3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191" s="2" t="e">
        <f ca="1">_xll.BDH($C$178,"DILUTED_EPS_AFT_XO_ITEMS_GROWTH","FQ3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191" s="2" t="e">
        <f ca="1">_xll.BDH($C$178,"DIVIDEND_PER_SHARE_1_YEAR_GROWTH","FQ3 2016","FQ3 2016","Currency=INR","Period=FQ","BEST_FPERIOD_OVERRIDE=FQ","FILING_STATUS=OR","EQY_CONSOLIDATED=Y","Sort=A","Dates=H","DateFormat=P","Fill=—","Direction=H","UseDPDF=Y")</f>
        <v>#NAME?</v>
      </c>
      <c r="Z191" s="2" t="e">
        <f ca="1">_xll.BDH($C$178,"ACCOUNTS_RECEIVABLE_GROWTH","FQ3 2016","FQ3 2016","Currency=INR","Period=FQ","BEST_FPERIOD_OVERRIDE=FQ","FILING_STATUS=OR","EQY_CONSOLIDATED=Y","Sort=A","Dates=H","DateFormat=P","Fill=—","Direction=H","UseDPDF=Y")</f>
        <v>#NAME?</v>
      </c>
      <c r="AA191" s="2" t="e">
        <f ca="1">_xll.BDH($C$178,"INVENTORY_GROWTH","FQ3 2016","FQ3 2016","Currency=INR","Period=FQ","BEST_FPERIOD_OVERRIDE=FQ","FILING_STATUS=OR","EQY_CONSOLIDATED=Y","Sort=A","Dates=H","DateFormat=P","Fill=—","Direction=H","UseDPDF=Y")</f>
        <v>#NAME?</v>
      </c>
      <c r="AB191" s="2" t="e">
        <f ca="1">_xll.BDH($C$178,"NET_FIXED_ASSETS_1_YEAR_GROWTH","FQ3 2016","FQ3 2016","Currency=INR","Period=FQ","BEST_FPERIOD_OVERRIDE=FQ","FILING_STATUS=OR","EQY_CONSOLIDATED=Y","Sort=A","Dates=H","DateFormat=P","Fill=—","Direction=H","UseDPDF=Y")</f>
        <v>#NAME?</v>
      </c>
      <c r="AC191" s="2" t="e">
        <f ca="1">_xll.BDH($C$178,"ASSET_GROWTH","FQ3 2016","FQ3 2016","Currency=INR","Period=FQ","BEST_FPERIOD_OVERRIDE=FQ","FILING_STATUS=OR","EQY_CONSOLIDATED=Y","Sort=A","Dates=H","DateFormat=P","Fill=—","Direction=H","UseDPDF=Y")</f>
        <v>#NAME?</v>
      </c>
      <c r="AD191" s="2" t="e">
        <f ca="1">_xll.BDH($C$178,"MODIFIED_WORK_CAP_GROWTH","FQ3 2016","FQ3 2016","Currency=INR","Period=FQ","BEST_FPERIOD_OVERRIDE=FQ","FILING_STATUS=OR","EQY_CONSOLIDATED=Y","Sort=A","Dates=H","DateFormat=P","Fill=—","Direction=H","UseDPDF=Y")</f>
        <v>#NAME?</v>
      </c>
      <c r="AE191" s="2" t="e">
        <f ca="1">_xll.BDH($C$178,"WORK_CAP_GROWTH","FQ3 2016","FQ3 2016","Currency=INR","Period=FQ","BEST_FPERIOD_OVERRIDE=FQ","FILING_STATUS=OR","EQY_CONSOLIDATED=Y","Sort=A","Dates=H","DateFormat=P","Fill=—","Direction=H","UseDPDF=Y")</f>
        <v>#NAME?</v>
      </c>
      <c r="AF191" s="2" t="e">
        <f ca="1">_xll.BDH($C$178,"ACCOUNTS_PAYABLE_GROWTH_1YR","FQ3 2016","FQ3 2016","Currency=INR","Period=FQ","BEST_FPERIOD_OVERRIDE=FQ","FILING_STATUS=OR","EQY_CONSOLIDATED=Y","Sort=A","Dates=H","DateFormat=P","Fill=—","Direction=H","UseDPDF=Y")</f>
        <v>#NAME?</v>
      </c>
      <c r="AG191" s="2" t="e">
        <f ca="1">_xll.BDH($C$178,"SHORT_TERM_DEBT_1_YEAR_GROWTH","FQ3 2016","FQ3 2016","Currency=INR","Period=FQ","BEST_FPERIOD_OVERRIDE=FQ","FILING_STATUS=OR","EQY_CONSOLIDATED=Y","Sort=A","Dates=H","DateFormat=P","Fill=—","Direction=H","UseDPDF=Y")</f>
        <v>#NAME?</v>
      </c>
      <c r="AH191" s="2" t="e">
        <f ca="1">_xll.BDH($C$178,"TOTAL_DEBT_1_YEAR_GROWTH","FQ3 2016","FQ3 2016","Currency=INR","Period=FQ","BEST_FPERIOD_OVERRIDE=FQ","FILING_STATUS=OR","EQY_CONSOLIDATED=Y","Sort=A","Dates=H","DateFormat=P","Fill=—","Direction=H","UseDPDF=Y")</f>
        <v>#NAME?</v>
      </c>
      <c r="AI191" s="2" t="e">
        <f ca="1">_xll.BDH($C$178,"TOTAL_EQUITY_1_YEAR_GROWTH","FQ3 2016","FQ3 2016","Currency=INR","Period=FQ","BEST_FPERIOD_OVERRIDE=FQ","FILING_STATUS=OR","EQY_CONSOLIDATED=Y","Sort=A","Dates=H","DateFormat=P","Fill=—","Direction=H","UseDPDF=Y")</f>
        <v>#NAME?</v>
      </c>
      <c r="AJ191" s="2" t="e">
        <f ca="1">_xll.BDH($C$178,"GROWTH_IN_CAP","FQ3 2016","FQ3 2016","Currency=INR","Period=FQ","BEST_FPERIOD_OVERRIDE=FQ","FILING_STATUS=OR","EQY_CONSOLIDATED=Y","Sort=A","Dates=H","DateFormat=P","Fill=—","Direction=H","UseDPDF=Y")</f>
        <v>#NAME?</v>
      </c>
      <c r="AK191" s="2" t="e">
        <f ca="1">_xll.BDH($C$178,"BVPS_GROWTH","FQ3 2016","FQ3 2016","Currency=INR","Period=FQ","BEST_FPERIOD_OVERRIDE=FQ","FILING_STATUS=OR","EQY_CONSOLIDATED=Y","Sort=A","Dates=H","DateFormat=P","Fill=—","Direction=H","UseDPDF=Y")</f>
        <v>#NAME?</v>
      </c>
      <c r="AL191" s="2" t="e">
        <f ca="1">_xll.BDH($C$178,"CASH_FLOW_GROWTH","FQ3 2016","FQ3 2016","Currency=INR","Period=FQ","BEST_FPERIOD_OVERRIDE=FQ","FILING_STATUS=OR","EQY_CONSOLIDATED=Y","Sort=A","Dates=H","DateFormat=P","Fill=—","Direction=H","UseDPDF=Y")</f>
        <v>#NAME?</v>
      </c>
      <c r="AM191" s="2" t="e">
        <f ca="1">_xll.BDH($C$178,"GEO_GROW_NET_SALES","FQ3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191" s="2" t="e">
        <f ca="1">_xll.BDH($C$178,"GEO_GROW_EBITDA","FQ3 2016","FQ3 2016","Currency=INR","Period=FQ","BEST_FPERIOD_OVERRIDE=FQ","FILING_STATUS=OR","EQY_CONSOLIDATED=Y","FA_ADJUSTED=GAAP","Sort=A","Dates=H","DateFormat=P","Fill=—","Direction=H","UseDPDF=Y")</f>
        <v>#NAME?</v>
      </c>
      <c r="AO191" s="2" t="e">
        <f ca="1">_xll.BDH($C$178,"GEO_GROW_OPER_INC","FQ3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191" s="2" t="e">
        <f ca="1">_xll.BDH($C$178,"NET_INCOME_TO_COMMON_5_YR_GROWTH","FQ3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191" s="2" t="e">
        <f ca="1">_xll.BDH($C$178,"5Y_GEO_GROWTH_DILUTED_EPS","FQ3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191" s="2" t="e">
        <f ca="1">_xll.BDH($C$178,"GEO_GROW_DVD_PER_SH","FQ3 2016","FQ3 2016","Currency=INR","Period=FQ","BEST_FPERIOD_OVERRIDE=FQ","FILING_STATUS=OR","EQY_CONSOLIDATED=Y","Sort=A","Dates=H","DateFormat=P","Fill=—","Direction=H","UseDPDF=Y")</f>
        <v>#NAME?</v>
      </c>
      <c r="AS191" s="2" t="e">
        <f ca="1">_xll.BDH($C$178,"ACCOUNTS_RECEIVABLE_5_YR_GROWTH","FQ3 2016","FQ3 2016","Currency=INR","Period=FQ","BEST_FPERIOD_OVERRIDE=FQ","FILING_STATUS=OR","EQY_CONSOLIDATED=Y","Sort=A","Dates=H","DateFormat=P","Fill=—","Direction=H","UseDPDF=Y")</f>
        <v>#NAME?</v>
      </c>
      <c r="AT191" s="2" t="e">
        <f ca="1">_xll.BDH($C$178,"INVENTORY_5_YEAR_GROWTH","FQ3 2016","FQ3 2016","Currency=INR","Period=FQ","BEST_FPERIOD_OVERRIDE=FQ","FILING_STATUS=OR","EQY_CONSOLIDATED=Y","Sort=A","Dates=H","DateFormat=P","Fill=—","Direction=H","UseDPDF=Y")</f>
        <v>#NAME?</v>
      </c>
      <c r="AU191" s="2" t="e">
        <f ca="1">_xll.BDH($C$178,"NET_FIXED_ASSETS_5_YEAR_GROWTH","FQ3 2016","FQ3 2016","Currency=INR","Period=FQ","BEST_FPERIOD_OVERRIDE=FQ","FILING_STATUS=OR","EQY_CONSOLIDATED=Y","Sort=A","Dates=H","DateFormat=P","Fill=—","Direction=H","UseDPDF=Y")</f>
        <v>#NAME?</v>
      </c>
      <c r="AV191" s="2" t="e">
        <f ca="1">_xll.BDH($C$178,"GEO_GROW_TOT_ASSET","FQ3 2016","FQ3 2016","Currency=INR","Period=FQ","BEST_FPERIOD_OVERRIDE=FQ","FILING_STATUS=OR","EQY_CONSOLIDATED=Y","Sort=A","Dates=H","DateFormat=P","Fill=—","Direction=H","UseDPDF=Y")</f>
        <v>#NAME?</v>
      </c>
      <c r="AW191" s="2" t="e">
        <f ca="1">_xll.BDH($C$178,"MODIFIED_WORKING_CPTL_5YR_GRWTH","FQ3 2016","FQ3 2016","Currency=INR","Period=FQ","BEST_FPERIOD_OVERRIDE=FQ","FILING_STATUS=OR","EQY_CONSOLIDATED=Y","Sort=A","Dates=H","DateFormat=P","Fill=—","Direction=H","UseDPDF=Y")</f>
        <v>#NAME?</v>
      </c>
      <c r="AX191" s="2" t="e">
        <f ca="1">_xll.BDH($C$178,"WORKING_CAPITAL_5_YEAR_GROWTH","FQ3 2016","FQ3 2016","Currency=INR","Period=FQ","BEST_FPERIOD_OVERRIDE=FQ","FILING_STATUS=OR","EQY_CONSOLIDATED=Y","Sort=A","Dates=H","DateFormat=P","Fill=—","Direction=H","UseDPDF=Y")</f>
        <v>#NAME?</v>
      </c>
      <c r="AY191" s="2" t="e">
        <f ca="1">_xll.BDH($C$178,"ACCOUNTS_PAYABLE_5_YEAR_GROWTH","FQ3 2016","FQ3 2016","Currency=INR","Period=FQ","BEST_FPERIOD_OVERRIDE=FQ","FILING_STATUS=OR","EQY_CONSOLIDATED=Y","Sort=A","Dates=H","DateFormat=P","Fill=—","Direction=H","UseDPDF=Y")</f>
        <v>#NAME?</v>
      </c>
      <c r="AZ191" s="2" t="e">
        <f ca="1">_xll.BDH($C$178,"SHORT_TERM_DEBT_5_YEAR_GROWTH","FQ3 2016","FQ3 2016","Currency=INR","Period=FQ","BEST_FPERIOD_OVERRIDE=FQ","FILING_STATUS=OR","EQY_CONSOLIDATED=Y","Sort=A","Dates=H","DateFormat=P","Fill=—","Direction=H","UseDPDF=Y")</f>
        <v>#NAME?</v>
      </c>
      <c r="BA191" s="2" t="e">
        <f ca="1">_xll.BDH($C$178,"TOTAL_DEBT_5_YEAR_GROWTH","FQ3 2016","FQ3 2016","Currency=INR","Period=FQ","BEST_FPERIOD_OVERRIDE=FQ","FILING_STATUS=OR","EQY_CONSOLIDATED=Y","Sort=A","Dates=H","DateFormat=P","Fill=—","Direction=H","UseDPDF=Y")</f>
        <v>#NAME?</v>
      </c>
      <c r="BB191" s="2" t="e">
        <f ca="1">_xll.BDH($C$178,"GEO_GROW_TOT_SHRHLDR_EQY","FQ3 2016","FQ3 2016","Currency=INR","Period=FQ","BEST_FPERIOD_OVERRIDE=FQ","FILING_STATUS=OR","EQY_CONSOLIDATED=Y","Sort=A","Dates=H","DateFormat=P","Fill=—","Direction=H","UseDPDF=Y")</f>
        <v>#NAME?</v>
      </c>
      <c r="BC191" s="2" t="e">
        <f ca="1">_xll.BDH($C$178,"TOTAL_CAPITAL_5_YEAR_GROWTH","FQ3 2016","FQ3 2016","Currency=INR","Period=FQ","BEST_FPERIOD_OVERRIDE=FQ","FILING_STATUS=OR","EQY_CONSOLIDATED=Y","Sort=A","Dates=H","DateFormat=P","Fill=—","Direction=H","UseDPDF=Y")</f>
        <v>#NAME?</v>
      </c>
      <c r="BD191" s="2" t="e">
        <f ca="1">_xll.BDH($C$178,"GEO_GROW_BOOK_VAL","FQ3 2016","FQ3 2016","Currency=INR","Period=FQ","BEST_FPERIOD_OVERRIDE=FQ","FILING_STATUS=OR","EQY_CONSOLIDATED=Y","Sort=A","Dates=H","DateFormat=P","Fill=—","Direction=H","UseDPDF=Y")</f>
        <v>#NAME?</v>
      </c>
      <c r="BE191" s="2" t="e">
        <f ca="1">_xll.BDH($C$178,"GEO_GROW_CASH_OPER_ACT","FQ3 2016","FQ3 2016","Currency=INR","Period=FQ","BEST_FPERIOD_OVERRIDE=FQ","FILING_STATUS=OR","EQY_CONSOLIDATED=Y","Sort=A","Dates=H","DateFormat=P","Fill=—","Direction=H","UseDPDF=Y")</f>
        <v>#NAME?</v>
      </c>
      <c r="BF191" s="2" t="e">
        <f ca="1">_xll.BDH($C$178,"REVENUE_SEQUENTIAL_GROWTH","FQ3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191" s="2" t="e">
        <f ca="1">_xll.BDH($C$178,"EBITDA_SEQUENTIAL_GROWTH","FQ3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191" s="2" t="e">
        <f ca="1">_xll.BDH($C$178,"OPERATING_INCOME_SEQ_GROWTH","FQ3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191" s="2" t="e">
        <f ca="1">_xll.BDH($C$178,"NET_INCOME_TO_COMMON_SEQ_GROWTH","FQ3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191" s="2" t="e">
        <f ca="1">_xll.BDH($C$178,"EPS_DILUTED_SEQUENTIAL_GROWTH","FQ3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191" s="2" t="e">
        <f ca="1">_xll.BDH($C$178,"DPS_SEQUENTIAL_GROWTH","FQ3 2016","FQ3 2016","Currency=INR","Period=FQ","BEST_FPERIOD_OVERRIDE=FQ","FILING_STATUS=OR","EQY_CONSOLIDATED=Y","Sort=A","Dates=H","DateFormat=P","Fill=—","Direction=H","UseDPDF=Y")</f>
        <v>#NAME?</v>
      </c>
      <c r="BL191" s="2" t="e">
        <f ca="1">_xll.BDH($C$178,"ACCOUNTS_RECEIVABLE_SEQ_GROWTH","FQ3 2016","FQ3 2016","Currency=INR","Period=FQ","BEST_FPERIOD_OVERRIDE=FQ","FILING_STATUS=OR","EQY_CONSOLIDATED=Y","Sort=A","Dates=H","DateFormat=P","Fill=—","Direction=H","UseDPDF=Y")</f>
        <v>#NAME?</v>
      </c>
      <c r="BM191" s="2" t="e">
        <f ca="1">_xll.BDH($C$178,"INVENTORY_SEQUENTIAL_GROWTH","FQ3 2016","FQ3 2016","Currency=INR","Period=FQ","BEST_FPERIOD_OVERRIDE=FQ","FILING_STATUS=OR","EQY_CONSOLIDATED=Y","Sort=A","Dates=H","DateFormat=P","Fill=—","Direction=H","UseDPDF=Y")</f>
        <v>#NAME?</v>
      </c>
      <c r="BN191" s="2" t="e">
        <f ca="1">_xll.BDH($C$178,"FIXED_ASSETS_SEQUENTIAL_GROWTH","FQ3 2016","FQ3 2016","Currency=INR","Period=FQ","BEST_FPERIOD_OVERRIDE=FQ","FILING_STATUS=OR","EQY_CONSOLIDATED=Y","Sort=A","Dates=H","DateFormat=P","Fill=—","Direction=H","UseDPDF=Y")</f>
        <v>#NAME?</v>
      </c>
      <c r="BO191" s="2" t="e">
        <f ca="1">_xll.BDH($C$178,"TOTAL_ASSETS_SEQUENTIAL_GROWTH","FQ3 2016","FQ3 2016","Currency=INR","Period=FQ","BEST_FPERIOD_OVERRIDE=FQ","FILING_STATUS=OR","EQY_CONSOLIDATED=Y","Sort=A","Dates=H","DateFormat=P","Fill=—","Direction=H","UseDPDF=Y")</f>
        <v>#NAME?</v>
      </c>
      <c r="BP191" s="2" t="e">
        <f ca="1">_xll.BDH($C$178,"MODIFIED_WORKING_CPTL_SEQ_GRWTH","FQ3 2016","FQ3 2016","Currency=INR","Period=FQ","BEST_FPERIOD_OVERRIDE=FQ","FILING_STATUS=OR","EQY_CONSOLIDATED=Y","Sort=A","Dates=H","DateFormat=P","Fill=—","Direction=H","UseDPDF=Y")</f>
        <v>#NAME?</v>
      </c>
      <c r="BQ191" s="2" t="e">
        <f ca="1">_xll.BDH($C$178,"WORKING_CAPITAL_SEQ_GROWTH","FQ3 2016","FQ3 2016","Currency=INR","Period=FQ","BEST_FPERIOD_OVERRIDE=FQ","FILING_STATUS=OR","EQY_CONSOLIDATED=Y","Sort=A","Dates=H","DateFormat=P","Fill=—","Direction=H","UseDPDF=Y")</f>
        <v>#NAME?</v>
      </c>
      <c r="BR191" s="2" t="e">
        <f ca="1">_xll.BDH($C$178,"ACCOUNTS_PAYABLE_SEQ_GROWTH","FQ3 2016","FQ3 2016","Currency=INR","Period=FQ","BEST_FPERIOD_OVERRIDE=FQ","FILING_STATUS=OR","EQY_CONSOLIDATED=Y","Sort=A","Dates=H","DateFormat=P","Fill=—","Direction=H","UseDPDF=Y")</f>
        <v>#NAME?</v>
      </c>
      <c r="BS191" s="2" t="e">
        <f ca="1">_xll.BDH($C$178,"ST_DEBT_SEQUENTIAL_GROWTH","FQ3 2016","FQ3 2016","Currency=INR","Period=FQ","BEST_FPERIOD_OVERRIDE=FQ","FILING_STATUS=OR","EQY_CONSOLIDATED=Y","Sort=A","Dates=H","DateFormat=P","Fill=—","Direction=H","UseDPDF=Y")</f>
        <v>#NAME?</v>
      </c>
      <c r="BT191" s="2" t="e">
        <f ca="1">_xll.BDH($C$178,"TOTAL_DEBT_SEQUENTIAL_GROWTH","FQ3 2016","FQ3 2016","Currency=INR","Period=FQ","BEST_FPERIOD_OVERRIDE=FQ","FILING_STATUS=OR","EQY_CONSOLIDATED=Y","Sort=A","Dates=H","DateFormat=P","Fill=—","Direction=H","UseDPDF=Y")</f>
        <v>#NAME?</v>
      </c>
      <c r="BU191" s="2" t="e">
        <f ca="1">_xll.BDH($C$178,"TOTAL_EQUITY_SEQUENTIAL_GROWTH","FQ3 2016","FQ3 2016","Currency=INR","Period=FQ","BEST_FPERIOD_OVERRIDE=FQ","FILING_STATUS=OR","EQY_CONSOLIDATED=Y","Sort=A","Dates=H","DateFormat=P","Fill=—","Direction=H","UseDPDF=Y")</f>
        <v>#NAME?</v>
      </c>
      <c r="BV191" s="2" t="e">
        <f ca="1">_xll.BDH($C$178,"TOTAL_CAPITAL_SEQUENTIAL_GROWTH","FQ3 2016","FQ3 2016","Currency=INR","Period=FQ","BEST_FPERIOD_OVERRIDE=FQ","FILING_STATUS=OR","EQY_CONSOLIDATED=Y","Sort=A","Dates=H","DateFormat=P","Fill=—","Direction=H","UseDPDF=Y")</f>
        <v>#NAME?</v>
      </c>
      <c r="BW191" s="2" t="e">
        <f ca="1">_xll.BDH($C$178,"BPS_SEQUENTIAL_GROWTH","FQ3 2016","FQ3 2016","Currency=INR","Period=FQ","BEST_FPERIOD_OVERRIDE=FQ","FILING_STATUS=OR","EQY_CONSOLIDATED=Y","Sort=A","Dates=H","DateFormat=P","Fill=—","Direction=H","UseDPDF=Y")</f>
        <v>#NAME?</v>
      </c>
      <c r="BX191" s="2" t="e">
        <f ca="1">_xll.BDH($C$178,"CFO_SEQUENTIAL_GROWTH","FQ3 2016","FQ3 2016","Currency=INR","Period=FQ","BEST_FPERIOD_OVERRIDE=FQ","FILING_STATUS=OR","EQY_CONSOLIDATED=Y","Sort=A","Dates=H","DateFormat=P","Fill=—","Direction=H","UseDPDF=Y")</f>
        <v>#NAME?</v>
      </c>
      <c r="BY191" s="3" t="e">
        <f ca="1">_xll.BDH($C$178,"SHORT_AND_LONG_TERM_DEBT","FQ3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191" s="3" t="e">
        <f ca="1">_xll.BDH($C$178,"BS_ST_BORROW","FQ3 2016","FQ3 2016","Currency=INR","Period=FQ","BEST_FPERIOD_OVERRIDE=FQ","FILING_STATUS=OR","EQY_CONSOLIDATED=Y","SCALING_FORMAT=MLN","Sort=A","Dates=H","DateFormat=P","Fill=—","Direction=H","UseDPDF=Y")</f>
        <v>#NAME?</v>
      </c>
      <c r="CA191" s="3" t="e">
        <f ca="1">_xll.BDH($C$178,"BS_LT_BORROW","FQ3 2016","FQ3 2016","Currency=INR","Period=FQ","BEST_FPERIOD_OVERRIDE=FQ","FILING_STATUS=OR","EQY_CONSOLIDATED=Y","SCALING_FORMAT=MLN","Sort=A","Dates=H","DateFormat=P","Fill=—","Direction=H","UseDPDF=Y")</f>
        <v>#NAME?</v>
      </c>
      <c r="CB191" s="2" t="e">
        <f ca="1">_xll.BDH($C$178,"TOT_DEBT_TO_EBITDA","FQ3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191" s="2" t="e">
        <f ca="1">_xll.BDH($C$178,"NET_DEBT_TO_EBITDA","FQ3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191" s="2" t="e">
        <f ca="1">_xll.BDH($C$178,"TOTAL_DEBT_TO_EBIT","FQ3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191" s="2" t="e">
        <f ca="1">_xll.BDH($C$178,"NET_DEBT_TO_EBIT","FQ3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191" s="2" t="e">
        <f ca="1">_xll.BDH($C$178,"EBITDA_TO_INTEREST_EXPN","FQ3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191" s="2" t="e">
        <f ca="1">_xll.BDH($C$178,"COM_EQY_TO_TOT_ASSET","FQ3 2016","FQ3 2016","Currency=INR","Period=FQ","BEST_FPERIOD_OVERRIDE=FQ","FILING_STATUS=OR","EQY_CONSOLIDATED=Y","Sort=A","Dates=H","DateFormat=P","Fill=—","Direction=H","UseDPDF=Y")</f>
        <v>#NAME?</v>
      </c>
      <c r="CH191" s="2" t="e">
        <f ca="1">_xll.BDH($C$178,"LT_DEBT_TO_TOT_EQY","FQ3 2016","FQ3 2016","Currency=INR","Period=FQ","BEST_FPERIOD_OVERRIDE=FQ","FILING_STATUS=OR","EQY_CONSOLIDATED=Y","Sort=A","Dates=H","DateFormat=P","Fill=—","Direction=H","UseDPDF=Y")</f>
        <v>#NAME?</v>
      </c>
      <c r="CI191" s="2" t="e">
        <f ca="1">_xll.BDH($C$178,"LT_DEBT_TO_TOT_CAP","FQ3 2016","FQ3 2016","Currency=INR","Period=FQ","BEST_FPERIOD_OVERRIDE=FQ","FILING_STATUS=OR","EQY_CONSOLIDATED=Y","Sort=A","Dates=H","DateFormat=P","Fill=—","Direction=H","UseDPDF=Y")</f>
        <v>#NAME?</v>
      </c>
      <c r="CJ191" s="2" t="e">
        <f ca="1">_xll.BDH($C$178,"LT_DEBT_TO_TOT_ASSET","FQ3 2016","FQ3 2016","Currency=INR","Period=FQ","BEST_FPERIOD_OVERRIDE=FQ","FILING_STATUS=OR","EQY_CONSOLIDATED=Y","Sort=A","Dates=H","DateFormat=P","Fill=—","Direction=H","UseDPDF=Y")</f>
        <v>#NAME?</v>
      </c>
      <c r="CK191" s="2" t="e">
        <f ca="1">_xll.BDH($C$178,"TOT_DEBT_TO_TOT_EQY","FQ3 2016","FQ3 2016","Currency=INR","Period=FQ","BEST_FPERIOD_OVERRIDE=FQ","FILING_STATUS=OR","EQY_CONSOLIDATED=Y","Sort=A","Dates=H","DateFormat=P","Fill=—","Direction=H","UseDPDF=Y")</f>
        <v>#NAME?</v>
      </c>
      <c r="CL191" s="2" t="e">
        <f ca="1">_xll.BDH($C$178,"TOT_DEBT_TO_TOT_CAP","FQ3 2016","FQ3 2016","Currency=INR","Period=FQ","BEST_FPERIOD_OVERRIDE=FQ","FILING_STATUS=OR","EQY_CONSOLIDATED=Y","Sort=A","Dates=H","DateFormat=P","Fill=—","Direction=H","UseDPDF=Y")</f>
        <v>#NAME?</v>
      </c>
      <c r="CM191" s="2" t="e">
        <f ca="1">_xll.BDH($C$178,"TOT_DEBT_TO_TOT_ASSET","FQ3 2016","FQ3 2016","Currency=INR","Period=FQ","BEST_FPERIOD_OVERRIDE=FQ","FILING_STATUS=OR","EQY_CONSOLIDATED=Y","Sort=A","Dates=H","DateFormat=P","Fill=—","Direction=H","UseDPDF=Y")</f>
        <v>#NAME?</v>
      </c>
      <c r="CN191" s="2" t="e">
        <f ca="1">_xll.BDH($C$178,"NET_DEBT_TO_SHRHLDR_EQTY","FQ3 2016","FQ3 2016","Currency=INR","Period=FQ","BEST_FPERIOD_OVERRIDE=FQ","FILING_STATUS=OR","EQY_CONSOLIDATED=Y","Sort=A","Dates=H","DateFormat=P","Fill=—","Direction=H","UseDPDF=Y")</f>
        <v>#NAME?</v>
      </c>
      <c r="CO191" s="2" t="e">
        <f ca="1">_xll.BDH($C$178,"NET_DEBT_%_CAPITAL","FQ3 2016","FQ3 2016","Currency=INR","Period=FQ","BEST_FPERIOD_OVERRIDE=FQ","FILING_STATUS=OR","EQY_CONSOLIDATED=Y","Sort=A","Dates=H","DateFormat=P","Fill=—","Direction=H","UseDPDF=Y")</f>
        <v>#NAME?</v>
      </c>
      <c r="CP191" s="3" t="e">
        <f ca="1">_xll.BDH($C$178,"EBITDA","FQ3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191" s="3" t="e">
        <f ca="1">_xll.BDH($C$178,"EBITDA_AFTER_CAPEX","FQ3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191" s="3" t="e">
        <f ca="1">_xll.BDH($C$178,"IS_OPER_INC","FQ3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191" s="2" t="e">
        <f ca="1">_xll.BDH($C$178,"CASH_RATIO","FQ3 2016","FQ3 2016","Currency=INR","Period=FQ","BEST_FPERIOD_OVERRIDE=FQ","FILING_STATUS=OR","EQY_CONSOLIDATED=Y","Sort=A","Dates=H","DateFormat=P","Fill=—","Direction=H","UseDPDF=Y")</f>
        <v>#NAME?</v>
      </c>
      <c r="CT191" s="2" t="e">
        <f ca="1">_xll.BDH($C$178,"CUR_RATIO","FQ3 2016","FQ3 2016","Currency=INR","Period=FQ","BEST_FPERIOD_OVERRIDE=FQ","FILING_STATUS=OR","EQY_CONSOLIDATED=Y","Sort=A","Dates=H","DateFormat=P","Fill=—","Direction=H","UseDPDF=Y")</f>
        <v>#NAME?</v>
      </c>
      <c r="CU191" s="2" t="e">
        <f ca="1">_xll.BDH($C$178,"QUICK_RATIO","FQ3 2016","FQ3 2016","Currency=INR","Period=FQ","BEST_FPERIOD_OVERRIDE=FQ","FILING_STATUS=OR","EQY_CONSOLIDATED=Y","Sort=A","Dates=H","DateFormat=P","Fill=—","Direction=H","UseDPDF=Y")</f>
        <v>#NAME?</v>
      </c>
      <c r="CV191" s="2" t="e">
        <f ca="1">_xll.BDH($C$178,"ALTMAN_Z_SCORE","FQ3 2016","FQ3 2016","Currency=INR","Period=FQ","BEST_FPERIOD_OVERRIDE=FQ","FILING_STATUS=OR","EQY_CONSOLIDATED=Y","Sort=A","Dates=H","DateFormat=P","Fill=—","Direction=H","UseDPDF=Y")</f>
        <v>#NAME?</v>
      </c>
      <c r="CW191" s="4" t="e">
        <f ca="1">_xll.BDH($C$178,"ACCT_RCV_TURN","FQ3 2016","FQ3 2016","Currency=INR","Period=FQ","BEST_FPERIOD_OVERRIDE=FQ","FILING_STATUS=OR","EQY_CONSOLIDATED=Y","FA_ADJUSTED=GAAP","Sort=A","Dates=H","DateFormat=P","Fill=—","Direction=H","UseDPDF=Y")</f>
        <v>#NAME?</v>
      </c>
      <c r="CX191" s="2" t="e">
        <f ca="1">_xll.BDH($C$178,"ACCT_RCV_DAYS","FQ3 2016","FQ3 2016","Currency=INR","Period=FQ","BEST_FPERIOD_OVERRIDE=FQ","FILING_STATUS=OR","EQY_CONSOLIDATED=Y","FA_ADJUSTED=GAAP","Sort=A","Dates=H","DateFormat=P","Fill=—","Direction=H","UseDPDF=Y")</f>
        <v>#NAME?</v>
      </c>
      <c r="CY191" s="4" t="e">
        <f ca="1">_xll.BDH($C$178,"INVENT_TURN","FQ3 2016","FQ3 2016","Currency=INR","Period=FQ","BEST_FPERIOD_OVERRIDE=FQ","FILING_STATUS=OR","EQY_CONSOLIDATED=Y","FA_ADJUSTED=GAAP","Sort=A","Dates=H","DateFormat=P","Fill=—","Direction=H","UseDPDF=Y")</f>
        <v>#NAME?</v>
      </c>
      <c r="CZ191" s="2" t="e">
        <f ca="1">_xll.BDH($C$178,"INVENT_DAYS","FQ3 2016","FQ3 2016","Currency=INR","Period=FQ","BEST_FPERIOD_OVERRIDE=FQ","FILING_STATUS=OR","EQY_CONSOLIDATED=Y","FA_ADJUSTED=GAAP","Sort=A","Dates=H","DateFormat=P","Fill=—","Direction=H","UseDPDF=Y")</f>
        <v>#NAME?</v>
      </c>
      <c r="DA191" s="4" t="e">
        <f ca="1">_xll.BDH($C$178,"ACCOUNTS_PAYABLE_TURNOVER","FQ3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191" s="2" t="e">
        <f ca="1">_xll.BDH($C$178,"ACCOUNTS_PAYABLE_TURNOVER_DAYS","FQ3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191" s="4" t="e">
        <f ca="1">_xll.BDH($C$178,"CASH_CONVERSION_CYCLE","FQ3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191" s="4" t="e">
        <f ca="1">_xll.BDH($C$178,"INV_TO_CASH_DAYS","FQ3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191" s="5" t="e">
        <f ca="1">_xll.BDH($C$178,"BS_INVENTORIES","FQ3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191" s="3" t="e">
        <f ca="1">_xll.BDH($C$178,"INVTRY_RAW_MATERIALS","FQ3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191" s="3" t="e">
        <f ca="1">_xll.BDH($C$178,"INVTRY_IN_PROGRESS","FQ3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191" s="3" t="e">
        <f ca="1">_xll.BDH($C$178,"INVTRY_FINISHED_GOODS","FQ3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191" s="3" t="e">
        <f ca="1">_xll.BDH($C$178,"BS_OTHER_INV","FQ3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192" spans="1:113" x14ac:dyDescent="0.3">
      <c r="A192" s="6"/>
      <c r="B192" s="6"/>
      <c r="C192" s="6"/>
      <c r="D192" s="6"/>
      <c r="E192" t="s">
        <v>81</v>
      </c>
      <c r="F192" t="e">
        <f ca="1">_xll.BDH($C$178,"RETURN_COM_EQY","FQ4 2016","FQ4 2016","Currency=INR","Period=FQ","BEST_FPERIOD_OVERRIDE=FQ","FILING_STATUS=OR","EQY_CONSOLIDATED=Y","FA_ADJUSTED=GAAP","Sort=A","Dates=H","DateFormat=P","Fill=—","Direction=H","UseDPDF=Y")</f>
        <v>#NAME?</v>
      </c>
      <c r="G192" t="e">
        <f ca="1">_xll.BDH($C$178,"RETURN_ON_ASSET","FQ4 2016","FQ4 2016","Currency=INR","Period=FQ","BEST_FPERIOD_OVERRIDE=FQ","FILING_STATUS=OR","EQY_CONSOLIDATED=Y","FA_ADJUSTED=GAAP","Sort=A","Dates=H","DateFormat=P","Fill=—","Direction=H","UseDPDF=Y")</f>
        <v>#NAME?</v>
      </c>
      <c r="H192" t="e">
        <f ca="1">_xll.BDH($C$178,"RETURN_ON_CAP","FQ4 2016","FQ4 2016","Currency=INR","Period=FQ","BEST_FPERIOD_OVERRIDE=FQ","FILING_STATUS=OR","EQY_CONSOLIDATED=Y","FA_ADJUSTED=GAAP","Sort=A","Dates=H","DateFormat=P","Fill=—","Direction=H","UseDPDF=Y")</f>
        <v>#NAME?</v>
      </c>
      <c r="I192" t="e">
        <f ca="1">_xll.BDH($C$178,"RETURN_ON_INV_CAPITAL","FQ4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192" t="e">
        <f ca="1">_xll.BDH($C$178,"EBITDA_TO_REVENUE","FQ4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192" t="e">
        <f ca="1">_xll.BDH($C$178,"OPER_MARGIN","FQ4 2016","FQ4 2016","Currency=INR","Period=FQ","BEST_FPERIOD_OVERRIDE=FQ","FILING_STATUS=OR","EQY_CONSOLIDATED=Y","FA_ADJUSTED=GAAP","Sort=A","Dates=H","DateFormat=P","Fill=—","Direction=H","UseDPDF=Y")</f>
        <v>#NAME?</v>
      </c>
      <c r="L192" t="e">
        <f ca="1">_xll.BDH($C$178,"INCREMENTAL_OPERATING_MARGIN","FQ4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192" t="e">
        <f ca="1">_xll.BDH($C$178,"PRETAX_INC_TO_NET_SALES","FQ4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192" t="e">
        <f ca="1">_xll.BDH($C$178,"INC_BEF_XO_ITEMS_TO_NET_SALES","FQ4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192" t="e">
        <f ca="1">_xll.BDH($C$178,"PROF_MARGIN","FQ4 2016","FQ4 2016","Currency=INR","Period=FQ","BEST_FPERIOD_OVERRIDE=FQ","FILING_STATUS=OR","EQY_CONSOLIDATED=Y","FA_ADJUSTED=GAAP","Sort=A","Dates=H","DateFormat=P","Fill=—","Direction=H","UseDPDF=Y")</f>
        <v>#NAME?</v>
      </c>
      <c r="P192" t="e">
        <f ca="1">_xll.BDH($C$178,"NET_INCOME_TO_COMMON_MARGIN","FQ4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192" t="e">
        <f ca="1">_xll.BDH($C$178,"EFF_TAX_RATE","FQ4 2016","FQ4 2016","Currency=INR","Period=FQ","BEST_FPERIOD_OVERRIDE=FQ","FILING_STATUS=OR","EQY_CONSOLIDATED=Y","FA_ADJUSTED=GAAP","Sort=A","Dates=H","DateFormat=P","Fill=—","Direction=H","UseDPDF=Y")</f>
        <v>#NAME?</v>
      </c>
      <c r="R192" t="e">
        <f ca="1">_xll.BDH($C$178,"DVD_PAYOUT_RATIO","FQ4 2016","FQ4 2016","Currency=INR","Period=FQ","BEST_FPERIOD_OVERRIDE=FQ","FILING_STATUS=OR","EQY_CONSOLIDATED=Y","FA_ADJUSTED=GAAP","Sort=A","Dates=H","DateFormat=P","Fill=—","Direction=H","UseDPDF=Y")</f>
        <v>#NAME?</v>
      </c>
      <c r="S192" t="e">
        <f ca="1">_xll.BDH($C$178,"SUSTAIN_GROWTH_RT","FQ4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192" s="2" t="e">
        <f ca="1">_xll.BDH($C$178,"SALES_GROWTH","FQ4 2016","FQ4 2016","Currency=INR","Period=FQ","BEST_FPERIOD_OVERRIDE=FQ","FILING_STATUS=OR","EQY_CONSOLIDATED=Y","FA_ADJUSTED=GAAP","Sort=A","Dates=H","DateFormat=P","Fill=—","Direction=H","UseDPDF=Y")</f>
        <v>#NAME?</v>
      </c>
      <c r="U192" s="2" t="e">
        <f ca="1">_xll.BDH($C$178,"EBITDA_GROWTH","FQ4 2016","FQ4 2016","Currency=INR","Period=FQ","BEST_FPERIOD_OVERRIDE=FQ","FILING_STATUS=OR","EQY_CONSOLIDATED=Y","FA_ADJUSTED=GAAP","Sort=A","Dates=H","DateFormat=P","Fill=—","Direction=H","UseDPDF=Y")</f>
        <v>#NAME?</v>
      </c>
      <c r="V192" s="2" t="e">
        <f ca="1">_xll.BDH($C$178,"OPER_INC_GROWTH","FQ4 2016","FQ4 2016","Currency=INR","Period=FQ","BEST_FPERIOD_OVERRIDE=FQ","FILING_STATUS=OR","EQY_CONSOLIDATED=Y","FA_ADJUSTED=GAAP","Sort=A","Dates=H","DateFormat=P","Fill=—","Direction=H","UseDPDF=Y")</f>
        <v>#NAME?</v>
      </c>
      <c r="W192" s="2" t="e">
        <f ca="1">_xll.BDH($C$178,"EARN_FOR_COM_GROWTH","FQ4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192" s="2" t="e">
        <f ca="1">_xll.BDH($C$178,"DILUTED_EPS_AFT_XO_ITEMS_GROWTH","FQ4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192" s="2" t="e">
        <f ca="1">_xll.BDH($C$178,"DIVIDEND_PER_SHARE_1_YEAR_GROWTH","FQ4 2016","FQ4 2016","Currency=INR","Period=FQ","BEST_FPERIOD_OVERRIDE=FQ","FILING_STATUS=OR","EQY_CONSOLIDATED=Y","Sort=A","Dates=H","DateFormat=P","Fill=—","Direction=H","UseDPDF=Y")</f>
        <v>#NAME?</v>
      </c>
      <c r="Z192" s="2" t="e">
        <f ca="1">_xll.BDH($C$178,"ACCOUNTS_RECEIVABLE_GROWTH","FQ4 2016","FQ4 2016","Currency=INR","Period=FQ","BEST_FPERIOD_OVERRIDE=FQ","FILING_STATUS=OR","EQY_CONSOLIDATED=Y","Sort=A","Dates=H","DateFormat=P","Fill=—","Direction=H","UseDPDF=Y")</f>
        <v>#NAME?</v>
      </c>
      <c r="AA192" s="2" t="e">
        <f ca="1">_xll.BDH($C$178,"INVENTORY_GROWTH","FQ4 2016","FQ4 2016","Currency=INR","Period=FQ","BEST_FPERIOD_OVERRIDE=FQ","FILING_STATUS=OR","EQY_CONSOLIDATED=Y","Sort=A","Dates=H","DateFormat=P","Fill=—","Direction=H","UseDPDF=Y")</f>
        <v>#NAME?</v>
      </c>
      <c r="AB192" s="2" t="e">
        <f ca="1">_xll.BDH($C$178,"NET_FIXED_ASSETS_1_YEAR_GROWTH","FQ4 2016","FQ4 2016","Currency=INR","Period=FQ","BEST_FPERIOD_OVERRIDE=FQ","FILING_STATUS=OR","EQY_CONSOLIDATED=Y","Sort=A","Dates=H","DateFormat=P","Fill=—","Direction=H","UseDPDF=Y")</f>
        <v>#NAME?</v>
      </c>
      <c r="AC192" s="2" t="e">
        <f ca="1">_xll.BDH($C$178,"ASSET_GROWTH","FQ4 2016","FQ4 2016","Currency=INR","Period=FQ","BEST_FPERIOD_OVERRIDE=FQ","FILING_STATUS=OR","EQY_CONSOLIDATED=Y","Sort=A","Dates=H","DateFormat=P","Fill=—","Direction=H","UseDPDF=Y")</f>
        <v>#NAME?</v>
      </c>
      <c r="AD192" s="2" t="e">
        <f ca="1">_xll.BDH($C$178,"MODIFIED_WORK_CAP_GROWTH","FQ4 2016","FQ4 2016","Currency=INR","Period=FQ","BEST_FPERIOD_OVERRIDE=FQ","FILING_STATUS=OR","EQY_CONSOLIDATED=Y","Sort=A","Dates=H","DateFormat=P","Fill=—","Direction=H","UseDPDF=Y")</f>
        <v>#NAME?</v>
      </c>
      <c r="AE192" s="2" t="e">
        <f ca="1">_xll.BDH($C$178,"WORK_CAP_GROWTH","FQ4 2016","FQ4 2016","Currency=INR","Period=FQ","BEST_FPERIOD_OVERRIDE=FQ","FILING_STATUS=OR","EQY_CONSOLIDATED=Y","Sort=A","Dates=H","DateFormat=P","Fill=—","Direction=H","UseDPDF=Y")</f>
        <v>#NAME?</v>
      </c>
      <c r="AF192" s="2" t="e">
        <f ca="1">_xll.BDH($C$178,"ACCOUNTS_PAYABLE_GROWTH_1YR","FQ4 2016","FQ4 2016","Currency=INR","Period=FQ","BEST_FPERIOD_OVERRIDE=FQ","FILING_STATUS=OR","EQY_CONSOLIDATED=Y","Sort=A","Dates=H","DateFormat=P","Fill=—","Direction=H","UseDPDF=Y")</f>
        <v>#NAME?</v>
      </c>
      <c r="AG192" s="2" t="e">
        <f ca="1">_xll.BDH($C$178,"SHORT_TERM_DEBT_1_YEAR_GROWTH","FQ4 2016","FQ4 2016","Currency=INR","Period=FQ","BEST_FPERIOD_OVERRIDE=FQ","FILING_STATUS=OR","EQY_CONSOLIDATED=Y","Sort=A","Dates=H","DateFormat=P","Fill=—","Direction=H","UseDPDF=Y")</f>
        <v>#NAME?</v>
      </c>
      <c r="AH192" s="2" t="e">
        <f ca="1">_xll.BDH($C$178,"TOTAL_DEBT_1_YEAR_GROWTH","FQ4 2016","FQ4 2016","Currency=INR","Period=FQ","BEST_FPERIOD_OVERRIDE=FQ","FILING_STATUS=OR","EQY_CONSOLIDATED=Y","Sort=A","Dates=H","DateFormat=P","Fill=—","Direction=H","UseDPDF=Y")</f>
        <v>#NAME?</v>
      </c>
      <c r="AI192" s="2" t="e">
        <f ca="1">_xll.BDH($C$178,"TOTAL_EQUITY_1_YEAR_GROWTH","FQ4 2016","FQ4 2016","Currency=INR","Period=FQ","BEST_FPERIOD_OVERRIDE=FQ","FILING_STATUS=OR","EQY_CONSOLIDATED=Y","Sort=A","Dates=H","DateFormat=P","Fill=—","Direction=H","UseDPDF=Y")</f>
        <v>#NAME?</v>
      </c>
      <c r="AJ192" s="2" t="e">
        <f ca="1">_xll.BDH($C$178,"GROWTH_IN_CAP","FQ4 2016","FQ4 2016","Currency=INR","Period=FQ","BEST_FPERIOD_OVERRIDE=FQ","FILING_STATUS=OR","EQY_CONSOLIDATED=Y","Sort=A","Dates=H","DateFormat=P","Fill=—","Direction=H","UseDPDF=Y")</f>
        <v>#NAME?</v>
      </c>
      <c r="AK192" s="2" t="e">
        <f ca="1">_xll.BDH($C$178,"BVPS_GROWTH","FQ4 2016","FQ4 2016","Currency=INR","Period=FQ","BEST_FPERIOD_OVERRIDE=FQ","FILING_STATUS=OR","EQY_CONSOLIDATED=Y","Sort=A","Dates=H","DateFormat=P","Fill=—","Direction=H","UseDPDF=Y")</f>
        <v>#NAME?</v>
      </c>
      <c r="AL192" s="2" t="e">
        <f ca="1">_xll.BDH($C$178,"CASH_FLOW_GROWTH","FQ4 2016","FQ4 2016","Currency=INR","Period=FQ","BEST_FPERIOD_OVERRIDE=FQ","FILING_STATUS=OR","EQY_CONSOLIDATED=Y","Sort=A","Dates=H","DateFormat=P","Fill=—","Direction=H","UseDPDF=Y")</f>
        <v>#NAME?</v>
      </c>
      <c r="AM192" s="2" t="e">
        <f ca="1">_xll.BDH($C$178,"GEO_GROW_NET_SALES","FQ4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192" s="2" t="e">
        <f ca="1">_xll.BDH($C$178,"GEO_GROW_EBITDA","FQ4 2016","FQ4 2016","Currency=INR","Period=FQ","BEST_FPERIOD_OVERRIDE=FQ","FILING_STATUS=OR","EQY_CONSOLIDATED=Y","FA_ADJUSTED=GAAP","Sort=A","Dates=H","DateFormat=P","Fill=—","Direction=H","UseDPDF=Y")</f>
        <v>#NAME?</v>
      </c>
      <c r="AO192" s="2" t="e">
        <f ca="1">_xll.BDH($C$178,"GEO_GROW_OPER_INC","FQ4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192" s="2" t="e">
        <f ca="1">_xll.BDH($C$178,"NET_INCOME_TO_COMMON_5_YR_GROWTH","FQ4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192" s="2" t="e">
        <f ca="1">_xll.BDH($C$178,"5Y_GEO_GROWTH_DILUTED_EPS","FQ4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192" s="2" t="e">
        <f ca="1">_xll.BDH($C$178,"GEO_GROW_DVD_PER_SH","FQ4 2016","FQ4 2016","Currency=INR","Period=FQ","BEST_FPERIOD_OVERRIDE=FQ","FILING_STATUS=OR","EQY_CONSOLIDATED=Y","Sort=A","Dates=H","DateFormat=P","Fill=—","Direction=H","UseDPDF=Y")</f>
        <v>#NAME?</v>
      </c>
      <c r="AS192" s="2" t="e">
        <f ca="1">_xll.BDH($C$178,"ACCOUNTS_RECEIVABLE_5_YR_GROWTH","FQ4 2016","FQ4 2016","Currency=INR","Period=FQ","BEST_FPERIOD_OVERRIDE=FQ","FILING_STATUS=OR","EQY_CONSOLIDATED=Y","Sort=A","Dates=H","DateFormat=P","Fill=—","Direction=H","UseDPDF=Y")</f>
        <v>#NAME?</v>
      </c>
      <c r="AT192" s="2" t="e">
        <f ca="1">_xll.BDH($C$178,"INVENTORY_5_YEAR_GROWTH","FQ4 2016","FQ4 2016","Currency=INR","Period=FQ","BEST_FPERIOD_OVERRIDE=FQ","FILING_STATUS=OR","EQY_CONSOLIDATED=Y","Sort=A","Dates=H","DateFormat=P","Fill=—","Direction=H","UseDPDF=Y")</f>
        <v>#NAME?</v>
      </c>
      <c r="AU192" s="2" t="e">
        <f ca="1">_xll.BDH($C$178,"NET_FIXED_ASSETS_5_YEAR_GROWTH","FQ4 2016","FQ4 2016","Currency=INR","Period=FQ","BEST_FPERIOD_OVERRIDE=FQ","FILING_STATUS=OR","EQY_CONSOLIDATED=Y","Sort=A","Dates=H","DateFormat=P","Fill=—","Direction=H","UseDPDF=Y")</f>
        <v>#NAME?</v>
      </c>
      <c r="AV192" s="2" t="e">
        <f ca="1">_xll.BDH($C$178,"GEO_GROW_TOT_ASSET","FQ4 2016","FQ4 2016","Currency=INR","Period=FQ","BEST_FPERIOD_OVERRIDE=FQ","FILING_STATUS=OR","EQY_CONSOLIDATED=Y","Sort=A","Dates=H","DateFormat=P","Fill=—","Direction=H","UseDPDF=Y")</f>
        <v>#NAME?</v>
      </c>
      <c r="AW192" s="2" t="e">
        <f ca="1">_xll.BDH($C$178,"MODIFIED_WORKING_CPTL_5YR_GRWTH","FQ4 2016","FQ4 2016","Currency=INR","Period=FQ","BEST_FPERIOD_OVERRIDE=FQ","FILING_STATUS=OR","EQY_CONSOLIDATED=Y","Sort=A","Dates=H","DateFormat=P","Fill=—","Direction=H","UseDPDF=Y")</f>
        <v>#NAME?</v>
      </c>
      <c r="AX192" s="2" t="e">
        <f ca="1">_xll.BDH($C$178,"WORKING_CAPITAL_5_YEAR_GROWTH","FQ4 2016","FQ4 2016","Currency=INR","Period=FQ","BEST_FPERIOD_OVERRIDE=FQ","FILING_STATUS=OR","EQY_CONSOLIDATED=Y","Sort=A","Dates=H","DateFormat=P","Fill=—","Direction=H","UseDPDF=Y")</f>
        <v>#NAME?</v>
      </c>
      <c r="AY192" s="2" t="e">
        <f ca="1">_xll.BDH($C$178,"ACCOUNTS_PAYABLE_5_YEAR_GROWTH","FQ4 2016","FQ4 2016","Currency=INR","Period=FQ","BEST_FPERIOD_OVERRIDE=FQ","FILING_STATUS=OR","EQY_CONSOLIDATED=Y","Sort=A","Dates=H","DateFormat=P","Fill=—","Direction=H","UseDPDF=Y")</f>
        <v>#NAME?</v>
      </c>
      <c r="AZ192" s="2" t="e">
        <f ca="1">_xll.BDH($C$178,"SHORT_TERM_DEBT_5_YEAR_GROWTH","FQ4 2016","FQ4 2016","Currency=INR","Period=FQ","BEST_FPERIOD_OVERRIDE=FQ","FILING_STATUS=OR","EQY_CONSOLIDATED=Y","Sort=A","Dates=H","DateFormat=P","Fill=—","Direction=H","UseDPDF=Y")</f>
        <v>#NAME?</v>
      </c>
      <c r="BA192" s="2" t="e">
        <f ca="1">_xll.BDH($C$178,"TOTAL_DEBT_5_YEAR_GROWTH","FQ4 2016","FQ4 2016","Currency=INR","Period=FQ","BEST_FPERIOD_OVERRIDE=FQ","FILING_STATUS=OR","EQY_CONSOLIDATED=Y","Sort=A","Dates=H","DateFormat=P","Fill=—","Direction=H","UseDPDF=Y")</f>
        <v>#NAME?</v>
      </c>
      <c r="BB192" s="2" t="e">
        <f ca="1">_xll.BDH($C$178,"GEO_GROW_TOT_SHRHLDR_EQY","FQ4 2016","FQ4 2016","Currency=INR","Period=FQ","BEST_FPERIOD_OVERRIDE=FQ","FILING_STATUS=OR","EQY_CONSOLIDATED=Y","Sort=A","Dates=H","DateFormat=P","Fill=—","Direction=H","UseDPDF=Y")</f>
        <v>#NAME?</v>
      </c>
      <c r="BC192" s="2" t="e">
        <f ca="1">_xll.BDH($C$178,"TOTAL_CAPITAL_5_YEAR_GROWTH","FQ4 2016","FQ4 2016","Currency=INR","Period=FQ","BEST_FPERIOD_OVERRIDE=FQ","FILING_STATUS=OR","EQY_CONSOLIDATED=Y","Sort=A","Dates=H","DateFormat=P","Fill=—","Direction=H","UseDPDF=Y")</f>
        <v>#NAME?</v>
      </c>
      <c r="BD192" s="2" t="e">
        <f ca="1">_xll.BDH($C$178,"GEO_GROW_BOOK_VAL","FQ4 2016","FQ4 2016","Currency=INR","Period=FQ","BEST_FPERIOD_OVERRIDE=FQ","FILING_STATUS=OR","EQY_CONSOLIDATED=Y","Sort=A","Dates=H","DateFormat=P","Fill=—","Direction=H","UseDPDF=Y")</f>
        <v>#NAME?</v>
      </c>
      <c r="BE192" s="2" t="e">
        <f ca="1">_xll.BDH($C$178,"GEO_GROW_CASH_OPER_ACT","FQ4 2016","FQ4 2016","Currency=INR","Period=FQ","BEST_FPERIOD_OVERRIDE=FQ","FILING_STATUS=OR","EQY_CONSOLIDATED=Y","Sort=A","Dates=H","DateFormat=P","Fill=—","Direction=H","UseDPDF=Y")</f>
        <v>#NAME?</v>
      </c>
      <c r="BF192" s="2" t="e">
        <f ca="1">_xll.BDH($C$178,"REVENUE_SEQUENTIAL_GROWTH","FQ4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192" s="2" t="e">
        <f ca="1">_xll.BDH($C$178,"EBITDA_SEQUENTIAL_GROWTH","FQ4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192" s="2" t="e">
        <f ca="1">_xll.BDH($C$178,"OPERATING_INCOME_SEQ_GROWTH","FQ4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192" s="2" t="e">
        <f ca="1">_xll.BDH($C$178,"NET_INCOME_TO_COMMON_SEQ_GROWTH","FQ4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192" s="2" t="e">
        <f ca="1">_xll.BDH($C$178,"EPS_DILUTED_SEQUENTIAL_GROWTH","FQ4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192" s="2" t="e">
        <f ca="1">_xll.BDH($C$178,"DPS_SEQUENTIAL_GROWTH","FQ4 2016","FQ4 2016","Currency=INR","Period=FQ","BEST_FPERIOD_OVERRIDE=FQ","FILING_STATUS=OR","EQY_CONSOLIDATED=Y","Sort=A","Dates=H","DateFormat=P","Fill=—","Direction=H","UseDPDF=Y")</f>
        <v>#NAME?</v>
      </c>
      <c r="BL192" s="2" t="e">
        <f ca="1">_xll.BDH($C$178,"ACCOUNTS_RECEIVABLE_SEQ_GROWTH","FQ4 2016","FQ4 2016","Currency=INR","Period=FQ","BEST_FPERIOD_OVERRIDE=FQ","FILING_STATUS=OR","EQY_CONSOLIDATED=Y","Sort=A","Dates=H","DateFormat=P","Fill=—","Direction=H","UseDPDF=Y")</f>
        <v>#NAME?</v>
      </c>
      <c r="BM192" s="2" t="e">
        <f ca="1">_xll.BDH($C$178,"INVENTORY_SEQUENTIAL_GROWTH","FQ4 2016","FQ4 2016","Currency=INR","Period=FQ","BEST_FPERIOD_OVERRIDE=FQ","FILING_STATUS=OR","EQY_CONSOLIDATED=Y","Sort=A","Dates=H","DateFormat=P","Fill=—","Direction=H","UseDPDF=Y")</f>
        <v>#NAME?</v>
      </c>
      <c r="BN192" s="2" t="e">
        <f ca="1">_xll.BDH($C$178,"FIXED_ASSETS_SEQUENTIAL_GROWTH","FQ4 2016","FQ4 2016","Currency=INR","Period=FQ","BEST_FPERIOD_OVERRIDE=FQ","FILING_STATUS=OR","EQY_CONSOLIDATED=Y","Sort=A","Dates=H","DateFormat=P","Fill=—","Direction=H","UseDPDF=Y")</f>
        <v>#NAME?</v>
      </c>
      <c r="BO192" s="2" t="e">
        <f ca="1">_xll.BDH($C$178,"TOTAL_ASSETS_SEQUENTIAL_GROWTH","FQ4 2016","FQ4 2016","Currency=INR","Period=FQ","BEST_FPERIOD_OVERRIDE=FQ","FILING_STATUS=OR","EQY_CONSOLIDATED=Y","Sort=A","Dates=H","DateFormat=P","Fill=—","Direction=H","UseDPDF=Y")</f>
        <v>#NAME?</v>
      </c>
      <c r="BP192" s="2" t="e">
        <f ca="1">_xll.BDH($C$178,"MODIFIED_WORKING_CPTL_SEQ_GRWTH","FQ4 2016","FQ4 2016","Currency=INR","Period=FQ","BEST_FPERIOD_OVERRIDE=FQ","FILING_STATUS=OR","EQY_CONSOLIDATED=Y","Sort=A","Dates=H","DateFormat=P","Fill=—","Direction=H","UseDPDF=Y")</f>
        <v>#NAME?</v>
      </c>
      <c r="BQ192" s="2" t="e">
        <f ca="1">_xll.BDH($C$178,"WORKING_CAPITAL_SEQ_GROWTH","FQ4 2016","FQ4 2016","Currency=INR","Period=FQ","BEST_FPERIOD_OVERRIDE=FQ","FILING_STATUS=OR","EQY_CONSOLIDATED=Y","Sort=A","Dates=H","DateFormat=P","Fill=—","Direction=H","UseDPDF=Y")</f>
        <v>#NAME?</v>
      </c>
      <c r="BR192" s="2" t="e">
        <f ca="1">_xll.BDH($C$178,"ACCOUNTS_PAYABLE_SEQ_GROWTH","FQ4 2016","FQ4 2016","Currency=INR","Period=FQ","BEST_FPERIOD_OVERRIDE=FQ","FILING_STATUS=OR","EQY_CONSOLIDATED=Y","Sort=A","Dates=H","DateFormat=P","Fill=—","Direction=H","UseDPDF=Y")</f>
        <v>#NAME?</v>
      </c>
      <c r="BS192" s="2" t="e">
        <f ca="1">_xll.BDH($C$178,"ST_DEBT_SEQUENTIAL_GROWTH","FQ4 2016","FQ4 2016","Currency=INR","Period=FQ","BEST_FPERIOD_OVERRIDE=FQ","FILING_STATUS=OR","EQY_CONSOLIDATED=Y","Sort=A","Dates=H","DateFormat=P","Fill=—","Direction=H","UseDPDF=Y")</f>
        <v>#NAME?</v>
      </c>
      <c r="BT192" s="2" t="e">
        <f ca="1">_xll.BDH($C$178,"TOTAL_DEBT_SEQUENTIAL_GROWTH","FQ4 2016","FQ4 2016","Currency=INR","Period=FQ","BEST_FPERIOD_OVERRIDE=FQ","FILING_STATUS=OR","EQY_CONSOLIDATED=Y","Sort=A","Dates=H","DateFormat=P","Fill=—","Direction=H","UseDPDF=Y")</f>
        <v>#NAME?</v>
      </c>
      <c r="BU192" s="2" t="e">
        <f ca="1">_xll.BDH($C$178,"TOTAL_EQUITY_SEQUENTIAL_GROWTH","FQ4 2016","FQ4 2016","Currency=INR","Period=FQ","BEST_FPERIOD_OVERRIDE=FQ","FILING_STATUS=OR","EQY_CONSOLIDATED=Y","Sort=A","Dates=H","DateFormat=P","Fill=—","Direction=H","UseDPDF=Y")</f>
        <v>#NAME?</v>
      </c>
      <c r="BV192" s="2" t="e">
        <f ca="1">_xll.BDH($C$178,"TOTAL_CAPITAL_SEQUENTIAL_GROWTH","FQ4 2016","FQ4 2016","Currency=INR","Period=FQ","BEST_FPERIOD_OVERRIDE=FQ","FILING_STATUS=OR","EQY_CONSOLIDATED=Y","Sort=A","Dates=H","DateFormat=P","Fill=—","Direction=H","UseDPDF=Y")</f>
        <v>#NAME?</v>
      </c>
      <c r="BW192" s="2" t="e">
        <f ca="1">_xll.BDH($C$178,"BPS_SEQUENTIAL_GROWTH","FQ4 2016","FQ4 2016","Currency=INR","Period=FQ","BEST_FPERIOD_OVERRIDE=FQ","FILING_STATUS=OR","EQY_CONSOLIDATED=Y","Sort=A","Dates=H","DateFormat=P","Fill=—","Direction=H","UseDPDF=Y")</f>
        <v>#NAME?</v>
      </c>
      <c r="BX192" s="2" t="e">
        <f ca="1">_xll.BDH($C$178,"CFO_SEQUENTIAL_GROWTH","FQ4 2016","FQ4 2016","Currency=INR","Period=FQ","BEST_FPERIOD_OVERRIDE=FQ","FILING_STATUS=OR","EQY_CONSOLIDATED=Y","Sort=A","Dates=H","DateFormat=P","Fill=—","Direction=H","UseDPDF=Y")</f>
        <v>#NAME?</v>
      </c>
      <c r="BY192" s="3" t="e">
        <f ca="1">_xll.BDH($C$178,"SHORT_AND_LONG_TERM_DEBT","FQ4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192" s="3" t="e">
        <f ca="1">_xll.BDH($C$178,"BS_ST_BORROW","FQ4 2016","FQ4 2016","Currency=INR","Period=FQ","BEST_FPERIOD_OVERRIDE=FQ","FILING_STATUS=OR","EQY_CONSOLIDATED=Y","SCALING_FORMAT=MLN","Sort=A","Dates=H","DateFormat=P","Fill=—","Direction=H","UseDPDF=Y")</f>
        <v>#NAME?</v>
      </c>
      <c r="CA192" s="3" t="e">
        <f ca="1">_xll.BDH($C$178,"BS_LT_BORROW","FQ4 2016","FQ4 2016","Currency=INR","Period=FQ","BEST_FPERIOD_OVERRIDE=FQ","FILING_STATUS=OR","EQY_CONSOLIDATED=Y","SCALING_FORMAT=MLN","Sort=A","Dates=H","DateFormat=P","Fill=—","Direction=H","UseDPDF=Y")</f>
        <v>#NAME?</v>
      </c>
      <c r="CB192" s="2" t="e">
        <f ca="1">_xll.BDH($C$178,"TOT_DEBT_TO_EBITDA","FQ4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192" s="2" t="e">
        <f ca="1">_xll.BDH($C$178,"NET_DEBT_TO_EBITDA","FQ4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192" s="2" t="e">
        <f ca="1">_xll.BDH($C$178,"TOTAL_DEBT_TO_EBIT","FQ4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192" s="2" t="e">
        <f ca="1">_xll.BDH($C$178,"NET_DEBT_TO_EBIT","FQ4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192" s="2" t="e">
        <f ca="1">_xll.BDH($C$178,"EBITDA_TO_INTEREST_EXPN","FQ4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192" s="2" t="e">
        <f ca="1">_xll.BDH($C$178,"COM_EQY_TO_TOT_ASSET","FQ4 2016","FQ4 2016","Currency=INR","Period=FQ","BEST_FPERIOD_OVERRIDE=FQ","FILING_STATUS=OR","EQY_CONSOLIDATED=Y","Sort=A","Dates=H","DateFormat=P","Fill=—","Direction=H","UseDPDF=Y")</f>
        <v>#NAME?</v>
      </c>
      <c r="CH192" s="2" t="e">
        <f ca="1">_xll.BDH($C$178,"LT_DEBT_TO_TOT_EQY","FQ4 2016","FQ4 2016","Currency=INR","Period=FQ","BEST_FPERIOD_OVERRIDE=FQ","FILING_STATUS=OR","EQY_CONSOLIDATED=Y","Sort=A","Dates=H","DateFormat=P","Fill=—","Direction=H","UseDPDF=Y")</f>
        <v>#NAME?</v>
      </c>
      <c r="CI192" s="2" t="e">
        <f ca="1">_xll.BDH($C$178,"LT_DEBT_TO_TOT_CAP","FQ4 2016","FQ4 2016","Currency=INR","Period=FQ","BEST_FPERIOD_OVERRIDE=FQ","FILING_STATUS=OR","EQY_CONSOLIDATED=Y","Sort=A","Dates=H","DateFormat=P","Fill=—","Direction=H","UseDPDF=Y")</f>
        <v>#NAME?</v>
      </c>
      <c r="CJ192" s="2" t="e">
        <f ca="1">_xll.BDH($C$178,"LT_DEBT_TO_TOT_ASSET","FQ4 2016","FQ4 2016","Currency=INR","Period=FQ","BEST_FPERIOD_OVERRIDE=FQ","FILING_STATUS=OR","EQY_CONSOLIDATED=Y","Sort=A","Dates=H","DateFormat=P","Fill=—","Direction=H","UseDPDF=Y")</f>
        <v>#NAME?</v>
      </c>
      <c r="CK192" s="2" t="e">
        <f ca="1">_xll.BDH($C$178,"TOT_DEBT_TO_TOT_EQY","FQ4 2016","FQ4 2016","Currency=INR","Period=FQ","BEST_FPERIOD_OVERRIDE=FQ","FILING_STATUS=OR","EQY_CONSOLIDATED=Y","Sort=A","Dates=H","DateFormat=P","Fill=—","Direction=H","UseDPDF=Y")</f>
        <v>#NAME?</v>
      </c>
      <c r="CL192" s="2" t="e">
        <f ca="1">_xll.BDH($C$178,"TOT_DEBT_TO_TOT_CAP","FQ4 2016","FQ4 2016","Currency=INR","Period=FQ","BEST_FPERIOD_OVERRIDE=FQ","FILING_STATUS=OR","EQY_CONSOLIDATED=Y","Sort=A","Dates=H","DateFormat=P","Fill=—","Direction=H","UseDPDF=Y")</f>
        <v>#NAME?</v>
      </c>
      <c r="CM192" s="2" t="e">
        <f ca="1">_xll.BDH($C$178,"TOT_DEBT_TO_TOT_ASSET","FQ4 2016","FQ4 2016","Currency=INR","Period=FQ","BEST_FPERIOD_OVERRIDE=FQ","FILING_STATUS=OR","EQY_CONSOLIDATED=Y","Sort=A","Dates=H","DateFormat=P","Fill=—","Direction=H","UseDPDF=Y")</f>
        <v>#NAME?</v>
      </c>
      <c r="CN192" s="2" t="e">
        <f ca="1">_xll.BDH($C$178,"NET_DEBT_TO_SHRHLDR_EQTY","FQ4 2016","FQ4 2016","Currency=INR","Period=FQ","BEST_FPERIOD_OVERRIDE=FQ","FILING_STATUS=OR","EQY_CONSOLIDATED=Y","Sort=A","Dates=H","DateFormat=P","Fill=—","Direction=H","UseDPDF=Y")</f>
        <v>#NAME?</v>
      </c>
      <c r="CO192" s="2" t="e">
        <f ca="1">_xll.BDH($C$178,"NET_DEBT_%_CAPITAL","FQ4 2016","FQ4 2016","Currency=INR","Period=FQ","BEST_FPERIOD_OVERRIDE=FQ","FILING_STATUS=OR","EQY_CONSOLIDATED=Y","Sort=A","Dates=H","DateFormat=P","Fill=—","Direction=H","UseDPDF=Y")</f>
        <v>#NAME?</v>
      </c>
      <c r="CP192" s="3" t="e">
        <f ca="1">_xll.BDH($C$178,"EBITDA","FQ4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192" s="3" t="e">
        <f ca="1">_xll.BDH($C$178,"EBITDA_AFTER_CAPEX","FQ4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192" s="3" t="e">
        <f ca="1">_xll.BDH($C$178,"IS_OPER_INC","FQ4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192" s="2" t="e">
        <f ca="1">_xll.BDH($C$178,"CASH_RATIO","FQ4 2016","FQ4 2016","Currency=INR","Period=FQ","BEST_FPERIOD_OVERRIDE=FQ","FILING_STATUS=OR","EQY_CONSOLIDATED=Y","Sort=A","Dates=H","DateFormat=P","Fill=—","Direction=H","UseDPDF=Y")</f>
        <v>#NAME?</v>
      </c>
      <c r="CT192" s="2" t="e">
        <f ca="1">_xll.BDH($C$178,"CUR_RATIO","FQ4 2016","FQ4 2016","Currency=INR","Period=FQ","BEST_FPERIOD_OVERRIDE=FQ","FILING_STATUS=OR","EQY_CONSOLIDATED=Y","Sort=A","Dates=H","DateFormat=P","Fill=—","Direction=H","UseDPDF=Y")</f>
        <v>#NAME?</v>
      </c>
      <c r="CU192" s="2" t="e">
        <f ca="1">_xll.BDH($C$178,"QUICK_RATIO","FQ4 2016","FQ4 2016","Currency=INR","Period=FQ","BEST_FPERIOD_OVERRIDE=FQ","FILING_STATUS=OR","EQY_CONSOLIDATED=Y","Sort=A","Dates=H","DateFormat=P","Fill=—","Direction=H","UseDPDF=Y")</f>
        <v>#NAME?</v>
      </c>
      <c r="CV192" s="2" t="e">
        <f ca="1">_xll.BDH($C$178,"ALTMAN_Z_SCORE","FQ4 2016","FQ4 2016","Currency=INR","Period=FQ","BEST_FPERIOD_OVERRIDE=FQ","FILING_STATUS=OR","EQY_CONSOLIDATED=Y","Sort=A","Dates=H","DateFormat=P","Fill=—","Direction=H","UseDPDF=Y")</f>
        <v>#NAME?</v>
      </c>
      <c r="CW192" s="4" t="e">
        <f ca="1">_xll.BDH($C$178,"ACCT_RCV_TURN","FQ4 2016","FQ4 2016","Currency=INR","Period=FQ","BEST_FPERIOD_OVERRIDE=FQ","FILING_STATUS=OR","EQY_CONSOLIDATED=Y","FA_ADJUSTED=GAAP","Sort=A","Dates=H","DateFormat=P","Fill=—","Direction=H","UseDPDF=Y")</f>
        <v>#NAME?</v>
      </c>
      <c r="CX192" s="2" t="e">
        <f ca="1">_xll.BDH($C$178,"ACCT_RCV_DAYS","FQ4 2016","FQ4 2016","Currency=INR","Period=FQ","BEST_FPERIOD_OVERRIDE=FQ","FILING_STATUS=OR","EQY_CONSOLIDATED=Y","FA_ADJUSTED=GAAP","Sort=A","Dates=H","DateFormat=P","Fill=—","Direction=H","UseDPDF=Y")</f>
        <v>#NAME?</v>
      </c>
      <c r="CY192" s="4" t="e">
        <f ca="1">_xll.BDH($C$178,"INVENT_TURN","FQ4 2016","FQ4 2016","Currency=INR","Period=FQ","BEST_FPERIOD_OVERRIDE=FQ","FILING_STATUS=OR","EQY_CONSOLIDATED=Y","FA_ADJUSTED=GAAP","Sort=A","Dates=H","DateFormat=P","Fill=—","Direction=H","UseDPDF=Y")</f>
        <v>#NAME?</v>
      </c>
      <c r="CZ192" s="2" t="e">
        <f ca="1">_xll.BDH($C$178,"INVENT_DAYS","FQ4 2016","FQ4 2016","Currency=INR","Period=FQ","BEST_FPERIOD_OVERRIDE=FQ","FILING_STATUS=OR","EQY_CONSOLIDATED=Y","FA_ADJUSTED=GAAP","Sort=A","Dates=H","DateFormat=P","Fill=—","Direction=H","UseDPDF=Y")</f>
        <v>#NAME?</v>
      </c>
      <c r="DA192" s="4" t="e">
        <f ca="1">_xll.BDH($C$178,"ACCOUNTS_PAYABLE_TURNOVER","FQ4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192" s="2" t="e">
        <f ca="1">_xll.BDH($C$178,"ACCOUNTS_PAYABLE_TURNOVER_DAYS","FQ4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192" s="4" t="e">
        <f ca="1">_xll.BDH($C$178,"CASH_CONVERSION_CYCLE","FQ4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192" s="4" t="e">
        <f ca="1">_xll.BDH($C$178,"INV_TO_CASH_DAYS","FQ4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192" s="5" t="e">
        <f ca="1">_xll.BDH($C$178,"BS_INVENTORIES","FQ4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192" s="3" t="e">
        <f ca="1">_xll.BDH($C$178,"INVTRY_RAW_MATERIALS","FQ4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192" s="3" t="e">
        <f ca="1">_xll.BDH($C$178,"INVTRY_IN_PROGRESS","FQ4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192" s="3" t="e">
        <f ca="1">_xll.BDH($C$178,"INVTRY_FINISHED_GOODS","FQ4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192" s="3" t="e">
        <f ca="1">_xll.BDH($C$178,"BS_OTHER_INV","FQ4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193" spans="1:113" x14ac:dyDescent="0.3">
      <c r="A193" s="6"/>
      <c r="B193" s="6"/>
      <c r="C193" s="6"/>
      <c r="D193" s="6" t="s">
        <v>84</v>
      </c>
      <c r="E193" t="s">
        <v>77</v>
      </c>
      <c r="F193" t="e">
        <f ca="1">_xll.BDH($C$178,"RETURN_COM_EQY","FY 2017","FY 2017","Currency=INR","Period=FY","BEST_FPERIOD_OVERRIDE=FY","FILING_STATUS=OR","EQY_CONSOLIDATED=Y","FA_ADJUSTED=GAAP","Sort=A","Dates=H","DateFormat=P","Fill=—","Direction=H","UseDPDF=Y")</f>
        <v>#NAME?</v>
      </c>
      <c r="G193" t="e">
        <f ca="1">_xll.BDH($C$178,"RETURN_ON_ASSET","FY 2017","FY 2017","Currency=INR","Period=FY","BEST_FPERIOD_OVERRIDE=FY","FILING_STATUS=OR","EQY_CONSOLIDATED=Y","FA_ADJUSTED=GAAP","Sort=A","Dates=H","DateFormat=P","Fill=—","Direction=H","UseDPDF=Y")</f>
        <v>#NAME?</v>
      </c>
      <c r="H193" t="e">
        <f ca="1">_xll.BDH($C$178,"RETURN_ON_CAP","FY 2017","FY 2017","Currency=INR","Period=FY","BEST_FPERIOD_OVERRIDE=FY","FILING_STATUS=OR","EQY_CONSOLIDATED=Y","FA_ADJUSTED=GAAP","Sort=A","Dates=H","DateFormat=P","Fill=—","Direction=H","UseDPDF=Y")</f>
        <v>#NAME?</v>
      </c>
      <c r="I193" t="e">
        <f ca="1">_xll.BDH($C$178,"RETURN_ON_INV_CAPITAL","FY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193" t="e">
        <f ca="1">_xll.BDH($C$178,"EBITDA_TO_REVENUE","FY 2017","FY 2017","Currency=INR","Period=FY","BEST_FPERIOD_OVERRIDE=FY","FILING_STATUS=OR","EQY_CONSOLIDATED=Y","FA_ADJUSTED=GAAP","Sort=A","Dates=H","DateFormat=P","Fill=—","Direction=H","UseDPDF=Y")</f>
        <v>#NAME?</v>
      </c>
      <c r="K193" t="e">
        <f ca="1">_xll.BDH($C$178,"OPER_MARGIN","FY 2017","FY 2017","Currency=INR","Period=FY","BEST_FPERIOD_OVERRIDE=FY","FILING_STATUS=OR","EQY_CONSOLIDATED=Y","FA_ADJUSTED=GAAP","Sort=A","Dates=H","DateFormat=P","Fill=—","Direction=H","UseDPDF=Y")</f>
        <v>#NAME?</v>
      </c>
      <c r="L193" t="e">
        <f ca="1">_xll.BDH($C$178,"INCREMENTAL_OPERATING_MARGIN","FY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193" t="e">
        <f ca="1">_xll.BDH($C$178,"PRETAX_INC_TO_NET_SALES","FY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193" t="e">
        <f ca="1">_xll.BDH($C$178,"INC_BEF_XO_ITEMS_TO_NET_SALES","FY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193" t="e">
        <f ca="1">_xll.BDH($C$178,"PROF_MARGIN","FY 2017","FY 2017","Currency=INR","Period=FY","BEST_FPERIOD_OVERRIDE=FY","FILING_STATUS=OR","EQY_CONSOLIDATED=Y","FA_ADJUSTED=GAAP","Sort=A","Dates=H","DateFormat=P","Fill=—","Direction=H","UseDPDF=Y")</f>
        <v>#NAME?</v>
      </c>
      <c r="P193" t="e">
        <f ca="1">_xll.BDH($C$178,"NET_INCOME_TO_COMMON_MARGIN","FY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193" t="e">
        <f ca="1">_xll.BDH($C$178,"EFF_TAX_RATE","FY 2017","FY 2017","Currency=INR","Period=FY","BEST_FPERIOD_OVERRIDE=FY","FILING_STATUS=OR","EQY_CONSOLIDATED=Y","FA_ADJUSTED=GAAP","Sort=A","Dates=H","DateFormat=P","Fill=—","Direction=H","UseDPDF=Y")</f>
        <v>#NAME?</v>
      </c>
      <c r="R193" t="e">
        <f ca="1">_xll.BDH($C$178,"DVD_PAYOUT_RATIO","FY 2017","FY 2017","Currency=INR","Period=FY","BEST_FPERIOD_OVERRIDE=FY","FILING_STATUS=OR","EQY_CONSOLIDATED=Y","FA_ADJUSTED=GAAP","Sort=A","Dates=H","DateFormat=P","Fill=—","Direction=H","UseDPDF=Y")</f>
        <v>#NAME?</v>
      </c>
      <c r="S193" t="e">
        <f ca="1">_xll.BDH($C$178,"SUSTAIN_GROWTH_RT","FY 2017","FY 2017","Currency=INR","Period=FY","BEST_FPERIOD_OVERRIDE=FY","FILING_STATUS=OR","EQY_CONSOLIDATED=Y","FA_ADJUSTED=GAAP","Sort=A","Dates=H","DateFormat=P","Fill=—","Direction=H","UseDPDF=Y")</f>
        <v>#NAME?</v>
      </c>
      <c r="T193" s="2" t="e">
        <f ca="1">_xll.BDH($C$178,"SALES_GROWTH","FY 2017","FY 2017","Currency=INR","Period=FY","BEST_FPERIOD_OVERRIDE=FY","FILING_STATUS=OR","EQY_CONSOLIDATED=Y","FA_ADJUSTED=GAAP","Sort=A","Dates=H","DateFormat=P","Fill=—","Direction=H","UseDPDF=Y")</f>
        <v>#NAME?</v>
      </c>
      <c r="U193" s="2" t="e">
        <f ca="1">_xll.BDH($C$178,"EBITDA_GROWTH","FY 2017","FY 2017","Currency=INR","Period=FY","BEST_FPERIOD_OVERRIDE=FY","FILING_STATUS=OR","EQY_CONSOLIDATED=Y","FA_ADJUSTED=GAAP","Sort=A","Dates=H","DateFormat=P","Fill=—","Direction=H","UseDPDF=Y")</f>
        <v>#NAME?</v>
      </c>
      <c r="V193" s="2" t="e">
        <f ca="1">_xll.BDH($C$178,"OPER_INC_GROWTH","FY 2017","FY 2017","Currency=INR","Period=FY","BEST_FPERIOD_OVERRIDE=FY","FILING_STATUS=OR","EQY_CONSOLIDATED=Y","FA_ADJUSTED=GAAP","Sort=A","Dates=H","DateFormat=P","Fill=—","Direction=H","UseDPDF=Y")</f>
        <v>#NAME?</v>
      </c>
      <c r="W193" s="2" t="e">
        <f ca="1">_xll.BDH($C$178,"EARN_FOR_COM_GROWTH","FY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193" s="2" t="e">
        <f ca="1">_xll.BDH($C$178,"DILUTED_EPS_AFT_XO_ITEMS_GROWTH","FY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193" s="2" t="e">
        <f ca="1">_xll.BDH($C$178,"DIVIDEND_PER_SHARE_1_YEAR_GROWTH","FY 2017","FY 2017","Currency=INR","Period=FY","BEST_FPERIOD_OVERRIDE=FY","FILING_STATUS=OR","EQY_CONSOLIDATED=Y","Sort=A","Dates=H","DateFormat=P","Fill=—","Direction=H","UseDPDF=Y")</f>
        <v>#NAME?</v>
      </c>
      <c r="Z193" s="2" t="e">
        <f ca="1">_xll.BDH($C$178,"ACCOUNTS_RECEIVABLE_GROWTH","FY 2017","FY 2017","Currency=INR","Period=FY","BEST_FPERIOD_OVERRIDE=FY","FILING_STATUS=OR","EQY_CONSOLIDATED=Y","Sort=A","Dates=H","DateFormat=P","Fill=—","Direction=H","UseDPDF=Y")</f>
        <v>#NAME?</v>
      </c>
      <c r="AA193" s="2" t="e">
        <f ca="1">_xll.BDH($C$178,"INVENTORY_GROWTH","FY 2017","FY 2017","Currency=INR","Period=FY","BEST_FPERIOD_OVERRIDE=FY","FILING_STATUS=OR","EQY_CONSOLIDATED=Y","Sort=A","Dates=H","DateFormat=P","Fill=—","Direction=H","UseDPDF=Y")</f>
        <v>#NAME?</v>
      </c>
      <c r="AB193" s="2" t="e">
        <f ca="1">_xll.BDH($C$178,"NET_FIXED_ASSETS_1_YEAR_GROWTH","FY 2017","FY 2017","Currency=INR","Period=FY","BEST_FPERIOD_OVERRIDE=FY","FILING_STATUS=OR","EQY_CONSOLIDATED=Y","Sort=A","Dates=H","DateFormat=P","Fill=—","Direction=H","UseDPDF=Y")</f>
        <v>#NAME?</v>
      </c>
      <c r="AC193" s="2" t="e">
        <f ca="1">_xll.BDH($C$178,"ASSET_GROWTH","FY 2017","FY 2017","Currency=INR","Period=FY","BEST_FPERIOD_OVERRIDE=FY","FILING_STATUS=OR","EQY_CONSOLIDATED=Y","Sort=A","Dates=H","DateFormat=P","Fill=—","Direction=H","UseDPDF=Y")</f>
        <v>#NAME?</v>
      </c>
      <c r="AD193" s="2" t="e">
        <f ca="1">_xll.BDH($C$178,"MODIFIED_WORK_CAP_GROWTH","FY 2017","FY 2017","Currency=INR","Period=FY","BEST_FPERIOD_OVERRIDE=FY","FILING_STATUS=OR","EQY_CONSOLIDATED=Y","Sort=A","Dates=H","DateFormat=P","Fill=—","Direction=H","UseDPDF=Y")</f>
        <v>#NAME?</v>
      </c>
      <c r="AE193" s="2" t="e">
        <f ca="1">_xll.BDH($C$178,"WORK_CAP_GROWTH","FY 2017","FY 2017","Currency=INR","Period=FY","BEST_FPERIOD_OVERRIDE=FY","FILING_STATUS=OR","EQY_CONSOLIDATED=Y","Sort=A","Dates=H","DateFormat=P","Fill=—","Direction=H","UseDPDF=Y")</f>
        <v>#NAME?</v>
      </c>
      <c r="AF193" s="2" t="e">
        <f ca="1">_xll.BDH($C$178,"ACCOUNTS_PAYABLE_GROWTH_1YR","FY 2017","FY 2017","Currency=INR","Period=FY","BEST_FPERIOD_OVERRIDE=FY","FILING_STATUS=OR","EQY_CONSOLIDATED=Y","Sort=A","Dates=H","DateFormat=P","Fill=—","Direction=H","UseDPDF=Y")</f>
        <v>#NAME?</v>
      </c>
      <c r="AG193" s="2" t="e">
        <f ca="1">_xll.BDH($C$178,"SHORT_TERM_DEBT_1_YEAR_GROWTH","FY 2017","FY 2017","Currency=INR","Period=FY","BEST_FPERIOD_OVERRIDE=FY","FILING_STATUS=OR","EQY_CONSOLIDATED=Y","Sort=A","Dates=H","DateFormat=P","Fill=—","Direction=H","UseDPDF=Y")</f>
        <v>#NAME?</v>
      </c>
      <c r="AH193" s="2" t="e">
        <f ca="1">_xll.BDH($C$178,"TOTAL_DEBT_1_YEAR_GROWTH","FY 2017","FY 2017","Currency=INR","Period=FY","BEST_FPERIOD_OVERRIDE=FY","FILING_STATUS=OR","EQY_CONSOLIDATED=Y","Sort=A","Dates=H","DateFormat=P","Fill=—","Direction=H","UseDPDF=Y")</f>
        <v>#NAME?</v>
      </c>
      <c r="AI193" s="2" t="e">
        <f ca="1">_xll.BDH($C$178,"TOTAL_EQUITY_1_YEAR_GROWTH","FY 2017","FY 2017","Currency=INR","Period=FY","BEST_FPERIOD_OVERRIDE=FY","FILING_STATUS=OR","EQY_CONSOLIDATED=Y","Sort=A","Dates=H","DateFormat=P","Fill=—","Direction=H","UseDPDF=Y")</f>
        <v>#NAME?</v>
      </c>
      <c r="AJ193" s="2" t="e">
        <f ca="1">_xll.BDH($C$178,"GROWTH_IN_CAP","FY 2017","FY 2017","Currency=INR","Period=FY","BEST_FPERIOD_OVERRIDE=FY","FILING_STATUS=OR","EQY_CONSOLIDATED=Y","Sort=A","Dates=H","DateFormat=P","Fill=—","Direction=H","UseDPDF=Y")</f>
        <v>#NAME?</v>
      </c>
      <c r="AK193" s="2" t="e">
        <f ca="1">_xll.BDH($C$178,"BVPS_GROWTH","FY 2017","FY 2017","Currency=INR","Period=FY","BEST_FPERIOD_OVERRIDE=FY","FILING_STATUS=OR","EQY_CONSOLIDATED=Y","Sort=A","Dates=H","DateFormat=P","Fill=—","Direction=H","UseDPDF=Y")</f>
        <v>#NAME?</v>
      </c>
      <c r="AL193" s="2" t="e">
        <f ca="1">_xll.BDH($C$178,"CASH_FLOW_GROWTH","FY 2017","FY 2017","Currency=INR","Period=FY","BEST_FPERIOD_OVERRIDE=FY","FILING_STATUS=OR","EQY_CONSOLIDATED=Y","Sort=A","Dates=H","DateFormat=P","Fill=—","Direction=H","UseDPDF=Y")</f>
        <v>#NAME?</v>
      </c>
      <c r="AM193" s="2" t="e">
        <f ca="1">_xll.BDH($C$178,"GEO_GROW_NET_SALES","FY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193" s="2" t="e">
        <f ca="1">_xll.BDH($C$178,"GEO_GROW_EBITDA","FY 2017","FY 2017","Currency=INR","Period=FY","BEST_FPERIOD_OVERRIDE=FY","FILING_STATUS=OR","EQY_CONSOLIDATED=Y","FA_ADJUSTED=GAAP","Sort=A","Dates=H","DateFormat=P","Fill=—","Direction=H","UseDPDF=Y")</f>
        <v>#NAME?</v>
      </c>
      <c r="AO193" s="2" t="e">
        <f ca="1">_xll.BDH($C$178,"GEO_GROW_OPER_INC","FY 2017","FY 2017","Currency=INR","Period=FY","BEST_FPERIOD_OVERRIDE=FY","FILING_STATUS=OR","EQY_CONSOLIDATED=Y","FA_ADJUSTED=GAAP","Sort=A","Dates=H","DateFormat=P","Fill=—","Direction=H","UseDPDF=Y")</f>
        <v>#NAME?</v>
      </c>
      <c r="AP193" s="2" t="e">
        <f ca="1">_xll.BDH($C$178,"NET_INCOME_TO_COMMON_5_YR_GROWTH","FY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193" s="2" t="e">
        <f ca="1">_xll.BDH($C$178,"5Y_GEO_GROWTH_DILUTED_EPS","FY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193" s="2" t="e">
        <f ca="1">_xll.BDH($C$178,"GEO_GROW_DVD_PER_SH","FY 2017","FY 2017","Currency=INR","Period=FY","BEST_FPERIOD_OVERRIDE=FY","FILING_STATUS=OR","EQY_CONSOLIDATED=Y","Sort=A","Dates=H","DateFormat=P","Fill=—","Direction=H","UseDPDF=Y")</f>
        <v>#NAME?</v>
      </c>
      <c r="AS193" s="2" t="e">
        <f ca="1">_xll.BDH($C$178,"ACCOUNTS_RECEIVABLE_5_YR_GROWTH","FY 2017","FY 2017","Currency=INR","Period=FY","BEST_FPERIOD_OVERRIDE=FY","FILING_STATUS=OR","EQY_CONSOLIDATED=Y","Sort=A","Dates=H","DateFormat=P","Fill=—","Direction=H","UseDPDF=Y")</f>
        <v>#NAME?</v>
      </c>
      <c r="AT193" s="2" t="e">
        <f ca="1">_xll.BDH($C$178,"INVENTORY_5_YEAR_GROWTH","FY 2017","FY 2017","Currency=INR","Period=FY","BEST_FPERIOD_OVERRIDE=FY","FILING_STATUS=OR","EQY_CONSOLIDATED=Y","Sort=A","Dates=H","DateFormat=P","Fill=—","Direction=H","UseDPDF=Y")</f>
        <v>#NAME?</v>
      </c>
      <c r="AU193" s="2" t="e">
        <f ca="1">_xll.BDH($C$178,"NET_FIXED_ASSETS_5_YEAR_GROWTH","FY 2017","FY 2017","Currency=INR","Period=FY","BEST_FPERIOD_OVERRIDE=FY","FILING_STATUS=OR","EQY_CONSOLIDATED=Y","Sort=A","Dates=H","DateFormat=P","Fill=—","Direction=H","UseDPDF=Y")</f>
        <v>#NAME?</v>
      </c>
      <c r="AV193" s="2" t="e">
        <f ca="1">_xll.BDH($C$178,"GEO_GROW_TOT_ASSET","FY 2017","FY 2017","Currency=INR","Period=FY","BEST_FPERIOD_OVERRIDE=FY","FILING_STATUS=OR","EQY_CONSOLIDATED=Y","Sort=A","Dates=H","DateFormat=P","Fill=—","Direction=H","UseDPDF=Y")</f>
        <v>#NAME?</v>
      </c>
      <c r="AW193" s="2" t="e">
        <f ca="1">_xll.BDH($C$178,"MODIFIED_WORKING_CPTL_5YR_GRWTH","FY 2017","FY 2017","Currency=INR","Period=FY","BEST_FPERIOD_OVERRIDE=FY","FILING_STATUS=OR","EQY_CONSOLIDATED=Y","Sort=A","Dates=H","DateFormat=P","Fill=—","Direction=H","UseDPDF=Y")</f>
        <v>#NAME?</v>
      </c>
      <c r="AX193" s="2" t="e">
        <f ca="1">_xll.BDH($C$178,"WORKING_CAPITAL_5_YEAR_GROWTH","FY 2017","FY 2017","Currency=INR","Period=FY","BEST_FPERIOD_OVERRIDE=FY","FILING_STATUS=OR","EQY_CONSOLIDATED=Y","Sort=A","Dates=H","DateFormat=P","Fill=—","Direction=H","UseDPDF=Y")</f>
        <v>#NAME?</v>
      </c>
      <c r="AY193" s="2" t="e">
        <f ca="1">_xll.BDH($C$178,"ACCOUNTS_PAYABLE_5_YEAR_GROWTH","FY 2017","FY 2017","Currency=INR","Period=FY","BEST_FPERIOD_OVERRIDE=FY","FILING_STATUS=OR","EQY_CONSOLIDATED=Y","Sort=A","Dates=H","DateFormat=P","Fill=—","Direction=H","UseDPDF=Y")</f>
        <v>#NAME?</v>
      </c>
      <c r="AZ193" s="2" t="e">
        <f ca="1">_xll.BDH($C$178,"SHORT_TERM_DEBT_5_YEAR_GROWTH","FY 2017","FY 2017","Currency=INR","Period=FY","BEST_FPERIOD_OVERRIDE=FY","FILING_STATUS=OR","EQY_CONSOLIDATED=Y","Sort=A","Dates=H","DateFormat=P","Fill=—","Direction=H","UseDPDF=Y")</f>
        <v>#NAME?</v>
      </c>
      <c r="BA193" s="2" t="e">
        <f ca="1">_xll.BDH($C$178,"TOTAL_DEBT_5_YEAR_GROWTH","FY 2017","FY 2017","Currency=INR","Period=FY","BEST_FPERIOD_OVERRIDE=FY","FILING_STATUS=OR","EQY_CONSOLIDATED=Y","Sort=A","Dates=H","DateFormat=P","Fill=—","Direction=H","UseDPDF=Y")</f>
        <v>#NAME?</v>
      </c>
      <c r="BB193" s="2" t="e">
        <f ca="1">_xll.BDH($C$178,"GEO_GROW_TOT_SHRHLDR_EQY","FY 2017","FY 2017","Currency=INR","Period=FY","BEST_FPERIOD_OVERRIDE=FY","FILING_STATUS=OR","EQY_CONSOLIDATED=Y","Sort=A","Dates=H","DateFormat=P","Fill=—","Direction=H","UseDPDF=Y")</f>
        <v>#NAME?</v>
      </c>
      <c r="BC193" s="2" t="e">
        <f ca="1">_xll.BDH($C$178,"TOTAL_CAPITAL_5_YEAR_GROWTH","FY 2017","FY 2017","Currency=INR","Period=FY","BEST_FPERIOD_OVERRIDE=FY","FILING_STATUS=OR","EQY_CONSOLIDATED=Y","Sort=A","Dates=H","DateFormat=P","Fill=—","Direction=H","UseDPDF=Y")</f>
        <v>#NAME?</v>
      </c>
      <c r="BD193" s="2" t="e">
        <f ca="1">_xll.BDH($C$178,"GEO_GROW_BOOK_VAL","FY 2017","FY 2017","Currency=INR","Period=FY","BEST_FPERIOD_OVERRIDE=FY","FILING_STATUS=OR","EQY_CONSOLIDATED=Y","Sort=A","Dates=H","DateFormat=P","Fill=—","Direction=H","UseDPDF=Y")</f>
        <v>#NAME?</v>
      </c>
      <c r="BE193" s="2" t="e">
        <f ca="1">_xll.BDH($C$178,"GEO_GROW_CASH_OPER_ACT","FY 2017","FY 2017","Currency=INR","Period=FY","BEST_FPERIOD_OVERRIDE=FY","FILING_STATUS=OR","EQY_CONSOLIDATED=Y","Sort=A","Dates=H","DateFormat=P","Fill=—","Direction=H","UseDPDF=Y")</f>
        <v>#NAME?</v>
      </c>
      <c r="BF193" s="2" t="e">
        <f ca="1">_xll.BDH($C$178,"REVENUE_SEQUENTIAL_GROWTH","FY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193" s="2" t="e">
        <f ca="1">_xll.BDH($C$178,"EBITDA_SEQUENTIAL_GROWTH","FY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193" s="2" t="e">
        <f ca="1">_xll.BDH($C$178,"OPERATING_INCOME_SEQ_GROWTH","FY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193" s="2" t="e">
        <f ca="1">_xll.BDH($C$178,"NET_INCOME_TO_COMMON_SEQ_GROWTH","FY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193" s="2" t="e">
        <f ca="1">_xll.BDH($C$178,"EPS_DILUTED_SEQUENTIAL_GROWTH","FY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193" s="2" t="e">
        <f ca="1">_xll.BDH($C$178,"DPS_SEQUENTIAL_GROWTH","FY 2017","FY 2017","Currency=INR","Period=FY","BEST_FPERIOD_OVERRIDE=FY","FILING_STATUS=OR","EQY_CONSOLIDATED=Y","Sort=A","Dates=H","DateFormat=P","Fill=—","Direction=H","UseDPDF=Y")</f>
        <v>#NAME?</v>
      </c>
      <c r="BL193" s="2" t="e">
        <f ca="1">_xll.BDH($C$178,"ACCOUNTS_RECEIVABLE_SEQ_GROWTH","FY 2017","FY 2017","Currency=INR","Period=FY","BEST_FPERIOD_OVERRIDE=FY","FILING_STATUS=OR","EQY_CONSOLIDATED=Y","Sort=A","Dates=H","DateFormat=P","Fill=—","Direction=H","UseDPDF=Y")</f>
        <v>#NAME?</v>
      </c>
      <c r="BM193" s="2" t="e">
        <f ca="1">_xll.BDH($C$178,"INVENTORY_SEQUENTIAL_GROWTH","FY 2017","FY 2017","Currency=INR","Period=FY","BEST_FPERIOD_OVERRIDE=FY","FILING_STATUS=OR","EQY_CONSOLIDATED=Y","Sort=A","Dates=H","DateFormat=P","Fill=—","Direction=H","UseDPDF=Y")</f>
        <v>#NAME?</v>
      </c>
      <c r="BN193" s="2" t="e">
        <f ca="1">_xll.BDH($C$178,"FIXED_ASSETS_SEQUENTIAL_GROWTH","FY 2017","FY 2017","Currency=INR","Period=FY","BEST_FPERIOD_OVERRIDE=FY","FILING_STATUS=OR","EQY_CONSOLIDATED=Y","Sort=A","Dates=H","DateFormat=P","Fill=—","Direction=H","UseDPDF=Y")</f>
        <v>#NAME?</v>
      </c>
      <c r="BO193" s="2" t="e">
        <f ca="1">_xll.BDH($C$178,"TOTAL_ASSETS_SEQUENTIAL_GROWTH","FY 2017","FY 2017","Currency=INR","Period=FY","BEST_FPERIOD_OVERRIDE=FY","FILING_STATUS=OR","EQY_CONSOLIDATED=Y","Sort=A","Dates=H","DateFormat=P","Fill=—","Direction=H","UseDPDF=Y")</f>
        <v>#NAME?</v>
      </c>
      <c r="BP193" s="2" t="e">
        <f ca="1">_xll.BDH($C$178,"MODIFIED_WORKING_CPTL_SEQ_GRWTH","FY 2017","FY 2017","Currency=INR","Period=FY","BEST_FPERIOD_OVERRIDE=FY","FILING_STATUS=OR","EQY_CONSOLIDATED=Y","Sort=A","Dates=H","DateFormat=P","Fill=—","Direction=H","UseDPDF=Y")</f>
        <v>#NAME?</v>
      </c>
      <c r="BQ193" s="2" t="e">
        <f ca="1">_xll.BDH($C$178,"WORKING_CAPITAL_SEQ_GROWTH","FY 2017","FY 2017","Currency=INR","Period=FY","BEST_FPERIOD_OVERRIDE=FY","FILING_STATUS=OR","EQY_CONSOLIDATED=Y","Sort=A","Dates=H","DateFormat=P","Fill=—","Direction=H","UseDPDF=Y")</f>
        <v>#NAME?</v>
      </c>
      <c r="BR193" s="2" t="e">
        <f ca="1">_xll.BDH($C$178,"ACCOUNTS_PAYABLE_SEQ_GROWTH","FY 2017","FY 2017","Currency=INR","Period=FY","BEST_FPERIOD_OVERRIDE=FY","FILING_STATUS=OR","EQY_CONSOLIDATED=Y","Sort=A","Dates=H","DateFormat=P","Fill=—","Direction=H","UseDPDF=Y")</f>
        <v>#NAME?</v>
      </c>
      <c r="BS193" s="2" t="e">
        <f ca="1">_xll.BDH($C$178,"ST_DEBT_SEQUENTIAL_GROWTH","FY 2017","FY 2017","Currency=INR","Period=FY","BEST_FPERIOD_OVERRIDE=FY","FILING_STATUS=OR","EQY_CONSOLIDATED=Y","Sort=A","Dates=H","DateFormat=P","Fill=—","Direction=H","UseDPDF=Y")</f>
        <v>#NAME?</v>
      </c>
      <c r="BT193" s="2" t="e">
        <f ca="1">_xll.BDH($C$178,"TOTAL_DEBT_SEQUENTIAL_GROWTH","FY 2017","FY 2017","Currency=INR","Period=FY","BEST_FPERIOD_OVERRIDE=FY","FILING_STATUS=OR","EQY_CONSOLIDATED=Y","Sort=A","Dates=H","DateFormat=P","Fill=—","Direction=H","UseDPDF=Y")</f>
        <v>#NAME?</v>
      </c>
      <c r="BU193" s="2" t="e">
        <f ca="1">_xll.BDH($C$178,"TOTAL_EQUITY_SEQUENTIAL_GROWTH","FY 2017","FY 2017","Currency=INR","Period=FY","BEST_FPERIOD_OVERRIDE=FY","FILING_STATUS=OR","EQY_CONSOLIDATED=Y","Sort=A","Dates=H","DateFormat=P","Fill=—","Direction=H","UseDPDF=Y")</f>
        <v>#NAME?</v>
      </c>
      <c r="BV193" s="2" t="e">
        <f ca="1">_xll.BDH($C$178,"TOTAL_CAPITAL_SEQUENTIAL_GROWTH","FY 2017","FY 2017","Currency=INR","Period=FY","BEST_FPERIOD_OVERRIDE=FY","FILING_STATUS=OR","EQY_CONSOLIDATED=Y","Sort=A","Dates=H","DateFormat=P","Fill=—","Direction=H","UseDPDF=Y")</f>
        <v>#NAME?</v>
      </c>
      <c r="BW193" s="2" t="e">
        <f ca="1">_xll.BDH($C$178,"BPS_SEQUENTIAL_GROWTH","FY 2017","FY 2017","Currency=INR","Period=FY","BEST_FPERIOD_OVERRIDE=FY","FILING_STATUS=OR","EQY_CONSOLIDATED=Y","Sort=A","Dates=H","DateFormat=P","Fill=—","Direction=H","UseDPDF=Y")</f>
        <v>#NAME?</v>
      </c>
      <c r="BX193" s="2" t="e">
        <f ca="1">_xll.BDH($C$178,"CFO_SEQUENTIAL_GROWTH","FY 2017","FY 2017","Currency=INR","Period=FY","BEST_FPERIOD_OVERRIDE=FY","FILING_STATUS=OR","EQY_CONSOLIDATED=Y","Sort=A","Dates=H","DateFormat=P","Fill=—","Direction=H","UseDPDF=Y")</f>
        <v>#NAME?</v>
      </c>
      <c r="BY193" s="3" t="e">
        <f ca="1">_xll.BDH($C$178,"SHORT_AND_LONG_TERM_DEBT","FY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193" s="3" t="e">
        <f ca="1">_xll.BDH($C$178,"BS_ST_BORROW","FY 2017","FY 2017","Currency=INR","Period=FY","BEST_FPERIOD_OVERRIDE=FY","FILING_STATUS=OR","EQY_CONSOLIDATED=Y","SCALING_FORMAT=MLN","Sort=A","Dates=H","DateFormat=P","Fill=—","Direction=H","UseDPDF=Y")</f>
        <v>#NAME?</v>
      </c>
      <c r="CA193" s="3" t="e">
        <f ca="1">_xll.BDH($C$178,"BS_LT_BORROW","FY 2017","FY 2017","Currency=INR","Period=FY","BEST_FPERIOD_OVERRIDE=FY","FILING_STATUS=OR","EQY_CONSOLIDATED=Y","SCALING_FORMAT=MLN","Sort=A","Dates=H","DateFormat=P","Fill=—","Direction=H","UseDPDF=Y")</f>
        <v>#NAME?</v>
      </c>
      <c r="CB193" s="2" t="e">
        <f ca="1">_xll.BDH($C$178,"TOT_DEBT_TO_EBITDA","FY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193" s="2" t="e">
        <f ca="1">_xll.BDH($C$178,"NET_DEBT_TO_EBITDA","FY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193" s="2" t="e">
        <f ca="1">_xll.BDH($C$178,"TOTAL_DEBT_TO_EBIT","FY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193" s="2" t="e">
        <f ca="1">_xll.BDH($C$178,"NET_DEBT_TO_EBIT","FY 2017","FY 2017","Currency=INR","Period=FY","BEST_FPERIOD_OVERRIDE=FY","FILING_STATUS=OR","EQY_CONSOLIDATED=Y","FA_ADJUSTED=GAAP","Sort=A","Dates=H","DateFormat=P","Fill=—","Direction=H","UseDPDF=Y")</f>
        <v>#NAME?</v>
      </c>
      <c r="CF193" s="2" t="e">
        <f ca="1">_xll.BDH($C$178,"EBITDA_TO_INTEREST_EXPN","FY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193" s="2" t="e">
        <f ca="1">_xll.BDH($C$178,"COM_EQY_TO_TOT_ASSET","FY 2017","FY 2017","Currency=INR","Period=FY","BEST_FPERIOD_OVERRIDE=FY","FILING_STATUS=OR","EQY_CONSOLIDATED=Y","Sort=A","Dates=H","DateFormat=P","Fill=—","Direction=H","UseDPDF=Y")</f>
        <v>#NAME?</v>
      </c>
      <c r="CH193" s="2" t="e">
        <f ca="1">_xll.BDH($C$178,"LT_DEBT_TO_TOT_EQY","FY 2017","FY 2017","Currency=INR","Period=FY","BEST_FPERIOD_OVERRIDE=FY","FILING_STATUS=OR","EQY_CONSOLIDATED=Y","Sort=A","Dates=H","DateFormat=P","Fill=—","Direction=H","UseDPDF=Y")</f>
        <v>#NAME?</v>
      </c>
      <c r="CI193" s="2" t="e">
        <f ca="1">_xll.BDH($C$178,"LT_DEBT_TO_TOT_CAP","FY 2017","FY 2017","Currency=INR","Period=FY","BEST_FPERIOD_OVERRIDE=FY","FILING_STATUS=OR","EQY_CONSOLIDATED=Y","Sort=A","Dates=H","DateFormat=P","Fill=—","Direction=H","UseDPDF=Y")</f>
        <v>#NAME?</v>
      </c>
      <c r="CJ193" s="2" t="e">
        <f ca="1">_xll.BDH($C$178,"LT_DEBT_TO_TOT_ASSET","FY 2017","FY 2017","Currency=INR","Period=FY","BEST_FPERIOD_OVERRIDE=FY","FILING_STATUS=OR","EQY_CONSOLIDATED=Y","Sort=A","Dates=H","DateFormat=P","Fill=—","Direction=H","UseDPDF=Y")</f>
        <v>#NAME?</v>
      </c>
      <c r="CK193" s="2" t="e">
        <f ca="1">_xll.BDH($C$178,"TOT_DEBT_TO_TOT_EQY","FY 2017","FY 2017","Currency=INR","Period=FY","BEST_FPERIOD_OVERRIDE=FY","FILING_STATUS=OR","EQY_CONSOLIDATED=Y","Sort=A","Dates=H","DateFormat=P","Fill=—","Direction=H","UseDPDF=Y")</f>
        <v>#NAME?</v>
      </c>
      <c r="CL193" s="2" t="e">
        <f ca="1">_xll.BDH($C$178,"TOT_DEBT_TO_TOT_CAP","FY 2017","FY 2017","Currency=INR","Period=FY","BEST_FPERIOD_OVERRIDE=FY","FILING_STATUS=OR","EQY_CONSOLIDATED=Y","Sort=A","Dates=H","DateFormat=P","Fill=—","Direction=H","UseDPDF=Y")</f>
        <v>#NAME?</v>
      </c>
      <c r="CM193" s="2" t="e">
        <f ca="1">_xll.BDH($C$178,"TOT_DEBT_TO_TOT_ASSET","FY 2017","FY 2017","Currency=INR","Period=FY","BEST_FPERIOD_OVERRIDE=FY","FILING_STATUS=OR","EQY_CONSOLIDATED=Y","Sort=A","Dates=H","DateFormat=P","Fill=—","Direction=H","UseDPDF=Y")</f>
        <v>#NAME?</v>
      </c>
      <c r="CN193" s="2" t="e">
        <f ca="1">_xll.BDH($C$178,"NET_DEBT_TO_SHRHLDR_EQTY","FY 2017","FY 2017","Currency=INR","Period=FY","BEST_FPERIOD_OVERRIDE=FY","FILING_STATUS=OR","EQY_CONSOLIDATED=Y","Sort=A","Dates=H","DateFormat=P","Fill=—","Direction=H","UseDPDF=Y")</f>
        <v>#NAME?</v>
      </c>
      <c r="CO193" s="2" t="e">
        <f ca="1">_xll.BDH($C$178,"NET_DEBT_%_CAPITAL","FY 2017","FY 2017","Currency=INR","Period=FY","BEST_FPERIOD_OVERRIDE=FY","FILING_STATUS=OR","EQY_CONSOLIDATED=Y","Sort=A","Dates=H","DateFormat=P","Fill=—","Direction=H","UseDPDF=Y")</f>
        <v>#NAME?</v>
      </c>
      <c r="CP193" s="3" t="e">
        <f ca="1">_xll.BDH($C$178,"EBITDA","FY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193" s="3" t="e">
        <f ca="1">_xll.BDH($C$178,"EBITDA_AFTER_CAPEX","FY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193" s="3" t="e">
        <f ca="1">_xll.BDH($C$178,"IS_OPER_INC","FY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193" s="2" t="e">
        <f ca="1">_xll.BDH($C$178,"CASH_RATIO","FY 2017","FY 2017","Currency=INR","Period=FY","BEST_FPERIOD_OVERRIDE=FY","FILING_STATUS=OR","EQY_CONSOLIDATED=Y","Sort=A","Dates=H","DateFormat=P","Fill=—","Direction=H","UseDPDF=Y")</f>
        <v>#NAME?</v>
      </c>
      <c r="CT193" s="2" t="e">
        <f ca="1">_xll.BDH($C$178,"CUR_RATIO","FY 2017","FY 2017","Currency=INR","Period=FY","BEST_FPERIOD_OVERRIDE=FY","FILING_STATUS=OR","EQY_CONSOLIDATED=Y","Sort=A","Dates=H","DateFormat=P","Fill=—","Direction=H","UseDPDF=Y")</f>
        <v>#NAME?</v>
      </c>
      <c r="CU193" s="2" t="e">
        <f ca="1">_xll.BDH($C$178,"QUICK_RATIO","FY 2017","FY 2017","Currency=INR","Period=FY","BEST_FPERIOD_OVERRIDE=FY","FILING_STATUS=OR","EQY_CONSOLIDATED=Y","Sort=A","Dates=H","DateFormat=P","Fill=—","Direction=H","UseDPDF=Y")</f>
        <v>#NAME?</v>
      </c>
      <c r="CV193" s="2" t="e">
        <f ca="1">_xll.BDH($C$178,"ALTMAN_Z_SCORE","FY 2017","FY 2017","Currency=INR","Period=FY","BEST_FPERIOD_OVERRIDE=FY","FILING_STATUS=OR","EQY_CONSOLIDATED=Y","Sort=A","Dates=H","DateFormat=P","Fill=—","Direction=H","UseDPDF=Y")</f>
        <v>#NAME?</v>
      </c>
      <c r="CW193" s="4" t="e">
        <f ca="1">_xll.BDH($C$178,"ACCT_RCV_TURN","FY 2017","FY 2017","Currency=INR","Period=FY","BEST_FPERIOD_OVERRIDE=FY","FILING_STATUS=OR","EQY_CONSOLIDATED=Y","FA_ADJUSTED=GAAP","Sort=A","Dates=H","DateFormat=P","Fill=—","Direction=H","UseDPDF=Y")</f>
        <v>#NAME?</v>
      </c>
      <c r="CX193" s="2" t="e">
        <f ca="1">_xll.BDH($C$178,"ACCT_RCV_DAYS","FY 2017","FY 2017","Currency=INR","Period=FY","BEST_FPERIOD_OVERRIDE=FY","FILING_STATUS=OR","EQY_CONSOLIDATED=Y","FA_ADJUSTED=GAAP","Sort=A","Dates=H","DateFormat=P","Fill=—","Direction=H","UseDPDF=Y")</f>
        <v>#NAME?</v>
      </c>
      <c r="CY193" s="4" t="e">
        <f ca="1">_xll.BDH($C$178,"INVENT_TURN","FY 2017","FY 2017","Currency=INR","Period=FY","BEST_FPERIOD_OVERRIDE=FY","FILING_STATUS=OR","EQY_CONSOLIDATED=Y","FA_ADJUSTED=GAAP","Sort=A","Dates=H","DateFormat=P","Fill=—","Direction=H","UseDPDF=Y")</f>
        <v>#NAME?</v>
      </c>
      <c r="CZ193" s="2" t="e">
        <f ca="1">_xll.BDH($C$178,"INVENT_DAYS","FY 2017","FY 2017","Currency=INR","Period=FY","BEST_FPERIOD_OVERRIDE=FY","FILING_STATUS=OR","EQY_CONSOLIDATED=Y","FA_ADJUSTED=GAAP","Sort=A","Dates=H","DateFormat=P","Fill=—","Direction=H","UseDPDF=Y")</f>
        <v>#NAME?</v>
      </c>
      <c r="DA193" s="4" t="e">
        <f ca="1">_xll.BDH($C$178,"ACCOUNTS_PAYABLE_TURNOVER","FY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193" s="2" t="e">
        <f ca="1">_xll.BDH($C$178,"ACCOUNTS_PAYABLE_TURNOVER_DAYS","FY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193" s="4" t="e">
        <f ca="1">_xll.BDH($C$178,"CASH_CONVERSION_CYCLE","FY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193" s="4" t="e">
        <f ca="1">_xll.BDH($C$178,"INV_TO_CASH_DAYS","FY 2017","FY 2017","Currency=INR","Period=FY","BEST_FPERIOD_OVERRIDE=FY","FILING_STATUS=OR","EQY_CONSOLIDATED=Y","FA_ADJUSTED=GAAP","Sort=A","Dates=H","DateFormat=P","Fill=—","Direction=H","UseDPDF=Y")</f>
        <v>#NAME?</v>
      </c>
      <c r="DE193" s="5" t="e">
        <f ca="1">_xll.BDH($C$178,"BS_INVENTORIES","FY 2017","FY 2017","Currency=INR","Period=FY","BEST_FPERIOD_OVERRIDE=FY","FILING_STATUS=OR","EQY_CONSOLIDATED=Y","SCALING_FORMAT=MLN","Sort=A","Dates=H","DateFormat=P","Fill=—","Direction=H","UseDPDF=Y")</f>
        <v>#NAME?</v>
      </c>
      <c r="DF193" s="3" t="e">
        <f ca="1">_xll.BDH($C$178,"INVTRY_RAW_MATERIALS","FY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193" s="3" t="e">
        <f ca="1">_xll.BDH($C$178,"INVTRY_IN_PROGRESS","FY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193" s="3" t="e">
        <f ca="1">_xll.BDH($C$178,"INVTRY_FINISHED_GOODS","FY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193" s="3" t="e">
        <f ca="1">_xll.BDH($C$178,"BS_OTHER_INV","FY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194" spans="1:113" x14ac:dyDescent="0.3">
      <c r="A194" s="6"/>
      <c r="B194" s="6"/>
      <c r="C194" s="6"/>
      <c r="D194" s="6"/>
      <c r="E194" t="s">
        <v>78</v>
      </c>
      <c r="F194" t="e">
        <f ca="1">_xll.BDH($C$178,"RETURN_COM_EQY","FQ1 2017","FQ1 2017","Currency=INR","Period=FQ","BEST_FPERIOD_OVERRIDE=FQ","FILING_STATUS=OR","EQY_CONSOLIDATED=Y","FA_ADJUSTED=GAAP","Sort=A","Dates=H","DateFormat=P","Fill=—","Direction=H","UseDPDF=Y")</f>
        <v>#NAME?</v>
      </c>
      <c r="G194" t="e">
        <f ca="1">_xll.BDH($C$178,"RETURN_ON_ASSET","FQ1 2017","FQ1 2017","Currency=INR","Period=FQ","BEST_FPERIOD_OVERRIDE=FQ","FILING_STATUS=OR","EQY_CONSOLIDATED=Y","FA_ADJUSTED=GAAP","Sort=A","Dates=H","DateFormat=P","Fill=—","Direction=H","UseDPDF=Y")</f>
        <v>#NAME?</v>
      </c>
      <c r="H194" t="e">
        <f ca="1">_xll.BDH($C$178,"RETURN_ON_CAP","FQ1 2017","FQ1 2017","Currency=INR","Period=FQ","BEST_FPERIOD_OVERRIDE=FQ","FILING_STATUS=OR","EQY_CONSOLIDATED=Y","FA_ADJUSTED=GAAP","Sort=A","Dates=H","DateFormat=P","Fill=—","Direction=H","UseDPDF=Y")</f>
        <v>#NAME?</v>
      </c>
      <c r="I194" t="e">
        <f ca="1">_xll.BDH($C$178,"RETURN_ON_INV_CAPITAL","FQ1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194" t="e">
        <f ca="1">_xll.BDH($C$178,"EBITDA_TO_REVENUE","FQ1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194" t="e">
        <f ca="1">_xll.BDH($C$178,"OPER_MARGIN","FQ1 2017","FQ1 2017","Currency=INR","Period=FQ","BEST_FPERIOD_OVERRIDE=FQ","FILING_STATUS=OR","EQY_CONSOLIDATED=Y","FA_ADJUSTED=GAAP","Sort=A","Dates=H","DateFormat=P","Fill=—","Direction=H","UseDPDF=Y")</f>
        <v>#NAME?</v>
      </c>
      <c r="L194" t="e">
        <f ca="1">_xll.BDH($C$178,"INCREMENTAL_OPERATING_MARGIN","FQ1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194" t="e">
        <f ca="1">_xll.BDH($C$178,"PRETAX_INC_TO_NET_SALES","FQ1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194" t="e">
        <f ca="1">_xll.BDH($C$178,"INC_BEF_XO_ITEMS_TO_NET_SALES","FQ1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194" t="e">
        <f ca="1">_xll.BDH($C$178,"PROF_MARGIN","FQ1 2017","FQ1 2017","Currency=INR","Period=FQ","BEST_FPERIOD_OVERRIDE=FQ","FILING_STATUS=OR","EQY_CONSOLIDATED=Y","FA_ADJUSTED=GAAP","Sort=A","Dates=H","DateFormat=P","Fill=—","Direction=H","UseDPDF=Y")</f>
        <v>#NAME?</v>
      </c>
      <c r="P194" t="e">
        <f ca="1">_xll.BDH($C$178,"NET_INCOME_TO_COMMON_MARGIN","FQ1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194" t="e">
        <f ca="1">_xll.BDH($C$178,"EFF_TAX_RATE","FQ1 2017","FQ1 2017","Currency=INR","Period=FQ","BEST_FPERIOD_OVERRIDE=FQ","FILING_STATUS=OR","EQY_CONSOLIDATED=Y","FA_ADJUSTED=GAAP","Sort=A","Dates=H","DateFormat=P","Fill=—","Direction=H","UseDPDF=Y")</f>
        <v>#NAME?</v>
      </c>
      <c r="R194" t="e">
        <f ca="1">_xll.BDH($C$178,"DVD_PAYOUT_RATIO","FQ1 2017","FQ1 2017","Currency=INR","Period=FQ","BEST_FPERIOD_OVERRIDE=FQ","FILING_STATUS=OR","EQY_CONSOLIDATED=Y","FA_ADJUSTED=GAAP","Sort=A","Dates=H","DateFormat=P","Fill=—","Direction=H","UseDPDF=Y")</f>
        <v>#NAME?</v>
      </c>
      <c r="S194" t="e">
        <f ca="1">_xll.BDH($C$178,"SUSTAIN_GROWTH_RT","FQ1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194" s="2" t="e">
        <f ca="1">_xll.BDH($C$178,"SALES_GROWTH","FQ1 2017","FQ1 2017","Currency=INR","Period=FQ","BEST_FPERIOD_OVERRIDE=FQ","FILING_STATUS=OR","EQY_CONSOLIDATED=Y","FA_ADJUSTED=GAAP","Sort=A","Dates=H","DateFormat=P","Fill=—","Direction=H","UseDPDF=Y")</f>
        <v>#NAME?</v>
      </c>
      <c r="U194" s="2" t="e">
        <f ca="1">_xll.BDH($C$178,"EBITDA_GROWTH","FQ1 2017","FQ1 2017","Currency=INR","Period=FQ","BEST_FPERIOD_OVERRIDE=FQ","FILING_STATUS=OR","EQY_CONSOLIDATED=Y","FA_ADJUSTED=GAAP","Sort=A","Dates=H","DateFormat=P","Fill=—","Direction=H","UseDPDF=Y")</f>
        <v>#NAME?</v>
      </c>
      <c r="V194" s="2" t="e">
        <f ca="1">_xll.BDH($C$178,"OPER_INC_GROWTH","FQ1 2017","FQ1 2017","Currency=INR","Period=FQ","BEST_FPERIOD_OVERRIDE=FQ","FILING_STATUS=OR","EQY_CONSOLIDATED=Y","FA_ADJUSTED=GAAP","Sort=A","Dates=H","DateFormat=P","Fill=—","Direction=H","UseDPDF=Y")</f>
        <v>#NAME?</v>
      </c>
      <c r="W194" s="2" t="e">
        <f ca="1">_xll.BDH($C$178,"EARN_FOR_COM_GROWTH","FQ1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194" s="2" t="e">
        <f ca="1">_xll.BDH($C$178,"DILUTED_EPS_AFT_XO_ITEMS_GROWTH","FQ1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194" s="2" t="e">
        <f ca="1">_xll.BDH($C$178,"DIVIDEND_PER_SHARE_1_YEAR_GROWTH","FQ1 2017","FQ1 2017","Currency=INR","Period=FQ","BEST_FPERIOD_OVERRIDE=FQ","FILING_STATUS=OR","EQY_CONSOLIDATED=Y","Sort=A","Dates=H","DateFormat=P","Fill=—","Direction=H","UseDPDF=Y")</f>
        <v>#NAME?</v>
      </c>
      <c r="Z194" s="2" t="e">
        <f ca="1">_xll.BDH($C$178,"ACCOUNTS_RECEIVABLE_GROWTH","FQ1 2017","FQ1 2017","Currency=INR","Period=FQ","BEST_FPERIOD_OVERRIDE=FQ","FILING_STATUS=OR","EQY_CONSOLIDATED=Y","Sort=A","Dates=H","DateFormat=P","Fill=—","Direction=H","UseDPDF=Y")</f>
        <v>#NAME?</v>
      </c>
      <c r="AA194" s="2" t="e">
        <f ca="1">_xll.BDH($C$178,"INVENTORY_GROWTH","FQ1 2017","FQ1 2017","Currency=INR","Period=FQ","BEST_FPERIOD_OVERRIDE=FQ","FILING_STATUS=OR","EQY_CONSOLIDATED=Y","Sort=A","Dates=H","DateFormat=P","Fill=—","Direction=H","UseDPDF=Y")</f>
        <v>#NAME?</v>
      </c>
      <c r="AB194" s="2" t="e">
        <f ca="1">_xll.BDH($C$178,"NET_FIXED_ASSETS_1_YEAR_GROWTH","FQ1 2017","FQ1 2017","Currency=INR","Period=FQ","BEST_FPERIOD_OVERRIDE=FQ","FILING_STATUS=OR","EQY_CONSOLIDATED=Y","Sort=A","Dates=H","DateFormat=P","Fill=—","Direction=H","UseDPDF=Y")</f>
        <v>#NAME?</v>
      </c>
      <c r="AC194" s="2" t="e">
        <f ca="1">_xll.BDH($C$178,"ASSET_GROWTH","FQ1 2017","FQ1 2017","Currency=INR","Period=FQ","BEST_FPERIOD_OVERRIDE=FQ","FILING_STATUS=OR","EQY_CONSOLIDATED=Y","Sort=A","Dates=H","DateFormat=P","Fill=—","Direction=H","UseDPDF=Y")</f>
        <v>#NAME?</v>
      </c>
      <c r="AD194" s="2" t="e">
        <f ca="1">_xll.BDH($C$178,"MODIFIED_WORK_CAP_GROWTH","FQ1 2017","FQ1 2017","Currency=INR","Period=FQ","BEST_FPERIOD_OVERRIDE=FQ","FILING_STATUS=OR","EQY_CONSOLIDATED=Y","Sort=A","Dates=H","DateFormat=P","Fill=—","Direction=H","UseDPDF=Y")</f>
        <v>#NAME?</v>
      </c>
      <c r="AE194" s="2" t="e">
        <f ca="1">_xll.BDH($C$178,"WORK_CAP_GROWTH","FQ1 2017","FQ1 2017","Currency=INR","Period=FQ","BEST_FPERIOD_OVERRIDE=FQ","FILING_STATUS=OR","EQY_CONSOLIDATED=Y","Sort=A","Dates=H","DateFormat=P","Fill=—","Direction=H","UseDPDF=Y")</f>
        <v>#NAME?</v>
      </c>
      <c r="AF194" s="2" t="e">
        <f ca="1">_xll.BDH($C$178,"ACCOUNTS_PAYABLE_GROWTH_1YR","FQ1 2017","FQ1 2017","Currency=INR","Period=FQ","BEST_FPERIOD_OVERRIDE=FQ","FILING_STATUS=OR","EQY_CONSOLIDATED=Y","Sort=A","Dates=H","DateFormat=P","Fill=—","Direction=H","UseDPDF=Y")</f>
        <v>#NAME?</v>
      </c>
      <c r="AG194" s="2" t="e">
        <f ca="1">_xll.BDH($C$178,"SHORT_TERM_DEBT_1_YEAR_GROWTH","FQ1 2017","FQ1 2017","Currency=INR","Period=FQ","BEST_FPERIOD_OVERRIDE=FQ","FILING_STATUS=OR","EQY_CONSOLIDATED=Y","Sort=A","Dates=H","DateFormat=P","Fill=—","Direction=H","UseDPDF=Y")</f>
        <v>#NAME?</v>
      </c>
      <c r="AH194" s="2" t="e">
        <f ca="1">_xll.BDH($C$178,"TOTAL_DEBT_1_YEAR_GROWTH","FQ1 2017","FQ1 2017","Currency=INR","Period=FQ","BEST_FPERIOD_OVERRIDE=FQ","FILING_STATUS=OR","EQY_CONSOLIDATED=Y","Sort=A","Dates=H","DateFormat=P","Fill=—","Direction=H","UseDPDF=Y")</f>
        <v>#NAME?</v>
      </c>
      <c r="AI194" s="2" t="e">
        <f ca="1">_xll.BDH($C$178,"TOTAL_EQUITY_1_YEAR_GROWTH","FQ1 2017","FQ1 2017","Currency=INR","Period=FQ","BEST_FPERIOD_OVERRIDE=FQ","FILING_STATUS=OR","EQY_CONSOLIDATED=Y","Sort=A","Dates=H","DateFormat=P","Fill=—","Direction=H","UseDPDF=Y")</f>
        <v>#NAME?</v>
      </c>
      <c r="AJ194" s="2" t="e">
        <f ca="1">_xll.BDH($C$178,"GROWTH_IN_CAP","FQ1 2017","FQ1 2017","Currency=INR","Period=FQ","BEST_FPERIOD_OVERRIDE=FQ","FILING_STATUS=OR","EQY_CONSOLIDATED=Y","Sort=A","Dates=H","DateFormat=P","Fill=—","Direction=H","UseDPDF=Y")</f>
        <v>#NAME?</v>
      </c>
      <c r="AK194" s="2" t="e">
        <f ca="1">_xll.BDH($C$178,"BVPS_GROWTH","FQ1 2017","FQ1 2017","Currency=INR","Period=FQ","BEST_FPERIOD_OVERRIDE=FQ","FILING_STATUS=OR","EQY_CONSOLIDATED=Y","Sort=A","Dates=H","DateFormat=P","Fill=—","Direction=H","UseDPDF=Y")</f>
        <v>#NAME?</v>
      </c>
      <c r="AL194" s="2" t="e">
        <f ca="1">_xll.BDH($C$178,"CASH_FLOW_GROWTH","FQ1 2017","FQ1 2017","Currency=INR","Period=FQ","BEST_FPERIOD_OVERRIDE=FQ","FILING_STATUS=OR","EQY_CONSOLIDATED=Y","Sort=A","Dates=H","DateFormat=P","Fill=—","Direction=H","UseDPDF=Y")</f>
        <v>#NAME?</v>
      </c>
      <c r="AM194" s="2" t="e">
        <f ca="1">_xll.BDH($C$178,"GEO_GROW_NET_SALES","FQ1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194" s="2" t="e">
        <f ca="1">_xll.BDH($C$178,"GEO_GROW_EBITDA","FQ1 2017","FQ1 2017","Currency=INR","Period=FQ","BEST_FPERIOD_OVERRIDE=FQ","FILING_STATUS=OR","EQY_CONSOLIDATED=Y","FA_ADJUSTED=GAAP","Sort=A","Dates=H","DateFormat=P","Fill=—","Direction=H","UseDPDF=Y")</f>
        <v>#NAME?</v>
      </c>
      <c r="AO194" s="2" t="e">
        <f ca="1">_xll.BDH($C$178,"GEO_GROW_OPER_INC","FQ1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194" s="2" t="e">
        <f ca="1">_xll.BDH($C$178,"NET_INCOME_TO_COMMON_5_YR_GROWTH","FQ1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194" s="2" t="e">
        <f ca="1">_xll.BDH($C$178,"5Y_GEO_GROWTH_DILUTED_EPS","FQ1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194" s="2" t="e">
        <f ca="1">_xll.BDH($C$178,"GEO_GROW_DVD_PER_SH","FQ1 2017","FQ1 2017","Currency=INR","Period=FQ","BEST_FPERIOD_OVERRIDE=FQ","FILING_STATUS=OR","EQY_CONSOLIDATED=Y","Sort=A","Dates=H","DateFormat=P","Fill=—","Direction=H","UseDPDF=Y")</f>
        <v>#NAME?</v>
      </c>
      <c r="AS194" s="2" t="e">
        <f ca="1">_xll.BDH($C$178,"ACCOUNTS_RECEIVABLE_5_YR_GROWTH","FQ1 2017","FQ1 2017","Currency=INR","Period=FQ","BEST_FPERIOD_OVERRIDE=FQ","FILING_STATUS=OR","EQY_CONSOLIDATED=Y","Sort=A","Dates=H","DateFormat=P","Fill=—","Direction=H","UseDPDF=Y")</f>
        <v>#NAME?</v>
      </c>
      <c r="AT194" s="2" t="e">
        <f ca="1">_xll.BDH($C$178,"INVENTORY_5_YEAR_GROWTH","FQ1 2017","FQ1 2017","Currency=INR","Period=FQ","BEST_FPERIOD_OVERRIDE=FQ","FILING_STATUS=OR","EQY_CONSOLIDATED=Y","Sort=A","Dates=H","DateFormat=P","Fill=—","Direction=H","UseDPDF=Y")</f>
        <v>#NAME?</v>
      </c>
      <c r="AU194" s="2" t="e">
        <f ca="1">_xll.BDH($C$178,"NET_FIXED_ASSETS_5_YEAR_GROWTH","FQ1 2017","FQ1 2017","Currency=INR","Period=FQ","BEST_FPERIOD_OVERRIDE=FQ","FILING_STATUS=OR","EQY_CONSOLIDATED=Y","Sort=A","Dates=H","DateFormat=P","Fill=—","Direction=H","UseDPDF=Y")</f>
        <v>#NAME?</v>
      </c>
      <c r="AV194" s="2" t="e">
        <f ca="1">_xll.BDH($C$178,"GEO_GROW_TOT_ASSET","FQ1 2017","FQ1 2017","Currency=INR","Period=FQ","BEST_FPERIOD_OVERRIDE=FQ","FILING_STATUS=OR","EQY_CONSOLIDATED=Y","Sort=A","Dates=H","DateFormat=P","Fill=—","Direction=H","UseDPDF=Y")</f>
        <v>#NAME?</v>
      </c>
      <c r="AW194" s="2" t="e">
        <f ca="1">_xll.BDH($C$178,"MODIFIED_WORKING_CPTL_5YR_GRWTH","FQ1 2017","FQ1 2017","Currency=INR","Period=FQ","BEST_FPERIOD_OVERRIDE=FQ","FILING_STATUS=OR","EQY_CONSOLIDATED=Y","Sort=A","Dates=H","DateFormat=P","Fill=—","Direction=H","UseDPDF=Y")</f>
        <v>#NAME?</v>
      </c>
      <c r="AX194" s="2" t="e">
        <f ca="1">_xll.BDH($C$178,"WORKING_CAPITAL_5_YEAR_GROWTH","FQ1 2017","FQ1 2017","Currency=INR","Period=FQ","BEST_FPERIOD_OVERRIDE=FQ","FILING_STATUS=OR","EQY_CONSOLIDATED=Y","Sort=A","Dates=H","DateFormat=P","Fill=—","Direction=H","UseDPDF=Y")</f>
        <v>#NAME?</v>
      </c>
      <c r="AY194" s="2" t="e">
        <f ca="1">_xll.BDH($C$178,"ACCOUNTS_PAYABLE_5_YEAR_GROWTH","FQ1 2017","FQ1 2017","Currency=INR","Period=FQ","BEST_FPERIOD_OVERRIDE=FQ","FILING_STATUS=OR","EQY_CONSOLIDATED=Y","Sort=A","Dates=H","DateFormat=P","Fill=—","Direction=H","UseDPDF=Y")</f>
        <v>#NAME?</v>
      </c>
      <c r="AZ194" s="2" t="e">
        <f ca="1">_xll.BDH($C$178,"SHORT_TERM_DEBT_5_YEAR_GROWTH","FQ1 2017","FQ1 2017","Currency=INR","Period=FQ","BEST_FPERIOD_OVERRIDE=FQ","FILING_STATUS=OR","EQY_CONSOLIDATED=Y","Sort=A","Dates=H","DateFormat=P","Fill=—","Direction=H","UseDPDF=Y")</f>
        <v>#NAME?</v>
      </c>
      <c r="BA194" s="2" t="e">
        <f ca="1">_xll.BDH($C$178,"TOTAL_DEBT_5_YEAR_GROWTH","FQ1 2017","FQ1 2017","Currency=INR","Period=FQ","BEST_FPERIOD_OVERRIDE=FQ","FILING_STATUS=OR","EQY_CONSOLIDATED=Y","Sort=A","Dates=H","DateFormat=P","Fill=—","Direction=H","UseDPDF=Y")</f>
        <v>#NAME?</v>
      </c>
      <c r="BB194" s="2" t="e">
        <f ca="1">_xll.BDH($C$178,"GEO_GROW_TOT_SHRHLDR_EQY","FQ1 2017","FQ1 2017","Currency=INR","Period=FQ","BEST_FPERIOD_OVERRIDE=FQ","FILING_STATUS=OR","EQY_CONSOLIDATED=Y","Sort=A","Dates=H","DateFormat=P","Fill=—","Direction=H","UseDPDF=Y")</f>
        <v>#NAME?</v>
      </c>
      <c r="BC194" s="2" t="e">
        <f ca="1">_xll.BDH($C$178,"TOTAL_CAPITAL_5_YEAR_GROWTH","FQ1 2017","FQ1 2017","Currency=INR","Period=FQ","BEST_FPERIOD_OVERRIDE=FQ","FILING_STATUS=OR","EQY_CONSOLIDATED=Y","Sort=A","Dates=H","DateFormat=P","Fill=—","Direction=H","UseDPDF=Y")</f>
        <v>#NAME?</v>
      </c>
      <c r="BD194" s="2" t="e">
        <f ca="1">_xll.BDH($C$178,"GEO_GROW_BOOK_VAL","FQ1 2017","FQ1 2017","Currency=INR","Period=FQ","BEST_FPERIOD_OVERRIDE=FQ","FILING_STATUS=OR","EQY_CONSOLIDATED=Y","Sort=A","Dates=H","DateFormat=P","Fill=—","Direction=H","UseDPDF=Y")</f>
        <v>#NAME?</v>
      </c>
      <c r="BE194" s="2" t="e">
        <f ca="1">_xll.BDH($C$178,"GEO_GROW_CASH_OPER_ACT","FQ1 2017","FQ1 2017","Currency=INR","Period=FQ","BEST_FPERIOD_OVERRIDE=FQ","FILING_STATUS=OR","EQY_CONSOLIDATED=Y","Sort=A","Dates=H","DateFormat=P","Fill=—","Direction=H","UseDPDF=Y")</f>
        <v>#NAME?</v>
      </c>
      <c r="BF194" s="2" t="e">
        <f ca="1">_xll.BDH($C$178,"REVENUE_SEQUENTIAL_GROWTH","FQ1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194" s="2" t="e">
        <f ca="1">_xll.BDH($C$178,"EBITDA_SEQUENTIAL_GROWTH","FQ1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194" s="2" t="e">
        <f ca="1">_xll.BDH($C$178,"OPERATING_INCOME_SEQ_GROWTH","FQ1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194" s="2" t="e">
        <f ca="1">_xll.BDH($C$178,"NET_INCOME_TO_COMMON_SEQ_GROWTH","FQ1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194" s="2" t="e">
        <f ca="1">_xll.BDH($C$178,"EPS_DILUTED_SEQUENTIAL_GROWTH","FQ1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194" s="2" t="e">
        <f ca="1">_xll.BDH($C$178,"DPS_SEQUENTIAL_GROWTH","FQ1 2017","FQ1 2017","Currency=INR","Period=FQ","BEST_FPERIOD_OVERRIDE=FQ","FILING_STATUS=OR","EQY_CONSOLIDATED=Y","Sort=A","Dates=H","DateFormat=P","Fill=—","Direction=H","UseDPDF=Y")</f>
        <v>#NAME?</v>
      </c>
      <c r="BL194" s="2" t="e">
        <f ca="1">_xll.BDH($C$178,"ACCOUNTS_RECEIVABLE_SEQ_GROWTH","FQ1 2017","FQ1 2017","Currency=INR","Period=FQ","BEST_FPERIOD_OVERRIDE=FQ","FILING_STATUS=OR","EQY_CONSOLIDATED=Y","Sort=A","Dates=H","DateFormat=P","Fill=—","Direction=H","UseDPDF=Y")</f>
        <v>#NAME?</v>
      </c>
      <c r="BM194" s="2" t="e">
        <f ca="1">_xll.BDH($C$178,"INVENTORY_SEQUENTIAL_GROWTH","FQ1 2017","FQ1 2017","Currency=INR","Period=FQ","BEST_FPERIOD_OVERRIDE=FQ","FILING_STATUS=OR","EQY_CONSOLIDATED=Y","Sort=A","Dates=H","DateFormat=P","Fill=—","Direction=H","UseDPDF=Y")</f>
        <v>#NAME?</v>
      </c>
      <c r="BN194" s="2" t="e">
        <f ca="1">_xll.BDH($C$178,"FIXED_ASSETS_SEQUENTIAL_GROWTH","FQ1 2017","FQ1 2017","Currency=INR","Period=FQ","BEST_FPERIOD_OVERRIDE=FQ","FILING_STATUS=OR","EQY_CONSOLIDATED=Y","Sort=A","Dates=H","DateFormat=P","Fill=—","Direction=H","UseDPDF=Y")</f>
        <v>#NAME?</v>
      </c>
      <c r="BO194" s="2" t="e">
        <f ca="1">_xll.BDH($C$178,"TOTAL_ASSETS_SEQUENTIAL_GROWTH","FQ1 2017","FQ1 2017","Currency=INR","Period=FQ","BEST_FPERIOD_OVERRIDE=FQ","FILING_STATUS=OR","EQY_CONSOLIDATED=Y","Sort=A","Dates=H","DateFormat=P","Fill=—","Direction=H","UseDPDF=Y")</f>
        <v>#NAME?</v>
      </c>
      <c r="BP194" s="2" t="e">
        <f ca="1">_xll.BDH($C$178,"MODIFIED_WORKING_CPTL_SEQ_GRWTH","FQ1 2017","FQ1 2017","Currency=INR","Period=FQ","BEST_FPERIOD_OVERRIDE=FQ","FILING_STATUS=OR","EQY_CONSOLIDATED=Y","Sort=A","Dates=H","DateFormat=P","Fill=—","Direction=H","UseDPDF=Y")</f>
        <v>#NAME?</v>
      </c>
      <c r="BQ194" s="2" t="e">
        <f ca="1">_xll.BDH($C$178,"WORKING_CAPITAL_SEQ_GROWTH","FQ1 2017","FQ1 2017","Currency=INR","Period=FQ","BEST_FPERIOD_OVERRIDE=FQ","FILING_STATUS=OR","EQY_CONSOLIDATED=Y","Sort=A","Dates=H","DateFormat=P","Fill=—","Direction=H","UseDPDF=Y")</f>
        <v>#NAME?</v>
      </c>
      <c r="BR194" s="2" t="e">
        <f ca="1">_xll.BDH($C$178,"ACCOUNTS_PAYABLE_SEQ_GROWTH","FQ1 2017","FQ1 2017","Currency=INR","Period=FQ","BEST_FPERIOD_OVERRIDE=FQ","FILING_STATUS=OR","EQY_CONSOLIDATED=Y","Sort=A","Dates=H","DateFormat=P","Fill=—","Direction=H","UseDPDF=Y")</f>
        <v>#NAME?</v>
      </c>
      <c r="BS194" s="2" t="e">
        <f ca="1">_xll.BDH($C$178,"ST_DEBT_SEQUENTIAL_GROWTH","FQ1 2017","FQ1 2017","Currency=INR","Period=FQ","BEST_FPERIOD_OVERRIDE=FQ","FILING_STATUS=OR","EQY_CONSOLIDATED=Y","Sort=A","Dates=H","DateFormat=P","Fill=—","Direction=H","UseDPDF=Y")</f>
        <v>#NAME?</v>
      </c>
      <c r="BT194" s="2" t="e">
        <f ca="1">_xll.BDH($C$178,"TOTAL_DEBT_SEQUENTIAL_GROWTH","FQ1 2017","FQ1 2017","Currency=INR","Period=FQ","BEST_FPERIOD_OVERRIDE=FQ","FILING_STATUS=OR","EQY_CONSOLIDATED=Y","Sort=A","Dates=H","DateFormat=P","Fill=—","Direction=H","UseDPDF=Y")</f>
        <v>#NAME?</v>
      </c>
      <c r="BU194" s="2" t="e">
        <f ca="1">_xll.BDH($C$178,"TOTAL_EQUITY_SEQUENTIAL_GROWTH","FQ1 2017","FQ1 2017","Currency=INR","Period=FQ","BEST_FPERIOD_OVERRIDE=FQ","FILING_STATUS=OR","EQY_CONSOLIDATED=Y","Sort=A","Dates=H","DateFormat=P","Fill=—","Direction=H","UseDPDF=Y")</f>
        <v>#NAME?</v>
      </c>
      <c r="BV194" s="2" t="e">
        <f ca="1">_xll.BDH($C$178,"TOTAL_CAPITAL_SEQUENTIAL_GROWTH","FQ1 2017","FQ1 2017","Currency=INR","Period=FQ","BEST_FPERIOD_OVERRIDE=FQ","FILING_STATUS=OR","EQY_CONSOLIDATED=Y","Sort=A","Dates=H","DateFormat=P","Fill=—","Direction=H","UseDPDF=Y")</f>
        <v>#NAME?</v>
      </c>
      <c r="BW194" s="2" t="e">
        <f ca="1">_xll.BDH($C$178,"BPS_SEQUENTIAL_GROWTH","FQ1 2017","FQ1 2017","Currency=INR","Period=FQ","BEST_FPERIOD_OVERRIDE=FQ","FILING_STATUS=OR","EQY_CONSOLIDATED=Y","Sort=A","Dates=H","DateFormat=P","Fill=—","Direction=H","UseDPDF=Y")</f>
        <v>#NAME?</v>
      </c>
      <c r="BX194" s="2" t="e">
        <f ca="1">_xll.BDH($C$178,"CFO_SEQUENTIAL_GROWTH","FQ1 2017","FQ1 2017","Currency=INR","Period=FQ","BEST_FPERIOD_OVERRIDE=FQ","FILING_STATUS=OR","EQY_CONSOLIDATED=Y","Sort=A","Dates=H","DateFormat=P","Fill=—","Direction=H","UseDPDF=Y")</f>
        <v>#NAME?</v>
      </c>
      <c r="BY194" s="3" t="e">
        <f ca="1">_xll.BDH($C$178,"SHORT_AND_LONG_TERM_DEBT","FQ1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194" s="3" t="e">
        <f ca="1">_xll.BDH($C$178,"BS_ST_BORROW","FQ1 2017","FQ1 2017","Currency=INR","Period=FQ","BEST_FPERIOD_OVERRIDE=FQ","FILING_STATUS=OR","EQY_CONSOLIDATED=Y","SCALING_FORMAT=MLN","Sort=A","Dates=H","DateFormat=P","Fill=—","Direction=H","UseDPDF=Y")</f>
        <v>#NAME?</v>
      </c>
      <c r="CA194" s="3" t="e">
        <f ca="1">_xll.BDH($C$178,"BS_LT_BORROW","FQ1 2017","FQ1 2017","Currency=INR","Period=FQ","BEST_FPERIOD_OVERRIDE=FQ","FILING_STATUS=OR","EQY_CONSOLIDATED=Y","SCALING_FORMAT=MLN","Sort=A","Dates=H","DateFormat=P","Fill=—","Direction=H","UseDPDF=Y")</f>
        <v>#NAME?</v>
      </c>
      <c r="CB194" s="2" t="e">
        <f ca="1">_xll.BDH($C$178,"TOT_DEBT_TO_EBITDA","FQ1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194" s="2" t="e">
        <f ca="1">_xll.BDH($C$178,"NET_DEBT_TO_EBITDA","FQ1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194" s="2" t="e">
        <f ca="1">_xll.BDH($C$178,"TOTAL_DEBT_TO_EBIT","FQ1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194" s="2" t="e">
        <f ca="1">_xll.BDH($C$178,"NET_DEBT_TO_EBIT","FQ1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194" s="2" t="e">
        <f ca="1">_xll.BDH($C$178,"EBITDA_TO_INTEREST_EXPN","FQ1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194" s="2" t="e">
        <f ca="1">_xll.BDH($C$178,"COM_EQY_TO_TOT_ASSET","FQ1 2017","FQ1 2017","Currency=INR","Period=FQ","BEST_FPERIOD_OVERRIDE=FQ","FILING_STATUS=OR","EQY_CONSOLIDATED=Y","Sort=A","Dates=H","DateFormat=P","Fill=—","Direction=H","UseDPDF=Y")</f>
        <v>#NAME?</v>
      </c>
      <c r="CH194" s="2" t="e">
        <f ca="1">_xll.BDH($C$178,"LT_DEBT_TO_TOT_EQY","FQ1 2017","FQ1 2017","Currency=INR","Period=FQ","BEST_FPERIOD_OVERRIDE=FQ","FILING_STATUS=OR","EQY_CONSOLIDATED=Y","Sort=A","Dates=H","DateFormat=P","Fill=—","Direction=H","UseDPDF=Y")</f>
        <v>#NAME?</v>
      </c>
      <c r="CI194" s="2" t="e">
        <f ca="1">_xll.BDH($C$178,"LT_DEBT_TO_TOT_CAP","FQ1 2017","FQ1 2017","Currency=INR","Period=FQ","BEST_FPERIOD_OVERRIDE=FQ","FILING_STATUS=OR","EQY_CONSOLIDATED=Y","Sort=A","Dates=H","DateFormat=P","Fill=—","Direction=H","UseDPDF=Y")</f>
        <v>#NAME?</v>
      </c>
      <c r="CJ194" s="2" t="e">
        <f ca="1">_xll.BDH($C$178,"LT_DEBT_TO_TOT_ASSET","FQ1 2017","FQ1 2017","Currency=INR","Period=FQ","BEST_FPERIOD_OVERRIDE=FQ","FILING_STATUS=OR","EQY_CONSOLIDATED=Y","Sort=A","Dates=H","DateFormat=P","Fill=—","Direction=H","UseDPDF=Y")</f>
        <v>#NAME?</v>
      </c>
      <c r="CK194" s="2" t="e">
        <f ca="1">_xll.BDH($C$178,"TOT_DEBT_TO_TOT_EQY","FQ1 2017","FQ1 2017","Currency=INR","Period=FQ","BEST_FPERIOD_OVERRIDE=FQ","FILING_STATUS=OR","EQY_CONSOLIDATED=Y","Sort=A","Dates=H","DateFormat=P","Fill=—","Direction=H","UseDPDF=Y")</f>
        <v>#NAME?</v>
      </c>
      <c r="CL194" s="2" t="e">
        <f ca="1">_xll.BDH($C$178,"TOT_DEBT_TO_TOT_CAP","FQ1 2017","FQ1 2017","Currency=INR","Period=FQ","BEST_FPERIOD_OVERRIDE=FQ","FILING_STATUS=OR","EQY_CONSOLIDATED=Y","Sort=A","Dates=H","DateFormat=P","Fill=—","Direction=H","UseDPDF=Y")</f>
        <v>#NAME?</v>
      </c>
      <c r="CM194" s="2" t="e">
        <f ca="1">_xll.BDH($C$178,"TOT_DEBT_TO_TOT_ASSET","FQ1 2017","FQ1 2017","Currency=INR","Period=FQ","BEST_FPERIOD_OVERRIDE=FQ","FILING_STATUS=OR","EQY_CONSOLIDATED=Y","Sort=A","Dates=H","DateFormat=P","Fill=—","Direction=H","UseDPDF=Y")</f>
        <v>#NAME?</v>
      </c>
      <c r="CN194" s="2" t="e">
        <f ca="1">_xll.BDH($C$178,"NET_DEBT_TO_SHRHLDR_EQTY","FQ1 2017","FQ1 2017","Currency=INR","Period=FQ","BEST_FPERIOD_OVERRIDE=FQ","FILING_STATUS=OR","EQY_CONSOLIDATED=Y","Sort=A","Dates=H","DateFormat=P","Fill=—","Direction=H","UseDPDF=Y")</f>
        <v>#NAME?</v>
      </c>
      <c r="CO194" s="2" t="e">
        <f ca="1">_xll.BDH($C$178,"NET_DEBT_%_CAPITAL","FQ1 2017","FQ1 2017","Currency=INR","Period=FQ","BEST_FPERIOD_OVERRIDE=FQ","FILING_STATUS=OR","EQY_CONSOLIDATED=Y","Sort=A","Dates=H","DateFormat=P","Fill=—","Direction=H","UseDPDF=Y")</f>
        <v>#NAME?</v>
      </c>
      <c r="CP194" s="3" t="e">
        <f ca="1">_xll.BDH($C$178,"EBITDA","FQ1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194" s="3" t="e">
        <f ca="1">_xll.BDH($C$178,"EBITDA_AFTER_CAPEX","FQ1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194" s="3" t="e">
        <f ca="1">_xll.BDH($C$178,"IS_OPER_INC","FQ1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194" s="2" t="e">
        <f ca="1">_xll.BDH($C$178,"CASH_RATIO","FQ1 2017","FQ1 2017","Currency=INR","Period=FQ","BEST_FPERIOD_OVERRIDE=FQ","FILING_STATUS=OR","EQY_CONSOLIDATED=Y","Sort=A","Dates=H","DateFormat=P","Fill=—","Direction=H","UseDPDF=Y")</f>
        <v>#NAME?</v>
      </c>
      <c r="CT194" s="2" t="e">
        <f ca="1">_xll.BDH($C$178,"CUR_RATIO","FQ1 2017","FQ1 2017","Currency=INR","Period=FQ","BEST_FPERIOD_OVERRIDE=FQ","FILING_STATUS=OR","EQY_CONSOLIDATED=Y","Sort=A","Dates=H","DateFormat=P","Fill=—","Direction=H","UseDPDF=Y")</f>
        <v>#NAME?</v>
      </c>
      <c r="CU194" s="2" t="e">
        <f ca="1">_xll.BDH($C$178,"QUICK_RATIO","FQ1 2017","FQ1 2017","Currency=INR","Period=FQ","BEST_FPERIOD_OVERRIDE=FQ","FILING_STATUS=OR","EQY_CONSOLIDATED=Y","Sort=A","Dates=H","DateFormat=P","Fill=—","Direction=H","UseDPDF=Y")</f>
        <v>#NAME?</v>
      </c>
      <c r="CV194" s="2" t="e">
        <f ca="1">_xll.BDH($C$178,"ALTMAN_Z_SCORE","FQ1 2017","FQ1 2017","Currency=INR","Period=FQ","BEST_FPERIOD_OVERRIDE=FQ","FILING_STATUS=OR","EQY_CONSOLIDATED=Y","Sort=A","Dates=H","DateFormat=P","Fill=—","Direction=H","UseDPDF=Y")</f>
        <v>#NAME?</v>
      </c>
      <c r="CW194" s="4" t="e">
        <f ca="1">_xll.BDH($C$178,"ACCT_RCV_TURN","FQ1 2017","FQ1 2017","Currency=INR","Period=FQ","BEST_FPERIOD_OVERRIDE=FQ","FILING_STATUS=OR","EQY_CONSOLIDATED=Y","FA_ADJUSTED=GAAP","Sort=A","Dates=H","DateFormat=P","Fill=—","Direction=H","UseDPDF=Y")</f>
        <v>#NAME?</v>
      </c>
      <c r="CX194" s="2" t="e">
        <f ca="1">_xll.BDH($C$178,"ACCT_RCV_DAYS","FQ1 2017","FQ1 2017","Currency=INR","Period=FQ","BEST_FPERIOD_OVERRIDE=FQ","FILING_STATUS=OR","EQY_CONSOLIDATED=Y","FA_ADJUSTED=GAAP","Sort=A","Dates=H","DateFormat=P","Fill=—","Direction=H","UseDPDF=Y")</f>
        <v>#NAME?</v>
      </c>
      <c r="CY194" s="4" t="e">
        <f ca="1">_xll.BDH($C$178,"INVENT_TURN","FQ1 2017","FQ1 2017","Currency=INR","Period=FQ","BEST_FPERIOD_OVERRIDE=FQ","FILING_STATUS=OR","EQY_CONSOLIDATED=Y","FA_ADJUSTED=GAAP","Sort=A","Dates=H","DateFormat=P","Fill=—","Direction=H","UseDPDF=Y")</f>
        <v>#NAME?</v>
      </c>
      <c r="CZ194" s="2" t="e">
        <f ca="1">_xll.BDH($C$178,"INVENT_DAYS","FQ1 2017","FQ1 2017","Currency=INR","Period=FQ","BEST_FPERIOD_OVERRIDE=FQ","FILING_STATUS=OR","EQY_CONSOLIDATED=Y","FA_ADJUSTED=GAAP","Sort=A","Dates=H","DateFormat=P","Fill=—","Direction=H","UseDPDF=Y")</f>
        <v>#NAME?</v>
      </c>
      <c r="DA194" s="4" t="e">
        <f ca="1">_xll.BDH($C$178,"ACCOUNTS_PAYABLE_TURNOVER","FQ1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194" s="2" t="e">
        <f ca="1">_xll.BDH($C$178,"ACCOUNTS_PAYABLE_TURNOVER_DAYS","FQ1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194" s="4" t="e">
        <f ca="1">_xll.BDH($C$178,"CASH_CONVERSION_CYCLE","FQ1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194" s="4" t="e">
        <f ca="1">_xll.BDH($C$178,"INV_TO_CASH_DAYS","FQ1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194" s="5" t="e">
        <f ca="1">_xll.BDH($C$178,"BS_INVENTORIES","FQ1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194" s="3" t="e">
        <f ca="1">_xll.BDH($C$178,"INVTRY_RAW_MATERIALS","FQ1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194" s="3" t="e">
        <f ca="1">_xll.BDH($C$178,"INVTRY_IN_PROGRESS","FQ1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194" s="3" t="e">
        <f ca="1">_xll.BDH($C$178,"INVTRY_FINISHED_GOODS","FQ1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194" s="3" t="e">
        <f ca="1">_xll.BDH($C$178,"BS_OTHER_INV","FQ1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195" spans="1:113" x14ac:dyDescent="0.3">
      <c r="A195" s="6"/>
      <c r="B195" s="6"/>
      <c r="C195" s="6"/>
      <c r="D195" s="6"/>
      <c r="E195" t="s">
        <v>79</v>
      </c>
      <c r="F195" t="e">
        <f ca="1">_xll.BDH($C$178,"RETURN_COM_EQY","FQ2 2017","FQ2 2017","Currency=INR","Period=FQ","BEST_FPERIOD_OVERRIDE=FQ","FILING_STATUS=OR","EQY_CONSOLIDATED=Y","FA_ADJUSTED=GAAP","Sort=A","Dates=H","DateFormat=P","Fill=—","Direction=H","UseDPDF=Y")</f>
        <v>#NAME?</v>
      </c>
      <c r="G195" t="e">
        <f ca="1">_xll.BDH($C$178,"RETURN_ON_ASSET","FQ2 2017","FQ2 2017","Currency=INR","Period=FQ","BEST_FPERIOD_OVERRIDE=FQ","FILING_STATUS=OR","EQY_CONSOLIDATED=Y","FA_ADJUSTED=GAAP","Sort=A","Dates=H","DateFormat=P","Fill=—","Direction=H","UseDPDF=Y")</f>
        <v>#NAME?</v>
      </c>
      <c r="H195" t="e">
        <f ca="1">_xll.BDH($C$178,"RETURN_ON_CAP","FQ2 2017","FQ2 2017","Currency=INR","Period=FQ","BEST_FPERIOD_OVERRIDE=FQ","FILING_STATUS=OR","EQY_CONSOLIDATED=Y","FA_ADJUSTED=GAAP","Sort=A","Dates=H","DateFormat=P","Fill=—","Direction=H","UseDPDF=Y")</f>
        <v>#NAME?</v>
      </c>
      <c r="I195" t="e">
        <f ca="1">_xll.BDH($C$178,"RETURN_ON_INV_CAPITAL","FQ2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195" t="e">
        <f ca="1">_xll.BDH($C$178,"EBITDA_TO_REVENUE","FQ2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195" t="e">
        <f ca="1">_xll.BDH($C$178,"OPER_MARGIN","FQ2 2017","FQ2 2017","Currency=INR","Period=FQ","BEST_FPERIOD_OVERRIDE=FQ","FILING_STATUS=OR","EQY_CONSOLIDATED=Y","FA_ADJUSTED=GAAP","Sort=A","Dates=H","DateFormat=P","Fill=—","Direction=H","UseDPDF=Y")</f>
        <v>#NAME?</v>
      </c>
      <c r="L195" t="e">
        <f ca="1">_xll.BDH($C$178,"INCREMENTAL_OPERATING_MARGIN","FQ2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195" t="e">
        <f ca="1">_xll.BDH($C$178,"PRETAX_INC_TO_NET_SALES","FQ2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195" t="e">
        <f ca="1">_xll.BDH($C$178,"INC_BEF_XO_ITEMS_TO_NET_SALES","FQ2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195" t="e">
        <f ca="1">_xll.BDH($C$178,"PROF_MARGIN","FQ2 2017","FQ2 2017","Currency=INR","Period=FQ","BEST_FPERIOD_OVERRIDE=FQ","FILING_STATUS=OR","EQY_CONSOLIDATED=Y","FA_ADJUSTED=GAAP","Sort=A","Dates=H","DateFormat=P","Fill=—","Direction=H","UseDPDF=Y")</f>
        <v>#NAME?</v>
      </c>
      <c r="P195" t="e">
        <f ca="1">_xll.BDH($C$178,"NET_INCOME_TO_COMMON_MARGIN","FQ2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195" t="e">
        <f ca="1">_xll.BDH($C$178,"EFF_TAX_RATE","FQ2 2017","FQ2 2017","Currency=INR","Period=FQ","BEST_FPERIOD_OVERRIDE=FQ","FILING_STATUS=OR","EQY_CONSOLIDATED=Y","FA_ADJUSTED=GAAP","Sort=A","Dates=H","DateFormat=P","Fill=—","Direction=H","UseDPDF=Y")</f>
        <v>#NAME?</v>
      </c>
      <c r="R195" t="e">
        <f ca="1">_xll.BDH($C$178,"DVD_PAYOUT_RATIO","FQ2 2017","FQ2 2017","Currency=INR","Period=FQ","BEST_FPERIOD_OVERRIDE=FQ","FILING_STATUS=OR","EQY_CONSOLIDATED=Y","FA_ADJUSTED=GAAP","Sort=A","Dates=H","DateFormat=P","Fill=—","Direction=H","UseDPDF=Y")</f>
        <v>#NAME?</v>
      </c>
      <c r="S195" t="e">
        <f ca="1">_xll.BDH($C$178,"SUSTAIN_GROWTH_RT","FQ2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195" s="2" t="e">
        <f ca="1">_xll.BDH($C$178,"SALES_GROWTH","FQ2 2017","FQ2 2017","Currency=INR","Period=FQ","BEST_FPERIOD_OVERRIDE=FQ","FILING_STATUS=OR","EQY_CONSOLIDATED=Y","FA_ADJUSTED=GAAP","Sort=A","Dates=H","DateFormat=P","Fill=—","Direction=H","UseDPDF=Y")</f>
        <v>#NAME?</v>
      </c>
      <c r="U195" s="2" t="e">
        <f ca="1">_xll.BDH($C$178,"EBITDA_GROWTH","FQ2 2017","FQ2 2017","Currency=INR","Period=FQ","BEST_FPERIOD_OVERRIDE=FQ","FILING_STATUS=OR","EQY_CONSOLIDATED=Y","FA_ADJUSTED=GAAP","Sort=A","Dates=H","DateFormat=P","Fill=—","Direction=H","UseDPDF=Y")</f>
        <v>#NAME?</v>
      </c>
      <c r="V195" s="2" t="e">
        <f ca="1">_xll.BDH($C$178,"OPER_INC_GROWTH","FQ2 2017","FQ2 2017","Currency=INR","Period=FQ","BEST_FPERIOD_OVERRIDE=FQ","FILING_STATUS=OR","EQY_CONSOLIDATED=Y","FA_ADJUSTED=GAAP","Sort=A","Dates=H","DateFormat=P","Fill=—","Direction=H","UseDPDF=Y")</f>
        <v>#NAME?</v>
      </c>
      <c r="W195" s="2" t="e">
        <f ca="1">_xll.BDH($C$178,"EARN_FOR_COM_GROWTH","FQ2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195" s="2" t="e">
        <f ca="1">_xll.BDH($C$178,"DILUTED_EPS_AFT_XO_ITEMS_GROWTH","FQ2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195" s="2" t="e">
        <f ca="1">_xll.BDH($C$178,"DIVIDEND_PER_SHARE_1_YEAR_GROWTH","FQ2 2017","FQ2 2017","Currency=INR","Period=FQ","BEST_FPERIOD_OVERRIDE=FQ","FILING_STATUS=OR","EQY_CONSOLIDATED=Y","Sort=A","Dates=H","DateFormat=P","Fill=—","Direction=H","UseDPDF=Y")</f>
        <v>#NAME?</v>
      </c>
      <c r="Z195" s="2" t="e">
        <f ca="1">_xll.BDH($C$178,"ACCOUNTS_RECEIVABLE_GROWTH","FQ2 2017","FQ2 2017","Currency=INR","Period=FQ","BEST_FPERIOD_OVERRIDE=FQ","FILING_STATUS=OR","EQY_CONSOLIDATED=Y","Sort=A","Dates=H","DateFormat=P","Fill=—","Direction=H","UseDPDF=Y")</f>
        <v>#NAME?</v>
      </c>
      <c r="AA195" s="2" t="e">
        <f ca="1">_xll.BDH($C$178,"INVENTORY_GROWTH","FQ2 2017","FQ2 2017","Currency=INR","Period=FQ","BEST_FPERIOD_OVERRIDE=FQ","FILING_STATUS=OR","EQY_CONSOLIDATED=Y","Sort=A","Dates=H","DateFormat=P","Fill=—","Direction=H","UseDPDF=Y")</f>
        <v>#NAME?</v>
      </c>
      <c r="AB195" s="2" t="e">
        <f ca="1">_xll.BDH($C$178,"NET_FIXED_ASSETS_1_YEAR_GROWTH","FQ2 2017","FQ2 2017","Currency=INR","Period=FQ","BEST_FPERIOD_OVERRIDE=FQ","FILING_STATUS=OR","EQY_CONSOLIDATED=Y","Sort=A","Dates=H","DateFormat=P","Fill=—","Direction=H","UseDPDF=Y")</f>
        <v>#NAME?</v>
      </c>
      <c r="AC195" s="2" t="e">
        <f ca="1">_xll.BDH($C$178,"ASSET_GROWTH","FQ2 2017","FQ2 2017","Currency=INR","Period=FQ","BEST_FPERIOD_OVERRIDE=FQ","FILING_STATUS=OR","EQY_CONSOLIDATED=Y","Sort=A","Dates=H","DateFormat=P","Fill=—","Direction=H","UseDPDF=Y")</f>
        <v>#NAME?</v>
      </c>
      <c r="AD195" s="2" t="e">
        <f ca="1">_xll.BDH($C$178,"MODIFIED_WORK_CAP_GROWTH","FQ2 2017","FQ2 2017","Currency=INR","Period=FQ","BEST_FPERIOD_OVERRIDE=FQ","FILING_STATUS=OR","EQY_CONSOLIDATED=Y","Sort=A","Dates=H","DateFormat=P","Fill=—","Direction=H","UseDPDF=Y")</f>
        <v>#NAME?</v>
      </c>
      <c r="AE195" s="2" t="e">
        <f ca="1">_xll.BDH($C$178,"WORK_CAP_GROWTH","FQ2 2017","FQ2 2017","Currency=INR","Period=FQ","BEST_FPERIOD_OVERRIDE=FQ","FILING_STATUS=OR","EQY_CONSOLIDATED=Y","Sort=A","Dates=H","DateFormat=P","Fill=—","Direction=H","UseDPDF=Y")</f>
        <v>#NAME?</v>
      </c>
      <c r="AF195" s="2" t="e">
        <f ca="1">_xll.BDH($C$178,"ACCOUNTS_PAYABLE_GROWTH_1YR","FQ2 2017","FQ2 2017","Currency=INR","Period=FQ","BEST_FPERIOD_OVERRIDE=FQ","FILING_STATUS=OR","EQY_CONSOLIDATED=Y","Sort=A","Dates=H","DateFormat=P","Fill=—","Direction=H","UseDPDF=Y")</f>
        <v>#NAME?</v>
      </c>
      <c r="AG195" s="2" t="e">
        <f ca="1">_xll.BDH($C$178,"SHORT_TERM_DEBT_1_YEAR_GROWTH","FQ2 2017","FQ2 2017","Currency=INR","Period=FQ","BEST_FPERIOD_OVERRIDE=FQ","FILING_STATUS=OR","EQY_CONSOLIDATED=Y","Sort=A","Dates=H","DateFormat=P","Fill=—","Direction=H","UseDPDF=Y")</f>
        <v>#NAME?</v>
      </c>
      <c r="AH195" s="2" t="e">
        <f ca="1">_xll.BDH($C$178,"TOTAL_DEBT_1_YEAR_GROWTH","FQ2 2017","FQ2 2017","Currency=INR","Period=FQ","BEST_FPERIOD_OVERRIDE=FQ","FILING_STATUS=OR","EQY_CONSOLIDATED=Y","Sort=A","Dates=H","DateFormat=P","Fill=—","Direction=H","UseDPDF=Y")</f>
        <v>#NAME?</v>
      </c>
      <c r="AI195" s="2" t="e">
        <f ca="1">_xll.BDH($C$178,"TOTAL_EQUITY_1_YEAR_GROWTH","FQ2 2017","FQ2 2017","Currency=INR","Period=FQ","BEST_FPERIOD_OVERRIDE=FQ","FILING_STATUS=OR","EQY_CONSOLIDATED=Y","Sort=A","Dates=H","DateFormat=P","Fill=—","Direction=H","UseDPDF=Y")</f>
        <v>#NAME?</v>
      </c>
      <c r="AJ195" s="2" t="e">
        <f ca="1">_xll.BDH($C$178,"GROWTH_IN_CAP","FQ2 2017","FQ2 2017","Currency=INR","Period=FQ","BEST_FPERIOD_OVERRIDE=FQ","FILING_STATUS=OR","EQY_CONSOLIDATED=Y","Sort=A","Dates=H","DateFormat=P","Fill=—","Direction=H","UseDPDF=Y")</f>
        <v>#NAME?</v>
      </c>
      <c r="AK195" s="2" t="e">
        <f ca="1">_xll.BDH($C$178,"BVPS_GROWTH","FQ2 2017","FQ2 2017","Currency=INR","Period=FQ","BEST_FPERIOD_OVERRIDE=FQ","FILING_STATUS=OR","EQY_CONSOLIDATED=Y","Sort=A","Dates=H","DateFormat=P","Fill=—","Direction=H","UseDPDF=Y")</f>
        <v>#NAME?</v>
      </c>
      <c r="AL195" s="2" t="e">
        <f ca="1">_xll.BDH($C$178,"CASH_FLOW_GROWTH","FQ2 2017","FQ2 2017","Currency=INR","Period=FQ","BEST_FPERIOD_OVERRIDE=FQ","FILING_STATUS=OR","EQY_CONSOLIDATED=Y","Sort=A","Dates=H","DateFormat=P","Fill=—","Direction=H","UseDPDF=Y")</f>
        <v>#NAME?</v>
      </c>
      <c r="AM195" s="2" t="e">
        <f ca="1">_xll.BDH($C$178,"GEO_GROW_NET_SALES","FQ2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195" s="2" t="e">
        <f ca="1">_xll.BDH($C$178,"GEO_GROW_EBITDA","FQ2 2017","FQ2 2017","Currency=INR","Period=FQ","BEST_FPERIOD_OVERRIDE=FQ","FILING_STATUS=OR","EQY_CONSOLIDATED=Y","FA_ADJUSTED=GAAP","Sort=A","Dates=H","DateFormat=P","Fill=—","Direction=H","UseDPDF=Y")</f>
        <v>#NAME?</v>
      </c>
      <c r="AO195" s="2" t="e">
        <f ca="1">_xll.BDH($C$178,"GEO_GROW_OPER_INC","FQ2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195" s="2" t="e">
        <f ca="1">_xll.BDH($C$178,"NET_INCOME_TO_COMMON_5_YR_GROWTH","FQ2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195" s="2" t="e">
        <f ca="1">_xll.BDH($C$178,"5Y_GEO_GROWTH_DILUTED_EPS","FQ2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195" s="2" t="e">
        <f ca="1">_xll.BDH($C$178,"GEO_GROW_DVD_PER_SH","FQ2 2017","FQ2 2017","Currency=INR","Period=FQ","BEST_FPERIOD_OVERRIDE=FQ","FILING_STATUS=OR","EQY_CONSOLIDATED=Y","Sort=A","Dates=H","DateFormat=P","Fill=—","Direction=H","UseDPDF=Y")</f>
        <v>#NAME?</v>
      </c>
      <c r="AS195" s="2" t="e">
        <f ca="1">_xll.BDH($C$178,"ACCOUNTS_RECEIVABLE_5_YR_GROWTH","FQ2 2017","FQ2 2017","Currency=INR","Period=FQ","BEST_FPERIOD_OVERRIDE=FQ","FILING_STATUS=OR","EQY_CONSOLIDATED=Y","Sort=A","Dates=H","DateFormat=P","Fill=—","Direction=H","UseDPDF=Y")</f>
        <v>#NAME?</v>
      </c>
      <c r="AT195" s="2" t="e">
        <f ca="1">_xll.BDH($C$178,"INVENTORY_5_YEAR_GROWTH","FQ2 2017","FQ2 2017","Currency=INR","Period=FQ","BEST_FPERIOD_OVERRIDE=FQ","FILING_STATUS=OR","EQY_CONSOLIDATED=Y","Sort=A","Dates=H","DateFormat=P","Fill=—","Direction=H","UseDPDF=Y")</f>
        <v>#NAME?</v>
      </c>
      <c r="AU195" s="2" t="e">
        <f ca="1">_xll.BDH($C$178,"NET_FIXED_ASSETS_5_YEAR_GROWTH","FQ2 2017","FQ2 2017","Currency=INR","Period=FQ","BEST_FPERIOD_OVERRIDE=FQ","FILING_STATUS=OR","EQY_CONSOLIDATED=Y","Sort=A","Dates=H","DateFormat=P","Fill=—","Direction=H","UseDPDF=Y")</f>
        <v>#NAME?</v>
      </c>
      <c r="AV195" s="2" t="e">
        <f ca="1">_xll.BDH($C$178,"GEO_GROW_TOT_ASSET","FQ2 2017","FQ2 2017","Currency=INR","Period=FQ","BEST_FPERIOD_OVERRIDE=FQ","FILING_STATUS=OR","EQY_CONSOLIDATED=Y","Sort=A","Dates=H","DateFormat=P","Fill=—","Direction=H","UseDPDF=Y")</f>
        <v>#NAME?</v>
      </c>
      <c r="AW195" s="2" t="e">
        <f ca="1">_xll.BDH($C$178,"MODIFIED_WORKING_CPTL_5YR_GRWTH","FQ2 2017","FQ2 2017","Currency=INR","Period=FQ","BEST_FPERIOD_OVERRIDE=FQ","FILING_STATUS=OR","EQY_CONSOLIDATED=Y","Sort=A","Dates=H","DateFormat=P","Fill=—","Direction=H","UseDPDF=Y")</f>
        <v>#NAME?</v>
      </c>
      <c r="AX195" s="2" t="e">
        <f ca="1">_xll.BDH($C$178,"WORKING_CAPITAL_5_YEAR_GROWTH","FQ2 2017","FQ2 2017","Currency=INR","Period=FQ","BEST_FPERIOD_OVERRIDE=FQ","FILING_STATUS=OR","EQY_CONSOLIDATED=Y","Sort=A","Dates=H","DateFormat=P","Fill=—","Direction=H","UseDPDF=Y")</f>
        <v>#NAME?</v>
      </c>
      <c r="AY195" s="2" t="e">
        <f ca="1">_xll.BDH($C$178,"ACCOUNTS_PAYABLE_5_YEAR_GROWTH","FQ2 2017","FQ2 2017","Currency=INR","Period=FQ","BEST_FPERIOD_OVERRIDE=FQ","FILING_STATUS=OR","EQY_CONSOLIDATED=Y","Sort=A","Dates=H","DateFormat=P","Fill=—","Direction=H","UseDPDF=Y")</f>
        <v>#NAME?</v>
      </c>
      <c r="AZ195" s="2" t="e">
        <f ca="1">_xll.BDH($C$178,"SHORT_TERM_DEBT_5_YEAR_GROWTH","FQ2 2017","FQ2 2017","Currency=INR","Period=FQ","BEST_FPERIOD_OVERRIDE=FQ","FILING_STATUS=OR","EQY_CONSOLIDATED=Y","Sort=A","Dates=H","DateFormat=P","Fill=—","Direction=H","UseDPDF=Y")</f>
        <v>#NAME?</v>
      </c>
      <c r="BA195" s="2" t="e">
        <f ca="1">_xll.BDH($C$178,"TOTAL_DEBT_5_YEAR_GROWTH","FQ2 2017","FQ2 2017","Currency=INR","Period=FQ","BEST_FPERIOD_OVERRIDE=FQ","FILING_STATUS=OR","EQY_CONSOLIDATED=Y","Sort=A","Dates=H","DateFormat=P","Fill=—","Direction=H","UseDPDF=Y")</f>
        <v>#NAME?</v>
      </c>
      <c r="BB195" s="2" t="e">
        <f ca="1">_xll.BDH($C$178,"GEO_GROW_TOT_SHRHLDR_EQY","FQ2 2017","FQ2 2017","Currency=INR","Period=FQ","BEST_FPERIOD_OVERRIDE=FQ","FILING_STATUS=OR","EQY_CONSOLIDATED=Y","Sort=A","Dates=H","DateFormat=P","Fill=—","Direction=H","UseDPDF=Y")</f>
        <v>#NAME?</v>
      </c>
      <c r="BC195" s="2" t="e">
        <f ca="1">_xll.BDH($C$178,"TOTAL_CAPITAL_5_YEAR_GROWTH","FQ2 2017","FQ2 2017","Currency=INR","Period=FQ","BEST_FPERIOD_OVERRIDE=FQ","FILING_STATUS=OR","EQY_CONSOLIDATED=Y","Sort=A","Dates=H","DateFormat=P","Fill=—","Direction=H","UseDPDF=Y")</f>
        <v>#NAME?</v>
      </c>
      <c r="BD195" s="2" t="e">
        <f ca="1">_xll.BDH($C$178,"GEO_GROW_BOOK_VAL","FQ2 2017","FQ2 2017","Currency=INR","Period=FQ","BEST_FPERIOD_OVERRIDE=FQ","FILING_STATUS=OR","EQY_CONSOLIDATED=Y","Sort=A","Dates=H","DateFormat=P","Fill=—","Direction=H","UseDPDF=Y")</f>
        <v>#NAME?</v>
      </c>
      <c r="BE195" s="2" t="e">
        <f ca="1">_xll.BDH($C$178,"GEO_GROW_CASH_OPER_ACT","FQ2 2017","FQ2 2017","Currency=INR","Period=FQ","BEST_FPERIOD_OVERRIDE=FQ","FILING_STATUS=OR","EQY_CONSOLIDATED=Y","Sort=A","Dates=H","DateFormat=P","Fill=—","Direction=H","UseDPDF=Y")</f>
        <v>#NAME?</v>
      </c>
      <c r="BF195" s="2" t="e">
        <f ca="1">_xll.BDH($C$178,"REVENUE_SEQUENTIAL_GROWTH","FQ2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195" s="2" t="e">
        <f ca="1">_xll.BDH($C$178,"EBITDA_SEQUENTIAL_GROWTH","FQ2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195" s="2" t="e">
        <f ca="1">_xll.BDH($C$178,"OPERATING_INCOME_SEQ_GROWTH","FQ2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195" s="2" t="e">
        <f ca="1">_xll.BDH($C$178,"NET_INCOME_TO_COMMON_SEQ_GROWTH","FQ2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195" s="2" t="e">
        <f ca="1">_xll.BDH($C$178,"EPS_DILUTED_SEQUENTIAL_GROWTH","FQ2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195" s="2" t="e">
        <f ca="1">_xll.BDH($C$178,"DPS_SEQUENTIAL_GROWTH","FQ2 2017","FQ2 2017","Currency=INR","Period=FQ","BEST_FPERIOD_OVERRIDE=FQ","FILING_STATUS=OR","EQY_CONSOLIDATED=Y","Sort=A","Dates=H","DateFormat=P","Fill=—","Direction=H","UseDPDF=Y")</f>
        <v>#NAME?</v>
      </c>
      <c r="BL195" s="2" t="e">
        <f ca="1">_xll.BDH($C$178,"ACCOUNTS_RECEIVABLE_SEQ_GROWTH","FQ2 2017","FQ2 2017","Currency=INR","Period=FQ","BEST_FPERIOD_OVERRIDE=FQ","FILING_STATUS=OR","EQY_CONSOLIDATED=Y","Sort=A","Dates=H","DateFormat=P","Fill=—","Direction=H","UseDPDF=Y")</f>
        <v>#NAME?</v>
      </c>
      <c r="BM195" s="2" t="e">
        <f ca="1">_xll.BDH($C$178,"INVENTORY_SEQUENTIAL_GROWTH","FQ2 2017","FQ2 2017","Currency=INR","Period=FQ","BEST_FPERIOD_OVERRIDE=FQ","FILING_STATUS=OR","EQY_CONSOLIDATED=Y","Sort=A","Dates=H","DateFormat=P","Fill=—","Direction=H","UseDPDF=Y")</f>
        <v>#NAME?</v>
      </c>
      <c r="BN195" s="2" t="e">
        <f ca="1">_xll.BDH($C$178,"FIXED_ASSETS_SEQUENTIAL_GROWTH","FQ2 2017","FQ2 2017","Currency=INR","Period=FQ","BEST_FPERIOD_OVERRIDE=FQ","FILING_STATUS=OR","EQY_CONSOLIDATED=Y","Sort=A","Dates=H","DateFormat=P","Fill=—","Direction=H","UseDPDF=Y")</f>
        <v>#NAME?</v>
      </c>
      <c r="BO195" s="2" t="e">
        <f ca="1">_xll.BDH($C$178,"TOTAL_ASSETS_SEQUENTIAL_GROWTH","FQ2 2017","FQ2 2017","Currency=INR","Period=FQ","BEST_FPERIOD_OVERRIDE=FQ","FILING_STATUS=OR","EQY_CONSOLIDATED=Y","Sort=A","Dates=H","DateFormat=P","Fill=—","Direction=H","UseDPDF=Y")</f>
        <v>#NAME?</v>
      </c>
      <c r="BP195" s="2" t="e">
        <f ca="1">_xll.BDH($C$178,"MODIFIED_WORKING_CPTL_SEQ_GRWTH","FQ2 2017","FQ2 2017","Currency=INR","Period=FQ","BEST_FPERIOD_OVERRIDE=FQ","FILING_STATUS=OR","EQY_CONSOLIDATED=Y","Sort=A","Dates=H","DateFormat=P","Fill=—","Direction=H","UseDPDF=Y")</f>
        <v>#NAME?</v>
      </c>
      <c r="BQ195" s="2" t="e">
        <f ca="1">_xll.BDH($C$178,"WORKING_CAPITAL_SEQ_GROWTH","FQ2 2017","FQ2 2017","Currency=INR","Period=FQ","BEST_FPERIOD_OVERRIDE=FQ","FILING_STATUS=OR","EQY_CONSOLIDATED=Y","Sort=A","Dates=H","DateFormat=P","Fill=—","Direction=H","UseDPDF=Y")</f>
        <v>#NAME?</v>
      </c>
      <c r="BR195" s="2" t="e">
        <f ca="1">_xll.BDH($C$178,"ACCOUNTS_PAYABLE_SEQ_GROWTH","FQ2 2017","FQ2 2017","Currency=INR","Period=FQ","BEST_FPERIOD_OVERRIDE=FQ","FILING_STATUS=OR","EQY_CONSOLIDATED=Y","Sort=A","Dates=H","DateFormat=P","Fill=—","Direction=H","UseDPDF=Y")</f>
        <v>#NAME?</v>
      </c>
      <c r="BS195" s="2" t="e">
        <f ca="1">_xll.BDH($C$178,"ST_DEBT_SEQUENTIAL_GROWTH","FQ2 2017","FQ2 2017","Currency=INR","Period=FQ","BEST_FPERIOD_OVERRIDE=FQ","FILING_STATUS=OR","EQY_CONSOLIDATED=Y","Sort=A","Dates=H","DateFormat=P","Fill=—","Direction=H","UseDPDF=Y")</f>
        <v>#NAME?</v>
      </c>
      <c r="BT195" s="2" t="e">
        <f ca="1">_xll.BDH($C$178,"TOTAL_DEBT_SEQUENTIAL_GROWTH","FQ2 2017","FQ2 2017","Currency=INR","Period=FQ","BEST_FPERIOD_OVERRIDE=FQ","FILING_STATUS=OR","EQY_CONSOLIDATED=Y","Sort=A","Dates=H","DateFormat=P","Fill=—","Direction=H","UseDPDF=Y")</f>
        <v>#NAME?</v>
      </c>
      <c r="BU195" s="2" t="e">
        <f ca="1">_xll.BDH($C$178,"TOTAL_EQUITY_SEQUENTIAL_GROWTH","FQ2 2017","FQ2 2017","Currency=INR","Period=FQ","BEST_FPERIOD_OVERRIDE=FQ","FILING_STATUS=OR","EQY_CONSOLIDATED=Y","Sort=A","Dates=H","DateFormat=P","Fill=—","Direction=H","UseDPDF=Y")</f>
        <v>#NAME?</v>
      </c>
      <c r="BV195" s="2" t="e">
        <f ca="1">_xll.BDH($C$178,"TOTAL_CAPITAL_SEQUENTIAL_GROWTH","FQ2 2017","FQ2 2017","Currency=INR","Period=FQ","BEST_FPERIOD_OVERRIDE=FQ","FILING_STATUS=OR","EQY_CONSOLIDATED=Y","Sort=A","Dates=H","DateFormat=P","Fill=—","Direction=H","UseDPDF=Y")</f>
        <v>#NAME?</v>
      </c>
      <c r="BW195" s="2" t="e">
        <f ca="1">_xll.BDH($C$178,"BPS_SEQUENTIAL_GROWTH","FQ2 2017","FQ2 2017","Currency=INR","Period=FQ","BEST_FPERIOD_OVERRIDE=FQ","FILING_STATUS=OR","EQY_CONSOLIDATED=Y","Sort=A","Dates=H","DateFormat=P","Fill=—","Direction=H","UseDPDF=Y")</f>
        <v>#NAME?</v>
      </c>
      <c r="BX195" s="2" t="e">
        <f ca="1">_xll.BDH($C$178,"CFO_SEQUENTIAL_GROWTH","FQ2 2017","FQ2 2017","Currency=INR","Period=FQ","BEST_FPERIOD_OVERRIDE=FQ","FILING_STATUS=OR","EQY_CONSOLIDATED=Y","Sort=A","Dates=H","DateFormat=P","Fill=—","Direction=H","UseDPDF=Y")</f>
        <v>#NAME?</v>
      </c>
      <c r="BY195" s="3" t="e">
        <f ca="1">_xll.BDH($C$178,"SHORT_AND_LONG_TERM_DEBT","FQ2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195" s="3" t="e">
        <f ca="1">_xll.BDH($C$178,"BS_ST_BORROW","FQ2 2017","FQ2 2017","Currency=INR","Period=FQ","BEST_FPERIOD_OVERRIDE=FQ","FILING_STATUS=OR","EQY_CONSOLIDATED=Y","SCALING_FORMAT=MLN","Sort=A","Dates=H","DateFormat=P","Fill=—","Direction=H","UseDPDF=Y")</f>
        <v>#NAME?</v>
      </c>
      <c r="CA195" s="3" t="e">
        <f ca="1">_xll.BDH($C$178,"BS_LT_BORROW","FQ2 2017","FQ2 2017","Currency=INR","Period=FQ","BEST_FPERIOD_OVERRIDE=FQ","FILING_STATUS=OR","EQY_CONSOLIDATED=Y","SCALING_FORMAT=MLN","Sort=A","Dates=H","DateFormat=P","Fill=—","Direction=H","UseDPDF=Y")</f>
        <v>#NAME?</v>
      </c>
      <c r="CB195" s="2" t="e">
        <f ca="1">_xll.BDH($C$178,"TOT_DEBT_TO_EBITDA","FQ2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195" s="2" t="e">
        <f ca="1">_xll.BDH($C$178,"NET_DEBT_TO_EBITDA","FQ2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195" s="2" t="e">
        <f ca="1">_xll.BDH($C$178,"TOTAL_DEBT_TO_EBIT","FQ2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195" s="2" t="e">
        <f ca="1">_xll.BDH($C$178,"NET_DEBT_TO_EBIT","FQ2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195" s="2" t="e">
        <f ca="1">_xll.BDH($C$178,"EBITDA_TO_INTEREST_EXPN","FQ2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195" s="2" t="e">
        <f ca="1">_xll.BDH($C$178,"COM_EQY_TO_TOT_ASSET","FQ2 2017","FQ2 2017","Currency=INR","Period=FQ","BEST_FPERIOD_OVERRIDE=FQ","FILING_STATUS=OR","EQY_CONSOLIDATED=Y","Sort=A","Dates=H","DateFormat=P","Fill=—","Direction=H","UseDPDF=Y")</f>
        <v>#NAME?</v>
      </c>
      <c r="CH195" s="2" t="e">
        <f ca="1">_xll.BDH($C$178,"LT_DEBT_TO_TOT_EQY","FQ2 2017","FQ2 2017","Currency=INR","Period=FQ","BEST_FPERIOD_OVERRIDE=FQ","FILING_STATUS=OR","EQY_CONSOLIDATED=Y","Sort=A","Dates=H","DateFormat=P","Fill=—","Direction=H","UseDPDF=Y")</f>
        <v>#NAME?</v>
      </c>
      <c r="CI195" s="2" t="e">
        <f ca="1">_xll.BDH($C$178,"LT_DEBT_TO_TOT_CAP","FQ2 2017","FQ2 2017","Currency=INR","Period=FQ","BEST_FPERIOD_OVERRIDE=FQ","FILING_STATUS=OR","EQY_CONSOLIDATED=Y","Sort=A","Dates=H","DateFormat=P","Fill=—","Direction=H","UseDPDF=Y")</f>
        <v>#NAME?</v>
      </c>
      <c r="CJ195" s="2" t="e">
        <f ca="1">_xll.BDH($C$178,"LT_DEBT_TO_TOT_ASSET","FQ2 2017","FQ2 2017","Currency=INR","Period=FQ","BEST_FPERIOD_OVERRIDE=FQ","FILING_STATUS=OR","EQY_CONSOLIDATED=Y","Sort=A","Dates=H","DateFormat=P","Fill=—","Direction=H","UseDPDF=Y")</f>
        <v>#NAME?</v>
      </c>
      <c r="CK195" s="2" t="e">
        <f ca="1">_xll.BDH($C$178,"TOT_DEBT_TO_TOT_EQY","FQ2 2017","FQ2 2017","Currency=INR","Period=FQ","BEST_FPERIOD_OVERRIDE=FQ","FILING_STATUS=OR","EQY_CONSOLIDATED=Y","Sort=A","Dates=H","DateFormat=P","Fill=—","Direction=H","UseDPDF=Y")</f>
        <v>#NAME?</v>
      </c>
      <c r="CL195" s="2" t="e">
        <f ca="1">_xll.BDH($C$178,"TOT_DEBT_TO_TOT_CAP","FQ2 2017","FQ2 2017","Currency=INR","Period=FQ","BEST_FPERIOD_OVERRIDE=FQ","FILING_STATUS=OR","EQY_CONSOLIDATED=Y","Sort=A","Dates=H","DateFormat=P","Fill=—","Direction=H","UseDPDF=Y")</f>
        <v>#NAME?</v>
      </c>
      <c r="CM195" s="2" t="e">
        <f ca="1">_xll.BDH($C$178,"TOT_DEBT_TO_TOT_ASSET","FQ2 2017","FQ2 2017","Currency=INR","Period=FQ","BEST_FPERIOD_OVERRIDE=FQ","FILING_STATUS=OR","EQY_CONSOLIDATED=Y","Sort=A","Dates=H","DateFormat=P","Fill=—","Direction=H","UseDPDF=Y")</f>
        <v>#NAME?</v>
      </c>
      <c r="CN195" s="2" t="e">
        <f ca="1">_xll.BDH($C$178,"NET_DEBT_TO_SHRHLDR_EQTY","FQ2 2017","FQ2 2017","Currency=INR","Period=FQ","BEST_FPERIOD_OVERRIDE=FQ","FILING_STATUS=OR","EQY_CONSOLIDATED=Y","Sort=A","Dates=H","DateFormat=P","Fill=—","Direction=H","UseDPDF=Y")</f>
        <v>#NAME?</v>
      </c>
      <c r="CO195" s="2" t="e">
        <f ca="1">_xll.BDH($C$178,"NET_DEBT_%_CAPITAL","FQ2 2017","FQ2 2017","Currency=INR","Period=FQ","BEST_FPERIOD_OVERRIDE=FQ","FILING_STATUS=OR","EQY_CONSOLIDATED=Y","Sort=A","Dates=H","DateFormat=P","Fill=—","Direction=H","UseDPDF=Y")</f>
        <v>#NAME?</v>
      </c>
      <c r="CP195" s="3" t="e">
        <f ca="1">_xll.BDH($C$178,"EBITDA","FQ2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195" s="3" t="e">
        <f ca="1">_xll.BDH($C$178,"EBITDA_AFTER_CAPEX","FQ2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195" s="3" t="e">
        <f ca="1">_xll.BDH($C$178,"IS_OPER_INC","FQ2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195" s="2" t="e">
        <f ca="1">_xll.BDH($C$178,"CASH_RATIO","FQ2 2017","FQ2 2017","Currency=INR","Period=FQ","BEST_FPERIOD_OVERRIDE=FQ","FILING_STATUS=OR","EQY_CONSOLIDATED=Y","Sort=A","Dates=H","DateFormat=P","Fill=—","Direction=H","UseDPDF=Y")</f>
        <v>#NAME?</v>
      </c>
      <c r="CT195" s="2" t="e">
        <f ca="1">_xll.BDH($C$178,"CUR_RATIO","FQ2 2017","FQ2 2017","Currency=INR","Period=FQ","BEST_FPERIOD_OVERRIDE=FQ","FILING_STATUS=OR","EQY_CONSOLIDATED=Y","Sort=A","Dates=H","DateFormat=P","Fill=—","Direction=H","UseDPDF=Y")</f>
        <v>#NAME?</v>
      </c>
      <c r="CU195" s="2" t="e">
        <f ca="1">_xll.BDH($C$178,"QUICK_RATIO","FQ2 2017","FQ2 2017","Currency=INR","Period=FQ","BEST_FPERIOD_OVERRIDE=FQ","FILING_STATUS=OR","EQY_CONSOLIDATED=Y","Sort=A","Dates=H","DateFormat=P","Fill=—","Direction=H","UseDPDF=Y")</f>
        <v>#NAME?</v>
      </c>
      <c r="CV195" s="2" t="e">
        <f ca="1">_xll.BDH($C$178,"ALTMAN_Z_SCORE","FQ2 2017","FQ2 2017","Currency=INR","Period=FQ","BEST_FPERIOD_OVERRIDE=FQ","FILING_STATUS=OR","EQY_CONSOLIDATED=Y","Sort=A","Dates=H","DateFormat=P","Fill=—","Direction=H","UseDPDF=Y")</f>
        <v>#NAME?</v>
      </c>
      <c r="CW195" s="4" t="e">
        <f ca="1">_xll.BDH($C$178,"ACCT_RCV_TURN","FQ2 2017","FQ2 2017","Currency=INR","Period=FQ","BEST_FPERIOD_OVERRIDE=FQ","FILING_STATUS=OR","EQY_CONSOLIDATED=Y","FA_ADJUSTED=GAAP","Sort=A","Dates=H","DateFormat=P","Fill=—","Direction=H","UseDPDF=Y")</f>
        <v>#NAME?</v>
      </c>
      <c r="CX195" s="2" t="e">
        <f ca="1">_xll.BDH($C$178,"ACCT_RCV_DAYS","FQ2 2017","FQ2 2017","Currency=INR","Period=FQ","BEST_FPERIOD_OVERRIDE=FQ","FILING_STATUS=OR","EQY_CONSOLIDATED=Y","FA_ADJUSTED=GAAP","Sort=A","Dates=H","DateFormat=P","Fill=—","Direction=H","UseDPDF=Y")</f>
        <v>#NAME?</v>
      </c>
      <c r="CY195" s="4" t="e">
        <f ca="1">_xll.BDH($C$178,"INVENT_TURN","FQ2 2017","FQ2 2017","Currency=INR","Period=FQ","BEST_FPERIOD_OVERRIDE=FQ","FILING_STATUS=OR","EQY_CONSOLIDATED=Y","FA_ADJUSTED=GAAP","Sort=A","Dates=H","DateFormat=P","Fill=—","Direction=H","UseDPDF=Y")</f>
        <v>#NAME?</v>
      </c>
      <c r="CZ195" s="2" t="e">
        <f ca="1">_xll.BDH($C$178,"INVENT_DAYS","FQ2 2017","FQ2 2017","Currency=INR","Period=FQ","BEST_FPERIOD_OVERRIDE=FQ","FILING_STATUS=OR","EQY_CONSOLIDATED=Y","FA_ADJUSTED=GAAP","Sort=A","Dates=H","DateFormat=P","Fill=—","Direction=H","UseDPDF=Y")</f>
        <v>#NAME?</v>
      </c>
      <c r="DA195" s="4" t="e">
        <f ca="1">_xll.BDH($C$178,"ACCOUNTS_PAYABLE_TURNOVER","FQ2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195" s="2" t="e">
        <f ca="1">_xll.BDH($C$178,"ACCOUNTS_PAYABLE_TURNOVER_DAYS","FQ2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195" s="4" t="e">
        <f ca="1">_xll.BDH($C$178,"CASH_CONVERSION_CYCLE","FQ2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195" s="4" t="e">
        <f ca="1">_xll.BDH($C$178,"INV_TO_CASH_DAYS","FQ2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195" s="5" t="e">
        <f ca="1">_xll.BDH($C$178,"BS_INVENTORIES","FQ2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195" s="3" t="e">
        <f ca="1">_xll.BDH($C$178,"INVTRY_RAW_MATERIALS","FQ2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195" s="3" t="e">
        <f ca="1">_xll.BDH($C$178,"INVTRY_IN_PROGRESS","FQ2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195" s="3" t="e">
        <f ca="1">_xll.BDH($C$178,"INVTRY_FINISHED_GOODS","FQ2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195" s="3" t="e">
        <f ca="1">_xll.BDH($C$178,"BS_OTHER_INV","FQ2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196" spans="1:113" x14ac:dyDescent="0.3">
      <c r="A196" s="6"/>
      <c r="B196" s="6"/>
      <c r="C196" s="6"/>
      <c r="D196" s="6"/>
      <c r="E196" t="s">
        <v>80</v>
      </c>
      <c r="F196" t="e">
        <f ca="1">_xll.BDH($C$178,"RETURN_COM_EQY","FQ3 2017","FQ3 2017","Currency=INR","Period=FQ","BEST_FPERIOD_OVERRIDE=FQ","FILING_STATUS=OR","EQY_CONSOLIDATED=Y","FA_ADJUSTED=GAAP","Sort=A","Dates=H","DateFormat=P","Fill=—","Direction=H","UseDPDF=Y")</f>
        <v>#NAME?</v>
      </c>
      <c r="G196" t="e">
        <f ca="1">_xll.BDH($C$178,"RETURN_ON_ASSET","FQ3 2017","FQ3 2017","Currency=INR","Period=FQ","BEST_FPERIOD_OVERRIDE=FQ","FILING_STATUS=OR","EQY_CONSOLIDATED=Y","FA_ADJUSTED=GAAP","Sort=A","Dates=H","DateFormat=P","Fill=—","Direction=H","UseDPDF=Y")</f>
        <v>#NAME?</v>
      </c>
      <c r="H196" t="e">
        <f ca="1">_xll.BDH($C$178,"RETURN_ON_CAP","FQ3 2017","FQ3 2017","Currency=INR","Period=FQ","BEST_FPERIOD_OVERRIDE=FQ","FILING_STATUS=OR","EQY_CONSOLIDATED=Y","FA_ADJUSTED=GAAP","Sort=A","Dates=H","DateFormat=P","Fill=—","Direction=H","UseDPDF=Y")</f>
        <v>#NAME?</v>
      </c>
      <c r="I196" t="e">
        <f ca="1">_xll.BDH($C$178,"RETURN_ON_INV_CAPITAL","FQ3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196" t="e">
        <f ca="1">_xll.BDH($C$178,"EBITDA_TO_REVENUE","FQ3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196" t="e">
        <f ca="1">_xll.BDH($C$178,"OPER_MARGIN","FQ3 2017","FQ3 2017","Currency=INR","Period=FQ","BEST_FPERIOD_OVERRIDE=FQ","FILING_STATUS=OR","EQY_CONSOLIDATED=Y","FA_ADJUSTED=GAAP","Sort=A","Dates=H","DateFormat=P","Fill=—","Direction=H","UseDPDF=Y")</f>
        <v>#NAME?</v>
      </c>
      <c r="L196" t="e">
        <f ca="1">_xll.BDH($C$178,"INCREMENTAL_OPERATING_MARGIN","FQ3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196" t="e">
        <f ca="1">_xll.BDH($C$178,"PRETAX_INC_TO_NET_SALES","FQ3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196" t="e">
        <f ca="1">_xll.BDH($C$178,"INC_BEF_XO_ITEMS_TO_NET_SALES","FQ3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196" t="e">
        <f ca="1">_xll.BDH($C$178,"PROF_MARGIN","FQ3 2017","FQ3 2017","Currency=INR","Period=FQ","BEST_FPERIOD_OVERRIDE=FQ","FILING_STATUS=OR","EQY_CONSOLIDATED=Y","FA_ADJUSTED=GAAP","Sort=A","Dates=H","DateFormat=P","Fill=—","Direction=H","UseDPDF=Y")</f>
        <v>#NAME?</v>
      </c>
      <c r="P196" t="e">
        <f ca="1">_xll.BDH($C$178,"NET_INCOME_TO_COMMON_MARGIN","FQ3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196" t="e">
        <f ca="1">_xll.BDH($C$178,"EFF_TAX_RATE","FQ3 2017","FQ3 2017","Currency=INR","Period=FQ","BEST_FPERIOD_OVERRIDE=FQ","FILING_STATUS=OR","EQY_CONSOLIDATED=Y","FA_ADJUSTED=GAAP","Sort=A","Dates=H","DateFormat=P","Fill=—","Direction=H","UseDPDF=Y")</f>
        <v>#NAME?</v>
      </c>
      <c r="R196" t="e">
        <f ca="1">_xll.BDH($C$178,"DVD_PAYOUT_RATIO","FQ3 2017","FQ3 2017","Currency=INR","Period=FQ","BEST_FPERIOD_OVERRIDE=FQ","FILING_STATUS=OR","EQY_CONSOLIDATED=Y","FA_ADJUSTED=GAAP","Sort=A","Dates=H","DateFormat=P","Fill=—","Direction=H","UseDPDF=Y")</f>
        <v>#NAME?</v>
      </c>
      <c r="S196" t="e">
        <f ca="1">_xll.BDH($C$178,"SUSTAIN_GROWTH_RT","FQ3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196" s="2" t="e">
        <f ca="1">_xll.BDH($C$178,"SALES_GROWTH","FQ3 2017","FQ3 2017","Currency=INR","Period=FQ","BEST_FPERIOD_OVERRIDE=FQ","FILING_STATUS=OR","EQY_CONSOLIDATED=Y","FA_ADJUSTED=GAAP","Sort=A","Dates=H","DateFormat=P","Fill=—","Direction=H","UseDPDF=Y")</f>
        <v>#NAME?</v>
      </c>
      <c r="U196" s="2" t="e">
        <f ca="1">_xll.BDH($C$178,"EBITDA_GROWTH","FQ3 2017","FQ3 2017","Currency=INR","Period=FQ","BEST_FPERIOD_OVERRIDE=FQ","FILING_STATUS=OR","EQY_CONSOLIDATED=Y","FA_ADJUSTED=GAAP","Sort=A","Dates=H","DateFormat=P","Fill=—","Direction=H","UseDPDF=Y")</f>
        <v>#NAME?</v>
      </c>
      <c r="V196" s="2" t="e">
        <f ca="1">_xll.BDH($C$178,"OPER_INC_GROWTH","FQ3 2017","FQ3 2017","Currency=INR","Period=FQ","BEST_FPERIOD_OVERRIDE=FQ","FILING_STATUS=OR","EQY_CONSOLIDATED=Y","FA_ADJUSTED=GAAP","Sort=A","Dates=H","DateFormat=P","Fill=—","Direction=H","UseDPDF=Y")</f>
        <v>#NAME?</v>
      </c>
      <c r="W196" s="2" t="e">
        <f ca="1">_xll.BDH($C$178,"EARN_FOR_COM_GROWTH","FQ3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196" s="2" t="e">
        <f ca="1">_xll.BDH($C$178,"DILUTED_EPS_AFT_XO_ITEMS_GROWTH","FQ3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196" s="2" t="e">
        <f ca="1">_xll.BDH($C$178,"DIVIDEND_PER_SHARE_1_YEAR_GROWTH","FQ3 2017","FQ3 2017","Currency=INR","Period=FQ","BEST_FPERIOD_OVERRIDE=FQ","FILING_STATUS=OR","EQY_CONSOLIDATED=Y","Sort=A","Dates=H","DateFormat=P","Fill=—","Direction=H","UseDPDF=Y")</f>
        <v>#NAME?</v>
      </c>
      <c r="Z196" s="2" t="e">
        <f ca="1">_xll.BDH($C$178,"ACCOUNTS_RECEIVABLE_GROWTH","FQ3 2017","FQ3 2017","Currency=INR","Period=FQ","BEST_FPERIOD_OVERRIDE=FQ","FILING_STATUS=OR","EQY_CONSOLIDATED=Y","Sort=A","Dates=H","DateFormat=P","Fill=—","Direction=H","UseDPDF=Y")</f>
        <v>#NAME?</v>
      </c>
      <c r="AA196" s="2" t="e">
        <f ca="1">_xll.BDH($C$178,"INVENTORY_GROWTH","FQ3 2017","FQ3 2017","Currency=INR","Period=FQ","BEST_FPERIOD_OVERRIDE=FQ","FILING_STATUS=OR","EQY_CONSOLIDATED=Y","Sort=A","Dates=H","DateFormat=P","Fill=—","Direction=H","UseDPDF=Y")</f>
        <v>#NAME?</v>
      </c>
      <c r="AB196" s="2" t="e">
        <f ca="1">_xll.BDH($C$178,"NET_FIXED_ASSETS_1_YEAR_GROWTH","FQ3 2017","FQ3 2017","Currency=INR","Period=FQ","BEST_FPERIOD_OVERRIDE=FQ","FILING_STATUS=OR","EQY_CONSOLIDATED=Y","Sort=A","Dates=H","DateFormat=P","Fill=—","Direction=H","UseDPDF=Y")</f>
        <v>#NAME?</v>
      </c>
      <c r="AC196" s="2" t="e">
        <f ca="1">_xll.BDH($C$178,"ASSET_GROWTH","FQ3 2017","FQ3 2017","Currency=INR","Period=FQ","BEST_FPERIOD_OVERRIDE=FQ","FILING_STATUS=OR","EQY_CONSOLIDATED=Y","Sort=A","Dates=H","DateFormat=P","Fill=—","Direction=H","UseDPDF=Y")</f>
        <v>#NAME?</v>
      </c>
      <c r="AD196" s="2" t="e">
        <f ca="1">_xll.BDH($C$178,"MODIFIED_WORK_CAP_GROWTH","FQ3 2017","FQ3 2017","Currency=INR","Period=FQ","BEST_FPERIOD_OVERRIDE=FQ","FILING_STATUS=OR","EQY_CONSOLIDATED=Y","Sort=A","Dates=H","DateFormat=P","Fill=—","Direction=H","UseDPDF=Y")</f>
        <v>#NAME?</v>
      </c>
      <c r="AE196" s="2" t="e">
        <f ca="1">_xll.BDH($C$178,"WORK_CAP_GROWTH","FQ3 2017","FQ3 2017","Currency=INR","Period=FQ","BEST_FPERIOD_OVERRIDE=FQ","FILING_STATUS=OR","EQY_CONSOLIDATED=Y","Sort=A","Dates=H","DateFormat=P","Fill=—","Direction=H","UseDPDF=Y")</f>
        <v>#NAME?</v>
      </c>
      <c r="AF196" s="2" t="e">
        <f ca="1">_xll.BDH($C$178,"ACCOUNTS_PAYABLE_GROWTH_1YR","FQ3 2017","FQ3 2017","Currency=INR","Period=FQ","BEST_FPERIOD_OVERRIDE=FQ","FILING_STATUS=OR","EQY_CONSOLIDATED=Y","Sort=A","Dates=H","DateFormat=P","Fill=—","Direction=H","UseDPDF=Y")</f>
        <v>#NAME?</v>
      </c>
      <c r="AG196" s="2" t="e">
        <f ca="1">_xll.BDH($C$178,"SHORT_TERM_DEBT_1_YEAR_GROWTH","FQ3 2017","FQ3 2017","Currency=INR","Period=FQ","BEST_FPERIOD_OVERRIDE=FQ","FILING_STATUS=OR","EQY_CONSOLIDATED=Y","Sort=A","Dates=H","DateFormat=P","Fill=—","Direction=H","UseDPDF=Y")</f>
        <v>#NAME?</v>
      </c>
      <c r="AH196" s="2" t="e">
        <f ca="1">_xll.BDH($C$178,"TOTAL_DEBT_1_YEAR_GROWTH","FQ3 2017","FQ3 2017","Currency=INR","Period=FQ","BEST_FPERIOD_OVERRIDE=FQ","FILING_STATUS=OR","EQY_CONSOLIDATED=Y","Sort=A","Dates=H","DateFormat=P","Fill=—","Direction=H","UseDPDF=Y")</f>
        <v>#NAME?</v>
      </c>
      <c r="AI196" s="2" t="e">
        <f ca="1">_xll.BDH($C$178,"TOTAL_EQUITY_1_YEAR_GROWTH","FQ3 2017","FQ3 2017","Currency=INR","Period=FQ","BEST_FPERIOD_OVERRIDE=FQ","FILING_STATUS=OR","EQY_CONSOLIDATED=Y","Sort=A","Dates=H","DateFormat=P","Fill=—","Direction=H","UseDPDF=Y")</f>
        <v>#NAME?</v>
      </c>
      <c r="AJ196" s="2" t="e">
        <f ca="1">_xll.BDH($C$178,"GROWTH_IN_CAP","FQ3 2017","FQ3 2017","Currency=INR","Period=FQ","BEST_FPERIOD_OVERRIDE=FQ","FILING_STATUS=OR","EQY_CONSOLIDATED=Y","Sort=A","Dates=H","DateFormat=P","Fill=—","Direction=H","UseDPDF=Y")</f>
        <v>#NAME?</v>
      </c>
      <c r="AK196" s="2" t="e">
        <f ca="1">_xll.BDH($C$178,"BVPS_GROWTH","FQ3 2017","FQ3 2017","Currency=INR","Period=FQ","BEST_FPERIOD_OVERRIDE=FQ","FILING_STATUS=OR","EQY_CONSOLIDATED=Y","Sort=A","Dates=H","DateFormat=P","Fill=—","Direction=H","UseDPDF=Y")</f>
        <v>#NAME?</v>
      </c>
      <c r="AL196" s="2" t="e">
        <f ca="1">_xll.BDH($C$178,"CASH_FLOW_GROWTH","FQ3 2017","FQ3 2017","Currency=INR","Period=FQ","BEST_FPERIOD_OVERRIDE=FQ","FILING_STATUS=OR","EQY_CONSOLIDATED=Y","Sort=A","Dates=H","DateFormat=P","Fill=—","Direction=H","UseDPDF=Y")</f>
        <v>#NAME?</v>
      </c>
      <c r="AM196" s="2" t="e">
        <f ca="1">_xll.BDH($C$178,"GEO_GROW_NET_SALES","FQ3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196" s="2" t="e">
        <f ca="1">_xll.BDH($C$178,"GEO_GROW_EBITDA","FQ3 2017","FQ3 2017","Currency=INR","Period=FQ","BEST_FPERIOD_OVERRIDE=FQ","FILING_STATUS=OR","EQY_CONSOLIDATED=Y","FA_ADJUSTED=GAAP","Sort=A","Dates=H","DateFormat=P","Fill=—","Direction=H","UseDPDF=Y")</f>
        <v>#NAME?</v>
      </c>
      <c r="AO196" s="2" t="e">
        <f ca="1">_xll.BDH($C$178,"GEO_GROW_OPER_INC","FQ3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196" s="2" t="e">
        <f ca="1">_xll.BDH($C$178,"NET_INCOME_TO_COMMON_5_YR_GROWTH","FQ3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196" s="2" t="e">
        <f ca="1">_xll.BDH($C$178,"5Y_GEO_GROWTH_DILUTED_EPS","FQ3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196" s="2" t="e">
        <f ca="1">_xll.BDH($C$178,"GEO_GROW_DVD_PER_SH","FQ3 2017","FQ3 2017","Currency=INR","Period=FQ","BEST_FPERIOD_OVERRIDE=FQ","FILING_STATUS=OR","EQY_CONSOLIDATED=Y","Sort=A","Dates=H","DateFormat=P","Fill=—","Direction=H","UseDPDF=Y")</f>
        <v>#NAME?</v>
      </c>
      <c r="AS196" s="2" t="e">
        <f ca="1">_xll.BDH($C$178,"ACCOUNTS_RECEIVABLE_5_YR_GROWTH","FQ3 2017","FQ3 2017","Currency=INR","Period=FQ","BEST_FPERIOD_OVERRIDE=FQ","FILING_STATUS=OR","EQY_CONSOLIDATED=Y","Sort=A","Dates=H","DateFormat=P","Fill=—","Direction=H","UseDPDF=Y")</f>
        <v>#NAME?</v>
      </c>
      <c r="AT196" s="2" t="e">
        <f ca="1">_xll.BDH($C$178,"INVENTORY_5_YEAR_GROWTH","FQ3 2017","FQ3 2017","Currency=INR","Period=FQ","BEST_FPERIOD_OVERRIDE=FQ","FILING_STATUS=OR","EQY_CONSOLIDATED=Y","Sort=A","Dates=H","DateFormat=P","Fill=—","Direction=H","UseDPDF=Y")</f>
        <v>#NAME?</v>
      </c>
      <c r="AU196" s="2" t="e">
        <f ca="1">_xll.BDH($C$178,"NET_FIXED_ASSETS_5_YEAR_GROWTH","FQ3 2017","FQ3 2017","Currency=INR","Period=FQ","BEST_FPERIOD_OVERRIDE=FQ","FILING_STATUS=OR","EQY_CONSOLIDATED=Y","Sort=A","Dates=H","DateFormat=P","Fill=—","Direction=H","UseDPDF=Y")</f>
        <v>#NAME?</v>
      </c>
      <c r="AV196" s="2" t="e">
        <f ca="1">_xll.BDH($C$178,"GEO_GROW_TOT_ASSET","FQ3 2017","FQ3 2017","Currency=INR","Period=FQ","BEST_FPERIOD_OVERRIDE=FQ","FILING_STATUS=OR","EQY_CONSOLIDATED=Y","Sort=A","Dates=H","DateFormat=P","Fill=—","Direction=H","UseDPDF=Y")</f>
        <v>#NAME?</v>
      </c>
      <c r="AW196" s="2" t="e">
        <f ca="1">_xll.BDH($C$178,"MODIFIED_WORKING_CPTL_5YR_GRWTH","FQ3 2017","FQ3 2017","Currency=INR","Period=FQ","BEST_FPERIOD_OVERRIDE=FQ","FILING_STATUS=OR","EQY_CONSOLIDATED=Y","Sort=A","Dates=H","DateFormat=P","Fill=—","Direction=H","UseDPDF=Y")</f>
        <v>#NAME?</v>
      </c>
      <c r="AX196" s="2" t="e">
        <f ca="1">_xll.BDH($C$178,"WORKING_CAPITAL_5_YEAR_GROWTH","FQ3 2017","FQ3 2017","Currency=INR","Period=FQ","BEST_FPERIOD_OVERRIDE=FQ","FILING_STATUS=OR","EQY_CONSOLIDATED=Y","Sort=A","Dates=H","DateFormat=P","Fill=—","Direction=H","UseDPDF=Y")</f>
        <v>#NAME?</v>
      </c>
      <c r="AY196" s="2" t="e">
        <f ca="1">_xll.BDH($C$178,"ACCOUNTS_PAYABLE_5_YEAR_GROWTH","FQ3 2017","FQ3 2017","Currency=INR","Period=FQ","BEST_FPERIOD_OVERRIDE=FQ","FILING_STATUS=OR","EQY_CONSOLIDATED=Y","Sort=A","Dates=H","DateFormat=P","Fill=—","Direction=H","UseDPDF=Y")</f>
        <v>#NAME?</v>
      </c>
      <c r="AZ196" s="2" t="e">
        <f ca="1">_xll.BDH($C$178,"SHORT_TERM_DEBT_5_YEAR_GROWTH","FQ3 2017","FQ3 2017","Currency=INR","Period=FQ","BEST_FPERIOD_OVERRIDE=FQ","FILING_STATUS=OR","EQY_CONSOLIDATED=Y","Sort=A","Dates=H","DateFormat=P","Fill=—","Direction=H","UseDPDF=Y")</f>
        <v>#NAME?</v>
      </c>
      <c r="BA196" s="2" t="e">
        <f ca="1">_xll.BDH($C$178,"TOTAL_DEBT_5_YEAR_GROWTH","FQ3 2017","FQ3 2017","Currency=INR","Period=FQ","BEST_FPERIOD_OVERRIDE=FQ","FILING_STATUS=OR","EQY_CONSOLIDATED=Y","Sort=A","Dates=H","DateFormat=P","Fill=—","Direction=H","UseDPDF=Y")</f>
        <v>#NAME?</v>
      </c>
      <c r="BB196" s="2" t="e">
        <f ca="1">_xll.BDH($C$178,"GEO_GROW_TOT_SHRHLDR_EQY","FQ3 2017","FQ3 2017","Currency=INR","Period=FQ","BEST_FPERIOD_OVERRIDE=FQ","FILING_STATUS=OR","EQY_CONSOLIDATED=Y","Sort=A","Dates=H","DateFormat=P","Fill=—","Direction=H","UseDPDF=Y")</f>
        <v>#NAME?</v>
      </c>
      <c r="BC196" s="2" t="e">
        <f ca="1">_xll.BDH($C$178,"TOTAL_CAPITAL_5_YEAR_GROWTH","FQ3 2017","FQ3 2017","Currency=INR","Period=FQ","BEST_FPERIOD_OVERRIDE=FQ","FILING_STATUS=OR","EQY_CONSOLIDATED=Y","Sort=A","Dates=H","DateFormat=P","Fill=—","Direction=H","UseDPDF=Y")</f>
        <v>#NAME?</v>
      </c>
      <c r="BD196" s="2" t="e">
        <f ca="1">_xll.BDH($C$178,"GEO_GROW_BOOK_VAL","FQ3 2017","FQ3 2017","Currency=INR","Period=FQ","BEST_FPERIOD_OVERRIDE=FQ","FILING_STATUS=OR","EQY_CONSOLIDATED=Y","Sort=A","Dates=H","DateFormat=P","Fill=—","Direction=H","UseDPDF=Y")</f>
        <v>#NAME?</v>
      </c>
      <c r="BE196" s="2" t="e">
        <f ca="1">_xll.BDH($C$178,"GEO_GROW_CASH_OPER_ACT","FQ3 2017","FQ3 2017","Currency=INR","Period=FQ","BEST_FPERIOD_OVERRIDE=FQ","FILING_STATUS=OR","EQY_CONSOLIDATED=Y","Sort=A","Dates=H","DateFormat=P","Fill=—","Direction=H","UseDPDF=Y")</f>
        <v>#NAME?</v>
      </c>
      <c r="BF196" s="2" t="e">
        <f ca="1">_xll.BDH($C$178,"REVENUE_SEQUENTIAL_GROWTH","FQ3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196" s="2" t="e">
        <f ca="1">_xll.BDH($C$178,"EBITDA_SEQUENTIAL_GROWTH","FQ3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196" s="2" t="e">
        <f ca="1">_xll.BDH($C$178,"OPERATING_INCOME_SEQ_GROWTH","FQ3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196" s="2" t="e">
        <f ca="1">_xll.BDH($C$178,"NET_INCOME_TO_COMMON_SEQ_GROWTH","FQ3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196" s="2" t="e">
        <f ca="1">_xll.BDH($C$178,"EPS_DILUTED_SEQUENTIAL_GROWTH","FQ3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196" s="2" t="e">
        <f ca="1">_xll.BDH($C$178,"DPS_SEQUENTIAL_GROWTH","FQ3 2017","FQ3 2017","Currency=INR","Period=FQ","BEST_FPERIOD_OVERRIDE=FQ","FILING_STATUS=OR","EQY_CONSOLIDATED=Y","Sort=A","Dates=H","DateFormat=P","Fill=—","Direction=H","UseDPDF=Y")</f>
        <v>#NAME?</v>
      </c>
      <c r="BL196" s="2" t="e">
        <f ca="1">_xll.BDH($C$178,"ACCOUNTS_RECEIVABLE_SEQ_GROWTH","FQ3 2017","FQ3 2017","Currency=INR","Period=FQ","BEST_FPERIOD_OVERRIDE=FQ","FILING_STATUS=OR","EQY_CONSOLIDATED=Y","Sort=A","Dates=H","DateFormat=P","Fill=—","Direction=H","UseDPDF=Y")</f>
        <v>#NAME?</v>
      </c>
      <c r="BM196" s="2" t="e">
        <f ca="1">_xll.BDH($C$178,"INVENTORY_SEQUENTIAL_GROWTH","FQ3 2017","FQ3 2017","Currency=INR","Period=FQ","BEST_FPERIOD_OVERRIDE=FQ","FILING_STATUS=OR","EQY_CONSOLIDATED=Y","Sort=A","Dates=H","DateFormat=P","Fill=—","Direction=H","UseDPDF=Y")</f>
        <v>#NAME?</v>
      </c>
      <c r="BN196" s="2" t="e">
        <f ca="1">_xll.BDH($C$178,"FIXED_ASSETS_SEQUENTIAL_GROWTH","FQ3 2017","FQ3 2017","Currency=INR","Period=FQ","BEST_FPERIOD_OVERRIDE=FQ","FILING_STATUS=OR","EQY_CONSOLIDATED=Y","Sort=A","Dates=H","DateFormat=P","Fill=—","Direction=H","UseDPDF=Y")</f>
        <v>#NAME?</v>
      </c>
      <c r="BO196" s="2" t="e">
        <f ca="1">_xll.BDH($C$178,"TOTAL_ASSETS_SEQUENTIAL_GROWTH","FQ3 2017","FQ3 2017","Currency=INR","Period=FQ","BEST_FPERIOD_OVERRIDE=FQ","FILING_STATUS=OR","EQY_CONSOLIDATED=Y","Sort=A","Dates=H","DateFormat=P","Fill=—","Direction=H","UseDPDF=Y")</f>
        <v>#NAME?</v>
      </c>
      <c r="BP196" s="2" t="e">
        <f ca="1">_xll.BDH($C$178,"MODIFIED_WORKING_CPTL_SEQ_GRWTH","FQ3 2017","FQ3 2017","Currency=INR","Period=FQ","BEST_FPERIOD_OVERRIDE=FQ","FILING_STATUS=OR","EQY_CONSOLIDATED=Y","Sort=A","Dates=H","DateFormat=P","Fill=—","Direction=H","UseDPDF=Y")</f>
        <v>#NAME?</v>
      </c>
      <c r="BQ196" s="2" t="e">
        <f ca="1">_xll.BDH($C$178,"WORKING_CAPITAL_SEQ_GROWTH","FQ3 2017","FQ3 2017","Currency=INR","Period=FQ","BEST_FPERIOD_OVERRIDE=FQ","FILING_STATUS=OR","EQY_CONSOLIDATED=Y","Sort=A","Dates=H","DateFormat=P","Fill=—","Direction=H","UseDPDF=Y")</f>
        <v>#NAME?</v>
      </c>
      <c r="BR196" s="2" t="e">
        <f ca="1">_xll.BDH($C$178,"ACCOUNTS_PAYABLE_SEQ_GROWTH","FQ3 2017","FQ3 2017","Currency=INR","Period=FQ","BEST_FPERIOD_OVERRIDE=FQ","FILING_STATUS=OR","EQY_CONSOLIDATED=Y","Sort=A","Dates=H","DateFormat=P","Fill=—","Direction=H","UseDPDF=Y")</f>
        <v>#NAME?</v>
      </c>
      <c r="BS196" s="2" t="e">
        <f ca="1">_xll.BDH($C$178,"ST_DEBT_SEQUENTIAL_GROWTH","FQ3 2017","FQ3 2017","Currency=INR","Period=FQ","BEST_FPERIOD_OVERRIDE=FQ","FILING_STATUS=OR","EQY_CONSOLIDATED=Y","Sort=A","Dates=H","DateFormat=P","Fill=—","Direction=H","UseDPDF=Y")</f>
        <v>#NAME?</v>
      </c>
      <c r="BT196" s="2" t="e">
        <f ca="1">_xll.BDH($C$178,"TOTAL_DEBT_SEQUENTIAL_GROWTH","FQ3 2017","FQ3 2017","Currency=INR","Period=FQ","BEST_FPERIOD_OVERRIDE=FQ","FILING_STATUS=OR","EQY_CONSOLIDATED=Y","Sort=A","Dates=H","DateFormat=P","Fill=—","Direction=H","UseDPDF=Y")</f>
        <v>#NAME?</v>
      </c>
      <c r="BU196" s="2" t="e">
        <f ca="1">_xll.BDH($C$178,"TOTAL_EQUITY_SEQUENTIAL_GROWTH","FQ3 2017","FQ3 2017","Currency=INR","Period=FQ","BEST_FPERIOD_OVERRIDE=FQ","FILING_STATUS=OR","EQY_CONSOLIDATED=Y","Sort=A","Dates=H","DateFormat=P","Fill=—","Direction=H","UseDPDF=Y")</f>
        <v>#NAME?</v>
      </c>
      <c r="BV196" s="2" t="e">
        <f ca="1">_xll.BDH($C$178,"TOTAL_CAPITAL_SEQUENTIAL_GROWTH","FQ3 2017","FQ3 2017","Currency=INR","Period=FQ","BEST_FPERIOD_OVERRIDE=FQ","FILING_STATUS=OR","EQY_CONSOLIDATED=Y","Sort=A","Dates=H","DateFormat=P","Fill=—","Direction=H","UseDPDF=Y")</f>
        <v>#NAME?</v>
      </c>
      <c r="BW196" s="2" t="e">
        <f ca="1">_xll.BDH($C$178,"BPS_SEQUENTIAL_GROWTH","FQ3 2017","FQ3 2017","Currency=INR","Period=FQ","BEST_FPERIOD_OVERRIDE=FQ","FILING_STATUS=OR","EQY_CONSOLIDATED=Y","Sort=A","Dates=H","DateFormat=P","Fill=—","Direction=H","UseDPDF=Y")</f>
        <v>#NAME?</v>
      </c>
      <c r="BX196" s="2" t="e">
        <f ca="1">_xll.BDH($C$178,"CFO_SEQUENTIAL_GROWTH","FQ3 2017","FQ3 2017","Currency=INR","Period=FQ","BEST_FPERIOD_OVERRIDE=FQ","FILING_STATUS=OR","EQY_CONSOLIDATED=Y","Sort=A","Dates=H","DateFormat=P","Fill=—","Direction=H","UseDPDF=Y")</f>
        <v>#NAME?</v>
      </c>
      <c r="BY196" s="3" t="e">
        <f ca="1">_xll.BDH($C$178,"SHORT_AND_LONG_TERM_DEBT","FQ3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196" s="3" t="e">
        <f ca="1">_xll.BDH($C$178,"BS_ST_BORROW","FQ3 2017","FQ3 2017","Currency=INR","Period=FQ","BEST_FPERIOD_OVERRIDE=FQ","FILING_STATUS=OR","EQY_CONSOLIDATED=Y","SCALING_FORMAT=MLN","Sort=A","Dates=H","DateFormat=P","Fill=—","Direction=H","UseDPDF=Y")</f>
        <v>#NAME?</v>
      </c>
      <c r="CA196" s="3" t="e">
        <f ca="1">_xll.BDH($C$178,"BS_LT_BORROW","FQ3 2017","FQ3 2017","Currency=INR","Period=FQ","BEST_FPERIOD_OVERRIDE=FQ","FILING_STATUS=OR","EQY_CONSOLIDATED=Y","SCALING_FORMAT=MLN","Sort=A","Dates=H","DateFormat=P","Fill=—","Direction=H","UseDPDF=Y")</f>
        <v>#NAME?</v>
      </c>
      <c r="CB196" s="2" t="e">
        <f ca="1">_xll.BDH($C$178,"TOT_DEBT_TO_EBITDA","FQ3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196" s="2" t="e">
        <f ca="1">_xll.BDH($C$178,"NET_DEBT_TO_EBITDA","FQ3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196" s="2" t="e">
        <f ca="1">_xll.BDH($C$178,"TOTAL_DEBT_TO_EBIT","FQ3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196" s="2" t="e">
        <f ca="1">_xll.BDH($C$178,"NET_DEBT_TO_EBIT","FQ3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196" s="2" t="e">
        <f ca="1">_xll.BDH($C$178,"EBITDA_TO_INTEREST_EXPN","FQ3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196" s="2" t="e">
        <f ca="1">_xll.BDH($C$178,"COM_EQY_TO_TOT_ASSET","FQ3 2017","FQ3 2017","Currency=INR","Period=FQ","BEST_FPERIOD_OVERRIDE=FQ","FILING_STATUS=OR","EQY_CONSOLIDATED=Y","Sort=A","Dates=H","DateFormat=P","Fill=—","Direction=H","UseDPDF=Y")</f>
        <v>#NAME?</v>
      </c>
      <c r="CH196" s="2" t="e">
        <f ca="1">_xll.BDH($C$178,"LT_DEBT_TO_TOT_EQY","FQ3 2017","FQ3 2017","Currency=INR","Period=FQ","BEST_FPERIOD_OVERRIDE=FQ","FILING_STATUS=OR","EQY_CONSOLIDATED=Y","Sort=A","Dates=H","DateFormat=P","Fill=—","Direction=H","UseDPDF=Y")</f>
        <v>#NAME?</v>
      </c>
      <c r="CI196" s="2" t="e">
        <f ca="1">_xll.BDH($C$178,"LT_DEBT_TO_TOT_CAP","FQ3 2017","FQ3 2017","Currency=INR","Period=FQ","BEST_FPERIOD_OVERRIDE=FQ","FILING_STATUS=OR","EQY_CONSOLIDATED=Y","Sort=A","Dates=H","DateFormat=P","Fill=—","Direction=H","UseDPDF=Y")</f>
        <v>#NAME?</v>
      </c>
      <c r="CJ196" s="2" t="e">
        <f ca="1">_xll.BDH($C$178,"LT_DEBT_TO_TOT_ASSET","FQ3 2017","FQ3 2017","Currency=INR","Period=FQ","BEST_FPERIOD_OVERRIDE=FQ","FILING_STATUS=OR","EQY_CONSOLIDATED=Y","Sort=A","Dates=H","DateFormat=P","Fill=—","Direction=H","UseDPDF=Y")</f>
        <v>#NAME?</v>
      </c>
      <c r="CK196" s="2" t="e">
        <f ca="1">_xll.BDH($C$178,"TOT_DEBT_TO_TOT_EQY","FQ3 2017","FQ3 2017","Currency=INR","Period=FQ","BEST_FPERIOD_OVERRIDE=FQ","FILING_STATUS=OR","EQY_CONSOLIDATED=Y","Sort=A","Dates=H","DateFormat=P","Fill=—","Direction=H","UseDPDF=Y")</f>
        <v>#NAME?</v>
      </c>
      <c r="CL196" s="2" t="e">
        <f ca="1">_xll.BDH($C$178,"TOT_DEBT_TO_TOT_CAP","FQ3 2017","FQ3 2017","Currency=INR","Period=FQ","BEST_FPERIOD_OVERRIDE=FQ","FILING_STATUS=OR","EQY_CONSOLIDATED=Y","Sort=A","Dates=H","DateFormat=P","Fill=—","Direction=H","UseDPDF=Y")</f>
        <v>#NAME?</v>
      </c>
      <c r="CM196" s="2" t="e">
        <f ca="1">_xll.BDH($C$178,"TOT_DEBT_TO_TOT_ASSET","FQ3 2017","FQ3 2017","Currency=INR","Period=FQ","BEST_FPERIOD_OVERRIDE=FQ","FILING_STATUS=OR","EQY_CONSOLIDATED=Y","Sort=A","Dates=H","DateFormat=P","Fill=—","Direction=H","UseDPDF=Y")</f>
        <v>#NAME?</v>
      </c>
      <c r="CN196" s="2" t="e">
        <f ca="1">_xll.BDH($C$178,"NET_DEBT_TO_SHRHLDR_EQTY","FQ3 2017","FQ3 2017","Currency=INR","Period=FQ","BEST_FPERIOD_OVERRIDE=FQ","FILING_STATUS=OR","EQY_CONSOLIDATED=Y","Sort=A","Dates=H","DateFormat=P","Fill=—","Direction=H","UseDPDF=Y")</f>
        <v>#NAME?</v>
      </c>
      <c r="CO196" s="2" t="e">
        <f ca="1">_xll.BDH($C$178,"NET_DEBT_%_CAPITAL","FQ3 2017","FQ3 2017","Currency=INR","Period=FQ","BEST_FPERIOD_OVERRIDE=FQ","FILING_STATUS=OR","EQY_CONSOLIDATED=Y","Sort=A","Dates=H","DateFormat=P","Fill=—","Direction=H","UseDPDF=Y")</f>
        <v>#NAME?</v>
      </c>
      <c r="CP196" s="3" t="e">
        <f ca="1">_xll.BDH($C$178,"EBITDA","FQ3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196" s="3" t="e">
        <f ca="1">_xll.BDH($C$178,"EBITDA_AFTER_CAPEX","FQ3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196" s="3" t="e">
        <f ca="1">_xll.BDH($C$178,"IS_OPER_INC","FQ3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196" s="2" t="e">
        <f ca="1">_xll.BDH($C$178,"CASH_RATIO","FQ3 2017","FQ3 2017","Currency=INR","Period=FQ","BEST_FPERIOD_OVERRIDE=FQ","FILING_STATUS=OR","EQY_CONSOLIDATED=Y","Sort=A","Dates=H","DateFormat=P","Fill=—","Direction=H","UseDPDF=Y")</f>
        <v>#NAME?</v>
      </c>
      <c r="CT196" s="2" t="e">
        <f ca="1">_xll.BDH($C$178,"CUR_RATIO","FQ3 2017","FQ3 2017","Currency=INR","Period=FQ","BEST_FPERIOD_OVERRIDE=FQ","FILING_STATUS=OR","EQY_CONSOLIDATED=Y","Sort=A","Dates=H","DateFormat=P","Fill=—","Direction=H","UseDPDF=Y")</f>
        <v>#NAME?</v>
      </c>
      <c r="CU196" s="2" t="e">
        <f ca="1">_xll.BDH($C$178,"QUICK_RATIO","FQ3 2017","FQ3 2017","Currency=INR","Period=FQ","BEST_FPERIOD_OVERRIDE=FQ","FILING_STATUS=OR","EQY_CONSOLIDATED=Y","Sort=A","Dates=H","DateFormat=P","Fill=—","Direction=H","UseDPDF=Y")</f>
        <v>#NAME?</v>
      </c>
      <c r="CV196" s="2" t="e">
        <f ca="1">_xll.BDH($C$178,"ALTMAN_Z_SCORE","FQ3 2017","FQ3 2017","Currency=INR","Period=FQ","BEST_FPERIOD_OVERRIDE=FQ","FILING_STATUS=OR","EQY_CONSOLIDATED=Y","Sort=A","Dates=H","DateFormat=P","Fill=—","Direction=H","UseDPDF=Y")</f>
        <v>#NAME?</v>
      </c>
      <c r="CW196" s="4" t="e">
        <f ca="1">_xll.BDH($C$178,"ACCT_RCV_TURN","FQ3 2017","FQ3 2017","Currency=INR","Period=FQ","BEST_FPERIOD_OVERRIDE=FQ","FILING_STATUS=OR","EQY_CONSOLIDATED=Y","FA_ADJUSTED=GAAP","Sort=A","Dates=H","DateFormat=P","Fill=—","Direction=H","UseDPDF=Y")</f>
        <v>#NAME?</v>
      </c>
      <c r="CX196" s="2" t="e">
        <f ca="1">_xll.BDH($C$178,"ACCT_RCV_DAYS","FQ3 2017","FQ3 2017","Currency=INR","Period=FQ","BEST_FPERIOD_OVERRIDE=FQ","FILING_STATUS=OR","EQY_CONSOLIDATED=Y","FA_ADJUSTED=GAAP","Sort=A","Dates=H","DateFormat=P","Fill=—","Direction=H","UseDPDF=Y")</f>
        <v>#NAME?</v>
      </c>
      <c r="CY196" s="4" t="e">
        <f ca="1">_xll.BDH($C$178,"INVENT_TURN","FQ3 2017","FQ3 2017","Currency=INR","Period=FQ","BEST_FPERIOD_OVERRIDE=FQ","FILING_STATUS=OR","EQY_CONSOLIDATED=Y","FA_ADJUSTED=GAAP","Sort=A","Dates=H","DateFormat=P","Fill=—","Direction=H","UseDPDF=Y")</f>
        <v>#NAME?</v>
      </c>
      <c r="CZ196" s="2" t="e">
        <f ca="1">_xll.BDH($C$178,"INVENT_DAYS","FQ3 2017","FQ3 2017","Currency=INR","Period=FQ","BEST_FPERIOD_OVERRIDE=FQ","FILING_STATUS=OR","EQY_CONSOLIDATED=Y","FA_ADJUSTED=GAAP","Sort=A","Dates=H","DateFormat=P","Fill=—","Direction=H","UseDPDF=Y")</f>
        <v>#NAME?</v>
      </c>
      <c r="DA196" s="4" t="e">
        <f ca="1">_xll.BDH($C$178,"ACCOUNTS_PAYABLE_TURNOVER","FQ3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196" s="2" t="e">
        <f ca="1">_xll.BDH($C$178,"ACCOUNTS_PAYABLE_TURNOVER_DAYS","FQ3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196" s="4" t="e">
        <f ca="1">_xll.BDH($C$178,"CASH_CONVERSION_CYCLE","FQ3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196" s="4" t="e">
        <f ca="1">_xll.BDH($C$178,"INV_TO_CASH_DAYS","FQ3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196" s="5" t="e">
        <f ca="1">_xll.BDH($C$178,"BS_INVENTORIES","FQ3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196" s="3" t="e">
        <f ca="1">_xll.BDH($C$178,"INVTRY_RAW_MATERIALS","FQ3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196" s="3" t="e">
        <f ca="1">_xll.BDH($C$178,"INVTRY_IN_PROGRESS","FQ3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196" s="3" t="e">
        <f ca="1">_xll.BDH($C$178,"INVTRY_FINISHED_GOODS","FQ3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196" s="3" t="e">
        <f ca="1">_xll.BDH($C$178,"BS_OTHER_INV","FQ3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197" spans="1:113" x14ac:dyDescent="0.3">
      <c r="A197" s="6"/>
      <c r="B197" s="6"/>
      <c r="C197" s="6"/>
      <c r="D197" s="6"/>
      <c r="E197" t="s">
        <v>81</v>
      </c>
      <c r="F197" t="e">
        <f ca="1">_xll.BDH($C$178,"RETURN_COM_EQY","FQ4 2017","FQ4 2017","Currency=INR","Period=FQ","BEST_FPERIOD_OVERRIDE=FQ","FILING_STATUS=OR","EQY_CONSOLIDATED=Y","FA_ADJUSTED=GAAP","Sort=A","Dates=H","DateFormat=P","Fill=—","Direction=H","UseDPDF=Y")</f>
        <v>#NAME?</v>
      </c>
      <c r="G197" t="e">
        <f ca="1">_xll.BDH($C$178,"RETURN_ON_ASSET","FQ4 2017","FQ4 2017","Currency=INR","Period=FQ","BEST_FPERIOD_OVERRIDE=FQ","FILING_STATUS=OR","EQY_CONSOLIDATED=Y","FA_ADJUSTED=GAAP","Sort=A","Dates=H","DateFormat=P","Fill=—","Direction=H","UseDPDF=Y")</f>
        <v>#NAME?</v>
      </c>
      <c r="H197" t="e">
        <f ca="1">_xll.BDH($C$178,"RETURN_ON_CAP","FQ4 2017","FQ4 2017","Currency=INR","Period=FQ","BEST_FPERIOD_OVERRIDE=FQ","FILING_STATUS=OR","EQY_CONSOLIDATED=Y","FA_ADJUSTED=GAAP","Sort=A","Dates=H","DateFormat=P","Fill=—","Direction=H","UseDPDF=Y")</f>
        <v>#NAME?</v>
      </c>
      <c r="I197" t="e">
        <f ca="1">_xll.BDH($C$178,"RETURN_ON_INV_CAPITAL","FQ4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197" t="e">
        <f ca="1">_xll.BDH($C$178,"EBITDA_TO_REVENUE","FQ4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197" t="e">
        <f ca="1">_xll.BDH($C$178,"OPER_MARGIN","FQ4 2017","FQ4 2017","Currency=INR","Period=FQ","BEST_FPERIOD_OVERRIDE=FQ","FILING_STATUS=OR","EQY_CONSOLIDATED=Y","FA_ADJUSTED=GAAP","Sort=A","Dates=H","DateFormat=P","Fill=—","Direction=H","UseDPDF=Y")</f>
        <v>#NAME?</v>
      </c>
      <c r="L197" t="e">
        <f ca="1">_xll.BDH($C$178,"INCREMENTAL_OPERATING_MARGIN","FQ4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197" t="e">
        <f ca="1">_xll.BDH($C$178,"PRETAX_INC_TO_NET_SALES","FQ4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197" t="e">
        <f ca="1">_xll.BDH($C$178,"INC_BEF_XO_ITEMS_TO_NET_SALES","FQ4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197" t="e">
        <f ca="1">_xll.BDH($C$178,"PROF_MARGIN","FQ4 2017","FQ4 2017","Currency=INR","Period=FQ","BEST_FPERIOD_OVERRIDE=FQ","FILING_STATUS=OR","EQY_CONSOLIDATED=Y","FA_ADJUSTED=GAAP","Sort=A","Dates=H","DateFormat=P","Fill=—","Direction=H","UseDPDF=Y")</f>
        <v>#NAME?</v>
      </c>
      <c r="P197" t="e">
        <f ca="1">_xll.BDH($C$178,"NET_INCOME_TO_COMMON_MARGIN","FQ4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197" t="e">
        <f ca="1">_xll.BDH($C$178,"EFF_TAX_RATE","FQ4 2017","FQ4 2017","Currency=INR","Period=FQ","BEST_FPERIOD_OVERRIDE=FQ","FILING_STATUS=OR","EQY_CONSOLIDATED=Y","FA_ADJUSTED=GAAP","Sort=A","Dates=H","DateFormat=P","Fill=—","Direction=H","UseDPDF=Y")</f>
        <v>#NAME?</v>
      </c>
      <c r="R197" t="e">
        <f ca="1">_xll.BDH($C$178,"DVD_PAYOUT_RATIO","FQ4 2017","FQ4 2017","Currency=INR","Period=FQ","BEST_FPERIOD_OVERRIDE=FQ","FILING_STATUS=OR","EQY_CONSOLIDATED=Y","FA_ADJUSTED=GAAP","Sort=A","Dates=H","DateFormat=P","Fill=—","Direction=H","UseDPDF=Y")</f>
        <v>#NAME?</v>
      </c>
      <c r="S197" t="e">
        <f ca="1">_xll.BDH($C$178,"SUSTAIN_GROWTH_RT","FQ4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197" s="2" t="e">
        <f ca="1">_xll.BDH($C$178,"SALES_GROWTH","FQ4 2017","FQ4 2017","Currency=INR","Period=FQ","BEST_FPERIOD_OVERRIDE=FQ","FILING_STATUS=OR","EQY_CONSOLIDATED=Y","FA_ADJUSTED=GAAP","Sort=A","Dates=H","DateFormat=P","Fill=—","Direction=H","UseDPDF=Y")</f>
        <v>#NAME?</v>
      </c>
      <c r="U197" s="2" t="e">
        <f ca="1">_xll.BDH($C$178,"EBITDA_GROWTH","FQ4 2017","FQ4 2017","Currency=INR","Period=FQ","BEST_FPERIOD_OVERRIDE=FQ","FILING_STATUS=OR","EQY_CONSOLIDATED=Y","FA_ADJUSTED=GAAP","Sort=A","Dates=H","DateFormat=P","Fill=—","Direction=H","UseDPDF=Y")</f>
        <v>#NAME?</v>
      </c>
      <c r="V197" s="2" t="e">
        <f ca="1">_xll.BDH($C$178,"OPER_INC_GROWTH","FQ4 2017","FQ4 2017","Currency=INR","Period=FQ","BEST_FPERIOD_OVERRIDE=FQ","FILING_STATUS=OR","EQY_CONSOLIDATED=Y","FA_ADJUSTED=GAAP","Sort=A","Dates=H","DateFormat=P","Fill=—","Direction=H","UseDPDF=Y")</f>
        <v>#NAME?</v>
      </c>
      <c r="W197" s="2" t="e">
        <f ca="1">_xll.BDH($C$178,"EARN_FOR_COM_GROWTH","FQ4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197" s="2" t="e">
        <f ca="1">_xll.BDH($C$178,"DILUTED_EPS_AFT_XO_ITEMS_GROWTH","FQ4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197" s="2" t="e">
        <f ca="1">_xll.BDH($C$178,"DIVIDEND_PER_SHARE_1_YEAR_GROWTH","FQ4 2017","FQ4 2017","Currency=INR","Period=FQ","BEST_FPERIOD_OVERRIDE=FQ","FILING_STATUS=OR","EQY_CONSOLIDATED=Y","Sort=A","Dates=H","DateFormat=P","Fill=—","Direction=H","UseDPDF=Y")</f>
        <v>#NAME?</v>
      </c>
      <c r="Z197" s="2" t="e">
        <f ca="1">_xll.BDH($C$178,"ACCOUNTS_RECEIVABLE_GROWTH","FQ4 2017","FQ4 2017","Currency=INR","Period=FQ","BEST_FPERIOD_OVERRIDE=FQ","FILING_STATUS=OR","EQY_CONSOLIDATED=Y","Sort=A","Dates=H","DateFormat=P","Fill=—","Direction=H","UseDPDF=Y")</f>
        <v>#NAME?</v>
      </c>
      <c r="AA197" s="2" t="e">
        <f ca="1">_xll.BDH($C$178,"INVENTORY_GROWTH","FQ4 2017","FQ4 2017","Currency=INR","Period=FQ","BEST_FPERIOD_OVERRIDE=FQ","FILING_STATUS=OR","EQY_CONSOLIDATED=Y","Sort=A","Dates=H","DateFormat=P","Fill=—","Direction=H","UseDPDF=Y")</f>
        <v>#NAME?</v>
      </c>
      <c r="AB197" s="2" t="e">
        <f ca="1">_xll.BDH($C$178,"NET_FIXED_ASSETS_1_YEAR_GROWTH","FQ4 2017","FQ4 2017","Currency=INR","Period=FQ","BEST_FPERIOD_OVERRIDE=FQ","FILING_STATUS=OR","EQY_CONSOLIDATED=Y","Sort=A","Dates=H","DateFormat=P","Fill=—","Direction=H","UseDPDF=Y")</f>
        <v>#NAME?</v>
      </c>
      <c r="AC197" s="2" t="e">
        <f ca="1">_xll.BDH($C$178,"ASSET_GROWTH","FQ4 2017","FQ4 2017","Currency=INR","Period=FQ","BEST_FPERIOD_OVERRIDE=FQ","FILING_STATUS=OR","EQY_CONSOLIDATED=Y","Sort=A","Dates=H","DateFormat=P","Fill=—","Direction=H","UseDPDF=Y")</f>
        <v>#NAME?</v>
      </c>
      <c r="AD197" s="2" t="e">
        <f ca="1">_xll.BDH($C$178,"MODIFIED_WORK_CAP_GROWTH","FQ4 2017","FQ4 2017","Currency=INR","Period=FQ","BEST_FPERIOD_OVERRIDE=FQ","FILING_STATUS=OR","EQY_CONSOLIDATED=Y","Sort=A","Dates=H","DateFormat=P","Fill=—","Direction=H","UseDPDF=Y")</f>
        <v>#NAME?</v>
      </c>
      <c r="AE197" s="2" t="e">
        <f ca="1">_xll.BDH($C$178,"WORK_CAP_GROWTH","FQ4 2017","FQ4 2017","Currency=INR","Period=FQ","BEST_FPERIOD_OVERRIDE=FQ","FILING_STATUS=OR","EQY_CONSOLIDATED=Y","Sort=A","Dates=H","DateFormat=P","Fill=—","Direction=H","UseDPDF=Y")</f>
        <v>#NAME?</v>
      </c>
      <c r="AF197" s="2" t="e">
        <f ca="1">_xll.BDH($C$178,"ACCOUNTS_PAYABLE_GROWTH_1YR","FQ4 2017","FQ4 2017","Currency=INR","Period=FQ","BEST_FPERIOD_OVERRIDE=FQ","FILING_STATUS=OR","EQY_CONSOLIDATED=Y","Sort=A","Dates=H","DateFormat=P","Fill=—","Direction=H","UseDPDF=Y")</f>
        <v>#NAME?</v>
      </c>
      <c r="AG197" s="2" t="e">
        <f ca="1">_xll.BDH($C$178,"SHORT_TERM_DEBT_1_YEAR_GROWTH","FQ4 2017","FQ4 2017","Currency=INR","Period=FQ","BEST_FPERIOD_OVERRIDE=FQ","FILING_STATUS=OR","EQY_CONSOLIDATED=Y","Sort=A","Dates=H","DateFormat=P","Fill=—","Direction=H","UseDPDF=Y")</f>
        <v>#NAME?</v>
      </c>
      <c r="AH197" s="2" t="e">
        <f ca="1">_xll.BDH($C$178,"TOTAL_DEBT_1_YEAR_GROWTH","FQ4 2017","FQ4 2017","Currency=INR","Period=FQ","BEST_FPERIOD_OVERRIDE=FQ","FILING_STATUS=OR","EQY_CONSOLIDATED=Y","Sort=A","Dates=H","DateFormat=P","Fill=—","Direction=H","UseDPDF=Y")</f>
        <v>#NAME?</v>
      </c>
      <c r="AI197" s="2" t="e">
        <f ca="1">_xll.BDH($C$178,"TOTAL_EQUITY_1_YEAR_GROWTH","FQ4 2017","FQ4 2017","Currency=INR","Period=FQ","BEST_FPERIOD_OVERRIDE=FQ","FILING_STATUS=OR","EQY_CONSOLIDATED=Y","Sort=A","Dates=H","DateFormat=P","Fill=—","Direction=H","UseDPDF=Y")</f>
        <v>#NAME?</v>
      </c>
      <c r="AJ197" s="2" t="e">
        <f ca="1">_xll.BDH($C$178,"GROWTH_IN_CAP","FQ4 2017","FQ4 2017","Currency=INR","Period=FQ","BEST_FPERIOD_OVERRIDE=FQ","FILING_STATUS=OR","EQY_CONSOLIDATED=Y","Sort=A","Dates=H","DateFormat=P","Fill=—","Direction=H","UseDPDF=Y")</f>
        <v>#NAME?</v>
      </c>
      <c r="AK197" s="2" t="e">
        <f ca="1">_xll.BDH($C$178,"BVPS_GROWTH","FQ4 2017","FQ4 2017","Currency=INR","Period=FQ","BEST_FPERIOD_OVERRIDE=FQ","FILING_STATUS=OR","EQY_CONSOLIDATED=Y","Sort=A","Dates=H","DateFormat=P","Fill=—","Direction=H","UseDPDF=Y")</f>
        <v>#NAME?</v>
      </c>
      <c r="AL197" s="2" t="e">
        <f ca="1">_xll.BDH($C$178,"CASH_FLOW_GROWTH","FQ4 2017","FQ4 2017","Currency=INR","Period=FQ","BEST_FPERIOD_OVERRIDE=FQ","FILING_STATUS=OR","EQY_CONSOLIDATED=Y","Sort=A","Dates=H","DateFormat=P","Fill=—","Direction=H","UseDPDF=Y")</f>
        <v>#NAME?</v>
      </c>
      <c r="AM197" s="2" t="e">
        <f ca="1">_xll.BDH($C$178,"GEO_GROW_NET_SALES","FQ4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197" s="2" t="e">
        <f ca="1">_xll.BDH($C$178,"GEO_GROW_EBITDA","FQ4 2017","FQ4 2017","Currency=INR","Period=FQ","BEST_FPERIOD_OVERRIDE=FQ","FILING_STATUS=OR","EQY_CONSOLIDATED=Y","FA_ADJUSTED=GAAP","Sort=A","Dates=H","DateFormat=P","Fill=—","Direction=H","UseDPDF=Y")</f>
        <v>#NAME?</v>
      </c>
      <c r="AO197" s="2" t="e">
        <f ca="1">_xll.BDH($C$178,"GEO_GROW_OPER_INC","FQ4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197" s="2" t="e">
        <f ca="1">_xll.BDH($C$178,"NET_INCOME_TO_COMMON_5_YR_GROWTH","FQ4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197" s="2" t="e">
        <f ca="1">_xll.BDH($C$178,"5Y_GEO_GROWTH_DILUTED_EPS","FQ4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197" s="2" t="e">
        <f ca="1">_xll.BDH($C$178,"GEO_GROW_DVD_PER_SH","FQ4 2017","FQ4 2017","Currency=INR","Period=FQ","BEST_FPERIOD_OVERRIDE=FQ","FILING_STATUS=OR","EQY_CONSOLIDATED=Y","Sort=A","Dates=H","DateFormat=P","Fill=—","Direction=H","UseDPDF=Y")</f>
        <v>#NAME?</v>
      </c>
      <c r="AS197" s="2" t="e">
        <f ca="1">_xll.BDH($C$178,"ACCOUNTS_RECEIVABLE_5_YR_GROWTH","FQ4 2017","FQ4 2017","Currency=INR","Period=FQ","BEST_FPERIOD_OVERRIDE=FQ","FILING_STATUS=OR","EQY_CONSOLIDATED=Y","Sort=A","Dates=H","DateFormat=P","Fill=—","Direction=H","UseDPDF=Y")</f>
        <v>#NAME?</v>
      </c>
      <c r="AT197" s="2" t="e">
        <f ca="1">_xll.BDH($C$178,"INVENTORY_5_YEAR_GROWTH","FQ4 2017","FQ4 2017","Currency=INR","Period=FQ","BEST_FPERIOD_OVERRIDE=FQ","FILING_STATUS=OR","EQY_CONSOLIDATED=Y","Sort=A","Dates=H","DateFormat=P","Fill=—","Direction=H","UseDPDF=Y")</f>
        <v>#NAME?</v>
      </c>
      <c r="AU197" s="2" t="e">
        <f ca="1">_xll.BDH($C$178,"NET_FIXED_ASSETS_5_YEAR_GROWTH","FQ4 2017","FQ4 2017","Currency=INR","Period=FQ","BEST_FPERIOD_OVERRIDE=FQ","FILING_STATUS=OR","EQY_CONSOLIDATED=Y","Sort=A","Dates=H","DateFormat=P","Fill=—","Direction=H","UseDPDF=Y")</f>
        <v>#NAME?</v>
      </c>
      <c r="AV197" s="2" t="e">
        <f ca="1">_xll.BDH($C$178,"GEO_GROW_TOT_ASSET","FQ4 2017","FQ4 2017","Currency=INR","Period=FQ","BEST_FPERIOD_OVERRIDE=FQ","FILING_STATUS=OR","EQY_CONSOLIDATED=Y","Sort=A","Dates=H","DateFormat=P","Fill=—","Direction=H","UseDPDF=Y")</f>
        <v>#NAME?</v>
      </c>
      <c r="AW197" s="2" t="e">
        <f ca="1">_xll.BDH($C$178,"MODIFIED_WORKING_CPTL_5YR_GRWTH","FQ4 2017","FQ4 2017","Currency=INR","Period=FQ","BEST_FPERIOD_OVERRIDE=FQ","FILING_STATUS=OR","EQY_CONSOLIDATED=Y","Sort=A","Dates=H","DateFormat=P","Fill=—","Direction=H","UseDPDF=Y")</f>
        <v>#NAME?</v>
      </c>
      <c r="AX197" s="2" t="e">
        <f ca="1">_xll.BDH($C$178,"WORKING_CAPITAL_5_YEAR_GROWTH","FQ4 2017","FQ4 2017","Currency=INR","Period=FQ","BEST_FPERIOD_OVERRIDE=FQ","FILING_STATUS=OR","EQY_CONSOLIDATED=Y","Sort=A","Dates=H","DateFormat=P","Fill=—","Direction=H","UseDPDF=Y")</f>
        <v>#NAME?</v>
      </c>
      <c r="AY197" s="2" t="e">
        <f ca="1">_xll.BDH($C$178,"ACCOUNTS_PAYABLE_5_YEAR_GROWTH","FQ4 2017","FQ4 2017","Currency=INR","Period=FQ","BEST_FPERIOD_OVERRIDE=FQ","FILING_STATUS=OR","EQY_CONSOLIDATED=Y","Sort=A","Dates=H","DateFormat=P","Fill=—","Direction=H","UseDPDF=Y")</f>
        <v>#NAME?</v>
      </c>
      <c r="AZ197" s="2" t="e">
        <f ca="1">_xll.BDH($C$178,"SHORT_TERM_DEBT_5_YEAR_GROWTH","FQ4 2017","FQ4 2017","Currency=INR","Period=FQ","BEST_FPERIOD_OVERRIDE=FQ","FILING_STATUS=OR","EQY_CONSOLIDATED=Y","Sort=A","Dates=H","DateFormat=P","Fill=—","Direction=H","UseDPDF=Y")</f>
        <v>#NAME?</v>
      </c>
      <c r="BA197" s="2" t="e">
        <f ca="1">_xll.BDH($C$178,"TOTAL_DEBT_5_YEAR_GROWTH","FQ4 2017","FQ4 2017","Currency=INR","Period=FQ","BEST_FPERIOD_OVERRIDE=FQ","FILING_STATUS=OR","EQY_CONSOLIDATED=Y","Sort=A","Dates=H","DateFormat=P","Fill=—","Direction=H","UseDPDF=Y")</f>
        <v>#NAME?</v>
      </c>
      <c r="BB197" s="2" t="e">
        <f ca="1">_xll.BDH($C$178,"GEO_GROW_TOT_SHRHLDR_EQY","FQ4 2017","FQ4 2017","Currency=INR","Period=FQ","BEST_FPERIOD_OVERRIDE=FQ","FILING_STATUS=OR","EQY_CONSOLIDATED=Y","Sort=A","Dates=H","DateFormat=P","Fill=—","Direction=H","UseDPDF=Y")</f>
        <v>#NAME?</v>
      </c>
      <c r="BC197" s="2" t="e">
        <f ca="1">_xll.BDH($C$178,"TOTAL_CAPITAL_5_YEAR_GROWTH","FQ4 2017","FQ4 2017","Currency=INR","Period=FQ","BEST_FPERIOD_OVERRIDE=FQ","FILING_STATUS=OR","EQY_CONSOLIDATED=Y","Sort=A","Dates=H","DateFormat=P","Fill=—","Direction=H","UseDPDF=Y")</f>
        <v>#NAME?</v>
      </c>
      <c r="BD197" s="2" t="e">
        <f ca="1">_xll.BDH($C$178,"GEO_GROW_BOOK_VAL","FQ4 2017","FQ4 2017","Currency=INR","Period=FQ","BEST_FPERIOD_OVERRIDE=FQ","FILING_STATUS=OR","EQY_CONSOLIDATED=Y","Sort=A","Dates=H","DateFormat=P","Fill=—","Direction=H","UseDPDF=Y")</f>
        <v>#NAME?</v>
      </c>
      <c r="BE197" s="2" t="e">
        <f ca="1">_xll.BDH($C$178,"GEO_GROW_CASH_OPER_ACT","FQ4 2017","FQ4 2017","Currency=INR","Period=FQ","BEST_FPERIOD_OVERRIDE=FQ","FILING_STATUS=OR","EQY_CONSOLIDATED=Y","Sort=A","Dates=H","DateFormat=P","Fill=—","Direction=H","UseDPDF=Y")</f>
        <v>#NAME?</v>
      </c>
      <c r="BF197" s="2" t="e">
        <f ca="1">_xll.BDH($C$178,"REVENUE_SEQUENTIAL_GROWTH","FQ4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197" s="2" t="e">
        <f ca="1">_xll.BDH($C$178,"EBITDA_SEQUENTIAL_GROWTH","FQ4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197" s="2" t="e">
        <f ca="1">_xll.BDH($C$178,"OPERATING_INCOME_SEQ_GROWTH","FQ4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197" s="2" t="e">
        <f ca="1">_xll.BDH($C$178,"NET_INCOME_TO_COMMON_SEQ_GROWTH","FQ4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197" s="2" t="e">
        <f ca="1">_xll.BDH($C$178,"EPS_DILUTED_SEQUENTIAL_GROWTH","FQ4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197" s="2" t="e">
        <f ca="1">_xll.BDH($C$178,"DPS_SEQUENTIAL_GROWTH","FQ4 2017","FQ4 2017","Currency=INR","Period=FQ","BEST_FPERIOD_OVERRIDE=FQ","FILING_STATUS=OR","EQY_CONSOLIDATED=Y","Sort=A","Dates=H","DateFormat=P","Fill=—","Direction=H","UseDPDF=Y")</f>
        <v>#NAME?</v>
      </c>
      <c r="BL197" s="2" t="e">
        <f ca="1">_xll.BDH($C$178,"ACCOUNTS_RECEIVABLE_SEQ_GROWTH","FQ4 2017","FQ4 2017","Currency=INR","Period=FQ","BEST_FPERIOD_OVERRIDE=FQ","FILING_STATUS=OR","EQY_CONSOLIDATED=Y","Sort=A","Dates=H","DateFormat=P","Fill=—","Direction=H","UseDPDF=Y")</f>
        <v>#NAME?</v>
      </c>
      <c r="BM197" s="2" t="e">
        <f ca="1">_xll.BDH($C$178,"INVENTORY_SEQUENTIAL_GROWTH","FQ4 2017","FQ4 2017","Currency=INR","Period=FQ","BEST_FPERIOD_OVERRIDE=FQ","FILING_STATUS=OR","EQY_CONSOLIDATED=Y","Sort=A","Dates=H","DateFormat=P","Fill=—","Direction=H","UseDPDF=Y")</f>
        <v>#NAME?</v>
      </c>
      <c r="BN197" s="2" t="e">
        <f ca="1">_xll.BDH($C$178,"FIXED_ASSETS_SEQUENTIAL_GROWTH","FQ4 2017","FQ4 2017","Currency=INR","Period=FQ","BEST_FPERIOD_OVERRIDE=FQ","FILING_STATUS=OR","EQY_CONSOLIDATED=Y","Sort=A","Dates=H","DateFormat=P","Fill=—","Direction=H","UseDPDF=Y")</f>
        <v>#NAME?</v>
      </c>
      <c r="BO197" s="2" t="e">
        <f ca="1">_xll.BDH($C$178,"TOTAL_ASSETS_SEQUENTIAL_GROWTH","FQ4 2017","FQ4 2017","Currency=INR","Period=FQ","BEST_FPERIOD_OVERRIDE=FQ","FILING_STATUS=OR","EQY_CONSOLIDATED=Y","Sort=A","Dates=H","DateFormat=P","Fill=—","Direction=H","UseDPDF=Y")</f>
        <v>#NAME?</v>
      </c>
      <c r="BP197" s="2" t="e">
        <f ca="1">_xll.BDH($C$178,"MODIFIED_WORKING_CPTL_SEQ_GRWTH","FQ4 2017","FQ4 2017","Currency=INR","Period=FQ","BEST_FPERIOD_OVERRIDE=FQ","FILING_STATUS=OR","EQY_CONSOLIDATED=Y","Sort=A","Dates=H","DateFormat=P","Fill=—","Direction=H","UseDPDF=Y")</f>
        <v>#NAME?</v>
      </c>
      <c r="BQ197" s="2" t="e">
        <f ca="1">_xll.BDH($C$178,"WORKING_CAPITAL_SEQ_GROWTH","FQ4 2017","FQ4 2017","Currency=INR","Period=FQ","BEST_FPERIOD_OVERRIDE=FQ","FILING_STATUS=OR","EQY_CONSOLIDATED=Y","Sort=A","Dates=H","DateFormat=P","Fill=—","Direction=H","UseDPDF=Y")</f>
        <v>#NAME?</v>
      </c>
      <c r="BR197" s="2" t="e">
        <f ca="1">_xll.BDH($C$178,"ACCOUNTS_PAYABLE_SEQ_GROWTH","FQ4 2017","FQ4 2017","Currency=INR","Period=FQ","BEST_FPERIOD_OVERRIDE=FQ","FILING_STATUS=OR","EQY_CONSOLIDATED=Y","Sort=A","Dates=H","DateFormat=P","Fill=—","Direction=H","UseDPDF=Y")</f>
        <v>#NAME?</v>
      </c>
      <c r="BS197" s="2" t="e">
        <f ca="1">_xll.BDH($C$178,"ST_DEBT_SEQUENTIAL_GROWTH","FQ4 2017","FQ4 2017","Currency=INR","Period=FQ","BEST_FPERIOD_OVERRIDE=FQ","FILING_STATUS=OR","EQY_CONSOLIDATED=Y","Sort=A","Dates=H","DateFormat=P","Fill=—","Direction=H","UseDPDF=Y")</f>
        <v>#NAME?</v>
      </c>
      <c r="BT197" s="2" t="e">
        <f ca="1">_xll.BDH($C$178,"TOTAL_DEBT_SEQUENTIAL_GROWTH","FQ4 2017","FQ4 2017","Currency=INR","Period=FQ","BEST_FPERIOD_OVERRIDE=FQ","FILING_STATUS=OR","EQY_CONSOLIDATED=Y","Sort=A","Dates=H","DateFormat=P","Fill=—","Direction=H","UseDPDF=Y")</f>
        <v>#NAME?</v>
      </c>
      <c r="BU197" s="2" t="e">
        <f ca="1">_xll.BDH($C$178,"TOTAL_EQUITY_SEQUENTIAL_GROWTH","FQ4 2017","FQ4 2017","Currency=INR","Period=FQ","BEST_FPERIOD_OVERRIDE=FQ","FILING_STATUS=OR","EQY_CONSOLIDATED=Y","Sort=A","Dates=H","DateFormat=P","Fill=—","Direction=H","UseDPDF=Y")</f>
        <v>#NAME?</v>
      </c>
      <c r="BV197" s="2" t="e">
        <f ca="1">_xll.BDH($C$178,"TOTAL_CAPITAL_SEQUENTIAL_GROWTH","FQ4 2017","FQ4 2017","Currency=INR","Period=FQ","BEST_FPERIOD_OVERRIDE=FQ","FILING_STATUS=OR","EQY_CONSOLIDATED=Y","Sort=A","Dates=H","DateFormat=P","Fill=—","Direction=H","UseDPDF=Y")</f>
        <v>#NAME?</v>
      </c>
      <c r="BW197" s="2" t="e">
        <f ca="1">_xll.BDH($C$178,"BPS_SEQUENTIAL_GROWTH","FQ4 2017","FQ4 2017","Currency=INR","Period=FQ","BEST_FPERIOD_OVERRIDE=FQ","FILING_STATUS=OR","EQY_CONSOLIDATED=Y","Sort=A","Dates=H","DateFormat=P","Fill=—","Direction=H","UseDPDF=Y")</f>
        <v>#NAME?</v>
      </c>
      <c r="BX197" s="2" t="e">
        <f ca="1">_xll.BDH($C$178,"CFO_SEQUENTIAL_GROWTH","FQ4 2017","FQ4 2017","Currency=INR","Period=FQ","BEST_FPERIOD_OVERRIDE=FQ","FILING_STATUS=OR","EQY_CONSOLIDATED=Y","Sort=A","Dates=H","DateFormat=P","Fill=—","Direction=H","UseDPDF=Y")</f>
        <v>#NAME?</v>
      </c>
      <c r="BY197" s="3" t="e">
        <f ca="1">_xll.BDH($C$178,"SHORT_AND_LONG_TERM_DEBT","FQ4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197" s="3" t="e">
        <f ca="1">_xll.BDH($C$178,"BS_ST_BORROW","FQ4 2017","FQ4 2017","Currency=INR","Period=FQ","BEST_FPERIOD_OVERRIDE=FQ","FILING_STATUS=OR","EQY_CONSOLIDATED=Y","SCALING_FORMAT=MLN","Sort=A","Dates=H","DateFormat=P","Fill=—","Direction=H","UseDPDF=Y")</f>
        <v>#NAME?</v>
      </c>
      <c r="CA197" s="3" t="e">
        <f ca="1">_xll.BDH($C$178,"BS_LT_BORROW","FQ4 2017","FQ4 2017","Currency=INR","Period=FQ","BEST_FPERIOD_OVERRIDE=FQ","FILING_STATUS=OR","EQY_CONSOLIDATED=Y","SCALING_FORMAT=MLN","Sort=A","Dates=H","DateFormat=P","Fill=—","Direction=H","UseDPDF=Y")</f>
        <v>#NAME?</v>
      </c>
      <c r="CB197" s="2" t="e">
        <f ca="1">_xll.BDH($C$178,"TOT_DEBT_TO_EBITDA","FQ4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197" s="2" t="e">
        <f ca="1">_xll.BDH($C$178,"NET_DEBT_TO_EBITDA","FQ4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197" s="2" t="e">
        <f ca="1">_xll.BDH($C$178,"TOTAL_DEBT_TO_EBIT","FQ4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197" s="2" t="e">
        <f ca="1">_xll.BDH($C$178,"NET_DEBT_TO_EBIT","FQ4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197" s="2" t="e">
        <f ca="1">_xll.BDH($C$178,"EBITDA_TO_INTEREST_EXPN","FQ4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197" s="2" t="e">
        <f ca="1">_xll.BDH($C$178,"COM_EQY_TO_TOT_ASSET","FQ4 2017","FQ4 2017","Currency=INR","Period=FQ","BEST_FPERIOD_OVERRIDE=FQ","FILING_STATUS=OR","EQY_CONSOLIDATED=Y","Sort=A","Dates=H","DateFormat=P","Fill=—","Direction=H","UseDPDF=Y")</f>
        <v>#NAME?</v>
      </c>
      <c r="CH197" s="2" t="e">
        <f ca="1">_xll.BDH($C$178,"LT_DEBT_TO_TOT_EQY","FQ4 2017","FQ4 2017","Currency=INR","Period=FQ","BEST_FPERIOD_OVERRIDE=FQ","FILING_STATUS=OR","EQY_CONSOLIDATED=Y","Sort=A","Dates=H","DateFormat=P","Fill=—","Direction=H","UseDPDF=Y")</f>
        <v>#NAME?</v>
      </c>
      <c r="CI197" s="2" t="e">
        <f ca="1">_xll.BDH($C$178,"LT_DEBT_TO_TOT_CAP","FQ4 2017","FQ4 2017","Currency=INR","Period=FQ","BEST_FPERIOD_OVERRIDE=FQ","FILING_STATUS=OR","EQY_CONSOLIDATED=Y","Sort=A","Dates=H","DateFormat=P","Fill=—","Direction=H","UseDPDF=Y")</f>
        <v>#NAME?</v>
      </c>
      <c r="CJ197" s="2" t="e">
        <f ca="1">_xll.BDH($C$178,"LT_DEBT_TO_TOT_ASSET","FQ4 2017","FQ4 2017","Currency=INR","Period=FQ","BEST_FPERIOD_OVERRIDE=FQ","FILING_STATUS=OR","EQY_CONSOLIDATED=Y","Sort=A","Dates=H","DateFormat=P","Fill=—","Direction=H","UseDPDF=Y")</f>
        <v>#NAME?</v>
      </c>
      <c r="CK197" s="2" t="e">
        <f ca="1">_xll.BDH($C$178,"TOT_DEBT_TO_TOT_EQY","FQ4 2017","FQ4 2017","Currency=INR","Period=FQ","BEST_FPERIOD_OVERRIDE=FQ","FILING_STATUS=OR","EQY_CONSOLIDATED=Y","Sort=A","Dates=H","DateFormat=P","Fill=—","Direction=H","UseDPDF=Y")</f>
        <v>#NAME?</v>
      </c>
      <c r="CL197" s="2" t="e">
        <f ca="1">_xll.BDH($C$178,"TOT_DEBT_TO_TOT_CAP","FQ4 2017","FQ4 2017","Currency=INR","Period=FQ","BEST_FPERIOD_OVERRIDE=FQ","FILING_STATUS=OR","EQY_CONSOLIDATED=Y","Sort=A","Dates=H","DateFormat=P","Fill=—","Direction=H","UseDPDF=Y")</f>
        <v>#NAME?</v>
      </c>
      <c r="CM197" s="2" t="e">
        <f ca="1">_xll.BDH($C$178,"TOT_DEBT_TO_TOT_ASSET","FQ4 2017","FQ4 2017","Currency=INR","Period=FQ","BEST_FPERIOD_OVERRIDE=FQ","FILING_STATUS=OR","EQY_CONSOLIDATED=Y","Sort=A","Dates=H","DateFormat=P","Fill=—","Direction=H","UseDPDF=Y")</f>
        <v>#NAME?</v>
      </c>
      <c r="CN197" s="2" t="e">
        <f ca="1">_xll.BDH($C$178,"NET_DEBT_TO_SHRHLDR_EQTY","FQ4 2017","FQ4 2017","Currency=INR","Period=FQ","BEST_FPERIOD_OVERRIDE=FQ","FILING_STATUS=OR","EQY_CONSOLIDATED=Y","Sort=A","Dates=H","DateFormat=P","Fill=—","Direction=H","UseDPDF=Y")</f>
        <v>#NAME?</v>
      </c>
      <c r="CO197" s="2" t="e">
        <f ca="1">_xll.BDH($C$178,"NET_DEBT_%_CAPITAL","FQ4 2017","FQ4 2017","Currency=INR","Period=FQ","BEST_FPERIOD_OVERRIDE=FQ","FILING_STATUS=OR","EQY_CONSOLIDATED=Y","Sort=A","Dates=H","DateFormat=P","Fill=—","Direction=H","UseDPDF=Y")</f>
        <v>#NAME?</v>
      </c>
      <c r="CP197" s="3" t="e">
        <f ca="1">_xll.BDH($C$178,"EBITDA","FQ4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197" s="3" t="e">
        <f ca="1">_xll.BDH($C$178,"EBITDA_AFTER_CAPEX","FQ4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197" s="3" t="e">
        <f ca="1">_xll.BDH($C$178,"IS_OPER_INC","FQ4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197" s="2" t="e">
        <f ca="1">_xll.BDH($C$178,"CASH_RATIO","FQ4 2017","FQ4 2017","Currency=INR","Period=FQ","BEST_FPERIOD_OVERRIDE=FQ","FILING_STATUS=OR","EQY_CONSOLIDATED=Y","Sort=A","Dates=H","DateFormat=P","Fill=—","Direction=H","UseDPDF=Y")</f>
        <v>#NAME?</v>
      </c>
      <c r="CT197" s="2" t="e">
        <f ca="1">_xll.BDH($C$178,"CUR_RATIO","FQ4 2017","FQ4 2017","Currency=INR","Period=FQ","BEST_FPERIOD_OVERRIDE=FQ","FILING_STATUS=OR","EQY_CONSOLIDATED=Y","Sort=A","Dates=H","DateFormat=P","Fill=—","Direction=H","UseDPDF=Y")</f>
        <v>#NAME?</v>
      </c>
      <c r="CU197" s="2" t="e">
        <f ca="1">_xll.BDH($C$178,"QUICK_RATIO","FQ4 2017","FQ4 2017","Currency=INR","Period=FQ","BEST_FPERIOD_OVERRIDE=FQ","FILING_STATUS=OR","EQY_CONSOLIDATED=Y","Sort=A","Dates=H","DateFormat=P","Fill=—","Direction=H","UseDPDF=Y")</f>
        <v>#NAME?</v>
      </c>
      <c r="CV197" s="2" t="e">
        <f ca="1">_xll.BDH($C$178,"ALTMAN_Z_SCORE","FQ4 2017","FQ4 2017","Currency=INR","Period=FQ","BEST_FPERIOD_OVERRIDE=FQ","FILING_STATUS=OR","EQY_CONSOLIDATED=Y","Sort=A","Dates=H","DateFormat=P","Fill=—","Direction=H","UseDPDF=Y")</f>
        <v>#NAME?</v>
      </c>
      <c r="CW197" s="4" t="e">
        <f ca="1">_xll.BDH($C$178,"ACCT_RCV_TURN","FQ4 2017","FQ4 2017","Currency=INR","Period=FQ","BEST_FPERIOD_OVERRIDE=FQ","FILING_STATUS=OR","EQY_CONSOLIDATED=Y","FA_ADJUSTED=GAAP","Sort=A","Dates=H","DateFormat=P","Fill=—","Direction=H","UseDPDF=Y")</f>
        <v>#NAME?</v>
      </c>
      <c r="CX197" s="2" t="e">
        <f ca="1">_xll.BDH($C$178,"ACCT_RCV_DAYS","FQ4 2017","FQ4 2017","Currency=INR","Period=FQ","BEST_FPERIOD_OVERRIDE=FQ","FILING_STATUS=OR","EQY_CONSOLIDATED=Y","FA_ADJUSTED=GAAP","Sort=A","Dates=H","DateFormat=P","Fill=—","Direction=H","UseDPDF=Y")</f>
        <v>#NAME?</v>
      </c>
      <c r="CY197" s="4" t="e">
        <f ca="1">_xll.BDH($C$178,"INVENT_TURN","FQ4 2017","FQ4 2017","Currency=INR","Period=FQ","BEST_FPERIOD_OVERRIDE=FQ","FILING_STATUS=OR","EQY_CONSOLIDATED=Y","FA_ADJUSTED=GAAP","Sort=A","Dates=H","DateFormat=P","Fill=—","Direction=H","UseDPDF=Y")</f>
        <v>#NAME?</v>
      </c>
      <c r="CZ197" s="2" t="e">
        <f ca="1">_xll.BDH($C$178,"INVENT_DAYS","FQ4 2017","FQ4 2017","Currency=INR","Period=FQ","BEST_FPERIOD_OVERRIDE=FQ","FILING_STATUS=OR","EQY_CONSOLIDATED=Y","FA_ADJUSTED=GAAP","Sort=A","Dates=H","DateFormat=P","Fill=—","Direction=H","UseDPDF=Y")</f>
        <v>#NAME?</v>
      </c>
      <c r="DA197" s="4" t="e">
        <f ca="1">_xll.BDH($C$178,"ACCOUNTS_PAYABLE_TURNOVER","FQ4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197" s="2" t="e">
        <f ca="1">_xll.BDH($C$178,"ACCOUNTS_PAYABLE_TURNOVER_DAYS","FQ4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197" s="4" t="e">
        <f ca="1">_xll.BDH($C$178,"CASH_CONVERSION_CYCLE","FQ4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197" s="4" t="e">
        <f ca="1">_xll.BDH($C$178,"INV_TO_CASH_DAYS","FQ4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197" s="5" t="e">
        <f ca="1">_xll.BDH($C$178,"BS_INVENTORIES","FQ4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197" s="3" t="e">
        <f ca="1">_xll.BDH($C$178,"INVTRY_RAW_MATERIALS","FQ4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197" s="3" t="e">
        <f ca="1">_xll.BDH($C$178,"INVTRY_IN_PROGRESS","FQ4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197" s="3" t="e">
        <f ca="1">_xll.BDH($C$178,"INVTRY_FINISHED_GOODS","FQ4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197" s="3" t="e">
        <f ca="1">_xll.BDH($C$178,"BS_OTHER_INV","FQ4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198" spans="1:113" x14ac:dyDescent="0.3">
      <c r="A198" s="6"/>
      <c r="B198" s="6"/>
      <c r="C198" s="6"/>
      <c r="D198" s="6" t="s">
        <v>85</v>
      </c>
      <c r="E198" t="s">
        <v>77</v>
      </c>
      <c r="F198" t="e">
        <f ca="1">_xll.BDH($C$178,"RETURN_COM_EQY","FY 2018","FY 2018","Currency=INR","Period=FY","BEST_FPERIOD_OVERRIDE=FY","FILING_STATUS=OR","EQY_CONSOLIDATED=Y","FA_ADJUSTED=GAAP","Sort=A","Dates=H","DateFormat=P","Fill=—","Direction=H","UseDPDF=Y")</f>
        <v>#NAME?</v>
      </c>
      <c r="G198" t="e">
        <f ca="1">_xll.BDH($C$178,"RETURN_ON_ASSET","FY 2018","FY 2018","Currency=INR","Period=FY","BEST_FPERIOD_OVERRIDE=FY","FILING_STATUS=OR","EQY_CONSOLIDATED=Y","FA_ADJUSTED=GAAP","Sort=A","Dates=H","DateFormat=P","Fill=—","Direction=H","UseDPDF=Y")</f>
        <v>#NAME?</v>
      </c>
      <c r="H198" t="e">
        <f ca="1">_xll.BDH($C$178,"RETURN_ON_CAP","FY 2018","FY 2018","Currency=INR","Period=FY","BEST_FPERIOD_OVERRIDE=FY","FILING_STATUS=OR","EQY_CONSOLIDATED=Y","FA_ADJUSTED=GAAP","Sort=A","Dates=H","DateFormat=P","Fill=—","Direction=H","UseDPDF=Y")</f>
        <v>#NAME?</v>
      </c>
      <c r="I198" t="e">
        <f ca="1">_xll.BDH($C$178,"RETURN_ON_INV_CAPITAL","FY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198" t="e">
        <f ca="1">_xll.BDH($C$178,"EBITDA_TO_REVENUE","FY 2018","FY 2018","Currency=INR","Period=FY","BEST_FPERIOD_OVERRIDE=FY","FILING_STATUS=OR","EQY_CONSOLIDATED=Y","FA_ADJUSTED=GAAP","Sort=A","Dates=H","DateFormat=P","Fill=—","Direction=H","UseDPDF=Y")</f>
        <v>#NAME?</v>
      </c>
      <c r="K198" t="e">
        <f ca="1">_xll.BDH($C$178,"OPER_MARGIN","FY 2018","FY 2018","Currency=INR","Period=FY","BEST_FPERIOD_OVERRIDE=FY","FILING_STATUS=OR","EQY_CONSOLIDATED=Y","FA_ADJUSTED=GAAP","Sort=A","Dates=H","DateFormat=P","Fill=—","Direction=H","UseDPDF=Y")</f>
        <v>#NAME?</v>
      </c>
      <c r="L198" t="e">
        <f ca="1">_xll.BDH($C$178,"INCREMENTAL_OPERATING_MARGIN","FY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198" t="e">
        <f ca="1">_xll.BDH($C$178,"PRETAX_INC_TO_NET_SALES","FY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198" t="e">
        <f ca="1">_xll.BDH($C$178,"INC_BEF_XO_ITEMS_TO_NET_SALES","FY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198" t="e">
        <f ca="1">_xll.BDH($C$178,"PROF_MARGIN","FY 2018","FY 2018","Currency=INR","Period=FY","BEST_FPERIOD_OVERRIDE=FY","FILING_STATUS=OR","EQY_CONSOLIDATED=Y","FA_ADJUSTED=GAAP","Sort=A","Dates=H","DateFormat=P","Fill=—","Direction=H","UseDPDF=Y")</f>
        <v>#NAME?</v>
      </c>
      <c r="P198" t="e">
        <f ca="1">_xll.BDH($C$178,"NET_INCOME_TO_COMMON_MARGIN","FY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198" t="e">
        <f ca="1">_xll.BDH($C$178,"EFF_TAX_RATE","FY 2018","FY 2018","Currency=INR","Period=FY","BEST_FPERIOD_OVERRIDE=FY","FILING_STATUS=OR","EQY_CONSOLIDATED=Y","FA_ADJUSTED=GAAP","Sort=A","Dates=H","DateFormat=P","Fill=—","Direction=H","UseDPDF=Y")</f>
        <v>#NAME?</v>
      </c>
      <c r="R198" t="e">
        <f ca="1">_xll.BDH($C$178,"DVD_PAYOUT_RATIO","FY 2018","FY 2018","Currency=INR","Period=FY","BEST_FPERIOD_OVERRIDE=FY","FILING_STATUS=OR","EQY_CONSOLIDATED=Y","FA_ADJUSTED=GAAP","Sort=A","Dates=H","DateFormat=P","Fill=—","Direction=H","UseDPDF=Y")</f>
        <v>#NAME?</v>
      </c>
      <c r="S198" t="e">
        <f ca="1">_xll.BDH($C$178,"SUSTAIN_GROWTH_RT","FY 2018","FY 2018","Currency=INR","Period=FY","BEST_FPERIOD_OVERRIDE=FY","FILING_STATUS=OR","EQY_CONSOLIDATED=Y","FA_ADJUSTED=GAAP","Sort=A","Dates=H","DateFormat=P","Fill=—","Direction=H","UseDPDF=Y")</f>
        <v>#NAME?</v>
      </c>
      <c r="T198" s="2" t="e">
        <f ca="1">_xll.BDH($C$178,"SALES_GROWTH","FY 2018","FY 2018","Currency=INR","Period=FY","BEST_FPERIOD_OVERRIDE=FY","FILING_STATUS=OR","EQY_CONSOLIDATED=Y","FA_ADJUSTED=GAAP","Sort=A","Dates=H","DateFormat=P","Fill=—","Direction=H","UseDPDF=Y")</f>
        <v>#NAME?</v>
      </c>
      <c r="U198" s="2" t="e">
        <f ca="1">_xll.BDH($C$178,"EBITDA_GROWTH","FY 2018","FY 2018","Currency=INR","Period=FY","BEST_FPERIOD_OVERRIDE=FY","FILING_STATUS=OR","EQY_CONSOLIDATED=Y","FA_ADJUSTED=GAAP","Sort=A","Dates=H","DateFormat=P","Fill=—","Direction=H","UseDPDF=Y")</f>
        <v>#NAME?</v>
      </c>
      <c r="V198" s="2" t="e">
        <f ca="1">_xll.BDH($C$178,"OPER_INC_GROWTH","FY 2018","FY 2018","Currency=INR","Period=FY","BEST_FPERIOD_OVERRIDE=FY","FILING_STATUS=OR","EQY_CONSOLIDATED=Y","FA_ADJUSTED=GAAP","Sort=A","Dates=H","DateFormat=P","Fill=—","Direction=H","UseDPDF=Y")</f>
        <v>#NAME?</v>
      </c>
      <c r="W198" s="2" t="e">
        <f ca="1">_xll.BDH($C$178,"EARN_FOR_COM_GROWTH","FY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198" s="2" t="e">
        <f ca="1">_xll.BDH($C$178,"DILUTED_EPS_AFT_XO_ITEMS_GROWTH","FY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198" s="2" t="e">
        <f ca="1">_xll.BDH($C$178,"DIVIDEND_PER_SHARE_1_YEAR_GROWTH","FY 2018","FY 2018","Currency=INR","Period=FY","BEST_FPERIOD_OVERRIDE=FY","FILING_STATUS=OR","EQY_CONSOLIDATED=Y","Sort=A","Dates=H","DateFormat=P","Fill=—","Direction=H","UseDPDF=Y")</f>
        <v>#NAME?</v>
      </c>
      <c r="Z198" s="2" t="e">
        <f ca="1">_xll.BDH($C$178,"ACCOUNTS_RECEIVABLE_GROWTH","FY 2018","FY 2018","Currency=INR","Period=FY","BEST_FPERIOD_OVERRIDE=FY","FILING_STATUS=OR","EQY_CONSOLIDATED=Y","Sort=A","Dates=H","DateFormat=P","Fill=—","Direction=H","UseDPDF=Y")</f>
        <v>#NAME?</v>
      </c>
      <c r="AA198" s="2" t="e">
        <f ca="1">_xll.BDH($C$178,"INVENTORY_GROWTH","FY 2018","FY 2018","Currency=INR","Period=FY","BEST_FPERIOD_OVERRIDE=FY","FILING_STATUS=OR","EQY_CONSOLIDATED=Y","Sort=A","Dates=H","DateFormat=P","Fill=—","Direction=H","UseDPDF=Y")</f>
        <v>#NAME?</v>
      </c>
      <c r="AB198" s="2" t="e">
        <f ca="1">_xll.BDH($C$178,"NET_FIXED_ASSETS_1_YEAR_GROWTH","FY 2018","FY 2018","Currency=INR","Period=FY","BEST_FPERIOD_OVERRIDE=FY","FILING_STATUS=OR","EQY_CONSOLIDATED=Y","Sort=A","Dates=H","DateFormat=P","Fill=—","Direction=H","UseDPDF=Y")</f>
        <v>#NAME?</v>
      </c>
      <c r="AC198" s="2" t="e">
        <f ca="1">_xll.BDH($C$178,"ASSET_GROWTH","FY 2018","FY 2018","Currency=INR","Period=FY","BEST_FPERIOD_OVERRIDE=FY","FILING_STATUS=OR","EQY_CONSOLIDATED=Y","Sort=A","Dates=H","DateFormat=P","Fill=—","Direction=H","UseDPDF=Y")</f>
        <v>#NAME?</v>
      </c>
      <c r="AD198" s="2" t="e">
        <f ca="1">_xll.BDH($C$178,"MODIFIED_WORK_CAP_GROWTH","FY 2018","FY 2018","Currency=INR","Period=FY","BEST_FPERIOD_OVERRIDE=FY","FILING_STATUS=OR","EQY_CONSOLIDATED=Y","Sort=A","Dates=H","DateFormat=P","Fill=—","Direction=H","UseDPDF=Y")</f>
        <v>#NAME?</v>
      </c>
      <c r="AE198" s="2" t="e">
        <f ca="1">_xll.BDH($C$178,"WORK_CAP_GROWTH","FY 2018","FY 2018","Currency=INR","Period=FY","BEST_FPERIOD_OVERRIDE=FY","FILING_STATUS=OR","EQY_CONSOLIDATED=Y","Sort=A","Dates=H","DateFormat=P","Fill=—","Direction=H","UseDPDF=Y")</f>
        <v>#NAME?</v>
      </c>
      <c r="AF198" s="2" t="e">
        <f ca="1">_xll.BDH($C$178,"ACCOUNTS_PAYABLE_GROWTH_1YR","FY 2018","FY 2018","Currency=INR","Period=FY","BEST_FPERIOD_OVERRIDE=FY","FILING_STATUS=OR","EQY_CONSOLIDATED=Y","Sort=A","Dates=H","DateFormat=P","Fill=—","Direction=H","UseDPDF=Y")</f>
        <v>#NAME?</v>
      </c>
      <c r="AG198" s="2" t="e">
        <f ca="1">_xll.BDH($C$178,"SHORT_TERM_DEBT_1_YEAR_GROWTH","FY 2018","FY 2018","Currency=INR","Period=FY","BEST_FPERIOD_OVERRIDE=FY","FILING_STATUS=OR","EQY_CONSOLIDATED=Y","Sort=A","Dates=H","DateFormat=P","Fill=—","Direction=H","UseDPDF=Y")</f>
        <v>#NAME?</v>
      </c>
      <c r="AH198" s="2" t="e">
        <f ca="1">_xll.BDH($C$178,"TOTAL_DEBT_1_YEAR_GROWTH","FY 2018","FY 2018","Currency=INR","Period=FY","BEST_FPERIOD_OVERRIDE=FY","FILING_STATUS=OR","EQY_CONSOLIDATED=Y","Sort=A","Dates=H","DateFormat=P","Fill=—","Direction=H","UseDPDF=Y")</f>
        <v>#NAME?</v>
      </c>
      <c r="AI198" s="2" t="e">
        <f ca="1">_xll.BDH($C$178,"TOTAL_EQUITY_1_YEAR_GROWTH","FY 2018","FY 2018","Currency=INR","Period=FY","BEST_FPERIOD_OVERRIDE=FY","FILING_STATUS=OR","EQY_CONSOLIDATED=Y","Sort=A","Dates=H","DateFormat=P","Fill=—","Direction=H","UseDPDF=Y")</f>
        <v>#NAME?</v>
      </c>
      <c r="AJ198" s="2" t="e">
        <f ca="1">_xll.BDH($C$178,"GROWTH_IN_CAP","FY 2018","FY 2018","Currency=INR","Period=FY","BEST_FPERIOD_OVERRIDE=FY","FILING_STATUS=OR","EQY_CONSOLIDATED=Y","Sort=A","Dates=H","DateFormat=P","Fill=—","Direction=H","UseDPDF=Y")</f>
        <v>#NAME?</v>
      </c>
      <c r="AK198" s="2" t="e">
        <f ca="1">_xll.BDH($C$178,"BVPS_GROWTH","FY 2018","FY 2018","Currency=INR","Period=FY","BEST_FPERIOD_OVERRIDE=FY","FILING_STATUS=OR","EQY_CONSOLIDATED=Y","Sort=A","Dates=H","DateFormat=P","Fill=—","Direction=H","UseDPDF=Y")</f>
        <v>#NAME?</v>
      </c>
      <c r="AL198" s="2" t="e">
        <f ca="1">_xll.BDH($C$178,"CASH_FLOW_GROWTH","FY 2018","FY 2018","Currency=INR","Period=FY","BEST_FPERIOD_OVERRIDE=FY","FILING_STATUS=OR","EQY_CONSOLIDATED=Y","Sort=A","Dates=H","DateFormat=P","Fill=—","Direction=H","UseDPDF=Y")</f>
        <v>#NAME?</v>
      </c>
      <c r="AM198" s="2" t="e">
        <f ca="1">_xll.BDH($C$178,"GEO_GROW_NET_SALES","FY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198" s="2" t="e">
        <f ca="1">_xll.BDH($C$178,"GEO_GROW_EBITDA","FY 2018","FY 2018","Currency=INR","Period=FY","BEST_FPERIOD_OVERRIDE=FY","FILING_STATUS=OR","EQY_CONSOLIDATED=Y","FA_ADJUSTED=GAAP","Sort=A","Dates=H","DateFormat=P","Fill=—","Direction=H","UseDPDF=Y")</f>
        <v>#NAME?</v>
      </c>
      <c r="AO198" s="2" t="e">
        <f ca="1">_xll.BDH($C$178,"GEO_GROW_OPER_INC","FY 2018","FY 2018","Currency=INR","Period=FY","BEST_FPERIOD_OVERRIDE=FY","FILING_STATUS=OR","EQY_CONSOLIDATED=Y","FA_ADJUSTED=GAAP","Sort=A","Dates=H","DateFormat=P","Fill=—","Direction=H","UseDPDF=Y")</f>
        <v>#NAME?</v>
      </c>
      <c r="AP198" s="2" t="e">
        <f ca="1">_xll.BDH($C$178,"NET_INCOME_TO_COMMON_5_YR_GROWTH","FY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198" s="2" t="e">
        <f ca="1">_xll.BDH($C$178,"5Y_GEO_GROWTH_DILUTED_EPS","FY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198" s="2" t="e">
        <f ca="1">_xll.BDH($C$178,"GEO_GROW_DVD_PER_SH","FY 2018","FY 2018","Currency=INR","Period=FY","BEST_FPERIOD_OVERRIDE=FY","FILING_STATUS=OR","EQY_CONSOLIDATED=Y","Sort=A","Dates=H","DateFormat=P","Fill=—","Direction=H","UseDPDF=Y")</f>
        <v>#NAME?</v>
      </c>
      <c r="AS198" s="2" t="e">
        <f ca="1">_xll.BDH($C$178,"ACCOUNTS_RECEIVABLE_5_YR_GROWTH","FY 2018","FY 2018","Currency=INR","Period=FY","BEST_FPERIOD_OVERRIDE=FY","FILING_STATUS=OR","EQY_CONSOLIDATED=Y","Sort=A","Dates=H","DateFormat=P","Fill=—","Direction=H","UseDPDF=Y")</f>
        <v>#NAME?</v>
      </c>
      <c r="AT198" s="2" t="e">
        <f ca="1">_xll.BDH($C$178,"INVENTORY_5_YEAR_GROWTH","FY 2018","FY 2018","Currency=INR","Period=FY","BEST_FPERIOD_OVERRIDE=FY","FILING_STATUS=OR","EQY_CONSOLIDATED=Y","Sort=A","Dates=H","DateFormat=P","Fill=—","Direction=H","UseDPDF=Y")</f>
        <v>#NAME?</v>
      </c>
      <c r="AU198" s="2" t="e">
        <f ca="1">_xll.BDH($C$178,"NET_FIXED_ASSETS_5_YEAR_GROWTH","FY 2018","FY 2018","Currency=INR","Period=FY","BEST_FPERIOD_OVERRIDE=FY","FILING_STATUS=OR","EQY_CONSOLIDATED=Y","Sort=A","Dates=H","DateFormat=P","Fill=—","Direction=H","UseDPDF=Y")</f>
        <v>#NAME?</v>
      </c>
      <c r="AV198" s="2" t="e">
        <f ca="1">_xll.BDH($C$178,"GEO_GROW_TOT_ASSET","FY 2018","FY 2018","Currency=INR","Period=FY","BEST_FPERIOD_OVERRIDE=FY","FILING_STATUS=OR","EQY_CONSOLIDATED=Y","Sort=A","Dates=H","DateFormat=P","Fill=—","Direction=H","UseDPDF=Y")</f>
        <v>#NAME?</v>
      </c>
      <c r="AW198" s="2" t="e">
        <f ca="1">_xll.BDH($C$178,"MODIFIED_WORKING_CPTL_5YR_GRWTH","FY 2018","FY 2018","Currency=INR","Period=FY","BEST_FPERIOD_OVERRIDE=FY","FILING_STATUS=OR","EQY_CONSOLIDATED=Y","Sort=A","Dates=H","DateFormat=P","Fill=—","Direction=H","UseDPDF=Y")</f>
        <v>#NAME?</v>
      </c>
      <c r="AX198" s="2" t="e">
        <f ca="1">_xll.BDH($C$178,"WORKING_CAPITAL_5_YEAR_GROWTH","FY 2018","FY 2018","Currency=INR","Period=FY","BEST_FPERIOD_OVERRIDE=FY","FILING_STATUS=OR","EQY_CONSOLIDATED=Y","Sort=A","Dates=H","DateFormat=P","Fill=—","Direction=H","UseDPDF=Y")</f>
        <v>#NAME?</v>
      </c>
      <c r="AY198" s="2" t="e">
        <f ca="1">_xll.BDH($C$178,"ACCOUNTS_PAYABLE_5_YEAR_GROWTH","FY 2018","FY 2018","Currency=INR","Period=FY","BEST_FPERIOD_OVERRIDE=FY","FILING_STATUS=OR","EQY_CONSOLIDATED=Y","Sort=A","Dates=H","DateFormat=P","Fill=—","Direction=H","UseDPDF=Y")</f>
        <v>#NAME?</v>
      </c>
      <c r="AZ198" s="2" t="e">
        <f ca="1">_xll.BDH($C$178,"SHORT_TERM_DEBT_5_YEAR_GROWTH","FY 2018","FY 2018","Currency=INR","Period=FY","BEST_FPERIOD_OVERRIDE=FY","FILING_STATUS=OR","EQY_CONSOLIDATED=Y","Sort=A","Dates=H","DateFormat=P","Fill=—","Direction=H","UseDPDF=Y")</f>
        <v>#NAME?</v>
      </c>
      <c r="BA198" s="2" t="e">
        <f ca="1">_xll.BDH($C$178,"TOTAL_DEBT_5_YEAR_GROWTH","FY 2018","FY 2018","Currency=INR","Period=FY","BEST_FPERIOD_OVERRIDE=FY","FILING_STATUS=OR","EQY_CONSOLIDATED=Y","Sort=A","Dates=H","DateFormat=P","Fill=—","Direction=H","UseDPDF=Y")</f>
        <v>#NAME?</v>
      </c>
      <c r="BB198" s="2" t="e">
        <f ca="1">_xll.BDH($C$178,"GEO_GROW_TOT_SHRHLDR_EQY","FY 2018","FY 2018","Currency=INR","Period=FY","BEST_FPERIOD_OVERRIDE=FY","FILING_STATUS=OR","EQY_CONSOLIDATED=Y","Sort=A","Dates=H","DateFormat=P","Fill=—","Direction=H","UseDPDF=Y")</f>
        <v>#NAME?</v>
      </c>
      <c r="BC198" s="2" t="e">
        <f ca="1">_xll.BDH($C$178,"TOTAL_CAPITAL_5_YEAR_GROWTH","FY 2018","FY 2018","Currency=INR","Period=FY","BEST_FPERIOD_OVERRIDE=FY","FILING_STATUS=OR","EQY_CONSOLIDATED=Y","Sort=A","Dates=H","DateFormat=P","Fill=—","Direction=H","UseDPDF=Y")</f>
        <v>#NAME?</v>
      </c>
      <c r="BD198" s="2" t="e">
        <f ca="1">_xll.BDH($C$178,"GEO_GROW_BOOK_VAL","FY 2018","FY 2018","Currency=INR","Period=FY","BEST_FPERIOD_OVERRIDE=FY","FILING_STATUS=OR","EQY_CONSOLIDATED=Y","Sort=A","Dates=H","DateFormat=P","Fill=—","Direction=H","UseDPDF=Y")</f>
        <v>#NAME?</v>
      </c>
      <c r="BE198" s="2" t="e">
        <f ca="1">_xll.BDH($C$178,"GEO_GROW_CASH_OPER_ACT","FY 2018","FY 2018","Currency=INR","Period=FY","BEST_FPERIOD_OVERRIDE=FY","FILING_STATUS=OR","EQY_CONSOLIDATED=Y","Sort=A","Dates=H","DateFormat=P","Fill=—","Direction=H","UseDPDF=Y")</f>
        <v>#NAME?</v>
      </c>
      <c r="BF198" s="2" t="e">
        <f ca="1">_xll.BDH($C$178,"REVENUE_SEQUENTIAL_GROWTH","FY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198" s="2" t="e">
        <f ca="1">_xll.BDH($C$178,"EBITDA_SEQUENTIAL_GROWTH","FY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198" s="2" t="e">
        <f ca="1">_xll.BDH($C$178,"OPERATING_INCOME_SEQ_GROWTH","FY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198" s="2" t="e">
        <f ca="1">_xll.BDH($C$178,"NET_INCOME_TO_COMMON_SEQ_GROWTH","FY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198" s="2" t="e">
        <f ca="1">_xll.BDH($C$178,"EPS_DILUTED_SEQUENTIAL_GROWTH","FY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198" s="2" t="e">
        <f ca="1">_xll.BDH($C$178,"DPS_SEQUENTIAL_GROWTH","FY 2018","FY 2018","Currency=INR","Period=FY","BEST_FPERIOD_OVERRIDE=FY","FILING_STATUS=OR","EQY_CONSOLIDATED=Y","Sort=A","Dates=H","DateFormat=P","Fill=—","Direction=H","UseDPDF=Y")</f>
        <v>#NAME?</v>
      </c>
      <c r="BL198" s="2" t="e">
        <f ca="1">_xll.BDH($C$178,"ACCOUNTS_RECEIVABLE_SEQ_GROWTH","FY 2018","FY 2018","Currency=INR","Period=FY","BEST_FPERIOD_OVERRIDE=FY","FILING_STATUS=OR","EQY_CONSOLIDATED=Y","Sort=A","Dates=H","DateFormat=P","Fill=—","Direction=H","UseDPDF=Y")</f>
        <v>#NAME?</v>
      </c>
      <c r="BM198" s="2" t="e">
        <f ca="1">_xll.BDH($C$178,"INVENTORY_SEQUENTIAL_GROWTH","FY 2018","FY 2018","Currency=INR","Period=FY","BEST_FPERIOD_OVERRIDE=FY","FILING_STATUS=OR","EQY_CONSOLIDATED=Y","Sort=A","Dates=H","DateFormat=P","Fill=—","Direction=H","UseDPDF=Y")</f>
        <v>#NAME?</v>
      </c>
      <c r="BN198" s="2" t="e">
        <f ca="1">_xll.BDH($C$178,"FIXED_ASSETS_SEQUENTIAL_GROWTH","FY 2018","FY 2018","Currency=INR","Period=FY","BEST_FPERIOD_OVERRIDE=FY","FILING_STATUS=OR","EQY_CONSOLIDATED=Y","Sort=A","Dates=H","DateFormat=P","Fill=—","Direction=H","UseDPDF=Y")</f>
        <v>#NAME?</v>
      </c>
      <c r="BO198" s="2" t="e">
        <f ca="1">_xll.BDH($C$178,"TOTAL_ASSETS_SEQUENTIAL_GROWTH","FY 2018","FY 2018","Currency=INR","Period=FY","BEST_FPERIOD_OVERRIDE=FY","FILING_STATUS=OR","EQY_CONSOLIDATED=Y","Sort=A","Dates=H","DateFormat=P","Fill=—","Direction=H","UseDPDF=Y")</f>
        <v>#NAME?</v>
      </c>
      <c r="BP198" s="2" t="e">
        <f ca="1">_xll.BDH($C$178,"MODIFIED_WORKING_CPTL_SEQ_GRWTH","FY 2018","FY 2018","Currency=INR","Period=FY","BEST_FPERIOD_OVERRIDE=FY","FILING_STATUS=OR","EQY_CONSOLIDATED=Y","Sort=A","Dates=H","DateFormat=P","Fill=—","Direction=H","UseDPDF=Y")</f>
        <v>#NAME?</v>
      </c>
      <c r="BQ198" s="2" t="e">
        <f ca="1">_xll.BDH($C$178,"WORKING_CAPITAL_SEQ_GROWTH","FY 2018","FY 2018","Currency=INR","Period=FY","BEST_FPERIOD_OVERRIDE=FY","FILING_STATUS=OR","EQY_CONSOLIDATED=Y","Sort=A","Dates=H","DateFormat=P","Fill=—","Direction=H","UseDPDF=Y")</f>
        <v>#NAME?</v>
      </c>
      <c r="BR198" s="2" t="e">
        <f ca="1">_xll.BDH($C$178,"ACCOUNTS_PAYABLE_SEQ_GROWTH","FY 2018","FY 2018","Currency=INR","Period=FY","BEST_FPERIOD_OVERRIDE=FY","FILING_STATUS=OR","EQY_CONSOLIDATED=Y","Sort=A","Dates=H","DateFormat=P","Fill=—","Direction=H","UseDPDF=Y")</f>
        <v>#NAME?</v>
      </c>
      <c r="BS198" s="2" t="e">
        <f ca="1">_xll.BDH($C$178,"ST_DEBT_SEQUENTIAL_GROWTH","FY 2018","FY 2018","Currency=INR","Period=FY","BEST_FPERIOD_OVERRIDE=FY","FILING_STATUS=OR","EQY_CONSOLIDATED=Y","Sort=A","Dates=H","DateFormat=P","Fill=—","Direction=H","UseDPDF=Y")</f>
        <v>#NAME?</v>
      </c>
      <c r="BT198" s="2" t="e">
        <f ca="1">_xll.BDH($C$178,"TOTAL_DEBT_SEQUENTIAL_GROWTH","FY 2018","FY 2018","Currency=INR","Period=FY","BEST_FPERIOD_OVERRIDE=FY","FILING_STATUS=OR","EQY_CONSOLIDATED=Y","Sort=A","Dates=H","DateFormat=P","Fill=—","Direction=H","UseDPDF=Y")</f>
        <v>#NAME?</v>
      </c>
      <c r="BU198" s="2" t="e">
        <f ca="1">_xll.BDH($C$178,"TOTAL_EQUITY_SEQUENTIAL_GROWTH","FY 2018","FY 2018","Currency=INR","Period=FY","BEST_FPERIOD_OVERRIDE=FY","FILING_STATUS=OR","EQY_CONSOLIDATED=Y","Sort=A","Dates=H","DateFormat=P","Fill=—","Direction=H","UseDPDF=Y")</f>
        <v>#NAME?</v>
      </c>
      <c r="BV198" s="2" t="e">
        <f ca="1">_xll.BDH($C$178,"TOTAL_CAPITAL_SEQUENTIAL_GROWTH","FY 2018","FY 2018","Currency=INR","Period=FY","BEST_FPERIOD_OVERRIDE=FY","FILING_STATUS=OR","EQY_CONSOLIDATED=Y","Sort=A","Dates=H","DateFormat=P","Fill=—","Direction=H","UseDPDF=Y")</f>
        <v>#NAME?</v>
      </c>
      <c r="BW198" s="2" t="e">
        <f ca="1">_xll.BDH($C$178,"BPS_SEQUENTIAL_GROWTH","FY 2018","FY 2018","Currency=INR","Period=FY","BEST_FPERIOD_OVERRIDE=FY","FILING_STATUS=OR","EQY_CONSOLIDATED=Y","Sort=A","Dates=H","DateFormat=P","Fill=—","Direction=H","UseDPDF=Y")</f>
        <v>#NAME?</v>
      </c>
      <c r="BX198" s="2" t="e">
        <f ca="1">_xll.BDH($C$178,"CFO_SEQUENTIAL_GROWTH","FY 2018","FY 2018","Currency=INR","Period=FY","BEST_FPERIOD_OVERRIDE=FY","FILING_STATUS=OR","EQY_CONSOLIDATED=Y","Sort=A","Dates=H","DateFormat=P","Fill=—","Direction=H","UseDPDF=Y")</f>
        <v>#NAME?</v>
      </c>
      <c r="BY198" s="3" t="e">
        <f ca="1">_xll.BDH($C$178,"SHORT_AND_LONG_TERM_DEBT","FY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198" s="3" t="e">
        <f ca="1">_xll.BDH($C$178,"BS_ST_BORROW","FY 2018","FY 2018","Currency=INR","Period=FY","BEST_FPERIOD_OVERRIDE=FY","FILING_STATUS=OR","EQY_CONSOLIDATED=Y","SCALING_FORMAT=MLN","Sort=A","Dates=H","DateFormat=P","Fill=—","Direction=H","UseDPDF=Y")</f>
        <v>#NAME?</v>
      </c>
      <c r="CA198" s="3" t="e">
        <f ca="1">_xll.BDH($C$178,"BS_LT_BORROW","FY 2018","FY 2018","Currency=INR","Period=FY","BEST_FPERIOD_OVERRIDE=FY","FILING_STATUS=OR","EQY_CONSOLIDATED=Y","SCALING_FORMAT=MLN","Sort=A","Dates=H","DateFormat=P","Fill=—","Direction=H","UseDPDF=Y")</f>
        <v>#NAME?</v>
      </c>
      <c r="CB198" s="2" t="e">
        <f ca="1">_xll.BDH($C$178,"TOT_DEBT_TO_EBITDA","FY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198" s="2" t="e">
        <f ca="1">_xll.BDH($C$178,"NET_DEBT_TO_EBITDA","FY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198" s="2" t="e">
        <f ca="1">_xll.BDH($C$178,"TOTAL_DEBT_TO_EBIT","FY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198" s="2" t="e">
        <f ca="1">_xll.BDH($C$178,"NET_DEBT_TO_EBIT","FY 2018","FY 2018","Currency=INR","Period=FY","BEST_FPERIOD_OVERRIDE=FY","FILING_STATUS=OR","EQY_CONSOLIDATED=Y","FA_ADJUSTED=GAAP","Sort=A","Dates=H","DateFormat=P","Fill=—","Direction=H","UseDPDF=Y")</f>
        <v>#NAME?</v>
      </c>
      <c r="CF198" s="2" t="e">
        <f ca="1">_xll.BDH($C$178,"EBITDA_TO_INTEREST_EXPN","FY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198" s="2" t="e">
        <f ca="1">_xll.BDH($C$178,"COM_EQY_TO_TOT_ASSET","FY 2018","FY 2018","Currency=INR","Period=FY","BEST_FPERIOD_OVERRIDE=FY","FILING_STATUS=OR","EQY_CONSOLIDATED=Y","Sort=A","Dates=H","DateFormat=P","Fill=—","Direction=H","UseDPDF=Y")</f>
        <v>#NAME?</v>
      </c>
      <c r="CH198" s="2" t="e">
        <f ca="1">_xll.BDH($C$178,"LT_DEBT_TO_TOT_EQY","FY 2018","FY 2018","Currency=INR","Period=FY","BEST_FPERIOD_OVERRIDE=FY","FILING_STATUS=OR","EQY_CONSOLIDATED=Y","Sort=A","Dates=H","DateFormat=P","Fill=—","Direction=H","UseDPDF=Y")</f>
        <v>#NAME?</v>
      </c>
      <c r="CI198" s="2" t="e">
        <f ca="1">_xll.BDH($C$178,"LT_DEBT_TO_TOT_CAP","FY 2018","FY 2018","Currency=INR","Period=FY","BEST_FPERIOD_OVERRIDE=FY","FILING_STATUS=OR","EQY_CONSOLIDATED=Y","Sort=A","Dates=H","DateFormat=P","Fill=—","Direction=H","UseDPDF=Y")</f>
        <v>#NAME?</v>
      </c>
      <c r="CJ198" s="2" t="e">
        <f ca="1">_xll.BDH($C$178,"LT_DEBT_TO_TOT_ASSET","FY 2018","FY 2018","Currency=INR","Period=FY","BEST_FPERIOD_OVERRIDE=FY","FILING_STATUS=OR","EQY_CONSOLIDATED=Y","Sort=A","Dates=H","DateFormat=P","Fill=—","Direction=H","UseDPDF=Y")</f>
        <v>#NAME?</v>
      </c>
      <c r="CK198" s="2" t="e">
        <f ca="1">_xll.BDH($C$178,"TOT_DEBT_TO_TOT_EQY","FY 2018","FY 2018","Currency=INR","Period=FY","BEST_FPERIOD_OVERRIDE=FY","FILING_STATUS=OR","EQY_CONSOLIDATED=Y","Sort=A","Dates=H","DateFormat=P","Fill=—","Direction=H","UseDPDF=Y")</f>
        <v>#NAME?</v>
      </c>
      <c r="CL198" s="2" t="e">
        <f ca="1">_xll.BDH($C$178,"TOT_DEBT_TO_TOT_CAP","FY 2018","FY 2018","Currency=INR","Period=FY","BEST_FPERIOD_OVERRIDE=FY","FILING_STATUS=OR","EQY_CONSOLIDATED=Y","Sort=A","Dates=H","DateFormat=P","Fill=—","Direction=H","UseDPDF=Y")</f>
        <v>#NAME?</v>
      </c>
      <c r="CM198" s="2" t="e">
        <f ca="1">_xll.BDH($C$178,"TOT_DEBT_TO_TOT_ASSET","FY 2018","FY 2018","Currency=INR","Period=FY","BEST_FPERIOD_OVERRIDE=FY","FILING_STATUS=OR","EQY_CONSOLIDATED=Y","Sort=A","Dates=H","DateFormat=P","Fill=—","Direction=H","UseDPDF=Y")</f>
        <v>#NAME?</v>
      </c>
      <c r="CN198" s="2" t="e">
        <f ca="1">_xll.BDH($C$178,"NET_DEBT_TO_SHRHLDR_EQTY","FY 2018","FY 2018","Currency=INR","Period=FY","BEST_FPERIOD_OVERRIDE=FY","FILING_STATUS=OR","EQY_CONSOLIDATED=Y","Sort=A","Dates=H","DateFormat=P","Fill=—","Direction=H","UseDPDF=Y")</f>
        <v>#NAME?</v>
      </c>
      <c r="CO198" s="2" t="e">
        <f ca="1">_xll.BDH($C$178,"NET_DEBT_%_CAPITAL","FY 2018","FY 2018","Currency=INR","Period=FY","BEST_FPERIOD_OVERRIDE=FY","FILING_STATUS=OR","EQY_CONSOLIDATED=Y","Sort=A","Dates=H","DateFormat=P","Fill=—","Direction=H","UseDPDF=Y")</f>
        <v>#NAME?</v>
      </c>
      <c r="CP198" s="3" t="e">
        <f ca="1">_xll.BDH($C$178,"EBITDA","FY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198" s="3" t="e">
        <f ca="1">_xll.BDH($C$178,"EBITDA_AFTER_CAPEX","FY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198" s="3" t="e">
        <f ca="1">_xll.BDH($C$178,"IS_OPER_INC","FY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198" s="2" t="e">
        <f ca="1">_xll.BDH($C$178,"CASH_RATIO","FY 2018","FY 2018","Currency=INR","Period=FY","BEST_FPERIOD_OVERRIDE=FY","FILING_STATUS=OR","EQY_CONSOLIDATED=Y","Sort=A","Dates=H","DateFormat=P","Fill=—","Direction=H","UseDPDF=Y")</f>
        <v>#NAME?</v>
      </c>
      <c r="CT198" s="2" t="e">
        <f ca="1">_xll.BDH($C$178,"CUR_RATIO","FY 2018","FY 2018","Currency=INR","Period=FY","BEST_FPERIOD_OVERRIDE=FY","FILING_STATUS=OR","EQY_CONSOLIDATED=Y","Sort=A","Dates=H","DateFormat=P","Fill=—","Direction=H","UseDPDF=Y")</f>
        <v>#NAME?</v>
      </c>
      <c r="CU198" s="2" t="e">
        <f ca="1">_xll.BDH($C$178,"QUICK_RATIO","FY 2018","FY 2018","Currency=INR","Period=FY","BEST_FPERIOD_OVERRIDE=FY","FILING_STATUS=OR","EQY_CONSOLIDATED=Y","Sort=A","Dates=H","DateFormat=P","Fill=—","Direction=H","UseDPDF=Y")</f>
        <v>#NAME?</v>
      </c>
      <c r="CV198" s="2" t="e">
        <f ca="1">_xll.BDH($C$178,"ALTMAN_Z_SCORE","FY 2018","FY 2018","Currency=INR","Period=FY","BEST_FPERIOD_OVERRIDE=FY","FILING_STATUS=OR","EQY_CONSOLIDATED=Y","Sort=A","Dates=H","DateFormat=P","Fill=—","Direction=H","UseDPDF=Y")</f>
        <v>#NAME?</v>
      </c>
      <c r="CW198" s="4" t="e">
        <f ca="1">_xll.BDH($C$178,"ACCT_RCV_TURN","FY 2018","FY 2018","Currency=INR","Period=FY","BEST_FPERIOD_OVERRIDE=FY","FILING_STATUS=OR","EQY_CONSOLIDATED=Y","FA_ADJUSTED=GAAP","Sort=A","Dates=H","DateFormat=P","Fill=—","Direction=H","UseDPDF=Y")</f>
        <v>#NAME?</v>
      </c>
      <c r="CX198" s="2" t="e">
        <f ca="1">_xll.BDH($C$178,"ACCT_RCV_DAYS","FY 2018","FY 2018","Currency=INR","Period=FY","BEST_FPERIOD_OVERRIDE=FY","FILING_STATUS=OR","EQY_CONSOLIDATED=Y","FA_ADJUSTED=GAAP","Sort=A","Dates=H","DateFormat=P","Fill=—","Direction=H","UseDPDF=Y")</f>
        <v>#NAME?</v>
      </c>
      <c r="CY198" s="4" t="e">
        <f ca="1">_xll.BDH($C$178,"INVENT_TURN","FY 2018","FY 2018","Currency=INR","Period=FY","BEST_FPERIOD_OVERRIDE=FY","FILING_STATUS=OR","EQY_CONSOLIDATED=Y","FA_ADJUSTED=GAAP","Sort=A","Dates=H","DateFormat=P","Fill=—","Direction=H","UseDPDF=Y")</f>
        <v>#NAME?</v>
      </c>
      <c r="CZ198" s="2" t="e">
        <f ca="1">_xll.BDH($C$178,"INVENT_DAYS","FY 2018","FY 2018","Currency=INR","Period=FY","BEST_FPERIOD_OVERRIDE=FY","FILING_STATUS=OR","EQY_CONSOLIDATED=Y","FA_ADJUSTED=GAAP","Sort=A","Dates=H","DateFormat=P","Fill=—","Direction=H","UseDPDF=Y")</f>
        <v>#NAME?</v>
      </c>
      <c r="DA198" s="4" t="e">
        <f ca="1">_xll.BDH($C$178,"ACCOUNTS_PAYABLE_TURNOVER","FY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198" s="2" t="e">
        <f ca="1">_xll.BDH($C$178,"ACCOUNTS_PAYABLE_TURNOVER_DAYS","FY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198" s="4" t="e">
        <f ca="1">_xll.BDH($C$178,"CASH_CONVERSION_CYCLE","FY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198" s="4" t="e">
        <f ca="1">_xll.BDH($C$178,"INV_TO_CASH_DAYS","FY 2018","FY 2018","Currency=INR","Period=FY","BEST_FPERIOD_OVERRIDE=FY","FILING_STATUS=OR","EQY_CONSOLIDATED=Y","FA_ADJUSTED=GAAP","Sort=A","Dates=H","DateFormat=P","Fill=—","Direction=H","UseDPDF=Y")</f>
        <v>#NAME?</v>
      </c>
      <c r="DE198" s="5" t="e">
        <f ca="1">_xll.BDH($C$178,"BS_INVENTORIES","FY 2018","FY 2018","Currency=INR","Period=FY","BEST_FPERIOD_OVERRIDE=FY","FILING_STATUS=OR","EQY_CONSOLIDATED=Y","SCALING_FORMAT=MLN","Sort=A","Dates=H","DateFormat=P","Fill=—","Direction=H","UseDPDF=Y")</f>
        <v>#NAME?</v>
      </c>
      <c r="DF198" s="3" t="e">
        <f ca="1">_xll.BDH($C$178,"INVTRY_RAW_MATERIALS","FY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198" s="3" t="e">
        <f ca="1">_xll.BDH($C$178,"INVTRY_IN_PROGRESS","FY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198" s="3" t="e">
        <f ca="1">_xll.BDH($C$178,"INVTRY_FINISHED_GOODS","FY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198" s="3" t="e">
        <f ca="1">_xll.BDH($C$178,"BS_OTHER_INV","FY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199" spans="1:113" x14ac:dyDescent="0.3">
      <c r="A199" s="6"/>
      <c r="B199" s="6"/>
      <c r="C199" s="6"/>
      <c r="D199" s="6"/>
      <c r="E199" t="s">
        <v>78</v>
      </c>
      <c r="F199" t="e">
        <f ca="1">_xll.BDH($C$178,"RETURN_COM_EQY","FQ1 2018","FQ1 2018","Currency=INR","Period=FQ","BEST_FPERIOD_OVERRIDE=FQ","FILING_STATUS=OR","EQY_CONSOLIDATED=Y","FA_ADJUSTED=GAAP","Sort=A","Dates=H","DateFormat=P","Fill=—","Direction=H","UseDPDF=Y")</f>
        <v>#NAME?</v>
      </c>
      <c r="G199" t="e">
        <f ca="1">_xll.BDH($C$178,"RETURN_ON_ASSET","FQ1 2018","FQ1 2018","Currency=INR","Period=FQ","BEST_FPERIOD_OVERRIDE=FQ","FILING_STATUS=OR","EQY_CONSOLIDATED=Y","FA_ADJUSTED=GAAP","Sort=A","Dates=H","DateFormat=P","Fill=—","Direction=H","UseDPDF=Y")</f>
        <v>#NAME?</v>
      </c>
      <c r="H199" t="e">
        <f ca="1">_xll.BDH($C$178,"RETURN_ON_CAP","FQ1 2018","FQ1 2018","Currency=INR","Period=FQ","BEST_FPERIOD_OVERRIDE=FQ","FILING_STATUS=OR","EQY_CONSOLIDATED=Y","FA_ADJUSTED=GAAP","Sort=A","Dates=H","DateFormat=P","Fill=—","Direction=H","UseDPDF=Y")</f>
        <v>#NAME?</v>
      </c>
      <c r="I199" t="e">
        <f ca="1">_xll.BDH($C$178,"RETURN_ON_INV_CAPITAL","FQ1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199" t="e">
        <f ca="1">_xll.BDH($C$178,"EBITDA_TO_REVENUE","FQ1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199" t="e">
        <f ca="1">_xll.BDH($C$178,"OPER_MARGIN","FQ1 2018","FQ1 2018","Currency=INR","Period=FQ","BEST_FPERIOD_OVERRIDE=FQ","FILING_STATUS=OR","EQY_CONSOLIDATED=Y","FA_ADJUSTED=GAAP","Sort=A","Dates=H","DateFormat=P","Fill=—","Direction=H","UseDPDF=Y")</f>
        <v>#NAME?</v>
      </c>
      <c r="L199" t="e">
        <f ca="1">_xll.BDH($C$178,"INCREMENTAL_OPERATING_MARGIN","FQ1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199" t="e">
        <f ca="1">_xll.BDH($C$178,"PRETAX_INC_TO_NET_SALES","FQ1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199" t="e">
        <f ca="1">_xll.BDH($C$178,"INC_BEF_XO_ITEMS_TO_NET_SALES","FQ1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199" t="e">
        <f ca="1">_xll.BDH($C$178,"PROF_MARGIN","FQ1 2018","FQ1 2018","Currency=INR","Period=FQ","BEST_FPERIOD_OVERRIDE=FQ","FILING_STATUS=OR","EQY_CONSOLIDATED=Y","FA_ADJUSTED=GAAP","Sort=A","Dates=H","DateFormat=P","Fill=—","Direction=H","UseDPDF=Y")</f>
        <v>#NAME?</v>
      </c>
      <c r="P199" t="e">
        <f ca="1">_xll.BDH($C$178,"NET_INCOME_TO_COMMON_MARGIN","FQ1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199" t="e">
        <f ca="1">_xll.BDH($C$178,"EFF_TAX_RATE","FQ1 2018","FQ1 2018","Currency=INR","Period=FQ","BEST_FPERIOD_OVERRIDE=FQ","FILING_STATUS=OR","EQY_CONSOLIDATED=Y","FA_ADJUSTED=GAAP","Sort=A","Dates=H","DateFormat=P","Fill=—","Direction=H","UseDPDF=Y")</f>
        <v>#NAME?</v>
      </c>
      <c r="R199" t="e">
        <f ca="1">_xll.BDH($C$178,"DVD_PAYOUT_RATIO","FQ1 2018","FQ1 2018","Currency=INR","Period=FQ","BEST_FPERIOD_OVERRIDE=FQ","FILING_STATUS=OR","EQY_CONSOLIDATED=Y","FA_ADJUSTED=GAAP","Sort=A","Dates=H","DateFormat=P","Fill=—","Direction=H","UseDPDF=Y")</f>
        <v>#NAME?</v>
      </c>
      <c r="S199" t="e">
        <f ca="1">_xll.BDH($C$178,"SUSTAIN_GROWTH_RT","FQ1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199" s="2" t="e">
        <f ca="1">_xll.BDH($C$178,"SALES_GROWTH","FQ1 2018","FQ1 2018","Currency=INR","Period=FQ","BEST_FPERIOD_OVERRIDE=FQ","FILING_STATUS=OR","EQY_CONSOLIDATED=Y","FA_ADJUSTED=GAAP","Sort=A","Dates=H","DateFormat=P","Fill=—","Direction=H","UseDPDF=Y")</f>
        <v>#NAME?</v>
      </c>
      <c r="U199" s="2" t="e">
        <f ca="1">_xll.BDH($C$178,"EBITDA_GROWTH","FQ1 2018","FQ1 2018","Currency=INR","Period=FQ","BEST_FPERIOD_OVERRIDE=FQ","FILING_STATUS=OR","EQY_CONSOLIDATED=Y","FA_ADJUSTED=GAAP","Sort=A","Dates=H","DateFormat=P","Fill=—","Direction=H","UseDPDF=Y")</f>
        <v>#NAME?</v>
      </c>
      <c r="V199" s="2" t="e">
        <f ca="1">_xll.BDH($C$178,"OPER_INC_GROWTH","FQ1 2018","FQ1 2018","Currency=INR","Period=FQ","BEST_FPERIOD_OVERRIDE=FQ","FILING_STATUS=OR","EQY_CONSOLIDATED=Y","FA_ADJUSTED=GAAP","Sort=A","Dates=H","DateFormat=P","Fill=—","Direction=H","UseDPDF=Y")</f>
        <v>#NAME?</v>
      </c>
      <c r="W199" s="2" t="e">
        <f ca="1">_xll.BDH($C$178,"EARN_FOR_COM_GROWTH","FQ1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199" s="2" t="e">
        <f ca="1">_xll.BDH($C$178,"DILUTED_EPS_AFT_XO_ITEMS_GROWTH","FQ1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199" s="2" t="e">
        <f ca="1">_xll.BDH($C$178,"DIVIDEND_PER_SHARE_1_YEAR_GROWTH","FQ1 2018","FQ1 2018","Currency=INR","Period=FQ","BEST_FPERIOD_OVERRIDE=FQ","FILING_STATUS=OR","EQY_CONSOLIDATED=Y","Sort=A","Dates=H","DateFormat=P","Fill=—","Direction=H","UseDPDF=Y")</f>
        <v>#NAME?</v>
      </c>
      <c r="Z199" s="2" t="e">
        <f ca="1">_xll.BDH($C$178,"ACCOUNTS_RECEIVABLE_GROWTH","FQ1 2018","FQ1 2018","Currency=INR","Period=FQ","BEST_FPERIOD_OVERRIDE=FQ","FILING_STATUS=OR","EQY_CONSOLIDATED=Y","Sort=A","Dates=H","DateFormat=P","Fill=—","Direction=H","UseDPDF=Y")</f>
        <v>#NAME?</v>
      </c>
      <c r="AA199" s="2" t="e">
        <f ca="1">_xll.BDH($C$178,"INVENTORY_GROWTH","FQ1 2018","FQ1 2018","Currency=INR","Period=FQ","BEST_FPERIOD_OVERRIDE=FQ","FILING_STATUS=OR","EQY_CONSOLIDATED=Y","Sort=A","Dates=H","DateFormat=P","Fill=—","Direction=H","UseDPDF=Y")</f>
        <v>#NAME?</v>
      </c>
      <c r="AB199" s="2" t="e">
        <f ca="1">_xll.BDH($C$178,"NET_FIXED_ASSETS_1_YEAR_GROWTH","FQ1 2018","FQ1 2018","Currency=INR","Period=FQ","BEST_FPERIOD_OVERRIDE=FQ","FILING_STATUS=OR","EQY_CONSOLIDATED=Y","Sort=A","Dates=H","DateFormat=P","Fill=—","Direction=H","UseDPDF=Y")</f>
        <v>#NAME?</v>
      </c>
      <c r="AC199" s="2" t="e">
        <f ca="1">_xll.BDH($C$178,"ASSET_GROWTH","FQ1 2018","FQ1 2018","Currency=INR","Period=FQ","BEST_FPERIOD_OVERRIDE=FQ","FILING_STATUS=OR","EQY_CONSOLIDATED=Y","Sort=A","Dates=H","DateFormat=P","Fill=—","Direction=H","UseDPDF=Y")</f>
        <v>#NAME?</v>
      </c>
      <c r="AD199" s="2" t="e">
        <f ca="1">_xll.BDH($C$178,"MODIFIED_WORK_CAP_GROWTH","FQ1 2018","FQ1 2018","Currency=INR","Period=FQ","BEST_FPERIOD_OVERRIDE=FQ","FILING_STATUS=OR","EQY_CONSOLIDATED=Y","Sort=A","Dates=H","DateFormat=P","Fill=—","Direction=H","UseDPDF=Y")</f>
        <v>#NAME?</v>
      </c>
      <c r="AE199" s="2" t="e">
        <f ca="1">_xll.BDH($C$178,"WORK_CAP_GROWTH","FQ1 2018","FQ1 2018","Currency=INR","Period=FQ","BEST_FPERIOD_OVERRIDE=FQ","FILING_STATUS=OR","EQY_CONSOLIDATED=Y","Sort=A","Dates=H","DateFormat=P","Fill=—","Direction=H","UseDPDF=Y")</f>
        <v>#NAME?</v>
      </c>
      <c r="AF199" s="2" t="e">
        <f ca="1">_xll.BDH($C$178,"ACCOUNTS_PAYABLE_GROWTH_1YR","FQ1 2018","FQ1 2018","Currency=INR","Period=FQ","BEST_FPERIOD_OVERRIDE=FQ","FILING_STATUS=OR","EQY_CONSOLIDATED=Y","Sort=A","Dates=H","DateFormat=P","Fill=—","Direction=H","UseDPDF=Y")</f>
        <v>#NAME?</v>
      </c>
      <c r="AG199" s="2" t="e">
        <f ca="1">_xll.BDH($C$178,"SHORT_TERM_DEBT_1_YEAR_GROWTH","FQ1 2018","FQ1 2018","Currency=INR","Period=FQ","BEST_FPERIOD_OVERRIDE=FQ","FILING_STATUS=OR","EQY_CONSOLIDATED=Y","Sort=A","Dates=H","DateFormat=P","Fill=—","Direction=H","UseDPDF=Y")</f>
        <v>#NAME?</v>
      </c>
      <c r="AH199" s="2" t="e">
        <f ca="1">_xll.BDH($C$178,"TOTAL_DEBT_1_YEAR_GROWTH","FQ1 2018","FQ1 2018","Currency=INR","Period=FQ","BEST_FPERIOD_OVERRIDE=FQ","FILING_STATUS=OR","EQY_CONSOLIDATED=Y","Sort=A","Dates=H","DateFormat=P","Fill=—","Direction=H","UseDPDF=Y")</f>
        <v>#NAME?</v>
      </c>
      <c r="AI199" s="2" t="e">
        <f ca="1">_xll.BDH($C$178,"TOTAL_EQUITY_1_YEAR_GROWTH","FQ1 2018","FQ1 2018","Currency=INR","Period=FQ","BEST_FPERIOD_OVERRIDE=FQ","FILING_STATUS=OR","EQY_CONSOLIDATED=Y","Sort=A","Dates=H","DateFormat=P","Fill=—","Direction=H","UseDPDF=Y")</f>
        <v>#NAME?</v>
      </c>
      <c r="AJ199" s="2" t="e">
        <f ca="1">_xll.BDH($C$178,"GROWTH_IN_CAP","FQ1 2018","FQ1 2018","Currency=INR","Period=FQ","BEST_FPERIOD_OVERRIDE=FQ","FILING_STATUS=OR","EQY_CONSOLIDATED=Y","Sort=A","Dates=H","DateFormat=P","Fill=—","Direction=H","UseDPDF=Y")</f>
        <v>#NAME?</v>
      </c>
      <c r="AK199" s="2" t="e">
        <f ca="1">_xll.BDH($C$178,"BVPS_GROWTH","FQ1 2018","FQ1 2018","Currency=INR","Period=FQ","BEST_FPERIOD_OVERRIDE=FQ","FILING_STATUS=OR","EQY_CONSOLIDATED=Y","Sort=A","Dates=H","DateFormat=P","Fill=—","Direction=H","UseDPDF=Y")</f>
        <v>#NAME?</v>
      </c>
      <c r="AL199" s="2" t="e">
        <f ca="1">_xll.BDH($C$178,"CASH_FLOW_GROWTH","FQ1 2018","FQ1 2018","Currency=INR","Period=FQ","BEST_FPERIOD_OVERRIDE=FQ","FILING_STATUS=OR","EQY_CONSOLIDATED=Y","Sort=A","Dates=H","DateFormat=P","Fill=—","Direction=H","UseDPDF=Y")</f>
        <v>#NAME?</v>
      </c>
      <c r="AM199" s="2" t="e">
        <f ca="1">_xll.BDH($C$178,"GEO_GROW_NET_SALES","FQ1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199" s="2" t="e">
        <f ca="1">_xll.BDH($C$178,"GEO_GROW_EBITDA","FQ1 2018","FQ1 2018","Currency=INR","Period=FQ","BEST_FPERIOD_OVERRIDE=FQ","FILING_STATUS=OR","EQY_CONSOLIDATED=Y","FA_ADJUSTED=GAAP","Sort=A","Dates=H","DateFormat=P","Fill=—","Direction=H","UseDPDF=Y")</f>
        <v>#NAME?</v>
      </c>
      <c r="AO199" s="2" t="e">
        <f ca="1">_xll.BDH($C$178,"GEO_GROW_OPER_INC","FQ1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199" s="2" t="e">
        <f ca="1">_xll.BDH($C$178,"NET_INCOME_TO_COMMON_5_YR_GROWTH","FQ1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199" s="2" t="e">
        <f ca="1">_xll.BDH($C$178,"5Y_GEO_GROWTH_DILUTED_EPS","FQ1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199" s="2" t="e">
        <f ca="1">_xll.BDH($C$178,"GEO_GROW_DVD_PER_SH","FQ1 2018","FQ1 2018","Currency=INR","Period=FQ","BEST_FPERIOD_OVERRIDE=FQ","FILING_STATUS=OR","EQY_CONSOLIDATED=Y","Sort=A","Dates=H","DateFormat=P","Fill=—","Direction=H","UseDPDF=Y")</f>
        <v>#NAME?</v>
      </c>
      <c r="AS199" s="2" t="e">
        <f ca="1">_xll.BDH($C$178,"ACCOUNTS_RECEIVABLE_5_YR_GROWTH","FQ1 2018","FQ1 2018","Currency=INR","Period=FQ","BEST_FPERIOD_OVERRIDE=FQ","FILING_STATUS=OR","EQY_CONSOLIDATED=Y","Sort=A","Dates=H","DateFormat=P","Fill=—","Direction=H","UseDPDF=Y")</f>
        <v>#NAME?</v>
      </c>
      <c r="AT199" s="2" t="e">
        <f ca="1">_xll.BDH($C$178,"INVENTORY_5_YEAR_GROWTH","FQ1 2018","FQ1 2018","Currency=INR","Period=FQ","BEST_FPERIOD_OVERRIDE=FQ","FILING_STATUS=OR","EQY_CONSOLIDATED=Y","Sort=A","Dates=H","DateFormat=P","Fill=—","Direction=H","UseDPDF=Y")</f>
        <v>#NAME?</v>
      </c>
      <c r="AU199" s="2" t="e">
        <f ca="1">_xll.BDH($C$178,"NET_FIXED_ASSETS_5_YEAR_GROWTH","FQ1 2018","FQ1 2018","Currency=INR","Period=FQ","BEST_FPERIOD_OVERRIDE=FQ","FILING_STATUS=OR","EQY_CONSOLIDATED=Y","Sort=A","Dates=H","DateFormat=P","Fill=—","Direction=H","UseDPDF=Y")</f>
        <v>#NAME?</v>
      </c>
      <c r="AV199" s="2" t="e">
        <f ca="1">_xll.BDH($C$178,"GEO_GROW_TOT_ASSET","FQ1 2018","FQ1 2018","Currency=INR","Period=FQ","BEST_FPERIOD_OVERRIDE=FQ","FILING_STATUS=OR","EQY_CONSOLIDATED=Y","Sort=A","Dates=H","DateFormat=P","Fill=—","Direction=H","UseDPDF=Y")</f>
        <v>#NAME?</v>
      </c>
      <c r="AW199" s="2" t="e">
        <f ca="1">_xll.BDH($C$178,"MODIFIED_WORKING_CPTL_5YR_GRWTH","FQ1 2018","FQ1 2018","Currency=INR","Period=FQ","BEST_FPERIOD_OVERRIDE=FQ","FILING_STATUS=OR","EQY_CONSOLIDATED=Y","Sort=A","Dates=H","DateFormat=P","Fill=—","Direction=H","UseDPDF=Y")</f>
        <v>#NAME?</v>
      </c>
      <c r="AX199" s="2" t="e">
        <f ca="1">_xll.BDH($C$178,"WORKING_CAPITAL_5_YEAR_GROWTH","FQ1 2018","FQ1 2018","Currency=INR","Period=FQ","BEST_FPERIOD_OVERRIDE=FQ","FILING_STATUS=OR","EQY_CONSOLIDATED=Y","Sort=A","Dates=H","DateFormat=P","Fill=—","Direction=H","UseDPDF=Y")</f>
        <v>#NAME?</v>
      </c>
      <c r="AY199" s="2" t="e">
        <f ca="1">_xll.BDH($C$178,"ACCOUNTS_PAYABLE_5_YEAR_GROWTH","FQ1 2018","FQ1 2018","Currency=INR","Period=FQ","BEST_FPERIOD_OVERRIDE=FQ","FILING_STATUS=OR","EQY_CONSOLIDATED=Y","Sort=A","Dates=H","DateFormat=P","Fill=—","Direction=H","UseDPDF=Y")</f>
        <v>#NAME?</v>
      </c>
      <c r="AZ199" s="2" t="e">
        <f ca="1">_xll.BDH($C$178,"SHORT_TERM_DEBT_5_YEAR_GROWTH","FQ1 2018","FQ1 2018","Currency=INR","Period=FQ","BEST_FPERIOD_OVERRIDE=FQ","FILING_STATUS=OR","EQY_CONSOLIDATED=Y","Sort=A","Dates=H","DateFormat=P","Fill=—","Direction=H","UseDPDF=Y")</f>
        <v>#NAME?</v>
      </c>
      <c r="BA199" s="2" t="e">
        <f ca="1">_xll.BDH($C$178,"TOTAL_DEBT_5_YEAR_GROWTH","FQ1 2018","FQ1 2018","Currency=INR","Period=FQ","BEST_FPERIOD_OVERRIDE=FQ","FILING_STATUS=OR","EQY_CONSOLIDATED=Y","Sort=A","Dates=H","DateFormat=P","Fill=—","Direction=H","UseDPDF=Y")</f>
        <v>#NAME?</v>
      </c>
      <c r="BB199" s="2" t="e">
        <f ca="1">_xll.BDH($C$178,"GEO_GROW_TOT_SHRHLDR_EQY","FQ1 2018","FQ1 2018","Currency=INR","Period=FQ","BEST_FPERIOD_OVERRIDE=FQ","FILING_STATUS=OR","EQY_CONSOLIDATED=Y","Sort=A","Dates=H","DateFormat=P","Fill=—","Direction=H","UseDPDF=Y")</f>
        <v>#NAME?</v>
      </c>
      <c r="BC199" s="2" t="e">
        <f ca="1">_xll.BDH($C$178,"TOTAL_CAPITAL_5_YEAR_GROWTH","FQ1 2018","FQ1 2018","Currency=INR","Period=FQ","BEST_FPERIOD_OVERRIDE=FQ","FILING_STATUS=OR","EQY_CONSOLIDATED=Y","Sort=A","Dates=H","DateFormat=P","Fill=—","Direction=H","UseDPDF=Y")</f>
        <v>#NAME?</v>
      </c>
      <c r="BD199" s="2" t="e">
        <f ca="1">_xll.BDH($C$178,"GEO_GROW_BOOK_VAL","FQ1 2018","FQ1 2018","Currency=INR","Period=FQ","BEST_FPERIOD_OVERRIDE=FQ","FILING_STATUS=OR","EQY_CONSOLIDATED=Y","Sort=A","Dates=H","DateFormat=P","Fill=—","Direction=H","UseDPDF=Y")</f>
        <v>#NAME?</v>
      </c>
      <c r="BE199" s="2" t="e">
        <f ca="1">_xll.BDH($C$178,"GEO_GROW_CASH_OPER_ACT","FQ1 2018","FQ1 2018","Currency=INR","Period=FQ","BEST_FPERIOD_OVERRIDE=FQ","FILING_STATUS=OR","EQY_CONSOLIDATED=Y","Sort=A","Dates=H","DateFormat=P","Fill=—","Direction=H","UseDPDF=Y")</f>
        <v>#NAME?</v>
      </c>
      <c r="BF199" s="2" t="e">
        <f ca="1">_xll.BDH($C$178,"REVENUE_SEQUENTIAL_GROWTH","FQ1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199" s="2" t="e">
        <f ca="1">_xll.BDH($C$178,"EBITDA_SEQUENTIAL_GROWTH","FQ1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199" s="2" t="e">
        <f ca="1">_xll.BDH($C$178,"OPERATING_INCOME_SEQ_GROWTH","FQ1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199" s="2" t="e">
        <f ca="1">_xll.BDH($C$178,"NET_INCOME_TO_COMMON_SEQ_GROWTH","FQ1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199" s="2" t="e">
        <f ca="1">_xll.BDH($C$178,"EPS_DILUTED_SEQUENTIAL_GROWTH","FQ1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199" s="2" t="e">
        <f ca="1">_xll.BDH($C$178,"DPS_SEQUENTIAL_GROWTH","FQ1 2018","FQ1 2018","Currency=INR","Period=FQ","BEST_FPERIOD_OVERRIDE=FQ","FILING_STATUS=OR","EQY_CONSOLIDATED=Y","Sort=A","Dates=H","DateFormat=P","Fill=—","Direction=H","UseDPDF=Y")</f>
        <v>#NAME?</v>
      </c>
      <c r="BL199" s="2" t="e">
        <f ca="1">_xll.BDH($C$178,"ACCOUNTS_RECEIVABLE_SEQ_GROWTH","FQ1 2018","FQ1 2018","Currency=INR","Period=FQ","BEST_FPERIOD_OVERRIDE=FQ","FILING_STATUS=OR","EQY_CONSOLIDATED=Y","Sort=A","Dates=H","DateFormat=P","Fill=—","Direction=H","UseDPDF=Y")</f>
        <v>#NAME?</v>
      </c>
      <c r="BM199" s="2" t="e">
        <f ca="1">_xll.BDH($C$178,"INVENTORY_SEQUENTIAL_GROWTH","FQ1 2018","FQ1 2018","Currency=INR","Period=FQ","BEST_FPERIOD_OVERRIDE=FQ","FILING_STATUS=OR","EQY_CONSOLIDATED=Y","Sort=A","Dates=H","DateFormat=P","Fill=—","Direction=H","UseDPDF=Y")</f>
        <v>#NAME?</v>
      </c>
      <c r="BN199" s="2" t="e">
        <f ca="1">_xll.BDH($C$178,"FIXED_ASSETS_SEQUENTIAL_GROWTH","FQ1 2018","FQ1 2018","Currency=INR","Period=FQ","BEST_FPERIOD_OVERRIDE=FQ","FILING_STATUS=OR","EQY_CONSOLIDATED=Y","Sort=A","Dates=H","DateFormat=P","Fill=—","Direction=H","UseDPDF=Y")</f>
        <v>#NAME?</v>
      </c>
      <c r="BO199" s="2" t="e">
        <f ca="1">_xll.BDH($C$178,"TOTAL_ASSETS_SEQUENTIAL_GROWTH","FQ1 2018","FQ1 2018","Currency=INR","Period=FQ","BEST_FPERIOD_OVERRIDE=FQ","FILING_STATUS=OR","EQY_CONSOLIDATED=Y","Sort=A","Dates=H","DateFormat=P","Fill=—","Direction=H","UseDPDF=Y")</f>
        <v>#NAME?</v>
      </c>
      <c r="BP199" s="2" t="e">
        <f ca="1">_xll.BDH($C$178,"MODIFIED_WORKING_CPTL_SEQ_GRWTH","FQ1 2018","FQ1 2018","Currency=INR","Period=FQ","BEST_FPERIOD_OVERRIDE=FQ","FILING_STATUS=OR","EQY_CONSOLIDATED=Y","Sort=A","Dates=H","DateFormat=P","Fill=—","Direction=H","UseDPDF=Y")</f>
        <v>#NAME?</v>
      </c>
      <c r="BQ199" s="2" t="e">
        <f ca="1">_xll.BDH($C$178,"WORKING_CAPITAL_SEQ_GROWTH","FQ1 2018","FQ1 2018","Currency=INR","Period=FQ","BEST_FPERIOD_OVERRIDE=FQ","FILING_STATUS=OR","EQY_CONSOLIDATED=Y","Sort=A","Dates=H","DateFormat=P","Fill=—","Direction=H","UseDPDF=Y")</f>
        <v>#NAME?</v>
      </c>
      <c r="BR199" s="2" t="e">
        <f ca="1">_xll.BDH($C$178,"ACCOUNTS_PAYABLE_SEQ_GROWTH","FQ1 2018","FQ1 2018","Currency=INR","Period=FQ","BEST_FPERIOD_OVERRIDE=FQ","FILING_STATUS=OR","EQY_CONSOLIDATED=Y","Sort=A","Dates=H","DateFormat=P","Fill=—","Direction=H","UseDPDF=Y")</f>
        <v>#NAME?</v>
      </c>
      <c r="BS199" s="2" t="e">
        <f ca="1">_xll.BDH($C$178,"ST_DEBT_SEQUENTIAL_GROWTH","FQ1 2018","FQ1 2018","Currency=INR","Period=FQ","BEST_FPERIOD_OVERRIDE=FQ","FILING_STATUS=OR","EQY_CONSOLIDATED=Y","Sort=A","Dates=H","DateFormat=P","Fill=—","Direction=H","UseDPDF=Y")</f>
        <v>#NAME?</v>
      </c>
      <c r="BT199" s="2" t="e">
        <f ca="1">_xll.BDH($C$178,"TOTAL_DEBT_SEQUENTIAL_GROWTH","FQ1 2018","FQ1 2018","Currency=INR","Period=FQ","BEST_FPERIOD_OVERRIDE=FQ","FILING_STATUS=OR","EQY_CONSOLIDATED=Y","Sort=A","Dates=H","DateFormat=P","Fill=—","Direction=H","UseDPDF=Y")</f>
        <v>#NAME?</v>
      </c>
      <c r="BU199" s="2" t="e">
        <f ca="1">_xll.BDH($C$178,"TOTAL_EQUITY_SEQUENTIAL_GROWTH","FQ1 2018","FQ1 2018","Currency=INR","Period=FQ","BEST_FPERIOD_OVERRIDE=FQ","FILING_STATUS=OR","EQY_CONSOLIDATED=Y","Sort=A","Dates=H","DateFormat=P","Fill=—","Direction=H","UseDPDF=Y")</f>
        <v>#NAME?</v>
      </c>
      <c r="BV199" s="2" t="e">
        <f ca="1">_xll.BDH($C$178,"TOTAL_CAPITAL_SEQUENTIAL_GROWTH","FQ1 2018","FQ1 2018","Currency=INR","Period=FQ","BEST_FPERIOD_OVERRIDE=FQ","FILING_STATUS=OR","EQY_CONSOLIDATED=Y","Sort=A","Dates=H","DateFormat=P","Fill=—","Direction=H","UseDPDF=Y")</f>
        <v>#NAME?</v>
      </c>
      <c r="BW199" s="2" t="e">
        <f ca="1">_xll.BDH($C$178,"BPS_SEQUENTIAL_GROWTH","FQ1 2018","FQ1 2018","Currency=INR","Period=FQ","BEST_FPERIOD_OVERRIDE=FQ","FILING_STATUS=OR","EQY_CONSOLIDATED=Y","Sort=A","Dates=H","DateFormat=P","Fill=—","Direction=H","UseDPDF=Y")</f>
        <v>#NAME?</v>
      </c>
      <c r="BX199" s="2" t="e">
        <f ca="1">_xll.BDH($C$178,"CFO_SEQUENTIAL_GROWTH","FQ1 2018","FQ1 2018","Currency=INR","Period=FQ","BEST_FPERIOD_OVERRIDE=FQ","FILING_STATUS=OR","EQY_CONSOLIDATED=Y","Sort=A","Dates=H","DateFormat=P","Fill=—","Direction=H","UseDPDF=Y")</f>
        <v>#NAME?</v>
      </c>
      <c r="BY199" s="3" t="e">
        <f ca="1">_xll.BDH($C$178,"SHORT_AND_LONG_TERM_DEBT","FQ1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199" s="3" t="e">
        <f ca="1">_xll.BDH($C$178,"BS_ST_BORROW","FQ1 2018","FQ1 2018","Currency=INR","Period=FQ","BEST_FPERIOD_OVERRIDE=FQ","FILING_STATUS=OR","EQY_CONSOLIDATED=Y","SCALING_FORMAT=MLN","Sort=A","Dates=H","DateFormat=P","Fill=—","Direction=H","UseDPDF=Y")</f>
        <v>#NAME?</v>
      </c>
      <c r="CA199" s="3" t="e">
        <f ca="1">_xll.BDH($C$178,"BS_LT_BORROW","FQ1 2018","FQ1 2018","Currency=INR","Period=FQ","BEST_FPERIOD_OVERRIDE=FQ","FILING_STATUS=OR","EQY_CONSOLIDATED=Y","SCALING_FORMAT=MLN","Sort=A","Dates=H","DateFormat=P","Fill=—","Direction=H","UseDPDF=Y")</f>
        <v>#NAME?</v>
      </c>
      <c r="CB199" s="2" t="e">
        <f ca="1">_xll.BDH($C$178,"TOT_DEBT_TO_EBITDA","FQ1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199" s="2" t="e">
        <f ca="1">_xll.BDH($C$178,"NET_DEBT_TO_EBITDA","FQ1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199" s="2" t="e">
        <f ca="1">_xll.BDH($C$178,"TOTAL_DEBT_TO_EBIT","FQ1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199" s="2" t="e">
        <f ca="1">_xll.BDH($C$178,"NET_DEBT_TO_EBIT","FQ1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199" s="2" t="e">
        <f ca="1">_xll.BDH($C$178,"EBITDA_TO_INTEREST_EXPN","FQ1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199" s="2" t="e">
        <f ca="1">_xll.BDH($C$178,"COM_EQY_TO_TOT_ASSET","FQ1 2018","FQ1 2018","Currency=INR","Period=FQ","BEST_FPERIOD_OVERRIDE=FQ","FILING_STATUS=OR","EQY_CONSOLIDATED=Y","Sort=A","Dates=H","DateFormat=P","Fill=—","Direction=H","UseDPDF=Y")</f>
        <v>#NAME?</v>
      </c>
      <c r="CH199" s="2" t="e">
        <f ca="1">_xll.BDH($C$178,"LT_DEBT_TO_TOT_EQY","FQ1 2018","FQ1 2018","Currency=INR","Period=FQ","BEST_FPERIOD_OVERRIDE=FQ","FILING_STATUS=OR","EQY_CONSOLIDATED=Y","Sort=A","Dates=H","DateFormat=P","Fill=—","Direction=H","UseDPDF=Y")</f>
        <v>#NAME?</v>
      </c>
      <c r="CI199" s="2" t="e">
        <f ca="1">_xll.BDH($C$178,"LT_DEBT_TO_TOT_CAP","FQ1 2018","FQ1 2018","Currency=INR","Period=FQ","BEST_FPERIOD_OVERRIDE=FQ","FILING_STATUS=OR","EQY_CONSOLIDATED=Y","Sort=A","Dates=H","DateFormat=P","Fill=—","Direction=H","UseDPDF=Y")</f>
        <v>#NAME?</v>
      </c>
      <c r="CJ199" s="2" t="e">
        <f ca="1">_xll.BDH($C$178,"LT_DEBT_TO_TOT_ASSET","FQ1 2018","FQ1 2018","Currency=INR","Period=FQ","BEST_FPERIOD_OVERRIDE=FQ","FILING_STATUS=OR","EQY_CONSOLIDATED=Y","Sort=A","Dates=H","DateFormat=P","Fill=—","Direction=H","UseDPDF=Y")</f>
        <v>#NAME?</v>
      </c>
      <c r="CK199" s="2" t="e">
        <f ca="1">_xll.BDH($C$178,"TOT_DEBT_TO_TOT_EQY","FQ1 2018","FQ1 2018","Currency=INR","Period=FQ","BEST_FPERIOD_OVERRIDE=FQ","FILING_STATUS=OR","EQY_CONSOLIDATED=Y","Sort=A","Dates=H","DateFormat=P","Fill=—","Direction=H","UseDPDF=Y")</f>
        <v>#NAME?</v>
      </c>
      <c r="CL199" s="2" t="e">
        <f ca="1">_xll.BDH($C$178,"TOT_DEBT_TO_TOT_CAP","FQ1 2018","FQ1 2018","Currency=INR","Period=FQ","BEST_FPERIOD_OVERRIDE=FQ","FILING_STATUS=OR","EQY_CONSOLIDATED=Y","Sort=A","Dates=H","DateFormat=P","Fill=—","Direction=H","UseDPDF=Y")</f>
        <v>#NAME?</v>
      </c>
      <c r="CM199" s="2" t="e">
        <f ca="1">_xll.BDH($C$178,"TOT_DEBT_TO_TOT_ASSET","FQ1 2018","FQ1 2018","Currency=INR","Period=FQ","BEST_FPERIOD_OVERRIDE=FQ","FILING_STATUS=OR","EQY_CONSOLIDATED=Y","Sort=A","Dates=H","DateFormat=P","Fill=—","Direction=H","UseDPDF=Y")</f>
        <v>#NAME?</v>
      </c>
      <c r="CN199" s="2" t="e">
        <f ca="1">_xll.BDH($C$178,"NET_DEBT_TO_SHRHLDR_EQTY","FQ1 2018","FQ1 2018","Currency=INR","Period=FQ","BEST_FPERIOD_OVERRIDE=FQ","FILING_STATUS=OR","EQY_CONSOLIDATED=Y","Sort=A","Dates=H","DateFormat=P","Fill=—","Direction=H","UseDPDF=Y")</f>
        <v>#NAME?</v>
      </c>
      <c r="CO199" s="2" t="e">
        <f ca="1">_xll.BDH($C$178,"NET_DEBT_%_CAPITAL","FQ1 2018","FQ1 2018","Currency=INR","Period=FQ","BEST_FPERIOD_OVERRIDE=FQ","FILING_STATUS=OR","EQY_CONSOLIDATED=Y","Sort=A","Dates=H","DateFormat=P","Fill=—","Direction=H","UseDPDF=Y")</f>
        <v>#NAME?</v>
      </c>
      <c r="CP199" s="3" t="e">
        <f ca="1">_xll.BDH($C$178,"EBITDA","FQ1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199" s="3" t="e">
        <f ca="1">_xll.BDH($C$178,"EBITDA_AFTER_CAPEX","FQ1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199" s="3" t="e">
        <f ca="1">_xll.BDH($C$178,"IS_OPER_INC","FQ1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199" s="2" t="e">
        <f ca="1">_xll.BDH($C$178,"CASH_RATIO","FQ1 2018","FQ1 2018","Currency=INR","Period=FQ","BEST_FPERIOD_OVERRIDE=FQ","FILING_STATUS=OR","EQY_CONSOLIDATED=Y","Sort=A","Dates=H","DateFormat=P","Fill=—","Direction=H","UseDPDF=Y")</f>
        <v>#NAME?</v>
      </c>
      <c r="CT199" s="2" t="e">
        <f ca="1">_xll.BDH($C$178,"CUR_RATIO","FQ1 2018","FQ1 2018","Currency=INR","Period=FQ","BEST_FPERIOD_OVERRIDE=FQ","FILING_STATUS=OR","EQY_CONSOLIDATED=Y","Sort=A","Dates=H","DateFormat=P","Fill=—","Direction=H","UseDPDF=Y")</f>
        <v>#NAME?</v>
      </c>
      <c r="CU199" s="2" t="e">
        <f ca="1">_xll.BDH($C$178,"QUICK_RATIO","FQ1 2018","FQ1 2018","Currency=INR","Period=FQ","BEST_FPERIOD_OVERRIDE=FQ","FILING_STATUS=OR","EQY_CONSOLIDATED=Y","Sort=A","Dates=H","DateFormat=P","Fill=—","Direction=H","UseDPDF=Y")</f>
        <v>#NAME?</v>
      </c>
      <c r="CV199" s="2" t="e">
        <f ca="1">_xll.BDH($C$178,"ALTMAN_Z_SCORE","FQ1 2018","FQ1 2018","Currency=INR","Period=FQ","BEST_FPERIOD_OVERRIDE=FQ","FILING_STATUS=OR","EQY_CONSOLIDATED=Y","Sort=A","Dates=H","DateFormat=P","Fill=—","Direction=H","UseDPDF=Y")</f>
        <v>#NAME?</v>
      </c>
      <c r="CW199" s="4" t="e">
        <f ca="1">_xll.BDH($C$178,"ACCT_RCV_TURN","FQ1 2018","FQ1 2018","Currency=INR","Period=FQ","BEST_FPERIOD_OVERRIDE=FQ","FILING_STATUS=OR","EQY_CONSOLIDATED=Y","FA_ADJUSTED=GAAP","Sort=A","Dates=H","DateFormat=P","Fill=—","Direction=H","UseDPDF=Y")</f>
        <v>#NAME?</v>
      </c>
      <c r="CX199" s="2" t="e">
        <f ca="1">_xll.BDH($C$178,"ACCT_RCV_DAYS","FQ1 2018","FQ1 2018","Currency=INR","Period=FQ","BEST_FPERIOD_OVERRIDE=FQ","FILING_STATUS=OR","EQY_CONSOLIDATED=Y","FA_ADJUSTED=GAAP","Sort=A","Dates=H","DateFormat=P","Fill=—","Direction=H","UseDPDF=Y")</f>
        <v>#NAME?</v>
      </c>
      <c r="CY199" s="4" t="e">
        <f ca="1">_xll.BDH($C$178,"INVENT_TURN","FQ1 2018","FQ1 2018","Currency=INR","Period=FQ","BEST_FPERIOD_OVERRIDE=FQ","FILING_STATUS=OR","EQY_CONSOLIDATED=Y","FA_ADJUSTED=GAAP","Sort=A","Dates=H","DateFormat=P","Fill=—","Direction=H","UseDPDF=Y")</f>
        <v>#NAME?</v>
      </c>
      <c r="CZ199" s="2" t="e">
        <f ca="1">_xll.BDH($C$178,"INVENT_DAYS","FQ1 2018","FQ1 2018","Currency=INR","Period=FQ","BEST_FPERIOD_OVERRIDE=FQ","FILING_STATUS=OR","EQY_CONSOLIDATED=Y","FA_ADJUSTED=GAAP","Sort=A","Dates=H","DateFormat=P","Fill=—","Direction=H","UseDPDF=Y")</f>
        <v>#NAME?</v>
      </c>
      <c r="DA199" s="4" t="e">
        <f ca="1">_xll.BDH($C$178,"ACCOUNTS_PAYABLE_TURNOVER","FQ1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199" s="2" t="e">
        <f ca="1">_xll.BDH($C$178,"ACCOUNTS_PAYABLE_TURNOVER_DAYS","FQ1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199" s="4" t="e">
        <f ca="1">_xll.BDH($C$178,"CASH_CONVERSION_CYCLE","FQ1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199" s="4" t="e">
        <f ca="1">_xll.BDH($C$178,"INV_TO_CASH_DAYS","FQ1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199" s="5" t="e">
        <f ca="1">_xll.BDH($C$178,"BS_INVENTORIES","FQ1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199" s="3" t="e">
        <f ca="1">_xll.BDH($C$178,"INVTRY_RAW_MATERIALS","FQ1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199" s="3" t="e">
        <f ca="1">_xll.BDH($C$178,"INVTRY_IN_PROGRESS","FQ1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199" s="3" t="e">
        <f ca="1">_xll.BDH($C$178,"INVTRY_FINISHED_GOODS","FQ1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199" s="3" t="e">
        <f ca="1">_xll.BDH($C$178,"BS_OTHER_INV","FQ1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00" spans="1:113" x14ac:dyDescent="0.3">
      <c r="A200" s="6"/>
      <c r="B200" s="6"/>
      <c r="C200" s="6"/>
      <c r="D200" s="6"/>
      <c r="E200" t="s">
        <v>79</v>
      </c>
      <c r="F200" t="e">
        <f ca="1">_xll.BDH($C$178,"RETURN_COM_EQY","FQ2 2018","FQ2 2018","Currency=INR","Period=FQ","BEST_FPERIOD_OVERRIDE=FQ","FILING_STATUS=OR","EQY_CONSOLIDATED=Y","FA_ADJUSTED=GAAP","Sort=A","Dates=H","DateFormat=P","Fill=—","Direction=H","UseDPDF=Y")</f>
        <v>#NAME?</v>
      </c>
      <c r="G200" t="e">
        <f ca="1">_xll.BDH($C$178,"RETURN_ON_ASSET","FQ2 2018","FQ2 2018","Currency=INR","Period=FQ","BEST_FPERIOD_OVERRIDE=FQ","FILING_STATUS=OR","EQY_CONSOLIDATED=Y","FA_ADJUSTED=GAAP","Sort=A","Dates=H","DateFormat=P","Fill=—","Direction=H","UseDPDF=Y")</f>
        <v>#NAME?</v>
      </c>
      <c r="H200" t="e">
        <f ca="1">_xll.BDH($C$178,"RETURN_ON_CAP","FQ2 2018","FQ2 2018","Currency=INR","Period=FQ","BEST_FPERIOD_OVERRIDE=FQ","FILING_STATUS=OR","EQY_CONSOLIDATED=Y","FA_ADJUSTED=GAAP","Sort=A","Dates=H","DateFormat=P","Fill=—","Direction=H","UseDPDF=Y")</f>
        <v>#NAME?</v>
      </c>
      <c r="I200" t="e">
        <f ca="1">_xll.BDH($C$178,"RETURN_ON_INV_CAPITAL","FQ2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00" t="e">
        <f ca="1">_xll.BDH($C$178,"EBITDA_TO_REVENUE","FQ2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00" t="e">
        <f ca="1">_xll.BDH($C$178,"OPER_MARGIN","FQ2 2018","FQ2 2018","Currency=INR","Period=FQ","BEST_FPERIOD_OVERRIDE=FQ","FILING_STATUS=OR","EQY_CONSOLIDATED=Y","FA_ADJUSTED=GAAP","Sort=A","Dates=H","DateFormat=P","Fill=—","Direction=H","UseDPDF=Y")</f>
        <v>#NAME?</v>
      </c>
      <c r="L200" t="e">
        <f ca="1">_xll.BDH($C$178,"INCREMENTAL_OPERATING_MARGIN","FQ2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00" t="e">
        <f ca="1">_xll.BDH($C$178,"PRETAX_INC_TO_NET_SALES","FQ2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00" t="e">
        <f ca="1">_xll.BDH($C$178,"INC_BEF_XO_ITEMS_TO_NET_SALES","FQ2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00" t="e">
        <f ca="1">_xll.BDH($C$178,"PROF_MARGIN","FQ2 2018","FQ2 2018","Currency=INR","Period=FQ","BEST_FPERIOD_OVERRIDE=FQ","FILING_STATUS=OR","EQY_CONSOLIDATED=Y","FA_ADJUSTED=GAAP","Sort=A","Dates=H","DateFormat=P","Fill=—","Direction=H","UseDPDF=Y")</f>
        <v>#NAME?</v>
      </c>
      <c r="P200" t="e">
        <f ca="1">_xll.BDH($C$178,"NET_INCOME_TO_COMMON_MARGIN","FQ2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00" t="e">
        <f ca="1">_xll.BDH($C$178,"EFF_TAX_RATE","FQ2 2018","FQ2 2018","Currency=INR","Period=FQ","BEST_FPERIOD_OVERRIDE=FQ","FILING_STATUS=OR","EQY_CONSOLIDATED=Y","FA_ADJUSTED=GAAP","Sort=A","Dates=H","DateFormat=P","Fill=—","Direction=H","UseDPDF=Y")</f>
        <v>#NAME?</v>
      </c>
      <c r="R200" t="e">
        <f ca="1">_xll.BDH($C$178,"DVD_PAYOUT_RATIO","FQ2 2018","FQ2 2018","Currency=INR","Period=FQ","BEST_FPERIOD_OVERRIDE=FQ","FILING_STATUS=OR","EQY_CONSOLIDATED=Y","FA_ADJUSTED=GAAP","Sort=A","Dates=H","DateFormat=P","Fill=—","Direction=H","UseDPDF=Y")</f>
        <v>#NAME?</v>
      </c>
      <c r="S200" t="e">
        <f ca="1">_xll.BDH($C$178,"SUSTAIN_GROWTH_RT","FQ2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00" s="2" t="e">
        <f ca="1">_xll.BDH($C$178,"SALES_GROWTH","FQ2 2018","FQ2 2018","Currency=INR","Period=FQ","BEST_FPERIOD_OVERRIDE=FQ","FILING_STATUS=OR","EQY_CONSOLIDATED=Y","FA_ADJUSTED=GAAP","Sort=A","Dates=H","DateFormat=P","Fill=—","Direction=H","UseDPDF=Y")</f>
        <v>#NAME?</v>
      </c>
      <c r="U200" s="2" t="e">
        <f ca="1">_xll.BDH($C$178,"EBITDA_GROWTH","FQ2 2018","FQ2 2018","Currency=INR","Period=FQ","BEST_FPERIOD_OVERRIDE=FQ","FILING_STATUS=OR","EQY_CONSOLIDATED=Y","FA_ADJUSTED=GAAP","Sort=A","Dates=H","DateFormat=P","Fill=—","Direction=H","UseDPDF=Y")</f>
        <v>#NAME?</v>
      </c>
      <c r="V200" s="2" t="e">
        <f ca="1">_xll.BDH($C$178,"OPER_INC_GROWTH","FQ2 2018","FQ2 2018","Currency=INR","Period=FQ","BEST_FPERIOD_OVERRIDE=FQ","FILING_STATUS=OR","EQY_CONSOLIDATED=Y","FA_ADJUSTED=GAAP","Sort=A","Dates=H","DateFormat=P","Fill=—","Direction=H","UseDPDF=Y")</f>
        <v>#NAME?</v>
      </c>
      <c r="W200" s="2" t="e">
        <f ca="1">_xll.BDH($C$178,"EARN_FOR_COM_GROWTH","FQ2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00" s="2" t="e">
        <f ca="1">_xll.BDH($C$178,"DILUTED_EPS_AFT_XO_ITEMS_GROWTH","FQ2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00" s="2" t="e">
        <f ca="1">_xll.BDH($C$178,"DIVIDEND_PER_SHARE_1_YEAR_GROWTH","FQ2 2018","FQ2 2018","Currency=INR","Period=FQ","BEST_FPERIOD_OVERRIDE=FQ","FILING_STATUS=OR","EQY_CONSOLIDATED=Y","Sort=A","Dates=H","DateFormat=P","Fill=—","Direction=H","UseDPDF=Y")</f>
        <v>#NAME?</v>
      </c>
      <c r="Z200" s="2" t="e">
        <f ca="1">_xll.BDH($C$178,"ACCOUNTS_RECEIVABLE_GROWTH","FQ2 2018","FQ2 2018","Currency=INR","Period=FQ","BEST_FPERIOD_OVERRIDE=FQ","FILING_STATUS=OR","EQY_CONSOLIDATED=Y","Sort=A","Dates=H","DateFormat=P","Fill=—","Direction=H","UseDPDF=Y")</f>
        <v>#NAME?</v>
      </c>
      <c r="AA200" s="2" t="e">
        <f ca="1">_xll.BDH($C$178,"INVENTORY_GROWTH","FQ2 2018","FQ2 2018","Currency=INR","Period=FQ","BEST_FPERIOD_OVERRIDE=FQ","FILING_STATUS=OR","EQY_CONSOLIDATED=Y","Sort=A","Dates=H","DateFormat=P","Fill=—","Direction=H","UseDPDF=Y")</f>
        <v>#NAME?</v>
      </c>
      <c r="AB200" s="2" t="e">
        <f ca="1">_xll.BDH($C$178,"NET_FIXED_ASSETS_1_YEAR_GROWTH","FQ2 2018","FQ2 2018","Currency=INR","Period=FQ","BEST_FPERIOD_OVERRIDE=FQ","FILING_STATUS=OR","EQY_CONSOLIDATED=Y","Sort=A","Dates=H","DateFormat=P","Fill=—","Direction=H","UseDPDF=Y")</f>
        <v>#NAME?</v>
      </c>
      <c r="AC200" s="2" t="e">
        <f ca="1">_xll.BDH($C$178,"ASSET_GROWTH","FQ2 2018","FQ2 2018","Currency=INR","Period=FQ","BEST_FPERIOD_OVERRIDE=FQ","FILING_STATUS=OR","EQY_CONSOLIDATED=Y","Sort=A","Dates=H","DateFormat=P","Fill=—","Direction=H","UseDPDF=Y")</f>
        <v>#NAME?</v>
      </c>
      <c r="AD200" s="2" t="e">
        <f ca="1">_xll.BDH($C$178,"MODIFIED_WORK_CAP_GROWTH","FQ2 2018","FQ2 2018","Currency=INR","Period=FQ","BEST_FPERIOD_OVERRIDE=FQ","FILING_STATUS=OR","EQY_CONSOLIDATED=Y","Sort=A","Dates=H","DateFormat=P","Fill=—","Direction=H","UseDPDF=Y")</f>
        <v>#NAME?</v>
      </c>
      <c r="AE200" s="2" t="e">
        <f ca="1">_xll.BDH($C$178,"WORK_CAP_GROWTH","FQ2 2018","FQ2 2018","Currency=INR","Period=FQ","BEST_FPERIOD_OVERRIDE=FQ","FILING_STATUS=OR","EQY_CONSOLIDATED=Y","Sort=A","Dates=H","DateFormat=P","Fill=—","Direction=H","UseDPDF=Y")</f>
        <v>#NAME?</v>
      </c>
      <c r="AF200" s="2" t="e">
        <f ca="1">_xll.BDH($C$178,"ACCOUNTS_PAYABLE_GROWTH_1YR","FQ2 2018","FQ2 2018","Currency=INR","Period=FQ","BEST_FPERIOD_OVERRIDE=FQ","FILING_STATUS=OR","EQY_CONSOLIDATED=Y","Sort=A","Dates=H","DateFormat=P","Fill=—","Direction=H","UseDPDF=Y")</f>
        <v>#NAME?</v>
      </c>
      <c r="AG200" s="2" t="e">
        <f ca="1">_xll.BDH($C$178,"SHORT_TERM_DEBT_1_YEAR_GROWTH","FQ2 2018","FQ2 2018","Currency=INR","Period=FQ","BEST_FPERIOD_OVERRIDE=FQ","FILING_STATUS=OR","EQY_CONSOLIDATED=Y","Sort=A","Dates=H","DateFormat=P","Fill=—","Direction=H","UseDPDF=Y")</f>
        <v>#NAME?</v>
      </c>
      <c r="AH200" s="2" t="e">
        <f ca="1">_xll.BDH($C$178,"TOTAL_DEBT_1_YEAR_GROWTH","FQ2 2018","FQ2 2018","Currency=INR","Period=FQ","BEST_FPERIOD_OVERRIDE=FQ","FILING_STATUS=OR","EQY_CONSOLIDATED=Y","Sort=A","Dates=H","DateFormat=P","Fill=—","Direction=H","UseDPDF=Y")</f>
        <v>#NAME?</v>
      </c>
      <c r="AI200" s="2" t="e">
        <f ca="1">_xll.BDH($C$178,"TOTAL_EQUITY_1_YEAR_GROWTH","FQ2 2018","FQ2 2018","Currency=INR","Period=FQ","BEST_FPERIOD_OVERRIDE=FQ","FILING_STATUS=OR","EQY_CONSOLIDATED=Y","Sort=A","Dates=H","DateFormat=P","Fill=—","Direction=H","UseDPDF=Y")</f>
        <v>#NAME?</v>
      </c>
      <c r="AJ200" s="2" t="e">
        <f ca="1">_xll.BDH($C$178,"GROWTH_IN_CAP","FQ2 2018","FQ2 2018","Currency=INR","Period=FQ","BEST_FPERIOD_OVERRIDE=FQ","FILING_STATUS=OR","EQY_CONSOLIDATED=Y","Sort=A","Dates=H","DateFormat=P","Fill=—","Direction=H","UseDPDF=Y")</f>
        <v>#NAME?</v>
      </c>
      <c r="AK200" s="2" t="e">
        <f ca="1">_xll.BDH($C$178,"BVPS_GROWTH","FQ2 2018","FQ2 2018","Currency=INR","Period=FQ","BEST_FPERIOD_OVERRIDE=FQ","FILING_STATUS=OR","EQY_CONSOLIDATED=Y","Sort=A","Dates=H","DateFormat=P","Fill=—","Direction=H","UseDPDF=Y")</f>
        <v>#NAME?</v>
      </c>
      <c r="AL200" s="2" t="e">
        <f ca="1">_xll.BDH($C$178,"CASH_FLOW_GROWTH","FQ2 2018","FQ2 2018","Currency=INR","Period=FQ","BEST_FPERIOD_OVERRIDE=FQ","FILING_STATUS=OR","EQY_CONSOLIDATED=Y","Sort=A","Dates=H","DateFormat=P","Fill=—","Direction=H","UseDPDF=Y")</f>
        <v>#NAME?</v>
      </c>
      <c r="AM200" s="2" t="e">
        <f ca="1">_xll.BDH($C$178,"GEO_GROW_NET_SALES","FQ2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00" s="2" t="e">
        <f ca="1">_xll.BDH($C$178,"GEO_GROW_EBITDA","FQ2 2018","FQ2 2018","Currency=INR","Period=FQ","BEST_FPERIOD_OVERRIDE=FQ","FILING_STATUS=OR","EQY_CONSOLIDATED=Y","FA_ADJUSTED=GAAP","Sort=A","Dates=H","DateFormat=P","Fill=—","Direction=H","UseDPDF=Y")</f>
        <v>#NAME?</v>
      </c>
      <c r="AO200" s="2" t="e">
        <f ca="1">_xll.BDH($C$178,"GEO_GROW_OPER_INC","FQ2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00" s="2" t="e">
        <f ca="1">_xll.BDH($C$178,"NET_INCOME_TO_COMMON_5_YR_GROWTH","FQ2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00" s="2" t="e">
        <f ca="1">_xll.BDH($C$178,"5Y_GEO_GROWTH_DILUTED_EPS","FQ2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00" s="2" t="e">
        <f ca="1">_xll.BDH($C$178,"GEO_GROW_DVD_PER_SH","FQ2 2018","FQ2 2018","Currency=INR","Period=FQ","BEST_FPERIOD_OVERRIDE=FQ","FILING_STATUS=OR","EQY_CONSOLIDATED=Y","Sort=A","Dates=H","DateFormat=P","Fill=—","Direction=H","UseDPDF=Y")</f>
        <v>#NAME?</v>
      </c>
      <c r="AS200" s="2" t="e">
        <f ca="1">_xll.BDH($C$178,"ACCOUNTS_RECEIVABLE_5_YR_GROWTH","FQ2 2018","FQ2 2018","Currency=INR","Period=FQ","BEST_FPERIOD_OVERRIDE=FQ","FILING_STATUS=OR","EQY_CONSOLIDATED=Y","Sort=A","Dates=H","DateFormat=P","Fill=—","Direction=H","UseDPDF=Y")</f>
        <v>#NAME?</v>
      </c>
      <c r="AT200" s="2" t="e">
        <f ca="1">_xll.BDH($C$178,"INVENTORY_5_YEAR_GROWTH","FQ2 2018","FQ2 2018","Currency=INR","Period=FQ","BEST_FPERIOD_OVERRIDE=FQ","FILING_STATUS=OR","EQY_CONSOLIDATED=Y","Sort=A","Dates=H","DateFormat=P","Fill=—","Direction=H","UseDPDF=Y")</f>
        <v>#NAME?</v>
      </c>
      <c r="AU200" s="2" t="e">
        <f ca="1">_xll.BDH($C$178,"NET_FIXED_ASSETS_5_YEAR_GROWTH","FQ2 2018","FQ2 2018","Currency=INR","Period=FQ","BEST_FPERIOD_OVERRIDE=FQ","FILING_STATUS=OR","EQY_CONSOLIDATED=Y","Sort=A","Dates=H","DateFormat=P","Fill=—","Direction=H","UseDPDF=Y")</f>
        <v>#NAME?</v>
      </c>
      <c r="AV200" s="2" t="e">
        <f ca="1">_xll.BDH($C$178,"GEO_GROW_TOT_ASSET","FQ2 2018","FQ2 2018","Currency=INR","Period=FQ","BEST_FPERIOD_OVERRIDE=FQ","FILING_STATUS=OR","EQY_CONSOLIDATED=Y","Sort=A","Dates=H","DateFormat=P","Fill=—","Direction=H","UseDPDF=Y")</f>
        <v>#NAME?</v>
      </c>
      <c r="AW200" s="2" t="e">
        <f ca="1">_xll.BDH($C$178,"MODIFIED_WORKING_CPTL_5YR_GRWTH","FQ2 2018","FQ2 2018","Currency=INR","Period=FQ","BEST_FPERIOD_OVERRIDE=FQ","FILING_STATUS=OR","EQY_CONSOLIDATED=Y","Sort=A","Dates=H","DateFormat=P","Fill=—","Direction=H","UseDPDF=Y")</f>
        <v>#NAME?</v>
      </c>
      <c r="AX200" s="2" t="e">
        <f ca="1">_xll.BDH($C$178,"WORKING_CAPITAL_5_YEAR_GROWTH","FQ2 2018","FQ2 2018","Currency=INR","Period=FQ","BEST_FPERIOD_OVERRIDE=FQ","FILING_STATUS=OR","EQY_CONSOLIDATED=Y","Sort=A","Dates=H","DateFormat=P","Fill=—","Direction=H","UseDPDF=Y")</f>
        <v>#NAME?</v>
      </c>
      <c r="AY200" s="2" t="e">
        <f ca="1">_xll.BDH($C$178,"ACCOUNTS_PAYABLE_5_YEAR_GROWTH","FQ2 2018","FQ2 2018","Currency=INR","Period=FQ","BEST_FPERIOD_OVERRIDE=FQ","FILING_STATUS=OR","EQY_CONSOLIDATED=Y","Sort=A","Dates=H","DateFormat=P","Fill=—","Direction=H","UseDPDF=Y")</f>
        <v>#NAME?</v>
      </c>
      <c r="AZ200" s="2" t="e">
        <f ca="1">_xll.BDH($C$178,"SHORT_TERM_DEBT_5_YEAR_GROWTH","FQ2 2018","FQ2 2018","Currency=INR","Period=FQ","BEST_FPERIOD_OVERRIDE=FQ","FILING_STATUS=OR","EQY_CONSOLIDATED=Y","Sort=A","Dates=H","DateFormat=P","Fill=—","Direction=H","UseDPDF=Y")</f>
        <v>#NAME?</v>
      </c>
      <c r="BA200" s="2" t="e">
        <f ca="1">_xll.BDH($C$178,"TOTAL_DEBT_5_YEAR_GROWTH","FQ2 2018","FQ2 2018","Currency=INR","Period=FQ","BEST_FPERIOD_OVERRIDE=FQ","FILING_STATUS=OR","EQY_CONSOLIDATED=Y","Sort=A","Dates=H","DateFormat=P","Fill=—","Direction=H","UseDPDF=Y")</f>
        <v>#NAME?</v>
      </c>
      <c r="BB200" s="2" t="e">
        <f ca="1">_xll.BDH($C$178,"GEO_GROW_TOT_SHRHLDR_EQY","FQ2 2018","FQ2 2018","Currency=INR","Period=FQ","BEST_FPERIOD_OVERRIDE=FQ","FILING_STATUS=OR","EQY_CONSOLIDATED=Y","Sort=A","Dates=H","DateFormat=P","Fill=—","Direction=H","UseDPDF=Y")</f>
        <v>#NAME?</v>
      </c>
      <c r="BC200" s="2" t="e">
        <f ca="1">_xll.BDH($C$178,"TOTAL_CAPITAL_5_YEAR_GROWTH","FQ2 2018","FQ2 2018","Currency=INR","Period=FQ","BEST_FPERIOD_OVERRIDE=FQ","FILING_STATUS=OR","EQY_CONSOLIDATED=Y","Sort=A","Dates=H","DateFormat=P","Fill=—","Direction=H","UseDPDF=Y")</f>
        <v>#NAME?</v>
      </c>
      <c r="BD200" s="2" t="e">
        <f ca="1">_xll.BDH($C$178,"GEO_GROW_BOOK_VAL","FQ2 2018","FQ2 2018","Currency=INR","Period=FQ","BEST_FPERIOD_OVERRIDE=FQ","FILING_STATUS=OR","EQY_CONSOLIDATED=Y","Sort=A","Dates=H","DateFormat=P","Fill=—","Direction=H","UseDPDF=Y")</f>
        <v>#NAME?</v>
      </c>
      <c r="BE200" s="2" t="e">
        <f ca="1">_xll.BDH($C$178,"GEO_GROW_CASH_OPER_ACT","FQ2 2018","FQ2 2018","Currency=INR","Period=FQ","BEST_FPERIOD_OVERRIDE=FQ","FILING_STATUS=OR","EQY_CONSOLIDATED=Y","Sort=A","Dates=H","DateFormat=P","Fill=—","Direction=H","UseDPDF=Y")</f>
        <v>#NAME?</v>
      </c>
      <c r="BF200" s="2" t="e">
        <f ca="1">_xll.BDH($C$178,"REVENUE_SEQUENTIAL_GROWTH","FQ2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00" s="2" t="e">
        <f ca="1">_xll.BDH($C$178,"EBITDA_SEQUENTIAL_GROWTH","FQ2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00" s="2" t="e">
        <f ca="1">_xll.BDH($C$178,"OPERATING_INCOME_SEQ_GROWTH","FQ2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00" s="2" t="e">
        <f ca="1">_xll.BDH($C$178,"NET_INCOME_TO_COMMON_SEQ_GROWTH","FQ2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00" s="2" t="e">
        <f ca="1">_xll.BDH($C$178,"EPS_DILUTED_SEQUENTIAL_GROWTH","FQ2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00" s="2" t="e">
        <f ca="1">_xll.BDH($C$178,"DPS_SEQUENTIAL_GROWTH","FQ2 2018","FQ2 2018","Currency=INR","Period=FQ","BEST_FPERIOD_OVERRIDE=FQ","FILING_STATUS=OR","EQY_CONSOLIDATED=Y","Sort=A","Dates=H","DateFormat=P","Fill=—","Direction=H","UseDPDF=Y")</f>
        <v>#NAME?</v>
      </c>
      <c r="BL200" s="2" t="e">
        <f ca="1">_xll.BDH($C$178,"ACCOUNTS_RECEIVABLE_SEQ_GROWTH","FQ2 2018","FQ2 2018","Currency=INR","Period=FQ","BEST_FPERIOD_OVERRIDE=FQ","FILING_STATUS=OR","EQY_CONSOLIDATED=Y","Sort=A","Dates=H","DateFormat=P","Fill=—","Direction=H","UseDPDF=Y")</f>
        <v>#NAME?</v>
      </c>
      <c r="BM200" s="2" t="e">
        <f ca="1">_xll.BDH($C$178,"INVENTORY_SEQUENTIAL_GROWTH","FQ2 2018","FQ2 2018","Currency=INR","Period=FQ","BEST_FPERIOD_OVERRIDE=FQ","FILING_STATUS=OR","EQY_CONSOLIDATED=Y","Sort=A","Dates=H","DateFormat=P","Fill=—","Direction=H","UseDPDF=Y")</f>
        <v>#NAME?</v>
      </c>
      <c r="BN200" s="2" t="e">
        <f ca="1">_xll.BDH($C$178,"FIXED_ASSETS_SEQUENTIAL_GROWTH","FQ2 2018","FQ2 2018","Currency=INR","Period=FQ","BEST_FPERIOD_OVERRIDE=FQ","FILING_STATUS=OR","EQY_CONSOLIDATED=Y","Sort=A","Dates=H","DateFormat=P","Fill=—","Direction=H","UseDPDF=Y")</f>
        <v>#NAME?</v>
      </c>
      <c r="BO200" s="2" t="e">
        <f ca="1">_xll.BDH($C$178,"TOTAL_ASSETS_SEQUENTIAL_GROWTH","FQ2 2018","FQ2 2018","Currency=INR","Period=FQ","BEST_FPERIOD_OVERRIDE=FQ","FILING_STATUS=OR","EQY_CONSOLIDATED=Y","Sort=A","Dates=H","DateFormat=P","Fill=—","Direction=H","UseDPDF=Y")</f>
        <v>#NAME?</v>
      </c>
      <c r="BP200" s="2" t="e">
        <f ca="1">_xll.BDH($C$178,"MODIFIED_WORKING_CPTL_SEQ_GRWTH","FQ2 2018","FQ2 2018","Currency=INR","Period=FQ","BEST_FPERIOD_OVERRIDE=FQ","FILING_STATUS=OR","EQY_CONSOLIDATED=Y","Sort=A","Dates=H","DateFormat=P","Fill=—","Direction=H","UseDPDF=Y")</f>
        <v>#NAME?</v>
      </c>
      <c r="BQ200" s="2" t="e">
        <f ca="1">_xll.BDH($C$178,"WORKING_CAPITAL_SEQ_GROWTH","FQ2 2018","FQ2 2018","Currency=INR","Period=FQ","BEST_FPERIOD_OVERRIDE=FQ","FILING_STATUS=OR","EQY_CONSOLIDATED=Y","Sort=A","Dates=H","DateFormat=P","Fill=—","Direction=H","UseDPDF=Y")</f>
        <v>#NAME?</v>
      </c>
      <c r="BR200" s="2" t="e">
        <f ca="1">_xll.BDH($C$178,"ACCOUNTS_PAYABLE_SEQ_GROWTH","FQ2 2018","FQ2 2018","Currency=INR","Period=FQ","BEST_FPERIOD_OVERRIDE=FQ","FILING_STATUS=OR","EQY_CONSOLIDATED=Y","Sort=A","Dates=H","DateFormat=P","Fill=—","Direction=H","UseDPDF=Y")</f>
        <v>#NAME?</v>
      </c>
      <c r="BS200" s="2" t="e">
        <f ca="1">_xll.BDH($C$178,"ST_DEBT_SEQUENTIAL_GROWTH","FQ2 2018","FQ2 2018","Currency=INR","Period=FQ","BEST_FPERIOD_OVERRIDE=FQ","FILING_STATUS=OR","EQY_CONSOLIDATED=Y","Sort=A","Dates=H","DateFormat=P","Fill=—","Direction=H","UseDPDF=Y")</f>
        <v>#NAME?</v>
      </c>
      <c r="BT200" s="2" t="e">
        <f ca="1">_xll.BDH($C$178,"TOTAL_DEBT_SEQUENTIAL_GROWTH","FQ2 2018","FQ2 2018","Currency=INR","Period=FQ","BEST_FPERIOD_OVERRIDE=FQ","FILING_STATUS=OR","EQY_CONSOLIDATED=Y","Sort=A","Dates=H","DateFormat=P","Fill=—","Direction=H","UseDPDF=Y")</f>
        <v>#NAME?</v>
      </c>
      <c r="BU200" s="2" t="e">
        <f ca="1">_xll.BDH($C$178,"TOTAL_EQUITY_SEQUENTIAL_GROWTH","FQ2 2018","FQ2 2018","Currency=INR","Period=FQ","BEST_FPERIOD_OVERRIDE=FQ","FILING_STATUS=OR","EQY_CONSOLIDATED=Y","Sort=A","Dates=H","DateFormat=P","Fill=—","Direction=H","UseDPDF=Y")</f>
        <v>#NAME?</v>
      </c>
      <c r="BV200" s="2" t="e">
        <f ca="1">_xll.BDH($C$178,"TOTAL_CAPITAL_SEQUENTIAL_GROWTH","FQ2 2018","FQ2 2018","Currency=INR","Period=FQ","BEST_FPERIOD_OVERRIDE=FQ","FILING_STATUS=OR","EQY_CONSOLIDATED=Y","Sort=A","Dates=H","DateFormat=P","Fill=—","Direction=H","UseDPDF=Y")</f>
        <v>#NAME?</v>
      </c>
      <c r="BW200" s="2" t="e">
        <f ca="1">_xll.BDH($C$178,"BPS_SEQUENTIAL_GROWTH","FQ2 2018","FQ2 2018","Currency=INR","Period=FQ","BEST_FPERIOD_OVERRIDE=FQ","FILING_STATUS=OR","EQY_CONSOLIDATED=Y","Sort=A","Dates=H","DateFormat=P","Fill=—","Direction=H","UseDPDF=Y")</f>
        <v>#NAME?</v>
      </c>
      <c r="BX200" s="2" t="e">
        <f ca="1">_xll.BDH($C$178,"CFO_SEQUENTIAL_GROWTH","FQ2 2018","FQ2 2018","Currency=INR","Period=FQ","BEST_FPERIOD_OVERRIDE=FQ","FILING_STATUS=OR","EQY_CONSOLIDATED=Y","Sort=A","Dates=H","DateFormat=P","Fill=—","Direction=H","UseDPDF=Y")</f>
        <v>#NAME?</v>
      </c>
      <c r="BY200" s="3" t="e">
        <f ca="1">_xll.BDH($C$178,"SHORT_AND_LONG_TERM_DEBT","FQ2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00" s="3" t="e">
        <f ca="1">_xll.BDH($C$178,"BS_ST_BORROW","FQ2 2018","FQ2 2018","Currency=INR","Period=FQ","BEST_FPERIOD_OVERRIDE=FQ","FILING_STATUS=OR","EQY_CONSOLIDATED=Y","SCALING_FORMAT=MLN","Sort=A","Dates=H","DateFormat=P","Fill=—","Direction=H","UseDPDF=Y")</f>
        <v>#NAME?</v>
      </c>
      <c r="CA200" s="3" t="e">
        <f ca="1">_xll.BDH($C$178,"BS_LT_BORROW","FQ2 2018","FQ2 2018","Currency=INR","Period=FQ","BEST_FPERIOD_OVERRIDE=FQ","FILING_STATUS=OR","EQY_CONSOLIDATED=Y","SCALING_FORMAT=MLN","Sort=A","Dates=H","DateFormat=P","Fill=—","Direction=H","UseDPDF=Y")</f>
        <v>#NAME?</v>
      </c>
      <c r="CB200" s="2" t="e">
        <f ca="1">_xll.BDH($C$178,"TOT_DEBT_TO_EBITDA","FQ2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00" s="2" t="e">
        <f ca="1">_xll.BDH($C$178,"NET_DEBT_TO_EBITDA","FQ2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00" s="2" t="e">
        <f ca="1">_xll.BDH($C$178,"TOTAL_DEBT_TO_EBIT","FQ2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00" s="2" t="e">
        <f ca="1">_xll.BDH($C$178,"NET_DEBT_TO_EBIT","FQ2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00" s="2" t="e">
        <f ca="1">_xll.BDH($C$178,"EBITDA_TO_INTEREST_EXPN","FQ2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00" s="2" t="e">
        <f ca="1">_xll.BDH($C$178,"COM_EQY_TO_TOT_ASSET","FQ2 2018","FQ2 2018","Currency=INR","Period=FQ","BEST_FPERIOD_OVERRIDE=FQ","FILING_STATUS=OR","EQY_CONSOLIDATED=Y","Sort=A","Dates=H","DateFormat=P","Fill=—","Direction=H","UseDPDF=Y")</f>
        <v>#NAME?</v>
      </c>
      <c r="CH200" s="2" t="e">
        <f ca="1">_xll.BDH($C$178,"LT_DEBT_TO_TOT_EQY","FQ2 2018","FQ2 2018","Currency=INR","Period=FQ","BEST_FPERIOD_OVERRIDE=FQ","FILING_STATUS=OR","EQY_CONSOLIDATED=Y","Sort=A","Dates=H","DateFormat=P","Fill=—","Direction=H","UseDPDF=Y")</f>
        <v>#NAME?</v>
      </c>
      <c r="CI200" s="2" t="e">
        <f ca="1">_xll.BDH($C$178,"LT_DEBT_TO_TOT_CAP","FQ2 2018","FQ2 2018","Currency=INR","Period=FQ","BEST_FPERIOD_OVERRIDE=FQ","FILING_STATUS=OR","EQY_CONSOLIDATED=Y","Sort=A","Dates=H","DateFormat=P","Fill=—","Direction=H","UseDPDF=Y")</f>
        <v>#NAME?</v>
      </c>
      <c r="CJ200" s="2" t="e">
        <f ca="1">_xll.BDH($C$178,"LT_DEBT_TO_TOT_ASSET","FQ2 2018","FQ2 2018","Currency=INR","Period=FQ","BEST_FPERIOD_OVERRIDE=FQ","FILING_STATUS=OR","EQY_CONSOLIDATED=Y","Sort=A","Dates=H","DateFormat=P","Fill=—","Direction=H","UseDPDF=Y")</f>
        <v>#NAME?</v>
      </c>
      <c r="CK200" s="2" t="e">
        <f ca="1">_xll.BDH($C$178,"TOT_DEBT_TO_TOT_EQY","FQ2 2018","FQ2 2018","Currency=INR","Period=FQ","BEST_FPERIOD_OVERRIDE=FQ","FILING_STATUS=OR","EQY_CONSOLIDATED=Y","Sort=A","Dates=H","DateFormat=P","Fill=—","Direction=H","UseDPDF=Y")</f>
        <v>#NAME?</v>
      </c>
      <c r="CL200" s="2" t="e">
        <f ca="1">_xll.BDH($C$178,"TOT_DEBT_TO_TOT_CAP","FQ2 2018","FQ2 2018","Currency=INR","Period=FQ","BEST_FPERIOD_OVERRIDE=FQ","FILING_STATUS=OR","EQY_CONSOLIDATED=Y","Sort=A","Dates=H","DateFormat=P","Fill=—","Direction=H","UseDPDF=Y")</f>
        <v>#NAME?</v>
      </c>
      <c r="CM200" s="2" t="e">
        <f ca="1">_xll.BDH($C$178,"TOT_DEBT_TO_TOT_ASSET","FQ2 2018","FQ2 2018","Currency=INR","Period=FQ","BEST_FPERIOD_OVERRIDE=FQ","FILING_STATUS=OR","EQY_CONSOLIDATED=Y","Sort=A","Dates=H","DateFormat=P","Fill=—","Direction=H","UseDPDF=Y")</f>
        <v>#NAME?</v>
      </c>
      <c r="CN200" s="2" t="e">
        <f ca="1">_xll.BDH($C$178,"NET_DEBT_TO_SHRHLDR_EQTY","FQ2 2018","FQ2 2018","Currency=INR","Period=FQ","BEST_FPERIOD_OVERRIDE=FQ","FILING_STATUS=OR","EQY_CONSOLIDATED=Y","Sort=A","Dates=H","DateFormat=P","Fill=—","Direction=H","UseDPDF=Y")</f>
        <v>#NAME?</v>
      </c>
      <c r="CO200" s="2" t="e">
        <f ca="1">_xll.BDH($C$178,"NET_DEBT_%_CAPITAL","FQ2 2018","FQ2 2018","Currency=INR","Period=FQ","BEST_FPERIOD_OVERRIDE=FQ","FILING_STATUS=OR","EQY_CONSOLIDATED=Y","Sort=A","Dates=H","DateFormat=P","Fill=—","Direction=H","UseDPDF=Y")</f>
        <v>#NAME?</v>
      </c>
      <c r="CP200" s="3" t="e">
        <f ca="1">_xll.BDH($C$178,"EBITDA","FQ2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00" s="3" t="e">
        <f ca="1">_xll.BDH($C$178,"EBITDA_AFTER_CAPEX","FQ2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00" s="3" t="e">
        <f ca="1">_xll.BDH($C$178,"IS_OPER_INC","FQ2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00" s="2" t="e">
        <f ca="1">_xll.BDH($C$178,"CASH_RATIO","FQ2 2018","FQ2 2018","Currency=INR","Period=FQ","BEST_FPERIOD_OVERRIDE=FQ","FILING_STATUS=OR","EQY_CONSOLIDATED=Y","Sort=A","Dates=H","DateFormat=P","Fill=—","Direction=H","UseDPDF=Y")</f>
        <v>#NAME?</v>
      </c>
      <c r="CT200" s="2" t="e">
        <f ca="1">_xll.BDH($C$178,"CUR_RATIO","FQ2 2018","FQ2 2018","Currency=INR","Period=FQ","BEST_FPERIOD_OVERRIDE=FQ","FILING_STATUS=OR","EQY_CONSOLIDATED=Y","Sort=A","Dates=H","DateFormat=P","Fill=—","Direction=H","UseDPDF=Y")</f>
        <v>#NAME?</v>
      </c>
      <c r="CU200" s="2" t="e">
        <f ca="1">_xll.BDH($C$178,"QUICK_RATIO","FQ2 2018","FQ2 2018","Currency=INR","Period=FQ","BEST_FPERIOD_OVERRIDE=FQ","FILING_STATUS=OR","EQY_CONSOLIDATED=Y","Sort=A","Dates=H","DateFormat=P","Fill=—","Direction=H","UseDPDF=Y")</f>
        <v>#NAME?</v>
      </c>
      <c r="CV200" s="2" t="e">
        <f ca="1">_xll.BDH($C$178,"ALTMAN_Z_SCORE","FQ2 2018","FQ2 2018","Currency=INR","Period=FQ","BEST_FPERIOD_OVERRIDE=FQ","FILING_STATUS=OR","EQY_CONSOLIDATED=Y","Sort=A","Dates=H","DateFormat=P","Fill=—","Direction=H","UseDPDF=Y")</f>
        <v>#NAME?</v>
      </c>
      <c r="CW200" s="4" t="e">
        <f ca="1">_xll.BDH($C$178,"ACCT_RCV_TURN","FQ2 2018","FQ2 2018","Currency=INR","Period=FQ","BEST_FPERIOD_OVERRIDE=FQ","FILING_STATUS=OR","EQY_CONSOLIDATED=Y","FA_ADJUSTED=GAAP","Sort=A","Dates=H","DateFormat=P","Fill=—","Direction=H","UseDPDF=Y")</f>
        <v>#NAME?</v>
      </c>
      <c r="CX200" s="2" t="e">
        <f ca="1">_xll.BDH($C$178,"ACCT_RCV_DAYS","FQ2 2018","FQ2 2018","Currency=INR","Period=FQ","BEST_FPERIOD_OVERRIDE=FQ","FILING_STATUS=OR","EQY_CONSOLIDATED=Y","FA_ADJUSTED=GAAP","Sort=A","Dates=H","DateFormat=P","Fill=—","Direction=H","UseDPDF=Y")</f>
        <v>#NAME?</v>
      </c>
      <c r="CY200" s="4" t="e">
        <f ca="1">_xll.BDH($C$178,"INVENT_TURN","FQ2 2018","FQ2 2018","Currency=INR","Period=FQ","BEST_FPERIOD_OVERRIDE=FQ","FILING_STATUS=OR","EQY_CONSOLIDATED=Y","FA_ADJUSTED=GAAP","Sort=A","Dates=H","DateFormat=P","Fill=—","Direction=H","UseDPDF=Y")</f>
        <v>#NAME?</v>
      </c>
      <c r="CZ200" s="2" t="e">
        <f ca="1">_xll.BDH($C$178,"INVENT_DAYS","FQ2 2018","FQ2 2018","Currency=INR","Period=FQ","BEST_FPERIOD_OVERRIDE=FQ","FILING_STATUS=OR","EQY_CONSOLIDATED=Y","FA_ADJUSTED=GAAP","Sort=A","Dates=H","DateFormat=P","Fill=—","Direction=H","UseDPDF=Y")</f>
        <v>#NAME?</v>
      </c>
      <c r="DA200" s="4" t="e">
        <f ca="1">_xll.BDH($C$178,"ACCOUNTS_PAYABLE_TURNOVER","FQ2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00" s="2" t="e">
        <f ca="1">_xll.BDH($C$178,"ACCOUNTS_PAYABLE_TURNOVER_DAYS","FQ2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00" s="4" t="e">
        <f ca="1">_xll.BDH($C$178,"CASH_CONVERSION_CYCLE","FQ2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00" s="4" t="e">
        <f ca="1">_xll.BDH($C$178,"INV_TO_CASH_DAYS","FQ2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00" s="5" t="e">
        <f ca="1">_xll.BDH($C$178,"BS_INVENTORIES","FQ2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00" s="3" t="e">
        <f ca="1">_xll.BDH($C$178,"INVTRY_RAW_MATERIALS","FQ2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00" s="3" t="e">
        <f ca="1">_xll.BDH($C$178,"INVTRY_IN_PROGRESS","FQ2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00" s="3" t="e">
        <f ca="1">_xll.BDH($C$178,"INVTRY_FINISHED_GOODS","FQ2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00" s="3" t="e">
        <f ca="1">_xll.BDH($C$178,"BS_OTHER_INV","FQ2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01" spans="1:113" x14ac:dyDescent="0.3">
      <c r="A201" s="6"/>
      <c r="B201" s="6"/>
      <c r="C201" s="6"/>
      <c r="D201" s="6"/>
      <c r="E201" t="s">
        <v>80</v>
      </c>
      <c r="F201" t="e">
        <f ca="1">_xll.BDH($C$178,"RETURN_COM_EQY","FQ3 2018","FQ3 2018","Currency=INR","Period=FQ","BEST_FPERIOD_OVERRIDE=FQ","FILING_STATUS=OR","EQY_CONSOLIDATED=Y","FA_ADJUSTED=GAAP","Sort=A","Dates=H","DateFormat=P","Fill=—","Direction=H","UseDPDF=Y")</f>
        <v>#NAME?</v>
      </c>
      <c r="G201" t="e">
        <f ca="1">_xll.BDH($C$178,"RETURN_ON_ASSET","FQ3 2018","FQ3 2018","Currency=INR","Period=FQ","BEST_FPERIOD_OVERRIDE=FQ","FILING_STATUS=OR","EQY_CONSOLIDATED=Y","FA_ADJUSTED=GAAP","Sort=A","Dates=H","DateFormat=P","Fill=—","Direction=H","UseDPDF=Y")</f>
        <v>#NAME?</v>
      </c>
      <c r="H201" t="e">
        <f ca="1">_xll.BDH($C$178,"RETURN_ON_CAP","FQ3 2018","FQ3 2018","Currency=INR","Period=FQ","BEST_FPERIOD_OVERRIDE=FQ","FILING_STATUS=OR","EQY_CONSOLIDATED=Y","FA_ADJUSTED=GAAP","Sort=A","Dates=H","DateFormat=P","Fill=—","Direction=H","UseDPDF=Y")</f>
        <v>#NAME?</v>
      </c>
      <c r="I201" t="e">
        <f ca="1">_xll.BDH($C$178,"RETURN_ON_INV_CAPITAL","FQ3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01" t="e">
        <f ca="1">_xll.BDH($C$178,"EBITDA_TO_REVENUE","FQ3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01" t="e">
        <f ca="1">_xll.BDH($C$178,"OPER_MARGIN","FQ3 2018","FQ3 2018","Currency=INR","Period=FQ","BEST_FPERIOD_OVERRIDE=FQ","FILING_STATUS=OR","EQY_CONSOLIDATED=Y","FA_ADJUSTED=GAAP","Sort=A","Dates=H","DateFormat=P","Fill=—","Direction=H","UseDPDF=Y")</f>
        <v>#NAME?</v>
      </c>
      <c r="L201" t="e">
        <f ca="1">_xll.BDH($C$178,"INCREMENTAL_OPERATING_MARGIN","FQ3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01" t="e">
        <f ca="1">_xll.BDH($C$178,"PRETAX_INC_TO_NET_SALES","FQ3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01" t="e">
        <f ca="1">_xll.BDH($C$178,"INC_BEF_XO_ITEMS_TO_NET_SALES","FQ3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01" t="e">
        <f ca="1">_xll.BDH($C$178,"PROF_MARGIN","FQ3 2018","FQ3 2018","Currency=INR","Period=FQ","BEST_FPERIOD_OVERRIDE=FQ","FILING_STATUS=OR","EQY_CONSOLIDATED=Y","FA_ADJUSTED=GAAP","Sort=A","Dates=H","DateFormat=P","Fill=—","Direction=H","UseDPDF=Y")</f>
        <v>#NAME?</v>
      </c>
      <c r="P201" t="e">
        <f ca="1">_xll.BDH($C$178,"NET_INCOME_TO_COMMON_MARGIN","FQ3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01" t="e">
        <f ca="1">_xll.BDH($C$178,"EFF_TAX_RATE","FQ3 2018","FQ3 2018","Currency=INR","Period=FQ","BEST_FPERIOD_OVERRIDE=FQ","FILING_STATUS=OR","EQY_CONSOLIDATED=Y","FA_ADJUSTED=GAAP","Sort=A","Dates=H","DateFormat=P","Fill=—","Direction=H","UseDPDF=Y")</f>
        <v>#NAME?</v>
      </c>
      <c r="R201" t="e">
        <f ca="1">_xll.BDH($C$178,"DVD_PAYOUT_RATIO","FQ3 2018","FQ3 2018","Currency=INR","Period=FQ","BEST_FPERIOD_OVERRIDE=FQ","FILING_STATUS=OR","EQY_CONSOLIDATED=Y","FA_ADJUSTED=GAAP","Sort=A","Dates=H","DateFormat=P","Fill=—","Direction=H","UseDPDF=Y")</f>
        <v>#NAME?</v>
      </c>
      <c r="S201" t="e">
        <f ca="1">_xll.BDH($C$178,"SUSTAIN_GROWTH_RT","FQ3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01" s="2" t="e">
        <f ca="1">_xll.BDH($C$178,"SALES_GROWTH","FQ3 2018","FQ3 2018","Currency=INR","Period=FQ","BEST_FPERIOD_OVERRIDE=FQ","FILING_STATUS=OR","EQY_CONSOLIDATED=Y","FA_ADJUSTED=GAAP","Sort=A","Dates=H","DateFormat=P","Fill=—","Direction=H","UseDPDF=Y")</f>
        <v>#NAME?</v>
      </c>
      <c r="U201" s="2" t="e">
        <f ca="1">_xll.BDH($C$178,"EBITDA_GROWTH","FQ3 2018","FQ3 2018","Currency=INR","Period=FQ","BEST_FPERIOD_OVERRIDE=FQ","FILING_STATUS=OR","EQY_CONSOLIDATED=Y","FA_ADJUSTED=GAAP","Sort=A","Dates=H","DateFormat=P","Fill=—","Direction=H","UseDPDF=Y")</f>
        <v>#NAME?</v>
      </c>
      <c r="V201" s="2" t="e">
        <f ca="1">_xll.BDH($C$178,"OPER_INC_GROWTH","FQ3 2018","FQ3 2018","Currency=INR","Period=FQ","BEST_FPERIOD_OVERRIDE=FQ","FILING_STATUS=OR","EQY_CONSOLIDATED=Y","FA_ADJUSTED=GAAP","Sort=A","Dates=H","DateFormat=P","Fill=—","Direction=H","UseDPDF=Y")</f>
        <v>#NAME?</v>
      </c>
      <c r="W201" s="2" t="e">
        <f ca="1">_xll.BDH($C$178,"EARN_FOR_COM_GROWTH","FQ3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01" s="2" t="e">
        <f ca="1">_xll.BDH($C$178,"DILUTED_EPS_AFT_XO_ITEMS_GROWTH","FQ3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01" s="2" t="e">
        <f ca="1">_xll.BDH($C$178,"DIVIDEND_PER_SHARE_1_YEAR_GROWTH","FQ3 2018","FQ3 2018","Currency=INR","Period=FQ","BEST_FPERIOD_OVERRIDE=FQ","FILING_STATUS=OR","EQY_CONSOLIDATED=Y","Sort=A","Dates=H","DateFormat=P","Fill=—","Direction=H","UseDPDF=Y")</f>
        <v>#NAME?</v>
      </c>
      <c r="Z201" s="2" t="e">
        <f ca="1">_xll.BDH($C$178,"ACCOUNTS_RECEIVABLE_GROWTH","FQ3 2018","FQ3 2018","Currency=INR","Period=FQ","BEST_FPERIOD_OVERRIDE=FQ","FILING_STATUS=OR","EQY_CONSOLIDATED=Y","Sort=A","Dates=H","DateFormat=P","Fill=—","Direction=H","UseDPDF=Y")</f>
        <v>#NAME?</v>
      </c>
      <c r="AA201" s="2" t="e">
        <f ca="1">_xll.BDH($C$178,"INVENTORY_GROWTH","FQ3 2018","FQ3 2018","Currency=INR","Period=FQ","BEST_FPERIOD_OVERRIDE=FQ","FILING_STATUS=OR","EQY_CONSOLIDATED=Y","Sort=A","Dates=H","DateFormat=P","Fill=—","Direction=H","UseDPDF=Y")</f>
        <v>#NAME?</v>
      </c>
      <c r="AB201" s="2" t="e">
        <f ca="1">_xll.BDH($C$178,"NET_FIXED_ASSETS_1_YEAR_GROWTH","FQ3 2018","FQ3 2018","Currency=INR","Period=FQ","BEST_FPERIOD_OVERRIDE=FQ","FILING_STATUS=OR","EQY_CONSOLIDATED=Y","Sort=A","Dates=H","DateFormat=P","Fill=—","Direction=H","UseDPDF=Y")</f>
        <v>#NAME?</v>
      </c>
      <c r="AC201" s="2" t="e">
        <f ca="1">_xll.BDH($C$178,"ASSET_GROWTH","FQ3 2018","FQ3 2018","Currency=INR","Period=FQ","BEST_FPERIOD_OVERRIDE=FQ","FILING_STATUS=OR","EQY_CONSOLIDATED=Y","Sort=A","Dates=H","DateFormat=P","Fill=—","Direction=H","UseDPDF=Y")</f>
        <v>#NAME?</v>
      </c>
      <c r="AD201" s="2" t="e">
        <f ca="1">_xll.BDH($C$178,"MODIFIED_WORK_CAP_GROWTH","FQ3 2018","FQ3 2018","Currency=INR","Period=FQ","BEST_FPERIOD_OVERRIDE=FQ","FILING_STATUS=OR","EQY_CONSOLIDATED=Y","Sort=A","Dates=H","DateFormat=P","Fill=—","Direction=H","UseDPDF=Y")</f>
        <v>#NAME?</v>
      </c>
      <c r="AE201" s="2" t="e">
        <f ca="1">_xll.BDH($C$178,"WORK_CAP_GROWTH","FQ3 2018","FQ3 2018","Currency=INR","Period=FQ","BEST_FPERIOD_OVERRIDE=FQ","FILING_STATUS=OR","EQY_CONSOLIDATED=Y","Sort=A","Dates=H","DateFormat=P","Fill=—","Direction=H","UseDPDF=Y")</f>
        <v>#NAME?</v>
      </c>
      <c r="AF201" s="2" t="e">
        <f ca="1">_xll.BDH($C$178,"ACCOUNTS_PAYABLE_GROWTH_1YR","FQ3 2018","FQ3 2018","Currency=INR","Period=FQ","BEST_FPERIOD_OVERRIDE=FQ","FILING_STATUS=OR","EQY_CONSOLIDATED=Y","Sort=A","Dates=H","DateFormat=P","Fill=—","Direction=H","UseDPDF=Y")</f>
        <v>#NAME?</v>
      </c>
      <c r="AG201" s="2" t="e">
        <f ca="1">_xll.BDH($C$178,"SHORT_TERM_DEBT_1_YEAR_GROWTH","FQ3 2018","FQ3 2018","Currency=INR","Period=FQ","BEST_FPERIOD_OVERRIDE=FQ","FILING_STATUS=OR","EQY_CONSOLIDATED=Y","Sort=A","Dates=H","DateFormat=P","Fill=—","Direction=H","UseDPDF=Y")</f>
        <v>#NAME?</v>
      </c>
      <c r="AH201" s="2" t="e">
        <f ca="1">_xll.BDH($C$178,"TOTAL_DEBT_1_YEAR_GROWTH","FQ3 2018","FQ3 2018","Currency=INR","Period=FQ","BEST_FPERIOD_OVERRIDE=FQ","FILING_STATUS=OR","EQY_CONSOLIDATED=Y","Sort=A","Dates=H","DateFormat=P","Fill=—","Direction=H","UseDPDF=Y")</f>
        <v>#NAME?</v>
      </c>
      <c r="AI201" s="2" t="e">
        <f ca="1">_xll.BDH($C$178,"TOTAL_EQUITY_1_YEAR_GROWTH","FQ3 2018","FQ3 2018","Currency=INR","Period=FQ","BEST_FPERIOD_OVERRIDE=FQ","FILING_STATUS=OR","EQY_CONSOLIDATED=Y","Sort=A","Dates=H","DateFormat=P","Fill=—","Direction=H","UseDPDF=Y")</f>
        <v>#NAME?</v>
      </c>
      <c r="AJ201" s="2" t="e">
        <f ca="1">_xll.BDH($C$178,"GROWTH_IN_CAP","FQ3 2018","FQ3 2018","Currency=INR","Period=FQ","BEST_FPERIOD_OVERRIDE=FQ","FILING_STATUS=OR","EQY_CONSOLIDATED=Y","Sort=A","Dates=H","DateFormat=P","Fill=—","Direction=H","UseDPDF=Y")</f>
        <v>#NAME?</v>
      </c>
      <c r="AK201" s="2" t="e">
        <f ca="1">_xll.BDH($C$178,"BVPS_GROWTH","FQ3 2018","FQ3 2018","Currency=INR","Period=FQ","BEST_FPERIOD_OVERRIDE=FQ","FILING_STATUS=OR","EQY_CONSOLIDATED=Y","Sort=A","Dates=H","DateFormat=P","Fill=—","Direction=H","UseDPDF=Y")</f>
        <v>#NAME?</v>
      </c>
      <c r="AL201" s="2" t="e">
        <f ca="1">_xll.BDH($C$178,"CASH_FLOW_GROWTH","FQ3 2018","FQ3 2018","Currency=INR","Period=FQ","BEST_FPERIOD_OVERRIDE=FQ","FILING_STATUS=OR","EQY_CONSOLIDATED=Y","Sort=A","Dates=H","DateFormat=P","Fill=—","Direction=H","UseDPDF=Y")</f>
        <v>#NAME?</v>
      </c>
      <c r="AM201" s="2" t="e">
        <f ca="1">_xll.BDH($C$178,"GEO_GROW_NET_SALES","FQ3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01" s="2" t="e">
        <f ca="1">_xll.BDH($C$178,"GEO_GROW_EBITDA","FQ3 2018","FQ3 2018","Currency=INR","Period=FQ","BEST_FPERIOD_OVERRIDE=FQ","FILING_STATUS=OR","EQY_CONSOLIDATED=Y","FA_ADJUSTED=GAAP","Sort=A","Dates=H","DateFormat=P","Fill=—","Direction=H","UseDPDF=Y")</f>
        <v>#NAME?</v>
      </c>
      <c r="AO201" s="2" t="e">
        <f ca="1">_xll.BDH($C$178,"GEO_GROW_OPER_INC","FQ3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01" s="2" t="e">
        <f ca="1">_xll.BDH($C$178,"NET_INCOME_TO_COMMON_5_YR_GROWTH","FQ3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01" s="2" t="e">
        <f ca="1">_xll.BDH($C$178,"5Y_GEO_GROWTH_DILUTED_EPS","FQ3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01" s="2" t="e">
        <f ca="1">_xll.BDH($C$178,"GEO_GROW_DVD_PER_SH","FQ3 2018","FQ3 2018","Currency=INR","Period=FQ","BEST_FPERIOD_OVERRIDE=FQ","FILING_STATUS=OR","EQY_CONSOLIDATED=Y","Sort=A","Dates=H","DateFormat=P","Fill=—","Direction=H","UseDPDF=Y")</f>
        <v>#NAME?</v>
      </c>
      <c r="AS201" s="2" t="e">
        <f ca="1">_xll.BDH($C$178,"ACCOUNTS_RECEIVABLE_5_YR_GROWTH","FQ3 2018","FQ3 2018","Currency=INR","Period=FQ","BEST_FPERIOD_OVERRIDE=FQ","FILING_STATUS=OR","EQY_CONSOLIDATED=Y","Sort=A","Dates=H","DateFormat=P","Fill=—","Direction=H","UseDPDF=Y")</f>
        <v>#NAME?</v>
      </c>
      <c r="AT201" s="2" t="e">
        <f ca="1">_xll.BDH($C$178,"INVENTORY_5_YEAR_GROWTH","FQ3 2018","FQ3 2018","Currency=INR","Period=FQ","BEST_FPERIOD_OVERRIDE=FQ","FILING_STATUS=OR","EQY_CONSOLIDATED=Y","Sort=A","Dates=H","DateFormat=P","Fill=—","Direction=H","UseDPDF=Y")</f>
        <v>#NAME?</v>
      </c>
      <c r="AU201" s="2" t="e">
        <f ca="1">_xll.BDH($C$178,"NET_FIXED_ASSETS_5_YEAR_GROWTH","FQ3 2018","FQ3 2018","Currency=INR","Period=FQ","BEST_FPERIOD_OVERRIDE=FQ","FILING_STATUS=OR","EQY_CONSOLIDATED=Y","Sort=A","Dates=H","DateFormat=P","Fill=—","Direction=H","UseDPDF=Y")</f>
        <v>#NAME?</v>
      </c>
      <c r="AV201" s="2" t="e">
        <f ca="1">_xll.BDH($C$178,"GEO_GROW_TOT_ASSET","FQ3 2018","FQ3 2018","Currency=INR","Period=FQ","BEST_FPERIOD_OVERRIDE=FQ","FILING_STATUS=OR","EQY_CONSOLIDATED=Y","Sort=A","Dates=H","DateFormat=P","Fill=—","Direction=H","UseDPDF=Y")</f>
        <v>#NAME?</v>
      </c>
      <c r="AW201" s="2" t="e">
        <f ca="1">_xll.BDH($C$178,"MODIFIED_WORKING_CPTL_5YR_GRWTH","FQ3 2018","FQ3 2018","Currency=INR","Period=FQ","BEST_FPERIOD_OVERRIDE=FQ","FILING_STATUS=OR","EQY_CONSOLIDATED=Y","Sort=A","Dates=H","DateFormat=P","Fill=—","Direction=H","UseDPDF=Y")</f>
        <v>#NAME?</v>
      </c>
      <c r="AX201" s="2" t="e">
        <f ca="1">_xll.BDH($C$178,"WORKING_CAPITAL_5_YEAR_GROWTH","FQ3 2018","FQ3 2018","Currency=INR","Period=FQ","BEST_FPERIOD_OVERRIDE=FQ","FILING_STATUS=OR","EQY_CONSOLIDATED=Y","Sort=A","Dates=H","DateFormat=P","Fill=—","Direction=H","UseDPDF=Y")</f>
        <v>#NAME?</v>
      </c>
      <c r="AY201" s="2" t="e">
        <f ca="1">_xll.BDH($C$178,"ACCOUNTS_PAYABLE_5_YEAR_GROWTH","FQ3 2018","FQ3 2018","Currency=INR","Period=FQ","BEST_FPERIOD_OVERRIDE=FQ","FILING_STATUS=OR","EQY_CONSOLIDATED=Y","Sort=A","Dates=H","DateFormat=P","Fill=—","Direction=H","UseDPDF=Y")</f>
        <v>#NAME?</v>
      </c>
      <c r="AZ201" s="2" t="e">
        <f ca="1">_xll.BDH($C$178,"SHORT_TERM_DEBT_5_YEAR_GROWTH","FQ3 2018","FQ3 2018","Currency=INR","Period=FQ","BEST_FPERIOD_OVERRIDE=FQ","FILING_STATUS=OR","EQY_CONSOLIDATED=Y","Sort=A","Dates=H","DateFormat=P","Fill=—","Direction=H","UseDPDF=Y")</f>
        <v>#NAME?</v>
      </c>
      <c r="BA201" s="2" t="e">
        <f ca="1">_xll.BDH($C$178,"TOTAL_DEBT_5_YEAR_GROWTH","FQ3 2018","FQ3 2018","Currency=INR","Period=FQ","BEST_FPERIOD_OVERRIDE=FQ","FILING_STATUS=OR","EQY_CONSOLIDATED=Y","Sort=A","Dates=H","DateFormat=P","Fill=—","Direction=H","UseDPDF=Y")</f>
        <v>#NAME?</v>
      </c>
      <c r="BB201" s="2" t="e">
        <f ca="1">_xll.BDH($C$178,"GEO_GROW_TOT_SHRHLDR_EQY","FQ3 2018","FQ3 2018","Currency=INR","Period=FQ","BEST_FPERIOD_OVERRIDE=FQ","FILING_STATUS=OR","EQY_CONSOLIDATED=Y","Sort=A","Dates=H","DateFormat=P","Fill=—","Direction=H","UseDPDF=Y")</f>
        <v>#NAME?</v>
      </c>
      <c r="BC201" s="2" t="e">
        <f ca="1">_xll.BDH($C$178,"TOTAL_CAPITAL_5_YEAR_GROWTH","FQ3 2018","FQ3 2018","Currency=INR","Period=FQ","BEST_FPERIOD_OVERRIDE=FQ","FILING_STATUS=OR","EQY_CONSOLIDATED=Y","Sort=A","Dates=H","DateFormat=P","Fill=—","Direction=H","UseDPDF=Y")</f>
        <v>#NAME?</v>
      </c>
      <c r="BD201" s="2" t="e">
        <f ca="1">_xll.BDH($C$178,"GEO_GROW_BOOK_VAL","FQ3 2018","FQ3 2018","Currency=INR","Period=FQ","BEST_FPERIOD_OVERRIDE=FQ","FILING_STATUS=OR","EQY_CONSOLIDATED=Y","Sort=A","Dates=H","DateFormat=P","Fill=—","Direction=H","UseDPDF=Y")</f>
        <v>#NAME?</v>
      </c>
      <c r="BE201" s="2" t="e">
        <f ca="1">_xll.BDH($C$178,"GEO_GROW_CASH_OPER_ACT","FQ3 2018","FQ3 2018","Currency=INR","Period=FQ","BEST_FPERIOD_OVERRIDE=FQ","FILING_STATUS=OR","EQY_CONSOLIDATED=Y","Sort=A","Dates=H","DateFormat=P","Fill=—","Direction=H","UseDPDF=Y")</f>
        <v>#NAME?</v>
      </c>
      <c r="BF201" s="2" t="e">
        <f ca="1">_xll.BDH($C$178,"REVENUE_SEQUENTIAL_GROWTH","FQ3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01" s="2" t="e">
        <f ca="1">_xll.BDH($C$178,"EBITDA_SEQUENTIAL_GROWTH","FQ3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01" s="2" t="e">
        <f ca="1">_xll.BDH($C$178,"OPERATING_INCOME_SEQ_GROWTH","FQ3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01" s="2" t="e">
        <f ca="1">_xll.BDH($C$178,"NET_INCOME_TO_COMMON_SEQ_GROWTH","FQ3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01" s="2" t="e">
        <f ca="1">_xll.BDH($C$178,"EPS_DILUTED_SEQUENTIAL_GROWTH","FQ3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01" s="2" t="e">
        <f ca="1">_xll.BDH($C$178,"DPS_SEQUENTIAL_GROWTH","FQ3 2018","FQ3 2018","Currency=INR","Period=FQ","BEST_FPERIOD_OVERRIDE=FQ","FILING_STATUS=OR","EQY_CONSOLIDATED=Y","Sort=A","Dates=H","DateFormat=P","Fill=—","Direction=H","UseDPDF=Y")</f>
        <v>#NAME?</v>
      </c>
      <c r="BL201" s="2" t="e">
        <f ca="1">_xll.BDH($C$178,"ACCOUNTS_RECEIVABLE_SEQ_GROWTH","FQ3 2018","FQ3 2018","Currency=INR","Period=FQ","BEST_FPERIOD_OVERRIDE=FQ","FILING_STATUS=OR","EQY_CONSOLIDATED=Y","Sort=A","Dates=H","DateFormat=P","Fill=—","Direction=H","UseDPDF=Y")</f>
        <v>#NAME?</v>
      </c>
      <c r="BM201" s="2" t="e">
        <f ca="1">_xll.BDH($C$178,"INVENTORY_SEQUENTIAL_GROWTH","FQ3 2018","FQ3 2018","Currency=INR","Period=FQ","BEST_FPERIOD_OVERRIDE=FQ","FILING_STATUS=OR","EQY_CONSOLIDATED=Y","Sort=A","Dates=H","DateFormat=P","Fill=—","Direction=H","UseDPDF=Y")</f>
        <v>#NAME?</v>
      </c>
      <c r="BN201" s="2" t="e">
        <f ca="1">_xll.BDH($C$178,"FIXED_ASSETS_SEQUENTIAL_GROWTH","FQ3 2018","FQ3 2018","Currency=INR","Period=FQ","BEST_FPERIOD_OVERRIDE=FQ","FILING_STATUS=OR","EQY_CONSOLIDATED=Y","Sort=A","Dates=H","DateFormat=P","Fill=—","Direction=H","UseDPDF=Y")</f>
        <v>#NAME?</v>
      </c>
      <c r="BO201" s="2" t="e">
        <f ca="1">_xll.BDH($C$178,"TOTAL_ASSETS_SEQUENTIAL_GROWTH","FQ3 2018","FQ3 2018","Currency=INR","Period=FQ","BEST_FPERIOD_OVERRIDE=FQ","FILING_STATUS=OR","EQY_CONSOLIDATED=Y","Sort=A","Dates=H","DateFormat=P","Fill=—","Direction=H","UseDPDF=Y")</f>
        <v>#NAME?</v>
      </c>
      <c r="BP201" s="2" t="e">
        <f ca="1">_xll.BDH($C$178,"MODIFIED_WORKING_CPTL_SEQ_GRWTH","FQ3 2018","FQ3 2018","Currency=INR","Period=FQ","BEST_FPERIOD_OVERRIDE=FQ","FILING_STATUS=OR","EQY_CONSOLIDATED=Y","Sort=A","Dates=H","DateFormat=P","Fill=—","Direction=H","UseDPDF=Y")</f>
        <v>#NAME?</v>
      </c>
      <c r="BQ201" s="2" t="e">
        <f ca="1">_xll.BDH($C$178,"WORKING_CAPITAL_SEQ_GROWTH","FQ3 2018","FQ3 2018","Currency=INR","Period=FQ","BEST_FPERIOD_OVERRIDE=FQ","FILING_STATUS=OR","EQY_CONSOLIDATED=Y","Sort=A","Dates=H","DateFormat=P","Fill=—","Direction=H","UseDPDF=Y")</f>
        <v>#NAME?</v>
      </c>
      <c r="BR201" s="2" t="e">
        <f ca="1">_xll.BDH($C$178,"ACCOUNTS_PAYABLE_SEQ_GROWTH","FQ3 2018","FQ3 2018","Currency=INR","Period=FQ","BEST_FPERIOD_OVERRIDE=FQ","FILING_STATUS=OR","EQY_CONSOLIDATED=Y","Sort=A","Dates=H","DateFormat=P","Fill=—","Direction=H","UseDPDF=Y")</f>
        <v>#NAME?</v>
      </c>
      <c r="BS201" s="2" t="e">
        <f ca="1">_xll.BDH($C$178,"ST_DEBT_SEQUENTIAL_GROWTH","FQ3 2018","FQ3 2018","Currency=INR","Period=FQ","BEST_FPERIOD_OVERRIDE=FQ","FILING_STATUS=OR","EQY_CONSOLIDATED=Y","Sort=A","Dates=H","DateFormat=P","Fill=—","Direction=H","UseDPDF=Y")</f>
        <v>#NAME?</v>
      </c>
      <c r="BT201" s="2" t="e">
        <f ca="1">_xll.BDH($C$178,"TOTAL_DEBT_SEQUENTIAL_GROWTH","FQ3 2018","FQ3 2018","Currency=INR","Period=FQ","BEST_FPERIOD_OVERRIDE=FQ","FILING_STATUS=OR","EQY_CONSOLIDATED=Y","Sort=A","Dates=H","DateFormat=P","Fill=—","Direction=H","UseDPDF=Y")</f>
        <v>#NAME?</v>
      </c>
      <c r="BU201" s="2" t="e">
        <f ca="1">_xll.BDH($C$178,"TOTAL_EQUITY_SEQUENTIAL_GROWTH","FQ3 2018","FQ3 2018","Currency=INR","Period=FQ","BEST_FPERIOD_OVERRIDE=FQ","FILING_STATUS=OR","EQY_CONSOLIDATED=Y","Sort=A","Dates=H","DateFormat=P","Fill=—","Direction=H","UseDPDF=Y")</f>
        <v>#NAME?</v>
      </c>
      <c r="BV201" s="2" t="e">
        <f ca="1">_xll.BDH($C$178,"TOTAL_CAPITAL_SEQUENTIAL_GROWTH","FQ3 2018","FQ3 2018","Currency=INR","Period=FQ","BEST_FPERIOD_OVERRIDE=FQ","FILING_STATUS=OR","EQY_CONSOLIDATED=Y","Sort=A","Dates=H","DateFormat=P","Fill=—","Direction=H","UseDPDF=Y")</f>
        <v>#NAME?</v>
      </c>
      <c r="BW201" s="2" t="e">
        <f ca="1">_xll.BDH($C$178,"BPS_SEQUENTIAL_GROWTH","FQ3 2018","FQ3 2018","Currency=INR","Period=FQ","BEST_FPERIOD_OVERRIDE=FQ","FILING_STATUS=OR","EQY_CONSOLIDATED=Y","Sort=A","Dates=H","DateFormat=P","Fill=—","Direction=H","UseDPDF=Y")</f>
        <v>#NAME?</v>
      </c>
      <c r="BX201" s="2" t="e">
        <f ca="1">_xll.BDH($C$178,"CFO_SEQUENTIAL_GROWTH","FQ3 2018","FQ3 2018","Currency=INR","Period=FQ","BEST_FPERIOD_OVERRIDE=FQ","FILING_STATUS=OR","EQY_CONSOLIDATED=Y","Sort=A","Dates=H","DateFormat=P","Fill=—","Direction=H","UseDPDF=Y")</f>
        <v>#NAME?</v>
      </c>
      <c r="BY201" s="3" t="e">
        <f ca="1">_xll.BDH($C$178,"SHORT_AND_LONG_TERM_DEBT","FQ3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01" s="3" t="e">
        <f ca="1">_xll.BDH($C$178,"BS_ST_BORROW","FQ3 2018","FQ3 2018","Currency=INR","Period=FQ","BEST_FPERIOD_OVERRIDE=FQ","FILING_STATUS=OR","EQY_CONSOLIDATED=Y","SCALING_FORMAT=MLN","Sort=A","Dates=H","DateFormat=P","Fill=—","Direction=H","UseDPDF=Y")</f>
        <v>#NAME?</v>
      </c>
      <c r="CA201" s="3" t="e">
        <f ca="1">_xll.BDH($C$178,"BS_LT_BORROW","FQ3 2018","FQ3 2018","Currency=INR","Period=FQ","BEST_FPERIOD_OVERRIDE=FQ","FILING_STATUS=OR","EQY_CONSOLIDATED=Y","SCALING_FORMAT=MLN","Sort=A","Dates=H","DateFormat=P","Fill=—","Direction=H","UseDPDF=Y")</f>
        <v>#NAME?</v>
      </c>
      <c r="CB201" s="2" t="e">
        <f ca="1">_xll.BDH($C$178,"TOT_DEBT_TO_EBITDA","FQ3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01" s="2" t="e">
        <f ca="1">_xll.BDH($C$178,"NET_DEBT_TO_EBITDA","FQ3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01" s="2" t="e">
        <f ca="1">_xll.BDH($C$178,"TOTAL_DEBT_TO_EBIT","FQ3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01" s="2" t="e">
        <f ca="1">_xll.BDH($C$178,"NET_DEBT_TO_EBIT","FQ3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01" s="2" t="e">
        <f ca="1">_xll.BDH($C$178,"EBITDA_TO_INTEREST_EXPN","FQ3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01" s="2" t="e">
        <f ca="1">_xll.BDH($C$178,"COM_EQY_TO_TOT_ASSET","FQ3 2018","FQ3 2018","Currency=INR","Period=FQ","BEST_FPERIOD_OVERRIDE=FQ","FILING_STATUS=OR","EQY_CONSOLIDATED=Y","Sort=A","Dates=H","DateFormat=P","Fill=—","Direction=H","UseDPDF=Y")</f>
        <v>#NAME?</v>
      </c>
      <c r="CH201" s="2" t="e">
        <f ca="1">_xll.BDH($C$178,"LT_DEBT_TO_TOT_EQY","FQ3 2018","FQ3 2018","Currency=INR","Period=FQ","BEST_FPERIOD_OVERRIDE=FQ","FILING_STATUS=OR","EQY_CONSOLIDATED=Y","Sort=A","Dates=H","DateFormat=P","Fill=—","Direction=H","UseDPDF=Y")</f>
        <v>#NAME?</v>
      </c>
      <c r="CI201" s="2" t="e">
        <f ca="1">_xll.BDH($C$178,"LT_DEBT_TO_TOT_CAP","FQ3 2018","FQ3 2018","Currency=INR","Period=FQ","BEST_FPERIOD_OVERRIDE=FQ","FILING_STATUS=OR","EQY_CONSOLIDATED=Y","Sort=A","Dates=H","DateFormat=P","Fill=—","Direction=H","UseDPDF=Y")</f>
        <v>#NAME?</v>
      </c>
      <c r="CJ201" s="2" t="e">
        <f ca="1">_xll.BDH($C$178,"LT_DEBT_TO_TOT_ASSET","FQ3 2018","FQ3 2018","Currency=INR","Period=FQ","BEST_FPERIOD_OVERRIDE=FQ","FILING_STATUS=OR","EQY_CONSOLIDATED=Y","Sort=A","Dates=H","DateFormat=P","Fill=—","Direction=H","UseDPDF=Y")</f>
        <v>#NAME?</v>
      </c>
      <c r="CK201" s="2" t="e">
        <f ca="1">_xll.BDH($C$178,"TOT_DEBT_TO_TOT_EQY","FQ3 2018","FQ3 2018","Currency=INR","Period=FQ","BEST_FPERIOD_OVERRIDE=FQ","FILING_STATUS=OR","EQY_CONSOLIDATED=Y","Sort=A","Dates=H","DateFormat=P","Fill=—","Direction=H","UseDPDF=Y")</f>
        <v>#NAME?</v>
      </c>
      <c r="CL201" s="2" t="e">
        <f ca="1">_xll.BDH($C$178,"TOT_DEBT_TO_TOT_CAP","FQ3 2018","FQ3 2018","Currency=INR","Period=FQ","BEST_FPERIOD_OVERRIDE=FQ","FILING_STATUS=OR","EQY_CONSOLIDATED=Y","Sort=A","Dates=H","DateFormat=P","Fill=—","Direction=H","UseDPDF=Y")</f>
        <v>#NAME?</v>
      </c>
      <c r="CM201" s="2" t="e">
        <f ca="1">_xll.BDH($C$178,"TOT_DEBT_TO_TOT_ASSET","FQ3 2018","FQ3 2018","Currency=INR","Period=FQ","BEST_FPERIOD_OVERRIDE=FQ","FILING_STATUS=OR","EQY_CONSOLIDATED=Y","Sort=A","Dates=H","DateFormat=P","Fill=—","Direction=H","UseDPDF=Y")</f>
        <v>#NAME?</v>
      </c>
      <c r="CN201" s="2" t="e">
        <f ca="1">_xll.BDH($C$178,"NET_DEBT_TO_SHRHLDR_EQTY","FQ3 2018","FQ3 2018","Currency=INR","Period=FQ","BEST_FPERIOD_OVERRIDE=FQ","FILING_STATUS=OR","EQY_CONSOLIDATED=Y","Sort=A","Dates=H","DateFormat=P","Fill=—","Direction=H","UseDPDF=Y")</f>
        <v>#NAME?</v>
      </c>
      <c r="CO201" s="2" t="e">
        <f ca="1">_xll.BDH($C$178,"NET_DEBT_%_CAPITAL","FQ3 2018","FQ3 2018","Currency=INR","Period=FQ","BEST_FPERIOD_OVERRIDE=FQ","FILING_STATUS=OR","EQY_CONSOLIDATED=Y","Sort=A","Dates=H","DateFormat=P","Fill=—","Direction=H","UseDPDF=Y")</f>
        <v>#NAME?</v>
      </c>
      <c r="CP201" s="3" t="e">
        <f ca="1">_xll.BDH($C$178,"EBITDA","FQ3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01" s="3" t="e">
        <f ca="1">_xll.BDH($C$178,"EBITDA_AFTER_CAPEX","FQ3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01" s="3" t="e">
        <f ca="1">_xll.BDH($C$178,"IS_OPER_INC","FQ3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01" s="2" t="e">
        <f ca="1">_xll.BDH($C$178,"CASH_RATIO","FQ3 2018","FQ3 2018","Currency=INR","Period=FQ","BEST_FPERIOD_OVERRIDE=FQ","FILING_STATUS=OR","EQY_CONSOLIDATED=Y","Sort=A","Dates=H","DateFormat=P","Fill=—","Direction=H","UseDPDF=Y")</f>
        <v>#NAME?</v>
      </c>
      <c r="CT201" s="2" t="e">
        <f ca="1">_xll.BDH($C$178,"CUR_RATIO","FQ3 2018","FQ3 2018","Currency=INR","Period=FQ","BEST_FPERIOD_OVERRIDE=FQ","FILING_STATUS=OR","EQY_CONSOLIDATED=Y","Sort=A","Dates=H","DateFormat=P","Fill=—","Direction=H","UseDPDF=Y")</f>
        <v>#NAME?</v>
      </c>
      <c r="CU201" s="2" t="e">
        <f ca="1">_xll.BDH($C$178,"QUICK_RATIO","FQ3 2018","FQ3 2018","Currency=INR","Period=FQ","BEST_FPERIOD_OVERRIDE=FQ","FILING_STATUS=OR","EQY_CONSOLIDATED=Y","Sort=A","Dates=H","DateFormat=P","Fill=—","Direction=H","UseDPDF=Y")</f>
        <v>#NAME?</v>
      </c>
      <c r="CV201" s="2" t="e">
        <f ca="1">_xll.BDH($C$178,"ALTMAN_Z_SCORE","FQ3 2018","FQ3 2018","Currency=INR","Period=FQ","BEST_FPERIOD_OVERRIDE=FQ","FILING_STATUS=OR","EQY_CONSOLIDATED=Y","Sort=A","Dates=H","DateFormat=P","Fill=—","Direction=H","UseDPDF=Y")</f>
        <v>#NAME?</v>
      </c>
      <c r="CW201" s="4" t="e">
        <f ca="1">_xll.BDH($C$178,"ACCT_RCV_TURN","FQ3 2018","FQ3 2018","Currency=INR","Period=FQ","BEST_FPERIOD_OVERRIDE=FQ","FILING_STATUS=OR","EQY_CONSOLIDATED=Y","FA_ADJUSTED=GAAP","Sort=A","Dates=H","DateFormat=P","Fill=—","Direction=H","UseDPDF=Y")</f>
        <v>#NAME?</v>
      </c>
      <c r="CX201" s="2" t="e">
        <f ca="1">_xll.BDH($C$178,"ACCT_RCV_DAYS","FQ3 2018","FQ3 2018","Currency=INR","Period=FQ","BEST_FPERIOD_OVERRIDE=FQ","FILING_STATUS=OR","EQY_CONSOLIDATED=Y","FA_ADJUSTED=GAAP","Sort=A","Dates=H","DateFormat=P","Fill=—","Direction=H","UseDPDF=Y")</f>
        <v>#NAME?</v>
      </c>
      <c r="CY201" s="4" t="e">
        <f ca="1">_xll.BDH($C$178,"INVENT_TURN","FQ3 2018","FQ3 2018","Currency=INR","Period=FQ","BEST_FPERIOD_OVERRIDE=FQ","FILING_STATUS=OR","EQY_CONSOLIDATED=Y","FA_ADJUSTED=GAAP","Sort=A","Dates=H","DateFormat=P","Fill=—","Direction=H","UseDPDF=Y")</f>
        <v>#NAME?</v>
      </c>
      <c r="CZ201" s="2" t="e">
        <f ca="1">_xll.BDH($C$178,"INVENT_DAYS","FQ3 2018","FQ3 2018","Currency=INR","Period=FQ","BEST_FPERIOD_OVERRIDE=FQ","FILING_STATUS=OR","EQY_CONSOLIDATED=Y","FA_ADJUSTED=GAAP","Sort=A","Dates=H","DateFormat=P","Fill=—","Direction=H","UseDPDF=Y")</f>
        <v>#NAME?</v>
      </c>
      <c r="DA201" s="4" t="e">
        <f ca="1">_xll.BDH($C$178,"ACCOUNTS_PAYABLE_TURNOVER","FQ3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01" s="2" t="e">
        <f ca="1">_xll.BDH($C$178,"ACCOUNTS_PAYABLE_TURNOVER_DAYS","FQ3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01" s="4" t="e">
        <f ca="1">_xll.BDH($C$178,"CASH_CONVERSION_CYCLE","FQ3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01" s="4" t="e">
        <f ca="1">_xll.BDH($C$178,"INV_TO_CASH_DAYS","FQ3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01" s="5" t="e">
        <f ca="1">_xll.BDH($C$178,"BS_INVENTORIES","FQ3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01" s="3" t="e">
        <f ca="1">_xll.BDH($C$178,"INVTRY_RAW_MATERIALS","FQ3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01" s="3" t="e">
        <f ca="1">_xll.BDH($C$178,"INVTRY_IN_PROGRESS","FQ3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01" s="3" t="e">
        <f ca="1">_xll.BDH($C$178,"INVTRY_FINISHED_GOODS","FQ3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01" s="3" t="e">
        <f ca="1">_xll.BDH($C$178,"BS_OTHER_INV","FQ3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02" spans="1:113" x14ac:dyDescent="0.3">
      <c r="A202" s="6"/>
      <c r="B202" s="6"/>
      <c r="C202" s="6"/>
      <c r="D202" s="6"/>
      <c r="E202" t="s">
        <v>81</v>
      </c>
      <c r="F202" t="e">
        <f ca="1">_xll.BDH($C$178,"RETURN_COM_EQY","FQ4 2018","FQ4 2018","Currency=INR","Period=FQ","BEST_FPERIOD_OVERRIDE=FQ","FILING_STATUS=OR","EQY_CONSOLIDATED=Y","FA_ADJUSTED=GAAP","Sort=A","Dates=H","DateFormat=P","Fill=—","Direction=H","UseDPDF=Y")</f>
        <v>#NAME?</v>
      </c>
      <c r="G202" t="e">
        <f ca="1">_xll.BDH($C$178,"RETURN_ON_ASSET","FQ4 2018","FQ4 2018","Currency=INR","Period=FQ","BEST_FPERIOD_OVERRIDE=FQ","FILING_STATUS=OR","EQY_CONSOLIDATED=Y","FA_ADJUSTED=GAAP","Sort=A","Dates=H","DateFormat=P","Fill=—","Direction=H","UseDPDF=Y")</f>
        <v>#NAME?</v>
      </c>
      <c r="H202" t="e">
        <f ca="1">_xll.BDH($C$178,"RETURN_ON_CAP","FQ4 2018","FQ4 2018","Currency=INR","Period=FQ","BEST_FPERIOD_OVERRIDE=FQ","FILING_STATUS=OR","EQY_CONSOLIDATED=Y","FA_ADJUSTED=GAAP","Sort=A","Dates=H","DateFormat=P","Fill=—","Direction=H","UseDPDF=Y")</f>
        <v>#NAME?</v>
      </c>
      <c r="I202" t="e">
        <f ca="1">_xll.BDH($C$178,"RETURN_ON_INV_CAPITAL","FQ4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02" t="e">
        <f ca="1">_xll.BDH($C$178,"EBITDA_TO_REVENUE","FQ4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02" t="e">
        <f ca="1">_xll.BDH($C$178,"OPER_MARGIN","FQ4 2018","FQ4 2018","Currency=INR","Period=FQ","BEST_FPERIOD_OVERRIDE=FQ","FILING_STATUS=OR","EQY_CONSOLIDATED=Y","FA_ADJUSTED=GAAP","Sort=A","Dates=H","DateFormat=P","Fill=—","Direction=H","UseDPDF=Y")</f>
        <v>#NAME?</v>
      </c>
      <c r="L202" t="e">
        <f ca="1">_xll.BDH($C$178,"INCREMENTAL_OPERATING_MARGIN","FQ4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02" t="e">
        <f ca="1">_xll.BDH($C$178,"PRETAX_INC_TO_NET_SALES","FQ4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02" t="e">
        <f ca="1">_xll.BDH($C$178,"INC_BEF_XO_ITEMS_TO_NET_SALES","FQ4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02" t="e">
        <f ca="1">_xll.BDH($C$178,"PROF_MARGIN","FQ4 2018","FQ4 2018","Currency=INR","Period=FQ","BEST_FPERIOD_OVERRIDE=FQ","FILING_STATUS=OR","EQY_CONSOLIDATED=Y","FA_ADJUSTED=GAAP","Sort=A","Dates=H","DateFormat=P","Fill=—","Direction=H","UseDPDF=Y")</f>
        <v>#NAME?</v>
      </c>
      <c r="P202" t="e">
        <f ca="1">_xll.BDH($C$178,"NET_INCOME_TO_COMMON_MARGIN","FQ4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02" t="e">
        <f ca="1">_xll.BDH($C$178,"EFF_TAX_RATE","FQ4 2018","FQ4 2018","Currency=INR","Period=FQ","BEST_FPERIOD_OVERRIDE=FQ","FILING_STATUS=OR","EQY_CONSOLIDATED=Y","FA_ADJUSTED=GAAP","Sort=A","Dates=H","DateFormat=P","Fill=—","Direction=H","UseDPDF=Y")</f>
        <v>#NAME?</v>
      </c>
      <c r="R202" t="e">
        <f ca="1">_xll.BDH($C$178,"DVD_PAYOUT_RATIO","FQ4 2018","FQ4 2018","Currency=INR","Period=FQ","BEST_FPERIOD_OVERRIDE=FQ","FILING_STATUS=OR","EQY_CONSOLIDATED=Y","FA_ADJUSTED=GAAP","Sort=A","Dates=H","DateFormat=P","Fill=—","Direction=H","UseDPDF=Y")</f>
        <v>#NAME?</v>
      </c>
      <c r="S202" t="e">
        <f ca="1">_xll.BDH($C$178,"SUSTAIN_GROWTH_RT","FQ4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02" s="2" t="e">
        <f ca="1">_xll.BDH($C$178,"SALES_GROWTH","FQ4 2018","FQ4 2018","Currency=INR","Period=FQ","BEST_FPERIOD_OVERRIDE=FQ","FILING_STATUS=OR","EQY_CONSOLIDATED=Y","FA_ADJUSTED=GAAP","Sort=A","Dates=H","DateFormat=P","Fill=—","Direction=H","UseDPDF=Y")</f>
        <v>#NAME?</v>
      </c>
      <c r="U202" s="2" t="e">
        <f ca="1">_xll.BDH($C$178,"EBITDA_GROWTH","FQ4 2018","FQ4 2018","Currency=INR","Period=FQ","BEST_FPERIOD_OVERRIDE=FQ","FILING_STATUS=OR","EQY_CONSOLIDATED=Y","FA_ADJUSTED=GAAP","Sort=A","Dates=H","DateFormat=P","Fill=—","Direction=H","UseDPDF=Y")</f>
        <v>#NAME?</v>
      </c>
      <c r="V202" s="2" t="e">
        <f ca="1">_xll.BDH($C$178,"OPER_INC_GROWTH","FQ4 2018","FQ4 2018","Currency=INR","Period=FQ","BEST_FPERIOD_OVERRIDE=FQ","FILING_STATUS=OR","EQY_CONSOLIDATED=Y","FA_ADJUSTED=GAAP","Sort=A","Dates=H","DateFormat=P","Fill=—","Direction=H","UseDPDF=Y")</f>
        <v>#NAME?</v>
      </c>
      <c r="W202" s="2" t="e">
        <f ca="1">_xll.BDH($C$178,"EARN_FOR_COM_GROWTH","FQ4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02" s="2" t="e">
        <f ca="1">_xll.BDH($C$178,"DILUTED_EPS_AFT_XO_ITEMS_GROWTH","FQ4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02" s="2" t="e">
        <f ca="1">_xll.BDH($C$178,"DIVIDEND_PER_SHARE_1_YEAR_GROWTH","FQ4 2018","FQ4 2018","Currency=INR","Period=FQ","BEST_FPERIOD_OVERRIDE=FQ","FILING_STATUS=OR","EQY_CONSOLIDATED=Y","Sort=A","Dates=H","DateFormat=P","Fill=—","Direction=H","UseDPDF=Y")</f>
        <v>#NAME?</v>
      </c>
      <c r="Z202" s="2" t="e">
        <f ca="1">_xll.BDH($C$178,"ACCOUNTS_RECEIVABLE_GROWTH","FQ4 2018","FQ4 2018","Currency=INR","Period=FQ","BEST_FPERIOD_OVERRIDE=FQ","FILING_STATUS=OR","EQY_CONSOLIDATED=Y","Sort=A","Dates=H","DateFormat=P","Fill=—","Direction=H","UseDPDF=Y")</f>
        <v>#NAME?</v>
      </c>
      <c r="AA202" s="2" t="e">
        <f ca="1">_xll.BDH($C$178,"INVENTORY_GROWTH","FQ4 2018","FQ4 2018","Currency=INR","Period=FQ","BEST_FPERIOD_OVERRIDE=FQ","FILING_STATUS=OR","EQY_CONSOLIDATED=Y","Sort=A","Dates=H","DateFormat=P","Fill=—","Direction=H","UseDPDF=Y")</f>
        <v>#NAME?</v>
      </c>
      <c r="AB202" s="2" t="e">
        <f ca="1">_xll.BDH($C$178,"NET_FIXED_ASSETS_1_YEAR_GROWTH","FQ4 2018","FQ4 2018","Currency=INR","Period=FQ","BEST_FPERIOD_OVERRIDE=FQ","FILING_STATUS=OR","EQY_CONSOLIDATED=Y","Sort=A","Dates=H","DateFormat=P","Fill=—","Direction=H","UseDPDF=Y")</f>
        <v>#NAME?</v>
      </c>
      <c r="AC202" s="2" t="e">
        <f ca="1">_xll.BDH($C$178,"ASSET_GROWTH","FQ4 2018","FQ4 2018","Currency=INR","Period=FQ","BEST_FPERIOD_OVERRIDE=FQ","FILING_STATUS=OR","EQY_CONSOLIDATED=Y","Sort=A","Dates=H","DateFormat=P","Fill=—","Direction=H","UseDPDF=Y")</f>
        <v>#NAME?</v>
      </c>
      <c r="AD202" s="2" t="e">
        <f ca="1">_xll.BDH($C$178,"MODIFIED_WORK_CAP_GROWTH","FQ4 2018","FQ4 2018","Currency=INR","Period=FQ","BEST_FPERIOD_OVERRIDE=FQ","FILING_STATUS=OR","EQY_CONSOLIDATED=Y","Sort=A","Dates=H","DateFormat=P","Fill=—","Direction=H","UseDPDF=Y")</f>
        <v>#NAME?</v>
      </c>
      <c r="AE202" s="2" t="e">
        <f ca="1">_xll.BDH($C$178,"WORK_CAP_GROWTH","FQ4 2018","FQ4 2018","Currency=INR","Period=FQ","BEST_FPERIOD_OVERRIDE=FQ","FILING_STATUS=OR","EQY_CONSOLIDATED=Y","Sort=A","Dates=H","DateFormat=P","Fill=—","Direction=H","UseDPDF=Y")</f>
        <v>#NAME?</v>
      </c>
      <c r="AF202" s="2" t="e">
        <f ca="1">_xll.BDH($C$178,"ACCOUNTS_PAYABLE_GROWTH_1YR","FQ4 2018","FQ4 2018","Currency=INR","Period=FQ","BEST_FPERIOD_OVERRIDE=FQ","FILING_STATUS=OR","EQY_CONSOLIDATED=Y","Sort=A","Dates=H","DateFormat=P","Fill=—","Direction=H","UseDPDF=Y")</f>
        <v>#NAME?</v>
      </c>
      <c r="AG202" s="2" t="e">
        <f ca="1">_xll.BDH($C$178,"SHORT_TERM_DEBT_1_YEAR_GROWTH","FQ4 2018","FQ4 2018","Currency=INR","Period=FQ","BEST_FPERIOD_OVERRIDE=FQ","FILING_STATUS=OR","EQY_CONSOLIDATED=Y","Sort=A","Dates=H","DateFormat=P","Fill=—","Direction=H","UseDPDF=Y")</f>
        <v>#NAME?</v>
      </c>
      <c r="AH202" s="2" t="e">
        <f ca="1">_xll.BDH($C$178,"TOTAL_DEBT_1_YEAR_GROWTH","FQ4 2018","FQ4 2018","Currency=INR","Period=FQ","BEST_FPERIOD_OVERRIDE=FQ","FILING_STATUS=OR","EQY_CONSOLIDATED=Y","Sort=A","Dates=H","DateFormat=P","Fill=—","Direction=H","UseDPDF=Y")</f>
        <v>#NAME?</v>
      </c>
      <c r="AI202" s="2" t="e">
        <f ca="1">_xll.BDH($C$178,"TOTAL_EQUITY_1_YEAR_GROWTH","FQ4 2018","FQ4 2018","Currency=INR","Period=FQ","BEST_FPERIOD_OVERRIDE=FQ","FILING_STATUS=OR","EQY_CONSOLIDATED=Y","Sort=A","Dates=H","DateFormat=P","Fill=—","Direction=H","UseDPDF=Y")</f>
        <v>#NAME?</v>
      </c>
      <c r="AJ202" s="2" t="e">
        <f ca="1">_xll.BDH($C$178,"GROWTH_IN_CAP","FQ4 2018","FQ4 2018","Currency=INR","Period=FQ","BEST_FPERIOD_OVERRIDE=FQ","FILING_STATUS=OR","EQY_CONSOLIDATED=Y","Sort=A","Dates=H","DateFormat=P","Fill=—","Direction=H","UseDPDF=Y")</f>
        <v>#NAME?</v>
      </c>
      <c r="AK202" s="2" t="e">
        <f ca="1">_xll.BDH($C$178,"BVPS_GROWTH","FQ4 2018","FQ4 2018","Currency=INR","Period=FQ","BEST_FPERIOD_OVERRIDE=FQ","FILING_STATUS=OR","EQY_CONSOLIDATED=Y","Sort=A","Dates=H","DateFormat=P","Fill=—","Direction=H","UseDPDF=Y")</f>
        <v>#NAME?</v>
      </c>
      <c r="AL202" s="2" t="e">
        <f ca="1">_xll.BDH($C$178,"CASH_FLOW_GROWTH","FQ4 2018","FQ4 2018","Currency=INR","Period=FQ","BEST_FPERIOD_OVERRIDE=FQ","FILING_STATUS=OR","EQY_CONSOLIDATED=Y","Sort=A","Dates=H","DateFormat=P","Fill=—","Direction=H","UseDPDF=Y")</f>
        <v>#NAME?</v>
      </c>
      <c r="AM202" s="2" t="e">
        <f ca="1">_xll.BDH($C$178,"GEO_GROW_NET_SALES","FQ4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02" s="2" t="e">
        <f ca="1">_xll.BDH($C$178,"GEO_GROW_EBITDA","FQ4 2018","FQ4 2018","Currency=INR","Period=FQ","BEST_FPERIOD_OVERRIDE=FQ","FILING_STATUS=OR","EQY_CONSOLIDATED=Y","FA_ADJUSTED=GAAP","Sort=A","Dates=H","DateFormat=P","Fill=—","Direction=H","UseDPDF=Y")</f>
        <v>#NAME?</v>
      </c>
      <c r="AO202" s="2" t="e">
        <f ca="1">_xll.BDH($C$178,"GEO_GROW_OPER_INC","FQ4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02" s="2" t="e">
        <f ca="1">_xll.BDH($C$178,"NET_INCOME_TO_COMMON_5_YR_GROWTH","FQ4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02" s="2" t="e">
        <f ca="1">_xll.BDH($C$178,"5Y_GEO_GROWTH_DILUTED_EPS","FQ4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02" s="2" t="e">
        <f ca="1">_xll.BDH($C$178,"GEO_GROW_DVD_PER_SH","FQ4 2018","FQ4 2018","Currency=INR","Period=FQ","BEST_FPERIOD_OVERRIDE=FQ","FILING_STATUS=OR","EQY_CONSOLIDATED=Y","Sort=A","Dates=H","DateFormat=P","Fill=—","Direction=H","UseDPDF=Y")</f>
        <v>#NAME?</v>
      </c>
      <c r="AS202" s="2" t="e">
        <f ca="1">_xll.BDH($C$178,"ACCOUNTS_RECEIVABLE_5_YR_GROWTH","FQ4 2018","FQ4 2018","Currency=INR","Period=FQ","BEST_FPERIOD_OVERRIDE=FQ","FILING_STATUS=OR","EQY_CONSOLIDATED=Y","Sort=A","Dates=H","DateFormat=P","Fill=—","Direction=H","UseDPDF=Y")</f>
        <v>#NAME?</v>
      </c>
      <c r="AT202" s="2" t="e">
        <f ca="1">_xll.BDH($C$178,"INVENTORY_5_YEAR_GROWTH","FQ4 2018","FQ4 2018","Currency=INR","Period=FQ","BEST_FPERIOD_OVERRIDE=FQ","FILING_STATUS=OR","EQY_CONSOLIDATED=Y","Sort=A","Dates=H","DateFormat=P","Fill=—","Direction=H","UseDPDF=Y")</f>
        <v>#NAME?</v>
      </c>
      <c r="AU202" s="2" t="e">
        <f ca="1">_xll.BDH($C$178,"NET_FIXED_ASSETS_5_YEAR_GROWTH","FQ4 2018","FQ4 2018","Currency=INR","Period=FQ","BEST_FPERIOD_OVERRIDE=FQ","FILING_STATUS=OR","EQY_CONSOLIDATED=Y","Sort=A","Dates=H","DateFormat=P","Fill=—","Direction=H","UseDPDF=Y")</f>
        <v>#NAME?</v>
      </c>
      <c r="AV202" s="2" t="e">
        <f ca="1">_xll.BDH($C$178,"GEO_GROW_TOT_ASSET","FQ4 2018","FQ4 2018","Currency=INR","Period=FQ","BEST_FPERIOD_OVERRIDE=FQ","FILING_STATUS=OR","EQY_CONSOLIDATED=Y","Sort=A","Dates=H","DateFormat=P","Fill=—","Direction=H","UseDPDF=Y")</f>
        <v>#NAME?</v>
      </c>
      <c r="AW202" s="2" t="e">
        <f ca="1">_xll.BDH($C$178,"MODIFIED_WORKING_CPTL_5YR_GRWTH","FQ4 2018","FQ4 2018","Currency=INR","Period=FQ","BEST_FPERIOD_OVERRIDE=FQ","FILING_STATUS=OR","EQY_CONSOLIDATED=Y","Sort=A","Dates=H","DateFormat=P","Fill=—","Direction=H","UseDPDF=Y")</f>
        <v>#NAME?</v>
      </c>
      <c r="AX202" s="2" t="e">
        <f ca="1">_xll.BDH($C$178,"WORKING_CAPITAL_5_YEAR_GROWTH","FQ4 2018","FQ4 2018","Currency=INR","Period=FQ","BEST_FPERIOD_OVERRIDE=FQ","FILING_STATUS=OR","EQY_CONSOLIDATED=Y","Sort=A","Dates=H","DateFormat=P","Fill=—","Direction=H","UseDPDF=Y")</f>
        <v>#NAME?</v>
      </c>
      <c r="AY202" s="2" t="e">
        <f ca="1">_xll.BDH($C$178,"ACCOUNTS_PAYABLE_5_YEAR_GROWTH","FQ4 2018","FQ4 2018","Currency=INR","Period=FQ","BEST_FPERIOD_OVERRIDE=FQ","FILING_STATUS=OR","EQY_CONSOLIDATED=Y","Sort=A","Dates=H","DateFormat=P","Fill=—","Direction=H","UseDPDF=Y")</f>
        <v>#NAME?</v>
      </c>
      <c r="AZ202" s="2" t="e">
        <f ca="1">_xll.BDH($C$178,"SHORT_TERM_DEBT_5_YEAR_GROWTH","FQ4 2018","FQ4 2018","Currency=INR","Period=FQ","BEST_FPERIOD_OVERRIDE=FQ","FILING_STATUS=OR","EQY_CONSOLIDATED=Y","Sort=A","Dates=H","DateFormat=P","Fill=—","Direction=H","UseDPDF=Y")</f>
        <v>#NAME?</v>
      </c>
      <c r="BA202" s="2" t="e">
        <f ca="1">_xll.BDH($C$178,"TOTAL_DEBT_5_YEAR_GROWTH","FQ4 2018","FQ4 2018","Currency=INR","Period=FQ","BEST_FPERIOD_OVERRIDE=FQ","FILING_STATUS=OR","EQY_CONSOLIDATED=Y","Sort=A","Dates=H","DateFormat=P","Fill=—","Direction=H","UseDPDF=Y")</f>
        <v>#NAME?</v>
      </c>
      <c r="BB202" s="2" t="e">
        <f ca="1">_xll.BDH($C$178,"GEO_GROW_TOT_SHRHLDR_EQY","FQ4 2018","FQ4 2018","Currency=INR","Period=FQ","BEST_FPERIOD_OVERRIDE=FQ","FILING_STATUS=OR","EQY_CONSOLIDATED=Y","Sort=A","Dates=H","DateFormat=P","Fill=—","Direction=H","UseDPDF=Y")</f>
        <v>#NAME?</v>
      </c>
      <c r="BC202" s="2" t="e">
        <f ca="1">_xll.BDH($C$178,"TOTAL_CAPITAL_5_YEAR_GROWTH","FQ4 2018","FQ4 2018","Currency=INR","Period=FQ","BEST_FPERIOD_OVERRIDE=FQ","FILING_STATUS=OR","EQY_CONSOLIDATED=Y","Sort=A","Dates=H","DateFormat=P","Fill=—","Direction=H","UseDPDF=Y")</f>
        <v>#NAME?</v>
      </c>
      <c r="BD202" s="2" t="e">
        <f ca="1">_xll.BDH($C$178,"GEO_GROW_BOOK_VAL","FQ4 2018","FQ4 2018","Currency=INR","Period=FQ","BEST_FPERIOD_OVERRIDE=FQ","FILING_STATUS=OR","EQY_CONSOLIDATED=Y","Sort=A","Dates=H","DateFormat=P","Fill=—","Direction=H","UseDPDF=Y")</f>
        <v>#NAME?</v>
      </c>
      <c r="BE202" s="2" t="e">
        <f ca="1">_xll.BDH($C$178,"GEO_GROW_CASH_OPER_ACT","FQ4 2018","FQ4 2018","Currency=INR","Period=FQ","BEST_FPERIOD_OVERRIDE=FQ","FILING_STATUS=OR","EQY_CONSOLIDATED=Y","Sort=A","Dates=H","DateFormat=P","Fill=—","Direction=H","UseDPDF=Y")</f>
        <v>#NAME?</v>
      </c>
      <c r="BF202" s="2" t="e">
        <f ca="1">_xll.BDH($C$178,"REVENUE_SEQUENTIAL_GROWTH","FQ4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02" s="2" t="e">
        <f ca="1">_xll.BDH($C$178,"EBITDA_SEQUENTIAL_GROWTH","FQ4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02" s="2" t="e">
        <f ca="1">_xll.BDH($C$178,"OPERATING_INCOME_SEQ_GROWTH","FQ4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02" s="2" t="e">
        <f ca="1">_xll.BDH($C$178,"NET_INCOME_TO_COMMON_SEQ_GROWTH","FQ4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02" s="2" t="e">
        <f ca="1">_xll.BDH($C$178,"EPS_DILUTED_SEQUENTIAL_GROWTH","FQ4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02" s="2" t="e">
        <f ca="1">_xll.BDH($C$178,"DPS_SEQUENTIAL_GROWTH","FQ4 2018","FQ4 2018","Currency=INR","Period=FQ","BEST_FPERIOD_OVERRIDE=FQ","FILING_STATUS=OR","EQY_CONSOLIDATED=Y","Sort=A","Dates=H","DateFormat=P","Fill=—","Direction=H","UseDPDF=Y")</f>
        <v>#NAME?</v>
      </c>
      <c r="BL202" s="2" t="e">
        <f ca="1">_xll.BDH($C$178,"ACCOUNTS_RECEIVABLE_SEQ_GROWTH","FQ4 2018","FQ4 2018","Currency=INR","Period=FQ","BEST_FPERIOD_OVERRIDE=FQ","FILING_STATUS=OR","EQY_CONSOLIDATED=Y","Sort=A","Dates=H","DateFormat=P","Fill=—","Direction=H","UseDPDF=Y")</f>
        <v>#NAME?</v>
      </c>
      <c r="BM202" s="2" t="e">
        <f ca="1">_xll.BDH($C$178,"INVENTORY_SEQUENTIAL_GROWTH","FQ4 2018","FQ4 2018","Currency=INR","Period=FQ","BEST_FPERIOD_OVERRIDE=FQ","FILING_STATUS=OR","EQY_CONSOLIDATED=Y","Sort=A","Dates=H","DateFormat=P","Fill=—","Direction=H","UseDPDF=Y")</f>
        <v>#NAME?</v>
      </c>
      <c r="BN202" s="2" t="e">
        <f ca="1">_xll.BDH($C$178,"FIXED_ASSETS_SEQUENTIAL_GROWTH","FQ4 2018","FQ4 2018","Currency=INR","Period=FQ","BEST_FPERIOD_OVERRIDE=FQ","FILING_STATUS=OR","EQY_CONSOLIDATED=Y","Sort=A","Dates=H","DateFormat=P","Fill=—","Direction=H","UseDPDF=Y")</f>
        <v>#NAME?</v>
      </c>
      <c r="BO202" s="2" t="e">
        <f ca="1">_xll.BDH($C$178,"TOTAL_ASSETS_SEQUENTIAL_GROWTH","FQ4 2018","FQ4 2018","Currency=INR","Period=FQ","BEST_FPERIOD_OVERRIDE=FQ","FILING_STATUS=OR","EQY_CONSOLIDATED=Y","Sort=A","Dates=H","DateFormat=P","Fill=—","Direction=H","UseDPDF=Y")</f>
        <v>#NAME?</v>
      </c>
      <c r="BP202" s="2" t="e">
        <f ca="1">_xll.BDH($C$178,"MODIFIED_WORKING_CPTL_SEQ_GRWTH","FQ4 2018","FQ4 2018","Currency=INR","Period=FQ","BEST_FPERIOD_OVERRIDE=FQ","FILING_STATUS=OR","EQY_CONSOLIDATED=Y","Sort=A","Dates=H","DateFormat=P","Fill=—","Direction=H","UseDPDF=Y")</f>
        <v>#NAME?</v>
      </c>
      <c r="BQ202" s="2" t="e">
        <f ca="1">_xll.BDH($C$178,"WORKING_CAPITAL_SEQ_GROWTH","FQ4 2018","FQ4 2018","Currency=INR","Period=FQ","BEST_FPERIOD_OVERRIDE=FQ","FILING_STATUS=OR","EQY_CONSOLIDATED=Y","Sort=A","Dates=H","DateFormat=P","Fill=—","Direction=H","UseDPDF=Y")</f>
        <v>#NAME?</v>
      </c>
      <c r="BR202" s="2" t="e">
        <f ca="1">_xll.BDH($C$178,"ACCOUNTS_PAYABLE_SEQ_GROWTH","FQ4 2018","FQ4 2018","Currency=INR","Period=FQ","BEST_FPERIOD_OVERRIDE=FQ","FILING_STATUS=OR","EQY_CONSOLIDATED=Y","Sort=A","Dates=H","DateFormat=P","Fill=—","Direction=H","UseDPDF=Y")</f>
        <v>#NAME?</v>
      </c>
      <c r="BS202" s="2" t="e">
        <f ca="1">_xll.BDH($C$178,"ST_DEBT_SEQUENTIAL_GROWTH","FQ4 2018","FQ4 2018","Currency=INR","Period=FQ","BEST_FPERIOD_OVERRIDE=FQ","FILING_STATUS=OR","EQY_CONSOLIDATED=Y","Sort=A","Dates=H","DateFormat=P","Fill=—","Direction=H","UseDPDF=Y")</f>
        <v>#NAME?</v>
      </c>
      <c r="BT202" s="2" t="e">
        <f ca="1">_xll.BDH($C$178,"TOTAL_DEBT_SEQUENTIAL_GROWTH","FQ4 2018","FQ4 2018","Currency=INR","Period=FQ","BEST_FPERIOD_OVERRIDE=FQ","FILING_STATUS=OR","EQY_CONSOLIDATED=Y","Sort=A","Dates=H","DateFormat=P","Fill=—","Direction=H","UseDPDF=Y")</f>
        <v>#NAME?</v>
      </c>
      <c r="BU202" s="2" t="e">
        <f ca="1">_xll.BDH($C$178,"TOTAL_EQUITY_SEQUENTIAL_GROWTH","FQ4 2018","FQ4 2018","Currency=INR","Period=FQ","BEST_FPERIOD_OVERRIDE=FQ","FILING_STATUS=OR","EQY_CONSOLIDATED=Y","Sort=A","Dates=H","DateFormat=P","Fill=—","Direction=H","UseDPDF=Y")</f>
        <v>#NAME?</v>
      </c>
      <c r="BV202" s="2" t="e">
        <f ca="1">_xll.BDH($C$178,"TOTAL_CAPITAL_SEQUENTIAL_GROWTH","FQ4 2018","FQ4 2018","Currency=INR","Period=FQ","BEST_FPERIOD_OVERRIDE=FQ","FILING_STATUS=OR","EQY_CONSOLIDATED=Y","Sort=A","Dates=H","DateFormat=P","Fill=—","Direction=H","UseDPDF=Y")</f>
        <v>#NAME?</v>
      </c>
      <c r="BW202" s="2" t="e">
        <f ca="1">_xll.BDH($C$178,"BPS_SEQUENTIAL_GROWTH","FQ4 2018","FQ4 2018","Currency=INR","Period=FQ","BEST_FPERIOD_OVERRIDE=FQ","FILING_STATUS=OR","EQY_CONSOLIDATED=Y","Sort=A","Dates=H","DateFormat=P","Fill=—","Direction=H","UseDPDF=Y")</f>
        <v>#NAME?</v>
      </c>
      <c r="BX202" s="2" t="e">
        <f ca="1">_xll.BDH($C$178,"CFO_SEQUENTIAL_GROWTH","FQ4 2018","FQ4 2018","Currency=INR","Period=FQ","BEST_FPERIOD_OVERRIDE=FQ","FILING_STATUS=OR","EQY_CONSOLIDATED=Y","Sort=A","Dates=H","DateFormat=P","Fill=—","Direction=H","UseDPDF=Y")</f>
        <v>#NAME?</v>
      </c>
      <c r="BY202" s="3" t="e">
        <f ca="1">_xll.BDH($C$178,"SHORT_AND_LONG_TERM_DEBT","FQ4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02" s="3" t="e">
        <f ca="1">_xll.BDH($C$178,"BS_ST_BORROW","FQ4 2018","FQ4 2018","Currency=INR","Period=FQ","BEST_FPERIOD_OVERRIDE=FQ","FILING_STATUS=OR","EQY_CONSOLIDATED=Y","SCALING_FORMAT=MLN","Sort=A","Dates=H","DateFormat=P","Fill=—","Direction=H","UseDPDF=Y")</f>
        <v>#NAME?</v>
      </c>
      <c r="CA202" s="3" t="e">
        <f ca="1">_xll.BDH($C$178,"BS_LT_BORROW","FQ4 2018","FQ4 2018","Currency=INR","Period=FQ","BEST_FPERIOD_OVERRIDE=FQ","FILING_STATUS=OR","EQY_CONSOLIDATED=Y","SCALING_FORMAT=MLN","Sort=A","Dates=H","DateFormat=P","Fill=—","Direction=H","UseDPDF=Y")</f>
        <v>#NAME?</v>
      </c>
      <c r="CB202" s="2" t="e">
        <f ca="1">_xll.BDH($C$178,"TOT_DEBT_TO_EBITDA","FQ4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02" s="2" t="e">
        <f ca="1">_xll.BDH($C$178,"NET_DEBT_TO_EBITDA","FQ4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02" s="2" t="e">
        <f ca="1">_xll.BDH($C$178,"TOTAL_DEBT_TO_EBIT","FQ4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02" s="2" t="e">
        <f ca="1">_xll.BDH($C$178,"NET_DEBT_TO_EBIT","FQ4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02" s="2" t="e">
        <f ca="1">_xll.BDH($C$178,"EBITDA_TO_INTEREST_EXPN","FQ4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02" s="2" t="e">
        <f ca="1">_xll.BDH($C$178,"COM_EQY_TO_TOT_ASSET","FQ4 2018","FQ4 2018","Currency=INR","Period=FQ","BEST_FPERIOD_OVERRIDE=FQ","FILING_STATUS=OR","EQY_CONSOLIDATED=Y","Sort=A","Dates=H","DateFormat=P","Fill=—","Direction=H","UseDPDF=Y")</f>
        <v>#NAME?</v>
      </c>
      <c r="CH202" s="2" t="e">
        <f ca="1">_xll.BDH($C$178,"LT_DEBT_TO_TOT_EQY","FQ4 2018","FQ4 2018","Currency=INR","Period=FQ","BEST_FPERIOD_OVERRIDE=FQ","FILING_STATUS=OR","EQY_CONSOLIDATED=Y","Sort=A","Dates=H","DateFormat=P","Fill=—","Direction=H","UseDPDF=Y")</f>
        <v>#NAME?</v>
      </c>
      <c r="CI202" s="2" t="e">
        <f ca="1">_xll.BDH($C$178,"LT_DEBT_TO_TOT_CAP","FQ4 2018","FQ4 2018","Currency=INR","Period=FQ","BEST_FPERIOD_OVERRIDE=FQ","FILING_STATUS=OR","EQY_CONSOLIDATED=Y","Sort=A","Dates=H","DateFormat=P","Fill=—","Direction=H","UseDPDF=Y")</f>
        <v>#NAME?</v>
      </c>
      <c r="CJ202" s="2" t="e">
        <f ca="1">_xll.BDH($C$178,"LT_DEBT_TO_TOT_ASSET","FQ4 2018","FQ4 2018","Currency=INR","Period=FQ","BEST_FPERIOD_OVERRIDE=FQ","FILING_STATUS=OR","EQY_CONSOLIDATED=Y","Sort=A","Dates=H","DateFormat=P","Fill=—","Direction=H","UseDPDF=Y")</f>
        <v>#NAME?</v>
      </c>
      <c r="CK202" s="2" t="e">
        <f ca="1">_xll.BDH($C$178,"TOT_DEBT_TO_TOT_EQY","FQ4 2018","FQ4 2018","Currency=INR","Period=FQ","BEST_FPERIOD_OVERRIDE=FQ","FILING_STATUS=OR","EQY_CONSOLIDATED=Y","Sort=A","Dates=H","DateFormat=P","Fill=—","Direction=H","UseDPDF=Y")</f>
        <v>#NAME?</v>
      </c>
      <c r="CL202" s="2" t="e">
        <f ca="1">_xll.BDH($C$178,"TOT_DEBT_TO_TOT_CAP","FQ4 2018","FQ4 2018","Currency=INR","Period=FQ","BEST_FPERIOD_OVERRIDE=FQ","FILING_STATUS=OR","EQY_CONSOLIDATED=Y","Sort=A","Dates=H","DateFormat=P","Fill=—","Direction=H","UseDPDF=Y")</f>
        <v>#NAME?</v>
      </c>
      <c r="CM202" s="2" t="e">
        <f ca="1">_xll.BDH($C$178,"TOT_DEBT_TO_TOT_ASSET","FQ4 2018","FQ4 2018","Currency=INR","Period=FQ","BEST_FPERIOD_OVERRIDE=FQ","FILING_STATUS=OR","EQY_CONSOLIDATED=Y","Sort=A","Dates=H","DateFormat=P","Fill=—","Direction=H","UseDPDF=Y")</f>
        <v>#NAME?</v>
      </c>
      <c r="CN202" s="2" t="e">
        <f ca="1">_xll.BDH($C$178,"NET_DEBT_TO_SHRHLDR_EQTY","FQ4 2018","FQ4 2018","Currency=INR","Period=FQ","BEST_FPERIOD_OVERRIDE=FQ","FILING_STATUS=OR","EQY_CONSOLIDATED=Y","Sort=A","Dates=H","DateFormat=P","Fill=—","Direction=H","UseDPDF=Y")</f>
        <v>#NAME?</v>
      </c>
      <c r="CO202" s="2" t="e">
        <f ca="1">_xll.BDH($C$178,"NET_DEBT_%_CAPITAL","FQ4 2018","FQ4 2018","Currency=INR","Period=FQ","BEST_FPERIOD_OVERRIDE=FQ","FILING_STATUS=OR","EQY_CONSOLIDATED=Y","Sort=A","Dates=H","DateFormat=P","Fill=—","Direction=H","UseDPDF=Y")</f>
        <v>#NAME?</v>
      </c>
      <c r="CP202" s="3" t="e">
        <f ca="1">_xll.BDH($C$178,"EBITDA","FQ4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02" s="3" t="e">
        <f ca="1">_xll.BDH($C$178,"EBITDA_AFTER_CAPEX","FQ4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02" s="3" t="e">
        <f ca="1">_xll.BDH($C$178,"IS_OPER_INC","FQ4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02" s="2" t="e">
        <f ca="1">_xll.BDH($C$178,"CASH_RATIO","FQ4 2018","FQ4 2018","Currency=INR","Period=FQ","BEST_FPERIOD_OVERRIDE=FQ","FILING_STATUS=OR","EQY_CONSOLIDATED=Y","Sort=A","Dates=H","DateFormat=P","Fill=—","Direction=H","UseDPDF=Y")</f>
        <v>#NAME?</v>
      </c>
      <c r="CT202" s="2" t="e">
        <f ca="1">_xll.BDH($C$178,"CUR_RATIO","FQ4 2018","FQ4 2018","Currency=INR","Period=FQ","BEST_FPERIOD_OVERRIDE=FQ","FILING_STATUS=OR","EQY_CONSOLIDATED=Y","Sort=A","Dates=H","DateFormat=P","Fill=—","Direction=H","UseDPDF=Y")</f>
        <v>#NAME?</v>
      </c>
      <c r="CU202" s="2" t="e">
        <f ca="1">_xll.BDH($C$178,"QUICK_RATIO","FQ4 2018","FQ4 2018","Currency=INR","Period=FQ","BEST_FPERIOD_OVERRIDE=FQ","FILING_STATUS=OR","EQY_CONSOLIDATED=Y","Sort=A","Dates=H","DateFormat=P","Fill=—","Direction=H","UseDPDF=Y")</f>
        <v>#NAME?</v>
      </c>
      <c r="CV202" s="2" t="e">
        <f ca="1">_xll.BDH($C$178,"ALTMAN_Z_SCORE","FQ4 2018","FQ4 2018","Currency=INR","Period=FQ","BEST_FPERIOD_OVERRIDE=FQ","FILING_STATUS=OR","EQY_CONSOLIDATED=Y","Sort=A","Dates=H","DateFormat=P","Fill=—","Direction=H","UseDPDF=Y")</f>
        <v>#NAME?</v>
      </c>
      <c r="CW202" s="4" t="e">
        <f ca="1">_xll.BDH($C$178,"ACCT_RCV_TURN","FQ4 2018","FQ4 2018","Currency=INR","Period=FQ","BEST_FPERIOD_OVERRIDE=FQ","FILING_STATUS=OR","EQY_CONSOLIDATED=Y","FA_ADJUSTED=GAAP","Sort=A","Dates=H","DateFormat=P","Fill=—","Direction=H","UseDPDF=Y")</f>
        <v>#NAME?</v>
      </c>
      <c r="CX202" s="2" t="e">
        <f ca="1">_xll.BDH($C$178,"ACCT_RCV_DAYS","FQ4 2018","FQ4 2018","Currency=INR","Period=FQ","BEST_FPERIOD_OVERRIDE=FQ","FILING_STATUS=OR","EQY_CONSOLIDATED=Y","FA_ADJUSTED=GAAP","Sort=A","Dates=H","DateFormat=P","Fill=—","Direction=H","UseDPDF=Y")</f>
        <v>#NAME?</v>
      </c>
      <c r="CY202" s="4" t="e">
        <f ca="1">_xll.BDH($C$178,"INVENT_TURN","FQ4 2018","FQ4 2018","Currency=INR","Period=FQ","BEST_FPERIOD_OVERRIDE=FQ","FILING_STATUS=OR","EQY_CONSOLIDATED=Y","FA_ADJUSTED=GAAP","Sort=A","Dates=H","DateFormat=P","Fill=—","Direction=H","UseDPDF=Y")</f>
        <v>#NAME?</v>
      </c>
      <c r="CZ202" s="2" t="e">
        <f ca="1">_xll.BDH($C$178,"INVENT_DAYS","FQ4 2018","FQ4 2018","Currency=INR","Period=FQ","BEST_FPERIOD_OVERRIDE=FQ","FILING_STATUS=OR","EQY_CONSOLIDATED=Y","FA_ADJUSTED=GAAP","Sort=A","Dates=H","DateFormat=P","Fill=—","Direction=H","UseDPDF=Y")</f>
        <v>#NAME?</v>
      </c>
      <c r="DA202" s="4" t="e">
        <f ca="1">_xll.BDH($C$178,"ACCOUNTS_PAYABLE_TURNOVER","FQ4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02" s="2" t="e">
        <f ca="1">_xll.BDH($C$178,"ACCOUNTS_PAYABLE_TURNOVER_DAYS","FQ4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02" s="4" t="e">
        <f ca="1">_xll.BDH($C$178,"CASH_CONVERSION_CYCLE","FQ4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02" s="4" t="e">
        <f ca="1">_xll.BDH($C$178,"INV_TO_CASH_DAYS","FQ4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02" s="5" t="e">
        <f ca="1">_xll.BDH($C$178,"BS_INVENTORIES","FQ4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02" s="3" t="e">
        <f ca="1">_xll.BDH($C$178,"INVTRY_RAW_MATERIALS","FQ4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02" s="3" t="e">
        <f ca="1">_xll.BDH($C$178,"INVTRY_IN_PROGRESS","FQ4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02" s="3" t="e">
        <f ca="1">_xll.BDH($C$178,"INVTRY_FINISHED_GOODS","FQ4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02" s="3" t="e">
        <f ca="1">_xll.BDH($C$178,"BS_OTHER_INV","FQ4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03" spans="1:113" x14ac:dyDescent="0.3">
      <c r="A203" s="6">
        <v>84</v>
      </c>
      <c r="B203" s="6" t="s">
        <v>100</v>
      </c>
      <c r="C203" s="6" t="s">
        <v>101</v>
      </c>
      <c r="D203" s="6" t="s">
        <v>76</v>
      </c>
      <c r="E203" t="s">
        <v>77</v>
      </c>
      <c r="F203" t="e">
        <f ca="1">_xll.BDH($C$203,"RETURN_COM_EQY","FY 2014","FY 2014","Currency=INR","Period=FY","BEST_FPERIOD_OVERRIDE=FY","FILING_STATUS=OR","EQY_CONSOLIDATED=Y","FA_ADJUSTED=GAAP","Sort=A","Dates=H","DateFormat=P","Fill=—","Direction=H","UseDPDF=Y")</f>
        <v>#NAME?</v>
      </c>
      <c r="G203" t="e">
        <f ca="1">_xll.BDH($C$203,"RETURN_ON_ASSET","FY 2014","FY 2014","Currency=INR","Period=FY","BEST_FPERIOD_OVERRIDE=FY","FILING_STATUS=OR","EQY_CONSOLIDATED=Y","FA_ADJUSTED=GAAP","Sort=A","Dates=H","DateFormat=P","Fill=—","Direction=H","UseDPDF=Y")</f>
        <v>#NAME?</v>
      </c>
      <c r="H203" t="e">
        <f ca="1">_xll.BDH($C$203,"RETURN_ON_CAP","FY 2014","FY 2014","Currency=INR","Period=FY","BEST_FPERIOD_OVERRIDE=FY","FILING_STATUS=OR","EQY_CONSOLIDATED=Y","FA_ADJUSTED=GAAP","Sort=A","Dates=H","DateFormat=P","Fill=—","Direction=H","UseDPDF=Y")</f>
        <v>#NAME?</v>
      </c>
      <c r="I203" t="e">
        <f ca="1">_xll.BDH($C$203,"RETURN_ON_INV_CAPITAL","FY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03" t="e">
        <f ca="1">_xll.BDH($C$203,"EBITDA_TO_REVENUE","FY 2014","FY 2014","Currency=INR","Period=FY","BEST_FPERIOD_OVERRIDE=FY","FILING_STATUS=OR","EQY_CONSOLIDATED=Y","FA_ADJUSTED=GAAP","Sort=A","Dates=H","DateFormat=P","Fill=—","Direction=H","UseDPDF=Y")</f>
        <v>#NAME?</v>
      </c>
      <c r="K203" t="e">
        <f ca="1">_xll.BDH($C$203,"OPER_MARGIN","FY 2014","FY 2014","Currency=INR","Period=FY","BEST_FPERIOD_OVERRIDE=FY","FILING_STATUS=OR","EQY_CONSOLIDATED=Y","FA_ADJUSTED=GAAP","Sort=A","Dates=H","DateFormat=P","Fill=—","Direction=H","UseDPDF=Y")</f>
        <v>#NAME?</v>
      </c>
      <c r="L203" t="e">
        <f ca="1">_xll.BDH($C$203,"INCREMENTAL_OPERATING_MARGIN","FY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03" t="e">
        <f ca="1">_xll.BDH($C$203,"PRETAX_INC_TO_NET_SALES","FY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03" t="e">
        <f ca="1">_xll.BDH($C$203,"INC_BEF_XO_ITEMS_TO_NET_SALES","FY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03" t="e">
        <f ca="1">_xll.BDH($C$203,"PROF_MARGIN","FY 2014","FY 2014","Currency=INR","Period=FY","BEST_FPERIOD_OVERRIDE=FY","FILING_STATUS=OR","EQY_CONSOLIDATED=Y","FA_ADJUSTED=GAAP","Sort=A","Dates=H","DateFormat=P","Fill=—","Direction=H","UseDPDF=Y")</f>
        <v>#NAME?</v>
      </c>
      <c r="P203" t="e">
        <f ca="1">_xll.BDH($C$203,"NET_INCOME_TO_COMMON_MARGIN","FY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03" t="e">
        <f ca="1">_xll.BDH($C$203,"EFF_TAX_RATE","FY 2014","FY 2014","Currency=INR","Period=FY","BEST_FPERIOD_OVERRIDE=FY","FILING_STATUS=OR","EQY_CONSOLIDATED=Y","FA_ADJUSTED=GAAP","Sort=A","Dates=H","DateFormat=P","Fill=—","Direction=H","UseDPDF=Y")</f>
        <v>#NAME?</v>
      </c>
      <c r="R203" t="e">
        <f ca="1">_xll.BDH($C$203,"DVD_PAYOUT_RATIO","FY 2014","FY 2014","Currency=INR","Period=FY","BEST_FPERIOD_OVERRIDE=FY","FILING_STATUS=OR","EQY_CONSOLIDATED=Y","FA_ADJUSTED=GAAP","Sort=A","Dates=H","DateFormat=P","Fill=—","Direction=H","UseDPDF=Y")</f>
        <v>#NAME?</v>
      </c>
      <c r="S203" t="e">
        <f ca="1">_xll.BDH($C$203,"SUSTAIN_GROWTH_RT","FY 2014","FY 2014","Currency=INR","Period=FY","BEST_FPERIOD_OVERRIDE=FY","FILING_STATUS=OR","EQY_CONSOLIDATED=Y","FA_ADJUSTED=GAAP","Sort=A","Dates=H","DateFormat=P","Fill=—","Direction=H","UseDPDF=Y")</f>
        <v>#NAME?</v>
      </c>
      <c r="T203" s="2" t="e">
        <f ca="1">_xll.BDH($C$203,"SALES_GROWTH","FY 2014","FY 2014","Currency=INR","Period=FY","BEST_FPERIOD_OVERRIDE=FY","FILING_STATUS=OR","EQY_CONSOLIDATED=Y","FA_ADJUSTED=GAAP","Sort=A","Dates=H","DateFormat=P","Fill=—","Direction=H","UseDPDF=Y")</f>
        <v>#NAME?</v>
      </c>
      <c r="U203" s="2" t="e">
        <f ca="1">_xll.BDH($C$203,"EBITDA_GROWTH","FY 2014","FY 2014","Currency=INR","Period=FY","BEST_FPERIOD_OVERRIDE=FY","FILING_STATUS=OR","EQY_CONSOLIDATED=Y","FA_ADJUSTED=GAAP","Sort=A","Dates=H","DateFormat=P","Fill=—","Direction=H","UseDPDF=Y")</f>
        <v>#NAME?</v>
      </c>
      <c r="V203" s="2" t="e">
        <f ca="1">_xll.BDH($C$203,"OPER_INC_GROWTH","FY 2014","FY 2014","Currency=INR","Period=FY","BEST_FPERIOD_OVERRIDE=FY","FILING_STATUS=OR","EQY_CONSOLIDATED=Y","FA_ADJUSTED=GAAP","Sort=A","Dates=H","DateFormat=P","Fill=—","Direction=H","UseDPDF=Y")</f>
        <v>#NAME?</v>
      </c>
      <c r="W203" s="2" t="e">
        <f ca="1">_xll.BDH($C$203,"EARN_FOR_COM_GROWTH","FY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03" s="2" t="e">
        <f ca="1">_xll.BDH($C$203,"DILUTED_EPS_AFT_XO_ITEMS_GROWTH","FY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03" s="2" t="e">
        <f ca="1">_xll.BDH($C$203,"DIVIDEND_PER_SHARE_1_YEAR_GROWTH","FY 2014","FY 2014","Currency=INR","Period=FY","BEST_FPERIOD_OVERRIDE=FY","FILING_STATUS=OR","EQY_CONSOLIDATED=Y","Sort=A","Dates=H","DateFormat=P","Fill=—","Direction=H","UseDPDF=Y")</f>
        <v>#NAME?</v>
      </c>
      <c r="Z203" s="2" t="e">
        <f ca="1">_xll.BDH($C$203,"ACCOUNTS_RECEIVABLE_GROWTH","FY 2014","FY 2014","Currency=INR","Period=FY","BEST_FPERIOD_OVERRIDE=FY","FILING_STATUS=OR","EQY_CONSOLIDATED=Y","Sort=A","Dates=H","DateFormat=P","Fill=—","Direction=H","UseDPDF=Y")</f>
        <v>#NAME?</v>
      </c>
      <c r="AA203" s="2" t="e">
        <f ca="1">_xll.BDH($C$203,"INVENTORY_GROWTH","FY 2014","FY 2014","Currency=INR","Period=FY","BEST_FPERIOD_OVERRIDE=FY","FILING_STATUS=OR","EQY_CONSOLIDATED=Y","Sort=A","Dates=H","DateFormat=P","Fill=—","Direction=H","UseDPDF=Y")</f>
        <v>#NAME?</v>
      </c>
      <c r="AB203" s="2" t="e">
        <f ca="1">_xll.BDH($C$203,"NET_FIXED_ASSETS_1_YEAR_GROWTH","FY 2014","FY 2014","Currency=INR","Period=FY","BEST_FPERIOD_OVERRIDE=FY","FILING_STATUS=OR","EQY_CONSOLIDATED=Y","Sort=A","Dates=H","DateFormat=P","Fill=—","Direction=H","UseDPDF=Y")</f>
        <v>#NAME?</v>
      </c>
      <c r="AC203" s="2" t="e">
        <f ca="1">_xll.BDH($C$203,"ASSET_GROWTH","FY 2014","FY 2014","Currency=INR","Period=FY","BEST_FPERIOD_OVERRIDE=FY","FILING_STATUS=OR","EQY_CONSOLIDATED=Y","Sort=A","Dates=H","DateFormat=P","Fill=—","Direction=H","UseDPDF=Y")</f>
        <v>#NAME?</v>
      </c>
      <c r="AD203" s="2" t="e">
        <f ca="1">_xll.BDH($C$203,"MODIFIED_WORK_CAP_GROWTH","FY 2014","FY 2014","Currency=INR","Period=FY","BEST_FPERIOD_OVERRIDE=FY","FILING_STATUS=OR","EQY_CONSOLIDATED=Y","Sort=A","Dates=H","DateFormat=P","Fill=—","Direction=H","UseDPDF=Y")</f>
        <v>#NAME?</v>
      </c>
      <c r="AE203" s="2" t="e">
        <f ca="1">_xll.BDH($C$203,"WORK_CAP_GROWTH","FY 2014","FY 2014","Currency=INR","Period=FY","BEST_FPERIOD_OVERRIDE=FY","FILING_STATUS=OR","EQY_CONSOLIDATED=Y","Sort=A","Dates=H","DateFormat=P","Fill=—","Direction=H","UseDPDF=Y")</f>
        <v>#NAME?</v>
      </c>
      <c r="AF203" s="2" t="e">
        <f ca="1">_xll.BDH($C$203,"ACCOUNTS_PAYABLE_GROWTH_1YR","FY 2014","FY 2014","Currency=INR","Period=FY","BEST_FPERIOD_OVERRIDE=FY","FILING_STATUS=OR","EQY_CONSOLIDATED=Y","Sort=A","Dates=H","DateFormat=P","Fill=—","Direction=H","UseDPDF=Y")</f>
        <v>#NAME?</v>
      </c>
      <c r="AG203" s="2" t="e">
        <f ca="1">_xll.BDH($C$203,"SHORT_TERM_DEBT_1_YEAR_GROWTH","FY 2014","FY 2014","Currency=INR","Period=FY","BEST_FPERIOD_OVERRIDE=FY","FILING_STATUS=OR","EQY_CONSOLIDATED=Y","Sort=A","Dates=H","DateFormat=P","Fill=—","Direction=H","UseDPDF=Y")</f>
        <v>#NAME?</v>
      </c>
      <c r="AH203" s="2" t="e">
        <f ca="1">_xll.BDH($C$203,"TOTAL_DEBT_1_YEAR_GROWTH","FY 2014","FY 2014","Currency=INR","Period=FY","BEST_FPERIOD_OVERRIDE=FY","FILING_STATUS=OR","EQY_CONSOLIDATED=Y","Sort=A","Dates=H","DateFormat=P","Fill=—","Direction=H","UseDPDF=Y")</f>
        <v>#NAME?</v>
      </c>
      <c r="AI203" s="2" t="e">
        <f ca="1">_xll.BDH($C$203,"TOTAL_EQUITY_1_YEAR_GROWTH","FY 2014","FY 2014","Currency=INR","Period=FY","BEST_FPERIOD_OVERRIDE=FY","FILING_STATUS=OR","EQY_CONSOLIDATED=Y","Sort=A","Dates=H","DateFormat=P","Fill=—","Direction=H","UseDPDF=Y")</f>
        <v>#NAME?</v>
      </c>
      <c r="AJ203" s="2" t="e">
        <f ca="1">_xll.BDH($C$203,"GROWTH_IN_CAP","FY 2014","FY 2014","Currency=INR","Period=FY","BEST_FPERIOD_OVERRIDE=FY","FILING_STATUS=OR","EQY_CONSOLIDATED=Y","Sort=A","Dates=H","DateFormat=P","Fill=—","Direction=H","UseDPDF=Y")</f>
        <v>#NAME?</v>
      </c>
      <c r="AK203" s="2" t="e">
        <f ca="1">_xll.BDH($C$203,"BVPS_GROWTH","FY 2014","FY 2014","Currency=INR","Period=FY","BEST_FPERIOD_OVERRIDE=FY","FILING_STATUS=OR","EQY_CONSOLIDATED=Y","Sort=A","Dates=H","DateFormat=P","Fill=—","Direction=H","UseDPDF=Y")</f>
        <v>#NAME?</v>
      </c>
      <c r="AL203" s="2" t="e">
        <f ca="1">_xll.BDH($C$203,"CASH_FLOW_GROWTH","FY 2014","FY 2014","Currency=INR","Period=FY","BEST_FPERIOD_OVERRIDE=FY","FILING_STATUS=OR","EQY_CONSOLIDATED=Y","Sort=A","Dates=H","DateFormat=P","Fill=—","Direction=H","UseDPDF=Y")</f>
        <v>#NAME?</v>
      </c>
      <c r="AM203" s="2" t="e">
        <f ca="1">_xll.BDH($C$203,"GEO_GROW_NET_SALES","FY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03" s="2" t="e">
        <f ca="1">_xll.BDH($C$203,"GEO_GROW_EBITDA","FY 2014","FY 2014","Currency=INR","Period=FY","BEST_FPERIOD_OVERRIDE=FY","FILING_STATUS=OR","EQY_CONSOLIDATED=Y","FA_ADJUSTED=GAAP","Sort=A","Dates=H","DateFormat=P","Fill=—","Direction=H","UseDPDF=Y")</f>
        <v>#NAME?</v>
      </c>
      <c r="AO203" s="2" t="e">
        <f ca="1">_xll.BDH($C$203,"GEO_GROW_OPER_INC","FY 2014","FY 2014","Currency=INR","Period=FY","BEST_FPERIOD_OVERRIDE=FY","FILING_STATUS=OR","EQY_CONSOLIDATED=Y","FA_ADJUSTED=GAAP","Sort=A","Dates=H","DateFormat=P","Fill=—","Direction=H","UseDPDF=Y")</f>
        <v>#NAME?</v>
      </c>
      <c r="AP203" s="2" t="e">
        <f ca="1">_xll.BDH($C$203,"NET_INCOME_TO_COMMON_5_YR_GROWTH","FY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03" s="2" t="e">
        <f ca="1">_xll.BDH($C$203,"5Y_GEO_GROWTH_DILUTED_EPS","FY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03" s="2" t="e">
        <f ca="1">_xll.BDH($C$203,"GEO_GROW_DVD_PER_SH","FY 2014","FY 2014","Currency=INR","Period=FY","BEST_FPERIOD_OVERRIDE=FY","FILING_STATUS=OR","EQY_CONSOLIDATED=Y","Sort=A","Dates=H","DateFormat=P","Fill=—","Direction=H","UseDPDF=Y")</f>
        <v>#NAME?</v>
      </c>
      <c r="AS203" s="2" t="e">
        <f ca="1">_xll.BDH($C$203,"ACCOUNTS_RECEIVABLE_5_YR_GROWTH","FY 2014","FY 2014","Currency=INR","Period=FY","BEST_FPERIOD_OVERRIDE=FY","FILING_STATUS=OR","EQY_CONSOLIDATED=Y","Sort=A","Dates=H","DateFormat=P","Fill=—","Direction=H","UseDPDF=Y")</f>
        <v>#NAME?</v>
      </c>
      <c r="AT203" s="2" t="e">
        <f ca="1">_xll.BDH($C$203,"INVENTORY_5_YEAR_GROWTH","FY 2014","FY 2014","Currency=INR","Period=FY","BEST_FPERIOD_OVERRIDE=FY","FILING_STATUS=OR","EQY_CONSOLIDATED=Y","Sort=A","Dates=H","DateFormat=P","Fill=—","Direction=H","UseDPDF=Y")</f>
        <v>#NAME?</v>
      </c>
      <c r="AU203" s="2" t="e">
        <f ca="1">_xll.BDH($C$203,"NET_FIXED_ASSETS_5_YEAR_GROWTH","FY 2014","FY 2014","Currency=INR","Period=FY","BEST_FPERIOD_OVERRIDE=FY","FILING_STATUS=OR","EQY_CONSOLIDATED=Y","Sort=A","Dates=H","DateFormat=P","Fill=—","Direction=H","UseDPDF=Y")</f>
        <v>#NAME?</v>
      </c>
      <c r="AV203" s="2" t="e">
        <f ca="1">_xll.BDH($C$203,"GEO_GROW_TOT_ASSET","FY 2014","FY 2014","Currency=INR","Period=FY","BEST_FPERIOD_OVERRIDE=FY","FILING_STATUS=OR","EQY_CONSOLIDATED=Y","Sort=A","Dates=H","DateFormat=P","Fill=—","Direction=H","UseDPDF=Y")</f>
        <v>#NAME?</v>
      </c>
      <c r="AW203" s="2" t="e">
        <f ca="1">_xll.BDH($C$203,"MODIFIED_WORKING_CPTL_5YR_GRWTH","FY 2014","FY 2014","Currency=INR","Period=FY","BEST_FPERIOD_OVERRIDE=FY","FILING_STATUS=OR","EQY_CONSOLIDATED=Y","Sort=A","Dates=H","DateFormat=P","Fill=—","Direction=H","UseDPDF=Y")</f>
        <v>#NAME?</v>
      </c>
      <c r="AX203" s="2" t="e">
        <f ca="1">_xll.BDH($C$203,"WORKING_CAPITAL_5_YEAR_GROWTH","FY 2014","FY 2014","Currency=INR","Period=FY","BEST_FPERIOD_OVERRIDE=FY","FILING_STATUS=OR","EQY_CONSOLIDATED=Y","Sort=A","Dates=H","DateFormat=P","Fill=—","Direction=H","UseDPDF=Y")</f>
        <v>#NAME?</v>
      </c>
      <c r="AY203" s="2" t="e">
        <f ca="1">_xll.BDH($C$203,"ACCOUNTS_PAYABLE_5_YEAR_GROWTH","FY 2014","FY 2014","Currency=INR","Period=FY","BEST_FPERIOD_OVERRIDE=FY","FILING_STATUS=OR","EQY_CONSOLIDATED=Y","Sort=A","Dates=H","DateFormat=P","Fill=—","Direction=H","UseDPDF=Y")</f>
        <v>#NAME?</v>
      </c>
      <c r="AZ203" s="2" t="e">
        <f ca="1">_xll.BDH($C$203,"SHORT_TERM_DEBT_5_YEAR_GROWTH","FY 2014","FY 2014","Currency=INR","Period=FY","BEST_FPERIOD_OVERRIDE=FY","FILING_STATUS=OR","EQY_CONSOLIDATED=Y","Sort=A","Dates=H","DateFormat=P","Fill=—","Direction=H","UseDPDF=Y")</f>
        <v>#NAME?</v>
      </c>
      <c r="BA203" s="2" t="e">
        <f ca="1">_xll.BDH($C$203,"TOTAL_DEBT_5_YEAR_GROWTH","FY 2014","FY 2014","Currency=INR","Period=FY","BEST_FPERIOD_OVERRIDE=FY","FILING_STATUS=OR","EQY_CONSOLIDATED=Y","Sort=A","Dates=H","DateFormat=P","Fill=—","Direction=H","UseDPDF=Y")</f>
        <v>#NAME?</v>
      </c>
      <c r="BB203" s="2" t="e">
        <f ca="1">_xll.BDH($C$203,"GEO_GROW_TOT_SHRHLDR_EQY","FY 2014","FY 2014","Currency=INR","Period=FY","BEST_FPERIOD_OVERRIDE=FY","FILING_STATUS=OR","EQY_CONSOLIDATED=Y","Sort=A","Dates=H","DateFormat=P","Fill=—","Direction=H","UseDPDF=Y")</f>
        <v>#NAME?</v>
      </c>
      <c r="BC203" s="2" t="e">
        <f ca="1">_xll.BDH($C$203,"TOTAL_CAPITAL_5_YEAR_GROWTH","FY 2014","FY 2014","Currency=INR","Period=FY","BEST_FPERIOD_OVERRIDE=FY","FILING_STATUS=OR","EQY_CONSOLIDATED=Y","Sort=A","Dates=H","DateFormat=P","Fill=—","Direction=H","UseDPDF=Y")</f>
        <v>#NAME?</v>
      </c>
      <c r="BD203" s="2" t="e">
        <f ca="1">_xll.BDH($C$203,"GEO_GROW_BOOK_VAL","FY 2014","FY 2014","Currency=INR","Period=FY","BEST_FPERIOD_OVERRIDE=FY","FILING_STATUS=OR","EQY_CONSOLIDATED=Y","Sort=A","Dates=H","DateFormat=P","Fill=—","Direction=H","UseDPDF=Y")</f>
        <v>#NAME?</v>
      </c>
      <c r="BE203" s="2" t="e">
        <f ca="1">_xll.BDH($C$203,"GEO_GROW_CASH_OPER_ACT","FY 2014","FY 2014","Currency=INR","Period=FY","BEST_FPERIOD_OVERRIDE=FY","FILING_STATUS=OR","EQY_CONSOLIDATED=Y","Sort=A","Dates=H","DateFormat=P","Fill=—","Direction=H","UseDPDF=Y")</f>
        <v>#NAME?</v>
      </c>
      <c r="BF203" s="2" t="e">
        <f ca="1">_xll.BDH($C$203,"REVENUE_SEQUENTIAL_GROWTH","FY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03" s="2" t="e">
        <f ca="1">_xll.BDH($C$203,"EBITDA_SEQUENTIAL_GROWTH","FY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03" s="2" t="e">
        <f ca="1">_xll.BDH($C$203,"OPERATING_INCOME_SEQ_GROWTH","FY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03" s="2" t="e">
        <f ca="1">_xll.BDH($C$203,"NET_INCOME_TO_COMMON_SEQ_GROWTH","FY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03" s="2" t="e">
        <f ca="1">_xll.BDH($C$203,"EPS_DILUTED_SEQUENTIAL_GROWTH","FY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03" s="2" t="e">
        <f ca="1">_xll.BDH($C$203,"DPS_SEQUENTIAL_GROWTH","FY 2014","FY 2014","Currency=INR","Period=FY","BEST_FPERIOD_OVERRIDE=FY","FILING_STATUS=OR","EQY_CONSOLIDATED=Y","Sort=A","Dates=H","DateFormat=P","Fill=—","Direction=H","UseDPDF=Y")</f>
        <v>#NAME?</v>
      </c>
      <c r="BL203" s="2" t="e">
        <f ca="1">_xll.BDH($C$203,"ACCOUNTS_RECEIVABLE_SEQ_GROWTH","FY 2014","FY 2014","Currency=INR","Period=FY","BEST_FPERIOD_OVERRIDE=FY","FILING_STATUS=OR","EQY_CONSOLIDATED=Y","Sort=A","Dates=H","DateFormat=P","Fill=—","Direction=H","UseDPDF=Y")</f>
        <v>#NAME?</v>
      </c>
      <c r="BM203" s="2" t="e">
        <f ca="1">_xll.BDH($C$203,"INVENTORY_SEQUENTIAL_GROWTH","FY 2014","FY 2014","Currency=INR","Period=FY","BEST_FPERIOD_OVERRIDE=FY","FILING_STATUS=OR","EQY_CONSOLIDATED=Y","Sort=A","Dates=H","DateFormat=P","Fill=—","Direction=H","UseDPDF=Y")</f>
        <v>#NAME?</v>
      </c>
      <c r="BN203" s="2" t="e">
        <f ca="1">_xll.BDH($C$203,"FIXED_ASSETS_SEQUENTIAL_GROWTH","FY 2014","FY 2014","Currency=INR","Period=FY","BEST_FPERIOD_OVERRIDE=FY","FILING_STATUS=OR","EQY_CONSOLIDATED=Y","Sort=A","Dates=H","DateFormat=P","Fill=—","Direction=H","UseDPDF=Y")</f>
        <v>#NAME?</v>
      </c>
      <c r="BO203" s="2" t="e">
        <f ca="1">_xll.BDH($C$203,"TOTAL_ASSETS_SEQUENTIAL_GROWTH","FY 2014","FY 2014","Currency=INR","Period=FY","BEST_FPERIOD_OVERRIDE=FY","FILING_STATUS=OR","EQY_CONSOLIDATED=Y","Sort=A","Dates=H","DateFormat=P","Fill=—","Direction=H","UseDPDF=Y")</f>
        <v>#NAME?</v>
      </c>
      <c r="BP203" s="2" t="e">
        <f ca="1">_xll.BDH($C$203,"MODIFIED_WORKING_CPTL_SEQ_GRWTH","FY 2014","FY 2014","Currency=INR","Period=FY","BEST_FPERIOD_OVERRIDE=FY","FILING_STATUS=OR","EQY_CONSOLIDATED=Y","Sort=A","Dates=H","DateFormat=P","Fill=—","Direction=H","UseDPDF=Y")</f>
        <v>#NAME?</v>
      </c>
      <c r="BQ203" s="2" t="e">
        <f ca="1">_xll.BDH($C$203,"WORKING_CAPITAL_SEQ_GROWTH","FY 2014","FY 2014","Currency=INR","Period=FY","BEST_FPERIOD_OVERRIDE=FY","FILING_STATUS=OR","EQY_CONSOLIDATED=Y","Sort=A","Dates=H","DateFormat=P","Fill=—","Direction=H","UseDPDF=Y")</f>
        <v>#NAME?</v>
      </c>
      <c r="BR203" s="2" t="e">
        <f ca="1">_xll.BDH($C$203,"ACCOUNTS_PAYABLE_SEQ_GROWTH","FY 2014","FY 2014","Currency=INR","Period=FY","BEST_FPERIOD_OVERRIDE=FY","FILING_STATUS=OR","EQY_CONSOLIDATED=Y","Sort=A","Dates=H","DateFormat=P","Fill=—","Direction=H","UseDPDF=Y")</f>
        <v>#NAME?</v>
      </c>
      <c r="BS203" s="2" t="e">
        <f ca="1">_xll.BDH($C$203,"ST_DEBT_SEQUENTIAL_GROWTH","FY 2014","FY 2014","Currency=INR","Period=FY","BEST_FPERIOD_OVERRIDE=FY","FILING_STATUS=OR","EQY_CONSOLIDATED=Y","Sort=A","Dates=H","DateFormat=P","Fill=—","Direction=H","UseDPDF=Y")</f>
        <v>#NAME?</v>
      </c>
      <c r="BT203" s="2" t="e">
        <f ca="1">_xll.BDH($C$203,"TOTAL_DEBT_SEQUENTIAL_GROWTH","FY 2014","FY 2014","Currency=INR","Period=FY","BEST_FPERIOD_OVERRIDE=FY","FILING_STATUS=OR","EQY_CONSOLIDATED=Y","Sort=A","Dates=H","DateFormat=P","Fill=—","Direction=H","UseDPDF=Y")</f>
        <v>#NAME?</v>
      </c>
      <c r="BU203" s="2" t="e">
        <f ca="1">_xll.BDH($C$203,"TOTAL_EQUITY_SEQUENTIAL_GROWTH","FY 2014","FY 2014","Currency=INR","Period=FY","BEST_FPERIOD_OVERRIDE=FY","FILING_STATUS=OR","EQY_CONSOLIDATED=Y","Sort=A","Dates=H","DateFormat=P","Fill=—","Direction=H","UseDPDF=Y")</f>
        <v>#NAME?</v>
      </c>
      <c r="BV203" s="2" t="e">
        <f ca="1">_xll.BDH($C$203,"TOTAL_CAPITAL_SEQUENTIAL_GROWTH","FY 2014","FY 2014","Currency=INR","Period=FY","BEST_FPERIOD_OVERRIDE=FY","FILING_STATUS=OR","EQY_CONSOLIDATED=Y","Sort=A","Dates=H","DateFormat=P","Fill=—","Direction=H","UseDPDF=Y")</f>
        <v>#NAME?</v>
      </c>
      <c r="BW203" s="2" t="e">
        <f ca="1">_xll.BDH($C$203,"BPS_SEQUENTIAL_GROWTH","FY 2014","FY 2014","Currency=INR","Period=FY","BEST_FPERIOD_OVERRIDE=FY","FILING_STATUS=OR","EQY_CONSOLIDATED=Y","Sort=A","Dates=H","DateFormat=P","Fill=—","Direction=H","UseDPDF=Y")</f>
        <v>#NAME?</v>
      </c>
      <c r="BX203" s="2" t="e">
        <f ca="1">_xll.BDH($C$203,"CFO_SEQUENTIAL_GROWTH","FY 2014","FY 2014","Currency=INR","Period=FY","BEST_FPERIOD_OVERRIDE=FY","FILING_STATUS=OR","EQY_CONSOLIDATED=Y","Sort=A","Dates=H","DateFormat=P","Fill=—","Direction=H","UseDPDF=Y")</f>
        <v>#NAME?</v>
      </c>
      <c r="BY203" s="3" t="e">
        <f ca="1">_xll.BDH($C$203,"SHORT_AND_LONG_TERM_DEBT","FY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03" s="3" t="e">
        <f ca="1">_xll.BDH($C$203,"BS_ST_BORROW","FY 2014","FY 2014","Currency=INR","Period=FY","BEST_FPERIOD_OVERRIDE=FY","FILING_STATUS=OR","EQY_CONSOLIDATED=Y","SCALING_FORMAT=MLN","Sort=A","Dates=H","DateFormat=P","Fill=—","Direction=H","UseDPDF=Y")</f>
        <v>#NAME?</v>
      </c>
      <c r="CA203" s="3" t="e">
        <f ca="1">_xll.BDH($C$203,"BS_LT_BORROW","FY 2014","FY 2014","Currency=INR","Period=FY","BEST_FPERIOD_OVERRIDE=FY","FILING_STATUS=OR","EQY_CONSOLIDATED=Y","SCALING_FORMAT=MLN","Sort=A","Dates=H","DateFormat=P","Fill=—","Direction=H","UseDPDF=Y")</f>
        <v>#NAME?</v>
      </c>
      <c r="CB203" s="2" t="e">
        <f ca="1">_xll.BDH($C$203,"TOT_DEBT_TO_EBITDA","FY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03" s="2" t="e">
        <f ca="1">_xll.BDH($C$203,"NET_DEBT_TO_EBITDA","FY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03" s="2" t="e">
        <f ca="1">_xll.BDH($C$203,"TOTAL_DEBT_TO_EBIT","FY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03" s="2" t="e">
        <f ca="1">_xll.BDH($C$203,"NET_DEBT_TO_EBIT","FY 2014","FY 2014","Currency=INR","Period=FY","BEST_FPERIOD_OVERRIDE=FY","FILING_STATUS=OR","EQY_CONSOLIDATED=Y","FA_ADJUSTED=GAAP","Sort=A","Dates=H","DateFormat=P","Fill=—","Direction=H","UseDPDF=Y")</f>
        <v>#NAME?</v>
      </c>
      <c r="CF203" s="2" t="e">
        <f ca="1">_xll.BDH($C$203,"EBITDA_TO_INTEREST_EXPN","FY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03" s="2" t="e">
        <f ca="1">_xll.BDH($C$203,"COM_EQY_TO_TOT_ASSET","FY 2014","FY 2014","Currency=INR","Period=FY","BEST_FPERIOD_OVERRIDE=FY","FILING_STATUS=OR","EQY_CONSOLIDATED=Y","Sort=A","Dates=H","DateFormat=P","Fill=—","Direction=H","UseDPDF=Y")</f>
        <v>#NAME?</v>
      </c>
      <c r="CH203" s="2" t="e">
        <f ca="1">_xll.BDH($C$203,"LT_DEBT_TO_TOT_EQY","FY 2014","FY 2014","Currency=INR","Period=FY","BEST_FPERIOD_OVERRIDE=FY","FILING_STATUS=OR","EQY_CONSOLIDATED=Y","Sort=A","Dates=H","DateFormat=P","Fill=—","Direction=H","UseDPDF=Y")</f>
        <v>#NAME?</v>
      </c>
      <c r="CI203" s="2" t="e">
        <f ca="1">_xll.BDH($C$203,"LT_DEBT_TO_TOT_CAP","FY 2014","FY 2014","Currency=INR","Period=FY","BEST_FPERIOD_OVERRIDE=FY","FILING_STATUS=OR","EQY_CONSOLIDATED=Y","Sort=A","Dates=H","DateFormat=P","Fill=—","Direction=H","UseDPDF=Y")</f>
        <v>#NAME?</v>
      </c>
      <c r="CJ203" s="2" t="e">
        <f ca="1">_xll.BDH($C$203,"LT_DEBT_TO_TOT_ASSET","FY 2014","FY 2014","Currency=INR","Period=FY","BEST_FPERIOD_OVERRIDE=FY","FILING_STATUS=OR","EQY_CONSOLIDATED=Y","Sort=A","Dates=H","DateFormat=P","Fill=—","Direction=H","UseDPDF=Y")</f>
        <v>#NAME?</v>
      </c>
      <c r="CK203" s="2" t="e">
        <f ca="1">_xll.BDH($C$203,"TOT_DEBT_TO_TOT_EQY","FY 2014","FY 2014","Currency=INR","Period=FY","BEST_FPERIOD_OVERRIDE=FY","FILING_STATUS=OR","EQY_CONSOLIDATED=Y","Sort=A","Dates=H","DateFormat=P","Fill=—","Direction=H","UseDPDF=Y")</f>
        <v>#NAME?</v>
      </c>
      <c r="CL203" s="2" t="e">
        <f ca="1">_xll.BDH($C$203,"TOT_DEBT_TO_TOT_CAP","FY 2014","FY 2014","Currency=INR","Period=FY","BEST_FPERIOD_OVERRIDE=FY","FILING_STATUS=OR","EQY_CONSOLIDATED=Y","Sort=A","Dates=H","DateFormat=P","Fill=—","Direction=H","UseDPDF=Y")</f>
        <v>#NAME?</v>
      </c>
      <c r="CM203" s="2" t="e">
        <f ca="1">_xll.BDH($C$203,"TOT_DEBT_TO_TOT_ASSET","FY 2014","FY 2014","Currency=INR","Period=FY","BEST_FPERIOD_OVERRIDE=FY","FILING_STATUS=OR","EQY_CONSOLIDATED=Y","Sort=A","Dates=H","DateFormat=P","Fill=—","Direction=H","UseDPDF=Y")</f>
        <v>#NAME?</v>
      </c>
      <c r="CN203" s="2" t="e">
        <f ca="1">_xll.BDH($C$203,"NET_DEBT_TO_SHRHLDR_EQTY","FY 2014","FY 2014","Currency=INR","Period=FY","BEST_FPERIOD_OVERRIDE=FY","FILING_STATUS=OR","EQY_CONSOLIDATED=Y","Sort=A","Dates=H","DateFormat=P","Fill=—","Direction=H","UseDPDF=Y")</f>
        <v>#NAME?</v>
      </c>
      <c r="CO203" s="2" t="e">
        <f ca="1">_xll.BDH($C$203,"NET_DEBT_%_CAPITAL","FY 2014","FY 2014","Currency=INR","Period=FY","BEST_FPERIOD_OVERRIDE=FY","FILING_STATUS=OR","EQY_CONSOLIDATED=Y","Sort=A","Dates=H","DateFormat=P","Fill=—","Direction=H","UseDPDF=Y")</f>
        <v>#NAME?</v>
      </c>
      <c r="CP203" s="3" t="e">
        <f ca="1">_xll.BDH($C$203,"EBITDA","FY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03" s="3" t="e">
        <f ca="1">_xll.BDH($C$203,"EBITDA_AFTER_CAPEX","FY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03" s="3" t="e">
        <f ca="1">_xll.BDH($C$203,"IS_OPER_INC","FY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03" s="2" t="e">
        <f ca="1">_xll.BDH($C$203,"CASH_RATIO","FY 2014","FY 2014","Currency=INR","Period=FY","BEST_FPERIOD_OVERRIDE=FY","FILING_STATUS=OR","EQY_CONSOLIDATED=Y","Sort=A","Dates=H","DateFormat=P","Fill=—","Direction=H","UseDPDF=Y")</f>
        <v>#NAME?</v>
      </c>
      <c r="CT203" s="2" t="e">
        <f ca="1">_xll.BDH($C$203,"CUR_RATIO","FY 2014","FY 2014","Currency=INR","Period=FY","BEST_FPERIOD_OVERRIDE=FY","FILING_STATUS=OR","EQY_CONSOLIDATED=Y","Sort=A","Dates=H","DateFormat=P","Fill=—","Direction=H","UseDPDF=Y")</f>
        <v>#NAME?</v>
      </c>
      <c r="CU203" s="2" t="e">
        <f ca="1">_xll.BDH($C$203,"QUICK_RATIO","FY 2014","FY 2014","Currency=INR","Period=FY","BEST_FPERIOD_OVERRIDE=FY","FILING_STATUS=OR","EQY_CONSOLIDATED=Y","Sort=A","Dates=H","DateFormat=P","Fill=—","Direction=H","UseDPDF=Y")</f>
        <v>#NAME?</v>
      </c>
      <c r="CV203" s="2" t="e">
        <f ca="1">_xll.BDH($C$203,"ALTMAN_Z_SCORE","FY 2014","FY 2014","Currency=INR","Period=FY","BEST_FPERIOD_OVERRIDE=FY","FILING_STATUS=OR","EQY_CONSOLIDATED=Y","Sort=A","Dates=H","DateFormat=P","Fill=—","Direction=H","UseDPDF=Y")</f>
        <v>#NAME?</v>
      </c>
      <c r="CW203" s="4" t="e">
        <f ca="1">_xll.BDH($C$203,"ACCT_RCV_TURN","FY 2014","FY 2014","Currency=INR","Period=FY","BEST_FPERIOD_OVERRIDE=FY","FILING_STATUS=OR","EQY_CONSOLIDATED=Y","FA_ADJUSTED=GAAP","Sort=A","Dates=H","DateFormat=P","Fill=—","Direction=H","UseDPDF=Y")</f>
        <v>#NAME?</v>
      </c>
      <c r="CX203" s="2" t="e">
        <f ca="1">_xll.BDH($C$203,"ACCT_RCV_DAYS","FY 2014","FY 2014","Currency=INR","Period=FY","BEST_FPERIOD_OVERRIDE=FY","FILING_STATUS=OR","EQY_CONSOLIDATED=Y","FA_ADJUSTED=GAAP","Sort=A","Dates=H","DateFormat=P","Fill=—","Direction=H","UseDPDF=Y")</f>
        <v>#NAME?</v>
      </c>
      <c r="CY203" s="4" t="e">
        <f ca="1">_xll.BDH($C$203,"INVENT_TURN","FY 2014","FY 2014","Currency=INR","Period=FY","BEST_FPERIOD_OVERRIDE=FY","FILING_STATUS=OR","EQY_CONSOLIDATED=Y","FA_ADJUSTED=GAAP","Sort=A","Dates=H","DateFormat=P","Fill=—","Direction=H","UseDPDF=Y")</f>
        <v>#NAME?</v>
      </c>
      <c r="CZ203" s="2" t="e">
        <f ca="1">_xll.BDH($C$203,"INVENT_DAYS","FY 2014","FY 2014","Currency=INR","Period=FY","BEST_FPERIOD_OVERRIDE=FY","FILING_STATUS=OR","EQY_CONSOLIDATED=Y","FA_ADJUSTED=GAAP","Sort=A","Dates=H","DateFormat=P","Fill=—","Direction=H","UseDPDF=Y")</f>
        <v>#NAME?</v>
      </c>
      <c r="DA203" s="4" t="e">
        <f ca="1">_xll.BDH($C$203,"ACCOUNTS_PAYABLE_TURNOVER","FY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03" s="2" t="e">
        <f ca="1">_xll.BDH($C$203,"ACCOUNTS_PAYABLE_TURNOVER_DAYS","FY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03" s="4" t="e">
        <f ca="1">_xll.BDH($C$203,"CASH_CONVERSION_CYCLE","FY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03" s="4" t="e">
        <f ca="1">_xll.BDH($C$203,"INV_TO_CASH_DAYS","FY 2014","FY 2014","Currency=INR","Period=FY","BEST_FPERIOD_OVERRIDE=FY","FILING_STATUS=OR","EQY_CONSOLIDATED=Y","FA_ADJUSTED=GAAP","Sort=A","Dates=H","DateFormat=P","Fill=—","Direction=H","UseDPDF=Y")</f>
        <v>#NAME?</v>
      </c>
      <c r="DE203" s="5" t="e">
        <f ca="1">_xll.BDH($C$203,"BS_INVENTORIES","FY 2014","FY 2014","Currency=INR","Period=FY","BEST_FPERIOD_OVERRIDE=FY","FILING_STATUS=OR","EQY_CONSOLIDATED=Y","SCALING_FORMAT=MLN","Sort=A","Dates=H","DateFormat=P","Fill=—","Direction=H","UseDPDF=Y")</f>
        <v>#NAME?</v>
      </c>
      <c r="DF203" s="3" t="e">
        <f ca="1">_xll.BDH($C$203,"INVTRY_RAW_MATERIALS","FY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03" s="3" t="e">
        <f ca="1">_xll.BDH($C$203,"INVTRY_IN_PROGRESS","FY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03" s="3" t="e">
        <f ca="1">_xll.BDH($C$203,"INVTRY_FINISHED_GOODS","FY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03" s="3" t="e">
        <f ca="1">_xll.BDH($C$203,"BS_OTHER_INV","FY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04" spans="1:113" x14ac:dyDescent="0.3">
      <c r="A204" s="6"/>
      <c r="B204" s="6"/>
      <c r="C204" s="6"/>
      <c r="D204" s="6"/>
      <c r="E204" t="s">
        <v>78</v>
      </c>
      <c r="F204" t="e">
        <f ca="1">_xll.BDH($C$203,"RETURN_COM_EQY","FQ1 2014","FQ1 2014","Currency=INR","Period=FQ","BEST_FPERIOD_OVERRIDE=FQ","FILING_STATUS=OR","EQY_CONSOLIDATED=Y","FA_ADJUSTED=GAAP","Sort=A","Dates=H","DateFormat=P","Fill=—","Direction=H","UseDPDF=Y")</f>
        <v>#NAME?</v>
      </c>
      <c r="G204" t="e">
        <f ca="1">_xll.BDH($C$203,"RETURN_ON_ASSET","FQ1 2014","FQ1 2014","Currency=INR","Period=FQ","BEST_FPERIOD_OVERRIDE=FQ","FILING_STATUS=OR","EQY_CONSOLIDATED=Y","FA_ADJUSTED=GAAP","Sort=A","Dates=H","DateFormat=P","Fill=—","Direction=H","UseDPDF=Y")</f>
        <v>#NAME?</v>
      </c>
      <c r="H204" t="e">
        <f ca="1">_xll.BDH($C$203,"RETURN_ON_CAP","FQ1 2014","FQ1 2014","Currency=INR","Period=FQ","BEST_FPERIOD_OVERRIDE=FQ","FILING_STATUS=OR","EQY_CONSOLIDATED=Y","FA_ADJUSTED=GAAP","Sort=A","Dates=H","DateFormat=P","Fill=—","Direction=H","UseDPDF=Y")</f>
        <v>#NAME?</v>
      </c>
      <c r="I204" t="e">
        <f ca="1">_xll.BDH($C$203,"RETURN_ON_INV_CAPITAL","FQ1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04" t="e">
        <f ca="1">_xll.BDH($C$203,"EBITDA_TO_REVENUE","FQ1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04" t="e">
        <f ca="1">_xll.BDH($C$203,"OPER_MARGIN","FQ1 2014","FQ1 2014","Currency=INR","Period=FQ","BEST_FPERIOD_OVERRIDE=FQ","FILING_STATUS=OR","EQY_CONSOLIDATED=Y","FA_ADJUSTED=GAAP","Sort=A","Dates=H","DateFormat=P","Fill=—","Direction=H","UseDPDF=Y")</f>
        <v>#NAME?</v>
      </c>
      <c r="L204" t="e">
        <f ca="1">_xll.BDH($C$203,"INCREMENTAL_OPERATING_MARGIN","FQ1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04" t="e">
        <f ca="1">_xll.BDH($C$203,"PRETAX_INC_TO_NET_SALES","FQ1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04" t="e">
        <f ca="1">_xll.BDH($C$203,"INC_BEF_XO_ITEMS_TO_NET_SALES","FQ1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04" t="e">
        <f ca="1">_xll.BDH($C$203,"PROF_MARGIN","FQ1 2014","FQ1 2014","Currency=INR","Period=FQ","BEST_FPERIOD_OVERRIDE=FQ","FILING_STATUS=OR","EQY_CONSOLIDATED=Y","FA_ADJUSTED=GAAP","Sort=A","Dates=H","DateFormat=P","Fill=—","Direction=H","UseDPDF=Y")</f>
        <v>#NAME?</v>
      </c>
      <c r="P204" t="e">
        <f ca="1">_xll.BDH($C$203,"NET_INCOME_TO_COMMON_MARGIN","FQ1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04" t="e">
        <f ca="1">_xll.BDH($C$203,"EFF_TAX_RATE","FQ1 2014","FQ1 2014","Currency=INR","Period=FQ","BEST_FPERIOD_OVERRIDE=FQ","FILING_STATUS=OR","EQY_CONSOLIDATED=Y","FA_ADJUSTED=GAAP","Sort=A","Dates=H","DateFormat=P","Fill=—","Direction=H","UseDPDF=Y")</f>
        <v>#NAME?</v>
      </c>
      <c r="R204" t="e">
        <f ca="1">_xll.BDH($C$203,"DVD_PAYOUT_RATIO","FQ1 2014","FQ1 2014","Currency=INR","Period=FQ","BEST_FPERIOD_OVERRIDE=FQ","FILING_STATUS=OR","EQY_CONSOLIDATED=Y","FA_ADJUSTED=GAAP","Sort=A","Dates=H","DateFormat=P","Fill=—","Direction=H","UseDPDF=Y")</f>
        <v>#NAME?</v>
      </c>
      <c r="S204" t="e">
        <f ca="1">_xll.BDH($C$203,"SUSTAIN_GROWTH_RT","FQ1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04" s="2" t="e">
        <f ca="1">_xll.BDH($C$203,"SALES_GROWTH","FQ1 2014","FQ1 2014","Currency=INR","Period=FQ","BEST_FPERIOD_OVERRIDE=FQ","FILING_STATUS=OR","EQY_CONSOLIDATED=Y","FA_ADJUSTED=GAAP","Sort=A","Dates=H","DateFormat=P","Fill=—","Direction=H","UseDPDF=Y")</f>
        <v>#NAME?</v>
      </c>
      <c r="U204" s="2" t="e">
        <f ca="1">_xll.BDH($C$203,"EBITDA_GROWTH","FQ1 2014","FQ1 2014","Currency=INR","Period=FQ","BEST_FPERIOD_OVERRIDE=FQ","FILING_STATUS=OR","EQY_CONSOLIDATED=Y","FA_ADJUSTED=GAAP","Sort=A","Dates=H","DateFormat=P","Fill=—","Direction=H","UseDPDF=Y")</f>
        <v>#NAME?</v>
      </c>
      <c r="V204" s="2" t="e">
        <f ca="1">_xll.BDH($C$203,"OPER_INC_GROWTH","FQ1 2014","FQ1 2014","Currency=INR","Period=FQ","BEST_FPERIOD_OVERRIDE=FQ","FILING_STATUS=OR","EQY_CONSOLIDATED=Y","FA_ADJUSTED=GAAP","Sort=A","Dates=H","DateFormat=P","Fill=—","Direction=H","UseDPDF=Y")</f>
        <v>#NAME?</v>
      </c>
      <c r="W204" s="2" t="e">
        <f ca="1">_xll.BDH($C$203,"EARN_FOR_COM_GROWTH","FQ1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04" s="2" t="e">
        <f ca="1">_xll.BDH($C$203,"DILUTED_EPS_AFT_XO_ITEMS_GROWTH","FQ1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04" s="2" t="e">
        <f ca="1">_xll.BDH($C$203,"DIVIDEND_PER_SHARE_1_YEAR_GROWTH","FQ1 2014","FQ1 2014","Currency=INR","Period=FQ","BEST_FPERIOD_OVERRIDE=FQ","FILING_STATUS=OR","EQY_CONSOLIDATED=Y","Sort=A","Dates=H","DateFormat=P","Fill=—","Direction=H","UseDPDF=Y")</f>
        <v>#NAME?</v>
      </c>
      <c r="Z204" s="2" t="e">
        <f ca="1">_xll.BDH($C$203,"ACCOUNTS_RECEIVABLE_GROWTH","FQ1 2014","FQ1 2014","Currency=INR","Period=FQ","BEST_FPERIOD_OVERRIDE=FQ","FILING_STATUS=OR","EQY_CONSOLIDATED=Y","Sort=A","Dates=H","DateFormat=P","Fill=—","Direction=H","UseDPDF=Y")</f>
        <v>#NAME?</v>
      </c>
      <c r="AA204" s="2" t="e">
        <f ca="1">_xll.BDH($C$203,"INVENTORY_GROWTH","FQ1 2014","FQ1 2014","Currency=INR","Period=FQ","BEST_FPERIOD_OVERRIDE=FQ","FILING_STATUS=OR","EQY_CONSOLIDATED=Y","Sort=A","Dates=H","DateFormat=P","Fill=—","Direction=H","UseDPDF=Y")</f>
        <v>#NAME?</v>
      </c>
      <c r="AB204" s="2" t="e">
        <f ca="1">_xll.BDH($C$203,"NET_FIXED_ASSETS_1_YEAR_GROWTH","FQ1 2014","FQ1 2014","Currency=INR","Period=FQ","BEST_FPERIOD_OVERRIDE=FQ","FILING_STATUS=OR","EQY_CONSOLIDATED=Y","Sort=A","Dates=H","DateFormat=P","Fill=—","Direction=H","UseDPDF=Y")</f>
        <v>#NAME?</v>
      </c>
      <c r="AC204" s="2" t="e">
        <f ca="1">_xll.BDH($C$203,"ASSET_GROWTH","FQ1 2014","FQ1 2014","Currency=INR","Period=FQ","BEST_FPERIOD_OVERRIDE=FQ","FILING_STATUS=OR","EQY_CONSOLIDATED=Y","Sort=A","Dates=H","DateFormat=P","Fill=—","Direction=H","UseDPDF=Y")</f>
        <v>#NAME?</v>
      </c>
      <c r="AD204" s="2" t="e">
        <f ca="1">_xll.BDH($C$203,"MODIFIED_WORK_CAP_GROWTH","FQ1 2014","FQ1 2014","Currency=INR","Period=FQ","BEST_FPERIOD_OVERRIDE=FQ","FILING_STATUS=OR","EQY_CONSOLIDATED=Y","Sort=A","Dates=H","DateFormat=P","Fill=—","Direction=H","UseDPDF=Y")</f>
        <v>#NAME?</v>
      </c>
      <c r="AE204" s="2" t="e">
        <f ca="1">_xll.BDH($C$203,"WORK_CAP_GROWTH","FQ1 2014","FQ1 2014","Currency=INR","Period=FQ","BEST_FPERIOD_OVERRIDE=FQ","FILING_STATUS=OR","EQY_CONSOLIDATED=Y","Sort=A","Dates=H","DateFormat=P","Fill=—","Direction=H","UseDPDF=Y")</f>
        <v>#NAME?</v>
      </c>
      <c r="AF204" s="2" t="e">
        <f ca="1">_xll.BDH($C$203,"ACCOUNTS_PAYABLE_GROWTH_1YR","FQ1 2014","FQ1 2014","Currency=INR","Period=FQ","BEST_FPERIOD_OVERRIDE=FQ","FILING_STATUS=OR","EQY_CONSOLIDATED=Y","Sort=A","Dates=H","DateFormat=P","Fill=—","Direction=H","UseDPDF=Y")</f>
        <v>#NAME?</v>
      </c>
      <c r="AG204" s="2" t="e">
        <f ca="1">_xll.BDH($C$203,"SHORT_TERM_DEBT_1_YEAR_GROWTH","FQ1 2014","FQ1 2014","Currency=INR","Period=FQ","BEST_FPERIOD_OVERRIDE=FQ","FILING_STATUS=OR","EQY_CONSOLIDATED=Y","Sort=A","Dates=H","DateFormat=P","Fill=—","Direction=H","UseDPDF=Y")</f>
        <v>#NAME?</v>
      </c>
      <c r="AH204" s="2" t="e">
        <f ca="1">_xll.BDH($C$203,"TOTAL_DEBT_1_YEAR_GROWTH","FQ1 2014","FQ1 2014","Currency=INR","Period=FQ","BEST_FPERIOD_OVERRIDE=FQ","FILING_STATUS=OR","EQY_CONSOLIDATED=Y","Sort=A","Dates=H","DateFormat=P","Fill=—","Direction=H","UseDPDF=Y")</f>
        <v>#NAME?</v>
      </c>
      <c r="AI204" s="2" t="e">
        <f ca="1">_xll.BDH($C$203,"TOTAL_EQUITY_1_YEAR_GROWTH","FQ1 2014","FQ1 2014","Currency=INR","Period=FQ","BEST_FPERIOD_OVERRIDE=FQ","FILING_STATUS=OR","EQY_CONSOLIDATED=Y","Sort=A","Dates=H","DateFormat=P","Fill=—","Direction=H","UseDPDF=Y")</f>
        <v>#NAME?</v>
      </c>
      <c r="AJ204" s="2" t="e">
        <f ca="1">_xll.BDH($C$203,"GROWTH_IN_CAP","FQ1 2014","FQ1 2014","Currency=INR","Period=FQ","BEST_FPERIOD_OVERRIDE=FQ","FILING_STATUS=OR","EQY_CONSOLIDATED=Y","Sort=A","Dates=H","DateFormat=P","Fill=—","Direction=H","UseDPDF=Y")</f>
        <v>#NAME?</v>
      </c>
      <c r="AK204" s="2" t="e">
        <f ca="1">_xll.BDH($C$203,"BVPS_GROWTH","FQ1 2014","FQ1 2014","Currency=INR","Period=FQ","BEST_FPERIOD_OVERRIDE=FQ","FILING_STATUS=OR","EQY_CONSOLIDATED=Y","Sort=A","Dates=H","DateFormat=P","Fill=—","Direction=H","UseDPDF=Y")</f>
        <v>#NAME?</v>
      </c>
      <c r="AL204" s="2" t="e">
        <f ca="1">_xll.BDH($C$203,"CASH_FLOW_GROWTH","FQ1 2014","FQ1 2014","Currency=INR","Period=FQ","BEST_FPERIOD_OVERRIDE=FQ","FILING_STATUS=OR","EQY_CONSOLIDATED=Y","Sort=A","Dates=H","DateFormat=P","Fill=—","Direction=H","UseDPDF=Y")</f>
        <v>#NAME?</v>
      </c>
      <c r="AM204" s="2" t="e">
        <f ca="1">_xll.BDH($C$203,"GEO_GROW_NET_SALES","FQ1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04" s="2" t="e">
        <f ca="1">_xll.BDH($C$203,"GEO_GROW_EBITDA","FQ1 2014","FQ1 2014","Currency=INR","Period=FQ","BEST_FPERIOD_OVERRIDE=FQ","FILING_STATUS=OR","EQY_CONSOLIDATED=Y","FA_ADJUSTED=GAAP","Sort=A","Dates=H","DateFormat=P","Fill=—","Direction=H","UseDPDF=Y")</f>
        <v>#NAME?</v>
      </c>
      <c r="AO204" s="2" t="e">
        <f ca="1">_xll.BDH($C$203,"GEO_GROW_OPER_INC","FQ1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04" s="2" t="e">
        <f ca="1">_xll.BDH($C$203,"NET_INCOME_TO_COMMON_5_YR_GROWTH","FQ1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04" s="2" t="e">
        <f ca="1">_xll.BDH($C$203,"5Y_GEO_GROWTH_DILUTED_EPS","FQ1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04" s="2" t="e">
        <f ca="1">_xll.BDH($C$203,"GEO_GROW_DVD_PER_SH","FQ1 2014","FQ1 2014","Currency=INR","Period=FQ","BEST_FPERIOD_OVERRIDE=FQ","FILING_STATUS=OR","EQY_CONSOLIDATED=Y","Sort=A","Dates=H","DateFormat=P","Fill=—","Direction=H","UseDPDF=Y")</f>
        <v>#NAME?</v>
      </c>
      <c r="AS204" s="2" t="e">
        <f ca="1">_xll.BDH($C$203,"ACCOUNTS_RECEIVABLE_5_YR_GROWTH","FQ1 2014","FQ1 2014","Currency=INR","Period=FQ","BEST_FPERIOD_OVERRIDE=FQ","FILING_STATUS=OR","EQY_CONSOLIDATED=Y","Sort=A","Dates=H","DateFormat=P","Fill=—","Direction=H","UseDPDF=Y")</f>
        <v>#NAME?</v>
      </c>
      <c r="AT204" s="2" t="e">
        <f ca="1">_xll.BDH($C$203,"INVENTORY_5_YEAR_GROWTH","FQ1 2014","FQ1 2014","Currency=INR","Period=FQ","BEST_FPERIOD_OVERRIDE=FQ","FILING_STATUS=OR","EQY_CONSOLIDATED=Y","Sort=A","Dates=H","DateFormat=P","Fill=—","Direction=H","UseDPDF=Y")</f>
        <v>#NAME?</v>
      </c>
      <c r="AU204" s="2" t="e">
        <f ca="1">_xll.BDH($C$203,"NET_FIXED_ASSETS_5_YEAR_GROWTH","FQ1 2014","FQ1 2014","Currency=INR","Period=FQ","BEST_FPERIOD_OVERRIDE=FQ","FILING_STATUS=OR","EQY_CONSOLIDATED=Y","Sort=A","Dates=H","DateFormat=P","Fill=—","Direction=H","UseDPDF=Y")</f>
        <v>#NAME?</v>
      </c>
      <c r="AV204" s="2" t="e">
        <f ca="1">_xll.BDH($C$203,"GEO_GROW_TOT_ASSET","FQ1 2014","FQ1 2014","Currency=INR","Period=FQ","BEST_FPERIOD_OVERRIDE=FQ","FILING_STATUS=OR","EQY_CONSOLIDATED=Y","Sort=A","Dates=H","DateFormat=P","Fill=—","Direction=H","UseDPDF=Y")</f>
        <v>#NAME?</v>
      </c>
      <c r="AW204" s="2" t="e">
        <f ca="1">_xll.BDH($C$203,"MODIFIED_WORKING_CPTL_5YR_GRWTH","FQ1 2014","FQ1 2014","Currency=INR","Period=FQ","BEST_FPERIOD_OVERRIDE=FQ","FILING_STATUS=OR","EQY_CONSOLIDATED=Y","Sort=A","Dates=H","DateFormat=P","Fill=—","Direction=H","UseDPDF=Y")</f>
        <v>#NAME?</v>
      </c>
      <c r="AX204" s="2" t="e">
        <f ca="1">_xll.BDH($C$203,"WORKING_CAPITAL_5_YEAR_GROWTH","FQ1 2014","FQ1 2014","Currency=INR","Period=FQ","BEST_FPERIOD_OVERRIDE=FQ","FILING_STATUS=OR","EQY_CONSOLIDATED=Y","Sort=A","Dates=H","DateFormat=P","Fill=—","Direction=H","UseDPDF=Y")</f>
        <v>#NAME?</v>
      </c>
      <c r="AY204" s="2" t="e">
        <f ca="1">_xll.BDH($C$203,"ACCOUNTS_PAYABLE_5_YEAR_GROWTH","FQ1 2014","FQ1 2014","Currency=INR","Period=FQ","BEST_FPERIOD_OVERRIDE=FQ","FILING_STATUS=OR","EQY_CONSOLIDATED=Y","Sort=A","Dates=H","DateFormat=P","Fill=—","Direction=H","UseDPDF=Y")</f>
        <v>#NAME?</v>
      </c>
      <c r="AZ204" s="2" t="e">
        <f ca="1">_xll.BDH($C$203,"SHORT_TERM_DEBT_5_YEAR_GROWTH","FQ1 2014","FQ1 2014","Currency=INR","Period=FQ","BEST_FPERIOD_OVERRIDE=FQ","FILING_STATUS=OR","EQY_CONSOLIDATED=Y","Sort=A","Dates=H","DateFormat=P","Fill=—","Direction=H","UseDPDF=Y")</f>
        <v>#NAME?</v>
      </c>
      <c r="BA204" s="2" t="e">
        <f ca="1">_xll.BDH($C$203,"TOTAL_DEBT_5_YEAR_GROWTH","FQ1 2014","FQ1 2014","Currency=INR","Period=FQ","BEST_FPERIOD_OVERRIDE=FQ","FILING_STATUS=OR","EQY_CONSOLIDATED=Y","Sort=A","Dates=H","DateFormat=P","Fill=—","Direction=H","UseDPDF=Y")</f>
        <v>#NAME?</v>
      </c>
      <c r="BB204" s="2" t="e">
        <f ca="1">_xll.BDH($C$203,"GEO_GROW_TOT_SHRHLDR_EQY","FQ1 2014","FQ1 2014","Currency=INR","Period=FQ","BEST_FPERIOD_OVERRIDE=FQ","FILING_STATUS=OR","EQY_CONSOLIDATED=Y","Sort=A","Dates=H","DateFormat=P","Fill=—","Direction=H","UseDPDF=Y")</f>
        <v>#NAME?</v>
      </c>
      <c r="BC204" s="2" t="e">
        <f ca="1">_xll.BDH($C$203,"TOTAL_CAPITAL_5_YEAR_GROWTH","FQ1 2014","FQ1 2014","Currency=INR","Period=FQ","BEST_FPERIOD_OVERRIDE=FQ","FILING_STATUS=OR","EQY_CONSOLIDATED=Y","Sort=A","Dates=H","DateFormat=P","Fill=—","Direction=H","UseDPDF=Y")</f>
        <v>#NAME?</v>
      </c>
      <c r="BD204" s="2" t="e">
        <f ca="1">_xll.BDH($C$203,"GEO_GROW_BOOK_VAL","FQ1 2014","FQ1 2014","Currency=INR","Period=FQ","BEST_FPERIOD_OVERRIDE=FQ","FILING_STATUS=OR","EQY_CONSOLIDATED=Y","Sort=A","Dates=H","DateFormat=P","Fill=—","Direction=H","UseDPDF=Y")</f>
        <v>#NAME?</v>
      </c>
      <c r="BE204" s="2" t="e">
        <f ca="1">_xll.BDH($C$203,"GEO_GROW_CASH_OPER_ACT","FQ1 2014","FQ1 2014","Currency=INR","Period=FQ","BEST_FPERIOD_OVERRIDE=FQ","FILING_STATUS=OR","EQY_CONSOLIDATED=Y","Sort=A","Dates=H","DateFormat=P","Fill=—","Direction=H","UseDPDF=Y")</f>
        <v>#NAME?</v>
      </c>
      <c r="BF204" s="2" t="e">
        <f ca="1">_xll.BDH($C$203,"REVENUE_SEQUENTIAL_GROWTH","FQ1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04" s="2" t="e">
        <f ca="1">_xll.BDH($C$203,"EBITDA_SEQUENTIAL_GROWTH","FQ1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04" s="2" t="e">
        <f ca="1">_xll.BDH($C$203,"OPERATING_INCOME_SEQ_GROWTH","FQ1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04" s="2" t="e">
        <f ca="1">_xll.BDH($C$203,"NET_INCOME_TO_COMMON_SEQ_GROWTH","FQ1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04" s="2" t="e">
        <f ca="1">_xll.BDH($C$203,"EPS_DILUTED_SEQUENTIAL_GROWTH","FQ1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04" s="2" t="e">
        <f ca="1">_xll.BDH($C$203,"DPS_SEQUENTIAL_GROWTH","FQ1 2014","FQ1 2014","Currency=INR","Period=FQ","BEST_FPERIOD_OVERRIDE=FQ","FILING_STATUS=OR","EQY_CONSOLIDATED=Y","Sort=A","Dates=H","DateFormat=P","Fill=—","Direction=H","UseDPDF=Y")</f>
        <v>#NAME?</v>
      </c>
      <c r="BL204" s="2" t="e">
        <f ca="1">_xll.BDH($C$203,"ACCOUNTS_RECEIVABLE_SEQ_GROWTH","FQ1 2014","FQ1 2014","Currency=INR","Period=FQ","BEST_FPERIOD_OVERRIDE=FQ","FILING_STATUS=OR","EQY_CONSOLIDATED=Y","Sort=A","Dates=H","DateFormat=P","Fill=—","Direction=H","UseDPDF=Y")</f>
        <v>#NAME?</v>
      </c>
      <c r="BM204" s="2" t="e">
        <f ca="1">_xll.BDH($C$203,"INVENTORY_SEQUENTIAL_GROWTH","FQ1 2014","FQ1 2014","Currency=INR","Period=FQ","BEST_FPERIOD_OVERRIDE=FQ","FILING_STATUS=OR","EQY_CONSOLIDATED=Y","Sort=A","Dates=H","DateFormat=P","Fill=—","Direction=H","UseDPDF=Y")</f>
        <v>#NAME?</v>
      </c>
      <c r="BN204" s="2" t="e">
        <f ca="1">_xll.BDH($C$203,"FIXED_ASSETS_SEQUENTIAL_GROWTH","FQ1 2014","FQ1 2014","Currency=INR","Period=FQ","BEST_FPERIOD_OVERRIDE=FQ","FILING_STATUS=OR","EQY_CONSOLIDATED=Y","Sort=A","Dates=H","DateFormat=P","Fill=—","Direction=H","UseDPDF=Y")</f>
        <v>#NAME?</v>
      </c>
      <c r="BO204" s="2" t="e">
        <f ca="1">_xll.BDH($C$203,"TOTAL_ASSETS_SEQUENTIAL_GROWTH","FQ1 2014","FQ1 2014","Currency=INR","Period=FQ","BEST_FPERIOD_OVERRIDE=FQ","FILING_STATUS=OR","EQY_CONSOLIDATED=Y","Sort=A","Dates=H","DateFormat=P","Fill=—","Direction=H","UseDPDF=Y")</f>
        <v>#NAME?</v>
      </c>
      <c r="BP204" s="2" t="e">
        <f ca="1">_xll.BDH($C$203,"MODIFIED_WORKING_CPTL_SEQ_GRWTH","FQ1 2014","FQ1 2014","Currency=INR","Period=FQ","BEST_FPERIOD_OVERRIDE=FQ","FILING_STATUS=OR","EQY_CONSOLIDATED=Y","Sort=A","Dates=H","DateFormat=P","Fill=—","Direction=H","UseDPDF=Y")</f>
        <v>#NAME?</v>
      </c>
      <c r="BQ204" s="2" t="e">
        <f ca="1">_xll.BDH($C$203,"WORKING_CAPITAL_SEQ_GROWTH","FQ1 2014","FQ1 2014","Currency=INR","Period=FQ","BEST_FPERIOD_OVERRIDE=FQ","FILING_STATUS=OR","EQY_CONSOLIDATED=Y","Sort=A","Dates=H","DateFormat=P","Fill=—","Direction=H","UseDPDF=Y")</f>
        <v>#NAME?</v>
      </c>
      <c r="BR204" s="2" t="e">
        <f ca="1">_xll.BDH($C$203,"ACCOUNTS_PAYABLE_SEQ_GROWTH","FQ1 2014","FQ1 2014","Currency=INR","Period=FQ","BEST_FPERIOD_OVERRIDE=FQ","FILING_STATUS=OR","EQY_CONSOLIDATED=Y","Sort=A","Dates=H","DateFormat=P","Fill=—","Direction=H","UseDPDF=Y")</f>
        <v>#NAME?</v>
      </c>
      <c r="BS204" s="2" t="e">
        <f ca="1">_xll.BDH($C$203,"ST_DEBT_SEQUENTIAL_GROWTH","FQ1 2014","FQ1 2014","Currency=INR","Period=FQ","BEST_FPERIOD_OVERRIDE=FQ","FILING_STATUS=OR","EQY_CONSOLIDATED=Y","Sort=A","Dates=H","DateFormat=P","Fill=—","Direction=H","UseDPDF=Y")</f>
        <v>#NAME?</v>
      </c>
      <c r="BT204" s="2" t="e">
        <f ca="1">_xll.BDH($C$203,"TOTAL_DEBT_SEQUENTIAL_GROWTH","FQ1 2014","FQ1 2014","Currency=INR","Period=FQ","BEST_FPERIOD_OVERRIDE=FQ","FILING_STATUS=OR","EQY_CONSOLIDATED=Y","Sort=A","Dates=H","DateFormat=P","Fill=—","Direction=H","UseDPDF=Y")</f>
        <v>#NAME?</v>
      </c>
      <c r="BU204" s="2" t="e">
        <f ca="1">_xll.BDH($C$203,"TOTAL_EQUITY_SEQUENTIAL_GROWTH","FQ1 2014","FQ1 2014","Currency=INR","Period=FQ","BEST_FPERIOD_OVERRIDE=FQ","FILING_STATUS=OR","EQY_CONSOLIDATED=Y","Sort=A","Dates=H","DateFormat=P","Fill=—","Direction=H","UseDPDF=Y")</f>
        <v>#NAME?</v>
      </c>
      <c r="BV204" s="2" t="e">
        <f ca="1">_xll.BDH($C$203,"TOTAL_CAPITAL_SEQUENTIAL_GROWTH","FQ1 2014","FQ1 2014","Currency=INR","Period=FQ","BEST_FPERIOD_OVERRIDE=FQ","FILING_STATUS=OR","EQY_CONSOLIDATED=Y","Sort=A","Dates=H","DateFormat=P","Fill=—","Direction=H","UseDPDF=Y")</f>
        <v>#NAME?</v>
      </c>
      <c r="BW204" s="2" t="e">
        <f ca="1">_xll.BDH($C$203,"BPS_SEQUENTIAL_GROWTH","FQ1 2014","FQ1 2014","Currency=INR","Period=FQ","BEST_FPERIOD_OVERRIDE=FQ","FILING_STATUS=OR","EQY_CONSOLIDATED=Y","Sort=A","Dates=H","DateFormat=P","Fill=—","Direction=H","UseDPDF=Y")</f>
        <v>#NAME?</v>
      </c>
      <c r="BX204" s="2" t="e">
        <f ca="1">_xll.BDH($C$203,"CFO_SEQUENTIAL_GROWTH","FQ1 2014","FQ1 2014","Currency=INR","Period=FQ","BEST_FPERIOD_OVERRIDE=FQ","FILING_STATUS=OR","EQY_CONSOLIDATED=Y","Sort=A","Dates=H","DateFormat=P","Fill=—","Direction=H","UseDPDF=Y")</f>
        <v>#NAME?</v>
      </c>
      <c r="BY204" s="3" t="e">
        <f ca="1">_xll.BDH($C$203,"SHORT_AND_LONG_TERM_DEBT","FQ1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04" s="3" t="e">
        <f ca="1">_xll.BDH($C$203,"BS_ST_BORROW","FQ1 2014","FQ1 2014","Currency=INR","Period=FQ","BEST_FPERIOD_OVERRIDE=FQ","FILING_STATUS=OR","EQY_CONSOLIDATED=Y","SCALING_FORMAT=MLN","Sort=A","Dates=H","DateFormat=P","Fill=—","Direction=H","UseDPDF=Y")</f>
        <v>#NAME?</v>
      </c>
      <c r="CA204" s="3" t="e">
        <f ca="1">_xll.BDH($C$203,"BS_LT_BORROW","FQ1 2014","FQ1 2014","Currency=INR","Period=FQ","BEST_FPERIOD_OVERRIDE=FQ","FILING_STATUS=OR","EQY_CONSOLIDATED=Y","SCALING_FORMAT=MLN","Sort=A","Dates=H","DateFormat=P","Fill=—","Direction=H","UseDPDF=Y")</f>
        <v>#NAME?</v>
      </c>
      <c r="CB204" s="2" t="e">
        <f ca="1">_xll.BDH($C$203,"TOT_DEBT_TO_EBITDA","FQ1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04" s="2" t="e">
        <f ca="1">_xll.BDH($C$203,"NET_DEBT_TO_EBITDA","FQ1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04" s="2" t="e">
        <f ca="1">_xll.BDH($C$203,"TOTAL_DEBT_TO_EBIT","FQ1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04" s="2" t="e">
        <f ca="1">_xll.BDH($C$203,"NET_DEBT_TO_EBIT","FQ1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04" s="2" t="e">
        <f ca="1">_xll.BDH($C$203,"EBITDA_TO_INTEREST_EXPN","FQ1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04" s="2" t="e">
        <f ca="1">_xll.BDH($C$203,"COM_EQY_TO_TOT_ASSET","FQ1 2014","FQ1 2014","Currency=INR","Period=FQ","BEST_FPERIOD_OVERRIDE=FQ","FILING_STATUS=OR","EQY_CONSOLIDATED=Y","Sort=A","Dates=H","DateFormat=P","Fill=—","Direction=H","UseDPDF=Y")</f>
        <v>#NAME?</v>
      </c>
      <c r="CH204" s="2" t="e">
        <f ca="1">_xll.BDH($C$203,"LT_DEBT_TO_TOT_EQY","FQ1 2014","FQ1 2014","Currency=INR","Period=FQ","BEST_FPERIOD_OVERRIDE=FQ","FILING_STATUS=OR","EQY_CONSOLIDATED=Y","Sort=A","Dates=H","DateFormat=P","Fill=—","Direction=H","UseDPDF=Y")</f>
        <v>#NAME?</v>
      </c>
      <c r="CI204" s="2" t="e">
        <f ca="1">_xll.BDH($C$203,"LT_DEBT_TO_TOT_CAP","FQ1 2014","FQ1 2014","Currency=INR","Period=FQ","BEST_FPERIOD_OVERRIDE=FQ","FILING_STATUS=OR","EQY_CONSOLIDATED=Y","Sort=A","Dates=H","DateFormat=P","Fill=—","Direction=H","UseDPDF=Y")</f>
        <v>#NAME?</v>
      </c>
      <c r="CJ204" s="2" t="e">
        <f ca="1">_xll.BDH($C$203,"LT_DEBT_TO_TOT_ASSET","FQ1 2014","FQ1 2014","Currency=INR","Period=FQ","BEST_FPERIOD_OVERRIDE=FQ","FILING_STATUS=OR","EQY_CONSOLIDATED=Y","Sort=A","Dates=H","DateFormat=P","Fill=—","Direction=H","UseDPDF=Y")</f>
        <v>#NAME?</v>
      </c>
      <c r="CK204" s="2" t="e">
        <f ca="1">_xll.BDH($C$203,"TOT_DEBT_TO_TOT_EQY","FQ1 2014","FQ1 2014","Currency=INR","Period=FQ","BEST_FPERIOD_OVERRIDE=FQ","FILING_STATUS=OR","EQY_CONSOLIDATED=Y","Sort=A","Dates=H","DateFormat=P","Fill=—","Direction=H","UseDPDF=Y")</f>
        <v>#NAME?</v>
      </c>
      <c r="CL204" s="2" t="e">
        <f ca="1">_xll.BDH($C$203,"TOT_DEBT_TO_TOT_CAP","FQ1 2014","FQ1 2014","Currency=INR","Period=FQ","BEST_FPERIOD_OVERRIDE=FQ","FILING_STATUS=OR","EQY_CONSOLIDATED=Y","Sort=A","Dates=H","DateFormat=P","Fill=—","Direction=H","UseDPDF=Y")</f>
        <v>#NAME?</v>
      </c>
      <c r="CM204" s="2" t="e">
        <f ca="1">_xll.BDH($C$203,"TOT_DEBT_TO_TOT_ASSET","FQ1 2014","FQ1 2014","Currency=INR","Period=FQ","BEST_FPERIOD_OVERRIDE=FQ","FILING_STATUS=OR","EQY_CONSOLIDATED=Y","Sort=A","Dates=H","DateFormat=P","Fill=—","Direction=H","UseDPDF=Y")</f>
        <v>#NAME?</v>
      </c>
      <c r="CN204" s="2" t="e">
        <f ca="1">_xll.BDH($C$203,"NET_DEBT_TO_SHRHLDR_EQTY","FQ1 2014","FQ1 2014","Currency=INR","Period=FQ","BEST_FPERIOD_OVERRIDE=FQ","FILING_STATUS=OR","EQY_CONSOLIDATED=Y","Sort=A","Dates=H","DateFormat=P","Fill=—","Direction=H","UseDPDF=Y")</f>
        <v>#NAME?</v>
      </c>
      <c r="CO204" s="2" t="e">
        <f ca="1">_xll.BDH($C$203,"NET_DEBT_%_CAPITAL","FQ1 2014","FQ1 2014","Currency=INR","Period=FQ","BEST_FPERIOD_OVERRIDE=FQ","FILING_STATUS=OR","EQY_CONSOLIDATED=Y","Sort=A","Dates=H","DateFormat=P","Fill=—","Direction=H","UseDPDF=Y")</f>
        <v>#NAME?</v>
      </c>
      <c r="CP204" s="3" t="e">
        <f ca="1">_xll.BDH($C$203,"EBITDA","FQ1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04" s="3" t="e">
        <f ca="1">_xll.BDH($C$203,"EBITDA_AFTER_CAPEX","FQ1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04" s="3" t="e">
        <f ca="1">_xll.BDH($C$203,"IS_OPER_INC","FQ1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04" s="2" t="e">
        <f ca="1">_xll.BDH($C$203,"CASH_RATIO","FQ1 2014","FQ1 2014","Currency=INR","Period=FQ","BEST_FPERIOD_OVERRIDE=FQ","FILING_STATUS=OR","EQY_CONSOLIDATED=Y","Sort=A","Dates=H","DateFormat=P","Fill=—","Direction=H","UseDPDF=Y")</f>
        <v>#NAME?</v>
      </c>
      <c r="CT204" s="2" t="e">
        <f ca="1">_xll.BDH($C$203,"CUR_RATIO","FQ1 2014","FQ1 2014","Currency=INR","Period=FQ","BEST_FPERIOD_OVERRIDE=FQ","FILING_STATUS=OR","EQY_CONSOLIDATED=Y","Sort=A","Dates=H","DateFormat=P","Fill=—","Direction=H","UseDPDF=Y")</f>
        <v>#NAME?</v>
      </c>
      <c r="CU204" s="2" t="e">
        <f ca="1">_xll.BDH($C$203,"QUICK_RATIO","FQ1 2014","FQ1 2014","Currency=INR","Period=FQ","BEST_FPERIOD_OVERRIDE=FQ","FILING_STATUS=OR","EQY_CONSOLIDATED=Y","Sort=A","Dates=H","DateFormat=P","Fill=—","Direction=H","UseDPDF=Y")</f>
        <v>#NAME?</v>
      </c>
      <c r="CV204" s="2" t="e">
        <f ca="1">_xll.BDH($C$203,"ALTMAN_Z_SCORE","FQ1 2014","FQ1 2014","Currency=INR","Period=FQ","BEST_FPERIOD_OVERRIDE=FQ","FILING_STATUS=OR","EQY_CONSOLIDATED=Y","Sort=A","Dates=H","DateFormat=P","Fill=—","Direction=H","UseDPDF=Y")</f>
        <v>#NAME?</v>
      </c>
      <c r="CW204" s="4" t="e">
        <f ca="1">_xll.BDH($C$203,"ACCT_RCV_TURN","FQ1 2014","FQ1 2014","Currency=INR","Period=FQ","BEST_FPERIOD_OVERRIDE=FQ","FILING_STATUS=OR","EQY_CONSOLIDATED=Y","FA_ADJUSTED=GAAP","Sort=A","Dates=H","DateFormat=P","Fill=—","Direction=H","UseDPDF=Y")</f>
        <v>#NAME?</v>
      </c>
      <c r="CX204" s="2" t="e">
        <f ca="1">_xll.BDH($C$203,"ACCT_RCV_DAYS","FQ1 2014","FQ1 2014","Currency=INR","Period=FQ","BEST_FPERIOD_OVERRIDE=FQ","FILING_STATUS=OR","EQY_CONSOLIDATED=Y","FA_ADJUSTED=GAAP","Sort=A","Dates=H","DateFormat=P","Fill=—","Direction=H","UseDPDF=Y")</f>
        <v>#NAME?</v>
      </c>
      <c r="CY204" s="4" t="e">
        <f ca="1">_xll.BDH($C$203,"INVENT_TURN","FQ1 2014","FQ1 2014","Currency=INR","Period=FQ","BEST_FPERIOD_OVERRIDE=FQ","FILING_STATUS=OR","EQY_CONSOLIDATED=Y","FA_ADJUSTED=GAAP","Sort=A","Dates=H","DateFormat=P","Fill=—","Direction=H","UseDPDF=Y")</f>
        <v>#NAME?</v>
      </c>
      <c r="CZ204" s="2" t="e">
        <f ca="1">_xll.BDH($C$203,"INVENT_DAYS","FQ1 2014","FQ1 2014","Currency=INR","Period=FQ","BEST_FPERIOD_OVERRIDE=FQ","FILING_STATUS=OR","EQY_CONSOLIDATED=Y","FA_ADJUSTED=GAAP","Sort=A","Dates=H","DateFormat=P","Fill=—","Direction=H","UseDPDF=Y")</f>
        <v>#NAME?</v>
      </c>
      <c r="DA204" s="4" t="e">
        <f ca="1">_xll.BDH($C$203,"ACCOUNTS_PAYABLE_TURNOVER","FQ1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04" s="2" t="e">
        <f ca="1">_xll.BDH($C$203,"ACCOUNTS_PAYABLE_TURNOVER_DAYS","FQ1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04" s="4" t="e">
        <f ca="1">_xll.BDH($C$203,"CASH_CONVERSION_CYCLE","FQ1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04" s="4" t="e">
        <f ca="1">_xll.BDH($C$203,"INV_TO_CASH_DAYS","FQ1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04" s="5" t="e">
        <f ca="1">_xll.BDH($C$203,"BS_INVENTORIES","FQ1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04" s="3" t="e">
        <f ca="1">_xll.BDH($C$203,"INVTRY_RAW_MATERIALS","FQ1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04" s="3" t="e">
        <f ca="1">_xll.BDH($C$203,"INVTRY_IN_PROGRESS","FQ1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04" s="3" t="e">
        <f ca="1">_xll.BDH($C$203,"INVTRY_FINISHED_GOODS","FQ1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04" s="3" t="e">
        <f ca="1">_xll.BDH($C$203,"BS_OTHER_INV","FQ1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05" spans="1:113" x14ac:dyDescent="0.3">
      <c r="A205" s="6"/>
      <c r="B205" s="6"/>
      <c r="C205" s="6"/>
      <c r="D205" s="6"/>
      <c r="E205" t="s">
        <v>79</v>
      </c>
      <c r="F205" t="e">
        <f ca="1">_xll.BDH($C$203,"RETURN_COM_EQY","FQ2 2014","FQ2 2014","Currency=INR","Period=FQ","BEST_FPERIOD_OVERRIDE=FQ","FILING_STATUS=OR","EQY_CONSOLIDATED=Y","FA_ADJUSTED=GAAP","Sort=A","Dates=H","DateFormat=P","Fill=—","Direction=H","UseDPDF=Y")</f>
        <v>#NAME?</v>
      </c>
      <c r="G205" t="e">
        <f ca="1">_xll.BDH($C$203,"RETURN_ON_ASSET","FQ2 2014","FQ2 2014","Currency=INR","Period=FQ","BEST_FPERIOD_OVERRIDE=FQ","FILING_STATUS=OR","EQY_CONSOLIDATED=Y","FA_ADJUSTED=GAAP","Sort=A","Dates=H","DateFormat=P","Fill=—","Direction=H","UseDPDF=Y")</f>
        <v>#NAME?</v>
      </c>
      <c r="H205" t="e">
        <f ca="1">_xll.BDH($C$203,"RETURN_ON_CAP","FQ2 2014","FQ2 2014","Currency=INR","Period=FQ","BEST_FPERIOD_OVERRIDE=FQ","FILING_STATUS=OR","EQY_CONSOLIDATED=Y","FA_ADJUSTED=GAAP","Sort=A","Dates=H","DateFormat=P","Fill=—","Direction=H","UseDPDF=Y")</f>
        <v>#NAME?</v>
      </c>
      <c r="I205" t="e">
        <f ca="1">_xll.BDH($C$203,"RETURN_ON_INV_CAPITAL","FQ2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05" t="e">
        <f ca="1">_xll.BDH($C$203,"EBITDA_TO_REVENUE","FQ2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05" t="e">
        <f ca="1">_xll.BDH($C$203,"OPER_MARGIN","FQ2 2014","FQ2 2014","Currency=INR","Period=FQ","BEST_FPERIOD_OVERRIDE=FQ","FILING_STATUS=OR","EQY_CONSOLIDATED=Y","FA_ADJUSTED=GAAP","Sort=A","Dates=H","DateFormat=P","Fill=—","Direction=H","UseDPDF=Y")</f>
        <v>#NAME?</v>
      </c>
      <c r="L205" t="e">
        <f ca="1">_xll.BDH($C$203,"INCREMENTAL_OPERATING_MARGIN","FQ2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05" t="e">
        <f ca="1">_xll.BDH($C$203,"PRETAX_INC_TO_NET_SALES","FQ2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05" t="e">
        <f ca="1">_xll.BDH($C$203,"INC_BEF_XO_ITEMS_TO_NET_SALES","FQ2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05" t="e">
        <f ca="1">_xll.BDH($C$203,"PROF_MARGIN","FQ2 2014","FQ2 2014","Currency=INR","Period=FQ","BEST_FPERIOD_OVERRIDE=FQ","FILING_STATUS=OR","EQY_CONSOLIDATED=Y","FA_ADJUSTED=GAAP","Sort=A","Dates=H","DateFormat=P","Fill=—","Direction=H","UseDPDF=Y")</f>
        <v>#NAME?</v>
      </c>
      <c r="P205" t="e">
        <f ca="1">_xll.BDH($C$203,"NET_INCOME_TO_COMMON_MARGIN","FQ2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05" t="e">
        <f ca="1">_xll.BDH($C$203,"EFF_TAX_RATE","FQ2 2014","FQ2 2014","Currency=INR","Period=FQ","BEST_FPERIOD_OVERRIDE=FQ","FILING_STATUS=OR","EQY_CONSOLIDATED=Y","FA_ADJUSTED=GAAP","Sort=A","Dates=H","DateFormat=P","Fill=—","Direction=H","UseDPDF=Y")</f>
        <v>#NAME?</v>
      </c>
      <c r="R205" t="e">
        <f ca="1">_xll.BDH($C$203,"DVD_PAYOUT_RATIO","FQ2 2014","FQ2 2014","Currency=INR","Period=FQ","BEST_FPERIOD_OVERRIDE=FQ","FILING_STATUS=OR","EQY_CONSOLIDATED=Y","FA_ADJUSTED=GAAP","Sort=A","Dates=H","DateFormat=P","Fill=—","Direction=H","UseDPDF=Y")</f>
        <v>#NAME?</v>
      </c>
      <c r="S205" t="e">
        <f ca="1">_xll.BDH($C$203,"SUSTAIN_GROWTH_RT","FQ2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05" s="2" t="e">
        <f ca="1">_xll.BDH($C$203,"SALES_GROWTH","FQ2 2014","FQ2 2014","Currency=INR","Period=FQ","BEST_FPERIOD_OVERRIDE=FQ","FILING_STATUS=OR","EQY_CONSOLIDATED=Y","FA_ADJUSTED=GAAP","Sort=A","Dates=H","DateFormat=P","Fill=—","Direction=H","UseDPDF=Y")</f>
        <v>#NAME?</v>
      </c>
      <c r="U205" s="2" t="e">
        <f ca="1">_xll.BDH($C$203,"EBITDA_GROWTH","FQ2 2014","FQ2 2014","Currency=INR","Period=FQ","BEST_FPERIOD_OVERRIDE=FQ","FILING_STATUS=OR","EQY_CONSOLIDATED=Y","FA_ADJUSTED=GAAP","Sort=A","Dates=H","DateFormat=P","Fill=—","Direction=H","UseDPDF=Y")</f>
        <v>#NAME?</v>
      </c>
      <c r="V205" s="2" t="e">
        <f ca="1">_xll.BDH($C$203,"OPER_INC_GROWTH","FQ2 2014","FQ2 2014","Currency=INR","Period=FQ","BEST_FPERIOD_OVERRIDE=FQ","FILING_STATUS=OR","EQY_CONSOLIDATED=Y","FA_ADJUSTED=GAAP","Sort=A","Dates=H","DateFormat=P","Fill=—","Direction=H","UseDPDF=Y")</f>
        <v>#NAME?</v>
      </c>
      <c r="W205" s="2" t="e">
        <f ca="1">_xll.BDH($C$203,"EARN_FOR_COM_GROWTH","FQ2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05" s="2" t="e">
        <f ca="1">_xll.BDH($C$203,"DILUTED_EPS_AFT_XO_ITEMS_GROWTH","FQ2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05" s="2" t="e">
        <f ca="1">_xll.BDH($C$203,"DIVIDEND_PER_SHARE_1_YEAR_GROWTH","FQ2 2014","FQ2 2014","Currency=INR","Period=FQ","BEST_FPERIOD_OVERRIDE=FQ","FILING_STATUS=OR","EQY_CONSOLIDATED=Y","Sort=A","Dates=H","DateFormat=P","Fill=—","Direction=H","UseDPDF=Y")</f>
        <v>#NAME?</v>
      </c>
      <c r="Z205" s="2" t="e">
        <f ca="1">_xll.BDH($C$203,"ACCOUNTS_RECEIVABLE_GROWTH","FQ2 2014","FQ2 2014","Currency=INR","Period=FQ","BEST_FPERIOD_OVERRIDE=FQ","FILING_STATUS=OR","EQY_CONSOLIDATED=Y","Sort=A","Dates=H","DateFormat=P","Fill=—","Direction=H","UseDPDF=Y")</f>
        <v>#NAME?</v>
      </c>
      <c r="AA205" s="2" t="e">
        <f ca="1">_xll.BDH($C$203,"INVENTORY_GROWTH","FQ2 2014","FQ2 2014","Currency=INR","Period=FQ","BEST_FPERIOD_OVERRIDE=FQ","FILING_STATUS=OR","EQY_CONSOLIDATED=Y","Sort=A","Dates=H","DateFormat=P","Fill=—","Direction=H","UseDPDF=Y")</f>
        <v>#NAME?</v>
      </c>
      <c r="AB205" s="2" t="e">
        <f ca="1">_xll.BDH($C$203,"NET_FIXED_ASSETS_1_YEAR_GROWTH","FQ2 2014","FQ2 2014","Currency=INR","Period=FQ","BEST_FPERIOD_OVERRIDE=FQ","FILING_STATUS=OR","EQY_CONSOLIDATED=Y","Sort=A","Dates=H","DateFormat=P","Fill=—","Direction=H","UseDPDF=Y")</f>
        <v>#NAME?</v>
      </c>
      <c r="AC205" s="2" t="e">
        <f ca="1">_xll.BDH($C$203,"ASSET_GROWTH","FQ2 2014","FQ2 2014","Currency=INR","Period=FQ","BEST_FPERIOD_OVERRIDE=FQ","FILING_STATUS=OR","EQY_CONSOLIDATED=Y","Sort=A","Dates=H","DateFormat=P","Fill=—","Direction=H","UseDPDF=Y")</f>
        <v>#NAME?</v>
      </c>
      <c r="AD205" s="2" t="e">
        <f ca="1">_xll.BDH($C$203,"MODIFIED_WORK_CAP_GROWTH","FQ2 2014","FQ2 2014","Currency=INR","Period=FQ","BEST_FPERIOD_OVERRIDE=FQ","FILING_STATUS=OR","EQY_CONSOLIDATED=Y","Sort=A","Dates=H","DateFormat=P","Fill=—","Direction=H","UseDPDF=Y")</f>
        <v>#NAME?</v>
      </c>
      <c r="AE205" s="2" t="e">
        <f ca="1">_xll.BDH($C$203,"WORK_CAP_GROWTH","FQ2 2014","FQ2 2014","Currency=INR","Period=FQ","BEST_FPERIOD_OVERRIDE=FQ","FILING_STATUS=OR","EQY_CONSOLIDATED=Y","Sort=A","Dates=H","DateFormat=P","Fill=—","Direction=H","UseDPDF=Y")</f>
        <v>#NAME?</v>
      </c>
      <c r="AF205" s="2" t="e">
        <f ca="1">_xll.BDH($C$203,"ACCOUNTS_PAYABLE_GROWTH_1YR","FQ2 2014","FQ2 2014","Currency=INR","Period=FQ","BEST_FPERIOD_OVERRIDE=FQ","FILING_STATUS=OR","EQY_CONSOLIDATED=Y","Sort=A","Dates=H","DateFormat=P","Fill=—","Direction=H","UseDPDF=Y")</f>
        <v>#NAME?</v>
      </c>
      <c r="AG205" s="2" t="e">
        <f ca="1">_xll.BDH($C$203,"SHORT_TERM_DEBT_1_YEAR_GROWTH","FQ2 2014","FQ2 2014","Currency=INR","Period=FQ","BEST_FPERIOD_OVERRIDE=FQ","FILING_STATUS=OR","EQY_CONSOLIDATED=Y","Sort=A","Dates=H","DateFormat=P","Fill=—","Direction=H","UseDPDF=Y")</f>
        <v>#NAME?</v>
      </c>
      <c r="AH205" s="2" t="e">
        <f ca="1">_xll.BDH($C$203,"TOTAL_DEBT_1_YEAR_GROWTH","FQ2 2014","FQ2 2014","Currency=INR","Period=FQ","BEST_FPERIOD_OVERRIDE=FQ","FILING_STATUS=OR","EQY_CONSOLIDATED=Y","Sort=A","Dates=H","DateFormat=P","Fill=—","Direction=H","UseDPDF=Y")</f>
        <v>#NAME?</v>
      </c>
      <c r="AI205" s="2" t="e">
        <f ca="1">_xll.BDH($C$203,"TOTAL_EQUITY_1_YEAR_GROWTH","FQ2 2014","FQ2 2014","Currency=INR","Period=FQ","BEST_FPERIOD_OVERRIDE=FQ","FILING_STATUS=OR","EQY_CONSOLIDATED=Y","Sort=A","Dates=H","DateFormat=P","Fill=—","Direction=H","UseDPDF=Y")</f>
        <v>#NAME?</v>
      </c>
      <c r="AJ205" s="2" t="e">
        <f ca="1">_xll.BDH($C$203,"GROWTH_IN_CAP","FQ2 2014","FQ2 2014","Currency=INR","Period=FQ","BEST_FPERIOD_OVERRIDE=FQ","FILING_STATUS=OR","EQY_CONSOLIDATED=Y","Sort=A","Dates=H","DateFormat=P","Fill=—","Direction=H","UseDPDF=Y")</f>
        <v>#NAME?</v>
      </c>
      <c r="AK205" s="2" t="e">
        <f ca="1">_xll.BDH($C$203,"BVPS_GROWTH","FQ2 2014","FQ2 2014","Currency=INR","Period=FQ","BEST_FPERIOD_OVERRIDE=FQ","FILING_STATUS=OR","EQY_CONSOLIDATED=Y","Sort=A","Dates=H","DateFormat=P","Fill=—","Direction=H","UseDPDF=Y")</f>
        <v>#NAME?</v>
      </c>
      <c r="AL205" s="2" t="e">
        <f ca="1">_xll.BDH($C$203,"CASH_FLOW_GROWTH","FQ2 2014","FQ2 2014","Currency=INR","Period=FQ","BEST_FPERIOD_OVERRIDE=FQ","FILING_STATUS=OR","EQY_CONSOLIDATED=Y","Sort=A","Dates=H","DateFormat=P","Fill=—","Direction=H","UseDPDF=Y")</f>
        <v>#NAME?</v>
      </c>
      <c r="AM205" s="2" t="e">
        <f ca="1">_xll.BDH($C$203,"GEO_GROW_NET_SALES","FQ2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05" s="2" t="e">
        <f ca="1">_xll.BDH($C$203,"GEO_GROW_EBITDA","FQ2 2014","FQ2 2014","Currency=INR","Period=FQ","BEST_FPERIOD_OVERRIDE=FQ","FILING_STATUS=OR","EQY_CONSOLIDATED=Y","FA_ADJUSTED=GAAP","Sort=A","Dates=H","DateFormat=P","Fill=—","Direction=H","UseDPDF=Y")</f>
        <v>#NAME?</v>
      </c>
      <c r="AO205" s="2" t="e">
        <f ca="1">_xll.BDH($C$203,"GEO_GROW_OPER_INC","FQ2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05" s="2" t="e">
        <f ca="1">_xll.BDH($C$203,"NET_INCOME_TO_COMMON_5_YR_GROWTH","FQ2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05" s="2" t="e">
        <f ca="1">_xll.BDH($C$203,"5Y_GEO_GROWTH_DILUTED_EPS","FQ2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05" s="2" t="e">
        <f ca="1">_xll.BDH($C$203,"GEO_GROW_DVD_PER_SH","FQ2 2014","FQ2 2014","Currency=INR","Period=FQ","BEST_FPERIOD_OVERRIDE=FQ","FILING_STATUS=OR","EQY_CONSOLIDATED=Y","Sort=A","Dates=H","DateFormat=P","Fill=—","Direction=H","UseDPDF=Y")</f>
        <v>#NAME?</v>
      </c>
      <c r="AS205" s="2" t="e">
        <f ca="1">_xll.BDH($C$203,"ACCOUNTS_RECEIVABLE_5_YR_GROWTH","FQ2 2014","FQ2 2014","Currency=INR","Period=FQ","BEST_FPERIOD_OVERRIDE=FQ","FILING_STATUS=OR","EQY_CONSOLIDATED=Y","Sort=A","Dates=H","DateFormat=P","Fill=—","Direction=H","UseDPDF=Y")</f>
        <v>#NAME?</v>
      </c>
      <c r="AT205" s="2" t="e">
        <f ca="1">_xll.BDH($C$203,"INVENTORY_5_YEAR_GROWTH","FQ2 2014","FQ2 2014","Currency=INR","Period=FQ","BEST_FPERIOD_OVERRIDE=FQ","FILING_STATUS=OR","EQY_CONSOLIDATED=Y","Sort=A","Dates=H","DateFormat=P","Fill=—","Direction=H","UseDPDF=Y")</f>
        <v>#NAME?</v>
      </c>
      <c r="AU205" s="2" t="e">
        <f ca="1">_xll.BDH($C$203,"NET_FIXED_ASSETS_5_YEAR_GROWTH","FQ2 2014","FQ2 2014","Currency=INR","Period=FQ","BEST_FPERIOD_OVERRIDE=FQ","FILING_STATUS=OR","EQY_CONSOLIDATED=Y","Sort=A","Dates=H","DateFormat=P","Fill=—","Direction=H","UseDPDF=Y")</f>
        <v>#NAME?</v>
      </c>
      <c r="AV205" s="2" t="e">
        <f ca="1">_xll.BDH($C$203,"GEO_GROW_TOT_ASSET","FQ2 2014","FQ2 2014","Currency=INR","Period=FQ","BEST_FPERIOD_OVERRIDE=FQ","FILING_STATUS=OR","EQY_CONSOLIDATED=Y","Sort=A","Dates=H","DateFormat=P","Fill=—","Direction=H","UseDPDF=Y")</f>
        <v>#NAME?</v>
      </c>
      <c r="AW205" s="2" t="e">
        <f ca="1">_xll.BDH($C$203,"MODIFIED_WORKING_CPTL_5YR_GRWTH","FQ2 2014","FQ2 2014","Currency=INR","Period=FQ","BEST_FPERIOD_OVERRIDE=FQ","FILING_STATUS=OR","EQY_CONSOLIDATED=Y","Sort=A","Dates=H","DateFormat=P","Fill=—","Direction=H","UseDPDF=Y")</f>
        <v>#NAME?</v>
      </c>
      <c r="AX205" s="2" t="e">
        <f ca="1">_xll.BDH($C$203,"WORKING_CAPITAL_5_YEAR_GROWTH","FQ2 2014","FQ2 2014","Currency=INR","Period=FQ","BEST_FPERIOD_OVERRIDE=FQ","FILING_STATUS=OR","EQY_CONSOLIDATED=Y","Sort=A","Dates=H","DateFormat=P","Fill=—","Direction=H","UseDPDF=Y")</f>
        <v>#NAME?</v>
      </c>
      <c r="AY205" s="2" t="e">
        <f ca="1">_xll.BDH($C$203,"ACCOUNTS_PAYABLE_5_YEAR_GROWTH","FQ2 2014","FQ2 2014","Currency=INR","Period=FQ","BEST_FPERIOD_OVERRIDE=FQ","FILING_STATUS=OR","EQY_CONSOLIDATED=Y","Sort=A","Dates=H","DateFormat=P","Fill=—","Direction=H","UseDPDF=Y")</f>
        <v>#NAME?</v>
      </c>
      <c r="AZ205" s="2" t="e">
        <f ca="1">_xll.BDH($C$203,"SHORT_TERM_DEBT_5_YEAR_GROWTH","FQ2 2014","FQ2 2014","Currency=INR","Period=FQ","BEST_FPERIOD_OVERRIDE=FQ","FILING_STATUS=OR","EQY_CONSOLIDATED=Y","Sort=A","Dates=H","DateFormat=P","Fill=—","Direction=H","UseDPDF=Y")</f>
        <v>#NAME?</v>
      </c>
      <c r="BA205" s="2" t="e">
        <f ca="1">_xll.BDH($C$203,"TOTAL_DEBT_5_YEAR_GROWTH","FQ2 2014","FQ2 2014","Currency=INR","Period=FQ","BEST_FPERIOD_OVERRIDE=FQ","FILING_STATUS=OR","EQY_CONSOLIDATED=Y","Sort=A","Dates=H","DateFormat=P","Fill=—","Direction=H","UseDPDF=Y")</f>
        <v>#NAME?</v>
      </c>
      <c r="BB205" s="2" t="e">
        <f ca="1">_xll.BDH($C$203,"GEO_GROW_TOT_SHRHLDR_EQY","FQ2 2014","FQ2 2014","Currency=INR","Period=FQ","BEST_FPERIOD_OVERRIDE=FQ","FILING_STATUS=OR","EQY_CONSOLIDATED=Y","Sort=A","Dates=H","DateFormat=P","Fill=—","Direction=H","UseDPDF=Y")</f>
        <v>#NAME?</v>
      </c>
      <c r="BC205" s="2" t="e">
        <f ca="1">_xll.BDH($C$203,"TOTAL_CAPITAL_5_YEAR_GROWTH","FQ2 2014","FQ2 2014","Currency=INR","Period=FQ","BEST_FPERIOD_OVERRIDE=FQ","FILING_STATUS=OR","EQY_CONSOLIDATED=Y","Sort=A","Dates=H","DateFormat=P","Fill=—","Direction=H","UseDPDF=Y")</f>
        <v>#NAME?</v>
      </c>
      <c r="BD205" s="2" t="e">
        <f ca="1">_xll.BDH($C$203,"GEO_GROW_BOOK_VAL","FQ2 2014","FQ2 2014","Currency=INR","Period=FQ","BEST_FPERIOD_OVERRIDE=FQ","FILING_STATUS=OR","EQY_CONSOLIDATED=Y","Sort=A","Dates=H","DateFormat=P","Fill=—","Direction=H","UseDPDF=Y")</f>
        <v>#NAME?</v>
      </c>
      <c r="BE205" s="2" t="e">
        <f ca="1">_xll.BDH($C$203,"GEO_GROW_CASH_OPER_ACT","FQ2 2014","FQ2 2014","Currency=INR","Period=FQ","BEST_FPERIOD_OVERRIDE=FQ","FILING_STATUS=OR","EQY_CONSOLIDATED=Y","Sort=A","Dates=H","DateFormat=P","Fill=—","Direction=H","UseDPDF=Y")</f>
        <v>#NAME?</v>
      </c>
      <c r="BF205" s="2" t="e">
        <f ca="1">_xll.BDH($C$203,"REVENUE_SEQUENTIAL_GROWTH","FQ2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05" s="2" t="e">
        <f ca="1">_xll.BDH($C$203,"EBITDA_SEQUENTIAL_GROWTH","FQ2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05" s="2" t="e">
        <f ca="1">_xll.BDH($C$203,"OPERATING_INCOME_SEQ_GROWTH","FQ2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05" s="2" t="e">
        <f ca="1">_xll.BDH($C$203,"NET_INCOME_TO_COMMON_SEQ_GROWTH","FQ2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05" s="2" t="e">
        <f ca="1">_xll.BDH($C$203,"EPS_DILUTED_SEQUENTIAL_GROWTH","FQ2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05" s="2" t="e">
        <f ca="1">_xll.BDH($C$203,"DPS_SEQUENTIAL_GROWTH","FQ2 2014","FQ2 2014","Currency=INR","Period=FQ","BEST_FPERIOD_OVERRIDE=FQ","FILING_STATUS=OR","EQY_CONSOLIDATED=Y","Sort=A","Dates=H","DateFormat=P","Fill=—","Direction=H","UseDPDF=Y")</f>
        <v>#NAME?</v>
      </c>
      <c r="BL205" s="2" t="e">
        <f ca="1">_xll.BDH($C$203,"ACCOUNTS_RECEIVABLE_SEQ_GROWTH","FQ2 2014","FQ2 2014","Currency=INR","Period=FQ","BEST_FPERIOD_OVERRIDE=FQ","FILING_STATUS=OR","EQY_CONSOLIDATED=Y","Sort=A","Dates=H","DateFormat=P","Fill=—","Direction=H","UseDPDF=Y")</f>
        <v>#NAME?</v>
      </c>
      <c r="BM205" s="2" t="e">
        <f ca="1">_xll.BDH($C$203,"INVENTORY_SEQUENTIAL_GROWTH","FQ2 2014","FQ2 2014","Currency=INR","Period=FQ","BEST_FPERIOD_OVERRIDE=FQ","FILING_STATUS=OR","EQY_CONSOLIDATED=Y","Sort=A","Dates=H","DateFormat=P","Fill=—","Direction=H","UseDPDF=Y")</f>
        <v>#NAME?</v>
      </c>
      <c r="BN205" s="2" t="e">
        <f ca="1">_xll.BDH($C$203,"FIXED_ASSETS_SEQUENTIAL_GROWTH","FQ2 2014","FQ2 2014","Currency=INR","Period=FQ","BEST_FPERIOD_OVERRIDE=FQ","FILING_STATUS=OR","EQY_CONSOLIDATED=Y","Sort=A","Dates=H","DateFormat=P","Fill=—","Direction=H","UseDPDF=Y")</f>
        <v>#NAME?</v>
      </c>
      <c r="BO205" s="2" t="e">
        <f ca="1">_xll.BDH($C$203,"TOTAL_ASSETS_SEQUENTIAL_GROWTH","FQ2 2014","FQ2 2014","Currency=INR","Period=FQ","BEST_FPERIOD_OVERRIDE=FQ","FILING_STATUS=OR","EQY_CONSOLIDATED=Y","Sort=A","Dates=H","DateFormat=P","Fill=—","Direction=H","UseDPDF=Y")</f>
        <v>#NAME?</v>
      </c>
      <c r="BP205" s="2" t="e">
        <f ca="1">_xll.BDH($C$203,"MODIFIED_WORKING_CPTL_SEQ_GRWTH","FQ2 2014","FQ2 2014","Currency=INR","Period=FQ","BEST_FPERIOD_OVERRIDE=FQ","FILING_STATUS=OR","EQY_CONSOLIDATED=Y","Sort=A","Dates=H","DateFormat=P","Fill=—","Direction=H","UseDPDF=Y")</f>
        <v>#NAME?</v>
      </c>
      <c r="BQ205" s="2" t="e">
        <f ca="1">_xll.BDH($C$203,"WORKING_CAPITAL_SEQ_GROWTH","FQ2 2014","FQ2 2014","Currency=INR","Period=FQ","BEST_FPERIOD_OVERRIDE=FQ","FILING_STATUS=OR","EQY_CONSOLIDATED=Y","Sort=A","Dates=H","DateFormat=P","Fill=—","Direction=H","UseDPDF=Y")</f>
        <v>#NAME?</v>
      </c>
      <c r="BR205" s="2" t="e">
        <f ca="1">_xll.BDH($C$203,"ACCOUNTS_PAYABLE_SEQ_GROWTH","FQ2 2014","FQ2 2014","Currency=INR","Period=FQ","BEST_FPERIOD_OVERRIDE=FQ","FILING_STATUS=OR","EQY_CONSOLIDATED=Y","Sort=A","Dates=H","DateFormat=P","Fill=—","Direction=H","UseDPDF=Y")</f>
        <v>#NAME?</v>
      </c>
      <c r="BS205" s="2" t="e">
        <f ca="1">_xll.BDH($C$203,"ST_DEBT_SEQUENTIAL_GROWTH","FQ2 2014","FQ2 2014","Currency=INR","Period=FQ","BEST_FPERIOD_OVERRIDE=FQ","FILING_STATUS=OR","EQY_CONSOLIDATED=Y","Sort=A","Dates=H","DateFormat=P","Fill=—","Direction=H","UseDPDF=Y")</f>
        <v>#NAME?</v>
      </c>
      <c r="BT205" s="2" t="e">
        <f ca="1">_xll.BDH($C$203,"TOTAL_DEBT_SEQUENTIAL_GROWTH","FQ2 2014","FQ2 2014","Currency=INR","Period=FQ","BEST_FPERIOD_OVERRIDE=FQ","FILING_STATUS=OR","EQY_CONSOLIDATED=Y","Sort=A","Dates=H","DateFormat=P","Fill=—","Direction=H","UseDPDF=Y")</f>
        <v>#NAME?</v>
      </c>
      <c r="BU205" s="2" t="e">
        <f ca="1">_xll.BDH($C$203,"TOTAL_EQUITY_SEQUENTIAL_GROWTH","FQ2 2014","FQ2 2014","Currency=INR","Period=FQ","BEST_FPERIOD_OVERRIDE=FQ","FILING_STATUS=OR","EQY_CONSOLIDATED=Y","Sort=A","Dates=H","DateFormat=P","Fill=—","Direction=H","UseDPDF=Y")</f>
        <v>#NAME?</v>
      </c>
      <c r="BV205" s="2" t="e">
        <f ca="1">_xll.BDH($C$203,"TOTAL_CAPITAL_SEQUENTIAL_GROWTH","FQ2 2014","FQ2 2014","Currency=INR","Period=FQ","BEST_FPERIOD_OVERRIDE=FQ","FILING_STATUS=OR","EQY_CONSOLIDATED=Y","Sort=A","Dates=H","DateFormat=P","Fill=—","Direction=H","UseDPDF=Y")</f>
        <v>#NAME?</v>
      </c>
      <c r="BW205" s="2" t="e">
        <f ca="1">_xll.BDH($C$203,"BPS_SEQUENTIAL_GROWTH","FQ2 2014","FQ2 2014","Currency=INR","Period=FQ","BEST_FPERIOD_OVERRIDE=FQ","FILING_STATUS=OR","EQY_CONSOLIDATED=Y","Sort=A","Dates=H","DateFormat=P","Fill=—","Direction=H","UseDPDF=Y")</f>
        <v>#NAME?</v>
      </c>
      <c r="BX205" s="2" t="e">
        <f ca="1">_xll.BDH($C$203,"CFO_SEQUENTIAL_GROWTH","FQ2 2014","FQ2 2014","Currency=INR","Period=FQ","BEST_FPERIOD_OVERRIDE=FQ","FILING_STATUS=OR","EQY_CONSOLIDATED=Y","Sort=A","Dates=H","DateFormat=P","Fill=—","Direction=H","UseDPDF=Y")</f>
        <v>#NAME?</v>
      </c>
      <c r="BY205" s="3" t="e">
        <f ca="1">_xll.BDH($C$203,"SHORT_AND_LONG_TERM_DEBT","FQ2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05" s="3" t="e">
        <f ca="1">_xll.BDH($C$203,"BS_ST_BORROW","FQ2 2014","FQ2 2014","Currency=INR","Period=FQ","BEST_FPERIOD_OVERRIDE=FQ","FILING_STATUS=OR","EQY_CONSOLIDATED=Y","SCALING_FORMAT=MLN","Sort=A","Dates=H","DateFormat=P","Fill=—","Direction=H","UseDPDF=Y")</f>
        <v>#NAME?</v>
      </c>
      <c r="CA205" s="3" t="e">
        <f ca="1">_xll.BDH($C$203,"BS_LT_BORROW","FQ2 2014","FQ2 2014","Currency=INR","Period=FQ","BEST_FPERIOD_OVERRIDE=FQ","FILING_STATUS=OR","EQY_CONSOLIDATED=Y","SCALING_FORMAT=MLN","Sort=A","Dates=H","DateFormat=P","Fill=—","Direction=H","UseDPDF=Y")</f>
        <v>#NAME?</v>
      </c>
      <c r="CB205" s="2" t="e">
        <f ca="1">_xll.BDH($C$203,"TOT_DEBT_TO_EBITDA","FQ2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05" s="2" t="e">
        <f ca="1">_xll.BDH($C$203,"NET_DEBT_TO_EBITDA","FQ2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05" s="2" t="e">
        <f ca="1">_xll.BDH($C$203,"TOTAL_DEBT_TO_EBIT","FQ2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05" s="2" t="e">
        <f ca="1">_xll.BDH($C$203,"NET_DEBT_TO_EBIT","FQ2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05" s="2" t="e">
        <f ca="1">_xll.BDH($C$203,"EBITDA_TO_INTEREST_EXPN","FQ2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05" s="2" t="e">
        <f ca="1">_xll.BDH($C$203,"COM_EQY_TO_TOT_ASSET","FQ2 2014","FQ2 2014","Currency=INR","Period=FQ","BEST_FPERIOD_OVERRIDE=FQ","FILING_STATUS=OR","EQY_CONSOLIDATED=Y","Sort=A","Dates=H","DateFormat=P","Fill=—","Direction=H","UseDPDF=Y")</f>
        <v>#NAME?</v>
      </c>
      <c r="CH205" s="2" t="e">
        <f ca="1">_xll.BDH($C$203,"LT_DEBT_TO_TOT_EQY","FQ2 2014","FQ2 2014","Currency=INR","Period=FQ","BEST_FPERIOD_OVERRIDE=FQ","FILING_STATUS=OR","EQY_CONSOLIDATED=Y","Sort=A","Dates=H","DateFormat=P","Fill=—","Direction=H","UseDPDF=Y")</f>
        <v>#NAME?</v>
      </c>
      <c r="CI205" s="2" t="e">
        <f ca="1">_xll.BDH($C$203,"LT_DEBT_TO_TOT_CAP","FQ2 2014","FQ2 2014","Currency=INR","Period=FQ","BEST_FPERIOD_OVERRIDE=FQ","FILING_STATUS=OR","EQY_CONSOLIDATED=Y","Sort=A","Dates=H","DateFormat=P","Fill=—","Direction=H","UseDPDF=Y")</f>
        <v>#NAME?</v>
      </c>
      <c r="CJ205" s="2" t="e">
        <f ca="1">_xll.BDH($C$203,"LT_DEBT_TO_TOT_ASSET","FQ2 2014","FQ2 2014","Currency=INR","Period=FQ","BEST_FPERIOD_OVERRIDE=FQ","FILING_STATUS=OR","EQY_CONSOLIDATED=Y","Sort=A","Dates=H","DateFormat=P","Fill=—","Direction=H","UseDPDF=Y")</f>
        <v>#NAME?</v>
      </c>
      <c r="CK205" s="2" t="e">
        <f ca="1">_xll.BDH($C$203,"TOT_DEBT_TO_TOT_EQY","FQ2 2014","FQ2 2014","Currency=INR","Period=FQ","BEST_FPERIOD_OVERRIDE=FQ","FILING_STATUS=OR","EQY_CONSOLIDATED=Y","Sort=A","Dates=H","DateFormat=P","Fill=—","Direction=H","UseDPDF=Y")</f>
        <v>#NAME?</v>
      </c>
      <c r="CL205" s="2" t="e">
        <f ca="1">_xll.BDH($C$203,"TOT_DEBT_TO_TOT_CAP","FQ2 2014","FQ2 2014","Currency=INR","Period=FQ","BEST_FPERIOD_OVERRIDE=FQ","FILING_STATUS=OR","EQY_CONSOLIDATED=Y","Sort=A","Dates=H","DateFormat=P","Fill=—","Direction=H","UseDPDF=Y")</f>
        <v>#NAME?</v>
      </c>
      <c r="CM205" s="2" t="e">
        <f ca="1">_xll.BDH($C$203,"TOT_DEBT_TO_TOT_ASSET","FQ2 2014","FQ2 2014","Currency=INR","Period=FQ","BEST_FPERIOD_OVERRIDE=FQ","FILING_STATUS=OR","EQY_CONSOLIDATED=Y","Sort=A","Dates=H","DateFormat=P","Fill=—","Direction=H","UseDPDF=Y")</f>
        <v>#NAME?</v>
      </c>
      <c r="CN205" s="2" t="e">
        <f ca="1">_xll.BDH($C$203,"NET_DEBT_TO_SHRHLDR_EQTY","FQ2 2014","FQ2 2014","Currency=INR","Period=FQ","BEST_FPERIOD_OVERRIDE=FQ","FILING_STATUS=OR","EQY_CONSOLIDATED=Y","Sort=A","Dates=H","DateFormat=P","Fill=—","Direction=H","UseDPDF=Y")</f>
        <v>#NAME?</v>
      </c>
      <c r="CO205" s="2" t="e">
        <f ca="1">_xll.BDH($C$203,"NET_DEBT_%_CAPITAL","FQ2 2014","FQ2 2014","Currency=INR","Period=FQ","BEST_FPERIOD_OVERRIDE=FQ","FILING_STATUS=OR","EQY_CONSOLIDATED=Y","Sort=A","Dates=H","DateFormat=P","Fill=—","Direction=H","UseDPDF=Y")</f>
        <v>#NAME?</v>
      </c>
      <c r="CP205" s="3" t="e">
        <f ca="1">_xll.BDH($C$203,"EBITDA","FQ2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05" s="3" t="e">
        <f ca="1">_xll.BDH($C$203,"EBITDA_AFTER_CAPEX","FQ2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05" s="3" t="e">
        <f ca="1">_xll.BDH($C$203,"IS_OPER_INC","FQ2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05" s="2" t="e">
        <f ca="1">_xll.BDH($C$203,"CASH_RATIO","FQ2 2014","FQ2 2014","Currency=INR","Period=FQ","BEST_FPERIOD_OVERRIDE=FQ","FILING_STATUS=OR","EQY_CONSOLIDATED=Y","Sort=A","Dates=H","DateFormat=P","Fill=—","Direction=H","UseDPDF=Y")</f>
        <v>#NAME?</v>
      </c>
      <c r="CT205" s="2" t="e">
        <f ca="1">_xll.BDH($C$203,"CUR_RATIO","FQ2 2014","FQ2 2014","Currency=INR","Period=FQ","BEST_FPERIOD_OVERRIDE=FQ","FILING_STATUS=OR","EQY_CONSOLIDATED=Y","Sort=A","Dates=H","DateFormat=P","Fill=—","Direction=H","UseDPDF=Y")</f>
        <v>#NAME?</v>
      </c>
      <c r="CU205" s="2" t="e">
        <f ca="1">_xll.BDH($C$203,"QUICK_RATIO","FQ2 2014","FQ2 2014","Currency=INR","Period=FQ","BEST_FPERIOD_OVERRIDE=FQ","FILING_STATUS=OR","EQY_CONSOLIDATED=Y","Sort=A","Dates=H","DateFormat=P","Fill=—","Direction=H","UseDPDF=Y")</f>
        <v>#NAME?</v>
      </c>
      <c r="CV205" s="2" t="e">
        <f ca="1">_xll.BDH($C$203,"ALTMAN_Z_SCORE","FQ2 2014","FQ2 2014","Currency=INR","Period=FQ","BEST_FPERIOD_OVERRIDE=FQ","FILING_STATUS=OR","EQY_CONSOLIDATED=Y","Sort=A","Dates=H","DateFormat=P","Fill=—","Direction=H","UseDPDF=Y")</f>
        <v>#NAME?</v>
      </c>
      <c r="CW205" s="4" t="e">
        <f ca="1">_xll.BDH($C$203,"ACCT_RCV_TURN","FQ2 2014","FQ2 2014","Currency=INR","Period=FQ","BEST_FPERIOD_OVERRIDE=FQ","FILING_STATUS=OR","EQY_CONSOLIDATED=Y","FA_ADJUSTED=GAAP","Sort=A","Dates=H","DateFormat=P","Fill=—","Direction=H","UseDPDF=Y")</f>
        <v>#NAME?</v>
      </c>
      <c r="CX205" s="2" t="e">
        <f ca="1">_xll.BDH($C$203,"ACCT_RCV_DAYS","FQ2 2014","FQ2 2014","Currency=INR","Period=FQ","BEST_FPERIOD_OVERRIDE=FQ","FILING_STATUS=OR","EQY_CONSOLIDATED=Y","FA_ADJUSTED=GAAP","Sort=A","Dates=H","DateFormat=P","Fill=—","Direction=H","UseDPDF=Y")</f>
        <v>#NAME?</v>
      </c>
      <c r="CY205" s="4" t="e">
        <f ca="1">_xll.BDH($C$203,"INVENT_TURN","FQ2 2014","FQ2 2014","Currency=INR","Period=FQ","BEST_FPERIOD_OVERRIDE=FQ","FILING_STATUS=OR","EQY_CONSOLIDATED=Y","FA_ADJUSTED=GAAP","Sort=A","Dates=H","DateFormat=P","Fill=—","Direction=H","UseDPDF=Y")</f>
        <v>#NAME?</v>
      </c>
      <c r="CZ205" s="2" t="e">
        <f ca="1">_xll.BDH($C$203,"INVENT_DAYS","FQ2 2014","FQ2 2014","Currency=INR","Period=FQ","BEST_FPERIOD_OVERRIDE=FQ","FILING_STATUS=OR","EQY_CONSOLIDATED=Y","FA_ADJUSTED=GAAP","Sort=A","Dates=H","DateFormat=P","Fill=—","Direction=H","UseDPDF=Y")</f>
        <v>#NAME?</v>
      </c>
      <c r="DA205" s="4" t="e">
        <f ca="1">_xll.BDH($C$203,"ACCOUNTS_PAYABLE_TURNOVER","FQ2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05" s="2" t="e">
        <f ca="1">_xll.BDH($C$203,"ACCOUNTS_PAYABLE_TURNOVER_DAYS","FQ2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05" s="4" t="e">
        <f ca="1">_xll.BDH($C$203,"CASH_CONVERSION_CYCLE","FQ2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05" s="4" t="e">
        <f ca="1">_xll.BDH($C$203,"INV_TO_CASH_DAYS","FQ2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05" s="5" t="e">
        <f ca="1">_xll.BDH($C$203,"BS_INVENTORIES","FQ2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05" s="3" t="e">
        <f ca="1">_xll.BDH($C$203,"INVTRY_RAW_MATERIALS","FQ2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05" s="3" t="e">
        <f ca="1">_xll.BDH($C$203,"INVTRY_IN_PROGRESS","FQ2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05" s="3" t="e">
        <f ca="1">_xll.BDH($C$203,"INVTRY_FINISHED_GOODS","FQ2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05" s="3" t="e">
        <f ca="1">_xll.BDH($C$203,"BS_OTHER_INV","FQ2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06" spans="1:113" x14ac:dyDescent="0.3">
      <c r="A206" s="6"/>
      <c r="B206" s="6"/>
      <c r="C206" s="6"/>
      <c r="D206" s="6"/>
      <c r="E206" t="s">
        <v>80</v>
      </c>
      <c r="F206" t="e">
        <f ca="1">_xll.BDH($C$203,"RETURN_COM_EQY","FQ3 2014","FQ3 2014","Currency=INR","Period=FQ","BEST_FPERIOD_OVERRIDE=FQ","FILING_STATUS=OR","EQY_CONSOLIDATED=Y","FA_ADJUSTED=GAAP","Sort=A","Dates=H","DateFormat=P","Fill=—","Direction=H","UseDPDF=Y")</f>
        <v>#NAME?</v>
      </c>
      <c r="G206" t="e">
        <f ca="1">_xll.BDH($C$203,"RETURN_ON_ASSET","FQ3 2014","FQ3 2014","Currency=INR","Period=FQ","BEST_FPERIOD_OVERRIDE=FQ","FILING_STATUS=OR","EQY_CONSOLIDATED=Y","FA_ADJUSTED=GAAP","Sort=A","Dates=H","DateFormat=P","Fill=—","Direction=H","UseDPDF=Y")</f>
        <v>#NAME?</v>
      </c>
      <c r="H206" t="e">
        <f ca="1">_xll.BDH($C$203,"RETURN_ON_CAP","FQ3 2014","FQ3 2014","Currency=INR","Period=FQ","BEST_FPERIOD_OVERRIDE=FQ","FILING_STATUS=OR","EQY_CONSOLIDATED=Y","FA_ADJUSTED=GAAP","Sort=A","Dates=H","DateFormat=P","Fill=—","Direction=H","UseDPDF=Y")</f>
        <v>#NAME?</v>
      </c>
      <c r="I206" t="e">
        <f ca="1">_xll.BDH($C$203,"RETURN_ON_INV_CAPITAL","FQ3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06" t="e">
        <f ca="1">_xll.BDH($C$203,"EBITDA_TO_REVENUE","FQ3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06" t="e">
        <f ca="1">_xll.BDH($C$203,"OPER_MARGIN","FQ3 2014","FQ3 2014","Currency=INR","Period=FQ","BEST_FPERIOD_OVERRIDE=FQ","FILING_STATUS=OR","EQY_CONSOLIDATED=Y","FA_ADJUSTED=GAAP","Sort=A","Dates=H","DateFormat=P","Fill=—","Direction=H","UseDPDF=Y")</f>
        <v>#NAME?</v>
      </c>
      <c r="L206" t="e">
        <f ca="1">_xll.BDH($C$203,"INCREMENTAL_OPERATING_MARGIN","FQ3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06" t="e">
        <f ca="1">_xll.BDH($C$203,"PRETAX_INC_TO_NET_SALES","FQ3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06" t="e">
        <f ca="1">_xll.BDH($C$203,"INC_BEF_XO_ITEMS_TO_NET_SALES","FQ3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06" t="e">
        <f ca="1">_xll.BDH($C$203,"PROF_MARGIN","FQ3 2014","FQ3 2014","Currency=INR","Period=FQ","BEST_FPERIOD_OVERRIDE=FQ","FILING_STATUS=OR","EQY_CONSOLIDATED=Y","FA_ADJUSTED=GAAP","Sort=A","Dates=H","DateFormat=P","Fill=—","Direction=H","UseDPDF=Y")</f>
        <v>#NAME?</v>
      </c>
      <c r="P206" t="e">
        <f ca="1">_xll.BDH($C$203,"NET_INCOME_TO_COMMON_MARGIN","FQ3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06" t="e">
        <f ca="1">_xll.BDH($C$203,"EFF_TAX_RATE","FQ3 2014","FQ3 2014","Currency=INR","Period=FQ","BEST_FPERIOD_OVERRIDE=FQ","FILING_STATUS=OR","EQY_CONSOLIDATED=Y","FA_ADJUSTED=GAAP","Sort=A","Dates=H","DateFormat=P","Fill=—","Direction=H","UseDPDF=Y")</f>
        <v>#NAME?</v>
      </c>
      <c r="R206" t="e">
        <f ca="1">_xll.BDH($C$203,"DVD_PAYOUT_RATIO","FQ3 2014","FQ3 2014","Currency=INR","Period=FQ","BEST_FPERIOD_OVERRIDE=FQ","FILING_STATUS=OR","EQY_CONSOLIDATED=Y","FA_ADJUSTED=GAAP","Sort=A","Dates=H","DateFormat=P","Fill=—","Direction=H","UseDPDF=Y")</f>
        <v>#NAME?</v>
      </c>
      <c r="S206" t="e">
        <f ca="1">_xll.BDH($C$203,"SUSTAIN_GROWTH_RT","FQ3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06" s="2" t="e">
        <f ca="1">_xll.BDH($C$203,"SALES_GROWTH","FQ3 2014","FQ3 2014","Currency=INR","Period=FQ","BEST_FPERIOD_OVERRIDE=FQ","FILING_STATUS=OR","EQY_CONSOLIDATED=Y","FA_ADJUSTED=GAAP","Sort=A","Dates=H","DateFormat=P","Fill=—","Direction=H","UseDPDF=Y")</f>
        <v>#NAME?</v>
      </c>
      <c r="U206" s="2" t="e">
        <f ca="1">_xll.BDH($C$203,"EBITDA_GROWTH","FQ3 2014","FQ3 2014","Currency=INR","Period=FQ","BEST_FPERIOD_OVERRIDE=FQ","FILING_STATUS=OR","EQY_CONSOLIDATED=Y","FA_ADJUSTED=GAAP","Sort=A","Dates=H","DateFormat=P","Fill=—","Direction=H","UseDPDF=Y")</f>
        <v>#NAME?</v>
      </c>
      <c r="V206" s="2" t="e">
        <f ca="1">_xll.BDH($C$203,"OPER_INC_GROWTH","FQ3 2014","FQ3 2014","Currency=INR","Period=FQ","BEST_FPERIOD_OVERRIDE=FQ","FILING_STATUS=OR","EQY_CONSOLIDATED=Y","FA_ADJUSTED=GAAP","Sort=A","Dates=H","DateFormat=P","Fill=—","Direction=H","UseDPDF=Y")</f>
        <v>#NAME?</v>
      </c>
      <c r="W206" s="2" t="e">
        <f ca="1">_xll.BDH($C$203,"EARN_FOR_COM_GROWTH","FQ3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06" s="2" t="e">
        <f ca="1">_xll.BDH($C$203,"DILUTED_EPS_AFT_XO_ITEMS_GROWTH","FQ3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06" s="2" t="e">
        <f ca="1">_xll.BDH($C$203,"DIVIDEND_PER_SHARE_1_YEAR_GROWTH","FQ3 2014","FQ3 2014","Currency=INR","Period=FQ","BEST_FPERIOD_OVERRIDE=FQ","FILING_STATUS=OR","EQY_CONSOLIDATED=Y","Sort=A","Dates=H","DateFormat=P","Fill=—","Direction=H","UseDPDF=Y")</f>
        <v>#NAME?</v>
      </c>
      <c r="Z206" s="2" t="e">
        <f ca="1">_xll.BDH($C$203,"ACCOUNTS_RECEIVABLE_GROWTH","FQ3 2014","FQ3 2014","Currency=INR","Period=FQ","BEST_FPERIOD_OVERRIDE=FQ","FILING_STATUS=OR","EQY_CONSOLIDATED=Y","Sort=A","Dates=H","DateFormat=P","Fill=—","Direction=H","UseDPDF=Y")</f>
        <v>#NAME?</v>
      </c>
      <c r="AA206" s="2" t="e">
        <f ca="1">_xll.BDH($C$203,"INVENTORY_GROWTH","FQ3 2014","FQ3 2014","Currency=INR","Period=FQ","BEST_FPERIOD_OVERRIDE=FQ","FILING_STATUS=OR","EQY_CONSOLIDATED=Y","Sort=A","Dates=H","DateFormat=P","Fill=—","Direction=H","UseDPDF=Y")</f>
        <v>#NAME?</v>
      </c>
      <c r="AB206" s="2" t="e">
        <f ca="1">_xll.BDH($C$203,"NET_FIXED_ASSETS_1_YEAR_GROWTH","FQ3 2014","FQ3 2014","Currency=INR","Period=FQ","BEST_FPERIOD_OVERRIDE=FQ","FILING_STATUS=OR","EQY_CONSOLIDATED=Y","Sort=A","Dates=H","DateFormat=P","Fill=—","Direction=H","UseDPDF=Y")</f>
        <v>#NAME?</v>
      </c>
      <c r="AC206" s="2" t="e">
        <f ca="1">_xll.BDH($C$203,"ASSET_GROWTH","FQ3 2014","FQ3 2014","Currency=INR","Period=FQ","BEST_FPERIOD_OVERRIDE=FQ","FILING_STATUS=OR","EQY_CONSOLIDATED=Y","Sort=A","Dates=H","DateFormat=P","Fill=—","Direction=H","UseDPDF=Y")</f>
        <v>#NAME?</v>
      </c>
      <c r="AD206" s="2" t="e">
        <f ca="1">_xll.BDH($C$203,"MODIFIED_WORK_CAP_GROWTH","FQ3 2014","FQ3 2014","Currency=INR","Period=FQ","BEST_FPERIOD_OVERRIDE=FQ","FILING_STATUS=OR","EQY_CONSOLIDATED=Y","Sort=A","Dates=H","DateFormat=P","Fill=—","Direction=H","UseDPDF=Y")</f>
        <v>#NAME?</v>
      </c>
      <c r="AE206" s="2" t="e">
        <f ca="1">_xll.BDH($C$203,"WORK_CAP_GROWTH","FQ3 2014","FQ3 2014","Currency=INR","Period=FQ","BEST_FPERIOD_OVERRIDE=FQ","FILING_STATUS=OR","EQY_CONSOLIDATED=Y","Sort=A","Dates=H","DateFormat=P","Fill=—","Direction=H","UseDPDF=Y")</f>
        <v>#NAME?</v>
      </c>
      <c r="AF206" s="2" t="e">
        <f ca="1">_xll.BDH($C$203,"ACCOUNTS_PAYABLE_GROWTH_1YR","FQ3 2014","FQ3 2014","Currency=INR","Period=FQ","BEST_FPERIOD_OVERRIDE=FQ","FILING_STATUS=OR","EQY_CONSOLIDATED=Y","Sort=A","Dates=H","DateFormat=P","Fill=—","Direction=H","UseDPDF=Y")</f>
        <v>#NAME?</v>
      </c>
      <c r="AG206" s="2" t="e">
        <f ca="1">_xll.BDH($C$203,"SHORT_TERM_DEBT_1_YEAR_GROWTH","FQ3 2014","FQ3 2014","Currency=INR","Period=FQ","BEST_FPERIOD_OVERRIDE=FQ","FILING_STATUS=OR","EQY_CONSOLIDATED=Y","Sort=A","Dates=H","DateFormat=P","Fill=—","Direction=H","UseDPDF=Y")</f>
        <v>#NAME?</v>
      </c>
      <c r="AH206" s="2" t="e">
        <f ca="1">_xll.BDH($C$203,"TOTAL_DEBT_1_YEAR_GROWTH","FQ3 2014","FQ3 2014","Currency=INR","Period=FQ","BEST_FPERIOD_OVERRIDE=FQ","FILING_STATUS=OR","EQY_CONSOLIDATED=Y","Sort=A","Dates=H","DateFormat=P","Fill=—","Direction=H","UseDPDF=Y")</f>
        <v>#NAME?</v>
      </c>
      <c r="AI206" s="2" t="e">
        <f ca="1">_xll.BDH($C$203,"TOTAL_EQUITY_1_YEAR_GROWTH","FQ3 2014","FQ3 2014","Currency=INR","Period=FQ","BEST_FPERIOD_OVERRIDE=FQ","FILING_STATUS=OR","EQY_CONSOLIDATED=Y","Sort=A","Dates=H","DateFormat=P","Fill=—","Direction=H","UseDPDF=Y")</f>
        <v>#NAME?</v>
      </c>
      <c r="AJ206" s="2" t="e">
        <f ca="1">_xll.BDH($C$203,"GROWTH_IN_CAP","FQ3 2014","FQ3 2014","Currency=INR","Period=FQ","BEST_FPERIOD_OVERRIDE=FQ","FILING_STATUS=OR","EQY_CONSOLIDATED=Y","Sort=A","Dates=H","DateFormat=P","Fill=—","Direction=H","UseDPDF=Y")</f>
        <v>#NAME?</v>
      </c>
      <c r="AK206" s="2" t="e">
        <f ca="1">_xll.BDH($C$203,"BVPS_GROWTH","FQ3 2014","FQ3 2014","Currency=INR","Period=FQ","BEST_FPERIOD_OVERRIDE=FQ","FILING_STATUS=OR","EQY_CONSOLIDATED=Y","Sort=A","Dates=H","DateFormat=P","Fill=—","Direction=H","UseDPDF=Y")</f>
        <v>#NAME?</v>
      </c>
      <c r="AL206" s="2" t="e">
        <f ca="1">_xll.BDH($C$203,"CASH_FLOW_GROWTH","FQ3 2014","FQ3 2014","Currency=INR","Period=FQ","BEST_FPERIOD_OVERRIDE=FQ","FILING_STATUS=OR","EQY_CONSOLIDATED=Y","Sort=A","Dates=H","DateFormat=P","Fill=—","Direction=H","UseDPDF=Y")</f>
        <v>#NAME?</v>
      </c>
      <c r="AM206" s="2" t="e">
        <f ca="1">_xll.BDH($C$203,"GEO_GROW_NET_SALES","FQ3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06" s="2" t="e">
        <f ca="1">_xll.BDH($C$203,"GEO_GROW_EBITDA","FQ3 2014","FQ3 2014","Currency=INR","Period=FQ","BEST_FPERIOD_OVERRIDE=FQ","FILING_STATUS=OR","EQY_CONSOLIDATED=Y","FA_ADJUSTED=GAAP","Sort=A","Dates=H","DateFormat=P","Fill=—","Direction=H","UseDPDF=Y")</f>
        <v>#NAME?</v>
      </c>
      <c r="AO206" s="2" t="e">
        <f ca="1">_xll.BDH($C$203,"GEO_GROW_OPER_INC","FQ3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06" s="2" t="e">
        <f ca="1">_xll.BDH($C$203,"NET_INCOME_TO_COMMON_5_YR_GROWTH","FQ3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06" s="2" t="e">
        <f ca="1">_xll.BDH($C$203,"5Y_GEO_GROWTH_DILUTED_EPS","FQ3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06" s="2" t="e">
        <f ca="1">_xll.BDH($C$203,"GEO_GROW_DVD_PER_SH","FQ3 2014","FQ3 2014","Currency=INR","Period=FQ","BEST_FPERIOD_OVERRIDE=FQ","FILING_STATUS=OR","EQY_CONSOLIDATED=Y","Sort=A","Dates=H","DateFormat=P","Fill=—","Direction=H","UseDPDF=Y")</f>
        <v>#NAME?</v>
      </c>
      <c r="AS206" s="2" t="e">
        <f ca="1">_xll.BDH($C$203,"ACCOUNTS_RECEIVABLE_5_YR_GROWTH","FQ3 2014","FQ3 2014","Currency=INR","Period=FQ","BEST_FPERIOD_OVERRIDE=FQ","FILING_STATUS=OR","EQY_CONSOLIDATED=Y","Sort=A","Dates=H","DateFormat=P","Fill=—","Direction=H","UseDPDF=Y")</f>
        <v>#NAME?</v>
      </c>
      <c r="AT206" s="2" t="e">
        <f ca="1">_xll.BDH($C$203,"INVENTORY_5_YEAR_GROWTH","FQ3 2014","FQ3 2014","Currency=INR","Period=FQ","BEST_FPERIOD_OVERRIDE=FQ","FILING_STATUS=OR","EQY_CONSOLIDATED=Y","Sort=A","Dates=H","DateFormat=P","Fill=—","Direction=H","UseDPDF=Y")</f>
        <v>#NAME?</v>
      </c>
      <c r="AU206" s="2" t="e">
        <f ca="1">_xll.BDH($C$203,"NET_FIXED_ASSETS_5_YEAR_GROWTH","FQ3 2014","FQ3 2014","Currency=INR","Period=FQ","BEST_FPERIOD_OVERRIDE=FQ","FILING_STATUS=OR","EQY_CONSOLIDATED=Y","Sort=A","Dates=H","DateFormat=P","Fill=—","Direction=H","UseDPDF=Y")</f>
        <v>#NAME?</v>
      </c>
      <c r="AV206" s="2" t="e">
        <f ca="1">_xll.BDH($C$203,"GEO_GROW_TOT_ASSET","FQ3 2014","FQ3 2014","Currency=INR","Period=FQ","BEST_FPERIOD_OVERRIDE=FQ","FILING_STATUS=OR","EQY_CONSOLIDATED=Y","Sort=A","Dates=H","DateFormat=P","Fill=—","Direction=H","UseDPDF=Y")</f>
        <v>#NAME?</v>
      </c>
      <c r="AW206" s="2" t="e">
        <f ca="1">_xll.BDH($C$203,"MODIFIED_WORKING_CPTL_5YR_GRWTH","FQ3 2014","FQ3 2014","Currency=INR","Period=FQ","BEST_FPERIOD_OVERRIDE=FQ","FILING_STATUS=OR","EQY_CONSOLIDATED=Y","Sort=A","Dates=H","DateFormat=P","Fill=—","Direction=H","UseDPDF=Y")</f>
        <v>#NAME?</v>
      </c>
      <c r="AX206" s="2" t="e">
        <f ca="1">_xll.BDH($C$203,"WORKING_CAPITAL_5_YEAR_GROWTH","FQ3 2014","FQ3 2014","Currency=INR","Period=FQ","BEST_FPERIOD_OVERRIDE=FQ","FILING_STATUS=OR","EQY_CONSOLIDATED=Y","Sort=A","Dates=H","DateFormat=P","Fill=—","Direction=H","UseDPDF=Y")</f>
        <v>#NAME?</v>
      </c>
      <c r="AY206" s="2" t="e">
        <f ca="1">_xll.BDH($C$203,"ACCOUNTS_PAYABLE_5_YEAR_GROWTH","FQ3 2014","FQ3 2014","Currency=INR","Period=FQ","BEST_FPERIOD_OVERRIDE=FQ","FILING_STATUS=OR","EQY_CONSOLIDATED=Y","Sort=A","Dates=H","DateFormat=P","Fill=—","Direction=H","UseDPDF=Y")</f>
        <v>#NAME?</v>
      </c>
      <c r="AZ206" s="2" t="e">
        <f ca="1">_xll.BDH($C$203,"SHORT_TERM_DEBT_5_YEAR_GROWTH","FQ3 2014","FQ3 2014","Currency=INR","Period=FQ","BEST_FPERIOD_OVERRIDE=FQ","FILING_STATUS=OR","EQY_CONSOLIDATED=Y","Sort=A","Dates=H","DateFormat=P","Fill=—","Direction=H","UseDPDF=Y")</f>
        <v>#NAME?</v>
      </c>
      <c r="BA206" s="2" t="e">
        <f ca="1">_xll.BDH($C$203,"TOTAL_DEBT_5_YEAR_GROWTH","FQ3 2014","FQ3 2014","Currency=INR","Period=FQ","BEST_FPERIOD_OVERRIDE=FQ","FILING_STATUS=OR","EQY_CONSOLIDATED=Y","Sort=A","Dates=H","DateFormat=P","Fill=—","Direction=H","UseDPDF=Y")</f>
        <v>#NAME?</v>
      </c>
      <c r="BB206" s="2" t="e">
        <f ca="1">_xll.BDH($C$203,"GEO_GROW_TOT_SHRHLDR_EQY","FQ3 2014","FQ3 2014","Currency=INR","Period=FQ","BEST_FPERIOD_OVERRIDE=FQ","FILING_STATUS=OR","EQY_CONSOLIDATED=Y","Sort=A","Dates=H","DateFormat=P","Fill=—","Direction=H","UseDPDF=Y")</f>
        <v>#NAME?</v>
      </c>
      <c r="BC206" s="2" t="e">
        <f ca="1">_xll.BDH($C$203,"TOTAL_CAPITAL_5_YEAR_GROWTH","FQ3 2014","FQ3 2014","Currency=INR","Period=FQ","BEST_FPERIOD_OVERRIDE=FQ","FILING_STATUS=OR","EQY_CONSOLIDATED=Y","Sort=A","Dates=H","DateFormat=P","Fill=—","Direction=H","UseDPDF=Y")</f>
        <v>#NAME?</v>
      </c>
      <c r="BD206" s="2" t="e">
        <f ca="1">_xll.BDH($C$203,"GEO_GROW_BOOK_VAL","FQ3 2014","FQ3 2014","Currency=INR","Period=FQ","BEST_FPERIOD_OVERRIDE=FQ","FILING_STATUS=OR","EQY_CONSOLIDATED=Y","Sort=A","Dates=H","DateFormat=P","Fill=—","Direction=H","UseDPDF=Y")</f>
        <v>#NAME?</v>
      </c>
      <c r="BE206" s="2" t="e">
        <f ca="1">_xll.BDH($C$203,"GEO_GROW_CASH_OPER_ACT","FQ3 2014","FQ3 2014","Currency=INR","Period=FQ","BEST_FPERIOD_OVERRIDE=FQ","FILING_STATUS=OR","EQY_CONSOLIDATED=Y","Sort=A","Dates=H","DateFormat=P","Fill=—","Direction=H","UseDPDF=Y")</f>
        <v>#NAME?</v>
      </c>
      <c r="BF206" s="2" t="e">
        <f ca="1">_xll.BDH($C$203,"REVENUE_SEQUENTIAL_GROWTH","FQ3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06" s="2" t="e">
        <f ca="1">_xll.BDH($C$203,"EBITDA_SEQUENTIAL_GROWTH","FQ3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06" s="2" t="e">
        <f ca="1">_xll.BDH($C$203,"OPERATING_INCOME_SEQ_GROWTH","FQ3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06" s="2" t="e">
        <f ca="1">_xll.BDH($C$203,"NET_INCOME_TO_COMMON_SEQ_GROWTH","FQ3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06" s="2" t="e">
        <f ca="1">_xll.BDH($C$203,"EPS_DILUTED_SEQUENTIAL_GROWTH","FQ3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06" s="2" t="e">
        <f ca="1">_xll.BDH($C$203,"DPS_SEQUENTIAL_GROWTH","FQ3 2014","FQ3 2014","Currency=INR","Period=FQ","BEST_FPERIOD_OVERRIDE=FQ","FILING_STATUS=OR","EQY_CONSOLIDATED=Y","Sort=A","Dates=H","DateFormat=P","Fill=—","Direction=H","UseDPDF=Y")</f>
        <v>#NAME?</v>
      </c>
      <c r="BL206" s="2" t="e">
        <f ca="1">_xll.BDH($C$203,"ACCOUNTS_RECEIVABLE_SEQ_GROWTH","FQ3 2014","FQ3 2014","Currency=INR","Period=FQ","BEST_FPERIOD_OVERRIDE=FQ","FILING_STATUS=OR","EQY_CONSOLIDATED=Y","Sort=A","Dates=H","DateFormat=P","Fill=—","Direction=H","UseDPDF=Y")</f>
        <v>#NAME?</v>
      </c>
      <c r="BM206" s="2" t="e">
        <f ca="1">_xll.BDH($C$203,"INVENTORY_SEQUENTIAL_GROWTH","FQ3 2014","FQ3 2014","Currency=INR","Period=FQ","BEST_FPERIOD_OVERRIDE=FQ","FILING_STATUS=OR","EQY_CONSOLIDATED=Y","Sort=A","Dates=H","DateFormat=P","Fill=—","Direction=H","UseDPDF=Y")</f>
        <v>#NAME?</v>
      </c>
      <c r="BN206" s="2" t="e">
        <f ca="1">_xll.BDH($C$203,"FIXED_ASSETS_SEQUENTIAL_GROWTH","FQ3 2014","FQ3 2014","Currency=INR","Period=FQ","BEST_FPERIOD_OVERRIDE=FQ","FILING_STATUS=OR","EQY_CONSOLIDATED=Y","Sort=A","Dates=H","DateFormat=P","Fill=—","Direction=H","UseDPDF=Y")</f>
        <v>#NAME?</v>
      </c>
      <c r="BO206" s="2" t="e">
        <f ca="1">_xll.BDH($C$203,"TOTAL_ASSETS_SEQUENTIAL_GROWTH","FQ3 2014","FQ3 2014","Currency=INR","Period=FQ","BEST_FPERIOD_OVERRIDE=FQ","FILING_STATUS=OR","EQY_CONSOLIDATED=Y","Sort=A","Dates=H","DateFormat=P","Fill=—","Direction=H","UseDPDF=Y")</f>
        <v>#NAME?</v>
      </c>
      <c r="BP206" s="2" t="e">
        <f ca="1">_xll.BDH($C$203,"MODIFIED_WORKING_CPTL_SEQ_GRWTH","FQ3 2014","FQ3 2014","Currency=INR","Period=FQ","BEST_FPERIOD_OVERRIDE=FQ","FILING_STATUS=OR","EQY_CONSOLIDATED=Y","Sort=A","Dates=H","DateFormat=P","Fill=—","Direction=H","UseDPDF=Y")</f>
        <v>#NAME?</v>
      </c>
      <c r="BQ206" s="2" t="e">
        <f ca="1">_xll.BDH($C$203,"WORKING_CAPITAL_SEQ_GROWTH","FQ3 2014","FQ3 2014","Currency=INR","Period=FQ","BEST_FPERIOD_OVERRIDE=FQ","FILING_STATUS=OR","EQY_CONSOLIDATED=Y","Sort=A","Dates=H","DateFormat=P","Fill=—","Direction=H","UseDPDF=Y")</f>
        <v>#NAME?</v>
      </c>
      <c r="BR206" s="2" t="e">
        <f ca="1">_xll.BDH($C$203,"ACCOUNTS_PAYABLE_SEQ_GROWTH","FQ3 2014","FQ3 2014","Currency=INR","Period=FQ","BEST_FPERIOD_OVERRIDE=FQ","FILING_STATUS=OR","EQY_CONSOLIDATED=Y","Sort=A","Dates=H","DateFormat=P","Fill=—","Direction=H","UseDPDF=Y")</f>
        <v>#NAME?</v>
      </c>
      <c r="BS206" s="2" t="e">
        <f ca="1">_xll.BDH($C$203,"ST_DEBT_SEQUENTIAL_GROWTH","FQ3 2014","FQ3 2014","Currency=INR","Period=FQ","BEST_FPERIOD_OVERRIDE=FQ","FILING_STATUS=OR","EQY_CONSOLIDATED=Y","Sort=A","Dates=H","DateFormat=P","Fill=—","Direction=H","UseDPDF=Y")</f>
        <v>#NAME?</v>
      </c>
      <c r="BT206" s="2" t="e">
        <f ca="1">_xll.BDH($C$203,"TOTAL_DEBT_SEQUENTIAL_GROWTH","FQ3 2014","FQ3 2014","Currency=INR","Period=FQ","BEST_FPERIOD_OVERRIDE=FQ","FILING_STATUS=OR","EQY_CONSOLIDATED=Y","Sort=A","Dates=H","DateFormat=P","Fill=—","Direction=H","UseDPDF=Y")</f>
        <v>#NAME?</v>
      </c>
      <c r="BU206" s="2" t="e">
        <f ca="1">_xll.BDH($C$203,"TOTAL_EQUITY_SEQUENTIAL_GROWTH","FQ3 2014","FQ3 2014","Currency=INR","Period=FQ","BEST_FPERIOD_OVERRIDE=FQ","FILING_STATUS=OR","EQY_CONSOLIDATED=Y","Sort=A","Dates=H","DateFormat=P","Fill=—","Direction=H","UseDPDF=Y")</f>
        <v>#NAME?</v>
      </c>
      <c r="BV206" s="2" t="e">
        <f ca="1">_xll.BDH($C$203,"TOTAL_CAPITAL_SEQUENTIAL_GROWTH","FQ3 2014","FQ3 2014","Currency=INR","Period=FQ","BEST_FPERIOD_OVERRIDE=FQ","FILING_STATUS=OR","EQY_CONSOLIDATED=Y","Sort=A","Dates=H","DateFormat=P","Fill=—","Direction=H","UseDPDF=Y")</f>
        <v>#NAME?</v>
      </c>
      <c r="BW206" s="2" t="e">
        <f ca="1">_xll.BDH($C$203,"BPS_SEQUENTIAL_GROWTH","FQ3 2014","FQ3 2014","Currency=INR","Period=FQ","BEST_FPERIOD_OVERRIDE=FQ","FILING_STATUS=OR","EQY_CONSOLIDATED=Y","Sort=A","Dates=H","DateFormat=P","Fill=—","Direction=H","UseDPDF=Y")</f>
        <v>#NAME?</v>
      </c>
      <c r="BX206" s="2" t="e">
        <f ca="1">_xll.BDH($C$203,"CFO_SEQUENTIAL_GROWTH","FQ3 2014","FQ3 2014","Currency=INR","Period=FQ","BEST_FPERIOD_OVERRIDE=FQ","FILING_STATUS=OR","EQY_CONSOLIDATED=Y","Sort=A","Dates=H","DateFormat=P","Fill=—","Direction=H","UseDPDF=Y")</f>
        <v>#NAME?</v>
      </c>
      <c r="BY206" s="3" t="e">
        <f ca="1">_xll.BDH($C$203,"SHORT_AND_LONG_TERM_DEBT","FQ3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06" s="3" t="e">
        <f ca="1">_xll.BDH($C$203,"BS_ST_BORROW","FQ3 2014","FQ3 2014","Currency=INR","Period=FQ","BEST_FPERIOD_OVERRIDE=FQ","FILING_STATUS=OR","EQY_CONSOLIDATED=Y","SCALING_FORMAT=MLN","Sort=A","Dates=H","DateFormat=P","Fill=—","Direction=H","UseDPDF=Y")</f>
        <v>#NAME?</v>
      </c>
      <c r="CA206" s="3" t="e">
        <f ca="1">_xll.BDH($C$203,"BS_LT_BORROW","FQ3 2014","FQ3 2014","Currency=INR","Period=FQ","BEST_FPERIOD_OVERRIDE=FQ","FILING_STATUS=OR","EQY_CONSOLIDATED=Y","SCALING_FORMAT=MLN","Sort=A","Dates=H","DateFormat=P","Fill=—","Direction=H","UseDPDF=Y")</f>
        <v>#NAME?</v>
      </c>
      <c r="CB206" s="2" t="e">
        <f ca="1">_xll.BDH($C$203,"TOT_DEBT_TO_EBITDA","FQ3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06" s="2" t="e">
        <f ca="1">_xll.BDH($C$203,"NET_DEBT_TO_EBITDA","FQ3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06" s="2" t="e">
        <f ca="1">_xll.BDH($C$203,"TOTAL_DEBT_TO_EBIT","FQ3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06" s="2" t="e">
        <f ca="1">_xll.BDH($C$203,"NET_DEBT_TO_EBIT","FQ3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06" s="2" t="e">
        <f ca="1">_xll.BDH($C$203,"EBITDA_TO_INTEREST_EXPN","FQ3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06" s="2" t="e">
        <f ca="1">_xll.BDH($C$203,"COM_EQY_TO_TOT_ASSET","FQ3 2014","FQ3 2014","Currency=INR","Period=FQ","BEST_FPERIOD_OVERRIDE=FQ","FILING_STATUS=OR","EQY_CONSOLIDATED=Y","Sort=A","Dates=H","DateFormat=P","Fill=—","Direction=H","UseDPDF=Y")</f>
        <v>#NAME?</v>
      </c>
      <c r="CH206" s="2" t="e">
        <f ca="1">_xll.BDH($C$203,"LT_DEBT_TO_TOT_EQY","FQ3 2014","FQ3 2014","Currency=INR","Period=FQ","BEST_FPERIOD_OVERRIDE=FQ","FILING_STATUS=OR","EQY_CONSOLIDATED=Y","Sort=A","Dates=H","DateFormat=P","Fill=—","Direction=H","UseDPDF=Y")</f>
        <v>#NAME?</v>
      </c>
      <c r="CI206" s="2" t="e">
        <f ca="1">_xll.BDH($C$203,"LT_DEBT_TO_TOT_CAP","FQ3 2014","FQ3 2014","Currency=INR","Period=FQ","BEST_FPERIOD_OVERRIDE=FQ","FILING_STATUS=OR","EQY_CONSOLIDATED=Y","Sort=A","Dates=H","DateFormat=P","Fill=—","Direction=H","UseDPDF=Y")</f>
        <v>#NAME?</v>
      </c>
      <c r="CJ206" s="2" t="e">
        <f ca="1">_xll.BDH($C$203,"LT_DEBT_TO_TOT_ASSET","FQ3 2014","FQ3 2014","Currency=INR","Period=FQ","BEST_FPERIOD_OVERRIDE=FQ","FILING_STATUS=OR","EQY_CONSOLIDATED=Y","Sort=A","Dates=H","DateFormat=P","Fill=—","Direction=H","UseDPDF=Y")</f>
        <v>#NAME?</v>
      </c>
      <c r="CK206" s="2" t="e">
        <f ca="1">_xll.BDH($C$203,"TOT_DEBT_TO_TOT_EQY","FQ3 2014","FQ3 2014","Currency=INR","Period=FQ","BEST_FPERIOD_OVERRIDE=FQ","FILING_STATUS=OR","EQY_CONSOLIDATED=Y","Sort=A","Dates=H","DateFormat=P","Fill=—","Direction=H","UseDPDF=Y")</f>
        <v>#NAME?</v>
      </c>
      <c r="CL206" s="2" t="e">
        <f ca="1">_xll.BDH($C$203,"TOT_DEBT_TO_TOT_CAP","FQ3 2014","FQ3 2014","Currency=INR","Period=FQ","BEST_FPERIOD_OVERRIDE=FQ","FILING_STATUS=OR","EQY_CONSOLIDATED=Y","Sort=A","Dates=H","DateFormat=P","Fill=—","Direction=H","UseDPDF=Y")</f>
        <v>#NAME?</v>
      </c>
      <c r="CM206" s="2" t="e">
        <f ca="1">_xll.BDH($C$203,"TOT_DEBT_TO_TOT_ASSET","FQ3 2014","FQ3 2014","Currency=INR","Period=FQ","BEST_FPERIOD_OVERRIDE=FQ","FILING_STATUS=OR","EQY_CONSOLIDATED=Y","Sort=A","Dates=H","DateFormat=P","Fill=—","Direction=H","UseDPDF=Y")</f>
        <v>#NAME?</v>
      </c>
      <c r="CN206" s="2" t="e">
        <f ca="1">_xll.BDH($C$203,"NET_DEBT_TO_SHRHLDR_EQTY","FQ3 2014","FQ3 2014","Currency=INR","Period=FQ","BEST_FPERIOD_OVERRIDE=FQ","FILING_STATUS=OR","EQY_CONSOLIDATED=Y","Sort=A","Dates=H","DateFormat=P","Fill=—","Direction=H","UseDPDF=Y")</f>
        <v>#NAME?</v>
      </c>
      <c r="CO206" s="2" t="e">
        <f ca="1">_xll.BDH($C$203,"NET_DEBT_%_CAPITAL","FQ3 2014","FQ3 2014","Currency=INR","Period=FQ","BEST_FPERIOD_OVERRIDE=FQ","FILING_STATUS=OR","EQY_CONSOLIDATED=Y","Sort=A","Dates=H","DateFormat=P","Fill=—","Direction=H","UseDPDF=Y")</f>
        <v>#NAME?</v>
      </c>
      <c r="CP206" s="3" t="e">
        <f ca="1">_xll.BDH($C$203,"EBITDA","FQ3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06" s="3" t="e">
        <f ca="1">_xll.BDH($C$203,"EBITDA_AFTER_CAPEX","FQ3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06" s="3" t="e">
        <f ca="1">_xll.BDH($C$203,"IS_OPER_INC","FQ3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06" s="2" t="e">
        <f ca="1">_xll.BDH($C$203,"CASH_RATIO","FQ3 2014","FQ3 2014","Currency=INR","Period=FQ","BEST_FPERIOD_OVERRIDE=FQ","FILING_STATUS=OR","EQY_CONSOLIDATED=Y","Sort=A","Dates=H","DateFormat=P","Fill=—","Direction=H","UseDPDF=Y")</f>
        <v>#NAME?</v>
      </c>
      <c r="CT206" s="2" t="e">
        <f ca="1">_xll.BDH($C$203,"CUR_RATIO","FQ3 2014","FQ3 2014","Currency=INR","Period=FQ","BEST_FPERIOD_OVERRIDE=FQ","FILING_STATUS=OR","EQY_CONSOLIDATED=Y","Sort=A","Dates=H","DateFormat=P","Fill=—","Direction=H","UseDPDF=Y")</f>
        <v>#NAME?</v>
      </c>
      <c r="CU206" s="2" t="e">
        <f ca="1">_xll.BDH($C$203,"QUICK_RATIO","FQ3 2014","FQ3 2014","Currency=INR","Period=FQ","BEST_FPERIOD_OVERRIDE=FQ","FILING_STATUS=OR","EQY_CONSOLIDATED=Y","Sort=A","Dates=H","DateFormat=P","Fill=—","Direction=H","UseDPDF=Y")</f>
        <v>#NAME?</v>
      </c>
      <c r="CV206" s="2" t="e">
        <f ca="1">_xll.BDH($C$203,"ALTMAN_Z_SCORE","FQ3 2014","FQ3 2014","Currency=INR","Period=FQ","BEST_FPERIOD_OVERRIDE=FQ","FILING_STATUS=OR","EQY_CONSOLIDATED=Y","Sort=A","Dates=H","DateFormat=P","Fill=—","Direction=H","UseDPDF=Y")</f>
        <v>#NAME?</v>
      </c>
      <c r="CW206" s="4" t="e">
        <f ca="1">_xll.BDH($C$203,"ACCT_RCV_TURN","FQ3 2014","FQ3 2014","Currency=INR","Period=FQ","BEST_FPERIOD_OVERRIDE=FQ","FILING_STATUS=OR","EQY_CONSOLIDATED=Y","FA_ADJUSTED=GAAP","Sort=A","Dates=H","DateFormat=P","Fill=—","Direction=H","UseDPDF=Y")</f>
        <v>#NAME?</v>
      </c>
      <c r="CX206" s="2" t="e">
        <f ca="1">_xll.BDH($C$203,"ACCT_RCV_DAYS","FQ3 2014","FQ3 2014","Currency=INR","Period=FQ","BEST_FPERIOD_OVERRIDE=FQ","FILING_STATUS=OR","EQY_CONSOLIDATED=Y","FA_ADJUSTED=GAAP","Sort=A","Dates=H","DateFormat=P","Fill=—","Direction=H","UseDPDF=Y")</f>
        <v>#NAME?</v>
      </c>
      <c r="CY206" s="4" t="e">
        <f ca="1">_xll.BDH($C$203,"INVENT_TURN","FQ3 2014","FQ3 2014","Currency=INR","Period=FQ","BEST_FPERIOD_OVERRIDE=FQ","FILING_STATUS=OR","EQY_CONSOLIDATED=Y","FA_ADJUSTED=GAAP","Sort=A","Dates=H","DateFormat=P","Fill=—","Direction=H","UseDPDF=Y")</f>
        <v>#NAME?</v>
      </c>
      <c r="CZ206" s="2" t="e">
        <f ca="1">_xll.BDH($C$203,"INVENT_DAYS","FQ3 2014","FQ3 2014","Currency=INR","Period=FQ","BEST_FPERIOD_OVERRIDE=FQ","FILING_STATUS=OR","EQY_CONSOLIDATED=Y","FA_ADJUSTED=GAAP","Sort=A","Dates=H","DateFormat=P","Fill=—","Direction=H","UseDPDF=Y")</f>
        <v>#NAME?</v>
      </c>
      <c r="DA206" s="4" t="e">
        <f ca="1">_xll.BDH($C$203,"ACCOUNTS_PAYABLE_TURNOVER","FQ3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06" s="2" t="e">
        <f ca="1">_xll.BDH($C$203,"ACCOUNTS_PAYABLE_TURNOVER_DAYS","FQ3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06" s="4" t="e">
        <f ca="1">_xll.BDH($C$203,"CASH_CONVERSION_CYCLE","FQ3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06" s="4" t="e">
        <f ca="1">_xll.BDH($C$203,"INV_TO_CASH_DAYS","FQ3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06" s="5" t="e">
        <f ca="1">_xll.BDH($C$203,"BS_INVENTORIES","FQ3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06" s="3" t="e">
        <f ca="1">_xll.BDH($C$203,"INVTRY_RAW_MATERIALS","FQ3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06" s="3" t="e">
        <f ca="1">_xll.BDH($C$203,"INVTRY_IN_PROGRESS","FQ3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06" s="3" t="e">
        <f ca="1">_xll.BDH($C$203,"INVTRY_FINISHED_GOODS","FQ3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06" s="3" t="e">
        <f ca="1">_xll.BDH($C$203,"BS_OTHER_INV","FQ3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07" spans="1:113" x14ac:dyDescent="0.3">
      <c r="A207" s="6"/>
      <c r="B207" s="6"/>
      <c r="C207" s="6"/>
      <c r="D207" s="6"/>
      <c r="E207" t="s">
        <v>81</v>
      </c>
      <c r="F207" t="e">
        <f ca="1">_xll.BDH($C$203,"RETURN_COM_EQY","FQ4 2014","FQ4 2014","Currency=INR","Period=FQ","BEST_FPERIOD_OVERRIDE=FQ","FILING_STATUS=OR","EQY_CONSOLIDATED=Y","FA_ADJUSTED=GAAP","Sort=A","Dates=H","DateFormat=P","Fill=—","Direction=H","UseDPDF=Y")</f>
        <v>#NAME?</v>
      </c>
      <c r="G207" t="e">
        <f ca="1">_xll.BDH($C$203,"RETURN_ON_ASSET","FQ4 2014","FQ4 2014","Currency=INR","Period=FQ","BEST_FPERIOD_OVERRIDE=FQ","FILING_STATUS=OR","EQY_CONSOLIDATED=Y","FA_ADJUSTED=GAAP","Sort=A","Dates=H","DateFormat=P","Fill=—","Direction=H","UseDPDF=Y")</f>
        <v>#NAME?</v>
      </c>
      <c r="H207" t="e">
        <f ca="1">_xll.BDH($C$203,"RETURN_ON_CAP","FQ4 2014","FQ4 2014","Currency=INR","Period=FQ","BEST_FPERIOD_OVERRIDE=FQ","FILING_STATUS=OR","EQY_CONSOLIDATED=Y","FA_ADJUSTED=GAAP","Sort=A","Dates=H","DateFormat=P","Fill=—","Direction=H","UseDPDF=Y")</f>
        <v>#NAME?</v>
      </c>
      <c r="I207" t="e">
        <f ca="1">_xll.BDH($C$203,"RETURN_ON_INV_CAPITAL","FQ4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07" t="e">
        <f ca="1">_xll.BDH($C$203,"EBITDA_TO_REVENUE","FQ4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07" t="e">
        <f ca="1">_xll.BDH($C$203,"OPER_MARGIN","FQ4 2014","FQ4 2014","Currency=INR","Period=FQ","BEST_FPERIOD_OVERRIDE=FQ","FILING_STATUS=OR","EQY_CONSOLIDATED=Y","FA_ADJUSTED=GAAP","Sort=A","Dates=H","DateFormat=P","Fill=—","Direction=H","UseDPDF=Y")</f>
        <v>#NAME?</v>
      </c>
      <c r="L207" t="e">
        <f ca="1">_xll.BDH($C$203,"INCREMENTAL_OPERATING_MARGIN","FQ4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07" t="e">
        <f ca="1">_xll.BDH($C$203,"PRETAX_INC_TO_NET_SALES","FQ4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07" t="e">
        <f ca="1">_xll.BDH($C$203,"INC_BEF_XO_ITEMS_TO_NET_SALES","FQ4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07" t="e">
        <f ca="1">_xll.BDH($C$203,"PROF_MARGIN","FQ4 2014","FQ4 2014","Currency=INR","Period=FQ","BEST_FPERIOD_OVERRIDE=FQ","FILING_STATUS=OR","EQY_CONSOLIDATED=Y","FA_ADJUSTED=GAAP","Sort=A","Dates=H","DateFormat=P","Fill=—","Direction=H","UseDPDF=Y")</f>
        <v>#NAME?</v>
      </c>
      <c r="P207" t="e">
        <f ca="1">_xll.BDH($C$203,"NET_INCOME_TO_COMMON_MARGIN","FQ4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07" t="e">
        <f ca="1">_xll.BDH($C$203,"EFF_TAX_RATE","FQ4 2014","FQ4 2014","Currency=INR","Period=FQ","BEST_FPERIOD_OVERRIDE=FQ","FILING_STATUS=OR","EQY_CONSOLIDATED=Y","FA_ADJUSTED=GAAP","Sort=A","Dates=H","DateFormat=P","Fill=—","Direction=H","UseDPDF=Y")</f>
        <v>#NAME?</v>
      </c>
      <c r="R207" t="e">
        <f ca="1">_xll.BDH($C$203,"DVD_PAYOUT_RATIO","FQ4 2014","FQ4 2014","Currency=INR","Period=FQ","BEST_FPERIOD_OVERRIDE=FQ","FILING_STATUS=OR","EQY_CONSOLIDATED=Y","FA_ADJUSTED=GAAP","Sort=A","Dates=H","DateFormat=P","Fill=—","Direction=H","UseDPDF=Y")</f>
        <v>#NAME?</v>
      </c>
      <c r="S207" t="e">
        <f ca="1">_xll.BDH($C$203,"SUSTAIN_GROWTH_RT","FQ4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07" s="2" t="e">
        <f ca="1">_xll.BDH($C$203,"SALES_GROWTH","FQ4 2014","FQ4 2014","Currency=INR","Period=FQ","BEST_FPERIOD_OVERRIDE=FQ","FILING_STATUS=OR","EQY_CONSOLIDATED=Y","FA_ADJUSTED=GAAP","Sort=A","Dates=H","DateFormat=P","Fill=—","Direction=H","UseDPDF=Y")</f>
        <v>#NAME?</v>
      </c>
      <c r="U207" s="2" t="e">
        <f ca="1">_xll.BDH($C$203,"EBITDA_GROWTH","FQ4 2014","FQ4 2014","Currency=INR","Period=FQ","BEST_FPERIOD_OVERRIDE=FQ","FILING_STATUS=OR","EQY_CONSOLIDATED=Y","FA_ADJUSTED=GAAP","Sort=A","Dates=H","DateFormat=P","Fill=—","Direction=H","UseDPDF=Y")</f>
        <v>#NAME?</v>
      </c>
      <c r="V207" s="2" t="e">
        <f ca="1">_xll.BDH($C$203,"OPER_INC_GROWTH","FQ4 2014","FQ4 2014","Currency=INR","Period=FQ","BEST_FPERIOD_OVERRIDE=FQ","FILING_STATUS=OR","EQY_CONSOLIDATED=Y","FA_ADJUSTED=GAAP","Sort=A","Dates=H","DateFormat=P","Fill=—","Direction=H","UseDPDF=Y")</f>
        <v>#NAME?</v>
      </c>
      <c r="W207" s="2" t="e">
        <f ca="1">_xll.BDH($C$203,"EARN_FOR_COM_GROWTH","FQ4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07" s="2" t="e">
        <f ca="1">_xll.BDH($C$203,"DILUTED_EPS_AFT_XO_ITEMS_GROWTH","FQ4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07" s="2" t="e">
        <f ca="1">_xll.BDH($C$203,"DIVIDEND_PER_SHARE_1_YEAR_GROWTH","FQ4 2014","FQ4 2014","Currency=INR","Period=FQ","BEST_FPERIOD_OVERRIDE=FQ","FILING_STATUS=OR","EQY_CONSOLIDATED=Y","Sort=A","Dates=H","DateFormat=P","Fill=—","Direction=H","UseDPDF=Y")</f>
        <v>#NAME?</v>
      </c>
      <c r="Z207" s="2" t="e">
        <f ca="1">_xll.BDH($C$203,"ACCOUNTS_RECEIVABLE_GROWTH","FQ4 2014","FQ4 2014","Currency=INR","Period=FQ","BEST_FPERIOD_OVERRIDE=FQ","FILING_STATUS=OR","EQY_CONSOLIDATED=Y","Sort=A","Dates=H","DateFormat=P","Fill=—","Direction=H","UseDPDF=Y")</f>
        <v>#NAME?</v>
      </c>
      <c r="AA207" s="2" t="e">
        <f ca="1">_xll.BDH($C$203,"INVENTORY_GROWTH","FQ4 2014","FQ4 2014","Currency=INR","Period=FQ","BEST_FPERIOD_OVERRIDE=FQ","FILING_STATUS=OR","EQY_CONSOLIDATED=Y","Sort=A","Dates=H","DateFormat=P","Fill=—","Direction=H","UseDPDF=Y")</f>
        <v>#NAME?</v>
      </c>
      <c r="AB207" s="2" t="e">
        <f ca="1">_xll.BDH($C$203,"NET_FIXED_ASSETS_1_YEAR_GROWTH","FQ4 2014","FQ4 2014","Currency=INR","Period=FQ","BEST_FPERIOD_OVERRIDE=FQ","FILING_STATUS=OR","EQY_CONSOLIDATED=Y","Sort=A","Dates=H","DateFormat=P","Fill=—","Direction=H","UseDPDF=Y")</f>
        <v>#NAME?</v>
      </c>
      <c r="AC207" s="2" t="e">
        <f ca="1">_xll.BDH($C$203,"ASSET_GROWTH","FQ4 2014","FQ4 2014","Currency=INR","Period=FQ","BEST_FPERIOD_OVERRIDE=FQ","FILING_STATUS=OR","EQY_CONSOLIDATED=Y","Sort=A","Dates=H","DateFormat=P","Fill=—","Direction=H","UseDPDF=Y")</f>
        <v>#NAME?</v>
      </c>
      <c r="AD207" s="2" t="e">
        <f ca="1">_xll.BDH($C$203,"MODIFIED_WORK_CAP_GROWTH","FQ4 2014","FQ4 2014","Currency=INR","Period=FQ","BEST_FPERIOD_OVERRIDE=FQ","FILING_STATUS=OR","EQY_CONSOLIDATED=Y","Sort=A","Dates=H","DateFormat=P","Fill=—","Direction=H","UseDPDF=Y")</f>
        <v>#NAME?</v>
      </c>
      <c r="AE207" s="2" t="e">
        <f ca="1">_xll.BDH($C$203,"WORK_CAP_GROWTH","FQ4 2014","FQ4 2014","Currency=INR","Period=FQ","BEST_FPERIOD_OVERRIDE=FQ","FILING_STATUS=OR","EQY_CONSOLIDATED=Y","Sort=A","Dates=H","DateFormat=P","Fill=—","Direction=H","UseDPDF=Y")</f>
        <v>#NAME?</v>
      </c>
      <c r="AF207" s="2" t="e">
        <f ca="1">_xll.BDH($C$203,"ACCOUNTS_PAYABLE_GROWTH_1YR","FQ4 2014","FQ4 2014","Currency=INR","Period=FQ","BEST_FPERIOD_OVERRIDE=FQ","FILING_STATUS=OR","EQY_CONSOLIDATED=Y","Sort=A","Dates=H","DateFormat=P","Fill=—","Direction=H","UseDPDF=Y")</f>
        <v>#NAME?</v>
      </c>
      <c r="AG207" s="2" t="e">
        <f ca="1">_xll.BDH($C$203,"SHORT_TERM_DEBT_1_YEAR_GROWTH","FQ4 2014","FQ4 2014","Currency=INR","Period=FQ","BEST_FPERIOD_OVERRIDE=FQ","FILING_STATUS=OR","EQY_CONSOLIDATED=Y","Sort=A","Dates=H","DateFormat=P","Fill=—","Direction=H","UseDPDF=Y")</f>
        <v>#NAME?</v>
      </c>
      <c r="AH207" s="2" t="e">
        <f ca="1">_xll.BDH($C$203,"TOTAL_DEBT_1_YEAR_GROWTH","FQ4 2014","FQ4 2014","Currency=INR","Period=FQ","BEST_FPERIOD_OVERRIDE=FQ","FILING_STATUS=OR","EQY_CONSOLIDATED=Y","Sort=A","Dates=H","DateFormat=P","Fill=—","Direction=H","UseDPDF=Y")</f>
        <v>#NAME?</v>
      </c>
      <c r="AI207" s="2" t="e">
        <f ca="1">_xll.BDH($C$203,"TOTAL_EQUITY_1_YEAR_GROWTH","FQ4 2014","FQ4 2014","Currency=INR","Period=FQ","BEST_FPERIOD_OVERRIDE=FQ","FILING_STATUS=OR","EQY_CONSOLIDATED=Y","Sort=A","Dates=H","DateFormat=P","Fill=—","Direction=H","UseDPDF=Y")</f>
        <v>#NAME?</v>
      </c>
      <c r="AJ207" s="2" t="e">
        <f ca="1">_xll.BDH($C$203,"GROWTH_IN_CAP","FQ4 2014","FQ4 2014","Currency=INR","Period=FQ","BEST_FPERIOD_OVERRIDE=FQ","FILING_STATUS=OR","EQY_CONSOLIDATED=Y","Sort=A","Dates=H","DateFormat=P","Fill=—","Direction=H","UseDPDF=Y")</f>
        <v>#NAME?</v>
      </c>
      <c r="AK207" s="2" t="e">
        <f ca="1">_xll.BDH($C$203,"BVPS_GROWTH","FQ4 2014","FQ4 2014","Currency=INR","Period=FQ","BEST_FPERIOD_OVERRIDE=FQ","FILING_STATUS=OR","EQY_CONSOLIDATED=Y","Sort=A","Dates=H","DateFormat=P","Fill=—","Direction=H","UseDPDF=Y")</f>
        <v>#NAME?</v>
      </c>
      <c r="AL207" s="2" t="e">
        <f ca="1">_xll.BDH($C$203,"CASH_FLOW_GROWTH","FQ4 2014","FQ4 2014","Currency=INR","Period=FQ","BEST_FPERIOD_OVERRIDE=FQ","FILING_STATUS=OR","EQY_CONSOLIDATED=Y","Sort=A","Dates=H","DateFormat=P","Fill=—","Direction=H","UseDPDF=Y")</f>
        <v>#NAME?</v>
      </c>
      <c r="AM207" s="2" t="e">
        <f ca="1">_xll.BDH($C$203,"GEO_GROW_NET_SALES","FQ4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07" s="2" t="e">
        <f ca="1">_xll.BDH($C$203,"GEO_GROW_EBITDA","FQ4 2014","FQ4 2014","Currency=INR","Period=FQ","BEST_FPERIOD_OVERRIDE=FQ","FILING_STATUS=OR","EQY_CONSOLIDATED=Y","FA_ADJUSTED=GAAP","Sort=A","Dates=H","DateFormat=P","Fill=—","Direction=H","UseDPDF=Y")</f>
        <v>#NAME?</v>
      </c>
      <c r="AO207" s="2" t="e">
        <f ca="1">_xll.BDH($C$203,"GEO_GROW_OPER_INC","FQ4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07" s="2" t="e">
        <f ca="1">_xll.BDH($C$203,"NET_INCOME_TO_COMMON_5_YR_GROWTH","FQ4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07" s="2" t="e">
        <f ca="1">_xll.BDH($C$203,"5Y_GEO_GROWTH_DILUTED_EPS","FQ4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07" s="2" t="e">
        <f ca="1">_xll.BDH($C$203,"GEO_GROW_DVD_PER_SH","FQ4 2014","FQ4 2014","Currency=INR","Period=FQ","BEST_FPERIOD_OVERRIDE=FQ","FILING_STATUS=OR","EQY_CONSOLIDATED=Y","Sort=A","Dates=H","DateFormat=P","Fill=—","Direction=H","UseDPDF=Y")</f>
        <v>#NAME?</v>
      </c>
      <c r="AS207" s="2" t="e">
        <f ca="1">_xll.BDH($C$203,"ACCOUNTS_RECEIVABLE_5_YR_GROWTH","FQ4 2014","FQ4 2014","Currency=INR","Period=FQ","BEST_FPERIOD_OVERRIDE=FQ","FILING_STATUS=OR","EQY_CONSOLIDATED=Y","Sort=A","Dates=H","DateFormat=P","Fill=—","Direction=H","UseDPDF=Y")</f>
        <v>#NAME?</v>
      </c>
      <c r="AT207" s="2" t="e">
        <f ca="1">_xll.BDH($C$203,"INVENTORY_5_YEAR_GROWTH","FQ4 2014","FQ4 2014","Currency=INR","Period=FQ","BEST_FPERIOD_OVERRIDE=FQ","FILING_STATUS=OR","EQY_CONSOLIDATED=Y","Sort=A","Dates=H","DateFormat=P","Fill=—","Direction=H","UseDPDF=Y")</f>
        <v>#NAME?</v>
      </c>
      <c r="AU207" s="2" t="e">
        <f ca="1">_xll.BDH($C$203,"NET_FIXED_ASSETS_5_YEAR_GROWTH","FQ4 2014","FQ4 2014","Currency=INR","Period=FQ","BEST_FPERIOD_OVERRIDE=FQ","FILING_STATUS=OR","EQY_CONSOLIDATED=Y","Sort=A","Dates=H","DateFormat=P","Fill=—","Direction=H","UseDPDF=Y")</f>
        <v>#NAME?</v>
      </c>
      <c r="AV207" s="2" t="e">
        <f ca="1">_xll.BDH($C$203,"GEO_GROW_TOT_ASSET","FQ4 2014","FQ4 2014","Currency=INR","Period=FQ","BEST_FPERIOD_OVERRIDE=FQ","FILING_STATUS=OR","EQY_CONSOLIDATED=Y","Sort=A","Dates=H","DateFormat=P","Fill=—","Direction=H","UseDPDF=Y")</f>
        <v>#NAME?</v>
      </c>
      <c r="AW207" s="2" t="e">
        <f ca="1">_xll.BDH($C$203,"MODIFIED_WORKING_CPTL_5YR_GRWTH","FQ4 2014","FQ4 2014","Currency=INR","Period=FQ","BEST_FPERIOD_OVERRIDE=FQ","FILING_STATUS=OR","EQY_CONSOLIDATED=Y","Sort=A","Dates=H","DateFormat=P","Fill=—","Direction=H","UseDPDF=Y")</f>
        <v>#NAME?</v>
      </c>
      <c r="AX207" s="2" t="e">
        <f ca="1">_xll.BDH($C$203,"WORKING_CAPITAL_5_YEAR_GROWTH","FQ4 2014","FQ4 2014","Currency=INR","Period=FQ","BEST_FPERIOD_OVERRIDE=FQ","FILING_STATUS=OR","EQY_CONSOLIDATED=Y","Sort=A","Dates=H","DateFormat=P","Fill=—","Direction=H","UseDPDF=Y")</f>
        <v>#NAME?</v>
      </c>
      <c r="AY207" s="2" t="e">
        <f ca="1">_xll.BDH($C$203,"ACCOUNTS_PAYABLE_5_YEAR_GROWTH","FQ4 2014","FQ4 2014","Currency=INR","Period=FQ","BEST_FPERIOD_OVERRIDE=FQ","FILING_STATUS=OR","EQY_CONSOLIDATED=Y","Sort=A","Dates=H","DateFormat=P","Fill=—","Direction=H","UseDPDF=Y")</f>
        <v>#NAME?</v>
      </c>
      <c r="AZ207" s="2" t="e">
        <f ca="1">_xll.BDH($C$203,"SHORT_TERM_DEBT_5_YEAR_GROWTH","FQ4 2014","FQ4 2014","Currency=INR","Period=FQ","BEST_FPERIOD_OVERRIDE=FQ","FILING_STATUS=OR","EQY_CONSOLIDATED=Y","Sort=A","Dates=H","DateFormat=P","Fill=—","Direction=H","UseDPDF=Y")</f>
        <v>#NAME?</v>
      </c>
      <c r="BA207" s="2" t="e">
        <f ca="1">_xll.BDH($C$203,"TOTAL_DEBT_5_YEAR_GROWTH","FQ4 2014","FQ4 2014","Currency=INR","Period=FQ","BEST_FPERIOD_OVERRIDE=FQ","FILING_STATUS=OR","EQY_CONSOLIDATED=Y","Sort=A","Dates=H","DateFormat=P","Fill=—","Direction=H","UseDPDF=Y")</f>
        <v>#NAME?</v>
      </c>
      <c r="BB207" s="2" t="e">
        <f ca="1">_xll.BDH($C$203,"GEO_GROW_TOT_SHRHLDR_EQY","FQ4 2014","FQ4 2014","Currency=INR","Period=FQ","BEST_FPERIOD_OVERRIDE=FQ","FILING_STATUS=OR","EQY_CONSOLIDATED=Y","Sort=A","Dates=H","DateFormat=P","Fill=—","Direction=H","UseDPDF=Y")</f>
        <v>#NAME?</v>
      </c>
      <c r="BC207" s="2" t="e">
        <f ca="1">_xll.BDH($C$203,"TOTAL_CAPITAL_5_YEAR_GROWTH","FQ4 2014","FQ4 2014","Currency=INR","Period=FQ","BEST_FPERIOD_OVERRIDE=FQ","FILING_STATUS=OR","EQY_CONSOLIDATED=Y","Sort=A","Dates=H","DateFormat=P","Fill=—","Direction=H","UseDPDF=Y")</f>
        <v>#NAME?</v>
      </c>
      <c r="BD207" s="2" t="e">
        <f ca="1">_xll.BDH($C$203,"GEO_GROW_BOOK_VAL","FQ4 2014","FQ4 2014","Currency=INR","Period=FQ","BEST_FPERIOD_OVERRIDE=FQ","FILING_STATUS=OR","EQY_CONSOLIDATED=Y","Sort=A","Dates=H","DateFormat=P","Fill=—","Direction=H","UseDPDF=Y")</f>
        <v>#NAME?</v>
      </c>
      <c r="BE207" s="2" t="e">
        <f ca="1">_xll.BDH($C$203,"GEO_GROW_CASH_OPER_ACT","FQ4 2014","FQ4 2014","Currency=INR","Period=FQ","BEST_FPERIOD_OVERRIDE=FQ","FILING_STATUS=OR","EQY_CONSOLIDATED=Y","Sort=A","Dates=H","DateFormat=P","Fill=—","Direction=H","UseDPDF=Y")</f>
        <v>#NAME?</v>
      </c>
      <c r="BF207" s="2" t="e">
        <f ca="1">_xll.BDH($C$203,"REVENUE_SEQUENTIAL_GROWTH","FQ4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07" s="2" t="e">
        <f ca="1">_xll.BDH($C$203,"EBITDA_SEQUENTIAL_GROWTH","FQ4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07" s="2" t="e">
        <f ca="1">_xll.BDH($C$203,"OPERATING_INCOME_SEQ_GROWTH","FQ4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07" s="2" t="e">
        <f ca="1">_xll.BDH($C$203,"NET_INCOME_TO_COMMON_SEQ_GROWTH","FQ4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07" s="2" t="e">
        <f ca="1">_xll.BDH($C$203,"EPS_DILUTED_SEQUENTIAL_GROWTH","FQ4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07" s="2" t="e">
        <f ca="1">_xll.BDH($C$203,"DPS_SEQUENTIAL_GROWTH","FQ4 2014","FQ4 2014","Currency=INR","Period=FQ","BEST_FPERIOD_OVERRIDE=FQ","FILING_STATUS=OR","EQY_CONSOLIDATED=Y","Sort=A","Dates=H","DateFormat=P","Fill=—","Direction=H","UseDPDF=Y")</f>
        <v>#NAME?</v>
      </c>
      <c r="BL207" s="2" t="e">
        <f ca="1">_xll.BDH($C$203,"ACCOUNTS_RECEIVABLE_SEQ_GROWTH","FQ4 2014","FQ4 2014","Currency=INR","Period=FQ","BEST_FPERIOD_OVERRIDE=FQ","FILING_STATUS=OR","EQY_CONSOLIDATED=Y","Sort=A","Dates=H","DateFormat=P","Fill=—","Direction=H","UseDPDF=Y")</f>
        <v>#NAME?</v>
      </c>
      <c r="BM207" s="2" t="e">
        <f ca="1">_xll.BDH($C$203,"INVENTORY_SEQUENTIAL_GROWTH","FQ4 2014","FQ4 2014","Currency=INR","Period=FQ","BEST_FPERIOD_OVERRIDE=FQ","FILING_STATUS=OR","EQY_CONSOLIDATED=Y","Sort=A","Dates=H","DateFormat=P","Fill=—","Direction=H","UseDPDF=Y")</f>
        <v>#NAME?</v>
      </c>
      <c r="BN207" s="2" t="e">
        <f ca="1">_xll.BDH($C$203,"FIXED_ASSETS_SEQUENTIAL_GROWTH","FQ4 2014","FQ4 2014","Currency=INR","Period=FQ","BEST_FPERIOD_OVERRIDE=FQ","FILING_STATUS=OR","EQY_CONSOLIDATED=Y","Sort=A","Dates=H","DateFormat=P","Fill=—","Direction=H","UseDPDF=Y")</f>
        <v>#NAME?</v>
      </c>
      <c r="BO207" s="2" t="e">
        <f ca="1">_xll.BDH($C$203,"TOTAL_ASSETS_SEQUENTIAL_GROWTH","FQ4 2014","FQ4 2014","Currency=INR","Period=FQ","BEST_FPERIOD_OVERRIDE=FQ","FILING_STATUS=OR","EQY_CONSOLIDATED=Y","Sort=A","Dates=H","DateFormat=P","Fill=—","Direction=H","UseDPDF=Y")</f>
        <v>#NAME?</v>
      </c>
      <c r="BP207" s="2" t="e">
        <f ca="1">_xll.BDH($C$203,"MODIFIED_WORKING_CPTL_SEQ_GRWTH","FQ4 2014","FQ4 2014","Currency=INR","Period=FQ","BEST_FPERIOD_OVERRIDE=FQ","FILING_STATUS=OR","EQY_CONSOLIDATED=Y","Sort=A","Dates=H","DateFormat=P","Fill=—","Direction=H","UseDPDF=Y")</f>
        <v>#NAME?</v>
      </c>
      <c r="BQ207" s="2" t="e">
        <f ca="1">_xll.BDH($C$203,"WORKING_CAPITAL_SEQ_GROWTH","FQ4 2014","FQ4 2014","Currency=INR","Period=FQ","BEST_FPERIOD_OVERRIDE=FQ","FILING_STATUS=OR","EQY_CONSOLIDATED=Y","Sort=A","Dates=H","DateFormat=P","Fill=—","Direction=H","UseDPDF=Y")</f>
        <v>#NAME?</v>
      </c>
      <c r="BR207" s="2" t="e">
        <f ca="1">_xll.BDH($C$203,"ACCOUNTS_PAYABLE_SEQ_GROWTH","FQ4 2014","FQ4 2014","Currency=INR","Period=FQ","BEST_FPERIOD_OVERRIDE=FQ","FILING_STATUS=OR","EQY_CONSOLIDATED=Y","Sort=A","Dates=H","DateFormat=P","Fill=—","Direction=H","UseDPDF=Y")</f>
        <v>#NAME?</v>
      </c>
      <c r="BS207" s="2" t="e">
        <f ca="1">_xll.BDH($C$203,"ST_DEBT_SEQUENTIAL_GROWTH","FQ4 2014","FQ4 2014","Currency=INR","Period=FQ","BEST_FPERIOD_OVERRIDE=FQ","FILING_STATUS=OR","EQY_CONSOLIDATED=Y","Sort=A","Dates=H","DateFormat=P","Fill=—","Direction=H","UseDPDF=Y")</f>
        <v>#NAME?</v>
      </c>
      <c r="BT207" s="2" t="e">
        <f ca="1">_xll.BDH($C$203,"TOTAL_DEBT_SEQUENTIAL_GROWTH","FQ4 2014","FQ4 2014","Currency=INR","Period=FQ","BEST_FPERIOD_OVERRIDE=FQ","FILING_STATUS=OR","EQY_CONSOLIDATED=Y","Sort=A","Dates=H","DateFormat=P","Fill=—","Direction=H","UseDPDF=Y")</f>
        <v>#NAME?</v>
      </c>
      <c r="BU207" s="2" t="e">
        <f ca="1">_xll.BDH($C$203,"TOTAL_EQUITY_SEQUENTIAL_GROWTH","FQ4 2014","FQ4 2014","Currency=INR","Period=FQ","BEST_FPERIOD_OVERRIDE=FQ","FILING_STATUS=OR","EQY_CONSOLIDATED=Y","Sort=A","Dates=H","DateFormat=P","Fill=—","Direction=H","UseDPDF=Y")</f>
        <v>#NAME?</v>
      </c>
      <c r="BV207" s="2" t="e">
        <f ca="1">_xll.BDH($C$203,"TOTAL_CAPITAL_SEQUENTIAL_GROWTH","FQ4 2014","FQ4 2014","Currency=INR","Period=FQ","BEST_FPERIOD_OVERRIDE=FQ","FILING_STATUS=OR","EQY_CONSOLIDATED=Y","Sort=A","Dates=H","DateFormat=P","Fill=—","Direction=H","UseDPDF=Y")</f>
        <v>#NAME?</v>
      </c>
      <c r="BW207" s="2" t="e">
        <f ca="1">_xll.BDH($C$203,"BPS_SEQUENTIAL_GROWTH","FQ4 2014","FQ4 2014","Currency=INR","Period=FQ","BEST_FPERIOD_OVERRIDE=FQ","FILING_STATUS=OR","EQY_CONSOLIDATED=Y","Sort=A","Dates=H","DateFormat=P","Fill=—","Direction=H","UseDPDF=Y")</f>
        <v>#NAME?</v>
      </c>
      <c r="BX207" s="2" t="e">
        <f ca="1">_xll.BDH($C$203,"CFO_SEQUENTIAL_GROWTH","FQ4 2014","FQ4 2014","Currency=INR","Period=FQ","BEST_FPERIOD_OVERRIDE=FQ","FILING_STATUS=OR","EQY_CONSOLIDATED=Y","Sort=A","Dates=H","DateFormat=P","Fill=—","Direction=H","UseDPDF=Y")</f>
        <v>#NAME?</v>
      </c>
      <c r="BY207" s="3" t="e">
        <f ca="1">_xll.BDH($C$203,"SHORT_AND_LONG_TERM_DEBT","FQ4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07" s="3" t="e">
        <f ca="1">_xll.BDH($C$203,"BS_ST_BORROW","FQ4 2014","FQ4 2014","Currency=INR","Period=FQ","BEST_FPERIOD_OVERRIDE=FQ","FILING_STATUS=OR","EQY_CONSOLIDATED=Y","SCALING_FORMAT=MLN","Sort=A","Dates=H","DateFormat=P","Fill=—","Direction=H","UseDPDF=Y")</f>
        <v>#NAME?</v>
      </c>
      <c r="CA207" s="3" t="e">
        <f ca="1">_xll.BDH($C$203,"BS_LT_BORROW","FQ4 2014","FQ4 2014","Currency=INR","Period=FQ","BEST_FPERIOD_OVERRIDE=FQ","FILING_STATUS=OR","EQY_CONSOLIDATED=Y","SCALING_FORMAT=MLN","Sort=A","Dates=H","DateFormat=P","Fill=—","Direction=H","UseDPDF=Y")</f>
        <v>#NAME?</v>
      </c>
      <c r="CB207" s="2" t="e">
        <f ca="1">_xll.BDH($C$203,"TOT_DEBT_TO_EBITDA","FQ4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07" s="2" t="e">
        <f ca="1">_xll.BDH($C$203,"NET_DEBT_TO_EBITDA","FQ4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07" s="2" t="e">
        <f ca="1">_xll.BDH($C$203,"TOTAL_DEBT_TO_EBIT","FQ4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07" s="2" t="e">
        <f ca="1">_xll.BDH($C$203,"NET_DEBT_TO_EBIT","FQ4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07" s="2" t="e">
        <f ca="1">_xll.BDH($C$203,"EBITDA_TO_INTEREST_EXPN","FQ4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07" s="2" t="e">
        <f ca="1">_xll.BDH($C$203,"COM_EQY_TO_TOT_ASSET","FQ4 2014","FQ4 2014","Currency=INR","Period=FQ","BEST_FPERIOD_OVERRIDE=FQ","FILING_STATUS=OR","EQY_CONSOLIDATED=Y","Sort=A","Dates=H","DateFormat=P","Fill=—","Direction=H","UseDPDF=Y")</f>
        <v>#NAME?</v>
      </c>
      <c r="CH207" s="2" t="e">
        <f ca="1">_xll.BDH($C$203,"LT_DEBT_TO_TOT_EQY","FQ4 2014","FQ4 2014","Currency=INR","Period=FQ","BEST_FPERIOD_OVERRIDE=FQ","FILING_STATUS=OR","EQY_CONSOLIDATED=Y","Sort=A","Dates=H","DateFormat=P","Fill=—","Direction=H","UseDPDF=Y")</f>
        <v>#NAME?</v>
      </c>
      <c r="CI207" s="2" t="e">
        <f ca="1">_xll.BDH($C$203,"LT_DEBT_TO_TOT_CAP","FQ4 2014","FQ4 2014","Currency=INR","Period=FQ","BEST_FPERIOD_OVERRIDE=FQ","FILING_STATUS=OR","EQY_CONSOLIDATED=Y","Sort=A","Dates=H","DateFormat=P","Fill=—","Direction=H","UseDPDF=Y")</f>
        <v>#NAME?</v>
      </c>
      <c r="CJ207" s="2" t="e">
        <f ca="1">_xll.BDH($C$203,"LT_DEBT_TO_TOT_ASSET","FQ4 2014","FQ4 2014","Currency=INR","Period=FQ","BEST_FPERIOD_OVERRIDE=FQ","FILING_STATUS=OR","EQY_CONSOLIDATED=Y","Sort=A","Dates=H","DateFormat=P","Fill=—","Direction=H","UseDPDF=Y")</f>
        <v>#NAME?</v>
      </c>
      <c r="CK207" s="2" t="e">
        <f ca="1">_xll.BDH($C$203,"TOT_DEBT_TO_TOT_EQY","FQ4 2014","FQ4 2014","Currency=INR","Period=FQ","BEST_FPERIOD_OVERRIDE=FQ","FILING_STATUS=OR","EQY_CONSOLIDATED=Y","Sort=A","Dates=H","DateFormat=P","Fill=—","Direction=H","UseDPDF=Y")</f>
        <v>#NAME?</v>
      </c>
      <c r="CL207" s="2" t="e">
        <f ca="1">_xll.BDH($C$203,"TOT_DEBT_TO_TOT_CAP","FQ4 2014","FQ4 2014","Currency=INR","Period=FQ","BEST_FPERIOD_OVERRIDE=FQ","FILING_STATUS=OR","EQY_CONSOLIDATED=Y","Sort=A","Dates=H","DateFormat=P","Fill=—","Direction=H","UseDPDF=Y")</f>
        <v>#NAME?</v>
      </c>
      <c r="CM207" s="2" t="e">
        <f ca="1">_xll.BDH($C$203,"TOT_DEBT_TO_TOT_ASSET","FQ4 2014","FQ4 2014","Currency=INR","Period=FQ","BEST_FPERIOD_OVERRIDE=FQ","FILING_STATUS=OR","EQY_CONSOLIDATED=Y","Sort=A","Dates=H","DateFormat=P","Fill=—","Direction=H","UseDPDF=Y")</f>
        <v>#NAME?</v>
      </c>
      <c r="CN207" s="2" t="e">
        <f ca="1">_xll.BDH($C$203,"NET_DEBT_TO_SHRHLDR_EQTY","FQ4 2014","FQ4 2014","Currency=INR","Period=FQ","BEST_FPERIOD_OVERRIDE=FQ","FILING_STATUS=OR","EQY_CONSOLIDATED=Y","Sort=A","Dates=H","DateFormat=P","Fill=—","Direction=H","UseDPDF=Y")</f>
        <v>#NAME?</v>
      </c>
      <c r="CO207" s="2" t="e">
        <f ca="1">_xll.BDH($C$203,"NET_DEBT_%_CAPITAL","FQ4 2014","FQ4 2014","Currency=INR","Period=FQ","BEST_FPERIOD_OVERRIDE=FQ","FILING_STATUS=OR","EQY_CONSOLIDATED=Y","Sort=A","Dates=H","DateFormat=P","Fill=—","Direction=H","UseDPDF=Y")</f>
        <v>#NAME?</v>
      </c>
      <c r="CP207" s="3" t="e">
        <f ca="1">_xll.BDH($C$203,"EBITDA","FQ4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07" s="3" t="e">
        <f ca="1">_xll.BDH($C$203,"EBITDA_AFTER_CAPEX","FQ4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07" s="3" t="e">
        <f ca="1">_xll.BDH($C$203,"IS_OPER_INC","FQ4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07" s="2" t="e">
        <f ca="1">_xll.BDH($C$203,"CASH_RATIO","FQ4 2014","FQ4 2014","Currency=INR","Period=FQ","BEST_FPERIOD_OVERRIDE=FQ","FILING_STATUS=OR","EQY_CONSOLIDATED=Y","Sort=A","Dates=H","DateFormat=P","Fill=—","Direction=H","UseDPDF=Y")</f>
        <v>#NAME?</v>
      </c>
      <c r="CT207" s="2" t="e">
        <f ca="1">_xll.BDH($C$203,"CUR_RATIO","FQ4 2014","FQ4 2014","Currency=INR","Period=FQ","BEST_FPERIOD_OVERRIDE=FQ","FILING_STATUS=OR","EQY_CONSOLIDATED=Y","Sort=A","Dates=H","DateFormat=P","Fill=—","Direction=H","UseDPDF=Y")</f>
        <v>#NAME?</v>
      </c>
      <c r="CU207" s="2" t="e">
        <f ca="1">_xll.BDH($C$203,"QUICK_RATIO","FQ4 2014","FQ4 2014","Currency=INR","Period=FQ","BEST_FPERIOD_OVERRIDE=FQ","FILING_STATUS=OR","EQY_CONSOLIDATED=Y","Sort=A","Dates=H","DateFormat=P","Fill=—","Direction=H","UseDPDF=Y")</f>
        <v>#NAME?</v>
      </c>
      <c r="CV207" s="2" t="e">
        <f ca="1">_xll.BDH($C$203,"ALTMAN_Z_SCORE","FQ4 2014","FQ4 2014","Currency=INR","Period=FQ","BEST_FPERIOD_OVERRIDE=FQ","FILING_STATUS=OR","EQY_CONSOLIDATED=Y","Sort=A","Dates=H","DateFormat=P","Fill=—","Direction=H","UseDPDF=Y")</f>
        <v>#NAME?</v>
      </c>
      <c r="CW207" s="4" t="e">
        <f ca="1">_xll.BDH($C$203,"ACCT_RCV_TURN","FQ4 2014","FQ4 2014","Currency=INR","Period=FQ","BEST_FPERIOD_OVERRIDE=FQ","FILING_STATUS=OR","EQY_CONSOLIDATED=Y","FA_ADJUSTED=GAAP","Sort=A","Dates=H","DateFormat=P","Fill=—","Direction=H","UseDPDF=Y")</f>
        <v>#NAME?</v>
      </c>
      <c r="CX207" s="2" t="e">
        <f ca="1">_xll.BDH($C$203,"ACCT_RCV_DAYS","FQ4 2014","FQ4 2014","Currency=INR","Period=FQ","BEST_FPERIOD_OVERRIDE=FQ","FILING_STATUS=OR","EQY_CONSOLIDATED=Y","FA_ADJUSTED=GAAP","Sort=A","Dates=H","DateFormat=P","Fill=—","Direction=H","UseDPDF=Y")</f>
        <v>#NAME?</v>
      </c>
      <c r="CY207" s="4" t="e">
        <f ca="1">_xll.BDH($C$203,"INVENT_TURN","FQ4 2014","FQ4 2014","Currency=INR","Period=FQ","BEST_FPERIOD_OVERRIDE=FQ","FILING_STATUS=OR","EQY_CONSOLIDATED=Y","FA_ADJUSTED=GAAP","Sort=A","Dates=H","DateFormat=P","Fill=—","Direction=H","UseDPDF=Y")</f>
        <v>#NAME?</v>
      </c>
      <c r="CZ207" s="2" t="e">
        <f ca="1">_xll.BDH($C$203,"INVENT_DAYS","FQ4 2014","FQ4 2014","Currency=INR","Period=FQ","BEST_FPERIOD_OVERRIDE=FQ","FILING_STATUS=OR","EQY_CONSOLIDATED=Y","FA_ADJUSTED=GAAP","Sort=A","Dates=H","DateFormat=P","Fill=—","Direction=H","UseDPDF=Y")</f>
        <v>#NAME?</v>
      </c>
      <c r="DA207" s="4" t="e">
        <f ca="1">_xll.BDH($C$203,"ACCOUNTS_PAYABLE_TURNOVER","FQ4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07" s="2" t="e">
        <f ca="1">_xll.BDH($C$203,"ACCOUNTS_PAYABLE_TURNOVER_DAYS","FQ4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07" s="4" t="e">
        <f ca="1">_xll.BDH($C$203,"CASH_CONVERSION_CYCLE","FQ4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07" s="4" t="e">
        <f ca="1">_xll.BDH($C$203,"INV_TO_CASH_DAYS","FQ4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07" s="5" t="e">
        <f ca="1">_xll.BDH($C$203,"BS_INVENTORIES","FQ4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07" s="3" t="e">
        <f ca="1">_xll.BDH($C$203,"INVTRY_RAW_MATERIALS","FQ4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07" s="3" t="e">
        <f ca="1">_xll.BDH($C$203,"INVTRY_IN_PROGRESS","FQ4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07" s="3" t="e">
        <f ca="1">_xll.BDH($C$203,"INVTRY_FINISHED_GOODS","FQ4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07" s="3" t="e">
        <f ca="1">_xll.BDH($C$203,"BS_OTHER_INV","FQ4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08" spans="1:113" x14ac:dyDescent="0.3">
      <c r="A208" s="6"/>
      <c r="B208" s="6"/>
      <c r="C208" s="6"/>
      <c r="D208" s="6" t="s">
        <v>82</v>
      </c>
      <c r="E208" t="s">
        <v>77</v>
      </c>
      <c r="F208" t="e">
        <f ca="1">_xll.BDH($C$203,"RETURN_COM_EQY","FY 2015","FY 2015","Currency=INR","Period=FY","BEST_FPERIOD_OVERRIDE=FY","FILING_STATUS=OR","EQY_CONSOLIDATED=Y","FA_ADJUSTED=GAAP","Sort=A","Dates=H","DateFormat=P","Fill=—","Direction=H","UseDPDF=Y")</f>
        <v>#NAME?</v>
      </c>
      <c r="G208" t="e">
        <f ca="1">_xll.BDH($C$203,"RETURN_ON_ASSET","FY 2015","FY 2015","Currency=INR","Period=FY","BEST_FPERIOD_OVERRIDE=FY","FILING_STATUS=OR","EQY_CONSOLIDATED=Y","FA_ADJUSTED=GAAP","Sort=A","Dates=H","DateFormat=P","Fill=—","Direction=H","UseDPDF=Y")</f>
        <v>#NAME?</v>
      </c>
      <c r="H208" t="e">
        <f ca="1">_xll.BDH($C$203,"RETURN_ON_CAP","FY 2015","FY 2015","Currency=INR","Period=FY","BEST_FPERIOD_OVERRIDE=FY","FILING_STATUS=OR","EQY_CONSOLIDATED=Y","FA_ADJUSTED=GAAP","Sort=A","Dates=H","DateFormat=P","Fill=—","Direction=H","UseDPDF=Y")</f>
        <v>#NAME?</v>
      </c>
      <c r="I208" t="e">
        <f ca="1">_xll.BDH($C$203,"RETURN_ON_INV_CAPITAL","FY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08" t="e">
        <f ca="1">_xll.BDH($C$203,"EBITDA_TO_REVENUE","FY 2015","FY 2015","Currency=INR","Period=FY","BEST_FPERIOD_OVERRIDE=FY","FILING_STATUS=OR","EQY_CONSOLIDATED=Y","FA_ADJUSTED=GAAP","Sort=A","Dates=H","DateFormat=P","Fill=—","Direction=H","UseDPDF=Y")</f>
        <v>#NAME?</v>
      </c>
      <c r="K208" t="e">
        <f ca="1">_xll.BDH($C$203,"OPER_MARGIN","FY 2015","FY 2015","Currency=INR","Period=FY","BEST_FPERIOD_OVERRIDE=FY","FILING_STATUS=OR","EQY_CONSOLIDATED=Y","FA_ADJUSTED=GAAP","Sort=A","Dates=H","DateFormat=P","Fill=—","Direction=H","UseDPDF=Y")</f>
        <v>#NAME?</v>
      </c>
      <c r="L208" t="e">
        <f ca="1">_xll.BDH($C$203,"INCREMENTAL_OPERATING_MARGIN","FY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08" t="e">
        <f ca="1">_xll.BDH($C$203,"PRETAX_INC_TO_NET_SALES","FY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08" t="e">
        <f ca="1">_xll.BDH($C$203,"INC_BEF_XO_ITEMS_TO_NET_SALES","FY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08" t="e">
        <f ca="1">_xll.BDH($C$203,"PROF_MARGIN","FY 2015","FY 2015","Currency=INR","Period=FY","BEST_FPERIOD_OVERRIDE=FY","FILING_STATUS=OR","EQY_CONSOLIDATED=Y","FA_ADJUSTED=GAAP","Sort=A","Dates=H","DateFormat=P","Fill=—","Direction=H","UseDPDF=Y")</f>
        <v>#NAME?</v>
      </c>
      <c r="P208" t="e">
        <f ca="1">_xll.BDH($C$203,"NET_INCOME_TO_COMMON_MARGIN","FY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08" t="e">
        <f ca="1">_xll.BDH($C$203,"EFF_TAX_RATE","FY 2015","FY 2015","Currency=INR","Period=FY","BEST_FPERIOD_OVERRIDE=FY","FILING_STATUS=OR","EQY_CONSOLIDATED=Y","FA_ADJUSTED=GAAP","Sort=A","Dates=H","DateFormat=P","Fill=—","Direction=H","UseDPDF=Y")</f>
        <v>#NAME?</v>
      </c>
      <c r="R208" t="e">
        <f ca="1">_xll.BDH($C$203,"DVD_PAYOUT_RATIO","FY 2015","FY 2015","Currency=INR","Period=FY","BEST_FPERIOD_OVERRIDE=FY","FILING_STATUS=OR","EQY_CONSOLIDATED=Y","FA_ADJUSTED=GAAP","Sort=A","Dates=H","DateFormat=P","Fill=—","Direction=H","UseDPDF=Y")</f>
        <v>#NAME?</v>
      </c>
      <c r="S208" t="e">
        <f ca="1">_xll.BDH($C$203,"SUSTAIN_GROWTH_RT","FY 2015","FY 2015","Currency=INR","Period=FY","BEST_FPERIOD_OVERRIDE=FY","FILING_STATUS=OR","EQY_CONSOLIDATED=Y","FA_ADJUSTED=GAAP","Sort=A","Dates=H","DateFormat=P","Fill=—","Direction=H","UseDPDF=Y")</f>
        <v>#NAME?</v>
      </c>
      <c r="T208" s="2" t="e">
        <f ca="1">_xll.BDH($C$203,"SALES_GROWTH","FY 2015","FY 2015","Currency=INR","Period=FY","BEST_FPERIOD_OVERRIDE=FY","FILING_STATUS=OR","EQY_CONSOLIDATED=Y","FA_ADJUSTED=GAAP","Sort=A","Dates=H","DateFormat=P","Fill=—","Direction=H","UseDPDF=Y")</f>
        <v>#NAME?</v>
      </c>
      <c r="U208" s="2" t="e">
        <f ca="1">_xll.BDH($C$203,"EBITDA_GROWTH","FY 2015","FY 2015","Currency=INR","Period=FY","BEST_FPERIOD_OVERRIDE=FY","FILING_STATUS=OR","EQY_CONSOLIDATED=Y","FA_ADJUSTED=GAAP","Sort=A","Dates=H","DateFormat=P","Fill=—","Direction=H","UseDPDF=Y")</f>
        <v>#NAME?</v>
      </c>
      <c r="V208" s="2" t="e">
        <f ca="1">_xll.BDH($C$203,"OPER_INC_GROWTH","FY 2015","FY 2015","Currency=INR","Period=FY","BEST_FPERIOD_OVERRIDE=FY","FILING_STATUS=OR","EQY_CONSOLIDATED=Y","FA_ADJUSTED=GAAP","Sort=A","Dates=H","DateFormat=P","Fill=—","Direction=H","UseDPDF=Y")</f>
        <v>#NAME?</v>
      </c>
      <c r="W208" s="2" t="e">
        <f ca="1">_xll.BDH($C$203,"EARN_FOR_COM_GROWTH","FY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08" s="2" t="e">
        <f ca="1">_xll.BDH($C$203,"DILUTED_EPS_AFT_XO_ITEMS_GROWTH","FY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08" s="2" t="e">
        <f ca="1">_xll.BDH($C$203,"DIVIDEND_PER_SHARE_1_YEAR_GROWTH","FY 2015","FY 2015","Currency=INR","Period=FY","BEST_FPERIOD_OVERRIDE=FY","FILING_STATUS=OR","EQY_CONSOLIDATED=Y","Sort=A","Dates=H","DateFormat=P","Fill=—","Direction=H","UseDPDF=Y")</f>
        <v>#NAME?</v>
      </c>
      <c r="Z208" s="2" t="e">
        <f ca="1">_xll.BDH($C$203,"ACCOUNTS_RECEIVABLE_GROWTH","FY 2015","FY 2015","Currency=INR","Period=FY","BEST_FPERIOD_OVERRIDE=FY","FILING_STATUS=OR","EQY_CONSOLIDATED=Y","Sort=A","Dates=H","DateFormat=P","Fill=—","Direction=H","UseDPDF=Y")</f>
        <v>#NAME?</v>
      </c>
      <c r="AA208" s="2" t="e">
        <f ca="1">_xll.BDH($C$203,"INVENTORY_GROWTH","FY 2015","FY 2015","Currency=INR","Period=FY","BEST_FPERIOD_OVERRIDE=FY","FILING_STATUS=OR","EQY_CONSOLIDATED=Y","Sort=A","Dates=H","DateFormat=P","Fill=—","Direction=H","UseDPDF=Y")</f>
        <v>#NAME?</v>
      </c>
      <c r="AB208" s="2" t="e">
        <f ca="1">_xll.BDH($C$203,"NET_FIXED_ASSETS_1_YEAR_GROWTH","FY 2015","FY 2015","Currency=INR","Period=FY","BEST_FPERIOD_OVERRIDE=FY","FILING_STATUS=OR","EQY_CONSOLIDATED=Y","Sort=A","Dates=H","DateFormat=P","Fill=—","Direction=H","UseDPDF=Y")</f>
        <v>#NAME?</v>
      </c>
      <c r="AC208" s="2" t="e">
        <f ca="1">_xll.BDH($C$203,"ASSET_GROWTH","FY 2015","FY 2015","Currency=INR","Period=FY","BEST_FPERIOD_OVERRIDE=FY","FILING_STATUS=OR","EQY_CONSOLIDATED=Y","Sort=A","Dates=H","DateFormat=P","Fill=—","Direction=H","UseDPDF=Y")</f>
        <v>#NAME?</v>
      </c>
      <c r="AD208" s="2" t="e">
        <f ca="1">_xll.BDH($C$203,"MODIFIED_WORK_CAP_GROWTH","FY 2015","FY 2015","Currency=INR","Period=FY","BEST_FPERIOD_OVERRIDE=FY","FILING_STATUS=OR","EQY_CONSOLIDATED=Y","Sort=A","Dates=H","DateFormat=P","Fill=—","Direction=H","UseDPDF=Y")</f>
        <v>#NAME?</v>
      </c>
      <c r="AE208" s="2" t="e">
        <f ca="1">_xll.BDH($C$203,"WORK_CAP_GROWTH","FY 2015","FY 2015","Currency=INR","Period=FY","BEST_FPERIOD_OVERRIDE=FY","FILING_STATUS=OR","EQY_CONSOLIDATED=Y","Sort=A","Dates=H","DateFormat=P","Fill=—","Direction=H","UseDPDF=Y")</f>
        <v>#NAME?</v>
      </c>
      <c r="AF208" s="2" t="e">
        <f ca="1">_xll.BDH($C$203,"ACCOUNTS_PAYABLE_GROWTH_1YR","FY 2015","FY 2015","Currency=INR","Period=FY","BEST_FPERIOD_OVERRIDE=FY","FILING_STATUS=OR","EQY_CONSOLIDATED=Y","Sort=A","Dates=H","DateFormat=P","Fill=—","Direction=H","UseDPDF=Y")</f>
        <v>#NAME?</v>
      </c>
      <c r="AG208" s="2" t="e">
        <f ca="1">_xll.BDH($C$203,"SHORT_TERM_DEBT_1_YEAR_GROWTH","FY 2015","FY 2015","Currency=INR","Period=FY","BEST_FPERIOD_OVERRIDE=FY","FILING_STATUS=OR","EQY_CONSOLIDATED=Y","Sort=A","Dates=H","DateFormat=P","Fill=—","Direction=H","UseDPDF=Y")</f>
        <v>#NAME?</v>
      </c>
      <c r="AH208" s="2" t="e">
        <f ca="1">_xll.BDH($C$203,"TOTAL_DEBT_1_YEAR_GROWTH","FY 2015","FY 2015","Currency=INR","Period=FY","BEST_FPERIOD_OVERRIDE=FY","FILING_STATUS=OR","EQY_CONSOLIDATED=Y","Sort=A","Dates=H","DateFormat=P","Fill=—","Direction=H","UseDPDF=Y")</f>
        <v>#NAME?</v>
      </c>
      <c r="AI208" s="2" t="e">
        <f ca="1">_xll.BDH($C$203,"TOTAL_EQUITY_1_YEAR_GROWTH","FY 2015","FY 2015","Currency=INR","Period=FY","BEST_FPERIOD_OVERRIDE=FY","FILING_STATUS=OR","EQY_CONSOLIDATED=Y","Sort=A","Dates=H","DateFormat=P","Fill=—","Direction=H","UseDPDF=Y")</f>
        <v>#NAME?</v>
      </c>
      <c r="AJ208" s="2" t="e">
        <f ca="1">_xll.BDH($C$203,"GROWTH_IN_CAP","FY 2015","FY 2015","Currency=INR","Period=FY","BEST_FPERIOD_OVERRIDE=FY","FILING_STATUS=OR","EQY_CONSOLIDATED=Y","Sort=A","Dates=H","DateFormat=P","Fill=—","Direction=H","UseDPDF=Y")</f>
        <v>#NAME?</v>
      </c>
      <c r="AK208" s="2" t="e">
        <f ca="1">_xll.BDH($C$203,"BVPS_GROWTH","FY 2015","FY 2015","Currency=INR","Period=FY","BEST_FPERIOD_OVERRIDE=FY","FILING_STATUS=OR","EQY_CONSOLIDATED=Y","Sort=A","Dates=H","DateFormat=P","Fill=—","Direction=H","UseDPDF=Y")</f>
        <v>#NAME?</v>
      </c>
      <c r="AL208" s="2" t="e">
        <f ca="1">_xll.BDH($C$203,"CASH_FLOW_GROWTH","FY 2015","FY 2015","Currency=INR","Period=FY","BEST_FPERIOD_OVERRIDE=FY","FILING_STATUS=OR","EQY_CONSOLIDATED=Y","Sort=A","Dates=H","DateFormat=P","Fill=—","Direction=H","UseDPDF=Y")</f>
        <v>#NAME?</v>
      </c>
      <c r="AM208" s="2" t="e">
        <f ca="1">_xll.BDH($C$203,"GEO_GROW_NET_SALES","FY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08" s="2" t="e">
        <f ca="1">_xll.BDH($C$203,"GEO_GROW_EBITDA","FY 2015","FY 2015","Currency=INR","Period=FY","BEST_FPERIOD_OVERRIDE=FY","FILING_STATUS=OR","EQY_CONSOLIDATED=Y","FA_ADJUSTED=GAAP","Sort=A","Dates=H","DateFormat=P","Fill=—","Direction=H","UseDPDF=Y")</f>
        <v>#NAME?</v>
      </c>
      <c r="AO208" s="2" t="e">
        <f ca="1">_xll.BDH($C$203,"GEO_GROW_OPER_INC","FY 2015","FY 2015","Currency=INR","Period=FY","BEST_FPERIOD_OVERRIDE=FY","FILING_STATUS=OR","EQY_CONSOLIDATED=Y","FA_ADJUSTED=GAAP","Sort=A","Dates=H","DateFormat=P","Fill=—","Direction=H","UseDPDF=Y")</f>
        <v>#NAME?</v>
      </c>
      <c r="AP208" s="2" t="e">
        <f ca="1">_xll.BDH($C$203,"NET_INCOME_TO_COMMON_5_YR_GROWTH","FY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08" s="2" t="e">
        <f ca="1">_xll.BDH($C$203,"5Y_GEO_GROWTH_DILUTED_EPS","FY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08" s="2" t="e">
        <f ca="1">_xll.BDH($C$203,"GEO_GROW_DVD_PER_SH","FY 2015","FY 2015","Currency=INR","Period=FY","BEST_FPERIOD_OVERRIDE=FY","FILING_STATUS=OR","EQY_CONSOLIDATED=Y","Sort=A","Dates=H","DateFormat=P","Fill=—","Direction=H","UseDPDF=Y")</f>
        <v>#NAME?</v>
      </c>
      <c r="AS208" s="2" t="e">
        <f ca="1">_xll.BDH($C$203,"ACCOUNTS_RECEIVABLE_5_YR_GROWTH","FY 2015","FY 2015","Currency=INR","Period=FY","BEST_FPERIOD_OVERRIDE=FY","FILING_STATUS=OR","EQY_CONSOLIDATED=Y","Sort=A","Dates=H","DateFormat=P","Fill=—","Direction=H","UseDPDF=Y")</f>
        <v>#NAME?</v>
      </c>
      <c r="AT208" s="2" t="e">
        <f ca="1">_xll.BDH($C$203,"INVENTORY_5_YEAR_GROWTH","FY 2015","FY 2015","Currency=INR","Period=FY","BEST_FPERIOD_OVERRIDE=FY","FILING_STATUS=OR","EQY_CONSOLIDATED=Y","Sort=A","Dates=H","DateFormat=P","Fill=—","Direction=H","UseDPDF=Y")</f>
        <v>#NAME?</v>
      </c>
      <c r="AU208" s="2" t="e">
        <f ca="1">_xll.BDH($C$203,"NET_FIXED_ASSETS_5_YEAR_GROWTH","FY 2015","FY 2015","Currency=INR","Period=FY","BEST_FPERIOD_OVERRIDE=FY","FILING_STATUS=OR","EQY_CONSOLIDATED=Y","Sort=A","Dates=H","DateFormat=P","Fill=—","Direction=H","UseDPDF=Y")</f>
        <v>#NAME?</v>
      </c>
      <c r="AV208" s="2" t="e">
        <f ca="1">_xll.BDH($C$203,"GEO_GROW_TOT_ASSET","FY 2015","FY 2015","Currency=INR","Period=FY","BEST_FPERIOD_OVERRIDE=FY","FILING_STATUS=OR","EQY_CONSOLIDATED=Y","Sort=A","Dates=H","DateFormat=P","Fill=—","Direction=H","UseDPDF=Y")</f>
        <v>#NAME?</v>
      </c>
      <c r="AW208" s="2" t="e">
        <f ca="1">_xll.BDH($C$203,"MODIFIED_WORKING_CPTL_5YR_GRWTH","FY 2015","FY 2015","Currency=INR","Period=FY","BEST_FPERIOD_OVERRIDE=FY","FILING_STATUS=OR","EQY_CONSOLIDATED=Y","Sort=A","Dates=H","DateFormat=P","Fill=—","Direction=H","UseDPDF=Y")</f>
        <v>#NAME?</v>
      </c>
      <c r="AX208" s="2" t="e">
        <f ca="1">_xll.BDH($C$203,"WORKING_CAPITAL_5_YEAR_GROWTH","FY 2015","FY 2015","Currency=INR","Period=FY","BEST_FPERIOD_OVERRIDE=FY","FILING_STATUS=OR","EQY_CONSOLIDATED=Y","Sort=A","Dates=H","DateFormat=P","Fill=—","Direction=H","UseDPDF=Y")</f>
        <v>#NAME?</v>
      </c>
      <c r="AY208" s="2" t="e">
        <f ca="1">_xll.BDH($C$203,"ACCOUNTS_PAYABLE_5_YEAR_GROWTH","FY 2015","FY 2015","Currency=INR","Period=FY","BEST_FPERIOD_OVERRIDE=FY","FILING_STATUS=OR","EQY_CONSOLIDATED=Y","Sort=A","Dates=H","DateFormat=P","Fill=—","Direction=H","UseDPDF=Y")</f>
        <v>#NAME?</v>
      </c>
      <c r="AZ208" s="2" t="e">
        <f ca="1">_xll.BDH($C$203,"SHORT_TERM_DEBT_5_YEAR_GROWTH","FY 2015","FY 2015","Currency=INR","Period=FY","BEST_FPERIOD_OVERRIDE=FY","FILING_STATUS=OR","EQY_CONSOLIDATED=Y","Sort=A","Dates=H","DateFormat=P","Fill=—","Direction=H","UseDPDF=Y")</f>
        <v>#NAME?</v>
      </c>
      <c r="BA208" s="2" t="e">
        <f ca="1">_xll.BDH($C$203,"TOTAL_DEBT_5_YEAR_GROWTH","FY 2015","FY 2015","Currency=INR","Period=FY","BEST_FPERIOD_OVERRIDE=FY","FILING_STATUS=OR","EQY_CONSOLIDATED=Y","Sort=A","Dates=H","DateFormat=P","Fill=—","Direction=H","UseDPDF=Y")</f>
        <v>#NAME?</v>
      </c>
      <c r="BB208" s="2" t="e">
        <f ca="1">_xll.BDH($C$203,"GEO_GROW_TOT_SHRHLDR_EQY","FY 2015","FY 2015","Currency=INR","Period=FY","BEST_FPERIOD_OVERRIDE=FY","FILING_STATUS=OR","EQY_CONSOLIDATED=Y","Sort=A","Dates=H","DateFormat=P","Fill=—","Direction=H","UseDPDF=Y")</f>
        <v>#NAME?</v>
      </c>
      <c r="BC208" s="2" t="e">
        <f ca="1">_xll.BDH($C$203,"TOTAL_CAPITAL_5_YEAR_GROWTH","FY 2015","FY 2015","Currency=INR","Period=FY","BEST_FPERIOD_OVERRIDE=FY","FILING_STATUS=OR","EQY_CONSOLIDATED=Y","Sort=A","Dates=H","DateFormat=P","Fill=—","Direction=H","UseDPDF=Y")</f>
        <v>#NAME?</v>
      </c>
      <c r="BD208" s="2" t="e">
        <f ca="1">_xll.BDH($C$203,"GEO_GROW_BOOK_VAL","FY 2015","FY 2015","Currency=INR","Period=FY","BEST_FPERIOD_OVERRIDE=FY","FILING_STATUS=OR","EQY_CONSOLIDATED=Y","Sort=A","Dates=H","DateFormat=P","Fill=—","Direction=H","UseDPDF=Y")</f>
        <v>#NAME?</v>
      </c>
      <c r="BE208" s="2" t="e">
        <f ca="1">_xll.BDH($C$203,"GEO_GROW_CASH_OPER_ACT","FY 2015","FY 2015","Currency=INR","Period=FY","BEST_FPERIOD_OVERRIDE=FY","FILING_STATUS=OR","EQY_CONSOLIDATED=Y","Sort=A","Dates=H","DateFormat=P","Fill=—","Direction=H","UseDPDF=Y")</f>
        <v>#NAME?</v>
      </c>
      <c r="BF208" s="2" t="e">
        <f ca="1">_xll.BDH($C$203,"REVENUE_SEQUENTIAL_GROWTH","FY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08" s="2" t="e">
        <f ca="1">_xll.BDH($C$203,"EBITDA_SEQUENTIAL_GROWTH","FY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08" s="2" t="e">
        <f ca="1">_xll.BDH($C$203,"OPERATING_INCOME_SEQ_GROWTH","FY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08" s="2" t="e">
        <f ca="1">_xll.BDH($C$203,"NET_INCOME_TO_COMMON_SEQ_GROWTH","FY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08" s="2" t="e">
        <f ca="1">_xll.BDH($C$203,"EPS_DILUTED_SEQUENTIAL_GROWTH","FY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08" s="2" t="e">
        <f ca="1">_xll.BDH($C$203,"DPS_SEQUENTIAL_GROWTH","FY 2015","FY 2015","Currency=INR","Period=FY","BEST_FPERIOD_OVERRIDE=FY","FILING_STATUS=OR","EQY_CONSOLIDATED=Y","Sort=A","Dates=H","DateFormat=P","Fill=—","Direction=H","UseDPDF=Y")</f>
        <v>#NAME?</v>
      </c>
      <c r="BL208" s="2" t="e">
        <f ca="1">_xll.BDH($C$203,"ACCOUNTS_RECEIVABLE_SEQ_GROWTH","FY 2015","FY 2015","Currency=INR","Period=FY","BEST_FPERIOD_OVERRIDE=FY","FILING_STATUS=OR","EQY_CONSOLIDATED=Y","Sort=A","Dates=H","DateFormat=P","Fill=—","Direction=H","UseDPDF=Y")</f>
        <v>#NAME?</v>
      </c>
      <c r="BM208" s="2" t="e">
        <f ca="1">_xll.BDH($C$203,"INVENTORY_SEQUENTIAL_GROWTH","FY 2015","FY 2015","Currency=INR","Period=FY","BEST_FPERIOD_OVERRIDE=FY","FILING_STATUS=OR","EQY_CONSOLIDATED=Y","Sort=A","Dates=H","DateFormat=P","Fill=—","Direction=H","UseDPDF=Y")</f>
        <v>#NAME?</v>
      </c>
      <c r="BN208" s="2" t="e">
        <f ca="1">_xll.BDH($C$203,"FIXED_ASSETS_SEQUENTIAL_GROWTH","FY 2015","FY 2015","Currency=INR","Period=FY","BEST_FPERIOD_OVERRIDE=FY","FILING_STATUS=OR","EQY_CONSOLIDATED=Y","Sort=A","Dates=H","DateFormat=P","Fill=—","Direction=H","UseDPDF=Y")</f>
        <v>#NAME?</v>
      </c>
      <c r="BO208" s="2" t="e">
        <f ca="1">_xll.BDH($C$203,"TOTAL_ASSETS_SEQUENTIAL_GROWTH","FY 2015","FY 2015","Currency=INR","Period=FY","BEST_FPERIOD_OVERRIDE=FY","FILING_STATUS=OR","EQY_CONSOLIDATED=Y","Sort=A","Dates=H","DateFormat=P","Fill=—","Direction=H","UseDPDF=Y")</f>
        <v>#NAME?</v>
      </c>
      <c r="BP208" s="2" t="e">
        <f ca="1">_xll.BDH($C$203,"MODIFIED_WORKING_CPTL_SEQ_GRWTH","FY 2015","FY 2015","Currency=INR","Period=FY","BEST_FPERIOD_OVERRIDE=FY","FILING_STATUS=OR","EQY_CONSOLIDATED=Y","Sort=A","Dates=H","DateFormat=P","Fill=—","Direction=H","UseDPDF=Y")</f>
        <v>#NAME?</v>
      </c>
      <c r="BQ208" s="2" t="e">
        <f ca="1">_xll.BDH($C$203,"WORKING_CAPITAL_SEQ_GROWTH","FY 2015","FY 2015","Currency=INR","Period=FY","BEST_FPERIOD_OVERRIDE=FY","FILING_STATUS=OR","EQY_CONSOLIDATED=Y","Sort=A","Dates=H","DateFormat=P","Fill=—","Direction=H","UseDPDF=Y")</f>
        <v>#NAME?</v>
      </c>
      <c r="BR208" s="2" t="e">
        <f ca="1">_xll.BDH($C$203,"ACCOUNTS_PAYABLE_SEQ_GROWTH","FY 2015","FY 2015","Currency=INR","Period=FY","BEST_FPERIOD_OVERRIDE=FY","FILING_STATUS=OR","EQY_CONSOLIDATED=Y","Sort=A","Dates=H","DateFormat=P","Fill=—","Direction=H","UseDPDF=Y")</f>
        <v>#NAME?</v>
      </c>
      <c r="BS208" s="2" t="e">
        <f ca="1">_xll.BDH($C$203,"ST_DEBT_SEQUENTIAL_GROWTH","FY 2015","FY 2015","Currency=INR","Period=FY","BEST_FPERIOD_OVERRIDE=FY","FILING_STATUS=OR","EQY_CONSOLIDATED=Y","Sort=A","Dates=H","DateFormat=P","Fill=—","Direction=H","UseDPDF=Y")</f>
        <v>#NAME?</v>
      </c>
      <c r="BT208" s="2" t="e">
        <f ca="1">_xll.BDH($C$203,"TOTAL_DEBT_SEQUENTIAL_GROWTH","FY 2015","FY 2015","Currency=INR","Period=FY","BEST_FPERIOD_OVERRIDE=FY","FILING_STATUS=OR","EQY_CONSOLIDATED=Y","Sort=A","Dates=H","DateFormat=P","Fill=—","Direction=H","UseDPDF=Y")</f>
        <v>#NAME?</v>
      </c>
      <c r="BU208" s="2" t="e">
        <f ca="1">_xll.BDH($C$203,"TOTAL_EQUITY_SEQUENTIAL_GROWTH","FY 2015","FY 2015","Currency=INR","Period=FY","BEST_FPERIOD_OVERRIDE=FY","FILING_STATUS=OR","EQY_CONSOLIDATED=Y","Sort=A","Dates=H","DateFormat=P","Fill=—","Direction=H","UseDPDF=Y")</f>
        <v>#NAME?</v>
      </c>
      <c r="BV208" s="2" t="e">
        <f ca="1">_xll.BDH($C$203,"TOTAL_CAPITAL_SEQUENTIAL_GROWTH","FY 2015","FY 2015","Currency=INR","Period=FY","BEST_FPERIOD_OVERRIDE=FY","FILING_STATUS=OR","EQY_CONSOLIDATED=Y","Sort=A","Dates=H","DateFormat=P","Fill=—","Direction=H","UseDPDF=Y")</f>
        <v>#NAME?</v>
      </c>
      <c r="BW208" s="2" t="e">
        <f ca="1">_xll.BDH($C$203,"BPS_SEQUENTIAL_GROWTH","FY 2015","FY 2015","Currency=INR","Period=FY","BEST_FPERIOD_OVERRIDE=FY","FILING_STATUS=OR","EQY_CONSOLIDATED=Y","Sort=A","Dates=H","DateFormat=P","Fill=—","Direction=H","UseDPDF=Y")</f>
        <v>#NAME?</v>
      </c>
      <c r="BX208" s="2" t="e">
        <f ca="1">_xll.BDH($C$203,"CFO_SEQUENTIAL_GROWTH","FY 2015","FY 2015","Currency=INR","Period=FY","BEST_FPERIOD_OVERRIDE=FY","FILING_STATUS=OR","EQY_CONSOLIDATED=Y","Sort=A","Dates=H","DateFormat=P","Fill=—","Direction=H","UseDPDF=Y")</f>
        <v>#NAME?</v>
      </c>
      <c r="BY208" s="3" t="e">
        <f ca="1">_xll.BDH($C$203,"SHORT_AND_LONG_TERM_DEBT","FY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08" s="3" t="e">
        <f ca="1">_xll.BDH($C$203,"BS_ST_BORROW","FY 2015","FY 2015","Currency=INR","Period=FY","BEST_FPERIOD_OVERRIDE=FY","FILING_STATUS=OR","EQY_CONSOLIDATED=Y","SCALING_FORMAT=MLN","Sort=A","Dates=H","DateFormat=P","Fill=—","Direction=H","UseDPDF=Y")</f>
        <v>#NAME?</v>
      </c>
      <c r="CA208" s="3" t="e">
        <f ca="1">_xll.BDH($C$203,"BS_LT_BORROW","FY 2015","FY 2015","Currency=INR","Period=FY","BEST_FPERIOD_OVERRIDE=FY","FILING_STATUS=OR","EQY_CONSOLIDATED=Y","SCALING_FORMAT=MLN","Sort=A","Dates=H","DateFormat=P","Fill=—","Direction=H","UseDPDF=Y")</f>
        <v>#NAME?</v>
      </c>
      <c r="CB208" s="2" t="e">
        <f ca="1">_xll.BDH($C$203,"TOT_DEBT_TO_EBITDA","FY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08" s="2" t="e">
        <f ca="1">_xll.BDH($C$203,"NET_DEBT_TO_EBITDA","FY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08" s="2" t="e">
        <f ca="1">_xll.BDH($C$203,"TOTAL_DEBT_TO_EBIT","FY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08" s="2" t="e">
        <f ca="1">_xll.BDH($C$203,"NET_DEBT_TO_EBIT","FY 2015","FY 2015","Currency=INR","Period=FY","BEST_FPERIOD_OVERRIDE=FY","FILING_STATUS=OR","EQY_CONSOLIDATED=Y","FA_ADJUSTED=GAAP","Sort=A","Dates=H","DateFormat=P","Fill=—","Direction=H","UseDPDF=Y")</f>
        <v>#NAME?</v>
      </c>
      <c r="CF208" s="2" t="e">
        <f ca="1">_xll.BDH($C$203,"EBITDA_TO_INTEREST_EXPN","FY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08" s="2" t="e">
        <f ca="1">_xll.BDH($C$203,"COM_EQY_TO_TOT_ASSET","FY 2015","FY 2015","Currency=INR","Period=FY","BEST_FPERIOD_OVERRIDE=FY","FILING_STATUS=OR","EQY_CONSOLIDATED=Y","Sort=A","Dates=H","DateFormat=P","Fill=—","Direction=H","UseDPDF=Y")</f>
        <v>#NAME?</v>
      </c>
      <c r="CH208" s="2" t="e">
        <f ca="1">_xll.BDH($C$203,"LT_DEBT_TO_TOT_EQY","FY 2015","FY 2015","Currency=INR","Period=FY","BEST_FPERIOD_OVERRIDE=FY","FILING_STATUS=OR","EQY_CONSOLIDATED=Y","Sort=A","Dates=H","DateFormat=P","Fill=—","Direction=H","UseDPDF=Y")</f>
        <v>#NAME?</v>
      </c>
      <c r="CI208" s="2" t="e">
        <f ca="1">_xll.BDH($C$203,"LT_DEBT_TO_TOT_CAP","FY 2015","FY 2015","Currency=INR","Period=FY","BEST_FPERIOD_OVERRIDE=FY","FILING_STATUS=OR","EQY_CONSOLIDATED=Y","Sort=A","Dates=H","DateFormat=P","Fill=—","Direction=H","UseDPDF=Y")</f>
        <v>#NAME?</v>
      </c>
      <c r="CJ208" s="2" t="e">
        <f ca="1">_xll.BDH($C$203,"LT_DEBT_TO_TOT_ASSET","FY 2015","FY 2015","Currency=INR","Period=FY","BEST_FPERIOD_OVERRIDE=FY","FILING_STATUS=OR","EQY_CONSOLIDATED=Y","Sort=A","Dates=H","DateFormat=P","Fill=—","Direction=H","UseDPDF=Y")</f>
        <v>#NAME?</v>
      </c>
      <c r="CK208" s="2" t="e">
        <f ca="1">_xll.BDH($C$203,"TOT_DEBT_TO_TOT_EQY","FY 2015","FY 2015","Currency=INR","Period=FY","BEST_FPERIOD_OVERRIDE=FY","FILING_STATUS=OR","EQY_CONSOLIDATED=Y","Sort=A","Dates=H","DateFormat=P","Fill=—","Direction=H","UseDPDF=Y")</f>
        <v>#NAME?</v>
      </c>
      <c r="CL208" s="2" t="e">
        <f ca="1">_xll.BDH($C$203,"TOT_DEBT_TO_TOT_CAP","FY 2015","FY 2015","Currency=INR","Period=FY","BEST_FPERIOD_OVERRIDE=FY","FILING_STATUS=OR","EQY_CONSOLIDATED=Y","Sort=A","Dates=H","DateFormat=P","Fill=—","Direction=H","UseDPDF=Y")</f>
        <v>#NAME?</v>
      </c>
      <c r="CM208" s="2" t="e">
        <f ca="1">_xll.BDH($C$203,"TOT_DEBT_TO_TOT_ASSET","FY 2015","FY 2015","Currency=INR","Period=FY","BEST_FPERIOD_OVERRIDE=FY","FILING_STATUS=OR","EQY_CONSOLIDATED=Y","Sort=A","Dates=H","DateFormat=P","Fill=—","Direction=H","UseDPDF=Y")</f>
        <v>#NAME?</v>
      </c>
      <c r="CN208" s="2" t="e">
        <f ca="1">_xll.BDH($C$203,"NET_DEBT_TO_SHRHLDR_EQTY","FY 2015","FY 2015","Currency=INR","Period=FY","BEST_FPERIOD_OVERRIDE=FY","FILING_STATUS=OR","EQY_CONSOLIDATED=Y","Sort=A","Dates=H","DateFormat=P","Fill=—","Direction=H","UseDPDF=Y")</f>
        <v>#NAME?</v>
      </c>
      <c r="CO208" s="2" t="e">
        <f ca="1">_xll.BDH($C$203,"NET_DEBT_%_CAPITAL","FY 2015","FY 2015","Currency=INR","Period=FY","BEST_FPERIOD_OVERRIDE=FY","FILING_STATUS=OR","EQY_CONSOLIDATED=Y","Sort=A","Dates=H","DateFormat=P","Fill=—","Direction=H","UseDPDF=Y")</f>
        <v>#NAME?</v>
      </c>
      <c r="CP208" s="3" t="e">
        <f ca="1">_xll.BDH($C$203,"EBITDA","FY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08" s="3" t="e">
        <f ca="1">_xll.BDH($C$203,"EBITDA_AFTER_CAPEX","FY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08" s="3" t="e">
        <f ca="1">_xll.BDH($C$203,"IS_OPER_INC","FY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08" s="2" t="e">
        <f ca="1">_xll.BDH($C$203,"CASH_RATIO","FY 2015","FY 2015","Currency=INR","Period=FY","BEST_FPERIOD_OVERRIDE=FY","FILING_STATUS=OR","EQY_CONSOLIDATED=Y","Sort=A","Dates=H","DateFormat=P","Fill=—","Direction=H","UseDPDF=Y")</f>
        <v>#NAME?</v>
      </c>
      <c r="CT208" s="2" t="e">
        <f ca="1">_xll.BDH($C$203,"CUR_RATIO","FY 2015","FY 2015","Currency=INR","Period=FY","BEST_FPERIOD_OVERRIDE=FY","FILING_STATUS=OR","EQY_CONSOLIDATED=Y","Sort=A","Dates=H","DateFormat=P","Fill=—","Direction=H","UseDPDF=Y")</f>
        <v>#NAME?</v>
      </c>
      <c r="CU208" s="2" t="e">
        <f ca="1">_xll.BDH($C$203,"QUICK_RATIO","FY 2015","FY 2015","Currency=INR","Period=FY","BEST_FPERIOD_OVERRIDE=FY","FILING_STATUS=OR","EQY_CONSOLIDATED=Y","Sort=A","Dates=H","DateFormat=P","Fill=—","Direction=H","UseDPDF=Y")</f>
        <v>#NAME?</v>
      </c>
      <c r="CV208" s="2" t="e">
        <f ca="1">_xll.BDH($C$203,"ALTMAN_Z_SCORE","FY 2015","FY 2015","Currency=INR","Period=FY","BEST_FPERIOD_OVERRIDE=FY","FILING_STATUS=OR","EQY_CONSOLIDATED=Y","Sort=A","Dates=H","DateFormat=P","Fill=—","Direction=H","UseDPDF=Y")</f>
        <v>#NAME?</v>
      </c>
      <c r="CW208" s="4" t="e">
        <f ca="1">_xll.BDH($C$203,"ACCT_RCV_TURN","FY 2015","FY 2015","Currency=INR","Period=FY","BEST_FPERIOD_OVERRIDE=FY","FILING_STATUS=OR","EQY_CONSOLIDATED=Y","FA_ADJUSTED=GAAP","Sort=A","Dates=H","DateFormat=P","Fill=—","Direction=H","UseDPDF=Y")</f>
        <v>#NAME?</v>
      </c>
      <c r="CX208" s="2" t="e">
        <f ca="1">_xll.BDH($C$203,"ACCT_RCV_DAYS","FY 2015","FY 2015","Currency=INR","Period=FY","BEST_FPERIOD_OVERRIDE=FY","FILING_STATUS=OR","EQY_CONSOLIDATED=Y","FA_ADJUSTED=GAAP","Sort=A","Dates=H","DateFormat=P","Fill=—","Direction=H","UseDPDF=Y")</f>
        <v>#NAME?</v>
      </c>
      <c r="CY208" s="4" t="e">
        <f ca="1">_xll.BDH($C$203,"INVENT_TURN","FY 2015","FY 2015","Currency=INR","Period=FY","BEST_FPERIOD_OVERRIDE=FY","FILING_STATUS=OR","EQY_CONSOLIDATED=Y","FA_ADJUSTED=GAAP","Sort=A","Dates=H","DateFormat=P","Fill=—","Direction=H","UseDPDF=Y")</f>
        <v>#NAME?</v>
      </c>
      <c r="CZ208" s="2" t="e">
        <f ca="1">_xll.BDH($C$203,"INVENT_DAYS","FY 2015","FY 2015","Currency=INR","Period=FY","BEST_FPERIOD_OVERRIDE=FY","FILING_STATUS=OR","EQY_CONSOLIDATED=Y","FA_ADJUSTED=GAAP","Sort=A","Dates=H","DateFormat=P","Fill=—","Direction=H","UseDPDF=Y")</f>
        <v>#NAME?</v>
      </c>
      <c r="DA208" s="4" t="e">
        <f ca="1">_xll.BDH($C$203,"ACCOUNTS_PAYABLE_TURNOVER","FY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08" s="2" t="e">
        <f ca="1">_xll.BDH($C$203,"ACCOUNTS_PAYABLE_TURNOVER_DAYS","FY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08" s="4" t="e">
        <f ca="1">_xll.BDH($C$203,"CASH_CONVERSION_CYCLE","FY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08" s="4" t="e">
        <f ca="1">_xll.BDH($C$203,"INV_TO_CASH_DAYS","FY 2015","FY 2015","Currency=INR","Period=FY","BEST_FPERIOD_OVERRIDE=FY","FILING_STATUS=OR","EQY_CONSOLIDATED=Y","FA_ADJUSTED=GAAP","Sort=A","Dates=H","DateFormat=P","Fill=—","Direction=H","UseDPDF=Y")</f>
        <v>#NAME?</v>
      </c>
      <c r="DE208" s="5" t="e">
        <f ca="1">_xll.BDH($C$203,"BS_INVENTORIES","FY 2015","FY 2015","Currency=INR","Period=FY","BEST_FPERIOD_OVERRIDE=FY","FILING_STATUS=OR","EQY_CONSOLIDATED=Y","SCALING_FORMAT=MLN","Sort=A","Dates=H","DateFormat=P","Fill=—","Direction=H","UseDPDF=Y")</f>
        <v>#NAME?</v>
      </c>
      <c r="DF208" s="3" t="e">
        <f ca="1">_xll.BDH($C$203,"INVTRY_RAW_MATERIALS","FY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08" s="3" t="e">
        <f ca="1">_xll.BDH($C$203,"INVTRY_IN_PROGRESS","FY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08" s="3" t="e">
        <f ca="1">_xll.BDH($C$203,"INVTRY_FINISHED_GOODS","FY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08" s="3" t="e">
        <f ca="1">_xll.BDH($C$203,"BS_OTHER_INV","FY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09" spans="1:113" x14ac:dyDescent="0.3">
      <c r="A209" s="6"/>
      <c r="B209" s="6"/>
      <c r="C209" s="6"/>
      <c r="D209" s="6"/>
      <c r="E209" t="s">
        <v>78</v>
      </c>
      <c r="F209" t="e">
        <f ca="1">_xll.BDH($C$203,"RETURN_COM_EQY","FQ1 2015","FQ1 2015","Currency=INR","Period=FQ","BEST_FPERIOD_OVERRIDE=FQ","FILING_STATUS=OR","EQY_CONSOLIDATED=Y","FA_ADJUSTED=GAAP","Sort=A","Dates=H","DateFormat=P","Fill=—","Direction=H","UseDPDF=Y")</f>
        <v>#NAME?</v>
      </c>
      <c r="G209" t="e">
        <f ca="1">_xll.BDH($C$203,"RETURN_ON_ASSET","FQ1 2015","FQ1 2015","Currency=INR","Period=FQ","BEST_FPERIOD_OVERRIDE=FQ","FILING_STATUS=OR","EQY_CONSOLIDATED=Y","FA_ADJUSTED=GAAP","Sort=A","Dates=H","DateFormat=P","Fill=—","Direction=H","UseDPDF=Y")</f>
        <v>#NAME?</v>
      </c>
      <c r="H209" t="e">
        <f ca="1">_xll.BDH($C$203,"RETURN_ON_CAP","FQ1 2015","FQ1 2015","Currency=INR","Period=FQ","BEST_FPERIOD_OVERRIDE=FQ","FILING_STATUS=OR","EQY_CONSOLIDATED=Y","FA_ADJUSTED=GAAP","Sort=A","Dates=H","DateFormat=P","Fill=—","Direction=H","UseDPDF=Y")</f>
        <v>#NAME?</v>
      </c>
      <c r="I209" t="e">
        <f ca="1">_xll.BDH($C$203,"RETURN_ON_INV_CAPITAL","FQ1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09" t="e">
        <f ca="1">_xll.BDH($C$203,"EBITDA_TO_REVENUE","FQ1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09" t="e">
        <f ca="1">_xll.BDH($C$203,"OPER_MARGIN","FQ1 2015","FQ1 2015","Currency=INR","Period=FQ","BEST_FPERIOD_OVERRIDE=FQ","FILING_STATUS=OR","EQY_CONSOLIDATED=Y","FA_ADJUSTED=GAAP","Sort=A","Dates=H","DateFormat=P","Fill=—","Direction=H","UseDPDF=Y")</f>
        <v>#NAME?</v>
      </c>
      <c r="L209" t="e">
        <f ca="1">_xll.BDH($C$203,"INCREMENTAL_OPERATING_MARGIN","FQ1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09" t="e">
        <f ca="1">_xll.BDH($C$203,"PRETAX_INC_TO_NET_SALES","FQ1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09" t="e">
        <f ca="1">_xll.BDH($C$203,"INC_BEF_XO_ITEMS_TO_NET_SALES","FQ1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09" t="e">
        <f ca="1">_xll.BDH($C$203,"PROF_MARGIN","FQ1 2015","FQ1 2015","Currency=INR","Period=FQ","BEST_FPERIOD_OVERRIDE=FQ","FILING_STATUS=OR","EQY_CONSOLIDATED=Y","FA_ADJUSTED=GAAP","Sort=A","Dates=H","DateFormat=P","Fill=—","Direction=H","UseDPDF=Y")</f>
        <v>#NAME?</v>
      </c>
      <c r="P209" t="e">
        <f ca="1">_xll.BDH($C$203,"NET_INCOME_TO_COMMON_MARGIN","FQ1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09" t="e">
        <f ca="1">_xll.BDH($C$203,"EFF_TAX_RATE","FQ1 2015","FQ1 2015","Currency=INR","Period=FQ","BEST_FPERIOD_OVERRIDE=FQ","FILING_STATUS=OR","EQY_CONSOLIDATED=Y","FA_ADJUSTED=GAAP","Sort=A","Dates=H","DateFormat=P","Fill=—","Direction=H","UseDPDF=Y")</f>
        <v>#NAME?</v>
      </c>
      <c r="R209" t="e">
        <f ca="1">_xll.BDH($C$203,"DVD_PAYOUT_RATIO","FQ1 2015","FQ1 2015","Currency=INR","Period=FQ","BEST_FPERIOD_OVERRIDE=FQ","FILING_STATUS=OR","EQY_CONSOLIDATED=Y","FA_ADJUSTED=GAAP","Sort=A","Dates=H","DateFormat=P","Fill=—","Direction=H","UseDPDF=Y")</f>
        <v>#NAME?</v>
      </c>
      <c r="S209" t="e">
        <f ca="1">_xll.BDH($C$203,"SUSTAIN_GROWTH_RT","FQ1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09" s="2" t="e">
        <f ca="1">_xll.BDH($C$203,"SALES_GROWTH","FQ1 2015","FQ1 2015","Currency=INR","Period=FQ","BEST_FPERIOD_OVERRIDE=FQ","FILING_STATUS=OR","EQY_CONSOLIDATED=Y","FA_ADJUSTED=GAAP","Sort=A","Dates=H","DateFormat=P","Fill=—","Direction=H","UseDPDF=Y")</f>
        <v>#NAME?</v>
      </c>
      <c r="U209" s="2" t="e">
        <f ca="1">_xll.BDH($C$203,"EBITDA_GROWTH","FQ1 2015","FQ1 2015","Currency=INR","Period=FQ","BEST_FPERIOD_OVERRIDE=FQ","FILING_STATUS=OR","EQY_CONSOLIDATED=Y","FA_ADJUSTED=GAAP","Sort=A","Dates=H","DateFormat=P","Fill=—","Direction=H","UseDPDF=Y")</f>
        <v>#NAME?</v>
      </c>
      <c r="V209" s="2" t="e">
        <f ca="1">_xll.BDH($C$203,"OPER_INC_GROWTH","FQ1 2015","FQ1 2015","Currency=INR","Period=FQ","BEST_FPERIOD_OVERRIDE=FQ","FILING_STATUS=OR","EQY_CONSOLIDATED=Y","FA_ADJUSTED=GAAP","Sort=A","Dates=H","DateFormat=P","Fill=—","Direction=H","UseDPDF=Y")</f>
        <v>#NAME?</v>
      </c>
      <c r="W209" s="2" t="e">
        <f ca="1">_xll.BDH($C$203,"EARN_FOR_COM_GROWTH","FQ1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09" s="2" t="e">
        <f ca="1">_xll.BDH($C$203,"DILUTED_EPS_AFT_XO_ITEMS_GROWTH","FQ1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09" s="2" t="e">
        <f ca="1">_xll.BDH($C$203,"DIVIDEND_PER_SHARE_1_YEAR_GROWTH","FQ1 2015","FQ1 2015","Currency=INR","Period=FQ","BEST_FPERIOD_OVERRIDE=FQ","FILING_STATUS=OR","EQY_CONSOLIDATED=Y","Sort=A","Dates=H","DateFormat=P","Fill=—","Direction=H","UseDPDF=Y")</f>
        <v>#NAME?</v>
      </c>
      <c r="Z209" s="2" t="e">
        <f ca="1">_xll.BDH($C$203,"ACCOUNTS_RECEIVABLE_GROWTH","FQ1 2015","FQ1 2015","Currency=INR","Period=FQ","BEST_FPERIOD_OVERRIDE=FQ","FILING_STATUS=OR","EQY_CONSOLIDATED=Y","Sort=A","Dates=H","DateFormat=P","Fill=—","Direction=H","UseDPDF=Y")</f>
        <v>#NAME?</v>
      </c>
      <c r="AA209" s="2" t="e">
        <f ca="1">_xll.BDH($C$203,"INVENTORY_GROWTH","FQ1 2015","FQ1 2015","Currency=INR","Period=FQ","BEST_FPERIOD_OVERRIDE=FQ","FILING_STATUS=OR","EQY_CONSOLIDATED=Y","Sort=A","Dates=H","DateFormat=P","Fill=—","Direction=H","UseDPDF=Y")</f>
        <v>#NAME?</v>
      </c>
      <c r="AB209" s="2" t="e">
        <f ca="1">_xll.BDH($C$203,"NET_FIXED_ASSETS_1_YEAR_GROWTH","FQ1 2015","FQ1 2015","Currency=INR","Period=FQ","BEST_FPERIOD_OVERRIDE=FQ","FILING_STATUS=OR","EQY_CONSOLIDATED=Y","Sort=A","Dates=H","DateFormat=P","Fill=—","Direction=H","UseDPDF=Y")</f>
        <v>#NAME?</v>
      </c>
      <c r="AC209" s="2" t="e">
        <f ca="1">_xll.BDH($C$203,"ASSET_GROWTH","FQ1 2015","FQ1 2015","Currency=INR","Period=FQ","BEST_FPERIOD_OVERRIDE=FQ","FILING_STATUS=OR","EQY_CONSOLIDATED=Y","Sort=A","Dates=H","DateFormat=P","Fill=—","Direction=H","UseDPDF=Y")</f>
        <v>#NAME?</v>
      </c>
      <c r="AD209" s="2" t="e">
        <f ca="1">_xll.BDH($C$203,"MODIFIED_WORK_CAP_GROWTH","FQ1 2015","FQ1 2015","Currency=INR","Period=FQ","BEST_FPERIOD_OVERRIDE=FQ","FILING_STATUS=OR","EQY_CONSOLIDATED=Y","Sort=A","Dates=H","DateFormat=P","Fill=—","Direction=H","UseDPDF=Y")</f>
        <v>#NAME?</v>
      </c>
      <c r="AE209" s="2" t="e">
        <f ca="1">_xll.BDH($C$203,"WORK_CAP_GROWTH","FQ1 2015","FQ1 2015","Currency=INR","Period=FQ","BEST_FPERIOD_OVERRIDE=FQ","FILING_STATUS=OR","EQY_CONSOLIDATED=Y","Sort=A","Dates=H","DateFormat=P","Fill=—","Direction=H","UseDPDF=Y")</f>
        <v>#NAME?</v>
      </c>
      <c r="AF209" s="2" t="e">
        <f ca="1">_xll.BDH($C$203,"ACCOUNTS_PAYABLE_GROWTH_1YR","FQ1 2015","FQ1 2015","Currency=INR","Period=FQ","BEST_FPERIOD_OVERRIDE=FQ","FILING_STATUS=OR","EQY_CONSOLIDATED=Y","Sort=A","Dates=H","DateFormat=P","Fill=—","Direction=H","UseDPDF=Y")</f>
        <v>#NAME?</v>
      </c>
      <c r="AG209" s="2" t="e">
        <f ca="1">_xll.BDH($C$203,"SHORT_TERM_DEBT_1_YEAR_GROWTH","FQ1 2015","FQ1 2015","Currency=INR","Period=FQ","BEST_FPERIOD_OVERRIDE=FQ","FILING_STATUS=OR","EQY_CONSOLIDATED=Y","Sort=A","Dates=H","DateFormat=P","Fill=—","Direction=H","UseDPDF=Y")</f>
        <v>#NAME?</v>
      </c>
      <c r="AH209" s="2" t="e">
        <f ca="1">_xll.BDH($C$203,"TOTAL_DEBT_1_YEAR_GROWTH","FQ1 2015","FQ1 2015","Currency=INR","Period=FQ","BEST_FPERIOD_OVERRIDE=FQ","FILING_STATUS=OR","EQY_CONSOLIDATED=Y","Sort=A","Dates=H","DateFormat=P","Fill=—","Direction=H","UseDPDF=Y")</f>
        <v>#NAME?</v>
      </c>
      <c r="AI209" s="2" t="e">
        <f ca="1">_xll.BDH($C$203,"TOTAL_EQUITY_1_YEAR_GROWTH","FQ1 2015","FQ1 2015","Currency=INR","Period=FQ","BEST_FPERIOD_OVERRIDE=FQ","FILING_STATUS=OR","EQY_CONSOLIDATED=Y","Sort=A","Dates=H","DateFormat=P","Fill=—","Direction=H","UseDPDF=Y")</f>
        <v>#NAME?</v>
      </c>
      <c r="AJ209" s="2" t="e">
        <f ca="1">_xll.BDH($C$203,"GROWTH_IN_CAP","FQ1 2015","FQ1 2015","Currency=INR","Period=FQ","BEST_FPERIOD_OVERRIDE=FQ","FILING_STATUS=OR","EQY_CONSOLIDATED=Y","Sort=A","Dates=H","DateFormat=P","Fill=—","Direction=H","UseDPDF=Y")</f>
        <v>#NAME?</v>
      </c>
      <c r="AK209" s="2" t="e">
        <f ca="1">_xll.BDH($C$203,"BVPS_GROWTH","FQ1 2015","FQ1 2015","Currency=INR","Period=FQ","BEST_FPERIOD_OVERRIDE=FQ","FILING_STATUS=OR","EQY_CONSOLIDATED=Y","Sort=A","Dates=H","DateFormat=P","Fill=—","Direction=H","UseDPDF=Y")</f>
        <v>#NAME?</v>
      </c>
      <c r="AL209" s="2" t="e">
        <f ca="1">_xll.BDH($C$203,"CASH_FLOW_GROWTH","FQ1 2015","FQ1 2015","Currency=INR","Period=FQ","BEST_FPERIOD_OVERRIDE=FQ","FILING_STATUS=OR","EQY_CONSOLIDATED=Y","Sort=A","Dates=H","DateFormat=P","Fill=—","Direction=H","UseDPDF=Y")</f>
        <v>#NAME?</v>
      </c>
      <c r="AM209" s="2" t="e">
        <f ca="1">_xll.BDH($C$203,"GEO_GROW_NET_SALES","FQ1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09" s="2" t="e">
        <f ca="1">_xll.BDH($C$203,"GEO_GROW_EBITDA","FQ1 2015","FQ1 2015","Currency=INR","Period=FQ","BEST_FPERIOD_OVERRIDE=FQ","FILING_STATUS=OR","EQY_CONSOLIDATED=Y","FA_ADJUSTED=GAAP","Sort=A","Dates=H","DateFormat=P","Fill=—","Direction=H","UseDPDF=Y")</f>
        <v>#NAME?</v>
      </c>
      <c r="AO209" s="2" t="e">
        <f ca="1">_xll.BDH($C$203,"GEO_GROW_OPER_INC","FQ1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09" s="2" t="e">
        <f ca="1">_xll.BDH($C$203,"NET_INCOME_TO_COMMON_5_YR_GROWTH","FQ1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09" s="2" t="e">
        <f ca="1">_xll.BDH($C$203,"5Y_GEO_GROWTH_DILUTED_EPS","FQ1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09" s="2" t="e">
        <f ca="1">_xll.BDH($C$203,"GEO_GROW_DVD_PER_SH","FQ1 2015","FQ1 2015","Currency=INR","Period=FQ","BEST_FPERIOD_OVERRIDE=FQ","FILING_STATUS=OR","EQY_CONSOLIDATED=Y","Sort=A","Dates=H","DateFormat=P","Fill=—","Direction=H","UseDPDF=Y")</f>
        <v>#NAME?</v>
      </c>
      <c r="AS209" s="2" t="e">
        <f ca="1">_xll.BDH($C$203,"ACCOUNTS_RECEIVABLE_5_YR_GROWTH","FQ1 2015","FQ1 2015","Currency=INR","Period=FQ","BEST_FPERIOD_OVERRIDE=FQ","FILING_STATUS=OR","EQY_CONSOLIDATED=Y","Sort=A","Dates=H","DateFormat=P","Fill=—","Direction=H","UseDPDF=Y")</f>
        <v>#NAME?</v>
      </c>
      <c r="AT209" s="2" t="e">
        <f ca="1">_xll.BDH($C$203,"INVENTORY_5_YEAR_GROWTH","FQ1 2015","FQ1 2015","Currency=INR","Period=FQ","BEST_FPERIOD_OVERRIDE=FQ","FILING_STATUS=OR","EQY_CONSOLIDATED=Y","Sort=A","Dates=H","DateFormat=P","Fill=—","Direction=H","UseDPDF=Y")</f>
        <v>#NAME?</v>
      </c>
      <c r="AU209" s="2" t="e">
        <f ca="1">_xll.BDH($C$203,"NET_FIXED_ASSETS_5_YEAR_GROWTH","FQ1 2015","FQ1 2015","Currency=INR","Period=FQ","BEST_FPERIOD_OVERRIDE=FQ","FILING_STATUS=OR","EQY_CONSOLIDATED=Y","Sort=A","Dates=H","DateFormat=P","Fill=—","Direction=H","UseDPDF=Y")</f>
        <v>#NAME?</v>
      </c>
      <c r="AV209" s="2" t="e">
        <f ca="1">_xll.BDH($C$203,"GEO_GROW_TOT_ASSET","FQ1 2015","FQ1 2015","Currency=INR","Period=FQ","BEST_FPERIOD_OVERRIDE=FQ","FILING_STATUS=OR","EQY_CONSOLIDATED=Y","Sort=A","Dates=H","DateFormat=P","Fill=—","Direction=H","UseDPDF=Y")</f>
        <v>#NAME?</v>
      </c>
      <c r="AW209" s="2" t="e">
        <f ca="1">_xll.BDH($C$203,"MODIFIED_WORKING_CPTL_5YR_GRWTH","FQ1 2015","FQ1 2015","Currency=INR","Period=FQ","BEST_FPERIOD_OVERRIDE=FQ","FILING_STATUS=OR","EQY_CONSOLIDATED=Y","Sort=A","Dates=H","DateFormat=P","Fill=—","Direction=H","UseDPDF=Y")</f>
        <v>#NAME?</v>
      </c>
      <c r="AX209" s="2" t="e">
        <f ca="1">_xll.BDH($C$203,"WORKING_CAPITAL_5_YEAR_GROWTH","FQ1 2015","FQ1 2015","Currency=INR","Period=FQ","BEST_FPERIOD_OVERRIDE=FQ","FILING_STATUS=OR","EQY_CONSOLIDATED=Y","Sort=A","Dates=H","DateFormat=P","Fill=—","Direction=H","UseDPDF=Y")</f>
        <v>#NAME?</v>
      </c>
      <c r="AY209" s="2" t="e">
        <f ca="1">_xll.BDH($C$203,"ACCOUNTS_PAYABLE_5_YEAR_GROWTH","FQ1 2015","FQ1 2015","Currency=INR","Period=FQ","BEST_FPERIOD_OVERRIDE=FQ","FILING_STATUS=OR","EQY_CONSOLIDATED=Y","Sort=A","Dates=H","DateFormat=P","Fill=—","Direction=H","UseDPDF=Y")</f>
        <v>#NAME?</v>
      </c>
      <c r="AZ209" s="2" t="e">
        <f ca="1">_xll.BDH($C$203,"SHORT_TERM_DEBT_5_YEAR_GROWTH","FQ1 2015","FQ1 2015","Currency=INR","Period=FQ","BEST_FPERIOD_OVERRIDE=FQ","FILING_STATUS=OR","EQY_CONSOLIDATED=Y","Sort=A","Dates=H","DateFormat=P","Fill=—","Direction=H","UseDPDF=Y")</f>
        <v>#NAME?</v>
      </c>
      <c r="BA209" s="2" t="e">
        <f ca="1">_xll.BDH($C$203,"TOTAL_DEBT_5_YEAR_GROWTH","FQ1 2015","FQ1 2015","Currency=INR","Period=FQ","BEST_FPERIOD_OVERRIDE=FQ","FILING_STATUS=OR","EQY_CONSOLIDATED=Y","Sort=A","Dates=H","DateFormat=P","Fill=—","Direction=H","UseDPDF=Y")</f>
        <v>#NAME?</v>
      </c>
      <c r="BB209" s="2" t="e">
        <f ca="1">_xll.BDH($C$203,"GEO_GROW_TOT_SHRHLDR_EQY","FQ1 2015","FQ1 2015","Currency=INR","Period=FQ","BEST_FPERIOD_OVERRIDE=FQ","FILING_STATUS=OR","EQY_CONSOLIDATED=Y","Sort=A","Dates=H","DateFormat=P","Fill=—","Direction=H","UseDPDF=Y")</f>
        <v>#NAME?</v>
      </c>
      <c r="BC209" s="2" t="e">
        <f ca="1">_xll.BDH($C$203,"TOTAL_CAPITAL_5_YEAR_GROWTH","FQ1 2015","FQ1 2015","Currency=INR","Period=FQ","BEST_FPERIOD_OVERRIDE=FQ","FILING_STATUS=OR","EQY_CONSOLIDATED=Y","Sort=A","Dates=H","DateFormat=P","Fill=—","Direction=H","UseDPDF=Y")</f>
        <v>#NAME?</v>
      </c>
      <c r="BD209" s="2" t="e">
        <f ca="1">_xll.BDH($C$203,"GEO_GROW_BOOK_VAL","FQ1 2015","FQ1 2015","Currency=INR","Period=FQ","BEST_FPERIOD_OVERRIDE=FQ","FILING_STATUS=OR","EQY_CONSOLIDATED=Y","Sort=A","Dates=H","DateFormat=P","Fill=—","Direction=H","UseDPDF=Y")</f>
        <v>#NAME?</v>
      </c>
      <c r="BE209" s="2" t="e">
        <f ca="1">_xll.BDH($C$203,"GEO_GROW_CASH_OPER_ACT","FQ1 2015","FQ1 2015","Currency=INR","Period=FQ","BEST_FPERIOD_OVERRIDE=FQ","FILING_STATUS=OR","EQY_CONSOLIDATED=Y","Sort=A","Dates=H","DateFormat=P","Fill=—","Direction=H","UseDPDF=Y")</f>
        <v>#NAME?</v>
      </c>
      <c r="BF209" s="2" t="e">
        <f ca="1">_xll.BDH($C$203,"REVENUE_SEQUENTIAL_GROWTH","FQ1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09" s="2" t="e">
        <f ca="1">_xll.BDH($C$203,"EBITDA_SEQUENTIAL_GROWTH","FQ1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09" s="2" t="e">
        <f ca="1">_xll.BDH($C$203,"OPERATING_INCOME_SEQ_GROWTH","FQ1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09" s="2" t="e">
        <f ca="1">_xll.BDH($C$203,"NET_INCOME_TO_COMMON_SEQ_GROWTH","FQ1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09" s="2" t="e">
        <f ca="1">_xll.BDH($C$203,"EPS_DILUTED_SEQUENTIAL_GROWTH","FQ1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09" s="2" t="e">
        <f ca="1">_xll.BDH($C$203,"DPS_SEQUENTIAL_GROWTH","FQ1 2015","FQ1 2015","Currency=INR","Period=FQ","BEST_FPERIOD_OVERRIDE=FQ","FILING_STATUS=OR","EQY_CONSOLIDATED=Y","Sort=A","Dates=H","DateFormat=P","Fill=—","Direction=H","UseDPDF=Y")</f>
        <v>#NAME?</v>
      </c>
      <c r="BL209" s="2" t="e">
        <f ca="1">_xll.BDH($C$203,"ACCOUNTS_RECEIVABLE_SEQ_GROWTH","FQ1 2015","FQ1 2015","Currency=INR","Period=FQ","BEST_FPERIOD_OVERRIDE=FQ","FILING_STATUS=OR","EQY_CONSOLIDATED=Y","Sort=A","Dates=H","DateFormat=P","Fill=—","Direction=H","UseDPDF=Y")</f>
        <v>#NAME?</v>
      </c>
      <c r="BM209" s="2" t="e">
        <f ca="1">_xll.BDH($C$203,"INVENTORY_SEQUENTIAL_GROWTH","FQ1 2015","FQ1 2015","Currency=INR","Period=FQ","BEST_FPERIOD_OVERRIDE=FQ","FILING_STATUS=OR","EQY_CONSOLIDATED=Y","Sort=A","Dates=H","DateFormat=P","Fill=—","Direction=H","UseDPDF=Y")</f>
        <v>#NAME?</v>
      </c>
      <c r="BN209" s="2" t="e">
        <f ca="1">_xll.BDH($C$203,"FIXED_ASSETS_SEQUENTIAL_GROWTH","FQ1 2015","FQ1 2015","Currency=INR","Period=FQ","BEST_FPERIOD_OVERRIDE=FQ","FILING_STATUS=OR","EQY_CONSOLIDATED=Y","Sort=A","Dates=H","DateFormat=P","Fill=—","Direction=H","UseDPDF=Y")</f>
        <v>#NAME?</v>
      </c>
      <c r="BO209" s="2" t="e">
        <f ca="1">_xll.BDH($C$203,"TOTAL_ASSETS_SEQUENTIAL_GROWTH","FQ1 2015","FQ1 2015","Currency=INR","Period=FQ","BEST_FPERIOD_OVERRIDE=FQ","FILING_STATUS=OR","EQY_CONSOLIDATED=Y","Sort=A","Dates=H","DateFormat=P","Fill=—","Direction=H","UseDPDF=Y")</f>
        <v>#NAME?</v>
      </c>
      <c r="BP209" s="2" t="e">
        <f ca="1">_xll.BDH($C$203,"MODIFIED_WORKING_CPTL_SEQ_GRWTH","FQ1 2015","FQ1 2015","Currency=INR","Period=FQ","BEST_FPERIOD_OVERRIDE=FQ","FILING_STATUS=OR","EQY_CONSOLIDATED=Y","Sort=A","Dates=H","DateFormat=P","Fill=—","Direction=H","UseDPDF=Y")</f>
        <v>#NAME?</v>
      </c>
      <c r="BQ209" s="2" t="e">
        <f ca="1">_xll.BDH($C$203,"WORKING_CAPITAL_SEQ_GROWTH","FQ1 2015","FQ1 2015","Currency=INR","Period=FQ","BEST_FPERIOD_OVERRIDE=FQ","FILING_STATUS=OR","EQY_CONSOLIDATED=Y","Sort=A","Dates=H","DateFormat=P","Fill=—","Direction=H","UseDPDF=Y")</f>
        <v>#NAME?</v>
      </c>
      <c r="BR209" s="2" t="e">
        <f ca="1">_xll.BDH($C$203,"ACCOUNTS_PAYABLE_SEQ_GROWTH","FQ1 2015","FQ1 2015","Currency=INR","Period=FQ","BEST_FPERIOD_OVERRIDE=FQ","FILING_STATUS=OR","EQY_CONSOLIDATED=Y","Sort=A","Dates=H","DateFormat=P","Fill=—","Direction=H","UseDPDF=Y")</f>
        <v>#NAME?</v>
      </c>
      <c r="BS209" s="2" t="e">
        <f ca="1">_xll.BDH($C$203,"ST_DEBT_SEQUENTIAL_GROWTH","FQ1 2015","FQ1 2015","Currency=INR","Period=FQ","BEST_FPERIOD_OVERRIDE=FQ","FILING_STATUS=OR","EQY_CONSOLIDATED=Y","Sort=A","Dates=H","DateFormat=P","Fill=—","Direction=H","UseDPDF=Y")</f>
        <v>#NAME?</v>
      </c>
      <c r="BT209" s="2" t="e">
        <f ca="1">_xll.BDH($C$203,"TOTAL_DEBT_SEQUENTIAL_GROWTH","FQ1 2015","FQ1 2015","Currency=INR","Period=FQ","BEST_FPERIOD_OVERRIDE=FQ","FILING_STATUS=OR","EQY_CONSOLIDATED=Y","Sort=A","Dates=H","DateFormat=P","Fill=—","Direction=H","UseDPDF=Y")</f>
        <v>#NAME?</v>
      </c>
      <c r="BU209" s="2" t="e">
        <f ca="1">_xll.BDH($C$203,"TOTAL_EQUITY_SEQUENTIAL_GROWTH","FQ1 2015","FQ1 2015","Currency=INR","Period=FQ","BEST_FPERIOD_OVERRIDE=FQ","FILING_STATUS=OR","EQY_CONSOLIDATED=Y","Sort=A","Dates=H","DateFormat=P","Fill=—","Direction=H","UseDPDF=Y")</f>
        <v>#NAME?</v>
      </c>
      <c r="BV209" s="2" t="e">
        <f ca="1">_xll.BDH($C$203,"TOTAL_CAPITAL_SEQUENTIAL_GROWTH","FQ1 2015","FQ1 2015","Currency=INR","Period=FQ","BEST_FPERIOD_OVERRIDE=FQ","FILING_STATUS=OR","EQY_CONSOLIDATED=Y","Sort=A","Dates=H","DateFormat=P","Fill=—","Direction=H","UseDPDF=Y")</f>
        <v>#NAME?</v>
      </c>
      <c r="BW209" s="2" t="e">
        <f ca="1">_xll.BDH($C$203,"BPS_SEQUENTIAL_GROWTH","FQ1 2015","FQ1 2015","Currency=INR","Period=FQ","BEST_FPERIOD_OVERRIDE=FQ","FILING_STATUS=OR","EQY_CONSOLIDATED=Y","Sort=A","Dates=H","DateFormat=P","Fill=—","Direction=H","UseDPDF=Y")</f>
        <v>#NAME?</v>
      </c>
      <c r="BX209" s="2" t="e">
        <f ca="1">_xll.BDH($C$203,"CFO_SEQUENTIAL_GROWTH","FQ1 2015","FQ1 2015","Currency=INR","Period=FQ","BEST_FPERIOD_OVERRIDE=FQ","FILING_STATUS=OR","EQY_CONSOLIDATED=Y","Sort=A","Dates=H","DateFormat=P","Fill=—","Direction=H","UseDPDF=Y")</f>
        <v>#NAME?</v>
      </c>
      <c r="BY209" s="3" t="e">
        <f ca="1">_xll.BDH($C$203,"SHORT_AND_LONG_TERM_DEBT","FQ1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09" s="3" t="e">
        <f ca="1">_xll.BDH($C$203,"BS_ST_BORROW","FQ1 2015","FQ1 2015","Currency=INR","Period=FQ","BEST_FPERIOD_OVERRIDE=FQ","FILING_STATUS=OR","EQY_CONSOLIDATED=Y","SCALING_FORMAT=MLN","Sort=A","Dates=H","DateFormat=P","Fill=—","Direction=H","UseDPDF=Y")</f>
        <v>#NAME?</v>
      </c>
      <c r="CA209" s="3" t="e">
        <f ca="1">_xll.BDH($C$203,"BS_LT_BORROW","FQ1 2015","FQ1 2015","Currency=INR","Period=FQ","BEST_FPERIOD_OVERRIDE=FQ","FILING_STATUS=OR","EQY_CONSOLIDATED=Y","SCALING_FORMAT=MLN","Sort=A","Dates=H","DateFormat=P","Fill=—","Direction=H","UseDPDF=Y")</f>
        <v>#NAME?</v>
      </c>
      <c r="CB209" s="2" t="e">
        <f ca="1">_xll.BDH($C$203,"TOT_DEBT_TO_EBITDA","FQ1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09" s="2" t="e">
        <f ca="1">_xll.BDH($C$203,"NET_DEBT_TO_EBITDA","FQ1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09" s="2" t="e">
        <f ca="1">_xll.BDH($C$203,"TOTAL_DEBT_TO_EBIT","FQ1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09" s="2" t="e">
        <f ca="1">_xll.BDH($C$203,"NET_DEBT_TO_EBIT","FQ1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09" s="2" t="e">
        <f ca="1">_xll.BDH($C$203,"EBITDA_TO_INTEREST_EXPN","FQ1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09" s="2" t="e">
        <f ca="1">_xll.BDH($C$203,"COM_EQY_TO_TOT_ASSET","FQ1 2015","FQ1 2015","Currency=INR","Period=FQ","BEST_FPERIOD_OVERRIDE=FQ","FILING_STATUS=OR","EQY_CONSOLIDATED=Y","Sort=A","Dates=H","DateFormat=P","Fill=—","Direction=H","UseDPDF=Y")</f>
        <v>#NAME?</v>
      </c>
      <c r="CH209" s="2" t="e">
        <f ca="1">_xll.BDH($C$203,"LT_DEBT_TO_TOT_EQY","FQ1 2015","FQ1 2015","Currency=INR","Period=FQ","BEST_FPERIOD_OVERRIDE=FQ","FILING_STATUS=OR","EQY_CONSOLIDATED=Y","Sort=A","Dates=H","DateFormat=P","Fill=—","Direction=H","UseDPDF=Y")</f>
        <v>#NAME?</v>
      </c>
      <c r="CI209" s="2" t="e">
        <f ca="1">_xll.BDH($C$203,"LT_DEBT_TO_TOT_CAP","FQ1 2015","FQ1 2015","Currency=INR","Period=FQ","BEST_FPERIOD_OVERRIDE=FQ","FILING_STATUS=OR","EQY_CONSOLIDATED=Y","Sort=A","Dates=H","DateFormat=P","Fill=—","Direction=H","UseDPDF=Y")</f>
        <v>#NAME?</v>
      </c>
      <c r="CJ209" s="2" t="e">
        <f ca="1">_xll.BDH($C$203,"LT_DEBT_TO_TOT_ASSET","FQ1 2015","FQ1 2015","Currency=INR","Period=FQ","BEST_FPERIOD_OVERRIDE=FQ","FILING_STATUS=OR","EQY_CONSOLIDATED=Y","Sort=A","Dates=H","DateFormat=P","Fill=—","Direction=H","UseDPDF=Y")</f>
        <v>#NAME?</v>
      </c>
      <c r="CK209" s="2" t="e">
        <f ca="1">_xll.BDH($C$203,"TOT_DEBT_TO_TOT_EQY","FQ1 2015","FQ1 2015","Currency=INR","Period=FQ","BEST_FPERIOD_OVERRIDE=FQ","FILING_STATUS=OR","EQY_CONSOLIDATED=Y","Sort=A","Dates=H","DateFormat=P","Fill=—","Direction=H","UseDPDF=Y")</f>
        <v>#NAME?</v>
      </c>
      <c r="CL209" s="2" t="e">
        <f ca="1">_xll.BDH($C$203,"TOT_DEBT_TO_TOT_CAP","FQ1 2015","FQ1 2015","Currency=INR","Period=FQ","BEST_FPERIOD_OVERRIDE=FQ","FILING_STATUS=OR","EQY_CONSOLIDATED=Y","Sort=A","Dates=H","DateFormat=P","Fill=—","Direction=H","UseDPDF=Y")</f>
        <v>#NAME?</v>
      </c>
      <c r="CM209" s="2" t="e">
        <f ca="1">_xll.BDH($C$203,"TOT_DEBT_TO_TOT_ASSET","FQ1 2015","FQ1 2015","Currency=INR","Period=FQ","BEST_FPERIOD_OVERRIDE=FQ","FILING_STATUS=OR","EQY_CONSOLIDATED=Y","Sort=A","Dates=H","DateFormat=P","Fill=—","Direction=H","UseDPDF=Y")</f>
        <v>#NAME?</v>
      </c>
      <c r="CN209" s="2" t="e">
        <f ca="1">_xll.BDH($C$203,"NET_DEBT_TO_SHRHLDR_EQTY","FQ1 2015","FQ1 2015","Currency=INR","Period=FQ","BEST_FPERIOD_OVERRIDE=FQ","FILING_STATUS=OR","EQY_CONSOLIDATED=Y","Sort=A","Dates=H","DateFormat=P","Fill=—","Direction=H","UseDPDF=Y")</f>
        <v>#NAME?</v>
      </c>
      <c r="CO209" s="2" t="e">
        <f ca="1">_xll.BDH($C$203,"NET_DEBT_%_CAPITAL","FQ1 2015","FQ1 2015","Currency=INR","Period=FQ","BEST_FPERIOD_OVERRIDE=FQ","FILING_STATUS=OR","EQY_CONSOLIDATED=Y","Sort=A","Dates=H","DateFormat=P","Fill=—","Direction=H","UseDPDF=Y")</f>
        <v>#NAME?</v>
      </c>
      <c r="CP209" s="3" t="e">
        <f ca="1">_xll.BDH($C$203,"EBITDA","FQ1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09" s="3" t="e">
        <f ca="1">_xll.BDH($C$203,"EBITDA_AFTER_CAPEX","FQ1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09" s="3" t="e">
        <f ca="1">_xll.BDH($C$203,"IS_OPER_INC","FQ1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09" s="2" t="e">
        <f ca="1">_xll.BDH($C$203,"CASH_RATIO","FQ1 2015","FQ1 2015","Currency=INR","Period=FQ","BEST_FPERIOD_OVERRIDE=FQ","FILING_STATUS=OR","EQY_CONSOLIDATED=Y","Sort=A","Dates=H","DateFormat=P","Fill=—","Direction=H","UseDPDF=Y")</f>
        <v>#NAME?</v>
      </c>
      <c r="CT209" s="2" t="e">
        <f ca="1">_xll.BDH($C$203,"CUR_RATIO","FQ1 2015","FQ1 2015","Currency=INR","Period=FQ","BEST_FPERIOD_OVERRIDE=FQ","FILING_STATUS=OR","EQY_CONSOLIDATED=Y","Sort=A","Dates=H","DateFormat=P","Fill=—","Direction=H","UseDPDF=Y")</f>
        <v>#NAME?</v>
      </c>
      <c r="CU209" s="2" t="e">
        <f ca="1">_xll.BDH($C$203,"QUICK_RATIO","FQ1 2015","FQ1 2015","Currency=INR","Period=FQ","BEST_FPERIOD_OVERRIDE=FQ","FILING_STATUS=OR","EQY_CONSOLIDATED=Y","Sort=A","Dates=H","DateFormat=P","Fill=—","Direction=H","UseDPDF=Y")</f>
        <v>#NAME?</v>
      </c>
      <c r="CV209" s="2" t="e">
        <f ca="1">_xll.BDH($C$203,"ALTMAN_Z_SCORE","FQ1 2015","FQ1 2015","Currency=INR","Period=FQ","BEST_FPERIOD_OVERRIDE=FQ","FILING_STATUS=OR","EQY_CONSOLIDATED=Y","Sort=A","Dates=H","DateFormat=P","Fill=—","Direction=H","UseDPDF=Y")</f>
        <v>#NAME?</v>
      </c>
      <c r="CW209" s="4" t="e">
        <f ca="1">_xll.BDH($C$203,"ACCT_RCV_TURN","FQ1 2015","FQ1 2015","Currency=INR","Period=FQ","BEST_FPERIOD_OVERRIDE=FQ","FILING_STATUS=OR","EQY_CONSOLIDATED=Y","FA_ADJUSTED=GAAP","Sort=A","Dates=H","DateFormat=P","Fill=—","Direction=H","UseDPDF=Y")</f>
        <v>#NAME?</v>
      </c>
      <c r="CX209" s="2" t="e">
        <f ca="1">_xll.BDH($C$203,"ACCT_RCV_DAYS","FQ1 2015","FQ1 2015","Currency=INR","Period=FQ","BEST_FPERIOD_OVERRIDE=FQ","FILING_STATUS=OR","EQY_CONSOLIDATED=Y","FA_ADJUSTED=GAAP","Sort=A","Dates=H","DateFormat=P","Fill=—","Direction=H","UseDPDF=Y")</f>
        <v>#NAME?</v>
      </c>
      <c r="CY209" s="4" t="e">
        <f ca="1">_xll.BDH($C$203,"INVENT_TURN","FQ1 2015","FQ1 2015","Currency=INR","Period=FQ","BEST_FPERIOD_OVERRIDE=FQ","FILING_STATUS=OR","EQY_CONSOLIDATED=Y","FA_ADJUSTED=GAAP","Sort=A","Dates=H","DateFormat=P","Fill=—","Direction=H","UseDPDF=Y")</f>
        <v>#NAME?</v>
      </c>
      <c r="CZ209" s="2" t="e">
        <f ca="1">_xll.BDH($C$203,"INVENT_DAYS","FQ1 2015","FQ1 2015","Currency=INR","Period=FQ","BEST_FPERIOD_OVERRIDE=FQ","FILING_STATUS=OR","EQY_CONSOLIDATED=Y","FA_ADJUSTED=GAAP","Sort=A","Dates=H","DateFormat=P","Fill=—","Direction=H","UseDPDF=Y")</f>
        <v>#NAME?</v>
      </c>
      <c r="DA209" s="4" t="e">
        <f ca="1">_xll.BDH($C$203,"ACCOUNTS_PAYABLE_TURNOVER","FQ1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09" s="2" t="e">
        <f ca="1">_xll.BDH($C$203,"ACCOUNTS_PAYABLE_TURNOVER_DAYS","FQ1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09" s="4" t="e">
        <f ca="1">_xll.BDH($C$203,"CASH_CONVERSION_CYCLE","FQ1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09" s="4" t="e">
        <f ca="1">_xll.BDH($C$203,"INV_TO_CASH_DAYS","FQ1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09" s="5" t="e">
        <f ca="1">_xll.BDH($C$203,"BS_INVENTORIES","FQ1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09" s="3" t="e">
        <f ca="1">_xll.BDH($C$203,"INVTRY_RAW_MATERIALS","FQ1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09" s="3" t="e">
        <f ca="1">_xll.BDH($C$203,"INVTRY_IN_PROGRESS","FQ1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09" s="3" t="e">
        <f ca="1">_xll.BDH($C$203,"INVTRY_FINISHED_GOODS","FQ1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09" s="3" t="e">
        <f ca="1">_xll.BDH($C$203,"BS_OTHER_INV","FQ1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10" spans="1:113" x14ac:dyDescent="0.3">
      <c r="A210" s="6"/>
      <c r="B210" s="6"/>
      <c r="C210" s="6"/>
      <c r="D210" s="6"/>
      <c r="E210" t="s">
        <v>79</v>
      </c>
      <c r="F210" t="e">
        <f ca="1">_xll.BDH($C$203,"RETURN_COM_EQY","FQ2 2015","FQ2 2015","Currency=INR","Period=FQ","BEST_FPERIOD_OVERRIDE=FQ","FILING_STATUS=OR","EQY_CONSOLIDATED=Y","FA_ADJUSTED=GAAP","Sort=A","Dates=H","DateFormat=P","Fill=—","Direction=H","UseDPDF=Y")</f>
        <v>#NAME?</v>
      </c>
      <c r="G210" t="e">
        <f ca="1">_xll.BDH($C$203,"RETURN_ON_ASSET","FQ2 2015","FQ2 2015","Currency=INR","Period=FQ","BEST_FPERIOD_OVERRIDE=FQ","FILING_STATUS=OR","EQY_CONSOLIDATED=Y","FA_ADJUSTED=GAAP","Sort=A","Dates=H","DateFormat=P","Fill=—","Direction=H","UseDPDF=Y")</f>
        <v>#NAME?</v>
      </c>
      <c r="H210" t="e">
        <f ca="1">_xll.BDH($C$203,"RETURN_ON_CAP","FQ2 2015","FQ2 2015","Currency=INR","Period=FQ","BEST_FPERIOD_OVERRIDE=FQ","FILING_STATUS=OR","EQY_CONSOLIDATED=Y","FA_ADJUSTED=GAAP","Sort=A","Dates=H","DateFormat=P","Fill=—","Direction=H","UseDPDF=Y")</f>
        <v>#NAME?</v>
      </c>
      <c r="I210" t="e">
        <f ca="1">_xll.BDH($C$203,"RETURN_ON_INV_CAPITAL","FQ2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10" t="e">
        <f ca="1">_xll.BDH($C$203,"EBITDA_TO_REVENUE","FQ2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10" t="e">
        <f ca="1">_xll.BDH($C$203,"OPER_MARGIN","FQ2 2015","FQ2 2015","Currency=INR","Period=FQ","BEST_FPERIOD_OVERRIDE=FQ","FILING_STATUS=OR","EQY_CONSOLIDATED=Y","FA_ADJUSTED=GAAP","Sort=A","Dates=H","DateFormat=P","Fill=—","Direction=H","UseDPDF=Y")</f>
        <v>#NAME?</v>
      </c>
      <c r="L210" t="e">
        <f ca="1">_xll.BDH($C$203,"INCREMENTAL_OPERATING_MARGIN","FQ2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10" t="e">
        <f ca="1">_xll.BDH($C$203,"PRETAX_INC_TO_NET_SALES","FQ2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10" t="e">
        <f ca="1">_xll.BDH($C$203,"INC_BEF_XO_ITEMS_TO_NET_SALES","FQ2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10" t="e">
        <f ca="1">_xll.BDH($C$203,"PROF_MARGIN","FQ2 2015","FQ2 2015","Currency=INR","Period=FQ","BEST_FPERIOD_OVERRIDE=FQ","FILING_STATUS=OR","EQY_CONSOLIDATED=Y","FA_ADJUSTED=GAAP","Sort=A","Dates=H","DateFormat=P","Fill=—","Direction=H","UseDPDF=Y")</f>
        <v>#NAME?</v>
      </c>
      <c r="P210" t="e">
        <f ca="1">_xll.BDH($C$203,"NET_INCOME_TO_COMMON_MARGIN","FQ2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10" t="e">
        <f ca="1">_xll.BDH($C$203,"EFF_TAX_RATE","FQ2 2015","FQ2 2015","Currency=INR","Period=FQ","BEST_FPERIOD_OVERRIDE=FQ","FILING_STATUS=OR","EQY_CONSOLIDATED=Y","FA_ADJUSTED=GAAP","Sort=A","Dates=H","DateFormat=P","Fill=—","Direction=H","UseDPDF=Y")</f>
        <v>#NAME?</v>
      </c>
      <c r="R210" t="e">
        <f ca="1">_xll.BDH($C$203,"DVD_PAYOUT_RATIO","FQ2 2015","FQ2 2015","Currency=INR","Period=FQ","BEST_FPERIOD_OVERRIDE=FQ","FILING_STATUS=OR","EQY_CONSOLIDATED=Y","FA_ADJUSTED=GAAP","Sort=A","Dates=H","DateFormat=P","Fill=—","Direction=H","UseDPDF=Y")</f>
        <v>#NAME?</v>
      </c>
      <c r="S210" t="e">
        <f ca="1">_xll.BDH($C$203,"SUSTAIN_GROWTH_RT","FQ2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10" s="2" t="e">
        <f ca="1">_xll.BDH($C$203,"SALES_GROWTH","FQ2 2015","FQ2 2015","Currency=INR","Period=FQ","BEST_FPERIOD_OVERRIDE=FQ","FILING_STATUS=OR","EQY_CONSOLIDATED=Y","FA_ADJUSTED=GAAP","Sort=A","Dates=H","DateFormat=P","Fill=—","Direction=H","UseDPDF=Y")</f>
        <v>#NAME?</v>
      </c>
      <c r="U210" s="2" t="e">
        <f ca="1">_xll.BDH($C$203,"EBITDA_GROWTH","FQ2 2015","FQ2 2015","Currency=INR","Period=FQ","BEST_FPERIOD_OVERRIDE=FQ","FILING_STATUS=OR","EQY_CONSOLIDATED=Y","FA_ADJUSTED=GAAP","Sort=A","Dates=H","DateFormat=P","Fill=—","Direction=H","UseDPDF=Y")</f>
        <v>#NAME?</v>
      </c>
      <c r="V210" s="2" t="e">
        <f ca="1">_xll.BDH($C$203,"OPER_INC_GROWTH","FQ2 2015","FQ2 2015","Currency=INR","Period=FQ","BEST_FPERIOD_OVERRIDE=FQ","FILING_STATUS=OR","EQY_CONSOLIDATED=Y","FA_ADJUSTED=GAAP","Sort=A","Dates=H","DateFormat=P","Fill=—","Direction=H","UseDPDF=Y")</f>
        <v>#NAME?</v>
      </c>
      <c r="W210" s="2" t="e">
        <f ca="1">_xll.BDH($C$203,"EARN_FOR_COM_GROWTH","FQ2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10" s="2" t="e">
        <f ca="1">_xll.BDH($C$203,"DILUTED_EPS_AFT_XO_ITEMS_GROWTH","FQ2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10" s="2" t="e">
        <f ca="1">_xll.BDH($C$203,"DIVIDEND_PER_SHARE_1_YEAR_GROWTH","FQ2 2015","FQ2 2015","Currency=INR","Period=FQ","BEST_FPERIOD_OVERRIDE=FQ","FILING_STATUS=OR","EQY_CONSOLIDATED=Y","Sort=A","Dates=H","DateFormat=P","Fill=—","Direction=H","UseDPDF=Y")</f>
        <v>#NAME?</v>
      </c>
      <c r="Z210" s="2" t="e">
        <f ca="1">_xll.BDH($C$203,"ACCOUNTS_RECEIVABLE_GROWTH","FQ2 2015","FQ2 2015","Currency=INR","Period=FQ","BEST_FPERIOD_OVERRIDE=FQ","FILING_STATUS=OR","EQY_CONSOLIDATED=Y","Sort=A","Dates=H","DateFormat=P","Fill=—","Direction=H","UseDPDF=Y")</f>
        <v>#NAME?</v>
      </c>
      <c r="AA210" s="2" t="e">
        <f ca="1">_xll.BDH($C$203,"INVENTORY_GROWTH","FQ2 2015","FQ2 2015","Currency=INR","Period=FQ","BEST_FPERIOD_OVERRIDE=FQ","FILING_STATUS=OR","EQY_CONSOLIDATED=Y","Sort=A","Dates=H","DateFormat=P","Fill=—","Direction=H","UseDPDF=Y")</f>
        <v>#NAME?</v>
      </c>
      <c r="AB210" s="2" t="e">
        <f ca="1">_xll.BDH($C$203,"NET_FIXED_ASSETS_1_YEAR_GROWTH","FQ2 2015","FQ2 2015","Currency=INR","Period=FQ","BEST_FPERIOD_OVERRIDE=FQ","FILING_STATUS=OR","EQY_CONSOLIDATED=Y","Sort=A","Dates=H","DateFormat=P","Fill=—","Direction=H","UseDPDF=Y")</f>
        <v>#NAME?</v>
      </c>
      <c r="AC210" s="2" t="e">
        <f ca="1">_xll.BDH($C$203,"ASSET_GROWTH","FQ2 2015","FQ2 2015","Currency=INR","Period=FQ","BEST_FPERIOD_OVERRIDE=FQ","FILING_STATUS=OR","EQY_CONSOLIDATED=Y","Sort=A","Dates=H","DateFormat=P","Fill=—","Direction=H","UseDPDF=Y")</f>
        <v>#NAME?</v>
      </c>
      <c r="AD210" s="2" t="e">
        <f ca="1">_xll.BDH($C$203,"MODIFIED_WORK_CAP_GROWTH","FQ2 2015","FQ2 2015","Currency=INR","Period=FQ","BEST_FPERIOD_OVERRIDE=FQ","FILING_STATUS=OR","EQY_CONSOLIDATED=Y","Sort=A","Dates=H","DateFormat=P","Fill=—","Direction=H","UseDPDF=Y")</f>
        <v>#NAME?</v>
      </c>
      <c r="AE210" s="2" t="e">
        <f ca="1">_xll.BDH($C$203,"WORK_CAP_GROWTH","FQ2 2015","FQ2 2015","Currency=INR","Period=FQ","BEST_FPERIOD_OVERRIDE=FQ","FILING_STATUS=OR","EQY_CONSOLIDATED=Y","Sort=A","Dates=H","DateFormat=P","Fill=—","Direction=H","UseDPDF=Y")</f>
        <v>#NAME?</v>
      </c>
      <c r="AF210" s="2" t="e">
        <f ca="1">_xll.BDH($C$203,"ACCOUNTS_PAYABLE_GROWTH_1YR","FQ2 2015","FQ2 2015","Currency=INR","Period=FQ","BEST_FPERIOD_OVERRIDE=FQ","FILING_STATUS=OR","EQY_CONSOLIDATED=Y","Sort=A","Dates=H","DateFormat=P","Fill=—","Direction=H","UseDPDF=Y")</f>
        <v>#NAME?</v>
      </c>
      <c r="AG210" s="2" t="e">
        <f ca="1">_xll.BDH($C$203,"SHORT_TERM_DEBT_1_YEAR_GROWTH","FQ2 2015","FQ2 2015","Currency=INR","Period=FQ","BEST_FPERIOD_OVERRIDE=FQ","FILING_STATUS=OR","EQY_CONSOLIDATED=Y","Sort=A","Dates=H","DateFormat=P","Fill=—","Direction=H","UseDPDF=Y")</f>
        <v>#NAME?</v>
      </c>
      <c r="AH210" s="2" t="e">
        <f ca="1">_xll.BDH($C$203,"TOTAL_DEBT_1_YEAR_GROWTH","FQ2 2015","FQ2 2015","Currency=INR","Period=FQ","BEST_FPERIOD_OVERRIDE=FQ","FILING_STATUS=OR","EQY_CONSOLIDATED=Y","Sort=A","Dates=H","DateFormat=P","Fill=—","Direction=H","UseDPDF=Y")</f>
        <v>#NAME?</v>
      </c>
      <c r="AI210" s="2" t="e">
        <f ca="1">_xll.BDH($C$203,"TOTAL_EQUITY_1_YEAR_GROWTH","FQ2 2015","FQ2 2015","Currency=INR","Period=FQ","BEST_FPERIOD_OVERRIDE=FQ","FILING_STATUS=OR","EQY_CONSOLIDATED=Y","Sort=A","Dates=H","DateFormat=P","Fill=—","Direction=H","UseDPDF=Y")</f>
        <v>#NAME?</v>
      </c>
      <c r="AJ210" s="2" t="e">
        <f ca="1">_xll.BDH($C$203,"GROWTH_IN_CAP","FQ2 2015","FQ2 2015","Currency=INR","Period=FQ","BEST_FPERIOD_OVERRIDE=FQ","FILING_STATUS=OR","EQY_CONSOLIDATED=Y","Sort=A","Dates=H","DateFormat=P","Fill=—","Direction=H","UseDPDF=Y")</f>
        <v>#NAME?</v>
      </c>
      <c r="AK210" s="2" t="e">
        <f ca="1">_xll.BDH($C$203,"BVPS_GROWTH","FQ2 2015","FQ2 2015","Currency=INR","Period=FQ","BEST_FPERIOD_OVERRIDE=FQ","FILING_STATUS=OR","EQY_CONSOLIDATED=Y","Sort=A","Dates=H","DateFormat=P","Fill=—","Direction=H","UseDPDF=Y")</f>
        <v>#NAME?</v>
      </c>
      <c r="AL210" s="2" t="e">
        <f ca="1">_xll.BDH($C$203,"CASH_FLOW_GROWTH","FQ2 2015","FQ2 2015","Currency=INR","Period=FQ","BEST_FPERIOD_OVERRIDE=FQ","FILING_STATUS=OR","EQY_CONSOLIDATED=Y","Sort=A","Dates=H","DateFormat=P","Fill=—","Direction=H","UseDPDF=Y")</f>
        <v>#NAME?</v>
      </c>
      <c r="AM210" s="2" t="e">
        <f ca="1">_xll.BDH($C$203,"GEO_GROW_NET_SALES","FQ2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10" s="2" t="e">
        <f ca="1">_xll.BDH($C$203,"GEO_GROW_EBITDA","FQ2 2015","FQ2 2015","Currency=INR","Period=FQ","BEST_FPERIOD_OVERRIDE=FQ","FILING_STATUS=OR","EQY_CONSOLIDATED=Y","FA_ADJUSTED=GAAP","Sort=A","Dates=H","DateFormat=P","Fill=—","Direction=H","UseDPDF=Y")</f>
        <v>#NAME?</v>
      </c>
      <c r="AO210" s="2" t="e">
        <f ca="1">_xll.BDH($C$203,"GEO_GROW_OPER_INC","FQ2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10" s="2" t="e">
        <f ca="1">_xll.BDH($C$203,"NET_INCOME_TO_COMMON_5_YR_GROWTH","FQ2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10" s="2" t="e">
        <f ca="1">_xll.BDH($C$203,"5Y_GEO_GROWTH_DILUTED_EPS","FQ2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10" s="2" t="e">
        <f ca="1">_xll.BDH($C$203,"GEO_GROW_DVD_PER_SH","FQ2 2015","FQ2 2015","Currency=INR","Period=FQ","BEST_FPERIOD_OVERRIDE=FQ","FILING_STATUS=OR","EQY_CONSOLIDATED=Y","Sort=A","Dates=H","DateFormat=P","Fill=—","Direction=H","UseDPDF=Y")</f>
        <v>#NAME?</v>
      </c>
      <c r="AS210" s="2" t="e">
        <f ca="1">_xll.BDH($C$203,"ACCOUNTS_RECEIVABLE_5_YR_GROWTH","FQ2 2015","FQ2 2015","Currency=INR","Period=FQ","BEST_FPERIOD_OVERRIDE=FQ","FILING_STATUS=OR","EQY_CONSOLIDATED=Y","Sort=A","Dates=H","DateFormat=P","Fill=—","Direction=H","UseDPDF=Y")</f>
        <v>#NAME?</v>
      </c>
      <c r="AT210" s="2" t="e">
        <f ca="1">_xll.BDH($C$203,"INVENTORY_5_YEAR_GROWTH","FQ2 2015","FQ2 2015","Currency=INR","Period=FQ","BEST_FPERIOD_OVERRIDE=FQ","FILING_STATUS=OR","EQY_CONSOLIDATED=Y","Sort=A","Dates=H","DateFormat=P","Fill=—","Direction=H","UseDPDF=Y")</f>
        <v>#NAME?</v>
      </c>
      <c r="AU210" s="2" t="e">
        <f ca="1">_xll.BDH($C$203,"NET_FIXED_ASSETS_5_YEAR_GROWTH","FQ2 2015","FQ2 2015","Currency=INR","Period=FQ","BEST_FPERIOD_OVERRIDE=FQ","FILING_STATUS=OR","EQY_CONSOLIDATED=Y","Sort=A","Dates=H","DateFormat=P","Fill=—","Direction=H","UseDPDF=Y")</f>
        <v>#NAME?</v>
      </c>
      <c r="AV210" s="2" t="e">
        <f ca="1">_xll.BDH($C$203,"GEO_GROW_TOT_ASSET","FQ2 2015","FQ2 2015","Currency=INR","Period=FQ","BEST_FPERIOD_OVERRIDE=FQ","FILING_STATUS=OR","EQY_CONSOLIDATED=Y","Sort=A","Dates=H","DateFormat=P","Fill=—","Direction=H","UseDPDF=Y")</f>
        <v>#NAME?</v>
      </c>
      <c r="AW210" s="2" t="e">
        <f ca="1">_xll.BDH($C$203,"MODIFIED_WORKING_CPTL_5YR_GRWTH","FQ2 2015","FQ2 2015","Currency=INR","Period=FQ","BEST_FPERIOD_OVERRIDE=FQ","FILING_STATUS=OR","EQY_CONSOLIDATED=Y","Sort=A","Dates=H","DateFormat=P","Fill=—","Direction=H","UseDPDF=Y")</f>
        <v>#NAME?</v>
      </c>
      <c r="AX210" s="2" t="e">
        <f ca="1">_xll.BDH($C$203,"WORKING_CAPITAL_5_YEAR_GROWTH","FQ2 2015","FQ2 2015","Currency=INR","Period=FQ","BEST_FPERIOD_OVERRIDE=FQ","FILING_STATUS=OR","EQY_CONSOLIDATED=Y","Sort=A","Dates=H","DateFormat=P","Fill=—","Direction=H","UseDPDF=Y")</f>
        <v>#NAME?</v>
      </c>
      <c r="AY210" s="2" t="e">
        <f ca="1">_xll.BDH($C$203,"ACCOUNTS_PAYABLE_5_YEAR_GROWTH","FQ2 2015","FQ2 2015","Currency=INR","Period=FQ","BEST_FPERIOD_OVERRIDE=FQ","FILING_STATUS=OR","EQY_CONSOLIDATED=Y","Sort=A","Dates=H","DateFormat=P","Fill=—","Direction=H","UseDPDF=Y")</f>
        <v>#NAME?</v>
      </c>
      <c r="AZ210" s="2" t="e">
        <f ca="1">_xll.BDH($C$203,"SHORT_TERM_DEBT_5_YEAR_GROWTH","FQ2 2015","FQ2 2015","Currency=INR","Period=FQ","BEST_FPERIOD_OVERRIDE=FQ","FILING_STATUS=OR","EQY_CONSOLIDATED=Y","Sort=A","Dates=H","DateFormat=P","Fill=—","Direction=H","UseDPDF=Y")</f>
        <v>#NAME?</v>
      </c>
      <c r="BA210" s="2" t="e">
        <f ca="1">_xll.BDH($C$203,"TOTAL_DEBT_5_YEAR_GROWTH","FQ2 2015","FQ2 2015","Currency=INR","Period=FQ","BEST_FPERIOD_OVERRIDE=FQ","FILING_STATUS=OR","EQY_CONSOLIDATED=Y","Sort=A","Dates=H","DateFormat=P","Fill=—","Direction=H","UseDPDF=Y")</f>
        <v>#NAME?</v>
      </c>
      <c r="BB210" s="2" t="e">
        <f ca="1">_xll.BDH($C$203,"GEO_GROW_TOT_SHRHLDR_EQY","FQ2 2015","FQ2 2015","Currency=INR","Period=FQ","BEST_FPERIOD_OVERRIDE=FQ","FILING_STATUS=OR","EQY_CONSOLIDATED=Y","Sort=A","Dates=H","DateFormat=P","Fill=—","Direction=H","UseDPDF=Y")</f>
        <v>#NAME?</v>
      </c>
      <c r="BC210" s="2" t="e">
        <f ca="1">_xll.BDH($C$203,"TOTAL_CAPITAL_5_YEAR_GROWTH","FQ2 2015","FQ2 2015","Currency=INR","Period=FQ","BEST_FPERIOD_OVERRIDE=FQ","FILING_STATUS=OR","EQY_CONSOLIDATED=Y","Sort=A","Dates=H","DateFormat=P","Fill=—","Direction=H","UseDPDF=Y")</f>
        <v>#NAME?</v>
      </c>
      <c r="BD210" s="2" t="e">
        <f ca="1">_xll.BDH($C$203,"GEO_GROW_BOOK_VAL","FQ2 2015","FQ2 2015","Currency=INR","Period=FQ","BEST_FPERIOD_OVERRIDE=FQ","FILING_STATUS=OR","EQY_CONSOLIDATED=Y","Sort=A","Dates=H","DateFormat=P","Fill=—","Direction=H","UseDPDF=Y")</f>
        <v>#NAME?</v>
      </c>
      <c r="BE210" s="2" t="e">
        <f ca="1">_xll.BDH($C$203,"GEO_GROW_CASH_OPER_ACT","FQ2 2015","FQ2 2015","Currency=INR","Period=FQ","BEST_FPERIOD_OVERRIDE=FQ","FILING_STATUS=OR","EQY_CONSOLIDATED=Y","Sort=A","Dates=H","DateFormat=P","Fill=—","Direction=H","UseDPDF=Y")</f>
        <v>#NAME?</v>
      </c>
      <c r="BF210" s="2" t="e">
        <f ca="1">_xll.BDH($C$203,"REVENUE_SEQUENTIAL_GROWTH","FQ2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10" s="2" t="e">
        <f ca="1">_xll.BDH($C$203,"EBITDA_SEQUENTIAL_GROWTH","FQ2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10" s="2" t="e">
        <f ca="1">_xll.BDH($C$203,"OPERATING_INCOME_SEQ_GROWTH","FQ2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10" s="2" t="e">
        <f ca="1">_xll.BDH($C$203,"NET_INCOME_TO_COMMON_SEQ_GROWTH","FQ2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10" s="2" t="e">
        <f ca="1">_xll.BDH($C$203,"EPS_DILUTED_SEQUENTIAL_GROWTH","FQ2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10" s="2" t="e">
        <f ca="1">_xll.BDH($C$203,"DPS_SEQUENTIAL_GROWTH","FQ2 2015","FQ2 2015","Currency=INR","Period=FQ","BEST_FPERIOD_OVERRIDE=FQ","FILING_STATUS=OR","EQY_CONSOLIDATED=Y","Sort=A","Dates=H","DateFormat=P","Fill=—","Direction=H","UseDPDF=Y")</f>
        <v>#NAME?</v>
      </c>
      <c r="BL210" s="2" t="e">
        <f ca="1">_xll.BDH($C$203,"ACCOUNTS_RECEIVABLE_SEQ_GROWTH","FQ2 2015","FQ2 2015","Currency=INR","Period=FQ","BEST_FPERIOD_OVERRIDE=FQ","FILING_STATUS=OR","EQY_CONSOLIDATED=Y","Sort=A","Dates=H","DateFormat=P","Fill=—","Direction=H","UseDPDF=Y")</f>
        <v>#NAME?</v>
      </c>
      <c r="BM210" s="2" t="e">
        <f ca="1">_xll.BDH($C$203,"INVENTORY_SEQUENTIAL_GROWTH","FQ2 2015","FQ2 2015","Currency=INR","Period=FQ","BEST_FPERIOD_OVERRIDE=FQ","FILING_STATUS=OR","EQY_CONSOLIDATED=Y","Sort=A","Dates=H","DateFormat=P","Fill=—","Direction=H","UseDPDF=Y")</f>
        <v>#NAME?</v>
      </c>
      <c r="BN210" s="2" t="e">
        <f ca="1">_xll.BDH($C$203,"FIXED_ASSETS_SEQUENTIAL_GROWTH","FQ2 2015","FQ2 2015","Currency=INR","Period=FQ","BEST_FPERIOD_OVERRIDE=FQ","FILING_STATUS=OR","EQY_CONSOLIDATED=Y","Sort=A","Dates=H","DateFormat=P","Fill=—","Direction=H","UseDPDF=Y")</f>
        <v>#NAME?</v>
      </c>
      <c r="BO210" s="2" t="e">
        <f ca="1">_xll.BDH($C$203,"TOTAL_ASSETS_SEQUENTIAL_GROWTH","FQ2 2015","FQ2 2015","Currency=INR","Period=FQ","BEST_FPERIOD_OVERRIDE=FQ","FILING_STATUS=OR","EQY_CONSOLIDATED=Y","Sort=A","Dates=H","DateFormat=P","Fill=—","Direction=H","UseDPDF=Y")</f>
        <v>#NAME?</v>
      </c>
      <c r="BP210" s="2" t="e">
        <f ca="1">_xll.BDH($C$203,"MODIFIED_WORKING_CPTL_SEQ_GRWTH","FQ2 2015","FQ2 2015","Currency=INR","Period=FQ","BEST_FPERIOD_OVERRIDE=FQ","FILING_STATUS=OR","EQY_CONSOLIDATED=Y","Sort=A","Dates=H","DateFormat=P","Fill=—","Direction=H","UseDPDF=Y")</f>
        <v>#NAME?</v>
      </c>
      <c r="BQ210" s="2" t="e">
        <f ca="1">_xll.BDH($C$203,"WORKING_CAPITAL_SEQ_GROWTH","FQ2 2015","FQ2 2015","Currency=INR","Period=FQ","BEST_FPERIOD_OVERRIDE=FQ","FILING_STATUS=OR","EQY_CONSOLIDATED=Y","Sort=A","Dates=H","DateFormat=P","Fill=—","Direction=H","UseDPDF=Y")</f>
        <v>#NAME?</v>
      </c>
      <c r="BR210" s="2" t="e">
        <f ca="1">_xll.BDH($C$203,"ACCOUNTS_PAYABLE_SEQ_GROWTH","FQ2 2015","FQ2 2015","Currency=INR","Period=FQ","BEST_FPERIOD_OVERRIDE=FQ","FILING_STATUS=OR","EQY_CONSOLIDATED=Y","Sort=A","Dates=H","DateFormat=P","Fill=—","Direction=H","UseDPDF=Y")</f>
        <v>#NAME?</v>
      </c>
      <c r="BS210" s="2" t="e">
        <f ca="1">_xll.BDH($C$203,"ST_DEBT_SEQUENTIAL_GROWTH","FQ2 2015","FQ2 2015","Currency=INR","Period=FQ","BEST_FPERIOD_OVERRIDE=FQ","FILING_STATUS=OR","EQY_CONSOLIDATED=Y","Sort=A","Dates=H","DateFormat=P","Fill=—","Direction=H","UseDPDF=Y")</f>
        <v>#NAME?</v>
      </c>
      <c r="BT210" s="2" t="e">
        <f ca="1">_xll.BDH($C$203,"TOTAL_DEBT_SEQUENTIAL_GROWTH","FQ2 2015","FQ2 2015","Currency=INR","Period=FQ","BEST_FPERIOD_OVERRIDE=FQ","FILING_STATUS=OR","EQY_CONSOLIDATED=Y","Sort=A","Dates=H","DateFormat=P","Fill=—","Direction=H","UseDPDF=Y")</f>
        <v>#NAME?</v>
      </c>
      <c r="BU210" s="2" t="e">
        <f ca="1">_xll.BDH($C$203,"TOTAL_EQUITY_SEQUENTIAL_GROWTH","FQ2 2015","FQ2 2015","Currency=INR","Period=FQ","BEST_FPERIOD_OVERRIDE=FQ","FILING_STATUS=OR","EQY_CONSOLIDATED=Y","Sort=A","Dates=H","DateFormat=P","Fill=—","Direction=H","UseDPDF=Y")</f>
        <v>#NAME?</v>
      </c>
      <c r="BV210" s="2" t="e">
        <f ca="1">_xll.BDH($C$203,"TOTAL_CAPITAL_SEQUENTIAL_GROWTH","FQ2 2015","FQ2 2015","Currency=INR","Period=FQ","BEST_FPERIOD_OVERRIDE=FQ","FILING_STATUS=OR","EQY_CONSOLIDATED=Y","Sort=A","Dates=H","DateFormat=P","Fill=—","Direction=H","UseDPDF=Y")</f>
        <v>#NAME?</v>
      </c>
      <c r="BW210" s="2" t="e">
        <f ca="1">_xll.BDH($C$203,"BPS_SEQUENTIAL_GROWTH","FQ2 2015","FQ2 2015","Currency=INR","Period=FQ","BEST_FPERIOD_OVERRIDE=FQ","FILING_STATUS=OR","EQY_CONSOLIDATED=Y","Sort=A","Dates=H","DateFormat=P","Fill=—","Direction=H","UseDPDF=Y")</f>
        <v>#NAME?</v>
      </c>
      <c r="BX210" s="2" t="e">
        <f ca="1">_xll.BDH($C$203,"CFO_SEQUENTIAL_GROWTH","FQ2 2015","FQ2 2015","Currency=INR","Period=FQ","BEST_FPERIOD_OVERRIDE=FQ","FILING_STATUS=OR","EQY_CONSOLIDATED=Y","Sort=A","Dates=H","DateFormat=P","Fill=—","Direction=H","UseDPDF=Y")</f>
        <v>#NAME?</v>
      </c>
      <c r="BY210" s="3" t="e">
        <f ca="1">_xll.BDH($C$203,"SHORT_AND_LONG_TERM_DEBT","FQ2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10" s="3" t="e">
        <f ca="1">_xll.BDH($C$203,"BS_ST_BORROW","FQ2 2015","FQ2 2015","Currency=INR","Period=FQ","BEST_FPERIOD_OVERRIDE=FQ","FILING_STATUS=OR","EQY_CONSOLIDATED=Y","SCALING_FORMAT=MLN","Sort=A","Dates=H","DateFormat=P","Fill=—","Direction=H","UseDPDF=Y")</f>
        <v>#NAME?</v>
      </c>
      <c r="CA210" s="3" t="e">
        <f ca="1">_xll.BDH($C$203,"BS_LT_BORROW","FQ2 2015","FQ2 2015","Currency=INR","Period=FQ","BEST_FPERIOD_OVERRIDE=FQ","FILING_STATUS=OR","EQY_CONSOLIDATED=Y","SCALING_FORMAT=MLN","Sort=A","Dates=H","DateFormat=P","Fill=—","Direction=H","UseDPDF=Y")</f>
        <v>#NAME?</v>
      </c>
      <c r="CB210" s="2" t="e">
        <f ca="1">_xll.BDH($C$203,"TOT_DEBT_TO_EBITDA","FQ2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10" s="2" t="e">
        <f ca="1">_xll.BDH($C$203,"NET_DEBT_TO_EBITDA","FQ2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10" s="2" t="e">
        <f ca="1">_xll.BDH($C$203,"TOTAL_DEBT_TO_EBIT","FQ2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10" s="2" t="e">
        <f ca="1">_xll.BDH($C$203,"NET_DEBT_TO_EBIT","FQ2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10" s="2" t="e">
        <f ca="1">_xll.BDH($C$203,"EBITDA_TO_INTEREST_EXPN","FQ2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10" s="2" t="e">
        <f ca="1">_xll.BDH($C$203,"COM_EQY_TO_TOT_ASSET","FQ2 2015","FQ2 2015","Currency=INR","Period=FQ","BEST_FPERIOD_OVERRIDE=FQ","FILING_STATUS=OR","EQY_CONSOLIDATED=Y","Sort=A","Dates=H","DateFormat=P","Fill=—","Direction=H","UseDPDF=Y")</f>
        <v>#NAME?</v>
      </c>
      <c r="CH210" s="2" t="e">
        <f ca="1">_xll.BDH($C$203,"LT_DEBT_TO_TOT_EQY","FQ2 2015","FQ2 2015","Currency=INR","Period=FQ","BEST_FPERIOD_OVERRIDE=FQ","FILING_STATUS=OR","EQY_CONSOLIDATED=Y","Sort=A","Dates=H","DateFormat=P","Fill=—","Direction=H","UseDPDF=Y")</f>
        <v>#NAME?</v>
      </c>
      <c r="CI210" s="2" t="e">
        <f ca="1">_xll.BDH($C$203,"LT_DEBT_TO_TOT_CAP","FQ2 2015","FQ2 2015","Currency=INR","Period=FQ","BEST_FPERIOD_OVERRIDE=FQ","FILING_STATUS=OR","EQY_CONSOLIDATED=Y","Sort=A","Dates=H","DateFormat=P","Fill=—","Direction=H","UseDPDF=Y")</f>
        <v>#NAME?</v>
      </c>
      <c r="CJ210" s="2" t="e">
        <f ca="1">_xll.BDH($C$203,"LT_DEBT_TO_TOT_ASSET","FQ2 2015","FQ2 2015","Currency=INR","Period=FQ","BEST_FPERIOD_OVERRIDE=FQ","FILING_STATUS=OR","EQY_CONSOLIDATED=Y","Sort=A","Dates=H","DateFormat=P","Fill=—","Direction=H","UseDPDF=Y")</f>
        <v>#NAME?</v>
      </c>
      <c r="CK210" s="2" t="e">
        <f ca="1">_xll.BDH($C$203,"TOT_DEBT_TO_TOT_EQY","FQ2 2015","FQ2 2015","Currency=INR","Period=FQ","BEST_FPERIOD_OVERRIDE=FQ","FILING_STATUS=OR","EQY_CONSOLIDATED=Y","Sort=A","Dates=H","DateFormat=P","Fill=—","Direction=H","UseDPDF=Y")</f>
        <v>#NAME?</v>
      </c>
      <c r="CL210" s="2" t="e">
        <f ca="1">_xll.BDH($C$203,"TOT_DEBT_TO_TOT_CAP","FQ2 2015","FQ2 2015","Currency=INR","Period=FQ","BEST_FPERIOD_OVERRIDE=FQ","FILING_STATUS=OR","EQY_CONSOLIDATED=Y","Sort=A","Dates=H","DateFormat=P","Fill=—","Direction=H","UseDPDF=Y")</f>
        <v>#NAME?</v>
      </c>
      <c r="CM210" s="2" t="e">
        <f ca="1">_xll.BDH($C$203,"TOT_DEBT_TO_TOT_ASSET","FQ2 2015","FQ2 2015","Currency=INR","Period=FQ","BEST_FPERIOD_OVERRIDE=FQ","FILING_STATUS=OR","EQY_CONSOLIDATED=Y","Sort=A","Dates=H","DateFormat=P","Fill=—","Direction=H","UseDPDF=Y")</f>
        <v>#NAME?</v>
      </c>
      <c r="CN210" s="2" t="e">
        <f ca="1">_xll.BDH($C$203,"NET_DEBT_TO_SHRHLDR_EQTY","FQ2 2015","FQ2 2015","Currency=INR","Period=FQ","BEST_FPERIOD_OVERRIDE=FQ","FILING_STATUS=OR","EQY_CONSOLIDATED=Y","Sort=A","Dates=H","DateFormat=P","Fill=—","Direction=H","UseDPDF=Y")</f>
        <v>#NAME?</v>
      </c>
      <c r="CO210" s="2" t="e">
        <f ca="1">_xll.BDH($C$203,"NET_DEBT_%_CAPITAL","FQ2 2015","FQ2 2015","Currency=INR","Period=FQ","BEST_FPERIOD_OVERRIDE=FQ","FILING_STATUS=OR","EQY_CONSOLIDATED=Y","Sort=A","Dates=H","DateFormat=P","Fill=—","Direction=H","UseDPDF=Y")</f>
        <v>#NAME?</v>
      </c>
      <c r="CP210" s="3" t="e">
        <f ca="1">_xll.BDH($C$203,"EBITDA","FQ2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10" s="3" t="e">
        <f ca="1">_xll.BDH($C$203,"EBITDA_AFTER_CAPEX","FQ2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10" s="3" t="e">
        <f ca="1">_xll.BDH($C$203,"IS_OPER_INC","FQ2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10" s="2" t="e">
        <f ca="1">_xll.BDH($C$203,"CASH_RATIO","FQ2 2015","FQ2 2015","Currency=INR","Period=FQ","BEST_FPERIOD_OVERRIDE=FQ","FILING_STATUS=OR","EQY_CONSOLIDATED=Y","Sort=A","Dates=H","DateFormat=P","Fill=—","Direction=H","UseDPDF=Y")</f>
        <v>#NAME?</v>
      </c>
      <c r="CT210" s="2" t="e">
        <f ca="1">_xll.BDH($C$203,"CUR_RATIO","FQ2 2015","FQ2 2015","Currency=INR","Period=FQ","BEST_FPERIOD_OVERRIDE=FQ","FILING_STATUS=OR","EQY_CONSOLIDATED=Y","Sort=A","Dates=H","DateFormat=P","Fill=—","Direction=H","UseDPDF=Y")</f>
        <v>#NAME?</v>
      </c>
      <c r="CU210" s="2" t="e">
        <f ca="1">_xll.BDH($C$203,"QUICK_RATIO","FQ2 2015","FQ2 2015","Currency=INR","Period=FQ","BEST_FPERIOD_OVERRIDE=FQ","FILING_STATUS=OR","EQY_CONSOLIDATED=Y","Sort=A","Dates=H","DateFormat=P","Fill=—","Direction=H","UseDPDF=Y")</f>
        <v>#NAME?</v>
      </c>
      <c r="CV210" s="2" t="e">
        <f ca="1">_xll.BDH($C$203,"ALTMAN_Z_SCORE","FQ2 2015","FQ2 2015","Currency=INR","Period=FQ","BEST_FPERIOD_OVERRIDE=FQ","FILING_STATUS=OR","EQY_CONSOLIDATED=Y","Sort=A","Dates=H","DateFormat=P","Fill=—","Direction=H","UseDPDF=Y")</f>
        <v>#NAME?</v>
      </c>
      <c r="CW210" s="4" t="e">
        <f ca="1">_xll.BDH($C$203,"ACCT_RCV_TURN","FQ2 2015","FQ2 2015","Currency=INR","Period=FQ","BEST_FPERIOD_OVERRIDE=FQ","FILING_STATUS=OR","EQY_CONSOLIDATED=Y","FA_ADJUSTED=GAAP","Sort=A","Dates=H","DateFormat=P","Fill=—","Direction=H","UseDPDF=Y")</f>
        <v>#NAME?</v>
      </c>
      <c r="CX210" s="2" t="e">
        <f ca="1">_xll.BDH($C$203,"ACCT_RCV_DAYS","FQ2 2015","FQ2 2015","Currency=INR","Period=FQ","BEST_FPERIOD_OVERRIDE=FQ","FILING_STATUS=OR","EQY_CONSOLIDATED=Y","FA_ADJUSTED=GAAP","Sort=A","Dates=H","DateFormat=P","Fill=—","Direction=H","UseDPDF=Y")</f>
        <v>#NAME?</v>
      </c>
      <c r="CY210" s="4" t="e">
        <f ca="1">_xll.BDH($C$203,"INVENT_TURN","FQ2 2015","FQ2 2015","Currency=INR","Period=FQ","BEST_FPERIOD_OVERRIDE=FQ","FILING_STATUS=OR","EQY_CONSOLIDATED=Y","FA_ADJUSTED=GAAP","Sort=A","Dates=H","DateFormat=P","Fill=—","Direction=H","UseDPDF=Y")</f>
        <v>#NAME?</v>
      </c>
      <c r="CZ210" s="2" t="e">
        <f ca="1">_xll.BDH($C$203,"INVENT_DAYS","FQ2 2015","FQ2 2015","Currency=INR","Period=FQ","BEST_FPERIOD_OVERRIDE=FQ","FILING_STATUS=OR","EQY_CONSOLIDATED=Y","FA_ADJUSTED=GAAP","Sort=A","Dates=H","DateFormat=P","Fill=—","Direction=H","UseDPDF=Y")</f>
        <v>#NAME?</v>
      </c>
      <c r="DA210" s="4" t="e">
        <f ca="1">_xll.BDH($C$203,"ACCOUNTS_PAYABLE_TURNOVER","FQ2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10" s="2" t="e">
        <f ca="1">_xll.BDH($C$203,"ACCOUNTS_PAYABLE_TURNOVER_DAYS","FQ2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10" s="4" t="e">
        <f ca="1">_xll.BDH($C$203,"CASH_CONVERSION_CYCLE","FQ2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10" s="4" t="e">
        <f ca="1">_xll.BDH($C$203,"INV_TO_CASH_DAYS","FQ2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10" s="5" t="e">
        <f ca="1">_xll.BDH($C$203,"BS_INVENTORIES","FQ2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10" s="3" t="e">
        <f ca="1">_xll.BDH($C$203,"INVTRY_RAW_MATERIALS","FQ2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10" s="3" t="e">
        <f ca="1">_xll.BDH($C$203,"INVTRY_IN_PROGRESS","FQ2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10" s="3" t="e">
        <f ca="1">_xll.BDH($C$203,"INVTRY_FINISHED_GOODS","FQ2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10" s="3" t="e">
        <f ca="1">_xll.BDH($C$203,"BS_OTHER_INV","FQ2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11" spans="1:113" x14ac:dyDescent="0.3">
      <c r="A211" s="6"/>
      <c r="B211" s="6"/>
      <c r="C211" s="6"/>
      <c r="D211" s="6"/>
      <c r="E211" t="s">
        <v>80</v>
      </c>
      <c r="F211" t="e">
        <f ca="1">_xll.BDH($C$203,"RETURN_COM_EQY","FQ3 2015","FQ3 2015","Currency=INR","Period=FQ","BEST_FPERIOD_OVERRIDE=FQ","FILING_STATUS=OR","EQY_CONSOLIDATED=Y","FA_ADJUSTED=GAAP","Sort=A","Dates=H","DateFormat=P","Fill=—","Direction=H","UseDPDF=Y")</f>
        <v>#NAME?</v>
      </c>
      <c r="G211" t="e">
        <f ca="1">_xll.BDH($C$203,"RETURN_ON_ASSET","FQ3 2015","FQ3 2015","Currency=INR","Period=FQ","BEST_FPERIOD_OVERRIDE=FQ","FILING_STATUS=OR","EQY_CONSOLIDATED=Y","FA_ADJUSTED=GAAP","Sort=A","Dates=H","DateFormat=P","Fill=—","Direction=H","UseDPDF=Y")</f>
        <v>#NAME?</v>
      </c>
      <c r="H211" t="e">
        <f ca="1">_xll.BDH($C$203,"RETURN_ON_CAP","FQ3 2015","FQ3 2015","Currency=INR","Period=FQ","BEST_FPERIOD_OVERRIDE=FQ","FILING_STATUS=OR","EQY_CONSOLIDATED=Y","FA_ADJUSTED=GAAP","Sort=A","Dates=H","DateFormat=P","Fill=—","Direction=H","UseDPDF=Y")</f>
        <v>#NAME?</v>
      </c>
      <c r="I211" t="e">
        <f ca="1">_xll.BDH($C$203,"RETURN_ON_INV_CAPITAL","FQ3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11" t="e">
        <f ca="1">_xll.BDH($C$203,"EBITDA_TO_REVENUE","FQ3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11" t="e">
        <f ca="1">_xll.BDH($C$203,"OPER_MARGIN","FQ3 2015","FQ3 2015","Currency=INR","Period=FQ","BEST_FPERIOD_OVERRIDE=FQ","FILING_STATUS=OR","EQY_CONSOLIDATED=Y","FA_ADJUSTED=GAAP","Sort=A","Dates=H","DateFormat=P","Fill=—","Direction=H","UseDPDF=Y")</f>
        <v>#NAME?</v>
      </c>
      <c r="L211" t="e">
        <f ca="1">_xll.BDH($C$203,"INCREMENTAL_OPERATING_MARGIN","FQ3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11" t="e">
        <f ca="1">_xll.BDH($C$203,"PRETAX_INC_TO_NET_SALES","FQ3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11" t="e">
        <f ca="1">_xll.BDH($C$203,"INC_BEF_XO_ITEMS_TO_NET_SALES","FQ3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11" t="e">
        <f ca="1">_xll.BDH($C$203,"PROF_MARGIN","FQ3 2015","FQ3 2015","Currency=INR","Period=FQ","BEST_FPERIOD_OVERRIDE=FQ","FILING_STATUS=OR","EQY_CONSOLIDATED=Y","FA_ADJUSTED=GAAP","Sort=A","Dates=H","DateFormat=P","Fill=—","Direction=H","UseDPDF=Y")</f>
        <v>#NAME?</v>
      </c>
      <c r="P211" t="e">
        <f ca="1">_xll.BDH($C$203,"NET_INCOME_TO_COMMON_MARGIN","FQ3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11" t="e">
        <f ca="1">_xll.BDH($C$203,"EFF_TAX_RATE","FQ3 2015","FQ3 2015","Currency=INR","Period=FQ","BEST_FPERIOD_OVERRIDE=FQ","FILING_STATUS=OR","EQY_CONSOLIDATED=Y","FA_ADJUSTED=GAAP","Sort=A","Dates=H","DateFormat=P","Fill=—","Direction=H","UseDPDF=Y")</f>
        <v>#NAME?</v>
      </c>
      <c r="R211" t="e">
        <f ca="1">_xll.BDH($C$203,"DVD_PAYOUT_RATIO","FQ3 2015","FQ3 2015","Currency=INR","Period=FQ","BEST_FPERIOD_OVERRIDE=FQ","FILING_STATUS=OR","EQY_CONSOLIDATED=Y","FA_ADJUSTED=GAAP","Sort=A","Dates=H","DateFormat=P","Fill=—","Direction=H","UseDPDF=Y")</f>
        <v>#NAME?</v>
      </c>
      <c r="S211" t="e">
        <f ca="1">_xll.BDH($C$203,"SUSTAIN_GROWTH_RT","FQ3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11" s="2" t="e">
        <f ca="1">_xll.BDH($C$203,"SALES_GROWTH","FQ3 2015","FQ3 2015","Currency=INR","Period=FQ","BEST_FPERIOD_OVERRIDE=FQ","FILING_STATUS=OR","EQY_CONSOLIDATED=Y","FA_ADJUSTED=GAAP","Sort=A","Dates=H","DateFormat=P","Fill=—","Direction=H","UseDPDF=Y")</f>
        <v>#NAME?</v>
      </c>
      <c r="U211" s="2" t="e">
        <f ca="1">_xll.BDH($C$203,"EBITDA_GROWTH","FQ3 2015","FQ3 2015","Currency=INR","Period=FQ","BEST_FPERIOD_OVERRIDE=FQ","FILING_STATUS=OR","EQY_CONSOLIDATED=Y","FA_ADJUSTED=GAAP","Sort=A","Dates=H","DateFormat=P","Fill=—","Direction=H","UseDPDF=Y")</f>
        <v>#NAME?</v>
      </c>
      <c r="V211" s="2" t="e">
        <f ca="1">_xll.BDH($C$203,"OPER_INC_GROWTH","FQ3 2015","FQ3 2015","Currency=INR","Period=FQ","BEST_FPERIOD_OVERRIDE=FQ","FILING_STATUS=OR","EQY_CONSOLIDATED=Y","FA_ADJUSTED=GAAP","Sort=A","Dates=H","DateFormat=P","Fill=—","Direction=H","UseDPDF=Y")</f>
        <v>#NAME?</v>
      </c>
      <c r="W211" s="2" t="e">
        <f ca="1">_xll.BDH($C$203,"EARN_FOR_COM_GROWTH","FQ3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11" s="2" t="e">
        <f ca="1">_xll.BDH($C$203,"DILUTED_EPS_AFT_XO_ITEMS_GROWTH","FQ3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11" s="2" t="e">
        <f ca="1">_xll.BDH($C$203,"DIVIDEND_PER_SHARE_1_YEAR_GROWTH","FQ3 2015","FQ3 2015","Currency=INR","Period=FQ","BEST_FPERIOD_OVERRIDE=FQ","FILING_STATUS=OR","EQY_CONSOLIDATED=Y","Sort=A","Dates=H","DateFormat=P","Fill=—","Direction=H","UseDPDF=Y")</f>
        <v>#NAME?</v>
      </c>
      <c r="Z211" s="2" t="e">
        <f ca="1">_xll.BDH($C$203,"ACCOUNTS_RECEIVABLE_GROWTH","FQ3 2015","FQ3 2015","Currency=INR","Period=FQ","BEST_FPERIOD_OVERRIDE=FQ","FILING_STATUS=OR","EQY_CONSOLIDATED=Y","Sort=A","Dates=H","DateFormat=P","Fill=—","Direction=H","UseDPDF=Y")</f>
        <v>#NAME?</v>
      </c>
      <c r="AA211" s="2" t="e">
        <f ca="1">_xll.BDH($C$203,"INVENTORY_GROWTH","FQ3 2015","FQ3 2015","Currency=INR","Period=FQ","BEST_FPERIOD_OVERRIDE=FQ","FILING_STATUS=OR","EQY_CONSOLIDATED=Y","Sort=A","Dates=H","DateFormat=P","Fill=—","Direction=H","UseDPDF=Y")</f>
        <v>#NAME?</v>
      </c>
      <c r="AB211" s="2" t="e">
        <f ca="1">_xll.BDH($C$203,"NET_FIXED_ASSETS_1_YEAR_GROWTH","FQ3 2015","FQ3 2015","Currency=INR","Period=FQ","BEST_FPERIOD_OVERRIDE=FQ","FILING_STATUS=OR","EQY_CONSOLIDATED=Y","Sort=A","Dates=H","DateFormat=P","Fill=—","Direction=H","UseDPDF=Y")</f>
        <v>#NAME?</v>
      </c>
      <c r="AC211" s="2" t="e">
        <f ca="1">_xll.BDH($C$203,"ASSET_GROWTH","FQ3 2015","FQ3 2015","Currency=INR","Period=FQ","BEST_FPERIOD_OVERRIDE=FQ","FILING_STATUS=OR","EQY_CONSOLIDATED=Y","Sort=A","Dates=H","DateFormat=P","Fill=—","Direction=H","UseDPDF=Y")</f>
        <v>#NAME?</v>
      </c>
      <c r="AD211" s="2" t="e">
        <f ca="1">_xll.BDH($C$203,"MODIFIED_WORK_CAP_GROWTH","FQ3 2015","FQ3 2015","Currency=INR","Period=FQ","BEST_FPERIOD_OVERRIDE=FQ","FILING_STATUS=OR","EQY_CONSOLIDATED=Y","Sort=A","Dates=H","DateFormat=P","Fill=—","Direction=H","UseDPDF=Y")</f>
        <v>#NAME?</v>
      </c>
      <c r="AE211" s="2" t="e">
        <f ca="1">_xll.BDH($C$203,"WORK_CAP_GROWTH","FQ3 2015","FQ3 2015","Currency=INR","Period=FQ","BEST_FPERIOD_OVERRIDE=FQ","FILING_STATUS=OR","EQY_CONSOLIDATED=Y","Sort=A","Dates=H","DateFormat=P","Fill=—","Direction=H","UseDPDF=Y")</f>
        <v>#NAME?</v>
      </c>
      <c r="AF211" s="2" t="e">
        <f ca="1">_xll.BDH($C$203,"ACCOUNTS_PAYABLE_GROWTH_1YR","FQ3 2015","FQ3 2015","Currency=INR","Period=FQ","BEST_FPERIOD_OVERRIDE=FQ","FILING_STATUS=OR","EQY_CONSOLIDATED=Y","Sort=A","Dates=H","DateFormat=P","Fill=—","Direction=H","UseDPDF=Y")</f>
        <v>#NAME?</v>
      </c>
      <c r="AG211" s="2" t="e">
        <f ca="1">_xll.BDH($C$203,"SHORT_TERM_DEBT_1_YEAR_GROWTH","FQ3 2015","FQ3 2015","Currency=INR","Period=FQ","BEST_FPERIOD_OVERRIDE=FQ","FILING_STATUS=OR","EQY_CONSOLIDATED=Y","Sort=A","Dates=H","DateFormat=P","Fill=—","Direction=H","UseDPDF=Y")</f>
        <v>#NAME?</v>
      </c>
      <c r="AH211" s="2" t="e">
        <f ca="1">_xll.BDH($C$203,"TOTAL_DEBT_1_YEAR_GROWTH","FQ3 2015","FQ3 2015","Currency=INR","Period=FQ","BEST_FPERIOD_OVERRIDE=FQ","FILING_STATUS=OR","EQY_CONSOLIDATED=Y","Sort=A","Dates=H","DateFormat=P","Fill=—","Direction=H","UseDPDF=Y")</f>
        <v>#NAME?</v>
      </c>
      <c r="AI211" s="2" t="e">
        <f ca="1">_xll.BDH($C$203,"TOTAL_EQUITY_1_YEAR_GROWTH","FQ3 2015","FQ3 2015","Currency=INR","Period=FQ","BEST_FPERIOD_OVERRIDE=FQ","FILING_STATUS=OR","EQY_CONSOLIDATED=Y","Sort=A","Dates=H","DateFormat=P","Fill=—","Direction=H","UseDPDF=Y")</f>
        <v>#NAME?</v>
      </c>
      <c r="AJ211" s="2" t="e">
        <f ca="1">_xll.BDH($C$203,"GROWTH_IN_CAP","FQ3 2015","FQ3 2015","Currency=INR","Period=FQ","BEST_FPERIOD_OVERRIDE=FQ","FILING_STATUS=OR","EQY_CONSOLIDATED=Y","Sort=A","Dates=H","DateFormat=P","Fill=—","Direction=H","UseDPDF=Y")</f>
        <v>#NAME?</v>
      </c>
      <c r="AK211" s="2" t="e">
        <f ca="1">_xll.BDH($C$203,"BVPS_GROWTH","FQ3 2015","FQ3 2015","Currency=INR","Period=FQ","BEST_FPERIOD_OVERRIDE=FQ","FILING_STATUS=OR","EQY_CONSOLIDATED=Y","Sort=A","Dates=H","DateFormat=P","Fill=—","Direction=H","UseDPDF=Y")</f>
        <v>#NAME?</v>
      </c>
      <c r="AL211" s="2" t="e">
        <f ca="1">_xll.BDH($C$203,"CASH_FLOW_GROWTH","FQ3 2015","FQ3 2015","Currency=INR","Period=FQ","BEST_FPERIOD_OVERRIDE=FQ","FILING_STATUS=OR","EQY_CONSOLIDATED=Y","Sort=A","Dates=H","DateFormat=P","Fill=—","Direction=H","UseDPDF=Y")</f>
        <v>#NAME?</v>
      </c>
      <c r="AM211" s="2" t="e">
        <f ca="1">_xll.BDH($C$203,"GEO_GROW_NET_SALES","FQ3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11" s="2" t="e">
        <f ca="1">_xll.BDH($C$203,"GEO_GROW_EBITDA","FQ3 2015","FQ3 2015","Currency=INR","Period=FQ","BEST_FPERIOD_OVERRIDE=FQ","FILING_STATUS=OR","EQY_CONSOLIDATED=Y","FA_ADJUSTED=GAAP","Sort=A","Dates=H","DateFormat=P","Fill=—","Direction=H","UseDPDF=Y")</f>
        <v>#NAME?</v>
      </c>
      <c r="AO211" s="2" t="e">
        <f ca="1">_xll.BDH($C$203,"GEO_GROW_OPER_INC","FQ3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11" s="2" t="e">
        <f ca="1">_xll.BDH($C$203,"NET_INCOME_TO_COMMON_5_YR_GROWTH","FQ3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11" s="2" t="e">
        <f ca="1">_xll.BDH($C$203,"5Y_GEO_GROWTH_DILUTED_EPS","FQ3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11" s="2" t="e">
        <f ca="1">_xll.BDH($C$203,"GEO_GROW_DVD_PER_SH","FQ3 2015","FQ3 2015","Currency=INR","Period=FQ","BEST_FPERIOD_OVERRIDE=FQ","FILING_STATUS=OR","EQY_CONSOLIDATED=Y","Sort=A","Dates=H","DateFormat=P","Fill=—","Direction=H","UseDPDF=Y")</f>
        <v>#NAME?</v>
      </c>
      <c r="AS211" s="2" t="e">
        <f ca="1">_xll.BDH($C$203,"ACCOUNTS_RECEIVABLE_5_YR_GROWTH","FQ3 2015","FQ3 2015","Currency=INR","Period=FQ","BEST_FPERIOD_OVERRIDE=FQ","FILING_STATUS=OR","EQY_CONSOLIDATED=Y","Sort=A","Dates=H","DateFormat=P","Fill=—","Direction=H","UseDPDF=Y")</f>
        <v>#NAME?</v>
      </c>
      <c r="AT211" s="2" t="e">
        <f ca="1">_xll.BDH($C$203,"INVENTORY_5_YEAR_GROWTH","FQ3 2015","FQ3 2015","Currency=INR","Period=FQ","BEST_FPERIOD_OVERRIDE=FQ","FILING_STATUS=OR","EQY_CONSOLIDATED=Y","Sort=A","Dates=H","DateFormat=P","Fill=—","Direction=H","UseDPDF=Y")</f>
        <v>#NAME?</v>
      </c>
      <c r="AU211" s="2" t="e">
        <f ca="1">_xll.BDH($C$203,"NET_FIXED_ASSETS_5_YEAR_GROWTH","FQ3 2015","FQ3 2015","Currency=INR","Period=FQ","BEST_FPERIOD_OVERRIDE=FQ","FILING_STATUS=OR","EQY_CONSOLIDATED=Y","Sort=A","Dates=H","DateFormat=P","Fill=—","Direction=H","UseDPDF=Y")</f>
        <v>#NAME?</v>
      </c>
      <c r="AV211" s="2" t="e">
        <f ca="1">_xll.BDH($C$203,"GEO_GROW_TOT_ASSET","FQ3 2015","FQ3 2015","Currency=INR","Period=FQ","BEST_FPERIOD_OVERRIDE=FQ","FILING_STATUS=OR","EQY_CONSOLIDATED=Y","Sort=A","Dates=H","DateFormat=P","Fill=—","Direction=H","UseDPDF=Y")</f>
        <v>#NAME?</v>
      </c>
      <c r="AW211" s="2" t="e">
        <f ca="1">_xll.BDH($C$203,"MODIFIED_WORKING_CPTL_5YR_GRWTH","FQ3 2015","FQ3 2015","Currency=INR","Period=FQ","BEST_FPERIOD_OVERRIDE=FQ","FILING_STATUS=OR","EQY_CONSOLIDATED=Y","Sort=A","Dates=H","DateFormat=P","Fill=—","Direction=H","UseDPDF=Y")</f>
        <v>#NAME?</v>
      </c>
      <c r="AX211" s="2" t="e">
        <f ca="1">_xll.BDH($C$203,"WORKING_CAPITAL_5_YEAR_GROWTH","FQ3 2015","FQ3 2015","Currency=INR","Period=FQ","BEST_FPERIOD_OVERRIDE=FQ","FILING_STATUS=OR","EQY_CONSOLIDATED=Y","Sort=A","Dates=H","DateFormat=P","Fill=—","Direction=H","UseDPDF=Y")</f>
        <v>#NAME?</v>
      </c>
      <c r="AY211" s="2" t="e">
        <f ca="1">_xll.BDH($C$203,"ACCOUNTS_PAYABLE_5_YEAR_GROWTH","FQ3 2015","FQ3 2015","Currency=INR","Period=FQ","BEST_FPERIOD_OVERRIDE=FQ","FILING_STATUS=OR","EQY_CONSOLIDATED=Y","Sort=A","Dates=H","DateFormat=P","Fill=—","Direction=H","UseDPDF=Y")</f>
        <v>#NAME?</v>
      </c>
      <c r="AZ211" s="2" t="e">
        <f ca="1">_xll.BDH($C$203,"SHORT_TERM_DEBT_5_YEAR_GROWTH","FQ3 2015","FQ3 2015","Currency=INR","Period=FQ","BEST_FPERIOD_OVERRIDE=FQ","FILING_STATUS=OR","EQY_CONSOLIDATED=Y","Sort=A","Dates=H","DateFormat=P","Fill=—","Direction=H","UseDPDF=Y")</f>
        <v>#NAME?</v>
      </c>
      <c r="BA211" s="2" t="e">
        <f ca="1">_xll.BDH($C$203,"TOTAL_DEBT_5_YEAR_GROWTH","FQ3 2015","FQ3 2015","Currency=INR","Period=FQ","BEST_FPERIOD_OVERRIDE=FQ","FILING_STATUS=OR","EQY_CONSOLIDATED=Y","Sort=A","Dates=H","DateFormat=P","Fill=—","Direction=H","UseDPDF=Y")</f>
        <v>#NAME?</v>
      </c>
      <c r="BB211" s="2" t="e">
        <f ca="1">_xll.BDH($C$203,"GEO_GROW_TOT_SHRHLDR_EQY","FQ3 2015","FQ3 2015","Currency=INR","Period=FQ","BEST_FPERIOD_OVERRIDE=FQ","FILING_STATUS=OR","EQY_CONSOLIDATED=Y","Sort=A","Dates=H","DateFormat=P","Fill=—","Direction=H","UseDPDF=Y")</f>
        <v>#NAME?</v>
      </c>
      <c r="BC211" s="2" t="e">
        <f ca="1">_xll.BDH($C$203,"TOTAL_CAPITAL_5_YEAR_GROWTH","FQ3 2015","FQ3 2015","Currency=INR","Period=FQ","BEST_FPERIOD_OVERRIDE=FQ","FILING_STATUS=OR","EQY_CONSOLIDATED=Y","Sort=A","Dates=H","DateFormat=P","Fill=—","Direction=H","UseDPDF=Y")</f>
        <v>#NAME?</v>
      </c>
      <c r="BD211" s="2" t="e">
        <f ca="1">_xll.BDH($C$203,"GEO_GROW_BOOK_VAL","FQ3 2015","FQ3 2015","Currency=INR","Period=FQ","BEST_FPERIOD_OVERRIDE=FQ","FILING_STATUS=OR","EQY_CONSOLIDATED=Y","Sort=A","Dates=H","DateFormat=P","Fill=—","Direction=H","UseDPDF=Y")</f>
        <v>#NAME?</v>
      </c>
      <c r="BE211" s="2" t="e">
        <f ca="1">_xll.BDH($C$203,"GEO_GROW_CASH_OPER_ACT","FQ3 2015","FQ3 2015","Currency=INR","Period=FQ","BEST_FPERIOD_OVERRIDE=FQ","FILING_STATUS=OR","EQY_CONSOLIDATED=Y","Sort=A","Dates=H","DateFormat=P","Fill=—","Direction=H","UseDPDF=Y")</f>
        <v>#NAME?</v>
      </c>
      <c r="BF211" s="2" t="e">
        <f ca="1">_xll.BDH($C$203,"REVENUE_SEQUENTIAL_GROWTH","FQ3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11" s="2" t="e">
        <f ca="1">_xll.BDH($C$203,"EBITDA_SEQUENTIAL_GROWTH","FQ3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11" s="2" t="e">
        <f ca="1">_xll.BDH($C$203,"OPERATING_INCOME_SEQ_GROWTH","FQ3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11" s="2" t="e">
        <f ca="1">_xll.BDH($C$203,"NET_INCOME_TO_COMMON_SEQ_GROWTH","FQ3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11" s="2" t="e">
        <f ca="1">_xll.BDH($C$203,"EPS_DILUTED_SEQUENTIAL_GROWTH","FQ3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11" s="2" t="e">
        <f ca="1">_xll.BDH($C$203,"DPS_SEQUENTIAL_GROWTH","FQ3 2015","FQ3 2015","Currency=INR","Period=FQ","BEST_FPERIOD_OVERRIDE=FQ","FILING_STATUS=OR","EQY_CONSOLIDATED=Y","Sort=A","Dates=H","DateFormat=P","Fill=—","Direction=H","UseDPDF=Y")</f>
        <v>#NAME?</v>
      </c>
      <c r="BL211" s="2" t="e">
        <f ca="1">_xll.BDH($C$203,"ACCOUNTS_RECEIVABLE_SEQ_GROWTH","FQ3 2015","FQ3 2015","Currency=INR","Period=FQ","BEST_FPERIOD_OVERRIDE=FQ","FILING_STATUS=OR","EQY_CONSOLIDATED=Y","Sort=A","Dates=H","DateFormat=P","Fill=—","Direction=H","UseDPDF=Y")</f>
        <v>#NAME?</v>
      </c>
      <c r="BM211" s="2" t="e">
        <f ca="1">_xll.BDH($C$203,"INVENTORY_SEQUENTIAL_GROWTH","FQ3 2015","FQ3 2015","Currency=INR","Period=FQ","BEST_FPERIOD_OVERRIDE=FQ","FILING_STATUS=OR","EQY_CONSOLIDATED=Y","Sort=A","Dates=H","DateFormat=P","Fill=—","Direction=H","UseDPDF=Y")</f>
        <v>#NAME?</v>
      </c>
      <c r="BN211" s="2" t="e">
        <f ca="1">_xll.BDH($C$203,"FIXED_ASSETS_SEQUENTIAL_GROWTH","FQ3 2015","FQ3 2015","Currency=INR","Period=FQ","BEST_FPERIOD_OVERRIDE=FQ","FILING_STATUS=OR","EQY_CONSOLIDATED=Y","Sort=A","Dates=H","DateFormat=P","Fill=—","Direction=H","UseDPDF=Y")</f>
        <v>#NAME?</v>
      </c>
      <c r="BO211" s="2" t="e">
        <f ca="1">_xll.BDH($C$203,"TOTAL_ASSETS_SEQUENTIAL_GROWTH","FQ3 2015","FQ3 2015","Currency=INR","Period=FQ","BEST_FPERIOD_OVERRIDE=FQ","FILING_STATUS=OR","EQY_CONSOLIDATED=Y","Sort=A","Dates=H","DateFormat=P","Fill=—","Direction=H","UseDPDF=Y")</f>
        <v>#NAME?</v>
      </c>
      <c r="BP211" s="2" t="e">
        <f ca="1">_xll.BDH($C$203,"MODIFIED_WORKING_CPTL_SEQ_GRWTH","FQ3 2015","FQ3 2015","Currency=INR","Period=FQ","BEST_FPERIOD_OVERRIDE=FQ","FILING_STATUS=OR","EQY_CONSOLIDATED=Y","Sort=A","Dates=H","DateFormat=P","Fill=—","Direction=H","UseDPDF=Y")</f>
        <v>#NAME?</v>
      </c>
      <c r="BQ211" s="2" t="e">
        <f ca="1">_xll.BDH($C$203,"WORKING_CAPITAL_SEQ_GROWTH","FQ3 2015","FQ3 2015","Currency=INR","Period=FQ","BEST_FPERIOD_OVERRIDE=FQ","FILING_STATUS=OR","EQY_CONSOLIDATED=Y","Sort=A","Dates=H","DateFormat=P","Fill=—","Direction=H","UseDPDF=Y")</f>
        <v>#NAME?</v>
      </c>
      <c r="BR211" s="2" t="e">
        <f ca="1">_xll.BDH($C$203,"ACCOUNTS_PAYABLE_SEQ_GROWTH","FQ3 2015","FQ3 2015","Currency=INR","Period=FQ","BEST_FPERIOD_OVERRIDE=FQ","FILING_STATUS=OR","EQY_CONSOLIDATED=Y","Sort=A","Dates=H","DateFormat=P","Fill=—","Direction=H","UseDPDF=Y")</f>
        <v>#NAME?</v>
      </c>
      <c r="BS211" s="2" t="e">
        <f ca="1">_xll.BDH($C$203,"ST_DEBT_SEQUENTIAL_GROWTH","FQ3 2015","FQ3 2015","Currency=INR","Period=FQ","BEST_FPERIOD_OVERRIDE=FQ","FILING_STATUS=OR","EQY_CONSOLIDATED=Y","Sort=A","Dates=H","DateFormat=P","Fill=—","Direction=H","UseDPDF=Y")</f>
        <v>#NAME?</v>
      </c>
      <c r="BT211" s="2" t="e">
        <f ca="1">_xll.BDH($C$203,"TOTAL_DEBT_SEQUENTIAL_GROWTH","FQ3 2015","FQ3 2015","Currency=INR","Period=FQ","BEST_FPERIOD_OVERRIDE=FQ","FILING_STATUS=OR","EQY_CONSOLIDATED=Y","Sort=A","Dates=H","DateFormat=P","Fill=—","Direction=H","UseDPDF=Y")</f>
        <v>#NAME?</v>
      </c>
      <c r="BU211" s="2" t="e">
        <f ca="1">_xll.BDH($C$203,"TOTAL_EQUITY_SEQUENTIAL_GROWTH","FQ3 2015","FQ3 2015","Currency=INR","Period=FQ","BEST_FPERIOD_OVERRIDE=FQ","FILING_STATUS=OR","EQY_CONSOLIDATED=Y","Sort=A","Dates=H","DateFormat=P","Fill=—","Direction=H","UseDPDF=Y")</f>
        <v>#NAME?</v>
      </c>
      <c r="BV211" s="2" t="e">
        <f ca="1">_xll.BDH($C$203,"TOTAL_CAPITAL_SEQUENTIAL_GROWTH","FQ3 2015","FQ3 2015","Currency=INR","Period=FQ","BEST_FPERIOD_OVERRIDE=FQ","FILING_STATUS=OR","EQY_CONSOLIDATED=Y","Sort=A","Dates=H","DateFormat=P","Fill=—","Direction=H","UseDPDF=Y")</f>
        <v>#NAME?</v>
      </c>
      <c r="BW211" s="2" t="e">
        <f ca="1">_xll.BDH($C$203,"BPS_SEQUENTIAL_GROWTH","FQ3 2015","FQ3 2015","Currency=INR","Period=FQ","BEST_FPERIOD_OVERRIDE=FQ","FILING_STATUS=OR","EQY_CONSOLIDATED=Y","Sort=A","Dates=H","DateFormat=P","Fill=—","Direction=H","UseDPDF=Y")</f>
        <v>#NAME?</v>
      </c>
      <c r="BX211" s="2" t="e">
        <f ca="1">_xll.BDH($C$203,"CFO_SEQUENTIAL_GROWTH","FQ3 2015","FQ3 2015","Currency=INR","Period=FQ","BEST_FPERIOD_OVERRIDE=FQ","FILING_STATUS=OR","EQY_CONSOLIDATED=Y","Sort=A","Dates=H","DateFormat=P","Fill=—","Direction=H","UseDPDF=Y")</f>
        <v>#NAME?</v>
      </c>
      <c r="BY211" s="3" t="e">
        <f ca="1">_xll.BDH($C$203,"SHORT_AND_LONG_TERM_DEBT","FQ3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11" s="3" t="e">
        <f ca="1">_xll.BDH($C$203,"BS_ST_BORROW","FQ3 2015","FQ3 2015","Currency=INR","Period=FQ","BEST_FPERIOD_OVERRIDE=FQ","FILING_STATUS=OR","EQY_CONSOLIDATED=Y","SCALING_FORMAT=MLN","Sort=A","Dates=H","DateFormat=P","Fill=—","Direction=H","UseDPDF=Y")</f>
        <v>#NAME?</v>
      </c>
      <c r="CA211" s="3" t="e">
        <f ca="1">_xll.BDH($C$203,"BS_LT_BORROW","FQ3 2015","FQ3 2015","Currency=INR","Period=FQ","BEST_FPERIOD_OVERRIDE=FQ","FILING_STATUS=OR","EQY_CONSOLIDATED=Y","SCALING_FORMAT=MLN","Sort=A","Dates=H","DateFormat=P","Fill=—","Direction=H","UseDPDF=Y")</f>
        <v>#NAME?</v>
      </c>
      <c r="CB211" s="2" t="e">
        <f ca="1">_xll.BDH($C$203,"TOT_DEBT_TO_EBITDA","FQ3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11" s="2" t="e">
        <f ca="1">_xll.BDH($C$203,"NET_DEBT_TO_EBITDA","FQ3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11" s="2" t="e">
        <f ca="1">_xll.BDH($C$203,"TOTAL_DEBT_TO_EBIT","FQ3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11" s="2" t="e">
        <f ca="1">_xll.BDH($C$203,"NET_DEBT_TO_EBIT","FQ3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11" s="2" t="e">
        <f ca="1">_xll.BDH($C$203,"EBITDA_TO_INTEREST_EXPN","FQ3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11" s="2" t="e">
        <f ca="1">_xll.BDH($C$203,"COM_EQY_TO_TOT_ASSET","FQ3 2015","FQ3 2015","Currency=INR","Period=FQ","BEST_FPERIOD_OVERRIDE=FQ","FILING_STATUS=OR","EQY_CONSOLIDATED=Y","Sort=A","Dates=H","DateFormat=P","Fill=—","Direction=H","UseDPDF=Y")</f>
        <v>#NAME?</v>
      </c>
      <c r="CH211" s="2" t="e">
        <f ca="1">_xll.BDH($C$203,"LT_DEBT_TO_TOT_EQY","FQ3 2015","FQ3 2015","Currency=INR","Period=FQ","BEST_FPERIOD_OVERRIDE=FQ","FILING_STATUS=OR","EQY_CONSOLIDATED=Y","Sort=A","Dates=H","DateFormat=P","Fill=—","Direction=H","UseDPDF=Y")</f>
        <v>#NAME?</v>
      </c>
      <c r="CI211" s="2" t="e">
        <f ca="1">_xll.BDH($C$203,"LT_DEBT_TO_TOT_CAP","FQ3 2015","FQ3 2015","Currency=INR","Period=FQ","BEST_FPERIOD_OVERRIDE=FQ","FILING_STATUS=OR","EQY_CONSOLIDATED=Y","Sort=A","Dates=H","DateFormat=P","Fill=—","Direction=H","UseDPDF=Y")</f>
        <v>#NAME?</v>
      </c>
      <c r="CJ211" s="2" t="e">
        <f ca="1">_xll.BDH($C$203,"LT_DEBT_TO_TOT_ASSET","FQ3 2015","FQ3 2015","Currency=INR","Period=FQ","BEST_FPERIOD_OVERRIDE=FQ","FILING_STATUS=OR","EQY_CONSOLIDATED=Y","Sort=A","Dates=H","DateFormat=P","Fill=—","Direction=H","UseDPDF=Y")</f>
        <v>#NAME?</v>
      </c>
      <c r="CK211" s="2" t="e">
        <f ca="1">_xll.BDH($C$203,"TOT_DEBT_TO_TOT_EQY","FQ3 2015","FQ3 2015","Currency=INR","Period=FQ","BEST_FPERIOD_OVERRIDE=FQ","FILING_STATUS=OR","EQY_CONSOLIDATED=Y","Sort=A","Dates=H","DateFormat=P","Fill=—","Direction=H","UseDPDF=Y")</f>
        <v>#NAME?</v>
      </c>
      <c r="CL211" s="2" t="e">
        <f ca="1">_xll.BDH($C$203,"TOT_DEBT_TO_TOT_CAP","FQ3 2015","FQ3 2015","Currency=INR","Period=FQ","BEST_FPERIOD_OVERRIDE=FQ","FILING_STATUS=OR","EQY_CONSOLIDATED=Y","Sort=A","Dates=H","DateFormat=P","Fill=—","Direction=H","UseDPDF=Y")</f>
        <v>#NAME?</v>
      </c>
      <c r="CM211" s="2" t="e">
        <f ca="1">_xll.BDH($C$203,"TOT_DEBT_TO_TOT_ASSET","FQ3 2015","FQ3 2015","Currency=INR","Period=FQ","BEST_FPERIOD_OVERRIDE=FQ","FILING_STATUS=OR","EQY_CONSOLIDATED=Y","Sort=A","Dates=H","DateFormat=P","Fill=—","Direction=H","UseDPDF=Y")</f>
        <v>#NAME?</v>
      </c>
      <c r="CN211" s="2" t="e">
        <f ca="1">_xll.BDH($C$203,"NET_DEBT_TO_SHRHLDR_EQTY","FQ3 2015","FQ3 2015","Currency=INR","Period=FQ","BEST_FPERIOD_OVERRIDE=FQ","FILING_STATUS=OR","EQY_CONSOLIDATED=Y","Sort=A","Dates=H","DateFormat=P","Fill=—","Direction=H","UseDPDF=Y")</f>
        <v>#NAME?</v>
      </c>
      <c r="CO211" s="2" t="e">
        <f ca="1">_xll.BDH($C$203,"NET_DEBT_%_CAPITAL","FQ3 2015","FQ3 2015","Currency=INR","Period=FQ","BEST_FPERIOD_OVERRIDE=FQ","FILING_STATUS=OR","EQY_CONSOLIDATED=Y","Sort=A","Dates=H","DateFormat=P","Fill=—","Direction=H","UseDPDF=Y")</f>
        <v>#NAME?</v>
      </c>
      <c r="CP211" s="3" t="e">
        <f ca="1">_xll.BDH($C$203,"EBITDA","FQ3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11" s="3" t="e">
        <f ca="1">_xll.BDH($C$203,"EBITDA_AFTER_CAPEX","FQ3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11" s="3" t="e">
        <f ca="1">_xll.BDH($C$203,"IS_OPER_INC","FQ3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11" s="2" t="e">
        <f ca="1">_xll.BDH($C$203,"CASH_RATIO","FQ3 2015","FQ3 2015","Currency=INR","Period=FQ","BEST_FPERIOD_OVERRIDE=FQ","FILING_STATUS=OR","EQY_CONSOLIDATED=Y","Sort=A","Dates=H","DateFormat=P","Fill=—","Direction=H","UseDPDF=Y")</f>
        <v>#NAME?</v>
      </c>
      <c r="CT211" s="2" t="e">
        <f ca="1">_xll.BDH($C$203,"CUR_RATIO","FQ3 2015","FQ3 2015","Currency=INR","Period=FQ","BEST_FPERIOD_OVERRIDE=FQ","FILING_STATUS=OR","EQY_CONSOLIDATED=Y","Sort=A","Dates=H","DateFormat=P","Fill=—","Direction=H","UseDPDF=Y")</f>
        <v>#NAME?</v>
      </c>
      <c r="CU211" s="2" t="e">
        <f ca="1">_xll.BDH($C$203,"QUICK_RATIO","FQ3 2015","FQ3 2015","Currency=INR","Period=FQ","BEST_FPERIOD_OVERRIDE=FQ","FILING_STATUS=OR","EQY_CONSOLIDATED=Y","Sort=A","Dates=H","DateFormat=P","Fill=—","Direction=H","UseDPDF=Y")</f>
        <v>#NAME?</v>
      </c>
      <c r="CV211" s="2" t="e">
        <f ca="1">_xll.BDH($C$203,"ALTMAN_Z_SCORE","FQ3 2015","FQ3 2015","Currency=INR","Period=FQ","BEST_FPERIOD_OVERRIDE=FQ","FILING_STATUS=OR","EQY_CONSOLIDATED=Y","Sort=A","Dates=H","DateFormat=P","Fill=—","Direction=H","UseDPDF=Y")</f>
        <v>#NAME?</v>
      </c>
      <c r="CW211" s="4" t="e">
        <f ca="1">_xll.BDH($C$203,"ACCT_RCV_TURN","FQ3 2015","FQ3 2015","Currency=INR","Period=FQ","BEST_FPERIOD_OVERRIDE=FQ","FILING_STATUS=OR","EQY_CONSOLIDATED=Y","FA_ADJUSTED=GAAP","Sort=A","Dates=H","DateFormat=P","Fill=—","Direction=H","UseDPDF=Y")</f>
        <v>#NAME?</v>
      </c>
      <c r="CX211" s="2" t="e">
        <f ca="1">_xll.BDH($C$203,"ACCT_RCV_DAYS","FQ3 2015","FQ3 2015","Currency=INR","Period=FQ","BEST_FPERIOD_OVERRIDE=FQ","FILING_STATUS=OR","EQY_CONSOLIDATED=Y","FA_ADJUSTED=GAAP","Sort=A","Dates=H","DateFormat=P","Fill=—","Direction=H","UseDPDF=Y")</f>
        <v>#NAME?</v>
      </c>
      <c r="CY211" s="4" t="e">
        <f ca="1">_xll.BDH($C$203,"INVENT_TURN","FQ3 2015","FQ3 2015","Currency=INR","Period=FQ","BEST_FPERIOD_OVERRIDE=FQ","FILING_STATUS=OR","EQY_CONSOLIDATED=Y","FA_ADJUSTED=GAAP","Sort=A","Dates=H","DateFormat=P","Fill=—","Direction=H","UseDPDF=Y")</f>
        <v>#NAME?</v>
      </c>
      <c r="CZ211" s="2" t="e">
        <f ca="1">_xll.BDH($C$203,"INVENT_DAYS","FQ3 2015","FQ3 2015","Currency=INR","Period=FQ","BEST_FPERIOD_OVERRIDE=FQ","FILING_STATUS=OR","EQY_CONSOLIDATED=Y","FA_ADJUSTED=GAAP","Sort=A","Dates=H","DateFormat=P","Fill=—","Direction=H","UseDPDF=Y")</f>
        <v>#NAME?</v>
      </c>
      <c r="DA211" s="4" t="e">
        <f ca="1">_xll.BDH($C$203,"ACCOUNTS_PAYABLE_TURNOVER","FQ3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11" s="2" t="e">
        <f ca="1">_xll.BDH($C$203,"ACCOUNTS_PAYABLE_TURNOVER_DAYS","FQ3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11" s="4" t="e">
        <f ca="1">_xll.BDH($C$203,"CASH_CONVERSION_CYCLE","FQ3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11" s="4" t="e">
        <f ca="1">_xll.BDH($C$203,"INV_TO_CASH_DAYS","FQ3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11" s="5" t="e">
        <f ca="1">_xll.BDH($C$203,"BS_INVENTORIES","FQ3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11" s="3" t="e">
        <f ca="1">_xll.BDH($C$203,"INVTRY_RAW_MATERIALS","FQ3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11" s="3" t="e">
        <f ca="1">_xll.BDH($C$203,"INVTRY_IN_PROGRESS","FQ3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11" s="3" t="e">
        <f ca="1">_xll.BDH($C$203,"INVTRY_FINISHED_GOODS","FQ3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11" s="3" t="e">
        <f ca="1">_xll.BDH($C$203,"BS_OTHER_INV","FQ3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12" spans="1:113" x14ac:dyDescent="0.3">
      <c r="A212" s="6"/>
      <c r="B212" s="6"/>
      <c r="C212" s="6"/>
      <c r="D212" s="6"/>
      <c r="E212" t="s">
        <v>81</v>
      </c>
      <c r="F212" t="e">
        <f ca="1">_xll.BDH($C$203,"RETURN_COM_EQY","FQ4 2015","FQ4 2015","Currency=INR","Period=FQ","BEST_FPERIOD_OVERRIDE=FQ","FILING_STATUS=OR","EQY_CONSOLIDATED=Y","FA_ADJUSTED=GAAP","Sort=A","Dates=H","DateFormat=P","Fill=—","Direction=H","UseDPDF=Y")</f>
        <v>#NAME?</v>
      </c>
      <c r="G212" t="e">
        <f ca="1">_xll.BDH($C$203,"RETURN_ON_ASSET","FQ4 2015","FQ4 2015","Currency=INR","Period=FQ","BEST_FPERIOD_OVERRIDE=FQ","FILING_STATUS=OR","EQY_CONSOLIDATED=Y","FA_ADJUSTED=GAAP","Sort=A","Dates=H","DateFormat=P","Fill=—","Direction=H","UseDPDF=Y")</f>
        <v>#NAME?</v>
      </c>
      <c r="H212" t="e">
        <f ca="1">_xll.BDH($C$203,"RETURN_ON_CAP","FQ4 2015","FQ4 2015","Currency=INR","Period=FQ","BEST_FPERIOD_OVERRIDE=FQ","FILING_STATUS=OR","EQY_CONSOLIDATED=Y","FA_ADJUSTED=GAAP","Sort=A","Dates=H","DateFormat=P","Fill=—","Direction=H","UseDPDF=Y")</f>
        <v>#NAME?</v>
      </c>
      <c r="I212" t="e">
        <f ca="1">_xll.BDH($C$203,"RETURN_ON_INV_CAPITAL","FQ4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12" t="e">
        <f ca="1">_xll.BDH($C$203,"EBITDA_TO_REVENUE","FQ4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12" t="e">
        <f ca="1">_xll.BDH($C$203,"OPER_MARGIN","FQ4 2015","FQ4 2015","Currency=INR","Period=FQ","BEST_FPERIOD_OVERRIDE=FQ","FILING_STATUS=OR","EQY_CONSOLIDATED=Y","FA_ADJUSTED=GAAP","Sort=A","Dates=H","DateFormat=P","Fill=—","Direction=H","UseDPDF=Y")</f>
        <v>#NAME?</v>
      </c>
      <c r="L212" t="e">
        <f ca="1">_xll.BDH($C$203,"INCREMENTAL_OPERATING_MARGIN","FQ4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12" t="e">
        <f ca="1">_xll.BDH($C$203,"PRETAX_INC_TO_NET_SALES","FQ4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12" t="e">
        <f ca="1">_xll.BDH($C$203,"INC_BEF_XO_ITEMS_TO_NET_SALES","FQ4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12" t="e">
        <f ca="1">_xll.BDH($C$203,"PROF_MARGIN","FQ4 2015","FQ4 2015","Currency=INR","Period=FQ","BEST_FPERIOD_OVERRIDE=FQ","FILING_STATUS=OR","EQY_CONSOLIDATED=Y","FA_ADJUSTED=GAAP","Sort=A","Dates=H","DateFormat=P","Fill=—","Direction=H","UseDPDF=Y")</f>
        <v>#NAME?</v>
      </c>
      <c r="P212" t="e">
        <f ca="1">_xll.BDH($C$203,"NET_INCOME_TO_COMMON_MARGIN","FQ4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12" t="e">
        <f ca="1">_xll.BDH($C$203,"EFF_TAX_RATE","FQ4 2015","FQ4 2015","Currency=INR","Period=FQ","BEST_FPERIOD_OVERRIDE=FQ","FILING_STATUS=OR","EQY_CONSOLIDATED=Y","FA_ADJUSTED=GAAP","Sort=A","Dates=H","DateFormat=P","Fill=—","Direction=H","UseDPDF=Y")</f>
        <v>#NAME?</v>
      </c>
      <c r="R212" t="e">
        <f ca="1">_xll.BDH($C$203,"DVD_PAYOUT_RATIO","FQ4 2015","FQ4 2015","Currency=INR","Period=FQ","BEST_FPERIOD_OVERRIDE=FQ","FILING_STATUS=OR","EQY_CONSOLIDATED=Y","FA_ADJUSTED=GAAP","Sort=A","Dates=H","DateFormat=P","Fill=—","Direction=H","UseDPDF=Y")</f>
        <v>#NAME?</v>
      </c>
      <c r="S212" t="e">
        <f ca="1">_xll.BDH($C$203,"SUSTAIN_GROWTH_RT","FQ4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12" s="2" t="e">
        <f ca="1">_xll.BDH($C$203,"SALES_GROWTH","FQ4 2015","FQ4 2015","Currency=INR","Period=FQ","BEST_FPERIOD_OVERRIDE=FQ","FILING_STATUS=OR","EQY_CONSOLIDATED=Y","FA_ADJUSTED=GAAP","Sort=A","Dates=H","DateFormat=P","Fill=—","Direction=H","UseDPDF=Y")</f>
        <v>#NAME?</v>
      </c>
      <c r="U212" s="2" t="e">
        <f ca="1">_xll.BDH($C$203,"EBITDA_GROWTH","FQ4 2015","FQ4 2015","Currency=INR","Period=FQ","BEST_FPERIOD_OVERRIDE=FQ","FILING_STATUS=OR","EQY_CONSOLIDATED=Y","FA_ADJUSTED=GAAP","Sort=A","Dates=H","DateFormat=P","Fill=—","Direction=H","UseDPDF=Y")</f>
        <v>#NAME?</v>
      </c>
      <c r="V212" s="2" t="e">
        <f ca="1">_xll.BDH($C$203,"OPER_INC_GROWTH","FQ4 2015","FQ4 2015","Currency=INR","Period=FQ","BEST_FPERIOD_OVERRIDE=FQ","FILING_STATUS=OR","EQY_CONSOLIDATED=Y","FA_ADJUSTED=GAAP","Sort=A","Dates=H","DateFormat=P","Fill=—","Direction=H","UseDPDF=Y")</f>
        <v>#NAME?</v>
      </c>
      <c r="W212" s="2" t="e">
        <f ca="1">_xll.BDH($C$203,"EARN_FOR_COM_GROWTH","FQ4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12" s="2" t="e">
        <f ca="1">_xll.BDH($C$203,"DILUTED_EPS_AFT_XO_ITEMS_GROWTH","FQ4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12" s="2" t="e">
        <f ca="1">_xll.BDH($C$203,"DIVIDEND_PER_SHARE_1_YEAR_GROWTH","FQ4 2015","FQ4 2015","Currency=INR","Period=FQ","BEST_FPERIOD_OVERRIDE=FQ","FILING_STATUS=OR","EQY_CONSOLIDATED=Y","Sort=A","Dates=H","DateFormat=P","Fill=—","Direction=H","UseDPDF=Y")</f>
        <v>#NAME?</v>
      </c>
      <c r="Z212" s="2" t="e">
        <f ca="1">_xll.BDH($C$203,"ACCOUNTS_RECEIVABLE_GROWTH","FQ4 2015","FQ4 2015","Currency=INR","Period=FQ","BEST_FPERIOD_OVERRIDE=FQ","FILING_STATUS=OR","EQY_CONSOLIDATED=Y","Sort=A","Dates=H","DateFormat=P","Fill=—","Direction=H","UseDPDF=Y")</f>
        <v>#NAME?</v>
      </c>
      <c r="AA212" s="2" t="e">
        <f ca="1">_xll.BDH($C$203,"INVENTORY_GROWTH","FQ4 2015","FQ4 2015","Currency=INR","Period=FQ","BEST_FPERIOD_OVERRIDE=FQ","FILING_STATUS=OR","EQY_CONSOLIDATED=Y","Sort=A","Dates=H","DateFormat=P","Fill=—","Direction=H","UseDPDF=Y")</f>
        <v>#NAME?</v>
      </c>
      <c r="AB212" s="2" t="e">
        <f ca="1">_xll.BDH($C$203,"NET_FIXED_ASSETS_1_YEAR_GROWTH","FQ4 2015","FQ4 2015","Currency=INR","Period=FQ","BEST_FPERIOD_OVERRIDE=FQ","FILING_STATUS=OR","EQY_CONSOLIDATED=Y","Sort=A","Dates=H","DateFormat=P","Fill=—","Direction=H","UseDPDF=Y")</f>
        <v>#NAME?</v>
      </c>
      <c r="AC212" s="2" t="e">
        <f ca="1">_xll.BDH($C$203,"ASSET_GROWTH","FQ4 2015","FQ4 2015","Currency=INR","Period=FQ","BEST_FPERIOD_OVERRIDE=FQ","FILING_STATUS=OR","EQY_CONSOLIDATED=Y","Sort=A","Dates=H","DateFormat=P","Fill=—","Direction=H","UseDPDF=Y")</f>
        <v>#NAME?</v>
      </c>
      <c r="AD212" s="2" t="e">
        <f ca="1">_xll.BDH($C$203,"MODIFIED_WORK_CAP_GROWTH","FQ4 2015","FQ4 2015","Currency=INR","Period=FQ","BEST_FPERIOD_OVERRIDE=FQ","FILING_STATUS=OR","EQY_CONSOLIDATED=Y","Sort=A","Dates=H","DateFormat=P","Fill=—","Direction=H","UseDPDF=Y")</f>
        <v>#NAME?</v>
      </c>
      <c r="AE212" s="2" t="e">
        <f ca="1">_xll.BDH($C$203,"WORK_CAP_GROWTH","FQ4 2015","FQ4 2015","Currency=INR","Period=FQ","BEST_FPERIOD_OVERRIDE=FQ","FILING_STATUS=OR","EQY_CONSOLIDATED=Y","Sort=A","Dates=H","DateFormat=P","Fill=—","Direction=H","UseDPDF=Y")</f>
        <v>#NAME?</v>
      </c>
      <c r="AF212" s="2" t="e">
        <f ca="1">_xll.BDH($C$203,"ACCOUNTS_PAYABLE_GROWTH_1YR","FQ4 2015","FQ4 2015","Currency=INR","Period=FQ","BEST_FPERIOD_OVERRIDE=FQ","FILING_STATUS=OR","EQY_CONSOLIDATED=Y","Sort=A","Dates=H","DateFormat=P","Fill=—","Direction=H","UseDPDF=Y")</f>
        <v>#NAME?</v>
      </c>
      <c r="AG212" s="2" t="e">
        <f ca="1">_xll.BDH($C$203,"SHORT_TERM_DEBT_1_YEAR_GROWTH","FQ4 2015","FQ4 2015","Currency=INR","Period=FQ","BEST_FPERIOD_OVERRIDE=FQ","FILING_STATUS=OR","EQY_CONSOLIDATED=Y","Sort=A","Dates=H","DateFormat=P","Fill=—","Direction=H","UseDPDF=Y")</f>
        <v>#NAME?</v>
      </c>
      <c r="AH212" s="2" t="e">
        <f ca="1">_xll.BDH($C$203,"TOTAL_DEBT_1_YEAR_GROWTH","FQ4 2015","FQ4 2015","Currency=INR","Period=FQ","BEST_FPERIOD_OVERRIDE=FQ","FILING_STATUS=OR","EQY_CONSOLIDATED=Y","Sort=A","Dates=H","DateFormat=P","Fill=—","Direction=H","UseDPDF=Y")</f>
        <v>#NAME?</v>
      </c>
      <c r="AI212" s="2" t="e">
        <f ca="1">_xll.BDH($C$203,"TOTAL_EQUITY_1_YEAR_GROWTH","FQ4 2015","FQ4 2015","Currency=INR","Period=FQ","BEST_FPERIOD_OVERRIDE=FQ","FILING_STATUS=OR","EQY_CONSOLIDATED=Y","Sort=A","Dates=H","DateFormat=P","Fill=—","Direction=H","UseDPDF=Y")</f>
        <v>#NAME?</v>
      </c>
      <c r="AJ212" s="2" t="e">
        <f ca="1">_xll.BDH($C$203,"GROWTH_IN_CAP","FQ4 2015","FQ4 2015","Currency=INR","Period=FQ","BEST_FPERIOD_OVERRIDE=FQ","FILING_STATUS=OR","EQY_CONSOLIDATED=Y","Sort=A","Dates=H","DateFormat=P","Fill=—","Direction=H","UseDPDF=Y")</f>
        <v>#NAME?</v>
      </c>
      <c r="AK212" s="2" t="e">
        <f ca="1">_xll.BDH($C$203,"BVPS_GROWTH","FQ4 2015","FQ4 2015","Currency=INR","Period=FQ","BEST_FPERIOD_OVERRIDE=FQ","FILING_STATUS=OR","EQY_CONSOLIDATED=Y","Sort=A","Dates=H","DateFormat=P","Fill=—","Direction=H","UseDPDF=Y")</f>
        <v>#NAME?</v>
      </c>
      <c r="AL212" s="2" t="e">
        <f ca="1">_xll.BDH($C$203,"CASH_FLOW_GROWTH","FQ4 2015","FQ4 2015","Currency=INR","Period=FQ","BEST_FPERIOD_OVERRIDE=FQ","FILING_STATUS=OR","EQY_CONSOLIDATED=Y","Sort=A","Dates=H","DateFormat=P","Fill=—","Direction=H","UseDPDF=Y")</f>
        <v>#NAME?</v>
      </c>
      <c r="AM212" s="2" t="e">
        <f ca="1">_xll.BDH($C$203,"GEO_GROW_NET_SALES","FQ4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12" s="2" t="e">
        <f ca="1">_xll.BDH($C$203,"GEO_GROW_EBITDA","FQ4 2015","FQ4 2015","Currency=INR","Period=FQ","BEST_FPERIOD_OVERRIDE=FQ","FILING_STATUS=OR","EQY_CONSOLIDATED=Y","FA_ADJUSTED=GAAP","Sort=A","Dates=H","DateFormat=P","Fill=—","Direction=H","UseDPDF=Y")</f>
        <v>#NAME?</v>
      </c>
      <c r="AO212" s="2" t="e">
        <f ca="1">_xll.BDH($C$203,"GEO_GROW_OPER_INC","FQ4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12" s="2" t="e">
        <f ca="1">_xll.BDH($C$203,"NET_INCOME_TO_COMMON_5_YR_GROWTH","FQ4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12" s="2" t="e">
        <f ca="1">_xll.BDH($C$203,"5Y_GEO_GROWTH_DILUTED_EPS","FQ4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12" s="2" t="e">
        <f ca="1">_xll.BDH($C$203,"GEO_GROW_DVD_PER_SH","FQ4 2015","FQ4 2015","Currency=INR","Period=FQ","BEST_FPERIOD_OVERRIDE=FQ","FILING_STATUS=OR","EQY_CONSOLIDATED=Y","Sort=A","Dates=H","DateFormat=P","Fill=—","Direction=H","UseDPDF=Y")</f>
        <v>#NAME?</v>
      </c>
      <c r="AS212" s="2" t="e">
        <f ca="1">_xll.BDH($C$203,"ACCOUNTS_RECEIVABLE_5_YR_GROWTH","FQ4 2015","FQ4 2015","Currency=INR","Period=FQ","BEST_FPERIOD_OVERRIDE=FQ","FILING_STATUS=OR","EQY_CONSOLIDATED=Y","Sort=A","Dates=H","DateFormat=P","Fill=—","Direction=H","UseDPDF=Y")</f>
        <v>#NAME?</v>
      </c>
      <c r="AT212" s="2" t="e">
        <f ca="1">_xll.BDH($C$203,"INVENTORY_5_YEAR_GROWTH","FQ4 2015","FQ4 2015","Currency=INR","Period=FQ","BEST_FPERIOD_OVERRIDE=FQ","FILING_STATUS=OR","EQY_CONSOLIDATED=Y","Sort=A","Dates=H","DateFormat=P","Fill=—","Direction=H","UseDPDF=Y")</f>
        <v>#NAME?</v>
      </c>
      <c r="AU212" s="2" t="e">
        <f ca="1">_xll.BDH($C$203,"NET_FIXED_ASSETS_5_YEAR_GROWTH","FQ4 2015","FQ4 2015","Currency=INR","Period=FQ","BEST_FPERIOD_OVERRIDE=FQ","FILING_STATUS=OR","EQY_CONSOLIDATED=Y","Sort=A","Dates=H","DateFormat=P","Fill=—","Direction=H","UseDPDF=Y")</f>
        <v>#NAME?</v>
      </c>
      <c r="AV212" s="2" t="e">
        <f ca="1">_xll.BDH($C$203,"GEO_GROW_TOT_ASSET","FQ4 2015","FQ4 2015","Currency=INR","Period=FQ","BEST_FPERIOD_OVERRIDE=FQ","FILING_STATUS=OR","EQY_CONSOLIDATED=Y","Sort=A","Dates=H","DateFormat=P","Fill=—","Direction=H","UseDPDF=Y")</f>
        <v>#NAME?</v>
      </c>
      <c r="AW212" s="2" t="e">
        <f ca="1">_xll.BDH($C$203,"MODIFIED_WORKING_CPTL_5YR_GRWTH","FQ4 2015","FQ4 2015","Currency=INR","Period=FQ","BEST_FPERIOD_OVERRIDE=FQ","FILING_STATUS=OR","EQY_CONSOLIDATED=Y","Sort=A","Dates=H","DateFormat=P","Fill=—","Direction=H","UseDPDF=Y")</f>
        <v>#NAME?</v>
      </c>
      <c r="AX212" s="2" t="e">
        <f ca="1">_xll.BDH($C$203,"WORKING_CAPITAL_5_YEAR_GROWTH","FQ4 2015","FQ4 2015","Currency=INR","Period=FQ","BEST_FPERIOD_OVERRIDE=FQ","FILING_STATUS=OR","EQY_CONSOLIDATED=Y","Sort=A","Dates=H","DateFormat=P","Fill=—","Direction=H","UseDPDF=Y")</f>
        <v>#NAME?</v>
      </c>
      <c r="AY212" s="2" t="e">
        <f ca="1">_xll.BDH($C$203,"ACCOUNTS_PAYABLE_5_YEAR_GROWTH","FQ4 2015","FQ4 2015","Currency=INR","Period=FQ","BEST_FPERIOD_OVERRIDE=FQ","FILING_STATUS=OR","EQY_CONSOLIDATED=Y","Sort=A","Dates=H","DateFormat=P","Fill=—","Direction=H","UseDPDF=Y")</f>
        <v>#NAME?</v>
      </c>
      <c r="AZ212" s="2" t="e">
        <f ca="1">_xll.BDH($C$203,"SHORT_TERM_DEBT_5_YEAR_GROWTH","FQ4 2015","FQ4 2015","Currency=INR","Period=FQ","BEST_FPERIOD_OVERRIDE=FQ","FILING_STATUS=OR","EQY_CONSOLIDATED=Y","Sort=A","Dates=H","DateFormat=P","Fill=—","Direction=H","UseDPDF=Y")</f>
        <v>#NAME?</v>
      </c>
      <c r="BA212" s="2" t="e">
        <f ca="1">_xll.BDH($C$203,"TOTAL_DEBT_5_YEAR_GROWTH","FQ4 2015","FQ4 2015","Currency=INR","Period=FQ","BEST_FPERIOD_OVERRIDE=FQ","FILING_STATUS=OR","EQY_CONSOLIDATED=Y","Sort=A","Dates=H","DateFormat=P","Fill=—","Direction=H","UseDPDF=Y")</f>
        <v>#NAME?</v>
      </c>
      <c r="BB212" s="2" t="e">
        <f ca="1">_xll.BDH($C$203,"GEO_GROW_TOT_SHRHLDR_EQY","FQ4 2015","FQ4 2015","Currency=INR","Period=FQ","BEST_FPERIOD_OVERRIDE=FQ","FILING_STATUS=OR","EQY_CONSOLIDATED=Y","Sort=A","Dates=H","DateFormat=P","Fill=—","Direction=H","UseDPDF=Y")</f>
        <v>#NAME?</v>
      </c>
      <c r="BC212" s="2" t="e">
        <f ca="1">_xll.BDH($C$203,"TOTAL_CAPITAL_5_YEAR_GROWTH","FQ4 2015","FQ4 2015","Currency=INR","Period=FQ","BEST_FPERIOD_OVERRIDE=FQ","FILING_STATUS=OR","EQY_CONSOLIDATED=Y","Sort=A","Dates=H","DateFormat=P","Fill=—","Direction=H","UseDPDF=Y")</f>
        <v>#NAME?</v>
      </c>
      <c r="BD212" s="2" t="e">
        <f ca="1">_xll.BDH($C$203,"GEO_GROW_BOOK_VAL","FQ4 2015","FQ4 2015","Currency=INR","Period=FQ","BEST_FPERIOD_OVERRIDE=FQ","FILING_STATUS=OR","EQY_CONSOLIDATED=Y","Sort=A","Dates=H","DateFormat=P","Fill=—","Direction=H","UseDPDF=Y")</f>
        <v>#NAME?</v>
      </c>
      <c r="BE212" s="2" t="e">
        <f ca="1">_xll.BDH($C$203,"GEO_GROW_CASH_OPER_ACT","FQ4 2015","FQ4 2015","Currency=INR","Period=FQ","BEST_FPERIOD_OVERRIDE=FQ","FILING_STATUS=OR","EQY_CONSOLIDATED=Y","Sort=A","Dates=H","DateFormat=P","Fill=—","Direction=H","UseDPDF=Y")</f>
        <v>#NAME?</v>
      </c>
      <c r="BF212" s="2" t="e">
        <f ca="1">_xll.BDH($C$203,"REVENUE_SEQUENTIAL_GROWTH","FQ4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12" s="2" t="e">
        <f ca="1">_xll.BDH($C$203,"EBITDA_SEQUENTIAL_GROWTH","FQ4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12" s="2" t="e">
        <f ca="1">_xll.BDH($C$203,"OPERATING_INCOME_SEQ_GROWTH","FQ4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12" s="2" t="e">
        <f ca="1">_xll.BDH($C$203,"NET_INCOME_TO_COMMON_SEQ_GROWTH","FQ4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12" s="2" t="e">
        <f ca="1">_xll.BDH($C$203,"EPS_DILUTED_SEQUENTIAL_GROWTH","FQ4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12" s="2" t="e">
        <f ca="1">_xll.BDH($C$203,"DPS_SEQUENTIAL_GROWTH","FQ4 2015","FQ4 2015","Currency=INR","Period=FQ","BEST_FPERIOD_OVERRIDE=FQ","FILING_STATUS=OR","EQY_CONSOLIDATED=Y","Sort=A","Dates=H","DateFormat=P","Fill=—","Direction=H","UseDPDF=Y")</f>
        <v>#NAME?</v>
      </c>
      <c r="BL212" s="2" t="e">
        <f ca="1">_xll.BDH($C$203,"ACCOUNTS_RECEIVABLE_SEQ_GROWTH","FQ4 2015","FQ4 2015","Currency=INR","Period=FQ","BEST_FPERIOD_OVERRIDE=FQ","FILING_STATUS=OR","EQY_CONSOLIDATED=Y","Sort=A","Dates=H","DateFormat=P","Fill=—","Direction=H","UseDPDF=Y")</f>
        <v>#NAME?</v>
      </c>
      <c r="BM212" s="2" t="e">
        <f ca="1">_xll.BDH($C$203,"INVENTORY_SEQUENTIAL_GROWTH","FQ4 2015","FQ4 2015","Currency=INR","Period=FQ","BEST_FPERIOD_OVERRIDE=FQ","FILING_STATUS=OR","EQY_CONSOLIDATED=Y","Sort=A","Dates=H","DateFormat=P","Fill=—","Direction=H","UseDPDF=Y")</f>
        <v>#NAME?</v>
      </c>
      <c r="BN212" s="2" t="e">
        <f ca="1">_xll.BDH($C$203,"FIXED_ASSETS_SEQUENTIAL_GROWTH","FQ4 2015","FQ4 2015","Currency=INR","Period=FQ","BEST_FPERIOD_OVERRIDE=FQ","FILING_STATUS=OR","EQY_CONSOLIDATED=Y","Sort=A","Dates=H","DateFormat=P","Fill=—","Direction=H","UseDPDF=Y")</f>
        <v>#NAME?</v>
      </c>
      <c r="BO212" s="2" t="e">
        <f ca="1">_xll.BDH($C$203,"TOTAL_ASSETS_SEQUENTIAL_GROWTH","FQ4 2015","FQ4 2015","Currency=INR","Period=FQ","BEST_FPERIOD_OVERRIDE=FQ","FILING_STATUS=OR","EQY_CONSOLIDATED=Y","Sort=A","Dates=H","DateFormat=P","Fill=—","Direction=H","UseDPDF=Y")</f>
        <v>#NAME?</v>
      </c>
      <c r="BP212" s="2" t="e">
        <f ca="1">_xll.BDH($C$203,"MODIFIED_WORKING_CPTL_SEQ_GRWTH","FQ4 2015","FQ4 2015","Currency=INR","Period=FQ","BEST_FPERIOD_OVERRIDE=FQ","FILING_STATUS=OR","EQY_CONSOLIDATED=Y","Sort=A","Dates=H","DateFormat=P","Fill=—","Direction=H","UseDPDF=Y")</f>
        <v>#NAME?</v>
      </c>
      <c r="BQ212" s="2" t="e">
        <f ca="1">_xll.BDH($C$203,"WORKING_CAPITAL_SEQ_GROWTH","FQ4 2015","FQ4 2015","Currency=INR","Period=FQ","BEST_FPERIOD_OVERRIDE=FQ","FILING_STATUS=OR","EQY_CONSOLIDATED=Y","Sort=A","Dates=H","DateFormat=P","Fill=—","Direction=H","UseDPDF=Y")</f>
        <v>#NAME?</v>
      </c>
      <c r="BR212" s="2" t="e">
        <f ca="1">_xll.BDH($C$203,"ACCOUNTS_PAYABLE_SEQ_GROWTH","FQ4 2015","FQ4 2015","Currency=INR","Period=FQ","BEST_FPERIOD_OVERRIDE=FQ","FILING_STATUS=OR","EQY_CONSOLIDATED=Y","Sort=A","Dates=H","DateFormat=P","Fill=—","Direction=H","UseDPDF=Y")</f>
        <v>#NAME?</v>
      </c>
      <c r="BS212" s="2" t="e">
        <f ca="1">_xll.BDH($C$203,"ST_DEBT_SEQUENTIAL_GROWTH","FQ4 2015","FQ4 2015","Currency=INR","Period=FQ","BEST_FPERIOD_OVERRIDE=FQ","FILING_STATUS=OR","EQY_CONSOLIDATED=Y","Sort=A","Dates=H","DateFormat=P","Fill=—","Direction=H","UseDPDF=Y")</f>
        <v>#NAME?</v>
      </c>
      <c r="BT212" s="2" t="e">
        <f ca="1">_xll.BDH($C$203,"TOTAL_DEBT_SEQUENTIAL_GROWTH","FQ4 2015","FQ4 2015","Currency=INR","Period=FQ","BEST_FPERIOD_OVERRIDE=FQ","FILING_STATUS=OR","EQY_CONSOLIDATED=Y","Sort=A","Dates=H","DateFormat=P","Fill=—","Direction=H","UseDPDF=Y")</f>
        <v>#NAME?</v>
      </c>
      <c r="BU212" s="2" t="e">
        <f ca="1">_xll.BDH($C$203,"TOTAL_EQUITY_SEQUENTIAL_GROWTH","FQ4 2015","FQ4 2015","Currency=INR","Period=FQ","BEST_FPERIOD_OVERRIDE=FQ","FILING_STATUS=OR","EQY_CONSOLIDATED=Y","Sort=A","Dates=H","DateFormat=P","Fill=—","Direction=H","UseDPDF=Y")</f>
        <v>#NAME?</v>
      </c>
      <c r="BV212" s="2" t="e">
        <f ca="1">_xll.BDH($C$203,"TOTAL_CAPITAL_SEQUENTIAL_GROWTH","FQ4 2015","FQ4 2015","Currency=INR","Period=FQ","BEST_FPERIOD_OVERRIDE=FQ","FILING_STATUS=OR","EQY_CONSOLIDATED=Y","Sort=A","Dates=H","DateFormat=P","Fill=—","Direction=H","UseDPDF=Y")</f>
        <v>#NAME?</v>
      </c>
      <c r="BW212" s="2" t="e">
        <f ca="1">_xll.BDH($C$203,"BPS_SEQUENTIAL_GROWTH","FQ4 2015","FQ4 2015","Currency=INR","Period=FQ","BEST_FPERIOD_OVERRIDE=FQ","FILING_STATUS=OR","EQY_CONSOLIDATED=Y","Sort=A","Dates=H","DateFormat=P","Fill=—","Direction=H","UseDPDF=Y")</f>
        <v>#NAME?</v>
      </c>
      <c r="BX212" s="2" t="e">
        <f ca="1">_xll.BDH($C$203,"CFO_SEQUENTIAL_GROWTH","FQ4 2015","FQ4 2015","Currency=INR","Period=FQ","BEST_FPERIOD_OVERRIDE=FQ","FILING_STATUS=OR","EQY_CONSOLIDATED=Y","Sort=A","Dates=H","DateFormat=P","Fill=—","Direction=H","UseDPDF=Y")</f>
        <v>#NAME?</v>
      </c>
      <c r="BY212" s="3" t="e">
        <f ca="1">_xll.BDH($C$203,"SHORT_AND_LONG_TERM_DEBT","FQ4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12" s="3" t="e">
        <f ca="1">_xll.BDH($C$203,"BS_ST_BORROW","FQ4 2015","FQ4 2015","Currency=INR","Period=FQ","BEST_FPERIOD_OVERRIDE=FQ","FILING_STATUS=OR","EQY_CONSOLIDATED=Y","SCALING_FORMAT=MLN","Sort=A","Dates=H","DateFormat=P","Fill=—","Direction=H","UseDPDF=Y")</f>
        <v>#NAME?</v>
      </c>
      <c r="CA212" s="3" t="e">
        <f ca="1">_xll.BDH($C$203,"BS_LT_BORROW","FQ4 2015","FQ4 2015","Currency=INR","Period=FQ","BEST_FPERIOD_OVERRIDE=FQ","FILING_STATUS=OR","EQY_CONSOLIDATED=Y","SCALING_FORMAT=MLN","Sort=A","Dates=H","DateFormat=P","Fill=—","Direction=H","UseDPDF=Y")</f>
        <v>#NAME?</v>
      </c>
      <c r="CB212" s="2" t="e">
        <f ca="1">_xll.BDH($C$203,"TOT_DEBT_TO_EBITDA","FQ4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12" s="2" t="e">
        <f ca="1">_xll.BDH($C$203,"NET_DEBT_TO_EBITDA","FQ4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12" s="2" t="e">
        <f ca="1">_xll.BDH($C$203,"TOTAL_DEBT_TO_EBIT","FQ4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12" s="2" t="e">
        <f ca="1">_xll.BDH($C$203,"NET_DEBT_TO_EBIT","FQ4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12" s="2" t="e">
        <f ca="1">_xll.BDH($C$203,"EBITDA_TO_INTEREST_EXPN","FQ4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12" s="2" t="e">
        <f ca="1">_xll.BDH($C$203,"COM_EQY_TO_TOT_ASSET","FQ4 2015","FQ4 2015","Currency=INR","Period=FQ","BEST_FPERIOD_OVERRIDE=FQ","FILING_STATUS=OR","EQY_CONSOLIDATED=Y","Sort=A","Dates=H","DateFormat=P","Fill=—","Direction=H","UseDPDF=Y")</f>
        <v>#NAME?</v>
      </c>
      <c r="CH212" s="2" t="e">
        <f ca="1">_xll.BDH($C$203,"LT_DEBT_TO_TOT_EQY","FQ4 2015","FQ4 2015","Currency=INR","Period=FQ","BEST_FPERIOD_OVERRIDE=FQ","FILING_STATUS=OR","EQY_CONSOLIDATED=Y","Sort=A","Dates=H","DateFormat=P","Fill=—","Direction=H","UseDPDF=Y")</f>
        <v>#NAME?</v>
      </c>
      <c r="CI212" s="2" t="e">
        <f ca="1">_xll.BDH($C$203,"LT_DEBT_TO_TOT_CAP","FQ4 2015","FQ4 2015","Currency=INR","Period=FQ","BEST_FPERIOD_OVERRIDE=FQ","FILING_STATUS=OR","EQY_CONSOLIDATED=Y","Sort=A","Dates=H","DateFormat=P","Fill=—","Direction=H","UseDPDF=Y")</f>
        <v>#NAME?</v>
      </c>
      <c r="CJ212" s="2" t="e">
        <f ca="1">_xll.BDH($C$203,"LT_DEBT_TO_TOT_ASSET","FQ4 2015","FQ4 2015","Currency=INR","Period=FQ","BEST_FPERIOD_OVERRIDE=FQ","FILING_STATUS=OR","EQY_CONSOLIDATED=Y","Sort=A","Dates=H","DateFormat=P","Fill=—","Direction=H","UseDPDF=Y")</f>
        <v>#NAME?</v>
      </c>
      <c r="CK212" s="2" t="e">
        <f ca="1">_xll.BDH($C$203,"TOT_DEBT_TO_TOT_EQY","FQ4 2015","FQ4 2015","Currency=INR","Period=FQ","BEST_FPERIOD_OVERRIDE=FQ","FILING_STATUS=OR","EQY_CONSOLIDATED=Y","Sort=A","Dates=H","DateFormat=P","Fill=—","Direction=H","UseDPDF=Y")</f>
        <v>#NAME?</v>
      </c>
      <c r="CL212" s="2" t="e">
        <f ca="1">_xll.BDH($C$203,"TOT_DEBT_TO_TOT_CAP","FQ4 2015","FQ4 2015","Currency=INR","Period=FQ","BEST_FPERIOD_OVERRIDE=FQ","FILING_STATUS=OR","EQY_CONSOLIDATED=Y","Sort=A","Dates=H","DateFormat=P","Fill=—","Direction=H","UseDPDF=Y")</f>
        <v>#NAME?</v>
      </c>
      <c r="CM212" s="2" t="e">
        <f ca="1">_xll.BDH($C$203,"TOT_DEBT_TO_TOT_ASSET","FQ4 2015","FQ4 2015","Currency=INR","Period=FQ","BEST_FPERIOD_OVERRIDE=FQ","FILING_STATUS=OR","EQY_CONSOLIDATED=Y","Sort=A","Dates=H","DateFormat=P","Fill=—","Direction=H","UseDPDF=Y")</f>
        <v>#NAME?</v>
      </c>
      <c r="CN212" s="2" t="e">
        <f ca="1">_xll.BDH($C$203,"NET_DEBT_TO_SHRHLDR_EQTY","FQ4 2015","FQ4 2015","Currency=INR","Period=FQ","BEST_FPERIOD_OVERRIDE=FQ","FILING_STATUS=OR","EQY_CONSOLIDATED=Y","Sort=A","Dates=H","DateFormat=P","Fill=—","Direction=H","UseDPDF=Y")</f>
        <v>#NAME?</v>
      </c>
      <c r="CO212" s="2" t="e">
        <f ca="1">_xll.BDH($C$203,"NET_DEBT_%_CAPITAL","FQ4 2015","FQ4 2015","Currency=INR","Period=FQ","BEST_FPERIOD_OVERRIDE=FQ","FILING_STATUS=OR","EQY_CONSOLIDATED=Y","Sort=A","Dates=H","DateFormat=P","Fill=—","Direction=H","UseDPDF=Y")</f>
        <v>#NAME?</v>
      </c>
      <c r="CP212" s="3" t="e">
        <f ca="1">_xll.BDH($C$203,"EBITDA","FQ4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12" s="3" t="e">
        <f ca="1">_xll.BDH($C$203,"EBITDA_AFTER_CAPEX","FQ4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12" s="3" t="e">
        <f ca="1">_xll.BDH($C$203,"IS_OPER_INC","FQ4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12" s="2" t="e">
        <f ca="1">_xll.BDH($C$203,"CASH_RATIO","FQ4 2015","FQ4 2015","Currency=INR","Period=FQ","BEST_FPERIOD_OVERRIDE=FQ","FILING_STATUS=OR","EQY_CONSOLIDATED=Y","Sort=A","Dates=H","DateFormat=P","Fill=—","Direction=H","UseDPDF=Y")</f>
        <v>#NAME?</v>
      </c>
      <c r="CT212" s="2" t="e">
        <f ca="1">_xll.BDH($C$203,"CUR_RATIO","FQ4 2015","FQ4 2015","Currency=INR","Period=FQ","BEST_FPERIOD_OVERRIDE=FQ","FILING_STATUS=OR","EQY_CONSOLIDATED=Y","Sort=A","Dates=H","DateFormat=P","Fill=—","Direction=H","UseDPDF=Y")</f>
        <v>#NAME?</v>
      </c>
      <c r="CU212" s="2" t="e">
        <f ca="1">_xll.BDH($C$203,"QUICK_RATIO","FQ4 2015","FQ4 2015","Currency=INR","Period=FQ","BEST_FPERIOD_OVERRIDE=FQ","FILING_STATUS=OR","EQY_CONSOLIDATED=Y","Sort=A","Dates=H","DateFormat=P","Fill=—","Direction=H","UseDPDF=Y")</f>
        <v>#NAME?</v>
      </c>
      <c r="CV212" s="2" t="e">
        <f ca="1">_xll.BDH($C$203,"ALTMAN_Z_SCORE","FQ4 2015","FQ4 2015","Currency=INR","Period=FQ","BEST_FPERIOD_OVERRIDE=FQ","FILING_STATUS=OR","EQY_CONSOLIDATED=Y","Sort=A","Dates=H","DateFormat=P","Fill=—","Direction=H","UseDPDF=Y")</f>
        <v>#NAME?</v>
      </c>
      <c r="CW212" s="4" t="e">
        <f ca="1">_xll.BDH($C$203,"ACCT_RCV_TURN","FQ4 2015","FQ4 2015","Currency=INR","Period=FQ","BEST_FPERIOD_OVERRIDE=FQ","FILING_STATUS=OR","EQY_CONSOLIDATED=Y","FA_ADJUSTED=GAAP","Sort=A","Dates=H","DateFormat=P","Fill=—","Direction=H","UseDPDF=Y")</f>
        <v>#NAME?</v>
      </c>
      <c r="CX212" s="2" t="e">
        <f ca="1">_xll.BDH($C$203,"ACCT_RCV_DAYS","FQ4 2015","FQ4 2015","Currency=INR","Period=FQ","BEST_FPERIOD_OVERRIDE=FQ","FILING_STATUS=OR","EQY_CONSOLIDATED=Y","FA_ADJUSTED=GAAP","Sort=A","Dates=H","DateFormat=P","Fill=—","Direction=H","UseDPDF=Y")</f>
        <v>#NAME?</v>
      </c>
      <c r="CY212" s="4" t="e">
        <f ca="1">_xll.BDH($C$203,"INVENT_TURN","FQ4 2015","FQ4 2015","Currency=INR","Period=FQ","BEST_FPERIOD_OVERRIDE=FQ","FILING_STATUS=OR","EQY_CONSOLIDATED=Y","FA_ADJUSTED=GAAP","Sort=A","Dates=H","DateFormat=P","Fill=—","Direction=H","UseDPDF=Y")</f>
        <v>#NAME?</v>
      </c>
      <c r="CZ212" s="2" t="e">
        <f ca="1">_xll.BDH($C$203,"INVENT_DAYS","FQ4 2015","FQ4 2015","Currency=INR","Period=FQ","BEST_FPERIOD_OVERRIDE=FQ","FILING_STATUS=OR","EQY_CONSOLIDATED=Y","FA_ADJUSTED=GAAP","Sort=A","Dates=H","DateFormat=P","Fill=—","Direction=H","UseDPDF=Y")</f>
        <v>#NAME?</v>
      </c>
      <c r="DA212" s="4" t="e">
        <f ca="1">_xll.BDH($C$203,"ACCOUNTS_PAYABLE_TURNOVER","FQ4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12" s="2" t="e">
        <f ca="1">_xll.BDH($C$203,"ACCOUNTS_PAYABLE_TURNOVER_DAYS","FQ4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12" s="4" t="e">
        <f ca="1">_xll.BDH($C$203,"CASH_CONVERSION_CYCLE","FQ4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12" s="4" t="e">
        <f ca="1">_xll.BDH($C$203,"INV_TO_CASH_DAYS","FQ4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12" s="5" t="e">
        <f ca="1">_xll.BDH($C$203,"BS_INVENTORIES","FQ4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12" s="3" t="e">
        <f ca="1">_xll.BDH($C$203,"INVTRY_RAW_MATERIALS","FQ4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12" s="3" t="e">
        <f ca="1">_xll.BDH($C$203,"INVTRY_IN_PROGRESS","FQ4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12" s="3" t="e">
        <f ca="1">_xll.BDH($C$203,"INVTRY_FINISHED_GOODS","FQ4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12" s="3" t="e">
        <f ca="1">_xll.BDH($C$203,"BS_OTHER_INV","FQ4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13" spans="1:113" x14ac:dyDescent="0.3">
      <c r="A213" s="6"/>
      <c r="B213" s="6"/>
      <c r="C213" s="6"/>
      <c r="D213" s="6" t="s">
        <v>83</v>
      </c>
      <c r="E213" t="s">
        <v>77</v>
      </c>
      <c r="F213" t="e">
        <f ca="1">_xll.BDH($C$203,"RETURN_COM_EQY","FY 2016","FY 2016","Currency=INR","Period=FY","BEST_FPERIOD_OVERRIDE=FY","FILING_STATUS=OR","EQY_CONSOLIDATED=Y","FA_ADJUSTED=GAAP","Sort=A","Dates=H","DateFormat=P","Fill=—","Direction=H","UseDPDF=Y")</f>
        <v>#NAME?</v>
      </c>
      <c r="G213" t="e">
        <f ca="1">_xll.BDH($C$203,"RETURN_ON_ASSET","FY 2016","FY 2016","Currency=INR","Period=FY","BEST_FPERIOD_OVERRIDE=FY","FILING_STATUS=OR","EQY_CONSOLIDATED=Y","FA_ADJUSTED=GAAP","Sort=A","Dates=H","DateFormat=P","Fill=—","Direction=H","UseDPDF=Y")</f>
        <v>#NAME?</v>
      </c>
      <c r="H213" t="e">
        <f ca="1">_xll.BDH($C$203,"RETURN_ON_CAP","FY 2016","FY 2016","Currency=INR","Period=FY","BEST_FPERIOD_OVERRIDE=FY","FILING_STATUS=OR","EQY_CONSOLIDATED=Y","FA_ADJUSTED=GAAP","Sort=A","Dates=H","DateFormat=P","Fill=—","Direction=H","UseDPDF=Y")</f>
        <v>#NAME?</v>
      </c>
      <c r="I213" t="e">
        <f ca="1">_xll.BDH($C$203,"RETURN_ON_INV_CAPITAL","FY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13" t="e">
        <f ca="1">_xll.BDH($C$203,"EBITDA_TO_REVENUE","FY 2016","FY 2016","Currency=INR","Period=FY","BEST_FPERIOD_OVERRIDE=FY","FILING_STATUS=OR","EQY_CONSOLIDATED=Y","FA_ADJUSTED=GAAP","Sort=A","Dates=H","DateFormat=P","Fill=—","Direction=H","UseDPDF=Y")</f>
        <v>#NAME?</v>
      </c>
      <c r="K213" t="e">
        <f ca="1">_xll.BDH($C$203,"OPER_MARGIN","FY 2016","FY 2016","Currency=INR","Period=FY","BEST_FPERIOD_OVERRIDE=FY","FILING_STATUS=OR","EQY_CONSOLIDATED=Y","FA_ADJUSTED=GAAP","Sort=A","Dates=H","DateFormat=P","Fill=—","Direction=H","UseDPDF=Y")</f>
        <v>#NAME?</v>
      </c>
      <c r="L213" t="e">
        <f ca="1">_xll.BDH($C$203,"INCREMENTAL_OPERATING_MARGIN","FY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13" t="e">
        <f ca="1">_xll.BDH($C$203,"PRETAX_INC_TO_NET_SALES","FY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13" t="e">
        <f ca="1">_xll.BDH($C$203,"INC_BEF_XO_ITEMS_TO_NET_SALES","FY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13" t="e">
        <f ca="1">_xll.BDH($C$203,"PROF_MARGIN","FY 2016","FY 2016","Currency=INR","Period=FY","BEST_FPERIOD_OVERRIDE=FY","FILING_STATUS=OR","EQY_CONSOLIDATED=Y","FA_ADJUSTED=GAAP","Sort=A","Dates=H","DateFormat=P","Fill=—","Direction=H","UseDPDF=Y")</f>
        <v>#NAME?</v>
      </c>
      <c r="P213" t="e">
        <f ca="1">_xll.BDH($C$203,"NET_INCOME_TO_COMMON_MARGIN","FY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13" t="e">
        <f ca="1">_xll.BDH($C$203,"EFF_TAX_RATE","FY 2016","FY 2016","Currency=INR","Period=FY","BEST_FPERIOD_OVERRIDE=FY","FILING_STATUS=OR","EQY_CONSOLIDATED=Y","FA_ADJUSTED=GAAP","Sort=A","Dates=H","DateFormat=P","Fill=—","Direction=H","UseDPDF=Y")</f>
        <v>#NAME?</v>
      </c>
      <c r="R213" t="e">
        <f ca="1">_xll.BDH($C$203,"DVD_PAYOUT_RATIO","FY 2016","FY 2016","Currency=INR","Period=FY","BEST_FPERIOD_OVERRIDE=FY","FILING_STATUS=OR","EQY_CONSOLIDATED=Y","FA_ADJUSTED=GAAP","Sort=A","Dates=H","DateFormat=P","Fill=—","Direction=H","UseDPDF=Y")</f>
        <v>#NAME?</v>
      </c>
      <c r="S213" t="e">
        <f ca="1">_xll.BDH($C$203,"SUSTAIN_GROWTH_RT","FY 2016","FY 2016","Currency=INR","Period=FY","BEST_FPERIOD_OVERRIDE=FY","FILING_STATUS=OR","EQY_CONSOLIDATED=Y","FA_ADJUSTED=GAAP","Sort=A","Dates=H","DateFormat=P","Fill=—","Direction=H","UseDPDF=Y")</f>
        <v>#NAME?</v>
      </c>
      <c r="T213" s="2" t="e">
        <f ca="1">_xll.BDH($C$203,"SALES_GROWTH","FY 2016","FY 2016","Currency=INR","Period=FY","BEST_FPERIOD_OVERRIDE=FY","FILING_STATUS=OR","EQY_CONSOLIDATED=Y","FA_ADJUSTED=GAAP","Sort=A","Dates=H","DateFormat=P","Fill=—","Direction=H","UseDPDF=Y")</f>
        <v>#NAME?</v>
      </c>
      <c r="U213" s="2" t="e">
        <f ca="1">_xll.BDH($C$203,"EBITDA_GROWTH","FY 2016","FY 2016","Currency=INR","Period=FY","BEST_FPERIOD_OVERRIDE=FY","FILING_STATUS=OR","EQY_CONSOLIDATED=Y","FA_ADJUSTED=GAAP","Sort=A","Dates=H","DateFormat=P","Fill=—","Direction=H","UseDPDF=Y")</f>
        <v>#NAME?</v>
      </c>
      <c r="V213" s="2" t="e">
        <f ca="1">_xll.BDH($C$203,"OPER_INC_GROWTH","FY 2016","FY 2016","Currency=INR","Period=FY","BEST_FPERIOD_OVERRIDE=FY","FILING_STATUS=OR","EQY_CONSOLIDATED=Y","FA_ADJUSTED=GAAP","Sort=A","Dates=H","DateFormat=P","Fill=—","Direction=H","UseDPDF=Y")</f>
        <v>#NAME?</v>
      </c>
      <c r="W213" s="2" t="e">
        <f ca="1">_xll.BDH($C$203,"EARN_FOR_COM_GROWTH","FY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13" s="2" t="e">
        <f ca="1">_xll.BDH($C$203,"DILUTED_EPS_AFT_XO_ITEMS_GROWTH","FY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13" s="2" t="e">
        <f ca="1">_xll.BDH($C$203,"DIVIDEND_PER_SHARE_1_YEAR_GROWTH","FY 2016","FY 2016","Currency=INR","Period=FY","BEST_FPERIOD_OVERRIDE=FY","FILING_STATUS=OR","EQY_CONSOLIDATED=Y","Sort=A","Dates=H","DateFormat=P","Fill=—","Direction=H","UseDPDF=Y")</f>
        <v>#NAME?</v>
      </c>
      <c r="Z213" s="2" t="e">
        <f ca="1">_xll.BDH($C$203,"ACCOUNTS_RECEIVABLE_GROWTH","FY 2016","FY 2016","Currency=INR","Period=FY","BEST_FPERIOD_OVERRIDE=FY","FILING_STATUS=OR","EQY_CONSOLIDATED=Y","Sort=A","Dates=H","DateFormat=P","Fill=—","Direction=H","UseDPDF=Y")</f>
        <v>#NAME?</v>
      </c>
      <c r="AA213" s="2" t="e">
        <f ca="1">_xll.BDH($C$203,"INVENTORY_GROWTH","FY 2016","FY 2016","Currency=INR","Period=FY","BEST_FPERIOD_OVERRIDE=FY","FILING_STATUS=OR","EQY_CONSOLIDATED=Y","Sort=A","Dates=H","DateFormat=P","Fill=—","Direction=H","UseDPDF=Y")</f>
        <v>#NAME?</v>
      </c>
      <c r="AB213" s="2" t="e">
        <f ca="1">_xll.BDH($C$203,"NET_FIXED_ASSETS_1_YEAR_GROWTH","FY 2016","FY 2016","Currency=INR","Period=FY","BEST_FPERIOD_OVERRIDE=FY","FILING_STATUS=OR","EQY_CONSOLIDATED=Y","Sort=A","Dates=H","DateFormat=P","Fill=—","Direction=H","UseDPDF=Y")</f>
        <v>#NAME?</v>
      </c>
      <c r="AC213" s="2" t="e">
        <f ca="1">_xll.BDH($C$203,"ASSET_GROWTH","FY 2016","FY 2016","Currency=INR","Period=FY","BEST_FPERIOD_OVERRIDE=FY","FILING_STATUS=OR","EQY_CONSOLIDATED=Y","Sort=A","Dates=H","DateFormat=P","Fill=—","Direction=H","UseDPDF=Y")</f>
        <v>#NAME?</v>
      </c>
      <c r="AD213" s="2" t="e">
        <f ca="1">_xll.BDH($C$203,"MODIFIED_WORK_CAP_GROWTH","FY 2016","FY 2016","Currency=INR","Period=FY","BEST_FPERIOD_OVERRIDE=FY","FILING_STATUS=OR","EQY_CONSOLIDATED=Y","Sort=A","Dates=H","DateFormat=P","Fill=—","Direction=H","UseDPDF=Y")</f>
        <v>#NAME?</v>
      </c>
      <c r="AE213" s="2" t="e">
        <f ca="1">_xll.BDH($C$203,"WORK_CAP_GROWTH","FY 2016","FY 2016","Currency=INR","Period=FY","BEST_FPERIOD_OVERRIDE=FY","FILING_STATUS=OR","EQY_CONSOLIDATED=Y","Sort=A","Dates=H","DateFormat=P","Fill=—","Direction=H","UseDPDF=Y")</f>
        <v>#NAME?</v>
      </c>
      <c r="AF213" s="2" t="e">
        <f ca="1">_xll.BDH($C$203,"ACCOUNTS_PAYABLE_GROWTH_1YR","FY 2016","FY 2016","Currency=INR","Period=FY","BEST_FPERIOD_OVERRIDE=FY","FILING_STATUS=OR","EQY_CONSOLIDATED=Y","Sort=A","Dates=H","DateFormat=P","Fill=—","Direction=H","UseDPDF=Y")</f>
        <v>#NAME?</v>
      </c>
      <c r="AG213" s="2" t="e">
        <f ca="1">_xll.BDH($C$203,"SHORT_TERM_DEBT_1_YEAR_GROWTH","FY 2016","FY 2016","Currency=INR","Period=FY","BEST_FPERIOD_OVERRIDE=FY","FILING_STATUS=OR","EQY_CONSOLIDATED=Y","Sort=A","Dates=H","DateFormat=P","Fill=—","Direction=H","UseDPDF=Y")</f>
        <v>#NAME?</v>
      </c>
      <c r="AH213" s="2" t="e">
        <f ca="1">_xll.BDH($C$203,"TOTAL_DEBT_1_YEAR_GROWTH","FY 2016","FY 2016","Currency=INR","Period=FY","BEST_FPERIOD_OVERRIDE=FY","FILING_STATUS=OR","EQY_CONSOLIDATED=Y","Sort=A","Dates=H","DateFormat=P","Fill=—","Direction=H","UseDPDF=Y")</f>
        <v>#NAME?</v>
      </c>
      <c r="AI213" s="2" t="e">
        <f ca="1">_xll.BDH($C$203,"TOTAL_EQUITY_1_YEAR_GROWTH","FY 2016","FY 2016","Currency=INR","Period=FY","BEST_FPERIOD_OVERRIDE=FY","FILING_STATUS=OR","EQY_CONSOLIDATED=Y","Sort=A","Dates=H","DateFormat=P","Fill=—","Direction=H","UseDPDF=Y")</f>
        <v>#NAME?</v>
      </c>
      <c r="AJ213" s="2" t="e">
        <f ca="1">_xll.BDH($C$203,"GROWTH_IN_CAP","FY 2016","FY 2016","Currency=INR","Period=FY","BEST_FPERIOD_OVERRIDE=FY","FILING_STATUS=OR","EQY_CONSOLIDATED=Y","Sort=A","Dates=H","DateFormat=P","Fill=—","Direction=H","UseDPDF=Y")</f>
        <v>#NAME?</v>
      </c>
      <c r="AK213" s="2" t="e">
        <f ca="1">_xll.BDH($C$203,"BVPS_GROWTH","FY 2016","FY 2016","Currency=INR","Period=FY","BEST_FPERIOD_OVERRIDE=FY","FILING_STATUS=OR","EQY_CONSOLIDATED=Y","Sort=A","Dates=H","DateFormat=P","Fill=—","Direction=H","UseDPDF=Y")</f>
        <v>#NAME?</v>
      </c>
      <c r="AL213" s="2" t="e">
        <f ca="1">_xll.BDH($C$203,"CASH_FLOW_GROWTH","FY 2016","FY 2016","Currency=INR","Period=FY","BEST_FPERIOD_OVERRIDE=FY","FILING_STATUS=OR","EQY_CONSOLIDATED=Y","Sort=A","Dates=H","DateFormat=P","Fill=—","Direction=H","UseDPDF=Y")</f>
        <v>#NAME?</v>
      </c>
      <c r="AM213" s="2" t="e">
        <f ca="1">_xll.BDH($C$203,"GEO_GROW_NET_SALES","FY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13" s="2" t="e">
        <f ca="1">_xll.BDH($C$203,"GEO_GROW_EBITDA","FY 2016","FY 2016","Currency=INR","Period=FY","BEST_FPERIOD_OVERRIDE=FY","FILING_STATUS=OR","EQY_CONSOLIDATED=Y","FA_ADJUSTED=GAAP","Sort=A","Dates=H","DateFormat=P","Fill=—","Direction=H","UseDPDF=Y")</f>
        <v>#NAME?</v>
      </c>
      <c r="AO213" s="2" t="e">
        <f ca="1">_xll.BDH($C$203,"GEO_GROW_OPER_INC","FY 2016","FY 2016","Currency=INR","Period=FY","BEST_FPERIOD_OVERRIDE=FY","FILING_STATUS=OR","EQY_CONSOLIDATED=Y","FA_ADJUSTED=GAAP","Sort=A","Dates=H","DateFormat=P","Fill=—","Direction=H","UseDPDF=Y")</f>
        <v>#NAME?</v>
      </c>
      <c r="AP213" s="2" t="e">
        <f ca="1">_xll.BDH($C$203,"NET_INCOME_TO_COMMON_5_YR_GROWTH","FY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13" s="2" t="e">
        <f ca="1">_xll.BDH($C$203,"5Y_GEO_GROWTH_DILUTED_EPS","FY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13" s="2" t="e">
        <f ca="1">_xll.BDH($C$203,"GEO_GROW_DVD_PER_SH","FY 2016","FY 2016","Currency=INR","Period=FY","BEST_FPERIOD_OVERRIDE=FY","FILING_STATUS=OR","EQY_CONSOLIDATED=Y","Sort=A","Dates=H","DateFormat=P","Fill=—","Direction=H","UseDPDF=Y")</f>
        <v>#NAME?</v>
      </c>
      <c r="AS213" s="2" t="e">
        <f ca="1">_xll.BDH($C$203,"ACCOUNTS_RECEIVABLE_5_YR_GROWTH","FY 2016","FY 2016","Currency=INR","Period=FY","BEST_FPERIOD_OVERRIDE=FY","FILING_STATUS=OR","EQY_CONSOLIDATED=Y","Sort=A","Dates=H","DateFormat=P","Fill=—","Direction=H","UseDPDF=Y")</f>
        <v>#NAME?</v>
      </c>
      <c r="AT213" s="2" t="e">
        <f ca="1">_xll.BDH($C$203,"INVENTORY_5_YEAR_GROWTH","FY 2016","FY 2016","Currency=INR","Period=FY","BEST_FPERIOD_OVERRIDE=FY","FILING_STATUS=OR","EQY_CONSOLIDATED=Y","Sort=A","Dates=H","DateFormat=P","Fill=—","Direction=H","UseDPDF=Y")</f>
        <v>#NAME?</v>
      </c>
      <c r="AU213" s="2" t="e">
        <f ca="1">_xll.BDH($C$203,"NET_FIXED_ASSETS_5_YEAR_GROWTH","FY 2016","FY 2016","Currency=INR","Period=FY","BEST_FPERIOD_OVERRIDE=FY","FILING_STATUS=OR","EQY_CONSOLIDATED=Y","Sort=A","Dates=H","DateFormat=P","Fill=—","Direction=H","UseDPDF=Y")</f>
        <v>#NAME?</v>
      </c>
      <c r="AV213" s="2" t="e">
        <f ca="1">_xll.BDH($C$203,"GEO_GROW_TOT_ASSET","FY 2016","FY 2016","Currency=INR","Period=FY","BEST_FPERIOD_OVERRIDE=FY","FILING_STATUS=OR","EQY_CONSOLIDATED=Y","Sort=A","Dates=H","DateFormat=P","Fill=—","Direction=H","UseDPDF=Y")</f>
        <v>#NAME?</v>
      </c>
      <c r="AW213" s="2" t="e">
        <f ca="1">_xll.BDH($C$203,"MODIFIED_WORKING_CPTL_5YR_GRWTH","FY 2016","FY 2016","Currency=INR","Period=FY","BEST_FPERIOD_OVERRIDE=FY","FILING_STATUS=OR","EQY_CONSOLIDATED=Y","Sort=A","Dates=H","DateFormat=P","Fill=—","Direction=H","UseDPDF=Y")</f>
        <v>#NAME?</v>
      </c>
      <c r="AX213" s="2" t="e">
        <f ca="1">_xll.BDH($C$203,"WORKING_CAPITAL_5_YEAR_GROWTH","FY 2016","FY 2016","Currency=INR","Period=FY","BEST_FPERIOD_OVERRIDE=FY","FILING_STATUS=OR","EQY_CONSOLIDATED=Y","Sort=A","Dates=H","DateFormat=P","Fill=—","Direction=H","UseDPDF=Y")</f>
        <v>#NAME?</v>
      </c>
      <c r="AY213" s="2" t="e">
        <f ca="1">_xll.BDH($C$203,"ACCOUNTS_PAYABLE_5_YEAR_GROWTH","FY 2016","FY 2016","Currency=INR","Period=FY","BEST_FPERIOD_OVERRIDE=FY","FILING_STATUS=OR","EQY_CONSOLIDATED=Y","Sort=A","Dates=H","DateFormat=P","Fill=—","Direction=H","UseDPDF=Y")</f>
        <v>#NAME?</v>
      </c>
      <c r="AZ213" s="2" t="e">
        <f ca="1">_xll.BDH($C$203,"SHORT_TERM_DEBT_5_YEAR_GROWTH","FY 2016","FY 2016","Currency=INR","Period=FY","BEST_FPERIOD_OVERRIDE=FY","FILING_STATUS=OR","EQY_CONSOLIDATED=Y","Sort=A","Dates=H","DateFormat=P","Fill=—","Direction=H","UseDPDF=Y")</f>
        <v>#NAME?</v>
      </c>
      <c r="BA213" s="2" t="e">
        <f ca="1">_xll.BDH($C$203,"TOTAL_DEBT_5_YEAR_GROWTH","FY 2016","FY 2016","Currency=INR","Period=FY","BEST_FPERIOD_OVERRIDE=FY","FILING_STATUS=OR","EQY_CONSOLIDATED=Y","Sort=A","Dates=H","DateFormat=P","Fill=—","Direction=H","UseDPDF=Y")</f>
        <v>#NAME?</v>
      </c>
      <c r="BB213" s="2" t="e">
        <f ca="1">_xll.BDH($C$203,"GEO_GROW_TOT_SHRHLDR_EQY","FY 2016","FY 2016","Currency=INR","Period=FY","BEST_FPERIOD_OVERRIDE=FY","FILING_STATUS=OR","EQY_CONSOLIDATED=Y","Sort=A","Dates=H","DateFormat=P","Fill=—","Direction=H","UseDPDF=Y")</f>
        <v>#NAME?</v>
      </c>
      <c r="BC213" s="2" t="e">
        <f ca="1">_xll.BDH($C$203,"TOTAL_CAPITAL_5_YEAR_GROWTH","FY 2016","FY 2016","Currency=INR","Period=FY","BEST_FPERIOD_OVERRIDE=FY","FILING_STATUS=OR","EQY_CONSOLIDATED=Y","Sort=A","Dates=H","DateFormat=P","Fill=—","Direction=H","UseDPDF=Y")</f>
        <v>#NAME?</v>
      </c>
      <c r="BD213" s="2" t="e">
        <f ca="1">_xll.BDH($C$203,"GEO_GROW_BOOK_VAL","FY 2016","FY 2016","Currency=INR","Period=FY","BEST_FPERIOD_OVERRIDE=FY","FILING_STATUS=OR","EQY_CONSOLIDATED=Y","Sort=A","Dates=H","DateFormat=P","Fill=—","Direction=H","UseDPDF=Y")</f>
        <v>#NAME?</v>
      </c>
      <c r="BE213" s="2" t="e">
        <f ca="1">_xll.BDH($C$203,"GEO_GROW_CASH_OPER_ACT","FY 2016","FY 2016","Currency=INR","Period=FY","BEST_FPERIOD_OVERRIDE=FY","FILING_STATUS=OR","EQY_CONSOLIDATED=Y","Sort=A","Dates=H","DateFormat=P","Fill=—","Direction=H","UseDPDF=Y")</f>
        <v>#NAME?</v>
      </c>
      <c r="BF213" s="2" t="e">
        <f ca="1">_xll.BDH($C$203,"REVENUE_SEQUENTIAL_GROWTH","FY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13" s="2" t="e">
        <f ca="1">_xll.BDH($C$203,"EBITDA_SEQUENTIAL_GROWTH","FY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13" s="2" t="e">
        <f ca="1">_xll.BDH($C$203,"OPERATING_INCOME_SEQ_GROWTH","FY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13" s="2" t="e">
        <f ca="1">_xll.BDH($C$203,"NET_INCOME_TO_COMMON_SEQ_GROWTH","FY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13" s="2" t="e">
        <f ca="1">_xll.BDH($C$203,"EPS_DILUTED_SEQUENTIAL_GROWTH","FY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13" s="2" t="e">
        <f ca="1">_xll.BDH($C$203,"DPS_SEQUENTIAL_GROWTH","FY 2016","FY 2016","Currency=INR","Period=FY","BEST_FPERIOD_OVERRIDE=FY","FILING_STATUS=OR","EQY_CONSOLIDATED=Y","Sort=A","Dates=H","DateFormat=P","Fill=—","Direction=H","UseDPDF=Y")</f>
        <v>#NAME?</v>
      </c>
      <c r="BL213" s="2" t="e">
        <f ca="1">_xll.BDH($C$203,"ACCOUNTS_RECEIVABLE_SEQ_GROWTH","FY 2016","FY 2016","Currency=INR","Period=FY","BEST_FPERIOD_OVERRIDE=FY","FILING_STATUS=OR","EQY_CONSOLIDATED=Y","Sort=A","Dates=H","DateFormat=P","Fill=—","Direction=H","UseDPDF=Y")</f>
        <v>#NAME?</v>
      </c>
      <c r="BM213" s="2" t="e">
        <f ca="1">_xll.BDH($C$203,"INVENTORY_SEQUENTIAL_GROWTH","FY 2016","FY 2016","Currency=INR","Period=FY","BEST_FPERIOD_OVERRIDE=FY","FILING_STATUS=OR","EQY_CONSOLIDATED=Y","Sort=A","Dates=H","DateFormat=P","Fill=—","Direction=H","UseDPDF=Y")</f>
        <v>#NAME?</v>
      </c>
      <c r="BN213" s="2" t="e">
        <f ca="1">_xll.BDH($C$203,"FIXED_ASSETS_SEQUENTIAL_GROWTH","FY 2016","FY 2016","Currency=INR","Period=FY","BEST_FPERIOD_OVERRIDE=FY","FILING_STATUS=OR","EQY_CONSOLIDATED=Y","Sort=A","Dates=H","DateFormat=P","Fill=—","Direction=H","UseDPDF=Y")</f>
        <v>#NAME?</v>
      </c>
      <c r="BO213" s="2" t="e">
        <f ca="1">_xll.BDH($C$203,"TOTAL_ASSETS_SEQUENTIAL_GROWTH","FY 2016","FY 2016","Currency=INR","Period=FY","BEST_FPERIOD_OVERRIDE=FY","FILING_STATUS=OR","EQY_CONSOLIDATED=Y","Sort=A","Dates=H","DateFormat=P","Fill=—","Direction=H","UseDPDF=Y")</f>
        <v>#NAME?</v>
      </c>
      <c r="BP213" s="2" t="e">
        <f ca="1">_xll.BDH($C$203,"MODIFIED_WORKING_CPTL_SEQ_GRWTH","FY 2016","FY 2016","Currency=INR","Period=FY","BEST_FPERIOD_OVERRIDE=FY","FILING_STATUS=OR","EQY_CONSOLIDATED=Y","Sort=A","Dates=H","DateFormat=P","Fill=—","Direction=H","UseDPDF=Y")</f>
        <v>#NAME?</v>
      </c>
      <c r="BQ213" s="2" t="e">
        <f ca="1">_xll.BDH($C$203,"WORKING_CAPITAL_SEQ_GROWTH","FY 2016","FY 2016","Currency=INR","Period=FY","BEST_FPERIOD_OVERRIDE=FY","FILING_STATUS=OR","EQY_CONSOLIDATED=Y","Sort=A","Dates=H","DateFormat=P","Fill=—","Direction=H","UseDPDF=Y")</f>
        <v>#NAME?</v>
      </c>
      <c r="BR213" s="2" t="e">
        <f ca="1">_xll.BDH($C$203,"ACCOUNTS_PAYABLE_SEQ_GROWTH","FY 2016","FY 2016","Currency=INR","Period=FY","BEST_FPERIOD_OVERRIDE=FY","FILING_STATUS=OR","EQY_CONSOLIDATED=Y","Sort=A","Dates=H","DateFormat=P","Fill=—","Direction=H","UseDPDF=Y")</f>
        <v>#NAME?</v>
      </c>
      <c r="BS213" s="2" t="e">
        <f ca="1">_xll.BDH($C$203,"ST_DEBT_SEQUENTIAL_GROWTH","FY 2016","FY 2016","Currency=INR","Period=FY","BEST_FPERIOD_OVERRIDE=FY","FILING_STATUS=OR","EQY_CONSOLIDATED=Y","Sort=A","Dates=H","DateFormat=P","Fill=—","Direction=H","UseDPDF=Y")</f>
        <v>#NAME?</v>
      </c>
      <c r="BT213" s="2" t="e">
        <f ca="1">_xll.BDH($C$203,"TOTAL_DEBT_SEQUENTIAL_GROWTH","FY 2016","FY 2016","Currency=INR","Period=FY","BEST_FPERIOD_OVERRIDE=FY","FILING_STATUS=OR","EQY_CONSOLIDATED=Y","Sort=A","Dates=H","DateFormat=P","Fill=—","Direction=H","UseDPDF=Y")</f>
        <v>#NAME?</v>
      </c>
      <c r="BU213" s="2" t="e">
        <f ca="1">_xll.BDH($C$203,"TOTAL_EQUITY_SEQUENTIAL_GROWTH","FY 2016","FY 2016","Currency=INR","Period=FY","BEST_FPERIOD_OVERRIDE=FY","FILING_STATUS=OR","EQY_CONSOLIDATED=Y","Sort=A","Dates=H","DateFormat=P","Fill=—","Direction=H","UseDPDF=Y")</f>
        <v>#NAME?</v>
      </c>
      <c r="BV213" s="2" t="e">
        <f ca="1">_xll.BDH($C$203,"TOTAL_CAPITAL_SEQUENTIAL_GROWTH","FY 2016","FY 2016","Currency=INR","Period=FY","BEST_FPERIOD_OVERRIDE=FY","FILING_STATUS=OR","EQY_CONSOLIDATED=Y","Sort=A","Dates=H","DateFormat=P","Fill=—","Direction=H","UseDPDF=Y")</f>
        <v>#NAME?</v>
      </c>
      <c r="BW213" s="2" t="e">
        <f ca="1">_xll.BDH($C$203,"BPS_SEQUENTIAL_GROWTH","FY 2016","FY 2016","Currency=INR","Period=FY","BEST_FPERIOD_OVERRIDE=FY","FILING_STATUS=OR","EQY_CONSOLIDATED=Y","Sort=A","Dates=H","DateFormat=P","Fill=—","Direction=H","UseDPDF=Y")</f>
        <v>#NAME?</v>
      </c>
      <c r="BX213" s="2" t="e">
        <f ca="1">_xll.BDH($C$203,"CFO_SEQUENTIAL_GROWTH","FY 2016","FY 2016","Currency=INR","Period=FY","BEST_FPERIOD_OVERRIDE=FY","FILING_STATUS=OR","EQY_CONSOLIDATED=Y","Sort=A","Dates=H","DateFormat=P","Fill=—","Direction=H","UseDPDF=Y")</f>
        <v>#NAME?</v>
      </c>
      <c r="BY213" s="3" t="e">
        <f ca="1">_xll.BDH($C$203,"SHORT_AND_LONG_TERM_DEBT","FY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13" s="3" t="e">
        <f ca="1">_xll.BDH($C$203,"BS_ST_BORROW","FY 2016","FY 2016","Currency=INR","Period=FY","BEST_FPERIOD_OVERRIDE=FY","FILING_STATUS=OR","EQY_CONSOLIDATED=Y","SCALING_FORMAT=MLN","Sort=A","Dates=H","DateFormat=P","Fill=—","Direction=H","UseDPDF=Y")</f>
        <v>#NAME?</v>
      </c>
      <c r="CA213" s="3" t="e">
        <f ca="1">_xll.BDH($C$203,"BS_LT_BORROW","FY 2016","FY 2016","Currency=INR","Period=FY","BEST_FPERIOD_OVERRIDE=FY","FILING_STATUS=OR","EQY_CONSOLIDATED=Y","SCALING_FORMAT=MLN","Sort=A","Dates=H","DateFormat=P","Fill=—","Direction=H","UseDPDF=Y")</f>
        <v>#NAME?</v>
      </c>
      <c r="CB213" s="2" t="e">
        <f ca="1">_xll.BDH($C$203,"TOT_DEBT_TO_EBITDA","FY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13" s="2" t="e">
        <f ca="1">_xll.BDH($C$203,"NET_DEBT_TO_EBITDA","FY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13" s="2" t="e">
        <f ca="1">_xll.BDH($C$203,"TOTAL_DEBT_TO_EBIT","FY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13" s="2" t="e">
        <f ca="1">_xll.BDH($C$203,"NET_DEBT_TO_EBIT","FY 2016","FY 2016","Currency=INR","Period=FY","BEST_FPERIOD_OVERRIDE=FY","FILING_STATUS=OR","EQY_CONSOLIDATED=Y","FA_ADJUSTED=GAAP","Sort=A","Dates=H","DateFormat=P","Fill=—","Direction=H","UseDPDF=Y")</f>
        <v>#NAME?</v>
      </c>
      <c r="CF213" s="2" t="e">
        <f ca="1">_xll.BDH($C$203,"EBITDA_TO_INTEREST_EXPN","FY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13" s="2" t="e">
        <f ca="1">_xll.BDH($C$203,"COM_EQY_TO_TOT_ASSET","FY 2016","FY 2016","Currency=INR","Period=FY","BEST_FPERIOD_OVERRIDE=FY","FILING_STATUS=OR","EQY_CONSOLIDATED=Y","Sort=A","Dates=H","DateFormat=P","Fill=—","Direction=H","UseDPDF=Y")</f>
        <v>#NAME?</v>
      </c>
      <c r="CH213" s="2" t="e">
        <f ca="1">_xll.BDH($C$203,"LT_DEBT_TO_TOT_EQY","FY 2016","FY 2016","Currency=INR","Period=FY","BEST_FPERIOD_OVERRIDE=FY","FILING_STATUS=OR","EQY_CONSOLIDATED=Y","Sort=A","Dates=H","DateFormat=P","Fill=—","Direction=H","UseDPDF=Y")</f>
        <v>#NAME?</v>
      </c>
      <c r="CI213" s="2" t="e">
        <f ca="1">_xll.BDH($C$203,"LT_DEBT_TO_TOT_CAP","FY 2016","FY 2016","Currency=INR","Period=FY","BEST_FPERIOD_OVERRIDE=FY","FILING_STATUS=OR","EQY_CONSOLIDATED=Y","Sort=A","Dates=H","DateFormat=P","Fill=—","Direction=H","UseDPDF=Y")</f>
        <v>#NAME?</v>
      </c>
      <c r="CJ213" s="2" t="e">
        <f ca="1">_xll.BDH($C$203,"LT_DEBT_TO_TOT_ASSET","FY 2016","FY 2016","Currency=INR","Period=FY","BEST_FPERIOD_OVERRIDE=FY","FILING_STATUS=OR","EQY_CONSOLIDATED=Y","Sort=A","Dates=H","DateFormat=P","Fill=—","Direction=H","UseDPDF=Y")</f>
        <v>#NAME?</v>
      </c>
      <c r="CK213" s="2" t="e">
        <f ca="1">_xll.BDH($C$203,"TOT_DEBT_TO_TOT_EQY","FY 2016","FY 2016","Currency=INR","Period=FY","BEST_FPERIOD_OVERRIDE=FY","FILING_STATUS=OR","EQY_CONSOLIDATED=Y","Sort=A","Dates=H","DateFormat=P","Fill=—","Direction=H","UseDPDF=Y")</f>
        <v>#NAME?</v>
      </c>
      <c r="CL213" s="2" t="e">
        <f ca="1">_xll.BDH($C$203,"TOT_DEBT_TO_TOT_CAP","FY 2016","FY 2016","Currency=INR","Period=FY","BEST_FPERIOD_OVERRIDE=FY","FILING_STATUS=OR","EQY_CONSOLIDATED=Y","Sort=A","Dates=H","DateFormat=P","Fill=—","Direction=H","UseDPDF=Y")</f>
        <v>#NAME?</v>
      </c>
      <c r="CM213" s="2" t="e">
        <f ca="1">_xll.BDH($C$203,"TOT_DEBT_TO_TOT_ASSET","FY 2016","FY 2016","Currency=INR","Period=FY","BEST_FPERIOD_OVERRIDE=FY","FILING_STATUS=OR","EQY_CONSOLIDATED=Y","Sort=A","Dates=H","DateFormat=P","Fill=—","Direction=H","UseDPDF=Y")</f>
        <v>#NAME?</v>
      </c>
      <c r="CN213" s="2" t="e">
        <f ca="1">_xll.BDH($C$203,"NET_DEBT_TO_SHRHLDR_EQTY","FY 2016","FY 2016","Currency=INR","Period=FY","BEST_FPERIOD_OVERRIDE=FY","FILING_STATUS=OR","EQY_CONSOLIDATED=Y","Sort=A","Dates=H","DateFormat=P","Fill=—","Direction=H","UseDPDF=Y")</f>
        <v>#NAME?</v>
      </c>
      <c r="CO213" s="2" t="e">
        <f ca="1">_xll.BDH($C$203,"NET_DEBT_%_CAPITAL","FY 2016","FY 2016","Currency=INR","Period=FY","BEST_FPERIOD_OVERRIDE=FY","FILING_STATUS=OR","EQY_CONSOLIDATED=Y","Sort=A","Dates=H","DateFormat=P","Fill=—","Direction=H","UseDPDF=Y")</f>
        <v>#NAME?</v>
      </c>
      <c r="CP213" s="3" t="e">
        <f ca="1">_xll.BDH($C$203,"EBITDA","FY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13" s="3" t="e">
        <f ca="1">_xll.BDH($C$203,"EBITDA_AFTER_CAPEX","FY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13" s="3" t="e">
        <f ca="1">_xll.BDH($C$203,"IS_OPER_INC","FY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13" s="2" t="e">
        <f ca="1">_xll.BDH($C$203,"CASH_RATIO","FY 2016","FY 2016","Currency=INR","Period=FY","BEST_FPERIOD_OVERRIDE=FY","FILING_STATUS=OR","EQY_CONSOLIDATED=Y","Sort=A","Dates=H","DateFormat=P","Fill=—","Direction=H","UseDPDF=Y")</f>
        <v>#NAME?</v>
      </c>
      <c r="CT213" s="2" t="e">
        <f ca="1">_xll.BDH($C$203,"CUR_RATIO","FY 2016","FY 2016","Currency=INR","Period=FY","BEST_FPERIOD_OVERRIDE=FY","FILING_STATUS=OR","EQY_CONSOLIDATED=Y","Sort=A","Dates=H","DateFormat=P","Fill=—","Direction=H","UseDPDF=Y")</f>
        <v>#NAME?</v>
      </c>
      <c r="CU213" s="2" t="e">
        <f ca="1">_xll.BDH($C$203,"QUICK_RATIO","FY 2016","FY 2016","Currency=INR","Period=FY","BEST_FPERIOD_OVERRIDE=FY","FILING_STATUS=OR","EQY_CONSOLIDATED=Y","Sort=A","Dates=H","DateFormat=P","Fill=—","Direction=H","UseDPDF=Y")</f>
        <v>#NAME?</v>
      </c>
      <c r="CV213" s="2" t="e">
        <f ca="1">_xll.BDH($C$203,"ALTMAN_Z_SCORE","FY 2016","FY 2016","Currency=INR","Period=FY","BEST_FPERIOD_OVERRIDE=FY","FILING_STATUS=OR","EQY_CONSOLIDATED=Y","Sort=A","Dates=H","DateFormat=P","Fill=—","Direction=H","UseDPDF=Y")</f>
        <v>#NAME?</v>
      </c>
      <c r="CW213" s="4" t="e">
        <f ca="1">_xll.BDH($C$203,"ACCT_RCV_TURN","FY 2016","FY 2016","Currency=INR","Period=FY","BEST_FPERIOD_OVERRIDE=FY","FILING_STATUS=OR","EQY_CONSOLIDATED=Y","FA_ADJUSTED=GAAP","Sort=A","Dates=H","DateFormat=P","Fill=—","Direction=H","UseDPDF=Y")</f>
        <v>#NAME?</v>
      </c>
      <c r="CX213" s="2" t="e">
        <f ca="1">_xll.BDH($C$203,"ACCT_RCV_DAYS","FY 2016","FY 2016","Currency=INR","Period=FY","BEST_FPERIOD_OVERRIDE=FY","FILING_STATUS=OR","EQY_CONSOLIDATED=Y","FA_ADJUSTED=GAAP","Sort=A","Dates=H","DateFormat=P","Fill=—","Direction=H","UseDPDF=Y")</f>
        <v>#NAME?</v>
      </c>
      <c r="CY213" s="4" t="e">
        <f ca="1">_xll.BDH($C$203,"INVENT_TURN","FY 2016","FY 2016","Currency=INR","Period=FY","BEST_FPERIOD_OVERRIDE=FY","FILING_STATUS=OR","EQY_CONSOLIDATED=Y","FA_ADJUSTED=GAAP","Sort=A","Dates=H","DateFormat=P","Fill=—","Direction=H","UseDPDF=Y")</f>
        <v>#NAME?</v>
      </c>
      <c r="CZ213" s="2" t="e">
        <f ca="1">_xll.BDH($C$203,"INVENT_DAYS","FY 2016","FY 2016","Currency=INR","Period=FY","BEST_FPERIOD_OVERRIDE=FY","FILING_STATUS=OR","EQY_CONSOLIDATED=Y","FA_ADJUSTED=GAAP","Sort=A","Dates=H","DateFormat=P","Fill=—","Direction=H","UseDPDF=Y")</f>
        <v>#NAME?</v>
      </c>
      <c r="DA213" s="4" t="e">
        <f ca="1">_xll.BDH($C$203,"ACCOUNTS_PAYABLE_TURNOVER","FY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13" s="2" t="e">
        <f ca="1">_xll.BDH($C$203,"ACCOUNTS_PAYABLE_TURNOVER_DAYS","FY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13" s="4" t="e">
        <f ca="1">_xll.BDH($C$203,"CASH_CONVERSION_CYCLE","FY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13" s="4" t="e">
        <f ca="1">_xll.BDH($C$203,"INV_TO_CASH_DAYS","FY 2016","FY 2016","Currency=INR","Period=FY","BEST_FPERIOD_OVERRIDE=FY","FILING_STATUS=OR","EQY_CONSOLIDATED=Y","FA_ADJUSTED=GAAP","Sort=A","Dates=H","DateFormat=P","Fill=—","Direction=H","UseDPDF=Y")</f>
        <v>#NAME?</v>
      </c>
      <c r="DE213" s="5" t="e">
        <f ca="1">_xll.BDH($C$203,"BS_INVENTORIES","FY 2016","FY 2016","Currency=INR","Period=FY","BEST_FPERIOD_OVERRIDE=FY","FILING_STATUS=OR","EQY_CONSOLIDATED=Y","SCALING_FORMAT=MLN","Sort=A","Dates=H","DateFormat=P","Fill=—","Direction=H","UseDPDF=Y")</f>
        <v>#NAME?</v>
      </c>
      <c r="DF213" s="3" t="e">
        <f ca="1">_xll.BDH($C$203,"INVTRY_RAW_MATERIALS","FY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13" s="3" t="e">
        <f ca="1">_xll.BDH($C$203,"INVTRY_IN_PROGRESS","FY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13" s="3" t="e">
        <f ca="1">_xll.BDH($C$203,"INVTRY_FINISHED_GOODS","FY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13" s="3" t="e">
        <f ca="1">_xll.BDH($C$203,"BS_OTHER_INV","FY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14" spans="1:113" x14ac:dyDescent="0.3">
      <c r="A214" s="6"/>
      <c r="B214" s="6"/>
      <c r="C214" s="6"/>
      <c r="D214" s="6"/>
      <c r="E214" t="s">
        <v>78</v>
      </c>
      <c r="F214" t="e">
        <f ca="1">_xll.BDH($C$203,"RETURN_COM_EQY","FQ1 2016","FQ1 2016","Currency=INR","Period=FQ","BEST_FPERIOD_OVERRIDE=FQ","FILING_STATUS=OR","EQY_CONSOLIDATED=Y","FA_ADJUSTED=GAAP","Sort=A","Dates=H","DateFormat=P","Fill=—","Direction=H","UseDPDF=Y")</f>
        <v>#NAME?</v>
      </c>
      <c r="G214" t="e">
        <f ca="1">_xll.BDH($C$203,"RETURN_ON_ASSET","FQ1 2016","FQ1 2016","Currency=INR","Period=FQ","BEST_FPERIOD_OVERRIDE=FQ","FILING_STATUS=OR","EQY_CONSOLIDATED=Y","FA_ADJUSTED=GAAP","Sort=A","Dates=H","DateFormat=P","Fill=—","Direction=H","UseDPDF=Y")</f>
        <v>#NAME?</v>
      </c>
      <c r="H214" t="e">
        <f ca="1">_xll.BDH($C$203,"RETURN_ON_CAP","FQ1 2016","FQ1 2016","Currency=INR","Period=FQ","BEST_FPERIOD_OVERRIDE=FQ","FILING_STATUS=OR","EQY_CONSOLIDATED=Y","FA_ADJUSTED=GAAP","Sort=A","Dates=H","DateFormat=P","Fill=—","Direction=H","UseDPDF=Y")</f>
        <v>#NAME?</v>
      </c>
      <c r="I214" t="e">
        <f ca="1">_xll.BDH($C$203,"RETURN_ON_INV_CAPITAL","FQ1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14" t="e">
        <f ca="1">_xll.BDH($C$203,"EBITDA_TO_REVENUE","FQ1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14" t="e">
        <f ca="1">_xll.BDH($C$203,"OPER_MARGIN","FQ1 2016","FQ1 2016","Currency=INR","Period=FQ","BEST_FPERIOD_OVERRIDE=FQ","FILING_STATUS=OR","EQY_CONSOLIDATED=Y","FA_ADJUSTED=GAAP","Sort=A","Dates=H","DateFormat=P","Fill=—","Direction=H","UseDPDF=Y")</f>
        <v>#NAME?</v>
      </c>
      <c r="L214" t="e">
        <f ca="1">_xll.BDH($C$203,"INCREMENTAL_OPERATING_MARGIN","FQ1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14" t="e">
        <f ca="1">_xll.BDH($C$203,"PRETAX_INC_TO_NET_SALES","FQ1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14" t="e">
        <f ca="1">_xll.BDH($C$203,"INC_BEF_XO_ITEMS_TO_NET_SALES","FQ1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14" t="e">
        <f ca="1">_xll.BDH($C$203,"PROF_MARGIN","FQ1 2016","FQ1 2016","Currency=INR","Period=FQ","BEST_FPERIOD_OVERRIDE=FQ","FILING_STATUS=OR","EQY_CONSOLIDATED=Y","FA_ADJUSTED=GAAP","Sort=A","Dates=H","DateFormat=P","Fill=—","Direction=H","UseDPDF=Y")</f>
        <v>#NAME?</v>
      </c>
      <c r="P214" t="e">
        <f ca="1">_xll.BDH($C$203,"NET_INCOME_TO_COMMON_MARGIN","FQ1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14" t="e">
        <f ca="1">_xll.BDH($C$203,"EFF_TAX_RATE","FQ1 2016","FQ1 2016","Currency=INR","Period=FQ","BEST_FPERIOD_OVERRIDE=FQ","FILING_STATUS=OR","EQY_CONSOLIDATED=Y","FA_ADJUSTED=GAAP","Sort=A","Dates=H","DateFormat=P","Fill=—","Direction=H","UseDPDF=Y")</f>
        <v>#NAME?</v>
      </c>
      <c r="R214" t="e">
        <f ca="1">_xll.BDH($C$203,"DVD_PAYOUT_RATIO","FQ1 2016","FQ1 2016","Currency=INR","Period=FQ","BEST_FPERIOD_OVERRIDE=FQ","FILING_STATUS=OR","EQY_CONSOLIDATED=Y","FA_ADJUSTED=GAAP","Sort=A","Dates=H","DateFormat=P","Fill=—","Direction=H","UseDPDF=Y")</f>
        <v>#NAME?</v>
      </c>
      <c r="S214" t="e">
        <f ca="1">_xll.BDH($C$203,"SUSTAIN_GROWTH_RT","FQ1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14" s="2" t="e">
        <f ca="1">_xll.BDH($C$203,"SALES_GROWTH","FQ1 2016","FQ1 2016","Currency=INR","Period=FQ","BEST_FPERIOD_OVERRIDE=FQ","FILING_STATUS=OR","EQY_CONSOLIDATED=Y","FA_ADJUSTED=GAAP","Sort=A","Dates=H","DateFormat=P","Fill=—","Direction=H","UseDPDF=Y")</f>
        <v>#NAME?</v>
      </c>
      <c r="U214" s="2" t="e">
        <f ca="1">_xll.BDH($C$203,"EBITDA_GROWTH","FQ1 2016","FQ1 2016","Currency=INR","Period=FQ","BEST_FPERIOD_OVERRIDE=FQ","FILING_STATUS=OR","EQY_CONSOLIDATED=Y","FA_ADJUSTED=GAAP","Sort=A","Dates=H","DateFormat=P","Fill=—","Direction=H","UseDPDF=Y")</f>
        <v>#NAME?</v>
      </c>
      <c r="V214" s="2" t="e">
        <f ca="1">_xll.BDH($C$203,"OPER_INC_GROWTH","FQ1 2016","FQ1 2016","Currency=INR","Period=FQ","BEST_FPERIOD_OVERRIDE=FQ","FILING_STATUS=OR","EQY_CONSOLIDATED=Y","FA_ADJUSTED=GAAP","Sort=A","Dates=H","DateFormat=P","Fill=—","Direction=H","UseDPDF=Y")</f>
        <v>#NAME?</v>
      </c>
      <c r="W214" s="2" t="e">
        <f ca="1">_xll.BDH($C$203,"EARN_FOR_COM_GROWTH","FQ1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14" s="2" t="e">
        <f ca="1">_xll.BDH($C$203,"DILUTED_EPS_AFT_XO_ITEMS_GROWTH","FQ1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14" s="2" t="e">
        <f ca="1">_xll.BDH($C$203,"DIVIDEND_PER_SHARE_1_YEAR_GROWTH","FQ1 2016","FQ1 2016","Currency=INR","Period=FQ","BEST_FPERIOD_OVERRIDE=FQ","FILING_STATUS=OR","EQY_CONSOLIDATED=Y","Sort=A","Dates=H","DateFormat=P","Fill=—","Direction=H","UseDPDF=Y")</f>
        <v>#NAME?</v>
      </c>
      <c r="Z214" s="2" t="e">
        <f ca="1">_xll.BDH($C$203,"ACCOUNTS_RECEIVABLE_GROWTH","FQ1 2016","FQ1 2016","Currency=INR","Period=FQ","BEST_FPERIOD_OVERRIDE=FQ","FILING_STATUS=OR","EQY_CONSOLIDATED=Y","Sort=A","Dates=H","DateFormat=P","Fill=—","Direction=H","UseDPDF=Y")</f>
        <v>#NAME?</v>
      </c>
      <c r="AA214" s="2" t="e">
        <f ca="1">_xll.BDH($C$203,"INVENTORY_GROWTH","FQ1 2016","FQ1 2016","Currency=INR","Period=FQ","BEST_FPERIOD_OVERRIDE=FQ","FILING_STATUS=OR","EQY_CONSOLIDATED=Y","Sort=A","Dates=H","DateFormat=P","Fill=—","Direction=H","UseDPDF=Y")</f>
        <v>#NAME?</v>
      </c>
      <c r="AB214" s="2" t="e">
        <f ca="1">_xll.BDH($C$203,"NET_FIXED_ASSETS_1_YEAR_GROWTH","FQ1 2016","FQ1 2016","Currency=INR","Period=FQ","BEST_FPERIOD_OVERRIDE=FQ","FILING_STATUS=OR","EQY_CONSOLIDATED=Y","Sort=A","Dates=H","DateFormat=P","Fill=—","Direction=H","UseDPDF=Y")</f>
        <v>#NAME?</v>
      </c>
      <c r="AC214" s="2" t="e">
        <f ca="1">_xll.BDH($C$203,"ASSET_GROWTH","FQ1 2016","FQ1 2016","Currency=INR","Period=FQ","BEST_FPERIOD_OVERRIDE=FQ","FILING_STATUS=OR","EQY_CONSOLIDATED=Y","Sort=A","Dates=H","DateFormat=P","Fill=—","Direction=H","UseDPDF=Y")</f>
        <v>#NAME?</v>
      </c>
      <c r="AD214" s="2" t="e">
        <f ca="1">_xll.BDH($C$203,"MODIFIED_WORK_CAP_GROWTH","FQ1 2016","FQ1 2016","Currency=INR","Period=FQ","BEST_FPERIOD_OVERRIDE=FQ","FILING_STATUS=OR","EQY_CONSOLIDATED=Y","Sort=A","Dates=H","DateFormat=P","Fill=—","Direction=H","UseDPDF=Y")</f>
        <v>#NAME?</v>
      </c>
      <c r="AE214" s="2" t="e">
        <f ca="1">_xll.BDH($C$203,"WORK_CAP_GROWTH","FQ1 2016","FQ1 2016","Currency=INR","Period=FQ","BEST_FPERIOD_OVERRIDE=FQ","FILING_STATUS=OR","EQY_CONSOLIDATED=Y","Sort=A","Dates=H","DateFormat=P","Fill=—","Direction=H","UseDPDF=Y")</f>
        <v>#NAME?</v>
      </c>
      <c r="AF214" s="2" t="e">
        <f ca="1">_xll.BDH($C$203,"ACCOUNTS_PAYABLE_GROWTH_1YR","FQ1 2016","FQ1 2016","Currency=INR","Period=FQ","BEST_FPERIOD_OVERRIDE=FQ","FILING_STATUS=OR","EQY_CONSOLIDATED=Y","Sort=A","Dates=H","DateFormat=P","Fill=—","Direction=H","UseDPDF=Y")</f>
        <v>#NAME?</v>
      </c>
      <c r="AG214" s="2" t="e">
        <f ca="1">_xll.BDH($C$203,"SHORT_TERM_DEBT_1_YEAR_GROWTH","FQ1 2016","FQ1 2016","Currency=INR","Period=FQ","BEST_FPERIOD_OVERRIDE=FQ","FILING_STATUS=OR","EQY_CONSOLIDATED=Y","Sort=A","Dates=H","DateFormat=P","Fill=—","Direction=H","UseDPDF=Y")</f>
        <v>#NAME?</v>
      </c>
      <c r="AH214" s="2" t="e">
        <f ca="1">_xll.BDH($C$203,"TOTAL_DEBT_1_YEAR_GROWTH","FQ1 2016","FQ1 2016","Currency=INR","Period=FQ","BEST_FPERIOD_OVERRIDE=FQ","FILING_STATUS=OR","EQY_CONSOLIDATED=Y","Sort=A","Dates=H","DateFormat=P","Fill=—","Direction=H","UseDPDF=Y")</f>
        <v>#NAME?</v>
      </c>
      <c r="AI214" s="2" t="e">
        <f ca="1">_xll.BDH($C$203,"TOTAL_EQUITY_1_YEAR_GROWTH","FQ1 2016","FQ1 2016","Currency=INR","Period=FQ","BEST_FPERIOD_OVERRIDE=FQ","FILING_STATUS=OR","EQY_CONSOLIDATED=Y","Sort=A","Dates=H","DateFormat=P","Fill=—","Direction=H","UseDPDF=Y")</f>
        <v>#NAME?</v>
      </c>
      <c r="AJ214" s="2" t="e">
        <f ca="1">_xll.BDH($C$203,"GROWTH_IN_CAP","FQ1 2016","FQ1 2016","Currency=INR","Period=FQ","BEST_FPERIOD_OVERRIDE=FQ","FILING_STATUS=OR","EQY_CONSOLIDATED=Y","Sort=A","Dates=H","DateFormat=P","Fill=—","Direction=H","UseDPDF=Y")</f>
        <v>#NAME?</v>
      </c>
      <c r="AK214" s="2" t="e">
        <f ca="1">_xll.BDH($C$203,"BVPS_GROWTH","FQ1 2016","FQ1 2016","Currency=INR","Period=FQ","BEST_FPERIOD_OVERRIDE=FQ","FILING_STATUS=OR","EQY_CONSOLIDATED=Y","Sort=A","Dates=H","DateFormat=P","Fill=—","Direction=H","UseDPDF=Y")</f>
        <v>#NAME?</v>
      </c>
      <c r="AL214" s="2" t="e">
        <f ca="1">_xll.BDH($C$203,"CASH_FLOW_GROWTH","FQ1 2016","FQ1 2016","Currency=INR","Period=FQ","BEST_FPERIOD_OVERRIDE=FQ","FILING_STATUS=OR","EQY_CONSOLIDATED=Y","Sort=A","Dates=H","DateFormat=P","Fill=—","Direction=H","UseDPDF=Y")</f>
        <v>#NAME?</v>
      </c>
      <c r="AM214" s="2" t="e">
        <f ca="1">_xll.BDH($C$203,"GEO_GROW_NET_SALES","FQ1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14" s="2" t="e">
        <f ca="1">_xll.BDH($C$203,"GEO_GROW_EBITDA","FQ1 2016","FQ1 2016","Currency=INR","Period=FQ","BEST_FPERIOD_OVERRIDE=FQ","FILING_STATUS=OR","EQY_CONSOLIDATED=Y","FA_ADJUSTED=GAAP","Sort=A","Dates=H","DateFormat=P","Fill=—","Direction=H","UseDPDF=Y")</f>
        <v>#NAME?</v>
      </c>
      <c r="AO214" s="2" t="e">
        <f ca="1">_xll.BDH($C$203,"GEO_GROW_OPER_INC","FQ1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14" s="2" t="e">
        <f ca="1">_xll.BDH($C$203,"NET_INCOME_TO_COMMON_5_YR_GROWTH","FQ1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14" s="2" t="e">
        <f ca="1">_xll.BDH($C$203,"5Y_GEO_GROWTH_DILUTED_EPS","FQ1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14" s="2" t="e">
        <f ca="1">_xll.BDH($C$203,"GEO_GROW_DVD_PER_SH","FQ1 2016","FQ1 2016","Currency=INR","Period=FQ","BEST_FPERIOD_OVERRIDE=FQ","FILING_STATUS=OR","EQY_CONSOLIDATED=Y","Sort=A","Dates=H","DateFormat=P","Fill=—","Direction=H","UseDPDF=Y")</f>
        <v>#NAME?</v>
      </c>
      <c r="AS214" s="2" t="e">
        <f ca="1">_xll.BDH($C$203,"ACCOUNTS_RECEIVABLE_5_YR_GROWTH","FQ1 2016","FQ1 2016","Currency=INR","Period=FQ","BEST_FPERIOD_OVERRIDE=FQ","FILING_STATUS=OR","EQY_CONSOLIDATED=Y","Sort=A","Dates=H","DateFormat=P","Fill=—","Direction=H","UseDPDF=Y")</f>
        <v>#NAME?</v>
      </c>
      <c r="AT214" s="2" t="e">
        <f ca="1">_xll.BDH($C$203,"INVENTORY_5_YEAR_GROWTH","FQ1 2016","FQ1 2016","Currency=INR","Period=FQ","BEST_FPERIOD_OVERRIDE=FQ","FILING_STATUS=OR","EQY_CONSOLIDATED=Y","Sort=A","Dates=H","DateFormat=P","Fill=—","Direction=H","UseDPDF=Y")</f>
        <v>#NAME?</v>
      </c>
      <c r="AU214" s="2" t="e">
        <f ca="1">_xll.BDH($C$203,"NET_FIXED_ASSETS_5_YEAR_GROWTH","FQ1 2016","FQ1 2016","Currency=INR","Period=FQ","BEST_FPERIOD_OVERRIDE=FQ","FILING_STATUS=OR","EQY_CONSOLIDATED=Y","Sort=A","Dates=H","DateFormat=P","Fill=—","Direction=H","UseDPDF=Y")</f>
        <v>#NAME?</v>
      </c>
      <c r="AV214" s="2" t="e">
        <f ca="1">_xll.BDH($C$203,"GEO_GROW_TOT_ASSET","FQ1 2016","FQ1 2016","Currency=INR","Period=FQ","BEST_FPERIOD_OVERRIDE=FQ","FILING_STATUS=OR","EQY_CONSOLIDATED=Y","Sort=A","Dates=H","DateFormat=P","Fill=—","Direction=H","UseDPDF=Y")</f>
        <v>#NAME?</v>
      </c>
      <c r="AW214" s="2" t="e">
        <f ca="1">_xll.BDH($C$203,"MODIFIED_WORKING_CPTL_5YR_GRWTH","FQ1 2016","FQ1 2016","Currency=INR","Period=FQ","BEST_FPERIOD_OVERRIDE=FQ","FILING_STATUS=OR","EQY_CONSOLIDATED=Y","Sort=A","Dates=H","DateFormat=P","Fill=—","Direction=H","UseDPDF=Y")</f>
        <v>#NAME?</v>
      </c>
      <c r="AX214" s="2" t="e">
        <f ca="1">_xll.BDH($C$203,"WORKING_CAPITAL_5_YEAR_GROWTH","FQ1 2016","FQ1 2016","Currency=INR","Period=FQ","BEST_FPERIOD_OVERRIDE=FQ","FILING_STATUS=OR","EQY_CONSOLIDATED=Y","Sort=A","Dates=H","DateFormat=P","Fill=—","Direction=H","UseDPDF=Y")</f>
        <v>#NAME?</v>
      </c>
      <c r="AY214" s="2" t="e">
        <f ca="1">_xll.BDH($C$203,"ACCOUNTS_PAYABLE_5_YEAR_GROWTH","FQ1 2016","FQ1 2016","Currency=INR","Period=FQ","BEST_FPERIOD_OVERRIDE=FQ","FILING_STATUS=OR","EQY_CONSOLIDATED=Y","Sort=A","Dates=H","DateFormat=P","Fill=—","Direction=H","UseDPDF=Y")</f>
        <v>#NAME?</v>
      </c>
      <c r="AZ214" s="2" t="e">
        <f ca="1">_xll.BDH($C$203,"SHORT_TERM_DEBT_5_YEAR_GROWTH","FQ1 2016","FQ1 2016","Currency=INR","Period=FQ","BEST_FPERIOD_OVERRIDE=FQ","FILING_STATUS=OR","EQY_CONSOLIDATED=Y","Sort=A","Dates=H","DateFormat=P","Fill=—","Direction=H","UseDPDF=Y")</f>
        <v>#NAME?</v>
      </c>
      <c r="BA214" s="2" t="e">
        <f ca="1">_xll.BDH($C$203,"TOTAL_DEBT_5_YEAR_GROWTH","FQ1 2016","FQ1 2016","Currency=INR","Period=FQ","BEST_FPERIOD_OVERRIDE=FQ","FILING_STATUS=OR","EQY_CONSOLIDATED=Y","Sort=A","Dates=H","DateFormat=P","Fill=—","Direction=H","UseDPDF=Y")</f>
        <v>#NAME?</v>
      </c>
      <c r="BB214" s="2" t="e">
        <f ca="1">_xll.BDH($C$203,"GEO_GROW_TOT_SHRHLDR_EQY","FQ1 2016","FQ1 2016","Currency=INR","Period=FQ","BEST_FPERIOD_OVERRIDE=FQ","FILING_STATUS=OR","EQY_CONSOLIDATED=Y","Sort=A","Dates=H","DateFormat=P","Fill=—","Direction=H","UseDPDF=Y")</f>
        <v>#NAME?</v>
      </c>
      <c r="BC214" s="2" t="e">
        <f ca="1">_xll.BDH($C$203,"TOTAL_CAPITAL_5_YEAR_GROWTH","FQ1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_xll.BDH($C$203,"GEO_GROW_BOOK_VAL","FQ1 2016","FQ1 2016","Currency=INR","Period=FQ","BEST_FPERIOD_OVERRIDE=FQ","FILING_STATUS=OR","EQY_CONSOLIDATED=Y","Sort=A","Dates=H","DateFormat=P","Fill=—","Direction=H","UseDPDF=Y")</f>
        <v>#NAME?</v>
      </c>
      <c r="BE214" s="2" t="e">
        <f ca="1">_xll.BDH($C$203,"GEO_GROW_CASH_OPER_ACT","FQ1 2016","FQ1 2016","Currency=INR","Period=FQ","BEST_FPERIOD_OVERRIDE=FQ","FILING_STATUS=OR","EQY_CONSOLIDATED=Y","Sort=A","Dates=H","DateFormat=P","Fill=—","Direction=H","UseDPDF=Y")</f>
        <v>#NAME?</v>
      </c>
      <c r="BF214" s="2" t="e">
        <f ca="1">_xll.BDH($C$203,"REVENUE_SEQUENTIAL_GROWTH","FQ1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14" s="2" t="e">
        <f ca="1">_xll.BDH($C$203,"EBITDA_SEQUENTIAL_GROWTH","FQ1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14" s="2" t="e">
        <f ca="1">_xll.BDH($C$203,"OPERATING_INCOME_SEQ_GROWTH","FQ1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14" s="2" t="e">
        <f ca="1">_xll.BDH($C$203,"NET_INCOME_TO_COMMON_SEQ_GROWTH","FQ1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14" s="2" t="e">
        <f ca="1">_xll.BDH($C$203,"EPS_DILUTED_SEQUENTIAL_GROWTH","FQ1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14" s="2" t="e">
        <f ca="1">_xll.BDH($C$203,"DPS_SEQUENTIAL_GROWTH","FQ1 2016","FQ1 2016","Currency=INR","Period=FQ","BEST_FPERIOD_OVERRIDE=FQ","FILING_STATUS=OR","EQY_CONSOLIDATED=Y","Sort=A","Dates=H","DateFormat=P","Fill=—","Direction=H","UseDPDF=Y")</f>
        <v>#NAME?</v>
      </c>
      <c r="BL214" s="2" t="e">
        <f ca="1">_xll.BDH($C$203,"ACCOUNTS_RECEIVABLE_SEQ_GROWTH","FQ1 2016","FQ1 2016","Currency=INR","Period=FQ","BEST_FPERIOD_OVERRIDE=FQ","FILING_STATUS=OR","EQY_CONSOLIDATED=Y","Sort=A","Dates=H","DateFormat=P","Fill=—","Direction=H","UseDPDF=Y")</f>
        <v>#NAME?</v>
      </c>
      <c r="BM214" s="2" t="e">
        <f ca="1">_xll.BDH($C$203,"INVENTORY_SEQUENTIAL_GROWTH","FQ1 2016","FQ1 2016","Currency=INR","Period=FQ","BEST_FPERIOD_OVERRIDE=FQ","FILING_STATUS=OR","EQY_CONSOLIDATED=Y","Sort=A","Dates=H","DateFormat=P","Fill=—","Direction=H","UseDPDF=Y")</f>
        <v>#NAME?</v>
      </c>
      <c r="BN214" s="2" t="e">
        <f ca="1">_xll.BDH($C$203,"FIXED_ASSETS_SEQUENTIAL_GROWTH","FQ1 2016","FQ1 2016","Currency=INR","Period=FQ","BEST_FPERIOD_OVERRIDE=FQ","FILING_STATUS=OR","EQY_CONSOLIDATED=Y","Sort=A","Dates=H","DateFormat=P","Fill=—","Direction=H","UseDPDF=Y")</f>
        <v>#NAME?</v>
      </c>
      <c r="BO214" s="2" t="e">
        <f ca="1">_xll.BDH($C$203,"TOTAL_ASSETS_SEQUENTIAL_GROWTH","FQ1 2016","FQ1 2016","Currency=INR","Period=FQ","BEST_FPERIOD_OVERRIDE=FQ","FILING_STATUS=OR","EQY_CONSOLIDATED=Y","Sort=A","Dates=H","DateFormat=P","Fill=—","Direction=H","UseDPDF=Y")</f>
        <v>#NAME?</v>
      </c>
      <c r="BP214" s="2" t="e">
        <f ca="1">_xll.BDH($C$203,"MODIFIED_WORKING_CPTL_SEQ_GRWTH","FQ1 2016","FQ1 2016","Currency=INR","Period=FQ","BEST_FPERIOD_OVERRIDE=FQ","FILING_STATUS=OR","EQY_CONSOLIDATED=Y","Sort=A","Dates=H","DateFormat=P","Fill=—","Direction=H","UseDPDF=Y")</f>
        <v>#NAME?</v>
      </c>
      <c r="BQ214" s="2" t="e">
        <f ca="1">_xll.BDH($C$203,"WORKING_CAPITAL_SEQ_GROWTH","FQ1 2016","FQ1 2016","Currency=INR","Period=FQ","BEST_FPERIOD_OVERRIDE=FQ","FILING_STATUS=OR","EQY_CONSOLIDATED=Y","Sort=A","Dates=H","DateFormat=P","Fill=—","Direction=H","UseDPDF=Y")</f>
        <v>#NAME?</v>
      </c>
      <c r="BR214" s="2" t="e">
        <f ca="1">_xll.BDH($C$203,"ACCOUNTS_PAYABLE_SEQ_GROWTH","FQ1 2016","FQ1 2016","Currency=INR","Period=FQ","BEST_FPERIOD_OVERRIDE=FQ","FILING_STATUS=OR","EQY_CONSOLIDATED=Y","Sort=A","Dates=H","DateFormat=P","Fill=—","Direction=H","UseDPDF=Y")</f>
        <v>#NAME?</v>
      </c>
      <c r="BS214" s="2" t="e">
        <f ca="1">_xll.BDH($C$203,"ST_DEBT_SEQUENTIAL_GROWTH","FQ1 2016","FQ1 2016","Currency=INR","Period=FQ","BEST_FPERIOD_OVERRIDE=FQ","FILING_STATUS=OR","EQY_CONSOLIDATED=Y","Sort=A","Dates=H","DateFormat=P","Fill=—","Direction=H","UseDPDF=Y")</f>
        <v>#NAME?</v>
      </c>
      <c r="BT214" s="2" t="e">
        <f ca="1">_xll.BDH($C$203,"TOTAL_DEBT_SEQUENTIAL_GROWTH","FQ1 2016","FQ1 2016","Currency=INR","Period=FQ","BEST_FPERIOD_OVERRIDE=FQ","FILING_STATUS=OR","EQY_CONSOLIDATED=Y","Sort=A","Dates=H","DateFormat=P","Fill=—","Direction=H","UseDPDF=Y")</f>
        <v>#NAME?</v>
      </c>
      <c r="BU214" s="2" t="e">
        <f ca="1">_xll.BDH($C$203,"TOTAL_EQUITY_SEQUENTIAL_GROWTH","FQ1 2016","FQ1 2016","Currency=INR","Period=FQ","BEST_FPERIOD_OVERRIDE=FQ","FILING_STATUS=OR","EQY_CONSOLIDATED=Y","Sort=A","Dates=H","DateFormat=P","Fill=—","Direction=H","UseDPDF=Y")</f>
        <v>#NAME?</v>
      </c>
      <c r="BV214" s="2" t="e">
        <f ca="1">_xll.BDH($C$203,"TOTAL_CAPITAL_SEQUENTIAL_GROWTH","FQ1 2016","FQ1 2016","Currency=INR","Period=FQ","BEST_FPERIOD_OVERRIDE=FQ","FILING_STATUS=OR","EQY_CONSOLIDATED=Y","Sort=A","Dates=H","DateFormat=P","Fill=—","Direction=H","UseDPDF=Y")</f>
        <v>#NAME?</v>
      </c>
      <c r="BW214" s="2" t="e">
        <f ca="1">_xll.BDH($C$203,"BPS_SEQUENTIAL_GROWTH","FQ1 2016","FQ1 2016","Currency=INR","Period=FQ","BEST_FPERIOD_OVERRIDE=FQ","FILING_STATUS=OR","EQY_CONSOLIDATED=Y","Sort=A","Dates=H","DateFormat=P","Fill=—","Direction=H","UseDPDF=Y")</f>
        <v>#NAME?</v>
      </c>
      <c r="BX214" s="2" t="e">
        <f ca="1">_xll.BDH($C$203,"CFO_SEQUENTIAL_GROWTH","FQ1 2016","FQ1 2016","Currency=INR","Period=FQ","BEST_FPERIOD_OVERRIDE=FQ","FILING_STATUS=OR","EQY_CONSOLIDATED=Y","Sort=A","Dates=H","DateFormat=P","Fill=—","Direction=H","UseDPDF=Y")</f>
        <v>#NAME?</v>
      </c>
      <c r="BY214" s="3" t="e">
        <f ca="1">_xll.BDH($C$203,"SHORT_AND_LONG_TERM_DEBT","FQ1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14" s="3" t="e">
        <f ca="1">_xll.BDH($C$203,"BS_ST_BORROW","FQ1 2016","FQ1 2016","Currency=INR","Period=FQ","BEST_FPERIOD_OVERRIDE=FQ","FILING_STATUS=OR","EQY_CONSOLIDATED=Y","SCALING_FORMAT=MLN","Sort=A","Dates=H","DateFormat=P","Fill=—","Direction=H","UseDPDF=Y")</f>
        <v>#NAME?</v>
      </c>
      <c r="CA214" s="3" t="e">
        <f ca="1">_xll.BDH($C$203,"BS_LT_BORROW","FQ1 2016","FQ1 2016","Currency=INR","Period=FQ","BEST_FPERIOD_OVERRIDE=FQ","FILING_STATUS=OR","EQY_CONSOLIDATED=Y","SCALING_FORMAT=MLN","Sort=A","Dates=H","DateFormat=P","Fill=—","Direction=H","UseDPDF=Y")</f>
        <v>#NAME?</v>
      </c>
      <c r="CB214" s="2" t="e">
        <f ca="1">_xll.BDH($C$203,"TOT_DEBT_TO_EBITDA","FQ1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14" s="2" t="e">
        <f ca="1">_xll.BDH($C$203,"NET_DEBT_TO_EBITDA","FQ1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14" s="2" t="e">
        <f ca="1">_xll.BDH($C$203,"TOTAL_DEBT_TO_EBIT","FQ1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14" s="2" t="e">
        <f ca="1">_xll.BDH($C$203,"NET_DEBT_TO_EBIT","FQ1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14" s="2" t="e">
        <f ca="1">_xll.BDH($C$203,"EBITDA_TO_INTEREST_EXPN","FQ1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14" s="2" t="e">
        <f ca="1">_xll.BDH($C$203,"COM_EQY_TO_TOT_ASSET","FQ1 2016","FQ1 2016","Currency=INR","Period=FQ","BEST_FPERIOD_OVERRIDE=FQ","FILING_STATUS=OR","EQY_CONSOLIDATED=Y","Sort=A","Dates=H","DateFormat=P","Fill=—","Direction=H","UseDPDF=Y")</f>
        <v>#NAME?</v>
      </c>
      <c r="CH214" s="2" t="e">
        <f ca="1">_xll.BDH($C$203,"LT_DEBT_TO_TOT_EQY","FQ1 2016","FQ1 2016","Currency=INR","Period=FQ","BEST_FPERIOD_OVERRIDE=FQ","FILING_STATUS=OR","EQY_CONSOLIDATED=Y","Sort=A","Dates=H","DateFormat=P","Fill=—","Direction=H","UseDPDF=Y")</f>
        <v>#NAME?</v>
      </c>
      <c r="CI214" s="2" t="e">
        <f ca="1">_xll.BDH($C$203,"LT_DEBT_TO_TOT_CAP","FQ1 2016","FQ1 2016","Currency=INR","Period=FQ","BEST_FPERIOD_OVERRIDE=FQ","FILING_STATUS=OR","EQY_CONSOLIDATED=Y","Sort=A","Dates=H","DateFormat=P","Fill=—","Direction=H","UseDPDF=Y")</f>
        <v>#NAME?</v>
      </c>
      <c r="CJ214" s="2" t="e">
        <f ca="1">_xll.BDH($C$203,"LT_DEBT_TO_TOT_ASSET","FQ1 2016","FQ1 2016","Currency=INR","Period=FQ","BEST_FPERIOD_OVERRIDE=FQ","FILING_STATUS=OR","EQY_CONSOLIDATED=Y","Sort=A","Dates=H","DateFormat=P","Fill=—","Direction=H","UseDPDF=Y")</f>
        <v>#NAME?</v>
      </c>
      <c r="CK214" s="2" t="e">
        <f ca="1">_xll.BDH($C$203,"TOT_DEBT_TO_TOT_EQY","FQ1 2016","FQ1 2016","Currency=INR","Period=FQ","BEST_FPERIOD_OVERRIDE=FQ","FILING_STATUS=OR","EQY_CONSOLIDATED=Y","Sort=A","Dates=H","DateFormat=P","Fill=—","Direction=H","UseDPDF=Y")</f>
        <v>#NAME?</v>
      </c>
      <c r="CL214" s="2" t="e">
        <f ca="1">_xll.BDH($C$203,"TOT_DEBT_TO_TOT_CAP","FQ1 2016","FQ1 2016","Currency=INR","Period=FQ","BEST_FPERIOD_OVERRIDE=FQ","FILING_STATUS=OR","EQY_CONSOLIDATED=Y","Sort=A","Dates=H","DateFormat=P","Fill=—","Direction=H","UseDPDF=Y")</f>
        <v>#NAME?</v>
      </c>
      <c r="CM214" s="2" t="e">
        <f ca="1">_xll.BDH($C$203,"TOT_DEBT_TO_TOT_ASSET","FQ1 2016","FQ1 2016","Currency=INR","Period=FQ","BEST_FPERIOD_OVERRIDE=FQ","FILING_STATUS=OR","EQY_CONSOLIDATED=Y","Sort=A","Dates=H","DateFormat=P","Fill=—","Direction=H","UseDPDF=Y")</f>
        <v>#NAME?</v>
      </c>
      <c r="CN214" s="2" t="e">
        <f ca="1">_xll.BDH($C$203,"NET_DEBT_TO_SHRHLDR_EQTY","FQ1 2016","FQ1 2016","Currency=INR","Period=FQ","BEST_FPERIOD_OVERRIDE=FQ","FILING_STATUS=OR","EQY_CONSOLIDATED=Y","Sort=A","Dates=H","DateFormat=P","Fill=—","Direction=H","UseDPDF=Y")</f>
        <v>#NAME?</v>
      </c>
      <c r="CO214" s="2" t="e">
        <f ca="1">_xll.BDH($C$203,"NET_DEBT_%_CAPITAL","FQ1 2016","FQ1 2016","Currency=INR","Period=FQ","BEST_FPERIOD_OVERRIDE=FQ","FILING_STATUS=OR","EQY_CONSOLIDATED=Y","Sort=A","Dates=H","DateFormat=P","Fill=—","Direction=H","UseDPDF=Y")</f>
        <v>#NAME?</v>
      </c>
      <c r="CP214" s="3" t="e">
        <f ca="1">_xll.BDH($C$203,"EBITDA","FQ1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14" s="3" t="e">
        <f ca="1">_xll.BDH($C$203,"EBITDA_AFTER_CAPEX","FQ1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14" s="3" t="e">
        <f ca="1">_xll.BDH($C$203,"IS_OPER_INC","FQ1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14" s="2" t="e">
        <f ca="1">_xll.BDH($C$203,"CASH_RATIO","FQ1 2016","FQ1 2016","Currency=INR","Period=FQ","BEST_FPERIOD_OVERRIDE=FQ","FILING_STATUS=OR","EQY_CONSOLIDATED=Y","Sort=A","Dates=H","DateFormat=P","Fill=—","Direction=H","UseDPDF=Y")</f>
        <v>#NAME?</v>
      </c>
      <c r="CT214" s="2" t="e">
        <f ca="1">_xll.BDH($C$203,"CUR_RATIO","FQ1 2016","FQ1 2016","Currency=INR","Period=FQ","BEST_FPERIOD_OVERRIDE=FQ","FILING_STATUS=OR","EQY_CONSOLIDATED=Y","Sort=A","Dates=H","DateFormat=P","Fill=—","Direction=H","UseDPDF=Y")</f>
        <v>#NAME?</v>
      </c>
      <c r="CU214" s="2" t="e">
        <f ca="1">_xll.BDH($C$203,"QUICK_RATIO","FQ1 2016","FQ1 2016","Currency=INR","Period=FQ","BEST_FPERIOD_OVERRIDE=FQ","FILING_STATUS=OR","EQY_CONSOLIDATED=Y","Sort=A","Dates=H","DateFormat=P","Fill=—","Direction=H","UseDPDF=Y")</f>
        <v>#NAME?</v>
      </c>
      <c r="CV214" s="2" t="e">
        <f ca="1">_xll.BDH($C$203,"ALTMAN_Z_SCORE","FQ1 2016","FQ1 2016","Currency=INR","Period=FQ","BEST_FPERIOD_OVERRIDE=FQ","FILING_STATUS=OR","EQY_CONSOLIDATED=Y","Sort=A","Dates=H","DateFormat=P","Fill=—","Direction=H","UseDPDF=Y")</f>
        <v>#NAME?</v>
      </c>
      <c r="CW214" s="4" t="e">
        <f ca="1">_xll.BDH($C$203,"ACCT_RCV_TURN","FQ1 2016","FQ1 2016","Currency=INR","Period=FQ","BEST_FPERIOD_OVERRIDE=FQ","FILING_STATUS=OR","EQY_CONSOLIDATED=Y","FA_ADJUSTED=GAAP","Sort=A","Dates=H","DateFormat=P","Fill=—","Direction=H","UseDPDF=Y")</f>
        <v>#NAME?</v>
      </c>
      <c r="CX214" s="2" t="e">
        <f ca="1">_xll.BDH($C$203,"ACCT_RCV_DAYS","FQ1 2016","FQ1 2016","Currency=INR","Period=FQ","BEST_FPERIOD_OVERRIDE=FQ","FILING_STATUS=OR","EQY_CONSOLIDATED=Y","FA_ADJUSTED=GAAP","Sort=A","Dates=H","DateFormat=P","Fill=—","Direction=H","UseDPDF=Y")</f>
        <v>#NAME?</v>
      </c>
      <c r="CY214" s="4" t="e">
        <f ca="1">_xll.BDH($C$203,"INVENT_TURN","FQ1 2016","FQ1 2016","Currency=INR","Period=FQ","BEST_FPERIOD_OVERRIDE=FQ","FILING_STATUS=OR","EQY_CONSOLIDATED=Y","FA_ADJUSTED=GAAP","Sort=A","Dates=H","DateFormat=P","Fill=—","Direction=H","UseDPDF=Y")</f>
        <v>#NAME?</v>
      </c>
      <c r="CZ214" s="2" t="e">
        <f ca="1">_xll.BDH($C$203,"INVENT_DAYS","FQ1 2016","FQ1 2016","Currency=INR","Period=FQ","BEST_FPERIOD_OVERRIDE=FQ","FILING_STATUS=OR","EQY_CONSOLIDATED=Y","FA_ADJUSTED=GAAP","Sort=A","Dates=H","DateFormat=P","Fill=—","Direction=H","UseDPDF=Y")</f>
        <v>#NAME?</v>
      </c>
      <c r="DA214" s="4" t="e">
        <f ca="1">_xll.BDH($C$203,"ACCOUNTS_PAYABLE_TURNOVER","FQ1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14" s="2" t="e">
        <f ca="1">_xll.BDH($C$203,"ACCOUNTS_PAYABLE_TURNOVER_DAYS","FQ1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14" s="4" t="e">
        <f ca="1">_xll.BDH($C$203,"CASH_CONVERSION_CYCLE","FQ1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14" s="4" t="e">
        <f ca="1">_xll.BDH($C$203,"INV_TO_CASH_DAYS","FQ1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14" s="5" t="e">
        <f ca="1">_xll.BDH($C$203,"BS_INVENTORIES","FQ1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14" s="3" t="e">
        <f ca="1">_xll.BDH($C$203,"INVTRY_RAW_MATERIALS","FQ1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14" s="3" t="e">
        <f ca="1">_xll.BDH($C$203,"INVTRY_IN_PROGRESS","FQ1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14" s="3" t="e">
        <f ca="1">_xll.BDH($C$203,"INVTRY_FINISHED_GOODS","FQ1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14" s="3" t="e">
        <f ca="1">_xll.BDH($C$203,"BS_OTHER_INV","FQ1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15" spans="1:113" x14ac:dyDescent="0.3">
      <c r="A215" s="6"/>
      <c r="B215" s="6"/>
      <c r="C215" s="6"/>
      <c r="D215" s="6"/>
      <c r="E215" t="s">
        <v>79</v>
      </c>
      <c r="F215" t="e">
        <f ca="1">_xll.BDH($C$203,"RETURN_COM_EQY","FQ2 2016","FQ2 2016","Currency=INR","Period=FQ","BEST_FPERIOD_OVERRIDE=FQ","FILING_STATUS=OR","EQY_CONSOLIDATED=Y","FA_ADJUSTED=GAAP","Sort=A","Dates=H","DateFormat=P","Fill=—","Direction=H","UseDPDF=Y")</f>
        <v>#NAME?</v>
      </c>
      <c r="G215" t="e">
        <f ca="1">_xll.BDH($C$203,"RETURN_ON_ASSET","FQ2 2016","FQ2 2016","Currency=INR","Period=FQ","BEST_FPERIOD_OVERRIDE=FQ","FILING_STATUS=OR","EQY_CONSOLIDATED=Y","FA_ADJUSTED=GAAP","Sort=A","Dates=H","DateFormat=P","Fill=—","Direction=H","UseDPDF=Y")</f>
        <v>#NAME?</v>
      </c>
      <c r="H215" t="e">
        <f ca="1">_xll.BDH($C$203,"RETURN_ON_CAP","FQ2 2016","FQ2 2016","Currency=INR","Period=FQ","BEST_FPERIOD_OVERRIDE=FQ","FILING_STATUS=OR","EQY_CONSOLIDATED=Y","FA_ADJUSTED=GAAP","Sort=A","Dates=H","DateFormat=P","Fill=—","Direction=H","UseDPDF=Y")</f>
        <v>#NAME?</v>
      </c>
      <c r="I215" t="e">
        <f ca="1">_xll.BDH($C$203,"RETURN_ON_INV_CAPITAL","FQ2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15" t="e">
        <f ca="1">_xll.BDH($C$203,"EBITDA_TO_REVENUE","FQ2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15" t="e">
        <f ca="1">_xll.BDH($C$203,"OPER_MARGIN","FQ2 2016","FQ2 2016","Currency=INR","Period=FQ","BEST_FPERIOD_OVERRIDE=FQ","FILING_STATUS=OR","EQY_CONSOLIDATED=Y","FA_ADJUSTED=GAAP","Sort=A","Dates=H","DateFormat=P","Fill=—","Direction=H","UseDPDF=Y")</f>
        <v>#NAME?</v>
      </c>
      <c r="L215" t="e">
        <f ca="1">_xll.BDH($C$203,"INCREMENTAL_OPERATING_MARGIN","FQ2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15" t="e">
        <f ca="1">_xll.BDH($C$203,"PRETAX_INC_TO_NET_SALES","FQ2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15" t="e">
        <f ca="1">_xll.BDH($C$203,"INC_BEF_XO_ITEMS_TO_NET_SALES","FQ2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15" t="e">
        <f ca="1">_xll.BDH($C$203,"PROF_MARGIN","FQ2 2016","FQ2 2016","Currency=INR","Period=FQ","BEST_FPERIOD_OVERRIDE=FQ","FILING_STATUS=OR","EQY_CONSOLIDATED=Y","FA_ADJUSTED=GAAP","Sort=A","Dates=H","DateFormat=P","Fill=—","Direction=H","UseDPDF=Y")</f>
        <v>#NAME?</v>
      </c>
      <c r="P215" t="e">
        <f ca="1">_xll.BDH($C$203,"NET_INCOME_TO_COMMON_MARGIN","FQ2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15" t="e">
        <f ca="1">_xll.BDH($C$203,"EFF_TAX_RATE","FQ2 2016","FQ2 2016","Currency=INR","Period=FQ","BEST_FPERIOD_OVERRIDE=FQ","FILING_STATUS=OR","EQY_CONSOLIDATED=Y","FA_ADJUSTED=GAAP","Sort=A","Dates=H","DateFormat=P","Fill=—","Direction=H","UseDPDF=Y")</f>
        <v>#NAME?</v>
      </c>
      <c r="R215" t="e">
        <f ca="1">_xll.BDH($C$203,"DVD_PAYOUT_RATIO","FQ2 2016","FQ2 2016","Currency=INR","Period=FQ","BEST_FPERIOD_OVERRIDE=FQ","FILING_STATUS=OR","EQY_CONSOLIDATED=Y","FA_ADJUSTED=GAAP","Sort=A","Dates=H","DateFormat=P","Fill=—","Direction=H","UseDPDF=Y")</f>
        <v>#NAME?</v>
      </c>
      <c r="S215" t="e">
        <f ca="1">_xll.BDH($C$203,"SUSTAIN_GROWTH_RT","FQ2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15" s="2" t="e">
        <f ca="1">_xll.BDH($C$203,"SALES_GROWTH","FQ2 2016","FQ2 2016","Currency=INR","Period=FQ","BEST_FPERIOD_OVERRIDE=FQ","FILING_STATUS=OR","EQY_CONSOLIDATED=Y","FA_ADJUSTED=GAAP","Sort=A","Dates=H","DateFormat=P","Fill=—","Direction=H","UseDPDF=Y")</f>
        <v>#NAME?</v>
      </c>
      <c r="U215" s="2" t="e">
        <f ca="1">_xll.BDH($C$203,"EBITDA_GROWTH","FQ2 2016","FQ2 2016","Currency=INR","Period=FQ","BEST_FPERIOD_OVERRIDE=FQ","FILING_STATUS=OR","EQY_CONSOLIDATED=Y","FA_ADJUSTED=GAAP","Sort=A","Dates=H","DateFormat=P","Fill=—","Direction=H","UseDPDF=Y")</f>
        <v>#NAME?</v>
      </c>
      <c r="V215" s="2" t="e">
        <f ca="1">_xll.BDH($C$203,"OPER_INC_GROWTH","FQ2 2016","FQ2 2016","Currency=INR","Period=FQ","BEST_FPERIOD_OVERRIDE=FQ","FILING_STATUS=OR","EQY_CONSOLIDATED=Y","FA_ADJUSTED=GAAP","Sort=A","Dates=H","DateFormat=P","Fill=—","Direction=H","UseDPDF=Y")</f>
        <v>#NAME?</v>
      </c>
      <c r="W215" s="2" t="e">
        <f ca="1">_xll.BDH($C$203,"EARN_FOR_COM_GROWTH","FQ2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15" s="2" t="e">
        <f ca="1">_xll.BDH($C$203,"DILUTED_EPS_AFT_XO_ITEMS_GROWTH","FQ2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15" s="2" t="e">
        <f ca="1">_xll.BDH($C$203,"DIVIDEND_PER_SHARE_1_YEAR_GROWTH","FQ2 2016","FQ2 2016","Currency=INR","Period=FQ","BEST_FPERIOD_OVERRIDE=FQ","FILING_STATUS=OR","EQY_CONSOLIDATED=Y","Sort=A","Dates=H","DateFormat=P","Fill=—","Direction=H","UseDPDF=Y")</f>
        <v>#NAME?</v>
      </c>
      <c r="Z215" s="2" t="e">
        <f ca="1">_xll.BDH($C$203,"ACCOUNTS_RECEIVABLE_GROWTH","FQ2 2016","FQ2 2016","Currency=INR","Period=FQ","BEST_FPERIOD_OVERRIDE=FQ","FILING_STATUS=OR","EQY_CONSOLIDATED=Y","Sort=A","Dates=H","DateFormat=P","Fill=—","Direction=H","UseDPDF=Y")</f>
        <v>#NAME?</v>
      </c>
      <c r="AA215" s="2" t="e">
        <f ca="1">_xll.BDH($C$203,"INVENTORY_GROWTH","FQ2 2016","FQ2 2016","Currency=INR","Period=FQ","BEST_FPERIOD_OVERRIDE=FQ","FILING_STATUS=OR","EQY_CONSOLIDATED=Y","Sort=A","Dates=H","DateFormat=P","Fill=—","Direction=H","UseDPDF=Y")</f>
        <v>#NAME?</v>
      </c>
      <c r="AB215" s="2" t="e">
        <f ca="1">_xll.BDH($C$203,"NET_FIXED_ASSETS_1_YEAR_GROWTH","FQ2 2016","FQ2 2016","Currency=INR","Period=FQ","BEST_FPERIOD_OVERRIDE=FQ","FILING_STATUS=OR","EQY_CONSOLIDATED=Y","Sort=A","Dates=H","DateFormat=P","Fill=—","Direction=H","UseDPDF=Y")</f>
        <v>#NAME?</v>
      </c>
      <c r="AC215" s="2" t="e">
        <f ca="1">_xll.BDH($C$203,"ASSET_GROWTH","FQ2 2016","FQ2 2016","Currency=INR","Period=FQ","BEST_FPERIOD_OVERRIDE=FQ","FILING_STATUS=OR","EQY_CONSOLIDATED=Y","Sort=A","Dates=H","DateFormat=P","Fill=—","Direction=H","UseDPDF=Y")</f>
        <v>#NAME?</v>
      </c>
      <c r="AD215" s="2" t="e">
        <f ca="1">_xll.BDH($C$203,"MODIFIED_WORK_CAP_GROWTH","FQ2 2016","FQ2 2016","Currency=INR","Period=FQ","BEST_FPERIOD_OVERRIDE=FQ","FILING_STATUS=OR","EQY_CONSOLIDATED=Y","Sort=A","Dates=H","DateFormat=P","Fill=—","Direction=H","UseDPDF=Y")</f>
        <v>#NAME?</v>
      </c>
      <c r="AE215" s="2" t="e">
        <f ca="1">_xll.BDH($C$203,"WORK_CAP_GROWTH","FQ2 2016","FQ2 2016","Currency=INR","Period=FQ","BEST_FPERIOD_OVERRIDE=FQ","FILING_STATUS=OR","EQY_CONSOLIDATED=Y","Sort=A","Dates=H","DateFormat=P","Fill=—","Direction=H","UseDPDF=Y")</f>
        <v>#NAME?</v>
      </c>
      <c r="AF215" s="2" t="e">
        <f ca="1">_xll.BDH($C$203,"ACCOUNTS_PAYABLE_GROWTH_1YR","FQ2 2016","FQ2 2016","Currency=INR","Period=FQ","BEST_FPERIOD_OVERRIDE=FQ","FILING_STATUS=OR","EQY_CONSOLIDATED=Y","Sort=A","Dates=H","DateFormat=P","Fill=—","Direction=H","UseDPDF=Y")</f>
        <v>#NAME?</v>
      </c>
      <c r="AG215" s="2" t="e">
        <f ca="1">_xll.BDH($C$203,"SHORT_TERM_DEBT_1_YEAR_GROWTH","FQ2 2016","FQ2 2016","Currency=INR","Period=FQ","BEST_FPERIOD_OVERRIDE=FQ","FILING_STATUS=OR","EQY_CONSOLIDATED=Y","Sort=A","Dates=H","DateFormat=P","Fill=—","Direction=H","UseDPDF=Y")</f>
        <v>#NAME?</v>
      </c>
      <c r="AH215" s="2" t="e">
        <f ca="1">_xll.BDH($C$203,"TOTAL_DEBT_1_YEAR_GROWTH","FQ2 2016","FQ2 2016","Currency=INR","Period=FQ","BEST_FPERIOD_OVERRIDE=FQ","FILING_STATUS=OR","EQY_CONSOLIDATED=Y","Sort=A","Dates=H","DateFormat=P","Fill=—","Direction=H","UseDPDF=Y")</f>
        <v>#NAME?</v>
      </c>
      <c r="AI215" s="2" t="e">
        <f ca="1">_xll.BDH($C$203,"TOTAL_EQUITY_1_YEAR_GROWTH","FQ2 2016","FQ2 2016","Currency=INR","Period=FQ","BEST_FPERIOD_OVERRIDE=FQ","FILING_STATUS=OR","EQY_CONSOLIDATED=Y","Sort=A","Dates=H","DateFormat=P","Fill=—","Direction=H","UseDPDF=Y")</f>
        <v>#NAME?</v>
      </c>
      <c r="AJ215" s="2" t="e">
        <f ca="1">_xll.BDH($C$203,"GROWTH_IN_CAP","FQ2 2016","FQ2 2016","Currency=INR","Period=FQ","BEST_FPERIOD_OVERRIDE=FQ","FILING_STATUS=OR","EQY_CONSOLIDATED=Y","Sort=A","Dates=H","DateFormat=P","Fill=—","Direction=H","UseDPDF=Y")</f>
        <v>#NAME?</v>
      </c>
      <c r="AK215" s="2" t="e">
        <f ca="1">_xll.BDH($C$203,"BVPS_GROWTH","FQ2 2016","FQ2 2016","Currency=INR","Period=FQ","BEST_FPERIOD_OVERRIDE=FQ","FILING_STATUS=OR","EQY_CONSOLIDATED=Y","Sort=A","Dates=H","DateFormat=P","Fill=—","Direction=H","UseDPDF=Y")</f>
        <v>#NAME?</v>
      </c>
      <c r="AL215" s="2" t="e">
        <f ca="1">_xll.BDH($C$203,"CASH_FLOW_GROWTH","FQ2 2016","FQ2 2016","Currency=INR","Period=FQ","BEST_FPERIOD_OVERRIDE=FQ","FILING_STATUS=OR","EQY_CONSOLIDATED=Y","Sort=A","Dates=H","DateFormat=P","Fill=—","Direction=H","UseDPDF=Y")</f>
        <v>#NAME?</v>
      </c>
      <c r="AM215" s="2" t="e">
        <f ca="1">_xll.BDH($C$203,"GEO_GROW_NET_SALES","FQ2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15" s="2" t="e">
        <f ca="1">_xll.BDH($C$203,"GEO_GROW_EBITDA","FQ2 2016","FQ2 2016","Currency=INR","Period=FQ","BEST_FPERIOD_OVERRIDE=FQ","FILING_STATUS=OR","EQY_CONSOLIDATED=Y","FA_ADJUSTED=GAAP","Sort=A","Dates=H","DateFormat=P","Fill=—","Direction=H","UseDPDF=Y")</f>
        <v>#NAME?</v>
      </c>
      <c r="AO215" s="2" t="e">
        <f ca="1">_xll.BDH($C$203,"GEO_GROW_OPER_INC","FQ2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15" s="2" t="e">
        <f ca="1">_xll.BDH($C$203,"NET_INCOME_TO_COMMON_5_YR_GROWTH","FQ2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15" s="2" t="e">
        <f ca="1">_xll.BDH($C$203,"5Y_GEO_GROWTH_DILUTED_EPS","FQ2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15" s="2" t="e">
        <f ca="1">_xll.BDH($C$203,"GEO_GROW_DVD_PER_SH","FQ2 2016","FQ2 2016","Currency=INR","Period=FQ","BEST_FPERIOD_OVERRIDE=FQ","FILING_STATUS=OR","EQY_CONSOLIDATED=Y","Sort=A","Dates=H","DateFormat=P","Fill=—","Direction=H","UseDPDF=Y")</f>
        <v>#NAME?</v>
      </c>
      <c r="AS215" s="2" t="e">
        <f ca="1">_xll.BDH($C$203,"ACCOUNTS_RECEIVABLE_5_YR_GROWTH","FQ2 2016","FQ2 2016","Currency=INR","Period=FQ","BEST_FPERIOD_OVERRIDE=FQ","FILING_STATUS=OR","EQY_CONSOLIDATED=Y","Sort=A","Dates=H","DateFormat=P","Fill=—","Direction=H","UseDPDF=Y")</f>
        <v>#NAME?</v>
      </c>
      <c r="AT215" s="2" t="e">
        <f ca="1">_xll.BDH($C$203,"INVENTORY_5_YEAR_GROWTH","FQ2 2016","FQ2 2016","Currency=INR","Period=FQ","BEST_FPERIOD_OVERRIDE=FQ","FILING_STATUS=OR","EQY_CONSOLIDATED=Y","Sort=A","Dates=H","DateFormat=P","Fill=—","Direction=H","UseDPDF=Y")</f>
        <v>#NAME?</v>
      </c>
      <c r="AU215" s="2" t="e">
        <f ca="1">_xll.BDH($C$203,"NET_FIXED_ASSETS_5_YEAR_GROWTH","FQ2 2016","FQ2 2016","Currency=INR","Period=FQ","BEST_FPERIOD_OVERRIDE=FQ","FILING_STATUS=OR","EQY_CONSOLIDATED=Y","Sort=A","Dates=H","DateFormat=P","Fill=—","Direction=H","UseDPDF=Y")</f>
        <v>#NAME?</v>
      </c>
      <c r="AV215" s="2" t="e">
        <f ca="1">_xll.BDH($C$203,"GEO_GROW_TOT_ASSET","FQ2 2016","FQ2 2016","Currency=INR","Period=FQ","BEST_FPERIOD_OVERRIDE=FQ","FILING_STATUS=OR","EQY_CONSOLIDATED=Y","Sort=A","Dates=H","DateFormat=P","Fill=—","Direction=H","UseDPDF=Y")</f>
        <v>#NAME?</v>
      </c>
      <c r="AW215" s="2" t="e">
        <f ca="1">_xll.BDH($C$203,"MODIFIED_WORKING_CPTL_5YR_GRWTH","FQ2 2016","FQ2 2016","Currency=INR","Period=FQ","BEST_FPERIOD_OVERRIDE=FQ","FILING_STATUS=OR","EQY_CONSOLIDATED=Y","Sort=A","Dates=H","DateFormat=P","Fill=—","Direction=H","UseDPDF=Y")</f>
        <v>#NAME?</v>
      </c>
      <c r="AX215" s="2" t="e">
        <f ca="1">_xll.BDH($C$203,"WORKING_CAPITAL_5_YEAR_GROWTH","FQ2 2016","FQ2 2016","Currency=INR","Period=FQ","BEST_FPERIOD_OVERRIDE=FQ","FILING_STATUS=OR","EQY_CONSOLIDATED=Y","Sort=A","Dates=H","DateFormat=P","Fill=—","Direction=H","UseDPDF=Y")</f>
        <v>#NAME?</v>
      </c>
      <c r="AY215" s="2" t="e">
        <f ca="1">_xll.BDH($C$203,"ACCOUNTS_PAYABLE_5_YEAR_GROWTH","FQ2 2016","FQ2 2016","Currency=INR","Period=FQ","BEST_FPERIOD_OVERRIDE=FQ","FILING_STATUS=OR","EQY_CONSOLIDATED=Y","Sort=A","Dates=H","DateFormat=P","Fill=—","Direction=H","UseDPDF=Y")</f>
        <v>#NAME?</v>
      </c>
      <c r="AZ215" s="2" t="e">
        <f ca="1">_xll.BDH($C$203,"SHORT_TERM_DEBT_5_YEAR_GROWTH","FQ2 2016","FQ2 2016","Currency=INR","Period=FQ","BEST_FPERIOD_OVERRIDE=FQ","FILING_STATUS=OR","EQY_CONSOLIDATED=Y","Sort=A","Dates=H","DateFormat=P","Fill=—","Direction=H","UseDPDF=Y")</f>
        <v>#NAME?</v>
      </c>
      <c r="BA215" s="2" t="e">
        <f ca="1">_xll.BDH($C$203,"TOTAL_DEBT_5_YEAR_GROWTH","FQ2 2016","FQ2 2016","Currency=INR","Period=FQ","BEST_FPERIOD_OVERRIDE=FQ","FILING_STATUS=OR","EQY_CONSOLIDATED=Y","Sort=A","Dates=H","DateFormat=P","Fill=—","Direction=H","UseDPDF=Y")</f>
        <v>#NAME?</v>
      </c>
      <c r="BB215" s="2" t="e">
        <f ca="1">_xll.BDH($C$203,"GEO_GROW_TOT_SHRHLDR_EQY","FQ2 2016","FQ2 2016","Currency=INR","Period=FQ","BEST_FPERIOD_OVERRIDE=FQ","FILING_STATUS=OR","EQY_CONSOLIDATED=Y","Sort=A","Dates=H","DateFormat=P","Fill=—","Direction=H","UseDPDF=Y")</f>
        <v>#NAME?</v>
      </c>
      <c r="BC215" s="2" t="e">
        <f ca="1">_xll.BDH($C$203,"TOTAL_CAPITAL_5_YEAR_GROWTH","FQ2 2016","FQ2 2016","Currency=INR","Period=FQ","BEST_FPERIOD_OVERRIDE=FQ","FILING_STATUS=OR","EQY_CONSOLIDATED=Y","Sort=A","Dates=H","DateFormat=P","Fill=—","Direction=H","UseDPDF=Y")</f>
        <v>#NAME?</v>
      </c>
      <c r="BD215" s="2" t="e">
        <f ca="1">_xll.BDH($C$203,"GEO_GROW_BOOK_VAL","FQ2 2016","FQ2 2016","Currency=INR","Period=FQ","BEST_FPERIOD_OVERRIDE=FQ","FILING_STATUS=OR","EQY_CONSOLIDATED=Y","Sort=A","Dates=H","DateFormat=P","Fill=—","Direction=H","UseDPDF=Y")</f>
        <v>#NAME?</v>
      </c>
      <c r="BE215" s="2" t="e">
        <f ca="1">_xll.BDH($C$203,"GEO_GROW_CASH_OPER_ACT","FQ2 2016","FQ2 2016","Currency=INR","Period=FQ","BEST_FPERIOD_OVERRIDE=FQ","FILING_STATUS=OR","EQY_CONSOLIDATED=Y","Sort=A","Dates=H","DateFormat=P","Fill=—","Direction=H","UseDPDF=Y")</f>
        <v>#NAME?</v>
      </c>
      <c r="BF215" s="2" t="e">
        <f ca="1">_xll.BDH($C$203,"REVENUE_SEQUENTIAL_GROWTH","FQ2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15" s="2" t="e">
        <f ca="1">_xll.BDH($C$203,"EBITDA_SEQUENTIAL_GROWTH","FQ2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15" s="2" t="e">
        <f ca="1">_xll.BDH($C$203,"OPERATING_INCOME_SEQ_GROWTH","FQ2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15" s="2" t="e">
        <f ca="1">_xll.BDH($C$203,"NET_INCOME_TO_COMMON_SEQ_GROWTH","FQ2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15" s="2" t="e">
        <f ca="1">_xll.BDH($C$203,"EPS_DILUTED_SEQUENTIAL_GROWTH","FQ2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15" s="2" t="e">
        <f ca="1">_xll.BDH($C$203,"DPS_SEQUENTIAL_GROWTH","FQ2 2016","FQ2 2016","Currency=INR","Period=FQ","BEST_FPERIOD_OVERRIDE=FQ","FILING_STATUS=OR","EQY_CONSOLIDATED=Y","Sort=A","Dates=H","DateFormat=P","Fill=—","Direction=H","UseDPDF=Y")</f>
        <v>#NAME?</v>
      </c>
      <c r="BL215" s="2" t="e">
        <f ca="1">_xll.BDH($C$203,"ACCOUNTS_RECEIVABLE_SEQ_GROWTH","FQ2 2016","FQ2 2016","Currency=INR","Period=FQ","BEST_FPERIOD_OVERRIDE=FQ","FILING_STATUS=OR","EQY_CONSOLIDATED=Y","Sort=A","Dates=H","DateFormat=P","Fill=—","Direction=H","UseDPDF=Y")</f>
        <v>#NAME?</v>
      </c>
      <c r="BM215" s="2" t="e">
        <f ca="1">_xll.BDH($C$203,"INVENTORY_SEQUENTIAL_GROWTH","FQ2 2016","FQ2 2016","Currency=INR","Period=FQ","BEST_FPERIOD_OVERRIDE=FQ","FILING_STATUS=OR","EQY_CONSOLIDATED=Y","Sort=A","Dates=H","DateFormat=P","Fill=—","Direction=H","UseDPDF=Y")</f>
        <v>#NAME?</v>
      </c>
      <c r="BN215" s="2" t="e">
        <f ca="1">_xll.BDH($C$203,"FIXED_ASSETS_SEQUENTIAL_GROWTH","FQ2 2016","FQ2 2016","Currency=INR","Period=FQ","BEST_FPERIOD_OVERRIDE=FQ","FILING_STATUS=OR","EQY_CONSOLIDATED=Y","Sort=A","Dates=H","DateFormat=P","Fill=—","Direction=H","UseDPDF=Y")</f>
        <v>#NAME?</v>
      </c>
      <c r="BO215" s="2" t="e">
        <f ca="1">_xll.BDH($C$203,"TOTAL_ASSETS_SEQUENTIAL_GROWTH","FQ2 2016","FQ2 2016","Currency=INR","Period=FQ","BEST_FPERIOD_OVERRIDE=FQ","FILING_STATUS=OR","EQY_CONSOLIDATED=Y","Sort=A","Dates=H","DateFormat=P","Fill=—","Direction=H","UseDPDF=Y")</f>
        <v>#NAME?</v>
      </c>
      <c r="BP215" s="2" t="e">
        <f ca="1">_xll.BDH($C$203,"MODIFIED_WORKING_CPTL_SEQ_GRWTH","FQ2 2016","FQ2 2016","Currency=INR","Period=FQ","BEST_FPERIOD_OVERRIDE=FQ","FILING_STATUS=OR","EQY_CONSOLIDATED=Y","Sort=A","Dates=H","DateFormat=P","Fill=—","Direction=H","UseDPDF=Y")</f>
        <v>#NAME?</v>
      </c>
      <c r="BQ215" s="2" t="e">
        <f ca="1">_xll.BDH($C$203,"WORKING_CAPITAL_SEQ_GROWTH","FQ2 2016","FQ2 2016","Currency=INR","Period=FQ","BEST_FPERIOD_OVERRIDE=FQ","FILING_STATUS=OR","EQY_CONSOLIDATED=Y","Sort=A","Dates=H","DateFormat=P","Fill=—","Direction=H","UseDPDF=Y")</f>
        <v>#NAME?</v>
      </c>
      <c r="BR215" s="2" t="e">
        <f ca="1">_xll.BDH($C$203,"ACCOUNTS_PAYABLE_SEQ_GROWTH","FQ2 2016","FQ2 2016","Currency=INR","Period=FQ","BEST_FPERIOD_OVERRIDE=FQ","FILING_STATUS=OR","EQY_CONSOLIDATED=Y","Sort=A","Dates=H","DateFormat=P","Fill=—","Direction=H","UseDPDF=Y")</f>
        <v>#NAME?</v>
      </c>
      <c r="BS215" s="2" t="e">
        <f ca="1">_xll.BDH($C$203,"ST_DEBT_SEQUENTIAL_GROWTH","FQ2 2016","FQ2 2016","Currency=INR","Period=FQ","BEST_FPERIOD_OVERRIDE=FQ","FILING_STATUS=OR","EQY_CONSOLIDATED=Y","Sort=A","Dates=H","DateFormat=P","Fill=—","Direction=H","UseDPDF=Y")</f>
        <v>#NAME?</v>
      </c>
      <c r="BT215" s="2" t="e">
        <f ca="1">_xll.BDH($C$203,"TOTAL_DEBT_SEQUENTIAL_GROWTH","FQ2 2016","FQ2 2016","Currency=INR","Period=FQ","BEST_FPERIOD_OVERRIDE=FQ","FILING_STATUS=OR","EQY_CONSOLIDATED=Y","Sort=A","Dates=H","DateFormat=P","Fill=—","Direction=H","UseDPDF=Y")</f>
        <v>#NAME?</v>
      </c>
      <c r="BU215" s="2" t="e">
        <f ca="1">_xll.BDH($C$203,"TOTAL_EQUITY_SEQUENTIAL_GROWTH","FQ2 2016","FQ2 2016","Currency=INR","Period=FQ","BEST_FPERIOD_OVERRIDE=FQ","FILING_STATUS=OR","EQY_CONSOLIDATED=Y","Sort=A","Dates=H","DateFormat=P","Fill=—","Direction=H","UseDPDF=Y")</f>
        <v>#NAME?</v>
      </c>
      <c r="BV215" s="2" t="e">
        <f ca="1">_xll.BDH($C$203,"TOTAL_CAPITAL_SEQUENTIAL_GROWTH","FQ2 2016","FQ2 2016","Currency=INR","Period=FQ","BEST_FPERIOD_OVERRIDE=FQ","FILING_STATUS=OR","EQY_CONSOLIDATED=Y","Sort=A","Dates=H","DateFormat=P","Fill=—","Direction=H","UseDPDF=Y")</f>
        <v>#NAME?</v>
      </c>
      <c r="BW215" s="2" t="e">
        <f ca="1">_xll.BDH($C$203,"BPS_SEQUENTIAL_GROWTH","FQ2 2016","FQ2 2016","Currency=INR","Period=FQ","BEST_FPERIOD_OVERRIDE=FQ","FILING_STATUS=OR","EQY_CONSOLIDATED=Y","Sort=A","Dates=H","DateFormat=P","Fill=—","Direction=H","UseDPDF=Y")</f>
        <v>#NAME?</v>
      </c>
      <c r="BX215" s="2" t="e">
        <f ca="1">_xll.BDH($C$203,"CFO_SEQUENTIAL_GROWTH","FQ2 2016","FQ2 2016","Currency=INR","Period=FQ","BEST_FPERIOD_OVERRIDE=FQ","FILING_STATUS=OR","EQY_CONSOLIDATED=Y","Sort=A","Dates=H","DateFormat=P","Fill=—","Direction=H","UseDPDF=Y")</f>
        <v>#NAME?</v>
      </c>
      <c r="BY215" s="3" t="e">
        <f ca="1">_xll.BDH($C$203,"SHORT_AND_LONG_TERM_DEBT","FQ2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15" s="3" t="e">
        <f ca="1">_xll.BDH($C$203,"BS_ST_BORROW","FQ2 2016","FQ2 2016","Currency=INR","Period=FQ","BEST_FPERIOD_OVERRIDE=FQ","FILING_STATUS=OR","EQY_CONSOLIDATED=Y","SCALING_FORMAT=MLN","Sort=A","Dates=H","DateFormat=P","Fill=—","Direction=H","UseDPDF=Y")</f>
        <v>#NAME?</v>
      </c>
      <c r="CA215" s="3" t="e">
        <f ca="1">_xll.BDH($C$203,"BS_LT_BORROW","FQ2 2016","FQ2 2016","Currency=INR","Period=FQ","BEST_FPERIOD_OVERRIDE=FQ","FILING_STATUS=OR","EQY_CONSOLIDATED=Y","SCALING_FORMAT=MLN","Sort=A","Dates=H","DateFormat=P","Fill=—","Direction=H","UseDPDF=Y")</f>
        <v>#NAME?</v>
      </c>
      <c r="CB215" s="2" t="e">
        <f ca="1">_xll.BDH($C$203,"TOT_DEBT_TO_EBITDA","FQ2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15" s="2" t="e">
        <f ca="1">_xll.BDH($C$203,"NET_DEBT_TO_EBITDA","FQ2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15" s="2" t="e">
        <f ca="1">_xll.BDH($C$203,"TOTAL_DEBT_TO_EBIT","FQ2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15" s="2" t="e">
        <f ca="1">_xll.BDH($C$203,"NET_DEBT_TO_EBIT","FQ2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15" s="2" t="e">
        <f ca="1">_xll.BDH($C$203,"EBITDA_TO_INTEREST_EXPN","FQ2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15" s="2" t="e">
        <f ca="1">_xll.BDH($C$203,"COM_EQY_TO_TOT_ASSET","FQ2 2016","FQ2 2016","Currency=INR","Period=FQ","BEST_FPERIOD_OVERRIDE=FQ","FILING_STATUS=OR","EQY_CONSOLIDATED=Y","Sort=A","Dates=H","DateFormat=P","Fill=—","Direction=H","UseDPDF=Y")</f>
        <v>#NAME?</v>
      </c>
      <c r="CH215" s="2" t="e">
        <f ca="1">_xll.BDH($C$203,"LT_DEBT_TO_TOT_EQY","FQ2 2016","FQ2 2016","Currency=INR","Period=FQ","BEST_FPERIOD_OVERRIDE=FQ","FILING_STATUS=OR","EQY_CONSOLIDATED=Y","Sort=A","Dates=H","DateFormat=P","Fill=—","Direction=H","UseDPDF=Y")</f>
        <v>#NAME?</v>
      </c>
      <c r="CI215" s="2" t="e">
        <f ca="1">_xll.BDH($C$203,"LT_DEBT_TO_TOT_CAP","FQ2 2016","FQ2 2016","Currency=INR","Period=FQ","BEST_FPERIOD_OVERRIDE=FQ","FILING_STATUS=OR","EQY_CONSOLIDATED=Y","Sort=A","Dates=H","DateFormat=P","Fill=—","Direction=H","UseDPDF=Y")</f>
        <v>#NAME?</v>
      </c>
      <c r="CJ215" s="2" t="e">
        <f ca="1">_xll.BDH($C$203,"LT_DEBT_TO_TOT_ASSET","FQ2 2016","FQ2 2016","Currency=INR","Period=FQ","BEST_FPERIOD_OVERRIDE=FQ","FILING_STATUS=OR","EQY_CONSOLIDATED=Y","Sort=A","Dates=H","DateFormat=P","Fill=—","Direction=H","UseDPDF=Y")</f>
        <v>#NAME?</v>
      </c>
      <c r="CK215" s="2" t="e">
        <f ca="1">_xll.BDH($C$203,"TOT_DEBT_TO_TOT_EQY","FQ2 2016","FQ2 2016","Currency=INR","Period=FQ","BEST_FPERIOD_OVERRIDE=FQ","FILING_STATUS=OR","EQY_CONSOLIDATED=Y","Sort=A","Dates=H","DateFormat=P","Fill=—","Direction=H","UseDPDF=Y")</f>
        <v>#NAME?</v>
      </c>
      <c r="CL215" s="2" t="e">
        <f ca="1">_xll.BDH($C$203,"TOT_DEBT_TO_TOT_CAP","FQ2 2016","FQ2 2016","Currency=INR","Period=FQ","BEST_FPERIOD_OVERRIDE=FQ","FILING_STATUS=OR","EQY_CONSOLIDATED=Y","Sort=A","Dates=H","DateFormat=P","Fill=—","Direction=H","UseDPDF=Y")</f>
        <v>#NAME?</v>
      </c>
      <c r="CM215" s="2" t="e">
        <f ca="1">_xll.BDH($C$203,"TOT_DEBT_TO_TOT_ASSET","FQ2 2016","FQ2 2016","Currency=INR","Period=FQ","BEST_FPERIOD_OVERRIDE=FQ","FILING_STATUS=OR","EQY_CONSOLIDATED=Y","Sort=A","Dates=H","DateFormat=P","Fill=—","Direction=H","UseDPDF=Y")</f>
        <v>#NAME?</v>
      </c>
      <c r="CN215" s="2" t="e">
        <f ca="1">_xll.BDH($C$203,"NET_DEBT_TO_SHRHLDR_EQTY","FQ2 2016","FQ2 2016","Currency=INR","Period=FQ","BEST_FPERIOD_OVERRIDE=FQ","FILING_STATUS=OR","EQY_CONSOLIDATED=Y","Sort=A","Dates=H","DateFormat=P","Fill=—","Direction=H","UseDPDF=Y")</f>
        <v>#NAME?</v>
      </c>
      <c r="CO215" s="2" t="e">
        <f ca="1">_xll.BDH($C$203,"NET_DEBT_%_CAPITAL","FQ2 2016","FQ2 2016","Currency=INR","Period=FQ","BEST_FPERIOD_OVERRIDE=FQ","FILING_STATUS=OR","EQY_CONSOLIDATED=Y","Sort=A","Dates=H","DateFormat=P","Fill=—","Direction=H","UseDPDF=Y")</f>
        <v>#NAME?</v>
      </c>
      <c r="CP215" s="3" t="e">
        <f ca="1">_xll.BDH($C$203,"EBITDA","FQ2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15" s="3" t="e">
        <f ca="1">_xll.BDH($C$203,"EBITDA_AFTER_CAPEX","FQ2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15" s="3" t="e">
        <f ca="1">_xll.BDH($C$203,"IS_OPER_INC","FQ2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15" s="2" t="e">
        <f ca="1">_xll.BDH($C$203,"CASH_RATIO","FQ2 2016","FQ2 2016","Currency=INR","Period=FQ","BEST_FPERIOD_OVERRIDE=FQ","FILING_STATUS=OR","EQY_CONSOLIDATED=Y","Sort=A","Dates=H","DateFormat=P","Fill=—","Direction=H","UseDPDF=Y")</f>
        <v>#NAME?</v>
      </c>
      <c r="CT215" s="2" t="e">
        <f ca="1">_xll.BDH($C$203,"CUR_RATIO","FQ2 2016","FQ2 2016","Currency=INR","Period=FQ","BEST_FPERIOD_OVERRIDE=FQ","FILING_STATUS=OR","EQY_CONSOLIDATED=Y","Sort=A","Dates=H","DateFormat=P","Fill=—","Direction=H","UseDPDF=Y")</f>
        <v>#NAME?</v>
      </c>
      <c r="CU215" s="2" t="e">
        <f ca="1">_xll.BDH($C$203,"QUICK_RATIO","FQ2 2016","FQ2 2016","Currency=INR","Period=FQ","BEST_FPERIOD_OVERRIDE=FQ","FILING_STATUS=OR","EQY_CONSOLIDATED=Y","Sort=A","Dates=H","DateFormat=P","Fill=—","Direction=H","UseDPDF=Y")</f>
        <v>#NAME?</v>
      </c>
      <c r="CV215" s="2" t="e">
        <f ca="1">_xll.BDH($C$203,"ALTMAN_Z_SCORE","FQ2 2016","FQ2 2016","Currency=INR","Period=FQ","BEST_FPERIOD_OVERRIDE=FQ","FILING_STATUS=OR","EQY_CONSOLIDATED=Y","Sort=A","Dates=H","DateFormat=P","Fill=—","Direction=H","UseDPDF=Y")</f>
        <v>#NAME?</v>
      </c>
      <c r="CW215" s="4" t="e">
        <f ca="1">_xll.BDH($C$203,"ACCT_RCV_TURN","FQ2 2016","FQ2 2016","Currency=INR","Period=FQ","BEST_FPERIOD_OVERRIDE=FQ","FILING_STATUS=OR","EQY_CONSOLIDATED=Y","FA_ADJUSTED=GAAP","Sort=A","Dates=H","DateFormat=P","Fill=—","Direction=H","UseDPDF=Y")</f>
        <v>#NAME?</v>
      </c>
      <c r="CX215" s="2" t="e">
        <f ca="1">_xll.BDH($C$203,"ACCT_RCV_DAYS","FQ2 2016","FQ2 2016","Currency=INR","Period=FQ","BEST_FPERIOD_OVERRIDE=FQ","FILING_STATUS=OR","EQY_CONSOLIDATED=Y","FA_ADJUSTED=GAAP","Sort=A","Dates=H","DateFormat=P","Fill=—","Direction=H","UseDPDF=Y")</f>
        <v>#NAME?</v>
      </c>
      <c r="CY215" s="4" t="e">
        <f ca="1">_xll.BDH($C$203,"INVENT_TURN","FQ2 2016","FQ2 2016","Currency=INR","Period=FQ","BEST_FPERIOD_OVERRIDE=FQ","FILING_STATUS=OR","EQY_CONSOLIDATED=Y","FA_ADJUSTED=GAAP","Sort=A","Dates=H","DateFormat=P","Fill=—","Direction=H","UseDPDF=Y")</f>
        <v>#NAME?</v>
      </c>
      <c r="CZ215" s="2" t="e">
        <f ca="1">_xll.BDH($C$203,"INVENT_DAYS","FQ2 2016","FQ2 2016","Currency=INR","Period=FQ","BEST_FPERIOD_OVERRIDE=FQ","FILING_STATUS=OR","EQY_CONSOLIDATED=Y","FA_ADJUSTED=GAAP","Sort=A","Dates=H","DateFormat=P","Fill=—","Direction=H","UseDPDF=Y")</f>
        <v>#NAME?</v>
      </c>
      <c r="DA215" s="4" t="e">
        <f ca="1">_xll.BDH($C$203,"ACCOUNTS_PAYABLE_TURNOVER","FQ2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15" s="2" t="e">
        <f ca="1">_xll.BDH($C$203,"ACCOUNTS_PAYABLE_TURNOVER_DAYS","FQ2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15" s="4" t="e">
        <f ca="1">_xll.BDH($C$203,"CASH_CONVERSION_CYCLE","FQ2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15" s="4" t="e">
        <f ca="1">_xll.BDH($C$203,"INV_TO_CASH_DAYS","FQ2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15" s="5" t="e">
        <f ca="1">_xll.BDH($C$203,"BS_INVENTORIES","FQ2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15" s="3" t="e">
        <f ca="1">_xll.BDH($C$203,"INVTRY_RAW_MATERIALS","FQ2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15" s="3" t="e">
        <f ca="1">_xll.BDH($C$203,"INVTRY_IN_PROGRESS","FQ2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15" s="3" t="e">
        <f ca="1">_xll.BDH($C$203,"INVTRY_FINISHED_GOODS","FQ2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15" s="3" t="e">
        <f ca="1">_xll.BDH($C$203,"BS_OTHER_INV","FQ2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16" spans="1:113" x14ac:dyDescent="0.3">
      <c r="A216" s="6"/>
      <c r="B216" s="6"/>
      <c r="C216" s="6"/>
      <c r="D216" s="6"/>
      <c r="E216" t="s">
        <v>80</v>
      </c>
      <c r="F216" t="e">
        <f ca="1">_xll.BDH($C$203,"RETURN_COM_EQY","FQ3 2016","FQ3 2016","Currency=INR","Period=FQ","BEST_FPERIOD_OVERRIDE=FQ","FILING_STATUS=OR","EQY_CONSOLIDATED=Y","FA_ADJUSTED=GAAP","Sort=A","Dates=H","DateFormat=P","Fill=—","Direction=H","UseDPDF=Y")</f>
        <v>#NAME?</v>
      </c>
      <c r="G216" t="e">
        <f ca="1">_xll.BDH($C$203,"RETURN_ON_ASSET","FQ3 2016","FQ3 2016","Currency=INR","Period=FQ","BEST_FPERIOD_OVERRIDE=FQ","FILING_STATUS=OR","EQY_CONSOLIDATED=Y","FA_ADJUSTED=GAAP","Sort=A","Dates=H","DateFormat=P","Fill=—","Direction=H","UseDPDF=Y")</f>
        <v>#NAME?</v>
      </c>
      <c r="H216" t="e">
        <f ca="1">_xll.BDH($C$203,"RETURN_ON_CAP","FQ3 2016","FQ3 2016","Currency=INR","Period=FQ","BEST_FPERIOD_OVERRIDE=FQ","FILING_STATUS=OR","EQY_CONSOLIDATED=Y","FA_ADJUSTED=GAAP","Sort=A","Dates=H","DateFormat=P","Fill=—","Direction=H","UseDPDF=Y")</f>
        <v>#NAME?</v>
      </c>
      <c r="I216" t="e">
        <f ca="1">_xll.BDH($C$203,"RETURN_ON_INV_CAPITAL","FQ3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16" t="e">
        <f ca="1">_xll.BDH($C$203,"EBITDA_TO_REVENUE","FQ3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16" t="e">
        <f ca="1">_xll.BDH($C$203,"OPER_MARGIN","FQ3 2016","FQ3 2016","Currency=INR","Period=FQ","BEST_FPERIOD_OVERRIDE=FQ","FILING_STATUS=OR","EQY_CONSOLIDATED=Y","FA_ADJUSTED=GAAP","Sort=A","Dates=H","DateFormat=P","Fill=—","Direction=H","UseDPDF=Y")</f>
        <v>#NAME?</v>
      </c>
      <c r="L216" t="e">
        <f ca="1">_xll.BDH($C$203,"INCREMENTAL_OPERATING_MARGIN","FQ3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16" t="e">
        <f ca="1">_xll.BDH($C$203,"PRETAX_INC_TO_NET_SALES","FQ3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16" t="e">
        <f ca="1">_xll.BDH($C$203,"INC_BEF_XO_ITEMS_TO_NET_SALES","FQ3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16" t="e">
        <f ca="1">_xll.BDH($C$203,"PROF_MARGIN","FQ3 2016","FQ3 2016","Currency=INR","Period=FQ","BEST_FPERIOD_OVERRIDE=FQ","FILING_STATUS=OR","EQY_CONSOLIDATED=Y","FA_ADJUSTED=GAAP","Sort=A","Dates=H","DateFormat=P","Fill=—","Direction=H","UseDPDF=Y")</f>
        <v>#NAME?</v>
      </c>
      <c r="P216" t="e">
        <f ca="1">_xll.BDH($C$203,"NET_INCOME_TO_COMMON_MARGIN","FQ3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16" t="e">
        <f ca="1">_xll.BDH($C$203,"EFF_TAX_RATE","FQ3 2016","FQ3 2016","Currency=INR","Period=FQ","BEST_FPERIOD_OVERRIDE=FQ","FILING_STATUS=OR","EQY_CONSOLIDATED=Y","FA_ADJUSTED=GAAP","Sort=A","Dates=H","DateFormat=P","Fill=—","Direction=H","UseDPDF=Y")</f>
        <v>#NAME?</v>
      </c>
      <c r="R216" t="e">
        <f ca="1">_xll.BDH($C$203,"DVD_PAYOUT_RATIO","FQ3 2016","FQ3 2016","Currency=INR","Period=FQ","BEST_FPERIOD_OVERRIDE=FQ","FILING_STATUS=OR","EQY_CONSOLIDATED=Y","FA_ADJUSTED=GAAP","Sort=A","Dates=H","DateFormat=P","Fill=—","Direction=H","UseDPDF=Y")</f>
        <v>#NAME?</v>
      </c>
      <c r="S216" t="e">
        <f ca="1">_xll.BDH($C$203,"SUSTAIN_GROWTH_RT","FQ3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16" s="2" t="e">
        <f ca="1">_xll.BDH($C$203,"SALES_GROWTH","FQ3 2016","FQ3 2016","Currency=INR","Period=FQ","BEST_FPERIOD_OVERRIDE=FQ","FILING_STATUS=OR","EQY_CONSOLIDATED=Y","FA_ADJUSTED=GAAP","Sort=A","Dates=H","DateFormat=P","Fill=—","Direction=H","UseDPDF=Y")</f>
        <v>#NAME?</v>
      </c>
      <c r="U216" s="2" t="e">
        <f ca="1">_xll.BDH($C$203,"EBITDA_GROWTH","FQ3 2016","FQ3 2016","Currency=INR","Period=FQ","BEST_FPERIOD_OVERRIDE=FQ","FILING_STATUS=OR","EQY_CONSOLIDATED=Y","FA_ADJUSTED=GAAP","Sort=A","Dates=H","DateFormat=P","Fill=—","Direction=H","UseDPDF=Y")</f>
        <v>#NAME?</v>
      </c>
      <c r="V216" s="2" t="e">
        <f ca="1">_xll.BDH($C$203,"OPER_INC_GROWTH","FQ3 2016","FQ3 2016","Currency=INR","Period=FQ","BEST_FPERIOD_OVERRIDE=FQ","FILING_STATUS=OR","EQY_CONSOLIDATED=Y","FA_ADJUSTED=GAAP","Sort=A","Dates=H","DateFormat=P","Fill=—","Direction=H","UseDPDF=Y")</f>
        <v>#NAME?</v>
      </c>
      <c r="W216" s="2" t="e">
        <f ca="1">_xll.BDH($C$203,"EARN_FOR_COM_GROWTH","FQ3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16" s="2" t="e">
        <f ca="1">_xll.BDH($C$203,"DILUTED_EPS_AFT_XO_ITEMS_GROWTH","FQ3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16" s="2" t="e">
        <f ca="1">_xll.BDH($C$203,"DIVIDEND_PER_SHARE_1_YEAR_GROWTH","FQ3 2016","FQ3 2016","Currency=INR","Period=FQ","BEST_FPERIOD_OVERRIDE=FQ","FILING_STATUS=OR","EQY_CONSOLIDATED=Y","Sort=A","Dates=H","DateFormat=P","Fill=—","Direction=H","UseDPDF=Y")</f>
        <v>#NAME?</v>
      </c>
      <c r="Z216" s="2" t="e">
        <f ca="1">_xll.BDH($C$203,"ACCOUNTS_RECEIVABLE_GROWTH","FQ3 2016","FQ3 2016","Currency=INR","Period=FQ","BEST_FPERIOD_OVERRIDE=FQ","FILING_STATUS=OR","EQY_CONSOLIDATED=Y","Sort=A","Dates=H","DateFormat=P","Fill=—","Direction=H","UseDPDF=Y")</f>
        <v>#NAME?</v>
      </c>
      <c r="AA216" s="2" t="e">
        <f ca="1">_xll.BDH($C$203,"INVENTORY_GROWTH","FQ3 2016","FQ3 2016","Currency=INR","Period=FQ","BEST_FPERIOD_OVERRIDE=FQ","FILING_STATUS=OR","EQY_CONSOLIDATED=Y","Sort=A","Dates=H","DateFormat=P","Fill=—","Direction=H","UseDPDF=Y")</f>
        <v>#NAME?</v>
      </c>
      <c r="AB216" s="2" t="e">
        <f ca="1">_xll.BDH($C$203,"NET_FIXED_ASSETS_1_YEAR_GROWTH","FQ3 2016","FQ3 2016","Currency=INR","Period=FQ","BEST_FPERIOD_OVERRIDE=FQ","FILING_STATUS=OR","EQY_CONSOLIDATED=Y","Sort=A","Dates=H","DateFormat=P","Fill=—","Direction=H","UseDPDF=Y")</f>
        <v>#NAME?</v>
      </c>
      <c r="AC216" s="2" t="e">
        <f ca="1">_xll.BDH($C$203,"ASSET_GROWTH","FQ3 2016","FQ3 2016","Currency=INR","Period=FQ","BEST_FPERIOD_OVERRIDE=FQ","FILING_STATUS=OR","EQY_CONSOLIDATED=Y","Sort=A","Dates=H","DateFormat=P","Fill=—","Direction=H","UseDPDF=Y")</f>
        <v>#NAME?</v>
      </c>
      <c r="AD216" s="2" t="e">
        <f ca="1">_xll.BDH($C$203,"MODIFIED_WORK_CAP_GROWTH","FQ3 2016","FQ3 2016","Currency=INR","Period=FQ","BEST_FPERIOD_OVERRIDE=FQ","FILING_STATUS=OR","EQY_CONSOLIDATED=Y","Sort=A","Dates=H","DateFormat=P","Fill=—","Direction=H","UseDPDF=Y")</f>
        <v>#NAME?</v>
      </c>
      <c r="AE216" s="2" t="e">
        <f ca="1">_xll.BDH($C$203,"WORK_CAP_GROWTH","FQ3 2016","FQ3 2016","Currency=INR","Period=FQ","BEST_FPERIOD_OVERRIDE=FQ","FILING_STATUS=OR","EQY_CONSOLIDATED=Y","Sort=A","Dates=H","DateFormat=P","Fill=—","Direction=H","UseDPDF=Y")</f>
        <v>#NAME?</v>
      </c>
      <c r="AF216" s="2" t="e">
        <f ca="1">_xll.BDH($C$203,"ACCOUNTS_PAYABLE_GROWTH_1YR","FQ3 2016","FQ3 2016","Currency=INR","Period=FQ","BEST_FPERIOD_OVERRIDE=FQ","FILING_STATUS=OR","EQY_CONSOLIDATED=Y","Sort=A","Dates=H","DateFormat=P","Fill=—","Direction=H","UseDPDF=Y")</f>
        <v>#NAME?</v>
      </c>
      <c r="AG216" s="2" t="e">
        <f ca="1">_xll.BDH($C$203,"SHORT_TERM_DEBT_1_YEAR_GROWTH","FQ3 2016","FQ3 2016","Currency=INR","Period=FQ","BEST_FPERIOD_OVERRIDE=FQ","FILING_STATUS=OR","EQY_CONSOLIDATED=Y","Sort=A","Dates=H","DateFormat=P","Fill=—","Direction=H","UseDPDF=Y")</f>
        <v>#NAME?</v>
      </c>
      <c r="AH216" s="2" t="e">
        <f ca="1">_xll.BDH($C$203,"TOTAL_DEBT_1_YEAR_GROWTH","FQ3 2016","FQ3 2016","Currency=INR","Period=FQ","BEST_FPERIOD_OVERRIDE=FQ","FILING_STATUS=OR","EQY_CONSOLIDATED=Y","Sort=A","Dates=H","DateFormat=P","Fill=—","Direction=H","UseDPDF=Y")</f>
        <v>#NAME?</v>
      </c>
      <c r="AI216" s="2" t="e">
        <f ca="1">_xll.BDH($C$203,"TOTAL_EQUITY_1_YEAR_GROWTH","FQ3 2016","FQ3 2016","Currency=INR","Period=FQ","BEST_FPERIOD_OVERRIDE=FQ","FILING_STATUS=OR","EQY_CONSOLIDATED=Y","Sort=A","Dates=H","DateFormat=P","Fill=—","Direction=H","UseDPDF=Y")</f>
        <v>#NAME?</v>
      </c>
      <c r="AJ216" s="2" t="e">
        <f ca="1">_xll.BDH($C$203,"GROWTH_IN_CAP","FQ3 2016","FQ3 2016","Currency=INR","Period=FQ","BEST_FPERIOD_OVERRIDE=FQ","FILING_STATUS=OR","EQY_CONSOLIDATED=Y","Sort=A","Dates=H","DateFormat=P","Fill=—","Direction=H","UseDPDF=Y")</f>
        <v>#NAME?</v>
      </c>
      <c r="AK216" s="2" t="e">
        <f ca="1">_xll.BDH($C$203,"BVPS_GROWTH","FQ3 2016","FQ3 2016","Currency=INR","Period=FQ","BEST_FPERIOD_OVERRIDE=FQ","FILING_STATUS=OR","EQY_CONSOLIDATED=Y","Sort=A","Dates=H","DateFormat=P","Fill=—","Direction=H","UseDPDF=Y")</f>
        <v>#NAME?</v>
      </c>
      <c r="AL216" s="2" t="e">
        <f ca="1">_xll.BDH($C$203,"CASH_FLOW_GROWTH","FQ3 2016","FQ3 2016","Currency=INR","Period=FQ","BEST_FPERIOD_OVERRIDE=FQ","FILING_STATUS=OR","EQY_CONSOLIDATED=Y","Sort=A","Dates=H","DateFormat=P","Fill=—","Direction=H","UseDPDF=Y")</f>
        <v>#NAME?</v>
      </c>
      <c r="AM216" s="2" t="e">
        <f ca="1">_xll.BDH($C$203,"GEO_GROW_NET_SALES","FQ3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16" s="2" t="e">
        <f ca="1">_xll.BDH($C$203,"GEO_GROW_EBITDA","FQ3 2016","FQ3 2016","Currency=INR","Period=FQ","BEST_FPERIOD_OVERRIDE=FQ","FILING_STATUS=OR","EQY_CONSOLIDATED=Y","FA_ADJUSTED=GAAP","Sort=A","Dates=H","DateFormat=P","Fill=—","Direction=H","UseDPDF=Y")</f>
        <v>#NAME?</v>
      </c>
      <c r="AO216" s="2" t="e">
        <f ca="1">_xll.BDH($C$203,"GEO_GROW_OPER_INC","FQ3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16" s="2" t="e">
        <f ca="1">_xll.BDH($C$203,"NET_INCOME_TO_COMMON_5_YR_GROWTH","FQ3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16" s="2" t="e">
        <f ca="1">_xll.BDH($C$203,"5Y_GEO_GROWTH_DILUTED_EPS","FQ3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16" s="2" t="e">
        <f ca="1">_xll.BDH($C$203,"GEO_GROW_DVD_PER_SH","FQ3 2016","FQ3 2016","Currency=INR","Period=FQ","BEST_FPERIOD_OVERRIDE=FQ","FILING_STATUS=OR","EQY_CONSOLIDATED=Y","Sort=A","Dates=H","DateFormat=P","Fill=—","Direction=H","UseDPDF=Y")</f>
        <v>#NAME?</v>
      </c>
      <c r="AS216" s="2" t="e">
        <f ca="1">_xll.BDH($C$203,"ACCOUNTS_RECEIVABLE_5_YR_GROWTH","FQ3 2016","FQ3 2016","Currency=INR","Period=FQ","BEST_FPERIOD_OVERRIDE=FQ","FILING_STATUS=OR","EQY_CONSOLIDATED=Y","Sort=A","Dates=H","DateFormat=P","Fill=—","Direction=H","UseDPDF=Y")</f>
        <v>#NAME?</v>
      </c>
      <c r="AT216" s="2" t="e">
        <f ca="1">_xll.BDH($C$203,"INVENTORY_5_YEAR_GROWTH","FQ3 2016","FQ3 2016","Currency=INR","Period=FQ","BEST_FPERIOD_OVERRIDE=FQ","FILING_STATUS=OR","EQY_CONSOLIDATED=Y","Sort=A","Dates=H","DateFormat=P","Fill=—","Direction=H","UseDPDF=Y")</f>
        <v>#NAME?</v>
      </c>
      <c r="AU216" s="2" t="e">
        <f ca="1">_xll.BDH($C$203,"NET_FIXED_ASSETS_5_YEAR_GROWTH","FQ3 2016","FQ3 2016","Currency=INR","Period=FQ","BEST_FPERIOD_OVERRIDE=FQ","FILING_STATUS=OR","EQY_CONSOLIDATED=Y","Sort=A","Dates=H","DateFormat=P","Fill=—","Direction=H","UseDPDF=Y")</f>
        <v>#NAME?</v>
      </c>
      <c r="AV216" s="2" t="e">
        <f ca="1">_xll.BDH($C$203,"GEO_GROW_TOT_ASSET","FQ3 2016","FQ3 2016","Currency=INR","Period=FQ","BEST_FPERIOD_OVERRIDE=FQ","FILING_STATUS=OR","EQY_CONSOLIDATED=Y","Sort=A","Dates=H","DateFormat=P","Fill=—","Direction=H","UseDPDF=Y")</f>
        <v>#NAME?</v>
      </c>
      <c r="AW216" s="2" t="e">
        <f ca="1">_xll.BDH($C$203,"MODIFIED_WORKING_CPTL_5YR_GRWTH","FQ3 2016","FQ3 2016","Currency=INR","Period=FQ","BEST_FPERIOD_OVERRIDE=FQ","FILING_STATUS=OR","EQY_CONSOLIDATED=Y","Sort=A","Dates=H","DateFormat=P","Fill=—","Direction=H","UseDPDF=Y")</f>
        <v>#NAME?</v>
      </c>
      <c r="AX216" s="2" t="e">
        <f ca="1">_xll.BDH($C$203,"WORKING_CAPITAL_5_YEAR_GROWTH","FQ3 2016","FQ3 2016","Currency=INR","Period=FQ","BEST_FPERIOD_OVERRIDE=FQ","FILING_STATUS=OR","EQY_CONSOLIDATED=Y","Sort=A","Dates=H","DateFormat=P","Fill=—","Direction=H","UseDPDF=Y")</f>
        <v>#NAME?</v>
      </c>
      <c r="AY216" s="2" t="e">
        <f ca="1">_xll.BDH($C$203,"ACCOUNTS_PAYABLE_5_YEAR_GROWTH","FQ3 2016","FQ3 2016","Currency=INR","Period=FQ","BEST_FPERIOD_OVERRIDE=FQ","FILING_STATUS=OR","EQY_CONSOLIDATED=Y","Sort=A","Dates=H","DateFormat=P","Fill=—","Direction=H","UseDPDF=Y")</f>
        <v>#NAME?</v>
      </c>
      <c r="AZ216" s="2" t="e">
        <f ca="1">_xll.BDH($C$203,"SHORT_TERM_DEBT_5_YEAR_GROWTH","FQ3 2016","FQ3 2016","Currency=INR","Period=FQ","BEST_FPERIOD_OVERRIDE=FQ","FILING_STATUS=OR","EQY_CONSOLIDATED=Y","Sort=A","Dates=H","DateFormat=P","Fill=—","Direction=H","UseDPDF=Y")</f>
        <v>#NAME?</v>
      </c>
      <c r="BA216" s="2" t="e">
        <f ca="1">_xll.BDH($C$203,"TOTAL_DEBT_5_YEAR_GROWTH","FQ3 2016","FQ3 2016","Currency=INR","Period=FQ","BEST_FPERIOD_OVERRIDE=FQ","FILING_STATUS=OR","EQY_CONSOLIDATED=Y","Sort=A","Dates=H","DateFormat=P","Fill=—","Direction=H","UseDPDF=Y")</f>
        <v>#NAME?</v>
      </c>
      <c r="BB216" s="2" t="e">
        <f ca="1">_xll.BDH($C$203,"GEO_GROW_TOT_SHRHLDR_EQY","FQ3 2016","FQ3 2016","Currency=INR","Period=FQ","BEST_FPERIOD_OVERRIDE=FQ","FILING_STATUS=OR","EQY_CONSOLIDATED=Y","Sort=A","Dates=H","DateFormat=P","Fill=—","Direction=H","UseDPDF=Y")</f>
        <v>#NAME?</v>
      </c>
      <c r="BC216" s="2" t="e">
        <f ca="1">_xll.BDH($C$203,"TOTAL_CAPITAL_5_YEAR_GROWTH","FQ3 2016","FQ3 2016","Currency=INR","Period=FQ","BEST_FPERIOD_OVERRIDE=FQ","FILING_STATUS=OR","EQY_CONSOLIDATED=Y","Sort=A","Dates=H","DateFormat=P","Fill=—","Direction=H","UseDPDF=Y")</f>
        <v>#NAME?</v>
      </c>
      <c r="BD216" s="2" t="e">
        <f ca="1">_xll.BDH($C$203,"GEO_GROW_BOOK_VAL","FQ3 2016","FQ3 2016","Currency=INR","Period=FQ","BEST_FPERIOD_OVERRIDE=FQ","FILING_STATUS=OR","EQY_CONSOLIDATED=Y","Sort=A","Dates=H","DateFormat=P","Fill=—","Direction=H","UseDPDF=Y")</f>
        <v>#NAME?</v>
      </c>
      <c r="BE216" s="2" t="e">
        <f ca="1">_xll.BDH($C$203,"GEO_GROW_CASH_OPER_ACT","FQ3 2016","FQ3 2016","Currency=INR","Period=FQ","BEST_FPERIOD_OVERRIDE=FQ","FILING_STATUS=OR","EQY_CONSOLIDATED=Y","Sort=A","Dates=H","DateFormat=P","Fill=—","Direction=H","UseDPDF=Y")</f>
        <v>#NAME?</v>
      </c>
      <c r="BF216" s="2" t="e">
        <f ca="1">_xll.BDH($C$203,"REVENUE_SEQUENTIAL_GROWTH","FQ3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16" s="2" t="e">
        <f ca="1">_xll.BDH($C$203,"EBITDA_SEQUENTIAL_GROWTH","FQ3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16" s="2" t="e">
        <f ca="1">_xll.BDH($C$203,"OPERATING_INCOME_SEQ_GROWTH","FQ3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16" s="2" t="e">
        <f ca="1">_xll.BDH($C$203,"NET_INCOME_TO_COMMON_SEQ_GROWTH","FQ3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16" s="2" t="e">
        <f ca="1">_xll.BDH($C$203,"EPS_DILUTED_SEQUENTIAL_GROWTH","FQ3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16" s="2" t="e">
        <f ca="1">_xll.BDH($C$203,"DPS_SEQUENTIAL_GROWTH","FQ3 2016","FQ3 2016","Currency=INR","Period=FQ","BEST_FPERIOD_OVERRIDE=FQ","FILING_STATUS=OR","EQY_CONSOLIDATED=Y","Sort=A","Dates=H","DateFormat=P","Fill=—","Direction=H","UseDPDF=Y")</f>
        <v>#NAME?</v>
      </c>
      <c r="BL216" s="2" t="e">
        <f ca="1">_xll.BDH($C$203,"ACCOUNTS_RECEIVABLE_SEQ_GROWTH","FQ3 2016","FQ3 2016","Currency=INR","Period=FQ","BEST_FPERIOD_OVERRIDE=FQ","FILING_STATUS=OR","EQY_CONSOLIDATED=Y","Sort=A","Dates=H","DateFormat=P","Fill=—","Direction=H","UseDPDF=Y")</f>
        <v>#NAME?</v>
      </c>
      <c r="BM216" s="2" t="e">
        <f ca="1">_xll.BDH($C$203,"INVENTORY_SEQUENTIAL_GROWTH","FQ3 2016","FQ3 2016","Currency=INR","Period=FQ","BEST_FPERIOD_OVERRIDE=FQ","FILING_STATUS=OR","EQY_CONSOLIDATED=Y","Sort=A","Dates=H","DateFormat=P","Fill=—","Direction=H","UseDPDF=Y")</f>
        <v>#NAME?</v>
      </c>
      <c r="BN216" s="2" t="e">
        <f ca="1">_xll.BDH($C$203,"FIXED_ASSETS_SEQUENTIAL_GROWTH","FQ3 2016","FQ3 2016","Currency=INR","Period=FQ","BEST_FPERIOD_OVERRIDE=FQ","FILING_STATUS=OR","EQY_CONSOLIDATED=Y","Sort=A","Dates=H","DateFormat=P","Fill=—","Direction=H","UseDPDF=Y")</f>
        <v>#NAME?</v>
      </c>
      <c r="BO216" s="2" t="e">
        <f ca="1">_xll.BDH($C$203,"TOTAL_ASSETS_SEQUENTIAL_GROWTH","FQ3 2016","FQ3 2016","Currency=INR","Period=FQ","BEST_FPERIOD_OVERRIDE=FQ","FILING_STATUS=OR","EQY_CONSOLIDATED=Y","Sort=A","Dates=H","DateFormat=P","Fill=—","Direction=H","UseDPDF=Y")</f>
        <v>#NAME?</v>
      </c>
      <c r="BP216" s="2" t="e">
        <f ca="1">_xll.BDH($C$203,"MODIFIED_WORKING_CPTL_SEQ_GRWTH","FQ3 2016","FQ3 2016","Currency=INR","Period=FQ","BEST_FPERIOD_OVERRIDE=FQ","FILING_STATUS=OR","EQY_CONSOLIDATED=Y","Sort=A","Dates=H","DateFormat=P","Fill=—","Direction=H","UseDPDF=Y")</f>
        <v>#NAME?</v>
      </c>
      <c r="BQ216" s="2" t="e">
        <f ca="1">_xll.BDH($C$203,"WORKING_CAPITAL_SEQ_GROWTH","FQ3 2016","FQ3 2016","Currency=INR","Period=FQ","BEST_FPERIOD_OVERRIDE=FQ","FILING_STATUS=OR","EQY_CONSOLIDATED=Y","Sort=A","Dates=H","DateFormat=P","Fill=—","Direction=H","UseDPDF=Y")</f>
        <v>#NAME?</v>
      </c>
      <c r="BR216" s="2" t="e">
        <f ca="1">_xll.BDH($C$203,"ACCOUNTS_PAYABLE_SEQ_GROWTH","FQ3 2016","FQ3 2016","Currency=INR","Period=FQ","BEST_FPERIOD_OVERRIDE=FQ","FILING_STATUS=OR","EQY_CONSOLIDATED=Y","Sort=A","Dates=H","DateFormat=P","Fill=—","Direction=H","UseDPDF=Y")</f>
        <v>#NAME?</v>
      </c>
      <c r="BS216" s="2" t="e">
        <f ca="1">_xll.BDH($C$203,"ST_DEBT_SEQUENTIAL_GROWTH","FQ3 2016","FQ3 2016","Currency=INR","Period=FQ","BEST_FPERIOD_OVERRIDE=FQ","FILING_STATUS=OR","EQY_CONSOLIDATED=Y","Sort=A","Dates=H","DateFormat=P","Fill=—","Direction=H","UseDPDF=Y")</f>
        <v>#NAME?</v>
      </c>
      <c r="BT216" s="2" t="e">
        <f ca="1">_xll.BDH($C$203,"TOTAL_DEBT_SEQUENTIAL_GROWTH","FQ3 2016","FQ3 2016","Currency=INR","Period=FQ","BEST_FPERIOD_OVERRIDE=FQ","FILING_STATUS=OR","EQY_CONSOLIDATED=Y","Sort=A","Dates=H","DateFormat=P","Fill=—","Direction=H","UseDPDF=Y")</f>
        <v>#NAME?</v>
      </c>
      <c r="BU216" s="2" t="e">
        <f ca="1">_xll.BDH($C$203,"TOTAL_EQUITY_SEQUENTIAL_GROWTH","FQ3 2016","FQ3 2016","Currency=INR","Period=FQ","BEST_FPERIOD_OVERRIDE=FQ","FILING_STATUS=OR","EQY_CONSOLIDATED=Y","Sort=A","Dates=H","DateFormat=P","Fill=—","Direction=H","UseDPDF=Y")</f>
        <v>#NAME?</v>
      </c>
      <c r="BV216" s="2" t="e">
        <f ca="1">_xll.BDH($C$203,"TOTAL_CAPITAL_SEQUENTIAL_GROWTH","FQ3 2016","FQ3 2016","Currency=INR","Period=FQ","BEST_FPERIOD_OVERRIDE=FQ","FILING_STATUS=OR","EQY_CONSOLIDATED=Y","Sort=A","Dates=H","DateFormat=P","Fill=—","Direction=H","UseDPDF=Y")</f>
        <v>#NAME?</v>
      </c>
      <c r="BW216" s="2" t="e">
        <f ca="1">_xll.BDH($C$203,"BPS_SEQUENTIAL_GROWTH","FQ3 2016","FQ3 2016","Currency=INR","Period=FQ","BEST_FPERIOD_OVERRIDE=FQ","FILING_STATUS=OR","EQY_CONSOLIDATED=Y","Sort=A","Dates=H","DateFormat=P","Fill=—","Direction=H","UseDPDF=Y")</f>
        <v>#NAME?</v>
      </c>
      <c r="BX216" s="2" t="e">
        <f ca="1">_xll.BDH($C$203,"CFO_SEQUENTIAL_GROWTH","FQ3 2016","FQ3 2016","Currency=INR","Period=FQ","BEST_FPERIOD_OVERRIDE=FQ","FILING_STATUS=OR","EQY_CONSOLIDATED=Y","Sort=A","Dates=H","DateFormat=P","Fill=—","Direction=H","UseDPDF=Y")</f>
        <v>#NAME?</v>
      </c>
      <c r="BY216" s="3" t="e">
        <f ca="1">_xll.BDH($C$203,"SHORT_AND_LONG_TERM_DEBT","FQ3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16" s="3" t="e">
        <f ca="1">_xll.BDH($C$203,"BS_ST_BORROW","FQ3 2016","FQ3 2016","Currency=INR","Period=FQ","BEST_FPERIOD_OVERRIDE=FQ","FILING_STATUS=OR","EQY_CONSOLIDATED=Y","SCALING_FORMAT=MLN","Sort=A","Dates=H","DateFormat=P","Fill=—","Direction=H","UseDPDF=Y")</f>
        <v>#NAME?</v>
      </c>
      <c r="CA216" s="3" t="e">
        <f ca="1">_xll.BDH($C$203,"BS_LT_BORROW","FQ3 2016","FQ3 2016","Currency=INR","Period=FQ","BEST_FPERIOD_OVERRIDE=FQ","FILING_STATUS=OR","EQY_CONSOLIDATED=Y","SCALING_FORMAT=MLN","Sort=A","Dates=H","DateFormat=P","Fill=—","Direction=H","UseDPDF=Y")</f>
        <v>#NAME?</v>
      </c>
      <c r="CB216" s="2" t="e">
        <f ca="1">_xll.BDH($C$203,"TOT_DEBT_TO_EBITDA","FQ3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16" s="2" t="e">
        <f ca="1">_xll.BDH($C$203,"NET_DEBT_TO_EBITDA","FQ3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16" s="2" t="e">
        <f ca="1">_xll.BDH($C$203,"TOTAL_DEBT_TO_EBIT","FQ3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16" s="2" t="e">
        <f ca="1">_xll.BDH($C$203,"NET_DEBT_TO_EBIT","FQ3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16" s="2" t="e">
        <f ca="1">_xll.BDH($C$203,"EBITDA_TO_INTEREST_EXPN","FQ3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16" s="2" t="e">
        <f ca="1">_xll.BDH($C$203,"COM_EQY_TO_TOT_ASSET","FQ3 2016","FQ3 2016","Currency=INR","Period=FQ","BEST_FPERIOD_OVERRIDE=FQ","FILING_STATUS=OR","EQY_CONSOLIDATED=Y","Sort=A","Dates=H","DateFormat=P","Fill=—","Direction=H","UseDPDF=Y")</f>
        <v>#NAME?</v>
      </c>
      <c r="CH216" s="2" t="e">
        <f ca="1">_xll.BDH($C$203,"LT_DEBT_TO_TOT_EQY","FQ3 2016","FQ3 2016","Currency=INR","Period=FQ","BEST_FPERIOD_OVERRIDE=FQ","FILING_STATUS=OR","EQY_CONSOLIDATED=Y","Sort=A","Dates=H","DateFormat=P","Fill=—","Direction=H","UseDPDF=Y")</f>
        <v>#NAME?</v>
      </c>
      <c r="CI216" s="2" t="e">
        <f ca="1">_xll.BDH($C$203,"LT_DEBT_TO_TOT_CAP","FQ3 2016","FQ3 2016","Currency=INR","Period=FQ","BEST_FPERIOD_OVERRIDE=FQ","FILING_STATUS=OR","EQY_CONSOLIDATED=Y","Sort=A","Dates=H","DateFormat=P","Fill=—","Direction=H","UseDPDF=Y")</f>
        <v>#NAME?</v>
      </c>
      <c r="CJ216" s="2" t="e">
        <f ca="1">_xll.BDH($C$203,"LT_DEBT_TO_TOT_ASSET","FQ3 2016","FQ3 2016","Currency=INR","Period=FQ","BEST_FPERIOD_OVERRIDE=FQ","FILING_STATUS=OR","EQY_CONSOLIDATED=Y","Sort=A","Dates=H","DateFormat=P","Fill=—","Direction=H","UseDPDF=Y")</f>
        <v>#NAME?</v>
      </c>
      <c r="CK216" s="2" t="e">
        <f ca="1">_xll.BDH($C$203,"TOT_DEBT_TO_TOT_EQY","FQ3 2016","FQ3 2016","Currency=INR","Period=FQ","BEST_FPERIOD_OVERRIDE=FQ","FILING_STATUS=OR","EQY_CONSOLIDATED=Y","Sort=A","Dates=H","DateFormat=P","Fill=—","Direction=H","UseDPDF=Y")</f>
        <v>#NAME?</v>
      </c>
      <c r="CL216" s="2" t="e">
        <f ca="1">_xll.BDH($C$203,"TOT_DEBT_TO_TOT_CAP","FQ3 2016","FQ3 2016","Currency=INR","Period=FQ","BEST_FPERIOD_OVERRIDE=FQ","FILING_STATUS=OR","EQY_CONSOLIDATED=Y","Sort=A","Dates=H","DateFormat=P","Fill=—","Direction=H","UseDPDF=Y")</f>
        <v>#NAME?</v>
      </c>
      <c r="CM216" s="2" t="e">
        <f ca="1">_xll.BDH($C$203,"TOT_DEBT_TO_TOT_ASSET","FQ3 2016","FQ3 2016","Currency=INR","Period=FQ","BEST_FPERIOD_OVERRIDE=FQ","FILING_STATUS=OR","EQY_CONSOLIDATED=Y","Sort=A","Dates=H","DateFormat=P","Fill=—","Direction=H","UseDPDF=Y")</f>
        <v>#NAME?</v>
      </c>
      <c r="CN216" s="2" t="e">
        <f ca="1">_xll.BDH($C$203,"NET_DEBT_TO_SHRHLDR_EQTY","FQ3 2016","FQ3 2016","Currency=INR","Period=FQ","BEST_FPERIOD_OVERRIDE=FQ","FILING_STATUS=OR","EQY_CONSOLIDATED=Y","Sort=A","Dates=H","DateFormat=P","Fill=—","Direction=H","UseDPDF=Y")</f>
        <v>#NAME?</v>
      </c>
      <c r="CO216" s="2" t="e">
        <f ca="1">_xll.BDH($C$203,"NET_DEBT_%_CAPITAL","FQ3 2016","FQ3 2016","Currency=INR","Period=FQ","BEST_FPERIOD_OVERRIDE=FQ","FILING_STATUS=OR","EQY_CONSOLIDATED=Y","Sort=A","Dates=H","DateFormat=P","Fill=—","Direction=H","UseDPDF=Y")</f>
        <v>#NAME?</v>
      </c>
      <c r="CP216" s="3" t="e">
        <f ca="1">_xll.BDH($C$203,"EBITDA","FQ3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16" s="3" t="e">
        <f ca="1">_xll.BDH($C$203,"EBITDA_AFTER_CAPEX","FQ3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16" s="3" t="e">
        <f ca="1">_xll.BDH($C$203,"IS_OPER_INC","FQ3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16" s="2" t="e">
        <f ca="1">_xll.BDH($C$203,"CASH_RATIO","FQ3 2016","FQ3 2016","Currency=INR","Period=FQ","BEST_FPERIOD_OVERRIDE=FQ","FILING_STATUS=OR","EQY_CONSOLIDATED=Y","Sort=A","Dates=H","DateFormat=P","Fill=—","Direction=H","UseDPDF=Y")</f>
        <v>#NAME?</v>
      </c>
      <c r="CT216" s="2" t="e">
        <f ca="1">_xll.BDH($C$203,"CUR_RATIO","FQ3 2016","FQ3 2016","Currency=INR","Period=FQ","BEST_FPERIOD_OVERRIDE=FQ","FILING_STATUS=OR","EQY_CONSOLIDATED=Y","Sort=A","Dates=H","DateFormat=P","Fill=—","Direction=H","UseDPDF=Y")</f>
        <v>#NAME?</v>
      </c>
      <c r="CU216" s="2" t="e">
        <f ca="1">_xll.BDH($C$203,"QUICK_RATIO","FQ3 2016","FQ3 2016","Currency=INR","Period=FQ","BEST_FPERIOD_OVERRIDE=FQ","FILING_STATUS=OR","EQY_CONSOLIDATED=Y","Sort=A","Dates=H","DateFormat=P","Fill=—","Direction=H","UseDPDF=Y")</f>
        <v>#NAME?</v>
      </c>
      <c r="CV216" s="2" t="e">
        <f ca="1">_xll.BDH($C$203,"ALTMAN_Z_SCORE","FQ3 2016","FQ3 2016","Currency=INR","Period=FQ","BEST_FPERIOD_OVERRIDE=FQ","FILING_STATUS=OR","EQY_CONSOLIDATED=Y","Sort=A","Dates=H","DateFormat=P","Fill=—","Direction=H","UseDPDF=Y")</f>
        <v>#NAME?</v>
      </c>
      <c r="CW216" s="4" t="e">
        <f ca="1">_xll.BDH($C$203,"ACCT_RCV_TURN","FQ3 2016","FQ3 2016","Currency=INR","Period=FQ","BEST_FPERIOD_OVERRIDE=FQ","FILING_STATUS=OR","EQY_CONSOLIDATED=Y","FA_ADJUSTED=GAAP","Sort=A","Dates=H","DateFormat=P","Fill=—","Direction=H","UseDPDF=Y")</f>
        <v>#NAME?</v>
      </c>
      <c r="CX216" s="2" t="e">
        <f ca="1">_xll.BDH($C$203,"ACCT_RCV_DAYS","FQ3 2016","FQ3 2016","Currency=INR","Period=FQ","BEST_FPERIOD_OVERRIDE=FQ","FILING_STATUS=OR","EQY_CONSOLIDATED=Y","FA_ADJUSTED=GAAP","Sort=A","Dates=H","DateFormat=P","Fill=—","Direction=H","UseDPDF=Y")</f>
        <v>#NAME?</v>
      </c>
      <c r="CY216" s="4" t="e">
        <f ca="1">_xll.BDH($C$203,"INVENT_TURN","FQ3 2016","FQ3 2016","Currency=INR","Period=FQ","BEST_FPERIOD_OVERRIDE=FQ","FILING_STATUS=OR","EQY_CONSOLIDATED=Y","FA_ADJUSTED=GAAP","Sort=A","Dates=H","DateFormat=P","Fill=—","Direction=H","UseDPDF=Y")</f>
        <v>#NAME?</v>
      </c>
      <c r="CZ216" s="2" t="e">
        <f ca="1">_xll.BDH($C$203,"INVENT_DAYS","FQ3 2016","FQ3 2016","Currency=INR","Period=FQ","BEST_FPERIOD_OVERRIDE=FQ","FILING_STATUS=OR","EQY_CONSOLIDATED=Y","FA_ADJUSTED=GAAP","Sort=A","Dates=H","DateFormat=P","Fill=—","Direction=H","UseDPDF=Y")</f>
        <v>#NAME?</v>
      </c>
      <c r="DA216" s="4" t="e">
        <f ca="1">_xll.BDH($C$203,"ACCOUNTS_PAYABLE_TURNOVER","FQ3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16" s="2" t="e">
        <f ca="1">_xll.BDH($C$203,"ACCOUNTS_PAYABLE_TURNOVER_DAYS","FQ3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16" s="4" t="e">
        <f ca="1">_xll.BDH($C$203,"CASH_CONVERSION_CYCLE","FQ3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16" s="4" t="e">
        <f ca="1">_xll.BDH($C$203,"INV_TO_CASH_DAYS","FQ3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16" s="5" t="e">
        <f ca="1">_xll.BDH($C$203,"BS_INVENTORIES","FQ3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16" s="3" t="e">
        <f ca="1">_xll.BDH($C$203,"INVTRY_RAW_MATERIALS","FQ3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16" s="3" t="e">
        <f ca="1">_xll.BDH($C$203,"INVTRY_IN_PROGRESS","FQ3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16" s="3" t="e">
        <f ca="1">_xll.BDH($C$203,"INVTRY_FINISHED_GOODS","FQ3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16" s="3" t="e">
        <f ca="1">_xll.BDH($C$203,"BS_OTHER_INV","FQ3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17" spans="1:113" x14ac:dyDescent="0.3">
      <c r="A217" s="6"/>
      <c r="B217" s="6"/>
      <c r="C217" s="6"/>
      <c r="D217" s="6"/>
      <c r="E217" t="s">
        <v>81</v>
      </c>
      <c r="F217" t="e">
        <f ca="1">_xll.BDH($C$203,"RETURN_COM_EQY","FQ4 2016","FQ4 2016","Currency=INR","Period=FQ","BEST_FPERIOD_OVERRIDE=FQ","FILING_STATUS=OR","EQY_CONSOLIDATED=Y","FA_ADJUSTED=GAAP","Sort=A","Dates=H","DateFormat=P","Fill=—","Direction=H","UseDPDF=Y")</f>
        <v>#NAME?</v>
      </c>
      <c r="G217" t="e">
        <f ca="1">_xll.BDH($C$203,"RETURN_ON_ASSET","FQ4 2016","FQ4 2016","Currency=INR","Period=FQ","BEST_FPERIOD_OVERRIDE=FQ","FILING_STATUS=OR","EQY_CONSOLIDATED=Y","FA_ADJUSTED=GAAP","Sort=A","Dates=H","DateFormat=P","Fill=—","Direction=H","UseDPDF=Y")</f>
        <v>#NAME?</v>
      </c>
      <c r="H217" t="e">
        <f ca="1">_xll.BDH($C$203,"RETURN_ON_CAP","FQ4 2016","FQ4 2016","Currency=INR","Period=FQ","BEST_FPERIOD_OVERRIDE=FQ","FILING_STATUS=OR","EQY_CONSOLIDATED=Y","FA_ADJUSTED=GAAP","Sort=A","Dates=H","DateFormat=P","Fill=—","Direction=H","UseDPDF=Y")</f>
        <v>#NAME?</v>
      </c>
      <c r="I217" t="e">
        <f ca="1">_xll.BDH($C$203,"RETURN_ON_INV_CAPITAL","FQ4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17" t="e">
        <f ca="1">_xll.BDH($C$203,"EBITDA_TO_REVENUE","FQ4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17" t="e">
        <f ca="1">_xll.BDH($C$203,"OPER_MARGIN","FQ4 2016","FQ4 2016","Currency=INR","Period=FQ","BEST_FPERIOD_OVERRIDE=FQ","FILING_STATUS=OR","EQY_CONSOLIDATED=Y","FA_ADJUSTED=GAAP","Sort=A","Dates=H","DateFormat=P","Fill=—","Direction=H","UseDPDF=Y")</f>
        <v>#NAME?</v>
      </c>
      <c r="L217" t="e">
        <f ca="1">_xll.BDH($C$203,"INCREMENTAL_OPERATING_MARGIN","FQ4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17" t="e">
        <f ca="1">_xll.BDH($C$203,"PRETAX_INC_TO_NET_SALES","FQ4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17" t="e">
        <f ca="1">_xll.BDH($C$203,"INC_BEF_XO_ITEMS_TO_NET_SALES","FQ4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17" t="e">
        <f ca="1">_xll.BDH($C$203,"PROF_MARGIN","FQ4 2016","FQ4 2016","Currency=INR","Period=FQ","BEST_FPERIOD_OVERRIDE=FQ","FILING_STATUS=OR","EQY_CONSOLIDATED=Y","FA_ADJUSTED=GAAP","Sort=A","Dates=H","DateFormat=P","Fill=—","Direction=H","UseDPDF=Y")</f>
        <v>#NAME?</v>
      </c>
      <c r="P217" t="e">
        <f ca="1">_xll.BDH($C$203,"NET_INCOME_TO_COMMON_MARGIN","FQ4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17" t="e">
        <f ca="1">_xll.BDH($C$203,"EFF_TAX_RATE","FQ4 2016","FQ4 2016","Currency=INR","Period=FQ","BEST_FPERIOD_OVERRIDE=FQ","FILING_STATUS=OR","EQY_CONSOLIDATED=Y","FA_ADJUSTED=GAAP","Sort=A","Dates=H","DateFormat=P","Fill=—","Direction=H","UseDPDF=Y")</f>
        <v>#NAME?</v>
      </c>
      <c r="R217" t="e">
        <f ca="1">_xll.BDH($C$203,"DVD_PAYOUT_RATIO","FQ4 2016","FQ4 2016","Currency=INR","Period=FQ","BEST_FPERIOD_OVERRIDE=FQ","FILING_STATUS=OR","EQY_CONSOLIDATED=Y","FA_ADJUSTED=GAAP","Sort=A","Dates=H","DateFormat=P","Fill=—","Direction=H","UseDPDF=Y")</f>
        <v>#NAME?</v>
      </c>
      <c r="S217" t="e">
        <f ca="1">_xll.BDH($C$203,"SUSTAIN_GROWTH_RT","FQ4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17" s="2" t="e">
        <f ca="1">_xll.BDH($C$203,"SALES_GROWTH","FQ4 2016","FQ4 2016","Currency=INR","Period=FQ","BEST_FPERIOD_OVERRIDE=FQ","FILING_STATUS=OR","EQY_CONSOLIDATED=Y","FA_ADJUSTED=GAAP","Sort=A","Dates=H","DateFormat=P","Fill=—","Direction=H","UseDPDF=Y")</f>
        <v>#NAME?</v>
      </c>
      <c r="U217" s="2" t="e">
        <f ca="1">_xll.BDH($C$203,"EBITDA_GROWTH","FQ4 2016","FQ4 2016","Currency=INR","Period=FQ","BEST_FPERIOD_OVERRIDE=FQ","FILING_STATUS=OR","EQY_CONSOLIDATED=Y","FA_ADJUSTED=GAAP","Sort=A","Dates=H","DateFormat=P","Fill=—","Direction=H","UseDPDF=Y")</f>
        <v>#NAME?</v>
      </c>
      <c r="V217" s="2" t="e">
        <f ca="1">_xll.BDH($C$203,"OPER_INC_GROWTH","FQ4 2016","FQ4 2016","Currency=INR","Period=FQ","BEST_FPERIOD_OVERRIDE=FQ","FILING_STATUS=OR","EQY_CONSOLIDATED=Y","FA_ADJUSTED=GAAP","Sort=A","Dates=H","DateFormat=P","Fill=—","Direction=H","UseDPDF=Y")</f>
        <v>#NAME?</v>
      </c>
      <c r="W217" s="2" t="e">
        <f ca="1">_xll.BDH($C$203,"EARN_FOR_COM_GROWTH","FQ4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17" s="2" t="e">
        <f ca="1">_xll.BDH($C$203,"DILUTED_EPS_AFT_XO_ITEMS_GROWTH","FQ4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17" s="2" t="e">
        <f ca="1">_xll.BDH($C$203,"DIVIDEND_PER_SHARE_1_YEAR_GROWTH","FQ4 2016","FQ4 2016","Currency=INR","Period=FQ","BEST_FPERIOD_OVERRIDE=FQ","FILING_STATUS=OR","EQY_CONSOLIDATED=Y","Sort=A","Dates=H","DateFormat=P","Fill=—","Direction=H","UseDPDF=Y")</f>
        <v>#NAME?</v>
      </c>
      <c r="Z217" s="2" t="e">
        <f ca="1">_xll.BDH($C$203,"ACCOUNTS_RECEIVABLE_GROWTH","FQ4 2016","FQ4 2016","Currency=INR","Period=FQ","BEST_FPERIOD_OVERRIDE=FQ","FILING_STATUS=OR","EQY_CONSOLIDATED=Y","Sort=A","Dates=H","DateFormat=P","Fill=—","Direction=H","UseDPDF=Y")</f>
        <v>#NAME?</v>
      </c>
      <c r="AA217" s="2" t="e">
        <f ca="1">_xll.BDH($C$203,"INVENTORY_GROWTH","FQ4 2016","FQ4 2016","Currency=INR","Period=FQ","BEST_FPERIOD_OVERRIDE=FQ","FILING_STATUS=OR","EQY_CONSOLIDATED=Y","Sort=A","Dates=H","DateFormat=P","Fill=—","Direction=H","UseDPDF=Y")</f>
        <v>#NAME?</v>
      </c>
      <c r="AB217" s="2" t="e">
        <f ca="1">_xll.BDH($C$203,"NET_FIXED_ASSETS_1_YEAR_GROWTH","FQ4 2016","FQ4 2016","Currency=INR","Period=FQ","BEST_FPERIOD_OVERRIDE=FQ","FILING_STATUS=OR","EQY_CONSOLIDATED=Y","Sort=A","Dates=H","DateFormat=P","Fill=—","Direction=H","UseDPDF=Y")</f>
        <v>#NAME?</v>
      </c>
      <c r="AC217" s="2" t="e">
        <f ca="1">_xll.BDH($C$203,"ASSET_GROWTH","FQ4 2016","FQ4 2016","Currency=INR","Period=FQ","BEST_FPERIOD_OVERRIDE=FQ","FILING_STATUS=OR","EQY_CONSOLIDATED=Y","Sort=A","Dates=H","DateFormat=P","Fill=—","Direction=H","UseDPDF=Y")</f>
        <v>#NAME?</v>
      </c>
      <c r="AD217" s="2" t="e">
        <f ca="1">_xll.BDH($C$203,"MODIFIED_WORK_CAP_GROWTH","FQ4 2016","FQ4 2016","Currency=INR","Period=FQ","BEST_FPERIOD_OVERRIDE=FQ","FILING_STATUS=OR","EQY_CONSOLIDATED=Y","Sort=A","Dates=H","DateFormat=P","Fill=—","Direction=H","UseDPDF=Y")</f>
        <v>#NAME?</v>
      </c>
      <c r="AE217" s="2" t="e">
        <f ca="1">_xll.BDH($C$203,"WORK_CAP_GROWTH","FQ4 2016","FQ4 2016","Currency=INR","Period=FQ","BEST_FPERIOD_OVERRIDE=FQ","FILING_STATUS=OR","EQY_CONSOLIDATED=Y","Sort=A","Dates=H","DateFormat=P","Fill=—","Direction=H","UseDPDF=Y")</f>
        <v>#NAME?</v>
      </c>
      <c r="AF217" s="2" t="e">
        <f ca="1">_xll.BDH($C$203,"ACCOUNTS_PAYABLE_GROWTH_1YR","FQ4 2016","FQ4 2016","Currency=INR","Period=FQ","BEST_FPERIOD_OVERRIDE=FQ","FILING_STATUS=OR","EQY_CONSOLIDATED=Y","Sort=A","Dates=H","DateFormat=P","Fill=—","Direction=H","UseDPDF=Y")</f>
        <v>#NAME?</v>
      </c>
      <c r="AG217" s="2" t="e">
        <f ca="1">_xll.BDH($C$203,"SHORT_TERM_DEBT_1_YEAR_GROWTH","FQ4 2016","FQ4 2016","Currency=INR","Period=FQ","BEST_FPERIOD_OVERRIDE=FQ","FILING_STATUS=OR","EQY_CONSOLIDATED=Y","Sort=A","Dates=H","DateFormat=P","Fill=—","Direction=H","UseDPDF=Y")</f>
        <v>#NAME?</v>
      </c>
      <c r="AH217" s="2" t="e">
        <f ca="1">_xll.BDH($C$203,"TOTAL_DEBT_1_YEAR_GROWTH","FQ4 2016","FQ4 2016","Currency=INR","Period=FQ","BEST_FPERIOD_OVERRIDE=FQ","FILING_STATUS=OR","EQY_CONSOLIDATED=Y","Sort=A","Dates=H","DateFormat=P","Fill=—","Direction=H","UseDPDF=Y")</f>
        <v>#NAME?</v>
      </c>
      <c r="AI217" s="2" t="e">
        <f ca="1">_xll.BDH($C$203,"TOTAL_EQUITY_1_YEAR_GROWTH","FQ4 2016","FQ4 2016","Currency=INR","Period=FQ","BEST_FPERIOD_OVERRIDE=FQ","FILING_STATUS=OR","EQY_CONSOLIDATED=Y","Sort=A","Dates=H","DateFormat=P","Fill=—","Direction=H","UseDPDF=Y")</f>
        <v>#NAME?</v>
      </c>
      <c r="AJ217" s="2" t="e">
        <f ca="1">_xll.BDH($C$203,"GROWTH_IN_CAP","FQ4 2016","FQ4 2016","Currency=INR","Period=FQ","BEST_FPERIOD_OVERRIDE=FQ","FILING_STATUS=OR","EQY_CONSOLIDATED=Y","Sort=A","Dates=H","DateFormat=P","Fill=—","Direction=H","UseDPDF=Y")</f>
        <v>#NAME?</v>
      </c>
      <c r="AK217" s="2" t="e">
        <f ca="1">_xll.BDH($C$203,"BVPS_GROWTH","FQ4 2016","FQ4 2016","Currency=INR","Period=FQ","BEST_FPERIOD_OVERRIDE=FQ","FILING_STATUS=OR","EQY_CONSOLIDATED=Y","Sort=A","Dates=H","DateFormat=P","Fill=—","Direction=H","UseDPDF=Y")</f>
        <v>#NAME?</v>
      </c>
      <c r="AL217" s="2" t="e">
        <f ca="1">_xll.BDH($C$203,"CASH_FLOW_GROWTH","FQ4 2016","FQ4 2016","Currency=INR","Period=FQ","BEST_FPERIOD_OVERRIDE=FQ","FILING_STATUS=OR","EQY_CONSOLIDATED=Y","Sort=A","Dates=H","DateFormat=P","Fill=—","Direction=H","UseDPDF=Y")</f>
        <v>#NAME?</v>
      </c>
      <c r="AM217" s="2" t="e">
        <f ca="1">_xll.BDH($C$203,"GEO_GROW_NET_SALES","FQ4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17" s="2" t="e">
        <f ca="1">_xll.BDH($C$203,"GEO_GROW_EBITDA","FQ4 2016","FQ4 2016","Currency=INR","Period=FQ","BEST_FPERIOD_OVERRIDE=FQ","FILING_STATUS=OR","EQY_CONSOLIDATED=Y","FA_ADJUSTED=GAAP","Sort=A","Dates=H","DateFormat=P","Fill=—","Direction=H","UseDPDF=Y")</f>
        <v>#NAME?</v>
      </c>
      <c r="AO217" s="2" t="e">
        <f ca="1">_xll.BDH($C$203,"GEO_GROW_OPER_INC","FQ4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17" s="2" t="e">
        <f ca="1">_xll.BDH($C$203,"NET_INCOME_TO_COMMON_5_YR_GROWTH","FQ4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17" s="2" t="e">
        <f ca="1">_xll.BDH($C$203,"5Y_GEO_GROWTH_DILUTED_EPS","FQ4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17" s="2" t="e">
        <f ca="1">_xll.BDH($C$203,"GEO_GROW_DVD_PER_SH","FQ4 2016","FQ4 2016","Currency=INR","Period=FQ","BEST_FPERIOD_OVERRIDE=FQ","FILING_STATUS=OR","EQY_CONSOLIDATED=Y","Sort=A","Dates=H","DateFormat=P","Fill=—","Direction=H","UseDPDF=Y")</f>
        <v>#NAME?</v>
      </c>
      <c r="AS217" s="2" t="e">
        <f ca="1">_xll.BDH($C$203,"ACCOUNTS_RECEIVABLE_5_YR_GROWTH","FQ4 2016","FQ4 2016","Currency=INR","Period=FQ","BEST_FPERIOD_OVERRIDE=FQ","FILING_STATUS=OR","EQY_CONSOLIDATED=Y","Sort=A","Dates=H","DateFormat=P","Fill=—","Direction=H","UseDPDF=Y")</f>
        <v>#NAME?</v>
      </c>
      <c r="AT217" s="2" t="e">
        <f ca="1">_xll.BDH($C$203,"INVENTORY_5_YEAR_GROWTH","FQ4 2016","FQ4 2016","Currency=INR","Period=FQ","BEST_FPERIOD_OVERRIDE=FQ","FILING_STATUS=OR","EQY_CONSOLIDATED=Y","Sort=A","Dates=H","DateFormat=P","Fill=—","Direction=H","UseDPDF=Y")</f>
        <v>#NAME?</v>
      </c>
      <c r="AU217" s="2" t="e">
        <f ca="1">_xll.BDH($C$203,"NET_FIXED_ASSETS_5_YEAR_GROWTH","FQ4 2016","FQ4 2016","Currency=INR","Period=FQ","BEST_FPERIOD_OVERRIDE=FQ","FILING_STATUS=OR","EQY_CONSOLIDATED=Y","Sort=A","Dates=H","DateFormat=P","Fill=—","Direction=H","UseDPDF=Y")</f>
        <v>#NAME?</v>
      </c>
      <c r="AV217" s="2" t="e">
        <f ca="1">_xll.BDH($C$203,"GEO_GROW_TOT_ASSET","FQ4 2016","FQ4 2016","Currency=INR","Period=FQ","BEST_FPERIOD_OVERRIDE=FQ","FILING_STATUS=OR","EQY_CONSOLIDATED=Y","Sort=A","Dates=H","DateFormat=P","Fill=—","Direction=H","UseDPDF=Y")</f>
        <v>#NAME?</v>
      </c>
      <c r="AW217" s="2" t="e">
        <f ca="1">_xll.BDH($C$203,"MODIFIED_WORKING_CPTL_5YR_GRWTH","FQ4 2016","FQ4 2016","Currency=INR","Period=FQ","BEST_FPERIOD_OVERRIDE=FQ","FILING_STATUS=OR","EQY_CONSOLIDATED=Y","Sort=A","Dates=H","DateFormat=P","Fill=—","Direction=H","UseDPDF=Y")</f>
        <v>#NAME?</v>
      </c>
      <c r="AX217" s="2" t="e">
        <f ca="1">_xll.BDH($C$203,"WORKING_CAPITAL_5_YEAR_GROWTH","FQ4 2016","FQ4 2016","Currency=INR","Period=FQ","BEST_FPERIOD_OVERRIDE=FQ","FILING_STATUS=OR","EQY_CONSOLIDATED=Y","Sort=A","Dates=H","DateFormat=P","Fill=—","Direction=H","UseDPDF=Y")</f>
        <v>#NAME?</v>
      </c>
      <c r="AY217" s="2" t="e">
        <f ca="1">_xll.BDH($C$203,"ACCOUNTS_PAYABLE_5_YEAR_GROWTH","FQ4 2016","FQ4 2016","Currency=INR","Period=FQ","BEST_FPERIOD_OVERRIDE=FQ","FILING_STATUS=OR","EQY_CONSOLIDATED=Y","Sort=A","Dates=H","DateFormat=P","Fill=—","Direction=H","UseDPDF=Y")</f>
        <v>#NAME?</v>
      </c>
      <c r="AZ217" s="2" t="e">
        <f ca="1">_xll.BDH($C$203,"SHORT_TERM_DEBT_5_YEAR_GROWTH","FQ4 2016","FQ4 2016","Currency=INR","Period=FQ","BEST_FPERIOD_OVERRIDE=FQ","FILING_STATUS=OR","EQY_CONSOLIDATED=Y","Sort=A","Dates=H","DateFormat=P","Fill=—","Direction=H","UseDPDF=Y")</f>
        <v>#NAME?</v>
      </c>
      <c r="BA217" s="2" t="e">
        <f ca="1">_xll.BDH($C$203,"TOTAL_DEBT_5_YEAR_GROWTH","FQ4 2016","FQ4 2016","Currency=INR","Period=FQ","BEST_FPERIOD_OVERRIDE=FQ","FILING_STATUS=OR","EQY_CONSOLIDATED=Y","Sort=A","Dates=H","DateFormat=P","Fill=—","Direction=H","UseDPDF=Y")</f>
        <v>#NAME?</v>
      </c>
      <c r="BB217" s="2" t="e">
        <f ca="1">_xll.BDH($C$203,"GEO_GROW_TOT_SHRHLDR_EQY","FQ4 2016","FQ4 2016","Currency=INR","Period=FQ","BEST_FPERIOD_OVERRIDE=FQ","FILING_STATUS=OR","EQY_CONSOLIDATED=Y","Sort=A","Dates=H","DateFormat=P","Fill=—","Direction=H","UseDPDF=Y")</f>
        <v>#NAME?</v>
      </c>
      <c r="BC217" s="2" t="e">
        <f ca="1">_xll.BDH($C$203,"TOTAL_CAPITAL_5_YEAR_GROWTH","FQ4 2016","FQ4 2016","Currency=INR","Period=FQ","BEST_FPERIOD_OVERRIDE=FQ","FILING_STATUS=OR","EQY_CONSOLIDATED=Y","Sort=A","Dates=H","DateFormat=P","Fill=—","Direction=H","UseDPDF=Y")</f>
        <v>#NAME?</v>
      </c>
      <c r="BD217" s="2" t="e">
        <f ca="1">_xll.BDH($C$203,"GEO_GROW_BOOK_VAL","FQ4 2016","FQ4 2016","Currency=INR","Period=FQ","BEST_FPERIOD_OVERRIDE=FQ","FILING_STATUS=OR","EQY_CONSOLIDATED=Y","Sort=A","Dates=H","DateFormat=P","Fill=—","Direction=H","UseDPDF=Y")</f>
        <v>#NAME?</v>
      </c>
      <c r="BE217" s="2" t="e">
        <f ca="1">_xll.BDH($C$203,"GEO_GROW_CASH_OPER_ACT","FQ4 2016","FQ4 2016","Currency=INR","Period=FQ","BEST_FPERIOD_OVERRIDE=FQ","FILING_STATUS=OR","EQY_CONSOLIDATED=Y","Sort=A","Dates=H","DateFormat=P","Fill=—","Direction=H","UseDPDF=Y")</f>
        <v>#NAME?</v>
      </c>
      <c r="BF217" s="2" t="e">
        <f ca="1">_xll.BDH($C$203,"REVENUE_SEQUENTIAL_GROWTH","FQ4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17" s="2" t="e">
        <f ca="1">_xll.BDH($C$203,"EBITDA_SEQUENTIAL_GROWTH","FQ4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17" s="2" t="e">
        <f ca="1">_xll.BDH($C$203,"OPERATING_INCOME_SEQ_GROWTH","FQ4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17" s="2" t="e">
        <f ca="1">_xll.BDH($C$203,"NET_INCOME_TO_COMMON_SEQ_GROWTH","FQ4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17" s="2" t="e">
        <f ca="1">_xll.BDH($C$203,"EPS_DILUTED_SEQUENTIAL_GROWTH","FQ4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17" s="2" t="e">
        <f ca="1">_xll.BDH($C$203,"DPS_SEQUENTIAL_GROWTH","FQ4 2016","FQ4 2016","Currency=INR","Period=FQ","BEST_FPERIOD_OVERRIDE=FQ","FILING_STATUS=OR","EQY_CONSOLIDATED=Y","Sort=A","Dates=H","DateFormat=P","Fill=—","Direction=H","UseDPDF=Y")</f>
        <v>#NAME?</v>
      </c>
      <c r="BL217" s="2" t="e">
        <f ca="1">_xll.BDH($C$203,"ACCOUNTS_RECEIVABLE_SEQ_GROWTH","FQ4 2016","FQ4 2016","Currency=INR","Period=FQ","BEST_FPERIOD_OVERRIDE=FQ","FILING_STATUS=OR","EQY_CONSOLIDATED=Y","Sort=A","Dates=H","DateFormat=P","Fill=—","Direction=H","UseDPDF=Y")</f>
        <v>#NAME?</v>
      </c>
      <c r="BM217" s="2" t="e">
        <f ca="1">_xll.BDH($C$203,"INVENTORY_SEQUENTIAL_GROWTH","FQ4 2016","FQ4 2016","Currency=INR","Period=FQ","BEST_FPERIOD_OVERRIDE=FQ","FILING_STATUS=OR","EQY_CONSOLIDATED=Y","Sort=A","Dates=H","DateFormat=P","Fill=—","Direction=H","UseDPDF=Y")</f>
        <v>#NAME?</v>
      </c>
      <c r="BN217" s="2" t="e">
        <f ca="1">_xll.BDH($C$203,"FIXED_ASSETS_SEQUENTIAL_GROWTH","FQ4 2016","FQ4 2016","Currency=INR","Period=FQ","BEST_FPERIOD_OVERRIDE=FQ","FILING_STATUS=OR","EQY_CONSOLIDATED=Y","Sort=A","Dates=H","DateFormat=P","Fill=—","Direction=H","UseDPDF=Y")</f>
        <v>#NAME?</v>
      </c>
      <c r="BO217" s="2" t="e">
        <f ca="1">_xll.BDH($C$203,"TOTAL_ASSETS_SEQUENTIAL_GROWTH","FQ4 2016","FQ4 2016","Currency=INR","Period=FQ","BEST_FPERIOD_OVERRIDE=FQ","FILING_STATUS=OR","EQY_CONSOLIDATED=Y","Sort=A","Dates=H","DateFormat=P","Fill=—","Direction=H","UseDPDF=Y")</f>
        <v>#NAME?</v>
      </c>
      <c r="BP217" s="2" t="e">
        <f ca="1">_xll.BDH($C$203,"MODIFIED_WORKING_CPTL_SEQ_GRWTH","FQ4 2016","FQ4 2016","Currency=INR","Period=FQ","BEST_FPERIOD_OVERRIDE=FQ","FILING_STATUS=OR","EQY_CONSOLIDATED=Y","Sort=A","Dates=H","DateFormat=P","Fill=—","Direction=H","UseDPDF=Y")</f>
        <v>#NAME?</v>
      </c>
      <c r="BQ217" s="2" t="e">
        <f ca="1">_xll.BDH($C$203,"WORKING_CAPITAL_SEQ_GROWTH","FQ4 2016","FQ4 2016","Currency=INR","Period=FQ","BEST_FPERIOD_OVERRIDE=FQ","FILING_STATUS=OR","EQY_CONSOLIDATED=Y","Sort=A","Dates=H","DateFormat=P","Fill=—","Direction=H","UseDPDF=Y")</f>
        <v>#NAME?</v>
      </c>
      <c r="BR217" s="2" t="e">
        <f ca="1">_xll.BDH($C$203,"ACCOUNTS_PAYABLE_SEQ_GROWTH","FQ4 2016","FQ4 2016","Currency=INR","Period=FQ","BEST_FPERIOD_OVERRIDE=FQ","FILING_STATUS=OR","EQY_CONSOLIDATED=Y","Sort=A","Dates=H","DateFormat=P","Fill=—","Direction=H","UseDPDF=Y")</f>
        <v>#NAME?</v>
      </c>
      <c r="BS217" s="2" t="e">
        <f ca="1">_xll.BDH($C$203,"ST_DEBT_SEQUENTIAL_GROWTH","FQ4 2016","FQ4 2016","Currency=INR","Period=FQ","BEST_FPERIOD_OVERRIDE=FQ","FILING_STATUS=OR","EQY_CONSOLIDATED=Y","Sort=A","Dates=H","DateFormat=P","Fill=—","Direction=H","UseDPDF=Y")</f>
        <v>#NAME?</v>
      </c>
      <c r="BT217" s="2" t="e">
        <f ca="1">_xll.BDH($C$203,"TOTAL_DEBT_SEQUENTIAL_GROWTH","FQ4 2016","FQ4 2016","Currency=INR","Period=FQ","BEST_FPERIOD_OVERRIDE=FQ","FILING_STATUS=OR","EQY_CONSOLIDATED=Y","Sort=A","Dates=H","DateFormat=P","Fill=—","Direction=H","UseDPDF=Y")</f>
        <v>#NAME?</v>
      </c>
      <c r="BU217" s="2" t="e">
        <f ca="1">_xll.BDH($C$203,"TOTAL_EQUITY_SEQUENTIAL_GROWTH","FQ4 2016","FQ4 2016","Currency=INR","Period=FQ","BEST_FPERIOD_OVERRIDE=FQ","FILING_STATUS=OR","EQY_CONSOLIDATED=Y","Sort=A","Dates=H","DateFormat=P","Fill=—","Direction=H","UseDPDF=Y")</f>
        <v>#NAME?</v>
      </c>
      <c r="BV217" s="2" t="e">
        <f ca="1">_xll.BDH($C$203,"TOTAL_CAPITAL_SEQUENTIAL_GROWTH","FQ4 2016","FQ4 2016","Currency=INR","Period=FQ","BEST_FPERIOD_OVERRIDE=FQ","FILING_STATUS=OR","EQY_CONSOLIDATED=Y","Sort=A","Dates=H","DateFormat=P","Fill=—","Direction=H","UseDPDF=Y")</f>
        <v>#NAME?</v>
      </c>
      <c r="BW217" s="2" t="e">
        <f ca="1">_xll.BDH($C$203,"BPS_SEQUENTIAL_GROWTH","FQ4 2016","FQ4 2016","Currency=INR","Period=FQ","BEST_FPERIOD_OVERRIDE=FQ","FILING_STATUS=OR","EQY_CONSOLIDATED=Y","Sort=A","Dates=H","DateFormat=P","Fill=—","Direction=H","UseDPDF=Y")</f>
        <v>#NAME?</v>
      </c>
      <c r="BX217" s="2" t="e">
        <f ca="1">_xll.BDH($C$203,"CFO_SEQUENTIAL_GROWTH","FQ4 2016","FQ4 2016","Currency=INR","Period=FQ","BEST_FPERIOD_OVERRIDE=FQ","FILING_STATUS=OR","EQY_CONSOLIDATED=Y","Sort=A","Dates=H","DateFormat=P","Fill=—","Direction=H","UseDPDF=Y")</f>
        <v>#NAME?</v>
      </c>
      <c r="BY217" s="3" t="e">
        <f ca="1">_xll.BDH($C$203,"SHORT_AND_LONG_TERM_DEBT","FQ4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17" s="3" t="e">
        <f ca="1">_xll.BDH($C$203,"BS_ST_BORROW","FQ4 2016","FQ4 2016","Currency=INR","Period=FQ","BEST_FPERIOD_OVERRIDE=FQ","FILING_STATUS=OR","EQY_CONSOLIDATED=Y","SCALING_FORMAT=MLN","Sort=A","Dates=H","DateFormat=P","Fill=—","Direction=H","UseDPDF=Y")</f>
        <v>#NAME?</v>
      </c>
      <c r="CA217" s="3" t="e">
        <f ca="1">_xll.BDH($C$203,"BS_LT_BORROW","FQ4 2016","FQ4 2016","Currency=INR","Period=FQ","BEST_FPERIOD_OVERRIDE=FQ","FILING_STATUS=OR","EQY_CONSOLIDATED=Y","SCALING_FORMAT=MLN","Sort=A","Dates=H","DateFormat=P","Fill=—","Direction=H","UseDPDF=Y")</f>
        <v>#NAME?</v>
      </c>
      <c r="CB217" s="2" t="e">
        <f ca="1">_xll.BDH($C$203,"TOT_DEBT_TO_EBITDA","FQ4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17" s="2" t="e">
        <f ca="1">_xll.BDH($C$203,"NET_DEBT_TO_EBITDA","FQ4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17" s="2" t="e">
        <f ca="1">_xll.BDH($C$203,"TOTAL_DEBT_TO_EBIT","FQ4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17" s="2" t="e">
        <f ca="1">_xll.BDH($C$203,"NET_DEBT_TO_EBIT","FQ4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17" s="2" t="e">
        <f ca="1">_xll.BDH($C$203,"EBITDA_TO_INTEREST_EXPN","FQ4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17" s="2" t="e">
        <f ca="1">_xll.BDH($C$203,"COM_EQY_TO_TOT_ASSET","FQ4 2016","FQ4 2016","Currency=INR","Period=FQ","BEST_FPERIOD_OVERRIDE=FQ","FILING_STATUS=OR","EQY_CONSOLIDATED=Y","Sort=A","Dates=H","DateFormat=P","Fill=—","Direction=H","UseDPDF=Y")</f>
        <v>#NAME?</v>
      </c>
      <c r="CH217" s="2" t="e">
        <f ca="1">_xll.BDH($C$203,"LT_DEBT_TO_TOT_EQY","FQ4 2016","FQ4 2016","Currency=INR","Period=FQ","BEST_FPERIOD_OVERRIDE=FQ","FILING_STATUS=OR","EQY_CONSOLIDATED=Y","Sort=A","Dates=H","DateFormat=P","Fill=—","Direction=H","UseDPDF=Y")</f>
        <v>#NAME?</v>
      </c>
      <c r="CI217" s="2" t="e">
        <f ca="1">_xll.BDH($C$203,"LT_DEBT_TO_TOT_CAP","FQ4 2016","FQ4 2016","Currency=INR","Period=FQ","BEST_FPERIOD_OVERRIDE=FQ","FILING_STATUS=OR","EQY_CONSOLIDATED=Y","Sort=A","Dates=H","DateFormat=P","Fill=—","Direction=H","UseDPDF=Y")</f>
        <v>#NAME?</v>
      </c>
      <c r="CJ217" s="2" t="e">
        <f ca="1">_xll.BDH($C$203,"LT_DEBT_TO_TOT_ASSET","FQ4 2016","FQ4 2016","Currency=INR","Period=FQ","BEST_FPERIOD_OVERRIDE=FQ","FILING_STATUS=OR","EQY_CONSOLIDATED=Y","Sort=A","Dates=H","DateFormat=P","Fill=—","Direction=H","UseDPDF=Y")</f>
        <v>#NAME?</v>
      </c>
      <c r="CK217" s="2" t="e">
        <f ca="1">_xll.BDH($C$203,"TOT_DEBT_TO_TOT_EQY","FQ4 2016","FQ4 2016","Currency=INR","Period=FQ","BEST_FPERIOD_OVERRIDE=FQ","FILING_STATUS=OR","EQY_CONSOLIDATED=Y","Sort=A","Dates=H","DateFormat=P","Fill=—","Direction=H","UseDPDF=Y")</f>
        <v>#NAME?</v>
      </c>
      <c r="CL217" s="2" t="e">
        <f ca="1">_xll.BDH($C$203,"TOT_DEBT_TO_TOT_CAP","FQ4 2016","FQ4 2016","Currency=INR","Period=FQ","BEST_FPERIOD_OVERRIDE=FQ","FILING_STATUS=OR","EQY_CONSOLIDATED=Y","Sort=A","Dates=H","DateFormat=P","Fill=—","Direction=H","UseDPDF=Y")</f>
        <v>#NAME?</v>
      </c>
      <c r="CM217" s="2" t="e">
        <f ca="1">_xll.BDH($C$203,"TOT_DEBT_TO_TOT_ASSET","FQ4 2016","FQ4 2016","Currency=INR","Period=FQ","BEST_FPERIOD_OVERRIDE=FQ","FILING_STATUS=OR","EQY_CONSOLIDATED=Y","Sort=A","Dates=H","DateFormat=P","Fill=—","Direction=H","UseDPDF=Y")</f>
        <v>#NAME?</v>
      </c>
      <c r="CN217" s="2" t="e">
        <f ca="1">_xll.BDH($C$203,"NET_DEBT_TO_SHRHLDR_EQTY","FQ4 2016","FQ4 2016","Currency=INR","Period=FQ","BEST_FPERIOD_OVERRIDE=FQ","FILING_STATUS=OR","EQY_CONSOLIDATED=Y","Sort=A","Dates=H","DateFormat=P","Fill=—","Direction=H","UseDPDF=Y")</f>
        <v>#NAME?</v>
      </c>
      <c r="CO217" s="2" t="e">
        <f ca="1">_xll.BDH($C$203,"NET_DEBT_%_CAPITAL","FQ4 2016","FQ4 2016","Currency=INR","Period=FQ","BEST_FPERIOD_OVERRIDE=FQ","FILING_STATUS=OR","EQY_CONSOLIDATED=Y","Sort=A","Dates=H","DateFormat=P","Fill=—","Direction=H","UseDPDF=Y")</f>
        <v>#NAME?</v>
      </c>
      <c r="CP217" s="3" t="e">
        <f ca="1">_xll.BDH($C$203,"EBITDA","FQ4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17" s="3" t="e">
        <f ca="1">_xll.BDH($C$203,"EBITDA_AFTER_CAPEX","FQ4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17" s="3" t="e">
        <f ca="1">_xll.BDH($C$203,"IS_OPER_INC","FQ4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17" s="2" t="e">
        <f ca="1">_xll.BDH($C$203,"CASH_RATIO","FQ4 2016","FQ4 2016","Currency=INR","Period=FQ","BEST_FPERIOD_OVERRIDE=FQ","FILING_STATUS=OR","EQY_CONSOLIDATED=Y","Sort=A","Dates=H","DateFormat=P","Fill=—","Direction=H","UseDPDF=Y")</f>
        <v>#NAME?</v>
      </c>
      <c r="CT217" s="2" t="e">
        <f ca="1">_xll.BDH($C$203,"CUR_RATIO","FQ4 2016","FQ4 2016","Currency=INR","Period=FQ","BEST_FPERIOD_OVERRIDE=FQ","FILING_STATUS=OR","EQY_CONSOLIDATED=Y","Sort=A","Dates=H","DateFormat=P","Fill=—","Direction=H","UseDPDF=Y")</f>
        <v>#NAME?</v>
      </c>
      <c r="CU217" s="2" t="e">
        <f ca="1">_xll.BDH($C$203,"QUICK_RATIO","FQ4 2016","FQ4 2016","Currency=INR","Period=FQ","BEST_FPERIOD_OVERRIDE=FQ","FILING_STATUS=OR","EQY_CONSOLIDATED=Y","Sort=A","Dates=H","DateFormat=P","Fill=—","Direction=H","UseDPDF=Y")</f>
        <v>#NAME?</v>
      </c>
      <c r="CV217" s="2" t="e">
        <f ca="1">_xll.BDH($C$203,"ALTMAN_Z_SCORE","FQ4 2016","FQ4 2016","Currency=INR","Period=FQ","BEST_FPERIOD_OVERRIDE=FQ","FILING_STATUS=OR","EQY_CONSOLIDATED=Y","Sort=A","Dates=H","DateFormat=P","Fill=—","Direction=H","UseDPDF=Y")</f>
        <v>#NAME?</v>
      </c>
      <c r="CW217" s="4" t="e">
        <f ca="1">_xll.BDH($C$203,"ACCT_RCV_TURN","FQ4 2016","FQ4 2016","Currency=INR","Period=FQ","BEST_FPERIOD_OVERRIDE=FQ","FILING_STATUS=OR","EQY_CONSOLIDATED=Y","FA_ADJUSTED=GAAP","Sort=A","Dates=H","DateFormat=P","Fill=—","Direction=H","UseDPDF=Y")</f>
        <v>#NAME?</v>
      </c>
      <c r="CX217" s="2" t="e">
        <f ca="1">_xll.BDH($C$203,"ACCT_RCV_DAYS","FQ4 2016","FQ4 2016","Currency=INR","Period=FQ","BEST_FPERIOD_OVERRIDE=FQ","FILING_STATUS=OR","EQY_CONSOLIDATED=Y","FA_ADJUSTED=GAAP","Sort=A","Dates=H","DateFormat=P","Fill=—","Direction=H","UseDPDF=Y")</f>
        <v>#NAME?</v>
      </c>
      <c r="CY217" s="4" t="e">
        <f ca="1">_xll.BDH($C$203,"INVENT_TURN","FQ4 2016","FQ4 2016","Currency=INR","Period=FQ","BEST_FPERIOD_OVERRIDE=FQ","FILING_STATUS=OR","EQY_CONSOLIDATED=Y","FA_ADJUSTED=GAAP","Sort=A","Dates=H","DateFormat=P","Fill=—","Direction=H","UseDPDF=Y")</f>
        <v>#NAME?</v>
      </c>
      <c r="CZ217" s="2" t="e">
        <f ca="1">_xll.BDH($C$203,"INVENT_DAYS","FQ4 2016","FQ4 2016","Currency=INR","Period=FQ","BEST_FPERIOD_OVERRIDE=FQ","FILING_STATUS=OR","EQY_CONSOLIDATED=Y","FA_ADJUSTED=GAAP","Sort=A","Dates=H","DateFormat=P","Fill=—","Direction=H","UseDPDF=Y")</f>
        <v>#NAME?</v>
      </c>
      <c r="DA217" s="4" t="e">
        <f ca="1">_xll.BDH($C$203,"ACCOUNTS_PAYABLE_TURNOVER","FQ4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17" s="2" t="e">
        <f ca="1">_xll.BDH($C$203,"ACCOUNTS_PAYABLE_TURNOVER_DAYS","FQ4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17" s="4" t="e">
        <f ca="1">_xll.BDH($C$203,"CASH_CONVERSION_CYCLE","FQ4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17" s="4" t="e">
        <f ca="1">_xll.BDH($C$203,"INV_TO_CASH_DAYS","FQ4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17" s="5" t="e">
        <f ca="1">_xll.BDH($C$203,"BS_INVENTORIES","FQ4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17" s="3" t="e">
        <f ca="1">_xll.BDH($C$203,"INVTRY_RAW_MATERIALS","FQ4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17" s="3" t="e">
        <f ca="1">_xll.BDH($C$203,"INVTRY_IN_PROGRESS","FQ4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17" s="3" t="e">
        <f ca="1">_xll.BDH($C$203,"INVTRY_FINISHED_GOODS","FQ4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17" s="3" t="e">
        <f ca="1">_xll.BDH($C$203,"BS_OTHER_INV","FQ4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18" spans="1:113" x14ac:dyDescent="0.3">
      <c r="A218" s="6"/>
      <c r="B218" s="6"/>
      <c r="C218" s="6"/>
      <c r="D218" s="6" t="s">
        <v>84</v>
      </c>
      <c r="E218" t="s">
        <v>77</v>
      </c>
      <c r="F218" t="e">
        <f ca="1">_xll.BDH($C$203,"RETURN_COM_EQY","FY 2017","FY 2017","Currency=INR","Period=FY","BEST_FPERIOD_OVERRIDE=FY","FILING_STATUS=OR","EQY_CONSOLIDATED=Y","FA_ADJUSTED=GAAP","Sort=A","Dates=H","DateFormat=P","Fill=—","Direction=H","UseDPDF=Y")</f>
        <v>#NAME?</v>
      </c>
      <c r="G218" t="e">
        <f ca="1">_xll.BDH($C$203,"RETURN_ON_ASSET","FY 2017","FY 2017","Currency=INR","Period=FY","BEST_FPERIOD_OVERRIDE=FY","FILING_STATUS=OR","EQY_CONSOLIDATED=Y","FA_ADJUSTED=GAAP","Sort=A","Dates=H","DateFormat=P","Fill=—","Direction=H","UseDPDF=Y")</f>
        <v>#NAME?</v>
      </c>
      <c r="H218" t="e">
        <f ca="1">_xll.BDH($C$203,"RETURN_ON_CAP","FY 2017","FY 2017","Currency=INR","Period=FY","BEST_FPERIOD_OVERRIDE=FY","FILING_STATUS=OR","EQY_CONSOLIDATED=Y","FA_ADJUSTED=GAAP","Sort=A","Dates=H","DateFormat=P","Fill=—","Direction=H","UseDPDF=Y")</f>
        <v>#NAME?</v>
      </c>
      <c r="I218" t="e">
        <f ca="1">_xll.BDH($C$203,"RETURN_ON_INV_CAPITAL","FY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18" t="e">
        <f ca="1">_xll.BDH($C$203,"EBITDA_TO_REVENUE","FY 2017","FY 2017","Currency=INR","Period=FY","BEST_FPERIOD_OVERRIDE=FY","FILING_STATUS=OR","EQY_CONSOLIDATED=Y","FA_ADJUSTED=GAAP","Sort=A","Dates=H","DateFormat=P","Fill=—","Direction=H","UseDPDF=Y")</f>
        <v>#NAME?</v>
      </c>
      <c r="K218" t="e">
        <f ca="1">_xll.BDH($C$203,"OPER_MARGIN","FY 2017","FY 2017","Currency=INR","Period=FY","BEST_FPERIOD_OVERRIDE=FY","FILING_STATUS=OR","EQY_CONSOLIDATED=Y","FA_ADJUSTED=GAAP","Sort=A","Dates=H","DateFormat=P","Fill=—","Direction=H","UseDPDF=Y")</f>
        <v>#NAME?</v>
      </c>
      <c r="L218" t="e">
        <f ca="1">_xll.BDH($C$203,"INCREMENTAL_OPERATING_MARGIN","FY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18" t="e">
        <f ca="1">_xll.BDH($C$203,"PRETAX_INC_TO_NET_SALES","FY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18" t="e">
        <f ca="1">_xll.BDH($C$203,"INC_BEF_XO_ITEMS_TO_NET_SALES","FY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18" t="e">
        <f ca="1">_xll.BDH($C$203,"PROF_MARGIN","FY 2017","FY 2017","Currency=INR","Period=FY","BEST_FPERIOD_OVERRIDE=FY","FILING_STATUS=OR","EQY_CONSOLIDATED=Y","FA_ADJUSTED=GAAP","Sort=A","Dates=H","DateFormat=P","Fill=—","Direction=H","UseDPDF=Y")</f>
        <v>#NAME?</v>
      </c>
      <c r="P218" t="e">
        <f ca="1">_xll.BDH($C$203,"NET_INCOME_TO_COMMON_MARGIN","FY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18" t="e">
        <f ca="1">_xll.BDH($C$203,"EFF_TAX_RATE","FY 2017","FY 2017","Currency=INR","Period=FY","BEST_FPERIOD_OVERRIDE=FY","FILING_STATUS=OR","EQY_CONSOLIDATED=Y","FA_ADJUSTED=GAAP","Sort=A","Dates=H","DateFormat=P","Fill=—","Direction=H","UseDPDF=Y")</f>
        <v>#NAME?</v>
      </c>
      <c r="R218" t="e">
        <f ca="1">_xll.BDH($C$203,"DVD_PAYOUT_RATIO","FY 2017","FY 2017","Currency=INR","Period=FY","BEST_FPERIOD_OVERRIDE=FY","FILING_STATUS=OR","EQY_CONSOLIDATED=Y","FA_ADJUSTED=GAAP","Sort=A","Dates=H","DateFormat=P","Fill=—","Direction=H","UseDPDF=Y")</f>
        <v>#NAME?</v>
      </c>
      <c r="S218" t="e">
        <f ca="1">_xll.BDH($C$203,"SUSTAIN_GROWTH_RT","FY 2017","FY 2017","Currency=INR","Period=FY","BEST_FPERIOD_OVERRIDE=FY","FILING_STATUS=OR","EQY_CONSOLIDATED=Y","FA_ADJUSTED=GAAP","Sort=A","Dates=H","DateFormat=P","Fill=—","Direction=H","UseDPDF=Y")</f>
        <v>#NAME?</v>
      </c>
      <c r="T218" s="2" t="e">
        <f ca="1">_xll.BDH($C$203,"SALES_GROWTH","FY 2017","FY 2017","Currency=INR","Period=FY","BEST_FPERIOD_OVERRIDE=FY","FILING_STATUS=OR","EQY_CONSOLIDATED=Y","FA_ADJUSTED=GAAP","Sort=A","Dates=H","DateFormat=P","Fill=—","Direction=H","UseDPDF=Y")</f>
        <v>#NAME?</v>
      </c>
      <c r="U218" s="2" t="e">
        <f ca="1">_xll.BDH($C$203,"EBITDA_GROWTH","FY 2017","FY 2017","Currency=INR","Period=FY","BEST_FPERIOD_OVERRIDE=FY","FILING_STATUS=OR","EQY_CONSOLIDATED=Y","FA_ADJUSTED=GAAP","Sort=A","Dates=H","DateFormat=P","Fill=—","Direction=H","UseDPDF=Y")</f>
        <v>#NAME?</v>
      </c>
      <c r="V218" s="2" t="e">
        <f ca="1">_xll.BDH($C$203,"OPER_INC_GROWTH","FY 2017","FY 2017","Currency=INR","Period=FY","BEST_FPERIOD_OVERRIDE=FY","FILING_STATUS=OR","EQY_CONSOLIDATED=Y","FA_ADJUSTED=GAAP","Sort=A","Dates=H","DateFormat=P","Fill=—","Direction=H","UseDPDF=Y")</f>
        <v>#NAME?</v>
      </c>
      <c r="W218" s="2" t="e">
        <f ca="1">_xll.BDH($C$203,"EARN_FOR_COM_GROWTH","FY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18" s="2" t="e">
        <f ca="1">_xll.BDH($C$203,"DILUTED_EPS_AFT_XO_ITEMS_GROWTH","FY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18" s="2" t="e">
        <f ca="1">_xll.BDH($C$203,"DIVIDEND_PER_SHARE_1_YEAR_GROWTH","FY 2017","FY 2017","Currency=INR","Period=FY","BEST_FPERIOD_OVERRIDE=FY","FILING_STATUS=OR","EQY_CONSOLIDATED=Y","Sort=A","Dates=H","DateFormat=P","Fill=—","Direction=H","UseDPDF=Y")</f>
        <v>#NAME?</v>
      </c>
      <c r="Z218" s="2" t="e">
        <f ca="1">_xll.BDH($C$203,"ACCOUNTS_RECEIVABLE_GROWTH","FY 2017","FY 2017","Currency=INR","Period=FY","BEST_FPERIOD_OVERRIDE=FY","FILING_STATUS=OR","EQY_CONSOLIDATED=Y","Sort=A","Dates=H","DateFormat=P","Fill=—","Direction=H","UseDPDF=Y")</f>
        <v>#NAME?</v>
      </c>
      <c r="AA218" s="2" t="e">
        <f ca="1">_xll.BDH($C$203,"INVENTORY_GROWTH","FY 2017","FY 2017","Currency=INR","Period=FY","BEST_FPERIOD_OVERRIDE=FY","FILING_STATUS=OR","EQY_CONSOLIDATED=Y","Sort=A","Dates=H","DateFormat=P","Fill=—","Direction=H","UseDPDF=Y")</f>
        <v>#NAME?</v>
      </c>
      <c r="AB218" s="2" t="e">
        <f ca="1">_xll.BDH($C$203,"NET_FIXED_ASSETS_1_YEAR_GROWTH","FY 2017","FY 2017","Currency=INR","Period=FY","BEST_FPERIOD_OVERRIDE=FY","FILING_STATUS=OR","EQY_CONSOLIDATED=Y","Sort=A","Dates=H","DateFormat=P","Fill=—","Direction=H","UseDPDF=Y")</f>
        <v>#NAME?</v>
      </c>
      <c r="AC218" s="2" t="e">
        <f ca="1">_xll.BDH($C$203,"ASSET_GROWTH","FY 2017","FY 2017","Currency=INR","Period=FY","BEST_FPERIOD_OVERRIDE=FY","FILING_STATUS=OR","EQY_CONSOLIDATED=Y","Sort=A","Dates=H","DateFormat=P","Fill=—","Direction=H","UseDPDF=Y")</f>
        <v>#NAME?</v>
      </c>
      <c r="AD218" s="2" t="e">
        <f ca="1">_xll.BDH($C$203,"MODIFIED_WORK_CAP_GROWTH","FY 2017","FY 2017","Currency=INR","Period=FY","BEST_FPERIOD_OVERRIDE=FY","FILING_STATUS=OR","EQY_CONSOLIDATED=Y","Sort=A","Dates=H","DateFormat=P","Fill=—","Direction=H","UseDPDF=Y")</f>
        <v>#NAME?</v>
      </c>
      <c r="AE218" s="2" t="e">
        <f ca="1">_xll.BDH($C$203,"WORK_CAP_GROWTH","FY 2017","FY 2017","Currency=INR","Period=FY","BEST_FPERIOD_OVERRIDE=FY","FILING_STATUS=OR","EQY_CONSOLIDATED=Y","Sort=A","Dates=H","DateFormat=P","Fill=—","Direction=H","UseDPDF=Y")</f>
        <v>#NAME?</v>
      </c>
      <c r="AF218" s="2" t="e">
        <f ca="1">_xll.BDH($C$203,"ACCOUNTS_PAYABLE_GROWTH_1YR","FY 2017","FY 2017","Currency=INR","Period=FY","BEST_FPERIOD_OVERRIDE=FY","FILING_STATUS=OR","EQY_CONSOLIDATED=Y","Sort=A","Dates=H","DateFormat=P","Fill=—","Direction=H","UseDPDF=Y")</f>
        <v>#NAME?</v>
      </c>
      <c r="AG218" s="2" t="e">
        <f ca="1">_xll.BDH($C$203,"SHORT_TERM_DEBT_1_YEAR_GROWTH","FY 2017","FY 2017","Currency=INR","Period=FY","BEST_FPERIOD_OVERRIDE=FY","FILING_STATUS=OR","EQY_CONSOLIDATED=Y","Sort=A","Dates=H","DateFormat=P","Fill=—","Direction=H","UseDPDF=Y")</f>
        <v>#NAME?</v>
      </c>
      <c r="AH218" s="2" t="e">
        <f ca="1">_xll.BDH($C$203,"TOTAL_DEBT_1_YEAR_GROWTH","FY 2017","FY 2017","Currency=INR","Period=FY","BEST_FPERIOD_OVERRIDE=FY","FILING_STATUS=OR","EQY_CONSOLIDATED=Y","Sort=A","Dates=H","DateFormat=P","Fill=—","Direction=H","UseDPDF=Y")</f>
        <v>#NAME?</v>
      </c>
      <c r="AI218" s="2" t="e">
        <f ca="1">_xll.BDH($C$203,"TOTAL_EQUITY_1_YEAR_GROWTH","FY 2017","FY 2017","Currency=INR","Period=FY","BEST_FPERIOD_OVERRIDE=FY","FILING_STATUS=OR","EQY_CONSOLIDATED=Y","Sort=A","Dates=H","DateFormat=P","Fill=—","Direction=H","UseDPDF=Y")</f>
        <v>#NAME?</v>
      </c>
      <c r="AJ218" s="2" t="e">
        <f ca="1">_xll.BDH($C$203,"GROWTH_IN_CAP","FY 2017","FY 2017","Currency=INR","Period=FY","BEST_FPERIOD_OVERRIDE=FY","FILING_STATUS=OR","EQY_CONSOLIDATED=Y","Sort=A","Dates=H","DateFormat=P","Fill=—","Direction=H","UseDPDF=Y")</f>
        <v>#NAME?</v>
      </c>
      <c r="AK218" s="2" t="e">
        <f ca="1">_xll.BDH($C$203,"BVPS_GROWTH","FY 2017","FY 2017","Currency=INR","Period=FY","BEST_FPERIOD_OVERRIDE=FY","FILING_STATUS=OR","EQY_CONSOLIDATED=Y","Sort=A","Dates=H","DateFormat=P","Fill=—","Direction=H","UseDPDF=Y")</f>
        <v>#NAME?</v>
      </c>
      <c r="AL218" s="2" t="e">
        <f ca="1">_xll.BDH($C$203,"CASH_FLOW_GROWTH","FY 2017","FY 2017","Currency=INR","Period=FY","BEST_FPERIOD_OVERRIDE=FY","FILING_STATUS=OR","EQY_CONSOLIDATED=Y","Sort=A","Dates=H","DateFormat=P","Fill=—","Direction=H","UseDPDF=Y")</f>
        <v>#NAME?</v>
      </c>
      <c r="AM218" s="2" t="e">
        <f ca="1">_xll.BDH($C$203,"GEO_GROW_NET_SALES","FY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18" s="2" t="e">
        <f ca="1">_xll.BDH($C$203,"GEO_GROW_EBITDA","FY 2017","FY 2017","Currency=INR","Period=FY","BEST_FPERIOD_OVERRIDE=FY","FILING_STATUS=OR","EQY_CONSOLIDATED=Y","FA_ADJUSTED=GAAP","Sort=A","Dates=H","DateFormat=P","Fill=—","Direction=H","UseDPDF=Y")</f>
        <v>#NAME?</v>
      </c>
      <c r="AO218" s="2" t="e">
        <f ca="1">_xll.BDH($C$203,"GEO_GROW_OPER_INC","FY 2017","FY 2017","Currency=INR","Period=FY","BEST_FPERIOD_OVERRIDE=FY","FILING_STATUS=OR","EQY_CONSOLIDATED=Y","FA_ADJUSTED=GAAP","Sort=A","Dates=H","DateFormat=P","Fill=—","Direction=H","UseDPDF=Y")</f>
        <v>#NAME?</v>
      </c>
      <c r="AP218" s="2" t="e">
        <f ca="1">_xll.BDH($C$203,"NET_INCOME_TO_COMMON_5_YR_GROWTH","FY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18" s="2" t="e">
        <f ca="1">_xll.BDH($C$203,"5Y_GEO_GROWTH_DILUTED_EPS","FY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18" s="2" t="e">
        <f ca="1">_xll.BDH($C$203,"GEO_GROW_DVD_PER_SH","FY 2017","FY 2017","Currency=INR","Period=FY","BEST_FPERIOD_OVERRIDE=FY","FILING_STATUS=OR","EQY_CONSOLIDATED=Y","Sort=A","Dates=H","DateFormat=P","Fill=—","Direction=H","UseDPDF=Y")</f>
        <v>#NAME?</v>
      </c>
      <c r="AS218" s="2" t="e">
        <f ca="1">_xll.BDH($C$203,"ACCOUNTS_RECEIVABLE_5_YR_GROWTH","FY 2017","FY 2017","Currency=INR","Period=FY","BEST_FPERIOD_OVERRIDE=FY","FILING_STATUS=OR","EQY_CONSOLIDATED=Y","Sort=A","Dates=H","DateFormat=P","Fill=—","Direction=H","UseDPDF=Y")</f>
        <v>#NAME?</v>
      </c>
      <c r="AT218" s="2" t="e">
        <f ca="1">_xll.BDH($C$203,"INVENTORY_5_YEAR_GROWTH","FY 2017","FY 2017","Currency=INR","Period=FY","BEST_FPERIOD_OVERRIDE=FY","FILING_STATUS=OR","EQY_CONSOLIDATED=Y","Sort=A","Dates=H","DateFormat=P","Fill=—","Direction=H","UseDPDF=Y")</f>
        <v>#NAME?</v>
      </c>
      <c r="AU218" s="2" t="e">
        <f ca="1">_xll.BDH($C$203,"NET_FIXED_ASSETS_5_YEAR_GROWTH","FY 2017","FY 2017","Currency=INR","Period=FY","BEST_FPERIOD_OVERRIDE=FY","FILING_STATUS=OR","EQY_CONSOLIDATED=Y","Sort=A","Dates=H","DateFormat=P","Fill=—","Direction=H","UseDPDF=Y")</f>
        <v>#NAME?</v>
      </c>
      <c r="AV218" s="2" t="e">
        <f ca="1">_xll.BDH($C$203,"GEO_GROW_TOT_ASSET","FY 2017","FY 2017","Currency=INR","Period=FY","BEST_FPERIOD_OVERRIDE=FY","FILING_STATUS=OR","EQY_CONSOLIDATED=Y","Sort=A","Dates=H","DateFormat=P","Fill=—","Direction=H","UseDPDF=Y")</f>
        <v>#NAME?</v>
      </c>
      <c r="AW218" s="2" t="e">
        <f ca="1">_xll.BDH($C$203,"MODIFIED_WORKING_CPTL_5YR_GRWTH","FY 2017","FY 2017","Currency=INR","Period=FY","BEST_FPERIOD_OVERRIDE=FY","FILING_STATUS=OR","EQY_CONSOLIDATED=Y","Sort=A","Dates=H","DateFormat=P","Fill=—","Direction=H","UseDPDF=Y")</f>
        <v>#NAME?</v>
      </c>
      <c r="AX218" s="2" t="e">
        <f ca="1">_xll.BDH($C$203,"WORKING_CAPITAL_5_YEAR_GROWTH","FY 2017","FY 2017","Currency=INR","Period=FY","BEST_FPERIOD_OVERRIDE=FY","FILING_STATUS=OR","EQY_CONSOLIDATED=Y","Sort=A","Dates=H","DateFormat=P","Fill=—","Direction=H","UseDPDF=Y")</f>
        <v>#NAME?</v>
      </c>
      <c r="AY218" s="2" t="e">
        <f ca="1">_xll.BDH($C$203,"ACCOUNTS_PAYABLE_5_YEAR_GROWTH","FY 2017","FY 2017","Currency=INR","Period=FY","BEST_FPERIOD_OVERRIDE=FY","FILING_STATUS=OR","EQY_CONSOLIDATED=Y","Sort=A","Dates=H","DateFormat=P","Fill=—","Direction=H","UseDPDF=Y")</f>
        <v>#NAME?</v>
      </c>
      <c r="AZ218" s="2" t="e">
        <f ca="1">_xll.BDH($C$203,"SHORT_TERM_DEBT_5_YEAR_GROWTH","FY 2017","FY 2017","Currency=INR","Period=FY","BEST_FPERIOD_OVERRIDE=FY","FILING_STATUS=OR","EQY_CONSOLIDATED=Y","Sort=A","Dates=H","DateFormat=P","Fill=—","Direction=H","UseDPDF=Y")</f>
        <v>#NAME?</v>
      </c>
      <c r="BA218" s="2" t="e">
        <f ca="1">_xll.BDH($C$203,"TOTAL_DEBT_5_YEAR_GROWTH","FY 2017","FY 2017","Currency=INR","Period=FY","BEST_FPERIOD_OVERRIDE=FY","FILING_STATUS=OR","EQY_CONSOLIDATED=Y","Sort=A","Dates=H","DateFormat=P","Fill=—","Direction=H","UseDPDF=Y")</f>
        <v>#NAME?</v>
      </c>
      <c r="BB218" s="2" t="e">
        <f ca="1">_xll.BDH($C$203,"GEO_GROW_TOT_SHRHLDR_EQY","FY 2017","FY 2017","Currency=INR","Period=FY","BEST_FPERIOD_OVERRIDE=FY","FILING_STATUS=OR","EQY_CONSOLIDATED=Y","Sort=A","Dates=H","DateFormat=P","Fill=—","Direction=H","UseDPDF=Y")</f>
        <v>#NAME?</v>
      </c>
      <c r="BC218" s="2" t="e">
        <f ca="1">_xll.BDH($C$203,"TOTAL_CAPITAL_5_YEAR_GROWTH","FY 2017","FY 2017","Currency=INR","Period=FY","BEST_FPERIOD_OVERRIDE=FY","FILING_STATUS=OR","EQY_CONSOLIDATED=Y","Sort=A","Dates=H","DateFormat=P","Fill=—","Direction=H","UseDPDF=Y")</f>
        <v>#NAME?</v>
      </c>
      <c r="BD218" s="2" t="e">
        <f ca="1">_xll.BDH($C$203,"GEO_GROW_BOOK_VAL","FY 2017","FY 2017","Currency=INR","Period=FY","BEST_FPERIOD_OVERRIDE=FY","FILING_STATUS=OR","EQY_CONSOLIDATED=Y","Sort=A","Dates=H","DateFormat=P","Fill=—","Direction=H","UseDPDF=Y")</f>
        <v>#NAME?</v>
      </c>
      <c r="BE218" s="2" t="e">
        <f ca="1">_xll.BDH($C$203,"GEO_GROW_CASH_OPER_ACT","FY 2017","FY 2017","Currency=INR","Period=FY","BEST_FPERIOD_OVERRIDE=FY","FILING_STATUS=OR","EQY_CONSOLIDATED=Y","Sort=A","Dates=H","DateFormat=P","Fill=—","Direction=H","UseDPDF=Y")</f>
        <v>#NAME?</v>
      </c>
      <c r="BF218" s="2" t="e">
        <f ca="1">_xll.BDH($C$203,"REVENUE_SEQUENTIAL_GROWTH","FY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18" s="2" t="e">
        <f ca="1">_xll.BDH($C$203,"EBITDA_SEQUENTIAL_GROWTH","FY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18" s="2" t="e">
        <f ca="1">_xll.BDH($C$203,"OPERATING_INCOME_SEQ_GROWTH","FY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18" s="2" t="e">
        <f ca="1">_xll.BDH($C$203,"NET_INCOME_TO_COMMON_SEQ_GROWTH","FY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18" s="2" t="e">
        <f ca="1">_xll.BDH($C$203,"EPS_DILUTED_SEQUENTIAL_GROWTH","FY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18" s="2" t="e">
        <f ca="1">_xll.BDH($C$203,"DPS_SEQUENTIAL_GROWTH","FY 2017","FY 2017","Currency=INR","Period=FY","BEST_FPERIOD_OVERRIDE=FY","FILING_STATUS=OR","EQY_CONSOLIDATED=Y","Sort=A","Dates=H","DateFormat=P","Fill=—","Direction=H","UseDPDF=Y")</f>
        <v>#NAME?</v>
      </c>
      <c r="BL218" s="2" t="e">
        <f ca="1">_xll.BDH($C$203,"ACCOUNTS_RECEIVABLE_SEQ_GROWTH","FY 2017","FY 2017","Currency=INR","Period=FY","BEST_FPERIOD_OVERRIDE=FY","FILING_STATUS=OR","EQY_CONSOLIDATED=Y","Sort=A","Dates=H","DateFormat=P","Fill=—","Direction=H","UseDPDF=Y")</f>
        <v>#NAME?</v>
      </c>
      <c r="BM218" s="2" t="e">
        <f ca="1">_xll.BDH($C$203,"INVENTORY_SEQUENTIAL_GROWTH","FY 2017","FY 2017","Currency=INR","Period=FY","BEST_FPERIOD_OVERRIDE=FY","FILING_STATUS=OR","EQY_CONSOLIDATED=Y","Sort=A","Dates=H","DateFormat=P","Fill=—","Direction=H","UseDPDF=Y")</f>
        <v>#NAME?</v>
      </c>
      <c r="BN218" s="2" t="e">
        <f ca="1">_xll.BDH($C$203,"FIXED_ASSETS_SEQUENTIAL_GROWTH","FY 2017","FY 2017","Currency=INR","Period=FY","BEST_FPERIOD_OVERRIDE=FY","FILING_STATUS=OR","EQY_CONSOLIDATED=Y","Sort=A","Dates=H","DateFormat=P","Fill=—","Direction=H","UseDPDF=Y")</f>
        <v>#NAME?</v>
      </c>
      <c r="BO218" s="2" t="e">
        <f ca="1">_xll.BDH($C$203,"TOTAL_ASSETS_SEQUENTIAL_GROWTH","FY 2017","FY 2017","Currency=INR","Period=FY","BEST_FPERIOD_OVERRIDE=FY","FILING_STATUS=OR","EQY_CONSOLIDATED=Y","Sort=A","Dates=H","DateFormat=P","Fill=—","Direction=H","UseDPDF=Y")</f>
        <v>#NAME?</v>
      </c>
      <c r="BP218" s="2" t="e">
        <f ca="1">_xll.BDH($C$203,"MODIFIED_WORKING_CPTL_SEQ_GRWTH","FY 2017","FY 2017","Currency=INR","Period=FY","BEST_FPERIOD_OVERRIDE=FY","FILING_STATUS=OR","EQY_CONSOLIDATED=Y","Sort=A","Dates=H","DateFormat=P","Fill=—","Direction=H","UseDPDF=Y")</f>
        <v>#NAME?</v>
      </c>
      <c r="BQ218" s="2" t="e">
        <f ca="1">_xll.BDH($C$203,"WORKING_CAPITAL_SEQ_GROWTH","FY 2017","FY 2017","Currency=INR","Period=FY","BEST_FPERIOD_OVERRIDE=FY","FILING_STATUS=OR","EQY_CONSOLIDATED=Y","Sort=A","Dates=H","DateFormat=P","Fill=—","Direction=H","UseDPDF=Y")</f>
        <v>#NAME?</v>
      </c>
      <c r="BR218" s="2" t="e">
        <f ca="1">_xll.BDH($C$203,"ACCOUNTS_PAYABLE_SEQ_GROWTH","FY 2017","FY 2017","Currency=INR","Period=FY","BEST_FPERIOD_OVERRIDE=FY","FILING_STATUS=OR","EQY_CONSOLIDATED=Y","Sort=A","Dates=H","DateFormat=P","Fill=—","Direction=H","UseDPDF=Y")</f>
        <v>#NAME?</v>
      </c>
      <c r="BS218" s="2" t="e">
        <f ca="1">_xll.BDH($C$203,"ST_DEBT_SEQUENTIAL_GROWTH","FY 2017","FY 2017","Currency=INR","Period=FY","BEST_FPERIOD_OVERRIDE=FY","FILING_STATUS=OR","EQY_CONSOLIDATED=Y","Sort=A","Dates=H","DateFormat=P","Fill=—","Direction=H","UseDPDF=Y")</f>
        <v>#NAME?</v>
      </c>
      <c r="BT218" s="2" t="e">
        <f ca="1">_xll.BDH($C$203,"TOTAL_DEBT_SEQUENTIAL_GROWTH","FY 2017","FY 2017","Currency=INR","Period=FY","BEST_FPERIOD_OVERRIDE=FY","FILING_STATUS=OR","EQY_CONSOLIDATED=Y","Sort=A","Dates=H","DateFormat=P","Fill=—","Direction=H","UseDPDF=Y")</f>
        <v>#NAME?</v>
      </c>
      <c r="BU218" s="2" t="e">
        <f ca="1">_xll.BDH($C$203,"TOTAL_EQUITY_SEQUENTIAL_GROWTH","FY 2017","FY 2017","Currency=INR","Period=FY","BEST_FPERIOD_OVERRIDE=FY","FILING_STATUS=OR","EQY_CONSOLIDATED=Y","Sort=A","Dates=H","DateFormat=P","Fill=—","Direction=H","UseDPDF=Y")</f>
        <v>#NAME?</v>
      </c>
      <c r="BV218" s="2" t="e">
        <f ca="1">_xll.BDH($C$203,"TOTAL_CAPITAL_SEQUENTIAL_GROWTH","FY 2017","FY 2017","Currency=INR","Period=FY","BEST_FPERIOD_OVERRIDE=FY","FILING_STATUS=OR","EQY_CONSOLIDATED=Y","Sort=A","Dates=H","DateFormat=P","Fill=—","Direction=H","UseDPDF=Y")</f>
        <v>#NAME?</v>
      </c>
      <c r="BW218" s="2" t="e">
        <f ca="1">_xll.BDH($C$203,"BPS_SEQUENTIAL_GROWTH","FY 2017","FY 2017","Currency=INR","Period=FY","BEST_FPERIOD_OVERRIDE=FY","FILING_STATUS=OR","EQY_CONSOLIDATED=Y","Sort=A","Dates=H","DateFormat=P","Fill=—","Direction=H","UseDPDF=Y")</f>
        <v>#NAME?</v>
      </c>
      <c r="BX218" s="2" t="e">
        <f ca="1">_xll.BDH($C$203,"CFO_SEQUENTIAL_GROWTH","FY 2017","FY 2017","Currency=INR","Period=FY","BEST_FPERIOD_OVERRIDE=FY","FILING_STATUS=OR","EQY_CONSOLIDATED=Y","Sort=A","Dates=H","DateFormat=P","Fill=—","Direction=H","UseDPDF=Y")</f>
        <v>#NAME?</v>
      </c>
      <c r="BY218" s="3" t="e">
        <f ca="1">_xll.BDH($C$203,"SHORT_AND_LONG_TERM_DEBT","FY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18" s="3" t="e">
        <f ca="1">_xll.BDH($C$203,"BS_ST_BORROW","FY 2017","FY 2017","Currency=INR","Period=FY","BEST_FPERIOD_OVERRIDE=FY","FILING_STATUS=OR","EQY_CONSOLIDATED=Y","SCALING_FORMAT=MLN","Sort=A","Dates=H","DateFormat=P","Fill=—","Direction=H","UseDPDF=Y")</f>
        <v>#NAME?</v>
      </c>
      <c r="CA218" s="3" t="e">
        <f ca="1">_xll.BDH($C$203,"BS_LT_BORROW","FY 2017","FY 2017","Currency=INR","Period=FY","BEST_FPERIOD_OVERRIDE=FY","FILING_STATUS=OR","EQY_CONSOLIDATED=Y","SCALING_FORMAT=MLN","Sort=A","Dates=H","DateFormat=P","Fill=—","Direction=H","UseDPDF=Y")</f>
        <v>#NAME?</v>
      </c>
      <c r="CB218" s="2" t="e">
        <f ca="1">_xll.BDH($C$203,"TOT_DEBT_TO_EBITDA","FY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18" s="2" t="e">
        <f ca="1">_xll.BDH($C$203,"NET_DEBT_TO_EBITDA","FY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18" s="2" t="e">
        <f ca="1">_xll.BDH($C$203,"TOTAL_DEBT_TO_EBIT","FY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18" s="2" t="e">
        <f ca="1">_xll.BDH($C$203,"NET_DEBT_TO_EBIT","FY 2017","FY 2017","Currency=INR","Period=FY","BEST_FPERIOD_OVERRIDE=FY","FILING_STATUS=OR","EQY_CONSOLIDATED=Y","FA_ADJUSTED=GAAP","Sort=A","Dates=H","DateFormat=P","Fill=—","Direction=H","UseDPDF=Y")</f>
        <v>#NAME?</v>
      </c>
      <c r="CF218" s="2" t="e">
        <f ca="1">_xll.BDH($C$203,"EBITDA_TO_INTEREST_EXPN","FY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18" s="2" t="e">
        <f ca="1">_xll.BDH($C$203,"COM_EQY_TO_TOT_ASSET","FY 2017","FY 2017","Currency=INR","Period=FY","BEST_FPERIOD_OVERRIDE=FY","FILING_STATUS=OR","EQY_CONSOLIDATED=Y","Sort=A","Dates=H","DateFormat=P","Fill=—","Direction=H","UseDPDF=Y")</f>
        <v>#NAME?</v>
      </c>
      <c r="CH218" s="2" t="e">
        <f ca="1">_xll.BDH($C$203,"LT_DEBT_TO_TOT_EQY","FY 2017","FY 2017","Currency=INR","Period=FY","BEST_FPERIOD_OVERRIDE=FY","FILING_STATUS=OR","EQY_CONSOLIDATED=Y","Sort=A","Dates=H","DateFormat=P","Fill=—","Direction=H","UseDPDF=Y")</f>
        <v>#NAME?</v>
      </c>
      <c r="CI218" s="2" t="e">
        <f ca="1">_xll.BDH($C$203,"LT_DEBT_TO_TOT_CAP","FY 2017","FY 2017","Currency=INR","Period=FY","BEST_FPERIOD_OVERRIDE=FY","FILING_STATUS=OR","EQY_CONSOLIDATED=Y","Sort=A","Dates=H","DateFormat=P","Fill=—","Direction=H","UseDPDF=Y")</f>
        <v>#NAME?</v>
      </c>
      <c r="CJ218" s="2" t="e">
        <f ca="1">_xll.BDH($C$203,"LT_DEBT_TO_TOT_ASSET","FY 2017","FY 2017","Currency=INR","Period=FY","BEST_FPERIOD_OVERRIDE=FY","FILING_STATUS=OR","EQY_CONSOLIDATED=Y","Sort=A","Dates=H","DateFormat=P","Fill=—","Direction=H","UseDPDF=Y")</f>
        <v>#NAME?</v>
      </c>
      <c r="CK218" s="2" t="e">
        <f ca="1">_xll.BDH($C$203,"TOT_DEBT_TO_TOT_EQY","FY 2017","FY 2017","Currency=INR","Period=FY","BEST_FPERIOD_OVERRIDE=FY","FILING_STATUS=OR","EQY_CONSOLIDATED=Y","Sort=A","Dates=H","DateFormat=P","Fill=—","Direction=H","UseDPDF=Y")</f>
        <v>#NAME?</v>
      </c>
      <c r="CL218" s="2" t="e">
        <f ca="1">_xll.BDH($C$203,"TOT_DEBT_TO_TOT_CAP","FY 2017","FY 2017","Currency=INR","Period=FY","BEST_FPERIOD_OVERRIDE=FY","FILING_STATUS=OR","EQY_CONSOLIDATED=Y","Sort=A","Dates=H","DateFormat=P","Fill=—","Direction=H","UseDPDF=Y")</f>
        <v>#NAME?</v>
      </c>
      <c r="CM218" s="2" t="e">
        <f ca="1">_xll.BDH($C$203,"TOT_DEBT_TO_TOT_ASSET","FY 2017","FY 2017","Currency=INR","Period=FY","BEST_FPERIOD_OVERRIDE=FY","FILING_STATUS=OR","EQY_CONSOLIDATED=Y","Sort=A","Dates=H","DateFormat=P","Fill=—","Direction=H","UseDPDF=Y")</f>
        <v>#NAME?</v>
      </c>
      <c r="CN218" s="2" t="e">
        <f ca="1">_xll.BDH($C$203,"NET_DEBT_TO_SHRHLDR_EQTY","FY 2017","FY 2017","Currency=INR","Period=FY","BEST_FPERIOD_OVERRIDE=FY","FILING_STATUS=OR","EQY_CONSOLIDATED=Y","Sort=A","Dates=H","DateFormat=P","Fill=—","Direction=H","UseDPDF=Y")</f>
        <v>#NAME?</v>
      </c>
      <c r="CO218" s="2" t="e">
        <f ca="1">_xll.BDH($C$203,"NET_DEBT_%_CAPITAL","FY 2017","FY 2017","Currency=INR","Period=FY","BEST_FPERIOD_OVERRIDE=FY","FILING_STATUS=OR","EQY_CONSOLIDATED=Y","Sort=A","Dates=H","DateFormat=P","Fill=—","Direction=H","UseDPDF=Y")</f>
        <v>#NAME?</v>
      </c>
      <c r="CP218" s="3" t="e">
        <f ca="1">_xll.BDH($C$203,"EBITDA","FY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18" s="3" t="e">
        <f ca="1">_xll.BDH($C$203,"EBITDA_AFTER_CAPEX","FY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18" s="3" t="e">
        <f ca="1">_xll.BDH($C$203,"IS_OPER_INC","FY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18" s="2" t="e">
        <f ca="1">_xll.BDH($C$203,"CASH_RATIO","FY 2017","FY 2017","Currency=INR","Period=FY","BEST_FPERIOD_OVERRIDE=FY","FILING_STATUS=OR","EQY_CONSOLIDATED=Y","Sort=A","Dates=H","DateFormat=P","Fill=—","Direction=H","UseDPDF=Y")</f>
        <v>#NAME?</v>
      </c>
      <c r="CT218" s="2" t="e">
        <f ca="1">_xll.BDH($C$203,"CUR_RATIO","FY 2017","FY 2017","Currency=INR","Period=FY","BEST_FPERIOD_OVERRIDE=FY","FILING_STATUS=OR","EQY_CONSOLIDATED=Y","Sort=A","Dates=H","DateFormat=P","Fill=—","Direction=H","UseDPDF=Y")</f>
        <v>#NAME?</v>
      </c>
      <c r="CU218" s="2" t="e">
        <f ca="1">_xll.BDH($C$203,"QUICK_RATIO","FY 2017","FY 2017","Currency=INR","Period=FY","BEST_FPERIOD_OVERRIDE=FY","FILING_STATUS=OR","EQY_CONSOLIDATED=Y","Sort=A","Dates=H","DateFormat=P","Fill=—","Direction=H","UseDPDF=Y")</f>
        <v>#NAME?</v>
      </c>
      <c r="CV218" s="2" t="e">
        <f ca="1">_xll.BDH($C$203,"ALTMAN_Z_SCORE","FY 2017","FY 2017","Currency=INR","Period=FY","BEST_FPERIOD_OVERRIDE=FY","FILING_STATUS=OR","EQY_CONSOLIDATED=Y","Sort=A","Dates=H","DateFormat=P","Fill=—","Direction=H","UseDPDF=Y")</f>
        <v>#NAME?</v>
      </c>
      <c r="CW218" s="4" t="e">
        <f ca="1">_xll.BDH($C$203,"ACCT_RCV_TURN","FY 2017","FY 2017","Currency=INR","Period=FY","BEST_FPERIOD_OVERRIDE=FY","FILING_STATUS=OR","EQY_CONSOLIDATED=Y","FA_ADJUSTED=GAAP","Sort=A","Dates=H","DateFormat=P","Fill=—","Direction=H","UseDPDF=Y")</f>
        <v>#NAME?</v>
      </c>
      <c r="CX218" s="2" t="e">
        <f ca="1">_xll.BDH($C$203,"ACCT_RCV_DAYS","FY 2017","FY 2017","Currency=INR","Period=FY","BEST_FPERIOD_OVERRIDE=FY","FILING_STATUS=OR","EQY_CONSOLIDATED=Y","FA_ADJUSTED=GAAP","Sort=A","Dates=H","DateFormat=P","Fill=—","Direction=H","UseDPDF=Y")</f>
        <v>#NAME?</v>
      </c>
      <c r="CY218" s="4" t="e">
        <f ca="1">_xll.BDH($C$203,"INVENT_TURN","FY 2017","FY 2017","Currency=INR","Period=FY","BEST_FPERIOD_OVERRIDE=FY","FILING_STATUS=OR","EQY_CONSOLIDATED=Y","FA_ADJUSTED=GAAP","Sort=A","Dates=H","DateFormat=P","Fill=—","Direction=H","UseDPDF=Y")</f>
        <v>#NAME?</v>
      </c>
      <c r="CZ218" s="2" t="e">
        <f ca="1">_xll.BDH($C$203,"INVENT_DAYS","FY 2017","FY 2017","Currency=INR","Period=FY","BEST_FPERIOD_OVERRIDE=FY","FILING_STATUS=OR","EQY_CONSOLIDATED=Y","FA_ADJUSTED=GAAP","Sort=A","Dates=H","DateFormat=P","Fill=—","Direction=H","UseDPDF=Y")</f>
        <v>#NAME?</v>
      </c>
      <c r="DA218" s="4" t="e">
        <f ca="1">_xll.BDH($C$203,"ACCOUNTS_PAYABLE_TURNOVER","FY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18" s="2" t="e">
        <f ca="1">_xll.BDH($C$203,"ACCOUNTS_PAYABLE_TURNOVER_DAYS","FY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18" s="4" t="e">
        <f ca="1">_xll.BDH($C$203,"CASH_CONVERSION_CYCLE","FY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18" s="4" t="e">
        <f ca="1">_xll.BDH($C$203,"INV_TO_CASH_DAYS","FY 2017","FY 2017","Currency=INR","Period=FY","BEST_FPERIOD_OVERRIDE=FY","FILING_STATUS=OR","EQY_CONSOLIDATED=Y","FA_ADJUSTED=GAAP","Sort=A","Dates=H","DateFormat=P","Fill=—","Direction=H","UseDPDF=Y")</f>
        <v>#NAME?</v>
      </c>
      <c r="DE218" s="5" t="e">
        <f ca="1">_xll.BDH($C$203,"BS_INVENTORIES","FY 2017","FY 2017","Currency=INR","Period=FY","BEST_FPERIOD_OVERRIDE=FY","FILING_STATUS=OR","EQY_CONSOLIDATED=Y","SCALING_FORMAT=MLN","Sort=A","Dates=H","DateFormat=P","Fill=—","Direction=H","UseDPDF=Y")</f>
        <v>#NAME?</v>
      </c>
      <c r="DF218" s="3" t="e">
        <f ca="1">_xll.BDH($C$203,"INVTRY_RAW_MATERIALS","FY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18" s="3" t="e">
        <f ca="1">_xll.BDH($C$203,"INVTRY_IN_PROGRESS","FY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18" s="3" t="e">
        <f ca="1">_xll.BDH($C$203,"INVTRY_FINISHED_GOODS","FY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18" s="3" t="e">
        <f ca="1">_xll.BDH($C$203,"BS_OTHER_INV","FY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19" spans="1:113" x14ac:dyDescent="0.3">
      <c r="A219" s="6"/>
      <c r="B219" s="6"/>
      <c r="C219" s="6"/>
      <c r="D219" s="6"/>
      <c r="E219" t="s">
        <v>78</v>
      </c>
      <c r="F219" t="e">
        <f ca="1">_xll.BDH($C$203,"RETURN_COM_EQY","FQ1 2017","FQ1 2017","Currency=INR","Period=FQ","BEST_FPERIOD_OVERRIDE=FQ","FILING_STATUS=OR","EQY_CONSOLIDATED=Y","FA_ADJUSTED=GAAP","Sort=A","Dates=H","DateFormat=P","Fill=—","Direction=H","UseDPDF=Y")</f>
        <v>#NAME?</v>
      </c>
      <c r="G219" t="e">
        <f ca="1">_xll.BDH($C$203,"RETURN_ON_ASSET","FQ1 2017","FQ1 2017","Currency=INR","Period=FQ","BEST_FPERIOD_OVERRIDE=FQ","FILING_STATUS=OR","EQY_CONSOLIDATED=Y","FA_ADJUSTED=GAAP","Sort=A","Dates=H","DateFormat=P","Fill=—","Direction=H","UseDPDF=Y")</f>
        <v>#NAME?</v>
      </c>
      <c r="H219" t="e">
        <f ca="1">_xll.BDH($C$203,"RETURN_ON_CAP","FQ1 2017","FQ1 2017","Currency=INR","Period=FQ","BEST_FPERIOD_OVERRIDE=FQ","FILING_STATUS=OR","EQY_CONSOLIDATED=Y","FA_ADJUSTED=GAAP","Sort=A","Dates=H","DateFormat=P","Fill=—","Direction=H","UseDPDF=Y")</f>
        <v>#NAME?</v>
      </c>
      <c r="I219" t="e">
        <f ca="1">_xll.BDH($C$203,"RETURN_ON_INV_CAPITAL","FQ1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19" t="e">
        <f ca="1">_xll.BDH($C$203,"EBITDA_TO_REVENUE","FQ1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19" t="e">
        <f ca="1">_xll.BDH($C$203,"OPER_MARGIN","FQ1 2017","FQ1 2017","Currency=INR","Period=FQ","BEST_FPERIOD_OVERRIDE=FQ","FILING_STATUS=OR","EQY_CONSOLIDATED=Y","FA_ADJUSTED=GAAP","Sort=A","Dates=H","DateFormat=P","Fill=—","Direction=H","UseDPDF=Y")</f>
        <v>#NAME?</v>
      </c>
      <c r="L219" t="e">
        <f ca="1">_xll.BDH($C$203,"INCREMENTAL_OPERATING_MARGIN","FQ1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19" t="e">
        <f ca="1">_xll.BDH($C$203,"PRETAX_INC_TO_NET_SALES","FQ1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19" t="e">
        <f ca="1">_xll.BDH($C$203,"INC_BEF_XO_ITEMS_TO_NET_SALES","FQ1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19" t="e">
        <f ca="1">_xll.BDH($C$203,"PROF_MARGIN","FQ1 2017","FQ1 2017","Currency=INR","Period=FQ","BEST_FPERIOD_OVERRIDE=FQ","FILING_STATUS=OR","EQY_CONSOLIDATED=Y","FA_ADJUSTED=GAAP","Sort=A","Dates=H","DateFormat=P","Fill=—","Direction=H","UseDPDF=Y")</f>
        <v>#NAME?</v>
      </c>
      <c r="P219" t="e">
        <f ca="1">_xll.BDH($C$203,"NET_INCOME_TO_COMMON_MARGIN","FQ1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19" t="e">
        <f ca="1">_xll.BDH($C$203,"EFF_TAX_RATE","FQ1 2017","FQ1 2017","Currency=INR","Period=FQ","BEST_FPERIOD_OVERRIDE=FQ","FILING_STATUS=OR","EQY_CONSOLIDATED=Y","FA_ADJUSTED=GAAP","Sort=A","Dates=H","DateFormat=P","Fill=—","Direction=H","UseDPDF=Y")</f>
        <v>#NAME?</v>
      </c>
      <c r="R219" t="e">
        <f ca="1">_xll.BDH($C$203,"DVD_PAYOUT_RATIO","FQ1 2017","FQ1 2017","Currency=INR","Period=FQ","BEST_FPERIOD_OVERRIDE=FQ","FILING_STATUS=OR","EQY_CONSOLIDATED=Y","FA_ADJUSTED=GAAP","Sort=A","Dates=H","DateFormat=P","Fill=—","Direction=H","UseDPDF=Y")</f>
        <v>#NAME?</v>
      </c>
      <c r="S219" t="e">
        <f ca="1">_xll.BDH($C$203,"SUSTAIN_GROWTH_RT","FQ1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19" s="2" t="e">
        <f ca="1">_xll.BDH($C$203,"SALES_GROWTH","FQ1 2017","FQ1 2017","Currency=INR","Period=FQ","BEST_FPERIOD_OVERRIDE=FQ","FILING_STATUS=OR","EQY_CONSOLIDATED=Y","FA_ADJUSTED=GAAP","Sort=A","Dates=H","DateFormat=P","Fill=—","Direction=H","UseDPDF=Y")</f>
        <v>#NAME?</v>
      </c>
      <c r="U219" s="2" t="e">
        <f ca="1">_xll.BDH($C$203,"EBITDA_GROWTH","FQ1 2017","FQ1 2017","Currency=INR","Period=FQ","BEST_FPERIOD_OVERRIDE=FQ","FILING_STATUS=OR","EQY_CONSOLIDATED=Y","FA_ADJUSTED=GAAP","Sort=A","Dates=H","DateFormat=P","Fill=—","Direction=H","UseDPDF=Y")</f>
        <v>#NAME?</v>
      </c>
      <c r="V219" s="2" t="e">
        <f ca="1">_xll.BDH($C$203,"OPER_INC_GROWTH","FQ1 2017","FQ1 2017","Currency=INR","Period=FQ","BEST_FPERIOD_OVERRIDE=FQ","FILING_STATUS=OR","EQY_CONSOLIDATED=Y","FA_ADJUSTED=GAAP","Sort=A","Dates=H","DateFormat=P","Fill=—","Direction=H","UseDPDF=Y")</f>
        <v>#NAME?</v>
      </c>
      <c r="W219" s="2" t="e">
        <f ca="1">_xll.BDH($C$203,"EARN_FOR_COM_GROWTH","FQ1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19" s="2" t="e">
        <f ca="1">_xll.BDH($C$203,"DILUTED_EPS_AFT_XO_ITEMS_GROWTH","FQ1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19" s="2" t="e">
        <f ca="1">_xll.BDH($C$203,"DIVIDEND_PER_SHARE_1_YEAR_GROWTH","FQ1 2017","FQ1 2017","Currency=INR","Period=FQ","BEST_FPERIOD_OVERRIDE=FQ","FILING_STATUS=OR","EQY_CONSOLIDATED=Y","Sort=A","Dates=H","DateFormat=P","Fill=—","Direction=H","UseDPDF=Y")</f>
        <v>#NAME?</v>
      </c>
      <c r="Z219" s="2" t="e">
        <f ca="1">_xll.BDH($C$203,"ACCOUNTS_RECEIVABLE_GROWTH","FQ1 2017","FQ1 2017","Currency=INR","Period=FQ","BEST_FPERIOD_OVERRIDE=FQ","FILING_STATUS=OR","EQY_CONSOLIDATED=Y","Sort=A","Dates=H","DateFormat=P","Fill=—","Direction=H","UseDPDF=Y")</f>
        <v>#NAME?</v>
      </c>
      <c r="AA219" s="2" t="e">
        <f ca="1">_xll.BDH($C$203,"INVENTORY_GROWTH","FQ1 2017","FQ1 2017","Currency=INR","Period=FQ","BEST_FPERIOD_OVERRIDE=FQ","FILING_STATUS=OR","EQY_CONSOLIDATED=Y","Sort=A","Dates=H","DateFormat=P","Fill=—","Direction=H","UseDPDF=Y")</f>
        <v>#NAME?</v>
      </c>
      <c r="AB219" s="2" t="e">
        <f ca="1">_xll.BDH($C$203,"NET_FIXED_ASSETS_1_YEAR_GROWTH","FQ1 2017","FQ1 2017","Currency=INR","Period=FQ","BEST_FPERIOD_OVERRIDE=FQ","FILING_STATUS=OR","EQY_CONSOLIDATED=Y","Sort=A","Dates=H","DateFormat=P","Fill=—","Direction=H","UseDPDF=Y")</f>
        <v>#NAME?</v>
      </c>
      <c r="AC219" s="2" t="e">
        <f ca="1">_xll.BDH($C$203,"ASSET_GROWTH","FQ1 2017","FQ1 2017","Currency=INR","Period=FQ","BEST_FPERIOD_OVERRIDE=FQ","FILING_STATUS=OR","EQY_CONSOLIDATED=Y","Sort=A","Dates=H","DateFormat=P","Fill=—","Direction=H","UseDPDF=Y")</f>
        <v>#NAME?</v>
      </c>
      <c r="AD219" s="2" t="e">
        <f ca="1">_xll.BDH($C$203,"MODIFIED_WORK_CAP_GROWTH","FQ1 2017","FQ1 2017","Currency=INR","Period=FQ","BEST_FPERIOD_OVERRIDE=FQ","FILING_STATUS=OR","EQY_CONSOLIDATED=Y","Sort=A","Dates=H","DateFormat=P","Fill=—","Direction=H","UseDPDF=Y")</f>
        <v>#NAME?</v>
      </c>
      <c r="AE219" s="2" t="e">
        <f ca="1">_xll.BDH($C$203,"WORK_CAP_GROWTH","FQ1 2017","FQ1 2017","Currency=INR","Period=FQ","BEST_FPERIOD_OVERRIDE=FQ","FILING_STATUS=OR","EQY_CONSOLIDATED=Y","Sort=A","Dates=H","DateFormat=P","Fill=—","Direction=H","UseDPDF=Y")</f>
        <v>#NAME?</v>
      </c>
      <c r="AF219" s="2" t="e">
        <f ca="1">_xll.BDH($C$203,"ACCOUNTS_PAYABLE_GROWTH_1YR","FQ1 2017","FQ1 2017","Currency=INR","Period=FQ","BEST_FPERIOD_OVERRIDE=FQ","FILING_STATUS=OR","EQY_CONSOLIDATED=Y","Sort=A","Dates=H","DateFormat=P","Fill=—","Direction=H","UseDPDF=Y")</f>
        <v>#NAME?</v>
      </c>
      <c r="AG219" s="2" t="e">
        <f ca="1">_xll.BDH($C$203,"SHORT_TERM_DEBT_1_YEAR_GROWTH","FQ1 2017","FQ1 2017","Currency=INR","Period=FQ","BEST_FPERIOD_OVERRIDE=FQ","FILING_STATUS=OR","EQY_CONSOLIDATED=Y","Sort=A","Dates=H","DateFormat=P","Fill=—","Direction=H","UseDPDF=Y")</f>
        <v>#NAME?</v>
      </c>
      <c r="AH219" s="2" t="e">
        <f ca="1">_xll.BDH($C$203,"TOTAL_DEBT_1_YEAR_GROWTH","FQ1 2017","FQ1 2017","Currency=INR","Period=FQ","BEST_FPERIOD_OVERRIDE=FQ","FILING_STATUS=OR","EQY_CONSOLIDATED=Y","Sort=A","Dates=H","DateFormat=P","Fill=—","Direction=H","UseDPDF=Y")</f>
        <v>#NAME?</v>
      </c>
      <c r="AI219" s="2" t="e">
        <f ca="1">_xll.BDH($C$203,"TOTAL_EQUITY_1_YEAR_GROWTH","FQ1 2017","FQ1 2017","Currency=INR","Period=FQ","BEST_FPERIOD_OVERRIDE=FQ","FILING_STATUS=OR","EQY_CONSOLIDATED=Y","Sort=A","Dates=H","DateFormat=P","Fill=—","Direction=H","UseDPDF=Y")</f>
        <v>#NAME?</v>
      </c>
      <c r="AJ219" s="2" t="e">
        <f ca="1">_xll.BDH($C$203,"GROWTH_IN_CAP","FQ1 2017","FQ1 2017","Currency=INR","Period=FQ","BEST_FPERIOD_OVERRIDE=FQ","FILING_STATUS=OR","EQY_CONSOLIDATED=Y","Sort=A","Dates=H","DateFormat=P","Fill=—","Direction=H","UseDPDF=Y")</f>
        <v>#NAME?</v>
      </c>
      <c r="AK219" s="2" t="e">
        <f ca="1">_xll.BDH($C$203,"BVPS_GROWTH","FQ1 2017","FQ1 2017","Currency=INR","Period=FQ","BEST_FPERIOD_OVERRIDE=FQ","FILING_STATUS=OR","EQY_CONSOLIDATED=Y","Sort=A","Dates=H","DateFormat=P","Fill=—","Direction=H","UseDPDF=Y")</f>
        <v>#NAME?</v>
      </c>
      <c r="AL219" s="2" t="e">
        <f ca="1">_xll.BDH($C$203,"CASH_FLOW_GROWTH","FQ1 2017","FQ1 2017","Currency=INR","Period=FQ","BEST_FPERIOD_OVERRIDE=FQ","FILING_STATUS=OR","EQY_CONSOLIDATED=Y","Sort=A","Dates=H","DateFormat=P","Fill=—","Direction=H","UseDPDF=Y")</f>
        <v>#NAME?</v>
      </c>
      <c r="AM219" s="2" t="e">
        <f ca="1">_xll.BDH($C$203,"GEO_GROW_NET_SALES","FQ1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19" s="2" t="e">
        <f ca="1">_xll.BDH($C$203,"GEO_GROW_EBITDA","FQ1 2017","FQ1 2017","Currency=INR","Period=FQ","BEST_FPERIOD_OVERRIDE=FQ","FILING_STATUS=OR","EQY_CONSOLIDATED=Y","FA_ADJUSTED=GAAP","Sort=A","Dates=H","DateFormat=P","Fill=—","Direction=H","UseDPDF=Y")</f>
        <v>#NAME?</v>
      </c>
      <c r="AO219" s="2" t="e">
        <f ca="1">_xll.BDH($C$203,"GEO_GROW_OPER_INC","FQ1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19" s="2" t="e">
        <f ca="1">_xll.BDH($C$203,"NET_INCOME_TO_COMMON_5_YR_GROWTH","FQ1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19" s="2" t="e">
        <f ca="1">_xll.BDH($C$203,"5Y_GEO_GROWTH_DILUTED_EPS","FQ1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19" s="2" t="e">
        <f ca="1">_xll.BDH($C$203,"GEO_GROW_DVD_PER_SH","FQ1 2017","FQ1 2017","Currency=INR","Period=FQ","BEST_FPERIOD_OVERRIDE=FQ","FILING_STATUS=OR","EQY_CONSOLIDATED=Y","Sort=A","Dates=H","DateFormat=P","Fill=—","Direction=H","UseDPDF=Y")</f>
        <v>#NAME?</v>
      </c>
      <c r="AS219" s="2" t="e">
        <f ca="1">_xll.BDH($C$203,"ACCOUNTS_RECEIVABLE_5_YR_GROWTH","FQ1 2017","FQ1 2017","Currency=INR","Period=FQ","BEST_FPERIOD_OVERRIDE=FQ","FILING_STATUS=OR","EQY_CONSOLIDATED=Y","Sort=A","Dates=H","DateFormat=P","Fill=—","Direction=H","UseDPDF=Y")</f>
        <v>#NAME?</v>
      </c>
      <c r="AT219" s="2" t="e">
        <f ca="1">_xll.BDH($C$203,"INVENTORY_5_YEAR_GROWTH","FQ1 2017","FQ1 2017","Currency=INR","Period=FQ","BEST_FPERIOD_OVERRIDE=FQ","FILING_STATUS=OR","EQY_CONSOLIDATED=Y","Sort=A","Dates=H","DateFormat=P","Fill=—","Direction=H","UseDPDF=Y")</f>
        <v>#NAME?</v>
      </c>
      <c r="AU219" s="2" t="e">
        <f ca="1">_xll.BDH($C$203,"NET_FIXED_ASSETS_5_YEAR_GROWTH","FQ1 2017","FQ1 2017","Currency=INR","Period=FQ","BEST_FPERIOD_OVERRIDE=FQ","FILING_STATUS=OR","EQY_CONSOLIDATED=Y","Sort=A","Dates=H","DateFormat=P","Fill=—","Direction=H","UseDPDF=Y")</f>
        <v>#NAME?</v>
      </c>
      <c r="AV219" s="2" t="e">
        <f ca="1">_xll.BDH($C$203,"GEO_GROW_TOT_ASSET","FQ1 2017","FQ1 2017","Currency=INR","Period=FQ","BEST_FPERIOD_OVERRIDE=FQ","FILING_STATUS=OR","EQY_CONSOLIDATED=Y","Sort=A","Dates=H","DateFormat=P","Fill=—","Direction=H","UseDPDF=Y")</f>
        <v>#NAME?</v>
      </c>
      <c r="AW219" s="2" t="e">
        <f ca="1">_xll.BDH($C$203,"MODIFIED_WORKING_CPTL_5YR_GRWTH","FQ1 2017","FQ1 2017","Currency=INR","Period=FQ","BEST_FPERIOD_OVERRIDE=FQ","FILING_STATUS=OR","EQY_CONSOLIDATED=Y","Sort=A","Dates=H","DateFormat=P","Fill=—","Direction=H","UseDPDF=Y")</f>
        <v>#NAME?</v>
      </c>
      <c r="AX219" s="2" t="e">
        <f ca="1">_xll.BDH($C$203,"WORKING_CAPITAL_5_YEAR_GROWTH","FQ1 2017","FQ1 2017","Currency=INR","Period=FQ","BEST_FPERIOD_OVERRIDE=FQ","FILING_STATUS=OR","EQY_CONSOLIDATED=Y","Sort=A","Dates=H","DateFormat=P","Fill=—","Direction=H","UseDPDF=Y")</f>
        <v>#NAME?</v>
      </c>
      <c r="AY219" s="2" t="e">
        <f ca="1">_xll.BDH($C$203,"ACCOUNTS_PAYABLE_5_YEAR_GROWTH","FQ1 2017","FQ1 2017","Currency=INR","Period=FQ","BEST_FPERIOD_OVERRIDE=FQ","FILING_STATUS=OR","EQY_CONSOLIDATED=Y","Sort=A","Dates=H","DateFormat=P","Fill=—","Direction=H","UseDPDF=Y")</f>
        <v>#NAME?</v>
      </c>
      <c r="AZ219" s="2" t="e">
        <f ca="1">_xll.BDH($C$203,"SHORT_TERM_DEBT_5_YEAR_GROWTH","FQ1 2017","FQ1 2017","Currency=INR","Period=FQ","BEST_FPERIOD_OVERRIDE=FQ","FILING_STATUS=OR","EQY_CONSOLIDATED=Y","Sort=A","Dates=H","DateFormat=P","Fill=—","Direction=H","UseDPDF=Y")</f>
        <v>#NAME?</v>
      </c>
      <c r="BA219" s="2" t="e">
        <f ca="1">_xll.BDH($C$203,"TOTAL_DEBT_5_YEAR_GROWTH","FQ1 2017","FQ1 2017","Currency=INR","Period=FQ","BEST_FPERIOD_OVERRIDE=FQ","FILING_STATUS=OR","EQY_CONSOLIDATED=Y","Sort=A","Dates=H","DateFormat=P","Fill=—","Direction=H","UseDPDF=Y")</f>
        <v>#NAME?</v>
      </c>
      <c r="BB219" s="2" t="e">
        <f ca="1">_xll.BDH($C$203,"GEO_GROW_TOT_SHRHLDR_EQY","FQ1 2017","FQ1 2017","Currency=INR","Period=FQ","BEST_FPERIOD_OVERRIDE=FQ","FILING_STATUS=OR","EQY_CONSOLIDATED=Y","Sort=A","Dates=H","DateFormat=P","Fill=—","Direction=H","UseDPDF=Y")</f>
        <v>#NAME?</v>
      </c>
      <c r="BC219" s="2" t="e">
        <f ca="1">_xll.BDH($C$203,"TOTAL_CAPITAL_5_YEAR_GROWTH","FQ1 2017","FQ1 2017","Currency=INR","Period=FQ","BEST_FPERIOD_OVERRIDE=FQ","FILING_STATUS=OR","EQY_CONSOLIDATED=Y","Sort=A","Dates=H","DateFormat=P","Fill=—","Direction=H","UseDPDF=Y")</f>
        <v>#NAME?</v>
      </c>
      <c r="BD219" s="2" t="e">
        <f ca="1">_xll.BDH($C$203,"GEO_GROW_BOOK_VAL","FQ1 2017","FQ1 2017","Currency=INR","Period=FQ","BEST_FPERIOD_OVERRIDE=FQ","FILING_STATUS=OR","EQY_CONSOLIDATED=Y","Sort=A","Dates=H","DateFormat=P","Fill=—","Direction=H","UseDPDF=Y")</f>
        <v>#NAME?</v>
      </c>
      <c r="BE219" s="2" t="e">
        <f ca="1">_xll.BDH($C$203,"GEO_GROW_CASH_OPER_ACT","FQ1 2017","FQ1 2017","Currency=INR","Period=FQ","BEST_FPERIOD_OVERRIDE=FQ","FILING_STATUS=OR","EQY_CONSOLIDATED=Y","Sort=A","Dates=H","DateFormat=P","Fill=—","Direction=H","UseDPDF=Y")</f>
        <v>#NAME?</v>
      </c>
      <c r="BF219" s="2" t="e">
        <f ca="1">_xll.BDH($C$203,"REVENUE_SEQUENTIAL_GROWTH","FQ1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19" s="2" t="e">
        <f ca="1">_xll.BDH($C$203,"EBITDA_SEQUENTIAL_GROWTH","FQ1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19" s="2" t="e">
        <f ca="1">_xll.BDH($C$203,"OPERATING_INCOME_SEQ_GROWTH","FQ1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19" s="2" t="e">
        <f ca="1">_xll.BDH($C$203,"NET_INCOME_TO_COMMON_SEQ_GROWTH","FQ1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19" s="2" t="e">
        <f ca="1">_xll.BDH($C$203,"EPS_DILUTED_SEQUENTIAL_GROWTH","FQ1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19" s="2" t="e">
        <f ca="1">_xll.BDH($C$203,"DPS_SEQUENTIAL_GROWTH","FQ1 2017","FQ1 2017","Currency=INR","Period=FQ","BEST_FPERIOD_OVERRIDE=FQ","FILING_STATUS=OR","EQY_CONSOLIDATED=Y","Sort=A","Dates=H","DateFormat=P","Fill=—","Direction=H","UseDPDF=Y")</f>
        <v>#NAME?</v>
      </c>
      <c r="BL219" s="2" t="e">
        <f ca="1">_xll.BDH($C$203,"ACCOUNTS_RECEIVABLE_SEQ_GROWTH","FQ1 2017","FQ1 2017","Currency=INR","Period=FQ","BEST_FPERIOD_OVERRIDE=FQ","FILING_STATUS=OR","EQY_CONSOLIDATED=Y","Sort=A","Dates=H","DateFormat=P","Fill=—","Direction=H","UseDPDF=Y")</f>
        <v>#NAME?</v>
      </c>
      <c r="BM219" s="2" t="e">
        <f ca="1">_xll.BDH($C$203,"INVENTORY_SEQUENTIAL_GROWTH","FQ1 2017","FQ1 2017","Currency=INR","Period=FQ","BEST_FPERIOD_OVERRIDE=FQ","FILING_STATUS=OR","EQY_CONSOLIDATED=Y","Sort=A","Dates=H","DateFormat=P","Fill=—","Direction=H","UseDPDF=Y")</f>
        <v>#NAME?</v>
      </c>
      <c r="BN219" s="2" t="e">
        <f ca="1">_xll.BDH($C$203,"FIXED_ASSETS_SEQUENTIAL_GROWTH","FQ1 2017","FQ1 2017","Currency=INR","Period=FQ","BEST_FPERIOD_OVERRIDE=FQ","FILING_STATUS=OR","EQY_CONSOLIDATED=Y","Sort=A","Dates=H","DateFormat=P","Fill=—","Direction=H","UseDPDF=Y")</f>
        <v>#NAME?</v>
      </c>
      <c r="BO219" s="2" t="e">
        <f ca="1">_xll.BDH($C$203,"TOTAL_ASSETS_SEQUENTIAL_GROWTH","FQ1 2017","FQ1 2017","Currency=INR","Period=FQ","BEST_FPERIOD_OVERRIDE=FQ","FILING_STATUS=OR","EQY_CONSOLIDATED=Y","Sort=A","Dates=H","DateFormat=P","Fill=—","Direction=H","UseDPDF=Y")</f>
        <v>#NAME?</v>
      </c>
      <c r="BP219" s="2" t="e">
        <f ca="1">_xll.BDH($C$203,"MODIFIED_WORKING_CPTL_SEQ_GRWTH","FQ1 2017","FQ1 2017","Currency=INR","Period=FQ","BEST_FPERIOD_OVERRIDE=FQ","FILING_STATUS=OR","EQY_CONSOLIDATED=Y","Sort=A","Dates=H","DateFormat=P","Fill=—","Direction=H","UseDPDF=Y")</f>
        <v>#NAME?</v>
      </c>
      <c r="BQ219" s="2" t="e">
        <f ca="1">_xll.BDH($C$203,"WORKING_CAPITAL_SEQ_GROWTH","FQ1 2017","FQ1 2017","Currency=INR","Period=FQ","BEST_FPERIOD_OVERRIDE=FQ","FILING_STATUS=OR","EQY_CONSOLIDATED=Y","Sort=A","Dates=H","DateFormat=P","Fill=—","Direction=H","UseDPDF=Y")</f>
        <v>#NAME?</v>
      </c>
      <c r="BR219" s="2" t="e">
        <f ca="1">_xll.BDH($C$203,"ACCOUNTS_PAYABLE_SEQ_GROWTH","FQ1 2017","FQ1 2017","Currency=INR","Period=FQ","BEST_FPERIOD_OVERRIDE=FQ","FILING_STATUS=OR","EQY_CONSOLIDATED=Y","Sort=A","Dates=H","DateFormat=P","Fill=—","Direction=H","UseDPDF=Y")</f>
        <v>#NAME?</v>
      </c>
      <c r="BS219" s="2" t="e">
        <f ca="1">_xll.BDH($C$203,"ST_DEBT_SEQUENTIAL_GROWTH","FQ1 2017","FQ1 2017","Currency=INR","Period=FQ","BEST_FPERIOD_OVERRIDE=FQ","FILING_STATUS=OR","EQY_CONSOLIDATED=Y","Sort=A","Dates=H","DateFormat=P","Fill=—","Direction=H","UseDPDF=Y")</f>
        <v>#NAME?</v>
      </c>
      <c r="BT219" s="2" t="e">
        <f ca="1">_xll.BDH($C$203,"TOTAL_DEBT_SEQUENTIAL_GROWTH","FQ1 2017","FQ1 2017","Currency=INR","Period=FQ","BEST_FPERIOD_OVERRIDE=FQ","FILING_STATUS=OR","EQY_CONSOLIDATED=Y","Sort=A","Dates=H","DateFormat=P","Fill=—","Direction=H","UseDPDF=Y")</f>
        <v>#NAME?</v>
      </c>
      <c r="BU219" s="2" t="e">
        <f ca="1">_xll.BDH($C$203,"TOTAL_EQUITY_SEQUENTIAL_GROWTH","FQ1 2017","FQ1 2017","Currency=INR","Period=FQ","BEST_FPERIOD_OVERRIDE=FQ","FILING_STATUS=OR","EQY_CONSOLIDATED=Y","Sort=A","Dates=H","DateFormat=P","Fill=—","Direction=H","UseDPDF=Y")</f>
        <v>#NAME?</v>
      </c>
      <c r="BV219" s="2" t="e">
        <f ca="1">_xll.BDH($C$203,"TOTAL_CAPITAL_SEQUENTIAL_GROWTH","FQ1 2017","FQ1 2017","Currency=INR","Period=FQ","BEST_FPERIOD_OVERRIDE=FQ","FILING_STATUS=OR","EQY_CONSOLIDATED=Y","Sort=A","Dates=H","DateFormat=P","Fill=—","Direction=H","UseDPDF=Y")</f>
        <v>#NAME?</v>
      </c>
      <c r="BW219" s="2" t="e">
        <f ca="1">_xll.BDH($C$203,"BPS_SEQUENTIAL_GROWTH","FQ1 2017","FQ1 2017","Currency=INR","Period=FQ","BEST_FPERIOD_OVERRIDE=FQ","FILING_STATUS=OR","EQY_CONSOLIDATED=Y","Sort=A","Dates=H","DateFormat=P","Fill=—","Direction=H","UseDPDF=Y")</f>
        <v>#NAME?</v>
      </c>
      <c r="BX219" s="2" t="e">
        <f ca="1">_xll.BDH($C$203,"CFO_SEQUENTIAL_GROWTH","FQ1 2017","FQ1 2017","Currency=INR","Period=FQ","BEST_FPERIOD_OVERRIDE=FQ","FILING_STATUS=OR","EQY_CONSOLIDATED=Y","Sort=A","Dates=H","DateFormat=P","Fill=—","Direction=H","UseDPDF=Y")</f>
        <v>#NAME?</v>
      </c>
      <c r="BY219" s="3" t="e">
        <f ca="1">_xll.BDH($C$203,"SHORT_AND_LONG_TERM_DEBT","FQ1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19" s="3" t="e">
        <f ca="1">_xll.BDH($C$203,"BS_ST_BORROW","FQ1 2017","FQ1 2017","Currency=INR","Period=FQ","BEST_FPERIOD_OVERRIDE=FQ","FILING_STATUS=OR","EQY_CONSOLIDATED=Y","SCALING_FORMAT=MLN","Sort=A","Dates=H","DateFormat=P","Fill=—","Direction=H","UseDPDF=Y")</f>
        <v>#NAME?</v>
      </c>
      <c r="CA219" s="3" t="e">
        <f ca="1">_xll.BDH($C$203,"BS_LT_BORROW","FQ1 2017","FQ1 2017","Currency=INR","Period=FQ","BEST_FPERIOD_OVERRIDE=FQ","FILING_STATUS=OR","EQY_CONSOLIDATED=Y","SCALING_FORMAT=MLN","Sort=A","Dates=H","DateFormat=P","Fill=—","Direction=H","UseDPDF=Y")</f>
        <v>#NAME?</v>
      </c>
      <c r="CB219" s="2" t="e">
        <f ca="1">_xll.BDH($C$203,"TOT_DEBT_TO_EBITDA","FQ1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19" s="2" t="e">
        <f ca="1">_xll.BDH($C$203,"NET_DEBT_TO_EBITDA","FQ1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19" s="2" t="e">
        <f ca="1">_xll.BDH($C$203,"TOTAL_DEBT_TO_EBIT","FQ1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19" s="2" t="e">
        <f ca="1">_xll.BDH($C$203,"NET_DEBT_TO_EBIT","FQ1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19" s="2" t="e">
        <f ca="1">_xll.BDH($C$203,"EBITDA_TO_INTEREST_EXPN","FQ1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19" s="2" t="e">
        <f ca="1">_xll.BDH($C$203,"COM_EQY_TO_TOT_ASSET","FQ1 2017","FQ1 2017","Currency=INR","Period=FQ","BEST_FPERIOD_OVERRIDE=FQ","FILING_STATUS=OR","EQY_CONSOLIDATED=Y","Sort=A","Dates=H","DateFormat=P","Fill=—","Direction=H","UseDPDF=Y")</f>
        <v>#NAME?</v>
      </c>
      <c r="CH219" s="2" t="e">
        <f ca="1">_xll.BDH($C$203,"LT_DEBT_TO_TOT_EQY","FQ1 2017","FQ1 2017","Currency=INR","Period=FQ","BEST_FPERIOD_OVERRIDE=FQ","FILING_STATUS=OR","EQY_CONSOLIDATED=Y","Sort=A","Dates=H","DateFormat=P","Fill=—","Direction=H","UseDPDF=Y")</f>
        <v>#NAME?</v>
      </c>
      <c r="CI219" s="2" t="e">
        <f ca="1">_xll.BDH($C$203,"LT_DEBT_TO_TOT_CAP","FQ1 2017","FQ1 2017","Currency=INR","Period=FQ","BEST_FPERIOD_OVERRIDE=FQ","FILING_STATUS=OR","EQY_CONSOLIDATED=Y","Sort=A","Dates=H","DateFormat=P","Fill=—","Direction=H","UseDPDF=Y")</f>
        <v>#NAME?</v>
      </c>
      <c r="CJ219" s="2" t="e">
        <f ca="1">_xll.BDH($C$203,"LT_DEBT_TO_TOT_ASSET","FQ1 2017","FQ1 2017","Currency=INR","Period=FQ","BEST_FPERIOD_OVERRIDE=FQ","FILING_STATUS=OR","EQY_CONSOLIDATED=Y","Sort=A","Dates=H","DateFormat=P","Fill=—","Direction=H","UseDPDF=Y")</f>
        <v>#NAME?</v>
      </c>
      <c r="CK219" s="2" t="e">
        <f ca="1">_xll.BDH($C$203,"TOT_DEBT_TO_TOT_EQY","FQ1 2017","FQ1 2017","Currency=INR","Period=FQ","BEST_FPERIOD_OVERRIDE=FQ","FILING_STATUS=OR","EQY_CONSOLIDATED=Y","Sort=A","Dates=H","DateFormat=P","Fill=—","Direction=H","UseDPDF=Y")</f>
        <v>#NAME?</v>
      </c>
      <c r="CL219" s="2" t="e">
        <f ca="1">_xll.BDH($C$203,"TOT_DEBT_TO_TOT_CAP","FQ1 2017","FQ1 2017","Currency=INR","Period=FQ","BEST_FPERIOD_OVERRIDE=FQ","FILING_STATUS=OR","EQY_CONSOLIDATED=Y","Sort=A","Dates=H","DateFormat=P","Fill=—","Direction=H","UseDPDF=Y")</f>
        <v>#NAME?</v>
      </c>
      <c r="CM219" s="2" t="e">
        <f ca="1">_xll.BDH($C$203,"TOT_DEBT_TO_TOT_ASSET","FQ1 2017","FQ1 2017","Currency=INR","Period=FQ","BEST_FPERIOD_OVERRIDE=FQ","FILING_STATUS=OR","EQY_CONSOLIDATED=Y","Sort=A","Dates=H","DateFormat=P","Fill=—","Direction=H","UseDPDF=Y")</f>
        <v>#NAME?</v>
      </c>
      <c r="CN219" s="2" t="e">
        <f ca="1">_xll.BDH($C$203,"NET_DEBT_TO_SHRHLDR_EQTY","FQ1 2017","FQ1 2017","Currency=INR","Period=FQ","BEST_FPERIOD_OVERRIDE=FQ","FILING_STATUS=OR","EQY_CONSOLIDATED=Y","Sort=A","Dates=H","DateFormat=P","Fill=—","Direction=H","UseDPDF=Y")</f>
        <v>#NAME?</v>
      </c>
      <c r="CO219" s="2" t="e">
        <f ca="1">_xll.BDH($C$203,"NET_DEBT_%_CAPITAL","FQ1 2017","FQ1 2017","Currency=INR","Period=FQ","BEST_FPERIOD_OVERRIDE=FQ","FILING_STATUS=OR","EQY_CONSOLIDATED=Y","Sort=A","Dates=H","DateFormat=P","Fill=—","Direction=H","UseDPDF=Y")</f>
        <v>#NAME?</v>
      </c>
      <c r="CP219" s="3" t="e">
        <f ca="1">_xll.BDH($C$203,"EBITDA","FQ1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19" s="3" t="e">
        <f ca="1">_xll.BDH($C$203,"EBITDA_AFTER_CAPEX","FQ1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19" s="3" t="e">
        <f ca="1">_xll.BDH($C$203,"IS_OPER_INC","FQ1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19" s="2" t="e">
        <f ca="1">_xll.BDH($C$203,"CASH_RATIO","FQ1 2017","FQ1 2017","Currency=INR","Period=FQ","BEST_FPERIOD_OVERRIDE=FQ","FILING_STATUS=OR","EQY_CONSOLIDATED=Y","Sort=A","Dates=H","DateFormat=P","Fill=—","Direction=H","UseDPDF=Y")</f>
        <v>#NAME?</v>
      </c>
      <c r="CT219" s="2" t="e">
        <f ca="1">_xll.BDH($C$203,"CUR_RATIO","FQ1 2017","FQ1 2017","Currency=INR","Period=FQ","BEST_FPERIOD_OVERRIDE=FQ","FILING_STATUS=OR","EQY_CONSOLIDATED=Y","Sort=A","Dates=H","DateFormat=P","Fill=—","Direction=H","UseDPDF=Y")</f>
        <v>#NAME?</v>
      </c>
      <c r="CU219" s="2" t="e">
        <f ca="1">_xll.BDH($C$203,"QUICK_RATIO","FQ1 2017","FQ1 2017","Currency=INR","Period=FQ","BEST_FPERIOD_OVERRIDE=FQ","FILING_STATUS=OR","EQY_CONSOLIDATED=Y","Sort=A","Dates=H","DateFormat=P","Fill=—","Direction=H","UseDPDF=Y")</f>
        <v>#NAME?</v>
      </c>
      <c r="CV219" s="2" t="e">
        <f ca="1">_xll.BDH($C$203,"ALTMAN_Z_SCORE","FQ1 2017","FQ1 2017","Currency=INR","Period=FQ","BEST_FPERIOD_OVERRIDE=FQ","FILING_STATUS=OR","EQY_CONSOLIDATED=Y","Sort=A","Dates=H","DateFormat=P","Fill=—","Direction=H","UseDPDF=Y")</f>
        <v>#NAME?</v>
      </c>
      <c r="CW219" s="4" t="e">
        <f ca="1">_xll.BDH($C$203,"ACCT_RCV_TURN","FQ1 2017","FQ1 2017","Currency=INR","Period=FQ","BEST_FPERIOD_OVERRIDE=FQ","FILING_STATUS=OR","EQY_CONSOLIDATED=Y","FA_ADJUSTED=GAAP","Sort=A","Dates=H","DateFormat=P","Fill=—","Direction=H","UseDPDF=Y")</f>
        <v>#NAME?</v>
      </c>
      <c r="CX219" s="2" t="e">
        <f ca="1">_xll.BDH($C$203,"ACCT_RCV_DAYS","FQ1 2017","FQ1 2017","Currency=INR","Period=FQ","BEST_FPERIOD_OVERRIDE=FQ","FILING_STATUS=OR","EQY_CONSOLIDATED=Y","FA_ADJUSTED=GAAP","Sort=A","Dates=H","DateFormat=P","Fill=—","Direction=H","UseDPDF=Y")</f>
        <v>#NAME?</v>
      </c>
      <c r="CY219" s="4" t="e">
        <f ca="1">_xll.BDH($C$203,"INVENT_TURN","FQ1 2017","FQ1 2017","Currency=INR","Period=FQ","BEST_FPERIOD_OVERRIDE=FQ","FILING_STATUS=OR","EQY_CONSOLIDATED=Y","FA_ADJUSTED=GAAP","Sort=A","Dates=H","DateFormat=P","Fill=—","Direction=H","UseDPDF=Y")</f>
        <v>#NAME?</v>
      </c>
      <c r="CZ219" s="2" t="e">
        <f ca="1">_xll.BDH($C$203,"INVENT_DAYS","FQ1 2017","FQ1 2017","Currency=INR","Period=FQ","BEST_FPERIOD_OVERRIDE=FQ","FILING_STATUS=OR","EQY_CONSOLIDATED=Y","FA_ADJUSTED=GAAP","Sort=A","Dates=H","DateFormat=P","Fill=—","Direction=H","UseDPDF=Y")</f>
        <v>#NAME?</v>
      </c>
      <c r="DA219" s="4" t="e">
        <f ca="1">_xll.BDH($C$203,"ACCOUNTS_PAYABLE_TURNOVER","FQ1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19" s="2" t="e">
        <f ca="1">_xll.BDH($C$203,"ACCOUNTS_PAYABLE_TURNOVER_DAYS","FQ1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19" s="4" t="e">
        <f ca="1">_xll.BDH($C$203,"CASH_CONVERSION_CYCLE","FQ1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19" s="4" t="e">
        <f ca="1">_xll.BDH($C$203,"INV_TO_CASH_DAYS","FQ1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19" s="5" t="e">
        <f ca="1">_xll.BDH($C$203,"BS_INVENTORIES","FQ1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19" s="3" t="e">
        <f ca="1">_xll.BDH($C$203,"INVTRY_RAW_MATERIALS","FQ1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19" s="3" t="e">
        <f ca="1">_xll.BDH($C$203,"INVTRY_IN_PROGRESS","FQ1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19" s="3" t="e">
        <f ca="1">_xll.BDH($C$203,"INVTRY_FINISHED_GOODS","FQ1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19" s="3" t="e">
        <f ca="1">_xll.BDH($C$203,"BS_OTHER_INV","FQ1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20" spans="1:113" x14ac:dyDescent="0.3">
      <c r="A220" s="6"/>
      <c r="B220" s="6"/>
      <c r="C220" s="6"/>
      <c r="D220" s="6"/>
      <c r="E220" t="s">
        <v>79</v>
      </c>
      <c r="F220" t="e">
        <f ca="1">_xll.BDH($C$203,"RETURN_COM_EQY","FQ2 2017","FQ2 2017","Currency=INR","Period=FQ","BEST_FPERIOD_OVERRIDE=FQ","FILING_STATUS=OR","EQY_CONSOLIDATED=Y","FA_ADJUSTED=GAAP","Sort=A","Dates=H","DateFormat=P","Fill=—","Direction=H","UseDPDF=Y")</f>
        <v>#NAME?</v>
      </c>
      <c r="G220" t="e">
        <f ca="1">_xll.BDH($C$203,"RETURN_ON_ASSET","FQ2 2017","FQ2 2017","Currency=INR","Period=FQ","BEST_FPERIOD_OVERRIDE=FQ","FILING_STATUS=OR","EQY_CONSOLIDATED=Y","FA_ADJUSTED=GAAP","Sort=A","Dates=H","DateFormat=P","Fill=—","Direction=H","UseDPDF=Y")</f>
        <v>#NAME?</v>
      </c>
      <c r="H220" t="e">
        <f ca="1">_xll.BDH($C$203,"RETURN_ON_CAP","FQ2 2017","FQ2 2017","Currency=INR","Period=FQ","BEST_FPERIOD_OVERRIDE=FQ","FILING_STATUS=OR","EQY_CONSOLIDATED=Y","FA_ADJUSTED=GAAP","Sort=A","Dates=H","DateFormat=P","Fill=—","Direction=H","UseDPDF=Y")</f>
        <v>#NAME?</v>
      </c>
      <c r="I220" t="e">
        <f ca="1">_xll.BDH($C$203,"RETURN_ON_INV_CAPITAL","FQ2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20" t="e">
        <f ca="1">_xll.BDH($C$203,"EBITDA_TO_REVENUE","FQ2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20" t="e">
        <f ca="1">_xll.BDH($C$203,"OPER_MARGIN","FQ2 2017","FQ2 2017","Currency=INR","Period=FQ","BEST_FPERIOD_OVERRIDE=FQ","FILING_STATUS=OR","EQY_CONSOLIDATED=Y","FA_ADJUSTED=GAAP","Sort=A","Dates=H","DateFormat=P","Fill=—","Direction=H","UseDPDF=Y")</f>
        <v>#NAME?</v>
      </c>
      <c r="L220" t="e">
        <f ca="1">_xll.BDH($C$203,"INCREMENTAL_OPERATING_MARGIN","FQ2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20" t="e">
        <f ca="1">_xll.BDH($C$203,"PRETAX_INC_TO_NET_SALES","FQ2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20" t="e">
        <f ca="1">_xll.BDH($C$203,"INC_BEF_XO_ITEMS_TO_NET_SALES","FQ2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20" t="e">
        <f ca="1">_xll.BDH($C$203,"PROF_MARGIN","FQ2 2017","FQ2 2017","Currency=INR","Period=FQ","BEST_FPERIOD_OVERRIDE=FQ","FILING_STATUS=OR","EQY_CONSOLIDATED=Y","FA_ADJUSTED=GAAP","Sort=A","Dates=H","DateFormat=P","Fill=—","Direction=H","UseDPDF=Y")</f>
        <v>#NAME?</v>
      </c>
      <c r="P220" t="e">
        <f ca="1">_xll.BDH($C$203,"NET_INCOME_TO_COMMON_MARGIN","FQ2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20" t="e">
        <f ca="1">_xll.BDH($C$203,"EFF_TAX_RATE","FQ2 2017","FQ2 2017","Currency=INR","Period=FQ","BEST_FPERIOD_OVERRIDE=FQ","FILING_STATUS=OR","EQY_CONSOLIDATED=Y","FA_ADJUSTED=GAAP","Sort=A","Dates=H","DateFormat=P","Fill=—","Direction=H","UseDPDF=Y")</f>
        <v>#NAME?</v>
      </c>
      <c r="R220" t="e">
        <f ca="1">_xll.BDH($C$203,"DVD_PAYOUT_RATIO","FQ2 2017","FQ2 2017","Currency=INR","Period=FQ","BEST_FPERIOD_OVERRIDE=FQ","FILING_STATUS=OR","EQY_CONSOLIDATED=Y","FA_ADJUSTED=GAAP","Sort=A","Dates=H","DateFormat=P","Fill=—","Direction=H","UseDPDF=Y")</f>
        <v>#NAME?</v>
      </c>
      <c r="S220" t="e">
        <f ca="1">_xll.BDH($C$203,"SUSTAIN_GROWTH_RT","FQ2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20" s="2" t="e">
        <f ca="1">_xll.BDH($C$203,"SALES_GROWTH","FQ2 2017","FQ2 2017","Currency=INR","Period=FQ","BEST_FPERIOD_OVERRIDE=FQ","FILING_STATUS=OR","EQY_CONSOLIDATED=Y","FA_ADJUSTED=GAAP","Sort=A","Dates=H","DateFormat=P","Fill=—","Direction=H","UseDPDF=Y")</f>
        <v>#NAME?</v>
      </c>
      <c r="U220" s="2" t="e">
        <f ca="1">_xll.BDH($C$203,"EBITDA_GROWTH","FQ2 2017","FQ2 2017","Currency=INR","Period=FQ","BEST_FPERIOD_OVERRIDE=FQ","FILING_STATUS=OR","EQY_CONSOLIDATED=Y","FA_ADJUSTED=GAAP","Sort=A","Dates=H","DateFormat=P","Fill=—","Direction=H","UseDPDF=Y")</f>
        <v>#NAME?</v>
      </c>
      <c r="V220" s="2" t="e">
        <f ca="1">_xll.BDH($C$203,"OPER_INC_GROWTH","FQ2 2017","FQ2 2017","Currency=INR","Period=FQ","BEST_FPERIOD_OVERRIDE=FQ","FILING_STATUS=OR","EQY_CONSOLIDATED=Y","FA_ADJUSTED=GAAP","Sort=A","Dates=H","DateFormat=P","Fill=—","Direction=H","UseDPDF=Y")</f>
        <v>#NAME?</v>
      </c>
      <c r="W220" s="2" t="e">
        <f ca="1">_xll.BDH($C$203,"EARN_FOR_COM_GROWTH","FQ2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20" s="2" t="e">
        <f ca="1">_xll.BDH($C$203,"DILUTED_EPS_AFT_XO_ITEMS_GROWTH","FQ2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20" s="2" t="e">
        <f ca="1">_xll.BDH($C$203,"DIVIDEND_PER_SHARE_1_YEAR_GROWTH","FQ2 2017","FQ2 2017","Currency=INR","Period=FQ","BEST_FPERIOD_OVERRIDE=FQ","FILING_STATUS=OR","EQY_CONSOLIDATED=Y","Sort=A","Dates=H","DateFormat=P","Fill=—","Direction=H","UseDPDF=Y")</f>
        <v>#NAME?</v>
      </c>
      <c r="Z220" s="2" t="e">
        <f ca="1">_xll.BDH($C$203,"ACCOUNTS_RECEIVABLE_GROWTH","FQ2 2017","FQ2 2017","Currency=INR","Period=FQ","BEST_FPERIOD_OVERRIDE=FQ","FILING_STATUS=OR","EQY_CONSOLIDATED=Y","Sort=A","Dates=H","DateFormat=P","Fill=—","Direction=H","UseDPDF=Y")</f>
        <v>#NAME?</v>
      </c>
      <c r="AA220" s="2" t="e">
        <f ca="1">_xll.BDH($C$203,"INVENTORY_GROWTH","FQ2 2017","FQ2 2017","Currency=INR","Period=FQ","BEST_FPERIOD_OVERRIDE=FQ","FILING_STATUS=OR","EQY_CONSOLIDATED=Y","Sort=A","Dates=H","DateFormat=P","Fill=—","Direction=H","UseDPDF=Y")</f>
        <v>#NAME?</v>
      </c>
      <c r="AB220" s="2" t="e">
        <f ca="1">_xll.BDH($C$203,"NET_FIXED_ASSETS_1_YEAR_GROWTH","FQ2 2017","FQ2 2017","Currency=INR","Period=FQ","BEST_FPERIOD_OVERRIDE=FQ","FILING_STATUS=OR","EQY_CONSOLIDATED=Y","Sort=A","Dates=H","DateFormat=P","Fill=—","Direction=H","UseDPDF=Y")</f>
        <v>#NAME?</v>
      </c>
      <c r="AC220" s="2" t="e">
        <f ca="1">_xll.BDH($C$203,"ASSET_GROWTH","FQ2 2017","FQ2 2017","Currency=INR","Period=FQ","BEST_FPERIOD_OVERRIDE=FQ","FILING_STATUS=OR","EQY_CONSOLIDATED=Y","Sort=A","Dates=H","DateFormat=P","Fill=—","Direction=H","UseDPDF=Y")</f>
        <v>#NAME?</v>
      </c>
      <c r="AD220" s="2" t="e">
        <f ca="1">_xll.BDH($C$203,"MODIFIED_WORK_CAP_GROWTH","FQ2 2017","FQ2 2017","Currency=INR","Period=FQ","BEST_FPERIOD_OVERRIDE=FQ","FILING_STATUS=OR","EQY_CONSOLIDATED=Y","Sort=A","Dates=H","DateFormat=P","Fill=—","Direction=H","UseDPDF=Y")</f>
        <v>#NAME?</v>
      </c>
      <c r="AE220" s="2" t="e">
        <f ca="1">_xll.BDH($C$203,"WORK_CAP_GROWTH","FQ2 2017","FQ2 2017","Currency=INR","Period=FQ","BEST_FPERIOD_OVERRIDE=FQ","FILING_STATUS=OR","EQY_CONSOLIDATED=Y","Sort=A","Dates=H","DateFormat=P","Fill=—","Direction=H","UseDPDF=Y")</f>
        <v>#NAME?</v>
      </c>
      <c r="AF220" s="2" t="e">
        <f ca="1">_xll.BDH($C$203,"ACCOUNTS_PAYABLE_GROWTH_1YR","FQ2 2017","FQ2 2017","Currency=INR","Period=FQ","BEST_FPERIOD_OVERRIDE=FQ","FILING_STATUS=OR","EQY_CONSOLIDATED=Y","Sort=A","Dates=H","DateFormat=P","Fill=—","Direction=H","UseDPDF=Y")</f>
        <v>#NAME?</v>
      </c>
      <c r="AG220" s="2" t="e">
        <f ca="1">_xll.BDH($C$203,"SHORT_TERM_DEBT_1_YEAR_GROWTH","FQ2 2017","FQ2 2017","Currency=INR","Period=FQ","BEST_FPERIOD_OVERRIDE=FQ","FILING_STATUS=OR","EQY_CONSOLIDATED=Y","Sort=A","Dates=H","DateFormat=P","Fill=—","Direction=H","UseDPDF=Y")</f>
        <v>#NAME?</v>
      </c>
      <c r="AH220" s="2" t="e">
        <f ca="1">_xll.BDH($C$203,"TOTAL_DEBT_1_YEAR_GROWTH","FQ2 2017","FQ2 2017","Currency=INR","Period=FQ","BEST_FPERIOD_OVERRIDE=FQ","FILING_STATUS=OR","EQY_CONSOLIDATED=Y","Sort=A","Dates=H","DateFormat=P","Fill=—","Direction=H","UseDPDF=Y")</f>
        <v>#NAME?</v>
      </c>
      <c r="AI220" s="2" t="e">
        <f ca="1">_xll.BDH($C$203,"TOTAL_EQUITY_1_YEAR_GROWTH","FQ2 2017","FQ2 2017","Currency=INR","Period=FQ","BEST_FPERIOD_OVERRIDE=FQ","FILING_STATUS=OR","EQY_CONSOLIDATED=Y","Sort=A","Dates=H","DateFormat=P","Fill=—","Direction=H","UseDPDF=Y")</f>
        <v>#NAME?</v>
      </c>
      <c r="AJ220" s="2" t="e">
        <f ca="1">_xll.BDH($C$203,"GROWTH_IN_CAP","FQ2 2017","FQ2 2017","Currency=INR","Period=FQ","BEST_FPERIOD_OVERRIDE=FQ","FILING_STATUS=OR","EQY_CONSOLIDATED=Y","Sort=A","Dates=H","DateFormat=P","Fill=—","Direction=H","UseDPDF=Y")</f>
        <v>#NAME?</v>
      </c>
      <c r="AK220" s="2" t="e">
        <f ca="1">_xll.BDH($C$203,"BVPS_GROWTH","FQ2 2017","FQ2 2017","Currency=INR","Period=FQ","BEST_FPERIOD_OVERRIDE=FQ","FILING_STATUS=OR","EQY_CONSOLIDATED=Y","Sort=A","Dates=H","DateFormat=P","Fill=—","Direction=H","UseDPDF=Y")</f>
        <v>#NAME?</v>
      </c>
      <c r="AL220" s="2" t="e">
        <f ca="1">_xll.BDH($C$203,"CASH_FLOW_GROWTH","FQ2 2017","FQ2 2017","Currency=INR","Period=FQ","BEST_FPERIOD_OVERRIDE=FQ","FILING_STATUS=OR","EQY_CONSOLIDATED=Y","Sort=A","Dates=H","DateFormat=P","Fill=—","Direction=H","UseDPDF=Y")</f>
        <v>#NAME?</v>
      </c>
      <c r="AM220" s="2" t="e">
        <f ca="1">_xll.BDH($C$203,"GEO_GROW_NET_SALES","FQ2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20" s="2" t="e">
        <f ca="1">_xll.BDH($C$203,"GEO_GROW_EBITDA","FQ2 2017","FQ2 2017","Currency=INR","Period=FQ","BEST_FPERIOD_OVERRIDE=FQ","FILING_STATUS=OR","EQY_CONSOLIDATED=Y","FA_ADJUSTED=GAAP","Sort=A","Dates=H","DateFormat=P","Fill=—","Direction=H","UseDPDF=Y")</f>
        <v>#NAME?</v>
      </c>
      <c r="AO220" s="2" t="e">
        <f ca="1">_xll.BDH($C$203,"GEO_GROW_OPER_INC","FQ2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20" s="2" t="e">
        <f ca="1">_xll.BDH($C$203,"NET_INCOME_TO_COMMON_5_YR_GROWTH","FQ2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20" s="2" t="e">
        <f ca="1">_xll.BDH($C$203,"5Y_GEO_GROWTH_DILUTED_EPS","FQ2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20" s="2" t="e">
        <f ca="1">_xll.BDH($C$203,"GEO_GROW_DVD_PER_SH","FQ2 2017","FQ2 2017","Currency=INR","Period=FQ","BEST_FPERIOD_OVERRIDE=FQ","FILING_STATUS=OR","EQY_CONSOLIDATED=Y","Sort=A","Dates=H","DateFormat=P","Fill=—","Direction=H","UseDPDF=Y")</f>
        <v>#NAME?</v>
      </c>
      <c r="AS220" s="2" t="e">
        <f ca="1">_xll.BDH($C$203,"ACCOUNTS_RECEIVABLE_5_YR_GROWTH","FQ2 2017","FQ2 2017","Currency=INR","Period=FQ","BEST_FPERIOD_OVERRIDE=FQ","FILING_STATUS=OR","EQY_CONSOLIDATED=Y","Sort=A","Dates=H","DateFormat=P","Fill=—","Direction=H","UseDPDF=Y")</f>
        <v>#NAME?</v>
      </c>
      <c r="AT220" s="2" t="e">
        <f ca="1">_xll.BDH($C$203,"INVENTORY_5_YEAR_GROWTH","FQ2 2017","FQ2 2017","Currency=INR","Period=FQ","BEST_FPERIOD_OVERRIDE=FQ","FILING_STATUS=OR","EQY_CONSOLIDATED=Y","Sort=A","Dates=H","DateFormat=P","Fill=—","Direction=H","UseDPDF=Y")</f>
        <v>#NAME?</v>
      </c>
      <c r="AU220" s="2" t="e">
        <f ca="1">_xll.BDH($C$203,"NET_FIXED_ASSETS_5_YEAR_GROWTH","FQ2 2017","FQ2 2017","Currency=INR","Period=FQ","BEST_FPERIOD_OVERRIDE=FQ","FILING_STATUS=OR","EQY_CONSOLIDATED=Y","Sort=A","Dates=H","DateFormat=P","Fill=—","Direction=H","UseDPDF=Y")</f>
        <v>#NAME?</v>
      </c>
      <c r="AV220" s="2" t="e">
        <f ca="1">_xll.BDH($C$203,"GEO_GROW_TOT_ASSET","FQ2 2017","FQ2 2017","Currency=INR","Period=FQ","BEST_FPERIOD_OVERRIDE=FQ","FILING_STATUS=OR","EQY_CONSOLIDATED=Y","Sort=A","Dates=H","DateFormat=P","Fill=—","Direction=H","UseDPDF=Y")</f>
        <v>#NAME?</v>
      </c>
      <c r="AW220" s="2" t="e">
        <f ca="1">_xll.BDH($C$203,"MODIFIED_WORKING_CPTL_5YR_GRWTH","FQ2 2017","FQ2 2017","Currency=INR","Period=FQ","BEST_FPERIOD_OVERRIDE=FQ","FILING_STATUS=OR","EQY_CONSOLIDATED=Y","Sort=A","Dates=H","DateFormat=P","Fill=—","Direction=H","UseDPDF=Y")</f>
        <v>#NAME?</v>
      </c>
      <c r="AX220" s="2" t="e">
        <f ca="1">_xll.BDH($C$203,"WORKING_CAPITAL_5_YEAR_GROWTH","FQ2 2017","FQ2 2017","Currency=INR","Period=FQ","BEST_FPERIOD_OVERRIDE=FQ","FILING_STATUS=OR","EQY_CONSOLIDATED=Y","Sort=A","Dates=H","DateFormat=P","Fill=—","Direction=H","UseDPDF=Y")</f>
        <v>#NAME?</v>
      </c>
      <c r="AY220" s="2" t="e">
        <f ca="1">_xll.BDH($C$203,"ACCOUNTS_PAYABLE_5_YEAR_GROWTH","FQ2 2017","FQ2 2017","Currency=INR","Period=FQ","BEST_FPERIOD_OVERRIDE=FQ","FILING_STATUS=OR","EQY_CONSOLIDATED=Y","Sort=A","Dates=H","DateFormat=P","Fill=—","Direction=H","UseDPDF=Y")</f>
        <v>#NAME?</v>
      </c>
      <c r="AZ220" s="2" t="e">
        <f ca="1">_xll.BDH($C$203,"SHORT_TERM_DEBT_5_YEAR_GROWTH","FQ2 2017","FQ2 2017","Currency=INR","Period=FQ","BEST_FPERIOD_OVERRIDE=FQ","FILING_STATUS=OR","EQY_CONSOLIDATED=Y","Sort=A","Dates=H","DateFormat=P","Fill=—","Direction=H","UseDPDF=Y")</f>
        <v>#NAME?</v>
      </c>
      <c r="BA220" s="2" t="e">
        <f ca="1">_xll.BDH($C$203,"TOTAL_DEBT_5_YEAR_GROWTH","FQ2 2017","FQ2 2017","Currency=INR","Period=FQ","BEST_FPERIOD_OVERRIDE=FQ","FILING_STATUS=OR","EQY_CONSOLIDATED=Y","Sort=A","Dates=H","DateFormat=P","Fill=—","Direction=H","UseDPDF=Y")</f>
        <v>#NAME?</v>
      </c>
      <c r="BB220" s="2" t="e">
        <f ca="1">_xll.BDH($C$203,"GEO_GROW_TOT_SHRHLDR_EQY","FQ2 2017","FQ2 2017","Currency=INR","Period=FQ","BEST_FPERIOD_OVERRIDE=FQ","FILING_STATUS=OR","EQY_CONSOLIDATED=Y","Sort=A","Dates=H","DateFormat=P","Fill=—","Direction=H","UseDPDF=Y")</f>
        <v>#NAME?</v>
      </c>
      <c r="BC220" s="2" t="e">
        <f ca="1">_xll.BDH($C$203,"TOTAL_CAPITAL_5_YEAR_GROWTH","FQ2 2017","FQ2 2017","Currency=INR","Period=FQ","BEST_FPERIOD_OVERRIDE=FQ","FILING_STATUS=OR","EQY_CONSOLIDATED=Y","Sort=A","Dates=H","DateFormat=P","Fill=—","Direction=H","UseDPDF=Y")</f>
        <v>#NAME?</v>
      </c>
      <c r="BD220" s="2" t="e">
        <f ca="1">_xll.BDH($C$203,"GEO_GROW_BOOK_VAL","FQ2 2017","FQ2 2017","Currency=INR","Period=FQ","BEST_FPERIOD_OVERRIDE=FQ","FILING_STATUS=OR","EQY_CONSOLIDATED=Y","Sort=A","Dates=H","DateFormat=P","Fill=—","Direction=H","UseDPDF=Y")</f>
        <v>#NAME?</v>
      </c>
      <c r="BE220" s="2" t="e">
        <f ca="1">_xll.BDH($C$203,"GEO_GROW_CASH_OPER_ACT","FQ2 2017","FQ2 2017","Currency=INR","Period=FQ","BEST_FPERIOD_OVERRIDE=FQ","FILING_STATUS=OR","EQY_CONSOLIDATED=Y","Sort=A","Dates=H","DateFormat=P","Fill=—","Direction=H","UseDPDF=Y")</f>
        <v>#NAME?</v>
      </c>
      <c r="BF220" s="2" t="e">
        <f ca="1">_xll.BDH($C$203,"REVENUE_SEQUENTIAL_GROWTH","FQ2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20" s="2" t="e">
        <f ca="1">_xll.BDH($C$203,"EBITDA_SEQUENTIAL_GROWTH","FQ2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20" s="2" t="e">
        <f ca="1">_xll.BDH($C$203,"OPERATING_INCOME_SEQ_GROWTH","FQ2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20" s="2" t="e">
        <f ca="1">_xll.BDH($C$203,"NET_INCOME_TO_COMMON_SEQ_GROWTH","FQ2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20" s="2" t="e">
        <f ca="1">_xll.BDH($C$203,"EPS_DILUTED_SEQUENTIAL_GROWTH","FQ2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20" s="2" t="e">
        <f ca="1">_xll.BDH($C$203,"DPS_SEQUENTIAL_GROWTH","FQ2 2017","FQ2 2017","Currency=INR","Period=FQ","BEST_FPERIOD_OVERRIDE=FQ","FILING_STATUS=OR","EQY_CONSOLIDATED=Y","Sort=A","Dates=H","DateFormat=P","Fill=—","Direction=H","UseDPDF=Y")</f>
        <v>#NAME?</v>
      </c>
      <c r="BL220" s="2" t="e">
        <f ca="1">_xll.BDH($C$203,"ACCOUNTS_RECEIVABLE_SEQ_GROWTH","FQ2 2017","FQ2 2017","Currency=INR","Period=FQ","BEST_FPERIOD_OVERRIDE=FQ","FILING_STATUS=OR","EQY_CONSOLIDATED=Y","Sort=A","Dates=H","DateFormat=P","Fill=—","Direction=H","UseDPDF=Y")</f>
        <v>#NAME?</v>
      </c>
      <c r="BM220" s="2" t="e">
        <f ca="1">_xll.BDH($C$203,"INVENTORY_SEQUENTIAL_GROWTH","FQ2 2017","FQ2 2017","Currency=INR","Period=FQ","BEST_FPERIOD_OVERRIDE=FQ","FILING_STATUS=OR","EQY_CONSOLIDATED=Y","Sort=A","Dates=H","DateFormat=P","Fill=—","Direction=H","UseDPDF=Y")</f>
        <v>#NAME?</v>
      </c>
      <c r="BN220" s="2" t="e">
        <f ca="1">_xll.BDH($C$203,"FIXED_ASSETS_SEQUENTIAL_GROWTH","FQ2 2017","FQ2 2017","Currency=INR","Period=FQ","BEST_FPERIOD_OVERRIDE=FQ","FILING_STATUS=OR","EQY_CONSOLIDATED=Y","Sort=A","Dates=H","DateFormat=P","Fill=—","Direction=H","UseDPDF=Y")</f>
        <v>#NAME?</v>
      </c>
      <c r="BO220" s="2" t="e">
        <f ca="1">_xll.BDH($C$203,"TOTAL_ASSETS_SEQUENTIAL_GROWTH","FQ2 2017","FQ2 2017","Currency=INR","Period=FQ","BEST_FPERIOD_OVERRIDE=FQ","FILING_STATUS=OR","EQY_CONSOLIDATED=Y","Sort=A","Dates=H","DateFormat=P","Fill=—","Direction=H","UseDPDF=Y")</f>
        <v>#NAME?</v>
      </c>
      <c r="BP220" s="2" t="e">
        <f ca="1">_xll.BDH($C$203,"MODIFIED_WORKING_CPTL_SEQ_GRWTH","FQ2 2017","FQ2 2017","Currency=INR","Period=FQ","BEST_FPERIOD_OVERRIDE=FQ","FILING_STATUS=OR","EQY_CONSOLIDATED=Y","Sort=A","Dates=H","DateFormat=P","Fill=—","Direction=H","UseDPDF=Y")</f>
        <v>#NAME?</v>
      </c>
      <c r="BQ220" s="2" t="e">
        <f ca="1">_xll.BDH($C$203,"WORKING_CAPITAL_SEQ_GROWTH","FQ2 2017","FQ2 2017","Currency=INR","Period=FQ","BEST_FPERIOD_OVERRIDE=FQ","FILING_STATUS=OR","EQY_CONSOLIDATED=Y","Sort=A","Dates=H","DateFormat=P","Fill=—","Direction=H","UseDPDF=Y")</f>
        <v>#NAME?</v>
      </c>
      <c r="BR220" s="2" t="e">
        <f ca="1">_xll.BDH($C$203,"ACCOUNTS_PAYABLE_SEQ_GROWTH","FQ2 2017","FQ2 2017","Currency=INR","Period=FQ","BEST_FPERIOD_OVERRIDE=FQ","FILING_STATUS=OR","EQY_CONSOLIDATED=Y","Sort=A","Dates=H","DateFormat=P","Fill=—","Direction=H","UseDPDF=Y")</f>
        <v>#NAME?</v>
      </c>
      <c r="BS220" s="2" t="e">
        <f ca="1">_xll.BDH($C$203,"ST_DEBT_SEQUENTIAL_GROWTH","FQ2 2017","FQ2 2017","Currency=INR","Period=FQ","BEST_FPERIOD_OVERRIDE=FQ","FILING_STATUS=OR","EQY_CONSOLIDATED=Y","Sort=A","Dates=H","DateFormat=P","Fill=—","Direction=H","UseDPDF=Y")</f>
        <v>#NAME?</v>
      </c>
      <c r="BT220" s="2" t="e">
        <f ca="1">_xll.BDH($C$203,"TOTAL_DEBT_SEQUENTIAL_GROWTH","FQ2 2017","FQ2 2017","Currency=INR","Period=FQ","BEST_FPERIOD_OVERRIDE=FQ","FILING_STATUS=OR","EQY_CONSOLIDATED=Y","Sort=A","Dates=H","DateFormat=P","Fill=—","Direction=H","UseDPDF=Y")</f>
        <v>#NAME?</v>
      </c>
      <c r="BU220" s="2" t="e">
        <f ca="1">_xll.BDH($C$203,"TOTAL_EQUITY_SEQUENTIAL_GROWTH","FQ2 2017","FQ2 2017","Currency=INR","Period=FQ","BEST_FPERIOD_OVERRIDE=FQ","FILING_STATUS=OR","EQY_CONSOLIDATED=Y","Sort=A","Dates=H","DateFormat=P","Fill=—","Direction=H","UseDPDF=Y")</f>
        <v>#NAME?</v>
      </c>
      <c r="BV220" s="2" t="e">
        <f ca="1">_xll.BDH($C$203,"TOTAL_CAPITAL_SEQUENTIAL_GROWTH","FQ2 2017","FQ2 2017","Currency=INR","Period=FQ","BEST_FPERIOD_OVERRIDE=FQ","FILING_STATUS=OR","EQY_CONSOLIDATED=Y","Sort=A","Dates=H","DateFormat=P","Fill=—","Direction=H","UseDPDF=Y")</f>
        <v>#NAME?</v>
      </c>
      <c r="BW220" s="2" t="e">
        <f ca="1">_xll.BDH($C$203,"BPS_SEQUENTIAL_GROWTH","FQ2 2017","FQ2 2017","Currency=INR","Period=FQ","BEST_FPERIOD_OVERRIDE=FQ","FILING_STATUS=OR","EQY_CONSOLIDATED=Y","Sort=A","Dates=H","DateFormat=P","Fill=—","Direction=H","UseDPDF=Y")</f>
        <v>#NAME?</v>
      </c>
      <c r="BX220" s="2" t="e">
        <f ca="1">_xll.BDH($C$203,"CFO_SEQUENTIAL_GROWTH","FQ2 2017","FQ2 2017","Currency=INR","Period=FQ","BEST_FPERIOD_OVERRIDE=FQ","FILING_STATUS=OR","EQY_CONSOLIDATED=Y","Sort=A","Dates=H","DateFormat=P","Fill=—","Direction=H","UseDPDF=Y")</f>
        <v>#NAME?</v>
      </c>
      <c r="BY220" s="3" t="e">
        <f ca="1">_xll.BDH($C$203,"SHORT_AND_LONG_TERM_DEBT","FQ2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20" s="3" t="e">
        <f ca="1">_xll.BDH($C$203,"BS_ST_BORROW","FQ2 2017","FQ2 2017","Currency=INR","Period=FQ","BEST_FPERIOD_OVERRIDE=FQ","FILING_STATUS=OR","EQY_CONSOLIDATED=Y","SCALING_FORMAT=MLN","Sort=A","Dates=H","DateFormat=P","Fill=—","Direction=H","UseDPDF=Y")</f>
        <v>#NAME?</v>
      </c>
      <c r="CA220" s="3" t="e">
        <f ca="1">_xll.BDH($C$203,"BS_LT_BORROW","FQ2 2017","FQ2 2017","Currency=INR","Period=FQ","BEST_FPERIOD_OVERRIDE=FQ","FILING_STATUS=OR","EQY_CONSOLIDATED=Y","SCALING_FORMAT=MLN","Sort=A","Dates=H","DateFormat=P","Fill=—","Direction=H","UseDPDF=Y")</f>
        <v>#NAME?</v>
      </c>
      <c r="CB220" s="2" t="e">
        <f ca="1">_xll.BDH($C$203,"TOT_DEBT_TO_EBITDA","FQ2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20" s="2" t="e">
        <f ca="1">_xll.BDH($C$203,"NET_DEBT_TO_EBITDA","FQ2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20" s="2" t="e">
        <f ca="1">_xll.BDH($C$203,"TOTAL_DEBT_TO_EBIT","FQ2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20" s="2" t="e">
        <f ca="1">_xll.BDH($C$203,"NET_DEBT_TO_EBIT","FQ2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20" s="2" t="e">
        <f ca="1">_xll.BDH($C$203,"EBITDA_TO_INTEREST_EXPN","FQ2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20" s="2" t="e">
        <f ca="1">_xll.BDH($C$203,"COM_EQY_TO_TOT_ASSET","FQ2 2017","FQ2 2017","Currency=INR","Period=FQ","BEST_FPERIOD_OVERRIDE=FQ","FILING_STATUS=OR","EQY_CONSOLIDATED=Y","Sort=A","Dates=H","DateFormat=P","Fill=—","Direction=H","UseDPDF=Y")</f>
        <v>#NAME?</v>
      </c>
      <c r="CH220" s="2" t="e">
        <f ca="1">_xll.BDH($C$203,"LT_DEBT_TO_TOT_EQY","FQ2 2017","FQ2 2017","Currency=INR","Period=FQ","BEST_FPERIOD_OVERRIDE=FQ","FILING_STATUS=OR","EQY_CONSOLIDATED=Y","Sort=A","Dates=H","DateFormat=P","Fill=—","Direction=H","UseDPDF=Y")</f>
        <v>#NAME?</v>
      </c>
      <c r="CI220" s="2" t="e">
        <f ca="1">_xll.BDH($C$203,"LT_DEBT_TO_TOT_CAP","FQ2 2017","FQ2 2017","Currency=INR","Period=FQ","BEST_FPERIOD_OVERRIDE=FQ","FILING_STATUS=OR","EQY_CONSOLIDATED=Y","Sort=A","Dates=H","DateFormat=P","Fill=—","Direction=H","UseDPDF=Y")</f>
        <v>#NAME?</v>
      </c>
      <c r="CJ220" s="2" t="e">
        <f ca="1">_xll.BDH($C$203,"LT_DEBT_TO_TOT_ASSET","FQ2 2017","FQ2 2017","Currency=INR","Period=FQ","BEST_FPERIOD_OVERRIDE=FQ","FILING_STATUS=OR","EQY_CONSOLIDATED=Y","Sort=A","Dates=H","DateFormat=P","Fill=—","Direction=H","UseDPDF=Y")</f>
        <v>#NAME?</v>
      </c>
      <c r="CK220" s="2" t="e">
        <f ca="1">_xll.BDH($C$203,"TOT_DEBT_TO_TOT_EQY","FQ2 2017","FQ2 2017","Currency=INR","Period=FQ","BEST_FPERIOD_OVERRIDE=FQ","FILING_STATUS=OR","EQY_CONSOLIDATED=Y","Sort=A","Dates=H","DateFormat=P","Fill=—","Direction=H","UseDPDF=Y")</f>
        <v>#NAME?</v>
      </c>
      <c r="CL220" s="2" t="e">
        <f ca="1">_xll.BDH($C$203,"TOT_DEBT_TO_TOT_CAP","FQ2 2017","FQ2 2017","Currency=INR","Period=FQ","BEST_FPERIOD_OVERRIDE=FQ","FILING_STATUS=OR","EQY_CONSOLIDATED=Y","Sort=A","Dates=H","DateFormat=P","Fill=—","Direction=H","UseDPDF=Y")</f>
        <v>#NAME?</v>
      </c>
      <c r="CM220" s="2" t="e">
        <f ca="1">_xll.BDH($C$203,"TOT_DEBT_TO_TOT_ASSET","FQ2 2017","FQ2 2017","Currency=INR","Period=FQ","BEST_FPERIOD_OVERRIDE=FQ","FILING_STATUS=OR","EQY_CONSOLIDATED=Y","Sort=A","Dates=H","DateFormat=P","Fill=—","Direction=H","UseDPDF=Y")</f>
        <v>#NAME?</v>
      </c>
      <c r="CN220" s="2" t="e">
        <f ca="1">_xll.BDH($C$203,"NET_DEBT_TO_SHRHLDR_EQTY","FQ2 2017","FQ2 2017","Currency=INR","Period=FQ","BEST_FPERIOD_OVERRIDE=FQ","FILING_STATUS=OR","EQY_CONSOLIDATED=Y","Sort=A","Dates=H","DateFormat=P","Fill=—","Direction=H","UseDPDF=Y")</f>
        <v>#NAME?</v>
      </c>
      <c r="CO220" s="2" t="e">
        <f ca="1">_xll.BDH($C$203,"NET_DEBT_%_CAPITAL","FQ2 2017","FQ2 2017","Currency=INR","Period=FQ","BEST_FPERIOD_OVERRIDE=FQ","FILING_STATUS=OR","EQY_CONSOLIDATED=Y","Sort=A","Dates=H","DateFormat=P","Fill=—","Direction=H","UseDPDF=Y")</f>
        <v>#NAME?</v>
      </c>
      <c r="CP220" s="3" t="e">
        <f ca="1">_xll.BDH($C$203,"EBITDA","FQ2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20" s="3" t="e">
        <f ca="1">_xll.BDH($C$203,"EBITDA_AFTER_CAPEX","FQ2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20" s="3" t="e">
        <f ca="1">_xll.BDH($C$203,"IS_OPER_INC","FQ2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20" s="2" t="e">
        <f ca="1">_xll.BDH($C$203,"CASH_RATIO","FQ2 2017","FQ2 2017","Currency=INR","Period=FQ","BEST_FPERIOD_OVERRIDE=FQ","FILING_STATUS=OR","EQY_CONSOLIDATED=Y","Sort=A","Dates=H","DateFormat=P","Fill=—","Direction=H","UseDPDF=Y")</f>
        <v>#NAME?</v>
      </c>
      <c r="CT220" s="2" t="e">
        <f ca="1">_xll.BDH($C$203,"CUR_RATIO","FQ2 2017","FQ2 2017","Currency=INR","Period=FQ","BEST_FPERIOD_OVERRIDE=FQ","FILING_STATUS=OR","EQY_CONSOLIDATED=Y","Sort=A","Dates=H","DateFormat=P","Fill=—","Direction=H","UseDPDF=Y")</f>
        <v>#NAME?</v>
      </c>
      <c r="CU220" s="2" t="e">
        <f ca="1">_xll.BDH($C$203,"QUICK_RATIO","FQ2 2017","FQ2 2017","Currency=INR","Period=FQ","BEST_FPERIOD_OVERRIDE=FQ","FILING_STATUS=OR","EQY_CONSOLIDATED=Y","Sort=A","Dates=H","DateFormat=P","Fill=—","Direction=H","UseDPDF=Y")</f>
        <v>#NAME?</v>
      </c>
      <c r="CV220" s="2" t="e">
        <f ca="1">_xll.BDH($C$203,"ALTMAN_Z_SCORE","FQ2 2017","FQ2 2017","Currency=INR","Period=FQ","BEST_FPERIOD_OVERRIDE=FQ","FILING_STATUS=OR","EQY_CONSOLIDATED=Y","Sort=A","Dates=H","DateFormat=P","Fill=—","Direction=H","UseDPDF=Y")</f>
        <v>#NAME?</v>
      </c>
      <c r="CW220" s="4" t="e">
        <f ca="1">_xll.BDH($C$203,"ACCT_RCV_TURN","FQ2 2017","FQ2 2017","Currency=INR","Period=FQ","BEST_FPERIOD_OVERRIDE=FQ","FILING_STATUS=OR","EQY_CONSOLIDATED=Y","FA_ADJUSTED=GAAP","Sort=A","Dates=H","DateFormat=P","Fill=—","Direction=H","UseDPDF=Y")</f>
        <v>#NAME?</v>
      </c>
      <c r="CX220" s="2" t="e">
        <f ca="1">_xll.BDH($C$203,"ACCT_RCV_DAYS","FQ2 2017","FQ2 2017","Currency=INR","Period=FQ","BEST_FPERIOD_OVERRIDE=FQ","FILING_STATUS=OR","EQY_CONSOLIDATED=Y","FA_ADJUSTED=GAAP","Sort=A","Dates=H","DateFormat=P","Fill=—","Direction=H","UseDPDF=Y")</f>
        <v>#NAME?</v>
      </c>
      <c r="CY220" s="4" t="e">
        <f ca="1">_xll.BDH($C$203,"INVENT_TURN","FQ2 2017","FQ2 2017","Currency=INR","Period=FQ","BEST_FPERIOD_OVERRIDE=FQ","FILING_STATUS=OR","EQY_CONSOLIDATED=Y","FA_ADJUSTED=GAAP","Sort=A","Dates=H","DateFormat=P","Fill=—","Direction=H","UseDPDF=Y")</f>
        <v>#NAME?</v>
      </c>
      <c r="CZ220" s="2" t="e">
        <f ca="1">_xll.BDH($C$203,"INVENT_DAYS","FQ2 2017","FQ2 2017","Currency=INR","Period=FQ","BEST_FPERIOD_OVERRIDE=FQ","FILING_STATUS=OR","EQY_CONSOLIDATED=Y","FA_ADJUSTED=GAAP","Sort=A","Dates=H","DateFormat=P","Fill=—","Direction=H","UseDPDF=Y")</f>
        <v>#NAME?</v>
      </c>
      <c r="DA220" s="4" t="e">
        <f ca="1">_xll.BDH($C$203,"ACCOUNTS_PAYABLE_TURNOVER","FQ2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20" s="2" t="e">
        <f ca="1">_xll.BDH($C$203,"ACCOUNTS_PAYABLE_TURNOVER_DAYS","FQ2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20" s="4" t="e">
        <f ca="1">_xll.BDH($C$203,"CASH_CONVERSION_CYCLE","FQ2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20" s="4" t="e">
        <f ca="1">_xll.BDH($C$203,"INV_TO_CASH_DAYS","FQ2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20" s="5" t="e">
        <f ca="1">_xll.BDH($C$203,"BS_INVENTORIES","FQ2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20" s="3" t="e">
        <f ca="1">_xll.BDH($C$203,"INVTRY_RAW_MATERIALS","FQ2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20" s="3" t="e">
        <f ca="1">_xll.BDH($C$203,"INVTRY_IN_PROGRESS","FQ2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20" s="3" t="e">
        <f ca="1">_xll.BDH($C$203,"INVTRY_FINISHED_GOODS","FQ2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20" s="3" t="e">
        <f ca="1">_xll.BDH($C$203,"BS_OTHER_INV","FQ2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21" spans="1:113" x14ac:dyDescent="0.3">
      <c r="A221" s="6"/>
      <c r="B221" s="6"/>
      <c r="C221" s="6"/>
      <c r="D221" s="6"/>
      <c r="E221" t="s">
        <v>80</v>
      </c>
      <c r="F221" t="e">
        <f ca="1">_xll.BDH($C$203,"RETURN_COM_EQY","FQ3 2017","FQ3 2017","Currency=INR","Period=FQ","BEST_FPERIOD_OVERRIDE=FQ","FILING_STATUS=OR","EQY_CONSOLIDATED=Y","FA_ADJUSTED=GAAP","Sort=A","Dates=H","DateFormat=P","Fill=—","Direction=H","UseDPDF=Y")</f>
        <v>#NAME?</v>
      </c>
      <c r="G221" t="e">
        <f ca="1">_xll.BDH($C$203,"RETURN_ON_ASSET","FQ3 2017","FQ3 2017","Currency=INR","Period=FQ","BEST_FPERIOD_OVERRIDE=FQ","FILING_STATUS=OR","EQY_CONSOLIDATED=Y","FA_ADJUSTED=GAAP","Sort=A","Dates=H","DateFormat=P","Fill=—","Direction=H","UseDPDF=Y")</f>
        <v>#NAME?</v>
      </c>
      <c r="H221" t="e">
        <f ca="1">_xll.BDH($C$203,"RETURN_ON_CAP","FQ3 2017","FQ3 2017","Currency=INR","Period=FQ","BEST_FPERIOD_OVERRIDE=FQ","FILING_STATUS=OR","EQY_CONSOLIDATED=Y","FA_ADJUSTED=GAAP","Sort=A","Dates=H","DateFormat=P","Fill=—","Direction=H","UseDPDF=Y")</f>
        <v>#NAME?</v>
      </c>
      <c r="I221" t="e">
        <f ca="1">_xll.BDH($C$203,"RETURN_ON_INV_CAPITAL","FQ3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21" t="e">
        <f ca="1">_xll.BDH($C$203,"EBITDA_TO_REVENUE","FQ3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21" t="e">
        <f ca="1">_xll.BDH($C$203,"OPER_MARGIN","FQ3 2017","FQ3 2017","Currency=INR","Period=FQ","BEST_FPERIOD_OVERRIDE=FQ","FILING_STATUS=OR","EQY_CONSOLIDATED=Y","FA_ADJUSTED=GAAP","Sort=A","Dates=H","DateFormat=P","Fill=—","Direction=H","UseDPDF=Y")</f>
        <v>#NAME?</v>
      </c>
      <c r="L221" t="e">
        <f ca="1">_xll.BDH($C$203,"INCREMENTAL_OPERATING_MARGIN","FQ3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21" t="e">
        <f ca="1">_xll.BDH($C$203,"PRETAX_INC_TO_NET_SALES","FQ3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21" t="e">
        <f ca="1">_xll.BDH($C$203,"INC_BEF_XO_ITEMS_TO_NET_SALES","FQ3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21" t="e">
        <f ca="1">_xll.BDH($C$203,"PROF_MARGIN","FQ3 2017","FQ3 2017","Currency=INR","Period=FQ","BEST_FPERIOD_OVERRIDE=FQ","FILING_STATUS=OR","EQY_CONSOLIDATED=Y","FA_ADJUSTED=GAAP","Sort=A","Dates=H","DateFormat=P","Fill=—","Direction=H","UseDPDF=Y")</f>
        <v>#NAME?</v>
      </c>
      <c r="P221" t="e">
        <f ca="1">_xll.BDH($C$203,"NET_INCOME_TO_COMMON_MARGIN","FQ3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21" t="e">
        <f ca="1">_xll.BDH($C$203,"EFF_TAX_RATE","FQ3 2017","FQ3 2017","Currency=INR","Period=FQ","BEST_FPERIOD_OVERRIDE=FQ","FILING_STATUS=OR","EQY_CONSOLIDATED=Y","FA_ADJUSTED=GAAP","Sort=A","Dates=H","DateFormat=P","Fill=—","Direction=H","UseDPDF=Y")</f>
        <v>#NAME?</v>
      </c>
      <c r="R221" t="e">
        <f ca="1">_xll.BDH($C$203,"DVD_PAYOUT_RATIO","FQ3 2017","FQ3 2017","Currency=INR","Period=FQ","BEST_FPERIOD_OVERRIDE=FQ","FILING_STATUS=OR","EQY_CONSOLIDATED=Y","FA_ADJUSTED=GAAP","Sort=A","Dates=H","DateFormat=P","Fill=—","Direction=H","UseDPDF=Y")</f>
        <v>#NAME?</v>
      </c>
      <c r="S221" t="e">
        <f ca="1">_xll.BDH($C$203,"SUSTAIN_GROWTH_RT","FQ3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21" s="2" t="e">
        <f ca="1">_xll.BDH($C$203,"SALES_GROWTH","FQ3 2017","FQ3 2017","Currency=INR","Period=FQ","BEST_FPERIOD_OVERRIDE=FQ","FILING_STATUS=OR","EQY_CONSOLIDATED=Y","FA_ADJUSTED=GAAP","Sort=A","Dates=H","DateFormat=P","Fill=—","Direction=H","UseDPDF=Y")</f>
        <v>#NAME?</v>
      </c>
      <c r="U221" s="2" t="e">
        <f ca="1">_xll.BDH($C$203,"EBITDA_GROWTH","FQ3 2017","FQ3 2017","Currency=INR","Period=FQ","BEST_FPERIOD_OVERRIDE=FQ","FILING_STATUS=OR","EQY_CONSOLIDATED=Y","FA_ADJUSTED=GAAP","Sort=A","Dates=H","DateFormat=P","Fill=—","Direction=H","UseDPDF=Y")</f>
        <v>#NAME?</v>
      </c>
      <c r="V221" s="2" t="e">
        <f ca="1">_xll.BDH($C$203,"OPER_INC_GROWTH","FQ3 2017","FQ3 2017","Currency=INR","Period=FQ","BEST_FPERIOD_OVERRIDE=FQ","FILING_STATUS=OR","EQY_CONSOLIDATED=Y","FA_ADJUSTED=GAAP","Sort=A","Dates=H","DateFormat=P","Fill=—","Direction=H","UseDPDF=Y")</f>
        <v>#NAME?</v>
      </c>
      <c r="W221" s="2" t="e">
        <f ca="1">_xll.BDH($C$203,"EARN_FOR_COM_GROWTH","FQ3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21" s="2" t="e">
        <f ca="1">_xll.BDH($C$203,"DILUTED_EPS_AFT_XO_ITEMS_GROWTH","FQ3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21" s="2" t="e">
        <f ca="1">_xll.BDH($C$203,"DIVIDEND_PER_SHARE_1_YEAR_GROWTH","FQ3 2017","FQ3 2017","Currency=INR","Period=FQ","BEST_FPERIOD_OVERRIDE=FQ","FILING_STATUS=OR","EQY_CONSOLIDATED=Y","Sort=A","Dates=H","DateFormat=P","Fill=—","Direction=H","UseDPDF=Y")</f>
        <v>#NAME?</v>
      </c>
      <c r="Z221" s="2" t="e">
        <f ca="1">_xll.BDH($C$203,"ACCOUNTS_RECEIVABLE_GROWTH","FQ3 2017","FQ3 2017","Currency=INR","Period=FQ","BEST_FPERIOD_OVERRIDE=FQ","FILING_STATUS=OR","EQY_CONSOLIDATED=Y","Sort=A","Dates=H","DateFormat=P","Fill=—","Direction=H","UseDPDF=Y")</f>
        <v>#NAME?</v>
      </c>
      <c r="AA221" s="2" t="e">
        <f ca="1">_xll.BDH($C$203,"INVENTORY_GROWTH","FQ3 2017","FQ3 2017","Currency=INR","Period=FQ","BEST_FPERIOD_OVERRIDE=FQ","FILING_STATUS=OR","EQY_CONSOLIDATED=Y","Sort=A","Dates=H","DateFormat=P","Fill=—","Direction=H","UseDPDF=Y")</f>
        <v>#NAME?</v>
      </c>
      <c r="AB221" s="2" t="e">
        <f ca="1">_xll.BDH($C$203,"NET_FIXED_ASSETS_1_YEAR_GROWTH","FQ3 2017","FQ3 2017","Currency=INR","Period=FQ","BEST_FPERIOD_OVERRIDE=FQ","FILING_STATUS=OR","EQY_CONSOLIDATED=Y","Sort=A","Dates=H","DateFormat=P","Fill=—","Direction=H","UseDPDF=Y")</f>
        <v>#NAME?</v>
      </c>
      <c r="AC221" s="2" t="e">
        <f ca="1">_xll.BDH($C$203,"ASSET_GROWTH","FQ3 2017","FQ3 2017","Currency=INR","Period=FQ","BEST_FPERIOD_OVERRIDE=FQ","FILING_STATUS=OR","EQY_CONSOLIDATED=Y","Sort=A","Dates=H","DateFormat=P","Fill=—","Direction=H","UseDPDF=Y")</f>
        <v>#NAME?</v>
      </c>
      <c r="AD221" s="2" t="e">
        <f ca="1">_xll.BDH($C$203,"MODIFIED_WORK_CAP_GROWTH","FQ3 2017","FQ3 2017","Currency=INR","Period=FQ","BEST_FPERIOD_OVERRIDE=FQ","FILING_STATUS=OR","EQY_CONSOLIDATED=Y","Sort=A","Dates=H","DateFormat=P","Fill=—","Direction=H","UseDPDF=Y")</f>
        <v>#NAME?</v>
      </c>
      <c r="AE221" s="2" t="e">
        <f ca="1">_xll.BDH($C$203,"WORK_CAP_GROWTH","FQ3 2017","FQ3 2017","Currency=INR","Period=FQ","BEST_FPERIOD_OVERRIDE=FQ","FILING_STATUS=OR","EQY_CONSOLIDATED=Y","Sort=A","Dates=H","DateFormat=P","Fill=—","Direction=H","UseDPDF=Y")</f>
        <v>#NAME?</v>
      </c>
      <c r="AF221" s="2" t="e">
        <f ca="1">_xll.BDH($C$203,"ACCOUNTS_PAYABLE_GROWTH_1YR","FQ3 2017","FQ3 2017","Currency=INR","Period=FQ","BEST_FPERIOD_OVERRIDE=FQ","FILING_STATUS=OR","EQY_CONSOLIDATED=Y","Sort=A","Dates=H","DateFormat=P","Fill=—","Direction=H","UseDPDF=Y")</f>
        <v>#NAME?</v>
      </c>
      <c r="AG221" s="2" t="e">
        <f ca="1">_xll.BDH($C$203,"SHORT_TERM_DEBT_1_YEAR_GROWTH","FQ3 2017","FQ3 2017","Currency=INR","Period=FQ","BEST_FPERIOD_OVERRIDE=FQ","FILING_STATUS=OR","EQY_CONSOLIDATED=Y","Sort=A","Dates=H","DateFormat=P","Fill=—","Direction=H","UseDPDF=Y")</f>
        <v>#NAME?</v>
      </c>
      <c r="AH221" s="2" t="e">
        <f ca="1">_xll.BDH($C$203,"TOTAL_DEBT_1_YEAR_GROWTH","FQ3 2017","FQ3 2017","Currency=INR","Period=FQ","BEST_FPERIOD_OVERRIDE=FQ","FILING_STATUS=OR","EQY_CONSOLIDATED=Y","Sort=A","Dates=H","DateFormat=P","Fill=—","Direction=H","UseDPDF=Y")</f>
        <v>#NAME?</v>
      </c>
      <c r="AI221" s="2" t="e">
        <f ca="1">_xll.BDH($C$203,"TOTAL_EQUITY_1_YEAR_GROWTH","FQ3 2017","FQ3 2017","Currency=INR","Period=FQ","BEST_FPERIOD_OVERRIDE=FQ","FILING_STATUS=OR","EQY_CONSOLIDATED=Y","Sort=A","Dates=H","DateFormat=P","Fill=—","Direction=H","UseDPDF=Y")</f>
        <v>#NAME?</v>
      </c>
      <c r="AJ221" s="2" t="e">
        <f ca="1">_xll.BDH($C$203,"GROWTH_IN_CAP","FQ3 2017","FQ3 2017","Currency=INR","Period=FQ","BEST_FPERIOD_OVERRIDE=FQ","FILING_STATUS=OR","EQY_CONSOLIDATED=Y","Sort=A","Dates=H","DateFormat=P","Fill=—","Direction=H","UseDPDF=Y")</f>
        <v>#NAME?</v>
      </c>
      <c r="AK221" s="2" t="e">
        <f ca="1">_xll.BDH($C$203,"BVPS_GROWTH","FQ3 2017","FQ3 2017","Currency=INR","Period=FQ","BEST_FPERIOD_OVERRIDE=FQ","FILING_STATUS=OR","EQY_CONSOLIDATED=Y","Sort=A","Dates=H","DateFormat=P","Fill=—","Direction=H","UseDPDF=Y")</f>
        <v>#NAME?</v>
      </c>
      <c r="AL221" s="2" t="e">
        <f ca="1">_xll.BDH($C$203,"CASH_FLOW_GROWTH","FQ3 2017","FQ3 2017","Currency=INR","Period=FQ","BEST_FPERIOD_OVERRIDE=FQ","FILING_STATUS=OR","EQY_CONSOLIDATED=Y","Sort=A","Dates=H","DateFormat=P","Fill=—","Direction=H","UseDPDF=Y")</f>
        <v>#NAME?</v>
      </c>
      <c r="AM221" s="2" t="e">
        <f ca="1">_xll.BDH($C$203,"GEO_GROW_NET_SALES","FQ3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21" s="2" t="e">
        <f ca="1">_xll.BDH($C$203,"GEO_GROW_EBITDA","FQ3 2017","FQ3 2017","Currency=INR","Period=FQ","BEST_FPERIOD_OVERRIDE=FQ","FILING_STATUS=OR","EQY_CONSOLIDATED=Y","FA_ADJUSTED=GAAP","Sort=A","Dates=H","DateFormat=P","Fill=—","Direction=H","UseDPDF=Y")</f>
        <v>#NAME?</v>
      </c>
      <c r="AO221" s="2" t="e">
        <f ca="1">_xll.BDH($C$203,"GEO_GROW_OPER_INC","FQ3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21" s="2" t="e">
        <f ca="1">_xll.BDH($C$203,"NET_INCOME_TO_COMMON_5_YR_GROWTH","FQ3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21" s="2" t="e">
        <f ca="1">_xll.BDH($C$203,"5Y_GEO_GROWTH_DILUTED_EPS","FQ3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21" s="2" t="e">
        <f ca="1">_xll.BDH($C$203,"GEO_GROW_DVD_PER_SH","FQ3 2017","FQ3 2017","Currency=INR","Period=FQ","BEST_FPERIOD_OVERRIDE=FQ","FILING_STATUS=OR","EQY_CONSOLIDATED=Y","Sort=A","Dates=H","DateFormat=P","Fill=—","Direction=H","UseDPDF=Y")</f>
        <v>#NAME?</v>
      </c>
      <c r="AS221" s="2" t="e">
        <f ca="1">_xll.BDH($C$203,"ACCOUNTS_RECEIVABLE_5_YR_GROWTH","FQ3 2017","FQ3 2017","Currency=INR","Period=FQ","BEST_FPERIOD_OVERRIDE=FQ","FILING_STATUS=OR","EQY_CONSOLIDATED=Y","Sort=A","Dates=H","DateFormat=P","Fill=—","Direction=H","UseDPDF=Y")</f>
        <v>#NAME?</v>
      </c>
      <c r="AT221" s="2" t="e">
        <f ca="1">_xll.BDH($C$203,"INVENTORY_5_YEAR_GROWTH","FQ3 2017","FQ3 2017","Currency=INR","Period=FQ","BEST_FPERIOD_OVERRIDE=FQ","FILING_STATUS=OR","EQY_CONSOLIDATED=Y","Sort=A","Dates=H","DateFormat=P","Fill=—","Direction=H","UseDPDF=Y")</f>
        <v>#NAME?</v>
      </c>
      <c r="AU221" s="2" t="e">
        <f ca="1">_xll.BDH($C$203,"NET_FIXED_ASSETS_5_YEAR_GROWTH","FQ3 2017","FQ3 2017","Currency=INR","Period=FQ","BEST_FPERIOD_OVERRIDE=FQ","FILING_STATUS=OR","EQY_CONSOLIDATED=Y","Sort=A","Dates=H","DateFormat=P","Fill=—","Direction=H","UseDPDF=Y")</f>
        <v>#NAME?</v>
      </c>
      <c r="AV221" s="2" t="e">
        <f ca="1">_xll.BDH($C$203,"GEO_GROW_TOT_ASSET","FQ3 2017","FQ3 2017","Currency=INR","Period=FQ","BEST_FPERIOD_OVERRIDE=FQ","FILING_STATUS=OR","EQY_CONSOLIDATED=Y","Sort=A","Dates=H","DateFormat=P","Fill=—","Direction=H","UseDPDF=Y")</f>
        <v>#NAME?</v>
      </c>
      <c r="AW221" s="2" t="e">
        <f ca="1">_xll.BDH($C$203,"MODIFIED_WORKING_CPTL_5YR_GRWTH","FQ3 2017","FQ3 2017","Currency=INR","Period=FQ","BEST_FPERIOD_OVERRIDE=FQ","FILING_STATUS=OR","EQY_CONSOLIDATED=Y","Sort=A","Dates=H","DateFormat=P","Fill=—","Direction=H","UseDPDF=Y")</f>
        <v>#NAME?</v>
      </c>
      <c r="AX221" s="2" t="e">
        <f ca="1">_xll.BDH($C$203,"WORKING_CAPITAL_5_YEAR_GROWTH","FQ3 2017","FQ3 2017","Currency=INR","Period=FQ","BEST_FPERIOD_OVERRIDE=FQ","FILING_STATUS=OR","EQY_CONSOLIDATED=Y","Sort=A","Dates=H","DateFormat=P","Fill=—","Direction=H","UseDPDF=Y")</f>
        <v>#NAME?</v>
      </c>
      <c r="AY221" s="2" t="e">
        <f ca="1">_xll.BDH($C$203,"ACCOUNTS_PAYABLE_5_YEAR_GROWTH","FQ3 2017","FQ3 2017","Currency=INR","Period=FQ","BEST_FPERIOD_OVERRIDE=FQ","FILING_STATUS=OR","EQY_CONSOLIDATED=Y","Sort=A","Dates=H","DateFormat=P","Fill=—","Direction=H","UseDPDF=Y")</f>
        <v>#NAME?</v>
      </c>
      <c r="AZ221" s="2" t="e">
        <f ca="1">_xll.BDH($C$203,"SHORT_TERM_DEBT_5_YEAR_GROWTH","FQ3 2017","FQ3 2017","Currency=INR","Period=FQ","BEST_FPERIOD_OVERRIDE=FQ","FILING_STATUS=OR","EQY_CONSOLIDATED=Y","Sort=A","Dates=H","DateFormat=P","Fill=—","Direction=H","UseDPDF=Y")</f>
        <v>#NAME?</v>
      </c>
      <c r="BA221" s="2" t="e">
        <f ca="1">_xll.BDH($C$203,"TOTAL_DEBT_5_YEAR_GROWTH","FQ3 2017","FQ3 2017","Currency=INR","Period=FQ","BEST_FPERIOD_OVERRIDE=FQ","FILING_STATUS=OR","EQY_CONSOLIDATED=Y","Sort=A","Dates=H","DateFormat=P","Fill=—","Direction=H","UseDPDF=Y")</f>
        <v>#NAME?</v>
      </c>
      <c r="BB221" s="2" t="e">
        <f ca="1">_xll.BDH($C$203,"GEO_GROW_TOT_SHRHLDR_EQY","FQ3 2017","FQ3 2017","Currency=INR","Period=FQ","BEST_FPERIOD_OVERRIDE=FQ","FILING_STATUS=OR","EQY_CONSOLIDATED=Y","Sort=A","Dates=H","DateFormat=P","Fill=—","Direction=H","UseDPDF=Y")</f>
        <v>#NAME?</v>
      </c>
      <c r="BC221" s="2" t="e">
        <f ca="1">_xll.BDH($C$203,"TOTAL_CAPITAL_5_YEAR_GROWTH","FQ3 2017","FQ3 2017","Currency=INR","Period=FQ","BEST_FPERIOD_OVERRIDE=FQ","FILING_STATUS=OR","EQY_CONSOLIDATED=Y","Sort=A","Dates=H","DateFormat=P","Fill=—","Direction=H","UseDPDF=Y")</f>
        <v>#NAME?</v>
      </c>
      <c r="BD221" s="2" t="e">
        <f ca="1">_xll.BDH($C$203,"GEO_GROW_BOOK_VAL","FQ3 2017","FQ3 2017","Currency=INR","Period=FQ","BEST_FPERIOD_OVERRIDE=FQ","FILING_STATUS=OR","EQY_CONSOLIDATED=Y","Sort=A","Dates=H","DateFormat=P","Fill=—","Direction=H","UseDPDF=Y")</f>
        <v>#NAME?</v>
      </c>
      <c r="BE221" s="2" t="e">
        <f ca="1">_xll.BDH($C$203,"GEO_GROW_CASH_OPER_ACT","FQ3 2017","FQ3 2017","Currency=INR","Period=FQ","BEST_FPERIOD_OVERRIDE=FQ","FILING_STATUS=OR","EQY_CONSOLIDATED=Y","Sort=A","Dates=H","DateFormat=P","Fill=—","Direction=H","UseDPDF=Y")</f>
        <v>#NAME?</v>
      </c>
      <c r="BF221" s="2" t="e">
        <f ca="1">_xll.BDH($C$203,"REVENUE_SEQUENTIAL_GROWTH","FQ3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21" s="2" t="e">
        <f ca="1">_xll.BDH($C$203,"EBITDA_SEQUENTIAL_GROWTH","FQ3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21" s="2" t="e">
        <f ca="1">_xll.BDH($C$203,"OPERATING_INCOME_SEQ_GROWTH","FQ3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21" s="2" t="e">
        <f ca="1">_xll.BDH($C$203,"NET_INCOME_TO_COMMON_SEQ_GROWTH","FQ3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21" s="2" t="e">
        <f ca="1">_xll.BDH($C$203,"EPS_DILUTED_SEQUENTIAL_GROWTH","FQ3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21" s="2" t="e">
        <f ca="1">_xll.BDH($C$203,"DPS_SEQUENTIAL_GROWTH","FQ3 2017","FQ3 2017","Currency=INR","Period=FQ","BEST_FPERIOD_OVERRIDE=FQ","FILING_STATUS=OR","EQY_CONSOLIDATED=Y","Sort=A","Dates=H","DateFormat=P","Fill=—","Direction=H","UseDPDF=Y")</f>
        <v>#NAME?</v>
      </c>
      <c r="BL221" s="2" t="e">
        <f ca="1">_xll.BDH($C$203,"ACCOUNTS_RECEIVABLE_SEQ_GROWTH","FQ3 2017","FQ3 2017","Currency=INR","Period=FQ","BEST_FPERIOD_OVERRIDE=FQ","FILING_STATUS=OR","EQY_CONSOLIDATED=Y","Sort=A","Dates=H","DateFormat=P","Fill=—","Direction=H","UseDPDF=Y")</f>
        <v>#NAME?</v>
      </c>
      <c r="BM221" s="2" t="e">
        <f ca="1">_xll.BDH($C$203,"INVENTORY_SEQUENTIAL_GROWTH","FQ3 2017","FQ3 2017","Currency=INR","Period=FQ","BEST_FPERIOD_OVERRIDE=FQ","FILING_STATUS=OR","EQY_CONSOLIDATED=Y","Sort=A","Dates=H","DateFormat=P","Fill=—","Direction=H","UseDPDF=Y")</f>
        <v>#NAME?</v>
      </c>
      <c r="BN221" s="2" t="e">
        <f ca="1">_xll.BDH($C$203,"FIXED_ASSETS_SEQUENTIAL_GROWTH","FQ3 2017","FQ3 2017","Currency=INR","Period=FQ","BEST_FPERIOD_OVERRIDE=FQ","FILING_STATUS=OR","EQY_CONSOLIDATED=Y","Sort=A","Dates=H","DateFormat=P","Fill=—","Direction=H","UseDPDF=Y")</f>
        <v>#NAME?</v>
      </c>
      <c r="BO221" s="2" t="e">
        <f ca="1">_xll.BDH($C$203,"TOTAL_ASSETS_SEQUENTIAL_GROWTH","FQ3 2017","FQ3 2017","Currency=INR","Period=FQ","BEST_FPERIOD_OVERRIDE=FQ","FILING_STATUS=OR","EQY_CONSOLIDATED=Y","Sort=A","Dates=H","DateFormat=P","Fill=—","Direction=H","UseDPDF=Y")</f>
        <v>#NAME?</v>
      </c>
      <c r="BP221" s="2" t="e">
        <f ca="1">_xll.BDH($C$203,"MODIFIED_WORKING_CPTL_SEQ_GRWTH","FQ3 2017","FQ3 2017","Currency=INR","Period=FQ","BEST_FPERIOD_OVERRIDE=FQ","FILING_STATUS=OR","EQY_CONSOLIDATED=Y","Sort=A","Dates=H","DateFormat=P","Fill=—","Direction=H","UseDPDF=Y")</f>
        <v>#NAME?</v>
      </c>
      <c r="BQ221" s="2" t="e">
        <f ca="1">_xll.BDH($C$203,"WORKING_CAPITAL_SEQ_GROWTH","FQ3 2017","FQ3 2017","Currency=INR","Period=FQ","BEST_FPERIOD_OVERRIDE=FQ","FILING_STATUS=OR","EQY_CONSOLIDATED=Y","Sort=A","Dates=H","DateFormat=P","Fill=—","Direction=H","UseDPDF=Y")</f>
        <v>#NAME?</v>
      </c>
      <c r="BR221" s="2" t="e">
        <f ca="1">_xll.BDH($C$203,"ACCOUNTS_PAYABLE_SEQ_GROWTH","FQ3 2017","FQ3 2017","Currency=INR","Period=FQ","BEST_FPERIOD_OVERRIDE=FQ","FILING_STATUS=OR","EQY_CONSOLIDATED=Y","Sort=A","Dates=H","DateFormat=P","Fill=—","Direction=H","UseDPDF=Y")</f>
        <v>#NAME?</v>
      </c>
      <c r="BS221" s="2" t="e">
        <f ca="1">_xll.BDH($C$203,"ST_DEBT_SEQUENTIAL_GROWTH","FQ3 2017","FQ3 2017","Currency=INR","Period=FQ","BEST_FPERIOD_OVERRIDE=FQ","FILING_STATUS=OR","EQY_CONSOLIDATED=Y","Sort=A","Dates=H","DateFormat=P","Fill=—","Direction=H","UseDPDF=Y")</f>
        <v>#NAME?</v>
      </c>
      <c r="BT221" s="2" t="e">
        <f ca="1">_xll.BDH($C$203,"TOTAL_DEBT_SEQUENTIAL_GROWTH","FQ3 2017","FQ3 2017","Currency=INR","Period=FQ","BEST_FPERIOD_OVERRIDE=FQ","FILING_STATUS=OR","EQY_CONSOLIDATED=Y","Sort=A","Dates=H","DateFormat=P","Fill=—","Direction=H","UseDPDF=Y")</f>
        <v>#NAME?</v>
      </c>
      <c r="BU221" s="2" t="e">
        <f ca="1">_xll.BDH($C$203,"TOTAL_EQUITY_SEQUENTIAL_GROWTH","FQ3 2017","FQ3 2017","Currency=INR","Period=FQ","BEST_FPERIOD_OVERRIDE=FQ","FILING_STATUS=OR","EQY_CONSOLIDATED=Y","Sort=A","Dates=H","DateFormat=P","Fill=—","Direction=H","UseDPDF=Y")</f>
        <v>#NAME?</v>
      </c>
      <c r="BV221" s="2" t="e">
        <f ca="1">_xll.BDH($C$203,"TOTAL_CAPITAL_SEQUENTIAL_GROWTH","FQ3 2017","FQ3 2017","Currency=INR","Period=FQ","BEST_FPERIOD_OVERRIDE=FQ","FILING_STATUS=OR","EQY_CONSOLIDATED=Y","Sort=A","Dates=H","DateFormat=P","Fill=—","Direction=H","UseDPDF=Y")</f>
        <v>#NAME?</v>
      </c>
      <c r="BW221" s="2" t="e">
        <f ca="1">_xll.BDH($C$203,"BPS_SEQUENTIAL_GROWTH","FQ3 2017","FQ3 2017","Currency=INR","Period=FQ","BEST_FPERIOD_OVERRIDE=FQ","FILING_STATUS=OR","EQY_CONSOLIDATED=Y","Sort=A","Dates=H","DateFormat=P","Fill=—","Direction=H","UseDPDF=Y")</f>
        <v>#NAME?</v>
      </c>
      <c r="BX221" s="2" t="e">
        <f ca="1">_xll.BDH($C$203,"CFO_SEQUENTIAL_GROWTH","FQ3 2017","FQ3 2017","Currency=INR","Period=FQ","BEST_FPERIOD_OVERRIDE=FQ","FILING_STATUS=OR","EQY_CONSOLIDATED=Y","Sort=A","Dates=H","DateFormat=P","Fill=—","Direction=H","UseDPDF=Y")</f>
        <v>#NAME?</v>
      </c>
      <c r="BY221" s="3" t="e">
        <f ca="1">_xll.BDH($C$203,"SHORT_AND_LONG_TERM_DEBT","FQ3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21" s="3" t="e">
        <f ca="1">_xll.BDH($C$203,"BS_ST_BORROW","FQ3 2017","FQ3 2017","Currency=INR","Period=FQ","BEST_FPERIOD_OVERRIDE=FQ","FILING_STATUS=OR","EQY_CONSOLIDATED=Y","SCALING_FORMAT=MLN","Sort=A","Dates=H","DateFormat=P","Fill=—","Direction=H","UseDPDF=Y")</f>
        <v>#NAME?</v>
      </c>
      <c r="CA221" s="3" t="e">
        <f ca="1">_xll.BDH($C$203,"BS_LT_BORROW","FQ3 2017","FQ3 2017","Currency=INR","Period=FQ","BEST_FPERIOD_OVERRIDE=FQ","FILING_STATUS=OR","EQY_CONSOLIDATED=Y","SCALING_FORMAT=MLN","Sort=A","Dates=H","DateFormat=P","Fill=—","Direction=H","UseDPDF=Y")</f>
        <v>#NAME?</v>
      </c>
      <c r="CB221" s="2" t="e">
        <f ca="1">_xll.BDH($C$203,"TOT_DEBT_TO_EBITDA","FQ3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21" s="2" t="e">
        <f ca="1">_xll.BDH($C$203,"NET_DEBT_TO_EBITDA","FQ3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21" s="2" t="e">
        <f ca="1">_xll.BDH($C$203,"TOTAL_DEBT_TO_EBIT","FQ3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21" s="2" t="e">
        <f ca="1">_xll.BDH($C$203,"NET_DEBT_TO_EBIT","FQ3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21" s="2" t="e">
        <f ca="1">_xll.BDH($C$203,"EBITDA_TO_INTEREST_EXPN","FQ3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21" s="2" t="e">
        <f ca="1">_xll.BDH($C$203,"COM_EQY_TO_TOT_ASSET","FQ3 2017","FQ3 2017","Currency=INR","Period=FQ","BEST_FPERIOD_OVERRIDE=FQ","FILING_STATUS=OR","EQY_CONSOLIDATED=Y","Sort=A","Dates=H","DateFormat=P","Fill=—","Direction=H","UseDPDF=Y")</f>
        <v>#NAME?</v>
      </c>
      <c r="CH221" s="2" t="e">
        <f ca="1">_xll.BDH($C$203,"LT_DEBT_TO_TOT_EQY","FQ3 2017","FQ3 2017","Currency=INR","Period=FQ","BEST_FPERIOD_OVERRIDE=FQ","FILING_STATUS=OR","EQY_CONSOLIDATED=Y","Sort=A","Dates=H","DateFormat=P","Fill=—","Direction=H","UseDPDF=Y")</f>
        <v>#NAME?</v>
      </c>
      <c r="CI221" s="2" t="e">
        <f ca="1">_xll.BDH($C$203,"LT_DEBT_TO_TOT_CAP","FQ3 2017","FQ3 2017","Currency=INR","Period=FQ","BEST_FPERIOD_OVERRIDE=FQ","FILING_STATUS=OR","EQY_CONSOLIDATED=Y","Sort=A","Dates=H","DateFormat=P","Fill=—","Direction=H","UseDPDF=Y")</f>
        <v>#NAME?</v>
      </c>
      <c r="CJ221" s="2" t="e">
        <f ca="1">_xll.BDH($C$203,"LT_DEBT_TO_TOT_ASSET","FQ3 2017","FQ3 2017","Currency=INR","Period=FQ","BEST_FPERIOD_OVERRIDE=FQ","FILING_STATUS=OR","EQY_CONSOLIDATED=Y","Sort=A","Dates=H","DateFormat=P","Fill=—","Direction=H","UseDPDF=Y")</f>
        <v>#NAME?</v>
      </c>
      <c r="CK221" s="2" t="e">
        <f ca="1">_xll.BDH($C$203,"TOT_DEBT_TO_TOT_EQY","FQ3 2017","FQ3 2017","Currency=INR","Period=FQ","BEST_FPERIOD_OVERRIDE=FQ","FILING_STATUS=OR","EQY_CONSOLIDATED=Y","Sort=A","Dates=H","DateFormat=P","Fill=—","Direction=H","UseDPDF=Y")</f>
        <v>#NAME?</v>
      </c>
      <c r="CL221" s="2" t="e">
        <f ca="1">_xll.BDH($C$203,"TOT_DEBT_TO_TOT_CAP","FQ3 2017","FQ3 2017","Currency=INR","Period=FQ","BEST_FPERIOD_OVERRIDE=FQ","FILING_STATUS=OR","EQY_CONSOLIDATED=Y","Sort=A","Dates=H","DateFormat=P","Fill=—","Direction=H","UseDPDF=Y")</f>
        <v>#NAME?</v>
      </c>
      <c r="CM221" s="2" t="e">
        <f ca="1">_xll.BDH($C$203,"TOT_DEBT_TO_TOT_ASSET","FQ3 2017","FQ3 2017","Currency=INR","Period=FQ","BEST_FPERIOD_OVERRIDE=FQ","FILING_STATUS=OR","EQY_CONSOLIDATED=Y","Sort=A","Dates=H","DateFormat=P","Fill=—","Direction=H","UseDPDF=Y")</f>
        <v>#NAME?</v>
      </c>
      <c r="CN221" s="2" t="e">
        <f ca="1">_xll.BDH($C$203,"NET_DEBT_TO_SHRHLDR_EQTY","FQ3 2017","FQ3 2017","Currency=INR","Period=FQ","BEST_FPERIOD_OVERRIDE=FQ","FILING_STATUS=OR","EQY_CONSOLIDATED=Y","Sort=A","Dates=H","DateFormat=P","Fill=—","Direction=H","UseDPDF=Y")</f>
        <v>#NAME?</v>
      </c>
      <c r="CO221" s="2" t="e">
        <f ca="1">_xll.BDH($C$203,"NET_DEBT_%_CAPITAL","FQ3 2017","FQ3 2017","Currency=INR","Period=FQ","BEST_FPERIOD_OVERRIDE=FQ","FILING_STATUS=OR","EQY_CONSOLIDATED=Y","Sort=A","Dates=H","DateFormat=P","Fill=—","Direction=H","UseDPDF=Y")</f>
        <v>#NAME?</v>
      </c>
      <c r="CP221" s="3" t="e">
        <f ca="1">_xll.BDH($C$203,"EBITDA","FQ3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21" s="3" t="e">
        <f ca="1">_xll.BDH($C$203,"EBITDA_AFTER_CAPEX","FQ3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21" s="3" t="e">
        <f ca="1">_xll.BDH($C$203,"IS_OPER_INC","FQ3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21" s="2" t="e">
        <f ca="1">_xll.BDH($C$203,"CASH_RATIO","FQ3 2017","FQ3 2017","Currency=INR","Period=FQ","BEST_FPERIOD_OVERRIDE=FQ","FILING_STATUS=OR","EQY_CONSOLIDATED=Y","Sort=A","Dates=H","DateFormat=P","Fill=—","Direction=H","UseDPDF=Y")</f>
        <v>#NAME?</v>
      </c>
      <c r="CT221" s="2" t="e">
        <f ca="1">_xll.BDH($C$203,"CUR_RATIO","FQ3 2017","FQ3 2017","Currency=INR","Period=FQ","BEST_FPERIOD_OVERRIDE=FQ","FILING_STATUS=OR","EQY_CONSOLIDATED=Y","Sort=A","Dates=H","DateFormat=P","Fill=—","Direction=H","UseDPDF=Y")</f>
        <v>#NAME?</v>
      </c>
      <c r="CU221" s="2" t="e">
        <f ca="1">_xll.BDH($C$203,"QUICK_RATIO","FQ3 2017","FQ3 2017","Currency=INR","Period=FQ","BEST_FPERIOD_OVERRIDE=FQ","FILING_STATUS=OR","EQY_CONSOLIDATED=Y","Sort=A","Dates=H","DateFormat=P","Fill=—","Direction=H","UseDPDF=Y")</f>
        <v>#NAME?</v>
      </c>
      <c r="CV221" s="2" t="e">
        <f ca="1">_xll.BDH($C$203,"ALTMAN_Z_SCORE","FQ3 2017","FQ3 2017","Currency=INR","Period=FQ","BEST_FPERIOD_OVERRIDE=FQ","FILING_STATUS=OR","EQY_CONSOLIDATED=Y","Sort=A","Dates=H","DateFormat=P","Fill=—","Direction=H","UseDPDF=Y")</f>
        <v>#NAME?</v>
      </c>
      <c r="CW221" s="4" t="e">
        <f ca="1">_xll.BDH($C$203,"ACCT_RCV_TURN","FQ3 2017","FQ3 2017","Currency=INR","Period=FQ","BEST_FPERIOD_OVERRIDE=FQ","FILING_STATUS=OR","EQY_CONSOLIDATED=Y","FA_ADJUSTED=GAAP","Sort=A","Dates=H","DateFormat=P","Fill=—","Direction=H","UseDPDF=Y")</f>
        <v>#NAME?</v>
      </c>
      <c r="CX221" s="2" t="e">
        <f ca="1">_xll.BDH($C$203,"ACCT_RCV_DAYS","FQ3 2017","FQ3 2017","Currency=INR","Period=FQ","BEST_FPERIOD_OVERRIDE=FQ","FILING_STATUS=OR","EQY_CONSOLIDATED=Y","FA_ADJUSTED=GAAP","Sort=A","Dates=H","DateFormat=P","Fill=—","Direction=H","UseDPDF=Y")</f>
        <v>#NAME?</v>
      </c>
      <c r="CY221" s="4" t="e">
        <f ca="1">_xll.BDH($C$203,"INVENT_TURN","FQ3 2017","FQ3 2017","Currency=INR","Period=FQ","BEST_FPERIOD_OVERRIDE=FQ","FILING_STATUS=OR","EQY_CONSOLIDATED=Y","FA_ADJUSTED=GAAP","Sort=A","Dates=H","DateFormat=P","Fill=—","Direction=H","UseDPDF=Y")</f>
        <v>#NAME?</v>
      </c>
      <c r="CZ221" s="2" t="e">
        <f ca="1">_xll.BDH($C$203,"INVENT_DAYS","FQ3 2017","FQ3 2017","Currency=INR","Period=FQ","BEST_FPERIOD_OVERRIDE=FQ","FILING_STATUS=OR","EQY_CONSOLIDATED=Y","FA_ADJUSTED=GAAP","Sort=A","Dates=H","DateFormat=P","Fill=—","Direction=H","UseDPDF=Y")</f>
        <v>#NAME?</v>
      </c>
      <c r="DA221" s="4" t="e">
        <f ca="1">_xll.BDH($C$203,"ACCOUNTS_PAYABLE_TURNOVER","FQ3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21" s="2" t="e">
        <f ca="1">_xll.BDH($C$203,"ACCOUNTS_PAYABLE_TURNOVER_DAYS","FQ3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21" s="4" t="e">
        <f ca="1">_xll.BDH($C$203,"CASH_CONVERSION_CYCLE","FQ3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21" s="4" t="e">
        <f ca="1">_xll.BDH($C$203,"INV_TO_CASH_DAYS","FQ3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21" s="5" t="e">
        <f ca="1">_xll.BDH($C$203,"BS_INVENTORIES","FQ3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21" s="3" t="e">
        <f ca="1">_xll.BDH($C$203,"INVTRY_RAW_MATERIALS","FQ3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21" s="3" t="e">
        <f ca="1">_xll.BDH($C$203,"INVTRY_IN_PROGRESS","FQ3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21" s="3" t="e">
        <f ca="1">_xll.BDH($C$203,"INVTRY_FINISHED_GOODS","FQ3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21" s="3" t="e">
        <f ca="1">_xll.BDH($C$203,"BS_OTHER_INV","FQ3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22" spans="1:113" x14ac:dyDescent="0.3">
      <c r="A222" s="6"/>
      <c r="B222" s="6"/>
      <c r="C222" s="6"/>
      <c r="D222" s="6"/>
      <c r="E222" t="s">
        <v>81</v>
      </c>
      <c r="F222" t="e">
        <f ca="1">_xll.BDH($C$203,"RETURN_COM_EQY","FQ4 2017","FQ4 2017","Currency=INR","Period=FQ","BEST_FPERIOD_OVERRIDE=FQ","FILING_STATUS=OR","EQY_CONSOLIDATED=Y","FA_ADJUSTED=GAAP","Sort=A","Dates=H","DateFormat=P","Fill=—","Direction=H","UseDPDF=Y")</f>
        <v>#NAME?</v>
      </c>
      <c r="G222" t="e">
        <f ca="1">_xll.BDH($C$203,"RETURN_ON_ASSET","FQ4 2017","FQ4 2017","Currency=INR","Period=FQ","BEST_FPERIOD_OVERRIDE=FQ","FILING_STATUS=OR","EQY_CONSOLIDATED=Y","FA_ADJUSTED=GAAP","Sort=A","Dates=H","DateFormat=P","Fill=—","Direction=H","UseDPDF=Y")</f>
        <v>#NAME?</v>
      </c>
      <c r="H222" t="e">
        <f ca="1">_xll.BDH($C$203,"RETURN_ON_CAP","FQ4 2017","FQ4 2017","Currency=INR","Period=FQ","BEST_FPERIOD_OVERRIDE=FQ","FILING_STATUS=OR","EQY_CONSOLIDATED=Y","FA_ADJUSTED=GAAP","Sort=A","Dates=H","DateFormat=P","Fill=—","Direction=H","UseDPDF=Y")</f>
        <v>#NAME?</v>
      </c>
      <c r="I222" t="e">
        <f ca="1">_xll.BDH($C$203,"RETURN_ON_INV_CAPITAL","FQ4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22" t="e">
        <f ca="1">_xll.BDH($C$203,"EBITDA_TO_REVENUE","FQ4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22" t="e">
        <f ca="1">_xll.BDH($C$203,"OPER_MARGIN","FQ4 2017","FQ4 2017","Currency=INR","Period=FQ","BEST_FPERIOD_OVERRIDE=FQ","FILING_STATUS=OR","EQY_CONSOLIDATED=Y","FA_ADJUSTED=GAAP","Sort=A","Dates=H","DateFormat=P","Fill=—","Direction=H","UseDPDF=Y")</f>
        <v>#NAME?</v>
      </c>
      <c r="L222" t="e">
        <f ca="1">_xll.BDH($C$203,"INCREMENTAL_OPERATING_MARGIN","FQ4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22" t="e">
        <f ca="1">_xll.BDH($C$203,"PRETAX_INC_TO_NET_SALES","FQ4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22" t="e">
        <f ca="1">_xll.BDH($C$203,"INC_BEF_XO_ITEMS_TO_NET_SALES","FQ4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22" t="e">
        <f ca="1">_xll.BDH($C$203,"PROF_MARGIN","FQ4 2017","FQ4 2017","Currency=INR","Period=FQ","BEST_FPERIOD_OVERRIDE=FQ","FILING_STATUS=OR","EQY_CONSOLIDATED=Y","FA_ADJUSTED=GAAP","Sort=A","Dates=H","DateFormat=P","Fill=—","Direction=H","UseDPDF=Y")</f>
        <v>#NAME?</v>
      </c>
      <c r="P222" t="e">
        <f ca="1">_xll.BDH($C$203,"NET_INCOME_TO_COMMON_MARGIN","FQ4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22" t="e">
        <f ca="1">_xll.BDH($C$203,"EFF_TAX_RATE","FQ4 2017","FQ4 2017","Currency=INR","Period=FQ","BEST_FPERIOD_OVERRIDE=FQ","FILING_STATUS=OR","EQY_CONSOLIDATED=Y","FA_ADJUSTED=GAAP","Sort=A","Dates=H","DateFormat=P","Fill=—","Direction=H","UseDPDF=Y")</f>
        <v>#NAME?</v>
      </c>
      <c r="R222" t="e">
        <f ca="1">_xll.BDH($C$203,"DVD_PAYOUT_RATIO","FQ4 2017","FQ4 2017","Currency=INR","Period=FQ","BEST_FPERIOD_OVERRIDE=FQ","FILING_STATUS=OR","EQY_CONSOLIDATED=Y","FA_ADJUSTED=GAAP","Sort=A","Dates=H","DateFormat=P","Fill=—","Direction=H","UseDPDF=Y")</f>
        <v>#NAME?</v>
      </c>
      <c r="S222" t="e">
        <f ca="1">_xll.BDH($C$203,"SUSTAIN_GROWTH_RT","FQ4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22" s="2" t="e">
        <f ca="1">_xll.BDH($C$203,"SALES_GROWTH","FQ4 2017","FQ4 2017","Currency=INR","Period=FQ","BEST_FPERIOD_OVERRIDE=FQ","FILING_STATUS=OR","EQY_CONSOLIDATED=Y","FA_ADJUSTED=GAAP","Sort=A","Dates=H","DateFormat=P","Fill=—","Direction=H","UseDPDF=Y")</f>
        <v>#NAME?</v>
      </c>
      <c r="U222" s="2" t="e">
        <f ca="1">_xll.BDH($C$203,"EBITDA_GROWTH","FQ4 2017","FQ4 2017","Currency=INR","Period=FQ","BEST_FPERIOD_OVERRIDE=FQ","FILING_STATUS=OR","EQY_CONSOLIDATED=Y","FA_ADJUSTED=GAAP","Sort=A","Dates=H","DateFormat=P","Fill=—","Direction=H","UseDPDF=Y")</f>
        <v>#NAME?</v>
      </c>
      <c r="V222" s="2" t="e">
        <f ca="1">_xll.BDH($C$203,"OPER_INC_GROWTH","FQ4 2017","FQ4 2017","Currency=INR","Period=FQ","BEST_FPERIOD_OVERRIDE=FQ","FILING_STATUS=OR","EQY_CONSOLIDATED=Y","FA_ADJUSTED=GAAP","Sort=A","Dates=H","DateFormat=P","Fill=—","Direction=H","UseDPDF=Y")</f>
        <v>#NAME?</v>
      </c>
      <c r="W222" s="2" t="e">
        <f ca="1">_xll.BDH($C$203,"EARN_FOR_COM_GROWTH","FQ4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22" s="2" t="e">
        <f ca="1">_xll.BDH($C$203,"DILUTED_EPS_AFT_XO_ITEMS_GROWTH","FQ4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22" s="2" t="e">
        <f ca="1">_xll.BDH($C$203,"DIVIDEND_PER_SHARE_1_YEAR_GROWTH","FQ4 2017","FQ4 2017","Currency=INR","Period=FQ","BEST_FPERIOD_OVERRIDE=FQ","FILING_STATUS=OR","EQY_CONSOLIDATED=Y","Sort=A","Dates=H","DateFormat=P","Fill=—","Direction=H","UseDPDF=Y")</f>
        <v>#NAME?</v>
      </c>
      <c r="Z222" s="2" t="e">
        <f ca="1">_xll.BDH($C$203,"ACCOUNTS_RECEIVABLE_GROWTH","FQ4 2017","FQ4 2017","Currency=INR","Period=FQ","BEST_FPERIOD_OVERRIDE=FQ","FILING_STATUS=OR","EQY_CONSOLIDATED=Y","Sort=A","Dates=H","DateFormat=P","Fill=—","Direction=H","UseDPDF=Y")</f>
        <v>#NAME?</v>
      </c>
      <c r="AA222" s="2" t="e">
        <f ca="1">_xll.BDH($C$203,"INVENTORY_GROWTH","FQ4 2017","FQ4 2017","Currency=INR","Period=FQ","BEST_FPERIOD_OVERRIDE=FQ","FILING_STATUS=OR","EQY_CONSOLIDATED=Y","Sort=A","Dates=H","DateFormat=P","Fill=—","Direction=H","UseDPDF=Y")</f>
        <v>#NAME?</v>
      </c>
      <c r="AB222" s="2" t="e">
        <f ca="1">_xll.BDH($C$203,"NET_FIXED_ASSETS_1_YEAR_GROWTH","FQ4 2017","FQ4 2017","Currency=INR","Period=FQ","BEST_FPERIOD_OVERRIDE=FQ","FILING_STATUS=OR","EQY_CONSOLIDATED=Y","Sort=A","Dates=H","DateFormat=P","Fill=—","Direction=H","UseDPDF=Y")</f>
        <v>#NAME?</v>
      </c>
      <c r="AC222" s="2" t="e">
        <f ca="1">_xll.BDH($C$203,"ASSET_GROWTH","FQ4 2017","FQ4 2017","Currency=INR","Period=FQ","BEST_FPERIOD_OVERRIDE=FQ","FILING_STATUS=OR","EQY_CONSOLIDATED=Y","Sort=A","Dates=H","DateFormat=P","Fill=—","Direction=H","UseDPDF=Y")</f>
        <v>#NAME?</v>
      </c>
      <c r="AD222" s="2" t="e">
        <f ca="1">_xll.BDH($C$203,"MODIFIED_WORK_CAP_GROWTH","FQ4 2017","FQ4 2017","Currency=INR","Period=FQ","BEST_FPERIOD_OVERRIDE=FQ","FILING_STATUS=OR","EQY_CONSOLIDATED=Y","Sort=A","Dates=H","DateFormat=P","Fill=—","Direction=H","UseDPDF=Y")</f>
        <v>#NAME?</v>
      </c>
      <c r="AE222" s="2" t="e">
        <f ca="1">_xll.BDH($C$203,"WORK_CAP_GROWTH","FQ4 2017","FQ4 2017","Currency=INR","Period=FQ","BEST_FPERIOD_OVERRIDE=FQ","FILING_STATUS=OR","EQY_CONSOLIDATED=Y","Sort=A","Dates=H","DateFormat=P","Fill=—","Direction=H","UseDPDF=Y")</f>
        <v>#NAME?</v>
      </c>
      <c r="AF222" s="2" t="e">
        <f ca="1">_xll.BDH($C$203,"ACCOUNTS_PAYABLE_GROWTH_1YR","FQ4 2017","FQ4 2017","Currency=INR","Period=FQ","BEST_FPERIOD_OVERRIDE=FQ","FILING_STATUS=OR","EQY_CONSOLIDATED=Y","Sort=A","Dates=H","DateFormat=P","Fill=—","Direction=H","UseDPDF=Y")</f>
        <v>#NAME?</v>
      </c>
      <c r="AG222" s="2" t="e">
        <f ca="1">_xll.BDH($C$203,"SHORT_TERM_DEBT_1_YEAR_GROWTH","FQ4 2017","FQ4 2017","Currency=INR","Period=FQ","BEST_FPERIOD_OVERRIDE=FQ","FILING_STATUS=OR","EQY_CONSOLIDATED=Y","Sort=A","Dates=H","DateFormat=P","Fill=—","Direction=H","UseDPDF=Y")</f>
        <v>#NAME?</v>
      </c>
      <c r="AH222" s="2" t="e">
        <f ca="1">_xll.BDH($C$203,"TOTAL_DEBT_1_YEAR_GROWTH","FQ4 2017","FQ4 2017","Currency=INR","Period=FQ","BEST_FPERIOD_OVERRIDE=FQ","FILING_STATUS=OR","EQY_CONSOLIDATED=Y","Sort=A","Dates=H","DateFormat=P","Fill=—","Direction=H","UseDPDF=Y")</f>
        <v>#NAME?</v>
      </c>
      <c r="AI222" s="2" t="e">
        <f ca="1">_xll.BDH($C$203,"TOTAL_EQUITY_1_YEAR_GROWTH","FQ4 2017","FQ4 2017","Currency=INR","Period=FQ","BEST_FPERIOD_OVERRIDE=FQ","FILING_STATUS=OR","EQY_CONSOLIDATED=Y","Sort=A","Dates=H","DateFormat=P","Fill=—","Direction=H","UseDPDF=Y")</f>
        <v>#NAME?</v>
      </c>
      <c r="AJ222" s="2" t="e">
        <f ca="1">_xll.BDH($C$203,"GROWTH_IN_CAP","FQ4 2017","FQ4 2017","Currency=INR","Period=FQ","BEST_FPERIOD_OVERRIDE=FQ","FILING_STATUS=OR","EQY_CONSOLIDATED=Y","Sort=A","Dates=H","DateFormat=P","Fill=—","Direction=H","UseDPDF=Y")</f>
        <v>#NAME?</v>
      </c>
      <c r="AK222" s="2" t="e">
        <f ca="1">_xll.BDH($C$203,"BVPS_GROWTH","FQ4 2017","FQ4 2017","Currency=INR","Period=FQ","BEST_FPERIOD_OVERRIDE=FQ","FILING_STATUS=OR","EQY_CONSOLIDATED=Y","Sort=A","Dates=H","DateFormat=P","Fill=—","Direction=H","UseDPDF=Y")</f>
        <v>#NAME?</v>
      </c>
      <c r="AL222" s="2" t="e">
        <f ca="1">_xll.BDH($C$203,"CASH_FLOW_GROWTH","FQ4 2017","FQ4 2017","Currency=INR","Period=FQ","BEST_FPERIOD_OVERRIDE=FQ","FILING_STATUS=OR","EQY_CONSOLIDATED=Y","Sort=A","Dates=H","DateFormat=P","Fill=—","Direction=H","UseDPDF=Y")</f>
        <v>#NAME?</v>
      </c>
      <c r="AM222" s="2" t="e">
        <f ca="1">_xll.BDH($C$203,"GEO_GROW_NET_SALES","FQ4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22" s="2" t="e">
        <f ca="1">_xll.BDH($C$203,"GEO_GROW_EBITDA","FQ4 2017","FQ4 2017","Currency=INR","Period=FQ","BEST_FPERIOD_OVERRIDE=FQ","FILING_STATUS=OR","EQY_CONSOLIDATED=Y","FA_ADJUSTED=GAAP","Sort=A","Dates=H","DateFormat=P","Fill=—","Direction=H","UseDPDF=Y")</f>
        <v>#NAME?</v>
      </c>
      <c r="AO222" s="2" t="e">
        <f ca="1">_xll.BDH($C$203,"GEO_GROW_OPER_INC","FQ4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22" s="2" t="e">
        <f ca="1">_xll.BDH($C$203,"NET_INCOME_TO_COMMON_5_YR_GROWTH","FQ4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22" s="2" t="e">
        <f ca="1">_xll.BDH($C$203,"5Y_GEO_GROWTH_DILUTED_EPS","FQ4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22" s="2" t="e">
        <f ca="1">_xll.BDH($C$203,"GEO_GROW_DVD_PER_SH","FQ4 2017","FQ4 2017","Currency=INR","Period=FQ","BEST_FPERIOD_OVERRIDE=FQ","FILING_STATUS=OR","EQY_CONSOLIDATED=Y","Sort=A","Dates=H","DateFormat=P","Fill=—","Direction=H","UseDPDF=Y")</f>
        <v>#NAME?</v>
      </c>
      <c r="AS222" s="2" t="e">
        <f ca="1">_xll.BDH($C$203,"ACCOUNTS_RECEIVABLE_5_YR_GROWTH","FQ4 2017","FQ4 2017","Currency=INR","Period=FQ","BEST_FPERIOD_OVERRIDE=FQ","FILING_STATUS=OR","EQY_CONSOLIDATED=Y","Sort=A","Dates=H","DateFormat=P","Fill=—","Direction=H","UseDPDF=Y")</f>
        <v>#NAME?</v>
      </c>
      <c r="AT222" s="2" t="e">
        <f ca="1">_xll.BDH($C$203,"INVENTORY_5_YEAR_GROWTH","FQ4 2017","FQ4 2017","Currency=INR","Period=FQ","BEST_FPERIOD_OVERRIDE=FQ","FILING_STATUS=OR","EQY_CONSOLIDATED=Y","Sort=A","Dates=H","DateFormat=P","Fill=—","Direction=H","UseDPDF=Y")</f>
        <v>#NAME?</v>
      </c>
      <c r="AU222" s="2" t="e">
        <f ca="1">_xll.BDH($C$203,"NET_FIXED_ASSETS_5_YEAR_GROWTH","FQ4 2017","FQ4 2017","Currency=INR","Period=FQ","BEST_FPERIOD_OVERRIDE=FQ","FILING_STATUS=OR","EQY_CONSOLIDATED=Y","Sort=A","Dates=H","DateFormat=P","Fill=—","Direction=H","UseDPDF=Y")</f>
        <v>#NAME?</v>
      </c>
      <c r="AV222" s="2" t="e">
        <f ca="1">_xll.BDH($C$203,"GEO_GROW_TOT_ASSET","FQ4 2017","FQ4 2017","Currency=INR","Period=FQ","BEST_FPERIOD_OVERRIDE=FQ","FILING_STATUS=OR","EQY_CONSOLIDATED=Y","Sort=A","Dates=H","DateFormat=P","Fill=—","Direction=H","UseDPDF=Y")</f>
        <v>#NAME?</v>
      </c>
      <c r="AW222" s="2" t="e">
        <f ca="1">_xll.BDH($C$203,"MODIFIED_WORKING_CPTL_5YR_GRWTH","FQ4 2017","FQ4 2017","Currency=INR","Period=FQ","BEST_FPERIOD_OVERRIDE=FQ","FILING_STATUS=OR","EQY_CONSOLIDATED=Y","Sort=A","Dates=H","DateFormat=P","Fill=—","Direction=H","UseDPDF=Y")</f>
        <v>#NAME?</v>
      </c>
      <c r="AX222" s="2" t="e">
        <f ca="1">_xll.BDH($C$203,"WORKING_CAPITAL_5_YEAR_GROWTH","FQ4 2017","FQ4 2017","Currency=INR","Period=FQ","BEST_FPERIOD_OVERRIDE=FQ","FILING_STATUS=OR","EQY_CONSOLIDATED=Y","Sort=A","Dates=H","DateFormat=P","Fill=—","Direction=H","UseDPDF=Y")</f>
        <v>#NAME?</v>
      </c>
      <c r="AY222" s="2" t="e">
        <f ca="1">_xll.BDH($C$203,"ACCOUNTS_PAYABLE_5_YEAR_GROWTH","FQ4 2017","FQ4 2017","Currency=INR","Period=FQ","BEST_FPERIOD_OVERRIDE=FQ","FILING_STATUS=OR","EQY_CONSOLIDATED=Y","Sort=A","Dates=H","DateFormat=P","Fill=—","Direction=H","UseDPDF=Y")</f>
        <v>#NAME?</v>
      </c>
      <c r="AZ222" s="2" t="e">
        <f ca="1">_xll.BDH($C$203,"SHORT_TERM_DEBT_5_YEAR_GROWTH","FQ4 2017","FQ4 2017","Currency=INR","Period=FQ","BEST_FPERIOD_OVERRIDE=FQ","FILING_STATUS=OR","EQY_CONSOLIDATED=Y","Sort=A","Dates=H","DateFormat=P","Fill=—","Direction=H","UseDPDF=Y")</f>
        <v>#NAME?</v>
      </c>
      <c r="BA222" s="2" t="e">
        <f ca="1">_xll.BDH($C$203,"TOTAL_DEBT_5_YEAR_GROWTH","FQ4 2017","FQ4 2017","Currency=INR","Period=FQ","BEST_FPERIOD_OVERRIDE=FQ","FILING_STATUS=OR","EQY_CONSOLIDATED=Y","Sort=A","Dates=H","DateFormat=P","Fill=—","Direction=H","UseDPDF=Y")</f>
        <v>#NAME?</v>
      </c>
      <c r="BB222" s="2" t="e">
        <f ca="1">_xll.BDH($C$203,"GEO_GROW_TOT_SHRHLDR_EQY","FQ4 2017","FQ4 2017","Currency=INR","Period=FQ","BEST_FPERIOD_OVERRIDE=FQ","FILING_STATUS=OR","EQY_CONSOLIDATED=Y","Sort=A","Dates=H","DateFormat=P","Fill=—","Direction=H","UseDPDF=Y")</f>
        <v>#NAME?</v>
      </c>
      <c r="BC222" s="2" t="e">
        <f ca="1">_xll.BDH($C$203,"TOTAL_CAPITAL_5_YEAR_GROWTH","FQ4 2017","FQ4 2017","Currency=INR","Period=FQ","BEST_FPERIOD_OVERRIDE=FQ","FILING_STATUS=OR","EQY_CONSOLIDATED=Y","Sort=A","Dates=H","DateFormat=P","Fill=—","Direction=H","UseDPDF=Y")</f>
        <v>#NAME?</v>
      </c>
      <c r="BD222" s="2" t="e">
        <f ca="1">_xll.BDH($C$203,"GEO_GROW_BOOK_VAL","FQ4 2017","FQ4 2017","Currency=INR","Period=FQ","BEST_FPERIOD_OVERRIDE=FQ","FILING_STATUS=OR","EQY_CONSOLIDATED=Y","Sort=A","Dates=H","DateFormat=P","Fill=—","Direction=H","UseDPDF=Y")</f>
        <v>#NAME?</v>
      </c>
      <c r="BE222" s="2" t="e">
        <f ca="1">_xll.BDH($C$203,"GEO_GROW_CASH_OPER_ACT","FQ4 2017","FQ4 2017","Currency=INR","Period=FQ","BEST_FPERIOD_OVERRIDE=FQ","FILING_STATUS=OR","EQY_CONSOLIDATED=Y","Sort=A","Dates=H","DateFormat=P","Fill=—","Direction=H","UseDPDF=Y")</f>
        <v>#NAME?</v>
      </c>
      <c r="BF222" s="2" t="e">
        <f ca="1">_xll.BDH($C$203,"REVENUE_SEQUENTIAL_GROWTH","FQ4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22" s="2" t="e">
        <f ca="1">_xll.BDH($C$203,"EBITDA_SEQUENTIAL_GROWTH","FQ4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22" s="2" t="e">
        <f ca="1">_xll.BDH($C$203,"OPERATING_INCOME_SEQ_GROWTH","FQ4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22" s="2" t="e">
        <f ca="1">_xll.BDH($C$203,"NET_INCOME_TO_COMMON_SEQ_GROWTH","FQ4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22" s="2" t="e">
        <f ca="1">_xll.BDH($C$203,"EPS_DILUTED_SEQUENTIAL_GROWTH","FQ4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22" s="2" t="e">
        <f ca="1">_xll.BDH($C$203,"DPS_SEQUENTIAL_GROWTH","FQ4 2017","FQ4 2017","Currency=INR","Period=FQ","BEST_FPERIOD_OVERRIDE=FQ","FILING_STATUS=OR","EQY_CONSOLIDATED=Y","Sort=A","Dates=H","DateFormat=P","Fill=—","Direction=H","UseDPDF=Y")</f>
        <v>#NAME?</v>
      </c>
      <c r="BL222" s="2" t="e">
        <f ca="1">_xll.BDH($C$203,"ACCOUNTS_RECEIVABLE_SEQ_GROWTH","FQ4 2017","FQ4 2017","Currency=INR","Period=FQ","BEST_FPERIOD_OVERRIDE=FQ","FILING_STATUS=OR","EQY_CONSOLIDATED=Y","Sort=A","Dates=H","DateFormat=P","Fill=—","Direction=H","UseDPDF=Y")</f>
        <v>#NAME?</v>
      </c>
      <c r="BM222" s="2" t="e">
        <f ca="1">_xll.BDH($C$203,"INVENTORY_SEQUENTIAL_GROWTH","FQ4 2017","FQ4 2017","Currency=INR","Period=FQ","BEST_FPERIOD_OVERRIDE=FQ","FILING_STATUS=OR","EQY_CONSOLIDATED=Y","Sort=A","Dates=H","DateFormat=P","Fill=—","Direction=H","UseDPDF=Y")</f>
        <v>#NAME?</v>
      </c>
      <c r="BN222" s="2" t="e">
        <f ca="1">_xll.BDH($C$203,"FIXED_ASSETS_SEQUENTIAL_GROWTH","FQ4 2017","FQ4 2017","Currency=INR","Period=FQ","BEST_FPERIOD_OVERRIDE=FQ","FILING_STATUS=OR","EQY_CONSOLIDATED=Y","Sort=A","Dates=H","DateFormat=P","Fill=—","Direction=H","UseDPDF=Y")</f>
        <v>#NAME?</v>
      </c>
      <c r="BO222" s="2" t="e">
        <f ca="1">_xll.BDH($C$203,"TOTAL_ASSETS_SEQUENTIAL_GROWTH","FQ4 2017","FQ4 2017","Currency=INR","Period=FQ","BEST_FPERIOD_OVERRIDE=FQ","FILING_STATUS=OR","EQY_CONSOLIDATED=Y","Sort=A","Dates=H","DateFormat=P","Fill=—","Direction=H","UseDPDF=Y")</f>
        <v>#NAME?</v>
      </c>
      <c r="BP222" s="2" t="e">
        <f ca="1">_xll.BDH($C$203,"MODIFIED_WORKING_CPTL_SEQ_GRWTH","FQ4 2017","FQ4 2017","Currency=INR","Period=FQ","BEST_FPERIOD_OVERRIDE=FQ","FILING_STATUS=OR","EQY_CONSOLIDATED=Y","Sort=A","Dates=H","DateFormat=P","Fill=—","Direction=H","UseDPDF=Y")</f>
        <v>#NAME?</v>
      </c>
      <c r="BQ222" s="2" t="e">
        <f ca="1">_xll.BDH($C$203,"WORKING_CAPITAL_SEQ_GROWTH","FQ4 2017","FQ4 2017","Currency=INR","Period=FQ","BEST_FPERIOD_OVERRIDE=FQ","FILING_STATUS=OR","EQY_CONSOLIDATED=Y","Sort=A","Dates=H","DateFormat=P","Fill=—","Direction=H","UseDPDF=Y")</f>
        <v>#NAME?</v>
      </c>
      <c r="BR222" s="2" t="e">
        <f ca="1">_xll.BDH($C$203,"ACCOUNTS_PAYABLE_SEQ_GROWTH","FQ4 2017","FQ4 2017","Currency=INR","Period=FQ","BEST_FPERIOD_OVERRIDE=FQ","FILING_STATUS=OR","EQY_CONSOLIDATED=Y","Sort=A","Dates=H","DateFormat=P","Fill=—","Direction=H","UseDPDF=Y")</f>
        <v>#NAME?</v>
      </c>
      <c r="BS222" s="2" t="e">
        <f ca="1">_xll.BDH($C$203,"ST_DEBT_SEQUENTIAL_GROWTH","FQ4 2017","FQ4 2017","Currency=INR","Period=FQ","BEST_FPERIOD_OVERRIDE=FQ","FILING_STATUS=OR","EQY_CONSOLIDATED=Y","Sort=A","Dates=H","DateFormat=P","Fill=—","Direction=H","UseDPDF=Y")</f>
        <v>#NAME?</v>
      </c>
      <c r="BT222" s="2" t="e">
        <f ca="1">_xll.BDH($C$203,"TOTAL_DEBT_SEQUENTIAL_GROWTH","FQ4 2017","FQ4 2017","Currency=INR","Period=FQ","BEST_FPERIOD_OVERRIDE=FQ","FILING_STATUS=OR","EQY_CONSOLIDATED=Y","Sort=A","Dates=H","DateFormat=P","Fill=—","Direction=H","UseDPDF=Y")</f>
        <v>#NAME?</v>
      </c>
      <c r="BU222" s="2" t="e">
        <f ca="1">_xll.BDH($C$203,"TOTAL_EQUITY_SEQUENTIAL_GROWTH","FQ4 2017","FQ4 2017","Currency=INR","Period=FQ","BEST_FPERIOD_OVERRIDE=FQ","FILING_STATUS=OR","EQY_CONSOLIDATED=Y","Sort=A","Dates=H","DateFormat=P","Fill=—","Direction=H","UseDPDF=Y")</f>
        <v>#NAME?</v>
      </c>
      <c r="BV222" s="2" t="e">
        <f ca="1">_xll.BDH($C$203,"TOTAL_CAPITAL_SEQUENTIAL_GROWTH","FQ4 2017","FQ4 2017","Currency=INR","Period=FQ","BEST_FPERIOD_OVERRIDE=FQ","FILING_STATUS=OR","EQY_CONSOLIDATED=Y","Sort=A","Dates=H","DateFormat=P","Fill=—","Direction=H","UseDPDF=Y")</f>
        <v>#NAME?</v>
      </c>
      <c r="BW222" s="2" t="e">
        <f ca="1">_xll.BDH($C$203,"BPS_SEQUENTIAL_GROWTH","FQ4 2017","FQ4 2017","Currency=INR","Period=FQ","BEST_FPERIOD_OVERRIDE=FQ","FILING_STATUS=OR","EQY_CONSOLIDATED=Y","Sort=A","Dates=H","DateFormat=P","Fill=—","Direction=H","UseDPDF=Y")</f>
        <v>#NAME?</v>
      </c>
      <c r="BX222" s="2" t="e">
        <f ca="1">_xll.BDH($C$203,"CFO_SEQUENTIAL_GROWTH","FQ4 2017","FQ4 2017","Currency=INR","Period=FQ","BEST_FPERIOD_OVERRIDE=FQ","FILING_STATUS=OR","EQY_CONSOLIDATED=Y","Sort=A","Dates=H","DateFormat=P","Fill=—","Direction=H","UseDPDF=Y")</f>
        <v>#NAME?</v>
      </c>
      <c r="BY222" s="3" t="e">
        <f ca="1">_xll.BDH($C$203,"SHORT_AND_LONG_TERM_DEBT","FQ4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22" s="3" t="e">
        <f ca="1">_xll.BDH($C$203,"BS_ST_BORROW","FQ4 2017","FQ4 2017","Currency=INR","Period=FQ","BEST_FPERIOD_OVERRIDE=FQ","FILING_STATUS=OR","EQY_CONSOLIDATED=Y","SCALING_FORMAT=MLN","Sort=A","Dates=H","DateFormat=P","Fill=—","Direction=H","UseDPDF=Y")</f>
        <v>#NAME?</v>
      </c>
      <c r="CA222" s="3" t="e">
        <f ca="1">_xll.BDH($C$203,"BS_LT_BORROW","FQ4 2017","FQ4 2017","Currency=INR","Period=FQ","BEST_FPERIOD_OVERRIDE=FQ","FILING_STATUS=OR","EQY_CONSOLIDATED=Y","SCALING_FORMAT=MLN","Sort=A","Dates=H","DateFormat=P","Fill=—","Direction=H","UseDPDF=Y")</f>
        <v>#NAME?</v>
      </c>
      <c r="CB222" s="2" t="e">
        <f ca="1">_xll.BDH($C$203,"TOT_DEBT_TO_EBITDA","FQ4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22" s="2" t="e">
        <f ca="1">_xll.BDH($C$203,"NET_DEBT_TO_EBITDA","FQ4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22" s="2" t="e">
        <f ca="1">_xll.BDH($C$203,"TOTAL_DEBT_TO_EBIT","FQ4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22" s="2" t="e">
        <f ca="1">_xll.BDH($C$203,"NET_DEBT_TO_EBIT","FQ4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22" s="2" t="e">
        <f ca="1">_xll.BDH($C$203,"EBITDA_TO_INTEREST_EXPN","FQ4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22" s="2" t="e">
        <f ca="1">_xll.BDH($C$203,"COM_EQY_TO_TOT_ASSET","FQ4 2017","FQ4 2017","Currency=INR","Period=FQ","BEST_FPERIOD_OVERRIDE=FQ","FILING_STATUS=OR","EQY_CONSOLIDATED=Y","Sort=A","Dates=H","DateFormat=P","Fill=—","Direction=H","UseDPDF=Y")</f>
        <v>#NAME?</v>
      </c>
      <c r="CH222" s="2" t="e">
        <f ca="1">_xll.BDH($C$203,"LT_DEBT_TO_TOT_EQY","FQ4 2017","FQ4 2017","Currency=INR","Period=FQ","BEST_FPERIOD_OVERRIDE=FQ","FILING_STATUS=OR","EQY_CONSOLIDATED=Y","Sort=A","Dates=H","DateFormat=P","Fill=—","Direction=H","UseDPDF=Y")</f>
        <v>#NAME?</v>
      </c>
      <c r="CI222" s="2" t="e">
        <f ca="1">_xll.BDH($C$203,"LT_DEBT_TO_TOT_CAP","FQ4 2017","FQ4 2017","Currency=INR","Period=FQ","BEST_FPERIOD_OVERRIDE=FQ","FILING_STATUS=OR","EQY_CONSOLIDATED=Y","Sort=A","Dates=H","DateFormat=P","Fill=—","Direction=H","UseDPDF=Y")</f>
        <v>#NAME?</v>
      </c>
      <c r="CJ222" s="2" t="e">
        <f ca="1">_xll.BDH($C$203,"LT_DEBT_TO_TOT_ASSET","FQ4 2017","FQ4 2017","Currency=INR","Period=FQ","BEST_FPERIOD_OVERRIDE=FQ","FILING_STATUS=OR","EQY_CONSOLIDATED=Y","Sort=A","Dates=H","DateFormat=P","Fill=—","Direction=H","UseDPDF=Y")</f>
        <v>#NAME?</v>
      </c>
      <c r="CK222" s="2" t="e">
        <f ca="1">_xll.BDH($C$203,"TOT_DEBT_TO_TOT_EQY","FQ4 2017","FQ4 2017","Currency=INR","Period=FQ","BEST_FPERIOD_OVERRIDE=FQ","FILING_STATUS=OR","EQY_CONSOLIDATED=Y","Sort=A","Dates=H","DateFormat=P","Fill=—","Direction=H","UseDPDF=Y")</f>
        <v>#NAME?</v>
      </c>
      <c r="CL222" s="2" t="e">
        <f ca="1">_xll.BDH($C$203,"TOT_DEBT_TO_TOT_CAP","FQ4 2017","FQ4 2017","Currency=INR","Period=FQ","BEST_FPERIOD_OVERRIDE=FQ","FILING_STATUS=OR","EQY_CONSOLIDATED=Y","Sort=A","Dates=H","DateFormat=P","Fill=—","Direction=H","UseDPDF=Y")</f>
        <v>#NAME?</v>
      </c>
      <c r="CM222" s="2" t="e">
        <f ca="1">_xll.BDH($C$203,"TOT_DEBT_TO_TOT_ASSET","FQ4 2017","FQ4 2017","Currency=INR","Period=FQ","BEST_FPERIOD_OVERRIDE=FQ","FILING_STATUS=OR","EQY_CONSOLIDATED=Y","Sort=A","Dates=H","DateFormat=P","Fill=—","Direction=H","UseDPDF=Y")</f>
        <v>#NAME?</v>
      </c>
      <c r="CN222" s="2" t="e">
        <f ca="1">_xll.BDH($C$203,"NET_DEBT_TO_SHRHLDR_EQTY","FQ4 2017","FQ4 2017","Currency=INR","Period=FQ","BEST_FPERIOD_OVERRIDE=FQ","FILING_STATUS=OR","EQY_CONSOLIDATED=Y","Sort=A","Dates=H","DateFormat=P","Fill=—","Direction=H","UseDPDF=Y")</f>
        <v>#NAME?</v>
      </c>
      <c r="CO222" s="2" t="e">
        <f ca="1">_xll.BDH($C$203,"NET_DEBT_%_CAPITAL","FQ4 2017","FQ4 2017","Currency=INR","Period=FQ","BEST_FPERIOD_OVERRIDE=FQ","FILING_STATUS=OR","EQY_CONSOLIDATED=Y","Sort=A","Dates=H","DateFormat=P","Fill=—","Direction=H","UseDPDF=Y")</f>
        <v>#NAME?</v>
      </c>
      <c r="CP222" s="3" t="e">
        <f ca="1">_xll.BDH($C$203,"EBITDA","FQ4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22" s="3" t="e">
        <f ca="1">_xll.BDH($C$203,"EBITDA_AFTER_CAPEX","FQ4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22" s="3" t="e">
        <f ca="1">_xll.BDH($C$203,"IS_OPER_INC","FQ4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22" s="2" t="e">
        <f ca="1">_xll.BDH($C$203,"CASH_RATIO","FQ4 2017","FQ4 2017","Currency=INR","Period=FQ","BEST_FPERIOD_OVERRIDE=FQ","FILING_STATUS=OR","EQY_CONSOLIDATED=Y","Sort=A","Dates=H","DateFormat=P","Fill=—","Direction=H","UseDPDF=Y")</f>
        <v>#NAME?</v>
      </c>
      <c r="CT222" s="2" t="e">
        <f ca="1">_xll.BDH($C$203,"CUR_RATIO","FQ4 2017","FQ4 2017","Currency=INR","Period=FQ","BEST_FPERIOD_OVERRIDE=FQ","FILING_STATUS=OR","EQY_CONSOLIDATED=Y","Sort=A","Dates=H","DateFormat=P","Fill=—","Direction=H","UseDPDF=Y")</f>
        <v>#NAME?</v>
      </c>
      <c r="CU222" s="2" t="e">
        <f ca="1">_xll.BDH($C$203,"QUICK_RATIO","FQ4 2017","FQ4 2017","Currency=INR","Period=FQ","BEST_FPERIOD_OVERRIDE=FQ","FILING_STATUS=OR","EQY_CONSOLIDATED=Y","Sort=A","Dates=H","DateFormat=P","Fill=—","Direction=H","UseDPDF=Y")</f>
        <v>#NAME?</v>
      </c>
      <c r="CV222" s="2" t="e">
        <f ca="1">_xll.BDH($C$203,"ALTMAN_Z_SCORE","FQ4 2017","FQ4 2017","Currency=INR","Period=FQ","BEST_FPERIOD_OVERRIDE=FQ","FILING_STATUS=OR","EQY_CONSOLIDATED=Y","Sort=A","Dates=H","DateFormat=P","Fill=—","Direction=H","UseDPDF=Y")</f>
        <v>#NAME?</v>
      </c>
      <c r="CW222" s="4" t="e">
        <f ca="1">_xll.BDH($C$203,"ACCT_RCV_TURN","FQ4 2017","FQ4 2017","Currency=INR","Period=FQ","BEST_FPERIOD_OVERRIDE=FQ","FILING_STATUS=OR","EQY_CONSOLIDATED=Y","FA_ADJUSTED=GAAP","Sort=A","Dates=H","DateFormat=P","Fill=—","Direction=H","UseDPDF=Y")</f>
        <v>#NAME?</v>
      </c>
      <c r="CX222" s="2" t="e">
        <f ca="1">_xll.BDH($C$203,"ACCT_RCV_DAYS","FQ4 2017","FQ4 2017","Currency=INR","Period=FQ","BEST_FPERIOD_OVERRIDE=FQ","FILING_STATUS=OR","EQY_CONSOLIDATED=Y","FA_ADJUSTED=GAAP","Sort=A","Dates=H","DateFormat=P","Fill=—","Direction=H","UseDPDF=Y")</f>
        <v>#NAME?</v>
      </c>
      <c r="CY222" s="4" t="e">
        <f ca="1">_xll.BDH($C$203,"INVENT_TURN","FQ4 2017","FQ4 2017","Currency=INR","Period=FQ","BEST_FPERIOD_OVERRIDE=FQ","FILING_STATUS=OR","EQY_CONSOLIDATED=Y","FA_ADJUSTED=GAAP","Sort=A","Dates=H","DateFormat=P","Fill=—","Direction=H","UseDPDF=Y")</f>
        <v>#NAME?</v>
      </c>
      <c r="CZ222" s="2" t="e">
        <f ca="1">_xll.BDH($C$203,"INVENT_DAYS","FQ4 2017","FQ4 2017","Currency=INR","Period=FQ","BEST_FPERIOD_OVERRIDE=FQ","FILING_STATUS=OR","EQY_CONSOLIDATED=Y","FA_ADJUSTED=GAAP","Sort=A","Dates=H","DateFormat=P","Fill=—","Direction=H","UseDPDF=Y")</f>
        <v>#NAME?</v>
      </c>
      <c r="DA222" s="4" t="e">
        <f ca="1">_xll.BDH($C$203,"ACCOUNTS_PAYABLE_TURNOVER","FQ4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22" s="2" t="e">
        <f ca="1">_xll.BDH($C$203,"ACCOUNTS_PAYABLE_TURNOVER_DAYS","FQ4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22" s="4" t="e">
        <f ca="1">_xll.BDH($C$203,"CASH_CONVERSION_CYCLE","FQ4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22" s="4" t="e">
        <f ca="1">_xll.BDH($C$203,"INV_TO_CASH_DAYS","FQ4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22" s="5" t="e">
        <f ca="1">_xll.BDH($C$203,"BS_INVENTORIES","FQ4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22" s="3" t="e">
        <f ca="1">_xll.BDH($C$203,"INVTRY_RAW_MATERIALS","FQ4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22" s="3" t="e">
        <f ca="1">_xll.BDH($C$203,"INVTRY_IN_PROGRESS","FQ4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22" s="3" t="e">
        <f ca="1">_xll.BDH($C$203,"INVTRY_FINISHED_GOODS","FQ4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22" s="3" t="e">
        <f ca="1">_xll.BDH($C$203,"BS_OTHER_INV","FQ4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23" spans="1:113" x14ac:dyDescent="0.3">
      <c r="A223" s="6"/>
      <c r="B223" s="6"/>
      <c r="C223" s="6"/>
      <c r="D223" s="6" t="s">
        <v>85</v>
      </c>
      <c r="E223" t="s">
        <v>77</v>
      </c>
      <c r="F223" t="e">
        <f ca="1">_xll.BDH($C$203,"RETURN_COM_EQY","FY 2018","FY 2018","Currency=INR","Period=FY","BEST_FPERIOD_OVERRIDE=FY","FILING_STATUS=OR","EQY_CONSOLIDATED=Y","FA_ADJUSTED=GAAP","Sort=A","Dates=H","DateFormat=P","Fill=—","Direction=H","UseDPDF=Y")</f>
        <v>#NAME?</v>
      </c>
      <c r="G223" t="e">
        <f ca="1">_xll.BDH($C$203,"RETURN_ON_ASSET","FY 2018","FY 2018","Currency=INR","Period=FY","BEST_FPERIOD_OVERRIDE=FY","FILING_STATUS=OR","EQY_CONSOLIDATED=Y","FA_ADJUSTED=GAAP","Sort=A","Dates=H","DateFormat=P","Fill=—","Direction=H","UseDPDF=Y")</f>
        <v>#NAME?</v>
      </c>
      <c r="H223" t="e">
        <f ca="1">_xll.BDH($C$203,"RETURN_ON_CAP","FY 2018","FY 2018","Currency=INR","Period=FY","BEST_FPERIOD_OVERRIDE=FY","FILING_STATUS=OR","EQY_CONSOLIDATED=Y","FA_ADJUSTED=GAAP","Sort=A","Dates=H","DateFormat=P","Fill=—","Direction=H","UseDPDF=Y")</f>
        <v>#NAME?</v>
      </c>
      <c r="I223" t="e">
        <f ca="1">_xll.BDH($C$203,"RETURN_ON_INV_CAPITAL","FY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23" t="e">
        <f ca="1">_xll.BDH($C$203,"EBITDA_TO_REVENUE","FY 2018","FY 2018","Currency=INR","Period=FY","BEST_FPERIOD_OVERRIDE=FY","FILING_STATUS=OR","EQY_CONSOLIDATED=Y","FA_ADJUSTED=GAAP","Sort=A","Dates=H","DateFormat=P","Fill=—","Direction=H","UseDPDF=Y")</f>
        <v>#NAME?</v>
      </c>
      <c r="K223" t="e">
        <f ca="1">_xll.BDH($C$203,"OPER_MARGIN","FY 2018","FY 2018","Currency=INR","Period=FY","BEST_FPERIOD_OVERRIDE=FY","FILING_STATUS=OR","EQY_CONSOLIDATED=Y","FA_ADJUSTED=GAAP","Sort=A","Dates=H","DateFormat=P","Fill=—","Direction=H","UseDPDF=Y")</f>
        <v>#NAME?</v>
      </c>
      <c r="L223" t="e">
        <f ca="1">_xll.BDH($C$203,"INCREMENTAL_OPERATING_MARGIN","FY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23" t="e">
        <f ca="1">_xll.BDH($C$203,"PRETAX_INC_TO_NET_SALES","FY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23" t="e">
        <f ca="1">_xll.BDH($C$203,"INC_BEF_XO_ITEMS_TO_NET_SALES","FY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23" t="e">
        <f ca="1">_xll.BDH($C$203,"PROF_MARGIN","FY 2018","FY 2018","Currency=INR","Period=FY","BEST_FPERIOD_OVERRIDE=FY","FILING_STATUS=OR","EQY_CONSOLIDATED=Y","FA_ADJUSTED=GAAP","Sort=A","Dates=H","DateFormat=P","Fill=—","Direction=H","UseDPDF=Y")</f>
        <v>#NAME?</v>
      </c>
      <c r="P223" t="e">
        <f ca="1">_xll.BDH($C$203,"NET_INCOME_TO_COMMON_MARGIN","FY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23" t="e">
        <f ca="1">_xll.BDH($C$203,"EFF_TAX_RATE","FY 2018","FY 2018","Currency=INR","Period=FY","BEST_FPERIOD_OVERRIDE=FY","FILING_STATUS=OR","EQY_CONSOLIDATED=Y","FA_ADJUSTED=GAAP","Sort=A","Dates=H","DateFormat=P","Fill=—","Direction=H","UseDPDF=Y")</f>
        <v>#NAME?</v>
      </c>
      <c r="R223" t="e">
        <f ca="1">_xll.BDH($C$203,"DVD_PAYOUT_RATIO","FY 2018","FY 2018","Currency=INR","Period=FY","BEST_FPERIOD_OVERRIDE=FY","FILING_STATUS=OR","EQY_CONSOLIDATED=Y","FA_ADJUSTED=GAAP","Sort=A","Dates=H","DateFormat=P","Fill=—","Direction=H","UseDPDF=Y")</f>
        <v>#NAME?</v>
      </c>
      <c r="S223" t="e">
        <f ca="1">_xll.BDH($C$203,"SUSTAIN_GROWTH_RT","FY 2018","FY 2018","Currency=INR","Period=FY","BEST_FPERIOD_OVERRIDE=FY","FILING_STATUS=OR","EQY_CONSOLIDATED=Y","FA_ADJUSTED=GAAP","Sort=A","Dates=H","DateFormat=P","Fill=—","Direction=H","UseDPDF=Y")</f>
        <v>#NAME?</v>
      </c>
      <c r="T223" s="2" t="e">
        <f ca="1">_xll.BDH($C$203,"SALES_GROWTH","FY 2018","FY 2018","Currency=INR","Period=FY","BEST_FPERIOD_OVERRIDE=FY","FILING_STATUS=OR","EQY_CONSOLIDATED=Y","FA_ADJUSTED=GAAP","Sort=A","Dates=H","DateFormat=P","Fill=—","Direction=H","UseDPDF=Y")</f>
        <v>#NAME?</v>
      </c>
      <c r="U223" s="2" t="e">
        <f ca="1">_xll.BDH($C$203,"EBITDA_GROWTH","FY 2018","FY 2018","Currency=INR","Period=FY","BEST_FPERIOD_OVERRIDE=FY","FILING_STATUS=OR","EQY_CONSOLIDATED=Y","FA_ADJUSTED=GAAP","Sort=A","Dates=H","DateFormat=P","Fill=—","Direction=H","UseDPDF=Y")</f>
        <v>#NAME?</v>
      </c>
      <c r="V223" s="2" t="e">
        <f ca="1">_xll.BDH($C$203,"OPER_INC_GROWTH","FY 2018","FY 2018","Currency=INR","Period=FY","BEST_FPERIOD_OVERRIDE=FY","FILING_STATUS=OR","EQY_CONSOLIDATED=Y","FA_ADJUSTED=GAAP","Sort=A","Dates=H","DateFormat=P","Fill=—","Direction=H","UseDPDF=Y")</f>
        <v>#NAME?</v>
      </c>
      <c r="W223" s="2" t="e">
        <f ca="1">_xll.BDH($C$203,"EARN_FOR_COM_GROWTH","FY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23" s="2" t="e">
        <f ca="1">_xll.BDH($C$203,"DILUTED_EPS_AFT_XO_ITEMS_GROWTH","FY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23" s="2" t="e">
        <f ca="1">_xll.BDH($C$203,"DIVIDEND_PER_SHARE_1_YEAR_GROWTH","FY 2018","FY 2018","Currency=INR","Period=FY","BEST_FPERIOD_OVERRIDE=FY","FILING_STATUS=OR","EQY_CONSOLIDATED=Y","Sort=A","Dates=H","DateFormat=P","Fill=—","Direction=H","UseDPDF=Y")</f>
        <v>#NAME?</v>
      </c>
      <c r="Z223" s="2" t="e">
        <f ca="1">_xll.BDH($C$203,"ACCOUNTS_RECEIVABLE_GROWTH","FY 2018","FY 2018","Currency=INR","Period=FY","BEST_FPERIOD_OVERRIDE=FY","FILING_STATUS=OR","EQY_CONSOLIDATED=Y","Sort=A","Dates=H","DateFormat=P","Fill=—","Direction=H","UseDPDF=Y")</f>
        <v>#NAME?</v>
      </c>
      <c r="AA223" s="2" t="e">
        <f ca="1">_xll.BDH($C$203,"INVENTORY_GROWTH","FY 2018","FY 2018","Currency=INR","Period=FY","BEST_FPERIOD_OVERRIDE=FY","FILING_STATUS=OR","EQY_CONSOLIDATED=Y","Sort=A","Dates=H","DateFormat=P","Fill=—","Direction=H","UseDPDF=Y")</f>
        <v>#NAME?</v>
      </c>
      <c r="AB223" s="2" t="e">
        <f ca="1">_xll.BDH($C$203,"NET_FIXED_ASSETS_1_YEAR_GROWTH","FY 2018","FY 2018","Currency=INR","Period=FY","BEST_FPERIOD_OVERRIDE=FY","FILING_STATUS=OR","EQY_CONSOLIDATED=Y","Sort=A","Dates=H","DateFormat=P","Fill=—","Direction=H","UseDPDF=Y")</f>
        <v>#NAME?</v>
      </c>
      <c r="AC223" s="2" t="e">
        <f ca="1">_xll.BDH($C$203,"ASSET_GROWTH","FY 2018","FY 2018","Currency=INR","Period=FY","BEST_FPERIOD_OVERRIDE=FY","FILING_STATUS=OR","EQY_CONSOLIDATED=Y","Sort=A","Dates=H","DateFormat=P","Fill=—","Direction=H","UseDPDF=Y")</f>
        <v>#NAME?</v>
      </c>
      <c r="AD223" s="2" t="e">
        <f ca="1">_xll.BDH($C$203,"MODIFIED_WORK_CAP_GROWTH","FY 2018","FY 2018","Currency=INR","Period=FY","BEST_FPERIOD_OVERRIDE=FY","FILING_STATUS=OR","EQY_CONSOLIDATED=Y","Sort=A","Dates=H","DateFormat=P","Fill=—","Direction=H","UseDPDF=Y")</f>
        <v>#NAME?</v>
      </c>
      <c r="AE223" s="2" t="e">
        <f ca="1">_xll.BDH($C$203,"WORK_CAP_GROWTH","FY 2018","FY 2018","Currency=INR","Period=FY","BEST_FPERIOD_OVERRIDE=FY","FILING_STATUS=OR","EQY_CONSOLIDATED=Y","Sort=A","Dates=H","DateFormat=P","Fill=—","Direction=H","UseDPDF=Y")</f>
        <v>#NAME?</v>
      </c>
      <c r="AF223" s="2" t="e">
        <f ca="1">_xll.BDH($C$203,"ACCOUNTS_PAYABLE_GROWTH_1YR","FY 2018","FY 2018","Currency=INR","Period=FY","BEST_FPERIOD_OVERRIDE=FY","FILING_STATUS=OR","EQY_CONSOLIDATED=Y","Sort=A","Dates=H","DateFormat=P","Fill=—","Direction=H","UseDPDF=Y")</f>
        <v>#NAME?</v>
      </c>
      <c r="AG223" s="2" t="e">
        <f ca="1">_xll.BDH($C$203,"SHORT_TERM_DEBT_1_YEAR_GROWTH","FY 2018","FY 2018","Currency=INR","Period=FY","BEST_FPERIOD_OVERRIDE=FY","FILING_STATUS=OR","EQY_CONSOLIDATED=Y","Sort=A","Dates=H","DateFormat=P","Fill=—","Direction=H","UseDPDF=Y")</f>
        <v>#NAME?</v>
      </c>
      <c r="AH223" s="2" t="e">
        <f ca="1">_xll.BDH($C$203,"TOTAL_DEBT_1_YEAR_GROWTH","FY 2018","FY 2018","Currency=INR","Period=FY","BEST_FPERIOD_OVERRIDE=FY","FILING_STATUS=OR","EQY_CONSOLIDATED=Y","Sort=A","Dates=H","DateFormat=P","Fill=—","Direction=H","UseDPDF=Y")</f>
        <v>#NAME?</v>
      </c>
      <c r="AI223" s="2" t="e">
        <f ca="1">_xll.BDH($C$203,"TOTAL_EQUITY_1_YEAR_GROWTH","FY 2018","FY 2018","Currency=INR","Period=FY","BEST_FPERIOD_OVERRIDE=FY","FILING_STATUS=OR","EQY_CONSOLIDATED=Y","Sort=A","Dates=H","DateFormat=P","Fill=—","Direction=H","UseDPDF=Y")</f>
        <v>#NAME?</v>
      </c>
      <c r="AJ223" s="2" t="e">
        <f ca="1">_xll.BDH($C$203,"GROWTH_IN_CAP","FY 2018","FY 2018","Currency=INR","Period=FY","BEST_FPERIOD_OVERRIDE=FY","FILING_STATUS=OR","EQY_CONSOLIDATED=Y","Sort=A","Dates=H","DateFormat=P","Fill=—","Direction=H","UseDPDF=Y")</f>
        <v>#NAME?</v>
      </c>
      <c r="AK223" s="2" t="e">
        <f ca="1">_xll.BDH($C$203,"BVPS_GROWTH","FY 2018","FY 2018","Currency=INR","Period=FY","BEST_FPERIOD_OVERRIDE=FY","FILING_STATUS=OR","EQY_CONSOLIDATED=Y","Sort=A","Dates=H","DateFormat=P","Fill=—","Direction=H","UseDPDF=Y")</f>
        <v>#NAME?</v>
      </c>
      <c r="AL223" s="2" t="e">
        <f ca="1">_xll.BDH($C$203,"CASH_FLOW_GROWTH","FY 2018","FY 2018","Currency=INR","Period=FY","BEST_FPERIOD_OVERRIDE=FY","FILING_STATUS=OR","EQY_CONSOLIDATED=Y","Sort=A","Dates=H","DateFormat=P","Fill=—","Direction=H","UseDPDF=Y")</f>
        <v>#NAME?</v>
      </c>
      <c r="AM223" s="2" t="e">
        <f ca="1">_xll.BDH($C$203,"GEO_GROW_NET_SALES","FY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23" s="2" t="e">
        <f ca="1">_xll.BDH($C$203,"GEO_GROW_EBITDA","FY 2018","FY 2018","Currency=INR","Period=FY","BEST_FPERIOD_OVERRIDE=FY","FILING_STATUS=OR","EQY_CONSOLIDATED=Y","FA_ADJUSTED=GAAP","Sort=A","Dates=H","DateFormat=P","Fill=—","Direction=H","UseDPDF=Y")</f>
        <v>#NAME?</v>
      </c>
      <c r="AO223" s="2" t="e">
        <f ca="1">_xll.BDH($C$203,"GEO_GROW_OPER_INC","FY 2018","FY 2018","Currency=INR","Period=FY","BEST_FPERIOD_OVERRIDE=FY","FILING_STATUS=OR","EQY_CONSOLIDATED=Y","FA_ADJUSTED=GAAP","Sort=A","Dates=H","DateFormat=P","Fill=—","Direction=H","UseDPDF=Y")</f>
        <v>#NAME?</v>
      </c>
      <c r="AP223" s="2" t="e">
        <f ca="1">_xll.BDH($C$203,"NET_INCOME_TO_COMMON_5_YR_GROWTH","FY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23" s="2" t="e">
        <f ca="1">_xll.BDH($C$203,"5Y_GEO_GROWTH_DILUTED_EPS","FY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23" s="2" t="e">
        <f ca="1">_xll.BDH($C$203,"GEO_GROW_DVD_PER_SH","FY 2018","FY 2018","Currency=INR","Period=FY","BEST_FPERIOD_OVERRIDE=FY","FILING_STATUS=OR","EQY_CONSOLIDATED=Y","Sort=A","Dates=H","DateFormat=P","Fill=—","Direction=H","UseDPDF=Y")</f>
        <v>#NAME?</v>
      </c>
      <c r="AS223" s="2" t="e">
        <f ca="1">_xll.BDH($C$203,"ACCOUNTS_RECEIVABLE_5_YR_GROWTH","FY 2018","FY 2018","Currency=INR","Period=FY","BEST_FPERIOD_OVERRIDE=FY","FILING_STATUS=OR","EQY_CONSOLIDATED=Y","Sort=A","Dates=H","DateFormat=P","Fill=—","Direction=H","UseDPDF=Y")</f>
        <v>#NAME?</v>
      </c>
      <c r="AT223" s="2" t="e">
        <f ca="1">_xll.BDH($C$203,"INVENTORY_5_YEAR_GROWTH","FY 2018","FY 2018","Currency=INR","Period=FY","BEST_FPERIOD_OVERRIDE=FY","FILING_STATUS=OR","EQY_CONSOLIDATED=Y","Sort=A","Dates=H","DateFormat=P","Fill=—","Direction=H","UseDPDF=Y")</f>
        <v>#NAME?</v>
      </c>
      <c r="AU223" s="2" t="e">
        <f ca="1">_xll.BDH($C$203,"NET_FIXED_ASSETS_5_YEAR_GROWTH","FY 2018","FY 2018","Currency=INR","Period=FY","BEST_FPERIOD_OVERRIDE=FY","FILING_STATUS=OR","EQY_CONSOLIDATED=Y","Sort=A","Dates=H","DateFormat=P","Fill=—","Direction=H","UseDPDF=Y")</f>
        <v>#NAME?</v>
      </c>
      <c r="AV223" s="2" t="e">
        <f ca="1">_xll.BDH($C$203,"GEO_GROW_TOT_ASSET","FY 2018","FY 2018","Currency=INR","Period=FY","BEST_FPERIOD_OVERRIDE=FY","FILING_STATUS=OR","EQY_CONSOLIDATED=Y","Sort=A","Dates=H","DateFormat=P","Fill=—","Direction=H","UseDPDF=Y")</f>
        <v>#NAME?</v>
      </c>
      <c r="AW223" s="2" t="e">
        <f ca="1">_xll.BDH($C$203,"MODIFIED_WORKING_CPTL_5YR_GRWTH","FY 2018","FY 2018","Currency=INR","Period=FY","BEST_FPERIOD_OVERRIDE=FY","FILING_STATUS=OR","EQY_CONSOLIDATED=Y","Sort=A","Dates=H","DateFormat=P","Fill=—","Direction=H","UseDPDF=Y")</f>
        <v>#NAME?</v>
      </c>
      <c r="AX223" s="2" t="e">
        <f ca="1">_xll.BDH($C$203,"WORKING_CAPITAL_5_YEAR_GROWTH","FY 2018","FY 2018","Currency=INR","Period=FY","BEST_FPERIOD_OVERRIDE=FY","FILING_STATUS=OR","EQY_CONSOLIDATED=Y","Sort=A","Dates=H","DateFormat=P","Fill=—","Direction=H","UseDPDF=Y")</f>
        <v>#NAME?</v>
      </c>
      <c r="AY223" s="2" t="e">
        <f ca="1">_xll.BDH($C$203,"ACCOUNTS_PAYABLE_5_YEAR_GROWTH","FY 2018","FY 2018","Currency=INR","Period=FY","BEST_FPERIOD_OVERRIDE=FY","FILING_STATUS=OR","EQY_CONSOLIDATED=Y","Sort=A","Dates=H","DateFormat=P","Fill=—","Direction=H","UseDPDF=Y")</f>
        <v>#NAME?</v>
      </c>
      <c r="AZ223" s="2" t="e">
        <f ca="1">_xll.BDH($C$203,"SHORT_TERM_DEBT_5_YEAR_GROWTH","FY 2018","FY 2018","Currency=INR","Period=FY","BEST_FPERIOD_OVERRIDE=FY","FILING_STATUS=OR","EQY_CONSOLIDATED=Y","Sort=A","Dates=H","DateFormat=P","Fill=—","Direction=H","UseDPDF=Y")</f>
        <v>#NAME?</v>
      </c>
      <c r="BA223" s="2" t="e">
        <f ca="1">_xll.BDH($C$203,"TOTAL_DEBT_5_YEAR_GROWTH","FY 2018","FY 2018","Currency=INR","Period=FY","BEST_FPERIOD_OVERRIDE=FY","FILING_STATUS=OR","EQY_CONSOLIDATED=Y","Sort=A","Dates=H","DateFormat=P","Fill=—","Direction=H","UseDPDF=Y")</f>
        <v>#NAME?</v>
      </c>
      <c r="BB223" s="2" t="e">
        <f ca="1">_xll.BDH($C$203,"GEO_GROW_TOT_SHRHLDR_EQY","FY 2018","FY 2018","Currency=INR","Period=FY","BEST_FPERIOD_OVERRIDE=FY","FILING_STATUS=OR","EQY_CONSOLIDATED=Y","Sort=A","Dates=H","DateFormat=P","Fill=—","Direction=H","UseDPDF=Y")</f>
        <v>#NAME?</v>
      </c>
      <c r="BC223" s="2" t="e">
        <f ca="1">_xll.BDH($C$203,"TOTAL_CAPITAL_5_YEAR_GROWTH","FY 2018","FY 2018","Currency=INR","Period=FY","BEST_FPERIOD_OVERRIDE=FY","FILING_STATUS=OR","EQY_CONSOLIDATED=Y","Sort=A","Dates=H","DateFormat=P","Fill=—","Direction=H","UseDPDF=Y")</f>
        <v>#NAME?</v>
      </c>
      <c r="BD223" s="2" t="e">
        <f ca="1">_xll.BDH($C$203,"GEO_GROW_BOOK_VAL","FY 2018","FY 2018","Currency=INR","Period=FY","BEST_FPERIOD_OVERRIDE=FY","FILING_STATUS=OR","EQY_CONSOLIDATED=Y","Sort=A","Dates=H","DateFormat=P","Fill=—","Direction=H","UseDPDF=Y")</f>
        <v>#NAME?</v>
      </c>
      <c r="BE223" s="2" t="e">
        <f ca="1">_xll.BDH($C$203,"GEO_GROW_CASH_OPER_ACT","FY 2018","FY 2018","Currency=INR","Period=FY","BEST_FPERIOD_OVERRIDE=FY","FILING_STATUS=OR","EQY_CONSOLIDATED=Y","Sort=A","Dates=H","DateFormat=P","Fill=—","Direction=H","UseDPDF=Y")</f>
        <v>#NAME?</v>
      </c>
      <c r="BF223" s="2" t="e">
        <f ca="1">_xll.BDH($C$203,"REVENUE_SEQUENTIAL_GROWTH","FY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23" s="2" t="e">
        <f ca="1">_xll.BDH($C$203,"EBITDA_SEQUENTIAL_GROWTH","FY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23" s="2" t="e">
        <f ca="1">_xll.BDH($C$203,"OPERATING_INCOME_SEQ_GROWTH","FY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23" s="2" t="e">
        <f ca="1">_xll.BDH($C$203,"NET_INCOME_TO_COMMON_SEQ_GROWTH","FY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23" s="2" t="e">
        <f ca="1">_xll.BDH($C$203,"EPS_DILUTED_SEQUENTIAL_GROWTH","FY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23" s="2" t="e">
        <f ca="1">_xll.BDH($C$203,"DPS_SEQUENTIAL_GROWTH","FY 2018","FY 2018","Currency=INR","Period=FY","BEST_FPERIOD_OVERRIDE=FY","FILING_STATUS=OR","EQY_CONSOLIDATED=Y","Sort=A","Dates=H","DateFormat=P","Fill=—","Direction=H","UseDPDF=Y")</f>
        <v>#NAME?</v>
      </c>
      <c r="BL223" s="2" t="e">
        <f ca="1">_xll.BDH($C$203,"ACCOUNTS_RECEIVABLE_SEQ_GROWTH","FY 2018","FY 2018","Currency=INR","Period=FY","BEST_FPERIOD_OVERRIDE=FY","FILING_STATUS=OR","EQY_CONSOLIDATED=Y","Sort=A","Dates=H","DateFormat=P","Fill=—","Direction=H","UseDPDF=Y")</f>
        <v>#NAME?</v>
      </c>
      <c r="BM223" s="2" t="e">
        <f ca="1">_xll.BDH($C$203,"INVENTORY_SEQUENTIAL_GROWTH","FY 2018","FY 2018","Currency=INR","Period=FY","BEST_FPERIOD_OVERRIDE=FY","FILING_STATUS=OR","EQY_CONSOLIDATED=Y","Sort=A","Dates=H","DateFormat=P","Fill=—","Direction=H","UseDPDF=Y")</f>
        <v>#NAME?</v>
      </c>
      <c r="BN223" s="2" t="e">
        <f ca="1">_xll.BDH($C$203,"FIXED_ASSETS_SEQUENTIAL_GROWTH","FY 2018","FY 2018","Currency=INR","Period=FY","BEST_FPERIOD_OVERRIDE=FY","FILING_STATUS=OR","EQY_CONSOLIDATED=Y","Sort=A","Dates=H","DateFormat=P","Fill=—","Direction=H","UseDPDF=Y")</f>
        <v>#NAME?</v>
      </c>
      <c r="BO223" s="2" t="e">
        <f ca="1">_xll.BDH($C$203,"TOTAL_ASSETS_SEQUENTIAL_GROWTH","FY 2018","FY 2018","Currency=INR","Period=FY","BEST_FPERIOD_OVERRIDE=FY","FILING_STATUS=OR","EQY_CONSOLIDATED=Y","Sort=A","Dates=H","DateFormat=P","Fill=—","Direction=H","UseDPDF=Y")</f>
        <v>#NAME?</v>
      </c>
      <c r="BP223" s="2" t="e">
        <f ca="1">_xll.BDH($C$203,"MODIFIED_WORKING_CPTL_SEQ_GRWTH","FY 2018","FY 2018","Currency=INR","Period=FY","BEST_FPERIOD_OVERRIDE=FY","FILING_STATUS=OR","EQY_CONSOLIDATED=Y","Sort=A","Dates=H","DateFormat=P","Fill=—","Direction=H","UseDPDF=Y")</f>
        <v>#NAME?</v>
      </c>
      <c r="BQ223" s="2" t="e">
        <f ca="1">_xll.BDH($C$203,"WORKING_CAPITAL_SEQ_GROWTH","FY 2018","FY 2018","Currency=INR","Period=FY","BEST_FPERIOD_OVERRIDE=FY","FILING_STATUS=OR","EQY_CONSOLIDATED=Y","Sort=A","Dates=H","DateFormat=P","Fill=—","Direction=H","UseDPDF=Y")</f>
        <v>#NAME?</v>
      </c>
      <c r="BR223" s="2" t="e">
        <f ca="1">_xll.BDH($C$203,"ACCOUNTS_PAYABLE_SEQ_GROWTH","FY 2018","FY 2018","Currency=INR","Period=FY","BEST_FPERIOD_OVERRIDE=FY","FILING_STATUS=OR","EQY_CONSOLIDATED=Y","Sort=A","Dates=H","DateFormat=P","Fill=—","Direction=H","UseDPDF=Y")</f>
        <v>#NAME?</v>
      </c>
      <c r="BS223" s="2" t="e">
        <f ca="1">_xll.BDH($C$203,"ST_DEBT_SEQUENTIAL_GROWTH","FY 2018","FY 2018","Currency=INR","Period=FY","BEST_FPERIOD_OVERRIDE=FY","FILING_STATUS=OR","EQY_CONSOLIDATED=Y","Sort=A","Dates=H","DateFormat=P","Fill=—","Direction=H","UseDPDF=Y")</f>
        <v>#NAME?</v>
      </c>
      <c r="BT223" s="2" t="e">
        <f ca="1">_xll.BDH($C$203,"TOTAL_DEBT_SEQUENTIAL_GROWTH","FY 2018","FY 2018","Currency=INR","Period=FY","BEST_FPERIOD_OVERRIDE=FY","FILING_STATUS=OR","EQY_CONSOLIDATED=Y","Sort=A","Dates=H","DateFormat=P","Fill=—","Direction=H","UseDPDF=Y")</f>
        <v>#NAME?</v>
      </c>
      <c r="BU223" s="2" t="e">
        <f ca="1">_xll.BDH($C$203,"TOTAL_EQUITY_SEQUENTIAL_GROWTH","FY 2018","FY 2018","Currency=INR","Period=FY","BEST_FPERIOD_OVERRIDE=FY","FILING_STATUS=OR","EQY_CONSOLIDATED=Y","Sort=A","Dates=H","DateFormat=P","Fill=—","Direction=H","UseDPDF=Y")</f>
        <v>#NAME?</v>
      </c>
      <c r="BV223" s="2" t="e">
        <f ca="1">_xll.BDH($C$203,"TOTAL_CAPITAL_SEQUENTIAL_GROWTH","FY 2018","FY 2018","Currency=INR","Period=FY","BEST_FPERIOD_OVERRIDE=FY","FILING_STATUS=OR","EQY_CONSOLIDATED=Y","Sort=A","Dates=H","DateFormat=P","Fill=—","Direction=H","UseDPDF=Y")</f>
        <v>#NAME?</v>
      </c>
      <c r="BW223" s="2" t="e">
        <f ca="1">_xll.BDH($C$203,"BPS_SEQUENTIAL_GROWTH","FY 2018","FY 2018","Currency=INR","Period=FY","BEST_FPERIOD_OVERRIDE=FY","FILING_STATUS=OR","EQY_CONSOLIDATED=Y","Sort=A","Dates=H","DateFormat=P","Fill=—","Direction=H","UseDPDF=Y")</f>
        <v>#NAME?</v>
      </c>
      <c r="BX223" s="2" t="e">
        <f ca="1">_xll.BDH($C$203,"CFO_SEQUENTIAL_GROWTH","FY 2018","FY 2018","Currency=INR","Period=FY","BEST_FPERIOD_OVERRIDE=FY","FILING_STATUS=OR","EQY_CONSOLIDATED=Y","Sort=A","Dates=H","DateFormat=P","Fill=—","Direction=H","UseDPDF=Y")</f>
        <v>#NAME?</v>
      </c>
      <c r="BY223" s="3" t="e">
        <f ca="1">_xll.BDH($C$203,"SHORT_AND_LONG_TERM_DEBT","FY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23" s="3" t="e">
        <f ca="1">_xll.BDH($C$203,"BS_ST_BORROW","FY 2018","FY 2018","Currency=INR","Period=FY","BEST_FPERIOD_OVERRIDE=FY","FILING_STATUS=OR","EQY_CONSOLIDATED=Y","SCALING_FORMAT=MLN","Sort=A","Dates=H","DateFormat=P","Fill=—","Direction=H","UseDPDF=Y")</f>
        <v>#NAME?</v>
      </c>
      <c r="CA223" s="3" t="e">
        <f ca="1">_xll.BDH($C$203,"BS_LT_BORROW","FY 2018","FY 2018","Currency=INR","Period=FY","BEST_FPERIOD_OVERRIDE=FY","FILING_STATUS=OR","EQY_CONSOLIDATED=Y","SCALING_FORMAT=MLN","Sort=A","Dates=H","DateFormat=P","Fill=—","Direction=H","UseDPDF=Y")</f>
        <v>#NAME?</v>
      </c>
      <c r="CB223" s="2" t="e">
        <f ca="1">_xll.BDH($C$203,"TOT_DEBT_TO_EBITDA","FY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23" s="2" t="e">
        <f ca="1">_xll.BDH($C$203,"NET_DEBT_TO_EBITDA","FY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23" s="2" t="e">
        <f ca="1">_xll.BDH($C$203,"TOTAL_DEBT_TO_EBIT","FY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23" s="2" t="e">
        <f ca="1">_xll.BDH($C$203,"NET_DEBT_TO_EBIT","FY 2018","FY 2018","Currency=INR","Period=FY","BEST_FPERIOD_OVERRIDE=FY","FILING_STATUS=OR","EQY_CONSOLIDATED=Y","FA_ADJUSTED=GAAP","Sort=A","Dates=H","DateFormat=P","Fill=—","Direction=H","UseDPDF=Y")</f>
        <v>#NAME?</v>
      </c>
      <c r="CF223" s="2" t="e">
        <f ca="1">_xll.BDH($C$203,"EBITDA_TO_INTEREST_EXPN","FY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23" s="2" t="e">
        <f ca="1">_xll.BDH($C$203,"COM_EQY_TO_TOT_ASSET","FY 2018","FY 2018","Currency=INR","Period=FY","BEST_FPERIOD_OVERRIDE=FY","FILING_STATUS=OR","EQY_CONSOLIDATED=Y","Sort=A","Dates=H","DateFormat=P","Fill=—","Direction=H","UseDPDF=Y")</f>
        <v>#NAME?</v>
      </c>
      <c r="CH223" s="2" t="e">
        <f ca="1">_xll.BDH($C$203,"LT_DEBT_TO_TOT_EQY","FY 2018","FY 2018","Currency=INR","Period=FY","BEST_FPERIOD_OVERRIDE=FY","FILING_STATUS=OR","EQY_CONSOLIDATED=Y","Sort=A","Dates=H","DateFormat=P","Fill=—","Direction=H","UseDPDF=Y")</f>
        <v>#NAME?</v>
      </c>
      <c r="CI223" s="2" t="e">
        <f ca="1">_xll.BDH($C$203,"LT_DEBT_TO_TOT_CAP","FY 2018","FY 2018","Currency=INR","Period=FY","BEST_FPERIOD_OVERRIDE=FY","FILING_STATUS=OR","EQY_CONSOLIDATED=Y","Sort=A","Dates=H","DateFormat=P","Fill=—","Direction=H","UseDPDF=Y")</f>
        <v>#NAME?</v>
      </c>
      <c r="CJ223" s="2" t="e">
        <f ca="1">_xll.BDH($C$203,"LT_DEBT_TO_TOT_ASSET","FY 2018","FY 2018","Currency=INR","Period=FY","BEST_FPERIOD_OVERRIDE=FY","FILING_STATUS=OR","EQY_CONSOLIDATED=Y","Sort=A","Dates=H","DateFormat=P","Fill=—","Direction=H","UseDPDF=Y")</f>
        <v>#NAME?</v>
      </c>
      <c r="CK223" s="2" t="e">
        <f ca="1">_xll.BDH($C$203,"TOT_DEBT_TO_TOT_EQY","FY 2018","FY 2018","Currency=INR","Period=FY","BEST_FPERIOD_OVERRIDE=FY","FILING_STATUS=OR","EQY_CONSOLIDATED=Y","Sort=A","Dates=H","DateFormat=P","Fill=—","Direction=H","UseDPDF=Y")</f>
        <v>#NAME?</v>
      </c>
      <c r="CL223" s="2" t="e">
        <f ca="1">_xll.BDH($C$203,"TOT_DEBT_TO_TOT_CAP","FY 2018","FY 2018","Currency=INR","Period=FY","BEST_FPERIOD_OVERRIDE=FY","FILING_STATUS=OR","EQY_CONSOLIDATED=Y","Sort=A","Dates=H","DateFormat=P","Fill=—","Direction=H","UseDPDF=Y")</f>
        <v>#NAME?</v>
      </c>
      <c r="CM223" s="2" t="e">
        <f ca="1">_xll.BDH($C$203,"TOT_DEBT_TO_TOT_ASSET","FY 2018","FY 2018","Currency=INR","Period=FY","BEST_FPERIOD_OVERRIDE=FY","FILING_STATUS=OR","EQY_CONSOLIDATED=Y","Sort=A","Dates=H","DateFormat=P","Fill=—","Direction=H","UseDPDF=Y")</f>
        <v>#NAME?</v>
      </c>
      <c r="CN223" s="2" t="e">
        <f ca="1">_xll.BDH($C$203,"NET_DEBT_TO_SHRHLDR_EQTY","FY 2018","FY 2018","Currency=INR","Period=FY","BEST_FPERIOD_OVERRIDE=FY","FILING_STATUS=OR","EQY_CONSOLIDATED=Y","Sort=A","Dates=H","DateFormat=P","Fill=—","Direction=H","UseDPDF=Y")</f>
        <v>#NAME?</v>
      </c>
      <c r="CO223" s="2" t="e">
        <f ca="1">_xll.BDH($C$203,"NET_DEBT_%_CAPITAL","FY 2018","FY 2018","Currency=INR","Period=FY","BEST_FPERIOD_OVERRIDE=FY","FILING_STATUS=OR","EQY_CONSOLIDATED=Y","Sort=A","Dates=H","DateFormat=P","Fill=—","Direction=H","UseDPDF=Y")</f>
        <v>#NAME?</v>
      </c>
      <c r="CP223" s="3" t="e">
        <f ca="1">_xll.BDH($C$203,"EBITDA","FY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23" s="3" t="e">
        <f ca="1">_xll.BDH($C$203,"EBITDA_AFTER_CAPEX","FY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23" s="3" t="e">
        <f ca="1">_xll.BDH($C$203,"IS_OPER_INC","FY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23" s="2" t="e">
        <f ca="1">_xll.BDH($C$203,"CASH_RATIO","FY 2018","FY 2018","Currency=INR","Period=FY","BEST_FPERIOD_OVERRIDE=FY","FILING_STATUS=OR","EQY_CONSOLIDATED=Y","Sort=A","Dates=H","DateFormat=P","Fill=—","Direction=H","UseDPDF=Y")</f>
        <v>#NAME?</v>
      </c>
      <c r="CT223" s="2" t="e">
        <f ca="1">_xll.BDH($C$203,"CUR_RATIO","FY 2018","FY 2018","Currency=INR","Period=FY","BEST_FPERIOD_OVERRIDE=FY","FILING_STATUS=OR","EQY_CONSOLIDATED=Y","Sort=A","Dates=H","DateFormat=P","Fill=—","Direction=H","UseDPDF=Y")</f>
        <v>#NAME?</v>
      </c>
      <c r="CU223" s="2" t="e">
        <f ca="1">_xll.BDH($C$203,"QUICK_RATIO","FY 2018","FY 2018","Currency=INR","Period=FY","BEST_FPERIOD_OVERRIDE=FY","FILING_STATUS=OR","EQY_CONSOLIDATED=Y","Sort=A","Dates=H","DateFormat=P","Fill=—","Direction=H","UseDPDF=Y")</f>
        <v>#NAME?</v>
      </c>
      <c r="CV223" s="2" t="e">
        <f ca="1">_xll.BDH($C$203,"ALTMAN_Z_SCORE","FY 2018","FY 2018","Currency=INR","Period=FY","BEST_FPERIOD_OVERRIDE=FY","FILING_STATUS=OR","EQY_CONSOLIDATED=Y","Sort=A","Dates=H","DateFormat=P","Fill=—","Direction=H","UseDPDF=Y")</f>
        <v>#NAME?</v>
      </c>
      <c r="CW223" s="4" t="e">
        <f ca="1">_xll.BDH($C$203,"ACCT_RCV_TURN","FY 2018","FY 2018","Currency=INR","Period=FY","BEST_FPERIOD_OVERRIDE=FY","FILING_STATUS=OR","EQY_CONSOLIDATED=Y","FA_ADJUSTED=GAAP","Sort=A","Dates=H","DateFormat=P","Fill=—","Direction=H","UseDPDF=Y")</f>
        <v>#NAME?</v>
      </c>
      <c r="CX223" s="2" t="e">
        <f ca="1">_xll.BDH($C$203,"ACCT_RCV_DAYS","FY 2018","FY 2018","Currency=INR","Period=FY","BEST_FPERIOD_OVERRIDE=FY","FILING_STATUS=OR","EQY_CONSOLIDATED=Y","FA_ADJUSTED=GAAP","Sort=A","Dates=H","DateFormat=P","Fill=—","Direction=H","UseDPDF=Y")</f>
        <v>#NAME?</v>
      </c>
      <c r="CY223" s="4" t="e">
        <f ca="1">_xll.BDH($C$203,"INVENT_TURN","FY 2018","FY 2018","Currency=INR","Period=FY","BEST_FPERIOD_OVERRIDE=FY","FILING_STATUS=OR","EQY_CONSOLIDATED=Y","FA_ADJUSTED=GAAP","Sort=A","Dates=H","DateFormat=P","Fill=—","Direction=H","UseDPDF=Y")</f>
        <v>#NAME?</v>
      </c>
      <c r="CZ223" s="2" t="e">
        <f ca="1">_xll.BDH($C$203,"INVENT_DAYS","FY 2018","FY 2018","Currency=INR","Period=FY","BEST_FPERIOD_OVERRIDE=FY","FILING_STATUS=OR","EQY_CONSOLIDATED=Y","FA_ADJUSTED=GAAP","Sort=A","Dates=H","DateFormat=P","Fill=—","Direction=H","UseDPDF=Y")</f>
        <v>#NAME?</v>
      </c>
      <c r="DA223" s="4" t="e">
        <f ca="1">_xll.BDH($C$203,"ACCOUNTS_PAYABLE_TURNOVER","FY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23" s="2" t="e">
        <f ca="1">_xll.BDH($C$203,"ACCOUNTS_PAYABLE_TURNOVER_DAYS","FY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23" s="4" t="e">
        <f ca="1">_xll.BDH($C$203,"CASH_CONVERSION_CYCLE","FY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23" s="4" t="e">
        <f ca="1">_xll.BDH($C$203,"INV_TO_CASH_DAYS","FY 2018","FY 2018","Currency=INR","Period=FY","BEST_FPERIOD_OVERRIDE=FY","FILING_STATUS=OR","EQY_CONSOLIDATED=Y","FA_ADJUSTED=GAAP","Sort=A","Dates=H","DateFormat=P","Fill=—","Direction=H","UseDPDF=Y")</f>
        <v>#NAME?</v>
      </c>
      <c r="DE223" s="5" t="e">
        <f ca="1">_xll.BDH($C$203,"BS_INVENTORIES","FY 2018","FY 2018","Currency=INR","Period=FY","BEST_FPERIOD_OVERRIDE=FY","FILING_STATUS=OR","EQY_CONSOLIDATED=Y","SCALING_FORMAT=MLN","Sort=A","Dates=H","DateFormat=P","Fill=—","Direction=H","UseDPDF=Y")</f>
        <v>#NAME?</v>
      </c>
      <c r="DF223" s="3" t="e">
        <f ca="1">_xll.BDH($C$203,"INVTRY_RAW_MATERIALS","FY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23" s="3" t="e">
        <f ca="1">_xll.BDH($C$203,"INVTRY_IN_PROGRESS","FY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23" s="3" t="e">
        <f ca="1">_xll.BDH($C$203,"INVTRY_FINISHED_GOODS","FY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23" s="3" t="e">
        <f ca="1">_xll.BDH($C$203,"BS_OTHER_INV","FY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24" spans="1:113" x14ac:dyDescent="0.3">
      <c r="A224" s="6"/>
      <c r="B224" s="6"/>
      <c r="C224" s="6"/>
      <c r="D224" s="6"/>
      <c r="E224" t="s">
        <v>78</v>
      </c>
      <c r="F224" t="e">
        <f ca="1">_xll.BDH($C$203,"RETURN_COM_EQY","FQ1 2018","FQ1 2018","Currency=INR","Period=FQ","BEST_FPERIOD_OVERRIDE=FQ","FILING_STATUS=OR","EQY_CONSOLIDATED=Y","FA_ADJUSTED=GAAP","Sort=A","Dates=H","DateFormat=P","Fill=—","Direction=H","UseDPDF=Y")</f>
        <v>#NAME?</v>
      </c>
      <c r="G224" t="e">
        <f ca="1">_xll.BDH($C$203,"RETURN_ON_ASSET","FQ1 2018","FQ1 2018","Currency=INR","Period=FQ","BEST_FPERIOD_OVERRIDE=FQ","FILING_STATUS=OR","EQY_CONSOLIDATED=Y","FA_ADJUSTED=GAAP","Sort=A","Dates=H","DateFormat=P","Fill=—","Direction=H","UseDPDF=Y")</f>
        <v>#NAME?</v>
      </c>
      <c r="H224" t="e">
        <f ca="1">_xll.BDH($C$203,"RETURN_ON_CAP","FQ1 2018","FQ1 2018","Currency=INR","Period=FQ","BEST_FPERIOD_OVERRIDE=FQ","FILING_STATUS=OR","EQY_CONSOLIDATED=Y","FA_ADJUSTED=GAAP","Sort=A","Dates=H","DateFormat=P","Fill=—","Direction=H","UseDPDF=Y")</f>
        <v>#NAME?</v>
      </c>
      <c r="I224" t="e">
        <f ca="1">_xll.BDH($C$203,"RETURN_ON_INV_CAPITAL","FQ1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24" t="e">
        <f ca="1">_xll.BDH($C$203,"EBITDA_TO_REVENUE","FQ1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24" t="e">
        <f ca="1">_xll.BDH($C$203,"OPER_MARGIN","FQ1 2018","FQ1 2018","Currency=INR","Period=FQ","BEST_FPERIOD_OVERRIDE=FQ","FILING_STATUS=OR","EQY_CONSOLIDATED=Y","FA_ADJUSTED=GAAP","Sort=A","Dates=H","DateFormat=P","Fill=—","Direction=H","UseDPDF=Y")</f>
        <v>#NAME?</v>
      </c>
      <c r="L224" t="e">
        <f ca="1">_xll.BDH($C$203,"INCREMENTAL_OPERATING_MARGIN","FQ1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24" t="e">
        <f ca="1">_xll.BDH($C$203,"PRETAX_INC_TO_NET_SALES","FQ1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24" t="e">
        <f ca="1">_xll.BDH($C$203,"INC_BEF_XO_ITEMS_TO_NET_SALES","FQ1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24" t="e">
        <f ca="1">_xll.BDH($C$203,"PROF_MARGIN","FQ1 2018","FQ1 2018","Currency=INR","Period=FQ","BEST_FPERIOD_OVERRIDE=FQ","FILING_STATUS=OR","EQY_CONSOLIDATED=Y","FA_ADJUSTED=GAAP","Sort=A","Dates=H","DateFormat=P","Fill=—","Direction=H","UseDPDF=Y")</f>
        <v>#NAME?</v>
      </c>
      <c r="P224" t="e">
        <f ca="1">_xll.BDH($C$203,"NET_INCOME_TO_COMMON_MARGIN","FQ1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24" t="e">
        <f ca="1">_xll.BDH($C$203,"EFF_TAX_RATE","FQ1 2018","FQ1 2018","Currency=INR","Period=FQ","BEST_FPERIOD_OVERRIDE=FQ","FILING_STATUS=OR","EQY_CONSOLIDATED=Y","FA_ADJUSTED=GAAP","Sort=A","Dates=H","DateFormat=P","Fill=—","Direction=H","UseDPDF=Y")</f>
        <v>#NAME?</v>
      </c>
      <c r="R224" t="e">
        <f ca="1">_xll.BDH($C$203,"DVD_PAYOUT_RATIO","FQ1 2018","FQ1 2018","Currency=INR","Period=FQ","BEST_FPERIOD_OVERRIDE=FQ","FILING_STATUS=OR","EQY_CONSOLIDATED=Y","FA_ADJUSTED=GAAP","Sort=A","Dates=H","DateFormat=P","Fill=—","Direction=H","UseDPDF=Y")</f>
        <v>#NAME?</v>
      </c>
      <c r="S224" t="e">
        <f ca="1">_xll.BDH($C$203,"SUSTAIN_GROWTH_RT","FQ1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24" s="2" t="e">
        <f ca="1">_xll.BDH($C$203,"SALES_GROWTH","FQ1 2018","FQ1 2018","Currency=INR","Period=FQ","BEST_FPERIOD_OVERRIDE=FQ","FILING_STATUS=OR","EQY_CONSOLIDATED=Y","FA_ADJUSTED=GAAP","Sort=A","Dates=H","DateFormat=P","Fill=—","Direction=H","UseDPDF=Y")</f>
        <v>#NAME?</v>
      </c>
      <c r="U224" s="2" t="e">
        <f ca="1">_xll.BDH($C$203,"EBITDA_GROWTH","FQ1 2018","FQ1 2018","Currency=INR","Period=FQ","BEST_FPERIOD_OVERRIDE=FQ","FILING_STATUS=OR","EQY_CONSOLIDATED=Y","FA_ADJUSTED=GAAP","Sort=A","Dates=H","DateFormat=P","Fill=—","Direction=H","UseDPDF=Y")</f>
        <v>#NAME?</v>
      </c>
      <c r="V224" s="2" t="e">
        <f ca="1">_xll.BDH($C$203,"OPER_INC_GROWTH","FQ1 2018","FQ1 2018","Currency=INR","Period=FQ","BEST_FPERIOD_OVERRIDE=FQ","FILING_STATUS=OR","EQY_CONSOLIDATED=Y","FA_ADJUSTED=GAAP","Sort=A","Dates=H","DateFormat=P","Fill=—","Direction=H","UseDPDF=Y")</f>
        <v>#NAME?</v>
      </c>
      <c r="W224" s="2" t="e">
        <f ca="1">_xll.BDH($C$203,"EARN_FOR_COM_GROWTH","FQ1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24" s="2" t="e">
        <f ca="1">_xll.BDH($C$203,"DILUTED_EPS_AFT_XO_ITEMS_GROWTH","FQ1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24" s="2" t="e">
        <f ca="1">_xll.BDH($C$203,"DIVIDEND_PER_SHARE_1_YEAR_GROWTH","FQ1 2018","FQ1 2018","Currency=INR","Period=FQ","BEST_FPERIOD_OVERRIDE=FQ","FILING_STATUS=OR","EQY_CONSOLIDATED=Y","Sort=A","Dates=H","DateFormat=P","Fill=—","Direction=H","UseDPDF=Y")</f>
        <v>#NAME?</v>
      </c>
      <c r="Z224" s="2" t="e">
        <f ca="1">_xll.BDH($C$203,"ACCOUNTS_RECEIVABLE_GROWTH","FQ1 2018","FQ1 2018","Currency=INR","Period=FQ","BEST_FPERIOD_OVERRIDE=FQ","FILING_STATUS=OR","EQY_CONSOLIDATED=Y","Sort=A","Dates=H","DateFormat=P","Fill=—","Direction=H","UseDPDF=Y")</f>
        <v>#NAME?</v>
      </c>
      <c r="AA224" s="2" t="e">
        <f ca="1">_xll.BDH($C$203,"INVENTORY_GROWTH","FQ1 2018","FQ1 2018","Currency=INR","Period=FQ","BEST_FPERIOD_OVERRIDE=FQ","FILING_STATUS=OR","EQY_CONSOLIDATED=Y","Sort=A","Dates=H","DateFormat=P","Fill=—","Direction=H","UseDPDF=Y")</f>
        <v>#NAME?</v>
      </c>
      <c r="AB224" s="2" t="e">
        <f ca="1">_xll.BDH($C$203,"NET_FIXED_ASSETS_1_YEAR_GROWTH","FQ1 2018","FQ1 2018","Currency=INR","Period=FQ","BEST_FPERIOD_OVERRIDE=FQ","FILING_STATUS=OR","EQY_CONSOLIDATED=Y","Sort=A","Dates=H","DateFormat=P","Fill=—","Direction=H","UseDPDF=Y")</f>
        <v>#NAME?</v>
      </c>
      <c r="AC224" s="2" t="e">
        <f ca="1">_xll.BDH($C$203,"ASSET_GROWTH","FQ1 2018","FQ1 2018","Currency=INR","Period=FQ","BEST_FPERIOD_OVERRIDE=FQ","FILING_STATUS=OR","EQY_CONSOLIDATED=Y","Sort=A","Dates=H","DateFormat=P","Fill=—","Direction=H","UseDPDF=Y")</f>
        <v>#NAME?</v>
      </c>
      <c r="AD224" s="2" t="e">
        <f ca="1">_xll.BDH($C$203,"MODIFIED_WORK_CAP_GROWTH","FQ1 2018","FQ1 2018","Currency=INR","Period=FQ","BEST_FPERIOD_OVERRIDE=FQ","FILING_STATUS=OR","EQY_CONSOLIDATED=Y","Sort=A","Dates=H","DateFormat=P","Fill=—","Direction=H","UseDPDF=Y")</f>
        <v>#NAME?</v>
      </c>
      <c r="AE224" s="2" t="e">
        <f ca="1">_xll.BDH($C$203,"WORK_CAP_GROWTH","FQ1 2018","FQ1 2018","Currency=INR","Period=FQ","BEST_FPERIOD_OVERRIDE=FQ","FILING_STATUS=OR","EQY_CONSOLIDATED=Y","Sort=A","Dates=H","DateFormat=P","Fill=—","Direction=H","UseDPDF=Y")</f>
        <v>#NAME?</v>
      </c>
      <c r="AF224" s="2" t="e">
        <f ca="1">_xll.BDH($C$203,"ACCOUNTS_PAYABLE_GROWTH_1YR","FQ1 2018","FQ1 2018","Currency=INR","Period=FQ","BEST_FPERIOD_OVERRIDE=FQ","FILING_STATUS=OR","EQY_CONSOLIDATED=Y","Sort=A","Dates=H","DateFormat=P","Fill=—","Direction=H","UseDPDF=Y")</f>
        <v>#NAME?</v>
      </c>
      <c r="AG224" s="2" t="e">
        <f ca="1">_xll.BDH($C$203,"SHORT_TERM_DEBT_1_YEAR_GROWTH","FQ1 2018","FQ1 2018","Currency=INR","Period=FQ","BEST_FPERIOD_OVERRIDE=FQ","FILING_STATUS=OR","EQY_CONSOLIDATED=Y","Sort=A","Dates=H","DateFormat=P","Fill=—","Direction=H","UseDPDF=Y")</f>
        <v>#NAME?</v>
      </c>
      <c r="AH224" s="2" t="e">
        <f ca="1">_xll.BDH($C$203,"TOTAL_DEBT_1_YEAR_GROWTH","FQ1 2018","FQ1 2018","Currency=INR","Period=FQ","BEST_FPERIOD_OVERRIDE=FQ","FILING_STATUS=OR","EQY_CONSOLIDATED=Y","Sort=A","Dates=H","DateFormat=P","Fill=—","Direction=H","UseDPDF=Y")</f>
        <v>#NAME?</v>
      </c>
      <c r="AI224" s="2" t="e">
        <f ca="1">_xll.BDH($C$203,"TOTAL_EQUITY_1_YEAR_GROWTH","FQ1 2018","FQ1 2018","Currency=INR","Period=FQ","BEST_FPERIOD_OVERRIDE=FQ","FILING_STATUS=OR","EQY_CONSOLIDATED=Y","Sort=A","Dates=H","DateFormat=P","Fill=—","Direction=H","UseDPDF=Y")</f>
        <v>#NAME?</v>
      </c>
      <c r="AJ224" s="2" t="e">
        <f ca="1">_xll.BDH($C$203,"GROWTH_IN_CAP","FQ1 2018","FQ1 2018","Currency=INR","Period=FQ","BEST_FPERIOD_OVERRIDE=FQ","FILING_STATUS=OR","EQY_CONSOLIDATED=Y","Sort=A","Dates=H","DateFormat=P","Fill=—","Direction=H","UseDPDF=Y")</f>
        <v>#NAME?</v>
      </c>
      <c r="AK224" s="2" t="e">
        <f ca="1">_xll.BDH($C$203,"BVPS_GROWTH","FQ1 2018","FQ1 2018","Currency=INR","Period=FQ","BEST_FPERIOD_OVERRIDE=FQ","FILING_STATUS=OR","EQY_CONSOLIDATED=Y","Sort=A","Dates=H","DateFormat=P","Fill=—","Direction=H","UseDPDF=Y")</f>
        <v>#NAME?</v>
      </c>
      <c r="AL224" s="2" t="e">
        <f ca="1">_xll.BDH($C$203,"CASH_FLOW_GROWTH","FQ1 2018","FQ1 2018","Currency=INR","Period=FQ","BEST_FPERIOD_OVERRIDE=FQ","FILING_STATUS=OR","EQY_CONSOLIDATED=Y","Sort=A","Dates=H","DateFormat=P","Fill=—","Direction=H","UseDPDF=Y")</f>
        <v>#NAME?</v>
      </c>
      <c r="AM224" s="2" t="e">
        <f ca="1">_xll.BDH($C$203,"GEO_GROW_NET_SALES","FQ1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24" s="2" t="e">
        <f ca="1">_xll.BDH($C$203,"GEO_GROW_EBITDA","FQ1 2018","FQ1 2018","Currency=INR","Period=FQ","BEST_FPERIOD_OVERRIDE=FQ","FILING_STATUS=OR","EQY_CONSOLIDATED=Y","FA_ADJUSTED=GAAP","Sort=A","Dates=H","DateFormat=P","Fill=—","Direction=H","UseDPDF=Y")</f>
        <v>#NAME?</v>
      </c>
      <c r="AO224" s="2" t="e">
        <f ca="1">_xll.BDH($C$203,"GEO_GROW_OPER_INC","FQ1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24" s="2" t="e">
        <f ca="1">_xll.BDH($C$203,"NET_INCOME_TO_COMMON_5_YR_GROWTH","FQ1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24" s="2" t="e">
        <f ca="1">_xll.BDH($C$203,"5Y_GEO_GROWTH_DILUTED_EPS","FQ1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24" s="2" t="e">
        <f ca="1">_xll.BDH($C$203,"GEO_GROW_DVD_PER_SH","FQ1 2018","FQ1 2018","Currency=INR","Period=FQ","BEST_FPERIOD_OVERRIDE=FQ","FILING_STATUS=OR","EQY_CONSOLIDATED=Y","Sort=A","Dates=H","DateFormat=P","Fill=—","Direction=H","UseDPDF=Y")</f>
        <v>#NAME?</v>
      </c>
      <c r="AS224" s="2" t="e">
        <f ca="1">_xll.BDH($C$203,"ACCOUNTS_RECEIVABLE_5_YR_GROWTH","FQ1 2018","FQ1 2018","Currency=INR","Period=FQ","BEST_FPERIOD_OVERRIDE=FQ","FILING_STATUS=OR","EQY_CONSOLIDATED=Y","Sort=A","Dates=H","DateFormat=P","Fill=—","Direction=H","UseDPDF=Y")</f>
        <v>#NAME?</v>
      </c>
      <c r="AT224" s="2" t="e">
        <f ca="1">_xll.BDH($C$203,"INVENTORY_5_YEAR_GROWTH","FQ1 2018","FQ1 2018","Currency=INR","Period=FQ","BEST_FPERIOD_OVERRIDE=FQ","FILING_STATUS=OR","EQY_CONSOLIDATED=Y","Sort=A","Dates=H","DateFormat=P","Fill=—","Direction=H","UseDPDF=Y")</f>
        <v>#NAME?</v>
      </c>
      <c r="AU224" s="2" t="e">
        <f ca="1">_xll.BDH($C$203,"NET_FIXED_ASSETS_5_YEAR_GROWTH","FQ1 2018","FQ1 2018","Currency=INR","Period=FQ","BEST_FPERIOD_OVERRIDE=FQ","FILING_STATUS=OR","EQY_CONSOLIDATED=Y","Sort=A","Dates=H","DateFormat=P","Fill=—","Direction=H","UseDPDF=Y")</f>
        <v>#NAME?</v>
      </c>
      <c r="AV224" s="2" t="e">
        <f ca="1">_xll.BDH($C$203,"GEO_GROW_TOT_ASSET","FQ1 2018","FQ1 2018","Currency=INR","Period=FQ","BEST_FPERIOD_OVERRIDE=FQ","FILING_STATUS=OR","EQY_CONSOLIDATED=Y","Sort=A","Dates=H","DateFormat=P","Fill=—","Direction=H","UseDPDF=Y")</f>
        <v>#NAME?</v>
      </c>
      <c r="AW224" s="2" t="e">
        <f ca="1">_xll.BDH($C$203,"MODIFIED_WORKING_CPTL_5YR_GRWTH","FQ1 2018","FQ1 2018","Currency=INR","Period=FQ","BEST_FPERIOD_OVERRIDE=FQ","FILING_STATUS=OR","EQY_CONSOLIDATED=Y","Sort=A","Dates=H","DateFormat=P","Fill=—","Direction=H","UseDPDF=Y")</f>
        <v>#NAME?</v>
      </c>
      <c r="AX224" s="2" t="e">
        <f ca="1">_xll.BDH($C$203,"WORKING_CAPITAL_5_YEAR_GROWTH","FQ1 2018","FQ1 2018","Currency=INR","Period=FQ","BEST_FPERIOD_OVERRIDE=FQ","FILING_STATUS=OR","EQY_CONSOLIDATED=Y","Sort=A","Dates=H","DateFormat=P","Fill=—","Direction=H","UseDPDF=Y")</f>
        <v>#NAME?</v>
      </c>
      <c r="AY224" s="2" t="e">
        <f ca="1">_xll.BDH($C$203,"ACCOUNTS_PAYABLE_5_YEAR_GROWTH","FQ1 2018","FQ1 2018","Currency=INR","Period=FQ","BEST_FPERIOD_OVERRIDE=FQ","FILING_STATUS=OR","EQY_CONSOLIDATED=Y","Sort=A","Dates=H","DateFormat=P","Fill=—","Direction=H","UseDPDF=Y")</f>
        <v>#NAME?</v>
      </c>
      <c r="AZ224" s="2" t="e">
        <f ca="1">_xll.BDH($C$203,"SHORT_TERM_DEBT_5_YEAR_GROWTH","FQ1 2018","FQ1 2018","Currency=INR","Period=FQ","BEST_FPERIOD_OVERRIDE=FQ","FILING_STATUS=OR","EQY_CONSOLIDATED=Y","Sort=A","Dates=H","DateFormat=P","Fill=—","Direction=H","UseDPDF=Y")</f>
        <v>#NAME?</v>
      </c>
      <c r="BA224" s="2" t="e">
        <f ca="1">_xll.BDH($C$203,"TOTAL_DEBT_5_YEAR_GROWTH","FQ1 2018","FQ1 2018","Currency=INR","Period=FQ","BEST_FPERIOD_OVERRIDE=FQ","FILING_STATUS=OR","EQY_CONSOLIDATED=Y","Sort=A","Dates=H","DateFormat=P","Fill=—","Direction=H","UseDPDF=Y")</f>
        <v>#NAME?</v>
      </c>
      <c r="BB224" s="2" t="e">
        <f ca="1">_xll.BDH($C$203,"GEO_GROW_TOT_SHRHLDR_EQY","FQ1 2018","FQ1 2018","Currency=INR","Period=FQ","BEST_FPERIOD_OVERRIDE=FQ","FILING_STATUS=OR","EQY_CONSOLIDATED=Y","Sort=A","Dates=H","DateFormat=P","Fill=—","Direction=H","UseDPDF=Y")</f>
        <v>#NAME?</v>
      </c>
      <c r="BC224" s="2" t="e">
        <f ca="1">_xll.BDH($C$203,"TOTAL_CAPITAL_5_YEAR_GROWTH","FQ1 2018","FQ1 2018","Currency=INR","Period=FQ","BEST_FPERIOD_OVERRIDE=FQ","FILING_STATUS=OR","EQY_CONSOLIDATED=Y","Sort=A","Dates=H","DateFormat=P","Fill=—","Direction=H","UseDPDF=Y")</f>
        <v>#NAME?</v>
      </c>
      <c r="BD224" s="2" t="e">
        <f ca="1">_xll.BDH($C$203,"GEO_GROW_BOOK_VAL","FQ1 2018","FQ1 2018","Currency=INR","Period=FQ","BEST_FPERIOD_OVERRIDE=FQ","FILING_STATUS=OR","EQY_CONSOLIDATED=Y","Sort=A","Dates=H","DateFormat=P","Fill=—","Direction=H","UseDPDF=Y")</f>
        <v>#NAME?</v>
      </c>
      <c r="BE224" s="2" t="e">
        <f ca="1">_xll.BDH($C$203,"GEO_GROW_CASH_OPER_ACT","FQ1 2018","FQ1 2018","Currency=INR","Period=FQ","BEST_FPERIOD_OVERRIDE=FQ","FILING_STATUS=OR","EQY_CONSOLIDATED=Y","Sort=A","Dates=H","DateFormat=P","Fill=—","Direction=H","UseDPDF=Y")</f>
        <v>#NAME?</v>
      </c>
      <c r="BF224" s="2" t="e">
        <f ca="1">_xll.BDH($C$203,"REVENUE_SEQUENTIAL_GROWTH","FQ1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24" s="2" t="e">
        <f ca="1">_xll.BDH($C$203,"EBITDA_SEQUENTIAL_GROWTH","FQ1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24" s="2" t="e">
        <f ca="1">_xll.BDH($C$203,"OPERATING_INCOME_SEQ_GROWTH","FQ1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24" s="2" t="e">
        <f ca="1">_xll.BDH($C$203,"NET_INCOME_TO_COMMON_SEQ_GROWTH","FQ1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24" s="2" t="e">
        <f ca="1">_xll.BDH($C$203,"EPS_DILUTED_SEQUENTIAL_GROWTH","FQ1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24" s="2" t="e">
        <f ca="1">_xll.BDH($C$203,"DPS_SEQUENTIAL_GROWTH","FQ1 2018","FQ1 2018","Currency=INR","Period=FQ","BEST_FPERIOD_OVERRIDE=FQ","FILING_STATUS=OR","EQY_CONSOLIDATED=Y","Sort=A","Dates=H","DateFormat=P","Fill=—","Direction=H","UseDPDF=Y")</f>
        <v>#NAME?</v>
      </c>
      <c r="BL224" s="2" t="e">
        <f ca="1">_xll.BDH($C$203,"ACCOUNTS_RECEIVABLE_SEQ_GROWTH","FQ1 2018","FQ1 2018","Currency=INR","Period=FQ","BEST_FPERIOD_OVERRIDE=FQ","FILING_STATUS=OR","EQY_CONSOLIDATED=Y","Sort=A","Dates=H","DateFormat=P","Fill=—","Direction=H","UseDPDF=Y")</f>
        <v>#NAME?</v>
      </c>
      <c r="BM224" s="2" t="e">
        <f ca="1">_xll.BDH($C$203,"INVENTORY_SEQUENTIAL_GROWTH","FQ1 2018","FQ1 2018","Currency=INR","Period=FQ","BEST_FPERIOD_OVERRIDE=FQ","FILING_STATUS=OR","EQY_CONSOLIDATED=Y","Sort=A","Dates=H","DateFormat=P","Fill=—","Direction=H","UseDPDF=Y")</f>
        <v>#NAME?</v>
      </c>
      <c r="BN224" s="2" t="e">
        <f ca="1">_xll.BDH($C$203,"FIXED_ASSETS_SEQUENTIAL_GROWTH","FQ1 2018","FQ1 2018","Currency=INR","Period=FQ","BEST_FPERIOD_OVERRIDE=FQ","FILING_STATUS=OR","EQY_CONSOLIDATED=Y","Sort=A","Dates=H","DateFormat=P","Fill=—","Direction=H","UseDPDF=Y")</f>
        <v>#NAME?</v>
      </c>
      <c r="BO224" s="2" t="e">
        <f ca="1">_xll.BDH($C$203,"TOTAL_ASSETS_SEQUENTIAL_GROWTH","FQ1 2018","FQ1 2018","Currency=INR","Period=FQ","BEST_FPERIOD_OVERRIDE=FQ","FILING_STATUS=OR","EQY_CONSOLIDATED=Y","Sort=A","Dates=H","DateFormat=P","Fill=—","Direction=H","UseDPDF=Y")</f>
        <v>#NAME?</v>
      </c>
      <c r="BP224" s="2" t="e">
        <f ca="1">_xll.BDH($C$203,"MODIFIED_WORKING_CPTL_SEQ_GRWTH","FQ1 2018","FQ1 2018","Currency=INR","Period=FQ","BEST_FPERIOD_OVERRIDE=FQ","FILING_STATUS=OR","EQY_CONSOLIDATED=Y","Sort=A","Dates=H","DateFormat=P","Fill=—","Direction=H","UseDPDF=Y")</f>
        <v>#NAME?</v>
      </c>
      <c r="BQ224" s="2" t="e">
        <f ca="1">_xll.BDH($C$203,"WORKING_CAPITAL_SEQ_GROWTH","FQ1 2018","FQ1 2018","Currency=INR","Period=FQ","BEST_FPERIOD_OVERRIDE=FQ","FILING_STATUS=OR","EQY_CONSOLIDATED=Y","Sort=A","Dates=H","DateFormat=P","Fill=—","Direction=H","UseDPDF=Y")</f>
        <v>#NAME?</v>
      </c>
      <c r="BR224" s="2" t="e">
        <f ca="1">_xll.BDH($C$203,"ACCOUNTS_PAYABLE_SEQ_GROWTH","FQ1 2018","FQ1 2018","Currency=INR","Period=FQ","BEST_FPERIOD_OVERRIDE=FQ","FILING_STATUS=OR","EQY_CONSOLIDATED=Y","Sort=A","Dates=H","DateFormat=P","Fill=—","Direction=H","UseDPDF=Y")</f>
        <v>#NAME?</v>
      </c>
      <c r="BS224" s="2" t="e">
        <f ca="1">_xll.BDH($C$203,"ST_DEBT_SEQUENTIAL_GROWTH","FQ1 2018","FQ1 2018","Currency=INR","Period=FQ","BEST_FPERIOD_OVERRIDE=FQ","FILING_STATUS=OR","EQY_CONSOLIDATED=Y","Sort=A","Dates=H","DateFormat=P","Fill=—","Direction=H","UseDPDF=Y")</f>
        <v>#NAME?</v>
      </c>
      <c r="BT224" s="2" t="e">
        <f ca="1">_xll.BDH($C$203,"TOTAL_DEBT_SEQUENTIAL_GROWTH","FQ1 2018","FQ1 2018","Currency=INR","Period=FQ","BEST_FPERIOD_OVERRIDE=FQ","FILING_STATUS=OR","EQY_CONSOLIDATED=Y","Sort=A","Dates=H","DateFormat=P","Fill=—","Direction=H","UseDPDF=Y")</f>
        <v>#NAME?</v>
      </c>
      <c r="BU224" s="2" t="e">
        <f ca="1">_xll.BDH($C$203,"TOTAL_EQUITY_SEQUENTIAL_GROWTH","FQ1 2018","FQ1 2018","Currency=INR","Period=FQ","BEST_FPERIOD_OVERRIDE=FQ","FILING_STATUS=OR","EQY_CONSOLIDATED=Y","Sort=A","Dates=H","DateFormat=P","Fill=—","Direction=H","UseDPDF=Y")</f>
        <v>#NAME?</v>
      </c>
      <c r="BV224" s="2" t="e">
        <f ca="1">_xll.BDH($C$203,"TOTAL_CAPITAL_SEQUENTIAL_GROWTH","FQ1 2018","FQ1 2018","Currency=INR","Period=FQ","BEST_FPERIOD_OVERRIDE=FQ","FILING_STATUS=OR","EQY_CONSOLIDATED=Y","Sort=A","Dates=H","DateFormat=P","Fill=—","Direction=H","UseDPDF=Y")</f>
        <v>#NAME?</v>
      </c>
      <c r="BW224" s="2" t="e">
        <f ca="1">_xll.BDH($C$203,"BPS_SEQUENTIAL_GROWTH","FQ1 2018","FQ1 2018","Currency=INR","Period=FQ","BEST_FPERIOD_OVERRIDE=FQ","FILING_STATUS=OR","EQY_CONSOLIDATED=Y","Sort=A","Dates=H","DateFormat=P","Fill=—","Direction=H","UseDPDF=Y")</f>
        <v>#NAME?</v>
      </c>
      <c r="BX224" s="2" t="e">
        <f ca="1">_xll.BDH($C$203,"CFO_SEQUENTIAL_GROWTH","FQ1 2018","FQ1 2018","Currency=INR","Period=FQ","BEST_FPERIOD_OVERRIDE=FQ","FILING_STATUS=OR","EQY_CONSOLIDATED=Y","Sort=A","Dates=H","DateFormat=P","Fill=—","Direction=H","UseDPDF=Y")</f>
        <v>#NAME?</v>
      </c>
      <c r="BY224" s="3" t="e">
        <f ca="1">_xll.BDH($C$203,"SHORT_AND_LONG_TERM_DEBT","FQ1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24" s="3" t="e">
        <f ca="1">_xll.BDH($C$203,"BS_ST_BORROW","FQ1 2018","FQ1 2018","Currency=INR","Period=FQ","BEST_FPERIOD_OVERRIDE=FQ","FILING_STATUS=OR","EQY_CONSOLIDATED=Y","SCALING_FORMAT=MLN","Sort=A","Dates=H","DateFormat=P","Fill=—","Direction=H","UseDPDF=Y")</f>
        <v>#NAME?</v>
      </c>
      <c r="CA224" s="3" t="e">
        <f ca="1">_xll.BDH($C$203,"BS_LT_BORROW","FQ1 2018","FQ1 2018","Currency=INR","Period=FQ","BEST_FPERIOD_OVERRIDE=FQ","FILING_STATUS=OR","EQY_CONSOLIDATED=Y","SCALING_FORMAT=MLN","Sort=A","Dates=H","DateFormat=P","Fill=—","Direction=H","UseDPDF=Y")</f>
        <v>#NAME?</v>
      </c>
      <c r="CB224" s="2" t="e">
        <f ca="1">_xll.BDH($C$203,"TOT_DEBT_TO_EBITDA","FQ1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24" s="2" t="e">
        <f ca="1">_xll.BDH($C$203,"NET_DEBT_TO_EBITDA","FQ1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24" s="2" t="e">
        <f ca="1">_xll.BDH($C$203,"TOTAL_DEBT_TO_EBIT","FQ1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24" s="2" t="e">
        <f ca="1">_xll.BDH($C$203,"NET_DEBT_TO_EBIT","FQ1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24" s="2" t="e">
        <f ca="1">_xll.BDH($C$203,"EBITDA_TO_INTEREST_EXPN","FQ1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24" s="2" t="e">
        <f ca="1">_xll.BDH($C$203,"COM_EQY_TO_TOT_ASSET","FQ1 2018","FQ1 2018","Currency=INR","Period=FQ","BEST_FPERIOD_OVERRIDE=FQ","FILING_STATUS=OR","EQY_CONSOLIDATED=Y","Sort=A","Dates=H","DateFormat=P","Fill=—","Direction=H","UseDPDF=Y")</f>
        <v>#NAME?</v>
      </c>
      <c r="CH224" s="2" t="e">
        <f ca="1">_xll.BDH($C$203,"LT_DEBT_TO_TOT_EQY","FQ1 2018","FQ1 2018","Currency=INR","Period=FQ","BEST_FPERIOD_OVERRIDE=FQ","FILING_STATUS=OR","EQY_CONSOLIDATED=Y","Sort=A","Dates=H","DateFormat=P","Fill=—","Direction=H","UseDPDF=Y")</f>
        <v>#NAME?</v>
      </c>
      <c r="CI224" s="2" t="e">
        <f ca="1">_xll.BDH($C$203,"LT_DEBT_TO_TOT_CAP","FQ1 2018","FQ1 2018","Currency=INR","Period=FQ","BEST_FPERIOD_OVERRIDE=FQ","FILING_STATUS=OR","EQY_CONSOLIDATED=Y","Sort=A","Dates=H","DateFormat=P","Fill=—","Direction=H","UseDPDF=Y")</f>
        <v>#NAME?</v>
      </c>
      <c r="CJ224" s="2" t="e">
        <f ca="1">_xll.BDH($C$203,"LT_DEBT_TO_TOT_ASSET","FQ1 2018","FQ1 2018","Currency=INR","Period=FQ","BEST_FPERIOD_OVERRIDE=FQ","FILING_STATUS=OR","EQY_CONSOLIDATED=Y","Sort=A","Dates=H","DateFormat=P","Fill=—","Direction=H","UseDPDF=Y")</f>
        <v>#NAME?</v>
      </c>
      <c r="CK224" s="2" t="e">
        <f ca="1">_xll.BDH($C$203,"TOT_DEBT_TO_TOT_EQY","FQ1 2018","FQ1 2018","Currency=INR","Period=FQ","BEST_FPERIOD_OVERRIDE=FQ","FILING_STATUS=OR","EQY_CONSOLIDATED=Y","Sort=A","Dates=H","DateFormat=P","Fill=—","Direction=H","UseDPDF=Y")</f>
        <v>#NAME?</v>
      </c>
      <c r="CL224" s="2" t="e">
        <f ca="1">_xll.BDH($C$203,"TOT_DEBT_TO_TOT_CAP","FQ1 2018","FQ1 2018","Currency=INR","Period=FQ","BEST_FPERIOD_OVERRIDE=FQ","FILING_STATUS=OR","EQY_CONSOLIDATED=Y","Sort=A","Dates=H","DateFormat=P","Fill=—","Direction=H","UseDPDF=Y")</f>
        <v>#NAME?</v>
      </c>
      <c r="CM224" s="2" t="e">
        <f ca="1">_xll.BDH($C$203,"TOT_DEBT_TO_TOT_ASSET","FQ1 2018","FQ1 2018","Currency=INR","Period=FQ","BEST_FPERIOD_OVERRIDE=FQ","FILING_STATUS=OR","EQY_CONSOLIDATED=Y","Sort=A","Dates=H","DateFormat=P","Fill=—","Direction=H","UseDPDF=Y")</f>
        <v>#NAME?</v>
      </c>
      <c r="CN224" s="2" t="e">
        <f ca="1">_xll.BDH($C$203,"NET_DEBT_TO_SHRHLDR_EQTY","FQ1 2018","FQ1 2018","Currency=INR","Period=FQ","BEST_FPERIOD_OVERRIDE=FQ","FILING_STATUS=OR","EQY_CONSOLIDATED=Y","Sort=A","Dates=H","DateFormat=P","Fill=—","Direction=H","UseDPDF=Y")</f>
        <v>#NAME?</v>
      </c>
      <c r="CO224" s="2" t="e">
        <f ca="1">_xll.BDH($C$203,"NET_DEBT_%_CAPITAL","FQ1 2018","FQ1 2018","Currency=INR","Period=FQ","BEST_FPERIOD_OVERRIDE=FQ","FILING_STATUS=OR","EQY_CONSOLIDATED=Y","Sort=A","Dates=H","DateFormat=P","Fill=—","Direction=H","UseDPDF=Y")</f>
        <v>#NAME?</v>
      </c>
      <c r="CP224" s="3" t="e">
        <f ca="1">_xll.BDH($C$203,"EBITDA","FQ1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24" s="3" t="e">
        <f ca="1">_xll.BDH($C$203,"EBITDA_AFTER_CAPEX","FQ1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24" s="3" t="e">
        <f ca="1">_xll.BDH($C$203,"IS_OPER_INC","FQ1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24" s="2" t="e">
        <f ca="1">_xll.BDH($C$203,"CASH_RATIO","FQ1 2018","FQ1 2018","Currency=INR","Period=FQ","BEST_FPERIOD_OVERRIDE=FQ","FILING_STATUS=OR","EQY_CONSOLIDATED=Y","Sort=A","Dates=H","DateFormat=P","Fill=—","Direction=H","UseDPDF=Y")</f>
        <v>#NAME?</v>
      </c>
      <c r="CT224" s="2" t="e">
        <f ca="1">_xll.BDH($C$203,"CUR_RATIO","FQ1 2018","FQ1 2018","Currency=INR","Period=FQ","BEST_FPERIOD_OVERRIDE=FQ","FILING_STATUS=OR","EQY_CONSOLIDATED=Y","Sort=A","Dates=H","DateFormat=P","Fill=—","Direction=H","UseDPDF=Y")</f>
        <v>#NAME?</v>
      </c>
      <c r="CU224" s="2" t="e">
        <f ca="1">_xll.BDH($C$203,"QUICK_RATIO","FQ1 2018","FQ1 2018","Currency=INR","Period=FQ","BEST_FPERIOD_OVERRIDE=FQ","FILING_STATUS=OR","EQY_CONSOLIDATED=Y","Sort=A","Dates=H","DateFormat=P","Fill=—","Direction=H","UseDPDF=Y")</f>
        <v>#NAME?</v>
      </c>
      <c r="CV224" s="2" t="e">
        <f ca="1">_xll.BDH($C$203,"ALTMAN_Z_SCORE","FQ1 2018","FQ1 2018","Currency=INR","Period=FQ","BEST_FPERIOD_OVERRIDE=FQ","FILING_STATUS=OR","EQY_CONSOLIDATED=Y","Sort=A","Dates=H","DateFormat=P","Fill=—","Direction=H","UseDPDF=Y")</f>
        <v>#NAME?</v>
      </c>
      <c r="CW224" s="4" t="e">
        <f ca="1">_xll.BDH($C$203,"ACCT_RCV_TURN","FQ1 2018","FQ1 2018","Currency=INR","Period=FQ","BEST_FPERIOD_OVERRIDE=FQ","FILING_STATUS=OR","EQY_CONSOLIDATED=Y","FA_ADJUSTED=GAAP","Sort=A","Dates=H","DateFormat=P","Fill=—","Direction=H","UseDPDF=Y")</f>
        <v>#NAME?</v>
      </c>
      <c r="CX224" s="2" t="e">
        <f ca="1">_xll.BDH($C$203,"ACCT_RCV_DAYS","FQ1 2018","FQ1 2018","Currency=INR","Period=FQ","BEST_FPERIOD_OVERRIDE=FQ","FILING_STATUS=OR","EQY_CONSOLIDATED=Y","FA_ADJUSTED=GAAP","Sort=A","Dates=H","DateFormat=P","Fill=—","Direction=H","UseDPDF=Y")</f>
        <v>#NAME?</v>
      </c>
      <c r="CY224" s="4" t="e">
        <f ca="1">_xll.BDH($C$203,"INVENT_TURN","FQ1 2018","FQ1 2018","Currency=INR","Period=FQ","BEST_FPERIOD_OVERRIDE=FQ","FILING_STATUS=OR","EQY_CONSOLIDATED=Y","FA_ADJUSTED=GAAP","Sort=A","Dates=H","DateFormat=P","Fill=—","Direction=H","UseDPDF=Y")</f>
        <v>#NAME?</v>
      </c>
      <c r="CZ224" s="2" t="e">
        <f ca="1">_xll.BDH($C$203,"INVENT_DAYS","FQ1 2018","FQ1 2018","Currency=INR","Period=FQ","BEST_FPERIOD_OVERRIDE=FQ","FILING_STATUS=OR","EQY_CONSOLIDATED=Y","FA_ADJUSTED=GAAP","Sort=A","Dates=H","DateFormat=P","Fill=—","Direction=H","UseDPDF=Y")</f>
        <v>#NAME?</v>
      </c>
      <c r="DA224" s="4" t="e">
        <f ca="1">_xll.BDH($C$203,"ACCOUNTS_PAYABLE_TURNOVER","FQ1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24" s="2" t="e">
        <f ca="1">_xll.BDH($C$203,"ACCOUNTS_PAYABLE_TURNOVER_DAYS","FQ1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24" s="4" t="e">
        <f ca="1">_xll.BDH($C$203,"CASH_CONVERSION_CYCLE","FQ1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24" s="4" t="e">
        <f ca="1">_xll.BDH($C$203,"INV_TO_CASH_DAYS","FQ1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24" s="5" t="e">
        <f ca="1">_xll.BDH($C$203,"BS_INVENTORIES","FQ1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24" s="3" t="e">
        <f ca="1">_xll.BDH($C$203,"INVTRY_RAW_MATERIALS","FQ1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24" s="3" t="e">
        <f ca="1">_xll.BDH($C$203,"INVTRY_IN_PROGRESS","FQ1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24" s="3" t="e">
        <f ca="1">_xll.BDH($C$203,"INVTRY_FINISHED_GOODS","FQ1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24" s="3" t="e">
        <f ca="1">_xll.BDH($C$203,"BS_OTHER_INV","FQ1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25" spans="1:113" x14ac:dyDescent="0.3">
      <c r="A225" s="6"/>
      <c r="B225" s="6"/>
      <c r="C225" s="6"/>
      <c r="D225" s="6"/>
      <c r="E225" t="s">
        <v>79</v>
      </c>
      <c r="F225" t="e">
        <f ca="1">_xll.BDH($C$203,"RETURN_COM_EQY","FQ2 2018","FQ2 2018","Currency=INR","Period=FQ","BEST_FPERIOD_OVERRIDE=FQ","FILING_STATUS=OR","EQY_CONSOLIDATED=Y","FA_ADJUSTED=GAAP","Sort=A","Dates=H","DateFormat=P","Fill=—","Direction=H","UseDPDF=Y")</f>
        <v>#NAME?</v>
      </c>
      <c r="G225" t="e">
        <f ca="1">_xll.BDH($C$203,"RETURN_ON_ASSET","FQ2 2018","FQ2 2018","Currency=INR","Period=FQ","BEST_FPERIOD_OVERRIDE=FQ","FILING_STATUS=OR","EQY_CONSOLIDATED=Y","FA_ADJUSTED=GAAP","Sort=A","Dates=H","DateFormat=P","Fill=—","Direction=H","UseDPDF=Y")</f>
        <v>#NAME?</v>
      </c>
      <c r="H225" t="e">
        <f ca="1">_xll.BDH($C$203,"RETURN_ON_CAP","FQ2 2018","FQ2 2018","Currency=INR","Period=FQ","BEST_FPERIOD_OVERRIDE=FQ","FILING_STATUS=OR","EQY_CONSOLIDATED=Y","FA_ADJUSTED=GAAP","Sort=A","Dates=H","DateFormat=P","Fill=—","Direction=H","UseDPDF=Y")</f>
        <v>#NAME?</v>
      </c>
      <c r="I225" t="e">
        <f ca="1">_xll.BDH($C$203,"RETURN_ON_INV_CAPITAL","FQ2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25" t="e">
        <f ca="1">_xll.BDH($C$203,"EBITDA_TO_REVENUE","FQ2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25" t="e">
        <f ca="1">_xll.BDH($C$203,"OPER_MARGIN","FQ2 2018","FQ2 2018","Currency=INR","Period=FQ","BEST_FPERIOD_OVERRIDE=FQ","FILING_STATUS=OR","EQY_CONSOLIDATED=Y","FA_ADJUSTED=GAAP","Sort=A","Dates=H","DateFormat=P","Fill=—","Direction=H","UseDPDF=Y")</f>
        <v>#NAME?</v>
      </c>
      <c r="L225" t="e">
        <f ca="1">_xll.BDH($C$203,"INCREMENTAL_OPERATING_MARGIN","FQ2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25" t="e">
        <f ca="1">_xll.BDH($C$203,"PRETAX_INC_TO_NET_SALES","FQ2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25" t="e">
        <f ca="1">_xll.BDH($C$203,"INC_BEF_XO_ITEMS_TO_NET_SALES","FQ2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25" t="e">
        <f ca="1">_xll.BDH($C$203,"PROF_MARGIN","FQ2 2018","FQ2 2018","Currency=INR","Period=FQ","BEST_FPERIOD_OVERRIDE=FQ","FILING_STATUS=OR","EQY_CONSOLIDATED=Y","FA_ADJUSTED=GAAP","Sort=A","Dates=H","DateFormat=P","Fill=—","Direction=H","UseDPDF=Y")</f>
        <v>#NAME?</v>
      </c>
      <c r="P225" t="e">
        <f ca="1">_xll.BDH($C$203,"NET_INCOME_TO_COMMON_MARGIN","FQ2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25" t="e">
        <f ca="1">_xll.BDH($C$203,"EFF_TAX_RATE","FQ2 2018","FQ2 2018","Currency=INR","Period=FQ","BEST_FPERIOD_OVERRIDE=FQ","FILING_STATUS=OR","EQY_CONSOLIDATED=Y","FA_ADJUSTED=GAAP","Sort=A","Dates=H","DateFormat=P","Fill=—","Direction=H","UseDPDF=Y")</f>
        <v>#NAME?</v>
      </c>
      <c r="R225" t="e">
        <f ca="1">_xll.BDH($C$203,"DVD_PAYOUT_RATIO","FQ2 2018","FQ2 2018","Currency=INR","Period=FQ","BEST_FPERIOD_OVERRIDE=FQ","FILING_STATUS=OR","EQY_CONSOLIDATED=Y","FA_ADJUSTED=GAAP","Sort=A","Dates=H","DateFormat=P","Fill=—","Direction=H","UseDPDF=Y")</f>
        <v>#NAME?</v>
      </c>
      <c r="S225" t="e">
        <f ca="1">_xll.BDH($C$203,"SUSTAIN_GROWTH_RT","FQ2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25" s="2" t="e">
        <f ca="1">_xll.BDH($C$203,"SALES_GROWTH","FQ2 2018","FQ2 2018","Currency=INR","Period=FQ","BEST_FPERIOD_OVERRIDE=FQ","FILING_STATUS=OR","EQY_CONSOLIDATED=Y","FA_ADJUSTED=GAAP","Sort=A","Dates=H","DateFormat=P","Fill=—","Direction=H","UseDPDF=Y")</f>
        <v>#NAME?</v>
      </c>
      <c r="U225" s="2" t="e">
        <f ca="1">_xll.BDH($C$203,"EBITDA_GROWTH","FQ2 2018","FQ2 2018","Currency=INR","Period=FQ","BEST_FPERIOD_OVERRIDE=FQ","FILING_STATUS=OR","EQY_CONSOLIDATED=Y","FA_ADJUSTED=GAAP","Sort=A","Dates=H","DateFormat=P","Fill=—","Direction=H","UseDPDF=Y")</f>
        <v>#NAME?</v>
      </c>
      <c r="V225" s="2" t="e">
        <f ca="1">_xll.BDH($C$203,"OPER_INC_GROWTH","FQ2 2018","FQ2 2018","Currency=INR","Period=FQ","BEST_FPERIOD_OVERRIDE=FQ","FILING_STATUS=OR","EQY_CONSOLIDATED=Y","FA_ADJUSTED=GAAP","Sort=A","Dates=H","DateFormat=P","Fill=—","Direction=H","UseDPDF=Y")</f>
        <v>#NAME?</v>
      </c>
      <c r="W225" s="2" t="e">
        <f ca="1">_xll.BDH($C$203,"EARN_FOR_COM_GROWTH","FQ2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25" s="2" t="e">
        <f ca="1">_xll.BDH($C$203,"DILUTED_EPS_AFT_XO_ITEMS_GROWTH","FQ2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25" s="2" t="e">
        <f ca="1">_xll.BDH($C$203,"DIVIDEND_PER_SHARE_1_YEAR_GROWTH","FQ2 2018","FQ2 2018","Currency=INR","Period=FQ","BEST_FPERIOD_OVERRIDE=FQ","FILING_STATUS=OR","EQY_CONSOLIDATED=Y","Sort=A","Dates=H","DateFormat=P","Fill=—","Direction=H","UseDPDF=Y")</f>
        <v>#NAME?</v>
      </c>
      <c r="Z225" s="2" t="e">
        <f ca="1">_xll.BDH($C$203,"ACCOUNTS_RECEIVABLE_GROWTH","FQ2 2018","FQ2 2018","Currency=INR","Period=FQ","BEST_FPERIOD_OVERRIDE=FQ","FILING_STATUS=OR","EQY_CONSOLIDATED=Y","Sort=A","Dates=H","DateFormat=P","Fill=—","Direction=H","UseDPDF=Y")</f>
        <v>#NAME?</v>
      </c>
      <c r="AA225" s="2" t="e">
        <f ca="1">_xll.BDH($C$203,"INVENTORY_GROWTH","FQ2 2018","FQ2 2018","Currency=INR","Period=FQ","BEST_FPERIOD_OVERRIDE=FQ","FILING_STATUS=OR","EQY_CONSOLIDATED=Y","Sort=A","Dates=H","DateFormat=P","Fill=—","Direction=H","UseDPDF=Y")</f>
        <v>#NAME?</v>
      </c>
      <c r="AB225" s="2" t="e">
        <f ca="1">_xll.BDH($C$203,"NET_FIXED_ASSETS_1_YEAR_GROWTH","FQ2 2018","FQ2 2018","Currency=INR","Period=FQ","BEST_FPERIOD_OVERRIDE=FQ","FILING_STATUS=OR","EQY_CONSOLIDATED=Y","Sort=A","Dates=H","DateFormat=P","Fill=—","Direction=H","UseDPDF=Y")</f>
        <v>#NAME?</v>
      </c>
      <c r="AC225" s="2" t="e">
        <f ca="1">_xll.BDH($C$203,"ASSET_GROWTH","FQ2 2018","FQ2 2018","Currency=INR","Period=FQ","BEST_FPERIOD_OVERRIDE=FQ","FILING_STATUS=OR","EQY_CONSOLIDATED=Y","Sort=A","Dates=H","DateFormat=P","Fill=—","Direction=H","UseDPDF=Y")</f>
        <v>#NAME?</v>
      </c>
      <c r="AD225" s="2" t="e">
        <f ca="1">_xll.BDH($C$203,"MODIFIED_WORK_CAP_GROWTH","FQ2 2018","FQ2 2018","Currency=INR","Period=FQ","BEST_FPERIOD_OVERRIDE=FQ","FILING_STATUS=OR","EQY_CONSOLIDATED=Y","Sort=A","Dates=H","DateFormat=P","Fill=—","Direction=H","UseDPDF=Y")</f>
        <v>#NAME?</v>
      </c>
      <c r="AE225" s="2" t="e">
        <f ca="1">_xll.BDH($C$203,"WORK_CAP_GROWTH","FQ2 2018","FQ2 2018","Currency=INR","Period=FQ","BEST_FPERIOD_OVERRIDE=FQ","FILING_STATUS=OR","EQY_CONSOLIDATED=Y","Sort=A","Dates=H","DateFormat=P","Fill=—","Direction=H","UseDPDF=Y")</f>
        <v>#NAME?</v>
      </c>
      <c r="AF225" s="2" t="e">
        <f ca="1">_xll.BDH($C$203,"ACCOUNTS_PAYABLE_GROWTH_1YR","FQ2 2018","FQ2 2018","Currency=INR","Period=FQ","BEST_FPERIOD_OVERRIDE=FQ","FILING_STATUS=OR","EQY_CONSOLIDATED=Y","Sort=A","Dates=H","DateFormat=P","Fill=—","Direction=H","UseDPDF=Y")</f>
        <v>#NAME?</v>
      </c>
      <c r="AG225" s="2" t="e">
        <f ca="1">_xll.BDH($C$203,"SHORT_TERM_DEBT_1_YEAR_GROWTH","FQ2 2018","FQ2 2018","Currency=INR","Period=FQ","BEST_FPERIOD_OVERRIDE=FQ","FILING_STATUS=OR","EQY_CONSOLIDATED=Y","Sort=A","Dates=H","DateFormat=P","Fill=—","Direction=H","UseDPDF=Y")</f>
        <v>#NAME?</v>
      </c>
      <c r="AH225" s="2" t="e">
        <f ca="1">_xll.BDH($C$203,"TOTAL_DEBT_1_YEAR_GROWTH","FQ2 2018","FQ2 2018","Currency=INR","Period=FQ","BEST_FPERIOD_OVERRIDE=FQ","FILING_STATUS=OR","EQY_CONSOLIDATED=Y","Sort=A","Dates=H","DateFormat=P","Fill=—","Direction=H","UseDPDF=Y")</f>
        <v>#NAME?</v>
      </c>
      <c r="AI225" s="2" t="e">
        <f ca="1">_xll.BDH($C$203,"TOTAL_EQUITY_1_YEAR_GROWTH","FQ2 2018","FQ2 2018","Currency=INR","Period=FQ","BEST_FPERIOD_OVERRIDE=FQ","FILING_STATUS=OR","EQY_CONSOLIDATED=Y","Sort=A","Dates=H","DateFormat=P","Fill=—","Direction=H","UseDPDF=Y")</f>
        <v>#NAME?</v>
      </c>
      <c r="AJ225" s="2" t="e">
        <f ca="1">_xll.BDH($C$203,"GROWTH_IN_CAP","FQ2 2018","FQ2 2018","Currency=INR","Period=FQ","BEST_FPERIOD_OVERRIDE=FQ","FILING_STATUS=OR","EQY_CONSOLIDATED=Y","Sort=A","Dates=H","DateFormat=P","Fill=—","Direction=H","UseDPDF=Y")</f>
        <v>#NAME?</v>
      </c>
      <c r="AK225" s="2" t="e">
        <f ca="1">_xll.BDH($C$203,"BVPS_GROWTH","FQ2 2018","FQ2 2018","Currency=INR","Period=FQ","BEST_FPERIOD_OVERRIDE=FQ","FILING_STATUS=OR","EQY_CONSOLIDATED=Y","Sort=A","Dates=H","DateFormat=P","Fill=—","Direction=H","UseDPDF=Y")</f>
        <v>#NAME?</v>
      </c>
      <c r="AL225" s="2" t="e">
        <f ca="1">_xll.BDH($C$203,"CASH_FLOW_GROWTH","FQ2 2018","FQ2 2018","Currency=INR","Period=FQ","BEST_FPERIOD_OVERRIDE=FQ","FILING_STATUS=OR","EQY_CONSOLIDATED=Y","Sort=A","Dates=H","DateFormat=P","Fill=—","Direction=H","UseDPDF=Y")</f>
        <v>#NAME?</v>
      </c>
      <c r="AM225" s="2" t="e">
        <f ca="1">_xll.BDH($C$203,"GEO_GROW_NET_SALES","FQ2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25" s="2" t="e">
        <f ca="1">_xll.BDH($C$203,"GEO_GROW_EBITDA","FQ2 2018","FQ2 2018","Currency=INR","Period=FQ","BEST_FPERIOD_OVERRIDE=FQ","FILING_STATUS=OR","EQY_CONSOLIDATED=Y","FA_ADJUSTED=GAAP","Sort=A","Dates=H","DateFormat=P","Fill=—","Direction=H","UseDPDF=Y")</f>
        <v>#NAME?</v>
      </c>
      <c r="AO225" s="2" t="e">
        <f ca="1">_xll.BDH($C$203,"GEO_GROW_OPER_INC","FQ2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25" s="2" t="e">
        <f ca="1">_xll.BDH($C$203,"NET_INCOME_TO_COMMON_5_YR_GROWTH","FQ2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25" s="2" t="e">
        <f ca="1">_xll.BDH($C$203,"5Y_GEO_GROWTH_DILUTED_EPS","FQ2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25" s="2" t="e">
        <f ca="1">_xll.BDH($C$203,"GEO_GROW_DVD_PER_SH","FQ2 2018","FQ2 2018","Currency=INR","Period=FQ","BEST_FPERIOD_OVERRIDE=FQ","FILING_STATUS=OR","EQY_CONSOLIDATED=Y","Sort=A","Dates=H","DateFormat=P","Fill=—","Direction=H","UseDPDF=Y")</f>
        <v>#NAME?</v>
      </c>
      <c r="AS225" s="2" t="e">
        <f ca="1">_xll.BDH($C$203,"ACCOUNTS_RECEIVABLE_5_YR_GROWTH","FQ2 2018","FQ2 2018","Currency=INR","Period=FQ","BEST_FPERIOD_OVERRIDE=FQ","FILING_STATUS=OR","EQY_CONSOLIDATED=Y","Sort=A","Dates=H","DateFormat=P","Fill=—","Direction=H","UseDPDF=Y")</f>
        <v>#NAME?</v>
      </c>
      <c r="AT225" s="2" t="e">
        <f ca="1">_xll.BDH($C$203,"INVENTORY_5_YEAR_GROWTH","FQ2 2018","FQ2 2018","Currency=INR","Period=FQ","BEST_FPERIOD_OVERRIDE=FQ","FILING_STATUS=OR","EQY_CONSOLIDATED=Y","Sort=A","Dates=H","DateFormat=P","Fill=—","Direction=H","UseDPDF=Y")</f>
        <v>#NAME?</v>
      </c>
      <c r="AU225" s="2" t="e">
        <f ca="1">_xll.BDH($C$203,"NET_FIXED_ASSETS_5_YEAR_GROWTH","FQ2 2018","FQ2 2018","Currency=INR","Period=FQ","BEST_FPERIOD_OVERRIDE=FQ","FILING_STATUS=OR","EQY_CONSOLIDATED=Y","Sort=A","Dates=H","DateFormat=P","Fill=—","Direction=H","UseDPDF=Y")</f>
        <v>#NAME?</v>
      </c>
      <c r="AV225" s="2" t="e">
        <f ca="1">_xll.BDH($C$203,"GEO_GROW_TOT_ASSET","FQ2 2018","FQ2 2018","Currency=INR","Period=FQ","BEST_FPERIOD_OVERRIDE=FQ","FILING_STATUS=OR","EQY_CONSOLIDATED=Y","Sort=A","Dates=H","DateFormat=P","Fill=—","Direction=H","UseDPDF=Y")</f>
        <v>#NAME?</v>
      </c>
      <c r="AW225" s="2" t="e">
        <f ca="1">_xll.BDH($C$203,"MODIFIED_WORKING_CPTL_5YR_GRWTH","FQ2 2018","FQ2 2018","Currency=INR","Period=FQ","BEST_FPERIOD_OVERRIDE=FQ","FILING_STATUS=OR","EQY_CONSOLIDATED=Y","Sort=A","Dates=H","DateFormat=P","Fill=—","Direction=H","UseDPDF=Y")</f>
        <v>#NAME?</v>
      </c>
      <c r="AX225" s="2" t="e">
        <f ca="1">_xll.BDH($C$203,"WORKING_CAPITAL_5_YEAR_GROWTH","FQ2 2018","FQ2 2018","Currency=INR","Period=FQ","BEST_FPERIOD_OVERRIDE=FQ","FILING_STATUS=OR","EQY_CONSOLIDATED=Y","Sort=A","Dates=H","DateFormat=P","Fill=—","Direction=H","UseDPDF=Y")</f>
        <v>#NAME?</v>
      </c>
      <c r="AY225" s="2" t="e">
        <f ca="1">_xll.BDH($C$203,"ACCOUNTS_PAYABLE_5_YEAR_GROWTH","FQ2 2018","FQ2 2018","Currency=INR","Period=FQ","BEST_FPERIOD_OVERRIDE=FQ","FILING_STATUS=OR","EQY_CONSOLIDATED=Y","Sort=A","Dates=H","DateFormat=P","Fill=—","Direction=H","UseDPDF=Y")</f>
        <v>#NAME?</v>
      </c>
      <c r="AZ225" s="2" t="e">
        <f ca="1">_xll.BDH($C$203,"SHORT_TERM_DEBT_5_YEAR_GROWTH","FQ2 2018","FQ2 2018","Currency=INR","Period=FQ","BEST_FPERIOD_OVERRIDE=FQ","FILING_STATUS=OR","EQY_CONSOLIDATED=Y","Sort=A","Dates=H","DateFormat=P","Fill=—","Direction=H","UseDPDF=Y")</f>
        <v>#NAME?</v>
      </c>
      <c r="BA225" s="2" t="e">
        <f ca="1">_xll.BDH($C$203,"TOTAL_DEBT_5_YEAR_GROWTH","FQ2 2018","FQ2 2018","Currency=INR","Period=FQ","BEST_FPERIOD_OVERRIDE=FQ","FILING_STATUS=OR","EQY_CONSOLIDATED=Y","Sort=A","Dates=H","DateFormat=P","Fill=—","Direction=H","UseDPDF=Y")</f>
        <v>#NAME?</v>
      </c>
      <c r="BB225" s="2" t="e">
        <f ca="1">_xll.BDH($C$203,"GEO_GROW_TOT_SHRHLDR_EQY","FQ2 2018","FQ2 2018","Currency=INR","Period=FQ","BEST_FPERIOD_OVERRIDE=FQ","FILING_STATUS=OR","EQY_CONSOLIDATED=Y","Sort=A","Dates=H","DateFormat=P","Fill=—","Direction=H","UseDPDF=Y")</f>
        <v>#NAME?</v>
      </c>
      <c r="BC225" s="2" t="e">
        <f ca="1">_xll.BDH($C$203,"TOTAL_CAPITAL_5_YEAR_GROWTH","FQ2 2018","FQ2 2018","Currency=INR","Period=FQ","BEST_FPERIOD_OVERRIDE=FQ","FILING_STATUS=OR","EQY_CONSOLIDATED=Y","Sort=A","Dates=H","DateFormat=P","Fill=—","Direction=H","UseDPDF=Y")</f>
        <v>#NAME?</v>
      </c>
      <c r="BD225" s="2" t="e">
        <f ca="1">_xll.BDH($C$203,"GEO_GROW_BOOK_VAL","FQ2 2018","FQ2 2018","Currency=INR","Period=FQ","BEST_FPERIOD_OVERRIDE=FQ","FILING_STATUS=OR","EQY_CONSOLIDATED=Y","Sort=A","Dates=H","DateFormat=P","Fill=—","Direction=H","UseDPDF=Y")</f>
        <v>#NAME?</v>
      </c>
      <c r="BE225" s="2" t="e">
        <f ca="1">_xll.BDH($C$203,"GEO_GROW_CASH_OPER_ACT","FQ2 2018","FQ2 2018","Currency=INR","Period=FQ","BEST_FPERIOD_OVERRIDE=FQ","FILING_STATUS=OR","EQY_CONSOLIDATED=Y","Sort=A","Dates=H","DateFormat=P","Fill=—","Direction=H","UseDPDF=Y")</f>
        <v>#NAME?</v>
      </c>
      <c r="BF225" s="2" t="e">
        <f ca="1">_xll.BDH($C$203,"REVENUE_SEQUENTIAL_GROWTH","FQ2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25" s="2" t="e">
        <f ca="1">_xll.BDH($C$203,"EBITDA_SEQUENTIAL_GROWTH","FQ2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25" s="2" t="e">
        <f ca="1">_xll.BDH($C$203,"OPERATING_INCOME_SEQ_GROWTH","FQ2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25" s="2" t="e">
        <f ca="1">_xll.BDH($C$203,"NET_INCOME_TO_COMMON_SEQ_GROWTH","FQ2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25" s="2" t="e">
        <f ca="1">_xll.BDH($C$203,"EPS_DILUTED_SEQUENTIAL_GROWTH","FQ2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25" s="2" t="e">
        <f ca="1">_xll.BDH($C$203,"DPS_SEQUENTIAL_GROWTH","FQ2 2018","FQ2 2018","Currency=INR","Period=FQ","BEST_FPERIOD_OVERRIDE=FQ","FILING_STATUS=OR","EQY_CONSOLIDATED=Y","Sort=A","Dates=H","DateFormat=P","Fill=—","Direction=H","UseDPDF=Y")</f>
        <v>#NAME?</v>
      </c>
      <c r="BL225" s="2" t="e">
        <f ca="1">_xll.BDH($C$203,"ACCOUNTS_RECEIVABLE_SEQ_GROWTH","FQ2 2018","FQ2 2018","Currency=INR","Period=FQ","BEST_FPERIOD_OVERRIDE=FQ","FILING_STATUS=OR","EQY_CONSOLIDATED=Y","Sort=A","Dates=H","DateFormat=P","Fill=—","Direction=H","UseDPDF=Y")</f>
        <v>#NAME?</v>
      </c>
      <c r="BM225" s="2" t="e">
        <f ca="1">_xll.BDH($C$203,"INVENTORY_SEQUENTIAL_GROWTH","FQ2 2018","FQ2 2018","Currency=INR","Period=FQ","BEST_FPERIOD_OVERRIDE=FQ","FILING_STATUS=OR","EQY_CONSOLIDATED=Y","Sort=A","Dates=H","DateFormat=P","Fill=—","Direction=H","UseDPDF=Y")</f>
        <v>#NAME?</v>
      </c>
      <c r="BN225" s="2" t="e">
        <f ca="1">_xll.BDH($C$203,"FIXED_ASSETS_SEQUENTIAL_GROWTH","FQ2 2018","FQ2 2018","Currency=INR","Period=FQ","BEST_FPERIOD_OVERRIDE=FQ","FILING_STATUS=OR","EQY_CONSOLIDATED=Y","Sort=A","Dates=H","DateFormat=P","Fill=—","Direction=H","UseDPDF=Y")</f>
        <v>#NAME?</v>
      </c>
      <c r="BO225" s="2" t="e">
        <f ca="1">_xll.BDH($C$203,"TOTAL_ASSETS_SEQUENTIAL_GROWTH","FQ2 2018","FQ2 2018","Currency=INR","Period=FQ","BEST_FPERIOD_OVERRIDE=FQ","FILING_STATUS=OR","EQY_CONSOLIDATED=Y","Sort=A","Dates=H","DateFormat=P","Fill=—","Direction=H","UseDPDF=Y")</f>
        <v>#NAME?</v>
      </c>
      <c r="BP225" s="2" t="e">
        <f ca="1">_xll.BDH($C$203,"MODIFIED_WORKING_CPTL_SEQ_GRWTH","FQ2 2018","FQ2 2018","Currency=INR","Period=FQ","BEST_FPERIOD_OVERRIDE=FQ","FILING_STATUS=OR","EQY_CONSOLIDATED=Y","Sort=A","Dates=H","DateFormat=P","Fill=—","Direction=H","UseDPDF=Y")</f>
        <v>#NAME?</v>
      </c>
      <c r="BQ225" s="2" t="e">
        <f ca="1">_xll.BDH($C$203,"WORKING_CAPITAL_SEQ_GROWTH","FQ2 2018","FQ2 2018","Currency=INR","Period=FQ","BEST_FPERIOD_OVERRIDE=FQ","FILING_STATUS=OR","EQY_CONSOLIDATED=Y","Sort=A","Dates=H","DateFormat=P","Fill=—","Direction=H","UseDPDF=Y")</f>
        <v>#NAME?</v>
      </c>
      <c r="BR225" s="2" t="e">
        <f ca="1">_xll.BDH($C$203,"ACCOUNTS_PAYABLE_SEQ_GROWTH","FQ2 2018","FQ2 2018","Currency=INR","Period=FQ","BEST_FPERIOD_OVERRIDE=FQ","FILING_STATUS=OR","EQY_CONSOLIDATED=Y","Sort=A","Dates=H","DateFormat=P","Fill=—","Direction=H","UseDPDF=Y")</f>
        <v>#NAME?</v>
      </c>
      <c r="BS225" s="2" t="e">
        <f ca="1">_xll.BDH($C$203,"ST_DEBT_SEQUENTIAL_GROWTH","FQ2 2018","FQ2 2018","Currency=INR","Period=FQ","BEST_FPERIOD_OVERRIDE=FQ","FILING_STATUS=OR","EQY_CONSOLIDATED=Y","Sort=A","Dates=H","DateFormat=P","Fill=—","Direction=H","UseDPDF=Y")</f>
        <v>#NAME?</v>
      </c>
      <c r="BT225" s="2" t="e">
        <f ca="1">_xll.BDH($C$203,"TOTAL_DEBT_SEQUENTIAL_GROWTH","FQ2 2018","FQ2 2018","Currency=INR","Period=FQ","BEST_FPERIOD_OVERRIDE=FQ","FILING_STATUS=OR","EQY_CONSOLIDATED=Y","Sort=A","Dates=H","DateFormat=P","Fill=—","Direction=H","UseDPDF=Y")</f>
        <v>#NAME?</v>
      </c>
      <c r="BU225" s="2" t="e">
        <f ca="1">_xll.BDH($C$203,"TOTAL_EQUITY_SEQUENTIAL_GROWTH","FQ2 2018","FQ2 2018","Currency=INR","Period=FQ","BEST_FPERIOD_OVERRIDE=FQ","FILING_STATUS=OR","EQY_CONSOLIDATED=Y","Sort=A","Dates=H","DateFormat=P","Fill=—","Direction=H","UseDPDF=Y")</f>
        <v>#NAME?</v>
      </c>
      <c r="BV225" s="2" t="e">
        <f ca="1">_xll.BDH($C$203,"TOTAL_CAPITAL_SEQUENTIAL_GROWTH","FQ2 2018","FQ2 2018","Currency=INR","Period=FQ","BEST_FPERIOD_OVERRIDE=FQ","FILING_STATUS=OR","EQY_CONSOLIDATED=Y","Sort=A","Dates=H","DateFormat=P","Fill=—","Direction=H","UseDPDF=Y")</f>
        <v>#NAME?</v>
      </c>
      <c r="BW225" s="2" t="e">
        <f ca="1">_xll.BDH($C$203,"BPS_SEQUENTIAL_GROWTH","FQ2 2018","FQ2 2018","Currency=INR","Period=FQ","BEST_FPERIOD_OVERRIDE=FQ","FILING_STATUS=OR","EQY_CONSOLIDATED=Y","Sort=A","Dates=H","DateFormat=P","Fill=—","Direction=H","UseDPDF=Y")</f>
        <v>#NAME?</v>
      </c>
      <c r="BX225" s="2" t="e">
        <f ca="1">_xll.BDH($C$203,"CFO_SEQUENTIAL_GROWTH","FQ2 2018","FQ2 2018","Currency=INR","Period=FQ","BEST_FPERIOD_OVERRIDE=FQ","FILING_STATUS=OR","EQY_CONSOLIDATED=Y","Sort=A","Dates=H","DateFormat=P","Fill=—","Direction=H","UseDPDF=Y")</f>
        <v>#NAME?</v>
      </c>
      <c r="BY225" s="3" t="e">
        <f ca="1">_xll.BDH($C$203,"SHORT_AND_LONG_TERM_DEBT","FQ2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25" s="3" t="e">
        <f ca="1">_xll.BDH($C$203,"BS_ST_BORROW","FQ2 2018","FQ2 2018","Currency=INR","Period=FQ","BEST_FPERIOD_OVERRIDE=FQ","FILING_STATUS=OR","EQY_CONSOLIDATED=Y","SCALING_FORMAT=MLN","Sort=A","Dates=H","DateFormat=P","Fill=—","Direction=H","UseDPDF=Y")</f>
        <v>#NAME?</v>
      </c>
      <c r="CA225" s="3" t="e">
        <f ca="1">_xll.BDH($C$203,"BS_LT_BORROW","FQ2 2018","FQ2 2018","Currency=INR","Period=FQ","BEST_FPERIOD_OVERRIDE=FQ","FILING_STATUS=OR","EQY_CONSOLIDATED=Y","SCALING_FORMAT=MLN","Sort=A","Dates=H","DateFormat=P","Fill=—","Direction=H","UseDPDF=Y")</f>
        <v>#NAME?</v>
      </c>
      <c r="CB225" s="2" t="e">
        <f ca="1">_xll.BDH($C$203,"TOT_DEBT_TO_EBITDA","FQ2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25" s="2" t="e">
        <f ca="1">_xll.BDH($C$203,"NET_DEBT_TO_EBITDA","FQ2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25" s="2" t="e">
        <f ca="1">_xll.BDH($C$203,"TOTAL_DEBT_TO_EBIT","FQ2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25" s="2" t="e">
        <f ca="1">_xll.BDH($C$203,"NET_DEBT_TO_EBIT","FQ2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25" s="2" t="e">
        <f ca="1">_xll.BDH($C$203,"EBITDA_TO_INTEREST_EXPN","FQ2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25" s="2" t="e">
        <f ca="1">_xll.BDH($C$203,"COM_EQY_TO_TOT_ASSET","FQ2 2018","FQ2 2018","Currency=INR","Period=FQ","BEST_FPERIOD_OVERRIDE=FQ","FILING_STATUS=OR","EQY_CONSOLIDATED=Y","Sort=A","Dates=H","DateFormat=P","Fill=—","Direction=H","UseDPDF=Y")</f>
        <v>#NAME?</v>
      </c>
      <c r="CH225" s="2" t="e">
        <f ca="1">_xll.BDH($C$203,"LT_DEBT_TO_TOT_EQY","FQ2 2018","FQ2 2018","Currency=INR","Period=FQ","BEST_FPERIOD_OVERRIDE=FQ","FILING_STATUS=OR","EQY_CONSOLIDATED=Y","Sort=A","Dates=H","DateFormat=P","Fill=—","Direction=H","UseDPDF=Y")</f>
        <v>#NAME?</v>
      </c>
      <c r="CI225" s="2" t="e">
        <f ca="1">_xll.BDH($C$203,"LT_DEBT_TO_TOT_CAP","FQ2 2018","FQ2 2018","Currency=INR","Period=FQ","BEST_FPERIOD_OVERRIDE=FQ","FILING_STATUS=OR","EQY_CONSOLIDATED=Y","Sort=A","Dates=H","DateFormat=P","Fill=—","Direction=H","UseDPDF=Y")</f>
        <v>#NAME?</v>
      </c>
      <c r="CJ225" s="2" t="e">
        <f ca="1">_xll.BDH($C$203,"LT_DEBT_TO_TOT_ASSET","FQ2 2018","FQ2 2018","Currency=INR","Period=FQ","BEST_FPERIOD_OVERRIDE=FQ","FILING_STATUS=OR","EQY_CONSOLIDATED=Y","Sort=A","Dates=H","DateFormat=P","Fill=—","Direction=H","UseDPDF=Y")</f>
        <v>#NAME?</v>
      </c>
      <c r="CK225" s="2" t="e">
        <f ca="1">_xll.BDH($C$203,"TOT_DEBT_TO_TOT_EQY","FQ2 2018","FQ2 2018","Currency=INR","Period=FQ","BEST_FPERIOD_OVERRIDE=FQ","FILING_STATUS=OR","EQY_CONSOLIDATED=Y","Sort=A","Dates=H","DateFormat=P","Fill=—","Direction=H","UseDPDF=Y")</f>
        <v>#NAME?</v>
      </c>
      <c r="CL225" s="2" t="e">
        <f ca="1">_xll.BDH($C$203,"TOT_DEBT_TO_TOT_CAP","FQ2 2018","FQ2 2018","Currency=INR","Period=FQ","BEST_FPERIOD_OVERRIDE=FQ","FILING_STATUS=OR","EQY_CONSOLIDATED=Y","Sort=A","Dates=H","DateFormat=P","Fill=—","Direction=H","UseDPDF=Y")</f>
        <v>#NAME?</v>
      </c>
      <c r="CM225" s="2" t="e">
        <f ca="1">_xll.BDH($C$203,"TOT_DEBT_TO_TOT_ASSET","FQ2 2018","FQ2 2018","Currency=INR","Period=FQ","BEST_FPERIOD_OVERRIDE=FQ","FILING_STATUS=OR","EQY_CONSOLIDATED=Y","Sort=A","Dates=H","DateFormat=P","Fill=—","Direction=H","UseDPDF=Y")</f>
        <v>#NAME?</v>
      </c>
      <c r="CN225" s="2" t="e">
        <f ca="1">_xll.BDH($C$203,"NET_DEBT_TO_SHRHLDR_EQTY","FQ2 2018","FQ2 2018","Currency=INR","Period=FQ","BEST_FPERIOD_OVERRIDE=FQ","FILING_STATUS=OR","EQY_CONSOLIDATED=Y","Sort=A","Dates=H","DateFormat=P","Fill=—","Direction=H","UseDPDF=Y")</f>
        <v>#NAME?</v>
      </c>
      <c r="CO225" s="2" t="e">
        <f ca="1">_xll.BDH($C$203,"NET_DEBT_%_CAPITAL","FQ2 2018","FQ2 2018","Currency=INR","Period=FQ","BEST_FPERIOD_OVERRIDE=FQ","FILING_STATUS=OR","EQY_CONSOLIDATED=Y","Sort=A","Dates=H","DateFormat=P","Fill=—","Direction=H","UseDPDF=Y")</f>
        <v>#NAME?</v>
      </c>
      <c r="CP225" s="3" t="e">
        <f ca="1">_xll.BDH($C$203,"EBITDA","FQ2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25" s="3" t="e">
        <f ca="1">_xll.BDH($C$203,"EBITDA_AFTER_CAPEX","FQ2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25" s="3" t="e">
        <f ca="1">_xll.BDH($C$203,"IS_OPER_INC","FQ2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25" s="2" t="e">
        <f ca="1">_xll.BDH($C$203,"CASH_RATIO","FQ2 2018","FQ2 2018","Currency=INR","Period=FQ","BEST_FPERIOD_OVERRIDE=FQ","FILING_STATUS=OR","EQY_CONSOLIDATED=Y","Sort=A","Dates=H","DateFormat=P","Fill=—","Direction=H","UseDPDF=Y")</f>
        <v>#NAME?</v>
      </c>
      <c r="CT225" s="2" t="e">
        <f ca="1">_xll.BDH($C$203,"CUR_RATIO","FQ2 2018","FQ2 2018","Currency=INR","Period=FQ","BEST_FPERIOD_OVERRIDE=FQ","FILING_STATUS=OR","EQY_CONSOLIDATED=Y","Sort=A","Dates=H","DateFormat=P","Fill=—","Direction=H","UseDPDF=Y")</f>
        <v>#NAME?</v>
      </c>
      <c r="CU225" s="2" t="e">
        <f ca="1">_xll.BDH($C$203,"QUICK_RATIO","FQ2 2018","FQ2 2018","Currency=INR","Period=FQ","BEST_FPERIOD_OVERRIDE=FQ","FILING_STATUS=OR","EQY_CONSOLIDATED=Y","Sort=A","Dates=H","DateFormat=P","Fill=—","Direction=H","UseDPDF=Y")</f>
        <v>#NAME?</v>
      </c>
      <c r="CV225" s="2" t="e">
        <f ca="1">_xll.BDH($C$203,"ALTMAN_Z_SCORE","FQ2 2018","FQ2 2018","Currency=INR","Period=FQ","BEST_FPERIOD_OVERRIDE=FQ","FILING_STATUS=OR","EQY_CONSOLIDATED=Y","Sort=A","Dates=H","DateFormat=P","Fill=—","Direction=H","UseDPDF=Y")</f>
        <v>#NAME?</v>
      </c>
      <c r="CW225" s="4" t="e">
        <f ca="1">_xll.BDH($C$203,"ACCT_RCV_TURN","FQ2 2018","FQ2 2018","Currency=INR","Period=FQ","BEST_FPERIOD_OVERRIDE=FQ","FILING_STATUS=OR","EQY_CONSOLIDATED=Y","FA_ADJUSTED=GAAP","Sort=A","Dates=H","DateFormat=P","Fill=—","Direction=H","UseDPDF=Y")</f>
        <v>#NAME?</v>
      </c>
      <c r="CX225" s="2" t="e">
        <f ca="1">_xll.BDH($C$203,"ACCT_RCV_DAYS","FQ2 2018","FQ2 2018","Currency=INR","Period=FQ","BEST_FPERIOD_OVERRIDE=FQ","FILING_STATUS=OR","EQY_CONSOLIDATED=Y","FA_ADJUSTED=GAAP","Sort=A","Dates=H","DateFormat=P","Fill=—","Direction=H","UseDPDF=Y")</f>
        <v>#NAME?</v>
      </c>
      <c r="CY225" s="4" t="e">
        <f ca="1">_xll.BDH($C$203,"INVENT_TURN","FQ2 2018","FQ2 2018","Currency=INR","Period=FQ","BEST_FPERIOD_OVERRIDE=FQ","FILING_STATUS=OR","EQY_CONSOLIDATED=Y","FA_ADJUSTED=GAAP","Sort=A","Dates=H","DateFormat=P","Fill=—","Direction=H","UseDPDF=Y")</f>
        <v>#NAME?</v>
      </c>
      <c r="CZ225" s="2" t="e">
        <f ca="1">_xll.BDH($C$203,"INVENT_DAYS","FQ2 2018","FQ2 2018","Currency=INR","Period=FQ","BEST_FPERIOD_OVERRIDE=FQ","FILING_STATUS=OR","EQY_CONSOLIDATED=Y","FA_ADJUSTED=GAAP","Sort=A","Dates=H","DateFormat=P","Fill=—","Direction=H","UseDPDF=Y")</f>
        <v>#NAME?</v>
      </c>
      <c r="DA225" s="4" t="e">
        <f ca="1">_xll.BDH($C$203,"ACCOUNTS_PAYABLE_TURNOVER","FQ2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25" s="2" t="e">
        <f ca="1">_xll.BDH($C$203,"ACCOUNTS_PAYABLE_TURNOVER_DAYS","FQ2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25" s="4" t="e">
        <f ca="1">_xll.BDH($C$203,"CASH_CONVERSION_CYCLE","FQ2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25" s="4" t="e">
        <f ca="1">_xll.BDH($C$203,"INV_TO_CASH_DAYS","FQ2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25" s="5" t="e">
        <f ca="1">_xll.BDH($C$203,"BS_INVENTORIES","FQ2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25" s="3" t="e">
        <f ca="1">_xll.BDH($C$203,"INVTRY_RAW_MATERIALS","FQ2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25" s="3" t="e">
        <f ca="1">_xll.BDH($C$203,"INVTRY_IN_PROGRESS","FQ2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25" s="3" t="e">
        <f ca="1">_xll.BDH($C$203,"INVTRY_FINISHED_GOODS","FQ2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25" s="3" t="e">
        <f ca="1">_xll.BDH($C$203,"BS_OTHER_INV","FQ2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26" spans="1:113" x14ac:dyDescent="0.3">
      <c r="A226" s="6"/>
      <c r="B226" s="6"/>
      <c r="C226" s="6"/>
      <c r="D226" s="6"/>
      <c r="E226" t="s">
        <v>80</v>
      </c>
      <c r="F226" t="e">
        <f ca="1">_xll.BDH($C$203,"RETURN_COM_EQY","FQ3 2018","FQ3 2018","Currency=INR","Period=FQ","BEST_FPERIOD_OVERRIDE=FQ","FILING_STATUS=OR","EQY_CONSOLIDATED=Y","FA_ADJUSTED=GAAP","Sort=A","Dates=H","DateFormat=P","Fill=—","Direction=H","UseDPDF=Y")</f>
        <v>#NAME?</v>
      </c>
      <c r="G226" t="e">
        <f ca="1">_xll.BDH($C$203,"RETURN_ON_ASSET","FQ3 2018","FQ3 2018","Currency=INR","Period=FQ","BEST_FPERIOD_OVERRIDE=FQ","FILING_STATUS=OR","EQY_CONSOLIDATED=Y","FA_ADJUSTED=GAAP","Sort=A","Dates=H","DateFormat=P","Fill=—","Direction=H","UseDPDF=Y")</f>
        <v>#NAME?</v>
      </c>
      <c r="H226" t="e">
        <f ca="1">_xll.BDH($C$203,"RETURN_ON_CAP","FQ3 2018","FQ3 2018","Currency=INR","Period=FQ","BEST_FPERIOD_OVERRIDE=FQ","FILING_STATUS=OR","EQY_CONSOLIDATED=Y","FA_ADJUSTED=GAAP","Sort=A","Dates=H","DateFormat=P","Fill=—","Direction=H","UseDPDF=Y")</f>
        <v>#NAME?</v>
      </c>
      <c r="I226" t="e">
        <f ca="1">_xll.BDH($C$203,"RETURN_ON_INV_CAPITAL","FQ3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26" t="e">
        <f ca="1">_xll.BDH($C$203,"EBITDA_TO_REVENUE","FQ3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26" t="e">
        <f ca="1">_xll.BDH($C$203,"OPER_MARGIN","FQ3 2018","FQ3 2018","Currency=INR","Period=FQ","BEST_FPERIOD_OVERRIDE=FQ","FILING_STATUS=OR","EQY_CONSOLIDATED=Y","FA_ADJUSTED=GAAP","Sort=A","Dates=H","DateFormat=P","Fill=—","Direction=H","UseDPDF=Y")</f>
        <v>#NAME?</v>
      </c>
      <c r="L226" t="e">
        <f ca="1">_xll.BDH($C$203,"INCREMENTAL_OPERATING_MARGIN","FQ3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26" t="e">
        <f ca="1">_xll.BDH($C$203,"PRETAX_INC_TO_NET_SALES","FQ3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26" t="e">
        <f ca="1">_xll.BDH($C$203,"INC_BEF_XO_ITEMS_TO_NET_SALES","FQ3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26" t="e">
        <f ca="1">_xll.BDH($C$203,"PROF_MARGIN","FQ3 2018","FQ3 2018","Currency=INR","Period=FQ","BEST_FPERIOD_OVERRIDE=FQ","FILING_STATUS=OR","EQY_CONSOLIDATED=Y","FA_ADJUSTED=GAAP","Sort=A","Dates=H","DateFormat=P","Fill=—","Direction=H","UseDPDF=Y")</f>
        <v>#NAME?</v>
      </c>
      <c r="P226" t="e">
        <f ca="1">_xll.BDH($C$203,"NET_INCOME_TO_COMMON_MARGIN","FQ3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26" t="e">
        <f ca="1">_xll.BDH($C$203,"EFF_TAX_RATE","FQ3 2018","FQ3 2018","Currency=INR","Period=FQ","BEST_FPERIOD_OVERRIDE=FQ","FILING_STATUS=OR","EQY_CONSOLIDATED=Y","FA_ADJUSTED=GAAP","Sort=A","Dates=H","DateFormat=P","Fill=—","Direction=H","UseDPDF=Y")</f>
        <v>#NAME?</v>
      </c>
      <c r="R226" t="e">
        <f ca="1">_xll.BDH($C$203,"DVD_PAYOUT_RATIO","FQ3 2018","FQ3 2018","Currency=INR","Period=FQ","BEST_FPERIOD_OVERRIDE=FQ","FILING_STATUS=OR","EQY_CONSOLIDATED=Y","FA_ADJUSTED=GAAP","Sort=A","Dates=H","DateFormat=P","Fill=—","Direction=H","UseDPDF=Y")</f>
        <v>#NAME?</v>
      </c>
      <c r="S226" t="e">
        <f ca="1">_xll.BDH($C$203,"SUSTAIN_GROWTH_RT","FQ3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26" s="2" t="e">
        <f ca="1">_xll.BDH($C$203,"SALES_GROWTH","FQ3 2018","FQ3 2018","Currency=INR","Period=FQ","BEST_FPERIOD_OVERRIDE=FQ","FILING_STATUS=OR","EQY_CONSOLIDATED=Y","FA_ADJUSTED=GAAP","Sort=A","Dates=H","DateFormat=P","Fill=—","Direction=H","UseDPDF=Y")</f>
        <v>#NAME?</v>
      </c>
      <c r="U226" s="2" t="e">
        <f ca="1">_xll.BDH($C$203,"EBITDA_GROWTH","FQ3 2018","FQ3 2018","Currency=INR","Period=FQ","BEST_FPERIOD_OVERRIDE=FQ","FILING_STATUS=OR","EQY_CONSOLIDATED=Y","FA_ADJUSTED=GAAP","Sort=A","Dates=H","DateFormat=P","Fill=—","Direction=H","UseDPDF=Y")</f>
        <v>#NAME?</v>
      </c>
      <c r="V226" s="2" t="e">
        <f ca="1">_xll.BDH($C$203,"OPER_INC_GROWTH","FQ3 2018","FQ3 2018","Currency=INR","Period=FQ","BEST_FPERIOD_OVERRIDE=FQ","FILING_STATUS=OR","EQY_CONSOLIDATED=Y","FA_ADJUSTED=GAAP","Sort=A","Dates=H","DateFormat=P","Fill=—","Direction=H","UseDPDF=Y")</f>
        <v>#NAME?</v>
      </c>
      <c r="W226" s="2" t="e">
        <f ca="1">_xll.BDH($C$203,"EARN_FOR_COM_GROWTH","FQ3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26" s="2" t="e">
        <f ca="1">_xll.BDH($C$203,"DILUTED_EPS_AFT_XO_ITEMS_GROWTH","FQ3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26" s="2" t="e">
        <f ca="1">_xll.BDH($C$203,"DIVIDEND_PER_SHARE_1_YEAR_GROWTH","FQ3 2018","FQ3 2018","Currency=INR","Period=FQ","BEST_FPERIOD_OVERRIDE=FQ","FILING_STATUS=OR","EQY_CONSOLIDATED=Y","Sort=A","Dates=H","DateFormat=P","Fill=—","Direction=H","UseDPDF=Y")</f>
        <v>#NAME?</v>
      </c>
      <c r="Z226" s="2" t="e">
        <f ca="1">_xll.BDH($C$203,"ACCOUNTS_RECEIVABLE_GROWTH","FQ3 2018","FQ3 2018","Currency=INR","Period=FQ","BEST_FPERIOD_OVERRIDE=FQ","FILING_STATUS=OR","EQY_CONSOLIDATED=Y","Sort=A","Dates=H","DateFormat=P","Fill=—","Direction=H","UseDPDF=Y")</f>
        <v>#NAME?</v>
      </c>
      <c r="AA226" s="2" t="e">
        <f ca="1">_xll.BDH($C$203,"INVENTORY_GROWTH","FQ3 2018","FQ3 2018","Currency=INR","Period=FQ","BEST_FPERIOD_OVERRIDE=FQ","FILING_STATUS=OR","EQY_CONSOLIDATED=Y","Sort=A","Dates=H","DateFormat=P","Fill=—","Direction=H","UseDPDF=Y")</f>
        <v>#NAME?</v>
      </c>
      <c r="AB226" s="2" t="e">
        <f ca="1">_xll.BDH($C$203,"NET_FIXED_ASSETS_1_YEAR_GROWTH","FQ3 2018","FQ3 2018","Currency=INR","Period=FQ","BEST_FPERIOD_OVERRIDE=FQ","FILING_STATUS=OR","EQY_CONSOLIDATED=Y","Sort=A","Dates=H","DateFormat=P","Fill=—","Direction=H","UseDPDF=Y")</f>
        <v>#NAME?</v>
      </c>
      <c r="AC226" s="2" t="e">
        <f ca="1">_xll.BDH($C$203,"ASSET_GROWTH","FQ3 2018","FQ3 2018","Currency=INR","Period=FQ","BEST_FPERIOD_OVERRIDE=FQ","FILING_STATUS=OR","EQY_CONSOLIDATED=Y","Sort=A","Dates=H","DateFormat=P","Fill=—","Direction=H","UseDPDF=Y")</f>
        <v>#NAME?</v>
      </c>
      <c r="AD226" s="2" t="e">
        <f ca="1">_xll.BDH($C$203,"MODIFIED_WORK_CAP_GROWTH","FQ3 2018","FQ3 2018","Currency=INR","Period=FQ","BEST_FPERIOD_OVERRIDE=FQ","FILING_STATUS=OR","EQY_CONSOLIDATED=Y","Sort=A","Dates=H","DateFormat=P","Fill=—","Direction=H","UseDPDF=Y")</f>
        <v>#NAME?</v>
      </c>
      <c r="AE226" s="2" t="e">
        <f ca="1">_xll.BDH($C$203,"WORK_CAP_GROWTH","FQ3 2018","FQ3 2018","Currency=INR","Period=FQ","BEST_FPERIOD_OVERRIDE=FQ","FILING_STATUS=OR","EQY_CONSOLIDATED=Y","Sort=A","Dates=H","DateFormat=P","Fill=—","Direction=H","UseDPDF=Y")</f>
        <v>#NAME?</v>
      </c>
      <c r="AF226" s="2" t="e">
        <f ca="1">_xll.BDH($C$203,"ACCOUNTS_PAYABLE_GROWTH_1YR","FQ3 2018","FQ3 2018","Currency=INR","Period=FQ","BEST_FPERIOD_OVERRIDE=FQ","FILING_STATUS=OR","EQY_CONSOLIDATED=Y","Sort=A","Dates=H","DateFormat=P","Fill=—","Direction=H","UseDPDF=Y")</f>
        <v>#NAME?</v>
      </c>
      <c r="AG226" s="2" t="e">
        <f ca="1">_xll.BDH($C$203,"SHORT_TERM_DEBT_1_YEAR_GROWTH","FQ3 2018","FQ3 2018","Currency=INR","Period=FQ","BEST_FPERIOD_OVERRIDE=FQ","FILING_STATUS=OR","EQY_CONSOLIDATED=Y","Sort=A","Dates=H","DateFormat=P","Fill=—","Direction=H","UseDPDF=Y")</f>
        <v>#NAME?</v>
      </c>
      <c r="AH226" s="2" t="e">
        <f ca="1">_xll.BDH($C$203,"TOTAL_DEBT_1_YEAR_GROWTH","FQ3 2018","FQ3 2018","Currency=INR","Period=FQ","BEST_FPERIOD_OVERRIDE=FQ","FILING_STATUS=OR","EQY_CONSOLIDATED=Y","Sort=A","Dates=H","DateFormat=P","Fill=—","Direction=H","UseDPDF=Y")</f>
        <v>#NAME?</v>
      </c>
      <c r="AI226" s="2" t="e">
        <f ca="1">_xll.BDH($C$203,"TOTAL_EQUITY_1_YEAR_GROWTH","FQ3 2018","FQ3 2018","Currency=INR","Period=FQ","BEST_FPERIOD_OVERRIDE=FQ","FILING_STATUS=OR","EQY_CONSOLIDATED=Y","Sort=A","Dates=H","DateFormat=P","Fill=—","Direction=H","UseDPDF=Y")</f>
        <v>#NAME?</v>
      </c>
      <c r="AJ226" s="2" t="e">
        <f ca="1">_xll.BDH($C$203,"GROWTH_IN_CAP","FQ3 2018","FQ3 2018","Currency=INR","Period=FQ","BEST_FPERIOD_OVERRIDE=FQ","FILING_STATUS=OR","EQY_CONSOLIDATED=Y","Sort=A","Dates=H","DateFormat=P","Fill=—","Direction=H","UseDPDF=Y")</f>
        <v>#NAME?</v>
      </c>
      <c r="AK226" s="2" t="e">
        <f ca="1">_xll.BDH($C$203,"BVPS_GROWTH","FQ3 2018","FQ3 2018","Currency=INR","Period=FQ","BEST_FPERIOD_OVERRIDE=FQ","FILING_STATUS=OR","EQY_CONSOLIDATED=Y","Sort=A","Dates=H","DateFormat=P","Fill=—","Direction=H","UseDPDF=Y")</f>
        <v>#NAME?</v>
      </c>
      <c r="AL226" s="2" t="e">
        <f ca="1">_xll.BDH($C$203,"CASH_FLOW_GROWTH","FQ3 2018","FQ3 2018","Currency=INR","Period=FQ","BEST_FPERIOD_OVERRIDE=FQ","FILING_STATUS=OR","EQY_CONSOLIDATED=Y","Sort=A","Dates=H","DateFormat=P","Fill=—","Direction=H","UseDPDF=Y")</f>
        <v>#NAME?</v>
      </c>
      <c r="AM226" s="2" t="e">
        <f ca="1">_xll.BDH($C$203,"GEO_GROW_NET_SALES","FQ3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26" s="2" t="e">
        <f ca="1">_xll.BDH($C$203,"GEO_GROW_EBITDA","FQ3 2018","FQ3 2018","Currency=INR","Period=FQ","BEST_FPERIOD_OVERRIDE=FQ","FILING_STATUS=OR","EQY_CONSOLIDATED=Y","FA_ADJUSTED=GAAP","Sort=A","Dates=H","DateFormat=P","Fill=—","Direction=H","UseDPDF=Y")</f>
        <v>#NAME?</v>
      </c>
      <c r="AO226" s="2" t="e">
        <f ca="1">_xll.BDH($C$203,"GEO_GROW_OPER_INC","FQ3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26" s="2" t="e">
        <f ca="1">_xll.BDH($C$203,"NET_INCOME_TO_COMMON_5_YR_GROWTH","FQ3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26" s="2" t="e">
        <f ca="1">_xll.BDH($C$203,"5Y_GEO_GROWTH_DILUTED_EPS","FQ3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26" s="2" t="e">
        <f ca="1">_xll.BDH($C$203,"GEO_GROW_DVD_PER_SH","FQ3 2018","FQ3 2018","Currency=INR","Period=FQ","BEST_FPERIOD_OVERRIDE=FQ","FILING_STATUS=OR","EQY_CONSOLIDATED=Y","Sort=A","Dates=H","DateFormat=P","Fill=—","Direction=H","UseDPDF=Y")</f>
        <v>#NAME?</v>
      </c>
      <c r="AS226" s="2" t="e">
        <f ca="1">_xll.BDH($C$203,"ACCOUNTS_RECEIVABLE_5_YR_GROWTH","FQ3 2018","FQ3 2018","Currency=INR","Period=FQ","BEST_FPERIOD_OVERRIDE=FQ","FILING_STATUS=OR","EQY_CONSOLIDATED=Y","Sort=A","Dates=H","DateFormat=P","Fill=—","Direction=H","UseDPDF=Y")</f>
        <v>#NAME?</v>
      </c>
      <c r="AT226" s="2" t="e">
        <f ca="1">_xll.BDH($C$203,"INVENTORY_5_YEAR_GROWTH","FQ3 2018","FQ3 2018","Currency=INR","Period=FQ","BEST_FPERIOD_OVERRIDE=FQ","FILING_STATUS=OR","EQY_CONSOLIDATED=Y","Sort=A","Dates=H","DateFormat=P","Fill=—","Direction=H","UseDPDF=Y")</f>
        <v>#NAME?</v>
      </c>
      <c r="AU226" s="2" t="e">
        <f ca="1">_xll.BDH($C$203,"NET_FIXED_ASSETS_5_YEAR_GROWTH","FQ3 2018","FQ3 2018","Currency=INR","Period=FQ","BEST_FPERIOD_OVERRIDE=FQ","FILING_STATUS=OR","EQY_CONSOLIDATED=Y","Sort=A","Dates=H","DateFormat=P","Fill=—","Direction=H","UseDPDF=Y")</f>
        <v>#NAME?</v>
      </c>
      <c r="AV226" s="2" t="e">
        <f ca="1">_xll.BDH($C$203,"GEO_GROW_TOT_ASSET","FQ3 2018","FQ3 2018","Currency=INR","Period=FQ","BEST_FPERIOD_OVERRIDE=FQ","FILING_STATUS=OR","EQY_CONSOLIDATED=Y","Sort=A","Dates=H","DateFormat=P","Fill=—","Direction=H","UseDPDF=Y")</f>
        <v>#NAME?</v>
      </c>
      <c r="AW226" s="2" t="e">
        <f ca="1">_xll.BDH($C$203,"MODIFIED_WORKING_CPTL_5YR_GRWTH","FQ3 2018","FQ3 2018","Currency=INR","Period=FQ","BEST_FPERIOD_OVERRIDE=FQ","FILING_STATUS=OR","EQY_CONSOLIDATED=Y","Sort=A","Dates=H","DateFormat=P","Fill=—","Direction=H","UseDPDF=Y")</f>
        <v>#NAME?</v>
      </c>
      <c r="AX226" s="2" t="e">
        <f ca="1">_xll.BDH($C$203,"WORKING_CAPITAL_5_YEAR_GROWTH","FQ3 2018","FQ3 2018","Currency=INR","Period=FQ","BEST_FPERIOD_OVERRIDE=FQ","FILING_STATUS=OR","EQY_CONSOLIDATED=Y","Sort=A","Dates=H","DateFormat=P","Fill=—","Direction=H","UseDPDF=Y")</f>
        <v>#NAME?</v>
      </c>
      <c r="AY226" s="2" t="e">
        <f ca="1">_xll.BDH($C$203,"ACCOUNTS_PAYABLE_5_YEAR_GROWTH","FQ3 2018","FQ3 2018","Currency=INR","Period=FQ","BEST_FPERIOD_OVERRIDE=FQ","FILING_STATUS=OR","EQY_CONSOLIDATED=Y","Sort=A","Dates=H","DateFormat=P","Fill=—","Direction=H","UseDPDF=Y")</f>
        <v>#NAME?</v>
      </c>
      <c r="AZ226" s="2" t="e">
        <f ca="1">_xll.BDH($C$203,"SHORT_TERM_DEBT_5_YEAR_GROWTH","FQ3 2018","FQ3 2018","Currency=INR","Period=FQ","BEST_FPERIOD_OVERRIDE=FQ","FILING_STATUS=OR","EQY_CONSOLIDATED=Y","Sort=A","Dates=H","DateFormat=P","Fill=—","Direction=H","UseDPDF=Y")</f>
        <v>#NAME?</v>
      </c>
      <c r="BA226" s="2" t="e">
        <f ca="1">_xll.BDH($C$203,"TOTAL_DEBT_5_YEAR_GROWTH","FQ3 2018","FQ3 2018","Currency=INR","Period=FQ","BEST_FPERIOD_OVERRIDE=FQ","FILING_STATUS=OR","EQY_CONSOLIDATED=Y","Sort=A","Dates=H","DateFormat=P","Fill=—","Direction=H","UseDPDF=Y")</f>
        <v>#NAME?</v>
      </c>
      <c r="BB226" s="2" t="e">
        <f ca="1">_xll.BDH($C$203,"GEO_GROW_TOT_SHRHLDR_EQY","FQ3 2018","FQ3 2018","Currency=INR","Period=FQ","BEST_FPERIOD_OVERRIDE=FQ","FILING_STATUS=OR","EQY_CONSOLIDATED=Y","Sort=A","Dates=H","DateFormat=P","Fill=—","Direction=H","UseDPDF=Y")</f>
        <v>#NAME?</v>
      </c>
      <c r="BC226" s="2" t="e">
        <f ca="1">_xll.BDH($C$203,"TOTAL_CAPITAL_5_YEAR_GROWTH","FQ3 2018","FQ3 2018","Currency=INR","Period=FQ","BEST_FPERIOD_OVERRIDE=FQ","FILING_STATUS=OR","EQY_CONSOLIDATED=Y","Sort=A","Dates=H","DateFormat=P","Fill=—","Direction=H","UseDPDF=Y")</f>
        <v>#NAME?</v>
      </c>
      <c r="BD226" s="2" t="e">
        <f ca="1">_xll.BDH($C$203,"GEO_GROW_BOOK_VAL","FQ3 2018","FQ3 2018","Currency=INR","Period=FQ","BEST_FPERIOD_OVERRIDE=FQ","FILING_STATUS=OR","EQY_CONSOLIDATED=Y","Sort=A","Dates=H","DateFormat=P","Fill=—","Direction=H","UseDPDF=Y")</f>
        <v>#NAME?</v>
      </c>
      <c r="BE226" s="2" t="e">
        <f ca="1">_xll.BDH($C$203,"GEO_GROW_CASH_OPER_ACT","FQ3 2018","FQ3 2018","Currency=INR","Period=FQ","BEST_FPERIOD_OVERRIDE=FQ","FILING_STATUS=OR","EQY_CONSOLIDATED=Y","Sort=A","Dates=H","DateFormat=P","Fill=—","Direction=H","UseDPDF=Y")</f>
        <v>#NAME?</v>
      </c>
      <c r="BF226" s="2" t="e">
        <f ca="1">_xll.BDH($C$203,"REVENUE_SEQUENTIAL_GROWTH","FQ3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26" s="2" t="e">
        <f ca="1">_xll.BDH($C$203,"EBITDA_SEQUENTIAL_GROWTH","FQ3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26" s="2" t="e">
        <f ca="1">_xll.BDH($C$203,"OPERATING_INCOME_SEQ_GROWTH","FQ3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26" s="2" t="e">
        <f ca="1">_xll.BDH($C$203,"NET_INCOME_TO_COMMON_SEQ_GROWTH","FQ3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26" s="2" t="e">
        <f ca="1">_xll.BDH($C$203,"EPS_DILUTED_SEQUENTIAL_GROWTH","FQ3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26" s="2" t="e">
        <f ca="1">_xll.BDH($C$203,"DPS_SEQUENTIAL_GROWTH","FQ3 2018","FQ3 2018","Currency=INR","Period=FQ","BEST_FPERIOD_OVERRIDE=FQ","FILING_STATUS=OR","EQY_CONSOLIDATED=Y","Sort=A","Dates=H","DateFormat=P","Fill=—","Direction=H","UseDPDF=Y")</f>
        <v>#NAME?</v>
      </c>
      <c r="BL226" s="2" t="e">
        <f ca="1">_xll.BDH($C$203,"ACCOUNTS_RECEIVABLE_SEQ_GROWTH","FQ3 2018","FQ3 2018","Currency=INR","Period=FQ","BEST_FPERIOD_OVERRIDE=FQ","FILING_STATUS=OR","EQY_CONSOLIDATED=Y","Sort=A","Dates=H","DateFormat=P","Fill=—","Direction=H","UseDPDF=Y")</f>
        <v>#NAME?</v>
      </c>
      <c r="BM226" s="2" t="e">
        <f ca="1">_xll.BDH($C$203,"INVENTORY_SEQUENTIAL_GROWTH","FQ3 2018","FQ3 2018","Currency=INR","Period=FQ","BEST_FPERIOD_OVERRIDE=FQ","FILING_STATUS=OR","EQY_CONSOLIDATED=Y","Sort=A","Dates=H","DateFormat=P","Fill=—","Direction=H","UseDPDF=Y")</f>
        <v>#NAME?</v>
      </c>
      <c r="BN226" s="2" t="e">
        <f ca="1">_xll.BDH($C$203,"FIXED_ASSETS_SEQUENTIAL_GROWTH","FQ3 2018","FQ3 2018","Currency=INR","Period=FQ","BEST_FPERIOD_OVERRIDE=FQ","FILING_STATUS=OR","EQY_CONSOLIDATED=Y","Sort=A","Dates=H","DateFormat=P","Fill=—","Direction=H","UseDPDF=Y")</f>
        <v>#NAME?</v>
      </c>
      <c r="BO226" s="2" t="e">
        <f ca="1">_xll.BDH($C$203,"TOTAL_ASSETS_SEQUENTIAL_GROWTH","FQ3 2018","FQ3 2018","Currency=INR","Period=FQ","BEST_FPERIOD_OVERRIDE=FQ","FILING_STATUS=OR","EQY_CONSOLIDATED=Y","Sort=A","Dates=H","DateFormat=P","Fill=—","Direction=H","UseDPDF=Y")</f>
        <v>#NAME?</v>
      </c>
      <c r="BP226" s="2" t="e">
        <f ca="1">_xll.BDH($C$203,"MODIFIED_WORKING_CPTL_SEQ_GRWTH","FQ3 2018","FQ3 2018","Currency=INR","Period=FQ","BEST_FPERIOD_OVERRIDE=FQ","FILING_STATUS=OR","EQY_CONSOLIDATED=Y","Sort=A","Dates=H","DateFormat=P","Fill=—","Direction=H","UseDPDF=Y")</f>
        <v>#NAME?</v>
      </c>
      <c r="BQ226" s="2" t="e">
        <f ca="1">_xll.BDH($C$203,"WORKING_CAPITAL_SEQ_GROWTH","FQ3 2018","FQ3 2018","Currency=INR","Period=FQ","BEST_FPERIOD_OVERRIDE=FQ","FILING_STATUS=OR","EQY_CONSOLIDATED=Y","Sort=A","Dates=H","DateFormat=P","Fill=—","Direction=H","UseDPDF=Y")</f>
        <v>#NAME?</v>
      </c>
      <c r="BR226" s="2" t="e">
        <f ca="1">_xll.BDH($C$203,"ACCOUNTS_PAYABLE_SEQ_GROWTH","FQ3 2018","FQ3 2018","Currency=INR","Period=FQ","BEST_FPERIOD_OVERRIDE=FQ","FILING_STATUS=OR","EQY_CONSOLIDATED=Y","Sort=A","Dates=H","DateFormat=P","Fill=—","Direction=H","UseDPDF=Y")</f>
        <v>#NAME?</v>
      </c>
      <c r="BS226" s="2" t="e">
        <f ca="1">_xll.BDH($C$203,"ST_DEBT_SEQUENTIAL_GROWTH","FQ3 2018","FQ3 2018","Currency=INR","Period=FQ","BEST_FPERIOD_OVERRIDE=FQ","FILING_STATUS=OR","EQY_CONSOLIDATED=Y","Sort=A","Dates=H","DateFormat=P","Fill=—","Direction=H","UseDPDF=Y")</f>
        <v>#NAME?</v>
      </c>
      <c r="BT226" s="2" t="e">
        <f ca="1">_xll.BDH($C$203,"TOTAL_DEBT_SEQUENTIAL_GROWTH","FQ3 2018","FQ3 2018","Currency=INR","Period=FQ","BEST_FPERIOD_OVERRIDE=FQ","FILING_STATUS=OR","EQY_CONSOLIDATED=Y","Sort=A","Dates=H","DateFormat=P","Fill=—","Direction=H","UseDPDF=Y")</f>
        <v>#NAME?</v>
      </c>
      <c r="BU226" s="2" t="e">
        <f ca="1">_xll.BDH($C$203,"TOTAL_EQUITY_SEQUENTIAL_GROWTH","FQ3 2018","FQ3 2018","Currency=INR","Period=FQ","BEST_FPERIOD_OVERRIDE=FQ","FILING_STATUS=OR","EQY_CONSOLIDATED=Y","Sort=A","Dates=H","DateFormat=P","Fill=—","Direction=H","UseDPDF=Y")</f>
        <v>#NAME?</v>
      </c>
      <c r="BV226" s="2" t="e">
        <f ca="1">_xll.BDH($C$203,"TOTAL_CAPITAL_SEQUENTIAL_GROWTH","FQ3 2018","FQ3 2018","Currency=INR","Period=FQ","BEST_FPERIOD_OVERRIDE=FQ","FILING_STATUS=OR","EQY_CONSOLIDATED=Y","Sort=A","Dates=H","DateFormat=P","Fill=—","Direction=H","UseDPDF=Y")</f>
        <v>#NAME?</v>
      </c>
      <c r="BW226" s="2" t="e">
        <f ca="1">_xll.BDH($C$203,"BPS_SEQUENTIAL_GROWTH","FQ3 2018","FQ3 2018","Currency=INR","Period=FQ","BEST_FPERIOD_OVERRIDE=FQ","FILING_STATUS=OR","EQY_CONSOLIDATED=Y","Sort=A","Dates=H","DateFormat=P","Fill=—","Direction=H","UseDPDF=Y")</f>
        <v>#NAME?</v>
      </c>
      <c r="BX226" s="2" t="e">
        <f ca="1">_xll.BDH($C$203,"CFO_SEQUENTIAL_GROWTH","FQ3 2018","FQ3 2018","Currency=INR","Period=FQ","BEST_FPERIOD_OVERRIDE=FQ","FILING_STATUS=OR","EQY_CONSOLIDATED=Y","Sort=A","Dates=H","DateFormat=P","Fill=—","Direction=H","UseDPDF=Y")</f>
        <v>#NAME?</v>
      </c>
      <c r="BY226" s="3" t="e">
        <f ca="1">_xll.BDH($C$203,"SHORT_AND_LONG_TERM_DEBT","FQ3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26" s="3" t="e">
        <f ca="1">_xll.BDH($C$203,"BS_ST_BORROW","FQ3 2018","FQ3 2018","Currency=INR","Period=FQ","BEST_FPERIOD_OVERRIDE=FQ","FILING_STATUS=OR","EQY_CONSOLIDATED=Y","SCALING_FORMAT=MLN","Sort=A","Dates=H","DateFormat=P","Fill=—","Direction=H","UseDPDF=Y")</f>
        <v>#NAME?</v>
      </c>
      <c r="CA226" s="3" t="e">
        <f ca="1">_xll.BDH($C$203,"BS_LT_BORROW","FQ3 2018","FQ3 2018","Currency=INR","Period=FQ","BEST_FPERIOD_OVERRIDE=FQ","FILING_STATUS=OR","EQY_CONSOLIDATED=Y","SCALING_FORMAT=MLN","Sort=A","Dates=H","DateFormat=P","Fill=—","Direction=H","UseDPDF=Y")</f>
        <v>#NAME?</v>
      </c>
      <c r="CB226" s="2" t="e">
        <f ca="1">_xll.BDH($C$203,"TOT_DEBT_TO_EBITDA","FQ3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26" s="2" t="e">
        <f ca="1">_xll.BDH($C$203,"NET_DEBT_TO_EBITDA","FQ3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26" s="2" t="e">
        <f ca="1">_xll.BDH($C$203,"TOTAL_DEBT_TO_EBIT","FQ3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26" s="2" t="e">
        <f ca="1">_xll.BDH($C$203,"NET_DEBT_TO_EBIT","FQ3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26" s="2" t="e">
        <f ca="1">_xll.BDH($C$203,"EBITDA_TO_INTEREST_EXPN","FQ3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26" s="2" t="e">
        <f ca="1">_xll.BDH($C$203,"COM_EQY_TO_TOT_ASSET","FQ3 2018","FQ3 2018","Currency=INR","Period=FQ","BEST_FPERIOD_OVERRIDE=FQ","FILING_STATUS=OR","EQY_CONSOLIDATED=Y","Sort=A","Dates=H","DateFormat=P","Fill=—","Direction=H","UseDPDF=Y")</f>
        <v>#NAME?</v>
      </c>
      <c r="CH226" s="2" t="e">
        <f ca="1">_xll.BDH($C$203,"LT_DEBT_TO_TOT_EQY","FQ3 2018","FQ3 2018","Currency=INR","Period=FQ","BEST_FPERIOD_OVERRIDE=FQ","FILING_STATUS=OR","EQY_CONSOLIDATED=Y","Sort=A","Dates=H","DateFormat=P","Fill=—","Direction=H","UseDPDF=Y")</f>
        <v>#NAME?</v>
      </c>
      <c r="CI226" s="2" t="e">
        <f ca="1">_xll.BDH($C$203,"LT_DEBT_TO_TOT_CAP","FQ3 2018","FQ3 2018","Currency=INR","Period=FQ","BEST_FPERIOD_OVERRIDE=FQ","FILING_STATUS=OR","EQY_CONSOLIDATED=Y","Sort=A","Dates=H","DateFormat=P","Fill=—","Direction=H","UseDPDF=Y")</f>
        <v>#NAME?</v>
      </c>
      <c r="CJ226" s="2" t="e">
        <f ca="1">_xll.BDH($C$203,"LT_DEBT_TO_TOT_ASSET","FQ3 2018","FQ3 2018","Currency=INR","Period=FQ","BEST_FPERIOD_OVERRIDE=FQ","FILING_STATUS=OR","EQY_CONSOLIDATED=Y","Sort=A","Dates=H","DateFormat=P","Fill=—","Direction=H","UseDPDF=Y")</f>
        <v>#NAME?</v>
      </c>
      <c r="CK226" s="2" t="e">
        <f ca="1">_xll.BDH($C$203,"TOT_DEBT_TO_TOT_EQY","FQ3 2018","FQ3 2018","Currency=INR","Period=FQ","BEST_FPERIOD_OVERRIDE=FQ","FILING_STATUS=OR","EQY_CONSOLIDATED=Y","Sort=A","Dates=H","DateFormat=P","Fill=—","Direction=H","UseDPDF=Y")</f>
        <v>#NAME?</v>
      </c>
      <c r="CL226" s="2" t="e">
        <f ca="1">_xll.BDH($C$203,"TOT_DEBT_TO_TOT_CAP","FQ3 2018","FQ3 2018","Currency=INR","Period=FQ","BEST_FPERIOD_OVERRIDE=FQ","FILING_STATUS=OR","EQY_CONSOLIDATED=Y","Sort=A","Dates=H","DateFormat=P","Fill=—","Direction=H","UseDPDF=Y")</f>
        <v>#NAME?</v>
      </c>
      <c r="CM226" s="2" t="e">
        <f ca="1">_xll.BDH($C$203,"TOT_DEBT_TO_TOT_ASSET","FQ3 2018","FQ3 2018","Currency=INR","Period=FQ","BEST_FPERIOD_OVERRIDE=FQ","FILING_STATUS=OR","EQY_CONSOLIDATED=Y","Sort=A","Dates=H","DateFormat=P","Fill=—","Direction=H","UseDPDF=Y")</f>
        <v>#NAME?</v>
      </c>
      <c r="CN226" s="2" t="e">
        <f ca="1">_xll.BDH($C$203,"NET_DEBT_TO_SHRHLDR_EQTY","FQ3 2018","FQ3 2018","Currency=INR","Period=FQ","BEST_FPERIOD_OVERRIDE=FQ","FILING_STATUS=OR","EQY_CONSOLIDATED=Y","Sort=A","Dates=H","DateFormat=P","Fill=—","Direction=H","UseDPDF=Y")</f>
        <v>#NAME?</v>
      </c>
      <c r="CO226" s="2" t="e">
        <f ca="1">_xll.BDH($C$203,"NET_DEBT_%_CAPITAL","FQ3 2018","FQ3 2018","Currency=INR","Period=FQ","BEST_FPERIOD_OVERRIDE=FQ","FILING_STATUS=OR","EQY_CONSOLIDATED=Y","Sort=A","Dates=H","DateFormat=P","Fill=—","Direction=H","UseDPDF=Y")</f>
        <v>#NAME?</v>
      </c>
      <c r="CP226" s="3" t="e">
        <f ca="1">_xll.BDH($C$203,"EBITDA","FQ3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26" s="3" t="e">
        <f ca="1">_xll.BDH($C$203,"EBITDA_AFTER_CAPEX","FQ3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26" s="3" t="e">
        <f ca="1">_xll.BDH($C$203,"IS_OPER_INC","FQ3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26" s="2" t="e">
        <f ca="1">_xll.BDH($C$203,"CASH_RATIO","FQ3 2018","FQ3 2018","Currency=INR","Period=FQ","BEST_FPERIOD_OVERRIDE=FQ","FILING_STATUS=OR","EQY_CONSOLIDATED=Y","Sort=A","Dates=H","DateFormat=P","Fill=—","Direction=H","UseDPDF=Y")</f>
        <v>#NAME?</v>
      </c>
      <c r="CT226" s="2" t="e">
        <f ca="1">_xll.BDH($C$203,"CUR_RATIO","FQ3 2018","FQ3 2018","Currency=INR","Period=FQ","BEST_FPERIOD_OVERRIDE=FQ","FILING_STATUS=OR","EQY_CONSOLIDATED=Y","Sort=A","Dates=H","DateFormat=P","Fill=—","Direction=H","UseDPDF=Y")</f>
        <v>#NAME?</v>
      </c>
      <c r="CU226" s="2" t="e">
        <f ca="1">_xll.BDH($C$203,"QUICK_RATIO","FQ3 2018","FQ3 2018","Currency=INR","Period=FQ","BEST_FPERIOD_OVERRIDE=FQ","FILING_STATUS=OR","EQY_CONSOLIDATED=Y","Sort=A","Dates=H","DateFormat=P","Fill=—","Direction=H","UseDPDF=Y")</f>
        <v>#NAME?</v>
      </c>
      <c r="CV226" s="2" t="e">
        <f ca="1">_xll.BDH($C$203,"ALTMAN_Z_SCORE","FQ3 2018","FQ3 2018","Currency=INR","Period=FQ","BEST_FPERIOD_OVERRIDE=FQ","FILING_STATUS=OR","EQY_CONSOLIDATED=Y","Sort=A","Dates=H","DateFormat=P","Fill=—","Direction=H","UseDPDF=Y")</f>
        <v>#NAME?</v>
      </c>
      <c r="CW226" s="4" t="e">
        <f ca="1">_xll.BDH($C$203,"ACCT_RCV_TURN","FQ3 2018","FQ3 2018","Currency=INR","Period=FQ","BEST_FPERIOD_OVERRIDE=FQ","FILING_STATUS=OR","EQY_CONSOLIDATED=Y","FA_ADJUSTED=GAAP","Sort=A","Dates=H","DateFormat=P","Fill=—","Direction=H","UseDPDF=Y")</f>
        <v>#NAME?</v>
      </c>
      <c r="CX226" s="2" t="e">
        <f ca="1">_xll.BDH($C$203,"ACCT_RCV_DAYS","FQ3 2018","FQ3 2018","Currency=INR","Period=FQ","BEST_FPERIOD_OVERRIDE=FQ","FILING_STATUS=OR","EQY_CONSOLIDATED=Y","FA_ADJUSTED=GAAP","Sort=A","Dates=H","DateFormat=P","Fill=—","Direction=H","UseDPDF=Y")</f>
        <v>#NAME?</v>
      </c>
      <c r="CY226" s="4" t="e">
        <f ca="1">_xll.BDH($C$203,"INVENT_TURN","FQ3 2018","FQ3 2018","Currency=INR","Period=FQ","BEST_FPERIOD_OVERRIDE=FQ","FILING_STATUS=OR","EQY_CONSOLIDATED=Y","FA_ADJUSTED=GAAP","Sort=A","Dates=H","DateFormat=P","Fill=—","Direction=H","UseDPDF=Y")</f>
        <v>#NAME?</v>
      </c>
      <c r="CZ226" s="2" t="e">
        <f ca="1">_xll.BDH($C$203,"INVENT_DAYS","FQ3 2018","FQ3 2018","Currency=INR","Period=FQ","BEST_FPERIOD_OVERRIDE=FQ","FILING_STATUS=OR","EQY_CONSOLIDATED=Y","FA_ADJUSTED=GAAP","Sort=A","Dates=H","DateFormat=P","Fill=—","Direction=H","UseDPDF=Y")</f>
        <v>#NAME?</v>
      </c>
      <c r="DA226" s="4" t="e">
        <f ca="1">_xll.BDH($C$203,"ACCOUNTS_PAYABLE_TURNOVER","FQ3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26" s="2" t="e">
        <f ca="1">_xll.BDH($C$203,"ACCOUNTS_PAYABLE_TURNOVER_DAYS","FQ3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26" s="4" t="e">
        <f ca="1">_xll.BDH($C$203,"CASH_CONVERSION_CYCLE","FQ3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26" s="4" t="e">
        <f ca="1">_xll.BDH($C$203,"INV_TO_CASH_DAYS","FQ3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26" s="5" t="e">
        <f ca="1">_xll.BDH($C$203,"BS_INVENTORIES","FQ3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26" s="3" t="e">
        <f ca="1">_xll.BDH($C$203,"INVTRY_RAW_MATERIALS","FQ3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26" s="3" t="e">
        <f ca="1">_xll.BDH($C$203,"INVTRY_IN_PROGRESS","FQ3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26" s="3" t="e">
        <f ca="1">_xll.BDH($C$203,"INVTRY_FINISHED_GOODS","FQ3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26" s="3" t="e">
        <f ca="1">_xll.BDH($C$203,"BS_OTHER_INV","FQ3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27" spans="1:113" x14ac:dyDescent="0.3">
      <c r="A227" s="6"/>
      <c r="B227" s="6"/>
      <c r="C227" s="6"/>
      <c r="D227" s="6"/>
      <c r="E227" t="s">
        <v>81</v>
      </c>
      <c r="F227" t="e">
        <f ca="1">_xll.BDH($C$203,"RETURN_COM_EQY","FQ4 2018","FQ4 2018","Currency=INR","Period=FQ","BEST_FPERIOD_OVERRIDE=FQ","FILING_STATUS=OR","EQY_CONSOLIDATED=Y","FA_ADJUSTED=GAAP","Sort=A","Dates=H","DateFormat=P","Fill=—","Direction=H","UseDPDF=Y")</f>
        <v>#NAME?</v>
      </c>
      <c r="G227" t="e">
        <f ca="1">_xll.BDH($C$203,"RETURN_ON_ASSET","FQ4 2018","FQ4 2018","Currency=INR","Period=FQ","BEST_FPERIOD_OVERRIDE=FQ","FILING_STATUS=OR","EQY_CONSOLIDATED=Y","FA_ADJUSTED=GAAP","Sort=A","Dates=H","DateFormat=P","Fill=—","Direction=H","UseDPDF=Y")</f>
        <v>#NAME?</v>
      </c>
      <c r="H227" t="e">
        <f ca="1">_xll.BDH($C$203,"RETURN_ON_CAP","FQ4 2018","FQ4 2018","Currency=INR","Period=FQ","BEST_FPERIOD_OVERRIDE=FQ","FILING_STATUS=OR","EQY_CONSOLIDATED=Y","FA_ADJUSTED=GAAP","Sort=A","Dates=H","DateFormat=P","Fill=—","Direction=H","UseDPDF=Y")</f>
        <v>#NAME?</v>
      </c>
      <c r="I227" t="e">
        <f ca="1">_xll.BDH($C$203,"RETURN_ON_INV_CAPITAL","FQ4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27" t="e">
        <f ca="1">_xll.BDH($C$203,"EBITDA_TO_REVENUE","FQ4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27" t="e">
        <f ca="1">_xll.BDH($C$203,"OPER_MARGIN","FQ4 2018","FQ4 2018","Currency=INR","Period=FQ","BEST_FPERIOD_OVERRIDE=FQ","FILING_STATUS=OR","EQY_CONSOLIDATED=Y","FA_ADJUSTED=GAAP","Sort=A","Dates=H","DateFormat=P","Fill=—","Direction=H","UseDPDF=Y")</f>
        <v>#NAME?</v>
      </c>
      <c r="L227" t="e">
        <f ca="1">_xll.BDH($C$203,"INCREMENTAL_OPERATING_MARGIN","FQ4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27" t="e">
        <f ca="1">_xll.BDH($C$203,"PRETAX_INC_TO_NET_SALES","FQ4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27" t="e">
        <f ca="1">_xll.BDH($C$203,"INC_BEF_XO_ITEMS_TO_NET_SALES","FQ4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27" t="e">
        <f ca="1">_xll.BDH($C$203,"PROF_MARGIN","FQ4 2018","FQ4 2018","Currency=INR","Period=FQ","BEST_FPERIOD_OVERRIDE=FQ","FILING_STATUS=OR","EQY_CONSOLIDATED=Y","FA_ADJUSTED=GAAP","Sort=A","Dates=H","DateFormat=P","Fill=—","Direction=H","UseDPDF=Y")</f>
        <v>#NAME?</v>
      </c>
      <c r="P227" t="e">
        <f ca="1">_xll.BDH($C$203,"NET_INCOME_TO_COMMON_MARGIN","FQ4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27" t="e">
        <f ca="1">_xll.BDH($C$203,"EFF_TAX_RATE","FQ4 2018","FQ4 2018","Currency=INR","Period=FQ","BEST_FPERIOD_OVERRIDE=FQ","FILING_STATUS=OR","EQY_CONSOLIDATED=Y","FA_ADJUSTED=GAAP","Sort=A","Dates=H","DateFormat=P","Fill=—","Direction=H","UseDPDF=Y")</f>
        <v>#NAME?</v>
      </c>
      <c r="R227" t="e">
        <f ca="1">_xll.BDH($C$203,"DVD_PAYOUT_RATIO","FQ4 2018","FQ4 2018","Currency=INR","Period=FQ","BEST_FPERIOD_OVERRIDE=FQ","FILING_STATUS=OR","EQY_CONSOLIDATED=Y","FA_ADJUSTED=GAAP","Sort=A","Dates=H","DateFormat=P","Fill=—","Direction=H","UseDPDF=Y")</f>
        <v>#NAME?</v>
      </c>
      <c r="S227" t="e">
        <f ca="1">_xll.BDH($C$203,"SUSTAIN_GROWTH_RT","FQ4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27" s="2" t="e">
        <f ca="1">_xll.BDH($C$203,"SALES_GROWTH","FQ4 2018","FQ4 2018","Currency=INR","Period=FQ","BEST_FPERIOD_OVERRIDE=FQ","FILING_STATUS=OR","EQY_CONSOLIDATED=Y","FA_ADJUSTED=GAAP","Sort=A","Dates=H","DateFormat=P","Fill=—","Direction=H","UseDPDF=Y")</f>
        <v>#NAME?</v>
      </c>
      <c r="U227" s="2" t="e">
        <f ca="1">_xll.BDH($C$203,"EBITDA_GROWTH","FQ4 2018","FQ4 2018","Currency=INR","Period=FQ","BEST_FPERIOD_OVERRIDE=FQ","FILING_STATUS=OR","EQY_CONSOLIDATED=Y","FA_ADJUSTED=GAAP","Sort=A","Dates=H","DateFormat=P","Fill=—","Direction=H","UseDPDF=Y")</f>
        <v>#NAME?</v>
      </c>
      <c r="V227" s="2" t="e">
        <f ca="1">_xll.BDH($C$203,"OPER_INC_GROWTH","FQ4 2018","FQ4 2018","Currency=INR","Period=FQ","BEST_FPERIOD_OVERRIDE=FQ","FILING_STATUS=OR","EQY_CONSOLIDATED=Y","FA_ADJUSTED=GAAP","Sort=A","Dates=H","DateFormat=P","Fill=—","Direction=H","UseDPDF=Y")</f>
        <v>#NAME?</v>
      </c>
      <c r="W227" s="2" t="e">
        <f ca="1">_xll.BDH($C$203,"EARN_FOR_COM_GROWTH","FQ4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27" s="2" t="e">
        <f ca="1">_xll.BDH($C$203,"DILUTED_EPS_AFT_XO_ITEMS_GROWTH","FQ4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27" s="2" t="e">
        <f ca="1">_xll.BDH($C$203,"DIVIDEND_PER_SHARE_1_YEAR_GROWTH","FQ4 2018","FQ4 2018","Currency=INR","Period=FQ","BEST_FPERIOD_OVERRIDE=FQ","FILING_STATUS=OR","EQY_CONSOLIDATED=Y","Sort=A","Dates=H","DateFormat=P","Fill=—","Direction=H","UseDPDF=Y")</f>
        <v>#NAME?</v>
      </c>
      <c r="Z227" s="2" t="e">
        <f ca="1">_xll.BDH($C$203,"ACCOUNTS_RECEIVABLE_GROWTH","FQ4 2018","FQ4 2018","Currency=INR","Period=FQ","BEST_FPERIOD_OVERRIDE=FQ","FILING_STATUS=OR","EQY_CONSOLIDATED=Y","Sort=A","Dates=H","DateFormat=P","Fill=—","Direction=H","UseDPDF=Y")</f>
        <v>#NAME?</v>
      </c>
      <c r="AA227" s="2" t="e">
        <f ca="1">_xll.BDH($C$203,"INVENTORY_GROWTH","FQ4 2018","FQ4 2018","Currency=INR","Period=FQ","BEST_FPERIOD_OVERRIDE=FQ","FILING_STATUS=OR","EQY_CONSOLIDATED=Y","Sort=A","Dates=H","DateFormat=P","Fill=—","Direction=H","UseDPDF=Y")</f>
        <v>#NAME?</v>
      </c>
      <c r="AB227" s="2" t="e">
        <f ca="1">_xll.BDH($C$203,"NET_FIXED_ASSETS_1_YEAR_GROWTH","FQ4 2018","FQ4 2018","Currency=INR","Period=FQ","BEST_FPERIOD_OVERRIDE=FQ","FILING_STATUS=OR","EQY_CONSOLIDATED=Y","Sort=A","Dates=H","DateFormat=P","Fill=—","Direction=H","UseDPDF=Y")</f>
        <v>#NAME?</v>
      </c>
      <c r="AC227" s="2" t="e">
        <f ca="1">_xll.BDH($C$203,"ASSET_GROWTH","FQ4 2018","FQ4 2018","Currency=INR","Period=FQ","BEST_FPERIOD_OVERRIDE=FQ","FILING_STATUS=OR","EQY_CONSOLIDATED=Y","Sort=A","Dates=H","DateFormat=P","Fill=—","Direction=H","UseDPDF=Y")</f>
        <v>#NAME?</v>
      </c>
      <c r="AD227" s="2" t="e">
        <f ca="1">_xll.BDH($C$203,"MODIFIED_WORK_CAP_GROWTH","FQ4 2018","FQ4 2018","Currency=INR","Period=FQ","BEST_FPERIOD_OVERRIDE=FQ","FILING_STATUS=OR","EQY_CONSOLIDATED=Y","Sort=A","Dates=H","DateFormat=P","Fill=—","Direction=H","UseDPDF=Y")</f>
        <v>#NAME?</v>
      </c>
      <c r="AE227" s="2" t="e">
        <f ca="1">_xll.BDH($C$203,"WORK_CAP_GROWTH","FQ4 2018","FQ4 2018","Currency=INR","Period=FQ","BEST_FPERIOD_OVERRIDE=FQ","FILING_STATUS=OR","EQY_CONSOLIDATED=Y","Sort=A","Dates=H","DateFormat=P","Fill=—","Direction=H","UseDPDF=Y")</f>
        <v>#NAME?</v>
      </c>
      <c r="AF227" s="2" t="e">
        <f ca="1">_xll.BDH($C$203,"ACCOUNTS_PAYABLE_GROWTH_1YR","FQ4 2018","FQ4 2018","Currency=INR","Period=FQ","BEST_FPERIOD_OVERRIDE=FQ","FILING_STATUS=OR","EQY_CONSOLIDATED=Y","Sort=A","Dates=H","DateFormat=P","Fill=—","Direction=H","UseDPDF=Y")</f>
        <v>#NAME?</v>
      </c>
      <c r="AG227" s="2" t="e">
        <f ca="1">_xll.BDH($C$203,"SHORT_TERM_DEBT_1_YEAR_GROWTH","FQ4 2018","FQ4 2018","Currency=INR","Period=FQ","BEST_FPERIOD_OVERRIDE=FQ","FILING_STATUS=OR","EQY_CONSOLIDATED=Y","Sort=A","Dates=H","DateFormat=P","Fill=—","Direction=H","UseDPDF=Y")</f>
        <v>#NAME?</v>
      </c>
      <c r="AH227" s="2" t="e">
        <f ca="1">_xll.BDH($C$203,"TOTAL_DEBT_1_YEAR_GROWTH","FQ4 2018","FQ4 2018","Currency=INR","Period=FQ","BEST_FPERIOD_OVERRIDE=FQ","FILING_STATUS=OR","EQY_CONSOLIDATED=Y","Sort=A","Dates=H","DateFormat=P","Fill=—","Direction=H","UseDPDF=Y")</f>
        <v>#NAME?</v>
      </c>
      <c r="AI227" s="2" t="e">
        <f ca="1">_xll.BDH($C$203,"TOTAL_EQUITY_1_YEAR_GROWTH","FQ4 2018","FQ4 2018","Currency=INR","Period=FQ","BEST_FPERIOD_OVERRIDE=FQ","FILING_STATUS=OR","EQY_CONSOLIDATED=Y","Sort=A","Dates=H","DateFormat=P","Fill=—","Direction=H","UseDPDF=Y")</f>
        <v>#NAME?</v>
      </c>
      <c r="AJ227" s="2" t="e">
        <f ca="1">_xll.BDH($C$203,"GROWTH_IN_CAP","FQ4 2018","FQ4 2018","Currency=INR","Period=FQ","BEST_FPERIOD_OVERRIDE=FQ","FILING_STATUS=OR","EQY_CONSOLIDATED=Y","Sort=A","Dates=H","DateFormat=P","Fill=—","Direction=H","UseDPDF=Y")</f>
        <v>#NAME?</v>
      </c>
      <c r="AK227" s="2" t="e">
        <f ca="1">_xll.BDH($C$203,"BVPS_GROWTH","FQ4 2018","FQ4 2018","Currency=INR","Period=FQ","BEST_FPERIOD_OVERRIDE=FQ","FILING_STATUS=OR","EQY_CONSOLIDATED=Y","Sort=A","Dates=H","DateFormat=P","Fill=—","Direction=H","UseDPDF=Y")</f>
        <v>#NAME?</v>
      </c>
      <c r="AL227" s="2" t="e">
        <f ca="1">_xll.BDH($C$203,"CASH_FLOW_GROWTH","FQ4 2018","FQ4 2018","Currency=INR","Period=FQ","BEST_FPERIOD_OVERRIDE=FQ","FILING_STATUS=OR","EQY_CONSOLIDATED=Y","Sort=A","Dates=H","DateFormat=P","Fill=—","Direction=H","UseDPDF=Y")</f>
        <v>#NAME?</v>
      </c>
      <c r="AM227" s="2" t="e">
        <f ca="1">_xll.BDH($C$203,"GEO_GROW_NET_SALES","FQ4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27" s="2" t="e">
        <f ca="1">_xll.BDH($C$203,"GEO_GROW_EBITDA","FQ4 2018","FQ4 2018","Currency=INR","Period=FQ","BEST_FPERIOD_OVERRIDE=FQ","FILING_STATUS=OR","EQY_CONSOLIDATED=Y","FA_ADJUSTED=GAAP","Sort=A","Dates=H","DateFormat=P","Fill=—","Direction=H","UseDPDF=Y")</f>
        <v>#NAME?</v>
      </c>
      <c r="AO227" s="2" t="e">
        <f ca="1">_xll.BDH($C$203,"GEO_GROW_OPER_INC","FQ4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27" s="2" t="e">
        <f ca="1">_xll.BDH($C$203,"NET_INCOME_TO_COMMON_5_YR_GROWTH","FQ4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27" s="2" t="e">
        <f ca="1">_xll.BDH($C$203,"5Y_GEO_GROWTH_DILUTED_EPS","FQ4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27" s="2" t="e">
        <f ca="1">_xll.BDH($C$203,"GEO_GROW_DVD_PER_SH","FQ4 2018","FQ4 2018","Currency=INR","Period=FQ","BEST_FPERIOD_OVERRIDE=FQ","FILING_STATUS=OR","EQY_CONSOLIDATED=Y","Sort=A","Dates=H","DateFormat=P","Fill=—","Direction=H","UseDPDF=Y")</f>
        <v>#NAME?</v>
      </c>
      <c r="AS227" s="2" t="e">
        <f ca="1">_xll.BDH($C$203,"ACCOUNTS_RECEIVABLE_5_YR_GROWTH","FQ4 2018","FQ4 2018","Currency=INR","Period=FQ","BEST_FPERIOD_OVERRIDE=FQ","FILING_STATUS=OR","EQY_CONSOLIDATED=Y","Sort=A","Dates=H","DateFormat=P","Fill=—","Direction=H","UseDPDF=Y")</f>
        <v>#NAME?</v>
      </c>
      <c r="AT227" s="2" t="e">
        <f ca="1">_xll.BDH($C$203,"INVENTORY_5_YEAR_GROWTH","FQ4 2018","FQ4 2018","Currency=INR","Period=FQ","BEST_FPERIOD_OVERRIDE=FQ","FILING_STATUS=OR","EQY_CONSOLIDATED=Y","Sort=A","Dates=H","DateFormat=P","Fill=—","Direction=H","UseDPDF=Y")</f>
        <v>#NAME?</v>
      </c>
      <c r="AU227" s="2" t="e">
        <f ca="1">_xll.BDH($C$203,"NET_FIXED_ASSETS_5_YEAR_GROWTH","FQ4 2018","FQ4 2018","Currency=INR","Period=FQ","BEST_FPERIOD_OVERRIDE=FQ","FILING_STATUS=OR","EQY_CONSOLIDATED=Y","Sort=A","Dates=H","DateFormat=P","Fill=—","Direction=H","UseDPDF=Y")</f>
        <v>#NAME?</v>
      </c>
      <c r="AV227" s="2" t="e">
        <f ca="1">_xll.BDH($C$203,"GEO_GROW_TOT_ASSET","FQ4 2018","FQ4 2018","Currency=INR","Period=FQ","BEST_FPERIOD_OVERRIDE=FQ","FILING_STATUS=OR","EQY_CONSOLIDATED=Y","Sort=A","Dates=H","DateFormat=P","Fill=—","Direction=H","UseDPDF=Y")</f>
        <v>#NAME?</v>
      </c>
      <c r="AW227" s="2" t="e">
        <f ca="1">_xll.BDH($C$203,"MODIFIED_WORKING_CPTL_5YR_GRWTH","FQ4 2018","FQ4 2018","Currency=INR","Period=FQ","BEST_FPERIOD_OVERRIDE=FQ","FILING_STATUS=OR","EQY_CONSOLIDATED=Y","Sort=A","Dates=H","DateFormat=P","Fill=—","Direction=H","UseDPDF=Y")</f>
        <v>#NAME?</v>
      </c>
      <c r="AX227" s="2" t="e">
        <f ca="1">_xll.BDH($C$203,"WORKING_CAPITAL_5_YEAR_GROWTH","FQ4 2018","FQ4 2018","Currency=INR","Period=FQ","BEST_FPERIOD_OVERRIDE=FQ","FILING_STATUS=OR","EQY_CONSOLIDATED=Y","Sort=A","Dates=H","DateFormat=P","Fill=—","Direction=H","UseDPDF=Y")</f>
        <v>#NAME?</v>
      </c>
      <c r="AY227" s="2" t="e">
        <f ca="1">_xll.BDH($C$203,"ACCOUNTS_PAYABLE_5_YEAR_GROWTH","FQ4 2018","FQ4 2018","Currency=INR","Period=FQ","BEST_FPERIOD_OVERRIDE=FQ","FILING_STATUS=OR","EQY_CONSOLIDATED=Y","Sort=A","Dates=H","DateFormat=P","Fill=—","Direction=H","UseDPDF=Y")</f>
        <v>#NAME?</v>
      </c>
      <c r="AZ227" s="2" t="e">
        <f ca="1">_xll.BDH($C$203,"SHORT_TERM_DEBT_5_YEAR_GROWTH","FQ4 2018","FQ4 2018","Currency=INR","Period=FQ","BEST_FPERIOD_OVERRIDE=FQ","FILING_STATUS=OR","EQY_CONSOLIDATED=Y","Sort=A","Dates=H","DateFormat=P","Fill=—","Direction=H","UseDPDF=Y")</f>
        <v>#NAME?</v>
      </c>
      <c r="BA227" s="2" t="e">
        <f ca="1">_xll.BDH($C$203,"TOTAL_DEBT_5_YEAR_GROWTH","FQ4 2018","FQ4 2018","Currency=INR","Period=FQ","BEST_FPERIOD_OVERRIDE=FQ","FILING_STATUS=OR","EQY_CONSOLIDATED=Y","Sort=A","Dates=H","DateFormat=P","Fill=—","Direction=H","UseDPDF=Y")</f>
        <v>#NAME?</v>
      </c>
      <c r="BB227" s="2" t="e">
        <f ca="1">_xll.BDH($C$203,"GEO_GROW_TOT_SHRHLDR_EQY","FQ4 2018","FQ4 2018","Currency=INR","Period=FQ","BEST_FPERIOD_OVERRIDE=FQ","FILING_STATUS=OR","EQY_CONSOLIDATED=Y","Sort=A","Dates=H","DateFormat=P","Fill=—","Direction=H","UseDPDF=Y")</f>
        <v>#NAME?</v>
      </c>
      <c r="BC227" s="2" t="e">
        <f ca="1">_xll.BDH($C$203,"TOTAL_CAPITAL_5_YEAR_GROWTH","FQ4 2018","FQ4 2018","Currency=INR","Period=FQ","BEST_FPERIOD_OVERRIDE=FQ","FILING_STATUS=OR","EQY_CONSOLIDATED=Y","Sort=A","Dates=H","DateFormat=P","Fill=—","Direction=H","UseDPDF=Y")</f>
        <v>#NAME?</v>
      </c>
      <c r="BD227" s="2" t="e">
        <f ca="1">_xll.BDH($C$203,"GEO_GROW_BOOK_VAL","FQ4 2018","FQ4 2018","Currency=INR","Period=FQ","BEST_FPERIOD_OVERRIDE=FQ","FILING_STATUS=OR","EQY_CONSOLIDATED=Y","Sort=A","Dates=H","DateFormat=P","Fill=—","Direction=H","UseDPDF=Y")</f>
        <v>#NAME?</v>
      </c>
      <c r="BE227" s="2" t="e">
        <f ca="1">_xll.BDH($C$203,"GEO_GROW_CASH_OPER_ACT","FQ4 2018","FQ4 2018","Currency=INR","Period=FQ","BEST_FPERIOD_OVERRIDE=FQ","FILING_STATUS=OR","EQY_CONSOLIDATED=Y","Sort=A","Dates=H","DateFormat=P","Fill=—","Direction=H","UseDPDF=Y")</f>
        <v>#NAME?</v>
      </c>
      <c r="BF227" s="2" t="e">
        <f ca="1">_xll.BDH($C$203,"REVENUE_SEQUENTIAL_GROWTH","FQ4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27" s="2" t="e">
        <f ca="1">_xll.BDH($C$203,"EBITDA_SEQUENTIAL_GROWTH","FQ4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27" s="2" t="e">
        <f ca="1">_xll.BDH($C$203,"OPERATING_INCOME_SEQ_GROWTH","FQ4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27" s="2" t="e">
        <f ca="1">_xll.BDH($C$203,"NET_INCOME_TO_COMMON_SEQ_GROWTH","FQ4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27" s="2" t="e">
        <f ca="1">_xll.BDH($C$203,"EPS_DILUTED_SEQUENTIAL_GROWTH","FQ4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27" s="2" t="e">
        <f ca="1">_xll.BDH($C$203,"DPS_SEQUENTIAL_GROWTH","FQ4 2018","FQ4 2018","Currency=INR","Period=FQ","BEST_FPERIOD_OVERRIDE=FQ","FILING_STATUS=OR","EQY_CONSOLIDATED=Y","Sort=A","Dates=H","DateFormat=P","Fill=—","Direction=H","UseDPDF=Y")</f>
        <v>#NAME?</v>
      </c>
      <c r="BL227" s="2" t="e">
        <f ca="1">_xll.BDH($C$203,"ACCOUNTS_RECEIVABLE_SEQ_GROWTH","FQ4 2018","FQ4 2018","Currency=INR","Period=FQ","BEST_FPERIOD_OVERRIDE=FQ","FILING_STATUS=OR","EQY_CONSOLIDATED=Y","Sort=A","Dates=H","DateFormat=P","Fill=—","Direction=H","UseDPDF=Y")</f>
        <v>#NAME?</v>
      </c>
      <c r="BM227" s="2" t="e">
        <f ca="1">_xll.BDH($C$203,"INVENTORY_SEQUENTIAL_GROWTH","FQ4 2018","FQ4 2018","Currency=INR","Period=FQ","BEST_FPERIOD_OVERRIDE=FQ","FILING_STATUS=OR","EQY_CONSOLIDATED=Y","Sort=A","Dates=H","DateFormat=P","Fill=—","Direction=H","UseDPDF=Y")</f>
        <v>#NAME?</v>
      </c>
      <c r="BN227" s="2" t="e">
        <f ca="1">_xll.BDH($C$203,"FIXED_ASSETS_SEQUENTIAL_GROWTH","FQ4 2018","FQ4 2018","Currency=INR","Period=FQ","BEST_FPERIOD_OVERRIDE=FQ","FILING_STATUS=OR","EQY_CONSOLIDATED=Y","Sort=A","Dates=H","DateFormat=P","Fill=—","Direction=H","UseDPDF=Y")</f>
        <v>#NAME?</v>
      </c>
      <c r="BO227" s="2" t="e">
        <f ca="1">_xll.BDH($C$203,"TOTAL_ASSETS_SEQUENTIAL_GROWTH","FQ4 2018","FQ4 2018","Currency=INR","Period=FQ","BEST_FPERIOD_OVERRIDE=FQ","FILING_STATUS=OR","EQY_CONSOLIDATED=Y","Sort=A","Dates=H","DateFormat=P","Fill=—","Direction=H","UseDPDF=Y")</f>
        <v>#NAME?</v>
      </c>
      <c r="BP227" s="2" t="e">
        <f ca="1">_xll.BDH($C$203,"MODIFIED_WORKING_CPTL_SEQ_GRWTH","FQ4 2018","FQ4 2018","Currency=INR","Period=FQ","BEST_FPERIOD_OVERRIDE=FQ","FILING_STATUS=OR","EQY_CONSOLIDATED=Y","Sort=A","Dates=H","DateFormat=P","Fill=—","Direction=H","UseDPDF=Y")</f>
        <v>#NAME?</v>
      </c>
      <c r="BQ227" s="2" t="e">
        <f ca="1">_xll.BDH($C$203,"WORKING_CAPITAL_SEQ_GROWTH","FQ4 2018","FQ4 2018","Currency=INR","Period=FQ","BEST_FPERIOD_OVERRIDE=FQ","FILING_STATUS=OR","EQY_CONSOLIDATED=Y","Sort=A","Dates=H","DateFormat=P","Fill=—","Direction=H","UseDPDF=Y")</f>
        <v>#NAME?</v>
      </c>
      <c r="BR227" s="2" t="e">
        <f ca="1">_xll.BDH($C$203,"ACCOUNTS_PAYABLE_SEQ_GROWTH","FQ4 2018","FQ4 2018","Currency=INR","Period=FQ","BEST_FPERIOD_OVERRIDE=FQ","FILING_STATUS=OR","EQY_CONSOLIDATED=Y","Sort=A","Dates=H","DateFormat=P","Fill=—","Direction=H","UseDPDF=Y")</f>
        <v>#NAME?</v>
      </c>
      <c r="BS227" s="2" t="e">
        <f ca="1">_xll.BDH($C$203,"ST_DEBT_SEQUENTIAL_GROWTH","FQ4 2018","FQ4 2018","Currency=INR","Period=FQ","BEST_FPERIOD_OVERRIDE=FQ","FILING_STATUS=OR","EQY_CONSOLIDATED=Y","Sort=A","Dates=H","DateFormat=P","Fill=—","Direction=H","UseDPDF=Y")</f>
        <v>#NAME?</v>
      </c>
      <c r="BT227" s="2" t="e">
        <f ca="1">_xll.BDH($C$203,"TOTAL_DEBT_SEQUENTIAL_GROWTH","FQ4 2018","FQ4 2018","Currency=INR","Period=FQ","BEST_FPERIOD_OVERRIDE=FQ","FILING_STATUS=OR","EQY_CONSOLIDATED=Y","Sort=A","Dates=H","DateFormat=P","Fill=—","Direction=H","UseDPDF=Y")</f>
        <v>#NAME?</v>
      </c>
      <c r="BU227" s="2" t="e">
        <f ca="1">_xll.BDH($C$203,"TOTAL_EQUITY_SEQUENTIAL_GROWTH","FQ4 2018","FQ4 2018","Currency=INR","Period=FQ","BEST_FPERIOD_OVERRIDE=FQ","FILING_STATUS=OR","EQY_CONSOLIDATED=Y","Sort=A","Dates=H","DateFormat=P","Fill=—","Direction=H","UseDPDF=Y")</f>
        <v>#NAME?</v>
      </c>
      <c r="BV227" s="2" t="e">
        <f ca="1">_xll.BDH($C$203,"TOTAL_CAPITAL_SEQUENTIAL_GROWTH","FQ4 2018","FQ4 2018","Currency=INR","Period=FQ","BEST_FPERIOD_OVERRIDE=FQ","FILING_STATUS=OR","EQY_CONSOLIDATED=Y","Sort=A","Dates=H","DateFormat=P","Fill=—","Direction=H","UseDPDF=Y")</f>
        <v>#NAME?</v>
      </c>
      <c r="BW227" s="2" t="e">
        <f ca="1">_xll.BDH($C$203,"BPS_SEQUENTIAL_GROWTH","FQ4 2018","FQ4 2018","Currency=INR","Period=FQ","BEST_FPERIOD_OVERRIDE=FQ","FILING_STATUS=OR","EQY_CONSOLIDATED=Y","Sort=A","Dates=H","DateFormat=P","Fill=—","Direction=H","UseDPDF=Y")</f>
        <v>#NAME?</v>
      </c>
      <c r="BX227" s="2" t="e">
        <f ca="1">_xll.BDH($C$203,"CFO_SEQUENTIAL_GROWTH","FQ4 2018","FQ4 2018","Currency=INR","Period=FQ","BEST_FPERIOD_OVERRIDE=FQ","FILING_STATUS=OR","EQY_CONSOLIDATED=Y","Sort=A","Dates=H","DateFormat=P","Fill=—","Direction=H","UseDPDF=Y")</f>
        <v>#NAME?</v>
      </c>
      <c r="BY227" s="3" t="e">
        <f ca="1">_xll.BDH($C$203,"SHORT_AND_LONG_TERM_DEBT","FQ4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27" s="3" t="e">
        <f ca="1">_xll.BDH($C$203,"BS_ST_BORROW","FQ4 2018","FQ4 2018","Currency=INR","Period=FQ","BEST_FPERIOD_OVERRIDE=FQ","FILING_STATUS=OR","EQY_CONSOLIDATED=Y","SCALING_FORMAT=MLN","Sort=A","Dates=H","DateFormat=P","Fill=—","Direction=H","UseDPDF=Y")</f>
        <v>#NAME?</v>
      </c>
      <c r="CA227" s="3" t="e">
        <f ca="1">_xll.BDH($C$203,"BS_LT_BORROW","FQ4 2018","FQ4 2018","Currency=INR","Period=FQ","BEST_FPERIOD_OVERRIDE=FQ","FILING_STATUS=OR","EQY_CONSOLIDATED=Y","SCALING_FORMAT=MLN","Sort=A","Dates=H","DateFormat=P","Fill=—","Direction=H","UseDPDF=Y")</f>
        <v>#NAME?</v>
      </c>
      <c r="CB227" s="2" t="e">
        <f ca="1">_xll.BDH($C$203,"TOT_DEBT_TO_EBITDA","FQ4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27" s="2" t="e">
        <f ca="1">_xll.BDH($C$203,"NET_DEBT_TO_EBITDA","FQ4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27" s="2" t="e">
        <f ca="1">_xll.BDH($C$203,"TOTAL_DEBT_TO_EBIT","FQ4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27" s="2" t="e">
        <f ca="1">_xll.BDH($C$203,"NET_DEBT_TO_EBIT","FQ4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27" s="2" t="e">
        <f ca="1">_xll.BDH($C$203,"EBITDA_TO_INTEREST_EXPN","FQ4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27" s="2" t="e">
        <f ca="1">_xll.BDH($C$203,"COM_EQY_TO_TOT_ASSET","FQ4 2018","FQ4 2018","Currency=INR","Period=FQ","BEST_FPERIOD_OVERRIDE=FQ","FILING_STATUS=OR","EQY_CONSOLIDATED=Y","Sort=A","Dates=H","DateFormat=P","Fill=—","Direction=H","UseDPDF=Y")</f>
        <v>#NAME?</v>
      </c>
      <c r="CH227" s="2" t="e">
        <f ca="1">_xll.BDH($C$203,"LT_DEBT_TO_TOT_EQY","FQ4 2018","FQ4 2018","Currency=INR","Period=FQ","BEST_FPERIOD_OVERRIDE=FQ","FILING_STATUS=OR","EQY_CONSOLIDATED=Y","Sort=A","Dates=H","DateFormat=P","Fill=—","Direction=H","UseDPDF=Y")</f>
        <v>#NAME?</v>
      </c>
      <c r="CI227" s="2" t="e">
        <f ca="1">_xll.BDH($C$203,"LT_DEBT_TO_TOT_CAP","FQ4 2018","FQ4 2018","Currency=INR","Period=FQ","BEST_FPERIOD_OVERRIDE=FQ","FILING_STATUS=OR","EQY_CONSOLIDATED=Y","Sort=A","Dates=H","DateFormat=P","Fill=—","Direction=H","UseDPDF=Y")</f>
        <v>#NAME?</v>
      </c>
      <c r="CJ227" s="2" t="e">
        <f ca="1">_xll.BDH($C$203,"LT_DEBT_TO_TOT_ASSET","FQ4 2018","FQ4 2018","Currency=INR","Period=FQ","BEST_FPERIOD_OVERRIDE=FQ","FILING_STATUS=OR","EQY_CONSOLIDATED=Y","Sort=A","Dates=H","DateFormat=P","Fill=—","Direction=H","UseDPDF=Y")</f>
        <v>#NAME?</v>
      </c>
      <c r="CK227" s="2" t="e">
        <f ca="1">_xll.BDH($C$203,"TOT_DEBT_TO_TOT_EQY","FQ4 2018","FQ4 2018","Currency=INR","Period=FQ","BEST_FPERIOD_OVERRIDE=FQ","FILING_STATUS=OR","EQY_CONSOLIDATED=Y","Sort=A","Dates=H","DateFormat=P","Fill=—","Direction=H","UseDPDF=Y")</f>
        <v>#NAME?</v>
      </c>
      <c r="CL227" s="2" t="e">
        <f ca="1">_xll.BDH($C$203,"TOT_DEBT_TO_TOT_CAP","FQ4 2018","FQ4 2018","Currency=INR","Period=FQ","BEST_FPERIOD_OVERRIDE=FQ","FILING_STATUS=OR","EQY_CONSOLIDATED=Y","Sort=A","Dates=H","DateFormat=P","Fill=—","Direction=H","UseDPDF=Y")</f>
        <v>#NAME?</v>
      </c>
      <c r="CM227" s="2" t="e">
        <f ca="1">_xll.BDH($C$203,"TOT_DEBT_TO_TOT_ASSET","FQ4 2018","FQ4 2018","Currency=INR","Period=FQ","BEST_FPERIOD_OVERRIDE=FQ","FILING_STATUS=OR","EQY_CONSOLIDATED=Y","Sort=A","Dates=H","DateFormat=P","Fill=—","Direction=H","UseDPDF=Y")</f>
        <v>#NAME?</v>
      </c>
      <c r="CN227" s="2" t="e">
        <f ca="1">_xll.BDH($C$203,"NET_DEBT_TO_SHRHLDR_EQTY","FQ4 2018","FQ4 2018","Currency=INR","Period=FQ","BEST_FPERIOD_OVERRIDE=FQ","FILING_STATUS=OR","EQY_CONSOLIDATED=Y","Sort=A","Dates=H","DateFormat=P","Fill=—","Direction=H","UseDPDF=Y")</f>
        <v>#NAME?</v>
      </c>
      <c r="CO227" s="2" t="e">
        <f ca="1">_xll.BDH($C$203,"NET_DEBT_%_CAPITAL","FQ4 2018","FQ4 2018","Currency=INR","Period=FQ","BEST_FPERIOD_OVERRIDE=FQ","FILING_STATUS=OR","EQY_CONSOLIDATED=Y","Sort=A","Dates=H","DateFormat=P","Fill=—","Direction=H","UseDPDF=Y")</f>
        <v>#NAME?</v>
      </c>
      <c r="CP227" s="3" t="e">
        <f ca="1">_xll.BDH($C$203,"EBITDA","FQ4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27" s="3" t="e">
        <f ca="1">_xll.BDH($C$203,"EBITDA_AFTER_CAPEX","FQ4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27" s="3" t="e">
        <f ca="1">_xll.BDH($C$203,"IS_OPER_INC","FQ4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27" s="2" t="e">
        <f ca="1">_xll.BDH($C$203,"CASH_RATIO","FQ4 2018","FQ4 2018","Currency=INR","Period=FQ","BEST_FPERIOD_OVERRIDE=FQ","FILING_STATUS=OR","EQY_CONSOLIDATED=Y","Sort=A","Dates=H","DateFormat=P","Fill=—","Direction=H","UseDPDF=Y")</f>
        <v>#NAME?</v>
      </c>
      <c r="CT227" s="2" t="e">
        <f ca="1">_xll.BDH($C$203,"CUR_RATIO","FQ4 2018","FQ4 2018","Currency=INR","Period=FQ","BEST_FPERIOD_OVERRIDE=FQ","FILING_STATUS=OR","EQY_CONSOLIDATED=Y","Sort=A","Dates=H","DateFormat=P","Fill=—","Direction=H","UseDPDF=Y")</f>
        <v>#NAME?</v>
      </c>
      <c r="CU227" s="2" t="e">
        <f ca="1">_xll.BDH($C$203,"QUICK_RATIO","FQ4 2018","FQ4 2018","Currency=INR","Period=FQ","BEST_FPERIOD_OVERRIDE=FQ","FILING_STATUS=OR","EQY_CONSOLIDATED=Y","Sort=A","Dates=H","DateFormat=P","Fill=—","Direction=H","UseDPDF=Y")</f>
        <v>#NAME?</v>
      </c>
      <c r="CV227" s="2" t="e">
        <f ca="1">_xll.BDH($C$203,"ALTMAN_Z_SCORE","FQ4 2018","FQ4 2018","Currency=INR","Period=FQ","BEST_FPERIOD_OVERRIDE=FQ","FILING_STATUS=OR","EQY_CONSOLIDATED=Y","Sort=A","Dates=H","DateFormat=P","Fill=—","Direction=H","UseDPDF=Y")</f>
        <v>#NAME?</v>
      </c>
      <c r="CW227" s="4" t="e">
        <f ca="1">_xll.BDH($C$203,"ACCT_RCV_TURN","FQ4 2018","FQ4 2018","Currency=INR","Period=FQ","BEST_FPERIOD_OVERRIDE=FQ","FILING_STATUS=OR","EQY_CONSOLIDATED=Y","FA_ADJUSTED=GAAP","Sort=A","Dates=H","DateFormat=P","Fill=—","Direction=H","UseDPDF=Y")</f>
        <v>#NAME?</v>
      </c>
      <c r="CX227" s="2" t="e">
        <f ca="1">_xll.BDH($C$203,"ACCT_RCV_DAYS","FQ4 2018","FQ4 2018","Currency=INR","Period=FQ","BEST_FPERIOD_OVERRIDE=FQ","FILING_STATUS=OR","EQY_CONSOLIDATED=Y","FA_ADJUSTED=GAAP","Sort=A","Dates=H","DateFormat=P","Fill=—","Direction=H","UseDPDF=Y")</f>
        <v>#NAME?</v>
      </c>
      <c r="CY227" s="4" t="e">
        <f ca="1">_xll.BDH($C$203,"INVENT_TURN","FQ4 2018","FQ4 2018","Currency=INR","Period=FQ","BEST_FPERIOD_OVERRIDE=FQ","FILING_STATUS=OR","EQY_CONSOLIDATED=Y","FA_ADJUSTED=GAAP","Sort=A","Dates=H","DateFormat=P","Fill=—","Direction=H","UseDPDF=Y")</f>
        <v>#NAME?</v>
      </c>
      <c r="CZ227" s="2" t="e">
        <f ca="1">_xll.BDH($C$203,"INVENT_DAYS","FQ4 2018","FQ4 2018","Currency=INR","Period=FQ","BEST_FPERIOD_OVERRIDE=FQ","FILING_STATUS=OR","EQY_CONSOLIDATED=Y","FA_ADJUSTED=GAAP","Sort=A","Dates=H","DateFormat=P","Fill=—","Direction=H","UseDPDF=Y")</f>
        <v>#NAME?</v>
      </c>
      <c r="DA227" s="4" t="e">
        <f ca="1">_xll.BDH($C$203,"ACCOUNTS_PAYABLE_TURNOVER","FQ4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27" s="2" t="e">
        <f ca="1">_xll.BDH($C$203,"ACCOUNTS_PAYABLE_TURNOVER_DAYS","FQ4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27" s="4" t="e">
        <f ca="1">_xll.BDH($C$203,"CASH_CONVERSION_CYCLE","FQ4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27" s="4" t="e">
        <f ca="1">_xll.BDH($C$203,"INV_TO_CASH_DAYS","FQ4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27" s="5" t="e">
        <f ca="1">_xll.BDH($C$203,"BS_INVENTORIES","FQ4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27" s="3" t="e">
        <f ca="1">_xll.BDH($C$203,"INVTRY_RAW_MATERIALS","FQ4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27" s="3" t="e">
        <f ca="1">_xll.BDH($C$203,"INVTRY_IN_PROGRESS","FQ4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27" s="3" t="e">
        <f ca="1">_xll.BDH($C$203,"INVTRY_FINISHED_GOODS","FQ4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27" s="3" t="e">
        <f ca="1">_xll.BDH($C$203,"BS_OTHER_INV","FQ4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28" spans="1:113" x14ac:dyDescent="0.3">
      <c r="A228" s="6">
        <v>85</v>
      </c>
      <c r="B228" s="6" t="s">
        <v>102</v>
      </c>
      <c r="C228" s="6" t="s">
        <v>103</v>
      </c>
      <c r="D228" s="6" t="s">
        <v>76</v>
      </c>
      <c r="E228" t="s">
        <v>77</v>
      </c>
      <c r="F228" t="e">
        <f ca="1">_xll.BDH($C$228,"RETURN_COM_EQY","FY 2014","FY 2014","Currency=INR","Period=FY","BEST_FPERIOD_OVERRIDE=FY","FILING_STATUS=OR","EQY_CONSOLIDATED=Y","FA_ADJUSTED=GAAP","Sort=A","Dates=H","DateFormat=P","Fill=—","Direction=H","UseDPDF=Y")</f>
        <v>#NAME?</v>
      </c>
      <c r="G228" t="e">
        <f ca="1">_xll.BDH($C$228,"RETURN_ON_ASSET","FY 2014","FY 2014","Currency=INR","Period=FY","BEST_FPERIOD_OVERRIDE=FY","FILING_STATUS=OR","EQY_CONSOLIDATED=Y","FA_ADJUSTED=GAAP","Sort=A","Dates=H","DateFormat=P","Fill=—","Direction=H","UseDPDF=Y")</f>
        <v>#NAME?</v>
      </c>
      <c r="H228" t="e">
        <f ca="1">_xll.BDH($C$228,"RETURN_ON_CAP","FY 2014","FY 2014","Currency=INR","Period=FY","BEST_FPERIOD_OVERRIDE=FY","FILING_STATUS=OR","EQY_CONSOLIDATED=Y","FA_ADJUSTED=GAAP","Sort=A","Dates=H","DateFormat=P","Fill=—","Direction=H","UseDPDF=Y")</f>
        <v>#NAME?</v>
      </c>
      <c r="I228" t="e">
        <f ca="1">_xll.BDH($C$228,"RETURN_ON_INV_CAPITAL","FY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28" t="e">
        <f ca="1">_xll.BDH($C$228,"EBITDA_TO_REVENUE","FY 2014","FY 2014","Currency=INR","Period=FY","BEST_FPERIOD_OVERRIDE=FY","FILING_STATUS=OR","EQY_CONSOLIDATED=Y","FA_ADJUSTED=GAAP","Sort=A","Dates=H","DateFormat=P","Fill=—","Direction=H","UseDPDF=Y")</f>
        <v>#NAME?</v>
      </c>
      <c r="K228" t="e">
        <f ca="1">_xll.BDH($C$228,"OPER_MARGIN","FY 2014","FY 2014","Currency=INR","Period=FY","BEST_FPERIOD_OVERRIDE=FY","FILING_STATUS=OR","EQY_CONSOLIDATED=Y","FA_ADJUSTED=GAAP","Sort=A","Dates=H","DateFormat=P","Fill=—","Direction=H","UseDPDF=Y")</f>
        <v>#NAME?</v>
      </c>
      <c r="L228" t="e">
        <f ca="1">_xll.BDH($C$228,"INCREMENTAL_OPERATING_MARGIN","FY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28" t="e">
        <f ca="1">_xll.BDH($C$228,"PRETAX_INC_TO_NET_SALES","FY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28" t="e">
        <f ca="1">_xll.BDH($C$228,"INC_BEF_XO_ITEMS_TO_NET_SALES","FY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28" t="e">
        <f ca="1">_xll.BDH($C$228,"PROF_MARGIN","FY 2014","FY 2014","Currency=INR","Period=FY","BEST_FPERIOD_OVERRIDE=FY","FILING_STATUS=OR","EQY_CONSOLIDATED=Y","FA_ADJUSTED=GAAP","Sort=A","Dates=H","DateFormat=P","Fill=—","Direction=H","UseDPDF=Y")</f>
        <v>#NAME?</v>
      </c>
      <c r="P228" t="e">
        <f ca="1">_xll.BDH($C$228,"NET_INCOME_TO_COMMON_MARGIN","FY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28" t="e">
        <f ca="1">_xll.BDH($C$228,"EFF_TAX_RATE","FY 2014","FY 2014","Currency=INR","Period=FY","BEST_FPERIOD_OVERRIDE=FY","FILING_STATUS=OR","EQY_CONSOLIDATED=Y","FA_ADJUSTED=GAAP","Sort=A","Dates=H","DateFormat=P","Fill=—","Direction=H","UseDPDF=Y")</f>
        <v>#NAME?</v>
      </c>
      <c r="R228" t="e">
        <f ca="1">_xll.BDH($C$228,"DVD_PAYOUT_RATIO","FY 2014","FY 2014","Currency=INR","Period=FY","BEST_FPERIOD_OVERRIDE=FY","FILING_STATUS=OR","EQY_CONSOLIDATED=Y","FA_ADJUSTED=GAAP","Sort=A","Dates=H","DateFormat=P","Fill=—","Direction=H","UseDPDF=Y")</f>
        <v>#NAME?</v>
      </c>
      <c r="S228" t="e">
        <f ca="1">_xll.BDH($C$228,"SUSTAIN_GROWTH_RT","FY 2014","FY 2014","Currency=INR","Period=FY","BEST_FPERIOD_OVERRIDE=FY","FILING_STATUS=OR","EQY_CONSOLIDATED=Y","FA_ADJUSTED=GAAP","Sort=A","Dates=H","DateFormat=P","Fill=—","Direction=H","UseDPDF=Y")</f>
        <v>#NAME?</v>
      </c>
      <c r="T228" s="2" t="e">
        <f ca="1">_xll.BDH($C$228,"SALES_GROWTH","FY 2014","FY 2014","Currency=INR","Period=FY","BEST_FPERIOD_OVERRIDE=FY","FILING_STATUS=OR","EQY_CONSOLIDATED=Y","FA_ADJUSTED=GAAP","Sort=A","Dates=H","DateFormat=P","Fill=—","Direction=H","UseDPDF=Y")</f>
        <v>#NAME?</v>
      </c>
      <c r="U228" s="2" t="e">
        <f ca="1">_xll.BDH($C$228,"EBITDA_GROWTH","FY 2014","FY 2014","Currency=INR","Period=FY","BEST_FPERIOD_OVERRIDE=FY","FILING_STATUS=OR","EQY_CONSOLIDATED=Y","FA_ADJUSTED=GAAP","Sort=A","Dates=H","DateFormat=P","Fill=—","Direction=H","UseDPDF=Y")</f>
        <v>#NAME?</v>
      </c>
      <c r="V228" s="2" t="e">
        <f ca="1">_xll.BDH($C$228,"OPER_INC_GROWTH","FY 2014","FY 2014","Currency=INR","Period=FY","BEST_FPERIOD_OVERRIDE=FY","FILING_STATUS=OR","EQY_CONSOLIDATED=Y","FA_ADJUSTED=GAAP","Sort=A","Dates=H","DateFormat=P","Fill=—","Direction=H","UseDPDF=Y")</f>
        <v>#NAME?</v>
      </c>
      <c r="W228" s="2" t="e">
        <f ca="1">_xll.BDH($C$228,"EARN_FOR_COM_GROWTH","FY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28" s="2" t="e">
        <f ca="1">_xll.BDH($C$228,"DILUTED_EPS_AFT_XO_ITEMS_GROWTH","FY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28" s="2" t="e">
        <f ca="1">_xll.BDH($C$228,"DIVIDEND_PER_SHARE_1_YEAR_GROWTH","FY 2014","FY 2014","Currency=INR","Period=FY","BEST_FPERIOD_OVERRIDE=FY","FILING_STATUS=OR","EQY_CONSOLIDATED=Y","Sort=A","Dates=H","DateFormat=P","Fill=—","Direction=H","UseDPDF=Y")</f>
        <v>#NAME?</v>
      </c>
      <c r="Z228" s="2" t="e">
        <f ca="1">_xll.BDH($C$228,"ACCOUNTS_RECEIVABLE_GROWTH","FY 2014","FY 2014","Currency=INR","Period=FY","BEST_FPERIOD_OVERRIDE=FY","FILING_STATUS=OR","EQY_CONSOLIDATED=Y","Sort=A","Dates=H","DateFormat=P","Fill=—","Direction=H","UseDPDF=Y")</f>
        <v>#NAME?</v>
      </c>
      <c r="AA228" s="2" t="e">
        <f ca="1">_xll.BDH($C$228,"INVENTORY_GROWTH","FY 2014","FY 2014","Currency=INR","Period=FY","BEST_FPERIOD_OVERRIDE=FY","FILING_STATUS=OR","EQY_CONSOLIDATED=Y","Sort=A","Dates=H","DateFormat=P","Fill=—","Direction=H","UseDPDF=Y")</f>
        <v>#NAME?</v>
      </c>
      <c r="AB228" s="2" t="e">
        <f ca="1">_xll.BDH($C$228,"NET_FIXED_ASSETS_1_YEAR_GROWTH","FY 2014","FY 2014","Currency=INR","Period=FY","BEST_FPERIOD_OVERRIDE=FY","FILING_STATUS=OR","EQY_CONSOLIDATED=Y","Sort=A","Dates=H","DateFormat=P","Fill=—","Direction=H","UseDPDF=Y")</f>
        <v>#NAME?</v>
      </c>
      <c r="AC228" s="2" t="e">
        <f ca="1">_xll.BDH($C$228,"ASSET_GROWTH","FY 2014","FY 2014","Currency=INR","Period=FY","BEST_FPERIOD_OVERRIDE=FY","FILING_STATUS=OR","EQY_CONSOLIDATED=Y","Sort=A","Dates=H","DateFormat=P","Fill=—","Direction=H","UseDPDF=Y")</f>
        <v>#NAME?</v>
      </c>
      <c r="AD228" s="2" t="e">
        <f ca="1">_xll.BDH($C$228,"MODIFIED_WORK_CAP_GROWTH","FY 2014","FY 2014","Currency=INR","Period=FY","BEST_FPERIOD_OVERRIDE=FY","FILING_STATUS=OR","EQY_CONSOLIDATED=Y","Sort=A","Dates=H","DateFormat=P","Fill=—","Direction=H","UseDPDF=Y")</f>
        <v>#NAME?</v>
      </c>
      <c r="AE228" s="2" t="e">
        <f ca="1">_xll.BDH($C$228,"WORK_CAP_GROWTH","FY 2014","FY 2014","Currency=INR","Period=FY","BEST_FPERIOD_OVERRIDE=FY","FILING_STATUS=OR","EQY_CONSOLIDATED=Y","Sort=A","Dates=H","DateFormat=P","Fill=—","Direction=H","UseDPDF=Y")</f>
        <v>#NAME?</v>
      </c>
      <c r="AF228" s="2" t="e">
        <f ca="1">_xll.BDH($C$228,"ACCOUNTS_PAYABLE_GROWTH_1YR","FY 2014","FY 2014","Currency=INR","Period=FY","BEST_FPERIOD_OVERRIDE=FY","FILING_STATUS=OR","EQY_CONSOLIDATED=Y","Sort=A","Dates=H","DateFormat=P","Fill=—","Direction=H","UseDPDF=Y")</f>
        <v>#NAME?</v>
      </c>
      <c r="AG228" s="2" t="e">
        <f ca="1">_xll.BDH($C$228,"SHORT_TERM_DEBT_1_YEAR_GROWTH","FY 2014","FY 2014","Currency=INR","Period=FY","BEST_FPERIOD_OVERRIDE=FY","FILING_STATUS=OR","EQY_CONSOLIDATED=Y","Sort=A","Dates=H","DateFormat=P","Fill=—","Direction=H","UseDPDF=Y")</f>
        <v>#NAME?</v>
      </c>
      <c r="AH228" s="2" t="e">
        <f ca="1">_xll.BDH($C$228,"TOTAL_DEBT_1_YEAR_GROWTH","FY 2014","FY 2014","Currency=INR","Period=FY","BEST_FPERIOD_OVERRIDE=FY","FILING_STATUS=OR","EQY_CONSOLIDATED=Y","Sort=A","Dates=H","DateFormat=P","Fill=—","Direction=H","UseDPDF=Y")</f>
        <v>#NAME?</v>
      </c>
      <c r="AI228" s="2" t="e">
        <f ca="1">_xll.BDH($C$228,"TOTAL_EQUITY_1_YEAR_GROWTH","FY 2014","FY 2014","Currency=INR","Period=FY","BEST_FPERIOD_OVERRIDE=FY","FILING_STATUS=OR","EQY_CONSOLIDATED=Y","Sort=A","Dates=H","DateFormat=P","Fill=—","Direction=H","UseDPDF=Y")</f>
        <v>#NAME?</v>
      </c>
      <c r="AJ228" s="2" t="e">
        <f ca="1">_xll.BDH($C$228,"GROWTH_IN_CAP","FY 2014","FY 2014","Currency=INR","Period=FY","BEST_FPERIOD_OVERRIDE=FY","FILING_STATUS=OR","EQY_CONSOLIDATED=Y","Sort=A","Dates=H","DateFormat=P","Fill=—","Direction=H","UseDPDF=Y")</f>
        <v>#NAME?</v>
      </c>
      <c r="AK228" s="2" t="e">
        <f ca="1">_xll.BDH($C$228,"BVPS_GROWTH","FY 2014","FY 2014","Currency=INR","Period=FY","BEST_FPERIOD_OVERRIDE=FY","FILING_STATUS=OR","EQY_CONSOLIDATED=Y","Sort=A","Dates=H","DateFormat=P","Fill=—","Direction=H","UseDPDF=Y")</f>
        <v>#NAME?</v>
      </c>
      <c r="AL228" s="2" t="e">
        <f ca="1">_xll.BDH($C$228,"CASH_FLOW_GROWTH","FY 2014","FY 2014","Currency=INR","Period=FY","BEST_FPERIOD_OVERRIDE=FY","FILING_STATUS=OR","EQY_CONSOLIDATED=Y","Sort=A","Dates=H","DateFormat=P","Fill=—","Direction=H","UseDPDF=Y")</f>
        <v>#NAME?</v>
      </c>
      <c r="AM228" s="2" t="e">
        <f ca="1">_xll.BDH($C$228,"GEO_GROW_NET_SALES","FY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28" s="2" t="e">
        <f ca="1">_xll.BDH($C$228,"GEO_GROW_EBITDA","FY 2014","FY 2014","Currency=INR","Period=FY","BEST_FPERIOD_OVERRIDE=FY","FILING_STATUS=OR","EQY_CONSOLIDATED=Y","FA_ADJUSTED=GAAP","Sort=A","Dates=H","DateFormat=P","Fill=—","Direction=H","UseDPDF=Y")</f>
        <v>#NAME?</v>
      </c>
      <c r="AO228" s="2" t="e">
        <f ca="1">_xll.BDH($C$228,"GEO_GROW_OPER_INC","FY 2014","FY 2014","Currency=INR","Period=FY","BEST_FPERIOD_OVERRIDE=FY","FILING_STATUS=OR","EQY_CONSOLIDATED=Y","FA_ADJUSTED=GAAP","Sort=A","Dates=H","DateFormat=P","Fill=—","Direction=H","UseDPDF=Y")</f>
        <v>#NAME?</v>
      </c>
      <c r="AP228" s="2" t="e">
        <f ca="1">_xll.BDH($C$228,"NET_INCOME_TO_COMMON_5_YR_GROWTH","FY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28" s="2" t="e">
        <f ca="1">_xll.BDH($C$228,"5Y_GEO_GROWTH_DILUTED_EPS","FY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28" s="2" t="e">
        <f ca="1">_xll.BDH($C$228,"GEO_GROW_DVD_PER_SH","FY 2014","FY 2014","Currency=INR","Period=FY","BEST_FPERIOD_OVERRIDE=FY","FILING_STATUS=OR","EQY_CONSOLIDATED=Y","Sort=A","Dates=H","DateFormat=P","Fill=—","Direction=H","UseDPDF=Y")</f>
        <v>#NAME?</v>
      </c>
      <c r="AS228" s="2" t="e">
        <f ca="1">_xll.BDH($C$228,"ACCOUNTS_RECEIVABLE_5_YR_GROWTH","FY 2014","FY 2014","Currency=INR","Period=FY","BEST_FPERIOD_OVERRIDE=FY","FILING_STATUS=OR","EQY_CONSOLIDATED=Y","Sort=A","Dates=H","DateFormat=P","Fill=—","Direction=H","UseDPDF=Y")</f>
        <v>#NAME?</v>
      </c>
      <c r="AT228" s="2" t="e">
        <f ca="1">_xll.BDH($C$228,"INVENTORY_5_YEAR_GROWTH","FY 2014","FY 2014","Currency=INR","Period=FY","BEST_FPERIOD_OVERRIDE=FY","FILING_STATUS=OR","EQY_CONSOLIDATED=Y","Sort=A","Dates=H","DateFormat=P","Fill=—","Direction=H","UseDPDF=Y")</f>
        <v>#NAME?</v>
      </c>
      <c r="AU228" s="2" t="e">
        <f ca="1">_xll.BDH($C$228,"NET_FIXED_ASSETS_5_YEAR_GROWTH","FY 2014","FY 2014","Currency=INR","Period=FY","BEST_FPERIOD_OVERRIDE=FY","FILING_STATUS=OR","EQY_CONSOLIDATED=Y","Sort=A","Dates=H","DateFormat=P","Fill=—","Direction=H","UseDPDF=Y")</f>
        <v>#NAME?</v>
      </c>
      <c r="AV228" s="2" t="e">
        <f ca="1">_xll.BDH($C$228,"GEO_GROW_TOT_ASSET","FY 2014","FY 2014","Currency=INR","Period=FY","BEST_FPERIOD_OVERRIDE=FY","FILING_STATUS=OR","EQY_CONSOLIDATED=Y","Sort=A","Dates=H","DateFormat=P","Fill=—","Direction=H","UseDPDF=Y")</f>
        <v>#NAME?</v>
      </c>
      <c r="AW228" s="2" t="e">
        <f ca="1">_xll.BDH($C$228,"MODIFIED_WORKING_CPTL_5YR_GRWTH","FY 2014","FY 2014","Currency=INR","Period=FY","BEST_FPERIOD_OVERRIDE=FY","FILING_STATUS=OR","EQY_CONSOLIDATED=Y","Sort=A","Dates=H","DateFormat=P","Fill=—","Direction=H","UseDPDF=Y")</f>
        <v>#NAME?</v>
      </c>
      <c r="AX228" s="2" t="e">
        <f ca="1">_xll.BDH($C$228,"WORKING_CAPITAL_5_YEAR_GROWTH","FY 2014","FY 2014","Currency=INR","Period=FY","BEST_FPERIOD_OVERRIDE=FY","FILING_STATUS=OR","EQY_CONSOLIDATED=Y","Sort=A","Dates=H","DateFormat=P","Fill=—","Direction=H","UseDPDF=Y")</f>
        <v>#NAME?</v>
      </c>
      <c r="AY228" s="2" t="e">
        <f ca="1">_xll.BDH($C$228,"ACCOUNTS_PAYABLE_5_YEAR_GROWTH","FY 2014","FY 2014","Currency=INR","Period=FY","BEST_FPERIOD_OVERRIDE=FY","FILING_STATUS=OR","EQY_CONSOLIDATED=Y","Sort=A","Dates=H","DateFormat=P","Fill=—","Direction=H","UseDPDF=Y")</f>
        <v>#NAME?</v>
      </c>
      <c r="AZ228" s="2" t="e">
        <f ca="1">_xll.BDH($C$228,"SHORT_TERM_DEBT_5_YEAR_GROWTH","FY 2014","FY 2014","Currency=INR","Period=FY","BEST_FPERIOD_OVERRIDE=FY","FILING_STATUS=OR","EQY_CONSOLIDATED=Y","Sort=A","Dates=H","DateFormat=P","Fill=—","Direction=H","UseDPDF=Y")</f>
        <v>#NAME?</v>
      </c>
      <c r="BA228" s="2" t="e">
        <f ca="1">_xll.BDH($C$228,"TOTAL_DEBT_5_YEAR_GROWTH","FY 2014","FY 2014","Currency=INR","Period=FY","BEST_FPERIOD_OVERRIDE=FY","FILING_STATUS=OR","EQY_CONSOLIDATED=Y","Sort=A","Dates=H","DateFormat=P","Fill=—","Direction=H","UseDPDF=Y")</f>
        <v>#NAME?</v>
      </c>
      <c r="BB228" s="2" t="e">
        <f ca="1">_xll.BDH($C$228,"GEO_GROW_TOT_SHRHLDR_EQY","FY 2014","FY 2014","Currency=INR","Period=FY","BEST_FPERIOD_OVERRIDE=FY","FILING_STATUS=OR","EQY_CONSOLIDATED=Y","Sort=A","Dates=H","DateFormat=P","Fill=—","Direction=H","UseDPDF=Y")</f>
        <v>#NAME?</v>
      </c>
      <c r="BC228" s="2" t="e">
        <f ca="1">_xll.BDH($C$228,"TOTAL_CAPITAL_5_YEAR_GROWTH","FY 2014","FY 2014","Currency=INR","Period=FY","BEST_FPERIOD_OVERRIDE=FY","FILING_STATUS=OR","EQY_CONSOLIDATED=Y","Sort=A","Dates=H","DateFormat=P","Fill=—","Direction=H","UseDPDF=Y")</f>
        <v>#NAME?</v>
      </c>
      <c r="BD228" s="2" t="e">
        <f ca="1">_xll.BDH($C$228,"GEO_GROW_BOOK_VAL","FY 2014","FY 2014","Currency=INR","Period=FY","BEST_FPERIOD_OVERRIDE=FY","FILING_STATUS=OR","EQY_CONSOLIDATED=Y","Sort=A","Dates=H","DateFormat=P","Fill=—","Direction=H","UseDPDF=Y")</f>
        <v>#NAME?</v>
      </c>
      <c r="BE228" s="2" t="e">
        <f ca="1">_xll.BDH($C$228,"GEO_GROW_CASH_OPER_ACT","FY 2014","FY 2014","Currency=INR","Period=FY","BEST_FPERIOD_OVERRIDE=FY","FILING_STATUS=OR","EQY_CONSOLIDATED=Y","Sort=A","Dates=H","DateFormat=P","Fill=—","Direction=H","UseDPDF=Y")</f>
        <v>#NAME?</v>
      </c>
      <c r="BF228" s="2" t="e">
        <f ca="1">_xll.BDH($C$228,"REVENUE_SEQUENTIAL_GROWTH","FY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28" s="2" t="e">
        <f ca="1">_xll.BDH($C$228,"EBITDA_SEQUENTIAL_GROWTH","FY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28" s="2" t="e">
        <f ca="1">_xll.BDH($C$228,"OPERATING_INCOME_SEQ_GROWTH","FY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28" s="2" t="e">
        <f ca="1">_xll.BDH($C$228,"NET_INCOME_TO_COMMON_SEQ_GROWTH","FY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28" s="2" t="e">
        <f ca="1">_xll.BDH($C$228,"EPS_DILUTED_SEQUENTIAL_GROWTH","FY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28" s="2" t="e">
        <f ca="1">_xll.BDH($C$228,"DPS_SEQUENTIAL_GROWTH","FY 2014","FY 2014","Currency=INR","Period=FY","BEST_FPERIOD_OVERRIDE=FY","FILING_STATUS=OR","EQY_CONSOLIDATED=Y","Sort=A","Dates=H","DateFormat=P","Fill=—","Direction=H","UseDPDF=Y")</f>
        <v>#NAME?</v>
      </c>
      <c r="BL228" s="2" t="e">
        <f ca="1">_xll.BDH($C$228,"ACCOUNTS_RECEIVABLE_SEQ_GROWTH","FY 2014","FY 2014","Currency=INR","Period=FY","BEST_FPERIOD_OVERRIDE=FY","FILING_STATUS=OR","EQY_CONSOLIDATED=Y","Sort=A","Dates=H","DateFormat=P","Fill=—","Direction=H","UseDPDF=Y")</f>
        <v>#NAME?</v>
      </c>
      <c r="BM228" s="2" t="e">
        <f ca="1">_xll.BDH($C$228,"INVENTORY_SEQUENTIAL_GROWTH","FY 2014","FY 2014","Currency=INR","Period=FY","BEST_FPERIOD_OVERRIDE=FY","FILING_STATUS=OR","EQY_CONSOLIDATED=Y","Sort=A","Dates=H","DateFormat=P","Fill=—","Direction=H","UseDPDF=Y")</f>
        <v>#NAME?</v>
      </c>
      <c r="BN228" s="2" t="e">
        <f ca="1">_xll.BDH($C$228,"FIXED_ASSETS_SEQUENTIAL_GROWTH","FY 2014","FY 2014","Currency=INR","Period=FY","BEST_FPERIOD_OVERRIDE=FY","FILING_STATUS=OR","EQY_CONSOLIDATED=Y","Sort=A","Dates=H","DateFormat=P","Fill=—","Direction=H","UseDPDF=Y")</f>
        <v>#NAME?</v>
      </c>
      <c r="BO228" s="2" t="e">
        <f ca="1">_xll.BDH($C$228,"TOTAL_ASSETS_SEQUENTIAL_GROWTH","FY 2014","FY 2014","Currency=INR","Period=FY","BEST_FPERIOD_OVERRIDE=FY","FILING_STATUS=OR","EQY_CONSOLIDATED=Y","Sort=A","Dates=H","DateFormat=P","Fill=—","Direction=H","UseDPDF=Y")</f>
        <v>#NAME?</v>
      </c>
      <c r="BP228" s="2" t="e">
        <f ca="1">_xll.BDH($C$228,"MODIFIED_WORKING_CPTL_SEQ_GRWTH","FY 2014","FY 2014","Currency=INR","Period=FY","BEST_FPERIOD_OVERRIDE=FY","FILING_STATUS=OR","EQY_CONSOLIDATED=Y","Sort=A","Dates=H","DateFormat=P","Fill=—","Direction=H","UseDPDF=Y")</f>
        <v>#NAME?</v>
      </c>
      <c r="BQ228" s="2" t="e">
        <f ca="1">_xll.BDH($C$228,"WORKING_CAPITAL_SEQ_GROWTH","FY 2014","FY 2014","Currency=INR","Period=FY","BEST_FPERIOD_OVERRIDE=FY","FILING_STATUS=OR","EQY_CONSOLIDATED=Y","Sort=A","Dates=H","DateFormat=P","Fill=—","Direction=H","UseDPDF=Y")</f>
        <v>#NAME?</v>
      </c>
      <c r="BR228" s="2" t="e">
        <f ca="1">_xll.BDH($C$228,"ACCOUNTS_PAYABLE_SEQ_GROWTH","FY 2014","FY 2014","Currency=INR","Period=FY","BEST_FPERIOD_OVERRIDE=FY","FILING_STATUS=OR","EQY_CONSOLIDATED=Y","Sort=A","Dates=H","DateFormat=P","Fill=—","Direction=H","UseDPDF=Y")</f>
        <v>#NAME?</v>
      </c>
      <c r="BS228" s="2" t="e">
        <f ca="1">_xll.BDH($C$228,"ST_DEBT_SEQUENTIAL_GROWTH","FY 2014","FY 2014","Currency=INR","Period=FY","BEST_FPERIOD_OVERRIDE=FY","FILING_STATUS=OR","EQY_CONSOLIDATED=Y","Sort=A","Dates=H","DateFormat=P","Fill=—","Direction=H","UseDPDF=Y")</f>
        <v>#NAME?</v>
      </c>
      <c r="BT228" s="2" t="e">
        <f ca="1">_xll.BDH($C$228,"TOTAL_DEBT_SEQUENTIAL_GROWTH","FY 2014","FY 2014","Currency=INR","Period=FY","BEST_FPERIOD_OVERRIDE=FY","FILING_STATUS=OR","EQY_CONSOLIDATED=Y","Sort=A","Dates=H","DateFormat=P","Fill=—","Direction=H","UseDPDF=Y")</f>
        <v>#NAME?</v>
      </c>
      <c r="BU228" s="2" t="e">
        <f ca="1">_xll.BDH($C$228,"TOTAL_EQUITY_SEQUENTIAL_GROWTH","FY 2014","FY 2014","Currency=INR","Period=FY","BEST_FPERIOD_OVERRIDE=FY","FILING_STATUS=OR","EQY_CONSOLIDATED=Y","Sort=A","Dates=H","DateFormat=P","Fill=—","Direction=H","UseDPDF=Y")</f>
        <v>#NAME?</v>
      </c>
      <c r="BV228" s="2" t="e">
        <f ca="1">_xll.BDH($C$228,"TOTAL_CAPITAL_SEQUENTIAL_GROWTH","FY 2014","FY 2014","Currency=INR","Period=FY","BEST_FPERIOD_OVERRIDE=FY","FILING_STATUS=OR","EQY_CONSOLIDATED=Y","Sort=A","Dates=H","DateFormat=P","Fill=—","Direction=H","UseDPDF=Y")</f>
        <v>#NAME?</v>
      </c>
      <c r="BW228" s="2" t="e">
        <f ca="1">_xll.BDH($C$228,"BPS_SEQUENTIAL_GROWTH","FY 2014","FY 2014","Currency=INR","Period=FY","BEST_FPERIOD_OVERRIDE=FY","FILING_STATUS=OR","EQY_CONSOLIDATED=Y","Sort=A","Dates=H","DateFormat=P","Fill=—","Direction=H","UseDPDF=Y")</f>
        <v>#NAME?</v>
      </c>
      <c r="BX228" s="2" t="e">
        <f ca="1">_xll.BDH($C$228,"CFO_SEQUENTIAL_GROWTH","FY 2014","FY 2014","Currency=INR","Period=FY","BEST_FPERIOD_OVERRIDE=FY","FILING_STATUS=OR","EQY_CONSOLIDATED=Y","Sort=A","Dates=H","DateFormat=P","Fill=—","Direction=H","UseDPDF=Y")</f>
        <v>#NAME?</v>
      </c>
      <c r="BY228" s="3" t="e">
        <f ca="1">_xll.BDH($C$228,"SHORT_AND_LONG_TERM_DEBT","FY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28" s="3" t="e">
        <f ca="1">_xll.BDH($C$228,"BS_ST_BORROW","FY 2014","FY 2014","Currency=INR","Period=FY","BEST_FPERIOD_OVERRIDE=FY","FILING_STATUS=OR","EQY_CONSOLIDATED=Y","SCALING_FORMAT=MLN","Sort=A","Dates=H","DateFormat=P","Fill=—","Direction=H","UseDPDF=Y")</f>
        <v>#NAME?</v>
      </c>
      <c r="CA228" s="3" t="e">
        <f ca="1">_xll.BDH($C$228,"BS_LT_BORROW","FY 2014","FY 2014","Currency=INR","Period=FY","BEST_FPERIOD_OVERRIDE=FY","FILING_STATUS=OR","EQY_CONSOLIDATED=Y","SCALING_FORMAT=MLN","Sort=A","Dates=H","DateFormat=P","Fill=—","Direction=H","UseDPDF=Y")</f>
        <v>#NAME?</v>
      </c>
      <c r="CB228" s="2" t="e">
        <f ca="1">_xll.BDH($C$228,"TOT_DEBT_TO_EBITDA","FY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28" s="2" t="e">
        <f ca="1">_xll.BDH($C$228,"NET_DEBT_TO_EBITDA","FY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28" s="2" t="e">
        <f ca="1">_xll.BDH($C$228,"TOTAL_DEBT_TO_EBIT","FY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28" s="2" t="e">
        <f ca="1">_xll.BDH($C$228,"NET_DEBT_TO_EBIT","FY 2014","FY 2014","Currency=INR","Period=FY","BEST_FPERIOD_OVERRIDE=FY","FILING_STATUS=OR","EQY_CONSOLIDATED=Y","FA_ADJUSTED=GAAP","Sort=A","Dates=H","DateFormat=P","Fill=—","Direction=H","UseDPDF=Y")</f>
        <v>#NAME?</v>
      </c>
      <c r="CF228" s="2" t="e">
        <f ca="1">_xll.BDH($C$228,"EBITDA_TO_INTEREST_EXPN","FY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28" s="2" t="e">
        <f ca="1">_xll.BDH($C$228,"COM_EQY_TO_TOT_ASSET","FY 2014","FY 2014","Currency=INR","Period=FY","BEST_FPERIOD_OVERRIDE=FY","FILING_STATUS=OR","EQY_CONSOLIDATED=Y","Sort=A","Dates=H","DateFormat=P","Fill=—","Direction=H","UseDPDF=Y")</f>
        <v>#NAME?</v>
      </c>
      <c r="CH228" s="2" t="e">
        <f ca="1">_xll.BDH($C$228,"LT_DEBT_TO_TOT_EQY","FY 2014","FY 2014","Currency=INR","Period=FY","BEST_FPERIOD_OVERRIDE=FY","FILING_STATUS=OR","EQY_CONSOLIDATED=Y","Sort=A","Dates=H","DateFormat=P","Fill=—","Direction=H","UseDPDF=Y")</f>
        <v>#NAME?</v>
      </c>
      <c r="CI228" s="2" t="e">
        <f ca="1">_xll.BDH($C$228,"LT_DEBT_TO_TOT_CAP","FY 2014","FY 2014","Currency=INR","Period=FY","BEST_FPERIOD_OVERRIDE=FY","FILING_STATUS=OR","EQY_CONSOLIDATED=Y","Sort=A","Dates=H","DateFormat=P","Fill=—","Direction=H","UseDPDF=Y")</f>
        <v>#NAME?</v>
      </c>
      <c r="CJ228" s="2" t="e">
        <f ca="1">_xll.BDH($C$228,"LT_DEBT_TO_TOT_ASSET","FY 2014","FY 2014","Currency=INR","Period=FY","BEST_FPERIOD_OVERRIDE=FY","FILING_STATUS=OR","EQY_CONSOLIDATED=Y","Sort=A","Dates=H","DateFormat=P","Fill=—","Direction=H","UseDPDF=Y")</f>
        <v>#NAME?</v>
      </c>
      <c r="CK228" s="2" t="e">
        <f ca="1">_xll.BDH($C$228,"TOT_DEBT_TO_TOT_EQY","FY 2014","FY 2014","Currency=INR","Period=FY","BEST_FPERIOD_OVERRIDE=FY","FILING_STATUS=OR","EQY_CONSOLIDATED=Y","Sort=A","Dates=H","DateFormat=P","Fill=—","Direction=H","UseDPDF=Y")</f>
        <v>#NAME?</v>
      </c>
      <c r="CL228" s="2" t="e">
        <f ca="1">_xll.BDH($C$228,"TOT_DEBT_TO_TOT_CAP","FY 2014","FY 2014","Currency=INR","Period=FY","BEST_FPERIOD_OVERRIDE=FY","FILING_STATUS=OR","EQY_CONSOLIDATED=Y","Sort=A","Dates=H","DateFormat=P","Fill=—","Direction=H","UseDPDF=Y")</f>
        <v>#NAME?</v>
      </c>
      <c r="CM228" s="2" t="e">
        <f ca="1">_xll.BDH($C$228,"TOT_DEBT_TO_TOT_ASSET","FY 2014","FY 2014","Currency=INR","Period=FY","BEST_FPERIOD_OVERRIDE=FY","FILING_STATUS=OR","EQY_CONSOLIDATED=Y","Sort=A","Dates=H","DateFormat=P","Fill=—","Direction=H","UseDPDF=Y")</f>
        <v>#NAME?</v>
      </c>
      <c r="CN228" s="2" t="e">
        <f ca="1">_xll.BDH($C$228,"NET_DEBT_TO_SHRHLDR_EQTY","FY 2014","FY 2014","Currency=INR","Period=FY","BEST_FPERIOD_OVERRIDE=FY","FILING_STATUS=OR","EQY_CONSOLIDATED=Y","Sort=A","Dates=H","DateFormat=P","Fill=—","Direction=H","UseDPDF=Y")</f>
        <v>#NAME?</v>
      </c>
      <c r="CO228" s="2" t="e">
        <f ca="1">_xll.BDH($C$228,"NET_DEBT_%_CAPITAL","FY 2014","FY 2014","Currency=INR","Period=FY","BEST_FPERIOD_OVERRIDE=FY","FILING_STATUS=OR","EQY_CONSOLIDATED=Y","Sort=A","Dates=H","DateFormat=P","Fill=—","Direction=H","UseDPDF=Y")</f>
        <v>#NAME?</v>
      </c>
      <c r="CP228" s="3" t="e">
        <f ca="1">_xll.BDH($C$228,"EBITDA","FY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28" s="3" t="e">
        <f ca="1">_xll.BDH($C$228,"EBITDA_AFTER_CAPEX","FY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28" s="3" t="e">
        <f ca="1">_xll.BDH($C$228,"IS_OPER_INC","FY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28" s="2" t="e">
        <f ca="1">_xll.BDH($C$228,"CASH_RATIO","FY 2014","FY 2014","Currency=INR","Period=FY","BEST_FPERIOD_OVERRIDE=FY","FILING_STATUS=OR","EQY_CONSOLIDATED=Y","Sort=A","Dates=H","DateFormat=P","Fill=—","Direction=H","UseDPDF=Y")</f>
        <v>#NAME?</v>
      </c>
      <c r="CT228" s="2" t="e">
        <f ca="1">_xll.BDH($C$228,"CUR_RATIO","FY 2014","FY 2014","Currency=INR","Period=FY","BEST_FPERIOD_OVERRIDE=FY","FILING_STATUS=OR","EQY_CONSOLIDATED=Y","Sort=A","Dates=H","DateFormat=P","Fill=—","Direction=H","UseDPDF=Y")</f>
        <v>#NAME?</v>
      </c>
      <c r="CU228" s="2" t="e">
        <f ca="1">_xll.BDH($C$228,"QUICK_RATIO","FY 2014","FY 2014","Currency=INR","Period=FY","BEST_FPERIOD_OVERRIDE=FY","FILING_STATUS=OR","EQY_CONSOLIDATED=Y","Sort=A","Dates=H","DateFormat=P","Fill=—","Direction=H","UseDPDF=Y")</f>
        <v>#NAME?</v>
      </c>
      <c r="CV228" s="2" t="e">
        <f ca="1">_xll.BDH($C$228,"ALTMAN_Z_SCORE","FY 2014","FY 2014","Currency=INR","Period=FY","BEST_FPERIOD_OVERRIDE=FY","FILING_STATUS=OR","EQY_CONSOLIDATED=Y","Sort=A","Dates=H","DateFormat=P","Fill=—","Direction=H","UseDPDF=Y")</f>
        <v>#NAME?</v>
      </c>
      <c r="CW228" s="4" t="e">
        <f ca="1">_xll.BDH($C$228,"ACCT_RCV_TURN","FY 2014","FY 2014","Currency=INR","Period=FY","BEST_FPERIOD_OVERRIDE=FY","FILING_STATUS=OR","EQY_CONSOLIDATED=Y","FA_ADJUSTED=GAAP","Sort=A","Dates=H","DateFormat=P","Fill=—","Direction=H","UseDPDF=Y")</f>
        <v>#NAME?</v>
      </c>
      <c r="CX228" s="2" t="e">
        <f ca="1">_xll.BDH($C$228,"ACCT_RCV_DAYS","FY 2014","FY 2014","Currency=INR","Period=FY","BEST_FPERIOD_OVERRIDE=FY","FILING_STATUS=OR","EQY_CONSOLIDATED=Y","FA_ADJUSTED=GAAP","Sort=A","Dates=H","DateFormat=P","Fill=—","Direction=H","UseDPDF=Y")</f>
        <v>#NAME?</v>
      </c>
      <c r="CY228" s="4" t="e">
        <f ca="1">_xll.BDH($C$228,"INVENT_TURN","FY 2014","FY 2014","Currency=INR","Period=FY","BEST_FPERIOD_OVERRIDE=FY","FILING_STATUS=OR","EQY_CONSOLIDATED=Y","FA_ADJUSTED=GAAP","Sort=A","Dates=H","DateFormat=P","Fill=—","Direction=H","UseDPDF=Y")</f>
        <v>#NAME?</v>
      </c>
      <c r="CZ228" s="2" t="e">
        <f ca="1">_xll.BDH($C$228,"INVENT_DAYS","FY 2014","FY 2014","Currency=INR","Period=FY","BEST_FPERIOD_OVERRIDE=FY","FILING_STATUS=OR","EQY_CONSOLIDATED=Y","FA_ADJUSTED=GAAP","Sort=A","Dates=H","DateFormat=P","Fill=—","Direction=H","UseDPDF=Y")</f>
        <v>#NAME?</v>
      </c>
      <c r="DA228" s="4" t="e">
        <f ca="1">_xll.BDH($C$228,"ACCOUNTS_PAYABLE_TURNOVER","FY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28" s="2" t="e">
        <f ca="1">_xll.BDH($C$228,"ACCOUNTS_PAYABLE_TURNOVER_DAYS","FY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28" s="4" t="e">
        <f ca="1">_xll.BDH($C$228,"CASH_CONVERSION_CYCLE","FY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28" s="4" t="e">
        <f ca="1">_xll.BDH($C$228,"INV_TO_CASH_DAYS","FY 2014","FY 2014","Currency=INR","Period=FY","BEST_FPERIOD_OVERRIDE=FY","FILING_STATUS=OR","EQY_CONSOLIDATED=Y","FA_ADJUSTED=GAAP","Sort=A","Dates=H","DateFormat=P","Fill=—","Direction=H","UseDPDF=Y")</f>
        <v>#NAME?</v>
      </c>
      <c r="DE228" s="5" t="e">
        <f ca="1">_xll.BDH($C$228,"BS_INVENTORIES","FY 2014","FY 2014","Currency=INR","Period=FY","BEST_FPERIOD_OVERRIDE=FY","FILING_STATUS=OR","EQY_CONSOLIDATED=Y","SCALING_FORMAT=MLN","Sort=A","Dates=H","DateFormat=P","Fill=—","Direction=H","UseDPDF=Y")</f>
        <v>#NAME?</v>
      </c>
      <c r="DF228" s="3" t="e">
        <f ca="1">_xll.BDH($C$228,"INVTRY_RAW_MATERIALS","FY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28" s="3" t="e">
        <f ca="1">_xll.BDH($C$228,"INVTRY_IN_PROGRESS","FY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28" s="3" t="e">
        <f ca="1">_xll.BDH($C$228,"INVTRY_FINISHED_GOODS","FY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28" s="3" t="e">
        <f ca="1">_xll.BDH($C$228,"BS_OTHER_INV","FY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29" spans="1:113" x14ac:dyDescent="0.3">
      <c r="A229" s="6"/>
      <c r="B229" s="6"/>
      <c r="C229" s="6"/>
      <c r="D229" s="6"/>
      <c r="E229" t="s">
        <v>78</v>
      </c>
      <c r="F229" t="e">
        <f ca="1">_xll.BDH($C$228,"RETURN_COM_EQY","FQ1 2014","FQ1 2014","Currency=INR","Period=FQ","BEST_FPERIOD_OVERRIDE=FQ","FILING_STATUS=OR","EQY_CONSOLIDATED=Y","FA_ADJUSTED=GAAP","Sort=A","Dates=H","DateFormat=P","Fill=—","Direction=H","UseDPDF=Y")</f>
        <v>#NAME?</v>
      </c>
      <c r="G229" t="e">
        <f ca="1">_xll.BDH($C$228,"RETURN_ON_ASSET","FQ1 2014","FQ1 2014","Currency=INR","Period=FQ","BEST_FPERIOD_OVERRIDE=FQ","FILING_STATUS=OR","EQY_CONSOLIDATED=Y","FA_ADJUSTED=GAAP","Sort=A","Dates=H","DateFormat=P","Fill=—","Direction=H","UseDPDF=Y")</f>
        <v>#NAME?</v>
      </c>
      <c r="H229" t="e">
        <f ca="1">_xll.BDH($C$228,"RETURN_ON_CAP","FQ1 2014","FQ1 2014","Currency=INR","Period=FQ","BEST_FPERIOD_OVERRIDE=FQ","FILING_STATUS=OR","EQY_CONSOLIDATED=Y","FA_ADJUSTED=GAAP","Sort=A","Dates=H","DateFormat=P","Fill=—","Direction=H","UseDPDF=Y")</f>
        <v>#NAME?</v>
      </c>
      <c r="I229" t="e">
        <f ca="1">_xll.BDH($C$228,"RETURN_ON_INV_CAPITAL","FQ1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29" t="e">
        <f ca="1">_xll.BDH($C$228,"EBITDA_TO_REVENUE","FQ1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29" t="e">
        <f ca="1">_xll.BDH($C$228,"OPER_MARGIN","FQ1 2014","FQ1 2014","Currency=INR","Period=FQ","BEST_FPERIOD_OVERRIDE=FQ","FILING_STATUS=OR","EQY_CONSOLIDATED=Y","FA_ADJUSTED=GAAP","Sort=A","Dates=H","DateFormat=P","Fill=—","Direction=H","UseDPDF=Y")</f>
        <v>#NAME?</v>
      </c>
      <c r="L229" t="e">
        <f ca="1">_xll.BDH($C$228,"INCREMENTAL_OPERATING_MARGIN","FQ1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29" t="e">
        <f ca="1">_xll.BDH($C$228,"PRETAX_INC_TO_NET_SALES","FQ1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29" t="e">
        <f ca="1">_xll.BDH($C$228,"INC_BEF_XO_ITEMS_TO_NET_SALES","FQ1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29" t="e">
        <f ca="1">_xll.BDH($C$228,"PROF_MARGIN","FQ1 2014","FQ1 2014","Currency=INR","Period=FQ","BEST_FPERIOD_OVERRIDE=FQ","FILING_STATUS=OR","EQY_CONSOLIDATED=Y","FA_ADJUSTED=GAAP","Sort=A","Dates=H","DateFormat=P","Fill=—","Direction=H","UseDPDF=Y")</f>
        <v>#NAME?</v>
      </c>
      <c r="P229" t="e">
        <f ca="1">_xll.BDH($C$228,"NET_INCOME_TO_COMMON_MARGIN","FQ1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29" t="e">
        <f ca="1">_xll.BDH($C$228,"EFF_TAX_RATE","FQ1 2014","FQ1 2014","Currency=INR","Period=FQ","BEST_FPERIOD_OVERRIDE=FQ","FILING_STATUS=OR","EQY_CONSOLIDATED=Y","FA_ADJUSTED=GAAP","Sort=A","Dates=H","DateFormat=P","Fill=—","Direction=H","UseDPDF=Y")</f>
        <v>#NAME?</v>
      </c>
      <c r="R229" t="e">
        <f ca="1">_xll.BDH($C$228,"DVD_PAYOUT_RATIO","FQ1 2014","FQ1 2014","Currency=INR","Period=FQ","BEST_FPERIOD_OVERRIDE=FQ","FILING_STATUS=OR","EQY_CONSOLIDATED=Y","FA_ADJUSTED=GAAP","Sort=A","Dates=H","DateFormat=P","Fill=—","Direction=H","UseDPDF=Y")</f>
        <v>#NAME?</v>
      </c>
      <c r="S229" t="e">
        <f ca="1">_xll.BDH($C$228,"SUSTAIN_GROWTH_RT","FQ1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29" s="2" t="e">
        <f ca="1">_xll.BDH($C$228,"SALES_GROWTH","FQ1 2014","FQ1 2014","Currency=INR","Period=FQ","BEST_FPERIOD_OVERRIDE=FQ","FILING_STATUS=OR","EQY_CONSOLIDATED=Y","FA_ADJUSTED=GAAP","Sort=A","Dates=H","DateFormat=P","Fill=—","Direction=H","UseDPDF=Y")</f>
        <v>#NAME?</v>
      </c>
      <c r="U229" s="2" t="e">
        <f ca="1">_xll.BDH($C$228,"EBITDA_GROWTH","FQ1 2014","FQ1 2014","Currency=INR","Period=FQ","BEST_FPERIOD_OVERRIDE=FQ","FILING_STATUS=OR","EQY_CONSOLIDATED=Y","FA_ADJUSTED=GAAP","Sort=A","Dates=H","DateFormat=P","Fill=—","Direction=H","UseDPDF=Y")</f>
        <v>#NAME?</v>
      </c>
      <c r="V229" s="2" t="e">
        <f ca="1">_xll.BDH($C$228,"OPER_INC_GROWTH","FQ1 2014","FQ1 2014","Currency=INR","Period=FQ","BEST_FPERIOD_OVERRIDE=FQ","FILING_STATUS=OR","EQY_CONSOLIDATED=Y","FA_ADJUSTED=GAAP","Sort=A","Dates=H","DateFormat=P","Fill=—","Direction=H","UseDPDF=Y")</f>
        <v>#NAME?</v>
      </c>
      <c r="W229" s="2" t="e">
        <f ca="1">_xll.BDH($C$228,"EARN_FOR_COM_GROWTH","FQ1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29" s="2" t="e">
        <f ca="1">_xll.BDH($C$228,"DILUTED_EPS_AFT_XO_ITEMS_GROWTH","FQ1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29" s="2" t="e">
        <f ca="1">_xll.BDH($C$228,"DIVIDEND_PER_SHARE_1_YEAR_GROWTH","FQ1 2014","FQ1 2014","Currency=INR","Period=FQ","BEST_FPERIOD_OVERRIDE=FQ","FILING_STATUS=OR","EQY_CONSOLIDATED=Y","Sort=A","Dates=H","DateFormat=P","Fill=—","Direction=H","UseDPDF=Y")</f>
        <v>#NAME?</v>
      </c>
      <c r="Z229" s="2" t="e">
        <f ca="1">_xll.BDH($C$228,"ACCOUNTS_RECEIVABLE_GROWTH","FQ1 2014","FQ1 2014","Currency=INR","Period=FQ","BEST_FPERIOD_OVERRIDE=FQ","FILING_STATUS=OR","EQY_CONSOLIDATED=Y","Sort=A","Dates=H","DateFormat=P","Fill=—","Direction=H","UseDPDF=Y")</f>
        <v>#NAME?</v>
      </c>
      <c r="AA229" s="2" t="e">
        <f ca="1">_xll.BDH($C$228,"INVENTORY_GROWTH","FQ1 2014","FQ1 2014","Currency=INR","Period=FQ","BEST_FPERIOD_OVERRIDE=FQ","FILING_STATUS=OR","EQY_CONSOLIDATED=Y","Sort=A","Dates=H","DateFormat=P","Fill=—","Direction=H","UseDPDF=Y")</f>
        <v>#NAME?</v>
      </c>
      <c r="AB229" s="2" t="e">
        <f ca="1">_xll.BDH($C$228,"NET_FIXED_ASSETS_1_YEAR_GROWTH","FQ1 2014","FQ1 2014","Currency=INR","Period=FQ","BEST_FPERIOD_OVERRIDE=FQ","FILING_STATUS=OR","EQY_CONSOLIDATED=Y","Sort=A","Dates=H","DateFormat=P","Fill=—","Direction=H","UseDPDF=Y")</f>
        <v>#NAME?</v>
      </c>
      <c r="AC229" s="2" t="e">
        <f ca="1">_xll.BDH($C$228,"ASSET_GROWTH","FQ1 2014","FQ1 2014","Currency=INR","Period=FQ","BEST_FPERIOD_OVERRIDE=FQ","FILING_STATUS=OR","EQY_CONSOLIDATED=Y","Sort=A","Dates=H","DateFormat=P","Fill=—","Direction=H","UseDPDF=Y")</f>
        <v>#NAME?</v>
      </c>
      <c r="AD229" s="2" t="e">
        <f ca="1">_xll.BDH($C$228,"MODIFIED_WORK_CAP_GROWTH","FQ1 2014","FQ1 2014","Currency=INR","Period=FQ","BEST_FPERIOD_OVERRIDE=FQ","FILING_STATUS=OR","EQY_CONSOLIDATED=Y","Sort=A","Dates=H","DateFormat=P","Fill=—","Direction=H","UseDPDF=Y")</f>
        <v>#NAME?</v>
      </c>
      <c r="AE229" s="2" t="e">
        <f ca="1">_xll.BDH($C$228,"WORK_CAP_GROWTH","FQ1 2014","FQ1 2014","Currency=INR","Period=FQ","BEST_FPERIOD_OVERRIDE=FQ","FILING_STATUS=OR","EQY_CONSOLIDATED=Y","Sort=A","Dates=H","DateFormat=P","Fill=—","Direction=H","UseDPDF=Y")</f>
        <v>#NAME?</v>
      </c>
      <c r="AF229" s="2" t="e">
        <f ca="1">_xll.BDH($C$228,"ACCOUNTS_PAYABLE_GROWTH_1YR","FQ1 2014","FQ1 2014","Currency=INR","Period=FQ","BEST_FPERIOD_OVERRIDE=FQ","FILING_STATUS=OR","EQY_CONSOLIDATED=Y","Sort=A","Dates=H","DateFormat=P","Fill=—","Direction=H","UseDPDF=Y")</f>
        <v>#NAME?</v>
      </c>
      <c r="AG229" s="2" t="e">
        <f ca="1">_xll.BDH($C$228,"SHORT_TERM_DEBT_1_YEAR_GROWTH","FQ1 2014","FQ1 2014","Currency=INR","Period=FQ","BEST_FPERIOD_OVERRIDE=FQ","FILING_STATUS=OR","EQY_CONSOLIDATED=Y","Sort=A","Dates=H","DateFormat=P","Fill=—","Direction=H","UseDPDF=Y")</f>
        <v>#NAME?</v>
      </c>
      <c r="AH229" s="2" t="e">
        <f ca="1">_xll.BDH($C$228,"TOTAL_DEBT_1_YEAR_GROWTH","FQ1 2014","FQ1 2014","Currency=INR","Period=FQ","BEST_FPERIOD_OVERRIDE=FQ","FILING_STATUS=OR","EQY_CONSOLIDATED=Y","Sort=A","Dates=H","DateFormat=P","Fill=—","Direction=H","UseDPDF=Y")</f>
        <v>#NAME?</v>
      </c>
      <c r="AI229" s="2" t="e">
        <f ca="1">_xll.BDH($C$228,"TOTAL_EQUITY_1_YEAR_GROWTH","FQ1 2014","FQ1 2014","Currency=INR","Period=FQ","BEST_FPERIOD_OVERRIDE=FQ","FILING_STATUS=OR","EQY_CONSOLIDATED=Y","Sort=A","Dates=H","DateFormat=P","Fill=—","Direction=H","UseDPDF=Y")</f>
        <v>#NAME?</v>
      </c>
      <c r="AJ229" s="2" t="e">
        <f ca="1">_xll.BDH($C$228,"GROWTH_IN_CAP","FQ1 2014","FQ1 2014","Currency=INR","Period=FQ","BEST_FPERIOD_OVERRIDE=FQ","FILING_STATUS=OR","EQY_CONSOLIDATED=Y","Sort=A","Dates=H","DateFormat=P","Fill=—","Direction=H","UseDPDF=Y")</f>
        <v>#NAME?</v>
      </c>
      <c r="AK229" s="2" t="e">
        <f ca="1">_xll.BDH($C$228,"BVPS_GROWTH","FQ1 2014","FQ1 2014","Currency=INR","Period=FQ","BEST_FPERIOD_OVERRIDE=FQ","FILING_STATUS=OR","EQY_CONSOLIDATED=Y","Sort=A","Dates=H","DateFormat=P","Fill=—","Direction=H","UseDPDF=Y")</f>
        <v>#NAME?</v>
      </c>
      <c r="AL229" s="2" t="e">
        <f ca="1">_xll.BDH($C$228,"CASH_FLOW_GROWTH","FQ1 2014","FQ1 2014","Currency=INR","Period=FQ","BEST_FPERIOD_OVERRIDE=FQ","FILING_STATUS=OR","EQY_CONSOLIDATED=Y","Sort=A","Dates=H","DateFormat=P","Fill=—","Direction=H","UseDPDF=Y")</f>
        <v>#NAME?</v>
      </c>
      <c r="AM229" s="2" t="e">
        <f ca="1">_xll.BDH($C$228,"GEO_GROW_NET_SALES","FQ1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29" s="2" t="e">
        <f ca="1">_xll.BDH($C$228,"GEO_GROW_EBITDA","FQ1 2014","FQ1 2014","Currency=INR","Period=FQ","BEST_FPERIOD_OVERRIDE=FQ","FILING_STATUS=OR","EQY_CONSOLIDATED=Y","FA_ADJUSTED=GAAP","Sort=A","Dates=H","DateFormat=P","Fill=—","Direction=H","UseDPDF=Y")</f>
        <v>#NAME?</v>
      </c>
      <c r="AO229" s="2" t="e">
        <f ca="1">_xll.BDH($C$228,"GEO_GROW_OPER_INC","FQ1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29" s="2" t="e">
        <f ca="1">_xll.BDH($C$228,"NET_INCOME_TO_COMMON_5_YR_GROWTH","FQ1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29" s="2" t="e">
        <f ca="1">_xll.BDH($C$228,"5Y_GEO_GROWTH_DILUTED_EPS","FQ1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29" s="2" t="e">
        <f ca="1">_xll.BDH($C$228,"GEO_GROW_DVD_PER_SH","FQ1 2014","FQ1 2014","Currency=INR","Period=FQ","BEST_FPERIOD_OVERRIDE=FQ","FILING_STATUS=OR","EQY_CONSOLIDATED=Y","Sort=A","Dates=H","DateFormat=P","Fill=—","Direction=H","UseDPDF=Y")</f>
        <v>#NAME?</v>
      </c>
      <c r="AS229" s="2" t="e">
        <f ca="1">_xll.BDH($C$228,"ACCOUNTS_RECEIVABLE_5_YR_GROWTH","FQ1 2014","FQ1 2014","Currency=INR","Period=FQ","BEST_FPERIOD_OVERRIDE=FQ","FILING_STATUS=OR","EQY_CONSOLIDATED=Y","Sort=A","Dates=H","DateFormat=P","Fill=—","Direction=H","UseDPDF=Y")</f>
        <v>#NAME?</v>
      </c>
      <c r="AT229" s="2" t="e">
        <f ca="1">_xll.BDH($C$228,"INVENTORY_5_YEAR_GROWTH","FQ1 2014","FQ1 2014","Currency=INR","Period=FQ","BEST_FPERIOD_OVERRIDE=FQ","FILING_STATUS=OR","EQY_CONSOLIDATED=Y","Sort=A","Dates=H","DateFormat=P","Fill=—","Direction=H","UseDPDF=Y")</f>
        <v>#NAME?</v>
      </c>
      <c r="AU229" s="2" t="e">
        <f ca="1">_xll.BDH($C$228,"NET_FIXED_ASSETS_5_YEAR_GROWTH","FQ1 2014","FQ1 2014","Currency=INR","Period=FQ","BEST_FPERIOD_OVERRIDE=FQ","FILING_STATUS=OR","EQY_CONSOLIDATED=Y","Sort=A","Dates=H","DateFormat=P","Fill=—","Direction=H","UseDPDF=Y")</f>
        <v>#NAME?</v>
      </c>
      <c r="AV229" s="2" t="e">
        <f ca="1">_xll.BDH($C$228,"GEO_GROW_TOT_ASSET","FQ1 2014","FQ1 2014","Currency=INR","Period=FQ","BEST_FPERIOD_OVERRIDE=FQ","FILING_STATUS=OR","EQY_CONSOLIDATED=Y","Sort=A","Dates=H","DateFormat=P","Fill=—","Direction=H","UseDPDF=Y")</f>
        <v>#NAME?</v>
      </c>
      <c r="AW229" s="2" t="e">
        <f ca="1">_xll.BDH($C$228,"MODIFIED_WORKING_CPTL_5YR_GRWTH","FQ1 2014","FQ1 2014","Currency=INR","Period=FQ","BEST_FPERIOD_OVERRIDE=FQ","FILING_STATUS=OR","EQY_CONSOLIDATED=Y","Sort=A","Dates=H","DateFormat=P","Fill=—","Direction=H","UseDPDF=Y")</f>
        <v>#NAME?</v>
      </c>
      <c r="AX229" s="2" t="e">
        <f ca="1">_xll.BDH($C$228,"WORKING_CAPITAL_5_YEAR_GROWTH","FQ1 2014","FQ1 2014","Currency=INR","Period=FQ","BEST_FPERIOD_OVERRIDE=FQ","FILING_STATUS=OR","EQY_CONSOLIDATED=Y","Sort=A","Dates=H","DateFormat=P","Fill=—","Direction=H","UseDPDF=Y")</f>
        <v>#NAME?</v>
      </c>
      <c r="AY229" s="2" t="e">
        <f ca="1">_xll.BDH($C$228,"ACCOUNTS_PAYABLE_5_YEAR_GROWTH","FQ1 2014","FQ1 2014","Currency=INR","Period=FQ","BEST_FPERIOD_OVERRIDE=FQ","FILING_STATUS=OR","EQY_CONSOLIDATED=Y","Sort=A","Dates=H","DateFormat=P","Fill=—","Direction=H","UseDPDF=Y")</f>
        <v>#NAME?</v>
      </c>
      <c r="AZ229" s="2" t="e">
        <f ca="1">_xll.BDH($C$228,"SHORT_TERM_DEBT_5_YEAR_GROWTH","FQ1 2014","FQ1 2014","Currency=INR","Period=FQ","BEST_FPERIOD_OVERRIDE=FQ","FILING_STATUS=OR","EQY_CONSOLIDATED=Y","Sort=A","Dates=H","DateFormat=P","Fill=—","Direction=H","UseDPDF=Y")</f>
        <v>#NAME?</v>
      </c>
      <c r="BA229" s="2" t="e">
        <f ca="1">_xll.BDH($C$228,"TOTAL_DEBT_5_YEAR_GROWTH","FQ1 2014","FQ1 2014","Currency=INR","Period=FQ","BEST_FPERIOD_OVERRIDE=FQ","FILING_STATUS=OR","EQY_CONSOLIDATED=Y","Sort=A","Dates=H","DateFormat=P","Fill=—","Direction=H","UseDPDF=Y")</f>
        <v>#NAME?</v>
      </c>
      <c r="BB229" s="2" t="e">
        <f ca="1">_xll.BDH($C$228,"GEO_GROW_TOT_SHRHLDR_EQY","FQ1 2014","FQ1 2014","Currency=INR","Period=FQ","BEST_FPERIOD_OVERRIDE=FQ","FILING_STATUS=OR","EQY_CONSOLIDATED=Y","Sort=A","Dates=H","DateFormat=P","Fill=—","Direction=H","UseDPDF=Y")</f>
        <v>#NAME?</v>
      </c>
      <c r="BC229" s="2" t="e">
        <f ca="1">_xll.BDH($C$228,"TOTAL_CAPITAL_5_YEAR_GROWTH","FQ1 2014","FQ1 2014","Currency=INR","Period=FQ","BEST_FPERIOD_OVERRIDE=FQ","FILING_STATUS=OR","EQY_CONSOLIDATED=Y","Sort=A","Dates=H","DateFormat=P","Fill=—","Direction=H","UseDPDF=Y")</f>
        <v>#NAME?</v>
      </c>
      <c r="BD229" s="2" t="e">
        <f ca="1">_xll.BDH($C$228,"GEO_GROW_BOOK_VAL","FQ1 2014","FQ1 2014","Currency=INR","Period=FQ","BEST_FPERIOD_OVERRIDE=FQ","FILING_STATUS=OR","EQY_CONSOLIDATED=Y","Sort=A","Dates=H","DateFormat=P","Fill=—","Direction=H","UseDPDF=Y")</f>
        <v>#NAME?</v>
      </c>
      <c r="BE229" s="2" t="e">
        <f ca="1">_xll.BDH($C$228,"GEO_GROW_CASH_OPER_ACT","FQ1 2014","FQ1 2014","Currency=INR","Period=FQ","BEST_FPERIOD_OVERRIDE=FQ","FILING_STATUS=OR","EQY_CONSOLIDATED=Y","Sort=A","Dates=H","DateFormat=P","Fill=—","Direction=H","UseDPDF=Y")</f>
        <v>#NAME?</v>
      </c>
      <c r="BF229" s="2" t="e">
        <f ca="1">_xll.BDH($C$228,"REVENUE_SEQUENTIAL_GROWTH","FQ1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29" s="2" t="e">
        <f ca="1">_xll.BDH($C$228,"EBITDA_SEQUENTIAL_GROWTH","FQ1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29" s="2" t="e">
        <f ca="1">_xll.BDH($C$228,"OPERATING_INCOME_SEQ_GROWTH","FQ1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29" s="2" t="e">
        <f ca="1">_xll.BDH($C$228,"NET_INCOME_TO_COMMON_SEQ_GROWTH","FQ1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29" s="2" t="e">
        <f ca="1">_xll.BDH($C$228,"EPS_DILUTED_SEQUENTIAL_GROWTH","FQ1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29" s="2" t="e">
        <f ca="1">_xll.BDH($C$228,"DPS_SEQUENTIAL_GROWTH","FQ1 2014","FQ1 2014","Currency=INR","Period=FQ","BEST_FPERIOD_OVERRIDE=FQ","FILING_STATUS=OR","EQY_CONSOLIDATED=Y","Sort=A","Dates=H","DateFormat=P","Fill=—","Direction=H","UseDPDF=Y")</f>
        <v>#NAME?</v>
      </c>
      <c r="BL229" s="2" t="e">
        <f ca="1">_xll.BDH($C$228,"ACCOUNTS_RECEIVABLE_SEQ_GROWTH","FQ1 2014","FQ1 2014","Currency=INR","Period=FQ","BEST_FPERIOD_OVERRIDE=FQ","FILING_STATUS=OR","EQY_CONSOLIDATED=Y","Sort=A","Dates=H","DateFormat=P","Fill=—","Direction=H","UseDPDF=Y")</f>
        <v>#NAME?</v>
      </c>
      <c r="BM229" s="2" t="e">
        <f ca="1">_xll.BDH($C$228,"INVENTORY_SEQUENTIAL_GROWTH","FQ1 2014","FQ1 2014","Currency=INR","Period=FQ","BEST_FPERIOD_OVERRIDE=FQ","FILING_STATUS=OR","EQY_CONSOLIDATED=Y","Sort=A","Dates=H","DateFormat=P","Fill=—","Direction=H","UseDPDF=Y")</f>
        <v>#NAME?</v>
      </c>
      <c r="BN229" s="2" t="e">
        <f ca="1">_xll.BDH($C$228,"FIXED_ASSETS_SEQUENTIAL_GROWTH","FQ1 2014","FQ1 2014","Currency=INR","Period=FQ","BEST_FPERIOD_OVERRIDE=FQ","FILING_STATUS=OR","EQY_CONSOLIDATED=Y","Sort=A","Dates=H","DateFormat=P","Fill=—","Direction=H","UseDPDF=Y")</f>
        <v>#NAME?</v>
      </c>
      <c r="BO229" s="2" t="e">
        <f ca="1">_xll.BDH($C$228,"TOTAL_ASSETS_SEQUENTIAL_GROWTH","FQ1 2014","FQ1 2014","Currency=INR","Period=FQ","BEST_FPERIOD_OVERRIDE=FQ","FILING_STATUS=OR","EQY_CONSOLIDATED=Y","Sort=A","Dates=H","DateFormat=P","Fill=—","Direction=H","UseDPDF=Y")</f>
        <v>#NAME?</v>
      </c>
      <c r="BP229" s="2" t="e">
        <f ca="1">_xll.BDH($C$228,"MODIFIED_WORKING_CPTL_SEQ_GRWTH","FQ1 2014","FQ1 2014","Currency=INR","Period=FQ","BEST_FPERIOD_OVERRIDE=FQ","FILING_STATUS=OR","EQY_CONSOLIDATED=Y","Sort=A","Dates=H","DateFormat=P","Fill=—","Direction=H","UseDPDF=Y")</f>
        <v>#NAME?</v>
      </c>
      <c r="BQ229" s="2" t="e">
        <f ca="1">_xll.BDH($C$228,"WORKING_CAPITAL_SEQ_GROWTH","FQ1 2014","FQ1 2014","Currency=INR","Period=FQ","BEST_FPERIOD_OVERRIDE=FQ","FILING_STATUS=OR","EQY_CONSOLIDATED=Y","Sort=A","Dates=H","DateFormat=P","Fill=—","Direction=H","UseDPDF=Y")</f>
        <v>#NAME?</v>
      </c>
      <c r="BR229" s="2" t="e">
        <f ca="1">_xll.BDH($C$228,"ACCOUNTS_PAYABLE_SEQ_GROWTH","FQ1 2014","FQ1 2014","Currency=INR","Period=FQ","BEST_FPERIOD_OVERRIDE=FQ","FILING_STATUS=OR","EQY_CONSOLIDATED=Y","Sort=A","Dates=H","DateFormat=P","Fill=—","Direction=H","UseDPDF=Y")</f>
        <v>#NAME?</v>
      </c>
      <c r="BS229" s="2" t="e">
        <f ca="1">_xll.BDH($C$228,"ST_DEBT_SEQUENTIAL_GROWTH","FQ1 2014","FQ1 2014","Currency=INR","Period=FQ","BEST_FPERIOD_OVERRIDE=FQ","FILING_STATUS=OR","EQY_CONSOLIDATED=Y","Sort=A","Dates=H","DateFormat=P","Fill=—","Direction=H","UseDPDF=Y")</f>
        <v>#NAME?</v>
      </c>
      <c r="BT229" s="2" t="e">
        <f ca="1">_xll.BDH($C$228,"TOTAL_DEBT_SEQUENTIAL_GROWTH","FQ1 2014","FQ1 2014","Currency=INR","Period=FQ","BEST_FPERIOD_OVERRIDE=FQ","FILING_STATUS=OR","EQY_CONSOLIDATED=Y","Sort=A","Dates=H","DateFormat=P","Fill=—","Direction=H","UseDPDF=Y")</f>
        <v>#NAME?</v>
      </c>
      <c r="BU229" s="2" t="e">
        <f ca="1">_xll.BDH($C$228,"TOTAL_EQUITY_SEQUENTIAL_GROWTH","FQ1 2014","FQ1 2014","Currency=INR","Period=FQ","BEST_FPERIOD_OVERRIDE=FQ","FILING_STATUS=OR","EQY_CONSOLIDATED=Y","Sort=A","Dates=H","DateFormat=P","Fill=—","Direction=H","UseDPDF=Y")</f>
        <v>#NAME?</v>
      </c>
      <c r="BV229" s="2" t="e">
        <f ca="1">_xll.BDH($C$228,"TOTAL_CAPITAL_SEQUENTIAL_GROWTH","FQ1 2014","FQ1 2014","Currency=INR","Period=FQ","BEST_FPERIOD_OVERRIDE=FQ","FILING_STATUS=OR","EQY_CONSOLIDATED=Y","Sort=A","Dates=H","DateFormat=P","Fill=—","Direction=H","UseDPDF=Y")</f>
        <v>#NAME?</v>
      </c>
      <c r="BW229" s="2" t="e">
        <f ca="1">_xll.BDH($C$228,"BPS_SEQUENTIAL_GROWTH","FQ1 2014","FQ1 2014","Currency=INR","Period=FQ","BEST_FPERIOD_OVERRIDE=FQ","FILING_STATUS=OR","EQY_CONSOLIDATED=Y","Sort=A","Dates=H","DateFormat=P","Fill=—","Direction=H","UseDPDF=Y")</f>
        <v>#NAME?</v>
      </c>
      <c r="BX229" s="2" t="e">
        <f ca="1">_xll.BDH($C$228,"CFO_SEQUENTIAL_GROWTH","FQ1 2014","FQ1 2014","Currency=INR","Period=FQ","BEST_FPERIOD_OVERRIDE=FQ","FILING_STATUS=OR","EQY_CONSOLIDATED=Y","Sort=A","Dates=H","DateFormat=P","Fill=—","Direction=H","UseDPDF=Y")</f>
        <v>#NAME?</v>
      </c>
      <c r="BY229" s="3" t="e">
        <f ca="1">_xll.BDH($C$228,"SHORT_AND_LONG_TERM_DEBT","FQ1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29" s="3" t="e">
        <f ca="1">_xll.BDH($C$228,"BS_ST_BORROW","FQ1 2014","FQ1 2014","Currency=INR","Period=FQ","BEST_FPERIOD_OVERRIDE=FQ","FILING_STATUS=OR","EQY_CONSOLIDATED=Y","SCALING_FORMAT=MLN","Sort=A","Dates=H","DateFormat=P","Fill=—","Direction=H","UseDPDF=Y")</f>
        <v>#NAME?</v>
      </c>
      <c r="CA229" s="3" t="e">
        <f ca="1">_xll.BDH($C$228,"BS_LT_BORROW","FQ1 2014","FQ1 2014","Currency=INR","Period=FQ","BEST_FPERIOD_OVERRIDE=FQ","FILING_STATUS=OR","EQY_CONSOLIDATED=Y","SCALING_FORMAT=MLN","Sort=A","Dates=H","DateFormat=P","Fill=—","Direction=H","UseDPDF=Y")</f>
        <v>#NAME?</v>
      </c>
      <c r="CB229" s="2" t="e">
        <f ca="1">_xll.BDH($C$228,"TOT_DEBT_TO_EBITDA","FQ1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29" s="2" t="e">
        <f ca="1">_xll.BDH($C$228,"NET_DEBT_TO_EBITDA","FQ1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29" s="2" t="e">
        <f ca="1">_xll.BDH($C$228,"TOTAL_DEBT_TO_EBIT","FQ1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29" s="2" t="e">
        <f ca="1">_xll.BDH($C$228,"NET_DEBT_TO_EBIT","FQ1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29" s="2" t="e">
        <f ca="1">_xll.BDH($C$228,"EBITDA_TO_INTEREST_EXPN","FQ1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29" s="2" t="e">
        <f ca="1">_xll.BDH($C$228,"COM_EQY_TO_TOT_ASSET","FQ1 2014","FQ1 2014","Currency=INR","Period=FQ","BEST_FPERIOD_OVERRIDE=FQ","FILING_STATUS=OR","EQY_CONSOLIDATED=Y","Sort=A","Dates=H","DateFormat=P","Fill=—","Direction=H","UseDPDF=Y")</f>
        <v>#NAME?</v>
      </c>
      <c r="CH229" s="2" t="e">
        <f ca="1">_xll.BDH($C$228,"LT_DEBT_TO_TOT_EQY","FQ1 2014","FQ1 2014","Currency=INR","Period=FQ","BEST_FPERIOD_OVERRIDE=FQ","FILING_STATUS=OR","EQY_CONSOLIDATED=Y","Sort=A","Dates=H","DateFormat=P","Fill=—","Direction=H","UseDPDF=Y")</f>
        <v>#NAME?</v>
      </c>
      <c r="CI229" s="2" t="e">
        <f ca="1">_xll.BDH($C$228,"LT_DEBT_TO_TOT_CAP","FQ1 2014","FQ1 2014","Currency=INR","Period=FQ","BEST_FPERIOD_OVERRIDE=FQ","FILING_STATUS=OR","EQY_CONSOLIDATED=Y","Sort=A","Dates=H","DateFormat=P","Fill=—","Direction=H","UseDPDF=Y")</f>
        <v>#NAME?</v>
      </c>
      <c r="CJ229" s="2" t="e">
        <f ca="1">_xll.BDH($C$228,"LT_DEBT_TO_TOT_ASSET","FQ1 2014","FQ1 2014","Currency=INR","Period=FQ","BEST_FPERIOD_OVERRIDE=FQ","FILING_STATUS=OR","EQY_CONSOLIDATED=Y","Sort=A","Dates=H","DateFormat=P","Fill=—","Direction=H","UseDPDF=Y")</f>
        <v>#NAME?</v>
      </c>
      <c r="CK229" s="2" t="e">
        <f ca="1">_xll.BDH($C$228,"TOT_DEBT_TO_TOT_EQY","FQ1 2014","FQ1 2014","Currency=INR","Period=FQ","BEST_FPERIOD_OVERRIDE=FQ","FILING_STATUS=OR","EQY_CONSOLIDATED=Y","Sort=A","Dates=H","DateFormat=P","Fill=—","Direction=H","UseDPDF=Y")</f>
        <v>#NAME?</v>
      </c>
      <c r="CL229" s="2" t="e">
        <f ca="1">_xll.BDH($C$228,"TOT_DEBT_TO_TOT_CAP","FQ1 2014","FQ1 2014","Currency=INR","Period=FQ","BEST_FPERIOD_OVERRIDE=FQ","FILING_STATUS=OR","EQY_CONSOLIDATED=Y","Sort=A","Dates=H","DateFormat=P","Fill=—","Direction=H","UseDPDF=Y")</f>
        <v>#NAME?</v>
      </c>
      <c r="CM229" s="2" t="e">
        <f ca="1">_xll.BDH($C$228,"TOT_DEBT_TO_TOT_ASSET","FQ1 2014","FQ1 2014","Currency=INR","Period=FQ","BEST_FPERIOD_OVERRIDE=FQ","FILING_STATUS=OR","EQY_CONSOLIDATED=Y","Sort=A","Dates=H","DateFormat=P","Fill=—","Direction=H","UseDPDF=Y")</f>
        <v>#NAME?</v>
      </c>
      <c r="CN229" s="2" t="e">
        <f ca="1">_xll.BDH($C$228,"NET_DEBT_TO_SHRHLDR_EQTY","FQ1 2014","FQ1 2014","Currency=INR","Period=FQ","BEST_FPERIOD_OVERRIDE=FQ","FILING_STATUS=OR","EQY_CONSOLIDATED=Y","Sort=A","Dates=H","DateFormat=P","Fill=—","Direction=H","UseDPDF=Y")</f>
        <v>#NAME?</v>
      </c>
      <c r="CO229" s="2" t="e">
        <f ca="1">_xll.BDH($C$228,"NET_DEBT_%_CAPITAL","FQ1 2014","FQ1 2014","Currency=INR","Period=FQ","BEST_FPERIOD_OVERRIDE=FQ","FILING_STATUS=OR","EQY_CONSOLIDATED=Y","Sort=A","Dates=H","DateFormat=P","Fill=—","Direction=H","UseDPDF=Y")</f>
        <v>#NAME?</v>
      </c>
      <c r="CP229" s="3" t="e">
        <f ca="1">_xll.BDH($C$228,"EBITDA","FQ1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29" s="3" t="e">
        <f ca="1">_xll.BDH($C$228,"EBITDA_AFTER_CAPEX","FQ1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29" s="3" t="e">
        <f ca="1">_xll.BDH($C$228,"IS_OPER_INC","FQ1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29" s="2" t="e">
        <f ca="1">_xll.BDH($C$228,"CASH_RATIO","FQ1 2014","FQ1 2014","Currency=INR","Period=FQ","BEST_FPERIOD_OVERRIDE=FQ","FILING_STATUS=OR","EQY_CONSOLIDATED=Y","Sort=A","Dates=H","DateFormat=P","Fill=—","Direction=H","UseDPDF=Y")</f>
        <v>#NAME?</v>
      </c>
      <c r="CT229" s="2" t="e">
        <f ca="1">_xll.BDH($C$228,"CUR_RATIO","FQ1 2014","FQ1 2014","Currency=INR","Period=FQ","BEST_FPERIOD_OVERRIDE=FQ","FILING_STATUS=OR","EQY_CONSOLIDATED=Y","Sort=A","Dates=H","DateFormat=P","Fill=—","Direction=H","UseDPDF=Y")</f>
        <v>#NAME?</v>
      </c>
      <c r="CU229" s="2" t="e">
        <f ca="1">_xll.BDH($C$228,"QUICK_RATIO","FQ1 2014","FQ1 2014","Currency=INR","Period=FQ","BEST_FPERIOD_OVERRIDE=FQ","FILING_STATUS=OR","EQY_CONSOLIDATED=Y","Sort=A","Dates=H","DateFormat=P","Fill=—","Direction=H","UseDPDF=Y")</f>
        <v>#NAME?</v>
      </c>
      <c r="CV229" s="2" t="e">
        <f ca="1">_xll.BDH($C$228,"ALTMAN_Z_SCORE","FQ1 2014","FQ1 2014","Currency=INR","Period=FQ","BEST_FPERIOD_OVERRIDE=FQ","FILING_STATUS=OR","EQY_CONSOLIDATED=Y","Sort=A","Dates=H","DateFormat=P","Fill=—","Direction=H","UseDPDF=Y")</f>
        <v>#NAME?</v>
      </c>
      <c r="CW229" s="4" t="e">
        <f ca="1">_xll.BDH($C$228,"ACCT_RCV_TURN","FQ1 2014","FQ1 2014","Currency=INR","Period=FQ","BEST_FPERIOD_OVERRIDE=FQ","FILING_STATUS=OR","EQY_CONSOLIDATED=Y","FA_ADJUSTED=GAAP","Sort=A","Dates=H","DateFormat=P","Fill=—","Direction=H","UseDPDF=Y")</f>
        <v>#NAME?</v>
      </c>
      <c r="CX229" s="2" t="e">
        <f ca="1">_xll.BDH($C$228,"ACCT_RCV_DAYS","FQ1 2014","FQ1 2014","Currency=INR","Period=FQ","BEST_FPERIOD_OVERRIDE=FQ","FILING_STATUS=OR","EQY_CONSOLIDATED=Y","FA_ADJUSTED=GAAP","Sort=A","Dates=H","DateFormat=P","Fill=—","Direction=H","UseDPDF=Y")</f>
        <v>#NAME?</v>
      </c>
      <c r="CY229" s="4" t="e">
        <f ca="1">_xll.BDH($C$228,"INVENT_TURN","FQ1 2014","FQ1 2014","Currency=INR","Period=FQ","BEST_FPERIOD_OVERRIDE=FQ","FILING_STATUS=OR","EQY_CONSOLIDATED=Y","FA_ADJUSTED=GAAP","Sort=A","Dates=H","DateFormat=P","Fill=—","Direction=H","UseDPDF=Y")</f>
        <v>#NAME?</v>
      </c>
      <c r="CZ229" s="2" t="e">
        <f ca="1">_xll.BDH($C$228,"INVENT_DAYS","FQ1 2014","FQ1 2014","Currency=INR","Period=FQ","BEST_FPERIOD_OVERRIDE=FQ","FILING_STATUS=OR","EQY_CONSOLIDATED=Y","FA_ADJUSTED=GAAP","Sort=A","Dates=H","DateFormat=P","Fill=—","Direction=H","UseDPDF=Y")</f>
        <v>#NAME?</v>
      </c>
      <c r="DA229" s="4" t="e">
        <f ca="1">_xll.BDH($C$228,"ACCOUNTS_PAYABLE_TURNOVER","FQ1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29" s="2" t="e">
        <f ca="1">_xll.BDH($C$228,"ACCOUNTS_PAYABLE_TURNOVER_DAYS","FQ1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29" s="4" t="e">
        <f ca="1">_xll.BDH($C$228,"CASH_CONVERSION_CYCLE","FQ1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29" s="4" t="e">
        <f ca="1">_xll.BDH($C$228,"INV_TO_CASH_DAYS","FQ1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29" s="5" t="e">
        <f ca="1">_xll.BDH($C$228,"BS_INVENTORIES","FQ1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29" s="3" t="e">
        <f ca="1">_xll.BDH($C$228,"INVTRY_RAW_MATERIALS","FQ1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29" s="3" t="e">
        <f ca="1">_xll.BDH($C$228,"INVTRY_IN_PROGRESS","FQ1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29" s="3" t="e">
        <f ca="1">_xll.BDH($C$228,"INVTRY_FINISHED_GOODS","FQ1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29" s="3" t="e">
        <f ca="1">_xll.BDH($C$228,"BS_OTHER_INV","FQ1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30" spans="1:113" x14ac:dyDescent="0.3">
      <c r="A230" s="6"/>
      <c r="B230" s="6"/>
      <c r="C230" s="6"/>
      <c r="D230" s="6"/>
      <c r="E230" t="s">
        <v>79</v>
      </c>
      <c r="F230" t="e">
        <f ca="1">_xll.BDH($C$228,"RETURN_COM_EQY","FQ2 2014","FQ2 2014","Currency=INR","Period=FQ","BEST_FPERIOD_OVERRIDE=FQ","FILING_STATUS=OR","EQY_CONSOLIDATED=Y","FA_ADJUSTED=GAAP","Sort=A","Dates=H","DateFormat=P","Fill=—","Direction=H","UseDPDF=Y")</f>
        <v>#NAME?</v>
      </c>
      <c r="G230" t="e">
        <f ca="1">_xll.BDH($C$228,"RETURN_ON_ASSET","FQ2 2014","FQ2 2014","Currency=INR","Period=FQ","BEST_FPERIOD_OVERRIDE=FQ","FILING_STATUS=OR","EQY_CONSOLIDATED=Y","FA_ADJUSTED=GAAP","Sort=A","Dates=H","DateFormat=P","Fill=—","Direction=H","UseDPDF=Y")</f>
        <v>#NAME?</v>
      </c>
      <c r="H230" t="e">
        <f ca="1">_xll.BDH($C$228,"RETURN_ON_CAP","FQ2 2014","FQ2 2014","Currency=INR","Period=FQ","BEST_FPERIOD_OVERRIDE=FQ","FILING_STATUS=OR","EQY_CONSOLIDATED=Y","FA_ADJUSTED=GAAP","Sort=A","Dates=H","DateFormat=P","Fill=—","Direction=H","UseDPDF=Y")</f>
        <v>#NAME?</v>
      </c>
      <c r="I230" t="e">
        <f ca="1">_xll.BDH($C$228,"RETURN_ON_INV_CAPITAL","FQ2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30" t="e">
        <f ca="1">_xll.BDH($C$228,"EBITDA_TO_REVENUE","FQ2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30" t="e">
        <f ca="1">_xll.BDH($C$228,"OPER_MARGIN","FQ2 2014","FQ2 2014","Currency=INR","Period=FQ","BEST_FPERIOD_OVERRIDE=FQ","FILING_STATUS=OR","EQY_CONSOLIDATED=Y","FA_ADJUSTED=GAAP","Sort=A","Dates=H","DateFormat=P","Fill=—","Direction=H","UseDPDF=Y")</f>
        <v>#NAME?</v>
      </c>
      <c r="L230" t="e">
        <f ca="1">_xll.BDH($C$228,"INCREMENTAL_OPERATING_MARGIN","FQ2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30" t="e">
        <f ca="1">_xll.BDH($C$228,"PRETAX_INC_TO_NET_SALES","FQ2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30" t="e">
        <f ca="1">_xll.BDH($C$228,"INC_BEF_XO_ITEMS_TO_NET_SALES","FQ2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30" t="e">
        <f ca="1">_xll.BDH($C$228,"PROF_MARGIN","FQ2 2014","FQ2 2014","Currency=INR","Period=FQ","BEST_FPERIOD_OVERRIDE=FQ","FILING_STATUS=OR","EQY_CONSOLIDATED=Y","FA_ADJUSTED=GAAP","Sort=A","Dates=H","DateFormat=P","Fill=—","Direction=H","UseDPDF=Y")</f>
        <v>#NAME?</v>
      </c>
      <c r="P230" t="e">
        <f ca="1">_xll.BDH($C$228,"NET_INCOME_TO_COMMON_MARGIN","FQ2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30" t="e">
        <f ca="1">_xll.BDH($C$228,"EFF_TAX_RATE","FQ2 2014","FQ2 2014","Currency=INR","Period=FQ","BEST_FPERIOD_OVERRIDE=FQ","FILING_STATUS=OR","EQY_CONSOLIDATED=Y","FA_ADJUSTED=GAAP","Sort=A","Dates=H","DateFormat=P","Fill=—","Direction=H","UseDPDF=Y")</f>
        <v>#NAME?</v>
      </c>
      <c r="R230" t="e">
        <f ca="1">_xll.BDH($C$228,"DVD_PAYOUT_RATIO","FQ2 2014","FQ2 2014","Currency=INR","Period=FQ","BEST_FPERIOD_OVERRIDE=FQ","FILING_STATUS=OR","EQY_CONSOLIDATED=Y","FA_ADJUSTED=GAAP","Sort=A","Dates=H","DateFormat=P","Fill=—","Direction=H","UseDPDF=Y")</f>
        <v>#NAME?</v>
      </c>
      <c r="S230" t="e">
        <f ca="1">_xll.BDH($C$228,"SUSTAIN_GROWTH_RT","FQ2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30" s="2" t="e">
        <f ca="1">_xll.BDH($C$228,"SALES_GROWTH","FQ2 2014","FQ2 2014","Currency=INR","Period=FQ","BEST_FPERIOD_OVERRIDE=FQ","FILING_STATUS=OR","EQY_CONSOLIDATED=Y","FA_ADJUSTED=GAAP","Sort=A","Dates=H","DateFormat=P","Fill=—","Direction=H","UseDPDF=Y")</f>
        <v>#NAME?</v>
      </c>
      <c r="U230" s="2" t="e">
        <f ca="1">_xll.BDH($C$228,"EBITDA_GROWTH","FQ2 2014","FQ2 2014","Currency=INR","Period=FQ","BEST_FPERIOD_OVERRIDE=FQ","FILING_STATUS=OR","EQY_CONSOLIDATED=Y","FA_ADJUSTED=GAAP","Sort=A","Dates=H","DateFormat=P","Fill=—","Direction=H","UseDPDF=Y")</f>
        <v>#NAME?</v>
      </c>
      <c r="V230" s="2" t="e">
        <f ca="1">_xll.BDH($C$228,"OPER_INC_GROWTH","FQ2 2014","FQ2 2014","Currency=INR","Period=FQ","BEST_FPERIOD_OVERRIDE=FQ","FILING_STATUS=OR","EQY_CONSOLIDATED=Y","FA_ADJUSTED=GAAP","Sort=A","Dates=H","DateFormat=P","Fill=—","Direction=H","UseDPDF=Y")</f>
        <v>#NAME?</v>
      </c>
      <c r="W230" s="2" t="e">
        <f ca="1">_xll.BDH($C$228,"EARN_FOR_COM_GROWTH","FQ2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30" s="2" t="e">
        <f ca="1">_xll.BDH($C$228,"DILUTED_EPS_AFT_XO_ITEMS_GROWTH","FQ2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30" s="2" t="e">
        <f ca="1">_xll.BDH($C$228,"DIVIDEND_PER_SHARE_1_YEAR_GROWTH","FQ2 2014","FQ2 2014","Currency=INR","Period=FQ","BEST_FPERIOD_OVERRIDE=FQ","FILING_STATUS=OR","EQY_CONSOLIDATED=Y","Sort=A","Dates=H","DateFormat=P","Fill=—","Direction=H","UseDPDF=Y")</f>
        <v>#NAME?</v>
      </c>
      <c r="Z230" s="2" t="e">
        <f ca="1">_xll.BDH($C$228,"ACCOUNTS_RECEIVABLE_GROWTH","FQ2 2014","FQ2 2014","Currency=INR","Period=FQ","BEST_FPERIOD_OVERRIDE=FQ","FILING_STATUS=OR","EQY_CONSOLIDATED=Y","Sort=A","Dates=H","DateFormat=P","Fill=—","Direction=H","UseDPDF=Y")</f>
        <v>#NAME?</v>
      </c>
      <c r="AA230" s="2" t="e">
        <f ca="1">_xll.BDH($C$228,"INVENTORY_GROWTH","FQ2 2014","FQ2 2014","Currency=INR","Period=FQ","BEST_FPERIOD_OVERRIDE=FQ","FILING_STATUS=OR","EQY_CONSOLIDATED=Y","Sort=A","Dates=H","DateFormat=P","Fill=—","Direction=H","UseDPDF=Y")</f>
        <v>#NAME?</v>
      </c>
      <c r="AB230" s="2" t="e">
        <f ca="1">_xll.BDH($C$228,"NET_FIXED_ASSETS_1_YEAR_GROWTH","FQ2 2014","FQ2 2014","Currency=INR","Period=FQ","BEST_FPERIOD_OVERRIDE=FQ","FILING_STATUS=OR","EQY_CONSOLIDATED=Y","Sort=A","Dates=H","DateFormat=P","Fill=—","Direction=H","UseDPDF=Y")</f>
        <v>#NAME?</v>
      </c>
      <c r="AC230" s="2" t="e">
        <f ca="1">_xll.BDH($C$228,"ASSET_GROWTH","FQ2 2014","FQ2 2014","Currency=INR","Period=FQ","BEST_FPERIOD_OVERRIDE=FQ","FILING_STATUS=OR","EQY_CONSOLIDATED=Y","Sort=A","Dates=H","DateFormat=P","Fill=—","Direction=H","UseDPDF=Y")</f>
        <v>#NAME?</v>
      </c>
      <c r="AD230" s="2" t="e">
        <f ca="1">_xll.BDH($C$228,"MODIFIED_WORK_CAP_GROWTH","FQ2 2014","FQ2 2014","Currency=INR","Period=FQ","BEST_FPERIOD_OVERRIDE=FQ","FILING_STATUS=OR","EQY_CONSOLIDATED=Y","Sort=A","Dates=H","DateFormat=P","Fill=—","Direction=H","UseDPDF=Y")</f>
        <v>#NAME?</v>
      </c>
      <c r="AE230" s="2" t="e">
        <f ca="1">_xll.BDH($C$228,"WORK_CAP_GROWTH","FQ2 2014","FQ2 2014","Currency=INR","Period=FQ","BEST_FPERIOD_OVERRIDE=FQ","FILING_STATUS=OR","EQY_CONSOLIDATED=Y","Sort=A","Dates=H","DateFormat=P","Fill=—","Direction=H","UseDPDF=Y")</f>
        <v>#NAME?</v>
      </c>
      <c r="AF230" s="2" t="e">
        <f ca="1">_xll.BDH($C$228,"ACCOUNTS_PAYABLE_GROWTH_1YR","FQ2 2014","FQ2 2014","Currency=INR","Period=FQ","BEST_FPERIOD_OVERRIDE=FQ","FILING_STATUS=OR","EQY_CONSOLIDATED=Y","Sort=A","Dates=H","DateFormat=P","Fill=—","Direction=H","UseDPDF=Y")</f>
        <v>#NAME?</v>
      </c>
      <c r="AG230" s="2" t="e">
        <f ca="1">_xll.BDH($C$228,"SHORT_TERM_DEBT_1_YEAR_GROWTH","FQ2 2014","FQ2 2014","Currency=INR","Period=FQ","BEST_FPERIOD_OVERRIDE=FQ","FILING_STATUS=OR","EQY_CONSOLIDATED=Y","Sort=A","Dates=H","DateFormat=P","Fill=—","Direction=H","UseDPDF=Y")</f>
        <v>#NAME?</v>
      </c>
      <c r="AH230" s="2" t="e">
        <f ca="1">_xll.BDH($C$228,"TOTAL_DEBT_1_YEAR_GROWTH","FQ2 2014","FQ2 2014","Currency=INR","Period=FQ","BEST_FPERIOD_OVERRIDE=FQ","FILING_STATUS=OR","EQY_CONSOLIDATED=Y","Sort=A","Dates=H","DateFormat=P","Fill=—","Direction=H","UseDPDF=Y")</f>
        <v>#NAME?</v>
      </c>
      <c r="AI230" s="2" t="e">
        <f ca="1">_xll.BDH($C$228,"TOTAL_EQUITY_1_YEAR_GROWTH","FQ2 2014","FQ2 2014","Currency=INR","Period=FQ","BEST_FPERIOD_OVERRIDE=FQ","FILING_STATUS=OR","EQY_CONSOLIDATED=Y","Sort=A","Dates=H","DateFormat=P","Fill=—","Direction=H","UseDPDF=Y")</f>
        <v>#NAME?</v>
      </c>
      <c r="AJ230" s="2" t="e">
        <f ca="1">_xll.BDH($C$228,"GROWTH_IN_CAP","FQ2 2014","FQ2 2014","Currency=INR","Period=FQ","BEST_FPERIOD_OVERRIDE=FQ","FILING_STATUS=OR","EQY_CONSOLIDATED=Y","Sort=A","Dates=H","DateFormat=P","Fill=—","Direction=H","UseDPDF=Y")</f>
        <v>#NAME?</v>
      </c>
      <c r="AK230" s="2" t="e">
        <f ca="1">_xll.BDH($C$228,"BVPS_GROWTH","FQ2 2014","FQ2 2014","Currency=INR","Period=FQ","BEST_FPERIOD_OVERRIDE=FQ","FILING_STATUS=OR","EQY_CONSOLIDATED=Y","Sort=A","Dates=H","DateFormat=P","Fill=—","Direction=H","UseDPDF=Y")</f>
        <v>#NAME?</v>
      </c>
      <c r="AL230" s="2" t="e">
        <f ca="1">_xll.BDH($C$228,"CASH_FLOW_GROWTH","FQ2 2014","FQ2 2014","Currency=INR","Period=FQ","BEST_FPERIOD_OVERRIDE=FQ","FILING_STATUS=OR","EQY_CONSOLIDATED=Y","Sort=A","Dates=H","DateFormat=P","Fill=—","Direction=H","UseDPDF=Y")</f>
        <v>#NAME?</v>
      </c>
      <c r="AM230" s="2" t="e">
        <f ca="1">_xll.BDH($C$228,"GEO_GROW_NET_SALES","FQ2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30" s="2" t="e">
        <f ca="1">_xll.BDH($C$228,"GEO_GROW_EBITDA","FQ2 2014","FQ2 2014","Currency=INR","Period=FQ","BEST_FPERIOD_OVERRIDE=FQ","FILING_STATUS=OR","EQY_CONSOLIDATED=Y","FA_ADJUSTED=GAAP","Sort=A","Dates=H","DateFormat=P","Fill=—","Direction=H","UseDPDF=Y")</f>
        <v>#NAME?</v>
      </c>
      <c r="AO230" s="2" t="e">
        <f ca="1">_xll.BDH($C$228,"GEO_GROW_OPER_INC","FQ2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30" s="2" t="e">
        <f ca="1">_xll.BDH($C$228,"NET_INCOME_TO_COMMON_5_YR_GROWTH","FQ2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30" s="2" t="e">
        <f ca="1">_xll.BDH($C$228,"5Y_GEO_GROWTH_DILUTED_EPS","FQ2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30" s="2" t="e">
        <f ca="1">_xll.BDH($C$228,"GEO_GROW_DVD_PER_SH","FQ2 2014","FQ2 2014","Currency=INR","Period=FQ","BEST_FPERIOD_OVERRIDE=FQ","FILING_STATUS=OR","EQY_CONSOLIDATED=Y","Sort=A","Dates=H","DateFormat=P","Fill=—","Direction=H","UseDPDF=Y")</f>
        <v>#NAME?</v>
      </c>
      <c r="AS230" s="2" t="e">
        <f ca="1">_xll.BDH($C$228,"ACCOUNTS_RECEIVABLE_5_YR_GROWTH","FQ2 2014","FQ2 2014","Currency=INR","Period=FQ","BEST_FPERIOD_OVERRIDE=FQ","FILING_STATUS=OR","EQY_CONSOLIDATED=Y","Sort=A","Dates=H","DateFormat=P","Fill=—","Direction=H","UseDPDF=Y")</f>
        <v>#NAME?</v>
      </c>
      <c r="AT230" s="2" t="e">
        <f ca="1">_xll.BDH($C$228,"INVENTORY_5_YEAR_GROWTH","FQ2 2014","FQ2 2014","Currency=INR","Period=FQ","BEST_FPERIOD_OVERRIDE=FQ","FILING_STATUS=OR","EQY_CONSOLIDATED=Y","Sort=A","Dates=H","DateFormat=P","Fill=—","Direction=H","UseDPDF=Y")</f>
        <v>#NAME?</v>
      </c>
      <c r="AU230" s="2" t="e">
        <f ca="1">_xll.BDH($C$228,"NET_FIXED_ASSETS_5_YEAR_GROWTH","FQ2 2014","FQ2 2014","Currency=INR","Period=FQ","BEST_FPERIOD_OVERRIDE=FQ","FILING_STATUS=OR","EQY_CONSOLIDATED=Y","Sort=A","Dates=H","DateFormat=P","Fill=—","Direction=H","UseDPDF=Y")</f>
        <v>#NAME?</v>
      </c>
      <c r="AV230" s="2" t="e">
        <f ca="1">_xll.BDH($C$228,"GEO_GROW_TOT_ASSET","FQ2 2014","FQ2 2014","Currency=INR","Period=FQ","BEST_FPERIOD_OVERRIDE=FQ","FILING_STATUS=OR","EQY_CONSOLIDATED=Y","Sort=A","Dates=H","DateFormat=P","Fill=—","Direction=H","UseDPDF=Y")</f>
        <v>#NAME?</v>
      </c>
      <c r="AW230" s="2" t="e">
        <f ca="1">_xll.BDH($C$228,"MODIFIED_WORKING_CPTL_5YR_GRWTH","FQ2 2014","FQ2 2014","Currency=INR","Period=FQ","BEST_FPERIOD_OVERRIDE=FQ","FILING_STATUS=OR","EQY_CONSOLIDATED=Y","Sort=A","Dates=H","DateFormat=P","Fill=—","Direction=H","UseDPDF=Y")</f>
        <v>#NAME?</v>
      </c>
      <c r="AX230" s="2" t="e">
        <f ca="1">_xll.BDH($C$228,"WORKING_CAPITAL_5_YEAR_GROWTH","FQ2 2014","FQ2 2014","Currency=INR","Period=FQ","BEST_FPERIOD_OVERRIDE=FQ","FILING_STATUS=OR","EQY_CONSOLIDATED=Y","Sort=A","Dates=H","DateFormat=P","Fill=—","Direction=H","UseDPDF=Y")</f>
        <v>#NAME?</v>
      </c>
      <c r="AY230" s="2" t="e">
        <f ca="1">_xll.BDH($C$228,"ACCOUNTS_PAYABLE_5_YEAR_GROWTH","FQ2 2014","FQ2 2014","Currency=INR","Period=FQ","BEST_FPERIOD_OVERRIDE=FQ","FILING_STATUS=OR","EQY_CONSOLIDATED=Y","Sort=A","Dates=H","DateFormat=P","Fill=—","Direction=H","UseDPDF=Y")</f>
        <v>#NAME?</v>
      </c>
      <c r="AZ230" s="2" t="e">
        <f ca="1">_xll.BDH($C$228,"SHORT_TERM_DEBT_5_YEAR_GROWTH","FQ2 2014","FQ2 2014","Currency=INR","Period=FQ","BEST_FPERIOD_OVERRIDE=FQ","FILING_STATUS=OR","EQY_CONSOLIDATED=Y","Sort=A","Dates=H","DateFormat=P","Fill=—","Direction=H","UseDPDF=Y")</f>
        <v>#NAME?</v>
      </c>
      <c r="BA230" s="2" t="e">
        <f ca="1">_xll.BDH($C$228,"TOTAL_DEBT_5_YEAR_GROWTH","FQ2 2014","FQ2 2014","Currency=INR","Period=FQ","BEST_FPERIOD_OVERRIDE=FQ","FILING_STATUS=OR","EQY_CONSOLIDATED=Y","Sort=A","Dates=H","DateFormat=P","Fill=—","Direction=H","UseDPDF=Y")</f>
        <v>#NAME?</v>
      </c>
      <c r="BB230" s="2" t="e">
        <f ca="1">_xll.BDH($C$228,"GEO_GROW_TOT_SHRHLDR_EQY","FQ2 2014","FQ2 2014","Currency=INR","Period=FQ","BEST_FPERIOD_OVERRIDE=FQ","FILING_STATUS=OR","EQY_CONSOLIDATED=Y","Sort=A","Dates=H","DateFormat=P","Fill=—","Direction=H","UseDPDF=Y")</f>
        <v>#NAME?</v>
      </c>
      <c r="BC230" s="2" t="e">
        <f ca="1">_xll.BDH($C$228,"TOTAL_CAPITAL_5_YEAR_GROWTH","FQ2 2014","FQ2 2014","Currency=INR","Period=FQ","BEST_FPERIOD_OVERRIDE=FQ","FILING_STATUS=OR","EQY_CONSOLIDATED=Y","Sort=A","Dates=H","DateFormat=P","Fill=—","Direction=H","UseDPDF=Y")</f>
        <v>#NAME?</v>
      </c>
      <c r="BD230" s="2" t="e">
        <f ca="1">_xll.BDH($C$228,"GEO_GROW_BOOK_VAL","FQ2 2014","FQ2 2014","Currency=INR","Period=FQ","BEST_FPERIOD_OVERRIDE=FQ","FILING_STATUS=OR","EQY_CONSOLIDATED=Y","Sort=A","Dates=H","DateFormat=P","Fill=—","Direction=H","UseDPDF=Y")</f>
        <v>#NAME?</v>
      </c>
      <c r="BE230" s="2" t="e">
        <f ca="1">_xll.BDH($C$228,"GEO_GROW_CASH_OPER_ACT","FQ2 2014","FQ2 2014","Currency=INR","Period=FQ","BEST_FPERIOD_OVERRIDE=FQ","FILING_STATUS=OR","EQY_CONSOLIDATED=Y","Sort=A","Dates=H","DateFormat=P","Fill=—","Direction=H","UseDPDF=Y")</f>
        <v>#NAME?</v>
      </c>
      <c r="BF230" s="2" t="e">
        <f ca="1">_xll.BDH($C$228,"REVENUE_SEQUENTIAL_GROWTH","FQ2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30" s="2" t="e">
        <f ca="1">_xll.BDH($C$228,"EBITDA_SEQUENTIAL_GROWTH","FQ2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30" s="2" t="e">
        <f ca="1">_xll.BDH($C$228,"OPERATING_INCOME_SEQ_GROWTH","FQ2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30" s="2" t="e">
        <f ca="1">_xll.BDH($C$228,"NET_INCOME_TO_COMMON_SEQ_GROWTH","FQ2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30" s="2" t="e">
        <f ca="1">_xll.BDH($C$228,"EPS_DILUTED_SEQUENTIAL_GROWTH","FQ2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30" s="2" t="e">
        <f ca="1">_xll.BDH($C$228,"DPS_SEQUENTIAL_GROWTH","FQ2 2014","FQ2 2014","Currency=INR","Period=FQ","BEST_FPERIOD_OVERRIDE=FQ","FILING_STATUS=OR","EQY_CONSOLIDATED=Y","Sort=A","Dates=H","DateFormat=P","Fill=—","Direction=H","UseDPDF=Y")</f>
        <v>#NAME?</v>
      </c>
      <c r="BL230" s="2" t="e">
        <f ca="1">_xll.BDH($C$228,"ACCOUNTS_RECEIVABLE_SEQ_GROWTH","FQ2 2014","FQ2 2014","Currency=INR","Period=FQ","BEST_FPERIOD_OVERRIDE=FQ","FILING_STATUS=OR","EQY_CONSOLIDATED=Y","Sort=A","Dates=H","DateFormat=P","Fill=—","Direction=H","UseDPDF=Y")</f>
        <v>#NAME?</v>
      </c>
      <c r="BM230" s="2" t="e">
        <f ca="1">_xll.BDH($C$228,"INVENTORY_SEQUENTIAL_GROWTH","FQ2 2014","FQ2 2014","Currency=INR","Period=FQ","BEST_FPERIOD_OVERRIDE=FQ","FILING_STATUS=OR","EQY_CONSOLIDATED=Y","Sort=A","Dates=H","DateFormat=P","Fill=—","Direction=H","UseDPDF=Y")</f>
        <v>#NAME?</v>
      </c>
      <c r="BN230" s="2" t="e">
        <f ca="1">_xll.BDH($C$228,"FIXED_ASSETS_SEQUENTIAL_GROWTH","FQ2 2014","FQ2 2014","Currency=INR","Period=FQ","BEST_FPERIOD_OVERRIDE=FQ","FILING_STATUS=OR","EQY_CONSOLIDATED=Y","Sort=A","Dates=H","DateFormat=P","Fill=—","Direction=H","UseDPDF=Y")</f>
        <v>#NAME?</v>
      </c>
      <c r="BO230" s="2" t="e">
        <f ca="1">_xll.BDH($C$228,"TOTAL_ASSETS_SEQUENTIAL_GROWTH","FQ2 2014","FQ2 2014","Currency=INR","Period=FQ","BEST_FPERIOD_OVERRIDE=FQ","FILING_STATUS=OR","EQY_CONSOLIDATED=Y","Sort=A","Dates=H","DateFormat=P","Fill=—","Direction=H","UseDPDF=Y")</f>
        <v>#NAME?</v>
      </c>
      <c r="BP230" s="2" t="e">
        <f ca="1">_xll.BDH($C$228,"MODIFIED_WORKING_CPTL_SEQ_GRWTH","FQ2 2014","FQ2 2014","Currency=INR","Period=FQ","BEST_FPERIOD_OVERRIDE=FQ","FILING_STATUS=OR","EQY_CONSOLIDATED=Y","Sort=A","Dates=H","DateFormat=P","Fill=—","Direction=H","UseDPDF=Y")</f>
        <v>#NAME?</v>
      </c>
      <c r="BQ230" s="2" t="e">
        <f ca="1">_xll.BDH($C$228,"WORKING_CAPITAL_SEQ_GROWTH","FQ2 2014","FQ2 2014","Currency=INR","Period=FQ","BEST_FPERIOD_OVERRIDE=FQ","FILING_STATUS=OR","EQY_CONSOLIDATED=Y","Sort=A","Dates=H","DateFormat=P","Fill=—","Direction=H","UseDPDF=Y")</f>
        <v>#NAME?</v>
      </c>
      <c r="BR230" s="2" t="e">
        <f ca="1">_xll.BDH($C$228,"ACCOUNTS_PAYABLE_SEQ_GROWTH","FQ2 2014","FQ2 2014","Currency=INR","Period=FQ","BEST_FPERIOD_OVERRIDE=FQ","FILING_STATUS=OR","EQY_CONSOLIDATED=Y","Sort=A","Dates=H","DateFormat=P","Fill=—","Direction=H","UseDPDF=Y")</f>
        <v>#NAME?</v>
      </c>
      <c r="BS230" s="2" t="e">
        <f ca="1">_xll.BDH($C$228,"ST_DEBT_SEQUENTIAL_GROWTH","FQ2 2014","FQ2 2014","Currency=INR","Period=FQ","BEST_FPERIOD_OVERRIDE=FQ","FILING_STATUS=OR","EQY_CONSOLIDATED=Y","Sort=A","Dates=H","DateFormat=P","Fill=—","Direction=H","UseDPDF=Y")</f>
        <v>#NAME?</v>
      </c>
      <c r="BT230" s="2" t="e">
        <f ca="1">_xll.BDH($C$228,"TOTAL_DEBT_SEQUENTIAL_GROWTH","FQ2 2014","FQ2 2014","Currency=INR","Period=FQ","BEST_FPERIOD_OVERRIDE=FQ","FILING_STATUS=OR","EQY_CONSOLIDATED=Y","Sort=A","Dates=H","DateFormat=P","Fill=—","Direction=H","UseDPDF=Y")</f>
        <v>#NAME?</v>
      </c>
      <c r="BU230" s="2" t="e">
        <f ca="1">_xll.BDH($C$228,"TOTAL_EQUITY_SEQUENTIAL_GROWTH","FQ2 2014","FQ2 2014","Currency=INR","Period=FQ","BEST_FPERIOD_OVERRIDE=FQ","FILING_STATUS=OR","EQY_CONSOLIDATED=Y","Sort=A","Dates=H","DateFormat=P","Fill=—","Direction=H","UseDPDF=Y")</f>
        <v>#NAME?</v>
      </c>
      <c r="BV230" s="2" t="e">
        <f ca="1">_xll.BDH($C$228,"TOTAL_CAPITAL_SEQUENTIAL_GROWTH","FQ2 2014","FQ2 2014","Currency=INR","Period=FQ","BEST_FPERIOD_OVERRIDE=FQ","FILING_STATUS=OR","EQY_CONSOLIDATED=Y","Sort=A","Dates=H","DateFormat=P","Fill=—","Direction=H","UseDPDF=Y")</f>
        <v>#NAME?</v>
      </c>
      <c r="BW230" s="2" t="e">
        <f ca="1">_xll.BDH($C$228,"BPS_SEQUENTIAL_GROWTH","FQ2 2014","FQ2 2014","Currency=INR","Period=FQ","BEST_FPERIOD_OVERRIDE=FQ","FILING_STATUS=OR","EQY_CONSOLIDATED=Y","Sort=A","Dates=H","DateFormat=P","Fill=—","Direction=H","UseDPDF=Y")</f>
        <v>#NAME?</v>
      </c>
      <c r="BX230" s="2" t="e">
        <f ca="1">_xll.BDH($C$228,"CFO_SEQUENTIAL_GROWTH","FQ2 2014","FQ2 2014","Currency=INR","Period=FQ","BEST_FPERIOD_OVERRIDE=FQ","FILING_STATUS=OR","EQY_CONSOLIDATED=Y","Sort=A","Dates=H","DateFormat=P","Fill=—","Direction=H","UseDPDF=Y")</f>
        <v>#NAME?</v>
      </c>
      <c r="BY230" s="3" t="e">
        <f ca="1">_xll.BDH($C$228,"SHORT_AND_LONG_TERM_DEBT","FQ2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30" s="3" t="e">
        <f ca="1">_xll.BDH($C$228,"BS_ST_BORROW","FQ2 2014","FQ2 2014","Currency=INR","Period=FQ","BEST_FPERIOD_OVERRIDE=FQ","FILING_STATUS=OR","EQY_CONSOLIDATED=Y","SCALING_FORMAT=MLN","Sort=A","Dates=H","DateFormat=P","Fill=—","Direction=H","UseDPDF=Y")</f>
        <v>#NAME?</v>
      </c>
      <c r="CA230" s="3" t="e">
        <f ca="1">_xll.BDH($C$228,"BS_LT_BORROW","FQ2 2014","FQ2 2014","Currency=INR","Period=FQ","BEST_FPERIOD_OVERRIDE=FQ","FILING_STATUS=OR","EQY_CONSOLIDATED=Y","SCALING_FORMAT=MLN","Sort=A","Dates=H","DateFormat=P","Fill=—","Direction=H","UseDPDF=Y")</f>
        <v>#NAME?</v>
      </c>
      <c r="CB230" s="2" t="e">
        <f ca="1">_xll.BDH($C$228,"TOT_DEBT_TO_EBITDA","FQ2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30" s="2" t="e">
        <f ca="1">_xll.BDH($C$228,"NET_DEBT_TO_EBITDA","FQ2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30" s="2" t="e">
        <f ca="1">_xll.BDH($C$228,"TOTAL_DEBT_TO_EBIT","FQ2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30" s="2" t="e">
        <f ca="1">_xll.BDH($C$228,"NET_DEBT_TO_EBIT","FQ2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30" s="2" t="e">
        <f ca="1">_xll.BDH($C$228,"EBITDA_TO_INTEREST_EXPN","FQ2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30" s="2" t="e">
        <f ca="1">_xll.BDH($C$228,"COM_EQY_TO_TOT_ASSET","FQ2 2014","FQ2 2014","Currency=INR","Period=FQ","BEST_FPERIOD_OVERRIDE=FQ","FILING_STATUS=OR","EQY_CONSOLIDATED=Y","Sort=A","Dates=H","DateFormat=P","Fill=—","Direction=H","UseDPDF=Y")</f>
        <v>#NAME?</v>
      </c>
      <c r="CH230" s="2" t="e">
        <f ca="1">_xll.BDH($C$228,"LT_DEBT_TO_TOT_EQY","FQ2 2014","FQ2 2014","Currency=INR","Period=FQ","BEST_FPERIOD_OVERRIDE=FQ","FILING_STATUS=OR","EQY_CONSOLIDATED=Y","Sort=A","Dates=H","DateFormat=P","Fill=—","Direction=H","UseDPDF=Y")</f>
        <v>#NAME?</v>
      </c>
      <c r="CI230" s="2" t="e">
        <f ca="1">_xll.BDH($C$228,"LT_DEBT_TO_TOT_CAP","FQ2 2014","FQ2 2014","Currency=INR","Period=FQ","BEST_FPERIOD_OVERRIDE=FQ","FILING_STATUS=OR","EQY_CONSOLIDATED=Y","Sort=A","Dates=H","DateFormat=P","Fill=—","Direction=H","UseDPDF=Y")</f>
        <v>#NAME?</v>
      </c>
      <c r="CJ230" s="2" t="e">
        <f ca="1">_xll.BDH($C$228,"LT_DEBT_TO_TOT_ASSET","FQ2 2014","FQ2 2014","Currency=INR","Period=FQ","BEST_FPERIOD_OVERRIDE=FQ","FILING_STATUS=OR","EQY_CONSOLIDATED=Y","Sort=A","Dates=H","DateFormat=P","Fill=—","Direction=H","UseDPDF=Y")</f>
        <v>#NAME?</v>
      </c>
      <c r="CK230" s="2" t="e">
        <f ca="1">_xll.BDH($C$228,"TOT_DEBT_TO_TOT_EQY","FQ2 2014","FQ2 2014","Currency=INR","Period=FQ","BEST_FPERIOD_OVERRIDE=FQ","FILING_STATUS=OR","EQY_CONSOLIDATED=Y","Sort=A","Dates=H","DateFormat=P","Fill=—","Direction=H","UseDPDF=Y")</f>
        <v>#NAME?</v>
      </c>
      <c r="CL230" s="2" t="e">
        <f ca="1">_xll.BDH($C$228,"TOT_DEBT_TO_TOT_CAP","FQ2 2014","FQ2 2014","Currency=INR","Period=FQ","BEST_FPERIOD_OVERRIDE=FQ","FILING_STATUS=OR","EQY_CONSOLIDATED=Y","Sort=A","Dates=H","DateFormat=P","Fill=—","Direction=H","UseDPDF=Y")</f>
        <v>#NAME?</v>
      </c>
      <c r="CM230" s="2" t="e">
        <f ca="1">_xll.BDH($C$228,"TOT_DEBT_TO_TOT_ASSET","FQ2 2014","FQ2 2014","Currency=INR","Period=FQ","BEST_FPERIOD_OVERRIDE=FQ","FILING_STATUS=OR","EQY_CONSOLIDATED=Y","Sort=A","Dates=H","DateFormat=P","Fill=—","Direction=H","UseDPDF=Y")</f>
        <v>#NAME?</v>
      </c>
      <c r="CN230" s="2" t="e">
        <f ca="1">_xll.BDH($C$228,"NET_DEBT_TO_SHRHLDR_EQTY","FQ2 2014","FQ2 2014","Currency=INR","Period=FQ","BEST_FPERIOD_OVERRIDE=FQ","FILING_STATUS=OR","EQY_CONSOLIDATED=Y","Sort=A","Dates=H","DateFormat=P","Fill=—","Direction=H","UseDPDF=Y")</f>
        <v>#NAME?</v>
      </c>
      <c r="CO230" s="2" t="e">
        <f ca="1">_xll.BDH($C$228,"NET_DEBT_%_CAPITAL","FQ2 2014","FQ2 2014","Currency=INR","Period=FQ","BEST_FPERIOD_OVERRIDE=FQ","FILING_STATUS=OR","EQY_CONSOLIDATED=Y","Sort=A","Dates=H","DateFormat=P","Fill=—","Direction=H","UseDPDF=Y")</f>
        <v>#NAME?</v>
      </c>
      <c r="CP230" s="3" t="e">
        <f ca="1">_xll.BDH($C$228,"EBITDA","FQ2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30" s="3" t="e">
        <f ca="1">_xll.BDH($C$228,"EBITDA_AFTER_CAPEX","FQ2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30" s="3" t="e">
        <f ca="1">_xll.BDH($C$228,"IS_OPER_INC","FQ2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30" s="2" t="e">
        <f ca="1">_xll.BDH($C$228,"CASH_RATIO","FQ2 2014","FQ2 2014","Currency=INR","Period=FQ","BEST_FPERIOD_OVERRIDE=FQ","FILING_STATUS=OR","EQY_CONSOLIDATED=Y","Sort=A","Dates=H","DateFormat=P","Fill=—","Direction=H","UseDPDF=Y")</f>
        <v>#NAME?</v>
      </c>
      <c r="CT230" s="2" t="e">
        <f ca="1">_xll.BDH($C$228,"CUR_RATIO","FQ2 2014","FQ2 2014","Currency=INR","Period=FQ","BEST_FPERIOD_OVERRIDE=FQ","FILING_STATUS=OR","EQY_CONSOLIDATED=Y","Sort=A","Dates=H","DateFormat=P","Fill=—","Direction=H","UseDPDF=Y")</f>
        <v>#NAME?</v>
      </c>
      <c r="CU230" s="2" t="e">
        <f ca="1">_xll.BDH($C$228,"QUICK_RATIO","FQ2 2014","FQ2 2014","Currency=INR","Period=FQ","BEST_FPERIOD_OVERRIDE=FQ","FILING_STATUS=OR","EQY_CONSOLIDATED=Y","Sort=A","Dates=H","DateFormat=P","Fill=—","Direction=H","UseDPDF=Y")</f>
        <v>#NAME?</v>
      </c>
      <c r="CV230" s="2" t="e">
        <f ca="1">_xll.BDH($C$228,"ALTMAN_Z_SCORE","FQ2 2014","FQ2 2014","Currency=INR","Period=FQ","BEST_FPERIOD_OVERRIDE=FQ","FILING_STATUS=OR","EQY_CONSOLIDATED=Y","Sort=A","Dates=H","DateFormat=P","Fill=—","Direction=H","UseDPDF=Y")</f>
        <v>#NAME?</v>
      </c>
      <c r="CW230" s="4" t="e">
        <f ca="1">_xll.BDH($C$228,"ACCT_RCV_TURN","FQ2 2014","FQ2 2014","Currency=INR","Period=FQ","BEST_FPERIOD_OVERRIDE=FQ","FILING_STATUS=OR","EQY_CONSOLIDATED=Y","FA_ADJUSTED=GAAP","Sort=A","Dates=H","DateFormat=P","Fill=—","Direction=H","UseDPDF=Y")</f>
        <v>#NAME?</v>
      </c>
      <c r="CX230" s="2" t="e">
        <f ca="1">_xll.BDH($C$228,"ACCT_RCV_DAYS","FQ2 2014","FQ2 2014","Currency=INR","Period=FQ","BEST_FPERIOD_OVERRIDE=FQ","FILING_STATUS=OR","EQY_CONSOLIDATED=Y","FA_ADJUSTED=GAAP","Sort=A","Dates=H","DateFormat=P","Fill=—","Direction=H","UseDPDF=Y")</f>
        <v>#NAME?</v>
      </c>
      <c r="CY230" s="4" t="e">
        <f ca="1">_xll.BDH($C$228,"INVENT_TURN","FQ2 2014","FQ2 2014","Currency=INR","Period=FQ","BEST_FPERIOD_OVERRIDE=FQ","FILING_STATUS=OR","EQY_CONSOLIDATED=Y","FA_ADJUSTED=GAAP","Sort=A","Dates=H","DateFormat=P","Fill=—","Direction=H","UseDPDF=Y")</f>
        <v>#NAME?</v>
      </c>
      <c r="CZ230" s="2" t="e">
        <f ca="1">_xll.BDH($C$228,"INVENT_DAYS","FQ2 2014","FQ2 2014","Currency=INR","Period=FQ","BEST_FPERIOD_OVERRIDE=FQ","FILING_STATUS=OR","EQY_CONSOLIDATED=Y","FA_ADJUSTED=GAAP","Sort=A","Dates=H","DateFormat=P","Fill=—","Direction=H","UseDPDF=Y")</f>
        <v>#NAME?</v>
      </c>
      <c r="DA230" s="4" t="e">
        <f ca="1">_xll.BDH($C$228,"ACCOUNTS_PAYABLE_TURNOVER","FQ2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30" s="2" t="e">
        <f ca="1">_xll.BDH($C$228,"ACCOUNTS_PAYABLE_TURNOVER_DAYS","FQ2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30" s="4" t="e">
        <f ca="1">_xll.BDH($C$228,"CASH_CONVERSION_CYCLE","FQ2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30" s="4" t="e">
        <f ca="1">_xll.BDH($C$228,"INV_TO_CASH_DAYS","FQ2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30" s="5" t="e">
        <f ca="1">_xll.BDH($C$228,"BS_INVENTORIES","FQ2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30" s="3" t="e">
        <f ca="1">_xll.BDH($C$228,"INVTRY_RAW_MATERIALS","FQ2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30" s="3" t="e">
        <f ca="1">_xll.BDH($C$228,"INVTRY_IN_PROGRESS","FQ2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30" s="3" t="e">
        <f ca="1">_xll.BDH($C$228,"INVTRY_FINISHED_GOODS","FQ2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30" s="3" t="e">
        <f ca="1">_xll.BDH($C$228,"BS_OTHER_INV","FQ2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31" spans="1:113" x14ac:dyDescent="0.3">
      <c r="A231" s="6"/>
      <c r="B231" s="6"/>
      <c r="C231" s="6"/>
      <c r="D231" s="6"/>
      <c r="E231" t="s">
        <v>80</v>
      </c>
      <c r="F231" t="e">
        <f ca="1">_xll.BDH($C$228,"RETURN_COM_EQY","FQ3 2014","FQ3 2014","Currency=INR","Period=FQ","BEST_FPERIOD_OVERRIDE=FQ","FILING_STATUS=OR","EQY_CONSOLIDATED=Y","FA_ADJUSTED=GAAP","Sort=A","Dates=H","DateFormat=P","Fill=—","Direction=H","UseDPDF=Y")</f>
        <v>#NAME?</v>
      </c>
      <c r="G231" t="e">
        <f ca="1">_xll.BDH($C$228,"RETURN_ON_ASSET","FQ3 2014","FQ3 2014","Currency=INR","Period=FQ","BEST_FPERIOD_OVERRIDE=FQ","FILING_STATUS=OR","EQY_CONSOLIDATED=Y","FA_ADJUSTED=GAAP","Sort=A","Dates=H","DateFormat=P","Fill=—","Direction=H","UseDPDF=Y")</f>
        <v>#NAME?</v>
      </c>
      <c r="H231" t="e">
        <f ca="1">_xll.BDH($C$228,"RETURN_ON_CAP","FQ3 2014","FQ3 2014","Currency=INR","Period=FQ","BEST_FPERIOD_OVERRIDE=FQ","FILING_STATUS=OR","EQY_CONSOLIDATED=Y","FA_ADJUSTED=GAAP","Sort=A","Dates=H","DateFormat=P","Fill=—","Direction=H","UseDPDF=Y")</f>
        <v>#NAME?</v>
      </c>
      <c r="I231" t="e">
        <f ca="1">_xll.BDH($C$228,"RETURN_ON_INV_CAPITAL","FQ3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31" t="e">
        <f ca="1">_xll.BDH($C$228,"EBITDA_TO_REVENUE","FQ3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31" t="e">
        <f ca="1">_xll.BDH($C$228,"OPER_MARGIN","FQ3 2014","FQ3 2014","Currency=INR","Period=FQ","BEST_FPERIOD_OVERRIDE=FQ","FILING_STATUS=OR","EQY_CONSOLIDATED=Y","FA_ADJUSTED=GAAP","Sort=A","Dates=H","DateFormat=P","Fill=—","Direction=H","UseDPDF=Y")</f>
        <v>#NAME?</v>
      </c>
      <c r="L231" t="e">
        <f ca="1">_xll.BDH($C$228,"INCREMENTAL_OPERATING_MARGIN","FQ3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31" t="e">
        <f ca="1">_xll.BDH($C$228,"PRETAX_INC_TO_NET_SALES","FQ3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31" t="e">
        <f ca="1">_xll.BDH($C$228,"INC_BEF_XO_ITEMS_TO_NET_SALES","FQ3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31" t="e">
        <f ca="1">_xll.BDH($C$228,"PROF_MARGIN","FQ3 2014","FQ3 2014","Currency=INR","Period=FQ","BEST_FPERIOD_OVERRIDE=FQ","FILING_STATUS=OR","EQY_CONSOLIDATED=Y","FA_ADJUSTED=GAAP","Sort=A","Dates=H","DateFormat=P","Fill=—","Direction=H","UseDPDF=Y")</f>
        <v>#NAME?</v>
      </c>
      <c r="P231" t="e">
        <f ca="1">_xll.BDH($C$228,"NET_INCOME_TO_COMMON_MARGIN","FQ3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31" t="e">
        <f ca="1">_xll.BDH($C$228,"EFF_TAX_RATE","FQ3 2014","FQ3 2014","Currency=INR","Period=FQ","BEST_FPERIOD_OVERRIDE=FQ","FILING_STATUS=OR","EQY_CONSOLIDATED=Y","FA_ADJUSTED=GAAP","Sort=A","Dates=H","DateFormat=P","Fill=—","Direction=H","UseDPDF=Y")</f>
        <v>#NAME?</v>
      </c>
      <c r="R231" t="e">
        <f ca="1">_xll.BDH($C$228,"DVD_PAYOUT_RATIO","FQ3 2014","FQ3 2014","Currency=INR","Period=FQ","BEST_FPERIOD_OVERRIDE=FQ","FILING_STATUS=OR","EQY_CONSOLIDATED=Y","FA_ADJUSTED=GAAP","Sort=A","Dates=H","DateFormat=P","Fill=—","Direction=H","UseDPDF=Y")</f>
        <v>#NAME?</v>
      </c>
      <c r="S231" t="e">
        <f ca="1">_xll.BDH($C$228,"SUSTAIN_GROWTH_RT","FQ3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31" s="2" t="e">
        <f ca="1">_xll.BDH($C$228,"SALES_GROWTH","FQ3 2014","FQ3 2014","Currency=INR","Period=FQ","BEST_FPERIOD_OVERRIDE=FQ","FILING_STATUS=OR","EQY_CONSOLIDATED=Y","FA_ADJUSTED=GAAP","Sort=A","Dates=H","DateFormat=P","Fill=—","Direction=H","UseDPDF=Y")</f>
        <v>#NAME?</v>
      </c>
      <c r="U231" s="2" t="e">
        <f ca="1">_xll.BDH($C$228,"EBITDA_GROWTH","FQ3 2014","FQ3 2014","Currency=INR","Period=FQ","BEST_FPERIOD_OVERRIDE=FQ","FILING_STATUS=OR","EQY_CONSOLIDATED=Y","FA_ADJUSTED=GAAP","Sort=A","Dates=H","DateFormat=P","Fill=—","Direction=H","UseDPDF=Y")</f>
        <v>#NAME?</v>
      </c>
      <c r="V231" s="2" t="e">
        <f ca="1">_xll.BDH($C$228,"OPER_INC_GROWTH","FQ3 2014","FQ3 2014","Currency=INR","Period=FQ","BEST_FPERIOD_OVERRIDE=FQ","FILING_STATUS=OR","EQY_CONSOLIDATED=Y","FA_ADJUSTED=GAAP","Sort=A","Dates=H","DateFormat=P","Fill=—","Direction=H","UseDPDF=Y")</f>
        <v>#NAME?</v>
      </c>
      <c r="W231" s="2" t="e">
        <f ca="1">_xll.BDH($C$228,"EARN_FOR_COM_GROWTH","FQ3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31" s="2" t="e">
        <f ca="1">_xll.BDH($C$228,"DILUTED_EPS_AFT_XO_ITEMS_GROWTH","FQ3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31" s="2" t="e">
        <f ca="1">_xll.BDH($C$228,"DIVIDEND_PER_SHARE_1_YEAR_GROWTH","FQ3 2014","FQ3 2014","Currency=INR","Period=FQ","BEST_FPERIOD_OVERRIDE=FQ","FILING_STATUS=OR","EQY_CONSOLIDATED=Y","Sort=A","Dates=H","DateFormat=P","Fill=—","Direction=H","UseDPDF=Y")</f>
        <v>#NAME?</v>
      </c>
      <c r="Z231" s="2" t="e">
        <f ca="1">_xll.BDH($C$228,"ACCOUNTS_RECEIVABLE_GROWTH","FQ3 2014","FQ3 2014","Currency=INR","Period=FQ","BEST_FPERIOD_OVERRIDE=FQ","FILING_STATUS=OR","EQY_CONSOLIDATED=Y","Sort=A","Dates=H","DateFormat=P","Fill=—","Direction=H","UseDPDF=Y")</f>
        <v>#NAME?</v>
      </c>
      <c r="AA231" s="2" t="e">
        <f ca="1">_xll.BDH($C$228,"INVENTORY_GROWTH","FQ3 2014","FQ3 2014","Currency=INR","Period=FQ","BEST_FPERIOD_OVERRIDE=FQ","FILING_STATUS=OR","EQY_CONSOLIDATED=Y","Sort=A","Dates=H","DateFormat=P","Fill=—","Direction=H","UseDPDF=Y")</f>
        <v>#NAME?</v>
      </c>
      <c r="AB231" s="2" t="e">
        <f ca="1">_xll.BDH($C$228,"NET_FIXED_ASSETS_1_YEAR_GROWTH","FQ3 2014","FQ3 2014","Currency=INR","Period=FQ","BEST_FPERIOD_OVERRIDE=FQ","FILING_STATUS=OR","EQY_CONSOLIDATED=Y","Sort=A","Dates=H","DateFormat=P","Fill=—","Direction=H","UseDPDF=Y")</f>
        <v>#NAME?</v>
      </c>
      <c r="AC231" s="2" t="e">
        <f ca="1">_xll.BDH($C$228,"ASSET_GROWTH","FQ3 2014","FQ3 2014","Currency=INR","Period=FQ","BEST_FPERIOD_OVERRIDE=FQ","FILING_STATUS=OR","EQY_CONSOLIDATED=Y","Sort=A","Dates=H","DateFormat=P","Fill=—","Direction=H","UseDPDF=Y")</f>
        <v>#NAME?</v>
      </c>
      <c r="AD231" s="2" t="e">
        <f ca="1">_xll.BDH($C$228,"MODIFIED_WORK_CAP_GROWTH","FQ3 2014","FQ3 2014","Currency=INR","Period=FQ","BEST_FPERIOD_OVERRIDE=FQ","FILING_STATUS=OR","EQY_CONSOLIDATED=Y","Sort=A","Dates=H","DateFormat=P","Fill=—","Direction=H","UseDPDF=Y")</f>
        <v>#NAME?</v>
      </c>
      <c r="AE231" s="2" t="e">
        <f ca="1">_xll.BDH($C$228,"WORK_CAP_GROWTH","FQ3 2014","FQ3 2014","Currency=INR","Period=FQ","BEST_FPERIOD_OVERRIDE=FQ","FILING_STATUS=OR","EQY_CONSOLIDATED=Y","Sort=A","Dates=H","DateFormat=P","Fill=—","Direction=H","UseDPDF=Y")</f>
        <v>#NAME?</v>
      </c>
      <c r="AF231" s="2" t="e">
        <f ca="1">_xll.BDH($C$228,"ACCOUNTS_PAYABLE_GROWTH_1YR","FQ3 2014","FQ3 2014","Currency=INR","Period=FQ","BEST_FPERIOD_OVERRIDE=FQ","FILING_STATUS=OR","EQY_CONSOLIDATED=Y","Sort=A","Dates=H","DateFormat=P","Fill=—","Direction=H","UseDPDF=Y")</f>
        <v>#NAME?</v>
      </c>
      <c r="AG231" s="2" t="e">
        <f ca="1">_xll.BDH($C$228,"SHORT_TERM_DEBT_1_YEAR_GROWTH","FQ3 2014","FQ3 2014","Currency=INR","Period=FQ","BEST_FPERIOD_OVERRIDE=FQ","FILING_STATUS=OR","EQY_CONSOLIDATED=Y","Sort=A","Dates=H","DateFormat=P","Fill=—","Direction=H","UseDPDF=Y")</f>
        <v>#NAME?</v>
      </c>
      <c r="AH231" s="2" t="e">
        <f ca="1">_xll.BDH($C$228,"TOTAL_DEBT_1_YEAR_GROWTH","FQ3 2014","FQ3 2014","Currency=INR","Period=FQ","BEST_FPERIOD_OVERRIDE=FQ","FILING_STATUS=OR","EQY_CONSOLIDATED=Y","Sort=A","Dates=H","DateFormat=P","Fill=—","Direction=H","UseDPDF=Y")</f>
        <v>#NAME?</v>
      </c>
      <c r="AI231" s="2" t="e">
        <f ca="1">_xll.BDH($C$228,"TOTAL_EQUITY_1_YEAR_GROWTH","FQ3 2014","FQ3 2014","Currency=INR","Period=FQ","BEST_FPERIOD_OVERRIDE=FQ","FILING_STATUS=OR","EQY_CONSOLIDATED=Y","Sort=A","Dates=H","DateFormat=P","Fill=—","Direction=H","UseDPDF=Y")</f>
        <v>#NAME?</v>
      </c>
      <c r="AJ231" s="2" t="e">
        <f ca="1">_xll.BDH($C$228,"GROWTH_IN_CAP","FQ3 2014","FQ3 2014","Currency=INR","Period=FQ","BEST_FPERIOD_OVERRIDE=FQ","FILING_STATUS=OR","EQY_CONSOLIDATED=Y","Sort=A","Dates=H","DateFormat=P","Fill=—","Direction=H","UseDPDF=Y")</f>
        <v>#NAME?</v>
      </c>
      <c r="AK231" s="2" t="e">
        <f ca="1">_xll.BDH($C$228,"BVPS_GROWTH","FQ3 2014","FQ3 2014","Currency=INR","Period=FQ","BEST_FPERIOD_OVERRIDE=FQ","FILING_STATUS=OR","EQY_CONSOLIDATED=Y","Sort=A","Dates=H","DateFormat=P","Fill=—","Direction=H","UseDPDF=Y")</f>
        <v>#NAME?</v>
      </c>
      <c r="AL231" s="2" t="e">
        <f ca="1">_xll.BDH($C$228,"CASH_FLOW_GROWTH","FQ3 2014","FQ3 2014","Currency=INR","Period=FQ","BEST_FPERIOD_OVERRIDE=FQ","FILING_STATUS=OR","EQY_CONSOLIDATED=Y","Sort=A","Dates=H","DateFormat=P","Fill=—","Direction=H","UseDPDF=Y")</f>
        <v>#NAME?</v>
      </c>
      <c r="AM231" s="2" t="e">
        <f ca="1">_xll.BDH($C$228,"GEO_GROW_NET_SALES","FQ3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31" s="2" t="e">
        <f ca="1">_xll.BDH($C$228,"GEO_GROW_EBITDA","FQ3 2014","FQ3 2014","Currency=INR","Period=FQ","BEST_FPERIOD_OVERRIDE=FQ","FILING_STATUS=OR","EQY_CONSOLIDATED=Y","FA_ADJUSTED=GAAP","Sort=A","Dates=H","DateFormat=P","Fill=—","Direction=H","UseDPDF=Y")</f>
        <v>#NAME?</v>
      </c>
      <c r="AO231" s="2" t="e">
        <f ca="1">_xll.BDH($C$228,"GEO_GROW_OPER_INC","FQ3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31" s="2" t="e">
        <f ca="1">_xll.BDH($C$228,"NET_INCOME_TO_COMMON_5_YR_GROWTH","FQ3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31" s="2" t="e">
        <f ca="1">_xll.BDH($C$228,"5Y_GEO_GROWTH_DILUTED_EPS","FQ3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31" s="2" t="e">
        <f ca="1">_xll.BDH($C$228,"GEO_GROW_DVD_PER_SH","FQ3 2014","FQ3 2014","Currency=INR","Period=FQ","BEST_FPERIOD_OVERRIDE=FQ","FILING_STATUS=OR","EQY_CONSOLIDATED=Y","Sort=A","Dates=H","DateFormat=P","Fill=—","Direction=H","UseDPDF=Y")</f>
        <v>#NAME?</v>
      </c>
      <c r="AS231" s="2" t="e">
        <f ca="1">_xll.BDH($C$228,"ACCOUNTS_RECEIVABLE_5_YR_GROWTH","FQ3 2014","FQ3 2014","Currency=INR","Period=FQ","BEST_FPERIOD_OVERRIDE=FQ","FILING_STATUS=OR","EQY_CONSOLIDATED=Y","Sort=A","Dates=H","DateFormat=P","Fill=—","Direction=H","UseDPDF=Y")</f>
        <v>#NAME?</v>
      </c>
      <c r="AT231" s="2" t="e">
        <f ca="1">_xll.BDH($C$228,"INVENTORY_5_YEAR_GROWTH","FQ3 2014","FQ3 2014","Currency=INR","Period=FQ","BEST_FPERIOD_OVERRIDE=FQ","FILING_STATUS=OR","EQY_CONSOLIDATED=Y","Sort=A","Dates=H","DateFormat=P","Fill=—","Direction=H","UseDPDF=Y")</f>
        <v>#NAME?</v>
      </c>
      <c r="AU231" s="2" t="e">
        <f ca="1">_xll.BDH($C$228,"NET_FIXED_ASSETS_5_YEAR_GROWTH","FQ3 2014","FQ3 2014","Currency=INR","Period=FQ","BEST_FPERIOD_OVERRIDE=FQ","FILING_STATUS=OR","EQY_CONSOLIDATED=Y","Sort=A","Dates=H","DateFormat=P","Fill=—","Direction=H","UseDPDF=Y")</f>
        <v>#NAME?</v>
      </c>
      <c r="AV231" s="2" t="e">
        <f ca="1">_xll.BDH($C$228,"GEO_GROW_TOT_ASSET","FQ3 2014","FQ3 2014","Currency=INR","Period=FQ","BEST_FPERIOD_OVERRIDE=FQ","FILING_STATUS=OR","EQY_CONSOLIDATED=Y","Sort=A","Dates=H","DateFormat=P","Fill=—","Direction=H","UseDPDF=Y")</f>
        <v>#NAME?</v>
      </c>
      <c r="AW231" s="2" t="e">
        <f ca="1">_xll.BDH($C$228,"MODIFIED_WORKING_CPTL_5YR_GRWTH","FQ3 2014","FQ3 2014","Currency=INR","Period=FQ","BEST_FPERIOD_OVERRIDE=FQ","FILING_STATUS=OR","EQY_CONSOLIDATED=Y","Sort=A","Dates=H","DateFormat=P","Fill=—","Direction=H","UseDPDF=Y")</f>
        <v>#NAME?</v>
      </c>
      <c r="AX231" s="2" t="e">
        <f ca="1">_xll.BDH($C$228,"WORKING_CAPITAL_5_YEAR_GROWTH","FQ3 2014","FQ3 2014","Currency=INR","Period=FQ","BEST_FPERIOD_OVERRIDE=FQ","FILING_STATUS=OR","EQY_CONSOLIDATED=Y","Sort=A","Dates=H","DateFormat=P","Fill=—","Direction=H","UseDPDF=Y")</f>
        <v>#NAME?</v>
      </c>
      <c r="AY231" s="2" t="e">
        <f ca="1">_xll.BDH($C$228,"ACCOUNTS_PAYABLE_5_YEAR_GROWTH","FQ3 2014","FQ3 2014","Currency=INR","Period=FQ","BEST_FPERIOD_OVERRIDE=FQ","FILING_STATUS=OR","EQY_CONSOLIDATED=Y","Sort=A","Dates=H","DateFormat=P","Fill=—","Direction=H","UseDPDF=Y")</f>
        <v>#NAME?</v>
      </c>
      <c r="AZ231" s="2" t="e">
        <f ca="1">_xll.BDH($C$228,"SHORT_TERM_DEBT_5_YEAR_GROWTH","FQ3 2014","FQ3 2014","Currency=INR","Period=FQ","BEST_FPERIOD_OVERRIDE=FQ","FILING_STATUS=OR","EQY_CONSOLIDATED=Y","Sort=A","Dates=H","DateFormat=P","Fill=—","Direction=H","UseDPDF=Y")</f>
        <v>#NAME?</v>
      </c>
      <c r="BA231" s="2" t="e">
        <f ca="1">_xll.BDH($C$228,"TOTAL_DEBT_5_YEAR_GROWTH","FQ3 2014","FQ3 2014","Currency=INR","Period=FQ","BEST_FPERIOD_OVERRIDE=FQ","FILING_STATUS=OR","EQY_CONSOLIDATED=Y","Sort=A","Dates=H","DateFormat=P","Fill=—","Direction=H","UseDPDF=Y")</f>
        <v>#NAME?</v>
      </c>
      <c r="BB231" s="2" t="e">
        <f ca="1">_xll.BDH($C$228,"GEO_GROW_TOT_SHRHLDR_EQY","FQ3 2014","FQ3 2014","Currency=INR","Period=FQ","BEST_FPERIOD_OVERRIDE=FQ","FILING_STATUS=OR","EQY_CONSOLIDATED=Y","Sort=A","Dates=H","DateFormat=P","Fill=—","Direction=H","UseDPDF=Y")</f>
        <v>#NAME?</v>
      </c>
      <c r="BC231" s="2" t="e">
        <f ca="1">_xll.BDH($C$228,"TOTAL_CAPITAL_5_YEAR_GROWTH","FQ3 2014","FQ3 2014","Currency=INR","Period=FQ","BEST_FPERIOD_OVERRIDE=FQ","FILING_STATUS=OR","EQY_CONSOLIDATED=Y","Sort=A","Dates=H","DateFormat=P","Fill=—","Direction=H","UseDPDF=Y")</f>
        <v>#NAME?</v>
      </c>
      <c r="BD231" s="2" t="e">
        <f ca="1">_xll.BDH($C$228,"GEO_GROW_BOOK_VAL","FQ3 2014","FQ3 2014","Currency=INR","Period=FQ","BEST_FPERIOD_OVERRIDE=FQ","FILING_STATUS=OR","EQY_CONSOLIDATED=Y","Sort=A","Dates=H","DateFormat=P","Fill=—","Direction=H","UseDPDF=Y")</f>
        <v>#NAME?</v>
      </c>
      <c r="BE231" s="2" t="e">
        <f ca="1">_xll.BDH($C$228,"GEO_GROW_CASH_OPER_ACT","FQ3 2014","FQ3 2014","Currency=INR","Period=FQ","BEST_FPERIOD_OVERRIDE=FQ","FILING_STATUS=OR","EQY_CONSOLIDATED=Y","Sort=A","Dates=H","DateFormat=P","Fill=—","Direction=H","UseDPDF=Y")</f>
        <v>#NAME?</v>
      </c>
      <c r="BF231" s="2" t="e">
        <f ca="1">_xll.BDH($C$228,"REVENUE_SEQUENTIAL_GROWTH","FQ3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31" s="2" t="e">
        <f ca="1">_xll.BDH($C$228,"EBITDA_SEQUENTIAL_GROWTH","FQ3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31" s="2" t="e">
        <f ca="1">_xll.BDH($C$228,"OPERATING_INCOME_SEQ_GROWTH","FQ3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31" s="2" t="e">
        <f ca="1">_xll.BDH($C$228,"NET_INCOME_TO_COMMON_SEQ_GROWTH","FQ3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31" s="2" t="e">
        <f ca="1">_xll.BDH($C$228,"EPS_DILUTED_SEQUENTIAL_GROWTH","FQ3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31" s="2" t="e">
        <f ca="1">_xll.BDH($C$228,"DPS_SEQUENTIAL_GROWTH","FQ3 2014","FQ3 2014","Currency=INR","Period=FQ","BEST_FPERIOD_OVERRIDE=FQ","FILING_STATUS=OR","EQY_CONSOLIDATED=Y","Sort=A","Dates=H","DateFormat=P","Fill=—","Direction=H","UseDPDF=Y")</f>
        <v>#NAME?</v>
      </c>
      <c r="BL231" s="2" t="e">
        <f ca="1">_xll.BDH($C$228,"ACCOUNTS_RECEIVABLE_SEQ_GROWTH","FQ3 2014","FQ3 2014","Currency=INR","Period=FQ","BEST_FPERIOD_OVERRIDE=FQ","FILING_STATUS=OR","EQY_CONSOLIDATED=Y","Sort=A","Dates=H","DateFormat=P","Fill=—","Direction=H","UseDPDF=Y")</f>
        <v>#NAME?</v>
      </c>
      <c r="BM231" s="2" t="e">
        <f ca="1">_xll.BDH($C$228,"INVENTORY_SEQUENTIAL_GROWTH","FQ3 2014","FQ3 2014","Currency=INR","Period=FQ","BEST_FPERIOD_OVERRIDE=FQ","FILING_STATUS=OR","EQY_CONSOLIDATED=Y","Sort=A","Dates=H","DateFormat=P","Fill=—","Direction=H","UseDPDF=Y")</f>
        <v>#NAME?</v>
      </c>
      <c r="BN231" s="2" t="e">
        <f ca="1">_xll.BDH($C$228,"FIXED_ASSETS_SEQUENTIAL_GROWTH","FQ3 2014","FQ3 2014","Currency=INR","Period=FQ","BEST_FPERIOD_OVERRIDE=FQ","FILING_STATUS=OR","EQY_CONSOLIDATED=Y","Sort=A","Dates=H","DateFormat=P","Fill=—","Direction=H","UseDPDF=Y")</f>
        <v>#NAME?</v>
      </c>
      <c r="BO231" s="2" t="e">
        <f ca="1">_xll.BDH($C$228,"TOTAL_ASSETS_SEQUENTIAL_GROWTH","FQ3 2014","FQ3 2014","Currency=INR","Period=FQ","BEST_FPERIOD_OVERRIDE=FQ","FILING_STATUS=OR","EQY_CONSOLIDATED=Y","Sort=A","Dates=H","DateFormat=P","Fill=—","Direction=H","UseDPDF=Y")</f>
        <v>#NAME?</v>
      </c>
      <c r="BP231" s="2" t="e">
        <f ca="1">_xll.BDH($C$228,"MODIFIED_WORKING_CPTL_SEQ_GRWTH","FQ3 2014","FQ3 2014","Currency=INR","Period=FQ","BEST_FPERIOD_OVERRIDE=FQ","FILING_STATUS=OR","EQY_CONSOLIDATED=Y","Sort=A","Dates=H","DateFormat=P","Fill=—","Direction=H","UseDPDF=Y")</f>
        <v>#NAME?</v>
      </c>
      <c r="BQ231" s="2" t="e">
        <f ca="1">_xll.BDH($C$228,"WORKING_CAPITAL_SEQ_GROWTH","FQ3 2014","FQ3 2014","Currency=INR","Period=FQ","BEST_FPERIOD_OVERRIDE=FQ","FILING_STATUS=OR","EQY_CONSOLIDATED=Y","Sort=A","Dates=H","DateFormat=P","Fill=—","Direction=H","UseDPDF=Y")</f>
        <v>#NAME?</v>
      </c>
      <c r="BR231" s="2" t="e">
        <f ca="1">_xll.BDH($C$228,"ACCOUNTS_PAYABLE_SEQ_GROWTH","FQ3 2014","FQ3 2014","Currency=INR","Period=FQ","BEST_FPERIOD_OVERRIDE=FQ","FILING_STATUS=OR","EQY_CONSOLIDATED=Y","Sort=A","Dates=H","DateFormat=P","Fill=—","Direction=H","UseDPDF=Y")</f>
        <v>#NAME?</v>
      </c>
      <c r="BS231" s="2" t="e">
        <f ca="1">_xll.BDH($C$228,"ST_DEBT_SEQUENTIAL_GROWTH","FQ3 2014","FQ3 2014","Currency=INR","Period=FQ","BEST_FPERIOD_OVERRIDE=FQ","FILING_STATUS=OR","EQY_CONSOLIDATED=Y","Sort=A","Dates=H","DateFormat=P","Fill=—","Direction=H","UseDPDF=Y")</f>
        <v>#NAME?</v>
      </c>
      <c r="BT231" s="2" t="e">
        <f ca="1">_xll.BDH($C$228,"TOTAL_DEBT_SEQUENTIAL_GROWTH","FQ3 2014","FQ3 2014","Currency=INR","Period=FQ","BEST_FPERIOD_OVERRIDE=FQ","FILING_STATUS=OR","EQY_CONSOLIDATED=Y","Sort=A","Dates=H","DateFormat=P","Fill=—","Direction=H","UseDPDF=Y")</f>
        <v>#NAME?</v>
      </c>
      <c r="BU231" s="2" t="e">
        <f ca="1">_xll.BDH($C$228,"TOTAL_EQUITY_SEQUENTIAL_GROWTH","FQ3 2014","FQ3 2014","Currency=INR","Period=FQ","BEST_FPERIOD_OVERRIDE=FQ","FILING_STATUS=OR","EQY_CONSOLIDATED=Y","Sort=A","Dates=H","DateFormat=P","Fill=—","Direction=H","UseDPDF=Y")</f>
        <v>#NAME?</v>
      </c>
      <c r="BV231" s="2" t="e">
        <f ca="1">_xll.BDH($C$228,"TOTAL_CAPITAL_SEQUENTIAL_GROWTH","FQ3 2014","FQ3 2014","Currency=INR","Period=FQ","BEST_FPERIOD_OVERRIDE=FQ","FILING_STATUS=OR","EQY_CONSOLIDATED=Y","Sort=A","Dates=H","DateFormat=P","Fill=—","Direction=H","UseDPDF=Y")</f>
        <v>#NAME?</v>
      </c>
      <c r="BW231" s="2" t="e">
        <f ca="1">_xll.BDH($C$228,"BPS_SEQUENTIAL_GROWTH","FQ3 2014","FQ3 2014","Currency=INR","Period=FQ","BEST_FPERIOD_OVERRIDE=FQ","FILING_STATUS=OR","EQY_CONSOLIDATED=Y","Sort=A","Dates=H","DateFormat=P","Fill=—","Direction=H","UseDPDF=Y")</f>
        <v>#NAME?</v>
      </c>
      <c r="BX231" s="2" t="e">
        <f ca="1">_xll.BDH($C$228,"CFO_SEQUENTIAL_GROWTH","FQ3 2014","FQ3 2014","Currency=INR","Period=FQ","BEST_FPERIOD_OVERRIDE=FQ","FILING_STATUS=OR","EQY_CONSOLIDATED=Y","Sort=A","Dates=H","DateFormat=P","Fill=—","Direction=H","UseDPDF=Y")</f>
        <v>#NAME?</v>
      </c>
      <c r="BY231" s="3" t="e">
        <f ca="1">_xll.BDH($C$228,"SHORT_AND_LONG_TERM_DEBT","FQ3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31" s="3" t="e">
        <f ca="1">_xll.BDH($C$228,"BS_ST_BORROW","FQ3 2014","FQ3 2014","Currency=INR","Period=FQ","BEST_FPERIOD_OVERRIDE=FQ","FILING_STATUS=OR","EQY_CONSOLIDATED=Y","SCALING_FORMAT=MLN","Sort=A","Dates=H","DateFormat=P","Fill=—","Direction=H","UseDPDF=Y")</f>
        <v>#NAME?</v>
      </c>
      <c r="CA231" s="3" t="e">
        <f ca="1">_xll.BDH($C$228,"BS_LT_BORROW","FQ3 2014","FQ3 2014","Currency=INR","Period=FQ","BEST_FPERIOD_OVERRIDE=FQ","FILING_STATUS=OR","EQY_CONSOLIDATED=Y","SCALING_FORMAT=MLN","Sort=A","Dates=H","DateFormat=P","Fill=—","Direction=H","UseDPDF=Y")</f>
        <v>#NAME?</v>
      </c>
      <c r="CB231" s="2" t="e">
        <f ca="1">_xll.BDH($C$228,"TOT_DEBT_TO_EBITDA","FQ3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31" s="2" t="e">
        <f ca="1">_xll.BDH($C$228,"NET_DEBT_TO_EBITDA","FQ3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31" s="2" t="e">
        <f ca="1">_xll.BDH($C$228,"TOTAL_DEBT_TO_EBIT","FQ3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31" s="2" t="e">
        <f ca="1">_xll.BDH($C$228,"NET_DEBT_TO_EBIT","FQ3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31" s="2" t="e">
        <f ca="1">_xll.BDH($C$228,"EBITDA_TO_INTEREST_EXPN","FQ3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31" s="2" t="e">
        <f ca="1">_xll.BDH($C$228,"COM_EQY_TO_TOT_ASSET","FQ3 2014","FQ3 2014","Currency=INR","Period=FQ","BEST_FPERIOD_OVERRIDE=FQ","FILING_STATUS=OR","EQY_CONSOLIDATED=Y","Sort=A","Dates=H","DateFormat=P","Fill=—","Direction=H","UseDPDF=Y")</f>
        <v>#NAME?</v>
      </c>
      <c r="CH231" s="2" t="e">
        <f ca="1">_xll.BDH($C$228,"LT_DEBT_TO_TOT_EQY","FQ3 2014","FQ3 2014","Currency=INR","Period=FQ","BEST_FPERIOD_OVERRIDE=FQ","FILING_STATUS=OR","EQY_CONSOLIDATED=Y","Sort=A","Dates=H","DateFormat=P","Fill=—","Direction=H","UseDPDF=Y")</f>
        <v>#NAME?</v>
      </c>
      <c r="CI231" s="2" t="e">
        <f ca="1">_xll.BDH($C$228,"LT_DEBT_TO_TOT_CAP","FQ3 2014","FQ3 2014","Currency=INR","Period=FQ","BEST_FPERIOD_OVERRIDE=FQ","FILING_STATUS=OR","EQY_CONSOLIDATED=Y","Sort=A","Dates=H","DateFormat=P","Fill=—","Direction=H","UseDPDF=Y")</f>
        <v>#NAME?</v>
      </c>
      <c r="CJ231" s="2" t="e">
        <f ca="1">_xll.BDH($C$228,"LT_DEBT_TO_TOT_ASSET","FQ3 2014","FQ3 2014","Currency=INR","Period=FQ","BEST_FPERIOD_OVERRIDE=FQ","FILING_STATUS=OR","EQY_CONSOLIDATED=Y","Sort=A","Dates=H","DateFormat=P","Fill=—","Direction=H","UseDPDF=Y")</f>
        <v>#NAME?</v>
      </c>
      <c r="CK231" s="2" t="e">
        <f ca="1">_xll.BDH($C$228,"TOT_DEBT_TO_TOT_EQY","FQ3 2014","FQ3 2014","Currency=INR","Period=FQ","BEST_FPERIOD_OVERRIDE=FQ","FILING_STATUS=OR","EQY_CONSOLIDATED=Y","Sort=A","Dates=H","DateFormat=P","Fill=—","Direction=H","UseDPDF=Y")</f>
        <v>#NAME?</v>
      </c>
      <c r="CL231" s="2" t="e">
        <f ca="1">_xll.BDH($C$228,"TOT_DEBT_TO_TOT_CAP","FQ3 2014","FQ3 2014","Currency=INR","Period=FQ","BEST_FPERIOD_OVERRIDE=FQ","FILING_STATUS=OR","EQY_CONSOLIDATED=Y","Sort=A","Dates=H","DateFormat=P","Fill=—","Direction=H","UseDPDF=Y")</f>
        <v>#NAME?</v>
      </c>
      <c r="CM231" s="2" t="e">
        <f ca="1">_xll.BDH($C$228,"TOT_DEBT_TO_TOT_ASSET","FQ3 2014","FQ3 2014","Currency=INR","Period=FQ","BEST_FPERIOD_OVERRIDE=FQ","FILING_STATUS=OR","EQY_CONSOLIDATED=Y","Sort=A","Dates=H","DateFormat=P","Fill=—","Direction=H","UseDPDF=Y")</f>
        <v>#NAME?</v>
      </c>
      <c r="CN231" s="2" t="e">
        <f ca="1">_xll.BDH($C$228,"NET_DEBT_TO_SHRHLDR_EQTY","FQ3 2014","FQ3 2014","Currency=INR","Period=FQ","BEST_FPERIOD_OVERRIDE=FQ","FILING_STATUS=OR","EQY_CONSOLIDATED=Y","Sort=A","Dates=H","DateFormat=P","Fill=—","Direction=H","UseDPDF=Y")</f>
        <v>#NAME?</v>
      </c>
      <c r="CO231" s="2" t="e">
        <f ca="1">_xll.BDH($C$228,"NET_DEBT_%_CAPITAL","FQ3 2014","FQ3 2014","Currency=INR","Period=FQ","BEST_FPERIOD_OVERRIDE=FQ","FILING_STATUS=OR","EQY_CONSOLIDATED=Y","Sort=A","Dates=H","DateFormat=P","Fill=—","Direction=H","UseDPDF=Y")</f>
        <v>#NAME?</v>
      </c>
      <c r="CP231" s="3" t="e">
        <f ca="1">_xll.BDH($C$228,"EBITDA","FQ3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31" s="3" t="e">
        <f ca="1">_xll.BDH($C$228,"EBITDA_AFTER_CAPEX","FQ3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31" s="3" t="e">
        <f ca="1">_xll.BDH($C$228,"IS_OPER_INC","FQ3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31" s="2" t="e">
        <f ca="1">_xll.BDH($C$228,"CASH_RATIO","FQ3 2014","FQ3 2014","Currency=INR","Period=FQ","BEST_FPERIOD_OVERRIDE=FQ","FILING_STATUS=OR","EQY_CONSOLIDATED=Y","Sort=A","Dates=H","DateFormat=P","Fill=—","Direction=H","UseDPDF=Y")</f>
        <v>#NAME?</v>
      </c>
      <c r="CT231" s="2" t="e">
        <f ca="1">_xll.BDH($C$228,"CUR_RATIO","FQ3 2014","FQ3 2014","Currency=INR","Period=FQ","BEST_FPERIOD_OVERRIDE=FQ","FILING_STATUS=OR","EQY_CONSOLIDATED=Y","Sort=A","Dates=H","DateFormat=P","Fill=—","Direction=H","UseDPDF=Y")</f>
        <v>#NAME?</v>
      </c>
      <c r="CU231" s="2" t="e">
        <f ca="1">_xll.BDH($C$228,"QUICK_RATIO","FQ3 2014","FQ3 2014","Currency=INR","Period=FQ","BEST_FPERIOD_OVERRIDE=FQ","FILING_STATUS=OR","EQY_CONSOLIDATED=Y","Sort=A","Dates=H","DateFormat=P","Fill=—","Direction=H","UseDPDF=Y")</f>
        <v>#NAME?</v>
      </c>
      <c r="CV231" s="2" t="e">
        <f ca="1">_xll.BDH($C$228,"ALTMAN_Z_SCORE","FQ3 2014","FQ3 2014","Currency=INR","Period=FQ","BEST_FPERIOD_OVERRIDE=FQ","FILING_STATUS=OR","EQY_CONSOLIDATED=Y","Sort=A","Dates=H","DateFormat=P","Fill=—","Direction=H","UseDPDF=Y")</f>
        <v>#NAME?</v>
      </c>
      <c r="CW231" s="4" t="e">
        <f ca="1">_xll.BDH($C$228,"ACCT_RCV_TURN","FQ3 2014","FQ3 2014","Currency=INR","Period=FQ","BEST_FPERIOD_OVERRIDE=FQ","FILING_STATUS=OR","EQY_CONSOLIDATED=Y","FA_ADJUSTED=GAAP","Sort=A","Dates=H","DateFormat=P","Fill=—","Direction=H","UseDPDF=Y")</f>
        <v>#NAME?</v>
      </c>
      <c r="CX231" s="2" t="e">
        <f ca="1">_xll.BDH($C$228,"ACCT_RCV_DAYS","FQ3 2014","FQ3 2014","Currency=INR","Period=FQ","BEST_FPERIOD_OVERRIDE=FQ","FILING_STATUS=OR","EQY_CONSOLIDATED=Y","FA_ADJUSTED=GAAP","Sort=A","Dates=H","DateFormat=P","Fill=—","Direction=H","UseDPDF=Y")</f>
        <v>#NAME?</v>
      </c>
      <c r="CY231" s="4" t="e">
        <f ca="1">_xll.BDH($C$228,"INVENT_TURN","FQ3 2014","FQ3 2014","Currency=INR","Period=FQ","BEST_FPERIOD_OVERRIDE=FQ","FILING_STATUS=OR","EQY_CONSOLIDATED=Y","FA_ADJUSTED=GAAP","Sort=A","Dates=H","DateFormat=P","Fill=—","Direction=H","UseDPDF=Y")</f>
        <v>#NAME?</v>
      </c>
      <c r="CZ231" s="2" t="e">
        <f ca="1">_xll.BDH($C$228,"INVENT_DAYS","FQ3 2014","FQ3 2014","Currency=INR","Period=FQ","BEST_FPERIOD_OVERRIDE=FQ","FILING_STATUS=OR","EQY_CONSOLIDATED=Y","FA_ADJUSTED=GAAP","Sort=A","Dates=H","DateFormat=P","Fill=—","Direction=H","UseDPDF=Y")</f>
        <v>#NAME?</v>
      </c>
      <c r="DA231" s="4" t="e">
        <f ca="1">_xll.BDH($C$228,"ACCOUNTS_PAYABLE_TURNOVER","FQ3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31" s="2" t="e">
        <f ca="1">_xll.BDH($C$228,"ACCOUNTS_PAYABLE_TURNOVER_DAYS","FQ3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31" s="4" t="e">
        <f ca="1">_xll.BDH($C$228,"CASH_CONVERSION_CYCLE","FQ3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31" s="4" t="e">
        <f ca="1">_xll.BDH($C$228,"INV_TO_CASH_DAYS","FQ3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31" s="5" t="e">
        <f ca="1">_xll.BDH($C$228,"BS_INVENTORIES","FQ3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31" s="3" t="e">
        <f ca="1">_xll.BDH($C$228,"INVTRY_RAW_MATERIALS","FQ3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31" s="3" t="e">
        <f ca="1">_xll.BDH($C$228,"INVTRY_IN_PROGRESS","FQ3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31" s="3" t="e">
        <f ca="1">_xll.BDH($C$228,"INVTRY_FINISHED_GOODS","FQ3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31" s="3" t="e">
        <f ca="1">_xll.BDH($C$228,"BS_OTHER_INV","FQ3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32" spans="1:113" x14ac:dyDescent="0.3">
      <c r="A232" s="6"/>
      <c r="B232" s="6"/>
      <c r="C232" s="6"/>
      <c r="D232" s="6"/>
      <c r="E232" t="s">
        <v>81</v>
      </c>
      <c r="F232" t="e">
        <f ca="1">_xll.BDH($C$228,"RETURN_COM_EQY","FQ4 2014","FQ4 2014","Currency=INR","Period=FQ","BEST_FPERIOD_OVERRIDE=FQ","FILING_STATUS=OR","EQY_CONSOLIDATED=Y","FA_ADJUSTED=GAAP","Sort=A","Dates=H","DateFormat=P","Fill=—","Direction=H","UseDPDF=Y")</f>
        <v>#NAME?</v>
      </c>
      <c r="G232" t="e">
        <f ca="1">_xll.BDH($C$228,"RETURN_ON_ASSET","FQ4 2014","FQ4 2014","Currency=INR","Period=FQ","BEST_FPERIOD_OVERRIDE=FQ","FILING_STATUS=OR","EQY_CONSOLIDATED=Y","FA_ADJUSTED=GAAP","Sort=A","Dates=H","DateFormat=P","Fill=—","Direction=H","UseDPDF=Y")</f>
        <v>#NAME?</v>
      </c>
      <c r="H232" t="e">
        <f ca="1">_xll.BDH($C$228,"RETURN_ON_CAP","FQ4 2014","FQ4 2014","Currency=INR","Period=FQ","BEST_FPERIOD_OVERRIDE=FQ","FILING_STATUS=OR","EQY_CONSOLIDATED=Y","FA_ADJUSTED=GAAP","Sort=A","Dates=H","DateFormat=P","Fill=—","Direction=H","UseDPDF=Y")</f>
        <v>#NAME?</v>
      </c>
      <c r="I232" t="e">
        <f ca="1">_xll.BDH($C$228,"RETURN_ON_INV_CAPITAL","FQ4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32" t="e">
        <f ca="1">_xll.BDH($C$228,"EBITDA_TO_REVENUE","FQ4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32" t="e">
        <f ca="1">_xll.BDH($C$228,"OPER_MARGIN","FQ4 2014","FQ4 2014","Currency=INR","Period=FQ","BEST_FPERIOD_OVERRIDE=FQ","FILING_STATUS=OR","EQY_CONSOLIDATED=Y","FA_ADJUSTED=GAAP","Sort=A","Dates=H","DateFormat=P","Fill=—","Direction=H","UseDPDF=Y")</f>
        <v>#NAME?</v>
      </c>
      <c r="L232" t="e">
        <f ca="1">_xll.BDH($C$228,"INCREMENTAL_OPERATING_MARGIN","FQ4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32" t="e">
        <f ca="1">_xll.BDH($C$228,"PRETAX_INC_TO_NET_SALES","FQ4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32" t="e">
        <f ca="1">_xll.BDH($C$228,"INC_BEF_XO_ITEMS_TO_NET_SALES","FQ4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32" t="e">
        <f ca="1">_xll.BDH($C$228,"PROF_MARGIN","FQ4 2014","FQ4 2014","Currency=INR","Period=FQ","BEST_FPERIOD_OVERRIDE=FQ","FILING_STATUS=OR","EQY_CONSOLIDATED=Y","FA_ADJUSTED=GAAP","Sort=A","Dates=H","DateFormat=P","Fill=—","Direction=H","UseDPDF=Y")</f>
        <v>#NAME?</v>
      </c>
      <c r="P232" t="e">
        <f ca="1">_xll.BDH($C$228,"NET_INCOME_TO_COMMON_MARGIN","FQ4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32" t="e">
        <f ca="1">_xll.BDH($C$228,"EFF_TAX_RATE","FQ4 2014","FQ4 2014","Currency=INR","Period=FQ","BEST_FPERIOD_OVERRIDE=FQ","FILING_STATUS=OR","EQY_CONSOLIDATED=Y","FA_ADJUSTED=GAAP","Sort=A","Dates=H","DateFormat=P","Fill=—","Direction=H","UseDPDF=Y")</f>
        <v>#NAME?</v>
      </c>
      <c r="R232" t="e">
        <f ca="1">_xll.BDH($C$228,"DVD_PAYOUT_RATIO","FQ4 2014","FQ4 2014","Currency=INR","Period=FQ","BEST_FPERIOD_OVERRIDE=FQ","FILING_STATUS=OR","EQY_CONSOLIDATED=Y","FA_ADJUSTED=GAAP","Sort=A","Dates=H","DateFormat=P","Fill=—","Direction=H","UseDPDF=Y")</f>
        <v>#NAME?</v>
      </c>
      <c r="S232" t="e">
        <f ca="1">_xll.BDH($C$228,"SUSTAIN_GROWTH_RT","FQ4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32" s="2" t="e">
        <f ca="1">_xll.BDH($C$228,"SALES_GROWTH","FQ4 2014","FQ4 2014","Currency=INR","Period=FQ","BEST_FPERIOD_OVERRIDE=FQ","FILING_STATUS=OR","EQY_CONSOLIDATED=Y","FA_ADJUSTED=GAAP","Sort=A","Dates=H","DateFormat=P","Fill=—","Direction=H","UseDPDF=Y")</f>
        <v>#NAME?</v>
      </c>
      <c r="U232" s="2" t="e">
        <f ca="1">_xll.BDH($C$228,"EBITDA_GROWTH","FQ4 2014","FQ4 2014","Currency=INR","Period=FQ","BEST_FPERIOD_OVERRIDE=FQ","FILING_STATUS=OR","EQY_CONSOLIDATED=Y","FA_ADJUSTED=GAAP","Sort=A","Dates=H","DateFormat=P","Fill=—","Direction=H","UseDPDF=Y")</f>
        <v>#NAME?</v>
      </c>
      <c r="V232" s="2" t="e">
        <f ca="1">_xll.BDH($C$228,"OPER_INC_GROWTH","FQ4 2014","FQ4 2014","Currency=INR","Period=FQ","BEST_FPERIOD_OVERRIDE=FQ","FILING_STATUS=OR","EQY_CONSOLIDATED=Y","FA_ADJUSTED=GAAP","Sort=A","Dates=H","DateFormat=P","Fill=—","Direction=H","UseDPDF=Y")</f>
        <v>#NAME?</v>
      </c>
      <c r="W232" s="2" t="e">
        <f ca="1">_xll.BDH($C$228,"EARN_FOR_COM_GROWTH","FQ4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32" s="2" t="e">
        <f ca="1">_xll.BDH($C$228,"DILUTED_EPS_AFT_XO_ITEMS_GROWTH","FQ4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32" s="2" t="e">
        <f ca="1">_xll.BDH($C$228,"DIVIDEND_PER_SHARE_1_YEAR_GROWTH","FQ4 2014","FQ4 2014","Currency=INR","Period=FQ","BEST_FPERIOD_OVERRIDE=FQ","FILING_STATUS=OR","EQY_CONSOLIDATED=Y","Sort=A","Dates=H","DateFormat=P","Fill=—","Direction=H","UseDPDF=Y")</f>
        <v>#NAME?</v>
      </c>
      <c r="Z232" s="2" t="e">
        <f ca="1">_xll.BDH($C$228,"ACCOUNTS_RECEIVABLE_GROWTH","FQ4 2014","FQ4 2014","Currency=INR","Period=FQ","BEST_FPERIOD_OVERRIDE=FQ","FILING_STATUS=OR","EQY_CONSOLIDATED=Y","Sort=A","Dates=H","DateFormat=P","Fill=—","Direction=H","UseDPDF=Y")</f>
        <v>#NAME?</v>
      </c>
      <c r="AA232" s="2" t="e">
        <f ca="1">_xll.BDH($C$228,"INVENTORY_GROWTH","FQ4 2014","FQ4 2014","Currency=INR","Period=FQ","BEST_FPERIOD_OVERRIDE=FQ","FILING_STATUS=OR","EQY_CONSOLIDATED=Y","Sort=A","Dates=H","DateFormat=P","Fill=—","Direction=H","UseDPDF=Y")</f>
        <v>#NAME?</v>
      </c>
      <c r="AB232" s="2" t="e">
        <f ca="1">_xll.BDH($C$228,"NET_FIXED_ASSETS_1_YEAR_GROWTH","FQ4 2014","FQ4 2014","Currency=INR","Period=FQ","BEST_FPERIOD_OVERRIDE=FQ","FILING_STATUS=OR","EQY_CONSOLIDATED=Y","Sort=A","Dates=H","DateFormat=P","Fill=—","Direction=H","UseDPDF=Y")</f>
        <v>#NAME?</v>
      </c>
      <c r="AC232" s="2" t="e">
        <f ca="1">_xll.BDH($C$228,"ASSET_GROWTH","FQ4 2014","FQ4 2014","Currency=INR","Period=FQ","BEST_FPERIOD_OVERRIDE=FQ","FILING_STATUS=OR","EQY_CONSOLIDATED=Y","Sort=A","Dates=H","DateFormat=P","Fill=—","Direction=H","UseDPDF=Y")</f>
        <v>#NAME?</v>
      </c>
      <c r="AD232" s="2" t="e">
        <f ca="1">_xll.BDH($C$228,"MODIFIED_WORK_CAP_GROWTH","FQ4 2014","FQ4 2014","Currency=INR","Period=FQ","BEST_FPERIOD_OVERRIDE=FQ","FILING_STATUS=OR","EQY_CONSOLIDATED=Y","Sort=A","Dates=H","DateFormat=P","Fill=—","Direction=H","UseDPDF=Y")</f>
        <v>#NAME?</v>
      </c>
      <c r="AE232" s="2" t="e">
        <f ca="1">_xll.BDH($C$228,"WORK_CAP_GROWTH","FQ4 2014","FQ4 2014","Currency=INR","Period=FQ","BEST_FPERIOD_OVERRIDE=FQ","FILING_STATUS=OR","EQY_CONSOLIDATED=Y","Sort=A","Dates=H","DateFormat=P","Fill=—","Direction=H","UseDPDF=Y")</f>
        <v>#NAME?</v>
      </c>
      <c r="AF232" s="2" t="e">
        <f ca="1">_xll.BDH($C$228,"ACCOUNTS_PAYABLE_GROWTH_1YR","FQ4 2014","FQ4 2014","Currency=INR","Period=FQ","BEST_FPERIOD_OVERRIDE=FQ","FILING_STATUS=OR","EQY_CONSOLIDATED=Y","Sort=A","Dates=H","DateFormat=P","Fill=—","Direction=H","UseDPDF=Y")</f>
        <v>#NAME?</v>
      </c>
      <c r="AG232" s="2" t="e">
        <f ca="1">_xll.BDH($C$228,"SHORT_TERM_DEBT_1_YEAR_GROWTH","FQ4 2014","FQ4 2014","Currency=INR","Period=FQ","BEST_FPERIOD_OVERRIDE=FQ","FILING_STATUS=OR","EQY_CONSOLIDATED=Y","Sort=A","Dates=H","DateFormat=P","Fill=—","Direction=H","UseDPDF=Y")</f>
        <v>#NAME?</v>
      </c>
      <c r="AH232" s="2" t="e">
        <f ca="1">_xll.BDH($C$228,"TOTAL_DEBT_1_YEAR_GROWTH","FQ4 2014","FQ4 2014","Currency=INR","Period=FQ","BEST_FPERIOD_OVERRIDE=FQ","FILING_STATUS=OR","EQY_CONSOLIDATED=Y","Sort=A","Dates=H","DateFormat=P","Fill=—","Direction=H","UseDPDF=Y")</f>
        <v>#NAME?</v>
      </c>
      <c r="AI232" s="2" t="e">
        <f ca="1">_xll.BDH($C$228,"TOTAL_EQUITY_1_YEAR_GROWTH","FQ4 2014","FQ4 2014","Currency=INR","Period=FQ","BEST_FPERIOD_OVERRIDE=FQ","FILING_STATUS=OR","EQY_CONSOLIDATED=Y","Sort=A","Dates=H","DateFormat=P","Fill=—","Direction=H","UseDPDF=Y")</f>
        <v>#NAME?</v>
      </c>
      <c r="AJ232" s="2" t="e">
        <f ca="1">_xll.BDH($C$228,"GROWTH_IN_CAP","FQ4 2014","FQ4 2014","Currency=INR","Period=FQ","BEST_FPERIOD_OVERRIDE=FQ","FILING_STATUS=OR","EQY_CONSOLIDATED=Y","Sort=A","Dates=H","DateFormat=P","Fill=—","Direction=H","UseDPDF=Y")</f>
        <v>#NAME?</v>
      </c>
      <c r="AK232" s="2" t="e">
        <f ca="1">_xll.BDH($C$228,"BVPS_GROWTH","FQ4 2014","FQ4 2014","Currency=INR","Period=FQ","BEST_FPERIOD_OVERRIDE=FQ","FILING_STATUS=OR","EQY_CONSOLIDATED=Y","Sort=A","Dates=H","DateFormat=P","Fill=—","Direction=H","UseDPDF=Y")</f>
        <v>#NAME?</v>
      </c>
      <c r="AL232" s="2" t="e">
        <f ca="1">_xll.BDH($C$228,"CASH_FLOW_GROWTH","FQ4 2014","FQ4 2014","Currency=INR","Period=FQ","BEST_FPERIOD_OVERRIDE=FQ","FILING_STATUS=OR","EQY_CONSOLIDATED=Y","Sort=A","Dates=H","DateFormat=P","Fill=—","Direction=H","UseDPDF=Y")</f>
        <v>#NAME?</v>
      </c>
      <c r="AM232" s="2" t="e">
        <f ca="1">_xll.BDH($C$228,"GEO_GROW_NET_SALES","FQ4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32" s="2" t="e">
        <f ca="1">_xll.BDH($C$228,"GEO_GROW_EBITDA","FQ4 2014","FQ4 2014","Currency=INR","Period=FQ","BEST_FPERIOD_OVERRIDE=FQ","FILING_STATUS=OR","EQY_CONSOLIDATED=Y","FA_ADJUSTED=GAAP","Sort=A","Dates=H","DateFormat=P","Fill=—","Direction=H","UseDPDF=Y")</f>
        <v>#NAME?</v>
      </c>
      <c r="AO232" s="2" t="e">
        <f ca="1">_xll.BDH($C$228,"GEO_GROW_OPER_INC","FQ4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32" s="2" t="e">
        <f ca="1">_xll.BDH($C$228,"NET_INCOME_TO_COMMON_5_YR_GROWTH","FQ4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32" s="2" t="e">
        <f ca="1">_xll.BDH($C$228,"5Y_GEO_GROWTH_DILUTED_EPS","FQ4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32" s="2" t="e">
        <f ca="1">_xll.BDH($C$228,"GEO_GROW_DVD_PER_SH","FQ4 2014","FQ4 2014","Currency=INR","Period=FQ","BEST_FPERIOD_OVERRIDE=FQ","FILING_STATUS=OR","EQY_CONSOLIDATED=Y","Sort=A","Dates=H","DateFormat=P","Fill=—","Direction=H","UseDPDF=Y")</f>
        <v>#NAME?</v>
      </c>
      <c r="AS232" s="2" t="e">
        <f ca="1">_xll.BDH($C$228,"ACCOUNTS_RECEIVABLE_5_YR_GROWTH","FQ4 2014","FQ4 2014","Currency=INR","Period=FQ","BEST_FPERIOD_OVERRIDE=FQ","FILING_STATUS=OR","EQY_CONSOLIDATED=Y","Sort=A","Dates=H","DateFormat=P","Fill=—","Direction=H","UseDPDF=Y")</f>
        <v>#NAME?</v>
      </c>
      <c r="AT232" s="2" t="e">
        <f ca="1">_xll.BDH($C$228,"INVENTORY_5_YEAR_GROWTH","FQ4 2014","FQ4 2014","Currency=INR","Period=FQ","BEST_FPERIOD_OVERRIDE=FQ","FILING_STATUS=OR","EQY_CONSOLIDATED=Y","Sort=A","Dates=H","DateFormat=P","Fill=—","Direction=H","UseDPDF=Y")</f>
        <v>#NAME?</v>
      </c>
      <c r="AU232" s="2" t="e">
        <f ca="1">_xll.BDH($C$228,"NET_FIXED_ASSETS_5_YEAR_GROWTH","FQ4 2014","FQ4 2014","Currency=INR","Period=FQ","BEST_FPERIOD_OVERRIDE=FQ","FILING_STATUS=OR","EQY_CONSOLIDATED=Y","Sort=A","Dates=H","DateFormat=P","Fill=—","Direction=H","UseDPDF=Y")</f>
        <v>#NAME?</v>
      </c>
      <c r="AV232" s="2" t="e">
        <f ca="1">_xll.BDH($C$228,"GEO_GROW_TOT_ASSET","FQ4 2014","FQ4 2014","Currency=INR","Period=FQ","BEST_FPERIOD_OVERRIDE=FQ","FILING_STATUS=OR","EQY_CONSOLIDATED=Y","Sort=A","Dates=H","DateFormat=P","Fill=—","Direction=H","UseDPDF=Y")</f>
        <v>#NAME?</v>
      </c>
      <c r="AW232" s="2" t="e">
        <f ca="1">_xll.BDH($C$228,"MODIFIED_WORKING_CPTL_5YR_GRWTH","FQ4 2014","FQ4 2014","Currency=INR","Period=FQ","BEST_FPERIOD_OVERRIDE=FQ","FILING_STATUS=OR","EQY_CONSOLIDATED=Y","Sort=A","Dates=H","DateFormat=P","Fill=—","Direction=H","UseDPDF=Y")</f>
        <v>#NAME?</v>
      </c>
      <c r="AX232" s="2" t="e">
        <f ca="1">_xll.BDH($C$228,"WORKING_CAPITAL_5_YEAR_GROWTH","FQ4 2014","FQ4 2014","Currency=INR","Period=FQ","BEST_FPERIOD_OVERRIDE=FQ","FILING_STATUS=OR","EQY_CONSOLIDATED=Y","Sort=A","Dates=H","DateFormat=P","Fill=—","Direction=H","UseDPDF=Y")</f>
        <v>#NAME?</v>
      </c>
      <c r="AY232" s="2" t="e">
        <f ca="1">_xll.BDH($C$228,"ACCOUNTS_PAYABLE_5_YEAR_GROWTH","FQ4 2014","FQ4 2014","Currency=INR","Period=FQ","BEST_FPERIOD_OVERRIDE=FQ","FILING_STATUS=OR","EQY_CONSOLIDATED=Y","Sort=A","Dates=H","DateFormat=P","Fill=—","Direction=H","UseDPDF=Y")</f>
        <v>#NAME?</v>
      </c>
      <c r="AZ232" s="2" t="e">
        <f ca="1">_xll.BDH($C$228,"SHORT_TERM_DEBT_5_YEAR_GROWTH","FQ4 2014","FQ4 2014","Currency=INR","Period=FQ","BEST_FPERIOD_OVERRIDE=FQ","FILING_STATUS=OR","EQY_CONSOLIDATED=Y","Sort=A","Dates=H","DateFormat=P","Fill=—","Direction=H","UseDPDF=Y")</f>
        <v>#NAME?</v>
      </c>
      <c r="BA232" s="2" t="e">
        <f ca="1">_xll.BDH($C$228,"TOTAL_DEBT_5_YEAR_GROWTH","FQ4 2014","FQ4 2014","Currency=INR","Period=FQ","BEST_FPERIOD_OVERRIDE=FQ","FILING_STATUS=OR","EQY_CONSOLIDATED=Y","Sort=A","Dates=H","DateFormat=P","Fill=—","Direction=H","UseDPDF=Y")</f>
        <v>#NAME?</v>
      </c>
      <c r="BB232" s="2" t="e">
        <f ca="1">_xll.BDH($C$228,"GEO_GROW_TOT_SHRHLDR_EQY","FQ4 2014","FQ4 2014","Currency=INR","Period=FQ","BEST_FPERIOD_OVERRIDE=FQ","FILING_STATUS=OR","EQY_CONSOLIDATED=Y","Sort=A","Dates=H","DateFormat=P","Fill=—","Direction=H","UseDPDF=Y")</f>
        <v>#NAME?</v>
      </c>
      <c r="BC232" s="2" t="e">
        <f ca="1">_xll.BDH($C$228,"TOTAL_CAPITAL_5_YEAR_GROWTH","FQ4 2014","FQ4 2014","Currency=INR","Period=FQ","BEST_FPERIOD_OVERRIDE=FQ","FILING_STATUS=OR","EQY_CONSOLIDATED=Y","Sort=A","Dates=H","DateFormat=P","Fill=—","Direction=H","UseDPDF=Y")</f>
        <v>#NAME?</v>
      </c>
      <c r="BD232" s="2" t="e">
        <f ca="1">_xll.BDH($C$228,"GEO_GROW_BOOK_VAL","FQ4 2014","FQ4 2014","Currency=INR","Period=FQ","BEST_FPERIOD_OVERRIDE=FQ","FILING_STATUS=OR","EQY_CONSOLIDATED=Y","Sort=A","Dates=H","DateFormat=P","Fill=—","Direction=H","UseDPDF=Y")</f>
        <v>#NAME?</v>
      </c>
      <c r="BE232" s="2" t="e">
        <f ca="1">_xll.BDH($C$228,"GEO_GROW_CASH_OPER_ACT","FQ4 2014","FQ4 2014","Currency=INR","Period=FQ","BEST_FPERIOD_OVERRIDE=FQ","FILING_STATUS=OR","EQY_CONSOLIDATED=Y","Sort=A","Dates=H","DateFormat=P","Fill=—","Direction=H","UseDPDF=Y")</f>
        <v>#NAME?</v>
      </c>
      <c r="BF232" s="2" t="e">
        <f ca="1">_xll.BDH($C$228,"REVENUE_SEQUENTIAL_GROWTH","FQ4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32" s="2" t="e">
        <f ca="1">_xll.BDH($C$228,"EBITDA_SEQUENTIAL_GROWTH","FQ4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32" s="2" t="e">
        <f ca="1">_xll.BDH($C$228,"OPERATING_INCOME_SEQ_GROWTH","FQ4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32" s="2" t="e">
        <f ca="1">_xll.BDH($C$228,"NET_INCOME_TO_COMMON_SEQ_GROWTH","FQ4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32" s="2" t="e">
        <f ca="1">_xll.BDH($C$228,"EPS_DILUTED_SEQUENTIAL_GROWTH","FQ4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32" s="2" t="e">
        <f ca="1">_xll.BDH($C$228,"DPS_SEQUENTIAL_GROWTH","FQ4 2014","FQ4 2014","Currency=INR","Period=FQ","BEST_FPERIOD_OVERRIDE=FQ","FILING_STATUS=OR","EQY_CONSOLIDATED=Y","Sort=A","Dates=H","DateFormat=P","Fill=—","Direction=H","UseDPDF=Y")</f>
        <v>#NAME?</v>
      </c>
      <c r="BL232" s="2" t="e">
        <f ca="1">_xll.BDH($C$228,"ACCOUNTS_RECEIVABLE_SEQ_GROWTH","FQ4 2014","FQ4 2014","Currency=INR","Period=FQ","BEST_FPERIOD_OVERRIDE=FQ","FILING_STATUS=OR","EQY_CONSOLIDATED=Y","Sort=A","Dates=H","DateFormat=P","Fill=—","Direction=H","UseDPDF=Y")</f>
        <v>#NAME?</v>
      </c>
      <c r="BM232" s="2" t="e">
        <f ca="1">_xll.BDH($C$228,"INVENTORY_SEQUENTIAL_GROWTH","FQ4 2014","FQ4 2014","Currency=INR","Period=FQ","BEST_FPERIOD_OVERRIDE=FQ","FILING_STATUS=OR","EQY_CONSOLIDATED=Y","Sort=A","Dates=H","DateFormat=P","Fill=—","Direction=H","UseDPDF=Y")</f>
        <v>#NAME?</v>
      </c>
      <c r="BN232" s="2" t="e">
        <f ca="1">_xll.BDH($C$228,"FIXED_ASSETS_SEQUENTIAL_GROWTH","FQ4 2014","FQ4 2014","Currency=INR","Period=FQ","BEST_FPERIOD_OVERRIDE=FQ","FILING_STATUS=OR","EQY_CONSOLIDATED=Y","Sort=A","Dates=H","DateFormat=P","Fill=—","Direction=H","UseDPDF=Y")</f>
        <v>#NAME?</v>
      </c>
      <c r="BO232" s="2" t="e">
        <f ca="1">_xll.BDH($C$228,"TOTAL_ASSETS_SEQUENTIAL_GROWTH","FQ4 2014","FQ4 2014","Currency=INR","Period=FQ","BEST_FPERIOD_OVERRIDE=FQ","FILING_STATUS=OR","EQY_CONSOLIDATED=Y","Sort=A","Dates=H","DateFormat=P","Fill=—","Direction=H","UseDPDF=Y")</f>
        <v>#NAME?</v>
      </c>
      <c r="BP232" s="2" t="e">
        <f ca="1">_xll.BDH($C$228,"MODIFIED_WORKING_CPTL_SEQ_GRWTH","FQ4 2014","FQ4 2014","Currency=INR","Period=FQ","BEST_FPERIOD_OVERRIDE=FQ","FILING_STATUS=OR","EQY_CONSOLIDATED=Y","Sort=A","Dates=H","DateFormat=P","Fill=—","Direction=H","UseDPDF=Y")</f>
        <v>#NAME?</v>
      </c>
      <c r="BQ232" s="2" t="e">
        <f ca="1">_xll.BDH($C$228,"WORKING_CAPITAL_SEQ_GROWTH","FQ4 2014","FQ4 2014","Currency=INR","Period=FQ","BEST_FPERIOD_OVERRIDE=FQ","FILING_STATUS=OR","EQY_CONSOLIDATED=Y","Sort=A","Dates=H","DateFormat=P","Fill=—","Direction=H","UseDPDF=Y")</f>
        <v>#NAME?</v>
      </c>
      <c r="BR232" s="2" t="e">
        <f ca="1">_xll.BDH($C$228,"ACCOUNTS_PAYABLE_SEQ_GROWTH","FQ4 2014","FQ4 2014","Currency=INR","Period=FQ","BEST_FPERIOD_OVERRIDE=FQ","FILING_STATUS=OR","EQY_CONSOLIDATED=Y","Sort=A","Dates=H","DateFormat=P","Fill=—","Direction=H","UseDPDF=Y")</f>
        <v>#NAME?</v>
      </c>
      <c r="BS232" s="2" t="e">
        <f ca="1">_xll.BDH($C$228,"ST_DEBT_SEQUENTIAL_GROWTH","FQ4 2014","FQ4 2014","Currency=INR","Period=FQ","BEST_FPERIOD_OVERRIDE=FQ","FILING_STATUS=OR","EQY_CONSOLIDATED=Y","Sort=A","Dates=H","DateFormat=P","Fill=—","Direction=H","UseDPDF=Y")</f>
        <v>#NAME?</v>
      </c>
      <c r="BT232" s="2" t="e">
        <f ca="1">_xll.BDH($C$228,"TOTAL_DEBT_SEQUENTIAL_GROWTH","FQ4 2014","FQ4 2014","Currency=INR","Period=FQ","BEST_FPERIOD_OVERRIDE=FQ","FILING_STATUS=OR","EQY_CONSOLIDATED=Y","Sort=A","Dates=H","DateFormat=P","Fill=—","Direction=H","UseDPDF=Y")</f>
        <v>#NAME?</v>
      </c>
      <c r="BU232" s="2" t="e">
        <f ca="1">_xll.BDH($C$228,"TOTAL_EQUITY_SEQUENTIAL_GROWTH","FQ4 2014","FQ4 2014","Currency=INR","Period=FQ","BEST_FPERIOD_OVERRIDE=FQ","FILING_STATUS=OR","EQY_CONSOLIDATED=Y","Sort=A","Dates=H","DateFormat=P","Fill=—","Direction=H","UseDPDF=Y")</f>
        <v>#NAME?</v>
      </c>
      <c r="BV232" s="2" t="e">
        <f ca="1">_xll.BDH($C$228,"TOTAL_CAPITAL_SEQUENTIAL_GROWTH","FQ4 2014","FQ4 2014","Currency=INR","Period=FQ","BEST_FPERIOD_OVERRIDE=FQ","FILING_STATUS=OR","EQY_CONSOLIDATED=Y","Sort=A","Dates=H","DateFormat=P","Fill=—","Direction=H","UseDPDF=Y")</f>
        <v>#NAME?</v>
      </c>
      <c r="BW232" s="2" t="e">
        <f ca="1">_xll.BDH($C$228,"BPS_SEQUENTIAL_GROWTH","FQ4 2014","FQ4 2014","Currency=INR","Period=FQ","BEST_FPERIOD_OVERRIDE=FQ","FILING_STATUS=OR","EQY_CONSOLIDATED=Y","Sort=A","Dates=H","DateFormat=P","Fill=—","Direction=H","UseDPDF=Y")</f>
        <v>#NAME?</v>
      </c>
      <c r="BX232" s="2" t="e">
        <f ca="1">_xll.BDH($C$228,"CFO_SEQUENTIAL_GROWTH","FQ4 2014","FQ4 2014","Currency=INR","Period=FQ","BEST_FPERIOD_OVERRIDE=FQ","FILING_STATUS=OR","EQY_CONSOLIDATED=Y","Sort=A","Dates=H","DateFormat=P","Fill=—","Direction=H","UseDPDF=Y")</f>
        <v>#NAME?</v>
      </c>
      <c r="BY232" s="3" t="e">
        <f ca="1">_xll.BDH($C$228,"SHORT_AND_LONG_TERM_DEBT","FQ4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32" s="3" t="e">
        <f ca="1">_xll.BDH($C$228,"BS_ST_BORROW","FQ4 2014","FQ4 2014","Currency=INR","Period=FQ","BEST_FPERIOD_OVERRIDE=FQ","FILING_STATUS=OR","EQY_CONSOLIDATED=Y","SCALING_FORMAT=MLN","Sort=A","Dates=H","DateFormat=P","Fill=—","Direction=H","UseDPDF=Y")</f>
        <v>#NAME?</v>
      </c>
      <c r="CA232" s="3" t="e">
        <f ca="1">_xll.BDH($C$228,"BS_LT_BORROW","FQ4 2014","FQ4 2014","Currency=INR","Period=FQ","BEST_FPERIOD_OVERRIDE=FQ","FILING_STATUS=OR","EQY_CONSOLIDATED=Y","SCALING_FORMAT=MLN","Sort=A","Dates=H","DateFormat=P","Fill=—","Direction=H","UseDPDF=Y")</f>
        <v>#NAME?</v>
      </c>
      <c r="CB232" s="2" t="e">
        <f ca="1">_xll.BDH($C$228,"TOT_DEBT_TO_EBITDA","FQ4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32" s="2" t="e">
        <f ca="1">_xll.BDH($C$228,"NET_DEBT_TO_EBITDA","FQ4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32" s="2" t="e">
        <f ca="1">_xll.BDH($C$228,"TOTAL_DEBT_TO_EBIT","FQ4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32" s="2" t="e">
        <f ca="1">_xll.BDH($C$228,"NET_DEBT_TO_EBIT","FQ4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32" s="2" t="e">
        <f ca="1">_xll.BDH($C$228,"EBITDA_TO_INTEREST_EXPN","FQ4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32" s="2" t="e">
        <f ca="1">_xll.BDH($C$228,"COM_EQY_TO_TOT_ASSET","FQ4 2014","FQ4 2014","Currency=INR","Period=FQ","BEST_FPERIOD_OVERRIDE=FQ","FILING_STATUS=OR","EQY_CONSOLIDATED=Y","Sort=A","Dates=H","DateFormat=P","Fill=—","Direction=H","UseDPDF=Y")</f>
        <v>#NAME?</v>
      </c>
      <c r="CH232" s="2" t="e">
        <f ca="1">_xll.BDH($C$228,"LT_DEBT_TO_TOT_EQY","FQ4 2014","FQ4 2014","Currency=INR","Period=FQ","BEST_FPERIOD_OVERRIDE=FQ","FILING_STATUS=OR","EQY_CONSOLIDATED=Y","Sort=A","Dates=H","DateFormat=P","Fill=—","Direction=H","UseDPDF=Y")</f>
        <v>#NAME?</v>
      </c>
      <c r="CI232" s="2" t="e">
        <f ca="1">_xll.BDH($C$228,"LT_DEBT_TO_TOT_CAP","FQ4 2014","FQ4 2014","Currency=INR","Period=FQ","BEST_FPERIOD_OVERRIDE=FQ","FILING_STATUS=OR","EQY_CONSOLIDATED=Y","Sort=A","Dates=H","DateFormat=P","Fill=—","Direction=H","UseDPDF=Y")</f>
        <v>#NAME?</v>
      </c>
      <c r="CJ232" s="2" t="e">
        <f ca="1">_xll.BDH($C$228,"LT_DEBT_TO_TOT_ASSET","FQ4 2014","FQ4 2014","Currency=INR","Period=FQ","BEST_FPERIOD_OVERRIDE=FQ","FILING_STATUS=OR","EQY_CONSOLIDATED=Y","Sort=A","Dates=H","DateFormat=P","Fill=—","Direction=H","UseDPDF=Y")</f>
        <v>#NAME?</v>
      </c>
      <c r="CK232" s="2" t="e">
        <f ca="1">_xll.BDH($C$228,"TOT_DEBT_TO_TOT_EQY","FQ4 2014","FQ4 2014","Currency=INR","Period=FQ","BEST_FPERIOD_OVERRIDE=FQ","FILING_STATUS=OR","EQY_CONSOLIDATED=Y","Sort=A","Dates=H","DateFormat=P","Fill=—","Direction=H","UseDPDF=Y")</f>
        <v>#NAME?</v>
      </c>
      <c r="CL232" s="2" t="e">
        <f ca="1">_xll.BDH($C$228,"TOT_DEBT_TO_TOT_CAP","FQ4 2014","FQ4 2014","Currency=INR","Period=FQ","BEST_FPERIOD_OVERRIDE=FQ","FILING_STATUS=OR","EQY_CONSOLIDATED=Y","Sort=A","Dates=H","DateFormat=P","Fill=—","Direction=H","UseDPDF=Y")</f>
        <v>#NAME?</v>
      </c>
      <c r="CM232" s="2" t="e">
        <f ca="1">_xll.BDH($C$228,"TOT_DEBT_TO_TOT_ASSET","FQ4 2014","FQ4 2014","Currency=INR","Period=FQ","BEST_FPERIOD_OVERRIDE=FQ","FILING_STATUS=OR","EQY_CONSOLIDATED=Y","Sort=A","Dates=H","DateFormat=P","Fill=—","Direction=H","UseDPDF=Y")</f>
        <v>#NAME?</v>
      </c>
      <c r="CN232" s="2" t="e">
        <f ca="1">_xll.BDH($C$228,"NET_DEBT_TO_SHRHLDR_EQTY","FQ4 2014","FQ4 2014","Currency=INR","Period=FQ","BEST_FPERIOD_OVERRIDE=FQ","FILING_STATUS=OR","EQY_CONSOLIDATED=Y","Sort=A","Dates=H","DateFormat=P","Fill=—","Direction=H","UseDPDF=Y")</f>
        <v>#NAME?</v>
      </c>
      <c r="CO232" s="2" t="e">
        <f ca="1">_xll.BDH($C$228,"NET_DEBT_%_CAPITAL","FQ4 2014","FQ4 2014","Currency=INR","Period=FQ","BEST_FPERIOD_OVERRIDE=FQ","FILING_STATUS=OR","EQY_CONSOLIDATED=Y","Sort=A","Dates=H","DateFormat=P","Fill=—","Direction=H","UseDPDF=Y")</f>
        <v>#NAME?</v>
      </c>
      <c r="CP232" s="3" t="e">
        <f ca="1">_xll.BDH($C$228,"EBITDA","FQ4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32" s="3" t="e">
        <f ca="1">_xll.BDH($C$228,"EBITDA_AFTER_CAPEX","FQ4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32" s="3" t="e">
        <f ca="1">_xll.BDH($C$228,"IS_OPER_INC","FQ4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32" s="2" t="e">
        <f ca="1">_xll.BDH($C$228,"CASH_RATIO","FQ4 2014","FQ4 2014","Currency=INR","Period=FQ","BEST_FPERIOD_OVERRIDE=FQ","FILING_STATUS=OR","EQY_CONSOLIDATED=Y","Sort=A","Dates=H","DateFormat=P","Fill=—","Direction=H","UseDPDF=Y")</f>
        <v>#NAME?</v>
      </c>
      <c r="CT232" s="2" t="e">
        <f ca="1">_xll.BDH($C$228,"CUR_RATIO","FQ4 2014","FQ4 2014","Currency=INR","Period=FQ","BEST_FPERIOD_OVERRIDE=FQ","FILING_STATUS=OR","EQY_CONSOLIDATED=Y","Sort=A","Dates=H","DateFormat=P","Fill=—","Direction=H","UseDPDF=Y")</f>
        <v>#NAME?</v>
      </c>
      <c r="CU232" s="2" t="e">
        <f ca="1">_xll.BDH($C$228,"QUICK_RATIO","FQ4 2014","FQ4 2014","Currency=INR","Period=FQ","BEST_FPERIOD_OVERRIDE=FQ","FILING_STATUS=OR","EQY_CONSOLIDATED=Y","Sort=A","Dates=H","DateFormat=P","Fill=—","Direction=H","UseDPDF=Y")</f>
        <v>#NAME?</v>
      </c>
      <c r="CV232" s="2" t="e">
        <f ca="1">_xll.BDH($C$228,"ALTMAN_Z_SCORE","FQ4 2014","FQ4 2014","Currency=INR","Period=FQ","BEST_FPERIOD_OVERRIDE=FQ","FILING_STATUS=OR","EQY_CONSOLIDATED=Y","Sort=A","Dates=H","DateFormat=P","Fill=—","Direction=H","UseDPDF=Y")</f>
        <v>#NAME?</v>
      </c>
      <c r="CW232" s="4" t="e">
        <f ca="1">_xll.BDH($C$228,"ACCT_RCV_TURN","FQ4 2014","FQ4 2014","Currency=INR","Period=FQ","BEST_FPERIOD_OVERRIDE=FQ","FILING_STATUS=OR","EQY_CONSOLIDATED=Y","FA_ADJUSTED=GAAP","Sort=A","Dates=H","DateFormat=P","Fill=—","Direction=H","UseDPDF=Y")</f>
        <v>#NAME?</v>
      </c>
      <c r="CX232" s="2" t="e">
        <f ca="1">_xll.BDH($C$228,"ACCT_RCV_DAYS","FQ4 2014","FQ4 2014","Currency=INR","Period=FQ","BEST_FPERIOD_OVERRIDE=FQ","FILING_STATUS=OR","EQY_CONSOLIDATED=Y","FA_ADJUSTED=GAAP","Sort=A","Dates=H","DateFormat=P","Fill=—","Direction=H","UseDPDF=Y")</f>
        <v>#NAME?</v>
      </c>
      <c r="CY232" s="4" t="e">
        <f ca="1">_xll.BDH($C$228,"INVENT_TURN","FQ4 2014","FQ4 2014","Currency=INR","Period=FQ","BEST_FPERIOD_OVERRIDE=FQ","FILING_STATUS=OR","EQY_CONSOLIDATED=Y","FA_ADJUSTED=GAAP","Sort=A","Dates=H","DateFormat=P","Fill=—","Direction=H","UseDPDF=Y")</f>
        <v>#NAME?</v>
      </c>
      <c r="CZ232" s="2" t="e">
        <f ca="1">_xll.BDH($C$228,"INVENT_DAYS","FQ4 2014","FQ4 2014","Currency=INR","Period=FQ","BEST_FPERIOD_OVERRIDE=FQ","FILING_STATUS=OR","EQY_CONSOLIDATED=Y","FA_ADJUSTED=GAAP","Sort=A","Dates=H","DateFormat=P","Fill=—","Direction=H","UseDPDF=Y")</f>
        <v>#NAME?</v>
      </c>
      <c r="DA232" s="4" t="e">
        <f ca="1">_xll.BDH($C$228,"ACCOUNTS_PAYABLE_TURNOVER","FQ4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32" s="2" t="e">
        <f ca="1">_xll.BDH($C$228,"ACCOUNTS_PAYABLE_TURNOVER_DAYS","FQ4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32" s="4" t="e">
        <f ca="1">_xll.BDH($C$228,"CASH_CONVERSION_CYCLE","FQ4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32" s="4" t="e">
        <f ca="1">_xll.BDH($C$228,"INV_TO_CASH_DAYS","FQ4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32" s="5" t="e">
        <f ca="1">_xll.BDH($C$228,"BS_INVENTORIES","FQ4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32" s="3" t="e">
        <f ca="1">_xll.BDH($C$228,"INVTRY_RAW_MATERIALS","FQ4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32" s="3" t="e">
        <f ca="1">_xll.BDH($C$228,"INVTRY_IN_PROGRESS","FQ4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32" s="3" t="e">
        <f ca="1">_xll.BDH($C$228,"INVTRY_FINISHED_GOODS","FQ4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32" s="3" t="e">
        <f ca="1">_xll.BDH($C$228,"BS_OTHER_INV","FQ4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33" spans="1:113" x14ac:dyDescent="0.3">
      <c r="A233" s="6"/>
      <c r="B233" s="6"/>
      <c r="C233" s="6"/>
      <c r="D233" s="6" t="s">
        <v>82</v>
      </c>
      <c r="E233" t="s">
        <v>77</v>
      </c>
      <c r="F233" t="e">
        <f ca="1">_xll.BDH($C$228,"RETURN_COM_EQY","FY 2015","FY 2015","Currency=INR","Period=FY","BEST_FPERIOD_OVERRIDE=FY","FILING_STATUS=OR","EQY_CONSOLIDATED=Y","FA_ADJUSTED=GAAP","Sort=A","Dates=H","DateFormat=P","Fill=—","Direction=H","UseDPDF=Y")</f>
        <v>#NAME?</v>
      </c>
      <c r="G233" t="e">
        <f ca="1">_xll.BDH($C$228,"RETURN_ON_ASSET","FY 2015","FY 2015","Currency=INR","Period=FY","BEST_FPERIOD_OVERRIDE=FY","FILING_STATUS=OR","EQY_CONSOLIDATED=Y","FA_ADJUSTED=GAAP","Sort=A","Dates=H","DateFormat=P","Fill=—","Direction=H","UseDPDF=Y")</f>
        <v>#NAME?</v>
      </c>
      <c r="H233" t="e">
        <f ca="1">_xll.BDH($C$228,"RETURN_ON_CAP","FY 2015","FY 2015","Currency=INR","Period=FY","BEST_FPERIOD_OVERRIDE=FY","FILING_STATUS=OR","EQY_CONSOLIDATED=Y","FA_ADJUSTED=GAAP","Sort=A","Dates=H","DateFormat=P","Fill=—","Direction=H","UseDPDF=Y")</f>
        <v>#NAME?</v>
      </c>
      <c r="I233" t="e">
        <f ca="1">_xll.BDH($C$228,"RETURN_ON_INV_CAPITAL","FY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33" t="e">
        <f ca="1">_xll.BDH($C$228,"EBITDA_TO_REVENUE","FY 2015","FY 2015","Currency=INR","Period=FY","BEST_FPERIOD_OVERRIDE=FY","FILING_STATUS=OR","EQY_CONSOLIDATED=Y","FA_ADJUSTED=GAAP","Sort=A","Dates=H","DateFormat=P","Fill=—","Direction=H","UseDPDF=Y")</f>
        <v>#NAME?</v>
      </c>
      <c r="K233" t="e">
        <f ca="1">_xll.BDH($C$228,"OPER_MARGIN","FY 2015","FY 2015","Currency=INR","Period=FY","BEST_FPERIOD_OVERRIDE=FY","FILING_STATUS=OR","EQY_CONSOLIDATED=Y","FA_ADJUSTED=GAAP","Sort=A","Dates=H","DateFormat=P","Fill=—","Direction=H","UseDPDF=Y")</f>
        <v>#NAME?</v>
      </c>
      <c r="L233" t="e">
        <f ca="1">_xll.BDH($C$228,"INCREMENTAL_OPERATING_MARGIN","FY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33" t="e">
        <f ca="1">_xll.BDH($C$228,"PRETAX_INC_TO_NET_SALES","FY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33" t="e">
        <f ca="1">_xll.BDH($C$228,"INC_BEF_XO_ITEMS_TO_NET_SALES","FY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33" t="e">
        <f ca="1">_xll.BDH($C$228,"PROF_MARGIN","FY 2015","FY 2015","Currency=INR","Period=FY","BEST_FPERIOD_OVERRIDE=FY","FILING_STATUS=OR","EQY_CONSOLIDATED=Y","FA_ADJUSTED=GAAP","Sort=A","Dates=H","DateFormat=P","Fill=—","Direction=H","UseDPDF=Y")</f>
        <v>#NAME?</v>
      </c>
      <c r="P233" t="e">
        <f ca="1">_xll.BDH($C$228,"NET_INCOME_TO_COMMON_MARGIN","FY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33" t="e">
        <f ca="1">_xll.BDH($C$228,"EFF_TAX_RATE","FY 2015","FY 2015","Currency=INR","Period=FY","BEST_FPERIOD_OVERRIDE=FY","FILING_STATUS=OR","EQY_CONSOLIDATED=Y","FA_ADJUSTED=GAAP","Sort=A","Dates=H","DateFormat=P","Fill=—","Direction=H","UseDPDF=Y")</f>
        <v>#NAME?</v>
      </c>
      <c r="R233" t="e">
        <f ca="1">_xll.BDH($C$228,"DVD_PAYOUT_RATIO","FY 2015","FY 2015","Currency=INR","Period=FY","BEST_FPERIOD_OVERRIDE=FY","FILING_STATUS=OR","EQY_CONSOLIDATED=Y","FA_ADJUSTED=GAAP","Sort=A","Dates=H","DateFormat=P","Fill=—","Direction=H","UseDPDF=Y")</f>
        <v>#NAME?</v>
      </c>
      <c r="S233" t="e">
        <f ca="1">_xll.BDH($C$228,"SUSTAIN_GROWTH_RT","FY 2015","FY 2015","Currency=INR","Period=FY","BEST_FPERIOD_OVERRIDE=FY","FILING_STATUS=OR","EQY_CONSOLIDATED=Y","FA_ADJUSTED=GAAP","Sort=A","Dates=H","DateFormat=P","Fill=—","Direction=H","UseDPDF=Y")</f>
        <v>#NAME?</v>
      </c>
      <c r="T233" s="2" t="e">
        <f ca="1">_xll.BDH($C$228,"SALES_GROWTH","FY 2015","FY 2015","Currency=INR","Period=FY","BEST_FPERIOD_OVERRIDE=FY","FILING_STATUS=OR","EQY_CONSOLIDATED=Y","FA_ADJUSTED=GAAP","Sort=A","Dates=H","DateFormat=P","Fill=—","Direction=H","UseDPDF=Y")</f>
        <v>#NAME?</v>
      </c>
      <c r="U233" s="2" t="e">
        <f ca="1">_xll.BDH($C$228,"EBITDA_GROWTH","FY 2015","FY 2015","Currency=INR","Period=FY","BEST_FPERIOD_OVERRIDE=FY","FILING_STATUS=OR","EQY_CONSOLIDATED=Y","FA_ADJUSTED=GAAP","Sort=A","Dates=H","DateFormat=P","Fill=—","Direction=H","UseDPDF=Y")</f>
        <v>#NAME?</v>
      </c>
      <c r="V233" s="2" t="e">
        <f ca="1">_xll.BDH($C$228,"OPER_INC_GROWTH","FY 2015","FY 2015","Currency=INR","Period=FY","BEST_FPERIOD_OVERRIDE=FY","FILING_STATUS=OR","EQY_CONSOLIDATED=Y","FA_ADJUSTED=GAAP","Sort=A","Dates=H","DateFormat=P","Fill=—","Direction=H","UseDPDF=Y")</f>
        <v>#NAME?</v>
      </c>
      <c r="W233" s="2" t="e">
        <f ca="1">_xll.BDH($C$228,"EARN_FOR_COM_GROWTH","FY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33" s="2" t="e">
        <f ca="1">_xll.BDH($C$228,"DILUTED_EPS_AFT_XO_ITEMS_GROWTH","FY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33" s="2" t="e">
        <f ca="1">_xll.BDH($C$228,"DIVIDEND_PER_SHARE_1_YEAR_GROWTH","FY 2015","FY 2015","Currency=INR","Period=FY","BEST_FPERIOD_OVERRIDE=FY","FILING_STATUS=OR","EQY_CONSOLIDATED=Y","Sort=A","Dates=H","DateFormat=P","Fill=—","Direction=H","UseDPDF=Y")</f>
        <v>#NAME?</v>
      </c>
      <c r="Z233" s="2" t="e">
        <f ca="1">_xll.BDH($C$228,"ACCOUNTS_RECEIVABLE_GROWTH","FY 2015","FY 2015","Currency=INR","Period=FY","BEST_FPERIOD_OVERRIDE=FY","FILING_STATUS=OR","EQY_CONSOLIDATED=Y","Sort=A","Dates=H","DateFormat=P","Fill=—","Direction=H","UseDPDF=Y")</f>
        <v>#NAME?</v>
      </c>
      <c r="AA233" s="2" t="e">
        <f ca="1">_xll.BDH($C$228,"INVENTORY_GROWTH","FY 2015","FY 2015","Currency=INR","Period=FY","BEST_FPERIOD_OVERRIDE=FY","FILING_STATUS=OR","EQY_CONSOLIDATED=Y","Sort=A","Dates=H","DateFormat=P","Fill=—","Direction=H","UseDPDF=Y")</f>
        <v>#NAME?</v>
      </c>
      <c r="AB233" s="2" t="e">
        <f ca="1">_xll.BDH($C$228,"NET_FIXED_ASSETS_1_YEAR_GROWTH","FY 2015","FY 2015","Currency=INR","Period=FY","BEST_FPERIOD_OVERRIDE=FY","FILING_STATUS=OR","EQY_CONSOLIDATED=Y","Sort=A","Dates=H","DateFormat=P","Fill=—","Direction=H","UseDPDF=Y")</f>
        <v>#NAME?</v>
      </c>
      <c r="AC233" s="2" t="e">
        <f ca="1">_xll.BDH($C$228,"ASSET_GROWTH","FY 2015","FY 2015","Currency=INR","Period=FY","BEST_FPERIOD_OVERRIDE=FY","FILING_STATUS=OR","EQY_CONSOLIDATED=Y","Sort=A","Dates=H","DateFormat=P","Fill=—","Direction=H","UseDPDF=Y")</f>
        <v>#NAME?</v>
      </c>
      <c r="AD233" s="2" t="e">
        <f ca="1">_xll.BDH($C$228,"MODIFIED_WORK_CAP_GROWTH","FY 2015","FY 2015","Currency=INR","Period=FY","BEST_FPERIOD_OVERRIDE=FY","FILING_STATUS=OR","EQY_CONSOLIDATED=Y","Sort=A","Dates=H","DateFormat=P","Fill=—","Direction=H","UseDPDF=Y")</f>
        <v>#NAME?</v>
      </c>
      <c r="AE233" s="2" t="e">
        <f ca="1">_xll.BDH($C$228,"WORK_CAP_GROWTH","FY 2015","FY 2015","Currency=INR","Period=FY","BEST_FPERIOD_OVERRIDE=FY","FILING_STATUS=OR","EQY_CONSOLIDATED=Y","Sort=A","Dates=H","DateFormat=P","Fill=—","Direction=H","UseDPDF=Y")</f>
        <v>#NAME?</v>
      </c>
      <c r="AF233" s="2" t="e">
        <f ca="1">_xll.BDH($C$228,"ACCOUNTS_PAYABLE_GROWTH_1YR","FY 2015","FY 2015","Currency=INR","Period=FY","BEST_FPERIOD_OVERRIDE=FY","FILING_STATUS=OR","EQY_CONSOLIDATED=Y","Sort=A","Dates=H","DateFormat=P","Fill=—","Direction=H","UseDPDF=Y")</f>
        <v>#NAME?</v>
      </c>
      <c r="AG233" s="2" t="e">
        <f ca="1">_xll.BDH($C$228,"SHORT_TERM_DEBT_1_YEAR_GROWTH","FY 2015","FY 2015","Currency=INR","Period=FY","BEST_FPERIOD_OVERRIDE=FY","FILING_STATUS=OR","EQY_CONSOLIDATED=Y","Sort=A","Dates=H","DateFormat=P","Fill=—","Direction=H","UseDPDF=Y")</f>
        <v>#NAME?</v>
      </c>
      <c r="AH233" s="2" t="e">
        <f ca="1">_xll.BDH($C$228,"TOTAL_DEBT_1_YEAR_GROWTH","FY 2015","FY 2015","Currency=INR","Period=FY","BEST_FPERIOD_OVERRIDE=FY","FILING_STATUS=OR","EQY_CONSOLIDATED=Y","Sort=A","Dates=H","DateFormat=P","Fill=—","Direction=H","UseDPDF=Y")</f>
        <v>#NAME?</v>
      </c>
      <c r="AI233" s="2" t="e">
        <f ca="1">_xll.BDH($C$228,"TOTAL_EQUITY_1_YEAR_GROWTH","FY 2015","FY 2015","Currency=INR","Period=FY","BEST_FPERIOD_OVERRIDE=FY","FILING_STATUS=OR","EQY_CONSOLIDATED=Y","Sort=A","Dates=H","DateFormat=P","Fill=—","Direction=H","UseDPDF=Y")</f>
        <v>#NAME?</v>
      </c>
      <c r="AJ233" s="2" t="e">
        <f ca="1">_xll.BDH($C$228,"GROWTH_IN_CAP","FY 2015","FY 2015","Currency=INR","Period=FY","BEST_FPERIOD_OVERRIDE=FY","FILING_STATUS=OR","EQY_CONSOLIDATED=Y","Sort=A","Dates=H","DateFormat=P","Fill=—","Direction=H","UseDPDF=Y")</f>
        <v>#NAME?</v>
      </c>
      <c r="AK233" s="2" t="e">
        <f ca="1">_xll.BDH($C$228,"BVPS_GROWTH","FY 2015","FY 2015","Currency=INR","Period=FY","BEST_FPERIOD_OVERRIDE=FY","FILING_STATUS=OR","EQY_CONSOLIDATED=Y","Sort=A","Dates=H","DateFormat=P","Fill=—","Direction=H","UseDPDF=Y")</f>
        <v>#NAME?</v>
      </c>
      <c r="AL233" s="2" t="e">
        <f ca="1">_xll.BDH($C$228,"CASH_FLOW_GROWTH","FY 2015","FY 2015","Currency=INR","Period=FY","BEST_FPERIOD_OVERRIDE=FY","FILING_STATUS=OR","EQY_CONSOLIDATED=Y","Sort=A","Dates=H","DateFormat=P","Fill=—","Direction=H","UseDPDF=Y")</f>
        <v>#NAME?</v>
      </c>
      <c r="AM233" s="2" t="e">
        <f ca="1">_xll.BDH($C$228,"GEO_GROW_NET_SALES","FY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33" s="2" t="e">
        <f ca="1">_xll.BDH($C$228,"GEO_GROW_EBITDA","FY 2015","FY 2015","Currency=INR","Period=FY","BEST_FPERIOD_OVERRIDE=FY","FILING_STATUS=OR","EQY_CONSOLIDATED=Y","FA_ADJUSTED=GAAP","Sort=A","Dates=H","DateFormat=P","Fill=—","Direction=H","UseDPDF=Y")</f>
        <v>#NAME?</v>
      </c>
      <c r="AO233" s="2" t="e">
        <f ca="1">_xll.BDH($C$228,"GEO_GROW_OPER_INC","FY 2015","FY 2015","Currency=INR","Period=FY","BEST_FPERIOD_OVERRIDE=FY","FILING_STATUS=OR","EQY_CONSOLIDATED=Y","FA_ADJUSTED=GAAP","Sort=A","Dates=H","DateFormat=P","Fill=—","Direction=H","UseDPDF=Y")</f>
        <v>#NAME?</v>
      </c>
      <c r="AP233" s="2" t="e">
        <f ca="1">_xll.BDH($C$228,"NET_INCOME_TO_COMMON_5_YR_GROWTH","FY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33" s="2" t="e">
        <f ca="1">_xll.BDH($C$228,"5Y_GEO_GROWTH_DILUTED_EPS","FY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33" s="2" t="e">
        <f ca="1">_xll.BDH($C$228,"GEO_GROW_DVD_PER_SH","FY 2015","FY 2015","Currency=INR","Period=FY","BEST_FPERIOD_OVERRIDE=FY","FILING_STATUS=OR","EQY_CONSOLIDATED=Y","Sort=A","Dates=H","DateFormat=P","Fill=—","Direction=H","UseDPDF=Y")</f>
        <v>#NAME?</v>
      </c>
      <c r="AS233" s="2" t="e">
        <f ca="1">_xll.BDH($C$228,"ACCOUNTS_RECEIVABLE_5_YR_GROWTH","FY 2015","FY 2015","Currency=INR","Period=FY","BEST_FPERIOD_OVERRIDE=FY","FILING_STATUS=OR","EQY_CONSOLIDATED=Y","Sort=A","Dates=H","DateFormat=P","Fill=—","Direction=H","UseDPDF=Y")</f>
        <v>#NAME?</v>
      </c>
      <c r="AT233" s="2" t="e">
        <f ca="1">_xll.BDH($C$228,"INVENTORY_5_YEAR_GROWTH","FY 2015","FY 2015","Currency=INR","Period=FY","BEST_FPERIOD_OVERRIDE=FY","FILING_STATUS=OR","EQY_CONSOLIDATED=Y","Sort=A","Dates=H","DateFormat=P","Fill=—","Direction=H","UseDPDF=Y")</f>
        <v>#NAME?</v>
      </c>
      <c r="AU233" s="2" t="e">
        <f ca="1">_xll.BDH($C$228,"NET_FIXED_ASSETS_5_YEAR_GROWTH","FY 2015","FY 2015","Currency=INR","Period=FY","BEST_FPERIOD_OVERRIDE=FY","FILING_STATUS=OR","EQY_CONSOLIDATED=Y","Sort=A","Dates=H","DateFormat=P","Fill=—","Direction=H","UseDPDF=Y")</f>
        <v>#NAME?</v>
      </c>
      <c r="AV233" s="2" t="e">
        <f ca="1">_xll.BDH($C$228,"GEO_GROW_TOT_ASSET","FY 2015","FY 2015","Currency=INR","Period=FY","BEST_FPERIOD_OVERRIDE=FY","FILING_STATUS=OR","EQY_CONSOLIDATED=Y","Sort=A","Dates=H","DateFormat=P","Fill=—","Direction=H","UseDPDF=Y")</f>
        <v>#NAME?</v>
      </c>
      <c r="AW233" s="2" t="e">
        <f ca="1">_xll.BDH($C$228,"MODIFIED_WORKING_CPTL_5YR_GRWTH","FY 2015","FY 2015","Currency=INR","Period=FY","BEST_FPERIOD_OVERRIDE=FY","FILING_STATUS=OR","EQY_CONSOLIDATED=Y","Sort=A","Dates=H","DateFormat=P","Fill=—","Direction=H","UseDPDF=Y")</f>
        <v>#NAME?</v>
      </c>
      <c r="AX233" s="2" t="e">
        <f ca="1">_xll.BDH($C$228,"WORKING_CAPITAL_5_YEAR_GROWTH","FY 2015","FY 2015","Currency=INR","Period=FY","BEST_FPERIOD_OVERRIDE=FY","FILING_STATUS=OR","EQY_CONSOLIDATED=Y","Sort=A","Dates=H","DateFormat=P","Fill=—","Direction=H","UseDPDF=Y")</f>
        <v>#NAME?</v>
      </c>
      <c r="AY233" s="2" t="e">
        <f ca="1">_xll.BDH($C$228,"ACCOUNTS_PAYABLE_5_YEAR_GROWTH","FY 2015","FY 2015","Currency=INR","Period=FY","BEST_FPERIOD_OVERRIDE=FY","FILING_STATUS=OR","EQY_CONSOLIDATED=Y","Sort=A","Dates=H","DateFormat=P","Fill=—","Direction=H","UseDPDF=Y")</f>
        <v>#NAME?</v>
      </c>
      <c r="AZ233" s="2" t="e">
        <f ca="1">_xll.BDH($C$228,"SHORT_TERM_DEBT_5_YEAR_GROWTH","FY 2015","FY 2015","Currency=INR","Period=FY","BEST_FPERIOD_OVERRIDE=FY","FILING_STATUS=OR","EQY_CONSOLIDATED=Y","Sort=A","Dates=H","DateFormat=P","Fill=—","Direction=H","UseDPDF=Y")</f>
        <v>#NAME?</v>
      </c>
      <c r="BA233" s="2" t="e">
        <f ca="1">_xll.BDH($C$228,"TOTAL_DEBT_5_YEAR_GROWTH","FY 2015","FY 2015","Currency=INR","Period=FY","BEST_FPERIOD_OVERRIDE=FY","FILING_STATUS=OR","EQY_CONSOLIDATED=Y","Sort=A","Dates=H","DateFormat=P","Fill=—","Direction=H","UseDPDF=Y")</f>
        <v>#NAME?</v>
      </c>
      <c r="BB233" s="2" t="e">
        <f ca="1">_xll.BDH($C$228,"GEO_GROW_TOT_SHRHLDR_EQY","FY 2015","FY 2015","Currency=INR","Period=FY","BEST_FPERIOD_OVERRIDE=FY","FILING_STATUS=OR","EQY_CONSOLIDATED=Y","Sort=A","Dates=H","DateFormat=P","Fill=—","Direction=H","UseDPDF=Y")</f>
        <v>#NAME?</v>
      </c>
      <c r="BC233" s="2" t="e">
        <f ca="1">_xll.BDH($C$228,"TOTAL_CAPITAL_5_YEAR_GROWTH","FY 2015","FY 2015","Currency=INR","Period=FY","BEST_FPERIOD_OVERRIDE=FY","FILING_STATUS=OR","EQY_CONSOLIDATED=Y","Sort=A","Dates=H","DateFormat=P","Fill=—","Direction=H","UseDPDF=Y")</f>
        <v>#NAME?</v>
      </c>
      <c r="BD233" s="2" t="e">
        <f ca="1">_xll.BDH($C$228,"GEO_GROW_BOOK_VAL","FY 2015","FY 2015","Currency=INR","Period=FY","BEST_FPERIOD_OVERRIDE=FY","FILING_STATUS=OR","EQY_CONSOLIDATED=Y","Sort=A","Dates=H","DateFormat=P","Fill=—","Direction=H","UseDPDF=Y")</f>
        <v>#NAME?</v>
      </c>
      <c r="BE233" s="2" t="e">
        <f ca="1">_xll.BDH($C$228,"GEO_GROW_CASH_OPER_ACT","FY 2015","FY 2015","Currency=INR","Period=FY","BEST_FPERIOD_OVERRIDE=FY","FILING_STATUS=OR","EQY_CONSOLIDATED=Y","Sort=A","Dates=H","DateFormat=P","Fill=—","Direction=H","UseDPDF=Y")</f>
        <v>#NAME?</v>
      </c>
      <c r="BF233" s="2" t="e">
        <f ca="1">_xll.BDH($C$228,"REVENUE_SEQUENTIAL_GROWTH","FY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33" s="2" t="e">
        <f ca="1">_xll.BDH($C$228,"EBITDA_SEQUENTIAL_GROWTH","FY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33" s="2" t="e">
        <f ca="1">_xll.BDH($C$228,"OPERATING_INCOME_SEQ_GROWTH","FY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33" s="2" t="e">
        <f ca="1">_xll.BDH($C$228,"NET_INCOME_TO_COMMON_SEQ_GROWTH","FY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33" s="2" t="e">
        <f ca="1">_xll.BDH($C$228,"EPS_DILUTED_SEQUENTIAL_GROWTH","FY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33" s="2" t="e">
        <f ca="1">_xll.BDH($C$228,"DPS_SEQUENTIAL_GROWTH","FY 2015","FY 2015","Currency=INR","Period=FY","BEST_FPERIOD_OVERRIDE=FY","FILING_STATUS=OR","EQY_CONSOLIDATED=Y","Sort=A","Dates=H","DateFormat=P","Fill=—","Direction=H","UseDPDF=Y")</f>
        <v>#NAME?</v>
      </c>
      <c r="BL233" s="2" t="e">
        <f ca="1">_xll.BDH($C$228,"ACCOUNTS_RECEIVABLE_SEQ_GROWTH","FY 2015","FY 2015","Currency=INR","Period=FY","BEST_FPERIOD_OVERRIDE=FY","FILING_STATUS=OR","EQY_CONSOLIDATED=Y","Sort=A","Dates=H","DateFormat=P","Fill=—","Direction=H","UseDPDF=Y")</f>
        <v>#NAME?</v>
      </c>
      <c r="BM233" s="2" t="e">
        <f ca="1">_xll.BDH($C$228,"INVENTORY_SEQUENTIAL_GROWTH","FY 2015","FY 2015","Currency=INR","Period=FY","BEST_FPERIOD_OVERRIDE=FY","FILING_STATUS=OR","EQY_CONSOLIDATED=Y","Sort=A","Dates=H","DateFormat=P","Fill=—","Direction=H","UseDPDF=Y")</f>
        <v>#NAME?</v>
      </c>
      <c r="BN233" s="2" t="e">
        <f ca="1">_xll.BDH($C$228,"FIXED_ASSETS_SEQUENTIAL_GROWTH","FY 2015","FY 2015","Currency=INR","Period=FY","BEST_FPERIOD_OVERRIDE=FY","FILING_STATUS=OR","EQY_CONSOLIDATED=Y","Sort=A","Dates=H","DateFormat=P","Fill=—","Direction=H","UseDPDF=Y")</f>
        <v>#NAME?</v>
      </c>
      <c r="BO233" s="2" t="e">
        <f ca="1">_xll.BDH($C$228,"TOTAL_ASSETS_SEQUENTIAL_GROWTH","FY 2015","FY 2015","Currency=INR","Period=FY","BEST_FPERIOD_OVERRIDE=FY","FILING_STATUS=OR","EQY_CONSOLIDATED=Y","Sort=A","Dates=H","DateFormat=P","Fill=—","Direction=H","UseDPDF=Y")</f>
        <v>#NAME?</v>
      </c>
      <c r="BP233" s="2" t="e">
        <f ca="1">_xll.BDH($C$228,"MODIFIED_WORKING_CPTL_SEQ_GRWTH","FY 2015","FY 2015","Currency=INR","Period=FY","BEST_FPERIOD_OVERRIDE=FY","FILING_STATUS=OR","EQY_CONSOLIDATED=Y","Sort=A","Dates=H","DateFormat=P","Fill=—","Direction=H","UseDPDF=Y")</f>
        <v>#NAME?</v>
      </c>
      <c r="BQ233" s="2" t="e">
        <f ca="1">_xll.BDH($C$228,"WORKING_CAPITAL_SEQ_GROWTH","FY 2015","FY 2015","Currency=INR","Period=FY","BEST_FPERIOD_OVERRIDE=FY","FILING_STATUS=OR","EQY_CONSOLIDATED=Y","Sort=A","Dates=H","DateFormat=P","Fill=—","Direction=H","UseDPDF=Y")</f>
        <v>#NAME?</v>
      </c>
      <c r="BR233" s="2" t="e">
        <f ca="1">_xll.BDH($C$228,"ACCOUNTS_PAYABLE_SEQ_GROWTH","FY 2015","FY 2015","Currency=INR","Period=FY","BEST_FPERIOD_OVERRIDE=FY","FILING_STATUS=OR","EQY_CONSOLIDATED=Y","Sort=A","Dates=H","DateFormat=P","Fill=—","Direction=H","UseDPDF=Y")</f>
        <v>#NAME?</v>
      </c>
      <c r="BS233" s="2" t="e">
        <f ca="1">_xll.BDH($C$228,"ST_DEBT_SEQUENTIAL_GROWTH","FY 2015","FY 2015","Currency=INR","Period=FY","BEST_FPERIOD_OVERRIDE=FY","FILING_STATUS=OR","EQY_CONSOLIDATED=Y","Sort=A","Dates=H","DateFormat=P","Fill=—","Direction=H","UseDPDF=Y")</f>
        <v>#NAME?</v>
      </c>
      <c r="BT233" s="2" t="e">
        <f ca="1">_xll.BDH($C$228,"TOTAL_DEBT_SEQUENTIAL_GROWTH","FY 2015","FY 2015","Currency=INR","Period=FY","BEST_FPERIOD_OVERRIDE=FY","FILING_STATUS=OR","EQY_CONSOLIDATED=Y","Sort=A","Dates=H","DateFormat=P","Fill=—","Direction=H","UseDPDF=Y")</f>
        <v>#NAME?</v>
      </c>
      <c r="BU233" s="2" t="e">
        <f ca="1">_xll.BDH($C$228,"TOTAL_EQUITY_SEQUENTIAL_GROWTH","FY 2015","FY 2015","Currency=INR","Period=FY","BEST_FPERIOD_OVERRIDE=FY","FILING_STATUS=OR","EQY_CONSOLIDATED=Y","Sort=A","Dates=H","DateFormat=P","Fill=—","Direction=H","UseDPDF=Y")</f>
        <v>#NAME?</v>
      </c>
      <c r="BV233" s="2" t="e">
        <f ca="1">_xll.BDH($C$228,"TOTAL_CAPITAL_SEQUENTIAL_GROWTH","FY 2015","FY 2015","Currency=INR","Period=FY","BEST_FPERIOD_OVERRIDE=FY","FILING_STATUS=OR","EQY_CONSOLIDATED=Y","Sort=A","Dates=H","DateFormat=P","Fill=—","Direction=H","UseDPDF=Y")</f>
        <v>#NAME?</v>
      </c>
      <c r="BW233" s="2" t="e">
        <f ca="1">_xll.BDH($C$228,"BPS_SEQUENTIAL_GROWTH","FY 2015","FY 2015","Currency=INR","Period=FY","BEST_FPERIOD_OVERRIDE=FY","FILING_STATUS=OR","EQY_CONSOLIDATED=Y","Sort=A","Dates=H","DateFormat=P","Fill=—","Direction=H","UseDPDF=Y")</f>
        <v>#NAME?</v>
      </c>
      <c r="BX233" s="2" t="e">
        <f ca="1">_xll.BDH($C$228,"CFO_SEQUENTIAL_GROWTH","FY 2015","FY 2015","Currency=INR","Period=FY","BEST_FPERIOD_OVERRIDE=FY","FILING_STATUS=OR","EQY_CONSOLIDATED=Y","Sort=A","Dates=H","DateFormat=P","Fill=—","Direction=H","UseDPDF=Y")</f>
        <v>#NAME?</v>
      </c>
      <c r="BY233" s="3" t="e">
        <f ca="1">_xll.BDH($C$228,"SHORT_AND_LONG_TERM_DEBT","FY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33" s="3" t="e">
        <f ca="1">_xll.BDH($C$228,"BS_ST_BORROW","FY 2015","FY 2015","Currency=INR","Period=FY","BEST_FPERIOD_OVERRIDE=FY","FILING_STATUS=OR","EQY_CONSOLIDATED=Y","SCALING_FORMAT=MLN","Sort=A","Dates=H","DateFormat=P","Fill=—","Direction=H","UseDPDF=Y")</f>
        <v>#NAME?</v>
      </c>
      <c r="CA233" s="3" t="e">
        <f ca="1">_xll.BDH($C$228,"BS_LT_BORROW","FY 2015","FY 2015","Currency=INR","Period=FY","BEST_FPERIOD_OVERRIDE=FY","FILING_STATUS=OR","EQY_CONSOLIDATED=Y","SCALING_FORMAT=MLN","Sort=A","Dates=H","DateFormat=P","Fill=—","Direction=H","UseDPDF=Y")</f>
        <v>#NAME?</v>
      </c>
      <c r="CB233" s="2" t="e">
        <f ca="1">_xll.BDH($C$228,"TOT_DEBT_TO_EBITDA","FY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33" s="2" t="e">
        <f ca="1">_xll.BDH($C$228,"NET_DEBT_TO_EBITDA","FY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33" s="2" t="e">
        <f ca="1">_xll.BDH($C$228,"TOTAL_DEBT_TO_EBIT","FY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33" s="2" t="e">
        <f ca="1">_xll.BDH($C$228,"NET_DEBT_TO_EBIT","FY 2015","FY 2015","Currency=INR","Period=FY","BEST_FPERIOD_OVERRIDE=FY","FILING_STATUS=OR","EQY_CONSOLIDATED=Y","FA_ADJUSTED=GAAP","Sort=A","Dates=H","DateFormat=P","Fill=—","Direction=H","UseDPDF=Y")</f>
        <v>#NAME?</v>
      </c>
      <c r="CF233" s="2" t="e">
        <f ca="1">_xll.BDH($C$228,"EBITDA_TO_INTEREST_EXPN","FY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33" s="2" t="e">
        <f ca="1">_xll.BDH($C$228,"COM_EQY_TO_TOT_ASSET","FY 2015","FY 2015","Currency=INR","Period=FY","BEST_FPERIOD_OVERRIDE=FY","FILING_STATUS=OR","EQY_CONSOLIDATED=Y","Sort=A","Dates=H","DateFormat=P","Fill=—","Direction=H","UseDPDF=Y")</f>
        <v>#NAME?</v>
      </c>
      <c r="CH233" s="2" t="e">
        <f ca="1">_xll.BDH($C$228,"LT_DEBT_TO_TOT_EQY","FY 2015","FY 2015","Currency=INR","Period=FY","BEST_FPERIOD_OVERRIDE=FY","FILING_STATUS=OR","EQY_CONSOLIDATED=Y","Sort=A","Dates=H","DateFormat=P","Fill=—","Direction=H","UseDPDF=Y")</f>
        <v>#NAME?</v>
      </c>
      <c r="CI233" s="2" t="e">
        <f ca="1">_xll.BDH($C$228,"LT_DEBT_TO_TOT_CAP","FY 2015","FY 2015","Currency=INR","Period=FY","BEST_FPERIOD_OVERRIDE=FY","FILING_STATUS=OR","EQY_CONSOLIDATED=Y","Sort=A","Dates=H","DateFormat=P","Fill=—","Direction=H","UseDPDF=Y")</f>
        <v>#NAME?</v>
      </c>
      <c r="CJ233" s="2" t="e">
        <f ca="1">_xll.BDH($C$228,"LT_DEBT_TO_TOT_ASSET","FY 2015","FY 2015","Currency=INR","Period=FY","BEST_FPERIOD_OVERRIDE=FY","FILING_STATUS=OR","EQY_CONSOLIDATED=Y","Sort=A","Dates=H","DateFormat=P","Fill=—","Direction=H","UseDPDF=Y")</f>
        <v>#NAME?</v>
      </c>
      <c r="CK233" s="2" t="e">
        <f ca="1">_xll.BDH($C$228,"TOT_DEBT_TO_TOT_EQY","FY 2015","FY 2015","Currency=INR","Period=FY","BEST_FPERIOD_OVERRIDE=FY","FILING_STATUS=OR","EQY_CONSOLIDATED=Y","Sort=A","Dates=H","DateFormat=P","Fill=—","Direction=H","UseDPDF=Y")</f>
        <v>#NAME?</v>
      </c>
      <c r="CL233" s="2" t="e">
        <f ca="1">_xll.BDH($C$228,"TOT_DEBT_TO_TOT_CAP","FY 2015","FY 2015","Currency=INR","Period=FY","BEST_FPERIOD_OVERRIDE=FY","FILING_STATUS=OR","EQY_CONSOLIDATED=Y","Sort=A","Dates=H","DateFormat=P","Fill=—","Direction=H","UseDPDF=Y")</f>
        <v>#NAME?</v>
      </c>
      <c r="CM233" s="2" t="e">
        <f ca="1">_xll.BDH($C$228,"TOT_DEBT_TO_TOT_ASSET","FY 2015","FY 2015","Currency=INR","Period=FY","BEST_FPERIOD_OVERRIDE=FY","FILING_STATUS=OR","EQY_CONSOLIDATED=Y","Sort=A","Dates=H","DateFormat=P","Fill=—","Direction=H","UseDPDF=Y")</f>
        <v>#NAME?</v>
      </c>
      <c r="CN233" s="2" t="e">
        <f ca="1">_xll.BDH($C$228,"NET_DEBT_TO_SHRHLDR_EQTY","FY 2015","FY 2015","Currency=INR","Period=FY","BEST_FPERIOD_OVERRIDE=FY","FILING_STATUS=OR","EQY_CONSOLIDATED=Y","Sort=A","Dates=H","DateFormat=P","Fill=—","Direction=H","UseDPDF=Y")</f>
        <v>#NAME?</v>
      </c>
      <c r="CO233" s="2" t="e">
        <f ca="1">_xll.BDH($C$228,"NET_DEBT_%_CAPITAL","FY 2015","FY 2015","Currency=INR","Period=FY","BEST_FPERIOD_OVERRIDE=FY","FILING_STATUS=OR","EQY_CONSOLIDATED=Y","Sort=A","Dates=H","DateFormat=P","Fill=—","Direction=H","UseDPDF=Y")</f>
        <v>#NAME?</v>
      </c>
      <c r="CP233" s="3" t="e">
        <f ca="1">_xll.BDH($C$228,"EBITDA","FY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33" s="3" t="e">
        <f ca="1">_xll.BDH($C$228,"EBITDA_AFTER_CAPEX","FY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33" s="3" t="e">
        <f ca="1">_xll.BDH($C$228,"IS_OPER_INC","FY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33" s="2" t="e">
        <f ca="1">_xll.BDH($C$228,"CASH_RATIO","FY 2015","FY 2015","Currency=INR","Period=FY","BEST_FPERIOD_OVERRIDE=FY","FILING_STATUS=OR","EQY_CONSOLIDATED=Y","Sort=A","Dates=H","DateFormat=P","Fill=—","Direction=H","UseDPDF=Y")</f>
        <v>#NAME?</v>
      </c>
      <c r="CT233" s="2" t="e">
        <f ca="1">_xll.BDH($C$228,"CUR_RATIO","FY 2015","FY 2015","Currency=INR","Period=FY","BEST_FPERIOD_OVERRIDE=FY","FILING_STATUS=OR","EQY_CONSOLIDATED=Y","Sort=A","Dates=H","DateFormat=P","Fill=—","Direction=H","UseDPDF=Y")</f>
        <v>#NAME?</v>
      </c>
      <c r="CU233" s="2" t="e">
        <f ca="1">_xll.BDH($C$228,"QUICK_RATIO","FY 2015","FY 2015","Currency=INR","Period=FY","BEST_FPERIOD_OVERRIDE=FY","FILING_STATUS=OR","EQY_CONSOLIDATED=Y","Sort=A","Dates=H","DateFormat=P","Fill=—","Direction=H","UseDPDF=Y")</f>
        <v>#NAME?</v>
      </c>
      <c r="CV233" s="2" t="e">
        <f ca="1">_xll.BDH($C$228,"ALTMAN_Z_SCORE","FY 2015","FY 2015","Currency=INR","Period=FY","BEST_FPERIOD_OVERRIDE=FY","FILING_STATUS=OR","EQY_CONSOLIDATED=Y","Sort=A","Dates=H","DateFormat=P","Fill=—","Direction=H","UseDPDF=Y")</f>
        <v>#NAME?</v>
      </c>
      <c r="CW233" s="4" t="e">
        <f ca="1">_xll.BDH($C$228,"ACCT_RCV_TURN","FY 2015","FY 2015","Currency=INR","Period=FY","BEST_FPERIOD_OVERRIDE=FY","FILING_STATUS=OR","EQY_CONSOLIDATED=Y","FA_ADJUSTED=GAAP","Sort=A","Dates=H","DateFormat=P","Fill=—","Direction=H","UseDPDF=Y")</f>
        <v>#NAME?</v>
      </c>
      <c r="CX233" s="2" t="e">
        <f ca="1">_xll.BDH($C$228,"ACCT_RCV_DAYS","FY 2015","FY 2015","Currency=INR","Period=FY","BEST_FPERIOD_OVERRIDE=FY","FILING_STATUS=OR","EQY_CONSOLIDATED=Y","FA_ADJUSTED=GAAP","Sort=A","Dates=H","DateFormat=P","Fill=—","Direction=H","UseDPDF=Y")</f>
        <v>#NAME?</v>
      </c>
      <c r="CY233" s="4" t="e">
        <f ca="1">_xll.BDH($C$228,"INVENT_TURN","FY 2015","FY 2015","Currency=INR","Period=FY","BEST_FPERIOD_OVERRIDE=FY","FILING_STATUS=OR","EQY_CONSOLIDATED=Y","FA_ADJUSTED=GAAP","Sort=A","Dates=H","DateFormat=P","Fill=—","Direction=H","UseDPDF=Y")</f>
        <v>#NAME?</v>
      </c>
      <c r="CZ233" s="2" t="e">
        <f ca="1">_xll.BDH($C$228,"INVENT_DAYS","FY 2015","FY 2015","Currency=INR","Period=FY","BEST_FPERIOD_OVERRIDE=FY","FILING_STATUS=OR","EQY_CONSOLIDATED=Y","FA_ADJUSTED=GAAP","Sort=A","Dates=H","DateFormat=P","Fill=—","Direction=H","UseDPDF=Y")</f>
        <v>#NAME?</v>
      </c>
      <c r="DA233" s="4" t="e">
        <f ca="1">_xll.BDH($C$228,"ACCOUNTS_PAYABLE_TURNOVER","FY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33" s="2" t="e">
        <f ca="1">_xll.BDH($C$228,"ACCOUNTS_PAYABLE_TURNOVER_DAYS","FY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33" s="4" t="e">
        <f ca="1">_xll.BDH($C$228,"CASH_CONVERSION_CYCLE","FY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33" s="4" t="e">
        <f ca="1">_xll.BDH($C$228,"INV_TO_CASH_DAYS","FY 2015","FY 2015","Currency=INR","Period=FY","BEST_FPERIOD_OVERRIDE=FY","FILING_STATUS=OR","EQY_CONSOLIDATED=Y","FA_ADJUSTED=GAAP","Sort=A","Dates=H","DateFormat=P","Fill=—","Direction=H","UseDPDF=Y")</f>
        <v>#NAME?</v>
      </c>
      <c r="DE233" s="5" t="e">
        <f ca="1">_xll.BDH($C$228,"BS_INVENTORIES","FY 2015","FY 2015","Currency=INR","Period=FY","BEST_FPERIOD_OVERRIDE=FY","FILING_STATUS=OR","EQY_CONSOLIDATED=Y","SCALING_FORMAT=MLN","Sort=A","Dates=H","DateFormat=P","Fill=—","Direction=H","UseDPDF=Y")</f>
        <v>#NAME?</v>
      </c>
      <c r="DF233" s="3" t="e">
        <f ca="1">_xll.BDH($C$228,"INVTRY_RAW_MATERIALS","FY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33" s="3" t="e">
        <f ca="1">_xll.BDH($C$228,"INVTRY_IN_PROGRESS","FY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33" s="3" t="e">
        <f ca="1">_xll.BDH($C$228,"INVTRY_FINISHED_GOODS","FY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33" s="3" t="e">
        <f ca="1">_xll.BDH($C$228,"BS_OTHER_INV","FY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34" spans="1:113" x14ac:dyDescent="0.3">
      <c r="A234" s="6"/>
      <c r="B234" s="6"/>
      <c r="C234" s="6"/>
      <c r="D234" s="6"/>
      <c r="E234" t="s">
        <v>78</v>
      </c>
      <c r="F234" t="e">
        <f ca="1">_xll.BDH($C$228,"RETURN_COM_EQY","FQ1 2015","FQ1 2015","Currency=INR","Period=FQ","BEST_FPERIOD_OVERRIDE=FQ","FILING_STATUS=OR","EQY_CONSOLIDATED=Y","FA_ADJUSTED=GAAP","Sort=A","Dates=H","DateFormat=P","Fill=—","Direction=H","UseDPDF=Y")</f>
        <v>#NAME?</v>
      </c>
      <c r="G234" t="e">
        <f ca="1">_xll.BDH($C$228,"RETURN_ON_ASSET","FQ1 2015","FQ1 2015","Currency=INR","Period=FQ","BEST_FPERIOD_OVERRIDE=FQ","FILING_STATUS=OR","EQY_CONSOLIDATED=Y","FA_ADJUSTED=GAAP","Sort=A","Dates=H","DateFormat=P","Fill=—","Direction=H","UseDPDF=Y")</f>
        <v>#NAME?</v>
      </c>
      <c r="H234" t="e">
        <f ca="1">_xll.BDH($C$228,"RETURN_ON_CAP","FQ1 2015","FQ1 2015","Currency=INR","Period=FQ","BEST_FPERIOD_OVERRIDE=FQ","FILING_STATUS=OR","EQY_CONSOLIDATED=Y","FA_ADJUSTED=GAAP","Sort=A","Dates=H","DateFormat=P","Fill=—","Direction=H","UseDPDF=Y")</f>
        <v>#NAME?</v>
      </c>
      <c r="I234" t="e">
        <f ca="1">_xll.BDH($C$228,"RETURN_ON_INV_CAPITAL","FQ1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34" t="e">
        <f ca="1">_xll.BDH($C$228,"EBITDA_TO_REVENUE","FQ1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34" t="e">
        <f ca="1">_xll.BDH($C$228,"OPER_MARGIN","FQ1 2015","FQ1 2015","Currency=INR","Period=FQ","BEST_FPERIOD_OVERRIDE=FQ","FILING_STATUS=OR","EQY_CONSOLIDATED=Y","FA_ADJUSTED=GAAP","Sort=A","Dates=H","DateFormat=P","Fill=—","Direction=H","UseDPDF=Y")</f>
        <v>#NAME?</v>
      </c>
      <c r="L234" t="e">
        <f ca="1">_xll.BDH($C$228,"INCREMENTAL_OPERATING_MARGIN","FQ1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34" t="e">
        <f ca="1">_xll.BDH($C$228,"PRETAX_INC_TO_NET_SALES","FQ1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34" t="e">
        <f ca="1">_xll.BDH($C$228,"INC_BEF_XO_ITEMS_TO_NET_SALES","FQ1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34" t="e">
        <f ca="1">_xll.BDH($C$228,"PROF_MARGIN","FQ1 2015","FQ1 2015","Currency=INR","Period=FQ","BEST_FPERIOD_OVERRIDE=FQ","FILING_STATUS=OR","EQY_CONSOLIDATED=Y","FA_ADJUSTED=GAAP","Sort=A","Dates=H","DateFormat=P","Fill=—","Direction=H","UseDPDF=Y")</f>
        <v>#NAME?</v>
      </c>
      <c r="P234" t="e">
        <f ca="1">_xll.BDH($C$228,"NET_INCOME_TO_COMMON_MARGIN","FQ1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34" t="e">
        <f ca="1">_xll.BDH($C$228,"EFF_TAX_RATE","FQ1 2015","FQ1 2015","Currency=INR","Period=FQ","BEST_FPERIOD_OVERRIDE=FQ","FILING_STATUS=OR","EQY_CONSOLIDATED=Y","FA_ADJUSTED=GAAP","Sort=A","Dates=H","DateFormat=P","Fill=—","Direction=H","UseDPDF=Y")</f>
        <v>#NAME?</v>
      </c>
      <c r="R234" t="e">
        <f ca="1">_xll.BDH($C$228,"DVD_PAYOUT_RATIO","FQ1 2015","FQ1 2015","Currency=INR","Period=FQ","BEST_FPERIOD_OVERRIDE=FQ","FILING_STATUS=OR","EQY_CONSOLIDATED=Y","FA_ADJUSTED=GAAP","Sort=A","Dates=H","DateFormat=P","Fill=—","Direction=H","UseDPDF=Y")</f>
        <v>#NAME?</v>
      </c>
      <c r="S234" t="e">
        <f ca="1">_xll.BDH($C$228,"SUSTAIN_GROWTH_RT","FQ1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34" s="2" t="e">
        <f ca="1">_xll.BDH($C$228,"SALES_GROWTH","FQ1 2015","FQ1 2015","Currency=INR","Period=FQ","BEST_FPERIOD_OVERRIDE=FQ","FILING_STATUS=OR","EQY_CONSOLIDATED=Y","FA_ADJUSTED=GAAP","Sort=A","Dates=H","DateFormat=P","Fill=—","Direction=H","UseDPDF=Y")</f>
        <v>#NAME?</v>
      </c>
      <c r="U234" s="2" t="e">
        <f ca="1">_xll.BDH($C$228,"EBITDA_GROWTH","FQ1 2015","FQ1 2015","Currency=INR","Period=FQ","BEST_FPERIOD_OVERRIDE=FQ","FILING_STATUS=OR","EQY_CONSOLIDATED=Y","FA_ADJUSTED=GAAP","Sort=A","Dates=H","DateFormat=P","Fill=—","Direction=H","UseDPDF=Y")</f>
        <v>#NAME?</v>
      </c>
      <c r="V234" s="2" t="e">
        <f ca="1">_xll.BDH($C$228,"OPER_INC_GROWTH","FQ1 2015","FQ1 2015","Currency=INR","Period=FQ","BEST_FPERIOD_OVERRIDE=FQ","FILING_STATUS=OR","EQY_CONSOLIDATED=Y","FA_ADJUSTED=GAAP","Sort=A","Dates=H","DateFormat=P","Fill=—","Direction=H","UseDPDF=Y")</f>
        <v>#NAME?</v>
      </c>
      <c r="W234" s="2" t="e">
        <f ca="1">_xll.BDH($C$228,"EARN_FOR_COM_GROWTH","FQ1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34" s="2" t="e">
        <f ca="1">_xll.BDH($C$228,"DILUTED_EPS_AFT_XO_ITEMS_GROWTH","FQ1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34" s="2" t="e">
        <f ca="1">_xll.BDH($C$228,"DIVIDEND_PER_SHARE_1_YEAR_GROWTH","FQ1 2015","FQ1 2015","Currency=INR","Period=FQ","BEST_FPERIOD_OVERRIDE=FQ","FILING_STATUS=OR","EQY_CONSOLIDATED=Y","Sort=A","Dates=H","DateFormat=P","Fill=—","Direction=H","UseDPDF=Y")</f>
        <v>#NAME?</v>
      </c>
      <c r="Z234" s="2" t="e">
        <f ca="1">_xll.BDH($C$228,"ACCOUNTS_RECEIVABLE_GROWTH","FQ1 2015","FQ1 2015","Currency=INR","Period=FQ","BEST_FPERIOD_OVERRIDE=FQ","FILING_STATUS=OR","EQY_CONSOLIDATED=Y","Sort=A","Dates=H","DateFormat=P","Fill=—","Direction=H","UseDPDF=Y")</f>
        <v>#NAME?</v>
      </c>
      <c r="AA234" s="2" t="e">
        <f ca="1">_xll.BDH($C$228,"INVENTORY_GROWTH","FQ1 2015","FQ1 2015","Currency=INR","Period=FQ","BEST_FPERIOD_OVERRIDE=FQ","FILING_STATUS=OR","EQY_CONSOLIDATED=Y","Sort=A","Dates=H","DateFormat=P","Fill=—","Direction=H","UseDPDF=Y")</f>
        <v>#NAME?</v>
      </c>
      <c r="AB234" s="2" t="e">
        <f ca="1">_xll.BDH($C$228,"NET_FIXED_ASSETS_1_YEAR_GROWTH","FQ1 2015","FQ1 2015","Currency=INR","Period=FQ","BEST_FPERIOD_OVERRIDE=FQ","FILING_STATUS=OR","EQY_CONSOLIDATED=Y","Sort=A","Dates=H","DateFormat=P","Fill=—","Direction=H","UseDPDF=Y")</f>
        <v>#NAME?</v>
      </c>
      <c r="AC234" s="2" t="e">
        <f ca="1">_xll.BDH($C$228,"ASSET_GROWTH","FQ1 2015","FQ1 2015","Currency=INR","Period=FQ","BEST_FPERIOD_OVERRIDE=FQ","FILING_STATUS=OR","EQY_CONSOLIDATED=Y","Sort=A","Dates=H","DateFormat=P","Fill=—","Direction=H","UseDPDF=Y")</f>
        <v>#NAME?</v>
      </c>
      <c r="AD234" s="2" t="e">
        <f ca="1">_xll.BDH($C$228,"MODIFIED_WORK_CAP_GROWTH","FQ1 2015","FQ1 2015","Currency=INR","Period=FQ","BEST_FPERIOD_OVERRIDE=FQ","FILING_STATUS=OR","EQY_CONSOLIDATED=Y","Sort=A","Dates=H","DateFormat=P","Fill=—","Direction=H","UseDPDF=Y")</f>
        <v>#NAME?</v>
      </c>
      <c r="AE234" s="2" t="e">
        <f ca="1">_xll.BDH($C$228,"WORK_CAP_GROWTH","FQ1 2015","FQ1 2015","Currency=INR","Period=FQ","BEST_FPERIOD_OVERRIDE=FQ","FILING_STATUS=OR","EQY_CONSOLIDATED=Y","Sort=A","Dates=H","DateFormat=P","Fill=—","Direction=H","UseDPDF=Y")</f>
        <v>#NAME?</v>
      </c>
      <c r="AF234" s="2" t="e">
        <f ca="1">_xll.BDH($C$228,"ACCOUNTS_PAYABLE_GROWTH_1YR","FQ1 2015","FQ1 2015","Currency=INR","Period=FQ","BEST_FPERIOD_OVERRIDE=FQ","FILING_STATUS=OR","EQY_CONSOLIDATED=Y","Sort=A","Dates=H","DateFormat=P","Fill=—","Direction=H","UseDPDF=Y")</f>
        <v>#NAME?</v>
      </c>
      <c r="AG234" s="2" t="e">
        <f ca="1">_xll.BDH($C$228,"SHORT_TERM_DEBT_1_YEAR_GROWTH","FQ1 2015","FQ1 2015","Currency=INR","Period=FQ","BEST_FPERIOD_OVERRIDE=FQ","FILING_STATUS=OR","EQY_CONSOLIDATED=Y","Sort=A","Dates=H","DateFormat=P","Fill=—","Direction=H","UseDPDF=Y")</f>
        <v>#NAME?</v>
      </c>
      <c r="AH234" s="2" t="e">
        <f ca="1">_xll.BDH($C$228,"TOTAL_DEBT_1_YEAR_GROWTH","FQ1 2015","FQ1 2015","Currency=INR","Period=FQ","BEST_FPERIOD_OVERRIDE=FQ","FILING_STATUS=OR","EQY_CONSOLIDATED=Y","Sort=A","Dates=H","DateFormat=P","Fill=—","Direction=H","UseDPDF=Y")</f>
        <v>#NAME?</v>
      </c>
      <c r="AI234" s="2" t="e">
        <f ca="1">_xll.BDH($C$228,"TOTAL_EQUITY_1_YEAR_GROWTH","FQ1 2015","FQ1 2015","Currency=INR","Period=FQ","BEST_FPERIOD_OVERRIDE=FQ","FILING_STATUS=OR","EQY_CONSOLIDATED=Y","Sort=A","Dates=H","DateFormat=P","Fill=—","Direction=H","UseDPDF=Y")</f>
        <v>#NAME?</v>
      </c>
      <c r="AJ234" s="2" t="e">
        <f ca="1">_xll.BDH($C$228,"GROWTH_IN_CAP","FQ1 2015","FQ1 2015","Currency=INR","Period=FQ","BEST_FPERIOD_OVERRIDE=FQ","FILING_STATUS=OR","EQY_CONSOLIDATED=Y","Sort=A","Dates=H","DateFormat=P","Fill=—","Direction=H","UseDPDF=Y")</f>
        <v>#NAME?</v>
      </c>
      <c r="AK234" s="2" t="e">
        <f ca="1">_xll.BDH($C$228,"BVPS_GROWTH","FQ1 2015","FQ1 2015","Currency=INR","Period=FQ","BEST_FPERIOD_OVERRIDE=FQ","FILING_STATUS=OR","EQY_CONSOLIDATED=Y","Sort=A","Dates=H","DateFormat=P","Fill=—","Direction=H","UseDPDF=Y")</f>
        <v>#NAME?</v>
      </c>
      <c r="AL234" s="2" t="e">
        <f ca="1">_xll.BDH($C$228,"CASH_FLOW_GROWTH","FQ1 2015","FQ1 2015","Currency=INR","Period=FQ","BEST_FPERIOD_OVERRIDE=FQ","FILING_STATUS=OR","EQY_CONSOLIDATED=Y","Sort=A","Dates=H","DateFormat=P","Fill=—","Direction=H","UseDPDF=Y")</f>
        <v>#NAME?</v>
      </c>
      <c r="AM234" s="2" t="e">
        <f ca="1">_xll.BDH($C$228,"GEO_GROW_NET_SALES","FQ1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34" s="2" t="e">
        <f ca="1">_xll.BDH($C$228,"GEO_GROW_EBITDA","FQ1 2015","FQ1 2015","Currency=INR","Period=FQ","BEST_FPERIOD_OVERRIDE=FQ","FILING_STATUS=OR","EQY_CONSOLIDATED=Y","FA_ADJUSTED=GAAP","Sort=A","Dates=H","DateFormat=P","Fill=—","Direction=H","UseDPDF=Y")</f>
        <v>#NAME?</v>
      </c>
      <c r="AO234" s="2" t="e">
        <f ca="1">_xll.BDH($C$228,"GEO_GROW_OPER_INC","FQ1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34" s="2" t="e">
        <f ca="1">_xll.BDH($C$228,"NET_INCOME_TO_COMMON_5_YR_GROWTH","FQ1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34" s="2" t="e">
        <f ca="1">_xll.BDH($C$228,"5Y_GEO_GROWTH_DILUTED_EPS","FQ1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34" s="2" t="e">
        <f ca="1">_xll.BDH($C$228,"GEO_GROW_DVD_PER_SH","FQ1 2015","FQ1 2015","Currency=INR","Period=FQ","BEST_FPERIOD_OVERRIDE=FQ","FILING_STATUS=OR","EQY_CONSOLIDATED=Y","Sort=A","Dates=H","DateFormat=P","Fill=—","Direction=H","UseDPDF=Y")</f>
        <v>#NAME?</v>
      </c>
      <c r="AS234" s="2" t="e">
        <f ca="1">_xll.BDH($C$228,"ACCOUNTS_RECEIVABLE_5_YR_GROWTH","FQ1 2015","FQ1 2015","Currency=INR","Period=FQ","BEST_FPERIOD_OVERRIDE=FQ","FILING_STATUS=OR","EQY_CONSOLIDATED=Y","Sort=A","Dates=H","DateFormat=P","Fill=—","Direction=H","UseDPDF=Y")</f>
        <v>#NAME?</v>
      </c>
      <c r="AT234" s="2" t="e">
        <f ca="1">_xll.BDH($C$228,"INVENTORY_5_YEAR_GROWTH","FQ1 2015","FQ1 2015","Currency=INR","Period=FQ","BEST_FPERIOD_OVERRIDE=FQ","FILING_STATUS=OR","EQY_CONSOLIDATED=Y","Sort=A","Dates=H","DateFormat=P","Fill=—","Direction=H","UseDPDF=Y")</f>
        <v>#NAME?</v>
      </c>
      <c r="AU234" s="2" t="e">
        <f ca="1">_xll.BDH($C$228,"NET_FIXED_ASSETS_5_YEAR_GROWTH","FQ1 2015","FQ1 2015","Currency=INR","Period=FQ","BEST_FPERIOD_OVERRIDE=FQ","FILING_STATUS=OR","EQY_CONSOLIDATED=Y","Sort=A","Dates=H","DateFormat=P","Fill=—","Direction=H","UseDPDF=Y")</f>
        <v>#NAME?</v>
      </c>
      <c r="AV234" s="2" t="e">
        <f ca="1">_xll.BDH($C$228,"GEO_GROW_TOT_ASSET","FQ1 2015","FQ1 2015","Currency=INR","Period=FQ","BEST_FPERIOD_OVERRIDE=FQ","FILING_STATUS=OR","EQY_CONSOLIDATED=Y","Sort=A","Dates=H","DateFormat=P","Fill=—","Direction=H","UseDPDF=Y")</f>
        <v>#NAME?</v>
      </c>
      <c r="AW234" s="2" t="e">
        <f ca="1">_xll.BDH($C$228,"MODIFIED_WORKING_CPTL_5YR_GRWTH","FQ1 2015","FQ1 2015","Currency=INR","Period=FQ","BEST_FPERIOD_OVERRIDE=FQ","FILING_STATUS=OR","EQY_CONSOLIDATED=Y","Sort=A","Dates=H","DateFormat=P","Fill=—","Direction=H","UseDPDF=Y")</f>
        <v>#NAME?</v>
      </c>
      <c r="AX234" s="2" t="e">
        <f ca="1">_xll.BDH($C$228,"WORKING_CAPITAL_5_YEAR_GROWTH","FQ1 2015","FQ1 2015","Currency=INR","Period=FQ","BEST_FPERIOD_OVERRIDE=FQ","FILING_STATUS=OR","EQY_CONSOLIDATED=Y","Sort=A","Dates=H","DateFormat=P","Fill=—","Direction=H","UseDPDF=Y")</f>
        <v>#NAME?</v>
      </c>
      <c r="AY234" s="2" t="e">
        <f ca="1">_xll.BDH($C$228,"ACCOUNTS_PAYABLE_5_YEAR_GROWTH","FQ1 2015","FQ1 2015","Currency=INR","Period=FQ","BEST_FPERIOD_OVERRIDE=FQ","FILING_STATUS=OR","EQY_CONSOLIDATED=Y","Sort=A","Dates=H","DateFormat=P","Fill=—","Direction=H","UseDPDF=Y")</f>
        <v>#NAME?</v>
      </c>
      <c r="AZ234" s="2" t="e">
        <f ca="1">_xll.BDH($C$228,"SHORT_TERM_DEBT_5_YEAR_GROWTH","FQ1 2015","FQ1 2015","Currency=INR","Period=FQ","BEST_FPERIOD_OVERRIDE=FQ","FILING_STATUS=OR","EQY_CONSOLIDATED=Y","Sort=A","Dates=H","DateFormat=P","Fill=—","Direction=H","UseDPDF=Y")</f>
        <v>#NAME?</v>
      </c>
      <c r="BA234" s="2" t="e">
        <f ca="1">_xll.BDH($C$228,"TOTAL_DEBT_5_YEAR_GROWTH","FQ1 2015","FQ1 2015","Currency=INR","Period=FQ","BEST_FPERIOD_OVERRIDE=FQ","FILING_STATUS=OR","EQY_CONSOLIDATED=Y","Sort=A","Dates=H","DateFormat=P","Fill=—","Direction=H","UseDPDF=Y")</f>
        <v>#NAME?</v>
      </c>
      <c r="BB234" s="2" t="e">
        <f ca="1">_xll.BDH($C$228,"GEO_GROW_TOT_SHRHLDR_EQY","FQ1 2015","FQ1 2015","Currency=INR","Period=FQ","BEST_FPERIOD_OVERRIDE=FQ","FILING_STATUS=OR","EQY_CONSOLIDATED=Y","Sort=A","Dates=H","DateFormat=P","Fill=—","Direction=H","UseDPDF=Y")</f>
        <v>#NAME?</v>
      </c>
      <c r="BC234" s="2" t="e">
        <f ca="1">_xll.BDH($C$228,"TOTAL_CAPITAL_5_YEAR_GROWTH","FQ1 2015","FQ1 2015","Currency=INR","Period=FQ","BEST_FPERIOD_OVERRIDE=FQ","FILING_STATUS=OR","EQY_CONSOLIDATED=Y","Sort=A","Dates=H","DateFormat=P","Fill=—","Direction=H","UseDPDF=Y")</f>
        <v>#NAME?</v>
      </c>
      <c r="BD234" s="2" t="e">
        <f ca="1">_xll.BDH($C$228,"GEO_GROW_BOOK_VAL","FQ1 2015","FQ1 2015","Currency=INR","Period=FQ","BEST_FPERIOD_OVERRIDE=FQ","FILING_STATUS=OR","EQY_CONSOLIDATED=Y","Sort=A","Dates=H","DateFormat=P","Fill=—","Direction=H","UseDPDF=Y")</f>
        <v>#NAME?</v>
      </c>
      <c r="BE234" s="2" t="e">
        <f ca="1">_xll.BDH($C$228,"GEO_GROW_CASH_OPER_ACT","FQ1 2015","FQ1 2015","Currency=INR","Period=FQ","BEST_FPERIOD_OVERRIDE=FQ","FILING_STATUS=OR","EQY_CONSOLIDATED=Y","Sort=A","Dates=H","DateFormat=P","Fill=—","Direction=H","UseDPDF=Y")</f>
        <v>#NAME?</v>
      </c>
      <c r="BF234" s="2" t="e">
        <f ca="1">_xll.BDH($C$228,"REVENUE_SEQUENTIAL_GROWTH","FQ1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34" s="2" t="e">
        <f ca="1">_xll.BDH($C$228,"EBITDA_SEQUENTIAL_GROWTH","FQ1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34" s="2" t="e">
        <f ca="1">_xll.BDH($C$228,"OPERATING_INCOME_SEQ_GROWTH","FQ1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34" s="2" t="e">
        <f ca="1">_xll.BDH($C$228,"NET_INCOME_TO_COMMON_SEQ_GROWTH","FQ1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34" s="2" t="e">
        <f ca="1">_xll.BDH($C$228,"EPS_DILUTED_SEQUENTIAL_GROWTH","FQ1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34" s="2" t="e">
        <f ca="1">_xll.BDH($C$228,"DPS_SEQUENTIAL_GROWTH","FQ1 2015","FQ1 2015","Currency=INR","Period=FQ","BEST_FPERIOD_OVERRIDE=FQ","FILING_STATUS=OR","EQY_CONSOLIDATED=Y","Sort=A","Dates=H","DateFormat=P","Fill=—","Direction=H","UseDPDF=Y")</f>
        <v>#NAME?</v>
      </c>
      <c r="BL234" s="2" t="e">
        <f ca="1">_xll.BDH($C$228,"ACCOUNTS_RECEIVABLE_SEQ_GROWTH","FQ1 2015","FQ1 2015","Currency=INR","Period=FQ","BEST_FPERIOD_OVERRIDE=FQ","FILING_STATUS=OR","EQY_CONSOLIDATED=Y","Sort=A","Dates=H","DateFormat=P","Fill=—","Direction=H","UseDPDF=Y")</f>
        <v>#NAME?</v>
      </c>
      <c r="BM234" s="2" t="e">
        <f ca="1">_xll.BDH($C$228,"INVENTORY_SEQUENTIAL_GROWTH","FQ1 2015","FQ1 2015","Currency=INR","Period=FQ","BEST_FPERIOD_OVERRIDE=FQ","FILING_STATUS=OR","EQY_CONSOLIDATED=Y","Sort=A","Dates=H","DateFormat=P","Fill=—","Direction=H","UseDPDF=Y")</f>
        <v>#NAME?</v>
      </c>
      <c r="BN234" s="2" t="e">
        <f ca="1">_xll.BDH($C$228,"FIXED_ASSETS_SEQUENTIAL_GROWTH","FQ1 2015","FQ1 2015","Currency=INR","Period=FQ","BEST_FPERIOD_OVERRIDE=FQ","FILING_STATUS=OR","EQY_CONSOLIDATED=Y","Sort=A","Dates=H","DateFormat=P","Fill=—","Direction=H","UseDPDF=Y")</f>
        <v>#NAME?</v>
      </c>
      <c r="BO234" s="2" t="e">
        <f ca="1">_xll.BDH($C$228,"TOTAL_ASSETS_SEQUENTIAL_GROWTH","FQ1 2015","FQ1 2015","Currency=INR","Period=FQ","BEST_FPERIOD_OVERRIDE=FQ","FILING_STATUS=OR","EQY_CONSOLIDATED=Y","Sort=A","Dates=H","DateFormat=P","Fill=—","Direction=H","UseDPDF=Y")</f>
        <v>#NAME?</v>
      </c>
      <c r="BP234" s="2" t="e">
        <f ca="1">_xll.BDH($C$228,"MODIFIED_WORKING_CPTL_SEQ_GRWTH","FQ1 2015","FQ1 2015","Currency=INR","Period=FQ","BEST_FPERIOD_OVERRIDE=FQ","FILING_STATUS=OR","EQY_CONSOLIDATED=Y","Sort=A","Dates=H","DateFormat=P","Fill=—","Direction=H","UseDPDF=Y")</f>
        <v>#NAME?</v>
      </c>
      <c r="BQ234" s="2" t="e">
        <f ca="1">_xll.BDH($C$228,"WORKING_CAPITAL_SEQ_GROWTH","FQ1 2015","FQ1 2015","Currency=INR","Period=FQ","BEST_FPERIOD_OVERRIDE=FQ","FILING_STATUS=OR","EQY_CONSOLIDATED=Y","Sort=A","Dates=H","DateFormat=P","Fill=—","Direction=H","UseDPDF=Y")</f>
        <v>#NAME?</v>
      </c>
      <c r="BR234" s="2" t="e">
        <f ca="1">_xll.BDH($C$228,"ACCOUNTS_PAYABLE_SEQ_GROWTH","FQ1 2015","FQ1 2015","Currency=INR","Period=FQ","BEST_FPERIOD_OVERRIDE=FQ","FILING_STATUS=OR","EQY_CONSOLIDATED=Y","Sort=A","Dates=H","DateFormat=P","Fill=—","Direction=H","UseDPDF=Y")</f>
        <v>#NAME?</v>
      </c>
      <c r="BS234" s="2" t="e">
        <f ca="1">_xll.BDH($C$228,"ST_DEBT_SEQUENTIAL_GROWTH","FQ1 2015","FQ1 2015","Currency=INR","Period=FQ","BEST_FPERIOD_OVERRIDE=FQ","FILING_STATUS=OR","EQY_CONSOLIDATED=Y","Sort=A","Dates=H","DateFormat=P","Fill=—","Direction=H","UseDPDF=Y")</f>
        <v>#NAME?</v>
      </c>
      <c r="BT234" s="2" t="e">
        <f ca="1">_xll.BDH($C$228,"TOTAL_DEBT_SEQUENTIAL_GROWTH","FQ1 2015","FQ1 2015","Currency=INR","Period=FQ","BEST_FPERIOD_OVERRIDE=FQ","FILING_STATUS=OR","EQY_CONSOLIDATED=Y","Sort=A","Dates=H","DateFormat=P","Fill=—","Direction=H","UseDPDF=Y")</f>
        <v>#NAME?</v>
      </c>
      <c r="BU234" s="2" t="e">
        <f ca="1">_xll.BDH($C$228,"TOTAL_EQUITY_SEQUENTIAL_GROWTH","FQ1 2015","FQ1 2015","Currency=INR","Period=FQ","BEST_FPERIOD_OVERRIDE=FQ","FILING_STATUS=OR","EQY_CONSOLIDATED=Y","Sort=A","Dates=H","DateFormat=P","Fill=—","Direction=H","UseDPDF=Y")</f>
        <v>#NAME?</v>
      </c>
      <c r="BV234" s="2" t="e">
        <f ca="1">_xll.BDH($C$228,"TOTAL_CAPITAL_SEQUENTIAL_GROWTH","FQ1 2015","FQ1 2015","Currency=INR","Period=FQ","BEST_FPERIOD_OVERRIDE=FQ","FILING_STATUS=OR","EQY_CONSOLIDATED=Y","Sort=A","Dates=H","DateFormat=P","Fill=—","Direction=H","UseDPDF=Y")</f>
        <v>#NAME?</v>
      </c>
      <c r="BW234" s="2" t="e">
        <f ca="1">_xll.BDH($C$228,"BPS_SEQUENTIAL_GROWTH","FQ1 2015","FQ1 2015","Currency=INR","Period=FQ","BEST_FPERIOD_OVERRIDE=FQ","FILING_STATUS=OR","EQY_CONSOLIDATED=Y","Sort=A","Dates=H","DateFormat=P","Fill=—","Direction=H","UseDPDF=Y")</f>
        <v>#NAME?</v>
      </c>
      <c r="BX234" s="2" t="e">
        <f ca="1">_xll.BDH($C$228,"CFO_SEQUENTIAL_GROWTH","FQ1 2015","FQ1 2015","Currency=INR","Period=FQ","BEST_FPERIOD_OVERRIDE=FQ","FILING_STATUS=OR","EQY_CONSOLIDATED=Y","Sort=A","Dates=H","DateFormat=P","Fill=—","Direction=H","UseDPDF=Y")</f>
        <v>#NAME?</v>
      </c>
      <c r="BY234" s="3" t="e">
        <f ca="1">_xll.BDH($C$228,"SHORT_AND_LONG_TERM_DEBT","FQ1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34" s="3" t="e">
        <f ca="1">_xll.BDH($C$228,"BS_ST_BORROW","FQ1 2015","FQ1 2015","Currency=INR","Period=FQ","BEST_FPERIOD_OVERRIDE=FQ","FILING_STATUS=OR","EQY_CONSOLIDATED=Y","SCALING_FORMAT=MLN","Sort=A","Dates=H","DateFormat=P","Fill=—","Direction=H","UseDPDF=Y")</f>
        <v>#NAME?</v>
      </c>
      <c r="CA234" s="3" t="e">
        <f ca="1">_xll.BDH($C$228,"BS_LT_BORROW","FQ1 2015","FQ1 2015","Currency=INR","Period=FQ","BEST_FPERIOD_OVERRIDE=FQ","FILING_STATUS=OR","EQY_CONSOLIDATED=Y","SCALING_FORMAT=MLN","Sort=A","Dates=H","DateFormat=P","Fill=—","Direction=H","UseDPDF=Y")</f>
        <v>#NAME?</v>
      </c>
      <c r="CB234" s="2" t="e">
        <f ca="1">_xll.BDH($C$228,"TOT_DEBT_TO_EBITDA","FQ1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34" s="2" t="e">
        <f ca="1">_xll.BDH($C$228,"NET_DEBT_TO_EBITDA","FQ1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34" s="2" t="e">
        <f ca="1">_xll.BDH($C$228,"TOTAL_DEBT_TO_EBIT","FQ1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34" s="2" t="e">
        <f ca="1">_xll.BDH($C$228,"NET_DEBT_TO_EBIT","FQ1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34" s="2" t="e">
        <f ca="1">_xll.BDH($C$228,"EBITDA_TO_INTEREST_EXPN","FQ1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34" s="2" t="e">
        <f ca="1">_xll.BDH($C$228,"COM_EQY_TO_TOT_ASSET","FQ1 2015","FQ1 2015","Currency=INR","Period=FQ","BEST_FPERIOD_OVERRIDE=FQ","FILING_STATUS=OR","EQY_CONSOLIDATED=Y","Sort=A","Dates=H","DateFormat=P","Fill=—","Direction=H","UseDPDF=Y")</f>
        <v>#NAME?</v>
      </c>
      <c r="CH234" s="2" t="e">
        <f ca="1">_xll.BDH($C$228,"LT_DEBT_TO_TOT_EQY","FQ1 2015","FQ1 2015","Currency=INR","Period=FQ","BEST_FPERIOD_OVERRIDE=FQ","FILING_STATUS=OR","EQY_CONSOLIDATED=Y","Sort=A","Dates=H","DateFormat=P","Fill=—","Direction=H","UseDPDF=Y")</f>
        <v>#NAME?</v>
      </c>
      <c r="CI234" s="2" t="e">
        <f ca="1">_xll.BDH($C$228,"LT_DEBT_TO_TOT_CAP","FQ1 2015","FQ1 2015","Currency=INR","Period=FQ","BEST_FPERIOD_OVERRIDE=FQ","FILING_STATUS=OR","EQY_CONSOLIDATED=Y","Sort=A","Dates=H","DateFormat=P","Fill=—","Direction=H","UseDPDF=Y")</f>
        <v>#NAME?</v>
      </c>
      <c r="CJ234" s="2" t="e">
        <f ca="1">_xll.BDH($C$228,"LT_DEBT_TO_TOT_ASSET","FQ1 2015","FQ1 2015","Currency=INR","Period=FQ","BEST_FPERIOD_OVERRIDE=FQ","FILING_STATUS=OR","EQY_CONSOLIDATED=Y","Sort=A","Dates=H","DateFormat=P","Fill=—","Direction=H","UseDPDF=Y")</f>
        <v>#NAME?</v>
      </c>
      <c r="CK234" s="2" t="e">
        <f ca="1">_xll.BDH($C$228,"TOT_DEBT_TO_TOT_EQY","FQ1 2015","FQ1 2015","Currency=INR","Period=FQ","BEST_FPERIOD_OVERRIDE=FQ","FILING_STATUS=OR","EQY_CONSOLIDATED=Y","Sort=A","Dates=H","DateFormat=P","Fill=—","Direction=H","UseDPDF=Y")</f>
        <v>#NAME?</v>
      </c>
      <c r="CL234" s="2" t="e">
        <f ca="1">_xll.BDH($C$228,"TOT_DEBT_TO_TOT_CAP","FQ1 2015","FQ1 2015","Currency=INR","Period=FQ","BEST_FPERIOD_OVERRIDE=FQ","FILING_STATUS=OR","EQY_CONSOLIDATED=Y","Sort=A","Dates=H","DateFormat=P","Fill=—","Direction=H","UseDPDF=Y")</f>
        <v>#NAME?</v>
      </c>
      <c r="CM234" s="2" t="e">
        <f ca="1">_xll.BDH($C$228,"TOT_DEBT_TO_TOT_ASSET","FQ1 2015","FQ1 2015","Currency=INR","Period=FQ","BEST_FPERIOD_OVERRIDE=FQ","FILING_STATUS=OR","EQY_CONSOLIDATED=Y","Sort=A","Dates=H","DateFormat=P","Fill=—","Direction=H","UseDPDF=Y")</f>
        <v>#NAME?</v>
      </c>
      <c r="CN234" s="2" t="e">
        <f ca="1">_xll.BDH($C$228,"NET_DEBT_TO_SHRHLDR_EQTY","FQ1 2015","FQ1 2015","Currency=INR","Period=FQ","BEST_FPERIOD_OVERRIDE=FQ","FILING_STATUS=OR","EQY_CONSOLIDATED=Y","Sort=A","Dates=H","DateFormat=P","Fill=—","Direction=H","UseDPDF=Y")</f>
        <v>#NAME?</v>
      </c>
      <c r="CO234" s="2" t="e">
        <f ca="1">_xll.BDH($C$228,"NET_DEBT_%_CAPITAL","FQ1 2015","FQ1 2015","Currency=INR","Period=FQ","BEST_FPERIOD_OVERRIDE=FQ","FILING_STATUS=OR","EQY_CONSOLIDATED=Y","Sort=A","Dates=H","DateFormat=P","Fill=—","Direction=H","UseDPDF=Y")</f>
        <v>#NAME?</v>
      </c>
      <c r="CP234" s="3" t="e">
        <f ca="1">_xll.BDH($C$228,"EBITDA","FQ1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34" s="3" t="e">
        <f ca="1">_xll.BDH($C$228,"EBITDA_AFTER_CAPEX","FQ1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34" s="3" t="e">
        <f ca="1">_xll.BDH($C$228,"IS_OPER_INC","FQ1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34" s="2" t="e">
        <f ca="1">_xll.BDH($C$228,"CASH_RATIO","FQ1 2015","FQ1 2015","Currency=INR","Period=FQ","BEST_FPERIOD_OVERRIDE=FQ","FILING_STATUS=OR","EQY_CONSOLIDATED=Y","Sort=A","Dates=H","DateFormat=P","Fill=—","Direction=H","UseDPDF=Y")</f>
        <v>#NAME?</v>
      </c>
      <c r="CT234" s="2" t="e">
        <f ca="1">_xll.BDH($C$228,"CUR_RATIO","FQ1 2015","FQ1 2015","Currency=INR","Period=FQ","BEST_FPERIOD_OVERRIDE=FQ","FILING_STATUS=OR","EQY_CONSOLIDATED=Y","Sort=A","Dates=H","DateFormat=P","Fill=—","Direction=H","UseDPDF=Y")</f>
        <v>#NAME?</v>
      </c>
      <c r="CU234" s="2" t="e">
        <f ca="1">_xll.BDH($C$228,"QUICK_RATIO","FQ1 2015","FQ1 2015","Currency=INR","Period=FQ","BEST_FPERIOD_OVERRIDE=FQ","FILING_STATUS=OR","EQY_CONSOLIDATED=Y","Sort=A","Dates=H","DateFormat=P","Fill=—","Direction=H","UseDPDF=Y")</f>
        <v>#NAME?</v>
      </c>
      <c r="CV234" s="2" t="e">
        <f ca="1">_xll.BDH($C$228,"ALTMAN_Z_SCORE","FQ1 2015","FQ1 2015","Currency=INR","Period=FQ","BEST_FPERIOD_OVERRIDE=FQ","FILING_STATUS=OR","EQY_CONSOLIDATED=Y","Sort=A","Dates=H","DateFormat=P","Fill=—","Direction=H","UseDPDF=Y")</f>
        <v>#NAME?</v>
      </c>
      <c r="CW234" s="4" t="e">
        <f ca="1">_xll.BDH($C$228,"ACCT_RCV_TURN","FQ1 2015","FQ1 2015","Currency=INR","Period=FQ","BEST_FPERIOD_OVERRIDE=FQ","FILING_STATUS=OR","EQY_CONSOLIDATED=Y","FA_ADJUSTED=GAAP","Sort=A","Dates=H","DateFormat=P","Fill=—","Direction=H","UseDPDF=Y")</f>
        <v>#NAME?</v>
      </c>
      <c r="CX234" s="2" t="e">
        <f ca="1">_xll.BDH($C$228,"ACCT_RCV_DAYS","FQ1 2015","FQ1 2015","Currency=INR","Period=FQ","BEST_FPERIOD_OVERRIDE=FQ","FILING_STATUS=OR","EQY_CONSOLIDATED=Y","FA_ADJUSTED=GAAP","Sort=A","Dates=H","DateFormat=P","Fill=—","Direction=H","UseDPDF=Y")</f>
        <v>#NAME?</v>
      </c>
      <c r="CY234" s="4" t="e">
        <f ca="1">_xll.BDH($C$228,"INVENT_TURN","FQ1 2015","FQ1 2015","Currency=INR","Period=FQ","BEST_FPERIOD_OVERRIDE=FQ","FILING_STATUS=OR","EQY_CONSOLIDATED=Y","FA_ADJUSTED=GAAP","Sort=A","Dates=H","DateFormat=P","Fill=—","Direction=H","UseDPDF=Y")</f>
        <v>#NAME?</v>
      </c>
      <c r="CZ234" s="2" t="e">
        <f ca="1">_xll.BDH($C$228,"INVENT_DAYS","FQ1 2015","FQ1 2015","Currency=INR","Period=FQ","BEST_FPERIOD_OVERRIDE=FQ","FILING_STATUS=OR","EQY_CONSOLIDATED=Y","FA_ADJUSTED=GAAP","Sort=A","Dates=H","DateFormat=P","Fill=—","Direction=H","UseDPDF=Y")</f>
        <v>#NAME?</v>
      </c>
      <c r="DA234" s="4" t="e">
        <f ca="1">_xll.BDH($C$228,"ACCOUNTS_PAYABLE_TURNOVER","FQ1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34" s="2" t="e">
        <f ca="1">_xll.BDH($C$228,"ACCOUNTS_PAYABLE_TURNOVER_DAYS","FQ1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34" s="4" t="e">
        <f ca="1">_xll.BDH($C$228,"CASH_CONVERSION_CYCLE","FQ1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34" s="4" t="e">
        <f ca="1">_xll.BDH($C$228,"INV_TO_CASH_DAYS","FQ1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34" s="5" t="e">
        <f ca="1">_xll.BDH($C$228,"BS_INVENTORIES","FQ1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34" s="3" t="e">
        <f ca="1">_xll.BDH($C$228,"INVTRY_RAW_MATERIALS","FQ1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34" s="3" t="e">
        <f ca="1">_xll.BDH($C$228,"INVTRY_IN_PROGRESS","FQ1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34" s="3" t="e">
        <f ca="1">_xll.BDH($C$228,"INVTRY_FINISHED_GOODS","FQ1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34" s="3" t="e">
        <f ca="1">_xll.BDH($C$228,"BS_OTHER_INV","FQ1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35" spans="1:113" x14ac:dyDescent="0.3">
      <c r="A235" s="6"/>
      <c r="B235" s="6"/>
      <c r="C235" s="6"/>
      <c r="D235" s="6"/>
      <c r="E235" t="s">
        <v>79</v>
      </c>
      <c r="F235" t="e">
        <f ca="1">_xll.BDH($C$228,"RETURN_COM_EQY","FQ2 2015","FQ2 2015","Currency=INR","Period=FQ","BEST_FPERIOD_OVERRIDE=FQ","FILING_STATUS=OR","EQY_CONSOLIDATED=Y","FA_ADJUSTED=GAAP","Sort=A","Dates=H","DateFormat=P","Fill=—","Direction=H","UseDPDF=Y")</f>
        <v>#NAME?</v>
      </c>
      <c r="G235" t="e">
        <f ca="1">_xll.BDH($C$228,"RETURN_ON_ASSET","FQ2 2015","FQ2 2015","Currency=INR","Period=FQ","BEST_FPERIOD_OVERRIDE=FQ","FILING_STATUS=OR","EQY_CONSOLIDATED=Y","FA_ADJUSTED=GAAP","Sort=A","Dates=H","DateFormat=P","Fill=—","Direction=H","UseDPDF=Y")</f>
        <v>#NAME?</v>
      </c>
      <c r="H235" t="e">
        <f ca="1">_xll.BDH($C$228,"RETURN_ON_CAP","FQ2 2015","FQ2 2015","Currency=INR","Period=FQ","BEST_FPERIOD_OVERRIDE=FQ","FILING_STATUS=OR","EQY_CONSOLIDATED=Y","FA_ADJUSTED=GAAP","Sort=A","Dates=H","DateFormat=P","Fill=—","Direction=H","UseDPDF=Y")</f>
        <v>#NAME?</v>
      </c>
      <c r="I235" t="e">
        <f ca="1">_xll.BDH($C$228,"RETURN_ON_INV_CAPITAL","FQ2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35" t="e">
        <f ca="1">_xll.BDH($C$228,"EBITDA_TO_REVENUE","FQ2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35" t="e">
        <f ca="1">_xll.BDH($C$228,"OPER_MARGIN","FQ2 2015","FQ2 2015","Currency=INR","Period=FQ","BEST_FPERIOD_OVERRIDE=FQ","FILING_STATUS=OR","EQY_CONSOLIDATED=Y","FA_ADJUSTED=GAAP","Sort=A","Dates=H","DateFormat=P","Fill=—","Direction=H","UseDPDF=Y")</f>
        <v>#NAME?</v>
      </c>
      <c r="L235" t="e">
        <f ca="1">_xll.BDH($C$228,"INCREMENTAL_OPERATING_MARGIN","FQ2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35" t="e">
        <f ca="1">_xll.BDH($C$228,"PRETAX_INC_TO_NET_SALES","FQ2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35" t="e">
        <f ca="1">_xll.BDH($C$228,"INC_BEF_XO_ITEMS_TO_NET_SALES","FQ2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35" t="e">
        <f ca="1">_xll.BDH($C$228,"PROF_MARGIN","FQ2 2015","FQ2 2015","Currency=INR","Period=FQ","BEST_FPERIOD_OVERRIDE=FQ","FILING_STATUS=OR","EQY_CONSOLIDATED=Y","FA_ADJUSTED=GAAP","Sort=A","Dates=H","DateFormat=P","Fill=—","Direction=H","UseDPDF=Y")</f>
        <v>#NAME?</v>
      </c>
      <c r="P235" t="e">
        <f ca="1">_xll.BDH($C$228,"NET_INCOME_TO_COMMON_MARGIN","FQ2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35" t="e">
        <f ca="1">_xll.BDH($C$228,"EFF_TAX_RATE","FQ2 2015","FQ2 2015","Currency=INR","Period=FQ","BEST_FPERIOD_OVERRIDE=FQ","FILING_STATUS=OR","EQY_CONSOLIDATED=Y","FA_ADJUSTED=GAAP","Sort=A","Dates=H","DateFormat=P","Fill=—","Direction=H","UseDPDF=Y")</f>
        <v>#NAME?</v>
      </c>
      <c r="R235" t="e">
        <f ca="1">_xll.BDH($C$228,"DVD_PAYOUT_RATIO","FQ2 2015","FQ2 2015","Currency=INR","Period=FQ","BEST_FPERIOD_OVERRIDE=FQ","FILING_STATUS=OR","EQY_CONSOLIDATED=Y","FA_ADJUSTED=GAAP","Sort=A","Dates=H","DateFormat=P","Fill=—","Direction=H","UseDPDF=Y")</f>
        <v>#NAME?</v>
      </c>
      <c r="S235" t="e">
        <f ca="1">_xll.BDH($C$228,"SUSTAIN_GROWTH_RT","FQ2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35" s="2" t="e">
        <f ca="1">_xll.BDH($C$228,"SALES_GROWTH","FQ2 2015","FQ2 2015","Currency=INR","Period=FQ","BEST_FPERIOD_OVERRIDE=FQ","FILING_STATUS=OR","EQY_CONSOLIDATED=Y","FA_ADJUSTED=GAAP","Sort=A","Dates=H","DateFormat=P","Fill=—","Direction=H","UseDPDF=Y")</f>
        <v>#NAME?</v>
      </c>
      <c r="U235" s="2" t="e">
        <f ca="1">_xll.BDH($C$228,"EBITDA_GROWTH","FQ2 2015","FQ2 2015","Currency=INR","Period=FQ","BEST_FPERIOD_OVERRIDE=FQ","FILING_STATUS=OR","EQY_CONSOLIDATED=Y","FA_ADJUSTED=GAAP","Sort=A","Dates=H","DateFormat=P","Fill=—","Direction=H","UseDPDF=Y")</f>
        <v>#NAME?</v>
      </c>
      <c r="V235" s="2" t="e">
        <f ca="1">_xll.BDH($C$228,"OPER_INC_GROWTH","FQ2 2015","FQ2 2015","Currency=INR","Period=FQ","BEST_FPERIOD_OVERRIDE=FQ","FILING_STATUS=OR","EQY_CONSOLIDATED=Y","FA_ADJUSTED=GAAP","Sort=A","Dates=H","DateFormat=P","Fill=—","Direction=H","UseDPDF=Y")</f>
        <v>#NAME?</v>
      </c>
      <c r="W235" s="2" t="e">
        <f ca="1">_xll.BDH($C$228,"EARN_FOR_COM_GROWTH","FQ2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35" s="2" t="e">
        <f ca="1">_xll.BDH($C$228,"DILUTED_EPS_AFT_XO_ITEMS_GROWTH","FQ2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35" s="2" t="e">
        <f ca="1">_xll.BDH($C$228,"DIVIDEND_PER_SHARE_1_YEAR_GROWTH","FQ2 2015","FQ2 2015","Currency=INR","Period=FQ","BEST_FPERIOD_OVERRIDE=FQ","FILING_STATUS=OR","EQY_CONSOLIDATED=Y","Sort=A","Dates=H","DateFormat=P","Fill=—","Direction=H","UseDPDF=Y")</f>
        <v>#NAME?</v>
      </c>
      <c r="Z235" s="2" t="e">
        <f ca="1">_xll.BDH($C$228,"ACCOUNTS_RECEIVABLE_GROWTH","FQ2 2015","FQ2 2015","Currency=INR","Period=FQ","BEST_FPERIOD_OVERRIDE=FQ","FILING_STATUS=OR","EQY_CONSOLIDATED=Y","Sort=A","Dates=H","DateFormat=P","Fill=—","Direction=H","UseDPDF=Y")</f>
        <v>#NAME?</v>
      </c>
      <c r="AA235" s="2" t="e">
        <f ca="1">_xll.BDH($C$228,"INVENTORY_GROWTH","FQ2 2015","FQ2 2015","Currency=INR","Period=FQ","BEST_FPERIOD_OVERRIDE=FQ","FILING_STATUS=OR","EQY_CONSOLIDATED=Y","Sort=A","Dates=H","DateFormat=P","Fill=—","Direction=H","UseDPDF=Y")</f>
        <v>#NAME?</v>
      </c>
      <c r="AB235" s="2" t="e">
        <f ca="1">_xll.BDH($C$228,"NET_FIXED_ASSETS_1_YEAR_GROWTH","FQ2 2015","FQ2 2015","Currency=INR","Period=FQ","BEST_FPERIOD_OVERRIDE=FQ","FILING_STATUS=OR","EQY_CONSOLIDATED=Y","Sort=A","Dates=H","DateFormat=P","Fill=—","Direction=H","UseDPDF=Y")</f>
        <v>#NAME?</v>
      </c>
      <c r="AC235" s="2" t="e">
        <f ca="1">_xll.BDH($C$228,"ASSET_GROWTH","FQ2 2015","FQ2 2015","Currency=INR","Period=FQ","BEST_FPERIOD_OVERRIDE=FQ","FILING_STATUS=OR","EQY_CONSOLIDATED=Y","Sort=A","Dates=H","DateFormat=P","Fill=—","Direction=H","UseDPDF=Y")</f>
        <v>#NAME?</v>
      </c>
      <c r="AD235" s="2" t="e">
        <f ca="1">_xll.BDH($C$228,"MODIFIED_WORK_CAP_GROWTH","FQ2 2015","FQ2 2015","Currency=INR","Period=FQ","BEST_FPERIOD_OVERRIDE=FQ","FILING_STATUS=OR","EQY_CONSOLIDATED=Y","Sort=A","Dates=H","DateFormat=P","Fill=—","Direction=H","UseDPDF=Y")</f>
        <v>#NAME?</v>
      </c>
      <c r="AE235" s="2" t="e">
        <f ca="1">_xll.BDH($C$228,"WORK_CAP_GROWTH","FQ2 2015","FQ2 2015","Currency=INR","Period=FQ","BEST_FPERIOD_OVERRIDE=FQ","FILING_STATUS=OR","EQY_CONSOLIDATED=Y","Sort=A","Dates=H","DateFormat=P","Fill=—","Direction=H","UseDPDF=Y")</f>
        <v>#NAME?</v>
      </c>
      <c r="AF235" s="2" t="e">
        <f ca="1">_xll.BDH($C$228,"ACCOUNTS_PAYABLE_GROWTH_1YR","FQ2 2015","FQ2 2015","Currency=INR","Period=FQ","BEST_FPERIOD_OVERRIDE=FQ","FILING_STATUS=OR","EQY_CONSOLIDATED=Y","Sort=A","Dates=H","DateFormat=P","Fill=—","Direction=H","UseDPDF=Y")</f>
        <v>#NAME?</v>
      </c>
      <c r="AG235" s="2" t="e">
        <f ca="1">_xll.BDH($C$228,"SHORT_TERM_DEBT_1_YEAR_GROWTH","FQ2 2015","FQ2 2015","Currency=INR","Period=FQ","BEST_FPERIOD_OVERRIDE=FQ","FILING_STATUS=OR","EQY_CONSOLIDATED=Y","Sort=A","Dates=H","DateFormat=P","Fill=—","Direction=H","UseDPDF=Y")</f>
        <v>#NAME?</v>
      </c>
      <c r="AH235" s="2" t="e">
        <f ca="1">_xll.BDH($C$228,"TOTAL_DEBT_1_YEAR_GROWTH","FQ2 2015","FQ2 2015","Currency=INR","Period=FQ","BEST_FPERIOD_OVERRIDE=FQ","FILING_STATUS=OR","EQY_CONSOLIDATED=Y","Sort=A","Dates=H","DateFormat=P","Fill=—","Direction=H","UseDPDF=Y")</f>
        <v>#NAME?</v>
      </c>
      <c r="AI235" s="2" t="e">
        <f ca="1">_xll.BDH($C$228,"TOTAL_EQUITY_1_YEAR_GROWTH","FQ2 2015","FQ2 2015","Currency=INR","Period=FQ","BEST_FPERIOD_OVERRIDE=FQ","FILING_STATUS=OR","EQY_CONSOLIDATED=Y","Sort=A","Dates=H","DateFormat=P","Fill=—","Direction=H","UseDPDF=Y")</f>
        <v>#NAME?</v>
      </c>
      <c r="AJ235" s="2" t="e">
        <f ca="1">_xll.BDH($C$228,"GROWTH_IN_CAP","FQ2 2015","FQ2 2015","Currency=INR","Period=FQ","BEST_FPERIOD_OVERRIDE=FQ","FILING_STATUS=OR","EQY_CONSOLIDATED=Y","Sort=A","Dates=H","DateFormat=P","Fill=—","Direction=H","UseDPDF=Y")</f>
        <v>#NAME?</v>
      </c>
      <c r="AK235" s="2" t="e">
        <f ca="1">_xll.BDH($C$228,"BVPS_GROWTH","FQ2 2015","FQ2 2015","Currency=INR","Period=FQ","BEST_FPERIOD_OVERRIDE=FQ","FILING_STATUS=OR","EQY_CONSOLIDATED=Y","Sort=A","Dates=H","DateFormat=P","Fill=—","Direction=H","UseDPDF=Y")</f>
        <v>#NAME?</v>
      </c>
      <c r="AL235" s="2" t="e">
        <f ca="1">_xll.BDH($C$228,"CASH_FLOW_GROWTH","FQ2 2015","FQ2 2015","Currency=INR","Period=FQ","BEST_FPERIOD_OVERRIDE=FQ","FILING_STATUS=OR","EQY_CONSOLIDATED=Y","Sort=A","Dates=H","DateFormat=P","Fill=—","Direction=H","UseDPDF=Y")</f>
        <v>#NAME?</v>
      </c>
      <c r="AM235" s="2" t="e">
        <f ca="1">_xll.BDH($C$228,"GEO_GROW_NET_SALES","FQ2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35" s="2" t="e">
        <f ca="1">_xll.BDH($C$228,"GEO_GROW_EBITDA","FQ2 2015","FQ2 2015","Currency=INR","Period=FQ","BEST_FPERIOD_OVERRIDE=FQ","FILING_STATUS=OR","EQY_CONSOLIDATED=Y","FA_ADJUSTED=GAAP","Sort=A","Dates=H","DateFormat=P","Fill=—","Direction=H","UseDPDF=Y")</f>
        <v>#NAME?</v>
      </c>
      <c r="AO235" s="2" t="e">
        <f ca="1">_xll.BDH($C$228,"GEO_GROW_OPER_INC","FQ2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35" s="2" t="e">
        <f ca="1">_xll.BDH($C$228,"NET_INCOME_TO_COMMON_5_YR_GROWTH","FQ2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35" s="2" t="e">
        <f ca="1">_xll.BDH($C$228,"5Y_GEO_GROWTH_DILUTED_EPS","FQ2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35" s="2" t="e">
        <f ca="1">_xll.BDH($C$228,"GEO_GROW_DVD_PER_SH","FQ2 2015","FQ2 2015","Currency=INR","Period=FQ","BEST_FPERIOD_OVERRIDE=FQ","FILING_STATUS=OR","EQY_CONSOLIDATED=Y","Sort=A","Dates=H","DateFormat=P","Fill=—","Direction=H","UseDPDF=Y")</f>
        <v>#NAME?</v>
      </c>
      <c r="AS235" s="2" t="e">
        <f ca="1">_xll.BDH($C$228,"ACCOUNTS_RECEIVABLE_5_YR_GROWTH","FQ2 2015","FQ2 2015","Currency=INR","Period=FQ","BEST_FPERIOD_OVERRIDE=FQ","FILING_STATUS=OR","EQY_CONSOLIDATED=Y","Sort=A","Dates=H","DateFormat=P","Fill=—","Direction=H","UseDPDF=Y")</f>
        <v>#NAME?</v>
      </c>
      <c r="AT235" s="2" t="e">
        <f ca="1">_xll.BDH($C$228,"INVENTORY_5_YEAR_GROWTH","FQ2 2015","FQ2 2015","Currency=INR","Period=FQ","BEST_FPERIOD_OVERRIDE=FQ","FILING_STATUS=OR","EQY_CONSOLIDATED=Y","Sort=A","Dates=H","DateFormat=P","Fill=—","Direction=H","UseDPDF=Y")</f>
        <v>#NAME?</v>
      </c>
      <c r="AU235" s="2" t="e">
        <f ca="1">_xll.BDH($C$228,"NET_FIXED_ASSETS_5_YEAR_GROWTH","FQ2 2015","FQ2 2015","Currency=INR","Period=FQ","BEST_FPERIOD_OVERRIDE=FQ","FILING_STATUS=OR","EQY_CONSOLIDATED=Y","Sort=A","Dates=H","DateFormat=P","Fill=—","Direction=H","UseDPDF=Y")</f>
        <v>#NAME?</v>
      </c>
      <c r="AV235" s="2" t="e">
        <f ca="1">_xll.BDH($C$228,"GEO_GROW_TOT_ASSET","FQ2 2015","FQ2 2015","Currency=INR","Period=FQ","BEST_FPERIOD_OVERRIDE=FQ","FILING_STATUS=OR","EQY_CONSOLIDATED=Y","Sort=A","Dates=H","DateFormat=P","Fill=—","Direction=H","UseDPDF=Y")</f>
        <v>#NAME?</v>
      </c>
      <c r="AW235" s="2" t="e">
        <f ca="1">_xll.BDH($C$228,"MODIFIED_WORKING_CPTL_5YR_GRWTH","FQ2 2015","FQ2 2015","Currency=INR","Period=FQ","BEST_FPERIOD_OVERRIDE=FQ","FILING_STATUS=OR","EQY_CONSOLIDATED=Y","Sort=A","Dates=H","DateFormat=P","Fill=—","Direction=H","UseDPDF=Y")</f>
        <v>#NAME?</v>
      </c>
      <c r="AX235" s="2" t="e">
        <f ca="1">_xll.BDH($C$228,"WORKING_CAPITAL_5_YEAR_GROWTH","FQ2 2015","FQ2 2015","Currency=INR","Period=FQ","BEST_FPERIOD_OVERRIDE=FQ","FILING_STATUS=OR","EQY_CONSOLIDATED=Y","Sort=A","Dates=H","DateFormat=P","Fill=—","Direction=H","UseDPDF=Y")</f>
        <v>#NAME?</v>
      </c>
      <c r="AY235" s="2" t="e">
        <f ca="1">_xll.BDH($C$228,"ACCOUNTS_PAYABLE_5_YEAR_GROWTH","FQ2 2015","FQ2 2015","Currency=INR","Period=FQ","BEST_FPERIOD_OVERRIDE=FQ","FILING_STATUS=OR","EQY_CONSOLIDATED=Y","Sort=A","Dates=H","DateFormat=P","Fill=—","Direction=H","UseDPDF=Y")</f>
        <v>#NAME?</v>
      </c>
      <c r="AZ235" s="2" t="e">
        <f ca="1">_xll.BDH($C$228,"SHORT_TERM_DEBT_5_YEAR_GROWTH","FQ2 2015","FQ2 2015","Currency=INR","Period=FQ","BEST_FPERIOD_OVERRIDE=FQ","FILING_STATUS=OR","EQY_CONSOLIDATED=Y","Sort=A","Dates=H","DateFormat=P","Fill=—","Direction=H","UseDPDF=Y")</f>
        <v>#NAME?</v>
      </c>
      <c r="BA235" s="2" t="e">
        <f ca="1">_xll.BDH($C$228,"TOTAL_DEBT_5_YEAR_GROWTH","FQ2 2015","FQ2 2015","Currency=INR","Period=FQ","BEST_FPERIOD_OVERRIDE=FQ","FILING_STATUS=OR","EQY_CONSOLIDATED=Y","Sort=A","Dates=H","DateFormat=P","Fill=—","Direction=H","UseDPDF=Y")</f>
        <v>#NAME?</v>
      </c>
      <c r="BB235" s="2" t="e">
        <f ca="1">_xll.BDH($C$228,"GEO_GROW_TOT_SHRHLDR_EQY","FQ2 2015","FQ2 2015","Currency=INR","Period=FQ","BEST_FPERIOD_OVERRIDE=FQ","FILING_STATUS=OR","EQY_CONSOLIDATED=Y","Sort=A","Dates=H","DateFormat=P","Fill=—","Direction=H","UseDPDF=Y")</f>
        <v>#NAME?</v>
      </c>
      <c r="BC235" s="2" t="e">
        <f ca="1">_xll.BDH($C$228,"TOTAL_CAPITAL_5_YEAR_GROWTH","FQ2 2015","FQ2 2015","Currency=INR","Period=FQ","BEST_FPERIOD_OVERRIDE=FQ","FILING_STATUS=OR","EQY_CONSOLIDATED=Y","Sort=A","Dates=H","DateFormat=P","Fill=—","Direction=H","UseDPDF=Y")</f>
        <v>#NAME?</v>
      </c>
      <c r="BD235" s="2" t="e">
        <f ca="1">_xll.BDH($C$228,"GEO_GROW_BOOK_VAL","FQ2 2015","FQ2 2015","Currency=INR","Period=FQ","BEST_FPERIOD_OVERRIDE=FQ","FILING_STATUS=OR","EQY_CONSOLIDATED=Y","Sort=A","Dates=H","DateFormat=P","Fill=—","Direction=H","UseDPDF=Y")</f>
        <v>#NAME?</v>
      </c>
      <c r="BE235" s="2" t="e">
        <f ca="1">_xll.BDH($C$228,"GEO_GROW_CASH_OPER_ACT","FQ2 2015","FQ2 2015","Currency=INR","Period=FQ","BEST_FPERIOD_OVERRIDE=FQ","FILING_STATUS=OR","EQY_CONSOLIDATED=Y","Sort=A","Dates=H","DateFormat=P","Fill=—","Direction=H","UseDPDF=Y")</f>
        <v>#NAME?</v>
      </c>
      <c r="BF235" s="2" t="e">
        <f ca="1">_xll.BDH($C$228,"REVENUE_SEQUENTIAL_GROWTH","FQ2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35" s="2" t="e">
        <f ca="1">_xll.BDH($C$228,"EBITDA_SEQUENTIAL_GROWTH","FQ2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35" s="2" t="e">
        <f ca="1">_xll.BDH($C$228,"OPERATING_INCOME_SEQ_GROWTH","FQ2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35" s="2" t="e">
        <f ca="1">_xll.BDH($C$228,"NET_INCOME_TO_COMMON_SEQ_GROWTH","FQ2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35" s="2" t="e">
        <f ca="1">_xll.BDH($C$228,"EPS_DILUTED_SEQUENTIAL_GROWTH","FQ2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35" s="2" t="e">
        <f ca="1">_xll.BDH($C$228,"DPS_SEQUENTIAL_GROWTH","FQ2 2015","FQ2 2015","Currency=INR","Period=FQ","BEST_FPERIOD_OVERRIDE=FQ","FILING_STATUS=OR","EQY_CONSOLIDATED=Y","Sort=A","Dates=H","DateFormat=P","Fill=—","Direction=H","UseDPDF=Y")</f>
        <v>#NAME?</v>
      </c>
      <c r="BL235" s="2" t="e">
        <f ca="1">_xll.BDH($C$228,"ACCOUNTS_RECEIVABLE_SEQ_GROWTH","FQ2 2015","FQ2 2015","Currency=INR","Period=FQ","BEST_FPERIOD_OVERRIDE=FQ","FILING_STATUS=OR","EQY_CONSOLIDATED=Y","Sort=A","Dates=H","DateFormat=P","Fill=—","Direction=H","UseDPDF=Y")</f>
        <v>#NAME?</v>
      </c>
      <c r="BM235" s="2" t="e">
        <f ca="1">_xll.BDH($C$228,"INVENTORY_SEQUENTIAL_GROWTH","FQ2 2015","FQ2 2015","Currency=INR","Period=FQ","BEST_FPERIOD_OVERRIDE=FQ","FILING_STATUS=OR","EQY_CONSOLIDATED=Y","Sort=A","Dates=H","DateFormat=P","Fill=—","Direction=H","UseDPDF=Y")</f>
        <v>#NAME?</v>
      </c>
      <c r="BN235" s="2" t="e">
        <f ca="1">_xll.BDH($C$228,"FIXED_ASSETS_SEQUENTIAL_GROWTH","FQ2 2015","FQ2 2015","Currency=INR","Period=FQ","BEST_FPERIOD_OVERRIDE=FQ","FILING_STATUS=OR","EQY_CONSOLIDATED=Y","Sort=A","Dates=H","DateFormat=P","Fill=—","Direction=H","UseDPDF=Y")</f>
        <v>#NAME?</v>
      </c>
      <c r="BO235" s="2" t="e">
        <f ca="1">_xll.BDH($C$228,"TOTAL_ASSETS_SEQUENTIAL_GROWTH","FQ2 2015","FQ2 2015","Currency=INR","Period=FQ","BEST_FPERIOD_OVERRIDE=FQ","FILING_STATUS=OR","EQY_CONSOLIDATED=Y","Sort=A","Dates=H","DateFormat=P","Fill=—","Direction=H","UseDPDF=Y")</f>
        <v>#NAME?</v>
      </c>
      <c r="BP235" s="2" t="e">
        <f ca="1">_xll.BDH($C$228,"MODIFIED_WORKING_CPTL_SEQ_GRWTH","FQ2 2015","FQ2 2015","Currency=INR","Period=FQ","BEST_FPERIOD_OVERRIDE=FQ","FILING_STATUS=OR","EQY_CONSOLIDATED=Y","Sort=A","Dates=H","DateFormat=P","Fill=—","Direction=H","UseDPDF=Y")</f>
        <v>#NAME?</v>
      </c>
      <c r="BQ235" s="2" t="e">
        <f ca="1">_xll.BDH($C$228,"WORKING_CAPITAL_SEQ_GROWTH","FQ2 2015","FQ2 2015","Currency=INR","Period=FQ","BEST_FPERIOD_OVERRIDE=FQ","FILING_STATUS=OR","EQY_CONSOLIDATED=Y","Sort=A","Dates=H","DateFormat=P","Fill=—","Direction=H","UseDPDF=Y")</f>
        <v>#NAME?</v>
      </c>
      <c r="BR235" s="2" t="e">
        <f ca="1">_xll.BDH($C$228,"ACCOUNTS_PAYABLE_SEQ_GROWTH","FQ2 2015","FQ2 2015","Currency=INR","Period=FQ","BEST_FPERIOD_OVERRIDE=FQ","FILING_STATUS=OR","EQY_CONSOLIDATED=Y","Sort=A","Dates=H","DateFormat=P","Fill=—","Direction=H","UseDPDF=Y")</f>
        <v>#NAME?</v>
      </c>
      <c r="BS235" s="2" t="e">
        <f ca="1">_xll.BDH($C$228,"ST_DEBT_SEQUENTIAL_GROWTH","FQ2 2015","FQ2 2015","Currency=INR","Period=FQ","BEST_FPERIOD_OVERRIDE=FQ","FILING_STATUS=OR","EQY_CONSOLIDATED=Y","Sort=A","Dates=H","DateFormat=P","Fill=—","Direction=H","UseDPDF=Y")</f>
        <v>#NAME?</v>
      </c>
      <c r="BT235" s="2" t="e">
        <f ca="1">_xll.BDH($C$228,"TOTAL_DEBT_SEQUENTIAL_GROWTH","FQ2 2015","FQ2 2015","Currency=INR","Period=FQ","BEST_FPERIOD_OVERRIDE=FQ","FILING_STATUS=OR","EQY_CONSOLIDATED=Y","Sort=A","Dates=H","DateFormat=P","Fill=—","Direction=H","UseDPDF=Y")</f>
        <v>#NAME?</v>
      </c>
      <c r="BU235" s="2" t="e">
        <f ca="1">_xll.BDH($C$228,"TOTAL_EQUITY_SEQUENTIAL_GROWTH","FQ2 2015","FQ2 2015","Currency=INR","Period=FQ","BEST_FPERIOD_OVERRIDE=FQ","FILING_STATUS=OR","EQY_CONSOLIDATED=Y","Sort=A","Dates=H","DateFormat=P","Fill=—","Direction=H","UseDPDF=Y")</f>
        <v>#NAME?</v>
      </c>
      <c r="BV235" s="2" t="e">
        <f ca="1">_xll.BDH($C$228,"TOTAL_CAPITAL_SEQUENTIAL_GROWTH","FQ2 2015","FQ2 2015","Currency=INR","Period=FQ","BEST_FPERIOD_OVERRIDE=FQ","FILING_STATUS=OR","EQY_CONSOLIDATED=Y","Sort=A","Dates=H","DateFormat=P","Fill=—","Direction=H","UseDPDF=Y")</f>
        <v>#NAME?</v>
      </c>
      <c r="BW235" s="2" t="e">
        <f ca="1">_xll.BDH($C$228,"BPS_SEQUENTIAL_GROWTH","FQ2 2015","FQ2 2015","Currency=INR","Period=FQ","BEST_FPERIOD_OVERRIDE=FQ","FILING_STATUS=OR","EQY_CONSOLIDATED=Y","Sort=A","Dates=H","DateFormat=P","Fill=—","Direction=H","UseDPDF=Y")</f>
        <v>#NAME?</v>
      </c>
      <c r="BX235" s="2" t="e">
        <f ca="1">_xll.BDH($C$228,"CFO_SEQUENTIAL_GROWTH","FQ2 2015","FQ2 2015","Currency=INR","Period=FQ","BEST_FPERIOD_OVERRIDE=FQ","FILING_STATUS=OR","EQY_CONSOLIDATED=Y","Sort=A","Dates=H","DateFormat=P","Fill=—","Direction=H","UseDPDF=Y")</f>
        <v>#NAME?</v>
      </c>
      <c r="BY235" s="3" t="e">
        <f ca="1">_xll.BDH($C$228,"SHORT_AND_LONG_TERM_DEBT","FQ2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35" s="3" t="e">
        <f ca="1">_xll.BDH($C$228,"BS_ST_BORROW","FQ2 2015","FQ2 2015","Currency=INR","Period=FQ","BEST_FPERIOD_OVERRIDE=FQ","FILING_STATUS=OR","EQY_CONSOLIDATED=Y","SCALING_FORMAT=MLN","Sort=A","Dates=H","DateFormat=P","Fill=—","Direction=H","UseDPDF=Y")</f>
        <v>#NAME?</v>
      </c>
      <c r="CA235" s="3" t="e">
        <f ca="1">_xll.BDH($C$228,"BS_LT_BORROW","FQ2 2015","FQ2 2015","Currency=INR","Period=FQ","BEST_FPERIOD_OVERRIDE=FQ","FILING_STATUS=OR","EQY_CONSOLIDATED=Y","SCALING_FORMAT=MLN","Sort=A","Dates=H","DateFormat=P","Fill=—","Direction=H","UseDPDF=Y")</f>
        <v>#NAME?</v>
      </c>
      <c r="CB235" s="2" t="e">
        <f ca="1">_xll.BDH($C$228,"TOT_DEBT_TO_EBITDA","FQ2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35" s="2" t="e">
        <f ca="1">_xll.BDH($C$228,"NET_DEBT_TO_EBITDA","FQ2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35" s="2" t="e">
        <f ca="1">_xll.BDH($C$228,"TOTAL_DEBT_TO_EBIT","FQ2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35" s="2" t="e">
        <f ca="1">_xll.BDH($C$228,"NET_DEBT_TO_EBIT","FQ2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35" s="2" t="e">
        <f ca="1">_xll.BDH($C$228,"EBITDA_TO_INTEREST_EXPN","FQ2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35" s="2" t="e">
        <f ca="1">_xll.BDH($C$228,"COM_EQY_TO_TOT_ASSET","FQ2 2015","FQ2 2015","Currency=INR","Period=FQ","BEST_FPERIOD_OVERRIDE=FQ","FILING_STATUS=OR","EQY_CONSOLIDATED=Y","Sort=A","Dates=H","DateFormat=P","Fill=—","Direction=H","UseDPDF=Y")</f>
        <v>#NAME?</v>
      </c>
      <c r="CH235" s="2" t="e">
        <f ca="1">_xll.BDH($C$228,"LT_DEBT_TO_TOT_EQY","FQ2 2015","FQ2 2015","Currency=INR","Period=FQ","BEST_FPERIOD_OVERRIDE=FQ","FILING_STATUS=OR","EQY_CONSOLIDATED=Y","Sort=A","Dates=H","DateFormat=P","Fill=—","Direction=H","UseDPDF=Y")</f>
        <v>#NAME?</v>
      </c>
      <c r="CI235" s="2" t="e">
        <f ca="1">_xll.BDH($C$228,"LT_DEBT_TO_TOT_CAP","FQ2 2015","FQ2 2015","Currency=INR","Period=FQ","BEST_FPERIOD_OVERRIDE=FQ","FILING_STATUS=OR","EQY_CONSOLIDATED=Y","Sort=A","Dates=H","DateFormat=P","Fill=—","Direction=H","UseDPDF=Y")</f>
        <v>#NAME?</v>
      </c>
      <c r="CJ235" s="2" t="e">
        <f ca="1">_xll.BDH($C$228,"LT_DEBT_TO_TOT_ASSET","FQ2 2015","FQ2 2015","Currency=INR","Period=FQ","BEST_FPERIOD_OVERRIDE=FQ","FILING_STATUS=OR","EQY_CONSOLIDATED=Y","Sort=A","Dates=H","DateFormat=P","Fill=—","Direction=H","UseDPDF=Y")</f>
        <v>#NAME?</v>
      </c>
      <c r="CK235" s="2" t="e">
        <f ca="1">_xll.BDH($C$228,"TOT_DEBT_TO_TOT_EQY","FQ2 2015","FQ2 2015","Currency=INR","Period=FQ","BEST_FPERIOD_OVERRIDE=FQ","FILING_STATUS=OR","EQY_CONSOLIDATED=Y","Sort=A","Dates=H","DateFormat=P","Fill=—","Direction=H","UseDPDF=Y")</f>
        <v>#NAME?</v>
      </c>
      <c r="CL235" s="2" t="e">
        <f ca="1">_xll.BDH($C$228,"TOT_DEBT_TO_TOT_CAP","FQ2 2015","FQ2 2015","Currency=INR","Period=FQ","BEST_FPERIOD_OVERRIDE=FQ","FILING_STATUS=OR","EQY_CONSOLIDATED=Y","Sort=A","Dates=H","DateFormat=P","Fill=—","Direction=H","UseDPDF=Y")</f>
        <v>#NAME?</v>
      </c>
      <c r="CM235" s="2" t="e">
        <f ca="1">_xll.BDH($C$228,"TOT_DEBT_TO_TOT_ASSET","FQ2 2015","FQ2 2015","Currency=INR","Period=FQ","BEST_FPERIOD_OVERRIDE=FQ","FILING_STATUS=OR","EQY_CONSOLIDATED=Y","Sort=A","Dates=H","DateFormat=P","Fill=—","Direction=H","UseDPDF=Y")</f>
        <v>#NAME?</v>
      </c>
      <c r="CN235" s="2" t="e">
        <f ca="1">_xll.BDH($C$228,"NET_DEBT_TO_SHRHLDR_EQTY","FQ2 2015","FQ2 2015","Currency=INR","Period=FQ","BEST_FPERIOD_OVERRIDE=FQ","FILING_STATUS=OR","EQY_CONSOLIDATED=Y","Sort=A","Dates=H","DateFormat=P","Fill=—","Direction=H","UseDPDF=Y")</f>
        <v>#NAME?</v>
      </c>
      <c r="CO235" s="2" t="e">
        <f ca="1">_xll.BDH($C$228,"NET_DEBT_%_CAPITAL","FQ2 2015","FQ2 2015","Currency=INR","Period=FQ","BEST_FPERIOD_OVERRIDE=FQ","FILING_STATUS=OR","EQY_CONSOLIDATED=Y","Sort=A","Dates=H","DateFormat=P","Fill=—","Direction=H","UseDPDF=Y")</f>
        <v>#NAME?</v>
      </c>
      <c r="CP235" s="3" t="e">
        <f ca="1">_xll.BDH($C$228,"EBITDA","FQ2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35" s="3" t="e">
        <f ca="1">_xll.BDH($C$228,"EBITDA_AFTER_CAPEX","FQ2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35" s="3" t="e">
        <f ca="1">_xll.BDH($C$228,"IS_OPER_INC","FQ2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35" s="2" t="e">
        <f ca="1">_xll.BDH($C$228,"CASH_RATIO","FQ2 2015","FQ2 2015","Currency=INR","Period=FQ","BEST_FPERIOD_OVERRIDE=FQ","FILING_STATUS=OR","EQY_CONSOLIDATED=Y","Sort=A","Dates=H","DateFormat=P","Fill=—","Direction=H","UseDPDF=Y")</f>
        <v>#NAME?</v>
      </c>
      <c r="CT235" s="2" t="e">
        <f ca="1">_xll.BDH($C$228,"CUR_RATIO","FQ2 2015","FQ2 2015","Currency=INR","Period=FQ","BEST_FPERIOD_OVERRIDE=FQ","FILING_STATUS=OR","EQY_CONSOLIDATED=Y","Sort=A","Dates=H","DateFormat=P","Fill=—","Direction=H","UseDPDF=Y")</f>
        <v>#NAME?</v>
      </c>
      <c r="CU235" s="2" t="e">
        <f ca="1">_xll.BDH($C$228,"QUICK_RATIO","FQ2 2015","FQ2 2015","Currency=INR","Period=FQ","BEST_FPERIOD_OVERRIDE=FQ","FILING_STATUS=OR","EQY_CONSOLIDATED=Y","Sort=A","Dates=H","DateFormat=P","Fill=—","Direction=H","UseDPDF=Y")</f>
        <v>#NAME?</v>
      </c>
      <c r="CV235" s="2" t="e">
        <f ca="1">_xll.BDH($C$228,"ALTMAN_Z_SCORE","FQ2 2015","FQ2 2015","Currency=INR","Period=FQ","BEST_FPERIOD_OVERRIDE=FQ","FILING_STATUS=OR","EQY_CONSOLIDATED=Y","Sort=A","Dates=H","DateFormat=P","Fill=—","Direction=H","UseDPDF=Y")</f>
        <v>#NAME?</v>
      </c>
      <c r="CW235" s="4" t="e">
        <f ca="1">_xll.BDH($C$228,"ACCT_RCV_TURN","FQ2 2015","FQ2 2015","Currency=INR","Period=FQ","BEST_FPERIOD_OVERRIDE=FQ","FILING_STATUS=OR","EQY_CONSOLIDATED=Y","FA_ADJUSTED=GAAP","Sort=A","Dates=H","DateFormat=P","Fill=—","Direction=H","UseDPDF=Y")</f>
        <v>#NAME?</v>
      </c>
      <c r="CX235" s="2" t="e">
        <f ca="1">_xll.BDH($C$228,"ACCT_RCV_DAYS","FQ2 2015","FQ2 2015","Currency=INR","Period=FQ","BEST_FPERIOD_OVERRIDE=FQ","FILING_STATUS=OR","EQY_CONSOLIDATED=Y","FA_ADJUSTED=GAAP","Sort=A","Dates=H","DateFormat=P","Fill=—","Direction=H","UseDPDF=Y")</f>
        <v>#NAME?</v>
      </c>
      <c r="CY235" s="4" t="e">
        <f ca="1">_xll.BDH($C$228,"INVENT_TURN","FQ2 2015","FQ2 2015","Currency=INR","Period=FQ","BEST_FPERIOD_OVERRIDE=FQ","FILING_STATUS=OR","EQY_CONSOLIDATED=Y","FA_ADJUSTED=GAAP","Sort=A","Dates=H","DateFormat=P","Fill=—","Direction=H","UseDPDF=Y")</f>
        <v>#NAME?</v>
      </c>
      <c r="CZ235" s="2" t="e">
        <f ca="1">_xll.BDH($C$228,"INVENT_DAYS","FQ2 2015","FQ2 2015","Currency=INR","Period=FQ","BEST_FPERIOD_OVERRIDE=FQ","FILING_STATUS=OR","EQY_CONSOLIDATED=Y","FA_ADJUSTED=GAAP","Sort=A","Dates=H","DateFormat=P","Fill=—","Direction=H","UseDPDF=Y")</f>
        <v>#NAME?</v>
      </c>
      <c r="DA235" s="4" t="e">
        <f ca="1">_xll.BDH($C$228,"ACCOUNTS_PAYABLE_TURNOVER","FQ2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35" s="2" t="e">
        <f ca="1">_xll.BDH($C$228,"ACCOUNTS_PAYABLE_TURNOVER_DAYS","FQ2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35" s="4" t="e">
        <f ca="1">_xll.BDH($C$228,"CASH_CONVERSION_CYCLE","FQ2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35" s="4" t="e">
        <f ca="1">_xll.BDH($C$228,"INV_TO_CASH_DAYS","FQ2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35" s="5" t="e">
        <f ca="1">_xll.BDH($C$228,"BS_INVENTORIES","FQ2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35" s="3" t="e">
        <f ca="1">_xll.BDH($C$228,"INVTRY_RAW_MATERIALS","FQ2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35" s="3" t="e">
        <f ca="1">_xll.BDH($C$228,"INVTRY_IN_PROGRESS","FQ2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35" s="3" t="e">
        <f ca="1">_xll.BDH($C$228,"INVTRY_FINISHED_GOODS","FQ2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35" s="3" t="e">
        <f ca="1">_xll.BDH($C$228,"BS_OTHER_INV","FQ2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36" spans="1:113" x14ac:dyDescent="0.3">
      <c r="A236" s="6"/>
      <c r="B236" s="6"/>
      <c r="C236" s="6"/>
      <c r="D236" s="6"/>
      <c r="E236" t="s">
        <v>80</v>
      </c>
      <c r="F236" t="e">
        <f ca="1">_xll.BDH($C$228,"RETURN_COM_EQY","FQ3 2015","FQ3 2015","Currency=INR","Period=FQ","BEST_FPERIOD_OVERRIDE=FQ","FILING_STATUS=OR","EQY_CONSOLIDATED=Y","FA_ADJUSTED=GAAP","Sort=A","Dates=H","DateFormat=P","Fill=—","Direction=H","UseDPDF=Y")</f>
        <v>#NAME?</v>
      </c>
      <c r="G236" t="e">
        <f ca="1">_xll.BDH($C$228,"RETURN_ON_ASSET","FQ3 2015","FQ3 2015","Currency=INR","Period=FQ","BEST_FPERIOD_OVERRIDE=FQ","FILING_STATUS=OR","EQY_CONSOLIDATED=Y","FA_ADJUSTED=GAAP","Sort=A","Dates=H","DateFormat=P","Fill=—","Direction=H","UseDPDF=Y")</f>
        <v>#NAME?</v>
      </c>
      <c r="H236" t="e">
        <f ca="1">_xll.BDH($C$228,"RETURN_ON_CAP","FQ3 2015","FQ3 2015","Currency=INR","Period=FQ","BEST_FPERIOD_OVERRIDE=FQ","FILING_STATUS=OR","EQY_CONSOLIDATED=Y","FA_ADJUSTED=GAAP","Sort=A","Dates=H","DateFormat=P","Fill=—","Direction=H","UseDPDF=Y")</f>
        <v>#NAME?</v>
      </c>
      <c r="I236" t="e">
        <f ca="1">_xll.BDH($C$228,"RETURN_ON_INV_CAPITAL","FQ3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36" t="e">
        <f ca="1">_xll.BDH($C$228,"EBITDA_TO_REVENUE","FQ3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36" t="e">
        <f ca="1">_xll.BDH($C$228,"OPER_MARGIN","FQ3 2015","FQ3 2015","Currency=INR","Period=FQ","BEST_FPERIOD_OVERRIDE=FQ","FILING_STATUS=OR","EQY_CONSOLIDATED=Y","FA_ADJUSTED=GAAP","Sort=A","Dates=H","DateFormat=P","Fill=—","Direction=H","UseDPDF=Y")</f>
        <v>#NAME?</v>
      </c>
      <c r="L236" t="e">
        <f ca="1">_xll.BDH($C$228,"INCREMENTAL_OPERATING_MARGIN","FQ3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36" t="e">
        <f ca="1">_xll.BDH($C$228,"PRETAX_INC_TO_NET_SALES","FQ3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36" t="e">
        <f ca="1">_xll.BDH($C$228,"INC_BEF_XO_ITEMS_TO_NET_SALES","FQ3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36" t="e">
        <f ca="1">_xll.BDH($C$228,"PROF_MARGIN","FQ3 2015","FQ3 2015","Currency=INR","Period=FQ","BEST_FPERIOD_OVERRIDE=FQ","FILING_STATUS=OR","EQY_CONSOLIDATED=Y","FA_ADJUSTED=GAAP","Sort=A","Dates=H","DateFormat=P","Fill=—","Direction=H","UseDPDF=Y")</f>
        <v>#NAME?</v>
      </c>
      <c r="P236" t="e">
        <f ca="1">_xll.BDH($C$228,"NET_INCOME_TO_COMMON_MARGIN","FQ3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36" t="e">
        <f ca="1">_xll.BDH($C$228,"EFF_TAX_RATE","FQ3 2015","FQ3 2015","Currency=INR","Period=FQ","BEST_FPERIOD_OVERRIDE=FQ","FILING_STATUS=OR","EQY_CONSOLIDATED=Y","FA_ADJUSTED=GAAP","Sort=A","Dates=H","DateFormat=P","Fill=—","Direction=H","UseDPDF=Y")</f>
        <v>#NAME?</v>
      </c>
      <c r="R236" t="e">
        <f ca="1">_xll.BDH($C$228,"DVD_PAYOUT_RATIO","FQ3 2015","FQ3 2015","Currency=INR","Period=FQ","BEST_FPERIOD_OVERRIDE=FQ","FILING_STATUS=OR","EQY_CONSOLIDATED=Y","FA_ADJUSTED=GAAP","Sort=A","Dates=H","DateFormat=P","Fill=—","Direction=H","UseDPDF=Y")</f>
        <v>#NAME?</v>
      </c>
      <c r="S236" t="e">
        <f ca="1">_xll.BDH($C$228,"SUSTAIN_GROWTH_RT","FQ3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36" s="2" t="e">
        <f ca="1">_xll.BDH($C$228,"SALES_GROWTH","FQ3 2015","FQ3 2015","Currency=INR","Period=FQ","BEST_FPERIOD_OVERRIDE=FQ","FILING_STATUS=OR","EQY_CONSOLIDATED=Y","FA_ADJUSTED=GAAP","Sort=A","Dates=H","DateFormat=P","Fill=—","Direction=H","UseDPDF=Y")</f>
        <v>#NAME?</v>
      </c>
      <c r="U236" s="2" t="e">
        <f ca="1">_xll.BDH($C$228,"EBITDA_GROWTH","FQ3 2015","FQ3 2015","Currency=INR","Period=FQ","BEST_FPERIOD_OVERRIDE=FQ","FILING_STATUS=OR","EQY_CONSOLIDATED=Y","FA_ADJUSTED=GAAP","Sort=A","Dates=H","DateFormat=P","Fill=—","Direction=H","UseDPDF=Y")</f>
        <v>#NAME?</v>
      </c>
      <c r="V236" s="2" t="e">
        <f ca="1">_xll.BDH($C$228,"OPER_INC_GROWTH","FQ3 2015","FQ3 2015","Currency=INR","Period=FQ","BEST_FPERIOD_OVERRIDE=FQ","FILING_STATUS=OR","EQY_CONSOLIDATED=Y","FA_ADJUSTED=GAAP","Sort=A","Dates=H","DateFormat=P","Fill=—","Direction=H","UseDPDF=Y")</f>
        <v>#NAME?</v>
      </c>
      <c r="W236" s="2" t="e">
        <f ca="1">_xll.BDH($C$228,"EARN_FOR_COM_GROWTH","FQ3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36" s="2" t="e">
        <f ca="1">_xll.BDH($C$228,"DILUTED_EPS_AFT_XO_ITEMS_GROWTH","FQ3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36" s="2" t="e">
        <f ca="1">_xll.BDH($C$228,"DIVIDEND_PER_SHARE_1_YEAR_GROWTH","FQ3 2015","FQ3 2015","Currency=INR","Period=FQ","BEST_FPERIOD_OVERRIDE=FQ","FILING_STATUS=OR","EQY_CONSOLIDATED=Y","Sort=A","Dates=H","DateFormat=P","Fill=—","Direction=H","UseDPDF=Y")</f>
        <v>#NAME?</v>
      </c>
      <c r="Z236" s="2" t="e">
        <f ca="1">_xll.BDH($C$228,"ACCOUNTS_RECEIVABLE_GROWTH","FQ3 2015","FQ3 2015","Currency=INR","Period=FQ","BEST_FPERIOD_OVERRIDE=FQ","FILING_STATUS=OR","EQY_CONSOLIDATED=Y","Sort=A","Dates=H","DateFormat=P","Fill=—","Direction=H","UseDPDF=Y")</f>
        <v>#NAME?</v>
      </c>
      <c r="AA236" s="2" t="e">
        <f ca="1">_xll.BDH($C$228,"INVENTORY_GROWTH","FQ3 2015","FQ3 2015","Currency=INR","Period=FQ","BEST_FPERIOD_OVERRIDE=FQ","FILING_STATUS=OR","EQY_CONSOLIDATED=Y","Sort=A","Dates=H","DateFormat=P","Fill=—","Direction=H","UseDPDF=Y")</f>
        <v>#NAME?</v>
      </c>
      <c r="AB236" s="2" t="e">
        <f ca="1">_xll.BDH($C$228,"NET_FIXED_ASSETS_1_YEAR_GROWTH","FQ3 2015","FQ3 2015","Currency=INR","Period=FQ","BEST_FPERIOD_OVERRIDE=FQ","FILING_STATUS=OR","EQY_CONSOLIDATED=Y","Sort=A","Dates=H","DateFormat=P","Fill=—","Direction=H","UseDPDF=Y")</f>
        <v>#NAME?</v>
      </c>
      <c r="AC236" s="2" t="e">
        <f ca="1">_xll.BDH($C$228,"ASSET_GROWTH","FQ3 2015","FQ3 2015","Currency=INR","Period=FQ","BEST_FPERIOD_OVERRIDE=FQ","FILING_STATUS=OR","EQY_CONSOLIDATED=Y","Sort=A","Dates=H","DateFormat=P","Fill=—","Direction=H","UseDPDF=Y")</f>
        <v>#NAME?</v>
      </c>
      <c r="AD236" s="2" t="e">
        <f ca="1">_xll.BDH($C$228,"MODIFIED_WORK_CAP_GROWTH","FQ3 2015","FQ3 2015","Currency=INR","Period=FQ","BEST_FPERIOD_OVERRIDE=FQ","FILING_STATUS=OR","EQY_CONSOLIDATED=Y","Sort=A","Dates=H","DateFormat=P","Fill=—","Direction=H","UseDPDF=Y")</f>
        <v>#NAME?</v>
      </c>
      <c r="AE236" s="2" t="e">
        <f ca="1">_xll.BDH($C$228,"WORK_CAP_GROWTH","FQ3 2015","FQ3 2015","Currency=INR","Period=FQ","BEST_FPERIOD_OVERRIDE=FQ","FILING_STATUS=OR","EQY_CONSOLIDATED=Y","Sort=A","Dates=H","DateFormat=P","Fill=—","Direction=H","UseDPDF=Y")</f>
        <v>#NAME?</v>
      </c>
      <c r="AF236" s="2" t="e">
        <f ca="1">_xll.BDH($C$228,"ACCOUNTS_PAYABLE_GROWTH_1YR","FQ3 2015","FQ3 2015","Currency=INR","Period=FQ","BEST_FPERIOD_OVERRIDE=FQ","FILING_STATUS=OR","EQY_CONSOLIDATED=Y","Sort=A","Dates=H","DateFormat=P","Fill=—","Direction=H","UseDPDF=Y")</f>
        <v>#NAME?</v>
      </c>
      <c r="AG236" s="2" t="e">
        <f ca="1">_xll.BDH($C$228,"SHORT_TERM_DEBT_1_YEAR_GROWTH","FQ3 2015","FQ3 2015","Currency=INR","Period=FQ","BEST_FPERIOD_OVERRIDE=FQ","FILING_STATUS=OR","EQY_CONSOLIDATED=Y","Sort=A","Dates=H","DateFormat=P","Fill=—","Direction=H","UseDPDF=Y")</f>
        <v>#NAME?</v>
      </c>
      <c r="AH236" s="2" t="e">
        <f ca="1">_xll.BDH($C$228,"TOTAL_DEBT_1_YEAR_GROWTH","FQ3 2015","FQ3 2015","Currency=INR","Period=FQ","BEST_FPERIOD_OVERRIDE=FQ","FILING_STATUS=OR","EQY_CONSOLIDATED=Y","Sort=A","Dates=H","DateFormat=P","Fill=—","Direction=H","UseDPDF=Y")</f>
        <v>#NAME?</v>
      </c>
      <c r="AI236" s="2" t="e">
        <f ca="1">_xll.BDH($C$228,"TOTAL_EQUITY_1_YEAR_GROWTH","FQ3 2015","FQ3 2015","Currency=INR","Period=FQ","BEST_FPERIOD_OVERRIDE=FQ","FILING_STATUS=OR","EQY_CONSOLIDATED=Y","Sort=A","Dates=H","DateFormat=P","Fill=—","Direction=H","UseDPDF=Y")</f>
        <v>#NAME?</v>
      </c>
      <c r="AJ236" s="2" t="e">
        <f ca="1">_xll.BDH($C$228,"GROWTH_IN_CAP","FQ3 2015","FQ3 2015","Currency=INR","Period=FQ","BEST_FPERIOD_OVERRIDE=FQ","FILING_STATUS=OR","EQY_CONSOLIDATED=Y","Sort=A","Dates=H","DateFormat=P","Fill=—","Direction=H","UseDPDF=Y")</f>
        <v>#NAME?</v>
      </c>
      <c r="AK236" s="2" t="e">
        <f ca="1">_xll.BDH($C$228,"BVPS_GROWTH","FQ3 2015","FQ3 2015","Currency=INR","Period=FQ","BEST_FPERIOD_OVERRIDE=FQ","FILING_STATUS=OR","EQY_CONSOLIDATED=Y","Sort=A","Dates=H","DateFormat=P","Fill=—","Direction=H","UseDPDF=Y")</f>
        <v>#NAME?</v>
      </c>
      <c r="AL236" s="2" t="e">
        <f ca="1">_xll.BDH($C$228,"CASH_FLOW_GROWTH","FQ3 2015","FQ3 2015","Currency=INR","Period=FQ","BEST_FPERIOD_OVERRIDE=FQ","FILING_STATUS=OR","EQY_CONSOLIDATED=Y","Sort=A","Dates=H","DateFormat=P","Fill=—","Direction=H","UseDPDF=Y")</f>
        <v>#NAME?</v>
      </c>
      <c r="AM236" s="2" t="e">
        <f ca="1">_xll.BDH($C$228,"GEO_GROW_NET_SALES","FQ3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36" s="2" t="e">
        <f ca="1">_xll.BDH($C$228,"GEO_GROW_EBITDA","FQ3 2015","FQ3 2015","Currency=INR","Period=FQ","BEST_FPERIOD_OVERRIDE=FQ","FILING_STATUS=OR","EQY_CONSOLIDATED=Y","FA_ADJUSTED=GAAP","Sort=A","Dates=H","DateFormat=P","Fill=—","Direction=H","UseDPDF=Y")</f>
        <v>#NAME?</v>
      </c>
      <c r="AO236" s="2" t="e">
        <f ca="1">_xll.BDH($C$228,"GEO_GROW_OPER_INC","FQ3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36" s="2" t="e">
        <f ca="1">_xll.BDH($C$228,"NET_INCOME_TO_COMMON_5_YR_GROWTH","FQ3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36" s="2" t="e">
        <f ca="1">_xll.BDH($C$228,"5Y_GEO_GROWTH_DILUTED_EPS","FQ3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36" s="2" t="e">
        <f ca="1">_xll.BDH($C$228,"GEO_GROW_DVD_PER_SH","FQ3 2015","FQ3 2015","Currency=INR","Period=FQ","BEST_FPERIOD_OVERRIDE=FQ","FILING_STATUS=OR","EQY_CONSOLIDATED=Y","Sort=A","Dates=H","DateFormat=P","Fill=—","Direction=H","UseDPDF=Y")</f>
        <v>#NAME?</v>
      </c>
      <c r="AS236" s="2" t="e">
        <f ca="1">_xll.BDH($C$228,"ACCOUNTS_RECEIVABLE_5_YR_GROWTH","FQ3 2015","FQ3 2015","Currency=INR","Period=FQ","BEST_FPERIOD_OVERRIDE=FQ","FILING_STATUS=OR","EQY_CONSOLIDATED=Y","Sort=A","Dates=H","DateFormat=P","Fill=—","Direction=H","UseDPDF=Y")</f>
        <v>#NAME?</v>
      </c>
      <c r="AT236" s="2" t="e">
        <f ca="1">_xll.BDH($C$228,"INVENTORY_5_YEAR_GROWTH","FQ3 2015","FQ3 2015","Currency=INR","Period=FQ","BEST_FPERIOD_OVERRIDE=FQ","FILING_STATUS=OR","EQY_CONSOLIDATED=Y","Sort=A","Dates=H","DateFormat=P","Fill=—","Direction=H","UseDPDF=Y")</f>
        <v>#NAME?</v>
      </c>
      <c r="AU236" s="2" t="e">
        <f ca="1">_xll.BDH($C$228,"NET_FIXED_ASSETS_5_YEAR_GROWTH","FQ3 2015","FQ3 2015","Currency=INR","Period=FQ","BEST_FPERIOD_OVERRIDE=FQ","FILING_STATUS=OR","EQY_CONSOLIDATED=Y","Sort=A","Dates=H","DateFormat=P","Fill=—","Direction=H","UseDPDF=Y")</f>
        <v>#NAME?</v>
      </c>
      <c r="AV236" s="2" t="e">
        <f ca="1">_xll.BDH($C$228,"GEO_GROW_TOT_ASSET","FQ3 2015","FQ3 2015","Currency=INR","Period=FQ","BEST_FPERIOD_OVERRIDE=FQ","FILING_STATUS=OR","EQY_CONSOLIDATED=Y","Sort=A","Dates=H","DateFormat=P","Fill=—","Direction=H","UseDPDF=Y")</f>
        <v>#NAME?</v>
      </c>
      <c r="AW236" s="2" t="e">
        <f ca="1">_xll.BDH($C$228,"MODIFIED_WORKING_CPTL_5YR_GRWTH","FQ3 2015","FQ3 2015","Currency=INR","Period=FQ","BEST_FPERIOD_OVERRIDE=FQ","FILING_STATUS=OR","EQY_CONSOLIDATED=Y","Sort=A","Dates=H","DateFormat=P","Fill=—","Direction=H","UseDPDF=Y")</f>
        <v>#NAME?</v>
      </c>
      <c r="AX236" s="2" t="e">
        <f ca="1">_xll.BDH($C$228,"WORKING_CAPITAL_5_YEAR_GROWTH","FQ3 2015","FQ3 2015","Currency=INR","Period=FQ","BEST_FPERIOD_OVERRIDE=FQ","FILING_STATUS=OR","EQY_CONSOLIDATED=Y","Sort=A","Dates=H","DateFormat=P","Fill=—","Direction=H","UseDPDF=Y")</f>
        <v>#NAME?</v>
      </c>
      <c r="AY236" s="2" t="e">
        <f ca="1">_xll.BDH($C$228,"ACCOUNTS_PAYABLE_5_YEAR_GROWTH","FQ3 2015","FQ3 2015","Currency=INR","Period=FQ","BEST_FPERIOD_OVERRIDE=FQ","FILING_STATUS=OR","EQY_CONSOLIDATED=Y","Sort=A","Dates=H","DateFormat=P","Fill=—","Direction=H","UseDPDF=Y")</f>
        <v>#NAME?</v>
      </c>
      <c r="AZ236" s="2" t="e">
        <f ca="1">_xll.BDH($C$228,"SHORT_TERM_DEBT_5_YEAR_GROWTH","FQ3 2015","FQ3 2015","Currency=INR","Period=FQ","BEST_FPERIOD_OVERRIDE=FQ","FILING_STATUS=OR","EQY_CONSOLIDATED=Y","Sort=A","Dates=H","DateFormat=P","Fill=—","Direction=H","UseDPDF=Y")</f>
        <v>#NAME?</v>
      </c>
      <c r="BA236" s="2" t="e">
        <f ca="1">_xll.BDH($C$228,"TOTAL_DEBT_5_YEAR_GROWTH","FQ3 2015","FQ3 2015","Currency=INR","Period=FQ","BEST_FPERIOD_OVERRIDE=FQ","FILING_STATUS=OR","EQY_CONSOLIDATED=Y","Sort=A","Dates=H","DateFormat=P","Fill=—","Direction=H","UseDPDF=Y")</f>
        <v>#NAME?</v>
      </c>
      <c r="BB236" s="2" t="e">
        <f ca="1">_xll.BDH($C$228,"GEO_GROW_TOT_SHRHLDR_EQY","FQ3 2015","FQ3 2015","Currency=INR","Period=FQ","BEST_FPERIOD_OVERRIDE=FQ","FILING_STATUS=OR","EQY_CONSOLIDATED=Y","Sort=A","Dates=H","DateFormat=P","Fill=—","Direction=H","UseDPDF=Y")</f>
        <v>#NAME?</v>
      </c>
      <c r="BC236" s="2" t="e">
        <f ca="1">_xll.BDH($C$228,"TOTAL_CAPITAL_5_YEAR_GROWTH","FQ3 2015","FQ3 2015","Currency=INR","Period=FQ","BEST_FPERIOD_OVERRIDE=FQ","FILING_STATUS=OR","EQY_CONSOLIDATED=Y","Sort=A","Dates=H","DateFormat=P","Fill=—","Direction=H","UseDPDF=Y")</f>
        <v>#NAME?</v>
      </c>
      <c r="BD236" s="2" t="e">
        <f ca="1">_xll.BDH($C$228,"GEO_GROW_BOOK_VAL","FQ3 2015","FQ3 2015","Currency=INR","Period=FQ","BEST_FPERIOD_OVERRIDE=FQ","FILING_STATUS=OR","EQY_CONSOLIDATED=Y","Sort=A","Dates=H","DateFormat=P","Fill=—","Direction=H","UseDPDF=Y")</f>
        <v>#NAME?</v>
      </c>
      <c r="BE236" s="2" t="e">
        <f ca="1">_xll.BDH($C$228,"GEO_GROW_CASH_OPER_ACT","FQ3 2015","FQ3 2015","Currency=INR","Period=FQ","BEST_FPERIOD_OVERRIDE=FQ","FILING_STATUS=OR","EQY_CONSOLIDATED=Y","Sort=A","Dates=H","DateFormat=P","Fill=—","Direction=H","UseDPDF=Y")</f>
        <v>#NAME?</v>
      </c>
      <c r="BF236" s="2" t="e">
        <f ca="1">_xll.BDH($C$228,"REVENUE_SEQUENTIAL_GROWTH","FQ3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36" s="2" t="e">
        <f ca="1">_xll.BDH($C$228,"EBITDA_SEQUENTIAL_GROWTH","FQ3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36" s="2" t="e">
        <f ca="1">_xll.BDH($C$228,"OPERATING_INCOME_SEQ_GROWTH","FQ3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36" s="2" t="e">
        <f ca="1">_xll.BDH($C$228,"NET_INCOME_TO_COMMON_SEQ_GROWTH","FQ3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36" s="2" t="e">
        <f ca="1">_xll.BDH($C$228,"EPS_DILUTED_SEQUENTIAL_GROWTH","FQ3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36" s="2" t="e">
        <f ca="1">_xll.BDH($C$228,"DPS_SEQUENTIAL_GROWTH","FQ3 2015","FQ3 2015","Currency=INR","Period=FQ","BEST_FPERIOD_OVERRIDE=FQ","FILING_STATUS=OR","EQY_CONSOLIDATED=Y","Sort=A","Dates=H","DateFormat=P","Fill=—","Direction=H","UseDPDF=Y")</f>
        <v>#NAME?</v>
      </c>
      <c r="BL236" s="2" t="e">
        <f ca="1">_xll.BDH($C$228,"ACCOUNTS_RECEIVABLE_SEQ_GROWTH","FQ3 2015","FQ3 2015","Currency=INR","Period=FQ","BEST_FPERIOD_OVERRIDE=FQ","FILING_STATUS=OR","EQY_CONSOLIDATED=Y","Sort=A","Dates=H","DateFormat=P","Fill=—","Direction=H","UseDPDF=Y")</f>
        <v>#NAME?</v>
      </c>
      <c r="BM236" s="2" t="e">
        <f ca="1">_xll.BDH($C$228,"INVENTORY_SEQUENTIAL_GROWTH","FQ3 2015","FQ3 2015","Currency=INR","Period=FQ","BEST_FPERIOD_OVERRIDE=FQ","FILING_STATUS=OR","EQY_CONSOLIDATED=Y","Sort=A","Dates=H","DateFormat=P","Fill=—","Direction=H","UseDPDF=Y")</f>
        <v>#NAME?</v>
      </c>
      <c r="BN236" s="2" t="e">
        <f ca="1">_xll.BDH($C$228,"FIXED_ASSETS_SEQUENTIAL_GROWTH","FQ3 2015","FQ3 2015","Currency=INR","Period=FQ","BEST_FPERIOD_OVERRIDE=FQ","FILING_STATUS=OR","EQY_CONSOLIDATED=Y","Sort=A","Dates=H","DateFormat=P","Fill=—","Direction=H","UseDPDF=Y")</f>
        <v>#NAME?</v>
      </c>
      <c r="BO236" s="2" t="e">
        <f ca="1">_xll.BDH($C$228,"TOTAL_ASSETS_SEQUENTIAL_GROWTH","FQ3 2015","FQ3 2015","Currency=INR","Period=FQ","BEST_FPERIOD_OVERRIDE=FQ","FILING_STATUS=OR","EQY_CONSOLIDATED=Y","Sort=A","Dates=H","DateFormat=P","Fill=—","Direction=H","UseDPDF=Y")</f>
        <v>#NAME?</v>
      </c>
      <c r="BP236" s="2" t="e">
        <f ca="1">_xll.BDH($C$228,"MODIFIED_WORKING_CPTL_SEQ_GRWTH","FQ3 2015","FQ3 2015","Currency=INR","Period=FQ","BEST_FPERIOD_OVERRIDE=FQ","FILING_STATUS=OR","EQY_CONSOLIDATED=Y","Sort=A","Dates=H","DateFormat=P","Fill=—","Direction=H","UseDPDF=Y")</f>
        <v>#NAME?</v>
      </c>
      <c r="BQ236" s="2" t="e">
        <f ca="1">_xll.BDH($C$228,"WORKING_CAPITAL_SEQ_GROWTH","FQ3 2015","FQ3 2015","Currency=INR","Period=FQ","BEST_FPERIOD_OVERRIDE=FQ","FILING_STATUS=OR","EQY_CONSOLIDATED=Y","Sort=A","Dates=H","DateFormat=P","Fill=—","Direction=H","UseDPDF=Y")</f>
        <v>#NAME?</v>
      </c>
      <c r="BR236" s="2" t="e">
        <f ca="1">_xll.BDH($C$228,"ACCOUNTS_PAYABLE_SEQ_GROWTH","FQ3 2015","FQ3 2015","Currency=INR","Period=FQ","BEST_FPERIOD_OVERRIDE=FQ","FILING_STATUS=OR","EQY_CONSOLIDATED=Y","Sort=A","Dates=H","DateFormat=P","Fill=—","Direction=H","UseDPDF=Y")</f>
        <v>#NAME?</v>
      </c>
      <c r="BS236" s="2" t="e">
        <f ca="1">_xll.BDH($C$228,"ST_DEBT_SEQUENTIAL_GROWTH","FQ3 2015","FQ3 2015","Currency=INR","Period=FQ","BEST_FPERIOD_OVERRIDE=FQ","FILING_STATUS=OR","EQY_CONSOLIDATED=Y","Sort=A","Dates=H","DateFormat=P","Fill=—","Direction=H","UseDPDF=Y")</f>
        <v>#NAME?</v>
      </c>
      <c r="BT236" s="2" t="e">
        <f ca="1">_xll.BDH($C$228,"TOTAL_DEBT_SEQUENTIAL_GROWTH","FQ3 2015","FQ3 2015","Currency=INR","Period=FQ","BEST_FPERIOD_OVERRIDE=FQ","FILING_STATUS=OR","EQY_CONSOLIDATED=Y","Sort=A","Dates=H","DateFormat=P","Fill=—","Direction=H","UseDPDF=Y")</f>
        <v>#NAME?</v>
      </c>
      <c r="BU236" s="2" t="e">
        <f ca="1">_xll.BDH($C$228,"TOTAL_EQUITY_SEQUENTIAL_GROWTH","FQ3 2015","FQ3 2015","Currency=INR","Period=FQ","BEST_FPERIOD_OVERRIDE=FQ","FILING_STATUS=OR","EQY_CONSOLIDATED=Y","Sort=A","Dates=H","DateFormat=P","Fill=—","Direction=H","UseDPDF=Y")</f>
        <v>#NAME?</v>
      </c>
      <c r="BV236" s="2" t="e">
        <f ca="1">_xll.BDH($C$228,"TOTAL_CAPITAL_SEQUENTIAL_GROWTH","FQ3 2015","FQ3 2015","Currency=INR","Period=FQ","BEST_FPERIOD_OVERRIDE=FQ","FILING_STATUS=OR","EQY_CONSOLIDATED=Y","Sort=A","Dates=H","DateFormat=P","Fill=—","Direction=H","UseDPDF=Y")</f>
        <v>#NAME?</v>
      </c>
      <c r="BW236" s="2" t="e">
        <f ca="1">_xll.BDH($C$228,"BPS_SEQUENTIAL_GROWTH","FQ3 2015","FQ3 2015","Currency=INR","Period=FQ","BEST_FPERIOD_OVERRIDE=FQ","FILING_STATUS=OR","EQY_CONSOLIDATED=Y","Sort=A","Dates=H","DateFormat=P","Fill=—","Direction=H","UseDPDF=Y")</f>
        <v>#NAME?</v>
      </c>
      <c r="BX236" s="2" t="e">
        <f ca="1">_xll.BDH($C$228,"CFO_SEQUENTIAL_GROWTH","FQ3 2015","FQ3 2015","Currency=INR","Period=FQ","BEST_FPERIOD_OVERRIDE=FQ","FILING_STATUS=OR","EQY_CONSOLIDATED=Y","Sort=A","Dates=H","DateFormat=P","Fill=—","Direction=H","UseDPDF=Y")</f>
        <v>#NAME?</v>
      </c>
      <c r="BY236" s="3" t="e">
        <f ca="1">_xll.BDH($C$228,"SHORT_AND_LONG_TERM_DEBT","FQ3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36" s="3" t="e">
        <f ca="1">_xll.BDH($C$228,"BS_ST_BORROW","FQ3 2015","FQ3 2015","Currency=INR","Period=FQ","BEST_FPERIOD_OVERRIDE=FQ","FILING_STATUS=OR","EQY_CONSOLIDATED=Y","SCALING_FORMAT=MLN","Sort=A","Dates=H","DateFormat=P","Fill=—","Direction=H","UseDPDF=Y")</f>
        <v>#NAME?</v>
      </c>
      <c r="CA236" s="3" t="e">
        <f ca="1">_xll.BDH($C$228,"BS_LT_BORROW","FQ3 2015","FQ3 2015","Currency=INR","Period=FQ","BEST_FPERIOD_OVERRIDE=FQ","FILING_STATUS=OR","EQY_CONSOLIDATED=Y","SCALING_FORMAT=MLN","Sort=A","Dates=H","DateFormat=P","Fill=—","Direction=H","UseDPDF=Y")</f>
        <v>#NAME?</v>
      </c>
      <c r="CB236" s="2" t="e">
        <f ca="1">_xll.BDH($C$228,"TOT_DEBT_TO_EBITDA","FQ3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36" s="2" t="e">
        <f ca="1">_xll.BDH($C$228,"NET_DEBT_TO_EBITDA","FQ3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36" s="2" t="e">
        <f ca="1">_xll.BDH($C$228,"TOTAL_DEBT_TO_EBIT","FQ3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36" s="2" t="e">
        <f ca="1">_xll.BDH($C$228,"NET_DEBT_TO_EBIT","FQ3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36" s="2" t="e">
        <f ca="1">_xll.BDH($C$228,"EBITDA_TO_INTEREST_EXPN","FQ3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36" s="2" t="e">
        <f ca="1">_xll.BDH($C$228,"COM_EQY_TO_TOT_ASSET","FQ3 2015","FQ3 2015","Currency=INR","Period=FQ","BEST_FPERIOD_OVERRIDE=FQ","FILING_STATUS=OR","EQY_CONSOLIDATED=Y","Sort=A","Dates=H","DateFormat=P","Fill=—","Direction=H","UseDPDF=Y")</f>
        <v>#NAME?</v>
      </c>
      <c r="CH236" s="2" t="e">
        <f ca="1">_xll.BDH($C$228,"LT_DEBT_TO_TOT_EQY","FQ3 2015","FQ3 2015","Currency=INR","Period=FQ","BEST_FPERIOD_OVERRIDE=FQ","FILING_STATUS=OR","EQY_CONSOLIDATED=Y","Sort=A","Dates=H","DateFormat=P","Fill=—","Direction=H","UseDPDF=Y")</f>
        <v>#NAME?</v>
      </c>
      <c r="CI236" s="2" t="e">
        <f ca="1">_xll.BDH($C$228,"LT_DEBT_TO_TOT_CAP","FQ3 2015","FQ3 2015","Currency=INR","Period=FQ","BEST_FPERIOD_OVERRIDE=FQ","FILING_STATUS=OR","EQY_CONSOLIDATED=Y","Sort=A","Dates=H","DateFormat=P","Fill=—","Direction=H","UseDPDF=Y")</f>
        <v>#NAME?</v>
      </c>
      <c r="CJ236" s="2" t="e">
        <f ca="1">_xll.BDH($C$228,"LT_DEBT_TO_TOT_ASSET","FQ3 2015","FQ3 2015","Currency=INR","Period=FQ","BEST_FPERIOD_OVERRIDE=FQ","FILING_STATUS=OR","EQY_CONSOLIDATED=Y","Sort=A","Dates=H","DateFormat=P","Fill=—","Direction=H","UseDPDF=Y")</f>
        <v>#NAME?</v>
      </c>
      <c r="CK236" s="2" t="e">
        <f ca="1">_xll.BDH($C$228,"TOT_DEBT_TO_TOT_EQY","FQ3 2015","FQ3 2015","Currency=INR","Period=FQ","BEST_FPERIOD_OVERRIDE=FQ","FILING_STATUS=OR","EQY_CONSOLIDATED=Y","Sort=A","Dates=H","DateFormat=P","Fill=—","Direction=H","UseDPDF=Y")</f>
        <v>#NAME?</v>
      </c>
      <c r="CL236" s="2" t="e">
        <f ca="1">_xll.BDH($C$228,"TOT_DEBT_TO_TOT_CAP","FQ3 2015","FQ3 2015","Currency=INR","Period=FQ","BEST_FPERIOD_OVERRIDE=FQ","FILING_STATUS=OR","EQY_CONSOLIDATED=Y","Sort=A","Dates=H","DateFormat=P","Fill=—","Direction=H","UseDPDF=Y")</f>
        <v>#NAME?</v>
      </c>
      <c r="CM236" s="2" t="e">
        <f ca="1">_xll.BDH($C$228,"TOT_DEBT_TO_TOT_ASSET","FQ3 2015","FQ3 2015","Currency=INR","Period=FQ","BEST_FPERIOD_OVERRIDE=FQ","FILING_STATUS=OR","EQY_CONSOLIDATED=Y","Sort=A","Dates=H","DateFormat=P","Fill=—","Direction=H","UseDPDF=Y")</f>
        <v>#NAME?</v>
      </c>
      <c r="CN236" s="2" t="e">
        <f ca="1">_xll.BDH($C$228,"NET_DEBT_TO_SHRHLDR_EQTY","FQ3 2015","FQ3 2015","Currency=INR","Period=FQ","BEST_FPERIOD_OVERRIDE=FQ","FILING_STATUS=OR","EQY_CONSOLIDATED=Y","Sort=A","Dates=H","DateFormat=P","Fill=—","Direction=H","UseDPDF=Y")</f>
        <v>#NAME?</v>
      </c>
      <c r="CO236" s="2" t="e">
        <f ca="1">_xll.BDH($C$228,"NET_DEBT_%_CAPITAL","FQ3 2015","FQ3 2015","Currency=INR","Period=FQ","BEST_FPERIOD_OVERRIDE=FQ","FILING_STATUS=OR","EQY_CONSOLIDATED=Y","Sort=A","Dates=H","DateFormat=P","Fill=—","Direction=H","UseDPDF=Y")</f>
        <v>#NAME?</v>
      </c>
      <c r="CP236" s="3" t="e">
        <f ca="1">_xll.BDH($C$228,"EBITDA","FQ3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36" s="3" t="e">
        <f ca="1">_xll.BDH($C$228,"EBITDA_AFTER_CAPEX","FQ3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36" s="3" t="e">
        <f ca="1">_xll.BDH($C$228,"IS_OPER_INC","FQ3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36" s="2" t="e">
        <f ca="1">_xll.BDH($C$228,"CASH_RATIO","FQ3 2015","FQ3 2015","Currency=INR","Period=FQ","BEST_FPERIOD_OVERRIDE=FQ","FILING_STATUS=OR","EQY_CONSOLIDATED=Y","Sort=A","Dates=H","DateFormat=P","Fill=—","Direction=H","UseDPDF=Y")</f>
        <v>#NAME?</v>
      </c>
      <c r="CT236" s="2" t="e">
        <f ca="1">_xll.BDH($C$228,"CUR_RATIO","FQ3 2015","FQ3 2015","Currency=INR","Period=FQ","BEST_FPERIOD_OVERRIDE=FQ","FILING_STATUS=OR","EQY_CONSOLIDATED=Y","Sort=A","Dates=H","DateFormat=P","Fill=—","Direction=H","UseDPDF=Y")</f>
        <v>#NAME?</v>
      </c>
      <c r="CU236" s="2" t="e">
        <f ca="1">_xll.BDH($C$228,"QUICK_RATIO","FQ3 2015","FQ3 2015","Currency=INR","Period=FQ","BEST_FPERIOD_OVERRIDE=FQ","FILING_STATUS=OR","EQY_CONSOLIDATED=Y","Sort=A","Dates=H","DateFormat=P","Fill=—","Direction=H","UseDPDF=Y")</f>
        <v>#NAME?</v>
      </c>
      <c r="CV236" s="2" t="e">
        <f ca="1">_xll.BDH($C$228,"ALTMAN_Z_SCORE","FQ3 2015","FQ3 2015","Currency=INR","Period=FQ","BEST_FPERIOD_OVERRIDE=FQ","FILING_STATUS=OR","EQY_CONSOLIDATED=Y","Sort=A","Dates=H","DateFormat=P","Fill=—","Direction=H","UseDPDF=Y")</f>
        <v>#NAME?</v>
      </c>
      <c r="CW236" s="4" t="e">
        <f ca="1">_xll.BDH($C$228,"ACCT_RCV_TURN","FQ3 2015","FQ3 2015","Currency=INR","Period=FQ","BEST_FPERIOD_OVERRIDE=FQ","FILING_STATUS=OR","EQY_CONSOLIDATED=Y","FA_ADJUSTED=GAAP","Sort=A","Dates=H","DateFormat=P","Fill=—","Direction=H","UseDPDF=Y")</f>
        <v>#NAME?</v>
      </c>
      <c r="CX236" s="2" t="e">
        <f ca="1">_xll.BDH($C$228,"ACCT_RCV_DAYS","FQ3 2015","FQ3 2015","Currency=INR","Period=FQ","BEST_FPERIOD_OVERRIDE=FQ","FILING_STATUS=OR","EQY_CONSOLIDATED=Y","FA_ADJUSTED=GAAP","Sort=A","Dates=H","DateFormat=P","Fill=—","Direction=H","UseDPDF=Y")</f>
        <v>#NAME?</v>
      </c>
      <c r="CY236" s="4" t="e">
        <f ca="1">_xll.BDH($C$228,"INVENT_TURN","FQ3 2015","FQ3 2015","Currency=INR","Period=FQ","BEST_FPERIOD_OVERRIDE=FQ","FILING_STATUS=OR","EQY_CONSOLIDATED=Y","FA_ADJUSTED=GAAP","Sort=A","Dates=H","DateFormat=P","Fill=—","Direction=H","UseDPDF=Y")</f>
        <v>#NAME?</v>
      </c>
      <c r="CZ236" s="2" t="e">
        <f ca="1">_xll.BDH($C$228,"INVENT_DAYS","FQ3 2015","FQ3 2015","Currency=INR","Period=FQ","BEST_FPERIOD_OVERRIDE=FQ","FILING_STATUS=OR","EQY_CONSOLIDATED=Y","FA_ADJUSTED=GAAP","Sort=A","Dates=H","DateFormat=P","Fill=—","Direction=H","UseDPDF=Y")</f>
        <v>#NAME?</v>
      </c>
      <c r="DA236" s="4" t="e">
        <f ca="1">_xll.BDH($C$228,"ACCOUNTS_PAYABLE_TURNOVER","FQ3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36" s="2" t="e">
        <f ca="1">_xll.BDH($C$228,"ACCOUNTS_PAYABLE_TURNOVER_DAYS","FQ3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36" s="4" t="e">
        <f ca="1">_xll.BDH($C$228,"CASH_CONVERSION_CYCLE","FQ3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36" s="4" t="e">
        <f ca="1">_xll.BDH($C$228,"INV_TO_CASH_DAYS","FQ3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36" s="5" t="e">
        <f ca="1">_xll.BDH($C$228,"BS_INVENTORIES","FQ3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36" s="3" t="e">
        <f ca="1">_xll.BDH($C$228,"INVTRY_RAW_MATERIALS","FQ3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36" s="3" t="e">
        <f ca="1">_xll.BDH($C$228,"INVTRY_IN_PROGRESS","FQ3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36" s="3" t="e">
        <f ca="1">_xll.BDH($C$228,"INVTRY_FINISHED_GOODS","FQ3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36" s="3" t="e">
        <f ca="1">_xll.BDH($C$228,"BS_OTHER_INV","FQ3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37" spans="1:113" x14ac:dyDescent="0.3">
      <c r="A237" s="6"/>
      <c r="B237" s="6"/>
      <c r="C237" s="6"/>
      <c r="D237" s="6"/>
      <c r="E237" t="s">
        <v>81</v>
      </c>
      <c r="F237" t="e">
        <f ca="1">_xll.BDH($C$228,"RETURN_COM_EQY","FQ4 2015","FQ4 2015","Currency=INR","Period=FQ","BEST_FPERIOD_OVERRIDE=FQ","FILING_STATUS=OR","EQY_CONSOLIDATED=Y","FA_ADJUSTED=GAAP","Sort=A","Dates=H","DateFormat=P","Fill=—","Direction=H","UseDPDF=Y")</f>
        <v>#NAME?</v>
      </c>
      <c r="G237" t="e">
        <f ca="1">_xll.BDH($C$228,"RETURN_ON_ASSET","FQ4 2015","FQ4 2015","Currency=INR","Period=FQ","BEST_FPERIOD_OVERRIDE=FQ","FILING_STATUS=OR","EQY_CONSOLIDATED=Y","FA_ADJUSTED=GAAP","Sort=A","Dates=H","DateFormat=P","Fill=—","Direction=H","UseDPDF=Y")</f>
        <v>#NAME?</v>
      </c>
      <c r="H237" t="e">
        <f ca="1">_xll.BDH($C$228,"RETURN_ON_CAP","FQ4 2015","FQ4 2015","Currency=INR","Period=FQ","BEST_FPERIOD_OVERRIDE=FQ","FILING_STATUS=OR","EQY_CONSOLIDATED=Y","FA_ADJUSTED=GAAP","Sort=A","Dates=H","DateFormat=P","Fill=—","Direction=H","UseDPDF=Y")</f>
        <v>#NAME?</v>
      </c>
      <c r="I237" t="e">
        <f ca="1">_xll.BDH($C$228,"RETURN_ON_INV_CAPITAL","FQ4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37" t="e">
        <f ca="1">_xll.BDH($C$228,"EBITDA_TO_REVENUE","FQ4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37" t="e">
        <f ca="1">_xll.BDH($C$228,"OPER_MARGIN","FQ4 2015","FQ4 2015","Currency=INR","Period=FQ","BEST_FPERIOD_OVERRIDE=FQ","FILING_STATUS=OR","EQY_CONSOLIDATED=Y","FA_ADJUSTED=GAAP","Sort=A","Dates=H","DateFormat=P","Fill=—","Direction=H","UseDPDF=Y")</f>
        <v>#NAME?</v>
      </c>
      <c r="L237" t="e">
        <f ca="1">_xll.BDH($C$228,"INCREMENTAL_OPERATING_MARGIN","FQ4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37" t="e">
        <f ca="1">_xll.BDH($C$228,"PRETAX_INC_TO_NET_SALES","FQ4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37" t="e">
        <f ca="1">_xll.BDH($C$228,"INC_BEF_XO_ITEMS_TO_NET_SALES","FQ4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37" t="e">
        <f ca="1">_xll.BDH($C$228,"PROF_MARGIN","FQ4 2015","FQ4 2015","Currency=INR","Period=FQ","BEST_FPERIOD_OVERRIDE=FQ","FILING_STATUS=OR","EQY_CONSOLIDATED=Y","FA_ADJUSTED=GAAP","Sort=A","Dates=H","DateFormat=P","Fill=—","Direction=H","UseDPDF=Y")</f>
        <v>#NAME?</v>
      </c>
      <c r="P237" t="e">
        <f ca="1">_xll.BDH($C$228,"NET_INCOME_TO_COMMON_MARGIN","FQ4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37" t="e">
        <f ca="1">_xll.BDH($C$228,"EFF_TAX_RATE","FQ4 2015","FQ4 2015","Currency=INR","Period=FQ","BEST_FPERIOD_OVERRIDE=FQ","FILING_STATUS=OR","EQY_CONSOLIDATED=Y","FA_ADJUSTED=GAAP","Sort=A","Dates=H","DateFormat=P","Fill=—","Direction=H","UseDPDF=Y")</f>
        <v>#NAME?</v>
      </c>
      <c r="R237" t="e">
        <f ca="1">_xll.BDH($C$228,"DVD_PAYOUT_RATIO","FQ4 2015","FQ4 2015","Currency=INR","Period=FQ","BEST_FPERIOD_OVERRIDE=FQ","FILING_STATUS=OR","EQY_CONSOLIDATED=Y","FA_ADJUSTED=GAAP","Sort=A","Dates=H","DateFormat=P","Fill=—","Direction=H","UseDPDF=Y")</f>
        <v>#NAME?</v>
      </c>
      <c r="S237" t="e">
        <f ca="1">_xll.BDH($C$228,"SUSTAIN_GROWTH_RT","FQ4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37" s="2" t="e">
        <f ca="1">_xll.BDH($C$228,"SALES_GROWTH","FQ4 2015","FQ4 2015","Currency=INR","Period=FQ","BEST_FPERIOD_OVERRIDE=FQ","FILING_STATUS=OR","EQY_CONSOLIDATED=Y","FA_ADJUSTED=GAAP","Sort=A","Dates=H","DateFormat=P","Fill=—","Direction=H","UseDPDF=Y")</f>
        <v>#NAME?</v>
      </c>
      <c r="U237" s="2" t="e">
        <f ca="1">_xll.BDH($C$228,"EBITDA_GROWTH","FQ4 2015","FQ4 2015","Currency=INR","Period=FQ","BEST_FPERIOD_OVERRIDE=FQ","FILING_STATUS=OR","EQY_CONSOLIDATED=Y","FA_ADJUSTED=GAAP","Sort=A","Dates=H","DateFormat=P","Fill=—","Direction=H","UseDPDF=Y")</f>
        <v>#NAME?</v>
      </c>
      <c r="V237" s="2" t="e">
        <f ca="1">_xll.BDH($C$228,"OPER_INC_GROWTH","FQ4 2015","FQ4 2015","Currency=INR","Period=FQ","BEST_FPERIOD_OVERRIDE=FQ","FILING_STATUS=OR","EQY_CONSOLIDATED=Y","FA_ADJUSTED=GAAP","Sort=A","Dates=H","DateFormat=P","Fill=—","Direction=H","UseDPDF=Y")</f>
        <v>#NAME?</v>
      </c>
      <c r="W237" s="2" t="e">
        <f ca="1">_xll.BDH($C$228,"EARN_FOR_COM_GROWTH","FQ4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37" s="2" t="e">
        <f ca="1">_xll.BDH($C$228,"DILUTED_EPS_AFT_XO_ITEMS_GROWTH","FQ4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37" s="2" t="e">
        <f ca="1">_xll.BDH($C$228,"DIVIDEND_PER_SHARE_1_YEAR_GROWTH","FQ4 2015","FQ4 2015","Currency=INR","Period=FQ","BEST_FPERIOD_OVERRIDE=FQ","FILING_STATUS=OR","EQY_CONSOLIDATED=Y","Sort=A","Dates=H","DateFormat=P","Fill=—","Direction=H","UseDPDF=Y")</f>
        <v>#NAME?</v>
      </c>
      <c r="Z237" s="2" t="e">
        <f ca="1">_xll.BDH($C$228,"ACCOUNTS_RECEIVABLE_GROWTH","FQ4 2015","FQ4 2015","Currency=INR","Period=FQ","BEST_FPERIOD_OVERRIDE=FQ","FILING_STATUS=OR","EQY_CONSOLIDATED=Y","Sort=A","Dates=H","DateFormat=P","Fill=—","Direction=H","UseDPDF=Y")</f>
        <v>#NAME?</v>
      </c>
      <c r="AA237" s="2" t="e">
        <f ca="1">_xll.BDH($C$228,"INVENTORY_GROWTH","FQ4 2015","FQ4 2015","Currency=INR","Period=FQ","BEST_FPERIOD_OVERRIDE=FQ","FILING_STATUS=OR","EQY_CONSOLIDATED=Y","Sort=A","Dates=H","DateFormat=P","Fill=—","Direction=H","UseDPDF=Y")</f>
        <v>#NAME?</v>
      </c>
      <c r="AB237" s="2" t="e">
        <f ca="1">_xll.BDH($C$228,"NET_FIXED_ASSETS_1_YEAR_GROWTH","FQ4 2015","FQ4 2015","Currency=INR","Period=FQ","BEST_FPERIOD_OVERRIDE=FQ","FILING_STATUS=OR","EQY_CONSOLIDATED=Y","Sort=A","Dates=H","DateFormat=P","Fill=—","Direction=H","UseDPDF=Y")</f>
        <v>#NAME?</v>
      </c>
      <c r="AC237" s="2" t="e">
        <f ca="1">_xll.BDH($C$228,"ASSET_GROWTH","FQ4 2015","FQ4 2015","Currency=INR","Period=FQ","BEST_FPERIOD_OVERRIDE=FQ","FILING_STATUS=OR","EQY_CONSOLIDATED=Y","Sort=A","Dates=H","DateFormat=P","Fill=—","Direction=H","UseDPDF=Y")</f>
        <v>#NAME?</v>
      </c>
      <c r="AD237" s="2" t="e">
        <f ca="1">_xll.BDH($C$228,"MODIFIED_WORK_CAP_GROWTH","FQ4 2015","FQ4 2015","Currency=INR","Period=FQ","BEST_FPERIOD_OVERRIDE=FQ","FILING_STATUS=OR","EQY_CONSOLIDATED=Y","Sort=A","Dates=H","DateFormat=P","Fill=—","Direction=H","UseDPDF=Y")</f>
        <v>#NAME?</v>
      </c>
      <c r="AE237" s="2" t="e">
        <f ca="1">_xll.BDH($C$228,"WORK_CAP_GROWTH","FQ4 2015","FQ4 2015","Currency=INR","Period=FQ","BEST_FPERIOD_OVERRIDE=FQ","FILING_STATUS=OR","EQY_CONSOLIDATED=Y","Sort=A","Dates=H","DateFormat=P","Fill=—","Direction=H","UseDPDF=Y")</f>
        <v>#NAME?</v>
      </c>
      <c r="AF237" s="2" t="e">
        <f ca="1">_xll.BDH($C$228,"ACCOUNTS_PAYABLE_GROWTH_1YR","FQ4 2015","FQ4 2015","Currency=INR","Period=FQ","BEST_FPERIOD_OVERRIDE=FQ","FILING_STATUS=OR","EQY_CONSOLIDATED=Y","Sort=A","Dates=H","DateFormat=P","Fill=—","Direction=H","UseDPDF=Y")</f>
        <v>#NAME?</v>
      </c>
      <c r="AG237" s="2" t="e">
        <f ca="1">_xll.BDH($C$228,"SHORT_TERM_DEBT_1_YEAR_GROWTH","FQ4 2015","FQ4 2015","Currency=INR","Period=FQ","BEST_FPERIOD_OVERRIDE=FQ","FILING_STATUS=OR","EQY_CONSOLIDATED=Y","Sort=A","Dates=H","DateFormat=P","Fill=—","Direction=H","UseDPDF=Y")</f>
        <v>#NAME?</v>
      </c>
      <c r="AH237" s="2" t="e">
        <f ca="1">_xll.BDH($C$228,"TOTAL_DEBT_1_YEAR_GROWTH","FQ4 2015","FQ4 2015","Currency=INR","Period=FQ","BEST_FPERIOD_OVERRIDE=FQ","FILING_STATUS=OR","EQY_CONSOLIDATED=Y","Sort=A","Dates=H","DateFormat=P","Fill=—","Direction=H","UseDPDF=Y")</f>
        <v>#NAME?</v>
      </c>
      <c r="AI237" s="2" t="e">
        <f ca="1">_xll.BDH($C$228,"TOTAL_EQUITY_1_YEAR_GROWTH","FQ4 2015","FQ4 2015","Currency=INR","Period=FQ","BEST_FPERIOD_OVERRIDE=FQ","FILING_STATUS=OR","EQY_CONSOLIDATED=Y","Sort=A","Dates=H","DateFormat=P","Fill=—","Direction=H","UseDPDF=Y")</f>
        <v>#NAME?</v>
      </c>
      <c r="AJ237" s="2" t="e">
        <f ca="1">_xll.BDH($C$228,"GROWTH_IN_CAP","FQ4 2015","FQ4 2015","Currency=INR","Period=FQ","BEST_FPERIOD_OVERRIDE=FQ","FILING_STATUS=OR","EQY_CONSOLIDATED=Y","Sort=A","Dates=H","DateFormat=P","Fill=—","Direction=H","UseDPDF=Y")</f>
        <v>#NAME?</v>
      </c>
      <c r="AK237" s="2" t="e">
        <f ca="1">_xll.BDH($C$228,"BVPS_GROWTH","FQ4 2015","FQ4 2015","Currency=INR","Period=FQ","BEST_FPERIOD_OVERRIDE=FQ","FILING_STATUS=OR","EQY_CONSOLIDATED=Y","Sort=A","Dates=H","DateFormat=P","Fill=—","Direction=H","UseDPDF=Y")</f>
        <v>#NAME?</v>
      </c>
      <c r="AL237" s="2" t="e">
        <f ca="1">_xll.BDH($C$228,"CASH_FLOW_GROWTH","FQ4 2015","FQ4 2015","Currency=INR","Period=FQ","BEST_FPERIOD_OVERRIDE=FQ","FILING_STATUS=OR","EQY_CONSOLIDATED=Y","Sort=A","Dates=H","DateFormat=P","Fill=—","Direction=H","UseDPDF=Y")</f>
        <v>#NAME?</v>
      </c>
      <c r="AM237" s="2" t="e">
        <f ca="1">_xll.BDH($C$228,"GEO_GROW_NET_SALES","FQ4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37" s="2" t="e">
        <f ca="1">_xll.BDH($C$228,"GEO_GROW_EBITDA","FQ4 2015","FQ4 2015","Currency=INR","Period=FQ","BEST_FPERIOD_OVERRIDE=FQ","FILING_STATUS=OR","EQY_CONSOLIDATED=Y","FA_ADJUSTED=GAAP","Sort=A","Dates=H","DateFormat=P","Fill=—","Direction=H","UseDPDF=Y")</f>
        <v>#NAME?</v>
      </c>
      <c r="AO237" s="2" t="e">
        <f ca="1">_xll.BDH($C$228,"GEO_GROW_OPER_INC","FQ4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37" s="2" t="e">
        <f ca="1">_xll.BDH($C$228,"NET_INCOME_TO_COMMON_5_YR_GROWTH","FQ4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37" s="2" t="e">
        <f ca="1">_xll.BDH($C$228,"5Y_GEO_GROWTH_DILUTED_EPS","FQ4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37" s="2" t="e">
        <f ca="1">_xll.BDH($C$228,"GEO_GROW_DVD_PER_SH","FQ4 2015","FQ4 2015","Currency=INR","Period=FQ","BEST_FPERIOD_OVERRIDE=FQ","FILING_STATUS=OR","EQY_CONSOLIDATED=Y","Sort=A","Dates=H","DateFormat=P","Fill=—","Direction=H","UseDPDF=Y")</f>
        <v>#NAME?</v>
      </c>
      <c r="AS237" s="2" t="e">
        <f ca="1">_xll.BDH($C$228,"ACCOUNTS_RECEIVABLE_5_YR_GROWTH","FQ4 2015","FQ4 2015","Currency=INR","Period=FQ","BEST_FPERIOD_OVERRIDE=FQ","FILING_STATUS=OR","EQY_CONSOLIDATED=Y","Sort=A","Dates=H","DateFormat=P","Fill=—","Direction=H","UseDPDF=Y")</f>
        <v>#NAME?</v>
      </c>
      <c r="AT237" s="2" t="e">
        <f ca="1">_xll.BDH($C$228,"INVENTORY_5_YEAR_GROWTH","FQ4 2015","FQ4 2015","Currency=INR","Period=FQ","BEST_FPERIOD_OVERRIDE=FQ","FILING_STATUS=OR","EQY_CONSOLIDATED=Y","Sort=A","Dates=H","DateFormat=P","Fill=—","Direction=H","UseDPDF=Y")</f>
        <v>#NAME?</v>
      </c>
      <c r="AU237" s="2" t="e">
        <f ca="1">_xll.BDH($C$228,"NET_FIXED_ASSETS_5_YEAR_GROWTH","FQ4 2015","FQ4 2015","Currency=INR","Period=FQ","BEST_FPERIOD_OVERRIDE=FQ","FILING_STATUS=OR","EQY_CONSOLIDATED=Y","Sort=A","Dates=H","DateFormat=P","Fill=—","Direction=H","UseDPDF=Y")</f>
        <v>#NAME?</v>
      </c>
      <c r="AV237" s="2" t="e">
        <f ca="1">_xll.BDH($C$228,"GEO_GROW_TOT_ASSET","FQ4 2015","FQ4 2015","Currency=INR","Period=FQ","BEST_FPERIOD_OVERRIDE=FQ","FILING_STATUS=OR","EQY_CONSOLIDATED=Y","Sort=A","Dates=H","DateFormat=P","Fill=—","Direction=H","UseDPDF=Y")</f>
        <v>#NAME?</v>
      </c>
      <c r="AW237" s="2" t="e">
        <f ca="1">_xll.BDH($C$228,"MODIFIED_WORKING_CPTL_5YR_GRWTH","FQ4 2015","FQ4 2015","Currency=INR","Period=FQ","BEST_FPERIOD_OVERRIDE=FQ","FILING_STATUS=OR","EQY_CONSOLIDATED=Y","Sort=A","Dates=H","DateFormat=P","Fill=—","Direction=H","UseDPDF=Y")</f>
        <v>#NAME?</v>
      </c>
      <c r="AX237" s="2" t="e">
        <f ca="1">_xll.BDH($C$228,"WORKING_CAPITAL_5_YEAR_GROWTH","FQ4 2015","FQ4 2015","Currency=INR","Period=FQ","BEST_FPERIOD_OVERRIDE=FQ","FILING_STATUS=OR","EQY_CONSOLIDATED=Y","Sort=A","Dates=H","DateFormat=P","Fill=—","Direction=H","UseDPDF=Y")</f>
        <v>#NAME?</v>
      </c>
      <c r="AY237" s="2" t="e">
        <f ca="1">_xll.BDH($C$228,"ACCOUNTS_PAYABLE_5_YEAR_GROWTH","FQ4 2015","FQ4 2015","Currency=INR","Period=FQ","BEST_FPERIOD_OVERRIDE=FQ","FILING_STATUS=OR","EQY_CONSOLIDATED=Y","Sort=A","Dates=H","DateFormat=P","Fill=—","Direction=H","UseDPDF=Y")</f>
        <v>#NAME?</v>
      </c>
      <c r="AZ237" s="2" t="e">
        <f ca="1">_xll.BDH($C$228,"SHORT_TERM_DEBT_5_YEAR_GROWTH","FQ4 2015","FQ4 2015","Currency=INR","Period=FQ","BEST_FPERIOD_OVERRIDE=FQ","FILING_STATUS=OR","EQY_CONSOLIDATED=Y","Sort=A","Dates=H","DateFormat=P","Fill=—","Direction=H","UseDPDF=Y")</f>
        <v>#NAME?</v>
      </c>
      <c r="BA237" s="2" t="e">
        <f ca="1">_xll.BDH($C$228,"TOTAL_DEBT_5_YEAR_GROWTH","FQ4 2015","FQ4 2015","Currency=INR","Period=FQ","BEST_FPERIOD_OVERRIDE=FQ","FILING_STATUS=OR","EQY_CONSOLIDATED=Y","Sort=A","Dates=H","DateFormat=P","Fill=—","Direction=H","UseDPDF=Y")</f>
        <v>#NAME?</v>
      </c>
      <c r="BB237" s="2" t="e">
        <f ca="1">_xll.BDH($C$228,"GEO_GROW_TOT_SHRHLDR_EQY","FQ4 2015","FQ4 2015","Currency=INR","Period=FQ","BEST_FPERIOD_OVERRIDE=FQ","FILING_STATUS=OR","EQY_CONSOLIDATED=Y","Sort=A","Dates=H","DateFormat=P","Fill=—","Direction=H","UseDPDF=Y")</f>
        <v>#NAME?</v>
      </c>
      <c r="BC237" s="2" t="e">
        <f ca="1">_xll.BDH($C$228,"TOTAL_CAPITAL_5_YEAR_GROWTH","FQ4 2015","FQ4 2015","Currency=INR","Period=FQ","BEST_FPERIOD_OVERRIDE=FQ","FILING_STATUS=OR","EQY_CONSOLIDATED=Y","Sort=A","Dates=H","DateFormat=P","Fill=—","Direction=H","UseDPDF=Y")</f>
        <v>#NAME?</v>
      </c>
      <c r="BD237" s="2" t="e">
        <f ca="1">_xll.BDH($C$228,"GEO_GROW_BOOK_VAL","FQ4 2015","FQ4 2015","Currency=INR","Period=FQ","BEST_FPERIOD_OVERRIDE=FQ","FILING_STATUS=OR","EQY_CONSOLIDATED=Y","Sort=A","Dates=H","DateFormat=P","Fill=—","Direction=H","UseDPDF=Y")</f>
        <v>#NAME?</v>
      </c>
      <c r="BE237" s="2" t="e">
        <f ca="1">_xll.BDH($C$228,"GEO_GROW_CASH_OPER_ACT","FQ4 2015","FQ4 2015","Currency=INR","Period=FQ","BEST_FPERIOD_OVERRIDE=FQ","FILING_STATUS=OR","EQY_CONSOLIDATED=Y","Sort=A","Dates=H","DateFormat=P","Fill=—","Direction=H","UseDPDF=Y")</f>
        <v>#NAME?</v>
      </c>
      <c r="BF237" s="2" t="e">
        <f ca="1">_xll.BDH($C$228,"REVENUE_SEQUENTIAL_GROWTH","FQ4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37" s="2" t="e">
        <f ca="1">_xll.BDH($C$228,"EBITDA_SEQUENTIAL_GROWTH","FQ4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37" s="2" t="e">
        <f ca="1">_xll.BDH($C$228,"OPERATING_INCOME_SEQ_GROWTH","FQ4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37" s="2" t="e">
        <f ca="1">_xll.BDH($C$228,"NET_INCOME_TO_COMMON_SEQ_GROWTH","FQ4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37" s="2" t="e">
        <f ca="1">_xll.BDH($C$228,"EPS_DILUTED_SEQUENTIAL_GROWTH","FQ4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37" s="2" t="e">
        <f ca="1">_xll.BDH($C$228,"DPS_SEQUENTIAL_GROWTH","FQ4 2015","FQ4 2015","Currency=INR","Period=FQ","BEST_FPERIOD_OVERRIDE=FQ","FILING_STATUS=OR","EQY_CONSOLIDATED=Y","Sort=A","Dates=H","DateFormat=P","Fill=—","Direction=H","UseDPDF=Y")</f>
        <v>#NAME?</v>
      </c>
      <c r="BL237" s="2" t="e">
        <f ca="1">_xll.BDH($C$228,"ACCOUNTS_RECEIVABLE_SEQ_GROWTH","FQ4 2015","FQ4 2015","Currency=INR","Period=FQ","BEST_FPERIOD_OVERRIDE=FQ","FILING_STATUS=OR","EQY_CONSOLIDATED=Y","Sort=A","Dates=H","DateFormat=P","Fill=—","Direction=H","UseDPDF=Y")</f>
        <v>#NAME?</v>
      </c>
      <c r="BM237" s="2" t="e">
        <f ca="1">_xll.BDH($C$228,"INVENTORY_SEQUENTIAL_GROWTH","FQ4 2015","FQ4 2015","Currency=INR","Period=FQ","BEST_FPERIOD_OVERRIDE=FQ","FILING_STATUS=OR","EQY_CONSOLIDATED=Y","Sort=A","Dates=H","DateFormat=P","Fill=—","Direction=H","UseDPDF=Y")</f>
        <v>#NAME?</v>
      </c>
      <c r="BN237" s="2" t="e">
        <f ca="1">_xll.BDH($C$228,"FIXED_ASSETS_SEQUENTIAL_GROWTH","FQ4 2015","FQ4 2015","Currency=INR","Period=FQ","BEST_FPERIOD_OVERRIDE=FQ","FILING_STATUS=OR","EQY_CONSOLIDATED=Y","Sort=A","Dates=H","DateFormat=P","Fill=—","Direction=H","UseDPDF=Y")</f>
        <v>#NAME?</v>
      </c>
      <c r="BO237" s="2" t="e">
        <f ca="1">_xll.BDH($C$228,"TOTAL_ASSETS_SEQUENTIAL_GROWTH","FQ4 2015","FQ4 2015","Currency=INR","Period=FQ","BEST_FPERIOD_OVERRIDE=FQ","FILING_STATUS=OR","EQY_CONSOLIDATED=Y","Sort=A","Dates=H","DateFormat=P","Fill=—","Direction=H","UseDPDF=Y")</f>
        <v>#NAME?</v>
      </c>
      <c r="BP237" s="2" t="e">
        <f ca="1">_xll.BDH($C$228,"MODIFIED_WORKING_CPTL_SEQ_GRWTH","FQ4 2015","FQ4 2015","Currency=INR","Period=FQ","BEST_FPERIOD_OVERRIDE=FQ","FILING_STATUS=OR","EQY_CONSOLIDATED=Y","Sort=A","Dates=H","DateFormat=P","Fill=—","Direction=H","UseDPDF=Y")</f>
        <v>#NAME?</v>
      </c>
      <c r="BQ237" s="2" t="e">
        <f ca="1">_xll.BDH($C$228,"WORKING_CAPITAL_SEQ_GROWTH","FQ4 2015","FQ4 2015","Currency=INR","Period=FQ","BEST_FPERIOD_OVERRIDE=FQ","FILING_STATUS=OR","EQY_CONSOLIDATED=Y","Sort=A","Dates=H","DateFormat=P","Fill=—","Direction=H","UseDPDF=Y")</f>
        <v>#NAME?</v>
      </c>
      <c r="BR237" s="2" t="e">
        <f ca="1">_xll.BDH($C$228,"ACCOUNTS_PAYABLE_SEQ_GROWTH","FQ4 2015","FQ4 2015","Currency=INR","Period=FQ","BEST_FPERIOD_OVERRIDE=FQ","FILING_STATUS=OR","EQY_CONSOLIDATED=Y","Sort=A","Dates=H","DateFormat=P","Fill=—","Direction=H","UseDPDF=Y")</f>
        <v>#NAME?</v>
      </c>
      <c r="BS237" s="2" t="e">
        <f ca="1">_xll.BDH($C$228,"ST_DEBT_SEQUENTIAL_GROWTH","FQ4 2015","FQ4 2015","Currency=INR","Period=FQ","BEST_FPERIOD_OVERRIDE=FQ","FILING_STATUS=OR","EQY_CONSOLIDATED=Y","Sort=A","Dates=H","DateFormat=P","Fill=—","Direction=H","UseDPDF=Y")</f>
        <v>#NAME?</v>
      </c>
      <c r="BT237" s="2" t="e">
        <f ca="1">_xll.BDH($C$228,"TOTAL_DEBT_SEQUENTIAL_GROWTH","FQ4 2015","FQ4 2015","Currency=INR","Period=FQ","BEST_FPERIOD_OVERRIDE=FQ","FILING_STATUS=OR","EQY_CONSOLIDATED=Y","Sort=A","Dates=H","DateFormat=P","Fill=—","Direction=H","UseDPDF=Y")</f>
        <v>#NAME?</v>
      </c>
      <c r="BU237" s="2" t="e">
        <f ca="1">_xll.BDH($C$228,"TOTAL_EQUITY_SEQUENTIAL_GROWTH","FQ4 2015","FQ4 2015","Currency=INR","Period=FQ","BEST_FPERIOD_OVERRIDE=FQ","FILING_STATUS=OR","EQY_CONSOLIDATED=Y","Sort=A","Dates=H","DateFormat=P","Fill=—","Direction=H","UseDPDF=Y")</f>
        <v>#NAME?</v>
      </c>
      <c r="BV237" s="2" t="e">
        <f ca="1">_xll.BDH($C$228,"TOTAL_CAPITAL_SEQUENTIAL_GROWTH","FQ4 2015","FQ4 2015","Currency=INR","Period=FQ","BEST_FPERIOD_OVERRIDE=FQ","FILING_STATUS=OR","EQY_CONSOLIDATED=Y","Sort=A","Dates=H","DateFormat=P","Fill=—","Direction=H","UseDPDF=Y")</f>
        <v>#NAME?</v>
      </c>
      <c r="BW237" s="2" t="e">
        <f ca="1">_xll.BDH($C$228,"BPS_SEQUENTIAL_GROWTH","FQ4 2015","FQ4 2015","Currency=INR","Period=FQ","BEST_FPERIOD_OVERRIDE=FQ","FILING_STATUS=OR","EQY_CONSOLIDATED=Y","Sort=A","Dates=H","DateFormat=P","Fill=—","Direction=H","UseDPDF=Y")</f>
        <v>#NAME?</v>
      </c>
      <c r="BX237" s="2" t="e">
        <f ca="1">_xll.BDH($C$228,"CFO_SEQUENTIAL_GROWTH","FQ4 2015","FQ4 2015","Currency=INR","Period=FQ","BEST_FPERIOD_OVERRIDE=FQ","FILING_STATUS=OR","EQY_CONSOLIDATED=Y","Sort=A","Dates=H","DateFormat=P","Fill=—","Direction=H","UseDPDF=Y")</f>
        <v>#NAME?</v>
      </c>
      <c r="BY237" s="3" t="e">
        <f ca="1">_xll.BDH($C$228,"SHORT_AND_LONG_TERM_DEBT","FQ4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37" s="3" t="e">
        <f ca="1">_xll.BDH($C$228,"BS_ST_BORROW","FQ4 2015","FQ4 2015","Currency=INR","Period=FQ","BEST_FPERIOD_OVERRIDE=FQ","FILING_STATUS=OR","EQY_CONSOLIDATED=Y","SCALING_FORMAT=MLN","Sort=A","Dates=H","DateFormat=P","Fill=—","Direction=H","UseDPDF=Y")</f>
        <v>#NAME?</v>
      </c>
      <c r="CA237" s="3" t="e">
        <f ca="1">_xll.BDH($C$228,"BS_LT_BORROW","FQ4 2015","FQ4 2015","Currency=INR","Period=FQ","BEST_FPERIOD_OVERRIDE=FQ","FILING_STATUS=OR","EQY_CONSOLIDATED=Y","SCALING_FORMAT=MLN","Sort=A","Dates=H","DateFormat=P","Fill=—","Direction=H","UseDPDF=Y")</f>
        <v>#NAME?</v>
      </c>
      <c r="CB237" s="2" t="e">
        <f ca="1">_xll.BDH($C$228,"TOT_DEBT_TO_EBITDA","FQ4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37" s="2" t="e">
        <f ca="1">_xll.BDH($C$228,"NET_DEBT_TO_EBITDA","FQ4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37" s="2" t="e">
        <f ca="1">_xll.BDH($C$228,"TOTAL_DEBT_TO_EBIT","FQ4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37" s="2" t="e">
        <f ca="1">_xll.BDH($C$228,"NET_DEBT_TO_EBIT","FQ4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37" s="2" t="e">
        <f ca="1">_xll.BDH($C$228,"EBITDA_TO_INTEREST_EXPN","FQ4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37" s="2" t="e">
        <f ca="1">_xll.BDH($C$228,"COM_EQY_TO_TOT_ASSET","FQ4 2015","FQ4 2015","Currency=INR","Period=FQ","BEST_FPERIOD_OVERRIDE=FQ","FILING_STATUS=OR","EQY_CONSOLIDATED=Y","Sort=A","Dates=H","DateFormat=P","Fill=—","Direction=H","UseDPDF=Y")</f>
        <v>#NAME?</v>
      </c>
      <c r="CH237" s="2" t="e">
        <f ca="1">_xll.BDH($C$228,"LT_DEBT_TO_TOT_EQY","FQ4 2015","FQ4 2015","Currency=INR","Period=FQ","BEST_FPERIOD_OVERRIDE=FQ","FILING_STATUS=OR","EQY_CONSOLIDATED=Y","Sort=A","Dates=H","DateFormat=P","Fill=—","Direction=H","UseDPDF=Y")</f>
        <v>#NAME?</v>
      </c>
      <c r="CI237" s="2" t="e">
        <f ca="1">_xll.BDH($C$228,"LT_DEBT_TO_TOT_CAP","FQ4 2015","FQ4 2015","Currency=INR","Period=FQ","BEST_FPERIOD_OVERRIDE=FQ","FILING_STATUS=OR","EQY_CONSOLIDATED=Y","Sort=A","Dates=H","DateFormat=P","Fill=—","Direction=H","UseDPDF=Y")</f>
        <v>#NAME?</v>
      </c>
      <c r="CJ237" s="2" t="e">
        <f ca="1">_xll.BDH($C$228,"LT_DEBT_TO_TOT_ASSET","FQ4 2015","FQ4 2015","Currency=INR","Period=FQ","BEST_FPERIOD_OVERRIDE=FQ","FILING_STATUS=OR","EQY_CONSOLIDATED=Y","Sort=A","Dates=H","DateFormat=P","Fill=—","Direction=H","UseDPDF=Y")</f>
        <v>#NAME?</v>
      </c>
      <c r="CK237" s="2" t="e">
        <f ca="1">_xll.BDH($C$228,"TOT_DEBT_TO_TOT_EQY","FQ4 2015","FQ4 2015","Currency=INR","Period=FQ","BEST_FPERIOD_OVERRIDE=FQ","FILING_STATUS=OR","EQY_CONSOLIDATED=Y","Sort=A","Dates=H","DateFormat=P","Fill=—","Direction=H","UseDPDF=Y")</f>
        <v>#NAME?</v>
      </c>
      <c r="CL237" s="2" t="e">
        <f ca="1">_xll.BDH($C$228,"TOT_DEBT_TO_TOT_CAP","FQ4 2015","FQ4 2015","Currency=INR","Period=FQ","BEST_FPERIOD_OVERRIDE=FQ","FILING_STATUS=OR","EQY_CONSOLIDATED=Y","Sort=A","Dates=H","DateFormat=P","Fill=—","Direction=H","UseDPDF=Y")</f>
        <v>#NAME?</v>
      </c>
      <c r="CM237" s="2" t="e">
        <f ca="1">_xll.BDH($C$228,"TOT_DEBT_TO_TOT_ASSET","FQ4 2015","FQ4 2015","Currency=INR","Period=FQ","BEST_FPERIOD_OVERRIDE=FQ","FILING_STATUS=OR","EQY_CONSOLIDATED=Y","Sort=A","Dates=H","DateFormat=P","Fill=—","Direction=H","UseDPDF=Y")</f>
        <v>#NAME?</v>
      </c>
      <c r="CN237" s="2" t="e">
        <f ca="1">_xll.BDH($C$228,"NET_DEBT_TO_SHRHLDR_EQTY","FQ4 2015","FQ4 2015","Currency=INR","Period=FQ","BEST_FPERIOD_OVERRIDE=FQ","FILING_STATUS=OR","EQY_CONSOLIDATED=Y","Sort=A","Dates=H","DateFormat=P","Fill=—","Direction=H","UseDPDF=Y")</f>
        <v>#NAME?</v>
      </c>
      <c r="CO237" s="2" t="e">
        <f ca="1">_xll.BDH($C$228,"NET_DEBT_%_CAPITAL","FQ4 2015","FQ4 2015","Currency=INR","Period=FQ","BEST_FPERIOD_OVERRIDE=FQ","FILING_STATUS=OR","EQY_CONSOLIDATED=Y","Sort=A","Dates=H","DateFormat=P","Fill=—","Direction=H","UseDPDF=Y")</f>
        <v>#NAME?</v>
      </c>
      <c r="CP237" s="3" t="e">
        <f ca="1">_xll.BDH($C$228,"EBITDA","FQ4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37" s="3" t="e">
        <f ca="1">_xll.BDH($C$228,"EBITDA_AFTER_CAPEX","FQ4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37" s="3" t="e">
        <f ca="1">_xll.BDH($C$228,"IS_OPER_INC","FQ4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37" s="2" t="e">
        <f ca="1">_xll.BDH($C$228,"CASH_RATIO","FQ4 2015","FQ4 2015","Currency=INR","Period=FQ","BEST_FPERIOD_OVERRIDE=FQ","FILING_STATUS=OR","EQY_CONSOLIDATED=Y","Sort=A","Dates=H","DateFormat=P","Fill=—","Direction=H","UseDPDF=Y")</f>
        <v>#NAME?</v>
      </c>
      <c r="CT237" s="2" t="e">
        <f ca="1">_xll.BDH($C$228,"CUR_RATIO","FQ4 2015","FQ4 2015","Currency=INR","Period=FQ","BEST_FPERIOD_OVERRIDE=FQ","FILING_STATUS=OR","EQY_CONSOLIDATED=Y","Sort=A","Dates=H","DateFormat=P","Fill=—","Direction=H","UseDPDF=Y")</f>
        <v>#NAME?</v>
      </c>
      <c r="CU237" s="2" t="e">
        <f ca="1">_xll.BDH($C$228,"QUICK_RATIO","FQ4 2015","FQ4 2015","Currency=INR","Period=FQ","BEST_FPERIOD_OVERRIDE=FQ","FILING_STATUS=OR","EQY_CONSOLIDATED=Y","Sort=A","Dates=H","DateFormat=P","Fill=—","Direction=H","UseDPDF=Y")</f>
        <v>#NAME?</v>
      </c>
      <c r="CV237" s="2" t="e">
        <f ca="1">_xll.BDH($C$228,"ALTMAN_Z_SCORE","FQ4 2015","FQ4 2015","Currency=INR","Period=FQ","BEST_FPERIOD_OVERRIDE=FQ","FILING_STATUS=OR","EQY_CONSOLIDATED=Y","Sort=A","Dates=H","DateFormat=P","Fill=—","Direction=H","UseDPDF=Y")</f>
        <v>#NAME?</v>
      </c>
      <c r="CW237" s="4" t="e">
        <f ca="1">_xll.BDH($C$228,"ACCT_RCV_TURN","FQ4 2015","FQ4 2015","Currency=INR","Period=FQ","BEST_FPERIOD_OVERRIDE=FQ","FILING_STATUS=OR","EQY_CONSOLIDATED=Y","FA_ADJUSTED=GAAP","Sort=A","Dates=H","DateFormat=P","Fill=—","Direction=H","UseDPDF=Y")</f>
        <v>#NAME?</v>
      </c>
      <c r="CX237" s="2" t="e">
        <f ca="1">_xll.BDH($C$228,"ACCT_RCV_DAYS","FQ4 2015","FQ4 2015","Currency=INR","Period=FQ","BEST_FPERIOD_OVERRIDE=FQ","FILING_STATUS=OR","EQY_CONSOLIDATED=Y","FA_ADJUSTED=GAAP","Sort=A","Dates=H","DateFormat=P","Fill=—","Direction=H","UseDPDF=Y")</f>
        <v>#NAME?</v>
      </c>
      <c r="CY237" s="4" t="e">
        <f ca="1">_xll.BDH($C$228,"INVENT_TURN","FQ4 2015","FQ4 2015","Currency=INR","Period=FQ","BEST_FPERIOD_OVERRIDE=FQ","FILING_STATUS=OR","EQY_CONSOLIDATED=Y","FA_ADJUSTED=GAAP","Sort=A","Dates=H","DateFormat=P","Fill=—","Direction=H","UseDPDF=Y")</f>
        <v>#NAME?</v>
      </c>
      <c r="CZ237" s="2" t="e">
        <f ca="1">_xll.BDH($C$228,"INVENT_DAYS","FQ4 2015","FQ4 2015","Currency=INR","Period=FQ","BEST_FPERIOD_OVERRIDE=FQ","FILING_STATUS=OR","EQY_CONSOLIDATED=Y","FA_ADJUSTED=GAAP","Sort=A","Dates=H","DateFormat=P","Fill=—","Direction=H","UseDPDF=Y")</f>
        <v>#NAME?</v>
      </c>
      <c r="DA237" s="4" t="e">
        <f ca="1">_xll.BDH($C$228,"ACCOUNTS_PAYABLE_TURNOVER","FQ4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37" s="2" t="e">
        <f ca="1">_xll.BDH($C$228,"ACCOUNTS_PAYABLE_TURNOVER_DAYS","FQ4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37" s="4" t="e">
        <f ca="1">_xll.BDH($C$228,"CASH_CONVERSION_CYCLE","FQ4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37" s="4" t="e">
        <f ca="1">_xll.BDH($C$228,"INV_TO_CASH_DAYS","FQ4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37" s="5" t="e">
        <f ca="1">_xll.BDH($C$228,"BS_INVENTORIES","FQ4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37" s="3" t="e">
        <f ca="1">_xll.BDH($C$228,"INVTRY_RAW_MATERIALS","FQ4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37" s="3" t="e">
        <f ca="1">_xll.BDH($C$228,"INVTRY_IN_PROGRESS","FQ4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37" s="3" t="e">
        <f ca="1">_xll.BDH($C$228,"INVTRY_FINISHED_GOODS","FQ4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37" s="3" t="e">
        <f ca="1">_xll.BDH($C$228,"BS_OTHER_INV","FQ4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38" spans="1:113" x14ac:dyDescent="0.3">
      <c r="A238" s="6"/>
      <c r="B238" s="6"/>
      <c r="C238" s="6"/>
      <c r="D238" s="6" t="s">
        <v>83</v>
      </c>
      <c r="E238" t="s">
        <v>77</v>
      </c>
      <c r="F238" t="e">
        <f ca="1">_xll.BDH($C$228,"RETURN_COM_EQY","FY 2016","FY 2016","Currency=INR","Period=FY","BEST_FPERIOD_OVERRIDE=FY","FILING_STATUS=OR","EQY_CONSOLIDATED=Y","FA_ADJUSTED=GAAP","Sort=A","Dates=H","DateFormat=P","Fill=—","Direction=H","UseDPDF=Y")</f>
        <v>#NAME?</v>
      </c>
      <c r="G238" t="e">
        <f ca="1">_xll.BDH($C$228,"RETURN_ON_ASSET","FY 2016","FY 2016","Currency=INR","Period=FY","BEST_FPERIOD_OVERRIDE=FY","FILING_STATUS=OR","EQY_CONSOLIDATED=Y","FA_ADJUSTED=GAAP","Sort=A","Dates=H","DateFormat=P","Fill=—","Direction=H","UseDPDF=Y")</f>
        <v>#NAME?</v>
      </c>
      <c r="H238" t="e">
        <f ca="1">_xll.BDH($C$228,"RETURN_ON_CAP","FY 2016","FY 2016","Currency=INR","Period=FY","BEST_FPERIOD_OVERRIDE=FY","FILING_STATUS=OR","EQY_CONSOLIDATED=Y","FA_ADJUSTED=GAAP","Sort=A","Dates=H","DateFormat=P","Fill=—","Direction=H","UseDPDF=Y")</f>
        <v>#NAME?</v>
      </c>
      <c r="I238" t="e">
        <f ca="1">_xll.BDH($C$228,"RETURN_ON_INV_CAPITAL","FY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38" t="e">
        <f ca="1">_xll.BDH($C$228,"EBITDA_TO_REVENUE","FY 2016","FY 2016","Currency=INR","Period=FY","BEST_FPERIOD_OVERRIDE=FY","FILING_STATUS=OR","EQY_CONSOLIDATED=Y","FA_ADJUSTED=GAAP","Sort=A","Dates=H","DateFormat=P","Fill=—","Direction=H","UseDPDF=Y")</f>
        <v>#NAME?</v>
      </c>
      <c r="K238" t="e">
        <f ca="1">_xll.BDH($C$228,"OPER_MARGIN","FY 2016","FY 2016","Currency=INR","Period=FY","BEST_FPERIOD_OVERRIDE=FY","FILING_STATUS=OR","EQY_CONSOLIDATED=Y","FA_ADJUSTED=GAAP","Sort=A","Dates=H","DateFormat=P","Fill=—","Direction=H","UseDPDF=Y")</f>
        <v>#NAME?</v>
      </c>
      <c r="L238" t="e">
        <f ca="1">_xll.BDH($C$228,"INCREMENTAL_OPERATING_MARGIN","FY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38" t="e">
        <f ca="1">_xll.BDH($C$228,"PRETAX_INC_TO_NET_SALES","FY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38" t="e">
        <f ca="1">_xll.BDH($C$228,"INC_BEF_XO_ITEMS_TO_NET_SALES","FY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38" t="e">
        <f ca="1">_xll.BDH($C$228,"PROF_MARGIN","FY 2016","FY 2016","Currency=INR","Period=FY","BEST_FPERIOD_OVERRIDE=FY","FILING_STATUS=OR","EQY_CONSOLIDATED=Y","FA_ADJUSTED=GAAP","Sort=A","Dates=H","DateFormat=P","Fill=—","Direction=H","UseDPDF=Y")</f>
        <v>#NAME?</v>
      </c>
      <c r="P238" t="e">
        <f ca="1">_xll.BDH($C$228,"NET_INCOME_TO_COMMON_MARGIN","FY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38" t="e">
        <f ca="1">_xll.BDH($C$228,"EFF_TAX_RATE","FY 2016","FY 2016","Currency=INR","Period=FY","BEST_FPERIOD_OVERRIDE=FY","FILING_STATUS=OR","EQY_CONSOLIDATED=Y","FA_ADJUSTED=GAAP","Sort=A","Dates=H","DateFormat=P","Fill=—","Direction=H","UseDPDF=Y")</f>
        <v>#NAME?</v>
      </c>
      <c r="R238" t="e">
        <f ca="1">_xll.BDH($C$228,"DVD_PAYOUT_RATIO","FY 2016","FY 2016","Currency=INR","Period=FY","BEST_FPERIOD_OVERRIDE=FY","FILING_STATUS=OR","EQY_CONSOLIDATED=Y","FA_ADJUSTED=GAAP","Sort=A","Dates=H","DateFormat=P","Fill=—","Direction=H","UseDPDF=Y")</f>
        <v>#NAME?</v>
      </c>
      <c r="S238" t="e">
        <f ca="1">_xll.BDH($C$228,"SUSTAIN_GROWTH_RT","FY 2016","FY 2016","Currency=INR","Period=FY","BEST_FPERIOD_OVERRIDE=FY","FILING_STATUS=OR","EQY_CONSOLIDATED=Y","FA_ADJUSTED=GAAP","Sort=A","Dates=H","DateFormat=P","Fill=—","Direction=H","UseDPDF=Y")</f>
        <v>#NAME?</v>
      </c>
      <c r="T238" s="2" t="e">
        <f ca="1">_xll.BDH($C$228,"SALES_GROWTH","FY 2016","FY 2016","Currency=INR","Period=FY","BEST_FPERIOD_OVERRIDE=FY","FILING_STATUS=OR","EQY_CONSOLIDATED=Y","FA_ADJUSTED=GAAP","Sort=A","Dates=H","DateFormat=P","Fill=—","Direction=H","UseDPDF=Y")</f>
        <v>#NAME?</v>
      </c>
      <c r="U238" s="2" t="e">
        <f ca="1">_xll.BDH($C$228,"EBITDA_GROWTH","FY 2016","FY 2016","Currency=INR","Period=FY","BEST_FPERIOD_OVERRIDE=FY","FILING_STATUS=OR","EQY_CONSOLIDATED=Y","FA_ADJUSTED=GAAP","Sort=A","Dates=H","DateFormat=P","Fill=—","Direction=H","UseDPDF=Y")</f>
        <v>#NAME?</v>
      </c>
      <c r="V238" s="2" t="e">
        <f ca="1">_xll.BDH($C$228,"OPER_INC_GROWTH","FY 2016","FY 2016","Currency=INR","Period=FY","BEST_FPERIOD_OVERRIDE=FY","FILING_STATUS=OR","EQY_CONSOLIDATED=Y","FA_ADJUSTED=GAAP","Sort=A","Dates=H","DateFormat=P","Fill=—","Direction=H","UseDPDF=Y")</f>
        <v>#NAME?</v>
      </c>
      <c r="W238" s="2" t="e">
        <f ca="1">_xll.BDH($C$228,"EARN_FOR_COM_GROWTH","FY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38" s="2" t="e">
        <f ca="1">_xll.BDH($C$228,"DILUTED_EPS_AFT_XO_ITEMS_GROWTH","FY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38" s="2" t="e">
        <f ca="1">_xll.BDH($C$228,"DIVIDEND_PER_SHARE_1_YEAR_GROWTH","FY 2016","FY 2016","Currency=INR","Period=FY","BEST_FPERIOD_OVERRIDE=FY","FILING_STATUS=OR","EQY_CONSOLIDATED=Y","Sort=A","Dates=H","DateFormat=P","Fill=—","Direction=H","UseDPDF=Y")</f>
        <v>#NAME?</v>
      </c>
      <c r="Z238" s="2" t="e">
        <f ca="1">_xll.BDH($C$228,"ACCOUNTS_RECEIVABLE_GROWTH","FY 2016","FY 2016","Currency=INR","Period=FY","BEST_FPERIOD_OVERRIDE=FY","FILING_STATUS=OR","EQY_CONSOLIDATED=Y","Sort=A","Dates=H","DateFormat=P","Fill=—","Direction=H","UseDPDF=Y")</f>
        <v>#NAME?</v>
      </c>
      <c r="AA238" s="2" t="e">
        <f ca="1">_xll.BDH($C$228,"INVENTORY_GROWTH","FY 2016","FY 2016","Currency=INR","Period=FY","BEST_FPERIOD_OVERRIDE=FY","FILING_STATUS=OR","EQY_CONSOLIDATED=Y","Sort=A","Dates=H","DateFormat=P","Fill=—","Direction=H","UseDPDF=Y")</f>
        <v>#NAME?</v>
      </c>
      <c r="AB238" s="2" t="e">
        <f ca="1">_xll.BDH($C$228,"NET_FIXED_ASSETS_1_YEAR_GROWTH","FY 2016","FY 2016","Currency=INR","Period=FY","BEST_FPERIOD_OVERRIDE=FY","FILING_STATUS=OR","EQY_CONSOLIDATED=Y","Sort=A","Dates=H","DateFormat=P","Fill=—","Direction=H","UseDPDF=Y")</f>
        <v>#NAME?</v>
      </c>
      <c r="AC238" s="2" t="e">
        <f ca="1">_xll.BDH($C$228,"ASSET_GROWTH","FY 2016","FY 2016","Currency=INR","Period=FY","BEST_FPERIOD_OVERRIDE=FY","FILING_STATUS=OR","EQY_CONSOLIDATED=Y","Sort=A","Dates=H","DateFormat=P","Fill=—","Direction=H","UseDPDF=Y")</f>
        <v>#NAME?</v>
      </c>
      <c r="AD238" s="2" t="e">
        <f ca="1">_xll.BDH($C$228,"MODIFIED_WORK_CAP_GROWTH","FY 2016","FY 2016","Currency=INR","Period=FY","BEST_FPERIOD_OVERRIDE=FY","FILING_STATUS=OR","EQY_CONSOLIDATED=Y","Sort=A","Dates=H","DateFormat=P","Fill=—","Direction=H","UseDPDF=Y")</f>
        <v>#NAME?</v>
      </c>
      <c r="AE238" s="2" t="e">
        <f ca="1">_xll.BDH($C$228,"WORK_CAP_GROWTH","FY 2016","FY 2016","Currency=INR","Period=FY","BEST_FPERIOD_OVERRIDE=FY","FILING_STATUS=OR","EQY_CONSOLIDATED=Y","Sort=A","Dates=H","DateFormat=P","Fill=—","Direction=H","UseDPDF=Y")</f>
        <v>#NAME?</v>
      </c>
      <c r="AF238" s="2" t="e">
        <f ca="1">_xll.BDH($C$228,"ACCOUNTS_PAYABLE_GROWTH_1YR","FY 2016","FY 2016","Currency=INR","Period=FY","BEST_FPERIOD_OVERRIDE=FY","FILING_STATUS=OR","EQY_CONSOLIDATED=Y","Sort=A","Dates=H","DateFormat=P","Fill=—","Direction=H","UseDPDF=Y")</f>
        <v>#NAME?</v>
      </c>
      <c r="AG238" s="2" t="e">
        <f ca="1">_xll.BDH($C$228,"SHORT_TERM_DEBT_1_YEAR_GROWTH","FY 2016","FY 2016","Currency=INR","Period=FY","BEST_FPERIOD_OVERRIDE=FY","FILING_STATUS=OR","EQY_CONSOLIDATED=Y","Sort=A","Dates=H","DateFormat=P","Fill=—","Direction=H","UseDPDF=Y")</f>
        <v>#NAME?</v>
      </c>
      <c r="AH238" s="2" t="e">
        <f ca="1">_xll.BDH($C$228,"TOTAL_DEBT_1_YEAR_GROWTH","FY 2016","FY 2016","Currency=INR","Period=FY","BEST_FPERIOD_OVERRIDE=FY","FILING_STATUS=OR","EQY_CONSOLIDATED=Y","Sort=A","Dates=H","DateFormat=P","Fill=—","Direction=H","UseDPDF=Y")</f>
        <v>#NAME?</v>
      </c>
      <c r="AI238" s="2" t="e">
        <f ca="1">_xll.BDH($C$228,"TOTAL_EQUITY_1_YEAR_GROWTH","FY 2016","FY 2016","Currency=INR","Period=FY","BEST_FPERIOD_OVERRIDE=FY","FILING_STATUS=OR","EQY_CONSOLIDATED=Y","Sort=A","Dates=H","DateFormat=P","Fill=—","Direction=H","UseDPDF=Y")</f>
        <v>#NAME?</v>
      </c>
      <c r="AJ238" s="2" t="e">
        <f ca="1">_xll.BDH($C$228,"GROWTH_IN_CAP","FY 2016","FY 2016","Currency=INR","Period=FY","BEST_FPERIOD_OVERRIDE=FY","FILING_STATUS=OR","EQY_CONSOLIDATED=Y","Sort=A","Dates=H","DateFormat=P","Fill=—","Direction=H","UseDPDF=Y")</f>
        <v>#NAME?</v>
      </c>
      <c r="AK238" s="2" t="e">
        <f ca="1">_xll.BDH($C$228,"BVPS_GROWTH","FY 2016","FY 2016","Currency=INR","Period=FY","BEST_FPERIOD_OVERRIDE=FY","FILING_STATUS=OR","EQY_CONSOLIDATED=Y","Sort=A","Dates=H","DateFormat=P","Fill=—","Direction=H","UseDPDF=Y")</f>
        <v>#NAME?</v>
      </c>
      <c r="AL238" s="2" t="e">
        <f ca="1">_xll.BDH($C$228,"CASH_FLOW_GROWTH","FY 2016","FY 2016","Currency=INR","Period=FY","BEST_FPERIOD_OVERRIDE=FY","FILING_STATUS=OR","EQY_CONSOLIDATED=Y","Sort=A","Dates=H","DateFormat=P","Fill=—","Direction=H","UseDPDF=Y")</f>
        <v>#NAME?</v>
      </c>
      <c r="AM238" s="2" t="e">
        <f ca="1">_xll.BDH($C$228,"GEO_GROW_NET_SALES","FY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38" s="2" t="e">
        <f ca="1">_xll.BDH($C$228,"GEO_GROW_EBITDA","FY 2016","FY 2016","Currency=INR","Period=FY","BEST_FPERIOD_OVERRIDE=FY","FILING_STATUS=OR","EQY_CONSOLIDATED=Y","FA_ADJUSTED=GAAP","Sort=A","Dates=H","DateFormat=P","Fill=—","Direction=H","UseDPDF=Y")</f>
        <v>#NAME?</v>
      </c>
      <c r="AO238" s="2" t="e">
        <f ca="1">_xll.BDH($C$228,"GEO_GROW_OPER_INC","FY 2016","FY 2016","Currency=INR","Period=FY","BEST_FPERIOD_OVERRIDE=FY","FILING_STATUS=OR","EQY_CONSOLIDATED=Y","FA_ADJUSTED=GAAP","Sort=A","Dates=H","DateFormat=P","Fill=—","Direction=H","UseDPDF=Y")</f>
        <v>#NAME?</v>
      </c>
      <c r="AP238" s="2" t="e">
        <f ca="1">_xll.BDH($C$228,"NET_INCOME_TO_COMMON_5_YR_GROWTH","FY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38" s="2" t="e">
        <f ca="1">_xll.BDH($C$228,"5Y_GEO_GROWTH_DILUTED_EPS","FY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38" s="2" t="e">
        <f ca="1">_xll.BDH($C$228,"GEO_GROW_DVD_PER_SH","FY 2016","FY 2016","Currency=INR","Period=FY","BEST_FPERIOD_OVERRIDE=FY","FILING_STATUS=OR","EQY_CONSOLIDATED=Y","Sort=A","Dates=H","DateFormat=P","Fill=—","Direction=H","UseDPDF=Y")</f>
        <v>#NAME?</v>
      </c>
      <c r="AS238" s="2" t="e">
        <f ca="1">_xll.BDH($C$228,"ACCOUNTS_RECEIVABLE_5_YR_GROWTH","FY 2016","FY 2016","Currency=INR","Period=FY","BEST_FPERIOD_OVERRIDE=FY","FILING_STATUS=OR","EQY_CONSOLIDATED=Y","Sort=A","Dates=H","DateFormat=P","Fill=—","Direction=H","UseDPDF=Y")</f>
        <v>#NAME?</v>
      </c>
      <c r="AT238" s="2" t="e">
        <f ca="1">_xll.BDH($C$228,"INVENTORY_5_YEAR_GROWTH","FY 2016","FY 2016","Currency=INR","Period=FY","BEST_FPERIOD_OVERRIDE=FY","FILING_STATUS=OR","EQY_CONSOLIDATED=Y","Sort=A","Dates=H","DateFormat=P","Fill=—","Direction=H","UseDPDF=Y")</f>
        <v>#NAME?</v>
      </c>
      <c r="AU238" s="2" t="e">
        <f ca="1">_xll.BDH($C$228,"NET_FIXED_ASSETS_5_YEAR_GROWTH","FY 2016","FY 2016","Currency=INR","Period=FY","BEST_FPERIOD_OVERRIDE=FY","FILING_STATUS=OR","EQY_CONSOLIDATED=Y","Sort=A","Dates=H","DateFormat=P","Fill=—","Direction=H","UseDPDF=Y")</f>
        <v>#NAME?</v>
      </c>
      <c r="AV238" s="2" t="e">
        <f ca="1">_xll.BDH($C$228,"GEO_GROW_TOT_ASSET","FY 2016","FY 2016","Currency=INR","Period=FY","BEST_FPERIOD_OVERRIDE=FY","FILING_STATUS=OR","EQY_CONSOLIDATED=Y","Sort=A","Dates=H","DateFormat=P","Fill=—","Direction=H","UseDPDF=Y")</f>
        <v>#NAME?</v>
      </c>
      <c r="AW238" s="2" t="e">
        <f ca="1">_xll.BDH($C$228,"MODIFIED_WORKING_CPTL_5YR_GRWTH","FY 2016","FY 2016","Currency=INR","Period=FY","BEST_FPERIOD_OVERRIDE=FY","FILING_STATUS=OR","EQY_CONSOLIDATED=Y","Sort=A","Dates=H","DateFormat=P","Fill=—","Direction=H","UseDPDF=Y")</f>
        <v>#NAME?</v>
      </c>
      <c r="AX238" s="2" t="e">
        <f ca="1">_xll.BDH($C$228,"WORKING_CAPITAL_5_YEAR_GROWTH","FY 2016","FY 2016","Currency=INR","Period=FY","BEST_FPERIOD_OVERRIDE=FY","FILING_STATUS=OR","EQY_CONSOLIDATED=Y","Sort=A","Dates=H","DateFormat=P","Fill=—","Direction=H","UseDPDF=Y")</f>
        <v>#NAME?</v>
      </c>
      <c r="AY238" s="2" t="e">
        <f ca="1">_xll.BDH($C$228,"ACCOUNTS_PAYABLE_5_YEAR_GROWTH","FY 2016","FY 2016","Currency=INR","Period=FY","BEST_FPERIOD_OVERRIDE=FY","FILING_STATUS=OR","EQY_CONSOLIDATED=Y","Sort=A","Dates=H","DateFormat=P","Fill=—","Direction=H","UseDPDF=Y")</f>
        <v>#NAME?</v>
      </c>
      <c r="AZ238" s="2" t="e">
        <f ca="1">_xll.BDH($C$228,"SHORT_TERM_DEBT_5_YEAR_GROWTH","FY 2016","FY 2016","Currency=INR","Period=FY","BEST_FPERIOD_OVERRIDE=FY","FILING_STATUS=OR","EQY_CONSOLIDATED=Y","Sort=A","Dates=H","DateFormat=P","Fill=—","Direction=H","UseDPDF=Y")</f>
        <v>#NAME?</v>
      </c>
      <c r="BA238" s="2" t="e">
        <f ca="1">_xll.BDH($C$228,"TOTAL_DEBT_5_YEAR_GROWTH","FY 2016","FY 2016","Currency=INR","Period=FY","BEST_FPERIOD_OVERRIDE=FY","FILING_STATUS=OR","EQY_CONSOLIDATED=Y","Sort=A","Dates=H","DateFormat=P","Fill=—","Direction=H","UseDPDF=Y")</f>
        <v>#NAME?</v>
      </c>
      <c r="BB238" s="2" t="e">
        <f ca="1">_xll.BDH($C$228,"GEO_GROW_TOT_SHRHLDR_EQY","FY 2016","FY 2016","Currency=INR","Period=FY","BEST_FPERIOD_OVERRIDE=FY","FILING_STATUS=OR","EQY_CONSOLIDATED=Y","Sort=A","Dates=H","DateFormat=P","Fill=—","Direction=H","UseDPDF=Y")</f>
        <v>#NAME?</v>
      </c>
      <c r="BC238" s="2" t="e">
        <f ca="1">_xll.BDH($C$228,"TOTAL_CAPITAL_5_YEAR_GROWTH","FY 2016","FY 2016","Currency=INR","Period=FY","BEST_FPERIOD_OVERRIDE=FY","FILING_STATUS=OR","EQY_CONSOLIDATED=Y","Sort=A","Dates=H","DateFormat=P","Fill=—","Direction=H","UseDPDF=Y")</f>
        <v>#NAME?</v>
      </c>
      <c r="BD238" s="2" t="e">
        <f ca="1">_xll.BDH($C$228,"GEO_GROW_BOOK_VAL","FY 2016","FY 2016","Currency=INR","Period=FY","BEST_FPERIOD_OVERRIDE=FY","FILING_STATUS=OR","EQY_CONSOLIDATED=Y","Sort=A","Dates=H","DateFormat=P","Fill=—","Direction=H","UseDPDF=Y")</f>
        <v>#NAME?</v>
      </c>
      <c r="BE238" s="2" t="e">
        <f ca="1">_xll.BDH($C$228,"GEO_GROW_CASH_OPER_ACT","FY 2016","FY 2016","Currency=INR","Period=FY","BEST_FPERIOD_OVERRIDE=FY","FILING_STATUS=OR","EQY_CONSOLIDATED=Y","Sort=A","Dates=H","DateFormat=P","Fill=—","Direction=H","UseDPDF=Y")</f>
        <v>#NAME?</v>
      </c>
      <c r="BF238" s="2" t="e">
        <f ca="1">_xll.BDH($C$228,"REVENUE_SEQUENTIAL_GROWTH","FY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38" s="2" t="e">
        <f ca="1">_xll.BDH($C$228,"EBITDA_SEQUENTIAL_GROWTH","FY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38" s="2" t="e">
        <f ca="1">_xll.BDH($C$228,"OPERATING_INCOME_SEQ_GROWTH","FY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38" s="2" t="e">
        <f ca="1">_xll.BDH($C$228,"NET_INCOME_TO_COMMON_SEQ_GROWTH","FY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38" s="2" t="e">
        <f ca="1">_xll.BDH($C$228,"EPS_DILUTED_SEQUENTIAL_GROWTH","FY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38" s="2" t="e">
        <f ca="1">_xll.BDH($C$228,"DPS_SEQUENTIAL_GROWTH","FY 2016","FY 2016","Currency=INR","Period=FY","BEST_FPERIOD_OVERRIDE=FY","FILING_STATUS=OR","EQY_CONSOLIDATED=Y","Sort=A","Dates=H","DateFormat=P","Fill=—","Direction=H","UseDPDF=Y")</f>
        <v>#NAME?</v>
      </c>
      <c r="BL238" s="2" t="e">
        <f ca="1">_xll.BDH($C$228,"ACCOUNTS_RECEIVABLE_SEQ_GROWTH","FY 2016","FY 2016","Currency=INR","Period=FY","BEST_FPERIOD_OVERRIDE=FY","FILING_STATUS=OR","EQY_CONSOLIDATED=Y","Sort=A","Dates=H","DateFormat=P","Fill=—","Direction=H","UseDPDF=Y")</f>
        <v>#NAME?</v>
      </c>
      <c r="BM238" s="2" t="e">
        <f ca="1">_xll.BDH($C$228,"INVENTORY_SEQUENTIAL_GROWTH","FY 2016","FY 2016","Currency=INR","Period=FY","BEST_FPERIOD_OVERRIDE=FY","FILING_STATUS=OR","EQY_CONSOLIDATED=Y","Sort=A","Dates=H","DateFormat=P","Fill=—","Direction=H","UseDPDF=Y")</f>
        <v>#NAME?</v>
      </c>
      <c r="BN238" s="2" t="e">
        <f ca="1">_xll.BDH($C$228,"FIXED_ASSETS_SEQUENTIAL_GROWTH","FY 2016","FY 2016","Currency=INR","Period=FY","BEST_FPERIOD_OVERRIDE=FY","FILING_STATUS=OR","EQY_CONSOLIDATED=Y","Sort=A","Dates=H","DateFormat=P","Fill=—","Direction=H","UseDPDF=Y")</f>
        <v>#NAME?</v>
      </c>
      <c r="BO238" s="2" t="e">
        <f ca="1">_xll.BDH($C$228,"TOTAL_ASSETS_SEQUENTIAL_GROWTH","FY 2016","FY 2016","Currency=INR","Period=FY","BEST_FPERIOD_OVERRIDE=FY","FILING_STATUS=OR","EQY_CONSOLIDATED=Y","Sort=A","Dates=H","DateFormat=P","Fill=—","Direction=H","UseDPDF=Y")</f>
        <v>#NAME?</v>
      </c>
      <c r="BP238" s="2" t="e">
        <f ca="1">_xll.BDH($C$228,"MODIFIED_WORKING_CPTL_SEQ_GRWTH","FY 2016","FY 2016","Currency=INR","Period=FY","BEST_FPERIOD_OVERRIDE=FY","FILING_STATUS=OR","EQY_CONSOLIDATED=Y","Sort=A","Dates=H","DateFormat=P","Fill=—","Direction=H","UseDPDF=Y")</f>
        <v>#NAME?</v>
      </c>
      <c r="BQ238" s="2" t="e">
        <f ca="1">_xll.BDH($C$228,"WORKING_CAPITAL_SEQ_GROWTH","FY 2016","FY 2016","Currency=INR","Period=FY","BEST_FPERIOD_OVERRIDE=FY","FILING_STATUS=OR","EQY_CONSOLIDATED=Y","Sort=A","Dates=H","DateFormat=P","Fill=—","Direction=H","UseDPDF=Y")</f>
        <v>#NAME?</v>
      </c>
      <c r="BR238" s="2" t="e">
        <f ca="1">_xll.BDH($C$228,"ACCOUNTS_PAYABLE_SEQ_GROWTH","FY 2016","FY 2016","Currency=INR","Period=FY","BEST_FPERIOD_OVERRIDE=FY","FILING_STATUS=OR","EQY_CONSOLIDATED=Y","Sort=A","Dates=H","DateFormat=P","Fill=—","Direction=H","UseDPDF=Y")</f>
        <v>#NAME?</v>
      </c>
      <c r="BS238" s="2" t="e">
        <f ca="1">_xll.BDH($C$228,"ST_DEBT_SEQUENTIAL_GROWTH","FY 2016","FY 2016","Currency=INR","Period=FY","BEST_FPERIOD_OVERRIDE=FY","FILING_STATUS=OR","EQY_CONSOLIDATED=Y","Sort=A","Dates=H","DateFormat=P","Fill=—","Direction=H","UseDPDF=Y")</f>
        <v>#NAME?</v>
      </c>
      <c r="BT238" s="2" t="e">
        <f ca="1">_xll.BDH($C$228,"TOTAL_DEBT_SEQUENTIAL_GROWTH","FY 2016","FY 2016","Currency=INR","Period=FY","BEST_FPERIOD_OVERRIDE=FY","FILING_STATUS=OR","EQY_CONSOLIDATED=Y","Sort=A","Dates=H","DateFormat=P","Fill=—","Direction=H","UseDPDF=Y")</f>
        <v>#NAME?</v>
      </c>
      <c r="BU238" s="2" t="e">
        <f ca="1">_xll.BDH($C$228,"TOTAL_EQUITY_SEQUENTIAL_GROWTH","FY 2016","FY 2016","Currency=INR","Period=FY","BEST_FPERIOD_OVERRIDE=FY","FILING_STATUS=OR","EQY_CONSOLIDATED=Y","Sort=A","Dates=H","DateFormat=P","Fill=—","Direction=H","UseDPDF=Y")</f>
        <v>#NAME?</v>
      </c>
      <c r="BV238" s="2" t="e">
        <f ca="1">_xll.BDH($C$228,"TOTAL_CAPITAL_SEQUENTIAL_GROWTH","FY 2016","FY 2016","Currency=INR","Period=FY","BEST_FPERIOD_OVERRIDE=FY","FILING_STATUS=OR","EQY_CONSOLIDATED=Y","Sort=A","Dates=H","DateFormat=P","Fill=—","Direction=H","UseDPDF=Y")</f>
        <v>#NAME?</v>
      </c>
      <c r="BW238" s="2" t="e">
        <f ca="1">_xll.BDH($C$228,"BPS_SEQUENTIAL_GROWTH","FY 2016","FY 2016","Currency=INR","Period=FY","BEST_FPERIOD_OVERRIDE=FY","FILING_STATUS=OR","EQY_CONSOLIDATED=Y","Sort=A","Dates=H","DateFormat=P","Fill=—","Direction=H","UseDPDF=Y")</f>
        <v>#NAME?</v>
      </c>
      <c r="BX238" s="2" t="e">
        <f ca="1">_xll.BDH($C$228,"CFO_SEQUENTIAL_GROWTH","FY 2016","FY 2016","Currency=INR","Period=FY","BEST_FPERIOD_OVERRIDE=FY","FILING_STATUS=OR","EQY_CONSOLIDATED=Y","Sort=A","Dates=H","DateFormat=P","Fill=—","Direction=H","UseDPDF=Y")</f>
        <v>#NAME?</v>
      </c>
      <c r="BY238" s="3" t="e">
        <f ca="1">_xll.BDH($C$228,"SHORT_AND_LONG_TERM_DEBT","FY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38" s="3" t="e">
        <f ca="1">_xll.BDH($C$228,"BS_ST_BORROW","FY 2016","FY 2016","Currency=INR","Period=FY","BEST_FPERIOD_OVERRIDE=FY","FILING_STATUS=OR","EQY_CONSOLIDATED=Y","SCALING_FORMAT=MLN","Sort=A","Dates=H","DateFormat=P","Fill=—","Direction=H","UseDPDF=Y")</f>
        <v>#NAME?</v>
      </c>
      <c r="CA238" s="3" t="e">
        <f ca="1">_xll.BDH($C$228,"BS_LT_BORROW","FY 2016","FY 2016","Currency=INR","Period=FY","BEST_FPERIOD_OVERRIDE=FY","FILING_STATUS=OR","EQY_CONSOLIDATED=Y","SCALING_FORMAT=MLN","Sort=A","Dates=H","DateFormat=P","Fill=—","Direction=H","UseDPDF=Y")</f>
        <v>#NAME?</v>
      </c>
      <c r="CB238" s="2" t="e">
        <f ca="1">_xll.BDH($C$228,"TOT_DEBT_TO_EBITDA","FY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38" s="2" t="e">
        <f ca="1">_xll.BDH($C$228,"NET_DEBT_TO_EBITDA","FY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38" s="2" t="e">
        <f ca="1">_xll.BDH($C$228,"TOTAL_DEBT_TO_EBIT","FY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38" s="2" t="e">
        <f ca="1">_xll.BDH($C$228,"NET_DEBT_TO_EBIT","FY 2016","FY 2016","Currency=INR","Period=FY","BEST_FPERIOD_OVERRIDE=FY","FILING_STATUS=OR","EQY_CONSOLIDATED=Y","FA_ADJUSTED=GAAP","Sort=A","Dates=H","DateFormat=P","Fill=—","Direction=H","UseDPDF=Y")</f>
        <v>#NAME?</v>
      </c>
      <c r="CF238" s="2" t="e">
        <f ca="1">_xll.BDH($C$228,"EBITDA_TO_INTEREST_EXPN","FY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38" s="2" t="e">
        <f ca="1">_xll.BDH($C$228,"COM_EQY_TO_TOT_ASSET","FY 2016","FY 2016","Currency=INR","Period=FY","BEST_FPERIOD_OVERRIDE=FY","FILING_STATUS=OR","EQY_CONSOLIDATED=Y","Sort=A","Dates=H","DateFormat=P","Fill=—","Direction=H","UseDPDF=Y")</f>
        <v>#NAME?</v>
      </c>
      <c r="CH238" s="2" t="e">
        <f ca="1">_xll.BDH($C$228,"LT_DEBT_TO_TOT_EQY","FY 2016","FY 2016","Currency=INR","Period=FY","BEST_FPERIOD_OVERRIDE=FY","FILING_STATUS=OR","EQY_CONSOLIDATED=Y","Sort=A","Dates=H","DateFormat=P","Fill=—","Direction=H","UseDPDF=Y")</f>
        <v>#NAME?</v>
      </c>
      <c r="CI238" s="2" t="e">
        <f ca="1">_xll.BDH($C$228,"LT_DEBT_TO_TOT_CAP","FY 2016","FY 2016","Currency=INR","Period=FY","BEST_FPERIOD_OVERRIDE=FY","FILING_STATUS=OR","EQY_CONSOLIDATED=Y","Sort=A","Dates=H","DateFormat=P","Fill=—","Direction=H","UseDPDF=Y")</f>
        <v>#NAME?</v>
      </c>
      <c r="CJ238" s="2" t="e">
        <f ca="1">_xll.BDH($C$228,"LT_DEBT_TO_TOT_ASSET","FY 2016","FY 2016","Currency=INR","Period=FY","BEST_FPERIOD_OVERRIDE=FY","FILING_STATUS=OR","EQY_CONSOLIDATED=Y","Sort=A","Dates=H","DateFormat=P","Fill=—","Direction=H","UseDPDF=Y")</f>
        <v>#NAME?</v>
      </c>
      <c r="CK238" s="2" t="e">
        <f ca="1">_xll.BDH($C$228,"TOT_DEBT_TO_TOT_EQY","FY 2016","FY 2016","Currency=INR","Period=FY","BEST_FPERIOD_OVERRIDE=FY","FILING_STATUS=OR","EQY_CONSOLIDATED=Y","Sort=A","Dates=H","DateFormat=P","Fill=—","Direction=H","UseDPDF=Y")</f>
        <v>#NAME?</v>
      </c>
      <c r="CL238" s="2" t="e">
        <f ca="1">_xll.BDH($C$228,"TOT_DEBT_TO_TOT_CAP","FY 2016","FY 2016","Currency=INR","Period=FY","BEST_FPERIOD_OVERRIDE=FY","FILING_STATUS=OR","EQY_CONSOLIDATED=Y","Sort=A","Dates=H","DateFormat=P","Fill=—","Direction=H","UseDPDF=Y")</f>
        <v>#NAME?</v>
      </c>
      <c r="CM238" s="2" t="e">
        <f ca="1">_xll.BDH($C$228,"TOT_DEBT_TO_TOT_ASSET","FY 2016","FY 2016","Currency=INR","Period=FY","BEST_FPERIOD_OVERRIDE=FY","FILING_STATUS=OR","EQY_CONSOLIDATED=Y","Sort=A","Dates=H","DateFormat=P","Fill=—","Direction=H","UseDPDF=Y")</f>
        <v>#NAME?</v>
      </c>
      <c r="CN238" s="2" t="e">
        <f ca="1">_xll.BDH($C$228,"NET_DEBT_TO_SHRHLDR_EQTY","FY 2016","FY 2016","Currency=INR","Period=FY","BEST_FPERIOD_OVERRIDE=FY","FILING_STATUS=OR","EQY_CONSOLIDATED=Y","Sort=A","Dates=H","DateFormat=P","Fill=—","Direction=H","UseDPDF=Y")</f>
        <v>#NAME?</v>
      </c>
      <c r="CO238" s="2" t="e">
        <f ca="1">_xll.BDH($C$228,"NET_DEBT_%_CAPITAL","FY 2016","FY 2016","Currency=INR","Period=FY","BEST_FPERIOD_OVERRIDE=FY","FILING_STATUS=OR","EQY_CONSOLIDATED=Y","Sort=A","Dates=H","DateFormat=P","Fill=—","Direction=H","UseDPDF=Y")</f>
        <v>#NAME?</v>
      </c>
      <c r="CP238" s="3" t="e">
        <f ca="1">_xll.BDH($C$228,"EBITDA","FY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38" s="3" t="e">
        <f ca="1">_xll.BDH($C$228,"EBITDA_AFTER_CAPEX","FY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38" s="3" t="e">
        <f ca="1">_xll.BDH($C$228,"IS_OPER_INC","FY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38" s="2" t="e">
        <f ca="1">_xll.BDH($C$228,"CASH_RATIO","FY 2016","FY 2016","Currency=INR","Period=FY","BEST_FPERIOD_OVERRIDE=FY","FILING_STATUS=OR","EQY_CONSOLIDATED=Y","Sort=A","Dates=H","DateFormat=P","Fill=—","Direction=H","UseDPDF=Y")</f>
        <v>#NAME?</v>
      </c>
      <c r="CT238" s="2" t="e">
        <f ca="1">_xll.BDH($C$228,"CUR_RATIO","FY 2016","FY 2016","Currency=INR","Period=FY","BEST_FPERIOD_OVERRIDE=FY","FILING_STATUS=OR","EQY_CONSOLIDATED=Y","Sort=A","Dates=H","DateFormat=P","Fill=—","Direction=H","UseDPDF=Y")</f>
        <v>#NAME?</v>
      </c>
      <c r="CU238" s="2" t="e">
        <f ca="1">_xll.BDH($C$228,"QUICK_RATIO","FY 2016","FY 2016","Currency=INR","Period=FY","BEST_FPERIOD_OVERRIDE=FY","FILING_STATUS=OR","EQY_CONSOLIDATED=Y","Sort=A","Dates=H","DateFormat=P","Fill=—","Direction=H","UseDPDF=Y")</f>
        <v>#NAME?</v>
      </c>
      <c r="CV238" s="2" t="e">
        <f ca="1">_xll.BDH($C$228,"ALTMAN_Z_SCORE","FY 2016","FY 2016","Currency=INR","Period=FY","BEST_FPERIOD_OVERRIDE=FY","FILING_STATUS=OR","EQY_CONSOLIDATED=Y","Sort=A","Dates=H","DateFormat=P","Fill=—","Direction=H","UseDPDF=Y")</f>
        <v>#NAME?</v>
      </c>
      <c r="CW238" s="4" t="e">
        <f ca="1">_xll.BDH($C$228,"ACCT_RCV_TURN","FY 2016","FY 2016","Currency=INR","Period=FY","BEST_FPERIOD_OVERRIDE=FY","FILING_STATUS=OR","EQY_CONSOLIDATED=Y","FA_ADJUSTED=GAAP","Sort=A","Dates=H","DateFormat=P","Fill=—","Direction=H","UseDPDF=Y")</f>
        <v>#NAME?</v>
      </c>
      <c r="CX238" s="2" t="e">
        <f ca="1">_xll.BDH($C$228,"ACCT_RCV_DAYS","FY 2016","FY 2016","Currency=INR","Period=FY","BEST_FPERIOD_OVERRIDE=FY","FILING_STATUS=OR","EQY_CONSOLIDATED=Y","FA_ADJUSTED=GAAP","Sort=A","Dates=H","DateFormat=P","Fill=—","Direction=H","UseDPDF=Y")</f>
        <v>#NAME?</v>
      </c>
      <c r="CY238" s="4" t="e">
        <f ca="1">_xll.BDH($C$228,"INVENT_TURN","FY 2016","FY 2016","Currency=INR","Period=FY","BEST_FPERIOD_OVERRIDE=FY","FILING_STATUS=OR","EQY_CONSOLIDATED=Y","FA_ADJUSTED=GAAP","Sort=A","Dates=H","DateFormat=P","Fill=—","Direction=H","UseDPDF=Y")</f>
        <v>#NAME?</v>
      </c>
      <c r="CZ238" s="2" t="e">
        <f ca="1">_xll.BDH($C$228,"INVENT_DAYS","FY 2016","FY 2016","Currency=INR","Period=FY","BEST_FPERIOD_OVERRIDE=FY","FILING_STATUS=OR","EQY_CONSOLIDATED=Y","FA_ADJUSTED=GAAP","Sort=A","Dates=H","DateFormat=P","Fill=—","Direction=H","UseDPDF=Y")</f>
        <v>#NAME?</v>
      </c>
      <c r="DA238" s="4" t="e">
        <f ca="1">_xll.BDH($C$228,"ACCOUNTS_PAYABLE_TURNOVER","FY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38" s="2" t="e">
        <f ca="1">_xll.BDH($C$228,"ACCOUNTS_PAYABLE_TURNOVER_DAYS","FY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38" s="4" t="e">
        <f ca="1">_xll.BDH($C$228,"CASH_CONVERSION_CYCLE","FY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38" s="4" t="e">
        <f ca="1">_xll.BDH($C$228,"INV_TO_CASH_DAYS","FY 2016","FY 2016","Currency=INR","Period=FY","BEST_FPERIOD_OVERRIDE=FY","FILING_STATUS=OR","EQY_CONSOLIDATED=Y","FA_ADJUSTED=GAAP","Sort=A","Dates=H","DateFormat=P","Fill=—","Direction=H","UseDPDF=Y")</f>
        <v>#NAME?</v>
      </c>
      <c r="DE238" s="5" t="e">
        <f ca="1">_xll.BDH($C$228,"BS_INVENTORIES","FY 2016","FY 2016","Currency=INR","Period=FY","BEST_FPERIOD_OVERRIDE=FY","FILING_STATUS=OR","EQY_CONSOLIDATED=Y","SCALING_FORMAT=MLN","Sort=A","Dates=H","DateFormat=P","Fill=—","Direction=H","UseDPDF=Y")</f>
        <v>#NAME?</v>
      </c>
      <c r="DF238" s="3" t="e">
        <f ca="1">_xll.BDH($C$228,"INVTRY_RAW_MATERIALS","FY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38" s="3" t="e">
        <f ca="1">_xll.BDH($C$228,"INVTRY_IN_PROGRESS","FY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38" s="3" t="e">
        <f ca="1">_xll.BDH($C$228,"INVTRY_FINISHED_GOODS","FY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38" s="3" t="e">
        <f ca="1">_xll.BDH($C$228,"BS_OTHER_INV","FY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39" spans="1:113" x14ac:dyDescent="0.3">
      <c r="A239" s="6"/>
      <c r="B239" s="6"/>
      <c r="C239" s="6"/>
      <c r="D239" s="6"/>
      <c r="E239" t="s">
        <v>78</v>
      </c>
      <c r="F239" t="e">
        <f ca="1">_xll.BDH($C$228,"RETURN_COM_EQY","FQ1 2016","FQ1 2016","Currency=INR","Period=FQ","BEST_FPERIOD_OVERRIDE=FQ","FILING_STATUS=OR","EQY_CONSOLIDATED=Y","FA_ADJUSTED=GAAP","Sort=A","Dates=H","DateFormat=P","Fill=—","Direction=H","UseDPDF=Y")</f>
        <v>#NAME?</v>
      </c>
      <c r="G239" t="e">
        <f ca="1">_xll.BDH($C$228,"RETURN_ON_ASSET","FQ1 2016","FQ1 2016","Currency=INR","Period=FQ","BEST_FPERIOD_OVERRIDE=FQ","FILING_STATUS=OR","EQY_CONSOLIDATED=Y","FA_ADJUSTED=GAAP","Sort=A","Dates=H","DateFormat=P","Fill=—","Direction=H","UseDPDF=Y")</f>
        <v>#NAME?</v>
      </c>
      <c r="H239" t="e">
        <f ca="1">_xll.BDH($C$228,"RETURN_ON_CAP","FQ1 2016","FQ1 2016","Currency=INR","Period=FQ","BEST_FPERIOD_OVERRIDE=FQ","FILING_STATUS=OR","EQY_CONSOLIDATED=Y","FA_ADJUSTED=GAAP","Sort=A","Dates=H","DateFormat=P","Fill=—","Direction=H","UseDPDF=Y")</f>
        <v>#NAME?</v>
      </c>
      <c r="I239" t="e">
        <f ca="1">_xll.BDH($C$228,"RETURN_ON_INV_CAPITAL","FQ1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39" t="e">
        <f ca="1">_xll.BDH($C$228,"EBITDA_TO_REVENUE","FQ1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39" t="e">
        <f ca="1">_xll.BDH($C$228,"OPER_MARGIN","FQ1 2016","FQ1 2016","Currency=INR","Period=FQ","BEST_FPERIOD_OVERRIDE=FQ","FILING_STATUS=OR","EQY_CONSOLIDATED=Y","FA_ADJUSTED=GAAP","Sort=A","Dates=H","DateFormat=P","Fill=—","Direction=H","UseDPDF=Y")</f>
        <v>#NAME?</v>
      </c>
      <c r="L239" t="e">
        <f ca="1">_xll.BDH($C$228,"INCREMENTAL_OPERATING_MARGIN","FQ1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39" t="e">
        <f ca="1">_xll.BDH($C$228,"PRETAX_INC_TO_NET_SALES","FQ1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39" t="e">
        <f ca="1">_xll.BDH($C$228,"INC_BEF_XO_ITEMS_TO_NET_SALES","FQ1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39" t="e">
        <f ca="1">_xll.BDH($C$228,"PROF_MARGIN","FQ1 2016","FQ1 2016","Currency=INR","Period=FQ","BEST_FPERIOD_OVERRIDE=FQ","FILING_STATUS=OR","EQY_CONSOLIDATED=Y","FA_ADJUSTED=GAAP","Sort=A","Dates=H","DateFormat=P","Fill=—","Direction=H","UseDPDF=Y")</f>
        <v>#NAME?</v>
      </c>
      <c r="P239" t="e">
        <f ca="1">_xll.BDH($C$228,"NET_INCOME_TO_COMMON_MARGIN","FQ1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39" t="e">
        <f ca="1">_xll.BDH($C$228,"EFF_TAX_RATE","FQ1 2016","FQ1 2016","Currency=INR","Period=FQ","BEST_FPERIOD_OVERRIDE=FQ","FILING_STATUS=OR","EQY_CONSOLIDATED=Y","FA_ADJUSTED=GAAP","Sort=A","Dates=H","DateFormat=P","Fill=—","Direction=H","UseDPDF=Y")</f>
        <v>#NAME?</v>
      </c>
      <c r="R239" t="e">
        <f ca="1">_xll.BDH($C$228,"DVD_PAYOUT_RATIO","FQ1 2016","FQ1 2016","Currency=INR","Period=FQ","BEST_FPERIOD_OVERRIDE=FQ","FILING_STATUS=OR","EQY_CONSOLIDATED=Y","FA_ADJUSTED=GAAP","Sort=A","Dates=H","DateFormat=P","Fill=—","Direction=H","UseDPDF=Y")</f>
        <v>#NAME?</v>
      </c>
      <c r="S239" t="e">
        <f ca="1">_xll.BDH($C$228,"SUSTAIN_GROWTH_RT","FQ1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39" s="2" t="e">
        <f ca="1">_xll.BDH($C$228,"SALES_GROWTH","FQ1 2016","FQ1 2016","Currency=INR","Period=FQ","BEST_FPERIOD_OVERRIDE=FQ","FILING_STATUS=OR","EQY_CONSOLIDATED=Y","FA_ADJUSTED=GAAP","Sort=A","Dates=H","DateFormat=P","Fill=—","Direction=H","UseDPDF=Y")</f>
        <v>#NAME?</v>
      </c>
      <c r="U239" s="2" t="e">
        <f ca="1">_xll.BDH($C$228,"EBITDA_GROWTH","FQ1 2016","FQ1 2016","Currency=INR","Period=FQ","BEST_FPERIOD_OVERRIDE=FQ","FILING_STATUS=OR","EQY_CONSOLIDATED=Y","FA_ADJUSTED=GAAP","Sort=A","Dates=H","DateFormat=P","Fill=—","Direction=H","UseDPDF=Y")</f>
        <v>#NAME?</v>
      </c>
      <c r="V239" s="2" t="e">
        <f ca="1">_xll.BDH($C$228,"OPER_INC_GROWTH","FQ1 2016","FQ1 2016","Currency=INR","Period=FQ","BEST_FPERIOD_OVERRIDE=FQ","FILING_STATUS=OR","EQY_CONSOLIDATED=Y","FA_ADJUSTED=GAAP","Sort=A","Dates=H","DateFormat=P","Fill=—","Direction=H","UseDPDF=Y")</f>
        <v>#NAME?</v>
      </c>
      <c r="W239" s="2" t="e">
        <f ca="1">_xll.BDH($C$228,"EARN_FOR_COM_GROWTH","FQ1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39" s="2" t="e">
        <f ca="1">_xll.BDH($C$228,"DILUTED_EPS_AFT_XO_ITEMS_GROWTH","FQ1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39" s="2" t="e">
        <f ca="1">_xll.BDH($C$228,"DIVIDEND_PER_SHARE_1_YEAR_GROWTH","FQ1 2016","FQ1 2016","Currency=INR","Period=FQ","BEST_FPERIOD_OVERRIDE=FQ","FILING_STATUS=OR","EQY_CONSOLIDATED=Y","Sort=A","Dates=H","DateFormat=P","Fill=—","Direction=H","UseDPDF=Y")</f>
        <v>#NAME?</v>
      </c>
      <c r="Z239" s="2" t="e">
        <f ca="1">_xll.BDH($C$228,"ACCOUNTS_RECEIVABLE_GROWTH","FQ1 2016","FQ1 2016","Currency=INR","Period=FQ","BEST_FPERIOD_OVERRIDE=FQ","FILING_STATUS=OR","EQY_CONSOLIDATED=Y","Sort=A","Dates=H","DateFormat=P","Fill=—","Direction=H","UseDPDF=Y")</f>
        <v>#NAME?</v>
      </c>
      <c r="AA239" s="2" t="e">
        <f ca="1">_xll.BDH($C$228,"INVENTORY_GROWTH","FQ1 2016","FQ1 2016","Currency=INR","Period=FQ","BEST_FPERIOD_OVERRIDE=FQ","FILING_STATUS=OR","EQY_CONSOLIDATED=Y","Sort=A","Dates=H","DateFormat=P","Fill=—","Direction=H","UseDPDF=Y")</f>
        <v>#NAME?</v>
      </c>
      <c r="AB239" s="2" t="e">
        <f ca="1">_xll.BDH($C$228,"NET_FIXED_ASSETS_1_YEAR_GROWTH","FQ1 2016","FQ1 2016","Currency=INR","Period=FQ","BEST_FPERIOD_OVERRIDE=FQ","FILING_STATUS=OR","EQY_CONSOLIDATED=Y","Sort=A","Dates=H","DateFormat=P","Fill=—","Direction=H","UseDPDF=Y")</f>
        <v>#NAME?</v>
      </c>
      <c r="AC239" s="2" t="e">
        <f ca="1">_xll.BDH($C$228,"ASSET_GROWTH","FQ1 2016","FQ1 2016","Currency=INR","Period=FQ","BEST_FPERIOD_OVERRIDE=FQ","FILING_STATUS=OR","EQY_CONSOLIDATED=Y","Sort=A","Dates=H","DateFormat=P","Fill=—","Direction=H","UseDPDF=Y")</f>
        <v>#NAME?</v>
      </c>
      <c r="AD239" s="2" t="e">
        <f ca="1">_xll.BDH($C$228,"MODIFIED_WORK_CAP_GROWTH","FQ1 2016","FQ1 2016","Currency=INR","Period=FQ","BEST_FPERIOD_OVERRIDE=FQ","FILING_STATUS=OR","EQY_CONSOLIDATED=Y","Sort=A","Dates=H","DateFormat=P","Fill=—","Direction=H","UseDPDF=Y")</f>
        <v>#NAME?</v>
      </c>
      <c r="AE239" s="2" t="e">
        <f ca="1">_xll.BDH($C$228,"WORK_CAP_GROWTH","FQ1 2016","FQ1 2016","Currency=INR","Period=FQ","BEST_FPERIOD_OVERRIDE=FQ","FILING_STATUS=OR","EQY_CONSOLIDATED=Y","Sort=A","Dates=H","DateFormat=P","Fill=—","Direction=H","UseDPDF=Y")</f>
        <v>#NAME?</v>
      </c>
      <c r="AF239" s="2" t="e">
        <f ca="1">_xll.BDH($C$228,"ACCOUNTS_PAYABLE_GROWTH_1YR","FQ1 2016","FQ1 2016","Currency=INR","Period=FQ","BEST_FPERIOD_OVERRIDE=FQ","FILING_STATUS=OR","EQY_CONSOLIDATED=Y","Sort=A","Dates=H","DateFormat=P","Fill=—","Direction=H","UseDPDF=Y")</f>
        <v>#NAME?</v>
      </c>
      <c r="AG239" s="2" t="e">
        <f ca="1">_xll.BDH($C$228,"SHORT_TERM_DEBT_1_YEAR_GROWTH","FQ1 2016","FQ1 2016","Currency=INR","Period=FQ","BEST_FPERIOD_OVERRIDE=FQ","FILING_STATUS=OR","EQY_CONSOLIDATED=Y","Sort=A","Dates=H","DateFormat=P","Fill=—","Direction=H","UseDPDF=Y")</f>
        <v>#NAME?</v>
      </c>
      <c r="AH239" s="2" t="e">
        <f ca="1">_xll.BDH($C$228,"TOTAL_DEBT_1_YEAR_GROWTH","FQ1 2016","FQ1 2016","Currency=INR","Period=FQ","BEST_FPERIOD_OVERRIDE=FQ","FILING_STATUS=OR","EQY_CONSOLIDATED=Y","Sort=A","Dates=H","DateFormat=P","Fill=—","Direction=H","UseDPDF=Y")</f>
        <v>#NAME?</v>
      </c>
      <c r="AI239" s="2" t="e">
        <f ca="1">_xll.BDH($C$228,"TOTAL_EQUITY_1_YEAR_GROWTH","FQ1 2016","FQ1 2016","Currency=INR","Period=FQ","BEST_FPERIOD_OVERRIDE=FQ","FILING_STATUS=OR","EQY_CONSOLIDATED=Y","Sort=A","Dates=H","DateFormat=P","Fill=—","Direction=H","UseDPDF=Y")</f>
        <v>#NAME?</v>
      </c>
      <c r="AJ239" s="2" t="e">
        <f ca="1">_xll.BDH($C$228,"GROWTH_IN_CAP","FQ1 2016","FQ1 2016","Currency=INR","Period=FQ","BEST_FPERIOD_OVERRIDE=FQ","FILING_STATUS=OR","EQY_CONSOLIDATED=Y","Sort=A","Dates=H","DateFormat=P","Fill=—","Direction=H","UseDPDF=Y")</f>
        <v>#NAME?</v>
      </c>
      <c r="AK239" s="2" t="e">
        <f ca="1">_xll.BDH($C$228,"BVPS_GROWTH","FQ1 2016","FQ1 2016","Currency=INR","Period=FQ","BEST_FPERIOD_OVERRIDE=FQ","FILING_STATUS=OR","EQY_CONSOLIDATED=Y","Sort=A","Dates=H","DateFormat=P","Fill=—","Direction=H","UseDPDF=Y")</f>
        <v>#NAME?</v>
      </c>
      <c r="AL239" s="2" t="e">
        <f ca="1">_xll.BDH($C$228,"CASH_FLOW_GROWTH","FQ1 2016","FQ1 2016","Currency=INR","Period=FQ","BEST_FPERIOD_OVERRIDE=FQ","FILING_STATUS=OR","EQY_CONSOLIDATED=Y","Sort=A","Dates=H","DateFormat=P","Fill=—","Direction=H","UseDPDF=Y")</f>
        <v>#NAME?</v>
      </c>
      <c r="AM239" s="2" t="e">
        <f ca="1">_xll.BDH($C$228,"GEO_GROW_NET_SALES","FQ1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39" s="2" t="e">
        <f ca="1">_xll.BDH($C$228,"GEO_GROW_EBITDA","FQ1 2016","FQ1 2016","Currency=INR","Period=FQ","BEST_FPERIOD_OVERRIDE=FQ","FILING_STATUS=OR","EQY_CONSOLIDATED=Y","FA_ADJUSTED=GAAP","Sort=A","Dates=H","DateFormat=P","Fill=—","Direction=H","UseDPDF=Y")</f>
        <v>#NAME?</v>
      </c>
      <c r="AO239" s="2" t="e">
        <f ca="1">_xll.BDH($C$228,"GEO_GROW_OPER_INC","FQ1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39" s="2" t="e">
        <f ca="1">_xll.BDH($C$228,"NET_INCOME_TO_COMMON_5_YR_GROWTH","FQ1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39" s="2" t="e">
        <f ca="1">_xll.BDH($C$228,"5Y_GEO_GROWTH_DILUTED_EPS","FQ1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39" s="2" t="e">
        <f ca="1">_xll.BDH($C$228,"GEO_GROW_DVD_PER_SH","FQ1 2016","FQ1 2016","Currency=INR","Period=FQ","BEST_FPERIOD_OVERRIDE=FQ","FILING_STATUS=OR","EQY_CONSOLIDATED=Y","Sort=A","Dates=H","DateFormat=P","Fill=—","Direction=H","UseDPDF=Y")</f>
        <v>#NAME?</v>
      </c>
      <c r="AS239" s="2" t="e">
        <f ca="1">_xll.BDH($C$228,"ACCOUNTS_RECEIVABLE_5_YR_GROWTH","FQ1 2016","FQ1 2016","Currency=INR","Period=FQ","BEST_FPERIOD_OVERRIDE=FQ","FILING_STATUS=OR","EQY_CONSOLIDATED=Y","Sort=A","Dates=H","DateFormat=P","Fill=—","Direction=H","UseDPDF=Y")</f>
        <v>#NAME?</v>
      </c>
      <c r="AT239" s="2" t="e">
        <f ca="1">_xll.BDH($C$228,"INVENTORY_5_YEAR_GROWTH","FQ1 2016","FQ1 2016","Currency=INR","Period=FQ","BEST_FPERIOD_OVERRIDE=FQ","FILING_STATUS=OR","EQY_CONSOLIDATED=Y","Sort=A","Dates=H","DateFormat=P","Fill=—","Direction=H","UseDPDF=Y")</f>
        <v>#NAME?</v>
      </c>
      <c r="AU239" s="2" t="e">
        <f ca="1">_xll.BDH($C$228,"NET_FIXED_ASSETS_5_YEAR_GROWTH","FQ1 2016","FQ1 2016","Currency=INR","Period=FQ","BEST_FPERIOD_OVERRIDE=FQ","FILING_STATUS=OR","EQY_CONSOLIDATED=Y","Sort=A","Dates=H","DateFormat=P","Fill=—","Direction=H","UseDPDF=Y")</f>
        <v>#NAME?</v>
      </c>
      <c r="AV239" s="2" t="e">
        <f ca="1">_xll.BDH($C$228,"GEO_GROW_TOT_ASSET","FQ1 2016","FQ1 2016","Currency=INR","Period=FQ","BEST_FPERIOD_OVERRIDE=FQ","FILING_STATUS=OR","EQY_CONSOLIDATED=Y","Sort=A","Dates=H","DateFormat=P","Fill=—","Direction=H","UseDPDF=Y")</f>
        <v>#NAME?</v>
      </c>
      <c r="AW239" s="2" t="e">
        <f ca="1">_xll.BDH($C$228,"MODIFIED_WORKING_CPTL_5YR_GRWTH","FQ1 2016","FQ1 2016","Currency=INR","Period=FQ","BEST_FPERIOD_OVERRIDE=FQ","FILING_STATUS=OR","EQY_CONSOLIDATED=Y","Sort=A","Dates=H","DateFormat=P","Fill=—","Direction=H","UseDPDF=Y")</f>
        <v>#NAME?</v>
      </c>
      <c r="AX239" s="2" t="e">
        <f ca="1">_xll.BDH($C$228,"WORKING_CAPITAL_5_YEAR_GROWTH","FQ1 2016","FQ1 2016","Currency=INR","Period=FQ","BEST_FPERIOD_OVERRIDE=FQ","FILING_STATUS=OR","EQY_CONSOLIDATED=Y","Sort=A","Dates=H","DateFormat=P","Fill=—","Direction=H","UseDPDF=Y")</f>
        <v>#NAME?</v>
      </c>
      <c r="AY239" s="2" t="e">
        <f ca="1">_xll.BDH($C$228,"ACCOUNTS_PAYABLE_5_YEAR_GROWTH","FQ1 2016","FQ1 2016","Currency=INR","Period=FQ","BEST_FPERIOD_OVERRIDE=FQ","FILING_STATUS=OR","EQY_CONSOLIDATED=Y","Sort=A","Dates=H","DateFormat=P","Fill=—","Direction=H","UseDPDF=Y")</f>
        <v>#NAME?</v>
      </c>
      <c r="AZ239" s="2" t="e">
        <f ca="1">_xll.BDH($C$228,"SHORT_TERM_DEBT_5_YEAR_GROWTH","FQ1 2016","FQ1 2016","Currency=INR","Period=FQ","BEST_FPERIOD_OVERRIDE=FQ","FILING_STATUS=OR","EQY_CONSOLIDATED=Y","Sort=A","Dates=H","DateFormat=P","Fill=—","Direction=H","UseDPDF=Y")</f>
        <v>#NAME?</v>
      </c>
      <c r="BA239" s="2" t="e">
        <f ca="1">_xll.BDH($C$228,"TOTAL_DEBT_5_YEAR_GROWTH","FQ1 2016","FQ1 2016","Currency=INR","Period=FQ","BEST_FPERIOD_OVERRIDE=FQ","FILING_STATUS=OR","EQY_CONSOLIDATED=Y","Sort=A","Dates=H","DateFormat=P","Fill=—","Direction=H","UseDPDF=Y")</f>
        <v>#NAME?</v>
      </c>
      <c r="BB239" s="2" t="e">
        <f ca="1">_xll.BDH($C$228,"GEO_GROW_TOT_SHRHLDR_EQY","FQ1 2016","FQ1 2016","Currency=INR","Period=FQ","BEST_FPERIOD_OVERRIDE=FQ","FILING_STATUS=OR","EQY_CONSOLIDATED=Y","Sort=A","Dates=H","DateFormat=P","Fill=—","Direction=H","UseDPDF=Y")</f>
        <v>#NAME?</v>
      </c>
      <c r="BC239" s="2" t="e">
        <f ca="1">_xll.BDH($C$228,"TOTAL_CAPITAL_5_YEAR_GROWTH","FQ1 2016","FQ1 2016","Currency=INR","Period=FQ","BEST_FPERIOD_OVERRIDE=FQ","FILING_STATUS=OR","EQY_CONSOLIDATED=Y","Sort=A","Dates=H","DateFormat=P","Fill=—","Direction=H","UseDPDF=Y")</f>
        <v>#NAME?</v>
      </c>
      <c r="BD239" s="2" t="e">
        <f ca="1">_xll.BDH($C$228,"GEO_GROW_BOOK_VAL","FQ1 2016","FQ1 2016","Currency=INR","Period=FQ","BEST_FPERIOD_OVERRIDE=FQ","FILING_STATUS=OR","EQY_CONSOLIDATED=Y","Sort=A","Dates=H","DateFormat=P","Fill=—","Direction=H","UseDPDF=Y")</f>
        <v>#NAME?</v>
      </c>
      <c r="BE239" s="2" t="e">
        <f ca="1">_xll.BDH($C$228,"GEO_GROW_CASH_OPER_ACT","FQ1 2016","FQ1 2016","Currency=INR","Period=FQ","BEST_FPERIOD_OVERRIDE=FQ","FILING_STATUS=OR","EQY_CONSOLIDATED=Y","Sort=A","Dates=H","DateFormat=P","Fill=—","Direction=H","UseDPDF=Y")</f>
        <v>#NAME?</v>
      </c>
      <c r="BF239" s="2" t="e">
        <f ca="1">_xll.BDH($C$228,"REVENUE_SEQUENTIAL_GROWTH","FQ1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39" s="2" t="e">
        <f ca="1">_xll.BDH($C$228,"EBITDA_SEQUENTIAL_GROWTH","FQ1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39" s="2" t="e">
        <f ca="1">_xll.BDH($C$228,"OPERATING_INCOME_SEQ_GROWTH","FQ1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39" s="2" t="e">
        <f ca="1">_xll.BDH($C$228,"NET_INCOME_TO_COMMON_SEQ_GROWTH","FQ1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39" s="2" t="e">
        <f ca="1">_xll.BDH($C$228,"EPS_DILUTED_SEQUENTIAL_GROWTH","FQ1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39" s="2" t="e">
        <f ca="1">_xll.BDH($C$228,"DPS_SEQUENTIAL_GROWTH","FQ1 2016","FQ1 2016","Currency=INR","Period=FQ","BEST_FPERIOD_OVERRIDE=FQ","FILING_STATUS=OR","EQY_CONSOLIDATED=Y","Sort=A","Dates=H","DateFormat=P","Fill=—","Direction=H","UseDPDF=Y")</f>
        <v>#NAME?</v>
      </c>
      <c r="BL239" s="2" t="e">
        <f ca="1">_xll.BDH($C$228,"ACCOUNTS_RECEIVABLE_SEQ_GROWTH","FQ1 2016","FQ1 2016","Currency=INR","Period=FQ","BEST_FPERIOD_OVERRIDE=FQ","FILING_STATUS=OR","EQY_CONSOLIDATED=Y","Sort=A","Dates=H","DateFormat=P","Fill=—","Direction=H","UseDPDF=Y")</f>
        <v>#NAME?</v>
      </c>
      <c r="BM239" s="2" t="e">
        <f ca="1">_xll.BDH($C$228,"INVENTORY_SEQUENTIAL_GROWTH","FQ1 2016","FQ1 2016","Currency=INR","Period=FQ","BEST_FPERIOD_OVERRIDE=FQ","FILING_STATUS=OR","EQY_CONSOLIDATED=Y","Sort=A","Dates=H","DateFormat=P","Fill=—","Direction=H","UseDPDF=Y")</f>
        <v>#NAME?</v>
      </c>
      <c r="BN239" s="2" t="e">
        <f ca="1">_xll.BDH($C$228,"FIXED_ASSETS_SEQUENTIAL_GROWTH","FQ1 2016","FQ1 2016","Currency=INR","Period=FQ","BEST_FPERIOD_OVERRIDE=FQ","FILING_STATUS=OR","EQY_CONSOLIDATED=Y","Sort=A","Dates=H","DateFormat=P","Fill=—","Direction=H","UseDPDF=Y")</f>
        <v>#NAME?</v>
      </c>
      <c r="BO239" s="2" t="e">
        <f ca="1">_xll.BDH($C$228,"TOTAL_ASSETS_SEQUENTIAL_GROWTH","FQ1 2016","FQ1 2016","Currency=INR","Period=FQ","BEST_FPERIOD_OVERRIDE=FQ","FILING_STATUS=OR","EQY_CONSOLIDATED=Y","Sort=A","Dates=H","DateFormat=P","Fill=—","Direction=H","UseDPDF=Y")</f>
        <v>#NAME?</v>
      </c>
      <c r="BP239" s="2" t="e">
        <f ca="1">_xll.BDH($C$228,"MODIFIED_WORKING_CPTL_SEQ_GRWTH","FQ1 2016","FQ1 2016","Currency=INR","Period=FQ","BEST_FPERIOD_OVERRIDE=FQ","FILING_STATUS=OR","EQY_CONSOLIDATED=Y","Sort=A","Dates=H","DateFormat=P","Fill=—","Direction=H","UseDPDF=Y")</f>
        <v>#NAME?</v>
      </c>
      <c r="BQ239" s="2" t="e">
        <f ca="1">_xll.BDH($C$228,"WORKING_CAPITAL_SEQ_GROWTH","FQ1 2016","FQ1 2016","Currency=INR","Period=FQ","BEST_FPERIOD_OVERRIDE=FQ","FILING_STATUS=OR","EQY_CONSOLIDATED=Y","Sort=A","Dates=H","DateFormat=P","Fill=—","Direction=H","UseDPDF=Y")</f>
        <v>#NAME?</v>
      </c>
      <c r="BR239" s="2" t="e">
        <f ca="1">_xll.BDH($C$228,"ACCOUNTS_PAYABLE_SEQ_GROWTH","FQ1 2016","FQ1 2016","Currency=INR","Period=FQ","BEST_FPERIOD_OVERRIDE=FQ","FILING_STATUS=OR","EQY_CONSOLIDATED=Y","Sort=A","Dates=H","DateFormat=P","Fill=—","Direction=H","UseDPDF=Y")</f>
        <v>#NAME?</v>
      </c>
      <c r="BS239" s="2" t="e">
        <f ca="1">_xll.BDH($C$228,"ST_DEBT_SEQUENTIAL_GROWTH","FQ1 2016","FQ1 2016","Currency=INR","Period=FQ","BEST_FPERIOD_OVERRIDE=FQ","FILING_STATUS=OR","EQY_CONSOLIDATED=Y","Sort=A","Dates=H","DateFormat=P","Fill=—","Direction=H","UseDPDF=Y")</f>
        <v>#NAME?</v>
      </c>
      <c r="BT239" s="2" t="e">
        <f ca="1">_xll.BDH($C$228,"TOTAL_DEBT_SEQUENTIAL_GROWTH","FQ1 2016","FQ1 2016","Currency=INR","Period=FQ","BEST_FPERIOD_OVERRIDE=FQ","FILING_STATUS=OR","EQY_CONSOLIDATED=Y","Sort=A","Dates=H","DateFormat=P","Fill=—","Direction=H","UseDPDF=Y")</f>
        <v>#NAME?</v>
      </c>
      <c r="BU239" s="2" t="e">
        <f ca="1">_xll.BDH($C$228,"TOTAL_EQUITY_SEQUENTIAL_GROWTH","FQ1 2016","FQ1 2016","Currency=INR","Period=FQ","BEST_FPERIOD_OVERRIDE=FQ","FILING_STATUS=OR","EQY_CONSOLIDATED=Y","Sort=A","Dates=H","DateFormat=P","Fill=—","Direction=H","UseDPDF=Y")</f>
        <v>#NAME?</v>
      </c>
      <c r="BV239" s="2" t="e">
        <f ca="1">_xll.BDH($C$228,"TOTAL_CAPITAL_SEQUENTIAL_GROWTH","FQ1 2016","FQ1 2016","Currency=INR","Period=FQ","BEST_FPERIOD_OVERRIDE=FQ","FILING_STATUS=OR","EQY_CONSOLIDATED=Y","Sort=A","Dates=H","DateFormat=P","Fill=—","Direction=H","UseDPDF=Y")</f>
        <v>#NAME?</v>
      </c>
      <c r="BW239" s="2" t="e">
        <f ca="1">_xll.BDH($C$228,"BPS_SEQUENTIAL_GROWTH","FQ1 2016","FQ1 2016","Currency=INR","Period=FQ","BEST_FPERIOD_OVERRIDE=FQ","FILING_STATUS=OR","EQY_CONSOLIDATED=Y","Sort=A","Dates=H","DateFormat=P","Fill=—","Direction=H","UseDPDF=Y")</f>
        <v>#NAME?</v>
      </c>
      <c r="BX239" s="2" t="e">
        <f ca="1">_xll.BDH($C$228,"CFO_SEQUENTIAL_GROWTH","FQ1 2016","FQ1 2016","Currency=INR","Period=FQ","BEST_FPERIOD_OVERRIDE=FQ","FILING_STATUS=OR","EQY_CONSOLIDATED=Y","Sort=A","Dates=H","DateFormat=P","Fill=—","Direction=H","UseDPDF=Y")</f>
        <v>#NAME?</v>
      </c>
      <c r="BY239" s="3" t="e">
        <f ca="1">_xll.BDH($C$228,"SHORT_AND_LONG_TERM_DEBT","FQ1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39" s="3" t="e">
        <f ca="1">_xll.BDH($C$228,"BS_ST_BORROW","FQ1 2016","FQ1 2016","Currency=INR","Period=FQ","BEST_FPERIOD_OVERRIDE=FQ","FILING_STATUS=OR","EQY_CONSOLIDATED=Y","SCALING_FORMAT=MLN","Sort=A","Dates=H","DateFormat=P","Fill=—","Direction=H","UseDPDF=Y")</f>
        <v>#NAME?</v>
      </c>
      <c r="CA239" s="3" t="e">
        <f ca="1">_xll.BDH($C$228,"BS_LT_BORROW","FQ1 2016","FQ1 2016","Currency=INR","Period=FQ","BEST_FPERIOD_OVERRIDE=FQ","FILING_STATUS=OR","EQY_CONSOLIDATED=Y","SCALING_FORMAT=MLN","Sort=A","Dates=H","DateFormat=P","Fill=—","Direction=H","UseDPDF=Y")</f>
        <v>#NAME?</v>
      </c>
      <c r="CB239" s="2" t="e">
        <f ca="1">_xll.BDH($C$228,"TOT_DEBT_TO_EBITDA","FQ1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39" s="2" t="e">
        <f ca="1">_xll.BDH($C$228,"NET_DEBT_TO_EBITDA","FQ1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39" s="2" t="e">
        <f ca="1">_xll.BDH($C$228,"TOTAL_DEBT_TO_EBIT","FQ1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39" s="2" t="e">
        <f ca="1">_xll.BDH($C$228,"NET_DEBT_TO_EBIT","FQ1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39" s="2" t="e">
        <f ca="1">_xll.BDH($C$228,"EBITDA_TO_INTEREST_EXPN","FQ1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39" s="2" t="e">
        <f ca="1">_xll.BDH($C$228,"COM_EQY_TO_TOT_ASSET","FQ1 2016","FQ1 2016","Currency=INR","Period=FQ","BEST_FPERIOD_OVERRIDE=FQ","FILING_STATUS=OR","EQY_CONSOLIDATED=Y","Sort=A","Dates=H","DateFormat=P","Fill=—","Direction=H","UseDPDF=Y")</f>
        <v>#NAME?</v>
      </c>
      <c r="CH239" s="2" t="e">
        <f ca="1">_xll.BDH($C$228,"LT_DEBT_TO_TOT_EQY","FQ1 2016","FQ1 2016","Currency=INR","Period=FQ","BEST_FPERIOD_OVERRIDE=FQ","FILING_STATUS=OR","EQY_CONSOLIDATED=Y","Sort=A","Dates=H","DateFormat=P","Fill=—","Direction=H","UseDPDF=Y")</f>
        <v>#NAME?</v>
      </c>
      <c r="CI239" s="2" t="e">
        <f ca="1">_xll.BDH($C$228,"LT_DEBT_TO_TOT_CAP","FQ1 2016","FQ1 2016","Currency=INR","Period=FQ","BEST_FPERIOD_OVERRIDE=FQ","FILING_STATUS=OR","EQY_CONSOLIDATED=Y","Sort=A","Dates=H","DateFormat=P","Fill=—","Direction=H","UseDPDF=Y")</f>
        <v>#NAME?</v>
      </c>
      <c r="CJ239" s="2" t="e">
        <f ca="1">_xll.BDH($C$228,"LT_DEBT_TO_TOT_ASSET","FQ1 2016","FQ1 2016","Currency=INR","Period=FQ","BEST_FPERIOD_OVERRIDE=FQ","FILING_STATUS=OR","EQY_CONSOLIDATED=Y","Sort=A","Dates=H","DateFormat=P","Fill=—","Direction=H","UseDPDF=Y")</f>
        <v>#NAME?</v>
      </c>
      <c r="CK239" s="2" t="e">
        <f ca="1">_xll.BDH($C$228,"TOT_DEBT_TO_TOT_EQY","FQ1 2016","FQ1 2016","Currency=INR","Period=FQ","BEST_FPERIOD_OVERRIDE=FQ","FILING_STATUS=OR","EQY_CONSOLIDATED=Y","Sort=A","Dates=H","DateFormat=P","Fill=—","Direction=H","UseDPDF=Y")</f>
        <v>#NAME?</v>
      </c>
      <c r="CL239" s="2" t="e">
        <f ca="1">_xll.BDH($C$228,"TOT_DEBT_TO_TOT_CAP","FQ1 2016","FQ1 2016","Currency=INR","Period=FQ","BEST_FPERIOD_OVERRIDE=FQ","FILING_STATUS=OR","EQY_CONSOLIDATED=Y","Sort=A","Dates=H","DateFormat=P","Fill=—","Direction=H","UseDPDF=Y")</f>
        <v>#NAME?</v>
      </c>
      <c r="CM239" s="2" t="e">
        <f ca="1">_xll.BDH($C$228,"TOT_DEBT_TO_TOT_ASSET","FQ1 2016","FQ1 2016","Currency=INR","Period=FQ","BEST_FPERIOD_OVERRIDE=FQ","FILING_STATUS=OR","EQY_CONSOLIDATED=Y","Sort=A","Dates=H","DateFormat=P","Fill=—","Direction=H","UseDPDF=Y")</f>
        <v>#NAME?</v>
      </c>
      <c r="CN239" s="2" t="e">
        <f ca="1">_xll.BDH($C$228,"NET_DEBT_TO_SHRHLDR_EQTY","FQ1 2016","FQ1 2016","Currency=INR","Period=FQ","BEST_FPERIOD_OVERRIDE=FQ","FILING_STATUS=OR","EQY_CONSOLIDATED=Y","Sort=A","Dates=H","DateFormat=P","Fill=—","Direction=H","UseDPDF=Y")</f>
        <v>#NAME?</v>
      </c>
      <c r="CO239" s="2" t="e">
        <f ca="1">_xll.BDH($C$228,"NET_DEBT_%_CAPITAL","FQ1 2016","FQ1 2016","Currency=INR","Period=FQ","BEST_FPERIOD_OVERRIDE=FQ","FILING_STATUS=OR","EQY_CONSOLIDATED=Y","Sort=A","Dates=H","DateFormat=P","Fill=—","Direction=H","UseDPDF=Y")</f>
        <v>#NAME?</v>
      </c>
      <c r="CP239" s="3" t="e">
        <f ca="1">_xll.BDH($C$228,"EBITDA","FQ1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39" s="3" t="e">
        <f ca="1">_xll.BDH($C$228,"EBITDA_AFTER_CAPEX","FQ1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39" s="3" t="e">
        <f ca="1">_xll.BDH($C$228,"IS_OPER_INC","FQ1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39" s="2" t="e">
        <f ca="1">_xll.BDH($C$228,"CASH_RATIO","FQ1 2016","FQ1 2016","Currency=INR","Period=FQ","BEST_FPERIOD_OVERRIDE=FQ","FILING_STATUS=OR","EQY_CONSOLIDATED=Y","Sort=A","Dates=H","DateFormat=P","Fill=—","Direction=H","UseDPDF=Y")</f>
        <v>#NAME?</v>
      </c>
      <c r="CT239" s="2" t="e">
        <f ca="1">_xll.BDH($C$228,"CUR_RATIO","FQ1 2016","FQ1 2016","Currency=INR","Period=FQ","BEST_FPERIOD_OVERRIDE=FQ","FILING_STATUS=OR","EQY_CONSOLIDATED=Y","Sort=A","Dates=H","DateFormat=P","Fill=—","Direction=H","UseDPDF=Y")</f>
        <v>#NAME?</v>
      </c>
      <c r="CU239" s="2" t="e">
        <f ca="1">_xll.BDH($C$228,"QUICK_RATIO","FQ1 2016","FQ1 2016","Currency=INR","Period=FQ","BEST_FPERIOD_OVERRIDE=FQ","FILING_STATUS=OR","EQY_CONSOLIDATED=Y","Sort=A","Dates=H","DateFormat=P","Fill=—","Direction=H","UseDPDF=Y")</f>
        <v>#NAME?</v>
      </c>
      <c r="CV239" s="2" t="e">
        <f ca="1">_xll.BDH($C$228,"ALTMAN_Z_SCORE","FQ1 2016","FQ1 2016","Currency=INR","Period=FQ","BEST_FPERIOD_OVERRIDE=FQ","FILING_STATUS=OR","EQY_CONSOLIDATED=Y","Sort=A","Dates=H","DateFormat=P","Fill=—","Direction=H","UseDPDF=Y")</f>
        <v>#NAME?</v>
      </c>
      <c r="CW239" s="4" t="e">
        <f ca="1">_xll.BDH($C$228,"ACCT_RCV_TURN","FQ1 2016","FQ1 2016","Currency=INR","Period=FQ","BEST_FPERIOD_OVERRIDE=FQ","FILING_STATUS=OR","EQY_CONSOLIDATED=Y","FA_ADJUSTED=GAAP","Sort=A","Dates=H","DateFormat=P","Fill=—","Direction=H","UseDPDF=Y")</f>
        <v>#NAME?</v>
      </c>
      <c r="CX239" s="2" t="e">
        <f ca="1">_xll.BDH($C$228,"ACCT_RCV_DAYS","FQ1 2016","FQ1 2016","Currency=INR","Period=FQ","BEST_FPERIOD_OVERRIDE=FQ","FILING_STATUS=OR","EQY_CONSOLIDATED=Y","FA_ADJUSTED=GAAP","Sort=A","Dates=H","DateFormat=P","Fill=—","Direction=H","UseDPDF=Y")</f>
        <v>#NAME?</v>
      </c>
      <c r="CY239" s="4" t="e">
        <f ca="1">_xll.BDH($C$228,"INVENT_TURN","FQ1 2016","FQ1 2016","Currency=INR","Period=FQ","BEST_FPERIOD_OVERRIDE=FQ","FILING_STATUS=OR","EQY_CONSOLIDATED=Y","FA_ADJUSTED=GAAP","Sort=A","Dates=H","DateFormat=P","Fill=—","Direction=H","UseDPDF=Y")</f>
        <v>#NAME?</v>
      </c>
      <c r="CZ239" s="2" t="e">
        <f ca="1">_xll.BDH($C$228,"INVENT_DAYS","FQ1 2016","FQ1 2016","Currency=INR","Period=FQ","BEST_FPERIOD_OVERRIDE=FQ","FILING_STATUS=OR","EQY_CONSOLIDATED=Y","FA_ADJUSTED=GAAP","Sort=A","Dates=H","DateFormat=P","Fill=—","Direction=H","UseDPDF=Y")</f>
        <v>#NAME?</v>
      </c>
      <c r="DA239" s="4" t="e">
        <f ca="1">_xll.BDH($C$228,"ACCOUNTS_PAYABLE_TURNOVER","FQ1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39" s="2" t="e">
        <f ca="1">_xll.BDH($C$228,"ACCOUNTS_PAYABLE_TURNOVER_DAYS","FQ1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39" s="4" t="e">
        <f ca="1">_xll.BDH($C$228,"CASH_CONVERSION_CYCLE","FQ1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39" s="4" t="e">
        <f ca="1">_xll.BDH($C$228,"INV_TO_CASH_DAYS","FQ1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39" s="5" t="e">
        <f ca="1">_xll.BDH($C$228,"BS_INVENTORIES","FQ1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39" s="3" t="e">
        <f ca="1">_xll.BDH($C$228,"INVTRY_RAW_MATERIALS","FQ1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39" s="3" t="e">
        <f ca="1">_xll.BDH($C$228,"INVTRY_IN_PROGRESS","FQ1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39" s="3" t="e">
        <f ca="1">_xll.BDH($C$228,"INVTRY_FINISHED_GOODS","FQ1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39" s="3" t="e">
        <f ca="1">_xll.BDH($C$228,"BS_OTHER_INV","FQ1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40" spans="1:113" x14ac:dyDescent="0.3">
      <c r="A240" s="6"/>
      <c r="B240" s="6"/>
      <c r="C240" s="6"/>
      <c r="D240" s="6"/>
      <c r="E240" t="s">
        <v>79</v>
      </c>
      <c r="F240" t="e">
        <f ca="1">_xll.BDH($C$228,"RETURN_COM_EQY","FQ2 2016","FQ2 2016","Currency=INR","Period=FQ","BEST_FPERIOD_OVERRIDE=FQ","FILING_STATUS=OR","EQY_CONSOLIDATED=Y","FA_ADJUSTED=GAAP","Sort=A","Dates=H","DateFormat=P","Fill=—","Direction=H","UseDPDF=Y")</f>
        <v>#NAME?</v>
      </c>
      <c r="G240" t="e">
        <f ca="1">_xll.BDH($C$228,"RETURN_ON_ASSET","FQ2 2016","FQ2 2016","Currency=INR","Period=FQ","BEST_FPERIOD_OVERRIDE=FQ","FILING_STATUS=OR","EQY_CONSOLIDATED=Y","FA_ADJUSTED=GAAP","Sort=A","Dates=H","DateFormat=P","Fill=—","Direction=H","UseDPDF=Y")</f>
        <v>#NAME?</v>
      </c>
      <c r="H240" t="e">
        <f ca="1">_xll.BDH($C$228,"RETURN_ON_CAP","FQ2 2016","FQ2 2016","Currency=INR","Period=FQ","BEST_FPERIOD_OVERRIDE=FQ","FILING_STATUS=OR","EQY_CONSOLIDATED=Y","FA_ADJUSTED=GAAP","Sort=A","Dates=H","DateFormat=P","Fill=—","Direction=H","UseDPDF=Y")</f>
        <v>#NAME?</v>
      </c>
      <c r="I240" t="e">
        <f ca="1">_xll.BDH($C$228,"RETURN_ON_INV_CAPITAL","FQ2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40" t="e">
        <f ca="1">_xll.BDH($C$228,"EBITDA_TO_REVENUE","FQ2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40" t="e">
        <f ca="1">_xll.BDH($C$228,"OPER_MARGIN","FQ2 2016","FQ2 2016","Currency=INR","Period=FQ","BEST_FPERIOD_OVERRIDE=FQ","FILING_STATUS=OR","EQY_CONSOLIDATED=Y","FA_ADJUSTED=GAAP","Sort=A","Dates=H","DateFormat=P","Fill=—","Direction=H","UseDPDF=Y")</f>
        <v>#NAME?</v>
      </c>
      <c r="L240" t="e">
        <f ca="1">_xll.BDH($C$228,"INCREMENTAL_OPERATING_MARGIN","FQ2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40" t="e">
        <f ca="1">_xll.BDH($C$228,"PRETAX_INC_TO_NET_SALES","FQ2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40" t="e">
        <f ca="1">_xll.BDH($C$228,"INC_BEF_XO_ITEMS_TO_NET_SALES","FQ2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40" t="e">
        <f ca="1">_xll.BDH($C$228,"PROF_MARGIN","FQ2 2016","FQ2 2016","Currency=INR","Period=FQ","BEST_FPERIOD_OVERRIDE=FQ","FILING_STATUS=OR","EQY_CONSOLIDATED=Y","FA_ADJUSTED=GAAP","Sort=A","Dates=H","DateFormat=P","Fill=—","Direction=H","UseDPDF=Y")</f>
        <v>#NAME?</v>
      </c>
      <c r="P240" t="e">
        <f ca="1">_xll.BDH($C$228,"NET_INCOME_TO_COMMON_MARGIN","FQ2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40" t="e">
        <f ca="1">_xll.BDH($C$228,"EFF_TAX_RATE","FQ2 2016","FQ2 2016","Currency=INR","Period=FQ","BEST_FPERIOD_OVERRIDE=FQ","FILING_STATUS=OR","EQY_CONSOLIDATED=Y","FA_ADJUSTED=GAAP","Sort=A","Dates=H","DateFormat=P","Fill=—","Direction=H","UseDPDF=Y")</f>
        <v>#NAME?</v>
      </c>
      <c r="R240" t="e">
        <f ca="1">_xll.BDH($C$228,"DVD_PAYOUT_RATIO","FQ2 2016","FQ2 2016","Currency=INR","Period=FQ","BEST_FPERIOD_OVERRIDE=FQ","FILING_STATUS=OR","EQY_CONSOLIDATED=Y","FA_ADJUSTED=GAAP","Sort=A","Dates=H","DateFormat=P","Fill=—","Direction=H","UseDPDF=Y")</f>
        <v>#NAME?</v>
      </c>
      <c r="S240" t="e">
        <f ca="1">_xll.BDH($C$228,"SUSTAIN_GROWTH_RT","FQ2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40" s="2" t="e">
        <f ca="1">_xll.BDH($C$228,"SALES_GROWTH","FQ2 2016","FQ2 2016","Currency=INR","Period=FQ","BEST_FPERIOD_OVERRIDE=FQ","FILING_STATUS=OR","EQY_CONSOLIDATED=Y","FA_ADJUSTED=GAAP","Sort=A","Dates=H","DateFormat=P","Fill=—","Direction=H","UseDPDF=Y")</f>
        <v>#NAME?</v>
      </c>
      <c r="U240" s="2" t="e">
        <f ca="1">_xll.BDH($C$228,"EBITDA_GROWTH","FQ2 2016","FQ2 2016","Currency=INR","Period=FQ","BEST_FPERIOD_OVERRIDE=FQ","FILING_STATUS=OR","EQY_CONSOLIDATED=Y","FA_ADJUSTED=GAAP","Sort=A","Dates=H","DateFormat=P","Fill=—","Direction=H","UseDPDF=Y")</f>
        <v>#NAME?</v>
      </c>
      <c r="V240" s="2" t="e">
        <f ca="1">_xll.BDH($C$228,"OPER_INC_GROWTH","FQ2 2016","FQ2 2016","Currency=INR","Period=FQ","BEST_FPERIOD_OVERRIDE=FQ","FILING_STATUS=OR","EQY_CONSOLIDATED=Y","FA_ADJUSTED=GAAP","Sort=A","Dates=H","DateFormat=P","Fill=—","Direction=H","UseDPDF=Y")</f>
        <v>#NAME?</v>
      </c>
      <c r="W240" s="2" t="e">
        <f ca="1">_xll.BDH($C$228,"EARN_FOR_COM_GROWTH","FQ2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40" s="2" t="e">
        <f ca="1">_xll.BDH($C$228,"DILUTED_EPS_AFT_XO_ITEMS_GROWTH","FQ2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40" s="2" t="e">
        <f ca="1">_xll.BDH($C$228,"DIVIDEND_PER_SHARE_1_YEAR_GROWTH","FQ2 2016","FQ2 2016","Currency=INR","Period=FQ","BEST_FPERIOD_OVERRIDE=FQ","FILING_STATUS=OR","EQY_CONSOLIDATED=Y","Sort=A","Dates=H","DateFormat=P","Fill=—","Direction=H","UseDPDF=Y")</f>
        <v>#NAME?</v>
      </c>
      <c r="Z240" s="2" t="e">
        <f ca="1">_xll.BDH($C$228,"ACCOUNTS_RECEIVABLE_GROWTH","FQ2 2016","FQ2 2016","Currency=INR","Period=FQ","BEST_FPERIOD_OVERRIDE=FQ","FILING_STATUS=OR","EQY_CONSOLIDATED=Y","Sort=A","Dates=H","DateFormat=P","Fill=—","Direction=H","UseDPDF=Y")</f>
        <v>#NAME?</v>
      </c>
      <c r="AA240" s="2" t="e">
        <f ca="1">_xll.BDH($C$228,"INVENTORY_GROWTH","FQ2 2016","FQ2 2016","Currency=INR","Period=FQ","BEST_FPERIOD_OVERRIDE=FQ","FILING_STATUS=OR","EQY_CONSOLIDATED=Y","Sort=A","Dates=H","DateFormat=P","Fill=—","Direction=H","UseDPDF=Y")</f>
        <v>#NAME?</v>
      </c>
      <c r="AB240" s="2" t="e">
        <f ca="1">_xll.BDH($C$228,"NET_FIXED_ASSETS_1_YEAR_GROWTH","FQ2 2016","FQ2 2016","Currency=INR","Period=FQ","BEST_FPERIOD_OVERRIDE=FQ","FILING_STATUS=OR","EQY_CONSOLIDATED=Y","Sort=A","Dates=H","DateFormat=P","Fill=—","Direction=H","UseDPDF=Y")</f>
        <v>#NAME?</v>
      </c>
      <c r="AC240" s="2" t="e">
        <f ca="1">_xll.BDH($C$228,"ASSET_GROWTH","FQ2 2016","FQ2 2016","Currency=INR","Period=FQ","BEST_FPERIOD_OVERRIDE=FQ","FILING_STATUS=OR","EQY_CONSOLIDATED=Y","Sort=A","Dates=H","DateFormat=P","Fill=—","Direction=H","UseDPDF=Y")</f>
        <v>#NAME?</v>
      </c>
      <c r="AD240" s="2" t="e">
        <f ca="1">_xll.BDH($C$228,"MODIFIED_WORK_CAP_GROWTH","FQ2 2016","FQ2 2016","Currency=INR","Period=FQ","BEST_FPERIOD_OVERRIDE=FQ","FILING_STATUS=OR","EQY_CONSOLIDATED=Y","Sort=A","Dates=H","DateFormat=P","Fill=—","Direction=H","UseDPDF=Y")</f>
        <v>#NAME?</v>
      </c>
      <c r="AE240" s="2" t="e">
        <f ca="1">_xll.BDH($C$228,"WORK_CAP_GROWTH","FQ2 2016","FQ2 2016","Currency=INR","Period=FQ","BEST_FPERIOD_OVERRIDE=FQ","FILING_STATUS=OR","EQY_CONSOLIDATED=Y","Sort=A","Dates=H","DateFormat=P","Fill=—","Direction=H","UseDPDF=Y")</f>
        <v>#NAME?</v>
      </c>
      <c r="AF240" s="2" t="e">
        <f ca="1">_xll.BDH($C$228,"ACCOUNTS_PAYABLE_GROWTH_1YR","FQ2 2016","FQ2 2016","Currency=INR","Period=FQ","BEST_FPERIOD_OVERRIDE=FQ","FILING_STATUS=OR","EQY_CONSOLIDATED=Y","Sort=A","Dates=H","DateFormat=P","Fill=—","Direction=H","UseDPDF=Y")</f>
        <v>#NAME?</v>
      </c>
      <c r="AG240" s="2" t="e">
        <f ca="1">_xll.BDH($C$228,"SHORT_TERM_DEBT_1_YEAR_GROWTH","FQ2 2016","FQ2 2016","Currency=INR","Period=FQ","BEST_FPERIOD_OVERRIDE=FQ","FILING_STATUS=OR","EQY_CONSOLIDATED=Y","Sort=A","Dates=H","DateFormat=P","Fill=—","Direction=H","UseDPDF=Y")</f>
        <v>#NAME?</v>
      </c>
      <c r="AH240" s="2" t="e">
        <f ca="1">_xll.BDH($C$228,"TOTAL_DEBT_1_YEAR_GROWTH","FQ2 2016","FQ2 2016","Currency=INR","Period=FQ","BEST_FPERIOD_OVERRIDE=FQ","FILING_STATUS=OR","EQY_CONSOLIDATED=Y","Sort=A","Dates=H","DateFormat=P","Fill=—","Direction=H","UseDPDF=Y")</f>
        <v>#NAME?</v>
      </c>
      <c r="AI240" s="2" t="e">
        <f ca="1">_xll.BDH($C$228,"TOTAL_EQUITY_1_YEAR_GROWTH","FQ2 2016","FQ2 2016","Currency=INR","Period=FQ","BEST_FPERIOD_OVERRIDE=FQ","FILING_STATUS=OR","EQY_CONSOLIDATED=Y","Sort=A","Dates=H","DateFormat=P","Fill=—","Direction=H","UseDPDF=Y")</f>
        <v>#NAME?</v>
      </c>
      <c r="AJ240" s="2" t="e">
        <f ca="1">_xll.BDH($C$228,"GROWTH_IN_CAP","FQ2 2016","FQ2 2016","Currency=INR","Period=FQ","BEST_FPERIOD_OVERRIDE=FQ","FILING_STATUS=OR","EQY_CONSOLIDATED=Y","Sort=A","Dates=H","DateFormat=P","Fill=—","Direction=H","UseDPDF=Y")</f>
        <v>#NAME?</v>
      </c>
      <c r="AK240" s="2" t="e">
        <f ca="1">_xll.BDH($C$228,"BVPS_GROWTH","FQ2 2016","FQ2 2016","Currency=INR","Period=FQ","BEST_FPERIOD_OVERRIDE=FQ","FILING_STATUS=OR","EQY_CONSOLIDATED=Y","Sort=A","Dates=H","DateFormat=P","Fill=—","Direction=H","UseDPDF=Y")</f>
        <v>#NAME?</v>
      </c>
      <c r="AL240" s="2" t="e">
        <f ca="1">_xll.BDH($C$228,"CASH_FLOW_GROWTH","FQ2 2016","FQ2 2016","Currency=INR","Period=FQ","BEST_FPERIOD_OVERRIDE=FQ","FILING_STATUS=OR","EQY_CONSOLIDATED=Y","Sort=A","Dates=H","DateFormat=P","Fill=—","Direction=H","UseDPDF=Y")</f>
        <v>#NAME?</v>
      </c>
      <c r="AM240" s="2" t="e">
        <f ca="1">_xll.BDH($C$228,"GEO_GROW_NET_SALES","FQ2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40" s="2" t="e">
        <f ca="1">_xll.BDH($C$228,"GEO_GROW_EBITDA","FQ2 2016","FQ2 2016","Currency=INR","Period=FQ","BEST_FPERIOD_OVERRIDE=FQ","FILING_STATUS=OR","EQY_CONSOLIDATED=Y","FA_ADJUSTED=GAAP","Sort=A","Dates=H","DateFormat=P","Fill=—","Direction=H","UseDPDF=Y")</f>
        <v>#NAME?</v>
      </c>
      <c r="AO240" s="2" t="e">
        <f ca="1">_xll.BDH($C$228,"GEO_GROW_OPER_INC","FQ2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40" s="2" t="e">
        <f ca="1">_xll.BDH($C$228,"NET_INCOME_TO_COMMON_5_YR_GROWTH","FQ2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40" s="2" t="e">
        <f ca="1">_xll.BDH($C$228,"5Y_GEO_GROWTH_DILUTED_EPS","FQ2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40" s="2" t="e">
        <f ca="1">_xll.BDH($C$228,"GEO_GROW_DVD_PER_SH","FQ2 2016","FQ2 2016","Currency=INR","Period=FQ","BEST_FPERIOD_OVERRIDE=FQ","FILING_STATUS=OR","EQY_CONSOLIDATED=Y","Sort=A","Dates=H","DateFormat=P","Fill=—","Direction=H","UseDPDF=Y")</f>
        <v>#NAME?</v>
      </c>
      <c r="AS240" s="2" t="e">
        <f ca="1">_xll.BDH($C$228,"ACCOUNTS_RECEIVABLE_5_YR_GROWTH","FQ2 2016","FQ2 2016","Currency=INR","Period=FQ","BEST_FPERIOD_OVERRIDE=FQ","FILING_STATUS=OR","EQY_CONSOLIDATED=Y","Sort=A","Dates=H","DateFormat=P","Fill=—","Direction=H","UseDPDF=Y")</f>
        <v>#NAME?</v>
      </c>
      <c r="AT240" s="2" t="e">
        <f ca="1">_xll.BDH($C$228,"INVENTORY_5_YEAR_GROWTH","FQ2 2016","FQ2 2016","Currency=INR","Period=FQ","BEST_FPERIOD_OVERRIDE=FQ","FILING_STATUS=OR","EQY_CONSOLIDATED=Y","Sort=A","Dates=H","DateFormat=P","Fill=—","Direction=H","UseDPDF=Y")</f>
        <v>#NAME?</v>
      </c>
      <c r="AU240" s="2" t="e">
        <f ca="1">_xll.BDH($C$228,"NET_FIXED_ASSETS_5_YEAR_GROWTH","FQ2 2016","FQ2 2016","Currency=INR","Period=FQ","BEST_FPERIOD_OVERRIDE=FQ","FILING_STATUS=OR","EQY_CONSOLIDATED=Y","Sort=A","Dates=H","DateFormat=P","Fill=—","Direction=H","UseDPDF=Y")</f>
        <v>#NAME?</v>
      </c>
      <c r="AV240" s="2" t="e">
        <f ca="1">_xll.BDH($C$228,"GEO_GROW_TOT_ASSET","FQ2 2016","FQ2 2016","Currency=INR","Period=FQ","BEST_FPERIOD_OVERRIDE=FQ","FILING_STATUS=OR","EQY_CONSOLIDATED=Y","Sort=A","Dates=H","DateFormat=P","Fill=—","Direction=H","UseDPDF=Y")</f>
        <v>#NAME?</v>
      </c>
      <c r="AW240" s="2" t="e">
        <f ca="1">_xll.BDH($C$228,"MODIFIED_WORKING_CPTL_5YR_GRWTH","FQ2 2016","FQ2 2016","Currency=INR","Period=FQ","BEST_FPERIOD_OVERRIDE=FQ","FILING_STATUS=OR","EQY_CONSOLIDATED=Y","Sort=A","Dates=H","DateFormat=P","Fill=—","Direction=H","UseDPDF=Y")</f>
        <v>#NAME?</v>
      </c>
      <c r="AX240" s="2" t="e">
        <f ca="1">_xll.BDH($C$228,"WORKING_CAPITAL_5_YEAR_GROWTH","FQ2 2016","FQ2 2016","Currency=INR","Period=FQ","BEST_FPERIOD_OVERRIDE=FQ","FILING_STATUS=OR","EQY_CONSOLIDATED=Y","Sort=A","Dates=H","DateFormat=P","Fill=—","Direction=H","UseDPDF=Y")</f>
        <v>#NAME?</v>
      </c>
      <c r="AY240" s="2" t="e">
        <f ca="1">_xll.BDH($C$228,"ACCOUNTS_PAYABLE_5_YEAR_GROWTH","FQ2 2016","FQ2 2016","Currency=INR","Period=FQ","BEST_FPERIOD_OVERRIDE=FQ","FILING_STATUS=OR","EQY_CONSOLIDATED=Y","Sort=A","Dates=H","DateFormat=P","Fill=—","Direction=H","UseDPDF=Y")</f>
        <v>#NAME?</v>
      </c>
      <c r="AZ240" s="2" t="e">
        <f ca="1">_xll.BDH($C$228,"SHORT_TERM_DEBT_5_YEAR_GROWTH","FQ2 2016","FQ2 2016","Currency=INR","Period=FQ","BEST_FPERIOD_OVERRIDE=FQ","FILING_STATUS=OR","EQY_CONSOLIDATED=Y","Sort=A","Dates=H","DateFormat=P","Fill=—","Direction=H","UseDPDF=Y")</f>
        <v>#NAME?</v>
      </c>
      <c r="BA240" s="2" t="e">
        <f ca="1">_xll.BDH($C$228,"TOTAL_DEBT_5_YEAR_GROWTH","FQ2 2016","FQ2 2016","Currency=INR","Period=FQ","BEST_FPERIOD_OVERRIDE=FQ","FILING_STATUS=OR","EQY_CONSOLIDATED=Y","Sort=A","Dates=H","DateFormat=P","Fill=—","Direction=H","UseDPDF=Y")</f>
        <v>#NAME?</v>
      </c>
      <c r="BB240" s="2" t="e">
        <f ca="1">_xll.BDH($C$228,"GEO_GROW_TOT_SHRHLDR_EQY","FQ2 2016","FQ2 2016","Currency=INR","Period=FQ","BEST_FPERIOD_OVERRIDE=FQ","FILING_STATUS=OR","EQY_CONSOLIDATED=Y","Sort=A","Dates=H","DateFormat=P","Fill=—","Direction=H","UseDPDF=Y")</f>
        <v>#NAME?</v>
      </c>
      <c r="BC240" s="2" t="e">
        <f ca="1">_xll.BDH($C$228,"TOTAL_CAPITAL_5_YEAR_GROWTH","FQ2 2016","FQ2 2016","Currency=INR","Period=FQ","BEST_FPERIOD_OVERRIDE=FQ","FILING_STATUS=OR","EQY_CONSOLIDATED=Y","Sort=A","Dates=H","DateFormat=P","Fill=—","Direction=H","UseDPDF=Y")</f>
        <v>#NAME?</v>
      </c>
      <c r="BD240" s="2" t="e">
        <f ca="1">_xll.BDH($C$228,"GEO_GROW_BOOK_VAL","FQ2 2016","FQ2 2016","Currency=INR","Period=FQ","BEST_FPERIOD_OVERRIDE=FQ","FILING_STATUS=OR","EQY_CONSOLIDATED=Y","Sort=A","Dates=H","DateFormat=P","Fill=—","Direction=H","UseDPDF=Y")</f>
        <v>#NAME?</v>
      </c>
      <c r="BE240" s="2" t="e">
        <f ca="1">_xll.BDH($C$228,"GEO_GROW_CASH_OPER_ACT","FQ2 2016","FQ2 2016","Currency=INR","Period=FQ","BEST_FPERIOD_OVERRIDE=FQ","FILING_STATUS=OR","EQY_CONSOLIDATED=Y","Sort=A","Dates=H","DateFormat=P","Fill=—","Direction=H","UseDPDF=Y")</f>
        <v>#NAME?</v>
      </c>
      <c r="BF240" s="2" t="e">
        <f ca="1">_xll.BDH($C$228,"REVENUE_SEQUENTIAL_GROWTH","FQ2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40" s="2" t="e">
        <f ca="1">_xll.BDH($C$228,"EBITDA_SEQUENTIAL_GROWTH","FQ2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40" s="2" t="e">
        <f ca="1">_xll.BDH($C$228,"OPERATING_INCOME_SEQ_GROWTH","FQ2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40" s="2" t="e">
        <f ca="1">_xll.BDH($C$228,"NET_INCOME_TO_COMMON_SEQ_GROWTH","FQ2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40" s="2" t="e">
        <f ca="1">_xll.BDH($C$228,"EPS_DILUTED_SEQUENTIAL_GROWTH","FQ2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40" s="2" t="e">
        <f ca="1">_xll.BDH($C$228,"DPS_SEQUENTIAL_GROWTH","FQ2 2016","FQ2 2016","Currency=INR","Period=FQ","BEST_FPERIOD_OVERRIDE=FQ","FILING_STATUS=OR","EQY_CONSOLIDATED=Y","Sort=A","Dates=H","DateFormat=P","Fill=—","Direction=H","UseDPDF=Y")</f>
        <v>#NAME?</v>
      </c>
      <c r="BL240" s="2" t="e">
        <f ca="1">_xll.BDH($C$228,"ACCOUNTS_RECEIVABLE_SEQ_GROWTH","FQ2 2016","FQ2 2016","Currency=INR","Period=FQ","BEST_FPERIOD_OVERRIDE=FQ","FILING_STATUS=OR","EQY_CONSOLIDATED=Y","Sort=A","Dates=H","DateFormat=P","Fill=—","Direction=H","UseDPDF=Y")</f>
        <v>#NAME?</v>
      </c>
      <c r="BM240" s="2" t="e">
        <f ca="1">_xll.BDH($C$228,"INVENTORY_SEQUENTIAL_GROWTH","FQ2 2016","FQ2 2016","Currency=INR","Period=FQ","BEST_FPERIOD_OVERRIDE=FQ","FILING_STATUS=OR","EQY_CONSOLIDATED=Y","Sort=A","Dates=H","DateFormat=P","Fill=—","Direction=H","UseDPDF=Y")</f>
        <v>#NAME?</v>
      </c>
      <c r="BN240" s="2" t="e">
        <f ca="1">_xll.BDH($C$228,"FIXED_ASSETS_SEQUENTIAL_GROWTH","FQ2 2016","FQ2 2016","Currency=INR","Period=FQ","BEST_FPERIOD_OVERRIDE=FQ","FILING_STATUS=OR","EQY_CONSOLIDATED=Y","Sort=A","Dates=H","DateFormat=P","Fill=—","Direction=H","UseDPDF=Y")</f>
        <v>#NAME?</v>
      </c>
      <c r="BO240" s="2" t="e">
        <f ca="1">_xll.BDH($C$228,"TOTAL_ASSETS_SEQUENTIAL_GROWTH","FQ2 2016","FQ2 2016","Currency=INR","Period=FQ","BEST_FPERIOD_OVERRIDE=FQ","FILING_STATUS=OR","EQY_CONSOLIDATED=Y","Sort=A","Dates=H","DateFormat=P","Fill=—","Direction=H","UseDPDF=Y")</f>
        <v>#NAME?</v>
      </c>
      <c r="BP240" s="2" t="e">
        <f ca="1">_xll.BDH($C$228,"MODIFIED_WORKING_CPTL_SEQ_GRWTH","FQ2 2016","FQ2 2016","Currency=INR","Period=FQ","BEST_FPERIOD_OVERRIDE=FQ","FILING_STATUS=OR","EQY_CONSOLIDATED=Y","Sort=A","Dates=H","DateFormat=P","Fill=—","Direction=H","UseDPDF=Y")</f>
        <v>#NAME?</v>
      </c>
      <c r="BQ240" s="2" t="e">
        <f ca="1">_xll.BDH($C$228,"WORKING_CAPITAL_SEQ_GROWTH","FQ2 2016","FQ2 2016","Currency=INR","Period=FQ","BEST_FPERIOD_OVERRIDE=FQ","FILING_STATUS=OR","EQY_CONSOLIDATED=Y","Sort=A","Dates=H","DateFormat=P","Fill=—","Direction=H","UseDPDF=Y")</f>
        <v>#NAME?</v>
      </c>
      <c r="BR240" s="2" t="e">
        <f ca="1">_xll.BDH($C$228,"ACCOUNTS_PAYABLE_SEQ_GROWTH","FQ2 2016","FQ2 2016","Currency=INR","Period=FQ","BEST_FPERIOD_OVERRIDE=FQ","FILING_STATUS=OR","EQY_CONSOLIDATED=Y","Sort=A","Dates=H","DateFormat=P","Fill=—","Direction=H","UseDPDF=Y")</f>
        <v>#NAME?</v>
      </c>
      <c r="BS240" s="2" t="e">
        <f ca="1">_xll.BDH($C$228,"ST_DEBT_SEQUENTIAL_GROWTH","FQ2 2016","FQ2 2016","Currency=INR","Period=FQ","BEST_FPERIOD_OVERRIDE=FQ","FILING_STATUS=OR","EQY_CONSOLIDATED=Y","Sort=A","Dates=H","DateFormat=P","Fill=—","Direction=H","UseDPDF=Y")</f>
        <v>#NAME?</v>
      </c>
      <c r="BT240" s="2" t="e">
        <f ca="1">_xll.BDH($C$228,"TOTAL_DEBT_SEQUENTIAL_GROWTH","FQ2 2016","FQ2 2016","Currency=INR","Period=FQ","BEST_FPERIOD_OVERRIDE=FQ","FILING_STATUS=OR","EQY_CONSOLIDATED=Y","Sort=A","Dates=H","DateFormat=P","Fill=—","Direction=H","UseDPDF=Y")</f>
        <v>#NAME?</v>
      </c>
      <c r="BU240" s="2" t="e">
        <f ca="1">_xll.BDH($C$228,"TOTAL_EQUITY_SEQUENTIAL_GROWTH","FQ2 2016","FQ2 2016","Currency=INR","Period=FQ","BEST_FPERIOD_OVERRIDE=FQ","FILING_STATUS=OR","EQY_CONSOLIDATED=Y","Sort=A","Dates=H","DateFormat=P","Fill=—","Direction=H","UseDPDF=Y")</f>
        <v>#NAME?</v>
      </c>
      <c r="BV240" s="2" t="e">
        <f ca="1">_xll.BDH($C$228,"TOTAL_CAPITAL_SEQUENTIAL_GROWTH","FQ2 2016","FQ2 2016","Currency=INR","Period=FQ","BEST_FPERIOD_OVERRIDE=FQ","FILING_STATUS=OR","EQY_CONSOLIDATED=Y","Sort=A","Dates=H","DateFormat=P","Fill=—","Direction=H","UseDPDF=Y")</f>
        <v>#NAME?</v>
      </c>
      <c r="BW240" s="2" t="e">
        <f ca="1">_xll.BDH($C$228,"BPS_SEQUENTIAL_GROWTH","FQ2 2016","FQ2 2016","Currency=INR","Period=FQ","BEST_FPERIOD_OVERRIDE=FQ","FILING_STATUS=OR","EQY_CONSOLIDATED=Y","Sort=A","Dates=H","DateFormat=P","Fill=—","Direction=H","UseDPDF=Y")</f>
        <v>#NAME?</v>
      </c>
      <c r="BX240" s="2" t="e">
        <f ca="1">_xll.BDH($C$228,"CFO_SEQUENTIAL_GROWTH","FQ2 2016","FQ2 2016","Currency=INR","Period=FQ","BEST_FPERIOD_OVERRIDE=FQ","FILING_STATUS=OR","EQY_CONSOLIDATED=Y","Sort=A","Dates=H","DateFormat=P","Fill=—","Direction=H","UseDPDF=Y")</f>
        <v>#NAME?</v>
      </c>
      <c r="BY240" s="3" t="e">
        <f ca="1">_xll.BDH($C$228,"SHORT_AND_LONG_TERM_DEBT","FQ2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40" s="3" t="e">
        <f ca="1">_xll.BDH($C$228,"BS_ST_BORROW","FQ2 2016","FQ2 2016","Currency=INR","Period=FQ","BEST_FPERIOD_OVERRIDE=FQ","FILING_STATUS=OR","EQY_CONSOLIDATED=Y","SCALING_FORMAT=MLN","Sort=A","Dates=H","DateFormat=P","Fill=—","Direction=H","UseDPDF=Y")</f>
        <v>#NAME?</v>
      </c>
      <c r="CA240" s="3" t="e">
        <f ca="1">_xll.BDH($C$228,"BS_LT_BORROW","FQ2 2016","FQ2 2016","Currency=INR","Period=FQ","BEST_FPERIOD_OVERRIDE=FQ","FILING_STATUS=OR","EQY_CONSOLIDATED=Y","SCALING_FORMAT=MLN","Sort=A","Dates=H","DateFormat=P","Fill=—","Direction=H","UseDPDF=Y")</f>
        <v>#NAME?</v>
      </c>
      <c r="CB240" s="2" t="e">
        <f ca="1">_xll.BDH($C$228,"TOT_DEBT_TO_EBITDA","FQ2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40" s="2" t="e">
        <f ca="1">_xll.BDH($C$228,"NET_DEBT_TO_EBITDA","FQ2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40" s="2" t="e">
        <f ca="1">_xll.BDH($C$228,"TOTAL_DEBT_TO_EBIT","FQ2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40" s="2" t="e">
        <f ca="1">_xll.BDH($C$228,"NET_DEBT_TO_EBIT","FQ2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40" s="2" t="e">
        <f ca="1">_xll.BDH($C$228,"EBITDA_TO_INTEREST_EXPN","FQ2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40" s="2" t="e">
        <f ca="1">_xll.BDH($C$228,"COM_EQY_TO_TOT_ASSET","FQ2 2016","FQ2 2016","Currency=INR","Period=FQ","BEST_FPERIOD_OVERRIDE=FQ","FILING_STATUS=OR","EQY_CONSOLIDATED=Y","Sort=A","Dates=H","DateFormat=P","Fill=—","Direction=H","UseDPDF=Y")</f>
        <v>#NAME?</v>
      </c>
      <c r="CH240" s="2" t="e">
        <f ca="1">_xll.BDH($C$228,"LT_DEBT_TO_TOT_EQY","FQ2 2016","FQ2 2016","Currency=INR","Period=FQ","BEST_FPERIOD_OVERRIDE=FQ","FILING_STATUS=OR","EQY_CONSOLIDATED=Y","Sort=A","Dates=H","DateFormat=P","Fill=—","Direction=H","UseDPDF=Y")</f>
        <v>#NAME?</v>
      </c>
      <c r="CI240" s="2" t="e">
        <f ca="1">_xll.BDH($C$228,"LT_DEBT_TO_TOT_CAP","FQ2 2016","FQ2 2016","Currency=INR","Period=FQ","BEST_FPERIOD_OVERRIDE=FQ","FILING_STATUS=OR","EQY_CONSOLIDATED=Y","Sort=A","Dates=H","DateFormat=P","Fill=—","Direction=H","UseDPDF=Y")</f>
        <v>#NAME?</v>
      </c>
      <c r="CJ240" s="2" t="e">
        <f ca="1">_xll.BDH($C$228,"LT_DEBT_TO_TOT_ASSET","FQ2 2016","FQ2 2016","Currency=INR","Period=FQ","BEST_FPERIOD_OVERRIDE=FQ","FILING_STATUS=OR","EQY_CONSOLIDATED=Y","Sort=A","Dates=H","DateFormat=P","Fill=—","Direction=H","UseDPDF=Y")</f>
        <v>#NAME?</v>
      </c>
      <c r="CK240" s="2" t="e">
        <f ca="1">_xll.BDH($C$228,"TOT_DEBT_TO_TOT_EQY","FQ2 2016","FQ2 2016","Currency=INR","Period=FQ","BEST_FPERIOD_OVERRIDE=FQ","FILING_STATUS=OR","EQY_CONSOLIDATED=Y","Sort=A","Dates=H","DateFormat=P","Fill=—","Direction=H","UseDPDF=Y")</f>
        <v>#NAME?</v>
      </c>
      <c r="CL240" s="2" t="e">
        <f ca="1">_xll.BDH($C$228,"TOT_DEBT_TO_TOT_CAP","FQ2 2016","FQ2 2016","Currency=INR","Period=FQ","BEST_FPERIOD_OVERRIDE=FQ","FILING_STATUS=OR","EQY_CONSOLIDATED=Y","Sort=A","Dates=H","DateFormat=P","Fill=—","Direction=H","UseDPDF=Y")</f>
        <v>#NAME?</v>
      </c>
      <c r="CM240" s="2" t="e">
        <f ca="1">_xll.BDH($C$228,"TOT_DEBT_TO_TOT_ASSET","FQ2 2016","FQ2 2016","Currency=INR","Period=FQ","BEST_FPERIOD_OVERRIDE=FQ","FILING_STATUS=OR","EQY_CONSOLIDATED=Y","Sort=A","Dates=H","DateFormat=P","Fill=—","Direction=H","UseDPDF=Y")</f>
        <v>#NAME?</v>
      </c>
      <c r="CN240" s="2" t="e">
        <f ca="1">_xll.BDH($C$228,"NET_DEBT_TO_SHRHLDR_EQTY","FQ2 2016","FQ2 2016","Currency=INR","Period=FQ","BEST_FPERIOD_OVERRIDE=FQ","FILING_STATUS=OR","EQY_CONSOLIDATED=Y","Sort=A","Dates=H","DateFormat=P","Fill=—","Direction=H","UseDPDF=Y")</f>
        <v>#NAME?</v>
      </c>
      <c r="CO240" s="2" t="e">
        <f ca="1">_xll.BDH($C$228,"NET_DEBT_%_CAPITAL","FQ2 2016","FQ2 2016","Currency=INR","Period=FQ","BEST_FPERIOD_OVERRIDE=FQ","FILING_STATUS=OR","EQY_CONSOLIDATED=Y","Sort=A","Dates=H","DateFormat=P","Fill=—","Direction=H","UseDPDF=Y")</f>
        <v>#NAME?</v>
      </c>
      <c r="CP240" s="3" t="e">
        <f ca="1">_xll.BDH($C$228,"EBITDA","FQ2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40" s="3" t="e">
        <f ca="1">_xll.BDH($C$228,"EBITDA_AFTER_CAPEX","FQ2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40" s="3" t="e">
        <f ca="1">_xll.BDH($C$228,"IS_OPER_INC","FQ2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40" s="2" t="e">
        <f ca="1">_xll.BDH($C$228,"CASH_RATIO","FQ2 2016","FQ2 2016","Currency=INR","Period=FQ","BEST_FPERIOD_OVERRIDE=FQ","FILING_STATUS=OR","EQY_CONSOLIDATED=Y","Sort=A","Dates=H","DateFormat=P","Fill=—","Direction=H","UseDPDF=Y")</f>
        <v>#NAME?</v>
      </c>
      <c r="CT240" s="2" t="e">
        <f ca="1">_xll.BDH($C$228,"CUR_RATIO","FQ2 2016","FQ2 2016","Currency=INR","Period=FQ","BEST_FPERIOD_OVERRIDE=FQ","FILING_STATUS=OR","EQY_CONSOLIDATED=Y","Sort=A","Dates=H","DateFormat=P","Fill=—","Direction=H","UseDPDF=Y")</f>
        <v>#NAME?</v>
      </c>
      <c r="CU240" s="2" t="e">
        <f ca="1">_xll.BDH($C$228,"QUICK_RATIO","FQ2 2016","FQ2 2016","Currency=INR","Period=FQ","BEST_FPERIOD_OVERRIDE=FQ","FILING_STATUS=OR","EQY_CONSOLIDATED=Y","Sort=A","Dates=H","DateFormat=P","Fill=—","Direction=H","UseDPDF=Y")</f>
        <v>#NAME?</v>
      </c>
      <c r="CV240" s="2" t="e">
        <f ca="1">_xll.BDH($C$228,"ALTMAN_Z_SCORE","FQ2 2016","FQ2 2016","Currency=INR","Period=FQ","BEST_FPERIOD_OVERRIDE=FQ","FILING_STATUS=OR","EQY_CONSOLIDATED=Y","Sort=A","Dates=H","DateFormat=P","Fill=—","Direction=H","UseDPDF=Y")</f>
        <v>#NAME?</v>
      </c>
      <c r="CW240" s="4" t="e">
        <f ca="1">_xll.BDH($C$228,"ACCT_RCV_TURN","FQ2 2016","FQ2 2016","Currency=INR","Period=FQ","BEST_FPERIOD_OVERRIDE=FQ","FILING_STATUS=OR","EQY_CONSOLIDATED=Y","FA_ADJUSTED=GAAP","Sort=A","Dates=H","DateFormat=P","Fill=—","Direction=H","UseDPDF=Y")</f>
        <v>#NAME?</v>
      </c>
      <c r="CX240" s="2" t="e">
        <f ca="1">_xll.BDH($C$228,"ACCT_RCV_DAYS","FQ2 2016","FQ2 2016","Currency=INR","Period=FQ","BEST_FPERIOD_OVERRIDE=FQ","FILING_STATUS=OR","EQY_CONSOLIDATED=Y","FA_ADJUSTED=GAAP","Sort=A","Dates=H","DateFormat=P","Fill=—","Direction=H","UseDPDF=Y")</f>
        <v>#NAME?</v>
      </c>
      <c r="CY240" s="4" t="e">
        <f ca="1">_xll.BDH($C$228,"INVENT_TURN","FQ2 2016","FQ2 2016","Currency=INR","Period=FQ","BEST_FPERIOD_OVERRIDE=FQ","FILING_STATUS=OR","EQY_CONSOLIDATED=Y","FA_ADJUSTED=GAAP","Sort=A","Dates=H","DateFormat=P","Fill=—","Direction=H","UseDPDF=Y")</f>
        <v>#NAME?</v>
      </c>
      <c r="CZ240" s="2" t="e">
        <f ca="1">_xll.BDH($C$228,"INVENT_DAYS","FQ2 2016","FQ2 2016","Currency=INR","Period=FQ","BEST_FPERIOD_OVERRIDE=FQ","FILING_STATUS=OR","EQY_CONSOLIDATED=Y","FA_ADJUSTED=GAAP","Sort=A","Dates=H","DateFormat=P","Fill=—","Direction=H","UseDPDF=Y")</f>
        <v>#NAME?</v>
      </c>
      <c r="DA240" s="4" t="e">
        <f ca="1">_xll.BDH($C$228,"ACCOUNTS_PAYABLE_TURNOVER","FQ2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40" s="2" t="e">
        <f ca="1">_xll.BDH($C$228,"ACCOUNTS_PAYABLE_TURNOVER_DAYS","FQ2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40" s="4" t="e">
        <f ca="1">_xll.BDH($C$228,"CASH_CONVERSION_CYCLE","FQ2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40" s="4" t="e">
        <f ca="1">_xll.BDH($C$228,"INV_TO_CASH_DAYS","FQ2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40" s="5" t="e">
        <f ca="1">_xll.BDH($C$228,"BS_INVENTORIES","FQ2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40" s="3" t="e">
        <f ca="1">_xll.BDH($C$228,"INVTRY_RAW_MATERIALS","FQ2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40" s="3" t="e">
        <f ca="1">_xll.BDH($C$228,"INVTRY_IN_PROGRESS","FQ2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40" s="3" t="e">
        <f ca="1">_xll.BDH($C$228,"INVTRY_FINISHED_GOODS","FQ2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40" s="3" t="e">
        <f ca="1">_xll.BDH($C$228,"BS_OTHER_INV","FQ2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41" spans="1:113" x14ac:dyDescent="0.3">
      <c r="A241" s="6"/>
      <c r="B241" s="6"/>
      <c r="C241" s="6"/>
      <c r="D241" s="6"/>
      <c r="E241" t="s">
        <v>80</v>
      </c>
      <c r="F241" t="e">
        <f ca="1">_xll.BDH($C$228,"RETURN_COM_EQY","FQ3 2016","FQ3 2016","Currency=INR","Period=FQ","BEST_FPERIOD_OVERRIDE=FQ","FILING_STATUS=OR","EQY_CONSOLIDATED=Y","FA_ADJUSTED=GAAP","Sort=A","Dates=H","DateFormat=P","Fill=—","Direction=H","UseDPDF=Y")</f>
        <v>#NAME?</v>
      </c>
      <c r="G241" t="e">
        <f ca="1">_xll.BDH($C$228,"RETURN_ON_ASSET","FQ3 2016","FQ3 2016","Currency=INR","Period=FQ","BEST_FPERIOD_OVERRIDE=FQ","FILING_STATUS=OR","EQY_CONSOLIDATED=Y","FA_ADJUSTED=GAAP","Sort=A","Dates=H","DateFormat=P","Fill=—","Direction=H","UseDPDF=Y")</f>
        <v>#NAME?</v>
      </c>
      <c r="H241" t="e">
        <f ca="1">_xll.BDH($C$228,"RETURN_ON_CAP","FQ3 2016","FQ3 2016","Currency=INR","Period=FQ","BEST_FPERIOD_OVERRIDE=FQ","FILING_STATUS=OR","EQY_CONSOLIDATED=Y","FA_ADJUSTED=GAAP","Sort=A","Dates=H","DateFormat=P","Fill=—","Direction=H","UseDPDF=Y")</f>
        <v>#NAME?</v>
      </c>
      <c r="I241" t="e">
        <f ca="1">_xll.BDH($C$228,"RETURN_ON_INV_CAPITAL","FQ3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41" t="e">
        <f ca="1">_xll.BDH($C$228,"EBITDA_TO_REVENUE","FQ3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41" t="e">
        <f ca="1">_xll.BDH($C$228,"OPER_MARGIN","FQ3 2016","FQ3 2016","Currency=INR","Period=FQ","BEST_FPERIOD_OVERRIDE=FQ","FILING_STATUS=OR","EQY_CONSOLIDATED=Y","FA_ADJUSTED=GAAP","Sort=A","Dates=H","DateFormat=P","Fill=—","Direction=H","UseDPDF=Y")</f>
        <v>#NAME?</v>
      </c>
      <c r="L241" t="e">
        <f ca="1">_xll.BDH($C$228,"INCREMENTAL_OPERATING_MARGIN","FQ3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41" t="e">
        <f ca="1">_xll.BDH($C$228,"PRETAX_INC_TO_NET_SALES","FQ3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41" t="e">
        <f ca="1">_xll.BDH($C$228,"INC_BEF_XO_ITEMS_TO_NET_SALES","FQ3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41" t="e">
        <f ca="1">_xll.BDH($C$228,"PROF_MARGIN","FQ3 2016","FQ3 2016","Currency=INR","Period=FQ","BEST_FPERIOD_OVERRIDE=FQ","FILING_STATUS=OR","EQY_CONSOLIDATED=Y","FA_ADJUSTED=GAAP","Sort=A","Dates=H","DateFormat=P","Fill=—","Direction=H","UseDPDF=Y")</f>
        <v>#NAME?</v>
      </c>
      <c r="P241" t="e">
        <f ca="1">_xll.BDH($C$228,"NET_INCOME_TO_COMMON_MARGIN","FQ3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41" t="e">
        <f ca="1">_xll.BDH($C$228,"EFF_TAX_RATE","FQ3 2016","FQ3 2016","Currency=INR","Period=FQ","BEST_FPERIOD_OVERRIDE=FQ","FILING_STATUS=OR","EQY_CONSOLIDATED=Y","FA_ADJUSTED=GAAP","Sort=A","Dates=H","DateFormat=P","Fill=—","Direction=H","UseDPDF=Y")</f>
        <v>#NAME?</v>
      </c>
      <c r="R241" t="e">
        <f ca="1">_xll.BDH($C$228,"DVD_PAYOUT_RATIO","FQ3 2016","FQ3 2016","Currency=INR","Period=FQ","BEST_FPERIOD_OVERRIDE=FQ","FILING_STATUS=OR","EQY_CONSOLIDATED=Y","FA_ADJUSTED=GAAP","Sort=A","Dates=H","DateFormat=P","Fill=—","Direction=H","UseDPDF=Y")</f>
        <v>#NAME?</v>
      </c>
      <c r="S241" t="e">
        <f ca="1">_xll.BDH($C$228,"SUSTAIN_GROWTH_RT","FQ3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41" s="2" t="e">
        <f ca="1">_xll.BDH($C$228,"SALES_GROWTH","FQ3 2016","FQ3 2016","Currency=INR","Period=FQ","BEST_FPERIOD_OVERRIDE=FQ","FILING_STATUS=OR","EQY_CONSOLIDATED=Y","FA_ADJUSTED=GAAP","Sort=A","Dates=H","DateFormat=P","Fill=—","Direction=H","UseDPDF=Y")</f>
        <v>#NAME?</v>
      </c>
      <c r="U241" s="2" t="e">
        <f ca="1">_xll.BDH($C$228,"EBITDA_GROWTH","FQ3 2016","FQ3 2016","Currency=INR","Period=FQ","BEST_FPERIOD_OVERRIDE=FQ","FILING_STATUS=OR","EQY_CONSOLIDATED=Y","FA_ADJUSTED=GAAP","Sort=A","Dates=H","DateFormat=P","Fill=—","Direction=H","UseDPDF=Y")</f>
        <v>#NAME?</v>
      </c>
      <c r="V241" s="2" t="e">
        <f ca="1">_xll.BDH($C$228,"OPER_INC_GROWTH","FQ3 2016","FQ3 2016","Currency=INR","Period=FQ","BEST_FPERIOD_OVERRIDE=FQ","FILING_STATUS=OR","EQY_CONSOLIDATED=Y","FA_ADJUSTED=GAAP","Sort=A","Dates=H","DateFormat=P","Fill=—","Direction=H","UseDPDF=Y")</f>
        <v>#NAME?</v>
      </c>
      <c r="W241" s="2" t="e">
        <f ca="1">_xll.BDH($C$228,"EARN_FOR_COM_GROWTH","FQ3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41" s="2" t="e">
        <f ca="1">_xll.BDH($C$228,"DILUTED_EPS_AFT_XO_ITEMS_GROWTH","FQ3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41" s="2" t="e">
        <f ca="1">_xll.BDH($C$228,"DIVIDEND_PER_SHARE_1_YEAR_GROWTH","FQ3 2016","FQ3 2016","Currency=INR","Period=FQ","BEST_FPERIOD_OVERRIDE=FQ","FILING_STATUS=OR","EQY_CONSOLIDATED=Y","Sort=A","Dates=H","DateFormat=P","Fill=—","Direction=H","UseDPDF=Y")</f>
        <v>#NAME?</v>
      </c>
      <c r="Z241" s="2" t="e">
        <f ca="1">_xll.BDH($C$228,"ACCOUNTS_RECEIVABLE_GROWTH","FQ3 2016","FQ3 2016","Currency=INR","Period=FQ","BEST_FPERIOD_OVERRIDE=FQ","FILING_STATUS=OR","EQY_CONSOLIDATED=Y","Sort=A","Dates=H","DateFormat=P","Fill=—","Direction=H","UseDPDF=Y")</f>
        <v>#NAME?</v>
      </c>
      <c r="AA241" s="2" t="e">
        <f ca="1">_xll.BDH($C$228,"INVENTORY_GROWTH","FQ3 2016","FQ3 2016","Currency=INR","Period=FQ","BEST_FPERIOD_OVERRIDE=FQ","FILING_STATUS=OR","EQY_CONSOLIDATED=Y","Sort=A","Dates=H","DateFormat=P","Fill=—","Direction=H","UseDPDF=Y")</f>
        <v>#NAME?</v>
      </c>
      <c r="AB241" s="2" t="e">
        <f ca="1">_xll.BDH($C$228,"NET_FIXED_ASSETS_1_YEAR_GROWTH","FQ3 2016","FQ3 2016","Currency=INR","Period=FQ","BEST_FPERIOD_OVERRIDE=FQ","FILING_STATUS=OR","EQY_CONSOLIDATED=Y","Sort=A","Dates=H","DateFormat=P","Fill=—","Direction=H","UseDPDF=Y")</f>
        <v>#NAME?</v>
      </c>
      <c r="AC241" s="2" t="e">
        <f ca="1">_xll.BDH($C$228,"ASSET_GROWTH","FQ3 2016","FQ3 2016","Currency=INR","Period=FQ","BEST_FPERIOD_OVERRIDE=FQ","FILING_STATUS=OR","EQY_CONSOLIDATED=Y","Sort=A","Dates=H","DateFormat=P","Fill=—","Direction=H","UseDPDF=Y")</f>
        <v>#NAME?</v>
      </c>
      <c r="AD241" s="2" t="e">
        <f ca="1">_xll.BDH($C$228,"MODIFIED_WORK_CAP_GROWTH","FQ3 2016","FQ3 2016","Currency=INR","Period=FQ","BEST_FPERIOD_OVERRIDE=FQ","FILING_STATUS=OR","EQY_CONSOLIDATED=Y","Sort=A","Dates=H","DateFormat=P","Fill=—","Direction=H","UseDPDF=Y")</f>
        <v>#NAME?</v>
      </c>
      <c r="AE241" s="2" t="e">
        <f ca="1">_xll.BDH($C$228,"WORK_CAP_GROWTH","FQ3 2016","FQ3 2016","Currency=INR","Period=FQ","BEST_FPERIOD_OVERRIDE=FQ","FILING_STATUS=OR","EQY_CONSOLIDATED=Y","Sort=A","Dates=H","DateFormat=P","Fill=—","Direction=H","UseDPDF=Y")</f>
        <v>#NAME?</v>
      </c>
      <c r="AF241" s="2" t="e">
        <f ca="1">_xll.BDH($C$228,"ACCOUNTS_PAYABLE_GROWTH_1YR","FQ3 2016","FQ3 2016","Currency=INR","Period=FQ","BEST_FPERIOD_OVERRIDE=FQ","FILING_STATUS=OR","EQY_CONSOLIDATED=Y","Sort=A","Dates=H","DateFormat=P","Fill=—","Direction=H","UseDPDF=Y")</f>
        <v>#NAME?</v>
      </c>
      <c r="AG241" s="2" t="e">
        <f ca="1">_xll.BDH($C$228,"SHORT_TERM_DEBT_1_YEAR_GROWTH","FQ3 2016","FQ3 2016","Currency=INR","Period=FQ","BEST_FPERIOD_OVERRIDE=FQ","FILING_STATUS=OR","EQY_CONSOLIDATED=Y","Sort=A","Dates=H","DateFormat=P","Fill=—","Direction=H","UseDPDF=Y")</f>
        <v>#NAME?</v>
      </c>
      <c r="AH241" s="2" t="e">
        <f ca="1">_xll.BDH($C$228,"TOTAL_DEBT_1_YEAR_GROWTH","FQ3 2016","FQ3 2016","Currency=INR","Period=FQ","BEST_FPERIOD_OVERRIDE=FQ","FILING_STATUS=OR","EQY_CONSOLIDATED=Y","Sort=A","Dates=H","DateFormat=P","Fill=—","Direction=H","UseDPDF=Y")</f>
        <v>#NAME?</v>
      </c>
      <c r="AI241" s="2" t="e">
        <f ca="1">_xll.BDH($C$228,"TOTAL_EQUITY_1_YEAR_GROWTH","FQ3 2016","FQ3 2016","Currency=INR","Period=FQ","BEST_FPERIOD_OVERRIDE=FQ","FILING_STATUS=OR","EQY_CONSOLIDATED=Y","Sort=A","Dates=H","DateFormat=P","Fill=—","Direction=H","UseDPDF=Y")</f>
        <v>#NAME?</v>
      </c>
      <c r="AJ241" s="2" t="e">
        <f ca="1">_xll.BDH($C$228,"GROWTH_IN_CAP","FQ3 2016","FQ3 2016","Currency=INR","Period=FQ","BEST_FPERIOD_OVERRIDE=FQ","FILING_STATUS=OR","EQY_CONSOLIDATED=Y","Sort=A","Dates=H","DateFormat=P","Fill=—","Direction=H","UseDPDF=Y")</f>
        <v>#NAME?</v>
      </c>
      <c r="AK241" s="2" t="e">
        <f ca="1">_xll.BDH($C$228,"BVPS_GROWTH","FQ3 2016","FQ3 2016","Currency=INR","Period=FQ","BEST_FPERIOD_OVERRIDE=FQ","FILING_STATUS=OR","EQY_CONSOLIDATED=Y","Sort=A","Dates=H","DateFormat=P","Fill=—","Direction=H","UseDPDF=Y")</f>
        <v>#NAME?</v>
      </c>
      <c r="AL241" s="2" t="e">
        <f ca="1">_xll.BDH($C$228,"CASH_FLOW_GROWTH","FQ3 2016","FQ3 2016","Currency=INR","Period=FQ","BEST_FPERIOD_OVERRIDE=FQ","FILING_STATUS=OR","EQY_CONSOLIDATED=Y","Sort=A","Dates=H","DateFormat=P","Fill=—","Direction=H","UseDPDF=Y")</f>
        <v>#NAME?</v>
      </c>
      <c r="AM241" s="2" t="e">
        <f ca="1">_xll.BDH($C$228,"GEO_GROW_NET_SALES","FQ3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41" s="2" t="e">
        <f ca="1">_xll.BDH($C$228,"GEO_GROW_EBITDA","FQ3 2016","FQ3 2016","Currency=INR","Period=FQ","BEST_FPERIOD_OVERRIDE=FQ","FILING_STATUS=OR","EQY_CONSOLIDATED=Y","FA_ADJUSTED=GAAP","Sort=A","Dates=H","DateFormat=P","Fill=—","Direction=H","UseDPDF=Y")</f>
        <v>#NAME?</v>
      </c>
      <c r="AO241" s="2" t="e">
        <f ca="1">_xll.BDH($C$228,"GEO_GROW_OPER_INC","FQ3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41" s="2" t="e">
        <f ca="1">_xll.BDH($C$228,"NET_INCOME_TO_COMMON_5_YR_GROWTH","FQ3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41" s="2" t="e">
        <f ca="1">_xll.BDH($C$228,"5Y_GEO_GROWTH_DILUTED_EPS","FQ3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41" s="2" t="e">
        <f ca="1">_xll.BDH($C$228,"GEO_GROW_DVD_PER_SH","FQ3 2016","FQ3 2016","Currency=INR","Period=FQ","BEST_FPERIOD_OVERRIDE=FQ","FILING_STATUS=OR","EQY_CONSOLIDATED=Y","Sort=A","Dates=H","DateFormat=P","Fill=—","Direction=H","UseDPDF=Y")</f>
        <v>#NAME?</v>
      </c>
      <c r="AS241" s="2" t="e">
        <f ca="1">_xll.BDH($C$228,"ACCOUNTS_RECEIVABLE_5_YR_GROWTH","FQ3 2016","FQ3 2016","Currency=INR","Period=FQ","BEST_FPERIOD_OVERRIDE=FQ","FILING_STATUS=OR","EQY_CONSOLIDATED=Y","Sort=A","Dates=H","DateFormat=P","Fill=—","Direction=H","UseDPDF=Y")</f>
        <v>#NAME?</v>
      </c>
      <c r="AT241" s="2" t="e">
        <f ca="1">_xll.BDH($C$228,"INVENTORY_5_YEAR_GROWTH","FQ3 2016","FQ3 2016","Currency=INR","Period=FQ","BEST_FPERIOD_OVERRIDE=FQ","FILING_STATUS=OR","EQY_CONSOLIDATED=Y","Sort=A","Dates=H","DateFormat=P","Fill=—","Direction=H","UseDPDF=Y")</f>
        <v>#NAME?</v>
      </c>
      <c r="AU241" s="2" t="e">
        <f ca="1">_xll.BDH($C$228,"NET_FIXED_ASSETS_5_YEAR_GROWTH","FQ3 2016","FQ3 2016","Currency=INR","Period=FQ","BEST_FPERIOD_OVERRIDE=FQ","FILING_STATUS=OR","EQY_CONSOLIDATED=Y","Sort=A","Dates=H","DateFormat=P","Fill=—","Direction=H","UseDPDF=Y")</f>
        <v>#NAME?</v>
      </c>
      <c r="AV241" s="2" t="e">
        <f ca="1">_xll.BDH($C$228,"GEO_GROW_TOT_ASSET","FQ3 2016","FQ3 2016","Currency=INR","Period=FQ","BEST_FPERIOD_OVERRIDE=FQ","FILING_STATUS=OR","EQY_CONSOLIDATED=Y","Sort=A","Dates=H","DateFormat=P","Fill=—","Direction=H","UseDPDF=Y")</f>
        <v>#NAME?</v>
      </c>
      <c r="AW241" s="2" t="e">
        <f ca="1">_xll.BDH($C$228,"MODIFIED_WORKING_CPTL_5YR_GRWTH","FQ3 2016","FQ3 2016","Currency=INR","Period=FQ","BEST_FPERIOD_OVERRIDE=FQ","FILING_STATUS=OR","EQY_CONSOLIDATED=Y","Sort=A","Dates=H","DateFormat=P","Fill=—","Direction=H","UseDPDF=Y")</f>
        <v>#NAME?</v>
      </c>
      <c r="AX241" s="2" t="e">
        <f ca="1">_xll.BDH($C$228,"WORKING_CAPITAL_5_YEAR_GROWTH","FQ3 2016","FQ3 2016","Currency=INR","Period=FQ","BEST_FPERIOD_OVERRIDE=FQ","FILING_STATUS=OR","EQY_CONSOLIDATED=Y","Sort=A","Dates=H","DateFormat=P","Fill=—","Direction=H","UseDPDF=Y")</f>
        <v>#NAME?</v>
      </c>
      <c r="AY241" s="2" t="e">
        <f ca="1">_xll.BDH($C$228,"ACCOUNTS_PAYABLE_5_YEAR_GROWTH","FQ3 2016","FQ3 2016","Currency=INR","Period=FQ","BEST_FPERIOD_OVERRIDE=FQ","FILING_STATUS=OR","EQY_CONSOLIDATED=Y","Sort=A","Dates=H","DateFormat=P","Fill=—","Direction=H","UseDPDF=Y")</f>
        <v>#NAME?</v>
      </c>
      <c r="AZ241" s="2" t="e">
        <f ca="1">_xll.BDH($C$228,"SHORT_TERM_DEBT_5_YEAR_GROWTH","FQ3 2016","FQ3 2016","Currency=INR","Period=FQ","BEST_FPERIOD_OVERRIDE=FQ","FILING_STATUS=OR","EQY_CONSOLIDATED=Y","Sort=A","Dates=H","DateFormat=P","Fill=—","Direction=H","UseDPDF=Y")</f>
        <v>#NAME?</v>
      </c>
      <c r="BA241" s="2" t="e">
        <f ca="1">_xll.BDH($C$228,"TOTAL_DEBT_5_YEAR_GROWTH","FQ3 2016","FQ3 2016","Currency=INR","Period=FQ","BEST_FPERIOD_OVERRIDE=FQ","FILING_STATUS=OR","EQY_CONSOLIDATED=Y","Sort=A","Dates=H","DateFormat=P","Fill=—","Direction=H","UseDPDF=Y")</f>
        <v>#NAME?</v>
      </c>
      <c r="BB241" s="2" t="e">
        <f ca="1">_xll.BDH($C$228,"GEO_GROW_TOT_SHRHLDR_EQY","FQ3 2016","FQ3 2016","Currency=INR","Period=FQ","BEST_FPERIOD_OVERRIDE=FQ","FILING_STATUS=OR","EQY_CONSOLIDATED=Y","Sort=A","Dates=H","DateFormat=P","Fill=—","Direction=H","UseDPDF=Y")</f>
        <v>#NAME?</v>
      </c>
      <c r="BC241" s="2" t="e">
        <f ca="1">_xll.BDH($C$228,"TOTAL_CAPITAL_5_YEAR_GROWTH","FQ3 2016","FQ3 2016","Currency=INR","Period=FQ","BEST_FPERIOD_OVERRIDE=FQ","FILING_STATUS=OR","EQY_CONSOLIDATED=Y","Sort=A","Dates=H","DateFormat=P","Fill=—","Direction=H","UseDPDF=Y")</f>
        <v>#NAME?</v>
      </c>
      <c r="BD241" s="2" t="e">
        <f ca="1">_xll.BDH($C$228,"GEO_GROW_BOOK_VAL","FQ3 2016","FQ3 2016","Currency=INR","Period=FQ","BEST_FPERIOD_OVERRIDE=FQ","FILING_STATUS=OR","EQY_CONSOLIDATED=Y","Sort=A","Dates=H","DateFormat=P","Fill=—","Direction=H","UseDPDF=Y")</f>
        <v>#NAME?</v>
      </c>
      <c r="BE241" s="2" t="e">
        <f ca="1">_xll.BDH($C$228,"GEO_GROW_CASH_OPER_ACT","FQ3 2016","FQ3 2016","Currency=INR","Period=FQ","BEST_FPERIOD_OVERRIDE=FQ","FILING_STATUS=OR","EQY_CONSOLIDATED=Y","Sort=A","Dates=H","DateFormat=P","Fill=—","Direction=H","UseDPDF=Y")</f>
        <v>#NAME?</v>
      </c>
      <c r="BF241" s="2" t="e">
        <f ca="1">_xll.BDH($C$228,"REVENUE_SEQUENTIAL_GROWTH","FQ3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41" s="2" t="e">
        <f ca="1">_xll.BDH($C$228,"EBITDA_SEQUENTIAL_GROWTH","FQ3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41" s="2" t="e">
        <f ca="1">_xll.BDH($C$228,"OPERATING_INCOME_SEQ_GROWTH","FQ3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41" s="2" t="e">
        <f ca="1">_xll.BDH($C$228,"NET_INCOME_TO_COMMON_SEQ_GROWTH","FQ3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41" s="2" t="e">
        <f ca="1">_xll.BDH($C$228,"EPS_DILUTED_SEQUENTIAL_GROWTH","FQ3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41" s="2" t="e">
        <f ca="1">_xll.BDH($C$228,"DPS_SEQUENTIAL_GROWTH","FQ3 2016","FQ3 2016","Currency=INR","Period=FQ","BEST_FPERIOD_OVERRIDE=FQ","FILING_STATUS=OR","EQY_CONSOLIDATED=Y","Sort=A","Dates=H","DateFormat=P","Fill=—","Direction=H","UseDPDF=Y")</f>
        <v>#NAME?</v>
      </c>
      <c r="BL241" s="2" t="e">
        <f ca="1">_xll.BDH($C$228,"ACCOUNTS_RECEIVABLE_SEQ_GROWTH","FQ3 2016","FQ3 2016","Currency=INR","Period=FQ","BEST_FPERIOD_OVERRIDE=FQ","FILING_STATUS=OR","EQY_CONSOLIDATED=Y","Sort=A","Dates=H","DateFormat=P","Fill=—","Direction=H","UseDPDF=Y")</f>
        <v>#NAME?</v>
      </c>
      <c r="BM241" s="2" t="e">
        <f ca="1">_xll.BDH($C$228,"INVENTORY_SEQUENTIAL_GROWTH","FQ3 2016","FQ3 2016","Currency=INR","Period=FQ","BEST_FPERIOD_OVERRIDE=FQ","FILING_STATUS=OR","EQY_CONSOLIDATED=Y","Sort=A","Dates=H","DateFormat=P","Fill=—","Direction=H","UseDPDF=Y")</f>
        <v>#NAME?</v>
      </c>
      <c r="BN241" s="2" t="e">
        <f ca="1">_xll.BDH($C$228,"FIXED_ASSETS_SEQUENTIAL_GROWTH","FQ3 2016","FQ3 2016","Currency=INR","Period=FQ","BEST_FPERIOD_OVERRIDE=FQ","FILING_STATUS=OR","EQY_CONSOLIDATED=Y","Sort=A","Dates=H","DateFormat=P","Fill=—","Direction=H","UseDPDF=Y")</f>
        <v>#NAME?</v>
      </c>
      <c r="BO241" s="2" t="e">
        <f ca="1">_xll.BDH($C$228,"TOTAL_ASSETS_SEQUENTIAL_GROWTH","FQ3 2016","FQ3 2016","Currency=INR","Period=FQ","BEST_FPERIOD_OVERRIDE=FQ","FILING_STATUS=OR","EQY_CONSOLIDATED=Y","Sort=A","Dates=H","DateFormat=P","Fill=—","Direction=H","UseDPDF=Y")</f>
        <v>#NAME?</v>
      </c>
      <c r="BP241" s="2" t="e">
        <f ca="1">_xll.BDH($C$228,"MODIFIED_WORKING_CPTL_SEQ_GRWTH","FQ3 2016","FQ3 2016","Currency=INR","Period=FQ","BEST_FPERIOD_OVERRIDE=FQ","FILING_STATUS=OR","EQY_CONSOLIDATED=Y","Sort=A","Dates=H","DateFormat=P","Fill=—","Direction=H","UseDPDF=Y")</f>
        <v>#NAME?</v>
      </c>
      <c r="BQ241" s="2" t="e">
        <f ca="1">_xll.BDH($C$228,"WORKING_CAPITAL_SEQ_GROWTH","FQ3 2016","FQ3 2016","Currency=INR","Period=FQ","BEST_FPERIOD_OVERRIDE=FQ","FILING_STATUS=OR","EQY_CONSOLIDATED=Y","Sort=A","Dates=H","DateFormat=P","Fill=—","Direction=H","UseDPDF=Y")</f>
        <v>#NAME?</v>
      </c>
      <c r="BR241" s="2" t="e">
        <f ca="1">_xll.BDH($C$228,"ACCOUNTS_PAYABLE_SEQ_GROWTH","FQ3 2016","FQ3 2016","Currency=INR","Period=FQ","BEST_FPERIOD_OVERRIDE=FQ","FILING_STATUS=OR","EQY_CONSOLIDATED=Y","Sort=A","Dates=H","DateFormat=P","Fill=—","Direction=H","UseDPDF=Y")</f>
        <v>#NAME?</v>
      </c>
      <c r="BS241" s="2" t="e">
        <f ca="1">_xll.BDH($C$228,"ST_DEBT_SEQUENTIAL_GROWTH","FQ3 2016","FQ3 2016","Currency=INR","Period=FQ","BEST_FPERIOD_OVERRIDE=FQ","FILING_STATUS=OR","EQY_CONSOLIDATED=Y","Sort=A","Dates=H","DateFormat=P","Fill=—","Direction=H","UseDPDF=Y")</f>
        <v>#NAME?</v>
      </c>
      <c r="BT241" s="2" t="e">
        <f ca="1">_xll.BDH($C$228,"TOTAL_DEBT_SEQUENTIAL_GROWTH","FQ3 2016","FQ3 2016","Currency=INR","Period=FQ","BEST_FPERIOD_OVERRIDE=FQ","FILING_STATUS=OR","EQY_CONSOLIDATED=Y","Sort=A","Dates=H","DateFormat=P","Fill=—","Direction=H","UseDPDF=Y")</f>
        <v>#NAME?</v>
      </c>
      <c r="BU241" s="2" t="e">
        <f ca="1">_xll.BDH($C$228,"TOTAL_EQUITY_SEQUENTIAL_GROWTH","FQ3 2016","FQ3 2016","Currency=INR","Period=FQ","BEST_FPERIOD_OVERRIDE=FQ","FILING_STATUS=OR","EQY_CONSOLIDATED=Y","Sort=A","Dates=H","DateFormat=P","Fill=—","Direction=H","UseDPDF=Y")</f>
        <v>#NAME?</v>
      </c>
      <c r="BV241" s="2" t="e">
        <f ca="1">_xll.BDH($C$228,"TOTAL_CAPITAL_SEQUENTIAL_GROWTH","FQ3 2016","FQ3 2016","Currency=INR","Period=FQ","BEST_FPERIOD_OVERRIDE=FQ","FILING_STATUS=OR","EQY_CONSOLIDATED=Y","Sort=A","Dates=H","DateFormat=P","Fill=—","Direction=H","UseDPDF=Y")</f>
        <v>#NAME?</v>
      </c>
      <c r="BW241" s="2" t="e">
        <f ca="1">_xll.BDH($C$228,"BPS_SEQUENTIAL_GROWTH","FQ3 2016","FQ3 2016","Currency=INR","Period=FQ","BEST_FPERIOD_OVERRIDE=FQ","FILING_STATUS=OR","EQY_CONSOLIDATED=Y","Sort=A","Dates=H","DateFormat=P","Fill=—","Direction=H","UseDPDF=Y")</f>
        <v>#NAME?</v>
      </c>
      <c r="BX241" s="2" t="e">
        <f ca="1">_xll.BDH($C$228,"CFO_SEQUENTIAL_GROWTH","FQ3 2016","FQ3 2016","Currency=INR","Period=FQ","BEST_FPERIOD_OVERRIDE=FQ","FILING_STATUS=OR","EQY_CONSOLIDATED=Y","Sort=A","Dates=H","DateFormat=P","Fill=—","Direction=H","UseDPDF=Y")</f>
        <v>#NAME?</v>
      </c>
      <c r="BY241" s="3" t="e">
        <f ca="1">_xll.BDH($C$228,"SHORT_AND_LONG_TERM_DEBT","FQ3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41" s="3" t="e">
        <f ca="1">_xll.BDH($C$228,"BS_ST_BORROW","FQ3 2016","FQ3 2016","Currency=INR","Period=FQ","BEST_FPERIOD_OVERRIDE=FQ","FILING_STATUS=OR","EQY_CONSOLIDATED=Y","SCALING_FORMAT=MLN","Sort=A","Dates=H","DateFormat=P","Fill=—","Direction=H","UseDPDF=Y")</f>
        <v>#NAME?</v>
      </c>
      <c r="CA241" s="3" t="e">
        <f ca="1">_xll.BDH($C$228,"BS_LT_BORROW","FQ3 2016","FQ3 2016","Currency=INR","Period=FQ","BEST_FPERIOD_OVERRIDE=FQ","FILING_STATUS=OR","EQY_CONSOLIDATED=Y","SCALING_FORMAT=MLN","Sort=A","Dates=H","DateFormat=P","Fill=—","Direction=H","UseDPDF=Y")</f>
        <v>#NAME?</v>
      </c>
      <c r="CB241" s="2" t="e">
        <f ca="1">_xll.BDH($C$228,"TOT_DEBT_TO_EBITDA","FQ3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41" s="2" t="e">
        <f ca="1">_xll.BDH($C$228,"NET_DEBT_TO_EBITDA","FQ3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41" s="2" t="e">
        <f ca="1">_xll.BDH($C$228,"TOTAL_DEBT_TO_EBIT","FQ3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41" s="2" t="e">
        <f ca="1">_xll.BDH($C$228,"NET_DEBT_TO_EBIT","FQ3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41" s="2" t="e">
        <f ca="1">_xll.BDH($C$228,"EBITDA_TO_INTEREST_EXPN","FQ3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41" s="2" t="e">
        <f ca="1">_xll.BDH($C$228,"COM_EQY_TO_TOT_ASSET","FQ3 2016","FQ3 2016","Currency=INR","Period=FQ","BEST_FPERIOD_OVERRIDE=FQ","FILING_STATUS=OR","EQY_CONSOLIDATED=Y","Sort=A","Dates=H","DateFormat=P","Fill=—","Direction=H","UseDPDF=Y")</f>
        <v>#NAME?</v>
      </c>
      <c r="CH241" s="2" t="e">
        <f ca="1">_xll.BDH($C$228,"LT_DEBT_TO_TOT_EQY","FQ3 2016","FQ3 2016","Currency=INR","Period=FQ","BEST_FPERIOD_OVERRIDE=FQ","FILING_STATUS=OR","EQY_CONSOLIDATED=Y","Sort=A","Dates=H","DateFormat=P","Fill=—","Direction=H","UseDPDF=Y")</f>
        <v>#NAME?</v>
      </c>
      <c r="CI241" s="2" t="e">
        <f ca="1">_xll.BDH($C$228,"LT_DEBT_TO_TOT_CAP","FQ3 2016","FQ3 2016","Currency=INR","Period=FQ","BEST_FPERIOD_OVERRIDE=FQ","FILING_STATUS=OR","EQY_CONSOLIDATED=Y","Sort=A","Dates=H","DateFormat=P","Fill=—","Direction=H","UseDPDF=Y")</f>
        <v>#NAME?</v>
      </c>
      <c r="CJ241" s="2" t="e">
        <f ca="1">_xll.BDH($C$228,"LT_DEBT_TO_TOT_ASSET","FQ3 2016","FQ3 2016","Currency=INR","Period=FQ","BEST_FPERIOD_OVERRIDE=FQ","FILING_STATUS=OR","EQY_CONSOLIDATED=Y","Sort=A","Dates=H","DateFormat=P","Fill=—","Direction=H","UseDPDF=Y")</f>
        <v>#NAME?</v>
      </c>
      <c r="CK241" s="2" t="e">
        <f ca="1">_xll.BDH($C$228,"TOT_DEBT_TO_TOT_EQY","FQ3 2016","FQ3 2016","Currency=INR","Period=FQ","BEST_FPERIOD_OVERRIDE=FQ","FILING_STATUS=OR","EQY_CONSOLIDATED=Y","Sort=A","Dates=H","DateFormat=P","Fill=—","Direction=H","UseDPDF=Y")</f>
        <v>#NAME?</v>
      </c>
      <c r="CL241" s="2" t="e">
        <f ca="1">_xll.BDH($C$228,"TOT_DEBT_TO_TOT_CAP","FQ3 2016","FQ3 2016","Currency=INR","Period=FQ","BEST_FPERIOD_OVERRIDE=FQ","FILING_STATUS=OR","EQY_CONSOLIDATED=Y","Sort=A","Dates=H","DateFormat=P","Fill=—","Direction=H","UseDPDF=Y")</f>
        <v>#NAME?</v>
      </c>
      <c r="CM241" s="2" t="e">
        <f ca="1">_xll.BDH($C$228,"TOT_DEBT_TO_TOT_ASSET","FQ3 2016","FQ3 2016","Currency=INR","Period=FQ","BEST_FPERIOD_OVERRIDE=FQ","FILING_STATUS=OR","EQY_CONSOLIDATED=Y","Sort=A","Dates=H","DateFormat=P","Fill=—","Direction=H","UseDPDF=Y")</f>
        <v>#NAME?</v>
      </c>
      <c r="CN241" s="2" t="e">
        <f ca="1">_xll.BDH($C$228,"NET_DEBT_TO_SHRHLDR_EQTY","FQ3 2016","FQ3 2016","Currency=INR","Period=FQ","BEST_FPERIOD_OVERRIDE=FQ","FILING_STATUS=OR","EQY_CONSOLIDATED=Y","Sort=A","Dates=H","DateFormat=P","Fill=—","Direction=H","UseDPDF=Y")</f>
        <v>#NAME?</v>
      </c>
      <c r="CO241" s="2" t="e">
        <f ca="1">_xll.BDH($C$228,"NET_DEBT_%_CAPITAL","FQ3 2016","FQ3 2016","Currency=INR","Period=FQ","BEST_FPERIOD_OVERRIDE=FQ","FILING_STATUS=OR","EQY_CONSOLIDATED=Y","Sort=A","Dates=H","DateFormat=P","Fill=—","Direction=H","UseDPDF=Y")</f>
        <v>#NAME?</v>
      </c>
      <c r="CP241" s="3" t="e">
        <f ca="1">_xll.BDH($C$228,"EBITDA","FQ3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41" s="3" t="e">
        <f ca="1">_xll.BDH($C$228,"EBITDA_AFTER_CAPEX","FQ3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41" s="3" t="e">
        <f ca="1">_xll.BDH($C$228,"IS_OPER_INC","FQ3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41" s="2" t="e">
        <f ca="1">_xll.BDH($C$228,"CASH_RATIO","FQ3 2016","FQ3 2016","Currency=INR","Period=FQ","BEST_FPERIOD_OVERRIDE=FQ","FILING_STATUS=OR","EQY_CONSOLIDATED=Y","Sort=A","Dates=H","DateFormat=P","Fill=—","Direction=H","UseDPDF=Y")</f>
        <v>#NAME?</v>
      </c>
      <c r="CT241" s="2" t="e">
        <f ca="1">_xll.BDH($C$228,"CUR_RATIO","FQ3 2016","FQ3 2016","Currency=INR","Period=FQ","BEST_FPERIOD_OVERRIDE=FQ","FILING_STATUS=OR","EQY_CONSOLIDATED=Y","Sort=A","Dates=H","DateFormat=P","Fill=—","Direction=H","UseDPDF=Y")</f>
        <v>#NAME?</v>
      </c>
      <c r="CU241" s="2" t="e">
        <f ca="1">_xll.BDH($C$228,"QUICK_RATIO","FQ3 2016","FQ3 2016","Currency=INR","Period=FQ","BEST_FPERIOD_OVERRIDE=FQ","FILING_STATUS=OR","EQY_CONSOLIDATED=Y","Sort=A","Dates=H","DateFormat=P","Fill=—","Direction=H","UseDPDF=Y")</f>
        <v>#NAME?</v>
      </c>
      <c r="CV241" s="2" t="e">
        <f ca="1">_xll.BDH($C$228,"ALTMAN_Z_SCORE","FQ3 2016","FQ3 2016","Currency=INR","Period=FQ","BEST_FPERIOD_OVERRIDE=FQ","FILING_STATUS=OR","EQY_CONSOLIDATED=Y","Sort=A","Dates=H","DateFormat=P","Fill=—","Direction=H","UseDPDF=Y")</f>
        <v>#NAME?</v>
      </c>
      <c r="CW241" s="4" t="e">
        <f ca="1">_xll.BDH($C$228,"ACCT_RCV_TURN","FQ3 2016","FQ3 2016","Currency=INR","Period=FQ","BEST_FPERIOD_OVERRIDE=FQ","FILING_STATUS=OR","EQY_CONSOLIDATED=Y","FA_ADJUSTED=GAAP","Sort=A","Dates=H","DateFormat=P","Fill=—","Direction=H","UseDPDF=Y")</f>
        <v>#NAME?</v>
      </c>
      <c r="CX241" s="2" t="e">
        <f ca="1">_xll.BDH($C$228,"ACCT_RCV_DAYS","FQ3 2016","FQ3 2016","Currency=INR","Period=FQ","BEST_FPERIOD_OVERRIDE=FQ","FILING_STATUS=OR","EQY_CONSOLIDATED=Y","FA_ADJUSTED=GAAP","Sort=A","Dates=H","DateFormat=P","Fill=—","Direction=H","UseDPDF=Y")</f>
        <v>#NAME?</v>
      </c>
      <c r="CY241" s="4" t="e">
        <f ca="1">_xll.BDH($C$228,"INVENT_TURN","FQ3 2016","FQ3 2016","Currency=INR","Period=FQ","BEST_FPERIOD_OVERRIDE=FQ","FILING_STATUS=OR","EQY_CONSOLIDATED=Y","FA_ADJUSTED=GAAP","Sort=A","Dates=H","DateFormat=P","Fill=—","Direction=H","UseDPDF=Y")</f>
        <v>#NAME?</v>
      </c>
      <c r="CZ241" s="2" t="e">
        <f ca="1">_xll.BDH($C$228,"INVENT_DAYS","FQ3 2016","FQ3 2016","Currency=INR","Period=FQ","BEST_FPERIOD_OVERRIDE=FQ","FILING_STATUS=OR","EQY_CONSOLIDATED=Y","FA_ADJUSTED=GAAP","Sort=A","Dates=H","DateFormat=P","Fill=—","Direction=H","UseDPDF=Y")</f>
        <v>#NAME?</v>
      </c>
      <c r="DA241" s="4" t="e">
        <f ca="1">_xll.BDH($C$228,"ACCOUNTS_PAYABLE_TURNOVER","FQ3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41" s="2" t="e">
        <f ca="1">_xll.BDH($C$228,"ACCOUNTS_PAYABLE_TURNOVER_DAYS","FQ3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41" s="4" t="e">
        <f ca="1">_xll.BDH($C$228,"CASH_CONVERSION_CYCLE","FQ3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41" s="4" t="e">
        <f ca="1">_xll.BDH($C$228,"INV_TO_CASH_DAYS","FQ3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41" s="5" t="e">
        <f ca="1">_xll.BDH($C$228,"BS_INVENTORIES","FQ3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41" s="3" t="e">
        <f ca="1">_xll.BDH($C$228,"INVTRY_RAW_MATERIALS","FQ3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41" s="3" t="e">
        <f ca="1">_xll.BDH($C$228,"INVTRY_IN_PROGRESS","FQ3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41" s="3" t="e">
        <f ca="1">_xll.BDH($C$228,"INVTRY_FINISHED_GOODS","FQ3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41" s="3" t="e">
        <f ca="1">_xll.BDH($C$228,"BS_OTHER_INV","FQ3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42" spans="1:113" x14ac:dyDescent="0.3">
      <c r="A242" s="6"/>
      <c r="B242" s="6"/>
      <c r="C242" s="6"/>
      <c r="D242" s="6"/>
      <c r="E242" t="s">
        <v>81</v>
      </c>
      <c r="F242" t="e">
        <f ca="1">_xll.BDH($C$228,"RETURN_COM_EQY","FQ4 2016","FQ4 2016","Currency=INR","Period=FQ","BEST_FPERIOD_OVERRIDE=FQ","FILING_STATUS=OR","EQY_CONSOLIDATED=Y","FA_ADJUSTED=GAAP","Sort=A","Dates=H","DateFormat=P","Fill=—","Direction=H","UseDPDF=Y")</f>
        <v>#NAME?</v>
      </c>
      <c r="G242" t="e">
        <f ca="1">_xll.BDH($C$228,"RETURN_ON_ASSET","FQ4 2016","FQ4 2016","Currency=INR","Period=FQ","BEST_FPERIOD_OVERRIDE=FQ","FILING_STATUS=OR","EQY_CONSOLIDATED=Y","FA_ADJUSTED=GAAP","Sort=A","Dates=H","DateFormat=P","Fill=—","Direction=H","UseDPDF=Y")</f>
        <v>#NAME?</v>
      </c>
      <c r="H242" t="e">
        <f ca="1">_xll.BDH($C$228,"RETURN_ON_CAP","FQ4 2016","FQ4 2016","Currency=INR","Period=FQ","BEST_FPERIOD_OVERRIDE=FQ","FILING_STATUS=OR","EQY_CONSOLIDATED=Y","FA_ADJUSTED=GAAP","Sort=A","Dates=H","DateFormat=P","Fill=—","Direction=H","UseDPDF=Y")</f>
        <v>#NAME?</v>
      </c>
      <c r="I242" t="e">
        <f ca="1">_xll.BDH($C$228,"RETURN_ON_INV_CAPITAL","FQ4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42" t="e">
        <f ca="1">_xll.BDH($C$228,"EBITDA_TO_REVENUE","FQ4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42" t="e">
        <f ca="1">_xll.BDH($C$228,"OPER_MARGIN","FQ4 2016","FQ4 2016","Currency=INR","Period=FQ","BEST_FPERIOD_OVERRIDE=FQ","FILING_STATUS=OR","EQY_CONSOLIDATED=Y","FA_ADJUSTED=GAAP","Sort=A","Dates=H","DateFormat=P","Fill=—","Direction=H","UseDPDF=Y")</f>
        <v>#NAME?</v>
      </c>
      <c r="L242" t="e">
        <f ca="1">_xll.BDH($C$228,"INCREMENTAL_OPERATING_MARGIN","FQ4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42" t="e">
        <f ca="1">_xll.BDH($C$228,"PRETAX_INC_TO_NET_SALES","FQ4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42" t="e">
        <f ca="1">_xll.BDH($C$228,"INC_BEF_XO_ITEMS_TO_NET_SALES","FQ4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42" t="e">
        <f ca="1">_xll.BDH($C$228,"PROF_MARGIN","FQ4 2016","FQ4 2016","Currency=INR","Period=FQ","BEST_FPERIOD_OVERRIDE=FQ","FILING_STATUS=OR","EQY_CONSOLIDATED=Y","FA_ADJUSTED=GAAP","Sort=A","Dates=H","DateFormat=P","Fill=—","Direction=H","UseDPDF=Y")</f>
        <v>#NAME?</v>
      </c>
      <c r="P242" t="e">
        <f ca="1">_xll.BDH($C$228,"NET_INCOME_TO_COMMON_MARGIN","FQ4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42" t="e">
        <f ca="1">_xll.BDH($C$228,"EFF_TAX_RATE","FQ4 2016","FQ4 2016","Currency=INR","Period=FQ","BEST_FPERIOD_OVERRIDE=FQ","FILING_STATUS=OR","EQY_CONSOLIDATED=Y","FA_ADJUSTED=GAAP","Sort=A","Dates=H","DateFormat=P","Fill=—","Direction=H","UseDPDF=Y")</f>
        <v>#NAME?</v>
      </c>
      <c r="R242" t="e">
        <f ca="1">_xll.BDH($C$228,"DVD_PAYOUT_RATIO","FQ4 2016","FQ4 2016","Currency=INR","Period=FQ","BEST_FPERIOD_OVERRIDE=FQ","FILING_STATUS=OR","EQY_CONSOLIDATED=Y","FA_ADJUSTED=GAAP","Sort=A","Dates=H","DateFormat=P","Fill=—","Direction=H","UseDPDF=Y")</f>
        <v>#NAME?</v>
      </c>
      <c r="S242" t="e">
        <f ca="1">_xll.BDH($C$228,"SUSTAIN_GROWTH_RT","FQ4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42" s="2" t="e">
        <f ca="1">_xll.BDH($C$228,"SALES_GROWTH","FQ4 2016","FQ4 2016","Currency=INR","Period=FQ","BEST_FPERIOD_OVERRIDE=FQ","FILING_STATUS=OR","EQY_CONSOLIDATED=Y","FA_ADJUSTED=GAAP","Sort=A","Dates=H","DateFormat=P","Fill=—","Direction=H","UseDPDF=Y")</f>
        <v>#NAME?</v>
      </c>
      <c r="U242" s="2" t="e">
        <f ca="1">_xll.BDH($C$228,"EBITDA_GROWTH","FQ4 2016","FQ4 2016","Currency=INR","Period=FQ","BEST_FPERIOD_OVERRIDE=FQ","FILING_STATUS=OR","EQY_CONSOLIDATED=Y","FA_ADJUSTED=GAAP","Sort=A","Dates=H","DateFormat=P","Fill=—","Direction=H","UseDPDF=Y")</f>
        <v>#NAME?</v>
      </c>
      <c r="V242" s="2" t="e">
        <f ca="1">_xll.BDH($C$228,"OPER_INC_GROWTH","FQ4 2016","FQ4 2016","Currency=INR","Period=FQ","BEST_FPERIOD_OVERRIDE=FQ","FILING_STATUS=OR","EQY_CONSOLIDATED=Y","FA_ADJUSTED=GAAP","Sort=A","Dates=H","DateFormat=P","Fill=—","Direction=H","UseDPDF=Y")</f>
        <v>#NAME?</v>
      </c>
      <c r="W242" s="2" t="e">
        <f ca="1">_xll.BDH($C$228,"EARN_FOR_COM_GROWTH","FQ4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42" s="2" t="e">
        <f ca="1">_xll.BDH($C$228,"DILUTED_EPS_AFT_XO_ITEMS_GROWTH","FQ4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42" s="2" t="e">
        <f ca="1">_xll.BDH($C$228,"DIVIDEND_PER_SHARE_1_YEAR_GROWTH","FQ4 2016","FQ4 2016","Currency=INR","Period=FQ","BEST_FPERIOD_OVERRIDE=FQ","FILING_STATUS=OR","EQY_CONSOLIDATED=Y","Sort=A","Dates=H","DateFormat=P","Fill=—","Direction=H","UseDPDF=Y")</f>
        <v>#NAME?</v>
      </c>
      <c r="Z242" s="2" t="e">
        <f ca="1">_xll.BDH($C$228,"ACCOUNTS_RECEIVABLE_GROWTH","FQ4 2016","FQ4 2016","Currency=INR","Period=FQ","BEST_FPERIOD_OVERRIDE=FQ","FILING_STATUS=OR","EQY_CONSOLIDATED=Y","Sort=A","Dates=H","DateFormat=P","Fill=—","Direction=H","UseDPDF=Y")</f>
        <v>#NAME?</v>
      </c>
      <c r="AA242" s="2" t="e">
        <f ca="1">_xll.BDH($C$228,"INVENTORY_GROWTH","FQ4 2016","FQ4 2016","Currency=INR","Period=FQ","BEST_FPERIOD_OVERRIDE=FQ","FILING_STATUS=OR","EQY_CONSOLIDATED=Y","Sort=A","Dates=H","DateFormat=P","Fill=—","Direction=H","UseDPDF=Y")</f>
        <v>#NAME?</v>
      </c>
      <c r="AB242" s="2" t="e">
        <f ca="1">_xll.BDH($C$228,"NET_FIXED_ASSETS_1_YEAR_GROWTH","FQ4 2016","FQ4 2016","Currency=INR","Period=FQ","BEST_FPERIOD_OVERRIDE=FQ","FILING_STATUS=OR","EQY_CONSOLIDATED=Y","Sort=A","Dates=H","DateFormat=P","Fill=—","Direction=H","UseDPDF=Y")</f>
        <v>#NAME?</v>
      </c>
      <c r="AC242" s="2" t="e">
        <f ca="1">_xll.BDH($C$228,"ASSET_GROWTH","FQ4 2016","FQ4 2016","Currency=INR","Period=FQ","BEST_FPERIOD_OVERRIDE=FQ","FILING_STATUS=OR","EQY_CONSOLIDATED=Y","Sort=A","Dates=H","DateFormat=P","Fill=—","Direction=H","UseDPDF=Y")</f>
        <v>#NAME?</v>
      </c>
      <c r="AD242" s="2" t="e">
        <f ca="1">_xll.BDH($C$228,"MODIFIED_WORK_CAP_GROWTH","FQ4 2016","FQ4 2016","Currency=INR","Period=FQ","BEST_FPERIOD_OVERRIDE=FQ","FILING_STATUS=OR","EQY_CONSOLIDATED=Y","Sort=A","Dates=H","DateFormat=P","Fill=—","Direction=H","UseDPDF=Y")</f>
        <v>#NAME?</v>
      </c>
      <c r="AE242" s="2" t="e">
        <f ca="1">_xll.BDH($C$228,"WORK_CAP_GROWTH","FQ4 2016","FQ4 2016","Currency=INR","Period=FQ","BEST_FPERIOD_OVERRIDE=FQ","FILING_STATUS=OR","EQY_CONSOLIDATED=Y","Sort=A","Dates=H","DateFormat=P","Fill=—","Direction=H","UseDPDF=Y")</f>
        <v>#NAME?</v>
      </c>
      <c r="AF242" s="2" t="e">
        <f ca="1">_xll.BDH($C$228,"ACCOUNTS_PAYABLE_GROWTH_1YR","FQ4 2016","FQ4 2016","Currency=INR","Period=FQ","BEST_FPERIOD_OVERRIDE=FQ","FILING_STATUS=OR","EQY_CONSOLIDATED=Y","Sort=A","Dates=H","DateFormat=P","Fill=—","Direction=H","UseDPDF=Y")</f>
        <v>#NAME?</v>
      </c>
      <c r="AG242" s="2" t="e">
        <f ca="1">_xll.BDH($C$228,"SHORT_TERM_DEBT_1_YEAR_GROWTH","FQ4 2016","FQ4 2016","Currency=INR","Period=FQ","BEST_FPERIOD_OVERRIDE=FQ","FILING_STATUS=OR","EQY_CONSOLIDATED=Y","Sort=A","Dates=H","DateFormat=P","Fill=—","Direction=H","UseDPDF=Y")</f>
        <v>#NAME?</v>
      </c>
      <c r="AH242" s="2" t="e">
        <f ca="1">_xll.BDH($C$228,"TOTAL_DEBT_1_YEAR_GROWTH","FQ4 2016","FQ4 2016","Currency=INR","Period=FQ","BEST_FPERIOD_OVERRIDE=FQ","FILING_STATUS=OR","EQY_CONSOLIDATED=Y","Sort=A","Dates=H","DateFormat=P","Fill=—","Direction=H","UseDPDF=Y")</f>
        <v>#NAME?</v>
      </c>
      <c r="AI242" s="2" t="e">
        <f ca="1">_xll.BDH($C$228,"TOTAL_EQUITY_1_YEAR_GROWTH","FQ4 2016","FQ4 2016","Currency=INR","Period=FQ","BEST_FPERIOD_OVERRIDE=FQ","FILING_STATUS=OR","EQY_CONSOLIDATED=Y","Sort=A","Dates=H","DateFormat=P","Fill=—","Direction=H","UseDPDF=Y")</f>
        <v>#NAME?</v>
      </c>
      <c r="AJ242" s="2" t="e">
        <f ca="1">_xll.BDH($C$228,"GROWTH_IN_CAP","FQ4 2016","FQ4 2016","Currency=INR","Period=FQ","BEST_FPERIOD_OVERRIDE=FQ","FILING_STATUS=OR","EQY_CONSOLIDATED=Y","Sort=A","Dates=H","DateFormat=P","Fill=—","Direction=H","UseDPDF=Y")</f>
        <v>#NAME?</v>
      </c>
      <c r="AK242" s="2" t="e">
        <f ca="1">_xll.BDH($C$228,"BVPS_GROWTH","FQ4 2016","FQ4 2016","Currency=INR","Period=FQ","BEST_FPERIOD_OVERRIDE=FQ","FILING_STATUS=OR","EQY_CONSOLIDATED=Y","Sort=A","Dates=H","DateFormat=P","Fill=—","Direction=H","UseDPDF=Y")</f>
        <v>#NAME?</v>
      </c>
      <c r="AL242" s="2" t="e">
        <f ca="1">_xll.BDH($C$228,"CASH_FLOW_GROWTH","FQ4 2016","FQ4 2016","Currency=INR","Period=FQ","BEST_FPERIOD_OVERRIDE=FQ","FILING_STATUS=OR","EQY_CONSOLIDATED=Y","Sort=A","Dates=H","DateFormat=P","Fill=—","Direction=H","UseDPDF=Y")</f>
        <v>#NAME?</v>
      </c>
      <c r="AM242" s="2" t="e">
        <f ca="1">_xll.BDH($C$228,"GEO_GROW_NET_SALES","FQ4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42" s="2" t="e">
        <f ca="1">_xll.BDH($C$228,"GEO_GROW_EBITDA","FQ4 2016","FQ4 2016","Currency=INR","Period=FQ","BEST_FPERIOD_OVERRIDE=FQ","FILING_STATUS=OR","EQY_CONSOLIDATED=Y","FA_ADJUSTED=GAAP","Sort=A","Dates=H","DateFormat=P","Fill=—","Direction=H","UseDPDF=Y")</f>
        <v>#NAME?</v>
      </c>
      <c r="AO242" s="2" t="e">
        <f ca="1">_xll.BDH($C$228,"GEO_GROW_OPER_INC","FQ4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42" s="2" t="e">
        <f ca="1">_xll.BDH($C$228,"NET_INCOME_TO_COMMON_5_YR_GROWTH","FQ4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42" s="2" t="e">
        <f ca="1">_xll.BDH($C$228,"5Y_GEO_GROWTH_DILUTED_EPS","FQ4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42" s="2" t="e">
        <f ca="1">_xll.BDH($C$228,"GEO_GROW_DVD_PER_SH","FQ4 2016","FQ4 2016","Currency=INR","Period=FQ","BEST_FPERIOD_OVERRIDE=FQ","FILING_STATUS=OR","EQY_CONSOLIDATED=Y","Sort=A","Dates=H","DateFormat=P","Fill=—","Direction=H","UseDPDF=Y")</f>
        <v>#NAME?</v>
      </c>
      <c r="AS242" s="2" t="e">
        <f ca="1">_xll.BDH($C$228,"ACCOUNTS_RECEIVABLE_5_YR_GROWTH","FQ4 2016","FQ4 2016","Currency=INR","Period=FQ","BEST_FPERIOD_OVERRIDE=FQ","FILING_STATUS=OR","EQY_CONSOLIDATED=Y","Sort=A","Dates=H","DateFormat=P","Fill=—","Direction=H","UseDPDF=Y")</f>
        <v>#NAME?</v>
      </c>
      <c r="AT242" s="2" t="e">
        <f ca="1">_xll.BDH($C$228,"INVENTORY_5_YEAR_GROWTH","FQ4 2016","FQ4 2016","Currency=INR","Period=FQ","BEST_FPERIOD_OVERRIDE=FQ","FILING_STATUS=OR","EQY_CONSOLIDATED=Y","Sort=A","Dates=H","DateFormat=P","Fill=—","Direction=H","UseDPDF=Y")</f>
        <v>#NAME?</v>
      </c>
      <c r="AU242" s="2" t="e">
        <f ca="1">_xll.BDH($C$228,"NET_FIXED_ASSETS_5_YEAR_GROWTH","FQ4 2016","FQ4 2016","Currency=INR","Period=FQ","BEST_FPERIOD_OVERRIDE=FQ","FILING_STATUS=OR","EQY_CONSOLIDATED=Y","Sort=A","Dates=H","DateFormat=P","Fill=—","Direction=H","UseDPDF=Y")</f>
        <v>#NAME?</v>
      </c>
      <c r="AV242" s="2" t="e">
        <f ca="1">_xll.BDH($C$228,"GEO_GROW_TOT_ASSET","FQ4 2016","FQ4 2016","Currency=INR","Period=FQ","BEST_FPERIOD_OVERRIDE=FQ","FILING_STATUS=OR","EQY_CONSOLIDATED=Y","Sort=A","Dates=H","DateFormat=P","Fill=—","Direction=H","UseDPDF=Y")</f>
        <v>#NAME?</v>
      </c>
      <c r="AW242" s="2" t="e">
        <f ca="1">_xll.BDH($C$228,"MODIFIED_WORKING_CPTL_5YR_GRWTH","FQ4 2016","FQ4 2016","Currency=INR","Period=FQ","BEST_FPERIOD_OVERRIDE=FQ","FILING_STATUS=OR","EQY_CONSOLIDATED=Y","Sort=A","Dates=H","DateFormat=P","Fill=—","Direction=H","UseDPDF=Y")</f>
        <v>#NAME?</v>
      </c>
      <c r="AX242" s="2" t="e">
        <f ca="1">_xll.BDH($C$228,"WORKING_CAPITAL_5_YEAR_GROWTH","FQ4 2016","FQ4 2016","Currency=INR","Period=FQ","BEST_FPERIOD_OVERRIDE=FQ","FILING_STATUS=OR","EQY_CONSOLIDATED=Y","Sort=A","Dates=H","DateFormat=P","Fill=—","Direction=H","UseDPDF=Y")</f>
        <v>#NAME?</v>
      </c>
      <c r="AY242" s="2" t="e">
        <f ca="1">_xll.BDH($C$228,"ACCOUNTS_PAYABLE_5_YEAR_GROWTH","FQ4 2016","FQ4 2016","Currency=INR","Period=FQ","BEST_FPERIOD_OVERRIDE=FQ","FILING_STATUS=OR","EQY_CONSOLIDATED=Y","Sort=A","Dates=H","DateFormat=P","Fill=—","Direction=H","UseDPDF=Y")</f>
        <v>#NAME?</v>
      </c>
      <c r="AZ242" s="2" t="e">
        <f ca="1">_xll.BDH($C$228,"SHORT_TERM_DEBT_5_YEAR_GROWTH","FQ4 2016","FQ4 2016","Currency=INR","Period=FQ","BEST_FPERIOD_OVERRIDE=FQ","FILING_STATUS=OR","EQY_CONSOLIDATED=Y","Sort=A","Dates=H","DateFormat=P","Fill=—","Direction=H","UseDPDF=Y")</f>
        <v>#NAME?</v>
      </c>
      <c r="BA242" s="2" t="e">
        <f ca="1">_xll.BDH($C$228,"TOTAL_DEBT_5_YEAR_GROWTH","FQ4 2016","FQ4 2016","Currency=INR","Period=FQ","BEST_FPERIOD_OVERRIDE=FQ","FILING_STATUS=OR","EQY_CONSOLIDATED=Y","Sort=A","Dates=H","DateFormat=P","Fill=—","Direction=H","UseDPDF=Y")</f>
        <v>#NAME?</v>
      </c>
      <c r="BB242" s="2" t="e">
        <f ca="1">_xll.BDH($C$228,"GEO_GROW_TOT_SHRHLDR_EQY","FQ4 2016","FQ4 2016","Currency=INR","Period=FQ","BEST_FPERIOD_OVERRIDE=FQ","FILING_STATUS=OR","EQY_CONSOLIDATED=Y","Sort=A","Dates=H","DateFormat=P","Fill=—","Direction=H","UseDPDF=Y")</f>
        <v>#NAME?</v>
      </c>
      <c r="BC242" s="2" t="e">
        <f ca="1">_xll.BDH($C$228,"TOTAL_CAPITAL_5_YEAR_GROWTH","FQ4 2016","FQ4 2016","Currency=INR","Period=FQ","BEST_FPERIOD_OVERRIDE=FQ","FILING_STATUS=OR","EQY_CONSOLIDATED=Y","Sort=A","Dates=H","DateFormat=P","Fill=—","Direction=H","UseDPDF=Y")</f>
        <v>#NAME?</v>
      </c>
      <c r="BD242" s="2" t="e">
        <f ca="1">_xll.BDH($C$228,"GEO_GROW_BOOK_VAL","FQ4 2016","FQ4 2016","Currency=INR","Period=FQ","BEST_FPERIOD_OVERRIDE=FQ","FILING_STATUS=OR","EQY_CONSOLIDATED=Y","Sort=A","Dates=H","DateFormat=P","Fill=—","Direction=H","UseDPDF=Y")</f>
        <v>#NAME?</v>
      </c>
      <c r="BE242" s="2" t="e">
        <f ca="1">_xll.BDH($C$228,"GEO_GROW_CASH_OPER_ACT","FQ4 2016","FQ4 2016","Currency=INR","Period=FQ","BEST_FPERIOD_OVERRIDE=FQ","FILING_STATUS=OR","EQY_CONSOLIDATED=Y","Sort=A","Dates=H","DateFormat=P","Fill=—","Direction=H","UseDPDF=Y")</f>
        <v>#NAME?</v>
      </c>
      <c r="BF242" s="2" t="e">
        <f ca="1">_xll.BDH($C$228,"REVENUE_SEQUENTIAL_GROWTH","FQ4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42" s="2" t="e">
        <f ca="1">_xll.BDH($C$228,"EBITDA_SEQUENTIAL_GROWTH","FQ4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42" s="2" t="e">
        <f ca="1">_xll.BDH($C$228,"OPERATING_INCOME_SEQ_GROWTH","FQ4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42" s="2" t="e">
        <f ca="1">_xll.BDH($C$228,"NET_INCOME_TO_COMMON_SEQ_GROWTH","FQ4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42" s="2" t="e">
        <f ca="1">_xll.BDH($C$228,"EPS_DILUTED_SEQUENTIAL_GROWTH","FQ4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42" s="2" t="e">
        <f ca="1">_xll.BDH($C$228,"DPS_SEQUENTIAL_GROWTH","FQ4 2016","FQ4 2016","Currency=INR","Period=FQ","BEST_FPERIOD_OVERRIDE=FQ","FILING_STATUS=OR","EQY_CONSOLIDATED=Y","Sort=A","Dates=H","DateFormat=P","Fill=—","Direction=H","UseDPDF=Y")</f>
        <v>#NAME?</v>
      </c>
      <c r="BL242" s="2" t="e">
        <f ca="1">_xll.BDH($C$228,"ACCOUNTS_RECEIVABLE_SEQ_GROWTH","FQ4 2016","FQ4 2016","Currency=INR","Period=FQ","BEST_FPERIOD_OVERRIDE=FQ","FILING_STATUS=OR","EQY_CONSOLIDATED=Y","Sort=A","Dates=H","DateFormat=P","Fill=—","Direction=H","UseDPDF=Y")</f>
        <v>#NAME?</v>
      </c>
      <c r="BM242" s="2" t="e">
        <f ca="1">_xll.BDH($C$228,"INVENTORY_SEQUENTIAL_GROWTH","FQ4 2016","FQ4 2016","Currency=INR","Period=FQ","BEST_FPERIOD_OVERRIDE=FQ","FILING_STATUS=OR","EQY_CONSOLIDATED=Y","Sort=A","Dates=H","DateFormat=P","Fill=—","Direction=H","UseDPDF=Y")</f>
        <v>#NAME?</v>
      </c>
      <c r="BN242" s="2" t="e">
        <f ca="1">_xll.BDH($C$228,"FIXED_ASSETS_SEQUENTIAL_GROWTH","FQ4 2016","FQ4 2016","Currency=INR","Period=FQ","BEST_FPERIOD_OVERRIDE=FQ","FILING_STATUS=OR","EQY_CONSOLIDATED=Y","Sort=A","Dates=H","DateFormat=P","Fill=—","Direction=H","UseDPDF=Y")</f>
        <v>#NAME?</v>
      </c>
      <c r="BO242" s="2" t="e">
        <f ca="1">_xll.BDH($C$228,"TOTAL_ASSETS_SEQUENTIAL_GROWTH","FQ4 2016","FQ4 2016","Currency=INR","Period=FQ","BEST_FPERIOD_OVERRIDE=FQ","FILING_STATUS=OR","EQY_CONSOLIDATED=Y","Sort=A","Dates=H","DateFormat=P","Fill=—","Direction=H","UseDPDF=Y")</f>
        <v>#NAME?</v>
      </c>
      <c r="BP242" s="2" t="e">
        <f ca="1">_xll.BDH($C$228,"MODIFIED_WORKING_CPTL_SEQ_GRWTH","FQ4 2016","FQ4 2016","Currency=INR","Period=FQ","BEST_FPERIOD_OVERRIDE=FQ","FILING_STATUS=OR","EQY_CONSOLIDATED=Y","Sort=A","Dates=H","DateFormat=P","Fill=—","Direction=H","UseDPDF=Y")</f>
        <v>#NAME?</v>
      </c>
      <c r="BQ242" s="2" t="e">
        <f ca="1">_xll.BDH($C$228,"WORKING_CAPITAL_SEQ_GROWTH","FQ4 2016","FQ4 2016","Currency=INR","Period=FQ","BEST_FPERIOD_OVERRIDE=FQ","FILING_STATUS=OR","EQY_CONSOLIDATED=Y","Sort=A","Dates=H","DateFormat=P","Fill=—","Direction=H","UseDPDF=Y")</f>
        <v>#NAME?</v>
      </c>
      <c r="BR242" s="2" t="e">
        <f ca="1">_xll.BDH($C$228,"ACCOUNTS_PAYABLE_SEQ_GROWTH","FQ4 2016","FQ4 2016","Currency=INR","Period=FQ","BEST_FPERIOD_OVERRIDE=FQ","FILING_STATUS=OR","EQY_CONSOLIDATED=Y","Sort=A","Dates=H","DateFormat=P","Fill=—","Direction=H","UseDPDF=Y")</f>
        <v>#NAME?</v>
      </c>
      <c r="BS242" s="2" t="e">
        <f ca="1">_xll.BDH($C$228,"ST_DEBT_SEQUENTIAL_GROWTH","FQ4 2016","FQ4 2016","Currency=INR","Period=FQ","BEST_FPERIOD_OVERRIDE=FQ","FILING_STATUS=OR","EQY_CONSOLIDATED=Y","Sort=A","Dates=H","DateFormat=P","Fill=—","Direction=H","UseDPDF=Y")</f>
        <v>#NAME?</v>
      </c>
      <c r="BT242" s="2" t="e">
        <f ca="1">_xll.BDH($C$228,"TOTAL_DEBT_SEQUENTIAL_GROWTH","FQ4 2016","FQ4 2016","Currency=INR","Period=FQ","BEST_FPERIOD_OVERRIDE=FQ","FILING_STATUS=OR","EQY_CONSOLIDATED=Y","Sort=A","Dates=H","DateFormat=P","Fill=—","Direction=H","UseDPDF=Y")</f>
        <v>#NAME?</v>
      </c>
      <c r="BU242" s="2" t="e">
        <f ca="1">_xll.BDH($C$228,"TOTAL_EQUITY_SEQUENTIAL_GROWTH","FQ4 2016","FQ4 2016","Currency=INR","Period=FQ","BEST_FPERIOD_OVERRIDE=FQ","FILING_STATUS=OR","EQY_CONSOLIDATED=Y","Sort=A","Dates=H","DateFormat=P","Fill=—","Direction=H","UseDPDF=Y")</f>
        <v>#NAME?</v>
      </c>
      <c r="BV242" s="2" t="e">
        <f ca="1">_xll.BDH($C$228,"TOTAL_CAPITAL_SEQUENTIAL_GROWTH","FQ4 2016","FQ4 2016","Currency=INR","Period=FQ","BEST_FPERIOD_OVERRIDE=FQ","FILING_STATUS=OR","EQY_CONSOLIDATED=Y","Sort=A","Dates=H","DateFormat=P","Fill=—","Direction=H","UseDPDF=Y")</f>
        <v>#NAME?</v>
      </c>
      <c r="BW242" s="2" t="e">
        <f ca="1">_xll.BDH($C$228,"BPS_SEQUENTIAL_GROWTH","FQ4 2016","FQ4 2016","Currency=INR","Period=FQ","BEST_FPERIOD_OVERRIDE=FQ","FILING_STATUS=OR","EQY_CONSOLIDATED=Y","Sort=A","Dates=H","DateFormat=P","Fill=—","Direction=H","UseDPDF=Y")</f>
        <v>#NAME?</v>
      </c>
      <c r="BX242" s="2" t="e">
        <f ca="1">_xll.BDH($C$228,"CFO_SEQUENTIAL_GROWTH","FQ4 2016","FQ4 2016","Currency=INR","Period=FQ","BEST_FPERIOD_OVERRIDE=FQ","FILING_STATUS=OR","EQY_CONSOLIDATED=Y","Sort=A","Dates=H","DateFormat=P","Fill=—","Direction=H","UseDPDF=Y")</f>
        <v>#NAME?</v>
      </c>
      <c r="BY242" s="3" t="e">
        <f ca="1">_xll.BDH($C$228,"SHORT_AND_LONG_TERM_DEBT","FQ4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42" s="3" t="e">
        <f ca="1">_xll.BDH($C$228,"BS_ST_BORROW","FQ4 2016","FQ4 2016","Currency=INR","Period=FQ","BEST_FPERIOD_OVERRIDE=FQ","FILING_STATUS=OR","EQY_CONSOLIDATED=Y","SCALING_FORMAT=MLN","Sort=A","Dates=H","DateFormat=P","Fill=—","Direction=H","UseDPDF=Y")</f>
        <v>#NAME?</v>
      </c>
      <c r="CA242" s="3" t="e">
        <f ca="1">_xll.BDH($C$228,"BS_LT_BORROW","FQ4 2016","FQ4 2016","Currency=INR","Period=FQ","BEST_FPERIOD_OVERRIDE=FQ","FILING_STATUS=OR","EQY_CONSOLIDATED=Y","SCALING_FORMAT=MLN","Sort=A","Dates=H","DateFormat=P","Fill=—","Direction=H","UseDPDF=Y")</f>
        <v>#NAME?</v>
      </c>
      <c r="CB242" s="2" t="e">
        <f ca="1">_xll.BDH($C$228,"TOT_DEBT_TO_EBITDA","FQ4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42" s="2" t="e">
        <f ca="1">_xll.BDH($C$228,"NET_DEBT_TO_EBITDA","FQ4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42" s="2" t="e">
        <f ca="1">_xll.BDH($C$228,"TOTAL_DEBT_TO_EBIT","FQ4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42" s="2" t="e">
        <f ca="1">_xll.BDH($C$228,"NET_DEBT_TO_EBIT","FQ4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42" s="2" t="e">
        <f ca="1">_xll.BDH($C$228,"EBITDA_TO_INTEREST_EXPN","FQ4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42" s="2" t="e">
        <f ca="1">_xll.BDH($C$228,"COM_EQY_TO_TOT_ASSET","FQ4 2016","FQ4 2016","Currency=INR","Period=FQ","BEST_FPERIOD_OVERRIDE=FQ","FILING_STATUS=OR","EQY_CONSOLIDATED=Y","Sort=A","Dates=H","DateFormat=P","Fill=—","Direction=H","UseDPDF=Y")</f>
        <v>#NAME?</v>
      </c>
      <c r="CH242" s="2" t="e">
        <f ca="1">_xll.BDH($C$228,"LT_DEBT_TO_TOT_EQY","FQ4 2016","FQ4 2016","Currency=INR","Period=FQ","BEST_FPERIOD_OVERRIDE=FQ","FILING_STATUS=OR","EQY_CONSOLIDATED=Y","Sort=A","Dates=H","DateFormat=P","Fill=—","Direction=H","UseDPDF=Y")</f>
        <v>#NAME?</v>
      </c>
      <c r="CI242" s="2" t="e">
        <f ca="1">_xll.BDH($C$228,"LT_DEBT_TO_TOT_CAP","FQ4 2016","FQ4 2016","Currency=INR","Period=FQ","BEST_FPERIOD_OVERRIDE=FQ","FILING_STATUS=OR","EQY_CONSOLIDATED=Y","Sort=A","Dates=H","DateFormat=P","Fill=—","Direction=H","UseDPDF=Y")</f>
        <v>#NAME?</v>
      </c>
      <c r="CJ242" s="2" t="e">
        <f ca="1">_xll.BDH($C$228,"LT_DEBT_TO_TOT_ASSET","FQ4 2016","FQ4 2016","Currency=INR","Period=FQ","BEST_FPERIOD_OVERRIDE=FQ","FILING_STATUS=OR","EQY_CONSOLIDATED=Y","Sort=A","Dates=H","DateFormat=P","Fill=—","Direction=H","UseDPDF=Y")</f>
        <v>#NAME?</v>
      </c>
      <c r="CK242" s="2" t="e">
        <f ca="1">_xll.BDH($C$228,"TOT_DEBT_TO_TOT_EQY","FQ4 2016","FQ4 2016","Currency=INR","Period=FQ","BEST_FPERIOD_OVERRIDE=FQ","FILING_STATUS=OR","EQY_CONSOLIDATED=Y","Sort=A","Dates=H","DateFormat=P","Fill=—","Direction=H","UseDPDF=Y")</f>
        <v>#NAME?</v>
      </c>
      <c r="CL242" s="2" t="e">
        <f ca="1">_xll.BDH($C$228,"TOT_DEBT_TO_TOT_CAP","FQ4 2016","FQ4 2016","Currency=INR","Period=FQ","BEST_FPERIOD_OVERRIDE=FQ","FILING_STATUS=OR","EQY_CONSOLIDATED=Y","Sort=A","Dates=H","DateFormat=P","Fill=—","Direction=H","UseDPDF=Y")</f>
        <v>#NAME?</v>
      </c>
      <c r="CM242" s="2" t="e">
        <f ca="1">_xll.BDH($C$228,"TOT_DEBT_TO_TOT_ASSET","FQ4 2016","FQ4 2016","Currency=INR","Period=FQ","BEST_FPERIOD_OVERRIDE=FQ","FILING_STATUS=OR","EQY_CONSOLIDATED=Y","Sort=A","Dates=H","DateFormat=P","Fill=—","Direction=H","UseDPDF=Y")</f>
        <v>#NAME?</v>
      </c>
      <c r="CN242" s="2" t="e">
        <f ca="1">_xll.BDH($C$228,"NET_DEBT_TO_SHRHLDR_EQTY","FQ4 2016","FQ4 2016","Currency=INR","Period=FQ","BEST_FPERIOD_OVERRIDE=FQ","FILING_STATUS=OR","EQY_CONSOLIDATED=Y","Sort=A","Dates=H","DateFormat=P","Fill=—","Direction=H","UseDPDF=Y")</f>
        <v>#NAME?</v>
      </c>
      <c r="CO242" s="2" t="e">
        <f ca="1">_xll.BDH($C$228,"NET_DEBT_%_CAPITAL","FQ4 2016","FQ4 2016","Currency=INR","Period=FQ","BEST_FPERIOD_OVERRIDE=FQ","FILING_STATUS=OR","EQY_CONSOLIDATED=Y","Sort=A","Dates=H","DateFormat=P","Fill=—","Direction=H","UseDPDF=Y")</f>
        <v>#NAME?</v>
      </c>
      <c r="CP242" s="3" t="e">
        <f ca="1">_xll.BDH($C$228,"EBITDA","FQ4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42" s="3" t="e">
        <f ca="1">_xll.BDH($C$228,"EBITDA_AFTER_CAPEX","FQ4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42" s="3" t="e">
        <f ca="1">_xll.BDH($C$228,"IS_OPER_INC","FQ4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42" s="2" t="e">
        <f ca="1">_xll.BDH($C$228,"CASH_RATIO","FQ4 2016","FQ4 2016","Currency=INR","Period=FQ","BEST_FPERIOD_OVERRIDE=FQ","FILING_STATUS=OR","EQY_CONSOLIDATED=Y","Sort=A","Dates=H","DateFormat=P","Fill=—","Direction=H","UseDPDF=Y")</f>
        <v>#NAME?</v>
      </c>
      <c r="CT242" s="2" t="e">
        <f ca="1">_xll.BDH($C$228,"CUR_RATIO","FQ4 2016","FQ4 2016","Currency=INR","Period=FQ","BEST_FPERIOD_OVERRIDE=FQ","FILING_STATUS=OR","EQY_CONSOLIDATED=Y","Sort=A","Dates=H","DateFormat=P","Fill=—","Direction=H","UseDPDF=Y")</f>
        <v>#NAME?</v>
      </c>
      <c r="CU242" s="2" t="e">
        <f ca="1">_xll.BDH($C$228,"QUICK_RATIO","FQ4 2016","FQ4 2016","Currency=INR","Period=FQ","BEST_FPERIOD_OVERRIDE=FQ","FILING_STATUS=OR","EQY_CONSOLIDATED=Y","Sort=A","Dates=H","DateFormat=P","Fill=—","Direction=H","UseDPDF=Y")</f>
        <v>#NAME?</v>
      </c>
      <c r="CV242" s="2" t="e">
        <f ca="1">_xll.BDH($C$228,"ALTMAN_Z_SCORE","FQ4 2016","FQ4 2016","Currency=INR","Period=FQ","BEST_FPERIOD_OVERRIDE=FQ","FILING_STATUS=OR","EQY_CONSOLIDATED=Y","Sort=A","Dates=H","DateFormat=P","Fill=—","Direction=H","UseDPDF=Y")</f>
        <v>#NAME?</v>
      </c>
      <c r="CW242" s="4" t="e">
        <f ca="1">_xll.BDH($C$228,"ACCT_RCV_TURN","FQ4 2016","FQ4 2016","Currency=INR","Period=FQ","BEST_FPERIOD_OVERRIDE=FQ","FILING_STATUS=OR","EQY_CONSOLIDATED=Y","FA_ADJUSTED=GAAP","Sort=A","Dates=H","DateFormat=P","Fill=—","Direction=H","UseDPDF=Y")</f>
        <v>#NAME?</v>
      </c>
      <c r="CX242" s="2" t="e">
        <f ca="1">_xll.BDH($C$228,"ACCT_RCV_DAYS","FQ4 2016","FQ4 2016","Currency=INR","Period=FQ","BEST_FPERIOD_OVERRIDE=FQ","FILING_STATUS=OR","EQY_CONSOLIDATED=Y","FA_ADJUSTED=GAAP","Sort=A","Dates=H","DateFormat=P","Fill=—","Direction=H","UseDPDF=Y")</f>
        <v>#NAME?</v>
      </c>
      <c r="CY242" s="4" t="e">
        <f ca="1">_xll.BDH($C$228,"INVENT_TURN","FQ4 2016","FQ4 2016","Currency=INR","Period=FQ","BEST_FPERIOD_OVERRIDE=FQ","FILING_STATUS=OR","EQY_CONSOLIDATED=Y","FA_ADJUSTED=GAAP","Sort=A","Dates=H","DateFormat=P","Fill=—","Direction=H","UseDPDF=Y")</f>
        <v>#NAME?</v>
      </c>
      <c r="CZ242" s="2" t="e">
        <f ca="1">_xll.BDH($C$228,"INVENT_DAYS","FQ4 2016","FQ4 2016","Currency=INR","Period=FQ","BEST_FPERIOD_OVERRIDE=FQ","FILING_STATUS=OR","EQY_CONSOLIDATED=Y","FA_ADJUSTED=GAAP","Sort=A","Dates=H","DateFormat=P","Fill=—","Direction=H","UseDPDF=Y")</f>
        <v>#NAME?</v>
      </c>
      <c r="DA242" s="4" t="e">
        <f ca="1">_xll.BDH($C$228,"ACCOUNTS_PAYABLE_TURNOVER","FQ4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42" s="2" t="e">
        <f ca="1">_xll.BDH($C$228,"ACCOUNTS_PAYABLE_TURNOVER_DAYS","FQ4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42" s="4" t="e">
        <f ca="1">_xll.BDH($C$228,"CASH_CONVERSION_CYCLE","FQ4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42" s="4" t="e">
        <f ca="1">_xll.BDH($C$228,"INV_TO_CASH_DAYS","FQ4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42" s="5" t="e">
        <f ca="1">_xll.BDH($C$228,"BS_INVENTORIES","FQ4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42" s="3" t="e">
        <f ca="1">_xll.BDH($C$228,"INVTRY_RAW_MATERIALS","FQ4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42" s="3" t="e">
        <f ca="1">_xll.BDH($C$228,"INVTRY_IN_PROGRESS","FQ4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42" s="3" t="e">
        <f ca="1">_xll.BDH($C$228,"INVTRY_FINISHED_GOODS","FQ4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42" s="3" t="e">
        <f ca="1">_xll.BDH($C$228,"BS_OTHER_INV","FQ4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43" spans="1:113" x14ac:dyDescent="0.3">
      <c r="A243" s="6"/>
      <c r="B243" s="6"/>
      <c r="C243" s="6"/>
      <c r="D243" s="6" t="s">
        <v>84</v>
      </c>
      <c r="E243" t="s">
        <v>77</v>
      </c>
      <c r="F243" t="e">
        <f ca="1">_xll.BDH($C$228,"RETURN_COM_EQY","FY 2017","FY 2017","Currency=INR","Period=FY","BEST_FPERIOD_OVERRIDE=FY","FILING_STATUS=OR","EQY_CONSOLIDATED=Y","FA_ADJUSTED=GAAP","Sort=A","Dates=H","DateFormat=P","Fill=—","Direction=H","UseDPDF=Y")</f>
        <v>#NAME?</v>
      </c>
      <c r="G243" t="e">
        <f ca="1">_xll.BDH($C$228,"RETURN_ON_ASSET","FY 2017","FY 2017","Currency=INR","Period=FY","BEST_FPERIOD_OVERRIDE=FY","FILING_STATUS=OR","EQY_CONSOLIDATED=Y","FA_ADJUSTED=GAAP","Sort=A","Dates=H","DateFormat=P","Fill=—","Direction=H","UseDPDF=Y")</f>
        <v>#NAME?</v>
      </c>
      <c r="H243" t="e">
        <f ca="1">_xll.BDH($C$228,"RETURN_ON_CAP","FY 2017","FY 2017","Currency=INR","Period=FY","BEST_FPERIOD_OVERRIDE=FY","FILING_STATUS=OR","EQY_CONSOLIDATED=Y","FA_ADJUSTED=GAAP","Sort=A","Dates=H","DateFormat=P","Fill=—","Direction=H","UseDPDF=Y")</f>
        <v>#NAME?</v>
      </c>
      <c r="I243" t="e">
        <f ca="1">_xll.BDH($C$228,"RETURN_ON_INV_CAPITAL","FY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43" t="e">
        <f ca="1">_xll.BDH($C$228,"EBITDA_TO_REVENUE","FY 2017","FY 2017","Currency=INR","Period=FY","BEST_FPERIOD_OVERRIDE=FY","FILING_STATUS=OR","EQY_CONSOLIDATED=Y","FA_ADJUSTED=GAAP","Sort=A","Dates=H","DateFormat=P","Fill=—","Direction=H","UseDPDF=Y")</f>
        <v>#NAME?</v>
      </c>
      <c r="K243" t="e">
        <f ca="1">_xll.BDH($C$228,"OPER_MARGIN","FY 2017","FY 2017","Currency=INR","Period=FY","BEST_FPERIOD_OVERRIDE=FY","FILING_STATUS=OR","EQY_CONSOLIDATED=Y","FA_ADJUSTED=GAAP","Sort=A","Dates=H","DateFormat=P","Fill=—","Direction=H","UseDPDF=Y")</f>
        <v>#NAME?</v>
      </c>
      <c r="L243" t="e">
        <f ca="1">_xll.BDH($C$228,"INCREMENTAL_OPERATING_MARGIN","FY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43" t="e">
        <f ca="1">_xll.BDH($C$228,"PRETAX_INC_TO_NET_SALES","FY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43" t="e">
        <f ca="1">_xll.BDH($C$228,"INC_BEF_XO_ITEMS_TO_NET_SALES","FY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43" t="e">
        <f ca="1">_xll.BDH($C$228,"PROF_MARGIN","FY 2017","FY 2017","Currency=INR","Period=FY","BEST_FPERIOD_OVERRIDE=FY","FILING_STATUS=OR","EQY_CONSOLIDATED=Y","FA_ADJUSTED=GAAP","Sort=A","Dates=H","DateFormat=P","Fill=—","Direction=H","UseDPDF=Y")</f>
        <v>#NAME?</v>
      </c>
      <c r="P243" t="e">
        <f ca="1">_xll.BDH($C$228,"NET_INCOME_TO_COMMON_MARGIN","FY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43" t="e">
        <f ca="1">_xll.BDH($C$228,"EFF_TAX_RATE","FY 2017","FY 2017","Currency=INR","Period=FY","BEST_FPERIOD_OVERRIDE=FY","FILING_STATUS=OR","EQY_CONSOLIDATED=Y","FA_ADJUSTED=GAAP","Sort=A","Dates=H","DateFormat=P","Fill=—","Direction=H","UseDPDF=Y")</f>
        <v>#NAME?</v>
      </c>
      <c r="R243" t="e">
        <f ca="1">_xll.BDH($C$228,"DVD_PAYOUT_RATIO","FY 2017","FY 2017","Currency=INR","Period=FY","BEST_FPERIOD_OVERRIDE=FY","FILING_STATUS=OR","EQY_CONSOLIDATED=Y","FA_ADJUSTED=GAAP","Sort=A","Dates=H","DateFormat=P","Fill=—","Direction=H","UseDPDF=Y")</f>
        <v>#NAME?</v>
      </c>
      <c r="S243" t="e">
        <f ca="1">_xll.BDH($C$228,"SUSTAIN_GROWTH_RT","FY 2017","FY 2017","Currency=INR","Period=FY","BEST_FPERIOD_OVERRIDE=FY","FILING_STATUS=OR","EQY_CONSOLIDATED=Y","FA_ADJUSTED=GAAP","Sort=A","Dates=H","DateFormat=P","Fill=—","Direction=H","UseDPDF=Y")</f>
        <v>#NAME?</v>
      </c>
      <c r="T243" s="2" t="e">
        <f ca="1">_xll.BDH($C$228,"SALES_GROWTH","FY 2017","FY 2017","Currency=INR","Period=FY","BEST_FPERIOD_OVERRIDE=FY","FILING_STATUS=OR","EQY_CONSOLIDATED=Y","FA_ADJUSTED=GAAP","Sort=A","Dates=H","DateFormat=P","Fill=—","Direction=H","UseDPDF=Y")</f>
        <v>#NAME?</v>
      </c>
      <c r="U243" s="2" t="e">
        <f ca="1">_xll.BDH($C$228,"EBITDA_GROWTH","FY 2017","FY 2017","Currency=INR","Period=FY","BEST_FPERIOD_OVERRIDE=FY","FILING_STATUS=OR","EQY_CONSOLIDATED=Y","FA_ADJUSTED=GAAP","Sort=A","Dates=H","DateFormat=P","Fill=—","Direction=H","UseDPDF=Y")</f>
        <v>#NAME?</v>
      </c>
      <c r="V243" s="2" t="e">
        <f ca="1">_xll.BDH($C$228,"OPER_INC_GROWTH","FY 2017","FY 2017","Currency=INR","Period=FY","BEST_FPERIOD_OVERRIDE=FY","FILING_STATUS=OR","EQY_CONSOLIDATED=Y","FA_ADJUSTED=GAAP","Sort=A","Dates=H","DateFormat=P","Fill=—","Direction=H","UseDPDF=Y")</f>
        <v>#NAME?</v>
      </c>
      <c r="W243" s="2" t="e">
        <f ca="1">_xll.BDH($C$228,"EARN_FOR_COM_GROWTH","FY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43" s="2" t="e">
        <f ca="1">_xll.BDH($C$228,"DILUTED_EPS_AFT_XO_ITEMS_GROWTH","FY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43" s="2" t="e">
        <f ca="1">_xll.BDH($C$228,"DIVIDEND_PER_SHARE_1_YEAR_GROWTH","FY 2017","FY 2017","Currency=INR","Period=FY","BEST_FPERIOD_OVERRIDE=FY","FILING_STATUS=OR","EQY_CONSOLIDATED=Y","Sort=A","Dates=H","DateFormat=P","Fill=—","Direction=H","UseDPDF=Y")</f>
        <v>#NAME?</v>
      </c>
      <c r="Z243" s="2" t="e">
        <f ca="1">_xll.BDH($C$228,"ACCOUNTS_RECEIVABLE_GROWTH","FY 2017","FY 2017","Currency=INR","Period=FY","BEST_FPERIOD_OVERRIDE=FY","FILING_STATUS=OR","EQY_CONSOLIDATED=Y","Sort=A","Dates=H","DateFormat=P","Fill=—","Direction=H","UseDPDF=Y")</f>
        <v>#NAME?</v>
      </c>
      <c r="AA243" s="2" t="e">
        <f ca="1">_xll.BDH($C$228,"INVENTORY_GROWTH","FY 2017","FY 2017","Currency=INR","Period=FY","BEST_FPERIOD_OVERRIDE=FY","FILING_STATUS=OR","EQY_CONSOLIDATED=Y","Sort=A","Dates=H","DateFormat=P","Fill=—","Direction=H","UseDPDF=Y")</f>
        <v>#NAME?</v>
      </c>
      <c r="AB243" s="2" t="e">
        <f ca="1">_xll.BDH($C$228,"NET_FIXED_ASSETS_1_YEAR_GROWTH","FY 2017","FY 2017","Currency=INR","Period=FY","BEST_FPERIOD_OVERRIDE=FY","FILING_STATUS=OR","EQY_CONSOLIDATED=Y","Sort=A","Dates=H","DateFormat=P","Fill=—","Direction=H","UseDPDF=Y")</f>
        <v>#NAME?</v>
      </c>
      <c r="AC243" s="2" t="e">
        <f ca="1">_xll.BDH($C$228,"ASSET_GROWTH","FY 2017","FY 2017","Currency=INR","Period=FY","BEST_FPERIOD_OVERRIDE=FY","FILING_STATUS=OR","EQY_CONSOLIDATED=Y","Sort=A","Dates=H","DateFormat=P","Fill=—","Direction=H","UseDPDF=Y")</f>
        <v>#NAME?</v>
      </c>
      <c r="AD243" s="2" t="e">
        <f ca="1">_xll.BDH($C$228,"MODIFIED_WORK_CAP_GROWTH","FY 2017","FY 2017","Currency=INR","Period=FY","BEST_FPERIOD_OVERRIDE=FY","FILING_STATUS=OR","EQY_CONSOLIDATED=Y","Sort=A","Dates=H","DateFormat=P","Fill=—","Direction=H","UseDPDF=Y")</f>
        <v>#NAME?</v>
      </c>
      <c r="AE243" s="2" t="e">
        <f ca="1">_xll.BDH($C$228,"WORK_CAP_GROWTH","FY 2017","FY 2017","Currency=INR","Period=FY","BEST_FPERIOD_OVERRIDE=FY","FILING_STATUS=OR","EQY_CONSOLIDATED=Y","Sort=A","Dates=H","DateFormat=P","Fill=—","Direction=H","UseDPDF=Y")</f>
        <v>#NAME?</v>
      </c>
      <c r="AF243" s="2" t="e">
        <f ca="1">_xll.BDH($C$228,"ACCOUNTS_PAYABLE_GROWTH_1YR","FY 2017","FY 2017","Currency=INR","Period=FY","BEST_FPERIOD_OVERRIDE=FY","FILING_STATUS=OR","EQY_CONSOLIDATED=Y","Sort=A","Dates=H","DateFormat=P","Fill=—","Direction=H","UseDPDF=Y")</f>
        <v>#NAME?</v>
      </c>
      <c r="AG243" s="2" t="e">
        <f ca="1">_xll.BDH($C$228,"SHORT_TERM_DEBT_1_YEAR_GROWTH","FY 2017","FY 2017","Currency=INR","Period=FY","BEST_FPERIOD_OVERRIDE=FY","FILING_STATUS=OR","EQY_CONSOLIDATED=Y","Sort=A","Dates=H","DateFormat=P","Fill=—","Direction=H","UseDPDF=Y")</f>
        <v>#NAME?</v>
      </c>
      <c r="AH243" s="2" t="e">
        <f ca="1">_xll.BDH($C$228,"TOTAL_DEBT_1_YEAR_GROWTH","FY 2017","FY 2017","Currency=INR","Period=FY","BEST_FPERIOD_OVERRIDE=FY","FILING_STATUS=OR","EQY_CONSOLIDATED=Y","Sort=A","Dates=H","DateFormat=P","Fill=—","Direction=H","UseDPDF=Y")</f>
        <v>#NAME?</v>
      </c>
      <c r="AI243" s="2" t="e">
        <f ca="1">_xll.BDH($C$228,"TOTAL_EQUITY_1_YEAR_GROWTH","FY 2017","FY 2017","Currency=INR","Period=FY","BEST_FPERIOD_OVERRIDE=FY","FILING_STATUS=OR","EQY_CONSOLIDATED=Y","Sort=A","Dates=H","DateFormat=P","Fill=—","Direction=H","UseDPDF=Y")</f>
        <v>#NAME?</v>
      </c>
      <c r="AJ243" s="2" t="e">
        <f ca="1">_xll.BDH($C$228,"GROWTH_IN_CAP","FY 2017","FY 2017","Currency=INR","Period=FY","BEST_FPERIOD_OVERRIDE=FY","FILING_STATUS=OR","EQY_CONSOLIDATED=Y","Sort=A","Dates=H","DateFormat=P","Fill=—","Direction=H","UseDPDF=Y")</f>
        <v>#NAME?</v>
      </c>
      <c r="AK243" s="2" t="e">
        <f ca="1">_xll.BDH($C$228,"BVPS_GROWTH","FY 2017","FY 2017","Currency=INR","Period=FY","BEST_FPERIOD_OVERRIDE=FY","FILING_STATUS=OR","EQY_CONSOLIDATED=Y","Sort=A","Dates=H","DateFormat=P","Fill=—","Direction=H","UseDPDF=Y")</f>
        <v>#NAME?</v>
      </c>
      <c r="AL243" s="2" t="e">
        <f ca="1">_xll.BDH($C$228,"CASH_FLOW_GROWTH","FY 2017","FY 2017","Currency=INR","Period=FY","BEST_FPERIOD_OVERRIDE=FY","FILING_STATUS=OR","EQY_CONSOLIDATED=Y","Sort=A","Dates=H","DateFormat=P","Fill=—","Direction=H","UseDPDF=Y")</f>
        <v>#NAME?</v>
      </c>
      <c r="AM243" s="2" t="e">
        <f ca="1">_xll.BDH($C$228,"GEO_GROW_NET_SALES","FY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43" s="2" t="e">
        <f ca="1">_xll.BDH($C$228,"GEO_GROW_EBITDA","FY 2017","FY 2017","Currency=INR","Period=FY","BEST_FPERIOD_OVERRIDE=FY","FILING_STATUS=OR","EQY_CONSOLIDATED=Y","FA_ADJUSTED=GAAP","Sort=A","Dates=H","DateFormat=P","Fill=—","Direction=H","UseDPDF=Y")</f>
        <v>#NAME?</v>
      </c>
      <c r="AO243" s="2" t="e">
        <f ca="1">_xll.BDH($C$228,"GEO_GROW_OPER_INC","FY 2017","FY 2017","Currency=INR","Period=FY","BEST_FPERIOD_OVERRIDE=FY","FILING_STATUS=OR","EQY_CONSOLIDATED=Y","FA_ADJUSTED=GAAP","Sort=A","Dates=H","DateFormat=P","Fill=—","Direction=H","UseDPDF=Y")</f>
        <v>#NAME?</v>
      </c>
      <c r="AP243" s="2" t="e">
        <f ca="1">_xll.BDH($C$228,"NET_INCOME_TO_COMMON_5_YR_GROWTH","FY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43" s="2" t="e">
        <f ca="1">_xll.BDH($C$228,"5Y_GEO_GROWTH_DILUTED_EPS","FY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43" s="2" t="e">
        <f ca="1">_xll.BDH($C$228,"GEO_GROW_DVD_PER_SH","FY 2017","FY 2017","Currency=INR","Period=FY","BEST_FPERIOD_OVERRIDE=FY","FILING_STATUS=OR","EQY_CONSOLIDATED=Y","Sort=A","Dates=H","DateFormat=P","Fill=—","Direction=H","UseDPDF=Y")</f>
        <v>#NAME?</v>
      </c>
      <c r="AS243" s="2" t="e">
        <f ca="1">_xll.BDH($C$228,"ACCOUNTS_RECEIVABLE_5_YR_GROWTH","FY 2017","FY 2017","Currency=INR","Period=FY","BEST_FPERIOD_OVERRIDE=FY","FILING_STATUS=OR","EQY_CONSOLIDATED=Y","Sort=A","Dates=H","DateFormat=P","Fill=—","Direction=H","UseDPDF=Y")</f>
        <v>#NAME?</v>
      </c>
      <c r="AT243" s="2" t="e">
        <f ca="1">_xll.BDH($C$228,"INVENTORY_5_YEAR_GROWTH","FY 2017","FY 2017","Currency=INR","Period=FY","BEST_FPERIOD_OVERRIDE=FY","FILING_STATUS=OR","EQY_CONSOLIDATED=Y","Sort=A","Dates=H","DateFormat=P","Fill=—","Direction=H","UseDPDF=Y")</f>
        <v>#NAME?</v>
      </c>
      <c r="AU243" s="2" t="e">
        <f ca="1">_xll.BDH($C$228,"NET_FIXED_ASSETS_5_YEAR_GROWTH","FY 2017","FY 2017","Currency=INR","Period=FY","BEST_FPERIOD_OVERRIDE=FY","FILING_STATUS=OR","EQY_CONSOLIDATED=Y","Sort=A","Dates=H","DateFormat=P","Fill=—","Direction=H","UseDPDF=Y")</f>
        <v>#NAME?</v>
      </c>
      <c r="AV243" s="2" t="e">
        <f ca="1">_xll.BDH($C$228,"GEO_GROW_TOT_ASSET","FY 2017","FY 2017","Currency=INR","Period=FY","BEST_FPERIOD_OVERRIDE=FY","FILING_STATUS=OR","EQY_CONSOLIDATED=Y","Sort=A","Dates=H","DateFormat=P","Fill=—","Direction=H","UseDPDF=Y")</f>
        <v>#NAME?</v>
      </c>
      <c r="AW243" s="2" t="e">
        <f ca="1">_xll.BDH($C$228,"MODIFIED_WORKING_CPTL_5YR_GRWTH","FY 2017","FY 2017","Currency=INR","Period=FY","BEST_FPERIOD_OVERRIDE=FY","FILING_STATUS=OR","EQY_CONSOLIDATED=Y","Sort=A","Dates=H","DateFormat=P","Fill=—","Direction=H","UseDPDF=Y")</f>
        <v>#NAME?</v>
      </c>
      <c r="AX243" s="2" t="e">
        <f ca="1">_xll.BDH($C$228,"WORKING_CAPITAL_5_YEAR_GROWTH","FY 2017","FY 2017","Currency=INR","Period=FY","BEST_FPERIOD_OVERRIDE=FY","FILING_STATUS=OR","EQY_CONSOLIDATED=Y","Sort=A","Dates=H","DateFormat=P","Fill=—","Direction=H","UseDPDF=Y")</f>
        <v>#NAME?</v>
      </c>
      <c r="AY243" s="2" t="e">
        <f ca="1">_xll.BDH($C$228,"ACCOUNTS_PAYABLE_5_YEAR_GROWTH","FY 2017","FY 2017","Currency=INR","Period=FY","BEST_FPERIOD_OVERRIDE=FY","FILING_STATUS=OR","EQY_CONSOLIDATED=Y","Sort=A","Dates=H","DateFormat=P","Fill=—","Direction=H","UseDPDF=Y")</f>
        <v>#NAME?</v>
      </c>
      <c r="AZ243" s="2" t="e">
        <f ca="1">_xll.BDH($C$228,"SHORT_TERM_DEBT_5_YEAR_GROWTH","FY 2017","FY 2017","Currency=INR","Period=FY","BEST_FPERIOD_OVERRIDE=FY","FILING_STATUS=OR","EQY_CONSOLIDATED=Y","Sort=A","Dates=H","DateFormat=P","Fill=—","Direction=H","UseDPDF=Y")</f>
        <v>#NAME?</v>
      </c>
      <c r="BA243" s="2" t="e">
        <f ca="1">_xll.BDH($C$228,"TOTAL_DEBT_5_YEAR_GROWTH","FY 2017","FY 2017","Currency=INR","Period=FY","BEST_FPERIOD_OVERRIDE=FY","FILING_STATUS=OR","EQY_CONSOLIDATED=Y","Sort=A","Dates=H","DateFormat=P","Fill=—","Direction=H","UseDPDF=Y")</f>
        <v>#NAME?</v>
      </c>
      <c r="BB243" s="2" t="e">
        <f ca="1">_xll.BDH($C$228,"GEO_GROW_TOT_SHRHLDR_EQY","FY 2017","FY 2017","Currency=INR","Period=FY","BEST_FPERIOD_OVERRIDE=FY","FILING_STATUS=OR","EQY_CONSOLIDATED=Y","Sort=A","Dates=H","DateFormat=P","Fill=—","Direction=H","UseDPDF=Y")</f>
        <v>#NAME?</v>
      </c>
      <c r="BC243" s="2" t="e">
        <f ca="1">_xll.BDH($C$228,"TOTAL_CAPITAL_5_YEAR_GROWTH","FY 2017","FY 2017","Currency=INR","Period=FY","BEST_FPERIOD_OVERRIDE=FY","FILING_STATUS=OR","EQY_CONSOLIDATED=Y","Sort=A","Dates=H","DateFormat=P","Fill=—","Direction=H","UseDPDF=Y")</f>
        <v>#NAME?</v>
      </c>
      <c r="BD243" s="2" t="e">
        <f ca="1">_xll.BDH($C$228,"GEO_GROW_BOOK_VAL","FY 2017","FY 2017","Currency=INR","Period=FY","BEST_FPERIOD_OVERRIDE=FY","FILING_STATUS=OR","EQY_CONSOLIDATED=Y","Sort=A","Dates=H","DateFormat=P","Fill=—","Direction=H","UseDPDF=Y")</f>
        <v>#NAME?</v>
      </c>
      <c r="BE243" s="2" t="e">
        <f ca="1">_xll.BDH($C$228,"GEO_GROW_CASH_OPER_ACT","FY 2017","FY 2017","Currency=INR","Period=FY","BEST_FPERIOD_OVERRIDE=FY","FILING_STATUS=OR","EQY_CONSOLIDATED=Y","Sort=A","Dates=H","DateFormat=P","Fill=—","Direction=H","UseDPDF=Y")</f>
        <v>#NAME?</v>
      </c>
      <c r="BF243" s="2" t="e">
        <f ca="1">_xll.BDH($C$228,"REVENUE_SEQUENTIAL_GROWTH","FY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43" s="2" t="e">
        <f ca="1">_xll.BDH($C$228,"EBITDA_SEQUENTIAL_GROWTH","FY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43" s="2" t="e">
        <f ca="1">_xll.BDH($C$228,"OPERATING_INCOME_SEQ_GROWTH","FY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43" s="2" t="e">
        <f ca="1">_xll.BDH($C$228,"NET_INCOME_TO_COMMON_SEQ_GROWTH","FY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43" s="2" t="e">
        <f ca="1">_xll.BDH($C$228,"EPS_DILUTED_SEQUENTIAL_GROWTH","FY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43" s="2" t="e">
        <f ca="1">_xll.BDH($C$228,"DPS_SEQUENTIAL_GROWTH","FY 2017","FY 2017","Currency=INR","Period=FY","BEST_FPERIOD_OVERRIDE=FY","FILING_STATUS=OR","EQY_CONSOLIDATED=Y","Sort=A","Dates=H","DateFormat=P","Fill=—","Direction=H","UseDPDF=Y")</f>
        <v>#NAME?</v>
      </c>
      <c r="BL243" s="2" t="e">
        <f ca="1">_xll.BDH($C$228,"ACCOUNTS_RECEIVABLE_SEQ_GROWTH","FY 2017","FY 2017","Currency=INR","Period=FY","BEST_FPERIOD_OVERRIDE=FY","FILING_STATUS=OR","EQY_CONSOLIDATED=Y","Sort=A","Dates=H","DateFormat=P","Fill=—","Direction=H","UseDPDF=Y")</f>
        <v>#NAME?</v>
      </c>
      <c r="BM243" s="2" t="e">
        <f ca="1">_xll.BDH($C$228,"INVENTORY_SEQUENTIAL_GROWTH","FY 2017","FY 2017","Currency=INR","Period=FY","BEST_FPERIOD_OVERRIDE=FY","FILING_STATUS=OR","EQY_CONSOLIDATED=Y","Sort=A","Dates=H","DateFormat=P","Fill=—","Direction=H","UseDPDF=Y")</f>
        <v>#NAME?</v>
      </c>
      <c r="BN243" s="2" t="e">
        <f ca="1">_xll.BDH($C$228,"FIXED_ASSETS_SEQUENTIAL_GROWTH","FY 2017","FY 2017","Currency=INR","Period=FY","BEST_FPERIOD_OVERRIDE=FY","FILING_STATUS=OR","EQY_CONSOLIDATED=Y","Sort=A","Dates=H","DateFormat=P","Fill=—","Direction=H","UseDPDF=Y")</f>
        <v>#NAME?</v>
      </c>
      <c r="BO243" s="2" t="e">
        <f ca="1">_xll.BDH($C$228,"TOTAL_ASSETS_SEQUENTIAL_GROWTH","FY 2017","FY 2017","Currency=INR","Period=FY","BEST_FPERIOD_OVERRIDE=FY","FILING_STATUS=OR","EQY_CONSOLIDATED=Y","Sort=A","Dates=H","DateFormat=P","Fill=—","Direction=H","UseDPDF=Y")</f>
        <v>#NAME?</v>
      </c>
      <c r="BP243" s="2" t="e">
        <f ca="1">_xll.BDH($C$228,"MODIFIED_WORKING_CPTL_SEQ_GRWTH","FY 2017","FY 2017","Currency=INR","Period=FY","BEST_FPERIOD_OVERRIDE=FY","FILING_STATUS=OR","EQY_CONSOLIDATED=Y","Sort=A","Dates=H","DateFormat=P","Fill=—","Direction=H","UseDPDF=Y")</f>
        <v>#NAME?</v>
      </c>
      <c r="BQ243" s="2" t="e">
        <f ca="1">_xll.BDH($C$228,"WORKING_CAPITAL_SEQ_GROWTH","FY 2017","FY 2017","Currency=INR","Period=FY","BEST_FPERIOD_OVERRIDE=FY","FILING_STATUS=OR","EQY_CONSOLIDATED=Y","Sort=A","Dates=H","DateFormat=P","Fill=—","Direction=H","UseDPDF=Y")</f>
        <v>#NAME?</v>
      </c>
      <c r="BR243" s="2" t="e">
        <f ca="1">_xll.BDH($C$228,"ACCOUNTS_PAYABLE_SEQ_GROWTH","FY 2017","FY 2017","Currency=INR","Period=FY","BEST_FPERIOD_OVERRIDE=FY","FILING_STATUS=OR","EQY_CONSOLIDATED=Y","Sort=A","Dates=H","DateFormat=P","Fill=—","Direction=H","UseDPDF=Y")</f>
        <v>#NAME?</v>
      </c>
      <c r="BS243" s="2" t="e">
        <f ca="1">_xll.BDH($C$228,"ST_DEBT_SEQUENTIAL_GROWTH","FY 2017","FY 2017","Currency=INR","Period=FY","BEST_FPERIOD_OVERRIDE=FY","FILING_STATUS=OR","EQY_CONSOLIDATED=Y","Sort=A","Dates=H","DateFormat=P","Fill=—","Direction=H","UseDPDF=Y")</f>
        <v>#NAME?</v>
      </c>
      <c r="BT243" s="2" t="e">
        <f ca="1">_xll.BDH($C$228,"TOTAL_DEBT_SEQUENTIAL_GROWTH","FY 2017","FY 2017","Currency=INR","Period=FY","BEST_FPERIOD_OVERRIDE=FY","FILING_STATUS=OR","EQY_CONSOLIDATED=Y","Sort=A","Dates=H","DateFormat=P","Fill=—","Direction=H","UseDPDF=Y")</f>
        <v>#NAME?</v>
      </c>
      <c r="BU243" s="2" t="e">
        <f ca="1">_xll.BDH($C$228,"TOTAL_EQUITY_SEQUENTIAL_GROWTH","FY 2017","FY 2017","Currency=INR","Period=FY","BEST_FPERIOD_OVERRIDE=FY","FILING_STATUS=OR","EQY_CONSOLIDATED=Y","Sort=A","Dates=H","DateFormat=P","Fill=—","Direction=H","UseDPDF=Y")</f>
        <v>#NAME?</v>
      </c>
      <c r="BV243" s="2" t="e">
        <f ca="1">_xll.BDH($C$228,"TOTAL_CAPITAL_SEQUENTIAL_GROWTH","FY 2017","FY 2017","Currency=INR","Period=FY","BEST_FPERIOD_OVERRIDE=FY","FILING_STATUS=OR","EQY_CONSOLIDATED=Y","Sort=A","Dates=H","DateFormat=P","Fill=—","Direction=H","UseDPDF=Y")</f>
        <v>#NAME?</v>
      </c>
      <c r="BW243" s="2" t="e">
        <f ca="1">_xll.BDH($C$228,"BPS_SEQUENTIAL_GROWTH","FY 2017","FY 2017","Currency=INR","Period=FY","BEST_FPERIOD_OVERRIDE=FY","FILING_STATUS=OR","EQY_CONSOLIDATED=Y","Sort=A","Dates=H","DateFormat=P","Fill=—","Direction=H","UseDPDF=Y")</f>
        <v>#NAME?</v>
      </c>
      <c r="BX243" s="2" t="e">
        <f ca="1">_xll.BDH($C$228,"CFO_SEQUENTIAL_GROWTH","FY 2017","FY 2017","Currency=INR","Period=FY","BEST_FPERIOD_OVERRIDE=FY","FILING_STATUS=OR","EQY_CONSOLIDATED=Y","Sort=A","Dates=H","DateFormat=P","Fill=—","Direction=H","UseDPDF=Y")</f>
        <v>#NAME?</v>
      </c>
      <c r="BY243" s="3" t="e">
        <f ca="1">_xll.BDH($C$228,"SHORT_AND_LONG_TERM_DEBT","FY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43" s="3" t="e">
        <f ca="1">_xll.BDH($C$228,"BS_ST_BORROW","FY 2017","FY 2017","Currency=INR","Period=FY","BEST_FPERIOD_OVERRIDE=FY","FILING_STATUS=OR","EQY_CONSOLIDATED=Y","SCALING_FORMAT=MLN","Sort=A","Dates=H","DateFormat=P","Fill=—","Direction=H","UseDPDF=Y")</f>
        <v>#NAME?</v>
      </c>
      <c r="CA243" s="3" t="e">
        <f ca="1">_xll.BDH($C$228,"BS_LT_BORROW","FY 2017","FY 2017","Currency=INR","Period=FY","BEST_FPERIOD_OVERRIDE=FY","FILING_STATUS=OR","EQY_CONSOLIDATED=Y","SCALING_FORMAT=MLN","Sort=A","Dates=H","DateFormat=P","Fill=—","Direction=H","UseDPDF=Y")</f>
        <v>#NAME?</v>
      </c>
      <c r="CB243" s="2" t="e">
        <f ca="1">_xll.BDH($C$228,"TOT_DEBT_TO_EBITDA","FY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43" s="2" t="e">
        <f ca="1">_xll.BDH($C$228,"NET_DEBT_TO_EBITDA","FY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43" s="2" t="e">
        <f ca="1">_xll.BDH($C$228,"TOTAL_DEBT_TO_EBIT","FY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43" s="2" t="e">
        <f ca="1">_xll.BDH($C$228,"NET_DEBT_TO_EBIT","FY 2017","FY 2017","Currency=INR","Period=FY","BEST_FPERIOD_OVERRIDE=FY","FILING_STATUS=OR","EQY_CONSOLIDATED=Y","FA_ADJUSTED=GAAP","Sort=A","Dates=H","DateFormat=P","Fill=—","Direction=H","UseDPDF=Y")</f>
        <v>#NAME?</v>
      </c>
      <c r="CF243" s="2" t="e">
        <f ca="1">_xll.BDH($C$228,"EBITDA_TO_INTEREST_EXPN","FY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43" s="2" t="e">
        <f ca="1">_xll.BDH($C$228,"COM_EQY_TO_TOT_ASSET","FY 2017","FY 2017","Currency=INR","Period=FY","BEST_FPERIOD_OVERRIDE=FY","FILING_STATUS=OR","EQY_CONSOLIDATED=Y","Sort=A","Dates=H","DateFormat=P","Fill=—","Direction=H","UseDPDF=Y")</f>
        <v>#NAME?</v>
      </c>
      <c r="CH243" s="2" t="e">
        <f ca="1">_xll.BDH($C$228,"LT_DEBT_TO_TOT_EQY","FY 2017","FY 2017","Currency=INR","Period=FY","BEST_FPERIOD_OVERRIDE=FY","FILING_STATUS=OR","EQY_CONSOLIDATED=Y","Sort=A","Dates=H","DateFormat=P","Fill=—","Direction=H","UseDPDF=Y")</f>
        <v>#NAME?</v>
      </c>
      <c r="CI243" s="2" t="e">
        <f ca="1">_xll.BDH($C$228,"LT_DEBT_TO_TOT_CAP","FY 2017","FY 2017","Currency=INR","Period=FY","BEST_FPERIOD_OVERRIDE=FY","FILING_STATUS=OR","EQY_CONSOLIDATED=Y","Sort=A","Dates=H","DateFormat=P","Fill=—","Direction=H","UseDPDF=Y")</f>
        <v>#NAME?</v>
      </c>
      <c r="CJ243" s="2" t="e">
        <f ca="1">_xll.BDH($C$228,"LT_DEBT_TO_TOT_ASSET","FY 2017","FY 2017","Currency=INR","Period=FY","BEST_FPERIOD_OVERRIDE=FY","FILING_STATUS=OR","EQY_CONSOLIDATED=Y","Sort=A","Dates=H","DateFormat=P","Fill=—","Direction=H","UseDPDF=Y")</f>
        <v>#NAME?</v>
      </c>
      <c r="CK243" s="2" t="e">
        <f ca="1">_xll.BDH($C$228,"TOT_DEBT_TO_TOT_EQY","FY 2017","FY 2017","Currency=INR","Period=FY","BEST_FPERIOD_OVERRIDE=FY","FILING_STATUS=OR","EQY_CONSOLIDATED=Y","Sort=A","Dates=H","DateFormat=P","Fill=—","Direction=H","UseDPDF=Y")</f>
        <v>#NAME?</v>
      </c>
      <c r="CL243" s="2" t="e">
        <f ca="1">_xll.BDH($C$228,"TOT_DEBT_TO_TOT_CAP","FY 2017","FY 2017","Currency=INR","Period=FY","BEST_FPERIOD_OVERRIDE=FY","FILING_STATUS=OR","EQY_CONSOLIDATED=Y","Sort=A","Dates=H","DateFormat=P","Fill=—","Direction=H","UseDPDF=Y")</f>
        <v>#NAME?</v>
      </c>
      <c r="CM243" s="2" t="e">
        <f ca="1">_xll.BDH($C$228,"TOT_DEBT_TO_TOT_ASSET","FY 2017","FY 2017","Currency=INR","Period=FY","BEST_FPERIOD_OVERRIDE=FY","FILING_STATUS=OR","EQY_CONSOLIDATED=Y","Sort=A","Dates=H","DateFormat=P","Fill=—","Direction=H","UseDPDF=Y")</f>
        <v>#NAME?</v>
      </c>
      <c r="CN243" s="2" t="e">
        <f ca="1">_xll.BDH($C$228,"NET_DEBT_TO_SHRHLDR_EQTY","FY 2017","FY 2017","Currency=INR","Period=FY","BEST_FPERIOD_OVERRIDE=FY","FILING_STATUS=OR","EQY_CONSOLIDATED=Y","Sort=A","Dates=H","DateFormat=P","Fill=—","Direction=H","UseDPDF=Y")</f>
        <v>#NAME?</v>
      </c>
      <c r="CO243" s="2" t="e">
        <f ca="1">_xll.BDH($C$228,"NET_DEBT_%_CAPITAL","FY 2017","FY 2017","Currency=INR","Period=FY","BEST_FPERIOD_OVERRIDE=FY","FILING_STATUS=OR","EQY_CONSOLIDATED=Y","Sort=A","Dates=H","DateFormat=P","Fill=—","Direction=H","UseDPDF=Y")</f>
        <v>#NAME?</v>
      </c>
      <c r="CP243" s="3" t="e">
        <f ca="1">_xll.BDH($C$228,"EBITDA","FY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43" s="3" t="e">
        <f ca="1">_xll.BDH($C$228,"EBITDA_AFTER_CAPEX","FY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43" s="3" t="e">
        <f ca="1">_xll.BDH($C$228,"IS_OPER_INC","FY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43" s="2" t="e">
        <f ca="1">_xll.BDH($C$228,"CASH_RATIO","FY 2017","FY 2017","Currency=INR","Period=FY","BEST_FPERIOD_OVERRIDE=FY","FILING_STATUS=OR","EQY_CONSOLIDATED=Y","Sort=A","Dates=H","DateFormat=P","Fill=—","Direction=H","UseDPDF=Y")</f>
        <v>#NAME?</v>
      </c>
      <c r="CT243" s="2" t="e">
        <f ca="1">_xll.BDH($C$228,"CUR_RATIO","FY 2017","FY 2017","Currency=INR","Period=FY","BEST_FPERIOD_OVERRIDE=FY","FILING_STATUS=OR","EQY_CONSOLIDATED=Y","Sort=A","Dates=H","DateFormat=P","Fill=—","Direction=H","UseDPDF=Y")</f>
        <v>#NAME?</v>
      </c>
      <c r="CU243" s="2" t="e">
        <f ca="1">_xll.BDH($C$228,"QUICK_RATIO","FY 2017","FY 2017","Currency=INR","Period=FY","BEST_FPERIOD_OVERRIDE=FY","FILING_STATUS=OR","EQY_CONSOLIDATED=Y","Sort=A","Dates=H","DateFormat=P","Fill=—","Direction=H","UseDPDF=Y")</f>
        <v>#NAME?</v>
      </c>
      <c r="CV243" s="2" t="e">
        <f ca="1">_xll.BDH($C$228,"ALTMAN_Z_SCORE","FY 2017","FY 2017","Currency=INR","Period=FY","BEST_FPERIOD_OVERRIDE=FY","FILING_STATUS=OR","EQY_CONSOLIDATED=Y","Sort=A","Dates=H","DateFormat=P","Fill=—","Direction=H","UseDPDF=Y")</f>
        <v>#NAME?</v>
      </c>
      <c r="CW243" s="4" t="e">
        <f ca="1">_xll.BDH($C$228,"ACCT_RCV_TURN","FY 2017","FY 2017","Currency=INR","Period=FY","BEST_FPERIOD_OVERRIDE=FY","FILING_STATUS=OR","EQY_CONSOLIDATED=Y","FA_ADJUSTED=GAAP","Sort=A","Dates=H","DateFormat=P","Fill=—","Direction=H","UseDPDF=Y")</f>
        <v>#NAME?</v>
      </c>
      <c r="CX243" s="2" t="e">
        <f ca="1">_xll.BDH($C$228,"ACCT_RCV_DAYS","FY 2017","FY 2017","Currency=INR","Period=FY","BEST_FPERIOD_OVERRIDE=FY","FILING_STATUS=OR","EQY_CONSOLIDATED=Y","FA_ADJUSTED=GAAP","Sort=A","Dates=H","DateFormat=P","Fill=—","Direction=H","UseDPDF=Y")</f>
        <v>#NAME?</v>
      </c>
      <c r="CY243" s="4" t="e">
        <f ca="1">_xll.BDH($C$228,"INVENT_TURN","FY 2017","FY 2017","Currency=INR","Period=FY","BEST_FPERIOD_OVERRIDE=FY","FILING_STATUS=OR","EQY_CONSOLIDATED=Y","FA_ADJUSTED=GAAP","Sort=A","Dates=H","DateFormat=P","Fill=—","Direction=H","UseDPDF=Y")</f>
        <v>#NAME?</v>
      </c>
      <c r="CZ243" s="2" t="e">
        <f ca="1">_xll.BDH($C$228,"INVENT_DAYS","FY 2017","FY 2017","Currency=INR","Period=FY","BEST_FPERIOD_OVERRIDE=FY","FILING_STATUS=OR","EQY_CONSOLIDATED=Y","FA_ADJUSTED=GAAP","Sort=A","Dates=H","DateFormat=P","Fill=—","Direction=H","UseDPDF=Y")</f>
        <v>#NAME?</v>
      </c>
      <c r="DA243" s="4" t="e">
        <f ca="1">_xll.BDH($C$228,"ACCOUNTS_PAYABLE_TURNOVER","FY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43" s="2" t="e">
        <f ca="1">_xll.BDH($C$228,"ACCOUNTS_PAYABLE_TURNOVER_DAYS","FY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43" s="4" t="e">
        <f ca="1">_xll.BDH($C$228,"CASH_CONVERSION_CYCLE","FY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43" s="4" t="e">
        <f ca="1">_xll.BDH($C$228,"INV_TO_CASH_DAYS","FY 2017","FY 2017","Currency=INR","Period=FY","BEST_FPERIOD_OVERRIDE=FY","FILING_STATUS=OR","EQY_CONSOLIDATED=Y","FA_ADJUSTED=GAAP","Sort=A","Dates=H","DateFormat=P","Fill=—","Direction=H","UseDPDF=Y")</f>
        <v>#NAME?</v>
      </c>
      <c r="DE243" s="5" t="e">
        <f ca="1">_xll.BDH($C$228,"BS_INVENTORIES","FY 2017","FY 2017","Currency=INR","Period=FY","BEST_FPERIOD_OVERRIDE=FY","FILING_STATUS=OR","EQY_CONSOLIDATED=Y","SCALING_FORMAT=MLN","Sort=A","Dates=H","DateFormat=P","Fill=—","Direction=H","UseDPDF=Y")</f>
        <v>#NAME?</v>
      </c>
      <c r="DF243" s="3" t="e">
        <f ca="1">_xll.BDH($C$228,"INVTRY_RAW_MATERIALS","FY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43" s="3" t="e">
        <f ca="1">_xll.BDH($C$228,"INVTRY_IN_PROGRESS","FY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43" s="3" t="e">
        <f ca="1">_xll.BDH($C$228,"INVTRY_FINISHED_GOODS","FY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43" s="3" t="e">
        <f ca="1">_xll.BDH($C$228,"BS_OTHER_INV","FY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44" spans="1:113" x14ac:dyDescent="0.3">
      <c r="A244" s="6"/>
      <c r="B244" s="6"/>
      <c r="C244" s="6"/>
      <c r="D244" s="6"/>
      <c r="E244" t="s">
        <v>78</v>
      </c>
      <c r="F244" t="e">
        <f ca="1">_xll.BDH($C$228,"RETURN_COM_EQY","FQ1 2017","FQ1 2017","Currency=INR","Period=FQ","BEST_FPERIOD_OVERRIDE=FQ","FILING_STATUS=OR","EQY_CONSOLIDATED=Y","FA_ADJUSTED=GAAP","Sort=A","Dates=H","DateFormat=P","Fill=—","Direction=H","UseDPDF=Y")</f>
        <v>#NAME?</v>
      </c>
      <c r="G244" t="e">
        <f ca="1">_xll.BDH($C$228,"RETURN_ON_ASSET","FQ1 2017","FQ1 2017","Currency=INR","Period=FQ","BEST_FPERIOD_OVERRIDE=FQ","FILING_STATUS=OR","EQY_CONSOLIDATED=Y","FA_ADJUSTED=GAAP","Sort=A","Dates=H","DateFormat=P","Fill=—","Direction=H","UseDPDF=Y")</f>
        <v>#NAME?</v>
      </c>
      <c r="H244" t="e">
        <f ca="1">_xll.BDH($C$228,"RETURN_ON_CAP","FQ1 2017","FQ1 2017","Currency=INR","Period=FQ","BEST_FPERIOD_OVERRIDE=FQ","FILING_STATUS=OR","EQY_CONSOLIDATED=Y","FA_ADJUSTED=GAAP","Sort=A","Dates=H","DateFormat=P","Fill=—","Direction=H","UseDPDF=Y")</f>
        <v>#NAME?</v>
      </c>
      <c r="I244" t="e">
        <f ca="1">_xll.BDH($C$228,"RETURN_ON_INV_CAPITAL","FQ1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44" t="e">
        <f ca="1">_xll.BDH($C$228,"EBITDA_TO_REVENUE","FQ1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44" t="e">
        <f ca="1">_xll.BDH($C$228,"OPER_MARGIN","FQ1 2017","FQ1 2017","Currency=INR","Period=FQ","BEST_FPERIOD_OVERRIDE=FQ","FILING_STATUS=OR","EQY_CONSOLIDATED=Y","FA_ADJUSTED=GAAP","Sort=A","Dates=H","DateFormat=P","Fill=—","Direction=H","UseDPDF=Y")</f>
        <v>#NAME?</v>
      </c>
      <c r="L244" t="e">
        <f ca="1">_xll.BDH($C$228,"INCREMENTAL_OPERATING_MARGIN","FQ1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44" t="e">
        <f ca="1">_xll.BDH($C$228,"PRETAX_INC_TO_NET_SALES","FQ1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44" t="e">
        <f ca="1">_xll.BDH($C$228,"INC_BEF_XO_ITEMS_TO_NET_SALES","FQ1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44" t="e">
        <f ca="1">_xll.BDH($C$228,"PROF_MARGIN","FQ1 2017","FQ1 2017","Currency=INR","Period=FQ","BEST_FPERIOD_OVERRIDE=FQ","FILING_STATUS=OR","EQY_CONSOLIDATED=Y","FA_ADJUSTED=GAAP","Sort=A","Dates=H","DateFormat=P","Fill=—","Direction=H","UseDPDF=Y")</f>
        <v>#NAME?</v>
      </c>
      <c r="P244" t="e">
        <f ca="1">_xll.BDH($C$228,"NET_INCOME_TO_COMMON_MARGIN","FQ1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44" t="e">
        <f ca="1">_xll.BDH($C$228,"EFF_TAX_RATE","FQ1 2017","FQ1 2017","Currency=INR","Period=FQ","BEST_FPERIOD_OVERRIDE=FQ","FILING_STATUS=OR","EQY_CONSOLIDATED=Y","FA_ADJUSTED=GAAP","Sort=A","Dates=H","DateFormat=P","Fill=—","Direction=H","UseDPDF=Y")</f>
        <v>#NAME?</v>
      </c>
      <c r="R244" t="e">
        <f ca="1">_xll.BDH($C$228,"DVD_PAYOUT_RATIO","FQ1 2017","FQ1 2017","Currency=INR","Period=FQ","BEST_FPERIOD_OVERRIDE=FQ","FILING_STATUS=OR","EQY_CONSOLIDATED=Y","FA_ADJUSTED=GAAP","Sort=A","Dates=H","DateFormat=P","Fill=—","Direction=H","UseDPDF=Y")</f>
        <v>#NAME?</v>
      </c>
      <c r="S244" t="e">
        <f ca="1">_xll.BDH($C$228,"SUSTAIN_GROWTH_RT","FQ1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44" s="2" t="e">
        <f ca="1">_xll.BDH($C$228,"SALES_GROWTH","FQ1 2017","FQ1 2017","Currency=INR","Period=FQ","BEST_FPERIOD_OVERRIDE=FQ","FILING_STATUS=OR","EQY_CONSOLIDATED=Y","FA_ADJUSTED=GAAP","Sort=A","Dates=H","DateFormat=P","Fill=—","Direction=H","UseDPDF=Y")</f>
        <v>#NAME?</v>
      </c>
      <c r="U244" s="2" t="e">
        <f ca="1">_xll.BDH($C$228,"EBITDA_GROWTH","FQ1 2017","FQ1 2017","Currency=INR","Period=FQ","BEST_FPERIOD_OVERRIDE=FQ","FILING_STATUS=OR","EQY_CONSOLIDATED=Y","FA_ADJUSTED=GAAP","Sort=A","Dates=H","DateFormat=P","Fill=—","Direction=H","UseDPDF=Y")</f>
        <v>#NAME?</v>
      </c>
      <c r="V244" s="2" t="e">
        <f ca="1">_xll.BDH($C$228,"OPER_INC_GROWTH","FQ1 2017","FQ1 2017","Currency=INR","Period=FQ","BEST_FPERIOD_OVERRIDE=FQ","FILING_STATUS=OR","EQY_CONSOLIDATED=Y","FA_ADJUSTED=GAAP","Sort=A","Dates=H","DateFormat=P","Fill=—","Direction=H","UseDPDF=Y")</f>
        <v>#NAME?</v>
      </c>
      <c r="W244" s="2" t="e">
        <f ca="1">_xll.BDH($C$228,"EARN_FOR_COM_GROWTH","FQ1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44" s="2" t="e">
        <f ca="1">_xll.BDH($C$228,"DILUTED_EPS_AFT_XO_ITEMS_GROWTH","FQ1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44" s="2" t="e">
        <f ca="1">_xll.BDH($C$228,"DIVIDEND_PER_SHARE_1_YEAR_GROWTH","FQ1 2017","FQ1 2017","Currency=INR","Period=FQ","BEST_FPERIOD_OVERRIDE=FQ","FILING_STATUS=OR","EQY_CONSOLIDATED=Y","Sort=A","Dates=H","DateFormat=P","Fill=—","Direction=H","UseDPDF=Y")</f>
        <v>#NAME?</v>
      </c>
      <c r="Z244" s="2" t="e">
        <f ca="1">_xll.BDH($C$228,"ACCOUNTS_RECEIVABLE_GROWTH","FQ1 2017","FQ1 2017","Currency=INR","Period=FQ","BEST_FPERIOD_OVERRIDE=FQ","FILING_STATUS=OR","EQY_CONSOLIDATED=Y","Sort=A","Dates=H","DateFormat=P","Fill=—","Direction=H","UseDPDF=Y")</f>
        <v>#NAME?</v>
      </c>
      <c r="AA244" s="2" t="e">
        <f ca="1">_xll.BDH($C$228,"INVENTORY_GROWTH","FQ1 2017","FQ1 2017","Currency=INR","Period=FQ","BEST_FPERIOD_OVERRIDE=FQ","FILING_STATUS=OR","EQY_CONSOLIDATED=Y","Sort=A","Dates=H","DateFormat=P","Fill=—","Direction=H","UseDPDF=Y")</f>
        <v>#NAME?</v>
      </c>
      <c r="AB244" s="2" t="e">
        <f ca="1">_xll.BDH($C$228,"NET_FIXED_ASSETS_1_YEAR_GROWTH","FQ1 2017","FQ1 2017","Currency=INR","Period=FQ","BEST_FPERIOD_OVERRIDE=FQ","FILING_STATUS=OR","EQY_CONSOLIDATED=Y","Sort=A","Dates=H","DateFormat=P","Fill=—","Direction=H","UseDPDF=Y")</f>
        <v>#NAME?</v>
      </c>
      <c r="AC244" s="2" t="e">
        <f ca="1">_xll.BDH($C$228,"ASSET_GROWTH","FQ1 2017","FQ1 2017","Currency=INR","Period=FQ","BEST_FPERIOD_OVERRIDE=FQ","FILING_STATUS=OR","EQY_CONSOLIDATED=Y","Sort=A","Dates=H","DateFormat=P","Fill=—","Direction=H","UseDPDF=Y")</f>
        <v>#NAME?</v>
      </c>
      <c r="AD244" s="2" t="e">
        <f ca="1">_xll.BDH($C$228,"MODIFIED_WORK_CAP_GROWTH","FQ1 2017","FQ1 2017","Currency=INR","Period=FQ","BEST_FPERIOD_OVERRIDE=FQ","FILING_STATUS=OR","EQY_CONSOLIDATED=Y","Sort=A","Dates=H","DateFormat=P","Fill=—","Direction=H","UseDPDF=Y")</f>
        <v>#NAME?</v>
      </c>
      <c r="AE244" s="2" t="e">
        <f ca="1">_xll.BDH($C$228,"WORK_CAP_GROWTH","FQ1 2017","FQ1 2017","Currency=INR","Period=FQ","BEST_FPERIOD_OVERRIDE=FQ","FILING_STATUS=OR","EQY_CONSOLIDATED=Y","Sort=A","Dates=H","DateFormat=P","Fill=—","Direction=H","UseDPDF=Y")</f>
        <v>#NAME?</v>
      </c>
      <c r="AF244" s="2" t="e">
        <f ca="1">_xll.BDH($C$228,"ACCOUNTS_PAYABLE_GROWTH_1YR","FQ1 2017","FQ1 2017","Currency=INR","Period=FQ","BEST_FPERIOD_OVERRIDE=FQ","FILING_STATUS=OR","EQY_CONSOLIDATED=Y","Sort=A","Dates=H","DateFormat=P","Fill=—","Direction=H","UseDPDF=Y")</f>
        <v>#NAME?</v>
      </c>
      <c r="AG244" s="2" t="e">
        <f ca="1">_xll.BDH($C$228,"SHORT_TERM_DEBT_1_YEAR_GROWTH","FQ1 2017","FQ1 2017","Currency=INR","Period=FQ","BEST_FPERIOD_OVERRIDE=FQ","FILING_STATUS=OR","EQY_CONSOLIDATED=Y","Sort=A","Dates=H","DateFormat=P","Fill=—","Direction=H","UseDPDF=Y")</f>
        <v>#NAME?</v>
      </c>
      <c r="AH244" s="2" t="e">
        <f ca="1">_xll.BDH($C$228,"TOTAL_DEBT_1_YEAR_GROWTH","FQ1 2017","FQ1 2017","Currency=INR","Period=FQ","BEST_FPERIOD_OVERRIDE=FQ","FILING_STATUS=OR","EQY_CONSOLIDATED=Y","Sort=A","Dates=H","DateFormat=P","Fill=—","Direction=H","UseDPDF=Y")</f>
        <v>#NAME?</v>
      </c>
      <c r="AI244" s="2" t="e">
        <f ca="1">_xll.BDH($C$228,"TOTAL_EQUITY_1_YEAR_GROWTH","FQ1 2017","FQ1 2017","Currency=INR","Period=FQ","BEST_FPERIOD_OVERRIDE=FQ","FILING_STATUS=OR","EQY_CONSOLIDATED=Y","Sort=A","Dates=H","DateFormat=P","Fill=—","Direction=H","UseDPDF=Y")</f>
        <v>#NAME?</v>
      </c>
      <c r="AJ244" s="2" t="e">
        <f ca="1">_xll.BDH($C$228,"GROWTH_IN_CAP","FQ1 2017","FQ1 2017","Currency=INR","Period=FQ","BEST_FPERIOD_OVERRIDE=FQ","FILING_STATUS=OR","EQY_CONSOLIDATED=Y","Sort=A","Dates=H","DateFormat=P","Fill=—","Direction=H","UseDPDF=Y")</f>
        <v>#NAME?</v>
      </c>
      <c r="AK244" s="2" t="e">
        <f ca="1">_xll.BDH($C$228,"BVPS_GROWTH","FQ1 2017","FQ1 2017","Currency=INR","Period=FQ","BEST_FPERIOD_OVERRIDE=FQ","FILING_STATUS=OR","EQY_CONSOLIDATED=Y","Sort=A","Dates=H","DateFormat=P","Fill=—","Direction=H","UseDPDF=Y")</f>
        <v>#NAME?</v>
      </c>
      <c r="AL244" s="2" t="e">
        <f ca="1">_xll.BDH($C$228,"CASH_FLOW_GROWTH","FQ1 2017","FQ1 2017","Currency=INR","Period=FQ","BEST_FPERIOD_OVERRIDE=FQ","FILING_STATUS=OR","EQY_CONSOLIDATED=Y","Sort=A","Dates=H","DateFormat=P","Fill=—","Direction=H","UseDPDF=Y")</f>
        <v>#NAME?</v>
      </c>
      <c r="AM244" s="2" t="e">
        <f ca="1">_xll.BDH($C$228,"GEO_GROW_NET_SALES","FQ1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44" s="2" t="e">
        <f ca="1">_xll.BDH($C$228,"GEO_GROW_EBITDA","FQ1 2017","FQ1 2017","Currency=INR","Period=FQ","BEST_FPERIOD_OVERRIDE=FQ","FILING_STATUS=OR","EQY_CONSOLIDATED=Y","FA_ADJUSTED=GAAP","Sort=A","Dates=H","DateFormat=P","Fill=—","Direction=H","UseDPDF=Y")</f>
        <v>#NAME?</v>
      </c>
      <c r="AO244" s="2" t="e">
        <f ca="1">_xll.BDH($C$228,"GEO_GROW_OPER_INC","FQ1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44" s="2" t="e">
        <f ca="1">_xll.BDH($C$228,"NET_INCOME_TO_COMMON_5_YR_GROWTH","FQ1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44" s="2" t="e">
        <f ca="1">_xll.BDH($C$228,"5Y_GEO_GROWTH_DILUTED_EPS","FQ1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44" s="2" t="e">
        <f ca="1">_xll.BDH($C$228,"GEO_GROW_DVD_PER_SH","FQ1 2017","FQ1 2017","Currency=INR","Period=FQ","BEST_FPERIOD_OVERRIDE=FQ","FILING_STATUS=OR","EQY_CONSOLIDATED=Y","Sort=A","Dates=H","DateFormat=P","Fill=—","Direction=H","UseDPDF=Y")</f>
        <v>#NAME?</v>
      </c>
      <c r="AS244" s="2" t="e">
        <f ca="1">_xll.BDH($C$228,"ACCOUNTS_RECEIVABLE_5_YR_GROWTH","FQ1 2017","FQ1 2017","Currency=INR","Period=FQ","BEST_FPERIOD_OVERRIDE=FQ","FILING_STATUS=OR","EQY_CONSOLIDATED=Y","Sort=A","Dates=H","DateFormat=P","Fill=—","Direction=H","UseDPDF=Y")</f>
        <v>#NAME?</v>
      </c>
      <c r="AT244" s="2" t="e">
        <f ca="1">_xll.BDH($C$228,"INVENTORY_5_YEAR_GROWTH","FQ1 2017","FQ1 2017","Currency=INR","Period=FQ","BEST_FPERIOD_OVERRIDE=FQ","FILING_STATUS=OR","EQY_CONSOLIDATED=Y","Sort=A","Dates=H","DateFormat=P","Fill=—","Direction=H","UseDPDF=Y")</f>
        <v>#NAME?</v>
      </c>
      <c r="AU244" s="2" t="e">
        <f ca="1">_xll.BDH($C$228,"NET_FIXED_ASSETS_5_YEAR_GROWTH","FQ1 2017","FQ1 2017","Currency=INR","Period=FQ","BEST_FPERIOD_OVERRIDE=FQ","FILING_STATUS=OR","EQY_CONSOLIDATED=Y","Sort=A","Dates=H","DateFormat=P","Fill=—","Direction=H","UseDPDF=Y")</f>
        <v>#NAME?</v>
      </c>
      <c r="AV244" s="2" t="e">
        <f ca="1">_xll.BDH($C$228,"GEO_GROW_TOT_ASSET","FQ1 2017","FQ1 2017","Currency=INR","Period=FQ","BEST_FPERIOD_OVERRIDE=FQ","FILING_STATUS=OR","EQY_CONSOLIDATED=Y","Sort=A","Dates=H","DateFormat=P","Fill=—","Direction=H","UseDPDF=Y")</f>
        <v>#NAME?</v>
      </c>
      <c r="AW244" s="2" t="e">
        <f ca="1">_xll.BDH($C$228,"MODIFIED_WORKING_CPTL_5YR_GRWTH","FQ1 2017","FQ1 2017","Currency=INR","Period=FQ","BEST_FPERIOD_OVERRIDE=FQ","FILING_STATUS=OR","EQY_CONSOLIDATED=Y","Sort=A","Dates=H","DateFormat=P","Fill=—","Direction=H","UseDPDF=Y")</f>
        <v>#NAME?</v>
      </c>
      <c r="AX244" s="2" t="e">
        <f ca="1">_xll.BDH($C$228,"WORKING_CAPITAL_5_YEAR_GROWTH","FQ1 2017","FQ1 2017","Currency=INR","Period=FQ","BEST_FPERIOD_OVERRIDE=FQ","FILING_STATUS=OR","EQY_CONSOLIDATED=Y","Sort=A","Dates=H","DateFormat=P","Fill=—","Direction=H","UseDPDF=Y")</f>
        <v>#NAME?</v>
      </c>
      <c r="AY244" s="2" t="e">
        <f ca="1">_xll.BDH($C$228,"ACCOUNTS_PAYABLE_5_YEAR_GROWTH","FQ1 2017","FQ1 2017","Currency=INR","Period=FQ","BEST_FPERIOD_OVERRIDE=FQ","FILING_STATUS=OR","EQY_CONSOLIDATED=Y","Sort=A","Dates=H","DateFormat=P","Fill=—","Direction=H","UseDPDF=Y")</f>
        <v>#NAME?</v>
      </c>
      <c r="AZ244" s="2" t="e">
        <f ca="1">_xll.BDH($C$228,"SHORT_TERM_DEBT_5_YEAR_GROWTH","FQ1 2017","FQ1 2017","Currency=INR","Period=FQ","BEST_FPERIOD_OVERRIDE=FQ","FILING_STATUS=OR","EQY_CONSOLIDATED=Y","Sort=A","Dates=H","DateFormat=P","Fill=—","Direction=H","UseDPDF=Y")</f>
        <v>#NAME?</v>
      </c>
      <c r="BA244" s="2" t="e">
        <f ca="1">_xll.BDH($C$228,"TOTAL_DEBT_5_YEAR_GROWTH","FQ1 2017","FQ1 2017","Currency=INR","Period=FQ","BEST_FPERIOD_OVERRIDE=FQ","FILING_STATUS=OR","EQY_CONSOLIDATED=Y","Sort=A","Dates=H","DateFormat=P","Fill=—","Direction=H","UseDPDF=Y")</f>
        <v>#NAME?</v>
      </c>
      <c r="BB244" s="2" t="e">
        <f ca="1">_xll.BDH($C$228,"GEO_GROW_TOT_SHRHLDR_EQY","FQ1 2017","FQ1 2017","Currency=INR","Period=FQ","BEST_FPERIOD_OVERRIDE=FQ","FILING_STATUS=OR","EQY_CONSOLIDATED=Y","Sort=A","Dates=H","DateFormat=P","Fill=—","Direction=H","UseDPDF=Y")</f>
        <v>#NAME?</v>
      </c>
      <c r="BC244" s="2" t="e">
        <f ca="1">_xll.BDH($C$228,"TOTAL_CAPITAL_5_YEAR_GROWTH","FQ1 2017","FQ1 2017","Currency=INR","Period=FQ","BEST_FPERIOD_OVERRIDE=FQ","FILING_STATUS=OR","EQY_CONSOLIDATED=Y","Sort=A","Dates=H","DateFormat=P","Fill=—","Direction=H","UseDPDF=Y")</f>
        <v>#NAME?</v>
      </c>
      <c r="BD244" s="2" t="e">
        <f ca="1">_xll.BDH($C$228,"GEO_GROW_BOOK_VAL","FQ1 2017","FQ1 2017","Currency=INR","Period=FQ","BEST_FPERIOD_OVERRIDE=FQ","FILING_STATUS=OR","EQY_CONSOLIDATED=Y","Sort=A","Dates=H","DateFormat=P","Fill=—","Direction=H","UseDPDF=Y")</f>
        <v>#NAME?</v>
      </c>
      <c r="BE244" s="2" t="e">
        <f ca="1">_xll.BDH($C$228,"GEO_GROW_CASH_OPER_ACT","FQ1 2017","FQ1 2017","Currency=INR","Period=FQ","BEST_FPERIOD_OVERRIDE=FQ","FILING_STATUS=OR","EQY_CONSOLIDATED=Y","Sort=A","Dates=H","DateFormat=P","Fill=—","Direction=H","UseDPDF=Y")</f>
        <v>#NAME?</v>
      </c>
      <c r="BF244" s="2" t="e">
        <f ca="1">_xll.BDH($C$228,"REVENUE_SEQUENTIAL_GROWTH","FQ1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44" s="2" t="e">
        <f ca="1">_xll.BDH($C$228,"EBITDA_SEQUENTIAL_GROWTH","FQ1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44" s="2" t="e">
        <f ca="1">_xll.BDH($C$228,"OPERATING_INCOME_SEQ_GROWTH","FQ1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44" s="2" t="e">
        <f ca="1">_xll.BDH($C$228,"NET_INCOME_TO_COMMON_SEQ_GROWTH","FQ1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44" s="2" t="e">
        <f ca="1">_xll.BDH($C$228,"EPS_DILUTED_SEQUENTIAL_GROWTH","FQ1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44" s="2" t="e">
        <f ca="1">_xll.BDH($C$228,"DPS_SEQUENTIAL_GROWTH","FQ1 2017","FQ1 2017","Currency=INR","Period=FQ","BEST_FPERIOD_OVERRIDE=FQ","FILING_STATUS=OR","EQY_CONSOLIDATED=Y","Sort=A","Dates=H","DateFormat=P","Fill=—","Direction=H","UseDPDF=Y")</f>
        <v>#NAME?</v>
      </c>
      <c r="BL244" s="2" t="e">
        <f ca="1">_xll.BDH($C$228,"ACCOUNTS_RECEIVABLE_SEQ_GROWTH","FQ1 2017","FQ1 2017","Currency=INR","Period=FQ","BEST_FPERIOD_OVERRIDE=FQ","FILING_STATUS=OR","EQY_CONSOLIDATED=Y","Sort=A","Dates=H","DateFormat=P","Fill=—","Direction=H","UseDPDF=Y")</f>
        <v>#NAME?</v>
      </c>
      <c r="BM244" s="2" t="e">
        <f ca="1">_xll.BDH($C$228,"INVENTORY_SEQUENTIAL_GROWTH","FQ1 2017","FQ1 2017","Currency=INR","Period=FQ","BEST_FPERIOD_OVERRIDE=FQ","FILING_STATUS=OR","EQY_CONSOLIDATED=Y","Sort=A","Dates=H","DateFormat=P","Fill=—","Direction=H","UseDPDF=Y")</f>
        <v>#NAME?</v>
      </c>
      <c r="BN244" s="2" t="e">
        <f ca="1">_xll.BDH($C$228,"FIXED_ASSETS_SEQUENTIAL_GROWTH","FQ1 2017","FQ1 2017","Currency=INR","Period=FQ","BEST_FPERIOD_OVERRIDE=FQ","FILING_STATUS=OR","EQY_CONSOLIDATED=Y","Sort=A","Dates=H","DateFormat=P","Fill=—","Direction=H","UseDPDF=Y")</f>
        <v>#NAME?</v>
      </c>
      <c r="BO244" s="2" t="e">
        <f ca="1">_xll.BDH($C$228,"TOTAL_ASSETS_SEQUENTIAL_GROWTH","FQ1 2017","FQ1 2017","Currency=INR","Period=FQ","BEST_FPERIOD_OVERRIDE=FQ","FILING_STATUS=OR","EQY_CONSOLIDATED=Y","Sort=A","Dates=H","DateFormat=P","Fill=—","Direction=H","UseDPDF=Y")</f>
        <v>#NAME?</v>
      </c>
      <c r="BP244" s="2" t="e">
        <f ca="1">_xll.BDH($C$228,"MODIFIED_WORKING_CPTL_SEQ_GRWTH","FQ1 2017","FQ1 2017","Currency=INR","Period=FQ","BEST_FPERIOD_OVERRIDE=FQ","FILING_STATUS=OR","EQY_CONSOLIDATED=Y","Sort=A","Dates=H","DateFormat=P","Fill=—","Direction=H","UseDPDF=Y")</f>
        <v>#NAME?</v>
      </c>
      <c r="BQ244" s="2" t="e">
        <f ca="1">_xll.BDH($C$228,"WORKING_CAPITAL_SEQ_GROWTH","FQ1 2017","FQ1 2017","Currency=INR","Period=FQ","BEST_FPERIOD_OVERRIDE=FQ","FILING_STATUS=OR","EQY_CONSOLIDATED=Y","Sort=A","Dates=H","DateFormat=P","Fill=—","Direction=H","UseDPDF=Y")</f>
        <v>#NAME?</v>
      </c>
      <c r="BR244" s="2" t="e">
        <f ca="1">_xll.BDH($C$228,"ACCOUNTS_PAYABLE_SEQ_GROWTH","FQ1 2017","FQ1 2017","Currency=INR","Period=FQ","BEST_FPERIOD_OVERRIDE=FQ","FILING_STATUS=OR","EQY_CONSOLIDATED=Y","Sort=A","Dates=H","DateFormat=P","Fill=—","Direction=H","UseDPDF=Y")</f>
        <v>#NAME?</v>
      </c>
      <c r="BS244" s="2" t="e">
        <f ca="1">_xll.BDH($C$228,"ST_DEBT_SEQUENTIAL_GROWTH","FQ1 2017","FQ1 2017","Currency=INR","Period=FQ","BEST_FPERIOD_OVERRIDE=FQ","FILING_STATUS=OR","EQY_CONSOLIDATED=Y","Sort=A","Dates=H","DateFormat=P","Fill=—","Direction=H","UseDPDF=Y")</f>
        <v>#NAME?</v>
      </c>
      <c r="BT244" s="2" t="e">
        <f ca="1">_xll.BDH($C$228,"TOTAL_DEBT_SEQUENTIAL_GROWTH","FQ1 2017","FQ1 2017","Currency=INR","Period=FQ","BEST_FPERIOD_OVERRIDE=FQ","FILING_STATUS=OR","EQY_CONSOLIDATED=Y","Sort=A","Dates=H","DateFormat=P","Fill=—","Direction=H","UseDPDF=Y")</f>
        <v>#NAME?</v>
      </c>
      <c r="BU244" s="2" t="e">
        <f ca="1">_xll.BDH($C$228,"TOTAL_EQUITY_SEQUENTIAL_GROWTH","FQ1 2017","FQ1 2017","Currency=INR","Period=FQ","BEST_FPERIOD_OVERRIDE=FQ","FILING_STATUS=OR","EQY_CONSOLIDATED=Y","Sort=A","Dates=H","DateFormat=P","Fill=—","Direction=H","UseDPDF=Y")</f>
        <v>#NAME?</v>
      </c>
      <c r="BV244" s="2" t="e">
        <f ca="1">_xll.BDH($C$228,"TOTAL_CAPITAL_SEQUENTIAL_GROWTH","FQ1 2017","FQ1 2017","Currency=INR","Period=FQ","BEST_FPERIOD_OVERRIDE=FQ","FILING_STATUS=OR","EQY_CONSOLIDATED=Y","Sort=A","Dates=H","DateFormat=P","Fill=—","Direction=H","UseDPDF=Y")</f>
        <v>#NAME?</v>
      </c>
      <c r="BW244" s="2" t="e">
        <f ca="1">_xll.BDH($C$228,"BPS_SEQUENTIAL_GROWTH","FQ1 2017","FQ1 2017","Currency=INR","Period=FQ","BEST_FPERIOD_OVERRIDE=FQ","FILING_STATUS=OR","EQY_CONSOLIDATED=Y","Sort=A","Dates=H","DateFormat=P","Fill=—","Direction=H","UseDPDF=Y")</f>
        <v>#NAME?</v>
      </c>
      <c r="BX244" s="2" t="e">
        <f ca="1">_xll.BDH($C$228,"CFO_SEQUENTIAL_GROWTH","FQ1 2017","FQ1 2017","Currency=INR","Period=FQ","BEST_FPERIOD_OVERRIDE=FQ","FILING_STATUS=OR","EQY_CONSOLIDATED=Y","Sort=A","Dates=H","DateFormat=P","Fill=—","Direction=H","UseDPDF=Y")</f>
        <v>#NAME?</v>
      </c>
      <c r="BY244" s="3" t="e">
        <f ca="1">_xll.BDH($C$228,"SHORT_AND_LONG_TERM_DEBT","FQ1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44" s="3" t="e">
        <f ca="1">_xll.BDH($C$228,"BS_ST_BORROW","FQ1 2017","FQ1 2017","Currency=INR","Period=FQ","BEST_FPERIOD_OVERRIDE=FQ","FILING_STATUS=OR","EQY_CONSOLIDATED=Y","SCALING_FORMAT=MLN","Sort=A","Dates=H","DateFormat=P","Fill=—","Direction=H","UseDPDF=Y")</f>
        <v>#NAME?</v>
      </c>
      <c r="CA244" s="3" t="e">
        <f ca="1">_xll.BDH($C$228,"BS_LT_BORROW","FQ1 2017","FQ1 2017","Currency=INR","Period=FQ","BEST_FPERIOD_OVERRIDE=FQ","FILING_STATUS=OR","EQY_CONSOLIDATED=Y","SCALING_FORMAT=MLN","Sort=A","Dates=H","DateFormat=P","Fill=—","Direction=H","UseDPDF=Y")</f>
        <v>#NAME?</v>
      </c>
      <c r="CB244" s="2" t="e">
        <f ca="1">_xll.BDH($C$228,"TOT_DEBT_TO_EBITDA","FQ1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44" s="2" t="e">
        <f ca="1">_xll.BDH($C$228,"NET_DEBT_TO_EBITDA","FQ1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44" s="2" t="e">
        <f ca="1">_xll.BDH($C$228,"TOTAL_DEBT_TO_EBIT","FQ1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44" s="2" t="e">
        <f ca="1">_xll.BDH($C$228,"NET_DEBT_TO_EBIT","FQ1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44" s="2" t="e">
        <f ca="1">_xll.BDH($C$228,"EBITDA_TO_INTEREST_EXPN","FQ1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44" s="2" t="e">
        <f ca="1">_xll.BDH($C$228,"COM_EQY_TO_TOT_ASSET","FQ1 2017","FQ1 2017","Currency=INR","Period=FQ","BEST_FPERIOD_OVERRIDE=FQ","FILING_STATUS=OR","EQY_CONSOLIDATED=Y","Sort=A","Dates=H","DateFormat=P","Fill=—","Direction=H","UseDPDF=Y")</f>
        <v>#NAME?</v>
      </c>
      <c r="CH244" s="2" t="e">
        <f ca="1">_xll.BDH($C$228,"LT_DEBT_TO_TOT_EQY","FQ1 2017","FQ1 2017","Currency=INR","Period=FQ","BEST_FPERIOD_OVERRIDE=FQ","FILING_STATUS=OR","EQY_CONSOLIDATED=Y","Sort=A","Dates=H","DateFormat=P","Fill=—","Direction=H","UseDPDF=Y")</f>
        <v>#NAME?</v>
      </c>
      <c r="CI244" s="2" t="e">
        <f ca="1">_xll.BDH($C$228,"LT_DEBT_TO_TOT_CAP","FQ1 2017","FQ1 2017","Currency=INR","Period=FQ","BEST_FPERIOD_OVERRIDE=FQ","FILING_STATUS=OR","EQY_CONSOLIDATED=Y","Sort=A","Dates=H","DateFormat=P","Fill=—","Direction=H","UseDPDF=Y")</f>
        <v>#NAME?</v>
      </c>
      <c r="CJ244" s="2" t="e">
        <f ca="1">_xll.BDH($C$228,"LT_DEBT_TO_TOT_ASSET","FQ1 2017","FQ1 2017","Currency=INR","Period=FQ","BEST_FPERIOD_OVERRIDE=FQ","FILING_STATUS=OR","EQY_CONSOLIDATED=Y","Sort=A","Dates=H","DateFormat=P","Fill=—","Direction=H","UseDPDF=Y")</f>
        <v>#NAME?</v>
      </c>
      <c r="CK244" s="2" t="e">
        <f ca="1">_xll.BDH($C$228,"TOT_DEBT_TO_TOT_EQY","FQ1 2017","FQ1 2017","Currency=INR","Period=FQ","BEST_FPERIOD_OVERRIDE=FQ","FILING_STATUS=OR","EQY_CONSOLIDATED=Y","Sort=A","Dates=H","DateFormat=P","Fill=—","Direction=H","UseDPDF=Y")</f>
        <v>#NAME?</v>
      </c>
      <c r="CL244" s="2" t="e">
        <f ca="1">_xll.BDH($C$228,"TOT_DEBT_TO_TOT_CAP","FQ1 2017","FQ1 2017","Currency=INR","Period=FQ","BEST_FPERIOD_OVERRIDE=FQ","FILING_STATUS=OR","EQY_CONSOLIDATED=Y","Sort=A","Dates=H","DateFormat=P","Fill=—","Direction=H","UseDPDF=Y")</f>
        <v>#NAME?</v>
      </c>
      <c r="CM244" s="2" t="e">
        <f ca="1">_xll.BDH($C$228,"TOT_DEBT_TO_TOT_ASSET","FQ1 2017","FQ1 2017","Currency=INR","Period=FQ","BEST_FPERIOD_OVERRIDE=FQ","FILING_STATUS=OR","EQY_CONSOLIDATED=Y","Sort=A","Dates=H","DateFormat=P","Fill=—","Direction=H","UseDPDF=Y")</f>
        <v>#NAME?</v>
      </c>
      <c r="CN244" s="2" t="e">
        <f ca="1">_xll.BDH($C$228,"NET_DEBT_TO_SHRHLDR_EQTY","FQ1 2017","FQ1 2017","Currency=INR","Period=FQ","BEST_FPERIOD_OVERRIDE=FQ","FILING_STATUS=OR","EQY_CONSOLIDATED=Y","Sort=A","Dates=H","DateFormat=P","Fill=—","Direction=H","UseDPDF=Y")</f>
        <v>#NAME?</v>
      </c>
      <c r="CO244" s="2" t="e">
        <f ca="1">_xll.BDH($C$228,"NET_DEBT_%_CAPITAL","FQ1 2017","FQ1 2017","Currency=INR","Period=FQ","BEST_FPERIOD_OVERRIDE=FQ","FILING_STATUS=OR","EQY_CONSOLIDATED=Y","Sort=A","Dates=H","DateFormat=P","Fill=—","Direction=H","UseDPDF=Y")</f>
        <v>#NAME?</v>
      </c>
      <c r="CP244" s="3" t="e">
        <f ca="1">_xll.BDH($C$228,"EBITDA","FQ1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44" s="3" t="e">
        <f ca="1">_xll.BDH($C$228,"EBITDA_AFTER_CAPEX","FQ1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44" s="3" t="e">
        <f ca="1">_xll.BDH($C$228,"IS_OPER_INC","FQ1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44" s="2" t="e">
        <f ca="1">_xll.BDH($C$228,"CASH_RATIO","FQ1 2017","FQ1 2017","Currency=INR","Period=FQ","BEST_FPERIOD_OVERRIDE=FQ","FILING_STATUS=OR","EQY_CONSOLIDATED=Y","Sort=A","Dates=H","DateFormat=P","Fill=—","Direction=H","UseDPDF=Y")</f>
        <v>#NAME?</v>
      </c>
      <c r="CT244" s="2" t="e">
        <f ca="1">_xll.BDH($C$228,"CUR_RATIO","FQ1 2017","FQ1 2017","Currency=INR","Period=FQ","BEST_FPERIOD_OVERRIDE=FQ","FILING_STATUS=OR","EQY_CONSOLIDATED=Y","Sort=A","Dates=H","DateFormat=P","Fill=—","Direction=H","UseDPDF=Y")</f>
        <v>#NAME?</v>
      </c>
      <c r="CU244" s="2" t="e">
        <f ca="1">_xll.BDH($C$228,"QUICK_RATIO","FQ1 2017","FQ1 2017","Currency=INR","Period=FQ","BEST_FPERIOD_OVERRIDE=FQ","FILING_STATUS=OR","EQY_CONSOLIDATED=Y","Sort=A","Dates=H","DateFormat=P","Fill=—","Direction=H","UseDPDF=Y")</f>
        <v>#NAME?</v>
      </c>
      <c r="CV244" s="2" t="e">
        <f ca="1">_xll.BDH($C$228,"ALTMAN_Z_SCORE","FQ1 2017","FQ1 2017","Currency=INR","Period=FQ","BEST_FPERIOD_OVERRIDE=FQ","FILING_STATUS=OR","EQY_CONSOLIDATED=Y","Sort=A","Dates=H","DateFormat=P","Fill=—","Direction=H","UseDPDF=Y")</f>
        <v>#NAME?</v>
      </c>
      <c r="CW244" s="4" t="e">
        <f ca="1">_xll.BDH($C$228,"ACCT_RCV_TURN","FQ1 2017","FQ1 2017","Currency=INR","Period=FQ","BEST_FPERIOD_OVERRIDE=FQ","FILING_STATUS=OR","EQY_CONSOLIDATED=Y","FA_ADJUSTED=GAAP","Sort=A","Dates=H","DateFormat=P","Fill=—","Direction=H","UseDPDF=Y")</f>
        <v>#NAME?</v>
      </c>
      <c r="CX244" s="2" t="e">
        <f ca="1">_xll.BDH($C$228,"ACCT_RCV_DAYS","FQ1 2017","FQ1 2017","Currency=INR","Period=FQ","BEST_FPERIOD_OVERRIDE=FQ","FILING_STATUS=OR","EQY_CONSOLIDATED=Y","FA_ADJUSTED=GAAP","Sort=A","Dates=H","DateFormat=P","Fill=—","Direction=H","UseDPDF=Y")</f>
        <v>#NAME?</v>
      </c>
      <c r="CY244" s="4" t="e">
        <f ca="1">_xll.BDH($C$228,"INVENT_TURN","FQ1 2017","FQ1 2017","Currency=INR","Period=FQ","BEST_FPERIOD_OVERRIDE=FQ","FILING_STATUS=OR","EQY_CONSOLIDATED=Y","FA_ADJUSTED=GAAP","Sort=A","Dates=H","DateFormat=P","Fill=—","Direction=H","UseDPDF=Y")</f>
        <v>#NAME?</v>
      </c>
      <c r="CZ244" s="2" t="e">
        <f ca="1">_xll.BDH($C$228,"INVENT_DAYS","FQ1 2017","FQ1 2017","Currency=INR","Period=FQ","BEST_FPERIOD_OVERRIDE=FQ","FILING_STATUS=OR","EQY_CONSOLIDATED=Y","FA_ADJUSTED=GAAP","Sort=A","Dates=H","DateFormat=P","Fill=—","Direction=H","UseDPDF=Y")</f>
        <v>#NAME?</v>
      </c>
      <c r="DA244" s="4" t="e">
        <f ca="1">_xll.BDH($C$228,"ACCOUNTS_PAYABLE_TURNOVER","FQ1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44" s="2" t="e">
        <f ca="1">_xll.BDH($C$228,"ACCOUNTS_PAYABLE_TURNOVER_DAYS","FQ1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44" s="4" t="e">
        <f ca="1">_xll.BDH($C$228,"CASH_CONVERSION_CYCLE","FQ1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44" s="4" t="e">
        <f ca="1">_xll.BDH($C$228,"INV_TO_CASH_DAYS","FQ1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44" s="5" t="e">
        <f ca="1">_xll.BDH($C$228,"BS_INVENTORIES","FQ1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44" s="3" t="e">
        <f ca="1">_xll.BDH($C$228,"INVTRY_RAW_MATERIALS","FQ1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44" s="3" t="e">
        <f ca="1">_xll.BDH($C$228,"INVTRY_IN_PROGRESS","FQ1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44" s="3" t="e">
        <f ca="1">_xll.BDH($C$228,"INVTRY_FINISHED_GOODS","FQ1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44" s="3" t="e">
        <f ca="1">_xll.BDH($C$228,"BS_OTHER_INV","FQ1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45" spans="1:113" x14ac:dyDescent="0.3">
      <c r="A245" s="6"/>
      <c r="B245" s="6"/>
      <c r="C245" s="6"/>
      <c r="D245" s="6"/>
      <c r="E245" t="s">
        <v>79</v>
      </c>
      <c r="F245" t="e">
        <f ca="1">_xll.BDH($C$228,"RETURN_COM_EQY","FQ2 2017","FQ2 2017","Currency=INR","Period=FQ","BEST_FPERIOD_OVERRIDE=FQ","FILING_STATUS=OR","EQY_CONSOLIDATED=Y","FA_ADJUSTED=GAAP","Sort=A","Dates=H","DateFormat=P","Fill=—","Direction=H","UseDPDF=Y")</f>
        <v>#NAME?</v>
      </c>
      <c r="G245" t="e">
        <f ca="1">_xll.BDH($C$228,"RETURN_ON_ASSET","FQ2 2017","FQ2 2017","Currency=INR","Period=FQ","BEST_FPERIOD_OVERRIDE=FQ","FILING_STATUS=OR","EQY_CONSOLIDATED=Y","FA_ADJUSTED=GAAP","Sort=A","Dates=H","DateFormat=P","Fill=—","Direction=H","UseDPDF=Y")</f>
        <v>#NAME?</v>
      </c>
      <c r="H245" t="e">
        <f ca="1">_xll.BDH($C$228,"RETURN_ON_CAP","FQ2 2017","FQ2 2017","Currency=INR","Period=FQ","BEST_FPERIOD_OVERRIDE=FQ","FILING_STATUS=OR","EQY_CONSOLIDATED=Y","FA_ADJUSTED=GAAP","Sort=A","Dates=H","DateFormat=P","Fill=—","Direction=H","UseDPDF=Y")</f>
        <v>#NAME?</v>
      </c>
      <c r="I245" t="e">
        <f ca="1">_xll.BDH($C$228,"RETURN_ON_INV_CAPITAL","FQ2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45" t="e">
        <f ca="1">_xll.BDH($C$228,"EBITDA_TO_REVENUE","FQ2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45" t="e">
        <f ca="1">_xll.BDH($C$228,"OPER_MARGIN","FQ2 2017","FQ2 2017","Currency=INR","Period=FQ","BEST_FPERIOD_OVERRIDE=FQ","FILING_STATUS=OR","EQY_CONSOLIDATED=Y","FA_ADJUSTED=GAAP","Sort=A","Dates=H","DateFormat=P","Fill=—","Direction=H","UseDPDF=Y")</f>
        <v>#NAME?</v>
      </c>
      <c r="L245" t="e">
        <f ca="1">_xll.BDH($C$228,"INCREMENTAL_OPERATING_MARGIN","FQ2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45" t="e">
        <f ca="1">_xll.BDH($C$228,"PRETAX_INC_TO_NET_SALES","FQ2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45" t="e">
        <f ca="1">_xll.BDH($C$228,"INC_BEF_XO_ITEMS_TO_NET_SALES","FQ2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45" t="e">
        <f ca="1">_xll.BDH($C$228,"PROF_MARGIN","FQ2 2017","FQ2 2017","Currency=INR","Period=FQ","BEST_FPERIOD_OVERRIDE=FQ","FILING_STATUS=OR","EQY_CONSOLIDATED=Y","FA_ADJUSTED=GAAP","Sort=A","Dates=H","DateFormat=P","Fill=—","Direction=H","UseDPDF=Y")</f>
        <v>#NAME?</v>
      </c>
      <c r="P245" t="e">
        <f ca="1">_xll.BDH($C$228,"NET_INCOME_TO_COMMON_MARGIN","FQ2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45" t="e">
        <f ca="1">_xll.BDH($C$228,"EFF_TAX_RATE","FQ2 2017","FQ2 2017","Currency=INR","Period=FQ","BEST_FPERIOD_OVERRIDE=FQ","FILING_STATUS=OR","EQY_CONSOLIDATED=Y","FA_ADJUSTED=GAAP","Sort=A","Dates=H","DateFormat=P","Fill=—","Direction=H","UseDPDF=Y")</f>
        <v>#NAME?</v>
      </c>
      <c r="R245" t="e">
        <f ca="1">_xll.BDH($C$228,"DVD_PAYOUT_RATIO","FQ2 2017","FQ2 2017","Currency=INR","Period=FQ","BEST_FPERIOD_OVERRIDE=FQ","FILING_STATUS=OR","EQY_CONSOLIDATED=Y","FA_ADJUSTED=GAAP","Sort=A","Dates=H","DateFormat=P","Fill=—","Direction=H","UseDPDF=Y")</f>
        <v>#NAME?</v>
      </c>
      <c r="S245" t="e">
        <f ca="1">_xll.BDH($C$228,"SUSTAIN_GROWTH_RT","FQ2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45" s="2" t="e">
        <f ca="1">_xll.BDH($C$228,"SALES_GROWTH","FQ2 2017","FQ2 2017","Currency=INR","Period=FQ","BEST_FPERIOD_OVERRIDE=FQ","FILING_STATUS=OR","EQY_CONSOLIDATED=Y","FA_ADJUSTED=GAAP","Sort=A","Dates=H","DateFormat=P","Fill=—","Direction=H","UseDPDF=Y")</f>
        <v>#NAME?</v>
      </c>
      <c r="U245" s="2" t="e">
        <f ca="1">_xll.BDH($C$228,"EBITDA_GROWTH","FQ2 2017","FQ2 2017","Currency=INR","Period=FQ","BEST_FPERIOD_OVERRIDE=FQ","FILING_STATUS=OR","EQY_CONSOLIDATED=Y","FA_ADJUSTED=GAAP","Sort=A","Dates=H","DateFormat=P","Fill=—","Direction=H","UseDPDF=Y")</f>
        <v>#NAME?</v>
      </c>
      <c r="V245" s="2" t="e">
        <f ca="1">_xll.BDH($C$228,"OPER_INC_GROWTH","FQ2 2017","FQ2 2017","Currency=INR","Period=FQ","BEST_FPERIOD_OVERRIDE=FQ","FILING_STATUS=OR","EQY_CONSOLIDATED=Y","FA_ADJUSTED=GAAP","Sort=A","Dates=H","DateFormat=P","Fill=—","Direction=H","UseDPDF=Y")</f>
        <v>#NAME?</v>
      </c>
      <c r="W245" s="2" t="e">
        <f ca="1">_xll.BDH($C$228,"EARN_FOR_COM_GROWTH","FQ2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45" s="2" t="e">
        <f ca="1">_xll.BDH($C$228,"DILUTED_EPS_AFT_XO_ITEMS_GROWTH","FQ2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45" s="2" t="e">
        <f ca="1">_xll.BDH($C$228,"DIVIDEND_PER_SHARE_1_YEAR_GROWTH","FQ2 2017","FQ2 2017","Currency=INR","Period=FQ","BEST_FPERIOD_OVERRIDE=FQ","FILING_STATUS=OR","EQY_CONSOLIDATED=Y","Sort=A","Dates=H","DateFormat=P","Fill=—","Direction=H","UseDPDF=Y")</f>
        <v>#NAME?</v>
      </c>
      <c r="Z245" s="2" t="e">
        <f ca="1">_xll.BDH($C$228,"ACCOUNTS_RECEIVABLE_GROWTH","FQ2 2017","FQ2 2017","Currency=INR","Period=FQ","BEST_FPERIOD_OVERRIDE=FQ","FILING_STATUS=OR","EQY_CONSOLIDATED=Y","Sort=A","Dates=H","DateFormat=P","Fill=—","Direction=H","UseDPDF=Y")</f>
        <v>#NAME?</v>
      </c>
      <c r="AA245" s="2" t="e">
        <f ca="1">_xll.BDH($C$228,"INVENTORY_GROWTH","FQ2 2017","FQ2 2017","Currency=INR","Period=FQ","BEST_FPERIOD_OVERRIDE=FQ","FILING_STATUS=OR","EQY_CONSOLIDATED=Y","Sort=A","Dates=H","DateFormat=P","Fill=—","Direction=H","UseDPDF=Y")</f>
        <v>#NAME?</v>
      </c>
      <c r="AB245" s="2" t="e">
        <f ca="1">_xll.BDH($C$228,"NET_FIXED_ASSETS_1_YEAR_GROWTH","FQ2 2017","FQ2 2017","Currency=INR","Period=FQ","BEST_FPERIOD_OVERRIDE=FQ","FILING_STATUS=OR","EQY_CONSOLIDATED=Y","Sort=A","Dates=H","DateFormat=P","Fill=—","Direction=H","UseDPDF=Y")</f>
        <v>#NAME?</v>
      </c>
      <c r="AC245" s="2" t="e">
        <f ca="1">_xll.BDH($C$228,"ASSET_GROWTH","FQ2 2017","FQ2 2017","Currency=INR","Period=FQ","BEST_FPERIOD_OVERRIDE=FQ","FILING_STATUS=OR","EQY_CONSOLIDATED=Y","Sort=A","Dates=H","DateFormat=P","Fill=—","Direction=H","UseDPDF=Y")</f>
        <v>#NAME?</v>
      </c>
      <c r="AD245" s="2" t="e">
        <f ca="1">_xll.BDH($C$228,"MODIFIED_WORK_CAP_GROWTH","FQ2 2017","FQ2 2017","Currency=INR","Period=FQ","BEST_FPERIOD_OVERRIDE=FQ","FILING_STATUS=OR","EQY_CONSOLIDATED=Y","Sort=A","Dates=H","DateFormat=P","Fill=—","Direction=H","UseDPDF=Y")</f>
        <v>#NAME?</v>
      </c>
      <c r="AE245" s="2" t="e">
        <f ca="1">_xll.BDH($C$228,"WORK_CAP_GROWTH","FQ2 2017","FQ2 2017","Currency=INR","Period=FQ","BEST_FPERIOD_OVERRIDE=FQ","FILING_STATUS=OR","EQY_CONSOLIDATED=Y","Sort=A","Dates=H","DateFormat=P","Fill=—","Direction=H","UseDPDF=Y")</f>
        <v>#NAME?</v>
      </c>
      <c r="AF245" s="2" t="e">
        <f ca="1">_xll.BDH($C$228,"ACCOUNTS_PAYABLE_GROWTH_1YR","FQ2 2017","FQ2 2017","Currency=INR","Period=FQ","BEST_FPERIOD_OVERRIDE=FQ","FILING_STATUS=OR","EQY_CONSOLIDATED=Y","Sort=A","Dates=H","DateFormat=P","Fill=—","Direction=H","UseDPDF=Y")</f>
        <v>#NAME?</v>
      </c>
      <c r="AG245" s="2" t="e">
        <f ca="1">_xll.BDH($C$228,"SHORT_TERM_DEBT_1_YEAR_GROWTH","FQ2 2017","FQ2 2017","Currency=INR","Period=FQ","BEST_FPERIOD_OVERRIDE=FQ","FILING_STATUS=OR","EQY_CONSOLIDATED=Y","Sort=A","Dates=H","DateFormat=P","Fill=—","Direction=H","UseDPDF=Y")</f>
        <v>#NAME?</v>
      </c>
      <c r="AH245" s="2" t="e">
        <f ca="1">_xll.BDH($C$228,"TOTAL_DEBT_1_YEAR_GROWTH","FQ2 2017","FQ2 2017","Currency=INR","Period=FQ","BEST_FPERIOD_OVERRIDE=FQ","FILING_STATUS=OR","EQY_CONSOLIDATED=Y","Sort=A","Dates=H","DateFormat=P","Fill=—","Direction=H","UseDPDF=Y")</f>
        <v>#NAME?</v>
      </c>
      <c r="AI245" s="2" t="e">
        <f ca="1">_xll.BDH($C$228,"TOTAL_EQUITY_1_YEAR_GROWTH","FQ2 2017","FQ2 2017","Currency=INR","Period=FQ","BEST_FPERIOD_OVERRIDE=FQ","FILING_STATUS=OR","EQY_CONSOLIDATED=Y","Sort=A","Dates=H","DateFormat=P","Fill=—","Direction=H","UseDPDF=Y")</f>
        <v>#NAME?</v>
      </c>
      <c r="AJ245" s="2" t="e">
        <f ca="1">_xll.BDH($C$228,"GROWTH_IN_CAP","FQ2 2017","FQ2 2017","Currency=INR","Period=FQ","BEST_FPERIOD_OVERRIDE=FQ","FILING_STATUS=OR","EQY_CONSOLIDATED=Y","Sort=A","Dates=H","DateFormat=P","Fill=—","Direction=H","UseDPDF=Y")</f>
        <v>#NAME?</v>
      </c>
      <c r="AK245" s="2" t="e">
        <f ca="1">_xll.BDH($C$228,"BVPS_GROWTH","FQ2 2017","FQ2 2017","Currency=INR","Period=FQ","BEST_FPERIOD_OVERRIDE=FQ","FILING_STATUS=OR","EQY_CONSOLIDATED=Y","Sort=A","Dates=H","DateFormat=P","Fill=—","Direction=H","UseDPDF=Y")</f>
        <v>#NAME?</v>
      </c>
      <c r="AL245" s="2" t="e">
        <f ca="1">_xll.BDH($C$228,"CASH_FLOW_GROWTH","FQ2 2017","FQ2 2017","Currency=INR","Period=FQ","BEST_FPERIOD_OVERRIDE=FQ","FILING_STATUS=OR","EQY_CONSOLIDATED=Y","Sort=A","Dates=H","DateFormat=P","Fill=—","Direction=H","UseDPDF=Y")</f>
        <v>#NAME?</v>
      </c>
      <c r="AM245" s="2" t="e">
        <f ca="1">_xll.BDH($C$228,"GEO_GROW_NET_SALES","FQ2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45" s="2" t="e">
        <f ca="1">_xll.BDH($C$228,"GEO_GROW_EBITDA","FQ2 2017","FQ2 2017","Currency=INR","Period=FQ","BEST_FPERIOD_OVERRIDE=FQ","FILING_STATUS=OR","EQY_CONSOLIDATED=Y","FA_ADJUSTED=GAAP","Sort=A","Dates=H","DateFormat=P","Fill=—","Direction=H","UseDPDF=Y")</f>
        <v>#NAME?</v>
      </c>
      <c r="AO245" s="2" t="e">
        <f ca="1">_xll.BDH($C$228,"GEO_GROW_OPER_INC","FQ2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45" s="2" t="e">
        <f ca="1">_xll.BDH($C$228,"NET_INCOME_TO_COMMON_5_YR_GROWTH","FQ2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45" s="2" t="e">
        <f ca="1">_xll.BDH($C$228,"5Y_GEO_GROWTH_DILUTED_EPS","FQ2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45" s="2" t="e">
        <f ca="1">_xll.BDH($C$228,"GEO_GROW_DVD_PER_SH","FQ2 2017","FQ2 2017","Currency=INR","Period=FQ","BEST_FPERIOD_OVERRIDE=FQ","FILING_STATUS=OR","EQY_CONSOLIDATED=Y","Sort=A","Dates=H","DateFormat=P","Fill=—","Direction=H","UseDPDF=Y")</f>
        <v>#NAME?</v>
      </c>
      <c r="AS245" s="2" t="e">
        <f ca="1">_xll.BDH($C$228,"ACCOUNTS_RECEIVABLE_5_YR_GROWTH","FQ2 2017","FQ2 2017","Currency=INR","Period=FQ","BEST_FPERIOD_OVERRIDE=FQ","FILING_STATUS=OR","EQY_CONSOLIDATED=Y","Sort=A","Dates=H","DateFormat=P","Fill=—","Direction=H","UseDPDF=Y")</f>
        <v>#NAME?</v>
      </c>
      <c r="AT245" s="2" t="e">
        <f ca="1">_xll.BDH($C$228,"INVENTORY_5_YEAR_GROWTH","FQ2 2017","FQ2 2017","Currency=INR","Period=FQ","BEST_FPERIOD_OVERRIDE=FQ","FILING_STATUS=OR","EQY_CONSOLIDATED=Y","Sort=A","Dates=H","DateFormat=P","Fill=—","Direction=H","UseDPDF=Y")</f>
        <v>#NAME?</v>
      </c>
      <c r="AU245" s="2" t="e">
        <f ca="1">_xll.BDH($C$228,"NET_FIXED_ASSETS_5_YEAR_GROWTH","FQ2 2017","FQ2 2017","Currency=INR","Period=FQ","BEST_FPERIOD_OVERRIDE=FQ","FILING_STATUS=OR","EQY_CONSOLIDATED=Y","Sort=A","Dates=H","DateFormat=P","Fill=—","Direction=H","UseDPDF=Y")</f>
        <v>#NAME?</v>
      </c>
      <c r="AV245" s="2" t="e">
        <f ca="1">_xll.BDH($C$228,"GEO_GROW_TOT_ASSET","FQ2 2017","FQ2 2017","Currency=INR","Period=FQ","BEST_FPERIOD_OVERRIDE=FQ","FILING_STATUS=OR","EQY_CONSOLIDATED=Y","Sort=A","Dates=H","DateFormat=P","Fill=—","Direction=H","UseDPDF=Y")</f>
        <v>#NAME?</v>
      </c>
      <c r="AW245" s="2" t="e">
        <f ca="1">_xll.BDH($C$228,"MODIFIED_WORKING_CPTL_5YR_GRWTH","FQ2 2017","FQ2 2017","Currency=INR","Period=FQ","BEST_FPERIOD_OVERRIDE=FQ","FILING_STATUS=OR","EQY_CONSOLIDATED=Y","Sort=A","Dates=H","DateFormat=P","Fill=—","Direction=H","UseDPDF=Y")</f>
        <v>#NAME?</v>
      </c>
      <c r="AX245" s="2" t="e">
        <f ca="1">_xll.BDH($C$228,"WORKING_CAPITAL_5_YEAR_GROWTH","FQ2 2017","FQ2 2017","Currency=INR","Period=FQ","BEST_FPERIOD_OVERRIDE=FQ","FILING_STATUS=OR","EQY_CONSOLIDATED=Y","Sort=A","Dates=H","DateFormat=P","Fill=—","Direction=H","UseDPDF=Y")</f>
        <v>#NAME?</v>
      </c>
      <c r="AY245" s="2" t="e">
        <f ca="1">_xll.BDH($C$228,"ACCOUNTS_PAYABLE_5_YEAR_GROWTH","FQ2 2017","FQ2 2017","Currency=INR","Period=FQ","BEST_FPERIOD_OVERRIDE=FQ","FILING_STATUS=OR","EQY_CONSOLIDATED=Y","Sort=A","Dates=H","DateFormat=P","Fill=—","Direction=H","UseDPDF=Y")</f>
        <v>#NAME?</v>
      </c>
      <c r="AZ245" s="2" t="e">
        <f ca="1">_xll.BDH($C$228,"SHORT_TERM_DEBT_5_YEAR_GROWTH","FQ2 2017","FQ2 2017","Currency=INR","Period=FQ","BEST_FPERIOD_OVERRIDE=FQ","FILING_STATUS=OR","EQY_CONSOLIDATED=Y","Sort=A","Dates=H","DateFormat=P","Fill=—","Direction=H","UseDPDF=Y")</f>
        <v>#NAME?</v>
      </c>
      <c r="BA245" s="2" t="e">
        <f ca="1">_xll.BDH($C$228,"TOTAL_DEBT_5_YEAR_GROWTH","FQ2 2017","FQ2 2017","Currency=INR","Period=FQ","BEST_FPERIOD_OVERRIDE=FQ","FILING_STATUS=OR","EQY_CONSOLIDATED=Y","Sort=A","Dates=H","DateFormat=P","Fill=—","Direction=H","UseDPDF=Y")</f>
        <v>#NAME?</v>
      </c>
      <c r="BB245" s="2" t="e">
        <f ca="1">_xll.BDH($C$228,"GEO_GROW_TOT_SHRHLDR_EQY","FQ2 2017","FQ2 2017","Currency=INR","Period=FQ","BEST_FPERIOD_OVERRIDE=FQ","FILING_STATUS=OR","EQY_CONSOLIDATED=Y","Sort=A","Dates=H","DateFormat=P","Fill=—","Direction=H","UseDPDF=Y")</f>
        <v>#NAME?</v>
      </c>
      <c r="BC245" s="2" t="e">
        <f ca="1">_xll.BDH($C$228,"TOTAL_CAPITAL_5_YEAR_GROWTH","FQ2 2017","FQ2 2017","Currency=INR","Period=FQ","BEST_FPERIOD_OVERRIDE=FQ","FILING_STATUS=OR","EQY_CONSOLIDATED=Y","Sort=A","Dates=H","DateFormat=P","Fill=—","Direction=H","UseDPDF=Y")</f>
        <v>#NAME?</v>
      </c>
      <c r="BD245" s="2" t="e">
        <f ca="1">_xll.BDH($C$228,"GEO_GROW_BOOK_VAL","FQ2 2017","FQ2 2017","Currency=INR","Period=FQ","BEST_FPERIOD_OVERRIDE=FQ","FILING_STATUS=OR","EQY_CONSOLIDATED=Y","Sort=A","Dates=H","DateFormat=P","Fill=—","Direction=H","UseDPDF=Y")</f>
        <v>#NAME?</v>
      </c>
      <c r="BE245" s="2" t="e">
        <f ca="1">_xll.BDH($C$228,"GEO_GROW_CASH_OPER_ACT","FQ2 2017","FQ2 2017","Currency=INR","Period=FQ","BEST_FPERIOD_OVERRIDE=FQ","FILING_STATUS=OR","EQY_CONSOLIDATED=Y","Sort=A","Dates=H","DateFormat=P","Fill=—","Direction=H","UseDPDF=Y")</f>
        <v>#NAME?</v>
      </c>
      <c r="BF245" s="2" t="e">
        <f ca="1">_xll.BDH($C$228,"REVENUE_SEQUENTIAL_GROWTH","FQ2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45" s="2" t="e">
        <f ca="1">_xll.BDH($C$228,"EBITDA_SEQUENTIAL_GROWTH","FQ2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45" s="2" t="e">
        <f ca="1">_xll.BDH($C$228,"OPERATING_INCOME_SEQ_GROWTH","FQ2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45" s="2" t="e">
        <f ca="1">_xll.BDH($C$228,"NET_INCOME_TO_COMMON_SEQ_GROWTH","FQ2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45" s="2" t="e">
        <f ca="1">_xll.BDH($C$228,"EPS_DILUTED_SEQUENTIAL_GROWTH","FQ2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45" s="2" t="e">
        <f ca="1">_xll.BDH($C$228,"DPS_SEQUENTIAL_GROWTH","FQ2 2017","FQ2 2017","Currency=INR","Period=FQ","BEST_FPERIOD_OVERRIDE=FQ","FILING_STATUS=OR","EQY_CONSOLIDATED=Y","Sort=A","Dates=H","DateFormat=P","Fill=—","Direction=H","UseDPDF=Y")</f>
        <v>#NAME?</v>
      </c>
      <c r="BL245" s="2" t="e">
        <f ca="1">_xll.BDH($C$228,"ACCOUNTS_RECEIVABLE_SEQ_GROWTH","FQ2 2017","FQ2 2017","Currency=INR","Period=FQ","BEST_FPERIOD_OVERRIDE=FQ","FILING_STATUS=OR","EQY_CONSOLIDATED=Y","Sort=A","Dates=H","DateFormat=P","Fill=—","Direction=H","UseDPDF=Y")</f>
        <v>#NAME?</v>
      </c>
      <c r="BM245" s="2" t="e">
        <f ca="1">_xll.BDH($C$228,"INVENTORY_SEQUENTIAL_GROWTH","FQ2 2017","FQ2 2017","Currency=INR","Period=FQ","BEST_FPERIOD_OVERRIDE=FQ","FILING_STATUS=OR","EQY_CONSOLIDATED=Y","Sort=A","Dates=H","DateFormat=P","Fill=—","Direction=H","UseDPDF=Y")</f>
        <v>#NAME?</v>
      </c>
      <c r="BN245" s="2" t="e">
        <f ca="1">_xll.BDH($C$228,"FIXED_ASSETS_SEQUENTIAL_GROWTH","FQ2 2017","FQ2 2017","Currency=INR","Period=FQ","BEST_FPERIOD_OVERRIDE=FQ","FILING_STATUS=OR","EQY_CONSOLIDATED=Y","Sort=A","Dates=H","DateFormat=P","Fill=—","Direction=H","UseDPDF=Y")</f>
        <v>#NAME?</v>
      </c>
      <c r="BO245" s="2" t="e">
        <f ca="1">_xll.BDH($C$228,"TOTAL_ASSETS_SEQUENTIAL_GROWTH","FQ2 2017","FQ2 2017","Currency=INR","Period=FQ","BEST_FPERIOD_OVERRIDE=FQ","FILING_STATUS=OR","EQY_CONSOLIDATED=Y","Sort=A","Dates=H","DateFormat=P","Fill=—","Direction=H","UseDPDF=Y")</f>
        <v>#NAME?</v>
      </c>
      <c r="BP245" s="2" t="e">
        <f ca="1">_xll.BDH($C$228,"MODIFIED_WORKING_CPTL_SEQ_GRWTH","FQ2 2017","FQ2 2017","Currency=INR","Period=FQ","BEST_FPERIOD_OVERRIDE=FQ","FILING_STATUS=OR","EQY_CONSOLIDATED=Y","Sort=A","Dates=H","DateFormat=P","Fill=—","Direction=H","UseDPDF=Y")</f>
        <v>#NAME?</v>
      </c>
      <c r="BQ245" s="2" t="e">
        <f ca="1">_xll.BDH($C$228,"WORKING_CAPITAL_SEQ_GROWTH","FQ2 2017","FQ2 2017","Currency=INR","Period=FQ","BEST_FPERIOD_OVERRIDE=FQ","FILING_STATUS=OR","EQY_CONSOLIDATED=Y","Sort=A","Dates=H","DateFormat=P","Fill=—","Direction=H","UseDPDF=Y")</f>
        <v>#NAME?</v>
      </c>
      <c r="BR245" s="2" t="e">
        <f ca="1">_xll.BDH($C$228,"ACCOUNTS_PAYABLE_SEQ_GROWTH","FQ2 2017","FQ2 2017","Currency=INR","Period=FQ","BEST_FPERIOD_OVERRIDE=FQ","FILING_STATUS=OR","EQY_CONSOLIDATED=Y","Sort=A","Dates=H","DateFormat=P","Fill=—","Direction=H","UseDPDF=Y")</f>
        <v>#NAME?</v>
      </c>
      <c r="BS245" s="2" t="e">
        <f ca="1">_xll.BDH($C$228,"ST_DEBT_SEQUENTIAL_GROWTH","FQ2 2017","FQ2 2017","Currency=INR","Period=FQ","BEST_FPERIOD_OVERRIDE=FQ","FILING_STATUS=OR","EQY_CONSOLIDATED=Y","Sort=A","Dates=H","DateFormat=P","Fill=—","Direction=H","UseDPDF=Y")</f>
        <v>#NAME?</v>
      </c>
      <c r="BT245" s="2" t="e">
        <f ca="1">_xll.BDH($C$228,"TOTAL_DEBT_SEQUENTIAL_GROWTH","FQ2 2017","FQ2 2017","Currency=INR","Period=FQ","BEST_FPERIOD_OVERRIDE=FQ","FILING_STATUS=OR","EQY_CONSOLIDATED=Y","Sort=A","Dates=H","DateFormat=P","Fill=—","Direction=H","UseDPDF=Y")</f>
        <v>#NAME?</v>
      </c>
      <c r="BU245" s="2" t="e">
        <f ca="1">_xll.BDH($C$228,"TOTAL_EQUITY_SEQUENTIAL_GROWTH","FQ2 2017","FQ2 2017","Currency=INR","Period=FQ","BEST_FPERIOD_OVERRIDE=FQ","FILING_STATUS=OR","EQY_CONSOLIDATED=Y","Sort=A","Dates=H","DateFormat=P","Fill=—","Direction=H","UseDPDF=Y")</f>
        <v>#NAME?</v>
      </c>
      <c r="BV245" s="2" t="e">
        <f ca="1">_xll.BDH($C$228,"TOTAL_CAPITAL_SEQUENTIAL_GROWTH","FQ2 2017","FQ2 2017","Currency=INR","Period=FQ","BEST_FPERIOD_OVERRIDE=FQ","FILING_STATUS=OR","EQY_CONSOLIDATED=Y","Sort=A","Dates=H","DateFormat=P","Fill=—","Direction=H","UseDPDF=Y")</f>
        <v>#NAME?</v>
      </c>
      <c r="BW245" s="2" t="e">
        <f ca="1">_xll.BDH($C$228,"BPS_SEQUENTIAL_GROWTH","FQ2 2017","FQ2 2017","Currency=INR","Period=FQ","BEST_FPERIOD_OVERRIDE=FQ","FILING_STATUS=OR","EQY_CONSOLIDATED=Y","Sort=A","Dates=H","DateFormat=P","Fill=—","Direction=H","UseDPDF=Y")</f>
        <v>#NAME?</v>
      </c>
      <c r="BX245" s="2" t="e">
        <f ca="1">_xll.BDH($C$228,"CFO_SEQUENTIAL_GROWTH","FQ2 2017","FQ2 2017","Currency=INR","Period=FQ","BEST_FPERIOD_OVERRIDE=FQ","FILING_STATUS=OR","EQY_CONSOLIDATED=Y","Sort=A","Dates=H","DateFormat=P","Fill=—","Direction=H","UseDPDF=Y")</f>
        <v>#NAME?</v>
      </c>
      <c r="BY245" s="3" t="e">
        <f ca="1">_xll.BDH($C$228,"SHORT_AND_LONG_TERM_DEBT","FQ2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45" s="3" t="e">
        <f ca="1">_xll.BDH($C$228,"BS_ST_BORROW","FQ2 2017","FQ2 2017","Currency=INR","Period=FQ","BEST_FPERIOD_OVERRIDE=FQ","FILING_STATUS=OR","EQY_CONSOLIDATED=Y","SCALING_FORMAT=MLN","Sort=A","Dates=H","DateFormat=P","Fill=—","Direction=H","UseDPDF=Y")</f>
        <v>#NAME?</v>
      </c>
      <c r="CA245" s="3" t="e">
        <f ca="1">_xll.BDH($C$228,"BS_LT_BORROW","FQ2 2017","FQ2 2017","Currency=INR","Period=FQ","BEST_FPERIOD_OVERRIDE=FQ","FILING_STATUS=OR","EQY_CONSOLIDATED=Y","SCALING_FORMAT=MLN","Sort=A","Dates=H","DateFormat=P","Fill=—","Direction=H","UseDPDF=Y")</f>
        <v>#NAME?</v>
      </c>
      <c r="CB245" s="2" t="e">
        <f ca="1">_xll.BDH($C$228,"TOT_DEBT_TO_EBITDA","FQ2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45" s="2" t="e">
        <f ca="1">_xll.BDH($C$228,"NET_DEBT_TO_EBITDA","FQ2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45" s="2" t="e">
        <f ca="1">_xll.BDH($C$228,"TOTAL_DEBT_TO_EBIT","FQ2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45" s="2" t="e">
        <f ca="1">_xll.BDH($C$228,"NET_DEBT_TO_EBIT","FQ2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45" s="2" t="e">
        <f ca="1">_xll.BDH($C$228,"EBITDA_TO_INTEREST_EXPN","FQ2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45" s="2" t="e">
        <f ca="1">_xll.BDH($C$228,"COM_EQY_TO_TOT_ASSET","FQ2 2017","FQ2 2017","Currency=INR","Period=FQ","BEST_FPERIOD_OVERRIDE=FQ","FILING_STATUS=OR","EQY_CONSOLIDATED=Y","Sort=A","Dates=H","DateFormat=P","Fill=—","Direction=H","UseDPDF=Y")</f>
        <v>#NAME?</v>
      </c>
      <c r="CH245" s="2" t="e">
        <f ca="1">_xll.BDH($C$228,"LT_DEBT_TO_TOT_EQY","FQ2 2017","FQ2 2017","Currency=INR","Period=FQ","BEST_FPERIOD_OVERRIDE=FQ","FILING_STATUS=OR","EQY_CONSOLIDATED=Y","Sort=A","Dates=H","DateFormat=P","Fill=—","Direction=H","UseDPDF=Y")</f>
        <v>#NAME?</v>
      </c>
      <c r="CI245" s="2" t="e">
        <f ca="1">_xll.BDH($C$228,"LT_DEBT_TO_TOT_CAP","FQ2 2017","FQ2 2017","Currency=INR","Period=FQ","BEST_FPERIOD_OVERRIDE=FQ","FILING_STATUS=OR","EQY_CONSOLIDATED=Y","Sort=A","Dates=H","DateFormat=P","Fill=—","Direction=H","UseDPDF=Y")</f>
        <v>#NAME?</v>
      </c>
      <c r="CJ245" s="2" t="e">
        <f ca="1">_xll.BDH($C$228,"LT_DEBT_TO_TOT_ASSET","FQ2 2017","FQ2 2017","Currency=INR","Period=FQ","BEST_FPERIOD_OVERRIDE=FQ","FILING_STATUS=OR","EQY_CONSOLIDATED=Y","Sort=A","Dates=H","DateFormat=P","Fill=—","Direction=H","UseDPDF=Y")</f>
        <v>#NAME?</v>
      </c>
      <c r="CK245" s="2" t="e">
        <f ca="1">_xll.BDH($C$228,"TOT_DEBT_TO_TOT_EQY","FQ2 2017","FQ2 2017","Currency=INR","Period=FQ","BEST_FPERIOD_OVERRIDE=FQ","FILING_STATUS=OR","EQY_CONSOLIDATED=Y","Sort=A","Dates=H","DateFormat=P","Fill=—","Direction=H","UseDPDF=Y")</f>
        <v>#NAME?</v>
      </c>
      <c r="CL245" s="2" t="e">
        <f ca="1">_xll.BDH($C$228,"TOT_DEBT_TO_TOT_CAP","FQ2 2017","FQ2 2017","Currency=INR","Period=FQ","BEST_FPERIOD_OVERRIDE=FQ","FILING_STATUS=OR","EQY_CONSOLIDATED=Y","Sort=A","Dates=H","DateFormat=P","Fill=—","Direction=H","UseDPDF=Y")</f>
        <v>#NAME?</v>
      </c>
      <c r="CM245" s="2" t="e">
        <f ca="1">_xll.BDH($C$228,"TOT_DEBT_TO_TOT_ASSET","FQ2 2017","FQ2 2017","Currency=INR","Period=FQ","BEST_FPERIOD_OVERRIDE=FQ","FILING_STATUS=OR","EQY_CONSOLIDATED=Y","Sort=A","Dates=H","DateFormat=P","Fill=—","Direction=H","UseDPDF=Y")</f>
        <v>#NAME?</v>
      </c>
      <c r="CN245" s="2" t="e">
        <f ca="1">_xll.BDH($C$228,"NET_DEBT_TO_SHRHLDR_EQTY","FQ2 2017","FQ2 2017","Currency=INR","Period=FQ","BEST_FPERIOD_OVERRIDE=FQ","FILING_STATUS=OR","EQY_CONSOLIDATED=Y","Sort=A","Dates=H","DateFormat=P","Fill=—","Direction=H","UseDPDF=Y")</f>
        <v>#NAME?</v>
      </c>
      <c r="CO245" s="2" t="e">
        <f ca="1">_xll.BDH($C$228,"NET_DEBT_%_CAPITAL","FQ2 2017","FQ2 2017","Currency=INR","Period=FQ","BEST_FPERIOD_OVERRIDE=FQ","FILING_STATUS=OR","EQY_CONSOLIDATED=Y","Sort=A","Dates=H","DateFormat=P","Fill=—","Direction=H","UseDPDF=Y")</f>
        <v>#NAME?</v>
      </c>
      <c r="CP245" s="3" t="e">
        <f ca="1">_xll.BDH($C$228,"EBITDA","FQ2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45" s="3" t="e">
        <f ca="1">_xll.BDH($C$228,"EBITDA_AFTER_CAPEX","FQ2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45" s="3" t="e">
        <f ca="1">_xll.BDH($C$228,"IS_OPER_INC","FQ2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45" s="2" t="e">
        <f ca="1">_xll.BDH($C$228,"CASH_RATIO","FQ2 2017","FQ2 2017","Currency=INR","Period=FQ","BEST_FPERIOD_OVERRIDE=FQ","FILING_STATUS=OR","EQY_CONSOLIDATED=Y","Sort=A","Dates=H","DateFormat=P","Fill=—","Direction=H","UseDPDF=Y")</f>
        <v>#NAME?</v>
      </c>
      <c r="CT245" s="2" t="e">
        <f ca="1">_xll.BDH($C$228,"CUR_RATIO","FQ2 2017","FQ2 2017","Currency=INR","Period=FQ","BEST_FPERIOD_OVERRIDE=FQ","FILING_STATUS=OR","EQY_CONSOLIDATED=Y","Sort=A","Dates=H","DateFormat=P","Fill=—","Direction=H","UseDPDF=Y")</f>
        <v>#NAME?</v>
      </c>
      <c r="CU245" s="2" t="e">
        <f ca="1">_xll.BDH($C$228,"QUICK_RATIO","FQ2 2017","FQ2 2017","Currency=INR","Period=FQ","BEST_FPERIOD_OVERRIDE=FQ","FILING_STATUS=OR","EQY_CONSOLIDATED=Y","Sort=A","Dates=H","DateFormat=P","Fill=—","Direction=H","UseDPDF=Y")</f>
        <v>#NAME?</v>
      </c>
      <c r="CV245" s="2" t="e">
        <f ca="1">_xll.BDH($C$228,"ALTMAN_Z_SCORE","FQ2 2017","FQ2 2017","Currency=INR","Period=FQ","BEST_FPERIOD_OVERRIDE=FQ","FILING_STATUS=OR","EQY_CONSOLIDATED=Y","Sort=A","Dates=H","DateFormat=P","Fill=—","Direction=H","UseDPDF=Y")</f>
        <v>#NAME?</v>
      </c>
      <c r="CW245" s="4" t="e">
        <f ca="1">_xll.BDH($C$228,"ACCT_RCV_TURN","FQ2 2017","FQ2 2017","Currency=INR","Period=FQ","BEST_FPERIOD_OVERRIDE=FQ","FILING_STATUS=OR","EQY_CONSOLIDATED=Y","FA_ADJUSTED=GAAP","Sort=A","Dates=H","DateFormat=P","Fill=—","Direction=H","UseDPDF=Y")</f>
        <v>#NAME?</v>
      </c>
      <c r="CX245" s="2" t="e">
        <f ca="1">_xll.BDH($C$228,"ACCT_RCV_DAYS","FQ2 2017","FQ2 2017","Currency=INR","Period=FQ","BEST_FPERIOD_OVERRIDE=FQ","FILING_STATUS=OR","EQY_CONSOLIDATED=Y","FA_ADJUSTED=GAAP","Sort=A","Dates=H","DateFormat=P","Fill=—","Direction=H","UseDPDF=Y")</f>
        <v>#NAME?</v>
      </c>
      <c r="CY245" s="4" t="e">
        <f ca="1">_xll.BDH($C$228,"INVENT_TURN","FQ2 2017","FQ2 2017","Currency=INR","Period=FQ","BEST_FPERIOD_OVERRIDE=FQ","FILING_STATUS=OR","EQY_CONSOLIDATED=Y","FA_ADJUSTED=GAAP","Sort=A","Dates=H","DateFormat=P","Fill=—","Direction=H","UseDPDF=Y")</f>
        <v>#NAME?</v>
      </c>
      <c r="CZ245" s="2" t="e">
        <f ca="1">_xll.BDH($C$228,"INVENT_DAYS","FQ2 2017","FQ2 2017","Currency=INR","Period=FQ","BEST_FPERIOD_OVERRIDE=FQ","FILING_STATUS=OR","EQY_CONSOLIDATED=Y","FA_ADJUSTED=GAAP","Sort=A","Dates=H","DateFormat=P","Fill=—","Direction=H","UseDPDF=Y")</f>
        <v>#NAME?</v>
      </c>
      <c r="DA245" s="4" t="e">
        <f ca="1">_xll.BDH($C$228,"ACCOUNTS_PAYABLE_TURNOVER","FQ2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45" s="2" t="e">
        <f ca="1">_xll.BDH($C$228,"ACCOUNTS_PAYABLE_TURNOVER_DAYS","FQ2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45" s="4" t="e">
        <f ca="1">_xll.BDH($C$228,"CASH_CONVERSION_CYCLE","FQ2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45" s="4" t="e">
        <f ca="1">_xll.BDH($C$228,"INV_TO_CASH_DAYS","FQ2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45" s="5" t="e">
        <f ca="1">_xll.BDH($C$228,"BS_INVENTORIES","FQ2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45" s="3" t="e">
        <f ca="1">_xll.BDH($C$228,"INVTRY_RAW_MATERIALS","FQ2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45" s="3" t="e">
        <f ca="1">_xll.BDH($C$228,"INVTRY_IN_PROGRESS","FQ2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45" s="3" t="e">
        <f ca="1">_xll.BDH($C$228,"INVTRY_FINISHED_GOODS","FQ2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45" s="3" t="e">
        <f ca="1">_xll.BDH($C$228,"BS_OTHER_INV","FQ2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46" spans="1:113" x14ac:dyDescent="0.3">
      <c r="A246" s="6"/>
      <c r="B246" s="6"/>
      <c r="C246" s="6"/>
      <c r="D246" s="6"/>
      <c r="E246" t="s">
        <v>80</v>
      </c>
      <c r="F246" t="e">
        <f ca="1">_xll.BDH($C$228,"RETURN_COM_EQY","FQ3 2017","FQ3 2017","Currency=INR","Period=FQ","BEST_FPERIOD_OVERRIDE=FQ","FILING_STATUS=OR","EQY_CONSOLIDATED=Y","FA_ADJUSTED=GAAP","Sort=A","Dates=H","DateFormat=P","Fill=—","Direction=H","UseDPDF=Y")</f>
        <v>#NAME?</v>
      </c>
      <c r="G246" t="e">
        <f ca="1">_xll.BDH($C$228,"RETURN_ON_ASSET","FQ3 2017","FQ3 2017","Currency=INR","Period=FQ","BEST_FPERIOD_OVERRIDE=FQ","FILING_STATUS=OR","EQY_CONSOLIDATED=Y","FA_ADJUSTED=GAAP","Sort=A","Dates=H","DateFormat=P","Fill=—","Direction=H","UseDPDF=Y")</f>
        <v>#NAME?</v>
      </c>
      <c r="H246" t="e">
        <f ca="1">_xll.BDH($C$228,"RETURN_ON_CAP","FQ3 2017","FQ3 2017","Currency=INR","Period=FQ","BEST_FPERIOD_OVERRIDE=FQ","FILING_STATUS=OR","EQY_CONSOLIDATED=Y","FA_ADJUSTED=GAAP","Sort=A","Dates=H","DateFormat=P","Fill=—","Direction=H","UseDPDF=Y")</f>
        <v>#NAME?</v>
      </c>
      <c r="I246" t="e">
        <f ca="1">_xll.BDH($C$228,"RETURN_ON_INV_CAPITAL","FQ3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46" t="e">
        <f ca="1">_xll.BDH($C$228,"EBITDA_TO_REVENUE","FQ3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46" t="e">
        <f ca="1">_xll.BDH($C$228,"OPER_MARGIN","FQ3 2017","FQ3 2017","Currency=INR","Period=FQ","BEST_FPERIOD_OVERRIDE=FQ","FILING_STATUS=OR","EQY_CONSOLIDATED=Y","FA_ADJUSTED=GAAP","Sort=A","Dates=H","DateFormat=P","Fill=—","Direction=H","UseDPDF=Y")</f>
        <v>#NAME?</v>
      </c>
      <c r="L246" t="e">
        <f ca="1">_xll.BDH($C$228,"INCREMENTAL_OPERATING_MARGIN","FQ3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46" t="e">
        <f ca="1">_xll.BDH($C$228,"PRETAX_INC_TO_NET_SALES","FQ3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46" t="e">
        <f ca="1">_xll.BDH($C$228,"INC_BEF_XO_ITEMS_TO_NET_SALES","FQ3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46" t="e">
        <f ca="1">_xll.BDH($C$228,"PROF_MARGIN","FQ3 2017","FQ3 2017","Currency=INR","Period=FQ","BEST_FPERIOD_OVERRIDE=FQ","FILING_STATUS=OR","EQY_CONSOLIDATED=Y","FA_ADJUSTED=GAAP","Sort=A","Dates=H","DateFormat=P","Fill=—","Direction=H","UseDPDF=Y")</f>
        <v>#NAME?</v>
      </c>
      <c r="P246" t="e">
        <f ca="1">_xll.BDH($C$228,"NET_INCOME_TO_COMMON_MARGIN","FQ3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46" t="e">
        <f ca="1">_xll.BDH($C$228,"EFF_TAX_RATE","FQ3 2017","FQ3 2017","Currency=INR","Period=FQ","BEST_FPERIOD_OVERRIDE=FQ","FILING_STATUS=OR","EQY_CONSOLIDATED=Y","FA_ADJUSTED=GAAP","Sort=A","Dates=H","DateFormat=P","Fill=—","Direction=H","UseDPDF=Y")</f>
        <v>#NAME?</v>
      </c>
      <c r="R246" t="e">
        <f ca="1">_xll.BDH($C$228,"DVD_PAYOUT_RATIO","FQ3 2017","FQ3 2017","Currency=INR","Period=FQ","BEST_FPERIOD_OVERRIDE=FQ","FILING_STATUS=OR","EQY_CONSOLIDATED=Y","FA_ADJUSTED=GAAP","Sort=A","Dates=H","DateFormat=P","Fill=—","Direction=H","UseDPDF=Y")</f>
        <v>#NAME?</v>
      </c>
      <c r="S246" t="e">
        <f ca="1">_xll.BDH($C$228,"SUSTAIN_GROWTH_RT","FQ3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46" s="2" t="e">
        <f ca="1">_xll.BDH($C$228,"SALES_GROWTH","FQ3 2017","FQ3 2017","Currency=INR","Period=FQ","BEST_FPERIOD_OVERRIDE=FQ","FILING_STATUS=OR","EQY_CONSOLIDATED=Y","FA_ADJUSTED=GAAP","Sort=A","Dates=H","DateFormat=P","Fill=—","Direction=H","UseDPDF=Y")</f>
        <v>#NAME?</v>
      </c>
      <c r="U246" s="2" t="e">
        <f ca="1">_xll.BDH($C$228,"EBITDA_GROWTH","FQ3 2017","FQ3 2017","Currency=INR","Period=FQ","BEST_FPERIOD_OVERRIDE=FQ","FILING_STATUS=OR","EQY_CONSOLIDATED=Y","FA_ADJUSTED=GAAP","Sort=A","Dates=H","DateFormat=P","Fill=—","Direction=H","UseDPDF=Y")</f>
        <v>#NAME?</v>
      </c>
      <c r="V246" s="2" t="e">
        <f ca="1">_xll.BDH($C$228,"OPER_INC_GROWTH","FQ3 2017","FQ3 2017","Currency=INR","Period=FQ","BEST_FPERIOD_OVERRIDE=FQ","FILING_STATUS=OR","EQY_CONSOLIDATED=Y","FA_ADJUSTED=GAAP","Sort=A","Dates=H","DateFormat=P","Fill=—","Direction=H","UseDPDF=Y")</f>
        <v>#NAME?</v>
      </c>
      <c r="W246" s="2" t="e">
        <f ca="1">_xll.BDH($C$228,"EARN_FOR_COM_GROWTH","FQ3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46" s="2" t="e">
        <f ca="1">_xll.BDH($C$228,"DILUTED_EPS_AFT_XO_ITEMS_GROWTH","FQ3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46" s="2" t="e">
        <f ca="1">_xll.BDH($C$228,"DIVIDEND_PER_SHARE_1_YEAR_GROWTH","FQ3 2017","FQ3 2017","Currency=INR","Period=FQ","BEST_FPERIOD_OVERRIDE=FQ","FILING_STATUS=OR","EQY_CONSOLIDATED=Y","Sort=A","Dates=H","DateFormat=P","Fill=—","Direction=H","UseDPDF=Y")</f>
        <v>#NAME?</v>
      </c>
      <c r="Z246" s="2" t="e">
        <f ca="1">_xll.BDH($C$228,"ACCOUNTS_RECEIVABLE_GROWTH","FQ3 2017","FQ3 2017","Currency=INR","Period=FQ","BEST_FPERIOD_OVERRIDE=FQ","FILING_STATUS=OR","EQY_CONSOLIDATED=Y","Sort=A","Dates=H","DateFormat=P","Fill=—","Direction=H","UseDPDF=Y")</f>
        <v>#NAME?</v>
      </c>
      <c r="AA246" s="2" t="e">
        <f ca="1">_xll.BDH($C$228,"INVENTORY_GROWTH","FQ3 2017","FQ3 2017","Currency=INR","Period=FQ","BEST_FPERIOD_OVERRIDE=FQ","FILING_STATUS=OR","EQY_CONSOLIDATED=Y","Sort=A","Dates=H","DateFormat=P","Fill=—","Direction=H","UseDPDF=Y")</f>
        <v>#NAME?</v>
      </c>
      <c r="AB246" s="2" t="e">
        <f ca="1">_xll.BDH($C$228,"NET_FIXED_ASSETS_1_YEAR_GROWTH","FQ3 2017","FQ3 2017","Currency=INR","Period=FQ","BEST_FPERIOD_OVERRIDE=FQ","FILING_STATUS=OR","EQY_CONSOLIDATED=Y","Sort=A","Dates=H","DateFormat=P","Fill=—","Direction=H","UseDPDF=Y")</f>
        <v>#NAME?</v>
      </c>
      <c r="AC246" s="2" t="e">
        <f ca="1">_xll.BDH($C$228,"ASSET_GROWTH","FQ3 2017","FQ3 2017","Currency=INR","Period=FQ","BEST_FPERIOD_OVERRIDE=FQ","FILING_STATUS=OR","EQY_CONSOLIDATED=Y","Sort=A","Dates=H","DateFormat=P","Fill=—","Direction=H","UseDPDF=Y")</f>
        <v>#NAME?</v>
      </c>
      <c r="AD246" s="2" t="e">
        <f ca="1">_xll.BDH($C$228,"MODIFIED_WORK_CAP_GROWTH","FQ3 2017","FQ3 2017","Currency=INR","Period=FQ","BEST_FPERIOD_OVERRIDE=FQ","FILING_STATUS=OR","EQY_CONSOLIDATED=Y","Sort=A","Dates=H","DateFormat=P","Fill=—","Direction=H","UseDPDF=Y")</f>
        <v>#NAME?</v>
      </c>
      <c r="AE246" s="2" t="e">
        <f ca="1">_xll.BDH($C$228,"WORK_CAP_GROWTH","FQ3 2017","FQ3 2017","Currency=INR","Period=FQ","BEST_FPERIOD_OVERRIDE=FQ","FILING_STATUS=OR","EQY_CONSOLIDATED=Y","Sort=A","Dates=H","DateFormat=P","Fill=—","Direction=H","UseDPDF=Y")</f>
        <v>#NAME?</v>
      </c>
      <c r="AF246" s="2" t="e">
        <f ca="1">_xll.BDH($C$228,"ACCOUNTS_PAYABLE_GROWTH_1YR","FQ3 2017","FQ3 2017","Currency=INR","Period=FQ","BEST_FPERIOD_OVERRIDE=FQ","FILING_STATUS=OR","EQY_CONSOLIDATED=Y","Sort=A","Dates=H","DateFormat=P","Fill=—","Direction=H","UseDPDF=Y")</f>
        <v>#NAME?</v>
      </c>
      <c r="AG246" s="2" t="e">
        <f ca="1">_xll.BDH($C$228,"SHORT_TERM_DEBT_1_YEAR_GROWTH","FQ3 2017","FQ3 2017","Currency=INR","Period=FQ","BEST_FPERIOD_OVERRIDE=FQ","FILING_STATUS=OR","EQY_CONSOLIDATED=Y","Sort=A","Dates=H","DateFormat=P","Fill=—","Direction=H","UseDPDF=Y")</f>
        <v>#NAME?</v>
      </c>
      <c r="AH246" s="2" t="e">
        <f ca="1">_xll.BDH($C$228,"TOTAL_DEBT_1_YEAR_GROWTH","FQ3 2017","FQ3 2017","Currency=INR","Period=FQ","BEST_FPERIOD_OVERRIDE=FQ","FILING_STATUS=OR","EQY_CONSOLIDATED=Y","Sort=A","Dates=H","DateFormat=P","Fill=—","Direction=H","UseDPDF=Y")</f>
        <v>#NAME?</v>
      </c>
      <c r="AI246" s="2" t="e">
        <f ca="1">_xll.BDH($C$228,"TOTAL_EQUITY_1_YEAR_GROWTH","FQ3 2017","FQ3 2017","Currency=INR","Period=FQ","BEST_FPERIOD_OVERRIDE=FQ","FILING_STATUS=OR","EQY_CONSOLIDATED=Y","Sort=A","Dates=H","DateFormat=P","Fill=—","Direction=H","UseDPDF=Y")</f>
        <v>#NAME?</v>
      </c>
      <c r="AJ246" s="2" t="e">
        <f ca="1">_xll.BDH($C$228,"GROWTH_IN_CAP","FQ3 2017","FQ3 2017","Currency=INR","Period=FQ","BEST_FPERIOD_OVERRIDE=FQ","FILING_STATUS=OR","EQY_CONSOLIDATED=Y","Sort=A","Dates=H","DateFormat=P","Fill=—","Direction=H","UseDPDF=Y")</f>
        <v>#NAME?</v>
      </c>
      <c r="AK246" s="2" t="e">
        <f ca="1">_xll.BDH($C$228,"BVPS_GROWTH","FQ3 2017","FQ3 2017","Currency=INR","Period=FQ","BEST_FPERIOD_OVERRIDE=FQ","FILING_STATUS=OR","EQY_CONSOLIDATED=Y","Sort=A","Dates=H","DateFormat=P","Fill=—","Direction=H","UseDPDF=Y")</f>
        <v>#NAME?</v>
      </c>
      <c r="AL246" s="2" t="e">
        <f ca="1">_xll.BDH($C$228,"CASH_FLOW_GROWTH","FQ3 2017","FQ3 2017","Currency=INR","Period=FQ","BEST_FPERIOD_OVERRIDE=FQ","FILING_STATUS=OR","EQY_CONSOLIDATED=Y","Sort=A","Dates=H","DateFormat=P","Fill=—","Direction=H","UseDPDF=Y")</f>
        <v>#NAME?</v>
      </c>
      <c r="AM246" s="2" t="e">
        <f ca="1">_xll.BDH($C$228,"GEO_GROW_NET_SALES","FQ3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46" s="2" t="e">
        <f ca="1">_xll.BDH($C$228,"GEO_GROW_EBITDA","FQ3 2017","FQ3 2017","Currency=INR","Period=FQ","BEST_FPERIOD_OVERRIDE=FQ","FILING_STATUS=OR","EQY_CONSOLIDATED=Y","FA_ADJUSTED=GAAP","Sort=A","Dates=H","DateFormat=P","Fill=—","Direction=H","UseDPDF=Y")</f>
        <v>#NAME?</v>
      </c>
      <c r="AO246" s="2" t="e">
        <f ca="1">_xll.BDH($C$228,"GEO_GROW_OPER_INC","FQ3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46" s="2" t="e">
        <f ca="1">_xll.BDH($C$228,"NET_INCOME_TO_COMMON_5_YR_GROWTH","FQ3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46" s="2" t="e">
        <f ca="1">_xll.BDH($C$228,"5Y_GEO_GROWTH_DILUTED_EPS","FQ3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46" s="2" t="e">
        <f ca="1">_xll.BDH($C$228,"GEO_GROW_DVD_PER_SH","FQ3 2017","FQ3 2017","Currency=INR","Period=FQ","BEST_FPERIOD_OVERRIDE=FQ","FILING_STATUS=OR","EQY_CONSOLIDATED=Y","Sort=A","Dates=H","DateFormat=P","Fill=—","Direction=H","UseDPDF=Y")</f>
        <v>#NAME?</v>
      </c>
      <c r="AS246" s="2" t="e">
        <f ca="1">_xll.BDH($C$228,"ACCOUNTS_RECEIVABLE_5_YR_GROWTH","FQ3 2017","FQ3 2017","Currency=INR","Period=FQ","BEST_FPERIOD_OVERRIDE=FQ","FILING_STATUS=OR","EQY_CONSOLIDATED=Y","Sort=A","Dates=H","DateFormat=P","Fill=—","Direction=H","UseDPDF=Y")</f>
        <v>#NAME?</v>
      </c>
      <c r="AT246" s="2" t="e">
        <f ca="1">_xll.BDH($C$228,"INVENTORY_5_YEAR_GROWTH","FQ3 2017","FQ3 2017","Currency=INR","Period=FQ","BEST_FPERIOD_OVERRIDE=FQ","FILING_STATUS=OR","EQY_CONSOLIDATED=Y","Sort=A","Dates=H","DateFormat=P","Fill=—","Direction=H","UseDPDF=Y")</f>
        <v>#NAME?</v>
      </c>
      <c r="AU246" s="2" t="e">
        <f ca="1">_xll.BDH($C$228,"NET_FIXED_ASSETS_5_YEAR_GROWTH","FQ3 2017","FQ3 2017","Currency=INR","Period=FQ","BEST_FPERIOD_OVERRIDE=FQ","FILING_STATUS=OR","EQY_CONSOLIDATED=Y","Sort=A","Dates=H","DateFormat=P","Fill=—","Direction=H","UseDPDF=Y")</f>
        <v>#NAME?</v>
      </c>
      <c r="AV246" s="2" t="e">
        <f ca="1">_xll.BDH($C$228,"GEO_GROW_TOT_ASSET","FQ3 2017","FQ3 2017","Currency=INR","Period=FQ","BEST_FPERIOD_OVERRIDE=FQ","FILING_STATUS=OR","EQY_CONSOLIDATED=Y","Sort=A","Dates=H","DateFormat=P","Fill=—","Direction=H","UseDPDF=Y")</f>
        <v>#NAME?</v>
      </c>
      <c r="AW246" s="2" t="e">
        <f ca="1">_xll.BDH($C$228,"MODIFIED_WORKING_CPTL_5YR_GRWTH","FQ3 2017","FQ3 2017","Currency=INR","Period=FQ","BEST_FPERIOD_OVERRIDE=FQ","FILING_STATUS=OR","EQY_CONSOLIDATED=Y","Sort=A","Dates=H","DateFormat=P","Fill=—","Direction=H","UseDPDF=Y")</f>
        <v>#NAME?</v>
      </c>
      <c r="AX246" s="2" t="e">
        <f ca="1">_xll.BDH($C$228,"WORKING_CAPITAL_5_YEAR_GROWTH","FQ3 2017","FQ3 2017","Currency=INR","Period=FQ","BEST_FPERIOD_OVERRIDE=FQ","FILING_STATUS=OR","EQY_CONSOLIDATED=Y","Sort=A","Dates=H","DateFormat=P","Fill=—","Direction=H","UseDPDF=Y")</f>
        <v>#NAME?</v>
      </c>
      <c r="AY246" s="2" t="e">
        <f ca="1">_xll.BDH($C$228,"ACCOUNTS_PAYABLE_5_YEAR_GROWTH","FQ3 2017","FQ3 2017","Currency=INR","Period=FQ","BEST_FPERIOD_OVERRIDE=FQ","FILING_STATUS=OR","EQY_CONSOLIDATED=Y","Sort=A","Dates=H","DateFormat=P","Fill=—","Direction=H","UseDPDF=Y")</f>
        <v>#NAME?</v>
      </c>
      <c r="AZ246" s="2" t="e">
        <f ca="1">_xll.BDH($C$228,"SHORT_TERM_DEBT_5_YEAR_GROWTH","FQ3 2017","FQ3 2017","Currency=INR","Period=FQ","BEST_FPERIOD_OVERRIDE=FQ","FILING_STATUS=OR","EQY_CONSOLIDATED=Y","Sort=A","Dates=H","DateFormat=P","Fill=—","Direction=H","UseDPDF=Y")</f>
        <v>#NAME?</v>
      </c>
      <c r="BA246" s="2" t="e">
        <f ca="1">_xll.BDH($C$228,"TOTAL_DEBT_5_YEAR_GROWTH","FQ3 2017","FQ3 2017","Currency=INR","Period=FQ","BEST_FPERIOD_OVERRIDE=FQ","FILING_STATUS=OR","EQY_CONSOLIDATED=Y","Sort=A","Dates=H","DateFormat=P","Fill=—","Direction=H","UseDPDF=Y")</f>
        <v>#NAME?</v>
      </c>
      <c r="BB246" s="2" t="e">
        <f ca="1">_xll.BDH($C$228,"GEO_GROW_TOT_SHRHLDR_EQY","FQ3 2017","FQ3 2017","Currency=INR","Period=FQ","BEST_FPERIOD_OVERRIDE=FQ","FILING_STATUS=OR","EQY_CONSOLIDATED=Y","Sort=A","Dates=H","DateFormat=P","Fill=—","Direction=H","UseDPDF=Y")</f>
        <v>#NAME?</v>
      </c>
      <c r="BC246" s="2" t="e">
        <f ca="1">_xll.BDH($C$228,"TOTAL_CAPITAL_5_YEAR_GROWTH","FQ3 2017","FQ3 2017","Currency=INR","Period=FQ","BEST_FPERIOD_OVERRIDE=FQ","FILING_STATUS=OR","EQY_CONSOLIDATED=Y","Sort=A","Dates=H","DateFormat=P","Fill=—","Direction=H","UseDPDF=Y")</f>
        <v>#NAME?</v>
      </c>
      <c r="BD246" s="2" t="e">
        <f ca="1">_xll.BDH($C$228,"GEO_GROW_BOOK_VAL","FQ3 2017","FQ3 2017","Currency=INR","Period=FQ","BEST_FPERIOD_OVERRIDE=FQ","FILING_STATUS=OR","EQY_CONSOLIDATED=Y","Sort=A","Dates=H","DateFormat=P","Fill=—","Direction=H","UseDPDF=Y")</f>
        <v>#NAME?</v>
      </c>
      <c r="BE246" s="2" t="e">
        <f ca="1">_xll.BDH($C$228,"GEO_GROW_CASH_OPER_ACT","FQ3 2017","FQ3 2017","Currency=INR","Period=FQ","BEST_FPERIOD_OVERRIDE=FQ","FILING_STATUS=OR","EQY_CONSOLIDATED=Y","Sort=A","Dates=H","DateFormat=P","Fill=—","Direction=H","UseDPDF=Y")</f>
        <v>#NAME?</v>
      </c>
      <c r="BF246" s="2" t="e">
        <f ca="1">_xll.BDH($C$228,"REVENUE_SEQUENTIAL_GROWTH","FQ3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46" s="2" t="e">
        <f ca="1">_xll.BDH($C$228,"EBITDA_SEQUENTIAL_GROWTH","FQ3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46" s="2" t="e">
        <f ca="1">_xll.BDH($C$228,"OPERATING_INCOME_SEQ_GROWTH","FQ3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46" s="2" t="e">
        <f ca="1">_xll.BDH($C$228,"NET_INCOME_TO_COMMON_SEQ_GROWTH","FQ3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46" s="2" t="e">
        <f ca="1">_xll.BDH($C$228,"EPS_DILUTED_SEQUENTIAL_GROWTH","FQ3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46" s="2" t="e">
        <f ca="1">_xll.BDH($C$228,"DPS_SEQUENTIAL_GROWTH","FQ3 2017","FQ3 2017","Currency=INR","Period=FQ","BEST_FPERIOD_OVERRIDE=FQ","FILING_STATUS=OR","EQY_CONSOLIDATED=Y","Sort=A","Dates=H","DateFormat=P","Fill=—","Direction=H","UseDPDF=Y")</f>
        <v>#NAME?</v>
      </c>
      <c r="BL246" s="2" t="e">
        <f ca="1">_xll.BDH($C$228,"ACCOUNTS_RECEIVABLE_SEQ_GROWTH","FQ3 2017","FQ3 2017","Currency=INR","Period=FQ","BEST_FPERIOD_OVERRIDE=FQ","FILING_STATUS=OR","EQY_CONSOLIDATED=Y","Sort=A","Dates=H","DateFormat=P","Fill=—","Direction=H","UseDPDF=Y")</f>
        <v>#NAME?</v>
      </c>
      <c r="BM246" s="2" t="e">
        <f ca="1">_xll.BDH($C$228,"INVENTORY_SEQUENTIAL_GROWTH","FQ3 2017","FQ3 2017","Currency=INR","Period=FQ","BEST_FPERIOD_OVERRIDE=FQ","FILING_STATUS=OR","EQY_CONSOLIDATED=Y","Sort=A","Dates=H","DateFormat=P","Fill=—","Direction=H","UseDPDF=Y")</f>
        <v>#NAME?</v>
      </c>
      <c r="BN246" s="2" t="e">
        <f ca="1">_xll.BDH($C$228,"FIXED_ASSETS_SEQUENTIAL_GROWTH","FQ3 2017","FQ3 2017","Currency=INR","Period=FQ","BEST_FPERIOD_OVERRIDE=FQ","FILING_STATUS=OR","EQY_CONSOLIDATED=Y","Sort=A","Dates=H","DateFormat=P","Fill=—","Direction=H","UseDPDF=Y")</f>
        <v>#NAME?</v>
      </c>
      <c r="BO246" s="2" t="e">
        <f ca="1">_xll.BDH($C$228,"TOTAL_ASSETS_SEQUENTIAL_GROWTH","FQ3 2017","FQ3 2017","Currency=INR","Period=FQ","BEST_FPERIOD_OVERRIDE=FQ","FILING_STATUS=OR","EQY_CONSOLIDATED=Y","Sort=A","Dates=H","DateFormat=P","Fill=—","Direction=H","UseDPDF=Y")</f>
        <v>#NAME?</v>
      </c>
      <c r="BP246" s="2" t="e">
        <f ca="1">_xll.BDH($C$228,"MODIFIED_WORKING_CPTL_SEQ_GRWTH","FQ3 2017","FQ3 2017","Currency=INR","Period=FQ","BEST_FPERIOD_OVERRIDE=FQ","FILING_STATUS=OR","EQY_CONSOLIDATED=Y","Sort=A","Dates=H","DateFormat=P","Fill=—","Direction=H","UseDPDF=Y")</f>
        <v>#NAME?</v>
      </c>
      <c r="BQ246" s="2" t="e">
        <f ca="1">_xll.BDH($C$228,"WORKING_CAPITAL_SEQ_GROWTH","FQ3 2017","FQ3 2017","Currency=INR","Period=FQ","BEST_FPERIOD_OVERRIDE=FQ","FILING_STATUS=OR","EQY_CONSOLIDATED=Y","Sort=A","Dates=H","DateFormat=P","Fill=—","Direction=H","UseDPDF=Y")</f>
        <v>#NAME?</v>
      </c>
      <c r="BR246" s="2" t="e">
        <f ca="1">_xll.BDH($C$228,"ACCOUNTS_PAYABLE_SEQ_GROWTH","FQ3 2017","FQ3 2017","Currency=INR","Period=FQ","BEST_FPERIOD_OVERRIDE=FQ","FILING_STATUS=OR","EQY_CONSOLIDATED=Y","Sort=A","Dates=H","DateFormat=P","Fill=—","Direction=H","UseDPDF=Y")</f>
        <v>#NAME?</v>
      </c>
      <c r="BS246" s="2" t="e">
        <f ca="1">_xll.BDH($C$228,"ST_DEBT_SEQUENTIAL_GROWTH","FQ3 2017","FQ3 2017","Currency=INR","Period=FQ","BEST_FPERIOD_OVERRIDE=FQ","FILING_STATUS=OR","EQY_CONSOLIDATED=Y","Sort=A","Dates=H","DateFormat=P","Fill=—","Direction=H","UseDPDF=Y")</f>
        <v>#NAME?</v>
      </c>
      <c r="BT246" s="2" t="e">
        <f ca="1">_xll.BDH($C$228,"TOTAL_DEBT_SEQUENTIAL_GROWTH","FQ3 2017","FQ3 2017","Currency=INR","Period=FQ","BEST_FPERIOD_OVERRIDE=FQ","FILING_STATUS=OR","EQY_CONSOLIDATED=Y","Sort=A","Dates=H","DateFormat=P","Fill=—","Direction=H","UseDPDF=Y")</f>
        <v>#NAME?</v>
      </c>
      <c r="BU246" s="2" t="e">
        <f ca="1">_xll.BDH($C$228,"TOTAL_EQUITY_SEQUENTIAL_GROWTH","FQ3 2017","FQ3 2017","Currency=INR","Period=FQ","BEST_FPERIOD_OVERRIDE=FQ","FILING_STATUS=OR","EQY_CONSOLIDATED=Y","Sort=A","Dates=H","DateFormat=P","Fill=—","Direction=H","UseDPDF=Y")</f>
        <v>#NAME?</v>
      </c>
      <c r="BV246" s="2" t="e">
        <f ca="1">_xll.BDH($C$228,"TOTAL_CAPITAL_SEQUENTIAL_GROWTH","FQ3 2017","FQ3 2017","Currency=INR","Period=FQ","BEST_FPERIOD_OVERRIDE=FQ","FILING_STATUS=OR","EQY_CONSOLIDATED=Y","Sort=A","Dates=H","DateFormat=P","Fill=—","Direction=H","UseDPDF=Y")</f>
        <v>#NAME?</v>
      </c>
      <c r="BW246" s="2" t="e">
        <f ca="1">_xll.BDH($C$228,"BPS_SEQUENTIAL_GROWTH","FQ3 2017","FQ3 2017","Currency=INR","Period=FQ","BEST_FPERIOD_OVERRIDE=FQ","FILING_STATUS=OR","EQY_CONSOLIDATED=Y","Sort=A","Dates=H","DateFormat=P","Fill=—","Direction=H","UseDPDF=Y")</f>
        <v>#NAME?</v>
      </c>
      <c r="BX246" s="2" t="e">
        <f ca="1">_xll.BDH($C$228,"CFO_SEQUENTIAL_GROWTH","FQ3 2017","FQ3 2017","Currency=INR","Period=FQ","BEST_FPERIOD_OVERRIDE=FQ","FILING_STATUS=OR","EQY_CONSOLIDATED=Y","Sort=A","Dates=H","DateFormat=P","Fill=—","Direction=H","UseDPDF=Y")</f>
        <v>#NAME?</v>
      </c>
      <c r="BY246" s="3" t="e">
        <f ca="1">_xll.BDH($C$228,"SHORT_AND_LONG_TERM_DEBT","FQ3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46" s="3" t="e">
        <f ca="1">_xll.BDH($C$228,"BS_ST_BORROW","FQ3 2017","FQ3 2017","Currency=INR","Period=FQ","BEST_FPERIOD_OVERRIDE=FQ","FILING_STATUS=OR","EQY_CONSOLIDATED=Y","SCALING_FORMAT=MLN","Sort=A","Dates=H","DateFormat=P","Fill=—","Direction=H","UseDPDF=Y")</f>
        <v>#NAME?</v>
      </c>
      <c r="CA246" s="3" t="e">
        <f ca="1">_xll.BDH($C$228,"BS_LT_BORROW","FQ3 2017","FQ3 2017","Currency=INR","Period=FQ","BEST_FPERIOD_OVERRIDE=FQ","FILING_STATUS=OR","EQY_CONSOLIDATED=Y","SCALING_FORMAT=MLN","Sort=A","Dates=H","DateFormat=P","Fill=—","Direction=H","UseDPDF=Y")</f>
        <v>#NAME?</v>
      </c>
      <c r="CB246" s="2" t="e">
        <f ca="1">_xll.BDH($C$228,"TOT_DEBT_TO_EBITDA","FQ3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46" s="2" t="e">
        <f ca="1">_xll.BDH($C$228,"NET_DEBT_TO_EBITDA","FQ3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46" s="2" t="e">
        <f ca="1">_xll.BDH($C$228,"TOTAL_DEBT_TO_EBIT","FQ3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46" s="2" t="e">
        <f ca="1">_xll.BDH($C$228,"NET_DEBT_TO_EBIT","FQ3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46" s="2" t="e">
        <f ca="1">_xll.BDH($C$228,"EBITDA_TO_INTEREST_EXPN","FQ3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46" s="2" t="e">
        <f ca="1">_xll.BDH($C$228,"COM_EQY_TO_TOT_ASSET","FQ3 2017","FQ3 2017","Currency=INR","Period=FQ","BEST_FPERIOD_OVERRIDE=FQ","FILING_STATUS=OR","EQY_CONSOLIDATED=Y","Sort=A","Dates=H","DateFormat=P","Fill=—","Direction=H","UseDPDF=Y")</f>
        <v>#NAME?</v>
      </c>
      <c r="CH246" s="2" t="e">
        <f ca="1">_xll.BDH($C$228,"LT_DEBT_TO_TOT_EQY","FQ3 2017","FQ3 2017","Currency=INR","Period=FQ","BEST_FPERIOD_OVERRIDE=FQ","FILING_STATUS=OR","EQY_CONSOLIDATED=Y","Sort=A","Dates=H","DateFormat=P","Fill=—","Direction=H","UseDPDF=Y")</f>
        <v>#NAME?</v>
      </c>
      <c r="CI246" s="2" t="e">
        <f ca="1">_xll.BDH($C$228,"LT_DEBT_TO_TOT_CAP","FQ3 2017","FQ3 2017","Currency=INR","Period=FQ","BEST_FPERIOD_OVERRIDE=FQ","FILING_STATUS=OR","EQY_CONSOLIDATED=Y","Sort=A","Dates=H","DateFormat=P","Fill=—","Direction=H","UseDPDF=Y")</f>
        <v>#NAME?</v>
      </c>
      <c r="CJ246" s="2" t="e">
        <f ca="1">_xll.BDH($C$228,"LT_DEBT_TO_TOT_ASSET","FQ3 2017","FQ3 2017","Currency=INR","Period=FQ","BEST_FPERIOD_OVERRIDE=FQ","FILING_STATUS=OR","EQY_CONSOLIDATED=Y","Sort=A","Dates=H","DateFormat=P","Fill=—","Direction=H","UseDPDF=Y")</f>
        <v>#NAME?</v>
      </c>
      <c r="CK246" s="2" t="e">
        <f ca="1">_xll.BDH($C$228,"TOT_DEBT_TO_TOT_EQY","FQ3 2017","FQ3 2017","Currency=INR","Period=FQ","BEST_FPERIOD_OVERRIDE=FQ","FILING_STATUS=OR","EQY_CONSOLIDATED=Y","Sort=A","Dates=H","DateFormat=P","Fill=—","Direction=H","UseDPDF=Y")</f>
        <v>#NAME?</v>
      </c>
      <c r="CL246" s="2" t="e">
        <f ca="1">_xll.BDH($C$228,"TOT_DEBT_TO_TOT_CAP","FQ3 2017","FQ3 2017","Currency=INR","Period=FQ","BEST_FPERIOD_OVERRIDE=FQ","FILING_STATUS=OR","EQY_CONSOLIDATED=Y","Sort=A","Dates=H","DateFormat=P","Fill=—","Direction=H","UseDPDF=Y")</f>
        <v>#NAME?</v>
      </c>
      <c r="CM246" s="2" t="e">
        <f ca="1">_xll.BDH($C$228,"TOT_DEBT_TO_TOT_ASSET","FQ3 2017","FQ3 2017","Currency=INR","Period=FQ","BEST_FPERIOD_OVERRIDE=FQ","FILING_STATUS=OR","EQY_CONSOLIDATED=Y","Sort=A","Dates=H","DateFormat=P","Fill=—","Direction=H","UseDPDF=Y")</f>
        <v>#NAME?</v>
      </c>
      <c r="CN246" s="2" t="e">
        <f ca="1">_xll.BDH($C$228,"NET_DEBT_TO_SHRHLDR_EQTY","FQ3 2017","FQ3 2017","Currency=INR","Period=FQ","BEST_FPERIOD_OVERRIDE=FQ","FILING_STATUS=OR","EQY_CONSOLIDATED=Y","Sort=A","Dates=H","DateFormat=P","Fill=—","Direction=H","UseDPDF=Y")</f>
        <v>#NAME?</v>
      </c>
      <c r="CO246" s="2" t="e">
        <f ca="1">_xll.BDH($C$228,"NET_DEBT_%_CAPITAL","FQ3 2017","FQ3 2017","Currency=INR","Period=FQ","BEST_FPERIOD_OVERRIDE=FQ","FILING_STATUS=OR","EQY_CONSOLIDATED=Y","Sort=A","Dates=H","DateFormat=P","Fill=—","Direction=H","UseDPDF=Y")</f>
        <v>#NAME?</v>
      </c>
      <c r="CP246" s="3" t="e">
        <f ca="1">_xll.BDH($C$228,"EBITDA","FQ3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46" s="3" t="e">
        <f ca="1">_xll.BDH($C$228,"EBITDA_AFTER_CAPEX","FQ3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46" s="3" t="e">
        <f ca="1">_xll.BDH($C$228,"IS_OPER_INC","FQ3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46" s="2" t="e">
        <f ca="1">_xll.BDH($C$228,"CASH_RATIO","FQ3 2017","FQ3 2017","Currency=INR","Period=FQ","BEST_FPERIOD_OVERRIDE=FQ","FILING_STATUS=OR","EQY_CONSOLIDATED=Y","Sort=A","Dates=H","DateFormat=P","Fill=—","Direction=H","UseDPDF=Y")</f>
        <v>#NAME?</v>
      </c>
      <c r="CT246" s="2" t="e">
        <f ca="1">_xll.BDH($C$228,"CUR_RATIO","FQ3 2017","FQ3 2017","Currency=INR","Period=FQ","BEST_FPERIOD_OVERRIDE=FQ","FILING_STATUS=OR","EQY_CONSOLIDATED=Y","Sort=A","Dates=H","DateFormat=P","Fill=—","Direction=H","UseDPDF=Y")</f>
        <v>#NAME?</v>
      </c>
      <c r="CU246" s="2" t="e">
        <f ca="1">_xll.BDH($C$228,"QUICK_RATIO","FQ3 2017","FQ3 2017","Currency=INR","Period=FQ","BEST_FPERIOD_OVERRIDE=FQ","FILING_STATUS=OR","EQY_CONSOLIDATED=Y","Sort=A","Dates=H","DateFormat=P","Fill=—","Direction=H","UseDPDF=Y")</f>
        <v>#NAME?</v>
      </c>
      <c r="CV246" s="2" t="e">
        <f ca="1">_xll.BDH($C$228,"ALTMAN_Z_SCORE","FQ3 2017","FQ3 2017","Currency=INR","Period=FQ","BEST_FPERIOD_OVERRIDE=FQ","FILING_STATUS=OR","EQY_CONSOLIDATED=Y","Sort=A","Dates=H","DateFormat=P","Fill=—","Direction=H","UseDPDF=Y")</f>
        <v>#NAME?</v>
      </c>
      <c r="CW246" s="4" t="e">
        <f ca="1">_xll.BDH($C$228,"ACCT_RCV_TURN","FQ3 2017","FQ3 2017","Currency=INR","Period=FQ","BEST_FPERIOD_OVERRIDE=FQ","FILING_STATUS=OR","EQY_CONSOLIDATED=Y","FA_ADJUSTED=GAAP","Sort=A","Dates=H","DateFormat=P","Fill=—","Direction=H","UseDPDF=Y")</f>
        <v>#NAME?</v>
      </c>
      <c r="CX246" s="2" t="e">
        <f ca="1">_xll.BDH($C$228,"ACCT_RCV_DAYS","FQ3 2017","FQ3 2017","Currency=INR","Period=FQ","BEST_FPERIOD_OVERRIDE=FQ","FILING_STATUS=OR","EQY_CONSOLIDATED=Y","FA_ADJUSTED=GAAP","Sort=A","Dates=H","DateFormat=P","Fill=—","Direction=H","UseDPDF=Y")</f>
        <v>#NAME?</v>
      </c>
      <c r="CY246" s="4" t="e">
        <f ca="1">_xll.BDH($C$228,"INVENT_TURN","FQ3 2017","FQ3 2017","Currency=INR","Period=FQ","BEST_FPERIOD_OVERRIDE=FQ","FILING_STATUS=OR","EQY_CONSOLIDATED=Y","FA_ADJUSTED=GAAP","Sort=A","Dates=H","DateFormat=P","Fill=—","Direction=H","UseDPDF=Y")</f>
        <v>#NAME?</v>
      </c>
      <c r="CZ246" s="2" t="e">
        <f ca="1">_xll.BDH($C$228,"INVENT_DAYS","FQ3 2017","FQ3 2017","Currency=INR","Period=FQ","BEST_FPERIOD_OVERRIDE=FQ","FILING_STATUS=OR","EQY_CONSOLIDATED=Y","FA_ADJUSTED=GAAP","Sort=A","Dates=H","DateFormat=P","Fill=—","Direction=H","UseDPDF=Y")</f>
        <v>#NAME?</v>
      </c>
      <c r="DA246" s="4" t="e">
        <f ca="1">_xll.BDH($C$228,"ACCOUNTS_PAYABLE_TURNOVER","FQ3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46" s="2" t="e">
        <f ca="1">_xll.BDH($C$228,"ACCOUNTS_PAYABLE_TURNOVER_DAYS","FQ3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46" s="4" t="e">
        <f ca="1">_xll.BDH($C$228,"CASH_CONVERSION_CYCLE","FQ3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46" s="4" t="e">
        <f ca="1">_xll.BDH($C$228,"INV_TO_CASH_DAYS","FQ3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46" s="5" t="e">
        <f ca="1">_xll.BDH($C$228,"BS_INVENTORIES","FQ3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46" s="3" t="e">
        <f ca="1">_xll.BDH($C$228,"INVTRY_RAW_MATERIALS","FQ3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46" s="3" t="e">
        <f ca="1">_xll.BDH($C$228,"INVTRY_IN_PROGRESS","FQ3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46" s="3" t="e">
        <f ca="1">_xll.BDH($C$228,"INVTRY_FINISHED_GOODS","FQ3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46" s="3" t="e">
        <f ca="1">_xll.BDH($C$228,"BS_OTHER_INV","FQ3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47" spans="1:113" x14ac:dyDescent="0.3">
      <c r="A247" s="6"/>
      <c r="B247" s="6"/>
      <c r="C247" s="6"/>
      <c r="D247" s="6"/>
      <c r="E247" t="s">
        <v>81</v>
      </c>
      <c r="F247" t="e">
        <f ca="1">_xll.BDH($C$228,"RETURN_COM_EQY","FQ4 2017","FQ4 2017","Currency=INR","Period=FQ","BEST_FPERIOD_OVERRIDE=FQ","FILING_STATUS=OR","EQY_CONSOLIDATED=Y","FA_ADJUSTED=GAAP","Sort=A","Dates=H","DateFormat=P","Fill=—","Direction=H","UseDPDF=Y")</f>
        <v>#NAME?</v>
      </c>
      <c r="G247" t="e">
        <f ca="1">_xll.BDH($C$228,"RETURN_ON_ASSET","FQ4 2017","FQ4 2017","Currency=INR","Period=FQ","BEST_FPERIOD_OVERRIDE=FQ","FILING_STATUS=OR","EQY_CONSOLIDATED=Y","FA_ADJUSTED=GAAP","Sort=A","Dates=H","DateFormat=P","Fill=—","Direction=H","UseDPDF=Y")</f>
        <v>#NAME?</v>
      </c>
      <c r="H247" t="e">
        <f ca="1">_xll.BDH($C$228,"RETURN_ON_CAP","FQ4 2017","FQ4 2017","Currency=INR","Period=FQ","BEST_FPERIOD_OVERRIDE=FQ","FILING_STATUS=OR","EQY_CONSOLIDATED=Y","FA_ADJUSTED=GAAP","Sort=A","Dates=H","DateFormat=P","Fill=—","Direction=H","UseDPDF=Y")</f>
        <v>#NAME?</v>
      </c>
      <c r="I247" t="e">
        <f ca="1">_xll.BDH($C$228,"RETURN_ON_INV_CAPITAL","FQ4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47" t="e">
        <f ca="1">_xll.BDH($C$228,"EBITDA_TO_REVENUE","FQ4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47" t="e">
        <f ca="1">_xll.BDH($C$228,"OPER_MARGIN","FQ4 2017","FQ4 2017","Currency=INR","Period=FQ","BEST_FPERIOD_OVERRIDE=FQ","FILING_STATUS=OR","EQY_CONSOLIDATED=Y","FA_ADJUSTED=GAAP","Sort=A","Dates=H","DateFormat=P","Fill=—","Direction=H","UseDPDF=Y")</f>
        <v>#NAME?</v>
      </c>
      <c r="L247" t="e">
        <f ca="1">_xll.BDH($C$228,"INCREMENTAL_OPERATING_MARGIN","FQ4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47" t="e">
        <f ca="1">_xll.BDH($C$228,"PRETAX_INC_TO_NET_SALES","FQ4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47" t="e">
        <f ca="1">_xll.BDH($C$228,"INC_BEF_XO_ITEMS_TO_NET_SALES","FQ4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47" t="e">
        <f ca="1">_xll.BDH($C$228,"PROF_MARGIN","FQ4 2017","FQ4 2017","Currency=INR","Period=FQ","BEST_FPERIOD_OVERRIDE=FQ","FILING_STATUS=OR","EQY_CONSOLIDATED=Y","FA_ADJUSTED=GAAP","Sort=A","Dates=H","DateFormat=P","Fill=—","Direction=H","UseDPDF=Y")</f>
        <v>#NAME?</v>
      </c>
      <c r="P247" t="e">
        <f ca="1">_xll.BDH($C$228,"NET_INCOME_TO_COMMON_MARGIN","FQ4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47" t="e">
        <f ca="1">_xll.BDH($C$228,"EFF_TAX_RATE","FQ4 2017","FQ4 2017","Currency=INR","Period=FQ","BEST_FPERIOD_OVERRIDE=FQ","FILING_STATUS=OR","EQY_CONSOLIDATED=Y","FA_ADJUSTED=GAAP","Sort=A","Dates=H","DateFormat=P","Fill=—","Direction=H","UseDPDF=Y")</f>
        <v>#NAME?</v>
      </c>
      <c r="R247" t="e">
        <f ca="1">_xll.BDH($C$228,"DVD_PAYOUT_RATIO","FQ4 2017","FQ4 2017","Currency=INR","Period=FQ","BEST_FPERIOD_OVERRIDE=FQ","FILING_STATUS=OR","EQY_CONSOLIDATED=Y","FA_ADJUSTED=GAAP","Sort=A","Dates=H","DateFormat=P","Fill=—","Direction=H","UseDPDF=Y")</f>
        <v>#NAME?</v>
      </c>
      <c r="S247" t="e">
        <f ca="1">_xll.BDH($C$228,"SUSTAIN_GROWTH_RT","FQ4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47" s="2" t="e">
        <f ca="1">_xll.BDH($C$228,"SALES_GROWTH","FQ4 2017","FQ4 2017","Currency=INR","Period=FQ","BEST_FPERIOD_OVERRIDE=FQ","FILING_STATUS=OR","EQY_CONSOLIDATED=Y","FA_ADJUSTED=GAAP","Sort=A","Dates=H","DateFormat=P","Fill=—","Direction=H","UseDPDF=Y")</f>
        <v>#NAME?</v>
      </c>
      <c r="U247" s="2" t="e">
        <f ca="1">_xll.BDH($C$228,"EBITDA_GROWTH","FQ4 2017","FQ4 2017","Currency=INR","Period=FQ","BEST_FPERIOD_OVERRIDE=FQ","FILING_STATUS=OR","EQY_CONSOLIDATED=Y","FA_ADJUSTED=GAAP","Sort=A","Dates=H","DateFormat=P","Fill=—","Direction=H","UseDPDF=Y")</f>
        <v>#NAME?</v>
      </c>
      <c r="V247" s="2" t="e">
        <f ca="1">_xll.BDH($C$228,"OPER_INC_GROWTH","FQ4 2017","FQ4 2017","Currency=INR","Period=FQ","BEST_FPERIOD_OVERRIDE=FQ","FILING_STATUS=OR","EQY_CONSOLIDATED=Y","FA_ADJUSTED=GAAP","Sort=A","Dates=H","DateFormat=P","Fill=—","Direction=H","UseDPDF=Y")</f>
        <v>#NAME?</v>
      </c>
      <c r="W247" s="2" t="e">
        <f ca="1">_xll.BDH($C$228,"EARN_FOR_COM_GROWTH","FQ4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47" s="2" t="e">
        <f ca="1">_xll.BDH($C$228,"DILUTED_EPS_AFT_XO_ITEMS_GROWTH","FQ4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47" s="2" t="e">
        <f ca="1">_xll.BDH($C$228,"DIVIDEND_PER_SHARE_1_YEAR_GROWTH","FQ4 2017","FQ4 2017","Currency=INR","Period=FQ","BEST_FPERIOD_OVERRIDE=FQ","FILING_STATUS=OR","EQY_CONSOLIDATED=Y","Sort=A","Dates=H","DateFormat=P","Fill=—","Direction=H","UseDPDF=Y")</f>
        <v>#NAME?</v>
      </c>
      <c r="Z247" s="2" t="e">
        <f ca="1">_xll.BDH($C$228,"ACCOUNTS_RECEIVABLE_GROWTH","FQ4 2017","FQ4 2017","Currency=INR","Period=FQ","BEST_FPERIOD_OVERRIDE=FQ","FILING_STATUS=OR","EQY_CONSOLIDATED=Y","Sort=A","Dates=H","DateFormat=P","Fill=—","Direction=H","UseDPDF=Y")</f>
        <v>#NAME?</v>
      </c>
      <c r="AA247" s="2" t="e">
        <f ca="1">_xll.BDH($C$228,"INVENTORY_GROWTH","FQ4 2017","FQ4 2017","Currency=INR","Period=FQ","BEST_FPERIOD_OVERRIDE=FQ","FILING_STATUS=OR","EQY_CONSOLIDATED=Y","Sort=A","Dates=H","DateFormat=P","Fill=—","Direction=H","UseDPDF=Y")</f>
        <v>#NAME?</v>
      </c>
      <c r="AB247" s="2" t="e">
        <f ca="1">_xll.BDH($C$228,"NET_FIXED_ASSETS_1_YEAR_GROWTH","FQ4 2017","FQ4 2017","Currency=INR","Period=FQ","BEST_FPERIOD_OVERRIDE=FQ","FILING_STATUS=OR","EQY_CONSOLIDATED=Y","Sort=A","Dates=H","DateFormat=P","Fill=—","Direction=H","UseDPDF=Y")</f>
        <v>#NAME?</v>
      </c>
      <c r="AC247" s="2" t="e">
        <f ca="1">_xll.BDH($C$228,"ASSET_GROWTH","FQ4 2017","FQ4 2017","Currency=INR","Period=FQ","BEST_FPERIOD_OVERRIDE=FQ","FILING_STATUS=OR","EQY_CONSOLIDATED=Y","Sort=A","Dates=H","DateFormat=P","Fill=—","Direction=H","UseDPDF=Y")</f>
        <v>#NAME?</v>
      </c>
      <c r="AD247" s="2" t="e">
        <f ca="1">_xll.BDH($C$228,"MODIFIED_WORK_CAP_GROWTH","FQ4 2017","FQ4 2017","Currency=INR","Period=FQ","BEST_FPERIOD_OVERRIDE=FQ","FILING_STATUS=OR","EQY_CONSOLIDATED=Y","Sort=A","Dates=H","DateFormat=P","Fill=—","Direction=H","UseDPDF=Y")</f>
        <v>#NAME?</v>
      </c>
      <c r="AE247" s="2" t="e">
        <f ca="1">_xll.BDH($C$228,"WORK_CAP_GROWTH","FQ4 2017","FQ4 2017","Currency=INR","Period=FQ","BEST_FPERIOD_OVERRIDE=FQ","FILING_STATUS=OR","EQY_CONSOLIDATED=Y","Sort=A","Dates=H","DateFormat=P","Fill=—","Direction=H","UseDPDF=Y")</f>
        <v>#NAME?</v>
      </c>
      <c r="AF247" s="2" t="e">
        <f ca="1">_xll.BDH($C$228,"ACCOUNTS_PAYABLE_GROWTH_1YR","FQ4 2017","FQ4 2017","Currency=INR","Period=FQ","BEST_FPERIOD_OVERRIDE=FQ","FILING_STATUS=OR","EQY_CONSOLIDATED=Y","Sort=A","Dates=H","DateFormat=P","Fill=—","Direction=H","UseDPDF=Y")</f>
        <v>#NAME?</v>
      </c>
      <c r="AG247" s="2" t="e">
        <f ca="1">_xll.BDH($C$228,"SHORT_TERM_DEBT_1_YEAR_GROWTH","FQ4 2017","FQ4 2017","Currency=INR","Period=FQ","BEST_FPERIOD_OVERRIDE=FQ","FILING_STATUS=OR","EQY_CONSOLIDATED=Y","Sort=A","Dates=H","DateFormat=P","Fill=—","Direction=H","UseDPDF=Y")</f>
        <v>#NAME?</v>
      </c>
      <c r="AH247" s="2" t="e">
        <f ca="1">_xll.BDH($C$228,"TOTAL_DEBT_1_YEAR_GROWTH","FQ4 2017","FQ4 2017","Currency=INR","Period=FQ","BEST_FPERIOD_OVERRIDE=FQ","FILING_STATUS=OR","EQY_CONSOLIDATED=Y","Sort=A","Dates=H","DateFormat=P","Fill=—","Direction=H","UseDPDF=Y")</f>
        <v>#NAME?</v>
      </c>
      <c r="AI247" s="2" t="e">
        <f ca="1">_xll.BDH($C$228,"TOTAL_EQUITY_1_YEAR_GROWTH","FQ4 2017","FQ4 2017","Currency=INR","Period=FQ","BEST_FPERIOD_OVERRIDE=FQ","FILING_STATUS=OR","EQY_CONSOLIDATED=Y","Sort=A","Dates=H","DateFormat=P","Fill=—","Direction=H","UseDPDF=Y")</f>
        <v>#NAME?</v>
      </c>
      <c r="AJ247" s="2" t="e">
        <f ca="1">_xll.BDH($C$228,"GROWTH_IN_CAP","FQ4 2017","FQ4 2017","Currency=INR","Period=FQ","BEST_FPERIOD_OVERRIDE=FQ","FILING_STATUS=OR","EQY_CONSOLIDATED=Y","Sort=A","Dates=H","DateFormat=P","Fill=—","Direction=H","UseDPDF=Y")</f>
        <v>#NAME?</v>
      </c>
      <c r="AK247" s="2" t="e">
        <f ca="1">_xll.BDH($C$228,"BVPS_GROWTH","FQ4 2017","FQ4 2017","Currency=INR","Period=FQ","BEST_FPERIOD_OVERRIDE=FQ","FILING_STATUS=OR","EQY_CONSOLIDATED=Y","Sort=A","Dates=H","DateFormat=P","Fill=—","Direction=H","UseDPDF=Y")</f>
        <v>#NAME?</v>
      </c>
      <c r="AL247" s="2" t="e">
        <f ca="1">_xll.BDH($C$228,"CASH_FLOW_GROWTH","FQ4 2017","FQ4 2017","Currency=INR","Period=FQ","BEST_FPERIOD_OVERRIDE=FQ","FILING_STATUS=OR","EQY_CONSOLIDATED=Y","Sort=A","Dates=H","DateFormat=P","Fill=—","Direction=H","UseDPDF=Y")</f>
        <v>#NAME?</v>
      </c>
      <c r="AM247" s="2" t="e">
        <f ca="1">_xll.BDH($C$228,"GEO_GROW_NET_SALES","FQ4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47" s="2" t="e">
        <f ca="1">_xll.BDH($C$228,"GEO_GROW_EBITDA","FQ4 2017","FQ4 2017","Currency=INR","Period=FQ","BEST_FPERIOD_OVERRIDE=FQ","FILING_STATUS=OR","EQY_CONSOLIDATED=Y","FA_ADJUSTED=GAAP","Sort=A","Dates=H","DateFormat=P","Fill=—","Direction=H","UseDPDF=Y")</f>
        <v>#NAME?</v>
      </c>
      <c r="AO247" s="2" t="e">
        <f ca="1">_xll.BDH($C$228,"GEO_GROW_OPER_INC","FQ4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47" s="2" t="e">
        <f ca="1">_xll.BDH($C$228,"NET_INCOME_TO_COMMON_5_YR_GROWTH","FQ4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47" s="2" t="e">
        <f ca="1">_xll.BDH($C$228,"5Y_GEO_GROWTH_DILUTED_EPS","FQ4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47" s="2" t="e">
        <f ca="1">_xll.BDH($C$228,"GEO_GROW_DVD_PER_SH","FQ4 2017","FQ4 2017","Currency=INR","Period=FQ","BEST_FPERIOD_OVERRIDE=FQ","FILING_STATUS=OR","EQY_CONSOLIDATED=Y","Sort=A","Dates=H","DateFormat=P","Fill=—","Direction=H","UseDPDF=Y")</f>
        <v>#NAME?</v>
      </c>
      <c r="AS247" s="2" t="e">
        <f ca="1">_xll.BDH($C$228,"ACCOUNTS_RECEIVABLE_5_YR_GROWTH","FQ4 2017","FQ4 2017","Currency=INR","Period=FQ","BEST_FPERIOD_OVERRIDE=FQ","FILING_STATUS=OR","EQY_CONSOLIDATED=Y","Sort=A","Dates=H","DateFormat=P","Fill=—","Direction=H","UseDPDF=Y")</f>
        <v>#NAME?</v>
      </c>
      <c r="AT247" s="2" t="e">
        <f ca="1">_xll.BDH($C$228,"INVENTORY_5_YEAR_GROWTH","FQ4 2017","FQ4 2017","Currency=INR","Period=FQ","BEST_FPERIOD_OVERRIDE=FQ","FILING_STATUS=OR","EQY_CONSOLIDATED=Y","Sort=A","Dates=H","DateFormat=P","Fill=—","Direction=H","UseDPDF=Y")</f>
        <v>#NAME?</v>
      </c>
      <c r="AU247" s="2" t="e">
        <f ca="1">_xll.BDH($C$228,"NET_FIXED_ASSETS_5_YEAR_GROWTH","FQ4 2017","FQ4 2017","Currency=INR","Period=FQ","BEST_FPERIOD_OVERRIDE=FQ","FILING_STATUS=OR","EQY_CONSOLIDATED=Y","Sort=A","Dates=H","DateFormat=P","Fill=—","Direction=H","UseDPDF=Y")</f>
        <v>#NAME?</v>
      </c>
      <c r="AV247" s="2" t="e">
        <f ca="1">_xll.BDH($C$228,"GEO_GROW_TOT_ASSET","FQ4 2017","FQ4 2017","Currency=INR","Period=FQ","BEST_FPERIOD_OVERRIDE=FQ","FILING_STATUS=OR","EQY_CONSOLIDATED=Y","Sort=A","Dates=H","DateFormat=P","Fill=—","Direction=H","UseDPDF=Y")</f>
        <v>#NAME?</v>
      </c>
      <c r="AW247" s="2" t="e">
        <f ca="1">_xll.BDH($C$228,"MODIFIED_WORKING_CPTL_5YR_GRWTH","FQ4 2017","FQ4 2017","Currency=INR","Period=FQ","BEST_FPERIOD_OVERRIDE=FQ","FILING_STATUS=OR","EQY_CONSOLIDATED=Y","Sort=A","Dates=H","DateFormat=P","Fill=—","Direction=H","UseDPDF=Y")</f>
        <v>#NAME?</v>
      </c>
      <c r="AX247" s="2" t="e">
        <f ca="1">_xll.BDH($C$228,"WORKING_CAPITAL_5_YEAR_GROWTH","FQ4 2017","FQ4 2017","Currency=INR","Period=FQ","BEST_FPERIOD_OVERRIDE=FQ","FILING_STATUS=OR","EQY_CONSOLIDATED=Y","Sort=A","Dates=H","DateFormat=P","Fill=—","Direction=H","UseDPDF=Y")</f>
        <v>#NAME?</v>
      </c>
      <c r="AY247" s="2" t="e">
        <f ca="1">_xll.BDH($C$228,"ACCOUNTS_PAYABLE_5_YEAR_GROWTH","FQ4 2017","FQ4 2017","Currency=INR","Period=FQ","BEST_FPERIOD_OVERRIDE=FQ","FILING_STATUS=OR","EQY_CONSOLIDATED=Y","Sort=A","Dates=H","DateFormat=P","Fill=—","Direction=H","UseDPDF=Y")</f>
        <v>#NAME?</v>
      </c>
      <c r="AZ247" s="2" t="e">
        <f ca="1">_xll.BDH($C$228,"SHORT_TERM_DEBT_5_YEAR_GROWTH","FQ4 2017","FQ4 2017","Currency=INR","Period=FQ","BEST_FPERIOD_OVERRIDE=FQ","FILING_STATUS=OR","EQY_CONSOLIDATED=Y","Sort=A","Dates=H","DateFormat=P","Fill=—","Direction=H","UseDPDF=Y")</f>
        <v>#NAME?</v>
      </c>
      <c r="BA247" s="2" t="e">
        <f ca="1">_xll.BDH($C$228,"TOTAL_DEBT_5_YEAR_GROWTH","FQ4 2017","FQ4 2017","Currency=INR","Period=FQ","BEST_FPERIOD_OVERRIDE=FQ","FILING_STATUS=OR","EQY_CONSOLIDATED=Y","Sort=A","Dates=H","DateFormat=P","Fill=—","Direction=H","UseDPDF=Y")</f>
        <v>#NAME?</v>
      </c>
      <c r="BB247" s="2" t="e">
        <f ca="1">_xll.BDH($C$228,"GEO_GROW_TOT_SHRHLDR_EQY","FQ4 2017","FQ4 2017","Currency=INR","Period=FQ","BEST_FPERIOD_OVERRIDE=FQ","FILING_STATUS=OR","EQY_CONSOLIDATED=Y","Sort=A","Dates=H","DateFormat=P","Fill=—","Direction=H","UseDPDF=Y")</f>
        <v>#NAME?</v>
      </c>
      <c r="BC247" s="2" t="e">
        <f ca="1">_xll.BDH($C$228,"TOTAL_CAPITAL_5_YEAR_GROWTH","FQ4 2017","FQ4 2017","Currency=INR","Period=FQ","BEST_FPERIOD_OVERRIDE=FQ","FILING_STATUS=OR","EQY_CONSOLIDATED=Y","Sort=A","Dates=H","DateFormat=P","Fill=—","Direction=H","UseDPDF=Y")</f>
        <v>#NAME?</v>
      </c>
      <c r="BD247" s="2" t="e">
        <f ca="1">_xll.BDH($C$228,"GEO_GROW_BOOK_VAL","FQ4 2017","FQ4 2017","Currency=INR","Period=FQ","BEST_FPERIOD_OVERRIDE=FQ","FILING_STATUS=OR","EQY_CONSOLIDATED=Y","Sort=A","Dates=H","DateFormat=P","Fill=—","Direction=H","UseDPDF=Y")</f>
        <v>#NAME?</v>
      </c>
      <c r="BE247" s="2" t="e">
        <f ca="1">_xll.BDH($C$228,"GEO_GROW_CASH_OPER_ACT","FQ4 2017","FQ4 2017","Currency=INR","Period=FQ","BEST_FPERIOD_OVERRIDE=FQ","FILING_STATUS=OR","EQY_CONSOLIDATED=Y","Sort=A","Dates=H","DateFormat=P","Fill=—","Direction=H","UseDPDF=Y")</f>
        <v>#NAME?</v>
      </c>
      <c r="BF247" s="2" t="e">
        <f ca="1">_xll.BDH($C$228,"REVENUE_SEQUENTIAL_GROWTH","FQ4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47" s="2" t="e">
        <f ca="1">_xll.BDH($C$228,"EBITDA_SEQUENTIAL_GROWTH","FQ4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47" s="2" t="e">
        <f ca="1">_xll.BDH($C$228,"OPERATING_INCOME_SEQ_GROWTH","FQ4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47" s="2" t="e">
        <f ca="1">_xll.BDH($C$228,"NET_INCOME_TO_COMMON_SEQ_GROWTH","FQ4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47" s="2" t="e">
        <f ca="1">_xll.BDH($C$228,"EPS_DILUTED_SEQUENTIAL_GROWTH","FQ4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47" s="2" t="e">
        <f ca="1">_xll.BDH($C$228,"DPS_SEQUENTIAL_GROWTH","FQ4 2017","FQ4 2017","Currency=INR","Period=FQ","BEST_FPERIOD_OVERRIDE=FQ","FILING_STATUS=OR","EQY_CONSOLIDATED=Y","Sort=A","Dates=H","DateFormat=P","Fill=—","Direction=H","UseDPDF=Y")</f>
        <v>#NAME?</v>
      </c>
      <c r="BL247" s="2" t="e">
        <f ca="1">_xll.BDH($C$228,"ACCOUNTS_RECEIVABLE_SEQ_GROWTH","FQ4 2017","FQ4 2017","Currency=INR","Period=FQ","BEST_FPERIOD_OVERRIDE=FQ","FILING_STATUS=OR","EQY_CONSOLIDATED=Y","Sort=A","Dates=H","DateFormat=P","Fill=—","Direction=H","UseDPDF=Y")</f>
        <v>#NAME?</v>
      </c>
      <c r="BM247" s="2" t="e">
        <f ca="1">_xll.BDH($C$228,"INVENTORY_SEQUENTIAL_GROWTH","FQ4 2017","FQ4 2017","Currency=INR","Period=FQ","BEST_FPERIOD_OVERRIDE=FQ","FILING_STATUS=OR","EQY_CONSOLIDATED=Y","Sort=A","Dates=H","DateFormat=P","Fill=—","Direction=H","UseDPDF=Y")</f>
        <v>#NAME?</v>
      </c>
      <c r="BN247" s="2" t="e">
        <f ca="1">_xll.BDH($C$228,"FIXED_ASSETS_SEQUENTIAL_GROWTH","FQ4 2017","FQ4 2017","Currency=INR","Period=FQ","BEST_FPERIOD_OVERRIDE=FQ","FILING_STATUS=OR","EQY_CONSOLIDATED=Y","Sort=A","Dates=H","DateFormat=P","Fill=—","Direction=H","UseDPDF=Y")</f>
        <v>#NAME?</v>
      </c>
      <c r="BO247" s="2" t="e">
        <f ca="1">_xll.BDH($C$228,"TOTAL_ASSETS_SEQUENTIAL_GROWTH","FQ4 2017","FQ4 2017","Currency=INR","Period=FQ","BEST_FPERIOD_OVERRIDE=FQ","FILING_STATUS=OR","EQY_CONSOLIDATED=Y","Sort=A","Dates=H","DateFormat=P","Fill=—","Direction=H","UseDPDF=Y")</f>
        <v>#NAME?</v>
      </c>
      <c r="BP247" s="2" t="e">
        <f ca="1">_xll.BDH($C$228,"MODIFIED_WORKING_CPTL_SEQ_GRWTH","FQ4 2017","FQ4 2017","Currency=INR","Period=FQ","BEST_FPERIOD_OVERRIDE=FQ","FILING_STATUS=OR","EQY_CONSOLIDATED=Y","Sort=A","Dates=H","DateFormat=P","Fill=—","Direction=H","UseDPDF=Y")</f>
        <v>#NAME?</v>
      </c>
      <c r="BQ247" s="2" t="e">
        <f ca="1">_xll.BDH($C$228,"WORKING_CAPITAL_SEQ_GROWTH","FQ4 2017","FQ4 2017","Currency=INR","Period=FQ","BEST_FPERIOD_OVERRIDE=FQ","FILING_STATUS=OR","EQY_CONSOLIDATED=Y","Sort=A","Dates=H","DateFormat=P","Fill=—","Direction=H","UseDPDF=Y")</f>
        <v>#NAME?</v>
      </c>
      <c r="BR247" s="2" t="e">
        <f ca="1">_xll.BDH($C$228,"ACCOUNTS_PAYABLE_SEQ_GROWTH","FQ4 2017","FQ4 2017","Currency=INR","Period=FQ","BEST_FPERIOD_OVERRIDE=FQ","FILING_STATUS=OR","EQY_CONSOLIDATED=Y","Sort=A","Dates=H","DateFormat=P","Fill=—","Direction=H","UseDPDF=Y")</f>
        <v>#NAME?</v>
      </c>
      <c r="BS247" s="2" t="e">
        <f ca="1">_xll.BDH($C$228,"ST_DEBT_SEQUENTIAL_GROWTH","FQ4 2017","FQ4 2017","Currency=INR","Period=FQ","BEST_FPERIOD_OVERRIDE=FQ","FILING_STATUS=OR","EQY_CONSOLIDATED=Y","Sort=A","Dates=H","DateFormat=P","Fill=—","Direction=H","UseDPDF=Y")</f>
        <v>#NAME?</v>
      </c>
      <c r="BT247" s="2" t="e">
        <f ca="1">_xll.BDH($C$228,"TOTAL_DEBT_SEQUENTIAL_GROWTH","FQ4 2017","FQ4 2017","Currency=INR","Period=FQ","BEST_FPERIOD_OVERRIDE=FQ","FILING_STATUS=OR","EQY_CONSOLIDATED=Y","Sort=A","Dates=H","DateFormat=P","Fill=—","Direction=H","UseDPDF=Y")</f>
        <v>#NAME?</v>
      </c>
      <c r="BU247" s="2" t="e">
        <f ca="1">_xll.BDH($C$228,"TOTAL_EQUITY_SEQUENTIAL_GROWTH","FQ4 2017","FQ4 2017","Currency=INR","Period=FQ","BEST_FPERIOD_OVERRIDE=FQ","FILING_STATUS=OR","EQY_CONSOLIDATED=Y","Sort=A","Dates=H","DateFormat=P","Fill=—","Direction=H","UseDPDF=Y")</f>
        <v>#NAME?</v>
      </c>
      <c r="BV247" s="2" t="e">
        <f ca="1">_xll.BDH($C$228,"TOTAL_CAPITAL_SEQUENTIAL_GROWTH","FQ4 2017","FQ4 2017","Currency=INR","Period=FQ","BEST_FPERIOD_OVERRIDE=FQ","FILING_STATUS=OR","EQY_CONSOLIDATED=Y","Sort=A","Dates=H","DateFormat=P","Fill=—","Direction=H","UseDPDF=Y")</f>
        <v>#NAME?</v>
      </c>
      <c r="BW247" s="2" t="e">
        <f ca="1">_xll.BDH($C$228,"BPS_SEQUENTIAL_GROWTH","FQ4 2017","FQ4 2017","Currency=INR","Period=FQ","BEST_FPERIOD_OVERRIDE=FQ","FILING_STATUS=OR","EQY_CONSOLIDATED=Y","Sort=A","Dates=H","DateFormat=P","Fill=—","Direction=H","UseDPDF=Y")</f>
        <v>#NAME?</v>
      </c>
      <c r="BX247" s="2" t="e">
        <f ca="1">_xll.BDH($C$228,"CFO_SEQUENTIAL_GROWTH","FQ4 2017","FQ4 2017","Currency=INR","Period=FQ","BEST_FPERIOD_OVERRIDE=FQ","FILING_STATUS=OR","EQY_CONSOLIDATED=Y","Sort=A","Dates=H","DateFormat=P","Fill=—","Direction=H","UseDPDF=Y")</f>
        <v>#NAME?</v>
      </c>
      <c r="BY247" s="3" t="e">
        <f ca="1">_xll.BDH($C$228,"SHORT_AND_LONG_TERM_DEBT","FQ4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47" s="3" t="e">
        <f ca="1">_xll.BDH($C$228,"BS_ST_BORROW","FQ4 2017","FQ4 2017","Currency=INR","Period=FQ","BEST_FPERIOD_OVERRIDE=FQ","FILING_STATUS=OR","EQY_CONSOLIDATED=Y","SCALING_FORMAT=MLN","Sort=A","Dates=H","DateFormat=P","Fill=—","Direction=H","UseDPDF=Y")</f>
        <v>#NAME?</v>
      </c>
      <c r="CA247" s="3" t="e">
        <f ca="1">_xll.BDH($C$228,"BS_LT_BORROW","FQ4 2017","FQ4 2017","Currency=INR","Period=FQ","BEST_FPERIOD_OVERRIDE=FQ","FILING_STATUS=OR","EQY_CONSOLIDATED=Y","SCALING_FORMAT=MLN","Sort=A","Dates=H","DateFormat=P","Fill=—","Direction=H","UseDPDF=Y")</f>
        <v>#NAME?</v>
      </c>
      <c r="CB247" s="2" t="e">
        <f ca="1">_xll.BDH($C$228,"TOT_DEBT_TO_EBITDA","FQ4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47" s="2" t="e">
        <f ca="1">_xll.BDH($C$228,"NET_DEBT_TO_EBITDA","FQ4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47" s="2" t="e">
        <f ca="1">_xll.BDH($C$228,"TOTAL_DEBT_TO_EBIT","FQ4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47" s="2" t="e">
        <f ca="1">_xll.BDH($C$228,"NET_DEBT_TO_EBIT","FQ4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47" s="2" t="e">
        <f ca="1">_xll.BDH($C$228,"EBITDA_TO_INTEREST_EXPN","FQ4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47" s="2" t="e">
        <f ca="1">_xll.BDH($C$228,"COM_EQY_TO_TOT_ASSET","FQ4 2017","FQ4 2017","Currency=INR","Period=FQ","BEST_FPERIOD_OVERRIDE=FQ","FILING_STATUS=OR","EQY_CONSOLIDATED=Y","Sort=A","Dates=H","DateFormat=P","Fill=—","Direction=H","UseDPDF=Y")</f>
        <v>#NAME?</v>
      </c>
      <c r="CH247" s="2" t="e">
        <f ca="1">_xll.BDH($C$228,"LT_DEBT_TO_TOT_EQY","FQ4 2017","FQ4 2017","Currency=INR","Period=FQ","BEST_FPERIOD_OVERRIDE=FQ","FILING_STATUS=OR","EQY_CONSOLIDATED=Y","Sort=A","Dates=H","DateFormat=P","Fill=—","Direction=H","UseDPDF=Y")</f>
        <v>#NAME?</v>
      </c>
      <c r="CI247" s="2" t="e">
        <f ca="1">_xll.BDH($C$228,"LT_DEBT_TO_TOT_CAP","FQ4 2017","FQ4 2017","Currency=INR","Period=FQ","BEST_FPERIOD_OVERRIDE=FQ","FILING_STATUS=OR","EQY_CONSOLIDATED=Y","Sort=A","Dates=H","DateFormat=P","Fill=—","Direction=H","UseDPDF=Y")</f>
        <v>#NAME?</v>
      </c>
      <c r="CJ247" s="2" t="e">
        <f ca="1">_xll.BDH($C$228,"LT_DEBT_TO_TOT_ASSET","FQ4 2017","FQ4 2017","Currency=INR","Period=FQ","BEST_FPERIOD_OVERRIDE=FQ","FILING_STATUS=OR","EQY_CONSOLIDATED=Y","Sort=A","Dates=H","DateFormat=P","Fill=—","Direction=H","UseDPDF=Y")</f>
        <v>#NAME?</v>
      </c>
      <c r="CK247" s="2" t="e">
        <f ca="1">_xll.BDH($C$228,"TOT_DEBT_TO_TOT_EQY","FQ4 2017","FQ4 2017","Currency=INR","Period=FQ","BEST_FPERIOD_OVERRIDE=FQ","FILING_STATUS=OR","EQY_CONSOLIDATED=Y","Sort=A","Dates=H","DateFormat=P","Fill=—","Direction=H","UseDPDF=Y")</f>
        <v>#NAME?</v>
      </c>
      <c r="CL247" s="2" t="e">
        <f ca="1">_xll.BDH($C$228,"TOT_DEBT_TO_TOT_CAP","FQ4 2017","FQ4 2017","Currency=INR","Period=FQ","BEST_FPERIOD_OVERRIDE=FQ","FILING_STATUS=OR","EQY_CONSOLIDATED=Y","Sort=A","Dates=H","DateFormat=P","Fill=—","Direction=H","UseDPDF=Y")</f>
        <v>#NAME?</v>
      </c>
      <c r="CM247" s="2" t="e">
        <f ca="1">_xll.BDH($C$228,"TOT_DEBT_TO_TOT_ASSET","FQ4 2017","FQ4 2017","Currency=INR","Period=FQ","BEST_FPERIOD_OVERRIDE=FQ","FILING_STATUS=OR","EQY_CONSOLIDATED=Y","Sort=A","Dates=H","DateFormat=P","Fill=—","Direction=H","UseDPDF=Y")</f>
        <v>#NAME?</v>
      </c>
      <c r="CN247" s="2" t="e">
        <f ca="1">_xll.BDH($C$228,"NET_DEBT_TO_SHRHLDR_EQTY","FQ4 2017","FQ4 2017","Currency=INR","Period=FQ","BEST_FPERIOD_OVERRIDE=FQ","FILING_STATUS=OR","EQY_CONSOLIDATED=Y","Sort=A","Dates=H","DateFormat=P","Fill=—","Direction=H","UseDPDF=Y")</f>
        <v>#NAME?</v>
      </c>
      <c r="CO247" s="2" t="e">
        <f ca="1">_xll.BDH($C$228,"NET_DEBT_%_CAPITAL","FQ4 2017","FQ4 2017","Currency=INR","Period=FQ","BEST_FPERIOD_OVERRIDE=FQ","FILING_STATUS=OR","EQY_CONSOLIDATED=Y","Sort=A","Dates=H","DateFormat=P","Fill=—","Direction=H","UseDPDF=Y")</f>
        <v>#NAME?</v>
      </c>
      <c r="CP247" s="3" t="e">
        <f ca="1">_xll.BDH($C$228,"EBITDA","FQ4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47" s="3" t="e">
        <f ca="1">_xll.BDH($C$228,"EBITDA_AFTER_CAPEX","FQ4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47" s="3" t="e">
        <f ca="1">_xll.BDH($C$228,"IS_OPER_INC","FQ4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47" s="2" t="e">
        <f ca="1">_xll.BDH($C$228,"CASH_RATIO","FQ4 2017","FQ4 2017","Currency=INR","Period=FQ","BEST_FPERIOD_OVERRIDE=FQ","FILING_STATUS=OR","EQY_CONSOLIDATED=Y","Sort=A","Dates=H","DateFormat=P","Fill=—","Direction=H","UseDPDF=Y")</f>
        <v>#NAME?</v>
      </c>
      <c r="CT247" s="2" t="e">
        <f ca="1">_xll.BDH($C$228,"CUR_RATIO","FQ4 2017","FQ4 2017","Currency=INR","Period=FQ","BEST_FPERIOD_OVERRIDE=FQ","FILING_STATUS=OR","EQY_CONSOLIDATED=Y","Sort=A","Dates=H","DateFormat=P","Fill=—","Direction=H","UseDPDF=Y")</f>
        <v>#NAME?</v>
      </c>
      <c r="CU247" s="2" t="e">
        <f ca="1">_xll.BDH($C$228,"QUICK_RATIO","FQ4 2017","FQ4 2017","Currency=INR","Period=FQ","BEST_FPERIOD_OVERRIDE=FQ","FILING_STATUS=OR","EQY_CONSOLIDATED=Y","Sort=A","Dates=H","DateFormat=P","Fill=—","Direction=H","UseDPDF=Y")</f>
        <v>#NAME?</v>
      </c>
      <c r="CV247" s="2" t="e">
        <f ca="1">_xll.BDH($C$228,"ALTMAN_Z_SCORE","FQ4 2017","FQ4 2017","Currency=INR","Period=FQ","BEST_FPERIOD_OVERRIDE=FQ","FILING_STATUS=OR","EQY_CONSOLIDATED=Y","Sort=A","Dates=H","DateFormat=P","Fill=—","Direction=H","UseDPDF=Y")</f>
        <v>#NAME?</v>
      </c>
      <c r="CW247" s="4" t="e">
        <f ca="1">_xll.BDH($C$228,"ACCT_RCV_TURN","FQ4 2017","FQ4 2017","Currency=INR","Period=FQ","BEST_FPERIOD_OVERRIDE=FQ","FILING_STATUS=OR","EQY_CONSOLIDATED=Y","FA_ADJUSTED=GAAP","Sort=A","Dates=H","DateFormat=P","Fill=—","Direction=H","UseDPDF=Y")</f>
        <v>#NAME?</v>
      </c>
      <c r="CX247" s="2" t="e">
        <f ca="1">_xll.BDH($C$228,"ACCT_RCV_DAYS","FQ4 2017","FQ4 2017","Currency=INR","Period=FQ","BEST_FPERIOD_OVERRIDE=FQ","FILING_STATUS=OR","EQY_CONSOLIDATED=Y","FA_ADJUSTED=GAAP","Sort=A","Dates=H","DateFormat=P","Fill=—","Direction=H","UseDPDF=Y")</f>
        <v>#NAME?</v>
      </c>
      <c r="CY247" s="4" t="e">
        <f ca="1">_xll.BDH($C$228,"INVENT_TURN","FQ4 2017","FQ4 2017","Currency=INR","Period=FQ","BEST_FPERIOD_OVERRIDE=FQ","FILING_STATUS=OR","EQY_CONSOLIDATED=Y","FA_ADJUSTED=GAAP","Sort=A","Dates=H","DateFormat=P","Fill=—","Direction=H","UseDPDF=Y")</f>
        <v>#NAME?</v>
      </c>
      <c r="CZ247" s="2" t="e">
        <f ca="1">_xll.BDH($C$228,"INVENT_DAYS","FQ4 2017","FQ4 2017","Currency=INR","Period=FQ","BEST_FPERIOD_OVERRIDE=FQ","FILING_STATUS=OR","EQY_CONSOLIDATED=Y","FA_ADJUSTED=GAAP","Sort=A","Dates=H","DateFormat=P","Fill=—","Direction=H","UseDPDF=Y")</f>
        <v>#NAME?</v>
      </c>
      <c r="DA247" s="4" t="e">
        <f ca="1">_xll.BDH($C$228,"ACCOUNTS_PAYABLE_TURNOVER","FQ4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47" s="2" t="e">
        <f ca="1">_xll.BDH($C$228,"ACCOUNTS_PAYABLE_TURNOVER_DAYS","FQ4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47" s="4" t="e">
        <f ca="1">_xll.BDH($C$228,"CASH_CONVERSION_CYCLE","FQ4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47" s="4" t="e">
        <f ca="1">_xll.BDH($C$228,"INV_TO_CASH_DAYS","FQ4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47" s="5" t="e">
        <f ca="1">_xll.BDH($C$228,"BS_INVENTORIES","FQ4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47" s="3" t="e">
        <f ca="1">_xll.BDH($C$228,"INVTRY_RAW_MATERIALS","FQ4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47" s="3" t="e">
        <f ca="1">_xll.BDH($C$228,"INVTRY_IN_PROGRESS","FQ4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47" s="3" t="e">
        <f ca="1">_xll.BDH($C$228,"INVTRY_FINISHED_GOODS","FQ4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47" s="3" t="e">
        <f ca="1">_xll.BDH($C$228,"BS_OTHER_INV","FQ4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48" spans="1:113" x14ac:dyDescent="0.3">
      <c r="A248" s="6"/>
      <c r="B248" s="6"/>
      <c r="C248" s="6"/>
      <c r="D248" s="6" t="s">
        <v>85</v>
      </c>
      <c r="E248" t="s">
        <v>77</v>
      </c>
      <c r="F248" t="e">
        <f ca="1">_xll.BDH($C$228,"RETURN_COM_EQY","FY 2018","FY 2018","Currency=INR","Period=FY","BEST_FPERIOD_OVERRIDE=FY","FILING_STATUS=OR","EQY_CONSOLIDATED=Y","FA_ADJUSTED=GAAP","Sort=A","Dates=H","DateFormat=P","Fill=—","Direction=H","UseDPDF=Y")</f>
        <v>#NAME?</v>
      </c>
      <c r="G248" t="e">
        <f ca="1">_xll.BDH($C$228,"RETURN_ON_ASSET","FY 2018","FY 2018","Currency=INR","Period=FY","BEST_FPERIOD_OVERRIDE=FY","FILING_STATUS=OR","EQY_CONSOLIDATED=Y","FA_ADJUSTED=GAAP","Sort=A","Dates=H","DateFormat=P","Fill=—","Direction=H","UseDPDF=Y")</f>
        <v>#NAME?</v>
      </c>
      <c r="H248" t="e">
        <f ca="1">_xll.BDH($C$228,"RETURN_ON_CAP","FY 2018","FY 2018","Currency=INR","Period=FY","BEST_FPERIOD_OVERRIDE=FY","FILING_STATUS=OR","EQY_CONSOLIDATED=Y","FA_ADJUSTED=GAAP","Sort=A","Dates=H","DateFormat=P","Fill=—","Direction=H","UseDPDF=Y")</f>
        <v>#NAME?</v>
      </c>
      <c r="I248" t="e">
        <f ca="1">_xll.BDH($C$228,"RETURN_ON_INV_CAPITAL","FY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48" t="e">
        <f ca="1">_xll.BDH($C$228,"EBITDA_TO_REVENUE","FY 2018","FY 2018","Currency=INR","Period=FY","BEST_FPERIOD_OVERRIDE=FY","FILING_STATUS=OR","EQY_CONSOLIDATED=Y","FA_ADJUSTED=GAAP","Sort=A","Dates=H","DateFormat=P","Fill=—","Direction=H","UseDPDF=Y")</f>
        <v>#NAME?</v>
      </c>
      <c r="K248" t="e">
        <f ca="1">_xll.BDH($C$228,"OPER_MARGIN","FY 2018","FY 2018","Currency=INR","Period=FY","BEST_FPERIOD_OVERRIDE=FY","FILING_STATUS=OR","EQY_CONSOLIDATED=Y","FA_ADJUSTED=GAAP","Sort=A","Dates=H","DateFormat=P","Fill=—","Direction=H","UseDPDF=Y")</f>
        <v>#NAME?</v>
      </c>
      <c r="L248" t="e">
        <f ca="1">_xll.BDH($C$228,"INCREMENTAL_OPERATING_MARGIN","FY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48" t="e">
        <f ca="1">_xll.BDH($C$228,"PRETAX_INC_TO_NET_SALES","FY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48" t="e">
        <f ca="1">_xll.BDH($C$228,"INC_BEF_XO_ITEMS_TO_NET_SALES","FY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48" t="e">
        <f ca="1">_xll.BDH($C$228,"PROF_MARGIN","FY 2018","FY 2018","Currency=INR","Period=FY","BEST_FPERIOD_OVERRIDE=FY","FILING_STATUS=OR","EQY_CONSOLIDATED=Y","FA_ADJUSTED=GAAP","Sort=A","Dates=H","DateFormat=P","Fill=—","Direction=H","UseDPDF=Y")</f>
        <v>#NAME?</v>
      </c>
      <c r="P248" t="e">
        <f ca="1">_xll.BDH($C$228,"NET_INCOME_TO_COMMON_MARGIN","FY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48" t="e">
        <f ca="1">_xll.BDH($C$228,"EFF_TAX_RATE","FY 2018","FY 2018","Currency=INR","Period=FY","BEST_FPERIOD_OVERRIDE=FY","FILING_STATUS=OR","EQY_CONSOLIDATED=Y","FA_ADJUSTED=GAAP","Sort=A","Dates=H","DateFormat=P","Fill=—","Direction=H","UseDPDF=Y")</f>
        <v>#NAME?</v>
      </c>
      <c r="R248" t="e">
        <f ca="1">_xll.BDH($C$228,"DVD_PAYOUT_RATIO","FY 2018","FY 2018","Currency=INR","Period=FY","BEST_FPERIOD_OVERRIDE=FY","FILING_STATUS=OR","EQY_CONSOLIDATED=Y","FA_ADJUSTED=GAAP","Sort=A","Dates=H","DateFormat=P","Fill=—","Direction=H","UseDPDF=Y")</f>
        <v>#NAME?</v>
      </c>
      <c r="S248" t="e">
        <f ca="1">_xll.BDH($C$228,"SUSTAIN_GROWTH_RT","FY 2018","FY 2018","Currency=INR","Period=FY","BEST_FPERIOD_OVERRIDE=FY","FILING_STATUS=OR","EQY_CONSOLIDATED=Y","FA_ADJUSTED=GAAP","Sort=A","Dates=H","DateFormat=P","Fill=—","Direction=H","UseDPDF=Y")</f>
        <v>#NAME?</v>
      </c>
      <c r="T248" s="2" t="e">
        <f ca="1">_xll.BDH($C$228,"SALES_GROWTH","FY 2018","FY 2018","Currency=INR","Period=FY","BEST_FPERIOD_OVERRIDE=FY","FILING_STATUS=OR","EQY_CONSOLIDATED=Y","FA_ADJUSTED=GAAP","Sort=A","Dates=H","DateFormat=P","Fill=—","Direction=H","UseDPDF=Y")</f>
        <v>#NAME?</v>
      </c>
      <c r="U248" s="2" t="e">
        <f ca="1">_xll.BDH($C$228,"EBITDA_GROWTH","FY 2018","FY 2018","Currency=INR","Period=FY","BEST_FPERIOD_OVERRIDE=FY","FILING_STATUS=OR","EQY_CONSOLIDATED=Y","FA_ADJUSTED=GAAP","Sort=A","Dates=H","DateFormat=P","Fill=—","Direction=H","UseDPDF=Y")</f>
        <v>#NAME?</v>
      </c>
      <c r="V248" s="2" t="e">
        <f ca="1">_xll.BDH($C$228,"OPER_INC_GROWTH","FY 2018","FY 2018","Currency=INR","Period=FY","BEST_FPERIOD_OVERRIDE=FY","FILING_STATUS=OR","EQY_CONSOLIDATED=Y","FA_ADJUSTED=GAAP","Sort=A","Dates=H","DateFormat=P","Fill=—","Direction=H","UseDPDF=Y")</f>
        <v>#NAME?</v>
      </c>
      <c r="W248" s="2" t="e">
        <f ca="1">_xll.BDH($C$228,"EARN_FOR_COM_GROWTH","FY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48" s="2" t="e">
        <f ca="1">_xll.BDH($C$228,"DILUTED_EPS_AFT_XO_ITEMS_GROWTH","FY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48" s="2" t="e">
        <f ca="1">_xll.BDH($C$228,"DIVIDEND_PER_SHARE_1_YEAR_GROWTH","FY 2018","FY 2018","Currency=INR","Period=FY","BEST_FPERIOD_OVERRIDE=FY","FILING_STATUS=OR","EQY_CONSOLIDATED=Y","Sort=A","Dates=H","DateFormat=P","Fill=—","Direction=H","UseDPDF=Y")</f>
        <v>#NAME?</v>
      </c>
      <c r="Z248" s="2" t="e">
        <f ca="1">_xll.BDH($C$228,"ACCOUNTS_RECEIVABLE_GROWTH","FY 2018","FY 2018","Currency=INR","Period=FY","BEST_FPERIOD_OVERRIDE=FY","FILING_STATUS=OR","EQY_CONSOLIDATED=Y","Sort=A","Dates=H","DateFormat=P","Fill=—","Direction=H","UseDPDF=Y")</f>
        <v>#NAME?</v>
      </c>
      <c r="AA248" s="2" t="e">
        <f ca="1">_xll.BDH($C$228,"INVENTORY_GROWTH","FY 2018","FY 2018","Currency=INR","Period=FY","BEST_FPERIOD_OVERRIDE=FY","FILING_STATUS=OR","EQY_CONSOLIDATED=Y","Sort=A","Dates=H","DateFormat=P","Fill=—","Direction=H","UseDPDF=Y")</f>
        <v>#NAME?</v>
      </c>
      <c r="AB248" s="2" t="e">
        <f ca="1">_xll.BDH($C$228,"NET_FIXED_ASSETS_1_YEAR_GROWTH","FY 2018","FY 2018","Currency=INR","Period=FY","BEST_FPERIOD_OVERRIDE=FY","FILING_STATUS=OR","EQY_CONSOLIDATED=Y","Sort=A","Dates=H","DateFormat=P","Fill=—","Direction=H","UseDPDF=Y")</f>
        <v>#NAME?</v>
      </c>
      <c r="AC248" s="2" t="e">
        <f ca="1">_xll.BDH($C$228,"ASSET_GROWTH","FY 2018","FY 2018","Currency=INR","Period=FY","BEST_FPERIOD_OVERRIDE=FY","FILING_STATUS=OR","EQY_CONSOLIDATED=Y","Sort=A","Dates=H","DateFormat=P","Fill=—","Direction=H","UseDPDF=Y")</f>
        <v>#NAME?</v>
      </c>
      <c r="AD248" s="2" t="e">
        <f ca="1">_xll.BDH($C$228,"MODIFIED_WORK_CAP_GROWTH","FY 2018","FY 2018","Currency=INR","Period=FY","BEST_FPERIOD_OVERRIDE=FY","FILING_STATUS=OR","EQY_CONSOLIDATED=Y","Sort=A","Dates=H","DateFormat=P","Fill=—","Direction=H","UseDPDF=Y")</f>
        <v>#NAME?</v>
      </c>
      <c r="AE248" s="2" t="e">
        <f ca="1">_xll.BDH($C$228,"WORK_CAP_GROWTH","FY 2018","FY 2018","Currency=INR","Period=FY","BEST_FPERIOD_OVERRIDE=FY","FILING_STATUS=OR","EQY_CONSOLIDATED=Y","Sort=A","Dates=H","DateFormat=P","Fill=—","Direction=H","UseDPDF=Y")</f>
        <v>#NAME?</v>
      </c>
      <c r="AF248" s="2" t="e">
        <f ca="1">_xll.BDH($C$228,"ACCOUNTS_PAYABLE_GROWTH_1YR","FY 2018","FY 2018","Currency=INR","Period=FY","BEST_FPERIOD_OVERRIDE=FY","FILING_STATUS=OR","EQY_CONSOLIDATED=Y","Sort=A","Dates=H","DateFormat=P","Fill=—","Direction=H","UseDPDF=Y")</f>
        <v>#NAME?</v>
      </c>
      <c r="AG248" s="2" t="e">
        <f ca="1">_xll.BDH($C$228,"SHORT_TERM_DEBT_1_YEAR_GROWTH","FY 2018","FY 2018","Currency=INR","Period=FY","BEST_FPERIOD_OVERRIDE=FY","FILING_STATUS=OR","EQY_CONSOLIDATED=Y","Sort=A","Dates=H","DateFormat=P","Fill=—","Direction=H","UseDPDF=Y")</f>
        <v>#NAME?</v>
      </c>
      <c r="AH248" s="2" t="e">
        <f ca="1">_xll.BDH($C$228,"TOTAL_DEBT_1_YEAR_GROWTH","FY 2018","FY 2018","Currency=INR","Period=FY","BEST_FPERIOD_OVERRIDE=FY","FILING_STATUS=OR","EQY_CONSOLIDATED=Y","Sort=A","Dates=H","DateFormat=P","Fill=—","Direction=H","UseDPDF=Y")</f>
        <v>#NAME?</v>
      </c>
      <c r="AI248" s="2" t="e">
        <f ca="1">_xll.BDH($C$228,"TOTAL_EQUITY_1_YEAR_GROWTH","FY 2018","FY 2018","Currency=INR","Period=FY","BEST_FPERIOD_OVERRIDE=FY","FILING_STATUS=OR","EQY_CONSOLIDATED=Y","Sort=A","Dates=H","DateFormat=P","Fill=—","Direction=H","UseDPDF=Y")</f>
        <v>#NAME?</v>
      </c>
      <c r="AJ248" s="2" t="e">
        <f ca="1">_xll.BDH($C$228,"GROWTH_IN_CAP","FY 2018","FY 2018","Currency=INR","Period=FY","BEST_FPERIOD_OVERRIDE=FY","FILING_STATUS=OR","EQY_CONSOLIDATED=Y","Sort=A","Dates=H","DateFormat=P","Fill=—","Direction=H","UseDPDF=Y")</f>
        <v>#NAME?</v>
      </c>
      <c r="AK248" s="2" t="e">
        <f ca="1">_xll.BDH($C$228,"BVPS_GROWTH","FY 2018","FY 2018","Currency=INR","Period=FY","BEST_FPERIOD_OVERRIDE=FY","FILING_STATUS=OR","EQY_CONSOLIDATED=Y","Sort=A","Dates=H","DateFormat=P","Fill=—","Direction=H","UseDPDF=Y")</f>
        <v>#NAME?</v>
      </c>
      <c r="AL248" s="2" t="e">
        <f ca="1">_xll.BDH($C$228,"CASH_FLOW_GROWTH","FY 2018","FY 2018","Currency=INR","Period=FY","BEST_FPERIOD_OVERRIDE=FY","FILING_STATUS=OR","EQY_CONSOLIDATED=Y","Sort=A","Dates=H","DateFormat=P","Fill=—","Direction=H","UseDPDF=Y")</f>
        <v>#NAME?</v>
      </c>
      <c r="AM248" s="2" t="e">
        <f ca="1">_xll.BDH($C$228,"GEO_GROW_NET_SALES","FY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48" s="2" t="e">
        <f ca="1">_xll.BDH($C$228,"GEO_GROW_EBITDA","FY 2018","FY 2018","Currency=INR","Period=FY","BEST_FPERIOD_OVERRIDE=FY","FILING_STATUS=OR","EQY_CONSOLIDATED=Y","FA_ADJUSTED=GAAP","Sort=A","Dates=H","DateFormat=P","Fill=—","Direction=H","UseDPDF=Y")</f>
        <v>#NAME?</v>
      </c>
      <c r="AO248" s="2" t="e">
        <f ca="1">_xll.BDH($C$228,"GEO_GROW_OPER_INC","FY 2018","FY 2018","Currency=INR","Period=FY","BEST_FPERIOD_OVERRIDE=FY","FILING_STATUS=OR","EQY_CONSOLIDATED=Y","FA_ADJUSTED=GAAP","Sort=A","Dates=H","DateFormat=P","Fill=—","Direction=H","UseDPDF=Y")</f>
        <v>#NAME?</v>
      </c>
      <c r="AP248" s="2" t="e">
        <f ca="1">_xll.BDH($C$228,"NET_INCOME_TO_COMMON_5_YR_GROWTH","FY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48" s="2" t="e">
        <f ca="1">_xll.BDH($C$228,"5Y_GEO_GROWTH_DILUTED_EPS","FY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48" s="2" t="e">
        <f ca="1">_xll.BDH($C$228,"GEO_GROW_DVD_PER_SH","FY 2018","FY 2018","Currency=INR","Period=FY","BEST_FPERIOD_OVERRIDE=FY","FILING_STATUS=OR","EQY_CONSOLIDATED=Y","Sort=A","Dates=H","DateFormat=P","Fill=—","Direction=H","UseDPDF=Y")</f>
        <v>#NAME?</v>
      </c>
      <c r="AS248" s="2" t="e">
        <f ca="1">_xll.BDH($C$228,"ACCOUNTS_RECEIVABLE_5_YR_GROWTH","FY 2018","FY 2018","Currency=INR","Period=FY","BEST_FPERIOD_OVERRIDE=FY","FILING_STATUS=OR","EQY_CONSOLIDATED=Y","Sort=A","Dates=H","DateFormat=P","Fill=—","Direction=H","UseDPDF=Y")</f>
        <v>#NAME?</v>
      </c>
      <c r="AT248" s="2" t="e">
        <f ca="1">_xll.BDH($C$228,"INVENTORY_5_YEAR_GROWTH","FY 2018","FY 2018","Currency=INR","Period=FY","BEST_FPERIOD_OVERRIDE=FY","FILING_STATUS=OR","EQY_CONSOLIDATED=Y","Sort=A","Dates=H","DateFormat=P","Fill=—","Direction=H","UseDPDF=Y")</f>
        <v>#NAME?</v>
      </c>
      <c r="AU248" s="2" t="e">
        <f ca="1">_xll.BDH($C$228,"NET_FIXED_ASSETS_5_YEAR_GROWTH","FY 2018","FY 2018","Currency=INR","Period=FY","BEST_FPERIOD_OVERRIDE=FY","FILING_STATUS=OR","EQY_CONSOLIDATED=Y","Sort=A","Dates=H","DateFormat=P","Fill=—","Direction=H","UseDPDF=Y")</f>
        <v>#NAME?</v>
      </c>
      <c r="AV248" s="2" t="e">
        <f ca="1">_xll.BDH($C$228,"GEO_GROW_TOT_ASSET","FY 2018","FY 2018","Currency=INR","Period=FY","BEST_FPERIOD_OVERRIDE=FY","FILING_STATUS=OR","EQY_CONSOLIDATED=Y","Sort=A","Dates=H","DateFormat=P","Fill=—","Direction=H","UseDPDF=Y")</f>
        <v>#NAME?</v>
      </c>
      <c r="AW248" s="2" t="e">
        <f ca="1">_xll.BDH($C$228,"MODIFIED_WORKING_CPTL_5YR_GRWTH","FY 2018","FY 2018","Currency=INR","Period=FY","BEST_FPERIOD_OVERRIDE=FY","FILING_STATUS=OR","EQY_CONSOLIDATED=Y","Sort=A","Dates=H","DateFormat=P","Fill=—","Direction=H","UseDPDF=Y")</f>
        <v>#NAME?</v>
      </c>
      <c r="AX248" s="2" t="e">
        <f ca="1">_xll.BDH($C$228,"WORKING_CAPITAL_5_YEAR_GROWTH","FY 2018","FY 2018","Currency=INR","Period=FY","BEST_FPERIOD_OVERRIDE=FY","FILING_STATUS=OR","EQY_CONSOLIDATED=Y","Sort=A","Dates=H","DateFormat=P","Fill=—","Direction=H","UseDPDF=Y")</f>
        <v>#NAME?</v>
      </c>
      <c r="AY248" s="2" t="e">
        <f ca="1">_xll.BDH($C$228,"ACCOUNTS_PAYABLE_5_YEAR_GROWTH","FY 2018","FY 2018","Currency=INR","Period=FY","BEST_FPERIOD_OVERRIDE=FY","FILING_STATUS=OR","EQY_CONSOLIDATED=Y","Sort=A","Dates=H","DateFormat=P","Fill=—","Direction=H","UseDPDF=Y")</f>
        <v>#NAME?</v>
      </c>
      <c r="AZ248" s="2" t="e">
        <f ca="1">_xll.BDH($C$228,"SHORT_TERM_DEBT_5_YEAR_GROWTH","FY 2018","FY 2018","Currency=INR","Period=FY","BEST_FPERIOD_OVERRIDE=FY","FILING_STATUS=OR","EQY_CONSOLIDATED=Y","Sort=A","Dates=H","DateFormat=P","Fill=—","Direction=H","UseDPDF=Y")</f>
        <v>#NAME?</v>
      </c>
      <c r="BA248" s="2" t="e">
        <f ca="1">_xll.BDH($C$228,"TOTAL_DEBT_5_YEAR_GROWTH","FY 2018","FY 2018","Currency=INR","Period=FY","BEST_FPERIOD_OVERRIDE=FY","FILING_STATUS=OR","EQY_CONSOLIDATED=Y","Sort=A","Dates=H","DateFormat=P","Fill=—","Direction=H","UseDPDF=Y")</f>
        <v>#NAME?</v>
      </c>
      <c r="BB248" s="2" t="e">
        <f ca="1">_xll.BDH($C$228,"GEO_GROW_TOT_SHRHLDR_EQY","FY 2018","FY 2018","Currency=INR","Period=FY","BEST_FPERIOD_OVERRIDE=FY","FILING_STATUS=OR","EQY_CONSOLIDATED=Y","Sort=A","Dates=H","DateFormat=P","Fill=—","Direction=H","UseDPDF=Y")</f>
        <v>#NAME?</v>
      </c>
      <c r="BC248" s="2" t="e">
        <f ca="1">_xll.BDH($C$228,"TOTAL_CAPITAL_5_YEAR_GROWTH","FY 2018","FY 2018","Currency=INR","Period=FY","BEST_FPERIOD_OVERRIDE=FY","FILING_STATUS=OR","EQY_CONSOLIDATED=Y","Sort=A","Dates=H","DateFormat=P","Fill=—","Direction=H","UseDPDF=Y")</f>
        <v>#NAME?</v>
      </c>
      <c r="BD248" s="2" t="e">
        <f ca="1">_xll.BDH($C$228,"GEO_GROW_BOOK_VAL","FY 2018","FY 2018","Currency=INR","Period=FY","BEST_FPERIOD_OVERRIDE=FY","FILING_STATUS=OR","EQY_CONSOLIDATED=Y","Sort=A","Dates=H","DateFormat=P","Fill=—","Direction=H","UseDPDF=Y")</f>
        <v>#NAME?</v>
      </c>
      <c r="BE248" s="2" t="e">
        <f ca="1">_xll.BDH($C$228,"GEO_GROW_CASH_OPER_ACT","FY 2018","FY 2018","Currency=INR","Period=FY","BEST_FPERIOD_OVERRIDE=FY","FILING_STATUS=OR","EQY_CONSOLIDATED=Y","Sort=A","Dates=H","DateFormat=P","Fill=—","Direction=H","UseDPDF=Y")</f>
        <v>#NAME?</v>
      </c>
      <c r="BF248" s="2" t="e">
        <f ca="1">_xll.BDH($C$228,"REVENUE_SEQUENTIAL_GROWTH","FY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48" s="2" t="e">
        <f ca="1">_xll.BDH($C$228,"EBITDA_SEQUENTIAL_GROWTH","FY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48" s="2" t="e">
        <f ca="1">_xll.BDH($C$228,"OPERATING_INCOME_SEQ_GROWTH","FY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48" s="2" t="e">
        <f ca="1">_xll.BDH($C$228,"NET_INCOME_TO_COMMON_SEQ_GROWTH","FY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48" s="2" t="e">
        <f ca="1">_xll.BDH($C$228,"EPS_DILUTED_SEQUENTIAL_GROWTH","FY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48" s="2" t="e">
        <f ca="1">_xll.BDH($C$228,"DPS_SEQUENTIAL_GROWTH","FY 2018","FY 2018","Currency=INR","Period=FY","BEST_FPERIOD_OVERRIDE=FY","FILING_STATUS=OR","EQY_CONSOLIDATED=Y","Sort=A","Dates=H","DateFormat=P","Fill=—","Direction=H","UseDPDF=Y")</f>
        <v>#NAME?</v>
      </c>
      <c r="BL248" s="2" t="e">
        <f ca="1">_xll.BDH($C$228,"ACCOUNTS_RECEIVABLE_SEQ_GROWTH","FY 2018","FY 2018","Currency=INR","Period=FY","BEST_FPERIOD_OVERRIDE=FY","FILING_STATUS=OR","EQY_CONSOLIDATED=Y","Sort=A","Dates=H","DateFormat=P","Fill=—","Direction=H","UseDPDF=Y")</f>
        <v>#NAME?</v>
      </c>
      <c r="BM248" s="2" t="e">
        <f ca="1">_xll.BDH($C$228,"INVENTORY_SEQUENTIAL_GROWTH","FY 2018","FY 2018","Currency=INR","Period=FY","BEST_FPERIOD_OVERRIDE=FY","FILING_STATUS=OR","EQY_CONSOLIDATED=Y","Sort=A","Dates=H","DateFormat=P","Fill=—","Direction=H","UseDPDF=Y")</f>
        <v>#NAME?</v>
      </c>
      <c r="BN248" s="2" t="e">
        <f ca="1">_xll.BDH($C$228,"FIXED_ASSETS_SEQUENTIAL_GROWTH","FY 2018","FY 2018","Currency=INR","Period=FY","BEST_FPERIOD_OVERRIDE=FY","FILING_STATUS=OR","EQY_CONSOLIDATED=Y","Sort=A","Dates=H","DateFormat=P","Fill=—","Direction=H","UseDPDF=Y")</f>
        <v>#NAME?</v>
      </c>
      <c r="BO248" s="2" t="e">
        <f ca="1">_xll.BDH($C$228,"TOTAL_ASSETS_SEQUENTIAL_GROWTH","FY 2018","FY 2018","Currency=INR","Period=FY","BEST_FPERIOD_OVERRIDE=FY","FILING_STATUS=OR","EQY_CONSOLIDATED=Y","Sort=A","Dates=H","DateFormat=P","Fill=—","Direction=H","UseDPDF=Y")</f>
        <v>#NAME?</v>
      </c>
      <c r="BP248" s="2" t="e">
        <f ca="1">_xll.BDH($C$228,"MODIFIED_WORKING_CPTL_SEQ_GRWTH","FY 2018","FY 2018","Currency=INR","Period=FY","BEST_FPERIOD_OVERRIDE=FY","FILING_STATUS=OR","EQY_CONSOLIDATED=Y","Sort=A","Dates=H","DateFormat=P","Fill=—","Direction=H","UseDPDF=Y")</f>
        <v>#NAME?</v>
      </c>
      <c r="BQ248" s="2" t="e">
        <f ca="1">_xll.BDH($C$228,"WORKING_CAPITAL_SEQ_GROWTH","FY 2018","FY 2018","Currency=INR","Period=FY","BEST_FPERIOD_OVERRIDE=FY","FILING_STATUS=OR","EQY_CONSOLIDATED=Y","Sort=A","Dates=H","DateFormat=P","Fill=—","Direction=H","UseDPDF=Y")</f>
        <v>#NAME?</v>
      </c>
      <c r="BR248" s="2" t="e">
        <f ca="1">_xll.BDH($C$228,"ACCOUNTS_PAYABLE_SEQ_GROWTH","FY 2018","FY 2018","Currency=INR","Period=FY","BEST_FPERIOD_OVERRIDE=FY","FILING_STATUS=OR","EQY_CONSOLIDATED=Y","Sort=A","Dates=H","DateFormat=P","Fill=—","Direction=H","UseDPDF=Y")</f>
        <v>#NAME?</v>
      </c>
      <c r="BS248" s="2" t="e">
        <f ca="1">_xll.BDH($C$228,"ST_DEBT_SEQUENTIAL_GROWTH","FY 2018","FY 2018","Currency=INR","Period=FY","BEST_FPERIOD_OVERRIDE=FY","FILING_STATUS=OR","EQY_CONSOLIDATED=Y","Sort=A","Dates=H","DateFormat=P","Fill=—","Direction=H","UseDPDF=Y")</f>
        <v>#NAME?</v>
      </c>
      <c r="BT248" s="2" t="e">
        <f ca="1">_xll.BDH($C$228,"TOTAL_DEBT_SEQUENTIAL_GROWTH","FY 2018","FY 2018","Currency=INR","Period=FY","BEST_FPERIOD_OVERRIDE=FY","FILING_STATUS=OR","EQY_CONSOLIDATED=Y","Sort=A","Dates=H","DateFormat=P","Fill=—","Direction=H","UseDPDF=Y")</f>
        <v>#NAME?</v>
      </c>
      <c r="BU248" s="2" t="e">
        <f ca="1">_xll.BDH($C$228,"TOTAL_EQUITY_SEQUENTIAL_GROWTH","FY 2018","FY 2018","Currency=INR","Period=FY","BEST_FPERIOD_OVERRIDE=FY","FILING_STATUS=OR","EQY_CONSOLIDATED=Y","Sort=A","Dates=H","DateFormat=P","Fill=—","Direction=H","UseDPDF=Y")</f>
        <v>#NAME?</v>
      </c>
      <c r="BV248" s="2" t="e">
        <f ca="1">_xll.BDH($C$228,"TOTAL_CAPITAL_SEQUENTIAL_GROWTH","FY 2018","FY 2018","Currency=INR","Period=FY","BEST_FPERIOD_OVERRIDE=FY","FILING_STATUS=OR","EQY_CONSOLIDATED=Y","Sort=A","Dates=H","DateFormat=P","Fill=—","Direction=H","UseDPDF=Y")</f>
        <v>#NAME?</v>
      </c>
      <c r="BW248" s="2" t="e">
        <f ca="1">_xll.BDH($C$228,"BPS_SEQUENTIAL_GROWTH","FY 2018","FY 2018","Currency=INR","Period=FY","BEST_FPERIOD_OVERRIDE=FY","FILING_STATUS=OR","EQY_CONSOLIDATED=Y","Sort=A","Dates=H","DateFormat=P","Fill=—","Direction=H","UseDPDF=Y")</f>
        <v>#NAME?</v>
      </c>
      <c r="BX248" s="2" t="e">
        <f ca="1">_xll.BDH($C$228,"CFO_SEQUENTIAL_GROWTH","FY 2018","FY 2018","Currency=INR","Period=FY","BEST_FPERIOD_OVERRIDE=FY","FILING_STATUS=OR","EQY_CONSOLIDATED=Y","Sort=A","Dates=H","DateFormat=P","Fill=—","Direction=H","UseDPDF=Y")</f>
        <v>#NAME?</v>
      </c>
      <c r="BY248" s="3" t="e">
        <f ca="1">_xll.BDH($C$228,"SHORT_AND_LONG_TERM_DEBT","FY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48" s="3" t="e">
        <f ca="1">_xll.BDH($C$228,"BS_ST_BORROW","FY 2018","FY 2018","Currency=INR","Period=FY","BEST_FPERIOD_OVERRIDE=FY","FILING_STATUS=OR","EQY_CONSOLIDATED=Y","SCALING_FORMAT=MLN","Sort=A","Dates=H","DateFormat=P","Fill=—","Direction=H","UseDPDF=Y")</f>
        <v>#NAME?</v>
      </c>
      <c r="CA248" s="3" t="e">
        <f ca="1">_xll.BDH($C$228,"BS_LT_BORROW","FY 2018","FY 2018","Currency=INR","Period=FY","BEST_FPERIOD_OVERRIDE=FY","FILING_STATUS=OR","EQY_CONSOLIDATED=Y","SCALING_FORMAT=MLN","Sort=A","Dates=H","DateFormat=P","Fill=—","Direction=H","UseDPDF=Y")</f>
        <v>#NAME?</v>
      </c>
      <c r="CB248" s="2" t="e">
        <f ca="1">_xll.BDH($C$228,"TOT_DEBT_TO_EBITDA","FY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48" s="2" t="e">
        <f ca="1">_xll.BDH($C$228,"NET_DEBT_TO_EBITDA","FY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48" s="2" t="e">
        <f ca="1">_xll.BDH($C$228,"TOTAL_DEBT_TO_EBIT","FY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48" s="2" t="e">
        <f ca="1">_xll.BDH($C$228,"NET_DEBT_TO_EBIT","FY 2018","FY 2018","Currency=INR","Period=FY","BEST_FPERIOD_OVERRIDE=FY","FILING_STATUS=OR","EQY_CONSOLIDATED=Y","FA_ADJUSTED=GAAP","Sort=A","Dates=H","DateFormat=P","Fill=—","Direction=H","UseDPDF=Y")</f>
        <v>#NAME?</v>
      </c>
      <c r="CF248" s="2" t="e">
        <f ca="1">_xll.BDH($C$228,"EBITDA_TO_INTEREST_EXPN","FY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48" s="2" t="e">
        <f ca="1">_xll.BDH($C$228,"COM_EQY_TO_TOT_ASSET","FY 2018","FY 2018","Currency=INR","Period=FY","BEST_FPERIOD_OVERRIDE=FY","FILING_STATUS=OR","EQY_CONSOLIDATED=Y","Sort=A","Dates=H","DateFormat=P","Fill=—","Direction=H","UseDPDF=Y")</f>
        <v>#NAME?</v>
      </c>
      <c r="CH248" s="2" t="e">
        <f ca="1">_xll.BDH($C$228,"LT_DEBT_TO_TOT_EQY","FY 2018","FY 2018","Currency=INR","Period=FY","BEST_FPERIOD_OVERRIDE=FY","FILING_STATUS=OR","EQY_CONSOLIDATED=Y","Sort=A","Dates=H","DateFormat=P","Fill=—","Direction=H","UseDPDF=Y")</f>
        <v>#NAME?</v>
      </c>
      <c r="CI248" s="2" t="e">
        <f ca="1">_xll.BDH($C$228,"LT_DEBT_TO_TOT_CAP","FY 2018","FY 2018","Currency=INR","Period=FY","BEST_FPERIOD_OVERRIDE=FY","FILING_STATUS=OR","EQY_CONSOLIDATED=Y","Sort=A","Dates=H","DateFormat=P","Fill=—","Direction=H","UseDPDF=Y")</f>
        <v>#NAME?</v>
      </c>
      <c r="CJ248" s="2" t="e">
        <f ca="1">_xll.BDH($C$228,"LT_DEBT_TO_TOT_ASSET","FY 2018","FY 2018","Currency=INR","Period=FY","BEST_FPERIOD_OVERRIDE=FY","FILING_STATUS=OR","EQY_CONSOLIDATED=Y","Sort=A","Dates=H","DateFormat=P","Fill=—","Direction=H","UseDPDF=Y")</f>
        <v>#NAME?</v>
      </c>
      <c r="CK248" s="2" t="e">
        <f ca="1">_xll.BDH($C$228,"TOT_DEBT_TO_TOT_EQY","FY 2018","FY 2018","Currency=INR","Period=FY","BEST_FPERIOD_OVERRIDE=FY","FILING_STATUS=OR","EQY_CONSOLIDATED=Y","Sort=A","Dates=H","DateFormat=P","Fill=—","Direction=H","UseDPDF=Y")</f>
        <v>#NAME?</v>
      </c>
      <c r="CL248" s="2" t="e">
        <f ca="1">_xll.BDH($C$228,"TOT_DEBT_TO_TOT_CAP","FY 2018","FY 2018","Currency=INR","Period=FY","BEST_FPERIOD_OVERRIDE=FY","FILING_STATUS=OR","EQY_CONSOLIDATED=Y","Sort=A","Dates=H","DateFormat=P","Fill=—","Direction=H","UseDPDF=Y")</f>
        <v>#NAME?</v>
      </c>
      <c r="CM248" s="2" t="e">
        <f ca="1">_xll.BDH($C$228,"TOT_DEBT_TO_TOT_ASSET","FY 2018","FY 2018","Currency=INR","Period=FY","BEST_FPERIOD_OVERRIDE=FY","FILING_STATUS=OR","EQY_CONSOLIDATED=Y","Sort=A","Dates=H","DateFormat=P","Fill=—","Direction=H","UseDPDF=Y")</f>
        <v>#NAME?</v>
      </c>
      <c r="CN248" s="2" t="e">
        <f ca="1">_xll.BDH($C$228,"NET_DEBT_TO_SHRHLDR_EQTY","FY 2018","FY 2018","Currency=INR","Period=FY","BEST_FPERIOD_OVERRIDE=FY","FILING_STATUS=OR","EQY_CONSOLIDATED=Y","Sort=A","Dates=H","DateFormat=P","Fill=—","Direction=H","UseDPDF=Y")</f>
        <v>#NAME?</v>
      </c>
      <c r="CO248" s="2" t="e">
        <f ca="1">_xll.BDH($C$228,"NET_DEBT_%_CAPITAL","FY 2018","FY 2018","Currency=INR","Period=FY","BEST_FPERIOD_OVERRIDE=FY","FILING_STATUS=OR","EQY_CONSOLIDATED=Y","Sort=A","Dates=H","DateFormat=P","Fill=—","Direction=H","UseDPDF=Y")</f>
        <v>#NAME?</v>
      </c>
      <c r="CP248" s="3" t="e">
        <f ca="1">_xll.BDH($C$228,"EBITDA","FY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48" s="3" t="e">
        <f ca="1">_xll.BDH($C$228,"EBITDA_AFTER_CAPEX","FY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48" s="3" t="e">
        <f ca="1">_xll.BDH($C$228,"IS_OPER_INC","FY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48" s="2" t="e">
        <f ca="1">_xll.BDH($C$228,"CASH_RATIO","FY 2018","FY 2018","Currency=INR","Period=FY","BEST_FPERIOD_OVERRIDE=FY","FILING_STATUS=OR","EQY_CONSOLIDATED=Y","Sort=A","Dates=H","DateFormat=P","Fill=—","Direction=H","UseDPDF=Y")</f>
        <v>#NAME?</v>
      </c>
      <c r="CT248" s="2" t="e">
        <f ca="1">_xll.BDH($C$228,"CUR_RATIO","FY 2018","FY 2018","Currency=INR","Period=FY","BEST_FPERIOD_OVERRIDE=FY","FILING_STATUS=OR","EQY_CONSOLIDATED=Y","Sort=A","Dates=H","DateFormat=P","Fill=—","Direction=H","UseDPDF=Y")</f>
        <v>#NAME?</v>
      </c>
      <c r="CU248" s="2" t="e">
        <f ca="1">_xll.BDH($C$228,"QUICK_RATIO","FY 2018","FY 2018","Currency=INR","Period=FY","BEST_FPERIOD_OVERRIDE=FY","FILING_STATUS=OR","EQY_CONSOLIDATED=Y","Sort=A","Dates=H","DateFormat=P","Fill=—","Direction=H","UseDPDF=Y")</f>
        <v>#NAME?</v>
      </c>
      <c r="CV248" s="2" t="e">
        <f ca="1">_xll.BDH($C$228,"ALTMAN_Z_SCORE","FY 2018","FY 2018","Currency=INR","Period=FY","BEST_FPERIOD_OVERRIDE=FY","FILING_STATUS=OR","EQY_CONSOLIDATED=Y","Sort=A","Dates=H","DateFormat=P","Fill=—","Direction=H","UseDPDF=Y")</f>
        <v>#NAME?</v>
      </c>
      <c r="CW248" s="4" t="e">
        <f ca="1">_xll.BDH($C$228,"ACCT_RCV_TURN","FY 2018","FY 2018","Currency=INR","Period=FY","BEST_FPERIOD_OVERRIDE=FY","FILING_STATUS=OR","EQY_CONSOLIDATED=Y","FA_ADJUSTED=GAAP","Sort=A","Dates=H","DateFormat=P","Fill=—","Direction=H","UseDPDF=Y")</f>
        <v>#NAME?</v>
      </c>
      <c r="CX248" s="2" t="e">
        <f ca="1">_xll.BDH($C$228,"ACCT_RCV_DAYS","FY 2018","FY 2018","Currency=INR","Period=FY","BEST_FPERIOD_OVERRIDE=FY","FILING_STATUS=OR","EQY_CONSOLIDATED=Y","FA_ADJUSTED=GAAP","Sort=A","Dates=H","DateFormat=P","Fill=—","Direction=H","UseDPDF=Y")</f>
        <v>#NAME?</v>
      </c>
      <c r="CY248" s="4" t="e">
        <f ca="1">_xll.BDH($C$228,"INVENT_TURN","FY 2018","FY 2018","Currency=INR","Period=FY","BEST_FPERIOD_OVERRIDE=FY","FILING_STATUS=OR","EQY_CONSOLIDATED=Y","FA_ADJUSTED=GAAP","Sort=A","Dates=H","DateFormat=P","Fill=—","Direction=H","UseDPDF=Y")</f>
        <v>#NAME?</v>
      </c>
      <c r="CZ248" s="2" t="e">
        <f ca="1">_xll.BDH($C$228,"INVENT_DAYS","FY 2018","FY 2018","Currency=INR","Period=FY","BEST_FPERIOD_OVERRIDE=FY","FILING_STATUS=OR","EQY_CONSOLIDATED=Y","FA_ADJUSTED=GAAP","Sort=A","Dates=H","DateFormat=P","Fill=—","Direction=H","UseDPDF=Y")</f>
        <v>#NAME?</v>
      </c>
      <c r="DA248" s="4" t="e">
        <f ca="1">_xll.BDH($C$228,"ACCOUNTS_PAYABLE_TURNOVER","FY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48" s="2" t="e">
        <f ca="1">_xll.BDH($C$228,"ACCOUNTS_PAYABLE_TURNOVER_DAYS","FY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48" s="4" t="e">
        <f ca="1">_xll.BDH($C$228,"CASH_CONVERSION_CYCLE","FY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48" s="4" t="e">
        <f ca="1">_xll.BDH($C$228,"INV_TO_CASH_DAYS","FY 2018","FY 2018","Currency=INR","Period=FY","BEST_FPERIOD_OVERRIDE=FY","FILING_STATUS=OR","EQY_CONSOLIDATED=Y","FA_ADJUSTED=GAAP","Sort=A","Dates=H","DateFormat=P","Fill=—","Direction=H","UseDPDF=Y")</f>
        <v>#NAME?</v>
      </c>
      <c r="DE248" s="5" t="e">
        <f ca="1">_xll.BDH($C$228,"BS_INVENTORIES","FY 2018","FY 2018","Currency=INR","Period=FY","BEST_FPERIOD_OVERRIDE=FY","FILING_STATUS=OR","EQY_CONSOLIDATED=Y","SCALING_FORMAT=MLN","Sort=A","Dates=H","DateFormat=P","Fill=—","Direction=H","UseDPDF=Y")</f>
        <v>#NAME?</v>
      </c>
      <c r="DF248" s="3" t="e">
        <f ca="1">_xll.BDH($C$228,"INVTRY_RAW_MATERIALS","FY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48" s="3" t="e">
        <f ca="1">_xll.BDH($C$228,"INVTRY_IN_PROGRESS","FY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48" s="3" t="e">
        <f ca="1">_xll.BDH($C$228,"INVTRY_FINISHED_GOODS","FY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48" s="3" t="e">
        <f ca="1">_xll.BDH($C$228,"BS_OTHER_INV","FY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49" spans="1:113" x14ac:dyDescent="0.3">
      <c r="A249" s="6"/>
      <c r="B249" s="6"/>
      <c r="C249" s="6"/>
      <c r="D249" s="6"/>
      <c r="E249" t="s">
        <v>78</v>
      </c>
      <c r="F249" t="e">
        <f ca="1">_xll.BDH($C$228,"RETURN_COM_EQY","FQ1 2018","FQ1 2018","Currency=INR","Period=FQ","BEST_FPERIOD_OVERRIDE=FQ","FILING_STATUS=OR","EQY_CONSOLIDATED=Y","FA_ADJUSTED=GAAP","Sort=A","Dates=H","DateFormat=P","Fill=—","Direction=H","UseDPDF=Y")</f>
        <v>#NAME?</v>
      </c>
      <c r="G249" t="e">
        <f ca="1">_xll.BDH($C$228,"RETURN_ON_ASSET","FQ1 2018","FQ1 2018","Currency=INR","Period=FQ","BEST_FPERIOD_OVERRIDE=FQ","FILING_STATUS=OR","EQY_CONSOLIDATED=Y","FA_ADJUSTED=GAAP","Sort=A","Dates=H","DateFormat=P","Fill=—","Direction=H","UseDPDF=Y")</f>
        <v>#NAME?</v>
      </c>
      <c r="H249" t="e">
        <f ca="1">_xll.BDH($C$228,"RETURN_ON_CAP","FQ1 2018","FQ1 2018","Currency=INR","Period=FQ","BEST_FPERIOD_OVERRIDE=FQ","FILING_STATUS=OR","EQY_CONSOLIDATED=Y","FA_ADJUSTED=GAAP","Sort=A","Dates=H","DateFormat=P","Fill=—","Direction=H","UseDPDF=Y")</f>
        <v>#NAME?</v>
      </c>
      <c r="I249" t="e">
        <f ca="1">_xll.BDH($C$228,"RETURN_ON_INV_CAPITAL","FQ1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49" t="e">
        <f ca="1">_xll.BDH($C$228,"EBITDA_TO_REVENUE","FQ1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49" t="e">
        <f ca="1">_xll.BDH($C$228,"OPER_MARGIN","FQ1 2018","FQ1 2018","Currency=INR","Period=FQ","BEST_FPERIOD_OVERRIDE=FQ","FILING_STATUS=OR","EQY_CONSOLIDATED=Y","FA_ADJUSTED=GAAP","Sort=A","Dates=H","DateFormat=P","Fill=—","Direction=H","UseDPDF=Y")</f>
        <v>#NAME?</v>
      </c>
      <c r="L249" t="e">
        <f ca="1">_xll.BDH($C$228,"INCREMENTAL_OPERATING_MARGIN","FQ1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49" t="e">
        <f ca="1">_xll.BDH($C$228,"PRETAX_INC_TO_NET_SALES","FQ1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49" t="e">
        <f ca="1">_xll.BDH($C$228,"INC_BEF_XO_ITEMS_TO_NET_SALES","FQ1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49" t="e">
        <f ca="1">_xll.BDH($C$228,"PROF_MARGIN","FQ1 2018","FQ1 2018","Currency=INR","Period=FQ","BEST_FPERIOD_OVERRIDE=FQ","FILING_STATUS=OR","EQY_CONSOLIDATED=Y","FA_ADJUSTED=GAAP","Sort=A","Dates=H","DateFormat=P","Fill=—","Direction=H","UseDPDF=Y")</f>
        <v>#NAME?</v>
      </c>
      <c r="P249" t="e">
        <f ca="1">_xll.BDH($C$228,"NET_INCOME_TO_COMMON_MARGIN","FQ1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49" t="e">
        <f ca="1">_xll.BDH($C$228,"EFF_TAX_RATE","FQ1 2018","FQ1 2018","Currency=INR","Period=FQ","BEST_FPERIOD_OVERRIDE=FQ","FILING_STATUS=OR","EQY_CONSOLIDATED=Y","FA_ADJUSTED=GAAP","Sort=A","Dates=H","DateFormat=P","Fill=—","Direction=H","UseDPDF=Y")</f>
        <v>#NAME?</v>
      </c>
      <c r="R249" t="e">
        <f ca="1">_xll.BDH($C$228,"DVD_PAYOUT_RATIO","FQ1 2018","FQ1 2018","Currency=INR","Period=FQ","BEST_FPERIOD_OVERRIDE=FQ","FILING_STATUS=OR","EQY_CONSOLIDATED=Y","FA_ADJUSTED=GAAP","Sort=A","Dates=H","DateFormat=P","Fill=—","Direction=H","UseDPDF=Y")</f>
        <v>#NAME?</v>
      </c>
      <c r="S249" t="e">
        <f ca="1">_xll.BDH($C$228,"SUSTAIN_GROWTH_RT","FQ1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49" s="2" t="e">
        <f ca="1">_xll.BDH($C$228,"SALES_GROWTH","FQ1 2018","FQ1 2018","Currency=INR","Period=FQ","BEST_FPERIOD_OVERRIDE=FQ","FILING_STATUS=OR","EQY_CONSOLIDATED=Y","FA_ADJUSTED=GAAP","Sort=A","Dates=H","DateFormat=P","Fill=—","Direction=H","UseDPDF=Y")</f>
        <v>#NAME?</v>
      </c>
      <c r="U249" s="2" t="e">
        <f ca="1">_xll.BDH($C$228,"EBITDA_GROWTH","FQ1 2018","FQ1 2018","Currency=INR","Period=FQ","BEST_FPERIOD_OVERRIDE=FQ","FILING_STATUS=OR","EQY_CONSOLIDATED=Y","FA_ADJUSTED=GAAP","Sort=A","Dates=H","DateFormat=P","Fill=—","Direction=H","UseDPDF=Y")</f>
        <v>#NAME?</v>
      </c>
      <c r="V249" s="2" t="e">
        <f ca="1">_xll.BDH($C$228,"OPER_INC_GROWTH","FQ1 2018","FQ1 2018","Currency=INR","Period=FQ","BEST_FPERIOD_OVERRIDE=FQ","FILING_STATUS=OR","EQY_CONSOLIDATED=Y","FA_ADJUSTED=GAAP","Sort=A","Dates=H","DateFormat=P","Fill=—","Direction=H","UseDPDF=Y")</f>
        <v>#NAME?</v>
      </c>
      <c r="W249" s="2" t="e">
        <f ca="1">_xll.BDH($C$228,"EARN_FOR_COM_GROWTH","FQ1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49" s="2" t="e">
        <f ca="1">_xll.BDH($C$228,"DILUTED_EPS_AFT_XO_ITEMS_GROWTH","FQ1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49" s="2" t="e">
        <f ca="1">_xll.BDH($C$228,"DIVIDEND_PER_SHARE_1_YEAR_GROWTH","FQ1 2018","FQ1 2018","Currency=INR","Period=FQ","BEST_FPERIOD_OVERRIDE=FQ","FILING_STATUS=OR","EQY_CONSOLIDATED=Y","Sort=A","Dates=H","DateFormat=P","Fill=—","Direction=H","UseDPDF=Y")</f>
        <v>#NAME?</v>
      </c>
      <c r="Z249" s="2" t="e">
        <f ca="1">_xll.BDH($C$228,"ACCOUNTS_RECEIVABLE_GROWTH","FQ1 2018","FQ1 2018","Currency=INR","Period=FQ","BEST_FPERIOD_OVERRIDE=FQ","FILING_STATUS=OR","EQY_CONSOLIDATED=Y","Sort=A","Dates=H","DateFormat=P","Fill=—","Direction=H","UseDPDF=Y")</f>
        <v>#NAME?</v>
      </c>
      <c r="AA249" s="2" t="e">
        <f ca="1">_xll.BDH($C$228,"INVENTORY_GROWTH","FQ1 2018","FQ1 2018","Currency=INR","Period=FQ","BEST_FPERIOD_OVERRIDE=FQ","FILING_STATUS=OR","EQY_CONSOLIDATED=Y","Sort=A","Dates=H","DateFormat=P","Fill=—","Direction=H","UseDPDF=Y")</f>
        <v>#NAME?</v>
      </c>
      <c r="AB249" s="2" t="e">
        <f ca="1">_xll.BDH($C$228,"NET_FIXED_ASSETS_1_YEAR_GROWTH","FQ1 2018","FQ1 2018","Currency=INR","Period=FQ","BEST_FPERIOD_OVERRIDE=FQ","FILING_STATUS=OR","EQY_CONSOLIDATED=Y","Sort=A","Dates=H","DateFormat=P","Fill=—","Direction=H","UseDPDF=Y")</f>
        <v>#NAME?</v>
      </c>
      <c r="AC249" s="2" t="e">
        <f ca="1">_xll.BDH($C$228,"ASSET_GROWTH","FQ1 2018","FQ1 2018","Currency=INR","Period=FQ","BEST_FPERIOD_OVERRIDE=FQ","FILING_STATUS=OR","EQY_CONSOLIDATED=Y","Sort=A","Dates=H","DateFormat=P","Fill=—","Direction=H","UseDPDF=Y")</f>
        <v>#NAME?</v>
      </c>
      <c r="AD249" s="2" t="e">
        <f ca="1">_xll.BDH($C$228,"MODIFIED_WORK_CAP_GROWTH","FQ1 2018","FQ1 2018","Currency=INR","Period=FQ","BEST_FPERIOD_OVERRIDE=FQ","FILING_STATUS=OR","EQY_CONSOLIDATED=Y","Sort=A","Dates=H","DateFormat=P","Fill=—","Direction=H","UseDPDF=Y")</f>
        <v>#NAME?</v>
      </c>
      <c r="AE249" s="2" t="e">
        <f ca="1">_xll.BDH($C$228,"WORK_CAP_GROWTH","FQ1 2018","FQ1 2018","Currency=INR","Period=FQ","BEST_FPERIOD_OVERRIDE=FQ","FILING_STATUS=OR","EQY_CONSOLIDATED=Y","Sort=A","Dates=H","DateFormat=P","Fill=—","Direction=H","UseDPDF=Y")</f>
        <v>#NAME?</v>
      </c>
      <c r="AF249" s="2" t="e">
        <f ca="1">_xll.BDH($C$228,"ACCOUNTS_PAYABLE_GROWTH_1YR","FQ1 2018","FQ1 2018","Currency=INR","Period=FQ","BEST_FPERIOD_OVERRIDE=FQ","FILING_STATUS=OR","EQY_CONSOLIDATED=Y","Sort=A","Dates=H","DateFormat=P","Fill=—","Direction=H","UseDPDF=Y")</f>
        <v>#NAME?</v>
      </c>
      <c r="AG249" s="2" t="e">
        <f ca="1">_xll.BDH($C$228,"SHORT_TERM_DEBT_1_YEAR_GROWTH","FQ1 2018","FQ1 2018","Currency=INR","Period=FQ","BEST_FPERIOD_OVERRIDE=FQ","FILING_STATUS=OR","EQY_CONSOLIDATED=Y","Sort=A","Dates=H","DateFormat=P","Fill=—","Direction=H","UseDPDF=Y")</f>
        <v>#NAME?</v>
      </c>
      <c r="AH249" s="2" t="e">
        <f ca="1">_xll.BDH($C$228,"TOTAL_DEBT_1_YEAR_GROWTH","FQ1 2018","FQ1 2018","Currency=INR","Period=FQ","BEST_FPERIOD_OVERRIDE=FQ","FILING_STATUS=OR","EQY_CONSOLIDATED=Y","Sort=A","Dates=H","DateFormat=P","Fill=—","Direction=H","UseDPDF=Y")</f>
        <v>#NAME?</v>
      </c>
      <c r="AI249" s="2" t="e">
        <f ca="1">_xll.BDH($C$228,"TOTAL_EQUITY_1_YEAR_GROWTH","FQ1 2018","FQ1 2018","Currency=INR","Period=FQ","BEST_FPERIOD_OVERRIDE=FQ","FILING_STATUS=OR","EQY_CONSOLIDATED=Y","Sort=A","Dates=H","DateFormat=P","Fill=—","Direction=H","UseDPDF=Y")</f>
        <v>#NAME?</v>
      </c>
      <c r="AJ249" s="2" t="e">
        <f ca="1">_xll.BDH($C$228,"GROWTH_IN_CAP","FQ1 2018","FQ1 2018","Currency=INR","Period=FQ","BEST_FPERIOD_OVERRIDE=FQ","FILING_STATUS=OR","EQY_CONSOLIDATED=Y","Sort=A","Dates=H","DateFormat=P","Fill=—","Direction=H","UseDPDF=Y")</f>
        <v>#NAME?</v>
      </c>
      <c r="AK249" s="2" t="e">
        <f ca="1">_xll.BDH($C$228,"BVPS_GROWTH","FQ1 2018","FQ1 2018","Currency=INR","Period=FQ","BEST_FPERIOD_OVERRIDE=FQ","FILING_STATUS=OR","EQY_CONSOLIDATED=Y","Sort=A","Dates=H","DateFormat=P","Fill=—","Direction=H","UseDPDF=Y")</f>
        <v>#NAME?</v>
      </c>
      <c r="AL249" s="2" t="e">
        <f ca="1">_xll.BDH($C$228,"CASH_FLOW_GROWTH","FQ1 2018","FQ1 2018","Currency=INR","Period=FQ","BEST_FPERIOD_OVERRIDE=FQ","FILING_STATUS=OR","EQY_CONSOLIDATED=Y","Sort=A","Dates=H","DateFormat=P","Fill=—","Direction=H","UseDPDF=Y")</f>
        <v>#NAME?</v>
      </c>
      <c r="AM249" s="2" t="e">
        <f ca="1">_xll.BDH($C$228,"GEO_GROW_NET_SALES","FQ1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49" s="2" t="e">
        <f ca="1">_xll.BDH($C$228,"GEO_GROW_EBITDA","FQ1 2018","FQ1 2018","Currency=INR","Period=FQ","BEST_FPERIOD_OVERRIDE=FQ","FILING_STATUS=OR","EQY_CONSOLIDATED=Y","FA_ADJUSTED=GAAP","Sort=A","Dates=H","DateFormat=P","Fill=—","Direction=H","UseDPDF=Y")</f>
        <v>#NAME?</v>
      </c>
      <c r="AO249" s="2" t="e">
        <f ca="1">_xll.BDH($C$228,"GEO_GROW_OPER_INC","FQ1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49" s="2" t="e">
        <f ca="1">_xll.BDH($C$228,"NET_INCOME_TO_COMMON_5_YR_GROWTH","FQ1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49" s="2" t="e">
        <f ca="1">_xll.BDH($C$228,"5Y_GEO_GROWTH_DILUTED_EPS","FQ1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49" s="2" t="e">
        <f ca="1">_xll.BDH($C$228,"GEO_GROW_DVD_PER_SH","FQ1 2018","FQ1 2018","Currency=INR","Period=FQ","BEST_FPERIOD_OVERRIDE=FQ","FILING_STATUS=OR","EQY_CONSOLIDATED=Y","Sort=A","Dates=H","DateFormat=P","Fill=—","Direction=H","UseDPDF=Y")</f>
        <v>#NAME?</v>
      </c>
      <c r="AS249" s="2" t="e">
        <f ca="1">_xll.BDH($C$228,"ACCOUNTS_RECEIVABLE_5_YR_GROWTH","FQ1 2018","FQ1 2018","Currency=INR","Period=FQ","BEST_FPERIOD_OVERRIDE=FQ","FILING_STATUS=OR","EQY_CONSOLIDATED=Y","Sort=A","Dates=H","DateFormat=P","Fill=—","Direction=H","UseDPDF=Y")</f>
        <v>#NAME?</v>
      </c>
      <c r="AT249" s="2" t="e">
        <f ca="1">_xll.BDH($C$228,"INVENTORY_5_YEAR_GROWTH","FQ1 2018","FQ1 2018","Currency=INR","Period=FQ","BEST_FPERIOD_OVERRIDE=FQ","FILING_STATUS=OR","EQY_CONSOLIDATED=Y","Sort=A","Dates=H","DateFormat=P","Fill=—","Direction=H","UseDPDF=Y")</f>
        <v>#NAME?</v>
      </c>
      <c r="AU249" s="2" t="e">
        <f ca="1">_xll.BDH($C$228,"NET_FIXED_ASSETS_5_YEAR_GROWTH","FQ1 2018","FQ1 2018","Currency=INR","Period=FQ","BEST_FPERIOD_OVERRIDE=FQ","FILING_STATUS=OR","EQY_CONSOLIDATED=Y","Sort=A","Dates=H","DateFormat=P","Fill=—","Direction=H","UseDPDF=Y")</f>
        <v>#NAME?</v>
      </c>
      <c r="AV249" s="2" t="e">
        <f ca="1">_xll.BDH($C$228,"GEO_GROW_TOT_ASSET","FQ1 2018","FQ1 2018","Currency=INR","Period=FQ","BEST_FPERIOD_OVERRIDE=FQ","FILING_STATUS=OR","EQY_CONSOLIDATED=Y","Sort=A","Dates=H","DateFormat=P","Fill=—","Direction=H","UseDPDF=Y")</f>
        <v>#NAME?</v>
      </c>
      <c r="AW249" s="2" t="e">
        <f ca="1">_xll.BDH($C$228,"MODIFIED_WORKING_CPTL_5YR_GRWTH","FQ1 2018","FQ1 2018","Currency=INR","Period=FQ","BEST_FPERIOD_OVERRIDE=FQ","FILING_STATUS=OR","EQY_CONSOLIDATED=Y","Sort=A","Dates=H","DateFormat=P","Fill=—","Direction=H","UseDPDF=Y")</f>
        <v>#NAME?</v>
      </c>
      <c r="AX249" s="2" t="e">
        <f ca="1">_xll.BDH($C$228,"WORKING_CAPITAL_5_YEAR_GROWTH","FQ1 2018","FQ1 2018","Currency=INR","Period=FQ","BEST_FPERIOD_OVERRIDE=FQ","FILING_STATUS=OR","EQY_CONSOLIDATED=Y","Sort=A","Dates=H","DateFormat=P","Fill=—","Direction=H","UseDPDF=Y")</f>
        <v>#NAME?</v>
      </c>
      <c r="AY249" s="2" t="e">
        <f ca="1">_xll.BDH($C$228,"ACCOUNTS_PAYABLE_5_YEAR_GROWTH","FQ1 2018","FQ1 2018","Currency=INR","Period=FQ","BEST_FPERIOD_OVERRIDE=FQ","FILING_STATUS=OR","EQY_CONSOLIDATED=Y","Sort=A","Dates=H","DateFormat=P","Fill=—","Direction=H","UseDPDF=Y")</f>
        <v>#NAME?</v>
      </c>
      <c r="AZ249" s="2" t="e">
        <f ca="1">_xll.BDH($C$228,"SHORT_TERM_DEBT_5_YEAR_GROWTH","FQ1 2018","FQ1 2018","Currency=INR","Period=FQ","BEST_FPERIOD_OVERRIDE=FQ","FILING_STATUS=OR","EQY_CONSOLIDATED=Y","Sort=A","Dates=H","DateFormat=P","Fill=—","Direction=H","UseDPDF=Y")</f>
        <v>#NAME?</v>
      </c>
      <c r="BA249" s="2" t="e">
        <f ca="1">_xll.BDH($C$228,"TOTAL_DEBT_5_YEAR_GROWTH","FQ1 2018","FQ1 2018","Currency=INR","Period=FQ","BEST_FPERIOD_OVERRIDE=FQ","FILING_STATUS=OR","EQY_CONSOLIDATED=Y","Sort=A","Dates=H","DateFormat=P","Fill=—","Direction=H","UseDPDF=Y")</f>
        <v>#NAME?</v>
      </c>
      <c r="BB249" s="2" t="e">
        <f ca="1">_xll.BDH($C$228,"GEO_GROW_TOT_SHRHLDR_EQY","FQ1 2018","FQ1 2018","Currency=INR","Period=FQ","BEST_FPERIOD_OVERRIDE=FQ","FILING_STATUS=OR","EQY_CONSOLIDATED=Y","Sort=A","Dates=H","DateFormat=P","Fill=—","Direction=H","UseDPDF=Y")</f>
        <v>#NAME?</v>
      </c>
      <c r="BC249" s="2" t="e">
        <f ca="1">_xll.BDH($C$228,"TOTAL_CAPITAL_5_YEAR_GROWTH","FQ1 2018","FQ1 2018","Currency=INR","Period=FQ","BEST_FPERIOD_OVERRIDE=FQ","FILING_STATUS=OR","EQY_CONSOLIDATED=Y","Sort=A","Dates=H","DateFormat=P","Fill=—","Direction=H","UseDPDF=Y")</f>
        <v>#NAME?</v>
      </c>
      <c r="BD249" s="2" t="e">
        <f ca="1">_xll.BDH($C$228,"GEO_GROW_BOOK_VAL","FQ1 2018","FQ1 2018","Currency=INR","Period=FQ","BEST_FPERIOD_OVERRIDE=FQ","FILING_STATUS=OR","EQY_CONSOLIDATED=Y","Sort=A","Dates=H","DateFormat=P","Fill=—","Direction=H","UseDPDF=Y")</f>
        <v>#NAME?</v>
      </c>
      <c r="BE249" s="2" t="e">
        <f ca="1">_xll.BDH($C$228,"GEO_GROW_CASH_OPER_ACT","FQ1 2018","FQ1 2018","Currency=INR","Period=FQ","BEST_FPERIOD_OVERRIDE=FQ","FILING_STATUS=OR","EQY_CONSOLIDATED=Y","Sort=A","Dates=H","DateFormat=P","Fill=—","Direction=H","UseDPDF=Y")</f>
        <v>#NAME?</v>
      </c>
      <c r="BF249" s="2" t="e">
        <f ca="1">_xll.BDH($C$228,"REVENUE_SEQUENTIAL_GROWTH","FQ1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49" s="2" t="e">
        <f ca="1">_xll.BDH($C$228,"EBITDA_SEQUENTIAL_GROWTH","FQ1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49" s="2" t="e">
        <f ca="1">_xll.BDH($C$228,"OPERATING_INCOME_SEQ_GROWTH","FQ1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49" s="2" t="e">
        <f ca="1">_xll.BDH($C$228,"NET_INCOME_TO_COMMON_SEQ_GROWTH","FQ1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49" s="2" t="e">
        <f ca="1">_xll.BDH($C$228,"EPS_DILUTED_SEQUENTIAL_GROWTH","FQ1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49" s="2" t="e">
        <f ca="1">_xll.BDH($C$228,"DPS_SEQUENTIAL_GROWTH","FQ1 2018","FQ1 2018","Currency=INR","Period=FQ","BEST_FPERIOD_OVERRIDE=FQ","FILING_STATUS=OR","EQY_CONSOLIDATED=Y","Sort=A","Dates=H","DateFormat=P","Fill=—","Direction=H","UseDPDF=Y")</f>
        <v>#NAME?</v>
      </c>
      <c r="BL249" s="2" t="e">
        <f ca="1">_xll.BDH($C$228,"ACCOUNTS_RECEIVABLE_SEQ_GROWTH","FQ1 2018","FQ1 2018","Currency=INR","Period=FQ","BEST_FPERIOD_OVERRIDE=FQ","FILING_STATUS=OR","EQY_CONSOLIDATED=Y","Sort=A","Dates=H","DateFormat=P","Fill=—","Direction=H","UseDPDF=Y")</f>
        <v>#NAME?</v>
      </c>
      <c r="BM249" s="2" t="e">
        <f ca="1">_xll.BDH($C$228,"INVENTORY_SEQUENTIAL_GROWTH","FQ1 2018","FQ1 2018","Currency=INR","Period=FQ","BEST_FPERIOD_OVERRIDE=FQ","FILING_STATUS=OR","EQY_CONSOLIDATED=Y","Sort=A","Dates=H","DateFormat=P","Fill=—","Direction=H","UseDPDF=Y")</f>
        <v>#NAME?</v>
      </c>
      <c r="BN249" s="2" t="e">
        <f ca="1">_xll.BDH($C$228,"FIXED_ASSETS_SEQUENTIAL_GROWTH","FQ1 2018","FQ1 2018","Currency=INR","Period=FQ","BEST_FPERIOD_OVERRIDE=FQ","FILING_STATUS=OR","EQY_CONSOLIDATED=Y","Sort=A","Dates=H","DateFormat=P","Fill=—","Direction=H","UseDPDF=Y")</f>
        <v>#NAME?</v>
      </c>
      <c r="BO249" s="2" t="e">
        <f ca="1">_xll.BDH($C$228,"TOTAL_ASSETS_SEQUENTIAL_GROWTH","FQ1 2018","FQ1 2018","Currency=INR","Period=FQ","BEST_FPERIOD_OVERRIDE=FQ","FILING_STATUS=OR","EQY_CONSOLIDATED=Y","Sort=A","Dates=H","DateFormat=P","Fill=—","Direction=H","UseDPDF=Y")</f>
        <v>#NAME?</v>
      </c>
      <c r="BP249" s="2" t="e">
        <f ca="1">_xll.BDH($C$228,"MODIFIED_WORKING_CPTL_SEQ_GRWTH","FQ1 2018","FQ1 2018","Currency=INR","Period=FQ","BEST_FPERIOD_OVERRIDE=FQ","FILING_STATUS=OR","EQY_CONSOLIDATED=Y","Sort=A","Dates=H","DateFormat=P","Fill=—","Direction=H","UseDPDF=Y")</f>
        <v>#NAME?</v>
      </c>
      <c r="BQ249" s="2" t="e">
        <f ca="1">_xll.BDH($C$228,"WORKING_CAPITAL_SEQ_GROWTH","FQ1 2018","FQ1 2018","Currency=INR","Period=FQ","BEST_FPERIOD_OVERRIDE=FQ","FILING_STATUS=OR","EQY_CONSOLIDATED=Y","Sort=A","Dates=H","DateFormat=P","Fill=—","Direction=H","UseDPDF=Y")</f>
        <v>#NAME?</v>
      </c>
      <c r="BR249" s="2" t="e">
        <f ca="1">_xll.BDH($C$228,"ACCOUNTS_PAYABLE_SEQ_GROWTH","FQ1 2018","FQ1 2018","Currency=INR","Period=FQ","BEST_FPERIOD_OVERRIDE=FQ","FILING_STATUS=OR","EQY_CONSOLIDATED=Y","Sort=A","Dates=H","DateFormat=P","Fill=—","Direction=H","UseDPDF=Y")</f>
        <v>#NAME?</v>
      </c>
      <c r="BS249" s="2" t="e">
        <f ca="1">_xll.BDH($C$228,"ST_DEBT_SEQUENTIAL_GROWTH","FQ1 2018","FQ1 2018","Currency=INR","Period=FQ","BEST_FPERIOD_OVERRIDE=FQ","FILING_STATUS=OR","EQY_CONSOLIDATED=Y","Sort=A","Dates=H","DateFormat=P","Fill=—","Direction=H","UseDPDF=Y")</f>
        <v>#NAME?</v>
      </c>
      <c r="BT249" s="2" t="e">
        <f ca="1">_xll.BDH($C$228,"TOTAL_DEBT_SEQUENTIAL_GROWTH","FQ1 2018","FQ1 2018","Currency=INR","Period=FQ","BEST_FPERIOD_OVERRIDE=FQ","FILING_STATUS=OR","EQY_CONSOLIDATED=Y","Sort=A","Dates=H","DateFormat=P","Fill=—","Direction=H","UseDPDF=Y")</f>
        <v>#NAME?</v>
      </c>
      <c r="BU249" s="2" t="e">
        <f ca="1">_xll.BDH($C$228,"TOTAL_EQUITY_SEQUENTIAL_GROWTH","FQ1 2018","FQ1 2018","Currency=INR","Period=FQ","BEST_FPERIOD_OVERRIDE=FQ","FILING_STATUS=OR","EQY_CONSOLIDATED=Y","Sort=A","Dates=H","DateFormat=P","Fill=—","Direction=H","UseDPDF=Y")</f>
        <v>#NAME?</v>
      </c>
      <c r="BV249" s="2" t="e">
        <f ca="1">_xll.BDH($C$228,"TOTAL_CAPITAL_SEQUENTIAL_GROWTH","FQ1 2018","FQ1 2018","Currency=INR","Period=FQ","BEST_FPERIOD_OVERRIDE=FQ","FILING_STATUS=OR","EQY_CONSOLIDATED=Y","Sort=A","Dates=H","DateFormat=P","Fill=—","Direction=H","UseDPDF=Y")</f>
        <v>#NAME?</v>
      </c>
      <c r="BW249" s="2" t="e">
        <f ca="1">_xll.BDH($C$228,"BPS_SEQUENTIAL_GROWTH","FQ1 2018","FQ1 2018","Currency=INR","Period=FQ","BEST_FPERIOD_OVERRIDE=FQ","FILING_STATUS=OR","EQY_CONSOLIDATED=Y","Sort=A","Dates=H","DateFormat=P","Fill=—","Direction=H","UseDPDF=Y")</f>
        <v>#NAME?</v>
      </c>
      <c r="BX249" s="2" t="e">
        <f ca="1">_xll.BDH($C$228,"CFO_SEQUENTIAL_GROWTH","FQ1 2018","FQ1 2018","Currency=INR","Period=FQ","BEST_FPERIOD_OVERRIDE=FQ","FILING_STATUS=OR","EQY_CONSOLIDATED=Y","Sort=A","Dates=H","DateFormat=P","Fill=—","Direction=H","UseDPDF=Y")</f>
        <v>#NAME?</v>
      </c>
      <c r="BY249" s="3" t="e">
        <f ca="1">_xll.BDH($C$228,"SHORT_AND_LONG_TERM_DEBT","FQ1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49" s="3" t="e">
        <f ca="1">_xll.BDH($C$228,"BS_ST_BORROW","FQ1 2018","FQ1 2018","Currency=INR","Period=FQ","BEST_FPERIOD_OVERRIDE=FQ","FILING_STATUS=OR","EQY_CONSOLIDATED=Y","SCALING_FORMAT=MLN","Sort=A","Dates=H","DateFormat=P","Fill=—","Direction=H","UseDPDF=Y")</f>
        <v>#NAME?</v>
      </c>
      <c r="CA249" s="3" t="e">
        <f ca="1">_xll.BDH($C$228,"BS_LT_BORROW","FQ1 2018","FQ1 2018","Currency=INR","Period=FQ","BEST_FPERIOD_OVERRIDE=FQ","FILING_STATUS=OR","EQY_CONSOLIDATED=Y","SCALING_FORMAT=MLN","Sort=A","Dates=H","DateFormat=P","Fill=—","Direction=H","UseDPDF=Y")</f>
        <v>#NAME?</v>
      </c>
      <c r="CB249" s="2" t="e">
        <f ca="1">_xll.BDH($C$228,"TOT_DEBT_TO_EBITDA","FQ1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49" s="2" t="e">
        <f ca="1">_xll.BDH($C$228,"NET_DEBT_TO_EBITDA","FQ1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49" s="2" t="e">
        <f ca="1">_xll.BDH($C$228,"TOTAL_DEBT_TO_EBIT","FQ1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49" s="2" t="e">
        <f ca="1">_xll.BDH($C$228,"NET_DEBT_TO_EBIT","FQ1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49" s="2" t="e">
        <f ca="1">_xll.BDH($C$228,"EBITDA_TO_INTEREST_EXPN","FQ1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49" s="2" t="e">
        <f ca="1">_xll.BDH($C$228,"COM_EQY_TO_TOT_ASSET","FQ1 2018","FQ1 2018","Currency=INR","Period=FQ","BEST_FPERIOD_OVERRIDE=FQ","FILING_STATUS=OR","EQY_CONSOLIDATED=Y","Sort=A","Dates=H","DateFormat=P","Fill=—","Direction=H","UseDPDF=Y")</f>
        <v>#NAME?</v>
      </c>
      <c r="CH249" s="2" t="e">
        <f ca="1">_xll.BDH($C$228,"LT_DEBT_TO_TOT_EQY","FQ1 2018","FQ1 2018","Currency=INR","Period=FQ","BEST_FPERIOD_OVERRIDE=FQ","FILING_STATUS=OR","EQY_CONSOLIDATED=Y","Sort=A","Dates=H","DateFormat=P","Fill=—","Direction=H","UseDPDF=Y")</f>
        <v>#NAME?</v>
      </c>
      <c r="CI249" s="2" t="e">
        <f ca="1">_xll.BDH($C$228,"LT_DEBT_TO_TOT_CAP","FQ1 2018","FQ1 2018","Currency=INR","Period=FQ","BEST_FPERIOD_OVERRIDE=FQ","FILING_STATUS=OR","EQY_CONSOLIDATED=Y","Sort=A","Dates=H","DateFormat=P","Fill=—","Direction=H","UseDPDF=Y")</f>
        <v>#NAME?</v>
      </c>
      <c r="CJ249" s="2" t="e">
        <f ca="1">_xll.BDH($C$228,"LT_DEBT_TO_TOT_ASSET","FQ1 2018","FQ1 2018","Currency=INR","Period=FQ","BEST_FPERIOD_OVERRIDE=FQ","FILING_STATUS=OR","EQY_CONSOLIDATED=Y","Sort=A","Dates=H","DateFormat=P","Fill=—","Direction=H","UseDPDF=Y")</f>
        <v>#NAME?</v>
      </c>
      <c r="CK249" s="2" t="e">
        <f ca="1">_xll.BDH($C$228,"TOT_DEBT_TO_TOT_EQY","FQ1 2018","FQ1 2018","Currency=INR","Period=FQ","BEST_FPERIOD_OVERRIDE=FQ","FILING_STATUS=OR","EQY_CONSOLIDATED=Y","Sort=A","Dates=H","DateFormat=P","Fill=—","Direction=H","UseDPDF=Y")</f>
        <v>#NAME?</v>
      </c>
      <c r="CL249" s="2" t="e">
        <f ca="1">_xll.BDH($C$228,"TOT_DEBT_TO_TOT_CAP","FQ1 2018","FQ1 2018","Currency=INR","Period=FQ","BEST_FPERIOD_OVERRIDE=FQ","FILING_STATUS=OR","EQY_CONSOLIDATED=Y","Sort=A","Dates=H","DateFormat=P","Fill=—","Direction=H","UseDPDF=Y")</f>
        <v>#NAME?</v>
      </c>
      <c r="CM249" s="2" t="e">
        <f ca="1">_xll.BDH($C$228,"TOT_DEBT_TO_TOT_ASSET","FQ1 2018","FQ1 2018","Currency=INR","Period=FQ","BEST_FPERIOD_OVERRIDE=FQ","FILING_STATUS=OR","EQY_CONSOLIDATED=Y","Sort=A","Dates=H","DateFormat=P","Fill=—","Direction=H","UseDPDF=Y")</f>
        <v>#NAME?</v>
      </c>
      <c r="CN249" s="2" t="e">
        <f ca="1">_xll.BDH($C$228,"NET_DEBT_TO_SHRHLDR_EQTY","FQ1 2018","FQ1 2018","Currency=INR","Period=FQ","BEST_FPERIOD_OVERRIDE=FQ","FILING_STATUS=OR","EQY_CONSOLIDATED=Y","Sort=A","Dates=H","DateFormat=P","Fill=—","Direction=H","UseDPDF=Y")</f>
        <v>#NAME?</v>
      </c>
      <c r="CO249" s="2" t="e">
        <f ca="1">_xll.BDH($C$228,"NET_DEBT_%_CAPITAL","FQ1 2018","FQ1 2018","Currency=INR","Period=FQ","BEST_FPERIOD_OVERRIDE=FQ","FILING_STATUS=OR","EQY_CONSOLIDATED=Y","Sort=A","Dates=H","DateFormat=P","Fill=—","Direction=H","UseDPDF=Y")</f>
        <v>#NAME?</v>
      </c>
      <c r="CP249" s="3" t="e">
        <f ca="1">_xll.BDH($C$228,"EBITDA","FQ1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49" s="3" t="e">
        <f ca="1">_xll.BDH($C$228,"EBITDA_AFTER_CAPEX","FQ1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49" s="3" t="e">
        <f ca="1">_xll.BDH($C$228,"IS_OPER_INC","FQ1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49" s="2" t="e">
        <f ca="1">_xll.BDH($C$228,"CASH_RATIO","FQ1 2018","FQ1 2018","Currency=INR","Period=FQ","BEST_FPERIOD_OVERRIDE=FQ","FILING_STATUS=OR","EQY_CONSOLIDATED=Y","Sort=A","Dates=H","DateFormat=P","Fill=—","Direction=H","UseDPDF=Y")</f>
        <v>#NAME?</v>
      </c>
      <c r="CT249" s="2" t="e">
        <f ca="1">_xll.BDH($C$228,"CUR_RATIO","FQ1 2018","FQ1 2018","Currency=INR","Period=FQ","BEST_FPERIOD_OVERRIDE=FQ","FILING_STATUS=OR","EQY_CONSOLIDATED=Y","Sort=A","Dates=H","DateFormat=P","Fill=—","Direction=H","UseDPDF=Y")</f>
        <v>#NAME?</v>
      </c>
      <c r="CU249" s="2" t="e">
        <f ca="1">_xll.BDH($C$228,"QUICK_RATIO","FQ1 2018","FQ1 2018","Currency=INR","Period=FQ","BEST_FPERIOD_OVERRIDE=FQ","FILING_STATUS=OR","EQY_CONSOLIDATED=Y","Sort=A","Dates=H","DateFormat=P","Fill=—","Direction=H","UseDPDF=Y")</f>
        <v>#NAME?</v>
      </c>
      <c r="CV249" s="2" t="e">
        <f ca="1">_xll.BDH($C$228,"ALTMAN_Z_SCORE","FQ1 2018","FQ1 2018","Currency=INR","Period=FQ","BEST_FPERIOD_OVERRIDE=FQ","FILING_STATUS=OR","EQY_CONSOLIDATED=Y","Sort=A","Dates=H","DateFormat=P","Fill=—","Direction=H","UseDPDF=Y")</f>
        <v>#NAME?</v>
      </c>
      <c r="CW249" s="4" t="e">
        <f ca="1">_xll.BDH($C$228,"ACCT_RCV_TURN","FQ1 2018","FQ1 2018","Currency=INR","Period=FQ","BEST_FPERIOD_OVERRIDE=FQ","FILING_STATUS=OR","EQY_CONSOLIDATED=Y","FA_ADJUSTED=GAAP","Sort=A","Dates=H","DateFormat=P","Fill=—","Direction=H","UseDPDF=Y")</f>
        <v>#NAME?</v>
      </c>
      <c r="CX249" s="2" t="e">
        <f ca="1">_xll.BDH($C$228,"ACCT_RCV_DAYS","FQ1 2018","FQ1 2018","Currency=INR","Period=FQ","BEST_FPERIOD_OVERRIDE=FQ","FILING_STATUS=OR","EQY_CONSOLIDATED=Y","FA_ADJUSTED=GAAP","Sort=A","Dates=H","DateFormat=P","Fill=—","Direction=H","UseDPDF=Y")</f>
        <v>#NAME?</v>
      </c>
      <c r="CY249" s="4" t="e">
        <f ca="1">_xll.BDH($C$228,"INVENT_TURN","FQ1 2018","FQ1 2018","Currency=INR","Period=FQ","BEST_FPERIOD_OVERRIDE=FQ","FILING_STATUS=OR","EQY_CONSOLIDATED=Y","FA_ADJUSTED=GAAP","Sort=A","Dates=H","DateFormat=P","Fill=—","Direction=H","UseDPDF=Y")</f>
        <v>#NAME?</v>
      </c>
      <c r="CZ249" s="2" t="e">
        <f ca="1">_xll.BDH($C$228,"INVENT_DAYS","FQ1 2018","FQ1 2018","Currency=INR","Period=FQ","BEST_FPERIOD_OVERRIDE=FQ","FILING_STATUS=OR","EQY_CONSOLIDATED=Y","FA_ADJUSTED=GAAP","Sort=A","Dates=H","DateFormat=P","Fill=—","Direction=H","UseDPDF=Y")</f>
        <v>#NAME?</v>
      </c>
      <c r="DA249" s="4" t="e">
        <f ca="1">_xll.BDH($C$228,"ACCOUNTS_PAYABLE_TURNOVER","FQ1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49" s="2" t="e">
        <f ca="1">_xll.BDH($C$228,"ACCOUNTS_PAYABLE_TURNOVER_DAYS","FQ1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49" s="4" t="e">
        <f ca="1">_xll.BDH($C$228,"CASH_CONVERSION_CYCLE","FQ1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49" s="4" t="e">
        <f ca="1">_xll.BDH($C$228,"INV_TO_CASH_DAYS","FQ1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49" s="5" t="e">
        <f ca="1">_xll.BDH($C$228,"BS_INVENTORIES","FQ1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49" s="3" t="e">
        <f ca="1">_xll.BDH($C$228,"INVTRY_RAW_MATERIALS","FQ1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49" s="3" t="e">
        <f ca="1">_xll.BDH($C$228,"INVTRY_IN_PROGRESS","FQ1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49" s="3" t="e">
        <f ca="1">_xll.BDH($C$228,"INVTRY_FINISHED_GOODS","FQ1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49" s="3" t="e">
        <f ca="1">_xll.BDH($C$228,"BS_OTHER_INV","FQ1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50" spans="1:113" x14ac:dyDescent="0.3">
      <c r="A250" s="6"/>
      <c r="B250" s="6"/>
      <c r="C250" s="6"/>
      <c r="D250" s="6"/>
      <c r="E250" t="s">
        <v>79</v>
      </c>
      <c r="F250" t="e">
        <f ca="1">_xll.BDH($C$228,"RETURN_COM_EQY","FQ2 2018","FQ2 2018","Currency=INR","Period=FQ","BEST_FPERIOD_OVERRIDE=FQ","FILING_STATUS=OR","EQY_CONSOLIDATED=Y","FA_ADJUSTED=GAAP","Sort=A","Dates=H","DateFormat=P","Fill=—","Direction=H","UseDPDF=Y")</f>
        <v>#NAME?</v>
      </c>
      <c r="G250" t="e">
        <f ca="1">_xll.BDH($C$228,"RETURN_ON_ASSET","FQ2 2018","FQ2 2018","Currency=INR","Period=FQ","BEST_FPERIOD_OVERRIDE=FQ","FILING_STATUS=OR","EQY_CONSOLIDATED=Y","FA_ADJUSTED=GAAP","Sort=A","Dates=H","DateFormat=P","Fill=—","Direction=H","UseDPDF=Y")</f>
        <v>#NAME?</v>
      </c>
      <c r="H250" t="e">
        <f ca="1">_xll.BDH($C$228,"RETURN_ON_CAP","FQ2 2018","FQ2 2018","Currency=INR","Period=FQ","BEST_FPERIOD_OVERRIDE=FQ","FILING_STATUS=OR","EQY_CONSOLIDATED=Y","FA_ADJUSTED=GAAP","Sort=A","Dates=H","DateFormat=P","Fill=—","Direction=H","UseDPDF=Y")</f>
        <v>#NAME?</v>
      </c>
      <c r="I250" t="e">
        <f ca="1">_xll.BDH($C$228,"RETURN_ON_INV_CAPITAL","FQ2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50" t="e">
        <f ca="1">_xll.BDH($C$228,"EBITDA_TO_REVENUE","FQ2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250" t="e">
        <f ca="1">_xll.BDH($C$228,"OPER_MARGIN","FQ2 2018","FQ2 2018","Currency=INR","Period=FQ","BEST_FPERIOD_OVERRIDE=FQ","FILING_STATUS=OR","EQY_CONSOLIDATED=Y","FA_ADJUSTED=GAAP","Sort=A","Dates=H","DateFormat=P","Fill=—","Direction=H","UseDPDF=Y")</f>
        <v>#NAME?</v>
      </c>
      <c r="L250" t="e">
        <f ca="1">_xll.BDH($C$228,"INCREMENTAL_OPERATING_MARGIN","FQ2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50" t="e">
        <f ca="1">_xll.BDH($C$228,"PRETAX_INC_TO_NET_SALES","FQ2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50" t="e">
        <f ca="1">_xll.BDH($C$228,"INC_BEF_XO_ITEMS_TO_NET_SALES","FQ2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50" t="e">
        <f ca="1">_xll.BDH($C$228,"PROF_MARGIN","FQ2 2018","FQ2 2018","Currency=INR","Period=FQ","BEST_FPERIOD_OVERRIDE=FQ","FILING_STATUS=OR","EQY_CONSOLIDATED=Y","FA_ADJUSTED=GAAP","Sort=A","Dates=H","DateFormat=P","Fill=—","Direction=H","UseDPDF=Y")</f>
        <v>#NAME?</v>
      </c>
      <c r="P250" t="e">
        <f ca="1">_xll.BDH($C$228,"NET_INCOME_TO_COMMON_MARGIN","FQ2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50" t="e">
        <f ca="1">_xll.BDH($C$228,"EFF_TAX_RATE","FQ2 2018","FQ2 2018","Currency=INR","Period=FQ","BEST_FPERIOD_OVERRIDE=FQ","FILING_STATUS=OR","EQY_CONSOLIDATED=Y","FA_ADJUSTED=GAAP","Sort=A","Dates=H","DateFormat=P","Fill=—","Direction=H","UseDPDF=Y")</f>
        <v>#NAME?</v>
      </c>
      <c r="R250" t="e">
        <f ca="1">_xll.BDH($C$228,"DVD_PAYOUT_RATIO","FQ2 2018","FQ2 2018","Currency=INR","Period=FQ","BEST_FPERIOD_OVERRIDE=FQ","FILING_STATUS=OR","EQY_CONSOLIDATED=Y","FA_ADJUSTED=GAAP","Sort=A","Dates=H","DateFormat=P","Fill=—","Direction=H","UseDPDF=Y")</f>
        <v>#NAME?</v>
      </c>
      <c r="S250" t="e">
        <f ca="1">_xll.BDH($C$228,"SUSTAIN_GROWTH_RT","FQ2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250" s="2" t="e">
        <f ca="1">_xll.BDH($C$228,"SALES_GROWTH","FQ2 2018","FQ2 2018","Currency=INR","Period=FQ","BEST_FPERIOD_OVERRIDE=FQ","FILING_STATUS=OR","EQY_CONSOLIDATED=Y","FA_ADJUSTED=GAAP","Sort=A","Dates=H","DateFormat=P","Fill=—","Direction=H","UseDPDF=Y")</f>
        <v>#NAME?</v>
      </c>
      <c r="U250" s="2" t="e">
        <f ca="1">_xll.BDH($C$228,"EBITDA_GROWTH","FQ2 2018","FQ2 2018","Currency=INR","Period=FQ","BEST_FPERIOD_OVERRIDE=FQ","FILING_STATUS=OR","EQY_CONSOLIDATED=Y","FA_ADJUSTED=GAAP","Sort=A","Dates=H","DateFormat=P","Fill=—","Direction=H","UseDPDF=Y")</f>
        <v>#NAME?</v>
      </c>
      <c r="V250" s="2" t="e">
        <f ca="1">_xll.BDH($C$228,"OPER_INC_GROWTH","FQ2 2018","FQ2 2018","Currency=INR","Period=FQ","BEST_FPERIOD_OVERRIDE=FQ","FILING_STATUS=OR","EQY_CONSOLIDATED=Y","FA_ADJUSTED=GAAP","Sort=A","Dates=H","DateFormat=P","Fill=—","Direction=H","UseDPDF=Y")</f>
        <v>#NAME?</v>
      </c>
      <c r="W250" s="2" t="e">
        <f ca="1">_xll.BDH($C$228,"EARN_FOR_COM_GROWTH","FQ2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50" s="2" t="e">
        <f ca="1">_xll.BDH($C$228,"DILUTED_EPS_AFT_XO_ITEMS_GROWTH","FQ2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50" s="2" t="e">
        <f ca="1">_xll.BDH($C$228,"DIVIDEND_PER_SHARE_1_YEAR_GROWTH","FQ2 2018","FQ2 2018","Currency=INR","Period=FQ","BEST_FPERIOD_OVERRIDE=FQ","FILING_STATUS=OR","EQY_CONSOLIDATED=Y","Sort=A","Dates=H","DateFormat=P","Fill=—","Direction=H","UseDPDF=Y")</f>
        <v>#NAME?</v>
      </c>
      <c r="Z250" s="2" t="e">
        <f ca="1">_xll.BDH($C$228,"ACCOUNTS_RECEIVABLE_GROWTH","FQ2 2018","FQ2 2018","Currency=INR","Period=FQ","BEST_FPERIOD_OVERRIDE=FQ","FILING_STATUS=OR","EQY_CONSOLIDATED=Y","Sort=A","Dates=H","DateFormat=P","Fill=—","Direction=H","UseDPDF=Y")</f>
        <v>#NAME?</v>
      </c>
      <c r="AA250" s="2" t="e">
        <f ca="1">_xll.BDH($C$228,"INVENTORY_GROWTH","FQ2 2018","FQ2 2018","Currency=INR","Period=FQ","BEST_FPERIOD_OVERRIDE=FQ","FILING_STATUS=OR","EQY_CONSOLIDATED=Y","Sort=A","Dates=H","DateFormat=P","Fill=—","Direction=H","UseDPDF=Y")</f>
        <v>#NAME?</v>
      </c>
      <c r="AB250" s="2" t="e">
        <f ca="1">_xll.BDH($C$228,"NET_FIXED_ASSETS_1_YEAR_GROWTH","FQ2 2018","FQ2 2018","Currency=INR","Period=FQ","BEST_FPERIOD_OVERRIDE=FQ","FILING_STATUS=OR","EQY_CONSOLIDATED=Y","Sort=A","Dates=H","DateFormat=P","Fill=—","Direction=H","UseDPDF=Y")</f>
        <v>#NAME?</v>
      </c>
      <c r="AC250" s="2" t="e">
        <f ca="1">_xll.BDH($C$228,"ASSET_GROWTH","FQ2 2018","FQ2 2018","Currency=INR","Period=FQ","BEST_FPERIOD_OVERRIDE=FQ","FILING_STATUS=OR","EQY_CONSOLIDATED=Y","Sort=A","Dates=H","DateFormat=P","Fill=—","Direction=H","UseDPDF=Y")</f>
        <v>#NAME?</v>
      </c>
      <c r="AD250" s="2" t="e">
        <f ca="1">_xll.BDH($C$228,"MODIFIED_WORK_CAP_GROWTH","FQ2 2018","FQ2 2018","Currency=INR","Period=FQ","BEST_FPERIOD_OVERRIDE=FQ","FILING_STATUS=OR","EQY_CONSOLIDATED=Y","Sort=A","Dates=H","DateFormat=P","Fill=—","Direction=H","UseDPDF=Y")</f>
        <v>#NAME?</v>
      </c>
      <c r="AE250" s="2" t="e">
        <f ca="1">_xll.BDH($C$228,"WORK_CAP_GROWTH","FQ2 2018","FQ2 2018","Currency=INR","Period=FQ","BEST_FPERIOD_OVERRIDE=FQ","FILING_STATUS=OR","EQY_CONSOLIDATED=Y","Sort=A","Dates=H","DateFormat=P","Fill=—","Direction=H","UseDPDF=Y")</f>
        <v>#NAME?</v>
      </c>
      <c r="AF250" s="2" t="e">
        <f ca="1">_xll.BDH($C$228,"ACCOUNTS_PAYABLE_GROWTH_1YR","FQ2 2018","FQ2 2018","Currency=INR","Period=FQ","BEST_FPERIOD_OVERRIDE=FQ","FILING_STATUS=OR","EQY_CONSOLIDATED=Y","Sort=A","Dates=H","DateFormat=P","Fill=—","Direction=H","UseDPDF=Y")</f>
        <v>#NAME?</v>
      </c>
      <c r="AG250" s="2" t="e">
        <f ca="1">_xll.BDH($C$228,"SHORT_TERM_DEBT_1_YEAR_GROWTH","FQ2 2018","FQ2 2018","Currency=INR","Period=FQ","BEST_FPERIOD_OVERRIDE=FQ","FILING_STATUS=OR","EQY_CONSOLIDATED=Y","Sort=A","Dates=H","DateFormat=P","Fill=—","Direction=H","UseDPDF=Y")</f>
        <v>#NAME?</v>
      </c>
      <c r="AH250" s="2" t="e">
        <f ca="1">_xll.BDH($C$228,"TOTAL_DEBT_1_YEAR_GROWTH","FQ2 2018","FQ2 2018","Currency=INR","Period=FQ","BEST_FPERIOD_OVERRIDE=FQ","FILING_STATUS=OR","EQY_CONSOLIDATED=Y","Sort=A","Dates=H","DateFormat=P","Fill=—","Direction=H","UseDPDF=Y")</f>
        <v>#NAME?</v>
      </c>
      <c r="AI250" s="2" t="e">
        <f ca="1">_xll.BDH($C$228,"TOTAL_EQUITY_1_YEAR_GROWTH","FQ2 2018","FQ2 2018","Currency=INR","Period=FQ","BEST_FPERIOD_OVERRIDE=FQ","FILING_STATUS=OR","EQY_CONSOLIDATED=Y","Sort=A","Dates=H","DateFormat=P","Fill=—","Direction=H","UseDPDF=Y")</f>
        <v>#NAME?</v>
      </c>
      <c r="AJ250" s="2" t="e">
        <f ca="1">_xll.BDH($C$228,"GROWTH_IN_CAP","FQ2 2018","FQ2 2018","Currency=INR","Period=FQ","BEST_FPERIOD_OVERRIDE=FQ","FILING_STATUS=OR","EQY_CONSOLIDATED=Y","Sort=A","Dates=H","DateFormat=P","Fill=—","Direction=H","UseDPDF=Y")</f>
        <v>#NAME?</v>
      </c>
      <c r="AK250" s="2" t="e">
        <f ca="1">_xll.BDH($C$228,"BVPS_GROWTH","FQ2 2018","FQ2 2018","Currency=INR","Period=FQ","BEST_FPERIOD_OVERRIDE=FQ","FILING_STATUS=OR","EQY_CONSOLIDATED=Y","Sort=A","Dates=H","DateFormat=P","Fill=—","Direction=H","UseDPDF=Y")</f>
        <v>#NAME?</v>
      </c>
      <c r="AL250" s="2" t="e">
        <f ca="1">_xll.BDH($C$228,"CASH_FLOW_GROWTH","FQ2 2018","FQ2 2018","Currency=INR","Period=FQ","BEST_FPERIOD_OVERRIDE=FQ","FILING_STATUS=OR","EQY_CONSOLIDATED=Y","Sort=A","Dates=H","DateFormat=P","Fill=—","Direction=H","UseDPDF=Y")</f>
        <v>#NAME?</v>
      </c>
      <c r="AM250" s="2" t="e">
        <f ca="1">_xll.BDH($C$228,"GEO_GROW_NET_SALES","FQ2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50" s="2" t="e">
        <f ca="1">_xll.BDH($C$228,"GEO_GROW_EBITDA","FQ2 2018","FQ2 2018","Currency=INR","Period=FQ","BEST_FPERIOD_OVERRIDE=FQ","FILING_STATUS=OR","EQY_CONSOLIDATED=Y","FA_ADJUSTED=GAAP","Sort=A","Dates=H","DateFormat=P","Fill=—","Direction=H","UseDPDF=Y")</f>
        <v>#NAME?</v>
      </c>
      <c r="AO250" s="2" t="e">
        <f ca="1">_xll.BDH($C$228,"GEO_GROW_OPER_INC","FQ2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50" s="2" t="e">
        <f ca="1">_xll.BDH($C$228,"NET_INCOME_TO_COMMON_5_YR_GROWTH","FQ2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50" s="2" t="e">
        <f ca="1">_xll.BDH($C$228,"5Y_GEO_GROWTH_DILUTED_EPS","FQ2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50" s="2" t="e">
        <f ca="1">_xll.BDH($C$228,"GEO_GROW_DVD_PER_SH","FQ2 2018","FQ2 2018","Currency=INR","Period=FQ","BEST_FPERIOD_OVERRIDE=FQ","FILING_STATUS=OR","EQY_CONSOLIDATED=Y","Sort=A","Dates=H","DateFormat=P","Fill=—","Direction=H","UseDPDF=Y")</f>
        <v>#NAME?</v>
      </c>
      <c r="AS250" s="2" t="e">
        <f ca="1">_xll.BDH($C$228,"ACCOUNTS_RECEIVABLE_5_YR_GROWTH","FQ2 2018","FQ2 2018","Currency=INR","Period=FQ","BEST_FPERIOD_OVERRIDE=FQ","FILING_STATUS=OR","EQY_CONSOLIDATED=Y","Sort=A","Dates=H","DateFormat=P","Fill=—","Direction=H","UseDPDF=Y")</f>
        <v>#NAME?</v>
      </c>
      <c r="AT250" s="2" t="e">
        <f ca="1">_xll.BDH($C$228,"INVENTORY_5_YEAR_GROWTH","FQ2 2018","FQ2 2018","Currency=INR","Period=FQ","BEST_FPERIOD_OVERRIDE=FQ","FILING_STATUS=OR","EQY_CONSOLIDATED=Y","Sort=A","Dates=H","DateFormat=P","Fill=—","Direction=H","UseDPDF=Y")</f>
        <v>#NAME?</v>
      </c>
      <c r="AU250" s="2" t="e">
        <f ca="1">_xll.BDH($C$228,"NET_FIXED_ASSETS_5_YEAR_GROWTH","FQ2 2018","FQ2 2018","Currency=INR","Period=FQ","BEST_FPERIOD_OVERRIDE=FQ","FILING_STATUS=OR","EQY_CONSOLIDATED=Y","Sort=A","Dates=H","DateFormat=P","Fill=—","Direction=H","UseDPDF=Y")</f>
        <v>#NAME?</v>
      </c>
      <c r="AV250" s="2" t="e">
        <f ca="1">_xll.BDH($C$228,"GEO_GROW_TOT_ASSET","FQ2 2018","FQ2 2018","Currency=INR","Period=FQ","BEST_FPERIOD_OVERRIDE=FQ","FILING_STATUS=OR","EQY_CONSOLIDATED=Y","Sort=A","Dates=H","DateFormat=P","Fill=—","Direction=H","UseDPDF=Y")</f>
        <v>#NAME?</v>
      </c>
      <c r="AW250" s="2" t="e">
        <f ca="1">_xll.BDH($C$228,"MODIFIED_WORKING_CPTL_5YR_GRWTH","FQ2 2018","FQ2 2018","Currency=INR","Period=FQ","BEST_FPERIOD_OVERRIDE=FQ","FILING_STATUS=OR","EQY_CONSOLIDATED=Y","Sort=A","Dates=H","DateFormat=P","Fill=—","Direction=H","UseDPDF=Y")</f>
        <v>#NAME?</v>
      </c>
      <c r="AX250" s="2" t="e">
        <f ca="1">_xll.BDH($C$228,"WORKING_CAPITAL_5_YEAR_GROWTH","FQ2 2018","FQ2 2018","Currency=INR","Period=FQ","BEST_FPERIOD_OVERRIDE=FQ","FILING_STATUS=OR","EQY_CONSOLIDATED=Y","Sort=A","Dates=H","DateFormat=P","Fill=—","Direction=H","UseDPDF=Y")</f>
        <v>#NAME?</v>
      </c>
      <c r="AY250" s="2" t="e">
        <f ca="1">_xll.BDH($C$228,"ACCOUNTS_PAYABLE_5_YEAR_GROWTH","FQ2 2018","FQ2 2018","Currency=INR","Period=FQ","BEST_FPERIOD_OVERRIDE=FQ","FILING_STATUS=OR","EQY_CONSOLIDATED=Y","Sort=A","Dates=H","DateFormat=P","Fill=—","Direction=H","UseDPDF=Y")</f>
        <v>#NAME?</v>
      </c>
      <c r="AZ250" s="2" t="e">
        <f ca="1">_xll.BDH($C$228,"SHORT_TERM_DEBT_5_YEAR_GROWTH","FQ2 2018","FQ2 2018","Currency=INR","Period=FQ","BEST_FPERIOD_OVERRIDE=FQ","FILING_STATUS=OR","EQY_CONSOLIDATED=Y","Sort=A","Dates=H","DateFormat=P","Fill=—","Direction=H","UseDPDF=Y")</f>
        <v>#NAME?</v>
      </c>
      <c r="BA250" s="2" t="e">
        <f ca="1">_xll.BDH($C$228,"TOTAL_DEBT_5_YEAR_GROWTH","FQ2 2018","FQ2 2018","Currency=INR","Period=FQ","BEST_FPERIOD_OVERRIDE=FQ","FILING_STATUS=OR","EQY_CONSOLIDATED=Y","Sort=A","Dates=H","DateFormat=P","Fill=—","Direction=H","UseDPDF=Y")</f>
        <v>#NAME?</v>
      </c>
      <c r="BB250" s="2" t="e">
        <f ca="1">_xll.BDH($C$228,"GEO_GROW_TOT_SHRHLDR_EQY","FQ2 2018","FQ2 2018","Currency=INR","Period=FQ","BEST_FPERIOD_OVERRIDE=FQ","FILING_STATUS=OR","EQY_CONSOLIDATED=Y","Sort=A","Dates=H","DateFormat=P","Fill=—","Direction=H","UseDPDF=Y")</f>
        <v>#NAME?</v>
      </c>
      <c r="BC250" s="2" t="e">
        <f ca="1">_xll.BDH($C$228,"TOTAL_CAPITAL_5_YEAR_GROWTH","FQ2 2018","FQ2 2018","Currency=INR","Period=FQ","BEST_FPERIOD_OVERRIDE=FQ","FILING_STATUS=OR","EQY_CONSOLIDATED=Y","Sort=A","Dates=H","DateFormat=P","Fill=—","Direction=H","UseDPDF=Y")</f>
        <v>#NAME?</v>
      </c>
      <c r="BD250" s="2" t="e">
        <f ca="1">_xll.BDH($C$228,"GEO_GROW_BOOK_VAL","FQ2 2018","FQ2 2018","Currency=INR","Period=FQ","BEST_FPERIOD_OVERRIDE=FQ","FILING_STATUS=OR","EQY_CONSOLIDATED=Y","Sort=A","Dates=H","DateFormat=P","Fill=—","Direction=H","UseDPDF=Y")</f>
        <v>#NAME?</v>
      </c>
      <c r="BE250" s="2" t="e">
        <f ca="1">_xll.BDH($C$228,"GEO_GROW_CASH_OPER_ACT","FQ2 2018","FQ2 2018","Currency=INR","Period=FQ","BEST_FPERIOD_OVERRIDE=FQ","FILING_STATUS=OR","EQY_CONSOLIDATED=Y","Sort=A","Dates=H","DateFormat=P","Fill=—","Direction=H","UseDPDF=Y")</f>
        <v>#NAME?</v>
      </c>
      <c r="BF250" s="2" t="e">
        <f ca="1">_xll.BDH($C$228,"REVENUE_SEQUENTIAL_GROWTH","FQ2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50" s="2" t="e">
        <f ca="1">_xll.BDH($C$228,"EBITDA_SEQUENTIAL_GROWTH","FQ2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50" s="2" t="e">
        <f ca="1">_xll.BDH($C$228,"OPERATING_INCOME_SEQ_GROWTH","FQ2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50" s="2" t="e">
        <f ca="1">_xll.BDH($C$228,"NET_INCOME_TO_COMMON_SEQ_GROWTH","FQ2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50" s="2" t="e">
        <f ca="1">_xll.BDH($C$228,"EPS_DILUTED_SEQUENTIAL_GROWTH","FQ2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50" s="2" t="e">
        <f ca="1">_xll.BDH($C$228,"DPS_SEQUENTIAL_GROWTH","FQ2 2018","FQ2 2018","Currency=INR","Period=FQ","BEST_FPERIOD_OVERRIDE=FQ","FILING_STATUS=OR","EQY_CONSOLIDATED=Y","Sort=A","Dates=H","DateFormat=P","Fill=—","Direction=H","UseDPDF=Y")</f>
        <v>#NAME?</v>
      </c>
      <c r="BL250" s="2" t="e">
        <f ca="1">_xll.BDH($C$228,"ACCOUNTS_RECEIVABLE_SEQ_GROWTH","FQ2 2018","FQ2 2018","Currency=INR","Period=FQ","BEST_FPERIOD_OVERRIDE=FQ","FILING_STATUS=OR","EQY_CONSOLIDATED=Y","Sort=A","Dates=H","DateFormat=P","Fill=—","Direction=H","UseDPDF=Y")</f>
        <v>#NAME?</v>
      </c>
      <c r="BM250" s="2" t="e">
        <f ca="1">_xll.BDH($C$228,"INVENTORY_SEQUENTIAL_GROWTH","FQ2 2018","FQ2 2018","Currency=INR","Period=FQ","BEST_FPERIOD_OVERRIDE=FQ","FILING_STATUS=OR","EQY_CONSOLIDATED=Y","Sort=A","Dates=H","DateFormat=P","Fill=—","Direction=H","UseDPDF=Y")</f>
        <v>#NAME?</v>
      </c>
      <c r="BN250" s="2" t="e">
        <f ca="1">_xll.BDH($C$228,"FIXED_ASSETS_SEQUENTIAL_GROWTH","FQ2 2018","FQ2 2018","Currency=INR","Period=FQ","BEST_FPERIOD_OVERRIDE=FQ","FILING_STATUS=OR","EQY_CONSOLIDATED=Y","Sort=A","Dates=H","DateFormat=P","Fill=—","Direction=H","UseDPDF=Y")</f>
        <v>#NAME?</v>
      </c>
      <c r="BO250" s="2" t="e">
        <f ca="1">_xll.BDH($C$228,"TOTAL_ASSETS_SEQUENTIAL_GROWTH","FQ2 2018","FQ2 2018","Currency=INR","Period=FQ","BEST_FPERIOD_OVERRIDE=FQ","FILING_STATUS=OR","EQY_CONSOLIDATED=Y","Sort=A","Dates=H","DateFormat=P","Fill=—","Direction=H","UseDPDF=Y")</f>
        <v>#NAME?</v>
      </c>
      <c r="BP250" s="2" t="e">
        <f ca="1">_xll.BDH($C$228,"MODIFIED_WORKING_CPTL_SEQ_GRWTH","FQ2 2018","FQ2 2018","Currency=INR","Period=FQ","BEST_FPERIOD_OVERRIDE=FQ","FILING_STATUS=OR","EQY_CONSOLIDATED=Y","Sort=A","Dates=H","DateFormat=P","Fill=—","Direction=H","UseDPDF=Y")</f>
        <v>#NAME?</v>
      </c>
      <c r="BQ250" s="2" t="e">
        <f ca="1">_xll.BDH($C$228,"WORKING_CAPITAL_SEQ_GROWTH","FQ2 2018","FQ2 2018","Currency=INR","Period=FQ","BEST_FPERIOD_OVERRIDE=FQ","FILING_STATUS=OR","EQY_CONSOLIDATED=Y","Sort=A","Dates=H","DateFormat=P","Fill=—","Direction=H","UseDPDF=Y")</f>
        <v>#NAME?</v>
      </c>
      <c r="BR250" s="2" t="e">
        <f ca="1">_xll.BDH($C$228,"ACCOUNTS_PAYABLE_SEQ_GROWTH","FQ2 2018","FQ2 2018","Currency=INR","Period=FQ","BEST_FPERIOD_OVERRIDE=FQ","FILING_STATUS=OR","EQY_CONSOLIDATED=Y","Sort=A","Dates=H","DateFormat=P","Fill=—","Direction=H","UseDPDF=Y")</f>
        <v>#NAME?</v>
      </c>
      <c r="BS250" s="2" t="e">
        <f ca="1">_xll.BDH($C$228,"ST_DEBT_SEQUENTIAL_GROWTH","FQ2 2018","FQ2 2018","Currency=INR","Period=FQ","BEST_FPERIOD_OVERRIDE=FQ","FILING_STATUS=OR","EQY_CONSOLIDATED=Y","Sort=A","Dates=H","DateFormat=P","Fill=—","Direction=H","UseDPDF=Y")</f>
        <v>#NAME?</v>
      </c>
      <c r="BT250" s="2" t="e">
        <f ca="1">_xll.BDH($C$228,"TOTAL_DEBT_SEQUENTIAL_GROWTH","FQ2 2018","FQ2 2018","Currency=INR","Period=FQ","BEST_FPERIOD_OVERRIDE=FQ","FILING_STATUS=OR","EQY_CONSOLIDATED=Y","Sort=A","Dates=H","DateFormat=P","Fill=—","Direction=H","UseDPDF=Y")</f>
        <v>#NAME?</v>
      </c>
      <c r="BU250" s="2" t="e">
        <f ca="1">_xll.BDH($C$228,"TOTAL_EQUITY_SEQUENTIAL_GROWTH","FQ2 2018","FQ2 2018","Currency=INR","Period=FQ","BEST_FPERIOD_OVERRIDE=FQ","FILING_STATUS=OR","EQY_CONSOLIDATED=Y","Sort=A","Dates=H","DateFormat=P","Fill=—","Direction=H","UseDPDF=Y")</f>
        <v>#NAME?</v>
      </c>
      <c r="BV250" s="2" t="e">
        <f ca="1">_xll.BDH($C$228,"TOTAL_CAPITAL_SEQUENTIAL_GROWTH","FQ2 2018","FQ2 2018","Currency=INR","Period=FQ","BEST_FPERIOD_OVERRIDE=FQ","FILING_STATUS=OR","EQY_CONSOLIDATED=Y","Sort=A","Dates=H","DateFormat=P","Fill=—","Direction=H","UseDPDF=Y")</f>
        <v>#NAME?</v>
      </c>
      <c r="BW250" s="2" t="e">
        <f ca="1">_xll.BDH($C$228,"BPS_SEQUENTIAL_GROWTH","FQ2 2018","FQ2 2018","Currency=INR","Period=FQ","BEST_FPERIOD_OVERRIDE=FQ","FILING_STATUS=OR","EQY_CONSOLIDATED=Y","Sort=A","Dates=H","DateFormat=P","Fill=—","Direction=H","UseDPDF=Y")</f>
        <v>#NAME?</v>
      </c>
      <c r="BX250" s="2" t="e">
        <f ca="1">_xll.BDH($C$228,"CFO_SEQUENTIAL_GROWTH","FQ2 2018","FQ2 2018","Currency=INR","Period=FQ","BEST_FPERIOD_OVERRIDE=FQ","FILING_STATUS=OR","EQY_CONSOLIDATED=Y","Sort=A","Dates=H","DateFormat=P","Fill=—","Direction=H","UseDPDF=Y")</f>
        <v>#NAME?</v>
      </c>
      <c r="BY250" s="3" t="e">
        <f ca="1">_xll.BDH($C$228,"SHORT_AND_LONG_TERM_DEBT","FQ2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50" s="3" t="e">
        <f ca="1">_xll.BDH($C$228,"BS_ST_BORROW","FQ2 2018","FQ2 2018","Currency=INR","Period=FQ","BEST_FPERIOD_OVERRIDE=FQ","FILING_STATUS=OR","EQY_CONSOLIDATED=Y","SCALING_FORMAT=MLN","Sort=A","Dates=H","DateFormat=P","Fill=—","Direction=H","UseDPDF=Y")</f>
        <v>#NAME?</v>
      </c>
      <c r="CA250" s="3" t="e">
        <f ca="1">_xll.BDH($C$228,"BS_LT_BORROW","FQ2 2018","FQ2 2018","Currency=INR","Period=FQ","BEST_FPERIOD_OVERRIDE=FQ","FILING_STATUS=OR","EQY_CONSOLIDATED=Y","SCALING_FORMAT=MLN","Sort=A","Dates=H","DateFormat=P","Fill=—","Direction=H","UseDPDF=Y")</f>
        <v>#NAME?</v>
      </c>
      <c r="CB250" s="2" t="e">
        <f ca="1">_xll.BDH($C$228,"TOT_DEBT_TO_EBITDA","FQ2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50" s="2" t="e">
        <f ca="1">_xll.BDH($C$228,"NET_DEBT_TO_EBITDA","FQ2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50" s="2" t="e">
        <f ca="1">_xll.BDH($C$228,"TOTAL_DEBT_TO_EBIT","FQ2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50" s="2" t="e">
        <f ca="1">_xll.BDH($C$228,"NET_DEBT_TO_EBIT","FQ2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250" s="2" t="e">
        <f ca="1">_xll.BDH($C$228,"EBITDA_TO_INTEREST_EXPN","FQ2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50" s="2" t="e">
        <f ca="1">_xll.BDH($C$228,"COM_EQY_TO_TOT_ASSET","FQ2 2018","FQ2 2018","Currency=INR","Period=FQ","BEST_FPERIOD_OVERRIDE=FQ","FILING_STATUS=OR","EQY_CONSOLIDATED=Y","Sort=A","Dates=H","DateFormat=P","Fill=—","Direction=H","UseDPDF=Y")</f>
        <v>#NAME?</v>
      </c>
      <c r="CH250" s="2" t="e">
        <f ca="1">_xll.BDH($C$228,"LT_DEBT_TO_TOT_EQY","FQ2 2018","FQ2 2018","Currency=INR","Period=FQ","BEST_FPERIOD_OVERRIDE=FQ","FILING_STATUS=OR","EQY_CONSOLIDATED=Y","Sort=A","Dates=H","DateFormat=P","Fill=—","Direction=H","UseDPDF=Y")</f>
        <v>#NAME?</v>
      </c>
      <c r="CI250" s="2" t="e">
        <f ca="1">_xll.BDH($C$228,"LT_DEBT_TO_TOT_CAP","FQ2 2018","FQ2 2018","Currency=INR","Period=FQ","BEST_FPERIOD_OVERRIDE=FQ","FILING_STATUS=OR","EQY_CONSOLIDATED=Y","Sort=A","Dates=H","DateFormat=P","Fill=—","Direction=H","UseDPDF=Y")</f>
        <v>#NAME?</v>
      </c>
      <c r="CJ250" s="2" t="e">
        <f ca="1">_xll.BDH($C$228,"LT_DEBT_TO_TOT_ASSET","FQ2 2018","FQ2 2018","Currency=INR","Period=FQ","BEST_FPERIOD_OVERRIDE=FQ","FILING_STATUS=OR","EQY_CONSOLIDATED=Y","Sort=A","Dates=H","DateFormat=P","Fill=—","Direction=H","UseDPDF=Y")</f>
        <v>#NAME?</v>
      </c>
      <c r="CK250" s="2" t="e">
        <f ca="1">_xll.BDH($C$228,"TOT_DEBT_TO_TOT_EQY","FQ2 2018","FQ2 2018","Currency=INR","Period=FQ","BEST_FPERIOD_OVERRIDE=FQ","FILING_STATUS=OR","EQY_CONSOLIDATED=Y","Sort=A","Dates=H","DateFormat=P","Fill=—","Direction=H","UseDPDF=Y")</f>
        <v>#NAME?</v>
      </c>
      <c r="CL250" s="2" t="e">
        <f ca="1">_xll.BDH($C$228,"TOT_DEBT_TO_TOT_CAP","FQ2 2018","FQ2 2018","Currency=INR","Period=FQ","BEST_FPERIOD_OVERRIDE=FQ","FILING_STATUS=OR","EQY_CONSOLIDATED=Y","Sort=A","Dates=H","DateFormat=P","Fill=—","Direction=H","UseDPDF=Y")</f>
        <v>#NAME?</v>
      </c>
      <c r="CM250" s="2" t="e">
        <f ca="1">_xll.BDH($C$228,"TOT_DEBT_TO_TOT_ASSET","FQ2 2018","FQ2 2018","Currency=INR","Period=FQ","BEST_FPERIOD_OVERRIDE=FQ","FILING_STATUS=OR","EQY_CONSOLIDATED=Y","Sort=A","Dates=H","DateFormat=P","Fill=—","Direction=H","UseDPDF=Y")</f>
        <v>#NAME?</v>
      </c>
      <c r="CN250" s="2" t="e">
        <f ca="1">_xll.BDH($C$228,"NET_DEBT_TO_SHRHLDR_EQTY","FQ2 2018","FQ2 2018","Currency=INR","Period=FQ","BEST_FPERIOD_OVERRIDE=FQ","FILING_STATUS=OR","EQY_CONSOLIDATED=Y","Sort=A","Dates=H","DateFormat=P","Fill=—","Direction=H","UseDPDF=Y")</f>
        <v>#NAME?</v>
      </c>
      <c r="CO250" s="2" t="e">
        <f ca="1">_xll.BDH($C$228,"NET_DEBT_%_CAPITAL","FQ2 2018","FQ2 2018","Currency=INR","Period=FQ","BEST_FPERIOD_OVERRIDE=FQ","FILING_STATUS=OR","EQY_CONSOLIDATED=Y","Sort=A","Dates=H","DateFormat=P","Fill=—","Direction=H","UseDPDF=Y")</f>
        <v>#NAME?</v>
      </c>
      <c r="CP250" s="3" t="e">
        <f ca="1">_xll.BDH($C$228,"EBITDA","FQ2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50" s="3" t="e">
        <f ca="1">_xll.BDH($C$228,"EBITDA_AFTER_CAPEX","FQ2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50" s="3" t="e">
        <f ca="1">_xll.BDH($C$228,"IS_OPER_INC","FQ2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50" s="2" t="e">
        <f ca="1">_xll.BDH($C$228,"CASH_RATIO","FQ2 2018","FQ2 2018","Currency=INR","Period=FQ","BEST_FPERIOD_OVERRIDE=FQ","FILING_STATUS=OR","EQY_CONSOLIDATED=Y","Sort=A","Dates=H","DateFormat=P","Fill=—","Direction=H","UseDPDF=Y")</f>
        <v>#NAME?</v>
      </c>
      <c r="CT250" s="2" t="e">
        <f ca="1">_xll.BDH($C$228,"CUR_RATIO","FQ2 2018","FQ2 2018","Currency=INR","Period=FQ","BEST_FPERIOD_OVERRIDE=FQ","FILING_STATUS=OR","EQY_CONSOLIDATED=Y","Sort=A","Dates=H","DateFormat=P","Fill=—","Direction=H","UseDPDF=Y")</f>
        <v>#NAME?</v>
      </c>
      <c r="CU250" s="2" t="e">
        <f ca="1">_xll.BDH($C$228,"QUICK_RATIO","FQ2 2018","FQ2 2018","Currency=INR","Period=FQ","BEST_FPERIOD_OVERRIDE=FQ","FILING_STATUS=OR","EQY_CONSOLIDATED=Y","Sort=A","Dates=H","DateFormat=P","Fill=—","Direction=H","UseDPDF=Y")</f>
        <v>#NAME?</v>
      </c>
      <c r="CV250" s="2" t="e">
        <f ca="1">_xll.BDH($C$228,"ALTMAN_Z_SCORE","FQ2 2018","FQ2 2018","Currency=INR","Period=FQ","BEST_FPERIOD_OVERRIDE=FQ","FILING_STATUS=OR","EQY_CONSOLIDATED=Y","Sort=A","Dates=H","DateFormat=P","Fill=—","Direction=H","UseDPDF=Y")</f>
        <v>#NAME?</v>
      </c>
      <c r="CW250" s="4" t="e">
        <f ca="1">_xll.BDH($C$228,"ACCT_RCV_TURN","FQ2 2018","FQ2 2018","Currency=INR","Period=FQ","BEST_FPERIOD_OVERRIDE=FQ","FILING_STATUS=OR","EQY_CONSOLIDATED=Y","FA_ADJUSTED=GAAP","Sort=A","Dates=H","DateFormat=P","Fill=—","Direction=H","UseDPDF=Y")</f>
        <v>#NAME?</v>
      </c>
      <c r="CX250" s="2" t="e">
        <f ca="1">_xll.BDH($C$228,"ACCT_RCV_DAYS","FQ2 2018","FQ2 2018","Currency=INR","Period=FQ","BEST_FPERIOD_OVERRIDE=FQ","FILING_STATUS=OR","EQY_CONSOLIDATED=Y","FA_ADJUSTED=GAAP","Sort=A","Dates=H","DateFormat=P","Fill=—","Direction=H","UseDPDF=Y")</f>
        <v>#NAME?</v>
      </c>
      <c r="CY250" s="4" t="e">
        <f ca="1">_xll.BDH($C$228,"INVENT_TURN","FQ2 2018","FQ2 2018","Currency=INR","Period=FQ","BEST_FPERIOD_OVERRIDE=FQ","FILING_STATUS=OR","EQY_CONSOLIDATED=Y","FA_ADJUSTED=GAAP","Sort=A","Dates=H","DateFormat=P","Fill=—","Direction=H","UseDPDF=Y")</f>
        <v>#NAME?</v>
      </c>
      <c r="CZ250" s="2" t="e">
        <f ca="1">_xll.BDH($C$228,"INVENT_DAYS","FQ2 2018","FQ2 2018","Currency=INR","Period=FQ","BEST_FPERIOD_OVERRIDE=FQ","FILING_STATUS=OR","EQY_CONSOLIDATED=Y","FA_ADJUSTED=GAAP","Sort=A","Dates=H","DateFormat=P","Fill=—","Direction=H","UseDPDF=Y")</f>
        <v>#NAME?</v>
      </c>
      <c r="DA250" s="4" t="e">
        <f ca="1">_xll.BDH($C$228,"ACCOUNTS_PAYABLE_TURNOVER","FQ2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50" s="2" t="e">
        <f ca="1">_xll.BDH($C$228,"ACCOUNTS_PAYABLE_TURNOVER_DAYS","FQ2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50" s="4" t="e">
        <f ca="1">_xll.BDH($C$228,"CASH_CONVERSION_CYCLE","FQ2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50" s="4" t="e">
        <f ca="1">_xll.BDH($C$228,"INV_TO_CASH_DAYS","FQ2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250" s="5" t="e">
        <f ca="1">_xll.BDH($C$228,"BS_INVENTORIES","FQ2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250" s="3" t="e">
        <f ca="1">_xll.BDH($C$228,"INVTRY_RAW_MATERIALS","FQ2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50" s="3" t="e">
        <f ca="1">_xll.BDH($C$228,"INVTRY_IN_PROGRESS","FQ2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50" s="3" t="e">
        <f ca="1">_xll.BDH($C$228,"INVTRY_FINISHED_GOODS","FQ2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50" s="3" t="e">
        <f ca="1">_xll.BDH($C$228,"BS_OTHER_INV","FQ2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51" spans="1:113" x14ac:dyDescent="0.3">
      <c r="A251" s="6"/>
      <c r="B251" s="6"/>
      <c r="C251" s="6"/>
      <c r="D251" s="6"/>
      <c r="E251" t="s">
        <v>80</v>
      </c>
      <c r="F251" t="e">
        <f ca="1">_xll.BDH($C$228,"RETURN_COM_EQY","FQ3 2018","FQ3 2018","Currency=INR","Period=FQ","BEST_FPERIOD_OVERRIDE=FQ","FILING_STATUS=OR","EQY_CONSOLIDATED=Y","FA_ADJUSTED=GAAP","Sort=A","Dates=H","DateFormat=P","Fill=—","Direction=H","UseDPDF=Y")</f>
        <v>#NAME?</v>
      </c>
      <c r="G251" t="e">
        <f ca="1">_xll.BDH($C$228,"RETURN_ON_ASSET","FQ3 2018","FQ3 2018","Currency=INR","Period=FQ","BEST_FPERIOD_OVERRIDE=FQ","FILING_STATUS=OR","EQY_CONSOLIDATED=Y","FA_ADJUSTED=GAAP","Sort=A","Dates=H","DateFormat=P","Fill=—","Direction=H","UseDPDF=Y")</f>
        <v>#NAME?</v>
      </c>
      <c r="H251" t="e">
        <f ca="1">_xll.BDH($C$228,"RETURN_ON_CAP","FQ3 2018","FQ3 2018","Currency=INR","Period=FQ","BEST_FPERIOD_OVERRIDE=FQ","FILING_STATUS=OR","EQY_CONSOLIDATED=Y","FA_ADJUSTED=GAAP","Sort=A","Dates=H","DateFormat=P","Fill=—","Direction=H","UseDPDF=Y")</f>
        <v>#NAME?</v>
      </c>
      <c r="I251" t="e">
        <f ca="1">_xll.BDH($C$228,"RETURN_ON_INV_CAPITAL","FQ3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51" t="e">
        <f ca="1">_xll.BDH($C$228,"EBITDA_TO_REVENUE","FQ3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251" t="e">
        <f ca="1">_xll.BDH($C$228,"OPER_MARGIN","FQ3 2018","FQ3 2018","Currency=INR","Period=FQ","BEST_FPERIOD_OVERRIDE=FQ","FILING_STATUS=OR","EQY_CONSOLIDATED=Y","FA_ADJUSTED=GAAP","Sort=A","Dates=H","DateFormat=P","Fill=—","Direction=H","UseDPDF=Y")</f>
        <v>#NAME?</v>
      </c>
      <c r="L251" t="e">
        <f ca="1">_xll.BDH($C$228,"INCREMENTAL_OPERATING_MARGIN","FQ3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51" t="e">
        <f ca="1">_xll.BDH($C$228,"PRETAX_INC_TO_NET_SALES","FQ3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51" t="e">
        <f ca="1">_xll.BDH($C$228,"INC_BEF_XO_ITEMS_TO_NET_SALES","FQ3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51" t="e">
        <f ca="1">_xll.BDH($C$228,"PROF_MARGIN","FQ3 2018","FQ3 2018","Currency=INR","Period=FQ","BEST_FPERIOD_OVERRIDE=FQ","FILING_STATUS=OR","EQY_CONSOLIDATED=Y","FA_ADJUSTED=GAAP","Sort=A","Dates=H","DateFormat=P","Fill=—","Direction=H","UseDPDF=Y")</f>
        <v>#NAME?</v>
      </c>
      <c r="P251" t="e">
        <f ca="1">_xll.BDH($C$228,"NET_INCOME_TO_COMMON_MARGIN","FQ3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51" t="e">
        <f ca="1">_xll.BDH($C$228,"EFF_TAX_RATE","FQ3 2018","FQ3 2018","Currency=INR","Period=FQ","BEST_FPERIOD_OVERRIDE=FQ","FILING_STATUS=OR","EQY_CONSOLIDATED=Y","FA_ADJUSTED=GAAP","Sort=A","Dates=H","DateFormat=P","Fill=—","Direction=H","UseDPDF=Y")</f>
        <v>#NAME?</v>
      </c>
      <c r="R251" t="e">
        <f ca="1">_xll.BDH($C$228,"DVD_PAYOUT_RATIO","FQ3 2018","FQ3 2018","Currency=INR","Period=FQ","BEST_FPERIOD_OVERRIDE=FQ","FILING_STATUS=OR","EQY_CONSOLIDATED=Y","FA_ADJUSTED=GAAP","Sort=A","Dates=H","DateFormat=P","Fill=—","Direction=H","UseDPDF=Y")</f>
        <v>#NAME?</v>
      </c>
      <c r="S251" t="e">
        <f ca="1">_xll.BDH($C$228,"SUSTAIN_GROWTH_RT","FQ3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251" s="2" t="e">
        <f ca="1">_xll.BDH($C$228,"SALES_GROWTH","FQ3 2018","FQ3 2018","Currency=INR","Period=FQ","BEST_FPERIOD_OVERRIDE=FQ","FILING_STATUS=OR","EQY_CONSOLIDATED=Y","FA_ADJUSTED=GAAP","Sort=A","Dates=H","DateFormat=P","Fill=—","Direction=H","UseDPDF=Y")</f>
        <v>#NAME?</v>
      </c>
      <c r="U251" s="2" t="e">
        <f ca="1">_xll.BDH($C$228,"EBITDA_GROWTH","FQ3 2018","FQ3 2018","Currency=INR","Period=FQ","BEST_FPERIOD_OVERRIDE=FQ","FILING_STATUS=OR","EQY_CONSOLIDATED=Y","FA_ADJUSTED=GAAP","Sort=A","Dates=H","DateFormat=P","Fill=—","Direction=H","UseDPDF=Y")</f>
        <v>#NAME?</v>
      </c>
      <c r="V251" s="2" t="e">
        <f ca="1">_xll.BDH($C$228,"OPER_INC_GROWTH","FQ3 2018","FQ3 2018","Currency=INR","Period=FQ","BEST_FPERIOD_OVERRIDE=FQ","FILING_STATUS=OR","EQY_CONSOLIDATED=Y","FA_ADJUSTED=GAAP","Sort=A","Dates=H","DateFormat=P","Fill=—","Direction=H","UseDPDF=Y")</f>
        <v>#NAME?</v>
      </c>
      <c r="W251" s="2" t="e">
        <f ca="1">_xll.BDH($C$228,"EARN_FOR_COM_GROWTH","FQ3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51" s="2" t="e">
        <f ca="1">_xll.BDH($C$228,"DILUTED_EPS_AFT_XO_ITEMS_GROWTH","FQ3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51" s="2" t="e">
        <f ca="1">_xll.BDH($C$228,"DIVIDEND_PER_SHARE_1_YEAR_GROWTH","FQ3 2018","FQ3 2018","Currency=INR","Period=FQ","BEST_FPERIOD_OVERRIDE=FQ","FILING_STATUS=OR","EQY_CONSOLIDATED=Y","Sort=A","Dates=H","DateFormat=P","Fill=—","Direction=H","UseDPDF=Y")</f>
        <v>#NAME?</v>
      </c>
      <c r="Z251" s="2" t="e">
        <f ca="1">_xll.BDH($C$228,"ACCOUNTS_RECEIVABLE_GROWTH","FQ3 2018","FQ3 2018","Currency=INR","Period=FQ","BEST_FPERIOD_OVERRIDE=FQ","FILING_STATUS=OR","EQY_CONSOLIDATED=Y","Sort=A","Dates=H","DateFormat=P","Fill=—","Direction=H","UseDPDF=Y")</f>
        <v>#NAME?</v>
      </c>
      <c r="AA251" s="2" t="e">
        <f ca="1">_xll.BDH($C$228,"INVENTORY_GROWTH","FQ3 2018","FQ3 2018","Currency=INR","Period=FQ","BEST_FPERIOD_OVERRIDE=FQ","FILING_STATUS=OR","EQY_CONSOLIDATED=Y","Sort=A","Dates=H","DateFormat=P","Fill=—","Direction=H","UseDPDF=Y")</f>
        <v>#NAME?</v>
      </c>
      <c r="AB251" s="2" t="e">
        <f ca="1">_xll.BDH($C$228,"NET_FIXED_ASSETS_1_YEAR_GROWTH","FQ3 2018","FQ3 2018","Currency=INR","Period=FQ","BEST_FPERIOD_OVERRIDE=FQ","FILING_STATUS=OR","EQY_CONSOLIDATED=Y","Sort=A","Dates=H","DateFormat=P","Fill=—","Direction=H","UseDPDF=Y")</f>
        <v>#NAME?</v>
      </c>
      <c r="AC251" s="2" t="e">
        <f ca="1">_xll.BDH($C$228,"ASSET_GROWTH","FQ3 2018","FQ3 2018","Currency=INR","Period=FQ","BEST_FPERIOD_OVERRIDE=FQ","FILING_STATUS=OR","EQY_CONSOLIDATED=Y","Sort=A","Dates=H","DateFormat=P","Fill=—","Direction=H","UseDPDF=Y")</f>
        <v>#NAME?</v>
      </c>
      <c r="AD251" s="2" t="e">
        <f ca="1">_xll.BDH($C$228,"MODIFIED_WORK_CAP_GROWTH","FQ3 2018","FQ3 2018","Currency=INR","Period=FQ","BEST_FPERIOD_OVERRIDE=FQ","FILING_STATUS=OR","EQY_CONSOLIDATED=Y","Sort=A","Dates=H","DateFormat=P","Fill=—","Direction=H","UseDPDF=Y")</f>
        <v>#NAME?</v>
      </c>
      <c r="AE251" s="2" t="e">
        <f ca="1">_xll.BDH($C$228,"WORK_CAP_GROWTH","FQ3 2018","FQ3 2018","Currency=INR","Period=FQ","BEST_FPERIOD_OVERRIDE=FQ","FILING_STATUS=OR","EQY_CONSOLIDATED=Y","Sort=A","Dates=H","DateFormat=P","Fill=—","Direction=H","UseDPDF=Y")</f>
        <v>#NAME?</v>
      </c>
      <c r="AF251" s="2" t="e">
        <f ca="1">_xll.BDH($C$228,"ACCOUNTS_PAYABLE_GROWTH_1YR","FQ3 2018","FQ3 2018","Currency=INR","Period=FQ","BEST_FPERIOD_OVERRIDE=FQ","FILING_STATUS=OR","EQY_CONSOLIDATED=Y","Sort=A","Dates=H","DateFormat=P","Fill=—","Direction=H","UseDPDF=Y")</f>
        <v>#NAME?</v>
      </c>
      <c r="AG251" s="2" t="e">
        <f ca="1">_xll.BDH($C$228,"SHORT_TERM_DEBT_1_YEAR_GROWTH","FQ3 2018","FQ3 2018","Currency=INR","Period=FQ","BEST_FPERIOD_OVERRIDE=FQ","FILING_STATUS=OR","EQY_CONSOLIDATED=Y","Sort=A","Dates=H","DateFormat=P","Fill=—","Direction=H","UseDPDF=Y")</f>
        <v>#NAME?</v>
      </c>
      <c r="AH251" s="2" t="e">
        <f ca="1">_xll.BDH($C$228,"TOTAL_DEBT_1_YEAR_GROWTH","FQ3 2018","FQ3 2018","Currency=INR","Period=FQ","BEST_FPERIOD_OVERRIDE=FQ","FILING_STATUS=OR","EQY_CONSOLIDATED=Y","Sort=A","Dates=H","DateFormat=P","Fill=—","Direction=H","UseDPDF=Y")</f>
        <v>#NAME?</v>
      </c>
      <c r="AI251" s="2" t="e">
        <f ca="1">_xll.BDH($C$228,"TOTAL_EQUITY_1_YEAR_GROWTH","FQ3 2018","FQ3 2018","Currency=INR","Period=FQ","BEST_FPERIOD_OVERRIDE=FQ","FILING_STATUS=OR","EQY_CONSOLIDATED=Y","Sort=A","Dates=H","DateFormat=P","Fill=—","Direction=H","UseDPDF=Y")</f>
        <v>#NAME?</v>
      </c>
      <c r="AJ251" s="2" t="e">
        <f ca="1">_xll.BDH($C$228,"GROWTH_IN_CAP","FQ3 2018","FQ3 2018","Currency=INR","Period=FQ","BEST_FPERIOD_OVERRIDE=FQ","FILING_STATUS=OR","EQY_CONSOLIDATED=Y","Sort=A","Dates=H","DateFormat=P","Fill=—","Direction=H","UseDPDF=Y")</f>
        <v>#NAME?</v>
      </c>
      <c r="AK251" s="2" t="e">
        <f ca="1">_xll.BDH($C$228,"BVPS_GROWTH","FQ3 2018","FQ3 2018","Currency=INR","Period=FQ","BEST_FPERIOD_OVERRIDE=FQ","FILING_STATUS=OR","EQY_CONSOLIDATED=Y","Sort=A","Dates=H","DateFormat=P","Fill=—","Direction=H","UseDPDF=Y")</f>
        <v>#NAME?</v>
      </c>
      <c r="AL251" s="2" t="e">
        <f ca="1">_xll.BDH($C$228,"CASH_FLOW_GROWTH","FQ3 2018","FQ3 2018","Currency=INR","Period=FQ","BEST_FPERIOD_OVERRIDE=FQ","FILING_STATUS=OR","EQY_CONSOLIDATED=Y","Sort=A","Dates=H","DateFormat=P","Fill=—","Direction=H","UseDPDF=Y")</f>
        <v>#NAME?</v>
      </c>
      <c r="AM251" s="2" t="e">
        <f ca="1">_xll.BDH($C$228,"GEO_GROW_NET_SALES","FQ3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51" s="2" t="e">
        <f ca="1">_xll.BDH($C$228,"GEO_GROW_EBITDA","FQ3 2018","FQ3 2018","Currency=INR","Period=FQ","BEST_FPERIOD_OVERRIDE=FQ","FILING_STATUS=OR","EQY_CONSOLIDATED=Y","FA_ADJUSTED=GAAP","Sort=A","Dates=H","DateFormat=P","Fill=—","Direction=H","UseDPDF=Y")</f>
        <v>#NAME?</v>
      </c>
      <c r="AO251" s="2" t="e">
        <f ca="1">_xll.BDH($C$228,"GEO_GROW_OPER_INC","FQ3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51" s="2" t="e">
        <f ca="1">_xll.BDH($C$228,"NET_INCOME_TO_COMMON_5_YR_GROWTH","FQ3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51" s="2" t="e">
        <f ca="1">_xll.BDH($C$228,"5Y_GEO_GROWTH_DILUTED_EPS","FQ3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51" s="2" t="e">
        <f ca="1">_xll.BDH($C$228,"GEO_GROW_DVD_PER_SH","FQ3 2018","FQ3 2018","Currency=INR","Period=FQ","BEST_FPERIOD_OVERRIDE=FQ","FILING_STATUS=OR","EQY_CONSOLIDATED=Y","Sort=A","Dates=H","DateFormat=P","Fill=—","Direction=H","UseDPDF=Y")</f>
        <v>#NAME?</v>
      </c>
      <c r="AS251" s="2" t="e">
        <f ca="1">_xll.BDH($C$228,"ACCOUNTS_RECEIVABLE_5_YR_GROWTH","FQ3 2018","FQ3 2018","Currency=INR","Period=FQ","BEST_FPERIOD_OVERRIDE=FQ","FILING_STATUS=OR","EQY_CONSOLIDATED=Y","Sort=A","Dates=H","DateFormat=P","Fill=—","Direction=H","UseDPDF=Y")</f>
        <v>#NAME?</v>
      </c>
      <c r="AT251" s="2" t="e">
        <f ca="1">_xll.BDH($C$228,"INVENTORY_5_YEAR_GROWTH","FQ3 2018","FQ3 2018","Currency=INR","Period=FQ","BEST_FPERIOD_OVERRIDE=FQ","FILING_STATUS=OR","EQY_CONSOLIDATED=Y","Sort=A","Dates=H","DateFormat=P","Fill=—","Direction=H","UseDPDF=Y")</f>
        <v>#NAME?</v>
      </c>
      <c r="AU251" s="2" t="e">
        <f ca="1">_xll.BDH($C$228,"NET_FIXED_ASSETS_5_YEAR_GROWTH","FQ3 2018","FQ3 2018","Currency=INR","Period=FQ","BEST_FPERIOD_OVERRIDE=FQ","FILING_STATUS=OR","EQY_CONSOLIDATED=Y","Sort=A","Dates=H","DateFormat=P","Fill=—","Direction=H","UseDPDF=Y")</f>
        <v>#NAME?</v>
      </c>
      <c r="AV251" s="2" t="e">
        <f ca="1">_xll.BDH($C$228,"GEO_GROW_TOT_ASSET","FQ3 2018","FQ3 2018","Currency=INR","Period=FQ","BEST_FPERIOD_OVERRIDE=FQ","FILING_STATUS=OR","EQY_CONSOLIDATED=Y","Sort=A","Dates=H","DateFormat=P","Fill=—","Direction=H","UseDPDF=Y")</f>
        <v>#NAME?</v>
      </c>
      <c r="AW251" s="2" t="e">
        <f ca="1">_xll.BDH($C$228,"MODIFIED_WORKING_CPTL_5YR_GRWTH","FQ3 2018","FQ3 2018","Currency=INR","Period=FQ","BEST_FPERIOD_OVERRIDE=FQ","FILING_STATUS=OR","EQY_CONSOLIDATED=Y","Sort=A","Dates=H","DateFormat=P","Fill=—","Direction=H","UseDPDF=Y")</f>
        <v>#NAME?</v>
      </c>
      <c r="AX251" s="2" t="e">
        <f ca="1">_xll.BDH($C$228,"WORKING_CAPITAL_5_YEAR_GROWTH","FQ3 2018","FQ3 2018","Currency=INR","Period=FQ","BEST_FPERIOD_OVERRIDE=FQ","FILING_STATUS=OR","EQY_CONSOLIDATED=Y","Sort=A","Dates=H","DateFormat=P","Fill=—","Direction=H","UseDPDF=Y")</f>
        <v>#NAME?</v>
      </c>
      <c r="AY251" s="2" t="e">
        <f ca="1">_xll.BDH($C$228,"ACCOUNTS_PAYABLE_5_YEAR_GROWTH","FQ3 2018","FQ3 2018","Currency=INR","Period=FQ","BEST_FPERIOD_OVERRIDE=FQ","FILING_STATUS=OR","EQY_CONSOLIDATED=Y","Sort=A","Dates=H","DateFormat=P","Fill=—","Direction=H","UseDPDF=Y")</f>
        <v>#NAME?</v>
      </c>
      <c r="AZ251" s="2" t="e">
        <f ca="1">_xll.BDH($C$228,"SHORT_TERM_DEBT_5_YEAR_GROWTH","FQ3 2018","FQ3 2018","Currency=INR","Period=FQ","BEST_FPERIOD_OVERRIDE=FQ","FILING_STATUS=OR","EQY_CONSOLIDATED=Y","Sort=A","Dates=H","DateFormat=P","Fill=—","Direction=H","UseDPDF=Y")</f>
        <v>#NAME?</v>
      </c>
      <c r="BA251" s="2" t="e">
        <f ca="1">_xll.BDH($C$228,"TOTAL_DEBT_5_YEAR_GROWTH","FQ3 2018","FQ3 2018","Currency=INR","Period=FQ","BEST_FPERIOD_OVERRIDE=FQ","FILING_STATUS=OR","EQY_CONSOLIDATED=Y","Sort=A","Dates=H","DateFormat=P","Fill=—","Direction=H","UseDPDF=Y")</f>
        <v>#NAME?</v>
      </c>
      <c r="BB251" s="2" t="e">
        <f ca="1">_xll.BDH($C$228,"GEO_GROW_TOT_SHRHLDR_EQY","FQ3 2018","FQ3 2018","Currency=INR","Period=FQ","BEST_FPERIOD_OVERRIDE=FQ","FILING_STATUS=OR","EQY_CONSOLIDATED=Y","Sort=A","Dates=H","DateFormat=P","Fill=—","Direction=H","UseDPDF=Y")</f>
        <v>#NAME?</v>
      </c>
      <c r="BC251" s="2" t="e">
        <f ca="1">_xll.BDH($C$228,"TOTAL_CAPITAL_5_YEAR_GROWTH","FQ3 2018","FQ3 2018","Currency=INR","Period=FQ","BEST_FPERIOD_OVERRIDE=FQ","FILING_STATUS=OR","EQY_CONSOLIDATED=Y","Sort=A","Dates=H","DateFormat=P","Fill=—","Direction=H","UseDPDF=Y")</f>
        <v>#NAME?</v>
      </c>
      <c r="BD251" s="2" t="e">
        <f ca="1">_xll.BDH($C$228,"GEO_GROW_BOOK_VAL","FQ3 2018","FQ3 2018","Currency=INR","Period=FQ","BEST_FPERIOD_OVERRIDE=FQ","FILING_STATUS=OR","EQY_CONSOLIDATED=Y","Sort=A","Dates=H","DateFormat=P","Fill=—","Direction=H","UseDPDF=Y")</f>
        <v>#NAME?</v>
      </c>
      <c r="BE251" s="2" t="e">
        <f ca="1">_xll.BDH($C$228,"GEO_GROW_CASH_OPER_ACT","FQ3 2018","FQ3 2018","Currency=INR","Period=FQ","BEST_FPERIOD_OVERRIDE=FQ","FILING_STATUS=OR","EQY_CONSOLIDATED=Y","Sort=A","Dates=H","DateFormat=P","Fill=—","Direction=H","UseDPDF=Y")</f>
        <v>#NAME?</v>
      </c>
      <c r="BF251" s="2" t="e">
        <f ca="1">_xll.BDH($C$228,"REVENUE_SEQUENTIAL_GROWTH","FQ3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51" s="2" t="e">
        <f ca="1">_xll.BDH($C$228,"EBITDA_SEQUENTIAL_GROWTH","FQ3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51" s="2" t="e">
        <f ca="1">_xll.BDH($C$228,"OPERATING_INCOME_SEQ_GROWTH","FQ3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51" s="2" t="e">
        <f ca="1">_xll.BDH($C$228,"NET_INCOME_TO_COMMON_SEQ_GROWTH","FQ3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51" s="2" t="e">
        <f ca="1">_xll.BDH($C$228,"EPS_DILUTED_SEQUENTIAL_GROWTH","FQ3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51" s="2" t="e">
        <f ca="1">_xll.BDH($C$228,"DPS_SEQUENTIAL_GROWTH","FQ3 2018","FQ3 2018","Currency=INR","Period=FQ","BEST_FPERIOD_OVERRIDE=FQ","FILING_STATUS=OR","EQY_CONSOLIDATED=Y","Sort=A","Dates=H","DateFormat=P","Fill=—","Direction=H","UseDPDF=Y")</f>
        <v>#NAME?</v>
      </c>
      <c r="BL251" s="2" t="e">
        <f ca="1">_xll.BDH($C$228,"ACCOUNTS_RECEIVABLE_SEQ_GROWTH","FQ3 2018","FQ3 2018","Currency=INR","Period=FQ","BEST_FPERIOD_OVERRIDE=FQ","FILING_STATUS=OR","EQY_CONSOLIDATED=Y","Sort=A","Dates=H","DateFormat=P","Fill=—","Direction=H","UseDPDF=Y")</f>
        <v>#NAME?</v>
      </c>
      <c r="BM251" s="2" t="e">
        <f ca="1">_xll.BDH($C$228,"INVENTORY_SEQUENTIAL_GROWTH","FQ3 2018","FQ3 2018","Currency=INR","Period=FQ","BEST_FPERIOD_OVERRIDE=FQ","FILING_STATUS=OR","EQY_CONSOLIDATED=Y","Sort=A","Dates=H","DateFormat=P","Fill=—","Direction=H","UseDPDF=Y")</f>
        <v>#NAME?</v>
      </c>
      <c r="BN251" s="2" t="e">
        <f ca="1">_xll.BDH($C$228,"FIXED_ASSETS_SEQUENTIAL_GROWTH","FQ3 2018","FQ3 2018","Currency=INR","Period=FQ","BEST_FPERIOD_OVERRIDE=FQ","FILING_STATUS=OR","EQY_CONSOLIDATED=Y","Sort=A","Dates=H","DateFormat=P","Fill=—","Direction=H","UseDPDF=Y")</f>
        <v>#NAME?</v>
      </c>
      <c r="BO251" s="2" t="e">
        <f ca="1">_xll.BDH($C$228,"TOTAL_ASSETS_SEQUENTIAL_GROWTH","FQ3 2018","FQ3 2018","Currency=INR","Period=FQ","BEST_FPERIOD_OVERRIDE=FQ","FILING_STATUS=OR","EQY_CONSOLIDATED=Y","Sort=A","Dates=H","DateFormat=P","Fill=—","Direction=H","UseDPDF=Y")</f>
        <v>#NAME?</v>
      </c>
      <c r="BP251" s="2" t="e">
        <f ca="1">_xll.BDH($C$228,"MODIFIED_WORKING_CPTL_SEQ_GRWTH","FQ3 2018","FQ3 2018","Currency=INR","Period=FQ","BEST_FPERIOD_OVERRIDE=FQ","FILING_STATUS=OR","EQY_CONSOLIDATED=Y","Sort=A","Dates=H","DateFormat=P","Fill=—","Direction=H","UseDPDF=Y")</f>
        <v>#NAME?</v>
      </c>
      <c r="BQ251" s="2" t="e">
        <f ca="1">_xll.BDH($C$228,"WORKING_CAPITAL_SEQ_GROWTH","FQ3 2018","FQ3 2018","Currency=INR","Period=FQ","BEST_FPERIOD_OVERRIDE=FQ","FILING_STATUS=OR","EQY_CONSOLIDATED=Y","Sort=A","Dates=H","DateFormat=P","Fill=—","Direction=H","UseDPDF=Y")</f>
        <v>#NAME?</v>
      </c>
      <c r="BR251" s="2" t="e">
        <f ca="1">_xll.BDH($C$228,"ACCOUNTS_PAYABLE_SEQ_GROWTH","FQ3 2018","FQ3 2018","Currency=INR","Period=FQ","BEST_FPERIOD_OVERRIDE=FQ","FILING_STATUS=OR","EQY_CONSOLIDATED=Y","Sort=A","Dates=H","DateFormat=P","Fill=—","Direction=H","UseDPDF=Y")</f>
        <v>#NAME?</v>
      </c>
      <c r="BS251" s="2" t="e">
        <f ca="1">_xll.BDH($C$228,"ST_DEBT_SEQUENTIAL_GROWTH","FQ3 2018","FQ3 2018","Currency=INR","Period=FQ","BEST_FPERIOD_OVERRIDE=FQ","FILING_STATUS=OR","EQY_CONSOLIDATED=Y","Sort=A","Dates=H","DateFormat=P","Fill=—","Direction=H","UseDPDF=Y")</f>
        <v>#NAME?</v>
      </c>
      <c r="BT251" s="2" t="e">
        <f ca="1">_xll.BDH($C$228,"TOTAL_DEBT_SEQUENTIAL_GROWTH","FQ3 2018","FQ3 2018","Currency=INR","Period=FQ","BEST_FPERIOD_OVERRIDE=FQ","FILING_STATUS=OR","EQY_CONSOLIDATED=Y","Sort=A","Dates=H","DateFormat=P","Fill=—","Direction=H","UseDPDF=Y")</f>
        <v>#NAME?</v>
      </c>
      <c r="BU251" s="2" t="e">
        <f ca="1">_xll.BDH($C$228,"TOTAL_EQUITY_SEQUENTIAL_GROWTH","FQ3 2018","FQ3 2018","Currency=INR","Period=FQ","BEST_FPERIOD_OVERRIDE=FQ","FILING_STATUS=OR","EQY_CONSOLIDATED=Y","Sort=A","Dates=H","DateFormat=P","Fill=—","Direction=H","UseDPDF=Y")</f>
        <v>#NAME?</v>
      </c>
      <c r="BV251" s="2" t="e">
        <f ca="1">_xll.BDH($C$228,"TOTAL_CAPITAL_SEQUENTIAL_GROWTH","FQ3 2018","FQ3 2018","Currency=INR","Period=FQ","BEST_FPERIOD_OVERRIDE=FQ","FILING_STATUS=OR","EQY_CONSOLIDATED=Y","Sort=A","Dates=H","DateFormat=P","Fill=—","Direction=H","UseDPDF=Y")</f>
        <v>#NAME?</v>
      </c>
      <c r="BW251" s="2" t="e">
        <f ca="1">_xll.BDH($C$228,"BPS_SEQUENTIAL_GROWTH","FQ3 2018","FQ3 2018","Currency=INR","Period=FQ","BEST_FPERIOD_OVERRIDE=FQ","FILING_STATUS=OR","EQY_CONSOLIDATED=Y","Sort=A","Dates=H","DateFormat=P","Fill=—","Direction=H","UseDPDF=Y")</f>
        <v>#NAME?</v>
      </c>
      <c r="BX251" s="2" t="e">
        <f ca="1">_xll.BDH($C$228,"CFO_SEQUENTIAL_GROWTH","FQ3 2018","FQ3 2018","Currency=INR","Period=FQ","BEST_FPERIOD_OVERRIDE=FQ","FILING_STATUS=OR","EQY_CONSOLIDATED=Y","Sort=A","Dates=H","DateFormat=P","Fill=—","Direction=H","UseDPDF=Y")</f>
        <v>#NAME?</v>
      </c>
      <c r="BY251" s="3" t="e">
        <f ca="1">_xll.BDH($C$228,"SHORT_AND_LONG_TERM_DEBT","FQ3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51" s="3" t="e">
        <f ca="1">_xll.BDH($C$228,"BS_ST_BORROW","FQ3 2018","FQ3 2018","Currency=INR","Period=FQ","BEST_FPERIOD_OVERRIDE=FQ","FILING_STATUS=OR","EQY_CONSOLIDATED=Y","SCALING_FORMAT=MLN","Sort=A","Dates=H","DateFormat=P","Fill=—","Direction=H","UseDPDF=Y")</f>
        <v>#NAME?</v>
      </c>
      <c r="CA251" s="3" t="e">
        <f ca="1">_xll.BDH($C$228,"BS_LT_BORROW","FQ3 2018","FQ3 2018","Currency=INR","Period=FQ","BEST_FPERIOD_OVERRIDE=FQ","FILING_STATUS=OR","EQY_CONSOLIDATED=Y","SCALING_FORMAT=MLN","Sort=A","Dates=H","DateFormat=P","Fill=—","Direction=H","UseDPDF=Y")</f>
        <v>#NAME?</v>
      </c>
      <c r="CB251" s="2" t="e">
        <f ca="1">_xll.BDH($C$228,"TOT_DEBT_TO_EBITDA","FQ3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51" s="2" t="e">
        <f ca="1">_xll.BDH($C$228,"NET_DEBT_TO_EBITDA","FQ3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51" s="2" t="e">
        <f ca="1">_xll.BDH($C$228,"TOTAL_DEBT_TO_EBIT","FQ3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51" s="2" t="e">
        <f ca="1">_xll.BDH($C$228,"NET_DEBT_TO_EBIT","FQ3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251" s="2" t="e">
        <f ca="1">_xll.BDH($C$228,"EBITDA_TO_INTEREST_EXPN","FQ3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51" s="2" t="e">
        <f ca="1">_xll.BDH($C$228,"COM_EQY_TO_TOT_ASSET","FQ3 2018","FQ3 2018","Currency=INR","Period=FQ","BEST_FPERIOD_OVERRIDE=FQ","FILING_STATUS=OR","EQY_CONSOLIDATED=Y","Sort=A","Dates=H","DateFormat=P","Fill=—","Direction=H","UseDPDF=Y")</f>
        <v>#NAME?</v>
      </c>
      <c r="CH251" s="2" t="e">
        <f ca="1">_xll.BDH($C$228,"LT_DEBT_TO_TOT_EQY","FQ3 2018","FQ3 2018","Currency=INR","Period=FQ","BEST_FPERIOD_OVERRIDE=FQ","FILING_STATUS=OR","EQY_CONSOLIDATED=Y","Sort=A","Dates=H","DateFormat=P","Fill=—","Direction=H","UseDPDF=Y")</f>
        <v>#NAME?</v>
      </c>
      <c r="CI251" s="2" t="e">
        <f ca="1">_xll.BDH($C$228,"LT_DEBT_TO_TOT_CAP","FQ3 2018","FQ3 2018","Currency=INR","Period=FQ","BEST_FPERIOD_OVERRIDE=FQ","FILING_STATUS=OR","EQY_CONSOLIDATED=Y","Sort=A","Dates=H","DateFormat=P","Fill=—","Direction=H","UseDPDF=Y")</f>
        <v>#NAME?</v>
      </c>
      <c r="CJ251" s="2" t="e">
        <f ca="1">_xll.BDH($C$228,"LT_DEBT_TO_TOT_ASSET","FQ3 2018","FQ3 2018","Currency=INR","Period=FQ","BEST_FPERIOD_OVERRIDE=FQ","FILING_STATUS=OR","EQY_CONSOLIDATED=Y","Sort=A","Dates=H","DateFormat=P","Fill=—","Direction=H","UseDPDF=Y")</f>
        <v>#NAME?</v>
      </c>
      <c r="CK251" s="2" t="e">
        <f ca="1">_xll.BDH($C$228,"TOT_DEBT_TO_TOT_EQY","FQ3 2018","FQ3 2018","Currency=INR","Period=FQ","BEST_FPERIOD_OVERRIDE=FQ","FILING_STATUS=OR","EQY_CONSOLIDATED=Y","Sort=A","Dates=H","DateFormat=P","Fill=—","Direction=H","UseDPDF=Y")</f>
        <v>#NAME?</v>
      </c>
      <c r="CL251" s="2" t="e">
        <f ca="1">_xll.BDH($C$228,"TOT_DEBT_TO_TOT_CAP","FQ3 2018","FQ3 2018","Currency=INR","Period=FQ","BEST_FPERIOD_OVERRIDE=FQ","FILING_STATUS=OR","EQY_CONSOLIDATED=Y","Sort=A","Dates=H","DateFormat=P","Fill=—","Direction=H","UseDPDF=Y")</f>
        <v>#NAME?</v>
      </c>
      <c r="CM251" s="2" t="e">
        <f ca="1">_xll.BDH($C$228,"TOT_DEBT_TO_TOT_ASSET","FQ3 2018","FQ3 2018","Currency=INR","Period=FQ","BEST_FPERIOD_OVERRIDE=FQ","FILING_STATUS=OR","EQY_CONSOLIDATED=Y","Sort=A","Dates=H","DateFormat=P","Fill=—","Direction=H","UseDPDF=Y")</f>
        <v>#NAME?</v>
      </c>
      <c r="CN251" s="2" t="e">
        <f ca="1">_xll.BDH($C$228,"NET_DEBT_TO_SHRHLDR_EQTY","FQ3 2018","FQ3 2018","Currency=INR","Period=FQ","BEST_FPERIOD_OVERRIDE=FQ","FILING_STATUS=OR","EQY_CONSOLIDATED=Y","Sort=A","Dates=H","DateFormat=P","Fill=—","Direction=H","UseDPDF=Y")</f>
        <v>#NAME?</v>
      </c>
      <c r="CO251" s="2" t="e">
        <f ca="1">_xll.BDH($C$228,"NET_DEBT_%_CAPITAL","FQ3 2018","FQ3 2018","Currency=INR","Period=FQ","BEST_FPERIOD_OVERRIDE=FQ","FILING_STATUS=OR","EQY_CONSOLIDATED=Y","Sort=A","Dates=H","DateFormat=P","Fill=—","Direction=H","UseDPDF=Y")</f>
        <v>#NAME?</v>
      </c>
      <c r="CP251" s="3" t="e">
        <f ca="1">_xll.BDH($C$228,"EBITDA","FQ3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51" s="3" t="e">
        <f ca="1">_xll.BDH($C$228,"EBITDA_AFTER_CAPEX","FQ3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51" s="3" t="e">
        <f ca="1">_xll.BDH($C$228,"IS_OPER_INC","FQ3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51" s="2" t="e">
        <f ca="1">_xll.BDH($C$228,"CASH_RATIO","FQ3 2018","FQ3 2018","Currency=INR","Period=FQ","BEST_FPERIOD_OVERRIDE=FQ","FILING_STATUS=OR","EQY_CONSOLIDATED=Y","Sort=A","Dates=H","DateFormat=P","Fill=—","Direction=H","UseDPDF=Y")</f>
        <v>#NAME?</v>
      </c>
      <c r="CT251" s="2" t="e">
        <f ca="1">_xll.BDH($C$228,"CUR_RATIO","FQ3 2018","FQ3 2018","Currency=INR","Period=FQ","BEST_FPERIOD_OVERRIDE=FQ","FILING_STATUS=OR","EQY_CONSOLIDATED=Y","Sort=A","Dates=H","DateFormat=P","Fill=—","Direction=H","UseDPDF=Y")</f>
        <v>#NAME?</v>
      </c>
      <c r="CU251" s="2" t="e">
        <f ca="1">_xll.BDH($C$228,"QUICK_RATIO","FQ3 2018","FQ3 2018","Currency=INR","Period=FQ","BEST_FPERIOD_OVERRIDE=FQ","FILING_STATUS=OR","EQY_CONSOLIDATED=Y","Sort=A","Dates=H","DateFormat=P","Fill=—","Direction=H","UseDPDF=Y")</f>
        <v>#NAME?</v>
      </c>
      <c r="CV251" s="2" t="e">
        <f ca="1">_xll.BDH($C$228,"ALTMAN_Z_SCORE","FQ3 2018","FQ3 2018","Currency=INR","Period=FQ","BEST_FPERIOD_OVERRIDE=FQ","FILING_STATUS=OR","EQY_CONSOLIDATED=Y","Sort=A","Dates=H","DateFormat=P","Fill=—","Direction=H","UseDPDF=Y")</f>
        <v>#NAME?</v>
      </c>
      <c r="CW251" s="4" t="e">
        <f ca="1">_xll.BDH($C$228,"ACCT_RCV_TURN","FQ3 2018","FQ3 2018","Currency=INR","Period=FQ","BEST_FPERIOD_OVERRIDE=FQ","FILING_STATUS=OR","EQY_CONSOLIDATED=Y","FA_ADJUSTED=GAAP","Sort=A","Dates=H","DateFormat=P","Fill=—","Direction=H","UseDPDF=Y")</f>
        <v>#NAME?</v>
      </c>
      <c r="CX251" s="2" t="e">
        <f ca="1">_xll.BDH($C$228,"ACCT_RCV_DAYS","FQ3 2018","FQ3 2018","Currency=INR","Period=FQ","BEST_FPERIOD_OVERRIDE=FQ","FILING_STATUS=OR","EQY_CONSOLIDATED=Y","FA_ADJUSTED=GAAP","Sort=A","Dates=H","DateFormat=P","Fill=—","Direction=H","UseDPDF=Y")</f>
        <v>#NAME?</v>
      </c>
      <c r="CY251" s="4" t="e">
        <f ca="1">_xll.BDH($C$228,"INVENT_TURN","FQ3 2018","FQ3 2018","Currency=INR","Period=FQ","BEST_FPERIOD_OVERRIDE=FQ","FILING_STATUS=OR","EQY_CONSOLIDATED=Y","FA_ADJUSTED=GAAP","Sort=A","Dates=H","DateFormat=P","Fill=—","Direction=H","UseDPDF=Y")</f>
        <v>#NAME?</v>
      </c>
      <c r="CZ251" s="2" t="e">
        <f ca="1">_xll.BDH($C$228,"INVENT_DAYS","FQ3 2018","FQ3 2018","Currency=INR","Period=FQ","BEST_FPERIOD_OVERRIDE=FQ","FILING_STATUS=OR","EQY_CONSOLIDATED=Y","FA_ADJUSTED=GAAP","Sort=A","Dates=H","DateFormat=P","Fill=—","Direction=H","UseDPDF=Y")</f>
        <v>#NAME?</v>
      </c>
      <c r="DA251" s="4" t="e">
        <f ca="1">_xll.BDH($C$228,"ACCOUNTS_PAYABLE_TURNOVER","FQ3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51" s="2" t="e">
        <f ca="1">_xll.BDH($C$228,"ACCOUNTS_PAYABLE_TURNOVER_DAYS","FQ3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51" s="4" t="e">
        <f ca="1">_xll.BDH($C$228,"CASH_CONVERSION_CYCLE","FQ3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51" s="4" t="e">
        <f ca="1">_xll.BDH($C$228,"INV_TO_CASH_DAYS","FQ3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251" s="5" t="e">
        <f ca="1">_xll.BDH($C$228,"BS_INVENTORIES","FQ3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251" s="3" t="e">
        <f ca="1">_xll.BDH($C$228,"INVTRY_RAW_MATERIALS","FQ3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51" s="3" t="e">
        <f ca="1">_xll.BDH($C$228,"INVTRY_IN_PROGRESS","FQ3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51" s="3" t="e">
        <f ca="1">_xll.BDH($C$228,"INVTRY_FINISHED_GOODS","FQ3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51" s="3" t="e">
        <f ca="1">_xll.BDH($C$228,"BS_OTHER_INV","FQ3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52" spans="1:113" x14ac:dyDescent="0.3">
      <c r="A252" s="6"/>
      <c r="B252" s="6"/>
      <c r="C252" s="6"/>
      <c r="D252" s="6"/>
      <c r="E252" t="s">
        <v>81</v>
      </c>
      <c r="F252" t="e">
        <f ca="1">_xll.BDH($C$228,"RETURN_COM_EQY","FQ4 2018","FQ4 2018","Currency=INR","Period=FQ","BEST_FPERIOD_OVERRIDE=FQ","FILING_STATUS=OR","EQY_CONSOLIDATED=Y","FA_ADJUSTED=GAAP","Sort=A","Dates=H","DateFormat=P","Fill=—","Direction=H","UseDPDF=Y")</f>
        <v>#NAME?</v>
      </c>
      <c r="G252" t="e">
        <f ca="1">_xll.BDH($C$228,"RETURN_ON_ASSET","FQ4 2018","FQ4 2018","Currency=INR","Period=FQ","BEST_FPERIOD_OVERRIDE=FQ","FILING_STATUS=OR","EQY_CONSOLIDATED=Y","FA_ADJUSTED=GAAP","Sort=A","Dates=H","DateFormat=P","Fill=—","Direction=H","UseDPDF=Y")</f>
        <v>#NAME?</v>
      </c>
      <c r="H252" t="e">
        <f ca="1">_xll.BDH($C$228,"RETURN_ON_CAP","FQ4 2018","FQ4 2018","Currency=INR","Period=FQ","BEST_FPERIOD_OVERRIDE=FQ","FILING_STATUS=OR","EQY_CONSOLIDATED=Y","FA_ADJUSTED=GAAP","Sort=A","Dates=H","DateFormat=P","Fill=—","Direction=H","UseDPDF=Y")</f>
        <v>#NAME?</v>
      </c>
      <c r="I252" t="e">
        <f ca="1">_xll.BDH($C$228,"RETURN_ON_INV_CAPITAL","FQ4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52" t="e">
        <f ca="1">_xll.BDH($C$228,"EBITDA_TO_REVENUE","FQ4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252" t="e">
        <f ca="1">_xll.BDH($C$228,"OPER_MARGIN","FQ4 2018","FQ4 2018","Currency=INR","Period=FQ","BEST_FPERIOD_OVERRIDE=FQ","FILING_STATUS=OR","EQY_CONSOLIDATED=Y","FA_ADJUSTED=GAAP","Sort=A","Dates=H","DateFormat=P","Fill=—","Direction=H","UseDPDF=Y")</f>
        <v>#NAME?</v>
      </c>
      <c r="L252" t="e">
        <f ca="1">_xll.BDH($C$228,"INCREMENTAL_OPERATING_MARGIN","FQ4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52" t="e">
        <f ca="1">_xll.BDH($C$228,"PRETAX_INC_TO_NET_SALES","FQ4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52" t="e">
        <f ca="1">_xll.BDH($C$228,"INC_BEF_XO_ITEMS_TO_NET_SALES","FQ4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52" t="e">
        <f ca="1">_xll.BDH($C$228,"PROF_MARGIN","FQ4 2018","FQ4 2018","Currency=INR","Period=FQ","BEST_FPERIOD_OVERRIDE=FQ","FILING_STATUS=OR","EQY_CONSOLIDATED=Y","FA_ADJUSTED=GAAP","Sort=A","Dates=H","DateFormat=P","Fill=—","Direction=H","UseDPDF=Y")</f>
        <v>#NAME?</v>
      </c>
      <c r="P252" t="e">
        <f ca="1">_xll.BDH($C$228,"NET_INCOME_TO_COMMON_MARGIN","FQ4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52" t="e">
        <f ca="1">_xll.BDH($C$228,"EFF_TAX_RATE","FQ4 2018","FQ4 2018","Currency=INR","Period=FQ","BEST_FPERIOD_OVERRIDE=FQ","FILING_STATUS=OR","EQY_CONSOLIDATED=Y","FA_ADJUSTED=GAAP","Sort=A","Dates=H","DateFormat=P","Fill=—","Direction=H","UseDPDF=Y")</f>
        <v>#NAME?</v>
      </c>
      <c r="R252" t="e">
        <f ca="1">_xll.BDH($C$228,"DVD_PAYOUT_RATIO","FQ4 2018","FQ4 2018","Currency=INR","Period=FQ","BEST_FPERIOD_OVERRIDE=FQ","FILING_STATUS=OR","EQY_CONSOLIDATED=Y","FA_ADJUSTED=GAAP","Sort=A","Dates=H","DateFormat=P","Fill=—","Direction=H","UseDPDF=Y")</f>
        <v>#NAME?</v>
      </c>
      <c r="S252" t="e">
        <f ca="1">_xll.BDH($C$228,"SUSTAIN_GROWTH_RT","FQ4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252" s="2" t="e">
        <f ca="1">_xll.BDH($C$228,"SALES_GROWTH","FQ4 2018","FQ4 2018","Currency=INR","Period=FQ","BEST_FPERIOD_OVERRIDE=FQ","FILING_STATUS=OR","EQY_CONSOLIDATED=Y","FA_ADJUSTED=GAAP","Sort=A","Dates=H","DateFormat=P","Fill=—","Direction=H","UseDPDF=Y")</f>
        <v>#NAME?</v>
      </c>
      <c r="U252" s="2" t="e">
        <f ca="1">_xll.BDH($C$228,"EBITDA_GROWTH","FQ4 2018","FQ4 2018","Currency=INR","Period=FQ","BEST_FPERIOD_OVERRIDE=FQ","FILING_STATUS=OR","EQY_CONSOLIDATED=Y","FA_ADJUSTED=GAAP","Sort=A","Dates=H","DateFormat=P","Fill=—","Direction=H","UseDPDF=Y")</f>
        <v>#NAME?</v>
      </c>
      <c r="V252" s="2" t="e">
        <f ca="1">_xll.BDH($C$228,"OPER_INC_GROWTH","FQ4 2018","FQ4 2018","Currency=INR","Period=FQ","BEST_FPERIOD_OVERRIDE=FQ","FILING_STATUS=OR","EQY_CONSOLIDATED=Y","FA_ADJUSTED=GAAP","Sort=A","Dates=H","DateFormat=P","Fill=—","Direction=H","UseDPDF=Y")</f>
        <v>#NAME?</v>
      </c>
      <c r="W252" s="2" t="e">
        <f ca="1">_xll.BDH($C$228,"EARN_FOR_COM_GROWTH","FQ4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52" s="2" t="e">
        <f ca="1">_xll.BDH($C$228,"DILUTED_EPS_AFT_XO_ITEMS_GROWTH","FQ4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52" s="2" t="e">
        <f ca="1">_xll.BDH($C$228,"DIVIDEND_PER_SHARE_1_YEAR_GROWTH","FQ4 2018","FQ4 2018","Currency=INR","Period=FQ","BEST_FPERIOD_OVERRIDE=FQ","FILING_STATUS=OR","EQY_CONSOLIDATED=Y","Sort=A","Dates=H","DateFormat=P","Fill=—","Direction=H","UseDPDF=Y")</f>
        <v>#NAME?</v>
      </c>
      <c r="Z252" s="2" t="e">
        <f ca="1">_xll.BDH($C$228,"ACCOUNTS_RECEIVABLE_GROWTH","FQ4 2018","FQ4 2018","Currency=INR","Period=FQ","BEST_FPERIOD_OVERRIDE=FQ","FILING_STATUS=OR","EQY_CONSOLIDATED=Y","Sort=A","Dates=H","DateFormat=P","Fill=—","Direction=H","UseDPDF=Y")</f>
        <v>#NAME?</v>
      </c>
      <c r="AA252" s="2" t="e">
        <f ca="1">_xll.BDH($C$228,"INVENTORY_GROWTH","FQ4 2018","FQ4 2018","Currency=INR","Period=FQ","BEST_FPERIOD_OVERRIDE=FQ","FILING_STATUS=OR","EQY_CONSOLIDATED=Y","Sort=A","Dates=H","DateFormat=P","Fill=—","Direction=H","UseDPDF=Y")</f>
        <v>#NAME?</v>
      </c>
      <c r="AB252" s="2" t="e">
        <f ca="1">_xll.BDH($C$228,"NET_FIXED_ASSETS_1_YEAR_GROWTH","FQ4 2018","FQ4 2018","Currency=INR","Period=FQ","BEST_FPERIOD_OVERRIDE=FQ","FILING_STATUS=OR","EQY_CONSOLIDATED=Y","Sort=A","Dates=H","DateFormat=P","Fill=—","Direction=H","UseDPDF=Y")</f>
        <v>#NAME?</v>
      </c>
      <c r="AC252" s="2" t="e">
        <f ca="1">_xll.BDH($C$228,"ASSET_GROWTH","FQ4 2018","FQ4 2018","Currency=INR","Period=FQ","BEST_FPERIOD_OVERRIDE=FQ","FILING_STATUS=OR","EQY_CONSOLIDATED=Y","Sort=A","Dates=H","DateFormat=P","Fill=—","Direction=H","UseDPDF=Y")</f>
        <v>#NAME?</v>
      </c>
      <c r="AD252" s="2" t="e">
        <f ca="1">_xll.BDH($C$228,"MODIFIED_WORK_CAP_GROWTH","FQ4 2018","FQ4 2018","Currency=INR","Period=FQ","BEST_FPERIOD_OVERRIDE=FQ","FILING_STATUS=OR","EQY_CONSOLIDATED=Y","Sort=A","Dates=H","DateFormat=P","Fill=—","Direction=H","UseDPDF=Y")</f>
        <v>#NAME?</v>
      </c>
      <c r="AE252" s="2" t="e">
        <f ca="1">_xll.BDH($C$228,"WORK_CAP_GROWTH","FQ4 2018","FQ4 2018","Currency=INR","Period=FQ","BEST_FPERIOD_OVERRIDE=FQ","FILING_STATUS=OR","EQY_CONSOLIDATED=Y","Sort=A","Dates=H","DateFormat=P","Fill=—","Direction=H","UseDPDF=Y")</f>
        <v>#NAME?</v>
      </c>
      <c r="AF252" s="2" t="e">
        <f ca="1">_xll.BDH($C$228,"ACCOUNTS_PAYABLE_GROWTH_1YR","FQ4 2018","FQ4 2018","Currency=INR","Period=FQ","BEST_FPERIOD_OVERRIDE=FQ","FILING_STATUS=OR","EQY_CONSOLIDATED=Y","Sort=A","Dates=H","DateFormat=P","Fill=—","Direction=H","UseDPDF=Y")</f>
        <v>#NAME?</v>
      </c>
      <c r="AG252" s="2" t="e">
        <f ca="1">_xll.BDH($C$228,"SHORT_TERM_DEBT_1_YEAR_GROWTH","FQ4 2018","FQ4 2018","Currency=INR","Period=FQ","BEST_FPERIOD_OVERRIDE=FQ","FILING_STATUS=OR","EQY_CONSOLIDATED=Y","Sort=A","Dates=H","DateFormat=P","Fill=—","Direction=H","UseDPDF=Y")</f>
        <v>#NAME?</v>
      </c>
      <c r="AH252" s="2" t="e">
        <f ca="1">_xll.BDH($C$228,"TOTAL_DEBT_1_YEAR_GROWTH","FQ4 2018","FQ4 2018","Currency=INR","Period=FQ","BEST_FPERIOD_OVERRIDE=FQ","FILING_STATUS=OR","EQY_CONSOLIDATED=Y","Sort=A","Dates=H","DateFormat=P","Fill=—","Direction=H","UseDPDF=Y")</f>
        <v>#NAME?</v>
      </c>
      <c r="AI252" s="2" t="e">
        <f ca="1">_xll.BDH($C$228,"TOTAL_EQUITY_1_YEAR_GROWTH","FQ4 2018","FQ4 2018","Currency=INR","Period=FQ","BEST_FPERIOD_OVERRIDE=FQ","FILING_STATUS=OR","EQY_CONSOLIDATED=Y","Sort=A","Dates=H","DateFormat=P","Fill=—","Direction=H","UseDPDF=Y")</f>
        <v>#NAME?</v>
      </c>
      <c r="AJ252" s="2" t="e">
        <f ca="1">_xll.BDH($C$228,"GROWTH_IN_CAP","FQ4 2018","FQ4 2018","Currency=INR","Period=FQ","BEST_FPERIOD_OVERRIDE=FQ","FILING_STATUS=OR","EQY_CONSOLIDATED=Y","Sort=A","Dates=H","DateFormat=P","Fill=—","Direction=H","UseDPDF=Y")</f>
        <v>#NAME?</v>
      </c>
      <c r="AK252" s="2" t="e">
        <f ca="1">_xll.BDH($C$228,"BVPS_GROWTH","FQ4 2018","FQ4 2018","Currency=INR","Period=FQ","BEST_FPERIOD_OVERRIDE=FQ","FILING_STATUS=OR","EQY_CONSOLIDATED=Y","Sort=A","Dates=H","DateFormat=P","Fill=—","Direction=H","UseDPDF=Y")</f>
        <v>#NAME?</v>
      </c>
      <c r="AL252" s="2" t="e">
        <f ca="1">_xll.BDH($C$228,"CASH_FLOW_GROWTH","FQ4 2018","FQ4 2018","Currency=INR","Period=FQ","BEST_FPERIOD_OVERRIDE=FQ","FILING_STATUS=OR","EQY_CONSOLIDATED=Y","Sort=A","Dates=H","DateFormat=P","Fill=—","Direction=H","UseDPDF=Y")</f>
        <v>#NAME?</v>
      </c>
      <c r="AM252" s="2" t="e">
        <f ca="1">_xll.BDH($C$228,"GEO_GROW_NET_SALES","FQ4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52" s="2" t="e">
        <f ca="1">_xll.BDH($C$228,"GEO_GROW_EBITDA","FQ4 2018","FQ4 2018","Currency=INR","Period=FQ","BEST_FPERIOD_OVERRIDE=FQ","FILING_STATUS=OR","EQY_CONSOLIDATED=Y","FA_ADJUSTED=GAAP","Sort=A","Dates=H","DateFormat=P","Fill=—","Direction=H","UseDPDF=Y")</f>
        <v>#NAME?</v>
      </c>
      <c r="AO252" s="2" t="e">
        <f ca="1">_xll.BDH($C$228,"GEO_GROW_OPER_INC","FQ4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52" s="2" t="e">
        <f ca="1">_xll.BDH($C$228,"NET_INCOME_TO_COMMON_5_YR_GROWTH","FQ4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52" s="2" t="e">
        <f ca="1">_xll.BDH($C$228,"5Y_GEO_GROWTH_DILUTED_EPS","FQ4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52" s="2" t="e">
        <f ca="1">_xll.BDH($C$228,"GEO_GROW_DVD_PER_SH","FQ4 2018","FQ4 2018","Currency=INR","Period=FQ","BEST_FPERIOD_OVERRIDE=FQ","FILING_STATUS=OR","EQY_CONSOLIDATED=Y","Sort=A","Dates=H","DateFormat=P","Fill=—","Direction=H","UseDPDF=Y")</f>
        <v>#NAME?</v>
      </c>
      <c r="AS252" s="2" t="e">
        <f ca="1">_xll.BDH($C$228,"ACCOUNTS_RECEIVABLE_5_YR_GROWTH","FQ4 2018","FQ4 2018","Currency=INR","Period=FQ","BEST_FPERIOD_OVERRIDE=FQ","FILING_STATUS=OR","EQY_CONSOLIDATED=Y","Sort=A","Dates=H","DateFormat=P","Fill=—","Direction=H","UseDPDF=Y")</f>
        <v>#NAME?</v>
      </c>
      <c r="AT252" s="2" t="e">
        <f ca="1">_xll.BDH($C$228,"INVENTORY_5_YEAR_GROWTH","FQ4 2018","FQ4 2018","Currency=INR","Period=FQ","BEST_FPERIOD_OVERRIDE=FQ","FILING_STATUS=OR","EQY_CONSOLIDATED=Y","Sort=A","Dates=H","DateFormat=P","Fill=—","Direction=H","UseDPDF=Y")</f>
        <v>#NAME?</v>
      </c>
      <c r="AU252" s="2" t="e">
        <f ca="1">_xll.BDH($C$228,"NET_FIXED_ASSETS_5_YEAR_GROWTH","FQ4 2018","FQ4 2018","Currency=INR","Period=FQ","BEST_FPERIOD_OVERRIDE=FQ","FILING_STATUS=OR","EQY_CONSOLIDATED=Y","Sort=A","Dates=H","DateFormat=P","Fill=—","Direction=H","UseDPDF=Y")</f>
        <v>#NAME?</v>
      </c>
      <c r="AV252" s="2" t="e">
        <f ca="1">_xll.BDH($C$228,"GEO_GROW_TOT_ASSET","FQ4 2018","FQ4 2018","Currency=INR","Period=FQ","BEST_FPERIOD_OVERRIDE=FQ","FILING_STATUS=OR","EQY_CONSOLIDATED=Y","Sort=A","Dates=H","DateFormat=P","Fill=—","Direction=H","UseDPDF=Y")</f>
        <v>#NAME?</v>
      </c>
      <c r="AW252" s="2" t="e">
        <f ca="1">_xll.BDH($C$228,"MODIFIED_WORKING_CPTL_5YR_GRWTH","FQ4 2018","FQ4 2018","Currency=INR","Period=FQ","BEST_FPERIOD_OVERRIDE=FQ","FILING_STATUS=OR","EQY_CONSOLIDATED=Y","Sort=A","Dates=H","DateFormat=P","Fill=—","Direction=H","UseDPDF=Y")</f>
        <v>#NAME?</v>
      </c>
      <c r="AX252" s="2" t="e">
        <f ca="1">_xll.BDH($C$228,"WORKING_CAPITAL_5_YEAR_GROWTH","FQ4 2018","FQ4 2018","Currency=INR","Period=FQ","BEST_FPERIOD_OVERRIDE=FQ","FILING_STATUS=OR","EQY_CONSOLIDATED=Y","Sort=A","Dates=H","DateFormat=P","Fill=—","Direction=H","UseDPDF=Y")</f>
        <v>#NAME?</v>
      </c>
      <c r="AY252" s="2" t="e">
        <f ca="1">_xll.BDH($C$228,"ACCOUNTS_PAYABLE_5_YEAR_GROWTH","FQ4 2018","FQ4 2018","Currency=INR","Period=FQ","BEST_FPERIOD_OVERRIDE=FQ","FILING_STATUS=OR","EQY_CONSOLIDATED=Y","Sort=A","Dates=H","DateFormat=P","Fill=—","Direction=H","UseDPDF=Y")</f>
        <v>#NAME?</v>
      </c>
      <c r="AZ252" s="2" t="e">
        <f ca="1">_xll.BDH($C$228,"SHORT_TERM_DEBT_5_YEAR_GROWTH","FQ4 2018","FQ4 2018","Currency=INR","Period=FQ","BEST_FPERIOD_OVERRIDE=FQ","FILING_STATUS=OR","EQY_CONSOLIDATED=Y","Sort=A","Dates=H","DateFormat=P","Fill=—","Direction=H","UseDPDF=Y")</f>
        <v>#NAME?</v>
      </c>
      <c r="BA252" s="2" t="e">
        <f ca="1">_xll.BDH($C$228,"TOTAL_DEBT_5_YEAR_GROWTH","FQ4 2018","FQ4 2018","Currency=INR","Period=FQ","BEST_FPERIOD_OVERRIDE=FQ","FILING_STATUS=OR","EQY_CONSOLIDATED=Y","Sort=A","Dates=H","DateFormat=P","Fill=—","Direction=H","UseDPDF=Y")</f>
        <v>#NAME?</v>
      </c>
      <c r="BB252" s="2" t="e">
        <f ca="1">_xll.BDH($C$228,"GEO_GROW_TOT_SHRHLDR_EQY","FQ4 2018","FQ4 2018","Currency=INR","Period=FQ","BEST_FPERIOD_OVERRIDE=FQ","FILING_STATUS=OR","EQY_CONSOLIDATED=Y","Sort=A","Dates=H","DateFormat=P","Fill=—","Direction=H","UseDPDF=Y")</f>
        <v>#NAME?</v>
      </c>
      <c r="BC252" s="2" t="e">
        <f ca="1">_xll.BDH($C$228,"TOTAL_CAPITAL_5_YEAR_GROWTH","FQ4 2018","FQ4 2018","Currency=INR","Period=FQ","BEST_FPERIOD_OVERRIDE=FQ","FILING_STATUS=OR","EQY_CONSOLIDATED=Y","Sort=A","Dates=H","DateFormat=P","Fill=—","Direction=H","UseDPDF=Y")</f>
        <v>#NAME?</v>
      </c>
      <c r="BD252" s="2" t="e">
        <f ca="1">_xll.BDH($C$228,"GEO_GROW_BOOK_VAL","FQ4 2018","FQ4 2018","Currency=INR","Period=FQ","BEST_FPERIOD_OVERRIDE=FQ","FILING_STATUS=OR","EQY_CONSOLIDATED=Y","Sort=A","Dates=H","DateFormat=P","Fill=—","Direction=H","UseDPDF=Y")</f>
        <v>#NAME?</v>
      </c>
      <c r="BE252" s="2" t="e">
        <f ca="1">_xll.BDH($C$228,"GEO_GROW_CASH_OPER_ACT","FQ4 2018","FQ4 2018","Currency=INR","Period=FQ","BEST_FPERIOD_OVERRIDE=FQ","FILING_STATUS=OR","EQY_CONSOLIDATED=Y","Sort=A","Dates=H","DateFormat=P","Fill=—","Direction=H","UseDPDF=Y")</f>
        <v>#NAME?</v>
      </c>
      <c r="BF252" s="2" t="e">
        <f ca="1">_xll.BDH($C$228,"REVENUE_SEQUENTIAL_GROWTH","FQ4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52" s="2" t="e">
        <f ca="1">_xll.BDH($C$228,"EBITDA_SEQUENTIAL_GROWTH","FQ4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52" s="2" t="e">
        <f ca="1">_xll.BDH($C$228,"OPERATING_INCOME_SEQ_GROWTH","FQ4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52" s="2" t="e">
        <f ca="1">_xll.BDH($C$228,"NET_INCOME_TO_COMMON_SEQ_GROWTH","FQ4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52" s="2" t="e">
        <f ca="1">_xll.BDH($C$228,"EPS_DILUTED_SEQUENTIAL_GROWTH","FQ4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52" s="2" t="e">
        <f ca="1">_xll.BDH($C$228,"DPS_SEQUENTIAL_GROWTH","FQ4 2018","FQ4 2018","Currency=INR","Period=FQ","BEST_FPERIOD_OVERRIDE=FQ","FILING_STATUS=OR","EQY_CONSOLIDATED=Y","Sort=A","Dates=H","DateFormat=P","Fill=—","Direction=H","UseDPDF=Y")</f>
        <v>#NAME?</v>
      </c>
      <c r="BL252" s="2" t="e">
        <f ca="1">_xll.BDH($C$228,"ACCOUNTS_RECEIVABLE_SEQ_GROWTH","FQ4 2018","FQ4 2018","Currency=INR","Period=FQ","BEST_FPERIOD_OVERRIDE=FQ","FILING_STATUS=OR","EQY_CONSOLIDATED=Y","Sort=A","Dates=H","DateFormat=P","Fill=—","Direction=H","UseDPDF=Y")</f>
        <v>#NAME?</v>
      </c>
      <c r="BM252" s="2" t="e">
        <f ca="1">_xll.BDH($C$228,"INVENTORY_SEQUENTIAL_GROWTH","FQ4 2018","FQ4 2018","Currency=INR","Period=FQ","BEST_FPERIOD_OVERRIDE=FQ","FILING_STATUS=OR","EQY_CONSOLIDATED=Y","Sort=A","Dates=H","DateFormat=P","Fill=—","Direction=H","UseDPDF=Y")</f>
        <v>#NAME?</v>
      </c>
      <c r="BN252" s="2" t="e">
        <f ca="1">_xll.BDH($C$228,"FIXED_ASSETS_SEQUENTIAL_GROWTH","FQ4 2018","FQ4 2018","Currency=INR","Period=FQ","BEST_FPERIOD_OVERRIDE=FQ","FILING_STATUS=OR","EQY_CONSOLIDATED=Y","Sort=A","Dates=H","DateFormat=P","Fill=—","Direction=H","UseDPDF=Y")</f>
        <v>#NAME?</v>
      </c>
      <c r="BO252" s="2" t="e">
        <f ca="1">_xll.BDH($C$228,"TOTAL_ASSETS_SEQUENTIAL_GROWTH","FQ4 2018","FQ4 2018","Currency=INR","Period=FQ","BEST_FPERIOD_OVERRIDE=FQ","FILING_STATUS=OR","EQY_CONSOLIDATED=Y","Sort=A","Dates=H","DateFormat=P","Fill=—","Direction=H","UseDPDF=Y")</f>
        <v>#NAME?</v>
      </c>
      <c r="BP252" s="2" t="e">
        <f ca="1">_xll.BDH($C$228,"MODIFIED_WORKING_CPTL_SEQ_GRWTH","FQ4 2018","FQ4 2018","Currency=INR","Period=FQ","BEST_FPERIOD_OVERRIDE=FQ","FILING_STATUS=OR","EQY_CONSOLIDATED=Y","Sort=A","Dates=H","DateFormat=P","Fill=—","Direction=H","UseDPDF=Y")</f>
        <v>#NAME?</v>
      </c>
      <c r="BQ252" s="2" t="e">
        <f ca="1">_xll.BDH($C$228,"WORKING_CAPITAL_SEQ_GROWTH","FQ4 2018","FQ4 2018","Currency=INR","Period=FQ","BEST_FPERIOD_OVERRIDE=FQ","FILING_STATUS=OR","EQY_CONSOLIDATED=Y","Sort=A","Dates=H","DateFormat=P","Fill=—","Direction=H","UseDPDF=Y")</f>
        <v>#NAME?</v>
      </c>
      <c r="BR252" s="2" t="e">
        <f ca="1">_xll.BDH($C$228,"ACCOUNTS_PAYABLE_SEQ_GROWTH","FQ4 2018","FQ4 2018","Currency=INR","Period=FQ","BEST_FPERIOD_OVERRIDE=FQ","FILING_STATUS=OR","EQY_CONSOLIDATED=Y","Sort=A","Dates=H","DateFormat=P","Fill=—","Direction=H","UseDPDF=Y")</f>
        <v>#NAME?</v>
      </c>
      <c r="BS252" s="2" t="e">
        <f ca="1">_xll.BDH($C$228,"ST_DEBT_SEQUENTIAL_GROWTH","FQ4 2018","FQ4 2018","Currency=INR","Period=FQ","BEST_FPERIOD_OVERRIDE=FQ","FILING_STATUS=OR","EQY_CONSOLIDATED=Y","Sort=A","Dates=H","DateFormat=P","Fill=—","Direction=H","UseDPDF=Y")</f>
        <v>#NAME?</v>
      </c>
      <c r="BT252" s="2" t="e">
        <f ca="1">_xll.BDH($C$228,"TOTAL_DEBT_SEQUENTIAL_GROWTH","FQ4 2018","FQ4 2018","Currency=INR","Period=FQ","BEST_FPERIOD_OVERRIDE=FQ","FILING_STATUS=OR","EQY_CONSOLIDATED=Y","Sort=A","Dates=H","DateFormat=P","Fill=—","Direction=H","UseDPDF=Y")</f>
        <v>#NAME?</v>
      </c>
      <c r="BU252" s="2" t="e">
        <f ca="1">_xll.BDH($C$228,"TOTAL_EQUITY_SEQUENTIAL_GROWTH","FQ4 2018","FQ4 2018","Currency=INR","Period=FQ","BEST_FPERIOD_OVERRIDE=FQ","FILING_STATUS=OR","EQY_CONSOLIDATED=Y","Sort=A","Dates=H","DateFormat=P","Fill=—","Direction=H","UseDPDF=Y")</f>
        <v>#NAME?</v>
      </c>
      <c r="BV252" s="2" t="e">
        <f ca="1">_xll.BDH($C$228,"TOTAL_CAPITAL_SEQUENTIAL_GROWTH","FQ4 2018","FQ4 2018","Currency=INR","Period=FQ","BEST_FPERIOD_OVERRIDE=FQ","FILING_STATUS=OR","EQY_CONSOLIDATED=Y","Sort=A","Dates=H","DateFormat=P","Fill=—","Direction=H","UseDPDF=Y")</f>
        <v>#NAME?</v>
      </c>
      <c r="BW252" s="2" t="e">
        <f ca="1">_xll.BDH($C$228,"BPS_SEQUENTIAL_GROWTH","FQ4 2018","FQ4 2018","Currency=INR","Period=FQ","BEST_FPERIOD_OVERRIDE=FQ","FILING_STATUS=OR","EQY_CONSOLIDATED=Y","Sort=A","Dates=H","DateFormat=P","Fill=—","Direction=H","UseDPDF=Y")</f>
        <v>#NAME?</v>
      </c>
      <c r="BX252" s="2" t="e">
        <f ca="1">_xll.BDH($C$228,"CFO_SEQUENTIAL_GROWTH","FQ4 2018","FQ4 2018","Currency=INR","Period=FQ","BEST_FPERIOD_OVERRIDE=FQ","FILING_STATUS=OR","EQY_CONSOLIDATED=Y","Sort=A","Dates=H","DateFormat=P","Fill=—","Direction=H","UseDPDF=Y")</f>
        <v>#NAME?</v>
      </c>
      <c r="BY252" s="3" t="e">
        <f ca="1">_xll.BDH($C$228,"SHORT_AND_LONG_TERM_DEBT","FQ4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52" s="3" t="e">
        <f ca="1">_xll.BDH($C$228,"BS_ST_BORROW","FQ4 2018","FQ4 2018","Currency=INR","Period=FQ","BEST_FPERIOD_OVERRIDE=FQ","FILING_STATUS=OR","EQY_CONSOLIDATED=Y","SCALING_FORMAT=MLN","Sort=A","Dates=H","DateFormat=P","Fill=—","Direction=H","UseDPDF=Y")</f>
        <v>#NAME?</v>
      </c>
      <c r="CA252" s="3" t="e">
        <f ca="1">_xll.BDH($C$228,"BS_LT_BORROW","FQ4 2018","FQ4 2018","Currency=INR","Period=FQ","BEST_FPERIOD_OVERRIDE=FQ","FILING_STATUS=OR","EQY_CONSOLIDATED=Y","SCALING_FORMAT=MLN","Sort=A","Dates=H","DateFormat=P","Fill=—","Direction=H","UseDPDF=Y")</f>
        <v>#NAME?</v>
      </c>
      <c r="CB252" s="2" t="e">
        <f ca="1">_xll.BDH($C$228,"TOT_DEBT_TO_EBITDA","FQ4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52" s="2" t="e">
        <f ca="1">_xll.BDH($C$228,"NET_DEBT_TO_EBITDA","FQ4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52" s="2" t="e">
        <f ca="1">_xll.BDH($C$228,"TOTAL_DEBT_TO_EBIT","FQ4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52" s="2" t="e">
        <f ca="1">_xll.BDH($C$228,"NET_DEBT_TO_EBIT","FQ4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252" s="2" t="e">
        <f ca="1">_xll.BDH($C$228,"EBITDA_TO_INTEREST_EXPN","FQ4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52" s="2" t="e">
        <f ca="1">_xll.BDH($C$228,"COM_EQY_TO_TOT_ASSET","FQ4 2018","FQ4 2018","Currency=INR","Period=FQ","BEST_FPERIOD_OVERRIDE=FQ","FILING_STATUS=OR","EQY_CONSOLIDATED=Y","Sort=A","Dates=H","DateFormat=P","Fill=—","Direction=H","UseDPDF=Y")</f>
        <v>#NAME?</v>
      </c>
      <c r="CH252" s="2" t="e">
        <f ca="1">_xll.BDH($C$228,"LT_DEBT_TO_TOT_EQY","FQ4 2018","FQ4 2018","Currency=INR","Period=FQ","BEST_FPERIOD_OVERRIDE=FQ","FILING_STATUS=OR","EQY_CONSOLIDATED=Y","Sort=A","Dates=H","DateFormat=P","Fill=—","Direction=H","UseDPDF=Y")</f>
        <v>#NAME?</v>
      </c>
      <c r="CI252" s="2" t="e">
        <f ca="1">_xll.BDH($C$228,"LT_DEBT_TO_TOT_CAP","FQ4 2018","FQ4 2018","Currency=INR","Period=FQ","BEST_FPERIOD_OVERRIDE=FQ","FILING_STATUS=OR","EQY_CONSOLIDATED=Y","Sort=A","Dates=H","DateFormat=P","Fill=—","Direction=H","UseDPDF=Y")</f>
        <v>#NAME?</v>
      </c>
      <c r="CJ252" s="2" t="e">
        <f ca="1">_xll.BDH($C$228,"LT_DEBT_TO_TOT_ASSET","FQ4 2018","FQ4 2018","Currency=INR","Period=FQ","BEST_FPERIOD_OVERRIDE=FQ","FILING_STATUS=OR","EQY_CONSOLIDATED=Y","Sort=A","Dates=H","DateFormat=P","Fill=—","Direction=H","UseDPDF=Y")</f>
        <v>#NAME?</v>
      </c>
      <c r="CK252" s="2" t="e">
        <f ca="1">_xll.BDH($C$228,"TOT_DEBT_TO_TOT_EQY","FQ4 2018","FQ4 2018","Currency=INR","Period=FQ","BEST_FPERIOD_OVERRIDE=FQ","FILING_STATUS=OR","EQY_CONSOLIDATED=Y","Sort=A","Dates=H","DateFormat=P","Fill=—","Direction=H","UseDPDF=Y")</f>
        <v>#NAME?</v>
      </c>
      <c r="CL252" s="2" t="e">
        <f ca="1">_xll.BDH($C$228,"TOT_DEBT_TO_TOT_CAP","FQ4 2018","FQ4 2018","Currency=INR","Period=FQ","BEST_FPERIOD_OVERRIDE=FQ","FILING_STATUS=OR","EQY_CONSOLIDATED=Y","Sort=A","Dates=H","DateFormat=P","Fill=—","Direction=H","UseDPDF=Y")</f>
        <v>#NAME?</v>
      </c>
      <c r="CM252" s="2" t="e">
        <f ca="1">_xll.BDH($C$228,"TOT_DEBT_TO_TOT_ASSET","FQ4 2018","FQ4 2018","Currency=INR","Period=FQ","BEST_FPERIOD_OVERRIDE=FQ","FILING_STATUS=OR","EQY_CONSOLIDATED=Y","Sort=A","Dates=H","DateFormat=P","Fill=—","Direction=H","UseDPDF=Y")</f>
        <v>#NAME?</v>
      </c>
      <c r="CN252" s="2" t="e">
        <f ca="1">_xll.BDH($C$228,"NET_DEBT_TO_SHRHLDR_EQTY","FQ4 2018","FQ4 2018","Currency=INR","Period=FQ","BEST_FPERIOD_OVERRIDE=FQ","FILING_STATUS=OR","EQY_CONSOLIDATED=Y","Sort=A","Dates=H","DateFormat=P","Fill=—","Direction=H","UseDPDF=Y")</f>
        <v>#NAME?</v>
      </c>
      <c r="CO252" s="2" t="e">
        <f ca="1">_xll.BDH($C$228,"NET_DEBT_%_CAPITAL","FQ4 2018","FQ4 2018","Currency=INR","Period=FQ","BEST_FPERIOD_OVERRIDE=FQ","FILING_STATUS=OR","EQY_CONSOLIDATED=Y","Sort=A","Dates=H","DateFormat=P","Fill=—","Direction=H","UseDPDF=Y")</f>
        <v>#NAME?</v>
      </c>
      <c r="CP252" s="3" t="e">
        <f ca="1">_xll.BDH($C$228,"EBITDA","FQ4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52" s="3" t="e">
        <f ca="1">_xll.BDH($C$228,"EBITDA_AFTER_CAPEX","FQ4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52" s="3" t="e">
        <f ca="1">_xll.BDH($C$228,"IS_OPER_INC","FQ4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52" s="2" t="e">
        <f ca="1">_xll.BDH($C$228,"CASH_RATIO","FQ4 2018","FQ4 2018","Currency=INR","Period=FQ","BEST_FPERIOD_OVERRIDE=FQ","FILING_STATUS=OR","EQY_CONSOLIDATED=Y","Sort=A","Dates=H","DateFormat=P","Fill=—","Direction=H","UseDPDF=Y")</f>
        <v>#NAME?</v>
      </c>
      <c r="CT252" s="2" t="e">
        <f ca="1">_xll.BDH($C$228,"CUR_RATIO","FQ4 2018","FQ4 2018","Currency=INR","Period=FQ","BEST_FPERIOD_OVERRIDE=FQ","FILING_STATUS=OR","EQY_CONSOLIDATED=Y","Sort=A","Dates=H","DateFormat=P","Fill=—","Direction=H","UseDPDF=Y")</f>
        <v>#NAME?</v>
      </c>
      <c r="CU252" s="2" t="e">
        <f ca="1">_xll.BDH($C$228,"QUICK_RATIO","FQ4 2018","FQ4 2018","Currency=INR","Period=FQ","BEST_FPERIOD_OVERRIDE=FQ","FILING_STATUS=OR","EQY_CONSOLIDATED=Y","Sort=A","Dates=H","DateFormat=P","Fill=—","Direction=H","UseDPDF=Y")</f>
        <v>#NAME?</v>
      </c>
      <c r="CV252" s="2" t="e">
        <f ca="1">_xll.BDH($C$228,"ALTMAN_Z_SCORE","FQ4 2018","FQ4 2018","Currency=INR","Period=FQ","BEST_FPERIOD_OVERRIDE=FQ","FILING_STATUS=OR","EQY_CONSOLIDATED=Y","Sort=A","Dates=H","DateFormat=P","Fill=—","Direction=H","UseDPDF=Y")</f>
        <v>#NAME?</v>
      </c>
      <c r="CW252" s="4" t="e">
        <f ca="1">_xll.BDH($C$228,"ACCT_RCV_TURN","FQ4 2018","FQ4 2018","Currency=INR","Period=FQ","BEST_FPERIOD_OVERRIDE=FQ","FILING_STATUS=OR","EQY_CONSOLIDATED=Y","FA_ADJUSTED=GAAP","Sort=A","Dates=H","DateFormat=P","Fill=—","Direction=H","UseDPDF=Y")</f>
        <v>#NAME?</v>
      </c>
      <c r="CX252" s="2" t="e">
        <f ca="1">_xll.BDH($C$228,"ACCT_RCV_DAYS","FQ4 2018","FQ4 2018","Currency=INR","Period=FQ","BEST_FPERIOD_OVERRIDE=FQ","FILING_STATUS=OR","EQY_CONSOLIDATED=Y","FA_ADJUSTED=GAAP","Sort=A","Dates=H","DateFormat=P","Fill=—","Direction=H","UseDPDF=Y")</f>
        <v>#NAME?</v>
      </c>
      <c r="CY252" s="4" t="e">
        <f ca="1">_xll.BDH($C$228,"INVENT_TURN","FQ4 2018","FQ4 2018","Currency=INR","Period=FQ","BEST_FPERIOD_OVERRIDE=FQ","FILING_STATUS=OR","EQY_CONSOLIDATED=Y","FA_ADJUSTED=GAAP","Sort=A","Dates=H","DateFormat=P","Fill=—","Direction=H","UseDPDF=Y")</f>
        <v>#NAME?</v>
      </c>
      <c r="CZ252" s="2" t="e">
        <f ca="1">_xll.BDH($C$228,"INVENT_DAYS","FQ4 2018","FQ4 2018","Currency=INR","Period=FQ","BEST_FPERIOD_OVERRIDE=FQ","FILING_STATUS=OR","EQY_CONSOLIDATED=Y","FA_ADJUSTED=GAAP","Sort=A","Dates=H","DateFormat=P","Fill=—","Direction=H","UseDPDF=Y")</f>
        <v>#NAME?</v>
      </c>
      <c r="DA252" s="4" t="e">
        <f ca="1">_xll.BDH($C$228,"ACCOUNTS_PAYABLE_TURNOVER","FQ4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52" s="2" t="e">
        <f ca="1">_xll.BDH($C$228,"ACCOUNTS_PAYABLE_TURNOVER_DAYS","FQ4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52" s="4" t="e">
        <f ca="1">_xll.BDH($C$228,"CASH_CONVERSION_CYCLE","FQ4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52" s="4" t="e">
        <f ca="1">_xll.BDH($C$228,"INV_TO_CASH_DAYS","FQ4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252" s="5" t="e">
        <f ca="1">_xll.BDH($C$228,"BS_INVENTORIES","FQ4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252" s="3" t="e">
        <f ca="1">_xll.BDH($C$228,"INVTRY_RAW_MATERIALS","FQ4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52" s="3" t="e">
        <f ca="1">_xll.BDH($C$228,"INVTRY_IN_PROGRESS","FQ4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52" s="3" t="e">
        <f ca="1">_xll.BDH($C$228,"INVTRY_FINISHED_GOODS","FQ4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52" s="3" t="e">
        <f ca="1">_xll.BDH($C$228,"BS_OTHER_INV","FQ4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53" spans="1:113" x14ac:dyDescent="0.3">
      <c r="A253" s="6">
        <v>86</v>
      </c>
      <c r="B253" s="6" t="s">
        <v>104</v>
      </c>
      <c r="C253" s="6" t="s">
        <v>105</v>
      </c>
      <c r="D253" s="6" t="s">
        <v>76</v>
      </c>
      <c r="E253" t="s">
        <v>77</v>
      </c>
      <c r="F253" t="e">
        <f ca="1">_xll.BDH($C$253,"RETURN_COM_EQY","FY 2014","FY 2014","Currency=INR","Period=FY","BEST_FPERIOD_OVERRIDE=FY","FILING_STATUS=OR","EQY_CONSOLIDATED=Y","FA_ADJUSTED=GAAP","Sort=A","Dates=H","DateFormat=P","Fill=—","Direction=H","UseDPDF=Y")</f>
        <v>#NAME?</v>
      </c>
      <c r="G253" t="e">
        <f ca="1">_xll.BDH($C$253,"RETURN_ON_ASSET","FY 2014","FY 2014","Currency=INR","Period=FY","BEST_FPERIOD_OVERRIDE=FY","FILING_STATUS=OR","EQY_CONSOLIDATED=Y","FA_ADJUSTED=GAAP","Sort=A","Dates=H","DateFormat=P","Fill=—","Direction=H","UseDPDF=Y")</f>
        <v>#NAME?</v>
      </c>
      <c r="H253" t="e">
        <f ca="1">_xll.BDH($C$253,"RETURN_ON_CAP","FY 2014","FY 2014","Currency=INR","Period=FY","BEST_FPERIOD_OVERRIDE=FY","FILING_STATUS=OR","EQY_CONSOLIDATED=Y","FA_ADJUSTED=GAAP","Sort=A","Dates=H","DateFormat=P","Fill=—","Direction=H","UseDPDF=Y")</f>
        <v>#NAME?</v>
      </c>
      <c r="I253" t="e">
        <f ca="1">_xll.BDH($C$253,"RETURN_ON_INV_CAPITAL","FY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53" t="e">
        <f ca="1">_xll.BDH($C$253,"EBITDA_TO_REVENUE","FY 2014","FY 2014","Currency=INR","Period=FY","BEST_FPERIOD_OVERRIDE=FY","FILING_STATUS=OR","EQY_CONSOLIDATED=Y","FA_ADJUSTED=GAAP","Sort=A","Dates=H","DateFormat=P","Fill=—","Direction=H","UseDPDF=Y")</f>
        <v>#NAME?</v>
      </c>
      <c r="K253" t="e">
        <f ca="1">_xll.BDH($C$253,"OPER_MARGIN","FY 2014","FY 2014","Currency=INR","Period=FY","BEST_FPERIOD_OVERRIDE=FY","FILING_STATUS=OR","EQY_CONSOLIDATED=Y","FA_ADJUSTED=GAAP","Sort=A","Dates=H","DateFormat=P","Fill=—","Direction=H","UseDPDF=Y")</f>
        <v>#NAME?</v>
      </c>
      <c r="L253" t="e">
        <f ca="1">_xll.BDH($C$253,"INCREMENTAL_OPERATING_MARGIN","FY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53" t="e">
        <f ca="1">_xll.BDH($C$253,"PRETAX_INC_TO_NET_SALES","FY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53" t="e">
        <f ca="1">_xll.BDH($C$253,"INC_BEF_XO_ITEMS_TO_NET_SALES","FY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53" t="e">
        <f ca="1">_xll.BDH($C$253,"PROF_MARGIN","FY 2014","FY 2014","Currency=INR","Period=FY","BEST_FPERIOD_OVERRIDE=FY","FILING_STATUS=OR","EQY_CONSOLIDATED=Y","FA_ADJUSTED=GAAP","Sort=A","Dates=H","DateFormat=P","Fill=—","Direction=H","UseDPDF=Y")</f>
        <v>#NAME?</v>
      </c>
      <c r="P253" t="e">
        <f ca="1">_xll.BDH($C$253,"NET_INCOME_TO_COMMON_MARGIN","FY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53" t="e">
        <f ca="1">_xll.BDH($C$253,"EFF_TAX_RATE","FY 2014","FY 2014","Currency=INR","Period=FY","BEST_FPERIOD_OVERRIDE=FY","FILING_STATUS=OR","EQY_CONSOLIDATED=Y","FA_ADJUSTED=GAAP","Sort=A","Dates=H","DateFormat=P","Fill=—","Direction=H","UseDPDF=Y")</f>
        <v>#NAME?</v>
      </c>
      <c r="R253" t="e">
        <f ca="1">_xll.BDH($C$253,"DVD_PAYOUT_RATIO","FY 2014","FY 2014","Currency=INR","Period=FY","BEST_FPERIOD_OVERRIDE=FY","FILING_STATUS=OR","EQY_CONSOLIDATED=Y","FA_ADJUSTED=GAAP","Sort=A","Dates=H","DateFormat=P","Fill=—","Direction=H","UseDPDF=Y")</f>
        <v>#NAME?</v>
      </c>
      <c r="S253" t="e">
        <f ca="1">_xll.BDH($C$253,"SUSTAIN_GROWTH_RT","FY 2014","FY 2014","Currency=INR","Period=FY","BEST_FPERIOD_OVERRIDE=FY","FILING_STATUS=OR","EQY_CONSOLIDATED=Y","FA_ADJUSTED=GAAP","Sort=A","Dates=H","DateFormat=P","Fill=—","Direction=H","UseDPDF=Y")</f>
        <v>#NAME?</v>
      </c>
      <c r="T253" s="2" t="e">
        <f ca="1">_xll.BDH($C$253,"SALES_GROWTH","FY 2014","FY 2014","Currency=INR","Period=FY","BEST_FPERIOD_OVERRIDE=FY","FILING_STATUS=OR","EQY_CONSOLIDATED=Y","FA_ADJUSTED=GAAP","Sort=A","Dates=H","DateFormat=P","Fill=—","Direction=H","UseDPDF=Y")</f>
        <v>#NAME?</v>
      </c>
      <c r="U253" s="2" t="e">
        <f ca="1">_xll.BDH($C$253,"EBITDA_GROWTH","FY 2014","FY 2014","Currency=INR","Period=FY","BEST_FPERIOD_OVERRIDE=FY","FILING_STATUS=OR","EQY_CONSOLIDATED=Y","FA_ADJUSTED=GAAP","Sort=A","Dates=H","DateFormat=P","Fill=—","Direction=H","UseDPDF=Y")</f>
        <v>#NAME?</v>
      </c>
      <c r="V253" s="2" t="e">
        <f ca="1">_xll.BDH($C$253,"OPER_INC_GROWTH","FY 2014","FY 2014","Currency=INR","Period=FY","BEST_FPERIOD_OVERRIDE=FY","FILING_STATUS=OR","EQY_CONSOLIDATED=Y","FA_ADJUSTED=GAAP","Sort=A","Dates=H","DateFormat=P","Fill=—","Direction=H","UseDPDF=Y")</f>
        <v>#NAME?</v>
      </c>
      <c r="W253" s="2" t="e">
        <f ca="1">_xll.BDH($C$253,"EARN_FOR_COM_GROWTH","FY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253" s="2" t="e">
        <f ca="1">_xll.BDH($C$253,"DILUTED_EPS_AFT_XO_ITEMS_GROWTH","FY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53" s="2" t="e">
        <f ca="1">_xll.BDH($C$253,"DIVIDEND_PER_SHARE_1_YEAR_GROWTH","FY 2014","FY 2014","Currency=INR","Period=FY","BEST_FPERIOD_OVERRIDE=FY","FILING_STATUS=OR","EQY_CONSOLIDATED=Y","Sort=A","Dates=H","DateFormat=P","Fill=—","Direction=H","UseDPDF=Y")</f>
        <v>#NAME?</v>
      </c>
      <c r="Z253" s="2" t="e">
        <f ca="1">_xll.BDH($C$253,"ACCOUNTS_RECEIVABLE_GROWTH","FY 2014","FY 2014","Currency=INR","Period=FY","BEST_FPERIOD_OVERRIDE=FY","FILING_STATUS=OR","EQY_CONSOLIDATED=Y","Sort=A","Dates=H","DateFormat=P","Fill=—","Direction=H","UseDPDF=Y")</f>
        <v>#NAME?</v>
      </c>
      <c r="AA253" s="2" t="e">
        <f ca="1">_xll.BDH($C$253,"INVENTORY_GROWTH","FY 2014","FY 2014","Currency=INR","Period=FY","BEST_FPERIOD_OVERRIDE=FY","FILING_STATUS=OR","EQY_CONSOLIDATED=Y","Sort=A","Dates=H","DateFormat=P","Fill=—","Direction=H","UseDPDF=Y")</f>
        <v>#NAME?</v>
      </c>
      <c r="AB253" s="2" t="e">
        <f ca="1">_xll.BDH($C$253,"NET_FIXED_ASSETS_1_YEAR_GROWTH","FY 2014","FY 2014","Currency=INR","Period=FY","BEST_FPERIOD_OVERRIDE=FY","FILING_STATUS=OR","EQY_CONSOLIDATED=Y","Sort=A","Dates=H","DateFormat=P","Fill=—","Direction=H","UseDPDF=Y")</f>
        <v>#NAME?</v>
      </c>
      <c r="AC253" s="2" t="e">
        <f ca="1">_xll.BDH($C$253,"ASSET_GROWTH","FY 2014","FY 2014","Currency=INR","Period=FY","BEST_FPERIOD_OVERRIDE=FY","FILING_STATUS=OR","EQY_CONSOLIDATED=Y","Sort=A","Dates=H","DateFormat=P","Fill=—","Direction=H","UseDPDF=Y")</f>
        <v>#NAME?</v>
      </c>
      <c r="AD253" s="2" t="e">
        <f ca="1">_xll.BDH($C$253,"MODIFIED_WORK_CAP_GROWTH","FY 2014","FY 2014","Currency=INR","Period=FY","BEST_FPERIOD_OVERRIDE=FY","FILING_STATUS=OR","EQY_CONSOLIDATED=Y","Sort=A","Dates=H","DateFormat=P","Fill=—","Direction=H","UseDPDF=Y")</f>
        <v>#NAME?</v>
      </c>
      <c r="AE253" s="2" t="e">
        <f ca="1">_xll.BDH($C$253,"WORK_CAP_GROWTH","FY 2014","FY 2014","Currency=INR","Period=FY","BEST_FPERIOD_OVERRIDE=FY","FILING_STATUS=OR","EQY_CONSOLIDATED=Y","Sort=A","Dates=H","DateFormat=P","Fill=—","Direction=H","UseDPDF=Y")</f>
        <v>#NAME?</v>
      </c>
      <c r="AF253" s="2" t="e">
        <f ca="1">_xll.BDH($C$253,"ACCOUNTS_PAYABLE_GROWTH_1YR","FY 2014","FY 2014","Currency=INR","Period=FY","BEST_FPERIOD_OVERRIDE=FY","FILING_STATUS=OR","EQY_CONSOLIDATED=Y","Sort=A","Dates=H","DateFormat=P","Fill=—","Direction=H","UseDPDF=Y")</f>
        <v>#NAME?</v>
      </c>
      <c r="AG253" s="2" t="e">
        <f ca="1">_xll.BDH($C$253,"SHORT_TERM_DEBT_1_YEAR_GROWTH","FY 2014","FY 2014","Currency=INR","Period=FY","BEST_FPERIOD_OVERRIDE=FY","FILING_STATUS=OR","EQY_CONSOLIDATED=Y","Sort=A","Dates=H","DateFormat=P","Fill=—","Direction=H","UseDPDF=Y")</f>
        <v>#NAME?</v>
      </c>
      <c r="AH253" s="2" t="e">
        <f ca="1">_xll.BDH($C$253,"TOTAL_DEBT_1_YEAR_GROWTH","FY 2014","FY 2014","Currency=INR","Period=FY","BEST_FPERIOD_OVERRIDE=FY","FILING_STATUS=OR","EQY_CONSOLIDATED=Y","Sort=A","Dates=H","DateFormat=P","Fill=—","Direction=H","UseDPDF=Y")</f>
        <v>#NAME?</v>
      </c>
      <c r="AI253" s="2" t="e">
        <f ca="1">_xll.BDH($C$253,"TOTAL_EQUITY_1_YEAR_GROWTH","FY 2014","FY 2014","Currency=INR","Period=FY","BEST_FPERIOD_OVERRIDE=FY","FILING_STATUS=OR","EQY_CONSOLIDATED=Y","Sort=A","Dates=H","DateFormat=P","Fill=—","Direction=H","UseDPDF=Y")</f>
        <v>#NAME?</v>
      </c>
      <c r="AJ253" s="2" t="e">
        <f ca="1">_xll.BDH($C$253,"GROWTH_IN_CAP","FY 2014","FY 2014","Currency=INR","Period=FY","BEST_FPERIOD_OVERRIDE=FY","FILING_STATUS=OR","EQY_CONSOLIDATED=Y","Sort=A","Dates=H","DateFormat=P","Fill=—","Direction=H","UseDPDF=Y")</f>
        <v>#NAME?</v>
      </c>
      <c r="AK253" s="2" t="e">
        <f ca="1">_xll.BDH($C$253,"BVPS_GROWTH","FY 2014","FY 2014","Currency=INR","Period=FY","BEST_FPERIOD_OVERRIDE=FY","FILING_STATUS=OR","EQY_CONSOLIDATED=Y","Sort=A","Dates=H","DateFormat=P","Fill=—","Direction=H","UseDPDF=Y")</f>
        <v>#NAME?</v>
      </c>
      <c r="AL253" s="2" t="e">
        <f ca="1">_xll.BDH($C$253,"CASH_FLOW_GROWTH","FY 2014","FY 2014","Currency=INR","Period=FY","BEST_FPERIOD_OVERRIDE=FY","FILING_STATUS=OR","EQY_CONSOLIDATED=Y","Sort=A","Dates=H","DateFormat=P","Fill=—","Direction=H","UseDPDF=Y")</f>
        <v>#NAME?</v>
      </c>
      <c r="AM253" s="2" t="e">
        <f ca="1">_xll.BDH($C$253,"GEO_GROW_NET_SALES","FY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253" s="2" t="e">
        <f ca="1">_xll.BDH($C$253,"GEO_GROW_EBITDA","FY 2014","FY 2014","Currency=INR","Period=FY","BEST_FPERIOD_OVERRIDE=FY","FILING_STATUS=OR","EQY_CONSOLIDATED=Y","FA_ADJUSTED=GAAP","Sort=A","Dates=H","DateFormat=P","Fill=—","Direction=H","UseDPDF=Y")</f>
        <v>#NAME?</v>
      </c>
      <c r="AO253" s="2" t="e">
        <f ca="1">_xll.BDH($C$253,"GEO_GROW_OPER_INC","FY 2014","FY 2014","Currency=INR","Period=FY","BEST_FPERIOD_OVERRIDE=FY","FILING_STATUS=OR","EQY_CONSOLIDATED=Y","FA_ADJUSTED=GAAP","Sort=A","Dates=H","DateFormat=P","Fill=—","Direction=H","UseDPDF=Y")</f>
        <v>#NAME?</v>
      </c>
      <c r="AP253" s="2" t="e">
        <f ca="1">_xll.BDH($C$253,"NET_INCOME_TO_COMMON_5_YR_GROWTH","FY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53" s="2" t="e">
        <f ca="1">_xll.BDH($C$253,"5Y_GEO_GROWTH_DILUTED_EPS","FY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53" s="2" t="e">
        <f ca="1">_xll.BDH($C$253,"GEO_GROW_DVD_PER_SH","FY 2014","FY 2014","Currency=INR","Period=FY","BEST_FPERIOD_OVERRIDE=FY","FILING_STATUS=OR","EQY_CONSOLIDATED=Y","Sort=A","Dates=H","DateFormat=P","Fill=—","Direction=H","UseDPDF=Y")</f>
        <v>#NAME?</v>
      </c>
      <c r="AS253" s="2" t="e">
        <f ca="1">_xll.BDH($C$253,"ACCOUNTS_RECEIVABLE_5_YR_GROWTH","FY 2014","FY 2014","Currency=INR","Period=FY","BEST_FPERIOD_OVERRIDE=FY","FILING_STATUS=OR","EQY_CONSOLIDATED=Y","Sort=A","Dates=H","DateFormat=P","Fill=—","Direction=H","UseDPDF=Y")</f>
        <v>#NAME?</v>
      </c>
      <c r="AT253" s="2" t="e">
        <f ca="1">_xll.BDH($C$253,"INVENTORY_5_YEAR_GROWTH","FY 2014","FY 2014","Currency=INR","Period=FY","BEST_FPERIOD_OVERRIDE=FY","FILING_STATUS=OR","EQY_CONSOLIDATED=Y","Sort=A","Dates=H","DateFormat=P","Fill=—","Direction=H","UseDPDF=Y")</f>
        <v>#NAME?</v>
      </c>
      <c r="AU253" s="2" t="e">
        <f ca="1">_xll.BDH($C$253,"NET_FIXED_ASSETS_5_YEAR_GROWTH","FY 2014","FY 2014","Currency=INR","Period=FY","BEST_FPERIOD_OVERRIDE=FY","FILING_STATUS=OR","EQY_CONSOLIDATED=Y","Sort=A","Dates=H","DateFormat=P","Fill=—","Direction=H","UseDPDF=Y")</f>
        <v>#NAME?</v>
      </c>
      <c r="AV253" s="2" t="e">
        <f ca="1">_xll.BDH($C$253,"GEO_GROW_TOT_ASSET","FY 2014","FY 2014","Currency=INR","Period=FY","BEST_FPERIOD_OVERRIDE=FY","FILING_STATUS=OR","EQY_CONSOLIDATED=Y","Sort=A","Dates=H","DateFormat=P","Fill=—","Direction=H","UseDPDF=Y")</f>
        <v>#NAME?</v>
      </c>
      <c r="AW253" s="2" t="e">
        <f ca="1">_xll.BDH($C$253,"MODIFIED_WORKING_CPTL_5YR_GRWTH","FY 2014","FY 2014","Currency=INR","Period=FY","BEST_FPERIOD_OVERRIDE=FY","FILING_STATUS=OR","EQY_CONSOLIDATED=Y","Sort=A","Dates=H","DateFormat=P","Fill=—","Direction=H","UseDPDF=Y")</f>
        <v>#NAME?</v>
      </c>
      <c r="AX253" s="2" t="e">
        <f ca="1">_xll.BDH($C$253,"WORKING_CAPITAL_5_YEAR_GROWTH","FY 2014","FY 2014","Currency=INR","Period=FY","BEST_FPERIOD_OVERRIDE=FY","FILING_STATUS=OR","EQY_CONSOLIDATED=Y","Sort=A","Dates=H","DateFormat=P","Fill=—","Direction=H","UseDPDF=Y")</f>
        <v>#NAME?</v>
      </c>
      <c r="AY253" s="2" t="e">
        <f ca="1">_xll.BDH($C$253,"ACCOUNTS_PAYABLE_5_YEAR_GROWTH","FY 2014","FY 2014","Currency=INR","Period=FY","BEST_FPERIOD_OVERRIDE=FY","FILING_STATUS=OR","EQY_CONSOLIDATED=Y","Sort=A","Dates=H","DateFormat=P","Fill=—","Direction=H","UseDPDF=Y")</f>
        <v>#NAME?</v>
      </c>
      <c r="AZ253" s="2" t="e">
        <f ca="1">_xll.BDH($C$253,"SHORT_TERM_DEBT_5_YEAR_GROWTH","FY 2014","FY 2014","Currency=INR","Period=FY","BEST_FPERIOD_OVERRIDE=FY","FILING_STATUS=OR","EQY_CONSOLIDATED=Y","Sort=A","Dates=H","DateFormat=P","Fill=—","Direction=H","UseDPDF=Y")</f>
        <v>#NAME?</v>
      </c>
      <c r="BA253" s="2" t="e">
        <f ca="1">_xll.BDH($C$253,"TOTAL_DEBT_5_YEAR_GROWTH","FY 2014","FY 2014","Currency=INR","Period=FY","BEST_FPERIOD_OVERRIDE=FY","FILING_STATUS=OR","EQY_CONSOLIDATED=Y","Sort=A","Dates=H","DateFormat=P","Fill=—","Direction=H","UseDPDF=Y")</f>
        <v>#NAME?</v>
      </c>
      <c r="BB253" s="2" t="e">
        <f ca="1">_xll.BDH($C$253,"GEO_GROW_TOT_SHRHLDR_EQY","FY 2014","FY 2014","Currency=INR","Period=FY","BEST_FPERIOD_OVERRIDE=FY","FILING_STATUS=OR","EQY_CONSOLIDATED=Y","Sort=A","Dates=H","DateFormat=P","Fill=—","Direction=H","UseDPDF=Y")</f>
        <v>#NAME?</v>
      </c>
      <c r="BC253" s="2" t="e">
        <f ca="1">_xll.BDH($C$253,"TOTAL_CAPITAL_5_YEAR_GROWTH","FY 2014","FY 2014","Currency=INR","Period=FY","BEST_FPERIOD_OVERRIDE=FY","FILING_STATUS=OR","EQY_CONSOLIDATED=Y","Sort=A","Dates=H","DateFormat=P","Fill=—","Direction=H","UseDPDF=Y")</f>
        <v>#NAME?</v>
      </c>
      <c r="BD253" s="2" t="e">
        <f ca="1">_xll.BDH($C$253,"GEO_GROW_BOOK_VAL","FY 2014","FY 2014","Currency=INR","Period=FY","BEST_FPERIOD_OVERRIDE=FY","FILING_STATUS=OR","EQY_CONSOLIDATED=Y","Sort=A","Dates=H","DateFormat=P","Fill=—","Direction=H","UseDPDF=Y")</f>
        <v>#NAME?</v>
      </c>
      <c r="BE253" s="2" t="e">
        <f ca="1">_xll.BDH($C$253,"GEO_GROW_CASH_OPER_ACT","FY 2014","FY 2014","Currency=INR","Period=FY","BEST_FPERIOD_OVERRIDE=FY","FILING_STATUS=OR","EQY_CONSOLIDATED=Y","Sort=A","Dates=H","DateFormat=P","Fill=—","Direction=H","UseDPDF=Y")</f>
        <v>#NAME?</v>
      </c>
      <c r="BF253" s="2" t="e">
        <f ca="1">_xll.BDH($C$253,"REVENUE_SEQUENTIAL_GROWTH","FY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53" s="2" t="e">
        <f ca="1">_xll.BDH($C$253,"EBITDA_SEQUENTIAL_GROWTH","FY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53" s="2" t="e">
        <f ca="1">_xll.BDH($C$253,"OPERATING_INCOME_SEQ_GROWTH","FY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53" s="2" t="e">
        <f ca="1">_xll.BDH($C$253,"NET_INCOME_TO_COMMON_SEQ_GROWTH","FY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53" s="2" t="e">
        <f ca="1">_xll.BDH($C$253,"EPS_DILUTED_SEQUENTIAL_GROWTH","FY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53" s="2" t="e">
        <f ca="1">_xll.BDH($C$253,"DPS_SEQUENTIAL_GROWTH","FY 2014","FY 2014","Currency=INR","Period=FY","BEST_FPERIOD_OVERRIDE=FY","FILING_STATUS=OR","EQY_CONSOLIDATED=Y","Sort=A","Dates=H","DateFormat=P","Fill=—","Direction=H","UseDPDF=Y")</f>
        <v>#NAME?</v>
      </c>
      <c r="BL253" s="2" t="e">
        <f ca="1">_xll.BDH($C$253,"ACCOUNTS_RECEIVABLE_SEQ_GROWTH","FY 2014","FY 2014","Currency=INR","Period=FY","BEST_FPERIOD_OVERRIDE=FY","FILING_STATUS=OR","EQY_CONSOLIDATED=Y","Sort=A","Dates=H","DateFormat=P","Fill=—","Direction=H","UseDPDF=Y")</f>
        <v>#NAME?</v>
      </c>
      <c r="BM253" s="2" t="e">
        <f ca="1">_xll.BDH($C$253,"INVENTORY_SEQUENTIAL_GROWTH","FY 2014","FY 2014","Currency=INR","Period=FY","BEST_FPERIOD_OVERRIDE=FY","FILING_STATUS=OR","EQY_CONSOLIDATED=Y","Sort=A","Dates=H","DateFormat=P","Fill=—","Direction=H","UseDPDF=Y")</f>
        <v>#NAME?</v>
      </c>
      <c r="BN253" s="2" t="e">
        <f ca="1">_xll.BDH($C$253,"FIXED_ASSETS_SEQUENTIAL_GROWTH","FY 2014","FY 2014","Currency=INR","Period=FY","BEST_FPERIOD_OVERRIDE=FY","FILING_STATUS=OR","EQY_CONSOLIDATED=Y","Sort=A","Dates=H","DateFormat=P","Fill=—","Direction=H","UseDPDF=Y")</f>
        <v>#NAME?</v>
      </c>
      <c r="BO253" s="2" t="e">
        <f ca="1">_xll.BDH($C$253,"TOTAL_ASSETS_SEQUENTIAL_GROWTH","FY 2014","FY 2014","Currency=INR","Period=FY","BEST_FPERIOD_OVERRIDE=FY","FILING_STATUS=OR","EQY_CONSOLIDATED=Y","Sort=A","Dates=H","DateFormat=P","Fill=—","Direction=H","UseDPDF=Y")</f>
        <v>#NAME?</v>
      </c>
      <c r="BP253" s="2" t="e">
        <f ca="1">_xll.BDH($C$253,"MODIFIED_WORKING_CPTL_SEQ_GRWTH","FY 2014","FY 2014","Currency=INR","Period=FY","BEST_FPERIOD_OVERRIDE=FY","FILING_STATUS=OR","EQY_CONSOLIDATED=Y","Sort=A","Dates=H","DateFormat=P","Fill=—","Direction=H","UseDPDF=Y")</f>
        <v>#NAME?</v>
      </c>
      <c r="BQ253" s="2" t="e">
        <f ca="1">_xll.BDH($C$253,"WORKING_CAPITAL_SEQ_GROWTH","FY 2014","FY 2014","Currency=INR","Period=FY","BEST_FPERIOD_OVERRIDE=FY","FILING_STATUS=OR","EQY_CONSOLIDATED=Y","Sort=A","Dates=H","DateFormat=P","Fill=—","Direction=H","UseDPDF=Y")</f>
        <v>#NAME?</v>
      </c>
      <c r="BR253" s="2" t="e">
        <f ca="1">_xll.BDH($C$253,"ACCOUNTS_PAYABLE_SEQ_GROWTH","FY 2014","FY 2014","Currency=INR","Period=FY","BEST_FPERIOD_OVERRIDE=FY","FILING_STATUS=OR","EQY_CONSOLIDATED=Y","Sort=A","Dates=H","DateFormat=P","Fill=—","Direction=H","UseDPDF=Y")</f>
        <v>#NAME?</v>
      </c>
      <c r="BS253" s="2" t="e">
        <f ca="1">_xll.BDH($C$253,"ST_DEBT_SEQUENTIAL_GROWTH","FY 2014","FY 2014","Currency=INR","Period=FY","BEST_FPERIOD_OVERRIDE=FY","FILING_STATUS=OR","EQY_CONSOLIDATED=Y","Sort=A","Dates=H","DateFormat=P","Fill=—","Direction=H","UseDPDF=Y")</f>
        <v>#NAME?</v>
      </c>
      <c r="BT253" s="2" t="e">
        <f ca="1">_xll.BDH($C$253,"TOTAL_DEBT_SEQUENTIAL_GROWTH","FY 2014","FY 2014","Currency=INR","Period=FY","BEST_FPERIOD_OVERRIDE=FY","FILING_STATUS=OR","EQY_CONSOLIDATED=Y","Sort=A","Dates=H","DateFormat=P","Fill=—","Direction=H","UseDPDF=Y")</f>
        <v>#NAME?</v>
      </c>
      <c r="BU253" s="2" t="e">
        <f ca="1">_xll.BDH($C$253,"TOTAL_EQUITY_SEQUENTIAL_GROWTH","FY 2014","FY 2014","Currency=INR","Period=FY","BEST_FPERIOD_OVERRIDE=FY","FILING_STATUS=OR","EQY_CONSOLIDATED=Y","Sort=A","Dates=H","DateFormat=P","Fill=—","Direction=H","UseDPDF=Y")</f>
        <v>#NAME?</v>
      </c>
      <c r="BV253" s="2" t="e">
        <f ca="1">_xll.BDH($C$253,"TOTAL_CAPITAL_SEQUENTIAL_GROWTH","FY 2014","FY 2014","Currency=INR","Period=FY","BEST_FPERIOD_OVERRIDE=FY","FILING_STATUS=OR","EQY_CONSOLIDATED=Y","Sort=A","Dates=H","DateFormat=P","Fill=—","Direction=H","UseDPDF=Y")</f>
        <v>#NAME?</v>
      </c>
      <c r="BW253" s="2" t="e">
        <f ca="1">_xll.BDH($C$253,"BPS_SEQUENTIAL_GROWTH","FY 2014","FY 2014","Currency=INR","Period=FY","BEST_FPERIOD_OVERRIDE=FY","FILING_STATUS=OR","EQY_CONSOLIDATED=Y","Sort=A","Dates=H","DateFormat=P","Fill=—","Direction=H","UseDPDF=Y")</f>
        <v>#NAME?</v>
      </c>
      <c r="BX253" s="2" t="e">
        <f ca="1">_xll.BDH($C$253,"CFO_SEQUENTIAL_GROWTH","FY 2014","FY 2014","Currency=INR","Period=FY","BEST_FPERIOD_OVERRIDE=FY","FILING_STATUS=OR","EQY_CONSOLIDATED=Y","Sort=A","Dates=H","DateFormat=P","Fill=—","Direction=H","UseDPDF=Y")</f>
        <v>#NAME?</v>
      </c>
      <c r="BY253" s="3" t="e">
        <f ca="1">_xll.BDH($C$253,"SHORT_AND_LONG_TERM_DEBT","FY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53" s="3" t="e">
        <f ca="1">_xll.BDH($C$253,"BS_ST_BORROW","FY 2014","FY 2014","Currency=INR","Period=FY","BEST_FPERIOD_OVERRIDE=FY","FILING_STATUS=OR","EQY_CONSOLIDATED=Y","SCALING_FORMAT=MLN","Sort=A","Dates=H","DateFormat=P","Fill=—","Direction=H","UseDPDF=Y")</f>
        <v>#NAME?</v>
      </c>
      <c r="CA253" s="3" t="e">
        <f ca="1">_xll.BDH($C$253,"BS_LT_BORROW","FY 2014","FY 2014","Currency=INR","Period=FY","BEST_FPERIOD_OVERRIDE=FY","FILING_STATUS=OR","EQY_CONSOLIDATED=Y","SCALING_FORMAT=MLN","Sort=A","Dates=H","DateFormat=P","Fill=—","Direction=H","UseDPDF=Y")</f>
        <v>#NAME?</v>
      </c>
      <c r="CB253" s="2" t="e">
        <f ca="1">_xll.BDH($C$253,"TOT_DEBT_TO_EBITDA","FY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253" s="2" t="e">
        <f ca="1">_xll.BDH($C$253,"NET_DEBT_TO_EBITDA","FY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253" s="2" t="e">
        <f ca="1">_xll.BDH($C$253,"TOTAL_DEBT_TO_EBIT","FY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253" s="2" t="e">
        <f ca="1">_xll.BDH($C$253,"NET_DEBT_TO_EBIT","FY 2014","FY 2014","Currency=INR","Period=FY","BEST_FPERIOD_OVERRIDE=FY","FILING_STATUS=OR","EQY_CONSOLIDATED=Y","FA_ADJUSTED=GAAP","Sort=A","Dates=H","DateFormat=P","Fill=—","Direction=H","UseDPDF=Y")</f>
        <v>#NAME?</v>
      </c>
      <c r="CF253" s="2" t="e">
        <f ca="1">_xll.BDH($C$253,"EBITDA_TO_INTEREST_EXPN","FY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53" s="2" t="e">
        <f ca="1">_xll.BDH($C$253,"COM_EQY_TO_TOT_ASSET","FY 2014","FY 2014","Currency=INR","Period=FY","BEST_FPERIOD_OVERRIDE=FY","FILING_STATUS=OR","EQY_CONSOLIDATED=Y","Sort=A","Dates=H","DateFormat=P","Fill=—","Direction=H","UseDPDF=Y")</f>
        <v>#NAME?</v>
      </c>
      <c r="CH253" s="2" t="e">
        <f ca="1">_xll.BDH($C$253,"LT_DEBT_TO_TOT_EQY","FY 2014","FY 2014","Currency=INR","Period=FY","BEST_FPERIOD_OVERRIDE=FY","FILING_STATUS=OR","EQY_CONSOLIDATED=Y","Sort=A","Dates=H","DateFormat=P","Fill=—","Direction=H","UseDPDF=Y")</f>
        <v>#NAME?</v>
      </c>
      <c r="CI253" s="2" t="e">
        <f ca="1">_xll.BDH($C$253,"LT_DEBT_TO_TOT_CAP","FY 2014","FY 2014","Currency=INR","Period=FY","BEST_FPERIOD_OVERRIDE=FY","FILING_STATUS=OR","EQY_CONSOLIDATED=Y","Sort=A","Dates=H","DateFormat=P","Fill=—","Direction=H","UseDPDF=Y")</f>
        <v>#NAME?</v>
      </c>
      <c r="CJ253" s="2" t="e">
        <f ca="1">_xll.BDH($C$253,"LT_DEBT_TO_TOT_ASSET","FY 2014","FY 2014","Currency=INR","Period=FY","BEST_FPERIOD_OVERRIDE=FY","FILING_STATUS=OR","EQY_CONSOLIDATED=Y","Sort=A","Dates=H","DateFormat=P","Fill=—","Direction=H","UseDPDF=Y")</f>
        <v>#NAME?</v>
      </c>
      <c r="CK253" s="2" t="e">
        <f ca="1">_xll.BDH($C$253,"TOT_DEBT_TO_TOT_EQY","FY 2014","FY 2014","Currency=INR","Period=FY","BEST_FPERIOD_OVERRIDE=FY","FILING_STATUS=OR","EQY_CONSOLIDATED=Y","Sort=A","Dates=H","DateFormat=P","Fill=—","Direction=H","UseDPDF=Y")</f>
        <v>#NAME?</v>
      </c>
      <c r="CL253" s="2" t="e">
        <f ca="1">_xll.BDH($C$253,"TOT_DEBT_TO_TOT_CAP","FY 2014","FY 2014","Currency=INR","Period=FY","BEST_FPERIOD_OVERRIDE=FY","FILING_STATUS=OR","EQY_CONSOLIDATED=Y","Sort=A","Dates=H","DateFormat=P","Fill=—","Direction=H","UseDPDF=Y")</f>
        <v>#NAME?</v>
      </c>
      <c r="CM253" s="2" t="e">
        <f ca="1">_xll.BDH($C$253,"TOT_DEBT_TO_TOT_ASSET","FY 2014","FY 2014","Currency=INR","Period=FY","BEST_FPERIOD_OVERRIDE=FY","FILING_STATUS=OR","EQY_CONSOLIDATED=Y","Sort=A","Dates=H","DateFormat=P","Fill=—","Direction=H","UseDPDF=Y")</f>
        <v>#NAME?</v>
      </c>
      <c r="CN253" s="2" t="e">
        <f ca="1">_xll.BDH($C$253,"NET_DEBT_TO_SHRHLDR_EQTY","FY 2014","FY 2014","Currency=INR","Period=FY","BEST_FPERIOD_OVERRIDE=FY","FILING_STATUS=OR","EQY_CONSOLIDATED=Y","Sort=A","Dates=H","DateFormat=P","Fill=—","Direction=H","UseDPDF=Y")</f>
        <v>#NAME?</v>
      </c>
      <c r="CO253" s="2" t="e">
        <f ca="1">_xll.BDH($C$253,"NET_DEBT_%_CAPITAL","FY 2014","FY 2014","Currency=INR","Period=FY","BEST_FPERIOD_OVERRIDE=FY","FILING_STATUS=OR","EQY_CONSOLIDATED=Y","Sort=A","Dates=H","DateFormat=P","Fill=—","Direction=H","UseDPDF=Y")</f>
        <v>#NAME?</v>
      </c>
      <c r="CP253" s="3" t="e">
        <f ca="1">_xll.BDH($C$253,"EBITDA","FY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53" s="3" t="e">
        <f ca="1">_xll.BDH($C$253,"EBITDA_AFTER_CAPEX","FY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53" s="3" t="e">
        <f ca="1">_xll.BDH($C$253,"IS_OPER_INC","FY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53" s="2" t="e">
        <f ca="1">_xll.BDH($C$253,"CASH_RATIO","FY 2014","FY 2014","Currency=INR","Period=FY","BEST_FPERIOD_OVERRIDE=FY","FILING_STATUS=OR","EQY_CONSOLIDATED=Y","Sort=A","Dates=H","DateFormat=P","Fill=—","Direction=H","UseDPDF=Y")</f>
        <v>#NAME?</v>
      </c>
      <c r="CT253" s="2" t="e">
        <f ca="1">_xll.BDH($C$253,"CUR_RATIO","FY 2014","FY 2014","Currency=INR","Period=FY","BEST_FPERIOD_OVERRIDE=FY","FILING_STATUS=OR","EQY_CONSOLIDATED=Y","Sort=A","Dates=H","DateFormat=P","Fill=—","Direction=H","UseDPDF=Y")</f>
        <v>#NAME?</v>
      </c>
      <c r="CU253" s="2" t="e">
        <f ca="1">_xll.BDH($C$253,"QUICK_RATIO","FY 2014","FY 2014","Currency=INR","Period=FY","BEST_FPERIOD_OVERRIDE=FY","FILING_STATUS=OR","EQY_CONSOLIDATED=Y","Sort=A","Dates=H","DateFormat=P","Fill=—","Direction=H","UseDPDF=Y")</f>
        <v>#NAME?</v>
      </c>
      <c r="CV253" s="2" t="e">
        <f ca="1">_xll.BDH($C$253,"ALTMAN_Z_SCORE","FY 2014","FY 2014","Currency=INR","Period=FY","BEST_FPERIOD_OVERRIDE=FY","FILING_STATUS=OR","EQY_CONSOLIDATED=Y","Sort=A","Dates=H","DateFormat=P","Fill=—","Direction=H","UseDPDF=Y")</f>
        <v>#NAME?</v>
      </c>
      <c r="CW253" s="4" t="e">
        <f ca="1">_xll.BDH($C$253,"ACCT_RCV_TURN","FY 2014","FY 2014","Currency=INR","Period=FY","BEST_FPERIOD_OVERRIDE=FY","FILING_STATUS=OR","EQY_CONSOLIDATED=Y","FA_ADJUSTED=GAAP","Sort=A","Dates=H","DateFormat=P","Fill=—","Direction=H","UseDPDF=Y")</f>
        <v>#NAME?</v>
      </c>
      <c r="CX253" s="2" t="e">
        <f ca="1">_xll.BDH($C$253,"ACCT_RCV_DAYS","FY 2014","FY 2014","Currency=INR","Period=FY","BEST_FPERIOD_OVERRIDE=FY","FILING_STATUS=OR","EQY_CONSOLIDATED=Y","FA_ADJUSTED=GAAP","Sort=A","Dates=H","DateFormat=P","Fill=—","Direction=H","UseDPDF=Y")</f>
        <v>#NAME?</v>
      </c>
      <c r="CY253" s="4" t="e">
        <f ca="1">_xll.BDH($C$253,"INVENT_TURN","FY 2014","FY 2014","Currency=INR","Period=FY","BEST_FPERIOD_OVERRIDE=FY","FILING_STATUS=OR","EQY_CONSOLIDATED=Y","FA_ADJUSTED=GAAP","Sort=A","Dates=H","DateFormat=P","Fill=—","Direction=H","UseDPDF=Y")</f>
        <v>#NAME?</v>
      </c>
      <c r="CZ253" s="2" t="e">
        <f ca="1">_xll.BDH($C$253,"INVENT_DAYS","FY 2014","FY 2014","Currency=INR","Period=FY","BEST_FPERIOD_OVERRIDE=FY","FILING_STATUS=OR","EQY_CONSOLIDATED=Y","FA_ADJUSTED=GAAP","Sort=A","Dates=H","DateFormat=P","Fill=—","Direction=H","UseDPDF=Y")</f>
        <v>#NAME?</v>
      </c>
      <c r="DA253" s="4" t="e">
        <f ca="1">_xll.BDH($C$253,"ACCOUNTS_PAYABLE_TURNOVER","FY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53" s="2" t="e">
        <f ca="1">_xll.BDH($C$253,"ACCOUNTS_PAYABLE_TURNOVER_DAYS","FY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53" s="4" t="e">
        <f ca="1">_xll.BDH($C$253,"CASH_CONVERSION_CYCLE","FY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53" s="4" t="e">
        <f ca="1">_xll.BDH($C$253,"INV_TO_CASH_DAYS","FY 2014","FY 2014","Currency=INR","Period=FY","BEST_FPERIOD_OVERRIDE=FY","FILING_STATUS=OR","EQY_CONSOLIDATED=Y","FA_ADJUSTED=GAAP","Sort=A","Dates=H","DateFormat=P","Fill=—","Direction=H","UseDPDF=Y")</f>
        <v>#NAME?</v>
      </c>
      <c r="DE253" s="5" t="e">
        <f ca="1">_xll.BDH($C$253,"BS_INVENTORIES","FY 2014","FY 2014","Currency=INR","Period=FY","BEST_FPERIOD_OVERRIDE=FY","FILING_STATUS=OR","EQY_CONSOLIDATED=Y","SCALING_FORMAT=MLN","Sort=A","Dates=H","DateFormat=P","Fill=—","Direction=H","UseDPDF=Y")</f>
        <v>#NAME?</v>
      </c>
      <c r="DF253" s="3" t="e">
        <f ca="1">_xll.BDH($C$253,"INVTRY_RAW_MATERIALS","FY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53" s="3" t="e">
        <f ca="1">_xll.BDH($C$253,"INVTRY_IN_PROGRESS","FY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53" s="3" t="e">
        <f ca="1">_xll.BDH($C$253,"INVTRY_FINISHED_GOODS","FY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53" s="3" t="e">
        <f ca="1">_xll.BDH($C$253,"BS_OTHER_INV","FY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54" spans="1:113" x14ac:dyDescent="0.3">
      <c r="A254" s="6"/>
      <c r="B254" s="6"/>
      <c r="C254" s="6"/>
      <c r="D254" s="6"/>
      <c r="E254" t="s">
        <v>78</v>
      </c>
      <c r="F254" t="e">
        <f ca="1">_xll.BDH($C$253,"RETURN_COM_EQY","FQ1 2014","FQ1 2014","Currency=INR","Period=FQ","BEST_FPERIOD_OVERRIDE=FQ","FILING_STATUS=OR","EQY_CONSOLIDATED=Y","FA_ADJUSTED=GAAP","Sort=A","Dates=H","DateFormat=P","Fill=—","Direction=H","UseDPDF=Y")</f>
        <v>#NAME?</v>
      </c>
      <c r="G254" t="e">
        <f ca="1">_xll.BDH($C$253,"RETURN_ON_ASSET","FQ1 2014","FQ1 2014","Currency=INR","Period=FQ","BEST_FPERIOD_OVERRIDE=FQ","FILING_STATUS=OR","EQY_CONSOLIDATED=Y","FA_ADJUSTED=GAAP","Sort=A","Dates=H","DateFormat=P","Fill=—","Direction=H","UseDPDF=Y")</f>
        <v>#NAME?</v>
      </c>
      <c r="H254" t="e">
        <f ca="1">_xll.BDH($C$253,"RETURN_ON_CAP","FQ1 2014","FQ1 2014","Currency=INR","Period=FQ","BEST_FPERIOD_OVERRIDE=FQ","FILING_STATUS=OR","EQY_CONSOLIDATED=Y","FA_ADJUSTED=GAAP","Sort=A","Dates=H","DateFormat=P","Fill=—","Direction=H","UseDPDF=Y")</f>
        <v>#NAME?</v>
      </c>
      <c r="I254" t="e">
        <f ca="1">_xll.BDH($C$253,"RETURN_ON_INV_CAPITAL","FQ1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54" t="e">
        <f ca="1">_xll.BDH($C$253,"EBITDA_TO_REVENUE","FQ1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254" t="e">
        <f ca="1">_xll.BDH($C$253,"OPER_MARGIN","FQ1 2014","FQ1 2014","Currency=INR","Period=FQ","BEST_FPERIOD_OVERRIDE=FQ","FILING_STATUS=OR","EQY_CONSOLIDATED=Y","FA_ADJUSTED=GAAP","Sort=A","Dates=H","DateFormat=P","Fill=—","Direction=H","UseDPDF=Y")</f>
        <v>#NAME?</v>
      </c>
      <c r="L254" t="e">
        <f ca="1">_xll.BDH($C$253,"INCREMENTAL_OPERATING_MARGIN","FQ1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54" t="e">
        <f ca="1">_xll.BDH($C$253,"PRETAX_INC_TO_NET_SALES","FQ1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54" t="e">
        <f ca="1">_xll.BDH($C$253,"INC_BEF_XO_ITEMS_TO_NET_SALES","FQ1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54" t="e">
        <f ca="1">_xll.BDH($C$253,"PROF_MARGIN","FQ1 2014","FQ1 2014","Currency=INR","Period=FQ","BEST_FPERIOD_OVERRIDE=FQ","FILING_STATUS=OR","EQY_CONSOLIDATED=Y","FA_ADJUSTED=GAAP","Sort=A","Dates=H","DateFormat=P","Fill=—","Direction=H","UseDPDF=Y")</f>
        <v>#NAME?</v>
      </c>
      <c r="P254" t="e">
        <f ca="1">_xll.BDH($C$253,"NET_INCOME_TO_COMMON_MARGIN","FQ1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54" t="e">
        <f ca="1">_xll.BDH($C$253,"EFF_TAX_RATE","FQ1 2014","FQ1 2014","Currency=INR","Period=FQ","BEST_FPERIOD_OVERRIDE=FQ","FILING_STATUS=OR","EQY_CONSOLIDATED=Y","FA_ADJUSTED=GAAP","Sort=A","Dates=H","DateFormat=P","Fill=—","Direction=H","UseDPDF=Y")</f>
        <v>#NAME?</v>
      </c>
      <c r="R254" t="e">
        <f ca="1">_xll.BDH($C$253,"DVD_PAYOUT_RATIO","FQ1 2014","FQ1 2014","Currency=INR","Period=FQ","BEST_FPERIOD_OVERRIDE=FQ","FILING_STATUS=OR","EQY_CONSOLIDATED=Y","FA_ADJUSTED=GAAP","Sort=A","Dates=H","DateFormat=P","Fill=—","Direction=H","UseDPDF=Y")</f>
        <v>#NAME?</v>
      </c>
      <c r="S254" t="e">
        <f ca="1">_xll.BDH($C$253,"SUSTAIN_GROWTH_RT","FQ1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254" s="2" t="e">
        <f ca="1">_xll.BDH($C$253,"SALES_GROWTH","FQ1 2014","FQ1 2014","Currency=INR","Period=FQ","BEST_FPERIOD_OVERRIDE=FQ","FILING_STATUS=OR","EQY_CONSOLIDATED=Y","FA_ADJUSTED=GAAP","Sort=A","Dates=H","DateFormat=P","Fill=—","Direction=H","UseDPDF=Y")</f>
        <v>#NAME?</v>
      </c>
      <c r="U254" s="2" t="e">
        <f ca="1">_xll.BDH($C$253,"EBITDA_GROWTH","FQ1 2014","FQ1 2014","Currency=INR","Period=FQ","BEST_FPERIOD_OVERRIDE=FQ","FILING_STATUS=OR","EQY_CONSOLIDATED=Y","FA_ADJUSTED=GAAP","Sort=A","Dates=H","DateFormat=P","Fill=—","Direction=H","UseDPDF=Y")</f>
        <v>#NAME?</v>
      </c>
      <c r="V254" s="2" t="e">
        <f ca="1">_xll.BDH($C$253,"OPER_INC_GROWTH","FQ1 2014","FQ1 2014","Currency=INR","Period=FQ","BEST_FPERIOD_OVERRIDE=FQ","FILING_STATUS=OR","EQY_CONSOLIDATED=Y","FA_ADJUSTED=GAAP","Sort=A","Dates=H","DateFormat=P","Fill=—","Direction=H","UseDPDF=Y")</f>
        <v>#NAME?</v>
      </c>
      <c r="W254" s="2" t="e">
        <f ca="1">_xll.BDH($C$253,"EARN_FOR_COM_GROWTH","FQ1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54" s="2" t="e">
        <f ca="1">_xll.BDH($C$253,"DILUTED_EPS_AFT_XO_ITEMS_GROWTH","FQ1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54" s="2" t="e">
        <f ca="1">_xll.BDH($C$253,"DIVIDEND_PER_SHARE_1_YEAR_GROWTH","FQ1 2014","FQ1 2014","Currency=INR","Period=FQ","BEST_FPERIOD_OVERRIDE=FQ","FILING_STATUS=OR","EQY_CONSOLIDATED=Y","Sort=A","Dates=H","DateFormat=P","Fill=—","Direction=H","UseDPDF=Y")</f>
        <v>#NAME?</v>
      </c>
      <c r="Z254" s="2" t="e">
        <f ca="1">_xll.BDH($C$253,"ACCOUNTS_RECEIVABLE_GROWTH","FQ1 2014","FQ1 2014","Currency=INR","Period=FQ","BEST_FPERIOD_OVERRIDE=FQ","FILING_STATUS=OR","EQY_CONSOLIDATED=Y","Sort=A","Dates=H","DateFormat=P","Fill=—","Direction=H","UseDPDF=Y")</f>
        <v>#NAME?</v>
      </c>
      <c r="AA254" s="2" t="e">
        <f ca="1">_xll.BDH($C$253,"INVENTORY_GROWTH","FQ1 2014","FQ1 2014","Currency=INR","Period=FQ","BEST_FPERIOD_OVERRIDE=FQ","FILING_STATUS=OR","EQY_CONSOLIDATED=Y","Sort=A","Dates=H","DateFormat=P","Fill=—","Direction=H","UseDPDF=Y")</f>
        <v>#NAME?</v>
      </c>
      <c r="AB254" s="2" t="e">
        <f ca="1">_xll.BDH($C$253,"NET_FIXED_ASSETS_1_YEAR_GROWTH","FQ1 2014","FQ1 2014","Currency=INR","Period=FQ","BEST_FPERIOD_OVERRIDE=FQ","FILING_STATUS=OR","EQY_CONSOLIDATED=Y","Sort=A","Dates=H","DateFormat=P","Fill=—","Direction=H","UseDPDF=Y")</f>
        <v>#NAME?</v>
      </c>
      <c r="AC254" s="2" t="e">
        <f ca="1">_xll.BDH($C$253,"ASSET_GROWTH","FQ1 2014","FQ1 2014","Currency=INR","Period=FQ","BEST_FPERIOD_OVERRIDE=FQ","FILING_STATUS=OR","EQY_CONSOLIDATED=Y","Sort=A","Dates=H","DateFormat=P","Fill=—","Direction=H","UseDPDF=Y")</f>
        <v>#NAME?</v>
      </c>
      <c r="AD254" s="2" t="e">
        <f ca="1">_xll.BDH($C$253,"MODIFIED_WORK_CAP_GROWTH","FQ1 2014","FQ1 2014","Currency=INR","Period=FQ","BEST_FPERIOD_OVERRIDE=FQ","FILING_STATUS=OR","EQY_CONSOLIDATED=Y","Sort=A","Dates=H","DateFormat=P","Fill=—","Direction=H","UseDPDF=Y")</f>
        <v>#NAME?</v>
      </c>
      <c r="AE254" s="2" t="e">
        <f ca="1">_xll.BDH($C$253,"WORK_CAP_GROWTH","FQ1 2014","FQ1 2014","Currency=INR","Period=FQ","BEST_FPERIOD_OVERRIDE=FQ","FILING_STATUS=OR","EQY_CONSOLIDATED=Y","Sort=A","Dates=H","DateFormat=P","Fill=—","Direction=H","UseDPDF=Y")</f>
        <v>#NAME?</v>
      </c>
      <c r="AF254" s="2" t="e">
        <f ca="1">_xll.BDH($C$253,"ACCOUNTS_PAYABLE_GROWTH_1YR","FQ1 2014","FQ1 2014","Currency=INR","Period=FQ","BEST_FPERIOD_OVERRIDE=FQ","FILING_STATUS=OR","EQY_CONSOLIDATED=Y","Sort=A","Dates=H","DateFormat=P","Fill=—","Direction=H","UseDPDF=Y")</f>
        <v>#NAME?</v>
      </c>
      <c r="AG254" s="2" t="e">
        <f ca="1">_xll.BDH($C$253,"SHORT_TERM_DEBT_1_YEAR_GROWTH","FQ1 2014","FQ1 2014","Currency=INR","Period=FQ","BEST_FPERIOD_OVERRIDE=FQ","FILING_STATUS=OR","EQY_CONSOLIDATED=Y","Sort=A","Dates=H","DateFormat=P","Fill=—","Direction=H","UseDPDF=Y")</f>
        <v>#NAME?</v>
      </c>
      <c r="AH254" s="2" t="e">
        <f ca="1">_xll.BDH($C$253,"TOTAL_DEBT_1_YEAR_GROWTH","FQ1 2014","FQ1 2014","Currency=INR","Period=FQ","BEST_FPERIOD_OVERRIDE=FQ","FILING_STATUS=OR","EQY_CONSOLIDATED=Y","Sort=A","Dates=H","DateFormat=P","Fill=—","Direction=H","UseDPDF=Y")</f>
        <v>#NAME?</v>
      </c>
      <c r="AI254" s="2" t="e">
        <f ca="1">_xll.BDH($C$253,"TOTAL_EQUITY_1_YEAR_GROWTH","FQ1 2014","FQ1 2014","Currency=INR","Period=FQ","BEST_FPERIOD_OVERRIDE=FQ","FILING_STATUS=OR","EQY_CONSOLIDATED=Y","Sort=A","Dates=H","DateFormat=P","Fill=—","Direction=H","UseDPDF=Y")</f>
        <v>#NAME?</v>
      </c>
      <c r="AJ254" s="2" t="e">
        <f ca="1">_xll.BDH($C$253,"GROWTH_IN_CAP","FQ1 2014","FQ1 2014","Currency=INR","Period=FQ","BEST_FPERIOD_OVERRIDE=FQ","FILING_STATUS=OR","EQY_CONSOLIDATED=Y","Sort=A","Dates=H","DateFormat=P","Fill=—","Direction=H","UseDPDF=Y")</f>
        <v>#NAME?</v>
      </c>
      <c r="AK254" s="2" t="e">
        <f ca="1">_xll.BDH($C$253,"BVPS_GROWTH","FQ1 2014","FQ1 2014","Currency=INR","Period=FQ","BEST_FPERIOD_OVERRIDE=FQ","FILING_STATUS=OR","EQY_CONSOLIDATED=Y","Sort=A","Dates=H","DateFormat=P","Fill=—","Direction=H","UseDPDF=Y")</f>
        <v>#NAME?</v>
      </c>
      <c r="AL254" s="2" t="e">
        <f ca="1">_xll.BDH($C$253,"CASH_FLOW_GROWTH","FQ1 2014","FQ1 2014","Currency=INR","Period=FQ","BEST_FPERIOD_OVERRIDE=FQ","FILING_STATUS=OR","EQY_CONSOLIDATED=Y","Sort=A","Dates=H","DateFormat=P","Fill=—","Direction=H","UseDPDF=Y")</f>
        <v>#NAME?</v>
      </c>
      <c r="AM254" s="2" t="e">
        <f ca="1">_xll.BDH($C$253,"GEO_GROW_NET_SALES","FQ1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54" s="2" t="e">
        <f ca="1">_xll.BDH($C$253,"GEO_GROW_EBITDA","FQ1 2014","FQ1 2014","Currency=INR","Period=FQ","BEST_FPERIOD_OVERRIDE=FQ","FILING_STATUS=OR","EQY_CONSOLIDATED=Y","FA_ADJUSTED=GAAP","Sort=A","Dates=H","DateFormat=P","Fill=—","Direction=H","UseDPDF=Y")</f>
        <v>#NAME?</v>
      </c>
      <c r="AO254" s="2" t="e">
        <f ca="1">_xll.BDH($C$253,"GEO_GROW_OPER_INC","FQ1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54" s="2" t="e">
        <f ca="1">_xll.BDH($C$253,"NET_INCOME_TO_COMMON_5_YR_GROWTH","FQ1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54" s="2" t="e">
        <f ca="1">_xll.BDH($C$253,"5Y_GEO_GROWTH_DILUTED_EPS","FQ1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54" s="2" t="e">
        <f ca="1">_xll.BDH($C$253,"GEO_GROW_DVD_PER_SH","FQ1 2014","FQ1 2014","Currency=INR","Period=FQ","BEST_FPERIOD_OVERRIDE=FQ","FILING_STATUS=OR","EQY_CONSOLIDATED=Y","Sort=A","Dates=H","DateFormat=P","Fill=—","Direction=H","UseDPDF=Y")</f>
        <v>#NAME?</v>
      </c>
      <c r="AS254" s="2" t="e">
        <f ca="1">_xll.BDH($C$253,"ACCOUNTS_RECEIVABLE_5_YR_GROWTH","FQ1 2014","FQ1 2014","Currency=INR","Period=FQ","BEST_FPERIOD_OVERRIDE=FQ","FILING_STATUS=OR","EQY_CONSOLIDATED=Y","Sort=A","Dates=H","DateFormat=P","Fill=—","Direction=H","UseDPDF=Y")</f>
        <v>#NAME?</v>
      </c>
      <c r="AT254" s="2" t="e">
        <f ca="1">_xll.BDH($C$253,"INVENTORY_5_YEAR_GROWTH","FQ1 2014","FQ1 2014","Currency=INR","Period=FQ","BEST_FPERIOD_OVERRIDE=FQ","FILING_STATUS=OR","EQY_CONSOLIDATED=Y","Sort=A","Dates=H","DateFormat=P","Fill=—","Direction=H","UseDPDF=Y")</f>
        <v>#NAME?</v>
      </c>
      <c r="AU254" s="2" t="e">
        <f ca="1">_xll.BDH($C$253,"NET_FIXED_ASSETS_5_YEAR_GROWTH","FQ1 2014","FQ1 2014","Currency=INR","Period=FQ","BEST_FPERIOD_OVERRIDE=FQ","FILING_STATUS=OR","EQY_CONSOLIDATED=Y","Sort=A","Dates=H","DateFormat=P","Fill=—","Direction=H","UseDPDF=Y")</f>
        <v>#NAME?</v>
      </c>
      <c r="AV254" s="2" t="e">
        <f ca="1">_xll.BDH($C$253,"GEO_GROW_TOT_ASSET","FQ1 2014","FQ1 2014","Currency=INR","Period=FQ","BEST_FPERIOD_OVERRIDE=FQ","FILING_STATUS=OR","EQY_CONSOLIDATED=Y","Sort=A","Dates=H","DateFormat=P","Fill=—","Direction=H","UseDPDF=Y")</f>
        <v>#NAME?</v>
      </c>
      <c r="AW254" s="2" t="e">
        <f ca="1">_xll.BDH($C$253,"MODIFIED_WORKING_CPTL_5YR_GRWTH","FQ1 2014","FQ1 2014","Currency=INR","Period=FQ","BEST_FPERIOD_OVERRIDE=FQ","FILING_STATUS=OR","EQY_CONSOLIDATED=Y","Sort=A","Dates=H","DateFormat=P","Fill=—","Direction=H","UseDPDF=Y")</f>
        <v>#NAME?</v>
      </c>
      <c r="AX254" s="2" t="e">
        <f ca="1">_xll.BDH($C$253,"WORKING_CAPITAL_5_YEAR_GROWTH","FQ1 2014","FQ1 2014","Currency=INR","Period=FQ","BEST_FPERIOD_OVERRIDE=FQ","FILING_STATUS=OR","EQY_CONSOLIDATED=Y","Sort=A","Dates=H","DateFormat=P","Fill=—","Direction=H","UseDPDF=Y")</f>
        <v>#NAME?</v>
      </c>
      <c r="AY254" s="2" t="e">
        <f ca="1">_xll.BDH($C$253,"ACCOUNTS_PAYABLE_5_YEAR_GROWTH","FQ1 2014","FQ1 2014","Currency=INR","Period=FQ","BEST_FPERIOD_OVERRIDE=FQ","FILING_STATUS=OR","EQY_CONSOLIDATED=Y","Sort=A","Dates=H","DateFormat=P","Fill=—","Direction=H","UseDPDF=Y")</f>
        <v>#NAME?</v>
      </c>
      <c r="AZ254" s="2" t="e">
        <f ca="1">_xll.BDH($C$253,"SHORT_TERM_DEBT_5_YEAR_GROWTH","FQ1 2014","FQ1 2014","Currency=INR","Period=FQ","BEST_FPERIOD_OVERRIDE=FQ","FILING_STATUS=OR","EQY_CONSOLIDATED=Y","Sort=A","Dates=H","DateFormat=P","Fill=—","Direction=H","UseDPDF=Y")</f>
        <v>#NAME?</v>
      </c>
      <c r="BA254" s="2" t="e">
        <f ca="1">_xll.BDH($C$253,"TOTAL_DEBT_5_YEAR_GROWTH","FQ1 2014","FQ1 2014","Currency=INR","Period=FQ","BEST_FPERIOD_OVERRIDE=FQ","FILING_STATUS=OR","EQY_CONSOLIDATED=Y","Sort=A","Dates=H","DateFormat=P","Fill=—","Direction=H","UseDPDF=Y")</f>
        <v>#NAME?</v>
      </c>
      <c r="BB254" s="2" t="e">
        <f ca="1">_xll.BDH($C$253,"GEO_GROW_TOT_SHRHLDR_EQY","FQ1 2014","FQ1 2014","Currency=INR","Period=FQ","BEST_FPERIOD_OVERRIDE=FQ","FILING_STATUS=OR","EQY_CONSOLIDATED=Y","Sort=A","Dates=H","DateFormat=P","Fill=—","Direction=H","UseDPDF=Y")</f>
        <v>#NAME?</v>
      </c>
      <c r="BC254" s="2" t="e">
        <f ca="1">_xll.BDH($C$253,"TOTAL_CAPITAL_5_YEAR_GROWTH","FQ1 2014","FQ1 2014","Currency=INR","Period=FQ","BEST_FPERIOD_OVERRIDE=FQ","FILING_STATUS=OR","EQY_CONSOLIDATED=Y","Sort=A","Dates=H","DateFormat=P","Fill=—","Direction=H","UseDPDF=Y")</f>
        <v>#NAME?</v>
      </c>
      <c r="BD254" s="2" t="e">
        <f ca="1">_xll.BDH($C$253,"GEO_GROW_BOOK_VAL","FQ1 2014","FQ1 2014","Currency=INR","Period=FQ","BEST_FPERIOD_OVERRIDE=FQ","FILING_STATUS=OR","EQY_CONSOLIDATED=Y","Sort=A","Dates=H","DateFormat=P","Fill=—","Direction=H","UseDPDF=Y")</f>
        <v>#NAME?</v>
      </c>
      <c r="BE254" s="2" t="e">
        <f ca="1">_xll.BDH($C$253,"GEO_GROW_CASH_OPER_ACT","FQ1 2014","FQ1 2014","Currency=INR","Period=FQ","BEST_FPERIOD_OVERRIDE=FQ","FILING_STATUS=OR","EQY_CONSOLIDATED=Y","Sort=A","Dates=H","DateFormat=P","Fill=—","Direction=H","UseDPDF=Y")</f>
        <v>#NAME?</v>
      </c>
      <c r="BF254" s="2" t="e">
        <f ca="1">_xll.BDH($C$253,"REVENUE_SEQUENTIAL_GROWTH","FQ1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54" s="2" t="e">
        <f ca="1">_xll.BDH($C$253,"EBITDA_SEQUENTIAL_GROWTH","FQ1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54" s="2" t="e">
        <f ca="1">_xll.BDH($C$253,"OPERATING_INCOME_SEQ_GROWTH","FQ1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54" s="2" t="e">
        <f ca="1">_xll.BDH($C$253,"NET_INCOME_TO_COMMON_SEQ_GROWTH","FQ1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54" s="2" t="e">
        <f ca="1">_xll.BDH($C$253,"EPS_DILUTED_SEQUENTIAL_GROWTH","FQ1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54" s="2" t="e">
        <f ca="1">_xll.BDH($C$253,"DPS_SEQUENTIAL_GROWTH","FQ1 2014","FQ1 2014","Currency=INR","Period=FQ","BEST_FPERIOD_OVERRIDE=FQ","FILING_STATUS=OR","EQY_CONSOLIDATED=Y","Sort=A","Dates=H","DateFormat=P","Fill=—","Direction=H","UseDPDF=Y")</f>
        <v>#NAME?</v>
      </c>
      <c r="BL254" s="2" t="e">
        <f ca="1">_xll.BDH($C$253,"ACCOUNTS_RECEIVABLE_SEQ_GROWTH","FQ1 2014","FQ1 2014","Currency=INR","Period=FQ","BEST_FPERIOD_OVERRIDE=FQ","FILING_STATUS=OR","EQY_CONSOLIDATED=Y","Sort=A","Dates=H","DateFormat=P","Fill=—","Direction=H","UseDPDF=Y")</f>
        <v>#NAME?</v>
      </c>
      <c r="BM254" s="2" t="e">
        <f ca="1">_xll.BDH($C$253,"INVENTORY_SEQUENTIAL_GROWTH","FQ1 2014","FQ1 2014","Currency=INR","Period=FQ","BEST_FPERIOD_OVERRIDE=FQ","FILING_STATUS=OR","EQY_CONSOLIDATED=Y","Sort=A","Dates=H","DateFormat=P","Fill=—","Direction=H","UseDPDF=Y")</f>
        <v>#NAME?</v>
      </c>
      <c r="BN254" s="2" t="e">
        <f ca="1">_xll.BDH($C$253,"FIXED_ASSETS_SEQUENTIAL_GROWTH","FQ1 2014","FQ1 2014","Currency=INR","Period=FQ","BEST_FPERIOD_OVERRIDE=FQ","FILING_STATUS=OR","EQY_CONSOLIDATED=Y","Sort=A","Dates=H","DateFormat=P","Fill=—","Direction=H","UseDPDF=Y")</f>
        <v>#NAME?</v>
      </c>
      <c r="BO254" s="2" t="e">
        <f ca="1">_xll.BDH($C$253,"TOTAL_ASSETS_SEQUENTIAL_GROWTH","FQ1 2014","FQ1 2014","Currency=INR","Period=FQ","BEST_FPERIOD_OVERRIDE=FQ","FILING_STATUS=OR","EQY_CONSOLIDATED=Y","Sort=A","Dates=H","DateFormat=P","Fill=—","Direction=H","UseDPDF=Y")</f>
        <v>#NAME?</v>
      </c>
      <c r="BP254" s="2" t="e">
        <f ca="1">_xll.BDH($C$253,"MODIFIED_WORKING_CPTL_SEQ_GRWTH","FQ1 2014","FQ1 2014","Currency=INR","Period=FQ","BEST_FPERIOD_OVERRIDE=FQ","FILING_STATUS=OR","EQY_CONSOLIDATED=Y","Sort=A","Dates=H","DateFormat=P","Fill=—","Direction=H","UseDPDF=Y")</f>
        <v>#NAME?</v>
      </c>
      <c r="BQ254" s="2" t="e">
        <f ca="1">_xll.BDH($C$253,"WORKING_CAPITAL_SEQ_GROWTH","FQ1 2014","FQ1 2014","Currency=INR","Period=FQ","BEST_FPERIOD_OVERRIDE=FQ","FILING_STATUS=OR","EQY_CONSOLIDATED=Y","Sort=A","Dates=H","DateFormat=P","Fill=—","Direction=H","UseDPDF=Y")</f>
        <v>#NAME?</v>
      </c>
      <c r="BR254" s="2" t="e">
        <f ca="1">_xll.BDH($C$253,"ACCOUNTS_PAYABLE_SEQ_GROWTH","FQ1 2014","FQ1 2014","Currency=INR","Period=FQ","BEST_FPERIOD_OVERRIDE=FQ","FILING_STATUS=OR","EQY_CONSOLIDATED=Y","Sort=A","Dates=H","DateFormat=P","Fill=—","Direction=H","UseDPDF=Y")</f>
        <v>#NAME?</v>
      </c>
      <c r="BS254" s="2" t="e">
        <f ca="1">_xll.BDH($C$253,"ST_DEBT_SEQUENTIAL_GROWTH","FQ1 2014","FQ1 2014","Currency=INR","Period=FQ","BEST_FPERIOD_OVERRIDE=FQ","FILING_STATUS=OR","EQY_CONSOLIDATED=Y","Sort=A","Dates=H","DateFormat=P","Fill=—","Direction=H","UseDPDF=Y")</f>
        <v>#NAME?</v>
      </c>
      <c r="BT254" s="2" t="e">
        <f ca="1">_xll.BDH($C$253,"TOTAL_DEBT_SEQUENTIAL_GROWTH","FQ1 2014","FQ1 2014","Currency=INR","Period=FQ","BEST_FPERIOD_OVERRIDE=FQ","FILING_STATUS=OR","EQY_CONSOLIDATED=Y","Sort=A","Dates=H","DateFormat=P","Fill=—","Direction=H","UseDPDF=Y")</f>
        <v>#NAME?</v>
      </c>
      <c r="BU254" s="2" t="e">
        <f ca="1">_xll.BDH($C$253,"TOTAL_EQUITY_SEQUENTIAL_GROWTH","FQ1 2014","FQ1 2014","Currency=INR","Period=FQ","BEST_FPERIOD_OVERRIDE=FQ","FILING_STATUS=OR","EQY_CONSOLIDATED=Y","Sort=A","Dates=H","DateFormat=P","Fill=—","Direction=H","UseDPDF=Y")</f>
        <v>#NAME?</v>
      </c>
      <c r="BV254" s="2" t="e">
        <f ca="1">_xll.BDH($C$253,"TOTAL_CAPITAL_SEQUENTIAL_GROWTH","FQ1 2014","FQ1 2014","Currency=INR","Period=FQ","BEST_FPERIOD_OVERRIDE=FQ","FILING_STATUS=OR","EQY_CONSOLIDATED=Y","Sort=A","Dates=H","DateFormat=P","Fill=—","Direction=H","UseDPDF=Y")</f>
        <v>#NAME?</v>
      </c>
      <c r="BW254" s="2" t="e">
        <f ca="1">_xll.BDH($C$253,"BPS_SEQUENTIAL_GROWTH","FQ1 2014","FQ1 2014","Currency=INR","Period=FQ","BEST_FPERIOD_OVERRIDE=FQ","FILING_STATUS=OR","EQY_CONSOLIDATED=Y","Sort=A","Dates=H","DateFormat=P","Fill=—","Direction=H","UseDPDF=Y")</f>
        <v>#NAME?</v>
      </c>
      <c r="BX254" s="2" t="e">
        <f ca="1">_xll.BDH($C$253,"CFO_SEQUENTIAL_GROWTH","FQ1 2014","FQ1 2014","Currency=INR","Period=FQ","BEST_FPERIOD_OVERRIDE=FQ","FILING_STATUS=OR","EQY_CONSOLIDATED=Y","Sort=A","Dates=H","DateFormat=P","Fill=—","Direction=H","UseDPDF=Y")</f>
        <v>#NAME?</v>
      </c>
      <c r="BY254" s="3" t="e">
        <f ca="1">_xll.BDH($C$253,"SHORT_AND_LONG_TERM_DEBT","FQ1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54" s="3" t="e">
        <f ca="1">_xll.BDH($C$253,"BS_ST_BORROW","FQ1 2014","FQ1 2014","Currency=INR","Period=FQ","BEST_FPERIOD_OVERRIDE=FQ","FILING_STATUS=OR","EQY_CONSOLIDATED=Y","SCALING_FORMAT=MLN","Sort=A","Dates=H","DateFormat=P","Fill=—","Direction=H","UseDPDF=Y")</f>
        <v>#NAME?</v>
      </c>
      <c r="CA254" s="3" t="e">
        <f ca="1">_xll.BDH($C$253,"BS_LT_BORROW","FQ1 2014","FQ1 2014","Currency=INR","Period=FQ","BEST_FPERIOD_OVERRIDE=FQ","FILING_STATUS=OR","EQY_CONSOLIDATED=Y","SCALING_FORMAT=MLN","Sort=A","Dates=H","DateFormat=P","Fill=—","Direction=H","UseDPDF=Y")</f>
        <v>#NAME?</v>
      </c>
      <c r="CB254" s="2" t="e">
        <f ca="1">_xll.BDH($C$253,"TOT_DEBT_TO_EBITDA","FQ1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54" s="2" t="e">
        <f ca="1">_xll.BDH($C$253,"NET_DEBT_TO_EBITDA","FQ1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54" s="2" t="e">
        <f ca="1">_xll.BDH($C$253,"TOTAL_DEBT_TO_EBIT","FQ1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54" s="2" t="e">
        <f ca="1">_xll.BDH($C$253,"NET_DEBT_TO_EBIT","FQ1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254" s="2" t="e">
        <f ca="1">_xll.BDH($C$253,"EBITDA_TO_INTEREST_EXPN","FQ1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54" s="2" t="e">
        <f ca="1">_xll.BDH($C$253,"COM_EQY_TO_TOT_ASSET","FQ1 2014","FQ1 2014","Currency=INR","Period=FQ","BEST_FPERIOD_OVERRIDE=FQ","FILING_STATUS=OR","EQY_CONSOLIDATED=Y","Sort=A","Dates=H","DateFormat=P","Fill=—","Direction=H","UseDPDF=Y")</f>
        <v>#NAME?</v>
      </c>
      <c r="CH254" s="2" t="e">
        <f ca="1">_xll.BDH($C$253,"LT_DEBT_TO_TOT_EQY","FQ1 2014","FQ1 2014","Currency=INR","Period=FQ","BEST_FPERIOD_OVERRIDE=FQ","FILING_STATUS=OR","EQY_CONSOLIDATED=Y","Sort=A","Dates=H","DateFormat=P","Fill=—","Direction=H","UseDPDF=Y")</f>
        <v>#NAME?</v>
      </c>
      <c r="CI254" s="2" t="e">
        <f ca="1">_xll.BDH($C$253,"LT_DEBT_TO_TOT_CAP","FQ1 2014","FQ1 2014","Currency=INR","Period=FQ","BEST_FPERIOD_OVERRIDE=FQ","FILING_STATUS=OR","EQY_CONSOLIDATED=Y","Sort=A","Dates=H","DateFormat=P","Fill=—","Direction=H","UseDPDF=Y")</f>
        <v>#NAME?</v>
      </c>
      <c r="CJ254" s="2" t="e">
        <f ca="1">_xll.BDH($C$253,"LT_DEBT_TO_TOT_ASSET","FQ1 2014","FQ1 2014","Currency=INR","Period=FQ","BEST_FPERIOD_OVERRIDE=FQ","FILING_STATUS=OR","EQY_CONSOLIDATED=Y","Sort=A","Dates=H","DateFormat=P","Fill=—","Direction=H","UseDPDF=Y")</f>
        <v>#NAME?</v>
      </c>
      <c r="CK254" s="2" t="e">
        <f ca="1">_xll.BDH($C$253,"TOT_DEBT_TO_TOT_EQY","FQ1 2014","FQ1 2014","Currency=INR","Period=FQ","BEST_FPERIOD_OVERRIDE=FQ","FILING_STATUS=OR","EQY_CONSOLIDATED=Y","Sort=A","Dates=H","DateFormat=P","Fill=—","Direction=H","UseDPDF=Y")</f>
        <v>#NAME?</v>
      </c>
      <c r="CL254" s="2" t="e">
        <f ca="1">_xll.BDH($C$253,"TOT_DEBT_TO_TOT_CAP","FQ1 2014","FQ1 2014","Currency=INR","Period=FQ","BEST_FPERIOD_OVERRIDE=FQ","FILING_STATUS=OR","EQY_CONSOLIDATED=Y","Sort=A","Dates=H","DateFormat=P","Fill=—","Direction=H","UseDPDF=Y")</f>
        <v>#NAME?</v>
      </c>
      <c r="CM254" s="2" t="e">
        <f ca="1">_xll.BDH($C$253,"TOT_DEBT_TO_TOT_ASSET","FQ1 2014","FQ1 2014","Currency=INR","Period=FQ","BEST_FPERIOD_OVERRIDE=FQ","FILING_STATUS=OR","EQY_CONSOLIDATED=Y","Sort=A","Dates=H","DateFormat=P","Fill=—","Direction=H","UseDPDF=Y")</f>
        <v>#NAME?</v>
      </c>
      <c r="CN254" s="2" t="e">
        <f ca="1">_xll.BDH($C$253,"NET_DEBT_TO_SHRHLDR_EQTY","FQ1 2014","FQ1 2014","Currency=INR","Period=FQ","BEST_FPERIOD_OVERRIDE=FQ","FILING_STATUS=OR","EQY_CONSOLIDATED=Y","Sort=A","Dates=H","DateFormat=P","Fill=—","Direction=H","UseDPDF=Y")</f>
        <v>#NAME?</v>
      </c>
      <c r="CO254" s="2" t="e">
        <f ca="1">_xll.BDH($C$253,"NET_DEBT_%_CAPITAL","FQ1 2014","FQ1 2014","Currency=INR","Period=FQ","BEST_FPERIOD_OVERRIDE=FQ","FILING_STATUS=OR","EQY_CONSOLIDATED=Y","Sort=A","Dates=H","DateFormat=P","Fill=—","Direction=H","UseDPDF=Y")</f>
        <v>#NAME?</v>
      </c>
      <c r="CP254" s="3" t="e">
        <f ca="1">_xll.BDH($C$253,"EBITDA","FQ1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54" s="3" t="e">
        <f ca="1">_xll.BDH($C$253,"EBITDA_AFTER_CAPEX","FQ1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54" s="3" t="e">
        <f ca="1">_xll.BDH($C$253,"IS_OPER_INC","FQ1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54" s="2" t="e">
        <f ca="1">_xll.BDH($C$253,"CASH_RATIO","FQ1 2014","FQ1 2014","Currency=INR","Period=FQ","BEST_FPERIOD_OVERRIDE=FQ","FILING_STATUS=OR","EQY_CONSOLIDATED=Y","Sort=A","Dates=H","DateFormat=P","Fill=—","Direction=H","UseDPDF=Y")</f>
        <v>#NAME?</v>
      </c>
      <c r="CT254" s="2" t="e">
        <f ca="1">_xll.BDH($C$253,"CUR_RATIO","FQ1 2014","FQ1 2014","Currency=INR","Period=FQ","BEST_FPERIOD_OVERRIDE=FQ","FILING_STATUS=OR","EQY_CONSOLIDATED=Y","Sort=A","Dates=H","DateFormat=P","Fill=—","Direction=H","UseDPDF=Y")</f>
        <v>#NAME?</v>
      </c>
      <c r="CU254" s="2" t="e">
        <f ca="1">_xll.BDH($C$253,"QUICK_RATIO","FQ1 2014","FQ1 2014","Currency=INR","Period=FQ","BEST_FPERIOD_OVERRIDE=FQ","FILING_STATUS=OR","EQY_CONSOLIDATED=Y","Sort=A","Dates=H","DateFormat=P","Fill=—","Direction=H","UseDPDF=Y")</f>
        <v>#NAME?</v>
      </c>
      <c r="CV254" s="2" t="e">
        <f ca="1">_xll.BDH($C$253,"ALTMAN_Z_SCORE","FQ1 2014","FQ1 2014","Currency=INR","Period=FQ","BEST_FPERIOD_OVERRIDE=FQ","FILING_STATUS=OR","EQY_CONSOLIDATED=Y","Sort=A","Dates=H","DateFormat=P","Fill=—","Direction=H","UseDPDF=Y")</f>
        <v>#NAME?</v>
      </c>
      <c r="CW254" s="4" t="e">
        <f ca="1">_xll.BDH($C$253,"ACCT_RCV_TURN","FQ1 2014","FQ1 2014","Currency=INR","Period=FQ","BEST_FPERIOD_OVERRIDE=FQ","FILING_STATUS=OR","EQY_CONSOLIDATED=Y","FA_ADJUSTED=GAAP","Sort=A","Dates=H","DateFormat=P","Fill=—","Direction=H","UseDPDF=Y")</f>
        <v>#NAME?</v>
      </c>
      <c r="CX254" s="2" t="e">
        <f ca="1">_xll.BDH($C$253,"ACCT_RCV_DAYS","FQ1 2014","FQ1 2014","Currency=INR","Period=FQ","BEST_FPERIOD_OVERRIDE=FQ","FILING_STATUS=OR","EQY_CONSOLIDATED=Y","FA_ADJUSTED=GAAP","Sort=A","Dates=H","DateFormat=P","Fill=—","Direction=H","UseDPDF=Y")</f>
        <v>#NAME?</v>
      </c>
      <c r="CY254" s="4" t="e">
        <f ca="1">_xll.BDH($C$253,"INVENT_TURN","FQ1 2014","FQ1 2014","Currency=INR","Period=FQ","BEST_FPERIOD_OVERRIDE=FQ","FILING_STATUS=OR","EQY_CONSOLIDATED=Y","FA_ADJUSTED=GAAP","Sort=A","Dates=H","DateFormat=P","Fill=—","Direction=H","UseDPDF=Y")</f>
        <v>#NAME?</v>
      </c>
      <c r="CZ254" s="2" t="e">
        <f ca="1">_xll.BDH($C$253,"INVENT_DAYS","FQ1 2014","FQ1 2014","Currency=INR","Period=FQ","BEST_FPERIOD_OVERRIDE=FQ","FILING_STATUS=OR","EQY_CONSOLIDATED=Y","FA_ADJUSTED=GAAP","Sort=A","Dates=H","DateFormat=P","Fill=—","Direction=H","UseDPDF=Y")</f>
        <v>#NAME?</v>
      </c>
      <c r="DA254" s="4" t="e">
        <f ca="1">_xll.BDH($C$253,"ACCOUNTS_PAYABLE_TURNOVER","FQ1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54" s="2" t="e">
        <f ca="1">_xll.BDH($C$253,"ACCOUNTS_PAYABLE_TURNOVER_DAYS","FQ1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54" s="4" t="e">
        <f ca="1">_xll.BDH($C$253,"CASH_CONVERSION_CYCLE","FQ1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54" s="4" t="e">
        <f ca="1">_xll.BDH($C$253,"INV_TO_CASH_DAYS","FQ1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254" s="5" t="e">
        <f ca="1">_xll.BDH($C$253,"BS_INVENTORIES","FQ1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254" s="3" t="e">
        <f ca="1">_xll.BDH($C$253,"INVTRY_RAW_MATERIALS","FQ1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54" s="3" t="e">
        <f ca="1">_xll.BDH($C$253,"INVTRY_IN_PROGRESS","FQ1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54" s="3" t="e">
        <f ca="1">_xll.BDH($C$253,"INVTRY_FINISHED_GOODS","FQ1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54" s="3" t="e">
        <f ca="1">_xll.BDH($C$253,"BS_OTHER_INV","FQ1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55" spans="1:113" x14ac:dyDescent="0.3">
      <c r="A255" s="6"/>
      <c r="B255" s="6"/>
      <c r="C255" s="6"/>
      <c r="D255" s="6"/>
      <c r="E255" t="s">
        <v>79</v>
      </c>
      <c r="F255" t="e">
        <f ca="1">_xll.BDH($C$253,"RETURN_COM_EQY","FQ2 2014","FQ2 2014","Currency=INR","Period=FQ","BEST_FPERIOD_OVERRIDE=FQ","FILING_STATUS=OR","EQY_CONSOLIDATED=Y","FA_ADJUSTED=GAAP","Sort=A","Dates=H","DateFormat=P","Fill=—","Direction=H","UseDPDF=Y")</f>
        <v>#NAME?</v>
      </c>
      <c r="G255" t="e">
        <f ca="1">_xll.BDH($C$253,"RETURN_ON_ASSET","FQ2 2014","FQ2 2014","Currency=INR","Period=FQ","BEST_FPERIOD_OVERRIDE=FQ","FILING_STATUS=OR","EQY_CONSOLIDATED=Y","FA_ADJUSTED=GAAP","Sort=A","Dates=H","DateFormat=P","Fill=—","Direction=H","UseDPDF=Y")</f>
        <v>#NAME?</v>
      </c>
      <c r="H255" t="e">
        <f ca="1">_xll.BDH($C$253,"RETURN_ON_CAP","FQ2 2014","FQ2 2014","Currency=INR","Period=FQ","BEST_FPERIOD_OVERRIDE=FQ","FILING_STATUS=OR","EQY_CONSOLIDATED=Y","FA_ADJUSTED=GAAP","Sort=A","Dates=H","DateFormat=P","Fill=—","Direction=H","UseDPDF=Y")</f>
        <v>#NAME?</v>
      </c>
      <c r="I255" t="e">
        <f ca="1">_xll.BDH($C$253,"RETURN_ON_INV_CAPITAL","FQ2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55" t="e">
        <f ca="1">_xll.BDH($C$253,"EBITDA_TO_REVENUE","FQ2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255" t="e">
        <f ca="1">_xll.BDH($C$253,"OPER_MARGIN","FQ2 2014","FQ2 2014","Currency=INR","Period=FQ","BEST_FPERIOD_OVERRIDE=FQ","FILING_STATUS=OR","EQY_CONSOLIDATED=Y","FA_ADJUSTED=GAAP","Sort=A","Dates=H","DateFormat=P","Fill=—","Direction=H","UseDPDF=Y")</f>
        <v>#NAME?</v>
      </c>
      <c r="L255" t="e">
        <f ca="1">_xll.BDH($C$253,"INCREMENTAL_OPERATING_MARGIN","FQ2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55" t="e">
        <f ca="1">_xll.BDH($C$253,"PRETAX_INC_TO_NET_SALES","FQ2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55" t="e">
        <f ca="1">_xll.BDH($C$253,"INC_BEF_XO_ITEMS_TO_NET_SALES","FQ2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55" t="e">
        <f ca="1">_xll.BDH($C$253,"PROF_MARGIN","FQ2 2014","FQ2 2014","Currency=INR","Period=FQ","BEST_FPERIOD_OVERRIDE=FQ","FILING_STATUS=OR","EQY_CONSOLIDATED=Y","FA_ADJUSTED=GAAP","Sort=A","Dates=H","DateFormat=P","Fill=—","Direction=H","UseDPDF=Y")</f>
        <v>#NAME?</v>
      </c>
      <c r="P255" t="e">
        <f ca="1">_xll.BDH($C$253,"NET_INCOME_TO_COMMON_MARGIN","FQ2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55" t="e">
        <f ca="1">_xll.BDH($C$253,"EFF_TAX_RATE","FQ2 2014","FQ2 2014","Currency=INR","Period=FQ","BEST_FPERIOD_OVERRIDE=FQ","FILING_STATUS=OR","EQY_CONSOLIDATED=Y","FA_ADJUSTED=GAAP","Sort=A","Dates=H","DateFormat=P","Fill=—","Direction=H","UseDPDF=Y")</f>
        <v>#NAME?</v>
      </c>
      <c r="R255" t="e">
        <f ca="1">_xll.BDH($C$253,"DVD_PAYOUT_RATIO","FQ2 2014","FQ2 2014","Currency=INR","Period=FQ","BEST_FPERIOD_OVERRIDE=FQ","FILING_STATUS=OR","EQY_CONSOLIDATED=Y","FA_ADJUSTED=GAAP","Sort=A","Dates=H","DateFormat=P","Fill=—","Direction=H","UseDPDF=Y")</f>
        <v>#NAME?</v>
      </c>
      <c r="S255" t="e">
        <f ca="1">_xll.BDH($C$253,"SUSTAIN_GROWTH_RT","FQ2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255" s="2" t="e">
        <f ca="1">_xll.BDH($C$253,"SALES_GROWTH","FQ2 2014","FQ2 2014","Currency=INR","Period=FQ","BEST_FPERIOD_OVERRIDE=FQ","FILING_STATUS=OR","EQY_CONSOLIDATED=Y","FA_ADJUSTED=GAAP","Sort=A","Dates=H","DateFormat=P","Fill=—","Direction=H","UseDPDF=Y")</f>
        <v>#NAME?</v>
      </c>
      <c r="U255" s="2" t="e">
        <f ca="1">_xll.BDH($C$253,"EBITDA_GROWTH","FQ2 2014","FQ2 2014","Currency=INR","Period=FQ","BEST_FPERIOD_OVERRIDE=FQ","FILING_STATUS=OR","EQY_CONSOLIDATED=Y","FA_ADJUSTED=GAAP","Sort=A","Dates=H","DateFormat=P","Fill=—","Direction=H","UseDPDF=Y")</f>
        <v>#NAME?</v>
      </c>
      <c r="V255" s="2" t="e">
        <f ca="1">_xll.BDH($C$253,"OPER_INC_GROWTH","FQ2 2014","FQ2 2014","Currency=INR","Period=FQ","BEST_FPERIOD_OVERRIDE=FQ","FILING_STATUS=OR","EQY_CONSOLIDATED=Y","FA_ADJUSTED=GAAP","Sort=A","Dates=H","DateFormat=P","Fill=—","Direction=H","UseDPDF=Y")</f>
        <v>#NAME?</v>
      </c>
      <c r="W255" s="2" t="e">
        <f ca="1">_xll.BDH($C$253,"EARN_FOR_COM_GROWTH","FQ2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55" s="2" t="e">
        <f ca="1">_xll.BDH($C$253,"DILUTED_EPS_AFT_XO_ITEMS_GROWTH","FQ2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55" s="2" t="e">
        <f ca="1">_xll.BDH($C$253,"DIVIDEND_PER_SHARE_1_YEAR_GROWTH","FQ2 2014","FQ2 2014","Currency=INR","Period=FQ","BEST_FPERIOD_OVERRIDE=FQ","FILING_STATUS=OR","EQY_CONSOLIDATED=Y","Sort=A","Dates=H","DateFormat=P","Fill=—","Direction=H","UseDPDF=Y")</f>
        <v>#NAME?</v>
      </c>
      <c r="Z255" s="2" t="e">
        <f ca="1">_xll.BDH($C$253,"ACCOUNTS_RECEIVABLE_GROWTH","FQ2 2014","FQ2 2014","Currency=INR","Period=FQ","BEST_FPERIOD_OVERRIDE=FQ","FILING_STATUS=OR","EQY_CONSOLIDATED=Y","Sort=A","Dates=H","DateFormat=P","Fill=—","Direction=H","UseDPDF=Y")</f>
        <v>#NAME?</v>
      </c>
      <c r="AA255" s="2" t="e">
        <f ca="1">_xll.BDH($C$253,"INVENTORY_GROWTH","FQ2 2014","FQ2 2014","Currency=INR","Period=FQ","BEST_FPERIOD_OVERRIDE=FQ","FILING_STATUS=OR","EQY_CONSOLIDATED=Y","Sort=A","Dates=H","DateFormat=P","Fill=—","Direction=H","UseDPDF=Y")</f>
        <v>#NAME?</v>
      </c>
      <c r="AB255" s="2" t="e">
        <f ca="1">_xll.BDH($C$253,"NET_FIXED_ASSETS_1_YEAR_GROWTH","FQ2 2014","FQ2 2014","Currency=INR","Period=FQ","BEST_FPERIOD_OVERRIDE=FQ","FILING_STATUS=OR","EQY_CONSOLIDATED=Y","Sort=A","Dates=H","DateFormat=P","Fill=—","Direction=H","UseDPDF=Y")</f>
        <v>#NAME?</v>
      </c>
      <c r="AC255" s="2" t="e">
        <f ca="1">_xll.BDH($C$253,"ASSET_GROWTH","FQ2 2014","FQ2 2014","Currency=INR","Period=FQ","BEST_FPERIOD_OVERRIDE=FQ","FILING_STATUS=OR","EQY_CONSOLIDATED=Y","Sort=A","Dates=H","DateFormat=P","Fill=—","Direction=H","UseDPDF=Y")</f>
        <v>#NAME?</v>
      </c>
      <c r="AD255" s="2" t="e">
        <f ca="1">_xll.BDH($C$253,"MODIFIED_WORK_CAP_GROWTH","FQ2 2014","FQ2 2014","Currency=INR","Period=FQ","BEST_FPERIOD_OVERRIDE=FQ","FILING_STATUS=OR","EQY_CONSOLIDATED=Y","Sort=A","Dates=H","DateFormat=P","Fill=—","Direction=H","UseDPDF=Y")</f>
        <v>#NAME?</v>
      </c>
      <c r="AE255" s="2" t="e">
        <f ca="1">_xll.BDH($C$253,"WORK_CAP_GROWTH","FQ2 2014","FQ2 2014","Currency=INR","Period=FQ","BEST_FPERIOD_OVERRIDE=FQ","FILING_STATUS=OR","EQY_CONSOLIDATED=Y","Sort=A","Dates=H","DateFormat=P","Fill=—","Direction=H","UseDPDF=Y")</f>
        <v>#NAME?</v>
      </c>
      <c r="AF255" s="2" t="e">
        <f ca="1">_xll.BDH($C$253,"ACCOUNTS_PAYABLE_GROWTH_1YR","FQ2 2014","FQ2 2014","Currency=INR","Period=FQ","BEST_FPERIOD_OVERRIDE=FQ","FILING_STATUS=OR","EQY_CONSOLIDATED=Y","Sort=A","Dates=H","DateFormat=P","Fill=—","Direction=H","UseDPDF=Y")</f>
        <v>#NAME?</v>
      </c>
      <c r="AG255" s="2" t="e">
        <f ca="1">_xll.BDH($C$253,"SHORT_TERM_DEBT_1_YEAR_GROWTH","FQ2 2014","FQ2 2014","Currency=INR","Period=FQ","BEST_FPERIOD_OVERRIDE=FQ","FILING_STATUS=OR","EQY_CONSOLIDATED=Y","Sort=A","Dates=H","DateFormat=P","Fill=—","Direction=H","UseDPDF=Y")</f>
        <v>#NAME?</v>
      </c>
      <c r="AH255" s="2" t="e">
        <f ca="1">_xll.BDH($C$253,"TOTAL_DEBT_1_YEAR_GROWTH","FQ2 2014","FQ2 2014","Currency=INR","Period=FQ","BEST_FPERIOD_OVERRIDE=FQ","FILING_STATUS=OR","EQY_CONSOLIDATED=Y","Sort=A","Dates=H","DateFormat=P","Fill=—","Direction=H","UseDPDF=Y")</f>
        <v>#NAME?</v>
      </c>
      <c r="AI255" s="2" t="e">
        <f ca="1">_xll.BDH($C$253,"TOTAL_EQUITY_1_YEAR_GROWTH","FQ2 2014","FQ2 2014","Currency=INR","Period=FQ","BEST_FPERIOD_OVERRIDE=FQ","FILING_STATUS=OR","EQY_CONSOLIDATED=Y","Sort=A","Dates=H","DateFormat=P","Fill=—","Direction=H","UseDPDF=Y")</f>
        <v>#NAME?</v>
      </c>
      <c r="AJ255" s="2" t="e">
        <f ca="1">_xll.BDH($C$253,"GROWTH_IN_CAP","FQ2 2014","FQ2 2014","Currency=INR","Period=FQ","BEST_FPERIOD_OVERRIDE=FQ","FILING_STATUS=OR","EQY_CONSOLIDATED=Y","Sort=A","Dates=H","DateFormat=P","Fill=—","Direction=H","UseDPDF=Y")</f>
        <v>#NAME?</v>
      </c>
      <c r="AK255" s="2" t="e">
        <f ca="1">_xll.BDH($C$253,"BVPS_GROWTH","FQ2 2014","FQ2 2014","Currency=INR","Period=FQ","BEST_FPERIOD_OVERRIDE=FQ","FILING_STATUS=OR","EQY_CONSOLIDATED=Y","Sort=A","Dates=H","DateFormat=P","Fill=—","Direction=H","UseDPDF=Y")</f>
        <v>#NAME?</v>
      </c>
      <c r="AL255" s="2" t="e">
        <f ca="1">_xll.BDH($C$253,"CASH_FLOW_GROWTH","FQ2 2014","FQ2 2014","Currency=INR","Period=FQ","BEST_FPERIOD_OVERRIDE=FQ","FILING_STATUS=OR","EQY_CONSOLIDATED=Y","Sort=A","Dates=H","DateFormat=P","Fill=—","Direction=H","UseDPDF=Y")</f>
        <v>#NAME?</v>
      </c>
      <c r="AM255" s="2" t="e">
        <f ca="1">_xll.BDH($C$253,"GEO_GROW_NET_SALES","FQ2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55" s="2" t="e">
        <f ca="1">_xll.BDH($C$253,"GEO_GROW_EBITDA","FQ2 2014","FQ2 2014","Currency=INR","Period=FQ","BEST_FPERIOD_OVERRIDE=FQ","FILING_STATUS=OR","EQY_CONSOLIDATED=Y","FA_ADJUSTED=GAAP","Sort=A","Dates=H","DateFormat=P","Fill=—","Direction=H","UseDPDF=Y")</f>
        <v>#NAME?</v>
      </c>
      <c r="AO255" s="2" t="e">
        <f ca="1">_xll.BDH($C$253,"GEO_GROW_OPER_INC","FQ2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55" s="2" t="e">
        <f ca="1">_xll.BDH($C$253,"NET_INCOME_TO_COMMON_5_YR_GROWTH","FQ2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55" s="2" t="e">
        <f ca="1">_xll.BDH($C$253,"5Y_GEO_GROWTH_DILUTED_EPS","FQ2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55" s="2" t="e">
        <f ca="1">_xll.BDH($C$253,"GEO_GROW_DVD_PER_SH","FQ2 2014","FQ2 2014","Currency=INR","Period=FQ","BEST_FPERIOD_OVERRIDE=FQ","FILING_STATUS=OR","EQY_CONSOLIDATED=Y","Sort=A","Dates=H","DateFormat=P","Fill=—","Direction=H","UseDPDF=Y")</f>
        <v>#NAME?</v>
      </c>
      <c r="AS255" s="2" t="e">
        <f ca="1">_xll.BDH($C$253,"ACCOUNTS_RECEIVABLE_5_YR_GROWTH","FQ2 2014","FQ2 2014","Currency=INR","Period=FQ","BEST_FPERIOD_OVERRIDE=FQ","FILING_STATUS=OR","EQY_CONSOLIDATED=Y","Sort=A","Dates=H","DateFormat=P","Fill=—","Direction=H","UseDPDF=Y")</f>
        <v>#NAME?</v>
      </c>
      <c r="AT255" s="2" t="e">
        <f ca="1">_xll.BDH($C$253,"INVENTORY_5_YEAR_GROWTH","FQ2 2014","FQ2 2014","Currency=INR","Period=FQ","BEST_FPERIOD_OVERRIDE=FQ","FILING_STATUS=OR","EQY_CONSOLIDATED=Y","Sort=A","Dates=H","DateFormat=P","Fill=—","Direction=H","UseDPDF=Y")</f>
        <v>#NAME?</v>
      </c>
      <c r="AU255" s="2" t="e">
        <f ca="1">_xll.BDH($C$253,"NET_FIXED_ASSETS_5_YEAR_GROWTH","FQ2 2014","FQ2 2014","Currency=INR","Period=FQ","BEST_FPERIOD_OVERRIDE=FQ","FILING_STATUS=OR","EQY_CONSOLIDATED=Y","Sort=A","Dates=H","DateFormat=P","Fill=—","Direction=H","UseDPDF=Y")</f>
        <v>#NAME?</v>
      </c>
      <c r="AV255" s="2" t="e">
        <f ca="1">_xll.BDH($C$253,"GEO_GROW_TOT_ASSET","FQ2 2014","FQ2 2014","Currency=INR","Period=FQ","BEST_FPERIOD_OVERRIDE=FQ","FILING_STATUS=OR","EQY_CONSOLIDATED=Y","Sort=A","Dates=H","DateFormat=P","Fill=—","Direction=H","UseDPDF=Y")</f>
        <v>#NAME?</v>
      </c>
      <c r="AW255" s="2" t="e">
        <f ca="1">_xll.BDH($C$253,"MODIFIED_WORKING_CPTL_5YR_GRWTH","FQ2 2014","FQ2 2014","Currency=INR","Period=FQ","BEST_FPERIOD_OVERRIDE=FQ","FILING_STATUS=OR","EQY_CONSOLIDATED=Y","Sort=A","Dates=H","DateFormat=P","Fill=—","Direction=H","UseDPDF=Y")</f>
        <v>#NAME?</v>
      </c>
      <c r="AX255" s="2" t="e">
        <f ca="1">_xll.BDH($C$253,"WORKING_CAPITAL_5_YEAR_GROWTH","FQ2 2014","FQ2 2014","Currency=INR","Period=FQ","BEST_FPERIOD_OVERRIDE=FQ","FILING_STATUS=OR","EQY_CONSOLIDATED=Y","Sort=A","Dates=H","DateFormat=P","Fill=—","Direction=H","UseDPDF=Y")</f>
        <v>#NAME?</v>
      </c>
      <c r="AY255" s="2" t="e">
        <f ca="1">_xll.BDH($C$253,"ACCOUNTS_PAYABLE_5_YEAR_GROWTH","FQ2 2014","FQ2 2014","Currency=INR","Period=FQ","BEST_FPERIOD_OVERRIDE=FQ","FILING_STATUS=OR","EQY_CONSOLIDATED=Y","Sort=A","Dates=H","DateFormat=P","Fill=—","Direction=H","UseDPDF=Y")</f>
        <v>#NAME?</v>
      </c>
      <c r="AZ255" s="2" t="e">
        <f ca="1">_xll.BDH($C$253,"SHORT_TERM_DEBT_5_YEAR_GROWTH","FQ2 2014","FQ2 2014","Currency=INR","Period=FQ","BEST_FPERIOD_OVERRIDE=FQ","FILING_STATUS=OR","EQY_CONSOLIDATED=Y","Sort=A","Dates=H","DateFormat=P","Fill=—","Direction=H","UseDPDF=Y")</f>
        <v>#NAME?</v>
      </c>
      <c r="BA255" s="2" t="e">
        <f ca="1">_xll.BDH($C$253,"TOTAL_DEBT_5_YEAR_GROWTH","FQ2 2014","FQ2 2014","Currency=INR","Period=FQ","BEST_FPERIOD_OVERRIDE=FQ","FILING_STATUS=OR","EQY_CONSOLIDATED=Y","Sort=A","Dates=H","DateFormat=P","Fill=—","Direction=H","UseDPDF=Y")</f>
        <v>#NAME?</v>
      </c>
      <c r="BB255" s="2" t="e">
        <f ca="1">_xll.BDH($C$253,"GEO_GROW_TOT_SHRHLDR_EQY","FQ2 2014","FQ2 2014","Currency=INR","Period=FQ","BEST_FPERIOD_OVERRIDE=FQ","FILING_STATUS=OR","EQY_CONSOLIDATED=Y","Sort=A","Dates=H","DateFormat=P","Fill=—","Direction=H","UseDPDF=Y")</f>
        <v>#NAME?</v>
      </c>
      <c r="BC255" s="2" t="e">
        <f ca="1">_xll.BDH($C$253,"TOTAL_CAPITAL_5_YEAR_GROWTH","FQ2 2014","FQ2 2014","Currency=INR","Period=FQ","BEST_FPERIOD_OVERRIDE=FQ","FILING_STATUS=OR","EQY_CONSOLIDATED=Y","Sort=A","Dates=H","DateFormat=P","Fill=—","Direction=H","UseDPDF=Y")</f>
        <v>#NAME?</v>
      </c>
      <c r="BD255" s="2" t="e">
        <f ca="1">_xll.BDH($C$253,"GEO_GROW_BOOK_VAL","FQ2 2014","FQ2 2014","Currency=INR","Period=FQ","BEST_FPERIOD_OVERRIDE=FQ","FILING_STATUS=OR","EQY_CONSOLIDATED=Y","Sort=A","Dates=H","DateFormat=P","Fill=—","Direction=H","UseDPDF=Y")</f>
        <v>#NAME?</v>
      </c>
      <c r="BE255" s="2" t="e">
        <f ca="1">_xll.BDH($C$253,"GEO_GROW_CASH_OPER_ACT","FQ2 2014","FQ2 2014","Currency=INR","Period=FQ","BEST_FPERIOD_OVERRIDE=FQ","FILING_STATUS=OR","EQY_CONSOLIDATED=Y","Sort=A","Dates=H","DateFormat=P","Fill=—","Direction=H","UseDPDF=Y")</f>
        <v>#NAME?</v>
      </c>
      <c r="BF255" s="2" t="e">
        <f ca="1">_xll.BDH($C$253,"REVENUE_SEQUENTIAL_GROWTH","FQ2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55" s="2" t="e">
        <f ca="1">_xll.BDH($C$253,"EBITDA_SEQUENTIAL_GROWTH","FQ2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55" s="2" t="e">
        <f ca="1">_xll.BDH($C$253,"OPERATING_INCOME_SEQ_GROWTH","FQ2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55" s="2" t="e">
        <f ca="1">_xll.BDH($C$253,"NET_INCOME_TO_COMMON_SEQ_GROWTH","FQ2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55" s="2" t="e">
        <f ca="1">_xll.BDH($C$253,"EPS_DILUTED_SEQUENTIAL_GROWTH","FQ2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55" s="2" t="e">
        <f ca="1">_xll.BDH($C$253,"DPS_SEQUENTIAL_GROWTH","FQ2 2014","FQ2 2014","Currency=INR","Period=FQ","BEST_FPERIOD_OVERRIDE=FQ","FILING_STATUS=OR","EQY_CONSOLIDATED=Y","Sort=A","Dates=H","DateFormat=P","Fill=—","Direction=H","UseDPDF=Y")</f>
        <v>#NAME?</v>
      </c>
      <c r="BL255" s="2" t="e">
        <f ca="1">_xll.BDH($C$253,"ACCOUNTS_RECEIVABLE_SEQ_GROWTH","FQ2 2014","FQ2 2014","Currency=INR","Period=FQ","BEST_FPERIOD_OVERRIDE=FQ","FILING_STATUS=OR","EQY_CONSOLIDATED=Y","Sort=A","Dates=H","DateFormat=P","Fill=—","Direction=H","UseDPDF=Y")</f>
        <v>#NAME?</v>
      </c>
      <c r="BM255" s="2" t="e">
        <f ca="1">_xll.BDH($C$253,"INVENTORY_SEQUENTIAL_GROWTH","FQ2 2014","FQ2 2014","Currency=INR","Period=FQ","BEST_FPERIOD_OVERRIDE=FQ","FILING_STATUS=OR","EQY_CONSOLIDATED=Y","Sort=A","Dates=H","DateFormat=P","Fill=—","Direction=H","UseDPDF=Y")</f>
        <v>#NAME?</v>
      </c>
      <c r="BN255" s="2" t="e">
        <f ca="1">_xll.BDH($C$253,"FIXED_ASSETS_SEQUENTIAL_GROWTH","FQ2 2014","FQ2 2014","Currency=INR","Period=FQ","BEST_FPERIOD_OVERRIDE=FQ","FILING_STATUS=OR","EQY_CONSOLIDATED=Y","Sort=A","Dates=H","DateFormat=P","Fill=—","Direction=H","UseDPDF=Y")</f>
        <v>#NAME?</v>
      </c>
      <c r="BO255" s="2" t="e">
        <f ca="1">_xll.BDH($C$253,"TOTAL_ASSETS_SEQUENTIAL_GROWTH","FQ2 2014","FQ2 2014","Currency=INR","Period=FQ","BEST_FPERIOD_OVERRIDE=FQ","FILING_STATUS=OR","EQY_CONSOLIDATED=Y","Sort=A","Dates=H","DateFormat=P","Fill=—","Direction=H","UseDPDF=Y")</f>
        <v>#NAME?</v>
      </c>
      <c r="BP255" s="2" t="e">
        <f ca="1">_xll.BDH($C$253,"MODIFIED_WORKING_CPTL_SEQ_GRWTH","FQ2 2014","FQ2 2014","Currency=INR","Period=FQ","BEST_FPERIOD_OVERRIDE=FQ","FILING_STATUS=OR","EQY_CONSOLIDATED=Y","Sort=A","Dates=H","DateFormat=P","Fill=—","Direction=H","UseDPDF=Y")</f>
        <v>#NAME?</v>
      </c>
      <c r="BQ255" s="2" t="e">
        <f ca="1">_xll.BDH($C$253,"WORKING_CAPITAL_SEQ_GROWTH","FQ2 2014","FQ2 2014","Currency=INR","Period=FQ","BEST_FPERIOD_OVERRIDE=FQ","FILING_STATUS=OR","EQY_CONSOLIDATED=Y","Sort=A","Dates=H","DateFormat=P","Fill=—","Direction=H","UseDPDF=Y")</f>
        <v>#NAME?</v>
      </c>
      <c r="BR255" s="2" t="e">
        <f ca="1">_xll.BDH($C$253,"ACCOUNTS_PAYABLE_SEQ_GROWTH","FQ2 2014","FQ2 2014","Currency=INR","Period=FQ","BEST_FPERIOD_OVERRIDE=FQ","FILING_STATUS=OR","EQY_CONSOLIDATED=Y","Sort=A","Dates=H","DateFormat=P","Fill=—","Direction=H","UseDPDF=Y")</f>
        <v>#NAME?</v>
      </c>
      <c r="BS255" s="2" t="e">
        <f ca="1">_xll.BDH($C$253,"ST_DEBT_SEQUENTIAL_GROWTH","FQ2 2014","FQ2 2014","Currency=INR","Period=FQ","BEST_FPERIOD_OVERRIDE=FQ","FILING_STATUS=OR","EQY_CONSOLIDATED=Y","Sort=A","Dates=H","DateFormat=P","Fill=—","Direction=H","UseDPDF=Y")</f>
        <v>#NAME?</v>
      </c>
      <c r="BT255" s="2" t="e">
        <f ca="1">_xll.BDH($C$253,"TOTAL_DEBT_SEQUENTIAL_GROWTH","FQ2 2014","FQ2 2014","Currency=INR","Period=FQ","BEST_FPERIOD_OVERRIDE=FQ","FILING_STATUS=OR","EQY_CONSOLIDATED=Y","Sort=A","Dates=H","DateFormat=P","Fill=—","Direction=H","UseDPDF=Y")</f>
        <v>#NAME?</v>
      </c>
      <c r="BU255" s="2" t="e">
        <f ca="1">_xll.BDH($C$253,"TOTAL_EQUITY_SEQUENTIAL_GROWTH","FQ2 2014","FQ2 2014","Currency=INR","Period=FQ","BEST_FPERIOD_OVERRIDE=FQ","FILING_STATUS=OR","EQY_CONSOLIDATED=Y","Sort=A","Dates=H","DateFormat=P","Fill=—","Direction=H","UseDPDF=Y")</f>
        <v>#NAME?</v>
      </c>
      <c r="BV255" s="2" t="e">
        <f ca="1">_xll.BDH($C$253,"TOTAL_CAPITAL_SEQUENTIAL_GROWTH","FQ2 2014","FQ2 2014","Currency=INR","Period=FQ","BEST_FPERIOD_OVERRIDE=FQ","FILING_STATUS=OR","EQY_CONSOLIDATED=Y","Sort=A","Dates=H","DateFormat=P","Fill=—","Direction=H","UseDPDF=Y")</f>
        <v>#NAME?</v>
      </c>
      <c r="BW255" s="2" t="e">
        <f ca="1">_xll.BDH($C$253,"BPS_SEQUENTIAL_GROWTH","FQ2 2014","FQ2 2014","Currency=INR","Period=FQ","BEST_FPERIOD_OVERRIDE=FQ","FILING_STATUS=OR","EQY_CONSOLIDATED=Y","Sort=A","Dates=H","DateFormat=P","Fill=—","Direction=H","UseDPDF=Y")</f>
        <v>#NAME?</v>
      </c>
      <c r="BX255" s="2" t="e">
        <f ca="1">_xll.BDH($C$253,"CFO_SEQUENTIAL_GROWTH","FQ2 2014","FQ2 2014","Currency=INR","Period=FQ","BEST_FPERIOD_OVERRIDE=FQ","FILING_STATUS=OR","EQY_CONSOLIDATED=Y","Sort=A","Dates=H","DateFormat=P","Fill=—","Direction=H","UseDPDF=Y")</f>
        <v>#NAME?</v>
      </c>
      <c r="BY255" s="3" t="e">
        <f ca="1">_xll.BDH($C$253,"SHORT_AND_LONG_TERM_DEBT","FQ2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55" s="3" t="e">
        <f ca="1">_xll.BDH($C$253,"BS_ST_BORROW","FQ2 2014","FQ2 2014","Currency=INR","Period=FQ","BEST_FPERIOD_OVERRIDE=FQ","FILING_STATUS=OR","EQY_CONSOLIDATED=Y","SCALING_FORMAT=MLN","Sort=A","Dates=H","DateFormat=P","Fill=—","Direction=H","UseDPDF=Y")</f>
        <v>#NAME?</v>
      </c>
      <c r="CA255" s="3" t="e">
        <f ca="1">_xll.BDH($C$253,"BS_LT_BORROW","FQ2 2014","FQ2 2014","Currency=INR","Period=FQ","BEST_FPERIOD_OVERRIDE=FQ","FILING_STATUS=OR","EQY_CONSOLIDATED=Y","SCALING_FORMAT=MLN","Sort=A","Dates=H","DateFormat=P","Fill=—","Direction=H","UseDPDF=Y")</f>
        <v>#NAME?</v>
      </c>
      <c r="CB255" s="2" t="e">
        <f ca="1">_xll.BDH($C$253,"TOT_DEBT_TO_EBITDA","FQ2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55" s="2" t="e">
        <f ca="1">_xll.BDH($C$253,"NET_DEBT_TO_EBITDA","FQ2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55" s="2" t="e">
        <f ca="1">_xll.BDH($C$253,"TOTAL_DEBT_TO_EBIT","FQ2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55" s="2" t="e">
        <f ca="1">_xll.BDH($C$253,"NET_DEBT_TO_EBIT","FQ2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255" s="2" t="e">
        <f ca="1">_xll.BDH($C$253,"EBITDA_TO_INTEREST_EXPN","FQ2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55" s="2" t="e">
        <f ca="1">_xll.BDH($C$253,"COM_EQY_TO_TOT_ASSET","FQ2 2014","FQ2 2014","Currency=INR","Period=FQ","BEST_FPERIOD_OVERRIDE=FQ","FILING_STATUS=OR","EQY_CONSOLIDATED=Y","Sort=A","Dates=H","DateFormat=P","Fill=—","Direction=H","UseDPDF=Y")</f>
        <v>#NAME?</v>
      </c>
      <c r="CH255" s="2" t="e">
        <f ca="1">_xll.BDH($C$253,"LT_DEBT_TO_TOT_EQY","FQ2 2014","FQ2 2014","Currency=INR","Period=FQ","BEST_FPERIOD_OVERRIDE=FQ","FILING_STATUS=OR","EQY_CONSOLIDATED=Y","Sort=A","Dates=H","DateFormat=P","Fill=—","Direction=H","UseDPDF=Y")</f>
        <v>#NAME?</v>
      </c>
      <c r="CI255" s="2" t="e">
        <f ca="1">_xll.BDH($C$253,"LT_DEBT_TO_TOT_CAP","FQ2 2014","FQ2 2014","Currency=INR","Period=FQ","BEST_FPERIOD_OVERRIDE=FQ","FILING_STATUS=OR","EQY_CONSOLIDATED=Y","Sort=A","Dates=H","DateFormat=P","Fill=—","Direction=H","UseDPDF=Y")</f>
        <v>#NAME?</v>
      </c>
      <c r="CJ255" s="2" t="e">
        <f ca="1">_xll.BDH($C$253,"LT_DEBT_TO_TOT_ASSET","FQ2 2014","FQ2 2014","Currency=INR","Period=FQ","BEST_FPERIOD_OVERRIDE=FQ","FILING_STATUS=OR","EQY_CONSOLIDATED=Y","Sort=A","Dates=H","DateFormat=P","Fill=—","Direction=H","UseDPDF=Y")</f>
        <v>#NAME?</v>
      </c>
      <c r="CK255" s="2" t="e">
        <f ca="1">_xll.BDH($C$253,"TOT_DEBT_TO_TOT_EQY","FQ2 2014","FQ2 2014","Currency=INR","Period=FQ","BEST_FPERIOD_OVERRIDE=FQ","FILING_STATUS=OR","EQY_CONSOLIDATED=Y","Sort=A","Dates=H","DateFormat=P","Fill=—","Direction=H","UseDPDF=Y")</f>
        <v>#NAME?</v>
      </c>
      <c r="CL255" s="2" t="e">
        <f ca="1">_xll.BDH($C$253,"TOT_DEBT_TO_TOT_CAP","FQ2 2014","FQ2 2014","Currency=INR","Period=FQ","BEST_FPERIOD_OVERRIDE=FQ","FILING_STATUS=OR","EQY_CONSOLIDATED=Y","Sort=A","Dates=H","DateFormat=P","Fill=—","Direction=H","UseDPDF=Y")</f>
        <v>#NAME?</v>
      </c>
      <c r="CM255" s="2" t="e">
        <f ca="1">_xll.BDH($C$253,"TOT_DEBT_TO_TOT_ASSET","FQ2 2014","FQ2 2014","Currency=INR","Period=FQ","BEST_FPERIOD_OVERRIDE=FQ","FILING_STATUS=OR","EQY_CONSOLIDATED=Y","Sort=A","Dates=H","DateFormat=P","Fill=—","Direction=H","UseDPDF=Y")</f>
        <v>#NAME?</v>
      </c>
      <c r="CN255" s="2" t="e">
        <f ca="1">_xll.BDH($C$253,"NET_DEBT_TO_SHRHLDR_EQTY","FQ2 2014","FQ2 2014","Currency=INR","Period=FQ","BEST_FPERIOD_OVERRIDE=FQ","FILING_STATUS=OR","EQY_CONSOLIDATED=Y","Sort=A","Dates=H","DateFormat=P","Fill=—","Direction=H","UseDPDF=Y")</f>
        <v>#NAME?</v>
      </c>
      <c r="CO255" s="2" t="e">
        <f ca="1">_xll.BDH($C$253,"NET_DEBT_%_CAPITAL","FQ2 2014","FQ2 2014","Currency=INR","Period=FQ","BEST_FPERIOD_OVERRIDE=FQ","FILING_STATUS=OR","EQY_CONSOLIDATED=Y","Sort=A","Dates=H","DateFormat=P","Fill=—","Direction=H","UseDPDF=Y")</f>
        <v>#NAME?</v>
      </c>
      <c r="CP255" s="3" t="e">
        <f ca="1">_xll.BDH($C$253,"EBITDA","FQ2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55" s="3" t="e">
        <f ca="1">_xll.BDH($C$253,"EBITDA_AFTER_CAPEX","FQ2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55" s="3" t="e">
        <f ca="1">_xll.BDH($C$253,"IS_OPER_INC","FQ2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55" s="2" t="e">
        <f ca="1">_xll.BDH($C$253,"CASH_RATIO","FQ2 2014","FQ2 2014","Currency=INR","Period=FQ","BEST_FPERIOD_OVERRIDE=FQ","FILING_STATUS=OR","EQY_CONSOLIDATED=Y","Sort=A","Dates=H","DateFormat=P","Fill=—","Direction=H","UseDPDF=Y")</f>
        <v>#NAME?</v>
      </c>
      <c r="CT255" s="2" t="e">
        <f ca="1">_xll.BDH($C$253,"CUR_RATIO","FQ2 2014","FQ2 2014","Currency=INR","Period=FQ","BEST_FPERIOD_OVERRIDE=FQ","FILING_STATUS=OR","EQY_CONSOLIDATED=Y","Sort=A","Dates=H","DateFormat=P","Fill=—","Direction=H","UseDPDF=Y")</f>
        <v>#NAME?</v>
      </c>
      <c r="CU255" s="2" t="e">
        <f ca="1">_xll.BDH($C$253,"QUICK_RATIO","FQ2 2014","FQ2 2014","Currency=INR","Period=FQ","BEST_FPERIOD_OVERRIDE=FQ","FILING_STATUS=OR","EQY_CONSOLIDATED=Y","Sort=A","Dates=H","DateFormat=P","Fill=—","Direction=H","UseDPDF=Y")</f>
        <v>#NAME?</v>
      </c>
      <c r="CV255" s="2" t="e">
        <f ca="1">_xll.BDH($C$253,"ALTMAN_Z_SCORE","FQ2 2014","FQ2 2014","Currency=INR","Period=FQ","BEST_FPERIOD_OVERRIDE=FQ","FILING_STATUS=OR","EQY_CONSOLIDATED=Y","Sort=A","Dates=H","DateFormat=P","Fill=—","Direction=H","UseDPDF=Y")</f>
        <v>#NAME?</v>
      </c>
      <c r="CW255" s="4" t="e">
        <f ca="1">_xll.BDH($C$253,"ACCT_RCV_TURN","FQ2 2014","FQ2 2014","Currency=INR","Period=FQ","BEST_FPERIOD_OVERRIDE=FQ","FILING_STATUS=OR","EQY_CONSOLIDATED=Y","FA_ADJUSTED=GAAP","Sort=A","Dates=H","DateFormat=P","Fill=—","Direction=H","UseDPDF=Y")</f>
        <v>#NAME?</v>
      </c>
      <c r="CX255" s="2" t="e">
        <f ca="1">_xll.BDH($C$253,"ACCT_RCV_DAYS","FQ2 2014","FQ2 2014","Currency=INR","Period=FQ","BEST_FPERIOD_OVERRIDE=FQ","FILING_STATUS=OR","EQY_CONSOLIDATED=Y","FA_ADJUSTED=GAAP","Sort=A","Dates=H","DateFormat=P","Fill=—","Direction=H","UseDPDF=Y")</f>
        <v>#NAME?</v>
      </c>
      <c r="CY255" s="4" t="e">
        <f ca="1">_xll.BDH($C$253,"INVENT_TURN","FQ2 2014","FQ2 2014","Currency=INR","Period=FQ","BEST_FPERIOD_OVERRIDE=FQ","FILING_STATUS=OR","EQY_CONSOLIDATED=Y","FA_ADJUSTED=GAAP","Sort=A","Dates=H","DateFormat=P","Fill=—","Direction=H","UseDPDF=Y")</f>
        <v>#NAME?</v>
      </c>
      <c r="CZ255" s="2" t="e">
        <f ca="1">_xll.BDH($C$253,"INVENT_DAYS","FQ2 2014","FQ2 2014","Currency=INR","Period=FQ","BEST_FPERIOD_OVERRIDE=FQ","FILING_STATUS=OR","EQY_CONSOLIDATED=Y","FA_ADJUSTED=GAAP","Sort=A","Dates=H","DateFormat=P","Fill=—","Direction=H","UseDPDF=Y")</f>
        <v>#NAME?</v>
      </c>
      <c r="DA255" s="4" t="e">
        <f ca="1">_xll.BDH($C$253,"ACCOUNTS_PAYABLE_TURNOVER","FQ2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55" s="2" t="e">
        <f ca="1">_xll.BDH($C$253,"ACCOUNTS_PAYABLE_TURNOVER_DAYS","FQ2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55" s="4" t="e">
        <f ca="1">_xll.BDH($C$253,"CASH_CONVERSION_CYCLE","FQ2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55" s="4" t="e">
        <f ca="1">_xll.BDH($C$253,"INV_TO_CASH_DAYS","FQ2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255" s="5" t="e">
        <f ca="1">_xll.BDH($C$253,"BS_INVENTORIES","FQ2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255" s="3" t="e">
        <f ca="1">_xll.BDH($C$253,"INVTRY_RAW_MATERIALS","FQ2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55" s="3" t="e">
        <f ca="1">_xll.BDH($C$253,"INVTRY_IN_PROGRESS","FQ2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55" s="3" t="e">
        <f ca="1">_xll.BDH($C$253,"INVTRY_FINISHED_GOODS","FQ2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55" s="3" t="e">
        <f ca="1">_xll.BDH($C$253,"BS_OTHER_INV","FQ2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56" spans="1:113" x14ac:dyDescent="0.3">
      <c r="A256" s="6"/>
      <c r="B256" s="6"/>
      <c r="C256" s="6"/>
      <c r="D256" s="6"/>
      <c r="E256" t="s">
        <v>80</v>
      </c>
      <c r="F256" t="e">
        <f ca="1">_xll.BDH($C$253,"RETURN_COM_EQY","FQ3 2014","FQ3 2014","Currency=INR","Period=FQ","BEST_FPERIOD_OVERRIDE=FQ","FILING_STATUS=OR","EQY_CONSOLIDATED=Y","FA_ADJUSTED=GAAP","Sort=A","Dates=H","DateFormat=P","Fill=—","Direction=H","UseDPDF=Y")</f>
        <v>#NAME?</v>
      </c>
      <c r="G256" t="e">
        <f ca="1">_xll.BDH($C$253,"RETURN_ON_ASSET","FQ3 2014","FQ3 2014","Currency=INR","Period=FQ","BEST_FPERIOD_OVERRIDE=FQ","FILING_STATUS=OR","EQY_CONSOLIDATED=Y","FA_ADJUSTED=GAAP","Sort=A","Dates=H","DateFormat=P","Fill=—","Direction=H","UseDPDF=Y")</f>
        <v>#NAME?</v>
      </c>
      <c r="H256" t="e">
        <f ca="1">_xll.BDH($C$253,"RETURN_ON_CAP","FQ3 2014","FQ3 2014","Currency=INR","Period=FQ","BEST_FPERIOD_OVERRIDE=FQ","FILING_STATUS=OR","EQY_CONSOLIDATED=Y","FA_ADJUSTED=GAAP","Sort=A","Dates=H","DateFormat=P","Fill=—","Direction=H","UseDPDF=Y")</f>
        <v>#NAME?</v>
      </c>
      <c r="I256" t="e">
        <f ca="1">_xll.BDH($C$253,"RETURN_ON_INV_CAPITAL","FQ3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56" t="e">
        <f ca="1">_xll.BDH($C$253,"EBITDA_TO_REVENUE","FQ3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256" t="e">
        <f ca="1">_xll.BDH($C$253,"OPER_MARGIN","FQ3 2014","FQ3 2014","Currency=INR","Period=FQ","BEST_FPERIOD_OVERRIDE=FQ","FILING_STATUS=OR","EQY_CONSOLIDATED=Y","FA_ADJUSTED=GAAP","Sort=A","Dates=H","DateFormat=P","Fill=—","Direction=H","UseDPDF=Y")</f>
        <v>#NAME?</v>
      </c>
      <c r="L256" t="e">
        <f ca="1">_xll.BDH($C$253,"INCREMENTAL_OPERATING_MARGIN","FQ3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56" t="e">
        <f ca="1">_xll.BDH($C$253,"PRETAX_INC_TO_NET_SALES","FQ3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56" t="e">
        <f ca="1">_xll.BDH($C$253,"INC_BEF_XO_ITEMS_TO_NET_SALES","FQ3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56" t="e">
        <f ca="1">_xll.BDH($C$253,"PROF_MARGIN","FQ3 2014","FQ3 2014","Currency=INR","Period=FQ","BEST_FPERIOD_OVERRIDE=FQ","FILING_STATUS=OR","EQY_CONSOLIDATED=Y","FA_ADJUSTED=GAAP","Sort=A","Dates=H","DateFormat=P","Fill=—","Direction=H","UseDPDF=Y")</f>
        <v>#NAME?</v>
      </c>
      <c r="P256" t="e">
        <f ca="1">_xll.BDH($C$253,"NET_INCOME_TO_COMMON_MARGIN","FQ3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56" t="e">
        <f ca="1">_xll.BDH($C$253,"EFF_TAX_RATE","FQ3 2014","FQ3 2014","Currency=INR","Period=FQ","BEST_FPERIOD_OVERRIDE=FQ","FILING_STATUS=OR","EQY_CONSOLIDATED=Y","FA_ADJUSTED=GAAP","Sort=A","Dates=H","DateFormat=P","Fill=—","Direction=H","UseDPDF=Y")</f>
        <v>#NAME?</v>
      </c>
      <c r="R256" t="e">
        <f ca="1">_xll.BDH($C$253,"DVD_PAYOUT_RATIO","FQ3 2014","FQ3 2014","Currency=INR","Period=FQ","BEST_FPERIOD_OVERRIDE=FQ","FILING_STATUS=OR","EQY_CONSOLIDATED=Y","FA_ADJUSTED=GAAP","Sort=A","Dates=H","DateFormat=P","Fill=—","Direction=H","UseDPDF=Y")</f>
        <v>#NAME?</v>
      </c>
      <c r="S256" t="e">
        <f ca="1">_xll.BDH($C$253,"SUSTAIN_GROWTH_RT","FQ3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256" s="2" t="e">
        <f ca="1">_xll.BDH($C$253,"SALES_GROWTH","FQ3 2014","FQ3 2014","Currency=INR","Period=FQ","BEST_FPERIOD_OVERRIDE=FQ","FILING_STATUS=OR","EQY_CONSOLIDATED=Y","FA_ADJUSTED=GAAP","Sort=A","Dates=H","DateFormat=P","Fill=—","Direction=H","UseDPDF=Y")</f>
        <v>#NAME?</v>
      </c>
      <c r="U256" s="2" t="e">
        <f ca="1">_xll.BDH($C$253,"EBITDA_GROWTH","FQ3 2014","FQ3 2014","Currency=INR","Period=FQ","BEST_FPERIOD_OVERRIDE=FQ","FILING_STATUS=OR","EQY_CONSOLIDATED=Y","FA_ADJUSTED=GAAP","Sort=A","Dates=H","DateFormat=P","Fill=—","Direction=H","UseDPDF=Y")</f>
        <v>#NAME?</v>
      </c>
      <c r="V256" s="2" t="e">
        <f ca="1">_xll.BDH($C$253,"OPER_INC_GROWTH","FQ3 2014","FQ3 2014","Currency=INR","Period=FQ","BEST_FPERIOD_OVERRIDE=FQ","FILING_STATUS=OR","EQY_CONSOLIDATED=Y","FA_ADJUSTED=GAAP","Sort=A","Dates=H","DateFormat=P","Fill=—","Direction=H","UseDPDF=Y")</f>
        <v>#NAME?</v>
      </c>
      <c r="W256" s="2" t="e">
        <f ca="1">_xll.BDH($C$253,"EARN_FOR_COM_GROWTH","FQ3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56" s="2" t="e">
        <f ca="1">_xll.BDH($C$253,"DILUTED_EPS_AFT_XO_ITEMS_GROWTH","FQ3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56" s="2" t="e">
        <f ca="1">_xll.BDH($C$253,"DIVIDEND_PER_SHARE_1_YEAR_GROWTH","FQ3 2014","FQ3 2014","Currency=INR","Period=FQ","BEST_FPERIOD_OVERRIDE=FQ","FILING_STATUS=OR","EQY_CONSOLIDATED=Y","Sort=A","Dates=H","DateFormat=P","Fill=—","Direction=H","UseDPDF=Y")</f>
        <v>#NAME?</v>
      </c>
      <c r="Z256" s="2" t="e">
        <f ca="1">_xll.BDH($C$253,"ACCOUNTS_RECEIVABLE_GROWTH","FQ3 2014","FQ3 2014","Currency=INR","Period=FQ","BEST_FPERIOD_OVERRIDE=FQ","FILING_STATUS=OR","EQY_CONSOLIDATED=Y","Sort=A","Dates=H","DateFormat=P","Fill=—","Direction=H","UseDPDF=Y")</f>
        <v>#NAME?</v>
      </c>
      <c r="AA256" s="2" t="e">
        <f ca="1">_xll.BDH($C$253,"INVENTORY_GROWTH","FQ3 2014","FQ3 2014","Currency=INR","Period=FQ","BEST_FPERIOD_OVERRIDE=FQ","FILING_STATUS=OR","EQY_CONSOLIDATED=Y","Sort=A","Dates=H","DateFormat=P","Fill=—","Direction=H","UseDPDF=Y")</f>
        <v>#NAME?</v>
      </c>
      <c r="AB256" s="2" t="e">
        <f ca="1">_xll.BDH($C$253,"NET_FIXED_ASSETS_1_YEAR_GROWTH","FQ3 2014","FQ3 2014","Currency=INR","Period=FQ","BEST_FPERIOD_OVERRIDE=FQ","FILING_STATUS=OR","EQY_CONSOLIDATED=Y","Sort=A","Dates=H","DateFormat=P","Fill=—","Direction=H","UseDPDF=Y")</f>
        <v>#NAME?</v>
      </c>
      <c r="AC256" s="2" t="e">
        <f ca="1">_xll.BDH($C$253,"ASSET_GROWTH","FQ3 2014","FQ3 2014","Currency=INR","Period=FQ","BEST_FPERIOD_OVERRIDE=FQ","FILING_STATUS=OR","EQY_CONSOLIDATED=Y","Sort=A","Dates=H","DateFormat=P","Fill=—","Direction=H","UseDPDF=Y")</f>
        <v>#NAME?</v>
      </c>
      <c r="AD256" s="2" t="e">
        <f ca="1">_xll.BDH($C$253,"MODIFIED_WORK_CAP_GROWTH","FQ3 2014","FQ3 2014","Currency=INR","Period=FQ","BEST_FPERIOD_OVERRIDE=FQ","FILING_STATUS=OR","EQY_CONSOLIDATED=Y","Sort=A","Dates=H","DateFormat=P","Fill=—","Direction=H","UseDPDF=Y")</f>
        <v>#NAME?</v>
      </c>
      <c r="AE256" s="2" t="e">
        <f ca="1">_xll.BDH($C$253,"WORK_CAP_GROWTH","FQ3 2014","FQ3 2014","Currency=INR","Period=FQ","BEST_FPERIOD_OVERRIDE=FQ","FILING_STATUS=OR","EQY_CONSOLIDATED=Y","Sort=A","Dates=H","DateFormat=P","Fill=—","Direction=H","UseDPDF=Y")</f>
        <v>#NAME?</v>
      </c>
      <c r="AF256" s="2" t="e">
        <f ca="1">_xll.BDH($C$253,"ACCOUNTS_PAYABLE_GROWTH_1YR","FQ3 2014","FQ3 2014","Currency=INR","Period=FQ","BEST_FPERIOD_OVERRIDE=FQ","FILING_STATUS=OR","EQY_CONSOLIDATED=Y","Sort=A","Dates=H","DateFormat=P","Fill=—","Direction=H","UseDPDF=Y")</f>
        <v>#NAME?</v>
      </c>
      <c r="AG256" s="2" t="e">
        <f ca="1">_xll.BDH($C$253,"SHORT_TERM_DEBT_1_YEAR_GROWTH","FQ3 2014","FQ3 2014","Currency=INR","Period=FQ","BEST_FPERIOD_OVERRIDE=FQ","FILING_STATUS=OR","EQY_CONSOLIDATED=Y","Sort=A","Dates=H","DateFormat=P","Fill=—","Direction=H","UseDPDF=Y")</f>
        <v>#NAME?</v>
      </c>
      <c r="AH256" s="2" t="e">
        <f ca="1">_xll.BDH($C$253,"TOTAL_DEBT_1_YEAR_GROWTH","FQ3 2014","FQ3 2014","Currency=INR","Period=FQ","BEST_FPERIOD_OVERRIDE=FQ","FILING_STATUS=OR","EQY_CONSOLIDATED=Y","Sort=A","Dates=H","DateFormat=P","Fill=—","Direction=H","UseDPDF=Y")</f>
        <v>#NAME?</v>
      </c>
      <c r="AI256" s="2" t="e">
        <f ca="1">_xll.BDH($C$253,"TOTAL_EQUITY_1_YEAR_GROWTH","FQ3 2014","FQ3 2014","Currency=INR","Period=FQ","BEST_FPERIOD_OVERRIDE=FQ","FILING_STATUS=OR","EQY_CONSOLIDATED=Y","Sort=A","Dates=H","DateFormat=P","Fill=—","Direction=H","UseDPDF=Y")</f>
        <v>#NAME?</v>
      </c>
      <c r="AJ256" s="2" t="e">
        <f ca="1">_xll.BDH($C$253,"GROWTH_IN_CAP","FQ3 2014","FQ3 2014","Currency=INR","Period=FQ","BEST_FPERIOD_OVERRIDE=FQ","FILING_STATUS=OR","EQY_CONSOLIDATED=Y","Sort=A","Dates=H","DateFormat=P","Fill=—","Direction=H","UseDPDF=Y")</f>
        <v>#NAME?</v>
      </c>
      <c r="AK256" s="2" t="e">
        <f ca="1">_xll.BDH($C$253,"BVPS_GROWTH","FQ3 2014","FQ3 2014","Currency=INR","Period=FQ","BEST_FPERIOD_OVERRIDE=FQ","FILING_STATUS=OR","EQY_CONSOLIDATED=Y","Sort=A","Dates=H","DateFormat=P","Fill=—","Direction=H","UseDPDF=Y")</f>
        <v>#NAME?</v>
      </c>
      <c r="AL256" s="2" t="e">
        <f ca="1">_xll.BDH($C$253,"CASH_FLOW_GROWTH","FQ3 2014","FQ3 2014","Currency=INR","Period=FQ","BEST_FPERIOD_OVERRIDE=FQ","FILING_STATUS=OR","EQY_CONSOLIDATED=Y","Sort=A","Dates=H","DateFormat=P","Fill=—","Direction=H","UseDPDF=Y")</f>
        <v>#NAME?</v>
      </c>
      <c r="AM256" s="2" t="e">
        <f ca="1">_xll.BDH($C$253,"GEO_GROW_NET_SALES","FQ3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56" s="2" t="e">
        <f ca="1">_xll.BDH($C$253,"GEO_GROW_EBITDA","FQ3 2014","FQ3 2014","Currency=INR","Period=FQ","BEST_FPERIOD_OVERRIDE=FQ","FILING_STATUS=OR","EQY_CONSOLIDATED=Y","FA_ADJUSTED=GAAP","Sort=A","Dates=H","DateFormat=P","Fill=—","Direction=H","UseDPDF=Y")</f>
        <v>#NAME?</v>
      </c>
      <c r="AO256" s="2" t="e">
        <f ca="1">_xll.BDH($C$253,"GEO_GROW_OPER_INC","FQ3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56" s="2" t="e">
        <f ca="1">_xll.BDH($C$253,"NET_INCOME_TO_COMMON_5_YR_GROWTH","FQ3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56" s="2" t="e">
        <f ca="1">_xll.BDH($C$253,"5Y_GEO_GROWTH_DILUTED_EPS","FQ3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56" s="2" t="e">
        <f ca="1">_xll.BDH($C$253,"GEO_GROW_DVD_PER_SH","FQ3 2014","FQ3 2014","Currency=INR","Period=FQ","BEST_FPERIOD_OVERRIDE=FQ","FILING_STATUS=OR","EQY_CONSOLIDATED=Y","Sort=A","Dates=H","DateFormat=P","Fill=—","Direction=H","UseDPDF=Y")</f>
        <v>#NAME?</v>
      </c>
      <c r="AS256" s="2" t="e">
        <f ca="1">_xll.BDH($C$253,"ACCOUNTS_RECEIVABLE_5_YR_GROWTH","FQ3 2014","FQ3 2014","Currency=INR","Period=FQ","BEST_FPERIOD_OVERRIDE=FQ","FILING_STATUS=OR","EQY_CONSOLIDATED=Y","Sort=A","Dates=H","DateFormat=P","Fill=—","Direction=H","UseDPDF=Y")</f>
        <v>#NAME?</v>
      </c>
      <c r="AT256" s="2" t="e">
        <f ca="1">_xll.BDH($C$253,"INVENTORY_5_YEAR_GROWTH","FQ3 2014","FQ3 2014","Currency=INR","Period=FQ","BEST_FPERIOD_OVERRIDE=FQ","FILING_STATUS=OR","EQY_CONSOLIDATED=Y","Sort=A","Dates=H","DateFormat=P","Fill=—","Direction=H","UseDPDF=Y")</f>
        <v>#NAME?</v>
      </c>
      <c r="AU256" s="2" t="e">
        <f ca="1">_xll.BDH($C$253,"NET_FIXED_ASSETS_5_YEAR_GROWTH","FQ3 2014","FQ3 2014","Currency=INR","Period=FQ","BEST_FPERIOD_OVERRIDE=FQ","FILING_STATUS=OR","EQY_CONSOLIDATED=Y","Sort=A","Dates=H","DateFormat=P","Fill=—","Direction=H","UseDPDF=Y")</f>
        <v>#NAME?</v>
      </c>
      <c r="AV256" s="2" t="e">
        <f ca="1">_xll.BDH($C$253,"GEO_GROW_TOT_ASSET","FQ3 2014","FQ3 2014","Currency=INR","Period=FQ","BEST_FPERIOD_OVERRIDE=FQ","FILING_STATUS=OR","EQY_CONSOLIDATED=Y","Sort=A","Dates=H","DateFormat=P","Fill=—","Direction=H","UseDPDF=Y")</f>
        <v>#NAME?</v>
      </c>
      <c r="AW256" s="2" t="e">
        <f ca="1">_xll.BDH($C$253,"MODIFIED_WORKING_CPTL_5YR_GRWTH","FQ3 2014","FQ3 2014","Currency=INR","Period=FQ","BEST_FPERIOD_OVERRIDE=FQ","FILING_STATUS=OR","EQY_CONSOLIDATED=Y","Sort=A","Dates=H","DateFormat=P","Fill=—","Direction=H","UseDPDF=Y")</f>
        <v>#NAME?</v>
      </c>
      <c r="AX256" s="2" t="e">
        <f ca="1">_xll.BDH($C$253,"WORKING_CAPITAL_5_YEAR_GROWTH","FQ3 2014","FQ3 2014","Currency=INR","Period=FQ","BEST_FPERIOD_OVERRIDE=FQ","FILING_STATUS=OR","EQY_CONSOLIDATED=Y","Sort=A","Dates=H","DateFormat=P","Fill=—","Direction=H","UseDPDF=Y")</f>
        <v>#NAME?</v>
      </c>
      <c r="AY256" s="2" t="e">
        <f ca="1">_xll.BDH($C$253,"ACCOUNTS_PAYABLE_5_YEAR_GROWTH","FQ3 2014","FQ3 2014","Currency=INR","Period=FQ","BEST_FPERIOD_OVERRIDE=FQ","FILING_STATUS=OR","EQY_CONSOLIDATED=Y","Sort=A","Dates=H","DateFormat=P","Fill=—","Direction=H","UseDPDF=Y")</f>
        <v>#NAME?</v>
      </c>
      <c r="AZ256" s="2" t="e">
        <f ca="1">_xll.BDH($C$253,"SHORT_TERM_DEBT_5_YEAR_GROWTH","FQ3 2014","FQ3 2014","Currency=INR","Period=FQ","BEST_FPERIOD_OVERRIDE=FQ","FILING_STATUS=OR","EQY_CONSOLIDATED=Y","Sort=A","Dates=H","DateFormat=P","Fill=—","Direction=H","UseDPDF=Y")</f>
        <v>#NAME?</v>
      </c>
      <c r="BA256" s="2" t="e">
        <f ca="1">_xll.BDH($C$253,"TOTAL_DEBT_5_YEAR_GROWTH","FQ3 2014","FQ3 2014","Currency=INR","Period=FQ","BEST_FPERIOD_OVERRIDE=FQ","FILING_STATUS=OR","EQY_CONSOLIDATED=Y","Sort=A","Dates=H","DateFormat=P","Fill=—","Direction=H","UseDPDF=Y")</f>
        <v>#NAME?</v>
      </c>
      <c r="BB256" s="2" t="e">
        <f ca="1">_xll.BDH($C$253,"GEO_GROW_TOT_SHRHLDR_EQY","FQ3 2014","FQ3 2014","Currency=INR","Period=FQ","BEST_FPERIOD_OVERRIDE=FQ","FILING_STATUS=OR","EQY_CONSOLIDATED=Y","Sort=A","Dates=H","DateFormat=P","Fill=—","Direction=H","UseDPDF=Y")</f>
        <v>#NAME?</v>
      </c>
      <c r="BC256" s="2" t="e">
        <f ca="1">_xll.BDH($C$253,"TOTAL_CAPITAL_5_YEAR_GROWTH","FQ3 2014","FQ3 2014","Currency=INR","Period=FQ","BEST_FPERIOD_OVERRIDE=FQ","FILING_STATUS=OR","EQY_CONSOLIDATED=Y","Sort=A","Dates=H","DateFormat=P","Fill=—","Direction=H","UseDPDF=Y")</f>
        <v>#NAME?</v>
      </c>
      <c r="BD256" s="2" t="e">
        <f ca="1">_xll.BDH($C$253,"GEO_GROW_BOOK_VAL","FQ3 2014","FQ3 2014","Currency=INR","Period=FQ","BEST_FPERIOD_OVERRIDE=FQ","FILING_STATUS=OR","EQY_CONSOLIDATED=Y","Sort=A","Dates=H","DateFormat=P","Fill=—","Direction=H","UseDPDF=Y")</f>
        <v>#NAME?</v>
      </c>
      <c r="BE256" s="2" t="e">
        <f ca="1">_xll.BDH($C$253,"GEO_GROW_CASH_OPER_ACT","FQ3 2014","FQ3 2014","Currency=INR","Period=FQ","BEST_FPERIOD_OVERRIDE=FQ","FILING_STATUS=OR","EQY_CONSOLIDATED=Y","Sort=A","Dates=H","DateFormat=P","Fill=—","Direction=H","UseDPDF=Y")</f>
        <v>#NAME?</v>
      </c>
      <c r="BF256" s="2" t="e">
        <f ca="1">_xll.BDH($C$253,"REVENUE_SEQUENTIAL_GROWTH","FQ3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56" s="2" t="e">
        <f ca="1">_xll.BDH($C$253,"EBITDA_SEQUENTIAL_GROWTH","FQ3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56" s="2" t="e">
        <f ca="1">_xll.BDH($C$253,"OPERATING_INCOME_SEQ_GROWTH","FQ3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56" s="2" t="e">
        <f ca="1">_xll.BDH($C$253,"NET_INCOME_TO_COMMON_SEQ_GROWTH","FQ3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56" s="2" t="e">
        <f ca="1">_xll.BDH($C$253,"EPS_DILUTED_SEQUENTIAL_GROWTH","FQ3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56" s="2" t="e">
        <f ca="1">_xll.BDH($C$253,"DPS_SEQUENTIAL_GROWTH","FQ3 2014","FQ3 2014","Currency=INR","Period=FQ","BEST_FPERIOD_OVERRIDE=FQ","FILING_STATUS=OR","EQY_CONSOLIDATED=Y","Sort=A","Dates=H","DateFormat=P","Fill=—","Direction=H","UseDPDF=Y")</f>
        <v>#NAME?</v>
      </c>
      <c r="BL256" s="2" t="e">
        <f ca="1">_xll.BDH($C$253,"ACCOUNTS_RECEIVABLE_SEQ_GROWTH","FQ3 2014","FQ3 2014","Currency=INR","Period=FQ","BEST_FPERIOD_OVERRIDE=FQ","FILING_STATUS=OR","EQY_CONSOLIDATED=Y","Sort=A","Dates=H","DateFormat=P","Fill=—","Direction=H","UseDPDF=Y")</f>
        <v>#NAME?</v>
      </c>
      <c r="BM256" s="2" t="e">
        <f ca="1">_xll.BDH($C$253,"INVENTORY_SEQUENTIAL_GROWTH","FQ3 2014","FQ3 2014","Currency=INR","Period=FQ","BEST_FPERIOD_OVERRIDE=FQ","FILING_STATUS=OR","EQY_CONSOLIDATED=Y","Sort=A","Dates=H","DateFormat=P","Fill=—","Direction=H","UseDPDF=Y")</f>
        <v>#NAME?</v>
      </c>
      <c r="BN256" s="2" t="e">
        <f ca="1">_xll.BDH($C$253,"FIXED_ASSETS_SEQUENTIAL_GROWTH","FQ3 2014","FQ3 2014","Currency=INR","Period=FQ","BEST_FPERIOD_OVERRIDE=FQ","FILING_STATUS=OR","EQY_CONSOLIDATED=Y","Sort=A","Dates=H","DateFormat=P","Fill=—","Direction=H","UseDPDF=Y")</f>
        <v>#NAME?</v>
      </c>
      <c r="BO256" s="2" t="e">
        <f ca="1">_xll.BDH($C$253,"TOTAL_ASSETS_SEQUENTIAL_GROWTH","FQ3 2014","FQ3 2014","Currency=INR","Period=FQ","BEST_FPERIOD_OVERRIDE=FQ","FILING_STATUS=OR","EQY_CONSOLIDATED=Y","Sort=A","Dates=H","DateFormat=P","Fill=—","Direction=H","UseDPDF=Y")</f>
        <v>#NAME?</v>
      </c>
      <c r="BP256" s="2" t="e">
        <f ca="1">_xll.BDH($C$253,"MODIFIED_WORKING_CPTL_SEQ_GRWTH","FQ3 2014","FQ3 2014","Currency=INR","Period=FQ","BEST_FPERIOD_OVERRIDE=FQ","FILING_STATUS=OR","EQY_CONSOLIDATED=Y","Sort=A","Dates=H","DateFormat=P","Fill=—","Direction=H","UseDPDF=Y")</f>
        <v>#NAME?</v>
      </c>
      <c r="BQ256" s="2" t="e">
        <f ca="1">_xll.BDH($C$253,"WORKING_CAPITAL_SEQ_GROWTH","FQ3 2014","FQ3 2014","Currency=INR","Period=FQ","BEST_FPERIOD_OVERRIDE=FQ","FILING_STATUS=OR","EQY_CONSOLIDATED=Y","Sort=A","Dates=H","DateFormat=P","Fill=—","Direction=H","UseDPDF=Y")</f>
        <v>#NAME?</v>
      </c>
      <c r="BR256" s="2" t="e">
        <f ca="1">_xll.BDH($C$253,"ACCOUNTS_PAYABLE_SEQ_GROWTH","FQ3 2014","FQ3 2014","Currency=INR","Period=FQ","BEST_FPERIOD_OVERRIDE=FQ","FILING_STATUS=OR","EQY_CONSOLIDATED=Y","Sort=A","Dates=H","DateFormat=P","Fill=—","Direction=H","UseDPDF=Y")</f>
        <v>#NAME?</v>
      </c>
      <c r="BS256" s="2" t="e">
        <f ca="1">_xll.BDH($C$253,"ST_DEBT_SEQUENTIAL_GROWTH","FQ3 2014","FQ3 2014","Currency=INR","Period=FQ","BEST_FPERIOD_OVERRIDE=FQ","FILING_STATUS=OR","EQY_CONSOLIDATED=Y","Sort=A","Dates=H","DateFormat=P","Fill=—","Direction=H","UseDPDF=Y")</f>
        <v>#NAME?</v>
      </c>
      <c r="BT256" s="2" t="e">
        <f ca="1">_xll.BDH($C$253,"TOTAL_DEBT_SEQUENTIAL_GROWTH","FQ3 2014","FQ3 2014","Currency=INR","Period=FQ","BEST_FPERIOD_OVERRIDE=FQ","FILING_STATUS=OR","EQY_CONSOLIDATED=Y","Sort=A","Dates=H","DateFormat=P","Fill=—","Direction=H","UseDPDF=Y")</f>
        <v>#NAME?</v>
      </c>
      <c r="BU256" s="2" t="e">
        <f ca="1">_xll.BDH($C$253,"TOTAL_EQUITY_SEQUENTIAL_GROWTH","FQ3 2014","FQ3 2014","Currency=INR","Period=FQ","BEST_FPERIOD_OVERRIDE=FQ","FILING_STATUS=OR","EQY_CONSOLIDATED=Y","Sort=A","Dates=H","DateFormat=P","Fill=—","Direction=H","UseDPDF=Y")</f>
        <v>#NAME?</v>
      </c>
      <c r="BV256" s="2" t="e">
        <f ca="1">_xll.BDH($C$253,"TOTAL_CAPITAL_SEQUENTIAL_GROWTH","FQ3 2014","FQ3 2014","Currency=INR","Period=FQ","BEST_FPERIOD_OVERRIDE=FQ","FILING_STATUS=OR","EQY_CONSOLIDATED=Y","Sort=A","Dates=H","DateFormat=P","Fill=—","Direction=H","UseDPDF=Y")</f>
        <v>#NAME?</v>
      </c>
      <c r="BW256" s="2" t="e">
        <f ca="1">_xll.BDH($C$253,"BPS_SEQUENTIAL_GROWTH","FQ3 2014","FQ3 2014","Currency=INR","Period=FQ","BEST_FPERIOD_OVERRIDE=FQ","FILING_STATUS=OR","EQY_CONSOLIDATED=Y","Sort=A","Dates=H","DateFormat=P","Fill=—","Direction=H","UseDPDF=Y")</f>
        <v>#NAME?</v>
      </c>
      <c r="BX256" s="2" t="e">
        <f ca="1">_xll.BDH($C$253,"CFO_SEQUENTIAL_GROWTH","FQ3 2014","FQ3 2014","Currency=INR","Period=FQ","BEST_FPERIOD_OVERRIDE=FQ","FILING_STATUS=OR","EQY_CONSOLIDATED=Y","Sort=A","Dates=H","DateFormat=P","Fill=—","Direction=H","UseDPDF=Y")</f>
        <v>#NAME?</v>
      </c>
      <c r="BY256" s="3" t="e">
        <f ca="1">_xll.BDH($C$253,"SHORT_AND_LONG_TERM_DEBT","FQ3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56" s="3" t="e">
        <f ca="1">_xll.BDH($C$253,"BS_ST_BORROW","FQ3 2014","FQ3 2014","Currency=INR","Period=FQ","BEST_FPERIOD_OVERRIDE=FQ","FILING_STATUS=OR","EQY_CONSOLIDATED=Y","SCALING_FORMAT=MLN","Sort=A","Dates=H","DateFormat=P","Fill=—","Direction=H","UseDPDF=Y")</f>
        <v>#NAME?</v>
      </c>
      <c r="CA256" s="3" t="e">
        <f ca="1">_xll.BDH($C$253,"BS_LT_BORROW","FQ3 2014","FQ3 2014","Currency=INR","Period=FQ","BEST_FPERIOD_OVERRIDE=FQ","FILING_STATUS=OR","EQY_CONSOLIDATED=Y","SCALING_FORMAT=MLN","Sort=A","Dates=H","DateFormat=P","Fill=—","Direction=H","UseDPDF=Y")</f>
        <v>#NAME?</v>
      </c>
      <c r="CB256" s="2" t="e">
        <f ca="1">_xll.BDH($C$253,"TOT_DEBT_TO_EBITDA","FQ3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56" s="2" t="e">
        <f ca="1">_xll.BDH($C$253,"NET_DEBT_TO_EBITDA","FQ3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56" s="2" t="e">
        <f ca="1">_xll.BDH($C$253,"TOTAL_DEBT_TO_EBIT","FQ3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56" s="2" t="e">
        <f ca="1">_xll.BDH($C$253,"NET_DEBT_TO_EBIT","FQ3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256" s="2" t="e">
        <f ca="1">_xll.BDH($C$253,"EBITDA_TO_INTEREST_EXPN","FQ3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56" s="2" t="e">
        <f ca="1">_xll.BDH($C$253,"COM_EQY_TO_TOT_ASSET","FQ3 2014","FQ3 2014","Currency=INR","Period=FQ","BEST_FPERIOD_OVERRIDE=FQ","FILING_STATUS=OR","EQY_CONSOLIDATED=Y","Sort=A","Dates=H","DateFormat=P","Fill=—","Direction=H","UseDPDF=Y")</f>
        <v>#NAME?</v>
      </c>
      <c r="CH256" s="2" t="e">
        <f ca="1">_xll.BDH($C$253,"LT_DEBT_TO_TOT_EQY","FQ3 2014","FQ3 2014","Currency=INR","Period=FQ","BEST_FPERIOD_OVERRIDE=FQ","FILING_STATUS=OR","EQY_CONSOLIDATED=Y","Sort=A","Dates=H","DateFormat=P","Fill=—","Direction=H","UseDPDF=Y")</f>
        <v>#NAME?</v>
      </c>
      <c r="CI256" s="2" t="e">
        <f ca="1">_xll.BDH($C$253,"LT_DEBT_TO_TOT_CAP","FQ3 2014","FQ3 2014","Currency=INR","Period=FQ","BEST_FPERIOD_OVERRIDE=FQ","FILING_STATUS=OR","EQY_CONSOLIDATED=Y","Sort=A","Dates=H","DateFormat=P","Fill=—","Direction=H","UseDPDF=Y")</f>
        <v>#NAME?</v>
      </c>
      <c r="CJ256" s="2" t="e">
        <f ca="1">_xll.BDH($C$253,"LT_DEBT_TO_TOT_ASSET","FQ3 2014","FQ3 2014","Currency=INR","Period=FQ","BEST_FPERIOD_OVERRIDE=FQ","FILING_STATUS=OR","EQY_CONSOLIDATED=Y","Sort=A","Dates=H","DateFormat=P","Fill=—","Direction=H","UseDPDF=Y")</f>
        <v>#NAME?</v>
      </c>
      <c r="CK256" s="2" t="e">
        <f ca="1">_xll.BDH($C$253,"TOT_DEBT_TO_TOT_EQY","FQ3 2014","FQ3 2014","Currency=INR","Period=FQ","BEST_FPERIOD_OVERRIDE=FQ","FILING_STATUS=OR","EQY_CONSOLIDATED=Y","Sort=A","Dates=H","DateFormat=P","Fill=—","Direction=H","UseDPDF=Y")</f>
        <v>#NAME?</v>
      </c>
      <c r="CL256" s="2" t="e">
        <f ca="1">_xll.BDH($C$253,"TOT_DEBT_TO_TOT_CAP","FQ3 2014","FQ3 2014","Currency=INR","Period=FQ","BEST_FPERIOD_OVERRIDE=FQ","FILING_STATUS=OR","EQY_CONSOLIDATED=Y","Sort=A","Dates=H","DateFormat=P","Fill=—","Direction=H","UseDPDF=Y")</f>
        <v>#NAME?</v>
      </c>
      <c r="CM256" s="2" t="e">
        <f ca="1">_xll.BDH($C$253,"TOT_DEBT_TO_TOT_ASSET","FQ3 2014","FQ3 2014","Currency=INR","Period=FQ","BEST_FPERIOD_OVERRIDE=FQ","FILING_STATUS=OR","EQY_CONSOLIDATED=Y","Sort=A","Dates=H","DateFormat=P","Fill=—","Direction=H","UseDPDF=Y")</f>
        <v>#NAME?</v>
      </c>
      <c r="CN256" s="2" t="e">
        <f ca="1">_xll.BDH($C$253,"NET_DEBT_TO_SHRHLDR_EQTY","FQ3 2014","FQ3 2014","Currency=INR","Period=FQ","BEST_FPERIOD_OVERRIDE=FQ","FILING_STATUS=OR","EQY_CONSOLIDATED=Y","Sort=A","Dates=H","DateFormat=P","Fill=—","Direction=H","UseDPDF=Y")</f>
        <v>#NAME?</v>
      </c>
      <c r="CO256" s="2" t="e">
        <f ca="1">_xll.BDH($C$253,"NET_DEBT_%_CAPITAL","FQ3 2014","FQ3 2014","Currency=INR","Period=FQ","BEST_FPERIOD_OVERRIDE=FQ","FILING_STATUS=OR","EQY_CONSOLIDATED=Y","Sort=A","Dates=H","DateFormat=P","Fill=—","Direction=H","UseDPDF=Y")</f>
        <v>#NAME?</v>
      </c>
      <c r="CP256" s="3" t="e">
        <f ca="1">_xll.BDH($C$253,"EBITDA","FQ3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56" s="3" t="e">
        <f ca="1">_xll.BDH($C$253,"EBITDA_AFTER_CAPEX","FQ3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56" s="3" t="e">
        <f ca="1">_xll.BDH($C$253,"IS_OPER_INC","FQ3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56" s="2" t="e">
        <f ca="1">_xll.BDH($C$253,"CASH_RATIO","FQ3 2014","FQ3 2014","Currency=INR","Period=FQ","BEST_FPERIOD_OVERRIDE=FQ","FILING_STATUS=OR","EQY_CONSOLIDATED=Y","Sort=A","Dates=H","DateFormat=P","Fill=—","Direction=H","UseDPDF=Y")</f>
        <v>#NAME?</v>
      </c>
      <c r="CT256" s="2" t="e">
        <f ca="1">_xll.BDH($C$253,"CUR_RATIO","FQ3 2014","FQ3 2014","Currency=INR","Period=FQ","BEST_FPERIOD_OVERRIDE=FQ","FILING_STATUS=OR","EQY_CONSOLIDATED=Y","Sort=A","Dates=H","DateFormat=P","Fill=—","Direction=H","UseDPDF=Y")</f>
        <v>#NAME?</v>
      </c>
      <c r="CU256" s="2" t="e">
        <f ca="1">_xll.BDH($C$253,"QUICK_RATIO","FQ3 2014","FQ3 2014","Currency=INR","Period=FQ","BEST_FPERIOD_OVERRIDE=FQ","FILING_STATUS=OR","EQY_CONSOLIDATED=Y","Sort=A","Dates=H","DateFormat=P","Fill=—","Direction=H","UseDPDF=Y")</f>
        <v>#NAME?</v>
      </c>
      <c r="CV256" s="2" t="e">
        <f ca="1">_xll.BDH($C$253,"ALTMAN_Z_SCORE","FQ3 2014","FQ3 2014","Currency=INR","Period=FQ","BEST_FPERIOD_OVERRIDE=FQ","FILING_STATUS=OR","EQY_CONSOLIDATED=Y","Sort=A","Dates=H","DateFormat=P","Fill=—","Direction=H","UseDPDF=Y")</f>
        <v>#NAME?</v>
      </c>
      <c r="CW256" s="4" t="e">
        <f ca="1">_xll.BDH($C$253,"ACCT_RCV_TURN","FQ3 2014","FQ3 2014","Currency=INR","Period=FQ","BEST_FPERIOD_OVERRIDE=FQ","FILING_STATUS=OR","EQY_CONSOLIDATED=Y","FA_ADJUSTED=GAAP","Sort=A","Dates=H","DateFormat=P","Fill=—","Direction=H","UseDPDF=Y")</f>
        <v>#NAME?</v>
      </c>
      <c r="CX256" s="2" t="e">
        <f ca="1">_xll.BDH($C$253,"ACCT_RCV_DAYS","FQ3 2014","FQ3 2014","Currency=INR","Period=FQ","BEST_FPERIOD_OVERRIDE=FQ","FILING_STATUS=OR","EQY_CONSOLIDATED=Y","FA_ADJUSTED=GAAP","Sort=A","Dates=H","DateFormat=P","Fill=—","Direction=H","UseDPDF=Y")</f>
        <v>#NAME?</v>
      </c>
      <c r="CY256" s="4" t="e">
        <f ca="1">_xll.BDH($C$253,"INVENT_TURN","FQ3 2014","FQ3 2014","Currency=INR","Period=FQ","BEST_FPERIOD_OVERRIDE=FQ","FILING_STATUS=OR","EQY_CONSOLIDATED=Y","FA_ADJUSTED=GAAP","Sort=A","Dates=H","DateFormat=P","Fill=—","Direction=H","UseDPDF=Y")</f>
        <v>#NAME?</v>
      </c>
      <c r="CZ256" s="2" t="e">
        <f ca="1">_xll.BDH($C$253,"INVENT_DAYS","FQ3 2014","FQ3 2014","Currency=INR","Period=FQ","BEST_FPERIOD_OVERRIDE=FQ","FILING_STATUS=OR","EQY_CONSOLIDATED=Y","FA_ADJUSTED=GAAP","Sort=A","Dates=H","DateFormat=P","Fill=—","Direction=H","UseDPDF=Y")</f>
        <v>#NAME?</v>
      </c>
      <c r="DA256" s="4" t="e">
        <f ca="1">_xll.BDH($C$253,"ACCOUNTS_PAYABLE_TURNOVER","FQ3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56" s="2" t="e">
        <f ca="1">_xll.BDH($C$253,"ACCOUNTS_PAYABLE_TURNOVER_DAYS","FQ3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56" s="4" t="e">
        <f ca="1">_xll.BDH($C$253,"CASH_CONVERSION_CYCLE","FQ3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56" s="4" t="e">
        <f ca="1">_xll.BDH($C$253,"INV_TO_CASH_DAYS","FQ3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256" s="5" t="e">
        <f ca="1">_xll.BDH($C$253,"BS_INVENTORIES","FQ3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256" s="3" t="e">
        <f ca="1">_xll.BDH($C$253,"INVTRY_RAW_MATERIALS","FQ3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56" s="3" t="e">
        <f ca="1">_xll.BDH($C$253,"INVTRY_IN_PROGRESS","FQ3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56" s="3" t="e">
        <f ca="1">_xll.BDH($C$253,"INVTRY_FINISHED_GOODS","FQ3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56" s="3" t="e">
        <f ca="1">_xll.BDH($C$253,"BS_OTHER_INV","FQ3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57" spans="1:113" x14ac:dyDescent="0.3">
      <c r="A257" s="6"/>
      <c r="B257" s="6"/>
      <c r="C257" s="6"/>
      <c r="D257" s="6"/>
      <c r="E257" t="s">
        <v>81</v>
      </c>
      <c r="F257" t="e">
        <f ca="1">_xll.BDH($C$253,"RETURN_COM_EQY","FQ4 2014","FQ4 2014","Currency=INR","Period=FQ","BEST_FPERIOD_OVERRIDE=FQ","FILING_STATUS=OR","EQY_CONSOLIDATED=Y","FA_ADJUSTED=GAAP","Sort=A","Dates=H","DateFormat=P","Fill=—","Direction=H","UseDPDF=Y")</f>
        <v>#NAME?</v>
      </c>
      <c r="G257" t="e">
        <f ca="1">_xll.BDH($C$253,"RETURN_ON_ASSET","FQ4 2014","FQ4 2014","Currency=INR","Period=FQ","BEST_FPERIOD_OVERRIDE=FQ","FILING_STATUS=OR","EQY_CONSOLIDATED=Y","FA_ADJUSTED=GAAP","Sort=A","Dates=H","DateFormat=P","Fill=—","Direction=H","UseDPDF=Y")</f>
        <v>#NAME?</v>
      </c>
      <c r="H257" t="e">
        <f ca="1">_xll.BDH($C$253,"RETURN_ON_CAP","FQ4 2014","FQ4 2014","Currency=INR","Period=FQ","BEST_FPERIOD_OVERRIDE=FQ","FILING_STATUS=OR","EQY_CONSOLIDATED=Y","FA_ADJUSTED=GAAP","Sort=A","Dates=H","DateFormat=P","Fill=—","Direction=H","UseDPDF=Y")</f>
        <v>#NAME?</v>
      </c>
      <c r="I257" t="e">
        <f ca="1">_xll.BDH($C$253,"RETURN_ON_INV_CAPITAL","FQ4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57" t="e">
        <f ca="1">_xll.BDH($C$253,"EBITDA_TO_REVENUE","FQ4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257" t="e">
        <f ca="1">_xll.BDH($C$253,"OPER_MARGIN","FQ4 2014","FQ4 2014","Currency=INR","Period=FQ","BEST_FPERIOD_OVERRIDE=FQ","FILING_STATUS=OR","EQY_CONSOLIDATED=Y","FA_ADJUSTED=GAAP","Sort=A","Dates=H","DateFormat=P","Fill=—","Direction=H","UseDPDF=Y")</f>
        <v>#NAME?</v>
      </c>
      <c r="L257" t="e">
        <f ca="1">_xll.BDH($C$253,"INCREMENTAL_OPERATING_MARGIN","FQ4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57" t="e">
        <f ca="1">_xll.BDH($C$253,"PRETAX_INC_TO_NET_SALES","FQ4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57" t="e">
        <f ca="1">_xll.BDH($C$253,"INC_BEF_XO_ITEMS_TO_NET_SALES","FQ4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57" t="e">
        <f ca="1">_xll.BDH($C$253,"PROF_MARGIN","FQ4 2014","FQ4 2014","Currency=INR","Period=FQ","BEST_FPERIOD_OVERRIDE=FQ","FILING_STATUS=OR","EQY_CONSOLIDATED=Y","FA_ADJUSTED=GAAP","Sort=A","Dates=H","DateFormat=P","Fill=—","Direction=H","UseDPDF=Y")</f>
        <v>#NAME?</v>
      </c>
      <c r="P257" t="e">
        <f ca="1">_xll.BDH($C$253,"NET_INCOME_TO_COMMON_MARGIN","FQ4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57" t="e">
        <f ca="1">_xll.BDH($C$253,"EFF_TAX_RATE","FQ4 2014","FQ4 2014","Currency=INR","Period=FQ","BEST_FPERIOD_OVERRIDE=FQ","FILING_STATUS=OR","EQY_CONSOLIDATED=Y","FA_ADJUSTED=GAAP","Sort=A","Dates=H","DateFormat=P","Fill=—","Direction=H","UseDPDF=Y")</f>
        <v>#NAME?</v>
      </c>
      <c r="R257" t="e">
        <f ca="1">_xll.BDH($C$253,"DVD_PAYOUT_RATIO","FQ4 2014","FQ4 2014","Currency=INR","Period=FQ","BEST_FPERIOD_OVERRIDE=FQ","FILING_STATUS=OR","EQY_CONSOLIDATED=Y","FA_ADJUSTED=GAAP","Sort=A","Dates=H","DateFormat=P","Fill=—","Direction=H","UseDPDF=Y")</f>
        <v>#NAME?</v>
      </c>
      <c r="S257" t="e">
        <f ca="1">_xll.BDH($C$253,"SUSTAIN_GROWTH_RT","FQ4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257" s="2" t="e">
        <f ca="1">_xll.BDH($C$253,"SALES_GROWTH","FQ4 2014","FQ4 2014","Currency=INR","Period=FQ","BEST_FPERIOD_OVERRIDE=FQ","FILING_STATUS=OR","EQY_CONSOLIDATED=Y","FA_ADJUSTED=GAAP","Sort=A","Dates=H","DateFormat=P","Fill=—","Direction=H","UseDPDF=Y")</f>
        <v>#NAME?</v>
      </c>
      <c r="U257" s="2" t="e">
        <f ca="1">_xll.BDH($C$253,"EBITDA_GROWTH","FQ4 2014","FQ4 2014","Currency=INR","Period=FQ","BEST_FPERIOD_OVERRIDE=FQ","FILING_STATUS=OR","EQY_CONSOLIDATED=Y","FA_ADJUSTED=GAAP","Sort=A","Dates=H","DateFormat=P","Fill=—","Direction=H","UseDPDF=Y")</f>
        <v>#NAME?</v>
      </c>
      <c r="V257" s="2" t="e">
        <f ca="1">_xll.BDH($C$253,"OPER_INC_GROWTH","FQ4 2014","FQ4 2014","Currency=INR","Period=FQ","BEST_FPERIOD_OVERRIDE=FQ","FILING_STATUS=OR","EQY_CONSOLIDATED=Y","FA_ADJUSTED=GAAP","Sort=A","Dates=H","DateFormat=P","Fill=—","Direction=H","UseDPDF=Y")</f>
        <v>#NAME?</v>
      </c>
      <c r="W257" s="2" t="e">
        <f ca="1">_xll.BDH($C$253,"EARN_FOR_COM_GROWTH","FQ4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57" s="2" t="e">
        <f ca="1">_xll.BDH($C$253,"DILUTED_EPS_AFT_XO_ITEMS_GROWTH","FQ4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57" s="2" t="e">
        <f ca="1">_xll.BDH($C$253,"DIVIDEND_PER_SHARE_1_YEAR_GROWTH","FQ4 2014","FQ4 2014","Currency=INR","Period=FQ","BEST_FPERIOD_OVERRIDE=FQ","FILING_STATUS=OR","EQY_CONSOLIDATED=Y","Sort=A","Dates=H","DateFormat=P","Fill=—","Direction=H","UseDPDF=Y")</f>
        <v>#NAME?</v>
      </c>
      <c r="Z257" s="2" t="e">
        <f ca="1">_xll.BDH($C$253,"ACCOUNTS_RECEIVABLE_GROWTH","FQ4 2014","FQ4 2014","Currency=INR","Period=FQ","BEST_FPERIOD_OVERRIDE=FQ","FILING_STATUS=OR","EQY_CONSOLIDATED=Y","Sort=A","Dates=H","DateFormat=P","Fill=—","Direction=H","UseDPDF=Y")</f>
        <v>#NAME?</v>
      </c>
      <c r="AA257" s="2" t="e">
        <f ca="1">_xll.BDH($C$253,"INVENTORY_GROWTH","FQ4 2014","FQ4 2014","Currency=INR","Period=FQ","BEST_FPERIOD_OVERRIDE=FQ","FILING_STATUS=OR","EQY_CONSOLIDATED=Y","Sort=A","Dates=H","DateFormat=P","Fill=—","Direction=H","UseDPDF=Y")</f>
        <v>#NAME?</v>
      </c>
      <c r="AB257" s="2" t="e">
        <f ca="1">_xll.BDH($C$253,"NET_FIXED_ASSETS_1_YEAR_GROWTH","FQ4 2014","FQ4 2014","Currency=INR","Period=FQ","BEST_FPERIOD_OVERRIDE=FQ","FILING_STATUS=OR","EQY_CONSOLIDATED=Y","Sort=A","Dates=H","DateFormat=P","Fill=—","Direction=H","UseDPDF=Y")</f>
        <v>#NAME?</v>
      </c>
      <c r="AC257" s="2" t="e">
        <f ca="1">_xll.BDH($C$253,"ASSET_GROWTH","FQ4 2014","FQ4 2014","Currency=INR","Period=FQ","BEST_FPERIOD_OVERRIDE=FQ","FILING_STATUS=OR","EQY_CONSOLIDATED=Y","Sort=A","Dates=H","DateFormat=P","Fill=—","Direction=H","UseDPDF=Y")</f>
        <v>#NAME?</v>
      </c>
      <c r="AD257" s="2" t="e">
        <f ca="1">_xll.BDH($C$253,"MODIFIED_WORK_CAP_GROWTH","FQ4 2014","FQ4 2014","Currency=INR","Period=FQ","BEST_FPERIOD_OVERRIDE=FQ","FILING_STATUS=OR","EQY_CONSOLIDATED=Y","Sort=A","Dates=H","DateFormat=P","Fill=—","Direction=H","UseDPDF=Y")</f>
        <v>#NAME?</v>
      </c>
      <c r="AE257" s="2" t="e">
        <f ca="1">_xll.BDH($C$253,"WORK_CAP_GROWTH","FQ4 2014","FQ4 2014","Currency=INR","Period=FQ","BEST_FPERIOD_OVERRIDE=FQ","FILING_STATUS=OR","EQY_CONSOLIDATED=Y","Sort=A","Dates=H","DateFormat=P","Fill=—","Direction=H","UseDPDF=Y")</f>
        <v>#NAME?</v>
      </c>
      <c r="AF257" s="2" t="e">
        <f ca="1">_xll.BDH($C$253,"ACCOUNTS_PAYABLE_GROWTH_1YR","FQ4 2014","FQ4 2014","Currency=INR","Period=FQ","BEST_FPERIOD_OVERRIDE=FQ","FILING_STATUS=OR","EQY_CONSOLIDATED=Y","Sort=A","Dates=H","DateFormat=P","Fill=—","Direction=H","UseDPDF=Y")</f>
        <v>#NAME?</v>
      </c>
      <c r="AG257" s="2" t="e">
        <f ca="1">_xll.BDH($C$253,"SHORT_TERM_DEBT_1_YEAR_GROWTH","FQ4 2014","FQ4 2014","Currency=INR","Period=FQ","BEST_FPERIOD_OVERRIDE=FQ","FILING_STATUS=OR","EQY_CONSOLIDATED=Y","Sort=A","Dates=H","DateFormat=P","Fill=—","Direction=H","UseDPDF=Y")</f>
        <v>#NAME?</v>
      </c>
      <c r="AH257" s="2" t="e">
        <f ca="1">_xll.BDH($C$253,"TOTAL_DEBT_1_YEAR_GROWTH","FQ4 2014","FQ4 2014","Currency=INR","Period=FQ","BEST_FPERIOD_OVERRIDE=FQ","FILING_STATUS=OR","EQY_CONSOLIDATED=Y","Sort=A","Dates=H","DateFormat=P","Fill=—","Direction=H","UseDPDF=Y")</f>
        <v>#NAME?</v>
      </c>
      <c r="AI257" s="2" t="e">
        <f ca="1">_xll.BDH($C$253,"TOTAL_EQUITY_1_YEAR_GROWTH","FQ4 2014","FQ4 2014","Currency=INR","Period=FQ","BEST_FPERIOD_OVERRIDE=FQ","FILING_STATUS=OR","EQY_CONSOLIDATED=Y","Sort=A","Dates=H","DateFormat=P","Fill=—","Direction=H","UseDPDF=Y")</f>
        <v>#NAME?</v>
      </c>
      <c r="AJ257" s="2" t="e">
        <f ca="1">_xll.BDH($C$253,"GROWTH_IN_CAP","FQ4 2014","FQ4 2014","Currency=INR","Period=FQ","BEST_FPERIOD_OVERRIDE=FQ","FILING_STATUS=OR","EQY_CONSOLIDATED=Y","Sort=A","Dates=H","DateFormat=P","Fill=—","Direction=H","UseDPDF=Y")</f>
        <v>#NAME?</v>
      </c>
      <c r="AK257" s="2" t="e">
        <f ca="1">_xll.BDH($C$253,"BVPS_GROWTH","FQ4 2014","FQ4 2014","Currency=INR","Period=FQ","BEST_FPERIOD_OVERRIDE=FQ","FILING_STATUS=OR","EQY_CONSOLIDATED=Y","Sort=A","Dates=H","DateFormat=P","Fill=—","Direction=H","UseDPDF=Y")</f>
        <v>#NAME?</v>
      </c>
      <c r="AL257" s="2" t="e">
        <f ca="1">_xll.BDH($C$253,"CASH_FLOW_GROWTH","FQ4 2014","FQ4 2014","Currency=INR","Period=FQ","BEST_FPERIOD_OVERRIDE=FQ","FILING_STATUS=OR","EQY_CONSOLIDATED=Y","Sort=A","Dates=H","DateFormat=P","Fill=—","Direction=H","UseDPDF=Y")</f>
        <v>#NAME?</v>
      </c>
      <c r="AM257" s="2" t="e">
        <f ca="1">_xll.BDH($C$253,"GEO_GROW_NET_SALES","FQ4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57" s="2" t="e">
        <f ca="1">_xll.BDH($C$253,"GEO_GROW_EBITDA","FQ4 2014","FQ4 2014","Currency=INR","Period=FQ","BEST_FPERIOD_OVERRIDE=FQ","FILING_STATUS=OR","EQY_CONSOLIDATED=Y","FA_ADJUSTED=GAAP","Sort=A","Dates=H","DateFormat=P","Fill=—","Direction=H","UseDPDF=Y")</f>
        <v>#NAME?</v>
      </c>
      <c r="AO257" s="2" t="e">
        <f ca="1">_xll.BDH($C$253,"GEO_GROW_OPER_INC","FQ4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57" s="2" t="e">
        <f ca="1">_xll.BDH($C$253,"NET_INCOME_TO_COMMON_5_YR_GROWTH","FQ4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57" s="2" t="e">
        <f ca="1">_xll.BDH($C$253,"5Y_GEO_GROWTH_DILUTED_EPS","FQ4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57" s="2" t="e">
        <f ca="1">_xll.BDH($C$253,"GEO_GROW_DVD_PER_SH","FQ4 2014","FQ4 2014","Currency=INR","Period=FQ","BEST_FPERIOD_OVERRIDE=FQ","FILING_STATUS=OR","EQY_CONSOLIDATED=Y","Sort=A","Dates=H","DateFormat=P","Fill=—","Direction=H","UseDPDF=Y")</f>
        <v>#NAME?</v>
      </c>
      <c r="AS257" s="2" t="e">
        <f ca="1">_xll.BDH($C$253,"ACCOUNTS_RECEIVABLE_5_YR_GROWTH","FQ4 2014","FQ4 2014","Currency=INR","Period=FQ","BEST_FPERIOD_OVERRIDE=FQ","FILING_STATUS=OR","EQY_CONSOLIDATED=Y","Sort=A","Dates=H","DateFormat=P","Fill=—","Direction=H","UseDPDF=Y")</f>
        <v>#NAME?</v>
      </c>
      <c r="AT257" s="2" t="e">
        <f ca="1">_xll.BDH($C$253,"INVENTORY_5_YEAR_GROWTH","FQ4 2014","FQ4 2014","Currency=INR","Period=FQ","BEST_FPERIOD_OVERRIDE=FQ","FILING_STATUS=OR","EQY_CONSOLIDATED=Y","Sort=A","Dates=H","DateFormat=P","Fill=—","Direction=H","UseDPDF=Y")</f>
        <v>#NAME?</v>
      </c>
      <c r="AU257" s="2" t="e">
        <f ca="1">_xll.BDH($C$253,"NET_FIXED_ASSETS_5_YEAR_GROWTH","FQ4 2014","FQ4 2014","Currency=INR","Period=FQ","BEST_FPERIOD_OVERRIDE=FQ","FILING_STATUS=OR","EQY_CONSOLIDATED=Y","Sort=A","Dates=H","DateFormat=P","Fill=—","Direction=H","UseDPDF=Y")</f>
        <v>#NAME?</v>
      </c>
      <c r="AV257" s="2" t="e">
        <f ca="1">_xll.BDH($C$253,"GEO_GROW_TOT_ASSET","FQ4 2014","FQ4 2014","Currency=INR","Period=FQ","BEST_FPERIOD_OVERRIDE=FQ","FILING_STATUS=OR","EQY_CONSOLIDATED=Y","Sort=A","Dates=H","DateFormat=P","Fill=—","Direction=H","UseDPDF=Y")</f>
        <v>#NAME?</v>
      </c>
      <c r="AW257" s="2" t="e">
        <f ca="1">_xll.BDH($C$253,"MODIFIED_WORKING_CPTL_5YR_GRWTH","FQ4 2014","FQ4 2014","Currency=INR","Period=FQ","BEST_FPERIOD_OVERRIDE=FQ","FILING_STATUS=OR","EQY_CONSOLIDATED=Y","Sort=A","Dates=H","DateFormat=P","Fill=—","Direction=H","UseDPDF=Y")</f>
        <v>#NAME?</v>
      </c>
      <c r="AX257" s="2" t="e">
        <f ca="1">_xll.BDH($C$253,"WORKING_CAPITAL_5_YEAR_GROWTH","FQ4 2014","FQ4 2014","Currency=INR","Period=FQ","BEST_FPERIOD_OVERRIDE=FQ","FILING_STATUS=OR","EQY_CONSOLIDATED=Y","Sort=A","Dates=H","DateFormat=P","Fill=—","Direction=H","UseDPDF=Y")</f>
        <v>#NAME?</v>
      </c>
      <c r="AY257" s="2" t="e">
        <f ca="1">_xll.BDH($C$253,"ACCOUNTS_PAYABLE_5_YEAR_GROWTH","FQ4 2014","FQ4 2014","Currency=INR","Period=FQ","BEST_FPERIOD_OVERRIDE=FQ","FILING_STATUS=OR","EQY_CONSOLIDATED=Y","Sort=A","Dates=H","DateFormat=P","Fill=—","Direction=H","UseDPDF=Y")</f>
        <v>#NAME?</v>
      </c>
      <c r="AZ257" s="2" t="e">
        <f ca="1">_xll.BDH($C$253,"SHORT_TERM_DEBT_5_YEAR_GROWTH","FQ4 2014","FQ4 2014","Currency=INR","Period=FQ","BEST_FPERIOD_OVERRIDE=FQ","FILING_STATUS=OR","EQY_CONSOLIDATED=Y","Sort=A","Dates=H","DateFormat=P","Fill=—","Direction=H","UseDPDF=Y")</f>
        <v>#NAME?</v>
      </c>
      <c r="BA257" s="2" t="e">
        <f ca="1">_xll.BDH($C$253,"TOTAL_DEBT_5_YEAR_GROWTH","FQ4 2014","FQ4 2014","Currency=INR","Period=FQ","BEST_FPERIOD_OVERRIDE=FQ","FILING_STATUS=OR","EQY_CONSOLIDATED=Y","Sort=A","Dates=H","DateFormat=P","Fill=—","Direction=H","UseDPDF=Y")</f>
        <v>#NAME?</v>
      </c>
      <c r="BB257" s="2" t="e">
        <f ca="1">_xll.BDH($C$253,"GEO_GROW_TOT_SHRHLDR_EQY","FQ4 2014","FQ4 2014","Currency=INR","Period=FQ","BEST_FPERIOD_OVERRIDE=FQ","FILING_STATUS=OR","EQY_CONSOLIDATED=Y","Sort=A","Dates=H","DateFormat=P","Fill=—","Direction=H","UseDPDF=Y")</f>
        <v>#NAME?</v>
      </c>
      <c r="BC257" s="2" t="e">
        <f ca="1">_xll.BDH($C$253,"TOTAL_CAPITAL_5_YEAR_GROWTH","FQ4 2014","FQ4 2014","Currency=INR","Period=FQ","BEST_FPERIOD_OVERRIDE=FQ","FILING_STATUS=OR","EQY_CONSOLIDATED=Y","Sort=A","Dates=H","DateFormat=P","Fill=—","Direction=H","UseDPDF=Y")</f>
        <v>#NAME?</v>
      </c>
      <c r="BD257" s="2" t="e">
        <f ca="1">_xll.BDH($C$253,"GEO_GROW_BOOK_VAL","FQ4 2014","FQ4 2014","Currency=INR","Period=FQ","BEST_FPERIOD_OVERRIDE=FQ","FILING_STATUS=OR","EQY_CONSOLIDATED=Y","Sort=A","Dates=H","DateFormat=P","Fill=—","Direction=H","UseDPDF=Y")</f>
        <v>#NAME?</v>
      </c>
      <c r="BE257" s="2" t="e">
        <f ca="1">_xll.BDH($C$253,"GEO_GROW_CASH_OPER_ACT","FQ4 2014","FQ4 2014","Currency=INR","Period=FQ","BEST_FPERIOD_OVERRIDE=FQ","FILING_STATUS=OR","EQY_CONSOLIDATED=Y","Sort=A","Dates=H","DateFormat=P","Fill=—","Direction=H","UseDPDF=Y")</f>
        <v>#NAME?</v>
      </c>
      <c r="BF257" s="2" t="e">
        <f ca="1">_xll.BDH($C$253,"REVENUE_SEQUENTIAL_GROWTH","FQ4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57" s="2" t="e">
        <f ca="1">_xll.BDH($C$253,"EBITDA_SEQUENTIAL_GROWTH","FQ4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57" s="2" t="e">
        <f ca="1">_xll.BDH($C$253,"OPERATING_INCOME_SEQ_GROWTH","FQ4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57" s="2" t="e">
        <f ca="1">_xll.BDH($C$253,"NET_INCOME_TO_COMMON_SEQ_GROWTH","FQ4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57" s="2" t="e">
        <f ca="1">_xll.BDH($C$253,"EPS_DILUTED_SEQUENTIAL_GROWTH","FQ4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57" s="2" t="e">
        <f ca="1">_xll.BDH($C$253,"DPS_SEQUENTIAL_GROWTH","FQ4 2014","FQ4 2014","Currency=INR","Period=FQ","BEST_FPERIOD_OVERRIDE=FQ","FILING_STATUS=OR","EQY_CONSOLIDATED=Y","Sort=A","Dates=H","DateFormat=P","Fill=—","Direction=H","UseDPDF=Y")</f>
        <v>#NAME?</v>
      </c>
      <c r="BL257" s="2" t="e">
        <f ca="1">_xll.BDH($C$253,"ACCOUNTS_RECEIVABLE_SEQ_GROWTH","FQ4 2014","FQ4 2014","Currency=INR","Period=FQ","BEST_FPERIOD_OVERRIDE=FQ","FILING_STATUS=OR","EQY_CONSOLIDATED=Y","Sort=A","Dates=H","DateFormat=P","Fill=—","Direction=H","UseDPDF=Y")</f>
        <v>#NAME?</v>
      </c>
      <c r="BM257" s="2" t="e">
        <f ca="1">_xll.BDH($C$253,"INVENTORY_SEQUENTIAL_GROWTH","FQ4 2014","FQ4 2014","Currency=INR","Period=FQ","BEST_FPERIOD_OVERRIDE=FQ","FILING_STATUS=OR","EQY_CONSOLIDATED=Y","Sort=A","Dates=H","DateFormat=P","Fill=—","Direction=H","UseDPDF=Y")</f>
        <v>#NAME?</v>
      </c>
      <c r="BN257" s="2" t="e">
        <f ca="1">_xll.BDH($C$253,"FIXED_ASSETS_SEQUENTIAL_GROWTH","FQ4 2014","FQ4 2014","Currency=INR","Period=FQ","BEST_FPERIOD_OVERRIDE=FQ","FILING_STATUS=OR","EQY_CONSOLIDATED=Y","Sort=A","Dates=H","DateFormat=P","Fill=—","Direction=H","UseDPDF=Y")</f>
        <v>#NAME?</v>
      </c>
      <c r="BO257" s="2" t="e">
        <f ca="1">_xll.BDH($C$253,"TOTAL_ASSETS_SEQUENTIAL_GROWTH","FQ4 2014","FQ4 2014","Currency=INR","Period=FQ","BEST_FPERIOD_OVERRIDE=FQ","FILING_STATUS=OR","EQY_CONSOLIDATED=Y","Sort=A","Dates=H","DateFormat=P","Fill=—","Direction=H","UseDPDF=Y")</f>
        <v>#NAME?</v>
      </c>
      <c r="BP257" s="2" t="e">
        <f ca="1">_xll.BDH($C$253,"MODIFIED_WORKING_CPTL_SEQ_GRWTH","FQ4 2014","FQ4 2014","Currency=INR","Period=FQ","BEST_FPERIOD_OVERRIDE=FQ","FILING_STATUS=OR","EQY_CONSOLIDATED=Y","Sort=A","Dates=H","DateFormat=P","Fill=—","Direction=H","UseDPDF=Y")</f>
        <v>#NAME?</v>
      </c>
      <c r="BQ257" s="2" t="e">
        <f ca="1">_xll.BDH($C$253,"WORKING_CAPITAL_SEQ_GROWTH","FQ4 2014","FQ4 2014","Currency=INR","Period=FQ","BEST_FPERIOD_OVERRIDE=FQ","FILING_STATUS=OR","EQY_CONSOLIDATED=Y","Sort=A","Dates=H","DateFormat=P","Fill=—","Direction=H","UseDPDF=Y")</f>
        <v>#NAME?</v>
      </c>
      <c r="BR257" s="2" t="e">
        <f ca="1">_xll.BDH($C$253,"ACCOUNTS_PAYABLE_SEQ_GROWTH","FQ4 2014","FQ4 2014","Currency=INR","Period=FQ","BEST_FPERIOD_OVERRIDE=FQ","FILING_STATUS=OR","EQY_CONSOLIDATED=Y","Sort=A","Dates=H","DateFormat=P","Fill=—","Direction=H","UseDPDF=Y")</f>
        <v>#NAME?</v>
      </c>
      <c r="BS257" s="2" t="e">
        <f ca="1">_xll.BDH($C$253,"ST_DEBT_SEQUENTIAL_GROWTH","FQ4 2014","FQ4 2014","Currency=INR","Period=FQ","BEST_FPERIOD_OVERRIDE=FQ","FILING_STATUS=OR","EQY_CONSOLIDATED=Y","Sort=A","Dates=H","DateFormat=P","Fill=—","Direction=H","UseDPDF=Y")</f>
        <v>#NAME?</v>
      </c>
      <c r="BT257" s="2" t="e">
        <f ca="1">_xll.BDH($C$253,"TOTAL_DEBT_SEQUENTIAL_GROWTH","FQ4 2014","FQ4 2014","Currency=INR","Period=FQ","BEST_FPERIOD_OVERRIDE=FQ","FILING_STATUS=OR","EQY_CONSOLIDATED=Y","Sort=A","Dates=H","DateFormat=P","Fill=—","Direction=H","UseDPDF=Y")</f>
        <v>#NAME?</v>
      </c>
      <c r="BU257" s="2" t="e">
        <f ca="1">_xll.BDH($C$253,"TOTAL_EQUITY_SEQUENTIAL_GROWTH","FQ4 2014","FQ4 2014","Currency=INR","Period=FQ","BEST_FPERIOD_OVERRIDE=FQ","FILING_STATUS=OR","EQY_CONSOLIDATED=Y","Sort=A","Dates=H","DateFormat=P","Fill=—","Direction=H","UseDPDF=Y")</f>
        <v>#NAME?</v>
      </c>
      <c r="BV257" s="2" t="e">
        <f ca="1">_xll.BDH($C$253,"TOTAL_CAPITAL_SEQUENTIAL_GROWTH","FQ4 2014","FQ4 2014","Currency=INR","Period=FQ","BEST_FPERIOD_OVERRIDE=FQ","FILING_STATUS=OR","EQY_CONSOLIDATED=Y","Sort=A","Dates=H","DateFormat=P","Fill=—","Direction=H","UseDPDF=Y")</f>
        <v>#NAME?</v>
      </c>
      <c r="BW257" s="2" t="e">
        <f ca="1">_xll.BDH($C$253,"BPS_SEQUENTIAL_GROWTH","FQ4 2014","FQ4 2014","Currency=INR","Period=FQ","BEST_FPERIOD_OVERRIDE=FQ","FILING_STATUS=OR","EQY_CONSOLIDATED=Y","Sort=A","Dates=H","DateFormat=P","Fill=—","Direction=H","UseDPDF=Y")</f>
        <v>#NAME?</v>
      </c>
      <c r="BX257" s="2" t="e">
        <f ca="1">_xll.BDH($C$253,"CFO_SEQUENTIAL_GROWTH","FQ4 2014","FQ4 2014","Currency=INR","Period=FQ","BEST_FPERIOD_OVERRIDE=FQ","FILING_STATUS=OR","EQY_CONSOLIDATED=Y","Sort=A","Dates=H","DateFormat=P","Fill=—","Direction=H","UseDPDF=Y")</f>
        <v>#NAME?</v>
      </c>
      <c r="BY257" s="3" t="e">
        <f ca="1">_xll.BDH($C$253,"SHORT_AND_LONG_TERM_DEBT","FQ4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57" s="3" t="e">
        <f ca="1">_xll.BDH($C$253,"BS_ST_BORROW","FQ4 2014","FQ4 2014","Currency=INR","Period=FQ","BEST_FPERIOD_OVERRIDE=FQ","FILING_STATUS=OR","EQY_CONSOLIDATED=Y","SCALING_FORMAT=MLN","Sort=A","Dates=H","DateFormat=P","Fill=—","Direction=H","UseDPDF=Y")</f>
        <v>#NAME?</v>
      </c>
      <c r="CA257" s="3" t="e">
        <f ca="1">_xll.BDH($C$253,"BS_LT_BORROW","FQ4 2014","FQ4 2014","Currency=INR","Period=FQ","BEST_FPERIOD_OVERRIDE=FQ","FILING_STATUS=OR","EQY_CONSOLIDATED=Y","SCALING_FORMAT=MLN","Sort=A","Dates=H","DateFormat=P","Fill=—","Direction=H","UseDPDF=Y")</f>
        <v>#NAME?</v>
      </c>
      <c r="CB257" s="2" t="e">
        <f ca="1">_xll.BDH($C$253,"TOT_DEBT_TO_EBITDA","FQ4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57" s="2" t="e">
        <f ca="1">_xll.BDH($C$253,"NET_DEBT_TO_EBITDA","FQ4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57" s="2" t="e">
        <f ca="1">_xll.BDH($C$253,"TOTAL_DEBT_TO_EBIT","FQ4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57" s="2" t="e">
        <f ca="1">_xll.BDH($C$253,"NET_DEBT_TO_EBIT","FQ4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257" s="2" t="e">
        <f ca="1">_xll.BDH($C$253,"EBITDA_TO_INTEREST_EXPN","FQ4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57" s="2" t="e">
        <f ca="1">_xll.BDH($C$253,"COM_EQY_TO_TOT_ASSET","FQ4 2014","FQ4 2014","Currency=INR","Period=FQ","BEST_FPERIOD_OVERRIDE=FQ","FILING_STATUS=OR","EQY_CONSOLIDATED=Y","Sort=A","Dates=H","DateFormat=P","Fill=—","Direction=H","UseDPDF=Y")</f>
        <v>#NAME?</v>
      </c>
      <c r="CH257" s="2" t="e">
        <f ca="1">_xll.BDH($C$253,"LT_DEBT_TO_TOT_EQY","FQ4 2014","FQ4 2014","Currency=INR","Period=FQ","BEST_FPERIOD_OVERRIDE=FQ","FILING_STATUS=OR","EQY_CONSOLIDATED=Y","Sort=A","Dates=H","DateFormat=P","Fill=—","Direction=H","UseDPDF=Y")</f>
        <v>#NAME?</v>
      </c>
      <c r="CI257" s="2" t="e">
        <f ca="1">_xll.BDH($C$253,"LT_DEBT_TO_TOT_CAP","FQ4 2014","FQ4 2014","Currency=INR","Period=FQ","BEST_FPERIOD_OVERRIDE=FQ","FILING_STATUS=OR","EQY_CONSOLIDATED=Y","Sort=A","Dates=H","DateFormat=P","Fill=—","Direction=H","UseDPDF=Y")</f>
        <v>#NAME?</v>
      </c>
      <c r="CJ257" s="2" t="e">
        <f ca="1">_xll.BDH($C$253,"LT_DEBT_TO_TOT_ASSET","FQ4 2014","FQ4 2014","Currency=INR","Period=FQ","BEST_FPERIOD_OVERRIDE=FQ","FILING_STATUS=OR","EQY_CONSOLIDATED=Y","Sort=A","Dates=H","DateFormat=P","Fill=—","Direction=H","UseDPDF=Y")</f>
        <v>#NAME?</v>
      </c>
      <c r="CK257" s="2" t="e">
        <f ca="1">_xll.BDH($C$253,"TOT_DEBT_TO_TOT_EQY","FQ4 2014","FQ4 2014","Currency=INR","Period=FQ","BEST_FPERIOD_OVERRIDE=FQ","FILING_STATUS=OR","EQY_CONSOLIDATED=Y","Sort=A","Dates=H","DateFormat=P","Fill=—","Direction=H","UseDPDF=Y")</f>
        <v>#NAME?</v>
      </c>
      <c r="CL257" s="2" t="e">
        <f ca="1">_xll.BDH($C$253,"TOT_DEBT_TO_TOT_CAP","FQ4 2014","FQ4 2014","Currency=INR","Period=FQ","BEST_FPERIOD_OVERRIDE=FQ","FILING_STATUS=OR","EQY_CONSOLIDATED=Y","Sort=A","Dates=H","DateFormat=P","Fill=—","Direction=H","UseDPDF=Y")</f>
        <v>#NAME?</v>
      </c>
      <c r="CM257" s="2" t="e">
        <f ca="1">_xll.BDH($C$253,"TOT_DEBT_TO_TOT_ASSET","FQ4 2014","FQ4 2014","Currency=INR","Period=FQ","BEST_FPERIOD_OVERRIDE=FQ","FILING_STATUS=OR","EQY_CONSOLIDATED=Y","Sort=A","Dates=H","DateFormat=P","Fill=—","Direction=H","UseDPDF=Y")</f>
        <v>#NAME?</v>
      </c>
      <c r="CN257" s="2" t="e">
        <f ca="1">_xll.BDH($C$253,"NET_DEBT_TO_SHRHLDR_EQTY","FQ4 2014","FQ4 2014","Currency=INR","Period=FQ","BEST_FPERIOD_OVERRIDE=FQ","FILING_STATUS=OR","EQY_CONSOLIDATED=Y","Sort=A","Dates=H","DateFormat=P","Fill=—","Direction=H","UseDPDF=Y")</f>
        <v>#NAME?</v>
      </c>
      <c r="CO257" s="2" t="e">
        <f ca="1">_xll.BDH($C$253,"NET_DEBT_%_CAPITAL","FQ4 2014","FQ4 2014","Currency=INR","Period=FQ","BEST_FPERIOD_OVERRIDE=FQ","FILING_STATUS=OR","EQY_CONSOLIDATED=Y","Sort=A","Dates=H","DateFormat=P","Fill=—","Direction=H","UseDPDF=Y")</f>
        <v>#NAME?</v>
      </c>
      <c r="CP257" s="3" t="e">
        <f ca="1">_xll.BDH($C$253,"EBITDA","FQ4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57" s="3" t="e">
        <f ca="1">_xll.BDH($C$253,"EBITDA_AFTER_CAPEX","FQ4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57" s="3" t="e">
        <f ca="1">_xll.BDH($C$253,"IS_OPER_INC","FQ4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57" s="2" t="e">
        <f ca="1">_xll.BDH($C$253,"CASH_RATIO","FQ4 2014","FQ4 2014","Currency=INR","Period=FQ","BEST_FPERIOD_OVERRIDE=FQ","FILING_STATUS=OR","EQY_CONSOLIDATED=Y","Sort=A","Dates=H","DateFormat=P","Fill=—","Direction=H","UseDPDF=Y")</f>
        <v>#NAME?</v>
      </c>
      <c r="CT257" s="2" t="e">
        <f ca="1">_xll.BDH($C$253,"CUR_RATIO","FQ4 2014","FQ4 2014","Currency=INR","Period=FQ","BEST_FPERIOD_OVERRIDE=FQ","FILING_STATUS=OR","EQY_CONSOLIDATED=Y","Sort=A","Dates=H","DateFormat=P","Fill=—","Direction=H","UseDPDF=Y")</f>
        <v>#NAME?</v>
      </c>
      <c r="CU257" s="2" t="e">
        <f ca="1">_xll.BDH($C$253,"QUICK_RATIO","FQ4 2014","FQ4 2014","Currency=INR","Period=FQ","BEST_FPERIOD_OVERRIDE=FQ","FILING_STATUS=OR","EQY_CONSOLIDATED=Y","Sort=A","Dates=H","DateFormat=P","Fill=—","Direction=H","UseDPDF=Y")</f>
        <v>#NAME?</v>
      </c>
      <c r="CV257" s="2" t="e">
        <f ca="1">_xll.BDH($C$253,"ALTMAN_Z_SCORE","FQ4 2014","FQ4 2014","Currency=INR","Period=FQ","BEST_FPERIOD_OVERRIDE=FQ","FILING_STATUS=OR","EQY_CONSOLIDATED=Y","Sort=A","Dates=H","DateFormat=P","Fill=—","Direction=H","UseDPDF=Y")</f>
        <v>#NAME?</v>
      </c>
      <c r="CW257" s="4" t="e">
        <f ca="1">_xll.BDH($C$253,"ACCT_RCV_TURN","FQ4 2014","FQ4 2014","Currency=INR","Period=FQ","BEST_FPERIOD_OVERRIDE=FQ","FILING_STATUS=OR","EQY_CONSOLIDATED=Y","FA_ADJUSTED=GAAP","Sort=A","Dates=H","DateFormat=P","Fill=—","Direction=H","UseDPDF=Y")</f>
        <v>#NAME?</v>
      </c>
      <c r="CX257" s="2" t="e">
        <f ca="1">_xll.BDH($C$253,"ACCT_RCV_DAYS","FQ4 2014","FQ4 2014","Currency=INR","Period=FQ","BEST_FPERIOD_OVERRIDE=FQ","FILING_STATUS=OR","EQY_CONSOLIDATED=Y","FA_ADJUSTED=GAAP","Sort=A","Dates=H","DateFormat=P","Fill=—","Direction=H","UseDPDF=Y")</f>
        <v>#NAME?</v>
      </c>
      <c r="CY257" s="4" t="e">
        <f ca="1">_xll.BDH($C$253,"INVENT_TURN","FQ4 2014","FQ4 2014","Currency=INR","Period=FQ","BEST_FPERIOD_OVERRIDE=FQ","FILING_STATUS=OR","EQY_CONSOLIDATED=Y","FA_ADJUSTED=GAAP","Sort=A","Dates=H","DateFormat=P","Fill=—","Direction=H","UseDPDF=Y")</f>
        <v>#NAME?</v>
      </c>
      <c r="CZ257" s="2" t="e">
        <f ca="1">_xll.BDH($C$253,"INVENT_DAYS","FQ4 2014","FQ4 2014","Currency=INR","Period=FQ","BEST_FPERIOD_OVERRIDE=FQ","FILING_STATUS=OR","EQY_CONSOLIDATED=Y","FA_ADJUSTED=GAAP","Sort=A","Dates=H","DateFormat=P","Fill=—","Direction=H","UseDPDF=Y")</f>
        <v>#NAME?</v>
      </c>
      <c r="DA257" s="4" t="e">
        <f ca="1">_xll.BDH($C$253,"ACCOUNTS_PAYABLE_TURNOVER","FQ4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57" s="2" t="e">
        <f ca="1">_xll.BDH($C$253,"ACCOUNTS_PAYABLE_TURNOVER_DAYS","FQ4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57" s="4" t="e">
        <f ca="1">_xll.BDH($C$253,"CASH_CONVERSION_CYCLE","FQ4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57" s="4" t="e">
        <f ca="1">_xll.BDH($C$253,"INV_TO_CASH_DAYS","FQ4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257" s="5" t="e">
        <f ca="1">_xll.BDH($C$253,"BS_INVENTORIES","FQ4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257" s="3" t="e">
        <f ca="1">_xll.BDH($C$253,"INVTRY_RAW_MATERIALS","FQ4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57" s="3" t="e">
        <f ca="1">_xll.BDH($C$253,"INVTRY_IN_PROGRESS","FQ4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57" s="3" t="e">
        <f ca="1">_xll.BDH($C$253,"INVTRY_FINISHED_GOODS","FQ4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57" s="3" t="e">
        <f ca="1">_xll.BDH($C$253,"BS_OTHER_INV","FQ4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58" spans="1:113" x14ac:dyDescent="0.3">
      <c r="A258" s="6"/>
      <c r="B258" s="6"/>
      <c r="C258" s="6"/>
      <c r="D258" s="6" t="s">
        <v>82</v>
      </c>
      <c r="E258" t="s">
        <v>77</v>
      </c>
      <c r="F258" t="e">
        <f ca="1">_xll.BDH($C$253,"RETURN_COM_EQY","FY 2015","FY 2015","Currency=INR","Period=FY","BEST_FPERIOD_OVERRIDE=FY","FILING_STATUS=OR","EQY_CONSOLIDATED=Y","FA_ADJUSTED=GAAP","Sort=A","Dates=H","DateFormat=P","Fill=—","Direction=H","UseDPDF=Y")</f>
        <v>#NAME?</v>
      </c>
      <c r="G258" t="e">
        <f ca="1">_xll.BDH($C$253,"RETURN_ON_ASSET","FY 2015","FY 2015","Currency=INR","Period=FY","BEST_FPERIOD_OVERRIDE=FY","FILING_STATUS=OR","EQY_CONSOLIDATED=Y","FA_ADJUSTED=GAAP","Sort=A","Dates=H","DateFormat=P","Fill=—","Direction=H","UseDPDF=Y")</f>
        <v>#NAME?</v>
      </c>
      <c r="H258" t="e">
        <f ca="1">_xll.BDH($C$253,"RETURN_ON_CAP","FY 2015","FY 2015","Currency=INR","Period=FY","BEST_FPERIOD_OVERRIDE=FY","FILING_STATUS=OR","EQY_CONSOLIDATED=Y","FA_ADJUSTED=GAAP","Sort=A","Dates=H","DateFormat=P","Fill=—","Direction=H","UseDPDF=Y")</f>
        <v>#NAME?</v>
      </c>
      <c r="I258" t="e">
        <f ca="1">_xll.BDH($C$253,"RETURN_ON_INV_CAPITAL","FY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58" t="e">
        <f ca="1">_xll.BDH($C$253,"EBITDA_TO_REVENUE","FY 2015","FY 2015","Currency=INR","Period=FY","BEST_FPERIOD_OVERRIDE=FY","FILING_STATUS=OR","EQY_CONSOLIDATED=Y","FA_ADJUSTED=GAAP","Sort=A","Dates=H","DateFormat=P","Fill=—","Direction=H","UseDPDF=Y")</f>
        <v>#NAME?</v>
      </c>
      <c r="K258" t="e">
        <f ca="1">_xll.BDH($C$253,"OPER_MARGIN","FY 2015","FY 2015","Currency=INR","Period=FY","BEST_FPERIOD_OVERRIDE=FY","FILING_STATUS=OR","EQY_CONSOLIDATED=Y","FA_ADJUSTED=GAAP","Sort=A","Dates=H","DateFormat=P","Fill=—","Direction=H","UseDPDF=Y")</f>
        <v>#NAME?</v>
      </c>
      <c r="L258" t="e">
        <f ca="1">_xll.BDH($C$253,"INCREMENTAL_OPERATING_MARGIN","FY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58" t="e">
        <f ca="1">_xll.BDH($C$253,"PRETAX_INC_TO_NET_SALES","FY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58" t="e">
        <f ca="1">_xll.BDH($C$253,"INC_BEF_XO_ITEMS_TO_NET_SALES","FY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58" t="e">
        <f ca="1">_xll.BDH($C$253,"PROF_MARGIN","FY 2015","FY 2015","Currency=INR","Period=FY","BEST_FPERIOD_OVERRIDE=FY","FILING_STATUS=OR","EQY_CONSOLIDATED=Y","FA_ADJUSTED=GAAP","Sort=A","Dates=H","DateFormat=P","Fill=—","Direction=H","UseDPDF=Y")</f>
        <v>#NAME?</v>
      </c>
      <c r="P258" t="e">
        <f ca="1">_xll.BDH($C$253,"NET_INCOME_TO_COMMON_MARGIN","FY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58" t="e">
        <f ca="1">_xll.BDH($C$253,"EFF_TAX_RATE","FY 2015","FY 2015","Currency=INR","Period=FY","BEST_FPERIOD_OVERRIDE=FY","FILING_STATUS=OR","EQY_CONSOLIDATED=Y","FA_ADJUSTED=GAAP","Sort=A","Dates=H","DateFormat=P","Fill=—","Direction=H","UseDPDF=Y")</f>
        <v>#NAME?</v>
      </c>
      <c r="R258" t="e">
        <f ca="1">_xll.BDH($C$253,"DVD_PAYOUT_RATIO","FY 2015","FY 2015","Currency=INR","Period=FY","BEST_FPERIOD_OVERRIDE=FY","FILING_STATUS=OR","EQY_CONSOLIDATED=Y","FA_ADJUSTED=GAAP","Sort=A","Dates=H","DateFormat=P","Fill=—","Direction=H","UseDPDF=Y")</f>
        <v>#NAME?</v>
      </c>
      <c r="S258" t="e">
        <f ca="1">_xll.BDH($C$253,"SUSTAIN_GROWTH_RT","FY 2015","FY 2015","Currency=INR","Period=FY","BEST_FPERIOD_OVERRIDE=FY","FILING_STATUS=OR","EQY_CONSOLIDATED=Y","FA_ADJUSTED=GAAP","Sort=A","Dates=H","DateFormat=P","Fill=—","Direction=H","UseDPDF=Y")</f>
        <v>#NAME?</v>
      </c>
      <c r="T258" s="2" t="e">
        <f ca="1">_xll.BDH($C$253,"SALES_GROWTH","FY 2015","FY 2015","Currency=INR","Period=FY","BEST_FPERIOD_OVERRIDE=FY","FILING_STATUS=OR","EQY_CONSOLIDATED=Y","FA_ADJUSTED=GAAP","Sort=A","Dates=H","DateFormat=P","Fill=—","Direction=H","UseDPDF=Y")</f>
        <v>#NAME?</v>
      </c>
      <c r="U258" s="2" t="e">
        <f ca="1">_xll.BDH($C$253,"EBITDA_GROWTH","FY 2015","FY 2015","Currency=INR","Period=FY","BEST_FPERIOD_OVERRIDE=FY","FILING_STATUS=OR","EQY_CONSOLIDATED=Y","FA_ADJUSTED=GAAP","Sort=A","Dates=H","DateFormat=P","Fill=—","Direction=H","UseDPDF=Y")</f>
        <v>#NAME?</v>
      </c>
      <c r="V258" s="2" t="e">
        <f ca="1">_xll.BDH($C$253,"OPER_INC_GROWTH","FY 2015","FY 2015","Currency=INR","Period=FY","BEST_FPERIOD_OVERRIDE=FY","FILING_STATUS=OR","EQY_CONSOLIDATED=Y","FA_ADJUSTED=GAAP","Sort=A","Dates=H","DateFormat=P","Fill=—","Direction=H","UseDPDF=Y")</f>
        <v>#NAME?</v>
      </c>
      <c r="W258" s="2" t="e">
        <f ca="1">_xll.BDH($C$253,"EARN_FOR_COM_GROWTH","FY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258" s="2" t="e">
        <f ca="1">_xll.BDH($C$253,"DILUTED_EPS_AFT_XO_ITEMS_GROWTH","FY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58" s="2" t="e">
        <f ca="1">_xll.BDH($C$253,"DIVIDEND_PER_SHARE_1_YEAR_GROWTH","FY 2015","FY 2015","Currency=INR","Period=FY","BEST_FPERIOD_OVERRIDE=FY","FILING_STATUS=OR","EQY_CONSOLIDATED=Y","Sort=A","Dates=H","DateFormat=P","Fill=—","Direction=H","UseDPDF=Y")</f>
        <v>#NAME?</v>
      </c>
      <c r="Z258" s="2" t="e">
        <f ca="1">_xll.BDH($C$253,"ACCOUNTS_RECEIVABLE_GROWTH","FY 2015","FY 2015","Currency=INR","Period=FY","BEST_FPERIOD_OVERRIDE=FY","FILING_STATUS=OR","EQY_CONSOLIDATED=Y","Sort=A","Dates=H","DateFormat=P","Fill=—","Direction=H","UseDPDF=Y")</f>
        <v>#NAME?</v>
      </c>
      <c r="AA258" s="2" t="e">
        <f ca="1">_xll.BDH($C$253,"INVENTORY_GROWTH","FY 2015","FY 2015","Currency=INR","Period=FY","BEST_FPERIOD_OVERRIDE=FY","FILING_STATUS=OR","EQY_CONSOLIDATED=Y","Sort=A","Dates=H","DateFormat=P","Fill=—","Direction=H","UseDPDF=Y")</f>
        <v>#NAME?</v>
      </c>
      <c r="AB258" s="2" t="e">
        <f ca="1">_xll.BDH($C$253,"NET_FIXED_ASSETS_1_YEAR_GROWTH","FY 2015","FY 2015","Currency=INR","Period=FY","BEST_FPERIOD_OVERRIDE=FY","FILING_STATUS=OR","EQY_CONSOLIDATED=Y","Sort=A","Dates=H","DateFormat=P","Fill=—","Direction=H","UseDPDF=Y")</f>
        <v>#NAME?</v>
      </c>
      <c r="AC258" s="2" t="e">
        <f ca="1">_xll.BDH($C$253,"ASSET_GROWTH","FY 2015","FY 2015","Currency=INR","Period=FY","BEST_FPERIOD_OVERRIDE=FY","FILING_STATUS=OR","EQY_CONSOLIDATED=Y","Sort=A","Dates=H","DateFormat=P","Fill=—","Direction=H","UseDPDF=Y")</f>
        <v>#NAME?</v>
      </c>
      <c r="AD258" s="2" t="e">
        <f ca="1">_xll.BDH($C$253,"MODIFIED_WORK_CAP_GROWTH","FY 2015","FY 2015","Currency=INR","Period=FY","BEST_FPERIOD_OVERRIDE=FY","FILING_STATUS=OR","EQY_CONSOLIDATED=Y","Sort=A","Dates=H","DateFormat=P","Fill=—","Direction=H","UseDPDF=Y")</f>
        <v>#NAME?</v>
      </c>
      <c r="AE258" s="2" t="e">
        <f ca="1">_xll.BDH($C$253,"WORK_CAP_GROWTH","FY 2015","FY 2015","Currency=INR","Period=FY","BEST_FPERIOD_OVERRIDE=FY","FILING_STATUS=OR","EQY_CONSOLIDATED=Y","Sort=A","Dates=H","DateFormat=P","Fill=—","Direction=H","UseDPDF=Y")</f>
        <v>#NAME?</v>
      </c>
      <c r="AF258" s="2" t="e">
        <f ca="1">_xll.BDH($C$253,"ACCOUNTS_PAYABLE_GROWTH_1YR","FY 2015","FY 2015","Currency=INR","Period=FY","BEST_FPERIOD_OVERRIDE=FY","FILING_STATUS=OR","EQY_CONSOLIDATED=Y","Sort=A","Dates=H","DateFormat=P","Fill=—","Direction=H","UseDPDF=Y")</f>
        <v>#NAME?</v>
      </c>
      <c r="AG258" s="2" t="e">
        <f ca="1">_xll.BDH($C$253,"SHORT_TERM_DEBT_1_YEAR_GROWTH","FY 2015","FY 2015","Currency=INR","Period=FY","BEST_FPERIOD_OVERRIDE=FY","FILING_STATUS=OR","EQY_CONSOLIDATED=Y","Sort=A","Dates=H","DateFormat=P","Fill=—","Direction=H","UseDPDF=Y")</f>
        <v>#NAME?</v>
      </c>
      <c r="AH258" s="2" t="e">
        <f ca="1">_xll.BDH($C$253,"TOTAL_DEBT_1_YEAR_GROWTH","FY 2015","FY 2015","Currency=INR","Period=FY","BEST_FPERIOD_OVERRIDE=FY","FILING_STATUS=OR","EQY_CONSOLIDATED=Y","Sort=A","Dates=H","DateFormat=P","Fill=—","Direction=H","UseDPDF=Y")</f>
        <v>#NAME?</v>
      </c>
      <c r="AI258" s="2" t="e">
        <f ca="1">_xll.BDH($C$253,"TOTAL_EQUITY_1_YEAR_GROWTH","FY 2015","FY 2015","Currency=INR","Period=FY","BEST_FPERIOD_OVERRIDE=FY","FILING_STATUS=OR","EQY_CONSOLIDATED=Y","Sort=A","Dates=H","DateFormat=P","Fill=—","Direction=H","UseDPDF=Y")</f>
        <v>#NAME?</v>
      </c>
      <c r="AJ258" s="2" t="e">
        <f ca="1">_xll.BDH($C$253,"GROWTH_IN_CAP","FY 2015","FY 2015","Currency=INR","Period=FY","BEST_FPERIOD_OVERRIDE=FY","FILING_STATUS=OR","EQY_CONSOLIDATED=Y","Sort=A","Dates=H","DateFormat=P","Fill=—","Direction=H","UseDPDF=Y")</f>
        <v>#NAME?</v>
      </c>
      <c r="AK258" s="2" t="e">
        <f ca="1">_xll.BDH($C$253,"BVPS_GROWTH","FY 2015","FY 2015","Currency=INR","Period=FY","BEST_FPERIOD_OVERRIDE=FY","FILING_STATUS=OR","EQY_CONSOLIDATED=Y","Sort=A","Dates=H","DateFormat=P","Fill=—","Direction=H","UseDPDF=Y")</f>
        <v>#NAME?</v>
      </c>
      <c r="AL258" s="2" t="e">
        <f ca="1">_xll.BDH($C$253,"CASH_FLOW_GROWTH","FY 2015","FY 2015","Currency=INR","Period=FY","BEST_FPERIOD_OVERRIDE=FY","FILING_STATUS=OR","EQY_CONSOLIDATED=Y","Sort=A","Dates=H","DateFormat=P","Fill=—","Direction=H","UseDPDF=Y")</f>
        <v>#NAME?</v>
      </c>
      <c r="AM258" s="2" t="e">
        <f ca="1">_xll.BDH($C$253,"GEO_GROW_NET_SALES","FY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258" s="2" t="e">
        <f ca="1">_xll.BDH($C$253,"GEO_GROW_EBITDA","FY 2015","FY 2015","Currency=INR","Period=FY","BEST_FPERIOD_OVERRIDE=FY","FILING_STATUS=OR","EQY_CONSOLIDATED=Y","FA_ADJUSTED=GAAP","Sort=A","Dates=H","DateFormat=P","Fill=—","Direction=H","UseDPDF=Y")</f>
        <v>#NAME?</v>
      </c>
      <c r="AO258" s="2" t="e">
        <f ca="1">_xll.BDH($C$253,"GEO_GROW_OPER_INC","FY 2015","FY 2015","Currency=INR","Period=FY","BEST_FPERIOD_OVERRIDE=FY","FILING_STATUS=OR","EQY_CONSOLIDATED=Y","FA_ADJUSTED=GAAP","Sort=A","Dates=H","DateFormat=P","Fill=—","Direction=H","UseDPDF=Y")</f>
        <v>#NAME?</v>
      </c>
      <c r="AP258" s="2" t="e">
        <f ca="1">_xll.BDH($C$253,"NET_INCOME_TO_COMMON_5_YR_GROWTH","FY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58" s="2" t="e">
        <f ca="1">_xll.BDH($C$253,"5Y_GEO_GROWTH_DILUTED_EPS","FY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58" s="2" t="e">
        <f ca="1">_xll.BDH($C$253,"GEO_GROW_DVD_PER_SH","FY 2015","FY 2015","Currency=INR","Period=FY","BEST_FPERIOD_OVERRIDE=FY","FILING_STATUS=OR","EQY_CONSOLIDATED=Y","Sort=A","Dates=H","DateFormat=P","Fill=—","Direction=H","UseDPDF=Y")</f>
        <v>#NAME?</v>
      </c>
      <c r="AS258" s="2" t="e">
        <f ca="1">_xll.BDH($C$253,"ACCOUNTS_RECEIVABLE_5_YR_GROWTH","FY 2015","FY 2015","Currency=INR","Period=FY","BEST_FPERIOD_OVERRIDE=FY","FILING_STATUS=OR","EQY_CONSOLIDATED=Y","Sort=A","Dates=H","DateFormat=P","Fill=—","Direction=H","UseDPDF=Y")</f>
        <v>#NAME?</v>
      </c>
      <c r="AT258" s="2" t="e">
        <f ca="1">_xll.BDH($C$253,"INVENTORY_5_YEAR_GROWTH","FY 2015","FY 2015","Currency=INR","Period=FY","BEST_FPERIOD_OVERRIDE=FY","FILING_STATUS=OR","EQY_CONSOLIDATED=Y","Sort=A","Dates=H","DateFormat=P","Fill=—","Direction=H","UseDPDF=Y")</f>
        <v>#NAME?</v>
      </c>
      <c r="AU258" s="2" t="e">
        <f ca="1">_xll.BDH($C$253,"NET_FIXED_ASSETS_5_YEAR_GROWTH","FY 2015","FY 2015","Currency=INR","Period=FY","BEST_FPERIOD_OVERRIDE=FY","FILING_STATUS=OR","EQY_CONSOLIDATED=Y","Sort=A","Dates=H","DateFormat=P","Fill=—","Direction=H","UseDPDF=Y")</f>
        <v>#NAME?</v>
      </c>
      <c r="AV258" s="2" t="e">
        <f ca="1">_xll.BDH($C$253,"GEO_GROW_TOT_ASSET","FY 2015","FY 2015","Currency=INR","Period=FY","BEST_FPERIOD_OVERRIDE=FY","FILING_STATUS=OR","EQY_CONSOLIDATED=Y","Sort=A","Dates=H","DateFormat=P","Fill=—","Direction=H","UseDPDF=Y")</f>
        <v>#NAME?</v>
      </c>
      <c r="AW258" s="2" t="e">
        <f ca="1">_xll.BDH($C$253,"MODIFIED_WORKING_CPTL_5YR_GRWTH","FY 2015","FY 2015","Currency=INR","Period=FY","BEST_FPERIOD_OVERRIDE=FY","FILING_STATUS=OR","EQY_CONSOLIDATED=Y","Sort=A","Dates=H","DateFormat=P","Fill=—","Direction=H","UseDPDF=Y")</f>
        <v>#NAME?</v>
      </c>
      <c r="AX258" s="2" t="e">
        <f ca="1">_xll.BDH($C$253,"WORKING_CAPITAL_5_YEAR_GROWTH","FY 2015","FY 2015","Currency=INR","Period=FY","BEST_FPERIOD_OVERRIDE=FY","FILING_STATUS=OR","EQY_CONSOLIDATED=Y","Sort=A","Dates=H","DateFormat=P","Fill=—","Direction=H","UseDPDF=Y")</f>
        <v>#NAME?</v>
      </c>
      <c r="AY258" s="2" t="e">
        <f ca="1">_xll.BDH($C$253,"ACCOUNTS_PAYABLE_5_YEAR_GROWTH","FY 2015","FY 2015","Currency=INR","Period=FY","BEST_FPERIOD_OVERRIDE=FY","FILING_STATUS=OR","EQY_CONSOLIDATED=Y","Sort=A","Dates=H","DateFormat=P","Fill=—","Direction=H","UseDPDF=Y")</f>
        <v>#NAME?</v>
      </c>
      <c r="AZ258" s="2" t="e">
        <f ca="1">_xll.BDH($C$253,"SHORT_TERM_DEBT_5_YEAR_GROWTH","FY 2015","FY 2015","Currency=INR","Period=FY","BEST_FPERIOD_OVERRIDE=FY","FILING_STATUS=OR","EQY_CONSOLIDATED=Y","Sort=A","Dates=H","DateFormat=P","Fill=—","Direction=H","UseDPDF=Y")</f>
        <v>#NAME?</v>
      </c>
      <c r="BA258" s="2" t="e">
        <f ca="1">_xll.BDH($C$253,"TOTAL_DEBT_5_YEAR_GROWTH","FY 2015","FY 2015","Currency=INR","Period=FY","BEST_FPERIOD_OVERRIDE=FY","FILING_STATUS=OR","EQY_CONSOLIDATED=Y","Sort=A","Dates=H","DateFormat=P","Fill=—","Direction=H","UseDPDF=Y")</f>
        <v>#NAME?</v>
      </c>
      <c r="BB258" s="2" t="e">
        <f ca="1">_xll.BDH($C$253,"GEO_GROW_TOT_SHRHLDR_EQY","FY 2015","FY 2015","Currency=INR","Period=FY","BEST_FPERIOD_OVERRIDE=FY","FILING_STATUS=OR","EQY_CONSOLIDATED=Y","Sort=A","Dates=H","DateFormat=P","Fill=—","Direction=H","UseDPDF=Y")</f>
        <v>#NAME?</v>
      </c>
      <c r="BC258" s="2" t="e">
        <f ca="1">_xll.BDH($C$253,"TOTAL_CAPITAL_5_YEAR_GROWTH","FY 2015","FY 2015","Currency=INR","Period=FY","BEST_FPERIOD_OVERRIDE=FY","FILING_STATUS=OR","EQY_CONSOLIDATED=Y","Sort=A","Dates=H","DateFormat=P","Fill=—","Direction=H","UseDPDF=Y")</f>
        <v>#NAME?</v>
      </c>
      <c r="BD258" s="2" t="e">
        <f ca="1">_xll.BDH($C$253,"GEO_GROW_BOOK_VAL","FY 2015","FY 2015","Currency=INR","Period=FY","BEST_FPERIOD_OVERRIDE=FY","FILING_STATUS=OR","EQY_CONSOLIDATED=Y","Sort=A","Dates=H","DateFormat=P","Fill=—","Direction=H","UseDPDF=Y")</f>
        <v>#NAME?</v>
      </c>
      <c r="BE258" s="2" t="e">
        <f ca="1">_xll.BDH($C$253,"GEO_GROW_CASH_OPER_ACT","FY 2015","FY 2015","Currency=INR","Period=FY","BEST_FPERIOD_OVERRIDE=FY","FILING_STATUS=OR","EQY_CONSOLIDATED=Y","Sort=A","Dates=H","DateFormat=P","Fill=—","Direction=H","UseDPDF=Y")</f>
        <v>#NAME?</v>
      </c>
      <c r="BF258" s="2" t="e">
        <f ca="1">_xll.BDH($C$253,"REVENUE_SEQUENTIAL_GROWTH","FY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58" s="2" t="e">
        <f ca="1">_xll.BDH($C$253,"EBITDA_SEQUENTIAL_GROWTH","FY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58" s="2" t="e">
        <f ca="1">_xll.BDH($C$253,"OPERATING_INCOME_SEQ_GROWTH","FY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58" s="2" t="e">
        <f ca="1">_xll.BDH($C$253,"NET_INCOME_TO_COMMON_SEQ_GROWTH","FY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58" s="2" t="e">
        <f ca="1">_xll.BDH($C$253,"EPS_DILUTED_SEQUENTIAL_GROWTH","FY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58" s="2" t="e">
        <f ca="1">_xll.BDH($C$253,"DPS_SEQUENTIAL_GROWTH","FY 2015","FY 2015","Currency=INR","Period=FY","BEST_FPERIOD_OVERRIDE=FY","FILING_STATUS=OR","EQY_CONSOLIDATED=Y","Sort=A","Dates=H","DateFormat=P","Fill=—","Direction=H","UseDPDF=Y")</f>
        <v>#NAME?</v>
      </c>
      <c r="BL258" s="2" t="e">
        <f ca="1">_xll.BDH($C$253,"ACCOUNTS_RECEIVABLE_SEQ_GROWTH","FY 2015","FY 2015","Currency=INR","Period=FY","BEST_FPERIOD_OVERRIDE=FY","FILING_STATUS=OR","EQY_CONSOLIDATED=Y","Sort=A","Dates=H","DateFormat=P","Fill=—","Direction=H","UseDPDF=Y")</f>
        <v>#NAME?</v>
      </c>
      <c r="BM258" s="2" t="e">
        <f ca="1">_xll.BDH($C$253,"INVENTORY_SEQUENTIAL_GROWTH","FY 2015","FY 2015","Currency=INR","Period=FY","BEST_FPERIOD_OVERRIDE=FY","FILING_STATUS=OR","EQY_CONSOLIDATED=Y","Sort=A","Dates=H","DateFormat=P","Fill=—","Direction=H","UseDPDF=Y")</f>
        <v>#NAME?</v>
      </c>
      <c r="BN258" s="2" t="e">
        <f ca="1">_xll.BDH($C$253,"FIXED_ASSETS_SEQUENTIAL_GROWTH","FY 2015","FY 2015","Currency=INR","Period=FY","BEST_FPERIOD_OVERRIDE=FY","FILING_STATUS=OR","EQY_CONSOLIDATED=Y","Sort=A","Dates=H","DateFormat=P","Fill=—","Direction=H","UseDPDF=Y")</f>
        <v>#NAME?</v>
      </c>
      <c r="BO258" s="2" t="e">
        <f ca="1">_xll.BDH($C$253,"TOTAL_ASSETS_SEQUENTIAL_GROWTH","FY 2015","FY 2015","Currency=INR","Period=FY","BEST_FPERIOD_OVERRIDE=FY","FILING_STATUS=OR","EQY_CONSOLIDATED=Y","Sort=A","Dates=H","DateFormat=P","Fill=—","Direction=H","UseDPDF=Y")</f>
        <v>#NAME?</v>
      </c>
      <c r="BP258" s="2" t="e">
        <f ca="1">_xll.BDH($C$253,"MODIFIED_WORKING_CPTL_SEQ_GRWTH","FY 2015","FY 2015","Currency=INR","Period=FY","BEST_FPERIOD_OVERRIDE=FY","FILING_STATUS=OR","EQY_CONSOLIDATED=Y","Sort=A","Dates=H","DateFormat=P","Fill=—","Direction=H","UseDPDF=Y")</f>
        <v>#NAME?</v>
      </c>
      <c r="BQ258" s="2" t="e">
        <f ca="1">_xll.BDH($C$253,"WORKING_CAPITAL_SEQ_GROWTH","FY 2015","FY 2015","Currency=INR","Period=FY","BEST_FPERIOD_OVERRIDE=FY","FILING_STATUS=OR","EQY_CONSOLIDATED=Y","Sort=A","Dates=H","DateFormat=P","Fill=—","Direction=H","UseDPDF=Y")</f>
        <v>#NAME?</v>
      </c>
      <c r="BR258" s="2" t="e">
        <f ca="1">_xll.BDH($C$253,"ACCOUNTS_PAYABLE_SEQ_GROWTH","FY 2015","FY 2015","Currency=INR","Period=FY","BEST_FPERIOD_OVERRIDE=FY","FILING_STATUS=OR","EQY_CONSOLIDATED=Y","Sort=A","Dates=H","DateFormat=P","Fill=—","Direction=H","UseDPDF=Y")</f>
        <v>#NAME?</v>
      </c>
      <c r="BS258" s="2" t="e">
        <f ca="1">_xll.BDH($C$253,"ST_DEBT_SEQUENTIAL_GROWTH","FY 2015","FY 2015","Currency=INR","Period=FY","BEST_FPERIOD_OVERRIDE=FY","FILING_STATUS=OR","EQY_CONSOLIDATED=Y","Sort=A","Dates=H","DateFormat=P","Fill=—","Direction=H","UseDPDF=Y")</f>
        <v>#NAME?</v>
      </c>
      <c r="BT258" s="2" t="e">
        <f ca="1">_xll.BDH($C$253,"TOTAL_DEBT_SEQUENTIAL_GROWTH","FY 2015","FY 2015","Currency=INR","Period=FY","BEST_FPERIOD_OVERRIDE=FY","FILING_STATUS=OR","EQY_CONSOLIDATED=Y","Sort=A","Dates=H","DateFormat=P","Fill=—","Direction=H","UseDPDF=Y")</f>
        <v>#NAME?</v>
      </c>
      <c r="BU258" s="2" t="e">
        <f ca="1">_xll.BDH($C$253,"TOTAL_EQUITY_SEQUENTIAL_GROWTH","FY 2015","FY 2015","Currency=INR","Period=FY","BEST_FPERIOD_OVERRIDE=FY","FILING_STATUS=OR","EQY_CONSOLIDATED=Y","Sort=A","Dates=H","DateFormat=P","Fill=—","Direction=H","UseDPDF=Y")</f>
        <v>#NAME?</v>
      </c>
      <c r="BV258" s="2" t="e">
        <f ca="1">_xll.BDH($C$253,"TOTAL_CAPITAL_SEQUENTIAL_GROWTH","FY 2015","FY 2015","Currency=INR","Period=FY","BEST_FPERIOD_OVERRIDE=FY","FILING_STATUS=OR","EQY_CONSOLIDATED=Y","Sort=A","Dates=H","DateFormat=P","Fill=—","Direction=H","UseDPDF=Y")</f>
        <v>#NAME?</v>
      </c>
      <c r="BW258" s="2" t="e">
        <f ca="1">_xll.BDH($C$253,"BPS_SEQUENTIAL_GROWTH","FY 2015","FY 2015","Currency=INR","Period=FY","BEST_FPERIOD_OVERRIDE=FY","FILING_STATUS=OR","EQY_CONSOLIDATED=Y","Sort=A","Dates=H","DateFormat=P","Fill=—","Direction=H","UseDPDF=Y")</f>
        <v>#NAME?</v>
      </c>
      <c r="BX258" s="2" t="e">
        <f ca="1">_xll.BDH($C$253,"CFO_SEQUENTIAL_GROWTH","FY 2015","FY 2015","Currency=INR","Period=FY","BEST_FPERIOD_OVERRIDE=FY","FILING_STATUS=OR","EQY_CONSOLIDATED=Y","Sort=A","Dates=H","DateFormat=P","Fill=—","Direction=H","UseDPDF=Y")</f>
        <v>#NAME?</v>
      </c>
      <c r="BY258" s="3" t="e">
        <f ca="1">_xll.BDH($C$253,"SHORT_AND_LONG_TERM_DEBT","FY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58" s="3" t="e">
        <f ca="1">_xll.BDH($C$253,"BS_ST_BORROW","FY 2015","FY 2015","Currency=INR","Period=FY","BEST_FPERIOD_OVERRIDE=FY","FILING_STATUS=OR","EQY_CONSOLIDATED=Y","SCALING_FORMAT=MLN","Sort=A","Dates=H","DateFormat=P","Fill=—","Direction=H","UseDPDF=Y")</f>
        <v>#NAME?</v>
      </c>
      <c r="CA258" s="3" t="e">
        <f ca="1">_xll.BDH($C$253,"BS_LT_BORROW","FY 2015","FY 2015","Currency=INR","Period=FY","BEST_FPERIOD_OVERRIDE=FY","FILING_STATUS=OR","EQY_CONSOLIDATED=Y","SCALING_FORMAT=MLN","Sort=A","Dates=H","DateFormat=P","Fill=—","Direction=H","UseDPDF=Y")</f>
        <v>#NAME?</v>
      </c>
      <c r="CB258" s="2" t="e">
        <f ca="1">_xll.BDH($C$253,"TOT_DEBT_TO_EBITDA","FY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258" s="2" t="e">
        <f ca="1">_xll.BDH($C$253,"NET_DEBT_TO_EBITDA","FY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258" s="2" t="e">
        <f ca="1">_xll.BDH($C$253,"TOTAL_DEBT_TO_EBIT","FY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258" s="2" t="e">
        <f ca="1">_xll.BDH($C$253,"NET_DEBT_TO_EBIT","FY 2015","FY 2015","Currency=INR","Period=FY","BEST_FPERIOD_OVERRIDE=FY","FILING_STATUS=OR","EQY_CONSOLIDATED=Y","FA_ADJUSTED=GAAP","Sort=A","Dates=H","DateFormat=P","Fill=—","Direction=H","UseDPDF=Y")</f>
        <v>#NAME?</v>
      </c>
      <c r="CF258" s="2" t="e">
        <f ca="1">_xll.BDH($C$253,"EBITDA_TO_INTEREST_EXPN","FY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58" s="2" t="e">
        <f ca="1">_xll.BDH($C$253,"COM_EQY_TO_TOT_ASSET","FY 2015","FY 2015","Currency=INR","Period=FY","BEST_FPERIOD_OVERRIDE=FY","FILING_STATUS=OR","EQY_CONSOLIDATED=Y","Sort=A","Dates=H","DateFormat=P","Fill=—","Direction=H","UseDPDF=Y")</f>
        <v>#NAME?</v>
      </c>
      <c r="CH258" s="2" t="e">
        <f ca="1">_xll.BDH($C$253,"LT_DEBT_TO_TOT_EQY","FY 2015","FY 2015","Currency=INR","Period=FY","BEST_FPERIOD_OVERRIDE=FY","FILING_STATUS=OR","EQY_CONSOLIDATED=Y","Sort=A","Dates=H","DateFormat=P","Fill=—","Direction=H","UseDPDF=Y")</f>
        <v>#NAME?</v>
      </c>
      <c r="CI258" s="2" t="e">
        <f ca="1">_xll.BDH($C$253,"LT_DEBT_TO_TOT_CAP","FY 2015","FY 2015","Currency=INR","Period=FY","BEST_FPERIOD_OVERRIDE=FY","FILING_STATUS=OR","EQY_CONSOLIDATED=Y","Sort=A","Dates=H","DateFormat=P","Fill=—","Direction=H","UseDPDF=Y")</f>
        <v>#NAME?</v>
      </c>
      <c r="CJ258" s="2" t="e">
        <f ca="1">_xll.BDH($C$253,"LT_DEBT_TO_TOT_ASSET","FY 2015","FY 2015","Currency=INR","Period=FY","BEST_FPERIOD_OVERRIDE=FY","FILING_STATUS=OR","EQY_CONSOLIDATED=Y","Sort=A","Dates=H","DateFormat=P","Fill=—","Direction=H","UseDPDF=Y")</f>
        <v>#NAME?</v>
      </c>
      <c r="CK258" s="2" t="e">
        <f ca="1">_xll.BDH($C$253,"TOT_DEBT_TO_TOT_EQY","FY 2015","FY 2015","Currency=INR","Period=FY","BEST_FPERIOD_OVERRIDE=FY","FILING_STATUS=OR","EQY_CONSOLIDATED=Y","Sort=A","Dates=H","DateFormat=P","Fill=—","Direction=H","UseDPDF=Y")</f>
        <v>#NAME?</v>
      </c>
      <c r="CL258" s="2" t="e">
        <f ca="1">_xll.BDH($C$253,"TOT_DEBT_TO_TOT_CAP","FY 2015","FY 2015","Currency=INR","Period=FY","BEST_FPERIOD_OVERRIDE=FY","FILING_STATUS=OR","EQY_CONSOLIDATED=Y","Sort=A","Dates=H","DateFormat=P","Fill=—","Direction=H","UseDPDF=Y")</f>
        <v>#NAME?</v>
      </c>
      <c r="CM258" s="2" t="e">
        <f ca="1">_xll.BDH($C$253,"TOT_DEBT_TO_TOT_ASSET","FY 2015","FY 2015","Currency=INR","Period=FY","BEST_FPERIOD_OVERRIDE=FY","FILING_STATUS=OR","EQY_CONSOLIDATED=Y","Sort=A","Dates=H","DateFormat=P","Fill=—","Direction=H","UseDPDF=Y")</f>
        <v>#NAME?</v>
      </c>
      <c r="CN258" s="2" t="e">
        <f ca="1">_xll.BDH($C$253,"NET_DEBT_TO_SHRHLDR_EQTY","FY 2015","FY 2015","Currency=INR","Period=FY","BEST_FPERIOD_OVERRIDE=FY","FILING_STATUS=OR","EQY_CONSOLIDATED=Y","Sort=A","Dates=H","DateFormat=P","Fill=—","Direction=H","UseDPDF=Y")</f>
        <v>#NAME?</v>
      </c>
      <c r="CO258" s="2" t="e">
        <f ca="1">_xll.BDH($C$253,"NET_DEBT_%_CAPITAL","FY 2015","FY 2015","Currency=INR","Period=FY","BEST_FPERIOD_OVERRIDE=FY","FILING_STATUS=OR","EQY_CONSOLIDATED=Y","Sort=A","Dates=H","DateFormat=P","Fill=—","Direction=H","UseDPDF=Y")</f>
        <v>#NAME?</v>
      </c>
      <c r="CP258" s="3" t="e">
        <f ca="1">_xll.BDH($C$253,"EBITDA","FY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58" s="3" t="e">
        <f ca="1">_xll.BDH($C$253,"EBITDA_AFTER_CAPEX","FY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58" s="3" t="e">
        <f ca="1">_xll.BDH($C$253,"IS_OPER_INC","FY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58" s="2" t="e">
        <f ca="1">_xll.BDH($C$253,"CASH_RATIO","FY 2015","FY 2015","Currency=INR","Period=FY","BEST_FPERIOD_OVERRIDE=FY","FILING_STATUS=OR","EQY_CONSOLIDATED=Y","Sort=A","Dates=H","DateFormat=P","Fill=—","Direction=H","UseDPDF=Y")</f>
        <v>#NAME?</v>
      </c>
      <c r="CT258" s="2" t="e">
        <f ca="1">_xll.BDH($C$253,"CUR_RATIO","FY 2015","FY 2015","Currency=INR","Period=FY","BEST_FPERIOD_OVERRIDE=FY","FILING_STATUS=OR","EQY_CONSOLIDATED=Y","Sort=A","Dates=H","DateFormat=P","Fill=—","Direction=H","UseDPDF=Y")</f>
        <v>#NAME?</v>
      </c>
      <c r="CU258" s="2" t="e">
        <f ca="1">_xll.BDH($C$253,"QUICK_RATIO","FY 2015","FY 2015","Currency=INR","Period=FY","BEST_FPERIOD_OVERRIDE=FY","FILING_STATUS=OR","EQY_CONSOLIDATED=Y","Sort=A","Dates=H","DateFormat=P","Fill=—","Direction=H","UseDPDF=Y")</f>
        <v>#NAME?</v>
      </c>
      <c r="CV258" s="2" t="e">
        <f ca="1">_xll.BDH($C$253,"ALTMAN_Z_SCORE","FY 2015","FY 2015","Currency=INR","Period=FY","BEST_FPERIOD_OVERRIDE=FY","FILING_STATUS=OR","EQY_CONSOLIDATED=Y","Sort=A","Dates=H","DateFormat=P","Fill=—","Direction=H","UseDPDF=Y")</f>
        <v>#NAME?</v>
      </c>
      <c r="CW258" s="4" t="e">
        <f ca="1">_xll.BDH($C$253,"ACCT_RCV_TURN","FY 2015","FY 2015","Currency=INR","Period=FY","BEST_FPERIOD_OVERRIDE=FY","FILING_STATUS=OR","EQY_CONSOLIDATED=Y","FA_ADJUSTED=GAAP","Sort=A","Dates=H","DateFormat=P","Fill=—","Direction=H","UseDPDF=Y")</f>
        <v>#NAME?</v>
      </c>
      <c r="CX258" s="2" t="e">
        <f ca="1">_xll.BDH($C$253,"ACCT_RCV_DAYS","FY 2015","FY 2015","Currency=INR","Period=FY","BEST_FPERIOD_OVERRIDE=FY","FILING_STATUS=OR","EQY_CONSOLIDATED=Y","FA_ADJUSTED=GAAP","Sort=A","Dates=H","DateFormat=P","Fill=—","Direction=H","UseDPDF=Y")</f>
        <v>#NAME?</v>
      </c>
      <c r="CY258" s="4" t="e">
        <f ca="1">_xll.BDH($C$253,"INVENT_TURN","FY 2015","FY 2015","Currency=INR","Period=FY","BEST_FPERIOD_OVERRIDE=FY","FILING_STATUS=OR","EQY_CONSOLIDATED=Y","FA_ADJUSTED=GAAP","Sort=A","Dates=H","DateFormat=P","Fill=—","Direction=H","UseDPDF=Y")</f>
        <v>#NAME?</v>
      </c>
      <c r="CZ258" s="2" t="e">
        <f ca="1">_xll.BDH($C$253,"INVENT_DAYS","FY 2015","FY 2015","Currency=INR","Period=FY","BEST_FPERIOD_OVERRIDE=FY","FILING_STATUS=OR","EQY_CONSOLIDATED=Y","FA_ADJUSTED=GAAP","Sort=A","Dates=H","DateFormat=P","Fill=—","Direction=H","UseDPDF=Y")</f>
        <v>#NAME?</v>
      </c>
      <c r="DA258" s="4" t="e">
        <f ca="1">_xll.BDH($C$253,"ACCOUNTS_PAYABLE_TURNOVER","FY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58" s="2" t="e">
        <f ca="1">_xll.BDH($C$253,"ACCOUNTS_PAYABLE_TURNOVER_DAYS","FY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58" s="4" t="e">
        <f ca="1">_xll.BDH($C$253,"CASH_CONVERSION_CYCLE","FY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58" s="4" t="e">
        <f ca="1">_xll.BDH($C$253,"INV_TO_CASH_DAYS","FY 2015","FY 2015","Currency=INR","Period=FY","BEST_FPERIOD_OVERRIDE=FY","FILING_STATUS=OR","EQY_CONSOLIDATED=Y","FA_ADJUSTED=GAAP","Sort=A","Dates=H","DateFormat=P","Fill=—","Direction=H","UseDPDF=Y")</f>
        <v>#NAME?</v>
      </c>
      <c r="DE258" s="5" t="e">
        <f ca="1">_xll.BDH($C$253,"BS_INVENTORIES","FY 2015","FY 2015","Currency=INR","Period=FY","BEST_FPERIOD_OVERRIDE=FY","FILING_STATUS=OR","EQY_CONSOLIDATED=Y","SCALING_FORMAT=MLN","Sort=A","Dates=H","DateFormat=P","Fill=—","Direction=H","UseDPDF=Y")</f>
        <v>#NAME?</v>
      </c>
      <c r="DF258" s="3" t="e">
        <f ca="1">_xll.BDH($C$253,"INVTRY_RAW_MATERIALS","FY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58" s="3" t="e">
        <f ca="1">_xll.BDH($C$253,"INVTRY_IN_PROGRESS","FY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58" s="3" t="e">
        <f ca="1">_xll.BDH($C$253,"INVTRY_FINISHED_GOODS","FY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58" s="3" t="e">
        <f ca="1">_xll.BDH($C$253,"BS_OTHER_INV","FY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59" spans="1:113" x14ac:dyDescent="0.3">
      <c r="A259" s="6"/>
      <c r="B259" s="6"/>
      <c r="C259" s="6"/>
      <c r="D259" s="6"/>
      <c r="E259" t="s">
        <v>78</v>
      </c>
      <c r="F259" t="e">
        <f ca="1">_xll.BDH($C$253,"RETURN_COM_EQY","FQ1 2015","FQ1 2015","Currency=INR","Period=FQ","BEST_FPERIOD_OVERRIDE=FQ","FILING_STATUS=OR","EQY_CONSOLIDATED=Y","FA_ADJUSTED=GAAP","Sort=A","Dates=H","DateFormat=P","Fill=—","Direction=H","UseDPDF=Y")</f>
        <v>#NAME?</v>
      </c>
      <c r="G259" t="e">
        <f ca="1">_xll.BDH($C$253,"RETURN_ON_ASSET","FQ1 2015","FQ1 2015","Currency=INR","Period=FQ","BEST_FPERIOD_OVERRIDE=FQ","FILING_STATUS=OR","EQY_CONSOLIDATED=Y","FA_ADJUSTED=GAAP","Sort=A","Dates=H","DateFormat=P","Fill=—","Direction=H","UseDPDF=Y")</f>
        <v>#NAME?</v>
      </c>
      <c r="H259" t="e">
        <f ca="1">_xll.BDH($C$253,"RETURN_ON_CAP","FQ1 2015","FQ1 2015","Currency=INR","Period=FQ","BEST_FPERIOD_OVERRIDE=FQ","FILING_STATUS=OR","EQY_CONSOLIDATED=Y","FA_ADJUSTED=GAAP","Sort=A","Dates=H","DateFormat=P","Fill=—","Direction=H","UseDPDF=Y")</f>
        <v>#NAME?</v>
      </c>
      <c r="I259" t="e">
        <f ca="1">_xll.BDH($C$253,"RETURN_ON_INV_CAPITAL","FQ1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59" t="e">
        <f ca="1">_xll.BDH($C$253,"EBITDA_TO_REVENUE","FQ1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259" t="e">
        <f ca="1">_xll.BDH($C$253,"OPER_MARGIN","FQ1 2015","FQ1 2015","Currency=INR","Period=FQ","BEST_FPERIOD_OVERRIDE=FQ","FILING_STATUS=OR","EQY_CONSOLIDATED=Y","FA_ADJUSTED=GAAP","Sort=A","Dates=H","DateFormat=P","Fill=—","Direction=H","UseDPDF=Y")</f>
        <v>#NAME?</v>
      </c>
      <c r="L259" t="e">
        <f ca="1">_xll.BDH($C$253,"INCREMENTAL_OPERATING_MARGIN","FQ1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59" t="e">
        <f ca="1">_xll.BDH($C$253,"PRETAX_INC_TO_NET_SALES","FQ1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59" t="e">
        <f ca="1">_xll.BDH($C$253,"INC_BEF_XO_ITEMS_TO_NET_SALES","FQ1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59" t="e">
        <f ca="1">_xll.BDH($C$253,"PROF_MARGIN","FQ1 2015","FQ1 2015","Currency=INR","Period=FQ","BEST_FPERIOD_OVERRIDE=FQ","FILING_STATUS=OR","EQY_CONSOLIDATED=Y","FA_ADJUSTED=GAAP","Sort=A","Dates=H","DateFormat=P","Fill=—","Direction=H","UseDPDF=Y")</f>
        <v>#NAME?</v>
      </c>
      <c r="P259" t="e">
        <f ca="1">_xll.BDH($C$253,"NET_INCOME_TO_COMMON_MARGIN","FQ1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59" t="e">
        <f ca="1">_xll.BDH($C$253,"EFF_TAX_RATE","FQ1 2015","FQ1 2015","Currency=INR","Period=FQ","BEST_FPERIOD_OVERRIDE=FQ","FILING_STATUS=OR","EQY_CONSOLIDATED=Y","FA_ADJUSTED=GAAP","Sort=A","Dates=H","DateFormat=P","Fill=—","Direction=H","UseDPDF=Y")</f>
        <v>#NAME?</v>
      </c>
      <c r="R259" t="e">
        <f ca="1">_xll.BDH($C$253,"DVD_PAYOUT_RATIO","FQ1 2015","FQ1 2015","Currency=INR","Period=FQ","BEST_FPERIOD_OVERRIDE=FQ","FILING_STATUS=OR","EQY_CONSOLIDATED=Y","FA_ADJUSTED=GAAP","Sort=A","Dates=H","DateFormat=P","Fill=—","Direction=H","UseDPDF=Y")</f>
        <v>#NAME?</v>
      </c>
      <c r="S259" t="e">
        <f ca="1">_xll.BDH($C$253,"SUSTAIN_GROWTH_RT","FQ1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259" s="2" t="e">
        <f ca="1">_xll.BDH($C$253,"SALES_GROWTH","FQ1 2015","FQ1 2015","Currency=INR","Period=FQ","BEST_FPERIOD_OVERRIDE=FQ","FILING_STATUS=OR","EQY_CONSOLIDATED=Y","FA_ADJUSTED=GAAP","Sort=A","Dates=H","DateFormat=P","Fill=—","Direction=H","UseDPDF=Y")</f>
        <v>#NAME?</v>
      </c>
      <c r="U259" s="2" t="e">
        <f ca="1">_xll.BDH($C$253,"EBITDA_GROWTH","FQ1 2015","FQ1 2015","Currency=INR","Period=FQ","BEST_FPERIOD_OVERRIDE=FQ","FILING_STATUS=OR","EQY_CONSOLIDATED=Y","FA_ADJUSTED=GAAP","Sort=A","Dates=H","DateFormat=P","Fill=—","Direction=H","UseDPDF=Y")</f>
        <v>#NAME?</v>
      </c>
      <c r="V259" s="2" t="e">
        <f ca="1">_xll.BDH($C$253,"OPER_INC_GROWTH","FQ1 2015","FQ1 2015","Currency=INR","Period=FQ","BEST_FPERIOD_OVERRIDE=FQ","FILING_STATUS=OR","EQY_CONSOLIDATED=Y","FA_ADJUSTED=GAAP","Sort=A","Dates=H","DateFormat=P","Fill=—","Direction=H","UseDPDF=Y")</f>
        <v>#NAME?</v>
      </c>
      <c r="W259" s="2" t="e">
        <f ca="1">_xll.BDH($C$253,"EARN_FOR_COM_GROWTH","FQ1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59" s="2" t="e">
        <f ca="1">_xll.BDH($C$253,"DILUTED_EPS_AFT_XO_ITEMS_GROWTH","FQ1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59" s="2" t="e">
        <f ca="1">_xll.BDH($C$253,"DIVIDEND_PER_SHARE_1_YEAR_GROWTH","FQ1 2015","FQ1 2015","Currency=INR","Period=FQ","BEST_FPERIOD_OVERRIDE=FQ","FILING_STATUS=OR","EQY_CONSOLIDATED=Y","Sort=A","Dates=H","DateFormat=P","Fill=—","Direction=H","UseDPDF=Y")</f>
        <v>#NAME?</v>
      </c>
      <c r="Z259" s="2" t="e">
        <f ca="1">_xll.BDH($C$253,"ACCOUNTS_RECEIVABLE_GROWTH","FQ1 2015","FQ1 2015","Currency=INR","Period=FQ","BEST_FPERIOD_OVERRIDE=FQ","FILING_STATUS=OR","EQY_CONSOLIDATED=Y","Sort=A","Dates=H","DateFormat=P","Fill=—","Direction=H","UseDPDF=Y")</f>
        <v>#NAME?</v>
      </c>
      <c r="AA259" s="2" t="e">
        <f ca="1">_xll.BDH($C$253,"INVENTORY_GROWTH","FQ1 2015","FQ1 2015","Currency=INR","Period=FQ","BEST_FPERIOD_OVERRIDE=FQ","FILING_STATUS=OR","EQY_CONSOLIDATED=Y","Sort=A","Dates=H","DateFormat=P","Fill=—","Direction=H","UseDPDF=Y")</f>
        <v>#NAME?</v>
      </c>
      <c r="AB259" s="2" t="e">
        <f ca="1">_xll.BDH($C$253,"NET_FIXED_ASSETS_1_YEAR_GROWTH","FQ1 2015","FQ1 2015","Currency=INR","Period=FQ","BEST_FPERIOD_OVERRIDE=FQ","FILING_STATUS=OR","EQY_CONSOLIDATED=Y","Sort=A","Dates=H","DateFormat=P","Fill=—","Direction=H","UseDPDF=Y")</f>
        <v>#NAME?</v>
      </c>
      <c r="AC259" s="2" t="e">
        <f ca="1">_xll.BDH($C$253,"ASSET_GROWTH","FQ1 2015","FQ1 2015","Currency=INR","Period=FQ","BEST_FPERIOD_OVERRIDE=FQ","FILING_STATUS=OR","EQY_CONSOLIDATED=Y","Sort=A","Dates=H","DateFormat=P","Fill=—","Direction=H","UseDPDF=Y")</f>
        <v>#NAME?</v>
      </c>
      <c r="AD259" s="2" t="e">
        <f ca="1">_xll.BDH($C$253,"MODIFIED_WORK_CAP_GROWTH","FQ1 2015","FQ1 2015","Currency=INR","Period=FQ","BEST_FPERIOD_OVERRIDE=FQ","FILING_STATUS=OR","EQY_CONSOLIDATED=Y","Sort=A","Dates=H","DateFormat=P","Fill=—","Direction=H","UseDPDF=Y")</f>
        <v>#NAME?</v>
      </c>
      <c r="AE259" s="2" t="e">
        <f ca="1">_xll.BDH($C$253,"WORK_CAP_GROWTH","FQ1 2015","FQ1 2015","Currency=INR","Period=FQ","BEST_FPERIOD_OVERRIDE=FQ","FILING_STATUS=OR","EQY_CONSOLIDATED=Y","Sort=A","Dates=H","DateFormat=P","Fill=—","Direction=H","UseDPDF=Y")</f>
        <v>#NAME?</v>
      </c>
      <c r="AF259" s="2" t="e">
        <f ca="1">_xll.BDH($C$253,"ACCOUNTS_PAYABLE_GROWTH_1YR","FQ1 2015","FQ1 2015","Currency=INR","Period=FQ","BEST_FPERIOD_OVERRIDE=FQ","FILING_STATUS=OR","EQY_CONSOLIDATED=Y","Sort=A","Dates=H","DateFormat=P","Fill=—","Direction=H","UseDPDF=Y")</f>
        <v>#NAME?</v>
      </c>
      <c r="AG259" s="2" t="e">
        <f ca="1">_xll.BDH($C$253,"SHORT_TERM_DEBT_1_YEAR_GROWTH","FQ1 2015","FQ1 2015","Currency=INR","Period=FQ","BEST_FPERIOD_OVERRIDE=FQ","FILING_STATUS=OR","EQY_CONSOLIDATED=Y","Sort=A","Dates=H","DateFormat=P","Fill=—","Direction=H","UseDPDF=Y")</f>
        <v>#NAME?</v>
      </c>
      <c r="AH259" s="2" t="e">
        <f ca="1">_xll.BDH($C$253,"TOTAL_DEBT_1_YEAR_GROWTH","FQ1 2015","FQ1 2015","Currency=INR","Period=FQ","BEST_FPERIOD_OVERRIDE=FQ","FILING_STATUS=OR","EQY_CONSOLIDATED=Y","Sort=A","Dates=H","DateFormat=P","Fill=—","Direction=H","UseDPDF=Y")</f>
        <v>#NAME?</v>
      </c>
      <c r="AI259" s="2" t="e">
        <f ca="1">_xll.BDH($C$253,"TOTAL_EQUITY_1_YEAR_GROWTH","FQ1 2015","FQ1 2015","Currency=INR","Period=FQ","BEST_FPERIOD_OVERRIDE=FQ","FILING_STATUS=OR","EQY_CONSOLIDATED=Y","Sort=A","Dates=H","DateFormat=P","Fill=—","Direction=H","UseDPDF=Y")</f>
        <v>#NAME?</v>
      </c>
      <c r="AJ259" s="2" t="e">
        <f ca="1">_xll.BDH($C$253,"GROWTH_IN_CAP","FQ1 2015","FQ1 2015","Currency=INR","Period=FQ","BEST_FPERIOD_OVERRIDE=FQ","FILING_STATUS=OR","EQY_CONSOLIDATED=Y","Sort=A","Dates=H","DateFormat=P","Fill=—","Direction=H","UseDPDF=Y")</f>
        <v>#NAME?</v>
      </c>
      <c r="AK259" s="2" t="e">
        <f ca="1">_xll.BDH($C$253,"BVPS_GROWTH","FQ1 2015","FQ1 2015","Currency=INR","Period=FQ","BEST_FPERIOD_OVERRIDE=FQ","FILING_STATUS=OR","EQY_CONSOLIDATED=Y","Sort=A","Dates=H","DateFormat=P","Fill=—","Direction=H","UseDPDF=Y")</f>
        <v>#NAME?</v>
      </c>
      <c r="AL259" s="2" t="e">
        <f ca="1">_xll.BDH($C$253,"CASH_FLOW_GROWTH","FQ1 2015","FQ1 2015","Currency=INR","Period=FQ","BEST_FPERIOD_OVERRIDE=FQ","FILING_STATUS=OR","EQY_CONSOLIDATED=Y","Sort=A","Dates=H","DateFormat=P","Fill=—","Direction=H","UseDPDF=Y")</f>
        <v>#NAME?</v>
      </c>
      <c r="AM259" s="2" t="e">
        <f ca="1">_xll.BDH($C$253,"GEO_GROW_NET_SALES","FQ1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59" s="2" t="e">
        <f ca="1">_xll.BDH($C$253,"GEO_GROW_EBITDA","FQ1 2015","FQ1 2015","Currency=INR","Period=FQ","BEST_FPERIOD_OVERRIDE=FQ","FILING_STATUS=OR","EQY_CONSOLIDATED=Y","FA_ADJUSTED=GAAP","Sort=A","Dates=H","DateFormat=P","Fill=—","Direction=H","UseDPDF=Y")</f>
        <v>#NAME?</v>
      </c>
      <c r="AO259" s="2" t="e">
        <f ca="1">_xll.BDH($C$253,"GEO_GROW_OPER_INC","FQ1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59" s="2" t="e">
        <f ca="1">_xll.BDH($C$253,"NET_INCOME_TO_COMMON_5_YR_GROWTH","FQ1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59" s="2" t="e">
        <f ca="1">_xll.BDH($C$253,"5Y_GEO_GROWTH_DILUTED_EPS","FQ1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59" s="2" t="e">
        <f ca="1">_xll.BDH($C$253,"GEO_GROW_DVD_PER_SH","FQ1 2015","FQ1 2015","Currency=INR","Period=FQ","BEST_FPERIOD_OVERRIDE=FQ","FILING_STATUS=OR","EQY_CONSOLIDATED=Y","Sort=A","Dates=H","DateFormat=P","Fill=—","Direction=H","UseDPDF=Y")</f>
        <v>#NAME?</v>
      </c>
      <c r="AS259" s="2" t="e">
        <f ca="1">_xll.BDH($C$253,"ACCOUNTS_RECEIVABLE_5_YR_GROWTH","FQ1 2015","FQ1 2015","Currency=INR","Period=FQ","BEST_FPERIOD_OVERRIDE=FQ","FILING_STATUS=OR","EQY_CONSOLIDATED=Y","Sort=A","Dates=H","DateFormat=P","Fill=—","Direction=H","UseDPDF=Y")</f>
        <v>#NAME?</v>
      </c>
      <c r="AT259" s="2" t="e">
        <f ca="1">_xll.BDH($C$253,"INVENTORY_5_YEAR_GROWTH","FQ1 2015","FQ1 2015","Currency=INR","Period=FQ","BEST_FPERIOD_OVERRIDE=FQ","FILING_STATUS=OR","EQY_CONSOLIDATED=Y","Sort=A","Dates=H","DateFormat=P","Fill=—","Direction=H","UseDPDF=Y")</f>
        <v>#NAME?</v>
      </c>
      <c r="AU259" s="2" t="e">
        <f ca="1">_xll.BDH($C$253,"NET_FIXED_ASSETS_5_YEAR_GROWTH","FQ1 2015","FQ1 2015","Currency=INR","Period=FQ","BEST_FPERIOD_OVERRIDE=FQ","FILING_STATUS=OR","EQY_CONSOLIDATED=Y","Sort=A","Dates=H","DateFormat=P","Fill=—","Direction=H","UseDPDF=Y")</f>
        <v>#NAME?</v>
      </c>
      <c r="AV259" s="2" t="e">
        <f ca="1">_xll.BDH($C$253,"GEO_GROW_TOT_ASSET","FQ1 2015","FQ1 2015","Currency=INR","Period=FQ","BEST_FPERIOD_OVERRIDE=FQ","FILING_STATUS=OR","EQY_CONSOLIDATED=Y","Sort=A","Dates=H","DateFormat=P","Fill=—","Direction=H","UseDPDF=Y")</f>
        <v>#NAME?</v>
      </c>
      <c r="AW259" s="2" t="e">
        <f ca="1">_xll.BDH($C$253,"MODIFIED_WORKING_CPTL_5YR_GRWTH","FQ1 2015","FQ1 2015","Currency=INR","Period=FQ","BEST_FPERIOD_OVERRIDE=FQ","FILING_STATUS=OR","EQY_CONSOLIDATED=Y","Sort=A","Dates=H","DateFormat=P","Fill=—","Direction=H","UseDPDF=Y")</f>
        <v>#NAME?</v>
      </c>
      <c r="AX259" s="2" t="e">
        <f ca="1">_xll.BDH($C$253,"WORKING_CAPITAL_5_YEAR_GROWTH","FQ1 2015","FQ1 2015","Currency=INR","Period=FQ","BEST_FPERIOD_OVERRIDE=FQ","FILING_STATUS=OR","EQY_CONSOLIDATED=Y","Sort=A","Dates=H","DateFormat=P","Fill=—","Direction=H","UseDPDF=Y")</f>
        <v>#NAME?</v>
      </c>
      <c r="AY259" s="2" t="e">
        <f ca="1">_xll.BDH($C$253,"ACCOUNTS_PAYABLE_5_YEAR_GROWTH","FQ1 2015","FQ1 2015","Currency=INR","Period=FQ","BEST_FPERIOD_OVERRIDE=FQ","FILING_STATUS=OR","EQY_CONSOLIDATED=Y","Sort=A","Dates=H","DateFormat=P","Fill=—","Direction=H","UseDPDF=Y")</f>
        <v>#NAME?</v>
      </c>
      <c r="AZ259" s="2" t="e">
        <f ca="1">_xll.BDH($C$253,"SHORT_TERM_DEBT_5_YEAR_GROWTH","FQ1 2015","FQ1 2015","Currency=INR","Period=FQ","BEST_FPERIOD_OVERRIDE=FQ","FILING_STATUS=OR","EQY_CONSOLIDATED=Y","Sort=A","Dates=H","DateFormat=P","Fill=—","Direction=H","UseDPDF=Y")</f>
        <v>#NAME?</v>
      </c>
      <c r="BA259" s="2" t="e">
        <f ca="1">_xll.BDH($C$253,"TOTAL_DEBT_5_YEAR_GROWTH","FQ1 2015","FQ1 2015","Currency=INR","Period=FQ","BEST_FPERIOD_OVERRIDE=FQ","FILING_STATUS=OR","EQY_CONSOLIDATED=Y","Sort=A","Dates=H","DateFormat=P","Fill=—","Direction=H","UseDPDF=Y")</f>
        <v>#NAME?</v>
      </c>
      <c r="BB259" s="2" t="e">
        <f ca="1">_xll.BDH($C$253,"GEO_GROW_TOT_SHRHLDR_EQY","FQ1 2015","FQ1 2015","Currency=INR","Period=FQ","BEST_FPERIOD_OVERRIDE=FQ","FILING_STATUS=OR","EQY_CONSOLIDATED=Y","Sort=A","Dates=H","DateFormat=P","Fill=—","Direction=H","UseDPDF=Y")</f>
        <v>#NAME?</v>
      </c>
      <c r="BC259" s="2" t="e">
        <f ca="1">_xll.BDH($C$253,"TOTAL_CAPITAL_5_YEAR_GROWTH","FQ1 2015","FQ1 2015","Currency=INR","Period=FQ","BEST_FPERIOD_OVERRIDE=FQ","FILING_STATUS=OR","EQY_CONSOLIDATED=Y","Sort=A","Dates=H","DateFormat=P","Fill=—","Direction=H","UseDPDF=Y")</f>
        <v>#NAME?</v>
      </c>
      <c r="BD259" s="2" t="e">
        <f ca="1">_xll.BDH($C$253,"GEO_GROW_BOOK_VAL","FQ1 2015","FQ1 2015","Currency=INR","Period=FQ","BEST_FPERIOD_OVERRIDE=FQ","FILING_STATUS=OR","EQY_CONSOLIDATED=Y","Sort=A","Dates=H","DateFormat=P","Fill=—","Direction=H","UseDPDF=Y")</f>
        <v>#NAME?</v>
      </c>
      <c r="BE259" s="2" t="e">
        <f ca="1">_xll.BDH($C$253,"GEO_GROW_CASH_OPER_ACT","FQ1 2015","FQ1 2015","Currency=INR","Period=FQ","BEST_FPERIOD_OVERRIDE=FQ","FILING_STATUS=OR","EQY_CONSOLIDATED=Y","Sort=A","Dates=H","DateFormat=P","Fill=—","Direction=H","UseDPDF=Y")</f>
        <v>#NAME?</v>
      </c>
      <c r="BF259" s="2" t="e">
        <f ca="1">_xll.BDH($C$253,"REVENUE_SEQUENTIAL_GROWTH","FQ1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59" s="2" t="e">
        <f ca="1">_xll.BDH($C$253,"EBITDA_SEQUENTIAL_GROWTH","FQ1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59" s="2" t="e">
        <f ca="1">_xll.BDH($C$253,"OPERATING_INCOME_SEQ_GROWTH","FQ1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59" s="2" t="e">
        <f ca="1">_xll.BDH($C$253,"NET_INCOME_TO_COMMON_SEQ_GROWTH","FQ1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59" s="2" t="e">
        <f ca="1">_xll.BDH($C$253,"EPS_DILUTED_SEQUENTIAL_GROWTH","FQ1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59" s="2" t="e">
        <f ca="1">_xll.BDH($C$253,"DPS_SEQUENTIAL_GROWTH","FQ1 2015","FQ1 2015","Currency=INR","Period=FQ","BEST_FPERIOD_OVERRIDE=FQ","FILING_STATUS=OR","EQY_CONSOLIDATED=Y","Sort=A","Dates=H","DateFormat=P","Fill=—","Direction=H","UseDPDF=Y")</f>
        <v>#NAME?</v>
      </c>
      <c r="BL259" s="2" t="e">
        <f ca="1">_xll.BDH($C$253,"ACCOUNTS_RECEIVABLE_SEQ_GROWTH","FQ1 2015","FQ1 2015","Currency=INR","Period=FQ","BEST_FPERIOD_OVERRIDE=FQ","FILING_STATUS=OR","EQY_CONSOLIDATED=Y","Sort=A","Dates=H","DateFormat=P","Fill=—","Direction=H","UseDPDF=Y")</f>
        <v>#NAME?</v>
      </c>
      <c r="BM259" s="2" t="e">
        <f ca="1">_xll.BDH($C$253,"INVENTORY_SEQUENTIAL_GROWTH","FQ1 2015","FQ1 2015","Currency=INR","Period=FQ","BEST_FPERIOD_OVERRIDE=FQ","FILING_STATUS=OR","EQY_CONSOLIDATED=Y","Sort=A","Dates=H","DateFormat=P","Fill=—","Direction=H","UseDPDF=Y")</f>
        <v>#NAME?</v>
      </c>
      <c r="BN259" s="2" t="e">
        <f ca="1">_xll.BDH($C$253,"FIXED_ASSETS_SEQUENTIAL_GROWTH","FQ1 2015","FQ1 2015","Currency=INR","Period=FQ","BEST_FPERIOD_OVERRIDE=FQ","FILING_STATUS=OR","EQY_CONSOLIDATED=Y","Sort=A","Dates=H","DateFormat=P","Fill=—","Direction=H","UseDPDF=Y")</f>
        <v>#NAME?</v>
      </c>
      <c r="BO259" s="2" t="e">
        <f ca="1">_xll.BDH($C$253,"TOTAL_ASSETS_SEQUENTIAL_GROWTH","FQ1 2015","FQ1 2015","Currency=INR","Period=FQ","BEST_FPERIOD_OVERRIDE=FQ","FILING_STATUS=OR","EQY_CONSOLIDATED=Y","Sort=A","Dates=H","DateFormat=P","Fill=—","Direction=H","UseDPDF=Y")</f>
        <v>#NAME?</v>
      </c>
      <c r="BP259" s="2" t="e">
        <f ca="1">_xll.BDH($C$253,"MODIFIED_WORKING_CPTL_SEQ_GRWTH","FQ1 2015","FQ1 2015","Currency=INR","Period=FQ","BEST_FPERIOD_OVERRIDE=FQ","FILING_STATUS=OR","EQY_CONSOLIDATED=Y","Sort=A","Dates=H","DateFormat=P","Fill=—","Direction=H","UseDPDF=Y")</f>
        <v>#NAME?</v>
      </c>
      <c r="BQ259" s="2" t="e">
        <f ca="1">_xll.BDH($C$253,"WORKING_CAPITAL_SEQ_GROWTH","FQ1 2015","FQ1 2015","Currency=INR","Period=FQ","BEST_FPERIOD_OVERRIDE=FQ","FILING_STATUS=OR","EQY_CONSOLIDATED=Y","Sort=A","Dates=H","DateFormat=P","Fill=—","Direction=H","UseDPDF=Y")</f>
        <v>#NAME?</v>
      </c>
      <c r="BR259" s="2" t="e">
        <f ca="1">_xll.BDH($C$253,"ACCOUNTS_PAYABLE_SEQ_GROWTH","FQ1 2015","FQ1 2015","Currency=INR","Period=FQ","BEST_FPERIOD_OVERRIDE=FQ","FILING_STATUS=OR","EQY_CONSOLIDATED=Y","Sort=A","Dates=H","DateFormat=P","Fill=—","Direction=H","UseDPDF=Y")</f>
        <v>#NAME?</v>
      </c>
      <c r="BS259" s="2" t="e">
        <f ca="1">_xll.BDH($C$253,"ST_DEBT_SEQUENTIAL_GROWTH","FQ1 2015","FQ1 2015","Currency=INR","Period=FQ","BEST_FPERIOD_OVERRIDE=FQ","FILING_STATUS=OR","EQY_CONSOLIDATED=Y","Sort=A","Dates=H","DateFormat=P","Fill=—","Direction=H","UseDPDF=Y")</f>
        <v>#NAME?</v>
      </c>
      <c r="BT259" s="2" t="e">
        <f ca="1">_xll.BDH($C$253,"TOTAL_DEBT_SEQUENTIAL_GROWTH","FQ1 2015","FQ1 2015","Currency=INR","Period=FQ","BEST_FPERIOD_OVERRIDE=FQ","FILING_STATUS=OR","EQY_CONSOLIDATED=Y","Sort=A","Dates=H","DateFormat=P","Fill=—","Direction=H","UseDPDF=Y")</f>
        <v>#NAME?</v>
      </c>
      <c r="BU259" s="2" t="e">
        <f ca="1">_xll.BDH($C$253,"TOTAL_EQUITY_SEQUENTIAL_GROWTH","FQ1 2015","FQ1 2015","Currency=INR","Period=FQ","BEST_FPERIOD_OVERRIDE=FQ","FILING_STATUS=OR","EQY_CONSOLIDATED=Y","Sort=A","Dates=H","DateFormat=P","Fill=—","Direction=H","UseDPDF=Y")</f>
        <v>#NAME?</v>
      </c>
      <c r="BV259" s="2" t="e">
        <f ca="1">_xll.BDH($C$253,"TOTAL_CAPITAL_SEQUENTIAL_GROWTH","FQ1 2015","FQ1 2015","Currency=INR","Period=FQ","BEST_FPERIOD_OVERRIDE=FQ","FILING_STATUS=OR","EQY_CONSOLIDATED=Y","Sort=A","Dates=H","DateFormat=P","Fill=—","Direction=H","UseDPDF=Y")</f>
        <v>#NAME?</v>
      </c>
      <c r="BW259" s="2" t="e">
        <f ca="1">_xll.BDH($C$253,"BPS_SEQUENTIAL_GROWTH","FQ1 2015","FQ1 2015","Currency=INR","Period=FQ","BEST_FPERIOD_OVERRIDE=FQ","FILING_STATUS=OR","EQY_CONSOLIDATED=Y","Sort=A","Dates=H","DateFormat=P","Fill=—","Direction=H","UseDPDF=Y")</f>
        <v>#NAME?</v>
      </c>
      <c r="BX259" s="2" t="e">
        <f ca="1">_xll.BDH($C$253,"CFO_SEQUENTIAL_GROWTH","FQ1 2015","FQ1 2015","Currency=INR","Period=FQ","BEST_FPERIOD_OVERRIDE=FQ","FILING_STATUS=OR","EQY_CONSOLIDATED=Y","Sort=A","Dates=H","DateFormat=P","Fill=—","Direction=H","UseDPDF=Y")</f>
        <v>#NAME?</v>
      </c>
      <c r="BY259" s="3" t="e">
        <f ca="1">_xll.BDH($C$253,"SHORT_AND_LONG_TERM_DEBT","FQ1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59" s="3" t="e">
        <f ca="1">_xll.BDH($C$253,"BS_ST_BORROW","FQ1 2015","FQ1 2015","Currency=INR","Period=FQ","BEST_FPERIOD_OVERRIDE=FQ","FILING_STATUS=OR","EQY_CONSOLIDATED=Y","SCALING_FORMAT=MLN","Sort=A","Dates=H","DateFormat=P","Fill=—","Direction=H","UseDPDF=Y")</f>
        <v>#NAME?</v>
      </c>
      <c r="CA259" s="3" t="e">
        <f ca="1">_xll.BDH($C$253,"BS_LT_BORROW","FQ1 2015","FQ1 2015","Currency=INR","Period=FQ","BEST_FPERIOD_OVERRIDE=FQ","FILING_STATUS=OR","EQY_CONSOLIDATED=Y","SCALING_FORMAT=MLN","Sort=A","Dates=H","DateFormat=P","Fill=—","Direction=H","UseDPDF=Y")</f>
        <v>#NAME?</v>
      </c>
      <c r="CB259" s="2" t="e">
        <f ca="1">_xll.BDH($C$253,"TOT_DEBT_TO_EBITDA","FQ1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59" s="2" t="e">
        <f ca="1">_xll.BDH($C$253,"NET_DEBT_TO_EBITDA","FQ1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59" s="2" t="e">
        <f ca="1">_xll.BDH($C$253,"TOTAL_DEBT_TO_EBIT","FQ1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59" s="2" t="e">
        <f ca="1">_xll.BDH($C$253,"NET_DEBT_TO_EBIT","FQ1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259" s="2" t="e">
        <f ca="1">_xll.BDH($C$253,"EBITDA_TO_INTEREST_EXPN","FQ1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59" s="2" t="e">
        <f ca="1">_xll.BDH($C$253,"COM_EQY_TO_TOT_ASSET","FQ1 2015","FQ1 2015","Currency=INR","Period=FQ","BEST_FPERIOD_OVERRIDE=FQ","FILING_STATUS=OR","EQY_CONSOLIDATED=Y","Sort=A","Dates=H","DateFormat=P","Fill=—","Direction=H","UseDPDF=Y")</f>
        <v>#NAME?</v>
      </c>
      <c r="CH259" s="2" t="e">
        <f ca="1">_xll.BDH($C$253,"LT_DEBT_TO_TOT_EQY","FQ1 2015","FQ1 2015","Currency=INR","Period=FQ","BEST_FPERIOD_OVERRIDE=FQ","FILING_STATUS=OR","EQY_CONSOLIDATED=Y","Sort=A","Dates=H","DateFormat=P","Fill=—","Direction=H","UseDPDF=Y")</f>
        <v>#NAME?</v>
      </c>
      <c r="CI259" s="2" t="e">
        <f ca="1">_xll.BDH($C$253,"LT_DEBT_TO_TOT_CAP","FQ1 2015","FQ1 2015","Currency=INR","Period=FQ","BEST_FPERIOD_OVERRIDE=FQ","FILING_STATUS=OR","EQY_CONSOLIDATED=Y","Sort=A","Dates=H","DateFormat=P","Fill=—","Direction=H","UseDPDF=Y")</f>
        <v>#NAME?</v>
      </c>
      <c r="CJ259" s="2" t="e">
        <f ca="1">_xll.BDH($C$253,"LT_DEBT_TO_TOT_ASSET","FQ1 2015","FQ1 2015","Currency=INR","Period=FQ","BEST_FPERIOD_OVERRIDE=FQ","FILING_STATUS=OR","EQY_CONSOLIDATED=Y","Sort=A","Dates=H","DateFormat=P","Fill=—","Direction=H","UseDPDF=Y")</f>
        <v>#NAME?</v>
      </c>
      <c r="CK259" s="2" t="e">
        <f ca="1">_xll.BDH($C$253,"TOT_DEBT_TO_TOT_EQY","FQ1 2015","FQ1 2015","Currency=INR","Period=FQ","BEST_FPERIOD_OVERRIDE=FQ","FILING_STATUS=OR","EQY_CONSOLIDATED=Y","Sort=A","Dates=H","DateFormat=P","Fill=—","Direction=H","UseDPDF=Y")</f>
        <v>#NAME?</v>
      </c>
      <c r="CL259" s="2" t="e">
        <f ca="1">_xll.BDH($C$253,"TOT_DEBT_TO_TOT_CAP","FQ1 2015","FQ1 2015","Currency=INR","Period=FQ","BEST_FPERIOD_OVERRIDE=FQ","FILING_STATUS=OR","EQY_CONSOLIDATED=Y","Sort=A","Dates=H","DateFormat=P","Fill=—","Direction=H","UseDPDF=Y")</f>
        <v>#NAME?</v>
      </c>
      <c r="CM259" s="2" t="e">
        <f ca="1">_xll.BDH($C$253,"TOT_DEBT_TO_TOT_ASSET","FQ1 2015","FQ1 2015","Currency=INR","Period=FQ","BEST_FPERIOD_OVERRIDE=FQ","FILING_STATUS=OR","EQY_CONSOLIDATED=Y","Sort=A","Dates=H","DateFormat=P","Fill=—","Direction=H","UseDPDF=Y")</f>
        <v>#NAME?</v>
      </c>
      <c r="CN259" s="2" t="e">
        <f ca="1">_xll.BDH($C$253,"NET_DEBT_TO_SHRHLDR_EQTY","FQ1 2015","FQ1 2015","Currency=INR","Period=FQ","BEST_FPERIOD_OVERRIDE=FQ","FILING_STATUS=OR","EQY_CONSOLIDATED=Y","Sort=A","Dates=H","DateFormat=P","Fill=—","Direction=H","UseDPDF=Y")</f>
        <v>#NAME?</v>
      </c>
      <c r="CO259" s="2" t="e">
        <f ca="1">_xll.BDH($C$253,"NET_DEBT_%_CAPITAL","FQ1 2015","FQ1 2015","Currency=INR","Period=FQ","BEST_FPERIOD_OVERRIDE=FQ","FILING_STATUS=OR","EQY_CONSOLIDATED=Y","Sort=A","Dates=H","DateFormat=P","Fill=—","Direction=H","UseDPDF=Y")</f>
        <v>#NAME?</v>
      </c>
      <c r="CP259" s="3" t="e">
        <f ca="1">_xll.BDH($C$253,"EBITDA","FQ1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59" s="3" t="e">
        <f ca="1">_xll.BDH($C$253,"EBITDA_AFTER_CAPEX","FQ1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59" s="3" t="e">
        <f ca="1">_xll.BDH($C$253,"IS_OPER_INC","FQ1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59" s="2" t="e">
        <f ca="1">_xll.BDH($C$253,"CASH_RATIO","FQ1 2015","FQ1 2015","Currency=INR","Period=FQ","BEST_FPERIOD_OVERRIDE=FQ","FILING_STATUS=OR","EQY_CONSOLIDATED=Y","Sort=A","Dates=H","DateFormat=P","Fill=—","Direction=H","UseDPDF=Y")</f>
        <v>#NAME?</v>
      </c>
      <c r="CT259" s="2" t="e">
        <f ca="1">_xll.BDH($C$253,"CUR_RATIO","FQ1 2015","FQ1 2015","Currency=INR","Period=FQ","BEST_FPERIOD_OVERRIDE=FQ","FILING_STATUS=OR","EQY_CONSOLIDATED=Y","Sort=A","Dates=H","DateFormat=P","Fill=—","Direction=H","UseDPDF=Y")</f>
        <v>#NAME?</v>
      </c>
      <c r="CU259" s="2" t="e">
        <f ca="1">_xll.BDH($C$253,"QUICK_RATIO","FQ1 2015","FQ1 2015","Currency=INR","Period=FQ","BEST_FPERIOD_OVERRIDE=FQ","FILING_STATUS=OR","EQY_CONSOLIDATED=Y","Sort=A","Dates=H","DateFormat=P","Fill=—","Direction=H","UseDPDF=Y")</f>
        <v>#NAME?</v>
      </c>
      <c r="CV259" s="2" t="e">
        <f ca="1">_xll.BDH($C$253,"ALTMAN_Z_SCORE","FQ1 2015","FQ1 2015","Currency=INR","Period=FQ","BEST_FPERIOD_OVERRIDE=FQ","FILING_STATUS=OR","EQY_CONSOLIDATED=Y","Sort=A","Dates=H","DateFormat=P","Fill=—","Direction=H","UseDPDF=Y")</f>
        <v>#NAME?</v>
      </c>
      <c r="CW259" s="4" t="e">
        <f ca="1">_xll.BDH($C$253,"ACCT_RCV_TURN","FQ1 2015","FQ1 2015","Currency=INR","Period=FQ","BEST_FPERIOD_OVERRIDE=FQ","FILING_STATUS=OR","EQY_CONSOLIDATED=Y","FA_ADJUSTED=GAAP","Sort=A","Dates=H","DateFormat=P","Fill=—","Direction=H","UseDPDF=Y")</f>
        <v>#NAME?</v>
      </c>
      <c r="CX259" s="2" t="e">
        <f ca="1">_xll.BDH($C$253,"ACCT_RCV_DAYS","FQ1 2015","FQ1 2015","Currency=INR","Period=FQ","BEST_FPERIOD_OVERRIDE=FQ","FILING_STATUS=OR","EQY_CONSOLIDATED=Y","FA_ADJUSTED=GAAP","Sort=A","Dates=H","DateFormat=P","Fill=—","Direction=H","UseDPDF=Y")</f>
        <v>#NAME?</v>
      </c>
      <c r="CY259" s="4" t="e">
        <f ca="1">_xll.BDH($C$253,"INVENT_TURN","FQ1 2015","FQ1 2015","Currency=INR","Period=FQ","BEST_FPERIOD_OVERRIDE=FQ","FILING_STATUS=OR","EQY_CONSOLIDATED=Y","FA_ADJUSTED=GAAP","Sort=A","Dates=H","DateFormat=P","Fill=—","Direction=H","UseDPDF=Y")</f>
        <v>#NAME?</v>
      </c>
      <c r="CZ259" s="2" t="e">
        <f ca="1">_xll.BDH($C$253,"INVENT_DAYS","FQ1 2015","FQ1 2015","Currency=INR","Period=FQ","BEST_FPERIOD_OVERRIDE=FQ","FILING_STATUS=OR","EQY_CONSOLIDATED=Y","FA_ADJUSTED=GAAP","Sort=A","Dates=H","DateFormat=P","Fill=—","Direction=H","UseDPDF=Y")</f>
        <v>#NAME?</v>
      </c>
      <c r="DA259" s="4" t="e">
        <f ca="1">_xll.BDH($C$253,"ACCOUNTS_PAYABLE_TURNOVER","FQ1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59" s="2" t="e">
        <f ca="1">_xll.BDH($C$253,"ACCOUNTS_PAYABLE_TURNOVER_DAYS","FQ1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59" s="4" t="e">
        <f ca="1">_xll.BDH($C$253,"CASH_CONVERSION_CYCLE","FQ1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59" s="4" t="e">
        <f ca="1">_xll.BDH($C$253,"INV_TO_CASH_DAYS","FQ1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259" s="5" t="e">
        <f ca="1">_xll.BDH($C$253,"BS_INVENTORIES","FQ1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259" s="3" t="e">
        <f ca="1">_xll.BDH($C$253,"INVTRY_RAW_MATERIALS","FQ1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59" s="3" t="e">
        <f ca="1">_xll.BDH($C$253,"INVTRY_IN_PROGRESS","FQ1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59" s="3" t="e">
        <f ca="1">_xll.BDH($C$253,"INVTRY_FINISHED_GOODS","FQ1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59" s="3" t="e">
        <f ca="1">_xll.BDH($C$253,"BS_OTHER_INV","FQ1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60" spans="1:113" x14ac:dyDescent="0.3">
      <c r="A260" s="6"/>
      <c r="B260" s="6"/>
      <c r="C260" s="6"/>
      <c r="D260" s="6"/>
      <c r="E260" t="s">
        <v>79</v>
      </c>
      <c r="F260" t="e">
        <f ca="1">_xll.BDH($C$253,"RETURN_COM_EQY","FQ2 2015","FQ2 2015","Currency=INR","Period=FQ","BEST_FPERIOD_OVERRIDE=FQ","FILING_STATUS=OR","EQY_CONSOLIDATED=Y","FA_ADJUSTED=GAAP","Sort=A","Dates=H","DateFormat=P","Fill=—","Direction=H","UseDPDF=Y")</f>
        <v>#NAME?</v>
      </c>
      <c r="G260" t="e">
        <f ca="1">_xll.BDH($C$253,"RETURN_ON_ASSET","FQ2 2015","FQ2 2015","Currency=INR","Period=FQ","BEST_FPERIOD_OVERRIDE=FQ","FILING_STATUS=OR","EQY_CONSOLIDATED=Y","FA_ADJUSTED=GAAP","Sort=A","Dates=H","DateFormat=P","Fill=—","Direction=H","UseDPDF=Y")</f>
        <v>#NAME?</v>
      </c>
      <c r="H260" t="e">
        <f ca="1">_xll.BDH($C$253,"RETURN_ON_CAP","FQ2 2015","FQ2 2015","Currency=INR","Period=FQ","BEST_FPERIOD_OVERRIDE=FQ","FILING_STATUS=OR","EQY_CONSOLIDATED=Y","FA_ADJUSTED=GAAP","Sort=A","Dates=H","DateFormat=P","Fill=—","Direction=H","UseDPDF=Y")</f>
        <v>#NAME?</v>
      </c>
      <c r="I260" t="e">
        <f ca="1">_xll.BDH($C$253,"RETURN_ON_INV_CAPITAL","FQ2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60" t="e">
        <f ca="1">_xll.BDH($C$253,"EBITDA_TO_REVENUE","FQ2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260" t="e">
        <f ca="1">_xll.BDH($C$253,"OPER_MARGIN","FQ2 2015","FQ2 2015","Currency=INR","Period=FQ","BEST_FPERIOD_OVERRIDE=FQ","FILING_STATUS=OR","EQY_CONSOLIDATED=Y","FA_ADJUSTED=GAAP","Sort=A","Dates=H","DateFormat=P","Fill=—","Direction=H","UseDPDF=Y")</f>
        <v>#NAME?</v>
      </c>
      <c r="L260" t="e">
        <f ca="1">_xll.BDH($C$253,"INCREMENTAL_OPERATING_MARGIN","FQ2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60" t="e">
        <f ca="1">_xll.BDH($C$253,"PRETAX_INC_TO_NET_SALES","FQ2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60" t="e">
        <f ca="1">_xll.BDH($C$253,"INC_BEF_XO_ITEMS_TO_NET_SALES","FQ2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60" t="e">
        <f ca="1">_xll.BDH($C$253,"PROF_MARGIN","FQ2 2015","FQ2 2015","Currency=INR","Period=FQ","BEST_FPERIOD_OVERRIDE=FQ","FILING_STATUS=OR","EQY_CONSOLIDATED=Y","FA_ADJUSTED=GAAP","Sort=A","Dates=H","DateFormat=P","Fill=—","Direction=H","UseDPDF=Y")</f>
        <v>#NAME?</v>
      </c>
      <c r="P260" t="e">
        <f ca="1">_xll.BDH($C$253,"NET_INCOME_TO_COMMON_MARGIN","FQ2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60" t="e">
        <f ca="1">_xll.BDH($C$253,"EFF_TAX_RATE","FQ2 2015","FQ2 2015","Currency=INR","Period=FQ","BEST_FPERIOD_OVERRIDE=FQ","FILING_STATUS=OR","EQY_CONSOLIDATED=Y","FA_ADJUSTED=GAAP","Sort=A","Dates=H","DateFormat=P","Fill=—","Direction=H","UseDPDF=Y")</f>
        <v>#NAME?</v>
      </c>
      <c r="R260" t="e">
        <f ca="1">_xll.BDH($C$253,"DVD_PAYOUT_RATIO","FQ2 2015","FQ2 2015","Currency=INR","Period=FQ","BEST_FPERIOD_OVERRIDE=FQ","FILING_STATUS=OR","EQY_CONSOLIDATED=Y","FA_ADJUSTED=GAAP","Sort=A","Dates=H","DateFormat=P","Fill=—","Direction=H","UseDPDF=Y")</f>
        <v>#NAME?</v>
      </c>
      <c r="S260" t="e">
        <f ca="1">_xll.BDH($C$253,"SUSTAIN_GROWTH_RT","FQ2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260" s="2" t="e">
        <f ca="1">_xll.BDH($C$253,"SALES_GROWTH","FQ2 2015","FQ2 2015","Currency=INR","Period=FQ","BEST_FPERIOD_OVERRIDE=FQ","FILING_STATUS=OR","EQY_CONSOLIDATED=Y","FA_ADJUSTED=GAAP","Sort=A","Dates=H","DateFormat=P","Fill=—","Direction=H","UseDPDF=Y")</f>
        <v>#NAME?</v>
      </c>
      <c r="U260" s="2" t="e">
        <f ca="1">_xll.BDH($C$253,"EBITDA_GROWTH","FQ2 2015","FQ2 2015","Currency=INR","Period=FQ","BEST_FPERIOD_OVERRIDE=FQ","FILING_STATUS=OR","EQY_CONSOLIDATED=Y","FA_ADJUSTED=GAAP","Sort=A","Dates=H","DateFormat=P","Fill=—","Direction=H","UseDPDF=Y")</f>
        <v>#NAME?</v>
      </c>
      <c r="V260" s="2" t="e">
        <f ca="1">_xll.BDH($C$253,"OPER_INC_GROWTH","FQ2 2015","FQ2 2015","Currency=INR","Period=FQ","BEST_FPERIOD_OVERRIDE=FQ","FILING_STATUS=OR","EQY_CONSOLIDATED=Y","FA_ADJUSTED=GAAP","Sort=A","Dates=H","DateFormat=P","Fill=—","Direction=H","UseDPDF=Y")</f>
        <v>#NAME?</v>
      </c>
      <c r="W260" s="2" t="e">
        <f ca="1">_xll.BDH($C$253,"EARN_FOR_COM_GROWTH","FQ2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60" s="2" t="e">
        <f ca="1">_xll.BDH($C$253,"DILUTED_EPS_AFT_XO_ITEMS_GROWTH","FQ2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60" s="2" t="e">
        <f ca="1">_xll.BDH($C$253,"DIVIDEND_PER_SHARE_1_YEAR_GROWTH","FQ2 2015","FQ2 2015","Currency=INR","Period=FQ","BEST_FPERIOD_OVERRIDE=FQ","FILING_STATUS=OR","EQY_CONSOLIDATED=Y","Sort=A","Dates=H","DateFormat=P","Fill=—","Direction=H","UseDPDF=Y")</f>
        <v>#NAME?</v>
      </c>
      <c r="Z260" s="2" t="e">
        <f ca="1">_xll.BDH($C$253,"ACCOUNTS_RECEIVABLE_GROWTH","FQ2 2015","FQ2 2015","Currency=INR","Period=FQ","BEST_FPERIOD_OVERRIDE=FQ","FILING_STATUS=OR","EQY_CONSOLIDATED=Y","Sort=A","Dates=H","DateFormat=P","Fill=—","Direction=H","UseDPDF=Y")</f>
        <v>#NAME?</v>
      </c>
      <c r="AA260" s="2" t="e">
        <f ca="1">_xll.BDH($C$253,"INVENTORY_GROWTH","FQ2 2015","FQ2 2015","Currency=INR","Period=FQ","BEST_FPERIOD_OVERRIDE=FQ","FILING_STATUS=OR","EQY_CONSOLIDATED=Y","Sort=A","Dates=H","DateFormat=P","Fill=—","Direction=H","UseDPDF=Y")</f>
        <v>#NAME?</v>
      </c>
      <c r="AB260" s="2" t="e">
        <f ca="1">_xll.BDH($C$253,"NET_FIXED_ASSETS_1_YEAR_GROWTH","FQ2 2015","FQ2 2015","Currency=INR","Period=FQ","BEST_FPERIOD_OVERRIDE=FQ","FILING_STATUS=OR","EQY_CONSOLIDATED=Y","Sort=A","Dates=H","DateFormat=P","Fill=—","Direction=H","UseDPDF=Y")</f>
        <v>#NAME?</v>
      </c>
      <c r="AC260" s="2" t="e">
        <f ca="1">_xll.BDH($C$253,"ASSET_GROWTH","FQ2 2015","FQ2 2015","Currency=INR","Period=FQ","BEST_FPERIOD_OVERRIDE=FQ","FILING_STATUS=OR","EQY_CONSOLIDATED=Y","Sort=A","Dates=H","DateFormat=P","Fill=—","Direction=H","UseDPDF=Y")</f>
        <v>#NAME?</v>
      </c>
      <c r="AD260" s="2" t="e">
        <f ca="1">_xll.BDH($C$253,"MODIFIED_WORK_CAP_GROWTH","FQ2 2015","FQ2 2015","Currency=INR","Period=FQ","BEST_FPERIOD_OVERRIDE=FQ","FILING_STATUS=OR","EQY_CONSOLIDATED=Y","Sort=A","Dates=H","DateFormat=P","Fill=—","Direction=H","UseDPDF=Y")</f>
        <v>#NAME?</v>
      </c>
      <c r="AE260" s="2" t="e">
        <f ca="1">_xll.BDH($C$253,"WORK_CAP_GROWTH","FQ2 2015","FQ2 2015","Currency=INR","Period=FQ","BEST_FPERIOD_OVERRIDE=FQ","FILING_STATUS=OR","EQY_CONSOLIDATED=Y","Sort=A","Dates=H","DateFormat=P","Fill=—","Direction=H","UseDPDF=Y")</f>
        <v>#NAME?</v>
      </c>
      <c r="AF260" s="2" t="e">
        <f ca="1">_xll.BDH($C$253,"ACCOUNTS_PAYABLE_GROWTH_1YR","FQ2 2015","FQ2 2015","Currency=INR","Period=FQ","BEST_FPERIOD_OVERRIDE=FQ","FILING_STATUS=OR","EQY_CONSOLIDATED=Y","Sort=A","Dates=H","DateFormat=P","Fill=—","Direction=H","UseDPDF=Y")</f>
        <v>#NAME?</v>
      </c>
      <c r="AG260" s="2" t="e">
        <f ca="1">_xll.BDH($C$253,"SHORT_TERM_DEBT_1_YEAR_GROWTH","FQ2 2015","FQ2 2015","Currency=INR","Period=FQ","BEST_FPERIOD_OVERRIDE=FQ","FILING_STATUS=OR","EQY_CONSOLIDATED=Y","Sort=A","Dates=H","DateFormat=P","Fill=—","Direction=H","UseDPDF=Y")</f>
        <v>#NAME?</v>
      </c>
      <c r="AH260" s="2" t="e">
        <f ca="1">_xll.BDH($C$253,"TOTAL_DEBT_1_YEAR_GROWTH","FQ2 2015","FQ2 2015","Currency=INR","Period=FQ","BEST_FPERIOD_OVERRIDE=FQ","FILING_STATUS=OR","EQY_CONSOLIDATED=Y","Sort=A","Dates=H","DateFormat=P","Fill=—","Direction=H","UseDPDF=Y")</f>
        <v>#NAME?</v>
      </c>
      <c r="AI260" s="2" t="e">
        <f ca="1">_xll.BDH($C$253,"TOTAL_EQUITY_1_YEAR_GROWTH","FQ2 2015","FQ2 2015","Currency=INR","Period=FQ","BEST_FPERIOD_OVERRIDE=FQ","FILING_STATUS=OR","EQY_CONSOLIDATED=Y","Sort=A","Dates=H","DateFormat=P","Fill=—","Direction=H","UseDPDF=Y")</f>
        <v>#NAME?</v>
      </c>
      <c r="AJ260" s="2" t="e">
        <f ca="1">_xll.BDH($C$253,"GROWTH_IN_CAP","FQ2 2015","FQ2 2015","Currency=INR","Period=FQ","BEST_FPERIOD_OVERRIDE=FQ","FILING_STATUS=OR","EQY_CONSOLIDATED=Y","Sort=A","Dates=H","DateFormat=P","Fill=—","Direction=H","UseDPDF=Y")</f>
        <v>#NAME?</v>
      </c>
      <c r="AK260" s="2" t="e">
        <f ca="1">_xll.BDH($C$253,"BVPS_GROWTH","FQ2 2015","FQ2 2015","Currency=INR","Period=FQ","BEST_FPERIOD_OVERRIDE=FQ","FILING_STATUS=OR","EQY_CONSOLIDATED=Y","Sort=A","Dates=H","DateFormat=P","Fill=—","Direction=H","UseDPDF=Y")</f>
        <v>#NAME?</v>
      </c>
      <c r="AL260" s="2" t="e">
        <f ca="1">_xll.BDH($C$253,"CASH_FLOW_GROWTH","FQ2 2015","FQ2 2015","Currency=INR","Period=FQ","BEST_FPERIOD_OVERRIDE=FQ","FILING_STATUS=OR","EQY_CONSOLIDATED=Y","Sort=A","Dates=H","DateFormat=P","Fill=—","Direction=H","UseDPDF=Y")</f>
        <v>#NAME?</v>
      </c>
      <c r="AM260" s="2" t="e">
        <f ca="1">_xll.BDH($C$253,"GEO_GROW_NET_SALES","FQ2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60" s="2" t="e">
        <f ca="1">_xll.BDH($C$253,"GEO_GROW_EBITDA","FQ2 2015","FQ2 2015","Currency=INR","Period=FQ","BEST_FPERIOD_OVERRIDE=FQ","FILING_STATUS=OR","EQY_CONSOLIDATED=Y","FA_ADJUSTED=GAAP","Sort=A","Dates=H","DateFormat=P","Fill=—","Direction=H","UseDPDF=Y")</f>
        <v>#NAME?</v>
      </c>
      <c r="AO260" s="2" t="e">
        <f ca="1">_xll.BDH($C$253,"GEO_GROW_OPER_INC","FQ2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60" s="2" t="e">
        <f ca="1">_xll.BDH($C$253,"NET_INCOME_TO_COMMON_5_YR_GROWTH","FQ2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60" s="2" t="e">
        <f ca="1">_xll.BDH($C$253,"5Y_GEO_GROWTH_DILUTED_EPS","FQ2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60" s="2" t="e">
        <f ca="1">_xll.BDH($C$253,"GEO_GROW_DVD_PER_SH","FQ2 2015","FQ2 2015","Currency=INR","Period=FQ","BEST_FPERIOD_OVERRIDE=FQ","FILING_STATUS=OR","EQY_CONSOLIDATED=Y","Sort=A","Dates=H","DateFormat=P","Fill=—","Direction=H","UseDPDF=Y")</f>
        <v>#NAME?</v>
      </c>
      <c r="AS260" s="2" t="e">
        <f ca="1">_xll.BDH($C$253,"ACCOUNTS_RECEIVABLE_5_YR_GROWTH","FQ2 2015","FQ2 2015","Currency=INR","Period=FQ","BEST_FPERIOD_OVERRIDE=FQ","FILING_STATUS=OR","EQY_CONSOLIDATED=Y","Sort=A","Dates=H","DateFormat=P","Fill=—","Direction=H","UseDPDF=Y")</f>
        <v>#NAME?</v>
      </c>
      <c r="AT260" s="2" t="e">
        <f ca="1">_xll.BDH($C$253,"INVENTORY_5_YEAR_GROWTH","FQ2 2015","FQ2 2015","Currency=INR","Period=FQ","BEST_FPERIOD_OVERRIDE=FQ","FILING_STATUS=OR","EQY_CONSOLIDATED=Y","Sort=A","Dates=H","DateFormat=P","Fill=—","Direction=H","UseDPDF=Y")</f>
        <v>#NAME?</v>
      </c>
      <c r="AU260" s="2" t="e">
        <f ca="1">_xll.BDH($C$253,"NET_FIXED_ASSETS_5_YEAR_GROWTH","FQ2 2015","FQ2 2015","Currency=INR","Period=FQ","BEST_FPERIOD_OVERRIDE=FQ","FILING_STATUS=OR","EQY_CONSOLIDATED=Y","Sort=A","Dates=H","DateFormat=P","Fill=—","Direction=H","UseDPDF=Y")</f>
        <v>#NAME?</v>
      </c>
      <c r="AV260" s="2" t="e">
        <f ca="1">_xll.BDH($C$253,"GEO_GROW_TOT_ASSET","FQ2 2015","FQ2 2015","Currency=INR","Period=FQ","BEST_FPERIOD_OVERRIDE=FQ","FILING_STATUS=OR","EQY_CONSOLIDATED=Y","Sort=A","Dates=H","DateFormat=P","Fill=—","Direction=H","UseDPDF=Y")</f>
        <v>#NAME?</v>
      </c>
      <c r="AW260" s="2" t="e">
        <f ca="1">_xll.BDH($C$253,"MODIFIED_WORKING_CPTL_5YR_GRWTH","FQ2 2015","FQ2 2015","Currency=INR","Period=FQ","BEST_FPERIOD_OVERRIDE=FQ","FILING_STATUS=OR","EQY_CONSOLIDATED=Y","Sort=A","Dates=H","DateFormat=P","Fill=—","Direction=H","UseDPDF=Y")</f>
        <v>#NAME?</v>
      </c>
      <c r="AX260" s="2" t="e">
        <f ca="1">_xll.BDH($C$253,"WORKING_CAPITAL_5_YEAR_GROWTH","FQ2 2015","FQ2 2015","Currency=INR","Period=FQ","BEST_FPERIOD_OVERRIDE=FQ","FILING_STATUS=OR","EQY_CONSOLIDATED=Y","Sort=A","Dates=H","DateFormat=P","Fill=—","Direction=H","UseDPDF=Y")</f>
        <v>#NAME?</v>
      </c>
      <c r="AY260" s="2" t="e">
        <f ca="1">_xll.BDH($C$253,"ACCOUNTS_PAYABLE_5_YEAR_GROWTH","FQ2 2015","FQ2 2015","Currency=INR","Period=FQ","BEST_FPERIOD_OVERRIDE=FQ","FILING_STATUS=OR","EQY_CONSOLIDATED=Y","Sort=A","Dates=H","DateFormat=P","Fill=—","Direction=H","UseDPDF=Y")</f>
        <v>#NAME?</v>
      </c>
      <c r="AZ260" s="2" t="e">
        <f ca="1">_xll.BDH($C$253,"SHORT_TERM_DEBT_5_YEAR_GROWTH","FQ2 2015","FQ2 2015","Currency=INR","Period=FQ","BEST_FPERIOD_OVERRIDE=FQ","FILING_STATUS=OR","EQY_CONSOLIDATED=Y","Sort=A","Dates=H","DateFormat=P","Fill=—","Direction=H","UseDPDF=Y")</f>
        <v>#NAME?</v>
      </c>
      <c r="BA260" s="2" t="e">
        <f ca="1">_xll.BDH($C$253,"TOTAL_DEBT_5_YEAR_GROWTH","FQ2 2015","FQ2 2015","Currency=INR","Period=FQ","BEST_FPERIOD_OVERRIDE=FQ","FILING_STATUS=OR","EQY_CONSOLIDATED=Y","Sort=A","Dates=H","DateFormat=P","Fill=—","Direction=H","UseDPDF=Y")</f>
        <v>#NAME?</v>
      </c>
      <c r="BB260" s="2" t="e">
        <f ca="1">_xll.BDH($C$253,"GEO_GROW_TOT_SHRHLDR_EQY","FQ2 2015","FQ2 2015","Currency=INR","Period=FQ","BEST_FPERIOD_OVERRIDE=FQ","FILING_STATUS=OR","EQY_CONSOLIDATED=Y","Sort=A","Dates=H","DateFormat=P","Fill=—","Direction=H","UseDPDF=Y")</f>
        <v>#NAME?</v>
      </c>
      <c r="BC260" s="2" t="e">
        <f ca="1">_xll.BDH($C$253,"TOTAL_CAPITAL_5_YEAR_GROWTH","FQ2 2015","FQ2 2015","Currency=INR","Period=FQ","BEST_FPERIOD_OVERRIDE=FQ","FILING_STATUS=OR","EQY_CONSOLIDATED=Y","Sort=A","Dates=H","DateFormat=P","Fill=—","Direction=H","UseDPDF=Y")</f>
        <v>#NAME?</v>
      </c>
      <c r="BD260" s="2" t="e">
        <f ca="1">_xll.BDH($C$253,"GEO_GROW_BOOK_VAL","FQ2 2015","FQ2 2015","Currency=INR","Period=FQ","BEST_FPERIOD_OVERRIDE=FQ","FILING_STATUS=OR","EQY_CONSOLIDATED=Y","Sort=A","Dates=H","DateFormat=P","Fill=—","Direction=H","UseDPDF=Y")</f>
        <v>#NAME?</v>
      </c>
      <c r="BE260" s="2" t="e">
        <f ca="1">_xll.BDH($C$253,"GEO_GROW_CASH_OPER_ACT","FQ2 2015","FQ2 2015","Currency=INR","Period=FQ","BEST_FPERIOD_OVERRIDE=FQ","FILING_STATUS=OR","EQY_CONSOLIDATED=Y","Sort=A","Dates=H","DateFormat=P","Fill=—","Direction=H","UseDPDF=Y")</f>
        <v>#NAME?</v>
      </c>
      <c r="BF260" s="2" t="e">
        <f ca="1">_xll.BDH($C$253,"REVENUE_SEQUENTIAL_GROWTH","FQ2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60" s="2" t="e">
        <f ca="1">_xll.BDH($C$253,"EBITDA_SEQUENTIAL_GROWTH","FQ2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60" s="2" t="e">
        <f ca="1">_xll.BDH($C$253,"OPERATING_INCOME_SEQ_GROWTH","FQ2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60" s="2" t="e">
        <f ca="1">_xll.BDH($C$253,"NET_INCOME_TO_COMMON_SEQ_GROWTH","FQ2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60" s="2" t="e">
        <f ca="1">_xll.BDH($C$253,"EPS_DILUTED_SEQUENTIAL_GROWTH","FQ2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60" s="2" t="e">
        <f ca="1">_xll.BDH($C$253,"DPS_SEQUENTIAL_GROWTH","FQ2 2015","FQ2 2015","Currency=INR","Period=FQ","BEST_FPERIOD_OVERRIDE=FQ","FILING_STATUS=OR","EQY_CONSOLIDATED=Y","Sort=A","Dates=H","DateFormat=P","Fill=—","Direction=H","UseDPDF=Y")</f>
        <v>#NAME?</v>
      </c>
      <c r="BL260" s="2" t="e">
        <f ca="1">_xll.BDH($C$253,"ACCOUNTS_RECEIVABLE_SEQ_GROWTH","FQ2 2015","FQ2 2015","Currency=INR","Period=FQ","BEST_FPERIOD_OVERRIDE=FQ","FILING_STATUS=OR","EQY_CONSOLIDATED=Y","Sort=A","Dates=H","DateFormat=P","Fill=—","Direction=H","UseDPDF=Y")</f>
        <v>#NAME?</v>
      </c>
      <c r="BM260" s="2" t="e">
        <f ca="1">_xll.BDH($C$253,"INVENTORY_SEQUENTIAL_GROWTH","FQ2 2015","FQ2 2015","Currency=INR","Period=FQ","BEST_FPERIOD_OVERRIDE=FQ","FILING_STATUS=OR","EQY_CONSOLIDATED=Y","Sort=A","Dates=H","DateFormat=P","Fill=—","Direction=H","UseDPDF=Y")</f>
        <v>#NAME?</v>
      </c>
      <c r="BN260" s="2" t="e">
        <f ca="1">_xll.BDH($C$253,"FIXED_ASSETS_SEQUENTIAL_GROWTH","FQ2 2015","FQ2 2015","Currency=INR","Period=FQ","BEST_FPERIOD_OVERRIDE=FQ","FILING_STATUS=OR","EQY_CONSOLIDATED=Y","Sort=A","Dates=H","DateFormat=P","Fill=—","Direction=H","UseDPDF=Y")</f>
        <v>#NAME?</v>
      </c>
      <c r="BO260" s="2" t="e">
        <f ca="1">_xll.BDH($C$253,"TOTAL_ASSETS_SEQUENTIAL_GROWTH","FQ2 2015","FQ2 2015","Currency=INR","Period=FQ","BEST_FPERIOD_OVERRIDE=FQ","FILING_STATUS=OR","EQY_CONSOLIDATED=Y","Sort=A","Dates=H","DateFormat=P","Fill=—","Direction=H","UseDPDF=Y")</f>
        <v>#NAME?</v>
      </c>
      <c r="BP260" s="2" t="e">
        <f ca="1">_xll.BDH($C$253,"MODIFIED_WORKING_CPTL_SEQ_GRWTH","FQ2 2015","FQ2 2015","Currency=INR","Period=FQ","BEST_FPERIOD_OVERRIDE=FQ","FILING_STATUS=OR","EQY_CONSOLIDATED=Y","Sort=A","Dates=H","DateFormat=P","Fill=—","Direction=H","UseDPDF=Y")</f>
        <v>#NAME?</v>
      </c>
      <c r="BQ260" s="2" t="e">
        <f ca="1">_xll.BDH($C$253,"WORKING_CAPITAL_SEQ_GROWTH","FQ2 2015","FQ2 2015","Currency=INR","Period=FQ","BEST_FPERIOD_OVERRIDE=FQ","FILING_STATUS=OR","EQY_CONSOLIDATED=Y","Sort=A","Dates=H","DateFormat=P","Fill=—","Direction=H","UseDPDF=Y")</f>
        <v>#NAME?</v>
      </c>
      <c r="BR260" s="2" t="e">
        <f ca="1">_xll.BDH($C$253,"ACCOUNTS_PAYABLE_SEQ_GROWTH","FQ2 2015","FQ2 2015","Currency=INR","Period=FQ","BEST_FPERIOD_OVERRIDE=FQ","FILING_STATUS=OR","EQY_CONSOLIDATED=Y","Sort=A","Dates=H","DateFormat=P","Fill=—","Direction=H","UseDPDF=Y")</f>
        <v>#NAME?</v>
      </c>
      <c r="BS260" s="2" t="e">
        <f ca="1">_xll.BDH($C$253,"ST_DEBT_SEQUENTIAL_GROWTH","FQ2 2015","FQ2 2015","Currency=INR","Period=FQ","BEST_FPERIOD_OVERRIDE=FQ","FILING_STATUS=OR","EQY_CONSOLIDATED=Y","Sort=A","Dates=H","DateFormat=P","Fill=—","Direction=H","UseDPDF=Y")</f>
        <v>#NAME?</v>
      </c>
      <c r="BT260" s="2" t="e">
        <f ca="1">_xll.BDH($C$253,"TOTAL_DEBT_SEQUENTIAL_GROWTH","FQ2 2015","FQ2 2015","Currency=INR","Period=FQ","BEST_FPERIOD_OVERRIDE=FQ","FILING_STATUS=OR","EQY_CONSOLIDATED=Y","Sort=A","Dates=H","DateFormat=P","Fill=—","Direction=H","UseDPDF=Y")</f>
        <v>#NAME?</v>
      </c>
      <c r="BU260" s="2" t="e">
        <f ca="1">_xll.BDH($C$253,"TOTAL_EQUITY_SEQUENTIAL_GROWTH","FQ2 2015","FQ2 2015","Currency=INR","Period=FQ","BEST_FPERIOD_OVERRIDE=FQ","FILING_STATUS=OR","EQY_CONSOLIDATED=Y","Sort=A","Dates=H","DateFormat=P","Fill=—","Direction=H","UseDPDF=Y")</f>
        <v>#NAME?</v>
      </c>
      <c r="BV260" s="2" t="e">
        <f ca="1">_xll.BDH($C$253,"TOTAL_CAPITAL_SEQUENTIAL_GROWTH","FQ2 2015","FQ2 2015","Currency=INR","Period=FQ","BEST_FPERIOD_OVERRIDE=FQ","FILING_STATUS=OR","EQY_CONSOLIDATED=Y","Sort=A","Dates=H","DateFormat=P","Fill=—","Direction=H","UseDPDF=Y")</f>
        <v>#NAME?</v>
      </c>
      <c r="BW260" s="2" t="e">
        <f ca="1">_xll.BDH($C$253,"BPS_SEQUENTIAL_GROWTH","FQ2 2015","FQ2 2015","Currency=INR","Period=FQ","BEST_FPERIOD_OVERRIDE=FQ","FILING_STATUS=OR","EQY_CONSOLIDATED=Y","Sort=A","Dates=H","DateFormat=P","Fill=—","Direction=H","UseDPDF=Y")</f>
        <v>#NAME?</v>
      </c>
      <c r="BX260" s="2" t="e">
        <f ca="1">_xll.BDH($C$253,"CFO_SEQUENTIAL_GROWTH","FQ2 2015","FQ2 2015","Currency=INR","Period=FQ","BEST_FPERIOD_OVERRIDE=FQ","FILING_STATUS=OR","EQY_CONSOLIDATED=Y","Sort=A","Dates=H","DateFormat=P","Fill=—","Direction=H","UseDPDF=Y")</f>
        <v>#NAME?</v>
      </c>
      <c r="BY260" s="3" t="e">
        <f ca="1">_xll.BDH($C$253,"SHORT_AND_LONG_TERM_DEBT","FQ2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60" s="3" t="e">
        <f ca="1">_xll.BDH($C$253,"BS_ST_BORROW","FQ2 2015","FQ2 2015","Currency=INR","Period=FQ","BEST_FPERIOD_OVERRIDE=FQ","FILING_STATUS=OR","EQY_CONSOLIDATED=Y","SCALING_FORMAT=MLN","Sort=A","Dates=H","DateFormat=P","Fill=—","Direction=H","UseDPDF=Y")</f>
        <v>#NAME?</v>
      </c>
      <c r="CA260" s="3" t="e">
        <f ca="1">_xll.BDH($C$253,"BS_LT_BORROW","FQ2 2015","FQ2 2015","Currency=INR","Period=FQ","BEST_FPERIOD_OVERRIDE=FQ","FILING_STATUS=OR","EQY_CONSOLIDATED=Y","SCALING_FORMAT=MLN","Sort=A","Dates=H","DateFormat=P","Fill=—","Direction=H","UseDPDF=Y")</f>
        <v>#NAME?</v>
      </c>
      <c r="CB260" s="2" t="e">
        <f ca="1">_xll.BDH($C$253,"TOT_DEBT_TO_EBITDA","FQ2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60" s="2" t="e">
        <f ca="1">_xll.BDH($C$253,"NET_DEBT_TO_EBITDA","FQ2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60" s="2" t="e">
        <f ca="1">_xll.BDH($C$253,"TOTAL_DEBT_TO_EBIT","FQ2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60" s="2" t="e">
        <f ca="1">_xll.BDH($C$253,"NET_DEBT_TO_EBIT","FQ2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260" s="2" t="e">
        <f ca="1">_xll.BDH($C$253,"EBITDA_TO_INTEREST_EXPN","FQ2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60" s="2" t="e">
        <f ca="1">_xll.BDH($C$253,"COM_EQY_TO_TOT_ASSET","FQ2 2015","FQ2 2015","Currency=INR","Period=FQ","BEST_FPERIOD_OVERRIDE=FQ","FILING_STATUS=OR","EQY_CONSOLIDATED=Y","Sort=A","Dates=H","DateFormat=P","Fill=—","Direction=H","UseDPDF=Y")</f>
        <v>#NAME?</v>
      </c>
      <c r="CH260" s="2" t="e">
        <f ca="1">_xll.BDH($C$253,"LT_DEBT_TO_TOT_EQY","FQ2 2015","FQ2 2015","Currency=INR","Period=FQ","BEST_FPERIOD_OVERRIDE=FQ","FILING_STATUS=OR","EQY_CONSOLIDATED=Y","Sort=A","Dates=H","DateFormat=P","Fill=—","Direction=H","UseDPDF=Y")</f>
        <v>#NAME?</v>
      </c>
      <c r="CI260" s="2" t="e">
        <f ca="1">_xll.BDH($C$253,"LT_DEBT_TO_TOT_CAP","FQ2 2015","FQ2 2015","Currency=INR","Period=FQ","BEST_FPERIOD_OVERRIDE=FQ","FILING_STATUS=OR","EQY_CONSOLIDATED=Y","Sort=A","Dates=H","DateFormat=P","Fill=—","Direction=H","UseDPDF=Y")</f>
        <v>#NAME?</v>
      </c>
      <c r="CJ260" s="2" t="e">
        <f ca="1">_xll.BDH($C$253,"LT_DEBT_TO_TOT_ASSET","FQ2 2015","FQ2 2015","Currency=INR","Period=FQ","BEST_FPERIOD_OVERRIDE=FQ","FILING_STATUS=OR","EQY_CONSOLIDATED=Y","Sort=A","Dates=H","DateFormat=P","Fill=—","Direction=H","UseDPDF=Y")</f>
        <v>#NAME?</v>
      </c>
      <c r="CK260" s="2" t="e">
        <f ca="1">_xll.BDH($C$253,"TOT_DEBT_TO_TOT_EQY","FQ2 2015","FQ2 2015","Currency=INR","Period=FQ","BEST_FPERIOD_OVERRIDE=FQ","FILING_STATUS=OR","EQY_CONSOLIDATED=Y","Sort=A","Dates=H","DateFormat=P","Fill=—","Direction=H","UseDPDF=Y")</f>
        <v>#NAME?</v>
      </c>
      <c r="CL260" s="2" t="e">
        <f ca="1">_xll.BDH($C$253,"TOT_DEBT_TO_TOT_CAP","FQ2 2015","FQ2 2015","Currency=INR","Period=FQ","BEST_FPERIOD_OVERRIDE=FQ","FILING_STATUS=OR","EQY_CONSOLIDATED=Y","Sort=A","Dates=H","DateFormat=P","Fill=—","Direction=H","UseDPDF=Y")</f>
        <v>#NAME?</v>
      </c>
      <c r="CM260" s="2" t="e">
        <f ca="1">_xll.BDH($C$253,"TOT_DEBT_TO_TOT_ASSET","FQ2 2015","FQ2 2015","Currency=INR","Period=FQ","BEST_FPERIOD_OVERRIDE=FQ","FILING_STATUS=OR","EQY_CONSOLIDATED=Y","Sort=A","Dates=H","DateFormat=P","Fill=—","Direction=H","UseDPDF=Y")</f>
        <v>#NAME?</v>
      </c>
      <c r="CN260" s="2" t="e">
        <f ca="1">_xll.BDH($C$253,"NET_DEBT_TO_SHRHLDR_EQTY","FQ2 2015","FQ2 2015","Currency=INR","Period=FQ","BEST_FPERIOD_OVERRIDE=FQ","FILING_STATUS=OR","EQY_CONSOLIDATED=Y","Sort=A","Dates=H","DateFormat=P","Fill=—","Direction=H","UseDPDF=Y")</f>
        <v>#NAME?</v>
      </c>
      <c r="CO260" s="2" t="e">
        <f ca="1">_xll.BDH($C$253,"NET_DEBT_%_CAPITAL","FQ2 2015","FQ2 2015","Currency=INR","Period=FQ","BEST_FPERIOD_OVERRIDE=FQ","FILING_STATUS=OR","EQY_CONSOLIDATED=Y","Sort=A","Dates=H","DateFormat=P","Fill=—","Direction=H","UseDPDF=Y")</f>
        <v>#NAME?</v>
      </c>
      <c r="CP260" s="3" t="e">
        <f ca="1">_xll.BDH($C$253,"EBITDA","FQ2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60" s="3" t="e">
        <f ca="1">_xll.BDH($C$253,"EBITDA_AFTER_CAPEX","FQ2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60" s="3" t="e">
        <f ca="1">_xll.BDH($C$253,"IS_OPER_INC","FQ2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60" s="2" t="e">
        <f ca="1">_xll.BDH($C$253,"CASH_RATIO","FQ2 2015","FQ2 2015","Currency=INR","Period=FQ","BEST_FPERIOD_OVERRIDE=FQ","FILING_STATUS=OR","EQY_CONSOLIDATED=Y","Sort=A","Dates=H","DateFormat=P","Fill=—","Direction=H","UseDPDF=Y")</f>
        <v>#NAME?</v>
      </c>
      <c r="CT260" s="2" t="e">
        <f ca="1">_xll.BDH($C$253,"CUR_RATIO","FQ2 2015","FQ2 2015","Currency=INR","Period=FQ","BEST_FPERIOD_OVERRIDE=FQ","FILING_STATUS=OR","EQY_CONSOLIDATED=Y","Sort=A","Dates=H","DateFormat=P","Fill=—","Direction=H","UseDPDF=Y")</f>
        <v>#NAME?</v>
      </c>
      <c r="CU260" s="2" t="e">
        <f ca="1">_xll.BDH($C$253,"QUICK_RATIO","FQ2 2015","FQ2 2015","Currency=INR","Period=FQ","BEST_FPERIOD_OVERRIDE=FQ","FILING_STATUS=OR","EQY_CONSOLIDATED=Y","Sort=A","Dates=H","DateFormat=P","Fill=—","Direction=H","UseDPDF=Y")</f>
        <v>#NAME?</v>
      </c>
      <c r="CV260" s="2" t="e">
        <f ca="1">_xll.BDH($C$253,"ALTMAN_Z_SCORE","FQ2 2015","FQ2 2015","Currency=INR","Period=FQ","BEST_FPERIOD_OVERRIDE=FQ","FILING_STATUS=OR","EQY_CONSOLIDATED=Y","Sort=A","Dates=H","DateFormat=P","Fill=—","Direction=H","UseDPDF=Y")</f>
        <v>#NAME?</v>
      </c>
      <c r="CW260" s="4" t="e">
        <f ca="1">_xll.BDH($C$253,"ACCT_RCV_TURN","FQ2 2015","FQ2 2015","Currency=INR","Period=FQ","BEST_FPERIOD_OVERRIDE=FQ","FILING_STATUS=OR","EQY_CONSOLIDATED=Y","FA_ADJUSTED=GAAP","Sort=A","Dates=H","DateFormat=P","Fill=—","Direction=H","UseDPDF=Y")</f>
        <v>#NAME?</v>
      </c>
      <c r="CX260" s="2" t="e">
        <f ca="1">_xll.BDH($C$253,"ACCT_RCV_DAYS","FQ2 2015","FQ2 2015","Currency=INR","Period=FQ","BEST_FPERIOD_OVERRIDE=FQ","FILING_STATUS=OR","EQY_CONSOLIDATED=Y","FA_ADJUSTED=GAAP","Sort=A","Dates=H","DateFormat=P","Fill=—","Direction=H","UseDPDF=Y")</f>
        <v>#NAME?</v>
      </c>
      <c r="CY260" s="4" t="e">
        <f ca="1">_xll.BDH($C$253,"INVENT_TURN","FQ2 2015","FQ2 2015","Currency=INR","Period=FQ","BEST_FPERIOD_OVERRIDE=FQ","FILING_STATUS=OR","EQY_CONSOLIDATED=Y","FA_ADJUSTED=GAAP","Sort=A","Dates=H","DateFormat=P","Fill=—","Direction=H","UseDPDF=Y")</f>
        <v>#NAME?</v>
      </c>
      <c r="CZ260" s="2" t="e">
        <f ca="1">_xll.BDH($C$253,"INVENT_DAYS","FQ2 2015","FQ2 2015","Currency=INR","Period=FQ","BEST_FPERIOD_OVERRIDE=FQ","FILING_STATUS=OR","EQY_CONSOLIDATED=Y","FA_ADJUSTED=GAAP","Sort=A","Dates=H","DateFormat=P","Fill=—","Direction=H","UseDPDF=Y")</f>
        <v>#NAME?</v>
      </c>
      <c r="DA260" s="4" t="e">
        <f ca="1">_xll.BDH($C$253,"ACCOUNTS_PAYABLE_TURNOVER","FQ2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60" s="2" t="e">
        <f ca="1">_xll.BDH($C$253,"ACCOUNTS_PAYABLE_TURNOVER_DAYS","FQ2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60" s="4" t="e">
        <f ca="1">_xll.BDH($C$253,"CASH_CONVERSION_CYCLE","FQ2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60" s="4" t="e">
        <f ca="1">_xll.BDH($C$253,"INV_TO_CASH_DAYS","FQ2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260" s="5" t="e">
        <f ca="1">_xll.BDH($C$253,"BS_INVENTORIES","FQ2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260" s="3" t="e">
        <f ca="1">_xll.BDH($C$253,"INVTRY_RAW_MATERIALS","FQ2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60" s="3" t="e">
        <f ca="1">_xll.BDH($C$253,"INVTRY_IN_PROGRESS","FQ2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60" s="3" t="e">
        <f ca="1">_xll.BDH($C$253,"INVTRY_FINISHED_GOODS","FQ2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60" s="3" t="e">
        <f ca="1">_xll.BDH($C$253,"BS_OTHER_INV","FQ2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61" spans="1:113" x14ac:dyDescent="0.3">
      <c r="A261" s="6"/>
      <c r="B261" s="6"/>
      <c r="C261" s="6"/>
      <c r="D261" s="6"/>
      <c r="E261" t="s">
        <v>80</v>
      </c>
      <c r="F261" t="e">
        <f ca="1">_xll.BDH($C$253,"RETURN_COM_EQY","FQ3 2015","FQ3 2015","Currency=INR","Period=FQ","BEST_FPERIOD_OVERRIDE=FQ","FILING_STATUS=OR","EQY_CONSOLIDATED=Y","FA_ADJUSTED=GAAP","Sort=A","Dates=H","DateFormat=P","Fill=—","Direction=H","UseDPDF=Y")</f>
        <v>#NAME?</v>
      </c>
      <c r="G261" t="e">
        <f ca="1">_xll.BDH($C$253,"RETURN_ON_ASSET","FQ3 2015","FQ3 2015","Currency=INR","Period=FQ","BEST_FPERIOD_OVERRIDE=FQ","FILING_STATUS=OR","EQY_CONSOLIDATED=Y","FA_ADJUSTED=GAAP","Sort=A","Dates=H","DateFormat=P","Fill=—","Direction=H","UseDPDF=Y")</f>
        <v>#NAME?</v>
      </c>
      <c r="H261" t="e">
        <f ca="1">_xll.BDH($C$253,"RETURN_ON_CAP","FQ3 2015","FQ3 2015","Currency=INR","Period=FQ","BEST_FPERIOD_OVERRIDE=FQ","FILING_STATUS=OR","EQY_CONSOLIDATED=Y","FA_ADJUSTED=GAAP","Sort=A","Dates=H","DateFormat=P","Fill=—","Direction=H","UseDPDF=Y")</f>
        <v>#NAME?</v>
      </c>
      <c r="I261" t="e">
        <f ca="1">_xll.BDH($C$253,"RETURN_ON_INV_CAPITAL","FQ3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61" t="e">
        <f ca="1">_xll.BDH($C$253,"EBITDA_TO_REVENUE","FQ3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261" t="e">
        <f ca="1">_xll.BDH($C$253,"OPER_MARGIN","FQ3 2015","FQ3 2015","Currency=INR","Period=FQ","BEST_FPERIOD_OVERRIDE=FQ","FILING_STATUS=OR","EQY_CONSOLIDATED=Y","FA_ADJUSTED=GAAP","Sort=A","Dates=H","DateFormat=P","Fill=—","Direction=H","UseDPDF=Y")</f>
        <v>#NAME?</v>
      </c>
      <c r="L261" t="e">
        <f ca="1">_xll.BDH($C$253,"INCREMENTAL_OPERATING_MARGIN","FQ3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61" t="e">
        <f ca="1">_xll.BDH($C$253,"PRETAX_INC_TO_NET_SALES","FQ3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61" t="e">
        <f ca="1">_xll.BDH($C$253,"INC_BEF_XO_ITEMS_TO_NET_SALES","FQ3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61" t="e">
        <f ca="1">_xll.BDH($C$253,"PROF_MARGIN","FQ3 2015","FQ3 2015","Currency=INR","Period=FQ","BEST_FPERIOD_OVERRIDE=FQ","FILING_STATUS=OR","EQY_CONSOLIDATED=Y","FA_ADJUSTED=GAAP","Sort=A","Dates=H","DateFormat=P","Fill=—","Direction=H","UseDPDF=Y")</f>
        <v>#NAME?</v>
      </c>
      <c r="P261" t="e">
        <f ca="1">_xll.BDH($C$253,"NET_INCOME_TO_COMMON_MARGIN","FQ3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61" t="e">
        <f ca="1">_xll.BDH($C$253,"EFF_TAX_RATE","FQ3 2015","FQ3 2015","Currency=INR","Period=FQ","BEST_FPERIOD_OVERRIDE=FQ","FILING_STATUS=OR","EQY_CONSOLIDATED=Y","FA_ADJUSTED=GAAP","Sort=A","Dates=H","DateFormat=P","Fill=—","Direction=H","UseDPDF=Y")</f>
        <v>#NAME?</v>
      </c>
      <c r="R261" t="e">
        <f ca="1">_xll.BDH($C$253,"DVD_PAYOUT_RATIO","FQ3 2015","FQ3 2015","Currency=INR","Period=FQ","BEST_FPERIOD_OVERRIDE=FQ","FILING_STATUS=OR","EQY_CONSOLIDATED=Y","FA_ADJUSTED=GAAP","Sort=A","Dates=H","DateFormat=P","Fill=—","Direction=H","UseDPDF=Y")</f>
        <v>#NAME?</v>
      </c>
      <c r="S261" t="e">
        <f ca="1">_xll.BDH($C$253,"SUSTAIN_GROWTH_RT","FQ3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261" s="2" t="e">
        <f ca="1">_xll.BDH($C$253,"SALES_GROWTH","FQ3 2015","FQ3 2015","Currency=INR","Period=FQ","BEST_FPERIOD_OVERRIDE=FQ","FILING_STATUS=OR","EQY_CONSOLIDATED=Y","FA_ADJUSTED=GAAP","Sort=A","Dates=H","DateFormat=P","Fill=—","Direction=H","UseDPDF=Y")</f>
        <v>#NAME?</v>
      </c>
      <c r="U261" s="2" t="e">
        <f ca="1">_xll.BDH($C$253,"EBITDA_GROWTH","FQ3 2015","FQ3 2015","Currency=INR","Period=FQ","BEST_FPERIOD_OVERRIDE=FQ","FILING_STATUS=OR","EQY_CONSOLIDATED=Y","FA_ADJUSTED=GAAP","Sort=A","Dates=H","DateFormat=P","Fill=—","Direction=H","UseDPDF=Y")</f>
        <v>#NAME?</v>
      </c>
      <c r="V261" s="2" t="e">
        <f ca="1">_xll.BDH($C$253,"OPER_INC_GROWTH","FQ3 2015","FQ3 2015","Currency=INR","Period=FQ","BEST_FPERIOD_OVERRIDE=FQ","FILING_STATUS=OR","EQY_CONSOLIDATED=Y","FA_ADJUSTED=GAAP","Sort=A","Dates=H","DateFormat=P","Fill=—","Direction=H","UseDPDF=Y")</f>
        <v>#NAME?</v>
      </c>
      <c r="W261" s="2" t="e">
        <f ca="1">_xll.BDH($C$253,"EARN_FOR_COM_GROWTH","FQ3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61" s="2" t="e">
        <f ca="1">_xll.BDH($C$253,"DILUTED_EPS_AFT_XO_ITEMS_GROWTH","FQ3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61" s="2" t="e">
        <f ca="1">_xll.BDH($C$253,"DIVIDEND_PER_SHARE_1_YEAR_GROWTH","FQ3 2015","FQ3 2015","Currency=INR","Period=FQ","BEST_FPERIOD_OVERRIDE=FQ","FILING_STATUS=OR","EQY_CONSOLIDATED=Y","Sort=A","Dates=H","DateFormat=P","Fill=—","Direction=H","UseDPDF=Y")</f>
        <v>#NAME?</v>
      </c>
      <c r="Z261" s="2" t="e">
        <f ca="1">_xll.BDH($C$253,"ACCOUNTS_RECEIVABLE_GROWTH","FQ3 2015","FQ3 2015","Currency=INR","Period=FQ","BEST_FPERIOD_OVERRIDE=FQ","FILING_STATUS=OR","EQY_CONSOLIDATED=Y","Sort=A","Dates=H","DateFormat=P","Fill=—","Direction=H","UseDPDF=Y")</f>
        <v>#NAME?</v>
      </c>
      <c r="AA261" s="2" t="e">
        <f ca="1">_xll.BDH($C$253,"INVENTORY_GROWTH","FQ3 2015","FQ3 2015","Currency=INR","Period=FQ","BEST_FPERIOD_OVERRIDE=FQ","FILING_STATUS=OR","EQY_CONSOLIDATED=Y","Sort=A","Dates=H","DateFormat=P","Fill=—","Direction=H","UseDPDF=Y")</f>
        <v>#NAME?</v>
      </c>
      <c r="AB261" s="2" t="e">
        <f ca="1">_xll.BDH($C$253,"NET_FIXED_ASSETS_1_YEAR_GROWTH","FQ3 2015","FQ3 2015","Currency=INR","Period=FQ","BEST_FPERIOD_OVERRIDE=FQ","FILING_STATUS=OR","EQY_CONSOLIDATED=Y","Sort=A","Dates=H","DateFormat=P","Fill=—","Direction=H","UseDPDF=Y")</f>
        <v>#NAME?</v>
      </c>
      <c r="AC261" s="2" t="e">
        <f ca="1">_xll.BDH($C$253,"ASSET_GROWTH","FQ3 2015","FQ3 2015","Currency=INR","Period=FQ","BEST_FPERIOD_OVERRIDE=FQ","FILING_STATUS=OR","EQY_CONSOLIDATED=Y","Sort=A","Dates=H","DateFormat=P","Fill=—","Direction=H","UseDPDF=Y")</f>
        <v>#NAME?</v>
      </c>
      <c r="AD261" s="2" t="e">
        <f ca="1">_xll.BDH($C$253,"MODIFIED_WORK_CAP_GROWTH","FQ3 2015","FQ3 2015","Currency=INR","Period=FQ","BEST_FPERIOD_OVERRIDE=FQ","FILING_STATUS=OR","EQY_CONSOLIDATED=Y","Sort=A","Dates=H","DateFormat=P","Fill=—","Direction=H","UseDPDF=Y")</f>
        <v>#NAME?</v>
      </c>
      <c r="AE261" s="2" t="e">
        <f ca="1">_xll.BDH($C$253,"WORK_CAP_GROWTH","FQ3 2015","FQ3 2015","Currency=INR","Period=FQ","BEST_FPERIOD_OVERRIDE=FQ","FILING_STATUS=OR","EQY_CONSOLIDATED=Y","Sort=A","Dates=H","DateFormat=P","Fill=—","Direction=H","UseDPDF=Y")</f>
        <v>#NAME?</v>
      </c>
      <c r="AF261" s="2" t="e">
        <f ca="1">_xll.BDH($C$253,"ACCOUNTS_PAYABLE_GROWTH_1YR","FQ3 2015","FQ3 2015","Currency=INR","Period=FQ","BEST_FPERIOD_OVERRIDE=FQ","FILING_STATUS=OR","EQY_CONSOLIDATED=Y","Sort=A","Dates=H","DateFormat=P","Fill=—","Direction=H","UseDPDF=Y")</f>
        <v>#NAME?</v>
      </c>
      <c r="AG261" s="2" t="e">
        <f ca="1">_xll.BDH($C$253,"SHORT_TERM_DEBT_1_YEAR_GROWTH","FQ3 2015","FQ3 2015","Currency=INR","Period=FQ","BEST_FPERIOD_OVERRIDE=FQ","FILING_STATUS=OR","EQY_CONSOLIDATED=Y","Sort=A","Dates=H","DateFormat=P","Fill=—","Direction=H","UseDPDF=Y")</f>
        <v>#NAME?</v>
      </c>
      <c r="AH261" s="2" t="e">
        <f ca="1">_xll.BDH($C$253,"TOTAL_DEBT_1_YEAR_GROWTH","FQ3 2015","FQ3 2015","Currency=INR","Period=FQ","BEST_FPERIOD_OVERRIDE=FQ","FILING_STATUS=OR","EQY_CONSOLIDATED=Y","Sort=A","Dates=H","DateFormat=P","Fill=—","Direction=H","UseDPDF=Y")</f>
        <v>#NAME?</v>
      </c>
      <c r="AI261" s="2" t="e">
        <f ca="1">_xll.BDH($C$253,"TOTAL_EQUITY_1_YEAR_GROWTH","FQ3 2015","FQ3 2015","Currency=INR","Period=FQ","BEST_FPERIOD_OVERRIDE=FQ","FILING_STATUS=OR","EQY_CONSOLIDATED=Y","Sort=A","Dates=H","DateFormat=P","Fill=—","Direction=H","UseDPDF=Y")</f>
        <v>#NAME?</v>
      </c>
      <c r="AJ261" s="2" t="e">
        <f ca="1">_xll.BDH($C$253,"GROWTH_IN_CAP","FQ3 2015","FQ3 2015","Currency=INR","Period=FQ","BEST_FPERIOD_OVERRIDE=FQ","FILING_STATUS=OR","EQY_CONSOLIDATED=Y","Sort=A","Dates=H","DateFormat=P","Fill=—","Direction=H","UseDPDF=Y")</f>
        <v>#NAME?</v>
      </c>
      <c r="AK261" s="2" t="e">
        <f ca="1">_xll.BDH($C$253,"BVPS_GROWTH","FQ3 2015","FQ3 2015","Currency=INR","Period=FQ","BEST_FPERIOD_OVERRIDE=FQ","FILING_STATUS=OR","EQY_CONSOLIDATED=Y","Sort=A","Dates=H","DateFormat=P","Fill=—","Direction=H","UseDPDF=Y")</f>
        <v>#NAME?</v>
      </c>
      <c r="AL261" s="2" t="e">
        <f ca="1">_xll.BDH($C$253,"CASH_FLOW_GROWTH","FQ3 2015","FQ3 2015","Currency=INR","Period=FQ","BEST_FPERIOD_OVERRIDE=FQ","FILING_STATUS=OR","EQY_CONSOLIDATED=Y","Sort=A","Dates=H","DateFormat=P","Fill=—","Direction=H","UseDPDF=Y")</f>
        <v>#NAME?</v>
      </c>
      <c r="AM261" s="2" t="e">
        <f ca="1">_xll.BDH($C$253,"GEO_GROW_NET_SALES","FQ3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61" s="2" t="e">
        <f ca="1">_xll.BDH($C$253,"GEO_GROW_EBITDA","FQ3 2015","FQ3 2015","Currency=INR","Period=FQ","BEST_FPERIOD_OVERRIDE=FQ","FILING_STATUS=OR","EQY_CONSOLIDATED=Y","FA_ADJUSTED=GAAP","Sort=A","Dates=H","DateFormat=P","Fill=—","Direction=H","UseDPDF=Y")</f>
        <v>#NAME?</v>
      </c>
      <c r="AO261" s="2" t="e">
        <f ca="1">_xll.BDH($C$253,"GEO_GROW_OPER_INC","FQ3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61" s="2" t="e">
        <f ca="1">_xll.BDH($C$253,"NET_INCOME_TO_COMMON_5_YR_GROWTH","FQ3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61" s="2" t="e">
        <f ca="1">_xll.BDH($C$253,"5Y_GEO_GROWTH_DILUTED_EPS","FQ3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61" s="2" t="e">
        <f ca="1">_xll.BDH($C$253,"GEO_GROW_DVD_PER_SH","FQ3 2015","FQ3 2015","Currency=INR","Period=FQ","BEST_FPERIOD_OVERRIDE=FQ","FILING_STATUS=OR","EQY_CONSOLIDATED=Y","Sort=A","Dates=H","DateFormat=P","Fill=—","Direction=H","UseDPDF=Y")</f>
        <v>#NAME?</v>
      </c>
      <c r="AS261" s="2" t="e">
        <f ca="1">_xll.BDH($C$253,"ACCOUNTS_RECEIVABLE_5_YR_GROWTH","FQ3 2015","FQ3 2015","Currency=INR","Period=FQ","BEST_FPERIOD_OVERRIDE=FQ","FILING_STATUS=OR","EQY_CONSOLIDATED=Y","Sort=A","Dates=H","DateFormat=P","Fill=—","Direction=H","UseDPDF=Y")</f>
        <v>#NAME?</v>
      </c>
      <c r="AT261" s="2" t="e">
        <f ca="1">_xll.BDH($C$253,"INVENTORY_5_YEAR_GROWTH","FQ3 2015","FQ3 2015","Currency=INR","Period=FQ","BEST_FPERIOD_OVERRIDE=FQ","FILING_STATUS=OR","EQY_CONSOLIDATED=Y","Sort=A","Dates=H","DateFormat=P","Fill=—","Direction=H","UseDPDF=Y")</f>
        <v>#NAME?</v>
      </c>
      <c r="AU261" s="2" t="e">
        <f ca="1">_xll.BDH($C$253,"NET_FIXED_ASSETS_5_YEAR_GROWTH","FQ3 2015","FQ3 2015","Currency=INR","Period=FQ","BEST_FPERIOD_OVERRIDE=FQ","FILING_STATUS=OR","EQY_CONSOLIDATED=Y","Sort=A","Dates=H","DateFormat=P","Fill=—","Direction=H","UseDPDF=Y")</f>
        <v>#NAME?</v>
      </c>
      <c r="AV261" s="2" t="e">
        <f ca="1">_xll.BDH($C$253,"GEO_GROW_TOT_ASSET","FQ3 2015","FQ3 2015","Currency=INR","Period=FQ","BEST_FPERIOD_OVERRIDE=FQ","FILING_STATUS=OR","EQY_CONSOLIDATED=Y","Sort=A","Dates=H","DateFormat=P","Fill=—","Direction=H","UseDPDF=Y")</f>
        <v>#NAME?</v>
      </c>
      <c r="AW261" s="2" t="e">
        <f ca="1">_xll.BDH($C$253,"MODIFIED_WORKING_CPTL_5YR_GRWTH","FQ3 2015","FQ3 2015","Currency=INR","Period=FQ","BEST_FPERIOD_OVERRIDE=FQ","FILING_STATUS=OR","EQY_CONSOLIDATED=Y","Sort=A","Dates=H","DateFormat=P","Fill=—","Direction=H","UseDPDF=Y")</f>
        <v>#NAME?</v>
      </c>
      <c r="AX261" s="2" t="e">
        <f ca="1">_xll.BDH($C$253,"WORKING_CAPITAL_5_YEAR_GROWTH","FQ3 2015","FQ3 2015","Currency=INR","Period=FQ","BEST_FPERIOD_OVERRIDE=FQ","FILING_STATUS=OR","EQY_CONSOLIDATED=Y","Sort=A","Dates=H","DateFormat=P","Fill=—","Direction=H","UseDPDF=Y")</f>
        <v>#NAME?</v>
      </c>
      <c r="AY261" s="2" t="e">
        <f ca="1">_xll.BDH($C$253,"ACCOUNTS_PAYABLE_5_YEAR_GROWTH","FQ3 2015","FQ3 2015","Currency=INR","Period=FQ","BEST_FPERIOD_OVERRIDE=FQ","FILING_STATUS=OR","EQY_CONSOLIDATED=Y","Sort=A","Dates=H","DateFormat=P","Fill=—","Direction=H","UseDPDF=Y")</f>
        <v>#NAME?</v>
      </c>
      <c r="AZ261" s="2" t="e">
        <f ca="1">_xll.BDH($C$253,"SHORT_TERM_DEBT_5_YEAR_GROWTH","FQ3 2015","FQ3 2015","Currency=INR","Period=FQ","BEST_FPERIOD_OVERRIDE=FQ","FILING_STATUS=OR","EQY_CONSOLIDATED=Y","Sort=A","Dates=H","DateFormat=P","Fill=—","Direction=H","UseDPDF=Y")</f>
        <v>#NAME?</v>
      </c>
      <c r="BA261" s="2" t="e">
        <f ca="1">_xll.BDH($C$253,"TOTAL_DEBT_5_YEAR_GROWTH","FQ3 2015","FQ3 2015","Currency=INR","Period=FQ","BEST_FPERIOD_OVERRIDE=FQ","FILING_STATUS=OR","EQY_CONSOLIDATED=Y","Sort=A","Dates=H","DateFormat=P","Fill=—","Direction=H","UseDPDF=Y")</f>
        <v>#NAME?</v>
      </c>
      <c r="BB261" s="2" t="e">
        <f ca="1">_xll.BDH($C$253,"GEO_GROW_TOT_SHRHLDR_EQY","FQ3 2015","FQ3 2015","Currency=INR","Period=FQ","BEST_FPERIOD_OVERRIDE=FQ","FILING_STATUS=OR","EQY_CONSOLIDATED=Y","Sort=A","Dates=H","DateFormat=P","Fill=—","Direction=H","UseDPDF=Y")</f>
        <v>#NAME?</v>
      </c>
      <c r="BC261" s="2" t="e">
        <f ca="1">_xll.BDH($C$253,"TOTAL_CAPITAL_5_YEAR_GROWTH","FQ3 2015","FQ3 2015","Currency=INR","Period=FQ","BEST_FPERIOD_OVERRIDE=FQ","FILING_STATUS=OR","EQY_CONSOLIDATED=Y","Sort=A","Dates=H","DateFormat=P","Fill=—","Direction=H","UseDPDF=Y")</f>
        <v>#NAME?</v>
      </c>
      <c r="BD261" s="2" t="e">
        <f ca="1">_xll.BDH($C$253,"GEO_GROW_BOOK_VAL","FQ3 2015","FQ3 2015","Currency=INR","Period=FQ","BEST_FPERIOD_OVERRIDE=FQ","FILING_STATUS=OR","EQY_CONSOLIDATED=Y","Sort=A","Dates=H","DateFormat=P","Fill=—","Direction=H","UseDPDF=Y")</f>
        <v>#NAME?</v>
      </c>
      <c r="BE261" s="2" t="e">
        <f ca="1">_xll.BDH($C$253,"GEO_GROW_CASH_OPER_ACT","FQ3 2015","FQ3 2015","Currency=INR","Period=FQ","BEST_FPERIOD_OVERRIDE=FQ","FILING_STATUS=OR","EQY_CONSOLIDATED=Y","Sort=A","Dates=H","DateFormat=P","Fill=—","Direction=H","UseDPDF=Y")</f>
        <v>#NAME?</v>
      </c>
      <c r="BF261" s="2" t="e">
        <f ca="1">_xll.BDH($C$253,"REVENUE_SEQUENTIAL_GROWTH","FQ3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61" s="2" t="e">
        <f ca="1">_xll.BDH($C$253,"EBITDA_SEQUENTIAL_GROWTH","FQ3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61" s="2" t="e">
        <f ca="1">_xll.BDH($C$253,"OPERATING_INCOME_SEQ_GROWTH","FQ3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61" s="2" t="e">
        <f ca="1">_xll.BDH($C$253,"NET_INCOME_TO_COMMON_SEQ_GROWTH","FQ3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61" s="2" t="e">
        <f ca="1">_xll.BDH($C$253,"EPS_DILUTED_SEQUENTIAL_GROWTH","FQ3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61" s="2" t="e">
        <f ca="1">_xll.BDH($C$253,"DPS_SEQUENTIAL_GROWTH","FQ3 2015","FQ3 2015","Currency=INR","Period=FQ","BEST_FPERIOD_OVERRIDE=FQ","FILING_STATUS=OR","EQY_CONSOLIDATED=Y","Sort=A","Dates=H","DateFormat=P","Fill=—","Direction=H","UseDPDF=Y")</f>
        <v>#NAME?</v>
      </c>
      <c r="BL261" s="2" t="e">
        <f ca="1">_xll.BDH($C$253,"ACCOUNTS_RECEIVABLE_SEQ_GROWTH","FQ3 2015","FQ3 2015","Currency=INR","Period=FQ","BEST_FPERIOD_OVERRIDE=FQ","FILING_STATUS=OR","EQY_CONSOLIDATED=Y","Sort=A","Dates=H","DateFormat=P","Fill=—","Direction=H","UseDPDF=Y")</f>
        <v>#NAME?</v>
      </c>
      <c r="BM261" s="2" t="e">
        <f ca="1">_xll.BDH($C$253,"INVENTORY_SEQUENTIAL_GROWTH","FQ3 2015","FQ3 2015","Currency=INR","Period=FQ","BEST_FPERIOD_OVERRIDE=FQ","FILING_STATUS=OR","EQY_CONSOLIDATED=Y","Sort=A","Dates=H","DateFormat=P","Fill=—","Direction=H","UseDPDF=Y")</f>
        <v>#NAME?</v>
      </c>
      <c r="BN261" s="2" t="e">
        <f ca="1">_xll.BDH($C$253,"FIXED_ASSETS_SEQUENTIAL_GROWTH","FQ3 2015","FQ3 2015","Currency=INR","Period=FQ","BEST_FPERIOD_OVERRIDE=FQ","FILING_STATUS=OR","EQY_CONSOLIDATED=Y","Sort=A","Dates=H","DateFormat=P","Fill=—","Direction=H","UseDPDF=Y")</f>
        <v>#NAME?</v>
      </c>
      <c r="BO261" s="2" t="e">
        <f ca="1">_xll.BDH($C$253,"TOTAL_ASSETS_SEQUENTIAL_GROWTH","FQ3 2015","FQ3 2015","Currency=INR","Period=FQ","BEST_FPERIOD_OVERRIDE=FQ","FILING_STATUS=OR","EQY_CONSOLIDATED=Y","Sort=A","Dates=H","DateFormat=P","Fill=—","Direction=H","UseDPDF=Y")</f>
        <v>#NAME?</v>
      </c>
      <c r="BP261" s="2" t="e">
        <f ca="1">_xll.BDH($C$253,"MODIFIED_WORKING_CPTL_SEQ_GRWTH","FQ3 2015","FQ3 2015","Currency=INR","Period=FQ","BEST_FPERIOD_OVERRIDE=FQ","FILING_STATUS=OR","EQY_CONSOLIDATED=Y","Sort=A","Dates=H","DateFormat=P","Fill=—","Direction=H","UseDPDF=Y")</f>
        <v>#NAME?</v>
      </c>
      <c r="BQ261" s="2" t="e">
        <f ca="1">_xll.BDH($C$253,"WORKING_CAPITAL_SEQ_GROWTH","FQ3 2015","FQ3 2015","Currency=INR","Period=FQ","BEST_FPERIOD_OVERRIDE=FQ","FILING_STATUS=OR","EQY_CONSOLIDATED=Y","Sort=A","Dates=H","DateFormat=P","Fill=—","Direction=H","UseDPDF=Y")</f>
        <v>#NAME?</v>
      </c>
      <c r="BR261" s="2" t="e">
        <f ca="1">_xll.BDH($C$253,"ACCOUNTS_PAYABLE_SEQ_GROWTH","FQ3 2015","FQ3 2015","Currency=INR","Period=FQ","BEST_FPERIOD_OVERRIDE=FQ","FILING_STATUS=OR","EQY_CONSOLIDATED=Y","Sort=A","Dates=H","DateFormat=P","Fill=—","Direction=H","UseDPDF=Y")</f>
        <v>#NAME?</v>
      </c>
      <c r="BS261" s="2" t="e">
        <f ca="1">_xll.BDH($C$253,"ST_DEBT_SEQUENTIAL_GROWTH","FQ3 2015","FQ3 2015","Currency=INR","Period=FQ","BEST_FPERIOD_OVERRIDE=FQ","FILING_STATUS=OR","EQY_CONSOLIDATED=Y","Sort=A","Dates=H","DateFormat=P","Fill=—","Direction=H","UseDPDF=Y")</f>
        <v>#NAME?</v>
      </c>
      <c r="BT261" s="2" t="e">
        <f ca="1">_xll.BDH($C$253,"TOTAL_DEBT_SEQUENTIAL_GROWTH","FQ3 2015","FQ3 2015","Currency=INR","Period=FQ","BEST_FPERIOD_OVERRIDE=FQ","FILING_STATUS=OR","EQY_CONSOLIDATED=Y","Sort=A","Dates=H","DateFormat=P","Fill=—","Direction=H","UseDPDF=Y")</f>
        <v>#NAME?</v>
      </c>
      <c r="BU261" s="2" t="e">
        <f ca="1">_xll.BDH($C$253,"TOTAL_EQUITY_SEQUENTIAL_GROWTH","FQ3 2015","FQ3 2015","Currency=INR","Period=FQ","BEST_FPERIOD_OVERRIDE=FQ","FILING_STATUS=OR","EQY_CONSOLIDATED=Y","Sort=A","Dates=H","DateFormat=P","Fill=—","Direction=H","UseDPDF=Y")</f>
        <v>#NAME?</v>
      </c>
      <c r="BV261" s="2" t="e">
        <f ca="1">_xll.BDH($C$253,"TOTAL_CAPITAL_SEQUENTIAL_GROWTH","FQ3 2015","FQ3 2015","Currency=INR","Period=FQ","BEST_FPERIOD_OVERRIDE=FQ","FILING_STATUS=OR","EQY_CONSOLIDATED=Y","Sort=A","Dates=H","DateFormat=P","Fill=—","Direction=H","UseDPDF=Y")</f>
        <v>#NAME?</v>
      </c>
      <c r="BW261" s="2" t="e">
        <f ca="1">_xll.BDH($C$253,"BPS_SEQUENTIAL_GROWTH","FQ3 2015","FQ3 2015","Currency=INR","Period=FQ","BEST_FPERIOD_OVERRIDE=FQ","FILING_STATUS=OR","EQY_CONSOLIDATED=Y","Sort=A","Dates=H","DateFormat=P","Fill=—","Direction=H","UseDPDF=Y")</f>
        <v>#NAME?</v>
      </c>
      <c r="BX261" s="2" t="e">
        <f ca="1">_xll.BDH($C$253,"CFO_SEQUENTIAL_GROWTH","FQ3 2015","FQ3 2015","Currency=INR","Period=FQ","BEST_FPERIOD_OVERRIDE=FQ","FILING_STATUS=OR","EQY_CONSOLIDATED=Y","Sort=A","Dates=H","DateFormat=P","Fill=—","Direction=H","UseDPDF=Y")</f>
        <v>#NAME?</v>
      </c>
      <c r="BY261" s="3" t="e">
        <f ca="1">_xll.BDH($C$253,"SHORT_AND_LONG_TERM_DEBT","FQ3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61" s="3" t="e">
        <f ca="1">_xll.BDH($C$253,"BS_ST_BORROW","FQ3 2015","FQ3 2015","Currency=INR","Period=FQ","BEST_FPERIOD_OVERRIDE=FQ","FILING_STATUS=OR","EQY_CONSOLIDATED=Y","SCALING_FORMAT=MLN","Sort=A","Dates=H","DateFormat=P","Fill=—","Direction=H","UseDPDF=Y")</f>
        <v>#NAME?</v>
      </c>
      <c r="CA261" s="3" t="e">
        <f ca="1">_xll.BDH($C$253,"BS_LT_BORROW","FQ3 2015","FQ3 2015","Currency=INR","Period=FQ","BEST_FPERIOD_OVERRIDE=FQ","FILING_STATUS=OR","EQY_CONSOLIDATED=Y","SCALING_FORMAT=MLN","Sort=A","Dates=H","DateFormat=P","Fill=—","Direction=H","UseDPDF=Y")</f>
        <v>#NAME?</v>
      </c>
      <c r="CB261" s="2" t="e">
        <f ca="1">_xll.BDH($C$253,"TOT_DEBT_TO_EBITDA","FQ3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61" s="2" t="e">
        <f ca="1">_xll.BDH($C$253,"NET_DEBT_TO_EBITDA","FQ3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61" s="2" t="e">
        <f ca="1">_xll.BDH($C$253,"TOTAL_DEBT_TO_EBIT","FQ3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61" s="2" t="e">
        <f ca="1">_xll.BDH($C$253,"NET_DEBT_TO_EBIT","FQ3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261" s="2" t="e">
        <f ca="1">_xll.BDH($C$253,"EBITDA_TO_INTEREST_EXPN","FQ3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61" s="2" t="e">
        <f ca="1">_xll.BDH($C$253,"COM_EQY_TO_TOT_ASSET","FQ3 2015","FQ3 2015","Currency=INR","Period=FQ","BEST_FPERIOD_OVERRIDE=FQ","FILING_STATUS=OR","EQY_CONSOLIDATED=Y","Sort=A","Dates=H","DateFormat=P","Fill=—","Direction=H","UseDPDF=Y")</f>
        <v>#NAME?</v>
      </c>
      <c r="CH261" s="2" t="e">
        <f ca="1">_xll.BDH($C$253,"LT_DEBT_TO_TOT_EQY","FQ3 2015","FQ3 2015","Currency=INR","Period=FQ","BEST_FPERIOD_OVERRIDE=FQ","FILING_STATUS=OR","EQY_CONSOLIDATED=Y","Sort=A","Dates=H","DateFormat=P","Fill=—","Direction=H","UseDPDF=Y")</f>
        <v>#NAME?</v>
      </c>
      <c r="CI261" s="2" t="e">
        <f ca="1">_xll.BDH($C$253,"LT_DEBT_TO_TOT_CAP","FQ3 2015","FQ3 2015","Currency=INR","Period=FQ","BEST_FPERIOD_OVERRIDE=FQ","FILING_STATUS=OR","EQY_CONSOLIDATED=Y","Sort=A","Dates=H","DateFormat=P","Fill=—","Direction=H","UseDPDF=Y")</f>
        <v>#NAME?</v>
      </c>
      <c r="CJ261" s="2" t="e">
        <f ca="1">_xll.BDH($C$253,"LT_DEBT_TO_TOT_ASSET","FQ3 2015","FQ3 2015","Currency=INR","Period=FQ","BEST_FPERIOD_OVERRIDE=FQ","FILING_STATUS=OR","EQY_CONSOLIDATED=Y","Sort=A","Dates=H","DateFormat=P","Fill=—","Direction=H","UseDPDF=Y")</f>
        <v>#NAME?</v>
      </c>
      <c r="CK261" s="2" t="e">
        <f ca="1">_xll.BDH($C$253,"TOT_DEBT_TO_TOT_EQY","FQ3 2015","FQ3 2015","Currency=INR","Period=FQ","BEST_FPERIOD_OVERRIDE=FQ","FILING_STATUS=OR","EQY_CONSOLIDATED=Y","Sort=A","Dates=H","DateFormat=P","Fill=—","Direction=H","UseDPDF=Y")</f>
        <v>#NAME?</v>
      </c>
      <c r="CL261" s="2" t="e">
        <f ca="1">_xll.BDH($C$253,"TOT_DEBT_TO_TOT_CAP","FQ3 2015","FQ3 2015","Currency=INR","Period=FQ","BEST_FPERIOD_OVERRIDE=FQ","FILING_STATUS=OR","EQY_CONSOLIDATED=Y","Sort=A","Dates=H","DateFormat=P","Fill=—","Direction=H","UseDPDF=Y")</f>
        <v>#NAME?</v>
      </c>
      <c r="CM261" s="2" t="e">
        <f ca="1">_xll.BDH($C$253,"TOT_DEBT_TO_TOT_ASSET","FQ3 2015","FQ3 2015","Currency=INR","Period=FQ","BEST_FPERIOD_OVERRIDE=FQ","FILING_STATUS=OR","EQY_CONSOLIDATED=Y","Sort=A","Dates=H","DateFormat=P","Fill=—","Direction=H","UseDPDF=Y")</f>
        <v>#NAME?</v>
      </c>
      <c r="CN261" s="2" t="e">
        <f ca="1">_xll.BDH($C$253,"NET_DEBT_TO_SHRHLDR_EQTY","FQ3 2015","FQ3 2015","Currency=INR","Period=FQ","BEST_FPERIOD_OVERRIDE=FQ","FILING_STATUS=OR","EQY_CONSOLIDATED=Y","Sort=A","Dates=H","DateFormat=P","Fill=—","Direction=H","UseDPDF=Y")</f>
        <v>#NAME?</v>
      </c>
      <c r="CO261" s="2" t="e">
        <f ca="1">_xll.BDH($C$253,"NET_DEBT_%_CAPITAL","FQ3 2015","FQ3 2015","Currency=INR","Period=FQ","BEST_FPERIOD_OVERRIDE=FQ","FILING_STATUS=OR","EQY_CONSOLIDATED=Y","Sort=A","Dates=H","DateFormat=P","Fill=—","Direction=H","UseDPDF=Y")</f>
        <v>#NAME?</v>
      </c>
      <c r="CP261" s="3" t="e">
        <f ca="1">_xll.BDH($C$253,"EBITDA","FQ3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61" s="3" t="e">
        <f ca="1">_xll.BDH($C$253,"EBITDA_AFTER_CAPEX","FQ3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61" s="3" t="e">
        <f ca="1">_xll.BDH($C$253,"IS_OPER_INC","FQ3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61" s="2" t="e">
        <f ca="1">_xll.BDH($C$253,"CASH_RATIO","FQ3 2015","FQ3 2015","Currency=INR","Period=FQ","BEST_FPERIOD_OVERRIDE=FQ","FILING_STATUS=OR","EQY_CONSOLIDATED=Y","Sort=A","Dates=H","DateFormat=P","Fill=—","Direction=H","UseDPDF=Y")</f>
        <v>#NAME?</v>
      </c>
      <c r="CT261" s="2" t="e">
        <f ca="1">_xll.BDH($C$253,"CUR_RATIO","FQ3 2015","FQ3 2015","Currency=INR","Period=FQ","BEST_FPERIOD_OVERRIDE=FQ","FILING_STATUS=OR","EQY_CONSOLIDATED=Y","Sort=A","Dates=H","DateFormat=P","Fill=—","Direction=H","UseDPDF=Y")</f>
        <v>#NAME?</v>
      </c>
      <c r="CU261" s="2" t="e">
        <f ca="1">_xll.BDH($C$253,"QUICK_RATIO","FQ3 2015","FQ3 2015","Currency=INR","Period=FQ","BEST_FPERIOD_OVERRIDE=FQ","FILING_STATUS=OR","EQY_CONSOLIDATED=Y","Sort=A","Dates=H","DateFormat=P","Fill=—","Direction=H","UseDPDF=Y")</f>
        <v>#NAME?</v>
      </c>
      <c r="CV261" s="2" t="e">
        <f ca="1">_xll.BDH($C$253,"ALTMAN_Z_SCORE","FQ3 2015","FQ3 2015","Currency=INR","Period=FQ","BEST_FPERIOD_OVERRIDE=FQ","FILING_STATUS=OR","EQY_CONSOLIDATED=Y","Sort=A","Dates=H","DateFormat=P","Fill=—","Direction=H","UseDPDF=Y")</f>
        <v>#NAME?</v>
      </c>
      <c r="CW261" s="4" t="e">
        <f ca="1">_xll.BDH($C$253,"ACCT_RCV_TURN","FQ3 2015","FQ3 2015","Currency=INR","Period=FQ","BEST_FPERIOD_OVERRIDE=FQ","FILING_STATUS=OR","EQY_CONSOLIDATED=Y","FA_ADJUSTED=GAAP","Sort=A","Dates=H","DateFormat=P","Fill=—","Direction=H","UseDPDF=Y")</f>
        <v>#NAME?</v>
      </c>
      <c r="CX261" s="2" t="e">
        <f ca="1">_xll.BDH($C$253,"ACCT_RCV_DAYS","FQ3 2015","FQ3 2015","Currency=INR","Period=FQ","BEST_FPERIOD_OVERRIDE=FQ","FILING_STATUS=OR","EQY_CONSOLIDATED=Y","FA_ADJUSTED=GAAP","Sort=A","Dates=H","DateFormat=P","Fill=—","Direction=H","UseDPDF=Y")</f>
        <v>#NAME?</v>
      </c>
      <c r="CY261" s="4" t="e">
        <f ca="1">_xll.BDH($C$253,"INVENT_TURN","FQ3 2015","FQ3 2015","Currency=INR","Period=FQ","BEST_FPERIOD_OVERRIDE=FQ","FILING_STATUS=OR","EQY_CONSOLIDATED=Y","FA_ADJUSTED=GAAP","Sort=A","Dates=H","DateFormat=P","Fill=—","Direction=H","UseDPDF=Y")</f>
        <v>#NAME?</v>
      </c>
      <c r="CZ261" s="2" t="e">
        <f ca="1">_xll.BDH($C$253,"INVENT_DAYS","FQ3 2015","FQ3 2015","Currency=INR","Period=FQ","BEST_FPERIOD_OVERRIDE=FQ","FILING_STATUS=OR","EQY_CONSOLIDATED=Y","FA_ADJUSTED=GAAP","Sort=A","Dates=H","DateFormat=P","Fill=—","Direction=H","UseDPDF=Y")</f>
        <v>#NAME?</v>
      </c>
      <c r="DA261" s="4" t="e">
        <f ca="1">_xll.BDH($C$253,"ACCOUNTS_PAYABLE_TURNOVER","FQ3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61" s="2" t="e">
        <f ca="1">_xll.BDH($C$253,"ACCOUNTS_PAYABLE_TURNOVER_DAYS","FQ3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61" s="4" t="e">
        <f ca="1">_xll.BDH($C$253,"CASH_CONVERSION_CYCLE","FQ3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61" s="4" t="e">
        <f ca="1">_xll.BDH($C$253,"INV_TO_CASH_DAYS","FQ3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261" s="5" t="e">
        <f ca="1">_xll.BDH($C$253,"BS_INVENTORIES","FQ3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261" s="3" t="e">
        <f ca="1">_xll.BDH($C$253,"INVTRY_RAW_MATERIALS","FQ3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61" s="3" t="e">
        <f ca="1">_xll.BDH($C$253,"INVTRY_IN_PROGRESS","FQ3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61" s="3" t="e">
        <f ca="1">_xll.BDH($C$253,"INVTRY_FINISHED_GOODS","FQ3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61" s="3" t="e">
        <f ca="1">_xll.BDH($C$253,"BS_OTHER_INV","FQ3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62" spans="1:113" x14ac:dyDescent="0.3">
      <c r="A262" s="6"/>
      <c r="B262" s="6"/>
      <c r="C262" s="6"/>
      <c r="D262" s="6"/>
      <c r="E262" t="s">
        <v>81</v>
      </c>
      <c r="F262" t="e">
        <f ca="1">_xll.BDH($C$253,"RETURN_COM_EQY","FQ4 2015","FQ4 2015","Currency=INR","Period=FQ","BEST_FPERIOD_OVERRIDE=FQ","FILING_STATUS=OR","EQY_CONSOLIDATED=Y","FA_ADJUSTED=GAAP","Sort=A","Dates=H","DateFormat=P","Fill=—","Direction=H","UseDPDF=Y")</f>
        <v>#NAME?</v>
      </c>
      <c r="G262" t="e">
        <f ca="1">_xll.BDH($C$253,"RETURN_ON_ASSET","FQ4 2015","FQ4 2015","Currency=INR","Period=FQ","BEST_FPERIOD_OVERRIDE=FQ","FILING_STATUS=OR","EQY_CONSOLIDATED=Y","FA_ADJUSTED=GAAP","Sort=A","Dates=H","DateFormat=P","Fill=—","Direction=H","UseDPDF=Y")</f>
        <v>#NAME?</v>
      </c>
      <c r="H262" t="e">
        <f ca="1">_xll.BDH($C$253,"RETURN_ON_CAP","FQ4 2015","FQ4 2015","Currency=INR","Period=FQ","BEST_FPERIOD_OVERRIDE=FQ","FILING_STATUS=OR","EQY_CONSOLIDATED=Y","FA_ADJUSTED=GAAP","Sort=A","Dates=H","DateFormat=P","Fill=—","Direction=H","UseDPDF=Y")</f>
        <v>#NAME?</v>
      </c>
      <c r="I262" t="e">
        <f ca="1">_xll.BDH($C$253,"RETURN_ON_INV_CAPITAL","FQ4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62" t="e">
        <f ca="1">_xll.BDH($C$253,"EBITDA_TO_REVENUE","FQ4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262" t="e">
        <f ca="1">_xll.BDH($C$253,"OPER_MARGIN","FQ4 2015","FQ4 2015","Currency=INR","Period=FQ","BEST_FPERIOD_OVERRIDE=FQ","FILING_STATUS=OR","EQY_CONSOLIDATED=Y","FA_ADJUSTED=GAAP","Sort=A","Dates=H","DateFormat=P","Fill=—","Direction=H","UseDPDF=Y")</f>
        <v>#NAME?</v>
      </c>
      <c r="L262" t="e">
        <f ca="1">_xll.BDH($C$253,"INCREMENTAL_OPERATING_MARGIN","FQ4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62" t="e">
        <f ca="1">_xll.BDH($C$253,"PRETAX_INC_TO_NET_SALES","FQ4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62" t="e">
        <f ca="1">_xll.BDH($C$253,"INC_BEF_XO_ITEMS_TO_NET_SALES","FQ4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62" t="e">
        <f ca="1">_xll.BDH($C$253,"PROF_MARGIN","FQ4 2015","FQ4 2015","Currency=INR","Period=FQ","BEST_FPERIOD_OVERRIDE=FQ","FILING_STATUS=OR","EQY_CONSOLIDATED=Y","FA_ADJUSTED=GAAP","Sort=A","Dates=H","DateFormat=P","Fill=—","Direction=H","UseDPDF=Y")</f>
        <v>#NAME?</v>
      </c>
      <c r="P262" t="e">
        <f ca="1">_xll.BDH($C$253,"NET_INCOME_TO_COMMON_MARGIN","FQ4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62" t="e">
        <f ca="1">_xll.BDH($C$253,"EFF_TAX_RATE","FQ4 2015","FQ4 2015","Currency=INR","Period=FQ","BEST_FPERIOD_OVERRIDE=FQ","FILING_STATUS=OR","EQY_CONSOLIDATED=Y","FA_ADJUSTED=GAAP","Sort=A","Dates=H","DateFormat=P","Fill=—","Direction=H","UseDPDF=Y")</f>
        <v>#NAME?</v>
      </c>
      <c r="R262" t="e">
        <f ca="1">_xll.BDH($C$253,"DVD_PAYOUT_RATIO","FQ4 2015","FQ4 2015","Currency=INR","Period=FQ","BEST_FPERIOD_OVERRIDE=FQ","FILING_STATUS=OR","EQY_CONSOLIDATED=Y","FA_ADJUSTED=GAAP","Sort=A","Dates=H","DateFormat=P","Fill=—","Direction=H","UseDPDF=Y")</f>
        <v>#NAME?</v>
      </c>
      <c r="S262" t="e">
        <f ca="1">_xll.BDH($C$253,"SUSTAIN_GROWTH_RT","FQ4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262" s="2" t="e">
        <f ca="1">_xll.BDH($C$253,"SALES_GROWTH","FQ4 2015","FQ4 2015","Currency=INR","Period=FQ","BEST_FPERIOD_OVERRIDE=FQ","FILING_STATUS=OR","EQY_CONSOLIDATED=Y","FA_ADJUSTED=GAAP","Sort=A","Dates=H","DateFormat=P","Fill=—","Direction=H","UseDPDF=Y")</f>
        <v>#NAME?</v>
      </c>
      <c r="U262" s="2" t="e">
        <f ca="1">_xll.BDH($C$253,"EBITDA_GROWTH","FQ4 2015","FQ4 2015","Currency=INR","Period=FQ","BEST_FPERIOD_OVERRIDE=FQ","FILING_STATUS=OR","EQY_CONSOLIDATED=Y","FA_ADJUSTED=GAAP","Sort=A","Dates=H","DateFormat=P","Fill=—","Direction=H","UseDPDF=Y")</f>
        <v>#NAME?</v>
      </c>
      <c r="V262" s="2" t="e">
        <f ca="1">_xll.BDH($C$253,"OPER_INC_GROWTH","FQ4 2015","FQ4 2015","Currency=INR","Period=FQ","BEST_FPERIOD_OVERRIDE=FQ","FILING_STATUS=OR","EQY_CONSOLIDATED=Y","FA_ADJUSTED=GAAP","Sort=A","Dates=H","DateFormat=P","Fill=—","Direction=H","UseDPDF=Y")</f>
        <v>#NAME?</v>
      </c>
      <c r="W262" s="2" t="e">
        <f ca="1">_xll.BDH($C$253,"EARN_FOR_COM_GROWTH","FQ4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62" s="2" t="e">
        <f ca="1">_xll.BDH($C$253,"DILUTED_EPS_AFT_XO_ITEMS_GROWTH","FQ4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62" s="2" t="e">
        <f ca="1">_xll.BDH($C$253,"DIVIDEND_PER_SHARE_1_YEAR_GROWTH","FQ4 2015","FQ4 2015","Currency=INR","Period=FQ","BEST_FPERIOD_OVERRIDE=FQ","FILING_STATUS=OR","EQY_CONSOLIDATED=Y","Sort=A","Dates=H","DateFormat=P","Fill=—","Direction=H","UseDPDF=Y")</f>
        <v>#NAME?</v>
      </c>
      <c r="Z262" s="2" t="e">
        <f ca="1">_xll.BDH($C$253,"ACCOUNTS_RECEIVABLE_GROWTH","FQ4 2015","FQ4 2015","Currency=INR","Period=FQ","BEST_FPERIOD_OVERRIDE=FQ","FILING_STATUS=OR","EQY_CONSOLIDATED=Y","Sort=A","Dates=H","DateFormat=P","Fill=—","Direction=H","UseDPDF=Y")</f>
        <v>#NAME?</v>
      </c>
      <c r="AA262" s="2" t="e">
        <f ca="1">_xll.BDH($C$253,"INVENTORY_GROWTH","FQ4 2015","FQ4 2015","Currency=INR","Period=FQ","BEST_FPERIOD_OVERRIDE=FQ","FILING_STATUS=OR","EQY_CONSOLIDATED=Y","Sort=A","Dates=H","DateFormat=P","Fill=—","Direction=H","UseDPDF=Y")</f>
        <v>#NAME?</v>
      </c>
      <c r="AB262" s="2" t="e">
        <f ca="1">_xll.BDH($C$253,"NET_FIXED_ASSETS_1_YEAR_GROWTH","FQ4 2015","FQ4 2015","Currency=INR","Period=FQ","BEST_FPERIOD_OVERRIDE=FQ","FILING_STATUS=OR","EQY_CONSOLIDATED=Y","Sort=A","Dates=H","DateFormat=P","Fill=—","Direction=H","UseDPDF=Y")</f>
        <v>#NAME?</v>
      </c>
      <c r="AC262" s="2" t="e">
        <f ca="1">_xll.BDH($C$253,"ASSET_GROWTH","FQ4 2015","FQ4 2015","Currency=INR","Period=FQ","BEST_FPERIOD_OVERRIDE=FQ","FILING_STATUS=OR","EQY_CONSOLIDATED=Y","Sort=A","Dates=H","DateFormat=P","Fill=—","Direction=H","UseDPDF=Y")</f>
        <v>#NAME?</v>
      </c>
      <c r="AD262" s="2" t="e">
        <f ca="1">_xll.BDH($C$253,"MODIFIED_WORK_CAP_GROWTH","FQ4 2015","FQ4 2015","Currency=INR","Period=FQ","BEST_FPERIOD_OVERRIDE=FQ","FILING_STATUS=OR","EQY_CONSOLIDATED=Y","Sort=A","Dates=H","DateFormat=P","Fill=—","Direction=H","UseDPDF=Y")</f>
        <v>#NAME?</v>
      </c>
      <c r="AE262" s="2" t="e">
        <f ca="1">_xll.BDH($C$253,"WORK_CAP_GROWTH","FQ4 2015","FQ4 2015","Currency=INR","Period=FQ","BEST_FPERIOD_OVERRIDE=FQ","FILING_STATUS=OR","EQY_CONSOLIDATED=Y","Sort=A","Dates=H","DateFormat=P","Fill=—","Direction=H","UseDPDF=Y")</f>
        <v>#NAME?</v>
      </c>
      <c r="AF262" s="2" t="e">
        <f ca="1">_xll.BDH($C$253,"ACCOUNTS_PAYABLE_GROWTH_1YR","FQ4 2015","FQ4 2015","Currency=INR","Period=FQ","BEST_FPERIOD_OVERRIDE=FQ","FILING_STATUS=OR","EQY_CONSOLIDATED=Y","Sort=A","Dates=H","DateFormat=P","Fill=—","Direction=H","UseDPDF=Y")</f>
        <v>#NAME?</v>
      </c>
      <c r="AG262" s="2" t="e">
        <f ca="1">_xll.BDH($C$253,"SHORT_TERM_DEBT_1_YEAR_GROWTH","FQ4 2015","FQ4 2015","Currency=INR","Period=FQ","BEST_FPERIOD_OVERRIDE=FQ","FILING_STATUS=OR","EQY_CONSOLIDATED=Y","Sort=A","Dates=H","DateFormat=P","Fill=—","Direction=H","UseDPDF=Y")</f>
        <v>#NAME?</v>
      </c>
      <c r="AH262" s="2" t="e">
        <f ca="1">_xll.BDH($C$253,"TOTAL_DEBT_1_YEAR_GROWTH","FQ4 2015","FQ4 2015","Currency=INR","Period=FQ","BEST_FPERIOD_OVERRIDE=FQ","FILING_STATUS=OR","EQY_CONSOLIDATED=Y","Sort=A","Dates=H","DateFormat=P","Fill=—","Direction=H","UseDPDF=Y")</f>
        <v>#NAME?</v>
      </c>
      <c r="AI262" s="2" t="e">
        <f ca="1">_xll.BDH($C$253,"TOTAL_EQUITY_1_YEAR_GROWTH","FQ4 2015","FQ4 2015","Currency=INR","Period=FQ","BEST_FPERIOD_OVERRIDE=FQ","FILING_STATUS=OR","EQY_CONSOLIDATED=Y","Sort=A","Dates=H","DateFormat=P","Fill=—","Direction=H","UseDPDF=Y")</f>
        <v>#NAME?</v>
      </c>
      <c r="AJ262" s="2" t="e">
        <f ca="1">_xll.BDH($C$253,"GROWTH_IN_CAP","FQ4 2015","FQ4 2015","Currency=INR","Period=FQ","BEST_FPERIOD_OVERRIDE=FQ","FILING_STATUS=OR","EQY_CONSOLIDATED=Y","Sort=A","Dates=H","DateFormat=P","Fill=—","Direction=H","UseDPDF=Y")</f>
        <v>#NAME?</v>
      </c>
      <c r="AK262" s="2" t="e">
        <f ca="1">_xll.BDH($C$253,"BVPS_GROWTH","FQ4 2015","FQ4 2015","Currency=INR","Period=FQ","BEST_FPERIOD_OVERRIDE=FQ","FILING_STATUS=OR","EQY_CONSOLIDATED=Y","Sort=A","Dates=H","DateFormat=P","Fill=—","Direction=H","UseDPDF=Y")</f>
        <v>#NAME?</v>
      </c>
      <c r="AL262" s="2" t="e">
        <f ca="1">_xll.BDH($C$253,"CASH_FLOW_GROWTH","FQ4 2015","FQ4 2015","Currency=INR","Period=FQ","BEST_FPERIOD_OVERRIDE=FQ","FILING_STATUS=OR","EQY_CONSOLIDATED=Y","Sort=A","Dates=H","DateFormat=P","Fill=—","Direction=H","UseDPDF=Y")</f>
        <v>#NAME?</v>
      </c>
      <c r="AM262" s="2" t="e">
        <f ca="1">_xll.BDH($C$253,"GEO_GROW_NET_SALES","FQ4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62" s="2" t="e">
        <f ca="1">_xll.BDH($C$253,"GEO_GROW_EBITDA","FQ4 2015","FQ4 2015","Currency=INR","Period=FQ","BEST_FPERIOD_OVERRIDE=FQ","FILING_STATUS=OR","EQY_CONSOLIDATED=Y","FA_ADJUSTED=GAAP","Sort=A","Dates=H","DateFormat=P","Fill=—","Direction=H","UseDPDF=Y")</f>
        <v>#NAME?</v>
      </c>
      <c r="AO262" s="2" t="e">
        <f ca="1">_xll.BDH($C$253,"GEO_GROW_OPER_INC","FQ4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62" s="2" t="e">
        <f ca="1">_xll.BDH($C$253,"NET_INCOME_TO_COMMON_5_YR_GROWTH","FQ4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62" s="2" t="e">
        <f ca="1">_xll.BDH($C$253,"5Y_GEO_GROWTH_DILUTED_EPS","FQ4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62" s="2" t="e">
        <f ca="1">_xll.BDH($C$253,"GEO_GROW_DVD_PER_SH","FQ4 2015","FQ4 2015","Currency=INR","Period=FQ","BEST_FPERIOD_OVERRIDE=FQ","FILING_STATUS=OR","EQY_CONSOLIDATED=Y","Sort=A","Dates=H","DateFormat=P","Fill=—","Direction=H","UseDPDF=Y")</f>
        <v>#NAME?</v>
      </c>
      <c r="AS262" s="2" t="e">
        <f ca="1">_xll.BDH($C$253,"ACCOUNTS_RECEIVABLE_5_YR_GROWTH","FQ4 2015","FQ4 2015","Currency=INR","Period=FQ","BEST_FPERIOD_OVERRIDE=FQ","FILING_STATUS=OR","EQY_CONSOLIDATED=Y","Sort=A","Dates=H","DateFormat=P","Fill=—","Direction=H","UseDPDF=Y")</f>
        <v>#NAME?</v>
      </c>
      <c r="AT262" s="2" t="e">
        <f ca="1">_xll.BDH($C$253,"INVENTORY_5_YEAR_GROWTH","FQ4 2015","FQ4 2015","Currency=INR","Period=FQ","BEST_FPERIOD_OVERRIDE=FQ","FILING_STATUS=OR","EQY_CONSOLIDATED=Y","Sort=A","Dates=H","DateFormat=P","Fill=—","Direction=H","UseDPDF=Y")</f>
        <v>#NAME?</v>
      </c>
      <c r="AU262" s="2" t="e">
        <f ca="1">_xll.BDH($C$253,"NET_FIXED_ASSETS_5_YEAR_GROWTH","FQ4 2015","FQ4 2015","Currency=INR","Period=FQ","BEST_FPERIOD_OVERRIDE=FQ","FILING_STATUS=OR","EQY_CONSOLIDATED=Y","Sort=A","Dates=H","DateFormat=P","Fill=—","Direction=H","UseDPDF=Y")</f>
        <v>#NAME?</v>
      </c>
      <c r="AV262" s="2" t="e">
        <f ca="1">_xll.BDH($C$253,"GEO_GROW_TOT_ASSET","FQ4 2015","FQ4 2015","Currency=INR","Period=FQ","BEST_FPERIOD_OVERRIDE=FQ","FILING_STATUS=OR","EQY_CONSOLIDATED=Y","Sort=A","Dates=H","DateFormat=P","Fill=—","Direction=H","UseDPDF=Y")</f>
        <v>#NAME?</v>
      </c>
      <c r="AW262" s="2" t="e">
        <f ca="1">_xll.BDH($C$253,"MODIFIED_WORKING_CPTL_5YR_GRWTH","FQ4 2015","FQ4 2015","Currency=INR","Period=FQ","BEST_FPERIOD_OVERRIDE=FQ","FILING_STATUS=OR","EQY_CONSOLIDATED=Y","Sort=A","Dates=H","DateFormat=P","Fill=—","Direction=H","UseDPDF=Y")</f>
        <v>#NAME?</v>
      </c>
      <c r="AX262" s="2" t="e">
        <f ca="1">_xll.BDH($C$253,"WORKING_CAPITAL_5_YEAR_GROWTH","FQ4 2015","FQ4 2015","Currency=INR","Period=FQ","BEST_FPERIOD_OVERRIDE=FQ","FILING_STATUS=OR","EQY_CONSOLIDATED=Y","Sort=A","Dates=H","DateFormat=P","Fill=—","Direction=H","UseDPDF=Y")</f>
        <v>#NAME?</v>
      </c>
      <c r="AY262" s="2" t="e">
        <f ca="1">_xll.BDH($C$253,"ACCOUNTS_PAYABLE_5_YEAR_GROWTH","FQ4 2015","FQ4 2015","Currency=INR","Period=FQ","BEST_FPERIOD_OVERRIDE=FQ","FILING_STATUS=OR","EQY_CONSOLIDATED=Y","Sort=A","Dates=H","DateFormat=P","Fill=—","Direction=H","UseDPDF=Y")</f>
        <v>#NAME?</v>
      </c>
      <c r="AZ262" s="2" t="e">
        <f ca="1">_xll.BDH($C$253,"SHORT_TERM_DEBT_5_YEAR_GROWTH","FQ4 2015","FQ4 2015","Currency=INR","Period=FQ","BEST_FPERIOD_OVERRIDE=FQ","FILING_STATUS=OR","EQY_CONSOLIDATED=Y","Sort=A","Dates=H","DateFormat=P","Fill=—","Direction=H","UseDPDF=Y")</f>
        <v>#NAME?</v>
      </c>
      <c r="BA262" s="2" t="e">
        <f ca="1">_xll.BDH($C$253,"TOTAL_DEBT_5_YEAR_GROWTH","FQ4 2015","FQ4 2015","Currency=INR","Period=FQ","BEST_FPERIOD_OVERRIDE=FQ","FILING_STATUS=OR","EQY_CONSOLIDATED=Y","Sort=A","Dates=H","DateFormat=P","Fill=—","Direction=H","UseDPDF=Y")</f>
        <v>#NAME?</v>
      </c>
      <c r="BB262" s="2" t="e">
        <f ca="1">_xll.BDH($C$253,"GEO_GROW_TOT_SHRHLDR_EQY","FQ4 2015","FQ4 2015","Currency=INR","Period=FQ","BEST_FPERIOD_OVERRIDE=FQ","FILING_STATUS=OR","EQY_CONSOLIDATED=Y","Sort=A","Dates=H","DateFormat=P","Fill=—","Direction=H","UseDPDF=Y")</f>
        <v>#NAME?</v>
      </c>
      <c r="BC262" s="2" t="e">
        <f ca="1">_xll.BDH($C$253,"TOTAL_CAPITAL_5_YEAR_GROWTH","FQ4 2015","FQ4 2015","Currency=INR","Period=FQ","BEST_FPERIOD_OVERRIDE=FQ","FILING_STATUS=OR","EQY_CONSOLIDATED=Y","Sort=A","Dates=H","DateFormat=P","Fill=—","Direction=H","UseDPDF=Y")</f>
        <v>#NAME?</v>
      </c>
      <c r="BD262" s="2" t="e">
        <f ca="1">_xll.BDH($C$253,"GEO_GROW_BOOK_VAL","FQ4 2015","FQ4 2015","Currency=INR","Period=FQ","BEST_FPERIOD_OVERRIDE=FQ","FILING_STATUS=OR","EQY_CONSOLIDATED=Y","Sort=A","Dates=H","DateFormat=P","Fill=—","Direction=H","UseDPDF=Y")</f>
        <v>#NAME?</v>
      </c>
      <c r="BE262" s="2" t="e">
        <f ca="1">_xll.BDH($C$253,"GEO_GROW_CASH_OPER_ACT","FQ4 2015","FQ4 2015","Currency=INR","Period=FQ","BEST_FPERIOD_OVERRIDE=FQ","FILING_STATUS=OR","EQY_CONSOLIDATED=Y","Sort=A","Dates=H","DateFormat=P","Fill=—","Direction=H","UseDPDF=Y")</f>
        <v>#NAME?</v>
      </c>
      <c r="BF262" s="2" t="e">
        <f ca="1">_xll.BDH($C$253,"REVENUE_SEQUENTIAL_GROWTH","FQ4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62" s="2" t="e">
        <f ca="1">_xll.BDH($C$253,"EBITDA_SEQUENTIAL_GROWTH","FQ4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62" s="2" t="e">
        <f ca="1">_xll.BDH($C$253,"OPERATING_INCOME_SEQ_GROWTH","FQ4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62" s="2" t="e">
        <f ca="1">_xll.BDH($C$253,"NET_INCOME_TO_COMMON_SEQ_GROWTH","FQ4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62" s="2" t="e">
        <f ca="1">_xll.BDH($C$253,"EPS_DILUTED_SEQUENTIAL_GROWTH","FQ4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62" s="2" t="e">
        <f ca="1">_xll.BDH($C$253,"DPS_SEQUENTIAL_GROWTH","FQ4 2015","FQ4 2015","Currency=INR","Period=FQ","BEST_FPERIOD_OVERRIDE=FQ","FILING_STATUS=OR","EQY_CONSOLIDATED=Y","Sort=A","Dates=H","DateFormat=P","Fill=—","Direction=H","UseDPDF=Y")</f>
        <v>#NAME?</v>
      </c>
      <c r="BL262" s="2" t="e">
        <f ca="1">_xll.BDH($C$253,"ACCOUNTS_RECEIVABLE_SEQ_GROWTH","FQ4 2015","FQ4 2015","Currency=INR","Period=FQ","BEST_FPERIOD_OVERRIDE=FQ","FILING_STATUS=OR","EQY_CONSOLIDATED=Y","Sort=A","Dates=H","DateFormat=P","Fill=—","Direction=H","UseDPDF=Y")</f>
        <v>#NAME?</v>
      </c>
      <c r="BM262" s="2" t="e">
        <f ca="1">_xll.BDH($C$253,"INVENTORY_SEQUENTIAL_GROWTH","FQ4 2015","FQ4 2015","Currency=INR","Period=FQ","BEST_FPERIOD_OVERRIDE=FQ","FILING_STATUS=OR","EQY_CONSOLIDATED=Y","Sort=A","Dates=H","DateFormat=P","Fill=—","Direction=H","UseDPDF=Y")</f>
        <v>#NAME?</v>
      </c>
      <c r="BN262" s="2" t="e">
        <f ca="1">_xll.BDH($C$253,"FIXED_ASSETS_SEQUENTIAL_GROWTH","FQ4 2015","FQ4 2015","Currency=INR","Period=FQ","BEST_FPERIOD_OVERRIDE=FQ","FILING_STATUS=OR","EQY_CONSOLIDATED=Y","Sort=A","Dates=H","DateFormat=P","Fill=—","Direction=H","UseDPDF=Y")</f>
        <v>#NAME?</v>
      </c>
      <c r="BO262" s="2" t="e">
        <f ca="1">_xll.BDH($C$253,"TOTAL_ASSETS_SEQUENTIAL_GROWTH","FQ4 2015","FQ4 2015","Currency=INR","Period=FQ","BEST_FPERIOD_OVERRIDE=FQ","FILING_STATUS=OR","EQY_CONSOLIDATED=Y","Sort=A","Dates=H","DateFormat=P","Fill=—","Direction=H","UseDPDF=Y")</f>
        <v>#NAME?</v>
      </c>
      <c r="BP262" s="2" t="e">
        <f ca="1">_xll.BDH($C$253,"MODIFIED_WORKING_CPTL_SEQ_GRWTH","FQ4 2015","FQ4 2015","Currency=INR","Period=FQ","BEST_FPERIOD_OVERRIDE=FQ","FILING_STATUS=OR","EQY_CONSOLIDATED=Y","Sort=A","Dates=H","DateFormat=P","Fill=—","Direction=H","UseDPDF=Y")</f>
        <v>#NAME?</v>
      </c>
      <c r="BQ262" s="2" t="e">
        <f ca="1">_xll.BDH($C$253,"WORKING_CAPITAL_SEQ_GROWTH","FQ4 2015","FQ4 2015","Currency=INR","Period=FQ","BEST_FPERIOD_OVERRIDE=FQ","FILING_STATUS=OR","EQY_CONSOLIDATED=Y","Sort=A","Dates=H","DateFormat=P","Fill=—","Direction=H","UseDPDF=Y")</f>
        <v>#NAME?</v>
      </c>
      <c r="BR262" s="2" t="e">
        <f ca="1">_xll.BDH($C$253,"ACCOUNTS_PAYABLE_SEQ_GROWTH","FQ4 2015","FQ4 2015","Currency=INR","Period=FQ","BEST_FPERIOD_OVERRIDE=FQ","FILING_STATUS=OR","EQY_CONSOLIDATED=Y","Sort=A","Dates=H","DateFormat=P","Fill=—","Direction=H","UseDPDF=Y")</f>
        <v>#NAME?</v>
      </c>
      <c r="BS262" s="2" t="e">
        <f ca="1">_xll.BDH($C$253,"ST_DEBT_SEQUENTIAL_GROWTH","FQ4 2015","FQ4 2015","Currency=INR","Period=FQ","BEST_FPERIOD_OVERRIDE=FQ","FILING_STATUS=OR","EQY_CONSOLIDATED=Y","Sort=A","Dates=H","DateFormat=P","Fill=—","Direction=H","UseDPDF=Y")</f>
        <v>#NAME?</v>
      </c>
      <c r="BT262" s="2" t="e">
        <f ca="1">_xll.BDH($C$253,"TOTAL_DEBT_SEQUENTIAL_GROWTH","FQ4 2015","FQ4 2015","Currency=INR","Period=FQ","BEST_FPERIOD_OVERRIDE=FQ","FILING_STATUS=OR","EQY_CONSOLIDATED=Y","Sort=A","Dates=H","DateFormat=P","Fill=—","Direction=H","UseDPDF=Y")</f>
        <v>#NAME?</v>
      </c>
      <c r="BU262" s="2" t="e">
        <f ca="1">_xll.BDH($C$253,"TOTAL_EQUITY_SEQUENTIAL_GROWTH","FQ4 2015","FQ4 2015","Currency=INR","Period=FQ","BEST_FPERIOD_OVERRIDE=FQ","FILING_STATUS=OR","EQY_CONSOLIDATED=Y","Sort=A","Dates=H","DateFormat=P","Fill=—","Direction=H","UseDPDF=Y")</f>
        <v>#NAME?</v>
      </c>
      <c r="BV262" s="2" t="e">
        <f ca="1">_xll.BDH($C$253,"TOTAL_CAPITAL_SEQUENTIAL_GROWTH","FQ4 2015","FQ4 2015","Currency=INR","Period=FQ","BEST_FPERIOD_OVERRIDE=FQ","FILING_STATUS=OR","EQY_CONSOLIDATED=Y","Sort=A","Dates=H","DateFormat=P","Fill=—","Direction=H","UseDPDF=Y")</f>
        <v>#NAME?</v>
      </c>
      <c r="BW262" s="2" t="e">
        <f ca="1">_xll.BDH($C$253,"BPS_SEQUENTIAL_GROWTH","FQ4 2015","FQ4 2015","Currency=INR","Period=FQ","BEST_FPERIOD_OVERRIDE=FQ","FILING_STATUS=OR","EQY_CONSOLIDATED=Y","Sort=A","Dates=H","DateFormat=P","Fill=—","Direction=H","UseDPDF=Y")</f>
        <v>#NAME?</v>
      </c>
      <c r="BX262" s="2" t="e">
        <f ca="1">_xll.BDH($C$253,"CFO_SEQUENTIAL_GROWTH","FQ4 2015","FQ4 2015","Currency=INR","Period=FQ","BEST_FPERIOD_OVERRIDE=FQ","FILING_STATUS=OR","EQY_CONSOLIDATED=Y","Sort=A","Dates=H","DateFormat=P","Fill=—","Direction=H","UseDPDF=Y")</f>
        <v>#NAME?</v>
      </c>
      <c r="BY262" s="3" t="e">
        <f ca="1">_xll.BDH($C$253,"SHORT_AND_LONG_TERM_DEBT","FQ4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62" s="3" t="e">
        <f ca="1">_xll.BDH($C$253,"BS_ST_BORROW","FQ4 2015","FQ4 2015","Currency=INR","Period=FQ","BEST_FPERIOD_OVERRIDE=FQ","FILING_STATUS=OR","EQY_CONSOLIDATED=Y","SCALING_FORMAT=MLN","Sort=A","Dates=H","DateFormat=P","Fill=—","Direction=H","UseDPDF=Y")</f>
        <v>#NAME?</v>
      </c>
      <c r="CA262" s="3" t="e">
        <f ca="1">_xll.BDH($C$253,"BS_LT_BORROW","FQ4 2015","FQ4 2015","Currency=INR","Period=FQ","BEST_FPERIOD_OVERRIDE=FQ","FILING_STATUS=OR","EQY_CONSOLIDATED=Y","SCALING_FORMAT=MLN","Sort=A","Dates=H","DateFormat=P","Fill=—","Direction=H","UseDPDF=Y")</f>
        <v>#NAME?</v>
      </c>
      <c r="CB262" s="2" t="e">
        <f ca="1">_xll.BDH($C$253,"TOT_DEBT_TO_EBITDA","FQ4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62" s="2" t="e">
        <f ca="1">_xll.BDH($C$253,"NET_DEBT_TO_EBITDA","FQ4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62" s="2" t="e">
        <f ca="1">_xll.BDH($C$253,"TOTAL_DEBT_TO_EBIT","FQ4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62" s="2" t="e">
        <f ca="1">_xll.BDH($C$253,"NET_DEBT_TO_EBIT","FQ4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262" s="2" t="e">
        <f ca="1">_xll.BDH($C$253,"EBITDA_TO_INTEREST_EXPN","FQ4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62" s="2" t="e">
        <f ca="1">_xll.BDH($C$253,"COM_EQY_TO_TOT_ASSET","FQ4 2015","FQ4 2015","Currency=INR","Period=FQ","BEST_FPERIOD_OVERRIDE=FQ","FILING_STATUS=OR","EQY_CONSOLIDATED=Y","Sort=A","Dates=H","DateFormat=P","Fill=—","Direction=H","UseDPDF=Y")</f>
        <v>#NAME?</v>
      </c>
      <c r="CH262" s="2" t="e">
        <f ca="1">_xll.BDH($C$253,"LT_DEBT_TO_TOT_EQY","FQ4 2015","FQ4 2015","Currency=INR","Period=FQ","BEST_FPERIOD_OVERRIDE=FQ","FILING_STATUS=OR","EQY_CONSOLIDATED=Y","Sort=A","Dates=H","DateFormat=P","Fill=—","Direction=H","UseDPDF=Y")</f>
        <v>#NAME?</v>
      </c>
      <c r="CI262" s="2" t="e">
        <f ca="1">_xll.BDH($C$253,"LT_DEBT_TO_TOT_CAP","FQ4 2015","FQ4 2015","Currency=INR","Period=FQ","BEST_FPERIOD_OVERRIDE=FQ","FILING_STATUS=OR","EQY_CONSOLIDATED=Y","Sort=A","Dates=H","DateFormat=P","Fill=—","Direction=H","UseDPDF=Y")</f>
        <v>#NAME?</v>
      </c>
      <c r="CJ262" s="2" t="e">
        <f ca="1">_xll.BDH($C$253,"LT_DEBT_TO_TOT_ASSET","FQ4 2015","FQ4 2015","Currency=INR","Period=FQ","BEST_FPERIOD_OVERRIDE=FQ","FILING_STATUS=OR","EQY_CONSOLIDATED=Y","Sort=A","Dates=H","DateFormat=P","Fill=—","Direction=H","UseDPDF=Y")</f>
        <v>#NAME?</v>
      </c>
      <c r="CK262" s="2" t="e">
        <f ca="1">_xll.BDH($C$253,"TOT_DEBT_TO_TOT_EQY","FQ4 2015","FQ4 2015","Currency=INR","Period=FQ","BEST_FPERIOD_OVERRIDE=FQ","FILING_STATUS=OR","EQY_CONSOLIDATED=Y","Sort=A","Dates=H","DateFormat=P","Fill=—","Direction=H","UseDPDF=Y")</f>
        <v>#NAME?</v>
      </c>
      <c r="CL262" s="2" t="e">
        <f ca="1">_xll.BDH($C$253,"TOT_DEBT_TO_TOT_CAP","FQ4 2015","FQ4 2015","Currency=INR","Period=FQ","BEST_FPERIOD_OVERRIDE=FQ","FILING_STATUS=OR","EQY_CONSOLIDATED=Y","Sort=A","Dates=H","DateFormat=P","Fill=—","Direction=H","UseDPDF=Y")</f>
        <v>#NAME?</v>
      </c>
      <c r="CM262" s="2" t="e">
        <f ca="1">_xll.BDH($C$253,"TOT_DEBT_TO_TOT_ASSET","FQ4 2015","FQ4 2015","Currency=INR","Period=FQ","BEST_FPERIOD_OVERRIDE=FQ","FILING_STATUS=OR","EQY_CONSOLIDATED=Y","Sort=A","Dates=H","DateFormat=P","Fill=—","Direction=H","UseDPDF=Y")</f>
        <v>#NAME?</v>
      </c>
      <c r="CN262" s="2" t="e">
        <f ca="1">_xll.BDH($C$253,"NET_DEBT_TO_SHRHLDR_EQTY","FQ4 2015","FQ4 2015","Currency=INR","Period=FQ","BEST_FPERIOD_OVERRIDE=FQ","FILING_STATUS=OR","EQY_CONSOLIDATED=Y","Sort=A","Dates=H","DateFormat=P","Fill=—","Direction=H","UseDPDF=Y")</f>
        <v>#NAME?</v>
      </c>
      <c r="CO262" s="2" t="e">
        <f ca="1">_xll.BDH($C$253,"NET_DEBT_%_CAPITAL","FQ4 2015","FQ4 2015","Currency=INR","Period=FQ","BEST_FPERIOD_OVERRIDE=FQ","FILING_STATUS=OR","EQY_CONSOLIDATED=Y","Sort=A","Dates=H","DateFormat=P","Fill=—","Direction=H","UseDPDF=Y")</f>
        <v>#NAME?</v>
      </c>
      <c r="CP262" s="3" t="e">
        <f ca="1">_xll.BDH($C$253,"EBITDA","FQ4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62" s="3" t="e">
        <f ca="1">_xll.BDH($C$253,"EBITDA_AFTER_CAPEX","FQ4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62" s="3" t="e">
        <f ca="1">_xll.BDH($C$253,"IS_OPER_INC","FQ4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62" s="2" t="e">
        <f ca="1">_xll.BDH($C$253,"CASH_RATIO","FQ4 2015","FQ4 2015","Currency=INR","Period=FQ","BEST_FPERIOD_OVERRIDE=FQ","FILING_STATUS=OR","EQY_CONSOLIDATED=Y","Sort=A","Dates=H","DateFormat=P","Fill=—","Direction=H","UseDPDF=Y")</f>
        <v>#NAME?</v>
      </c>
      <c r="CT262" s="2" t="e">
        <f ca="1">_xll.BDH($C$253,"CUR_RATIO","FQ4 2015","FQ4 2015","Currency=INR","Period=FQ","BEST_FPERIOD_OVERRIDE=FQ","FILING_STATUS=OR","EQY_CONSOLIDATED=Y","Sort=A","Dates=H","DateFormat=P","Fill=—","Direction=H","UseDPDF=Y")</f>
        <v>#NAME?</v>
      </c>
      <c r="CU262" s="2" t="e">
        <f ca="1">_xll.BDH($C$253,"QUICK_RATIO","FQ4 2015","FQ4 2015","Currency=INR","Period=FQ","BEST_FPERIOD_OVERRIDE=FQ","FILING_STATUS=OR","EQY_CONSOLIDATED=Y","Sort=A","Dates=H","DateFormat=P","Fill=—","Direction=H","UseDPDF=Y")</f>
        <v>#NAME?</v>
      </c>
      <c r="CV262" s="2" t="e">
        <f ca="1">_xll.BDH($C$253,"ALTMAN_Z_SCORE","FQ4 2015","FQ4 2015","Currency=INR","Period=FQ","BEST_FPERIOD_OVERRIDE=FQ","FILING_STATUS=OR","EQY_CONSOLIDATED=Y","Sort=A","Dates=H","DateFormat=P","Fill=—","Direction=H","UseDPDF=Y")</f>
        <v>#NAME?</v>
      </c>
      <c r="CW262" s="4" t="e">
        <f ca="1">_xll.BDH($C$253,"ACCT_RCV_TURN","FQ4 2015","FQ4 2015","Currency=INR","Period=FQ","BEST_FPERIOD_OVERRIDE=FQ","FILING_STATUS=OR","EQY_CONSOLIDATED=Y","FA_ADJUSTED=GAAP","Sort=A","Dates=H","DateFormat=P","Fill=—","Direction=H","UseDPDF=Y")</f>
        <v>#NAME?</v>
      </c>
      <c r="CX262" s="2" t="e">
        <f ca="1">_xll.BDH($C$253,"ACCT_RCV_DAYS","FQ4 2015","FQ4 2015","Currency=INR","Period=FQ","BEST_FPERIOD_OVERRIDE=FQ","FILING_STATUS=OR","EQY_CONSOLIDATED=Y","FA_ADJUSTED=GAAP","Sort=A","Dates=H","DateFormat=P","Fill=—","Direction=H","UseDPDF=Y")</f>
        <v>#NAME?</v>
      </c>
      <c r="CY262" s="4" t="e">
        <f ca="1">_xll.BDH($C$253,"INVENT_TURN","FQ4 2015","FQ4 2015","Currency=INR","Period=FQ","BEST_FPERIOD_OVERRIDE=FQ","FILING_STATUS=OR","EQY_CONSOLIDATED=Y","FA_ADJUSTED=GAAP","Sort=A","Dates=H","DateFormat=P","Fill=—","Direction=H","UseDPDF=Y")</f>
        <v>#NAME?</v>
      </c>
      <c r="CZ262" s="2" t="e">
        <f ca="1">_xll.BDH($C$253,"INVENT_DAYS","FQ4 2015","FQ4 2015","Currency=INR","Period=FQ","BEST_FPERIOD_OVERRIDE=FQ","FILING_STATUS=OR","EQY_CONSOLIDATED=Y","FA_ADJUSTED=GAAP","Sort=A","Dates=H","DateFormat=P","Fill=—","Direction=H","UseDPDF=Y")</f>
        <v>#NAME?</v>
      </c>
      <c r="DA262" s="4" t="e">
        <f ca="1">_xll.BDH($C$253,"ACCOUNTS_PAYABLE_TURNOVER","FQ4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62" s="2" t="e">
        <f ca="1">_xll.BDH($C$253,"ACCOUNTS_PAYABLE_TURNOVER_DAYS","FQ4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62" s="4" t="e">
        <f ca="1">_xll.BDH($C$253,"CASH_CONVERSION_CYCLE","FQ4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62" s="4" t="e">
        <f ca="1">_xll.BDH($C$253,"INV_TO_CASH_DAYS","FQ4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262" s="5" t="e">
        <f ca="1">_xll.BDH($C$253,"BS_INVENTORIES","FQ4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262" s="3" t="e">
        <f ca="1">_xll.BDH($C$253,"INVTRY_RAW_MATERIALS","FQ4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62" s="3" t="e">
        <f ca="1">_xll.BDH($C$253,"INVTRY_IN_PROGRESS","FQ4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62" s="3" t="e">
        <f ca="1">_xll.BDH($C$253,"INVTRY_FINISHED_GOODS","FQ4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62" s="3" t="e">
        <f ca="1">_xll.BDH($C$253,"BS_OTHER_INV","FQ4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63" spans="1:113" x14ac:dyDescent="0.3">
      <c r="A263" s="6"/>
      <c r="B263" s="6"/>
      <c r="C263" s="6"/>
      <c r="D263" s="6" t="s">
        <v>83</v>
      </c>
      <c r="E263" t="s">
        <v>77</v>
      </c>
      <c r="F263" t="e">
        <f ca="1">_xll.BDH($C$253,"RETURN_COM_EQY","FY 2016","FY 2016","Currency=INR","Period=FY","BEST_FPERIOD_OVERRIDE=FY","FILING_STATUS=OR","EQY_CONSOLIDATED=Y","FA_ADJUSTED=GAAP","Sort=A","Dates=H","DateFormat=P","Fill=—","Direction=H","UseDPDF=Y")</f>
        <v>#NAME?</v>
      </c>
      <c r="G263" t="e">
        <f ca="1">_xll.BDH($C$253,"RETURN_ON_ASSET","FY 2016","FY 2016","Currency=INR","Period=FY","BEST_FPERIOD_OVERRIDE=FY","FILING_STATUS=OR","EQY_CONSOLIDATED=Y","FA_ADJUSTED=GAAP","Sort=A","Dates=H","DateFormat=P","Fill=—","Direction=H","UseDPDF=Y")</f>
        <v>#NAME?</v>
      </c>
      <c r="H263" t="e">
        <f ca="1">_xll.BDH($C$253,"RETURN_ON_CAP","FY 2016","FY 2016","Currency=INR","Period=FY","BEST_FPERIOD_OVERRIDE=FY","FILING_STATUS=OR","EQY_CONSOLIDATED=Y","FA_ADJUSTED=GAAP","Sort=A","Dates=H","DateFormat=P","Fill=—","Direction=H","UseDPDF=Y")</f>
        <v>#NAME?</v>
      </c>
      <c r="I263" t="e">
        <f ca="1">_xll.BDH($C$253,"RETURN_ON_INV_CAPITAL","FY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63" t="e">
        <f ca="1">_xll.BDH($C$253,"EBITDA_TO_REVENUE","FY 2016","FY 2016","Currency=INR","Period=FY","BEST_FPERIOD_OVERRIDE=FY","FILING_STATUS=OR","EQY_CONSOLIDATED=Y","FA_ADJUSTED=GAAP","Sort=A","Dates=H","DateFormat=P","Fill=—","Direction=H","UseDPDF=Y")</f>
        <v>#NAME?</v>
      </c>
      <c r="K263" t="e">
        <f ca="1">_xll.BDH($C$253,"OPER_MARGIN","FY 2016","FY 2016","Currency=INR","Period=FY","BEST_FPERIOD_OVERRIDE=FY","FILING_STATUS=OR","EQY_CONSOLIDATED=Y","FA_ADJUSTED=GAAP","Sort=A","Dates=H","DateFormat=P","Fill=—","Direction=H","UseDPDF=Y")</f>
        <v>#NAME?</v>
      </c>
      <c r="L263" t="e">
        <f ca="1">_xll.BDH($C$253,"INCREMENTAL_OPERATING_MARGIN","FY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63" t="e">
        <f ca="1">_xll.BDH($C$253,"PRETAX_INC_TO_NET_SALES","FY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63" t="e">
        <f ca="1">_xll.BDH($C$253,"INC_BEF_XO_ITEMS_TO_NET_SALES","FY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63" t="e">
        <f ca="1">_xll.BDH($C$253,"PROF_MARGIN","FY 2016","FY 2016","Currency=INR","Period=FY","BEST_FPERIOD_OVERRIDE=FY","FILING_STATUS=OR","EQY_CONSOLIDATED=Y","FA_ADJUSTED=GAAP","Sort=A","Dates=H","DateFormat=P","Fill=—","Direction=H","UseDPDF=Y")</f>
        <v>#NAME?</v>
      </c>
      <c r="P263" t="e">
        <f ca="1">_xll.BDH($C$253,"NET_INCOME_TO_COMMON_MARGIN","FY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63" t="e">
        <f ca="1">_xll.BDH($C$253,"EFF_TAX_RATE","FY 2016","FY 2016","Currency=INR","Period=FY","BEST_FPERIOD_OVERRIDE=FY","FILING_STATUS=OR","EQY_CONSOLIDATED=Y","FA_ADJUSTED=GAAP","Sort=A","Dates=H","DateFormat=P","Fill=—","Direction=H","UseDPDF=Y")</f>
        <v>#NAME?</v>
      </c>
      <c r="R263" t="e">
        <f ca="1">_xll.BDH($C$253,"DVD_PAYOUT_RATIO","FY 2016","FY 2016","Currency=INR","Period=FY","BEST_FPERIOD_OVERRIDE=FY","FILING_STATUS=OR","EQY_CONSOLIDATED=Y","FA_ADJUSTED=GAAP","Sort=A","Dates=H","DateFormat=P","Fill=—","Direction=H","UseDPDF=Y")</f>
        <v>#NAME?</v>
      </c>
      <c r="S263" t="e">
        <f ca="1">_xll.BDH($C$253,"SUSTAIN_GROWTH_RT","FY 2016","FY 2016","Currency=INR","Period=FY","BEST_FPERIOD_OVERRIDE=FY","FILING_STATUS=OR","EQY_CONSOLIDATED=Y","FA_ADJUSTED=GAAP","Sort=A","Dates=H","DateFormat=P","Fill=—","Direction=H","UseDPDF=Y")</f>
        <v>#NAME?</v>
      </c>
      <c r="T263" s="2" t="e">
        <f ca="1">_xll.BDH($C$253,"SALES_GROWTH","FY 2016","FY 2016","Currency=INR","Period=FY","BEST_FPERIOD_OVERRIDE=FY","FILING_STATUS=OR","EQY_CONSOLIDATED=Y","FA_ADJUSTED=GAAP","Sort=A","Dates=H","DateFormat=P","Fill=—","Direction=H","UseDPDF=Y")</f>
        <v>#NAME?</v>
      </c>
      <c r="U263" s="2" t="e">
        <f ca="1">_xll.BDH($C$253,"EBITDA_GROWTH","FY 2016","FY 2016","Currency=INR","Period=FY","BEST_FPERIOD_OVERRIDE=FY","FILING_STATUS=OR","EQY_CONSOLIDATED=Y","FA_ADJUSTED=GAAP","Sort=A","Dates=H","DateFormat=P","Fill=—","Direction=H","UseDPDF=Y")</f>
        <v>#NAME?</v>
      </c>
      <c r="V263" s="2" t="e">
        <f ca="1">_xll.BDH($C$253,"OPER_INC_GROWTH","FY 2016","FY 2016","Currency=INR","Period=FY","BEST_FPERIOD_OVERRIDE=FY","FILING_STATUS=OR","EQY_CONSOLIDATED=Y","FA_ADJUSTED=GAAP","Sort=A","Dates=H","DateFormat=P","Fill=—","Direction=H","UseDPDF=Y")</f>
        <v>#NAME?</v>
      </c>
      <c r="W263" s="2" t="e">
        <f ca="1">_xll.BDH($C$253,"EARN_FOR_COM_GROWTH","FY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263" s="2" t="e">
        <f ca="1">_xll.BDH($C$253,"DILUTED_EPS_AFT_XO_ITEMS_GROWTH","FY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63" s="2" t="e">
        <f ca="1">_xll.BDH($C$253,"DIVIDEND_PER_SHARE_1_YEAR_GROWTH","FY 2016","FY 2016","Currency=INR","Period=FY","BEST_FPERIOD_OVERRIDE=FY","FILING_STATUS=OR","EQY_CONSOLIDATED=Y","Sort=A","Dates=H","DateFormat=P","Fill=—","Direction=H","UseDPDF=Y")</f>
        <v>#NAME?</v>
      </c>
      <c r="Z263" s="2" t="e">
        <f ca="1">_xll.BDH($C$253,"ACCOUNTS_RECEIVABLE_GROWTH","FY 2016","FY 2016","Currency=INR","Period=FY","BEST_FPERIOD_OVERRIDE=FY","FILING_STATUS=OR","EQY_CONSOLIDATED=Y","Sort=A","Dates=H","DateFormat=P","Fill=—","Direction=H","UseDPDF=Y")</f>
        <v>#NAME?</v>
      </c>
      <c r="AA263" s="2" t="e">
        <f ca="1">_xll.BDH($C$253,"INVENTORY_GROWTH","FY 2016","FY 2016","Currency=INR","Period=FY","BEST_FPERIOD_OVERRIDE=FY","FILING_STATUS=OR","EQY_CONSOLIDATED=Y","Sort=A","Dates=H","DateFormat=P","Fill=—","Direction=H","UseDPDF=Y")</f>
        <v>#NAME?</v>
      </c>
      <c r="AB263" s="2" t="e">
        <f ca="1">_xll.BDH($C$253,"NET_FIXED_ASSETS_1_YEAR_GROWTH","FY 2016","FY 2016","Currency=INR","Period=FY","BEST_FPERIOD_OVERRIDE=FY","FILING_STATUS=OR","EQY_CONSOLIDATED=Y","Sort=A","Dates=H","DateFormat=P","Fill=—","Direction=H","UseDPDF=Y")</f>
        <v>#NAME?</v>
      </c>
      <c r="AC263" s="2" t="e">
        <f ca="1">_xll.BDH($C$253,"ASSET_GROWTH","FY 2016","FY 2016","Currency=INR","Period=FY","BEST_FPERIOD_OVERRIDE=FY","FILING_STATUS=OR","EQY_CONSOLIDATED=Y","Sort=A","Dates=H","DateFormat=P","Fill=—","Direction=H","UseDPDF=Y")</f>
        <v>#NAME?</v>
      </c>
      <c r="AD263" s="2" t="e">
        <f ca="1">_xll.BDH($C$253,"MODIFIED_WORK_CAP_GROWTH","FY 2016","FY 2016","Currency=INR","Period=FY","BEST_FPERIOD_OVERRIDE=FY","FILING_STATUS=OR","EQY_CONSOLIDATED=Y","Sort=A","Dates=H","DateFormat=P","Fill=—","Direction=H","UseDPDF=Y")</f>
        <v>#NAME?</v>
      </c>
      <c r="AE263" s="2" t="e">
        <f ca="1">_xll.BDH($C$253,"WORK_CAP_GROWTH","FY 2016","FY 2016","Currency=INR","Period=FY","BEST_FPERIOD_OVERRIDE=FY","FILING_STATUS=OR","EQY_CONSOLIDATED=Y","Sort=A","Dates=H","DateFormat=P","Fill=—","Direction=H","UseDPDF=Y")</f>
        <v>#NAME?</v>
      </c>
      <c r="AF263" s="2" t="e">
        <f ca="1">_xll.BDH($C$253,"ACCOUNTS_PAYABLE_GROWTH_1YR","FY 2016","FY 2016","Currency=INR","Period=FY","BEST_FPERIOD_OVERRIDE=FY","FILING_STATUS=OR","EQY_CONSOLIDATED=Y","Sort=A","Dates=H","DateFormat=P","Fill=—","Direction=H","UseDPDF=Y")</f>
        <v>#NAME?</v>
      </c>
      <c r="AG263" s="2" t="e">
        <f ca="1">_xll.BDH($C$253,"SHORT_TERM_DEBT_1_YEAR_GROWTH","FY 2016","FY 2016","Currency=INR","Period=FY","BEST_FPERIOD_OVERRIDE=FY","FILING_STATUS=OR","EQY_CONSOLIDATED=Y","Sort=A","Dates=H","DateFormat=P","Fill=—","Direction=H","UseDPDF=Y")</f>
        <v>#NAME?</v>
      </c>
      <c r="AH263" s="2" t="e">
        <f ca="1">_xll.BDH($C$253,"TOTAL_DEBT_1_YEAR_GROWTH","FY 2016","FY 2016","Currency=INR","Period=FY","BEST_FPERIOD_OVERRIDE=FY","FILING_STATUS=OR","EQY_CONSOLIDATED=Y","Sort=A","Dates=H","DateFormat=P","Fill=—","Direction=H","UseDPDF=Y")</f>
        <v>#NAME?</v>
      </c>
      <c r="AI263" s="2" t="e">
        <f ca="1">_xll.BDH($C$253,"TOTAL_EQUITY_1_YEAR_GROWTH","FY 2016","FY 2016","Currency=INR","Period=FY","BEST_FPERIOD_OVERRIDE=FY","FILING_STATUS=OR","EQY_CONSOLIDATED=Y","Sort=A","Dates=H","DateFormat=P","Fill=—","Direction=H","UseDPDF=Y")</f>
        <v>#NAME?</v>
      </c>
      <c r="AJ263" s="2" t="e">
        <f ca="1">_xll.BDH($C$253,"GROWTH_IN_CAP","FY 2016","FY 2016","Currency=INR","Period=FY","BEST_FPERIOD_OVERRIDE=FY","FILING_STATUS=OR","EQY_CONSOLIDATED=Y","Sort=A","Dates=H","DateFormat=P","Fill=—","Direction=H","UseDPDF=Y")</f>
        <v>#NAME?</v>
      </c>
      <c r="AK263" s="2" t="e">
        <f ca="1">_xll.BDH($C$253,"BVPS_GROWTH","FY 2016","FY 2016","Currency=INR","Period=FY","BEST_FPERIOD_OVERRIDE=FY","FILING_STATUS=OR","EQY_CONSOLIDATED=Y","Sort=A","Dates=H","DateFormat=P","Fill=—","Direction=H","UseDPDF=Y")</f>
        <v>#NAME?</v>
      </c>
      <c r="AL263" s="2" t="e">
        <f ca="1">_xll.BDH($C$253,"CASH_FLOW_GROWTH","FY 2016","FY 2016","Currency=INR","Period=FY","BEST_FPERIOD_OVERRIDE=FY","FILING_STATUS=OR","EQY_CONSOLIDATED=Y","Sort=A","Dates=H","DateFormat=P","Fill=—","Direction=H","UseDPDF=Y")</f>
        <v>#NAME?</v>
      </c>
      <c r="AM263" s="2" t="e">
        <f ca="1">_xll.BDH($C$253,"GEO_GROW_NET_SALES","FY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263" s="2" t="e">
        <f ca="1">_xll.BDH($C$253,"GEO_GROW_EBITDA","FY 2016","FY 2016","Currency=INR","Period=FY","BEST_FPERIOD_OVERRIDE=FY","FILING_STATUS=OR","EQY_CONSOLIDATED=Y","FA_ADJUSTED=GAAP","Sort=A","Dates=H","DateFormat=P","Fill=—","Direction=H","UseDPDF=Y")</f>
        <v>#NAME?</v>
      </c>
      <c r="AO263" s="2" t="e">
        <f ca="1">_xll.BDH($C$253,"GEO_GROW_OPER_INC","FY 2016","FY 2016","Currency=INR","Period=FY","BEST_FPERIOD_OVERRIDE=FY","FILING_STATUS=OR","EQY_CONSOLIDATED=Y","FA_ADJUSTED=GAAP","Sort=A","Dates=H","DateFormat=P","Fill=—","Direction=H","UseDPDF=Y")</f>
        <v>#NAME?</v>
      </c>
      <c r="AP263" s="2" t="e">
        <f ca="1">_xll.BDH($C$253,"NET_INCOME_TO_COMMON_5_YR_GROWTH","FY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63" s="2" t="e">
        <f ca="1">_xll.BDH($C$253,"5Y_GEO_GROWTH_DILUTED_EPS","FY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63" s="2" t="e">
        <f ca="1">_xll.BDH($C$253,"GEO_GROW_DVD_PER_SH","FY 2016","FY 2016","Currency=INR","Period=FY","BEST_FPERIOD_OVERRIDE=FY","FILING_STATUS=OR","EQY_CONSOLIDATED=Y","Sort=A","Dates=H","DateFormat=P","Fill=—","Direction=H","UseDPDF=Y")</f>
        <v>#NAME?</v>
      </c>
      <c r="AS263" s="2" t="e">
        <f ca="1">_xll.BDH($C$253,"ACCOUNTS_RECEIVABLE_5_YR_GROWTH","FY 2016","FY 2016","Currency=INR","Period=FY","BEST_FPERIOD_OVERRIDE=FY","FILING_STATUS=OR","EQY_CONSOLIDATED=Y","Sort=A","Dates=H","DateFormat=P","Fill=—","Direction=H","UseDPDF=Y")</f>
        <v>#NAME?</v>
      </c>
      <c r="AT263" s="2" t="e">
        <f ca="1">_xll.BDH($C$253,"INVENTORY_5_YEAR_GROWTH","FY 2016","FY 2016","Currency=INR","Period=FY","BEST_FPERIOD_OVERRIDE=FY","FILING_STATUS=OR","EQY_CONSOLIDATED=Y","Sort=A","Dates=H","DateFormat=P","Fill=—","Direction=H","UseDPDF=Y")</f>
        <v>#NAME?</v>
      </c>
      <c r="AU263" s="2" t="e">
        <f ca="1">_xll.BDH($C$253,"NET_FIXED_ASSETS_5_YEAR_GROWTH","FY 2016","FY 2016","Currency=INR","Period=FY","BEST_FPERIOD_OVERRIDE=FY","FILING_STATUS=OR","EQY_CONSOLIDATED=Y","Sort=A","Dates=H","DateFormat=P","Fill=—","Direction=H","UseDPDF=Y")</f>
        <v>#NAME?</v>
      </c>
      <c r="AV263" s="2" t="e">
        <f ca="1">_xll.BDH($C$253,"GEO_GROW_TOT_ASSET","FY 2016","FY 2016","Currency=INR","Period=FY","BEST_FPERIOD_OVERRIDE=FY","FILING_STATUS=OR","EQY_CONSOLIDATED=Y","Sort=A","Dates=H","DateFormat=P","Fill=—","Direction=H","UseDPDF=Y")</f>
        <v>#NAME?</v>
      </c>
      <c r="AW263" s="2" t="e">
        <f ca="1">_xll.BDH($C$253,"MODIFIED_WORKING_CPTL_5YR_GRWTH","FY 2016","FY 2016","Currency=INR","Period=FY","BEST_FPERIOD_OVERRIDE=FY","FILING_STATUS=OR","EQY_CONSOLIDATED=Y","Sort=A","Dates=H","DateFormat=P","Fill=—","Direction=H","UseDPDF=Y")</f>
        <v>#NAME?</v>
      </c>
      <c r="AX263" s="2" t="e">
        <f ca="1">_xll.BDH($C$253,"WORKING_CAPITAL_5_YEAR_GROWTH","FY 2016","FY 2016","Currency=INR","Period=FY","BEST_FPERIOD_OVERRIDE=FY","FILING_STATUS=OR","EQY_CONSOLIDATED=Y","Sort=A","Dates=H","DateFormat=P","Fill=—","Direction=H","UseDPDF=Y")</f>
        <v>#NAME?</v>
      </c>
      <c r="AY263" s="2" t="e">
        <f ca="1">_xll.BDH($C$253,"ACCOUNTS_PAYABLE_5_YEAR_GROWTH","FY 2016","FY 2016","Currency=INR","Period=FY","BEST_FPERIOD_OVERRIDE=FY","FILING_STATUS=OR","EQY_CONSOLIDATED=Y","Sort=A","Dates=H","DateFormat=P","Fill=—","Direction=H","UseDPDF=Y")</f>
        <v>#NAME?</v>
      </c>
      <c r="AZ263" s="2" t="e">
        <f ca="1">_xll.BDH($C$253,"SHORT_TERM_DEBT_5_YEAR_GROWTH","FY 2016","FY 2016","Currency=INR","Period=FY","BEST_FPERIOD_OVERRIDE=FY","FILING_STATUS=OR","EQY_CONSOLIDATED=Y","Sort=A","Dates=H","DateFormat=P","Fill=—","Direction=H","UseDPDF=Y")</f>
        <v>#NAME?</v>
      </c>
      <c r="BA263" s="2" t="e">
        <f ca="1">_xll.BDH($C$253,"TOTAL_DEBT_5_YEAR_GROWTH","FY 2016","FY 2016","Currency=INR","Period=FY","BEST_FPERIOD_OVERRIDE=FY","FILING_STATUS=OR","EQY_CONSOLIDATED=Y","Sort=A","Dates=H","DateFormat=P","Fill=—","Direction=H","UseDPDF=Y")</f>
        <v>#NAME?</v>
      </c>
      <c r="BB263" s="2" t="e">
        <f ca="1">_xll.BDH($C$253,"GEO_GROW_TOT_SHRHLDR_EQY","FY 2016","FY 2016","Currency=INR","Period=FY","BEST_FPERIOD_OVERRIDE=FY","FILING_STATUS=OR","EQY_CONSOLIDATED=Y","Sort=A","Dates=H","DateFormat=P","Fill=—","Direction=H","UseDPDF=Y")</f>
        <v>#NAME?</v>
      </c>
      <c r="BC263" s="2" t="e">
        <f ca="1">_xll.BDH($C$253,"TOTAL_CAPITAL_5_YEAR_GROWTH","FY 2016","FY 2016","Currency=INR","Period=FY","BEST_FPERIOD_OVERRIDE=FY","FILING_STATUS=OR","EQY_CONSOLIDATED=Y","Sort=A","Dates=H","DateFormat=P","Fill=—","Direction=H","UseDPDF=Y")</f>
        <v>#NAME?</v>
      </c>
      <c r="BD263" s="2" t="e">
        <f ca="1">_xll.BDH($C$253,"GEO_GROW_BOOK_VAL","FY 2016","FY 2016","Currency=INR","Period=FY","BEST_FPERIOD_OVERRIDE=FY","FILING_STATUS=OR","EQY_CONSOLIDATED=Y","Sort=A","Dates=H","DateFormat=P","Fill=—","Direction=H","UseDPDF=Y")</f>
        <v>#NAME?</v>
      </c>
      <c r="BE263" s="2" t="e">
        <f ca="1">_xll.BDH($C$253,"GEO_GROW_CASH_OPER_ACT","FY 2016","FY 2016","Currency=INR","Period=FY","BEST_FPERIOD_OVERRIDE=FY","FILING_STATUS=OR","EQY_CONSOLIDATED=Y","Sort=A","Dates=H","DateFormat=P","Fill=—","Direction=H","UseDPDF=Y")</f>
        <v>#NAME?</v>
      </c>
      <c r="BF263" s="2" t="e">
        <f ca="1">_xll.BDH($C$253,"REVENUE_SEQUENTIAL_GROWTH","FY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63" s="2" t="e">
        <f ca="1">_xll.BDH($C$253,"EBITDA_SEQUENTIAL_GROWTH","FY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63" s="2" t="e">
        <f ca="1">_xll.BDH($C$253,"OPERATING_INCOME_SEQ_GROWTH","FY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63" s="2" t="e">
        <f ca="1">_xll.BDH($C$253,"NET_INCOME_TO_COMMON_SEQ_GROWTH","FY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63" s="2" t="e">
        <f ca="1">_xll.BDH($C$253,"EPS_DILUTED_SEQUENTIAL_GROWTH","FY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63" s="2" t="e">
        <f ca="1">_xll.BDH($C$253,"DPS_SEQUENTIAL_GROWTH","FY 2016","FY 2016","Currency=INR","Period=FY","BEST_FPERIOD_OVERRIDE=FY","FILING_STATUS=OR","EQY_CONSOLIDATED=Y","Sort=A","Dates=H","DateFormat=P","Fill=—","Direction=H","UseDPDF=Y")</f>
        <v>#NAME?</v>
      </c>
      <c r="BL263" s="2" t="e">
        <f ca="1">_xll.BDH($C$253,"ACCOUNTS_RECEIVABLE_SEQ_GROWTH","FY 2016","FY 2016","Currency=INR","Period=FY","BEST_FPERIOD_OVERRIDE=FY","FILING_STATUS=OR","EQY_CONSOLIDATED=Y","Sort=A","Dates=H","DateFormat=P","Fill=—","Direction=H","UseDPDF=Y")</f>
        <v>#NAME?</v>
      </c>
      <c r="BM263" s="2" t="e">
        <f ca="1">_xll.BDH($C$253,"INVENTORY_SEQUENTIAL_GROWTH","FY 2016","FY 2016","Currency=INR","Period=FY","BEST_FPERIOD_OVERRIDE=FY","FILING_STATUS=OR","EQY_CONSOLIDATED=Y","Sort=A","Dates=H","DateFormat=P","Fill=—","Direction=H","UseDPDF=Y")</f>
        <v>#NAME?</v>
      </c>
      <c r="BN263" s="2" t="e">
        <f ca="1">_xll.BDH($C$253,"FIXED_ASSETS_SEQUENTIAL_GROWTH","FY 2016","FY 2016","Currency=INR","Period=FY","BEST_FPERIOD_OVERRIDE=FY","FILING_STATUS=OR","EQY_CONSOLIDATED=Y","Sort=A","Dates=H","DateFormat=P","Fill=—","Direction=H","UseDPDF=Y")</f>
        <v>#NAME?</v>
      </c>
      <c r="BO263" s="2" t="e">
        <f ca="1">_xll.BDH($C$253,"TOTAL_ASSETS_SEQUENTIAL_GROWTH","FY 2016","FY 2016","Currency=INR","Period=FY","BEST_FPERIOD_OVERRIDE=FY","FILING_STATUS=OR","EQY_CONSOLIDATED=Y","Sort=A","Dates=H","DateFormat=P","Fill=—","Direction=H","UseDPDF=Y")</f>
        <v>#NAME?</v>
      </c>
      <c r="BP263" s="2" t="e">
        <f ca="1">_xll.BDH($C$253,"MODIFIED_WORKING_CPTL_SEQ_GRWTH","FY 2016","FY 2016","Currency=INR","Period=FY","BEST_FPERIOD_OVERRIDE=FY","FILING_STATUS=OR","EQY_CONSOLIDATED=Y","Sort=A","Dates=H","DateFormat=P","Fill=—","Direction=H","UseDPDF=Y")</f>
        <v>#NAME?</v>
      </c>
      <c r="BQ263" s="2" t="e">
        <f ca="1">_xll.BDH($C$253,"WORKING_CAPITAL_SEQ_GROWTH","FY 2016","FY 2016","Currency=INR","Period=FY","BEST_FPERIOD_OVERRIDE=FY","FILING_STATUS=OR","EQY_CONSOLIDATED=Y","Sort=A","Dates=H","DateFormat=P","Fill=—","Direction=H","UseDPDF=Y")</f>
        <v>#NAME?</v>
      </c>
      <c r="BR263" s="2" t="e">
        <f ca="1">_xll.BDH($C$253,"ACCOUNTS_PAYABLE_SEQ_GROWTH","FY 2016","FY 2016","Currency=INR","Period=FY","BEST_FPERIOD_OVERRIDE=FY","FILING_STATUS=OR","EQY_CONSOLIDATED=Y","Sort=A","Dates=H","DateFormat=P","Fill=—","Direction=H","UseDPDF=Y")</f>
        <v>#NAME?</v>
      </c>
      <c r="BS263" s="2" t="e">
        <f ca="1">_xll.BDH($C$253,"ST_DEBT_SEQUENTIAL_GROWTH","FY 2016","FY 2016","Currency=INR","Period=FY","BEST_FPERIOD_OVERRIDE=FY","FILING_STATUS=OR","EQY_CONSOLIDATED=Y","Sort=A","Dates=H","DateFormat=P","Fill=—","Direction=H","UseDPDF=Y")</f>
        <v>#NAME?</v>
      </c>
      <c r="BT263" s="2" t="e">
        <f ca="1">_xll.BDH($C$253,"TOTAL_DEBT_SEQUENTIAL_GROWTH","FY 2016","FY 2016","Currency=INR","Period=FY","BEST_FPERIOD_OVERRIDE=FY","FILING_STATUS=OR","EQY_CONSOLIDATED=Y","Sort=A","Dates=H","DateFormat=P","Fill=—","Direction=H","UseDPDF=Y")</f>
        <v>#NAME?</v>
      </c>
      <c r="BU263" s="2" t="e">
        <f ca="1">_xll.BDH($C$253,"TOTAL_EQUITY_SEQUENTIAL_GROWTH","FY 2016","FY 2016","Currency=INR","Period=FY","BEST_FPERIOD_OVERRIDE=FY","FILING_STATUS=OR","EQY_CONSOLIDATED=Y","Sort=A","Dates=H","DateFormat=P","Fill=—","Direction=H","UseDPDF=Y")</f>
        <v>#NAME?</v>
      </c>
      <c r="BV263" s="2" t="e">
        <f ca="1">_xll.BDH($C$253,"TOTAL_CAPITAL_SEQUENTIAL_GROWTH","FY 2016","FY 2016","Currency=INR","Period=FY","BEST_FPERIOD_OVERRIDE=FY","FILING_STATUS=OR","EQY_CONSOLIDATED=Y","Sort=A","Dates=H","DateFormat=P","Fill=—","Direction=H","UseDPDF=Y")</f>
        <v>#NAME?</v>
      </c>
      <c r="BW263" s="2" t="e">
        <f ca="1">_xll.BDH($C$253,"BPS_SEQUENTIAL_GROWTH","FY 2016","FY 2016","Currency=INR","Period=FY","BEST_FPERIOD_OVERRIDE=FY","FILING_STATUS=OR","EQY_CONSOLIDATED=Y","Sort=A","Dates=H","DateFormat=P","Fill=—","Direction=H","UseDPDF=Y")</f>
        <v>#NAME?</v>
      </c>
      <c r="BX263" s="2" t="e">
        <f ca="1">_xll.BDH($C$253,"CFO_SEQUENTIAL_GROWTH","FY 2016","FY 2016","Currency=INR","Period=FY","BEST_FPERIOD_OVERRIDE=FY","FILING_STATUS=OR","EQY_CONSOLIDATED=Y","Sort=A","Dates=H","DateFormat=P","Fill=—","Direction=H","UseDPDF=Y")</f>
        <v>#NAME?</v>
      </c>
      <c r="BY263" s="3" t="e">
        <f ca="1">_xll.BDH($C$253,"SHORT_AND_LONG_TERM_DEBT","FY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63" s="3" t="e">
        <f ca="1">_xll.BDH($C$253,"BS_ST_BORROW","FY 2016","FY 2016","Currency=INR","Period=FY","BEST_FPERIOD_OVERRIDE=FY","FILING_STATUS=OR","EQY_CONSOLIDATED=Y","SCALING_FORMAT=MLN","Sort=A","Dates=H","DateFormat=P","Fill=—","Direction=H","UseDPDF=Y")</f>
        <v>#NAME?</v>
      </c>
      <c r="CA263" s="3" t="e">
        <f ca="1">_xll.BDH($C$253,"BS_LT_BORROW","FY 2016","FY 2016","Currency=INR","Period=FY","BEST_FPERIOD_OVERRIDE=FY","FILING_STATUS=OR","EQY_CONSOLIDATED=Y","SCALING_FORMAT=MLN","Sort=A","Dates=H","DateFormat=P","Fill=—","Direction=H","UseDPDF=Y")</f>
        <v>#NAME?</v>
      </c>
      <c r="CB263" s="2" t="e">
        <f ca="1">_xll.BDH($C$253,"TOT_DEBT_TO_EBITDA","FY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263" s="2" t="e">
        <f ca="1">_xll.BDH($C$253,"NET_DEBT_TO_EBITDA","FY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263" s="2" t="e">
        <f ca="1">_xll.BDH($C$253,"TOTAL_DEBT_TO_EBIT","FY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263" s="2" t="e">
        <f ca="1">_xll.BDH($C$253,"NET_DEBT_TO_EBIT","FY 2016","FY 2016","Currency=INR","Period=FY","BEST_FPERIOD_OVERRIDE=FY","FILING_STATUS=OR","EQY_CONSOLIDATED=Y","FA_ADJUSTED=GAAP","Sort=A","Dates=H","DateFormat=P","Fill=—","Direction=H","UseDPDF=Y")</f>
        <v>#NAME?</v>
      </c>
      <c r="CF263" s="2" t="e">
        <f ca="1">_xll.BDH($C$253,"EBITDA_TO_INTEREST_EXPN","FY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63" s="2" t="e">
        <f ca="1">_xll.BDH($C$253,"COM_EQY_TO_TOT_ASSET","FY 2016","FY 2016","Currency=INR","Period=FY","BEST_FPERIOD_OVERRIDE=FY","FILING_STATUS=OR","EQY_CONSOLIDATED=Y","Sort=A","Dates=H","DateFormat=P","Fill=—","Direction=H","UseDPDF=Y")</f>
        <v>#NAME?</v>
      </c>
      <c r="CH263" s="2" t="e">
        <f ca="1">_xll.BDH($C$253,"LT_DEBT_TO_TOT_EQY","FY 2016","FY 2016","Currency=INR","Period=FY","BEST_FPERIOD_OVERRIDE=FY","FILING_STATUS=OR","EQY_CONSOLIDATED=Y","Sort=A","Dates=H","DateFormat=P","Fill=—","Direction=H","UseDPDF=Y")</f>
        <v>#NAME?</v>
      </c>
      <c r="CI263" s="2" t="e">
        <f ca="1">_xll.BDH($C$253,"LT_DEBT_TO_TOT_CAP","FY 2016","FY 2016","Currency=INR","Period=FY","BEST_FPERIOD_OVERRIDE=FY","FILING_STATUS=OR","EQY_CONSOLIDATED=Y","Sort=A","Dates=H","DateFormat=P","Fill=—","Direction=H","UseDPDF=Y")</f>
        <v>#NAME?</v>
      </c>
      <c r="CJ263" s="2" t="e">
        <f ca="1">_xll.BDH($C$253,"LT_DEBT_TO_TOT_ASSET","FY 2016","FY 2016","Currency=INR","Period=FY","BEST_FPERIOD_OVERRIDE=FY","FILING_STATUS=OR","EQY_CONSOLIDATED=Y","Sort=A","Dates=H","DateFormat=P","Fill=—","Direction=H","UseDPDF=Y")</f>
        <v>#NAME?</v>
      </c>
      <c r="CK263" s="2" t="e">
        <f ca="1">_xll.BDH($C$253,"TOT_DEBT_TO_TOT_EQY","FY 2016","FY 2016","Currency=INR","Period=FY","BEST_FPERIOD_OVERRIDE=FY","FILING_STATUS=OR","EQY_CONSOLIDATED=Y","Sort=A","Dates=H","DateFormat=P","Fill=—","Direction=H","UseDPDF=Y")</f>
        <v>#NAME?</v>
      </c>
      <c r="CL263" s="2" t="e">
        <f ca="1">_xll.BDH($C$253,"TOT_DEBT_TO_TOT_CAP","FY 2016","FY 2016","Currency=INR","Period=FY","BEST_FPERIOD_OVERRIDE=FY","FILING_STATUS=OR","EQY_CONSOLIDATED=Y","Sort=A","Dates=H","DateFormat=P","Fill=—","Direction=H","UseDPDF=Y")</f>
        <v>#NAME?</v>
      </c>
      <c r="CM263" s="2" t="e">
        <f ca="1">_xll.BDH($C$253,"TOT_DEBT_TO_TOT_ASSET","FY 2016","FY 2016","Currency=INR","Period=FY","BEST_FPERIOD_OVERRIDE=FY","FILING_STATUS=OR","EQY_CONSOLIDATED=Y","Sort=A","Dates=H","DateFormat=P","Fill=—","Direction=H","UseDPDF=Y")</f>
        <v>#NAME?</v>
      </c>
      <c r="CN263" s="2" t="e">
        <f ca="1">_xll.BDH($C$253,"NET_DEBT_TO_SHRHLDR_EQTY","FY 2016","FY 2016","Currency=INR","Period=FY","BEST_FPERIOD_OVERRIDE=FY","FILING_STATUS=OR","EQY_CONSOLIDATED=Y","Sort=A","Dates=H","DateFormat=P","Fill=—","Direction=H","UseDPDF=Y")</f>
        <v>#NAME?</v>
      </c>
      <c r="CO263" s="2" t="e">
        <f ca="1">_xll.BDH($C$253,"NET_DEBT_%_CAPITAL","FY 2016","FY 2016","Currency=INR","Period=FY","BEST_FPERIOD_OVERRIDE=FY","FILING_STATUS=OR","EQY_CONSOLIDATED=Y","Sort=A","Dates=H","DateFormat=P","Fill=—","Direction=H","UseDPDF=Y")</f>
        <v>#NAME?</v>
      </c>
      <c r="CP263" s="3" t="e">
        <f ca="1">_xll.BDH($C$253,"EBITDA","FY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63" s="3" t="e">
        <f ca="1">_xll.BDH($C$253,"EBITDA_AFTER_CAPEX","FY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63" s="3" t="e">
        <f ca="1">_xll.BDH($C$253,"IS_OPER_INC","FY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63" s="2" t="e">
        <f ca="1">_xll.BDH($C$253,"CASH_RATIO","FY 2016","FY 2016","Currency=INR","Period=FY","BEST_FPERIOD_OVERRIDE=FY","FILING_STATUS=OR","EQY_CONSOLIDATED=Y","Sort=A","Dates=H","DateFormat=P","Fill=—","Direction=H","UseDPDF=Y")</f>
        <v>#NAME?</v>
      </c>
      <c r="CT263" s="2" t="e">
        <f ca="1">_xll.BDH($C$253,"CUR_RATIO","FY 2016","FY 2016","Currency=INR","Period=FY","BEST_FPERIOD_OVERRIDE=FY","FILING_STATUS=OR","EQY_CONSOLIDATED=Y","Sort=A","Dates=H","DateFormat=P","Fill=—","Direction=H","UseDPDF=Y")</f>
        <v>#NAME?</v>
      </c>
      <c r="CU263" s="2" t="e">
        <f ca="1">_xll.BDH($C$253,"QUICK_RATIO","FY 2016","FY 2016","Currency=INR","Period=FY","BEST_FPERIOD_OVERRIDE=FY","FILING_STATUS=OR","EQY_CONSOLIDATED=Y","Sort=A","Dates=H","DateFormat=P","Fill=—","Direction=H","UseDPDF=Y")</f>
        <v>#NAME?</v>
      </c>
      <c r="CV263" s="2" t="e">
        <f ca="1">_xll.BDH($C$253,"ALTMAN_Z_SCORE","FY 2016","FY 2016","Currency=INR","Period=FY","BEST_FPERIOD_OVERRIDE=FY","FILING_STATUS=OR","EQY_CONSOLIDATED=Y","Sort=A","Dates=H","DateFormat=P","Fill=—","Direction=H","UseDPDF=Y")</f>
        <v>#NAME?</v>
      </c>
      <c r="CW263" s="4" t="e">
        <f ca="1">_xll.BDH($C$253,"ACCT_RCV_TURN","FY 2016","FY 2016","Currency=INR","Period=FY","BEST_FPERIOD_OVERRIDE=FY","FILING_STATUS=OR","EQY_CONSOLIDATED=Y","FA_ADJUSTED=GAAP","Sort=A","Dates=H","DateFormat=P","Fill=—","Direction=H","UseDPDF=Y")</f>
        <v>#NAME?</v>
      </c>
      <c r="CX263" s="2" t="e">
        <f ca="1">_xll.BDH($C$253,"ACCT_RCV_DAYS","FY 2016","FY 2016","Currency=INR","Period=FY","BEST_FPERIOD_OVERRIDE=FY","FILING_STATUS=OR","EQY_CONSOLIDATED=Y","FA_ADJUSTED=GAAP","Sort=A","Dates=H","DateFormat=P","Fill=—","Direction=H","UseDPDF=Y")</f>
        <v>#NAME?</v>
      </c>
      <c r="CY263" s="4" t="e">
        <f ca="1">_xll.BDH($C$253,"INVENT_TURN","FY 2016","FY 2016","Currency=INR","Period=FY","BEST_FPERIOD_OVERRIDE=FY","FILING_STATUS=OR","EQY_CONSOLIDATED=Y","FA_ADJUSTED=GAAP","Sort=A","Dates=H","DateFormat=P","Fill=—","Direction=H","UseDPDF=Y")</f>
        <v>#NAME?</v>
      </c>
      <c r="CZ263" s="2" t="e">
        <f ca="1">_xll.BDH($C$253,"INVENT_DAYS","FY 2016","FY 2016","Currency=INR","Period=FY","BEST_FPERIOD_OVERRIDE=FY","FILING_STATUS=OR","EQY_CONSOLIDATED=Y","FA_ADJUSTED=GAAP","Sort=A","Dates=H","DateFormat=P","Fill=—","Direction=H","UseDPDF=Y")</f>
        <v>#NAME?</v>
      </c>
      <c r="DA263" s="4" t="e">
        <f ca="1">_xll.BDH($C$253,"ACCOUNTS_PAYABLE_TURNOVER","FY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63" s="2" t="e">
        <f ca="1">_xll.BDH($C$253,"ACCOUNTS_PAYABLE_TURNOVER_DAYS","FY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63" s="4" t="e">
        <f ca="1">_xll.BDH($C$253,"CASH_CONVERSION_CYCLE","FY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63" s="4" t="e">
        <f ca="1">_xll.BDH($C$253,"INV_TO_CASH_DAYS","FY 2016","FY 2016","Currency=INR","Period=FY","BEST_FPERIOD_OVERRIDE=FY","FILING_STATUS=OR","EQY_CONSOLIDATED=Y","FA_ADJUSTED=GAAP","Sort=A","Dates=H","DateFormat=P","Fill=—","Direction=H","UseDPDF=Y")</f>
        <v>#NAME?</v>
      </c>
      <c r="DE263" s="5" t="e">
        <f ca="1">_xll.BDH($C$253,"BS_INVENTORIES","FY 2016","FY 2016","Currency=INR","Period=FY","BEST_FPERIOD_OVERRIDE=FY","FILING_STATUS=OR","EQY_CONSOLIDATED=Y","SCALING_FORMAT=MLN","Sort=A","Dates=H","DateFormat=P","Fill=—","Direction=H","UseDPDF=Y")</f>
        <v>#NAME?</v>
      </c>
      <c r="DF263" s="3" t="e">
        <f ca="1">_xll.BDH($C$253,"INVTRY_RAW_MATERIALS","FY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63" s="3" t="e">
        <f ca="1">_xll.BDH($C$253,"INVTRY_IN_PROGRESS","FY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63" s="3" t="e">
        <f ca="1">_xll.BDH($C$253,"INVTRY_FINISHED_GOODS","FY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63" s="3" t="e">
        <f ca="1">_xll.BDH($C$253,"BS_OTHER_INV","FY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64" spans="1:113" x14ac:dyDescent="0.3">
      <c r="A264" s="6"/>
      <c r="B264" s="6"/>
      <c r="C264" s="6"/>
      <c r="D264" s="6"/>
      <c r="E264" t="s">
        <v>78</v>
      </c>
      <c r="F264" t="e">
        <f ca="1">_xll.BDH($C$253,"RETURN_COM_EQY","FQ1 2016","FQ1 2016","Currency=INR","Period=FQ","BEST_FPERIOD_OVERRIDE=FQ","FILING_STATUS=OR","EQY_CONSOLIDATED=Y","FA_ADJUSTED=GAAP","Sort=A","Dates=H","DateFormat=P","Fill=—","Direction=H","UseDPDF=Y")</f>
        <v>#NAME?</v>
      </c>
      <c r="G264" t="e">
        <f ca="1">_xll.BDH($C$253,"RETURN_ON_ASSET","FQ1 2016","FQ1 2016","Currency=INR","Period=FQ","BEST_FPERIOD_OVERRIDE=FQ","FILING_STATUS=OR","EQY_CONSOLIDATED=Y","FA_ADJUSTED=GAAP","Sort=A","Dates=H","DateFormat=P","Fill=—","Direction=H","UseDPDF=Y")</f>
        <v>#NAME?</v>
      </c>
      <c r="H264" t="e">
        <f ca="1">_xll.BDH($C$253,"RETURN_ON_CAP","FQ1 2016","FQ1 2016","Currency=INR","Period=FQ","BEST_FPERIOD_OVERRIDE=FQ","FILING_STATUS=OR","EQY_CONSOLIDATED=Y","FA_ADJUSTED=GAAP","Sort=A","Dates=H","DateFormat=P","Fill=—","Direction=H","UseDPDF=Y")</f>
        <v>#NAME?</v>
      </c>
      <c r="I264" t="e">
        <f ca="1">_xll.BDH($C$253,"RETURN_ON_INV_CAPITAL","FQ1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64" t="e">
        <f ca="1">_xll.BDH($C$253,"EBITDA_TO_REVENUE","FQ1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264" t="e">
        <f ca="1">_xll.BDH($C$253,"OPER_MARGIN","FQ1 2016","FQ1 2016","Currency=INR","Period=FQ","BEST_FPERIOD_OVERRIDE=FQ","FILING_STATUS=OR","EQY_CONSOLIDATED=Y","FA_ADJUSTED=GAAP","Sort=A","Dates=H","DateFormat=P","Fill=—","Direction=H","UseDPDF=Y")</f>
        <v>#NAME?</v>
      </c>
      <c r="L264" t="e">
        <f ca="1">_xll.BDH($C$253,"INCREMENTAL_OPERATING_MARGIN","FQ1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64" t="e">
        <f ca="1">_xll.BDH($C$253,"PRETAX_INC_TO_NET_SALES","FQ1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64" t="e">
        <f ca="1">_xll.BDH($C$253,"INC_BEF_XO_ITEMS_TO_NET_SALES","FQ1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64" t="e">
        <f ca="1">_xll.BDH($C$253,"PROF_MARGIN","FQ1 2016","FQ1 2016","Currency=INR","Period=FQ","BEST_FPERIOD_OVERRIDE=FQ","FILING_STATUS=OR","EQY_CONSOLIDATED=Y","FA_ADJUSTED=GAAP","Sort=A","Dates=H","DateFormat=P","Fill=—","Direction=H","UseDPDF=Y")</f>
        <v>#NAME?</v>
      </c>
      <c r="P264" t="e">
        <f ca="1">_xll.BDH($C$253,"NET_INCOME_TO_COMMON_MARGIN","FQ1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64" t="e">
        <f ca="1">_xll.BDH($C$253,"EFF_TAX_RATE","FQ1 2016","FQ1 2016","Currency=INR","Period=FQ","BEST_FPERIOD_OVERRIDE=FQ","FILING_STATUS=OR","EQY_CONSOLIDATED=Y","FA_ADJUSTED=GAAP","Sort=A","Dates=H","DateFormat=P","Fill=—","Direction=H","UseDPDF=Y")</f>
        <v>#NAME?</v>
      </c>
      <c r="R264" t="e">
        <f ca="1">_xll.BDH($C$253,"DVD_PAYOUT_RATIO","FQ1 2016","FQ1 2016","Currency=INR","Period=FQ","BEST_FPERIOD_OVERRIDE=FQ","FILING_STATUS=OR","EQY_CONSOLIDATED=Y","FA_ADJUSTED=GAAP","Sort=A","Dates=H","DateFormat=P","Fill=—","Direction=H","UseDPDF=Y")</f>
        <v>#NAME?</v>
      </c>
      <c r="S264" t="e">
        <f ca="1">_xll.BDH($C$253,"SUSTAIN_GROWTH_RT","FQ1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264" s="2" t="e">
        <f ca="1">_xll.BDH($C$253,"SALES_GROWTH","FQ1 2016","FQ1 2016","Currency=INR","Period=FQ","BEST_FPERIOD_OVERRIDE=FQ","FILING_STATUS=OR","EQY_CONSOLIDATED=Y","FA_ADJUSTED=GAAP","Sort=A","Dates=H","DateFormat=P","Fill=—","Direction=H","UseDPDF=Y")</f>
        <v>#NAME?</v>
      </c>
      <c r="U264" s="2" t="e">
        <f ca="1">_xll.BDH($C$253,"EBITDA_GROWTH","FQ1 2016","FQ1 2016","Currency=INR","Period=FQ","BEST_FPERIOD_OVERRIDE=FQ","FILING_STATUS=OR","EQY_CONSOLIDATED=Y","FA_ADJUSTED=GAAP","Sort=A","Dates=H","DateFormat=P","Fill=—","Direction=H","UseDPDF=Y")</f>
        <v>#NAME?</v>
      </c>
      <c r="V264" s="2" t="e">
        <f ca="1">_xll.BDH($C$253,"OPER_INC_GROWTH","FQ1 2016","FQ1 2016","Currency=INR","Period=FQ","BEST_FPERIOD_OVERRIDE=FQ","FILING_STATUS=OR","EQY_CONSOLIDATED=Y","FA_ADJUSTED=GAAP","Sort=A","Dates=H","DateFormat=P","Fill=—","Direction=H","UseDPDF=Y")</f>
        <v>#NAME?</v>
      </c>
      <c r="W264" s="2" t="e">
        <f ca="1">_xll.BDH($C$253,"EARN_FOR_COM_GROWTH","FQ1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64" s="2" t="e">
        <f ca="1">_xll.BDH($C$253,"DILUTED_EPS_AFT_XO_ITEMS_GROWTH","FQ1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64" s="2" t="e">
        <f ca="1">_xll.BDH($C$253,"DIVIDEND_PER_SHARE_1_YEAR_GROWTH","FQ1 2016","FQ1 2016","Currency=INR","Period=FQ","BEST_FPERIOD_OVERRIDE=FQ","FILING_STATUS=OR","EQY_CONSOLIDATED=Y","Sort=A","Dates=H","DateFormat=P","Fill=—","Direction=H","UseDPDF=Y")</f>
        <v>#NAME?</v>
      </c>
      <c r="Z264" s="2" t="e">
        <f ca="1">_xll.BDH($C$253,"ACCOUNTS_RECEIVABLE_GROWTH","FQ1 2016","FQ1 2016","Currency=INR","Period=FQ","BEST_FPERIOD_OVERRIDE=FQ","FILING_STATUS=OR","EQY_CONSOLIDATED=Y","Sort=A","Dates=H","DateFormat=P","Fill=—","Direction=H","UseDPDF=Y")</f>
        <v>#NAME?</v>
      </c>
      <c r="AA264" s="2" t="e">
        <f ca="1">_xll.BDH($C$253,"INVENTORY_GROWTH","FQ1 2016","FQ1 2016","Currency=INR","Period=FQ","BEST_FPERIOD_OVERRIDE=FQ","FILING_STATUS=OR","EQY_CONSOLIDATED=Y","Sort=A","Dates=H","DateFormat=P","Fill=—","Direction=H","UseDPDF=Y")</f>
        <v>#NAME?</v>
      </c>
      <c r="AB264" s="2" t="e">
        <f ca="1">_xll.BDH($C$253,"NET_FIXED_ASSETS_1_YEAR_GROWTH","FQ1 2016","FQ1 2016","Currency=INR","Period=FQ","BEST_FPERIOD_OVERRIDE=FQ","FILING_STATUS=OR","EQY_CONSOLIDATED=Y","Sort=A","Dates=H","DateFormat=P","Fill=—","Direction=H","UseDPDF=Y")</f>
        <v>#NAME?</v>
      </c>
      <c r="AC264" s="2" t="e">
        <f ca="1">_xll.BDH($C$253,"ASSET_GROWTH","FQ1 2016","FQ1 2016","Currency=INR","Period=FQ","BEST_FPERIOD_OVERRIDE=FQ","FILING_STATUS=OR","EQY_CONSOLIDATED=Y","Sort=A","Dates=H","DateFormat=P","Fill=—","Direction=H","UseDPDF=Y")</f>
        <v>#NAME?</v>
      </c>
      <c r="AD264" s="2" t="e">
        <f ca="1">_xll.BDH($C$253,"MODIFIED_WORK_CAP_GROWTH","FQ1 2016","FQ1 2016","Currency=INR","Period=FQ","BEST_FPERIOD_OVERRIDE=FQ","FILING_STATUS=OR","EQY_CONSOLIDATED=Y","Sort=A","Dates=H","DateFormat=P","Fill=—","Direction=H","UseDPDF=Y")</f>
        <v>#NAME?</v>
      </c>
      <c r="AE264" s="2" t="e">
        <f ca="1">_xll.BDH($C$253,"WORK_CAP_GROWTH","FQ1 2016","FQ1 2016","Currency=INR","Period=FQ","BEST_FPERIOD_OVERRIDE=FQ","FILING_STATUS=OR","EQY_CONSOLIDATED=Y","Sort=A","Dates=H","DateFormat=P","Fill=—","Direction=H","UseDPDF=Y")</f>
        <v>#NAME?</v>
      </c>
      <c r="AF264" s="2" t="e">
        <f ca="1">_xll.BDH($C$253,"ACCOUNTS_PAYABLE_GROWTH_1YR","FQ1 2016","FQ1 2016","Currency=INR","Period=FQ","BEST_FPERIOD_OVERRIDE=FQ","FILING_STATUS=OR","EQY_CONSOLIDATED=Y","Sort=A","Dates=H","DateFormat=P","Fill=—","Direction=H","UseDPDF=Y")</f>
        <v>#NAME?</v>
      </c>
      <c r="AG264" s="2" t="e">
        <f ca="1">_xll.BDH($C$253,"SHORT_TERM_DEBT_1_YEAR_GROWTH","FQ1 2016","FQ1 2016","Currency=INR","Period=FQ","BEST_FPERIOD_OVERRIDE=FQ","FILING_STATUS=OR","EQY_CONSOLIDATED=Y","Sort=A","Dates=H","DateFormat=P","Fill=—","Direction=H","UseDPDF=Y")</f>
        <v>#NAME?</v>
      </c>
      <c r="AH264" s="2" t="e">
        <f ca="1">_xll.BDH($C$253,"TOTAL_DEBT_1_YEAR_GROWTH","FQ1 2016","FQ1 2016","Currency=INR","Period=FQ","BEST_FPERIOD_OVERRIDE=FQ","FILING_STATUS=OR","EQY_CONSOLIDATED=Y","Sort=A","Dates=H","DateFormat=P","Fill=—","Direction=H","UseDPDF=Y")</f>
        <v>#NAME?</v>
      </c>
      <c r="AI264" s="2" t="e">
        <f ca="1">_xll.BDH($C$253,"TOTAL_EQUITY_1_YEAR_GROWTH","FQ1 2016","FQ1 2016","Currency=INR","Period=FQ","BEST_FPERIOD_OVERRIDE=FQ","FILING_STATUS=OR","EQY_CONSOLIDATED=Y","Sort=A","Dates=H","DateFormat=P","Fill=—","Direction=H","UseDPDF=Y")</f>
        <v>#NAME?</v>
      </c>
      <c r="AJ264" s="2" t="e">
        <f ca="1">_xll.BDH($C$253,"GROWTH_IN_CAP","FQ1 2016","FQ1 2016","Currency=INR","Period=FQ","BEST_FPERIOD_OVERRIDE=FQ","FILING_STATUS=OR","EQY_CONSOLIDATED=Y","Sort=A","Dates=H","DateFormat=P","Fill=—","Direction=H","UseDPDF=Y")</f>
        <v>#NAME?</v>
      </c>
      <c r="AK264" s="2" t="e">
        <f ca="1">_xll.BDH($C$253,"BVPS_GROWTH","FQ1 2016","FQ1 2016","Currency=INR","Period=FQ","BEST_FPERIOD_OVERRIDE=FQ","FILING_STATUS=OR","EQY_CONSOLIDATED=Y","Sort=A","Dates=H","DateFormat=P","Fill=—","Direction=H","UseDPDF=Y")</f>
        <v>#NAME?</v>
      </c>
      <c r="AL264" s="2" t="e">
        <f ca="1">_xll.BDH($C$253,"CASH_FLOW_GROWTH","FQ1 2016","FQ1 2016","Currency=INR","Period=FQ","BEST_FPERIOD_OVERRIDE=FQ","FILING_STATUS=OR","EQY_CONSOLIDATED=Y","Sort=A","Dates=H","DateFormat=P","Fill=—","Direction=H","UseDPDF=Y")</f>
        <v>#NAME?</v>
      </c>
      <c r="AM264" s="2" t="e">
        <f ca="1">_xll.BDH($C$253,"GEO_GROW_NET_SALES","FQ1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64" s="2" t="e">
        <f ca="1">_xll.BDH($C$253,"GEO_GROW_EBITDA","FQ1 2016","FQ1 2016","Currency=INR","Period=FQ","BEST_FPERIOD_OVERRIDE=FQ","FILING_STATUS=OR","EQY_CONSOLIDATED=Y","FA_ADJUSTED=GAAP","Sort=A","Dates=H","DateFormat=P","Fill=—","Direction=H","UseDPDF=Y")</f>
        <v>#NAME?</v>
      </c>
      <c r="AO264" s="2" t="e">
        <f ca="1">_xll.BDH($C$253,"GEO_GROW_OPER_INC","FQ1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64" s="2" t="e">
        <f ca="1">_xll.BDH($C$253,"NET_INCOME_TO_COMMON_5_YR_GROWTH","FQ1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64" s="2" t="e">
        <f ca="1">_xll.BDH($C$253,"5Y_GEO_GROWTH_DILUTED_EPS","FQ1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64" s="2" t="e">
        <f ca="1">_xll.BDH($C$253,"GEO_GROW_DVD_PER_SH","FQ1 2016","FQ1 2016","Currency=INR","Period=FQ","BEST_FPERIOD_OVERRIDE=FQ","FILING_STATUS=OR","EQY_CONSOLIDATED=Y","Sort=A","Dates=H","DateFormat=P","Fill=—","Direction=H","UseDPDF=Y")</f>
        <v>#NAME?</v>
      </c>
      <c r="AS264" s="2" t="e">
        <f ca="1">_xll.BDH($C$253,"ACCOUNTS_RECEIVABLE_5_YR_GROWTH","FQ1 2016","FQ1 2016","Currency=INR","Period=FQ","BEST_FPERIOD_OVERRIDE=FQ","FILING_STATUS=OR","EQY_CONSOLIDATED=Y","Sort=A","Dates=H","DateFormat=P","Fill=—","Direction=H","UseDPDF=Y")</f>
        <v>#NAME?</v>
      </c>
      <c r="AT264" s="2" t="e">
        <f ca="1">_xll.BDH($C$253,"INVENTORY_5_YEAR_GROWTH","FQ1 2016","FQ1 2016","Currency=INR","Period=FQ","BEST_FPERIOD_OVERRIDE=FQ","FILING_STATUS=OR","EQY_CONSOLIDATED=Y","Sort=A","Dates=H","DateFormat=P","Fill=—","Direction=H","UseDPDF=Y")</f>
        <v>#NAME?</v>
      </c>
      <c r="AU264" s="2" t="e">
        <f ca="1">_xll.BDH($C$253,"NET_FIXED_ASSETS_5_YEAR_GROWTH","FQ1 2016","FQ1 2016","Currency=INR","Period=FQ","BEST_FPERIOD_OVERRIDE=FQ","FILING_STATUS=OR","EQY_CONSOLIDATED=Y","Sort=A","Dates=H","DateFormat=P","Fill=—","Direction=H","UseDPDF=Y")</f>
        <v>#NAME?</v>
      </c>
      <c r="AV264" s="2" t="e">
        <f ca="1">_xll.BDH($C$253,"GEO_GROW_TOT_ASSET","FQ1 2016","FQ1 2016","Currency=INR","Period=FQ","BEST_FPERIOD_OVERRIDE=FQ","FILING_STATUS=OR","EQY_CONSOLIDATED=Y","Sort=A","Dates=H","DateFormat=P","Fill=—","Direction=H","UseDPDF=Y")</f>
        <v>#NAME?</v>
      </c>
      <c r="AW264" s="2" t="e">
        <f ca="1">_xll.BDH($C$253,"MODIFIED_WORKING_CPTL_5YR_GRWTH","FQ1 2016","FQ1 2016","Currency=INR","Period=FQ","BEST_FPERIOD_OVERRIDE=FQ","FILING_STATUS=OR","EQY_CONSOLIDATED=Y","Sort=A","Dates=H","DateFormat=P","Fill=—","Direction=H","UseDPDF=Y")</f>
        <v>#NAME?</v>
      </c>
      <c r="AX264" s="2" t="e">
        <f ca="1">_xll.BDH($C$253,"WORKING_CAPITAL_5_YEAR_GROWTH","FQ1 2016","FQ1 2016","Currency=INR","Period=FQ","BEST_FPERIOD_OVERRIDE=FQ","FILING_STATUS=OR","EQY_CONSOLIDATED=Y","Sort=A","Dates=H","DateFormat=P","Fill=—","Direction=H","UseDPDF=Y")</f>
        <v>#NAME?</v>
      </c>
      <c r="AY264" s="2" t="e">
        <f ca="1">_xll.BDH($C$253,"ACCOUNTS_PAYABLE_5_YEAR_GROWTH","FQ1 2016","FQ1 2016","Currency=INR","Period=FQ","BEST_FPERIOD_OVERRIDE=FQ","FILING_STATUS=OR","EQY_CONSOLIDATED=Y","Sort=A","Dates=H","DateFormat=P","Fill=—","Direction=H","UseDPDF=Y")</f>
        <v>#NAME?</v>
      </c>
      <c r="AZ264" s="2" t="e">
        <f ca="1">_xll.BDH($C$253,"SHORT_TERM_DEBT_5_YEAR_GROWTH","FQ1 2016","FQ1 2016","Currency=INR","Period=FQ","BEST_FPERIOD_OVERRIDE=FQ","FILING_STATUS=OR","EQY_CONSOLIDATED=Y","Sort=A","Dates=H","DateFormat=P","Fill=—","Direction=H","UseDPDF=Y")</f>
        <v>#NAME?</v>
      </c>
      <c r="BA264" s="2" t="e">
        <f ca="1">_xll.BDH($C$253,"TOTAL_DEBT_5_YEAR_GROWTH","FQ1 2016","FQ1 2016","Currency=INR","Period=FQ","BEST_FPERIOD_OVERRIDE=FQ","FILING_STATUS=OR","EQY_CONSOLIDATED=Y","Sort=A","Dates=H","DateFormat=P","Fill=—","Direction=H","UseDPDF=Y")</f>
        <v>#NAME?</v>
      </c>
      <c r="BB264" s="2" t="e">
        <f ca="1">_xll.BDH($C$253,"GEO_GROW_TOT_SHRHLDR_EQY","FQ1 2016","FQ1 2016","Currency=INR","Period=FQ","BEST_FPERIOD_OVERRIDE=FQ","FILING_STATUS=OR","EQY_CONSOLIDATED=Y","Sort=A","Dates=H","DateFormat=P","Fill=—","Direction=H","UseDPDF=Y")</f>
        <v>#NAME?</v>
      </c>
      <c r="BC264" s="2" t="e">
        <f ca="1">_xll.BDH($C$253,"TOTAL_CAPITAL_5_YEAR_GROWTH","FQ1 2016","FQ1 2016","Currency=INR","Period=FQ","BEST_FPERIOD_OVERRIDE=FQ","FILING_STATUS=OR","EQY_CONSOLIDATED=Y","Sort=A","Dates=H","DateFormat=P","Fill=—","Direction=H","UseDPDF=Y")</f>
        <v>#NAME?</v>
      </c>
      <c r="BD264" s="2" t="e">
        <f ca="1">_xll.BDH($C$253,"GEO_GROW_BOOK_VAL","FQ1 2016","FQ1 2016","Currency=INR","Period=FQ","BEST_FPERIOD_OVERRIDE=FQ","FILING_STATUS=OR","EQY_CONSOLIDATED=Y","Sort=A","Dates=H","DateFormat=P","Fill=—","Direction=H","UseDPDF=Y")</f>
        <v>#NAME?</v>
      </c>
      <c r="BE264" s="2" t="e">
        <f ca="1">_xll.BDH($C$253,"GEO_GROW_CASH_OPER_ACT","FQ1 2016","FQ1 2016","Currency=INR","Period=FQ","BEST_FPERIOD_OVERRIDE=FQ","FILING_STATUS=OR","EQY_CONSOLIDATED=Y","Sort=A","Dates=H","DateFormat=P","Fill=—","Direction=H","UseDPDF=Y")</f>
        <v>#NAME?</v>
      </c>
      <c r="BF264" s="2" t="e">
        <f ca="1">_xll.BDH($C$253,"REVENUE_SEQUENTIAL_GROWTH","FQ1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64" s="2" t="e">
        <f ca="1">_xll.BDH($C$253,"EBITDA_SEQUENTIAL_GROWTH","FQ1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64" s="2" t="e">
        <f ca="1">_xll.BDH($C$253,"OPERATING_INCOME_SEQ_GROWTH","FQ1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64" s="2" t="e">
        <f ca="1">_xll.BDH($C$253,"NET_INCOME_TO_COMMON_SEQ_GROWTH","FQ1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64" s="2" t="e">
        <f ca="1">_xll.BDH($C$253,"EPS_DILUTED_SEQUENTIAL_GROWTH","FQ1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64" s="2" t="e">
        <f ca="1">_xll.BDH($C$253,"DPS_SEQUENTIAL_GROWTH","FQ1 2016","FQ1 2016","Currency=INR","Period=FQ","BEST_FPERIOD_OVERRIDE=FQ","FILING_STATUS=OR","EQY_CONSOLIDATED=Y","Sort=A","Dates=H","DateFormat=P","Fill=—","Direction=H","UseDPDF=Y")</f>
        <v>#NAME?</v>
      </c>
      <c r="BL264" s="2" t="e">
        <f ca="1">_xll.BDH($C$253,"ACCOUNTS_RECEIVABLE_SEQ_GROWTH","FQ1 2016","FQ1 2016","Currency=INR","Period=FQ","BEST_FPERIOD_OVERRIDE=FQ","FILING_STATUS=OR","EQY_CONSOLIDATED=Y","Sort=A","Dates=H","DateFormat=P","Fill=—","Direction=H","UseDPDF=Y")</f>
        <v>#NAME?</v>
      </c>
      <c r="BM264" s="2" t="e">
        <f ca="1">_xll.BDH($C$253,"INVENTORY_SEQUENTIAL_GROWTH","FQ1 2016","FQ1 2016","Currency=INR","Period=FQ","BEST_FPERIOD_OVERRIDE=FQ","FILING_STATUS=OR","EQY_CONSOLIDATED=Y","Sort=A","Dates=H","DateFormat=P","Fill=—","Direction=H","UseDPDF=Y")</f>
        <v>#NAME?</v>
      </c>
      <c r="BN264" s="2" t="e">
        <f ca="1">_xll.BDH($C$253,"FIXED_ASSETS_SEQUENTIAL_GROWTH","FQ1 2016","FQ1 2016","Currency=INR","Period=FQ","BEST_FPERIOD_OVERRIDE=FQ","FILING_STATUS=OR","EQY_CONSOLIDATED=Y","Sort=A","Dates=H","DateFormat=P","Fill=—","Direction=H","UseDPDF=Y")</f>
        <v>#NAME?</v>
      </c>
      <c r="BO264" s="2" t="e">
        <f ca="1">_xll.BDH($C$253,"TOTAL_ASSETS_SEQUENTIAL_GROWTH","FQ1 2016","FQ1 2016","Currency=INR","Period=FQ","BEST_FPERIOD_OVERRIDE=FQ","FILING_STATUS=OR","EQY_CONSOLIDATED=Y","Sort=A","Dates=H","DateFormat=P","Fill=—","Direction=H","UseDPDF=Y")</f>
        <v>#NAME?</v>
      </c>
      <c r="BP264" s="2" t="e">
        <f ca="1">_xll.BDH($C$253,"MODIFIED_WORKING_CPTL_SEQ_GRWTH","FQ1 2016","FQ1 2016","Currency=INR","Period=FQ","BEST_FPERIOD_OVERRIDE=FQ","FILING_STATUS=OR","EQY_CONSOLIDATED=Y","Sort=A","Dates=H","DateFormat=P","Fill=—","Direction=H","UseDPDF=Y")</f>
        <v>#NAME?</v>
      </c>
      <c r="BQ264" s="2" t="e">
        <f ca="1">_xll.BDH($C$253,"WORKING_CAPITAL_SEQ_GROWTH","FQ1 2016","FQ1 2016","Currency=INR","Period=FQ","BEST_FPERIOD_OVERRIDE=FQ","FILING_STATUS=OR","EQY_CONSOLIDATED=Y","Sort=A","Dates=H","DateFormat=P","Fill=—","Direction=H","UseDPDF=Y")</f>
        <v>#NAME?</v>
      </c>
      <c r="BR264" s="2" t="e">
        <f ca="1">_xll.BDH($C$253,"ACCOUNTS_PAYABLE_SEQ_GROWTH","FQ1 2016","FQ1 2016","Currency=INR","Period=FQ","BEST_FPERIOD_OVERRIDE=FQ","FILING_STATUS=OR","EQY_CONSOLIDATED=Y","Sort=A","Dates=H","DateFormat=P","Fill=—","Direction=H","UseDPDF=Y")</f>
        <v>#NAME?</v>
      </c>
      <c r="BS264" s="2" t="e">
        <f ca="1">_xll.BDH($C$253,"ST_DEBT_SEQUENTIAL_GROWTH","FQ1 2016","FQ1 2016","Currency=INR","Period=FQ","BEST_FPERIOD_OVERRIDE=FQ","FILING_STATUS=OR","EQY_CONSOLIDATED=Y","Sort=A","Dates=H","DateFormat=P","Fill=—","Direction=H","UseDPDF=Y")</f>
        <v>#NAME?</v>
      </c>
      <c r="BT264" s="2" t="e">
        <f ca="1">_xll.BDH($C$253,"TOTAL_DEBT_SEQUENTIAL_GROWTH","FQ1 2016","FQ1 2016","Currency=INR","Period=FQ","BEST_FPERIOD_OVERRIDE=FQ","FILING_STATUS=OR","EQY_CONSOLIDATED=Y","Sort=A","Dates=H","DateFormat=P","Fill=—","Direction=H","UseDPDF=Y")</f>
        <v>#NAME?</v>
      </c>
      <c r="BU264" s="2" t="e">
        <f ca="1">_xll.BDH($C$253,"TOTAL_EQUITY_SEQUENTIAL_GROWTH","FQ1 2016","FQ1 2016","Currency=INR","Period=FQ","BEST_FPERIOD_OVERRIDE=FQ","FILING_STATUS=OR","EQY_CONSOLIDATED=Y","Sort=A","Dates=H","DateFormat=P","Fill=—","Direction=H","UseDPDF=Y")</f>
        <v>#NAME?</v>
      </c>
      <c r="BV264" s="2" t="e">
        <f ca="1">_xll.BDH($C$253,"TOTAL_CAPITAL_SEQUENTIAL_GROWTH","FQ1 2016","FQ1 2016","Currency=INR","Period=FQ","BEST_FPERIOD_OVERRIDE=FQ","FILING_STATUS=OR","EQY_CONSOLIDATED=Y","Sort=A","Dates=H","DateFormat=P","Fill=—","Direction=H","UseDPDF=Y")</f>
        <v>#NAME?</v>
      </c>
      <c r="BW264" s="2" t="e">
        <f ca="1">_xll.BDH($C$253,"BPS_SEQUENTIAL_GROWTH","FQ1 2016","FQ1 2016","Currency=INR","Period=FQ","BEST_FPERIOD_OVERRIDE=FQ","FILING_STATUS=OR","EQY_CONSOLIDATED=Y","Sort=A","Dates=H","DateFormat=P","Fill=—","Direction=H","UseDPDF=Y")</f>
        <v>#NAME?</v>
      </c>
      <c r="BX264" s="2" t="e">
        <f ca="1">_xll.BDH($C$253,"CFO_SEQUENTIAL_GROWTH","FQ1 2016","FQ1 2016","Currency=INR","Period=FQ","BEST_FPERIOD_OVERRIDE=FQ","FILING_STATUS=OR","EQY_CONSOLIDATED=Y","Sort=A","Dates=H","DateFormat=P","Fill=—","Direction=H","UseDPDF=Y")</f>
        <v>#NAME?</v>
      </c>
      <c r="BY264" s="3" t="e">
        <f ca="1">_xll.BDH($C$253,"SHORT_AND_LONG_TERM_DEBT","FQ1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64" s="3" t="e">
        <f ca="1">_xll.BDH($C$253,"BS_ST_BORROW","FQ1 2016","FQ1 2016","Currency=INR","Period=FQ","BEST_FPERIOD_OVERRIDE=FQ","FILING_STATUS=OR","EQY_CONSOLIDATED=Y","SCALING_FORMAT=MLN","Sort=A","Dates=H","DateFormat=P","Fill=—","Direction=H","UseDPDF=Y")</f>
        <v>#NAME?</v>
      </c>
      <c r="CA264" s="3" t="e">
        <f ca="1">_xll.BDH($C$253,"BS_LT_BORROW","FQ1 2016","FQ1 2016","Currency=INR","Period=FQ","BEST_FPERIOD_OVERRIDE=FQ","FILING_STATUS=OR","EQY_CONSOLIDATED=Y","SCALING_FORMAT=MLN","Sort=A","Dates=H","DateFormat=P","Fill=—","Direction=H","UseDPDF=Y")</f>
        <v>#NAME?</v>
      </c>
      <c r="CB264" s="2" t="e">
        <f ca="1">_xll.BDH($C$253,"TOT_DEBT_TO_EBITDA","FQ1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64" s="2" t="e">
        <f ca="1">_xll.BDH($C$253,"NET_DEBT_TO_EBITDA","FQ1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64" s="2" t="e">
        <f ca="1">_xll.BDH($C$253,"TOTAL_DEBT_TO_EBIT","FQ1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64" s="2" t="e">
        <f ca="1">_xll.BDH($C$253,"NET_DEBT_TO_EBIT","FQ1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264" s="2" t="e">
        <f ca="1">_xll.BDH($C$253,"EBITDA_TO_INTEREST_EXPN","FQ1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64" s="2" t="e">
        <f ca="1">_xll.BDH($C$253,"COM_EQY_TO_TOT_ASSET","FQ1 2016","FQ1 2016","Currency=INR","Period=FQ","BEST_FPERIOD_OVERRIDE=FQ","FILING_STATUS=OR","EQY_CONSOLIDATED=Y","Sort=A","Dates=H","DateFormat=P","Fill=—","Direction=H","UseDPDF=Y")</f>
        <v>#NAME?</v>
      </c>
      <c r="CH264" s="2" t="e">
        <f ca="1">_xll.BDH($C$253,"LT_DEBT_TO_TOT_EQY","FQ1 2016","FQ1 2016","Currency=INR","Period=FQ","BEST_FPERIOD_OVERRIDE=FQ","FILING_STATUS=OR","EQY_CONSOLIDATED=Y","Sort=A","Dates=H","DateFormat=P","Fill=—","Direction=H","UseDPDF=Y")</f>
        <v>#NAME?</v>
      </c>
      <c r="CI264" s="2" t="e">
        <f ca="1">_xll.BDH($C$253,"LT_DEBT_TO_TOT_CAP","FQ1 2016","FQ1 2016","Currency=INR","Period=FQ","BEST_FPERIOD_OVERRIDE=FQ","FILING_STATUS=OR","EQY_CONSOLIDATED=Y","Sort=A","Dates=H","DateFormat=P","Fill=—","Direction=H","UseDPDF=Y")</f>
        <v>#NAME?</v>
      </c>
      <c r="CJ264" s="2" t="e">
        <f ca="1">_xll.BDH($C$253,"LT_DEBT_TO_TOT_ASSET","FQ1 2016","FQ1 2016","Currency=INR","Period=FQ","BEST_FPERIOD_OVERRIDE=FQ","FILING_STATUS=OR","EQY_CONSOLIDATED=Y","Sort=A","Dates=H","DateFormat=P","Fill=—","Direction=H","UseDPDF=Y")</f>
        <v>#NAME?</v>
      </c>
      <c r="CK264" s="2" t="e">
        <f ca="1">_xll.BDH($C$253,"TOT_DEBT_TO_TOT_EQY","FQ1 2016","FQ1 2016","Currency=INR","Period=FQ","BEST_FPERIOD_OVERRIDE=FQ","FILING_STATUS=OR","EQY_CONSOLIDATED=Y","Sort=A","Dates=H","DateFormat=P","Fill=—","Direction=H","UseDPDF=Y")</f>
        <v>#NAME?</v>
      </c>
      <c r="CL264" s="2" t="e">
        <f ca="1">_xll.BDH($C$253,"TOT_DEBT_TO_TOT_CAP","FQ1 2016","FQ1 2016","Currency=INR","Period=FQ","BEST_FPERIOD_OVERRIDE=FQ","FILING_STATUS=OR","EQY_CONSOLIDATED=Y","Sort=A","Dates=H","DateFormat=P","Fill=—","Direction=H","UseDPDF=Y")</f>
        <v>#NAME?</v>
      </c>
      <c r="CM264" s="2" t="e">
        <f ca="1">_xll.BDH($C$253,"TOT_DEBT_TO_TOT_ASSET","FQ1 2016","FQ1 2016","Currency=INR","Period=FQ","BEST_FPERIOD_OVERRIDE=FQ","FILING_STATUS=OR","EQY_CONSOLIDATED=Y","Sort=A","Dates=H","DateFormat=P","Fill=—","Direction=H","UseDPDF=Y")</f>
        <v>#NAME?</v>
      </c>
      <c r="CN264" s="2" t="e">
        <f ca="1">_xll.BDH($C$253,"NET_DEBT_TO_SHRHLDR_EQTY","FQ1 2016","FQ1 2016","Currency=INR","Period=FQ","BEST_FPERIOD_OVERRIDE=FQ","FILING_STATUS=OR","EQY_CONSOLIDATED=Y","Sort=A","Dates=H","DateFormat=P","Fill=—","Direction=H","UseDPDF=Y")</f>
        <v>#NAME?</v>
      </c>
      <c r="CO264" s="2" t="e">
        <f ca="1">_xll.BDH($C$253,"NET_DEBT_%_CAPITAL","FQ1 2016","FQ1 2016","Currency=INR","Period=FQ","BEST_FPERIOD_OVERRIDE=FQ","FILING_STATUS=OR","EQY_CONSOLIDATED=Y","Sort=A","Dates=H","DateFormat=P","Fill=—","Direction=H","UseDPDF=Y")</f>
        <v>#NAME?</v>
      </c>
      <c r="CP264" s="3" t="e">
        <f ca="1">_xll.BDH($C$253,"EBITDA","FQ1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64" s="3" t="e">
        <f ca="1">_xll.BDH($C$253,"EBITDA_AFTER_CAPEX","FQ1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64" s="3" t="e">
        <f ca="1">_xll.BDH($C$253,"IS_OPER_INC","FQ1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64" s="2" t="e">
        <f ca="1">_xll.BDH($C$253,"CASH_RATIO","FQ1 2016","FQ1 2016","Currency=INR","Period=FQ","BEST_FPERIOD_OVERRIDE=FQ","FILING_STATUS=OR","EQY_CONSOLIDATED=Y","Sort=A","Dates=H","DateFormat=P","Fill=—","Direction=H","UseDPDF=Y")</f>
        <v>#NAME?</v>
      </c>
      <c r="CT264" s="2" t="e">
        <f ca="1">_xll.BDH($C$253,"CUR_RATIO","FQ1 2016","FQ1 2016","Currency=INR","Period=FQ","BEST_FPERIOD_OVERRIDE=FQ","FILING_STATUS=OR","EQY_CONSOLIDATED=Y","Sort=A","Dates=H","DateFormat=P","Fill=—","Direction=H","UseDPDF=Y")</f>
        <v>#NAME?</v>
      </c>
      <c r="CU264" s="2" t="e">
        <f ca="1">_xll.BDH($C$253,"QUICK_RATIO","FQ1 2016","FQ1 2016","Currency=INR","Period=FQ","BEST_FPERIOD_OVERRIDE=FQ","FILING_STATUS=OR","EQY_CONSOLIDATED=Y","Sort=A","Dates=H","DateFormat=P","Fill=—","Direction=H","UseDPDF=Y")</f>
        <v>#NAME?</v>
      </c>
      <c r="CV264" s="2" t="e">
        <f ca="1">_xll.BDH($C$253,"ALTMAN_Z_SCORE","FQ1 2016","FQ1 2016","Currency=INR","Period=FQ","BEST_FPERIOD_OVERRIDE=FQ","FILING_STATUS=OR","EQY_CONSOLIDATED=Y","Sort=A","Dates=H","DateFormat=P","Fill=—","Direction=H","UseDPDF=Y")</f>
        <v>#NAME?</v>
      </c>
      <c r="CW264" s="4" t="e">
        <f ca="1">_xll.BDH($C$253,"ACCT_RCV_TURN","FQ1 2016","FQ1 2016","Currency=INR","Period=FQ","BEST_FPERIOD_OVERRIDE=FQ","FILING_STATUS=OR","EQY_CONSOLIDATED=Y","FA_ADJUSTED=GAAP","Sort=A","Dates=H","DateFormat=P","Fill=—","Direction=H","UseDPDF=Y")</f>
        <v>#NAME?</v>
      </c>
      <c r="CX264" s="2" t="e">
        <f ca="1">_xll.BDH($C$253,"ACCT_RCV_DAYS","FQ1 2016","FQ1 2016","Currency=INR","Period=FQ","BEST_FPERIOD_OVERRIDE=FQ","FILING_STATUS=OR","EQY_CONSOLIDATED=Y","FA_ADJUSTED=GAAP","Sort=A","Dates=H","DateFormat=P","Fill=—","Direction=H","UseDPDF=Y")</f>
        <v>#NAME?</v>
      </c>
      <c r="CY264" s="4" t="e">
        <f ca="1">_xll.BDH($C$253,"INVENT_TURN","FQ1 2016","FQ1 2016","Currency=INR","Period=FQ","BEST_FPERIOD_OVERRIDE=FQ","FILING_STATUS=OR","EQY_CONSOLIDATED=Y","FA_ADJUSTED=GAAP","Sort=A","Dates=H","DateFormat=P","Fill=—","Direction=H","UseDPDF=Y")</f>
        <v>#NAME?</v>
      </c>
      <c r="CZ264" s="2" t="e">
        <f ca="1">_xll.BDH($C$253,"INVENT_DAYS","FQ1 2016","FQ1 2016","Currency=INR","Period=FQ","BEST_FPERIOD_OVERRIDE=FQ","FILING_STATUS=OR","EQY_CONSOLIDATED=Y","FA_ADJUSTED=GAAP","Sort=A","Dates=H","DateFormat=P","Fill=—","Direction=H","UseDPDF=Y")</f>
        <v>#NAME?</v>
      </c>
      <c r="DA264" s="4" t="e">
        <f ca="1">_xll.BDH($C$253,"ACCOUNTS_PAYABLE_TURNOVER","FQ1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64" s="2" t="e">
        <f ca="1">_xll.BDH($C$253,"ACCOUNTS_PAYABLE_TURNOVER_DAYS","FQ1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64" s="4" t="e">
        <f ca="1">_xll.BDH($C$253,"CASH_CONVERSION_CYCLE","FQ1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64" s="4" t="e">
        <f ca="1">_xll.BDH($C$253,"INV_TO_CASH_DAYS","FQ1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264" s="5" t="e">
        <f ca="1">_xll.BDH($C$253,"BS_INVENTORIES","FQ1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264" s="3" t="e">
        <f ca="1">_xll.BDH($C$253,"INVTRY_RAW_MATERIALS","FQ1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64" s="3" t="e">
        <f ca="1">_xll.BDH($C$253,"INVTRY_IN_PROGRESS","FQ1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64" s="3" t="e">
        <f ca="1">_xll.BDH($C$253,"INVTRY_FINISHED_GOODS","FQ1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64" s="3" t="e">
        <f ca="1">_xll.BDH($C$253,"BS_OTHER_INV","FQ1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65" spans="1:113" x14ac:dyDescent="0.3">
      <c r="A265" s="6"/>
      <c r="B265" s="6"/>
      <c r="C265" s="6"/>
      <c r="D265" s="6"/>
      <c r="E265" t="s">
        <v>79</v>
      </c>
      <c r="F265" t="e">
        <f ca="1">_xll.BDH($C$253,"RETURN_COM_EQY","FQ2 2016","FQ2 2016","Currency=INR","Period=FQ","BEST_FPERIOD_OVERRIDE=FQ","FILING_STATUS=OR","EQY_CONSOLIDATED=Y","FA_ADJUSTED=GAAP","Sort=A","Dates=H","DateFormat=P","Fill=—","Direction=H","UseDPDF=Y")</f>
        <v>#NAME?</v>
      </c>
      <c r="G265" t="e">
        <f ca="1">_xll.BDH($C$253,"RETURN_ON_ASSET","FQ2 2016","FQ2 2016","Currency=INR","Period=FQ","BEST_FPERIOD_OVERRIDE=FQ","FILING_STATUS=OR","EQY_CONSOLIDATED=Y","FA_ADJUSTED=GAAP","Sort=A","Dates=H","DateFormat=P","Fill=—","Direction=H","UseDPDF=Y")</f>
        <v>#NAME?</v>
      </c>
      <c r="H265" t="e">
        <f ca="1">_xll.BDH($C$253,"RETURN_ON_CAP","FQ2 2016","FQ2 2016","Currency=INR","Period=FQ","BEST_FPERIOD_OVERRIDE=FQ","FILING_STATUS=OR","EQY_CONSOLIDATED=Y","FA_ADJUSTED=GAAP","Sort=A","Dates=H","DateFormat=P","Fill=—","Direction=H","UseDPDF=Y")</f>
        <v>#NAME?</v>
      </c>
      <c r="I265" t="e">
        <f ca="1">_xll.BDH($C$253,"RETURN_ON_INV_CAPITAL","FQ2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65" t="e">
        <f ca="1">_xll.BDH($C$253,"EBITDA_TO_REVENUE","FQ2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265" t="e">
        <f ca="1">_xll.BDH($C$253,"OPER_MARGIN","FQ2 2016","FQ2 2016","Currency=INR","Period=FQ","BEST_FPERIOD_OVERRIDE=FQ","FILING_STATUS=OR","EQY_CONSOLIDATED=Y","FA_ADJUSTED=GAAP","Sort=A","Dates=H","DateFormat=P","Fill=—","Direction=H","UseDPDF=Y")</f>
        <v>#NAME?</v>
      </c>
      <c r="L265" t="e">
        <f ca="1">_xll.BDH($C$253,"INCREMENTAL_OPERATING_MARGIN","FQ2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65" t="e">
        <f ca="1">_xll.BDH($C$253,"PRETAX_INC_TO_NET_SALES","FQ2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65" t="e">
        <f ca="1">_xll.BDH($C$253,"INC_BEF_XO_ITEMS_TO_NET_SALES","FQ2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65" t="e">
        <f ca="1">_xll.BDH($C$253,"PROF_MARGIN","FQ2 2016","FQ2 2016","Currency=INR","Period=FQ","BEST_FPERIOD_OVERRIDE=FQ","FILING_STATUS=OR","EQY_CONSOLIDATED=Y","FA_ADJUSTED=GAAP","Sort=A","Dates=H","DateFormat=P","Fill=—","Direction=H","UseDPDF=Y")</f>
        <v>#NAME?</v>
      </c>
      <c r="P265" t="e">
        <f ca="1">_xll.BDH($C$253,"NET_INCOME_TO_COMMON_MARGIN","FQ2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65" t="e">
        <f ca="1">_xll.BDH($C$253,"EFF_TAX_RATE","FQ2 2016","FQ2 2016","Currency=INR","Period=FQ","BEST_FPERIOD_OVERRIDE=FQ","FILING_STATUS=OR","EQY_CONSOLIDATED=Y","FA_ADJUSTED=GAAP","Sort=A","Dates=H","DateFormat=P","Fill=—","Direction=H","UseDPDF=Y")</f>
        <v>#NAME?</v>
      </c>
      <c r="R265" t="e">
        <f ca="1">_xll.BDH($C$253,"DVD_PAYOUT_RATIO","FQ2 2016","FQ2 2016","Currency=INR","Period=FQ","BEST_FPERIOD_OVERRIDE=FQ","FILING_STATUS=OR","EQY_CONSOLIDATED=Y","FA_ADJUSTED=GAAP","Sort=A","Dates=H","DateFormat=P","Fill=—","Direction=H","UseDPDF=Y")</f>
        <v>#NAME?</v>
      </c>
      <c r="S265" t="e">
        <f ca="1">_xll.BDH($C$253,"SUSTAIN_GROWTH_RT","FQ2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265" s="2" t="e">
        <f ca="1">_xll.BDH($C$253,"SALES_GROWTH","FQ2 2016","FQ2 2016","Currency=INR","Period=FQ","BEST_FPERIOD_OVERRIDE=FQ","FILING_STATUS=OR","EQY_CONSOLIDATED=Y","FA_ADJUSTED=GAAP","Sort=A","Dates=H","DateFormat=P","Fill=—","Direction=H","UseDPDF=Y")</f>
        <v>#NAME?</v>
      </c>
      <c r="U265" s="2" t="e">
        <f ca="1">_xll.BDH($C$253,"EBITDA_GROWTH","FQ2 2016","FQ2 2016","Currency=INR","Period=FQ","BEST_FPERIOD_OVERRIDE=FQ","FILING_STATUS=OR","EQY_CONSOLIDATED=Y","FA_ADJUSTED=GAAP","Sort=A","Dates=H","DateFormat=P","Fill=—","Direction=H","UseDPDF=Y")</f>
        <v>#NAME?</v>
      </c>
      <c r="V265" s="2" t="e">
        <f ca="1">_xll.BDH($C$253,"OPER_INC_GROWTH","FQ2 2016","FQ2 2016","Currency=INR","Period=FQ","BEST_FPERIOD_OVERRIDE=FQ","FILING_STATUS=OR","EQY_CONSOLIDATED=Y","FA_ADJUSTED=GAAP","Sort=A","Dates=H","DateFormat=P","Fill=—","Direction=H","UseDPDF=Y")</f>
        <v>#NAME?</v>
      </c>
      <c r="W265" s="2" t="e">
        <f ca="1">_xll.BDH($C$253,"EARN_FOR_COM_GROWTH","FQ2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65" s="2" t="e">
        <f ca="1">_xll.BDH($C$253,"DILUTED_EPS_AFT_XO_ITEMS_GROWTH","FQ2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65" s="2" t="e">
        <f ca="1">_xll.BDH($C$253,"DIVIDEND_PER_SHARE_1_YEAR_GROWTH","FQ2 2016","FQ2 2016","Currency=INR","Period=FQ","BEST_FPERIOD_OVERRIDE=FQ","FILING_STATUS=OR","EQY_CONSOLIDATED=Y","Sort=A","Dates=H","DateFormat=P","Fill=—","Direction=H","UseDPDF=Y")</f>
        <v>#NAME?</v>
      </c>
      <c r="Z265" s="2" t="e">
        <f ca="1">_xll.BDH($C$253,"ACCOUNTS_RECEIVABLE_GROWTH","FQ2 2016","FQ2 2016","Currency=INR","Period=FQ","BEST_FPERIOD_OVERRIDE=FQ","FILING_STATUS=OR","EQY_CONSOLIDATED=Y","Sort=A","Dates=H","DateFormat=P","Fill=—","Direction=H","UseDPDF=Y")</f>
        <v>#NAME?</v>
      </c>
      <c r="AA265" s="2" t="e">
        <f ca="1">_xll.BDH($C$253,"INVENTORY_GROWTH","FQ2 2016","FQ2 2016","Currency=INR","Period=FQ","BEST_FPERIOD_OVERRIDE=FQ","FILING_STATUS=OR","EQY_CONSOLIDATED=Y","Sort=A","Dates=H","DateFormat=P","Fill=—","Direction=H","UseDPDF=Y")</f>
        <v>#NAME?</v>
      </c>
      <c r="AB265" s="2" t="e">
        <f ca="1">_xll.BDH($C$253,"NET_FIXED_ASSETS_1_YEAR_GROWTH","FQ2 2016","FQ2 2016","Currency=INR","Period=FQ","BEST_FPERIOD_OVERRIDE=FQ","FILING_STATUS=OR","EQY_CONSOLIDATED=Y","Sort=A","Dates=H","DateFormat=P","Fill=—","Direction=H","UseDPDF=Y")</f>
        <v>#NAME?</v>
      </c>
      <c r="AC265" s="2" t="e">
        <f ca="1">_xll.BDH($C$253,"ASSET_GROWTH","FQ2 2016","FQ2 2016","Currency=INR","Period=FQ","BEST_FPERIOD_OVERRIDE=FQ","FILING_STATUS=OR","EQY_CONSOLIDATED=Y","Sort=A","Dates=H","DateFormat=P","Fill=—","Direction=H","UseDPDF=Y")</f>
        <v>#NAME?</v>
      </c>
      <c r="AD265" s="2" t="e">
        <f ca="1">_xll.BDH($C$253,"MODIFIED_WORK_CAP_GROWTH","FQ2 2016","FQ2 2016","Currency=INR","Period=FQ","BEST_FPERIOD_OVERRIDE=FQ","FILING_STATUS=OR","EQY_CONSOLIDATED=Y","Sort=A","Dates=H","DateFormat=P","Fill=—","Direction=H","UseDPDF=Y")</f>
        <v>#NAME?</v>
      </c>
      <c r="AE265" s="2" t="e">
        <f ca="1">_xll.BDH($C$253,"WORK_CAP_GROWTH","FQ2 2016","FQ2 2016","Currency=INR","Period=FQ","BEST_FPERIOD_OVERRIDE=FQ","FILING_STATUS=OR","EQY_CONSOLIDATED=Y","Sort=A","Dates=H","DateFormat=P","Fill=—","Direction=H","UseDPDF=Y")</f>
        <v>#NAME?</v>
      </c>
      <c r="AF265" s="2" t="e">
        <f ca="1">_xll.BDH($C$253,"ACCOUNTS_PAYABLE_GROWTH_1YR","FQ2 2016","FQ2 2016","Currency=INR","Period=FQ","BEST_FPERIOD_OVERRIDE=FQ","FILING_STATUS=OR","EQY_CONSOLIDATED=Y","Sort=A","Dates=H","DateFormat=P","Fill=—","Direction=H","UseDPDF=Y")</f>
        <v>#NAME?</v>
      </c>
      <c r="AG265" s="2" t="e">
        <f ca="1">_xll.BDH($C$253,"SHORT_TERM_DEBT_1_YEAR_GROWTH","FQ2 2016","FQ2 2016","Currency=INR","Period=FQ","BEST_FPERIOD_OVERRIDE=FQ","FILING_STATUS=OR","EQY_CONSOLIDATED=Y","Sort=A","Dates=H","DateFormat=P","Fill=—","Direction=H","UseDPDF=Y")</f>
        <v>#NAME?</v>
      </c>
      <c r="AH265" s="2" t="e">
        <f ca="1">_xll.BDH($C$253,"TOTAL_DEBT_1_YEAR_GROWTH","FQ2 2016","FQ2 2016","Currency=INR","Period=FQ","BEST_FPERIOD_OVERRIDE=FQ","FILING_STATUS=OR","EQY_CONSOLIDATED=Y","Sort=A","Dates=H","DateFormat=P","Fill=—","Direction=H","UseDPDF=Y")</f>
        <v>#NAME?</v>
      </c>
      <c r="AI265" s="2" t="e">
        <f ca="1">_xll.BDH($C$253,"TOTAL_EQUITY_1_YEAR_GROWTH","FQ2 2016","FQ2 2016","Currency=INR","Period=FQ","BEST_FPERIOD_OVERRIDE=FQ","FILING_STATUS=OR","EQY_CONSOLIDATED=Y","Sort=A","Dates=H","DateFormat=P","Fill=—","Direction=H","UseDPDF=Y")</f>
        <v>#NAME?</v>
      </c>
      <c r="AJ265" s="2" t="e">
        <f ca="1">_xll.BDH($C$253,"GROWTH_IN_CAP","FQ2 2016","FQ2 2016","Currency=INR","Period=FQ","BEST_FPERIOD_OVERRIDE=FQ","FILING_STATUS=OR","EQY_CONSOLIDATED=Y","Sort=A","Dates=H","DateFormat=P","Fill=—","Direction=H","UseDPDF=Y")</f>
        <v>#NAME?</v>
      </c>
      <c r="AK265" s="2" t="e">
        <f ca="1">_xll.BDH($C$253,"BVPS_GROWTH","FQ2 2016","FQ2 2016","Currency=INR","Period=FQ","BEST_FPERIOD_OVERRIDE=FQ","FILING_STATUS=OR","EQY_CONSOLIDATED=Y","Sort=A","Dates=H","DateFormat=P","Fill=—","Direction=H","UseDPDF=Y")</f>
        <v>#NAME?</v>
      </c>
      <c r="AL265" s="2" t="e">
        <f ca="1">_xll.BDH($C$253,"CASH_FLOW_GROWTH","FQ2 2016","FQ2 2016","Currency=INR","Period=FQ","BEST_FPERIOD_OVERRIDE=FQ","FILING_STATUS=OR","EQY_CONSOLIDATED=Y","Sort=A","Dates=H","DateFormat=P","Fill=—","Direction=H","UseDPDF=Y")</f>
        <v>#NAME?</v>
      </c>
      <c r="AM265" s="2" t="e">
        <f ca="1">_xll.BDH($C$253,"GEO_GROW_NET_SALES","FQ2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65" s="2" t="e">
        <f ca="1">_xll.BDH($C$253,"GEO_GROW_EBITDA","FQ2 2016","FQ2 2016","Currency=INR","Period=FQ","BEST_FPERIOD_OVERRIDE=FQ","FILING_STATUS=OR","EQY_CONSOLIDATED=Y","FA_ADJUSTED=GAAP","Sort=A","Dates=H","DateFormat=P","Fill=—","Direction=H","UseDPDF=Y")</f>
        <v>#NAME?</v>
      </c>
      <c r="AO265" s="2" t="e">
        <f ca="1">_xll.BDH($C$253,"GEO_GROW_OPER_INC","FQ2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65" s="2" t="e">
        <f ca="1">_xll.BDH($C$253,"NET_INCOME_TO_COMMON_5_YR_GROWTH","FQ2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65" s="2" t="e">
        <f ca="1">_xll.BDH($C$253,"5Y_GEO_GROWTH_DILUTED_EPS","FQ2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65" s="2" t="e">
        <f ca="1">_xll.BDH($C$253,"GEO_GROW_DVD_PER_SH","FQ2 2016","FQ2 2016","Currency=INR","Period=FQ","BEST_FPERIOD_OVERRIDE=FQ","FILING_STATUS=OR","EQY_CONSOLIDATED=Y","Sort=A","Dates=H","DateFormat=P","Fill=—","Direction=H","UseDPDF=Y")</f>
        <v>#NAME?</v>
      </c>
      <c r="AS265" s="2" t="e">
        <f ca="1">_xll.BDH($C$253,"ACCOUNTS_RECEIVABLE_5_YR_GROWTH","FQ2 2016","FQ2 2016","Currency=INR","Period=FQ","BEST_FPERIOD_OVERRIDE=FQ","FILING_STATUS=OR","EQY_CONSOLIDATED=Y","Sort=A","Dates=H","DateFormat=P","Fill=—","Direction=H","UseDPDF=Y")</f>
        <v>#NAME?</v>
      </c>
      <c r="AT265" s="2" t="e">
        <f ca="1">_xll.BDH($C$253,"INVENTORY_5_YEAR_GROWTH","FQ2 2016","FQ2 2016","Currency=INR","Period=FQ","BEST_FPERIOD_OVERRIDE=FQ","FILING_STATUS=OR","EQY_CONSOLIDATED=Y","Sort=A","Dates=H","DateFormat=P","Fill=—","Direction=H","UseDPDF=Y")</f>
        <v>#NAME?</v>
      </c>
      <c r="AU265" s="2" t="e">
        <f ca="1">_xll.BDH($C$253,"NET_FIXED_ASSETS_5_YEAR_GROWTH","FQ2 2016","FQ2 2016","Currency=INR","Period=FQ","BEST_FPERIOD_OVERRIDE=FQ","FILING_STATUS=OR","EQY_CONSOLIDATED=Y","Sort=A","Dates=H","DateFormat=P","Fill=—","Direction=H","UseDPDF=Y")</f>
        <v>#NAME?</v>
      </c>
      <c r="AV265" s="2" t="e">
        <f ca="1">_xll.BDH($C$253,"GEO_GROW_TOT_ASSET","FQ2 2016","FQ2 2016","Currency=INR","Period=FQ","BEST_FPERIOD_OVERRIDE=FQ","FILING_STATUS=OR","EQY_CONSOLIDATED=Y","Sort=A","Dates=H","DateFormat=P","Fill=—","Direction=H","UseDPDF=Y")</f>
        <v>#NAME?</v>
      </c>
      <c r="AW265" s="2" t="e">
        <f ca="1">_xll.BDH($C$253,"MODIFIED_WORKING_CPTL_5YR_GRWTH","FQ2 2016","FQ2 2016","Currency=INR","Period=FQ","BEST_FPERIOD_OVERRIDE=FQ","FILING_STATUS=OR","EQY_CONSOLIDATED=Y","Sort=A","Dates=H","DateFormat=P","Fill=—","Direction=H","UseDPDF=Y")</f>
        <v>#NAME?</v>
      </c>
      <c r="AX265" s="2" t="e">
        <f ca="1">_xll.BDH($C$253,"WORKING_CAPITAL_5_YEAR_GROWTH","FQ2 2016","FQ2 2016","Currency=INR","Period=FQ","BEST_FPERIOD_OVERRIDE=FQ","FILING_STATUS=OR","EQY_CONSOLIDATED=Y","Sort=A","Dates=H","DateFormat=P","Fill=—","Direction=H","UseDPDF=Y")</f>
        <v>#NAME?</v>
      </c>
      <c r="AY265" s="2" t="e">
        <f ca="1">_xll.BDH($C$253,"ACCOUNTS_PAYABLE_5_YEAR_GROWTH","FQ2 2016","FQ2 2016","Currency=INR","Period=FQ","BEST_FPERIOD_OVERRIDE=FQ","FILING_STATUS=OR","EQY_CONSOLIDATED=Y","Sort=A","Dates=H","DateFormat=P","Fill=—","Direction=H","UseDPDF=Y")</f>
        <v>#NAME?</v>
      </c>
      <c r="AZ265" s="2" t="e">
        <f ca="1">_xll.BDH($C$253,"SHORT_TERM_DEBT_5_YEAR_GROWTH","FQ2 2016","FQ2 2016","Currency=INR","Period=FQ","BEST_FPERIOD_OVERRIDE=FQ","FILING_STATUS=OR","EQY_CONSOLIDATED=Y","Sort=A","Dates=H","DateFormat=P","Fill=—","Direction=H","UseDPDF=Y")</f>
        <v>#NAME?</v>
      </c>
      <c r="BA265" s="2" t="e">
        <f ca="1">_xll.BDH($C$253,"TOTAL_DEBT_5_YEAR_GROWTH","FQ2 2016","FQ2 2016","Currency=INR","Period=FQ","BEST_FPERIOD_OVERRIDE=FQ","FILING_STATUS=OR","EQY_CONSOLIDATED=Y","Sort=A","Dates=H","DateFormat=P","Fill=—","Direction=H","UseDPDF=Y")</f>
        <v>#NAME?</v>
      </c>
      <c r="BB265" s="2" t="e">
        <f ca="1">_xll.BDH($C$253,"GEO_GROW_TOT_SHRHLDR_EQY","FQ2 2016","FQ2 2016","Currency=INR","Period=FQ","BEST_FPERIOD_OVERRIDE=FQ","FILING_STATUS=OR","EQY_CONSOLIDATED=Y","Sort=A","Dates=H","DateFormat=P","Fill=—","Direction=H","UseDPDF=Y")</f>
        <v>#NAME?</v>
      </c>
      <c r="BC265" s="2" t="e">
        <f ca="1">_xll.BDH($C$253,"TOTAL_CAPITAL_5_YEAR_GROWTH","FQ2 2016","FQ2 2016","Currency=INR","Period=FQ","BEST_FPERIOD_OVERRIDE=FQ","FILING_STATUS=OR","EQY_CONSOLIDATED=Y","Sort=A","Dates=H","DateFormat=P","Fill=—","Direction=H","UseDPDF=Y")</f>
        <v>#NAME?</v>
      </c>
      <c r="BD265" s="2" t="e">
        <f ca="1">_xll.BDH($C$253,"GEO_GROW_BOOK_VAL","FQ2 2016","FQ2 2016","Currency=INR","Period=FQ","BEST_FPERIOD_OVERRIDE=FQ","FILING_STATUS=OR","EQY_CONSOLIDATED=Y","Sort=A","Dates=H","DateFormat=P","Fill=—","Direction=H","UseDPDF=Y")</f>
        <v>#NAME?</v>
      </c>
      <c r="BE265" s="2" t="e">
        <f ca="1">_xll.BDH($C$253,"GEO_GROW_CASH_OPER_ACT","FQ2 2016","FQ2 2016","Currency=INR","Period=FQ","BEST_FPERIOD_OVERRIDE=FQ","FILING_STATUS=OR","EQY_CONSOLIDATED=Y","Sort=A","Dates=H","DateFormat=P","Fill=—","Direction=H","UseDPDF=Y")</f>
        <v>#NAME?</v>
      </c>
      <c r="BF265" s="2" t="e">
        <f ca="1">_xll.BDH($C$253,"REVENUE_SEQUENTIAL_GROWTH","FQ2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65" s="2" t="e">
        <f ca="1">_xll.BDH($C$253,"EBITDA_SEQUENTIAL_GROWTH","FQ2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65" s="2" t="e">
        <f ca="1">_xll.BDH($C$253,"OPERATING_INCOME_SEQ_GROWTH","FQ2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65" s="2" t="e">
        <f ca="1">_xll.BDH($C$253,"NET_INCOME_TO_COMMON_SEQ_GROWTH","FQ2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65" s="2" t="e">
        <f ca="1">_xll.BDH($C$253,"EPS_DILUTED_SEQUENTIAL_GROWTH","FQ2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65" s="2" t="e">
        <f ca="1">_xll.BDH($C$253,"DPS_SEQUENTIAL_GROWTH","FQ2 2016","FQ2 2016","Currency=INR","Period=FQ","BEST_FPERIOD_OVERRIDE=FQ","FILING_STATUS=OR","EQY_CONSOLIDATED=Y","Sort=A","Dates=H","DateFormat=P","Fill=—","Direction=H","UseDPDF=Y")</f>
        <v>#NAME?</v>
      </c>
      <c r="BL265" s="2" t="e">
        <f ca="1">_xll.BDH($C$253,"ACCOUNTS_RECEIVABLE_SEQ_GROWTH","FQ2 2016","FQ2 2016","Currency=INR","Period=FQ","BEST_FPERIOD_OVERRIDE=FQ","FILING_STATUS=OR","EQY_CONSOLIDATED=Y","Sort=A","Dates=H","DateFormat=P","Fill=—","Direction=H","UseDPDF=Y")</f>
        <v>#NAME?</v>
      </c>
      <c r="BM265" s="2" t="e">
        <f ca="1">_xll.BDH($C$253,"INVENTORY_SEQUENTIAL_GROWTH","FQ2 2016","FQ2 2016","Currency=INR","Period=FQ","BEST_FPERIOD_OVERRIDE=FQ","FILING_STATUS=OR","EQY_CONSOLIDATED=Y","Sort=A","Dates=H","DateFormat=P","Fill=—","Direction=H","UseDPDF=Y")</f>
        <v>#NAME?</v>
      </c>
      <c r="BN265" s="2" t="e">
        <f ca="1">_xll.BDH($C$253,"FIXED_ASSETS_SEQUENTIAL_GROWTH","FQ2 2016","FQ2 2016","Currency=INR","Period=FQ","BEST_FPERIOD_OVERRIDE=FQ","FILING_STATUS=OR","EQY_CONSOLIDATED=Y","Sort=A","Dates=H","DateFormat=P","Fill=—","Direction=H","UseDPDF=Y")</f>
        <v>#NAME?</v>
      </c>
      <c r="BO265" s="2" t="e">
        <f ca="1">_xll.BDH($C$253,"TOTAL_ASSETS_SEQUENTIAL_GROWTH","FQ2 2016","FQ2 2016","Currency=INR","Period=FQ","BEST_FPERIOD_OVERRIDE=FQ","FILING_STATUS=OR","EQY_CONSOLIDATED=Y","Sort=A","Dates=H","DateFormat=P","Fill=—","Direction=H","UseDPDF=Y")</f>
        <v>#NAME?</v>
      </c>
      <c r="BP265" s="2" t="e">
        <f ca="1">_xll.BDH($C$253,"MODIFIED_WORKING_CPTL_SEQ_GRWTH","FQ2 2016","FQ2 2016","Currency=INR","Period=FQ","BEST_FPERIOD_OVERRIDE=FQ","FILING_STATUS=OR","EQY_CONSOLIDATED=Y","Sort=A","Dates=H","DateFormat=P","Fill=—","Direction=H","UseDPDF=Y")</f>
        <v>#NAME?</v>
      </c>
      <c r="BQ265" s="2" t="e">
        <f ca="1">_xll.BDH($C$253,"WORKING_CAPITAL_SEQ_GROWTH","FQ2 2016","FQ2 2016","Currency=INR","Period=FQ","BEST_FPERIOD_OVERRIDE=FQ","FILING_STATUS=OR","EQY_CONSOLIDATED=Y","Sort=A","Dates=H","DateFormat=P","Fill=—","Direction=H","UseDPDF=Y")</f>
        <v>#NAME?</v>
      </c>
      <c r="BR265" s="2" t="e">
        <f ca="1">_xll.BDH($C$253,"ACCOUNTS_PAYABLE_SEQ_GROWTH","FQ2 2016","FQ2 2016","Currency=INR","Period=FQ","BEST_FPERIOD_OVERRIDE=FQ","FILING_STATUS=OR","EQY_CONSOLIDATED=Y","Sort=A","Dates=H","DateFormat=P","Fill=—","Direction=H","UseDPDF=Y")</f>
        <v>#NAME?</v>
      </c>
      <c r="BS265" s="2" t="e">
        <f ca="1">_xll.BDH($C$253,"ST_DEBT_SEQUENTIAL_GROWTH","FQ2 2016","FQ2 2016","Currency=INR","Period=FQ","BEST_FPERIOD_OVERRIDE=FQ","FILING_STATUS=OR","EQY_CONSOLIDATED=Y","Sort=A","Dates=H","DateFormat=P","Fill=—","Direction=H","UseDPDF=Y")</f>
        <v>#NAME?</v>
      </c>
      <c r="BT265" s="2" t="e">
        <f ca="1">_xll.BDH($C$253,"TOTAL_DEBT_SEQUENTIAL_GROWTH","FQ2 2016","FQ2 2016","Currency=INR","Period=FQ","BEST_FPERIOD_OVERRIDE=FQ","FILING_STATUS=OR","EQY_CONSOLIDATED=Y","Sort=A","Dates=H","DateFormat=P","Fill=—","Direction=H","UseDPDF=Y")</f>
        <v>#NAME?</v>
      </c>
      <c r="BU265" s="2" t="e">
        <f ca="1">_xll.BDH($C$253,"TOTAL_EQUITY_SEQUENTIAL_GROWTH","FQ2 2016","FQ2 2016","Currency=INR","Period=FQ","BEST_FPERIOD_OVERRIDE=FQ","FILING_STATUS=OR","EQY_CONSOLIDATED=Y","Sort=A","Dates=H","DateFormat=P","Fill=—","Direction=H","UseDPDF=Y")</f>
        <v>#NAME?</v>
      </c>
      <c r="BV265" s="2" t="e">
        <f ca="1">_xll.BDH($C$253,"TOTAL_CAPITAL_SEQUENTIAL_GROWTH","FQ2 2016","FQ2 2016","Currency=INR","Period=FQ","BEST_FPERIOD_OVERRIDE=FQ","FILING_STATUS=OR","EQY_CONSOLIDATED=Y","Sort=A","Dates=H","DateFormat=P","Fill=—","Direction=H","UseDPDF=Y")</f>
        <v>#NAME?</v>
      </c>
      <c r="BW265" s="2" t="e">
        <f ca="1">_xll.BDH($C$253,"BPS_SEQUENTIAL_GROWTH","FQ2 2016","FQ2 2016","Currency=INR","Period=FQ","BEST_FPERIOD_OVERRIDE=FQ","FILING_STATUS=OR","EQY_CONSOLIDATED=Y","Sort=A","Dates=H","DateFormat=P","Fill=—","Direction=H","UseDPDF=Y")</f>
        <v>#NAME?</v>
      </c>
      <c r="BX265" s="2" t="e">
        <f ca="1">_xll.BDH($C$253,"CFO_SEQUENTIAL_GROWTH","FQ2 2016","FQ2 2016","Currency=INR","Period=FQ","BEST_FPERIOD_OVERRIDE=FQ","FILING_STATUS=OR","EQY_CONSOLIDATED=Y","Sort=A","Dates=H","DateFormat=P","Fill=—","Direction=H","UseDPDF=Y")</f>
        <v>#NAME?</v>
      </c>
      <c r="BY265" s="3" t="e">
        <f ca="1">_xll.BDH($C$253,"SHORT_AND_LONG_TERM_DEBT","FQ2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65" s="3" t="e">
        <f ca="1">_xll.BDH($C$253,"BS_ST_BORROW","FQ2 2016","FQ2 2016","Currency=INR","Period=FQ","BEST_FPERIOD_OVERRIDE=FQ","FILING_STATUS=OR","EQY_CONSOLIDATED=Y","SCALING_FORMAT=MLN","Sort=A","Dates=H","DateFormat=P","Fill=—","Direction=H","UseDPDF=Y")</f>
        <v>#NAME?</v>
      </c>
      <c r="CA265" s="3" t="e">
        <f ca="1">_xll.BDH($C$253,"BS_LT_BORROW","FQ2 2016","FQ2 2016","Currency=INR","Period=FQ","BEST_FPERIOD_OVERRIDE=FQ","FILING_STATUS=OR","EQY_CONSOLIDATED=Y","SCALING_FORMAT=MLN","Sort=A","Dates=H","DateFormat=P","Fill=—","Direction=H","UseDPDF=Y")</f>
        <v>#NAME?</v>
      </c>
      <c r="CB265" s="2" t="e">
        <f ca="1">_xll.BDH($C$253,"TOT_DEBT_TO_EBITDA","FQ2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65" s="2" t="e">
        <f ca="1">_xll.BDH($C$253,"NET_DEBT_TO_EBITDA","FQ2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65" s="2" t="e">
        <f ca="1">_xll.BDH($C$253,"TOTAL_DEBT_TO_EBIT","FQ2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65" s="2" t="e">
        <f ca="1">_xll.BDH($C$253,"NET_DEBT_TO_EBIT","FQ2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265" s="2" t="e">
        <f ca="1">_xll.BDH($C$253,"EBITDA_TO_INTEREST_EXPN","FQ2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65" s="2" t="e">
        <f ca="1">_xll.BDH($C$253,"COM_EQY_TO_TOT_ASSET","FQ2 2016","FQ2 2016","Currency=INR","Period=FQ","BEST_FPERIOD_OVERRIDE=FQ","FILING_STATUS=OR","EQY_CONSOLIDATED=Y","Sort=A","Dates=H","DateFormat=P","Fill=—","Direction=H","UseDPDF=Y")</f>
        <v>#NAME?</v>
      </c>
      <c r="CH265" s="2" t="e">
        <f ca="1">_xll.BDH($C$253,"LT_DEBT_TO_TOT_EQY","FQ2 2016","FQ2 2016","Currency=INR","Period=FQ","BEST_FPERIOD_OVERRIDE=FQ","FILING_STATUS=OR","EQY_CONSOLIDATED=Y","Sort=A","Dates=H","DateFormat=P","Fill=—","Direction=H","UseDPDF=Y")</f>
        <v>#NAME?</v>
      </c>
      <c r="CI265" s="2" t="e">
        <f ca="1">_xll.BDH($C$253,"LT_DEBT_TO_TOT_CAP","FQ2 2016","FQ2 2016","Currency=INR","Period=FQ","BEST_FPERIOD_OVERRIDE=FQ","FILING_STATUS=OR","EQY_CONSOLIDATED=Y","Sort=A","Dates=H","DateFormat=P","Fill=—","Direction=H","UseDPDF=Y")</f>
        <v>#NAME?</v>
      </c>
      <c r="CJ265" s="2" t="e">
        <f ca="1">_xll.BDH($C$253,"LT_DEBT_TO_TOT_ASSET","FQ2 2016","FQ2 2016","Currency=INR","Period=FQ","BEST_FPERIOD_OVERRIDE=FQ","FILING_STATUS=OR","EQY_CONSOLIDATED=Y","Sort=A","Dates=H","DateFormat=P","Fill=—","Direction=H","UseDPDF=Y")</f>
        <v>#NAME?</v>
      </c>
      <c r="CK265" s="2" t="e">
        <f ca="1">_xll.BDH($C$253,"TOT_DEBT_TO_TOT_EQY","FQ2 2016","FQ2 2016","Currency=INR","Period=FQ","BEST_FPERIOD_OVERRIDE=FQ","FILING_STATUS=OR","EQY_CONSOLIDATED=Y","Sort=A","Dates=H","DateFormat=P","Fill=—","Direction=H","UseDPDF=Y")</f>
        <v>#NAME?</v>
      </c>
      <c r="CL265" s="2" t="e">
        <f ca="1">_xll.BDH($C$253,"TOT_DEBT_TO_TOT_CAP","FQ2 2016","FQ2 2016","Currency=INR","Period=FQ","BEST_FPERIOD_OVERRIDE=FQ","FILING_STATUS=OR","EQY_CONSOLIDATED=Y","Sort=A","Dates=H","DateFormat=P","Fill=—","Direction=H","UseDPDF=Y")</f>
        <v>#NAME?</v>
      </c>
      <c r="CM265" s="2" t="e">
        <f ca="1">_xll.BDH($C$253,"TOT_DEBT_TO_TOT_ASSET","FQ2 2016","FQ2 2016","Currency=INR","Period=FQ","BEST_FPERIOD_OVERRIDE=FQ","FILING_STATUS=OR","EQY_CONSOLIDATED=Y","Sort=A","Dates=H","DateFormat=P","Fill=—","Direction=H","UseDPDF=Y")</f>
        <v>#NAME?</v>
      </c>
      <c r="CN265" s="2" t="e">
        <f ca="1">_xll.BDH($C$253,"NET_DEBT_TO_SHRHLDR_EQTY","FQ2 2016","FQ2 2016","Currency=INR","Period=FQ","BEST_FPERIOD_OVERRIDE=FQ","FILING_STATUS=OR","EQY_CONSOLIDATED=Y","Sort=A","Dates=H","DateFormat=P","Fill=—","Direction=H","UseDPDF=Y")</f>
        <v>#NAME?</v>
      </c>
      <c r="CO265" s="2" t="e">
        <f ca="1">_xll.BDH($C$253,"NET_DEBT_%_CAPITAL","FQ2 2016","FQ2 2016","Currency=INR","Period=FQ","BEST_FPERIOD_OVERRIDE=FQ","FILING_STATUS=OR","EQY_CONSOLIDATED=Y","Sort=A","Dates=H","DateFormat=P","Fill=—","Direction=H","UseDPDF=Y")</f>
        <v>#NAME?</v>
      </c>
      <c r="CP265" s="3" t="e">
        <f ca="1">_xll.BDH($C$253,"EBITDA","FQ2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65" s="3" t="e">
        <f ca="1">_xll.BDH($C$253,"EBITDA_AFTER_CAPEX","FQ2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65" s="3" t="e">
        <f ca="1">_xll.BDH($C$253,"IS_OPER_INC","FQ2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65" s="2" t="e">
        <f ca="1">_xll.BDH($C$253,"CASH_RATIO","FQ2 2016","FQ2 2016","Currency=INR","Period=FQ","BEST_FPERIOD_OVERRIDE=FQ","FILING_STATUS=OR","EQY_CONSOLIDATED=Y","Sort=A","Dates=H","DateFormat=P","Fill=—","Direction=H","UseDPDF=Y")</f>
        <v>#NAME?</v>
      </c>
      <c r="CT265" s="2" t="e">
        <f ca="1">_xll.BDH($C$253,"CUR_RATIO","FQ2 2016","FQ2 2016","Currency=INR","Period=FQ","BEST_FPERIOD_OVERRIDE=FQ","FILING_STATUS=OR","EQY_CONSOLIDATED=Y","Sort=A","Dates=H","DateFormat=P","Fill=—","Direction=H","UseDPDF=Y")</f>
        <v>#NAME?</v>
      </c>
      <c r="CU265" s="2" t="e">
        <f ca="1">_xll.BDH($C$253,"QUICK_RATIO","FQ2 2016","FQ2 2016","Currency=INR","Period=FQ","BEST_FPERIOD_OVERRIDE=FQ","FILING_STATUS=OR","EQY_CONSOLIDATED=Y","Sort=A","Dates=H","DateFormat=P","Fill=—","Direction=H","UseDPDF=Y")</f>
        <v>#NAME?</v>
      </c>
      <c r="CV265" s="2" t="e">
        <f ca="1">_xll.BDH($C$253,"ALTMAN_Z_SCORE","FQ2 2016","FQ2 2016","Currency=INR","Period=FQ","BEST_FPERIOD_OVERRIDE=FQ","FILING_STATUS=OR","EQY_CONSOLIDATED=Y","Sort=A","Dates=H","DateFormat=P","Fill=—","Direction=H","UseDPDF=Y")</f>
        <v>#NAME?</v>
      </c>
      <c r="CW265" s="4" t="e">
        <f ca="1">_xll.BDH($C$253,"ACCT_RCV_TURN","FQ2 2016","FQ2 2016","Currency=INR","Period=FQ","BEST_FPERIOD_OVERRIDE=FQ","FILING_STATUS=OR","EQY_CONSOLIDATED=Y","FA_ADJUSTED=GAAP","Sort=A","Dates=H","DateFormat=P","Fill=—","Direction=H","UseDPDF=Y")</f>
        <v>#NAME?</v>
      </c>
      <c r="CX265" s="2" t="e">
        <f ca="1">_xll.BDH($C$253,"ACCT_RCV_DAYS","FQ2 2016","FQ2 2016","Currency=INR","Period=FQ","BEST_FPERIOD_OVERRIDE=FQ","FILING_STATUS=OR","EQY_CONSOLIDATED=Y","FA_ADJUSTED=GAAP","Sort=A","Dates=H","DateFormat=P","Fill=—","Direction=H","UseDPDF=Y")</f>
        <v>#NAME?</v>
      </c>
      <c r="CY265" s="4" t="e">
        <f ca="1">_xll.BDH($C$253,"INVENT_TURN","FQ2 2016","FQ2 2016","Currency=INR","Period=FQ","BEST_FPERIOD_OVERRIDE=FQ","FILING_STATUS=OR","EQY_CONSOLIDATED=Y","FA_ADJUSTED=GAAP","Sort=A","Dates=H","DateFormat=P","Fill=—","Direction=H","UseDPDF=Y")</f>
        <v>#NAME?</v>
      </c>
      <c r="CZ265" s="2" t="e">
        <f ca="1">_xll.BDH($C$253,"INVENT_DAYS","FQ2 2016","FQ2 2016","Currency=INR","Period=FQ","BEST_FPERIOD_OVERRIDE=FQ","FILING_STATUS=OR","EQY_CONSOLIDATED=Y","FA_ADJUSTED=GAAP","Sort=A","Dates=H","DateFormat=P","Fill=—","Direction=H","UseDPDF=Y")</f>
        <v>#NAME?</v>
      </c>
      <c r="DA265" s="4" t="e">
        <f ca="1">_xll.BDH($C$253,"ACCOUNTS_PAYABLE_TURNOVER","FQ2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65" s="2" t="e">
        <f ca="1">_xll.BDH($C$253,"ACCOUNTS_PAYABLE_TURNOVER_DAYS","FQ2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65" s="4" t="e">
        <f ca="1">_xll.BDH($C$253,"CASH_CONVERSION_CYCLE","FQ2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65" s="4" t="e">
        <f ca="1">_xll.BDH($C$253,"INV_TO_CASH_DAYS","FQ2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265" s="5" t="e">
        <f ca="1">_xll.BDH($C$253,"BS_INVENTORIES","FQ2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265" s="3" t="e">
        <f ca="1">_xll.BDH($C$253,"INVTRY_RAW_MATERIALS","FQ2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65" s="3" t="e">
        <f ca="1">_xll.BDH($C$253,"INVTRY_IN_PROGRESS","FQ2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65" s="3" t="e">
        <f ca="1">_xll.BDH($C$253,"INVTRY_FINISHED_GOODS","FQ2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65" s="3" t="e">
        <f ca="1">_xll.BDH($C$253,"BS_OTHER_INV","FQ2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66" spans="1:113" x14ac:dyDescent="0.3">
      <c r="A266" s="6"/>
      <c r="B266" s="6"/>
      <c r="C266" s="6"/>
      <c r="D266" s="6"/>
      <c r="E266" t="s">
        <v>80</v>
      </c>
      <c r="F266" t="e">
        <f ca="1">_xll.BDH($C$253,"RETURN_COM_EQY","FQ3 2016","FQ3 2016","Currency=INR","Period=FQ","BEST_FPERIOD_OVERRIDE=FQ","FILING_STATUS=OR","EQY_CONSOLIDATED=Y","FA_ADJUSTED=GAAP","Sort=A","Dates=H","DateFormat=P","Fill=—","Direction=H","UseDPDF=Y")</f>
        <v>#NAME?</v>
      </c>
      <c r="G266" t="e">
        <f ca="1">_xll.BDH($C$253,"RETURN_ON_ASSET","FQ3 2016","FQ3 2016","Currency=INR","Period=FQ","BEST_FPERIOD_OVERRIDE=FQ","FILING_STATUS=OR","EQY_CONSOLIDATED=Y","FA_ADJUSTED=GAAP","Sort=A","Dates=H","DateFormat=P","Fill=—","Direction=H","UseDPDF=Y")</f>
        <v>#NAME?</v>
      </c>
      <c r="H266" t="e">
        <f ca="1">_xll.BDH($C$253,"RETURN_ON_CAP","FQ3 2016","FQ3 2016","Currency=INR","Period=FQ","BEST_FPERIOD_OVERRIDE=FQ","FILING_STATUS=OR","EQY_CONSOLIDATED=Y","FA_ADJUSTED=GAAP","Sort=A","Dates=H","DateFormat=P","Fill=—","Direction=H","UseDPDF=Y")</f>
        <v>#NAME?</v>
      </c>
      <c r="I266" t="e">
        <f ca="1">_xll.BDH($C$253,"RETURN_ON_INV_CAPITAL","FQ3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66" t="e">
        <f ca="1">_xll.BDH($C$253,"EBITDA_TO_REVENUE","FQ3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266" t="e">
        <f ca="1">_xll.BDH($C$253,"OPER_MARGIN","FQ3 2016","FQ3 2016","Currency=INR","Period=FQ","BEST_FPERIOD_OVERRIDE=FQ","FILING_STATUS=OR","EQY_CONSOLIDATED=Y","FA_ADJUSTED=GAAP","Sort=A","Dates=H","DateFormat=P","Fill=—","Direction=H","UseDPDF=Y")</f>
        <v>#NAME?</v>
      </c>
      <c r="L266" t="e">
        <f ca="1">_xll.BDH($C$253,"INCREMENTAL_OPERATING_MARGIN","FQ3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66" t="e">
        <f ca="1">_xll.BDH($C$253,"PRETAX_INC_TO_NET_SALES","FQ3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66" t="e">
        <f ca="1">_xll.BDH($C$253,"INC_BEF_XO_ITEMS_TO_NET_SALES","FQ3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66" t="e">
        <f ca="1">_xll.BDH($C$253,"PROF_MARGIN","FQ3 2016","FQ3 2016","Currency=INR","Period=FQ","BEST_FPERIOD_OVERRIDE=FQ","FILING_STATUS=OR","EQY_CONSOLIDATED=Y","FA_ADJUSTED=GAAP","Sort=A","Dates=H","DateFormat=P","Fill=—","Direction=H","UseDPDF=Y")</f>
        <v>#NAME?</v>
      </c>
      <c r="P266" t="e">
        <f ca="1">_xll.BDH($C$253,"NET_INCOME_TO_COMMON_MARGIN","FQ3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66" t="e">
        <f ca="1">_xll.BDH($C$253,"EFF_TAX_RATE","FQ3 2016","FQ3 2016","Currency=INR","Period=FQ","BEST_FPERIOD_OVERRIDE=FQ","FILING_STATUS=OR","EQY_CONSOLIDATED=Y","FA_ADJUSTED=GAAP","Sort=A","Dates=H","DateFormat=P","Fill=—","Direction=H","UseDPDF=Y")</f>
        <v>#NAME?</v>
      </c>
      <c r="R266" t="e">
        <f ca="1">_xll.BDH($C$253,"DVD_PAYOUT_RATIO","FQ3 2016","FQ3 2016","Currency=INR","Period=FQ","BEST_FPERIOD_OVERRIDE=FQ","FILING_STATUS=OR","EQY_CONSOLIDATED=Y","FA_ADJUSTED=GAAP","Sort=A","Dates=H","DateFormat=P","Fill=—","Direction=H","UseDPDF=Y")</f>
        <v>#NAME?</v>
      </c>
      <c r="S266" t="e">
        <f ca="1">_xll.BDH($C$253,"SUSTAIN_GROWTH_RT","FQ3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266" s="2" t="e">
        <f ca="1">_xll.BDH($C$253,"SALES_GROWTH","FQ3 2016","FQ3 2016","Currency=INR","Period=FQ","BEST_FPERIOD_OVERRIDE=FQ","FILING_STATUS=OR","EQY_CONSOLIDATED=Y","FA_ADJUSTED=GAAP","Sort=A","Dates=H","DateFormat=P","Fill=—","Direction=H","UseDPDF=Y")</f>
        <v>#NAME?</v>
      </c>
      <c r="U266" s="2" t="e">
        <f ca="1">_xll.BDH($C$253,"EBITDA_GROWTH","FQ3 2016","FQ3 2016","Currency=INR","Period=FQ","BEST_FPERIOD_OVERRIDE=FQ","FILING_STATUS=OR","EQY_CONSOLIDATED=Y","FA_ADJUSTED=GAAP","Sort=A","Dates=H","DateFormat=P","Fill=—","Direction=H","UseDPDF=Y")</f>
        <v>#NAME?</v>
      </c>
      <c r="V266" s="2" t="e">
        <f ca="1">_xll.BDH($C$253,"OPER_INC_GROWTH","FQ3 2016","FQ3 2016","Currency=INR","Period=FQ","BEST_FPERIOD_OVERRIDE=FQ","FILING_STATUS=OR","EQY_CONSOLIDATED=Y","FA_ADJUSTED=GAAP","Sort=A","Dates=H","DateFormat=P","Fill=—","Direction=H","UseDPDF=Y")</f>
        <v>#NAME?</v>
      </c>
      <c r="W266" s="2" t="e">
        <f ca="1">_xll.BDH($C$253,"EARN_FOR_COM_GROWTH","FQ3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66" s="2" t="e">
        <f ca="1">_xll.BDH($C$253,"DILUTED_EPS_AFT_XO_ITEMS_GROWTH","FQ3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66" s="2" t="e">
        <f ca="1">_xll.BDH($C$253,"DIVIDEND_PER_SHARE_1_YEAR_GROWTH","FQ3 2016","FQ3 2016","Currency=INR","Period=FQ","BEST_FPERIOD_OVERRIDE=FQ","FILING_STATUS=OR","EQY_CONSOLIDATED=Y","Sort=A","Dates=H","DateFormat=P","Fill=—","Direction=H","UseDPDF=Y")</f>
        <v>#NAME?</v>
      </c>
      <c r="Z266" s="2" t="e">
        <f ca="1">_xll.BDH($C$253,"ACCOUNTS_RECEIVABLE_GROWTH","FQ3 2016","FQ3 2016","Currency=INR","Period=FQ","BEST_FPERIOD_OVERRIDE=FQ","FILING_STATUS=OR","EQY_CONSOLIDATED=Y","Sort=A","Dates=H","DateFormat=P","Fill=—","Direction=H","UseDPDF=Y")</f>
        <v>#NAME?</v>
      </c>
      <c r="AA266" s="2" t="e">
        <f ca="1">_xll.BDH($C$253,"INVENTORY_GROWTH","FQ3 2016","FQ3 2016","Currency=INR","Period=FQ","BEST_FPERIOD_OVERRIDE=FQ","FILING_STATUS=OR","EQY_CONSOLIDATED=Y","Sort=A","Dates=H","DateFormat=P","Fill=—","Direction=H","UseDPDF=Y")</f>
        <v>#NAME?</v>
      </c>
      <c r="AB266" s="2" t="e">
        <f ca="1">_xll.BDH($C$253,"NET_FIXED_ASSETS_1_YEAR_GROWTH","FQ3 2016","FQ3 2016","Currency=INR","Period=FQ","BEST_FPERIOD_OVERRIDE=FQ","FILING_STATUS=OR","EQY_CONSOLIDATED=Y","Sort=A","Dates=H","DateFormat=P","Fill=—","Direction=H","UseDPDF=Y")</f>
        <v>#NAME?</v>
      </c>
      <c r="AC266" s="2" t="e">
        <f ca="1">_xll.BDH($C$253,"ASSET_GROWTH","FQ3 2016","FQ3 2016","Currency=INR","Period=FQ","BEST_FPERIOD_OVERRIDE=FQ","FILING_STATUS=OR","EQY_CONSOLIDATED=Y","Sort=A","Dates=H","DateFormat=P","Fill=—","Direction=H","UseDPDF=Y")</f>
        <v>#NAME?</v>
      </c>
      <c r="AD266" s="2" t="e">
        <f ca="1">_xll.BDH($C$253,"MODIFIED_WORK_CAP_GROWTH","FQ3 2016","FQ3 2016","Currency=INR","Period=FQ","BEST_FPERIOD_OVERRIDE=FQ","FILING_STATUS=OR","EQY_CONSOLIDATED=Y","Sort=A","Dates=H","DateFormat=P","Fill=—","Direction=H","UseDPDF=Y")</f>
        <v>#NAME?</v>
      </c>
      <c r="AE266" s="2" t="e">
        <f ca="1">_xll.BDH($C$253,"WORK_CAP_GROWTH","FQ3 2016","FQ3 2016","Currency=INR","Period=FQ","BEST_FPERIOD_OVERRIDE=FQ","FILING_STATUS=OR","EQY_CONSOLIDATED=Y","Sort=A","Dates=H","DateFormat=P","Fill=—","Direction=H","UseDPDF=Y")</f>
        <v>#NAME?</v>
      </c>
      <c r="AF266" s="2" t="e">
        <f ca="1">_xll.BDH($C$253,"ACCOUNTS_PAYABLE_GROWTH_1YR","FQ3 2016","FQ3 2016","Currency=INR","Period=FQ","BEST_FPERIOD_OVERRIDE=FQ","FILING_STATUS=OR","EQY_CONSOLIDATED=Y","Sort=A","Dates=H","DateFormat=P","Fill=—","Direction=H","UseDPDF=Y")</f>
        <v>#NAME?</v>
      </c>
      <c r="AG266" s="2" t="e">
        <f ca="1">_xll.BDH($C$253,"SHORT_TERM_DEBT_1_YEAR_GROWTH","FQ3 2016","FQ3 2016","Currency=INR","Period=FQ","BEST_FPERIOD_OVERRIDE=FQ","FILING_STATUS=OR","EQY_CONSOLIDATED=Y","Sort=A","Dates=H","DateFormat=P","Fill=—","Direction=H","UseDPDF=Y")</f>
        <v>#NAME?</v>
      </c>
      <c r="AH266" s="2" t="e">
        <f ca="1">_xll.BDH($C$253,"TOTAL_DEBT_1_YEAR_GROWTH","FQ3 2016","FQ3 2016","Currency=INR","Period=FQ","BEST_FPERIOD_OVERRIDE=FQ","FILING_STATUS=OR","EQY_CONSOLIDATED=Y","Sort=A","Dates=H","DateFormat=P","Fill=—","Direction=H","UseDPDF=Y")</f>
        <v>#NAME?</v>
      </c>
      <c r="AI266" s="2" t="e">
        <f ca="1">_xll.BDH($C$253,"TOTAL_EQUITY_1_YEAR_GROWTH","FQ3 2016","FQ3 2016","Currency=INR","Period=FQ","BEST_FPERIOD_OVERRIDE=FQ","FILING_STATUS=OR","EQY_CONSOLIDATED=Y","Sort=A","Dates=H","DateFormat=P","Fill=—","Direction=H","UseDPDF=Y")</f>
        <v>#NAME?</v>
      </c>
      <c r="AJ266" s="2" t="e">
        <f ca="1">_xll.BDH($C$253,"GROWTH_IN_CAP","FQ3 2016","FQ3 2016","Currency=INR","Period=FQ","BEST_FPERIOD_OVERRIDE=FQ","FILING_STATUS=OR","EQY_CONSOLIDATED=Y","Sort=A","Dates=H","DateFormat=P","Fill=—","Direction=H","UseDPDF=Y")</f>
        <v>#NAME?</v>
      </c>
      <c r="AK266" s="2" t="e">
        <f ca="1">_xll.BDH($C$253,"BVPS_GROWTH","FQ3 2016","FQ3 2016","Currency=INR","Period=FQ","BEST_FPERIOD_OVERRIDE=FQ","FILING_STATUS=OR","EQY_CONSOLIDATED=Y","Sort=A","Dates=H","DateFormat=P","Fill=—","Direction=H","UseDPDF=Y")</f>
        <v>#NAME?</v>
      </c>
      <c r="AL266" s="2" t="e">
        <f ca="1">_xll.BDH($C$253,"CASH_FLOW_GROWTH","FQ3 2016","FQ3 2016","Currency=INR","Period=FQ","BEST_FPERIOD_OVERRIDE=FQ","FILING_STATUS=OR","EQY_CONSOLIDATED=Y","Sort=A","Dates=H","DateFormat=P","Fill=—","Direction=H","UseDPDF=Y")</f>
        <v>#NAME?</v>
      </c>
      <c r="AM266" s="2" t="e">
        <f ca="1">_xll.BDH($C$253,"GEO_GROW_NET_SALES","FQ3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66" s="2" t="e">
        <f ca="1">_xll.BDH($C$253,"GEO_GROW_EBITDA","FQ3 2016","FQ3 2016","Currency=INR","Period=FQ","BEST_FPERIOD_OVERRIDE=FQ","FILING_STATUS=OR","EQY_CONSOLIDATED=Y","FA_ADJUSTED=GAAP","Sort=A","Dates=H","DateFormat=P","Fill=—","Direction=H","UseDPDF=Y")</f>
        <v>#NAME?</v>
      </c>
      <c r="AO266" s="2" t="e">
        <f ca="1">_xll.BDH($C$253,"GEO_GROW_OPER_INC","FQ3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66" s="2" t="e">
        <f ca="1">_xll.BDH($C$253,"NET_INCOME_TO_COMMON_5_YR_GROWTH","FQ3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66" s="2" t="e">
        <f ca="1">_xll.BDH($C$253,"5Y_GEO_GROWTH_DILUTED_EPS","FQ3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66" s="2" t="e">
        <f ca="1">_xll.BDH($C$253,"GEO_GROW_DVD_PER_SH","FQ3 2016","FQ3 2016","Currency=INR","Period=FQ","BEST_FPERIOD_OVERRIDE=FQ","FILING_STATUS=OR","EQY_CONSOLIDATED=Y","Sort=A","Dates=H","DateFormat=P","Fill=—","Direction=H","UseDPDF=Y")</f>
        <v>#NAME?</v>
      </c>
      <c r="AS266" s="2" t="e">
        <f ca="1">_xll.BDH($C$253,"ACCOUNTS_RECEIVABLE_5_YR_GROWTH","FQ3 2016","FQ3 2016","Currency=INR","Period=FQ","BEST_FPERIOD_OVERRIDE=FQ","FILING_STATUS=OR","EQY_CONSOLIDATED=Y","Sort=A","Dates=H","DateFormat=P","Fill=—","Direction=H","UseDPDF=Y")</f>
        <v>#NAME?</v>
      </c>
      <c r="AT266" s="2" t="e">
        <f ca="1">_xll.BDH($C$253,"INVENTORY_5_YEAR_GROWTH","FQ3 2016","FQ3 2016","Currency=INR","Period=FQ","BEST_FPERIOD_OVERRIDE=FQ","FILING_STATUS=OR","EQY_CONSOLIDATED=Y","Sort=A","Dates=H","DateFormat=P","Fill=—","Direction=H","UseDPDF=Y")</f>
        <v>#NAME?</v>
      </c>
      <c r="AU266" s="2" t="e">
        <f ca="1">_xll.BDH($C$253,"NET_FIXED_ASSETS_5_YEAR_GROWTH","FQ3 2016","FQ3 2016","Currency=INR","Period=FQ","BEST_FPERIOD_OVERRIDE=FQ","FILING_STATUS=OR","EQY_CONSOLIDATED=Y","Sort=A","Dates=H","DateFormat=P","Fill=—","Direction=H","UseDPDF=Y")</f>
        <v>#NAME?</v>
      </c>
      <c r="AV266" s="2" t="e">
        <f ca="1">_xll.BDH($C$253,"GEO_GROW_TOT_ASSET","FQ3 2016","FQ3 2016","Currency=INR","Period=FQ","BEST_FPERIOD_OVERRIDE=FQ","FILING_STATUS=OR","EQY_CONSOLIDATED=Y","Sort=A","Dates=H","DateFormat=P","Fill=—","Direction=H","UseDPDF=Y")</f>
        <v>#NAME?</v>
      </c>
      <c r="AW266" s="2" t="e">
        <f ca="1">_xll.BDH($C$253,"MODIFIED_WORKING_CPTL_5YR_GRWTH","FQ3 2016","FQ3 2016","Currency=INR","Period=FQ","BEST_FPERIOD_OVERRIDE=FQ","FILING_STATUS=OR","EQY_CONSOLIDATED=Y","Sort=A","Dates=H","DateFormat=P","Fill=—","Direction=H","UseDPDF=Y")</f>
        <v>#NAME?</v>
      </c>
      <c r="AX266" s="2" t="e">
        <f ca="1">_xll.BDH($C$253,"WORKING_CAPITAL_5_YEAR_GROWTH","FQ3 2016","FQ3 2016","Currency=INR","Period=FQ","BEST_FPERIOD_OVERRIDE=FQ","FILING_STATUS=OR","EQY_CONSOLIDATED=Y","Sort=A","Dates=H","DateFormat=P","Fill=—","Direction=H","UseDPDF=Y")</f>
        <v>#NAME?</v>
      </c>
      <c r="AY266" s="2" t="e">
        <f ca="1">_xll.BDH($C$253,"ACCOUNTS_PAYABLE_5_YEAR_GROWTH","FQ3 2016","FQ3 2016","Currency=INR","Period=FQ","BEST_FPERIOD_OVERRIDE=FQ","FILING_STATUS=OR","EQY_CONSOLIDATED=Y","Sort=A","Dates=H","DateFormat=P","Fill=—","Direction=H","UseDPDF=Y")</f>
        <v>#NAME?</v>
      </c>
      <c r="AZ266" s="2" t="e">
        <f ca="1">_xll.BDH($C$253,"SHORT_TERM_DEBT_5_YEAR_GROWTH","FQ3 2016","FQ3 2016","Currency=INR","Period=FQ","BEST_FPERIOD_OVERRIDE=FQ","FILING_STATUS=OR","EQY_CONSOLIDATED=Y","Sort=A","Dates=H","DateFormat=P","Fill=—","Direction=H","UseDPDF=Y")</f>
        <v>#NAME?</v>
      </c>
      <c r="BA266" s="2" t="e">
        <f ca="1">_xll.BDH($C$253,"TOTAL_DEBT_5_YEAR_GROWTH","FQ3 2016","FQ3 2016","Currency=INR","Period=FQ","BEST_FPERIOD_OVERRIDE=FQ","FILING_STATUS=OR","EQY_CONSOLIDATED=Y","Sort=A","Dates=H","DateFormat=P","Fill=—","Direction=H","UseDPDF=Y")</f>
        <v>#NAME?</v>
      </c>
      <c r="BB266" s="2" t="e">
        <f ca="1">_xll.BDH($C$253,"GEO_GROW_TOT_SHRHLDR_EQY","FQ3 2016","FQ3 2016","Currency=INR","Period=FQ","BEST_FPERIOD_OVERRIDE=FQ","FILING_STATUS=OR","EQY_CONSOLIDATED=Y","Sort=A","Dates=H","DateFormat=P","Fill=—","Direction=H","UseDPDF=Y")</f>
        <v>#NAME?</v>
      </c>
      <c r="BC266" s="2" t="e">
        <f ca="1">_xll.BDH($C$253,"TOTAL_CAPITAL_5_YEAR_GROWTH","FQ3 2016","FQ3 2016","Currency=INR","Period=FQ","BEST_FPERIOD_OVERRIDE=FQ","FILING_STATUS=OR","EQY_CONSOLIDATED=Y","Sort=A","Dates=H","DateFormat=P","Fill=—","Direction=H","UseDPDF=Y")</f>
        <v>#NAME?</v>
      </c>
      <c r="BD266" s="2" t="e">
        <f ca="1">_xll.BDH($C$253,"GEO_GROW_BOOK_VAL","FQ3 2016","FQ3 2016","Currency=INR","Period=FQ","BEST_FPERIOD_OVERRIDE=FQ","FILING_STATUS=OR","EQY_CONSOLIDATED=Y","Sort=A","Dates=H","DateFormat=P","Fill=—","Direction=H","UseDPDF=Y")</f>
        <v>#NAME?</v>
      </c>
      <c r="BE266" s="2" t="e">
        <f ca="1">_xll.BDH($C$253,"GEO_GROW_CASH_OPER_ACT","FQ3 2016","FQ3 2016","Currency=INR","Period=FQ","BEST_FPERIOD_OVERRIDE=FQ","FILING_STATUS=OR","EQY_CONSOLIDATED=Y","Sort=A","Dates=H","DateFormat=P","Fill=—","Direction=H","UseDPDF=Y")</f>
        <v>#NAME?</v>
      </c>
      <c r="BF266" s="2" t="e">
        <f ca="1">_xll.BDH($C$253,"REVENUE_SEQUENTIAL_GROWTH","FQ3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66" s="2" t="e">
        <f ca="1">_xll.BDH($C$253,"EBITDA_SEQUENTIAL_GROWTH","FQ3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66" s="2" t="e">
        <f ca="1">_xll.BDH($C$253,"OPERATING_INCOME_SEQ_GROWTH","FQ3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66" s="2" t="e">
        <f ca="1">_xll.BDH($C$253,"NET_INCOME_TO_COMMON_SEQ_GROWTH","FQ3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66" s="2" t="e">
        <f ca="1">_xll.BDH($C$253,"EPS_DILUTED_SEQUENTIAL_GROWTH","FQ3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66" s="2" t="e">
        <f ca="1">_xll.BDH($C$253,"DPS_SEQUENTIAL_GROWTH","FQ3 2016","FQ3 2016","Currency=INR","Period=FQ","BEST_FPERIOD_OVERRIDE=FQ","FILING_STATUS=OR","EQY_CONSOLIDATED=Y","Sort=A","Dates=H","DateFormat=P","Fill=—","Direction=H","UseDPDF=Y")</f>
        <v>#NAME?</v>
      </c>
      <c r="BL266" s="2" t="e">
        <f ca="1">_xll.BDH($C$253,"ACCOUNTS_RECEIVABLE_SEQ_GROWTH","FQ3 2016","FQ3 2016","Currency=INR","Period=FQ","BEST_FPERIOD_OVERRIDE=FQ","FILING_STATUS=OR","EQY_CONSOLIDATED=Y","Sort=A","Dates=H","DateFormat=P","Fill=—","Direction=H","UseDPDF=Y")</f>
        <v>#NAME?</v>
      </c>
      <c r="BM266" s="2" t="e">
        <f ca="1">_xll.BDH($C$253,"INVENTORY_SEQUENTIAL_GROWTH","FQ3 2016","FQ3 2016","Currency=INR","Period=FQ","BEST_FPERIOD_OVERRIDE=FQ","FILING_STATUS=OR","EQY_CONSOLIDATED=Y","Sort=A","Dates=H","DateFormat=P","Fill=—","Direction=H","UseDPDF=Y")</f>
        <v>#NAME?</v>
      </c>
      <c r="BN266" s="2" t="e">
        <f ca="1">_xll.BDH($C$253,"FIXED_ASSETS_SEQUENTIAL_GROWTH","FQ3 2016","FQ3 2016","Currency=INR","Period=FQ","BEST_FPERIOD_OVERRIDE=FQ","FILING_STATUS=OR","EQY_CONSOLIDATED=Y","Sort=A","Dates=H","DateFormat=P","Fill=—","Direction=H","UseDPDF=Y")</f>
        <v>#NAME?</v>
      </c>
      <c r="BO266" s="2" t="e">
        <f ca="1">_xll.BDH($C$253,"TOTAL_ASSETS_SEQUENTIAL_GROWTH","FQ3 2016","FQ3 2016","Currency=INR","Period=FQ","BEST_FPERIOD_OVERRIDE=FQ","FILING_STATUS=OR","EQY_CONSOLIDATED=Y","Sort=A","Dates=H","DateFormat=P","Fill=—","Direction=H","UseDPDF=Y")</f>
        <v>#NAME?</v>
      </c>
      <c r="BP266" s="2" t="e">
        <f ca="1">_xll.BDH($C$253,"MODIFIED_WORKING_CPTL_SEQ_GRWTH","FQ3 2016","FQ3 2016","Currency=INR","Period=FQ","BEST_FPERIOD_OVERRIDE=FQ","FILING_STATUS=OR","EQY_CONSOLIDATED=Y","Sort=A","Dates=H","DateFormat=P","Fill=—","Direction=H","UseDPDF=Y")</f>
        <v>#NAME?</v>
      </c>
      <c r="BQ266" s="2" t="e">
        <f ca="1">_xll.BDH($C$253,"WORKING_CAPITAL_SEQ_GROWTH","FQ3 2016","FQ3 2016","Currency=INR","Period=FQ","BEST_FPERIOD_OVERRIDE=FQ","FILING_STATUS=OR","EQY_CONSOLIDATED=Y","Sort=A","Dates=H","DateFormat=P","Fill=—","Direction=H","UseDPDF=Y")</f>
        <v>#NAME?</v>
      </c>
      <c r="BR266" s="2" t="e">
        <f ca="1">_xll.BDH($C$253,"ACCOUNTS_PAYABLE_SEQ_GROWTH","FQ3 2016","FQ3 2016","Currency=INR","Period=FQ","BEST_FPERIOD_OVERRIDE=FQ","FILING_STATUS=OR","EQY_CONSOLIDATED=Y","Sort=A","Dates=H","DateFormat=P","Fill=—","Direction=H","UseDPDF=Y")</f>
        <v>#NAME?</v>
      </c>
      <c r="BS266" s="2" t="e">
        <f ca="1">_xll.BDH($C$253,"ST_DEBT_SEQUENTIAL_GROWTH","FQ3 2016","FQ3 2016","Currency=INR","Period=FQ","BEST_FPERIOD_OVERRIDE=FQ","FILING_STATUS=OR","EQY_CONSOLIDATED=Y","Sort=A","Dates=H","DateFormat=P","Fill=—","Direction=H","UseDPDF=Y")</f>
        <v>#NAME?</v>
      </c>
      <c r="BT266" s="2" t="e">
        <f ca="1">_xll.BDH($C$253,"TOTAL_DEBT_SEQUENTIAL_GROWTH","FQ3 2016","FQ3 2016","Currency=INR","Period=FQ","BEST_FPERIOD_OVERRIDE=FQ","FILING_STATUS=OR","EQY_CONSOLIDATED=Y","Sort=A","Dates=H","DateFormat=P","Fill=—","Direction=H","UseDPDF=Y")</f>
        <v>#NAME?</v>
      </c>
      <c r="BU266" s="2" t="e">
        <f ca="1">_xll.BDH($C$253,"TOTAL_EQUITY_SEQUENTIAL_GROWTH","FQ3 2016","FQ3 2016","Currency=INR","Period=FQ","BEST_FPERIOD_OVERRIDE=FQ","FILING_STATUS=OR","EQY_CONSOLIDATED=Y","Sort=A","Dates=H","DateFormat=P","Fill=—","Direction=H","UseDPDF=Y")</f>
        <v>#NAME?</v>
      </c>
      <c r="BV266" s="2" t="e">
        <f ca="1">_xll.BDH($C$253,"TOTAL_CAPITAL_SEQUENTIAL_GROWTH","FQ3 2016","FQ3 2016","Currency=INR","Period=FQ","BEST_FPERIOD_OVERRIDE=FQ","FILING_STATUS=OR","EQY_CONSOLIDATED=Y","Sort=A","Dates=H","DateFormat=P","Fill=—","Direction=H","UseDPDF=Y")</f>
        <v>#NAME?</v>
      </c>
      <c r="BW266" s="2" t="e">
        <f ca="1">_xll.BDH($C$253,"BPS_SEQUENTIAL_GROWTH","FQ3 2016","FQ3 2016","Currency=INR","Period=FQ","BEST_FPERIOD_OVERRIDE=FQ","FILING_STATUS=OR","EQY_CONSOLIDATED=Y","Sort=A","Dates=H","DateFormat=P","Fill=—","Direction=H","UseDPDF=Y")</f>
        <v>#NAME?</v>
      </c>
      <c r="BX266" s="2" t="e">
        <f ca="1">_xll.BDH($C$253,"CFO_SEQUENTIAL_GROWTH","FQ3 2016","FQ3 2016","Currency=INR","Period=FQ","BEST_FPERIOD_OVERRIDE=FQ","FILING_STATUS=OR","EQY_CONSOLIDATED=Y","Sort=A","Dates=H","DateFormat=P","Fill=—","Direction=H","UseDPDF=Y")</f>
        <v>#NAME?</v>
      </c>
      <c r="BY266" s="3" t="e">
        <f ca="1">_xll.BDH($C$253,"SHORT_AND_LONG_TERM_DEBT","FQ3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66" s="3" t="e">
        <f ca="1">_xll.BDH($C$253,"BS_ST_BORROW","FQ3 2016","FQ3 2016","Currency=INR","Period=FQ","BEST_FPERIOD_OVERRIDE=FQ","FILING_STATUS=OR","EQY_CONSOLIDATED=Y","SCALING_FORMAT=MLN","Sort=A","Dates=H","DateFormat=P","Fill=—","Direction=H","UseDPDF=Y")</f>
        <v>#NAME?</v>
      </c>
      <c r="CA266" s="3" t="e">
        <f ca="1">_xll.BDH($C$253,"BS_LT_BORROW","FQ3 2016","FQ3 2016","Currency=INR","Period=FQ","BEST_FPERIOD_OVERRIDE=FQ","FILING_STATUS=OR","EQY_CONSOLIDATED=Y","SCALING_FORMAT=MLN","Sort=A","Dates=H","DateFormat=P","Fill=—","Direction=H","UseDPDF=Y")</f>
        <v>#NAME?</v>
      </c>
      <c r="CB266" s="2" t="e">
        <f ca="1">_xll.BDH($C$253,"TOT_DEBT_TO_EBITDA","FQ3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66" s="2" t="e">
        <f ca="1">_xll.BDH($C$253,"NET_DEBT_TO_EBITDA","FQ3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66" s="2" t="e">
        <f ca="1">_xll.BDH($C$253,"TOTAL_DEBT_TO_EBIT","FQ3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66" s="2" t="e">
        <f ca="1">_xll.BDH($C$253,"NET_DEBT_TO_EBIT","FQ3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266" s="2" t="e">
        <f ca="1">_xll.BDH($C$253,"EBITDA_TO_INTEREST_EXPN","FQ3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66" s="2" t="e">
        <f ca="1">_xll.BDH($C$253,"COM_EQY_TO_TOT_ASSET","FQ3 2016","FQ3 2016","Currency=INR","Period=FQ","BEST_FPERIOD_OVERRIDE=FQ","FILING_STATUS=OR","EQY_CONSOLIDATED=Y","Sort=A","Dates=H","DateFormat=P","Fill=—","Direction=H","UseDPDF=Y")</f>
        <v>#NAME?</v>
      </c>
      <c r="CH266" s="2" t="e">
        <f ca="1">_xll.BDH($C$253,"LT_DEBT_TO_TOT_EQY","FQ3 2016","FQ3 2016","Currency=INR","Period=FQ","BEST_FPERIOD_OVERRIDE=FQ","FILING_STATUS=OR","EQY_CONSOLIDATED=Y","Sort=A","Dates=H","DateFormat=P","Fill=—","Direction=H","UseDPDF=Y")</f>
        <v>#NAME?</v>
      </c>
      <c r="CI266" s="2" t="e">
        <f ca="1">_xll.BDH($C$253,"LT_DEBT_TO_TOT_CAP","FQ3 2016","FQ3 2016","Currency=INR","Period=FQ","BEST_FPERIOD_OVERRIDE=FQ","FILING_STATUS=OR","EQY_CONSOLIDATED=Y","Sort=A","Dates=H","DateFormat=P","Fill=—","Direction=H","UseDPDF=Y")</f>
        <v>#NAME?</v>
      </c>
      <c r="CJ266" s="2" t="e">
        <f ca="1">_xll.BDH($C$253,"LT_DEBT_TO_TOT_ASSET","FQ3 2016","FQ3 2016","Currency=INR","Period=FQ","BEST_FPERIOD_OVERRIDE=FQ","FILING_STATUS=OR","EQY_CONSOLIDATED=Y","Sort=A","Dates=H","DateFormat=P","Fill=—","Direction=H","UseDPDF=Y")</f>
        <v>#NAME?</v>
      </c>
      <c r="CK266" s="2" t="e">
        <f ca="1">_xll.BDH($C$253,"TOT_DEBT_TO_TOT_EQY","FQ3 2016","FQ3 2016","Currency=INR","Period=FQ","BEST_FPERIOD_OVERRIDE=FQ","FILING_STATUS=OR","EQY_CONSOLIDATED=Y","Sort=A","Dates=H","DateFormat=P","Fill=—","Direction=H","UseDPDF=Y")</f>
        <v>#NAME?</v>
      </c>
      <c r="CL266" s="2" t="e">
        <f ca="1">_xll.BDH($C$253,"TOT_DEBT_TO_TOT_CAP","FQ3 2016","FQ3 2016","Currency=INR","Period=FQ","BEST_FPERIOD_OVERRIDE=FQ","FILING_STATUS=OR","EQY_CONSOLIDATED=Y","Sort=A","Dates=H","DateFormat=P","Fill=—","Direction=H","UseDPDF=Y")</f>
        <v>#NAME?</v>
      </c>
      <c r="CM266" s="2" t="e">
        <f ca="1">_xll.BDH($C$253,"TOT_DEBT_TO_TOT_ASSET","FQ3 2016","FQ3 2016","Currency=INR","Period=FQ","BEST_FPERIOD_OVERRIDE=FQ","FILING_STATUS=OR","EQY_CONSOLIDATED=Y","Sort=A","Dates=H","DateFormat=P","Fill=—","Direction=H","UseDPDF=Y")</f>
        <v>#NAME?</v>
      </c>
      <c r="CN266" s="2" t="e">
        <f ca="1">_xll.BDH($C$253,"NET_DEBT_TO_SHRHLDR_EQTY","FQ3 2016","FQ3 2016","Currency=INR","Period=FQ","BEST_FPERIOD_OVERRIDE=FQ","FILING_STATUS=OR","EQY_CONSOLIDATED=Y","Sort=A","Dates=H","DateFormat=P","Fill=—","Direction=H","UseDPDF=Y")</f>
        <v>#NAME?</v>
      </c>
      <c r="CO266" s="2" t="e">
        <f ca="1">_xll.BDH($C$253,"NET_DEBT_%_CAPITAL","FQ3 2016","FQ3 2016","Currency=INR","Period=FQ","BEST_FPERIOD_OVERRIDE=FQ","FILING_STATUS=OR","EQY_CONSOLIDATED=Y","Sort=A","Dates=H","DateFormat=P","Fill=—","Direction=H","UseDPDF=Y")</f>
        <v>#NAME?</v>
      </c>
      <c r="CP266" s="3" t="e">
        <f ca="1">_xll.BDH($C$253,"EBITDA","FQ3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66" s="3" t="e">
        <f ca="1">_xll.BDH($C$253,"EBITDA_AFTER_CAPEX","FQ3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66" s="3" t="e">
        <f ca="1">_xll.BDH($C$253,"IS_OPER_INC","FQ3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66" s="2" t="e">
        <f ca="1">_xll.BDH($C$253,"CASH_RATIO","FQ3 2016","FQ3 2016","Currency=INR","Period=FQ","BEST_FPERIOD_OVERRIDE=FQ","FILING_STATUS=OR","EQY_CONSOLIDATED=Y","Sort=A","Dates=H","DateFormat=P","Fill=—","Direction=H","UseDPDF=Y")</f>
        <v>#NAME?</v>
      </c>
      <c r="CT266" s="2" t="e">
        <f ca="1">_xll.BDH($C$253,"CUR_RATIO","FQ3 2016","FQ3 2016","Currency=INR","Period=FQ","BEST_FPERIOD_OVERRIDE=FQ","FILING_STATUS=OR","EQY_CONSOLIDATED=Y","Sort=A","Dates=H","DateFormat=P","Fill=—","Direction=H","UseDPDF=Y")</f>
        <v>#NAME?</v>
      </c>
      <c r="CU266" s="2" t="e">
        <f ca="1">_xll.BDH($C$253,"QUICK_RATIO","FQ3 2016","FQ3 2016","Currency=INR","Period=FQ","BEST_FPERIOD_OVERRIDE=FQ","FILING_STATUS=OR","EQY_CONSOLIDATED=Y","Sort=A","Dates=H","DateFormat=P","Fill=—","Direction=H","UseDPDF=Y")</f>
        <v>#NAME?</v>
      </c>
      <c r="CV266" s="2" t="e">
        <f ca="1">_xll.BDH($C$253,"ALTMAN_Z_SCORE","FQ3 2016","FQ3 2016","Currency=INR","Period=FQ","BEST_FPERIOD_OVERRIDE=FQ","FILING_STATUS=OR","EQY_CONSOLIDATED=Y","Sort=A","Dates=H","DateFormat=P","Fill=—","Direction=H","UseDPDF=Y")</f>
        <v>#NAME?</v>
      </c>
      <c r="CW266" s="4" t="e">
        <f ca="1">_xll.BDH($C$253,"ACCT_RCV_TURN","FQ3 2016","FQ3 2016","Currency=INR","Period=FQ","BEST_FPERIOD_OVERRIDE=FQ","FILING_STATUS=OR","EQY_CONSOLIDATED=Y","FA_ADJUSTED=GAAP","Sort=A","Dates=H","DateFormat=P","Fill=—","Direction=H","UseDPDF=Y")</f>
        <v>#NAME?</v>
      </c>
      <c r="CX266" s="2" t="e">
        <f ca="1">_xll.BDH($C$253,"ACCT_RCV_DAYS","FQ3 2016","FQ3 2016","Currency=INR","Period=FQ","BEST_FPERIOD_OVERRIDE=FQ","FILING_STATUS=OR","EQY_CONSOLIDATED=Y","FA_ADJUSTED=GAAP","Sort=A","Dates=H","DateFormat=P","Fill=—","Direction=H","UseDPDF=Y")</f>
        <v>#NAME?</v>
      </c>
      <c r="CY266" s="4" t="e">
        <f ca="1">_xll.BDH($C$253,"INVENT_TURN","FQ3 2016","FQ3 2016","Currency=INR","Period=FQ","BEST_FPERIOD_OVERRIDE=FQ","FILING_STATUS=OR","EQY_CONSOLIDATED=Y","FA_ADJUSTED=GAAP","Sort=A","Dates=H","DateFormat=P","Fill=—","Direction=H","UseDPDF=Y")</f>
        <v>#NAME?</v>
      </c>
      <c r="CZ266" s="2" t="e">
        <f ca="1">_xll.BDH($C$253,"INVENT_DAYS","FQ3 2016","FQ3 2016","Currency=INR","Period=FQ","BEST_FPERIOD_OVERRIDE=FQ","FILING_STATUS=OR","EQY_CONSOLIDATED=Y","FA_ADJUSTED=GAAP","Sort=A","Dates=H","DateFormat=P","Fill=—","Direction=H","UseDPDF=Y")</f>
        <v>#NAME?</v>
      </c>
      <c r="DA266" s="4" t="e">
        <f ca="1">_xll.BDH($C$253,"ACCOUNTS_PAYABLE_TURNOVER","FQ3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66" s="2" t="e">
        <f ca="1">_xll.BDH($C$253,"ACCOUNTS_PAYABLE_TURNOVER_DAYS","FQ3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66" s="4" t="e">
        <f ca="1">_xll.BDH($C$253,"CASH_CONVERSION_CYCLE","FQ3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66" s="4" t="e">
        <f ca="1">_xll.BDH($C$253,"INV_TO_CASH_DAYS","FQ3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266" s="5" t="e">
        <f ca="1">_xll.BDH($C$253,"BS_INVENTORIES","FQ3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266" s="3" t="e">
        <f ca="1">_xll.BDH($C$253,"INVTRY_RAW_MATERIALS","FQ3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66" s="3" t="e">
        <f ca="1">_xll.BDH($C$253,"INVTRY_IN_PROGRESS","FQ3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66" s="3" t="e">
        <f ca="1">_xll.BDH($C$253,"INVTRY_FINISHED_GOODS","FQ3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66" s="3" t="e">
        <f ca="1">_xll.BDH($C$253,"BS_OTHER_INV","FQ3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67" spans="1:113" x14ac:dyDescent="0.3">
      <c r="A267" s="6"/>
      <c r="B267" s="6"/>
      <c r="C267" s="6"/>
      <c r="D267" s="6"/>
      <c r="E267" t="s">
        <v>81</v>
      </c>
      <c r="F267" t="e">
        <f ca="1">_xll.BDH($C$253,"RETURN_COM_EQY","FQ4 2016","FQ4 2016","Currency=INR","Period=FQ","BEST_FPERIOD_OVERRIDE=FQ","FILING_STATUS=OR","EQY_CONSOLIDATED=Y","FA_ADJUSTED=GAAP","Sort=A","Dates=H","DateFormat=P","Fill=—","Direction=H","UseDPDF=Y")</f>
        <v>#NAME?</v>
      </c>
      <c r="G267" t="e">
        <f ca="1">_xll.BDH($C$253,"RETURN_ON_ASSET","FQ4 2016","FQ4 2016","Currency=INR","Period=FQ","BEST_FPERIOD_OVERRIDE=FQ","FILING_STATUS=OR","EQY_CONSOLIDATED=Y","FA_ADJUSTED=GAAP","Sort=A","Dates=H","DateFormat=P","Fill=—","Direction=H","UseDPDF=Y")</f>
        <v>#NAME?</v>
      </c>
      <c r="H267" t="e">
        <f ca="1">_xll.BDH($C$253,"RETURN_ON_CAP","FQ4 2016","FQ4 2016","Currency=INR","Period=FQ","BEST_FPERIOD_OVERRIDE=FQ","FILING_STATUS=OR","EQY_CONSOLIDATED=Y","FA_ADJUSTED=GAAP","Sort=A","Dates=H","DateFormat=P","Fill=—","Direction=H","UseDPDF=Y")</f>
        <v>#NAME?</v>
      </c>
      <c r="I267" t="e">
        <f ca="1">_xll.BDH($C$253,"RETURN_ON_INV_CAPITAL","FQ4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67" t="e">
        <f ca="1">_xll.BDH($C$253,"EBITDA_TO_REVENUE","FQ4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267" t="e">
        <f ca="1">_xll.BDH($C$253,"OPER_MARGIN","FQ4 2016","FQ4 2016","Currency=INR","Period=FQ","BEST_FPERIOD_OVERRIDE=FQ","FILING_STATUS=OR","EQY_CONSOLIDATED=Y","FA_ADJUSTED=GAAP","Sort=A","Dates=H","DateFormat=P","Fill=—","Direction=H","UseDPDF=Y")</f>
        <v>#NAME?</v>
      </c>
      <c r="L267" t="e">
        <f ca="1">_xll.BDH($C$253,"INCREMENTAL_OPERATING_MARGIN","FQ4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67" t="e">
        <f ca="1">_xll.BDH($C$253,"PRETAX_INC_TO_NET_SALES","FQ4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67" t="e">
        <f ca="1">_xll.BDH($C$253,"INC_BEF_XO_ITEMS_TO_NET_SALES","FQ4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67" t="e">
        <f ca="1">_xll.BDH($C$253,"PROF_MARGIN","FQ4 2016","FQ4 2016","Currency=INR","Period=FQ","BEST_FPERIOD_OVERRIDE=FQ","FILING_STATUS=OR","EQY_CONSOLIDATED=Y","FA_ADJUSTED=GAAP","Sort=A","Dates=H","DateFormat=P","Fill=—","Direction=H","UseDPDF=Y")</f>
        <v>#NAME?</v>
      </c>
      <c r="P267" t="e">
        <f ca="1">_xll.BDH($C$253,"NET_INCOME_TO_COMMON_MARGIN","FQ4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67" t="e">
        <f ca="1">_xll.BDH($C$253,"EFF_TAX_RATE","FQ4 2016","FQ4 2016","Currency=INR","Period=FQ","BEST_FPERIOD_OVERRIDE=FQ","FILING_STATUS=OR","EQY_CONSOLIDATED=Y","FA_ADJUSTED=GAAP","Sort=A","Dates=H","DateFormat=P","Fill=—","Direction=H","UseDPDF=Y")</f>
        <v>#NAME?</v>
      </c>
      <c r="R267" t="e">
        <f ca="1">_xll.BDH($C$253,"DVD_PAYOUT_RATIO","FQ4 2016","FQ4 2016","Currency=INR","Period=FQ","BEST_FPERIOD_OVERRIDE=FQ","FILING_STATUS=OR","EQY_CONSOLIDATED=Y","FA_ADJUSTED=GAAP","Sort=A","Dates=H","DateFormat=P","Fill=—","Direction=H","UseDPDF=Y")</f>
        <v>#NAME?</v>
      </c>
      <c r="S267" t="e">
        <f ca="1">_xll.BDH($C$253,"SUSTAIN_GROWTH_RT","FQ4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267" s="2" t="e">
        <f ca="1">_xll.BDH($C$253,"SALES_GROWTH","FQ4 2016","FQ4 2016","Currency=INR","Period=FQ","BEST_FPERIOD_OVERRIDE=FQ","FILING_STATUS=OR","EQY_CONSOLIDATED=Y","FA_ADJUSTED=GAAP","Sort=A","Dates=H","DateFormat=P","Fill=—","Direction=H","UseDPDF=Y")</f>
        <v>#NAME?</v>
      </c>
      <c r="U267" s="2" t="e">
        <f ca="1">_xll.BDH($C$253,"EBITDA_GROWTH","FQ4 2016","FQ4 2016","Currency=INR","Period=FQ","BEST_FPERIOD_OVERRIDE=FQ","FILING_STATUS=OR","EQY_CONSOLIDATED=Y","FA_ADJUSTED=GAAP","Sort=A","Dates=H","DateFormat=P","Fill=—","Direction=H","UseDPDF=Y")</f>
        <v>#NAME?</v>
      </c>
      <c r="V267" s="2" t="e">
        <f ca="1">_xll.BDH($C$253,"OPER_INC_GROWTH","FQ4 2016","FQ4 2016","Currency=INR","Period=FQ","BEST_FPERIOD_OVERRIDE=FQ","FILING_STATUS=OR","EQY_CONSOLIDATED=Y","FA_ADJUSTED=GAAP","Sort=A","Dates=H","DateFormat=P","Fill=—","Direction=H","UseDPDF=Y")</f>
        <v>#NAME?</v>
      </c>
      <c r="W267" s="2" t="e">
        <f ca="1">_xll.BDH($C$253,"EARN_FOR_COM_GROWTH","FQ4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67" s="2" t="e">
        <f ca="1">_xll.BDH($C$253,"DILUTED_EPS_AFT_XO_ITEMS_GROWTH","FQ4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67" s="2" t="e">
        <f ca="1">_xll.BDH($C$253,"DIVIDEND_PER_SHARE_1_YEAR_GROWTH","FQ4 2016","FQ4 2016","Currency=INR","Period=FQ","BEST_FPERIOD_OVERRIDE=FQ","FILING_STATUS=OR","EQY_CONSOLIDATED=Y","Sort=A","Dates=H","DateFormat=P","Fill=—","Direction=H","UseDPDF=Y")</f>
        <v>#NAME?</v>
      </c>
      <c r="Z267" s="2" t="e">
        <f ca="1">_xll.BDH($C$253,"ACCOUNTS_RECEIVABLE_GROWTH","FQ4 2016","FQ4 2016","Currency=INR","Period=FQ","BEST_FPERIOD_OVERRIDE=FQ","FILING_STATUS=OR","EQY_CONSOLIDATED=Y","Sort=A","Dates=H","DateFormat=P","Fill=—","Direction=H","UseDPDF=Y")</f>
        <v>#NAME?</v>
      </c>
      <c r="AA267" s="2" t="e">
        <f ca="1">_xll.BDH($C$253,"INVENTORY_GROWTH","FQ4 2016","FQ4 2016","Currency=INR","Period=FQ","BEST_FPERIOD_OVERRIDE=FQ","FILING_STATUS=OR","EQY_CONSOLIDATED=Y","Sort=A","Dates=H","DateFormat=P","Fill=—","Direction=H","UseDPDF=Y")</f>
        <v>#NAME?</v>
      </c>
      <c r="AB267" s="2" t="e">
        <f ca="1">_xll.BDH($C$253,"NET_FIXED_ASSETS_1_YEAR_GROWTH","FQ4 2016","FQ4 2016","Currency=INR","Period=FQ","BEST_FPERIOD_OVERRIDE=FQ","FILING_STATUS=OR","EQY_CONSOLIDATED=Y","Sort=A","Dates=H","DateFormat=P","Fill=—","Direction=H","UseDPDF=Y")</f>
        <v>#NAME?</v>
      </c>
      <c r="AC267" s="2" t="e">
        <f ca="1">_xll.BDH($C$253,"ASSET_GROWTH","FQ4 2016","FQ4 2016","Currency=INR","Period=FQ","BEST_FPERIOD_OVERRIDE=FQ","FILING_STATUS=OR","EQY_CONSOLIDATED=Y","Sort=A","Dates=H","DateFormat=P","Fill=—","Direction=H","UseDPDF=Y")</f>
        <v>#NAME?</v>
      </c>
      <c r="AD267" s="2" t="e">
        <f ca="1">_xll.BDH($C$253,"MODIFIED_WORK_CAP_GROWTH","FQ4 2016","FQ4 2016","Currency=INR","Period=FQ","BEST_FPERIOD_OVERRIDE=FQ","FILING_STATUS=OR","EQY_CONSOLIDATED=Y","Sort=A","Dates=H","DateFormat=P","Fill=—","Direction=H","UseDPDF=Y")</f>
        <v>#NAME?</v>
      </c>
      <c r="AE267" s="2" t="e">
        <f ca="1">_xll.BDH($C$253,"WORK_CAP_GROWTH","FQ4 2016","FQ4 2016","Currency=INR","Period=FQ","BEST_FPERIOD_OVERRIDE=FQ","FILING_STATUS=OR","EQY_CONSOLIDATED=Y","Sort=A","Dates=H","DateFormat=P","Fill=—","Direction=H","UseDPDF=Y")</f>
        <v>#NAME?</v>
      </c>
      <c r="AF267" s="2" t="e">
        <f ca="1">_xll.BDH($C$253,"ACCOUNTS_PAYABLE_GROWTH_1YR","FQ4 2016","FQ4 2016","Currency=INR","Period=FQ","BEST_FPERIOD_OVERRIDE=FQ","FILING_STATUS=OR","EQY_CONSOLIDATED=Y","Sort=A","Dates=H","DateFormat=P","Fill=—","Direction=H","UseDPDF=Y")</f>
        <v>#NAME?</v>
      </c>
      <c r="AG267" s="2" t="e">
        <f ca="1">_xll.BDH($C$253,"SHORT_TERM_DEBT_1_YEAR_GROWTH","FQ4 2016","FQ4 2016","Currency=INR","Period=FQ","BEST_FPERIOD_OVERRIDE=FQ","FILING_STATUS=OR","EQY_CONSOLIDATED=Y","Sort=A","Dates=H","DateFormat=P","Fill=—","Direction=H","UseDPDF=Y")</f>
        <v>#NAME?</v>
      </c>
      <c r="AH267" s="2" t="e">
        <f ca="1">_xll.BDH($C$253,"TOTAL_DEBT_1_YEAR_GROWTH","FQ4 2016","FQ4 2016","Currency=INR","Period=FQ","BEST_FPERIOD_OVERRIDE=FQ","FILING_STATUS=OR","EQY_CONSOLIDATED=Y","Sort=A","Dates=H","DateFormat=P","Fill=—","Direction=H","UseDPDF=Y")</f>
        <v>#NAME?</v>
      </c>
      <c r="AI267" s="2" t="e">
        <f ca="1">_xll.BDH($C$253,"TOTAL_EQUITY_1_YEAR_GROWTH","FQ4 2016","FQ4 2016","Currency=INR","Period=FQ","BEST_FPERIOD_OVERRIDE=FQ","FILING_STATUS=OR","EQY_CONSOLIDATED=Y","Sort=A","Dates=H","DateFormat=P","Fill=—","Direction=H","UseDPDF=Y")</f>
        <v>#NAME?</v>
      </c>
      <c r="AJ267" s="2" t="e">
        <f ca="1">_xll.BDH($C$253,"GROWTH_IN_CAP","FQ4 2016","FQ4 2016","Currency=INR","Period=FQ","BEST_FPERIOD_OVERRIDE=FQ","FILING_STATUS=OR","EQY_CONSOLIDATED=Y","Sort=A","Dates=H","DateFormat=P","Fill=—","Direction=H","UseDPDF=Y")</f>
        <v>#NAME?</v>
      </c>
      <c r="AK267" s="2" t="e">
        <f ca="1">_xll.BDH($C$253,"BVPS_GROWTH","FQ4 2016","FQ4 2016","Currency=INR","Period=FQ","BEST_FPERIOD_OVERRIDE=FQ","FILING_STATUS=OR","EQY_CONSOLIDATED=Y","Sort=A","Dates=H","DateFormat=P","Fill=—","Direction=H","UseDPDF=Y")</f>
        <v>#NAME?</v>
      </c>
      <c r="AL267" s="2" t="e">
        <f ca="1">_xll.BDH($C$253,"CASH_FLOW_GROWTH","FQ4 2016","FQ4 2016","Currency=INR","Period=FQ","BEST_FPERIOD_OVERRIDE=FQ","FILING_STATUS=OR","EQY_CONSOLIDATED=Y","Sort=A","Dates=H","DateFormat=P","Fill=—","Direction=H","UseDPDF=Y")</f>
        <v>#NAME?</v>
      </c>
      <c r="AM267" s="2" t="e">
        <f ca="1">_xll.BDH($C$253,"GEO_GROW_NET_SALES","FQ4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67" s="2" t="e">
        <f ca="1">_xll.BDH($C$253,"GEO_GROW_EBITDA","FQ4 2016","FQ4 2016","Currency=INR","Period=FQ","BEST_FPERIOD_OVERRIDE=FQ","FILING_STATUS=OR","EQY_CONSOLIDATED=Y","FA_ADJUSTED=GAAP","Sort=A","Dates=H","DateFormat=P","Fill=—","Direction=H","UseDPDF=Y")</f>
        <v>#NAME?</v>
      </c>
      <c r="AO267" s="2" t="e">
        <f ca="1">_xll.BDH($C$253,"GEO_GROW_OPER_INC","FQ4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67" s="2" t="e">
        <f ca="1">_xll.BDH($C$253,"NET_INCOME_TO_COMMON_5_YR_GROWTH","FQ4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67" s="2" t="e">
        <f ca="1">_xll.BDH($C$253,"5Y_GEO_GROWTH_DILUTED_EPS","FQ4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67" s="2" t="e">
        <f ca="1">_xll.BDH($C$253,"GEO_GROW_DVD_PER_SH","FQ4 2016","FQ4 2016","Currency=INR","Period=FQ","BEST_FPERIOD_OVERRIDE=FQ","FILING_STATUS=OR","EQY_CONSOLIDATED=Y","Sort=A","Dates=H","DateFormat=P","Fill=—","Direction=H","UseDPDF=Y")</f>
        <v>#NAME?</v>
      </c>
      <c r="AS267" s="2" t="e">
        <f ca="1">_xll.BDH($C$253,"ACCOUNTS_RECEIVABLE_5_YR_GROWTH","FQ4 2016","FQ4 2016","Currency=INR","Period=FQ","BEST_FPERIOD_OVERRIDE=FQ","FILING_STATUS=OR","EQY_CONSOLIDATED=Y","Sort=A","Dates=H","DateFormat=P","Fill=—","Direction=H","UseDPDF=Y")</f>
        <v>#NAME?</v>
      </c>
      <c r="AT267" s="2" t="e">
        <f ca="1">_xll.BDH($C$253,"INVENTORY_5_YEAR_GROWTH","FQ4 2016","FQ4 2016","Currency=INR","Period=FQ","BEST_FPERIOD_OVERRIDE=FQ","FILING_STATUS=OR","EQY_CONSOLIDATED=Y","Sort=A","Dates=H","DateFormat=P","Fill=—","Direction=H","UseDPDF=Y")</f>
        <v>#NAME?</v>
      </c>
      <c r="AU267" s="2" t="e">
        <f ca="1">_xll.BDH($C$253,"NET_FIXED_ASSETS_5_YEAR_GROWTH","FQ4 2016","FQ4 2016","Currency=INR","Period=FQ","BEST_FPERIOD_OVERRIDE=FQ","FILING_STATUS=OR","EQY_CONSOLIDATED=Y","Sort=A","Dates=H","DateFormat=P","Fill=—","Direction=H","UseDPDF=Y")</f>
        <v>#NAME?</v>
      </c>
      <c r="AV267" s="2" t="e">
        <f ca="1">_xll.BDH($C$253,"GEO_GROW_TOT_ASSET","FQ4 2016","FQ4 2016","Currency=INR","Period=FQ","BEST_FPERIOD_OVERRIDE=FQ","FILING_STATUS=OR","EQY_CONSOLIDATED=Y","Sort=A","Dates=H","DateFormat=P","Fill=—","Direction=H","UseDPDF=Y")</f>
        <v>#NAME?</v>
      </c>
      <c r="AW267" s="2" t="e">
        <f ca="1">_xll.BDH($C$253,"MODIFIED_WORKING_CPTL_5YR_GRWTH","FQ4 2016","FQ4 2016","Currency=INR","Period=FQ","BEST_FPERIOD_OVERRIDE=FQ","FILING_STATUS=OR","EQY_CONSOLIDATED=Y","Sort=A","Dates=H","DateFormat=P","Fill=—","Direction=H","UseDPDF=Y")</f>
        <v>#NAME?</v>
      </c>
      <c r="AX267" s="2" t="e">
        <f ca="1">_xll.BDH($C$253,"WORKING_CAPITAL_5_YEAR_GROWTH","FQ4 2016","FQ4 2016","Currency=INR","Period=FQ","BEST_FPERIOD_OVERRIDE=FQ","FILING_STATUS=OR","EQY_CONSOLIDATED=Y","Sort=A","Dates=H","DateFormat=P","Fill=—","Direction=H","UseDPDF=Y")</f>
        <v>#NAME?</v>
      </c>
      <c r="AY267" s="2" t="e">
        <f ca="1">_xll.BDH($C$253,"ACCOUNTS_PAYABLE_5_YEAR_GROWTH","FQ4 2016","FQ4 2016","Currency=INR","Period=FQ","BEST_FPERIOD_OVERRIDE=FQ","FILING_STATUS=OR","EQY_CONSOLIDATED=Y","Sort=A","Dates=H","DateFormat=P","Fill=—","Direction=H","UseDPDF=Y")</f>
        <v>#NAME?</v>
      </c>
      <c r="AZ267" s="2" t="e">
        <f ca="1">_xll.BDH($C$253,"SHORT_TERM_DEBT_5_YEAR_GROWTH","FQ4 2016","FQ4 2016","Currency=INR","Period=FQ","BEST_FPERIOD_OVERRIDE=FQ","FILING_STATUS=OR","EQY_CONSOLIDATED=Y","Sort=A","Dates=H","DateFormat=P","Fill=—","Direction=H","UseDPDF=Y")</f>
        <v>#NAME?</v>
      </c>
      <c r="BA267" s="2" t="e">
        <f ca="1">_xll.BDH($C$253,"TOTAL_DEBT_5_YEAR_GROWTH","FQ4 2016","FQ4 2016","Currency=INR","Period=FQ","BEST_FPERIOD_OVERRIDE=FQ","FILING_STATUS=OR","EQY_CONSOLIDATED=Y","Sort=A","Dates=H","DateFormat=P","Fill=—","Direction=H","UseDPDF=Y")</f>
        <v>#NAME?</v>
      </c>
      <c r="BB267" s="2" t="e">
        <f ca="1">_xll.BDH($C$253,"GEO_GROW_TOT_SHRHLDR_EQY","FQ4 2016","FQ4 2016","Currency=INR","Period=FQ","BEST_FPERIOD_OVERRIDE=FQ","FILING_STATUS=OR","EQY_CONSOLIDATED=Y","Sort=A","Dates=H","DateFormat=P","Fill=—","Direction=H","UseDPDF=Y")</f>
        <v>#NAME?</v>
      </c>
      <c r="BC267" s="2" t="e">
        <f ca="1">_xll.BDH($C$253,"TOTAL_CAPITAL_5_YEAR_GROWTH","FQ4 2016","FQ4 2016","Currency=INR","Period=FQ","BEST_FPERIOD_OVERRIDE=FQ","FILING_STATUS=OR","EQY_CONSOLIDATED=Y","Sort=A","Dates=H","DateFormat=P","Fill=—","Direction=H","UseDPDF=Y")</f>
        <v>#NAME?</v>
      </c>
      <c r="BD267" s="2" t="e">
        <f ca="1">_xll.BDH($C$253,"GEO_GROW_BOOK_VAL","FQ4 2016","FQ4 2016","Currency=INR","Period=FQ","BEST_FPERIOD_OVERRIDE=FQ","FILING_STATUS=OR","EQY_CONSOLIDATED=Y","Sort=A","Dates=H","DateFormat=P","Fill=—","Direction=H","UseDPDF=Y")</f>
        <v>#NAME?</v>
      </c>
      <c r="BE267" s="2" t="e">
        <f ca="1">_xll.BDH($C$253,"GEO_GROW_CASH_OPER_ACT","FQ4 2016","FQ4 2016","Currency=INR","Period=FQ","BEST_FPERIOD_OVERRIDE=FQ","FILING_STATUS=OR","EQY_CONSOLIDATED=Y","Sort=A","Dates=H","DateFormat=P","Fill=—","Direction=H","UseDPDF=Y")</f>
        <v>#NAME?</v>
      </c>
      <c r="BF267" s="2" t="e">
        <f ca="1">_xll.BDH($C$253,"REVENUE_SEQUENTIAL_GROWTH","FQ4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67" s="2" t="e">
        <f ca="1">_xll.BDH($C$253,"EBITDA_SEQUENTIAL_GROWTH","FQ4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67" s="2" t="e">
        <f ca="1">_xll.BDH($C$253,"OPERATING_INCOME_SEQ_GROWTH","FQ4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67" s="2" t="e">
        <f ca="1">_xll.BDH($C$253,"NET_INCOME_TO_COMMON_SEQ_GROWTH","FQ4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67" s="2" t="e">
        <f ca="1">_xll.BDH($C$253,"EPS_DILUTED_SEQUENTIAL_GROWTH","FQ4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67" s="2" t="e">
        <f ca="1">_xll.BDH($C$253,"DPS_SEQUENTIAL_GROWTH","FQ4 2016","FQ4 2016","Currency=INR","Period=FQ","BEST_FPERIOD_OVERRIDE=FQ","FILING_STATUS=OR","EQY_CONSOLIDATED=Y","Sort=A","Dates=H","DateFormat=P","Fill=—","Direction=H","UseDPDF=Y")</f>
        <v>#NAME?</v>
      </c>
      <c r="BL267" s="2" t="e">
        <f ca="1">_xll.BDH($C$253,"ACCOUNTS_RECEIVABLE_SEQ_GROWTH","FQ4 2016","FQ4 2016","Currency=INR","Period=FQ","BEST_FPERIOD_OVERRIDE=FQ","FILING_STATUS=OR","EQY_CONSOLIDATED=Y","Sort=A","Dates=H","DateFormat=P","Fill=—","Direction=H","UseDPDF=Y")</f>
        <v>#NAME?</v>
      </c>
      <c r="BM267" s="2" t="e">
        <f ca="1">_xll.BDH($C$253,"INVENTORY_SEQUENTIAL_GROWTH","FQ4 2016","FQ4 2016","Currency=INR","Period=FQ","BEST_FPERIOD_OVERRIDE=FQ","FILING_STATUS=OR","EQY_CONSOLIDATED=Y","Sort=A","Dates=H","DateFormat=P","Fill=—","Direction=H","UseDPDF=Y")</f>
        <v>#NAME?</v>
      </c>
      <c r="BN267" s="2" t="e">
        <f ca="1">_xll.BDH($C$253,"FIXED_ASSETS_SEQUENTIAL_GROWTH","FQ4 2016","FQ4 2016","Currency=INR","Period=FQ","BEST_FPERIOD_OVERRIDE=FQ","FILING_STATUS=OR","EQY_CONSOLIDATED=Y","Sort=A","Dates=H","DateFormat=P","Fill=—","Direction=H","UseDPDF=Y")</f>
        <v>#NAME?</v>
      </c>
      <c r="BO267" s="2" t="e">
        <f ca="1">_xll.BDH($C$253,"TOTAL_ASSETS_SEQUENTIAL_GROWTH","FQ4 2016","FQ4 2016","Currency=INR","Period=FQ","BEST_FPERIOD_OVERRIDE=FQ","FILING_STATUS=OR","EQY_CONSOLIDATED=Y","Sort=A","Dates=H","DateFormat=P","Fill=—","Direction=H","UseDPDF=Y")</f>
        <v>#NAME?</v>
      </c>
      <c r="BP267" s="2" t="e">
        <f ca="1">_xll.BDH($C$253,"MODIFIED_WORKING_CPTL_SEQ_GRWTH","FQ4 2016","FQ4 2016","Currency=INR","Period=FQ","BEST_FPERIOD_OVERRIDE=FQ","FILING_STATUS=OR","EQY_CONSOLIDATED=Y","Sort=A","Dates=H","DateFormat=P","Fill=—","Direction=H","UseDPDF=Y")</f>
        <v>#NAME?</v>
      </c>
      <c r="BQ267" s="2" t="e">
        <f ca="1">_xll.BDH($C$253,"WORKING_CAPITAL_SEQ_GROWTH","FQ4 2016","FQ4 2016","Currency=INR","Period=FQ","BEST_FPERIOD_OVERRIDE=FQ","FILING_STATUS=OR","EQY_CONSOLIDATED=Y","Sort=A","Dates=H","DateFormat=P","Fill=—","Direction=H","UseDPDF=Y")</f>
        <v>#NAME?</v>
      </c>
      <c r="BR267" s="2" t="e">
        <f ca="1">_xll.BDH($C$253,"ACCOUNTS_PAYABLE_SEQ_GROWTH","FQ4 2016","FQ4 2016","Currency=INR","Period=FQ","BEST_FPERIOD_OVERRIDE=FQ","FILING_STATUS=OR","EQY_CONSOLIDATED=Y","Sort=A","Dates=H","DateFormat=P","Fill=—","Direction=H","UseDPDF=Y")</f>
        <v>#NAME?</v>
      </c>
      <c r="BS267" s="2" t="e">
        <f ca="1">_xll.BDH($C$253,"ST_DEBT_SEQUENTIAL_GROWTH","FQ4 2016","FQ4 2016","Currency=INR","Period=FQ","BEST_FPERIOD_OVERRIDE=FQ","FILING_STATUS=OR","EQY_CONSOLIDATED=Y","Sort=A","Dates=H","DateFormat=P","Fill=—","Direction=H","UseDPDF=Y")</f>
        <v>#NAME?</v>
      </c>
      <c r="BT267" s="2" t="e">
        <f ca="1">_xll.BDH($C$253,"TOTAL_DEBT_SEQUENTIAL_GROWTH","FQ4 2016","FQ4 2016","Currency=INR","Period=FQ","BEST_FPERIOD_OVERRIDE=FQ","FILING_STATUS=OR","EQY_CONSOLIDATED=Y","Sort=A","Dates=H","DateFormat=P","Fill=—","Direction=H","UseDPDF=Y")</f>
        <v>#NAME?</v>
      </c>
      <c r="BU267" s="2" t="e">
        <f ca="1">_xll.BDH($C$253,"TOTAL_EQUITY_SEQUENTIAL_GROWTH","FQ4 2016","FQ4 2016","Currency=INR","Period=FQ","BEST_FPERIOD_OVERRIDE=FQ","FILING_STATUS=OR","EQY_CONSOLIDATED=Y","Sort=A","Dates=H","DateFormat=P","Fill=—","Direction=H","UseDPDF=Y")</f>
        <v>#NAME?</v>
      </c>
      <c r="BV267" s="2" t="e">
        <f ca="1">_xll.BDH($C$253,"TOTAL_CAPITAL_SEQUENTIAL_GROWTH","FQ4 2016","FQ4 2016","Currency=INR","Period=FQ","BEST_FPERIOD_OVERRIDE=FQ","FILING_STATUS=OR","EQY_CONSOLIDATED=Y","Sort=A","Dates=H","DateFormat=P","Fill=—","Direction=H","UseDPDF=Y")</f>
        <v>#NAME?</v>
      </c>
      <c r="BW267" s="2" t="e">
        <f ca="1">_xll.BDH($C$253,"BPS_SEQUENTIAL_GROWTH","FQ4 2016","FQ4 2016","Currency=INR","Period=FQ","BEST_FPERIOD_OVERRIDE=FQ","FILING_STATUS=OR","EQY_CONSOLIDATED=Y","Sort=A","Dates=H","DateFormat=P","Fill=—","Direction=H","UseDPDF=Y")</f>
        <v>#NAME?</v>
      </c>
      <c r="BX267" s="2" t="e">
        <f ca="1">_xll.BDH($C$253,"CFO_SEQUENTIAL_GROWTH","FQ4 2016","FQ4 2016","Currency=INR","Period=FQ","BEST_FPERIOD_OVERRIDE=FQ","FILING_STATUS=OR","EQY_CONSOLIDATED=Y","Sort=A","Dates=H","DateFormat=P","Fill=—","Direction=H","UseDPDF=Y")</f>
        <v>#NAME?</v>
      </c>
      <c r="BY267" s="3" t="e">
        <f ca="1">_xll.BDH($C$253,"SHORT_AND_LONG_TERM_DEBT","FQ4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67" s="3" t="e">
        <f ca="1">_xll.BDH($C$253,"BS_ST_BORROW","FQ4 2016","FQ4 2016","Currency=INR","Period=FQ","BEST_FPERIOD_OVERRIDE=FQ","FILING_STATUS=OR","EQY_CONSOLIDATED=Y","SCALING_FORMAT=MLN","Sort=A","Dates=H","DateFormat=P","Fill=—","Direction=H","UseDPDF=Y")</f>
        <v>#NAME?</v>
      </c>
      <c r="CA267" s="3" t="e">
        <f ca="1">_xll.BDH($C$253,"BS_LT_BORROW","FQ4 2016","FQ4 2016","Currency=INR","Period=FQ","BEST_FPERIOD_OVERRIDE=FQ","FILING_STATUS=OR","EQY_CONSOLIDATED=Y","SCALING_FORMAT=MLN","Sort=A","Dates=H","DateFormat=P","Fill=—","Direction=H","UseDPDF=Y")</f>
        <v>#NAME?</v>
      </c>
      <c r="CB267" s="2" t="e">
        <f ca="1">_xll.BDH($C$253,"TOT_DEBT_TO_EBITDA","FQ4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67" s="2" t="e">
        <f ca="1">_xll.BDH($C$253,"NET_DEBT_TO_EBITDA","FQ4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67" s="2" t="e">
        <f ca="1">_xll.BDH($C$253,"TOTAL_DEBT_TO_EBIT","FQ4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67" s="2" t="e">
        <f ca="1">_xll.BDH($C$253,"NET_DEBT_TO_EBIT","FQ4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267" s="2" t="e">
        <f ca="1">_xll.BDH($C$253,"EBITDA_TO_INTEREST_EXPN","FQ4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67" s="2" t="e">
        <f ca="1">_xll.BDH($C$253,"COM_EQY_TO_TOT_ASSET","FQ4 2016","FQ4 2016","Currency=INR","Period=FQ","BEST_FPERIOD_OVERRIDE=FQ","FILING_STATUS=OR","EQY_CONSOLIDATED=Y","Sort=A","Dates=H","DateFormat=P","Fill=—","Direction=H","UseDPDF=Y")</f>
        <v>#NAME?</v>
      </c>
      <c r="CH267" s="2" t="e">
        <f ca="1">_xll.BDH($C$253,"LT_DEBT_TO_TOT_EQY","FQ4 2016","FQ4 2016","Currency=INR","Period=FQ","BEST_FPERIOD_OVERRIDE=FQ","FILING_STATUS=OR","EQY_CONSOLIDATED=Y","Sort=A","Dates=H","DateFormat=P","Fill=—","Direction=H","UseDPDF=Y")</f>
        <v>#NAME?</v>
      </c>
      <c r="CI267" s="2" t="e">
        <f ca="1">_xll.BDH($C$253,"LT_DEBT_TO_TOT_CAP","FQ4 2016","FQ4 2016","Currency=INR","Period=FQ","BEST_FPERIOD_OVERRIDE=FQ","FILING_STATUS=OR","EQY_CONSOLIDATED=Y","Sort=A","Dates=H","DateFormat=P","Fill=—","Direction=H","UseDPDF=Y")</f>
        <v>#NAME?</v>
      </c>
      <c r="CJ267" s="2" t="e">
        <f ca="1">_xll.BDH($C$253,"LT_DEBT_TO_TOT_ASSET","FQ4 2016","FQ4 2016","Currency=INR","Period=FQ","BEST_FPERIOD_OVERRIDE=FQ","FILING_STATUS=OR","EQY_CONSOLIDATED=Y","Sort=A","Dates=H","DateFormat=P","Fill=—","Direction=H","UseDPDF=Y")</f>
        <v>#NAME?</v>
      </c>
      <c r="CK267" s="2" t="e">
        <f ca="1">_xll.BDH($C$253,"TOT_DEBT_TO_TOT_EQY","FQ4 2016","FQ4 2016","Currency=INR","Period=FQ","BEST_FPERIOD_OVERRIDE=FQ","FILING_STATUS=OR","EQY_CONSOLIDATED=Y","Sort=A","Dates=H","DateFormat=P","Fill=—","Direction=H","UseDPDF=Y")</f>
        <v>#NAME?</v>
      </c>
      <c r="CL267" s="2" t="e">
        <f ca="1">_xll.BDH($C$253,"TOT_DEBT_TO_TOT_CAP","FQ4 2016","FQ4 2016","Currency=INR","Period=FQ","BEST_FPERIOD_OVERRIDE=FQ","FILING_STATUS=OR","EQY_CONSOLIDATED=Y","Sort=A","Dates=H","DateFormat=P","Fill=—","Direction=H","UseDPDF=Y")</f>
        <v>#NAME?</v>
      </c>
      <c r="CM267" s="2" t="e">
        <f ca="1">_xll.BDH($C$253,"TOT_DEBT_TO_TOT_ASSET","FQ4 2016","FQ4 2016","Currency=INR","Period=FQ","BEST_FPERIOD_OVERRIDE=FQ","FILING_STATUS=OR","EQY_CONSOLIDATED=Y","Sort=A","Dates=H","DateFormat=P","Fill=—","Direction=H","UseDPDF=Y")</f>
        <v>#NAME?</v>
      </c>
      <c r="CN267" s="2" t="e">
        <f ca="1">_xll.BDH($C$253,"NET_DEBT_TO_SHRHLDR_EQTY","FQ4 2016","FQ4 2016","Currency=INR","Period=FQ","BEST_FPERIOD_OVERRIDE=FQ","FILING_STATUS=OR","EQY_CONSOLIDATED=Y","Sort=A","Dates=H","DateFormat=P","Fill=—","Direction=H","UseDPDF=Y")</f>
        <v>#NAME?</v>
      </c>
      <c r="CO267" s="2" t="e">
        <f ca="1">_xll.BDH($C$253,"NET_DEBT_%_CAPITAL","FQ4 2016","FQ4 2016","Currency=INR","Period=FQ","BEST_FPERIOD_OVERRIDE=FQ","FILING_STATUS=OR","EQY_CONSOLIDATED=Y","Sort=A","Dates=H","DateFormat=P","Fill=—","Direction=H","UseDPDF=Y")</f>
        <v>#NAME?</v>
      </c>
      <c r="CP267" s="3" t="e">
        <f ca="1">_xll.BDH($C$253,"EBITDA","FQ4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67" s="3" t="e">
        <f ca="1">_xll.BDH($C$253,"EBITDA_AFTER_CAPEX","FQ4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67" s="3" t="e">
        <f ca="1">_xll.BDH($C$253,"IS_OPER_INC","FQ4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67" s="2" t="e">
        <f ca="1">_xll.BDH($C$253,"CASH_RATIO","FQ4 2016","FQ4 2016","Currency=INR","Period=FQ","BEST_FPERIOD_OVERRIDE=FQ","FILING_STATUS=OR","EQY_CONSOLIDATED=Y","Sort=A","Dates=H","DateFormat=P","Fill=—","Direction=H","UseDPDF=Y")</f>
        <v>#NAME?</v>
      </c>
      <c r="CT267" s="2" t="e">
        <f ca="1">_xll.BDH($C$253,"CUR_RATIO","FQ4 2016","FQ4 2016","Currency=INR","Period=FQ","BEST_FPERIOD_OVERRIDE=FQ","FILING_STATUS=OR","EQY_CONSOLIDATED=Y","Sort=A","Dates=H","DateFormat=P","Fill=—","Direction=H","UseDPDF=Y")</f>
        <v>#NAME?</v>
      </c>
      <c r="CU267" s="2" t="e">
        <f ca="1">_xll.BDH($C$253,"QUICK_RATIO","FQ4 2016","FQ4 2016","Currency=INR","Period=FQ","BEST_FPERIOD_OVERRIDE=FQ","FILING_STATUS=OR","EQY_CONSOLIDATED=Y","Sort=A","Dates=H","DateFormat=P","Fill=—","Direction=H","UseDPDF=Y")</f>
        <v>#NAME?</v>
      </c>
      <c r="CV267" s="2" t="e">
        <f ca="1">_xll.BDH($C$253,"ALTMAN_Z_SCORE","FQ4 2016","FQ4 2016","Currency=INR","Period=FQ","BEST_FPERIOD_OVERRIDE=FQ","FILING_STATUS=OR","EQY_CONSOLIDATED=Y","Sort=A","Dates=H","DateFormat=P","Fill=—","Direction=H","UseDPDF=Y")</f>
        <v>#NAME?</v>
      </c>
      <c r="CW267" s="4" t="e">
        <f ca="1">_xll.BDH($C$253,"ACCT_RCV_TURN","FQ4 2016","FQ4 2016","Currency=INR","Period=FQ","BEST_FPERIOD_OVERRIDE=FQ","FILING_STATUS=OR","EQY_CONSOLIDATED=Y","FA_ADJUSTED=GAAP","Sort=A","Dates=H","DateFormat=P","Fill=—","Direction=H","UseDPDF=Y")</f>
        <v>#NAME?</v>
      </c>
      <c r="CX267" s="2" t="e">
        <f ca="1">_xll.BDH($C$253,"ACCT_RCV_DAYS","FQ4 2016","FQ4 2016","Currency=INR","Period=FQ","BEST_FPERIOD_OVERRIDE=FQ","FILING_STATUS=OR","EQY_CONSOLIDATED=Y","FA_ADJUSTED=GAAP","Sort=A","Dates=H","DateFormat=P","Fill=—","Direction=H","UseDPDF=Y")</f>
        <v>#NAME?</v>
      </c>
      <c r="CY267" s="4" t="e">
        <f ca="1">_xll.BDH($C$253,"INVENT_TURN","FQ4 2016","FQ4 2016","Currency=INR","Period=FQ","BEST_FPERIOD_OVERRIDE=FQ","FILING_STATUS=OR","EQY_CONSOLIDATED=Y","FA_ADJUSTED=GAAP","Sort=A","Dates=H","DateFormat=P","Fill=—","Direction=H","UseDPDF=Y")</f>
        <v>#NAME?</v>
      </c>
      <c r="CZ267" s="2" t="e">
        <f ca="1">_xll.BDH($C$253,"INVENT_DAYS","FQ4 2016","FQ4 2016","Currency=INR","Period=FQ","BEST_FPERIOD_OVERRIDE=FQ","FILING_STATUS=OR","EQY_CONSOLIDATED=Y","FA_ADJUSTED=GAAP","Sort=A","Dates=H","DateFormat=P","Fill=—","Direction=H","UseDPDF=Y")</f>
        <v>#NAME?</v>
      </c>
      <c r="DA267" s="4" t="e">
        <f ca="1">_xll.BDH($C$253,"ACCOUNTS_PAYABLE_TURNOVER","FQ4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67" s="2" t="e">
        <f ca="1">_xll.BDH($C$253,"ACCOUNTS_PAYABLE_TURNOVER_DAYS","FQ4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67" s="4" t="e">
        <f ca="1">_xll.BDH($C$253,"CASH_CONVERSION_CYCLE","FQ4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67" s="4" t="e">
        <f ca="1">_xll.BDH($C$253,"INV_TO_CASH_DAYS","FQ4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267" s="5" t="e">
        <f ca="1">_xll.BDH($C$253,"BS_INVENTORIES","FQ4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267" s="3" t="e">
        <f ca="1">_xll.BDH($C$253,"INVTRY_RAW_MATERIALS","FQ4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67" s="3" t="e">
        <f ca="1">_xll.BDH($C$253,"INVTRY_IN_PROGRESS","FQ4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67" s="3" t="e">
        <f ca="1">_xll.BDH($C$253,"INVTRY_FINISHED_GOODS","FQ4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67" s="3" t="e">
        <f ca="1">_xll.BDH($C$253,"BS_OTHER_INV","FQ4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68" spans="1:113" x14ac:dyDescent="0.3">
      <c r="A268" s="6"/>
      <c r="B268" s="6"/>
      <c r="C268" s="6"/>
      <c r="D268" s="6" t="s">
        <v>84</v>
      </c>
      <c r="E268" t="s">
        <v>77</v>
      </c>
      <c r="F268" t="e">
        <f ca="1">_xll.BDH($C$253,"RETURN_COM_EQY","FY 2017","FY 2017","Currency=INR","Period=FY","BEST_FPERIOD_OVERRIDE=FY","FILING_STATUS=OR","EQY_CONSOLIDATED=Y","FA_ADJUSTED=GAAP","Sort=A","Dates=H","DateFormat=P","Fill=—","Direction=H","UseDPDF=Y")</f>
        <v>#NAME?</v>
      </c>
      <c r="G268" t="e">
        <f ca="1">_xll.BDH($C$253,"RETURN_ON_ASSET","FY 2017","FY 2017","Currency=INR","Period=FY","BEST_FPERIOD_OVERRIDE=FY","FILING_STATUS=OR","EQY_CONSOLIDATED=Y","FA_ADJUSTED=GAAP","Sort=A","Dates=H","DateFormat=P","Fill=—","Direction=H","UseDPDF=Y")</f>
        <v>#NAME?</v>
      </c>
      <c r="H268" t="e">
        <f ca="1">_xll.BDH($C$253,"RETURN_ON_CAP","FY 2017","FY 2017","Currency=INR","Period=FY","BEST_FPERIOD_OVERRIDE=FY","FILING_STATUS=OR","EQY_CONSOLIDATED=Y","FA_ADJUSTED=GAAP","Sort=A","Dates=H","DateFormat=P","Fill=—","Direction=H","UseDPDF=Y")</f>
        <v>#NAME?</v>
      </c>
      <c r="I268" t="e">
        <f ca="1">_xll.BDH($C$253,"RETURN_ON_INV_CAPITAL","FY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68" t="e">
        <f ca="1">_xll.BDH($C$253,"EBITDA_TO_REVENUE","FY 2017","FY 2017","Currency=INR","Period=FY","BEST_FPERIOD_OVERRIDE=FY","FILING_STATUS=OR","EQY_CONSOLIDATED=Y","FA_ADJUSTED=GAAP","Sort=A","Dates=H","DateFormat=P","Fill=—","Direction=H","UseDPDF=Y")</f>
        <v>#NAME?</v>
      </c>
      <c r="K268" t="e">
        <f ca="1">_xll.BDH($C$253,"OPER_MARGIN","FY 2017","FY 2017","Currency=INR","Period=FY","BEST_FPERIOD_OVERRIDE=FY","FILING_STATUS=OR","EQY_CONSOLIDATED=Y","FA_ADJUSTED=GAAP","Sort=A","Dates=H","DateFormat=P","Fill=—","Direction=H","UseDPDF=Y")</f>
        <v>#NAME?</v>
      </c>
      <c r="L268" t="e">
        <f ca="1">_xll.BDH($C$253,"INCREMENTAL_OPERATING_MARGIN","FY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68" t="e">
        <f ca="1">_xll.BDH($C$253,"PRETAX_INC_TO_NET_SALES","FY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68" t="e">
        <f ca="1">_xll.BDH($C$253,"INC_BEF_XO_ITEMS_TO_NET_SALES","FY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68" t="e">
        <f ca="1">_xll.BDH($C$253,"PROF_MARGIN","FY 2017","FY 2017","Currency=INR","Period=FY","BEST_FPERIOD_OVERRIDE=FY","FILING_STATUS=OR","EQY_CONSOLIDATED=Y","FA_ADJUSTED=GAAP","Sort=A","Dates=H","DateFormat=P","Fill=—","Direction=H","UseDPDF=Y")</f>
        <v>#NAME?</v>
      </c>
      <c r="P268" t="e">
        <f ca="1">_xll.BDH($C$253,"NET_INCOME_TO_COMMON_MARGIN","FY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68" t="e">
        <f ca="1">_xll.BDH($C$253,"EFF_TAX_RATE","FY 2017","FY 2017","Currency=INR","Period=FY","BEST_FPERIOD_OVERRIDE=FY","FILING_STATUS=OR","EQY_CONSOLIDATED=Y","FA_ADJUSTED=GAAP","Sort=A","Dates=H","DateFormat=P","Fill=—","Direction=H","UseDPDF=Y")</f>
        <v>#NAME?</v>
      </c>
      <c r="R268" t="e">
        <f ca="1">_xll.BDH($C$253,"DVD_PAYOUT_RATIO","FY 2017","FY 2017","Currency=INR","Period=FY","BEST_FPERIOD_OVERRIDE=FY","FILING_STATUS=OR","EQY_CONSOLIDATED=Y","FA_ADJUSTED=GAAP","Sort=A","Dates=H","DateFormat=P","Fill=—","Direction=H","UseDPDF=Y")</f>
        <v>#NAME?</v>
      </c>
      <c r="S268" t="e">
        <f ca="1">_xll.BDH($C$253,"SUSTAIN_GROWTH_RT","FY 2017","FY 2017","Currency=INR","Period=FY","BEST_FPERIOD_OVERRIDE=FY","FILING_STATUS=OR","EQY_CONSOLIDATED=Y","FA_ADJUSTED=GAAP","Sort=A","Dates=H","DateFormat=P","Fill=—","Direction=H","UseDPDF=Y")</f>
        <v>#NAME?</v>
      </c>
      <c r="T268" s="2" t="e">
        <f ca="1">_xll.BDH($C$253,"SALES_GROWTH","FY 2017","FY 2017","Currency=INR","Period=FY","BEST_FPERIOD_OVERRIDE=FY","FILING_STATUS=OR","EQY_CONSOLIDATED=Y","FA_ADJUSTED=GAAP","Sort=A","Dates=H","DateFormat=P","Fill=—","Direction=H","UseDPDF=Y")</f>
        <v>#NAME?</v>
      </c>
      <c r="U268" s="2" t="e">
        <f ca="1">_xll.BDH($C$253,"EBITDA_GROWTH","FY 2017","FY 2017","Currency=INR","Period=FY","BEST_FPERIOD_OVERRIDE=FY","FILING_STATUS=OR","EQY_CONSOLIDATED=Y","FA_ADJUSTED=GAAP","Sort=A","Dates=H","DateFormat=P","Fill=—","Direction=H","UseDPDF=Y")</f>
        <v>#NAME?</v>
      </c>
      <c r="V268" s="2" t="e">
        <f ca="1">_xll.BDH($C$253,"OPER_INC_GROWTH","FY 2017","FY 2017","Currency=INR","Period=FY","BEST_FPERIOD_OVERRIDE=FY","FILING_STATUS=OR","EQY_CONSOLIDATED=Y","FA_ADJUSTED=GAAP","Sort=A","Dates=H","DateFormat=P","Fill=—","Direction=H","UseDPDF=Y")</f>
        <v>#NAME?</v>
      </c>
      <c r="W268" s="2" t="e">
        <f ca="1">_xll.BDH($C$253,"EARN_FOR_COM_GROWTH","FY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268" s="2" t="e">
        <f ca="1">_xll.BDH($C$253,"DILUTED_EPS_AFT_XO_ITEMS_GROWTH","FY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68" s="2" t="e">
        <f ca="1">_xll.BDH($C$253,"DIVIDEND_PER_SHARE_1_YEAR_GROWTH","FY 2017","FY 2017","Currency=INR","Period=FY","BEST_FPERIOD_OVERRIDE=FY","FILING_STATUS=OR","EQY_CONSOLIDATED=Y","Sort=A","Dates=H","DateFormat=P","Fill=—","Direction=H","UseDPDF=Y")</f>
        <v>#NAME?</v>
      </c>
      <c r="Z268" s="2" t="e">
        <f ca="1">_xll.BDH($C$253,"ACCOUNTS_RECEIVABLE_GROWTH","FY 2017","FY 2017","Currency=INR","Period=FY","BEST_FPERIOD_OVERRIDE=FY","FILING_STATUS=OR","EQY_CONSOLIDATED=Y","Sort=A","Dates=H","DateFormat=P","Fill=—","Direction=H","UseDPDF=Y")</f>
        <v>#NAME?</v>
      </c>
      <c r="AA268" s="2" t="e">
        <f ca="1">_xll.BDH($C$253,"INVENTORY_GROWTH","FY 2017","FY 2017","Currency=INR","Period=FY","BEST_FPERIOD_OVERRIDE=FY","FILING_STATUS=OR","EQY_CONSOLIDATED=Y","Sort=A","Dates=H","DateFormat=P","Fill=—","Direction=H","UseDPDF=Y")</f>
        <v>#NAME?</v>
      </c>
      <c r="AB268" s="2" t="e">
        <f ca="1">_xll.BDH($C$253,"NET_FIXED_ASSETS_1_YEAR_GROWTH","FY 2017","FY 2017","Currency=INR","Period=FY","BEST_FPERIOD_OVERRIDE=FY","FILING_STATUS=OR","EQY_CONSOLIDATED=Y","Sort=A","Dates=H","DateFormat=P","Fill=—","Direction=H","UseDPDF=Y")</f>
        <v>#NAME?</v>
      </c>
      <c r="AC268" s="2" t="e">
        <f ca="1">_xll.BDH($C$253,"ASSET_GROWTH","FY 2017","FY 2017","Currency=INR","Period=FY","BEST_FPERIOD_OVERRIDE=FY","FILING_STATUS=OR","EQY_CONSOLIDATED=Y","Sort=A","Dates=H","DateFormat=P","Fill=—","Direction=H","UseDPDF=Y")</f>
        <v>#NAME?</v>
      </c>
      <c r="AD268" s="2" t="e">
        <f ca="1">_xll.BDH($C$253,"MODIFIED_WORK_CAP_GROWTH","FY 2017","FY 2017","Currency=INR","Period=FY","BEST_FPERIOD_OVERRIDE=FY","FILING_STATUS=OR","EQY_CONSOLIDATED=Y","Sort=A","Dates=H","DateFormat=P","Fill=—","Direction=H","UseDPDF=Y")</f>
        <v>#NAME?</v>
      </c>
      <c r="AE268" s="2" t="e">
        <f ca="1">_xll.BDH($C$253,"WORK_CAP_GROWTH","FY 2017","FY 2017","Currency=INR","Period=FY","BEST_FPERIOD_OVERRIDE=FY","FILING_STATUS=OR","EQY_CONSOLIDATED=Y","Sort=A","Dates=H","DateFormat=P","Fill=—","Direction=H","UseDPDF=Y")</f>
        <v>#NAME?</v>
      </c>
      <c r="AF268" s="2" t="e">
        <f ca="1">_xll.BDH($C$253,"ACCOUNTS_PAYABLE_GROWTH_1YR","FY 2017","FY 2017","Currency=INR","Period=FY","BEST_FPERIOD_OVERRIDE=FY","FILING_STATUS=OR","EQY_CONSOLIDATED=Y","Sort=A","Dates=H","DateFormat=P","Fill=—","Direction=H","UseDPDF=Y")</f>
        <v>#NAME?</v>
      </c>
      <c r="AG268" s="2" t="e">
        <f ca="1">_xll.BDH($C$253,"SHORT_TERM_DEBT_1_YEAR_GROWTH","FY 2017","FY 2017","Currency=INR","Period=FY","BEST_FPERIOD_OVERRIDE=FY","FILING_STATUS=OR","EQY_CONSOLIDATED=Y","Sort=A","Dates=H","DateFormat=P","Fill=—","Direction=H","UseDPDF=Y")</f>
        <v>#NAME?</v>
      </c>
      <c r="AH268" s="2" t="e">
        <f ca="1">_xll.BDH($C$253,"TOTAL_DEBT_1_YEAR_GROWTH","FY 2017","FY 2017","Currency=INR","Period=FY","BEST_FPERIOD_OVERRIDE=FY","FILING_STATUS=OR","EQY_CONSOLIDATED=Y","Sort=A","Dates=H","DateFormat=P","Fill=—","Direction=H","UseDPDF=Y")</f>
        <v>#NAME?</v>
      </c>
      <c r="AI268" s="2" t="e">
        <f ca="1">_xll.BDH($C$253,"TOTAL_EQUITY_1_YEAR_GROWTH","FY 2017","FY 2017","Currency=INR","Period=FY","BEST_FPERIOD_OVERRIDE=FY","FILING_STATUS=OR","EQY_CONSOLIDATED=Y","Sort=A","Dates=H","DateFormat=P","Fill=—","Direction=H","UseDPDF=Y")</f>
        <v>#NAME?</v>
      </c>
      <c r="AJ268" s="2" t="e">
        <f ca="1">_xll.BDH($C$253,"GROWTH_IN_CAP","FY 2017","FY 2017","Currency=INR","Period=FY","BEST_FPERIOD_OVERRIDE=FY","FILING_STATUS=OR","EQY_CONSOLIDATED=Y","Sort=A","Dates=H","DateFormat=P","Fill=—","Direction=H","UseDPDF=Y")</f>
        <v>#NAME?</v>
      </c>
      <c r="AK268" s="2" t="e">
        <f ca="1">_xll.BDH($C$253,"BVPS_GROWTH","FY 2017","FY 2017","Currency=INR","Period=FY","BEST_FPERIOD_OVERRIDE=FY","FILING_STATUS=OR","EQY_CONSOLIDATED=Y","Sort=A","Dates=H","DateFormat=P","Fill=—","Direction=H","UseDPDF=Y")</f>
        <v>#NAME?</v>
      </c>
      <c r="AL268" s="2" t="e">
        <f ca="1">_xll.BDH($C$253,"CASH_FLOW_GROWTH","FY 2017","FY 2017","Currency=INR","Period=FY","BEST_FPERIOD_OVERRIDE=FY","FILING_STATUS=OR","EQY_CONSOLIDATED=Y","Sort=A","Dates=H","DateFormat=P","Fill=—","Direction=H","UseDPDF=Y")</f>
        <v>#NAME?</v>
      </c>
      <c r="AM268" s="2" t="e">
        <f ca="1">_xll.BDH($C$253,"GEO_GROW_NET_SALES","FY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268" s="2" t="e">
        <f ca="1">_xll.BDH($C$253,"GEO_GROW_EBITDA","FY 2017","FY 2017","Currency=INR","Period=FY","BEST_FPERIOD_OVERRIDE=FY","FILING_STATUS=OR","EQY_CONSOLIDATED=Y","FA_ADJUSTED=GAAP","Sort=A","Dates=H","DateFormat=P","Fill=—","Direction=H","UseDPDF=Y")</f>
        <v>#NAME?</v>
      </c>
      <c r="AO268" s="2" t="e">
        <f ca="1">_xll.BDH($C$253,"GEO_GROW_OPER_INC","FY 2017","FY 2017","Currency=INR","Period=FY","BEST_FPERIOD_OVERRIDE=FY","FILING_STATUS=OR","EQY_CONSOLIDATED=Y","FA_ADJUSTED=GAAP","Sort=A","Dates=H","DateFormat=P","Fill=—","Direction=H","UseDPDF=Y")</f>
        <v>#NAME?</v>
      </c>
      <c r="AP268" s="2" t="e">
        <f ca="1">_xll.BDH($C$253,"NET_INCOME_TO_COMMON_5_YR_GROWTH","FY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68" s="2" t="e">
        <f ca="1">_xll.BDH($C$253,"5Y_GEO_GROWTH_DILUTED_EPS","FY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68" s="2" t="e">
        <f ca="1">_xll.BDH($C$253,"GEO_GROW_DVD_PER_SH","FY 2017","FY 2017","Currency=INR","Period=FY","BEST_FPERIOD_OVERRIDE=FY","FILING_STATUS=OR","EQY_CONSOLIDATED=Y","Sort=A","Dates=H","DateFormat=P","Fill=—","Direction=H","UseDPDF=Y")</f>
        <v>#NAME?</v>
      </c>
      <c r="AS268" s="2" t="e">
        <f ca="1">_xll.BDH($C$253,"ACCOUNTS_RECEIVABLE_5_YR_GROWTH","FY 2017","FY 2017","Currency=INR","Period=FY","BEST_FPERIOD_OVERRIDE=FY","FILING_STATUS=OR","EQY_CONSOLIDATED=Y","Sort=A","Dates=H","DateFormat=P","Fill=—","Direction=H","UseDPDF=Y")</f>
        <v>#NAME?</v>
      </c>
      <c r="AT268" s="2" t="e">
        <f ca="1">_xll.BDH($C$253,"INVENTORY_5_YEAR_GROWTH","FY 2017","FY 2017","Currency=INR","Period=FY","BEST_FPERIOD_OVERRIDE=FY","FILING_STATUS=OR","EQY_CONSOLIDATED=Y","Sort=A","Dates=H","DateFormat=P","Fill=—","Direction=H","UseDPDF=Y")</f>
        <v>#NAME?</v>
      </c>
      <c r="AU268" s="2" t="e">
        <f ca="1">_xll.BDH($C$253,"NET_FIXED_ASSETS_5_YEAR_GROWTH","FY 2017","FY 2017","Currency=INR","Period=FY","BEST_FPERIOD_OVERRIDE=FY","FILING_STATUS=OR","EQY_CONSOLIDATED=Y","Sort=A","Dates=H","DateFormat=P","Fill=—","Direction=H","UseDPDF=Y")</f>
        <v>#NAME?</v>
      </c>
      <c r="AV268" s="2" t="e">
        <f ca="1">_xll.BDH($C$253,"GEO_GROW_TOT_ASSET","FY 2017","FY 2017","Currency=INR","Period=FY","BEST_FPERIOD_OVERRIDE=FY","FILING_STATUS=OR","EQY_CONSOLIDATED=Y","Sort=A","Dates=H","DateFormat=P","Fill=—","Direction=H","UseDPDF=Y")</f>
        <v>#NAME?</v>
      </c>
      <c r="AW268" s="2" t="e">
        <f ca="1">_xll.BDH($C$253,"MODIFIED_WORKING_CPTL_5YR_GRWTH","FY 2017","FY 2017","Currency=INR","Period=FY","BEST_FPERIOD_OVERRIDE=FY","FILING_STATUS=OR","EQY_CONSOLIDATED=Y","Sort=A","Dates=H","DateFormat=P","Fill=—","Direction=H","UseDPDF=Y")</f>
        <v>#NAME?</v>
      </c>
      <c r="AX268" s="2" t="e">
        <f ca="1">_xll.BDH($C$253,"WORKING_CAPITAL_5_YEAR_GROWTH","FY 2017","FY 2017","Currency=INR","Period=FY","BEST_FPERIOD_OVERRIDE=FY","FILING_STATUS=OR","EQY_CONSOLIDATED=Y","Sort=A","Dates=H","DateFormat=P","Fill=—","Direction=H","UseDPDF=Y")</f>
        <v>#NAME?</v>
      </c>
      <c r="AY268" s="2" t="e">
        <f ca="1">_xll.BDH($C$253,"ACCOUNTS_PAYABLE_5_YEAR_GROWTH","FY 2017","FY 2017","Currency=INR","Period=FY","BEST_FPERIOD_OVERRIDE=FY","FILING_STATUS=OR","EQY_CONSOLIDATED=Y","Sort=A","Dates=H","DateFormat=P","Fill=—","Direction=H","UseDPDF=Y")</f>
        <v>#NAME?</v>
      </c>
      <c r="AZ268" s="2" t="e">
        <f ca="1">_xll.BDH($C$253,"SHORT_TERM_DEBT_5_YEAR_GROWTH","FY 2017","FY 2017","Currency=INR","Period=FY","BEST_FPERIOD_OVERRIDE=FY","FILING_STATUS=OR","EQY_CONSOLIDATED=Y","Sort=A","Dates=H","DateFormat=P","Fill=—","Direction=H","UseDPDF=Y")</f>
        <v>#NAME?</v>
      </c>
      <c r="BA268" s="2" t="e">
        <f ca="1">_xll.BDH($C$253,"TOTAL_DEBT_5_YEAR_GROWTH","FY 2017","FY 2017","Currency=INR","Period=FY","BEST_FPERIOD_OVERRIDE=FY","FILING_STATUS=OR","EQY_CONSOLIDATED=Y","Sort=A","Dates=H","DateFormat=P","Fill=—","Direction=H","UseDPDF=Y")</f>
        <v>#NAME?</v>
      </c>
      <c r="BB268" s="2" t="e">
        <f ca="1">_xll.BDH($C$253,"GEO_GROW_TOT_SHRHLDR_EQY","FY 2017","FY 2017","Currency=INR","Period=FY","BEST_FPERIOD_OVERRIDE=FY","FILING_STATUS=OR","EQY_CONSOLIDATED=Y","Sort=A","Dates=H","DateFormat=P","Fill=—","Direction=H","UseDPDF=Y")</f>
        <v>#NAME?</v>
      </c>
      <c r="BC268" s="2" t="e">
        <f ca="1">_xll.BDH($C$253,"TOTAL_CAPITAL_5_YEAR_GROWTH","FY 2017","FY 2017","Currency=INR","Period=FY","BEST_FPERIOD_OVERRIDE=FY","FILING_STATUS=OR","EQY_CONSOLIDATED=Y","Sort=A","Dates=H","DateFormat=P","Fill=—","Direction=H","UseDPDF=Y")</f>
        <v>#NAME?</v>
      </c>
      <c r="BD268" s="2" t="e">
        <f ca="1">_xll.BDH($C$253,"GEO_GROW_BOOK_VAL","FY 2017","FY 2017","Currency=INR","Period=FY","BEST_FPERIOD_OVERRIDE=FY","FILING_STATUS=OR","EQY_CONSOLIDATED=Y","Sort=A","Dates=H","DateFormat=P","Fill=—","Direction=H","UseDPDF=Y")</f>
        <v>#NAME?</v>
      </c>
      <c r="BE268" s="2" t="e">
        <f ca="1">_xll.BDH($C$253,"GEO_GROW_CASH_OPER_ACT","FY 2017","FY 2017","Currency=INR","Period=FY","BEST_FPERIOD_OVERRIDE=FY","FILING_STATUS=OR","EQY_CONSOLIDATED=Y","Sort=A","Dates=H","DateFormat=P","Fill=—","Direction=H","UseDPDF=Y")</f>
        <v>#NAME?</v>
      </c>
      <c r="BF268" s="2" t="e">
        <f ca="1">_xll.BDH($C$253,"REVENUE_SEQUENTIAL_GROWTH","FY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68" s="2" t="e">
        <f ca="1">_xll.BDH($C$253,"EBITDA_SEQUENTIAL_GROWTH","FY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68" s="2" t="e">
        <f ca="1">_xll.BDH($C$253,"OPERATING_INCOME_SEQ_GROWTH","FY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68" s="2" t="e">
        <f ca="1">_xll.BDH($C$253,"NET_INCOME_TO_COMMON_SEQ_GROWTH","FY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68" s="2" t="e">
        <f ca="1">_xll.BDH($C$253,"EPS_DILUTED_SEQUENTIAL_GROWTH","FY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68" s="2" t="e">
        <f ca="1">_xll.BDH($C$253,"DPS_SEQUENTIAL_GROWTH","FY 2017","FY 2017","Currency=INR","Period=FY","BEST_FPERIOD_OVERRIDE=FY","FILING_STATUS=OR","EQY_CONSOLIDATED=Y","Sort=A","Dates=H","DateFormat=P","Fill=—","Direction=H","UseDPDF=Y")</f>
        <v>#NAME?</v>
      </c>
      <c r="BL268" s="2" t="e">
        <f ca="1">_xll.BDH($C$253,"ACCOUNTS_RECEIVABLE_SEQ_GROWTH","FY 2017","FY 2017","Currency=INR","Period=FY","BEST_FPERIOD_OVERRIDE=FY","FILING_STATUS=OR","EQY_CONSOLIDATED=Y","Sort=A","Dates=H","DateFormat=P","Fill=—","Direction=H","UseDPDF=Y")</f>
        <v>#NAME?</v>
      </c>
      <c r="BM268" s="2" t="e">
        <f ca="1">_xll.BDH($C$253,"INVENTORY_SEQUENTIAL_GROWTH","FY 2017","FY 2017","Currency=INR","Period=FY","BEST_FPERIOD_OVERRIDE=FY","FILING_STATUS=OR","EQY_CONSOLIDATED=Y","Sort=A","Dates=H","DateFormat=P","Fill=—","Direction=H","UseDPDF=Y")</f>
        <v>#NAME?</v>
      </c>
      <c r="BN268" s="2" t="e">
        <f ca="1">_xll.BDH($C$253,"FIXED_ASSETS_SEQUENTIAL_GROWTH","FY 2017","FY 2017","Currency=INR","Period=FY","BEST_FPERIOD_OVERRIDE=FY","FILING_STATUS=OR","EQY_CONSOLIDATED=Y","Sort=A","Dates=H","DateFormat=P","Fill=—","Direction=H","UseDPDF=Y")</f>
        <v>#NAME?</v>
      </c>
      <c r="BO268" s="2" t="e">
        <f ca="1">_xll.BDH($C$253,"TOTAL_ASSETS_SEQUENTIAL_GROWTH","FY 2017","FY 2017","Currency=INR","Period=FY","BEST_FPERIOD_OVERRIDE=FY","FILING_STATUS=OR","EQY_CONSOLIDATED=Y","Sort=A","Dates=H","DateFormat=P","Fill=—","Direction=H","UseDPDF=Y")</f>
        <v>#NAME?</v>
      </c>
      <c r="BP268" s="2" t="e">
        <f ca="1">_xll.BDH($C$253,"MODIFIED_WORKING_CPTL_SEQ_GRWTH","FY 2017","FY 2017","Currency=INR","Period=FY","BEST_FPERIOD_OVERRIDE=FY","FILING_STATUS=OR","EQY_CONSOLIDATED=Y","Sort=A","Dates=H","DateFormat=P","Fill=—","Direction=H","UseDPDF=Y")</f>
        <v>#NAME?</v>
      </c>
      <c r="BQ268" s="2" t="e">
        <f ca="1">_xll.BDH($C$253,"WORKING_CAPITAL_SEQ_GROWTH","FY 2017","FY 2017","Currency=INR","Period=FY","BEST_FPERIOD_OVERRIDE=FY","FILING_STATUS=OR","EQY_CONSOLIDATED=Y","Sort=A","Dates=H","DateFormat=P","Fill=—","Direction=H","UseDPDF=Y")</f>
        <v>#NAME?</v>
      </c>
      <c r="BR268" s="2" t="e">
        <f ca="1">_xll.BDH($C$253,"ACCOUNTS_PAYABLE_SEQ_GROWTH","FY 2017","FY 2017","Currency=INR","Period=FY","BEST_FPERIOD_OVERRIDE=FY","FILING_STATUS=OR","EQY_CONSOLIDATED=Y","Sort=A","Dates=H","DateFormat=P","Fill=—","Direction=H","UseDPDF=Y")</f>
        <v>#NAME?</v>
      </c>
      <c r="BS268" s="2" t="e">
        <f ca="1">_xll.BDH($C$253,"ST_DEBT_SEQUENTIAL_GROWTH","FY 2017","FY 2017","Currency=INR","Period=FY","BEST_FPERIOD_OVERRIDE=FY","FILING_STATUS=OR","EQY_CONSOLIDATED=Y","Sort=A","Dates=H","DateFormat=P","Fill=—","Direction=H","UseDPDF=Y")</f>
        <v>#NAME?</v>
      </c>
      <c r="BT268" s="2" t="e">
        <f ca="1">_xll.BDH($C$253,"TOTAL_DEBT_SEQUENTIAL_GROWTH","FY 2017","FY 2017","Currency=INR","Period=FY","BEST_FPERIOD_OVERRIDE=FY","FILING_STATUS=OR","EQY_CONSOLIDATED=Y","Sort=A","Dates=H","DateFormat=P","Fill=—","Direction=H","UseDPDF=Y")</f>
        <v>#NAME?</v>
      </c>
      <c r="BU268" s="2" t="e">
        <f ca="1">_xll.BDH($C$253,"TOTAL_EQUITY_SEQUENTIAL_GROWTH","FY 2017","FY 2017","Currency=INR","Period=FY","BEST_FPERIOD_OVERRIDE=FY","FILING_STATUS=OR","EQY_CONSOLIDATED=Y","Sort=A","Dates=H","DateFormat=P","Fill=—","Direction=H","UseDPDF=Y")</f>
        <v>#NAME?</v>
      </c>
      <c r="BV268" s="2" t="e">
        <f ca="1">_xll.BDH($C$253,"TOTAL_CAPITAL_SEQUENTIAL_GROWTH","FY 2017","FY 2017","Currency=INR","Period=FY","BEST_FPERIOD_OVERRIDE=FY","FILING_STATUS=OR","EQY_CONSOLIDATED=Y","Sort=A","Dates=H","DateFormat=P","Fill=—","Direction=H","UseDPDF=Y")</f>
        <v>#NAME?</v>
      </c>
      <c r="BW268" s="2" t="e">
        <f ca="1">_xll.BDH($C$253,"BPS_SEQUENTIAL_GROWTH","FY 2017","FY 2017","Currency=INR","Period=FY","BEST_FPERIOD_OVERRIDE=FY","FILING_STATUS=OR","EQY_CONSOLIDATED=Y","Sort=A","Dates=H","DateFormat=P","Fill=—","Direction=H","UseDPDF=Y")</f>
        <v>#NAME?</v>
      </c>
      <c r="BX268" s="2" t="e">
        <f ca="1">_xll.BDH($C$253,"CFO_SEQUENTIAL_GROWTH","FY 2017","FY 2017","Currency=INR","Period=FY","BEST_FPERIOD_OVERRIDE=FY","FILING_STATUS=OR","EQY_CONSOLIDATED=Y","Sort=A","Dates=H","DateFormat=P","Fill=—","Direction=H","UseDPDF=Y")</f>
        <v>#NAME?</v>
      </c>
      <c r="BY268" s="3" t="e">
        <f ca="1">_xll.BDH($C$253,"SHORT_AND_LONG_TERM_DEBT","FY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68" s="3" t="e">
        <f ca="1">_xll.BDH($C$253,"BS_ST_BORROW","FY 2017","FY 2017","Currency=INR","Period=FY","BEST_FPERIOD_OVERRIDE=FY","FILING_STATUS=OR","EQY_CONSOLIDATED=Y","SCALING_FORMAT=MLN","Sort=A","Dates=H","DateFormat=P","Fill=—","Direction=H","UseDPDF=Y")</f>
        <v>#NAME?</v>
      </c>
      <c r="CA268" s="3" t="e">
        <f ca="1">_xll.BDH($C$253,"BS_LT_BORROW","FY 2017","FY 2017","Currency=INR","Period=FY","BEST_FPERIOD_OVERRIDE=FY","FILING_STATUS=OR","EQY_CONSOLIDATED=Y","SCALING_FORMAT=MLN","Sort=A","Dates=H","DateFormat=P","Fill=—","Direction=H","UseDPDF=Y")</f>
        <v>#NAME?</v>
      </c>
      <c r="CB268" s="2" t="e">
        <f ca="1">_xll.BDH($C$253,"TOT_DEBT_TO_EBITDA","FY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268" s="2" t="e">
        <f ca="1">_xll.BDH($C$253,"NET_DEBT_TO_EBITDA","FY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268" s="2" t="e">
        <f ca="1">_xll.BDH($C$253,"TOTAL_DEBT_TO_EBIT","FY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268" s="2" t="e">
        <f ca="1">_xll.BDH($C$253,"NET_DEBT_TO_EBIT","FY 2017","FY 2017","Currency=INR","Period=FY","BEST_FPERIOD_OVERRIDE=FY","FILING_STATUS=OR","EQY_CONSOLIDATED=Y","FA_ADJUSTED=GAAP","Sort=A","Dates=H","DateFormat=P","Fill=—","Direction=H","UseDPDF=Y")</f>
        <v>#NAME?</v>
      </c>
      <c r="CF268" s="2" t="e">
        <f ca="1">_xll.BDH($C$253,"EBITDA_TO_INTEREST_EXPN","FY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68" s="2" t="e">
        <f ca="1">_xll.BDH($C$253,"COM_EQY_TO_TOT_ASSET","FY 2017","FY 2017","Currency=INR","Period=FY","BEST_FPERIOD_OVERRIDE=FY","FILING_STATUS=OR","EQY_CONSOLIDATED=Y","Sort=A","Dates=H","DateFormat=P","Fill=—","Direction=H","UseDPDF=Y")</f>
        <v>#NAME?</v>
      </c>
      <c r="CH268" s="2" t="e">
        <f ca="1">_xll.BDH($C$253,"LT_DEBT_TO_TOT_EQY","FY 2017","FY 2017","Currency=INR","Period=FY","BEST_FPERIOD_OVERRIDE=FY","FILING_STATUS=OR","EQY_CONSOLIDATED=Y","Sort=A","Dates=H","DateFormat=P","Fill=—","Direction=H","UseDPDF=Y")</f>
        <v>#NAME?</v>
      </c>
      <c r="CI268" s="2" t="e">
        <f ca="1">_xll.BDH($C$253,"LT_DEBT_TO_TOT_CAP","FY 2017","FY 2017","Currency=INR","Period=FY","BEST_FPERIOD_OVERRIDE=FY","FILING_STATUS=OR","EQY_CONSOLIDATED=Y","Sort=A","Dates=H","DateFormat=P","Fill=—","Direction=H","UseDPDF=Y")</f>
        <v>#NAME?</v>
      </c>
      <c r="CJ268" s="2" t="e">
        <f ca="1">_xll.BDH($C$253,"LT_DEBT_TO_TOT_ASSET","FY 2017","FY 2017","Currency=INR","Period=FY","BEST_FPERIOD_OVERRIDE=FY","FILING_STATUS=OR","EQY_CONSOLIDATED=Y","Sort=A","Dates=H","DateFormat=P","Fill=—","Direction=H","UseDPDF=Y")</f>
        <v>#NAME?</v>
      </c>
      <c r="CK268" s="2" t="e">
        <f ca="1">_xll.BDH($C$253,"TOT_DEBT_TO_TOT_EQY","FY 2017","FY 2017","Currency=INR","Period=FY","BEST_FPERIOD_OVERRIDE=FY","FILING_STATUS=OR","EQY_CONSOLIDATED=Y","Sort=A","Dates=H","DateFormat=P","Fill=—","Direction=H","UseDPDF=Y")</f>
        <v>#NAME?</v>
      </c>
      <c r="CL268" s="2" t="e">
        <f ca="1">_xll.BDH($C$253,"TOT_DEBT_TO_TOT_CAP","FY 2017","FY 2017","Currency=INR","Period=FY","BEST_FPERIOD_OVERRIDE=FY","FILING_STATUS=OR","EQY_CONSOLIDATED=Y","Sort=A","Dates=H","DateFormat=P","Fill=—","Direction=H","UseDPDF=Y")</f>
        <v>#NAME?</v>
      </c>
      <c r="CM268" s="2" t="e">
        <f ca="1">_xll.BDH($C$253,"TOT_DEBT_TO_TOT_ASSET","FY 2017","FY 2017","Currency=INR","Period=FY","BEST_FPERIOD_OVERRIDE=FY","FILING_STATUS=OR","EQY_CONSOLIDATED=Y","Sort=A","Dates=H","DateFormat=P","Fill=—","Direction=H","UseDPDF=Y")</f>
        <v>#NAME?</v>
      </c>
      <c r="CN268" s="2" t="e">
        <f ca="1">_xll.BDH($C$253,"NET_DEBT_TO_SHRHLDR_EQTY","FY 2017","FY 2017","Currency=INR","Period=FY","BEST_FPERIOD_OVERRIDE=FY","FILING_STATUS=OR","EQY_CONSOLIDATED=Y","Sort=A","Dates=H","DateFormat=P","Fill=—","Direction=H","UseDPDF=Y")</f>
        <v>#NAME?</v>
      </c>
      <c r="CO268" s="2" t="e">
        <f ca="1">_xll.BDH($C$253,"NET_DEBT_%_CAPITAL","FY 2017","FY 2017","Currency=INR","Period=FY","BEST_FPERIOD_OVERRIDE=FY","FILING_STATUS=OR","EQY_CONSOLIDATED=Y","Sort=A","Dates=H","DateFormat=P","Fill=—","Direction=H","UseDPDF=Y")</f>
        <v>#NAME?</v>
      </c>
      <c r="CP268" s="3" t="e">
        <f ca="1">_xll.BDH($C$253,"EBITDA","FY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68" s="3" t="e">
        <f ca="1">_xll.BDH($C$253,"EBITDA_AFTER_CAPEX","FY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68" s="3" t="e">
        <f ca="1">_xll.BDH($C$253,"IS_OPER_INC","FY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68" s="2" t="e">
        <f ca="1">_xll.BDH($C$253,"CASH_RATIO","FY 2017","FY 2017","Currency=INR","Period=FY","BEST_FPERIOD_OVERRIDE=FY","FILING_STATUS=OR","EQY_CONSOLIDATED=Y","Sort=A","Dates=H","DateFormat=P","Fill=—","Direction=H","UseDPDF=Y")</f>
        <v>#NAME?</v>
      </c>
      <c r="CT268" s="2" t="e">
        <f ca="1">_xll.BDH($C$253,"CUR_RATIO","FY 2017","FY 2017","Currency=INR","Period=FY","BEST_FPERIOD_OVERRIDE=FY","FILING_STATUS=OR","EQY_CONSOLIDATED=Y","Sort=A","Dates=H","DateFormat=P","Fill=—","Direction=H","UseDPDF=Y")</f>
        <v>#NAME?</v>
      </c>
      <c r="CU268" s="2" t="e">
        <f ca="1">_xll.BDH($C$253,"QUICK_RATIO","FY 2017","FY 2017","Currency=INR","Period=FY","BEST_FPERIOD_OVERRIDE=FY","FILING_STATUS=OR","EQY_CONSOLIDATED=Y","Sort=A","Dates=H","DateFormat=P","Fill=—","Direction=H","UseDPDF=Y")</f>
        <v>#NAME?</v>
      </c>
      <c r="CV268" s="2" t="e">
        <f ca="1">_xll.BDH($C$253,"ALTMAN_Z_SCORE","FY 2017","FY 2017","Currency=INR","Period=FY","BEST_FPERIOD_OVERRIDE=FY","FILING_STATUS=OR","EQY_CONSOLIDATED=Y","Sort=A","Dates=H","DateFormat=P","Fill=—","Direction=H","UseDPDF=Y")</f>
        <v>#NAME?</v>
      </c>
      <c r="CW268" s="4" t="e">
        <f ca="1">_xll.BDH($C$253,"ACCT_RCV_TURN","FY 2017","FY 2017","Currency=INR","Period=FY","BEST_FPERIOD_OVERRIDE=FY","FILING_STATUS=OR","EQY_CONSOLIDATED=Y","FA_ADJUSTED=GAAP","Sort=A","Dates=H","DateFormat=P","Fill=—","Direction=H","UseDPDF=Y")</f>
        <v>#NAME?</v>
      </c>
      <c r="CX268" s="2" t="e">
        <f ca="1">_xll.BDH($C$253,"ACCT_RCV_DAYS","FY 2017","FY 2017","Currency=INR","Period=FY","BEST_FPERIOD_OVERRIDE=FY","FILING_STATUS=OR","EQY_CONSOLIDATED=Y","FA_ADJUSTED=GAAP","Sort=A","Dates=H","DateFormat=P","Fill=—","Direction=H","UseDPDF=Y")</f>
        <v>#NAME?</v>
      </c>
      <c r="CY268" s="4" t="e">
        <f ca="1">_xll.BDH($C$253,"INVENT_TURN","FY 2017","FY 2017","Currency=INR","Period=FY","BEST_FPERIOD_OVERRIDE=FY","FILING_STATUS=OR","EQY_CONSOLIDATED=Y","FA_ADJUSTED=GAAP","Sort=A","Dates=H","DateFormat=P","Fill=—","Direction=H","UseDPDF=Y")</f>
        <v>#NAME?</v>
      </c>
      <c r="CZ268" s="2" t="e">
        <f ca="1">_xll.BDH($C$253,"INVENT_DAYS","FY 2017","FY 2017","Currency=INR","Period=FY","BEST_FPERIOD_OVERRIDE=FY","FILING_STATUS=OR","EQY_CONSOLIDATED=Y","FA_ADJUSTED=GAAP","Sort=A","Dates=H","DateFormat=P","Fill=—","Direction=H","UseDPDF=Y")</f>
        <v>#NAME?</v>
      </c>
      <c r="DA268" s="4" t="e">
        <f ca="1">_xll.BDH($C$253,"ACCOUNTS_PAYABLE_TURNOVER","FY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68" s="2" t="e">
        <f ca="1">_xll.BDH($C$253,"ACCOUNTS_PAYABLE_TURNOVER_DAYS","FY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68" s="4" t="e">
        <f ca="1">_xll.BDH($C$253,"CASH_CONVERSION_CYCLE","FY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68" s="4" t="e">
        <f ca="1">_xll.BDH($C$253,"INV_TO_CASH_DAYS","FY 2017","FY 2017","Currency=INR","Period=FY","BEST_FPERIOD_OVERRIDE=FY","FILING_STATUS=OR","EQY_CONSOLIDATED=Y","FA_ADJUSTED=GAAP","Sort=A","Dates=H","DateFormat=P","Fill=—","Direction=H","UseDPDF=Y")</f>
        <v>#NAME?</v>
      </c>
      <c r="DE268" s="5" t="e">
        <f ca="1">_xll.BDH($C$253,"BS_INVENTORIES","FY 2017","FY 2017","Currency=INR","Period=FY","BEST_FPERIOD_OVERRIDE=FY","FILING_STATUS=OR","EQY_CONSOLIDATED=Y","SCALING_FORMAT=MLN","Sort=A","Dates=H","DateFormat=P","Fill=—","Direction=H","UseDPDF=Y")</f>
        <v>#NAME?</v>
      </c>
      <c r="DF268" s="3" t="e">
        <f ca="1">_xll.BDH($C$253,"INVTRY_RAW_MATERIALS","FY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68" s="3" t="e">
        <f ca="1">_xll.BDH($C$253,"INVTRY_IN_PROGRESS","FY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68" s="3" t="e">
        <f ca="1">_xll.BDH($C$253,"INVTRY_FINISHED_GOODS","FY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68" s="3" t="e">
        <f ca="1">_xll.BDH($C$253,"BS_OTHER_INV","FY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69" spans="1:113" x14ac:dyDescent="0.3">
      <c r="A269" s="6"/>
      <c r="B269" s="6"/>
      <c r="C269" s="6"/>
      <c r="D269" s="6"/>
      <c r="E269" t="s">
        <v>78</v>
      </c>
      <c r="F269" t="e">
        <f ca="1">_xll.BDH($C$253,"RETURN_COM_EQY","FQ1 2017","FQ1 2017","Currency=INR","Period=FQ","BEST_FPERIOD_OVERRIDE=FQ","FILING_STATUS=OR","EQY_CONSOLIDATED=Y","FA_ADJUSTED=GAAP","Sort=A","Dates=H","DateFormat=P","Fill=—","Direction=H","UseDPDF=Y")</f>
        <v>#NAME?</v>
      </c>
      <c r="G269" t="e">
        <f ca="1">_xll.BDH($C$253,"RETURN_ON_ASSET","FQ1 2017","FQ1 2017","Currency=INR","Period=FQ","BEST_FPERIOD_OVERRIDE=FQ","FILING_STATUS=OR","EQY_CONSOLIDATED=Y","FA_ADJUSTED=GAAP","Sort=A","Dates=H","DateFormat=P","Fill=—","Direction=H","UseDPDF=Y")</f>
        <v>#NAME?</v>
      </c>
      <c r="H269" t="e">
        <f ca="1">_xll.BDH($C$253,"RETURN_ON_CAP","FQ1 2017","FQ1 2017","Currency=INR","Period=FQ","BEST_FPERIOD_OVERRIDE=FQ","FILING_STATUS=OR","EQY_CONSOLIDATED=Y","FA_ADJUSTED=GAAP","Sort=A","Dates=H","DateFormat=P","Fill=—","Direction=H","UseDPDF=Y")</f>
        <v>#NAME?</v>
      </c>
      <c r="I269" t="e">
        <f ca="1">_xll.BDH($C$253,"RETURN_ON_INV_CAPITAL","FQ1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69" t="e">
        <f ca="1">_xll.BDH($C$253,"EBITDA_TO_REVENUE","FQ1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269" t="e">
        <f ca="1">_xll.BDH($C$253,"OPER_MARGIN","FQ1 2017","FQ1 2017","Currency=INR","Period=FQ","BEST_FPERIOD_OVERRIDE=FQ","FILING_STATUS=OR","EQY_CONSOLIDATED=Y","FA_ADJUSTED=GAAP","Sort=A","Dates=H","DateFormat=P","Fill=—","Direction=H","UseDPDF=Y")</f>
        <v>#NAME?</v>
      </c>
      <c r="L269" t="e">
        <f ca="1">_xll.BDH($C$253,"INCREMENTAL_OPERATING_MARGIN","FQ1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69" t="e">
        <f ca="1">_xll.BDH($C$253,"PRETAX_INC_TO_NET_SALES","FQ1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69" t="e">
        <f ca="1">_xll.BDH($C$253,"INC_BEF_XO_ITEMS_TO_NET_SALES","FQ1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69" t="e">
        <f ca="1">_xll.BDH($C$253,"PROF_MARGIN","FQ1 2017","FQ1 2017","Currency=INR","Period=FQ","BEST_FPERIOD_OVERRIDE=FQ","FILING_STATUS=OR","EQY_CONSOLIDATED=Y","FA_ADJUSTED=GAAP","Sort=A","Dates=H","DateFormat=P","Fill=—","Direction=H","UseDPDF=Y")</f>
        <v>#NAME?</v>
      </c>
      <c r="P269" t="e">
        <f ca="1">_xll.BDH($C$253,"NET_INCOME_TO_COMMON_MARGIN","FQ1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69" t="e">
        <f ca="1">_xll.BDH($C$253,"EFF_TAX_RATE","FQ1 2017","FQ1 2017","Currency=INR","Period=FQ","BEST_FPERIOD_OVERRIDE=FQ","FILING_STATUS=OR","EQY_CONSOLIDATED=Y","FA_ADJUSTED=GAAP","Sort=A","Dates=H","DateFormat=P","Fill=—","Direction=H","UseDPDF=Y")</f>
        <v>#NAME?</v>
      </c>
      <c r="R269" t="e">
        <f ca="1">_xll.BDH($C$253,"DVD_PAYOUT_RATIO","FQ1 2017","FQ1 2017","Currency=INR","Period=FQ","BEST_FPERIOD_OVERRIDE=FQ","FILING_STATUS=OR","EQY_CONSOLIDATED=Y","FA_ADJUSTED=GAAP","Sort=A","Dates=H","DateFormat=P","Fill=—","Direction=H","UseDPDF=Y")</f>
        <v>#NAME?</v>
      </c>
      <c r="S269" t="e">
        <f ca="1">_xll.BDH($C$253,"SUSTAIN_GROWTH_RT","FQ1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269" s="2" t="e">
        <f ca="1">_xll.BDH($C$253,"SALES_GROWTH","FQ1 2017","FQ1 2017","Currency=INR","Period=FQ","BEST_FPERIOD_OVERRIDE=FQ","FILING_STATUS=OR","EQY_CONSOLIDATED=Y","FA_ADJUSTED=GAAP","Sort=A","Dates=H","DateFormat=P","Fill=—","Direction=H","UseDPDF=Y")</f>
        <v>#NAME?</v>
      </c>
      <c r="U269" s="2" t="e">
        <f ca="1">_xll.BDH($C$253,"EBITDA_GROWTH","FQ1 2017","FQ1 2017","Currency=INR","Period=FQ","BEST_FPERIOD_OVERRIDE=FQ","FILING_STATUS=OR","EQY_CONSOLIDATED=Y","FA_ADJUSTED=GAAP","Sort=A","Dates=H","DateFormat=P","Fill=—","Direction=H","UseDPDF=Y")</f>
        <v>#NAME?</v>
      </c>
      <c r="V269" s="2" t="e">
        <f ca="1">_xll.BDH($C$253,"OPER_INC_GROWTH","FQ1 2017","FQ1 2017","Currency=INR","Period=FQ","BEST_FPERIOD_OVERRIDE=FQ","FILING_STATUS=OR","EQY_CONSOLIDATED=Y","FA_ADJUSTED=GAAP","Sort=A","Dates=H","DateFormat=P","Fill=—","Direction=H","UseDPDF=Y")</f>
        <v>#NAME?</v>
      </c>
      <c r="W269" s="2" t="e">
        <f ca="1">_xll.BDH($C$253,"EARN_FOR_COM_GROWTH","FQ1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69" s="2" t="e">
        <f ca="1">_xll.BDH($C$253,"DILUTED_EPS_AFT_XO_ITEMS_GROWTH","FQ1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69" s="2" t="e">
        <f ca="1">_xll.BDH($C$253,"DIVIDEND_PER_SHARE_1_YEAR_GROWTH","FQ1 2017","FQ1 2017","Currency=INR","Period=FQ","BEST_FPERIOD_OVERRIDE=FQ","FILING_STATUS=OR","EQY_CONSOLIDATED=Y","Sort=A","Dates=H","DateFormat=P","Fill=—","Direction=H","UseDPDF=Y")</f>
        <v>#NAME?</v>
      </c>
      <c r="Z269" s="2" t="e">
        <f ca="1">_xll.BDH($C$253,"ACCOUNTS_RECEIVABLE_GROWTH","FQ1 2017","FQ1 2017","Currency=INR","Period=FQ","BEST_FPERIOD_OVERRIDE=FQ","FILING_STATUS=OR","EQY_CONSOLIDATED=Y","Sort=A","Dates=H","DateFormat=P","Fill=—","Direction=H","UseDPDF=Y")</f>
        <v>#NAME?</v>
      </c>
      <c r="AA269" s="2" t="e">
        <f ca="1">_xll.BDH($C$253,"INVENTORY_GROWTH","FQ1 2017","FQ1 2017","Currency=INR","Period=FQ","BEST_FPERIOD_OVERRIDE=FQ","FILING_STATUS=OR","EQY_CONSOLIDATED=Y","Sort=A","Dates=H","DateFormat=P","Fill=—","Direction=H","UseDPDF=Y")</f>
        <v>#NAME?</v>
      </c>
      <c r="AB269" s="2" t="e">
        <f ca="1">_xll.BDH($C$253,"NET_FIXED_ASSETS_1_YEAR_GROWTH","FQ1 2017","FQ1 2017","Currency=INR","Period=FQ","BEST_FPERIOD_OVERRIDE=FQ","FILING_STATUS=OR","EQY_CONSOLIDATED=Y","Sort=A","Dates=H","DateFormat=P","Fill=—","Direction=H","UseDPDF=Y")</f>
        <v>#NAME?</v>
      </c>
      <c r="AC269" s="2" t="e">
        <f ca="1">_xll.BDH($C$253,"ASSET_GROWTH","FQ1 2017","FQ1 2017","Currency=INR","Period=FQ","BEST_FPERIOD_OVERRIDE=FQ","FILING_STATUS=OR","EQY_CONSOLIDATED=Y","Sort=A","Dates=H","DateFormat=P","Fill=—","Direction=H","UseDPDF=Y")</f>
        <v>#NAME?</v>
      </c>
      <c r="AD269" s="2" t="e">
        <f ca="1">_xll.BDH($C$253,"MODIFIED_WORK_CAP_GROWTH","FQ1 2017","FQ1 2017","Currency=INR","Period=FQ","BEST_FPERIOD_OVERRIDE=FQ","FILING_STATUS=OR","EQY_CONSOLIDATED=Y","Sort=A","Dates=H","DateFormat=P","Fill=—","Direction=H","UseDPDF=Y")</f>
        <v>#NAME?</v>
      </c>
      <c r="AE269" s="2" t="e">
        <f ca="1">_xll.BDH($C$253,"WORK_CAP_GROWTH","FQ1 2017","FQ1 2017","Currency=INR","Period=FQ","BEST_FPERIOD_OVERRIDE=FQ","FILING_STATUS=OR","EQY_CONSOLIDATED=Y","Sort=A","Dates=H","DateFormat=P","Fill=—","Direction=H","UseDPDF=Y")</f>
        <v>#NAME?</v>
      </c>
      <c r="AF269" s="2" t="e">
        <f ca="1">_xll.BDH($C$253,"ACCOUNTS_PAYABLE_GROWTH_1YR","FQ1 2017","FQ1 2017","Currency=INR","Period=FQ","BEST_FPERIOD_OVERRIDE=FQ","FILING_STATUS=OR","EQY_CONSOLIDATED=Y","Sort=A","Dates=H","DateFormat=P","Fill=—","Direction=H","UseDPDF=Y")</f>
        <v>#NAME?</v>
      </c>
      <c r="AG269" s="2" t="e">
        <f ca="1">_xll.BDH($C$253,"SHORT_TERM_DEBT_1_YEAR_GROWTH","FQ1 2017","FQ1 2017","Currency=INR","Period=FQ","BEST_FPERIOD_OVERRIDE=FQ","FILING_STATUS=OR","EQY_CONSOLIDATED=Y","Sort=A","Dates=H","DateFormat=P","Fill=—","Direction=H","UseDPDF=Y")</f>
        <v>#NAME?</v>
      </c>
      <c r="AH269" s="2" t="e">
        <f ca="1">_xll.BDH($C$253,"TOTAL_DEBT_1_YEAR_GROWTH","FQ1 2017","FQ1 2017","Currency=INR","Period=FQ","BEST_FPERIOD_OVERRIDE=FQ","FILING_STATUS=OR","EQY_CONSOLIDATED=Y","Sort=A","Dates=H","DateFormat=P","Fill=—","Direction=H","UseDPDF=Y")</f>
        <v>#NAME?</v>
      </c>
      <c r="AI269" s="2" t="e">
        <f ca="1">_xll.BDH($C$253,"TOTAL_EQUITY_1_YEAR_GROWTH","FQ1 2017","FQ1 2017","Currency=INR","Period=FQ","BEST_FPERIOD_OVERRIDE=FQ","FILING_STATUS=OR","EQY_CONSOLIDATED=Y","Sort=A","Dates=H","DateFormat=P","Fill=—","Direction=H","UseDPDF=Y")</f>
        <v>#NAME?</v>
      </c>
      <c r="AJ269" s="2" t="e">
        <f ca="1">_xll.BDH($C$253,"GROWTH_IN_CAP","FQ1 2017","FQ1 2017","Currency=INR","Period=FQ","BEST_FPERIOD_OVERRIDE=FQ","FILING_STATUS=OR","EQY_CONSOLIDATED=Y","Sort=A","Dates=H","DateFormat=P","Fill=—","Direction=H","UseDPDF=Y")</f>
        <v>#NAME?</v>
      </c>
      <c r="AK269" s="2" t="e">
        <f ca="1">_xll.BDH($C$253,"BVPS_GROWTH","FQ1 2017","FQ1 2017","Currency=INR","Period=FQ","BEST_FPERIOD_OVERRIDE=FQ","FILING_STATUS=OR","EQY_CONSOLIDATED=Y","Sort=A","Dates=H","DateFormat=P","Fill=—","Direction=H","UseDPDF=Y")</f>
        <v>#NAME?</v>
      </c>
      <c r="AL269" s="2" t="e">
        <f ca="1">_xll.BDH($C$253,"CASH_FLOW_GROWTH","FQ1 2017","FQ1 2017","Currency=INR","Period=FQ","BEST_FPERIOD_OVERRIDE=FQ","FILING_STATUS=OR","EQY_CONSOLIDATED=Y","Sort=A","Dates=H","DateFormat=P","Fill=—","Direction=H","UseDPDF=Y")</f>
        <v>#NAME?</v>
      </c>
      <c r="AM269" s="2" t="e">
        <f ca="1">_xll.BDH($C$253,"GEO_GROW_NET_SALES","FQ1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69" s="2" t="e">
        <f ca="1">_xll.BDH($C$253,"GEO_GROW_EBITDA","FQ1 2017","FQ1 2017","Currency=INR","Period=FQ","BEST_FPERIOD_OVERRIDE=FQ","FILING_STATUS=OR","EQY_CONSOLIDATED=Y","FA_ADJUSTED=GAAP","Sort=A","Dates=H","DateFormat=P","Fill=—","Direction=H","UseDPDF=Y")</f>
        <v>#NAME?</v>
      </c>
      <c r="AO269" s="2" t="e">
        <f ca="1">_xll.BDH($C$253,"GEO_GROW_OPER_INC","FQ1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69" s="2" t="e">
        <f ca="1">_xll.BDH($C$253,"NET_INCOME_TO_COMMON_5_YR_GROWTH","FQ1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69" s="2" t="e">
        <f ca="1">_xll.BDH($C$253,"5Y_GEO_GROWTH_DILUTED_EPS","FQ1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69" s="2" t="e">
        <f ca="1">_xll.BDH($C$253,"GEO_GROW_DVD_PER_SH","FQ1 2017","FQ1 2017","Currency=INR","Period=FQ","BEST_FPERIOD_OVERRIDE=FQ","FILING_STATUS=OR","EQY_CONSOLIDATED=Y","Sort=A","Dates=H","DateFormat=P","Fill=—","Direction=H","UseDPDF=Y")</f>
        <v>#NAME?</v>
      </c>
      <c r="AS269" s="2" t="e">
        <f ca="1">_xll.BDH($C$253,"ACCOUNTS_RECEIVABLE_5_YR_GROWTH","FQ1 2017","FQ1 2017","Currency=INR","Period=FQ","BEST_FPERIOD_OVERRIDE=FQ","FILING_STATUS=OR","EQY_CONSOLIDATED=Y","Sort=A","Dates=H","DateFormat=P","Fill=—","Direction=H","UseDPDF=Y")</f>
        <v>#NAME?</v>
      </c>
      <c r="AT269" s="2" t="e">
        <f ca="1">_xll.BDH($C$253,"INVENTORY_5_YEAR_GROWTH","FQ1 2017","FQ1 2017","Currency=INR","Period=FQ","BEST_FPERIOD_OVERRIDE=FQ","FILING_STATUS=OR","EQY_CONSOLIDATED=Y","Sort=A","Dates=H","DateFormat=P","Fill=—","Direction=H","UseDPDF=Y")</f>
        <v>#NAME?</v>
      </c>
      <c r="AU269" s="2" t="e">
        <f ca="1">_xll.BDH($C$253,"NET_FIXED_ASSETS_5_YEAR_GROWTH","FQ1 2017","FQ1 2017","Currency=INR","Period=FQ","BEST_FPERIOD_OVERRIDE=FQ","FILING_STATUS=OR","EQY_CONSOLIDATED=Y","Sort=A","Dates=H","DateFormat=P","Fill=—","Direction=H","UseDPDF=Y")</f>
        <v>#NAME?</v>
      </c>
      <c r="AV269" s="2" t="e">
        <f ca="1">_xll.BDH($C$253,"GEO_GROW_TOT_ASSET","FQ1 2017","FQ1 2017","Currency=INR","Period=FQ","BEST_FPERIOD_OVERRIDE=FQ","FILING_STATUS=OR","EQY_CONSOLIDATED=Y","Sort=A","Dates=H","DateFormat=P","Fill=—","Direction=H","UseDPDF=Y")</f>
        <v>#NAME?</v>
      </c>
      <c r="AW269" s="2" t="e">
        <f ca="1">_xll.BDH($C$253,"MODIFIED_WORKING_CPTL_5YR_GRWTH","FQ1 2017","FQ1 2017","Currency=INR","Period=FQ","BEST_FPERIOD_OVERRIDE=FQ","FILING_STATUS=OR","EQY_CONSOLIDATED=Y","Sort=A","Dates=H","DateFormat=P","Fill=—","Direction=H","UseDPDF=Y")</f>
        <v>#NAME?</v>
      </c>
      <c r="AX269" s="2" t="e">
        <f ca="1">_xll.BDH($C$253,"WORKING_CAPITAL_5_YEAR_GROWTH","FQ1 2017","FQ1 2017","Currency=INR","Period=FQ","BEST_FPERIOD_OVERRIDE=FQ","FILING_STATUS=OR","EQY_CONSOLIDATED=Y","Sort=A","Dates=H","DateFormat=P","Fill=—","Direction=H","UseDPDF=Y")</f>
        <v>#NAME?</v>
      </c>
      <c r="AY269" s="2" t="e">
        <f ca="1">_xll.BDH($C$253,"ACCOUNTS_PAYABLE_5_YEAR_GROWTH","FQ1 2017","FQ1 2017","Currency=INR","Period=FQ","BEST_FPERIOD_OVERRIDE=FQ","FILING_STATUS=OR","EQY_CONSOLIDATED=Y","Sort=A","Dates=H","DateFormat=P","Fill=—","Direction=H","UseDPDF=Y")</f>
        <v>#NAME?</v>
      </c>
      <c r="AZ269" s="2" t="e">
        <f ca="1">_xll.BDH($C$253,"SHORT_TERM_DEBT_5_YEAR_GROWTH","FQ1 2017","FQ1 2017","Currency=INR","Period=FQ","BEST_FPERIOD_OVERRIDE=FQ","FILING_STATUS=OR","EQY_CONSOLIDATED=Y","Sort=A","Dates=H","DateFormat=P","Fill=—","Direction=H","UseDPDF=Y")</f>
        <v>#NAME?</v>
      </c>
      <c r="BA269" s="2" t="e">
        <f ca="1">_xll.BDH($C$253,"TOTAL_DEBT_5_YEAR_GROWTH","FQ1 2017","FQ1 2017","Currency=INR","Period=FQ","BEST_FPERIOD_OVERRIDE=FQ","FILING_STATUS=OR","EQY_CONSOLIDATED=Y","Sort=A","Dates=H","DateFormat=P","Fill=—","Direction=H","UseDPDF=Y")</f>
        <v>#NAME?</v>
      </c>
      <c r="BB269" s="2" t="e">
        <f ca="1">_xll.BDH($C$253,"GEO_GROW_TOT_SHRHLDR_EQY","FQ1 2017","FQ1 2017","Currency=INR","Period=FQ","BEST_FPERIOD_OVERRIDE=FQ","FILING_STATUS=OR","EQY_CONSOLIDATED=Y","Sort=A","Dates=H","DateFormat=P","Fill=—","Direction=H","UseDPDF=Y")</f>
        <v>#NAME?</v>
      </c>
      <c r="BC269" s="2" t="e">
        <f ca="1">_xll.BDH($C$253,"TOTAL_CAPITAL_5_YEAR_GROWTH","FQ1 2017","FQ1 2017","Currency=INR","Period=FQ","BEST_FPERIOD_OVERRIDE=FQ","FILING_STATUS=OR","EQY_CONSOLIDATED=Y","Sort=A","Dates=H","DateFormat=P","Fill=—","Direction=H","UseDPDF=Y")</f>
        <v>#NAME?</v>
      </c>
      <c r="BD269" s="2" t="e">
        <f ca="1">_xll.BDH($C$253,"GEO_GROW_BOOK_VAL","FQ1 2017","FQ1 2017","Currency=INR","Period=FQ","BEST_FPERIOD_OVERRIDE=FQ","FILING_STATUS=OR","EQY_CONSOLIDATED=Y","Sort=A","Dates=H","DateFormat=P","Fill=—","Direction=H","UseDPDF=Y")</f>
        <v>#NAME?</v>
      </c>
      <c r="BE269" s="2" t="e">
        <f ca="1">_xll.BDH($C$253,"GEO_GROW_CASH_OPER_ACT","FQ1 2017","FQ1 2017","Currency=INR","Period=FQ","BEST_FPERIOD_OVERRIDE=FQ","FILING_STATUS=OR","EQY_CONSOLIDATED=Y","Sort=A","Dates=H","DateFormat=P","Fill=—","Direction=H","UseDPDF=Y")</f>
        <v>#NAME?</v>
      </c>
      <c r="BF269" s="2" t="e">
        <f ca="1">_xll.BDH($C$253,"REVENUE_SEQUENTIAL_GROWTH","FQ1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69" s="2" t="e">
        <f ca="1">_xll.BDH($C$253,"EBITDA_SEQUENTIAL_GROWTH","FQ1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69" s="2" t="e">
        <f ca="1">_xll.BDH($C$253,"OPERATING_INCOME_SEQ_GROWTH","FQ1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69" s="2" t="e">
        <f ca="1">_xll.BDH($C$253,"NET_INCOME_TO_COMMON_SEQ_GROWTH","FQ1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69" s="2" t="e">
        <f ca="1">_xll.BDH($C$253,"EPS_DILUTED_SEQUENTIAL_GROWTH","FQ1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69" s="2" t="e">
        <f ca="1">_xll.BDH($C$253,"DPS_SEQUENTIAL_GROWTH","FQ1 2017","FQ1 2017","Currency=INR","Period=FQ","BEST_FPERIOD_OVERRIDE=FQ","FILING_STATUS=OR","EQY_CONSOLIDATED=Y","Sort=A","Dates=H","DateFormat=P","Fill=—","Direction=H","UseDPDF=Y")</f>
        <v>#NAME?</v>
      </c>
      <c r="BL269" s="2" t="e">
        <f ca="1">_xll.BDH($C$253,"ACCOUNTS_RECEIVABLE_SEQ_GROWTH","FQ1 2017","FQ1 2017","Currency=INR","Period=FQ","BEST_FPERIOD_OVERRIDE=FQ","FILING_STATUS=OR","EQY_CONSOLIDATED=Y","Sort=A","Dates=H","DateFormat=P","Fill=—","Direction=H","UseDPDF=Y")</f>
        <v>#NAME?</v>
      </c>
      <c r="BM269" s="2" t="e">
        <f ca="1">_xll.BDH($C$253,"INVENTORY_SEQUENTIAL_GROWTH","FQ1 2017","FQ1 2017","Currency=INR","Period=FQ","BEST_FPERIOD_OVERRIDE=FQ","FILING_STATUS=OR","EQY_CONSOLIDATED=Y","Sort=A","Dates=H","DateFormat=P","Fill=—","Direction=H","UseDPDF=Y")</f>
        <v>#NAME?</v>
      </c>
      <c r="BN269" s="2" t="e">
        <f ca="1">_xll.BDH($C$253,"FIXED_ASSETS_SEQUENTIAL_GROWTH","FQ1 2017","FQ1 2017","Currency=INR","Period=FQ","BEST_FPERIOD_OVERRIDE=FQ","FILING_STATUS=OR","EQY_CONSOLIDATED=Y","Sort=A","Dates=H","DateFormat=P","Fill=—","Direction=H","UseDPDF=Y")</f>
        <v>#NAME?</v>
      </c>
      <c r="BO269" s="2" t="e">
        <f ca="1">_xll.BDH($C$253,"TOTAL_ASSETS_SEQUENTIAL_GROWTH","FQ1 2017","FQ1 2017","Currency=INR","Period=FQ","BEST_FPERIOD_OVERRIDE=FQ","FILING_STATUS=OR","EQY_CONSOLIDATED=Y","Sort=A","Dates=H","DateFormat=P","Fill=—","Direction=H","UseDPDF=Y")</f>
        <v>#NAME?</v>
      </c>
      <c r="BP269" s="2" t="e">
        <f ca="1">_xll.BDH($C$253,"MODIFIED_WORKING_CPTL_SEQ_GRWTH","FQ1 2017","FQ1 2017","Currency=INR","Period=FQ","BEST_FPERIOD_OVERRIDE=FQ","FILING_STATUS=OR","EQY_CONSOLIDATED=Y","Sort=A","Dates=H","DateFormat=P","Fill=—","Direction=H","UseDPDF=Y")</f>
        <v>#NAME?</v>
      </c>
      <c r="BQ269" s="2" t="e">
        <f ca="1">_xll.BDH($C$253,"WORKING_CAPITAL_SEQ_GROWTH","FQ1 2017","FQ1 2017","Currency=INR","Period=FQ","BEST_FPERIOD_OVERRIDE=FQ","FILING_STATUS=OR","EQY_CONSOLIDATED=Y","Sort=A","Dates=H","DateFormat=P","Fill=—","Direction=H","UseDPDF=Y")</f>
        <v>#NAME?</v>
      </c>
      <c r="BR269" s="2" t="e">
        <f ca="1">_xll.BDH($C$253,"ACCOUNTS_PAYABLE_SEQ_GROWTH","FQ1 2017","FQ1 2017","Currency=INR","Period=FQ","BEST_FPERIOD_OVERRIDE=FQ","FILING_STATUS=OR","EQY_CONSOLIDATED=Y","Sort=A","Dates=H","DateFormat=P","Fill=—","Direction=H","UseDPDF=Y")</f>
        <v>#NAME?</v>
      </c>
      <c r="BS269" s="2" t="e">
        <f ca="1">_xll.BDH($C$253,"ST_DEBT_SEQUENTIAL_GROWTH","FQ1 2017","FQ1 2017","Currency=INR","Period=FQ","BEST_FPERIOD_OVERRIDE=FQ","FILING_STATUS=OR","EQY_CONSOLIDATED=Y","Sort=A","Dates=H","DateFormat=P","Fill=—","Direction=H","UseDPDF=Y")</f>
        <v>#NAME?</v>
      </c>
      <c r="BT269" s="2" t="e">
        <f ca="1">_xll.BDH($C$253,"TOTAL_DEBT_SEQUENTIAL_GROWTH","FQ1 2017","FQ1 2017","Currency=INR","Period=FQ","BEST_FPERIOD_OVERRIDE=FQ","FILING_STATUS=OR","EQY_CONSOLIDATED=Y","Sort=A","Dates=H","DateFormat=P","Fill=—","Direction=H","UseDPDF=Y")</f>
        <v>#NAME?</v>
      </c>
      <c r="BU269" s="2" t="e">
        <f ca="1">_xll.BDH($C$253,"TOTAL_EQUITY_SEQUENTIAL_GROWTH","FQ1 2017","FQ1 2017","Currency=INR","Period=FQ","BEST_FPERIOD_OVERRIDE=FQ","FILING_STATUS=OR","EQY_CONSOLIDATED=Y","Sort=A","Dates=H","DateFormat=P","Fill=—","Direction=H","UseDPDF=Y")</f>
        <v>#NAME?</v>
      </c>
      <c r="BV269" s="2" t="e">
        <f ca="1">_xll.BDH($C$253,"TOTAL_CAPITAL_SEQUENTIAL_GROWTH","FQ1 2017","FQ1 2017","Currency=INR","Period=FQ","BEST_FPERIOD_OVERRIDE=FQ","FILING_STATUS=OR","EQY_CONSOLIDATED=Y","Sort=A","Dates=H","DateFormat=P","Fill=—","Direction=H","UseDPDF=Y")</f>
        <v>#NAME?</v>
      </c>
      <c r="BW269" s="2" t="e">
        <f ca="1">_xll.BDH($C$253,"BPS_SEQUENTIAL_GROWTH","FQ1 2017","FQ1 2017","Currency=INR","Period=FQ","BEST_FPERIOD_OVERRIDE=FQ","FILING_STATUS=OR","EQY_CONSOLIDATED=Y","Sort=A","Dates=H","DateFormat=P","Fill=—","Direction=H","UseDPDF=Y")</f>
        <v>#NAME?</v>
      </c>
      <c r="BX269" s="2" t="e">
        <f ca="1">_xll.BDH($C$253,"CFO_SEQUENTIAL_GROWTH","FQ1 2017","FQ1 2017","Currency=INR","Period=FQ","BEST_FPERIOD_OVERRIDE=FQ","FILING_STATUS=OR","EQY_CONSOLIDATED=Y","Sort=A","Dates=H","DateFormat=P","Fill=—","Direction=H","UseDPDF=Y")</f>
        <v>#NAME?</v>
      </c>
      <c r="BY269" s="3" t="e">
        <f ca="1">_xll.BDH($C$253,"SHORT_AND_LONG_TERM_DEBT","FQ1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69" s="3" t="e">
        <f ca="1">_xll.BDH($C$253,"BS_ST_BORROW","FQ1 2017","FQ1 2017","Currency=INR","Period=FQ","BEST_FPERIOD_OVERRIDE=FQ","FILING_STATUS=OR","EQY_CONSOLIDATED=Y","SCALING_FORMAT=MLN","Sort=A","Dates=H","DateFormat=P","Fill=—","Direction=H","UseDPDF=Y")</f>
        <v>#NAME?</v>
      </c>
      <c r="CA269" s="3" t="e">
        <f ca="1">_xll.BDH($C$253,"BS_LT_BORROW","FQ1 2017","FQ1 2017","Currency=INR","Period=FQ","BEST_FPERIOD_OVERRIDE=FQ","FILING_STATUS=OR","EQY_CONSOLIDATED=Y","SCALING_FORMAT=MLN","Sort=A","Dates=H","DateFormat=P","Fill=—","Direction=H","UseDPDF=Y")</f>
        <v>#NAME?</v>
      </c>
      <c r="CB269" s="2" t="e">
        <f ca="1">_xll.BDH($C$253,"TOT_DEBT_TO_EBITDA","FQ1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69" s="2" t="e">
        <f ca="1">_xll.BDH($C$253,"NET_DEBT_TO_EBITDA","FQ1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69" s="2" t="e">
        <f ca="1">_xll.BDH($C$253,"TOTAL_DEBT_TO_EBIT","FQ1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69" s="2" t="e">
        <f ca="1">_xll.BDH($C$253,"NET_DEBT_TO_EBIT","FQ1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269" s="2" t="e">
        <f ca="1">_xll.BDH($C$253,"EBITDA_TO_INTEREST_EXPN","FQ1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69" s="2" t="e">
        <f ca="1">_xll.BDH($C$253,"COM_EQY_TO_TOT_ASSET","FQ1 2017","FQ1 2017","Currency=INR","Period=FQ","BEST_FPERIOD_OVERRIDE=FQ","FILING_STATUS=OR","EQY_CONSOLIDATED=Y","Sort=A","Dates=H","DateFormat=P","Fill=—","Direction=H","UseDPDF=Y")</f>
        <v>#NAME?</v>
      </c>
      <c r="CH269" s="2" t="e">
        <f ca="1">_xll.BDH($C$253,"LT_DEBT_TO_TOT_EQY","FQ1 2017","FQ1 2017","Currency=INR","Period=FQ","BEST_FPERIOD_OVERRIDE=FQ","FILING_STATUS=OR","EQY_CONSOLIDATED=Y","Sort=A","Dates=H","DateFormat=P","Fill=—","Direction=H","UseDPDF=Y")</f>
        <v>#NAME?</v>
      </c>
      <c r="CI269" s="2" t="e">
        <f ca="1">_xll.BDH($C$253,"LT_DEBT_TO_TOT_CAP","FQ1 2017","FQ1 2017","Currency=INR","Period=FQ","BEST_FPERIOD_OVERRIDE=FQ","FILING_STATUS=OR","EQY_CONSOLIDATED=Y","Sort=A","Dates=H","DateFormat=P","Fill=—","Direction=H","UseDPDF=Y")</f>
        <v>#NAME?</v>
      </c>
      <c r="CJ269" s="2" t="e">
        <f ca="1">_xll.BDH($C$253,"LT_DEBT_TO_TOT_ASSET","FQ1 2017","FQ1 2017","Currency=INR","Period=FQ","BEST_FPERIOD_OVERRIDE=FQ","FILING_STATUS=OR","EQY_CONSOLIDATED=Y","Sort=A","Dates=H","DateFormat=P","Fill=—","Direction=H","UseDPDF=Y")</f>
        <v>#NAME?</v>
      </c>
      <c r="CK269" s="2" t="e">
        <f ca="1">_xll.BDH($C$253,"TOT_DEBT_TO_TOT_EQY","FQ1 2017","FQ1 2017","Currency=INR","Period=FQ","BEST_FPERIOD_OVERRIDE=FQ","FILING_STATUS=OR","EQY_CONSOLIDATED=Y","Sort=A","Dates=H","DateFormat=P","Fill=—","Direction=H","UseDPDF=Y")</f>
        <v>#NAME?</v>
      </c>
      <c r="CL269" s="2" t="e">
        <f ca="1">_xll.BDH($C$253,"TOT_DEBT_TO_TOT_CAP","FQ1 2017","FQ1 2017","Currency=INR","Period=FQ","BEST_FPERIOD_OVERRIDE=FQ","FILING_STATUS=OR","EQY_CONSOLIDATED=Y","Sort=A","Dates=H","DateFormat=P","Fill=—","Direction=H","UseDPDF=Y")</f>
        <v>#NAME?</v>
      </c>
      <c r="CM269" s="2" t="e">
        <f ca="1">_xll.BDH($C$253,"TOT_DEBT_TO_TOT_ASSET","FQ1 2017","FQ1 2017","Currency=INR","Period=FQ","BEST_FPERIOD_OVERRIDE=FQ","FILING_STATUS=OR","EQY_CONSOLIDATED=Y","Sort=A","Dates=H","DateFormat=P","Fill=—","Direction=H","UseDPDF=Y")</f>
        <v>#NAME?</v>
      </c>
      <c r="CN269" s="2" t="e">
        <f ca="1">_xll.BDH($C$253,"NET_DEBT_TO_SHRHLDR_EQTY","FQ1 2017","FQ1 2017","Currency=INR","Period=FQ","BEST_FPERIOD_OVERRIDE=FQ","FILING_STATUS=OR","EQY_CONSOLIDATED=Y","Sort=A","Dates=H","DateFormat=P","Fill=—","Direction=H","UseDPDF=Y")</f>
        <v>#NAME?</v>
      </c>
      <c r="CO269" s="2" t="e">
        <f ca="1">_xll.BDH($C$253,"NET_DEBT_%_CAPITAL","FQ1 2017","FQ1 2017","Currency=INR","Period=FQ","BEST_FPERIOD_OVERRIDE=FQ","FILING_STATUS=OR","EQY_CONSOLIDATED=Y","Sort=A","Dates=H","DateFormat=P","Fill=—","Direction=H","UseDPDF=Y")</f>
        <v>#NAME?</v>
      </c>
      <c r="CP269" s="3" t="e">
        <f ca="1">_xll.BDH($C$253,"EBITDA","FQ1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69" s="3" t="e">
        <f ca="1">_xll.BDH($C$253,"EBITDA_AFTER_CAPEX","FQ1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69" s="3" t="e">
        <f ca="1">_xll.BDH($C$253,"IS_OPER_INC","FQ1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69" s="2" t="e">
        <f ca="1">_xll.BDH($C$253,"CASH_RATIO","FQ1 2017","FQ1 2017","Currency=INR","Period=FQ","BEST_FPERIOD_OVERRIDE=FQ","FILING_STATUS=OR","EQY_CONSOLIDATED=Y","Sort=A","Dates=H","DateFormat=P","Fill=—","Direction=H","UseDPDF=Y")</f>
        <v>#NAME?</v>
      </c>
      <c r="CT269" s="2" t="e">
        <f ca="1">_xll.BDH($C$253,"CUR_RATIO","FQ1 2017","FQ1 2017","Currency=INR","Period=FQ","BEST_FPERIOD_OVERRIDE=FQ","FILING_STATUS=OR","EQY_CONSOLIDATED=Y","Sort=A","Dates=H","DateFormat=P","Fill=—","Direction=H","UseDPDF=Y")</f>
        <v>#NAME?</v>
      </c>
      <c r="CU269" s="2" t="e">
        <f ca="1">_xll.BDH($C$253,"QUICK_RATIO","FQ1 2017","FQ1 2017","Currency=INR","Period=FQ","BEST_FPERIOD_OVERRIDE=FQ","FILING_STATUS=OR","EQY_CONSOLIDATED=Y","Sort=A","Dates=H","DateFormat=P","Fill=—","Direction=H","UseDPDF=Y")</f>
        <v>#NAME?</v>
      </c>
      <c r="CV269" s="2" t="e">
        <f ca="1">_xll.BDH($C$253,"ALTMAN_Z_SCORE","FQ1 2017","FQ1 2017","Currency=INR","Period=FQ","BEST_FPERIOD_OVERRIDE=FQ","FILING_STATUS=OR","EQY_CONSOLIDATED=Y","Sort=A","Dates=H","DateFormat=P","Fill=—","Direction=H","UseDPDF=Y")</f>
        <v>#NAME?</v>
      </c>
      <c r="CW269" s="4" t="e">
        <f ca="1">_xll.BDH($C$253,"ACCT_RCV_TURN","FQ1 2017","FQ1 2017","Currency=INR","Period=FQ","BEST_FPERIOD_OVERRIDE=FQ","FILING_STATUS=OR","EQY_CONSOLIDATED=Y","FA_ADJUSTED=GAAP","Sort=A","Dates=H","DateFormat=P","Fill=—","Direction=H","UseDPDF=Y")</f>
        <v>#NAME?</v>
      </c>
      <c r="CX269" s="2" t="e">
        <f ca="1">_xll.BDH($C$253,"ACCT_RCV_DAYS","FQ1 2017","FQ1 2017","Currency=INR","Period=FQ","BEST_FPERIOD_OVERRIDE=FQ","FILING_STATUS=OR","EQY_CONSOLIDATED=Y","FA_ADJUSTED=GAAP","Sort=A","Dates=H","DateFormat=P","Fill=—","Direction=H","UseDPDF=Y")</f>
        <v>#NAME?</v>
      </c>
      <c r="CY269" s="4" t="e">
        <f ca="1">_xll.BDH($C$253,"INVENT_TURN","FQ1 2017","FQ1 2017","Currency=INR","Period=FQ","BEST_FPERIOD_OVERRIDE=FQ","FILING_STATUS=OR","EQY_CONSOLIDATED=Y","FA_ADJUSTED=GAAP","Sort=A","Dates=H","DateFormat=P","Fill=—","Direction=H","UseDPDF=Y")</f>
        <v>#NAME?</v>
      </c>
      <c r="CZ269" s="2" t="e">
        <f ca="1">_xll.BDH($C$253,"INVENT_DAYS","FQ1 2017","FQ1 2017","Currency=INR","Period=FQ","BEST_FPERIOD_OVERRIDE=FQ","FILING_STATUS=OR","EQY_CONSOLIDATED=Y","FA_ADJUSTED=GAAP","Sort=A","Dates=H","DateFormat=P","Fill=—","Direction=H","UseDPDF=Y")</f>
        <v>#NAME?</v>
      </c>
      <c r="DA269" s="4" t="e">
        <f ca="1">_xll.BDH($C$253,"ACCOUNTS_PAYABLE_TURNOVER","FQ1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69" s="2" t="e">
        <f ca="1">_xll.BDH($C$253,"ACCOUNTS_PAYABLE_TURNOVER_DAYS","FQ1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69" s="4" t="e">
        <f ca="1">_xll.BDH($C$253,"CASH_CONVERSION_CYCLE","FQ1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69" s="4" t="e">
        <f ca="1">_xll.BDH($C$253,"INV_TO_CASH_DAYS","FQ1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269" s="5" t="e">
        <f ca="1">_xll.BDH($C$253,"BS_INVENTORIES","FQ1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269" s="3" t="e">
        <f ca="1">_xll.BDH($C$253,"INVTRY_RAW_MATERIALS","FQ1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69" s="3" t="e">
        <f ca="1">_xll.BDH($C$253,"INVTRY_IN_PROGRESS","FQ1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69" s="3" t="e">
        <f ca="1">_xll.BDH($C$253,"INVTRY_FINISHED_GOODS","FQ1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69" s="3" t="e">
        <f ca="1">_xll.BDH($C$253,"BS_OTHER_INV","FQ1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70" spans="1:113" x14ac:dyDescent="0.3">
      <c r="A270" s="6"/>
      <c r="B270" s="6"/>
      <c r="C270" s="6"/>
      <c r="D270" s="6"/>
      <c r="E270" t="s">
        <v>79</v>
      </c>
      <c r="F270" t="e">
        <f ca="1">_xll.BDH($C$253,"RETURN_COM_EQY","FQ2 2017","FQ2 2017","Currency=INR","Period=FQ","BEST_FPERIOD_OVERRIDE=FQ","FILING_STATUS=OR","EQY_CONSOLIDATED=Y","FA_ADJUSTED=GAAP","Sort=A","Dates=H","DateFormat=P","Fill=—","Direction=H","UseDPDF=Y")</f>
        <v>#NAME?</v>
      </c>
      <c r="G270" t="e">
        <f ca="1">_xll.BDH($C$253,"RETURN_ON_ASSET","FQ2 2017","FQ2 2017","Currency=INR","Period=FQ","BEST_FPERIOD_OVERRIDE=FQ","FILING_STATUS=OR","EQY_CONSOLIDATED=Y","FA_ADJUSTED=GAAP","Sort=A","Dates=H","DateFormat=P","Fill=—","Direction=H","UseDPDF=Y")</f>
        <v>#NAME?</v>
      </c>
      <c r="H270" t="e">
        <f ca="1">_xll.BDH($C$253,"RETURN_ON_CAP","FQ2 2017","FQ2 2017","Currency=INR","Period=FQ","BEST_FPERIOD_OVERRIDE=FQ","FILING_STATUS=OR","EQY_CONSOLIDATED=Y","FA_ADJUSTED=GAAP","Sort=A","Dates=H","DateFormat=P","Fill=—","Direction=H","UseDPDF=Y")</f>
        <v>#NAME?</v>
      </c>
      <c r="I270" t="e">
        <f ca="1">_xll.BDH($C$253,"RETURN_ON_INV_CAPITAL","FQ2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70" t="e">
        <f ca="1">_xll.BDH($C$253,"EBITDA_TO_REVENUE","FQ2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270" t="e">
        <f ca="1">_xll.BDH($C$253,"OPER_MARGIN","FQ2 2017","FQ2 2017","Currency=INR","Period=FQ","BEST_FPERIOD_OVERRIDE=FQ","FILING_STATUS=OR","EQY_CONSOLIDATED=Y","FA_ADJUSTED=GAAP","Sort=A","Dates=H","DateFormat=P","Fill=—","Direction=H","UseDPDF=Y")</f>
        <v>#NAME?</v>
      </c>
      <c r="L270" t="e">
        <f ca="1">_xll.BDH($C$253,"INCREMENTAL_OPERATING_MARGIN","FQ2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70" t="e">
        <f ca="1">_xll.BDH($C$253,"PRETAX_INC_TO_NET_SALES","FQ2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70" t="e">
        <f ca="1">_xll.BDH($C$253,"INC_BEF_XO_ITEMS_TO_NET_SALES","FQ2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70" t="e">
        <f ca="1">_xll.BDH($C$253,"PROF_MARGIN","FQ2 2017","FQ2 2017","Currency=INR","Period=FQ","BEST_FPERIOD_OVERRIDE=FQ","FILING_STATUS=OR","EQY_CONSOLIDATED=Y","FA_ADJUSTED=GAAP","Sort=A","Dates=H","DateFormat=P","Fill=—","Direction=H","UseDPDF=Y")</f>
        <v>#NAME?</v>
      </c>
      <c r="P270" t="e">
        <f ca="1">_xll.BDH($C$253,"NET_INCOME_TO_COMMON_MARGIN","FQ2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70" t="e">
        <f ca="1">_xll.BDH($C$253,"EFF_TAX_RATE","FQ2 2017","FQ2 2017","Currency=INR","Period=FQ","BEST_FPERIOD_OVERRIDE=FQ","FILING_STATUS=OR","EQY_CONSOLIDATED=Y","FA_ADJUSTED=GAAP","Sort=A","Dates=H","DateFormat=P","Fill=—","Direction=H","UseDPDF=Y")</f>
        <v>#NAME?</v>
      </c>
      <c r="R270" t="e">
        <f ca="1">_xll.BDH($C$253,"DVD_PAYOUT_RATIO","FQ2 2017","FQ2 2017","Currency=INR","Period=FQ","BEST_FPERIOD_OVERRIDE=FQ","FILING_STATUS=OR","EQY_CONSOLIDATED=Y","FA_ADJUSTED=GAAP","Sort=A","Dates=H","DateFormat=P","Fill=—","Direction=H","UseDPDF=Y")</f>
        <v>#NAME?</v>
      </c>
      <c r="S270" t="e">
        <f ca="1">_xll.BDH($C$253,"SUSTAIN_GROWTH_RT","FQ2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270" s="2" t="e">
        <f ca="1">_xll.BDH($C$253,"SALES_GROWTH","FQ2 2017","FQ2 2017","Currency=INR","Period=FQ","BEST_FPERIOD_OVERRIDE=FQ","FILING_STATUS=OR","EQY_CONSOLIDATED=Y","FA_ADJUSTED=GAAP","Sort=A","Dates=H","DateFormat=P","Fill=—","Direction=H","UseDPDF=Y")</f>
        <v>#NAME?</v>
      </c>
      <c r="U270" s="2" t="e">
        <f ca="1">_xll.BDH($C$253,"EBITDA_GROWTH","FQ2 2017","FQ2 2017","Currency=INR","Period=FQ","BEST_FPERIOD_OVERRIDE=FQ","FILING_STATUS=OR","EQY_CONSOLIDATED=Y","FA_ADJUSTED=GAAP","Sort=A","Dates=H","DateFormat=P","Fill=—","Direction=H","UseDPDF=Y")</f>
        <v>#NAME?</v>
      </c>
      <c r="V270" s="2" t="e">
        <f ca="1">_xll.BDH($C$253,"OPER_INC_GROWTH","FQ2 2017","FQ2 2017","Currency=INR","Period=FQ","BEST_FPERIOD_OVERRIDE=FQ","FILING_STATUS=OR","EQY_CONSOLIDATED=Y","FA_ADJUSTED=GAAP","Sort=A","Dates=H","DateFormat=P","Fill=—","Direction=H","UseDPDF=Y")</f>
        <v>#NAME?</v>
      </c>
      <c r="W270" s="2" t="e">
        <f ca="1">_xll.BDH($C$253,"EARN_FOR_COM_GROWTH","FQ2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70" s="2" t="e">
        <f ca="1">_xll.BDH($C$253,"DILUTED_EPS_AFT_XO_ITEMS_GROWTH","FQ2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70" s="2" t="e">
        <f ca="1">_xll.BDH($C$253,"DIVIDEND_PER_SHARE_1_YEAR_GROWTH","FQ2 2017","FQ2 2017","Currency=INR","Period=FQ","BEST_FPERIOD_OVERRIDE=FQ","FILING_STATUS=OR","EQY_CONSOLIDATED=Y","Sort=A","Dates=H","DateFormat=P","Fill=—","Direction=H","UseDPDF=Y")</f>
        <v>#NAME?</v>
      </c>
      <c r="Z270" s="2" t="e">
        <f ca="1">_xll.BDH($C$253,"ACCOUNTS_RECEIVABLE_GROWTH","FQ2 2017","FQ2 2017","Currency=INR","Period=FQ","BEST_FPERIOD_OVERRIDE=FQ","FILING_STATUS=OR","EQY_CONSOLIDATED=Y","Sort=A","Dates=H","DateFormat=P","Fill=—","Direction=H","UseDPDF=Y")</f>
        <v>#NAME?</v>
      </c>
      <c r="AA270" s="2" t="e">
        <f ca="1">_xll.BDH($C$253,"INVENTORY_GROWTH","FQ2 2017","FQ2 2017","Currency=INR","Period=FQ","BEST_FPERIOD_OVERRIDE=FQ","FILING_STATUS=OR","EQY_CONSOLIDATED=Y","Sort=A","Dates=H","DateFormat=P","Fill=—","Direction=H","UseDPDF=Y")</f>
        <v>#NAME?</v>
      </c>
      <c r="AB270" s="2" t="e">
        <f ca="1">_xll.BDH($C$253,"NET_FIXED_ASSETS_1_YEAR_GROWTH","FQ2 2017","FQ2 2017","Currency=INR","Period=FQ","BEST_FPERIOD_OVERRIDE=FQ","FILING_STATUS=OR","EQY_CONSOLIDATED=Y","Sort=A","Dates=H","DateFormat=P","Fill=—","Direction=H","UseDPDF=Y")</f>
        <v>#NAME?</v>
      </c>
      <c r="AC270" s="2" t="e">
        <f ca="1">_xll.BDH($C$253,"ASSET_GROWTH","FQ2 2017","FQ2 2017","Currency=INR","Period=FQ","BEST_FPERIOD_OVERRIDE=FQ","FILING_STATUS=OR","EQY_CONSOLIDATED=Y","Sort=A","Dates=H","DateFormat=P","Fill=—","Direction=H","UseDPDF=Y")</f>
        <v>#NAME?</v>
      </c>
      <c r="AD270" s="2" t="e">
        <f ca="1">_xll.BDH($C$253,"MODIFIED_WORK_CAP_GROWTH","FQ2 2017","FQ2 2017","Currency=INR","Period=FQ","BEST_FPERIOD_OVERRIDE=FQ","FILING_STATUS=OR","EQY_CONSOLIDATED=Y","Sort=A","Dates=H","DateFormat=P","Fill=—","Direction=H","UseDPDF=Y")</f>
        <v>#NAME?</v>
      </c>
      <c r="AE270" s="2" t="e">
        <f ca="1">_xll.BDH($C$253,"WORK_CAP_GROWTH","FQ2 2017","FQ2 2017","Currency=INR","Period=FQ","BEST_FPERIOD_OVERRIDE=FQ","FILING_STATUS=OR","EQY_CONSOLIDATED=Y","Sort=A","Dates=H","DateFormat=P","Fill=—","Direction=H","UseDPDF=Y")</f>
        <v>#NAME?</v>
      </c>
      <c r="AF270" s="2" t="e">
        <f ca="1">_xll.BDH($C$253,"ACCOUNTS_PAYABLE_GROWTH_1YR","FQ2 2017","FQ2 2017","Currency=INR","Period=FQ","BEST_FPERIOD_OVERRIDE=FQ","FILING_STATUS=OR","EQY_CONSOLIDATED=Y","Sort=A","Dates=H","DateFormat=P","Fill=—","Direction=H","UseDPDF=Y")</f>
        <v>#NAME?</v>
      </c>
      <c r="AG270" s="2" t="e">
        <f ca="1">_xll.BDH($C$253,"SHORT_TERM_DEBT_1_YEAR_GROWTH","FQ2 2017","FQ2 2017","Currency=INR","Period=FQ","BEST_FPERIOD_OVERRIDE=FQ","FILING_STATUS=OR","EQY_CONSOLIDATED=Y","Sort=A","Dates=H","DateFormat=P","Fill=—","Direction=H","UseDPDF=Y")</f>
        <v>#NAME?</v>
      </c>
      <c r="AH270" s="2" t="e">
        <f ca="1">_xll.BDH($C$253,"TOTAL_DEBT_1_YEAR_GROWTH","FQ2 2017","FQ2 2017","Currency=INR","Period=FQ","BEST_FPERIOD_OVERRIDE=FQ","FILING_STATUS=OR","EQY_CONSOLIDATED=Y","Sort=A","Dates=H","DateFormat=P","Fill=—","Direction=H","UseDPDF=Y")</f>
        <v>#NAME?</v>
      </c>
      <c r="AI270" s="2" t="e">
        <f ca="1">_xll.BDH($C$253,"TOTAL_EQUITY_1_YEAR_GROWTH","FQ2 2017","FQ2 2017","Currency=INR","Period=FQ","BEST_FPERIOD_OVERRIDE=FQ","FILING_STATUS=OR","EQY_CONSOLIDATED=Y","Sort=A","Dates=H","DateFormat=P","Fill=—","Direction=H","UseDPDF=Y")</f>
        <v>#NAME?</v>
      </c>
      <c r="AJ270" s="2" t="e">
        <f ca="1">_xll.BDH($C$253,"GROWTH_IN_CAP","FQ2 2017","FQ2 2017","Currency=INR","Period=FQ","BEST_FPERIOD_OVERRIDE=FQ","FILING_STATUS=OR","EQY_CONSOLIDATED=Y","Sort=A","Dates=H","DateFormat=P","Fill=—","Direction=H","UseDPDF=Y")</f>
        <v>#NAME?</v>
      </c>
      <c r="AK270" s="2" t="e">
        <f ca="1">_xll.BDH($C$253,"BVPS_GROWTH","FQ2 2017","FQ2 2017","Currency=INR","Period=FQ","BEST_FPERIOD_OVERRIDE=FQ","FILING_STATUS=OR","EQY_CONSOLIDATED=Y","Sort=A","Dates=H","DateFormat=P","Fill=—","Direction=H","UseDPDF=Y")</f>
        <v>#NAME?</v>
      </c>
      <c r="AL270" s="2" t="e">
        <f ca="1">_xll.BDH($C$253,"CASH_FLOW_GROWTH","FQ2 2017","FQ2 2017","Currency=INR","Period=FQ","BEST_FPERIOD_OVERRIDE=FQ","FILING_STATUS=OR","EQY_CONSOLIDATED=Y","Sort=A","Dates=H","DateFormat=P","Fill=—","Direction=H","UseDPDF=Y")</f>
        <v>#NAME?</v>
      </c>
      <c r="AM270" s="2" t="e">
        <f ca="1">_xll.BDH($C$253,"GEO_GROW_NET_SALES","FQ2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70" s="2" t="e">
        <f ca="1">_xll.BDH($C$253,"GEO_GROW_EBITDA","FQ2 2017","FQ2 2017","Currency=INR","Period=FQ","BEST_FPERIOD_OVERRIDE=FQ","FILING_STATUS=OR","EQY_CONSOLIDATED=Y","FA_ADJUSTED=GAAP","Sort=A","Dates=H","DateFormat=P","Fill=—","Direction=H","UseDPDF=Y")</f>
        <v>#NAME?</v>
      </c>
      <c r="AO270" s="2" t="e">
        <f ca="1">_xll.BDH($C$253,"GEO_GROW_OPER_INC","FQ2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70" s="2" t="e">
        <f ca="1">_xll.BDH($C$253,"NET_INCOME_TO_COMMON_5_YR_GROWTH","FQ2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70" s="2" t="e">
        <f ca="1">_xll.BDH($C$253,"5Y_GEO_GROWTH_DILUTED_EPS","FQ2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70" s="2" t="e">
        <f ca="1">_xll.BDH($C$253,"GEO_GROW_DVD_PER_SH","FQ2 2017","FQ2 2017","Currency=INR","Period=FQ","BEST_FPERIOD_OVERRIDE=FQ","FILING_STATUS=OR","EQY_CONSOLIDATED=Y","Sort=A","Dates=H","DateFormat=P","Fill=—","Direction=H","UseDPDF=Y")</f>
        <v>#NAME?</v>
      </c>
      <c r="AS270" s="2" t="e">
        <f ca="1">_xll.BDH($C$253,"ACCOUNTS_RECEIVABLE_5_YR_GROWTH","FQ2 2017","FQ2 2017","Currency=INR","Period=FQ","BEST_FPERIOD_OVERRIDE=FQ","FILING_STATUS=OR","EQY_CONSOLIDATED=Y","Sort=A","Dates=H","DateFormat=P","Fill=—","Direction=H","UseDPDF=Y")</f>
        <v>#NAME?</v>
      </c>
      <c r="AT270" s="2" t="e">
        <f ca="1">_xll.BDH($C$253,"INVENTORY_5_YEAR_GROWTH","FQ2 2017","FQ2 2017","Currency=INR","Period=FQ","BEST_FPERIOD_OVERRIDE=FQ","FILING_STATUS=OR","EQY_CONSOLIDATED=Y","Sort=A","Dates=H","DateFormat=P","Fill=—","Direction=H","UseDPDF=Y")</f>
        <v>#NAME?</v>
      </c>
      <c r="AU270" s="2" t="e">
        <f ca="1">_xll.BDH($C$253,"NET_FIXED_ASSETS_5_YEAR_GROWTH","FQ2 2017","FQ2 2017","Currency=INR","Period=FQ","BEST_FPERIOD_OVERRIDE=FQ","FILING_STATUS=OR","EQY_CONSOLIDATED=Y","Sort=A","Dates=H","DateFormat=P","Fill=—","Direction=H","UseDPDF=Y")</f>
        <v>#NAME?</v>
      </c>
      <c r="AV270" s="2" t="e">
        <f ca="1">_xll.BDH($C$253,"GEO_GROW_TOT_ASSET","FQ2 2017","FQ2 2017","Currency=INR","Period=FQ","BEST_FPERIOD_OVERRIDE=FQ","FILING_STATUS=OR","EQY_CONSOLIDATED=Y","Sort=A","Dates=H","DateFormat=P","Fill=—","Direction=H","UseDPDF=Y")</f>
        <v>#NAME?</v>
      </c>
      <c r="AW270" s="2" t="e">
        <f ca="1">_xll.BDH($C$253,"MODIFIED_WORKING_CPTL_5YR_GRWTH","FQ2 2017","FQ2 2017","Currency=INR","Period=FQ","BEST_FPERIOD_OVERRIDE=FQ","FILING_STATUS=OR","EQY_CONSOLIDATED=Y","Sort=A","Dates=H","DateFormat=P","Fill=—","Direction=H","UseDPDF=Y")</f>
        <v>#NAME?</v>
      </c>
      <c r="AX270" s="2" t="e">
        <f ca="1">_xll.BDH($C$253,"WORKING_CAPITAL_5_YEAR_GROWTH","FQ2 2017","FQ2 2017","Currency=INR","Period=FQ","BEST_FPERIOD_OVERRIDE=FQ","FILING_STATUS=OR","EQY_CONSOLIDATED=Y","Sort=A","Dates=H","DateFormat=P","Fill=—","Direction=H","UseDPDF=Y")</f>
        <v>#NAME?</v>
      </c>
      <c r="AY270" s="2" t="e">
        <f ca="1">_xll.BDH($C$253,"ACCOUNTS_PAYABLE_5_YEAR_GROWTH","FQ2 2017","FQ2 2017","Currency=INR","Period=FQ","BEST_FPERIOD_OVERRIDE=FQ","FILING_STATUS=OR","EQY_CONSOLIDATED=Y","Sort=A","Dates=H","DateFormat=P","Fill=—","Direction=H","UseDPDF=Y")</f>
        <v>#NAME?</v>
      </c>
      <c r="AZ270" s="2" t="e">
        <f ca="1">_xll.BDH($C$253,"SHORT_TERM_DEBT_5_YEAR_GROWTH","FQ2 2017","FQ2 2017","Currency=INR","Period=FQ","BEST_FPERIOD_OVERRIDE=FQ","FILING_STATUS=OR","EQY_CONSOLIDATED=Y","Sort=A","Dates=H","DateFormat=P","Fill=—","Direction=H","UseDPDF=Y")</f>
        <v>#NAME?</v>
      </c>
      <c r="BA270" s="2" t="e">
        <f ca="1">_xll.BDH($C$253,"TOTAL_DEBT_5_YEAR_GROWTH","FQ2 2017","FQ2 2017","Currency=INR","Period=FQ","BEST_FPERIOD_OVERRIDE=FQ","FILING_STATUS=OR","EQY_CONSOLIDATED=Y","Sort=A","Dates=H","DateFormat=P","Fill=—","Direction=H","UseDPDF=Y")</f>
        <v>#NAME?</v>
      </c>
      <c r="BB270" s="2" t="e">
        <f ca="1">_xll.BDH($C$253,"GEO_GROW_TOT_SHRHLDR_EQY","FQ2 2017","FQ2 2017","Currency=INR","Period=FQ","BEST_FPERIOD_OVERRIDE=FQ","FILING_STATUS=OR","EQY_CONSOLIDATED=Y","Sort=A","Dates=H","DateFormat=P","Fill=—","Direction=H","UseDPDF=Y")</f>
        <v>#NAME?</v>
      </c>
      <c r="BC270" s="2" t="e">
        <f ca="1">_xll.BDH($C$253,"TOTAL_CAPITAL_5_YEAR_GROWTH","FQ2 2017","FQ2 2017","Currency=INR","Period=FQ","BEST_FPERIOD_OVERRIDE=FQ","FILING_STATUS=OR","EQY_CONSOLIDATED=Y","Sort=A","Dates=H","DateFormat=P","Fill=—","Direction=H","UseDPDF=Y")</f>
        <v>#NAME?</v>
      </c>
      <c r="BD270" s="2" t="e">
        <f ca="1">_xll.BDH($C$253,"GEO_GROW_BOOK_VAL","FQ2 2017","FQ2 2017","Currency=INR","Period=FQ","BEST_FPERIOD_OVERRIDE=FQ","FILING_STATUS=OR","EQY_CONSOLIDATED=Y","Sort=A","Dates=H","DateFormat=P","Fill=—","Direction=H","UseDPDF=Y")</f>
        <v>#NAME?</v>
      </c>
      <c r="BE270" s="2" t="e">
        <f ca="1">_xll.BDH($C$253,"GEO_GROW_CASH_OPER_ACT","FQ2 2017","FQ2 2017","Currency=INR","Period=FQ","BEST_FPERIOD_OVERRIDE=FQ","FILING_STATUS=OR","EQY_CONSOLIDATED=Y","Sort=A","Dates=H","DateFormat=P","Fill=—","Direction=H","UseDPDF=Y")</f>
        <v>#NAME?</v>
      </c>
      <c r="BF270" s="2" t="e">
        <f ca="1">_xll.BDH($C$253,"REVENUE_SEQUENTIAL_GROWTH","FQ2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70" s="2" t="e">
        <f ca="1">_xll.BDH($C$253,"EBITDA_SEQUENTIAL_GROWTH","FQ2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70" s="2" t="e">
        <f ca="1">_xll.BDH($C$253,"OPERATING_INCOME_SEQ_GROWTH","FQ2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70" s="2" t="e">
        <f ca="1">_xll.BDH($C$253,"NET_INCOME_TO_COMMON_SEQ_GROWTH","FQ2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70" s="2" t="e">
        <f ca="1">_xll.BDH($C$253,"EPS_DILUTED_SEQUENTIAL_GROWTH","FQ2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70" s="2" t="e">
        <f ca="1">_xll.BDH($C$253,"DPS_SEQUENTIAL_GROWTH","FQ2 2017","FQ2 2017","Currency=INR","Period=FQ","BEST_FPERIOD_OVERRIDE=FQ","FILING_STATUS=OR","EQY_CONSOLIDATED=Y","Sort=A","Dates=H","DateFormat=P","Fill=—","Direction=H","UseDPDF=Y")</f>
        <v>#NAME?</v>
      </c>
      <c r="BL270" s="2" t="e">
        <f ca="1">_xll.BDH($C$253,"ACCOUNTS_RECEIVABLE_SEQ_GROWTH","FQ2 2017","FQ2 2017","Currency=INR","Period=FQ","BEST_FPERIOD_OVERRIDE=FQ","FILING_STATUS=OR","EQY_CONSOLIDATED=Y","Sort=A","Dates=H","DateFormat=P","Fill=—","Direction=H","UseDPDF=Y")</f>
        <v>#NAME?</v>
      </c>
      <c r="BM270" s="2" t="e">
        <f ca="1">_xll.BDH($C$253,"INVENTORY_SEQUENTIAL_GROWTH","FQ2 2017","FQ2 2017","Currency=INR","Period=FQ","BEST_FPERIOD_OVERRIDE=FQ","FILING_STATUS=OR","EQY_CONSOLIDATED=Y","Sort=A","Dates=H","DateFormat=P","Fill=—","Direction=H","UseDPDF=Y")</f>
        <v>#NAME?</v>
      </c>
      <c r="BN270" s="2" t="e">
        <f ca="1">_xll.BDH($C$253,"FIXED_ASSETS_SEQUENTIAL_GROWTH","FQ2 2017","FQ2 2017","Currency=INR","Period=FQ","BEST_FPERIOD_OVERRIDE=FQ","FILING_STATUS=OR","EQY_CONSOLIDATED=Y","Sort=A","Dates=H","DateFormat=P","Fill=—","Direction=H","UseDPDF=Y")</f>
        <v>#NAME?</v>
      </c>
      <c r="BO270" s="2" t="e">
        <f ca="1">_xll.BDH($C$253,"TOTAL_ASSETS_SEQUENTIAL_GROWTH","FQ2 2017","FQ2 2017","Currency=INR","Period=FQ","BEST_FPERIOD_OVERRIDE=FQ","FILING_STATUS=OR","EQY_CONSOLIDATED=Y","Sort=A","Dates=H","DateFormat=P","Fill=—","Direction=H","UseDPDF=Y")</f>
        <v>#NAME?</v>
      </c>
      <c r="BP270" s="2" t="e">
        <f ca="1">_xll.BDH($C$253,"MODIFIED_WORKING_CPTL_SEQ_GRWTH","FQ2 2017","FQ2 2017","Currency=INR","Period=FQ","BEST_FPERIOD_OVERRIDE=FQ","FILING_STATUS=OR","EQY_CONSOLIDATED=Y","Sort=A","Dates=H","DateFormat=P","Fill=—","Direction=H","UseDPDF=Y")</f>
        <v>#NAME?</v>
      </c>
      <c r="BQ270" s="2" t="e">
        <f ca="1">_xll.BDH($C$253,"WORKING_CAPITAL_SEQ_GROWTH","FQ2 2017","FQ2 2017","Currency=INR","Period=FQ","BEST_FPERIOD_OVERRIDE=FQ","FILING_STATUS=OR","EQY_CONSOLIDATED=Y","Sort=A","Dates=H","DateFormat=P","Fill=—","Direction=H","UseDPDF=Y")</f>
        <v>#NAME?</v>
      </c>
      <c r="BR270" s="2" t="e">
        <f ca="1">_xll.BDH($C$253,"ACCOUNTS_PAYABLE_SEQ_GROWTH","FQ2 2017","FQ2 2017","Currency=INR","Period=FQ","BEST_FPERIOD_OVERRIDE=FQ","FILING_STATUS=OR","EQY_CONSOLIDATED=Y","Sort=A","Dates=H","DateFormat=P","Fill=—","Direction=H","UseDPDF=Y")</f>
        <v>#NAME?</v>
      </c>
      <c r="BS270" s="2" t="e">
        <f ca="1">_xll.BDH($C$253,"ST_DEBT_SEQUENTIAL_GROWTH","FQ2 2017","FQ2 2017","Currency=INR","Period=FQ","BEST_FPERIOD_OVERRIDE=FQ","FILING_STATUS=OR","EQY_CONSOLIDATED=Y","Sort=A","Dates=H","DateFormat=P","Fill=—","Direction=H","UseDPDF=Y")</f>
        <v>#NAME?</v>
      </c>
      <c r="BT270" s="2" t="e">
        <f ca="1">_xll.BDH($C$253,"TOTAL_DEBT_SEQUENTIAL_GROWTH","FQ2 2017","FQ2 2017","Currency=INR","Period=FQ","BEST_FPERIOD_OVERRIDE=FQ","FILING_STATUS=OR","EQY_CONSOLIDATED=Y","Sort=A","Dates=H","DateFormat=P","Fill=—","Direction=H","UseDPDF=Y")</f>
        <v>#NAME?</v>
      </c>
      <c r="BU270" s="2" t="e">
        <f ca="1">_xll.BDH($C$253,"TOTAL_EQUITY_SEQUENTIAL_GROWTH","FQ2 2017","FQ2 2017","Currency=INR","Period=FQ","BEST_FPERIOD_OVERRIDE=FQ","FILING_STATUS=OR","EQY_CONSOLIDATED=Y","Sort=A","Dates=H","DateFormat=P","Fill=—","Direction=H","UseDPDF=Y")</f>
        <v>#NAME?</v>
      </c>
      <c r="BV270" s="2" t="e">
        <f ca="1">_xll.BDH($C$253,"TOTAL_CAPITAL_SEQUENTIAL_GROWTH","FQ2 2017","FQ2 2017","Currency=INR","Period=FQ","BEST_FPERIOD_OVERRIDE=FQ","FILING_STATUS=OR","EQY_CONSOLIDATED=Y","Sort=A","Dates=H","DateFormat=P","Fill=—","Direction=H","UseDPDF=Y")</f>
        <v>#NAME?</v>
      </c>
      <c r="BW270" s="2" t="e">
        <f ca="1">_xll.BDH($C$253,"BPS_SEQUENTIAL_GROWTH","FQ2 2017","FQ2 2017","Currency=INR","Period=FQ","BEST_FPERIOD_OVERRIDE=FQ","FILING_STATUS=OR","EQY_CONSOLIDATED=Y","Sort=A","Dates=H","DateFormat=P","Fill=—","Direction=H","UseDPDF=Y")</f>
        <v>#NAME?</v>
      </c>
      <c r="BX270" s="2" t="e">
        <f ca="1">_xll.BDH($C$253,"CFO_SEQUENTIAL_GROWTH","FQ2 2017","FQ2 2017","Currency=INR","Period=FQ","BEST_FPERIOD_OVERRIDE=FQ","FILING_STATUS=OR","EQY_CONSOLIDATED=Y","Sort=A","Dates=H","DateFormat=P","Fill=—","Direction=H","UseDPDF=Y")</f>
        <v>#NAME?</v>
      </c>
      <c r="BY270" s="3" t="e">
        <f ca="1">_xll.BDH($C$253,"SHORT_AND_LONG_TERM_DEBT","FQ2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70" s="3" t="e">
        <f ca="1">_xll.BDH($C$253,"BS_ST_BORROW","FQ2 2017","FQ2 2017","Currency=INR","Period=FQ","BEST_FPERIOD_OVERRIDE=FQ","FILING_STATUS=OR","EQY_CONSOLIDATED=Y","SCALING_FORMAT=MLN","Sort=A","Dates=H","DateFormat=P","Fill=—","Direction=H","UseDPDF=Y")</f>
        <v>#NAME?</v>
      </c>
      <c r="CA270" s="3" t="e">
        <f ca="1">_xll.BDH($C$253,"BS_LT_BORROW","FQ2 2017","FQ2 2017","Currency=INR","Period=FQ","BEST_FPERIOD_OVERRIDE=FQ","FILING_STATUS=OR","EQY_CONSOLIDATED=Y","SCALING_FORMAT=MLN","Sort=A","Dates=H","DateFormat=P","Fill=—","Direction=H","UseDPDF=Y")</f>
        <v>#NAME?</v>
      </c>
      <c r="CB270" s="2" t="e">
        <f ca="1">_xll.BDH($C$253,"TOT_DEBT_TO_EBITDA","FQ2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70" s="2" t="e">
        <f ca="1">_xll.BDH($C$253,"NET_DEBT_TO_EBITDA","FQ2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70" s="2" t="e">
        <f ca="1">_xll.BDH($C$253,"TOTAL_DEBT_TO_EBIT","FQ2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70" s="2" t="e">
        <f ca="1">_xll.BDH($C$253,"NET_DEBT_TO_EBIT","FQ2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270" s="2" t="e">
        <f ca="1">_xll.BDH($C$253,"EBITDA_TO_INTEREST_EXPN","FQ2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70" s="2" t="e">
        <f ca="1">_xll.BDH($C$253,"COM_EQY_TO_TOT_ASSET","FQ2 2017","FQ2 2017","Currency=INR","Period=FQ","BEST_FPERIOD_OVERRIDE=FQ","FILING_STATUS=OR","EQY_CONSOLIDATED=Y","Sort=A","Dates=H","DateFormat=P","Fill=—","Direction=H","UseDPDF=Y")</f>
        <v>#NAME?</v>
      </c>
      <c r="CH270" s="2" t="e">
        <f ca="1">_xll.BDH($C$253,"LT_DEBT_TO_TOT_EQY","FQ2 2017","FQ2 2017","Currency=INR","Period=FQ","BEST_FPERIOD_OVERRIDE=FQ","FILING_STATUS=OR","EQY_CONSOLIDATED=Y","Sort=A","Dates=H","DateFormat=P","Fill=—","Direction=H","UseDPDF=Y")</f>
        <v>#NAME?</v>
      </c>
      <c r="CI270" s="2" t="e">
        <f ca="1">_xll.BDH($C$253,"LT_DEBT_TO_TOT_CAP","FQ2 2017","FQ2 2017","Currency=INR","Period=FQ","BEST_FPERIOD_OVERRIDE=FQ","FILING_STATUS=OR","EQY_CONSOLIDATED=Y","Sort=A","Dates=H","DateFormat=P","Fill=—","Direction=H","UseDPDF=Y")</f>
        <v>#NAME?</v>
      </c>
      <c r="CJ270" s="2" t="e">
        <f ca="1">_xll.BDH($C$253,"LT_DEBT_TO_TOT_ASSET","FQ2 2017","FQ2 2017","Currency=INR","Period=FQ","BEST_FPERIOD_OVERRIDE=FQ","FILING_STATUS=OR","EQY_CONSOLIDATED=Y","Sort=A","Dates=H","DateFormat=P","Fill=—","Direction=H","UseDPDF=Y")</f>
        <v>#NAME?</v>
      </c>
      <c r="CK270" s="2" t="e">
        <f ca="1">_xll.BDH($C$253,"TOT_DEBT_TO_TOT_EQY","FQ2 2017","FQ2 2017","Currency=INR","Period=FQ","BEST_FPERIOD_OVERRIDE=FQ","FILING_STATUS=OR","EQY_CONSOLIDATED=Y","Sort=A","Dates=H","DateFormat=P","Fill=—","Direction=H","UseDPDF=Y")</f>
        <v>#NAME?</v>
      </c>
      <c r="CL270" s="2" t="e">
        <f ca="1">_xll.BDH($C$253,"TOT_DEBT_TO_TOT_CAP","FQ2 2017","FQ2 2017","Currency=INR","Period=FQ","BEST_FPERIOD_OVERRIDE=FQ","FILING_STATUS=OR","EQY_CONSOLIDATED=Y","Sort=A","Dates=H","DateFormat=P","Fill=—","Direction=H","UseDPDF=Y")</f>
        <v>#NAME?</v>
      </c>
      <c r="CM270" s="2" t="e">
        <f ca="1">_xll.BDH($C$253,"TOT_DEBT_TO_TOT_ASSET","FQ2 2017","FQ2 2017","Currency=INR","Period=FQ","BEST_FPERIOD_OVERRIDE=FQ","FILING_STATUS=OR","EQY_CONSOLIDATED=Y","Sort=A","Dates=H","DateFormat=P","Fill=—","Direction=H","UseDPDF=Y")</f>
        <v>#NAME?</v>
      </c>
      <c r="CN270" s="2" t="e">
        <f ca="1">_xll.BDH($C$253,"NET_DEBT_TO_SHRHLDR_EQTY","FQ2 2017","FQ2 2017","Currency=INR","Period=FQ","BEST_FPERIOD_OVERRIDE=FQ","FILING_STATUS=OR","EQY_CONSOLIDATED=Y","Sort=A","Dates=H","DateFormat=P","Fill=—","Direction=H","UseDPDF=Y")</f>
        <v>#NAME?</v>
      </c>
      <c r="CO270" s="2" t="e">
        <f ca="1">_xll.BDH($C$253,"NET_DEBT_%_CAPITAL","FQ2 2017","FQ2 2017","Currency=INR","Period=FQ","BEST_FPERIOD_OVERRIDE=FQ","FILING_STATUS=OR","EQY_CONSOLIDATED=Y","Sort=A","Dates=H","DateFormat=P","Fill=—","Direction=H","UseDPDF=Y")</f>
        <v>#NAME?</v>
      </c>
      <c r="CP270" s="3" t="e">
        <f ca="1">_xll.BDH($C$253,"EBITDA","FQ2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70" s="3" t="e">
        <f ca="1">_xll.BDH($C$253,"EBITDA_AFTER_CAPEX","FQ2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70" s="3" t="e">
        <f ca="1">_xll.BDH($C$253,"IS_OPER_INC","FQ2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70" s="2" t="e">
        <f ca="1">_xll.BDH($C$253,"CASH_RATIO","FQ2 2017","FQ2 2017","Currency=INR","Period=FQ","BEST_FPERIOD_OVERRIDE=FQ","FILING_STATUS=OR","EQY_CONSOLIDATED=Y","Sort=A","Dates=H","DateFormat=P","Fill=—","Direction=H","UseDPDF=Y")</f>
        <v>#NAME?</v>
      </c>
      <c r="CT270" s="2" t="e">
        <f ca="1">_xll.BDH($C$253,"CUR_RATIO","FQ2 2017","FQ2 2017","Currency=INR","Period=FQ","BEST_FPERIOD_OVERRIDE=FQ","FILING_STATUS=OR","EQY_CONSOLIDATED=Y","Sort=A","Dates=H","DateFormat=P","Fill=—","Direction=H","UseDPDF=Y")</f>
        <v>#NAME?</v>
      </c>
      <c r="CU270" s="2" t="e">
        <f ca="1">_xll.BDH($C$253,"QUICK_RATIO","FQ2 2017","FQ2 2017","Currency=INR","Period=FQ","BEST_FPERIOD_OVERRIDE=FQ","FILING_STATUS=OR","EQY_CONSOLIDATED=Y","Sort=A","Dates=H","DateFormat=P","Fill=—","Direction=H","UseDPDF=Y")</f>
        <v>#NAME?</v>
      </c>
      <c r="CV270" s="2" t="e">
        <f ca="1">_xll.BDH($C$253,"ALTMAN_Z_SCORE","FQ2 2017","FQ2 2017","Currency=INR","Period=FQ","BEST_FPERIOD_OVERRIDE=FQ","FILING_STATUS=OR","EQY_CONSOLIDATED=Y","Sort=A","Dates=H","DateFormat=P","Fill=—","Direction=H","UseDPDF=Y")</f>
        <v>#NAME?</v>
      </c>
      <c r="CW270" s="4" t="e">
        <f ca="1">_xll.BDH($C$253,"ACCT_RCV_TURN","FQ2 2017","FQ2 2017","Currency=INR","Period=FQ","BEST_FPERIOD_OVERRIDE=FQ","FILING_STATUS=OR","EQY_CONSOLIDATED=Y","FA_ADJUSTED=GAAP","Sort=A","Dates=H","DateFormat=P","Fill=—","Direction=H","UseDPDF=Y")</f>
        <v>#NAME?</v>
      </c>
      <c r="CX270" s="2" t="e">
        <f ca="1">_xll.BDH($C$253,"ACCT_RCV_DAYS","FQ2 2017","FQ2 2017","Currency=INR","Period=FQ","BEST_FPERIOD_OVERRIDE=FQ","FILING_STATUS=OR","EQY_CONSOLIDATED=Y","FA_ADJUSTED=GAAP","Sort=A","Dates=H","DateFormat=P","Fill=—","Direction=H","UseDPDF=Y")</f>
        <v>#NAME?</v>
      </c>
      <c r="CY270" s="4" t="e">
        <f ca="1">_xll.BDH($C$253,"INVENT_TURN","FQ2 2017","FQ2 2017","Currency=INR","Period=FQ","BEST_FPERIOD_OVERRIDE=FQ","FILING_STATUS=OR","EQY_CONSOLIDATED=Y","FA_ADJUSTED=GAAP","Sort=A","Dates=H","DateFormat=P","Fill=—","Direction=H","UseDPDF=Y")</f>
        <v>#NAME?</v>
      </c>
      <c r="CZ270" s="2" t="e">
        <f ca="1">_xll.BDH($C$253,"INVENT_DAYS","FQ2 2017","FQ2 2017","Currency=INR","Period=FQ","BEST_FPERIOD_OVERRIDE=FQ","FILING_STATUS=OR","EQY_CONSOLIDATED=Y","FA_ADJUSTED=GAAP","Sort=A","Dates=H","DateFormat=P","Fill=—","Direction=H","UseDPDF=Y")</f>
        <v>#NAME?</v>
      </c>
      <c r="DA270" s="4" t="e">
        <f ca="1">_xll.BDH($C$253,"ACCOUNTS_PAYABLE_TURNOVER","FQ2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70" s="2" t="e">
        <f ca="1">_xll.BDH($C$253,"ACCOUNTS_PAYABLE_TURNOVER_DAYS","FQ2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70" s="4" t="e">
        <f ca="1">_xll.BDH($C$253,"CASH_CONVERSION_CYCLE","FQ2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70" s="4" t="e">
        <f ca="1">_xll.BDH($C$253,"INV_TO_CASH_DAYS","FQ2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270" s="5" t="e">
        <f ca="1">_xll.BDH($C$253,"BS_INVENTORIES","FQ2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270" s="3" t="e">
        <f ca="1">_xll.BDH($C$253,"INVTRY_RAW_MATERIALS","FQ2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70" s="3" t="e">
        <f ca="1">_xll.BDH($C$253,"INVTRY_IN_PROGRESS","FQ2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70" s="3" t="e">
        <f ca="1">_xll.BDH($C$253,"INVTRY_FINISHED_GOODS","FQ2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70" s="3" t="e">
        <f ca="1">_xll.BDH($C$253,"BS_OTHER_INV","FQ2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71" spans="1:113" x14ac:dyDescent="0.3">
      <c r="A271" s="6"/>
      <c r="B271" s="6"/>
      <c r="C271" s="6"/>
      <c r="D271" s="6"/>
      <c r="E271" t="s">
        <v>80</v>
      </c>
      <c r="F271" t="e">
        <f ca="1">_xll.BDH($C$253,"RETURN_COM_EQY","FQ3 2017","FQ3 2017","Currency=INR","Period=FQ","BEST_FPERIOD_OVERRIDE=FQ","FILING_STATUS=OR","EQY_CONSOLIDATED=Y","FA_ADJUSTED=GAAP","Sort=A","Dates=H","DateFormat=P","Fill=—","Direction=H","UseDPDF=Y")</f>
        <v>#NAME?</v>
      </c>
      <c r="G271" t="e">
        <f ca="1">_xll.BDH($C$253,"RETURN_ON_ASSET","FQ3 2017","FQ3 2017","Currency=INR","Period=FQ","BEST_FPERIOD_OVERRIDE=FQ","FILING_STATUS=OR","EQY_CONSOLIDATED=Y","FA_ADJUSTED=GAAP","Sort=A","Dates=H","DateFormat=P","Fill=—","Direction=H","UseDPDF=Y")</f>
        <v>#NAME?</v>
      </c>
      <c r="H271" t="e">
        <f ca="1">_xll.BDH($C$253,"RETURN_ON_CAP","FQ3 2017","FQ3 2017","Currency=INR","Period=FQ","BEST_FPERIOD_OVERRIDE=FQ","FILING_STATUS=OR","EQY_CONSOLIDATED=Y","FA_ADJUSTED=GAAP","Sort=A","Dates=H","DateFormat=P","Fill=—","Direction=H","UseDPDF=Y")</f>
        <v>#NAME?</v>
      </c>
      <c r="I271" t="e">
        <f ca="1">_xll.BDH($C$253,"RETURN_ON_INV_CAPITAL","FQ3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71" t="e">
        <f ca="1">_xll.BDH($C$253,"EBITDA_TO_REVENUE","FQ3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271" t="e">
        <f ca="1">_xll.BDH($C$253,"OPER_MARGIN","FQ3 2017","FQ3 2017","Currency=INR","Period=FQ","BEST_FPERIOD_OVERRIDE=FQ","FILING_STATUS=OR","EQY_CONSOLIDATED=Y","FA_ADJUSTED=GAAP","Sort=A","Dates=H","DateFormat=P","Fill=—","Direction=H","UseDPDF=Y")</f>
        <v>#NAME?</v>
      </c>
      <c r="L271" t="e">
        <f ca="1">_xll.BDH($C$253,"INCREMENTAL_OPERATING_MARGIN","FQ3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71" t="e">
        <f ca="1">_xll.BDH($C$253,"PRETAX_INC_TO_NET_SALES","FQ3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71" t="e">
        <f ca="1">_xll.BDH($C$253,"INC_BEF_XO_ITEMS_TO_NET_SALES","FQ3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71" t="e">
        <f ca="1">_xll.BDH($C$253,"PROF_MARGIN","FQ3 2017","FQ3 2017","Currency=INR","Period=FQ","BEST_FPERIOD_OVERRIDE=FQ","FILING_STATUS=OR","EQY_CONSOLIDATED=Y","FA_ADJUSTED=GAAP","Sort=A","Dates=H","DateFormat=P","Fill=—","Direction=H","UseDPDF=Y")</f>
        <v>#NAME?</v>
      </c>
      <c r="P271" t="e">
        <f ca="1">_xll.BDH($C$253,"NET_INCOME_TO_COMMON_MARGIN","FQ3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71" t="e">
        <f ca="1">_xll.BDH($C$253,"EFF_TAX_RATE","FQ3 2017","FQ3 2017","Currency=INR","Period=FQ","BEST_FPERIOD_OVERRIDE=FQ","FILING_STATUS=OR","EQY_CONSOLIDATED=Y","FA_ADJUSTED=GAAP","Sort=A","Dates=H","DateFormat=P","Fill=—","Direction=H","UseDPDF=Y")</f>
        <v>#NAME?</v>
      </c>
      <c r="R271" t="e">
        <f ca="1">_xll.BDH($C$253,"DVD_PAYOUT_RATIO","FQ3 2017","FQ3 2017","Currency=INR","Period=FQ","BEST_FPERIOD_OVERRIDE=FQ","FILING_STATUS=OR","EQY_CONSOLIDATED=Y","FA_ADJUSTED=GAAP","Sort=A","Dates=H","DateFormat=P","Fill=—","Direction=H","UseDPDF=Y")</f>
        <v>#NAME?</v>
      </c>
      <c r="S271" t="e">
        <f ca="1">_xll.BDH($C$253,"SUSTAIN_GROWTH_RT","FQ3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271" s="2" t="e">
        <f ca="1">_xll.BDH($C$253,"SALES_GROWTH","FQ3 2017","FQ3 2017","Currency=INR","Period=FQ","BEST_FPERIOD_OVERRIDE=FQ","FILING_STATUS=OR","EQY_CONSOLIDATED=Y","FA_ADJUSTED=GAAP","Sort=A","Dates=H","DateFormat=P","Fill=—","Direction=H","UseDPDF=Y")</f>
        <v>#NAME?</v>
      </c>
      <c r="U271" s="2" t="e">
        <f ca="1">_xll.BDH($C$253,"EBITDA_GROWTH","FQ3 2017","FQ3 2017","Currency=INR","Period=FQ","BEST_FPERIOD_OVERRIDE=FQ","FILING_STATUS=OR","EQY_CONSOLIDATED=Y","FA_ADJUSTED=GAAP","Sort=A","Dates=H","DateFormat=P","Fill=—","Direction=H","UseDPDF=Y")</f>
        <v>#NAME?</v>
      </c>
      <c r="V271" s="2" t="e">
        <f ca="1">_xll.BDH($C$253,"OPER_INC_GROWTH","FQ3 2017","FQ3 2017","Currency=INR","Period=FQ","BEST_FPERIOD_OVERRIDE=FQ","FILING_STATUS=OR","EQY_CONSOLIDATED=Y","FA_ADJUSTED=GAAP","Sort=A","Dates=H","DateFormat=P","Fill=—","Direction=H","UseDPDF=Y")</f>
        <v>#NAME?</v>
      </c>
      <c r="W271" s="2" t="e">
        <f ca="1">_xll.BDH($C$253,"EARN_FOR_COM_GROWTH","FQ3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71" s="2" t="e">
        <f ca="1">_xll.BDH($C$253,"DILUTED_EPS_AFT_XO_ITEMS_GROWTH","FQ3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71" s="2" t="e">
        <f ca="1">_xll.BDH($C$253,"DIVIDEND_PER_SHARE_1_YEAR_GROWTH","FQ3 2017","FQ3 2017","Currency=INR","Period=FQ","BEST_FPERIOD_OVERRIDE=FQ","FILING_STATUS=OR","EQY_CONSOLIDATED=Y","Sort=A","Dates=H","DateFormat=P","Fill=—","Direction=H","UseDPDF=Y")</f>
        <v>#NAME?</v>
      </c>
      <c r="Z271" s="2" t="e">
        <f ca="1">_xll.BDH($C$253,"ACCOUNTS_RECEIVABLE_GROWTH","FQ3 2017","FQ3 2017","Currency=INR","Period=FQ","BEST_FPERIOD_OVERRIDE=FQ","FILING_STATUS=OR","EQY_CONSOLIDATED=Y","Sort=A","Dates=H","DateFormat=P","Fill=—","Direction=H","UseDPDF=Y")</f>
        <v>#NAME?</v>
      </c>
      <c r="AA271" s="2" t="e">
        <f ca="1">_xll.BDH($C$253,"INVENTORY_GROWTH","FQ3 2017","FQ3 2017","Currency=INR","Period=FQ","BEST_FPERIOD_OVERRIDE=FQ","FILING_STATUS=OR","EQY_CONSOLIDATED=Y","Sort=A","Dates=H","DateFormat=P","Fill=—","Direction=H","UseDPDF=Y")</f>
        <v>#NAME?</v>
      </c>
      <c r="AB271" s="2" t="e">
        <f ca="1">_xll.BDH($C$253,"NET_FIXED_ASSETS_1_YEAR_GROWTH","FQ3 2017","FQ3 2017","Currency=INR","Period=FQ","BEST_FPERIOD_OVERRIDE=FQ","FILING_STATUS=OR","EQY_CONSOLIDATED=Y","Sort=A","Dates=H","DateFormat=P","Fill=—","Direction=H","UseDPDF=Y")</f>
        <v>#NAME?</v>
      </c>
      <c r="AC271" s="2" t="e">
        <f ca="1">_xll.BDH($C$253,"ASSET_GROWTH","FQ3 2017","FQ3 2017","Currency=INR","Period=FQ","BEST_FPERIOD_OVERRIDE=FQ","FILING_STATUS=OR","EQY_CONSOLIDATED=Y","Sort=A","Dates=H","DateFormat=P","Fill=—","Direction=H","UseDPDF=Y")</f>
        <v>#NAME?</v>
      </c>
      <c r="AD271" s="2" t="e">
        <f ca="1">_xll.BDH($C$253,"MODIFIED_WORK_CAP_GROWTH","FQ3 2017","FQ3 2017","Currency=INR","Period=FQ","BEST_FPERIOD_OVERRIDE=FQ","FILING_STATUS=OR","EQY_CONSOLIDATED=Y","Sort=A","Dates=H","DateFormat=P","Fill=—","Direction=H","UseDPDF=Y")</f>
        <v>#NAME?</v>
      </c>
      <c r="AE271" s="2" t="e">
        <f ca="1">_xll.BDH($C$253,"WORK_CAP_GROWTH","FQ3 2017","FQ3 2017","Currency=INR","Period=FQ","BEST_FPERIOD_OVERRIDE=FQ","FILING_STATUS=OR","EQY_CONSOLIDATED=Y","Sort=A","Dates=H","DateFormat=P","Fill=—","Direction=H","UseDPDF=Y")</f>
        <v>#NAME?</v>
      </c>
      <c r="AF271" s="2" t="e">
        <f ca="1">_xll.BDH($C$253,"ACCOUNTS_PAYABLE_GROWTH_1YR","FQ3 2017","FQ3 2017","Currency=INR","Period=FQ","BEST_FPERIOD_OVERRIDE=FQ","FILING_STATUS=OR","EQY_CONSOLIDATED=Y","Sort=A","Dates=H","DateFormat=P","Fill=—","Direction=H","UseDPDF=Y")</f>
        <v>#NAME?</v>
      </c>
      <c r="AG271" s="2" t="e">
        <f ca="1">_xll.BDH($C$253,"SHORT_TERM_DEBT_1_YEAR_GROWTH","FQ3 2017","FQ3 2017","Currency=INR","Period=FQ","BEST_FPERIOD_OVERRIDE=FQ","FILING_STATUS=OR","EQY_CONSOLIDATED=Y","Sort=A","Dates=H","DateFormat=P","Fill=—","Direction=H","UseDPDF=Y")</f>
        <v>#NAME?</v>
      </c>
      <c r="AH271" s="2" t="e">
        <f ca="1">_xll.BDH($C$253,"TOTAL_DEBT_1_YEAR_GROWTH","FQ3 2017","FQ3 2017","Currency=INR","Period=FQ","BEST_FPERIOD_OVERRIDE=FQ","FILING_STATUS=OR","EQY_CONSOLIDATED=Y","Sort=A","Dates=H","DateFormat=P","Fill=—","Direction=H","UseDPDF=Y")</f>
        <v>#NAME?</v>
      </c>
      <c r="AI271" s="2" t="e">
        <f ca="1">_xll.BDH($C$253,"TOTAL_EQUITY_1_YEAR_GROWTH","FQ3 2017","FQ3 2017","Currency=INR","Period=FQ","BEST_FPERIOD_OVERRIDE=FQ","FILING_STATUS=OR","EQY_CONSOLIDATED=Y","Sort=A","Dates=H","DateFormat=P","Fill=—","Direction=H","UseDPDF=Y")</f>
        <v>#NAME?</v>
      </c>
      <c r="AJ271" s="2" t="e">
        <f ca="1">_xll.BDH($C$253,"GROWTH_IN_CAP","FQ3 2017","FQ3 2017","Currency=INR","Period=FQ","BEST_FPERIOD_OVERRIDE=FQ","FILING_STATUS=OR","EQY_CONSOLIDATED=Y","Sort=A","Dates=H","DateFormat=P","Fill=—","Direction=H","UseDPDF=Y")</f>
        <v>#NAME?</v>
      </c>
      <c r="AK271" s="2" t="e">
        <f ca="1">_xll.BDH($C$253,"BVPS_GROWTH","FQ3 2017","FQ3 2017","Currency=INR","Period=FQ","BEST_FPERIOD_OVERRIDE=FQ","FILING_STATUS=OR","EQY_CONSOLIDATED=Y","Sort=A","Dates=H","DateFormat=P","Fill=—","Direction=H","UseDPDF=Y")</f>
        <v>#NAME?</v>
      </c>
      <c r="AL271" s="2" t="e">
        <f ca="1">_xll.BDH($C$253,"CASH_FLOW_GROWTH","FQ3 2017","FQ3 2017","Currency=INR","Period=FQ","BEST_FPERIOD_OVERRIDE=FQ","FILING_STATUS=OR","EQY_CONSOLIDATED=Y","Sort=A","Dates=H","DateFormat=P","Fill=—","Direction=H","UseDPDF=Y")</f>
        <v>#NAME?</v>
      </c>
      <c r="AM271" s="2" t="e">
        <f ca="1">_xll.BDH($C$253,"GEO_GROW_NET_SALES","FQ3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71" s="2" t="e">
        <f ca="1">_xll.BDH($C$253,"GEO_GROW_EBITDA","FQ3 2017","FQ3 2017","Currency=INR","Period=FQ","BEST_FPERIOD_OVERRIDE=FQ","FILING_STATUS=OR","EQY_CONSOLIDATED=Y","FA_ADJUSTED=GAAP","Sort=A","Dates=H","DateFormat=P","Fill=—","Direction=H","UseDPDF=Y")</f>
        <v>#NAME?</v>
      </c>
      <c r="AO271" s="2" t="e">
        <f ca="1">_xll.BDH($C$253,"GEO_GROW_OPER_INC","FQ3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71" s="2" t="e">
        <f ca="1">_xll.BDH($C$253,"NET_INCOME_TO_COMMON_5_YR_GROWTH","FQ3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71" s="2" t="e">
        <f ca="1">_xll.BDH($C$253,"5Y_GEO_GROWTH_DILUTED_EPS","FQ3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71" s="2" t="e">
        <f ca="1">_xll.BDH($C$253,"GEO_GROW_DVD_PER_SH","FQ3 2017","FQ3 2017","Currency=INR","Period=FQ","BEST_FPERIOD_OVERRIDE=FQ","FILING_STATUS=OR","EQY_CONSOLIDATED=Y","Sort=A","Dates=H","DateFormat=P","Fill=—","Direction=H","UseDPDF=Y")</f>
        <v>#NAME?</v>
      </c>
      <c r="AS271" s="2" t="e">
        <f ca="1">_xll.BDH($C$253,"ACCOUNTS_RECEIVABLE_5_YR_GROWTH","FQ3 2017","FQ3 2017","Currency=INR","Period=FQ","BEST_FPERIOD_OVERRIDE=FQ","FILING_STATUS=OR","EQY_CONSOLIDATED=Y","Sort=A","Dates=H","DateFormat=P","Fill=—","Direction=H","UseDPDF=Y")</f>
        <v>#NAME?</v>
      </c>
      <c r="AT271" s="2" t="e">
        <f ca="1">_xll.BDH($C$253,"INVENTORY_5_YEAR_GROWTH","FQ3 2017","FQ3 2017","Currency=INR","Period=FQ","BEST_FPERIOD_OVERRIDE=FQ","FILING_STATUS=OR","EQY_CONSOLIDATED=Y","Sort=A","Dates=H","DateFormat=P","Fill=—","Direction=H","UseDPDF=Y")</f>
        <v>#NAME?</v>
      </c>
      <c r="AU271" s="2" t="e">
        <f ca="1">_xll.BDH($C$253,"NET_FIXED_ASSETS_5_YEAR_GROWTH","FQ3 2017","FQ3 2017","Currency=INR","Period=FQ","BEST_FPERIOD_OVERRIDE=FQ","FILING_STATUS=OR","EQY_CONSOLIDATED=Y","Sort=A","Dates=H","DateFormat=P","Fill=—","Direction=H","UseDPDF=Y")</f>
        <v>#NAME?</v>
      </c>
      <c r="AV271" s="2" t="e">
        <f ca="1">_xll.BDH($C$253,"GEO_GROW_TOT_ASSET","FQ3 2017","FQ3 2017","Currency=INR","Period=FQ","BEST_FPERIOD_OVERRIDE=FQ","FILING_STATUS=OR","EQY_CONSOLIDATED=Y","Sort=A","Dates=H","DateFormat=P","Fill=—","Direction=H","UseDPDF=Y")</f>
        <v>#NAME?</v>
      </c>
      <c r="AW271" s="2" t="e">
        <f ca="1">_xll.BDH($C$253,"MODIFIED_WORKING_CPTL_5YR_GRWTH","FQ3 2017","FQ3 2017","Currency=INR","Period=FQ","BEST_FPERIOD_OVERRIDE=FQ","FILING_STATUS=OR","EQY_CONSOLIDATED=Y","Sort=A","Dates=H","DateFormat=P","Fill=—","Direction=H","UseDPDF=Y")</f>
        <v>#NAME?</v>
      </c>
      <c r="AX271" s="2" t="e">
        <f ca="1">_xll.BDH($C$253,"WORKING_CAPITAL_5_YEAR_GROWTH","FQ3 2017","FQ3 2017","Currency=INR","Period=FQ","BEST_FPERIOD_OVERRIDE=FQ","FILING_STATUS=OR","EQY_CONSOLIDATED=Y","Sort=A","Dates=H","DateFormat=P","Fill=—","Direction=H","UseDPDF=Y")</f>
        <v>#NAME?</v>
      </c>
      <c r="AY271" s="2" t="e">
        <f ca="1">_xll.BDH($C$253,"ACCOUNTS_PAYABLE_5_YEAR_GROWTH","FQ3 2017","FQ3 2017","Currency=INR","Period=FQ","BEST_FPERIOD_OVERRIDE=FQ","FILING_STATUS=OR","EQY_CONSOLIDATED=Y","Sort=A","Dates=H","DateFormat=P","Fill=—","Direction=H","UseDPDF=Y")</f>
        <v>#NAME?</v>
      </c>
      <c r="AZ271" s="2" t="e">
        <f ca="1">_xll.BDH($C$253,"SHORT_TERM_DEBT_5_YEAR_GROWTH","FQ3 2017","FQ3 2017","Currency=INR","Period=FQ","BEST_FPERIOD_OVERRIDE=FQ","FILING_STATUS=OR","EQY_CONSOLIDATED=Y","Sort=A","Dates=H","DateFormat=P","Fill=—","Direction=H","UseDPDF=Y")</f>
        <v>#NAME?</v>
      </c>
      <c r="BA271" s="2" t="e">
        <f ca="1">_xll.BDH($C$253,"TOTAL_DEBT_5_YEAR_GROWTH","FQ3 2017","FQ3 2017","Currency=INR","Period=FQ","BEST_FPERIOD_OVERRIDE=FQ","FILING_STATUS=OR","EQY_CONSOLIDATED=Y","Sort=A","Dates=H","DateFormat=P","Fill=—","Direction=H","UseDPDF=Y")</f>
        <v>#NAME?</v>
      </c>
      <c r="BB271" s="2" t="e">
        <f ca="1">_xll.BDH($C$253,"GEO_GROW_TOT_SHRHLDR_EQY","FQ3 2017","FQ3 2017","Currency=INR","Period=FQ","BEST_FPERIOD_OVERRIDE=FQ","FILING_STATUS=OR","EQY_CONSOLIDATED=Y","Sort=A","Dates=H","DateFormat=P","Fill=—","Direction=H","UseDPDF=Y")</f>
        <v>#NAME?</v>
      </c>
      <c r="BC271" s="2" t="e">
        <f ca="1">_xll.BDH($C$253,"TOTAL_CAPITAL_5_YEAR_GROWTH","FQ3 2017","FQ3 2017","Currency=INR","Period=FQ","BEST_FPERIOD_OVERRIDE=FQ","FILING_STATUS=OR","EQY_CONSOLIDATED=Y","Sort=A","Dates=H","DateFormat=P","Fill=—","Direction=H","UseDPDF=Y")</f>
        <v>#NAME?</v>
      </c>
      <c r="BD271" s="2" t="e">
        <f ca="1">_xll.BDH($C$253,"GEO_GROW_BOOK_VAL","FQ3 2017","FQ3 2017","Currency=INR","Period=FQ","BEST_FPERIOD_OVERRIDE=FQ","FILING_STATUS=OR","EQY_CONSOLIDATED=Y","Sort=A","Dates=H","DateFormat=P","Fill=—","Direction=H","UseDPDF=Y")</f>
        <v>#NAME?</v>
      </c>
      <c r="BE271" s="2" t="e">
        <f ca="1">_xll.BDH($C$253,"GEO_GROW_CASH_OPER_ACT","FQ3 2017","FQ3 2017","Currency=INR","Period=FQ","BEST_FPERIOD_OVERRIDE=FQ","FILING_STATUS=OR","EQY_CONSOLIDATED=Y","Sort=A","Dates=H","DateFormat=P","Fill=—","Direction=H","UseDPDF=Y")</f>
        <v>#NAME?</v>
      </c>
      <c r="BF271" s="2" t="e">
        <f ca="1">_xll.BDH($C$253,"REVENUE_SEQUENTIAL_GROWTH","FQ3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71" s="2" t="e">
        <f ca="1">_xll.BDH($C$253,"EBITDA_SEQUENTIAL_GROWTH","FQ3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71" s="2" t="e">
        <f ca="1">_xll.BDH($C$253,"OPERATING_INCOME_SEQ_GROWTH","FQ3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71" s="2" t="e">
        <f ca="1">_xll.BDH($C$253,"NET_INCOME_TO_COMMON_SEQ_GROWTH","FQ3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71" s="2" t="e">
        <f ca="1">_xll.BDH($C$253,"EPS_DILUTED_SEQUENTIAL_GROWTH","FQ3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71" s="2" t="e">
        <f ca="1">_xll.BDH($C$253,"DPS_SEQUENTIAL_GROWTH","FQ3 2017","FQ3 2017","Currency=INR","Period=FQ","BEST_FPERIOD_OVERRIDE=FQ","FILING_STATUS=OR","EQY_CONSOLIDATED=Y","Sort=A","Dates=H","DateFormat=P","Fill=—","Direction=H","UseDPDF=Y")</f>
        <v>#NAME?</v>
      </c>
      <c r="BL271" s="2" t="e">
        <f ca="1">_xll.BDH($C$253,"ACCOUNTS_RECEIVABLE_SEQ_GROWTH","FQ3 2017","FQ3 2017","Currency=INR","Period=FQ","BEST_FPERIOD_OVERRIDE=FQ","FILING_STATUS=OR","EQY_CONSOLIDATED=Y","Sort=A","Dates=H","DateFormat=P","Fill=—","Direction=H","UseDPDF=Y")</f>
        <v>#NAME?</v>
      </c>
      <c r="BM271" s="2" t="e">
        <f ca="1">_xll.BDH($C$253,"INVENTORY_SEQUENTIAL_GROWTH","FQ3 2017","FQ3 2017","Currency=INR","Period=FQ","BEST_FPERIOD_OVERRIDE=FQ","FILING_STATUS=OR","EQY_CONSOLIDATED=Y","Sort=A","Dates=H","DateFormat=P","Fill=—","Direction=H","UseDPDF=Y")</f>
        <v>#NAME?</v>
      </c>
      <c r="BN271" s="2" t="e">
        <f ca="1">_xll.BDH($C$253,"FIXED_ASSETS_SEQUENTIAL_GROWTH","FQ3 2017","FQ3 2017","Currency=INR","Period=FQ","BEST_FPERIOD_OVERRIDE=FQ","FILING_STATUS=OR","EQY_CONSOLIDATED=Y","Sort=A","Dates=H","DateFormat=P","Fill=—","Direction=H","UseDPDF=Y")</f>
        <v>#NAME?</v>
      </c>
      <c r="BO271" s="2" t="e">
        <f ca="1">_xll.BDH($C$253,"TOTAL_ASSETS_SEQUENTIAL_GROWTH","FQ3 2017","FQ3 2017","Currency=INR","Period=FQ","BEST_FPERIOD_OVERRIDE=FQ","FILING_STATUS=OR","EQY_CONSOLIDATED=Y","Sort=A","Dates=H","DateFormat=P","Fill=—","Direction=H","UseDPDF=Y")</f>
        <v>#NAME?</v>
      </c>
      <c r="BP271" s="2" t="e">
        <f ca="1">_xll.BDH($C$253,"MODIFIED_WORKING_CPTL_SEQ_GRWTH","FQ3 2017","FQ3 2017","Currency=INR","Period=FQ","BEST_FPERIOD_OVERRIDE=FQ","FILING_STATUS=OR","EQY_CONSOLIDATED=Y","Sort=A","Dates=H","DateFormat=P","Fill=—","Direction=H","UseDPDF=Y")</f>
        <v>#NAME?</v>
      </c>
      <c r="BQ271" s="2" t="e">
        <f ca="1">_xll.BDH($C$253,"WORKING_CAPITAL_SEQ_GROWTH","FQ3 2017","FQ3 2017","Currency=INR","Period=FQ","BEST_FPERIOD_OVERRIDE=FQ","FILING_STATUS=OR","EQY_CONSOLIDATED=Y","Sort=A","Dates=H","DateFormat=P","Fill=—","Direction=H","UseDPDF=Y")</f>
        <v>#NAME?</v>
      </c>
      <c r="BR271" s="2" t="e">
        <f ca="1">_xll.BDH($C$253,"ACCOUNTS_PAYABLE_SEQ_GROWTH","FQ3 2017","FQ3 2017","Currency=INR","Period=FQ","BEST_FPERIOD_OVERRIDE=FQ","FILING_STATUS=OR","EQY_CONSOLIDATED=Y","Sort=A","Dates=H","DateFormat=P","Fill=—","Direction=H","UseDPDF=Y")</f>
        <v>#NAME?</v>
      </c>
      <c r="BS271" s="2" t="e">
        <f ca="1">_xll.BDH($C$253,"ST_DEBT_SEQUENTIAL_GROWTH","FQ3 2017","FQ3 2017","Currency=INR","Period=FQ","BEST_FPERIOD_OVERRIDE=FQ","FILING_STATUS=OR","EQY_CONSOLIDATED=Y","Sort=A","Dates=H","DateFormat=P","Fill=—","Direction=H","UseDPDF=Y")</f>
        <v>#NAME?</v>
      </c>
      <c r="BT271" s="2" t="e">
        <f ca="1">_xll.BDH($C$253,"TOTAL_DEBT_SEQUENTIAL_GROWTH","FQ3 2017","FQ3 2017","Currency=INR","Period=FQ","BEST_FPERIOD_OVERRIDE=FQ","FILING_STATUS=OR","EQY_CONSOLIDATED=Y","Sort=A","Dates=H","DateFormat=P","Fill=—","Direction=H","UseDPDF=Y")</f>
        <v>#NAME?</v>
      </c>
      <c r="BU271" s="2" t="e">
        <f ca="1">_xll.BDH($C$253,"TOTAL_EQUITY_SEQUENTIAL_GROWTH","FQ3 2017","FQ3 2017","Currency=INR","Period=FQ","BEST_FPERIOD_OVERRIDE=FQ","FILING_STATUS=OR","EQY_CONSOLIDATED=Y","Sort=A","Dates=H","DateFormat=P","Fill=—","Direction=H","UseDPDF=Y")</f>
        <v>#NAME?</v>
      </c>
      <c r="BV271" s="2" t="e">
        <f ca="1">_xll.BDH($C$253,"TOTAL_CAPITAL_SEQUENTIAL_GROWTH","FQ3 2017","FQ3 2017","Currency=INR","Period=FQ","BEST_FPERIOD_OVERRIDE=FQ","FILING_STATUS=OR","EQY_CONSOLIDATED=Y","Sort=A","Dates=H","DateFormat=P","Fill=—","Direction=H","UseDPDF=Y")</f>
        <v>#NAME?</v>
      </c>
      <c r="BW271" s="2" t="e">
        <f ca="1">_xll.BDH($C$253,"BPS_SEQUENTIAL_GROWTH","FQ3 2017","FQ3 2017","Currency=INR","Period=FQ","BEST_FPERIOD_OVERRIDE=FQ","FILING_STATUS=OR","EQY_CONSOLIDATED=Y","Sort=A","Dates=H","DateFormat=P","Fill=—","Direction=H","UseDPDF=Y")</f>
        <v>#NAME?</v>
      </c>
      <c r="BX271" s="2" t="e">
        <f ca="1">_xll.BDH($C$253,"CFO_SEQUENTIAL_GROWTH","FQ3 2017","FQ3 2017","Currency=INR","Period=FQ","BEST_FPERIOD_OVERRIDE=FQ","FILING_STATUS=OR","EQY_CONSOLIDATED=Y","Sort=A","Dates=H","DateFormat=P","Fill=—","Direction=H","UseDPDF=Y")</f>
        <v>#NAME?</v>
      </c>
      <c r="BY271" s="3" t="e">
        <f ca="1">_xll.BDH($C$253,"SHORT_AND_LONG_TERM_DEBT","FQ3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71" s="3" t="e">
        <f ca="1">_xll.BDH($C$253,"BS_ST_BORROW","FQ3 2017","FQ3 2017","Currency=INR","Period=FQ","BEST_FPERIOD_OVERRIDE=FQ","FILING_STATUS=OR","EQY_CONSOLIDATED=Y","SCALING_FORMAT=MLN","Sort=A","Dates=H","DateFormat=P","Fill=—","Direction=H","UseDPDF=Y")</f>
        <v>#NAME?</v>
      </c>
      <c r="CA271" s="3" t="e">
        <f ca="1">_xll.BDH($C$253,"BS_LT_BORROW","FQ3 2017","FQ3 2017","Currency=INR","Period=FQ","BEST_FPERIOD_OVERRIDE=FQ","FILING_STATUS=OR","EQY_CONSOLIDATED=Y","SCALING_FORMAT=MLN","Sort=A","Dates=H","DateFormat=P","Fill=—","Direction=H","UseDPDF=Y")</f>
        <v>#NAME?</v>
      </c>
      <c r="CB271" s="2" t="e">
        <f ca="1">_xll.BDH($C$253,"TOT_DEBT_TO_EBITDA","FQ3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71" s="2" t="e">
        <f ca="1">_xll.BDH($C$253,"NET_DEBT_TO_EBITDA","FQ3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71" s="2" t="e">
        <f ca="1">_xll.BDH($C$253,"TOTAL_DEBT_TO_EBIT","FQ3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71" s="2" t="e">
        <f ca="1">_xll.BDH($C$253,"NET_DEBT_TO_EBIT","FQ3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271" s="2" t="e">
        <f ca="1">_xll.BDH($C$253,"EBITDA_TO_INTEREST_EXPN","FQ3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71" s="2" t="e">
        <f ca="1">_xll.BDH($C$253,"COM_EQY_TO_TOT_ASSET","FQ3 2017","FQ3 2017","Currency=INR","Period=FQ","BEST_FPERIOD_OVERRIDE=FQ","FILING_STATUS=OR","EQY_CONSOLIDATED=Y","Sort=A","Dates=H","DateFormat=P","Fill=—","Direction=H","UseDPDF=Y")</f>
        <v>#NAME?</v>
      </c>
      <c r="CH271" s="2" t="e">
        <f ca="1">_xll.BDH($C$253,"LT_DEBT_TO_TOT_EQY","FQ3 2017","FQ3 2017","Currency=INR","Period=FQ","BEST_FPERIOD_OVERRIDE=FQ","FILING_STATUS=OR","EQY_CONSOLIDATED=Y","Sort=A","Dates=H","DateFormat=P","Fill=—","Direction=H","UseDPDF=Y")</f>
        <v>#NAME?</v>
      </c>
      <c r="CI271" s="2" t="e">
        <f ca="1">_xll.BDH($C$253,"LT_DEBT_TO_TOT_CAP","FQ3 2017","FQ3 2017","Currency=INR","Period=FQ","BEST_FPERIOD_OVERRIDE=FQ","FILING_STATUS=OR","EQY_CONSOLIDATED=Y","Sort=A","Dates=H","DateFormat=P","Fill=—","Direction=H","UseDPDF=Y")</f>
        <v>#NAME?</v>
      </c>
      <c r="CJ271" s="2" t="e">
        <f ca="1">_xll.BDH($C$253,"LT_DEBT_TO_TOT_ASSET","FQ3 2017","FQ3 2017","Currency=INR","Period=FQ","BEST_FPERIOD_OVERRIDE=FQ","FILING_STATUS=OR","EQY_CONSOLIDATED=Y","Sort=A","Dates=H","DateFormat=P","Fill=—","Direction=H","UseDPDF=Y")</f>
        <v>#NAME?</v>
      </c>
      <c r="CK271" s="2" t="e">
        <f ca="1">_xll.BDH($C$253,"TOT_DEBT_TO_TOT_EQY","FQ3 2017","FQ3 2017","Currency=INR","Period=FQ","BEST_FPERIOD_OVERRIDE=FQ","FILING_STATUS=OR","EQY_CONSOLIDATED=Y","Sort=A","Dates=H","DateFormat=P","Fill=—","Direction=H","UseDPDF=Y")</f>
        <v>#NAME?</v>
      </c>
      <c r="CL271" s="2" t="e">
        <f ca="1">_xll.BDH($C$253,"TOT_DEBT_TO_TOT_CAP","FQ3 2017","FQ3 2017","Currency=INR","Period=FQ","BEST_FPERIOD_OVERRIDE=FQ","FILING_STATUS=OR","EQY_CONSOLIDATED=Y","Sort=A","Dates=H","DateFormat=P","Fill=—","Direction=H","UseDPDF=Y")</f>
        <v>#NAME?</v>
      </c>
      <c r="CM271" s="2" t="e">
        <f ca="1">_xll.BDH($C$253,"TOT_DEBT_TO_TOT_ASSET","FQ3 2017","FQ3 2017","Currency=INR","Period=FQ","BEST_FPERIOD_OVERRIDE=FQ","FILING_STATUS=OR","EQY_CONSOLIDATED=Y","Sort=A","Dates=H","DateFormat=P","Fill=—","Direction=H","UseDPDF=Y")</f>
        <v>#NAME?</v>
      </c>
      <c r="CN271" s="2" t="e">
        <f ca="1">_xll.BDH($C$253,"NET_DEBT_TO_SHRHLDR_EQTY","FQ3 2017","FQ3 2017","Currency=INR","Period=FQ","BEST_FPERIOD_OVERRIDE=FQ","FILING_STATUS=OR","EQY_CONSOLIDATED=Y","Sort=A","Dates=H","DateFormat=P","Fill=—","Direction=H","UseDPDF=Y")</f>
        <v>#NAME?</v>
      </c>
      <c r="CO271" s="2" t="e">
        <f ca="1">_xll.BDH($C$253,"NET_DEBT_%_CAPITAL","FQ3 2017","FQ3 2017","Currency=INR","Period=FQ","BEST_FPERIOD_OVERRIDE=FQ","FILING_STATUS=OR","EQY_CONSOLIDATED=Y","Sort=A","Dates=H","DateFormat=P","Fill=—","Direction=H","UseDPDF=Y")</f>
        <v>#NAME?</v>
      </c>
      <c r="CP271" s="3" t="e">
        <f ca="1">_xll.BDH($C$253,"EBITDA","FQ3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71" s="3" t="e">
        <f ca="1">_xll.BDH($C$253,"EBITDA_AFTER_CAPEX","FQ3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71" s="3" t="e">
        <f ca="1">_xll.BDH($C$253,"IS_OPER_INC","FQ3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71" s="2" t="e">
        <f ca="1">_xll.BDH($C$253,"CASH_RATIO","FQ3 2017","FQ3 2017","Currency=INR","Period=FQ","BEST_FPERIOD_OVERRIDE=FQ","FILING_STATUS=OR","EQY_CONSOLIDATED=Y","Sort=A","Dates=H","DateFormat=P","Fill=—","Direction=H","UseDPDF=Y")</f>
        <v>#NAME?</v>
      </c>
      <c r="CT271" s="2" t="e">
        <f ca="1">_xll.BDH($C$253,"CUR_RATIO","FQ3 2017","FQ3 2017","Currency=INR","Period=FQ","BEST_FPERIOD_OVERRIDE=FQ","FILING_STATUS=OR","EQY_CONSOLIDATED=Y","Sort=A","Dates=H","DateFormat=P","Fill=—","Direction=H","UseDPDF=Y")</f>
        <v>#NAME?</v>
      </c>
      <c r="CU271" s="2" t="e">
        <f ca="1">_xll.BDH($C$253,"QUICK_RATIO","FQ3 2017","FQ3 2017","Currency=INR","Period=FQ","BEST_FPERIOD_OVERRIDE=FQ","FILING_STATUS=OR","EQY_CONSOLIDATED=Y","Sort=A","Dates=H","DateFormat=P","Fill=—","Direction=H","UseDPDF=Y")</f>
        <v>#NAME?</v>
      </c>
      <c r="CV271" s="2" t="e">
        <f ca="1">_xll.BDH($C$253,"ALTMAN_Z_SCORE","FQ3 2017","FQ3 2017","Currency=INR","Period=FQ","BEST_FPERIOD_OVERRIDE=FQ","FILING_STATUS=OR","EQY_CONSOLIDATED=Y","Sort=A","Dates=H","DateFormat=P","Fill=—","Direction=H","UseDPDF=Y")</f>
        <v>#NAME?</v>
      </c>
      <c r="CW271" s="4" t="e">
        <f ca="1">_xll.BDH($C$253,"ACCT_RCV_TURN","FQ3 2017","FQ3 2017","Currency=INR","Period=FQ","BEST_FPERIOD_OVERRIDE=FQ","FILING_STATUS=OR","EQY_CONSOLIDATED=Y","FA_ADJUSTED=GAAP","Sort=A","Dates=H","DateFormat=P","Fill=—","Direction=H","UseDPDF=Y")</f>
        <v>#NAME?</v>
      </c>
      <c r="CX271" s="2" t="e">
        <f ca="1">_xll.BDH($C$253,"ACCT_RCV_DAYS","FQ3 2017","FQ3 2017","Currency=INR","Period=FQ","BEST_FPERIOD_OVERRIDE=FQ","FILING_STATUS=OR","EQY_CONSOLIDATED=Y","FA_ADJUSTED=GAAP","Sort=A","Dates=H","DateFormat=P","Fill=—","Direction=H","UseDPDF=Y")</f>
        <v>#NAME?</v>
      </c>
      <c r="CY271" s="4" t="e">
        <f ca="1">_xll.BDH($C$253,"INVENT_TURN","FQ3 2017","FQ3 2017","Currency=INR","Period=FQ","BEST_FPERIOD_OVERRIDE=FQ","FILING_STATUS=OR","EQY_CONSOLIDATED=Y","FA_ADJUSTED=GAAP","Sort=A","Dates=H","DateFormat=P","Fill=—","Direction=H","UseDPDF=Y")</f>
        <v>#NAME?</v>
      </c>
      <c r="CZ271" s="2" t="e">
        <f ca="1">_xll.BDH($C$253,"INVENT_DAYS","FQ3 2017","FQ3 2017","Currency=INR","Period=FQ","BEST_FPERIOD_OVERRIDE=FQ","FILING_STATUS=OR","EQY_CONSOLIDATED=Y","FA_ADJUSTED=GAAP","Sort=A","Dates=H","DateFormat=P","Fill=—","Direction=H","UseDPDF=Y")</f>
        <v>#NAME?</v>
      </c>
      <c r="DA271" s="4" t="e">
        <f ca="1">_xll.BDH($C$253,"ACCOUNTS_PAYABLE_TURNOVER","FQ3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71" s="2" t="e">
        <f ca="1">_xll.BDH($C$253,"ACCOUNTS_PAYABLE_TURNOVER_DAYS","FQ3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71" s="4" t="e">
        <f ca="1">_xll.BDH($C$253,"CASH_CONVERSION_CYCLE","FQ3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71" s="4" t="e">
        <f ca="1">_xll.BDH($C$253,"INV_TO_CASH_DAYS","FQ3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271" s="5" t="e">
        <f ca="1">_xll.BDH($C$253,"BS_INVENTORIES","FQ3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271" s="3" t="e">
        <f ca="1">_xll.BDH($C$253,"INVTRY_RAW_MATERIALS","FQ3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71" s="3" t="e">
        <f ca="1">_xll.BDH($C$253,"INVTRY_IN_PROGRESS","FQ3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71" s="3" t="e">
        <f ca="1">_xll.BDH($C$253,"INVTRY_FINISHED_GOODS","FQ3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71" s="3" t="e">
        <f ca="1">_xll.BDH($C$253,"BS_OTHER_INV","FQ3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72" spans="1:113" x14ac:dyDescent="0.3">
      <c r="A272" s="6"/>
      <c r="B272" s="6"/>
      <c r="C272" s="6"/>
      <c r="D272" s="6"/>
      <c r="E272" t="s">
        <v>81</v>
      </c>
      <c r="F272" t="e">
        <f ca="1">_xll.BDH($C$253,"RETURN_COM_EQY","FQ4 2017","FQ4 2017","Currency=INR","Period=FQ","BEST_FPERIOD_OVERRIDE=FQ","FILING_STATUS=OR","EQY_CONSOLIDATED=Y","FA_ADJUSTED=GAAP","Sort=A","Dates=H","DateFormat=P","Fill=—","Direction=H","UseDPDF=Y")</f>
        <v>#NAME?</v>
      </c>
      <c r="G272" t="e">
        <f ca="1">_xll.BDH($C$253,"RETURN_ON_ASSET","FQ4 2017","FQ4 2017","Currency=INR","Period=FQ","BEST_FPERIOD_OVERRIDE=FQ","FILING_STATUS=OR","EQY_CONSOLIDATED=Y","FA_ADJUSTED=GAAP","Sort=A","Dates=H","DateFormat=P","Fill=—","Direction=H","UseDPDF=Y")</f>
        <v>#NAME?</v>
      </c>
      <c r="H272" t="e">
        <f ca="1">_xll.BDH($C$253,"RETURN_ON_CAP","FQ4 2017","FQ4 2017","Currency=INR","Period=FQ","BEST_FPERIOD_OVERRIDE=FQ","FILING_STATUS=OR","EQY_CONSOLIDATED=Y","FA_ADJUSTED=GAAP","Sort=A","Dates=H","DateFormat=P","Fill=—","Direction=H","UseDPDF=Y")</f>
        <v>#NAME?</v>
      </c>
      <c r="I272" t="e">
        <f ca="1">_xll.BDH($C$253,"RETURN_ON_INV_CAPITAL","FQ4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72" t="e">
        <f ca="1">_xll.BDH($C$253,"EBITDA_TO_REVENUE","FQ4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272" t="e">
        <f ca="1">_xll.BDH($C$253,"OPER_MARGIN","FQ4 2017","FQ4 2017","Currency=INR","Period=FQ","BEST_FPERIOD_OVERRIDE=FQ","FILING_STATUS=OR","EQY_CONSOLIDATED=Y","FA_ADJUSTED=GAAP","Sort=A","Dates=H","DateFormat=P","Fill=—","Direction=H","UseDPDF=Y")</f>
        <v>#NAME?</v>
      </c>
      <c r="L272" t="e">
        <f ca="1">_xll.BDH($C$253,"INCREMENTAL_OPERATING_MARGIN","FQ4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72" t="e">
        <f ca="1">_xll.BDH($C$253,"PRETAX_INC_TO_NET_SALES","FQ4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72" t="e">
        <f ca="1">_xll.BDH($C$253,"INC_BEF_XO_ITEMS_TO_NET_SALES","FQ4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72" t="e">
        <f ca="1">_xll.BDH($C$253,"PROF_MARGIN","FQ4 2017","FQ4 2017","Currency=INR","Period=FQ","BEST_FPERIOD_OVERRIDE=FQ","FILING_STATUS=OR","EQY_CONSOLIDATED=Y","FA_ADJUSTED=GAAP","Sort=A","Dates=H","DateFormat=P","Fill=—","Direction=H","UseDPDF=Y")</f>
        <v>#NAME?</v>
      </c>
      <c r="P272" t="e">
        <f ca="1">_xll.BDH($C$253,"NET_INCOME_TO_COMMON_MARGIN","FQ4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72" t="e">
        <f ca="1">_xll.BDH($C$253,"EFF_TAX_RATE","FQ4 2017","FQ4 2017","Currency=INR","Period=FQ","BEST_FPERIOD_OVERRIDE=FQ","FILING_STATUS=OR","EQY_CONSOLIDATED=Y","FA_ADJUSTED=GAAP","Sort=A","Dates=H","DateFormat=P","Fill=—","Direction=H","UseDPDF=Y")</f>
        <v>#NAME?</v>
      </c>
      <c r="R272" t="e">
        <f ca="1">_xll.BDH($C$253,"DVD_PAYOUT_RATIO","FQ4 2017","FQ4 2017","Currency=INR","Period=FQ","BEST_FPERIOD_OVERRIDE=FQ","FILING_STATUS=OR","EQY_CONSOLIDATED=Y","FA_ADJUSTED=GAAP","Sort=A","Dates=H","DateFormat=P","Fill=—","Direction=H","UseDPDF=Y")</f>
        <v>#NAME?</v>
      </c>
      <c r="S272" t="e">
        <f ca="1">_xll.BDH($C$253,"SUSTAIN_GROWTH_RT","FQ4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272" s="2" t="e">
        <f ca="1">_xll.BDH($C$253,"SALES_GROWTH","FQ4 2017","FQ4 2017","Currency=INR","Period=FQ","BEST_FPERIOD_OVERRIDE=FQ","FILING_STATUS=OR","EQY_CONSOLIDATED=Y","FA_ADJUSTED=GAAP","Sort=A","Dates=H","DateFormat=P","Fill=—","Direction=H","UseDPDF=Y")</f>
        <v>#NAME?</v>
      </c>
      <c r="U272" s="2" t="e">
        <f ca="1">_xll.BDH($C$253,"EBITDA_GROWTH","FQ4 2017","FQ4 2017","Currency=INR","Period=FQ","BEST_FPERIOD_OVERRIDE=FQ","FILING_STATUS=OR","EQY_CONSOLIDATED=Y","FA_ADJUSTED=GAAP","Sort=A","Dates=H","DateFormat=P","Fill=—","Direction=H","UseDPDF=Y")</f>
        <v>#NAME?</v>
      </c>
      <c r="V272" s="2" t="e">
        <f ca="1">_xll.BDH($C$253,"OPER_INC_GROWTH","FQ4 2017","FQ4 2017","Currency=INR","Period=FQ","BEST_FPERIOD_OVERRIDE=FQ","FILING_STATUS=OR","EQY_CONSOLIDATED=Y","FA_ADJUSTED=GAAP","Sort=A","Dates=H","DateFormat=P","Fill=—","Direction=H","UseDPDF=Y")</f>
        <v>#NAME?</v>
      </c>
      <c r="W272" s="2" t="e">
        <f ca="1">_xll.BDH($C$253,"EARN_FOR_COM_GROWTH","FQ4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72" s="2" t="e">
        <f ca="1">_xll.BDH($C$253,"DILUTED_EPS_AFT_XO_ITEMS_GROWTH","FQ4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72" s="2" t="e">
        <f ca="1">_xll.BDH($C$253,"DIVIDEND_PER_SHARE_1_YEAR_GROWTH","FQ4 2017","FQ4 2017","Currency=INR","Period=FQ","BEST_FPERIOD_OVERRIDE=FQ","FILING_STATUS=OR","EQY_CONSOLIDATED=Y","Sort=A","Dates=H","DateFormat=P","Fill=—","Direction=H","UseDPDF=Y")</f>
        <v>#NAME?</v>
      </c>
      <c r="Z272" s="2" t="e">
        <f ca="1">_xll.BDH($C$253,"ACCOUNTS_RECEIVABLE_GROWTH","FQ4 2017","FQ4 2017","Currency=INR","Period=FQ","BEST_FPERIOD_OVERRIDE=FQ","FILING_STATUS=OR","EQY_CONSOLIDATED=Y","Sort=A","Dates=H","DateFormat=P","Fill=—","Direction=H","UseDPDF=Y")</f>
        <v>#NAME?</v>
      </c>
      <c r="AA272" s="2" t="e">
        <f ca="1">_xll.BDH($C$253,"INVENTORY_GROWTH","FQ4 2017","FQ4 2017","Currency=INR","Period=FQ","BEST_FPERIOD_OVERRIDE=FQ","FILING_STATUS=OR","EQY_CONSOLIDATED=Y","Sort=A","Dates=H","DateFormat=P","Fill=—","Direction=H","UseDPDF=Y")</f>
        <v>#NAME?</v>
      </c>
      <c r="AB272" s="2" t="e">
        <f ca="1">_xll.BDH($C$253,"NET_FIXED_ASSETS_1_YEAR_GROWTH","FQ4 2017","FQ4 2017","Currency=INR","Period=FQ","BEST_FPERIOD_OVERRIDE=FQ","FILING_STATUS=OR","EQY_CONSOLIDATED=Y","Sort=A","Dates=H","DateFormat=P","Fill=—","Direction=H","UseDPDF=Y")</f>
        <v>#NAME?</v>
      </c>
      <c r="AC272" s="2" t="e">
        <f ca="1">_xll.BDH($C$253,"ASSET_GROWTH","FQ4 2017","FQ4 2017","Currency=INR","Period=FQ","BEST_FPERIOD_OVERRIDE=FQ","FILING_STATUS=OR","EQY_CONSOLIDATED=Y","Sort=A","Dates=H","DateFormat=P","Fill=—","Direction=H","UseDPDF=Y")</f>
        <v>#NAME?</v>
      </c>
      <c r="AD272" s="2" t="e">
        <f ca="1">_xll.BDH($C$253,"MODIFIED_WORK_CAP_GROWTH","FQ4 2017","FQ4 2017","Currency=INR","Period=FQ","BEST_FPERIOD_OVERRIDE=FQ","FILING_STATUS=OR","EQY_CONSOLIDATED=Y","Sort=A","Dates=H","DateFormat=P","Fill=—","Direction=H","UseDPDF=Y")</f>
        <v>#NAME?</v>
      </c>
      <c r="AE272" s="2" t="e">
        <f ca="1">_xll.BDH($C$253,"WORK_CAP_GROWTH","FQ4 2017","FQ4 2017","Currency=INR","Period=FQ","BEST_FPERIOD_OVERRIDE=FQ","FILING_STATUS=OR","EQY_CONSOLIDATED=Y","Sort=A","Dates=H","DateFormat=P","Fill=—","Direction=H","UseDPDF=Y")</f>
        <v>#NAME?</v>
      </c>
      <c r="AF272" s="2" t="e">
        <f ca="1">_xll.BDH($C$253,"ACCOUNTS_PAYABLE_GROWTH_1YR","FQ4 2017","FQ4 2017","Currency=INR","Period=FQ","BEST_FPERIOD_OVERRIDE=FQ","FILING_STATUS=OR","EQY_CONSOLIDATED=Y","Sort=A","Dates=H","DateFormat=P","Fill=—","Direction=H","UseDPDF=Y")</f>
        <v>#NAME?</v>
      </c>
      <c r="AG272" s="2" t="e">
        <f ca="1">_xll.BDH($C$253,"SHORT_TERM_DEBT_1_YEAR_GROWTH","FQ4 2017","FQ4 2017","Currency=INR","Period=FQ","BEST_FPERIOD_OVERRIDE=FQ","FILING_STATUS=OR","EQY_CONSOLIDATED=Y","Sort=A","Dates=H","DateFormat=P","Fill=—","Direction=H","UseDPDF=Y")</f>
        <v>#NAME?</v>
      </c>
      <c r="AH272" s="2" t="e">
        <f ca="1">_xll.BDH($C$253,"TOTAL_DEBT_1_YEAR_GROWTH","FQ4 2017","FQ4 2017","Currency=INR","Period=FQ","BEST_FPERIOD_OVERRIDE=FQ","FILING_STATUS=OR","EQY_CONSOLIDATED=Y","Sort=A","Dates=H","DateFormat=P","Fill=—","Direction=H","UseDPDF=Y")</f>
        <v>#NAME?</v>
      </c>
      <c r="AI272" s="2" t="e">
        <f ca="1">_xll.BDH($C$253,"TOTAL_EQUITY_1_YEAR_GROWTH","FQ4 2017","FQ4 2017","Currency=INR","Period=FQ","BEST_FPERIOD_OVERRIDE=FQ","FILING_STATUS=OR","EQY_CONSOLIDATED=Y","Sort=A","Dates=H","DateFormat=P","Fill=—","Direction=H","UseDPDF=Y")</f>
        <v>#NAME?</v>
      </c>
      <c r="AJ272" s="2" t="e">
        <f ca="1">_xll.BDH($C$253,"GROWTH_IN_CAP","FQ4 2017","FQ4 2017","Currency=INR","Period=FQ","BEST_FPERIOD_OVERRIDE=FQ","FILING_STATUS=OR","EQY_CONSOLIDATED=Y","Sort=A","Dates=H","DateFormat=P","Fill=—","Direction=H","UseDPDF=Y")</f>
        <v>#NAME?</v>
      </c>
      <c r="AK272" s="2" t="e">
        <f ca="1">_xll.BDH($C$253,"BVPS_GROWTH","FQ4 2017","FQ4 2017","Currency=INR","Period=FQ","BEST_FPERIOD_OVERRIDE=FQ","FILING_STATUS=OR","EQY_CONSOLIDATED=Y","Sort=A","Dates=H","DateFormat=P","Fill=—","Direction=H","UseDPDF=Y")</f>
        <v>#NAME?</v>
      </c>
      <c r="AL272" s="2" t="e">
        <f ca="1">_xll.BDH($C$253,"CASH_FLOW_GROWTH","FQ4 2017","FQ4 2017","Currency=INR","Period=FQ","BEST_FPERIOD_OVERRIDE=FQ","FILING_STATUS=OR","EQY_CONSOLIDATED=Y","Sort=A","Dates=H","DateFormat=P","Fill=—","Direction=H","UseDPDF=Y")</f>
        <v>#NAME?</v>
      </c>
      <c r="AM272" s="2" t="e">
        <f ca="1">_xll.BDH($C$253,"GEO_GROW_NET_SALES","FQ4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72" s="2" t="e">
        <f ca="1">_xll.BDH($C$253,"GEO_GROW_EBITDA","FQ4 2017","FQ4 2017","Currency=INR","Period=FQ","BEST_FPERIOD_OVERRIDE=FQ","FILING_STATUS=OR","EQY_CONSOLIDATED=Y","FA_ADJUSTED=GAAP","Sort=A","Dates=H","DateFormat=P","Fill=—","Direction=H","UseDPDF=Y")</f>
        <v>#NAME?</v>
      </c>
      <c r="AO272" s="2" t="e">
        <f ca="1">_xll.BDH($C$253,"GEO_GROW_OPER_INC","FQ4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72" s="2" t="e">
        <f ca="1">_xll.BDH($C$253,"NET_INCOME_TO_COMMON_5_YR_GROWTH","FQ4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72" s="2" t="e">
        <f ca="1">_xll.BDH($C$253,"5Y_GEO_GROWTH_DILUTED_EPS","FQ4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72" s="2" t="e">
        <f ca="1">_xll.BDH($C$253,"GEO_GROW_DVD_PER_SH","FQ4 2017","FQ4 2017","Currency=INR","Period=FQ","BEST_FPERIOD_OVERRIDE=FQ","FILING_STATUS=OR","EQY_CONSOLIDATED=Y","Sort=A","Dates=H","DateFormat=P","Fill=—","Direction=H","UseDPDF=Y")</f>
        <v>#NAME?</v>
      </c>
      <c r="AS272" s="2" t="e">
        <f ca="1">_xll.BDH($C$253,"ACCOUNTS_RECEIVABLE_5_YR_GROWTH","FQ4 2017","FQ4 2017","Currency=INR","Period=FQ","BEST_FPERIOD_OVERRIDE=FQ","FILING_STATUS=OR","EQY_CONSOLIDATED=Y","Sort=A","Dates=H","DateFormat=P","Fill=—","Direction=H","UseDPDF=Y")</f>
        <v>#NAME?</v>
      </c>
      <c r="AT272" s="2" t="e">
        <f ca="1">_xll.BDH($C$253,"INVENTORY_5_YEAR_GROWTH","FQ4 2017","FQ4 2017","Currency=INR","Period=FQ","BEST_FPERIOD_OVERRIDE=FQ","FILING_STATUS=OR","EQY_CONSOLIDATED=Y","Sort=A","Dates=H","DateFormat=P","Fill=—","Direction=H","UseDPDF=Y")</f>
        <v>#NAME?</v>
      </c>
      <c r="AU272" s="2" t="e">
        <f ca="1">_xll.BDH($C$253,"NET_FIXED_ASSETS_5_YEAR_GROWTH","FQ4 2017","FQ4 2017","Currency=INR","Period=FQ","BEST_FPERIOD_OVERRIDE=FQ","FILING_STATUS=OR","EQY_CONSOLIDATED=Y","Sort=A","Dates=H","DateFormat=P","Fill=—","Direction=H","UseDPDF=Y")</f>
        <v>#NAME?</v>
      </c>
      <c r="AV272" s="2" t="e">
        <f ca="1">_xll.BDH($C$253,"GEO_GROW_TOT_ASSET","FQ4 2017","FQ4 2017","Currency=INR","Period=FQ","BEST_FPERIOD_OVERRIDE=FQ","FILING_STATUS=OR","EQY_CONSOLIDATED=Y","Sort=A","Dates=H","DateFormat=P","Fill=—","Direction=H","UseDPDF=Y")</f>
        <v>#NAME?</v>
      </c>
      <c r="AW272" s="2" t="e">
        <f ca="1">_xll.BDH($C$253,"MODIFIED_WORKING_CPTL_5YR_GRWTH","FQ4 2017","FQ4 2017","Currency=INR","Period=FQ","BEST_FPERIOD_OVERRIDE=FQ","FILING_STATUS=OR","EQY_CONSOLIDATED=Y","Sort=A","Dates=H","DateFormat=P","Fill=—","Direction=H","UseDPDF=Y")</f>
        <v>#NAME?</v>
      </c>
      <c r="AX272" s="2" t="e">
        <f ca="1">_xll.BDH($C$253,"WORKING_CAPITAL_5_YEAR_GROWTH","FQ4 2017","FQ4 2017","Currency=INR","Period=FQ","BEST_FPERIOD_OVERRIDE=FQ","FILING_STATUS=OR","EQY_CONSOLIDATED=Y","Sort=A","Dates=H","DateFormat=P","Fill=—","Direction=H","UseDPDF=Y")</f>
        <v>#NAME?</v>
      </c>
      <c r="AY272" s="2" t="e">
        <f ca="1">_xll.BDH($C$253,"ACCOUNTS_PAYABLE_5_YEAR_GROWTH","FQ4 2017","FQ4 2017","Currency=INR","Period=FQ","BEST_FPERIOD_OVERRIDE=FQ","FILING_STATUS=OR","EQY_CONSOLIDATED=Y","Sort=A","Dates=H","DateFormat=P","Fill=—","Direction=H","UseDPDF=Y")</f>
        <v>#NAME?</v>
      </c>
      <c r="AZ272" s="2" t="e">
        <f ca="1">_xll.BDH($C$253,"SHORT_TERM_DEBT_5_YEAR_GROWTH","FQ4 2017","FQ4 2017","Currency=INR","Period=FQ","BEST_FPERIOD_OVERRIDE=FQ","FILING_STATUS=OR","EQY_CONSOLIDATED=Y","Sort=A","Dates=H","DateFormat=P","Fill=—","Direction=H","UseDPDF=Y")</f>
        <v>#NAME?</v>
      </c>
      <c r="BA272" s="2" t="e">
        <f ca="1">_xll.BDH($C$253,"TOTAL_DEBT_5_YEAR_GROWTH","FQ4 2017","FQ4 2017","Currency=INR","Period=FQ","BEST_FPERIOD_OVERRIDE=FQ","FILING_STATUS=OR","EQY_CONSOLIDATED=Y","Sort=A","Dates=H","DateFormat=P","Fill=—","Direction=H","UseDPDF=Y")</f>
        <v>#NAME?</v>
      </c>
      <c r="BB272" s="2" t="e">
        <f ca="1">_xll.BDH($C$253,"GEO_GROW_TOT_SHRHLDR_EQY","FQ4 2017","FQ4 2017","Currency=INR","Period=FQ","BEST_FPERIOD_OVERRIDE=FQ","FILING_STATUS=OR","EQY_CONSOLIDATED=Y","Sort=A","Dates=H","DateFormat=P","Fill=—","Direction=H","UseDPDF=Y")</f>
        <v>#NAME?</v>
      </c>
      <c r="BC272" s="2" t="e">
        <f ca="1">_xll.BDH($C$253,"TOTAL_CAPITAL_5_YEAR_GROWTH","FQ4 2017","FQ4 2017","Currency=INR","Period=FQ","BEST_FPERIOD_OVERRIDE=FQ","FILING_STATUS=OR","EQY_CONSOLIDATED=Y","Sort=A","Dates=H","DateFormat=P","Fill=—","Direction=H","UseDPDF=Y")</f>
        <v>#NAME?</v>
      </c>
      <c r="BD272" s="2" t="e">
        <f ca="1">_xll.BDH($C$253,"GEO_GROW_BOOK_VAL","FQ4 2017","FQ4 2017","Currency=INR","Period=FQ","BEST_FPERIOD_OVERRIDE=FQ","FILING_STATUS=OR","EQY_CONSOLIDATED=Y","Sort=A","Dates=H","DateFormat=P","Fill=—","Direction=H","UseDPDF=Y")</f>
        <v>#NAME?</v>
      </c>
      <c r="BE272" s="2" t="e">
        <f ca="1">_xll.BDH($C$253,"GEO_GROW_CASH_OPER_ACT","FQ4 2017","FQ4 2017","Currency=INR","Period=FQ","BEST_FPERIOD_OVERRIDE=FQ","FILING_STATUS=OR","EQY_CONSOLIDATED=Y","Sort=A","Dates=H","DateFormat=P","Fill=—","Direction=H","UseDPDF=Y")</f>
        <v>#NAME?</v>
      </c>
      <c r="BF272" s="2" t="e">
        <f ca="1">_xll.BDH($C$253,"REVENUE_SEQUENTIAL_GROWTH","FQ4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72" s="2" t="e">
        <f ca="1">_xll.BDH($C$253,"EBITDA_SEQUENTIAL_GROWTH","FQ4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72" s="2" t="e">
        <f ca="1">_xll.BDH($C$253,"OPERATING_INCOME_SEQ_GROWTH","FQ4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72" s="2" t="e">
        <f ca="1">_xll.BDH($C$253,"NET_INCOME_TO_COMMON_SEQ_GROWTH","FQ4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72" s="2" t="e">
        <f ca="1">_xll.BDH($C$253,"EPS_DILUTED_SEQUENTIAL_GROWTH","FQ4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72" s="2" t="e">
        <f ca="1">_xll.BDH($C$253,"DPS_SEQUENTIAL_GROWTH","FQ4 2017","FQ4 2017","Currency=INR","Period=FQ","BEST_FPERIOD_OVERRIDE=FQ","FILING_STATUS=OR","EQY_CONSOLIDATED=Y","Sort=A","Dates=H","DateFormat=P","Fill=—","Direction=H","UseDPDF=Y")</f>
        <v>#NAME?</v>
      </c>
      <c r="BL272" s="2" t="e">
        <f ca="1">_xll.BDH($C$253,"ACCOUNTS_RECEIVABLE_SEQ_GROWTH","FQ4 2017","FQ4 2017","Currency=INR","Period=FQ","BEST_FPERIOD_OVERRIDE=FQ","FILING_STATUS=OR","EQY_CONSOLIDATED=Y","Sort=A","Dates=H","DateFormat=P","Fill=—","Direction=H","UseDPDF=Y")</f>
        <v>#NAME?</v>
      </c>
      <c r="BM272" s="2" t="e">
        <f ca="1">_xll.BDH($C$253,"INVENTORY_SEQUENTIAL_GROWTH","FQ4 2017","FQ4 2017","Currency=INR","Period=FQ","BEST_FPERIOD_OVERRIDE=FQ","FILING_STATUS=OR","EQY_CONSOLIDATED=Y","Sort=A","Dates=H","DateFormat=P","Fill=—","Direction=H","UseDPDF=Y")</f>
        <v>#NAME?</v>
      </c>
      <c r="BN272" s="2" t="e">
        <f ca="1">_xll.BDH($C$253,"FIXED_ASSETS_SEQUENTIAL_GROWTH","FQ4 2017","FQ4 2017","Currency=INR","Period=FQ","BEST_FPERIOD_OVERRIDE=FQ","FILING_STATUS=OR","EQY_CONSOLIDATED=Y","Sort=A","Dates=H","DateFormat=P","Fill=—","Direction=H","UseDPDF=Y")</f>
        <v>#NAME?</v>
      </c>
      <c r="BO272" s="2" t="e">
        <f ca="1">_xll.BDH($C$253,"TOTAL_ASSETS_SEQUENTIAL_GROWTH","FQ4 2017","FQ4 2017","Currency=INR","Period=FQ","BEST_FPERIOD_OVERRIDE=FQ","FILING_STATUS=OR","EQY_CONSOLIDATED=Y","Sort=A","Dates=H","DateFormat=P","Fill=—","Direction=H","UseDPDF=Y")</f>
        <v>#NAME?</v>
      </c>
      <c r="BP272" s="2" t="e">
        <f ca="1">_xll.BDH($C$253,"MODIFIED_WORKING_CPTL_SEQ_GRWTH","FQ4 2017","FQ4 2017","Currency=INR","Period=FQ","BEST_FPERIOD_OVERRIDE=FQ","FILING_STATUS=OR","EQY_CONSOLIDATED=Y","Sort=A","Dates=H","DateFormat=P","Fill=—","Direction=H","UseDPDF=Y")</f>
        <v>#NAME?</v>
      </c>
      <c r="BQ272" s="2" t="e">
        <f ca="1">_xll.BDH($C$253,"WORKING_CAPITAL_SEQ_GROWTH","FQ4 2017","FQ4 2017","Currency=INR","Period=FQ","BEST_FPERIOD_OVERRIDE=FQ","FILING_STATUS=OR","EQY_CONSOLIDATED=Y","Sort=A","Dates=H","DateFormat=P","Fill=—","Direction=H","UseDPDF=Y")</f>
        <v>#NAME?</v>
      </c>
      <c r="BR272" s="2" t="e">
        <f ca="1">_xll.BDH($C$253,"ACCOUNTS_PAYABLE_SEQ_GROWTH","FQ4 2017","FQ4 2017","Currency=INR","Period=FQ","BEST_FPERIOD_OVERRIDE=FQ","FILING_STATUS=OR","EQY_CONSOLIDATED=Y","Sort=A","Dates=H","DateFormat=P","Fill=—","Direction=H","UseDPDF=Y")</f>
        <v>#NAME?</v>
      </c>
      <c r="BS272" s="2" t="e">
        <f ca="1">_xll.BDH($C$253,"ST_DEBT_SEQUENTIAL_GROWTH","FQ4 2017","FQ4 2017","Currency=INR","Period=FQ","BEST_FPERIOD_OVERRIDE=FQ","FILING_STATUS=OR","EQY_CONSOLIDATED=Y","Sort=A","Dates=H","DateFormat=P","Fill=—","Direction=H","UseDPDF=Y")</f>
        <v>#NAME?</v>
      </c>
      <c r="BT272" s="2" t="e">
        <f ca="1">_xll.BDH($C$253,"TOTAL_DEBT_SEQUENTIAL_GROWTH","FQ4 2017","FQ4 2017","Currency=INR","Period=FQ","BEST_FPERIOD_OVERRIDE=FQ","FILING_STATUS=OR","EQY_CONSOLIDATED=Y","Sort=A","Dates=H","DateFormat=P","Fill=—","Direction=H","UseDPDF=Y")</f>
        <v>#NAME?</v>
      </c>
      <c r="BU272" s="2" t="e">
        <f ca="1">_xll.BDH($C$253,"TOTAL_EQUITY_SEQUENTIAL_GROWTH","FQ4 2017","FQ4 2017","Currency=INR","Period=FQ","BEST_FPERIOD_OVERRIDE=FQ","FILING_STATUS=OR","EQY_CONSOLIDATED=Y","Sort=A","Dates=H","DateFormat=P","Fill=—","Direction=H","UseDPDF=Y")</f>
        <v>#NAME?</v>
      </c>
      <c r="BV272" s="2" t="e">
        <f ca="1">_xll.BDH($C$253,"TOTAL_CAPITAL_SEQUENTIAL_GROWTH","FQ4 2017","FQ4 2017","Currency=INR","Period=FQ","BEST_FPERIOD_OVERRIDE=FQ","FILING_STATUS=OR","EQY_CONSOLIDATED=Y","Sort=A","Dates=H","DateFormat=P","Fill=—","Direction=H","UseDPDF=Y")</f>
        <v>#NAME?</v>
      </c>
      <c r="BW272" s="2" t="e">
        <f ca="1">_xll.BDH($C$253,"BPS_SEQUENTIAL_GROWTH","FQ4 2017","FQ4 2017","Currency=INR","Period=FQ","BEST_FPERIOD_OVERRIDE=FQ","FILING_STATUS=OR","EQY_CONSOLIDATED=Y","Sort=A","Dates=H","DateFormat=P","Fill=—","Direction=H","UseDPDF=Y")</f>
        <v>#NAME?</v>
      </c>
      <c r="BX272" s="2" t="e">
        <f ca="1">_xll.BDH($C$253,"CFO_SEQUENTIAL_GROWTH","FQ4 2017","FQ4 2017","Currency=INR","Period=FQ","BEST_FPERIOD_OVERRIDE=FQ","FILING_STATUS=OR","EQY_CONSOLIDATED=Y","Sort=A","Dates=H","DateFormat=P","Fill=—","Direction=H","UseDPDF=Y")</f>
        <v>#NAME?</v>
      </c>
      <c r="BY272" s="3" t="e">
        <f ca="1">_xll.BDH($C$253,"SHORT_AND_LONG_TERM_DEBT","FQ4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72" s="3" t="e">
        <f ca="1">_xll.BDH($C$253,"BS_ST_BORROW","FQ4 2017","FQ4 2017","Currency=INR","Period=FQ","BEST_FPERIOD_OVERRIDE=FQ","FILING_STATUS=OR","EQY_CONSOLIDATED=Y","SCALING_FORMAT=MLN","Sort=A","Dates=H","DateFormat=P","Fill=—","Direction=H","UseDPDF=Y")</f>
        <v>#NAME?</v>
      </c>
      <c r="CA272" s="3" t="e">
        <f ca="1">_xll.BDH($C$253,"BS_LT_BORROW","FQ4 2017","FQ4 2017","Currency=INR","Period=FQ","BEST_FPERIOD_OVERRIDE=FQ","FILING_STATUS=OR","EQY_CONSOLIDATED=Y","SCALING_FORMAT=MLN","Sort=A","Dates=H","DateFormat=P","Fill=—","Direction=H","UseDPDF=Y")</f>
        <v>#NAME?</v>
      </c>
      <c r="CB272" s="2" t="e">
        <f ca="1">_xll.BDH($C$253,"TOT_DEBT_TO_EBITDA","FQ4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72" s="2" t="e">
        <f ca="1">_xll.BDH($C$253,"NET_DEBT_TO_EBITDA","FQ4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72" s="2" t="e">
        <f ca="1">_xll.BDH($C$253,"TOTAL_DEBT_TO_EBIT","FQ4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72" s="2" t="e">
        <f ca="1">_xll.BDH($C$253,"NET_DEBT_TO_EBIT","FQ4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272" s="2" t="e">
        <f ca="1">_xll.BDH($C$253,"EBITDA_TO_INTEREST_EXPN","FQ4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72" s="2" t="e">
        <f ca="1">_xll.BDH($C$253,"COM_EQY_TO_TOT_ASSET","FQ4 2017","FQ4 2017","Currency=INR","Period=FQ","BEST_FPERIOD_OVERRIDE=FQ","FILING_STATUS=OR","EQY_CONSOLIDATED=Y","Sort=A","Dates=H","DateFormat=P","Fill=—","Direction=H","UseDPDF=Y")</f>
        <v>#NAME?</v>
      </c>
      <c r="CH272" s="2" t="e">
        <f ca="1">_xll.BDH($C$253,"LT_DEBT_TO_TOT_EQY","FQ4 2017","FQ4 2017","Currency=INR","Period=FQ","BEST_FPERIOD_OVERRIDE=FQ","FILING_STATUS=OR","EQY_CONSOLIDATED=Y","Sort=A","Dates=H","DateFormat=P","Fill=—","Direction=H","UseDPDF=Y")</f>
        <v>#NAME?</v>
      </c>
      <c r="CI272" s="2" t="e">
        <f ca="1">_xll.BDH($C$253,"LT_DEBT_TO_TOT_CAP","FQ4 2017","FQ4 2017","Currency=INR","Period=FQ","BEST_FPERIOD_OVERRIDE=FQ","FILING_STATUS=OR","EQY_CONSOLIDATED=Y","Sort=A","Dates=H","DateFormat=P","Fill=—","Direction=H","UseDPDF=Y")</f>
        <v>#NAME?</v>
      </c>
      <c r="CJ272" s="2" t="e">
        <f ca="1">_xll.BDH($C$253,"LT_DEBT_TO_TOT_ASSET","FQ4 2017","FQ4 2017","Currency=INR","Period=FQ","BEST_FPERIOD_OVERRIDE=FQ","FILING_STATUS=OR","EQY_CONSOLIDATED=Y","Sort=A","Dates=H","DateFormat=P","Fill=—","Direction=H","UseDPDF=Y")</f>
        <v>#NAME?</v>
      </c>
      <c r="CK272" s="2" t="e">
        <f ca="1">_xll.BDH($C$253,"TOT_DEBT_TO_TOT_EQY","FQ4 2017","FQ4 2017","Currency=INR","Period=FQ","BEST_FPERIOD_OVERRIDE=FQ","FILING_STATUS=OR","EQY_CONSOLIDATED=Y","Sort=A","Dates=H","DateFormat=P","Fill=—","Direction=H","UseDPDF=Y")</f>
        <v>#NAME?</v>
      </c>
      <c r="CL272" s="2" t="e">
        <f ca="1">_xll.BDH($C$253,"TOT_DEBT_TO_TOT_CAP","FQ4 2017","FQ4 2017","Currency=INR","Period=FQ","BEST_FPERIOD_OVERRIDE=FQ","FILING_STATUS=OR","EQY_CONSOLIDATED=Y","Sort=A","Dates=H","DateFormat=P","Fill=—","Direction=H","UseDPDF=Y")</f>
        <v>#NAME?</v>
      </c>
      <c r="CM272" s="2" t="e">
        <f ca="1">_xll.BDH($C$253,"TOT_DEBT_TO_TOT_ASSET","FQ4 2017","FQ4 2017","Currency=INR","Period=FQ","BEST_FPERIOD_OVERRIDE=FQ","FILING_STATUS=OR","EQY_CONSOLIDATED=Y","Sort=A","Dates=H","DateFormat=P","Fill=—","Direction=H","UseDPDF=Y")</f>
        <v>#NAME?</v>
      </c>
      <c r="CN272" s="2" t="e">
        <f ca="1">_xll.BDH($C$253,"NET_DEBT_TO_SHRHLDR_EQTY","FQ4 2017","FQ4 2017","Currency=INR","Period=FQ","BEST_FPERIOD_OVERRIDE=FQ","FILING_STATUS=OR","EQY_CONSOLIDATED=Y","Sort=A","Dates=H","DateFormat=P","Fill=—","Direction=H","UseDPDF=Y")</f>
        <v>#NAME?</v>
      </c>
      <c r="CO272" s="2" t="e">
        <f ca="1">_xll.BDH($C$253,"NET_DEBT_%_CAPITAL","FQ4 2017","FQ4 2017","Currency=INR","Period=FQ","BEST_FPERIOD_OVERRIDE=FQ","FILING_STATUS=OR","EQY_CONSOLIDATED=Y","Sort=A","Dates=H","DateFormat=P","Fill=—","Direction=H","UseDPDF=Y")</f>
        <v>#NAME?</v>
      </c>
      <c r="CP272" s="3" t="e">
        <f ca="1">_xll.BDH($C$253,"EBITDA","FQ4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72" s="3" t="e">
        <f ca="1">_xll.BDH($C$253,"EBITDA_AFTER_CAPEX","FQ4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72" s="3" t="e">
        <f ca="1">_xll.BDH($C$253,"IS_OPER_INC","FQ4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72" s="2" t="e">
        <f ca="1">_xll.BDH($C$253,"CASH_RATIO","FQ4 2017","FQ4 2017","Currency=INR","Period=FQ","BEST_FPERIOD_OVERRIDE=FQ","FILING_STATUS=OR","EQY_CONSOLIDATED=Y","Sort=A","Dates=H","DateFormat=P","Fill=—","Direction=H","UseDPDF=Y")</f>
        <v>#NAME?</v>
      </c>
      <c r="CT272" s="2" t="e">
        <f ca="1">_xll.BDH($C$253,"CUR_RATIO","FQ4 2017","FQ4 2017","Currency=INR","Period=FQ","BEST_FPERIOD_OVERRIDE=FQ","FILING_STATUS=OR","EQY_CONSOLIDATED=Y","Sort=A","Dates=H","DateFormat=P","Fill=—","Direction=H","UseDPDF=Y")</f>
        <v>#NAME?</v>
      </c>
      <c r="CU272" s="2" t="e">
        <f ca="1">_xll.BDH($C$253,"QUICK_RATIO","FQ4 2017","FQ4 2017","Currency=INR","Period=FQ","BEST_FPERIOD_OVERRIDE=FQ","FILING_STATUS=OR","EQY_CONSOLIDATED=Y","Sort=A","Dates=H","DateFormat=P","Fill=—","Direction=H","UseDPDF=Y")</f>
        <v>#NAME?</v>
      </c>
      <c r="CV272" s="2" t="e">
        <f ca="1">_xll.BDH($C$253,"ALTMAN_Z_SCORE","FQ4 2017","FQ4 2017","Currency=INR","Period=FQ","BEST_FPERIOD_OVERRIDE=FQ","FILING_STATUS=OR","EQY_CONSOLIDATED=Y","Sort=A","Dates=H","DateFormat=P","Fill=—","Direction=H","UseDPDF=Y")</f>
        <v>#NAME?</v>
      </c>
      <c r="CW272" s="4" t="e">
        <f ca="1">_xll.BDH($C$253,"ACCT_RCV_TURN","FQ4 2017","FQ4 2017","Currency=INR","Period=FQ","BEST_FPERIOD_OVERRIDE=FQ","FILING_STATUS=OR","EQY_CONSOLIDATED=Y","FA_ADJUSTED=GAAP","Sort=A","Dates=H","DateFormat=P","Fill=—","Direction=H","UseDPDF=Y")</f>
        <v>#NAME?</v>
      </c>
      <c r="CX272" s="2" t="e">
        <f ca="1">_xll.BDH($C$253,"ACCT_RCV_DAYS","FQ4 2017","FQ4 2017","Currency=INR","Period=FQ","BEST_FPERIOD_OVERRIDE=FQ","FILING_STATUS=OR","EQY_CONSOLIDATED=Y","FA_ADJUSTED=GAAP","Sort=A","Dates=H","DateFormat=P","Fill=—","Direction=H","UseDPDF=Y")</f>
        <v>#NAME?</v>
      </c>
      <c r="CY272" s="4" t="e">
        <f ca="1">_xll.BDH($C$253,"INVENT_TURN","FQ4 2017","FQ4 2017","Currency=INR","Period=FQ","BEST_FPERIOD_OVERRIDE=FQ","FILING_STATUS=OR","EQY_CONSOLIDATED=Y","FA_ADJUSTED=GAAP","Sort=A","Dates=H","DateFormat=P","Fill=—","Direction=H","UseDPDF=Y")</f>
        <v>#NAME?</v>
      </c>
      <c r="CZ272" s="2" t="e">
        <f ca="1">_xll.BDH($C$253,"INVENT_DAYS","FQ4 2017","FQ4 2017","Currency=INR","Period=FQ","BEST_FPERIOD_OVERRIDE=FQ","FILING_STATUS=OR","EQY_CONSOLIDATED=Y","FA_ADJUSTED=GAAP","Sort=A","Dates=H","DateFormat=P","Fill=—","Direction=H","UseDPDF=Y")</f>
        <v>#NAME?</v>
      </c>
      <c r="DA272" s="4" t="e">
        <f ca="1">_xll.BDH($C$253,"ACCOUNTS_PAYABLE_TURNOVER","FQ4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72" s="2" t="e">
        <f ca="1">_xll.BDH($C$253,"ACCOUNTS_PAYABLE_TURNOVER_DAYS","FQ4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72" s="4" t="e">
        <f ca="1">_xll.BDH($C$253,"CASH_CONVERSION_CYCLE","FQ4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72" s="4" t="e">
        <f ca="1">_xll.BDH($C$253,"INV_TO_CASH_DAYS","FQ4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272" s="5" t="e">
        <f ca="1">_xll.BDH($C$253,"BS_INVENTORIES","FQ4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272" s="3" t="e">
        <f ca="1">_xll.BDH($C$253,"INVTRY_RAW_MATERIALS","FQ4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72" s="3" t="e">
        <f ca="1">_xll.BDH($C$253,"INVTRY_IN_PROGRESS","FQ4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72" s="3" t="e">
        <f ca="1">_xll.BDH($C$253,"INVTRY_FINISHED_GOODS","FQ4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72" s="3" t="e">
        <f ca="1">_xll.BDH($C$253,"BS_OTHER_INV","FQ4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73" spans="1:113" x14ac:dyDescent="0.3">
      <c r="A273" s="6"/>
      <c r="B273" s="6"/>
      <c r="C273" s="6"/>
      <c r="D273" s="6" t="s">
        <v>85</v>
      </c>
      <c r="E273" t="s">
        <v>77</v>
      </c>
      <c r="F273" t="e">
        <f ca="1">_xll.BDH($C$253,"RETURN_COM_EQY","FY 2018","FY 2018","Currency=INR","Period=FY","BEST_FPERIOD_OVERRIDE=FY","FILING_STATUS=OR","EQY_CONSOLIDATED=Y","FA_ADJUSTED=GAAP","Sort=A","Dates=H","DateFormat=P","Fill=—","Direction=H","UseDPDF=Y")</f>
        <v>#NAME?</v>
      </c>
      <c r="G273" t="e">
        <f ca="1">_xll.BDH($C$253,"RETURN_ON_ASSET","FY 2018","FY 2018","Currency=INR","Period=FY","BEST_FPERIOD_OVERRIDE=FY","FILING_STATUS=OR","EQY_CONSOLIDATED=Y","FA_ADJUSTED=GAAP","Sort=A","Dates=H","DateFormat=P","Fill=—","Direction=H","UseDPDF=Y")</f>
        <v>#NAME?</v>
      </c>
      <c r="H273" t="e">
        <f ca="1">_xll.BDH($C$253,"RETURN_ON_CAP","FY 2018","FY 2018","Currency=INR","Period=FY","BEST_FPERIOD_OVERRIDE=FY","FILING_STATUS=OR","EQY_CONSOLIDATED=Y","FA_ADJUSTED=GAAP","Sort=A","Dates=H","DateFormat=P","Fill=—","Direction=H","UseDPDF=Y")</f>
        <v>#NAME?</v>
      </c>
      <c r="I273" t="e">
        <f ca="1">_xll.BDH($C$253,"RETURN_ON_INV_CAPITAL","FY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73" t="e">
        <f ca="1">_xll.BDH($C$253,"EBITDA_TO_REVENUE","FY 2018","FY 2018","Currency=INR","Period=FY","BEST_FPERIOD_OVERRIDE=FY","FILING_STATUS=OR","EQY_CONSOLIDATED=Y","FA_ADJUSTED=GAAP","Sort=A","Dates=H","DateFormat=P","Fill=—","Direction=H","UseDPDF=Y")</f>
        <v>#NAME?</v>
      </c>
      <c r="K273" t="e">
        <f ca="1">_xll.BDH($C$253,"OPER_MARGIN","FY 2018","FY 2018","Currency=INR","Period=FY","BEST_FPERIOD_OVERRIDE=FY","FILING_STATUS=OR","EQY_CONSOLIDATED=Y","FA_ADJUSTED=GAAP","Sort=A","Dates=H","DateFormat=P","Fill=—","Direction=H","UseDPDF=Y")</f>
        <v>#NAME?</v>
      </c>
      <c r="L273" t="e">
        <f ca="1">_xll.BDH($C$253,"INCREMENTAL_OPERATING_MARGIN","FY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73" t="e">
        <f ca="1">_xll.BDH($C$253,"PRETAX_INC_TO_NET_SALES","FY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73" t="e">
        <f ca="1">_xll.BDH($C$253,"INC_BEF_XO_ITEMS_TO_NET_SALES","FY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73" t="e">
        <f ca="1">_xll.BDH($C$253,"PROF_MARGIN","FY 2018","FY 2018","Currency=INR","Period=FY","BEST_FPERIOD_OVERRIDE=FY","FILING_STATUS=OR","EQY_CONSOLIDATED=Y","FA_ADJUSTED=GAAP","Sort=A","Dates=H","DateFormat=P","Fill=—","Direction=H","UseDPDF=Y")</f>
        <v>#NAME?</v>
      </c>
      <c r="P273" t="e">
        <f ca="1">_xll.BDH($C$253,"NET_INCOME_TO_COMMON_MARGIN","FY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73" t="e">
        <f ca="1">_xll.BDH($C$253,"EFF_TAX_RATE","FY 2018","FY 2018","Currency=INR","Period=FY","BEST_FPERIOD_OVERRIDE=FY","FILING_STATUS=OR","EQY_CONSOLIDATED=Y","FA_ADJUSTED=GAAP","Sort=A","Dates=H","DateFormat=P","Fill=—","Direction=H","UseDPDF=Y")</f>
        <v>#NAME?</v>
      </c>
      <c r="R273" t="e">
        <f ca="1">_xll.BDH($C$253,"DVD_PAYOUT_RATIO","FY 2018","FY 2018","Currency=INR","Period=FY","BEST_FPERIOD_OVERRIDE=FY","FILING_STATUS=OR","EQY_CONSOLIDATED=Y","FA_ADJUSTED=GAAP","Sort=A","Dates=H","DateFormat=P","Fill=—","Direction=H","UseDPDF=Y")</f>
        <v>#NAME?</v>
      </c>
      <c r="S273" t="e">
        <f ca="1">_xll.BDH($C$253,"SUSTAIN_GROWTH_RT","FY 2018","FY 2018","Currency=INR","Period=FY","BEST_FPERIOD_OVERRIDE=FY","FILING_STATUS=OR","EQY_CONSOLIDATED=Y","FA_ADJUSTED=GAAP","Sort=A","Dates=H","DateFormat=P","Fill=—","Direction=H","UseDPDF=Y")</f>
        <v>#NAME?</v>
      </c>
      <c r="T273" s="2" t="e">
        <f ca="1">_xll.BDH($C$253,"SALES_GROWTH","FY 2018","FY 2018","Currency=INR","Period=FY","BEST_FPERIOD_OVERRIDE=FY","FILING_STATUS=OR","EQY_CONSOLIDATED=Y","FA_ADJUSTED=GAAP","Sort=A","Dates=H","DateFormat=P","Fill=—","Direction=H","UseDPDF=Y")</f>
        <v>#NAME?</v>
      </c>
      <c r="U273" s="2" t="e">
        <f ca="1">_xll.BDH($C$253,"EBITDA_GROWTH","FY 2018","FY 2018","Currency=INR","Period=FY","BEST_FPERIOD_OVERRIDE=FY","FILING_STATUS=OR","EQY_CONSOLIDATED=Y","FA_ADJUSTED=GAAP","Sort=A","Dates=H","DateFormat=P","Fill=—","Direction=H","UseDPDF=Y")</f>
        <v>#NAME?</v>
      </c>
      <c r="V273" s="2" t="e">
        <f ca="1">_xll.BDH($C$253,"OPER_INC_GROWTH","FY 2018","FY 2018","Currency=INR","Period=FY","BEST_FPERIOD_OVERRIDE=FY","FILING_STATUS=OR","EQY_CONSOLIDATED=Y","FA_ADJUSTED=GAAP","Sort=A","Dates=H","DateFormat=P","Fill=—","Direction=H","UseDPDF=Y")</f>
        <v>#NAME?</v>
      </c>
      <c r="W273" s="2" t="e">
        <f ca="1">_xll.BDH($C$253,"EARN_FOR_COM_GROWTH","FY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273" s="2" t="e">
        <f ca="1">_xll.BDH($C$253,"DILUTED_EPS_AFT_XO_ITEMS_GROWTH","FY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73" s="2" t="e">
        <f ca="1">_xll.BDH($C$253,"DIVIDEND_PER_SHARE_1_YEAR_GROWTH","FY 2018","FY 2018","Currency=INR","Period=FY","BEST_FPERIOD_OVERRIDE=FY","FILING_STATUS=OR","EQY_CONSOLIDATED=Y","Sort=A","Dates=H","DateFormat=P","Fill=—","Direction=H","UseDPDF=Y")</f>
        <v>#NAME?</v>
      </c>
      <c r="Z273" s="2" t="e">
        <f ca="1">_xll.BDH($C$253,"ACCOUNTS_RECEIVABLE_GROWTH","FY 2018","FY 2018","Currency=INR","Period=FY","BEST_FPERIOD_OVERRIDE=FY","FILING_STATUS=OR","EQY_CONSOLIDATED=Y","Sort=A","Dates=H","DateFormat=P","Fill=—","Direction=H","UseDPDF=Y")</f>
        <v>#NAME?</v>
      </c>
      <c r="AA273" s="2" t="e">
        <f ca="1">_xll.BDH($C$253,"INVENTORY_GROWTH","FY 2018","FY 2018","Currency=INR","Period=FY","BEST_FPERIOD_OVERRIDE=FY","FILING_STATUS=OR","EQY_CONSOLIDATED=Y","Sort=A","Dates=H","DateFormat=P","Fill=—","Direction=H","UseDPDF=Y")</f>
        <v>#NAME?</v>
      </c>
      <c r="AB273" s="2" t="e">
        <f ca="1">_xll.BDH($C$253,"NET_FIXED_ASSETS_1_YEAR_GROWTH","FY 2018","FY 2018","Currency=INR","Period=FY","BEST_FPERIOD_OVERRIDE=FY","FILING_STATUS=OR","EQY_CONSOLIDATED=Y","Sort=A","Dates=H","DateFormat=P","Fill=—","Direction=H","UseDPDF=Y")</f>
        <v>#NAME?</v>
      </c>
      <c r="AC273" s="2" t="e">
        <f ca="1">_xll.BDH($C$253,"ASSET_GROWTH","FY 2018","FY 2018","Currency=INR","Period=FY","BEST_FPERIOD_OVERRIDE=FY","FILING_STATUS=OR","EQY_CONSOLIDATED=Y","Sort=A","Dates=H","DateFormat=P","Fill=—","Direction=H","UseDPDF=Y")</f>
        <v>#NAME?</v>
      </c>
      <c r="AD273" s="2" t="e">
        <f ca="1">_xll.BDH($C$253,"MODIFIED_WORK_CAP_GROWTH","FY 2018","FY 2018","Currency=INR","Period=FY","BEST_FPERIOD_OVERRIDE=FY","FILING_STATUS=OR","EQY_CONSOLIDATED=Y","Sort=A","Dates=H","DateFormat=P","Fill=—","Direction=H","UseDPDF=Y")</f>
        <v>#NAME?</v>
      </c>
      <c r="AE273" s="2" t="e">
        <f ca="1">_xll.BDH($C$253,"WORK_CAP_GROWTH","FY 2018","FY 2018","Currency=INR","Period=FY","BEST_FPERIOD_OVERRIDE=FY","FILING_STATUS=OR","EQY_CONSOLIDATED=Y","Sort=A","Dates=H","DateFormat=P","Fill=—","Direction=H","UseDPDF=Y")</f>
        <v>#NAME?</v>
      </c>
      <c r="AF273" s="2" t="e">
        <f ca="1">_xll.BDH($C$253,"ACCOUNTS_PAYABLE_GROWTH_1YR","FY 2018","FY 2018","Currency=INR","Period=FY","BEST_FPERIOD_OVERRIDE=FY","FILING_STATUS=OR","EQY_CONSOLIDATED=Y","Sort=A","Dates=H","DateFormat=P","Fill=—","Direction=H","UseDPDF=Y")</f>
        <v>#NAME?</v>
      </c>
      <c r="AG273" s="2" t="e">
        <f ca="1">_xll.BDH($C$253,"SHORT_TERM_DEBT_1_YEAR_GROWTH","FY 2018","FY 2018","Currency=INR","Period=FY","BEST_FPERIOD_OVERRIDE=FY","FILING_STATUS=OR","EQY_CONSOLIDATED=Y","Sort=A","Dates=H","DateFormat=P","Fill=—","Direction=H","UseDPDF=Y")</f>
        <v>#NAME?</v>
      </c>
      <c r="AH273" s="2" t="e">
        <f ca="1">_xll.BDH($C$253,"TOTAL_DEBT_1_YEAR_GROWTH","FY 2018","FY 2018","Currency=INR","Period=FY","BEST_FPERIOD_OVERRIDE=FY","FILING_STATUS=OR","EQY_CONSOLIDATED=Y","Sort=A","Dates=H","DateFormat=P","Fill=—","Direction=H","UseDPDF=Y")</f>
        <v>#NAME?</v>
      </c>
      <c r="AI273" s="2" t="e">
        <f ca="1">_xll.BDH($C$253,"TOTAL_EQUITY_1_YEAR_GROWTH","FY 2018","FY 2018","Currency=INR","Period=FY","BEST_FPERIOD_OVERRIDE=FY","FILING_STATUS=OR","EQY_CONSOLIDATED=Y","Sort=A","Dates=H","DateFormat=P","Fill=—","Direction=H","UseDPDF=Y")</f>
        <v>#NAME?</v>
      </c>
      <c r="AJ273" s="2" t="e">
        <f ca="1">_xll.BDH($C$253,"GROWTH_IN_CAP","FY 2018","FY 2018","Currency=INR","Period=FY","BEST_FPERIOD_OVERRIDE=FY","FILING_STATUS=OR","EQY_CONSOLIDATED=Y","Sort=A","Dates=H","DateFormat=P","Fill=—","Direction=H","UseDPDF=Y")</f>
        <v>#NAME?</v>
      </c>
      <c r="AK273" s="2" t="e">
        <f ca="1">_xll.BDH($C$253,"BVPS_GROWTH","FY 2018","FY 2018","Currency=INR","Period=FY","BEST_FPERIOD_OVERRIDE=FY","FILING_STATUS=OR","EQY_CONSOLIDATED=Y","Sort=A","Dates=H","DateFormat=P","Fill=—","Direction=H","UseDPDF=Y")</f>
        <v>#NAME?</v>
      </c>
      <c r="AL273" s="2" t="e">
        <f ca="1">_xll.BDH($C$253,"CASH_FLOW_GROWTH","FY 2018","FY 2018","Currency=INR","Period=FY","BEST_FPERIOD_OVERRIDE=FY","FILING_STATUS=OR","EQY_CONSOLIDATED=Y","Sort=A","Dates=H","DateFormat=P","Fill=—","Direction=H","UseDPDF=Y")</f>
        <v>#NAME?</v>
      </c>
      <c r="AM273" s="2" t="e">
        <f ca="1">_xll.BDH($C$253,"GEO_GROW_NET_SALES","FY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273" s="2" t="e">
        <f ca="1">_xll.BDH($C$253,"GEO_GROW_EBITDA","FY 2018","FY 2018","Currency=INR","Period=FY","BEST_FPERIOD_OVERRIDE=FY","FILING_STATUS=OR","EQY_CONSOLIDATED=Y","FA_ADJUSTED=GAAP","Sort=A","Dates=H","DateFormat=P","Fill=—","Direction=H","UseDPDF=Y")</f>
        <v>#NAME?</v>
      </c>
      <c r="AO273" s="2" t="e">
        <f ca="1">_xll.BDH($C$253,"GEO_GROW_OPER_INC","FY 2018","FY 2018","Currency=INR","Period=FY","BEST_FPERIOD_OVERRIDE=FY","FILING_STATUS=OR","EQY_CONSOLIDATED=Y","FA_ADJUSTED=GAAP","Sort=A","Dates=H","DateFormat=P","Fill=—","Direction=H","UseDPDF=Y")</f>
        <v>#NAME?</v>
      </c>
      <c r="AP273" s="2" t="e">
        <f ca="1">_xll.BDH($C$253,"NET_INCOME_TO_COMMON_5_YR_GROWTH","FY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73" s="2" t="e">
        <f ca="1">_xll.BDH($C$253,"5Y_GEO_GROWTH_DILUTED_EPS","FY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73" s="2" t="e">
        <f ca="1">_xll.BDH($C$253,"GEO_GROW_DVD_PER_SH","FY 2018","FY 2018","Currency=INR","Period=FY","BEST_FPERIOD_OVERRIDE=FY","FILING_STATUS=OR","EQY_CONSOLIDATED=Y","Sort=A","Dates=H","DateFormat=P","Fill=—","Direction=H","UseDPDF=Y")</f>
        <v>#NAME?</v>
      </c>
      <c r="AS273" s="2" t="e">
        <f ca="1">_xll.BDH($C$253,"ACCOUNTS_RECEIVABLE_5_YR_GROWTH","FY 2018","FY 2018","Currency=INR","Period=FY","BEST_FPERIOD_OVERRIDE=FY","FILING_STATUS=OR","EQY_CONSOLIDATED=Y","Sort=A","Dates=H","DateFormat=P","Fill=—","Direction=H","UseDPDF=Y")</f>
        <v>#NAME?</v>
      </c>
      <c r="AT273" s="2" t="e">
        <f ca="1">_xll.BDH($C$253,"INVENTORY_5_YEAR_GROWTH","FY 2018","FY 2018","Currency=INR","Period=FY","BEST_FPERIOD_OVERRIDE=FY","FILING_STATUS=OR","EQY_CONSOLIDATED=Y","Sort=A","Dates=H","DateFormat=P","Fill=—","Direction=H","UseDPDF=Y")</f>
        <v>#NAME?</v>
      </c>
      <c r="AU273" s="2" t="e">
        <f ca="1">_xll.BDH($C$253,"NET_FIXED_ASSETS_5_YEAR_GROWTH","FY 2018","FY 2018","Currency=INR","Period=FY","BEST_FPERIOD_OVERRIDE=FY","FILING_STATUS=OR","EQY_CONSOLIDATED=Y","Sort=A","Dates=H","DateFormat=P","Fill=—","Direction=H","UseDPDF=Y")</f>
        <v>#NAME?</v>
      </c>
      <c r="AV273" s="2" t="e">
        <f ca="1">_xll.BDH($C$253,"GEO_GROW_TOT_ASSET","FY 2018","FY 2018","Currency=INR","Period=FY","BEST_FPERIOD_OVERRIDE=FY","FILING_STATUS=OR","EQY_CONSOLIDATED=Y","Sort=A","Dates=H","DateFormat=P","Fill=—","Direction=H","UseDPDF=Y")</f>
        <v>#NAME?</v>
      </c>
      <c r="AW273" s="2" t="e">
        <f ca="1">_xll.BDH($C$253,"MODIFIED_WORKING_CPTL_5YR_GRWTH","FY 2018","FY 2018","Currency=INR","Period=FY","BEST_FPERIOD_OVERRIDE=FY","FILING_STATUS=OR","EQY_CONSOLIDATED=Y","Sort=A","Dates=H","DateFormat=P","Fill=—","Direction=H","UseDPDF=Y")</f>
        <v>#NAME?</v>
      </c>
      <c r="AX273" s="2" t="e">
        <f ca="1">_xll.BDH($C$253,"WORKING_CAPITAL_5_YEAR_GROWTH","FY 2018","FY 2018","Currency=INR","Period=FY","BEST_FPERIOD_OVERRIDE=FY","FILING_STATUS=OR","EQY_CONSOLIDATED=Y","Sort=A","Dates=H","DateFormat=P","Fill=—","Direction=H","UseDPDF=Y")</f>
        <v>#NAME?</v>
      </c>
      <c r="AY273" s="2" t="e">
        <f ca="1">_xll.BDH($C$253,"ACCOUNTS_PAYABLE_5_YEAR_GROWTH","FY 2018","FY 2018","Currency=INR","Period=FY","BEST_FPERIOD_OVERRIDE=FY","FILING_STATUS=OR","EQY_CONSOLIDATED=Y","Sort=A","Dates=H","DateFormat=P","Fill=—","Direction=H","UseDPDF=Y")</f>
        <v>#NAME?</v>
      </c>
      <c r="AZ273" s="2" t="e">
        <f ca="1">_xll.BDH($C$253,"SHORT_TERM_DEBT_5_YEAR_GROWTH","FY 2018","FY 2018","Currency=INR","Period=FY","BEST_FPERIOD_OVERRIDE=FY","FILING_STATUS=OR","EQY_CONSOLIDATED=Y","Sort=A","Dates=H","DateFormat=P","Fill=—","Direction=H","UseDPDF=Y")</f>
        <v>#NAME?</v>
      </c>
      <c r="BA273" s="2" t="e">
        <f ca="1">_xll.BDH($C$253,"TOTAL_DEBT_5_YEAR_GROWTH","FY 2018","FY 2018","Currency=INR","Period=FY","BEST_FPERIOD_OVERRIDE=FY","FILING_STATUS=OR","EQY_CONSOLIDATED=Y","Sort=A","Dates=H","DateFormat=P","Fill=—","Direction=H","UseDPDF=Y")</f>
        <v>#NAME?</v>
      </c>
      <c r="BB273" s="2" t="e">
        <f ca="1">_xll.BDH($C$253,"GEO_GROW_TOT_SHRHLDR_EQY","FY 2018","FY 2018","Currency=INR","Period=FY","BEST_FPERIOD_OVERRIDE=FY","FILING_STATUS=OR","EQY_CONSOLIDATED=Y","Sort=A","Dates=H","DateFormat=P","Fill=—","Direction=H","UseDPDF=Y")</f>
        <v>#NAME?</v>
      </c>
      <c r="BC273" s="2" t="e">
        <f ca="1">_xll.BDH($C$253,"TOTAL_CAPITAL_5_YEAR_GROWTH","FY 2018","FY 2018","Currency=INR","Period=FY","BEST_FPERIOD_OVERRIDE=FY","FILING_STATUS=OR","EQY_CONSOLIDATED=Y","Sort=A","Dates=H","DateFormat=P","Fill=—","Direction=H","UseDPDF=Y")</f>
        <v>#NAME?</v>
      </c>
      <c r="BD273" s="2" t="e">
        <f ca="1">_xll.BDH($C$253,"GEO_GROW_BOOK_VAL","FY 2018","FY 2018","Currency=INR","Period=FY","BEST_FPERIOD_OVERRIDE=FY","FILING_STATUS=OR","EQY_CONSOLIDATED=Y","Sort=A","Dates=H","DateFormat=P","Fill=—","Direction=H","UseDPDF=Y")</f>
        <v>#NAME?</v>
      </c>
      <c r="BE273" s="2" t="e">
        <f ca="1">_xll.BDH($C$253,"GEO_GROW_CASH_OPER_ACT","FY 2018","FY 2018","Currency=INR","Period=FY","BEST_FPERIOD_OVERRIDE=FY","FILING_STATUS=OR","EQY_CONSOLIDATED=Y","Sort=A","Dates=H","DateFormat=P","Fill=—","Direction=H","UseDPDF=Y")</f>
        <v>#NAME?</v>
      </c>
      <c r="BF273" s="2" t="e">
        <f ca="1">_xll.BDH($C$253,"REVENUE_SEQUENTIAL_GROWTH","FY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73" s="2" t="e">
        <f ca="1">_xll.BDH($C$253,"EBITDA_SEQUENTIAL_GROWTH","FY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73" s="2" t="e">
        <f ca="1">_xll.BDH($C$253,"OPERATING_INCOME_SEQ_GROWTH","FY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73" s="2" t="e">
        <f ca="1">_xll.BDH($C$253,"NET_INCOME_TO_COMMON_SEQ_GROWTH","FY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73" s="2" t="e">
        <f ca="1">_xll.BDH($C$253,"EPS_DILUTED_SEQUENTIAL_GROWTH","FY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73" s="2" t="e">
        <f ca="1">_xll.BDH($C$253,"DPS_SEQUENTIAL_GROWTH","FY 2018","FY 2018","Currency=INR","Period=FY","BEST_FPERIOD_OVERRIDE=FY","FILING_STATUS=OR","EQY_CONSOLIDATED=Y","Sort=A","Dates=H","DateFormat=P","Fill=—","Direction=H","UseDPDF=Y")</f>
        <v>#NAME?</v>
      </c>
      <c r="BL273" s="2" t="e">
        <f ca="1">_xll.BDH($C$253,"ACCOUNTS_RECEIVABLE_SEQ_GROWTH","FY 2018","FY 2018","Currency=INR","Period=FY","BEST_FPERIOD_OVERRIDE=FY","FILING_STATUS=OR","EQY_CONSOLIDATED=Y","Sort=A","Dates=H","DateFormat=P","Fill=—","Direction=H","UseDPDF=Y")</f>
        <v>#NAME?</v>
      </c>
      <c r="BM273" s="2" t="e">
        <f ca="1">_xll.BDH($C$253,"INVENTORY_SEQUENTIAL_GROWTH","FY 2018","FY 2018","Currency=INR","Period=FY","BEST_FPERIOD_OVERRIDE=FY","FILING_STATUS=OR","EQY_CONSOLIDATED=Y","Sort=A","Dates=H","DateFormat=P","Fill=—","Direction=H","UseDPDF=Y")</f>
        <v>#NAME?</v>
      </c>
      <c r="BN273" s="2" t="e">
        <f ca="1">_xll.BDH($C$253,"FIXED_ASSETS_SEQUENTIAL_GROWTH","FY 2018","FY 2018","Currency=INR","Period=FY","BEST_FPERIOD_OVERRIDE=FY","FILING_STATUS=OR","EQY_CONSOLIDATED=Y","Sort=A","Dates=H","DateFormat=P","Fill=—","Direction=H","UseDPDF=Y")</f>
        <v>#NAME?</v>
      </c>
      <c r="BO273" s="2" t="e">
        <f ca="1">_xll.BDH($C$253,"TOTAL_ASSETS_SEQUENTIAL_GROWTH","FY 2018","FY 2018","Currency=INR","Period=FY","BEST_FPERIOD_OVERRIDE=FY","FILING_STATUS=OR","EQY_CONSOLIDATED=Y","Sort=A","Dates=H","DateFormat=P","Fill=—","Direction=H","UseDPDF=Y")</f>
        <v>#NAME?</v>
      </c>
      <c r="BP273" s="2" t="e">
        <f ca="1">_xll.BDH($C$253,"MODIFIED_WORKING_CPTL_SEQ_GRWTH","FY 2018","FY 2018","Currency=INR","Period=FY","BEST_FPERIOD_OVERRIDE=FY","FILING_STATUS=OR","EQY_CONSOLIDATED=Y","Sort=A","Dates=H","DateFormat=P","Fill=—","Direction=H","UseDPDF=Y")</f>
        <v>#NAME?</v>
      </c>
      <c r="BQ273" s="2" t="e">
        <f ca="1">_xll.BDH($C$253,"WORKING_CAPITAL_SEQ_GROWTH","FY 2018","FY 2018","Currency=INR","Period=FY","BEST_FPERIOD_OVERRIDE=FY","FILING_STATUS=OR","EQY_CONSOLIDATED=Y","Sort=A","Dates=H","DateFormat=P","Fill=—","Direction=H","UseDPDF=Y")</f>
        <v>#NAME?</v>
      </c>
      <c r="BR273" s="2" t="e">
        <f ca="1">_xll.BDH($C$253,"ACCOUNTS_PAYABLE_SEQ_GROWTH","FY 2018","FY 2018","Currency=INR","Period=FY","BEST_FPERIOD_OVERRIDE=FY","FILING_STATUS=OR","EQY_CONSOLIDATED=Y","Sort=A","Dates=H","DateFormat=P","Fill=—","Direction=H","UseDPDF=Y")</f>
        <v>#NAME?</v>
      </c>
      <c r="BS273" s="2" t="e">
        <f ca="1">_xll.BDH($C$253,"ST_DEBT_SEQUENTIAL_GROWTH","FY 2018","FY 2018","Currency=INR","Period=FY","BEST_FPERIOD_OVERRIDE=FY","FILING_STATUS=OR","EQY_CONSOLIDATED=Y","Sort=A","Dates=H","DateFormat=P","Fill=—","Direction=H","UseDPDF=Y")</f>
        <v>#NAME?</v>
      </c>
      <c r="BT273" s="2" t="e">
        <f ca="1">_xll.BDH($C$253,"TOTAL_DEBT_SEQUENTIAL_GROWTH","FY 2018","FY 2018","Currency=INR","Period=FY","BEST_FPERIOD_OVERRIDE=FY","FILING_STATUS=OR","EQY_CONSOLIDATED=Y","Sort=A","Dates=H","DateFormat=P","Fill=—","Direction=H","UseDPDF=Y")</f>
        <v>#NAME?</v>
      </c>
      <c r="BU273" s="2" t="e">
        <f ca="1">_xll.BDH($C$253,"TOTAL_EQUITY_SEQUENTIAL_GROWTH","FY 2018","FY 2018","Currency=INR","Period=FY","BEST_FPERIOD_OVERRIDE=FY","FILING_STATUS=OR","EQY_CONSOLIDATED=Y","Sort=A","Dates=H","DateFormat=P","Fill=—","Direction=H","UseDPDF=Y")</f>
        <v>#NAME?</v>
      </c>
      <c r="BV273" s="2" t="e">
        <f ca="1">_xll.BDH($C$253,"TOTAL_CAPITAL_SEQUENTIAL_GROWTH","FY 2018","FY 2018","Currency=INR","Period=FY","BEST_FPERIOD_OVERRIDE=FY","FILING_STATUS=OR","EQY_CONSOLIDATED=Y","Sort=A","Dates=H","DateFormat=P","Fill=—","Direction=H","UseDPDF=Y")</f>
        <v>#NAME?</v>
      </c>
      <c r="BW273" s="2" t="e">
        <f ca="1">_xll.BDH($C$253,"BPS_SEQUENTIAL_GROWTH","FY 2018","FY 2018","Currency=INR","Period=FY","BEST_FPERIOD_OVERRIDE=FY","FILING_STATUS=OR","EQY_CONSOLIDATED=Y","Sort=A","Dates=H","DateFormat=P","Fill=—","Direction=H","UseDPDF=Y")</f>
        <v>#NAME?</v>
      </c>
      <c r="BX273" s="2" t="e">
        <f ca="1">_xll.BDH($C$253,"CFO_SEQUENTIAL_GROWTH","FY 2018","FY 2018","Currency=INR","Period=FY","BEST_FPERIOD_OVERRIDE=FY","FILING_STATUS=OR","EQY_CONSOLIDATED=Y","Sort=A","Dates=H","DateFormat=P","Fill=—","Direction=H","UseDPDF=Y")</f>
        <v>#NAME?</v>
      </c>
      <c r="BY273" s="3" t="e">
        <f ca="1">_xll.BDH($C$253,"SHORT_AND_LONG_TERM_DEBT","FY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73" s="3" t="e">
        <f ca="1">_xll.BDH($C$253,"BS_ST_BORROW","FY 2018","FY 2018","Currency=INR","Period=FY","BEST_FPERIOD_OVERRIDE=FY","FILING_STATUS=OR","EQY_CONSOLIDATED=Y","SCALING_FORMAT=MLN","Sort=A","Dates=H","DateFormat=P","Fill=—","Direction=H","UseDPDF=Y")</f>
        <v>#NAME?</v>
      </c>
      <c r="CA273" s="3" t="e">
        <f ca="1">_xll.BDH($C$253,"BS_LT_BORROW","FY 2018","FY 2018","Currency=INR","Period=FY","BEST_FPERIOD_OVERRIDE=FY","FILING_STATUS=OR","EQY_CONSOLIDATED=Y","SCALING_FORMAT=MLN","Sort=A","Dates=H","DateFormat=P","Fill=—","Direction=H","UseDPDF=Y")</f>
        <v>#NAME?</v>
      </c>
      <c r="CB273" s="2" t="e">
        <f ca="1">_xll.BDH($C$253,"TOT_DEBT_TO_EBITDA","FY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273" s="2" t="e">
        <f ca="1">_xll.BDH($C$253,"NET_DEBT_TO_EBITDA","FY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273" s="2" t="e">
        <f ca="1">_xll.BDH($C$253,"TOTAL_DEBT_TO_EBIT","FY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273" s="2" t="e">
        <f ca="1">_xll.BDH($C$253,"NET_DEBT_TO_EBIT","FY 2018","FY 2018","Currency=INR","Period=FY","BEST_FPERIOD_OVERRIDE=FY","FILING_STATUS=OR","EQY_CONSOLIDATED=Y","FA_ADJUSTED=GAAP","Sort=A","Dates=H","DateFormat=P","Fill=—","Direction=H","UseDPDF=Y")</f>
        <v>#NAME?</v>
      </c>
      <c r="CF273" s="2" t="e">
        <f ca="1">_xll.BDH($C$253,"EBITDA_TO_INTEREST_EXPN","FY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73" s="2" t="e">
        <f ca="1">_xll.BDH($C$253,"COM_EQY_TO_TOT_ASSET","FY 2018","FY 2018","Currency=INR","Period=FY","BEST_FPERIOD_OVERRIDE=FY","FILING_STATUS=OR","EQY_CONSOLIDATED=Y","Sort=A","Dates=H","DateFormat=P","Fill=—","Direction=H","UseDPDF=Y")</f>
        <v>#NAME?</v>
      </c>
      <c r="CH273" s="2" t="e">
        <f ca="1">_xll.BDH($C$253,"LT_DEBT_TO_TOT_EQY","FY 2018","FY 2018","Currency=INR","Period=FY","BEST_FPERIOD_OVERRIDE=FY","FILING_STATUS=OR","EQY_CONSOLIDATED=Y","Sort=A","Dates=H","DateFormat=P","Fill=—","Direction=H","UseDPDF=Y")</f>
        <v>#NAME?</v>
      </c>
      <c r="CI273" s="2" t="e">
        <f ca="1">_xll.BDH($C$253,"LT_DEBT_TO_TOT_CAP","FY 2018","FY 2018","Currency=INR","Period=FY","BEST_FPERIOD_OVERRIDE=FY","FILING_STATUS=OR","EQY_CONSOLIDATED=Y","Sort=A","Dates=H","DateFormat=P","Fill=—","Direction=H","UseDPDF=Y")</f>
        <v>#NAME?</v>
      </c>
      <c r="CJ273" s="2" t="e">
        <f ca="1">_xll.BDH($C$253,"LT_DEBT_TO_TOT_ASSET","FY 2018","FY 2018","Currency=INR","Period=FY","BEST_FPERIOD_OVERRIDE=FY","FILING_STATUS=OR","EQY_CONSOLIDATED=Y","Sort=A","Dates=H","DateFormat=P","Fill=—","Direction=H","UseDPDF=Y")</f>
        <v>#NAME?</v>
      </c>
      <c r="CK273" s="2" t="e">
        <f ca="1">_xll.BDH($C$253,"TOT_DEBT_TO_TOT_EQY","FY 2018","FY 2018","Currency=INR","Period=FY","BEST_FPERIOD_OVERRIDE=FY","FILING_STATUS=OR","EQY_CONSOLIDATED=Y","Sort=A","Dates=H","DateFormat=P","Fill=—","Direction=H","UseDPDF=Y")</f>
        <v>#NAME?</v>
      </c>
      <c r="CL273" s="2" t="e">
        <f ca="1">_xll.BDH($C$253,"TOT_DEBT_TO_TOT_CAP","FY 2018","FY 2018","Currency=INR","Period=FY","BEST_FPERIOD_OVERRIDE=FY","FILING_STATUS=OR","EQY_CONSOLIDATED=Y","Sort=A","Dates=H","DateFormat=P","Fill=—","Direction=H","UseDPDF=Y")</f>
        <v>#NAME?</v>
      </c>
      <c r="CM273" s="2" t="e">
        <f ca="1">_xll.BDH($C$253,"TOT_DEBT_TO_TOT_ASSET","FY 2018","FY 2018","Currency=INR","Period=FY","BEST_FPERIOD_OVERRIDE=FY","FILING_STATUS=OR","EQY_CONSOLIDATED=Y","Sort=A","Dates=H","DateFormat=P","Fill=—","Direction=H","UseDPDF=Y")</f>
        <v>#NAME?</v>
      </c>
      <c r="CN273" s="2" t="e">
        <f ca="1">_xll.BDH($C$253,"NET_DEBT_TO_SHRHLDR_EQTY","FY 2018","FY 2018","Currency=INR","Period=FY","BEST_FPERIOD_OVERRIDE=FY","FILING_STATUS=OR","EQY_CONSOLIDATED=Y","Sort=A","Dates=H","DateFormat=P","Fill=—","Direction=H","UseDPDF=Y")</f>
        <v>#NAME?</v>
      </c>
      <c r="CO273" s="2" t="e">
        <f ca="1">_xll.BDH($C$253,"NET_DEBT_%_CAPITAL","FY 2018","FY 2018","Currency=INR","Period=FY","BEST_FPERIOD_OVERRIDE=FY","FILING_STATUS=OR","EQY_CONSOLIDATED=Y","Sort=A","Dates=H","DateFormat=P","Fill=—","Direction=H","UseDPDF=Y")</f>
        <v>#NAME?</v>
      </c>
      <c r="CP273" s="3" t="e">
        <f ca="1">_xll.BDH($C$253,"EBITDA","FY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73" s="3" t="e">
        <f ca="1">_xll.BDH($C$253,"EBITDA_AFTER_CAPEX","FY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73" s="3" t="e">
        <f ca="1">_xll.BDH($C$253,"IS_OPER_INC","FY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73" s="2" t="e">
        <f ca="1">_xll.BDH($C$253,"CASH_RATIO","FY 2018","FY 2018","Currency=INR","Period=FY","BEST_FPERIOD_OVERRIDE=FY","FILING_STATUS=OR","EQY_CONSOLIDATED=Y","Sort=A","Dates=H","DateFormat=P","Fill=—","Direction=H","UseDPDF=Y")</f>
        <v>#NAME?</v>
      </c>
      <c r="CT273" s="2" t="e">
        <f ca="1">_xll.BDH($C$253,"CUR_RATIO","FY 2018","FY 2018","Currency=INR","Period=FY","BEST_FPERIOD_OVERRIDE=FY","FILING_STATUS=OR","EQY_CONSOLIDATED=Y","Sort=A","Dates=H","DateFormat=P","Fill=—","Direction=H","UseDPDF=Y")</f>
        <v>#NAME?</v>
      </c>
      <c r="CU273" s="2" t="e">
        <f ca="1">_xll.BDH($C$253,"QUICK_RATIO","FY 2018","FY 2018","Currency=INR","Period=FY","BEST_FPERIOD_OVERRIDE=FY","FILING_STATUS=OR","EQY_CONSOLIDATED=Y","Sort=A","Dates=H","DateFormat=P","Fill=—","Direction=H","UseDPDF=Y")</f>
        <v>#NAME?</v>
      </c>
      <c r="CV273" s="2" t="e">
        <f ca="1">_xll.BDH($C$253,"ALTMAN_Z_SCORE","FY 2018","FY 2018","Currency=INR","Period=FY","BEST_FPERIOD_OVERRIDE=FY","FILING_STATUS=OR","EQY_CONSOLIDATED=Y","Sort=A","Dates=H","DateFormat=P","Fill=—","Direction=H","UseDPDF=Y")</f>
        <v>#NAME?</v>
      </c>
      <c r="CW273" s="4" t="e">
        <f ca="1">_xll.BDH($C$253,"ACCT_RCV_TURN","FY 2018","FY 2018","Currency=INR","Period=FY","BEST_FPERIOD_OVERRIDE=FY","FILING_STATUS=OR","EQY_CONSOLIDATED=Y","FA_ADJUSTED=GAAP","Sort=A","Dates=H","DateFormat=P","Fill=—","Direction=H","UseDPDF=Y")</f>
        <v>#NAME?</v>
      </c>
      <c r="CX273" s="2" t="e">
        <f ca="1">_xll.BDH($C$253,"ACCT_RCV_DAYS","FY 2018","FY 2018","Currency=INR","Period=FY","BEST_FPERIOD_OVERRIDE=FY","FILING_STATUS=OR","EQY_CONSOLIDATED=Y","FA_ADJUSTED=GAAP","Sort=A","Dates=H","DateFormat=P","Fill=—","Direction=H","UseDPDF=Y")</f>
        <v>#NAME?</v>
      </c>
      <c r="CY273" s="4" t="e">
        <f ca="1">_xll.BDH($C$253,"INVENT_TURN","FY 2018","FY 2018","Currency=INR","Period=FY","BEST_FPERIOD_OVERRIDE=FY","FILING_STATUS=OR","EQY_CONSOLIDATED=Y","FA_ADJUSTED=GAAP","Sort=A","Dates=H","DateFormat=P","Fill=—","Direction=H","UseDPDF=Y")</f>
        <v>#NAME?</v>
      </c>
      <c r="CZ273" s="2" t="e">
        <f ca="1">_xll.BDH($C$253,"INVENT_DAYS","FY 2018","FY 2018","Currency=INR","Period=FY","BEST_FPERIOD_OVERRIDE=FY","FILING_STATUS=OR","EQY_CONSOLIDATED=Y","FA_ADJUSTED=GAAP","Sort=A","Dates=H","DateFormat=P","Fill=—","Direction=H","UseDPDF=Y")</f>
        <v>#NAME?</v>
      </c>
      <c r="DA273" s="4" t="e">
        <f ca="1">_xll.BDH($C$253,"ACCOUNTS_PAYABLE_TURNOVER","FY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73" s="2" t="e">
        <f ca="1">_xll.BDH($C$253,"ACCOUNTS_PAYABLE_TURNOVER_DAYS","FY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73" s="4" t="e">
        <f ca="1">_xll.BDH($C$253,"CASH_CONVERSION_CYCLE","FY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73" s="4" t="e">
        <f ca="1">_xll.BDH($C$253,"INV_TO_CASH_DAYS","FY 2018","FY 2018","Currency=INR","Period=FY","BEST_FPERIOD_OVERRIDE=FY","FILING_STATUS=OR","EQY_CONSOLIDATED=Y","FA_ADJUSTED=GAAP","Sort=A","Dates=H","DateFormat=P","Fill=—","Direction=H","UseDPDF=Y")</f>
        <v>#NAME?</v>
      </c>
      <c r="DE273" s="5" t="e">
        <f ca="1">_xll.BDH($C$253,"BS_INVENTORIES","FY 2018","FY 2018","Currency=INR","Period=FY","BEST_FPERIOD_OVERRIDE=FY","FILING_STATUS=OR","EQY_CONSOLIDATED=Y","SCALING_FORMAT=MLN","Sort=A","Dates=H","DateFormat=P","Fill=—","Direction=H","UseDPDF=Y")</f>
        <v>#NAME?</v>
      </c>
      <c r="DF273" s="3" t="e">
        <f ca="1">_xll.BDH($C$253,"INVTRY_RAW_MATERIALS","FY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73" s="3" t="e">
        <f ca="1">_xll.BDH($C$253,"INVTRY_IN_PROGRESS","FY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73" s="3" t="e">
        <f ca="1">_xll.BDH($C$253,"INVTRY_FINISHED_GOODS","FY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73" s="3" t="e">
        <f ca="1">_xll.BDH($C$253,"BS_OTHER_INV","FY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74" spans="1:113" x14ac:dyDescent="0.3">
      <c r="A274" s="6"/>
      <c r="B274" s="6"/>
      <c r="C274" s="6"/>
      <c r="D274" s="6"/>
      <c r="E274" t="s">
        <v>78</v>
      </c>
      <c r="F274" t="e">
        <f ca="1">_xll.BDH($C$253,"RETURN_COM_EQY","FQ1 2018","FQ1 2018","Currency=INR","Period=FQ","BEST_FPERIOD_OVERRIDE=FQ","FILING_STATUS=OR","EQY_CONSOLIDATED=Y","FA_ADJUSTED=GAAP","Sort=A","Dates=H","DateFormat=P","Fill=—","Direction=H","UseDPDF=Y")</f>
        <v>#NAME?</v>
      </c>
      <c r="G274" t="e">
        <f ca="1">_xll.BDH($C$253,"RETURN_ON_ASSET","FQ1 2018","FQ1 2018","Currency=INR","Period=FQ","BEST_FPERIOD_OVERRIDE=FQ","FILING_STATUS=OR","EQY_CONSOLIDATED=Y","FA_ADJUSTED=GAAP","Sort=A","Dates=H","DateFormat=P","Fill=—","Direction=H","UseDPDF=Y")</f>
        <v>#NAME?</v>
      </c>
      <c r="H274" t="e">
        <f ca="1">_xll.BDH($C$253,"RETURN_ON_CAP","FQ1 2018","FQ1 2018","Currency=INR","Period=FQ","BEST_FPERIOD_OVERRIDE=FQ","FILING_STATUS=OR","EQY_CONSOLIDATED=Y","FA_ADJUSTED=GAAP","Sort=A","Dates=H","DateFormat=P","Fill=—","Direction=H","UseDPDF=Y")</f>
        <v>#NAME?</v>
      </c>
      <c r="I274" t="e">
        <f ca="1">_xll.BDH($C$253,"RETURN_ON_INV_CAPITAL","FQ1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74" t="e">
        <f ca="1">_xll.BDH($C$253,"EBITDA_TO_REVENUE","FQ1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274" t="e">
        <f ca="1">_xll.BDH($C$253,"OPER_MARGIN","FQ1 2018","FQ1 2018","Currency=INR","Period=FQ","BEST_FPERIOD_OVERRIDE=FQ","FILING_STATUS=OR","EQY_CONSOLIDATED=Y","FA_ADJUSTED=GAAP","Sort=A","Dates=H","DateFormat=P","Fill=—","Direction=H","UseDPDF=Y")</f>
        <v>#NAME?</v>
      </c>
      <c r="L274" t="e">
        <f ca="1">_xll.BDH($C$253,"INCREMENTAL_OPERATING_MARGIN","FQ1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74" t="e">
        <f ca="1">_xll.BDH($C$253,"PRETAX_INC_TO_NET_SALES","FQ1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74" t="e">
        <f ca="1">_xll.BDH($C$253,"INC_BEF_XO_ITEMS_TO_NET_SALES","FQ1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74" t="e">
        <f ca="1">_xll.BDH($C$253,"PROF_MARGIN","FQ1 2018","FQ1 2018","Currency=INR","Period=FQ","BEST_FPERIOD_OVERRIDE=FQ","FILING_STATUS=OR","EQY_CONSOLIDATED=Y","FA_ADJUSTED=GAAP","Sort=A","Dates=H","DateFormat=P","Fill=—","Direction=H","UseDPDF=Y")</f>
        <v>#NAME?</v>
      </c>
      <c r="P274" t="e">
        <f ca="1">_xll.BDH($C$253,"NET_INCOME_TO_COMMON_MARGIN","FQ1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74" t="e">
        <f ca="1">_xll.BDH($C$253,"EFF_TAX_RATE","FQ1 2018","FQ1 2018","Currency=INR","Period=FQ","BEST_FPERIOD_OVERRIDE=FQ","FILING_STATUS=OR","EQY_CONSOLIDATED=Y","FA_ADJUSTED=GAAP","Sort=A","Dates=H","DateFormat=P","Fill=—","Direction=H","UseDPDF=Y")</f>
        <v>#NAME?</v>
      </c>
      <c r="R274" t="e">
        <f ca="1">_xll.BDH($C$253,"DVD_PAYOUT_RATIO","FQ1 2018","FQ1 2018","Currency=INR","Period=FQ","BEST_FPERIOD_OVERRIDE=FQ","FILING_STATUS=OR","EQY_CONSOLIDATED=Y","FA_ADJUSTED=GAAP","Sort=A","Dates=H","DateFormat=P","Fill=—","Direction=H","UseDPDF=Y")</f>
        <v>#NAME?</v>
      </c>
      <c r="S274" t="e">
        <f ca="1">_xll.BDH($C$253,"SUSTAIN_GROWTH_RT","FQ1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274" s="2" t="e">
        <f ca="1">_xll.BDH($C$253,"SALES_GROWTH","FQ1 2018","FQ1 2018","Currency=INR","Period=FQ","BEST_FPERIOD_OVERRIDE=FQ","FILING_STATUS=OR","EQY_CONSOLIDATED=Y","FA_ADJUSTED=GAAP","Sort=A","Dates=H","DateFormat=P","Fill=—","Direction=H","UseDPDF=Y")</f>
        <v>#NAME?</v>
      </c>
      <c r="U274" s="2" t="e">
        <f ca="1">_xll.BDH($C$253,"EBITDA_GROWTH","FQ1 2018","FQ1 2018","Currency=INR","Period=FQ","BEST_FPERIOD_OVERRIDE=FQ","FILING_STATUS=OR","EQY_CONSOLIDATED=Y","FA_ADJUSTED=GAAP","Sort=A","Dates=H","DateFormat=P","Fill=—","Direction=H","UseDPDF=Y")</f>
        <v>#NAME?</v>
      </c>
      <c r="V274" s="2" t="e">
        <f ca="1">_xll.BDH($C$253,"OPER_INC_GROWTH","FQ1 2018","FQ1 2018","Currency=INR","Period=FQ","BEST_FPERIOD_OVERRIDE=FQ","FILING_STATUS=OR","EQY_CONSOLIDATED=Y","FA_ADJUSTED=GAAP","Sort=A","Dates=H","DateFormat=P","Fill=—","Direction=H","UseDPDF=Y")</f>
        <v>#NAME?</v>
      </c>
      <c r="W274" s="2" t="e">
        <f ca="1">_xll.BDH($C$253,"EARN_FOR_COM_GROWTH","FQ1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74" s="2" t="e">
        <f ca="1">_xll.BDH($C$253,"DILUTED_EPS_AFT_XO_ITEMS_GROWTH","FQ1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74" s="2" t="e">
        <f ca="1">_xll.BDH($C$253,"DIVIDEND_PER_SHARE_1_YEAR_GROWTH","FQ1 2018","FQ1 2018","Currency=INR","Period=FQ","BEST_FPERIOD_OVERRIDE=FQ","FILING_STATUS=OR","EQY_CONSOLIDATED=Y","Sort=A","Dates=H","DateFormat=P","Fill=—","Direction=H","UseDPDF=Y")</f>
        <v>#NAME?</v>
      </c>
      <c r="Z274" s="2" t="e">
        <f ca="1">_xll.BDH($C$253,"ACCOUNTS_RECEIVABLE_GROWTH","FQ1 2018","FQ1 2018","Currency=INR","Period=FQ","BEST_FPERIOD_OVERRIDE=FQ","FILING_STATUS=OR","EQY_CONSOLIDATED=Y","Sort=A","Dates=H","DateFormat=P","Fill=—","Direction=H","UseDPDF=Y")</f>
        <v>#NAME?</v>
      </c>
      <c r="AA274" s="2" t="e">
        <f ca="1">_xll.BDH($C$253,"INVENTORY_GROWTH","FQ1 2018","FQ1 2018","Currency=INR","Period=FQ","BEST_FPERIOD_OVERRIDE=FQ","FILING_STATUS=OR","EQY_CONSOLIDATED=Y","Sort=A","Dates=H","DateFormat=P","Fill=—","Direction=H","UseDPDF=Y")</f>
        <v>#NAME?</v>
      </c>
      <c r="AB274" s="2" t="e">
        <f ca="1">_xll.BDH($C$253,"NET_FIXED_ASSETS_1_YEAR_GROWTH","FQ1 2018","FQ1 2018","Currency=INR","Period=FQ","BEST_FPERIOD_OVERRIDE=FQ","FILING_STATUS=OR","EQY_CONSOLIDATED=Y","Sort=A","Dates=H","DateFormat=P","Fill=—","Direction=H","UseDPDF=Y")</f>
        <v>#NAME?</v>
      </c>
      <c r="AC274" s="2" t="e">
        <f ca="1">_xll.BDH($C$253,"ASSET_GROWTH","FQ1 2018","FQ1 2018","Currency=INR","Period=FQ","BEST_FPERIOD_OVERRIDE=FQ","FILING_STATUS=OR","EQY_CONSOLIDATED=Y","Sort=A","Dates=H","DateFormat=P","Fill=—","Direction=H","UseDPDF=Y")</f>
        <v>#NAME?</v>
      </c>
      <c r="AD274" s="2" t="e">
        <f ca="1">_xll.BDH($C$253,"MODIFIED_WORK_CAP_GROWTH","FQ1 2018","FQ1 2018","Currency=INR","Period=FQ","BEST_FPERIOD_OVERRIDE=FQ","FILING_STATUS=OR","EQY_CONSOLIDATED=Y","Sort=A","Dates=H","DateFormat=P","Fill=—","Direction=H","UseDPDF=Y")</f>
        <v>#NAME?</v>
      </c>
      <c r="AE274" s="2" t="e">
        <f ca="1">_xll.BDH($C$253,"WORK_CAP_GROWTH","FQ1 2018","FQ1 2018","Currency=INR","Period=FQ","BEST_FPERIOD_OVERRIDE=FQ","FILING_STATUS=OR","EQY_CONSOLIDATED=Y","Sort=A","Dates=H","DateFormat=P","Fill=—","Direction=H","UseDPDF=Y")</f>
        <v>#NAME?</v>
      </c>
      <c r="AF274" s="2" t="e">
        <f ca="1">_xll.BDH($C$253,"ACCOUNTS_PAYABLE_GROWTH_1YR","FQ1 2018","FQ1 2018","Currency=INR","Period=FQ","BEST_FPERIOD_OVERRIDE=FQ","FILING_STATUS=OR","EQY_CONSOLIDATED=Y","Sort=A","Dates=H","DateFormat=P","Fill=—","Direction=H","UseDPDF=Y")</f>
        <v>#NAME?</v>
      </c>
      <c r="AG274" s="2" t="e">
        <f ca="1">_xll.BDH($C$253,"SHORT_TERM_DEBT_1_YEAR_GROWTH","FQ1 2018","FQ1 2018","Currency=INR","Period=FQ","BEST_FPERIOD_OVERRIDE=FQ","FILING_STATUS=OR","EQY_CONSOLIDATED=Y","Sort=A","Dates=H","DateFormat=P","Fill=—","Direction=H","UseDPDF=Y")</f>
        <v>#NAME?</v>
      </c>
      <c r="AH274" s="2" t="e">
        <f ca="1">_xll.BDH($C$253,"TOTAL_DEBT_1_YEAR_GROWTH","FQ1 2018","FQ1 2018","Currency=INR","Period=FQ","BEST_FPERIOD_OVERRIDE=FQ","FILING_STATUS=OR","EQY_CONSOLIDATED=Y","Sort=A","Dates=H","DateFormat=P","Fill=—","Direction=H","UseDPDF=Y")</f>
        <v>#NAME?</v>
      </c>
      <c r="AI274" s="2" t="e">
        <f ca="1">_xll.BDH($C$253,"TOTAL_EQUITY_1_YEAR_GROWTH","FQ1 2018","FQ1 2018","Currency=INR","Period=FQ","BEST_FPERIOD_OVERRIDE=FQ","FILING_STATUS=OR","EQY_CONSOLIDATED=Y","Sort=A","Dates=H","DateFormat=P","Fill=—","Direction=H","UseDPDF=Y")</f>
        <v>#NAME?</v>
      </c>
      <c r="AJ274" s="2" t="e">
        <f ca="1">_xll.BDH($C$253,"GROWTH_IN_CAP","FQ1 2018","FQ1 2018","Currency=INR","Period=FQ","BEST_FPERIOD_OVERRIDE=FQ","FILING_STATUS=OR","EQY_CONSOLIDATED=Y","Sort=A","Dates=H","DateFormat=P","Fill=—","Direction=H","UseDPDF=Y")</f>
        <v>#NAME?</v>
      </c>
      <c r="AK274" s="2" t="e">
        <f ca="1">_xll.BDH($C$253,"BVPS_GROWTH","FQ1 2018","FQ1 2018","Currency=INR","Period=FQ","BEST_FPERIOD_OVERRIDE=FQ","FILING_STATUS=OR","EQY_CONSOLIDATED=Y","Sort=A","Dates=H","DateFormat=P","Fill=—","Direction=H","UseDPDF=Y")</f>
        <v>#NAME?</v>
      </c>
      <c r="AL274" s="2" t="e">
        <f ca="1">_xll.BDH($C$253,"CASH_FLOW_GROWTH","FQ1 2018","FQ1 2018","Currency=INR","Period=FQ","BEST_FPERIOD_OVERRIDE=FQ","FILING_STATUS=OR","EQY_CONSOLIDATED=Y","Sort=A","Dates=H","DateFormat=P","Fill=—","Direction=H","UseDPDF=Y")</f>
        <v>#NAME?</v>
      </c>
      <c r="AM274" s="2" t="e">
        <f ca="1">_xll.BDH($C$253,"GEO_GROW_NET_SALES","FQ1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74" s="2" t="e">
        <f ca="1">_xll.BDH($C$253,"GEO_GROW_EBITDA","FQ1 2018","FQ1 2018","Currency=INR","Period=FQ","BEST_FPERIOD_OVERRIDE=FQ","FILING_STATUS=OR","EQY_CONSOLIDATED=Y","FA_ADJUSTED=GAAP","Sort=A","Dates=H","DateFormat=P","Fill=—","Direction=H","UseDPDF=Y")</f>
        <v>#NAME?</v>
      </c>
      <c r="AO274" s="2" t="e">
        <f ca="1">_xll.BDH($C$253,"GEO_GROW_OPER_INC","FQ1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74" s="2" t="e">
        <f ca="1">_xll.BDH($C$253,"NET_INCOME_TO_COMMON_5_YR_GROWTH","FQ1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74" s="2" t="e">
        <f ca="1">_xll.BDH($C$253,"5Y_GEO_GROWTH_DILUTED_EPS","FQ1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74" s="2" t="e">
        <f ca="1">_xll.BDH($C$253,"GEO_GROW_DVD_PER_SH","FQ1 2018","FQ1 2018","Currency=INR","Period=FQ","BEST_FPERIOD_OVERRIDE=FQ","FILING_STATUS=OR","EQY_CONSOLIDATED=Y","Sort=A","Dates=H","DateFormat=P","Fill=—","Direction=H","UseDPDF=Y")</f>
        <v>#NAME?</v>
      </c>
      <c r="AS274" s="2" t="e">
        <f ca="1">_xll.BDH($C$253,"ACCOUNTS_RECEIVABLE_5_YR_GROWTH","FQ1 2018","FQ1 2018","Currency=INR","Period=FQ","BEST_FPERIOD_OVERRIDE=FQ","FILING_STATUS=OR","EQY_CONSOLIDATED=Y","Sort=A","Dates=H","DateFormat=P","Fill=—","Direction=H","UseDPDF=Y")</f>
        <v>#NAME?</v>
      </c>
      <c r="AT274" s="2" t="e">
        <f ca="1">_xll.BDH($C$253,"INVENTORY_5_YEAR_GROWTH","FQ1 2018","FQ1 2018","Currency=INR","Period=FQ","BEST_FPERIOD_OVERRIDE=FQ","FILING_STATUS=OR","EQY_CONSOLIDATED=Y","Sort=A","Dates=H","DateFormat=P","Fill=—","Direction=H","UseDPDF=Y")</f>
        <v>#NAME?</v>
      </c>
      <c r="AU274" s="2" t="e">
        <f ca="1">_xll.BDH($C$253,"NET_FIXED_ASSETS_5_YEAR_GROWTH","FQ1 2018","FQ1 2018","Currency=INR","Period=FQ","BEST_FPERIOD_OVERRIDE=FQ","FILING_STATUS=OR","EQY_CONSOLIDATED=Y","Sort=A","Dates=H","DateFormat=P","Fill=—","Direction=H","UseDPDF=Y")</f>
        <v>#NAME?</v>
      </c>
      <c r="AV274" s="2" t="e">
        <f ca="1">_xll.BDH($C$253,"GEO_GROW_TOT_ASSET","FQ1 2018","FQ1 2018","Currency=INR","Period=FQ","BEST_FPERIOD_OVERRIDE=FQ","FILING_STATUS=OR","EQY_CONSOLIDATED=Y","Sort=A","Dates=H","DateFormat=P","Fill=—","Direction=H","UseDPDF=Y")</f>
        <v>#NAME?</v>
      </c>
      <c r="AW274" s="2" t="e">
        <f ca="1">_xll.BDH($C$253,"MODIFIED_WORKING_CPTL_5YR_GRWTH","FQ1 2018","FQ1 2018","Currency=INR","Period=FQ","BEST_FPERIOD_OVERRIDE=FQ","FILING_STATUS=OR","EQY_CONSOLIDATED=Y","Sort=A","Dates=H","DateFormat=P","Fill=—","Direction=H","UseDPDF=Y")</f>
        <v>#NAME?</v>
      </c>
      <c r="AX274" s="2" t="e">
        <f ca="1">_xll.BDH($C$253,"WORKING_CAPITAL_5_YEAR_GROWTH","FQ1 2018","FQ1 2018","Currency=INR","Period=FQ","BEST_FPERIOD_OVERRIDE=FQ","FILING_STATUS=OR","EQY_CONSOLIDATED=Y","Sort=A","Dates=H","DateFormat=P","Fill=—","Direction=H","UseDPDF=Y")</f>
        <v>#NAME?</v>
      </c>
      <c r="AY274" s="2" t="e">
        <f ca="1">_xll.BDH($C$253,"ACCOUNTS_PAYABLE_5_YEAR_GROWTH","FQ1 2018","FQ1 2018","Currency=INR","Period=FQ","BEST_FPERIOD_OVERRIDE=FQ","FILING_STATUS=OR","EQY_CONSOLIDATED=Y","Sort=A","Dates=H","DateFormat=P","Fill=—","Direction=H","UseDPDF=Y")</f>
        <v>#NAME?</v>
      </c>
      <c r="AZ274" s="2" t="e">
        <f ca="1">_xll.BDH($C$253,"SHORT_TERM_DEBT_5_YEAR_GROWTH","FQ1 2018","FQ1 2018","Currency=INR","Period=FQ","BEST_FPERIOD_OVERRIDE=FQ","FILING_STATUS=OR","EQY_CONSOLIDATED=Y","Sort=A","Dates=H","DateFormat=P","Fill=—","Direction=H","UseDPDF=Y")</f>
        <v>#NAME?</v>
      </c>
      <c r="BA274" s="2" t="e">
        <f ca="1">_xll.BDH($C$253,"TOTAL_DEBT_5_YEAR_GROWTH","FQ1 2018","FQ1 2018","Currency=INR","Period=FQ","BEST_FPERIOD_OVERRIDE=FQ","FILING_STATUS=OR","EQY_CONSOLIDATED=Y","Sort=A","Dates=H","DateFormat=P","Fill=—","Direction=H","UseDPDF=Y")</f>
        <v>#NAME?</v>
      </c>
      <c r="BB274" s="2" t="e">
        <f ca="1">_xll.BDH($C$253,"GEO_GROW_TOT_SHRHLDR_EQY","FQ1 2018","FQ1 2018","Currency=INR","Period=FQ","BEST_FPERIOD_OVERRIDE=FQ","FILING_STATUS=OR","EQY_CONSOLIDATED=Y","Sort=A","Dates=H","DateFormat=P","Fill=—","Direction=H","UseDPDF=Y")</f>
        <v>#NAME?</v>
      </c>
      <c r="BC274" s="2" t="e">
        <f ca="1">_xll.BDH($C$253,"TOTAL_CAPITAL_5_YEAR_GROWTH","FQ1 2018","FQ1 2018","Currency=INR","Period=FQ","BEST_FPERIOD_OVERRIDE=FQ","FILING_STATUS=OR","EQY_CONSOLIDATED=Y","Sort=A","Dates=H","DateFormat=P","Fill=—","Direction=H","UseDPDF=Y")</f>
        <v>#NAME?</v>
      </c>
      <c r="BD274" s="2" t="e">
        <f ca="1">_xll.BDH($C$253,"GEO_GROW_BOOK_VAL","FQ1 2018","FQ1 2018","Currency=INR","Period=FQ","BEST_FPERIOD_OVERRIDE=FQ","FILING_STATUS=OR","EQY_CONSOLIDATED=Y","Sort=A","Dates=H","DateFormat=P","Fill=—","Direction=H","UseDPDF=Y")</f>
        <v>#NAME?</v>
      </c>
      <c r="BE274" s="2" t="e">
        <f ca="1">_xll.BDH($C$253,"GEO_GROW_CASH_OPER_ACT","FQ1 2018","FQ1 2018","Currency=INR","Period=FQ","BEST_FPERIOD_OVERRIDE=FQ","FILING_STATUS=OR","EQY_CONSOLIDATED=Y","Sort=A","Dates=H","DateFormat=P","Fill=—","Direction=H","UseDPDF=Y")</f>
        <v>#NAME?</v>
      </c>
      <c r="BF274" s="2" t="e">
        <f ca="1">_xll.BDH($C$253,"REVENUE_SEQUENTIAL_GROWTH","FQ1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74" s="2" t="e">
        <f ca="1">_xll.BDH($C$253,"EBITDA_SEQUENTIAL_GROWTH","FQ1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74" s="2" t="e">
        <f ca="1">_xll.BDH($C$253,"OPERATING_INCOME_SEQ_GROWTH","FQ1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74" s="2" t="e">
        <f ca="1">_xll.BDH($C$253,"NET_INCOME_TO_COMMON_SEQ_GROWTH","FQ1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74" s="2" t="e">
        <f ca="1">_xll.BDH($C$253,"EPS_DILUTED_SEQUENTIAL_GROWTH","FQ1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74" s="2" t="e">
        <f ca="1">_xll.BDH($C$253,"DPS_SEQUENTIAL_GROWTH","FQ1 2018","FQ1 2018","Currency=INR","Period=FQ","BEST_FPERIOD_OVERRIDE=FQ","FILING_STATUS=OR","EQY_CONSOLIDATED=Y","Sort=A","Dates=H","DateFormat=P","Fill=—","Direction=H","UseDPDF=Y")</f>
        <v>#NAME?</v>
      </c>
      <c r="BL274" s="2" t="e">
        <f ca="1">_xll.BDH($C$253,"ACCOUNTS_RECEIVABLE_SEQ_GROWTH","FQ1 2018","FQ1 2018","Currency=INR","Period=FQ","BEST_FPERIOD_OVERRIDE=FQ","FILING_STATUS=OR","EQY_CONSOLIDATED=Y","Sort=A","Dates=H","DateFormat=P","Fill=—","Direction=H","UseDPDF=Y")</f>
        <v>#NAME?</v>
      </c>
      <c r="BM274" s="2" t="e">
        <f ca="1">_xll.BDH($C$253,"INVENTORY_SEQUENTIAL_GROWTH","FQ1 2018","FQ1 2018","Currency=INR","Period=FQ","BEST_FPERIOD_OVERRIDE=FQ","FILING_STATUS=OR","EQY_CONSOLIDATED=Y","Sort=A","Dates=H","DateFormat=P","Fill=—","Direction=H","UseDPDF=Y")</f>
        <v>#NAME?</v>
      </c>
      <c r="BN274" s="2" t="e">
        <f ca="1">_xll.BDH($C$253,"FIXED_ASSETS_SEQUENTIAL_GROWTH","FQ1 2018","FQ1 2018","Currency=INR","Period=FQ","BEST_FPERIOD_OVERRIDE=FQ","FILING_STATUS=OR","EQY_CONSOLIDATED=Y","Sort=A","Dates=H","DateFormat=P","Fill=—","Direction=H","UseDPDF=Y")</f>
        <v>#NAME?</v>
      </c>
      <c r="BO274" s="2" t="e">
        <f ca="1">_xll.BDH($C$253,"TOTAL_ASSETS_SEQUENTIAL_GROWTH","FQ1 2018","FQ1 2018","Currency=INR","Period=FQ","BEST_FPERIOD_OVERRIDE=FQ","FILING_STATUS=OR","EQY_CONSOLIDATED=Y","Sort=A","Dates=H","DateFormat=P","Fill=—","Direction=H","UseDPDF=Y")</f>
        <v>#NAME?</v>
      </c>
      <c r="BP274" s="2" t="e">
        <f ca="1">_xll.BDH($C$253,"MODIFIED_WORKING_CPTL_SEQ_GRWTH","FQ1 2018","FQ1 2018","Currency=INR","Period=FQ","BEST_FPERIOD_OVERRIDE=FQ","FILING_STATUS=OR","EQY_CONSOLIDATED=Y","Sort=A","Dates=H","DateFormat=P","Fill=—","Direction=H","UseDPDF=Y")</f>
        <v>#NAME?</v>
      </c>
      <c r="BQ274" s="2" t="e">
        <f ca="1">_xll.BDH($C$253,"WORKING_CAPITAL_SEQ_GROWTH","FQ1 2018","FQ1 2018","Currency=INR","Period=FQ","BEST_FPERIOD_OVERRIDE=FQ","FILING_STATUS=OR","EQY_CONSOLIDATED=Y","Sort=A","Dates=H","DateFormat=P","Fill=—","Direction=H","UseDPDF=Y")</f>
        <v>#NAME?</v>
      </c>
      <c r="BR274" s="2" t="e">
        <f ca="1">_xll.BDH($C$253,"ACCOUNTS_PAYABLE_SEQ_GROWTH","FQ1 2018","FQ1 2018","Currency=INR","Period=FQ","BEST_FPERIOD_OVERRIDE=FQ","FILING_STATUS=OR","EQY_CONSOLIDATED=Y","Sort=A","Dates=H","DateFormat=P","Fill=—","Direction=H","UseDPDF=Y")</f>
        <v>#NAME?</v>
      </c>
      <c r="BS274" s="2" t="e">
        <f ca="1">_xll.BDH($C$253,"ST_DEBT_SEQUENTIAL_GROWTH","FQ1 2018","FQ1 2018","Currency=INR","Period=FQ","BEST_FPERIOD_OVERRIDE=FQ","FILING_STATUS=OR","EQY_CONSOLIDATED=Y","Sort=A","Dates=H","DateFormat=P","Fill=—","Direction=H","UseDPDF=Y")</f>
        <v>#NAME?</v>
      </c>
      <c r="BT274" s="2" t="e">
        <f ca="1">_xll.BDH($C$253,"TOTAL_DEBT_SEQUENTIAL_GROWTH","FQ1 2018","FQ1 2018","Currency=INR","Period=FQ","BEST_FPERIOD_OVERRIDE=FQ","FILING_STATUS=OR","EQY_CONSOLIDATED=Y","Sort=A","Dates=H","DateFormat=P","Fill=—","Direction=H","UseDPDF=Y")</f>
        <v>#NAME?</v>
      </c>
      <c r="BU274" s="2" t="e">
        <f ca="1">_xll.BDH($C$253,"TOTAL_EQUITY_SEQUENTIAL_GROWTH","FQ1 2018","FQ1 2018","Currency=INR","Period=FQ","BEST_FPERIOD_OVERRIDE=FQ","FILING_STATUS=OR","EQY_CONSOLIDATED=Y","Sort=A","Dates=H","DateFormat=P","Fill=—","Direction=H","UseDPDF=Y")</f>
        <v>#NAME?</v>
      </c>
      <c r="BV274" s="2" t="e">
        <f ca="1">_xll.BDH($C$253,"TOTAL_CAPITAL_SEQUENTIAL_GROWTH","FQ1 2018","FQ1 2018","Currency=INR","Period=FQ","BEST_FPERIOD_OVERRIDE=FQ","FILING_STATUS=OR","EQY_CONSOLIDATED=Y","Sort=A","Dates=H","DateFormat=P","Fill=—","Direction=H","UseDPDF=Y")</f>
        <v>#NAME?</v>
      </c>
      <c r="BW274" s="2" t="e">
        <f ca="1">_xll.BDH($C$253,"BPS_SEQUENTIAL_GROWTH","FQ1 2018","FQ1 2018","Currency=INR","Period=FQ","BEST_FPERIOD_OVERRIDE=FQ","FILING_STATUS=OR","EQY_CONSOLIDATED=Y","Sort=A","Dates=H","DateFormat=P","Fill=—","Direction=H","UseDPDF=Y")</f>
        <v>#NAME?</v>
      </c>
      <c r="BX274" s="2" t="e">
        <f ca="1">_xll.BDH($C$253,"CFO_SEQUENTIAL_GROWTH","FQ1 2018","FQ1 2018","Currency=INR","Period=FQ","BEST_FPERIOD_OVERRIDE=FQ","FILING_STATUS=OR","EQY_CONSOLIDATED=Y","Sort=A","Dates=H","DateFormat=P","Fill=—","Direction=H","UseDPDF=Y")</f>
        <v>#NAME?</v>
      </c>
      <c r="BY274" s="3" t="e">
        <f ca="1">_xll.BDH($C$253,"SHORT_AND_LONG_TERM_DEBT","FQ1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74" s="3" t="e">
        <f ca="1">_xll.BDH($C$253,"BS_ST_BORROW","FQ1 2018","FQ1 2018","Currency=INR","Period=FQ","BEST_FPERIOD_OVERRIDE=FQ","FILING_STATUS=OR","EQY_CONSOLIDATED=Y","SCALING_FORMAT=MLN","Sort=A","Dates=H","DateFormat=P","Fill=—","Direction=H","UseDPDF=Y")</f>
        <v>#NAME?</v>
      </c>
      <c r="CA274" s="3" t="e">
        <f ca="1">_xll.BDH($C$253,"BS_LT_BORROW","FQ1 2018","FQ1 2018","Currency=INR","Period=FQ","BEST_FPERIOD_OVERRIDE=FQ","FILING_STATUS=OR","EQY_CONSOLIDATED=Y","SCALING_FORMAT=MLN","Sort=A","Dates=H","DateFormat=P","Fill=—","Direction=H","UseDPDF=Y")</f>
        <v>#NAME?</v>
      </c>
      <c r="CB274" s="2" t="e">
        <f ca="1">_xll.BDH($C$253,"TOT_DEBT_TO_EBITDA","FQ1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74" s="2" t="e">
        <f ca="1">_xll.BDH($C$253,"NET_DEBT_TO_EBITDA","FQ1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74" s="2" t="e">
        <f ca="1">_xll.BDH($C$253,"TOTAL_DEBT_TO_EBIT","FQ1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74" s="2" t="e">
        <f ca="1">_xll.BDH($C$253,"NET_DEBT_TO_EBIT","FQ1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274" s="2" t="e">
        <f ca="1">_xll.BDH($C$253,"EBITDA_TO_INTEREST_EXPN","FQ1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74" s="2" t="e">
        <f ca="1">_xll.BDH($C$253,"COM_EQY_TO_TOT_ASSET","FQ1 2018","FQ1 2018","Currency=INR","Period=FQ","BEST_FPERIOD_OVERRIDE=FQ","FILING_STATUS=OR","EQY_CONSOLIDATED=Y","Sort=A","Dates=H","DateFormat=P","Fill=—","Direction=H","UseDPDF=Y")</f>
        <v>#NAME?</v>
      </c>
      <c r="CH274" s="2" t="e">
        <f ca="1">_xll.BDH($C$253,"LT_DEBT_TO_TOT_EQY","FQ1 2018","FQ1 2018","Currency=INR","Period=FQ","BEST_FPERIOD_OVERRIDE=FQ","FILING_STATUS=OR","EQY_CONSOLIDATED=Y","Sort=A","Dates=H","DateFormat=P","Fill=—","Direction=H","UseDPDF=Y")</f>
        <v>#NAME?</v>
      </c>
      <c r="CI274" s="2" t="e">
        <f ca="1">_xll.BDH($C$253,"LT_DEBT_TO_TOT_CAP","FQ1 2018","FQ1 2018","Currency=INR","Period=FQ","BEST_FPERIOD_OVERRIDE=FQ","FILING_STATUS=OR","EQY_CONSOLIDATED=Y","Sort=A","Dates=H","DateFormat=P","Fill=—","Direction=H","UseDPDF=Y")</f>
        <v>#NAME?</v>
      </c>
      <c r="CJ274" s="2" t="e">
        <f ca="1">_xll.BDH($C$253,"LT_DEBT_TO_TOT_ASSET","FQ1 2018","FQ1 2018","Currency=INR","Period=FQ","BEST_FPERIOD_OVERRIDE=FQ","FILING_STATUS=OR","EQY_CONSOLIDATED=Y","Sort=A","Dates=H","DateFormat=P","Fill=—","Direction=H","UseDPDF=Y")</f>
        <v>#NAME?</v>
      </c>
      <c r="CK274" s="2" t="e">
        <f ca="1">_xll.BDH($C$253,"TOT_DEBT_TO_TOT_EQY","FQ1 2018","FQ1 2018","Currency=INR","Period=FQ","BEST_FPERIOD_OVERRIDE=FQ","FILING_STATUS=OR","EQY_CONSOLIDATED=Y","Sort=A","Dates=H","DateFormat=P","Fill=—","Direction=H","UseDPDF=Y")</f>
        <v>#NAME?</v>
      </c>
      <c r="CL274" s="2" t="e">
        <f ca="1">_xll.BDH($C$253,"TOT_DEBT_TO_TOT_CAP","FQ1 2018","FQ1 2018","Currency=INR","Period=FQ","BEST_FPERIOD_OVERRIDE=FQ","FILING_STATUS=OR","EQY_CONSOLIDATED=Y","Sort=A","Dates=H","DateFormat=P","Fill=—","Direction=H","UseDPDF=Y")</f>
        <v>#NAME?</v>
      </c>
      <c r="CM274" s="2" t="e">
        <f ca="1">_xll.BDH($C$253,"TOT_DEBT_TO_TOT_ASSET","FQ1 2018","FQ1 2018","Currency=INR","Period=FQ","BEST_FPERIOD_OVERRIDE=FQ","FILING_STATUS=OR","EQY_CONSOLIDATED=Y","Sort=A","Dates=H","DateFormat=P","Fill=—","Direction=H","UseDPDF=Y")</f>
        <v>#NAME?</v>
      </c>
      <c r="CN274" s="2" t="e">
        <f ca="1">_xll.BDH($C$253,"NET_DEBT_TO_SHRHLDR_EQTY","FQ1 2018","FQ1 2018","Currency=INR","Period=FQ","BEST_FPERIOD_OVERRIDE=FQ","FILING_STATUS=OR","EQY_CONSOLIDATED=Y","Sort=A","Dates=H","DateFormat=P","Fill=—","Direction=H","UseDPDF=Y")</f>
        <v>#NAME?</v>
      </c>
      <c r="CO274" s="2" t="e">
        <f ca="1">_xll.BDH($C$253,"NET_DEBT_%_CAPITAL","FQ1 2018","FQ1 2018","Currency=INR","Period=FQ","BEST_FPERIOD_OVERRIDE=FQ","FILING_STATUS=OR","EQY_CONSOLIDATED=Y","Sort=A","Dates=H","DateFormat=P","Fill=—","Direction=H","UseDPDF=Y")</f>
        <v>#NAME?</v>
      </c>
      <c r="CP274" s="3" t="e">
        <f ca="1">_xll.BDH($C$253,"EBITDA","FQ1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74" s="3" t="e">
        <f ca="1">_xll.BDH($C$253,"EBITDA_AFTER_CAPEX","FQ1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74" s="3" t="e">
        <f ca="1">_xll.BDH($C$253,"IS_OPER_INC","FQ1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74" s="2" t="e">
        <f ca="1">_xll.BDH($C$253,"CASH_RATIO","FQ1 2018","FQ1 2018","Currency=INR","Period=FQ","BEST_FPERIOD_OVERRIDE=FQ","FILING_STATUS=OR","EQY_CONSOLIDATED=Y","Sort=A","Dates=H","DateFormat=P","Fill=—","Direction=H","UseDPDF=Y")</f>
        <v>#NAME?</v>
      </c>
      <c r="CT274" s="2" t="e">
        <f ca="1">_xll.BDH($C$253,"CUR_RATIO","FQ1 2018","FQ1 2018","Currency=INR","Period=FQ","BEST_FPERIOD_OVERRIDE=FQ","FILING_STATUS=OR","EQY_CONSOLIDATED=Y","Sort=A","Dates=H","DateFormat=P","Fill=—","Direction=H","UseDPDF=Y")</f>
        <v>#NAME?</v>
      </c>
      <c r="CU274" s="2" t="e">
        <f ca="1">_xll.BDH($C$253,"QUICK_RATIO","FQ1 2018","FQ1 2018","Currency=INR","Period=FQ","BEST_FPERIOD_OVERRIDE=FQ","FILING_STATUS=OR","EQY_CONSOLIDATED=Y","Sort=A","Dates=H","DateFormat=P","Fill=—","Direction=H","UseDPDF=Y")</f>
        <v>#NAME?</v>
      </c>
      <c r="CV274" s="2" t="e">
        <f ca="1">_xll.BDH($C$253,"ALTMAN_Z_SCORE","FQ1 2018","FQ1 2018","Currency=INR","Period=FQ","BEST_FPERIOD_OVERRIDE=FQ","FILING_STATUS=OR","EQY_CONSOLIDATED=Y","Sort=A","Dates=H","DateFormat=P","Fill=—","Direction=H","UseDPDF=Y")</f>
        <v>#NAME?</v>
      </c>
      <c r="CW274" s="4" t="e">
        <f ca="1">_xll.BDH($C$253,"ACCT_RCV_TURN","FQ1 2018","FQ1 2018","Currency=INR","Period=FQ","BEST_FPERIOD_OVERRIDE=FQ","FILING_STATUS=OR","EQY_CONSOLIDATED=Y","FA_ADJUSTED=GAAP","Sort=A","Dates=H","DateFormat=P","Fill=—","Direction=H","UseDPDF=Y")</f>
        <v>#NAME?</v>
      </c>
      <c r="CX274" s="2" t="e">
        <f ca="1">_xll.BDH($C$253,"ACCT_RCV_DAYS","FQ1 2018","FQ1 2018","Currency=INR","Period=FQ","BEST_FPERIOD_OVERRIDE=FQ","FILING_STATUS=OR","EQY_CONSOLIDATED=Y","FA_ADJUSTED=GAAP","Sort=A","Dates=H","DateFormat=P","Fill=—","Direction=H","UseDPDF=Y")</f>
        <v>#NAME?</v>
      </c>
      <c r="CY274" s="4" t="e">
        <f ca="1">_xll.BDH($C$253,"INVENT_TURN","FQ1 2018","FQ1 2018","Currency=INR","Period=FQ","BEST_FPERIOD_OVERRIDE=FQ","FILING_STATUS=OR","EQY_CONSOLIDATED=Y","FA_ADJUSTED=GAAP","Sort=A","Dates=H","DateFormat=P","Fill=—","Direction=H","UseDPDF=Y")</f>
        <v>#NAME?</v>
      </c>
      <c r="CZ274" s="2" t="e">
        <f ca="1">_xll.BDH($C$253,"INVENT_DAYS","FQ1 2018","FQ1 2018","Currency=INR","Period=FQ","BEST_FPERIOD_OVERRIDE=FQ","FILING_STATUS=OR","EQY_CONSOLIDATED=Y","FA_ADJUSTED=GAAP","Sort=A","Dates=H","DateFormat=P","Fill=—","Direction=H","UseDPDF=Y")</f>
        <v>#NAME?</v>
      </c>
      <c r="DA274" s="4" t="e">
        <f ca="1">_xll.BDH($C$253,"ACCOUNTS_PAYABLE_TURNOVER","FQ1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74" s="2" t="e">
        <f ca="1">_xll.BDH($C$253,"ACCOUNTS_PAYABLE_TURNOVER_DAYS","FQ1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74" s="4" t="e">
        <f ca="1">_xll.BDH($C$253,"CASH_CONVERSION_CYCLE","FQ1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74" s="4" t="e">
        <f ca="1">_xll.BDH($C$253,"INV_TO_CASH_DAYS","FQ1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274" s="5" t="e">
        <f ca="1">_xll.BDH($C$253,"BS_INVENTORIES","FQ1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274" s="3" t="e">
        <f ca="1">_xll.BDH($C$253,"INVTRY_RAW_MATERIALS","FQ1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74" s="3" t="e">
        <f ca="1">_xll.BDH($C$253,"INVTRY_IN_PROGRESS","FQ1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74" s="3" t="e">
        <f ca="1">_xll.BDH($C$253,"INVTRY_FINISHED_GOODS","FQ1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74" s="3" t="e">
        <f ca="1">_xll.BDH($C$253,"BS_OTHER_INV","FQ1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275" spans="1:113" x14ac:dyDescent="0.3">
      <c r="A275" s="6"/>
      <c r="B275" s="6"/>
      <c r="C275" s="6"/>
      <c r="D275" s="6"/>
      <c r="E275" t="s">
        <v>79</v>
      </c>
      <c r="F275" t="e">
        <f ca="1">_xll.BDH($C$253,"RETURN_COM_EQY","FQ2 2018","FQ2 2018","Currency=INR","Period=FQ","BEST_FPERIOD_OVERRIDE=FQ","FILING_STATUS=OR","EQY_CONSOLIDATED=Y","FA_ADJUSTED=GAAP","Sort=A","Dates=H","DateFormat=P","Fill=—","Direction=H","UseDPDF=Y")</f>
        <v>#NAME?</v>
      </c>
      <c r="G275" t="e">
        <f ca="1">_xll.BDH($C$253,"RETURN_ON_ASSET","FQ2 2018","FQ2 2018","Currency=INR","Period=FQ","BEST_FPERIOD_OVERRIDE=FQ","FILING_STATUS=OR","EQY_CONSOLIDATED=Y","FA_ADJUSTED=GAAP","Sort=A","Dates=H","DateFormat=P","Fill=—","Direction=H","UseDPDF=Y")</f>
        <v>#NAME?</v>
      </c>
      <c r="H275" t="e">
        <f ca="1">_xll.BDH($C$253,"RETURN_ON_CAP","FQ2 2018","FQ2 2018","Currency=INR","Period=FQ","BEST_FPERIOD_OVERRIDE=FQ","FILING_STATUS=OR","EQY_CONSOLIDATED=Y","FA_ADJUSTED=GAAP","Sort=A","Dates=H","DateFormat=P","Fill=—","Direction=H","UseDPDF=Y")</f>
        <v>#NAME?</v>
      </c>
      <c r="I275" t="e">
        <f ca="1">_xll.BDH($C$253,"RETURN_ON_INV_CAPITAL","FQ2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275" t="e">
        <f ca="1">_xll.BDH($C$253,"EBITDA_TO_REVENUE","FQ2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275" t="e">
        <f ca="1">_xll.BDH($C$253,"OPER_MARGIN","FQ2 2018","FQ2 2018","Currency=INR","Period=FQ","BEST_FPERIOD_OVERRIDE=FQ","FILING_STATUS=OR","EQY_CONSOLIDATED=Y","FA_ADJUSTED=GAAP","Sort=A","Dates=H","DateFormat=P","Fill=—","Direction=H","UseDPDF=Y")</f>
        <v>#NAME?</v>
      </c>
      <c r="L275" t="e">
        <f ca="1">_xll.BDH($C$253,"INCREMENTAL_OPERATING_MARGIN","FQ2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275" t="e">
        <f ca="1">_xll.BDH($C$253,"PRETAX_INC_TO_NET_SALES","FQ2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275" t="e">
        <f ca="1">_xll.BDH($C$253,"INC_BEF_XO_ITEMS_TO_NET_SALES","FQ2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275" t="e">
        <f ca="1">_xll.BDH($C$253,"PROF_MARGIN","FQ2 2018","FQ2 2018","Currency=INR","Period=FQ","BEST_FPERIOD_OVERRIDE=FQ","FILING_STATUS=OR","EQY_CONSOLIDATED=Y","FA_ADJUSTED=GAAP","Sort=A","Dates=H","DateFormat=P","Fill=—","Direction=H","UseDPDF=Y")</f>
        <v>#NAME?</v>
      </c>
      <c r="P275" t="e">
        <f ca="1">_xll.BDH($C$253,"NET_INCOME_TO_COMMON_MARGIN","FQ2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275" t="e">
        <f ca="1">_xll.BDH($C$253,"EFF_TAX_RATE","FQ2 2018","FQ2 2018","Currency=INR","Period=FQ","BEST_FPERIOD_OVERRIDE=FQ","FILING_STATUS=OR","EQY_CONSOLIDATED=Y","FA_ADJUSTED=GAAP","Sort=A","Dates=H","DateFormat=P","Fill=—","Direction=H","UseDPDF=Y")</f>
        <v>#NAME?</v>
      </c>
      <c r="R275" t="e">
        <f ca="1">_xll.BDH($C$253,"DVD_PAYOUT_RATIO","FQ2 2018","FQ2 2018","Currency=INR","Period=FQ","BEST_FPERIOD_OVERRIDE=FQ","FILING_STATUS=OR","EQY_CONSOLIDATED=Y","FA_ADJUSTED=GAAP","Sort=A","Dates=H","DateFormat=P","Fill=—","Direction=H","UseDPDF=Y")</f>
        <v>#NAME?</v>
      </c>
      <c r="S275" t="e">
        <f ca="1">_xll.BDH($C$253,"SUSTAIN_GROWTH_RT","FQ2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275" s="2" t="e">
        <f ca="1">_xll.BDH($C$253,"SALES_GROWTH","FQ2 2018","FQ2 2018","Currency=INR","Period=FQ","BEST_FPERIOD_OVERRIDE=FQ","FILING_STATUS=OR","EQY_CONSOLIDATED=Y","FA_ADJUSTED=GAAP","Sort=A","Dates=H","DateFormat=P","Fill=—","Direction=H","UseDPDF=Y")</f>
        <v>#NAME?</v>
      </c>
      <c r="U275" s="2" t="e">
        <f ca="1">_xll.BDH($C$253,"EBITDA_GROWTH","FQ2 2018","FQ2 2018","Currency=INR","Period=FQ","BEST_FPERIOD_OVERRIDE=FQ","FILING_STATUS=OR","EQY_CONSOLIDATED=Y","FA_ADJUSTED=GAAP","Sort=A","Dates=H","DateFormat=P","Fill=—","Direction=H","UseDPDF=Y")</f>
        <v>#NAME?</v>
      </c>
      <c r="V275" s="2" t="e">
        <f ca="1">_xll.BDH($C$253,"OPER_INC_GROWTH","FQ2 2018","FQ2 2018","Currency=INR","Period=FQ","BEST_FPERIOD_OVERRIDE=FQ","FILING_STATUS=OR","EQY_CONSOLIDATED=Y","FA_ADJUSTED=GAAP","Sort=A","Dates=H","DateFormat=P","Fill=—","Direction=H","UseDPDF=Y")</f>
        <v>#NAME?</v>
      </c>
      <c r="W275" s="2" t="e">
        <f ca="1">_xll.BDH($C$253,"EARN_FOR_COM_GROWTH","FQ2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275" s="2" t="e">
        <f ca="1">_xll.BDH($C$253,"DILUTED_EPS_AFT_XO_ITEMS_GROWTH","FQ2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275" s="2" t="e">
        <f ca="1">_xll.BDH($C$253,"DIVIDEND_PER_SHARE_1_YEAR_GROWTH","FQ2 2018","FQ2 2018","Currency=INR","Period=FQ","BEST_FPERIOD_OVERRIDE=FQ","FILING_STATUS=OR","EQY_CONSOLIDATED=Y","Sort=A","Dates=H","DateFormat=P","Fill=—","Direction=H","UseDPDF=Y")</f>
        <v>#NAME?</v>
      </c>
      <c r="Z275" s="2" t="e">
        <f ca="1">_xll.BDH($C$253,"ACCOUNTS_RECEIVABLE_GROWTH","FQ2 2018","FQ2 2018","Currency=INR","Period=FQ","BEST_FPERIOD_OVERRIDE=FQ","FILING_STATUS=OR","EQY_CONSOLIDATED=Y","Sort=A","Dates=H","DateFormat=P","Fill=—","Direction=H","UseDPDF=Y")</f>
        <v>#NAME?</v>
      </c>
      <c r="AA275" s="2" t="e">
        <f ca="1">_xll.BDH($C$253,"INVENTORY_GROWTH","FQ2 2018","FQ2 2018","Currency=INR","Period=FQ","BEST_FPERIOD_OVERRIDE=FQ","FILING_STATUS=OR","EQY_CONSOLIDATED=Y","Sort=A","Dates=H","DateFormat=P","Fill=—","Direction=H","UseDPDF=Y")</f>
        <v>#NAME?</v>
      </c>
      <c r="AB275" s="2" t="e">
        <f ca="1">_xll.BDH($C$253,"NET_FIXED_ASSETS_1_YEAR_GROWTH","FQ2 2018","FQ2 2018","Currency=INR","Period=FQ","BEST_FPERIOD_OVERRIDE=FQ","FILING_STATUS=OR","EQY_CONSOLIDATED=Y","Sort=A","Dates=H","DateFormat=P","Fill=—","Direction=H","UseDPDF=Y")</f>
        <v>#NAME?</v>
      </c>
      <c r="AC275" s="2" t="e">
        <f ca="1">_xll.BDH($C$253,"ASSET_GROWTH","FQ2 2018","FQ2 2018","Currency=INR","Period=FQ","BEST_FPERIOD_OVERRIDE=FQ","FILING_STATUS=OR","EQY_CONSOLIDATED=Y","Sort=A","Dates=H","DateFormat=P","Fill=—","Direction=H","UseDPDF=Y")</f>
        <v>#NAME?</v>
      </c>
      <c r="AD275" s="2" t="e">
        <f ca="1">_xll.BDH($C$253,"MODIFIED_WORK_CAP_GROWTH","FQ2 2018","FQ2 2018","Currency=INR","Period=FQ","BEST_FPERIOD_OVERRIDE=FQ","FILING_STATUS=OR","EQY_CONSOLIDATED=Y","Sort=A","Dates=H","DateFormat=P","Fill=—","Direction=H","UseDPDF=Y")</f>
        <v>#NAME?</v>
      </c>
      <c r="AE275" s="2" t="e">
        <f ca="1">_xll.BDH($C$253,"WORK_CAP_GROWTH","FQ2 2018","FQ2 2018","Currency=INR","Period=FQ","BEST_FPERIOD_OVERRIDE=FQ","FILING_STATUS=OR","EQY_CONSOLIDATED=Y","Sort=A","Dates=H","DateFormat=P","Fill=—","Direction=H","UseDPDF=Y")</f>
        <v>#NAME?</v>
      </c>
      <c r="AF275" s="2" t="e">
        <f ca="1">_xll.BDH($C$253,"ACCOUNTS_PAYABLE_GROWTH_1YR","FQ2 2018","FQ2 2018","Currency=INR","Period=FQ","BEST_FPERIOD_OVERRIDE=FQ","FILING_STATUS=OR","EQY_CONSOLIDATED=Y","Sort=A","Dates=H","DateFormat=P","Fill=—","Direction=H","UseDPDF=Y")</f>
        <v>#NAME?</v>
      </c>
      <c r="AG275" s="2" t="e">
        <f ca="1">_xll.BDH($C$253,"SHORT_TERM_DEBT_1_YEAR_GROWTH","FQ2 2018","FQ2 2018","Currency=INR","Period=FQ","BEST_FPERIOD_OVERRIDE=FQ","FILING_STATUS=OR","EQY_CONSOLIDATED=Y","Sort=A","Dates=H","DateFormat=P","Fill=—","Direction=H","UseDPDF=Y")</f>
        <v>#NAME?</v>
      </c>
      <c r="AH275" s="2" t="e">
        <f ca="1">_xll.BDH($C$253,"TOTAL_DEBT_1_YEAR_GROWTH","FQ2 2018","FQ2 2018","Currency=INR","Period=FQ","BEST_FPERIOD_OVERRIDE=FQ","FILING_STATUS=OR","EQY_CONSOLIDATED=Y","Sort=A","Dates=H","DateFormat=P","Fill=—","Direction=H","UseDPDF=Y")</f>
        <v>#NAME?</v>
      </c>
      <c r="AI275" s="2" t="e">
        <f ca="1">_xll.BDH($C$253,"TOTAL_EQUITY_1_YEAR_GROWTH","FQ2 2018","FQ2 2018","Currency=INR","Period=FQ","BEST_FPERIOD_OVERRIDE=FQ","FILING_STATUS=OR","EQY_CONSOLIDATED=Y","Sort=A","Dates=H","DateFormat=P","Fill=—","Direction=H","UseDPDF=Y")</f>
        <v>#NAME?</v>
      </c>
      <c r="AJ275" s="2" t="e">
        <f ca="1">_xll.BDH($C$253,"GROWTH_IN_CAP","FQ2 2018","FQ2 2018","Currency=INR","Period=FQ","BEST_FPERIOD_OVERRIDE=FQ","FILING_STATUS=OR","EQY_CONSOLIDATED=Y","Sort=A","Dates=H","DateFormat=P","Fill=—","Direction=H","UseDPDF=Y")</f>
        <v>#NAME?</v>
      </c>
      <c r="AK275" s="2" t="e">
        <f ca="1">_xll.BDH($C$253,"BVPS_GROWTH","FQ2 2018","FQ2 2018","Currency=INR","Period=FQ","BEST_FPERIOD_OVERRIDE=FQ","FILING_STATUS=OR","EQY_CONSOLIDATED=Y","Sort=A","Dates=H","DateFormat=P","Fill=—","Direction=H","UseDPDF=Y")</f>
        <v>#NAME?</v>
      </c>
      <c r="AL275" s="2" t="e">
        <f ca="1">_xll.BDH($C$253,"CASH_FLOW_GROWTH","FQ2 2018","FQ2 2018","Currency=INR","Period=FQ","BEST_FPERIOD_OVERRIDE=FQ","FILING_STATUS=OR","EQY_CONSOLIDATED=Y","Sort=A","Dates=H","DateFormat=P","Fill=—","Direction=H","UseDPDF=Y")</f>
        <v>#NAME?</v>
      </c>
      <c r="AM275" s="2" t="e">
        <f ca="1">_xll.BDH($C$253,"GEO_GROW_NET_SALES","FQ2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275" s="2" t="e">
        <f ca="1">_xll.BDH($C$253,"GEO_GROW_EBITDA","FQ2 2018","FQ2 2018","Currency=INR","Period=FQ","BEST_FPERIOD_OVERRIDE=FQ","FILING_STATUS=OR","EQY_CONSOLIDATED=Y","FA_ADJUSTED=GAAP","Sort=A","Dates=H","DateFormat=P","Fill=—","Direction=H","UseDPDF=Y")</f>
        <v>#NAME?</v>
      </c>
      <c r="AO275" s="2" t="e">
        <f ca="1">_xll.BDH($C$253,"GEO_GROW_OPER_INC","FQ2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275" s="2" t="e">
        <f ca="1">_xll.BDH($C$253,"NET_INCOME_TO_COMMON_5_YR_GROWTH","FQ2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275" s="2" t="e">
        <f ca="1">_xll.BDH($C$253,"5Y_GEO_GROWTH_DILUTED_EPS","FQ2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275" s="2" t="e">
        <f ca="1">_xll.BDH($C$253,"GEO_GROW_DVD_PER_SH","FQ2 2018","FQ2 2018","Currency=INR","Period=FQ","BEST_FPERIOD_OVERRIDE=FQ","FILING_STATUS=OR","EQY_CONSOLIDATED=Y","Sort=A","Dates=H","DateFormat=P","Fill=—","Direction=H","UseDPDF=Y")</f>
        <v>#NAME?</v>
      </c>
      <c r="AS275" s="2" t="e">
        <f ca="1">_xll.BDH($C$253,"ACCOUNTS_RECEIVABLE_5_YR_GROWTH","FQ2 2018","FQ2 2018","Currency=INR","Period=FQ","BEST_FPERIOD_OVERRIDE=FQ","FILING_STATUS=OR","EQY_CONSOLIDATED=Y","Sort=A","Dates=H","DateFormat=P","Fill=—","Direction=H","UseDPDF=Y")</f>
        <v>#NAME?</v>
      </c>
      <c r="AT275" s="2" t="e">
        <f ca="1">_xll.BDH($C$253,"INVENTORY_5_YEAR_GROWTH","FQ2 2018","FQ2 2018","Currency=INR","Period=FQ","BEST_FPERIOD_OVERRIDE=FQ","FILING_STATUS=OR","EQY_CONSOLIDATED=Y","Sort=A","Dates=H","DateFormat=P","Fill=—","Direction=H","UseDPDF=Y")</f>
        <v>#NAME?</v>
      </c>
      <c r="AU275" s="2" t="e">
        <f ca="1">_xll.BDH($C$253,"NET_FIXED_ASSETS_5_YEAR_GROWTH","FQ2 2018","FQ2 2018","Currency=INR","Period=FQ","BEST_FPERIOD_OVERRIDE=FQ","FILING_STATUS=OR","EQY_CONSOLIDATED=Y","Sort=A","Dates=H","DateFormat=P","Fill=—","Direction=H","UseDPDF=Y")</f>
        <v>#NAME?</v>
      </c>
      <c r="AV275" s="2" t="e">
        <f ca="1">_xll.BDH($C$253,"GEO_GROW_TOT_ASSET","FQ2 2018","FQ2 2018","Currency=INR","Period=FQ","BEST_FPERIOD_OVERRIDE=FQ","FILING_STATUS=OR","EQY_CONSOLIDATED=Y","Sort=A","Dates=H","DateFormat=P","Fill=—","Direction=H","UseDPDF=Y")</f>
        <v>#NAME?</v>
      </c>
      <c r="AW275" s="2" t="e">
        <f ca="1">_xll.BDH($C$253,"MODIFIED_WORKING_CPTL_5YR_GRWTH","FQ2 2018","FQ2 2018","Currency=INR","Period=FQ","BEST_FPERIOD_OVERRIDE=FQ","FILING_STATUS=OR","EQY_CONSOLIDATED=Y","Sort=A","Dates=H","DateFormat=P","Fill=—","Direction=H","UseDPDF=Y")</f>
        <v>#NAME?</v>
      </c>
      <c r="AX275" s="2" t="e">
        <f ca="1">_xll.BDH($C$253,"WORKING_CAPITAL_5_YEAR_GROWTH","FQ2 2018","FQ2 2018","Currency=INR","Period=FQ","BEST_FPERIOD_OVERRIDE=FQ","FILING_STATUS=OR","EQY_CONSOLIDATED=Y","Sort=A","Dates=H","DateFormat=P","Fill=—","Direction=H","UseDPDF=Y")</f>
        <v>#NAME?</v>
      </c>
      <c r="AY275" s="2" t="e">
        <f ca="1">_xll.BDH($C$253,"ACCOUNTS_PAYABLE_5_YEAR_GROWTH","FQ2 2018","FQ2 2018","Currency=INR","Period=FQ","BEST_FPERIOD_OVERRIDE=FQ","FILING_STATUS=OR","EQY_CONSOLIDATED=Y","Sort=A","Dates=H","DateFormat=P","Fill=—","Direction=H","UseDPDF=Y")</f>
        <v>#NAME?</v>
      </c>
      <c r="AZ275" s="2" t="e">
        <f ca="1">_xll.BDH($C$253,"SHORT_TERM_DEBT_5_YEAR_GROWTH","FQ2 2018","FQ2 2018","Currency=INR","Period=FQ","BEST_FPERIOD_OVERRIDE=FQ","FILING_STATUS=OR","EQY_CONSOLIDATED=Y","Sort=A","Dates=H","DateFormat=P","Fill=—","Direction=H","UseDPDF=Y")</f>
        <v>#NAME?</v>
      </c>
      <c r="BA275" s="2" t="e">
        <f ca="1">_xll.BDH($C$253,"TOTAL_DEBT_5_YEAR_GROWTH","FQ2 2018","FQ2 2018","Currency=INR","Period=FQ","BEST_FPERIOD_OVERRIDE=FQ","FILING_STATUS=OR","EQY_CONSOLIDATED=Y","Sort=A","Dates=H","DateFormat=P","Fill=—","Direction=H","UseDPDF=Y")</f>
        <v>#NAME?</v>
      </c>
      <c r="BB275" s="2" t="e">
        <f ca="1">_xll.BDH($C$253,"GEO_GROW_TOT_SHRHLDR_EQY","FQ2 2018","FQ2 2018","Currency=INR","Period=FQ","BEST_FPERIOD_OVERRIDE=FQ","FILING_STATUS=OR","EQY_CONSOLIDATED=Y","Sort=A","Dates=H","DateFormat=P","Fill=—","Direction=H","UseDPDF=Y")</f>
        <v>#NAME?</v>
      </c>
      <c r="BC275" s="2" t="e">
        <f ca="1">_xll.BDH($C$253,"TOTAL_CAPITAL_5_YEAR_GROWTH","FQ2 2018","FQ2 2018","Currency=INR","Period=FQ","BEST_FPERIOD_OVERRIDE=FQ","FILING_STATUS=OR","EQY_CONSOLIDATED=Y","Sort=A","Dates=H","DateFormat=P","Fill=—","Direction=H","UseDPDF=Y")</f>
        <v>#NAME?</v>
      </c>
      <c r="BD275" s="2" t="e">
        <f ca="1">_xll.BDH($C$253,"GEO_GROW_BOOK_VAL","FQ2 2018","FQ2 2018","Currency=INR","Period=FQ","BEST_FPERIOD_OVERRIDE=FQ","FILING_STATUS=OR","EQY_CONSOLIDATED=Y","Sort=A","Dates=H","DateFormat=P","Fill=—","Direction=H","UseDPDF=Y")</f>
        <v>#NAME?</v>
      </c>
      <c r="BE275" s="2" t="e">
        <f ca="1">_xll.BDH($C$253,"GEO_GROW_CASH_OPER_ACT","FQ2 2018","FQ2 2018","Currency=INR","Period=FQ","BEST_FPERIOD_OVERRIDE=FQ","FILING_STATUS=OR","EQY_CONSOLIDATED=Y","Sort=A","Dates=H","DateFormat=P","Fill=—","Direction=H","UseDPDF=Y")</f>
        <v>#NAME?</v>
      </c>
      <c r="BF275" s="2" t="e">
        <f ca="1">_xll.BDH($C$253,"REVENUE_SEQUENTIAL_GROWTH","FQ2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275" s="2" t="e">
        <f ca="1">_xll.BDH($C$253,"EBITDA_SEQUENTIAL_GROWTH","FQ2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275" s="2" t="e">
        <f ca="1">_xll.BDH($C$253,"OPERATING_INCOME_SEQ_GROWTH","FQ2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275" s="2" t="e">
        <f ca="1">_xll.BDH($C$253,"NET_INCOME_TO_COMMON_SEQ_GROWTH","FQ2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275" s="2" t="e">
        <f ca="1">_xll.BDH($C$253,"EPS_DILUTED_SEQUENTIAL_GROWTH","FQ2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275" s="2" t="e">
        <f ca="1">_xll.BDH($C$253,"DPS_SEQUENTIAL_GROWTH","FQ2 2018","FQ2 2018","Currency=INR","Period=FQ","BEST_FPERIOD_OVERRIDE=FQ","FILING_STATUS=OR","EQY_CONSOLIDATED=Y","Sort=A","Dates=H","DateFormat=P","Fill=—","Direction=H","UseDPDF=Y")</f>
        <v>#NAME?</v>
      </c>
      <c r="BL275" s="2" t="e">
        <f ca="1">_xll.BDH($C$253,"ACCOUNTS_RECEIVABLE_SEQ_GROWTH","FQ2 2018","FQ2 2018","Currency=INR","Period=FQ","BEST_FPERIOD_OVERRIDE=FQ","FILING_STATUS=OR","EQY_CONSOLIDATED=Y","Sort=A","Dates=H","DateFormat=P","Fill=—","Direction=H","UseDPDF=Y")</f>
        <v>#NAME?</v>
      </c>
      <c r="BM275" s="2" t="e">
        <f ca="1">_xll.BDH($C$253,"INVENTORY_SEQUENTIAL_GROWTH","FQ2 2018","FQ2 2018","Currency=INR","Period=FQ","BEST_FPERIOD_OVERRIDE=FQ","FILING_STATUS=OR","EQY_CONSOLIDATED=Y","Sort=A","Dates=H","DateFormat=P","Fill=—","Direction=H","UseDPDF=Y")</f>
        <v>#NAME?</v>
      </c>
      <c r="BN275" s="2" t="e">
        <f ca="1">_xll.BDH($C$253,"FIXED_ASSETS_SEQUENTIAL_GROWTH","FQ2 2018","FQ2 2018","Currency=INR","Period=FQ","BEST_FPERIOD_OVERRIDE=FQ","FILING_STATUS=OR","EQY_CONSOLIDATED=Y","Sort=A","Dates=H","DateFormat=P","Fill=—","Direction=H","UseDPDF=Y")</f>
        <v>#NAME?</v>
      </c>
      <c r="BO275" s="2" t="e">
        <f ca="1">_xll.BDH($C$253,"TOTAL_ASSETS_SEQUENTIAL_GROWTH","FQ2 2018","FQ2 2018","Currency=INR","Period=FQ","BEST_FPERIOD_OVERRIDE=FQ","FILING_STATUS=OR","EQY_CONSOLIDATED=Y","Sort=A","Dates=H","DateFormat=P","Fill=—","Direction=H","UseDPDF=Y")</f>
        <v>#NAME?</v>
      </c>
      <c r="BP275" s="2" t="e">
        <f ca="1">_xll.BDH($C$253,"MODIFIED_WORKING_CPTL_SEQ_GRWTH","FQ2 2018","FQ2 2018","Currency=INR","Period=FQ","BEST_FPERIOD_OVERRIDE=FQ","FILING_STATUS=OR","EQY_CONSOLIDATED=Y","Sort=A","Dates=H","DateFormat=P","Fill=—","Direction=H","UseDPDF=Y")</f>
        <v>#NAME?</v>
      </c>
      <c r="BQ275" s="2" t="e">
        <f ca="1">_xll.BDH($C$253,"WORKING_CAPITAL_SEQ_GROWTH","FQ2 2018","FQ2 2018","Currency=INR","Period=FQ","BEST_FPERIOD_OVERRIDE=FQ","FILING_STATUS=OR","EQY_CONSOLIDATED=Y","Sort=A","Dates=H","DateFormat=P","Fill=—","Direction=H","UseDPDF=Y")</f>
        <v>#NAME?</v>
      </c>
      <c r="BR275" s="2" t="e">
        <f ca="1">_xll.BDH($C$253,"ACCOUNTS_PAYABLE_SEQ_GROWTH","FQ2 2018","FQ2 2018","Currency=INR","Period=FQ","BEST_FPERIOD_OVERRIDE=FQ","FILING_STATUS=OR","EQY_CONSOLIDATED=Y","Sort=A","Dates=H","DateFormat=P","Fill=—","Direction=H","UseDPDF=Y")</f>
        <v>#NAME?</v>
      </c>
      <c r="BS275" s="2" t="e">
        <f ca="1">_xll.BDH($C$253,"ST_DEBT_SEQUENTIAL_GROWTH","FQ2 2018","FQ2 2018","Currency=INR","Period=FQ","BEST_FPERIOD_OVERRIDE=FQ","FILING_STATUS=OR","EQY_CONSOLIDATED=Y","Sort=A","Dates=H","DateFormat=P","Fill=—","Direction=H","UseDPDF=Y")</f>
        <v>#NAME?</v>
      </c>
      <c r="BT275" s="2" t="e">
        <f ca="1">_xll.BDH($C$253,"TOTAL_DEBT_SEQUENTIAL_GROWTH","FQ2 2018","FQ2 2018","Currency=INR","Period=FQ","BEST_FPERIOD_OVERRIDE=FQ","FILING_STATUS=OR","EQY_CONSOLIDATED=Y","Sort=A","Dates=H","DateFormat=P","Fill=—","Direction=H","UseDPDF=Y")</f>
        <v>#NAME?</v>
      </c>
      <c r="BU275" s="2" t="e">
        <f ca="1">_xll.BDH($C$253,"TOTAL_EQUITY_SEQUENTIAL_GROWTH","FQ2 2018","FQ2 2018","Currency=INR","Period=FQ","BEST_FPERIOD_OVERRIDE=FQ","FILING_STATUS=OR","EQY_CONSOLIDATED=Y","Sort=A","Dates=H","DateFormat=P","Fill=—","Direction=H","UseDPDF=Y")</f>
        <v>#NAME?</v>
      </c>
      <c r="BV275" s="2" t="e">
        <f ca="1">_xll.BDH($C$253,"TOTAL_CAPITAL_SEQUENTIAL_GROWTH","FQ2 2018","FQ2 2018","Currency=INR","Period=FQ","BEST_FPERIOD_OVERRIDE=FQ","FILING_STATUS=OR","EQY_CONSOLIDATED=Y","Sort=A","Dates=H","DateFormat=P","Fill=—","Direction=H","UseDPDF=Y")</f>
        <v>#NAME?</v>
      </c>
      <c r="BW275" s="2" t="e">
        <f ca="1">_xll.BDH($C$253,"BPS_SEQUENTIAL_GROWTH","FQ2 2018","FQ2 2018","Currency=INR","Period=FQ","BEST_FPERIOD_OVERRIDE=FQ","FILING_STATUS=OR","EQY_CONSOLIDATED=Y","Sort=A","Dates=H","DateFormat=P","Fill=—","Direction=H","UseDPDF=Y")</f>
        <v>#NAME?</v>
      </c>
      <c r="BX275" s="2" t="e">
        <f ca="1">_xll.BDH($C$253,"CFO_SEQUENTIAL_GROWTH","FQ2 2018","FQ2 2018","Currency=INR","Period=FQ","BEST_FPERIOD_OVERRIDE=FQ","FILING_STATUS=OR","EQY_CONSOLIDATED=Y","Sort=A","Dates=H","DateFormat=P","Fill=—","Direction=H","UseDPDF=Y")</f>
        <v>#NAME?</v>
      </c>
      <c r="BY275" s="3" t="e">
        <f ca="1">_xll.BDH($C$253,"SHORT_AND_LONG_TERM_DEBT","FQ2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275" s="3" t="e">
        <f ca="1">_xll.BDH($C$253,"BS_ST_BORROW","FQ2 2018","FQ2 2018","Currency=INR","Period=FQ","BEST_FPERIOD_OVERRIDE=FQ","FILING_STATUS=OR","EQY_CONSOLIDATED=Y","SCALING_FORMAT=MLN","Sort=A","Dates=H","DateFormat=P","Fill=—","Direction=H","UseDPDF=Y")</f>
        <v>#NAME?</v>
      </c>
      <c r="CA275" s="3" t="e">
        <f ca="1">_xll.BDH($C$253,"BS_LT_BORROW","FQ2 2018","FQ2 2018","Currency=INR","Period=FQ","BEST_FPERIOD_OVERRIDE=FQ","FILING_STATUS=OR","EQY_CONSOLIDATED=Y","SCALING_FORMAT=MLN","Sort=A","Dates=H","DateFormat=P","Fill=—","Direction=H","UseDPDF=Y")</f>
        <v>#NAME?</v>
      </c>
      <c r="CB275" s="2" t="e">
        <f ca="1">_xll.BDH($C$253,"TOT_DEBT_TO_EBITDA","FQ2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275" s="2" t="e">
        <f ca="1">_xll.BDH($C$253,"NET_DEBT_TO_EBITDA","FQ2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275" s="2" t="e">
        <f ca="1">_xll.BDH($C$253,"TOTAL_DEBT_TO_EBIT","FQ2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275" s="2" t="e">
        <f ca="1">_xll.BDH($C$253,"NET_DEBT_TO_EBIT","FQ2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275" s="2" t="e">
        <f ca="1">_xll.BDH($C$253,"EBITDA_TO_INTEREST_EXPN","FQ2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275" s="2" t="e">
        <f ca="1">_xll.BDH($C$253,"COM_EQY_TO_TOT_ASSET","FQ2 2018","FQ2 2018","Currency=INR","Period=FQ","BEST_FPERIOD_OVERRIDE=FQ","FILING_STATUS=OR","EQY_CONSOLIDATED=Y","Sort=A","Dates=H","DateFormat=P","Fill=—","Direction=H","UseDPDF=Y")</f>
        <v>#NAME?</v>
      </c>
      <c r="CH275" s="2" t="e">
        <f ca="1">_xll.BDH($C$253,"LT_DEBT_TO_TOT_EQY","FQ2 2018","FQ2 2018","Currency=INR","Period=FQ","BEST_FPERIOD_OVERRIDE=FQ","FILING_STATUS=OR","EQY_CONSOLIDATED=Y","Sort=A","Dates=H","DateFormat=P","Fill=—","Direction=H","UseDPDF=Y")</f>
        <v>#NAME?</v>
      </c>
      <c r="CI275" s="2" t="e">
        <f ca="1">_xll.BDH($C$253,"LT_DEBT_TO_TOT_CAP","FQ2 2018","FQ2 2018","Currency=INR","Period=FQ","BEST_FPERIOD_OVERRIDE=FQ","FILING_STATUS=OR","EQY_CONSOLIDATED=Y","Sort=A","Dates=H","DateFormat=P","Fill=—","Direction=H","UseDPDF=Y")</f>
        <v>#NAME?</v>
      </c>
      <c r="CJ275" s="2" t="e">
        <f ca="1">_xll.BDH($C$253,"LT_DEBT_TO_TOT_ASSET","FQ2 2018","FQ2 2018","Currency=INR","Period=FQ","BEST_FPERIOD_OVERRIDE=FQ","FILING_STATUS=OR","EQY_CONSOLIDATED=Y","Sort=A","Dates=H","DateFormat=P","Fill=—","Direction=H","UseDPDF=Y")</f>
        <v>#NAME?</v>
      </c>
      <c r="CK275" s="2" t="e">
        <f ca="1">_xll.BDH($C$253,"TOT_DEBT_TO_TOT_EQY","FQ2 2018","FQ2 2018","Currency=INR","Period=FQ","BEST_FPERIOD_OVERRIDE=FQ","FILING_STATUS=OR","EQY_CONSOLIDATED=Y","Sort=A","Dates=H","DateFormat=P","Fill=—","Direction=H","UseDPDF=Y")</f>
        <v>#NAME?</v>
      </c>
      <c r="CL275" s="2" t="e">
        <f ca="1">_xll.BDH($C$253,"TOT_DEBT_TO_TOT_CAP","FQ2 2018","FQ2 2018","Currency=INR","Period=FQ","BEST_FPERIOD_OVERRIDE=FQ","FILING_STATUS=OR","EQY_CONSOLIDATED=Y","Sort=A","Dates=H","DateFormat=P","Fill=—","Direction=H","UseDPDF=Y")</f>
        <v>#NAME?</v>
      </c>
      <c r="CM275" s="2" t="e">
        <f ca="1">_xll.BDH($C$253,"TOT_DEBT_TO_TOT_ASSET","FQ2 2018","FQ2 2018","Currency=INR","Period=FQ","BEST_FPERIOD_OVERRIDE=FQ","FILING_STATUS=OR","EQY_CONSOLIDATED=Y","Sort=A","Dates=H","DateFormat=P","Fill=—","Direction=H","UseDPDF=Y")</f>
        <v>#NAME?</v>
      </c>
      <c r="CN275" s="2" t="e">
        <f ca="1">_xll.BDH($C$253,"NET_DEBT_TO_SHRHLDR_EQTY","FQ2 2018","FQ2 2018","Currency=INR","Period=FQ","BEST_FPERIOD_OVERRIDE=FQ","FILING_STATUS=OR","EQY_CONSOLIDATED=Y","Sort=A","Dates=H","DateFormat=P","Fill=—","Direction=H","UseDPDF=Y")</f>
        <v>#NAME?</v>
      </c>
      <c r="CO275" s="2" t="e">
        <f ca="1">_xll.BDH($C$253,"NET_DEBT_%_CAPITAL","FQ2 2018","FQ2 2018","Currency=INR","Period=FQ","BEST_FPERIOD_OVERRIDE=FQ","FILING_STATUS=OR","EQY_CONSOLIDATED=Y","Sort=A","Dates=H","DateFormat=P","Fill=—","Direction=H","UseDPDF=Y")</f>
        <v>#NAME?</v>
      </c>
      <c r="CP275" s="3" t="e">
        <f ca="1">_xll.BDH($C$253,"EBITDA","FQ2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275" s="3" t="e">
        <f ca="1">_xll.BDH($C$253,"EBITDA_AFTER_CAPEX","FQ2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275" s="3" t="e">
        <f ca="1">_xll.BDH($C$253,"IS_OPER_INC","FQ2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275" s="2" t="e">
        <f ca="1">_xll.BDH($C$253,"CASH_RATIO","FQ2 2018","FQ2 2018","Currency=INR","Period=FQ","BEST_FPERIOD_OVERRIDE=FQ","FILING_STATUS=OR","EQY_CONSOLIDATED=Y","Sort=A","Dates=H","DateFormat=P","Fill=—","Direction=H","UseDPDF=Y")</f>
        <v>#NAME?</v>
      </c>
      <c r="CT275" s="2" t="e">
        <f ca="1">_xll.BDH($C$253,"CUR_RATIO","FQ2 2018","FQ2 2018","Currency=INR","Period=FQ","BEST_FPERIOD_OVERRIDE=FQ","FILING_STATUS=OR","EQY_CONSOLIDATED=Y","Sort=A","Dates=H","DateFormat=P","Fill=—","Direction=H","UseDPDF=Y")</f>
        <v>#NAME?</v>
      </c>
      <c r="CU275" s="2" t="e">
        <f ca="1">_xll.BDH($C$253,"QUICK_RATIO","FQ2 2018","FQ2 2018","Currency=INR","Period=FQ","BEST_FPERIOD_OVERRIDE=FQ","FILING_STATUS=OR","EQY_CONSOLIDATED=Y","Sort=A","Dates=H","DateFormat=P","Fill=—","Direction=H","UseDPDF=Y")</f>
        <v>#NAME?</v>
      </c>
      <c r="CV275" s="2" t="e">
        <f ca="1">_xll.BDH($C$253,"ALTMAN_Z_SCORE","FQ2 2018","FQ2 2018","Currency=INR","Period=FQ","BEST_FPERIOD_OVERRIDE=FQ","FILING_STATUS=OR","EQY_CONSOLIDATED=Y","Sort=A","Dates=H","DateFormat=P","Fill=—","Direction=H","UseDPDF=Y")</f>
        <v>#NAME?</v>
      </c>
      <c r="CW275" s="4" t="e">
        <f ca="1">_xll.BDH($C$253,"ACCT_RCV_TURN","FQ2 2018","FQ2 2018","Currency=INR","Period=FQ","BEST_FPERIOD_OVERRIDE=FQ","FILING_STATUS=OR","EQY_CONSOLIDATED=Y","FA_ADJUSTED=GAAP","Sort=A","Dates=H","DateFormat=P","Fill=—","Direction=H","UseDPDF=Y")</f>
        <v>#NAME?</v>
      </c>
      <c r="CX275" s="2" t="e">
        <f ca="1">_xll.BDH($C$253,"ACCT_RCV_DAYS","FQ2 2018","FQ2 2018","Currency=INR","Period=FQ","BEST_FPERIOD_OVERRIDE=FQ","FILING_STATUS=OR","EQY_CONSOLIDATED=Y","FA_ADJUSTED=GAAP","Sort=A","Dates=H","DateFormat=P","Fill=—","Direction=H","UseDPDF=Y")</f>
        <v>#NAME?</v>
      </c>
      <c r="CY275" s="4" t="e">
        <f ca="1">_xll.BDH($C$253,"INVENT_TURN","FQ2 2018","FQ2 2018","Currency=INR","Period=FQ","BEST_FPERIOD_OVERRIDE=FQ","FILING_STATUS=OR","EQY_CONSOLIDATED=Y","FA_ADJUSTED=GAAP","Sort=A","Dates=H","DateFormat=P","Fill=—","Direction=H","UseDPDF=Y")</f>
        <v>#NAME?</v>
      </c>
      <c r="CZ275" s="2" t="e">
        <f ca="1">_xll.BDH($C$253,"INVENT_DAYS","FQ2 2018","FQ2 2018","Currency=INR","Period=FQ","BEST_FPERIOD_OVERRIDE=FQ","FILING_STATUS=OR","EQY_CONSOLIDATED=Y","FA_ADJUSTED=GAAP","Sort=A","Dates=H","DateFormat=P","Fill=—","Direction=H","UseDPDF=Y")</f>
        <v>#NAME?</v>
      </c>
      <c r="DA275" s="4" t="e">
        <f ca="1">_xll.BDH($C$253,"ACCOUNTS_PAYABLE_TURNOVER","FQ2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275" s="2" t="e">
        <f ca="1">_xll.BDH($C$253,"ACCOUNTS_PAYABLE_TURNOVER_DAYS","FQ2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275" s="4" t="e">
        <f ca="1">_xll.BDH($C$253,"CASH_CONVERSION_CYCLE","FQ2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275" s="4" t="e">
        <f ca="1">_xll.BDH($C$253,"INV_TO_CASH_DAYS","FQ2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275" s="5" t="e">
        <f ca="1">_xll.BDH($C$253,"BS_INVENTORIES","FQ2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275" s="3" t="e">
        <f ca="1">_xll.BDH($C$253,"INVTRY_RAW_MATERIALS","FQ2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275" s="3" t="e">
        <f ca="1">_xll.BDH($C$253,"INVTRY_IN_PROGRESS","FQ2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275" s="3" t="e">
        <f ca="1">_xll.BDH($C$253,"INVTRY_FINISHED_GOODS","FQ2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275" s="3" t="e">
        <f ca="1">_xll.BDH($C$253,"BS_OTHER_INV","FQ2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276" spans="1:113" x14ac:dyDescent="0.3">
      <c r="A276" s="6"/>
      <c r="B276" s="6"/>
      <c r="C276" s="6"/>
      <c r="D276" s="6"/>
      <c r="E276" t="s">
        <v>80</v>
      </c>
      <c r="F276" t="e">
        <f ca="1">_xll.BDH($C$253,"RETURN_COM_EQY","FQ3 2018","FQ3 2018","Currency=INR","Period=FQ","BEST_FPERIOD_OVERRIDE=FQ","FILING_STATUS=OR","EQY_CONSOLIDATED=Y","FA_ADJUSTED=GAAP","Sort=A","Dates=H","DateFormat=P","Fill=—","Direction=H","UseDPDF=Y")</f>
        <v>#NAME?</v>
      </c>
      <c r="G276" t="e">
        <f ca="1">_xll.BDH($C$253,"RETURN_ON_ASSET","FQ3 2018","FQ3 2018","Currency=INR","Period=FQ","BEST_FPERIOD_OVERRIDE=FQ","FILING_STATUS=OR","EQY_CONSOLIDATED=Y","FA_ADJUSTED=GAAP","Sort=A","Dates=H","DateFormat=P","Fill=—","Direction=H","UseDPDF=Y")</f>
        <v>#NAME?</v>
      </c>
      <c r="H276" t="e">
        <f ca="1">_xll.BDH($C$253,"RETURN_ON_CAP","FQ3 2018","FQ3 2018","Currency=INR","Period=FQ","BEST_FPERIOD_OVERRIDE=FQ","FILING_STATUS=OR","EQY_CONSOLIDATED=Y","FA_ADJUSTED=GAAP","Sort=A","Dates=H","DateFormat=P","Fill=—","Direction=H","UseDPDF=Y")</f>
        <v>#NAME?</v>
      </c>
      <c r="I276" t="e">
        <f ca="1">_xll.BDH($C$253,"RETURN_ON_INV_CAPITAL","FQ3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276" t="e">
        <f ca="1">_xll.BDH($C$253,"EBITDA_TO_REVENUE","FQ3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276" t="e">
        <f ca="1">_xll.BDH($C$253,"OPER_MARGIN","FQ3 2018","FQ3 2018","Currency=INR","Period=FQ","BEST_FPERIOD_OVERRIDE=FQ","FILING_STATUS=OR","EQY_CONSOLIDATED=Y","FA_ADJUSTED=GAAP","Sort=A","Dates=H","DateFormat=P","Fill=—","Direction=H","UseDPDF=Y")</f>
        <v>#NAME?</v>
      </c>
      <c r="L276" t="e">
        <f ca="1">_xll.BDH($C$253,"INCREMENTAL_OPERATING_MARGIN","FQ3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276" t="e">
        <f ca="1">_xll.BDH($C$253,"PRETAX_INC_TO_NET_SALES","FQ3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276" t="e">
        <f ca="1">_xll.BDH($C$253,"INC_BEF_XO_ITEMS_TO_NET_SALES","FQ3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276" t="e">
        <f ca="1">_xll.BDH($C$253,"PROF_MARGIN","FQ3 2018","FQ3 2018","Currency=INR","Period=FQ","BEST_FPERIOD_OVERRIDE=FQ","FILING_STATUS=OR","EQY_CONSOLIDATED=Y","FA_ADJUSTED=GAAP","Sort=A","Dates=H","DateFormat=P","Fill=—","Direction=H","UseDPDF=Y")</f>
        <v>#NAME?</v>
      </c>
      <c r="P276" t="e">
        <f ca="1">_xll.BDH($C$253,"NET_INCOME_TO_COMMON_MARGIN","FQ3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276" t="e">
        <f ca="1">_xll.BDH($C$253,"EFF_TAX_RATE","FQ3 2018","FQ3 2018","Currency=INR","Period=FQ","BEST_FPERIOD_OVERRIDE=FQ","FILING_STATUS=OR","EQY_CONSOLIDATED=Y","FA_ADJUSTED=GAAP","Sort=A","Dates=H","DateFormat=P","Fill=—","Direction=H","UseDPDF=Y")</f>
        <v>#NAME?</v>
      </c>
      <c r="R276" t="e">
        <f ca="1">_xll.BDH($C$253,"DVD_PAYOUT_RATIO","FQ3 2018","FQ3 2018","Currency=INR","Period=FQ","BEST_FPERIOD_OVERRIDE=FQ","FILING_STATUS=OR","EQY_CONSOLIDATED=Y","FA_ADJUSTED=GAAP","Sort=A","Dates=H","DateFormat=P","Fill=—","Direction=H","UseDPDF=Y")</f>
        <v>#NAME?</v>
      </c>
      <c r="S276" t="e">
        <f ca="1">_xll.BDH($C$253,"SUSTAIN_GROWTH_RT","FQ3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276" s="2" t="e">
        <f ca="1">_xll.BDH($C$253,"SALES_GROWTH","FQ3 2018","FQ3 2018","Currency=INR","Period=FQ","BEST_FPERIOD_OVERRIDE=FQ","FILING_STATUS=OR","EQY_CONSOLIDATED=Y","FA_ADJUSTED=GAAP","Sort=A","Dates=H","DateFormat=P","Fill=—","Direction=H","UseDPDF=Y")</f>
        <v>#NAME?</v>
      </c>
      <c r="U276" s="2" t="e">
        <f ca="1">_xll.BDH($C$253,"EBITDA_GROWTH","FQ3 2018","FQ3 2018","Currency=INR","Period=FQ","BEST_FPERIOD_OVERRIDE=FQ","FILING_STATUS=OR","EQY_CONSOLIDATED=Y","FA_ADJUSTED=GAAP","Sort=A","Dates=H","DateFormat=P","Fill=—","Direction=H","UseDPDF=Y")</f>
        <v>#NAME?</v>
      </c>
      <c r="V276" s="2" t="e">
        <f ca="1">_xll.BDH($C$253,"OPER_INC_GROWTH","FQ3 2018","FQ3 2018","Currency=INR","Period=FQ","BEST_FPERIOD_OVERRIDE=FQ","FILING_STATUS=OR","EQY_CONSOLIDATED=Y","FA_ADJUSTED=GAAP","Sort=A","Dates=H","DateFormat=P","Fill=—","Direction=H","UseDPDF=Y")</f>
        <v>#NAME?</v>
      </c>
      <c r="W276" s="2" t="e">
        <f ca="1">_xll.BDH($C$253,"EARN_FOR_COM_GROWTH","FQ3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276" s="2" t="e">
        <f ca="1">_xll.BDH($C$253,"DILUTED_EPS_AFT_XO_ITEMS_GROWTH","FQ3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276" s="2" t="e">
        <f ca="1">_xll.BDH($C$253,"DIVIDEND_PER_SHARE_1_YEAR_GROWTH","FQ3 2018","FQ3 2018","Currency=INR","Period=FQ","BEST_FPERIOD_OVERRIDE=FQ","FILING_STATUS=OR","EQY_CONSOLIDATED=Y","Sort=A","Dates=H","DateFormat=P","Fill=—","Direction=H","UseDPDF=Y")</f>
        <v>#NAME?</v>
      </c>
      <c r="Z276" s="2" t="e">
        <f ca="1">_xll.BDH($C$253,"ACCOUNTS_RECEIVABLE_GROWTH","FQ3 2018","FQ3 2018","Currency=INR","Period=FQ","BEST_FPERIOD_OVERRIDE=FQ","FILING_STATUS=OR","EQY_CONSOLIDATED=Y","Sort=A","Dates=H","DateFormat=P","Fill=—","Direction=H","UseDPDF=Y")</f>
        <v>#NAME?</v>
      </c>
      <c r="AA276" s="2" t="e">
        <f ca="1">_xll.BDH($C$253,"INVENTORY_GROWTH","FQ3 2018","FQ3 2018","Currency=INR","Period=FQ","BEST_FPERIOD_OVERRIDE=FQ","FILING_STATUS=OR","EQY_CONSOLIDATED=Y","Sort=A","Dates=H","DateFormat=P","Fill=—","Direction=H","UseDPDF=Y")</f>
        <v>#NAME?</v>
      </c>
      <c r="AB276" s="2" t="e">
        <f ca="1">_xll.BDH($C$253,"NET_FIXED_ASSETS_1_YEAR_GROWTH","FQ3 2018","FQ3 2018","Currency=INR","Period=FQ","BEST_FPERIOD_OVERRIDE=FQ","FILING_STATUS=OR","EQY_CONSOLIDATED=Y","Sort=A","Dates=H","DateFormat=P","Fill=—","Direction=H","UseDPDF=Y")</f>
        <v>#NAME?</v>
      </c>
      <c r="AC276" s="2" t="e">
        <f ca="1">_xll.BDH($C$253,"ASSET_GROWTH","FQ3 2018","FQ3 2018","Currency=INR","Period=FQ","BEST_FPERIOD_OVERRIDE=FQ","FILING_STATUS=OR","EQY_CONSOLIDATED=Y","Sort=A","Dates=H","DateFormat=P","Fill=—","Direction=H","UseDPDF=Y")</f>
        <v>#NAME?</v>
      </c>
      <c r="AD276" s="2" t="e">
        <f ca="1">_xll.BDH($C$253,"MODIFIED_WORK_CAP_GROWTH","FQ3 2018","FQ3 2018","Currency=INR","Period=FQ","BEST_FPERIOD_OVERRIDE=FQ","FILING_STATUS=OR","EQY_CONSOLIDATED=Y","Sort=A","Dates=H","DateFormat=P","Fill=—","Direction=H","UseDPDF=Y")</f>
        <v>#NAME?</v>
      </c>
      <c r="AE276" s="2" t="e">
        <f ca="1">_xll.BDH($C$253,"WORK_CAP_GROWTH","FQ3 2018","FQ3 2018","Currency=INR","Period=FQ","BEST_FPERIOD_OVERRIDE=FQ","FILING_STATUS=OR","EQY_CONSOLIDATED=Y","Sort=A","Dates=H","DateFormat=P","Fill=—","Direction=H","UseDPDF=Y")</f>
        <v>#NAME?</v>
      </c>
      <c r="AF276" s="2" t="e">
        <f ca="1">_xll.BDH($C$253,"ACCOUNTS_PAYABLE_GROWTH_1YR","FQ3 2018","FQ3 2018","Currency=INR","Period=FQ","BEST_FPERIOD_OVERRIDE=FQ","FILING_STATUS=OR","EQY_CONSOLIDATED=Y","Sort=A","Dates=H","DateFormat=P","Fill=—","Direction=H","UseDPDF=Y")</f>
        <v>#NAME?</v>
      </c>
      <c r="AG276" s="2" t="e">
        <f ca="1">_xll.BDH($C$253,"SHORT_TERM_DEBT_1_YEAR_GROWTH","FQ3 2018","FQ3 2018","Currency=INR","Period=FQ","BEST_FPERIOD_OVERRIDE=FQ","FILING_STATUS=OR","EQY_CONSOLIDATED=Y","Sort=A","Dates=H","DateFormat=P","Fill=—","Direction=H","UseDPDF=Y")</f>
        <v>#NAME?</v>
      </c>
      <c r="AH276" s="2" t="e">
        <f ca="1">_xll.BDH($C$253,"TOTAL_DEBT_1_YEAR_GROWTH","FQ3 2018","FQ3 2018","Currency=INR","Period=FQ","BEST_FPERIOD_OVERRIDE=FQ","FILING_STATUS=OR","EQY_CONSOLIDATED=Y","Sort=A","Dates=H","DateFormat=P","Fill=—","Direction=H","UseDPDF=Y")</f>
        <v>#NAME?</v>
      </c>
      <c r="AI276" s="2" t="e">
        <f ca="1">_xll.BDH($C$253,"TOTAL_EQUITY_1_YEAR_GROWTH","FQ3 2018","FQ3 2018","Currency=INR","Period=FQ","BEST_FPERIOD_OVERRIDE=FQ","FILING_STATUS=OR","EQY_CONSOLIDATED=Y","Sort=A","Dates=H","DateFormat=P","Fill=—","Direction=H","UseDPDF=Y")</f>
        <v>#NAME?</v>
      </c>
      <c r="AJ276" s="2" t="e">
        <f ca="1">_xll.BDH($C$253,"GROWTH_IN_CAP","FQ3 2018","FQ3 2018","Currency=INR","Period=FQ","BEST_FPERIOD_OVERRIDE=FQ","FILING_STATUS=OR","EQY_CONSOLIDATED=Y","Sort=A","Dates=H","DateFormat=P","Fill=—","Direction=H","UseDPDF=Y")</f>
        <v>#NAME?</v>
      </c>
      <c r="AK276" s="2" t="e">
        <f ca="1">_xll.BDH($C$253,"BVPS_GROWTH","FQ3 2018","FQ3 2018","Currency=INR","Period=FQ","BEST_FPERIOD_OVERRIDE=FQ","FILING_STATUS=OR","EQY_CONSOLIDATED=Y","Sort=A","Dates=H","DateFormat=P","Fill=—","Direction=H","UseDPDF=Y")</f>
        <v>#NAME?</v>
      </c>
      <c r="AL276" s="2" t="e">
        <f ca="1">_xll.BDH($C$253,"CASH_FLOW_GROWTH","FQ3 2018","FQ3 2018","Currency=INR","Period=FQ","BEST_FPERIOD_OVERRIDE=FQ","FILING_STATUS=OR","EQY_CONSOLIDATED=Y","Sort=A","Dates=H","DateFormat=P","Fill=—","Direction=H","UseDPDF=Y")</f>
        <v>#NAME?</v>
      </c>
      <c r="AM276" s="2" t="e">
        <f ca="1">_xll.BDH($C$253,"GEO_GROW_NET_SALES","FQ3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276" s="2" t="e">
        <f ca="1">_xll.BDH($C$253,"GEO_GROW_EBITDA","FQ3 2018","FQ3 2018","Currency=INR","Period=FQ","BEST_FPERIOD_OVERRIDE=FQ","FILING_STATUS=OR","EQY_CONSOLIDATED=Y","FA_ADJUSTED=GAAP","Sort=A","Dates=H","DateFormat=P","Fill=—","Direction=H","UseDPDF=Y")</f>
        <v>#NAME?</v>
      </c>
      <c r="AO276" s="2" t="e">
        <f ca="1">_xll.BDH($C$253,"GEO_GROW_OPER_INC","FQ3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276" s="2" t="e">
        <f ca="1">_xll.BDH($C$253,"NET_INCOME_TO_COMMON_5_YR_GROWTH","FQ3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276" s="2" t="e">
        <f ca="1">_xll.BDH($C$253,"5Y_GEO_GROWTH_DILUTED_EPS","FQ3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276" s="2" t="e">
        <f ca="1">_xll.BDH($C$253,"GEO_GROW_DVD_PER_SH","FQ3 2018","FQ3 2018","Currency=INR","Period=FQ","BEST_FPERIOD_OVERRIDE=FQ","FILING_STATUS=OR","EQY_CONSOLIDATED=Y","Sort=A","Dates=H","DateFormat=P","Fill=—","Direction=H","UseDPDF=Y")</f>
        <v>#NAME?</v>
      </c>
      <c r="AS276" s="2" t="e">
        <f ca="1">_xll.BDH($C$253,"ACCOUNTS_RECEIVABLE_5_YR_GROWTH","FQ3 2018","FQ3 2018","Currency=INR","Period=FQ","BEST_FPERIOD_OVERRIDE=FQ","FILING_STATUS=OR","EQY_CONSOLIDATED=Y","Sort=A","Dates=H","DateFormat=P","Fill=—","Direction=H","UseDPDF=Y")</f>
        <v>#NAME?</v>
      </c>
      <c r="AT276" s="2" t="e">
        <f ca="1">_xll.BDH($C$253,"INVENTORY_5_YEAR_GROWTH","FQ3 2018","FQ3 2018","Currency=INR","Period=FQ","BEST_FPERIOD_OVERRIDE=FQ","FILING_STATUS=OR","EQY_CONSOLIDATED=Y","Sort=A","Dates=H","DateFormat=P","Fill=—","Direction=H","UseDPDF=Y")</f>
        <v>#NAME?</v>
      </c>
      <c r="AU276" s="2" t="e">
        <f ca="1">_xll.BDH($C$253,"NET_FIXED_ASSETS_5_YEAR_GROWTH","FQ3 2018","FQ3 2018","Currency=INR","Period=FQ","BEST_FPERIOD_OVERRIDE=FQ","FILING_STATUS=OR","EQY_CONSOLIDATED=Y","Sort=A","Dates=H","DateFormat=P","Fill=—","Direction=H","UseDPDF=Y")</f>
        <v>#NAME?</v>
      </c>
      <c r="AV276" s="2" t="e">
        <f ca="1">_xll.BDH($C$253,"GEO_GROW_TOT_ASSET","FQ3 2018","FQ3 2018","Currency=INR","Period=FQ","BEST_FPERIOD_OVERRIDE=FQ","FILING_STATUS=OR","EQY_CONSOLIDATED=Y","Sort=A","Dates=H","DateFormat=P","Fill=—","Direction=H","UseDPDF=Y")</f>
        <v>#NAME?</v>
      </c>
      <c r="AW276" s="2" t="e">
        <f ca="1">_xll.BDH($C$253,"MODIFIED_WORKING_CPTL_5YR_GRWTH","FQ3 2018","FQ3 2018","Currency=INR","Period=FQ","BEST_FPERIOD_OVERRIDE=FQ","FILING_STATUS=OR","EQY_CONSOLIDATED=Y","Sort=A","Dates=H","DateFormat=P","Fill=—","Direction=H","UseDPDF=Y")</f>
        <v>#NAME?</v>
      </c>
      <c r="AX276" s="2" t="e">
        <f ca="1">_xll.BDH($C$253,"WORKING_CAPITAL_5_YEAR_GROWTH","FQ3 2018","FQ3 2018","Currency=INR","Period=FQ","BEST_FPERIOD_OVERRIDE=FQ","FILING_STATUS=OR","EQY_CONSOLIDATED=Y","Sort=A","Dates=H","DateFormat=P","Fill=—","Direction=H","UseDPDF=Y")</f>
        <v>#NAME?</v>
      </c>
      <c r="AY276" s="2" t="e">
        <f ca="1">_xll.BDH($C$253,"ACCOUNTS_PAYABLE_5_YEAR_GROWTH","FQ3 2018","FQ3 2018","Currency=INR","Period=FQ","BEST_FPERIOD_OVERRIDE=FQ","FILING_STATUS=OR","EQY_CONSOLIDATED=Y","Sort=A","Dates=H","DateFormat=P","Fill=—","Direction=H","UseDPDF=Y")</f>
        <v>#NAME?</v>
      </c>
      <c r="AZ276" s="2" t="e">
        <f ca="1">_xll.BDH($C$253,"SHORT_TERM_DEBT_5_YEAR_GROWTH","FQ3 2018","FQ3 2018","Currency=INR","Period=FQ","BEST_FPERIOD_OVERRIDE=FQ","FILING_STATUS=OR","EQY_CONSOLIDATED=Y","Sort=A","Dates=H","DateFormat=P","Fill=—","Direction=H","UseDPDF=Y")</f>
        <v>#NAME?</v>
      </c>
      <c r="BA276" s="2" t="e">
        <f ca="1">_xll.BDH($C$253,"TOTAL_DEBT_5_YEAR_GROWTH","FQ3 2018","FQ3 2018","Currency=INR","Period=FQ","BEST_FPERIOD_OVERRIDE=FQ","FILING_STATUS=OR","EQY_CONSOLIDATED=Y","Sort=A","Dates=H","DateFormat=P","Fill=—","Direction=H","UseDPDF=Y")</f>
        <v>#NAME?</v>
      </c>
      <c r="BB276" s="2" t="e">
        <f ca="1">_xll.BDH($C$253,"GEO_GROW_TOT_SHRHLDR_EQY","FQ3 2018","FQ3 2018","Currency=INR","Period=FQ","BEST_FPERIOD_OVERRIDE=FQ","FILING_STATUS=OR","EQY_CONSOLIDATED=Y","Sort=A","Dates=H","DateFormat=P","Fill=—","Direction=H","UseDPDF=Y")</f>
        <v>#NAME?</v>
      </c>
      <c r="BC276" s="2" t="e">
        <f ca="1">_xll.BDH($C$253,"TOTAL_CAPITAL_5_YEAR_GROWTH","FQ3 2018","FQ3 2018","Currency=INR","Period=FQ","BEST_FPERIOD_OVERRIDE=FQ","FILING_STATUS=OR","EQY_CONSOLIDATED=Y","Sort=A","Dates=H","DateFormat=P","Fill=—","Direction=H","UseDPDF=Y")</f>
        <v>#NAME?</v>
      </c>
      <c r="BD276" s="2" t="e">
        <f ca="1">_xll.BDH($C$253,"GEO_GROW_BOOK_VAL","FQ3 2018","FQ3 2018","Currency=INR","Period=FQ","BEST_FPERIOD_OVERRIDE=FQ","FILING_STATUS=OR","EQY_CONSOLIDATED=Y","Sort=A","Dates=H","DateFormat=P","Fill=—","Direction=H","UseDPDF=Y")</f>
        <v>#NAME?</v>
      </c>
      <c r="BE276" s="2" t="e">
        <f ca="1">_xll.BDH($C$253,"GEO_GROW_CASH_OPER_ACT","FQ3 2018","FQ3 2018","Currency=INR","Period=FQ","BEST_FPERIOD_OVERRIDE=FQ","FILING_STATUS=OR","EQY_CONSOLIDATED=Y","Sort=A","Dates=H","DateFormat=P","Fill=—","Direction=H","UseDPDF=Y")</f>
        <v>#NAME?</v>
      </c>
      <c r="BF276" s="2" t="e">
        <f ca="1">_xll.BDH($C$253,"REVENUE_SEQUENTIAL_GROWTH","FQ3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276" s="2" t="e">
        <f ca="1">_xll.BDH($C$253,"EBITDA_SEQUENTIAL_GROWTH","FQ3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276" s="2" t="e">
        <f ca="1">_xll.BDH($C$253,"OPERATING_INCOME_SEQ_GROWTH","FQ3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276" s="2" t="e">
        <f ca="1">_xll.BDH($C$253,"NET_INCOME_TO_COMMON_SEQ_GROWTH","FQ3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276" s="2" t="e">
        <f ca="1">_xll.BDH($C$253,"EPS_DILUTED_SEQUENTIAL_GROWTH","FQ3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276" s="2" t="e">
        <f ca="1">_xll.BDH($C$253,"DPS_SEQUENTIAL_GROWTH","FQ3 2018","FQ3 2018","Currency=INR","Period=FQ","BEST_FPERIOD_OVERRIDE=FQ","FILING_STATUS=OR","EQY_CONSOLIDATED=Y","Sort=A","Dates=H","DateFormat=P","Fill=—","Direction=H","UseDPDF=Y")</f>
        <v>#NAME?</v>
      </c>
      <c r="BL276" s="2" t="e">
        <f ca="1">_xll.BDH($C$253,"ACCOUNTS_RECEIVABLE_SEQ_GROWTH","FQ3 2018","FQ3 2018","Currency=INR","Period=FQ","BEST_FPERIOD_OVERRIDE=FQ","FILING_STATUS=OR","EQY_CONSOLIDATED=Y","Sort=A","Dates=H","DateFormat=P","Fill=—","Direction=H","UseDPDF=Y")</f>
        <v>#NAME?</v>
      </c>
      <c r="BM276" s="2" t="e">
        <f ca="1">_xll.BDH($C$253,"INVENTORY_SEQUENTIAL_GROWTH","FQ3 2018","FQ3 2018","Currency=INR","Period=FQ","BEST_FPERIOD_OVERRIDE=FQ","FILING_STATUS=OR","EQY_CONSOLIDATED=Y","Sort=A","Dates=H","DateFormat=P","Fill=—","Direction=H","UseDPDF=Y")</f>
        <v>#NAME?</v>
      </c>
      <c r="BN276" s="2" t="e">
        <f ca="1">_xll.BDH($C$253,"FIXED_ASSETS_SEQUENTIAL_GROWTH","FQ3 2018","FQ3 2018","Currency=INR","Period=FQ","BEST_FPERIOD_OVERRIDE=FQ","FILING_STATUS=OR","EQY_CONSOLIDATED=Y","Sort=A","Dates=H","DateFormat=P","Fill=—","Direction=H","UseDPDF=Y")</f>
        <v>#NAME?</v>
      </c>
      <c r="BO276" s="2" t="e">
        <f ca="1">_xll.BDH($C$253,"TOTAL_ASSETS_SEQUENTIAL_GROWTH","FQ3 2018","FQ3 2018","Currency=INR","Period=FQ","BEST_FPERIOD_OVERRIDE=FQ","FILING_STATUS=OR","EQY_CONSOLIDATED=Y","Sort=A","Dates=H","DateFormat=P","Fill=—","Direction=H","UseDPDF=Y")</f>
        <v>#NAME?</v>
      </c>
      <c r="BP276" s="2" t="e">
        <f ca="1">_xll.BDH($C$253,"MODIFIED_WORKING_CPTL_SEQ_GRWTH","FQ3 2018","FQ3 2018","Currency=INR","Period=FQ","BEST_FPERIOD_OVERRIDE=FQ","FILING_STATUS=OR","EQY_CONSOLIDATED=Y","Sort=A","Dates=H","DateFormat=P","Fill=—","Direction=H","UseDPDF=Y")</f>
        <v>#NAME?</v>
      </c>
      <c r="BQ276" s="2" t="e">
        <f ca="1">_xll.BDH($C$253,"WORKING_CAPITAL_SEQ_GROWTH","FQ3 2018","FQ3 2018","Currency=INR","Period=FQ","BEST_FPERIOD_OVERRIDE=FQ","FILING_STATUS=OR","EQY_CONSOLIDATED=Y","Sort=A","Dates=H","DateFormat=P","Fill=—","Direction=H","UseDPDF=Y")</f>
        <v>#NAME?</v>
      </c>
      <c r="BR276" s="2" t="e">
        <f ca="1">_xll.BDH($C$253,"ACCOUNTS_PAYABLE_SEQ_GROWTH","FQ3 2018","FQ3 2018","Currency=INR","Period=FQ","BEST_FPERIOD_OVERRIDE=FQ","FILING_STATUS=OR","EQY_CONSOLIDATED=Y","Sort=A","Dates=H","DateFormat=P","Fill=—","Direction=H","UseDPDF=Y")</f>
        <v>#NAME?</v>
      </c>
      <c r="BS276" s="2" t="e">
        <f ca="1">_xll.BDH($C$253,"ST_DEBT_SEQUENTIAL_GROWTH","FQ3 2018","FQ3 2018","Currency=INR","Period=FQ","BEST_FPERIOD_OVERRIDE=FQ","FILING_STATUS=OR","EQY_CONSOLIDATED=Y","Sort=A","Dates=H","DateFormat=P","Fill=—","Direction=H","UseDPDF=Y")</f>
        <v>#NAME?</v>
      </c>
      <c r="BT276" s="2" t="e">
        <f ca="1">_xll.BDH($C$253,"TOTAL_DEBT_SEQUENTIAL_GROWTH","FQ3 2018","FQ3 2018","Currency=INR","Period=FQ","BEST_FPERIOD_OVERRIDE=FQ","FILING_STATUS=OR","EQY_CONSOLIDATED=Y","Sort=A","Dates=H","DateFormat=P","Fill=—","Direction=H","UseDPDF=Y")</f>
        <v>#NAME?</v>
      </c>
      <c r="BU276" s="2" t="e">
        <f ca="1">_xll.BDH($C$253,"TOTAL_EQUITY_SEQUENTIAL_GROWTH","FQ3 2018","FQ3 2018","Currency=INR","Period=FQ","BEST_FPERIOD_OVERRIDE=FQ","FILING_STATUS=OR","EQY_CONSOLIDATED=Y","Sort=A","Dates=H","DateFormat=P","Fill=—","Direction=H","UseDPDF=Y")</f>
        <v>#NAME?</v>
      </c>
      <c r="BV276" s="2" t="e">
        <f ca="1">_xll.BDH($C$253,"TOTAL_CAPITAL_SEQUENTIAL_GROWTH","FQ3 2018","FQ3 2018","Currency=INR","Period=FQ","BEST_FPERIOD_OVERRIDE=FQ","FILING_STATUS=OR","EQY_CONSOLIDATED=Y","Sort=A","Dates=H","DateFormat=P","Fill=—","Direction=H","UseDPDF=Y")</f>
        <v>#NAME?</v>
      </c>
      <c r="BW276" s="2" t="e">
        <f ca="1">_xll.BDH($C$253,"BPS_SEQUENTIAL_GROWTH","FQ3 2018","FQ3 2018","Currency=INR","Period=FQ","BEST_FPERIOD_OVERRIDE=FQ","FILING_STATUS=OR","EQY_CONSOLIDATED=Y","Sort=A","Dates=H","DateFormat=P","Fill=—","Direction=H","UseDPDF=Y")</f>
        <v>#NAME?</v>
      </c>
      <c r="BX276" s="2" t="e">
        <f ca="1">_xll.BDH($C$253,"CFO_SEQUENTIAL_GROWTH","FQ3 2018","FQ3 2018","Currency=INR","Period=FQ","BEST_FPERIOD_OVERRIDE=FQ","FILING_STATUS=OR","EQY_CONSOLIDATED=Y","Sort=A","Dates=H","DateFormat=P","Fill=—","Direction=H","UseDPDF=Y")</f>
        <v>#NAME?</v>
      </c>
      <c r="BY276" s="3" t="e">
        <f ca="1">_xll.BDH($C$253,"SHORT_AND_LONG_TERM_DEBT","FQ3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276" s="3" t="e">
        <f ca="1">_xll.BDH($C$253,"BS_ST_BORROW","FQ3 2018","FQ3 2018","Currency=INR","Period=FQ","BEST_FPERIOD_OVERRIDE=FQ","FILING_STATUS=OR","EQY_CONSOLIDATED=Y","SCALING_FORMAT=MLN","Sort=A","Dates=H","DateFormat=P","Fill=—","Direction=H","UseDPDF=Y")</f>
        <v>#NAME?</v>
      </c>
      <c r="CA276" s="3" t="e">
        <f ca="1">_xll.BDH($C$253,"BS_LT_BORROW","FQ3 2018","FQ3 2018","Currency=INR","Period=FQ","BEST_FPERIOD_OVERRIDE=FQ","FILING_STATUS=OR","EQY_CONSOLIDATED=Y","SCALING_FORMAT=MLN","Sort=A","Dates=H","DateFormat=P","Fill=—","Direction=H","UseDPDF=Y")</f>
        <v>#NAME?</v>
      </c>
      <c r="CB276" s="2" t="e">
        <f ca="1">_xll.BDH($C$253,"TOT_DEBT_TO_EBITDA","FQ3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276" s="2" t="e">
        <f ca="1">_xll.BDH($C$253,"NET_DEBT_TO_EBITDA","FQ3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276" s="2" t="e">
        <f ca="1">_xll.BDH($C$253,"TOTAL_DEBT_TO_EBIT","FQ3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276" s="2" t="e">
        <f ca="1">_xll.BDH($C$253,"NET_DEBT_TO_EBIT","FQ3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276" s="2" t="e">
        <f ca="1">_xll.BDH($C$253,"EBITDA_TO_INTEREST_EXPN","FQ3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276" s="2" t="e">
        <f ca="1">_xll.BDH($C$253,"COM_EQY_TO_TOT_ASSET","FQ3 2018","FQ3 2018","Currency=INR","Period=FQ","BEST_FPERIOD_OVERRIDE=FQ","FILING_STATUS=OR","EQY_CONSOLIDATED=Y","Sort=A","Dates=H","DateFormat=P","Fill=—","Direction=H","UseDPDF=Y")</f>
        <v>#NAME?</v>
      </c>
      <c r="CH276" s="2" t="e">
        <f ca="1">_xll.BDH($C$253,"LT_DEBT_TO_TOT_EQY","FQ3 2018","FQ3 2018","Currency=INR","Period=FQ","BEST_FPERIOD_OVERRIDE=FQ","FILING_STATUS=OR","EQY_CONSOLIDATED=Y","Sort=A","Dates=H","DateFormat=P","Fill=—","Direction=H","UseDPDF=Y")</f>
        <v>#NAME?</v>
      </c>
      <c r="CI276" s="2" t="e">
        <f ca="1">_xll.BDH($C$253,"LT_DEBT_TO_TOT_CAP","FQ3 2018","FQ3 2018","Currency=INR","Period=FQ","BEST_FPERIOD_OVERRIDE=FQ","FILING_STATUS=OR","EQY_CONSOLIDATED=Y","Sort=A","Dates=H","DateFormat=P","Fill=—","Direction=H","UseDPDF=Y")</f>
        <v>#NAME?</v>
      </c>
      <c r="CJ276" s="2" t="e">
        <f ca="1">_xll.BDH($C$253,"LT_DEBT_TO_TOT_ASSET","FQ3 2018","FQ3 2018","Currency=INR","Period=FQ","BEST_FPERIOD_OVERRIDE=FQ","FILING_STATUS=OR","EQY_CONSOLIDATED=Y","Sort=A","Dates=H","DateFormat=P","Fill=—","Direction=H","UseDPDF=Y")</f>
        <v>#NAME?</v>
      </c>
      <c r="CK276" s="2" t="e">
        <f ca="1">_xll.BDH($C$253,"TOT_DEBT_TO_TOT_EQY","FQ3 2018","FQ3 2018","Currency=INR","Period=FQ","BEST_FPERIOD_OVERRIDE=FQ","FILING_STATUS=OR","EQY_CONSOLIDATED=Y","Sort=A","Dates=H","DateFormat=P","Fill=—","Direction=H","UseDPDF=Y")</f>
        <v>#NAME?</v>
      </c>
      <c r="CL276" s="2" t="e">
        <f ca="1">_xll.BDH($C$253,"TOT_DEBT_TO_TOT_CAP","FQ3 2018","FQ3 2018","Currency=INR","Period=FQ","BEST_FPERIOD_OVERRIDE=FQ","FILING_STATUS=OR","EQY_CONSOLIDATED=Y","Sort=A","Dates=H","DateFormat=P","Fill=—","Direction=H","UseDPDF=Y")</f>
        <v>#NAME?</v>
      </c>
      <c r="CM276" s="2" t="e">
        <f ca="1">_xll.BDH($C$253,"TOT_DEBT_TO_TOT_ASSET","FQ3 2018","FQ3 2018","Currency=INR","Period=FQ","BEST_FPERIOD_OVERRIDE=FQ","FILING_STATUS=OR","EQY_CONSOLIDATED=Y","Sort=A","Dates=H","DateFormat=P","Fill=—","Direction=H","UseDPDF=Y")</f>
        <v>#NAME?</v>
      </c>
      <c r="CN276" s="2" t="e">
        <f ca="1">_xll.BDH($C$253,"NET_DEBT_TO_SHRHLDR_EQTY","FQ3 2018","FQ3 2018","Currency=INR","Period=FQ","BEST_FPERIOD_OVERRIDE=FQ","FILING_STATUS=OR","EQY_CONSOLIDATED=Y","Sort=A","Dates=H","DateFormat=P","Fill=—","Direction=H","UseDPDF=Y")</f>
        <v>#NAME?</v>
      </c>
      <c r="CO276" s="2" t="e">
        <f ca="1">_xll.BDH($C$253,"NET_DEBT_%_CAPITAL","FQ3 2018","FQ3 2018","Currency=INR","Period=FQ","BEST_FPERIOD_OVERRIDE=FQ","FILING_STATUS=OR","EQY_CONSOLIDATED=Y","Sort=A","Dates=H","DateFormat=P","Fill=—","Direction=H","UseDPDF=Y")</f>
        <v>#NAME?</v>
      </c>
      <c r="CP276" s="3" t="e">
        <f ca="1">_xll.BDH($C$253,"EBITDA","FQ3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276" s="3" t="e">
        <f ca="1">_xll.BDH($C$253,"EBITDA_AFTER_CAPEX","FQ3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276" s="3" t="e">
        <f ca="1">_xll.BDH($C$253,"IS_OPER_INC","FQ3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276" s="2" t="e">
        <f ca="1">_xll.BDH($C$253,"CASH_RATIO","FQ3 2018","FQ3 2018","Currency=INR","Period=FQ","BEST_FPERIOD_OVERRIDE=FQ","FILING_STATUS=OR","EQY_CONSOLIDATED=Y","Sort=A","Dates=H","DateFormat=P","Fill=—","Direction=H","UseDPDF=Y")</f>
        <v>#NAME?</v>
      </c>
      <c r="CT276" s="2" t="e">
        <f ca="1">_xll.BDH($C$253,"CUR_RATIO","FQ3 2018","FQ3 2018","Currency=INR","Period=FQ","BEST_FPERIOD_OVERRIDE=FQ","FILING_STATUS=OR","EQY_CONSOLIDATED=Y","Sort=A","Dates=H","DateFormat=P","Fill=—","Direction=H","UseDPDF=Y")</f>
        <v>#NAME?</v>
      </c>
      <c r="CU276" s="2" t="e">
        <f ca="1">_xll.BDH($C$253,"QUICK_RATIO","FQ3 2018","FQ3 2018","Currency=INR","Period=FQ","BEST_FPERIOD_OVERRIDE=FQ","FILING_STATUS=OR","EQY_CONSOLIDATED=Y","Sort=A","Dates=H","DateFormat=P","Fill=—","Direction=H","UseDPDF=Y")</f>
        <v>#NAME?</v>
      </c>
      <c r="CV276" s="2" t="e">
        <f ca="1">_xll.BDH($C$253,"ALTMAN_Z_SCORE","FQ3 2018","FQ3 2018","Currency=INR","Period=FQ","BEST_FPERIOD_OVERRIDE=FQ","FILING_STATUS=OR","EQY_CONSOLIDATED=Y","Sort=A","Dates=H","DateFormat=P","Fill=—","Direction=H","UseDPDF=Y")</f>
        <v>#NAME?</v>
      </c>
      <c r="CW276" s="4" t="e">
        <f ca="1">_xll.BDH($C$253,"ACCT_RCV_TURN","FQ3 2018","FQ3 2018","Currency=INR","Period=FQ","BEST_FPERIOD_OVERRIDE=FQ","FILING_STATUS=OR","EQY_CONSOLIDATED=Y","FA_ADJUSTED=GAAP","Sort=A","Dates=H","DateFormat=P","Fill=—","Direction=H","UseDPDF=Y")</f>
        <v>#NAME?</v>
      </c>
      <c r="CX276" s="2" t="e">
        <f ca="1">_xll.BDH($C$253,"ACCT_RCV_DAYS","FQ3 2018","FQ3 2018","Currency=INR","Period=FQ","BEST_FPERIOD_OVERRIDE=FQ","FILING_STATUS=OR","EQY_CONSOLIDATED=Y","FA_ADJUSTED=GAAP","Sort=A","Dates=H","DateFormat=P","Fill=—","Direction=H","UseDPDF=Y")</f>
        <v>#NAME?</v>
      </c>
      <c r="CY276" s="4" t="e">
        <f ca="1">_xll.BDH($C$253,"INVENT_TURN","FQ3 2018","FQ3 2018","Currency=INR","Period=FQ","BEST_FPERIOD_OVERRIDE=FQ","FILING_STATUS=OR","EQY_CONSOLIDATED=Y","FA_ADJUSTED=GAAP","Sort=A","Dates=H","DateFormat=P","Fill=—","Direction=H","UseDPDF=Y")</f>
        <v>#NAME?</v>
      </c>
      <c r="CZ276" s="2" t="e">
        <f ca="1">_xll.BDH($C$253,"INVENT_DAYS","FQ3 2018","FQ3 2018","Currency=INR","Period=FQ","BEST_FPERIOD_OVERRIDE=FQ","FILING_STATUS=OR","EQY_CONSOLIDATED=Y","FA_ADJUSTED=GAAP","Sort=A","Dates=H","DateFormat=P","Fill=—","Direction=H","UseDPDF=Y")</f>
        <v>#NAME?</v>
      </c>
      <c r="DA276" s="4" t="e">
        <f ca="1">_xll.BDH($C$253,"ACCOUNTS_PAYABLE_TURNOVER","FQ3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276" s="2" t="e">
        <f ca="1">_xll.BDH($C$253,"ACCOUNTS_PAYABLE_TURNOVER_DAYS","FQ3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276" s="4" t="e">
        <f ca="1">_xll.BDH($C$253,"CASH_CONVERSION_CYCLE","FQ3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276" s="4" t="e">
        <f ca="1">_xll.BDH($C$253,"INV_TO_CASH_DAYS","FQ3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276" s="5" t="e">
        <f ca="1">_xll.BDH($C$253,"BS_INVENTORIES","FQ3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276" s="3" t="e">
        <f ca="1">_xll.BDH($C$253,"INVTRY_RAW_MATERIALS","FQ3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276" s="3" t="e">
        <f ca="1">_xll.BDH($C$253,"INVTRY_IN_PROGRESS","FQ3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276" s="3" t="e">
        <f ca="1">_xll.BDH($C$253,"INVTRY_FINISHED_GOODS","FQ3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276" s="3" t="e">
        <f ca="1">_xll.BDH($C$253,"BS_OTHER_INV","FQ3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277" spans="1:113" x14ac:dyDescent="0.3">
      <c r="A277" s="6"/>
      <c r="B277" s="6"/>
      <c r="C277" s="6"/>
      <c r="D277" s="6"/>
      <c r="E277" t="s">
        <v>81</v>
      </c>
      <c r="F277" t="e">
        <f ca="1">_xll.BDH($C$253,"RETURN_COM_EQY","FQ4 2018","FQ4 2018","Currency=INR","Period=FQ","BEST_FPERIOD_OVERRIDE=FQ","FILING_STATUS=OR","EQY_CONSOLIDATED=Y","FA_ADJUSTED=GAAP","Sort=A","Dates=H","DateFormat=P","Fill=—","Direction=H","UseDPDF=Y")</f>
        <v>#NAME?</v>
      </c>
      <c r="G277" t="e">
        <f ca="1">_xll.BDH($C$253,"RETURN_ON_ASSET","FQ4 2018","FQ4 2018","Currency=INR","Period=FQ","BEST_FPERIOD_OVERRIDE=FQ","FILING_STATUS=OR","EQY_CONSOLIDATED=Y","FA_ADJUSTED=GAAP","Sort=A","Dates=H","DateFormat=P","Fill=—","Direction=H","UseDPDF=Y")</f>
        <v>#NAME?</v>
      </c>
      <c r="H277" t="e">
        <f ca="1">_xll.BDH($C$253,"RETURN_ON_CAP","FQ4 2018","FQ4 2018","Currency=INR","Period=FQ","BEST_FPERIOD_OVERRIDE=FQ","FILING_STATUS=OR","EQY_CONSOLIDATED=Y","FA_ADJUSTED=GAAP","Sort=A","Dates=H","DateFormat=P","Fill=—","Direction=H","UseDPDF=Y")</f>
        <v>#NAME?</v>
      </c>
      <c r="I277" t="e">
        <f ca="1">_xll.BDH($C$253,"RETURN_ON_INV_CAPITAL","FQ4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277" t="e">
        <f ca="1">_xll.BDH($C$253,"EBITDA_TO_REVENUE","FQ4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277" t="e">
        <f ca="1">_xll.BDH($C$253,"OPER_MARGIN","FQ4 2018","FQ4 2018","Currency=INR","Period=FQ","BEST_FPERIOD_OVERRIDE=FQ","FILING_STATUS=OR","EQY_CONSOLIDATED=Y","FA_ADJUSTED=GAAP","Sort=A","Dates=H","DateFormat=P","Fill=—","Direction=H","UseDPDF=Y")</f>
        <v>#NAME?</v>
      </c>
      <c r="L277" t="e">
        <f ca="1">_xll.BDH($C$253,"INCREMENTAL_OPERATING_MARGIN","FQ4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277" t="e">
        <f ca="1">_xll.BDH($C$253,"PRETAX_INC_TO_NET_SALES","FQ4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277" t="e">
        <f ca="1">_xll.BDH($C$253,"INC_BEF_XO_ITEMS_TO_NET_SALES","FQ4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277" t="e">
        <f ca="1">_xll.BDH($C$253,"PROF_MARGIN","FQ4 2018","FQ4 2018","Currency=INR","Period=FQ","BEST_FPERIOD_OVERRIDE=FQ","FILING_STATUS=OR","EQY_CONSOLIDATED=Y","FA_ADJUSTED=GAAP","Sort=A","Dates=H","DateFormat=P","Fill=—","Direction=H","UseDPDF=Y")</f>
        <v>#NAME?</v>
      </c>
      <c r="P277" t="e">
        <f ca="1">_xll.BDH($C$253,"NET_INCOME_TO_COMMON_MARGIN","FQ4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277" t="e">
        <f ca="1">_xll.BDH($C$253,"EFF_TAX_RATE","FQ4 2018","FQ4 2018","Currency=INR","Period=FQ","BEST_FPERIOD_OVERRIDE=FQ","FILING_STATUS=OR","EQY_CONSOLIDATED=Y","FA_ADJUSTED=GAAP","Sort=A","Dates=H","DateFormat=P","Fill=—","Direction=H","UseDPDF=Y")</f>
        <v>#NAME?</v>
      </c>
      <c r="R277" t="e">
        <f ca="1">_xll.BDH($C$253,"DVD_PAYOUT_RATIO","FQ4 2018","FQ4 2018","Currency=INR","Period=FQ","BEST_FPERIOD_OVERRIDE=FQ","FILING_STATUS=OR","EQY_CONSOLIDATED=Y","FA_ADJUSTED=GAAP","Sort=A","Dates=H","DateFormat=P","Fill=—","Direction=H","UseDPDF=Y")</f>
        <v>#NAME?</v>
      </c>
      <c r="S277" t="e">
        <f ca="1">_xll.BDH($C$253,"SUSTAIN_GROWTH_RT","FQ4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277" s="2" t="e">
        <f ca="1">_xll.BDH($C$253,"SALES_GROWTH","FQ4 2018","FQ4 2018","Currency=INR","Period=FQ","BEST_FPERIOD_OVERRIDE=FQ","FILING_STATUS=OR","EQY_CONSOLIDATED=Y","FA_ADJUSTED=GAAP","Sort=A","Dates=H","DateFormat=P","Fill=—","Direction=H","UseDPDF=Y")</f>
        <v>#NAME?</v>
      </c>
      <c r="U277" s="2" t="e">
        <f ca="1">_xll.BDH($C$253,"EBITDA_GROWTH","FQ4 2018","FQ4 2018","Currency=INR","Period=FQ","BEST_FPERIOD_OVERRIDE=FQ","FILING_STATUS=OR","EQY_CONSOLIDATED=Y","FA_ADJUSTED=GAAP","Sort=A","Dates=H","DateFormat=P","Fill=—","Direction=H","UseDPDF=Y")</f>
        <v>#NAME?</v>
      </c>
      <c r="V277" s="2" t="e">
        <f ca="1">_xll.BDH($C$253,"OPER_INC_GROWTH","FQ4 2018","FQ4 2018","Currency=INR","Period=FQ","BEST_FPERIOD_OVERRIDE=FQ","FILING_STATUS=OR","EQY_CONSOLIDATED=Y","FA_ADJUSTED=GAAP","Sort=A","Dates=H","DateFormat=P","Fill=—","Direction=H","UseDPDF=Y")</f>
        <v>#NAME?</v>
      </c>
      <c r="W277" s="2" t="e">
        <f ca="1">_xll.BDH($C$253,"EARN_FOR_COM_GROWTH","FQ4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277" s="2" t="e">
        <f ca="1">_xll.BDH($C$253,"DILUTED_EPS_AFT_XO_ITEMS_GROWTH","FQ4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277" s="2" t="e">
        <f ca="1">_xll.BDH($C$253,"DIVIDEND_PER_SHARE_1_YEAR_GROWTH","FQ4 2018","FQ4 2018","Currency=INR","Period=FQ","BEST_FPERIOD_OVERRIDE=FQ","FILING_STATUS=OR","EQY_CONSOLIDATED=Y","Sort=A","Dates=H","DateFormat=P","Fill=—","Direction=H","UseDPDF=Y")</f>
        <v>#NAME?</v>
      </c>
      <c r="Z277" s="2" t="e">
        <f ca="1">_xll.BDH($C$253,"ACCOUNTS_RECEIVABLE_GROWTH","FQ4 2018","FQ4 2018","Currency=INR","Period=FQ","BEST_FPERIOD_OVERRIDE=FQ","FILING_STATUS=OR","EQY_CONSOLIDATED=Y","Sort=A","Dates=H","DateFormat=P","Fill=—","Direction=H","UseDPDF=Y")</f>
        <v>#NAME?</v>
      </c>
      <c r="AA277" s="2" t="e">
        <f ca="1">_xll.BDH($C$253,"INVENTORY_GROWTH","FQ4 2018","FQ4 2018","Currency=INR","Period=FQ","BEST_FPERIOD_OVERRIDE=FQ","FILING_STATUS=OR","EQY_CONSOLIDATED=Y","Sort=A","Dates=H","DateFormat=P","Fill=—","Direction=H","UseDPDF=Y")</f>
        <v>#NAME?</v>
      </c>
      <c r="AB277" s="2" t="e">
        <f ca="1">_xll.BDH($C$253,"NET_FIXED_ASSETS_1_YEAR_GROWTH","FQ4 2018","FQ4 2018","Currency=INR","Period=FQ","BEST_FPERIOD_OVERRIDE=FQ","FILING_STATUS=OR","EQY_CONSOLIDATED=Y","Sort=A","Dates=H","DateFormat=P","Fill=—","Direction=H","UseDPDF=Y")</f>
        <v>#NAME?</v>
      </c>
      <c r="AC277" s="2" t="e">
        <f ca="1">_xll.BDH($C$253,"ASSET_GROWTH","FQ4 2018","FQ4 2018","Currency=INR","Period=FQ","BEST_FPERIOD_OVERRIDE=FQ","FILING_STATUS=OR","EQY_CONSOLIDATED=Y","Sort=A","Dates=H","DateFormat=P","Fill=—","Direction=H","UseDPDF=Y")</f>
        <v>#NAME?</v>
      </c>
      <c r="AD277" s="2" t="e">
        <f ca="1">_xll.BDH($C$253,"MODIFIED_WORK_CAP_GROWTH","FQ4 2018","FQ4 2018","Currency=INR","Period=FQ","BEST_FPERIOD_OVERRIDE=FQ","FILING_STATUS=OR","EQY_CONSOLIDATED=Y","Sort=A","Dates=H","DateFormat=P","Fill=—","Direction=H","UseDPDF=Y")</f>
        <v>#NAME?</v>
      </c>
      <c r="AE277" s="2" t="e">
        <f ca="1">_xll.BDH($C$253,"WORK_CAP_GROWTH","FQ4 2018","FQ4 2018","Currency=INR","Period=FQ","BEST_FPERIOD_OVERRIDE=FQ","FILING_STATUS=OR","EQY_CONSOLIDATED=Y","Sort=A","Dates=H","DateFormat=P","Fill=—","Direction=H","UseDPDF=Y")</f>
        <v>#NAME?</v>
      </c>
      <c r="AF277" s="2" t="e">
        <f ca="1">_xll.BDH($C$253,"ACCOUNTS_PAYABLE_GROWTH_1YR","FQ4 2018","FQ4 2018","Currency=INR","Period=FQ","BEST_FPERIOD_OVERRIDE=FQ","FILING_STATUS=OR","EQY_CONSOLIDATED=Y","Sort=A","Dates=H","DateFormat=P","Fill=—","Direction=H","UseDPDF=Y")</f>
        <v>#NAME?</v>
      </c>
      <c r="AG277" s="2" t="e">
        <f ca="1">_xll.BDH($C$253,"SHORT_TERM_DEBT_1_YEAR_GROWTH","FQ4 2018","FQ4 2018","Currency=INR","Period=FQ","BEST_FPERIOD_OVERRIDE=FQ","FILING_STATUS=OR","EQY_CONSOLIDATED=Y","Sort=A","Dates=H","DateFormat=P","Fill=—","Direction=H","UseDPDF=Y")</f>
        <v>#NAME?</v>
      </c>
      <c r="AH277" s="2" t="e">
        <f ca="1">_xll.BDH($C$253,"TOTAL_DEBT_1_YEAR_GROWTH","FQ4 2018","FQ4 2018","Currency=INR","Period=FQ","BEST_FPERIOD_OVERRIDE=FQ","FILING_STATUS=OR","EQY_CONSOLIDATED=Y","Sort=A","Dates=H","DateFormat=P","Fill=—","Direction=H","UseDPDF=Y")</f>
        <v>#NAME?</v>
      </c>
      <c r="AI277" s="2" t="e">
        <f ca="1">_xll.BDH($C$253,"TOTAL_EQUITY_1_YEAR_GROWTH","FQ4 2018","FQ4 2018","Currency=INR","Period=FQ","BEST_FPERIOD_OVERRIDE=FQ","FILING_STATUS=OR","EQY_CONSOLIDATED=Y","Sort=A","Dates=H","DateFormat=P","Fill=—","Direction=H","UseDPDF=Y")</f>
        <v>#NAME?</v>
      </c>
      <c r="AJ277" s="2" t="e">
        <f ca="1">_xll.BDH($C$253,"GROWTH_IN_CAP","FQ4 2018","FQ4 2018","Currency=INR","Period=FQ","BEST_FPERIOD_OVERRIDE=FQ","FILING_STATUS=OR","EQY_CONSOLIDATED=Y","Sort=A","Dates=H","DateFormat=P","Fill=—","Direction=H","UseDPDF=Y")</f>
        <v>#NAME?</v>
      </c>
      <c r="AK277" s="2" t="e">
        <f ca="1">_xll.BDH($C$253,"BVPS_GROWTH","FQ4 2018","FQ4 2018","Currency=INR","Period=FQ","BEST_FPERIOD_OVERRIDE=FQ","FILING_STATUS=OR","EQY_CONSOLIDATED=Y","Sort=A","Dates=H","DateFormat=P","Fill=—","Direction=H","UseDPDF=Y")</f>
        <v>#NAME?</v>
      </c>
      <c r="AL277" s="2" t="e">
        <f ca="1">_xll.BDH($C$253,"CASH_FLOW_GROWTH","FQ4 2018","FQ4 2018","Currency=INR","Period=FQ","BEST_FPERIOD_OVERRIDE=FQ","FILING_STATUS=OR","EQY_CONSOLIDATED=Y","Sort=A","Dates=H","DateFormat=P","Fill=—","Direction=H","UseDPDF=Y")</f>
        <v>#NAME?</v>
      </c>
      <c r="AM277" s="2" t="e">
        <f ca="1">_xll.BDH($C$253,"GEO_GROW_NET_SALES","FQ4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277" s="2" t="e">
        <f ca="1">_xll.BDH($C$253,"GEO_GROW_EBITDA","FQ4 2018","FQ4 2018","Currency=INR","Period=FQ","BEST_FPERIOD_OVERRIDE=FQ","FILING_STATUS=OR","EQY_CONSOLIDATED=Y","FA_ADJUSTED=GAAP","Sort=A","Dates=H","DateFormat=P","Fill=—","Direction=H","UseDPDF=Y")</f>
        <v>#NAME?</v>
      </c>
      <c r="AO277" s="2" t="e">
        <f ca="1">_xll.BDH($C$253,"GEO_GROW_OPER_INC","FQ4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277" s="2" t="e">
        <f ca="1">_xll.BDH($C$253,"NET_INCOME_TO_COMMON_5_YR_GROWTH","FQ4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277" s="2" t="e">
        <f ca="1">_xll.BDH($C$253,"5Y_GEO_GROWTH_DILUTED_EPS","FQ4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277" s="2" t="e">
        <f ca="1">_xll.BDH($C$253,"GEO_GROW_DVD_PER_SH","FQ4 2018","FQ4 2018","Currency=INR","Period=FQ","BEST_FPERIOD_OVERRIDE=FQ","FILING_STATUS=OR","EQY_CONSOLIDATED=Y","Sort=A","Dates=H","DateFormat=P","Fill=—","Direction=H","UseDPDF=Y")</f>
        <v>#NAME?</v>
      </c>
      <c r="AS277" s="2" t="e">
        <f ca="1">_xll.BDH($C$253,"ACCOUNTS_RECEIVABLE_5_YR_GROWTH","FQ4 2018","FQ4 2018","Currency=INR","Period=FQ","BEST_FPERIOD_OVERRIDE=FQ","FILING_STATUS=OR","EQY_CONSOLIDATED=Y","Sort=A","Dates=H","DateFormat=P","Fill=—","Direction=H","UseDPDF=Y")</f>
        <v>#NAME?</v>
      </c>
      <c r="AT277" s="2" t="e">
        <f ca="1">_xll.BDH($C$253,"INVENTORY_5_YEAR_GROWTH","FQ4 2018","FQ4 2018","Currency=INR","Period=FQ","BEST_FPERIOD_OVERRIDE=FQ","FILING_STATUS=OR","EQY_CONSOLIDATED=Y","Sort=A","Dates=H","DateFormat=P","Fill=—","Direction=H","UseDPDF=Y")</f>
        <v>#NAME?</v>
      </c>
      <c r="AU277" s="2" t="e">
        <f ca="1">_xll.BDH($C$253,"NET_FIXED_ASSETS_5_YEAR_GROWTH","FQ4 2018","FQ4 2018","Currency=INR","Period=FQ","BEST_FPERIOD_OVERRIDE=FQ","FILING_STATUS=OR","EQY_CONSOLIDATED=Y","Sort=A","Dates=H","DateFormat=P","Fill=—","Direction=H","UseDPDF=Y")</f>
        <v>#NAME?</v>
      </c>
      <c r="AV277" s="2" t="e">
        <f ca="1">_xll.BDH($C$253,"GEO_GROW_TOT_ASSET","FQ4 2018","FQ4 2018","Currency=INR","Period=FQ","BEST_FPERIOD_OVERRIDE=FQ","FILING_STATUS=OR","EQY_CONSOLIDATED=Y","Sort=A","Dates=H","DateFormat=P","Fill=—","Direction=H","UseDPDF=Y")</f>
        <v>#NAME?</v>
      </c>
      <c r="AW277" s="2" t="e">
        <f ca="1">_xll.BDH($C$253,"MODIFIED_WORKING_CPTL_5YR_GRWTH","FQ4 2018","FQ4 2018","Currency=INR","Period=FQ","BEST_FPERIOD_OVERRIDE=FQ","FILING_STATUS=OR","EQY_CONSOLIDATED=Y","Sort=A","Dates=H","DateFormat=P","Fill=—","Direction=H","UseDPDF=Y")</f>
        <v>#NAME?</v>
      </c>
      <c r="AX277" s="2" t="e">
        <f ca="1">_xll.BDH($C$253,"WORKING_CAPITAL_5_YEAR_GROWTH","FQ4 2018","FQ4 2018","Currency=INR","Period=FQ","BEST_FPERIOD_OVERRIDE=FQ","FILING_STATUS=OR","EQY_CONSOLIDATED=Y","Sort=A","Dates=H","DateFormat=P","Fill=—","Direction=H","UseDPDF=Y")</f>
        <v>#NAME?</v>
      </c>
      <c r="AY277" s="2" t="e">
        <f ca="1">_xll.BDH($C$253,"ACCOUNTS_PAYABLE_5_YEAR_GROWTH","FQ4 2018","FQ4 2018","Currency=INR","Period=FQ","BEST_FPERIOD_OVERRIDE=FQ","FILING_STATUS=OR","EQY_CONSOLIDATED=Y","Sort=A","Dates=H","DateFormat=P","Fill=—","Direction=H","UseDPDF=Y")</f>
        <v>#NAME?</v>
      </c>
      <c r="AZ277" s="2" t="e">
        <f ca="1">_xll.BDH($C$253,"SHORT_TERM_DEBT_5_YEAR_GROWTH","FQ4 2018","FQ4 2018","Currency=INR","Period=FQ","BEST_FPERIOD_OVERRIDE=FQ","FILING_STATUS=OR","EQY_CONSOLIDATED=Y","Sort=A","Dates=H","DateFormat=P","Fill=—","Direction=H","UseDPDF=Y")</f>
        <v>#NAME?</v>
      </c>
      <c r="BA277" s="2" t="e">
        <f ca="1">_xll.BDH($C$253,"TOTAL_DEBT_5_YEAR_GROWTH","FQ4 2018","FQ4 2018","Currency=INR","Period=FQ","BEST_FPERIOD_OVERRIDE=FQ","FILING_STATUS=OR","EQY_CONSOLIDATED=Y","Sort=A","Dates=H","DateFormat=P","Fill=—","Direction=H","UseDPDF=Y")</f>
        <v>#NAME?</v>
      </c>
      <c r="BB277" s="2" t="e">
        <f ca="1">_xll.BDH($C$253,"GEO_GROW_TOT_SHRHLDR_EQY","FQ4 2018","FQ4 2018","Currency=INR","Period=FQ","BEST_FPERIOD_OVERRIDE=FQ","FILING_STATUS=OR","EQY_CONSOLIDATED=Y","Sort=A","Dates=H","DateFormat=P","Fill=—","Direction=H","UseDPDF=Y")</f>
        <v>#NAME?</v>
      </c>
      <c r="BC277" s="2" t="e">
        <f ca="1">_xll.BDH($C$253,"TOTAL_CAPITAL_5_YEAR_GROWTH","FQ4 2018","FQ4 2018","Currency=INR","Period=FQ","BEST_FPERIOD_OVERRIDE=FQ","FILING_STATUS=OR","EQY_CONSOLIDATED=Y","Sort=A","Dates=H","DateFormat=P","Fill=—","Direction=H","UseDPDF=Y")</f>
        <v>#NAME?</v>
      </c>
      <c r="BD277" s="2" t="e">
        <f ca="1">_xll.BDH($C$253,"GEO_GROW_BOOK_VAL","FQ4 2018","FQ4 2018","Currency=INR","Period=FQ","BEST_FPERIOD_OVERRIDE=FQ","FILING_STATUS=OR","EQY_CONSOLIDATED=Y","Sort=A","Dates=H","DateFormat=P","Fill=—","Direction=H","UseDPDF=Y")</f>
        <v>#NAME?</v>
      </c>
      <c r="BE277" s="2" t="e">
        <f ca="1">_xll.BDH($C$253,"GEO_GROW_CASH_OPER_ACT","FQ4 2018","FQ4 2018","Currency=INR","Period=FQ","BEST_FPERIOD_OVERRIDE=FQ","FILING_STATUS=OR","EQY_CONSOLIDATED=Y","Sort=A","Dates=H","DateFormat=P","Fill=—","Direction=H","UseDPDF=Y")</f>
        <v>#NAME?</v>
      </c>
      <c r="BF277" s="2" t="e">
        <f ca="1">_xll.BDH($C$253,"REVENUE_SEQUENTIAL_GROWTH","FQ4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277" s="2" t="e">
        <f ca="1">_xll.BDH($C$253,"EBITDA_SEQUENTIAL_GROWTH","FQ4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277" s="2" t="e">
        <f ca="1">_xll.BDH($C$253,"OPERATING_INCOME_SEQ_GROWTH","FQ4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277" s="2" t="e">
        <f ca="1">_xll.BDH($C$253,"NET_INCOME_TO_COMMON_SEQ_GROWTH","FQ4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277" s="2" t="e">
        <f ca="1">_xll.BDH($C$253,"EPS_DILUTED_SEQUENTIAL_GROWTH","FQ4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277" s="2" t="e">
        <f ca="1">_xll.BDH($C$253,"DPS_SEQUENTIAL_GROWTH","FQ4 2018","FQ4 2018","Currency=INR","Period=FQ","BEST_FPERIOD_OVERRIDE=FQ","FILING_STATUS=OR","EQY_CONSOLIDATED=Y","Sort=A","Dates=H","DateFormat=P","Fill=—","Direction=H","UseDPDF=Y")</f>
        <v>#NAME?</v>
      </c>
      <c r="BL277" s="2" t="e">
        <f ca="1">_xll.BDH($C$253,"ACCOUNTS_RECEIVABLE_SEQ_GROWTH","FQ4 2018","FQ4 2018","Currency=INR","Period=FQ","BEST_FPERIOD_OVERRIDE=FQ","FILING_STATUS=OR","EQY_CONSOLIDATED=Y","Sort=A","Dates=H","DateFormat=P","Fill=—","Direction=H","UseDPDF=Y")</f>
        <v>#NAME?</v>
      </c>
      <c r="BM277" s="2" t="e">
        <f ca="1">_xll.BDH($C$253,"INVENTORY_SEQUENTIAL_GROWTH","FQ4 2018","FQ4 2018","Currency=INR","Period=FQ","BEST_FPERIOD_OVERRIDE=FQ","FILING_STATUS=OR","EQY_CONSOLIDATED=Y","Sort=A","Dates=H","DateFormat=P","Fill=—","Direction=H","UseDPDF=Y")</f>
        <v>#NAME?</v>
      </c>
      <c r="BN277" s="2" t="e">
        <f ca="1">_xll.BDH($C$253,"FIXED_ASSETS_SEQUENTIAL_GROWTH","FQ4 2018","FQ4 2018","Currency=INR","Period=FQ","BEST_FPERIOD_OVERRIDE=FQ","FILING_STATUS=OR","EQY_CONSOLIDATED=Y","Sort=A","Dates=H","DateFormat=P","Fill=—","Direction=H","UseDPDF=Y")</f>
        <v>#NAME?</v>
      </c>
      <c r="BO277" s="2" t="e">
        <f ca="1">_xll.BDH($C$253,"TOTAL_ASSETS_SEQUENTIAL_GROWTH","FQ4 2018","FQ4 2018","Currency=INR","Period=FQ","BEST_FPERIOD_OVERRIDE=FQ","FILING_STATUS=OR","EQY_CONSOLIDATED=Y","Sort=A","Dates=H","DateFormat=P","Fill=—","Direction=H","UseDPDF=Y")</f>
        <v>#NAME?</v>
      </c>
      <c r="BP277" s="2" t="e">
        <f ca="1">_xll.BDH($C$253,"MODIFIED_WORKING_CPTL_SEQ_GRWTH","FQ4 2018","FQ4 2018","Currency=INR","Period=FQ","BEST_FPERIOD_OVERRIDE=FQ","FILING_STATUS=OR","EQY_CONSOLIDATED=Y","Sort=A","Dates=H","DateFormat=P","Fill=—","Direction=H","UseDPDF=Y")</f>
        <v>#NAME?</v>
      </c>
      <c r="BQ277" s="2" t="e">
        <f ca="1">_xll.BDH($C$253,"WORKING_CAPITAL_SEQ_GROWTH","FQ4 2018","FQ4 2018","Currency=INR","Period=FQ","BEST_FPERIOD_OVERRIDE=FQ","FILING_STATUS=OR","EQY_CONSOLIDATED=Y","Sort=A","Dates=H","DateFormat=P","Fill=—","Direction=H","UseDPDF=Y")</f>
        <v>#NAME?</v>
      </c>
      <c r="BR277" s="2" t="e">
        <f ca="1">_xll.BDH($C$253,"ACCOUNTS_PAYABLE_SEQ_GROWTH","FQ4 2018","FQ4 2018","Currency=INR","Period=FQ","BEST_FPERIOD_OVERRIDE=FQ","FILING_STATUS=OR","EQY_CONSOLIDATED=Y","Sort=A","Dates=H","DateFormat=P","Fill=—","Direction=H","UseDPDF=Y")</f>
        <v>#NAME?</v>
      </c>
      <c r="BS277" s="2" t="e">
        <f ca="1">_xll.BDH($C$253,"ST_DEBT_SEQUENTIAL_GROWTH","FQ4 2018","FQ4 2018","Currency=INR","Period=FQ","BEST_FPERIOD_OVERRIDE=FQ","FILING_STATUS=OR","EQY_CONSOLIDATED=Y","Sort=A","Dates=H","DateFormat=P","Fill=—","Direction=H","UseDPDF=Y")</f>
        <v>#NAME?</v>
      </c>
      <c r="BT277" s="2" t="e">
        <f ca="1">_xll.BDH($C$253,"TOTAL_DEBT_SEQUENTIAL_GROWTH","FQ4 2018","FQ4 2018","Currency=INR","Period=FQ","BEST_FPERIOD_OVERRIDE=FQ","FILING_STATUS=OR","EQY_CONSOLIDATED=Y","Sort=A","Dates=H","DateFormat=P","Fill=—","Direction=H","UseDPDF=Y")</f>
        <v>#NAME?</v>
      </c>
      <c r="BU277" s="2" t="e">
        <f ca="1">_xll.BDH($C$253,"TOTAL_EQUITY_SEQUENTIAL_GROWTH","FQ4 2018","FQ4 2018","Currency=INR","Period=FQ","BEST_FPERIOD_OVERRIDE=FQ","FILING_STATUS=OR","EQY_CONSOLIDATED=Y","Sort=A","Dates=H","DateFormat=P","Fill=—","Direction=H","UseDPDF=Y")</f>
        <v>#NAME?</v>
      </c>
      <c r="BV277" s="2" t="e">
        <f ca="1">_xll.BDH($C$253,"TOTAL_CAPITAL_SEQUENTIAL_GROWTH","FQ4 2018","FQ4 2018","Currency=INR","Period=FQ","BEST_FPERIOD_OVERRIDE=FQ","FILING_STATUS=OR","EQY_CONSOLIDATED=Y","Sort=A","Dates=H","DateFormat=P","Fill=—","Direction=H","UseDPDF=Y")</f>
        <v>#NAME?</v>
      </c>
      <c r="BW277" s="2" t="e">
        <f ca="1">_xll.BDH($C$253,"BPS_SEQUENTIAL_GROWTH","FQ4 2018","FQ4 2018","Currency=INR","Period=FQ","BEST_FPERIOD_OVERRIDE=FQ","FILING_STATUS=OR","EQY_CONSOLIDATED=Y","Sort=A","Dates=H","DateFormat=P","Fill=—","Direction=H","UseDPDF=Y")</f>
        <v>#NAME?</v>
      </c>
      <c r="BX277" s="2" t="e">
        <f ca="1">_xll.BDH($C$253,"CFO_SEQUENTIAL_GROWTH","FQ4 2018","FQ4 2018","Currency=INR","Period=FQ","BEST_FPERIOD_OVERRIDE=FQ","FILING_STATUS=OR","EQY_CONSOLIDATED=Y","Sort=A","Dates=H","DateFormat=P","Fill=—","Direction=H","UseDPDF=Y")</f>
        <v>#NAME?</v>
      </c>
      <c r="BY277" s="3" t="e">
        <f ca="1">_xll.BDH($C$253,"SHORT_AND_LONG_TERM_DEBT","FQ4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277" s="3" t="e">
        <f ca="1">_xll.BDH($C$253,"BS_ST_BORROW","FQ4 2018","FQ4 2018","Currency=INR","Period=FQ","BEST_FPERIOD_OVERRIDE=FQ","FILING_STATUS=OR","EQY_CONSOLIDATED=Y","SCALING_FORMAT=MLN","Sort=A","Dates=H","DateFormat=P","Fill=—","Direction=H","UseDPDF=Y")</f>
        <v>#NAME?</v>
      </c>
      <c r="CA277" s="3" t="e">
        <f ca="1">_xll.BDH($C$253,"BS_LT_BORROW","FQ4 2018","FQ4 2018","Currency=INR","Period=FQ","BEST_FPERIOD_OVERRIDE=FQ","FILING_STATUS=OR","EQY_CONSOLIDATED=Y","SCALING_FORMAT=MLN","Sort=A","Dates=H","DateFormat=P","Fill=—","Direction=H","UseDPDF=Y")</f>
        <v>#NAME?</v>
      </c>
      <c r="CB277" s="2" t="e">
        <f ca="1">_xll.BDH($C$253,"TOT_DEBT_TO_EBITDA","FQ4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277" s="2" t="e">
        <f ca="1">_xll.BDH($C$253,"NET_DEBT_TO_EBITDA","FQ4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277" s="2" t="e">
        <f ca="1">_xll.BDH($C$253,"TOTAL_DEBT_TO_EBIT","FQ4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277" s="2" t="e">
        <f ca="1">_xll.BDH($C$253,"NET_DEBT_TO_EBIT","FQ4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277" s="2" t="e">
        <f ca="1">_xll.BDH($C$253,"EBITDA_TO_INTEREST_EXPN","FQ4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277" s="2" t="e">
        <f ca="1">_xll.BDH($C$253,"COM_EQY_TO_TOT_ASSET","FQ4 2018","FQ4 2018","Currency=INR","Period=FQ","BEST_FPERIOD_OVERRIDE=FQ","FILING_STATUS=OR","EQY_CONSOLIDATED=Y","Sort=A","Dates=H","DateFormat=P","Fill=—","Direction=H","UseDPDF=Y")</f>
        <v>#NAME?</v>
      </c>
      <c r="CH277" s="2" t="e">
        <f ca="1">_xll.BDH($C$253,"LT_DEBT_TO_TOT_EQY","FQ4 2018","FQ4 2018","Currency=INR","Period=FQ","BEST_FPERIOD_OVERRIDE=FQ","FILING_STATUS=OR","EQY_CONSOLIDATED=Y","Sort=A","Dates=H","DateFormat=P","Fill=—","Direction=H","UseDPDF=Y")</f>
        <v>#NAME?</v>
      </c>
      <c r="CI277" s="2" t="e">
        <f ca="1">_xll.BDH($C$253,"LT_DEBT_TO_TOT_CAP","FQ4 2018","FQ4 2018","Currency=INR","Period=FQ","BEST_FPERIOD_OVERRIDE=FQ","FILING_STATUS=OR","EQY_CONSOLIDATED=Y","Sort=A","Dates=H","DateFormat=P","Fill=—","Direction=H","UseDPDF=Y")</f>
        <v>#NAME?</v>
      </c>
      <c r="CJ277" s="2" t="e">
        <f ca="1">_xll.BDH($C$253,"LT_DEBT_TO_TOT_ASSET","FQ4 2018","FQ4 2018","Currency=INR","Period=FQ","BEST_FPERIOD_OVERRIDE=FQ","FILING_STATUS=OR","EQY_CONSOLIDATED=Y","Sort=A","Dates=H","DateFormat=P","Fill=—","Direction=H","UseDPDF=Y")</f>
        <v>#NAME?</v>
      </c>
      <c r="CK277" s="2" t="e">
        <f ca="1">_xll.BDH($C$253,"TOT_DEBT_TO_TOT_EQY","FQ4 2018","FQ4 2018","Currency=INR","Period=FQ","BEST_FPERIOD_OVERRIDE=FQ","FILING_STATUS=OR","EQY_CONSOLIDATED=Y","Sort=A","Dates=H","DateFormat=P","Fill=—","Direction=H","UseDPDF=Y")</f>
        <v>#NAME?</v>
      </c>
      <c r="CL277" s="2" t="e">
        <f ca="1">_xll.BDH($C$253,"TOT_DEBT_TO_TOT_CAP","FQ4 2018","FQ4 2018","Currency=INR","Period=FQ","BEST_FPERIOD_OVERRIDE=FQ","FILING_STATUS=OR","EQY_CONSOLIDATED=Y","Sort=A","Dates=H","DateFormat=P","Fill=—","Direction=H","UseDPDF=Y")</f>
        <v>#NAME?</v>
      </c>
      <c r="CM277" s="2" t="e">
        <f ca="1">_xll.BDH($C$253,"TOT_DEBT_TO_TOT_ASSET","FQ4 2018","FQ4 2018","Currency=INR","Period=FQ","BEST_FPERIOD_OVERRIDE=FQ","FILING_STATUS=OR","EQY_CONSOLIDATED=Y","Sort=A","Dates=H","DateFormat=P","Fill=—","Direction=H","UseDPDF=Y")</f>
        <v>#NAME?</v>
      </c>
      <c r="CN277" s="2" t="e">
        <f ca="1">_xll.BDH($C$253,"NET_DEBT_TO_SHRHLDR_EQTY","FQ4 2018","FQ4 2018","Currency=INR","Period=FQ","BEST_FPERIOD_OVERRIDE=FQ","FILING_STATUS=OR","EQY_CONSOLIDATED=Y","Sort=A","Dates=H","DateFormat=P","Fill=—","Direction=H","UseDPDF=Y")</f>
        <v>#NAME?</v>
      </c>
      <c r="CO277" s="2" t="e">
        <f ca="1">_xll.BDH($C$253,"NET_DEBT_%_CAPITAL","FQ4 2018","FQ4 2018","Currency=INR","Period=FQ","BEST_FPERIOD_OVERRIDE=FQ","FILING_STATUS=OR","EQY_CONSOLIDATED=Y","Sort=A","Dates=H","DateFormat=P","Fill=—","Direction=H","UseDPDF=Y")</f>
        <v>#NAME?</v>
      </c>
      <c r="CP277" s="3" t="e">
        <f ca="1">_xll.BDH($C$253,"EBITDA","FQ4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277" s="3" t="e">
        <f ca="1">_xll.BDH($C$253,"EBITDA_AFTER_CAPEX","FQ4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277" s="3" t="e">
        <f ca="1">_xll.BDH($C$253,"IS_OPER_INC","FQ4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277" s="2" t="e">
        <f ca="1">_xll.BDH($C$253,"CASH_RATIO","FQ4 2018","FQ4 2018","Currency=INR","Period=FQ","BEST_FPERIOD_OVERRIDE=FQ","FILING_STATUS=OR","EQY_CONSOLIDATED=Y","Sort=A","Dates=H","DateFormat=P","Fill=—","Direction=H","UseDPDF=Y")</f>
        <v>#NAME?</v>
      </c>
      <c r="CT277" s="2" t="e">
        <f ca="1">_xll.BDH($C$253,"CUR_RATIO","FQ4 2018","FQ4 2018","Currency=INR","Period=FQ","BEST_FPERIOD_OVERRIDE=FQ","FILING_STATUS=OR","EQY_CONSOLIDATED=Y","Sort=A","Dates=H","DateFormat=P","Fill=—","Direction=H","UseDPDF=Y")</f>
        <v>#NAME?</v>
      </c>
      <c r="CU277" s="2" t="e">
        <f ca="1">_xll.BDH($C$253,"QUICK_RATIO","FQ4 2018","FQ4 2018","Currency=INR","Period=FQ","BEST_FPERIOD_OVERRIDE=FQ","FILING_STATUS=OR","EQY_CONSOLIDATED=Y","Sort=A","Dates=H","DateFormat=P","Fill=—","Direction=H","UseDPDF=Y")</f>
        <v>#NAME?</v>
      </c>
      <c r="CV277" s="2" t="e">
        <f ca="1">_xll.BDH($C$253,"ALTMAN_Z_SCORE","FQ4 2018","FQ4 2018","Currency=INR","Period=FQ","BEST_FPERIOD_OVERRIDE=FQ","FILING_STATUS=OR","EQY_CONSOLIDATED=Y","Sort=A","Dates=H","DateFormat=P","Fill=—","Direction=H","UseDPDF=Y")</f>
        <v>#NAME?</v>
      </c>
      <c r="CW277" s="4" t="e">
        <f ca="1">_xll.BDH($C$253,"ACCT_RCV_TURN","FQ4 2018","FQ4 2018","Currency=INR","Period=FQ","BEST_FPERIOD_OVERRIDE=FQ","FILING_STATUS=OR","EQY_CONSOLIDATED=Y","FA_ADJUSTED=GAAP","Sort=A","Dates=H","DateFormat=P","Fill=—","Direction=H","UseDPDF=Y")</f>
        <v>#NAME?</v>
      </c>
      <c r="CX277" s="2" t="e">
        <f ca="1">_xll.BDH($C$253,"ACCT_RCV_DAYS","FQ4 2018","FQ4 2018","Currency=INR","Period=FQ","BEST_FPERIOD_OVERRIDE=FQ","FILING_STATUS=OR","EQY_CONSOLIDATED=Y","FA_ADJUSTED=GAAP","Sort=A","Dates=H","DateFormat=P","Fill=—","Direction=H","UseDPDF=Y")</f>
        <v>#NAME?</v>
      </c>
      <c r="CY277" s="4" t="e">
        <f ca="1">_xll.BDH($C$253,"INVENT_TURN","FQ4 2018","FQ4 2018","Currency=INR","Period=FQ","BEST_FPERIOD_OVERRIDE=FQ","FILING_STATUS=OR","EQY_CONSOLIDATED=Y","FA_ADJUSTED=GAAP","Sort=A","Dates=H","DateFormat=P","Fill=—","Direction=H","UseDPDF=Y")</f>
        <v>#NAME?</v>
      </c>
      <c r="CZ277" s="2" t="e">
        <f ca="1">_xll.BDH($C$253,"INVENT_DAYS","FQ4 2018","FQ4 2018","Currency=INR","Period=FQ","BEST_FPERIOD_OVERRIDE=FQ","FILING_STATUS=OR","EQY_CONSOLIDATED=Y","FA_ADJUSTED=GAAP","Sort=A","Dates=H","DateFormat=P","Fill=—","Direction=H","UseDPDF=Y")</f>
        <v>#NAME?</v>
      </c>
      <c r="DA277" s="4" t="e">
        <f ca="1">_xll.BDH($C$253,"ACCOUNTS_PAYABLE_TURNOVER","FQ4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277" s="2" t="e">
        <f ca="1">_xll.BDH($C$253,"ACCOUNTS_PAYABLE_TURNOVER_DAYS","FQ4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277" s="4" t="e">
        <f ca="1">_xll.BDH($C$253,"CASH_CONVERSION_CYCLE","FQ4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277" s="4" t="e">
        <f ca="1">_xll.BDH($C$253,"INV_TO_CASH_DAYS","FQ4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277" s="5" t="e">
        <f ca="1">_xll.BDH($C$253,"BS_INVENTORIES","FQ4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277" s="3" t="e">
        <f ca="1">_xll.BDH($C$253,"INVTRY_RAW_MATERIALS","FQ4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277" s="3" t="e">
        <f ca="1">_xll.BDH($C$253,"INVTRY_IN_PROGRESS","FQ4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277" s="3" t="e">
        <f ca="1">_xll.BDH($C$253,"INVTRY_FINISHED_GOODS","FQ4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277" s="3" t="e">
        <f ca="1">_xll.BDH($C$253,"BS_OTHER_INV","FQ4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278" spans="1:113" x14ac:dyDescent="0.3">
      <c r="A278" s="6">
        <v>87</v>
      </c>
      <c r="B278" s="6" t="s">
        <v>106</v>
      </c>
      <c r="C278" s="6" t="s">
        <v>107</v>
      </c>
      <c r="D278" s="6" t="s">
        <v>76</v>
      </c>
      <c r="E278" t="s">
        <v>77</v>
      </c>
      <c r="F278" t="e">
        <f ca="1">_xll.BDH($C$278,"RETURN_COM_EQY","FY 2014","FY 2014","Currency=INR","Period=FY","BEST_FPERIOD_OVERRIDE=FY","FILING_STATUS=OR","EQY_CONSOLIDATED=Y","FA_ADJUSTED=GAAP","Sort=A","Dates=H","DateFormat=P","Fill=—","Direction=H","UseDPDF=Y")</f>
        <v>#NAME?</v>
      </c>
      <c r="G278" t="e">
        <f ca="1">_xll.BDH($C$278,"RETURN_ON_ASSET","FY 2014","FY 2014","Currency=INR","Period=FY","BEST_FPERIOD_OVERRIDE=FY","FILING_STATUS=OR","EQY_CONSOLIDATED=Y","FA_ADJUSTED=GAAP","Sort=A","Dates=H","DateFormat=P","Fill=—","Direction=H","UseDPDF=Y")</f>
        <v>#NAME?</v>
      </c>
      <c r="H278" t="e">
        <f ca="1">_xll.BDH($C$278,"RETURN_ON_CAP","FY 2014","FY 2014","Currency=INR","Period=FY","BEST_FPERIOD_OVERRIDE=FY","FILING_STATUS=OR","EQY_CONSOLIDATED=Y","FA_ADJUSTED=GAAP","Sort=A","Dates=H","DateFormat=P","Fill=—","Direction=H","UseDPDF=Y")</f>
        <v>#NAME?</v>
      </c>
      <c r="I278" t="e">
        <f ca="1">_xll.BDH($C$278,"RETURN_ON_INV_CAPITAL","FY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278" t="e">
        <f ca="1">_xll.BDH($C$278,"EBITDA_TO_REVENUE","FY 2014","FY 2014","Currency=INR","Period=FY","BEST_FPERIOD_OVERRIDE=FY","FILING_STATUS=OR","EQY_CONSOLIDATED=Y","FA_ADJUSTED=GAAP","Sort=A","Dates=H","DateFormat=P","Fill=—","Direction=H","UseDPDF=Y")</f>
        <v>#NAME?</v>
      </c>
      <c r="K278" t="e">
        <f ca="1">_xll.BDH($C$278,"OPER_MARGIN","FY 2014","FY 2014","Currency=INR","Period=FY","BEST_FPERIOD_OVERRIDE=FY","FILING_STATUS=OR","EQY_CONSOLIDATED=Y","FA_ADJUSTED=GAAP","Sort=A","Dates=H","DateFormat=P","Fill=—","Direction=H","UseDPDF=Y")</f>
        <v>#NAME?</v>
      </c>
      <c r="L278" t="e">
        <f ca="1">_xll.BDH($C$278,"INCREMENTAL_OPERATING_MARGIN","FY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278" t="e">
        <f ca="1">_xll.BDH($C$278,"PRETAX_INC_TO_NET_SALES","FY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278" t="e">
        <f ca="1">_xll.BDH($C$278,"INC_BEF_XO_ITEMS_TO_NET_SALES","FY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278" t="e">
        <f ca="1">_xll.BDH($C$278,"PROF_MARGIN","FY 2014","FY 2014","Currency=INR","Period=FY","BEST_FPERIOD_OVERRIDE=FY","FILING_STATUS=OR","EQY_CONSOLIDATED=Y","FA_ADJUSTED=GAAP","Sort=A","Dates=H","DateFormat=P","Fill=—","Direction=H","UseDPDF=Y")</f>
        <v>#NAME?</v>
      </c>
      <c r="P278" t="e">
        <f ca="1">_xll.BDH($C$278,"NET_INCOME_TO_COMMON_MARGIN","FY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278" t="e">
        <f ca="1">_xll.BDH($C$278,"EFF_TAX_RATE","FY 2014","FY 2014","Currency=INR","Period=FY","BEST_FPERIOD_OVERRIDE=FY","FILING_STATUS=OR","EQY_CONSOLIDATED=Y","FA_ADJUSTED=GAAP","Sort=A","Dates=H","DateFormat=P","Fill=—","Direction=H","UseDPDF=Y")</f>
        <v>#NAME?</v>
      </c>
      <c r="R278" t="e">
        <f ca="1">_xll.BDH($C$278,"DVD_PAYOUT_RATIO","FY 2014","FY 2014","Currency=INR","Period=FY","BEST_FPERIOD_OVERRIDE=FY","FILING_STATUS=OR","EQY_CONSOLIDATED=Y","FA_ADJUSTED=GAAP","Sort=A","Dates=H","DateFormat=P","Fill=—","Direction=H","UseDPDF=Y")</f>
        <v>#NAME?</v>
      </c>
      <c r="S278" t="e">
        <f ca="1">_xll.BDH($C$278,"SUSTAIN_GROWTH_RT","FY 2014","FY 2014","Currency=INR","Period=FY","BEST_FPERIOD_OVERRIDE=FY","FILING_STATUS=OR","EQY_CONSOLIDATED=Y","FA_ADJUSTED=GAAP","Sort=A","Dates=H","DateFormat=P","Fill=—","Direction=H","UseDPDF=Y")</f>
        <v>#NAME?</v>
      </c>
      <c r="T278" s="2" t="e">
        <f ca="1">_xll.BDH($C$278,"SALES_GROWTH","FY 2014","FY 2014","Currency=INR","Period=FY","BEST_FPERIOD_OVERRIDE=FY","FILING_STATUS=OR","EQY_CONSOLIDATED=Y","FA_ADJUSTED=GAAP","Sort=A","Dates=H","DateFormat=P","Fill=—","Direction=H","UseDPDF=Y")</f>
        <v>#NAME?</v>
      </c>
      <c r="U278" s="2" t="e">
        <f ca="1">_xll.BDH($C$278,"EBITDA_GROWTH","FY 2014","FY 2014","Currency=INR","Period=FY","BEST_FPERIOD_OVERRIDE=FY","FILING_STATUS=OR","EQY_CONSOLIDATED=Y","FA_ADJUSTED=GAAP","Sort=A","Dates=H","DateFormat=P","Fill=—","Direction=H","UseDPDF=Y")</f>
        <v>#NAME?</v>
      </c>
      <c r="V278" s="2" t="e">
        <f ca="1">_xll.BDH($C$278,"OPER_INC_GROWTH","FY 2014","FY 2014","Currency=INR","Period=FY","BEST_FPERIOD_OVERRIDE=FY","FILING_STATUS=OR","EQY_CONSOLIDATED=Y","FA_ADJUSTED=GAAP","Sort=A","Dates=H","DateFormat=P","Fill=—","Direction=H","UseDPDF=Y")</f>
        <v>#NAME?</v>
      </c>
      <c r="W278" s="2" t="e">
        <f ca="1">_xll.BDH($C$278,"EARN_FOR_COM_GROWTH","FY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278" s="2" t="e">
        <f ca="1">_xll.BDH($C$278,"DILUTED_EPS_AFT_XO_ITEMS_GROWTH","FY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278" s="2" t="e">
        <f ca="1">_xll.BDH($C$278,"DIVIDEND_PER_SHARE_1_YEAR_GROWTH","FY 2014","FY 2014","Currency=INR","Period=FY","BEST_FPERIOD_OVERRIDE=FY","FILING_STATUS=OR","EQY_CONSOLIDATED=Y","Sort=A","Dates=H","DateFormat=P","Fill=—","Direction=H","UseDPDF=Y")</f>
        <v>#NAME?</v>
      </c>
      <c r="Z278" s="2" t="e">
        <f ca="1">_xll.BDH($C$278,"ACCOUNTS_RECEIVABLE_GROWTH","FY 2014","FY 2014","Currency=INR","Period=FY","BEST_FPERIOD_OVERRIDE=FY","FILING_STATUS=OR","EQY_CONSOLIDATED=Y","Sort=A","Dates=H","DateFormat=P","Fill=—","Direction=H","UseDPDF=Y")</f>
        <v>#NAME?</v>
      </c>
      <c r="AA278" s="2" t="e">
        <f ca="1">_xll.BDH($C$278,"INVENTORY_GROWTH","FY 2014","FY 2014","Currency=INR","Period=FY","BEST_FPERIOD_OVERRIDE=FY","FILING_STATUS=OR","EQY_CONSOLIDATED=Y","Sort=A","Dates=H","DateFormat=P","Fill=—","Direction=H","UseDPDF=Y")</f>
        <v>#NAME?</v>
      </c>
      <c r="AB278" s="2" t="e">
        <f ca="1">_xll.BDH($C$278,"NET_FIXED_ASSETS_1_YEAR_GROWTH","FY 2014","FY 2014","Currency=INR","Period=FY","BEST_FPERIOD_OVERRIDE=FY","FILING_STATUS=OR","EQY_CONSOLIDATED=Y","Sort=A","Dates=H","DateFormat=P","Fill=—","Direction=H","UseDPDF=Y")</f>
        <v>#NAME?</v>
      </c>
      <c r="AC278" s="2" t="e">
        <f ca="1">_xll.BDH($C$278,"ASSET_GROWTH","FY 2014","FY 2014","Currency=INR","Period=FY","BEST_FPERIOD_OVERRIDE=FY","FILING_STATUS=OR","EQY_CONSOLIDATED=Y","Sort=A","Dates=H","DateFormat=P","Fill=—","Direction=H","UseDPDF=Y")</f>
        <v>#NAME?</v>
      </c>
      <c r="AD278" s="2" t="e">
        <f ca="1">_xll.BDH($C$278,"MODIFIED_WORK_CAP_GROWTH","FY 2014","FY 2014","Currency=INR","Period=FY","BEST_FPERIOD_OVERRIDE=FY","FILING_STATUS=OR","EQY_CONSOLIDATED=Y","Sort=A","Dates=H","DateFormat=P","Fill=—","Direction=H","UseDPDF=Y")</f>
        <v>#NAME?</v>
      </c>
      <c r="AE278" s="2" t="e">
        <f ca="1">_xll.BDH($C$278,"WORK_CAP_GROWTH","FY 2014","FY 2014","Currency=INR","Period=FY","BEST_FPERIOD_OVERRIDE=FY","FILING_STATUS=OR","EQY_CONSOLIDATED=Y","Sort=A","Dates=H","DateFormat=P","Fill=—","Direction=H","UseDPDF=Y")</f>
        <v>#NAME?</v>
      </c>
      <c r="AF278" s="2" t="e">
        <f ca="1">_xll.BDH($C$278,"ACCOUNTS_PAYABLE_GROWTH_1YR","FY 2014","FY 2014","Currency=INR","Period=FY","BEST_FPERIOD_OVERRIDE=FY","FILING_STATUS=OR","EQY_CONSOLIDATED=Y","Sort=A","Dates=H","DateFormat=P","Fill=—","Direction=H","UseDPDF=Y")</f>
        <v>#NAME?</v>
      </c>
      <c r="AG278" s="2" t="e">
        <f ca="1">_xll.BDH($C$278,"SHORT_TERM_DEBT_1_YEAR_GROWTH","FY 2014","FY 2014","Currency=INR","Period=FY","BEST_FPERIOD_OVERRIDE=FY","FILING_STATUS=OR","EQY_CONSOLIDATED=Y","Sort=A","Dates=H","DateFormat=P","Fill=—","Direction=H","UseDPDF=Y")</f>
        <v>#NAME?</v>
      </c>
      <c r="AH278" s="2" t="e">
        <f ca="1">_xll.BDH($C$278,"TOTAL_DEBT_1_YEAR_GROWTH","FY 2014","FY 2014","Currency=INR","Period=FY","BEST_FPERIOD_OVERRIDE=FY","FILING_STATUS=OR","EQY_CONSOLIDATED=Y","Sort=A","Dates=H","DateFormat=P","Fill=—","Direction=H","UseDPDF=Y")</f>
        <v>#NAME?</v>
      </c>
      <c r="AI278" s="2" t="e">
        <f ca="1">_xll.BDH($C$278,"TOTAL_EQUITY_1_YEAR_GROWTH","FY 2014","FY 2014","Currency=INR","Period=FY","BEST_FPERIOD_OVERRIDE=FY","FILING_STATUS=OR","EQY_CONSOLIDATED=Y","Sort=A","Dates=H","DateFormat=P","Fill=—","Direction=H","UseDPDF=Y")</f>
        <v>#NAME?</v>
      </c>
      <c r="AJ278" s="2" t="e">
        <f ca="1">_xll.BDH($C$278,"GROWTH_IN_CAP","FY 2014","FY 2014","Currency=INR","Period=FY","BEST_FPERIOD_OVERRIDE=FY","FILING_STATUS=OR","EQY_CONSOLIDATED=Y","Sort=A","Dates=H","DateFormat=P","Fill=—","Direction=H","UseDPDF=Y")</f>
        <v>#NAME?</v>
      </c>
      <c r="AK278" s="2" t="e">
        <f ca="1">_xll.BDH($C$278,"BVPS_GROWTH","FY 2014","FY 2014","Currency=INR","Period=FY","BEST_FPERIOD_OVERRIDE=FY","FILING_STATUS=OR","EQY_CONSOLIDATED=Y","Sort=A","Dates=H","DateFormat=P","Fill=—","Direction=H","UseDPDF=Y")</f>
        <v>#NAME?</v>
      </c>
      <c r="AL278" s="2" t="e">
        <f ca="1">_xll.BDH($C$278,"CASH_FLOW_GROWTH","FY 2014","FY 2014","Currency=INR","Period=FY","BEST_FPERIOD_OVERRIDE=FY","FILING_STATUS=OR","EQY_CONSOLIDATED=Y","Sort=A","Dates=H","DateFormat=P","Fill=—","Direction=H","UseDPDF=Y")</f>
        <v>#NAME?</v>
      </c>
      <c r="AM278" s="2" t="e">
        <f ca="1">_xll.BDH($C$278,"GEO_GROW_NET_SALES","FY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278" s="2" t="e">
        <f ca="1">_xll.BDH($C$278,"GEO_GROW_EBITDA","FY 2014","FY 2014","Currency=INR","Period=FY","BEST_FPERIOD_OVERRIDE=FY","FILING_STATUS=OR","EQY_CONSOLIDATED=Y","FA_ADJUSTED=GAAP","Sort=A","Dates=H","DateFormat=P","Fill=—","Direction=H","UseDPDF=Y")</f>
        <v>#NAME?</v>
      </c>
      <c r="AO278" s="2" t="e">
        <f ca="1">_xll.BDH($C$278,"GEO_GROW_OPER_INC","FY 2014","FY 2014","Currency=INR","Period=FY","BEST_FPERIOD_OVERRIDE=FY","FILING_STATUS=OR","EQY_CONSOLIDATED=Y","FA_ADJUSTED=GAAP","Sort=A","Dates=H","DateFormat=P","Fill=—","Direction=H","UseDPDF=Y")</f>
        <v>#NAME?</v>
      </c>
      <c r="AP278" s="2" t="e">
        <f ca="1">_xll.BDH($C$278,"NET_INCOME_TO_COMMON_5_YR_GROWTH","FY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278" s="2" t="e">
        <f ca="1">_xll.BDH($C$278,"5Y_GEO_GROWTH_DILUTED_EPS","FY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278" s="2" t="e">
        <f ca="1">_xll.BDH($C$278,"GEO_GROW_DVD_PER_SH","FY 2014","FY 2014","Currency=INR","Period=FY","BEST_FPERIOD_OVERRIDE=FY","FILING_STATUS=OR","EQY_CONSOLIDATED=Y","Sort=A","Dates=H","DateFormat=P","Fill=—","Direction=H","UseDPDF=Y")</f>
        <v>#NAME?</v>
      </c>
      <c r="AS278" s="2" t="e">
        <f ca="1">_xll.BDH($C$278,"ACCOUNTS_RECEIVABLE_5_YR_GROWTH","FY 2014","FY 2014","Currency=INR","Period=FY","BEST_FPERIOD_OVERRIDE=FY","FILING_STATUS=OR","EQY_CONSOLIDATED=Y","Sort=A","Dates=H","DateFormat=P","Fill=—","Direction=H","UseDPDF=Y")</f>
        <v>#NAME?</v>
      </c>
      <c r="AT278" s="2" t="e">
        <f ca="1">_xll.BDH($C$278,"INVENTORY_5_YEAR_GROWTH","FY 2014","FY 2014","Currency=INR","Period=FY","BEST_FPERIOD_OVERRIDE=FY","FILING_STATUS=OR","EQY_CONSOLIDATED=Y","Sort=A","Dates=H","DateFormat=P","Fill=—","Direction=H","UseDPDF=Y")</f>
        <v>#NAME?</v>
      </c>
      <c r="AU278" s="2" t="e">
        <f ca="1">_xll.BDH($C$278,"NET_FIXED_ASSETS_5_YEAR_GROWTH","FY 2014","FY 2014","Currency=INR","Period=FY","BEST_FPERIOD_OVERRIDE=FY","FILING_STATUS=OR","EQY_CONSOLIDATED=Y","Sort=A","Dates=H","DateFormat=P","Fill=—","Direction=H","UseDPDF=Y")</f>
        <v>#NAME?</v>
      </c>
      <c r="AV278" s="2" t="e">
        <f ca="1">_xll.BDH($C$278,"GEO_GROW_TOT_ASSET","FY 2014","FY 2014","Currency=INR","Period=FY","BEST_FPERIOD_OVERRIDE=FY","FILING_STATUS=OR","EQY_CONSOLIDATED=Y","Sort=A","Dates=H","DateFormat=P","Fill=—","Direction=H","UseDPDF=Y")</f>
        <v>#NAME?</v>
      </c>
      <c r="AW278" s="2" t="e">
        <f ca="1">_xll.BDH($C$278,"MODIFIED_WORKING_CPTL_5YR_GRWTH","FY 2014","FY 2014","Currency=INR","Period=FY","BEST_FPERIOD_OVERRIDE=FY","FILING_STATUS=OR","EQY_CONSOLIDATED=Y","Sort=A","Dates=H","DateFormat=P","Fill=—","Direction=H","UseDPDF=Y")</f>
        <v>#NAME?</v>
      </c>
      <c r="AX278" s="2" t="e">
        <f ca="1">_xll.BDH($C$278,"WORKING_CAPITAL_5_YEAR_GROWTH","FY 2014","FY 2014","Currency=INR","Period=FY","BEST_FPERIOD_OVERRIDE=FY","FILING_STATUS=OR","EQY_CONSOLIDATED=Y","Sort=A","Dates=H","DateFormat=P","Fill=—","Direction=H","UseDPDF=Y")</f>
        <v>#NAME?</v>
      </c>
      <c r="AY278" s="2" t="e">
        <f ca="1">_xll.BDH($C$278,"ACCOUNTS_PAYABLE_5_YEAR_GROWTH","FY 2014","FY 2014","Currency=INR","Period=FY","BEST_FPERIOD_OVERRIDE=FY","FILING_STATUS=OR","EQY_CONSOLIDATED=Y","Sort=A","Dates=H","DateFormat=P","Fill=—","Direction=H","UseDPDF=Y")</f>
        <v>#NAME?</v>
      </c>
      <c r="AZ278" s="2" t="e">
        <f ca="1">_xll.BDH($C$278,"SHORT_TERM_DEBT_5_YEAR_GROWTH","FY 2014","FY 2014","Currency=INR","Period=FY","BEST_FPERIOD_OVERRIDE=FY","FILING_STATUS=OR","EQY_CONSOLIDATED=Y","Sort=A","Dates=H","DateFormat=P","Fill=—","Direction=H","UseDPDF=Y")</f>
        <v>#NAME?</v>
      </c>
      <c r="BA278" s="2" t="e">
        <f ca="1">_xll.BDH($C$278,"TOTAL_DEBT_5_YEAR_GROWTH","FY 2014","FY 2014","Currency=INR","Period=FY","BEST_FPERIOD_OVERRIDE=FY","FILING_STATUS=OR","EQY_CONSOLIDATED=Y","Sort=A","Dates=H","DateFormat=P","Fill=—","Direction=H","UseDPDF=Y")</f>
        <v>#NAME?</v>
      </c>
      <c r="BB278" s="2" t="e">
        <f ca="1">_xll.BDH($C$278,"GEO_GROW_TOT_SHRHLDR_EQY","FY 2014","FY 2014","Currency=INR","Period=FY","BEST_FPERIOD_OVERRIDE=FY","FILING_STATUS=OR","EQY_CONSOLIDATED=Y","Sort=A","Dates=H","DateFormat=P","Fill=—","Direction=H","UseDPDF=Y")</f>
        <v>#NAME?</v>
      </c>
      <c r="BC278" s="2" t="e">
        <f ca="1">_xll.BDH($C$278,"TOTAL_CAPITAL_5_YEAR_GROWTH","FY 2014","FY 2014","Currency=INR","Period=FY","BEST_FPERIOD_OVERRIDE=FY","FILING_STATUS=OR","EQY_CONSOLIDATED=Y","Sort=A","Dates=H","DateFormat=P","Fill=—","Direction=H","UseDPDF=Y")</f>
        <v>#NAME?</v>
      </c>
      <c r="BD278" s="2" t="e">
        <f ca="1">_xll.BDH($C$278,"GEO_GROW_BOOK_VAL","FY 2014","FY 2014","Currency=INR","Period=FY","BEST_FPERIOD_OVERRIDE=FY","FILING_STATUS=OR","EQY_CONSOLIDATED=Y","Sort=A","Dates=H","DateFormat=P","Fill=—","Direction=H","UseDPDF=Y")</f>
        <v>#NAME?</v>
      </c>
      <c r="BE278" s="2" t="e">
        <f ca="1">_xll.BDH($C$278,"GEO_GROW_CASH_OPER_ACT","FY 2014","FY 2014","Currency=INR","Period=FY","BEST_FPERIOD_OVERRIDE=FY","FILING_STATUS=OR","EQY_CONSOLIDATED=Y","Sort=A","Dates=H","DateFormat=P","Fill=—","Direction=H","UseDPDF=Y")</f>
        <v>#NAME?</v>
      </c>
      <c r="BF278" s="2" t="e">
        <f ca="1">_xll.BDH($C$278,"REVENUE_SEQUENTIAL_GROWTH","FY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278" s="2" t="e">
        <f ca="1">_xll.BDH($C$278,"EBITDA_SEQUENTIAL_GROWTH","FY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278" s="2" t="e">
        <f ca="1">_xll.BDH($C$278,"OPERATING_INCOME_SEQ_GROWTH","FY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278" s="2" t="e">
        <f ca="1">_xll.BDH($C$278,"NET_INCOME_TO_COMMON_SEQ_GROWTH","FY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278" s="2" t="e">
        <f ca="1">_xll.BDH($C$278,"EPS_DILUTED_SEQUENTIAL_GROWTH","FY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278" s="2" t="e">
        <f ca="1">_xll.BDH($C$278,"DPS_SEQUENTIAL_GROWTH","FY 2014","FY 2014","Currency=INR","Period=FY","BEST_FPERIOD_OVERRIDE=FY","FILING_STATUS=OR","EQY_CONSOLIDATED=Y","Sort=A","Dates=H","DateFormat=P","Fill=—","Direction=H","UseDPDF=Y")</f>
        <v>#NAME?</v>
      </c>
      <c r="BL278" s="2" t="e">
        <f ca="1">_xll.BDH($C$278,"ACCOUNTS_RECEIVABLE_SEQ_GROWTH","FY 2014","FY 2014","Currency=INR","Period=FY","BEST_FPERIOD_OVERRIDE=FY","FILING_STATUS=OR","EQY_CONSOLIDATED=Y","Sort=A","Dates=H","DateFormat=P","Fill=—","Direction=H","UseDPDF=Y")</f>
        <v>#NAME?</v>
      </c>
      <c r="BM278" s="2" t="e">
        <f ca="1">_xll.BDH($C$278,"INVENTORY_SEQUENTIAL_GROWTH","FY 2014","FY 2014","Currency=INR","Period=FY","BEST_FPERIOD_OVERRIDE=FY","FILING_STATUS=OR","EQY_CONSOLIDATED=Y","Sort=A","Dates=H","DateFormat=P","Fill=—","Direction=H","UseDPDF=Y")</f>
        <v>#NAME?</v>
      </c>
      <c r="BN278" s="2" t="e">
        <f ca="1">_xll.BDH($C$278,"FIXED_ASSETS_SEQUENTIAL_GROWTH","FY 2014","FY 2014","Currency=INR","Period=FY","BEST_FPERIOD_OVERRIDE=FY","FILING_STATUS=OR","EQY_CONSOLIDATED=Y","Sort=A","Dates=H","DateFormat=P","Fill=—","Direction=H","UseDPDF=Y")</f>
        <v>#NAME?</v>
      </c>
      <c r="BO278" s="2" t="e">
        <f ca="1">_xll.BDH($C$278,"TOTAL_ASSETS_SEQUENTIAL_GROWTH","FY 2014","FY 2014","Currency=INR","Period=FY","BEST_FPERIOD_OVERRIDE=FY","FILING_STATUS=OR","EQY_CONSOLIDATED=Y","Sort=A","Dates=H","DateFormat=P","Fill=—","Direction=H","UseDPDF=Y")</f>
        <v>#NAME?</v>
      </c>
      <c r="BP278" s="2" t="e">
        <f ca="1">_xll.BDH($C$278,"MODIFIED_WORKING_CPTL_SEQ_GRWTH","FY 2014","FY 2014","Currency=INR","Period=FY","BEST_FPERIOD_OVERRIDE=FY","FILING_STATUS=OR","EQY_CONSOLIDATED=Y","Sort=A","Dates=H","DateFormat=P","Fill=—","Direction=H","UseDPDF=Y")</f>
        <v>#NAME?</v>
      </c>
      <c r="BQ278" s="2" t="e">
        <f ca="1">_xll.BDH($C$278,"WORKING_CAPITAL_SEQ_GROWTH","FY 2014","FY 2014","Currency=INR","Period=FY","BEST_FPERIOD_OVERRIDE=FY","FILING_STATUS=OR","EQY_CONSOLIDATED=Y","Sort=A","Dates=H","DateFormat=P","Fill=—","Direction=H","UseDPDF=Y")</f>
        <v>#NAME?</v>
      </c>
      <c r="BR278" s="2" t="e">
        <f ca="1">_xll.BDH($C$278,"ACCOUNTS_PAYABLE_SEQ_GROWTH","FY 2014","FY 2014","Currency=INR","Period=FY","BEST_FPERIOD_OVERRIDE=FY","FILING_STATUS=OR","EQY_CONSOLIDATED=Y","Sort=A","Dates=H","DateFormat=P","Fill=—","Direction=H","UseDPDF=Y")</f>
        <v>#NAME?</v>
      </c>
      <c r="BS278" s="2" t="e">
        <f ca="1">_xll.BDH($C$278,"ST_DEBT_SEQUENTIAL_GROWTH","FY 2014","FY 2014","Currency=INR","Period=FY","BEST_FPERIOD_OVERRIDE=FY","FILING_STATUS=OR","EQY_CONSOLIDATED=Y","Sort=A","Dates=H","DateFormat=P","Fill=—","Direction=H","UseDPDF=Y")</f>
        <v>#NAME?</v>
      </c>
      <c r="BT278" s="2" t="e">
        <f ca="1">_xll.BDH($C$278,"TOTAL_DEBT_SEQUENTIAL_GROWTH","FY 2014","FY 2014","Currency=INR","Period=FY","BEST_FPERIOD_OVERRIDE=FY","FILING_STATUS=OR","EQY_CONSOLIDATED=Y","Sort=A","Dates=H","DateFormat=P","Fill=—","Direction=H","UseDPDF=Y")</f>
        <v>#NAME?</v>
      </c>
      <c r="BU278" s="2" t="e">
        <f ca="1">_xll.BDH($C$278,"TOTAL_EQUITY_SEQUENTIAL_GROWTH","FY 2014","FY 2014","Currency=INR","Period=FY","BEST_FPERIOD_OVERRIDE=FY","FILING_STATUS=OR","EQY_CONSOLIDATED=Y","Sort=A","Dates=H","DateFormat=P","Fill=—","Direction=H","UseDPDF=Y")</f>
        <v>#NAME?</v>
      </c>
      <c r="BV278" s="2" t="e">
        <f ca="1">_xll.BDH($C$278,"TOTAL_CAPITAL_SEQUENTIAL_GROWTH","FY 2014","FY 2014","Currency=INR","Period=FY","BEST_FPERIOD_OVERRIDE=FY","FILING_STATUS=OR","EQY_CONSOLIDATED=Y","Sort=A","Dates=H","DateFormat=P","Fill=—","Direction=H","UseDPDF=Y")</f>
        <v>#NAME?</v>
      </c>
      <c r="BW278" s="2" t="e">
        <f ca="1">_xll.BDH($C$278,"BPS_SEQUENTIAL_GROWTH","FY 2014","FY 2014","Currency=INR","Period=FY","BEST_FPERIOD_OVERRIDE=FY","FILING_STATUS=OR","EQY_CONSOLIDATED=Y","Sort=A","Dates=H","DateFormat=P","Fill=—","Direction=H","UseDPDF=Y")</f>
        <v>#NAME?</v>
      </c>
      <c r="BX278" s="2" t="e">
        <f ca="1">_xll.BDH($C$278,"CFO_SEQUENTIAL_GROWTH","FY 2014","FY 2014","Currency=INR","Period=FY","BEST_FPERIOD_OVERRIDE=FY","FILING_STATUS=OR","EQY_CONSOLIDATED=Y","Sort=A","Dates=H","DateFormat=P","Fill=—","Direction=H","UseDPDF=Y")</f>
        <v>#NAME?</v>
      </c>
      <c r="BY278" s="3" t="e">
        <f ca="1">_xll.BDH($C$278,"SHORT_AND_LONG_TERM_DEBT","FY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278" s="3" t="e">
        <f ca="1">_xll.BDH($C$278,"BS_ST_BORROW","FY 2014","FY 2014","Currency=INR","Period=FY","BEST_FPERIOD_OVERRIDE=FY","FILING_STATUS=OR","EQY_CONSOLIDATED=Y","SCALING_FORMAT=MLN","Sort=A","Dates=H","DateFormat=P","Fill=—","Direction=H","UseDPDF=Y")</f>
        <v>#NAME?</v>
      </c>
      <c r="CA278" s="3" t="e">
        <f ca="1">_xll.BDH($C$278,"BS_LT_BORROW","FY 2014","FY 2014","Currency=INR","Period=FY","BEST_FPERIOD_OVERRIDE=FY","FILING_STATUS=OR","EQY_CONSOLIDATED=Y","SCALING_FORMAT=MLN","Sort=A","Dates=H","DateFormat=P","Fill=—","Direction=H","UseDPDF=Y")</f>
        <v>#NAME?</v>
      </c>
      <c r="CB278" s="2" t="e">
        <f ca="1">_xll.BDH($C$278,"TOT_DEBT_TO_EBITDA","FY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278" s="2" t="e">
        <f ca="1">_xll.BDH($C$278,"NET_DEBT_TO_EBITDA","FY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278" s="2" t="e">
        <f ca="1">_xll.BDH($C$278,"TOTAL_DEBT_TO_EBIT","FY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278" s="2" t="e">
        <f ca="1">_xll.BDH($C$278,"NET_DEBT_TO_EBIT","FY 2014","FY 2014","Currency=INR","Period=FY","BEST_FPERIOD_OVERRIDE=FY","FILING_STATUS=OR","EQY_CONSOLIDATED=Y","FA_ADJUSTED=GAAP","Sort=A","Dates=H","DateFormat=P","Fill=—","Direction=H","UseDPDF=Y")</f>
        <v>#NAME?</v>
      </c>
      <c r="CF278" s="2" t="e">
        <f ca="1">_xll.BDH($C$278,"EBITDA_TO_INTEREST_EXPN","FY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278" s="2" t="e">
        <f ca="1">_xll.BDH($C$278,"COM_EQY_TO_TOT_ASSET","FY 2014","FY 2014","Currency=INR","Period=FY","BEST_FPERIOD_OVERRIDE=FY","FILING_STATUS=OR","EQY_CONSOLIDATED=Y","Sort=A","Dates=H","DateFormat=P","Fill=—","Direction=H","UseDPDF=Y")</f>
        <v>#NAME?</v>
      </c>
      <c r="CH278" s="2" t="e">
        <f ca="1">_xll.BDH($C$278,"LT_DEBT_TO_TOT_EQY","FY 2014","FY 2014","Currency=INR","Period=FY","BEST_FPERIOD_OVERRIDE=FY","FILING_STATUS=OR","EQY_CONSOLIDATED=Y","Sort=A","Dates=H","DateFormat=P","Fill=—","Direction=H","UseDPDF=Y")</f>
        <v>#NAME?</v>
      </c>
      <c r="CI278" s="2" t="e">
        <f ca="1">_xll.BDH($C$278,"LT_DEBT_TO_TOT_CAP","FY 2014","FY 2014","Currency=INR","Period=FY","BEST_FPERIOD_OVERRIDE=FY","FILING_STATUS=OR","EQY_CONSOLIDATED=Y","Sort=A","Dates=H","DateFormat=P","Fill=—","Direction=H","UseDPDF=Y")</f>
        <v>#NAME?</v>
      </c>
      <c r="CJ278" s="2" t="e">
        <f ca="1">_xll.BDH($C$278,"LT_DEBT_TO_TOT_ASSET","FY 2014","FY 2014","Currency=INR","Period=FY","BEST_FPERIOD_OVERRIDE=FY","FILING_STATUS=OR","EQY_CONSOLIDATED=Y","Sort=A","Dates=H","DateFormat=P","Fill=—","Direction=H","UseDPDF=Y")</f>
        <v>#NAME?</v>
      </c>
      <c r="CK278" s="2" t="e">
        <f ca="1">_xll.BDH($C$278,"TOT_DEBT_TO_TOT_EQY","FY 2014","FY 2014","Currency=INR","Period=FY","BEST_FPERIOD_OVERRIDE=FY","FILING_STATUS=OR","EQY_CONSOLIDATED=Y","Sort=A","Dates=H","DateFormat=P","Fill=—","Direction=H","UseDPDF=Y")</f>
        <v>#NAME?</v>
      </c>
      <c r="CL278" s="2" t="e">
        <f ca="1">_xll.BDH($C$278,"TOT_DEBT_TO_TOT_CAP","FY 2014","FY 2014","Currency=INR","Period=FY","BEST_FPERIOD_OVERRIDE=FY","FILING_STATUS=OR","EQY_CONSOLIDATED=Y","Sort=A","Dates=H","DateFormat=P","Fill=—","Direction=H","UseDPDF=Y")</f>
        <v>#NAME?</v>
      </c>
      <c r="CM278" s="2" t="e">
        <f ca="1">_xll.BDH($C$278,"TOT_DEBT_TO_TOT_ASSET","FY 2014","FY 2014","Currency=INR","Period=FY","BEST_FPERIOD_OVERRIDE=FY","FILING_STATUS=OR","EQY_CONSOLIDATED=Y","Sort=A","Dates=H","DateFormat=P","Fill=—","Direction=H","UseDPDF=Y")</f>
        <v>#NAME?</v>
      </c>
      <c r="CN278" s="2" t="e">
        <f ca="1">_xll.BDH($C$278,"NET_DEBT_TO_SHRHLDR_EQTY","FY 2014","FY 2014","Currency=INR","Period=FY","BEST_FPERIOD_OVERRIDE=FY","FILING_STATUS=OR","EQY_CONSOLIDATED=Y","Sort=A","Dates=H","DateFormat=P","Fill=—","Direction=H","UseDPDF=Y")</f>
        <v>#NAME?</v>
      </c>
      <c r="CO278" s="2" t="e">
        <f ca="1">_xll.BDH($C$278,"NET_DEBT_%_CAPITAL","FY 2014","FY 2014","Currency=INR","Period=FY","BEST_FPERIOD_OVERRIDE=FY","FILING_STATUS=OR","EQY_CONSOLIDATED=Y","Sort=A","Dates=H","DateFormat=P","Fill=—","Direction=H","UseDPDF=Y")</f>
        <v>#NAME?</v>
      </c>
      <c r="CP278" s="3" t="e">
        <f ca="1">_xll.BDH($C$278,"EBITDA","FY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278" s="3" t="e">
        <f ca="1">_xll.BDH($C$278,"EBITDA_AFTER_CAPEX","FY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278" s="3" t="e">
        <f ca="1">_xll.BDH($C$278,"IS_OPER_INC","FY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278" s="2" t="e">
        <f ca="1">_xll.BDH($C$278,"CASH_RATIO","FY 2014","FY 2014","Currency=INR","Period=FY","BEST_FPERIOD_OVERRIDE=FY","FILING_STATUS=OR","EQY_CONSOLIDATED=Y","Sort=A","Dates=H","DateFormat=P","Fill=—","Direction=H","UseDPDF=Y")</f>
        <v>#NAME?</v>
      </c>
      <c r="CT278" s="2" t="e">
        <f ca="1">_xll.BDH($C$278,"CUR_RATIO","FY 2014","FY 2014","Currency=INR","Period=FY","BEST_FPERIOD_OVERRIDE=FY","FILING_STATUS=OR","EQY_CONSOLIDATED=Y","Sort=A","Dates=H","DateFormat=P","Fill=—","Direction=H","UseDPDF=Y")</f>
        <v>#NAME?</v>
      </c>
      <c r="CU278" s="2" t="e">
        <f ca="1">_xll.BDH($C$278,"QUICK_RATIO","FY 2014","FY 2014","Currency=INR","Period=FY","BEST_FPERIOD_OVERRIDE=FY","FILING_STATUS=OR","EQY_CONSOLIDATED=Y","Sort=A","Dates=H","DateFormat=P","Fill=—","Direction=H","UseDPDF=Y")</f>
        <v>#NAME?</v>
      </c>
      <c r="CV278" s="2" t="e">
        <f ca="1">_xll.BDH($C$278,"ALTMAN_Z_SCORE","FY 2014","FY 2014","Currency=INR","Period=FY","BEST_FPERIOD_OVERRIDE=FY","FILING_STATUS=OR","EQY_CONSOLIDATED=Y","Sort=A","Dates=H","DateFormat=P","Fill=—","Direction=H","UseDPDF=Y")</f>
        <v>#NAME?</v>
      </c>
      <c r="CW278" s="4" t="e">
        <f ca="1">_xll.BDH($C$278,"ACCT_RCV_TURN","FY 2014","FY 2014","Currency=INR","Period=FY","BEST_FPERIOD_OVERRIDE=FY","FILING_STATUS=OR","EQY_CONSOLIDATED=Y","FA_ADJUSTED=GAAP","Sort=A","Dates=H","DateFormat=P","Fill=—","Direction=H","UseDPDF=Y")</f>
        <v>#NAME?</v>
      </c>
      <c r="CX278" s="2" t="e">
        <f ca="1">_xll.BDH($C$278,"ACCT_RCV_DAYS","FY 2014","FY 2014","Currency=INR","Period=FY","BEST_FPERIOD_OVERRIDE=FY","FILING_STATUS=OR","EQY_CONSOLIDATED=Y","FA_ADJUSTED=GAAP","Sort=A","Dates=H","DateFormat=P","Fill=—","Direction=H","UseDPDF=Y")</f>
        <v>#NAME?</v>
      </c>
      <c r="CY278" s="4" t="e">
        <f ca="1">_xll.BDH($C$278,"INVENT_TURN","FY 2014","FY 2014","Currency=INR","Period=FY","BEST_FPERIOD_OVERRIDE=FY","FILING_STATUS=OR","EQY_CONSOLIDATED=Y","FA_ADJUSTED=GAAP","Sort=A","Dates=H","DateFormat=P","Fill=—","Direction=H","UseDPDF=Y")</f>
        <v>#NAME?</v>
      </c>
      <c r="CZ278" s="2" t="e">
        <f ca="1">_xll.BDH($C$278,"INVENT_DAYS","FY 2014","FY 2014","Currency=INR","Period=FY","BEST_FPERIOD_OVERRIDE=FY","FILING_STATUS=OR","EQY_CONSOLIDATED=Y","FA_ADJUSTED=GAAP","Sort=A","Dates=H","DateFormat=P","Fill=—","Direction=H","UseDPDF=Y")</f>
        <v>#NAME?</v>
      </c>
      <c r="DA278" s="4" t="e">
        <f ca="1">_xll.BDH($C$278,"ACCOUNTS_PAYABLE_TURNOVER","FY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278" s="2" t="e">
        <f ca="1">_xll.BDH($C$278,"ACCOUNTS_PAYABLE_TURNOVER_DAYS","FY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278" s="4" t="e">
        <f ca="1">_xll.BDH($C$278,"CASH_CONVERSION_CYCLE","FY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278" s="4" t="e">
        <f ca="1">_xll.BDH($C$278,"INV_TO_CASH_DAYS","FY 2014","FY 2014","Currency=INR","Period=FY","BEST_FPERIOD_OVERRIDE=FY","FILING_STATUS=OR","EQY_CONSOLIDATED=Y","FA_ADJUSTED=GAAP","Sort=A","Dates=H","DateFormat=P","Fill=—","Direction=H","UseDPDF=Y")</f>
        <v>#NAME?</v>
      </c>
      <c r="DE278" s="5" t="e">
        <f ca="1">_xll.BDH($C$278,"BS_INVENTORIES","FY 2014","FY 2014","Currency=INR","Period=FY","BEST_FPERIOD_OVERRIDE=FY","FILING_STATUS=OR","EQY_CONSOLIDATED=Y","SCALING_FORMAT=MLN","Sort=A","Dates=H","DateFormat=P","Fill=—","Direction=H","UseDPDF=Y")</f>
        <v>#NAME?</v>
      </c>
      <c r="DF278" s="3" t="e">
        <f ca="1">_xll.BDH($C$278,"INVTRY_RAW_MATERIALS","FY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278" s="3" t="e">
        <f ca="1">_xll.BDH($C$278,"INVTRY_IN_PROGRESS","FY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278" s="3" t="e">
        <f ca="1">_xll.BDH($C$278,"INVTRY_FINISHED_GOODS","FY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278" s="3" t="e">
        <f ca="1">_xll.BDH($C$278,"BS_OTHER_INV","FY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279" spans="1:113" x14ac:dyDescent="0.3">
      <c r="A279" s="6"/>
      <c r="B279" s="6"/>
      <c r="C279" s="6"/>
      <c r="D279" s="6"/>
      <c r="E279" t="s">
        <v>78</v>
      </c>
      <c r="F279" t="e">
        <f ca="1">_xll.BDH($C$278,"RETURN_COM_EQY","FQ1 2014","FQ1 2014","Currency=INR","Period=FQ","BEST_FPERIOD_OVERRIDE=FQ","FILING_STATUS=OR","EQY_CONSOLIDATED=Y","FA_ADJUSTED=GAAP","Sort=A","Dates=H","DateFormat=P","Fill=—","Direction=H","UseDPDF=Y")</f>
        <v>#NAME?</v>
      </c>
      <c r="G279" t="e">
        <f ca="1">_xll.BDH($C$278,"RETURN_ON_ASSET","FQ1 2014","FQ1 2014","Currency=INR","Period=FQ","BEST_FPERIOD_OVERRIDE=FQ","FILING_STATUS=OR","EQY_CONSOLIDATED=Y","FA_ADJUSTED=GAAP","Sort=A","Dates=H","DateFormat=P","Fill=—","Direction=H","UseDPDF=Y")</f>
        <v>#NAME?</v>
      </c>
      <c r="H279" t="e">
        <f ca="1">_xll.BDH($C$278,"RETURN_ON_CAP","FQ1 2014","FQ1 2014","Currency=INR","Period=FQ","BEST_FPERIOD_OVERRIDE=FQ","FILING_STATUS=OR","EQY_CONSOLIDATED=Y","FA_ADJUSTED=GAAP","Sort=A","Dates=H","DateFormat=P","Fill=—","Direction=H","UseDPDF=Y")</f>
        <v>#NAME?</v>
      </c>
      <c r="I279" t="e">
        <f ca="1">_xll.BDH($C$278,"RETURN_ON_INV_CAPITAL","FQ1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279" t="e">
        <f ca="1">_xll.BDH($C$278,"EBITDA_TO_REVENUE","FQ1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279" t="e">
        <f ca="1">_xll.BDH($C$278,"OPER_MARGIN","FQ1 2014","FQ1 2014","Currency=INR","Period=FQ","BEST_FPERIOD_OVERRIDE=FQ","FILING_STATUS=OR","EQY_CONSOLIDATED=Y","FA_ADJUSTED=GAAP","Sort=A","Dates=H","DateFormat=P","Fill=—","Direction=H","UseDPDF=Y")</f>
        <v>#NAME?</v>
      </c>
      <c r="L279" t="e">
        <f ca="1">_xll.BDH($C$278,"INCREMENTAL_OPERATING_MARGIN","FQ1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279" t="e">
        <f ca="1">_xll.BDH($C$278,"PRETAX_INC_TO_NET_SALES","FQ1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279" t="e">
        <f ca="1">_xll.BDH($C$278,"INC_BEF_XO_ITEMS_TO_NET_SALES","FQ1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279" t="e">
        <f ca="1">_xll.BDH($C$278,"PROF_MARGIN","FQ1 2014","FQ1 2014","Currency=INR","Period=FQ","BEST_FPERIOD_OVERRIDE=FQ","FILING_STATUS=OR","EQY_CONSOLIDATED=Y","FA_ADJUSTED=GAAP","Sort=A","Dates=H","DateFormat=P","Fill=—","Direction=H","UseDPDF=Y")</f>
        <v>#NAME?</v>
      </c>
      <c r="P279" t="e">
        <f ca="1">_xll.BDH($C$278,"NET_INCOME_TO_COMMON_MARGIN","FQ1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279" t="e">
        <f ca="1">_xll.BDH($C$278,"EFF_TAX_RATE","FQ1 2014","FQ1 2014","Currency=INR","Period=FQ","BEST_FPERIOD_OVERRIDE=FQ","FILING_STATUS=OR","EQY_CONSOLIDATED=Y","FA_ADJUSTED=GAAP","Sort=A","Dates=H","DateFormat=P","Fill=—","Direction=H","UseDPDF=Y")</f>
        <v>#NAME?</v>
      </c>
      <c r="R279" t="e">
        <f ca="1">_xll.BDH($C$278,"DVD_PAYOUT_RATIO","FQ1 2014","FQ1 2014","Currency=INR","Period=FQ","BEST_FPERIOD_OVERRIDE=FQ","FILING_STATUS=OR","EQY_CONSOLIDATED=Y","FA_ADJUSTED=GAAP","Sort=A","Dates=H","DateFormat=P","Fill=—","Direction=H","UseDPDF=Y")</f>
        <v>#NAME?</v>
      </c>
      <c r="S279" t="e">
        <f ca="1">_xll.BDH($C$278,"SUSTAIN_GROWTH_RT","FQ1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279" s="2" t="e">
        <f ca="1">_xll.BDH($C$278,"SALES_GROWTH","FQ1 2014","FQ1 2014","Currency=INR","Period=FQ","BEST_FPERIOD_OVERRIDE=FQ","FILING_STATUS=OR","EQY_CONSOLIDATED=Y","FA_ADJUSTED=GAAP","Sort=A","Dates=H","DateFormat=P","Fill=—","Direction=H","UseDPDF=Y")</f>
        <v>#NAME?</v>
      </c>
      <c r="U279" s="2" t="e">
        <f ca="1">_xll.BDH($C$278,"EBITDA_GROWTH","FQ1 2014","FQ1 2014","Currency=INR","Period=FQ","BEST_FPERIOD_OVERRIDE=FQ","FILING_STATUS=OR","EQY_CONSOLIDATED=Y","FA_ADJUSTED=GAAP","Sort=A","Dates=H","DateFormat=P","Fill=—","Direction=H","UseDPDF=Y")</f>
        <v>#NAME?</v>
      </c>
      <c r="V279" s="2" t="e">
        <f ca="1">_xll.BDH($C$278,"OPER_INC_GROWTH","FQ1 2014","FQ1 2014","Currency=INR","Period=FQ","BEST_FPERIOD_OVERRIDE=FQ","FILING_STATUS=OR","EQY_CONSOLIDATED=Y","FA_ADJUSTED=GAAP","Sort=A","Dates=H","DateFormat=P","Fill=—","Direction=H","UseDPDF=Y")</f>
        <v>#NAME?</v>
      </c>
      <c r="W279" s="2" t="e">
        <f ca="1">_xll.BDH($C$278,"EARN_FOR_COM_GROWTH","FQ1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279" s="2" t="e">
        <f ca="1">_xll.BDH($C$278,"DILUTED_EPS_AFT_XO_ITEMS_GROWTH","FQ1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279" s="2" t="e">
        <f ca="1">_xll.BDH($C$278,"DIVIDEND_PER_SHARE_1_YEAR_GROWTH","FQ1 2014","FQ1 2014","Currency=INR","Period=FQ","BEST_FPERIOD_OVERRIDE=FQ","FILING_STATUS=OR","EQY_CONSOLIDATED=Y","Sort=A","Dates=H","DateFormat=P","Fill=—","Direction=H","UseDPDF=Y")</f>
        <v>#NAME?</v>
      </c>
      <c r="Z279" s="2" t="e">
        <f ca="1">_xll.BDH($C$278,"ACCOUNTS_RECEIVABLE_GROWTH","FQ1 2014","FQ1 2014","Currency=INR","Period=FQ","BEST_FPERIOD_OVERRIDE=FQ","FILING_STATUS=OR","EQY_CONSOLIDATED=Y","Sort=A","Dates=H","DateFormat=P","Fill=—","Direction=H","UseDPDF=Y")</f>
        <v>#NAME?</v>
      </c>
      <c r="AA279" s="2" t="e">
        <f ca="1">_xll.BDH($C$278,"INVENTORY_GROWTH","FQ1 2014","FQ1 2014","Currency=INR","Period=FQ","BEST_FPERIOD_OVERRIDE=FQ","FILING_STATUS=OR","EQY_CONSOLIDATED=Y","Sort=A","Dates=H","DateFormat=P","Fill=—","Direction=H","UseDPDF=Y")</f>
        <v>#NAME?</v>
      </c>
      <c r="AB279" s="2" t="e">
        <f ca="1">_xll.BDH($C$278,"NET_FIXED_ASSETS_1_YEAR_GROWTH","FQ1 2014","FQ1 2014","Currency=INR","Period=FQ","BEST_FPERIOD_OVERRIDE=FQ","FILING_STATUS=OR","EQY_CONSOLIDATED=Y","Sort=A","Dates=H","DateFormat=P","Fill=—","Direction=H","UseDPDF=Y")</f>
        <v>#NAME?</v>
      </c>
      <c r="AC279" s="2" t="e">
        <f ca="1">_xll.BDH($C$278,"ASSET_GROWTH","FQ1 2014","FQ1 2014","Currency=INR","Period=FQ","BEST_FPERIOD_OVERRIDE=FQ","FILING_STATUS=OR","EQY_CONSOLIDATED=Y","Sort=A","Dates=H","DateFormat=P","Fill=—","Direction=H","UseDPDF=Y")</f>
        <v>#NAME?</v>
      </c>
      <c r="AD279" s="2" t="e">
        <f ca="1">_xll.BDH($C$278,"MODIFIED_WORK_CAP_GROWTH","FQ1 2014","FQ1 2014","Currency=INR","Period=FQ","BEST_FPERIOD_OVERRIDE=FQ","FILING_STATUS=OR","EQY_CONSOLIDATED=Y","Sort=A","Dates=H","DateFormat=P","Fill=—","Direction=H","UseDPDF=Y")</f>
        <v>#NAME?</v>
      </c>
      <c r="AE279" s="2" t="e">
        <f ca="1">_xll.BDH($C$278,"WORK_CAP_GROWTH","FQ1 2014","FQ1 2014","Currency=INR","Period=FQ","BEST_FPERIOD_OVERRIDE=FQ","FILING_STATUS=OR","EQY_CONSOLIDATED=Y","Sort=A","Dates=H","DateFormat=P","Fill=—","Direction=H","UseDPDF=Y")</f>
        <v>#NAME?</v>
      </c>
      <c r="AF279" s="2" t="e">
        <f ca="1">_xll.BDH($C$278,"ACCOUNTS_PAYABLE_GROWTH_1YR","FQ1 2014","FQ1 2014","Currency=INR","Period=FQ","BEST_FPERIOD_OVERRIDE=FQ","FILING_STATUS=OR","EQY_CONSOLIDATED=Y","Sort=A","Dates=H","DateFormat=P","Fill=—","Direction=H","UseDPDF=Y")</f>
        <v>#NAME?</v>
      </c>
      <c r="AG279" s="2" t="e">
        <f ca="1">_xll.BDH($C$278,"SHORT_TERM_DEBT_1_YEAR_GROWTH","FQ1 2014","FQ1 2014","Currency=INR","Period=FQ","BEST_FPERIOD_OVERRIDE=FQ","FILING_STATUS=OR","EQY_CONSOLIDATED=Y","Sort=A","Dates=H","DateFormat=P","Fill=—","Direction=H","UseDPDF=Y")</f>
        <v>#NAME?</v>
      </c>
      <c r="AH279" s="2" t="e">
        <f ca="1">_xll.BDH($C$278,"TOTAL_DEBT_1_YEAR_GROWTH","FQ1 2014","FQ1 2014","Currency=INR","Period=FQ","BEST_FPERIOD_OVERRIDE=FQ","FILING_STATUS=OR","EQY_CONSOLIDATED=Y","Sort=A","Dates=H","DateFormat=P","Fill=—","Direction=H","UseDPDF=Y")</f>
        <v>#NAME?</v>
      </c>
      <c r="AI279" s="2" t="e">
        <f ca="1">_xll.BDH($C$278,"TOTAL_EQUITY_1_YEAR_GROWTH","FQ1 2014","FQ1 2014","Currency=INR","Period=FQ","BEST_FPERIOD_OVERRIDE=FQ","FILING_STATUS=OR","EQY_CONSOLIDATED=Y","Sort=A","Dates=H","DateFormat=P","Fill=—","Direction=H","UseDPDF=Y")</f>
        <v>#NAME?</v>
      </c>
      <c r="AJ279" s="2" t="e">
        <f ca="1">_xll.BDH($C$278,"GROWTH_IN_CAP","FQ1 2014","FQ1 2014","Currency=INR","Period=FQ","BEST_FPERIOD_OVERRIDE=FQ","FILING_STATUS=OR","EQY_CONSOLIDATED=Y","Sort=A","Dates=H","DateFormat=P","Fill=—","Direction=H","UseDPDF=Y")</f>
        <v>#NAME?</v>
      </c>
      <c r="AK279" s="2" t="e">
        <f ca="1">_xll.BDH($C$278,"BVPS_GROWTH","FQ1 2014","FQ1 2014","Currency=INR","Period=FQ","BEST_FPERIOD_OVERRIDE=FQ","FILING_STATUS=OR","EQY_CONSOLIDATED=Y","Sort=A","Dates=H","DateFormat=P","Fill=—","Direction=H","UseDPDF=Y")</f>
        <v>#NAME?</v>
      </c>
      <c r="AL279" s="2" t="e">
        <f ca="1">_xll.BDH($C$278,"CASH_FLOW_GROWTH","FQ1 2014","FQ1 2014","Currency=INR","Period=FQ","BEST_FPERIOD_OVERRIDE=FQ","FILING_STATUS=OR","EQY_CONSOLIDATED=Y","Sort=A","Dates=H","DateFormat=P","Fill=—","Direction=H","UseDPDF=Y")</f>
        <v>#NAME?</v>
      </c>
      <c r="AM279" s="2" t="e">
        <f ca="1">_xll.BDH($C$278,"GEO_GROW_NET_SALES","FQ1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279" s="2" t="e">
        <f ca="1">_xll.BDH($C$278,"GEO_GROW_EBITDA","FQ1 2014","FQ1 2014","Currency=INR","Period=FQ","BEST_FPERIOD_OVERRIDE=FQ","FILING_STATUS=OR","EQY_CONSOLIDATED=Y","FA_ADJUSTED=GAAP","Sort=A","Dates=H","DateFormat=P","Fill=—","Direction=H","UseDPDF=Y")</f>
        <v>#NAME?</v>
      </c>
      <c r="AO279" s="2" t="e">
        <f ca="1">_xll.BDH($C$278,"GEO_GROW_OPER_INC","FQ1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279" s="2" t="e">
        <f ca="1">_xll.BDH($C$278,"NET_INCOME_TO_COMMON_5_YR_GROWTH","FQ1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279" s="2" t="e">
        <f ca="1">_xll.BDH($C$278,"5Y_GEO_GROWTH_DILUTED_EPS","FQ1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279" s="2" t="e">
        <f ca="1">_xll.BDH($C$278,"GEO_GROW_DVD_PER_SH","FQ1 2014","FQ1 2014","Currency=INR","Period=FQ","BEST_FPERIOD_OVERRIDE=FQ","FILING_STATUS=OR","EQY_CONSOLIDATED=Y","Sort=A","Dates=H","DateFormat=P","Fill=—","Direction=H","UseDPDF=Y")</f>
        <v>#NAME?</v>
      </c>
      <c r="AS279" s="2" t="e">
        <f ca="1">_xll.BDH($C$278,"ACCOUNTS_RECEIVABLE_5_YR_GROWTH","FQ1 2014","FQ1 2014","Currency=INR","Period=FQ","BEST_FPERIOD_OVERRIDE=FQ","FILING_STATUS=OR","EQY_CONSOLIDATED=Y","Sort=A","Dates=H","DateFormat=P","Fill=—","Direction=H","UseDPDF=Y")</f>
        <v>#NAME?</v>
      </c>
      <c r="AT279" s="2" t="e">
        <f ca="1">_xll.BDH($C$278,"INVENTORY_5_YEAR_GROWTH","FQ1 2014","FQ1 2014","Currency=INR","Period=FQ","BEST_FPERIOD_OVERRIDE=FQ","FILING_STATUS=OR","EQY_CONSOLIDATED=Y","Sort=A","Dates=H","DateFormat=P","Fill=—","Direction=H","UseDPDF=Y")</f>
        <v>#NAME?</v>
      </c>
      <c r="AU279" s="2" t="e">
        <f ca="1">_xll.BDH($C$278,"NET_FIXED_ASSETS_5_YEAR_GROWTH","FQ1 2014","FQ1 2014","Currency=INR","Period=FQ","BEST_FPERIOD_OVERRIDE=FQ","FILING_STATUS=OR","EQY_CONSOLIDATED=Y","Sort=A","Dates=H","DateFormat=P","Fill=—","Direction=H","UseDPDF=Y")</f>
        <v>#NAME?</v>
      </c>
      <c r="AV279" s="2" t="e">
        <f ca="1">_xll.BDH($C$278,"GEO_GROW_TOT_ASSET","FQ1 2014","FQ1 2014","Currency=INR","Period=FQ","BEST_FPERIOD_OVERRIDE=FQ","FILING_STATUS=OR","EQY_CONSOLIDATED=Y","Sort=A","Dates=H","DateFormat=P","Fill=—","Direction=H","UseDPDF=Y")</f>
        <v>#NAME?</v>
      </c>
      <c r="AW279" s="2" t="e">
        <f ca="1">_xll.BDH($C$278,"MODIFIED_WORKING_CPTL_5YR_GRWTH","FQ1 2014","FQ1 2014","Currency=INR","Period=FQ","BEST_FPERIOD_OVERRIDE=FQ","FILING_STATUS=OR","EQY_CONSOLIDATED=Y","Sort=A","Dates=H","DateFormat=P","Fill=—","Direction=H","UseDPDF=Y")</f>
        <v>#NAME?</v>
      </c>
      <c r="AX279" s="2" t="e">
        <f ca="1">_xll.BDH($C$278,"WORKING_CAPITAL_5_YEAR_GROWTH","FQ1 2014","FQ1 2014","Currency=INR","Period=FQ","BEST_FPERIOD_OVERRIDE=FQ","FILING_STATUS=OR","EQY_CONSOLIDATED=Y","Sort=A","Dates=H","DateFormat=P","Fill=—","Direction=H","UseDPDF=Y")</f>
        <v>#NAME?</v>
      </c>
      <c r="AY279" s="2" t="e">
        <f ca="1">_xll.BDH($C$278,"ACCOUNTS_PAYABLE_5_YEAR_GROWTH","FQ1 2014","FQ1 2014","Currency=INR","Period=FQ","BEST_FPERIOD_OVERRIDE=FQ","FILING_STATUS=OR","EQY_CONSOLIDATED=Y","Sort=A","Dates=H","DateFormat=P","Fill=—","Direction=H","UseDPDF=Y")</f>
        <v>#NAME?</v>
      </c>
      <c r="AZ279" s="2" t="e">
        <f ca="1">_xll.BDH($C$278,"SHORT_TERM_DEBT_5_YEAR_GROWTH","FQ1 2014","FQ1 2014","Currency=INR","Period=FQ","BEST_FPERIOD_OVERRIDE=FQ","FILING_STATUS=OR","EQY_CONSOLIDATED=Y","Sort=A","Dates=H","DateFormat=P","Fill=—","Direction=H","UseDPDF=Y")</f>
        <v>#NAME?</v>
      </c>
      <c r="BA279" s="2" t="e">
        <f ca="1">_xll.BDH($C$278,"TOTAL_DEBT_5_YEAR_GROWTH","FQ1 2014","FQ1 2014","Currency=INR","Period=FQ","BEST_FPERIOD_OVERRIDE=FQ","FILING_STATUS=OR","EQY_CONSOLIDATED=Y","Sort=A","Dates=H","DateFormat=P","Fill=—","Direction=H","UseDPDF=Y")</f>
        <v>#NAME?</v>
      </c>
      <c r="BB279" s="2" t="e">
        <f ca="1">_xll.BDH($C$278,"GEO_GROW_TOT_SHRHLDR_EQY","FQ1 2014","FQ1 2014","Currency=INR","Period=FQ","BEST_FPERIOD_OVERRIDE=FQ","FILING_STATUS=OR","EQY_CONSOLIDATED=Y","Sort=A","Dates=H","DateFormat=P","Fill=—","Direction=H","UseDPDF=Y")</f>
        <v>#NAME?</v>
      </c>
      <c r="BC279" s="2" t="e">
        <f ca="1">_xll.BDH($C$278,"TOTAL_CAPITAL_5_YEAR_GROWTH","FQ1 2014","FQ1 2014","Currency=INR","Period=FQ","BEST_FPERIOD_OVERRIDE=FQ","FILING_STATUS=OR","EQY_CONSOLIDATED=Y","Sort=A","Dates=H","DateFormat=P","Fill=—","Direction=H","UseDPDF=Y")</f>
        <v>#NAME?</v>
      </c>
      <c r="BD279" s="2" t="e">
        <f ca="1">_xll.BDH($C$278,"GEO_GROW_BOOK_VAL","FQ1 2014","FQ1 2014","Currency=INR","Period=FQ","BEST_FPERIOD_OVERRIDE=FQ","FILING_STATUS=OR","EQY_CONSOLIDATED=Y","Sort=A","Dates=H","DateFormat=P","Fill=—","Direction=H","UseDPDF=Y")</f>
        <v>#NAME?</v>
      </c>
      <c r="BE279" s="2" t="e">
        <f ca="1">_xll.BDH($C$278,"GEO_GROW_CASH_OPER_ACT","FQ1 2014","FQ1 2014","Currency=INR","Period=FQ","BEST_FPERIOD_OVERRIDE=FQ","FILING_STATUS=OR","EQY_CONSOLIDATED=Y","Sort=A","Dates=H","DateFormat=P","Fill=—","Direction=H","UseDPDF=Y")</f>
        <v>#NAME?</v>
      </c>
      <c r="BF279" s="2" t="e">
        <f ca="1">_xll.BDH($C$278,"REVENUE_SEQUENTIAL_GROWTH","FQ1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279" s="2" t="e">
        <f ca="1">_xll.BDH($C$278,"EBITDA_SEQUENTIAL_GROWTH","FQ1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279" s="2" t="e">
        <f ca="1">_xll.BDH($C$278,"OPERATING_INCOME_SEQ_GROWTH","FQ1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279" s="2" t="e">
        <f ca="1">_xll.BDH($C$278,"NET_INCOME_TO_COMMON_SEQ_GROWTH","FQ1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279" s="2" t="e">
        <f ca="1">_xll.BDH($C$278,"EPS_DILUTED_SEQUENTIAL_GROWTH","FQ1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279" s="2" t="e">
        <f ca="1">_xll.BDH($C$278,"DPS_SEQUENTIAL_GROWTH","FQ1 2014","FQ1 2014","Currency=INR","Period=FQ","BEST_FPERIOD_OVERRIDE=FQ","FILING_STATUS=OR","EQY_CONSOLIDATED=Y","Sort=A","Dates=H","DateFormat=P","Fill=—","Direction=H","UseDPDF=Y")</f>
        <v>#NAME?</v>
      </c>
      <c r="BL279" s="2" t="e">
        <f ca="1">_xll.BDH($C$278,"ACCOUNTS_RECEIVABLE_SEQ_GROWTH","FQ1 2014","FQ1 2014","Currency=INR","Period=FQ","BEST_FPERIOD_OVERRIDE=FQ","FILING_STATUS=OR","EQY_CONSOLIDATED=Y","Sort=A","Dates=H","DateFormat=P","Fill=—","Direction=H","UseDPDF=Y")</f>
        <v>#NAME?</v>
      </c>
      <c r="BM279" s="2" t="e">
        <f ca="1">_xll.BDH($C$278,"INVENTORY_SEQUENTIAL_GROWTH","FQ1 2014","FQ1 2014","Currency=INR","Period=FQ","BEST_FPERIOD_OVERRIDE=FQ","FILING_STATUS=OR","EQY_CONSOLIDATED=Y","Sort=A","Dates=H","DateFormat=P","Fill=—","Direction=H","UseDPDF=Y")</f>
        <v>#NAME?</v>
      </c>
      <c r="BN279" s="2" t="e">
        <f ca="1">_xll.BDH($C$278,"FIXED_ASSETS_SEQUENTIAL_GROWTH","FQ1 2014","FQ1 2014","Currency=INR","Period=FQ","BEST_FPERIOD_OVERRIDE=FQ","FILING_STATUS=OR","EQY_CONSOLIDATED=Y","Sort=A","Dates=H","DateFormat=P","Fill=—","Direction=H","UseDPDF=Y")</f>
        <v>#NAME?</v>
      </c>
      <c r="BO279" s="2" t="e">
        <f ca="1">_xll.BDH($C$278,"TOTAL_ASSETS_SEQUENTIAL_GROWTH","FQ1 2014","FQ1 2014","Currency=INR","Period=FQ","BEST_FPERIOD_OVERRIDE=FQ","FILING_STATUS=OR","EQY_CONSOLIDATED=Y","Sort=A","Dates=H","DateFormat=P","Fill=—","Direction=H","UseDPDF=Y")</f>
        <v>#NAME?</v>
      </c>
      <c r="BP279" s="2" t="e">
        <f ca="1">_xll.BDH($C$278,"MODIFIED_WORKING_CPTL_SEQ_GRWTH","FQ1 2014","FQ1 2014","Currency=INR","Period=FQ","BEST_FPERIOD_OVERRIDE=FQ","FILING_STATUS=OR","EQY_CONSOLIDATED=Y","Sort=A","Dates=H","DateFormat=P","Fill=—","Direction=H","UseDPDF=Y")</f>
        <v>#NAME?</v>
      </c>
      <c r="BQ279" s="2" t="e">
        <f ca="1">_xll.BDH($C$278,"WORKING_CAPITAL_SEQ_GROWTH","FQ1 2014","FQ1 2014","Currency=INR","Period=FQ","BEST_FPERIOD_OVERRIDE=FQ","FILING_STATUS=OR","EQY_CONSOLIDATED=Y","Sort=A","Dates=H","DateFormat=P","Fill=—","Direction=H","UseDPDF=Y")</f>
        <v>#NAME?</v>
      </c>
      <c r="BR279" s="2" t="e">
        <f ca="1">_xll.BDH($C$278,"ACCOUNTS_PAYABLE_SEQ_GROWTH","FQ1 2014","FQ1 2014","Currency=INR","Period=FQ","BEST_FPERIOD_OVERRIDE=FQ","FILING_STATUS=OR","EQY_CONSOLIDATED=Y","Sort=A","Dates=H","DateFormat=P","Fill=—","Direction=H","UseDPDF=Y")</f>
        <v>#NAME?</v>
      </c>
      <c r="BS279" s="2" t="e">
        <f ca="1">_xll.BDH($C$278,"ST_DEBT_SEQUENTIAL_GROWTH","FQ1 2014","FQ1 2014","Currency=INR","Period=FQ","BEST_FPERIOD_OVERRIDE=FQ","FILING_STATUS=OR","EQY_CONSOLIDATED=Y","Sort=A","Dates=H","DateFormat=P","Fill=—","Direction=H","UseDPDF=Y")</f>
        <v>#NAME?</v>
      </c>
      <c r="BT279" s="2" t="e">
        <f ca="1">_xll.BDH($C$278,"TOTAL_DEBT_SEQUENTIAL_GROWTH","FQ1 2014","FQ1 2014","Currency=INR","Period=FQ","BEST_FPERIOD_OVERRIDE=FQ","FILING_STATUS=OR","EQY_CONSOLIDATED=Y","Sort=A","Dates=H","DateFormat=P","Fill=—","Direction=H","UseDPDF=Y")</f>
        <v>#NAME?</v>
      </c>
      <c r="BU279" s="2" t="e">
        <f ca="1">_xll.BDH($C$278,"TOTAL_EQUITY_SEQUENTIAL_GROWTH","FQ1 2014","FQ1 2014","Currency=INR","Period=FQ","BEST_FPERIOD_OVERRIDE=FQ","FILING_STATUS=OR","EQY_CONSOLIDATED=Y","Sort=A","Dates=H","DateFormat=P","Fill=—","Direction=H","UseDPDF=Y")</f>
        <v>#NAME?</v>
      </c>
      <c r="BV279" s="2" t="e">
        <f ca="1">_xll.BDH($C$278,"TOTAL_CAPITAL_SEQUENTIAL_GROWTH","FQ1 2014","FQ1 2014","Currency=INR","Period=FQ","BEST_FPERIOD_OVERRIDE=FQ","FILING_STATUS=OR","EQY_CONSOLIDATED=Y","Sort=A","Dates=H","DateFormat=P","Fill=—","Direction=H","UseDPDF=Y")</f>
        <v>#NAME?</v>
      </c>
      <c r="BW279" s="2" t="e">
        <f ca="1">_xll.BDH($C$278,"BPS_SEQUENTIAL_GROWTH","FQ1 2014","FQ1 2014","Currency=INR","Period=FQ","BEST_FPERIOD_OVERRIDE=FQ","FILING_STATUS=OR","EQY_CONSOLIDATED=Y","Sort=A","Dates=H","DateFormat=P","Fill=—","Direction=H","UseDPDF=Y")</f>
        <v>#NAME?</v>
      </c>
      <c r="BX279" s="2" t="e">
        <f ca="1">_xll.BDH($C$278,"CFO_SEQUENTIAL_GROWTH","FQ1 2014","FQ1 2014","Currency=INR","Period=FQ","BEST_FPERIOD_OVERRIDE=FQ","FILING_STATUS=OR","EQY_CONSOLIDATED=Y","Sort=A","Dates=H","DateFormat=P","Fill=—","Direction=H","UseDPDF=Y")</f>
        <v>#NAME?</v>
      </c>
      <c r="BY279" s="3" t="e">
        <f ca="1">_xll.BDH($C$278,"SHORT_AND_LONG_TERM_DEBT","FQ1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279" s="3" t="e">
        <f ca="1">_xll.BDH($C$278,"BS_ST_BORROW","FQ1 2014","FQ1 2014","Currency=INR","Period=FQ","BEST_FPERIOD_OVERRIDE=FQ","FILING_STATUS=OR","EQY_CONSOLIDATED=Y","SCALING_FORMAT=MLN","Sort=A","Dates=H","DateFormat=P","Fill=—","Direction=H","UseDPDF=Y")</f>
        <v>#NAME?</v>
      </c>
      <c r="CA279" s="3" t="e">
        <f ca="1">_xll.BDH($C$278,"BS_LT_BORROW","FQ1 2014","FQ1 2014","Currency=INR","Period=FQ","BEST_FPERIOD_OVERRIDE=FQ","FILING_STATUS=OR","EQY_CONSOLIDATED=Y","SCALING_FORMAT=MLN","Sort=A","Dates=H","DateFormat=P","Fill=—","Direction=H","UseDPDF=Y")</f>
        <v>#NAME?</v>
      </c>
      <c r="CB279" s="2" t="e">
        <f ca="1">_xll.BDH($C$278,"TOT_DEBT_TO_EBITDA","FQ1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279" s="2" t="e">
        <f ca="1">_xll.BDH($C$278,"NET_DEBT_TO_EBITDA","FQ1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279" s="2" t="e">
        <f ca="1">_xll.BDH($C$278,"TOTAL_DEBT_TO_EBIT","FQ1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279" s="2" t="e">
        <f ca="1">_xll.BDH($C$278,"NET_DEBT_TO_EBIT","FQ1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279" s="2" t="e">
        <f ca="1">_xll.BDH($C$278,"EBITDA_TO_INTEREST_EXPN","FQ1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279" s="2" t="e">
        <f ca="1">_xll.BDH($C$278,"COM_EQY_TO_TOT_ASSET","FQ1 2014","FQ1 2014","Currency=INR","Period=FQ","BEST_FPERIOD_OVERRIDE=FQ","FILING_STATUS=OR","EQY_CONSOLIDATED=Y","Sort=A","Dates=H","DateFormat=P","Fill=—","Direction=H","UseDPDF=Y")</f>
        <v>#NAME?</v>
      </c>
      <c r="CH279" s="2" t="e">
        <f ca="1">_xll.BDH($C$278,"LT_DEBT_TO_TOT_EQY","FQ1 2014","FQ1 2014","Currency=INR","Period=FQ","BEST_FPERIOD_OVERRIDE=FQ","FILING_STATUS=OR","EQY_CONSOLIDATED=Y","Sort=A","Dates=H","DateFormat=P","Fill=—","Direction=H","UseDPDF=Y")</f>
        <v>#NAME?</v>
      </c>
      <c r="CI279" s="2" t="e">
        <f ca="1">_xll.BDH($C$278,"LT_DEBT_TO_TOT_CAP","FQ1 2014","FQ1 2014","Currency=INR","Period=FQ","BEST_FPERIOD_OVERRIDE=FQ","FILING_STATUS=OR","EQY_CONSOLIDATED=Y","Sort=A","Dates=H","DateFormat=P","Fill=—","Direction=H","UseDPDF=Y")</f>
        <v>#NAME?</v>
      </c>
      <c r="CJ279" s="2" t="e">
        <f ca="1">_xll.BDH($C$278,"LT_DEBT_TO_TOT_ASSET","FQ1 2014","FQ1 2014","Currency=INR","Period=FQ","BEST_FPERIOD_OVERRIDE=FQ","FILING_STATUS=OR","EQY_CONSOLIDATED=Y","Sort=A","Dates=H","DateFormat=P","Fill=—","Direction=H","UseDPDF=Y")</f>
        <v>#NAME?</v>
      </c>
      <c r="CK279" s="2" t="e">
        <f ca="1">_xll.BDH($C$278,"TOT_DEBT_TO_TOT_EQY","FQ1 2014","FQ1 2014","Currency=INR","Period=FQ","BEST_FPERIOD_OVERRIDE=FQ","FILING_STATUS=OR","EQY_CONSOLIDATED=Y","Sort=A","Dates=H","DateFormat=P","Fill=—","Direction=H","UseDPDF=Y")</f>
        <v>#NAME?</v>
      </c>
      <c r="CL279" s="2" t="e">
        <f ca="1">_xll.BDH($C$278,"TOT_DEBT_TO_TOT_CAP","FQ1 2014","FQ1 2014","Currency=INR","Period=FQ","BEST_FPERIOD_OVERRIDE=FQ","FILING_STATUS=OR","EQY_CONSOLIDATED=Y","Sort=A","Dates=H","DateFormat=P","Fill=—","Direction=H","UseDPDF=Y")</f>
        <v>#NAME?</v>
      </c>
      <c r="CM279" s="2" t="e">
        <f ca="1">_xll.BDH($C$278,"TOT_DEBT_TO_TOT_ASSET","FQ1 2014","FQ1 2014","Currency=INR","Period=FQ","BEST_FPERIOD_OVERRIDE=FQ","FILING_STATUS=OR","EQY_CONSOLIDATED=Y","Sort=A","Dates=H","DateFormat=P","Fill=—","Direction=H","UseDPDF=Y")</f>
        <v>#NAME?</v>
      </c>
      <c r="CN279" s="2" t="e">
        <f ca="1">_xll.BDH($C$278,"NET_DEBT_TO_SHRHLDR_EQTY","FQ1 2014","FQ1 2014","Currency=INR","Period=FQ","BEST_FPERIOD_OVERRIDE=FQ","FILING_STATUS=OR","EQY_CONSOLIDATED=Y","Sort=A","Dates=H","DateFormat=P","Fill=—","Direction=H","UseDPDF=Y")</f>
        <v>#NAME?</v>
      </c>
      <c r="CO279" s="2" t="e">
        <f ca="1">_xll.BDH($C$278,"NET_DEBT_%_CAPITAL","FQ1 2014","FQ1 2014","Currency=INR","Period=FQ","BEST_FPERIOD_OVERRIDE=FQ","FILING_STATUS=OR","EQY_CONSOLIDATED=Y","Sort=A","Dates=H","DateFormat=P","Fill=—","Direction=H","UseDPDF=Y")</f>
        <v>#NAME?</v>
      </c>
      <c r="CP279" s="3" t="e">
        <f ca="1">_xll.BDH($C$278,"EBITDA","FQ1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279" s="3" t="e">
        <f ca="1">_xll.BDH($C$278,"EBITDA_AFTER_CAPEX","FQ1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279" s="3" t="e">
        <f ca="1">_xll.BDH($C$278,"IS_OPER_INC","FQ1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279" s="2" t="e">
        <f ca="1">_xll.BDH($C$278,"CASH_RATIO","FQ1 2014","FQ1 2014","Currency=INR","Period=FQ","BEST_FPERIOD_OVERRIDE=FQ","FILING_STATUS=OR","EQY_CONSOLIDATED=Y","Sort=A","Dates=H","DateFormat=P","Fill=—","Direction=H","UseDPDF=Y")</f>
        <v>#NAME?</v>
      </c>
      <c r="CT279" s="2" t="e">
        <f ca="1">_xll.BDH($C$278,"CUR_RATIO","FQ1 2014","FQ1 2014","Currency=INR","Period=FQ","BEST_FPERIOD_OVERRIDE=FQ","FILING_STATUS=OR","EQY_CONSOLIDATED=Y","Sort=A","Dates=H","DateFormat=P","Fill=—","Direction=H","UseDPDF=Y")</f>
        <v>#NAME?</v>
      </c>
      <c r="CU279" s="2" t="e">
        <f ca="1">_xll.BDH($C$278,"QUICK_RATIO","FQ1 2014","FQ1 2014","Currency=INR","Period=FQ","BEST_FPERIOD_OVERRIDE=FQ","FILING_STATUS=OR","EQY_CONSOLIDATED=Y","Sort=A","Dates=H","DateFormat=P","Fill=—","Direction=H","UseDPDF=Y")</f>
        <v>#NAME?</v>
      </c>
      <c r="CV279" s="2" t="e">
        <f ca="1">_xll.BDH($C$278,"ALTMAN_Z_SCORE","FQ1 2014","FQ1 2014","Currency=INR","Period=FQ","BEST_FPERIOD_OVERRIDE=FQ","FILING_STATUS=OR","EQY_CONSOLIDATED=Y","Sort=A","Dates=H","DateFormat=P","Fill=—","Direction=H","UseDPDF=Y")</f>
        <v>#NAME?</v>
      </c>
      <c r="CW279" s="4" t="e">
        <f ca="1">_xll.BDH($C$278,"ACCT_RCV_TURN","FQ1 2014","FQ1 2014","Currency=INR","Period=FQ","BEST_FPERIOD_OVERRIDE=FQ","FILING_STATUS=OR","EQY_CONSOLIDATED=Y","FA_ADJUSTED=GAAP","Sort=A","Dates=H","DateFormat=P","Fill=—","Direction=H","UseDPDF=Y")</f>
        <v>#NAME?</v>
      </c>
      <c r="CX279" s="2" t="e">
        <f ca="1">_xll.BDH($C$278,"ACCT_RCV_DAYS","FQ1 2014","FQ1 2014","Currency=INR","Period=FQ","BEST_FPERIOD_OVERRIDE=FQ","FILING_STATUS=OR","EQY_CONSOLIDATED=Y","FA_ADJUSTED=GAAP","Sort=A","Dates=H","DateFormat=P","Fill=—","Direction=H","UseDPDF=Y")</f>
        <v>#NAME?</v>
      </c>
      <c r="CY279" s="4" t="e">
        <f ca="1">_xll.BDH($C$278,"INVENT_TURN","FQ1 2014","FQ1 2014","Currency=INR","Period=FQ","BEST_FPERIOD_OVERRIDE=FQ","FILING_STATUS=OR","EQY_CONSOLIDATED=Y","FA_ADJUSTED=GAAP","Sort=A","Dates=H","DateFormat=P","Fill=—","Direction=H","UseDPDF=Y")</f>
        <v>#NAME?</v>
      </c>
      <c r="CZ279" s="2" t="e">
        <f ca="1">_xll.BDH($C$278,"INVENT_DAYS","FQ1 2014","FQ1 2014","Currency=INR","Period=FQ","BEST_FPERIOD_OVERRIDE=FQ","FILING_STATUS=OR","EQY_CONSOLIDATED=Y","FA_ADJUSTED=GAAP","Sort=A","Dates=H","DateFormat=P","Fill=—","Direction=H","UseDPDF=Y")</f>
        <v>#NAME?</v>
      </c>
      <c r="DA279" s="4" t="e">
        <f ca="1">_xll.BDH($C$278,"ACCOUNTS_PAYABLE_TURNOVER","FQ1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279" s="2" t="e">
        <f ca="1">_xll.BDH($C$278,"ACCOUNTS_PAYABLE_TURNOVER_DAYS","FQ1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279" s="4" t="e">
        <f ca="1">_xll.BDH($C$278,"CASH_CONVERSION_CYCLE","FQ1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279" s="4" t="e">
        <f ca="1">_xll.BDH($C$278,"INV_TO_CASH_DAYS","FQ1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279" s="5" t="e">
        <f ca="1">_xll.BDH($C$278,"BS_INVENTORIES","FQ1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279" s="3" t="e">
        <f ca="1">_xll.BDH($C$278,"INVTRY_RAW_MATERIALS","FQ1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279" s="3" t="e">
        <f ca="1">_xll.BDH($C$278,"INVTRY_IN_PROGRESS","FQ1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279" s="3" t="e">
        <f ca="1">_xll.BDH($C$278,"INVTRY_FINISHED_GOODS","FQ1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279" s="3" t="e">
        <f ca="1">_xll.BDH($C$278,"BS_OTHER_INV","FQ1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280" spans="1:113" x14ac:dyDescent="0.3">
      <c r="A280" s="6"/>
      <c r="B280" s="6"/>
      <c r="C280" s="6"/>
      <c r="D280" s="6"/>
      <c r="E280" t="s">
        <v>79</v>
      </c>
      <c r="F280" t="e">
        <f ca="1">_xll.BDH($C$278,"RETURN_COM_EQY","FQ2 2014","FQ2 2014","Currency=INR","Period=FQ","BEST_FPERIOD_OVERRIDE=FQ","FILING_STATUS=OR","EQY_CONSOLIDATED=Y","FA_ADJUSTED=GAAP","Sort=A","Dates=H","DateFormat=P","Fill=—","Direction=H","UseDPDF=Y")</f>
        <v>#NAME?</v>
      </c>
      <c r="G280" t="e">
        <f ca="1">_xll.BDH($C$278,"RETURN_ON_ASSET","FQ2 2014","FQ2 2014","Currency=INR","Period=FQ","BEST_FPERIOD_OVERRIDE=FQ","FILING_STATUS=OR","EQY_CONSOLIDATED=Y","FA_ADJUSTED=GAAP","Sort=A","Dates=H","DateFormat=P","Fill=—","Direction=H","UseDPDF=Y")</f>
        <v>#NAME?</v>
      </c>
      <c r="H280" t="e">
        <f ca="1">_xll.BDH($C$278,"RETURN_ON_CAP","FQ2 2014","FQ2 2014","Currency=INR","Period=FQ","BEST_FPERIOD_OVERRIDE=FQ","FILING_STATUS=OR","EQY_CONSOLIDATED=Y","FA_ADJUSTED=GAAP","Sort=A","Dates=H","DateFormat=P","Fill=—","Direction=H","UseDPDF=Y")</f>
        <v>#NAME?</v>
      </c>
      <c r="I280" t="e">
        <f ca="1">_xll.BDH($C$278,"RETURN_ON_INV_CAPITAL","FQ2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280" t="e">
        <f ca="1">_xll.BDH($C$278,"EBITDA_TO_REVENUE","FQ2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280" t="e">
        <f ca="1">_xll.BDH($C$278,"OPER_MARGIN","FQ2 2014","FQ2 2014","Currency=INR","Period=FQ","BEST_FPERIOD_OVERRIDE=FQ","FILING_STATUS=OR","EQY_CONSOLIDATED=Y","FA_ADJUSTED=GAAP","Sort=A","Dates=H","DateFormat=P","Fill=—","Direction=H","UseDPDF=Y")</f>
        <v>#NAME?</v>
      </c>
      <c r="L280" t="e">
        <f ca="1">_xll.BDH($C$278,"INCREMENTAL_OPERATING_MARGIN","FQ2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280" t="e">
        <f ca="1">_xll.BDH($C$278,"PRETAX_INC_TO_NET_SALES","FQ2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280" t="e">
        <f ca="1">_xll.BDH($C$278,"INC_BEF_XO_ITEMS_TO_NET_SALES","FQ2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280" t="e">
        <f ca="1">_xll.BDH($C$278,"PROF_MARGIN","FQ2 2014","FQ2 2014","Currency=INR","Period=FQ","BEST_FPERIOD_OVERRIDE=FQ","FILING_STATUS=OR","EQY_CONSOLIDATED=Y","FA_ADJUSTED=GAAP","Sort=A","Dates=H","DateFormat=P","Fill=—","Direction=H","UseDPDF=Y")</f>
        <v>#NAME?</v>
      </c>
      <c r="P280" t="e">
        <f ca="1">_xll.BDH($C$278,"NET_INCOME_TO_COMMON_MARGIN","FQ2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280" t="e">
        <f ca="1">_xll.BDH($C$278,"EFF_TAX_RATE","FQ2 2014","FQ2 2014","Currency=INR","Period=FQ","BEST_FPERIOD_OVERRIDE=FQ","FILING_STATUS=OR","EQY_CONSOLIDATED=Y","FA_ADJUSTED=GAAP","Sort=A","Dates=H","DateFormat=P","Fill=—","Direction=H","UseDPDF=Y")</f>
        <v>#NAME?</v>
      </c>
      <c r="R280" t="e">
        <f ca="1">_xll.BDH($C$278,"DVD_PAYOUT_RATIO","FQ2 2014","FQ2 2014","Currency=INR","Period=FQ","BEST_FPERIOD_OVERRIDE=FQ","FILING_STATUS=OR","EQY_CONSOLIDATED=Y","FA_ADJUSTED=GAAP","Sort=A","Dates=H","DateFormat=P","Fill=—","Direction=H","UseDPDF=Y")</f>
        <v>#NAME?</v>
      </c>
      <c r="S280" t="e">
        <f ca="1">_xll.BDH($C$278,"SUSTAIN_GROWTH_RT","FQ2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280" s="2" t="e">
        <f ca="1">_xll.BDH($C$278,"SALES_GROWTH","FQ2 2014","FQ2 2014","Currency=INR","Period=FQ","BEST_FPERIOD_OVERRIDE=FQ","FILING_STATUS=OR","EQY_CONSOLIDATED=Y","FA_ADJUSTED=GAAP","Sort=A","Dates=H","DateFormat=P","Fill=—","Direction=H","UseDPDF=Y")</f>
        <v>#NAME?</v>
      </c>
      <c r="U280" s="2" t="e">
        <f ca="1">_xll.BDH($C$278,"EBITDA_GROWTH","FQ2 2014","FQ2 2014","Currency=INR","Period=FQ","BEST_FPERIOD_OVERRIDE=FQ","FILING_STATUS=OR","EQY_CONSOLIDATED=Y","FA_ADJUSTED=GAAP","Sort=A","Dates=H","DateFormat=P","Fill=—","Direction=H","UseDPDF=Y")</f>
        <v>#NAME?</v>
      </c>
      <c r="V280" s="2" t="e">
        <f ca="1">_xll.BDH($C$278,"OPER_INC_GROWTH","FQ2 2014","FQ2 2014","Currency=INR","Period=FQ","BEST_FPERIOD_OVERRIDE=FQ","FILING_STATUS=OR","EQY_CONSOLIDATED=Y","FA_ADJUSTED=GAAP","Sort=A","Dates=H","DateFormat=P","Fill=—","Direction=H","UseDPDF=Y")</f>
        <v>#NAME?</v>
      </c>
      <c r="W280" s="2" t="e">
        <f ca="1">_xll.BDH($C$278,"EARN_FOR_COM_GROWTH","FQ2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280" s="2" t="e">
        <f ca="1">_xll.BDH($C$278,"DILUTED_EPS_AFT_XO_ITEMS_GROWTH","FQ2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280" s="2" t="e">
        <f ca="1">_xll.BDH($C$278,"DIVIDEND_PER_SHARE_1_YEAR_GROWTH","FQ2 2014","FQ2 2014","Currency=INR","Period=FQ","BEST_FPERIOD_OVERRIDE=FQ","FILING_STATUS=OR","EQY_CONSOLIDATED=Y","Sort=A","Dates=H","DateFormat=P","Fill=—","Direction=H","UseDPDF=Y")</f>
        <v>#NAME?</v>
      </c>
      <c r="Z280" s="2" t="e">
        <f ca="1">_xll.BDH($C$278,"ACCOUNTS_RECEIVABLE_GROWTH","FQ2 2014","FQ2 2014","Currency=INR","Period=FQ","BEST_FPERIOD_OVERRIDE=FQ","FILING_STATUS=OR","EQY_CONSOLIDATED=Y","Sort=A","Dates=H","DateFormat=P","Fill=—","Direction=H","UseDPDF=Y")</f>
        <v>#NAME?</v>
      </c>
      <c r="AA280" s="2" t="e">
        <f ca="1">_xll.BDH($C$278,"INVENTORY_GROWTH","FQ2 2014","FQ2 2014","Currency=INR","Period=FQ","BEST_FPERIOD_OVERRIDE=FQ","FILING_STATUS=OR","EQY_CONSOLIDATED=Y","Sort=A","Dates=H","DateFormat=P","Fill=—","Direction=H","UseDPDF=Y")</f>
        <v>#NAME?</v>
      </c>
      <c r="AB280" s="2" t="e">
        <f ca="1">_xll.BDH($C$278,"NET_FIXED_ASSETS_1_YEAR_GROWTH","FQ2 2014","FQ2 2014","Currency=INR","Period=FQ","BEST_FPERIOD_OVERRIDE=FQ","FILING_STATUS=OR","EQY_CONSOLIDATED=Y","Sort=A","Dates=H","DateFormat=P","Fill=—","Direction=H","UseDPDF=Y")</f>
        <v>#NAME?</v>
      </c>
      <c r="AC280" s="2" t="e">
        <f ca="1">_xll.BDH($C$278,"ASSET_GROWTH","FQ2 2014","FQ2 2014","Currency=INR","Period=FQ","BEST_FPERIOD_OVERRIDE=FQ","FILING_STATUS=OR","EQY_CONSOLIDATED=Y","Sort=A","Dates=H","DateFormat=P","Fill=—","Direction=H","UseDPDF=Y")</f>
        <v>#NAME?</v>
      </c>
      <c r="AD280" s="2" t="e">
        <f ca="1">_xll.BDH($C$278,"MODIFIED_WORK_CAP_GROWTH","FQ2 2014","FQ2 2014","Currency=INR","Period=FQ","BEST_FPERIOD_OVERRIDE=FQ","FILING_STATUS=OR","EQY_CONSOLIDATED=Y","Sort=A","Dates=H","DateFormat=P","Fill=—","Direction=H","UseDPDF=Y")</f>
        <v>#NAME?</v>
      </c>
      <c r="AE280" s="2" t="e">
        <f ca="1">_xll.BDH($C$278,"WORK_CAP_GROWTH","FQ2 2014","FQ2 2014","Currency=INR","Period=FQ","BEST_FPERIOD_OVERRIDE=FQ","FILING_STATUS=OR","EQY_CONSOLIDATED=Y","Sort=A","Dates=H","DateFormat=P","Fill=—","Direction=H","UseDPDF=Y")</f>
        <v>#NAME?</v>
      </c>
      <c r="AF280" s="2" t="e">
        <f ca="1">_xll.BDH($C$278,"ACCOUNTS_PAYABLE_GROWTH_1YR","FQ2 2014","FQ2 2014","Currency=INR","Period=FQ","BEST_FPERIOD_OVERRIDE=FQ","FILING_STATUS=OR","EQY_CONSOLIDATED=Y","Sort=A","Dates=H","DateFormat=P","Fill=—","Direction=H","UseDPDF=Y")</f>
        <v>#NAME?</v>
      </c>
      <c r="AG280" s="2" t="e">
        <f ca="1">_xll.BDH($C$278,"SHORT_TERM_DEBT_1_YEAR_GROWTH","FQ2 2014","FQ2 2014","Currency=INR","Period=FQ","BEST_FPERIOD_OVERRIDE=FQ","FILING_STATUS=OR","EQY_CONSOLIDATED=Y","Sort=A","Dates=H","DateFormat=P","Fill=—","Direction=H","UseDPDF=Y")</f>
        <v>#NAME?</v>
      </c>
      <c r="AH280" s="2" t="e">
        <f ca="1">_xll.BDH($C$278,"TOTAL_DEBT_1_YEAR_GROWTH","FQ2 2014","FQ2 2014","Currency=INR","Period=FQ","BEST_FPERIOD_OVERRIDE=FQ","FILING_STATUS=OR","EQY_CONSOLIDATED=Y","Sort=A","Dates=H","DateFormat=P","Fill=—","Direction=H","UseDPDF=Y")</f>
        <v>#NAME?</v>
      </c>
      <c r="AI280" s="2" t="e">
        <f ca="1">_xll.BDH($C$278,"TOTAL_EQUITY_1_YEAR_GROWTH","FQ2 2014","FQ2 2014","Currency=INR","Period=FQ","BEST_FPERIOD_OVERRIDE=FQ","FILING_STATUS=OR","EQY_CONSOLIDATED=Y","Sort=A","Dates=H","DateFormat=P","Fill=—","Direction=H","UseDPDF=Y")</f>
        <v>#NAME?</v>
      </c>
      <c r="AJ280" s="2" t="e">
        <f ca="1">_xll.BDH($C$278,"GROWTH_IN_CAP","FQ2 2014","FQ2 2014","Currency=INR","Period=FQ","BEST_FPERIOD_OVERRIDE=FQ","FILING_STATUS=OR","EQY_CONSOLIDATED=Y","Sort=A","Dates=H","DateFormat=P","Fill=—","Direction=H","UseDPDF=Y")</f>
        <v>#NAME?</v>
      </c>
      <c r="AK280" s="2" t="e">
        <f ca="1">_xll.BDH($C$278,"BVPS_GROWTH","FQ2 2014","FQ2 2014","Currency=INR","Period=FQ","BEST_FPERIOD_OVERRIDE=FQ","FILING_STATUS=OR","EQY_CONSOLIDATED=Y","Sort=A","Dates=H","DateFormat=P","Fill=—","Direction=H","UseDPDF=Y")</f>
        <v>#NAME?</v>
      </c>
      <c r="AL280" s="2" t="e">
        <f ca="1">_xll.BDH($C$278,"CASH_FLOW_GROWTH","FQ2 2014","FQ2 2014","Currency=INR","Period=FQ","BEST_FPERIOD_OVERRIDE=FQ","FILING_STATUS=OR","EQY_CONSOLIDATED=Y","Sort=A","Dates=H","DateFormat=P","Fill=—","Direction=H","UseDPDF=Y")</f>
        <v>#NAME?</v>
      </c>
      <c r="AM280" s="2" t="e">
        <f ca="1">_xll.BDH($C$278,"GEO_GROW_NET_SALES","FQ2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280" s="2" t="e">
        <f ca="1">_xll.BDH($C$278,"GEO_GROW_EBITDA","FQ2 2014","FQ2 2014","Currency=INR","Period=FQ","BEST_FPERIOD_OVERRIDE=FQ","FILING_STATUS=OR","EQY_CONSOLIDATED=Y","FA_ADJUSTED=GAAP","Sort=A","Dates=H","DateFormat=P","Fill=—","Direction=H","UseDPDF=Y")</f>
        <v>#NAME?</v>
      </c>
      <c r="AO280" s="2" t="e">
        <f ca="1">_xll.BDH($C$278,"GEO_GROW_OPER_INC","FQ2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280" s="2" t="e">
        <f ca="1">_xll.BDH($C$278,"NET_INCOME_TO_COMMON_5_YR_GROWTH","FQ2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280" s="2" t="e">
        <f ca="1">_xll.BDH($C$278,"5Y_GEO_GROWTH_DILUTED_EPS","FQ2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280" s="2" t="e">
        <f ca="1">_xll.BDH($C$278,"GEO_GROW_DVD_PER_SH","FQ2 2014","FQ2 2014","Currency=INR","Period=FQ","BEST_FPERIOD_OVERRIDE=FQ","FILING_STATUS=OR","EQY_CONSOLIDATED=Y","Sort=A","Dates=H","DateFormat=P","Fill=—","Direction=H","UseDPDF=Y")</f>
        <v>#NAME?</v>
      </c>
      <c r="AS280" s="2" t="e">
        <f ca="1">_xll.BDH($C$278,"ACCOUNTS_RECEIVABLE_5_YR_GROWTH","FQ2 2014","FQ2 2014","Currency=INR","Period=FQ","BEST_FPERIOD_OVERRIDE=FQ","FILING_STATUS=OR","EQY_CONSOLIDATED=Y","Sort=A","Dates=H","DateFormat=P","Fill=—","Direction=H","UseDPDF=Y")</f>
        <v>#NAME?</v>
      </c>
      <c r="AT280" s="2" t="e">
        <f ca="1">_xll.BDH($C$278,"INVENTORY_5_YEAR_GROWTH","FQ2 2014","FQ2 2014","Currency=INR","Period=FQ","BEST_FPERIOD_OVERRIDE=FQ","FILING_STATUS=OR","EQY_CONSOLIDATED=Y","Sort=A","Dates=H","DateFormat=P","Fill=—","Direction=H","UseDPDF=Y")</f>
        <v>#NAME?</v>
      </c>
      <c r="AU280" s="2" t="e">
        <f ca="1">_xll.BDH($C$278,"NET_FIXED_ASSETS_5_YEAR_GROWTH","FQ2 2014","FQ2 2014","Currency=INR","Period=FQ","BEST_FPERIOD_OVERRIDE=FQ","FILING_STATUS=OR","EQY_CONSOLIDATED=Y","Sort=A","Dates=H","DateFormat=P","Fill=—","Direction=H","UseDPDF=Y")</f>
        <v>#NAME?</v>
      </c>
      <c r="AV280" s="2" t="e">
        <f ca="1">_xll.BDH($C$278,"GEO_GROW_TOT_ASSET","FQ2 2014","FQ2 2014","Currency=INR","Period=FQ","BEST_FPERIOD_OVERRIDE=FQ","FILING_STATUS=OR","EQY_CONSOLIDATED=Y","Sort=A","Dates=H","DateFormat=P","Fill=—","Direction=H","UseDPDF=Y")</f>
        <v>#NAME?</v>
      </c>
      <c r="AW280" s="2" t="e">
        <f ca="1">_xll.BDH($C$278,"MODIFIED_WORKING_CPTL_5YR_GRWTH","FQ2 2014","FQ2 2014","Currency=INR","Period=FQ","BEST_FPERIOD_OVERRIDE=FQ","FILING_STATUS=OR","EQY_CONSOLIDATED=Y","Sort=A","Dates=H","DateFormat=P","Fill=—","Direction=H","UseDPDF=Y")</f>
        <v>#NAME?</v>
      </c>
      <c r="AX280" s="2" t="e">
        <f ca="1">_xll.BDH($C$278,"WORKING_CAPITAL_5_YEAR_GROWTH","FQ2 2014","FQ2 2014","Currency=INR","Period=FQ","BEST_FPERIOD_OVERRIDE=FQ","FILING_STATUS=OR","EQY_CONSOLIDATED=Y","Sort=A","Dates=H","DateFormat=P","Fill=—","Direction=H","UseDPDF=Y")</f>
        <v>#NAME?</v>
      </c>
      <c r="AY280" s="2" t="e">
        <f ca="1">_xll.BDH($C$278,"ACCOUNTS_PAYABLE_5_YEAR_GROWTH","FQ2 2014","FQ2 2014","Currency=INR","Period=FQ","BEST_FPERIOD_OVERRIDE=FQ","FILING_STATUS=OR","EQY_CONSOLIDATED=Y","Sort=A","Dates=H","DateFormat=P","Fill=—","Direction=H","UseDPDF=Y")</f>
        <v>#NAME?</v>
      </c>
      <c r="AZ280" s="2" t="e">
        <f ca="1">_xll.BDH($C$278,"SHORT_TERM_DEBT_5_YEAR_GROWTH","FQ2 2014","FQ2 2014","Currency=INR","Period=FQ","BEST_FPERIOD_OVERRIDE=FQ","FILING_STATUS=OR","EQY_CONSOLIDATED=Y","Sort=A","Dates=H","DateFormat=P","Fill=—","Direction=H","UseDPDF=Y")</f>
        <v>#NAME?</v>
      </c>
      <c r="BA280" s="2" t="e">
        <f ca="1">_xll.BDH($C$278,"TOTAL_DEBT_5_YEAR_GROWTH","FQ2 2014","FQ2 2014","Currency=INR","Period=FQ","BEST_FPERIOD_OVERRIDE=FQ","FILING_STATUS=OR","EQY_CONSOLIDATED=Y","Sort=A","Dates=H","DateFormat=P","Fill=—","Direction=H","UseDPDF=Y")</f>
        <v>#NAME?</v>
      </c>
      <c r="BB280" s="2" t="e">
        <f ca="1">_xll.BDH($C$278,"GEO_GROW_TOT_SHRHLDR_EQY","FQ2 2014","FQ2 2014","Currency=INR","Period=FQ","BEST_FPERIOD_OVERRIDE=FQ","FILING_STATUS=OR","EQY_CONSOLIDATED=Y","Sort=A","Dates=H","DateFormat=P","Fill=—","Direction=H","UseDPDF=Y")</f>
        <v>#NAME?</v>
      </c>
      <c r="BC280" s="2" t="e">
        <f ca="1">_xll.BDH($C$278,"TOTAL_CAPITAL_5_YEAR_GROWTH","FQ2 2014","FQ2 2014","Currency=INR","Period=FQ","BEST_FPERIOD_OVERRIDE=FQ","FILING_STATUS=OR","EQY_CONSOLIDATED=Y","Sort=A","Dates=H","DateFormat=P","Fill=—","Direction=H","UseDPDF=Y")</f>
        <v>#NAME?</v>
      </c>
      <c r="BD280" s="2" t="e">
        <f ca="1">_xll.BDH($C$278,"GEO_GROW_BOOK_VAL","FQ2 2014","FQ2 2014","Currency=INR","Period=FQ","BEST_FPERIOD_OVERRIDE=FQ","FILING_STATUS=OR","EQY_CONSOLIDATED=Y","Sort=A","Dates=H","DateFormat=P","Fill=—","Direction=H","UseDPDF=Y")</f>
        <v>#NAME?</v>
      </c>
      <c r="BE280" s="2" t="e">
        <f ca="1">_xll.BDH($C$278,"GEO_GROW_CASH_OPER_ACT","FQ2 2014","FQ2 2014","Currency=INR","Period=FQ","BEST_FPERIOD_OVERRIDE=FQ","FILING_STATUS=OR","EQY_CONSOLIDATED=Y","Sort=A","Dates=H","DateFormat=P","Fill=—","Direction=H","UseDPDF=Y")</f>
        <v>#NAME?</v>
      </c>
      <c r="BF280" s="2" t="e">
        <f ca="1">_xll.BDH($C$278,"REVENUE_SEQUENTIAL_GROWTH","FQ2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280" s="2" t="e">
        <f ca="1">_xll.BDH($C$278,"EBITDA_SEQUENTIAL_GROWTH","FQ2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280" s="2" t="e">
        <f ca="1">_xll.BDH($C$278,"OPERATING_INCOME_SEQ_GROWTH","FQ2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280" s="2" t="e">
        <f ca="1">_xll.BDH($C$278,"NET_INCOME_TO_COMMON_SEQ_GROWTH","FQ2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280" s="2" t="e">
        <f ca="1">_xll.BDH($C$278,"EPS_DILUTED_SEQUENTIAL_GROWTH","FQ2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280" s="2" t="e">
        <f ca="1">_xll.BDH($C$278,"DPS_SEQUENTIAL_GROWTH","FQ2 2014","FQ2 2014","Currency=INR","Period=FQ","BEST_FPERIOD_OVERRIDE=FQ","FILING_STATUS=OR","EQY_CONSOLIDATED=Y","Sort=A","Dates=H","DateFormat=P","Fill=—","Direction=H","UseDPDF=Y")</f>
        <v>#NAME?</v>
      </c>
      <c r="BL280" s="2" t="e">
        <f ca="1">_xll.BDH($C$278,"ACCOUNTS_RECEIVABLE_SEQ_GROWTH","FQ2 2014","FQ2 2014","Currency=INR","Period=FQ","BEST_FPERIOD_OVERRIDE=FQ","FILING_STATUS=OR","EQY_CONSOLIDATED=Y","Sort=A","Dates=H","DateFormat=P","Fill=—","Direction=H","UseDPDF=Y")</f>
        <v>#NAME?</v>
      </c>
      <c r="BM280" s="2" t="e">
        <f ca="1">_xll.BDH($C$278,"INVENTORY_SEQUENTIAL_GROWTH","FQ2 2014","FQ2 2014","Currency=INR","Period=FQ","BEST_FPERIOD_OVERRIDE=FQ","FILING_STATUS=OR","EQY_CONSOLIDATED=Y","Sort=A","Dates=H","DateFormat=P","Fill=—","Direction=H","UseDPDF=Y")</f>
        <v>#NAME?</v>
      </c>
      <c r="BN280" s="2" t="e">
        <f ca="1">_xll.BDH($C$278,"FIXED_ASSETS_SEQUENTIAL_GROWTH","FQ2 2014","FQ2 2014","Currency=INR","Period=FQ","BEST_FPERIOD_OVERRIDE=FQ","FILING_STATUS=OR","EQY_CONSOLIDATED=Y","Sort=A","Dates=H","DateFormat=P","Fill=—","Direction=H","UseDPDF=Y")</f>
        <v>#NAME?</v>
      </c>
      <c r="BO280" s="2" t="e">
        <f ca="1">_xll.BDH($C$278,"TOTAL_ASSETS_SEQUENTIAL_GROWTH","FQ2 2014","FQ2 2014","Currency=INR","Period=FQ","BEST_FPERIOD_OVERRIDE=FQ","FILING_STATUS=OR","EQY_CONSOLIDATED=Y","Sort=A","Dates=H","DateFormat=P","Fill=—","Direction=H","UseDPDF=Y")</f>
        <v>#NAME?</v>
      </c>
      <c r="BP280" s="2" t="e">
        <f ca="1">_xll.BDH($C$278,"MODIFIED_WORKING_CPTL_SEQ_GRWTH","FQ2 2014","FQ2 2014","Currency=INR","Period=FQ","BEST_FPERIOD_OVERRIDE=FQ","FILING_STATUS=OR","EQY_CONSOLIDATED=Y","Sort=A","Dates=H","DateFormat=P","Fill=—","Direction=H","UseDPDF=Y")</f>
        <v>#NAME?</v>
      </c>
      <c r="BQ280" s="2" t="e">
        <f ca="1">_xll.BDH($C$278,"WORKING_CAPITAL_SEQ_GROWTH","FQ2 2014","FQ2 2014","Currency=INR","Period=FQ","BEST_FPERIOD_OVERRIDE=FQ","FILING_STATUS=OR","EQY_CONSOLIDATED=Y","Sort=A","Dates=H","DateFormat=P","Fill=—","Direction=H","UseDPDF=Y")</f>
        <v>#NAME?</v>
      </c>
      <c r="BR280" s="2" t="e">
        <f ca="1">_xll.BDH($C$278,"ACCOUNTS_PAYABLE_SEQ_GROWTH","FQ2 2014","FQ2 2014","Currency=INR","Period=FQ","BEST_FPERIOD_OVERRIDE=FQ","FILING_STATUS=OR","EQY_CONSOLIDATED=Y","Sort=A","Dates=H","DateFormat=P","Fill=—","Direction=H","UseDPDF=Y")</f>
        <v>#NAME?</v>
      </c>
      <c r="BS280" s="2" t="e">
        <f ca="1">_xll.BDH($C$278,"ST_DEBT_SEQUENTIAL_GROWTH","FQ2 2014","FQ2 2014","Currency=INR","Period=FQ","BEST_FPERIOD_OVERRIDE=FQ","FILING_STATUS=OR","EQY_CONSOLIDATED=Y","Sort=A","Dates=H","DateFormat=P","Fill=—","Direction=H","UseDPDF=Y")</f>
        <v>#NAME?</v>
      </c>
      <c r="BT280" s="2" t="e">
        <f ca="1">_xll.BDH($C$278,"TOTAL_DEBT_SEQUENTIAL_GROWTH","FQ2 2014","FQ2 2014","Currency=INR","Period=FQ","BEST_FPERIOD_OVERRIDE=FQ","FILING_STATUS=OR","EQY_CONSOLIDATED=Y","Sort=A","Dates=H","DateFormat=P","Fill=—","Direction=H","UseDPDF=Y")</f>
        <v>#NAME?</v>
      </c>
      <c r="BU280" s="2" t="e">
        <f ca="1">_xll.BDH($C$278,"TOTAL_EQUITY_SEQUENTIAL_GROWTH","FQ2 2014","FQ2 2014","Currency=INR","Period=FQ","BEST_FPERIOD_OVERRIDE=FQ","FILING_STATUS=OR","EQY_CONSOLIDATED=Y","Sort=A","Dates=H","DateFormat=P","Fill=—","Direction=H","UseDPDF=Y")</f>
        <v>#NAME?</v>
      </c>
      <c r="BV280" s="2" t="e">
        <f ca="1">_xll.BDH($C$278,"TOTAL_CAPITAL_SEQUENTIAL_GROWTH","FQ2 2014","FQ2 2014","Currency=INR","Period=FQ","BEST_FPERIOD_OVERRIDE=FQ","FILING_STATUS=OR","EQY_CONSOLIDATED=Y","Sort=A","Dates=H","DateFormat=P","Fill=—","Direction=H","UseDPDF=Y")</f>
        <v>#NAME?</v>
      </c>
      <c r="BW280" s="2" t="e">
        <f ca="1">_xll.BDH($C$278,"BPS_SEQUENTIAL_GROWTH","FQ2 2014","FQ2 2014","Currency=INR","Period=FQ","BEST_FPERIOD_OVERRIDE=FQ","FILING_STATUS=OR","EQY_CONSOLIDATED=Y","Sort=A","Dates=H","DateFormat=P","Fill=—","Direction=H","UseDPDF=Y")</f>
        <v>#NAME?</v>
      </c>
      <c r="BX280" s="2" t="e">
        <f ca="1">_xll.BDH($C$278,"CFO_SEQUENTIAL_GROWTH","FQ2 2014","FQ2 2014","Currency=INR","Period=FQ","BEST_FPERIOD_OVERRIDE=FQ","FILING_STATUS=OR","EQY_CONSOLIDATED=Y","Sort=A","Dates=H","DateFormat=P","Fill=—","Direction=H","UseDPDF=Y")</f>
        <v>#NAME?</v>
      </c>
      <c r="BY280" s="3" t="e">
        <f ca="1">_xll.BDH($C$278,"SHORT_AND_LONG_TERM_DEBT","FQ2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280" s="3" t="e">
        <f ca="1">_xll.BDH($C$278,"BS_ST_BORROW","FQ2 2014","FQ2 2014","Currency=INR","Period=FQ","BEST_FPERIOD_OVERRIDE=FQ","FILING_STATUS=OR","EQY_CONSOLIDATED=Y","SCALING_FORMAT=MLN","Sort=A","Dates=H","DateFormat=P","Fill=—","Direction=H","UseDPDF=Y")</f>
        <v>#NAME?</v>
      </c>
      <c r="CA280" s="3" t="e">
        <f ca="1">_xll.BDH($C$278,"BS_LT_BORROW","FQ2 2014","FQ2 2014","Currency=INR","Period=FQ","BEST_FPERIOD_OVERRIDE=FQ","FILING_STATUS=OR","EQY_CONSOLIDATED=Y","SCALING_FORMAT=MLN","Sort=A","Dates=H","DateFormat=P","Fill=—","Direction=H","UseDPDF=Y")</f>
        <v>#NAME?</v>
      </c>
      <c r="CB280" s="2" t="e">
        <f ca="1">_xll.BDH($C$278,"TOT_DEBT_TO_EBITDA","FQ2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280" s="2" t="e">
        <f ca="1">_xll.BDH($C$278,"NET_DEBT_TO_EBITDA","FQ2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280" s="2" t="e">
        <f ca="1">_xll.BDH($C$278,"TOTAL_DEBT_TO_EBIT","FQ2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280" s="2" t="e">
        <f ca="1">_xll.BDH($C$278,"NET_DEBT_TO_EBIT","FQ2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280" s="2" t="e">
        <f ca="1">_xll.BDH($C$278,"EBITDA_TO_INTEREST_EXPN","FQ2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280" s="2" t="e">
        <f ca="1">_xll.BDH($C$278,"COM_EQY_TO_TOT_ASSET","FQ2 2014","FQ2 2014","Currency=INR","Period=FQ","BEST_FPERIOD_OVERRIDE=FQ","FILING_STATUS=OR","EQY_CONSOLIDATED=Y","Sort=A","Dates=H","DateFormat=P","Fill=—","Direction=H","UseDPDF=Y")</f>
        <v>#NAME?</v>
      </c>
      <c r="CH280" s="2" t="e">
        <f ca="1">_xll.BDH($C$278,"LT_DEBT_TO_TOT_EQY","FQ2 2014","FQ2 2014","Currency=INR","Period=FQ","BEST_FPERIOD_OVERRIDE=FQ","FILING_STATUS=OR","EQY_CONSOLIDATED=Y","Sort=A","Dates=H","DateFormat=P","Fill=—","Direction=H","UseDPDF=Y")</f>
        <v>#NAME?</v>
      </c>
      <c r="CI280" s="2" t="e">
        <f ca="1">_xll.BDH($C$278,"LT_DEBT_TO_TOT_CAP","FQ2 2014","FQ2 2014","Currency=INR","Period=FQ","BEST_FPERIOD_OVERRIDE=FQ","FILING_STATUS=OR","EQY_CONSOLIDATED=Y","Sort=A","Dates=H","DateFormat=P","Fill=—","Direction=H","UseDPDF=Y")</f>
        <v>#NAME?</v>
      </c>
      <c r="CJ280" s="2" t="e">
        <f ca="1">_xll.BDH($C$278,"LT_DEBT_TO_TOT_ASSET","FQ2 2014","FQ2 2014","Currency=INR","Period=FQ","BEST_FPERIOD_OVERRIDE=FQ","FILING_STATUS=OR","EQY_CONSOLIDATED=Y","Sort=A","Dates=H","DateFormat=P","Fill=—","Direction=H","UseDPDF=Y")</f>
        <v>#NAME?</v>
      </c>
      <c r="CK280" s="2" t="e">
        <f ca="1">_xll.BDH($C$278,"TOT_DEBT_TO_TOT_EQY","FQ2 2014","FQ2 2014","Currency=INR","Period=FQ","BEST_FPERIOD_OVERRIDE=FQ","FILING_STATUS=OR","EQY_CONSOLIDATED=Y","Sort=A","Dates=H","DateFormat=P","Fill=—","Direction=H","UseDPDF=Y")</f>
        <v>#NAME?</v>
      </c>
      <c r="CL280" s="2" t="e">
        <f ca="1">_xll.BDH($C$278,"TOT_DEBT_TO_TOT_CAP","FQ2 2014","FQ2 2014","Currency=INR","Period=FQ","BEST_FPERIOD_OVERRIDE=FQ","FILING_STATUS=OR","EQY_CONSOLIDATED=Y","Sort=A","Dates=H","DateFormat=P","Fill=—","Direction=H","UseDPDF=Y")</f>
        <v>#NAME?</v>
      </c>
      <c r="CM280" s="2" t="e">
        <f ca="1">_xll.BDH($C$278,"TOT_DEBT_TO_TOT_ASSET","FQ2 2014","FQ2 2014","Currency=INR","Period=FQ","BEST_FPERIOD_OVERRIDE=FQ","FILING_STATUS=OR","EQY_CONSOLIDATED=Y","Sort=A","Dates=H","DateFormat=P","Fill=—","Direction=H","UseDPDF=Y")</f>
        <v>#NAME?</v>
      </c>
      <c r="CN280" s="2" t="e">
        <f ca="1">_xll.BDH($C$278,"NET_DEBT_TO_SHRHLDR_EQTY","FQ2 2014","FQ2 2014","Currency=INR","Period=FQ","BEST_FPERIOD_OVERRIDE=FQ","FILING_STATUS=OR","EQY_CONSOLIDATED=Y","Sort=A","Dates=H","DateFormat=P","Fill=—","Direction=H","UseDPDF=Y")</f>
        <v>#NAME?</v>
      </c>
      <c r="CO280" s="2" t="e">
        <f ca="1">_xll.BDH($C$278,"NET_DEBT_%_CAPITAL","FQ2 2014","FQ2 2014","Currency=INR","Period=FQ","BEST_FPERIOD_OVERRIDE=FQ","FILING_STATUS=OR","EQY_CONSOLIDATED=Y","Sort=A","Dates=H","DateFormat=P","Fill=—","Direction=H","UseDPDF=Y")</f>
        <v>#NAME?</v>
      </c>
      <c r="CP280" s="3" t="e">
        <f ca="1">_xll.BDH($C$278,"EBITDA","FQ2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280" s="3" t="e">
        <f ca="1">_xll.BDH($C$278,"EBITDA_AFTER_CAPEX","FQ2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280" s="3" t="e">
        <f ca="1">_xll.BDH($C$278,"IS_OPER_INC","FQ2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280" s="2" t="e">
        <f ca="1">_xll.BDH($C$278,"CASH_RATIO","FQ2 2014","FQ2 2014","Currency=INR","Period=FQ","BEST_FPERIOD_OVERRIDE=FQ","FILING_STATUS=OR","EQY_CONSOLIDATED=Y","Sort=A","Dates=H","DateFormat=P","Fill=—","Direction=H","UseDPDF=Y")</f>
        <v>#NAME?</v>
      </c>
      <c r="CT280" s="2" t="e">
        <f ca="1">_xll.BDH($C$278,"CUR_RATIO","FQ2 2014","FQ2 2014","Currency=INR","Period=FQ","BEST_FPERIOD_OVERRIDE=FQ","FILING_STATUS=OR","EQY_CONSOLIDATED=Y","Sort=A","Dates=H","DateFormat=P","Fill=—","Direction=H","UseDPDF=Y")</f>
        <v>#NAME?</v>
      </c>
      <c r="CU280" s="2" t="e">
        <f ca="1">_xll.BDH($C$278,"QUICK_RATIO","FQ2 2014","FQ2 2014","Currency=INR","Period=FQ","BEST_FPERIOD_OVERRIDE=FQ","FILING_STATUS=OR","EQY_CONSOLIDATED=Y","Sort=A","Dates=H","DateFormat=P","Fill=—","Direction=H","UseDPDF=Y")</f>
        <v>#NAME?</v>
      </c>
      <c r="CV280" s="2" t="e">
        <f ca="1">_xll.BDH($C$278,"ALTMAN_Z_SCORE","FQ2 2014","FQ2 2014","Currency=INR","Period=FQ","BEST_FPERIOD_OVERRIDE=FQ","FILING_STATUS=OR","EQY_CONSOLIDATED=Y","Sort=A","Dates=H","DateFormat=P","Fill=—","Direction=H","UseDPDF=Y")</f>
        <v>#NAME?</v>
      </c>
      <c r="CW280" s="4" t="e">
        <f ca="1">_xll.BDH($C$278,"ACCT_RCV_TURN","FQ2 2014","FQ2 2014","Currency=INR","Period=FQ","BEST_FPERIOD_OVERRIDE=FQ","FILING_STATUS=OR","EQY_CONSOLIDATED=Y","FA_ADJUSTED=GAAP","Sort=A","Dates=H","DateFormat=P","Fill=—","Direction=H","UseDPDF=Y")</f>
        <v>#NAME?</v>
      </c>
      <c r="CX280" s="2" t="e">
        <f ca="1">_xll.BDH($C$278,"ACCT_RCV_DAYS","FQ2 2014","FQ2 2014","Currency=INR","Period=FQ","BEST_FPERIOD_OVERRIDE=FQ","FILING_STATUS=OR","EQY_CONSOLIDATED=Y","FA_ADJUSTED=GAAP","Sort=A","Dates=H","DateFormat=P","Fill=—","Direction=H","UseDPDF=Y")</f>
        <v>#NAME?</v>
      </c>
      <c r="CY280" s="4" t="e">
        <f ca="1">_xll.BDH($C$278,"INVENT_TURN","FQ2 2014","FQ2 2014","Currency=INR","Period=FQ","BEST_FPERIOD_OVERRIDE=FQ","FILING_STATUS=OR","EQY_CONSOLIDATED=Y","FA_ADJUSTED=GAAP","Sort=A","Dates=H","DateFormat=P","Fill=—","Direction=H","UseDPDF=Y")</f>
        <v>#NAME?</v>
      </c>
      <c r="CZ280" s="2" t="e">
        <f ca="1">_xll.BDH($C$278,"INVENT_DAYS","FQ2 2014","FQ2 2014","Currency=INR","Period=FQ","BEST_FPERIOD_OVERRIDE=FQ","FILING_STATUS=OR","EQY_CONSOLIDATED=Y","FA_ADJUSTED=GAAP","Sort=A","Dates=H","DateFormat=P","Fill=—","Direction=H","UseDPDF=Y")</f>
        <v>#NAME?</v>
      </c>
      <c r="DA280" s="4" t="e">
        <f ca="1">_xll.BDH($C$278,"ACCOUNTS_PAYABLE_TURNOVER","FQ2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280" s="2" t="e">
        <f ca="1">_xll.BDH($C$278,"ACCOUNTS_PAYABLE_TURNOVER_DAYS","FQ2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280" s="4" t="e">
        <f ca="1">_xll.BDH($C$278,"CASH_CONVERSION_CYCLE","FQ2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280" s="4" t="e">
        <f ca="1">_xll.BDH($C$278,"INV_TO_CASH_DAYS","FQ2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280" s="5" t="e">
        <f ca="1">_xll.BDH($C$278,"BS_INVENTORIES","FQ2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280" s="3" t="e">
        <f ca="1">_xll.BDH($C$278,"INVTRY_RAW_MATERIALS","FQ2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280" s="3" t="e">
        <f ca="1">_xll.BDH($C$278,"INVTRY_IN_PROGRESS","FQ2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280" s="3" t="e">
        <f ca="1">_xll.BDH($C$278,"INVTRY_FINISHED_GOODS","FQ2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280" s="3" t="e">
        <f ca="1">_xll.BDH($C$278,"BS_OTHER_INV","FQ2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281" spans="1:113" x14ac:dyDescent="0.3">
      <c r="A281" s="6"/>
      <c r="B281" s="6"/>
      <c r="C281" s="6"/>
      <c r="D281" s="6"/>
      <c r="E281" t="s">
        <v>80</v>
      </c>
      <c r="F281" t="e">
        <f ca="1">_xll.BDH($C$278,"RETURN_COM_EQY","FQ3 2014","FQ3 2014","Currency=INR","Period=FQ","BEST_FPERIOD_OVERRIDE=FQ","FILING_STATUS=OR","EQY_CONSOLIDATED=Y","FA_ADJUSTED=GAAP","Sort=A","Dates=H","DateFormat=P","Fill=—","Direction=H","UseDPDF=Y")</f>
        <v>#NAME?</v>
      </c>
      <c r="G281" t="e">
        <f ca="1">_xll.BDH($C$278,"RETURN_ON_ASSET","FQ3 2014","FQ3 2014","Currency=INR","Period=FQ","BEST_FPERIOD_OVERRIDE=FQ","FILING_STATUS=OR","EQY_CONSOLIDATED=Y","FA_ADJUSTED=GAAP","Sort=A","Dates=H","DateFormat=P","Fill=—","Direction=H","UseDPDF=Y")</f>
        <v>#NAME?</v>
      </c>
      <c r="H281" t="e">
        <f ca="1">_xll.BDH($C$278,"RETURN_ON_CAP","FQ3 2014","FQ3 2014","Currency=INR","Period=FQ","BEST_FPERIOD_OVERRIDE=FQ","FILING_STATUS=OR","EQY_CONSOLIDATED=Y","FA_ADJUSTED=GAAP","Sort=A","Dates=H","DateFormat=P","Fill=—","Direction=H","UseDPDF=Y")</f>
        <v>#NAME?</v>
      </c>
      <c r="I281" t="e">
        <f ca="1">_xll.BDH($C$278,"RETURN_ON_INV_CAPITAL","FQ3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281" t="e">
        <f ca="1">_xll.BDH($C$278,"EBITDA_TO_REVENUE","FQ3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281" t="e">
        <f ca="1">_xll.BDH($C$278,"OPER_MARGIN","FQ3 2014","FQ3 2014","Currency=INR","Period=FQ","BEST_FPERIOD_OVERRIDE=FQ","FILING_STATUS=OR","EQY_CONSOLIDATED=Y","FA_ADJUSTED=GAAP","Sort=A","Dates=H","DateFormat=P","Fill=—","Direction=H","UseDPDF=Y")</f>
        <v>#NAME?</v>
      </c>
      <c r="L281" t="e">
        <f ca="1">_xll.BDH($C$278,"INCREMENTAL_OPERATING_MARGIN","FQ3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281" t="e">
        <f ca="1">_xll.BDH($C$278,"PRETAX_INC_TO_NET_SALES","FQ3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281" t="e">
        <f ca="1">_xll.BDH($C$278,"INC_BEF_XO_ITEMS_TO_NET_SALES","FQ3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281" t="e">
        <f ca="1">_xll.BDH($C$278,"PROF_MARGIN","FQ3 2014","FQ3 2014","Currency=INR","Period=FQ","BEST_FPERIOD_OVERRIDE=FQ","FILING_STATUS=OR","EQY_CONSOLIDATED=Y","FA_ADJUSTED=GAAP","Sort=A","Dates=H","DateFormat=P","Fill=—","Direction=H","UseDPDF=Y")</f>
        <v>#NAME?</v>
      </c>
      <c r="P281" t="e">
        <f ca="1">_xll.BDH($C$278,"NET_INCOME_TO_COMMON_MARGIN","FQ3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281" t="e">
        <f ca="1">_xll.BDH($C$278,"EFF_TAX_RATE","FQ3 2014","FQ3 2014","Currency=INR","Period=FQ","BEST_FPERIOD_OVERRIDE=FQ","FILING_STATUS=OR","EQY_CONSOLIDATED=Y","FA_ADJUSTED=GAAP","Sort=A","Dates=H","DateFormat=P","Fill=—","Direction=H","UseDPDF=Y")</f>
        <v>#NAME?</v>
      </c>
      <c r="R281" t="e">
        <f ca="1">_xll.BDH($C$278,"DVD_PAYOUT_RATIO","FQ3 2014","FQ3 2014","Currency=INR","Period=FQ","BEST_FPERIOD_OVERRIDE=FQ","FILING_STATUS=OR","EQY_CONSOLIDATED=Y","FA_ADJUSTED=GAAP","Sort=A","Dates=H","DateFormat=P","Fill=—","Direction=H","UseDPDF=Y")</f>
        <v>#NAME?</v>
      </c>
      <c r="S281" t="e">
        <f ca="1">_xll.BDH($C$278,"SUSTAIN_GROWTH_RT","FQ3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281" s="2" t="e">
        <f ca="1">_xll.BDH($C$278,"SALES_GROWTH","FQ3 2014","FQ3 2014","Currency=INR","Period=FQ","BEST_FPERIOD_OVERRIDE=FQ","FILING_STATUS=OR","EQY_CONSOLIDATED=Y","FA_ADJUSTED=GAAP","Sort=A","Dates=H","DateFormat=P","Fill=—","Direction=H","UseDPDF=Y")</f>
        <v>#NAME?</v>
      </c>
      <c r="U281" s="2" t="e">
        <f ca="1">_xll.BDH($C$278,"EBITDA_GROWTH","FQ3 2014","FQ3 2014","Currency=INR","Period=FQ","BEST_FPERIOD_OVERRIDE=FQ","FILING_STATUS=OR","EQY_CONSOLIDATED=Y","FA_ADJUSTED=GAAP","Sort=A","Dates=H","DateFormat=P","Fill=—","Direction=H","UseDPDF=Y")</f>
        <v>#NAME?</v>
      </c>
      <c r="V281" s="2" t="e">
        <f ca="1">_xll.BDH($C$278,"OPER_INC_GROWTH","FQ3 2014","FQ3 2014","Currency=INR","Period=FQ","BEST_FPERIOD_OVERRIDE=FQ","FILING_STATUS=OR","EQY_CONSOLIDATED=Y","FA_ADJUSTED=GAAP","Sort=A","Dates=H","DateFormat=P","Fill=—","Direction=H","UseDPDF=Y")</f>
        <v>#NAME?</v>
      </c>
      <c r="W281" s="2" t="e">
        <f ca="1">_xll.BDH($C$278,"EARN_FOR_COM_GROWTH","FQ3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281" s="2" t="e">
        <f ca="1">_xll.BDH($C$278,"DILUTED_EPS_AFT_XO_ITEMS_GROWTH","FQ3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281" s="2" t="e">
        <f ca="1">_xll.BDH($C$278,"DIVIDEND_PER_SHARE_1_YEAR_GROWTH","FQ3 2014","FQ3 2014","Currency=INR","Period=FQ","BEST_FPERIOD_OVERRIDE=FQ","FILING_STATUS=OR","EQY_CONSOLIDATED=Y","Sort=A","Dates=H","DateFormat=P","Fill=—","Direction=H","UseDPDF=Y")</f>
        <v>#NAME?</v>
      </c>
      <c r="Z281" s="2" t="e">
        <f ca="1">_xll.BDH($C$278,"ACCOUNTS_RECEIVABLE_GROWTH","FQ3 2014","FQ3 2014","Currency=INR","Period=FQ","BEST_FPERIOD_OVERRIDE=FQ","FILING_STATUS=OR","EQY_CONSOLIDATED=Y","Sort=A","Dates=H","DateFormat=P","Fill=—","Direction=H","UseDPDF=Y")</f>
        <v>#NAME?</v>
      </c>
      <c r="AA281" s="2" t="e">
        <f ca="1">_xll.BDH($C$278,"INVENTORY_GROWTH","FQ3 2014","FQ3 2014","Currency=INR","Period=FQ","BEST_FPERIOD_OVERRIDE=FQ","FILING_STATUS=OR","EQY_CONSOLIDATED=Y","Sort=A","Dates=H","DateFormat=P","Fill=—","Direction=H","UseDPDF=Y")</f>
        <v>#NAME?</v>
      </c>
      <c r="AB281" s="2" t="e">
        <f ca="1">_xll.BDH($C$278,"NET_FIXED_ASSETS_1_YEAR_GROWTH","FQ3 2014","FQ3 2014","Currency=INR","Period=FQ","BEST_FPERIOD_OVERRIDE=FQ","FILING_STATUS=OR","EQY_CONSOLIDATED=Y","Sort=A","Dates=H","DateFormat=P","Fill=—","Direction=H","UseDPDF=Y")</f>
        <v>#NAME?</v>
      </c>
      <c r="AC281" s="2" t="e">
        <f ca="1">_xll.BDH($C$278,"ASSET_GROWTH","FQ3 2014","FQ3 2014","Currency=INR","Period=FQ","BEST_FPERIOD_OVERRIDE=FQ","FILING_STATUS=OR","EQY_CONSOLIDATED=Y","Sort=A","Dates=H","DateFormat=P","Fill=—","Direction=H","UseDPDF=Y")</f>
        <v>#NAME?</v>
      </c>
      <c r="AD281" s="2" t="e">
        <f ca="1">_xll.BDH($C$278,"MODIFIED_WORK_CAP_GROWTH","FQ3 2014","FQ3 2014","Currency=INR","Period=FQ","BEST_FPERIOD_OVERRIDE=FQ","FILING_STATUS=OR","EQY_CONSOLIDATED=Y","Sort=A","Dates=H","DateFormat=P","Fill=—","Direction=H","UseDPDF=Y")</f>
        <v>#NAME?</v>
      </c>
      <c r="AE281" s="2" t="e">
        <f ca="1">_xll.BDH($C$278,"WORK_CAP_GROWTH","FQ3 2014","FQ3 2014","Currency=INR","Period=FQ","BEST_FPERIOD_OVERRIDE=FQ","FILING_STATUS=OR","EQY_CONSOLIDATED=Y","Sort=A","Dates=H","DateFormat=P","Fill=—","Direction=H","UseDPDF=Y")</f>
        <v>#NAME?</v>
      </c>
      <c r="AF281" s="2" t="e">
        <f ca="1">_xll.BDH($C$278,"ACCOUNTS_PAYABLE_GROWTH_1YR","FQ3 2014","FQ3 2014","Currency=INR","Period=FQ","BEST_FPERIOD_OVERRIDE=FQ","FILING_STATUS=OR","EQY_CONSOLIDATED=Y","Sort=A","Dates=H","DateFormat=P","Fill=—","Direction=H","UseDPDF=Y")</f>
        <v>#NAME?</v>
      </c>
      <c r="AG281" s="2" t="e">
        <f ca="1">_xll.BDH($C$278,"SHORT_TERM_DEBT_1_YEAR_GROWTH","FQ3 2014","FQ3 2014","Currency=INR","Period=FQ","BEST_FPERIOD_OVERRIDE=FQ","FILING_STATUS=OR","EQY_CONSOLIDATED=Y","Sort=A","Dates=H","DateFormat=P","Fill=—","Direction=H","UseDPDF=Y")</f>
        <v>#NAME?</v>
      </c>
      <c r="AH281" s="2" t="e">
        <f ca="1">_xll.BDH($C$278,"TOTAL_DEBT_1_YEAR_GROWTH","FQ3 2014","FQ3 2014","Currency=INR","Period=FQ","BEST_FPERIOD_OVERRIDE=FQ","FILING_STATUS=OR","EQY_CONSOLIDATED=Y","Sort=A","Dates=H","DateFormat=P","Fill=—","Direction=H","UseDPDF=Y")</f>
        <v>#NAME?</v>
      </c>
      <c r="AI281" s="2" t="e">
        <f ca="1">_xll.BDH($C$278,"TOTAL_EQUITY_1_YEAR_GROWTH","FQ3 2014","FQ3 2014","Currency=INR","Period=FQ","BEST_FPERIOD_OVERRIDE=FQ","FILING_STATUS=OR","EQY_CONSOLIDATED=Y","Sort=A","Dates=H","DateFormat=P","Fill=—","Direction=H","UseDPDF=Y")</f>
        <v>#NAME?</v>
      </c>
      <c r="AJ281" s="2" t="e">
        <f ca="1">_xll.BDH($C$278,"GROWTH_IN_CAP","FQ3 2014","FQ3 2014","Currency=INR","Period=FQ","BEST_FPERIOD_OVERRIDE=FQ","FILING_STATUS=OR","EQY_CONSOLIDATED=Y","Sort=A","Dates=H","DateFormat=P","Fill=—","Direction=H","UseDPDF=Y")</f>
        <v>#NAME?</v>
      </c>
      <c r="AK281" s="2" t="e">
        <f ca="1">_xll.BDH($C$278,"BVPS_GROWTH","FQ3 2014","FQ3 2014","Currency=INR","Period=FQ","BEST_FPERIOD_OVERRIDE=FQ","FILING_STATUS=OR","EQY_CONSOLIDATED=Y","Sort=A","Dates=H","DateFormat=P","Fill=—","Direction=H","UseDPDF=Y")</f>
        <v>#NAME?</v>
      </c>
      <c r="AL281" s="2" t="e">
        <f ca="1">_xll.BDH($C$278,"CASH_FLOW_GROWTH","FQ3 2014","FQ3 2014","Currency=INR","Period=FQ","BEST_FPERIOD_OVERRIDE=FQ","FILING_STATUS=OR","EQY_CONSOLIDATED=Y","Sort=A","Dates=H","DateFormat=P","Fill=—","Direction=H","UseDPDF=Y")</f>
        <v>#NAME?</v>
      </c>
      <c r="AM281" s="2" t="e">
        <f ca="1">_xll.BDH($C$278,"GEO_GROW_NET_SALES","FQ3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281" s="2" t="e">
        <f ca="1">_xll.BDH($C$278,"GEO_GROW_EBITDA","FQ3 2014","FQ3 2014","Currency=INR","Period=FQ","BEST_FPERIOD_OVERRIDE=FQ","FILING_STATUS=OR","EQY_CONSOLIDATED=Y","FA_ADJUSTED=GAAP","Sort=A","Dates=H","DateFormat=P","Fill=—","Direction=H","UseDPDF=Y")</f>
        <v>#NAME?</v>
      </c>
      <c r="AO281" s="2" t="e">
        <f ca="1">_xll.BDH($C$278,"GEO_GROW_OPER_INC","FQ3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281" s="2" t="e">
        <f ca="1">_xll.BDH($C$278,"NET_INCOME_TO_COMMON_5_YR_GROWTH","FQ3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281" s="2" t="e">
        <f ca="1">_xll.BDH($C$278,"5Y_GEO_GROWTH_DILUTED_EPS","FQ3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281" s="2" t="e">
        <f ca="1">_xll.BDH($C$278,"GEO_GROW_DVD_PER_SH","FQ3 2014","FQ3 2014","Currency=INR","Period=FQ","BEST_FPERIOD_OVERRIDE=FQ","FILING_STATUS=OR","EQY_CONSOLIDATED=Y","Sort=A","Dates=H","DateFormat=P","Fill=—","Direction=H","UseDPDF=Y")</f>
        <v>#NAME?</v>
      </c>
      <c r="AS281" s="2" t="e">
        <f ca="1">_xll.BDH($C$278,"ACCOUNTS_RECEIVABLE_5_YR_GROWTH","FQ3 2014","FQ3 2014","Currency=INR","Period=FQ","BEST_FPERIOD_OVERRIDE=FQ","FILING_STATUS=OR","EQY_CONSOLIDATED=Y","Sort=A","Dates=H","DateFormat=P","Fill=—","Direction=H","UseDPDF=Y")</f>
        <v>#NAME?</v>
      </c>
      <c r="AT281" s="2" t="e">
        <f ca="1">_xll.BDH($C$278,"INVENTORY_5_YEAR_GROWTH","FQ3 2014","FQ3 2014","Currency=INR","Period=FQ","BEST_FPERIOD_OVERRIDE=FQ","FILING_STATUS=OR","EQY_CONSOLIDATED=Y","Sort=A","Dates=H","DateFormat=P","Fill=—","Direction=H","UseDPDF=Y")</f>
        <v>#NAME?</v>
      </c>
      <c r="AU281" s="2" t="e">
        <f ca="1">_xll.BDH($C$278,"NET_FIXED_ASSETS_5_YEAR_GROWTH","FQ3 2014","FQ3 2014","Currency=INR","Period=FQ","BEST_FPERIOD_OVERRIDE=FQ","FILING_STATUS=OR","EQY_CONSOLIDATED=Y","Sort=A","Dates=H","DateFormat=P","Fill=—","Direction=H","UseDPDF=Y")</f>
        <v>#NAME?</v>
      </c>
      <c r="AV281" s="2" t="e">
        <f ca="1">_xll.BDH($C$278,"GEO_GROW_TOT_ASSET","FQ3 2014","FQ3 2014","Currency=INR","Period=FQ","BEST_FPERIOD_OVERRIDE=FQ","FILING_STATUS=OR","EQY_CONSOLIDATED=Y","Sort=A","Dates=H","DateFormat=P","Fill=—","Direction=H","UseDPDF=Y")</f>
        <v>#NAME?</v>
      </c>
      <c r="AW281" s="2" t="e">
        <f ca="1">_xll.BDH($C$278,"MODIFIED_WORKING_CPTL_5YR_GRWTH","FQ3 2014","FQ3 2014","Currency=INR","Period=FQ","BEST_FPERIOD_OVERRIDE=FQ","FILING_STATUS=OR","EQY_CONSOLIDATED=Y","Sort=A","Dates=H","DateFormat=P","Fill=—","Direction=H","UseDPDF=Y")</f>
        <v>#NAME?</v>
      </c>
      <c r="AX281" s="2" t="e">
        <f ca="1">_xll.BDH($C$278,"WORKING_CAPITAL_5_YEAR_GROWTH","FQ3 2014","FQ3 2014","Currency=INR","Period=FQ","BEST_FPERIOD_OVERRIDE=FQ","FILING_STATUS=OR","EQY_CONSOLIDATED=Y","Sort=A","Dates=H","DateFormat=P","Fill=—","Direction=H","UseDPDF=Y")</f>
        <v>#NAME?</v>
      </c>
      <c r="AY281" s="2" t="e">
        <f ca="1">_xll.BDH($C$278,"ACCOUNTS_PAYABLE_5_YEAR_GROWTH","FQ3 2014","FQ3 2014","Currency=INR","Period=FQ","BEST_FPERIOD_OVERRIDE=FQ","FILING_STATUS=OR","EQY_CONSOLIDATED=Y","Sort=A","Dates=H","DateFormat=P","Fill=—","Direction=H","UseDPDF=Y")</f>
        <v>#NAME?</v>
      </c>
      <c r="AZ281" s="2" t="e">
        <f ca="1">_xll.BDH($C$278,"SHORT_TERM_DEBT_5_YEAR_GROWTH","FQ3 2014","FQ3 2014","Currency=INR","Period=FQ","BEST_FPERIOD_OVERRIDE=FQ","FILING_STATUS=OR","EQY_CONSOLIDATED=Y","Sort=A","Dates=H","DateFormat=P","Fill=—","Direction=H","UseDPDF=Y")</f>
        <v>#NAME?</v>
      </c>
      <c r="BA281" s="2" t="e">
        <f ca="1">_xll.BDH($C$278,"TOTAL_DEBT_5_YEAR_GROWTH","FQ3 2014","FQ3 2014","Currency=INR","Period=FQ","BEST_FPERIOD_OVERRIDE=FQ","FILING_STATUS=OR","EQY_CONSOLIDATED=Y","Sort=A","Dates=H","DateFormat=P","Fill=—","Direction=H","UseDPDF=Y")</f>
        <v>#NAME?</v>
      </c>
      <c r="BB281" s="2" t="e">
        <f ca="1">_xll.BDH($C$278,"GEO_GROW_TOT_SHRHLDR_EQY","FQ3 2014","FQ3 2014","Currency=INR","Period=FQ","BEST_FPERIOD_OVERRIDE=FQ","FILING_STATUS=OR","EQY_CONSOLIDATED=Y","Sort=A","Dates=H","DateFormat=P","Fill=—","Direction=H","UseDPDF=Y")</f>
        <v>#NAME?</v>
      </c>
      <c r="BC281" s="2" t="e">
        <f ca="1">_xll.BDH($C$278,"TOTAL_CAPITAL_5_YEAR_GROWTH","FQ3 2014","FQ3 2014","Currency=INR","Period=FQ","BEST_FPERIOD_OVERRIDE=FQ","FILING_STATUS=OR","EQY_CONSOLIDATED=Y","Sort=A","Dates=H","DateFormat=P","Fill=—","Direction=H","UseDPDF=Y")</f>
        <v>#NAME?</v>
      </c>
      <c r="BD281" s="2" t="e">
        <f ca="1">_xll.BDH($C$278,"GEO_GROW_BOOK_VAL","FQ3 2014","FQ3 2014","Currency=INR","Period=FQ","BEST_FPERIOD_OVERRIDE=FQ","FILING_STATUS=OR","EQY_CONSOLIDATED=Y","Sort=A","Dates=H","DateFormat=P","Fill=—","Direction=H","UseDPDF=Y")</f>
        <v>#NAME?</v>
      </c>
      <c r="BE281" s="2" t="e">
        <f ca="1">_xll.BDH($C$278,"GEO_GROW_CASH_OPER_ACT","FQ3 2014","FQ3 2014","Currency=INR","Period=FQ","BEST_FPERIOD_OVERRIDE=FQ","FILING_STATUS=OR","EQY_CONSOLIDATED=Y","Sort=A","Dates=H","DateFormat=P","Fill=—","Direction=H","UseDPDF=Y")</f>
        <v>#NAME?</v>
      </c>
      <c r="BF281" s="2" t="e">
        <f ca="1">_xll.BDH($C$278,"REVENUE_SEQUENTIAL_GROWTH","FQ3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281" s="2" t="e">
        <f ca="1">_xll.BDH($C$278,"EBITDA_SEQUENTIAL_GROWTH","FQ3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281" s="2" t="e">
        <f ca="1">_xll.BDH($C$278,"OPERATING_INCOME_SEQ_GROWTH","FQ3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281" s="2" t="e">
        <f ca="1">_xll.BDH($C$278,"NET_INCOME_TO_COMMON_SEQ_GROWTH","FQ3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281" s="2" t="e">
        <f ca="1">_xll.BDH($C$278,"EPS_DILUTED_SEQUENTIAL_GROWTH","FQ3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281" s="2" t="e">
        <f ca="1">_xll.BDH($C$278,"DPS_SEQUENTIAL_GROWTH","FQ3 2014","FQ3 2014","Currency=INR","Period=FQ","BEST_FPERIOD_OVERRIDE=FQ","FILING_STATUS=OR","EQY_CONSOLIDATED=Y","Sort=A","Dates=H","DateFormat=P","Fill=—","Direction=H","UseDPDF=Y")</f>
        <v>#NAME?</v>
      </c>
      <c r="BL281" s="2" t="e">
        <f ca="1">_xll.BDH($C$278,"ACCOUNTS_RECEIVABLE_SEQ_GROWTH","FQ3 2014","FQ3 2014","Currency=INR","Period=FQ","BEST_FPERIOD_OVERRIDE=FQ","FILING_STATUS=OR","EQY_CONSOLIDATED=Y","Sort=A","Dates=H","DateFormat=P","Fill=—","Direction=H","UseDPDF=Y")</f>
        <v>#NAME?</v>
      </c>
      <c r="BM281" s="2" t="e">
        <f ca="1">_xll.BDH($C$278,"INVENTORY_SEQUENTIAL_GROWTH","FQ3 2014","FQ3 2014","Currency=INR","Period=FQ","BEST_FPERIOD_OVERRIDE=FQ","FILING_STATUS=OR","EQY_CONSOLIDATED=Y","Sort=A","Dates=H","DateFormat=P","Fill=—","Direction=H","UseDPDF=Y")</f>
        <v>#NAME?</v>
      </c>
      <c r="BN281" s="2" t="e">
        <f ca="1">_xll.BDH($C$278,"FIXED_ASSETS_SEQUENTIAL_GROWTH","FQ3 2014","FQ3 2014","Currency=INR","Period=FQ","BEST_FPERIOD_OVERRIDE=FQ","FILING_STATUS=OR","EQY_CONSOLIDATED=Y","Sort=A","Dates=H","DateFormat=P","Fill=—","Direction=H","UseDPDF=Y")</f>
        <v>#NAME?</v>
      </c>
      <c r="BO281" s="2" t="e">
        <f ca="1">_xll.BDH($C$278,"TOTAL_ASSETS_SEQUENTIAL_GROWTH","FQ3 2014","FQ3 2014","Currency=INR","Period=FQ","BEST_FPERIOD_OVERRIDE=FQ","FILING_STATUS=OR","EQY_CONSOLIDATED=Y","Sort=A","Dates=H","DateFormat=P","Fill=—","Direction=H","UseDPDF=Y")</f>
        <v>#NAME?</v>
      </c>
      <c r="BP281" s="2" t="e">
        <f ca="1">_xll.BDH($C$278,"MODIFIED_WORKING_CPTL_SEQ_GRWTH","FQ3 2014","FQ3 2014","Currency=INR","Period=FQ","BEST_FPERIOD_OVERRIDE=FQ","FILING_STATUS=OR","EQY_CONSOLIDATED=Y","Sort=A","Dates=H","DateFormat=P","Fill=—","Direction=H","UseDPDF=Y")</f>
        <v>#NAME?</v>
      </c>
      <c r="BQ281" s="2" t="e">
        <f ca="1">_xll.BDH($C$278,"WORKING_CAPITAL_SEQ_GROWTH","FQ3 2014","FQ3 2014","Currency=INR","Period=FQ","BEST_FPERIOD_OVERRIDE=FQ","FILING_STATUS=OR","EQY_CONSOLIDATED=Y","Sort=A","Dates=H","DateFormat=P","Fill=—","Direction=H","UseDPDF=Y")</f>
        <v>#NAME?</v>
      </c>
      <c r="BR281" s="2" t="e">
        <f ca="1">_xll.BDH($C$278,"ACCOUNTS_PAYABLE_SEQ_GROWTH","FQ3 2014","FQ3 2014","Currency=INR","Period=FQ","BEST_FPERIOD_OVERRIDE=FQ","FILING_STATUS=OR","EQY_CONSOLIDATED=Y","Sort=A","Dates=H","DateFormat=P","Fill=—","Direction=H","UseDPDF=Y")</f>
        <v>#NAME?</v>
      </c>
      <c r="BS281" s="2" t="e">
        <f ca="1">_xll.BDH($C$278,"ST_DEBT_SEQUENTIAL_GROWTH","FQ3 2014","FQ3 2014","Currency=INR","Period=FQ","BEST_FPERIOD_OVERRIDE=FQ","FILING_STATUS=OR","EQY_CONSOLIDATED=Y","Sort=A","Dates=H","DateFormat=P","Fill=—","Direction=H","UseDPDF=Y")</f>
        <v>#NAME?</v>
      </c>
      <c r="BT281" s="2" t="e">
        <f ca="1">_xll.BDH($C$278,"TOTAL_DEBT_SEQUENTIAL_GROWTH","FQ3 2014","FQ3 2014","Currency=INR","Period=FQ","BEST_FPERIOD_OVERRIDE=FQ","FILING_STATUS=OR","EQY_CONSOLIDATED=Y","Sort=A","Dates=H","DateFormat=P","Fill=—","Direction=H","UseDPDF=Y")</f>
        <v>#NAME?</v>
      </c>
      <c r="BU281" s="2" t="e">
        <f ca="1">_xll.BDH($C$278,"TOTAL_EQUITY_SEQUENTIAL_GROWTH","FQ3 2014","FQ3 2014","Currency=INR","Period=FQ","BEST_FPERIOD_OVERRIDE=FQ","FILING_STATUS=OR","EQY_CONSOLIDATED=Y","Sort=A","Dates=H","DateFormat=P","Fill=—","Direction=H","UseDPDF=Y")</f>
        <v>#NAME?</v>
      </c>
      <c r="BV281" s="2" t="e">
        <f ca="1">_xll.BDH($C$278,"TOTAL_CAPITAL_SEQUENTIAL_GROWTH","FQ3 2014","FQ3 2014","Currency=INR","Period=FQ","BEST_FPERIOD_OVERRIDE=FQ","FILING_STATUS=OR","EQY_CONSOLIDATED=Y","Sort=A","Dates=H","DateFormat=P","Fill=—","Direction=H","UseDPDF=Y")</f>
        <v>#NAME?</v>
      </c>
      <c r="BW281" s="2" t="e">
        <f ca="1">_xll.BDH($C$278,"BPS_SEQUENTIAL_GROWTH","FQ3 2014","FQ3 2014","Currency=INR","Period=FQ","BEST_FPERIOD_OVERRIDE=FQ","FILING_STATUS=OR","EQY_CONSOLIDATED=Y","Sort=A","Dates=H","DateFormat=P","Fill=—","Direction=H","UseDPDF=Y")</f>
        <v>#NAME?</v>
      </c>
      <c r="BX281" s="2" t="e">
        <f ca="1">_xll.BDH($C$278,"CFO_SEQUENTIAL_GROWTH","FQ3 2014","FQ3 2014","Currency=INR","Period=FQ","BEST_FPERIOD_OVERRIDE=FQ","FILING_STATUS=OR","EQY_CONSOLIDATED=Y","Sort=A","Dates=H","DateFormat=P","Fill=—","Direction=H","UseDPDF=Y")</f>
        <v>#NAME?</v>
      </c>
      <c r="BY281" s="3" t="e">
        <f ca="1">_xll.BDH($C$278,"SHORT_AND_LONG_TERM_DEBT","FQ3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281" s="3" t="e">
        <f ca="1">_xll.BDH($C$278,"BS_ST_BORROW","FQ3 2014","FQ3 2014","Currency=INR","Period=FQ","BEST_FPERIOD_OVERRIDE=FQ","FILING_STATUS=OR","EQY_CONSOLIDATED=Y","SCALING_FORMAT=MLN","Sort=A","Dates=H","DateFormat=P","Fill=—","Direction=H","UseDPDF=Y")</f>
        <v>#NAME?</v>
      </c>
      <c r="CA281" s="3" t="e">
        <f ca="1">_xll.BDH($C$278,"BS_LT_BORROW","FQ3 2014","FQ3 2014","Currency=INR","Period=FQ","BEST_FPERIOD_OVERRIDE=FQ","FILING_STATUS=OR","EQY_CONSOLIDATED=Y","SCALING_FORMAT=MLN","Sort=A","Dates=H","DateFormat=P","Fill=—","Direction=H","UseDPDF=Y")</f>
        <v>#NAME?</v>
      </c>
      <c r="CB281" s="2" t="e">
        <f ca="1">_xll.BDH($C$278,"TOT_DEBT_TO_EBITDA","FQ3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281" s="2" t="e">
        <f ca="1">_xll.BDH($C$278,"NET_DEBT_TO_EBITDA","FQ3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281" s="2" t="e">
        <f ca="1">_xll.BDH($C$278,"TOTAL_DEBT_TO_EBIT","FQ3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281" s="2" t="e">
        <f ca="1">_xll.BDH($C$278,"NET_DEBT_TO_EBIT","FQ3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281" s="2" t="e">
        <f ca="1">_xll.BDH($C$278,"EBITDA_TO_INTEREST_EXPN","FQ3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281" s="2" t="e">
        <f ca="1">_xll.BDH($C$278,"COM_EQY_TO_TOT_ASSET","FQ3 2014","FQ3 2014","Currency=INR","Period=FQ","BEST_FPERIOD_OVERRIDE=FQ","FILING_STATUS=OR","EQY_CONSOLIDATED=Y","Sort=A","Dates=H","DateFormat=P","Fill=—","Direction=H","UseDPDF=Y")</f>
        <v>#NAME?</v>
      </c>
      <c r="CH281" s="2" t="e">
        <f ca="1">_xll.BDH($C$278,"LT_DEBT_TO_TOT_EQY","FQ3 2014","FQ3 2014","Currency=INR","Period=FQ","BEST_FPERIOD_OVERRIDE=FQ","FILING_STATUS=OR","EQY_CONSOLIDATED=Y","Sort=A","Dates=H","DateFormat=P","Fill=—","Direction=H","UseDPDF=Y")</f>
        <v>#NAME?</v>
      </c>
      <c r="CI281" s="2" t="e">
        <f ca="1">_xll.BDH($C$278,"LT_DEBT_TO_TOT_CAP","FQ3 2014","FQ3 2014","Currency=INR","Period=FQ","BEST_FPERIOD_OVERRIDE=FQ","FILING_STATUS=OR","EQY_CONSOLIDATED=Y","Sort=A","Dates=H","DateFormat=P","Fill=—","Direction=H","UseDPDF=Y")</f>
        <v>#NAME?</v>
      </c>
      <c r="CJ281" s="2" t="e">
        <f ca="1">_xll.BDH($C$278,"LT_DEBT_TO_TOT_ASSET","FQ3 2014","FQ3 2014","Currency=INR","Period=FQ","BEST_FPERIOD_OVERRIDE=FQ","FILING_STATUS=OR","EQY_CONSOLIDATED=Y","Sort=A","Dates=H","DateFormat=P","Fill=—","Direction=H","UseDPDF=Y")</f>
        <v>#NAME?</v>
      </c>
      <c r="CK281" s="2" t="e">
        <f ca="1">_xll.BDH($C$278,"TOT_DEBT_TO_TOT_EQY","FQ3 2014","FQ3 2014","Currency=INR","Period=FQ","BEST_FPERIOD_OVERRIDE=FQ","FILING_STATUS=OR","EQY_CONSOLIDATED=Y","Sort=A","Dates=H","DateFormat=P","Fill=—","Direction=H","UseDPDF=Y")</f>
        <v>#NAME?</v>
      </c>
      <c r="CL281" s="2" t="e">
        <f ca="1">_xll.BDH($C$278,"TOT_DEBT_TO_TOT_CAP","FQ3 2014","FQ3 2014","Currency=INR","Period=FQ","BEST_FPERIOD_OVERRIDE=FQ","FILING_STATUS=OR","EQY_CONSOLIDATED=Y","Sort=A","Dates=H","DateFormat=P","Fill=—","Direction=H","UseDPDF=Y")</f>
        <v>#NAME?</v>
      </c>
      <c r="CM281" s="2" t="e">
        <f ca="1">_xll.BDH($C$278,"TOT_DEBT_TO_TOT_ASSET","FQ3 2014","FQ3 2014","Currency=INR","Period=FQ","BEST_FPERIOD_OVERRIDE=FQ","FILING_STATUS=OR","EQY_CONSOLIDATED=Y","Sort=A","Dates=H","DateFormat=P","Fill=—","Direction=H","UseDPDF=Y")</f>
        <v>#NAME?</v>
      </c>
      <c r="CN281" s="2" t="e">
        <f ca="1">_xll.BDH($C$278,"NET_DEBT_TO_SHRHLDR_EQTY","FQ3 2014","FQ3 2014","Currency=INR","Period=FQ","BEST_FPERIOD_OVERRIDE=FQ","FILING_STATUS=OR","EQY_CONSOLIDATED=Y","Sort=A","Dates=H","DateFormat=P","Fill=—","Direction=H","UseDPDF=Y")</f>
        <v>#NAME?</v>
      </c>
      <c r="CO281" s="2" t="e">
        <f ca="1">_xll.BDH($C$278,"NET_DEBT_%_CAPITAL","FQ3 2014","FQ3 2014","Currency=INR","Period=FQ","BEST_FPERIOD_OVERRIDE=FQ","FILING_STATUS=OR","EQY_CONSOLIDATED=Y","Sort=A","Dates=H","DateFormat=P","Fill=—","Direction=H","UseDPDF=Y")</f>
        <v>#NAME?</v>
      </c>
      <c r="CP281" s="3" t="e">
        <f ca="1">_xll.BDH($C$278,"EBITDA","FQ3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281" s="3" t="e">
        <f ca="1">_xll.BDH($C$278,"EBITDA_AFTER_CAPEX","FQ3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281" s="3" t="e">
        <f ca="1">_xll.BDH($C$278,"IS_OPER_INC","FQ3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281" s="2" t="e">
        <f ca="1">_xll.BDH($C$278,"CASH_RATIO","FQ3 2014","FQ3 2014","Currency=INR","Period=FQ","BEST_FPERIOD_OVERRIDE=FQ","FILING_STATUS=OR","EQY_CONSOLIDATED=Y","Sort=A","Dates=H","DateFormat=P","Fill=—","Direction=H","UseDPDF=Y")</f>
        <v>#NAME?</v>
      </c>
      <c r="CT281" s="2" t="e">
        <f ca="1">_xll.BDH($C$278,"CUR_RATIO","FQ3 2014","FQ3 2014","Currency=INR","Period=FQ","BEST_FPERIOD_OVERRIDE=FQ","FILING_STATUS=OR","EQY_CONSOLIDATED=Y","Sort=A","Dates=H","DateFormat=P","Fill=—","Direction=H","UseDPDF=Y")</f>
        <v>#NAME?</v>
      </c>
      <c r="CU281" s="2" t="e">
        <f ca="1">_xll.BDH($C$278,"QUICK_RATIO","FQ3 2014","FQ3 2014","Currency=INR","Period=FQ","BEST_FPERIOD_OVERRIDE=FQ","FILING_STATUS=OR","EQY_CONSOLIDATED=Y","Sort=A","Dates=H","DateFormat=P","Fill=—","Direction=H","UseDPDF=Y")</f>
        <v>#NAME?</v>
      </c>
      <c r="CV281" s="2" t="e">
        <f ca="1">_xll.BDH($C$278,"ALTMAN_Z_SCORE","FQ3 2014","FQ3 2014","Currency=INR","Period=FQ","BEST_FPERIOD_OVERRIDE=FQ","FILING_STATUS=OR","EQY_CONSOLIDATED=Y","Sort=A","Dates=H","DateFormat=P","Fill=—","Direction=H","UseDPDF=Y")</f>
        <v>#NAME?</v>
      </c>
      <c r="CW281" s="4" t="e">
        <f ca="1">_xll.BDH($C$278,"ACCT_RCV_TURN","FQ3 2014","FQ3 2014","Currency=INR","Period=FQ","BEST_FPERIOD_OVERRIDE=FQ","FILING_STATUS=OR","EQY_CONSOLIDATED=Y","FA_ADJUSTED=GAAP","Sort=A","Dates=H","DateFormat=P","Fill=—","Direction=H","UseDPDF=Y")</f>
        <v>#NAME?</v>
      </c>
      <c r="CX281" s="2" t="e">
        <f ca="1">_xll.BDH($C$278,"ACCT_RCV_DAYS","FQ3 2014","FQ3 2014","Currency=INR","Period=FQ","BEST_FPERIOD_OVERRIDE=FQ","FILING_STATUS=OR","EQY_CONSOLIDATED=Y","FA_ADJUSTED=GAAP","Sort=A","Dates=H","DateFormat=P","Fill=—","Direction=H","UseDPDF=Y")</f>
        <v>#NAME?</v>
      </c>
      <c r="CY281" s="4" t="e">
        <f ca="1">_xll.BDH($C$278,"INVENT_TURN","FQ3 2014","FQ3 2014","Currency=INR","Period=FQ","BEST_FPERIOD_OVERRIDE=FQ","FILING_STATUS=OR","EQY_CONSOLIDATED=Y","FA_ADJUSTED=GAAP","Sort=A","Dates=H","DateFormat=P","Fill=—","Direction=H","UseDPDF=Y")</f>
        <v>#NAME?</v>
      </c>
      <c r="CZ281" s="2" t="e">
        <f ca="1">_xll.BDH($C$278,"INVENT_DAYS","FQ3 2014","FQ3 2014","Currency=INR","Period=FQ","BEST_FPERIOD_OVERRIDE=FQ","FILING_STATUS=OR","EQY_CONSOLIDATED=Y","FA_ADJUSTED=GAAP","Sort=A","Dates=H","DateFormat=P","Fill=—","Direction=H","UseDPDF=Y")</f>
        <v>#NAME?</v>
      </c>
      <c r="DA281" s="4" t="e">
        <f ca="1">_xll.BDH($C$278,"ACCOUNTS_PAYABLE_TURNOVER","FQ3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281" s="2" t="e">
        <f ca="1">_xll.BDH($C$278,"ACCOUNTS_PAYABLE_TURNOVER_DAYS","FQ3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281" s="4" t="e">
        <f ca="1">_xll.BDH($C$278,"CASH_CONVERSION_CYCLE","FQ3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281" s="4" t="e">
        <f ca="1">_xll.BDH($C$278,"INV_TO_CASH_DAYS","FQ3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281" s="5" t="e">
        <f ca="1">_xll.BDH($C$278,"BS_INVENTORIES","FQ3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281" s="3" t="e">
        <f ca="1">_xll.BDH($C$278,"INVTRY_RAW_MATERIALS","FQ3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281" s="3" t="e">
        <f ca="1">_xll.BDH($C$278,"INVTRY_IN_PROGRESS","FQ3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281" s="3" t="e">
        <f ca="1">_xll.BDH($C$278,"INVTRY_FINISHED_GOODS","FQ3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281" s="3" t="e">
        <f ca="1">_xll.BDH($C$278,"BS_OTHER_INV","FQ3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282" spans="1:113" x14ac:dyDescent="0.3">
      <c r="A282" s="6"/>
      <c r="B282" s="6"/>
      <c r="C282" s="6"/>
      <c r="D282" s="6"/>
      <c r="E282" t="s">
        <v>81</v>
      </c>
      <c r="F282" t="e">
        <f ca="1">_xll.BDH($C$278,"RETURN_COM_EQY","FQ4 2014","FQ4 2014","Currency=INR","Period=FQ","BEST_FPERIOD_OVERRIDE=FQ","FILING_STATUS=OR","EQY_CONSOLIDATED=Y","FA_ADJUSTED=GAAP","Sort=A","Dates=H","DateFormat=P","Fill=—","Direction=H","UseDPDF=Y")</f>
        <v>#NAME?</v>
      </c>
      <c r="G282" t="e">
        <f ca="1">_xll.BDH($C$278,"RETURN_ON_ASSET","FQ4 2014","FQ4 2014","Currency=INR","Period=FQ","BEST_FPERIOD_OVERRIDE=FQ","FILING_STATUS=OR","EQY_CONSOLIDATED=Y","FA_ADJUSTED=GAAP","Sort=A","Dates=H","DateFormat=P","Fill=—","Direction=H","UseDPDF=Y")</f>
        <v>#NAME?</v>
      </c>
      <c r="H282" t="e">
        <f ca="1">_xll.BDH($C$278,"RETURN_ON_CAP","FQ4 2014","FQ4 2014","Currency=INR","Period=FQ","BEST_FPERIOD_OVERRIDE=FQ","FILING_STATUS=OR","EQY_CONSOLIDATED=Y","FA_ADJUSTED=GAAP","Sort=A","Dates=H","DateFormat=P","Fill=—","Direction=H","UseDPDF=Y")</f>
        <v>#NAME?</v>
      </c>
      <c r="I282" t="e">
        <f ca="1">_xll.BDH($C$278,"RETURN_ON_INV_CAPITAL","FQ4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282" t="e">
        <f ca="1">_xll.BDH($C$278,"EBITDA_TO_REVENUE","FQ4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282" t="e">
        <f ca="1">_xll.BDH($C$278,"OPER_MARGIN","FQ4 2014","FQ4 2014","Currency=INR","Period=FQ","BEST_FPERIOD_OVERRIDE=FQ","FILING_STATUS=OR","EQY_CONSOLIDATED=Y","FA_ADJUSTED=GAAP","Sort=A","Dates=H","DateFormat=P","Fill=—","Direction=H","UseDPDF=Y")</f>
        <v>#NAME?</v>
      </c>
      <c r="L282" t="e">
        <f ca="1">_xll.BDH($C$278,"INCREMENTAL_OPERATING_MARGIN","FQ4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282" t="e">
        <f ca="1">_xll.BDH($C$278,"PRETAX_INC_TO_NET_SALES","FQ4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282" t="e">
        <f ca="1">_xll.BDH($C$278,"INC_BEF_XO_ITEMS_TO_NET_SALES","FQ4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282" t="e">
        <f ca="1">_xll.BDH($C$278,"PROF_MARGIN","FQ4 2014","FQ4 2014","Currency=INR","Period=FQ","BEST_FPERIOD_OVERRIDE=FQ","FILING_STATUS=OR","EQY_CONSOLIDATED=Y","FA_ADJUSTED=GAAP","Sort=A","Dates=H","DateFormat=P","Fill=—","Direction=H","UseDPDF=Y")</f>
        <v>#NAME?</v>
      </c>
      <c r="P282" t="e">
        <f ca="1">_xll.BDH($C$278,"NET_INCOME_TO_COMMON_MARGIN","FQ4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282" t="e">
        <f ca="1">_xll.BDH($C$278,"EFF_TAX_RATE","FQ4 2014","FQ4 2014","Currency=INR","Period=FQ","BEST_FPERIOD_OVERRIDE=FQ","FILING_STATUS=OR","EQY_CONSOLIDATED=Y","FA_ADJUSTED=GAAP","Sort=A","Dates=H","DateFormat=P","Fill=—","Direction=H","UseDPDF=Y")</f>
        <v>#NAME?</v>
      </c>
      <c r="R282" t="e">
        <f ca="1">_xll.BDH($C$278,"DVD_PAYOUT_RATIO","FQ4 2014","FQ4 2014","Currency=INR","Period=FQ","BEST_FPERIOD_OVERRIDE=FQ","FILING_STATUS=OR","EQY_CONSOLIDATED=Y","FA_ADJUSTED=GAAP","Sort=A","Dates=H","DateFormat=P","Fill=—","Direction=H","UseDPDF=Y")</f>
        <v>#NAME?</v>
      </c>
      <c r="S282" t="e">
        <f ca="1">_xll.BDH($C$278,"SUSTAIN_GROWTH_RT","FQ4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282" s="2" t="e">
        <f ca="1">_xll.BDH($C$278,"SALES_GROWTH","FQ4 2014","FQ4 2014","Currency=INR","Period=FQ","BEST_FPERIOD_OVERRIDE=FQ","FILING_STATUS=OR","EQY_CONSOLIDATED=Y","FA_ADJUSTED=GAAP","Sort=A","Dates=H","DateFormat=P","Fill=—","Direction=H","UseDPDF=Y")</f>
        <v>#NAME?</v>
      </c>
      <c r="U282" s="2" t="e">
        <f ca="1">_xll.BDH($C$278,"EBITDA_GROWTH","FQ4 2014","FQ4 2014","Currency=INR","Period=FQ","BEST_FPERIOD_OVERRIDE=FQ","FILING_STATUS=OR","EQY_CONSOLIDATED=Y","FA_ADJUSTED=GAAP","Sort=A","Dates=H","DateFormat=P","Fill=—","Direction=H","UseDPDF=Y")</f>
        <v>#NAME?</v>
      </c>
      <c r="V282" s="2" t="e">
        <f ca="1">_xll.BDH($C$278,"OPER_INC_GROWTH","FQ4 2014","FQ4 2014","Currency=INR","Period=FQ","BEST_FPERIOD_OVERRIDE=FQ","FILING_STATUS=OR","EQY_CONSOLIDATED=Y","FA_ADJUSTED=GAAP","Sort=A","Dates=H","DateFormat=P","Fill=—","Direction=H","UseDPDF=Y")</f>
        <v>#NAME?</v>
      </c>
      <c r="W282" s="2" t="e">
        <f ca="1">_xll.BDH($C$278,"EARN_FOR_COM_GROWTH","FQ4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282" s="2" t="e">
        <f ca="1">_xll.BDH($C$278,"DILUTED_EPS_AFT_XO_ITEMS_GROWTH","FQ4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282" s="2" t="e">
        <f ca="1">_xll.BDH($C$278,"DIVIDEND_PER_SHARE_1_YEAR_GROWTH","FQ4 2014","FQ4 2014","Currency=INR","Period=FQ","BEST_FPERIOD_OVERRIDE=FQ","FILING_STATUS=OR","EQY_CONSOLIDATED=Y","Sort=A","Dates=H","DateFormat=P","Fill=—","Direction=H","UseDPDF=Y")</f>
        <v>#NAME?</v>
      </c>
      <c r="Z282" s="2" t="e">
        <f ca="1">_xll.BDH($C$278,"ACCOUNTS_RECEIVABLE_GROWTH","FQ4 2014","FQ4 2014","Currency=INR","Period=FQ","BEST_FPERIOD_OVERRIDE=FQ","FILING_STATUS=OR","EQY_CONSOLIDATED=Y","Sort=A","Dates=H","DateFormat=P","Fill=—","Direction=H","UseDPDF=Y")</f>
        <v>#NAME?</v>
      </c>
      <c r="AA282" s="2" t="e">
        <f ca="1">_xll.BDH($C$278,"INVENTORY_GROWTH","FQ4 2014","FQ4 2014","Currency=INR","Period=FQ","BEST_FPERIOD_OVERRIDE=FQ","FILING_STATUS=OR","EQY_CONSOLIDATED=Y","Sort=A","Dates=H","DateFormat=P","Fill=—","Direction=H","UseDPDF=Y")</f>
        <v>#NAME?</v>
      </c>
      <c r="AB282" s="2" t="e">
        <f ca="1">_xll.BDH($C$278,"NET_FIXED_ASSETS_1_YEAR_GROWTH","FQ4 2014","FQ4 2014","Currency=INR","Period=FQ","BEST_FPERIOD_OVERRIDE=FQ","FILING_STATUS=OR","EQY_CONSOLIDATED=Y","Sort=A","Dates=H","DateFormat=P","Fill=—","Direction=H","UseDPDF=Y")</f>
        <v>#NAME?</v>
      </c>
      <c r="AC282" s="2" t="e">
        <f ca="1">_xll.BDH($C$278,"ASSET_GROWTH","FQ4 2014","FQ4 2014","Currency=INR","Period=FQ","BEST_FPERIOD_OVERRIDE=FQ","FILING_STATUS=OR","EQY_CONSOLIDATED=Y","Sort=A","Dates=H","DateFormat=P","Fill=—","Direction=H","UseDPDF=Y")</f>
        <v>#NAME?</v>
      </c>
      <c r="AD282" s="2" t="e">
        <f ca="1">_xll.BDH($C$278,"MODIFIED_WORK_CAP_GROWTH","FQ4 2014","FQ4 2014","Currency=INR","Period=FQ","BEST_FPERIOD_OVERRIDE=FQ","FILING_STATUS=OR","EQY_CONSOLIDATED=Y","Sort=A","Dates=H","DateFormat=P","Fill=—","Direction=H","UseDPDF=Y")</f>
        <v>#NAME?</v>
      </c>
      <c r="AE282" s="2" t="e">
        <f ca="1">_xll.BDH($C$278,"WORK_CAP_GROWTH","FQ4 2014","FQ4 2014","Currency=INR","Period=FQ","BEST_FPERIOD_OVERRIDE=FQ","FILING_STATUS=OR","EQY_CONSOLIDATED=Y","Sort=A","Dates=H","DateFormat=P","Fill=—","Direction=H","UseDPDF=Y")</f>
        <v>#NAME?</v>
      </c>
      <c r="AF282" s="2" t="e">
        <f ca="1">_xll.BDH($C$278,"ACCOUNTS_PAYABLE_GROWTH_1YR","FQ4 2014","FQ4 2014","Currency=INR","Period=FQ","BEST_FPERIOD_OVERRIDE=FQ","FILING_STATUS=OR","EQY_CONSOLIDATED=Y","Sort=A","Dates=H","DateFormat=P","Fill=—","Direction=H","UseDPDF=Y")</f>
        <v>#NAME?</v>
      </c>
      <c r="AG282" s="2" t="e">
        <f ca="1">_xll.BDH($C$278,"SHORT_TERM_DEBT_1_YEAR_GROWTH","FQ4 2014","FQ4 2014","Currency=INR","Period=FQ","BEST_FPERIOD_OVERRIDE=FQ","FILING_STATUS=OR","EQY_CONSOLIDATED=Y","Sort=A","Dates=H","DateFormat=P","Fill=—","Direction=H","UseDPDF=Y")</f>
        <v>#NAME?</v>
      </c>
      <c r="AH282" s="2" t="e">
        <f ca="1">_xll.BDH($C$278,"TOTAL_DEBT_1_YEAR_GROWTH","FQ4 2014","FQ4 2014","Currency=INR","Period=FQ","BEST_FPERIOD_OVERRIDE=FQ","FILING_STATUS=OR","EQY_CONSOLIDATED=Y","Sort=A","Dates=H","DateFormat=P","Fill=—","Direction=H","UseDPDF=Y")</f>
        <v>#NAME?</v>
      </c>
      <c r="AI282" s="2" t="e">
        <f ca="1">_xll.BDH($C$278,"TOTAL_EQUITY_1_YEAR_GROWTH","FQ4 2014","FQ4 2014","Currency=INR","Period=FQ","BEST_FPERIOD_OVERRIDE=FQ","FILING_STATUS=OR","EQY_CONSOLIDATED=Y","Sort=A","Dates=H","DateFormat=P","Fill=—","Direction=H","UseDPDF=Y")</f>
        <v>#NAME?</v>
      </c>
      <c r="AJ282" s="2" t="e">
        <f ca="1">_xll.BDH($C$278,"GROWTH_IN_CAP","FQ4 2014","FQ4 2014","Currency=INR","Period=FQ","BEST_FPERIOD_OVERRIDE=FQ","FILING_STATUS=OR","EQY_CONSOLIDATED=Y","Sort=A","Dates=H","DateFormat=P","Fill=—","Direction=H","UseDPDF=Y")</f>
        <v>#NAME?</v>
      </c>
      <c r="AK282" s="2" t="e">
        <f ca="1">_xll.BDH($C$278,"BVPS_GROWTH","FQ4 2014","FQ4 2014","Currency=INR","Period=FQ","BEST_FPERIOD_OVERRIDE=FQ","FILING_STATUS=OR","EQY_CONSOLIDATED=Y","Sort=A","Dates=H","DateFormat=P","Fill=—","Direction=H","UseDPDF=Y")</f>
        <v>#NAME?</v>
      </c>
      <c r="AL282" s="2" t="e">
        <f ca="1">_xll.BDH($C$278,"CASH_FLOW_GROWTH","FQ4 2014","FQ4 2014","Currency=INR","Period=FQ","BEST_FPERIOD_OVERRIDE=FQ","FILING_STATUS=OR","EQY_CONSOLIDATED=Y","Sort=A","Dates=H","DateFormat=P","Fill=—","Direction=H","UseDPDF=Y")</f>
        <v>#NAME?</v>
      </c>
      <c r="AM282" s="2" t="e">
        <f ca="1">_xll.BDH($C$278,"GEO_GROW_NET_SALES","FQ4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282" s="2" t="e">
        <f ca="1">_xll.BDH($C$278,"GEO_GROW_EBITDA","FQ4 2014","FQ4 2014","Currency=INR","Period=FQ","BEST_FPERIOD_OVERRIDE=FQ","FILING_STATUS=OR","EQY_CONSOLIDATED=Y","FA_ADJUSTED=GAAP","Sort=A","Dates=H","DateFormat=P","Fill=—","Direction=H","UseDPDF=Y")</f>
        <v>#NAME?</v>
      </c>
      <c r="AO282" s="2" t="e">
        <f ca="1">_xll.BDH($C$278,"GEO_GROW_OPER_INC","FQ4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282" s="2" t="e">
        <f ca="1">_xll.BDH($C$278,"NET_INCOME_TO_COMMON_5_YR_GROWTH","FQ4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282" s="2" t="e">
        <f ca="1">_xll.BDH($C$278,"5Y_GEO_GROWTH_DILUTED_EPS","FQ4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282" s="2" t="e">
        <f ca="1">_xll.BDH($C$278,"GEO_GROW_DVD_PER_SH","FQ4 2014","FQ4 2014","Currency=INR","Period=FQ","BEST_FPERIOD_OVERRIDE=FQ","FILING_STATUS=OR","EQY_CONSOLIDATED=Y","Sort=A","Dates=H","DateFormat=P","Fill=—","Direction=H","UseDPDF=Y")</f>
        <v>#NAME?</v>
      </c>
      <c r="AS282" s="2" t="e">
        <f ca="1">_xll.BDH($C$278,"ACCOUNTS_RECEIVABLE_5_YR_GROWTH","FQ4 2014","FQ4 2014","Currency=INR","Period=FQ","BEST_FPERIOD_OVERRIDE=FQ","FILING_STATUS=OR","EQY_CONSOLIDATED=Y","Sort=A","Dates=H","DateFormat=P","Fill=—","Direction=H","UseDPDF=Y")</f>
        <v>#NAME?</v>
      </c>
      <c r="AT282" s="2" t="e">
        <f ca="1">_xll.BDH($C$278,"INVENTORY_5_YEAR_GROWTH","FQ4 2014","FQ4 2014","Currency=INR","Period=FQ","BEST_FPERIOD_OVERRIDE=FQ","FILING_STATUS=OR","EQY_CONSOLIDATED=Y","Sort=A","Dates=H","DateFormat=P","Fill=—","Direction=H","UseDPDF=Y")</f>
        <v>#NAME?</v>
      </c>
      <c r="AU282" s="2" t="e">
        <f ca="1">_xll.BDH($C$278,"NET_FIXED_ASSETS_5_YEAR_GROWTH","FQ4 2014","FQ4 2014","Currency=INR","Period=FQ","BEST_FPERIOD_OVERRIDE=FQ","FILING_STATUS=OR","EQY_CONSOLIDATED=Y","Sort=A","Dates=H","DateFormat=P","Fill=—","Direction=H","UseDPDF=Y")</f>
        <v>#NAME?</v>
      </c>
      <c r="AV282" s="2" t="e">
        <f ca="1">_xll.BDH($C$278,"GEO_GROW_TOT_ASSET","FQ4 2014","FQ4 2014","Currency=INR","Period=FQ","BEST_FPERIOD_OVERRIDE=FQ","FILING_STATUS=OR","EQY_CONSOLIDATED=Y","Sort=A","Dates=H","DateFormat=P","Fill=—","Direction=H","UseDPDF=Y")</f>
        <v>#NAME?</v>
      </c>
      <c r="AW282" s="2" t="e">
        <f ca="1">_xll.BDH($C$278,"MODIFIED_WORKING_CPTL_5YR_GRWTH","FQ4 2014","FQ4 2014","Currency=INR","Period=FQ","BEST_FPERIOD_OVERRIDE=FQ","FILING_STATUS=OR","EQY_CONSOLIDATED=Y","Sort=A","Dates=H","DateFormat=P","Fill=—","Direction=H","UseDPDF=Y")</f>
        <v>#NAME?</v>
      </c>
      <c r="AX282" s="2" t="e">
        <f ca="1">_xll.BDH($C$278,"WORKING_CAPITAL_5_YEAR_GROWTH","FQ4 2014","FQ4 2014","Currency=INR","Period=FQ","BEST_FPERIOD_OVERRIDE=FQ","FILING_STATUS=OR","EQY_CONSOLIDATED=Y","Sort=A","Dates=H","DateFormat=P","Fill=—","Direction=H","UseDPDF=Y")</f>
        <v>#NAME?</v>
      </c>
      <c r="AY282" s="2" t="e">
        <f ca="1">_xll.BDH($C$278,"ACCOUNTS_PAYABLE_5_YEAR_GROWTH","FQ4 2014","FQ4 2014","Currency=INR","Period=FQ","BEST_FPERIOD_OVERRIDE=FQ","FILING_STATUS=OR","EQY_CONSOLIDATED=Y","Sort=A","Dates=H","DateFormat=P","Fill=—","Direction=H","UseDPDF=Y")</f>
        <v>#NAME?</v>
      </c>
      <c r="AZ282" s="2" t="e">
        <f ca="1">_xll.BDH($C$278,"SHORT_TERM_DEBT_5_YEAR_GROWTH","FQ4 2014","FQ4 2014","Currency=INR","Period=FQ","BEST_FPERIOD_OVERRIDE=FQ","FILING_STATUS=OR","EQY_CONSOLIDATED=Y","Sort=A","Dates=H","DateFormat=P","Fill=—","Direction=H","UseDPDF=Y")</f>
        <v>#NAME?</v>
      </c>
      <c r="BA282" s="2" t="e">
        <f ca="1">_xll.BDH($C$278,"TOTAL_DEBT_5_YEAR_GROWTH","FQ4 2014","FQ4 2014","Currency=INR","Period=FQ","BEST_FPERIOD_OVERRIDE=FQ","FILING_STATUS=OR","EQY_CONSOLIDATED=Y","Sort=A","Dates=H","DateFormat=P","Fill=—","Direction=H","UseDPDF=Y")</f>
        <v>#NAME?</v>
      </c>
      <c r="BB282" s="2" t="e">
        <f ca="1">_xll.BDH($C$278,"GEO_GROW_TOT_SHRHLDR_EQY","FQ4 2014","FQ4 2014","Currency=INR","Period=FQ","BEST_FPERIOD_OVERRIDE=FQ","FILING_STATUS=OR","EQY_CONSOLIDATED=Y","Sort=A","Dates=H","DateFormat=P","Fill=—","Direction=H","UseDPDF=Y")</f>
        <v>#NAME?</v>
      </c>
      <c r="BC282" s="2" t="e">
        <f ca="1">_xll.BDH($C$278,"TOTAL_CAPITAL_5_YEAR_GROWTH","FQ4 2014","FQ4 2014","Currency=INR","Period=FQ","BEST_FPERIOD_OVERRIDE=FQ","FILING_STATUS=OR","EQY_CONSOLIDATED=Y","Sort=A","Dates=H","DateFormat=P","Fill=—","Direction=H","UseDPDF=Y")</f>
        <v>#NAME?</v>
      </c>
      <c r="BD282" s="2" t="e">
        <f ca="1">_xll.BDH($C$278,"GEO_GROW_BOOK_VAL","FQ4 2014","FQ4 2014","Currency=INR","Period=FQ","BEST_FPERIOD_OVERRIDE=FQ","FILING_STATUS=OR","EQY_CONSOLIDATED=Y","Sort=A","Dates=H","DateFormat=P","Fill=—","Direction=H","UseDPDF=Y")</f>
        <v>#NAME?</v>
      </c>
      <c r="BE282" s="2" t="e">
        <f ca="1">_xll.BDH($C$278,"GEO_GROW_CASH_OPER_ACT","FQ4 2014","FQ4 2014","Currency=INR","Period=FQ","BEST_FPERIOD_OVERRIDE=FQ","FILING_STATUS=OR","EQY_CONSOLIDATED=Y","Sort=A","Dates=H","DateFormat=P","Fill=—","Direction=H","UseDPDF=Y")</f>
        <v>#NAME?</v>
      </c>
      <c r="BF282" s="2" t="e">
        <f ca="1">_xll.BDH($C$278,"REVENUE_SEQUENTIAL_GROWTH","FQ4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282" s="2" t="e">
        <f ca="1">_xll.BDH($C$278,"EBITDA_SEQUENTIAL_GROWTH","FQ4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282" s="2" t="e">
        <f ca="1">_xll.BDH($C$278,"OPERATING_INCOME_SEQ_GROWTH","FQ4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282" s="2" t="e">
        <f ca="1">_xll.BDH($C$278,"NET_INCOME_TO_COMMON_SEQ_GROWTH","FQ4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282" s="2" t="e">
        <f ca="1">_xll.BDH($C$278,"EPS_DILUTED_SEQUENTIAL_GROWTH","FQ4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282" s="2" t="e">
        <f ca="1">_xll.BDH($C$278,"DPS_SEQUENTIAL_GROWTH","FQ4 2014","FQ4 2014","Currency=INR","Period=FQ","BEST_FPERIOD_OVERRIDE=FQ","FILING_STATUS=OR","EQY_CONSOLIDATED=Y","Sort=A","Dates=H","DateFormat=P","Fill=—","Direction=H","UseDPDF=Y")</f>
        <v>#NAME?</v>
      </c>
      <c r="BL282" s="2" t="e">
        <f ca="1">_xll.BDH($C$278,"ACCOUNTS_RECEIVABLE_SEQ_GROWTH","FQ4 2014","FQ4 2014","Currency=INR","Period=FQ","BEST_FPERIOD_OVERRIDE=FQ","FILING_STATUS=OR","EQY_CONSOLIDATED=Y","Sort=A","Dates=H","DateFormat=P","Fill=—","Direction=H","UseDPDF=Y")</f>
        <v>#NAME?</v>
      </c>
      <c r="BM282" s="2" t="e">
        <f ca="1">_xll.BDH($C$278,"INVENTORY_SEQUENTIAL_GROWTH","FQ4 2014","FQ4 2014","Currency=INR","Period=FQ","BEST_FPERIOD_OVERRIDE=FQ","FILING_STATUS=OR","EQY_CONSOLIDATED=Y","Sort=A","Dates=H","DateFormat=P","Fill=—","Direction=H","UseDPDF=Y")</f>
        <v>#NAME?</v>
      </c>
      <c r="BN282" s="2" t="e">
        <f ca="1">_xll.BDH($C$278,"FIXED_ASSETS_SEQUENTIAL_GROWTH","FQ4 2014","FQ4 2014","Currency=INR","Period=FQ","BEST_FPERIOD_OVERRIDE=FQ","FILING_STATUS=OR","EQY_CONSOLIDATED=Y","Sort=A","Dates=H","DateFormat=P","Fill=—","Direction=H","UseDPDF=Y")</f>
        <v>#NAME?</v>
      </c>
      <c r="BO282" s="2" t="e">
        <f ca="1">_xll.BDH($C$278,"TOTAL_ASSETS_SEQUENTIAL_GROWTH","FQ4 2014","FQ4 2014","Currency=INR","Period=FQ","BEST_FPERIOD_OVERRIDE=FQ","FILING_STATUS=OR","EQY_CONSOLIDATED=Y","Sort=A","Dates=H","DateFormat=P","Fill=—","Direction=H","UseDPDF=Y")</f>
        <v>#NAME?</v>
      </c>
      <c r="BP282" s="2" t="e">
        <f ca="1">_xll.BDH($C$278,"MODIFIED_WORKING_CPTL_SEQ_GRWTH","FQ4 2014","FQ4 2014","Currency=INR","Period=FQ","BEST_FPERIOD_OVERRIDE=FQ","FILING_STATUS=OR","EQY_CONSOLIDATED=Y","Sort=A","Dates=H","DateFormat=P","Fill=—","Direction=H","UseDPDF=Y")</f>
        <v>#NAME?</v>
      </c>
      <c r="BQ282" s="2" t="e">
        <f ca="1">_xll.BDH($C$278,"WORKING_CAPITAL_SEQ_GROWTH","FQ4 2014","FQ4 2014","Currency=INR","Period=FQ","BEST_FPERIOD_OVERRIDE=FQ","FILING_STATUS=OR","EQY_CONSOLIDATED=Y","Sort=A","Dates=H","DateFormat=P","Fill=—","Direction=H","UseDPDF=Y")</f>
        <v>#NAME?</v>
      </c>
      <c r="BR282" s="2" t="e">
        <f ca="1">_xll.BDH($C$278,"ACCOUNTS_PAYABLE_SEQ_GROWTH","FQ4 2014","FQ4 2014","Currency=INR","Period=FQ","BEST_FPERIOD_OVERRIDE=FQ","FILING_STATUS=OR","EQY_CONSOLIDATED=Y","Sort=A","Dates=H","DateFormat=P","Fill=—","Direction=H","UseDPDF=Y")</f>
        <v>#NAME?</v>
      </c>
      <c r="BS282" s="2" t="e">
        <f ca="1">_xll.BDH($C$278,"ST_DEBT_SEQUENTIAL_GROWTH","FQ4 2014","FQ4 2014","Currency=INR","Period=FQ","BEST_FPERIOD_OVERRIDE=FQ","FILING_STATUS=OR","EQY_CONSOLIDATED=Y","Sort=A","Dates=H","DateFormat=P","Fill=—","Direction=H","UseDPDF=Y")</f>
        <v>#NAME?</v>
      </c>
      <c r="BT282" s="2" t="e">
        <f ca="1">_xll.BDH($C$278,"TOTAL_DEBT_SEQUENTIAL_GROWTH","FQ4 2014","FQ4 2014","Currency=INR","Period=FQ","BEST_FPERIOD_OVERRIDE=FQ","FILING_STATUS=OR","EQY_CONSOLIDATED=Y","Sort=A","Dates=H","DateFormat=P","Fill=—","Direction=H","UseDPDF=Y")</f>
        <v>#NAME?</v>
      </c>
      <c r="BU282" s="2" t="e">
        <f ca="1">_xll.BDH($C$278,"TOTAL_EQUITY_SEQUENTIAL_GROWTH","FQ4 2014","FQ4 2014","Currency=INR","Period=FQ","BEST_FPERIOD_OVERRIDE=FQ","FILING_STATUS=OR","EQY_CONSOLIDATED=Y","Sort=A","Dates=H","DateFormat=P","Fill=—","Direction=H","UseDPDF=Y")</f>
        <v>#NAME?</v>
      </c>
      <c r="BV282" s="2" t="e">
        <f ca="1">_xll.BDH($C$278,"TOTAL_CAPITAL_SEQUENTIAL_GROWTH","FQ4 2014","FQ4 2014","Currency=INR","Period=FQ","BEST_FPERIOD_OVERRIDE=FQ","FILING_STATUS=OR","EQY_CONSOLIDATED=Y","Sort=A","Dates=H","DateFormat=P","Fill=—","Direction=H","UseDPDF=Y")</f>
        <v>#NAME?</v>
      </c>
      <c r="BW282" s="2" t="e">
        <f ca="1">_xll.BDH($C$278,"BPS_SEQUENTIAL_GROWTH","FQ4 2014","FQ4 2014","Currency=INR","Period=FQ","BEST_FPERIOD_OVERRIDE=FQ","FILING_STATUS=OR","EQY_CONSOLIDATED=Y","Sort=A","Dates=H","DateFormat=P","Fill=—","Direction=H","UseDPDF=Y")</f>
        <v>#NAME?</v>
      </c>
      <c r="BX282" s="2" t="e">
        <f ca="1">_xll.BDH($C$278,"CFO_SEQUENTIAL_GROWTH","FQ4 2014","FQ4 2014","Currency=INR","Period=FQ","BEST_FPERIOD_OVERRIDE=FQ","FILING_STATUS=OR","EQY_CONSOLIDATED=Y","Sort=A","Dates=H","DateFormat=P","Fill=—","Direction=H","UseDPDF=Y")</f>
        <v>#NAME?</v>
      </c>
      <c r="BY282" s="3" t="e">
        <f ca="1">_xll.BDH($C$278,"SHORT_AND_LONG_TERM_DEBT","FQ4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282" s="3" t="e">
        <f ca="1">_xll.BDH($C$278,"BS_ST_BORROW","FQ4 2014","FQ4 2014","Currency=INR","Period=FQ","BEST_FPERIOD_OVERRIDE=FQ","FILING_STATUS=OR","EQY_CONSOLIDATED=Y","SCALING_FORMAT=MLN","Sort=A","Dates=H","DateFormat=P","Fill=—","Direction=H","UseDPDF=Y")</f>
        <v>#NAME?</v>
      </c>
      <c r="CA282" s="3" t="e">
        <f ca="1">_xll.BDH($C$278,"BS_LT_BORROW","FQ4 2014","FQ4 2014","Currency=INR","Period=FQ","BEST_FPERIOD_OVERRIDE=FQ","FILING_STATUS=OR","EQY_CONSOLIDATED=Y","SCALING_FORMAT=MLN","Sort=A","Dates=H","DateFormat=P","Fill=—","Direction=H","UseDPDF=Y")</f>
        <v>#NAME?</v>
      </c>
      <c r="CB282" s="2" t="e">
        <f ca="1">_xll.BDH($C$278,"TOT_DEBT_TO_EBITDA","FQ4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282" s="2" t="e">
        <f ca="1">_xll.BDH($C$278,"NET_DEBT_TO_EBITDA","FQ4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282" s="2" t="e">
        <f ca="1">_xll.BDH($C$278,"TOTAL_DEBT_TO_EBIT","FQ4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282" s="2" t="e">
        <f ca="1">_xll.BDH($C$278,"NET_DEBT_TO_EBIT","FQ4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282" s="2" t="e">
        <f ca="1">_xll.BDH($C$278,"EBITDA_TO_INTEREST_EXPN","FQ4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282" s="2" t="e">
        <f ca="1">_xll.BDH($C$278,"COM_EQY_TO_TOT_ASSET","FQ4 2014","FQ4 2014","Currency=INR","Period=FQ","BEST_FPERIOD_OVERRIDE=FQ","FILING_STATUS=OR","EQY_CONSOLIDATED=Y","Sort=A","Dates=H","DateFormat=P","Fill=—","Direction=H","UseDPDF=Y")</f>
        <v>#NAME?</v>
      </c>
      <c r="CH282" s="2" t="e">
        <f ca="1">_xll.BDH($C$278,"LT_DEBT_TO_TOT_EQY","FQ4 2014","FQ4 2014","Currency=INR","Period=FQ","BEST_FPERIOD_OVERRIDE=FQ","FILING_STATUS=OR","EQY_CONSOLIDATED=Y","Sort=A","Dates=H","DateFormat=P","Fill=—","Direction=H","UseDPDF=Y")</f>
        <v>#NAME?</v>
      </c>
      <c r="CI282" s="2" t="e">
        <f ca="1">_xll.BDH($C$278,"LT_DEBT_TO_TOT_CAP","FQ4 2014","FQ4 2014","Currency=INR","Period=FQ","BEST_FPERIOD_OVERRIDE=FQ","FILING_STATUS=OR","EQY_CONSOLIDATED=Y","Sort=A","Dates=H","DateFormat=P","Fill=—","Direction=H","UseDPDF=Y")</f>
        <v>#NAME?</v>
      </c>
      <c r="CJ282" s="2" t="e">
        <f ca="1">_xll.BDH($C$278,"LT_DEBT_TO_TOT_ASSET","FQ4 2014","FQ4 2014","Currency=INR","Period=FQ","BEST_FPERIOD_OVERRIDE=FQ","FILING_STATUS=OR","EQY_CONSOLIDATED=Y","Sort=A","Dates=H","DateFormat=P","Fill=—","Direction=H","UseDPDF=Y")</f>
        <v>#NAME?</v>
      </c>
      <c r="CK282" s="2" t="e">
        <f ca="1">_xll.BDH($C$278,"TOT_DEBT_TO_TOT_EQY","FQ4 2014","FQ4 2014","Currency=INR","Period=FQ","BEST_FPERIOD_OVERRIDE=FQ","FILING_STATUS=OR","EQY_CONSOLIDATED=Y","Sort=A","Dates=H","DateFormat=P","Fill=—","Direction=H","UseDPDF=Y")</f>
        <v>#NAME?</v>
      </c>
      <c r="CL282" s="2" t="e">
        <f ca="1">_xll.BDH($C$278,"TOT_DEBT_TO_TOT_CAP","FQ4 2014","FQ4 2014","Currency=INR","Period=FQ","BEST_FPERIOD_OVERRIDE=FQ","FILING_STATUS=OR","EQY_CONSOLIDATED=Y","Sort=A","Dates=H","DateFormat=P","Fill=—","Direction=H","UseDPDF=Y")</f>
        <v>#NAME?</v>
      </c>
      <c r="CM282" s="2" t="e">
        <f ca="1">_xll.BDH($C$278,"TOT_DEBT_TO_TOT_ASSET","FQ4 2014","FQ4 2014","Currency=INR","Period=FQ","BEST_FPERIOD_OVERRIDE=FQ","FILING_STATUS=OR","EQY_CONSOLIDATED=Y","Sort=A","Dates=H","DateFormat=P","Fill=—","Direction=H","UseDPDF=Y")</f>
        <v>#NAME?</v>
      </c>
      <c r="CN282" s="2" t="e">
        <f ca="1">_xll.BDH($C$278,"NET_DEBT_TO_SHRHLDR_EQTY","FQ4 2014","FQ4 2014","Currency=INR","Period=FQ","BEST_FPERIOD_OVERRIDE=FQ","FILING_STATUS=OR","EQY_CONSOLIDATED=Y","Sort=A","Dates=H","DateFormat=P","Fill=—","Direction=H","UseDPDF=Y")</f>
        <v>#NAME?</v>
      </c>
      <c r="CO282" s="2" t="e">
        <f ca="1">_xll.BDH($C$278,"NET_DEBT_%_CAPITAL","FQ4 2014","FQ4 2014","Currency=INR","Period=FQ","BEST_FPERIOD_OVERRIDE=FQ","FILING_STATUS=OR","EQY_CONSOLIDATED=Y","Sort=A","Dates=H","DateFormat=P","Fill=—","Direction=H","UseDPDF=Y")</f>
        <v>#NAME?</v>
      </c>
      <c r="CP282" s="3" t="e">
        <f ca="1">_xll.BDH($C$278,"EBITDA","FQ4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282" s="3" t="e">
        <f ca="1">_xll.BDH($C$278,"EBITDA_AFTER_CAPEX","FQ4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282" s="3" t="e">
        <f ca="1">_xll.BDH($C$278,"IS_OPER_INC","FQ4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282" s="2" t="e">
        <f ca="1">_xll.BDH($C$278,"CASH_RATIO","FQ4 2014","FQ4 2014","Currency=INR","Period=FQ","BEST_FPERIOD_OVERRIDE=FQ","FILING_STATUS=OR","EQY_CONSOLIDATED=Y","Sort=A","Dates=H","DateFormat=P","Fill=—","Direction=H","UseDPDF=Y")</f>
        <v>#NAME?</v>
      </c>
      <c r="CT282" s="2" t="e">
        <f ca="1">_xll.BDH($C$278,"CUR_RATIO","FQ4 2014","FQ4 2014","Currency=INR","Period=FQ","BEST_FPERIOD_OVERRIDE=FQ","FILING_STATUS=OR","EQY_CONSOLIDATED=Y","Sort=A","Dates=H","DateFormat=P","Fill=—","Direction=H","UseDPDF=Y")</f>
        <v>#NAME?</v>
      </c>
      <c r="CU282" s="2" t="e">
        <f ca="1">_xll.BDH($C$278,"QUICK_RATIO","FQ4 2014","FQ4 2014","Currency=INR","Period=FQ","BEST_FPERIOD_OVERRIDE=FQ","FILING_STATUS=OR","EQY_CONSOLIDATED=Y","Sort=A","Dates=H","DateFormat=P","Fill=—","Direction=H","UseDPDF=Y")</f>
        <v>#NAME?</v>
      </c>
      <c r="CV282" s="2" t="e">
        <f ca="1">_xll.BDH($C$278,"ALTMAN_Z_SCORE","FQ4 2014","FQ4 2014","Currency=INR","Period=FQ","BEST_FPERIOD_OVERRIDE=FQ","FILING_STATUS=OR","EQY_CONSOLIDATED=Y","Sort=A","Dates=H","DateFormat=P","Fill=—","Direction=H","UseDPDF=Y")</f>
        <v>#NAME?</v>
      </c>
      <c r="CW282" s="4" t="e">
        <f ca="1">_xll.BDH($C$278,"ACCT_RCV_TURN","FQ4 2014","FQ4 2014","Currency=INR","Period=FQ","BEST_FPERIOD_OVERRIDE=FQ","FILING_STATUS=OR","EQY_CONSOLIDATED=Y","FA_ADJUSTED=GAAP","Sort=A","Dates=H","DateFormat=P","Fill=—","Direction=H","UseDPDF=Y")</f>
        <v>#NAME?</v>
      </c>
      <c r="CX282" s="2" t="e">
        <f ca="1">_xll.BDH($C$278,"ACCT_RCV_DAYS","FQ4 2014","FQ4 2014","Currency=INR","Period=FQ","BEST_FPERIOD_OVERRIDE=FQ","FILING_STATUS=OR","EQY_CONSOLIDATED=Y","FA_ADJUSTED=GAAP","Sort=A","Dates=H","DateFormat=P","Fill=—","Direction=H","UseDPDF=Y")</f>
        <v>#NAME?</v>
      </c>
      <c r="CY282" s="4" t="e">
        <f ca="1">_xll.BDH($C$278,"INVENT_TURN","FQ4 2014","FQ4 2014","Currency=INR","Period=FQ","BEST_FPERIOD_OVERRIDE=FQ","FILING_STATUS=OR","EQY_CONSOLIDATED=Y","FA_ADJUSTED=GAAP","Sort=A","Dates=H","DateFormat=P","Fill=—","Direction=H","UseDPDF=Y")</f>
        <v>#NAME?</v>
      </c>
      <c r="CZ282" s="2" t="e">
        <f ca="1">_xll.BDH($C$278,"INVENT_DAYS","FQ4 2014","FQ4 2014","Currency=INR","Period=FQ","BEST_FPERIOD_OVERRIDE=FQ","FILING_STATUS=OR","EQY_CONSOLIDATED=Y","FA_ADJUSTED=GAAP","Sort=A","Dates=H","DateFormat=P","Fill=—","Direction=H","UseDPDF=Y")</f>
        <v>#NAME?</v>
      </c>
      <c r="DA282" s="4" t="e">
        <f ca="1">_xll.BDH($C$278,"ACCOUNTS_PAYABLE_TURNOVER","FQ4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282" s="2" t="e">
        <f ca="1">_xll.BDH($C$278,"ACCOUNTS_PAYABLE_TURNOVER_DAYS","FQ4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282" s="4" t="e">
        <f ca="1">_xll.BDH($C$278,"CASH_CONVERSION_CYCLE","FQ4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282" s="4" t="e">
        <f ca="1">_xll.BDH($C$278,"INV_TO_CASH_DAYS","FQ4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282" s="5" t="e">
        <f ca="1">_xll.BDH($C$278,"BS_INVENTORIES","FQ4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282" s="3" t="e">
        <f ca="1">_xll.BDH($C$278,"INVTRY_RAW_MATERIALS","FQ4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282" s="3" t="e">
        <f ca="1">_xll.BDH($C$278,"INVTRY_IN_PROGRESS","FQ4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282" s="3" t="e">
        <f ca="1">_xll.BDH($C$278,"INVTRY_FINISHED_GOODS","FQ4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282" s="3" t="e">
        <f ca="1">_xll.BDH($C$278,"BS_OTHER_INV","FQ4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283" spans="1:113" x14ac:dyDescent="0.3">
      <c r="A283" s="6"/>
      <c r="B283" s="6"/>
      <c r="C283" s="6"/>
      <c r="D283" s="6" t="s">
        <v>82</v>
      </c>
      <c r="E283" t="s">
        <v>77</v>
      </c>
      <c r="F283" t="e">
        <f ca="1">_xll.BDH($C$278,"RETURN_COM_EQY","FY 2015","FY 2015","Currency=INR","Period=FY","BEST_FPERIOD_OVERRIDE=FY","FILING_STATUS=OR","EQY_CONSOLIDATED=Y","FA_ADJUSTED=GAAP","Sort=A","Dates=H","DateFormat=P","Fill=—","Direction=H","UseDPDF=Y")</f>
        <v>#NAME?</v>
      </c>
      <c r="G283" t="e">
        <f ca="1">_xll.BDH($C$278,"RETURN_ON_ASSET","FY 2015","FY 2015","Currency=INR","Period=FY","BEST_FPERIOD_OVERRIDE=FY","FILING_STATUS=OR","EQY_CONSOLIDATED=Y","FA_ADJUSTED=GAAP","Sort=A","Dates=H","DateFormat=P","Fill=—","Direction=H","UseDPDF=Y")</f>
        <v>#NAME?</v>
      </c>
      <c r="H283" t="e">
        <f ca="1">_xll.BDH($C$278,"RETURN_ON_CAP","FY 2015","FY 2015","Currency=INR","Period=FY","BEST_FPERIOD_OVERRIDE=FY","FILING_STATUS=OR","EQY_CONSOLIDATED=Y","FA_ADJUSTED=GAAP","Sort=A","Dates=H","DateFormat=P","Fill=—","Direction=H","UseDPDF=Y")</f>
        <v>#NAME?</v>
      </c>
      <c r="I283" t="e">
        <f ca="1">_xll.BDH($C$278,"RETURN_ON_INV_CAPITAL","FY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283" t="e">
        <f ca="1">_xll.BDH($C$278,"EBITDA_TO_REVENUE","FY 2015","FY 2015","Currency=INR","Period=FY","BEST_FPERIOD_OVERRIDE=FY","FILING_STATUS=OR","EQY_CONSOLIDATED=Y","FA_ADJUSTED=GAAP","Sort=A","Dates=H","DateFormat=P","Fill=—","Direction=H","UseDPDF=Y")</f>
        <v>#NAME?</v>
      </c>
      <c r="K283" t="e">
        <f ca="1">_xll.BDH($C$278,"OPER_MARGIN","FY 2015","FY 2015","Currency=INR","Period=FY","BEST_FPERIOD_OVERRIDE=FY","FILING_STATUS=OR","EQY_CONSOLIDATED=Y","FA_ADJUSTED=GAAP","Sort=A","Dates=H","DateFormat=P","Fill=—","Direction=H","UseDPDF=Y")</f>
        <v>#NAME?</v>
      </c>
      <c r="L283" t="e">
        <f ca="1">_xll.BDH($C$278,"INCREMENTAL_OPERATING_MARGIN","FY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283" t="e">
        <f ca="1">_xll.BDH($C$278,"PRETAX_INC_TO_NET_SALES","FY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283" t="e">
        <f ca="1">_xll.BDH($C$278,"INC_BEF_XO_ITEMS_TO_NET_SALES","FY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283" t="e">
        <f ca="1">_xll.BDH($C$278,"PROF_MARGIN","FY 2015","FY 2015","Currency=INR","Period=FY","BEST_FPERIOD_OVERRIDE=FY","FILING_STATUS=OR","EQY_CONSOLIDATED=Y","FA_ADJUSTED=GAAP","Sort=A","Dates=H","DateFormat=P","Fill=—","Direction=H","UseDPDF=Y")</f>
        <v>#NAME?</v>
      </c>
      <c r="P283" t="e">
        <f ca="1">_xll.BDH($C$278,"NET_INCOME_TO_COMMON_MARGIN","FY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283" t="e">
        <f ca="1">_xll.BDH($C$278,"EFF_TAX_RATE","FY 2015","FY 2015","Currency=INR","Period=FY","BEST_FPERIOD_OVERRIDE=FY","FILING_STATUS=OR","EQY_CONSOLIDATED=Y","FA_ADJUSTED=GAAP","Sort=A","Dates=H","DateFormat=P","Fill=—","Direction=H","UseDPDF=Y")</f>
        <v>#NAME?</v>
      </c>
      <c r="R283" t="e">
        <f ca="1">_xll.BDH($C$278,"DVD_PAYOUT_RATIO","FY 2015","FY 2015","Currency=INR","Period=FY","BEST_FPERIOD_OVERRIDE=FY","FILING_STATUS=OR","EQY_CONSOLIDATED=Y","FA_ADJUSTED=GAAP","Sort=A","Dates=H","DateFormat=P","Fill=—","Direction=H","UseDPDF=Y")</f>
        <v>#NAME?</v>
      </c>
      <c r="S283" t="e">
        <f ca="1">_xll.BDH($C$278,"SUSTAIN_GROWTH_RT","FY 2015","FY 2015","Currency=INR","Period=FY","BEST_FPERIOD_OVERRIDE=FY","FILING_STATUS=OR","EQY_CONSOLIDATED=Y","FA_ADJUSTED=GAAP","Sort=A","Dates=H","DateFormat=P","Fill=—","Direction=H","UseDPDF=Y")</f>
        <v>#NAME?</v>
      </c>
      <c r="T283" s="2" t="e">
        <f ca="1">_xll.BDH($C$278,"SALES_GROWTH","FY 2015","FY 2015","Currency=INR","Period=FY","BEST_FPERIOD_OVERRIDE=FY","FILING_STATUS=OR","EQY_CONSOLIDATED=Y","FA_ADJUSTED=GAAP","Sort=A","Dates=H","DateFormat=P","Fill=—","Direction=H","UseDPDF=Y")</f>
        <v>#NAME?</v>
      </c>
      <c r="U283" s="2" t="e">
        <f ca="1">_xll.BDH($C$278,"EBITDA_GROWTH","FY 2015","FY 2015","Currency=INR","Period=FY","BEST_FPERIOD_OVERRIDE=FY","FILING_STATUS=OR","EQY_CONSOLIDATED=Y","FA_ADJUSTED=GAAP","Sort=A","Dates=H","DateFormat=P","Fill=—","Direction=H","UseDPDF=Y")</f>
        <v>#NAME?</v>
      </c>
      <c r="V283" s="2" t="e">
        <f ca="1">_xll.BDH($C$278,"OPER_INC_GROWTH","FY 2015","FY 2015","Currency=INR","Period=FY","BEST_FPERIOD_OVERRIDE=FY","FILING_STATUS=OR","EQY_CONSOLIDATED=Y","FA_ADJUSTED=GAAP","Sort=A","Dates=H","DateFormat=P","Fill=—","Direction=H","UseDPDF=Y")</f>
        <v>#NAME?</v>
      </c>
      <c r="W283" s="2" t="e">
        <f ca="1">_xll.BDH($C$278,"EARN_FOR_COM_GROWTH","FY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283" s="2" t="e">
        <f ca="1">_xll.BDH($C$278,"DILUTED_EPS_AFT_XO_ITEMS_GROWTH","FY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283" s="2" t="e">
        <f ca="1">_xll.BDH($C$278,"DIVIDEND_PER_SHARE_1_YEAR_GROWTH","FY 2015","FY 2015","Currency=INR","Period=FY","BEST_FPERIOD_OVERRIDE=FY","FILING_STATUS=OR","EQY_CONSOLIDATED=Y","Sort=A","Dates=H","DateFormat=P","Fill=—","Direction=H","UseDPDF=Y")</f>
        <v>#NAME?</v>
      </c>
      <c r="Z283" s="2" t="e">
        <f ca="1">_xll.BDH($C$278,"ACCOUNTS_RECEIVABLE_GROWTH","FY 2015","FY 2015","Currency=INR","Period=FY","BEST_FPERIOD_OVERRIDE=FY","FILING_STATUS=OR","EQY_CONSOLIDATED=Y","Sort=A","Dates=H","DateFormat=P","Fill=—","Direction=H","UseDPDF=Y")</f>
        <v>#NAME?</v>
      </c>
      <c r="AA283" s="2" t="e">
        <f ca="1">_xll.BDH($C$278,"INVENTORY_GROWTH","FY 2015","FY 2015","Currency=INR","Period=FY","BEST_FPERIOD_OVERRIDE=FY","FILING_STATUS=OR","EQY_CONSOLIDATED=Y","Sort=A","Dates=H","DateFormat=P","Fill=—","Direction=H","UseDPDF=Y")</f>
        <v>#NAME?</v>
      </c>
      <c r="AB283" s="2" t="e">
        <f ca="1">_xll.BDH($C$278,"NET_FIXED_ASSETS_1_YEAR_GROWTH","FY 2015","FY 2015","Currency=INR","Period=FY","BEST_FPERIOD_OVERRIDE=FY","FILING_STATUS=OR","EQY_CONSOLIDATED=Y","Sort=A","Dates=H","DateFormat=P","Fill=—","Direction=H","UseDPDF=Y")</f>
        <v>#NAME?</v>
      </c>
      <c r="AC283" s="2" t="e">
        <f ca="1">_xll.BDH($C$278,"ASSET_GROWTH","FY 2015","FY 2015","Currency=INR","Period=FY","BEST_FPERIOD_OVERRIDE=FY","FILING_STATUS=OR","EQY_CONSOLIDATED=Y","Sort=A","Dates=H","DateFormat=P","Fill=—","Direction=H","UseDPDF=Y")</f>
        <v>#NAME?</v>
      </c>
      <c r="AD283" s="2" t="e">
        <f ca="1">_xll.BDH($C$278,"MODIFIED_WORK_CAP_GROWTH","FY 2015","FY 2015","Currency=INR","Period=FY","BEST_FPERIOD_OVERRIDE=FY","FILING_STATUS=OR","EQY_CONSOLIDATED=Y","Sort=A","Dates=H","DateFormat=P","Fill=—","Direction=H","UseDPDF=Y")</f>
        <v>#NAME?</v>
      </c>
      <c r="AE283" s="2" t="e">
        <f ca="1">_xll.BDH($C$278,"WORK_CAP_GROWTH","FY 2015","FY 2015","Currency=INR","Period=FY","BEST_FPERIOD_OVERRIDE=FY","FILING_STATUS=OR","EQY_CONSOLIDATED=Y","Sort=A","Dates=H","DateFormat=P","Fill=—","Direction=H","UseDPDF=Y")</f>
        <v>#NAME?</v>
      </c>
      <c r="AF283" s="2" t="e">
        <f ca="1">_xll.BDH($C$278,"ACCOUNTS_PAYABLE_GROWTH_1YR","FY 2015","FY 2015","Currency=INR","Period=FY","BEST_FPERIOD_OVERRIDE=FY","FILING_STATUS=OR","EQY_CONSOLIDATED=Y","Sort=A","Dates=H","DateFormat=P","Fill=—","Direction=H","UseDPDF=Y")</f>
        <v>#NAME?</v>
      </c>
      <c r="AG283" s="2" t="e">
        <f ca="1">_xll.BDH($C$278,"SHORT_TERM_DEBT_1_YEAR_GROWTH","FY 2015","FY 2015","Currency=INR","Period=FY","BEST_FPERIOD_OVERRIDE=FY","FILING_STATUS=OR","EQY_CONSOLIDATED=Y","Sort=A","Dates=H","DateFormat=P","Fill=—","Direction=H","UseDPDF=Y")</f>
        <v>#NAME?</v>
      </c>
      <c r="AH283" s="2" t="e">
        <f ca="1">_xll.BDH($C$278,"TOTAL_DEBT_1_YEAR_GROWTH","FY 2015","FY 2015","Currency=INR","Period=FY","BEST_FPERIOD_OVERRIDE=FY","FILING_STATUS=OR","EQY_CONSOLIDATED=Y","Sort=A","Dates=H","DateFormat=P","Fill=—","Direction=H","UseDPDF=Y")</f>
        <v>#NAME?</v>
      </c>
      <c r="AI283" s="2" t="e">
        <f ca="1">_xll.BDH($C$278,"TOTAL_EQUITY_1_YEAR_GROWTH","FY 2015","FY 2015","Currency=INR","Period=FY","BEST_FPERIOD_OVERRIDE=FY","FILING_STATUS=OR","EQY_CONSOLIDATED=Y","Sort=A","Dates=H","DateFormat=P","Fill=—","Direction=H","UseDPDF=Y")</f>
        <v>#NAME?</v>
      </c>
      <c r="AJ283" s="2" t="e">
        <f ca="1">_xll.BDH($C$278,"GROWTH_IN_CAP","FY 2015","FY 2015","Currency=INR","Period=FY","BEST_FPERIOD_OVERRIDE=FY","FILING_STATUS=OR","EQY_CONSOLIDATED=Y","Sort=A","Dates=H","DateFormat=P","Fill=—","Direction=H","UseDPDF=Y")</f>
        <v>#NAME?</v>
      </c>
      <c r="AK283" s="2" t="e">
        <f ca="1">_xll.BDH($C$278,"BVPS_GROWTH","FY 2015","FY 2015","Currency=INR","Period=FY","BEST_FPERIOD_OVERRIDE=FY","FILING_STATUS=OR","EQY_CONSOLIDATED=Y","Sort=A","Dates=H","DateFormat=P","Fill=—","Direction=H","UseDPDF=Y")</f>
        <v>#NAME?</v>
      </c>
      <c r="AL283" s="2" t="e">
        <f ca="1">_xll.BDH($C$278,"CASH_FLOW_GROWTH","FY 2015","FY 2015","Currency=INR","Period=FY","BEST_FPERIOD_OVERRIDE=FY","FILING_STATUS=OR","EQY_CONSOLIDATED=Y","Sort=A","Dates=H","DateFormat=P","Fill=—","Direction=H","UseDPDF=Y")</f>
        <v>#NAME?</v>
      </c>
      <c r="AM283" s="2" t="e">
        <f ca="1">_xll.BDH($C$278,"GEO_GROW_NET_SALES","FY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283" s="2" t="e">
        <f ca="1">_xll.BDH($C$278,"GEO_GROW_EBITDA","FY 2015","FY 2015","Currency=INR","Period=FY","BEST_FPERIOD_OVERRIDE=FY","FILING_STATUS=OR","EQY_CONSOLIDATED=Y","FA_ADJUSTED=GAAP","Sort=A","Dates=H","DateFormat=P","Fill=—","Direction=H","UseDPDF=Y")</f>
        <v>#NAME?</v>
      </c>
      <c r="AO283" s="2" t="e">
        <f ca="1">_xll.BDH($C$278,"GEO_GROW_OPER_INC","FY 2015","FY 2015","Currency=INR","Period=FY","BEST_FPERIOD_OVERRIDE=FY","FILING_STATUS=OR","EQY_CONSOLIDATED=Y","FA_ADJUSTED=GAAP","Sort=A","Dates=H","DateFormat=P","Fill=—","Direction=H","UseDPDF=Y")</f>
        <v>#NAME?</v>
      </c>
      <c r="AP283" s="2" t="e">
        <f ca="1">_xll.BDH($C$278,"NET_INCOME_TO_COMMON_5_YR_GROWTH","FY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283" s="2" t="e">
        <f ca="1">_xll.BDH($C$278,"5Y_GEO_GROWTH_DILUTED_EPS","FY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283" s="2" t="e">
        <f ca="1">_xll.BDH($C$278,"GEO_GROW_DVD_PER_SH","FY 2015","FY 2015","Currency=INR","Period=FY","BEST_FPERIOD_OVERRIDE=FY","FILING_STATUS=OR","EQY_CONSOLIDATED=Y","Sort=A","Dates=H","DateFormat=P","Fill=—","Direction=H","UseDPDF=Y")</f>
        <v>#NAME?</v>
      </c>
      <c r="AS283" s="2" t="e">
        <f ca="1">_xll.BDH($C$278,"ACCOUNTS_RECEIVABLE_5_YR_GROWTH","FY 2015","FY 2015","Currency=INR","Period=FY","BEST_FPERIOD_OVERRIDE=FY","FILING_STATUS=OR","EQY_CONSOLIDATED=Y","Sort=A","Dates=H","DateFormat=P","Fill=—","Direction=H","UseDPDF=Y")</f>
        <v>#NAME?</v>
      </c>
      <c r="AT283" s="2" t="e">
        <f ca="1">_xll.BDH($C$278,"INVENTORY_5_YEAR_GROWTH","FY 2015","FY 2015","Currency=INR","Period=FY","BEST_FPERIOD_OVERRIDE=FY","FILING_STATUS=OR","EQY_CONSOLIDATED=Y","Sort=A","Dates=H","DateFormat=P","Fill=—","Direction=H","UseDPDF=Y")</f>
        <v>#NAME?</v>
      </c>
      <c r="AU283" s="2" t="e">
        <f ca="1">_xll.BDH($C$278,"NET_FIXED_ASSETS_5_YEAR_GROWTH","FY 2015","FY 2015","Currency=INR","Period=FY","BEST_FPERIOD_OVERRIDE=FY","FILING_STATUS=OR","EQY_CONSOLIDATED=Y","Sort=A","Dates=H","DateFormat=P","Fill=—","Direction=H","UseDPDF=Y")</f>
        <v>#NAME?</v>
      </c>
      <c r="AV283" s="2" t="e">
        <f ca="1">_xll.BDH($C$278,"GEO_GROW_TOT_ASSET","FY 2015","FY 2015","Currency=INR","Period=FY","BEST_FPERIOD_OVERRIDE=FY","FILING_STATUS=OR","EQY_CONSOLIDATED=Y","Sort=A","Dates=H","DateFormat=P","Fill=—","Direction=H","UseDPDF=Y")</f>
        <v>#NAME?</v>
      </c>
      <c r="AW283" s="2" t="e">
        <f ca="1">_xll.BDH($C$278,"MODIFIED_WORKING_CPTL_5YR_GRWTH","FY 2015","FY 2015","Currency=INR","Period=FY","BEST_FPERIOD_OVERRIDE=FY","FILING_STATUS=OR","EQY_CONSOLIDATED=Y","Sort=A","Dates=H","DateFormat=P","Fill=—","Direction=H","UseDPDF=Y")</f>
        <v>#NAME?</v>
      </c>
      <c r="AX283" s="2" t="e">
        <f ca="1">_xll.BDH($C$278,"WORKING_CAPITAL_5_YEAR_GROWTH","FY 2015","FY 2015","Currency=INR","Period=FY","BEST_FPERIOD_OVERRIDE=FY","FILING_STATUS=OR","EQY_CONSOLIDATED=Y","Sort=A","Dates=H","DateFormat=P","Fill=—","Direction=H","UseDPDF=Y")</f>
        <v>#NAME?</v>
      </c>
      <c r="AY283" s="2" t="e">
        <f ca="1">_xll.BDH($C$278,"ACCOUNTS_PAYABLE_5_YEAR_GROWTH","FY 2015","FY 2015","Currency=INR","Period=FY","BEST_FPERIOD_OVERRIDE=FY","FILING_STATUS=OR","EQY_CONSOLIDATED=Y","Sort=A","Dates=H","DateFormat=P","Fill=—","Direction=H","UseDPDF=Y")</f>
        <v>#NAME?</v>
      </c>
      <c r="AZ283" s="2" t="e">
        <f ca="1">_xll.BDH($C$278,"SHORT_TERM_DEBT_5_YEAR_GROWTH","FY 2015","FY 2015","Currency=INR","Period=FY","BEST_FPERIOD_OVERRIDE=FY","FILING_STATUS=OR","EQY_CONSOLIDATED=Y","Sort=A","Dates=H","DateFormat=P","Fill=—","Direction=H","UseDPDF=Y")</f>
        <v>#NAME?</v>
      </c>
      <c r="BA283" s="2" t="e">
        <f ca="1">_xll.BDH($C$278,"TOTAL_DEBT_5_YEAR_GROWTH","FY 2015","FY 2015","Currency=INR","Period=FY","BEST_FPERIOD_OVERRIDE=FY","FILING_STATUS=OR","EQY_CONSOLIDATED=Y","Sort=A","Dates=H","DateFormat=P","Fill=—","Direction=H","UseDPDF=Y")</f>
        <v>#NAME?</v>
      </c>
      <c r="BB283" s="2" t="e">
        <f ca="1">_xll.BDH($C$278,"GEO_GROW_TOT_SHRHLDR_EQY","FY 2015","FY 2015","Currency=INR","Period=FY","BEST_FPERIOD_OVERRIDE=FY","FILING_STATUS=OR","EQY_CONSOLIDATED=Y","Sort=A","Dates=H","DateFormat=P","Fill=—","Direction=H","UseDPDF=Y")</f>
        <v>#NAME?</v>
      </c>
      <c r="BC283" s="2" t="e">
        <f ca="1">_xll.BDH($C$278,"TOTAL_CAPITAL_5_YEAR_GROWTH","FY 2015","FY 2015","Currency=INR","Period=FY","BEST_FPERIOD_OVERRIDE=FY","FILING_STATUS=OR","EQY_CONSOLIDATED=Y","Sort=A","Dates=H","DateFormat=P","Fill=—","Direction=H","UseDPDF=Y")</f>
        <v>#NAME?</v>
      </c>
      <c r="BD283" s="2" t="e">
        <f ca="1">_xll.BDH($C$278,"GEO_GROW_BOOK_VAL","FY 2015","FY 2015","Currency=INR","Period=FY","BEST_FPERIOD_OVERRIDE=FY","FILING_STATUS=OR","EQY_CONSOLIDATED=Y","Sort=A","Dates=H","DateFormat=P","Fill=—","Direction=H","UseDPDF=Y")</f>
        <v>#NAME?</v>
      </c>
      <c r="BE283" s="2" t="e">
        <f ca="1">_xll.BDH($C$278,"GEO_GROW_CASH_OPER_ACT","FY 2015","FY 2015","Currency=INR","Period=FY","BEST_FPERIOD_OVERRIDE=FY","FILING_STATUS=OR","EQY_CONSOLIDATED=Y","Sort=A","Dates=H","DateFormat=P","Fill=—","Direction=H","UseDPDF=Y")</f>
        <v>#NAME?</v>
      </c>
      <c r="BF283" s="2" t="e">
        <f ca="1">_xll.BDH($C$278,"REVENUE_SEQUENTIAL_GROWTH","FY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283" s="2" t="e">
        <f ca="1">_xll.BDH($C$278,"EBITDA_SEQUENTIAL_GROWTH","FY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283" s="2" t="e">
        <f ca="1">_xll.BDH($C$278,"OPERATING_INCOME_SEQ_GROWTH","FY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283" s="2" t="e">
        <f ca="1">_xll.BDH($C$278,"NET_INCOME_TO_COMMON_SEQ_GROWTH","FY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283" s="2" t="e">
        <f ca="1">_xll.BDH($C$278,"EPS_DILUTED_SEQUENTIAL_GROWTH","FY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283" s="2" t="e">
        <f ca="1">_xll.BDH($C$278,"DPS_SEQUENTIAL_GROWTH","FY 2015","FY 2015","Currency=INR","Period=FY","BEST_FPERIOD_OVERRIDE=FY","FILING_STATUS=OR","EQY_CONSOLIDATED=Y","Sort=A","Dates=H","DateFormat=P","Fill=—","Direction=H","UseDPDF=Y")</f>
        <v>#NAME?</v>
      </c>
      <c r="BL283" s="2" t="e">
        <f ca="1">_xll.BDH($C$278,"ACCOUNTS_RECEIVABLE_SEQ_GROWTH","FY 2015","FY 2015","Currency=INR","Period=FY","BEST_FPERIOD_OVERRIDE=FY","FILING_STATUS=OR","EQY_CONSOLIDATED=Y","Sort=A","Dates=H","DateFormat=P","Fill=—","Direction=H","UseDPDF=Y")</f>
        <v>#NAME?</v>
      </c>
      <c r="BM283" s="2" t="e">
        <f ca="1">_xll.BDH($C$278,"INVENTORY_SEQUENTIAL_GROWTH","FY 2015","FY 2015","Currency=INR","Period=FY","BEST_FPERIOD_OVERRIDE=FY","FILING_STATUS=OR","EQY_CONSOLIDATED=Y","Sort=A","Dates=H","DateFormat=P","Fill=—","Direction=H","UseDPDF=Y")</f>
        <v>#NAME?</v>
      </c>
      <c r="BN283" s="2" t="e">
        <f ca="1">_xll.BDH($C$278,"FIXED_ASSETS_SEQUENTIAL_GROWTH","FY 2015","FY 2015","Currency=INR","Period=FY","BEST_FPERIOD_OVERRIDE=FY","FILING_STATUS=OR","EQY_CONSOLIDATED=Y","Sort=A","Dates=H","DateFormat=P","Fill=—","Direction=H","UseDPDF=Y")</f>
        <v>#NAME?</v>
      </c>
      <c r="BO283" s="2" t="e">
        <f ca="1">_xll.BDH($C$278,"TOTAL_ASSETS_SEQUENTIAL_GROWTH","FY 2015","FY 2015","Currency=INR","Period=FY","BEST_FPERIOD_OVERRIDE=FY","FILING_STATUS=OR","EQY_CONSOLIDATED=Y","Sort=A","Dates=H","DateFormat=P","Fill=—","Direction=H","UseDPDF=Y")</f>
        <v>#NAME?</v>
      </c>
      <c r="BP283" s="2" t="e">
        <f ca="1">_xll.BDH($C$278,"MODIFIED_WORKING_CPTL_SEQ_GRWTH","FY 2015","FY 2015","Currency=INR","Period=FY","BEST_FPERIOD_OVERRIDE=FY","FILING_STATUS=OR","EQY_CONSOLIDATED=Y","Sort=A","Dates=H","DateFormat=P","Fill=—","Direction=H","UseDPDF=Y")</f>
        <v>#NAME?</v>
      </c>
      <c r="BQ283" s="2" t="e">
        <f ca="1">_xll.BDH($C$278,"WORKING_CAPITAL_SEQ_GROWTH","FY 2015","FY 2015","Currency=INR","Period=FY","BEST_FPERIOD_OVERRIDE=FY","FILING_STATUS=OR","EQY_CONSOLIDATED=Y","Sort=A","Dates=H","DateFormat=P","Fill=—","Direction=H","UseDPDF=Y")</f>
        <v>#NAME?</v>
      </c>
      <c r="BR283" s="2" t="e">
        <f ca="1">_xll.BDH($C$278,"ACCOUNTS_PAYABLE_SEQ_GROWTH","FY 2015","FY 2015","Currency=INR","Period=FY","BEST_FPERIOD_OVERRIDE=FY","FILING_STATUS=OR","EQY_CONSOLIDATED=Y","Sort=A","Dates=H","DateFormat=P","Fill=—","Direction=H","UseDPDF=Y")</f>
        <v>#NAME?</v>
      </c>
      <c r="BS283" s="2" t="e">
        <f ca="1">_xll.BDH($C$278,"ST_DEBT_SEQUENTIAL_GROWTH","FY 2015","FY 2015","Currency=INR","Period=FY","BEST_FPERIOD_OVERRIDE=FY","FILING_STATUS=OR","EQY_CONSOLIDATED=Y","Sort=A","Dates=H","DateFormat=P","Fill=—","Direction=H","UseDPDF=Y")</f>
        <v>#NAME?</v>
      </c>
      <c r="BT283" s="2" t="e">
        <f ca="1">_xll.BDH($C$278,"TOTAL_DEBT_SEQUENTIAL_GROWTH","FY 2015","FY 2015","Currency=INR","Period=FY","BEST_FPERIOD_OVERRIDE=FY","FILING_STATUS=OR","EQY_CONSOLIDATED=Y","Sort=A","Dates=H","DateFormat=P","Fill=—","Direction=H","UseDPDF=Y")</f>
        <v>#NAME?</v>
      </c>
      <c r="BU283" s="2" t="e">
        <f ca="1">_xll.BDH($C$278,"TOTAL_EQUITY_SEQUENTIAL_GROWTH","FY 2015","FY 2015","Currency=INR","Period=FY","BEST_FPERIOD_OVERRIDE=FY","FILING_STATUS=OR","EQY_CONSOLIDATED=Y","Sort=A","Dates=H","DateFormat=P","Fill=—","Direction=H","UseDPDF=Y")</f>
        <v>#NAME?</v>
      </c>
      <c r="BV283" s="2" t="e">
        <f ca="1">_xll.BDH($C$278,"TOTAL_CAPITAL_SEQUENTIAL_GROWTH","FY 2015","FY 2015","Currency=INR","Period=FY","BEST_FPERIOD_OVERRIDE=FY","FILING_STATUS=OR","EQY_CONSOLIDATED=Y","Sort=A","Dates=H","DateFormat=P","Fill=—","Direction=H","UseDPDF=Y")</f>
        <v>#NAME?</v>
      </c>
      <c r="BW283" s="2" t="e">
        <f ca="1">_xll.BDH($C$278,"BPS_SEQUENTIAL_GROWTH","FY 2015","FY 2015","Currency=INR","Period=FY","BEST_FPERIOD_OVERRIDE=FY","FILING_STATUS=OR","EQY_CONSOLIDATED=Y","Sort=A","Dates=H","DateFormat=P","Fill=—","Direction=H","UseDPDF=Y")</f>
        <v>#NAME?</v>
      </c>
      <c r="BX283" s="2" t="e">
        <f ca="1">_xll.BDH($C$278,"CFO_SEQUENTIAL_GROWTH","FY 2015","FY 2015","Currency=INR","Period=FY","BEST_FPERIOD_OVERRIDE=FY","FILING_STATUS=OR","EQY_CONSOLIDATED=Y","Sort=A","Dates=H","DateFormat=P","Fill=—","Direction=H","UseDPDF=Y")</f>
        <v>#NAME?</v>
      </c>
      <c r="BY283" s="3" t="e">
        <f ca="1">_xll.BDH($C$278,"SHORT_AND_LONG_TERM_DEBT","FY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283" s="3" t="e">
        <f ca="1">_xll.BDH($C$278,"BS_ST_BORROW","FY 2015","FY 2015","Currency=INR","Period=FY","BEST_FPERIOD_OVERRIDE=FY","FILING_STATUS=OR","EQY_CONSOLIDATED=Y","SCALING_FORMAT=MLN","Sort=A","Dates=H","DateFormat=P","Fill=—","Direction=H","UseDPDF=Y")</f>
        <v>#NAME?</v>
      </c>
      <c r="CA283" s="3" t="e">
        <f ca="1">_xll.BDH($C$278,"BS_LT_BORROW","FY 2015","FY 2015","Currency=INR","Period=FY","BEST_FPERIOD_OVERRIDE=FY","FILING_STATUS=OR","EQY_CONSOLIDATED=Y","SCALING_FORMAT=MLN","Sort=A","Dates=H","DateFormat=P","Fill=—","Direction=H","UseDPDF=Y")</f>
        <v>#NAME?</v>
      </c>
      <c r="CB283" s="2" t="e">
        <f ca="1">_xll.BDH($C$278,"TOT_DEBT_TO_EBITDA","FY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283" s="2" t="e">
        <f ca="1">_xll.BDH($C$278,"NET_DEBT_TO_EBITDA","FY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283" s="2" t="e">
        <f ca="1">_xll.BDH($C$278,"TOTAL_DEBT_TO_EBIT","FY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283" s="2" t="e">
        <f ca="1">_xll.BDH($C$278,"NET_DEBT_TO_EBIT","FY 2015","FY 2015","Currency=INR","Period=FY","BEST_FPERIOD_OVERRIDE=FY","FILING_STATUS=OR","EQY_CONSOLIDATED=Y","FA_ADJUSTED=GAAP","Sort=A","Dates=H","DateFormat=P","Fill=—","Direction=H","UseDPDF=Y")</f>
        <v>#NAME?</v>
      </c>
      <c r="CF283" s="2" t="e">
        <f ca="1">_xll.BDH($C$278,"EBITDA_TO_INTEREST_EXPN","FY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283" s="2" t="e">
        <f ca="1">_xll.BDH($C$278,"COM_EQY_TO_TOT_ASSET","FY 2015","FY 2015","Currency=INR","Period=FY","BEST_FPERIOD_OVERRIDE=FY","FILING_STATUS=OR","EQY_CONSOLIDATED=Y","Sort=A","Dates=H","DateFormat=P","Fill=—","Direction=H","UseDPDF=Y")</f>
        <v>#NAME?</v>
      </c>
      <c r="CH283" s="2" t="e">
        <f ca="1">_xll.BDH($C$278,"LT_DEBT_TO_TOT_EQY","FY 2015","FY 2015","Currency=INR","Period=FY","BEST_FPERIOD_OVERRIDE=FY","FILING_STATUS=OR","EQY_CONSOLIDATED=Y","Sort=A","Dates=H","DateFormat=P","Fill=—","Direction=H","UseDPDF=Y")</f>
        <v>#NAME?</v>
      </c>
      <c r="CI283" s="2" t="e">
        <f ca="1">_xll.BDH($C$278,"LT_DEBT_TO_TOT_CAP","FY 2015","FY 2015","Currency=INR","Period=FY","BEST_FPERIOD_OVERRIDE=FY","FILING_STATUS=OR","EQY_CONSOLIDATED=Y","Sort=A","Dates=H","DateFormat=P","Fill=—","Direction=H","UseDPDF=Y")</f>
        <v>#NAME?</v>
      </c>
      <c r="CJ283" s="2" t="e">
        <f ca="1">_xll.BDH($C$278,"LT_DEBT_TO_TOT_ASSET","FY 2015","FY 2015","Currency=INR","Period=FY","BEST_FPERIOD_OVERRIDE=FY","FILING_STATUS=OR","EQY_CONSOLIDATED=Y","Sort=A","Dates=H","DateFormat=P","Fill=—","Direction=H","UseDPDF=Y")</f>
        <v>#NAME?</v>
      </c>
      <c r="CK283" s="2" t="e">
        <f ca="1">_xll.BDH($C$278,"TOT_DEBT_TO_TOT_EQY","FY 2015","FY 2015","Currency=INR","Period=FY","BEST_FPERIOD_OVERRIDE=FY","FILING_STATUS=OR","EQY_CONSOLIDATED=Y","Sort=A","Dates=H","DateFormat=P","Fill=—","Direction=H","UseDPDF=Y")</f>
        <v>#NAME?</v>
      </c>
      <c r="CL283" s="2" t="e">
        <f ca="1">_xll.BDH($C$278,"TOT_DEBT_TO_TOT_CAP","FY 2015","FY 2015","Currency=INR","Period=FY","BEST_FPERIOD_OVERRIDE=FY","FILING_STATUS=OR","EQY_CONSOLIDATED=Y","Sort=A","Dates=H","DateFormat=P","Fill=—","Direction=H","UseDPDF=Y")</f>
        <v>#NAME?</v>
      </c>
      <c r="CM283" s="2" t="e">
        <f ca="1">_xll.BDH($C$278,"TOT_DEBT_TO_TOT_ASSET","FY 2015","FY 2015","Currency=INR","Period=FY","BEST_FPERIOD_OVERRIDE=FY","FILING_STATUS=OR","EQY_CONSOLIDATED=Y","Sort=A","Dates=H","DateFormat=P","Fill=—","Direction=H","UseDPDF=Y")</f>
        <v>#NAME?</v>
      </c>
      <c r="CN283" s="2" t="e">
        <f ca="1">_xll.BDH($C$278,"NET_DEBT_TO_SHRHLDR_EQTY","FY 2015","FY 2015","Currency=INR","Period=FY","BEST_FPERIOD_OVERRIDE=FY","FILING_STATUS=OR","EQY_CONSOLIDATED=Y","Sort=A","Dates=H","DateFormat=P","Fill=—","Direction=H","UseDPDF=Y")</f>
        <v>#NAME?</v>
      </c>
      <c r="CO283" s="2" t="e">
        <f ca="1">_xll.BDH($C$278,"NET_DEBT_%_CAPITAL","FY 2015","FY 2015","Currency=INR","Period=FY","BEST_FPERIOD_OVERRIDE=FY","FILING_STATUS=OR","EQY_CONSOLIDATED=Y","Sort=A","Dates=H","DateFormat=P","Fill=—","Direction=H","UseDPDF=Y")</f>
        <v>#NAME?</v>
      </c>
      <c r="CP283" s="3" t="e">
        <f ca="1">_xll.BDH($C$278,"EBITDA","FY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283" s="3" t="e">
        <f ca="1">_xll.BDH($C$278,"EBITDA_AFTER_CAPEX","FY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283" s="3" t="e">
        <f ca="1">_xll.BDH($C$278,"IS_OPER_INC","FY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283" s="2" t="e">
        <f ca="1">_xll.BDH($C$278,"CASH_RATIO","FY 2015","FY 2015","Currency=INR","Period=FY","BEST_FPERIOD_OVERRIDE=FY","FILING_STATUS=OR","EQY_CONSOLIDATED=Y","Sort=A","Dates=H","DateFormat=P","Fill=—","Direction=H","UseDPDF=Y")</f>
        <v>#NAME?</v>
      </c>
      <c r="CT283" s="2" t="e">
        <f ca="1">_xll.BDH($C$278,"CUR_RATIO","FY 2015","FY 2015","Currency=INR","Period=FY","BEST_FPERIOD_OVERRIDE=FY","FILING_STATUS=OR","EQY_CONSOLIDATED=Y","Sort=A","Dates=H","DateFormat=P","Fill=—","Direction=H","UseDPDF=Y")</f>
        <v>#NAME?</v>
      </c>
      <c r="CU283" s="2" t="e">
        <f ca="1">_xll.BDH($C$278,"QUICK_RATIO","FY 2015","FY 2015","Currency=INR","Period=FY","BEST_FPERIOD_OVERRIDE=FY","FILING_STATUS=OR","EQY_CONSOLIDATED=Y","Sort=A","Dates=H","DateFormat=P","Fill=—","Direction=H","UseDPDF=Y")</f>
        <v>#NAME?</v>
      </c>
      <c r="CV283" s="2" t="e">
        <f ca="1">_xll.BDH($C$278,"ALTMAN_Z_SCORE","FY 2015","FY 2015","Currency=INR","Period=FY","BEST_FPERIOD_OVERRIDE=FY","FILING_STATUS=OR","EQY_CONSOLIDATED=Y","Sort=A","Dates=H","DateFormat=P","Fill=—","Direction=H","UseDPDF=Y")</f>
        <v>#NAME?</v>
      </c>
      <c r="CW283" s="4" t="e">
        <f ca="1">_xll.BDH($C$278,"ACCT_RCV_TURN","FY 2015","FY 2015","Currency=INR","Period=FY","BEST_FPERIOD_OVERRIDE=FY","FILING_STATUS=OR","EQY_CONSOLIDATED=Y","FA_ADJUSTED=GAAP","Sort=A","Dates=H","DateFormat=P","Fill=—","Direction=H","UseDPDF=Y")</f>
        <v>#NAME?</v>
      </c>
      <c r="CX283" s="2" t="e">
        <f ca="1">_xll.BDH($C$278,"ACCT_RCV_DAYS","FY 2015","FY 2015","Currency=INR","Period=FY","BEST_FPERIOD_OVERRIDE=FY","FILING_STATUS=OR","EQY_CONSOLIDATED=Y","FA_ADJUSTED=GAAP","Sort=A","Dates=H","DateFormat=P","Fill=—","Direction=H","UseDPDF=Y")</f>
        <v>#NAME?</v>
      </c>
      <c r="CY283" s="4" t="e">
        <f ca="1">_xll.BDH($C$278,"INVENT_TURN","FY 2015","FY 2015","Currency=INR","Period=FY","BEST_FPERIOD_OVERRIDE=FY","FILING_STATUS=OR","EQY_CONSOLIDATED=Y","FA_ADJUSTED=GAAP","Sort=A","Dates=H","DateFormat=P","Fill=—","Direction=H","UseDPDF=Y")</f>
        <v>#NAME?</v>
      </c>
      <c r="CZ283" s="2" t="e">
        <f ca="1">_xll.BDH($C$278,"INVENT_DAYS","FY 2015","FY 2015","Currency=INR","Period=FY","BEST_FPERIOD_OVERRIDE=FY","FILING_STATUS=OR","EQY_CONSOLIDATED=Y","FA_ADJUSTED=GAAP","Sort=A","Dates=H","DateFormat=P","Fill=—","Direction=H","UseDPDF=Y")</f>
        <v>#NAME?</v>
      </c>
      <c r="DA283" s="4" t="e">
        <f ca="1">_xll.BDH($C$278,"ACCOUNTS_PAYABLE_TURNOVER","FY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283" s="2" t="e">
        <f ca="1">_xll.BDH($C$278,"ACCOUNTS_PAYABLE_TURNOVER_DAYS","FY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283" s="4" t="e">
        <f ca="1">_xll.BDH($C$278,"CASH_CONVERSION_CYCLE","FY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283" s="4" t="e">
        <f ca="1">_xll.BDH($C$278,"INV_TO_CASH_DAYS","FY 2015","FY 2015","Currency=INR","Period=FY","BEST_FPERIOD_OVERRIDE=FY","FILING_STATUS=OR","EQY_CONSOLIDATED=Y","FA_ADJUSTED=GAAP","Sort=A","Dates=H","DateFormat=P","Fill=—","Direction=H","UseDPDF=Y")</f>
        <v>#NAME?</v>
      </c>
      <c r="DE283" s="5" t="e">
        <f ca="1">_xll.BDH($C$278,"BS_INVENTORIES","FY 2015","FY 2015","Currency=INR","Period=FY","BEST_FPERIOD_OVERRIDE=FY","FILING_STATUS=OR","EQY_CONSOLIDATED=Y","SCALING_FORMAT=MLN","Sort=A","Dates=H","DateFormat=P","Fill=—","Direction=H","UseDPDF=Y")</f>
        <v>#NAME?</v>
      </c>
      <c r="DF283" s="3" t="e">
        <f ca="1">_xll.BDH($C$278,"INVTRY_RAW_MATERIALS","FY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283" s="3" t="e">
        <f ca="1">_xll.BDH($C$278,"INVTRY_IN_PROGRESS","FY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283" s="3" t="e">
        <f ca="1">_xll.BDH($C$278,"INVTRY_FINISHED_GOODS","FY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283" s="3" t="e">
        <f ca="1">_xll.BDH($C$278,"BS_OTHER_INV","FY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284" spans="1:113" x14ac:dyDescent="0.3">
      <c r="A284" s="6"/>
      <c r="B284" s="6"/>
      <c r="C284" s="6"/>
      <c r="D284" s="6"/>
      <c r="E284" t="s">
        <v>78</v>
      </c>
      <c r="F284" t="e">
        <f ca="1">_xll.BDH($C$278,"RETURN_COM_EQY","FQ1 2015","FQ1 2015","Currency=INR","Period=FQ","BEST_FPERIOD_OVERRIDE=FQ","FILING_STATUS=OR","EQY_CONSOLIDATED=Y","FA_ADJUSTED=GAAP","Sort=A","Dates=H","DateFormat=P","Fill=—","Direction=H","UseDPDF=Y")</f>
        <v>#NAME?</v>
      </c>
      <c r="G284" t="e">
        <f ca="1">_xll.BDH($C$278,"RETURN_ON_ASSET","FQ1 2015","FQ1 2015","Currency=INR","Period=FQ","BEST_FPERIOD_OVERRIDE=FQ","FILING_STATUS=OR","EQY_CONSOLIDATED=Y","FA_ADJUSTED=GAAP","Sort=A","Dates=H","DateFormat=P","Fill=—","Direction=H","UseDPDF=Y")</f>
        <v>#NAME?</v>
      </c>
      <c r="H284" t="e">
        <f ca="1">_xll.BDH($C$278,"RETURN_ON_CAP","FQ1 2015","FQ1 2015","Currency=INR","Period=FQ","BEST_FPERIOD_OVERRIDE=FQ","FILING_STATUS=OR","EQY_CONSOLIDATED=Y","FA_ADJUSTED=GAAP","Sort=A","Dates=H","DateFormat=P","Fill=—","Direction=H","UseDPDF=Y")</f>
        <v>#NAME?</v>
      </c>
      <c r="I284" t="e">
        <f ca="1">_xll.BDH($C$278,"RETURN_ON_INV_CAPITAL","FQ1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284" t="e">
        <f ca="1">_xll.BDH($C$278,"EBITDA_TO_REVENUE","FQ1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284" t="e">
        <f ca="1">_xll.BDH($C$278,"OPER_MARGIN","FQ1 2015","FQ1 2015","Currency=INR","Period=FQ","BEST_FPERIOD_OVERRIDE=FQ","FILING_STATUS=OR","EQY_CONSOLIDATED=Y","FA_ADJUSTED=GAAP","Sort=A","Dates=H","DateFormat=P","Fill=—","Direction=H","UseDPDF=Y")</f>
        <v>#NAME?</v>
      </c>
      <c r="L284" t="e">
        <f ca="1">_xll.BDH($C$278,"INCREMENTAL_OPERATING_MARGIN","FQ1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284" t="e">
        <f ca="1">_xll.BDH($C$278,"PRETAX_INC_TO_NET_SALES","FQ1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284" t="e">
        <f ca="1">_xll.BDH($C$278,"INC_BEF_XO_ITEMS_TO_NET_SALES","FQ1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284" t="e">
        <f ca="1">_xll.BDH($C$278,"PROF_MARGIN","FQ1 2015","FQ1 2015","Currency=INR","Period=FQ","BEST_FPERIOD_OVERRIDE=FQ","FILING_STATUS=OR","EQY_CONSOLIDATED=Y","FA_ADJUSTED=GAAP","Sort=A","Dates=H","DateFormat=P","Fill=—","Direction=H","UseDPDF=Y")</f>
        <v>#NAME?</v>
      </c>
      <c r="P284" t="e">
        <f ca="1">_xll.BDH($C$278,"NET_INCOME_TO_COMMON_MARGIN","FQ1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284" t="e">
        <f ca="1">_xll.BDH($C$278,"EFF_TAX_RATE","FQ1 2015","FQ1 2015","Currency=INR","Period=FQ","BEST_FPERIOD_OVERRIDE=FQ","FILING_STATUS=OR","EQY_CONSOLIDATED=Y","FA_ADJUSTED=GAAP","Sort=A","Dates=H","DateFormat=P","Fill=—","Direction=H","UseDPDF=Y")</f>
        <v>#NAME?</v>
      </c>
      <c r="R284" t="e">
        <f ca="1">_xll.BDH($C$278,"DVD_PAYOUT_RATIO","FQ1 2015","FQ1 2015","Currency=INR","Period=FQ","BEST_FPERIOD_OVERRIDE=FQ","FILING_STATUS=OR","EQY_CONSOLIDATED=Y","FA_ADJUSTED=GAAP","Sort=A","Dates=H","DateFormat=P","Fill=—","Direction=H","UseDPDF=Y")</f>
        <v>#NAME?</v>
      </c>
      <c r="S284" t="e">
        <f ca="1">_xll.BDH($C$278,"SUSTAIN_GROWTH_RT","FQ1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284" s="2" t="e">
        <f ca="1">_xll.BDH($C$278,"SALES_GROWTH","FQ1 2015","FQ1 2015","Currency=INR","Period=FQ","BEST_FPERIOD_OVERRIDE=FQ","FILING_STATUS=OR","EQY_CONSOLIDATED=Y","FA_ADJUSTED=GAAP","Sort=A","Dates=H","DateFormat=P","Fill=—","Direction=H","UseDPDF=Y")</f>
        <v>#NAME?</v>
      </c>
      <c r="U284" s="2" t="e">
        <f ca="1">_xll.BDH($C$278,"EBITDA_GROWTH","FQ1 2015","FQ1 2015","Currency=INR","Period=FQ","BEST_FPERIOD_OVERRIDE=FQ","FILING_STATUS=OR","EQY_CONSOLIDATED=Y","FA_ADJUSTED=GAAP","Sort=A","Dates=H","DateFormat=P","Fill=—","Direction=H","UseDPDF=Y")</f>
        <v>#NAME?</v>
      </c>
      <c r="V284" s="2" t="e">
        <f ca="1">_xll.BDH($C$278,"OPER_INC_GROWTH","FQ1 2015","FQ1 2015","Currency=INR","Period=FQ","BEST_FPERIOD_OVERRIDE=FQ","FILING_STATUS=OR","EQY_CONSOLIDATED=Y","FA_ADJUSTED=GAAP","Sort=A","Dates=H","DateFormat=P","Fill=—","Direction=H","UseDPDF=Y")</f>
        <v>#NAME?</v>
      </c>
      <c r="W284" s="2" t="e">
        <f ca="1">_xll.BDH($C$278,"EARN_FOR_COM_GROWTH","FQ1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284" s="2" t="e">
        <f ca="1">_xll.BDH($C$278,"DILUTED_EPS_AFT_XO_ITEMS_GROWTH","FQ1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284" s="2" t="e">
        <f ca="1">_xll.BDH($C$278,"DIVIDEND_PER_SHARE_1_YEAR_GROWTH","FQ1 2015","FQ1 2015","Currency=INR","Period=FQ","BEST_FPERIOD_OVERRIDE=FQ","FILING_STATUS=OR","EQY_CONSOLIDATED=Y","Sort=A","Dates=H","DateFormat=P","Fill=—","Direction=H","UseDPDF=Y")</f>
        <v>#NAME?</v>
      </c>
      <c r="Z284" s="2" t="e">
        <f ca="1">_xll.BDH($C$278,"ACCOUNTS_RECEIVABLE_GROWTH","FQ1 2015","FQ1 2015","Currency=INR","Period=FQ","BEST_FPERIOD_OVERRIDE=FQ","FILING_STATUS=OR","EQY_CONSOLIDATED=Y","Sort=A","Dates=H","DateFormat=P","Fill=—","Direction=H","UseDPDF=Y")</f>
        <v>#NAME?</v>
      </c>
      <c r="AA284" s="2" t="e">
        <f ca="1">_xll.BDH($C$278,"INVENTORY_GROWTH","FQ1 2015","FQ1 2015","Currency=INR","Period=FQ","BEST_FPERIOD_OVERRIDE=FQ","FILING_STATUS=OR","EQY_CONSOLIDATED=Y","Sort=A","Dates=H","DateFormat=P","Fill=—","Direction=H","UseDPDF=Y")</f>
        <v>#NAME?</v>
      </c>
      <c r="AB284" s="2" t="e">
        <f ca="1">_xll.BDH($C$278,"NET_FIXED_ASSETS_1_YEAR_GROWTH","FQ1 2015","FQ1 2015","Currency=INR","Period=FQ","BEST_FPERIOD_OVERRIDE=FQ","FILING_STATUS=OR","EQY_CONSOLIDATED=Y","Sort=A","Dates=H","DateFormat=P","Fill=—","Direction=H","UseDPDF=Y")</f>
        <v>#NAME?</v>
      </c>
      <c r="AC284" s="2" t="e">
        <f ca="1">_xll.BDH($C$278,"ASSET_GROWTH","FQ1 2015","FQ1 2015","Currency=INR","Period=FQ","BEST_FPERIOD_OVERRIDE=FQ","FILING_STATUS=OR","EQY_CONSOLIDATED=Y","Sort=A","Dates=H","DateFormat=P","Fill=—","Direction=H","UseDPDF=Y")</f>
        <v>#NAME?</v>
      </c>
      <c r="AD284" s="2" t="e">
        <f ca="1">_xll.BDH($C$278,"MODIFIED_WORK_CAP_GROWTH","FQ1 2015","FQ1 2015","Currency=INR","Period=FQ","BEST_FPERIOD_OVERRIDE=FQ","FILING_STATUS=OR","EQY_CONSOLIDATED=Y","Sort=A","Dates=H","DateFormat=P","Fill=—","Direction=H","UseDPDF=Y")</f>
        <v>#NAME?</v>
      </c>
      <c r="AE284" s="2" t="e">
        <f ca="1">_xll.BDH($C$278,"WORK_CAP_GROWTH","FQ1 2015","FQ1 2015","Currency=INR","Period=FQ","BEST_FPERIOD_OVERRIDE=FQ","FILING_STATUS=OR","EQY_CONSOLIDATED=Y","Sort=A","Dates=H","DateFormat=P","Fill=—","Direction=H","UseDPDF=Y")</f>
        <v>#NAME?</v>
      </c>
      <c r="AF284" s="2" t="e">
        <f ca="1">_xll.BDH($C$278,"ACCOUNTS_PAYABLE_GROWTH_1YR","FQ1 2015","FQ1 2015","Currency=INR","Period=FQ","BEST_FPERIOD_OVERRIDE=FQ","FILING_STATUS=OR","EQY_CONSOLIDATED=Y","Sort=A","Dates=H","DateFormat=P","Fill=—","Direction=H","UseDPDF=Y")</f>
        <v>#NAME?</v>
      </c>
      <c r="AG284" s="2" t="e">
        <f ca="1">_xll.BDH($C$278,"SHORT_TERM_DEBT_1_YEAR_GROWTH","FQ1 2015","FQ1 2015","Currency=INR","Period=FQ","BEST_FPERIOD_OVERRIDE=FQ","FILING_STATUS=OR","EQY_CONSOLIDATED=Y","Sort=A","Dates=H","DateFormat=P","Fill=—","Direction=H","UseDPDF=Y")</f>
        <v>#NAME?</v>
      </c>
      <c r="AH284" s="2" t="e">
        <f ca="1">_xll.BDH($C$278,"TOTAL_DEBT_1_YEAR_GROWTH","FQ1 2015","FQ1 2015","Currency=INR","Period=FQ","BEST_FPERIOD_OVERRIDE=FQ","FILING_STATUS=OR","EQY_CONSOLIDATED=Y","Sort=A","Dates=H","DateFormat=P","Fill=—","Direction=H","UseDPDF=Y")</f>
        <v>#NAME?</v>
      </c>
      <c r="AI284" s="2" t="e">
        <f ca="1">_xll.BDH($C$278,"TOTAL_EQUITY_1_YEAR_GROWTH","FQ1 2015","FQ1 2015","Currency=INR","Period=FQ","BEST_FPERIOD_OVERRIDE=FQ","FILING_STATUS=OR","EQY_CONSOLIDATED=Y","Sort=A","Dates=H","DateFormat=P","Fill=—","Direction=H","UseDPDF=Y")</f>
        <v>#NAME?</v>
      </c>
      <c r="AJ284" s="2" t="e">
        <f ca="1">_xll.BDH($C$278,"GROWTH_IN_CAP","FQ1 2015","FQ1 2015","Currency=INR","Period=FQ","BEST_FPERIOD_OVERRIDE=FQ","FILING_STATUS=OR","EQY_CONSOLIDATED=Y","Sort=A","Dates=H","DateFormat=P","Fill=—","Direction=H","UseDPDF=Y")</f>
        <v>#NAME?</v>
      </c>
      <c r="AK284" s="2" t="e">
        <f ca="1">_xll.BDH($C$278,"BVPS_GROWTH","FQ1 2015","FQ1 2015","Currency=INR","Period=FQ","BEST_FPERIOD_OVERRIDE=FQ","FILING_STATUS=OR","EQY_CONSOLIDATED=Y","Sort=A","Dates=H","DateFormat=P","Fill=—","Direction=H","UseDPDF=Y")</f>
        <v>#NAME?</v>
      </c>
      <c r="AL284" s="2" t="e">
        <f ca="1">_xll.BDH($C$278,"CASH_FLOW_GROWTH","FQ1 2015","FQ1 2015","Currency=INR","Period=FQ","BEST_FPERIOD_OVERRIDE=FQ","FILING_STATUS=OR","EQY_CONSOLIDATED=Y","Sort=A","Dates=H","DateFormat=P","Fill=—","Direction=H","UseDPDF=Y")</f>
        <v>#NAME?</v>
      </c>
      <c r="AM284" s="2" t="e">
        <f ca="1">_xll.BDH($C$278,"GEO_GROW_NET_SALES","FQ1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284" s="2" t="e">
        <f ca="1">_xll.BDH($C$278,"GEO_GROW_EBITDA","FQ1 2015","FQ1 2015","Currency=INR","Period=FQ","BEST_FPERIOD_OVERRIDE=FQ","FILING_STATUS=OR","EQY_CONSOLIDATED=Y","FA_ADJUSTED=GAAP","Sort=A","Dates=H","DateFormat=P","Fill=—","Direction=H","UseDPDF=Y")</f>
        <v>#NAME?</v>
      </c>
      <c r="AO284" s="2" t="e">
        <f ca="1">_xll.BDH($C$278,"GEO_GROW_OPER_INC","FQ1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284" s="2" t="e">
        <f ca="1">_xll.BDH($C$278,"NET_INCOME_TO_COMMON_5_YR_GROWTH","FQ1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284" s="2" t="e">
        <f ca="1">_xll.BDH($C$278,"5Y_GEO_GROWTH_DILUTED_EPS","FQ1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284" s="2" t="e">
        <f ca="1">_xll.BDH($C$278,"GEO_GROW_DVD_PER_SH","FQ1 2015","FQ1 2015","Currency=INR","Period=FQ","BEST_FPERIOD_OVERRIDE=FQ","FILING_STATUS=OR","EQY_CONSOLIDATED=Y","Sort=A","Dates=H","DateFormat=P","Fill=—","Direction=H","UseDPDF=Y")</f>
        <v>#NAME?</v>
      </c>
      <c r="AS284" s="2" t="e">
        <f ca="1">_xll.BDH($C$278,"ACCOUNTS_RECEIVABLE_5_YR_GROWTH","FQ1 2015","FQ1 2015","Currency=INR","Period=FQ","BEST_FPERIOD_OVERRIDE=FQ","FILING_STATUS=OR","EQY_CONSOLIDATED=Y","Sort=A","Dates=H","DateFormat=P","Fill=—","Direction=H","UseDPDF=Y")</f>
        <v>#NAME?</v>
      </c>
      <c r="AT284" s="2" t="e">
        <f ca="1">_xll.BDH($C$278,"INVENTORY_5_YEAR_GROWTH","FQ1 2015","FQ1 2015","Currency=INR","Period=FQ","BEST_FPERIOD_OVERRIDE=FQ","FILING_STATUS=OR","EQY_CONSOLIDATED=Y","Sort=A","Dates=H","DateFormat=P","Fill=—","Direction=H","UseDPDF=Y")</f>
        <v>#NAME?</v>
      </c>
      <c r="AU284" s="2" t="e">
        <f ca="1">_xll.BDH($C$278,"NET_FIXED_ASSETS_5_YEAR_GROWTH","FQ1 2015","FQ1 2015","Currency=INR","Period=FQ","BEST_FPERIOD_OVERRIDE=FQ","FILING_STATUS=OR","EQY_CONSOLIDATED=Y","Sort=A","Dates=H","DateFormat=P","Fill=—","Direction=H","UseDPDF=Y")</f>
        <v>#NAME?</v>
      </c>
      <c r="AV284" s="2" t="e">
        <f ca="1">_xll.BDH($C$278,"GEO_GROW_TOT_ASSET","FQ1 2015","FQ1 2015","Currency=INR","Period=FQ","BEST_FPERIOD_OVERRIDE=FQ","FILING_STATUS=OR","EQY_CONSOLIDATED=Y","Sort=A","Dates=H","DateFormat=P","Fill=—","Direction=H","UseDPDF=Y")</f>
        <v>#NAME?</v>
      </c>
      <c r="AW284" s="2" t="e">
        <f ca="1">_xll.BDH($C$278,"MODIFIED_WORKING_CPTL_5YR_GRWTH","FQ1 2015","FQ1 2015","Currency=INR","Period=FQ","BEST_FPERIOD_OVERRIDE=FQ","FILING_STATUS=OR","EQY_CONSOLIDATED=Y","Sort=A","Dates=H","DateFormat=P","Fill=—","Direction=H","UseDPDF=Y")</f>
        <v>#NAME?</v>
      </c>
      <c r="AX284" s="2" t="e">
        <f ca="1">_xll.BDH($C$278,"WORKING_CAPITAL_5_YEAR_GROWTH","FQ1 2015","FQ1 2015","Currency=INR","Period=FQ","BEST_FPERIOD_OVERRIDE=FQ","FILING_STATUS=OR","EQY_CONSOLIDATED=Y","Sort=A","Dates=H","DateFormat=P","Fill=—","Direction=H","UseDPDF=Y")</f>
        <v>#NAME?</v>
      </c>
      <c r="AY284" s="2" t="e">
        <f ca="1">_xll.BDH($C$278,"ACCOUNTS_PAYABLE_5_YEAR_GROWTH","FQ1 2015","FQ1 2015","Currency=INR","Period=FQ","BEST_FPERIOD_OVERRIDE=FQ","FILING_STATUS=OR","EQY_CONSOLIDATED=Y","Sort=A","Dates=H","DateFormat=P","Fill=—","Direction=H","UseDPDF=Y")</f>
        <v>#NAME?</v>
      </c>
      <c r="AZ284" s="2" t="e">
        <f ca="1">_xll.BDH($C$278,"SHORT_TERM_DEBT_5_YEAR_GROWTH","FQ1 2015","FQ1 2015","Currency=INR","Period=FQ","BEST_FPERIOD_OVERRIDE=FQ","FILING_STATUS=OR","EQY_CONSOLIDATED=Y","Sort=A","Dates=H","DateFormat=P","Fill=—","Direction=H","UseDPDF=Y")</f>
        <v>#NAME?</v>
      </c>
      <c r="BA284" s="2" t="e">
        <f ca="1">_xll.BDH($C$278,"TOTAL_DEBT_5_YEAR_GROWTH","FQ1 2015","FQ1 2015","Currency=INR","Period=FQ","BEST_FPERIOD_OVERRIDE=FQ","FILING_STATUS=OR","EQY_CONSOLIDATED=Y","Sort=A","Dates=H","DateFormat=P","Fill=—","Direction=H","UseDPDF=Y")</f>
        <v>#NAME?</v>
      </c>
      <c r="BB284" s="2" t="e">
        <f ca="1">_xll.BDH($C$278,"GEO_GROW_TOT_SHRHLDR_EQY","FQ1 2015","FQ1 2015","Currency=INR","Period=FQ","BEST_FPERIOD_OVERRIDE=FQ","FILING_STATUS=OR","EQY_CONSOLIDATED=Y","Sort=A","Dates=H","DateFormat=P","Fill=—","Direction=H","UseDPDF=Y")</f>
        <v>#NAME?</v>
      </c>
      <c r="BC284" s="2" t="e">
        <f ca="1">_xll.BDH($C$278,"TOTAL_CAPITAL_5_YEAR_GROWTH","FQ1 2015","FQ1 2015","Currency=INR","Period=FQ","BEST_FPERIOD_OVERRIDE=FQ","FILING_STATUS=OR","EQY_CONSOLIDATED=Y","Sort=A","Dates=H","DateFormat=P","Fill=—","Direction=H","UseDPDF=Y")</f>
        <v>#NAME?</v>
      </c>
      <c r="BD284" s="2" t="e">
        <f ca="1">_xll.BDH($C$278,"GEO_GROW_BOOK_VAL","FQ1 2015","FQ1 2015","Currency=INR","Period=FQ","BEST_FPERIOD_OVERRIDE=FQ","FILING_STATUS=OR","EQY_CONSOLIDATED=Y","Sort=A","Dates=H","DateFormat=P","Fill=—","Direction=H","UseDPDF=Y")</f>
        <v>#NAME?</v>
      </c>
      <c r="BE284" s="2" t="e">
        <f ca="1">_xll.BDH($C$278,"GEO_GROW_CASH_OPER_ACT","FQ1 2015","FQ1 2015","Currency=INR","Period=FQ","BEST_FPERIOD_OVERRIDE=FQ","FILING_STATUS=OR","EQY_CONSOLIDATED=Y","Sort=A","Dates=H","DateFormat=P","Fill=—","Direction=H","UseDPDF=Y")</f>
        <v>#NAME?</v>
      </c>
      <c r="BF284" s="2" t="e">
        <f ca="1">_xll.BDH($C$278,"REVENUE_SEQUENTIAL_GROWTH","FQ1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284" s="2" t="e">
        <f ca="1">_xll.BDH($C$278,"EBITDA_SEQUENTIAL_GROWTH","FQ1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284" s="2" t="e">
        <f ca="1">_xll.BDH($C$278,"OPERATING_INCOME_SEQ_GROWTH","FQ1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284" s="2" t="e">
        <f ca="1">_xll.BDH($C$278,"NET_INCOME_TO_COMMON_SEQ_GROWTH","FQ1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284" s="2" t="e">
        <f ca="1">_xll.BDH($C$278,"EPS_DILUTED_SEQUENTIAL_GROWTH","FQ1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284" s="2" t="e">
        <f ca="1">_xll.BDH($C$278,"DPS_SEQUENTIAL_GROWTH","FQ1 2015","FQ1 2015","Currency=INR","Period=FQ","BEST_FPERIOD_OVERRIDE=FQ","FILING_STATUS=OR","EQY_CONSOLIDATED=Y","Sort=A","Dates=H","DateFormat=P","Fill=—","Direction=H","UseDPDF=Y")</f>
        <v>#NAME?</v>
      </c>
      <c r="BL284" s="2" t="e">
        <f ca="1">_xll.BDH($C$278,"ACCOUNTS_RECEIVABLE_SEQ_GROWTH","FQ1 2015","FQ1 2015","Currency=INR","Period=FQ","BEST_FPERIOD_OVERRIDE=FQ","FILING_STATUS=OR","EQY_CONSOLIDATED=Y","Sort=A","Dates=H","DateFormat=P","Fill=—","Direction=H","UseDPDF=Y")</f>
        <v>#NAME?</v>
      </c>
      <c r="BM284" s="2" t="e">
        <f ca="1">_xll.BDH($C$278,"INVENTORY_SEQUENTIAL_GROWTH","FQ1 2015","FQ1 2015","Currency=INR","Period=FQ","BEST_FPERIOD_OVERRIDE=FQ","FILING_STATUS=OR","EQY_CONSOLIDATED=Y","Sort=A","Dates=H","DateFormat=P","Fill=—","Direction=H","UseDPDF=Y")</f>
        <v>#NAME?</v>
      </c>
      <c r="BN284" s="2" t="e">
        <f ca="1">_xll.BDH($C$278,"FIXED_ASSETS_SEQUENTIAL_GROWTH","FQ1 2015","FQ1 2015","Currency=INR","Period=FQ","BEST_FPERIOD_OVERRIDE=FQ","FILING_STATUS=OR","EQY_CONSOLIDATED=Y","Sort=A","Dates=H","DateFormat=P","Fill=—","Direction=H","UseDPDF=Y")</f>
        <v>#NAME?</v>
      </c>
      <c r="BO284" s="2" t="e">
        <f ca="1">_xll.BDH($C$278,"TOTAL_ASSETS_SEQUENTIAL_GROWTH","FQ1 2015","FQ1 2015","Currency=INR","Period=FQ","BEST_FPERIOD_OVERRIDE=FQ","FILING_STATUS=OR","EQY_CONSOLIDATED=Y","Sort=A","Dates=H","DateFormat=P","Fill=—","Direction=H","UseDPDF=Y")</f>
        <v>#NAME?</v>
      </c>
      <c r="BP284" s="2" t="e">
        <f ca="1">_xll.BDH($C$278,"MODIFIED_WORKING_CPTL_SEQ_GRWTH","FQ1 2015","FQ1 2015","Currency=INR","Period=FQ","BEST_FPERIOD_OVERRIDE=FQ","FILING_STATUS=OR","EQY_CONSOLIDATED=Y","Sort=A","Dates=H","DateFormat=P","Fill=—","Direction=H","UseDPDF=Y")</f>
        <v>#NAME?</v>
      </c>
      <c r="BQ284" s="2" t="e">
        <f ca="1">_xll.BDH($C$278,"WORKING_CAPITAL_SEQ_GROWTH","FQ1 2015","FQ1 2015","Currency=INR","Period=FQ","BEST_FPERIOD_OVERRIDE=FQ","FILING_STATUS=OR","EQY_CONSOLIDATED=Y","Sort=A","Dates=H","DateFormat=P","Fill=—","Direction=H","UseDPDF=Y")</f>
        <v>#NAME?</v>
      </c>
      <c r="BR284" s="2" t="e">
        <f ca="1">_xll.BDH($C$278,"ACCOUNTS_PAYABLE_SEQ_GROWTH","FQ1 2015","FQ1 2015","Currency=INR","Period=FQ","BEST_FPERIOD_OVERRIDE=FQ","FILING_STATUS=OR","EQY_CONSOLIDATED=Y","Sort=A","Dates=H","DateFormat=P","Fill=—","Direction=H","UseDPDF=Y")</f>
        <v>#NAME?</v>
      </c>
      <c r="BS284" s="2" t="e">
        <f ca="1">_xll.BDH($C$278,"ST_DEBT_SEQUENTIAL_GROWTH","FQ1 2015","FQ1 2015","Currency=INR","Period=FQ","BEST_FPERIOD_OVERRIDE=FQ","FILING_STATUS=OR","EQY_CONSOLIDATED=Y","Sort=A","Dates=H","DateFormat=P","Fill=—","Direction=H","UseDPDF=Y")</f>
        <v>#NAME?</v>
      </c>
      <c r="BT284" s="2" t="e">
        <f ca="1">_xll.BDH($C$278,"TOTAL_DEBT_SEQUENTIAL_GROWTH","FQ1 2015","FQ1 2015","Currency=INR","Period=FQ","BEST_FPERIOD_OVERRIDE=FQ","FILING_STATUS=OR","EQY_CONSOLIDATED=Y","Sort=A","Dates=H","DateFormat=P","Fill=—","Direction=H","UseDPDF=Y")</f>
        <v>#NAME?</v>
      </c>
      <c r="BU284" s="2" t="e">
        <f ca="1">_xll.BDH($C$278,"TOTAL_EQUITY_SEQUENTIAL_GROWTH","FQ1 2015","FQ1 2015","Currency=INR","Period=FQ","BEST_FPERIOD_OVERRIDE=FQ","FILING_STATUS=OR","EQY_CONSOLIDATED=Y","Sort=A","Dates=H","DateFormat=P","Fill=—","Direction=H","UseDPDF=Y")</f>
        <v>#NAME?</v>
      </c>
      <c r="BV284" s="2" t="e">
        <f ca="1">_xll.BDH($C$278,"TOTAL_CAPITAL_SEQUENTIAL_GROWTH","FQ1 2015","FQ1 2015","Currency=INR","Period=FQ","BEST_FPERIOD_OVERRIDE=FQ","FILING_STATUS=OR","EQY_CONSOLIDATED=Y","Sort=A","Dates=H","DateFormat=P","Fill=—","Direction=H","UseDPDF=Y")</f>
        <v>#NAME?</v>
      </c>
      <c r="BW284" s="2" t="e">
        <f ca="1">_xll.BDH($C$278,"BPS_SEQUENTIAL_GROWTH","FQ1 2015","FQ1 2015","Currency=INR","Period=FQ","BEST_FPERIOD_OVERRIDE=FQ","FILING_STATUS=OR","EQY_CONSOLIDATED=Y","Sort=A","Dates=H","DateFormat=P","Fill=—","Direction=H","UseDPDF=Y")</f>
        <v>#NAME?</v>
      </c>
      <c r="BX284" s="2" t="e">
        <f ca="1">_xll.BDH($C$278,"CFO_SEQUENTIAL_GROWTH","FQ1 2015","FQ1 2015","Currency=INR","Period=FQ","BEST_FPERIOD_OVERRIDE=FQ","FILING_STATUS=OR","EQY_CONSOLIDATED=Y","Sort=A","Dates=H","DateFormat=P","Fill=—","Direction=H","UseDPDF=Y")</f>
        <v>#NAME?</v>
      </c>
      <c r="BY284" s="3" t="e">
        <f ca="1">_xll.BDH($C$278,"SHORT_AND_LONG_TERM_DEBT","FQ1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284" s="3" t="e">
        <f ca="1">_xll.BDH($C$278,"BS_ST_BORROW","FQ1 2015","FQ1 2015","Currency=INR","Period=FQ","BEST_FPERIOD_OVERRIDE=FQ","FILING_STATUS=OR","EQY_CONSOLIDATED=Y","SCALING_FORMAT=MLN","Sort=A","Dates=H","DateFormat=P","Fill=—","Direction=H","UseDPDF=Y")</f>
        <v>#NAME?</v>
      </c>
      <c r="CA284" s="3" t="e">
        <f ca="1">_xll.BDH($C$278,"BS_LT_BORROW","FQ1 2015","FQ1 2015","Currency=INR","Period=FQ","BEST_FPERIOD_OVERRIDE=FQ","FILING_STATUS=OR","EQY_CONSOLIDATED=Y","SCALING_FORMAT=MLN","Sort=A","Dates=H","DateFormat=P","Fill=—","Direction=H","UseDPDF=Y")</f>
        <v>#NAME?</v>
      </c>
      <c r="CB284" s="2" t="e">
        <f ca="1">_xll.BDH($C$278,"TOT_DEBT_TO_EBITDA","FQ1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284" s="2" t="e">
        <f ca="1">_xll.BDH($C$278,"NET_DEBT_TO_EBITDA","FQ1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284" s="2" t="e">
        <f ca="1">_xll.BDH($C$278,"TOTAL_DEBT_TO_EBIT","FQ1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284" s="2" t="e">
        <f ca="1">_xll.BDH($C$278,"NET_DEBT_TO_EBIT","FQ1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284" s="2" t="e">
        <f ca="1">_xll.BDH($C$278,"EBITDA_TO_INTEREST_EXPN","FQ1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284" s="2" t="e">
        <f ca="1">_xll.BDH($C$278,"COM_EQY_TO_TOT_ASSET","FQ1 2015","FQ1 2015","Currency=INR","Period=FQ","BEST_FPERIOD_OVERRIDE=FQ","FILING_STATUS=OR","EQY_CONSOLIDATED=Y","Sort=A","Dates=H","DateFormat=P","Fill=—","Direction=H","UseDPDF=Y")</f>
        <v>#NAME?</v>
      </c>
      <c r="CH284" s="2" t="e">
        <f ca="1">_xll.BDH($C$278,"LT_DEBT_TO_TOT_EQY","FQ1 2015","FQ1 2015","Currency=INR","Period=FQ","BEST_FPERIOD_OVERRIDE=FQ","FILING_STATUS=OR","EQY_CONSOLIDATED=Y","Sort=A","Dates=H","DateFormat=P","Fill=—","Direction=H","UseDPDF=Y")</f>
        <v>#NAME?</v>
      </c>
      <c r="CI284" s="2" t="e">
        <f ca="1">_xll.BDH($C$278,"LT_DEBT_TO_TOT_CAP","FQ1 2015","FQ1 2015","Currency=INR","Period=FQ","BEST_FPERIOD_OVERRIDE=FQ","FILING_STATUS=OR","EQY_CONSOLIDATED=Y","Sort=A","Dates=H","DateFormat=P","Fill=—","Direction=H","UseDPDF=Y")</f>
        <v>#NAME?</v>
      </c>
      <c r="CJ284" s="2" t="e">
        <f ca="1">_xll.BDH($C$278,"LT_DEBT_TO_TOT_ASSET","FQ1 2015","FQ1 2015","Currency=INR","Period=FQ","BEST_FPERIOD_OVERRIDE=FQ","FILING_STATUS=OR","EQY_CONSOLIDATED=Y","Sort=A","Dates=H","DateFormat=P","Fill=—","Direction=H","UseDPDF=Y")</f>
        <v>#NAME?</v>
      </c>
      <c r="CK284" s="2" t="e">
        <f ca="1">_xll.BDH($C$278,"TOT_DEBT_TO_TOT_EQY","FQ1 2015","FQ1 2015","Currency=INR","Period=FQ","BEST_FPERIOD_OVERRIDE=FQ","FILING_STATUS=OR","EQY_CONSOLIDATED=Y","Sort=A","Dates=H","DateFormat=P","Fill=—","Direction=H","UseDPDF=Y")</f>
        <v>#NAME?</v>
      </c>
      <c r="CL284" s="2" t="e">
        <f ca="1">_xll.BDH($C$278,"TOT_DEBT_TO_TOT_CAP","FQ1 2015","FQ1 2015","Currency=INR","Period=FQ","BEST_FPERIOD_OVERRIDE=FQ","FILING_STATUS=OR","EQY_CONSOLIDATED=Y","Sort=A","Dates=H","DateFormat=P","Fill=—","Direction=H","UseDPDF=Y")</f>
        <v>#NAME?</v>
      </c>
      <c r="CM284" s="2" t="e">
        <f ca="1">_xll.BDH($C$278,"TOT_DEBT_TO_TOT_ASSET","FQ1 2015","FQ1 2015","Currency=INR","Period=FQ","BEST_FPERIOD_OVERRIDE=FQ","FILING_STATUS=OR","EQY_CONSOLIDATED=Y","Sort=A","Dates=H","DateFormat=P","Fill=—","Direction=H","UseDPDF=Y")</f>
        <v>#NAME?</v>
      </c>
      <c r="CN284" s="2" t="e">
        <f ca="1">_xll.BDH($C$278,"NET_DEBT_TO_SHRHLDR_EQTY","FQ1 2015","FQ1 2015","Currency=INR","Period=FQ","BEST_FPERIOD_OVERRIDE=FQ","FILING_STATUS=OR","EQY_CONSOLIDATED=Y","Sort=A","Dates=H","DateFormat=P","Fill=—","Direction=H","UseDPDF=Y")</f>
        <v>#NAME?</v>
      </c>
      <c r="CO284" s="2" t="e">
        <f ca="1">_xll.BDH($C$278,"NET_DEBT_%_CAPITAL","FQ1 2015","FQ1 2015","Currency=INR","Period=FQ","BEST_FPERIOD_OVERRIDE=FQ","FILING_STATUS=OR","EQY_CONSOLIDATED=Y","Sort=A","Dates=H","DateFormat=P","Fill=—","Direction=H","UseDPDF=Y")</f>
        <v>#NAME?</v>
      </c>
      <c r="CP284" s="3" t="e">
        <f ca="1">_xll.BDH($C$278,"EBITDA","FQ1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284" s="3" t="e">
        <f ca="1">_xll.BDH($C$278,"EBITDA_AFTER_CAPEX","FQ1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284" s="3" t="e">
        <f ca="1">_xll.BDH($C$278,"IS_OPER_INC","FQ1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284" s="2" t="e">
        <f ca="1">_xll.BDH($C$278,"CASH_RATIO","FQ1 2015","FQ1 2015","Currency=INR","Period=FQ","BEST_FPERIOD_OVERRIDE=FQ","FILING_STATUS=OR","EQY_CONSOLIDATED=Y","Sort=A","Dates=H","DateFormat=P","Fill=—","Direction=H","UseDPDF=Y")</f>
        <v>#NAME?</v>
      </c>
      <c r="CT284" s="2" t="e">
        <f ca="1">_xll.BDH($C$278,"CUR_RATIO","FQ1 2015","FQ1 2015","Currency=INR","Period=FQ","BEST_FPERIOD_OVERRIDE=FQ","FILING_STATUS=OR","EQY_CONSOLIDATED=Y","Sort=A","Dates=H","DateFormat=P","Fill=—","Direction=H","UseDPDF=Y")</f>
        <v>#NAME?</v>
      </c>
      <c r="CU284" s="2" t="e">
        <f ca="1">_xll.BDH($C$278,"QUICK_RATIO","FQ1 2015","FQ1 2015","Currency=INR","Period=FQ","BEST_FPERIOD_OVERRIDE=FQ","FILING_STATUS=OR","EQY_CONSOLIDATED=Y","Sort=A","Dates=H","DateFormat=P","Fill=—","Direction=H","UseDPDF=Y")</f>
        <v>#NAME?</v>
      </c>
      <c r="CV284" s="2" t="e">
        <f ca="1">_xll.BDH($C$278,"ALTMAN_Z_SCORE","FQ1 2015","FQ1 2015","Currency=INR","Period=FQ","BEST_FPERIOD_OVERRIDE=FQ","FILING_STATUS=OR","EQY_CONSOLIDATED=Y","Sort=A","Dates=H","DateFormat=P","Fill=—","Direction=H","UseDPDF=Y")</f>
        <v>#NAME?</v>
      </c>
      <c r="CW284" s="4" t="e">
        <f ca="1">_xll.BDH($C$278,"ACCT_RCV_TURN","FQ1 2015","FQ1 2015","Currency=INR","Period=FQ","BEST_FPERIOD_OVERRIDE=FQ","FILING_STATUS=OR","EQY_CONSOLIDATED=Y","FA_ADJUSTED=GAAP","Sort=A","Dates=H","DateFormat=P","Fill=—","Direction=H","UseDPDF=Y")</f>
        <v>#NAME?</v>
      </c>
      <c r="CX284" s="2" t="e">
        <f ca="1">_xll.BDH($C$278,"ACCT_RCV_DAYS","FQ1 2015","FQ1 2015","Currency=INR","Period=FQ","BEST_FPERIOD_OVERRIDE=FQ","FILING_STATUS=OR","EQY_CONSOLIDATED=Y","FA_ADJUSTED=GAAP","Sort=A","Dates=H","DateFormat=P","Fill=—","Direction=H","UseDPDF=Y")</f>
        <v>#NAME?</v>
      </c>
      <c r="CY284" s="4" t="e">
        <f ca="1">_xll.BDH($C$278,"INVENT_TURN","FQ1 2015","FQ1 2015","Currency=INR","Period=FQ","BEST_FPERIOD_OVERRIDE=FQ","FILING_STATUS=OR","EQY_CONSOLIDATED=Y","FA_ADJUSTED=GAAP","Sort=A","Dates=H","DateFormat=P","Fill=—","Direction=H","UseDPDF=Y")</f>
        <v>#NAME?</v>
      </c>
      <c r="CZ284" s="2" t="e">
        <f ca="1">_xll.BDH($C$278,"INVENT_DAYS","FQ1 2015","FQ1 2015","Currency=INR","Period=FQ","BEST_FPERIOD_OVERRIDE=FQ","FILING_STATUS=OR","EQY_CONSOLIDATED=Y","FA_ADJUSTED=GAAP","Sort=A","Dates=H","DateFormat=P","Fill=—","Direction=H","UseDPDF=Y")</f>
        <v>#NAME?</v>
      </c>
      <c r="DA284" s="4" t="e">
        <f ca="1">_xll.BDH($C$278,"ACCOUNTS_PAYABLE_TURNOVER","FQ1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284" s="2" t="e">
        <f ca="1">_xll.BDH($C$278,"ACCOUNTS_PAYABLE_TURNOVER_DAYS","FQ1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284" s="4" t="e">
        <f ca="1">_xll.BDH($C$278,"CASH_CONVERSION_CYCLE","FQ1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284" s="4" t="e">
        <f ca="1">_xll.BDH($C$278,"INV_TO_CASH_DAYS","FQ1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284" s="5" t="e">
        <f ca="1">_xll.BDH($C$278,"BS_INVENTORIES","FQ1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284" s="3" t="e">
        <f ca="1">_xll.BDH($C$278,"INVTRY_RAW_MATERIALS","FQ1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284" s="3" t="e">
        <f ca="1">_xll.BDH($C$278,"INVTRY_IN_PROGRESS","FQ1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284" s="3" t="e">
        <f ca="1">_xll.BDH($C$278,"INVTRY_FINISHED_GOODS","FQ1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284" s="3" t="e">
        <f ca="1">_xll.BDH($C$278,"BS_OTHER_INV","FQ1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285" spans="1:113" x14ac:dyDescent="0.3">
      <c r="A285" s="6"/>
      <c r="B285" s="6"/>
      <c r="C285" s="6"/>
      <c r="D285" s="6"/>
      <c r="E285" t="s">
        <v>79</v>
      </c>
      <c r="F285" t="e">
        <f ca="1">_xll.BDH($C$278,"RETURN_COM_EQY","FQ2 2015","FQ2 2015","Currency=INR","Period=FQ","BEST_FPERIOD_OVERRIDE=FQ","FILING_STATUS=OR","EQY_CONSOLIDATED=Y","FA_ADJUSTED=GAAP","Sort=A","Dates=H","DateFormat=P","Fill=—","Direction=H","UseDPDF=Y")</f>
        <v>#NAME?</v>
      </c>
      <c r="G285" t="e">
        <f ca="1">_xll.BDH($C$278,"RETURN_ON_ASSET","FQ2 2015","FQ2 2015","Currency=INR","Period=FQ","BEST_FPERIOD_OVERRIDE=FQ","FILING_STATUS=OR","EQY_CONSOLIDATED=Y","FA_ADJUSTED=GAAP","Sort=A","Dates=H","DateFormat=P","Fill=—","Direction=H","UseDPDF=Y")</f>
        <v>#NAME?</v>
      </c>
      <c r="H285" t="e">
        <f ca="1">_xll.BDH($C$278,"RETURN_ON_CAP","FQ2 2015","FQ2 2015","Currency=INR","Period=FQ","BEST_FPERIOD_OVERRIDE=FQ","FILING_STATUS=OR","EQY_CONSOLIDATED=Y","FA_ADJUSTED=GAAP","Sort=A","Dates=H","DateFormat=P","Fill=—","Direction=H","UseDPDF=Y")</f>
        <v>#NAME?</v>
      </c>
      <c r="I285" t="e">
        <f ca="1">_xll.BDH($C$278,"RETURN_ON_INV_CAPITAL","FQ2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285" t="e">
        <f ca="1">_xll.BDH($C$278,"EBITDA_TO_REVENUE","FQ2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285" t="e">
        <f ca="1">_xll.BDH($C$278,"OPER_MARGIN","FQ2 2015","FQ2 2015","Currency=INR","Period=FQ","BEST_FPERIOD_OVERRIDE=FQ","FILING_STATUS=OR","EQY_CONSOLIDATED=Y","FA_ADJUSTED=GAAP","Sort=A","Dates=H","DateFormat=P","Fill=—","Direction=H","UseDPDF=Y")</f>
        <v>#NAME?</v>
      </c>
      <c r="L285" t="e">
        <f ca="1">_xll.BDH($C$278,"INCREMENTAL_OPERATING_MARGIN","FQ2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285" t="e">
        <f ca="1">_xll.BDH($C$278,"PRETAX_INC_TO_NET_SALES","FQ2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285" t="e">
        <f ca="1">_xll.BDH($C$278,"INC_BEF_XO_ITEMS_TO_NET_SALES","FQ2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285" t="e">
        <f ca="1">_xll.BDH($C$278,"PROF_MARGIN","FQ2 2015","FQ2 2015","Currency=INR","Period=FQ","BEST_FPERIOD_OVERRIDE=FQ","FILING_STATUS=OR","EQY_CONSOLIDATED=Y","FA_ADJUSTED=GAAP","Sort=A","Dates=H","DateFormat=P","Fill=—","Direction=H","UseDPDF=Y")</f>
        <v>#NAME?</v>
      </c>
      <c r="P285" t="e">
        <f ca="1">_xll.BDH($C$278,"NET_INCOME_TO_COMMON_MARGIN","FQ2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285" t="e">
        <f ca="1">_xll.BDH($C$278,"EFF_TAX_RATE","FQ2 2015","FQ2 2015","Currency=INR","Period=FQ","BEST_FPERIOD_OVERRIDE=FQ","FILING_STATUS=OR","EQY_CONSOLIDATED=Y","FA_ADJUSTED=GAAP","Sort=A","Dates=H","DateFormat=P","Fill=—","Direction=H","UseDPDF=Y")</f>
        <v>#NAME?</v>
      </c>
      <c r="R285" t="e">
        <f ca="1">_xll.BDH($C$278,"DVD_PAYOUT_RATIO","FQ2 2015","FQ2 2015","Currency=INR","Period=FQ","BEST_FPERIOD_OVERRIDE=FQ","FILING_STATUS=OR","EQY_CONSOLIDATED=Y","FA_ADJUSTED=GAAP","Sort=A","Dates=H","DateFormat=P","Fill=—","Direction=H","UseDPDF=Y")</f>
        <v>#NAME?</v>
      </c>
      <c r="S285" t="e">
        <f ca="1">_xll.BDH($C$278,"SUSTAIN_GROWTH_RT","FQ2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285" s="2" t="e">
        <f ca="1">_xll.BDH($C$278,"SALES_GROWTH","FQ2 2015","FQ2 2015","Currency=INR","Period=FQ","BEST_FPERIOD_OVERRIDE=FQ","FILING_STATUS=OR","EQY_CONSOLIDATED=Y","FA_ADJUSTED=GAAP","Sort=A","Dates=H","DateFormat=P","Fill=—","Direction=H","UseDPDF=Y")</f>
        <v>#NAME?</v>
      </c>
      <c r="U285" s="2" t="e">
        <f ca="1">_xll.BDH($C$278,"EBITDA_GROWTH","FQ2 2015","FQ2 2015","Currency=INR","Period=FQ","BEST_FPERIOD_OVERRIDE=FQ","FILING_STATUS=OR","EQY_CONSOLIDATED=Y","FA_ADJUSTED=GAAP","Sort=A","Dates=H","DateFormat=P","Fill=—","Direction=H","UseDPDF=Y")</f>
        <v>#NAME?</v>
      </c>
      <c r="V285" s="2" t="e">
        <f ca="1">_xll.BDH($C$278,"OPER_INC_GROWTH","FQ2 2015","FQ2 2015","Currency=INR","Period=FQ","BEST_FPERIOD_OVERRIDE=FQ","FILING_STATUS=OR","EQY_CONSOLIDATED=Y","FA_ADJUSTED=GAAP","Sort=A","Dates=H","DateFormat=P","Fill=—","Direction=H","UseDPDF=Y")</f>
        <v>#NAME?</v>
      </c>
      <c r="W285" s="2" t="e">
        <f ca="1">_xll.BDH($C$278,"EARN_FOR_COM_GROWTH","FQ2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285" s="2" t="e">
        <f ca="1">_xll.BDH($C$278,"DILUTED_EPS_AFT_XO_ITEMS_GROWTH","FQ2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285" s="2" t="e">
        <f ca="1">_xll.BDH($C$278,"DIVIDEND_PER_SHARE_1_YEAR_GROWTH","FQ2 2015","FQ2 2015","Currency=INR","Period=FQ","BEST_FPERIOD_OVERRIDE=FQ","FILING_STATUS=OR","EQY_CONSOLIDATED=Y","Sort=A","Dates=H","DateFormat=P","Fill=—","Direction=H","UseDPDF=Y")</f>
        <v>#NAME?</v>
      </c>
      <c r="Z285" s="2" t="e">
        <f ca="1">_xll.BDH($C$278,"ACCOUNTS_RECEIVABLE_GROWTH","FQ2 2015","FQ2 2015","Currency=INR","Period=FQ","BEST_FPERIOD_OVERRIDE=FQ","FILING_STATUS=OR","EQY_CONSOLIDATED=Y","Sort=A","Dates=H","DateFormat=P","Fill=—","Direction=H","UseDPDF=Y")</f>
        <v>#NAME?</v>
      </c>
      <c r="AA285" s="2" t="e">
        <f ca="1">_xll.BDH($C$278,"INVENTORY_GROWTH","FQ2 2015","FQ2 2015","Currency=INR","Period=FQ","BEST_FPERIOD_OVERRIDE=FQ","FILING_STATUS=OR","EQY_CONSOLIDATED=Y","Sort=A","Dates=H","DateFormat=P","Fill=—","Direction=H","UseDPDF=Y")</f>
        <v>#NAME?</v>
      </c>
      <c r="AB285" s="2" t="e">
        <f ca="1">_xll.BDH($C$278,"NET_FIXED_ASSETS_1_YEAR_GROWTH","FQ2 2015","FQ2 2015","Currency=INR","Period=FQ","BEST_FPERIOD_OVERRIDE=FQ","FILING_STATUS=OR","EQY_CONSOLIDATED=Y","Sort=A","Dates=H","DateFormat=P","Fill=—","Direction=H","UseDPDF=Y")</f>
        <v>#NAME?</v>
      </c>
      <c r="AC285" s="2" t="e">
        <f ca="1">_xll.BDH($C$278,"ASSET_GROWTH","FQ2 2015","FQ2 2015","Currency=INR","Period=FQ","BEST_FPERIOD_OVERRIDE=FQ","FILING_STATUS=OR","EQY_CONSOLIDATED=Y","Sort=A","Dates=H","DateFormat=P","Fill=—","Direction=H","UseDPDF=Y")</f>
        <v>#NAME?</v>
      </c>
      <c r="AD285" s="2" t="e">
        <f ca="1">_xll.BDH($C$278,"MODIFIED_WORK_CAP_GROWTH","FQ2 2015","FQ2 2015","Currency=INR","Period=FQ","BEST_FPERIOD_OVERRIDE=FQ","FILING_STATUS=OR","EQY_CONSOLIDATED=Y","Sort=A","Dates=H","DateFormat=P","Fill=—","Direction=H","UseDPDF=Y")</f>
        <v>#NAME?</v>
      </c>
      <c r="AE285" s="2" t="e">
        <f ca="1">_xll.BDH($C$278,"WORK_CAP_GROWTH","FQ2 2015","FQ2 2015","Currency=INR","Period=FQ","BEST_FPERIOD_OVERRIDE=FQ","FILING_STATUS=OR","EQY_CONSOLIDATED=Y","Sort=A","Dates=H","DateFormat=P","Fill=—","Direction=H","UseDPDF=Y")</f>
        <v>#NAME?</v>
      </c>
      <c r="AF285" s="2" t="e">
        <f ca="1">_xll.BDH($C$278,"ACCOUNTS_PAYABLE_GROWTH_1YR","FQ2 2015","FQ2 2015","Currency=INR","Period=FQ","BEST_FPERIOD_OVERRIDE=FQ","FILING_STATUS=OR","EQY_CONSOLIDATED=Y","Sort=A","Dates=H","DateFormat=P","Fill=—","Direction=H","UseDPDF=Y")</f>
        <v>#NAME?</v>
      </c>
      <c r="AG285" s="2" t="e">
        <f ca="1">_xll.BDH($C$278,"SHORT_TERM_DEBT_1_YEAR_GROWTH","FQ2 2015","FQ2 2015","Currency=INR","Period=FQ","BEST_FPERIOD_OVERRIDE=FQ","FILING_STATUS=OR","EQY_CONSOLIDATED=Y","Sort=A","Dates=H","DateFormat=P","Fill=—","Direction=H","UseDPDF=Y")</f>
        <v>#NAME?</v>
      </c>
      <c r="AH285" s="2" t="e">
        <f ca="1">_xll.BDH($C$278,"TOTAL_DEBT_1_YEAR_GROWTH","FQ2 2015","FQ2 2015","Currency=INR","Period=FQ","BEST_FPERIOD_OVERRIDE=FQ","FILING_STATUS=OR","EQY_CONSOLIDATED=Y","Sort=A","Dates=H","DateFormat=P","Fill=—","Direction=H","UseDPDF=Y")</f>
        <v>#NAME?</v>
      </c>
      <c r="AI285" s="2" t="e">
        <f ca="1">_xll.BDH($C$278,"TOTAL_EQUITY_1_YEAR_GROWTH","FQ2 2015","FQ2 2015","Currency=INR","Period=FQ","BEST_FPERIOD_OVERRIDE=FQ","FILING_STATUS=OR","EQY_CONSOLIDATED=Y","Sort=A","Dates=H","DateFormat=P","Fill=—","Direction=H","UseDPDF=Y")</f>
        <v>#NAME?</v>
      </c>
      <c r="AJ285" s="2" t="e">
        <f ca="1">_xll.BDH($C$278,"GROWTH_IN_CAP","FQ2 2015","FQ2 2015","Currency=INR","Period=FQ","BEST_FPERIOD_OVERRIDE=FQ","FILING_STATUS=OR","EQY_CONSOLIDATED=Y","Sort=A","Dates=H","DateFormat=P","Fill=—","Direction=H","UseDPDF=Y")</f>
        <v>#NAME?</v>
      </c>
      <c r="AK285" s="2" t="e">
        <f ca="1">_xll.BDH($C$278,"BVPS_GROWTH","FQ2 2015","FQ2 2015","Currency=INR","Period=FQ","BEST_FPERIOD_OVERRIDE=FQ","FILING_STATUS=OR","EQY_CONSOLIDATED=Y","Sort=A","Dates=H","DateFormat=P","Fill=—","Direction=H","UseDPDF=Y")</f>
        <v>#NAME?</v>
      </c>
      <c r="AL285" s="2" t="e">
        <f ca="1">_xll.BDH($C$278,"CASH_FLOW_GROWTH","FQ2 2015","FQ2 2015","Currency=INR","Period=FQ","BEST_FPERIOD_OVERRIDE=FQ","FILING_STATUS=OR","EQY_CONSOLIDATED=Y","Sort=A","Dates=H","DateFormat=P","Fill=—","Direction=H","UseDPDF=Y")</f>
        <v>#NAME?</v>
      </c>
      <c r="AM285" s="2" t="e">
        <f ca="1">_xll.BDH($C$278,"GEO_GROW_NET_SALES","FQ2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285" s="2" t="e">
        <f ca="1">_xll.BDH($C$278,"GEO_GROW_EBITDA","FQ2 2015","FQ2 2015","Currency=INR","Period=FQ","BEST_FPERIOD_OVERRIDE=FQ","FILING_STATUS=OR","EQY_CONSOLIDATED=Y","FA_ADJUSTED=GAAP","Sort=A","Dates=H","DateFormat=P","Fill=—","Direction=H","UseDPDF=Y")</f>
        <v>#NAME?</v>
      </c>
      <c r="AO285" s="2" t="e">
        <f ca="1">_xll.BDH($C$278,"GEO_GROW_OPER_INC","FQ2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285" s="2" t="e">
        <f ca="1">_xll.BDH($C$278,"NET_INCOME_TO_COMMON_5_YR_GROWTH","FQ2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285" s="2" t="e">
        <f ca="1">_xll.BDH($C$278,"5Y_GEO_GROWTH_DILUTED_EPS","FQ2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285" s="2" t="e">
        <f ca="1">_xll.BDH($C$278,"GEO_GROW_DVD_PER_SH","FQ2 2015","FQ2 2015","Currency=INR","Period=FQ","BEST_FPERIOD_OVERRIDE=FQ","FILING_STATUS=OR","EQY_CONSOLIDATED=Y","Sort=A","Dates=H","DateFormat=P","Fill=—","Direction=H","UseDPDF=Y")</f>
        <v>#NAME?</v>
      </c>
      <c r="AS285" s="2" t="e">
        <f ca="1">_xll.BDH($C$278,"ACCOUNTS_RECEIVABLE_5_YR_GROWTH","FQ2 2015","FQ2 2015","Currency=INR","Period=FQ","BEST_FPERIOD_OVERRIDE=FQ","FILING_STATUS=OR","EQY_CONSOLIDATED=Y","Sort=A","Dates=H","DateFormat=P","Fill=—","Direction=H","UseDPDF=Y")</f>
        <v>#NAME?</v>
      </c>
      <c r="AT285" s="2" t="e">
        <f ca="1">_xll.BDH($C$278,"INVENTORY_5_YEAR_GROWTH","FQ2 2015","FQ2 2015","Currency=INR","Period=FQ","BEST_FPERIOD_OVERRIDE=FQ","FILING_STATUS=OR","EQY_CONSOLIDATED=Y","Sort=A","Dates=H","DateFormat=P","Fill=—","Direction=H","UseDPDF=Y")</f>
        <v>#NAME?</v>
      </c>
      <c r="AU285" s="2" t="e">
        <f ca="1">_xll.BDH($C$278,"NET_FIXED_ASSETS_5_YEAR_GROWTH","FQ2 2015","FQ2 2015","Currency=INR","Period=FQ","BEST_FPERIOD_OVERRIDE=FQ","FILING_STATUS=OR","EQY_CONSOLIDATED=Y","Sort=A","Dates=H","DateFormat=P","Fill=—","Direction=H","UseDPDF=Y")</f>
        <v>#NAME?</v>
      </c>
      <c r="AV285" s="2" t="e">
        <f ca="1">_xll.BDH($C$278,"GEO_GROW_TOT_ASSET","FQ2 2015","FQ2 2015","Currency=INR","Period=FQ","BEST_FPERIOD_OVERRIDE=FQ","FILING_STATUS=OR","EQY_CONSOLIDATED=Y","Sort=A","Dates=H","DateFormat=P","Fill=—","Direction=H","UseDPDF=Y")</f>
        <v>#NAME?</v>
      </c>
      <c r="AW285" s="2" t="e">
        <f ca="1">_xll.BDH($C$278,"MODIFIED_WORKING_CPTL_5YR_GRWTH","FQ2 2015","FQ2 2015","Currency=INR","Period=FQ","BEST_FPERIOD_OVERRIDE=FQ","FILING_STATUS=OR","EQY_CONSOLIDATED=Y","Sort=A","Dates=H","DateFormat=P","Fill=—","Direction=H","UseDPDF=Y")</f>
        <v>#NAME?</v>
      </c>
      <c r="AX285" s="2" t="e">
        <f ca="1">_xll.BDH($C$278,"WORKING_CAPITAL_5_YEAR_GROWTH","FQ2 2015","FQ2 2015","Currency=INR","Period=FQ","BEST_FPERIOD_OVERRIDE=FQ","FILING_STATUS=OR","EQY_CONSOLIDATED=Y","Sort=A","Dates=H","DateFormat=P","Fill=—","Direction=H","UseDPDF=Y")</f>
        <v>#NAME?</v>
      </c>
      <c r="AY285" s="2" t="e">
        <f ca="1">_xll.BDH($C$278,"ACCOUNTS_PAYABLE_5_YEAR_GROWTH","FQ2 2015","FQ2 2015","Currency=INR","Period=FQ","BEST_FPERIOD_OVERRIDE=FQ","FILING_STATUS=OR","EQY_CONSOLIDATED=Y","Sort=A","Dates=H","DateFormat=P","Fill=—","Direction=H","UseDPDF=Y")</f>
        <v>#NAME?</v>
      </c>
      <c r="AZ285" s="2" t="e">
        <f ca="1">_xll.BDH($C$278,"SHORT_TERM_DEBT_5_YEAR_GROWTH","FQ2 2015","FQ2 2015","Currency=INR","Period=FQ","BEST_FPERIOD_OVERRIDE=FQ","FILING_STATUS=OR","EQY_CONSOLIDATED=Y","Sort=A","Dates=H","DateFormat=P","Fill=—","Direction=H","UseDPDF=Y")</f>
        <v>#NAME?</v>
      </c>
      <c r="BA285" s="2" t="e">
        <f ca="1">_xll.BDH($C$278,"TOTAL_DEBT_5_YEAR_GROWTH","FQ2 2015","FQ2 2015","Currency=INR","Period=FQ","BEST_FPERIOD_OVERRIDE=FQ","FILING_STATUS=OR","EQY_CONSOLIDATED=Y","Sort=A","Dates=H","DateFormat=P","Fill=—","Direction=H","UseDPDF=Y")</f>
        <v>#NAME?</v>
      </c>
      <c r="BB285" s="2" t="e">
        <f ca="1">_xll.BDH($C$278,"GEO_GROW_TOT_SHRHLDR_EQY","FQ2 2015","FQ2 2015","Currency=INR","Period=FQ","BEST_FPERIOD_OVERRIDE=FQ","FILING_STATUS=OR","EQY_CONSOLIDATED=Y","Sort=A","Dates=H","DateFormat=P","Fill=—","Direction=H","UseDPDF=Y")</f>
        <v>#NAME?</v>
      </c>
      <c r="BC285" s="2" t="e">
        <f ca="1">_xll.BDH($C$278,"TOTAL_CAPITAL_5_YEAR_GROWTH","FQ2 2015","FQ2 2015","Currency=INR","Period=FQ","BEST_FPERIOD_OVERRIDE=FQ","FILING_STATUS=OR","EQY_CONSOLIDATED=Y","Sort=A","Dates=H","DateFormat=P","Fill=—","Direction=H","UseDPDF=Y")</f>
        <v>#NAME?</v>
      </c>
      <c r="BD285" s="2" t="e">
        <f ca="1">_xll.BDH($C$278,"GEO_GROW_BOOK_VAL","FQ2 2015","FQ2 2015","Currency=INR","Period=FQ","BEST_FPERIOD_OVERRIDE=FQ","FILING_STATUS=OR","EQY_CONSOLIDATED=Y","Sort=A","Dates=H","DateFormat=P","Fill=—","Direction=H","UseDPDF=Y")</f>
        <v>#NAME?</v>
      </c>
      <c r="BE285" s="2" t="e">
        <f ca="1">_xll.BDH($C$278,"GEO_GROW_CASH_OPER_ACT","FQ2 2015","FQ2 2015","Currency=INR","Period=FQ","BEST_FPERIOD_OVERRIDE=FQ","FILING_STATUS=OR","EQY_CONSOLIDATED=Y","Sort=A","Dates=H","DateFormat=P","Fill=—","Direction=H","UseDPDF=Y")</f>
        <v>#NAME?</v>
      </c>
      <c r="BF285" s="2" t="e">
        <f ca="1">_xll.BDH($C$278,"REVENUE_SEQUENTIAL_GROWTH","FQ2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285" s="2" t="e">
        <f ca="1">_xll.BDH($C$278,"EBITDA_SEQUENTIAL_GROWTH","FQ2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285" s="2" t="e">
        <f ca="1">_xll.BDH($C$278,"OPERATING_INCOME_SEQ_GROWTH","FQ2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285" s="2" t="e">
        <f ca="1">_xll.BDH($C$278,"NET_INCOME_TO_COMMON_SEQ_GROWTH","FQ2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285" s="2" t="e">
        <f ca="1">_xll.BDH($C$278,"EPS_DILUTED_SEQUENTIAL_GROWTH","FQ2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285" s="2" t="e">
        <f ca="1">_xll.BDH($C$278,"DPS_SEQUENTIAL_GROWTH","FQ2 2015","FQ2 2015","Currency=INR","Period=FQ","BEST_FPERIOD_OVERRIDE=FQ","FILING_STATUS=OR","EQY_CONSOLIDATED=Y","Sort=A","Dates=H","DateFormat=P","Fill=—","Direction=H","UseDPDF=Y")</f>
        <v>#NAME?</v>
      </c>
      <c r="BL285" s="2" t="e">
        <f ca="1">_xll.BDH($C$278,"ACCOUNTS_RECEIVABLE_SEQ_GROWTH","FQ2 2015","FQ2 2015","Currency=INR","Period=FQ","BEST_FPERIOD_OVERRIDE=FQ","FILING_STATUS=OR","EQY_CONSOLIDATED=Y","Sort=A","Dates=H","DateFormat=P","Fill=—","Direction=H","UseDPDF=Y")</f>
        <v>#NAME?</v>
      </c>
      <c r="BM285" s="2" t="e">
        <f ca="1">_xll.BDH($C$278,"INVENTORY_SEQUENTIAL_GROWTH","FQ2 2015","FQ2 2015","Currency=INR","Period=FQ","BEST_FPERIOD_OVERRIDE=FQ","FILING_STATUS=OR","EQY_CONSOLIDATED=Y","Sort=A","Dates=H","DateFormat=P","Fill=—","Direction=H","UseDPDF=Y")</f>
        <v>#NAME?</v>
      </c>
      <c r="BN285" s="2" t="e">
        <f ca="1">_xll.BDH($C$278,"FIXED_ASSETS_SEQUENTIAL_GROWTH","FQ2 2015","FQ2 2015","Currency=INR","Period=FQ","BEST_FPERIOD_OVERRIDE=FQ","FILING_STATUS=OR","EQY_CONSOLIDATED=Y","Sort=A","Dates=H","DateFormat=P","Fill=—","Direction=H","UseDPDF=Y")</f>
        <v>#NAME?</v>
      </c>
      <c r="BO285" s="2" t="e">
        <f ca="1">_xll.BDH($C$278,"TOTAL_ASSETS_SEQUENTIAL_GROWTH","FQ2 2015","FQ2 2015","Currency=INR","Period=FQ","BEST_FPERIOD_OVERRIDE=FQ","FILING_STATUS=OR","EQY_CONSOLIDATED=Y","Sort=A","Dates=H","DateFormat=P","Fill=—","Direction=H","UseDPDF=Y")</f>
        <v>#NAME?</v>
      </c>
      <c r="BP285" s="2" t="e">
        <f ca="1">_xll.BDH($C$278,"MODIFIED_WORKING_CPTL_SEQ_GRWTH","FQ2 2015","FQ2 2015","Currency=INR","Period=FQ","BEST_FPERIOD_OVERRIDE=FQ","FILING_STATUS=OR","EQY_CONSOLIDATED=Y","Sort=A","Dates=H","DateFormat=P","Fill=—","Direction=H","UseDPDF=Y")</f>
        <v>#NAME?</v>
      </c>
      <c r="BQ285" s="2" t="e">
        <f ca="1">_xll.BDH($C$278,"WORKING_CAPITAL_SEQ_GROWTH","FQ2 2015","FQ2 2015","Currency=INR","Period=FQ","BEST_FPERIOD_OVERRIDE=FQ","FILING_STATUS=OR","EQY_CONSOLIDATED=Y","Sort=A","Dates=H","DateFormat=P","Fill=—","Direction=H","UseDPDF=Y")</f>
        <v>#NAME?</v>
      </c>
      <c r="BR285" s="2" t="e">
        <f ca="1">_xll.BDH($C$278,"ACCOUNTS_PAYABLE_SEQ_GROWTH","FQ2 2015","FQ2 2015","Currency=INR","Period=FQ","BEST_FPERIOD_OVERRIDE=FQ","FILING_STATUS=OR","EQY_CONSOLIDATED=Y","Sort=A","Dates=H","DateFormat=P","Fill=—","Direction=H","UseDPDF=Y")</f>
        <v>#NAME?</v>
      </c>
      <c r="BS285" s="2" t="e">
        <f ca="1">_xll.BDH($C$278,"ST_DEBT_SEQUENTIAL_GROWTH","FQ2 2015","FQ2 2015","Currency=INR","Period=FQ","BEST_FPERIOD_OVERRIDE=FQ","FILING_STATUS=OR","EQY_CONSOLIDATED=Y","Sort=A","Dates=H","DateFormat=P","Fill=—","Direction=H","UseDPDF=Y")</f>
        <v>#NAME?</v>
      </c>
      <c r="BT285" s="2" t="e">
        <f ca="1">_xll.BDH($C$278,"TOTAL_DEBT_SEQUENTIAL_GROWTH","FQ2 2015","FQ2 2015","Currency=INR","Period=FQ","BEST_FPERIOD_OVERRIDE=FQ","FILING_STATUS=OR","EQY_CONSOLIDATED=Y","Sort=A","Dates=H","DateFormat=P","Fill=—","Direction=H","UseDPDF=Y")</f>
        <v>#NAME?</v>
      </c>
      <c r="BU285" s="2" t="e">
        <f ca="1">_xll.BDH($C$278,"TOTAL_EQUITY_SEQUENTIAL_GROWTH","FQ2 2015","FQ2 2015","Currency=INR","Period=FQ","BEST_FPERIOD_OVERRIDE=FQ","FILING_STATUS=OR","EQY_CONSOLIDATED=Y","Sort=A","Dates=H","DateFormat=P","Fill=—","Direction=H","UseDPDF=Y")</f>
        <v>#NAME?</v>
      </c>
      <c r="BV285" s="2" t="e">
        <f ca="1">_xll.BDH($C$278,"TOTAL_CAPITAL_SEQUENTIAL_GROWTH","FQ2 2015","FQ2 2015","Currency=INR","Period=FQ","BEST_FPERIOD_OVERRIDE=FQ","FILING_STATUS=OR","EQY_CONSOLIDATED=Y","Sort=A","Dates=H","DateFormat=P","Fill=—","Direction=H","UseDPDF=Y")</f>
        <v>#NAME?</v>
      </c>
      <c r="BW285" s="2" t="e">
        <f ca="1">_xll.BDH($C$278,"BPS_SEQUENTIAL_GROWTH","FQ2 2015","FQ2 2015","Currency=INR","Period=FQ","BEST_FPERIOD_OVERRIDE=FQ","FILING_STATUS=OR","EQY_CONSOLIDATED=Y","Sort=A","Dates=H","DateFormat=P","Fill=—","Direction=H","UseDPDF=Y")</f>
        <v>#NAME?</v>
      </c>
      <c r="BX285" s="2" t="e">
        <f ca="1">_xll.BDH($C$278,"CFO_SEQUENTIAL_GROWTH","FQ2 2015","FQ2 2015","Currency=INR","Period=FQ","BEST_FPERIOD_OVERRIDE=FQ","FILING_STATUS=OR","EQY_CONSOLIDATED=Y","Sort=A","Dates=H","DateFormat=P","Fill=—","Direction=H","UseDPDF=Y")</f>
        <v>#NAME?</v>
      </c>
      <c r="BY285" s="3" t="e">
        <f ca="1">_xll.BDH($C$278,"SHORT_AND_LONG_TERM_DEBT","FQ2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285" s="3" t="e">
        <f ca="1">_xll.BDH($C$278,"BS_ST_BORROW","FQ2 2015","FQ2 2015","Currency=INR","Period=FQ","BEST_FPERIOD_OVERRIDE=FQ","FILING_STATUS=OR","EQY_CONSOLIDATED=Y","SCALING_FORMAT=MLN","Sort=A","Dates=H","DateFormat=P","Fill=—","Direction=H","UseDPDF=Y")</f>
        <v>#NAME?</v>
      </c>
      <c r="CA285" s="3" t="e">
        <f ca="1">_xll.BDH($C$278,"BS_LT_BORROW","FQ2 2015","FQ2 2015","Currency=INR","Period=FQ","BEST_FPERIOD_OVERRIDE=FQ","FILING_STATUS=OR","EQY_CONSOLIDATED=Y","SCALING_FORMAT=MLN","Sort=A","Dates=H","DateFormat=P","Fill=—","Direction=H","UseDPDF=Y")</f>
        <v>#NAME?</v>
      </c>
      <c r="CB285" s="2" t="e">
        <f ca="1">_xll.BDH($C$278,"TOT_DEBT_TO_EBITDA","FQ2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285" s="2" t="e">
        <f ca="1">_xll.BDH($C$278,"NET_DEBT_TO_EBITDA","FQ2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285" s="2" t="e">
        <f ca="1">_xll.BDH($C$278,"TOTAL_DEBT_TO_EBIT","FQ2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285" s="2" t="e">
        <f ca="1">_xll.BDH($C$278,"NET_DEBT_TO_EBIT","FQ2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285" s="2" t="e">
        <f ca="1">_xll.BDH($C$278,"EBITDA_TO_INTEREST_EXPN","FQ2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285" s="2" t="e">
        <f ca="1">_xll.BDH($C$278,"COM_EQY_TO_TOT_ASSET","FQ2 2015","FQ2 2015","Currency=INR","Period=FQ","BEST_FPERIOD_OVERRIDE=FQ","FILING_STATUS=OR","EQY_CONSOLIDATED=Y","Sort=A","Dates=H","DateFormat=P","Fill=—","Direction=H","UseDPDF=Y")</f>
        <v>#NAME?</v>
      </c>
      <c r="CH285" s="2" t="e">
        <f ca="1">_xll.BDH($C$278,"LT_DEBT_TO_TOT_EQY","FQ2 2015","FQ2 2015","Currency=INR","Period=FQ","BEST_FPERIOD_OVERRIDE=FQ","FILING_STATUS=OR","EQY_CONSOLIDATED=Y","Sort=A","Dates=H","DateFormat=P","Fill=—","Direction=H","UseDPDF=Y")</f>
        <v>#NAME?</v>
      </c>
      <c r="CI285" s="2" t="e">
        <f ca="1">_xll.BDH($C$278,"LT_DEBT_TO_TOT_CAP","FQ2 2015","FQ2 2015","Currency=INR","Period=FQ","BEST_FPERIOD_OVERRIDE=FQ","FILING_STATUS=OR","EQY_CONSOLIDATED=Y","Sort=A","Dates=H","DateFormat=P","Fill=—","Direction=H","UseDPDF=Y")</f>
        <v>#NAME?</v>
      </c>
      <c r="CJ285" s="2" t="e">
        <f ca="1">_xll.BDH($C$278,"LT_DEBT_TO_TOT_ASSET","FQ2 2015","FQ2 2015","Currency=INR","Period=FQ","BEST_FPERIOD_OVERRIDE=FQ","FILING_STATUS=OR","EQY_CONSOLIDATED=Y","Sort=A","Dates=H","DateFormat=P","Fill=—","Direction=H","UseDPDF=Y")</f>
        <v>#NAME?</v>
      </c>
      <c r="CK285" s="2" t="e">
        <f ca="1">_xll.BDH($C$278,"TOT_DEBT_TO_TOT_EQY","FQ2 2015","FQ2 2015","Currency=INR","Period=FQ","BEST_FPERIOD_OVERRIDE=FQ","FILING_STATUS=OR","EQY_CONSOLIDATED=Y","Sort=A","Dates=H","DateFormat=P","Fill=—","Direction=H","UseDPDF=Y")</f>
        <v>#NAME?</v>
      </c>
      <c r="CL285" s="2" t="e">
        <f ca="1">_xll.BDH($C$278,"TOT_DEBT_TO_TOT_CAP","FQ2 2015","FQ2 2015","Currency=INR","Period=FQ","BEST_FPERIOD_OVERRIDE=FQ","FILING_STATUS=OR","EQY_CONSOLIDATED=Y","Sort=A","Dates=H","DateFormat=P","Fill=—","Direction=H","UseDPDF=Y")</f>
        <v>#NAME?</v>
      </c>
      <c r="CM285" s="2" t="e">
        <f ca="1">_xll.BDH($C$278,"TOT_DEBT_TO_TOT_ASSET","FQ2 2015","FQ2 2015","Currency=INR","Period=FQ","BEST_FPERIOD_OVERRIDE=FQ","FILING_STATUS=OR","EQY_CONSOLIDATED=Y","Sort=A","Dates=H","DateFormat=P","Fill=—","Direction=H","UseDPDF=Y")</f>
        <v>#NAME?</v>
      </c>
      <c r="CN285" s="2" t="e">
        <f ca="1">_xll.BDH($C$278,"NET_DEBT_TO_SHRHLDR_EQTY","FQ2 2015","FQ2 2015","Currency=INR","Period=FQ","BEST_FPERIOD_OVERRIDE=FQ","FILING_STATUS=OR","EQY_CONSOLIDATED=Y","Sort=A","Dates=H","DateFormat=P","Fill=—","Direction=H","UseDPDF=Y")</f>
        <v>#NAME?</v>
      </c>
      <c r="CO285" s="2" t="e">
        <f ca="1">_xll.BDH($C$278,"NET_DEBT_%_CAPITAL","FQ2 2015","FQ2 2015","Currency=INR","Period=FQ","BEST_FPERIOD_OVERRIDE=FQ","FILING_STATUS=OR","EQY_CONSOLIDATED=Y","Sort=A","Dates=H","DateFormat=P","Fill=—","Direction=H","UseDPDF=Y")</f>
        <v>#NAME?</v>
      </c>
      <c r="CP285" s="3" t="e">
        <f ca="1">_xll.BDH($C$278,"EBITDA","FQ2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285" s="3" t="e">
        <f ca="1">_xll.BDH($C$278,"EBITDA_AFTER_CAPEX","FQ2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285" s="3" t="e">
        <f ca="1">_xll.BDH($C$278,"IS_OPER_INC","FQ2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285" s="2" t="e">
        <f ca="1">_xll.BDH($C$278,"CASH_RATIO","FQ2 2015","FQ2 2015","Currency=INR","Period=FQ","BEST_FPERIOD_OVERRIDE=FQ","FILING_STATUS=OR","EQY_CONSOLIDATED=Y","Sort=A","Dates=H","DateFormat=P","Fill=—","Direction=H","UseDPDF=Y")</f>
        <v>#NAME?</v>
      </c>
      <c r="CT285" s="2" t="e">
        <f ca="1">_xll.BDH($C$278,"CUR_RATIO","FQ2 2015","FQ2 2015","Currency=INR","Period=FQ","BEST_FPERIOD_OVERRIDE=FQ","FILING_STATUS=OR","EQY_CONSOLIDATED=Y","Sort=A","Dates=H","DateFormat=P","Fill=—","Direction=H","UseDPDF=Y")</f>
        <v>#NAME?</v>
      </c>
      <c r="CU285" s="2" t="e">
        <f ca="1">_xll.BDH($C$278,"QUICK_RATIO","FQ2 2015","FQ2 2015","Currency=INR","Period=FQ","BEST_FPERIOD_OVERRIDE=FQ","FILING_STATUS=OR","EQY_CONSOLIDATED=Y","Sort=A","Dates=H","DateFormat=P","Fill=—","Direction=H","UseDPDF=Y")</f>
        <v>#NAME?</v>
      </c>
      <c r="CV285" s="2" t="e">
        <f ca="1">_xll.BDH($C$278,"ALTMAN_Z_SCORE","FQ2 2015","FQ2 2015","Currency=INR","Period=FQ","BEST_FPERIOD_OVERRIDE=FQ","FILING_STATUS=OR","EQY_CONSOLIDATED=Y","Sort=A","Dates=H","DateFormat=P","Fill=—","Direction=H","UseDPDF=Y")</f>
        <v>#NAME?</v>
      </c>
      <c r="CW285" s="4" t="e">
        <f ca="1">_xll.BDH($C$278,"ACCT_RCV_TURN","FQ2 2015","FQ2 2015","Currency=INR","Period=FQ","BEST_FPERIOD_OVERRIDE=FQ","FILING_STATUS=OR","EQY_CONSOLIDATED=Y","FA_ADJUSTED=GAAP","Sort=A","Dates=H","DateFormat=P","Fill=—","Direction=H","UseDPDF=Y")</f>
        <v>#NAME?</v>
      </c>
      <c r="CX285" s="2" t="e">
        <f ca="1">_xll.BDH($C$278,"ACCT_RCV_DAYS","FQ2 2015","FQ2 2015","Currency=INR","Period=FQ","BEST_FPERIOD_OVERRIDE=FQ","FILING_STATUS=OR","EQY_CONSOLIDATED=Y","FA_ADJUSTED=GAAP","Sort=A","Dates=H","DateFormat=P","Fill=—","Direction=H","UseDPDF=Y")</f>
        <v>#NAME?</v>
      </c>
      <c r="CY285" s="4" t="e">
        <f ca="1">_xll.BDH($C$278,"INVENT_TURN","FQ2 2015","FQ2 2015","Currency=INR","Period=FQ","BEST_FPERIOD_OVERRIDE=FQ","FILING_STATUS=OR","EQY_CONSOLIDATED=Y","FA_ADJUSTED=GAAP","Sort=A","Dates=H","DateFormat=P","Fill=—","Direction=H","UseDPDF=Y")</f>
        <v>#NAME?</v>
      </c>
      <c r="CZ285" s="2" t="e">
        <f ca="1">_xll.BDH($C$278,"INVENT_DAYS","FQ2 2015","FQ2 2015","Currency=INR","Period=FQ","BEST_FPERIOD_OVERRIDE=FQ","FILING_STATUS=OR","EQY_CONSOLIDATED=Y","FA_ADJUSTED=GAAP","Sort=A","Dates=H","DateFormat=P","Fill=—","Direction=H","UseDPDF=Y")</f>
        <v>#NAME?</v>
      </c>
      <c r="DA285" s="4" t="e">
        <f ca="1">_xll.BDH($C$278,"ACCOUNTS_PAYABLE_TURNOVER","FQ2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285" s="2" t="e">
        <f ca="1">_xll.BDH($C$278,"ACCOUNTS_PAYABLE_TURNOVER_DAYS","FQ2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285" s="4" t="e">
        <f ca="1">_xll.BDH($C$278,"CASH_CONVERSION_CYCLE","FQ2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285" s="4" t="e">
        <f ca="1">_xll.BDH($C$278,"INV_TO_CASH_DAYS","FQ2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285" s="5" t="e">
        <f ca="1">_xll.BDH($C$278,"BS_INVENTORIES","FQ2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285" s="3" t="e">
        <f ca="1">_xll.BDH($C$278,"INVTRY_RAW_MATERIALS","FQ2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285" s="3" t="e">
        <f ca="1">_xll.BDH($C$278,"INVTRY_IN_PROGRESS","FQ2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285" s="3" t="e">
        <f ca="1">_xll.BDH($C$278,"INVTRY_FINISHED_GOODS","FQ2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285" s="3" t="e">
        <f ca="1">_xll.BDH($C$278,"BS_OTHER_INV","FQ2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286" spans="1:113" x14ac:dyDescent="0.3">
      <c r="A286" s="6"/>
      <c r="B286" s="6"/>
      <c r="C286" s="6"/>
      <c r="D286" s="6"/>
      <c r="E286" t="s">
        <v>80</v>
      </c>
      <c r="F286" t="e">
        <f ca="1">_xll.BDH($C$278,"RETURN_COM_EQY","FQ3 2015","FQ3 2015","Currency=INR","Period=FQ","BEST_FPERIOD_OVERRIDE=FQ","FILING_STATUS=OR","EQY_CONSOLIDATED=Y","FA_ADJUSTED=GAAP","Sort=A","Dates=H","DateFormat=P","Fill=—","Direction=H","UseDPDF=Y")</f>
        <v>#NAME?</v>
      </c>
      <c r="G286" t="e">
        <f ca="1">_xll.BDH($C$278,"RETURN_ON_ASSET","FQ3 2015","FQ3 2015","Currency=INR","Period=FQ","BEST_FPERIOD_OVERRIDE=FQ","FILING_STATUS=OR","EQY_CONSOLIDATED=Y","FA_ADJUSTED=GAAP","Sort=A","Dates=H","DateFormat=P","Fill=—","Direction=H","UseDPDF=Y")</f>
        <v>#NAME?</v>
      </c>
      <c r="H286" t="e">
        <f ca="1">_xll.BDH($C$278,"RETURN_ON_CAP","FQ3 2015","FQ3 2015","Currency=INR","Period=FQ","BEST_FPERIOD_OVERRIDE=FQ","FILING_STATUS=OR","EQY_CONSOLIDATED=Y","FA_ADJUSTED=GAAP","Sort=A","Dates=H","DateFormat=P","Fill=—","Direction=H","UseDPDF=Y")</f>
        <v>#NAME?</v>
      </c>
      <c r="I286" t="e">
        <f ca="1">_xll.BDH($C$278,"RETURN_ON_INV_CAPITAL","FQ3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286" t="e">
        <f ca="1">_xll.BDH($C$278,"EBITDA_TO_REVENUE","FQ3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286" t="e">
        <f ca="1">_xll.BDH($C$278,"OPER_MARGIN","FQ3 2015","FQ3 2015","Currency=INR","Period=FQ","BEST_FPERIOD_OVERRIDE=FQ","FILING_STATUS=OR","EQY_CONSOLIDATED=Y","FA_ADJUSTED=GAAP","Sort=A","Dates=H","DateFormat=P","Fill=—","Direction=H","UseDPDF=Y")</f>
        <v>#NAME?</v>
      </c>
      <c r="L286" t="e">
        <f ca="1">_xll.BDH($C$278,"INCREMENTAL_OPERATING_MARGIN","FQ3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286" t="e">
        <f ca="1">_xll.BDH($C$278,"PRETAX_INC_TO_NET_SALES","FQ3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286" t="e">
        <f ca="1">_xll.BDH($C$278,"INC_BEF_XO_ITEMS_TO_NET_SALES","FQ3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286" t="e">
        <f ca="1">_xll.BDH($C$278,"PROF_MARGIN","FQ3 2015","FQ3 2015","Currency=INR","Period=FQ","BEST_FPERIOD_OVERRIDE=FQ","FILING_STATUS=OR","EQY_CONSOLIDATED=Y","FA_ADJUSTED=GAAP","Sort=A","Dates=H","DateFormat=P","Fill=—","Direction=H","UseDPDF=Y")</f>
        <v>#NAME?</v>
      </c>
      <c r="P286" t="e">
        <f ca="1">_xll.BDH($C$278,"NET_INCOME_TO_COMMON_MARGIN","FQ3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286" t="e">
        <f ca="1">_xll.BDH($C$278,"EFF_TAX_RATE","FQ3 2015","FQ3 2015","Currency=INR","Period=FQ","BEST_FPERIOD_OVERRIDE=FQ","FILING_STATUS=OR","EQY_CONSOLIDATED=Y","FA_ADJUSTED=GAAP","Sort=A","Dates=H","DateFormat=P","Fill=—","Direction=H","UseDPDF=Y")</f>
        <v>#NAME?</v>
      </c>
      <c r="R286" t="e">
        <f ca="1">_xll.BDH($C$278,"DVD_PAYOUT_RATIO","FQ3 2015","FQ3 2015","Currency=INR","Period=FQ","BEST_FPERIOD_OVERRIDE=FQ","FILING_STATUS=OR","EQY_CONSOLIDATED=Y","FA_ADJUSTED=GAAP","Sort=A","Dates=H","DateFormat=P","Fill=—","Direction=H","UseDPDF=Y")</f>
        <v>#NAME?</v>
      </c>
      <c r="S286" t="e">
        <f ca="1">_xll.BDH($C$278,"SUSTAIN_GROWTH_RT","FQ3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286" s="2" t="e">
        <f ca="1">_xll.BDH($C$278,"SALES_GROWTH","FQ3 2015","FQ3 2015","Currency=INR","Period=FQ","BEST_FPERIOD_OVERRIDE=FQ","FILING_STATUS=OR","EQY_CONSOLIDATED=Y","FA_ADJUSTED=GAAP","Sort=A","Dates=H","DateFormat=P","Fill=—","Direction=H","UseDPDF=Y")</f>
        <v>#NAME?</v>
      </c>
      <c r="U286" s="2" t="e">
        <f ca="1">_xll.BDH($C$278,"EBITDA_GROWTH","FQ3 2015","FQ3 2015","Currency=INR","Period=FQ","BEST_FPERIOD_OVERRIDE=FQ","FILING_STATUS=OR","EQY_CONSOLIDATED=Y","FA_ADJUSTED=GAAP","Sort=A","Dates=H","DateFormat=P","Fill=—","Direction=H","UseDPDF=Y")</f>
        <v>#NAME?</v>
      </c>
      <c r="V286" s="2" t="e">
        <f ca="1">_xll.BDH($C$278,"OPER_INC_GROWTH","FQ3 2015","FQ3 2015","Currency=INR","Period=FQ","BEST_FPERIOD_OVERRIDE=FQ","FILING_STATUS=OR","EQY_CONSOLIDATED=Y","FA_ADJUSTED=GAAP","Sort=A","Dates=H","DateFormat=P","Fill=—","Direction=H","UseDPDF=Y")</f>
        <v>#NAME?</v>
      </c>
      <c r="W286" s="2" t="e">
        <f ca="1">_xll.BDH($C$278,"EARN_FOR_COM_GROWTH","FQ3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286" s="2" t="e">
        <f ca="1">_xll.BDH($C$278,"DILUTED_EPS_AFT_XO_ITEMS_GROWTH","FQ3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286" s="2" t="e">
        <f ca="1">_xll.BDH($C$278,"DIVIDEND_PER_SHARE_1_YEAR_GROWTH","FQ3 2015","FQ3 2015","Currency=INR","Period=FQ","BEST_FPERIOD_OVERRIDE=FQ","FILING_STATUS=OR","EQY_CONSOLIDATED=Y","Sort=A","Dates=H","DateFormat=P","Fill=—","Direction=H","UseDPDF=Y")</f>
        <v>#NAME?</v>
      </c>
      <c r="Z286" s="2" t="e">
        <f ca="1">_xll.BDH($C$278,"ACCOUNTS_RECEIVABLE_GROWTH","FQ3 2015","FQ3 2015","Currency=INR","Period=FQ","BEST_FPERIOD_OVERRIDE=FQ","FILING_STATUS=OR","EQY_CONSOLIDATED=Y","Sort=A","Dates=H","DateFormat=P","Fill=—","Direction=H","UseDPDF=Y")</f>
        <v>#NAME?</v>
      </c>
      <c r="AA286" s="2" t="e">
        <f ca="1">_xll.BDH($C$278,"INVENTORY_GROWTH","FQ3 2015","FQ3 2015","Currency=INR","Period=FQ","BEST_FPERIOD_OVERRIDE=FQ","FILING_STATUS=OR","EQY_CONSOLIDATED=Y","Sort=A","Dates=H","DateFormat=P","Fill=—","Direction=H","UseDPDF=Y")</f>
        <v>#NAME?</v>
      </c>
      <c r="AB286" s="2" t="e">
        <f ca="1">_xll.BDH($C$278,"NET_FIXED_ASSETS_1_YEAR_GROWTH","FQ3 2015","FQ3 2015","Currency=INR","Period=FQ","BEST_FPERIOD_OVERRIDE=FQ","FILING_STATUS=OR","EQY_CONSOLIDATED=Y","Sort=A","Dates=H","DateFormat=P","Fill=—","Direction=H","UseDPDF=Y")</f>
        <v>#NAME?</v>
      </c>
      <c r="AC286" s="2" t="e">
        <f ca="1">_xll.BDH($C$278,"ASSET_GROWTH","FQ3 2015","FQ3 2015","Currency=INR","Period=FQ","BEST_FPERIOD_OVERRIDE=FQ","FILING_STATUS=OR","EQY_CONSOLIDATED=Y","Sort=A","Dates=H","DateFormat=P","Fill=—","Direction=H","UseDPDF=Y")</f>
        <v>#NAME?</v>
      </c>
      <c r="AD286" s="2" t="e">
        <f ca="1">_xll.BDH($C$278,"MODIFIED_WORK_CAP_GROWTH","FQ3 2015","FQ3 2015","Currency=INR","Period=FQ","BEST_FPERIOD_OVERRIDE=FQ","FILING_STATUS=OR","EQY_CONSOLIDATED=Y","Sort=A","Dates=H","DateFormat=P","Fill=—","Direction=H","UseDPDF=Y")</f>
        <v>#NAME?</v>
      </c>
      <c r="AE286" s="2" t="e">
        <f ca="1">_xll.BDH($C$278,"WORK_CAP_GROWTH","FQ3 2015","FQ3 2015","Currency=INR","Period=FQ","BEST_FPERIOD_OVERRIDE=FQ","FILING_STATUS=OR","EQY_CONSOLIDATED=Y","Sort=A","Dates=H","DateFormat=P","Fill=—","Direction=H","UseDPDF=Y")</f>
        <v>#NAME?</v>
      </c>
      <c r="AF286" s="2" t="e">
        <f ca="1">_xll.BDH($C$278,"ACCOUNTS_PAYABLE_GROWTH_1YR","FQ3 2015","FQ3 2015","Currency=INR","Period=FQ","BEST_FPERIOD_OVERRIDE=FQ","FILING_STATUS=OR","EQY_CONSOLIDATED=Y","Sort=A","Dates=H","DateFormat=P","Fill=—","Direction=H","UseDPDF=Y")</f>
        <v>#NAME?</v>
      </c>
      <c r="AG286" s="2" t="e">
        <f ca="1">_xll.BDH($C$278,"SHORT_TERM_DEBT_1_YEAR_GROWTH","FQ3 2015","FQ3 2015","Currency=INR","Period=FQ","BEST_FPERIOD_OVERRIDE=FQ","FILING_STATUS=OR","EQY_CONSOLIDATED=Y","Sort=A","Dates=H","DateFormat=P","Fill=—","Direction=H","UseDPDF=Y")</f>
        <v>#NAME?</v>
      </c>
      <c r="AH286" s="2" t="e">
        <f ca="1">_xll.BDH($C$278,"TOTAL_DEBT_1_YEAR_GROWTH","FQ3 2015","FQ3 2015","Currency=INR","Period=FQ","BEST_FPERIOD_OVERRIDE=FQ","FILING_STATUS=OR","EQY_CONSOLIDATED=Y","Sort=A","Dates=H","DateFormat=P","Fill=—","Direction=H","UseDPDF=Y")</f>
        <v>#NAME?</v>
      </c>
      <c r="AI286" s="2" t="e">
        <f ca="1">_xll.BDH($C$278,"TOTAL_EQUITY_1_YEAR_GROWTH","FQ3 2015","FQ3 2015","Currency=INR","Period=FQ","BEST_FPERIOD_OVERRIDE=FQ","FILING_STATUS=OR","EQY_CONSOLIDATED=Y","Sort=A","Dates=H","DateFormat=P","Fill=—","Direction=H","UseDPDF=Y")</f>
        <v>#NAME?</v>
      </c>
      <c r="AJ286" s="2" t="e">
        <f ca="1">_xll.BDH($C$278,"GROWTH_IN_CAP","FQ3 2015","FQ3 2015","Currency=INR","Period=FQ","BEST_FPERIOD_OVERRIDE=FQ","FILING_STATUS=OR","EQY_CONSOLIDATED=Y","Sort=A","Dates=H","DateFormat=P","Fill=—","Direction=H","UseDPDF=Y")</f>
        <v>#NAME?</v>
      </c>
      <c r="AK286" s="2" t="e">
        <f ca="1">_xll.BDH($C$278,"BVPS_GROWTH","FQ3 2015","FQ3 2015","Currency=INR","Period=FQ","BEST_FPERIOD_OVERRIDE=FQ","FILING_STATUS=OR","EQY_CONSOLIDATED=Y","Sort=A","Dates=H","DateFormat=P","Fill=—","Direction=H","UseDPDF=Y")</f>
        <v>#NAME?</v>
      </c>
      <c r="AL286" s="2" t="e">
        <f ca="1">_xll.BDH($C$278,"CASH_FLOW_GROWTH","FQ3 2015","FQ3 2015","Currency=INR","Period=FQ","BEST_FPERIOD_OVERRIDE=FQ","FILING_STATUS=OR","EQY_CONSOLIDATED=Y","Sort=A","Dates=H","DateFormat=P","Fill=—","Direction=H","UseDPDF=Y")</f>
        <v>#NAME?</v>
      </c>
      <c r="AM286" s="2" t="e">
        <f ca="1">_xll.BDH($C$278,"GEO_GROW_NET_SALES","FQ3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286" s="2" t="e">
        <f ca="1">_xll.BDH($C$278,"GEO_GROW_EBITDA","FQ3 2015","FQ3 2015","Currency=INR","Period=FQ","BEST_FPERIOD_OVERRIDE=FQ","FILING_STATUS=OR","EQY_CONSOLIDATED=Y","FA_ADJUSTED=GAAP","Sort=A","Dates=H","DateFormat=P","Fill=—","Direction=H","UseDPDF=Y")</f>
        <v>#NAME?</v>
      </c>
      <c r="AO286" s="2" t="e">
        <f ca="1">_xll.BDH($C$278,"GEO_GROW_OPER_INC","FQ3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286" s="2" t="e">
        <f ca="1">_xll.BDH($C$278,"NET_INCOME_TO_COMMON_5_YR_GROWTH","FQ3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286" s="2" t="e">
        <f ca="1">_xll.BDH($C$278,"5Y_GEO_GROWTH_DILUTED_EPS","FQ3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286" s="2" t="e">
        <f ca="1">_xll.BDH($C$278,"GEO_GROW_DVD_PER_SH","FQ3 2015","FQ3 2015","Currency=INR","Period=FQ","BEST_FPERIOD_OVERRIDE=FQ","FILING_STATUS=OR","EQY_CONSOLIDATED=Y","Sort=A","Dates=H","DateFormat=P","Fill=—","Direction=H","UseDPDF=Y")</f>
        <v>#NAME?</v>
      </c>
      <c r="AS286" s="2" t="e">
        <f ca="1">_xll.BDH($C$278,"ACCOUNTS_RECEIVABLE_5_YR_GROWTH","FQ3 2015","FQ3 2015","Currency=INR","Period=FQ","BEST_FPERIOD_OVERRIDE=FQ","FILING_STATUS=OR","EQY_CONSOLIDATED=Y","Sort=A","Dates=H","DateFormat=P","Fill=—","Direction=H","UseDPDF=Y")</f>
        <v>#NAME?</v>
      </c>
      <c r="AT286" s="2" t="e">
        <f ca="1">_xll.BDH($C$278,"INVENTORY_5_YEAR_GROWTH","FQ3 2015","FQ3 2015","Currency=INR","Period=FQ","BEST_FPERIOD_OVERRIDE=FQ","FILING_STATUS=OR","EQY_CONSOLIDATED=Y","Sort=A","Dates=H","DateFormat=P","Fill=—","Direction=H","UseDPDF=Y")</f>
        <v>#NAME?</v>
      </c>
      <c r="AU286" s="2" t="e">
        <f ca="1">_xll.BDH($C$278,"NET_FIXED_ASSETS_5_YEAR_GROWTH","FQ3 2015","FQ3 2015","Currency=INR","Period=FQ","BEST_FPERIOD_OVERRIDE=FQ","FILING_STATUS=OR","EQY_CONSOLIDATED=Y","Sort=A","Dates=H","DateFormat=P","Fill=—","Direction=H","UseDPDF=Y")</f>
        <v>#NAME?</v>
      </c>
      <c r="AV286" s="2" t="e">
        <f ca="1">_xll.BDH($C$278,"GEO_GROW_TOT_ASSET","FQ3 2015","FQ3 2015","Currency=INR","Period=FQ","BEST_FPERIOD_OVERRIDE=FQ","FILING_STATUS=OR","EQY_CONSOLIDATED=Y","Sort=A","Dates=H","DateFormat=P","Fill=—","Direction=H","UseDPDF=Y")</f>
        <v>#NAME?</v>
      </c>
      <c r="AW286" s="2" t="e">
        <f ca="1">_xll.BDH($C$278,"MODIFIED_WORKING_CPTL_5YR_GRWTH","FQ3 2015","FQ3 2015","Currency=INR","Period=FQ","BEST_FPERIOD_OVERRIDE=FQ","FILING_STATUS=OR","EQY_CONSOLIDATED=Y","Sort=A","Dates=H","DateFormat=P","Fill=—","Direction=H","UseDPDF=Y")</f>
        <v>#NAME?</v>
      </c>
      <c r="AX286" s="2" t="e">
        <f ca="1">_xll.BDH($C$278,"WORKING_CAPITAL_5_YEAR_GROWTH","FQ3 2015","FQ3 2015","Currency=INR","Period=FQ","BEST_FPERIOD_OVERRIDE=FQ","FILING_STATUS=OR","EQY_CONSOLIDATED=Y","Sort=A","Dates=H","DateFormat=P","Fill=—","Direction=H","UseDPDF=Y")</f>
        <v>#NAME?</v>
      </c>
      <c r="AY286" s="2" t="e">
        <f ca="1">_xll.BDH($C$278,"ACCOUNTS_PAYABLE_5_YEAR_GROWTH","FQ3 2015","FQ3 2015","Currency=INR","Period=FQ","BEST_FPERIOD_OVERRIDE=FQ","FILING_STATUS=OR","EQY_CONSOLIDATED=Y","Sort=A","Dates=H","DateFormat=P","Fill=—","Direction=H","UseDPDF=Y")</f>
        <v>#NAME?</v>
      </c>
      <c r="AZ286" s="2" t="e">
        <f ca="1">_xll.BDH($C$278,"SHORT_TERM_DEBT_5_YEAR_GROWTH","FQ3 2015","FQ3 2015","Currency=INR","Period=FQ","BEST_FPERIOD_OVERRIDE=FQ","FILING_STATUS=OR","EQY_CONSOLIDATED=Y","Sort=A","Dates=H","DateFormat=P","Fill=—","Direction=H","UseDPDF=Y")</f>
        <v>#NAME?</v>
      </c>
      <c r="BA286" s="2" t="e">
        <f ca="1">_xll.BDH($C$278,"TOTAL_DEBT_5_YEAR_GROWTH","FQ3 2015","FQ3 2015","Currency=INR","Period=FQ","BEST_FPERIOD_OVERRIDE=FQ","FILING_STATUS=OR","EQY_CONSOLIDATED=Y","Sort=A","Dates=H","DateFormat=P","Fill=—","Direction=H","UseDPDF=Y")</f>
        <v>#NAME?</v>
      </c>
      <c r="BB286" s="2" t="e">
        <f ca="1">_xll.BDH($C$278,"GEO_GROW_TOT_SHRHLDR_EQY","FQ3 2015","FQ3 2015","Currency=INR","Period=FQ","BEST_FPERIOD_OVERRIDE=FQ","FILING_STATUS=OR","EQY_CONSOLIDATED=Y","Sort=A","Dates=H","DateFormat=P","Fill=—","Direction=H","UseDPDF=Y")</f>
        <v>#NAME?</v>
      </c>
      <c r="BC286" s="2" t="e">
        <f ca="1">_xll.BDH($C$278,"TOTAL_CAPITAL_5_YEAR_GROWTH","FQ3 2015","FQ3 2015","Currency=INR","Period=FQ","BEST_FPERIOD_OVERRIDE=FQ","FILING_STATUS=OR","EQY_CONSOLIDATED=Y","Sort=A","Dates=H","DateFormat=P","Fill=—","Direction=H","UseDPDF=Y")</f>
        <v>#NAME?</v>
      </c>
      <c r="BD286" s="2" t="e">
        <f ca="1">_xll.BDH($C$278,"GEO_GROW_BOOK_VAL","FQ3 2015","FQ3 2015","Currency=INR","Period=FQ","BEST_FPERIOD_OVERRIDE=FQ","FILING_STATUS=OR","EQY_CONSOLIDATED=Y","Sort=A","Dates=H","DateFormat=P","Fill=—","Direction=H","UseDPDF=Y")</f>
        <v>#NAME?</v>
      </c>
      <c r="BE286" s="2" t="e">
        <f ca="1">_xll.BDH($C$278,"GEO_GROW_CASH_OPER_ACT","FQ3 2015","FQ3 2015","Currency=INR","Period=FQ","BEST_FPERIOD_OVERRIDE=FQ","FILING_STATUS=OR","EQY_CONSOLIDATED=Y","Sort=A","Dates=H","DateFormat=P","Fill=—","Direction=H","UseDPDF=Y")</f>
        <v>#NAME?</v>
      </c>
      <c r="BF286" s="2" t="e">
        <f ca="1">_xll.BDH($C$278,"REVENUE_SEQUENTIAL_GROWTH","FQ3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286" s="2" t="e">
        <f ca="1">_xll.BDH($C$278,"EBITDA_SEQUENTIAL_GROWTH","FQ3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286" s="2" t="e">
        <f ca="1">_xll.BDH($C$278,"OPERATING_INCOME_SEQ_GROWTH","FQ3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286" s="2" t="e">
        <f ca="1">_xll.BDH($C$278,"NET_INCOME_TO_COMMON_SEQ_GROWTH","FQ3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286" s="2" t="e">
        <f ca="1">_xll.BDH($C$278,"EPS_DILUTED_SEQUENTIAL_GROWTH","FQ3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286" s="2" t="e">
        <f ca="1">_xll.BDH($C$278,"DPS_SEQUENTIAL_GROWTH","FQ3 2015","FQ3 2015","Currency=INR","Period=FQ","BEST_FPERIOD_OVERRIDE=FQ","FILING_STATUS=OR","EQY_CONSOLIDATED=Y","Sort=A","Dates=H","DateFormat=P","Fill=—","Direction=H","UseDPDF=Y")</f>
        <v>#NAME?</v>
      </c>
      <c r="BL286" s="2" t="e">
        <f ca="1">_xll.BDH($C$278,"ACCOUNTS_RECEIVABLE_SEQ_GROWTH","FQ3 2015","FQ3 2015","Currency=INR","Period=FQ","BEST_FPERIOD_OVERRIDE=FQ","FILING_STATUS=OR","EQY_CONSOLIDATED=Y","Sort=A","Dates=H","DateFormat=P","Fill=—","Direction=H","UseDPDF=Y")</f>
        <v>#NAME?</v>
      </c>
      <c r="BM286" s="2" t="e">
        <f ca="1">_xll.BDH($C$278,"INVENTORY_SEQUENTIAL_GROWTH","FQ3 2015","FQ3 2015","Currency=INR","Period=FQ","BEST_FPERIOD_OVERRIDE=FQ","FILING_STATUS=OR","EQY_CONSOLIDATED=Y","Sort=A","Dates=H","DateFormat=P","Fill=—","Direction=H","UseDPDF=Y")</f>
        <v>#NAME?</v>
      </c>
      <c r="BN286" s="2" t="e">
        <f ca="1">_xll.BDH($C$278,"FIXED_ASSETS_SEQUENTIAL_GROWTH","FQ3 2015","FQ3 2015","Currency=INR","Period=FQ","BEST_FPERIOD_OVERRIDE=FQ","FILING_STATUS=OR","EQY_CONSOLIDATED=Y","Sort=A","Dates=H","DateFormat=P","Fill=—","Direction=H","UseDPDF=Y")</f>
        <v>#NAME?</v>
      </c>
      <c r="BO286" s="2" t="e">
        <f ca="1">_xll.BDH($C$278,"TOTAL_ASSETS_SEQUENTIAL_GROWTH","FQ3 2015","FQ3 2015","Currency=INR","Period=FQ","BEST_FPERIOD_OVERRIDE=FQ","FILING_STATUS=OR","EQY_CONSOLIDATED=Y","Sort=A","Dates=H","DateFormat=P","Fill=—","Direction=H","UseDPDF=Y")</f>
        <v>#NAME?</v>
      </c>
      <c r="BP286" s="2" t="e">
        <f ca="1">_xll.BDH($C$278,"MODIFIED_WORKING_CPTL_SEQ_GRWTH","FQ3 2015","FQ3 2015","Currency=INR","Period=FQ","BEST_FPERIOD_OVERRIDE=FQ","FILING_STATUS=OR","EQY_CONSOLIDATED=Y","Sort=A","Dates=H","DateFormat=P","Fill=—","Direction=H","UseDPDF=Y")</f>
        <v>#NAME?</v>
      </c>
      <c r="BQ286" s="2" t="e">
        <f ca="1">_xll.BDH($C$278,"WORKING_CAPITAL_SEQ_GROWTH","FQ3 2015","FQ3 2015","Currency=INR","Period=FQ","BEST_FPERIOD_OVERRIDE=FQ","FILING_STATUS=OR","EQY_CONSOLIDATED=Y","Sort=A","Dates=H","DateFormat=P","Fill=—","Direction=H","UseDPDF=Y")</f>
        <v>#NAME?</v>
      </c>
      <c r="BR286" s="2" t="e">
        <f ca="1">_xll.BDH($C$278,"ACCOUNTS_PAYABLE_SEQ_GROWTH","FQ3 2015","FQ3 2015","Currency=INR","Period=FQ","BEST_FPERIOD_OVERRIDE=FQ","FILING_STATUS=OR","EQY_CONSOLIDATED=Y","Sort=A","Dates=H","DateFormat=P","Fill=—","Direction=H","UseDPDF=Y")</f>
        <v>#NAME?</v>
      </c>
      <c r="BS286" s="2" t="e">
        <f ca="1">_xll.BDH($C$278,"ST_DEBT_SEQUENTIAL_GROWTH","FQ3 2015","FQ3 2015","Currency=INR","Period=FQ","BEST_FPERIOD_OVERRIDE=FQ","FILING_STATUS=OR","EQY_CONSOLIDATED=Y","Sort=A","Dates=H","DateFormat=P","Fill=—","Direction=H","UseDPDF=Y")</f>
        <v>#NAME?</v>
      </c>
      <c r="BT286" s="2" t="e">
        <f ca="1">_xll.BDH($C$278,"TOTAL_DEBT_SEQUENTIAL_GROWTH","FQ3 2015","FQ3 2015","Currency=INR","Period=FQ","BEST_FPERIOD_OVERRIDE=FQ","FILING_STATUS=OR","EQY_CONSOLIDATED=Y","Sort=A","Dates=H","DateFormat=P","Fill=—","Direction=H","UseDPDF=Y")</f>
        <v>#NAME?</v>
      </c>
      <c r="BU286" s="2" t="e">
        <f ca="1">_xll.BDH($C$278,"TOTAL_EQUITY_SEQUENTIAL_GROWTH","FQ3 2015","FQ3 2015","Currency=INR","Period=FQ","BEST_FPERIOD_OVERRIDE=FQ","FILING_STATUS=OR","EQY_CONSOLIDATED=Y","Sort=A","Dates=H","DateFormat=P","Fill=—","Direction=H","UseDPDF=Y")</f>
        <v>#NAME?</v>
      </c>
      <c r="BV286" s="2" t="e">
        <f ca="1">_xll.BDH($C$278,"TOTAL_CAPITAL_SEQUENTIAL_GROWTH","FQ3 2015","FQ3 2015","Currency=INR","Period=FQ","BEST_FPERIOD_OVERRIDE=FQ","FILING_STATUS=OR","EQY_CONSOLIDATED=Y","Sort=A","Dates=H","DateFormat=P","Fill=—","Direction=H","UseDPDF=Y")</f>
        <v>#NAME?</v>
      </c>
      <c r="BW286" s="2" t="e">
        <f ca="1">_xll.BDH($C$278,"BPS_SEQUENTIAL_GROWTH","FQ3 2015","FQ3 2015","Currency=INR","Period=FQ","BEST_FPERIOD_OVERRIDE=FQ","FILING_STATUS=OR","EQY_CONSOLIDATED=Y","Sort=A","Dates=H","DateFormat=P","Fill=—","Direction=H","UseDPDF=Y")</f>
        <v>#NAME?</v>
      </c>
      <c r="BX286" s="2" t="e">
        <f ca="1">_xll.BDH($C$278,"CFO_SEQUENTIAL_GROWTH","FQ3 2015","FQ3 2015","Currency=INR","Period=FQ","BEST_FPERIOD_OVERRIDE=FQ","FILING_STATUS=OR","EQY_CONSOLIDATED=Y","Sort=A","Dates=H","DateFormat=P","Fill=—","Direction=H","UseDPDF=Y")</f>
        <v>#NAME?</v>
      </c>
      <c r="BY286" s="3" t="e">
        <f ca="1">_xll.BDH($C$278,"SHORT_AND_LONG_TERM_DEBT","FQ3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286" s="3" t="e">
        <f ca="1">_xll.BDH($C$278,"BS_ST_BORROW","FQ3 2015","FQ3 2015","Currency=INR","Period=FQ","BEST_FPERIOD_OVERRIDE=FQ","FILING_STATUS=OR","EQY_CONSOLIDATED=Y","SCALING_FORMAT=MLN","Sort=A","Dates=H","DateFormat=P","Fill=—","Direction=H","UseDPDF=Y")</f>
        <v>#NAME?</v>
      </c>
      <c r="CA286" s="3" t="e">
        <f ca="1">_xll.BDH($C$278,"BS_LT_BORROW","FQ3 2015","FQ3 2015","Currency=INR","Period=FQ","BEST_FPERIOD_OVERRIDE=FQ","FILING_STATUS=OR","EQY_CONSOLIDATED=Y","SCALING_FORMAT=MLN","Sort=A","Dates=H","DateFormat=P","Fill=—","Direction=H","UseDPDF=Y")</f>
        <v>#NAME?</v>
      </c>
      <c r="CB286" s="2" t="e">
        <f ca="1">_xll.BDH($C$278,"TOT_DEBT_TO_EBITDA","FQ3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286" s="2" t="e">
        <f ca="1">_xll.BDH($C$278,"NET_DEBT_TO_EBITDA","FQ3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286" s="2" t="e">
        <f ca="1">_xll.BDH($C$278,"TOTAL_DEBT_TO_EBIT","FQ3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286" s="2" t="e">
        <f ca="1">_xll.BDH($C$278,"NET_DEBT_TO_EBIT","FQ3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286" s="2" t="e">
        <f ca="1">_xll.BDH($C$278,"EBITDA_TO_INTEREST_EXPN","FQ3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286" s="2" t="e">
        <f ca="1">_xll.BDH($C$278,"COM_EQY_TO_TOT_ASSET","FQ3 2015","FQ3 2015","Currency=INR","Period=FQ","BEST_FPERIOD_OVERRIDE=FQ","FILING_STATUS=OR","EQY_CONSOLIDATED=Y","Sort=A","Dates=H","DateFormat=P","Fill=—","Direction=H","UseDPDF=Y")</f>
        <v>#NAME?</v>
      </c>
      <c r="CH286" s="2" t="e">
        <f ca="1">_xll.BDH($C$278,"LT_DEBT_TO_TOT_EQY","FQ3 2015","FQ3 2015","Currency=INR","Period=FQ","BEST_FPERIOD_OVERRIDE=FQ","FILING_STATUS=OR","EQY_CONSOLIDATED=Y","Sort=A","Dates=H","DateFormat=P","Fill=—","Direction=H","UseDPDF=Y")</f>
        <v>#NAME?</v>
      </c>
      <c r="CI286" s="2" t="e">
        <f ca="1">_xll.BDH($C$278,"LT_DEBT_TO_TOT_CAP","FQ3 2015","FQ3 2015","Currency=INR","Period=FQ","BEST_FPERIOD_OVERRIDE=FQ","FILING_STATUS=OR","EQY_CONSOLIDATED=Y","Sort=A","Dates=H","DateFormat=P","Fill=—","Direction=H","UseDPDF=Y")</f>
        <v>#NAME?</v>
      </c>
      <c r="CJ286" s="2" t="e">
        <f ca="1">_xll.BDH($C$278,"LT_DEBT_TO_TOT_ASSET","FQ3 2015","FQ3 2015","Currency=INR","Period=FQ","BEST_FPERIOD_OVERRIDE=FQ","FILING_STATUS=OR","EQY_CONSOLIDATED=Y","Sort=A","Dates=H","DateFormat=P","Fill=—","Direction=H","UseDPDF=Y")</f>
        <v>#NAME?</v>
      </c>
      <c r="CK286" s="2" t="e">
        <f ca="1">_xll.BDH($C$278,"TOT_DEBT_TO_TOT_EQY","FQ3 2015","FQ3 2015","Currency=INR","Period=FQ","BEST_FPERIOD_OVERRIDE=FQ","FILING_STATUS=OR","EQY_CONSOLIDATED=Y","Sort=A","Dates=H","DateFormat=P","Fill=—","Direction=H","UseDPDF=Y")</f>
        <v>#NAME?</v>
      </c>
      <c r="CL286" s="2" t="e">
        <f ca="1">_xll.BDH($C$278,"TOT_DEBT_TO_TOT_CAP","FQ3 2015","FQ3 2015","Currency=INR","Period=FQ","BEST_FPERIOD_OVERRIDE=FQ","FILING_STATUS=OR","EQY_CONSOLIDATED=Y","Sort=A","Dates=H","DateFormat=P","Fill=—","Direction=H","UseDPDF=Y")</f>
        <v>#NAME?</v>
      </c>
      <c r="CM286" s="2" t="e">
        <f ca="1">_xll.BDH($C$278,"TOT_DEBT_TO_TOT_ASSET","FQ3 2015","FQ3 2015","Currency=INR","Period=FQ","BEST_FPERIOD_OVERRIDE=FQ","FILING_STATUS=OR","EQY_CONSOLIDATED=Y","Sort=A","Dates=H","DateFormat=P","Fill=—","Direction=H","UseDPDF=Y")</f>
        <v>#NAME?</v>
      </c>
      <c r="CN286" s="2" t="e">
        <f ca="1">_xll.BDH($C$278,"NET_DEBT_TO_SHRHLDR_EQTY","FQ3 2015","FQ3 2015","Currency=INR","Period=FQ","BEST_FPERIOD_OVERRIDE=FQ","FILING_STATUS=OR","EQY_CONSOLIDATED=Y","Sort=A","Dates=H","DateFormat=P","Fill=—","Direction=H","UseDPDF=Y")</f>
        <v>#NAME?</v>
      </c>
      <c r="CO286" s="2" t="e">
        <f ca="1">_xll.BDH($C$278,"NET_DEBT_%_CAPITAL","FQ3 2015","FQ3 2015","Currency=INR","Period=FQ","BEST_FPERIOD_OVERRIDE=FQ","FILING_STATUS=OR","EQY_CONSOLIDATED=Y","Sort=A","Dates=H","DateFormat=P","Fill=—","Direction=H","UseDPDF=Y")</f>
        <v>#NAME?</v>
      </c>
      <c r="CP286" s="3" t="e">
        <f ca="1">_xll.BDH($C$278,"EBITDA","FQ3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286" s="3" t="e">
        <f ca="1">_xll.BDH($C$278,"EBITDA_AFTER_CAPEX","FQ3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286" s="3" t="e">
        <f ca="1">_xll.BDH($C$278,"IS_OPER_INC","FQ3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286" s="2" t="e">
        <f ca="1">_xll.BDH($C$278,"CASH_RATIO","FQ3 2015","FQ3 2015","Currency=INR","Period=FQ","BEST_FPERIOD_OVERRIDE=FQ","FILING_STATUS=OR","EQY_CONSOLIDATED=Y","Sort=A","Dates=H","DateFormat=P","Fill=—","Direction=H","UseDPDF=Y")</f>
        <v>#NAME?</v>
      </c>
      <c r="CT286" s="2" t="e">
        <f ca="1">_xll.BDH($C$278,"CUR_RATIO","FQ3 2015","FQ3 2015","Currency=INR","Period=FQ","BEST_FPERIOD_OVERRIDE=FQ","FILING_STATUS=OR","EQY_CONSOLIDATED=Y","Sort=A","Dates=H","DateFormat=P","Fill=—","Direction=H","UseDPDF=Y")</f>
        <v>#NAME?</v>
      </c>
      <c r="CU286" s="2" t="e">
        <f ca="1">_xll.BDH($C$278,"QUICK_RATIO","FQ3 2015","FQ3 2015","Currency=INR","Period=FQ","BEST_FPERIOD_OVERRIDE=FQ","FILING_STATUS=OR","EQY_CONSOLIDATED=Y","Sort=A","Dates=H","DateFormat=P","Fill=—","Direction=H","UseDPDF=Y")</f>
        <v>#NAME?</v>
      </c>
      <c r="CV286" s="2" t="e">
        <f ca="1">_xll.BDH($C$278,"ALTMAN_Z_SCORE","FQ3 2015","FQ3 2015","Currency=INR","Period=FQ","BEST_FPERIOD_OVERRIDE=FQ","FILING_STATUS=OR","EQY_CONSOLIDATED=Y","Sort=A","Dates=H","DateFormat=P","Fill=—","Direction=H","UseDPDF=Y")</f>
        <v>#NAME?</v>
      </c>
      <c r="CW286" s="4" t="e">
        <f ca="1">_xll.BDH($C$278,"ACCT_RCV_TURN","FQ3 2015","FQ3 2015","Currency=INR","Period=FQ","BEST_FPERIOD_OVERRIDE=FQ","FILING_STATUS=OR","EQY_CONSOLIDATED=Y","FA_ADJUSTED=GAAP","Sort=A","Dates=H","DateFormat=P","Fill=—","Direction=H","UseDPDF=Y")</f>
        <v>#NAME?</v>
      </c>
      <c r="CX286" s="2" t="e">
        <f ca="1">_xll.BDH($C$278,"ACCT_RCV_DAYS","FQ3 2015","FQ3 2015","Currency=INR","Period=FQ","BEST_FPERIOD_OVERRIDE=FQ","FILING_STATUS=OR","EQY_CONSOLIDATED=Y","FA_ADJUSTED=GAAP","Sort=A","Dates=H","DateFormat=P","Fill=—","Direction=H","UseDPDF=Y")</f>
        <v>#NAME?</v>
      </c>
      <c r="CY286" s="4" t="e">
        <f ca="1">_xll.BDH($C$278,"INVENT_TURN","FQ3 2015","FQ3 2015","Currency=INR","Period=FQ","BEST_FPERIOD_OVERRIDE=FQ","FILING_STATUS=OR","EQY_CONSOLIDATED=Y","FA_ADJUSTED=GAAP","Sort=A","Dates=H","DateFormat=P","Fill=—","Direction=H","UseDPDF=Y")</f>
        <v>#NAME?</v>
      </c>
      <c r="CZ286" s="2" t="e">
        <f ca="1">_xll.BDH($C$278,"INVENT_DAYS","FQ3 2015","FQ3 2015","Currency=INR","Period=FQ","BEST_FPERIOD_OVERRIDE=FQ","FILING_STATUS=OR","EQY_CONSOLIDATED=Y","FA_ADJUSTED=GAAP","Sort=A","Dates=H","DateFormat=P","Fill=—","Direction=H","UseDPDF=Y")</f>
        <v>#NAME?</v>
      </c>
      <c r="DA286" s="4" t="e">
        <f ca="1">_xll.BDH($C$278,"ACCOUNTS_PAYABLE_TURNOVER","FQ3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286" s="2" t="e">
        <f ca="1">_xll.BDH($C$278,"ACCOUNTS_PAYABLE_TURNOVER_DAYS","FQ3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286" s="4" t="e">
        <f ca="1">_xll.BDH($C$278,"CASH_CONVERSION_CYCLE","FQ3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286" s="4" t="e">
        <f ca="1">_xll.BDH($C$278,"INV_TO_CASH_DAYS","FQ3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286" s="5" t="e">
        <f ca="1">_xll.BDH($C$278,"BS_INVENTORIES","FQ3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286" s="3" t="e">
        <f ca="1">_xll.BDH($C$278,"INVTRY_RAW_MATERIALS","FQ3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286" s="3" t="e">
        <f ca="1">_xll.BDH($C$278,"INVTRY_IN_PROGRESS","FQ3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286" s="3" t="e">
        <f ca="1">_xll.BDH($C$278,"INVTRY_FINISHED_GOODS","FQ3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286" s="3" t="e">
        <f ca="1">_xll.BDH($C$278,"BS_OTHER_INV","FQ3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287" spans="1:113" x14ac:dyDescent="0.3">
      <c r="A287" s="6"/>
      <c r="B287" s="6"/>
      <c r="C287" s="6"/>
      <c r="D287" s="6"/>
      <c r="E287" t="s">
        <v>81</v>
      </c>
      <c r="F287" t="e">
        <f ca="1">_xll.BDH($C$278,"RETURN_COM_EQY","FQ4 2015","FQ4 2015","Currency=INR","Period=FQ","BEST_FPERIOD_OVERRIDE=FQ","FILING_STATUS=OR","EQY_CONSOLIDATED=Y","FA_ADJUSTED=GAAP","Sort=A","Dates=H","DateFormat=P","Fill=—","Direction=H","UseDPDF=Y")</f>
        <v>#NAME?</v>
      </c>
      <c r="G287" t="e">
        <f ca="1">_xll.BDH($C$278,"RETURN_ON_ASSET","FQ4 2015","FQ4 2015","Currency=INR","Period=FQ","BEST_FPERIOD_OVERRIDE=FQ","FILING_STATUS=OR","EQY_CONSOLIDATED=Y","FA_ADJUSTED=GAAP","Sort=A","Dates=H","DateFormat=P","Fill=—","Direction=H","UseDPDF=Y")</f>
        <v>#NAME?</v>
      </c>
      <c r="H287" t="e">
        <f ca="1">_xll.BDH($C$278,"RETURN_ON_CAP","FQ4 2015","FQ4 2015","Currency=INR","Period=FQ","BEST_FPERIOD_OVERRIDE=FQ","FILING_STATUS=OR","EQY_CONSOLIDATED=Y","FA_ADJUSTED=GAAP","Sort=A","Dates=H","DateFormat=P","Fill=—","Direction=H","UseDPDF=Y")</f>
        <v>#NAME?</v>
      </c>
      <c r="I287" t="e">
        <f ca="1">_xll.BDH($C$278,"RETURN_ON_INV_CAPITAL","FQ4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287" t="e">
        <f ca="1">_xll.BDH($C$278,"EBITDA_TO_REVENUE","FQ4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287" t="e">
        <f ca="1">_xll.BDH($C$278,"OPER_MARGIN","FQ4 2015","FQ4 2015","Currency=INR","Period=FQ","BEST_FPERIOD_OVERRIDE=FQ","FILING_STATUS=OR","EQY_CONSOLIDATED=Y","FA_ADJUSTED=GAAP","Sort=A","Dates=H","DateFormat=P","Fill=—","Direction=H","UseDPDF=Y")</f>
        <v>#NAME?</v>
      </c>
      <c r="L287" t="e">
        <f ca="1">_xll.BDH($C$278,"INCREMENTAL_OPERATING_MARGIN","FQ4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287" t="e">
        <f ca="1">_xll.BDH($C$278,"PRETAX_INC_TO_NET_SALES","FQ4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287" t="e">
        <f ca="1">_xll.BDH($C$278,"INC_BEF_XO_ITEMS_TO_NET_SALES","FQ4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287" t="e">
        <f ca="1">_xll.BDH($C$278,"PROF_MARGIN","FQ4 2015","FQ4 2015","Currency=INR","Period=FQ","BEST_FPERIOD_OVERRIDE=FQ","FILING_STATUS=OR","EQY_CONSOLIDATED=Y","FA_ADJUSTED=GAAP","Sort=A","Dates=H","DateFormat=P","Fill=—","Direction=H","UseDPDF=Y")</f>
        <v>#NAME?</v>
      </c>
      <c r="P287" t="e">
        <f ca="1">_xll.BDH($C$278,"NET_INCOME_TO_COMMON_MARGIN","FQ4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287" t="e">
        <f ca="1">_xll.BDH($C$278,"EFF_TAX_RATE","FQ4 2015","FQ4 2015","Currency=INR","Period=FQ","BEST_FPERIOD_OVERRIDE=FQ","FILING_STATUS=OR","EQY_CONSOLIDATED=Y","FA_ADJUSTED=GAAP","Sort=A","Dates=H","DateFormat=P","Fill=—","Direction=H","UseDPDF=Y")</f>
        <v>#NAME?</v>
      </c>
      <c r="R287" t="e">
        <f ca="1">_xll.BDH($C$278,"DVD_PAYOUT_RATIO","FQ4 2015","FQ4 2015","Currency=INR","Period=FQ","BEST_FPERIOD_OVERRIDE=FQ","FILING_STATUS=OR","EQY_CONSOLIDATED=Y","FA_ADJUSTED=GAAP","Sort=A","Dates=H","DateFormat=P","Fill=—","Direction=H","UseDPDF=Y")</f>
        <v>#NAME?</v>
      </c>
      <c r="S287" t="e">
        <f ca="1">_xll.BDH($C$278,"SUSTAIN_GROWTH_RT","FQ4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287" s="2" t="e">
        <f ca="1">_xll.BDH($C$278,"SALES_GROWTH","FQ4 2015","FQ4 2015","Currency=INR","Period=FQ","BEST_FPERIOD_OVERRIDE=FQ","FILING_STATUS=OR","EQY_CONSOLIDATED=Y","FA_ADJUSTED=GAAP","Sort=A","Dates=H","DateFormat=P","Fill=—","Direction=H","UseDPDF=Y")</f>
        <v>#NAME?</v>
      </c>
      <c r="U287" s="2" t="e">
        <f ca="1">_xll.BDH($C$278,"EBITDA_GROWTH","FQ4 2015","FQ4 2015","Currency=INR","Period=FQ","BEST_FPERIOD_OVERRIDE=FQ","FILING_STATUS=OR","EQY_CONSOLIDATED=Y","FA_ADJUSTED=GAAP","Sort=A","Dates=H","DateFormat=P","Fill=—","Direction=H","UseDPDF=Y")</f>
        <v>#NAME?</v>
      </c>
      <c r="V287" s="2" t="e">
        <f ca="1">_xll.BDH($C$278,"OPER_INC_GROWTH","FQ4 2015","FQ4 2015","Currency=INR","Period=FQ","BEST_FPERIOD_OVERRIDE=FQ","FILING_STATUS=OR","EQY_CONSOLIDATED=Y","FA_ADJUSTED=GAAP","Sort=A","Dates=H","DateFormat=P","Fill=—","Direction=H","UseDPDF=Y")</f>
        <v>#NAME?</v>
      </c>
      <c r="W287" s="2" t="e">
        <f ca="1">_xll.BDH($C$278,"EARN_FOR_COM_GROWTH","FQ4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287" s="2" t="e">
        <f ca="1">_xll.BDH($C$278,"DILUTED_EPS_AFT_XO_ITEMS_GROWTH","FQ4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287" s="2" t="e">
        <f ca="1">_xll.BDH($C$278,"DIVIDEND_PER_SHARE_1_YEAR_GROWTH","FQ4 2015","FQ4 2015","Currency=INR","Period=FQ","BEST_FPERIOD_OVERRIDE=FQ","FILING_STATUS=OR","EQY_CONSOLIDATED=Y","Sort=A","Dates=H","DateFormat=P","Fill=—","Direction=H","UseDPDF=Y")</f>
        <v>#NAME?</v>
      </c>
      <c r="Z287" s="2" t="e">
        <f ca="1">_xll.BDH($C$278,"ACCOUNTS_RECEIVABLE_GROWTH","FQ4 2015","FQ4 2015","Currency=INR","Period=FQ","BEST_FPERIOD_OVERRIDE=FQ","FILING_STATUS=OR","EQY_CONSOLIDATED=Y","Sort=A","Dates=H","DateFormat=P","Fill=—","Direction=H","UseDPDF=Y")</f>
        <v>#NAME?</v>
      </c>
      <c r="AA287" s="2" t="e">
        <f ca="1">_xll.BDH($C$278,"INVENTORY_GROWTH","FQ4 2015","FQ4 2015","Currency=INR","Period=FQ","BEST_FPERIOD_OVERRIDE=FQ","FILING_STATUS=OR","EQY_CONSOLIDATED=Y","Sort=A","Dates=H","DateFormat=P","Fill=—","Direction=H","UseDPDF=Y")</f>
        <v>#NAME?</v>
      </c>
      <c r="AB287" s="2" t="e">
        <f ca="1">_xll.BDH($C$278,"NET_FIXED_ASSETS_1_YEAR_GROWTH","FQ4 2015","FQ4 2015","Currency=INR","Period=FQ","BEST_FPERIOD_OVERRIDE=FQ","FILING_STATUS=OR","EQY_CONSOLIDATED=Y","Sort=A","Dates=H","DateFormat=P","Fill=—","Direction=H","UseDPDF=Y")</f>
        <v>#NAME?</v>
      </c>
      <c r="AC287" s="2" t="e">
        <f ca="1">_xll.BDH($C$278,"ASSET_GROWTH","FQ4 2015","FQ4 2015","Currency=INR","Period=FQ","BEST_FPERIOD_OVERRIDE=FQ","FILING_STATUS=OR","EQY_CONSOLIDATED=Y","Sort=A","Dates=H","DateFormat=P","Fill=—","Direction=H","UseDPDF=Y")</f>
        <v>#NAME?</v>
      </c>
      <c r="AD287" s="2" t="e">
        <f ca="1">_xll.BDH($C$278,"MODIFIED_WORK_CAP_GROWTH","FQ4 2015","FQ4 2015","Currency=INR","Period=FQ","BEST_FPERIOD_OVERRIDE=FQ","FILING_STATUS=OR","EQY_CONSOLIDATED=Y","Sort=A","Dates=H","DateFormat=P","Fill=—","Direction=H","UseDPDF=Y")</f>
        <v>#NAME?</v>
      </c>
      <c r="AE287" s="2" t="e">
        <f ca="1">_xll.BDH($C$278,"WORK_CAP_GROWTH","FQ4 2015","FQ4 2015","Currency=INR","Period=FQ","BEST_FPERIOD_OVERRIDE=FQ","FILING_STATUS=OR","EQY_CONSOLIDATED=Y","Sort=A","Dates=H","DateFormat=P","Fill=—","Direction=H","UseDPDF=Y")</f>
        <v>#NAME?</v>
      </c>
      <c r="AF287" s="2" t="e">
        <f ca="1">_xll.BDH($C$278,"ACCOUNTS_PAYABLE_GROWTH_1YR","FQ4 2015","FQ4 2015","Currency=INR","Period=FQ","BEST_FPERIOD_OVERRIDE=FQ","FILING_STATUS=OR","EQY_CONSOLIDATED=Y","Sort=A","Dates=H","DateFormat=P","Fill=—","Direction=H","UseDPDF=Y")</f>
        <v>#NAME?</v>
      </c>
      <c r="AG287" s="2" t="e">
        <f ca="1">_xll.BDH($C$278,"SHORT_TERM_DEBT_1_YEAR_GROWTH","FQ4 2015","FQ4 2015","Currency=INR","Period=FQ","BEST_FPERIOD_OVERRIDE=FQ","FILING_STATUS=OR","EQY_CONSOLIDATED=Y","Sort=A","Dates=H","DateFormat=P","Fill=—","Direction=H","UseDPDF=Y")</f>
        <v>#NAME?</v>
      </c>
      <c r="AH287" s="2" t="e">
        <f ca="1">_xll.BDH($C$278,"TOTAL_DEBT_1_YEAR_GROWTH","FQ4 2015","FQ4 2015","Currency=INR","Period=FQ","BEST_FPERIOD_OVERRIDE=FQ","FILING_STATUS=OR","EQY_CONSOLIDATED=Y","Sort=A","Dates=H","DateFormat=P","Fill=—","Direction=H","UseDPDF=Y")</f>
        <v>#NAME?</v>
      </c>
      <c r="AI287" s="2" t="e">
        <f ca="1">_xll.BDH($C$278,"TOTAL_EQUITY_1_YEAR_GROWTH","FQ4 2015","FQ4 2015","Currency=INR","Period=FQ","BEST_FPERIOD_OVERRIDE=FQ","FILING_STATUS=OR","EQY_CONSOLIDATED=Y","Sort=A","Dates=H","DateFormat=P","Fill=—","Direction=H","UseDPDF=Y")</f>
        <v>#NAME?</v>
      </c>
      <c r="AJ287" s="2" t="e">
        <f ca="1">_xll.BDH($C$278,"GROWTH_IN_CAP","FQ4 2015","FQ4 2015","Currency=INR","Period=FQ","BEST_FPERIOD_OVERRIDE=FQ","FILING_STATUS=OR","EQY_CONSOLIDATED=Y","Sort=A","Dates=H","DateFormat=P","Fill=—","Direction=H","UseDPDF=Y")</f>
        <v>#NAME?</v>
      </c>
      <c r="AK287" s="2" t="e">
        <f ca="1">_xll.BDH($C$278,"BVPS_GROWTH","FQ4 2015","FQ4 2015","Currency=INR","Period=FQ","BEST_FPERIOD_OVERRIDE=FQ","FILING_STATUS=OR","EQY_CONSOLIDATED=Y","Sort=A","Dates=H","DateFormat=P","Fill=—","Direction=H","UseDPDF=Y")</f>
        <v>#NAME?</v>
      </c>
      <c r="AL287" s="2" t="e">
        <f ca="1">_xll.BDH($C$278,"CASH_FLOW_GROWTH","FQ4 2015","FQ4 2015","Currency=INR","Period=FQ","BEST_FPERIOD_OVERRIDE=FQ","FILING_STATUS=OR","EQY_CONSOLIDATED=Y","Sort=A","Dates=H","DateFormat=P","Fill=—","Direction=H","UseDPDF=Y")</f>
        <v>#NAME?</v>
      </c>
      <c r="AM287" s="2" t="e">
        <f ca="1">_xll.BDH($C$278,"GEO_GROW_NET_SALES","FQ4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287" s="2" t="e">
        <f ca="1">_xll.BDH($C$278,"GEO_GROW_EBITDA","FQ4 2015","FQ4 2015","Currency=INR","Period=FQ","BEST_FPERIOD_OVERRIDE=FQ","FILING_STATUS=OR","EQY_CONSOLIDATED=Y","FA_ADJUSTED=GAAP","Sort=A","Dates=H","DateFormat=P","Fill=—","Direction=H","UseDPDF=Y")</f>
        <v>#NAME?</v>
      </c>
      <c r="AO287" s="2" t="e">
        <f ca="1">_xll.BDH($C$278,"GEO_GROW_OPER_INC","FQ4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287" s="2" t="e">
        <f ca="1">_xll.BDH($C$278,"NET_INCOME_TO_COMMON_5_YR_GROWTH","FQ4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287" s="2" t="e">
        <f ca="1">_xll.BDH($C$278,"5Y_GEO_GROWTH_DILUTED_EPS","FQ4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287" s="2" t="e">
        <f ca="1">_xll.BDH($C$278,"GEO_GROW_DVD_PER_SH","FQ4 2015","FQ4 2015","Currency=INR","Period=FQ","BEST_FPERIOD_OVERRIDE=FQ","FILING_STATUS=OR","EQY_CONSOLIDATED=Y","Sort=A","Dates=H","DateFormat=P","Fill=—","Direction=H","UseDPDF=Y")</f>
        <v>#NAME?</v>
      </c>
      <c r="AS287" s="2" t="e">
        <f ca="1">_xll.BDH($C$278,"ACCOUNTS_RECEIVABLE_5_YR_GROWTH","FQ4 2015","FQ4 2015","Currency=INR","Period=FQ","BEST_FPERIOD_OVERRIDE=FQ","FILING_STATUS=OR","EQY_CONSOLIDATED=Y","Sort=A","Dates=H","DateFormat=P","Fill=—","Direction=H","UseDPDF=Y")</f>
        <v>#NAME?</v>
      </c>
      <c r="AT287" s="2" t="e">
        <f ca="1">_xll.BDH($C$278,"INVENTORY_5_YEAR_GROWTH","FQ4 2015","FQ4 2015","Currency=INR","Period=FQ","BEST_FPERIOD_OVERRIDE=FQ","FILING_STATUS=OR","EQY_CONSOLIDATED=Y","Sort=A","Dates=H","DateFormat=P","Fill=—","Direction=H","UseDPDF=Y")</f>
        <v>#NAME?</v>
      </c>
      <c r="AU287" s="2" t="e">
        <f ca="1">_xll.BDH($C$278,"NET_FIXED_ASSETS_5_YEAR_GROWTH","FQ4 2015","FQ4 2015","Currency=INR","Period=FQ","BEST_FPERIOD_OVERRIDE=FQ","FILING_STATUS=OR","EQY_CONSOLIDATED=Y","Sort=A","Dates=H","DateFormat=P","Fill=—","Direction=H","UseDPDF=Y")</f>
        <v>#NAME?</v>
      </c>
      <c r="AV287" s="2" t="e">
        <f ca="1">_xll.BDH($C$278,"GEO_GROW_TOT_ASSET","FQ4 2015","FQ4 2015","Currency=INR","Period=FQ","BEST_FPERIOD_OVERRIDE=FQ","FILING_STATUS=OR","EQY_CONSOLIDATED=Y","Sort=A","Dates=H","DateFormat=P","Fill=—","Direction=H","UseDPDF=Y")</f>
        <v>#NAME?</v>
      </c>
      <c r="AW287" s="2" t="e">
        <f ca="1">_xll.BDH($C$278,"MODIFIED_WORKING_CPTL_5YR_GRWTH","FQ4 2015","FQ4 2015","Currency=INR","Period=FQ","BEST_FPERIOD_OVERRIDE=FQ","FILING_STATUS=OR","EQY_CONSOLIDATED=Y","Sort=A","Dates=H","DateFormat=P","Fill=—","Direction=H","UseDPDF=Y")</f>
        <v>#NAME?</v>
      </c>
      <c r="AX287" s="2" t="e">
        <f ca="1">_xll.BDH($C$278,"WORKING_CAPITAL_5_YEAR_GROWTH","FQ4 2015","FQ4 2015","Currency=INR","Period=FQ","BEST_FPERIOD_OVERRIDE=FQ","FILING_STATUS=OR","EQY_CONSOLIDATED=Y","Sort=A","Dates=H","DateFormat=P","Fill=—","Direction=H","UseDPDF=Y")</f>
        <v>#NAME?</v>
      </c>
      <c r="AY287" s="2" t="e">
        <f ca="1">_xll.BDH($C$278,"ACCOUNTS_PAYABLE_5_YEAR_GROWTH","FQ4 2015","FQ4 2015","Currency=INR","Period=FQ","BEST_FPERIOD_OVERRIDE=FQ","FILING_STATUS=OR","EQY_CONSOLIDATED=Y","Sort=A","Dates=H","DateFormat=P","Fill=—","Direction=H","UseDPDF=Y")</f>
        <v>#NAME?</v>
      </c>
      <c r="AZ287" s="2" t="e">
        <f ca="1">_xll.BDH($C$278,"SHORT_TERM_DEBT_5_YEAR_GROWTH","FQ4 2015","FQ4 2015","Currency=INR","Period=FQ","BEST_FPERIOD_OVERRIDE=FQ","FILING_STATUS=OR","EQY_CONSOLIDATED=Y","Sort=A","Dates=H","DateFormat=P","Fill=—","Direction=H","UseDPDF=Y")</f>
        <v>#NAME?</v>
      </c>
      <c r="BA287" s="2" t="e">
        <f ca="1">_xll.BDH($C$278,"TOTAL_DEBT_5_YEAR_GROWTH","FQ4 2015","FQ4 2015","Currency=INR","Period=FQ","BEST_FPERIOD_OVERRIDE=FQ","FILING_STATUS=OR","EQY_CONSOLIDATED=Y","Sort=A","Dates=H","DateFormat=P","Fill=—","Direction=H","UseDPDF=Y")</f>
        <v>#NAME?</v>
      </c>
      <c r="BB287" s="2" t="e">
        <f ca="1">_xll.BDH($C$278,"GEO_GROW_TOT_SHRHLDR_EQY","FQ4 2015","FQ4 2015","Currency=INR","Period=FQ","BEST_FPERIOD_OVERRIDE=FQ","FILING_STATUS=OR","EQY_CONSOLIDATED=Y","Sort=A","Dates=H","DateFormat=P","Fill=—","Direction=H","UseDPDF=Y")</f>
        <v>#NAME?</v>
      </c>
      <c r="BC287" s="2" t="e">
        <f ca="1">_xll.BDH($C$278,"TOTAL_CAPITAL_5_YEAR_GROWTH","FQ4 2015","FQ4 2015","Currency=INR","Period=FQ","BEST_FPERIOD_OVERRIDE=FQ","FILING_STATUS=OR","EQY_CONSOLIDATED=Y","Sort=A","Dates=H","DateFormat=P","Fill=—","Direction=H","UseDPDF=Y")</f>
        <v>#NAME?</v>
      </c>
      <c r="BD287" s="2" t="e">
        <f ca="1">_xll.BDH($C$278,"GEO_GROW_BOOK_VAL","FQ4 2015","FQ4 2015","Currency=INR","Period=FQ","BEST_FPERIOD_OVERRIDE=FQ","FILING_STATUS=OR","EQY_CONSOLIDATED=Y","Sort=A","Dates=H","DateFormat=P","Fill=—","Direction=H","UseDPDF=Y")</f>
        <v>#NAME?</v>
      </c>
      <c r="BE287" s="2" t="e">
        <f ca="1">_xll.BDH($C$278,"GEO_GROW_CASH_OPER_ACT","FQ4 2015","FQ4 2015","Currency=INR","Period=FQ","BEST_FPERIOD_OVERRIDE=FQ","FILING_STATUS=OR","EQY_CONSOLIDATED=Y","Sort=A","Dates=H","DateFormat=P","Fill=—","Direction=H","UseDPDF=Y")</f>
        <v>#NAME?</v>
      </c>
      <c r="BF287" s="2" t="e">
        <f ca="1">_xll.BDH($C$278,"REVENUE_SEQUENTIAL_GROWTH","FQ4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287" s="2" t="e">
        <f ca="1">_xll.BDH($C$278,"EBITDA_SEQUENTIAL_GROWTH","FQ4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287" s="2" t="e">
        <f ca="1">_xll.BDH($C$278,"OPERATING_INCOME_SEQ_GROWTH","FQ4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287" s="2" t="e">
        <f ca="1">_xll.BDH($C$278,"NET_INCOME_TO_COMMON_SEQ_GROWTH","FQ4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287" s="2" t="e">
        <f ca="1">_xll.BDH($C$278,"EPS_DILUTED_SEQUENTIAL_GROWTH","FQ4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287" s="2" t="e">
        <f ca="1">_xll.BDH($C$278,"DPS_SEQUENTIAL_GROWTH","FQ4 2015","FQ4 2015","Currency=INR","Period=FQ","BEST_FPERIOD_OVERRIDE=FQ","FILING_STATUS=OR","EQY_CONSOLIDATED=Y","Sort=A","Dates=H","DateFormat=P","Fill=—","Direction=H","UseDPDF=Y")</f>
        <v>#NAME?</v>
      </c>
      <c r="BL287" s="2" t="e">
        <f ca="1">_xll.BDH($C$278,"ACCOUNTS_RECEIVABLE_SEQ_GROWTH","FQ4 2015","FQ4 2015","Currency=INR","Period=FQ","BEST_FPERIOD_OVERRIDE=FQ","FILING_STATUS=OR","EQY_CONSOLIDATED=Y","Sort=A","Dates=H","DateFormat=P","Fill=—","Direction=H","UseDPDF=Y")</f>
        <v>#NAME?</v>
      </c>
      <c r="BM287" s="2" t="e">
        <f ca="1">_xll.BDH($C$278,"INVENTORY_SEQUENTIAL_GROWTH","FQ4 2015","FQ4 2015","Currency=INR","Period=FQ","BEST_FPERIOD_OVERRIDE=FQ","FILING_STATUS=OR","EQY_CONSOLIDATED=Y","Sort=A","Dates=H","DateFormat=P","Fill=—","Direction=H","UseDPDF=Y")</f>
        <v>#NAME?</v>
      </c>
      <c r="BN287" s="2" t="e">
        <f ca="1">_xll.BDH($C$278,"FIXED_ASSETS_SEQUENTIAL_GROWTH","FQ4 2015","FQ4 2015","Currency=INR","Period=FQ","BEST_FPERIOD_OVERRIDE=FQ","FILING_STATUS=OR","EQY_CONSOLIDATED=Y","Sort=A","Dates=H","DateFormat=P","Fill=—","Direction=H","UseDPDF=Y")</f>
        <v>#NAME?</v>
      </c>
      <c r="BO287" s="2" t="e">
        <f ca="1">_xll.BDH($C$278,"TOTAL_ASSETS_SEQUENTIAL_GROWTH","FQ4 2015","FQ4 2015","Currency=INR","Period=FQ","BEST_FPERIOD_OVERRIDE=FQ","FILING_STATUS=OR","EQY_CONSOLIDATED=Y","Sort=A","Dates=H","DateFormat=P","Fill=—","Direction=H","UseDPDF=Y")</f>
        <v>#NAME?</v>
      </c>
      <c r="BP287" s="2" t="e">
        <f ca="1">_xll.BDH($C$278,"MODIFIED_WORKING_CPTL_SEQ_GRWTH","FQ4 2015","FQ4 2015","Currency=INR","Period=FQ","BEST_FPERIOD_OVERRIDE=FQ","FILING_STATUS=OR","EQY_CONSOLIDATED=Y","Sort=A","Dates=H","DateFormat=P","Fill=—","Direction=H","UseDPDF=Y")</f>
        <v>#NAME?</v>
      </c>
      <c r="BQ287" s="2" t="e">
        <f ca="1">_xll.BDH($C$278,"WORKING_CAPITAL_SEQ_GROWTH","FQ4 2015","FQ4 2015","Currency=INR","Period=FQ","BEST_FPERIOD_OVERRIDE=FQ","FILING_STATUS=OR","EQY_CONSOLIDATED=Y","Sort=A","Dates=H","DateFormat=P","Fill=—","Direction=H","UseDPDF=Y")</f>
        <v>#NAME?</v>
      </c>
      <c r="BR287" s="2" t="e">
        <f ca="1">_xll.BDH($C$278,"ACCOUNTS_PAYABLE_SEQ_GROWTH","FQ4 2015","FQ4 2015","Currency=INR","Period=FQ","BEST_FPERIOD_OVERRIDE=FQ","FILING_STATUS=OR","EQY_CONSOLIDATED=Y","Sort=A","Dates=H","DateFormat=P","Fill=—","Direction=H","UseDPDF=Y")</f>
        <v>#NAME?</v>
      </c>
      <c r="BS287" s="2" t="e">
        <f ca="1">_xll.BDH($C$278,"ST_DEBT_SEQUENTIAL_GROWTH","FQ4 2015","FQ4 2015","Currency=INR","Period=FQ","BEST_FPERIOD_OVERRIDE=FQ","FILING_STATUS=OR","EQY_CONSOLIDATED=Y","Sort=A","Dates=H","DateFormat=P","Fill=—","Direction=H","UseDPDF=Y")</f>
        <v>#NAME?</v>
      </c>
      <c r="BT287" s="2" t="e">
        <f ca="1">_xll.BDH($C$278,"TOTAL_DEBT_SEQUENTIAL_GROWTH","FQ4 2015","FQ4 2015","Currency=INR","Period=FQ","BEST_FPERIOD_OVERRIDE=FQ","FILING_STATUS=OR","EQY_CONSOLIDATED=Y","Sort=A","Dates=H","DateFormat=P","Fill=—","Direction=H","UseDPDF=Y")</f>
        <v>#NAME?</v>
      </c>
      <c r="BU287" s="2" t="e">
        <f ca="1">_xll.BDH($C$278,"TOTAL_EQUITY_SEQUENTIAL_GROWTH","FQ4 2015","FQ4 2015","Currency=INR","Period=FQ","BEST_FPERIOD_OVERRIDE=FQ","FILING_STATUS=OR","EQY_CONSOLIDATED=Y","Sort=A","Dates=H","DateFormat=P","Fill=—","Direction=H","UseDPDF=Y")</f>
        <v>#NAME?</v>
      </c>
      <c r="BV287" s="2" t="e">
        <f ca="1">_xll.BDH($C$278,"TOTAL_CAPITAL_SEQUENTIAL_GROWTH","FQ4 2015","FQ4 2015","Currency=INR","Period=FQ","BEST_FPERIOD_OVERRIDE=FQ","FILING_STATUS=OR","EQY_CONSOLIDATED=Y","Sort=A","Dates=H","DateFormat=P","Fill=—","Direction=H","UseDPDF=Y")</f>
        <v>#NAME?</v>
      </c>
      <c r="BW287" s="2" t="e">
        <f ca="1">_xll.BDH($C$278,"BPS_SEQUENTIAL_GROWTH","FQ4 2015","FQ4 2015","Currency=INR","Period=FQ","BEST_FPERIOD_OVERRIDE=FQ","FILING_STATUS=OR","EQY_CONSOLIDATED=Y","Sort=A","Dates=H","DateFormat=P","Fill=—","Direction=H","UseDPDF=Y")</f>
        <v>#NAME?</v>
      </c>
      <c r="BX287" s="2" t="e">
        <f ca="1">_xll.BDH($C$278,"CFO_SEQUENTIAL_GROWTH","FQ4 2015","FQ4 2015","Currency=INR","Period=FQ","BEST_FPERIOD_OVERRIDE=FQ","FILING_STATUS=OR","EQY_CONSOLIDATED=Y","Sort=A","Dates=H","DateFormat=P","Fill=—","Direction=H","UseDPDF=Y")</f>
        <v>#NAME?</v>
      </c>
      <c r="BY287" s="3" t="e">
        <f ca="1">_xll.BDH($C$278,"SHORT_AND_LONG_TERM_DEBT","FQ4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287" s="3" t="e">
        <f ca="1">_xll.BDH($C$278,"BS_ST_BORROW","FQ4 2015","FQ4 2015","Currency=INR","Period=FQ","BEST_FPERIOD_OVERRIDE=FQ","FILING_STATUS=OR","EQY_CONSOLIDATED=Y","SCALING_FORMAT=MLN","Sort=A","Dates=H","DateFormat=P","Fill=—","Direction=H","UseDPDF=Y")</f>
        <v>#NAME?</v>
      </c>
      <c r="CA287" s="3" t="e">
        <f ca="1">_xll.BDH($C$278,"BS_LT_BORROW","FQ4 2015","FQ4 2015","Currency=INR","Period=FQ","BEST_FPERIOD_OVERRIDE=FQ","FILING_STATUS=OR","EQY_CONSOLIDATED=Y","SCALING_FORMAT=MLN","Sort=A","Dates=H","DateFormat=P","Fill=—","Direction=H","UseDPDF=Y")</f>
        <v>#NAME?</v>
      </c>
      <c r="CB287" s="2" t="e">
        <f ca="1">_xll.BDH($C$278,"TOT_DEBT_TO_EBITDA","FQ4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287" s="2" t="e">
        <f ca="1">_xll.BDH($C$278,"NET_DEBT_TO_EBITDA","FQ4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287" s="2" t="e">
        <f ca="1">_xll.BDH($C$278,"TOTAL_DEBT_TO_EBIT","FQ4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287" s="2" t="e">
        <f ca="1">_xll.BDH($C$278,"NET_DEBT_TO_EBIT","FQ4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287" s="2" t="e">
        <f ca="1">_xll.BDH($C$278,"EBITDA_TO_INTEREST_EXPN","FQ4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287" s="2" t="e">
        <f ca="1">_xll.BDH($C$278,"COM_EQY_TO_TOT_ASSET","FQ4 2015","FQ4 2015","Currency=INR","Period=FQ","BEST_FPERIOD_OVERRIDE=FQ","FILING_STATUS=OR","EQY_CONSOLIDATED=Y","Sort=A","Dates=H","DateFormat=P","Fill=—","Direction=H","UseDPDF=Y")</f>
        <v>#NAME?</v>
      </c>
      <c r="CH287" s="2" t="e">
        <f ca="1">_xll.BDH($C$278,"LT_DEBT_TO_TOT_EQY","FQ4 2015","FQ4 2015","Currency=INR","Period=FQ","BEST_FPERIOD_OVERRIDE=FQ","FILING_STATUS=OR","EQY_CONSOLIDATED=Y","Sort=A","Dates=H","DateFormat=P","Fill=—","Direction=H","UseDPDF=Y")</f>
        <v>#NAME?</v>
      </c>
      <c r="CI287" s="2" t="e">
        <f ca="1">_xll.BDH($C$278,"LT_DEBT_TO_TOT_CAP","FQ4 2015","FQ4 2015","Currency=INR","Period=FQ","BEST_FPERIOD_OVERRIDE=FQ","FILING_STATUS=OR","EQY_CONSOLIDATED=Y","Sort=A","Dates=H","DateFormat=P","Fill=—","Direction=H","UseDPDF=Y")</f>
        <v>#NAME?</v>
      </c>
      <c r="CJ287" s="2" t="e">
        <f ca="1">_xll.BDH($C$278,"LT_DEBT_TO_TOT_ASSET","FQ4 2015","FQ4 2015","Currency=INR","Period=FQ","BEST_FPERIOD_OVERRIDE=FQ","FILING_STATUS=OR","EQY_CONSOLIDATED=Y","Sort=A","Dates=H","DateFormat=P","Fill=—","Direction=H","UseDPDF=Y")</f>
        <v>#NAME?</v>
      </c>
      <c r="CK287" s="2" t="e">
        <f ca="1">_xll.BDH($C$278,"TOT_DEBT_TO_TOT_EQY","FQ4 2015","FQ4 2015","Currency=INR","Period=FQ","BEST_FPERIOD_OVERRIDE=FQ","FILING_STATUS=OR","EQY_CONSOLIDATED=Y","Sort=A","Dates=H","DateFormat=P","Fill=—","Direction=H","UseDPDF=Y")</f>
        <v>#NAME?</v>
      </c>
      <c r="CL287" s="2" t="e">
        <f ca="1">_xll.BDH($C$278,"TOT_DEBT_TO_TOT_CAP","FQ4 2015","FQ4 2015","Currency=INR","Period=FQ","BEST_FPERIOD_OVERRIDE=FQ","FILING_STATUS=OR","EQY_CONSOLIDATED=Y","Sort=A","Dates=H","DateFormat=P","Fill=—","Direction=H","UseDPDF=Y")</f>
        <v>#NAME?</v>
      </c>
      <c r="CM287" s="2" t="e">
        <f ca="1">_xll.BDH($C$278,"TOT_DEBT_TO_TOT_ASSET","FQ4 2015","FQ4 2015","Currency=INR","Period=FQ","BEST_FPERIOD_OVERRIDE=FQ","FILING_STATUS=OR","EQY_CONSOLIDATED=Y","Sort=A","Dates=H","DateFormat=P","Fill=—","Direction=H","UseDPDF=Y")</f>
        <v>#NAME?</v>
      </c>
      <c r="CN287" s="2" t="e">
        <f ca="1">_xll.BDH($C$278,"NET_DEBT_TO_SHRHLDR_EQTY","FQ4 2015","FQ4 2015","Currency=INR","Period=FQ","BEST_FPERIOD_OVERRIDE=FQ","FILING_STATUS=OR","EQY_CONSOLIDATED=Y","Sort=A","Dates=H","DateFormat=P","Fill=—","Direction=H","UseDPDF=Y")</f>
        <v>#NAME?</v>
      </c>
      <c r="CO287" s="2" t="e">
        <f ca="1">_xll.BDH($C$278,"NET_DEBT_%_CAPITAL","FQ4 2015","FQ4 2015","Currency=INR","Period=FQ","BEST_FPERIOD_OVERRIDE=FQ","FILING_STATUS=OR","EQY_CONSOLIDATED=Y","Sort=A","Dates=H","DateFormat=P","Fill=—","Direction=H","UseDPDF=Y")</f>
        <v>#NAME?</v>
      </c>
      <c r="CP287" s="3" t="e">
        <f ca="1">_xll.BDH($C$278,"EBITDA","FQ4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287" s="3" t="e">
        <f ca="1">_xll.BDH($C$278,"EBITDA_AFTER_CAPEX","FQ4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287" s="3" t="e">
        <f ca="1">_xll.BDH($C$278,"IS_OPER_INC","FQ4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287" s="2" t="e">
        <f ca="1">_xll.BDH($C$278,"CASH_RATIO","FQ4 2015","FQ4 2015","Currency=INR","Period=FQ","BEST_FPERIOD_OVERRIDE=FQ","FILING_STATUS=OR","EQY_CONSOLIDATED=Y","Sort=A","Dates=H","DateFormat=P","Fill=—","Direction=H","UseDPDF=Y")</f>
        <v>#NAME?</v>
      </c>
      <c r="CT287" s="2" t="e">
        <f ca="1">_xll.BDH($C$278,"CUR_RATIO","FQ4 2015","FQ4 2015","Currency=INR","Period=FQ","BEST_FPERIOD_OVERRIDE=FQ","FILING_STATUS=OR","EQY_CONSOLIDATED=Y","Sort=A","Dates=H","DateFormat=P","Fill=—","Direction=H","UseDPDF=Y")</f>
        <v>#NAME?</v>
      </c>
      <c r="CU287" s="2" t="e">
        <f ca="1">_xll.BDH($C$278,"QUICK_RATIO","FQ4 2015","FQ4 2015","Currency=INR","Period=FQ","BEST_FPERIOD_OVERRIDE=FQ","FILING_STATUS=OR","EQY_CONSOLIDATED=Y","Sort=A","Dates=H","DateFormat=P","Fill=—","Direction=H","UseDPDF=Y")</f>
        <v>#NAME?</v>
      </c>
      <c r="CV287" s="2" t="e">
        <f ca="1">_xll.BDH($C$278,"ALTMAN_Z_SCORE","FQ4 2015","FQ4 2015","Currency=INR","Period=FQ","BEST_FPERIOD_OVERRIDE=FQ","FILING_STATUS=OR","EQY_CONSOLIDATED=Y","Sort=A","Dates=H","DateFormat=P","Fill=—","Direction=H","UseDPDF=Y")</f>
        <v>#NAME?</v>
      </c>
      <c r="CW287" s="4" t="e">
        <f ca="1">_xll.BDH($C$278,"ACCT_RCV_TURN","FQ4 2015","FQ4 2015","Currency=INR","Period=FQ","BEST_FPERIOD_OVERRIDE=FQ","FILING_STATUS=OR","EQY_CONSOLIDATED=Y","FA_ADJUSTED=GAAP","Sort=A","Dates=H","DateFormat=P","Fill=—","Direction=H","UseDPDF=Y")</f>
        <v>#NAME?</v>
      </c>
      <c r="CX287" s="2" t="e">
        <f ca="1">_xll.BDH($C$278,"ACCT_RCV_DAYS","FQ4 2015","FQ4 2015","Currency=INR","Period=FQ","BEST_FPERIOD_OVERRIDE=FQ","FILING_STATUS=OR","EQY_CONSOLIDATED=Y","FA_ADJUSTED=GAAP","Sort=A","Dates=H","DateFormat=P","Fill=—","Direction=H","UseDPDF=Y")</f>
        <v>#NAME?</v>
      </c>
      <c r="CY287" s="4" t="e">
        <f ca="1">_xll.BDH($C$278,"INVENT_TURN","FQ4 2015","FQ4 2015","Currency=INR","Period=FQ","BEST_FPERIOD_OVERRIDE=FQ","FILING_STATUS=OR","EQY_CONSOLIDATED=Y","FA_ADJUSTED=GAAP","Sort=A","Dates=H","DateFormat=P","Fill=—","Direction=H","UseDPDF=Y")</f>
        <v>#NAME?</v>
      </c>
      <c r="CZ287" s="2" t="e">
        <f ca="1">_xll.BDH($C$278,"INVENT_DAYS","FQ4 2015","FQ4 2015","Currency=INR","Period=FQ","BEST_FPERIOD_OVERRIDE=FQ","FILING_STATUS=OR","EQY_CONSOLIDATED=Y","FA_ADJUSTED=GAAP","Sort=A","Dates=H","DateFormat=P","Fill=—","Direction=H","UseDPDF=Y")</f>
        <v>#NAME?</v>
      </c>
      <c r="DA287" s="4" t="e">
        <f ca="1">_xll.BDH($C$278,"ACCOUNTS_PAYABLE_TURNOVER","FQ4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287" s="2" t="e">
        <f ca="1">_xll.BDH($C$278,"ACCOUNTS_PAYABLE_TURNOVER_DAYS","FQ4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287" s="4" t="e">
        <f ca="1">_xll.BDH($C$278,"CASH_CONVERSION_CYCLE","FQ4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287" s="4" t="e">
        <f ca="1">_xll.BDH($C$278,"INV_TO_CASH_DAYS","FQ4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287" s="5" t="e">
        <f ca="1">_xll.BDH($C$278,"BS_INVENTORIES","FQ4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287" s="3" t="e">
        <f ca="1">_xll.BDH($C$278,"INVTRY_RAW_MATERIALS","FQ4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287" s="3" t="e">
        <f ca="1">_xll.BDH($C$278,"INVTRY_IN_PROGRESS","FQ4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287" s="3" t="e">
        <f ca="1">_xll.BDH($C$278,"INVTRY_FINISHED_GOODS","FQ4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287" s="3" t="e">
        <f ca="1">_xll.BDH($C$278,"BS_OTHER_INV","FQ4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288" spans="1:113" x14ac:dyDescent="0.3">
      <c r="A288" s="6"/>
      <c r="B288" s="6"/>
      <c r="C288" s="6"/>
      <c r="D288" s="6" t="s">
        <v>83</v>
      </c>
      <c r="E288" t="s">
        <v>77</v>
      </c>
      <c r="F288" t="e">
        <f ca="1">_xll.BDH($C$278,"RETURN_COM_EQY","FY 2016","FY 2016","Currency=INR","Period=FY","BEST_FPERIOD_OVERRIDE=FY","FILING_STATUS=OR","EQY_CONSOLIDATED=Y","FA_ADJUSTED=GAAP","Sort=A","Dates=H","DateFormat=P","Fill=—","Direction=H","UseDPDF=Y")</f>
        <v>#NAME?</v>
      </c>
      <c r="G288" t="e">
        <f ca="1">_xll.BDH($C$278,"RETURN_ON_ASSET","FY 2016","FY 2016","Currency=INR","Period=FY","BEST_FPERIOD_OVERRIDE=FY","FILING_STATUS=OR","EQY_CONSOLIDATED=Y","FA_ADJUSTED=GAAP","Sort=A","Dates=H","DateFormat=P","Fill=—","Direction=H","UseDPDF=Y")</f>
        <v>#NAME?</v>
      </c>
      <c r="H288" t="e">
        <f ca="1">_xll.BDH($C$278,"RETURN_ON_CAP","FY 2016","FY 2016","Currency=INR","Period=FY","BEST_FPERIOD_OVERRIDE=FY","FILING_STATUS=OR","EQY_CONSOLIDATED=Y","FA_ADJUSTED=GAAP","Sort=A","Dates=H","DateFormat=P","Fill=—","Direction=H","UseDPDF=Y")</f>
        <v>#NAME?</v>
      </c>
      <c r="I288" t="e">
        <f ca="1">_xll.BDH($C$278,"RETURN_ON_INV_CAPITAL","FY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288" t="e">
        <f ca="1">_xll.BDH($C$278,"EBITDA_TO_REVENUE","FY 2016","FY 2016","Currency=INR","Period=FY","BEST_FPERIOD_OVERRIDE=FY","FILING_STATUS=OR","EQY_CONSOLIDATED=Y","FA_ADJUSTED=GAAP","Sort=A","Dates=H","DateFormat=P","Fill=—","Direction=H","UseDPDF=Y")</f>
        <v>#NAME?</v>
      </c>
      <c r="K288" t="e">
        <f ca="1">_xll.BDH($C$278,"OPER_MARGIN","FY 2016","FY 2016","Currency=INR","Period=FY","BEST_FPERIOD_OVERRIDE=FY","FILING_STATUS=OR","EQY_CONSOLIDATED=Y","FA_ADJUSTED=GAAP","Sort=A","Dates=H","DateFormat=P","Fill=—","Direction=H","UseDPDF=Y")</f>
        <v>#NAME?</v>
      </c>
      <c r="L288" t="e">
        <f ca="1">_xll.BDH($C$278,"INCREMENTAL_OPERATING_MARGIN","FY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288" t="e">
        <f ca="1">_xll.BDH($C$278,"PRETAX_INC_TO_NET_SALES","FY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288" t="e">
        <f ca="1">_xll.BDH($C$278,"INC_BEF_XO_ITEMS_TO_NET_SALES","FY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288" t="e">
        <f ca="1">_xll.BDH($C$278,"PROF_MARGIN","FY 2016","FY 2016","Currency=INR","Period=FY","BEST_FPERIOD_OVERRIDE=FY","FILING_STATUS=OR","EQY_CONSOLIDATED=Y","FA_ADJUSTED=GAAP","Sort=A","Dates=H","DateFormat=P","Fill=—","Direction=H","UseDPDF=Y")</f>
        <v>#NAME?</v>
      </c>
      <c r="P288" t="e">
        <f ca="1">_xll.BDH($C$278,"NET_INCOME_TO_COMMON_MARGIN","FY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288" t="e">
        <f ca="1">_xll.BDH($C$278,"EFF_TAX_RATE","FY 2016","FY 2016","Currency=INR","Period=FY","BEST_FPERIOD_OVERRIDE=FY","FILING_STATUS=OR","EQY_CONSOLIDATED=Y","FA_ADJUSTED=GAAP","Sort=A","Dates=H","DateFormat=P","Fill=—","Direction=H","UseDPDF=Y")</f>
        <v>#NAME?</v>
      </c>
      <c r="R288" t="e">
        <f ca="1">_xll.BDH($C$278,"DVD_PAYOUT_RATIO","FY 2016","FY 2016","Currency=INR","Period=FY","BEST_FPERIOD_OVERRIDE=FY","FILING_STATUS=OR","EQY_CONSOLIDATED=Y","FA_ADJUSTED=GAAP","Sort=A","Dates=H","DateFormat=P","Fill=—","Direction=H","UseDPDF=Y")</f>
        <v>#NAME?</v>
      </c>
      <c r="S288" t="e">
        <f ca="1">_xll.BDH($C$278,"SUSTAIN_GROWTH_RT","FY 2016","FY 2016","Currency=INR","Period=FY","BEST_FPERIOD_OVERRIDE=FY","FILING_STATUS=OR","EQY_CONSOLIDATED=Y","FA_ADJUSTED=GAAP","Sort=A","Dates=H","DateFormat=P","Fill=—","Direction=H","UseDPDF=Y")</f>
        <v>#NAME?</v>
      </c>
      <c r="T288" s="2" t="e">
        <f ca="1">_xll.BDH($C$278,"SALES_GROWTH","FY 2016","FY 2016","Currency=INR","Period=FY","BEST_FPERIOD_OVERRIDE=FY","FILING_STATUS=OR","EQY_CONSOLIDATED=Y","FA_ADJUSTED=GAAP","Sort=A","Dates=H","DateFormat=P","Fill=—","Direction=H","UseDPDF=Y")</f>
        <v>#NAME?</v>
      </c>
      <c r="U288" s="2" t="e">
        <f ca="1">_xll.BDH($C$278,"EBITDA_GROWTH","FY 2016","FY 2016","Currency=INR","Period=FY","BEST_FPERIOD_OVERRIDE=FY","FILING_STATUS=OR","EQY_CONSOLIDATED=Y","FA_ADJUSTED=GAAP","Sort=A","Dates=H","DateFormat=P","Fill=—","Direction=H","UseDPDF=Y")</f>
        <v>#NAME?</v>
      </c>
      <c r="V288" s="2" t="e">
        <f ca="1">_xll.BDH($C$278,"OPER_INC_GROWTH","FY 2016","FY 2016","Currency=INR","Period=FY","BEST_FPERIOD_OVERRIDE=FY","FILING_STATUS=OR","EQY_CONSOLIDATED=Y","FA_ADJUSTED=GAAP","Sort=A","Dates=H","DateFormat=P","Fill=—","Direction=H","UseDPDF=Y")</f>
        <v>#NAME?</v>
      </c>
      <c r="W288" s="2" t="e">
        <f ca="1">_xll.BDH($C$278,"EARN_FOR_COM_GROWTH","FY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288" s="2" t="e">
        <f ca="1">_xll.BDH($C$278,"DILUTED_EPS_AFT_XO_ITEMS_GROWTH","FY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288" s="2" t="e">
        <f ca="1">_xll.BDH($C$278,"DIVIDEND_PER_SHARE_1_YEAR_GROWTH","FY 2016","FY 2016","Currency=INR","Period=FY","BEST_FPERIOD_OVERRIDE=FY","FILING_STATUS=OR","EQY_CONSOLIDATED=Y","Sort=A","Dates=H","DateFormat=P","Fill=—","Direction=H","UseDPDF=Y")</f>
        <v>#NAME?</v>
      </c>
      <c r="Z288" s="2" t="e">
        <f ca="1">_xll.BDH($C$278,"ACCOUNTS_RECEIVABLE_GROWTH","FY 2016","FY 2016","Currency=INR","Period=FY","BEST_FPERIOD_OVERRIDE=FY","FILING_STATUS=OR","EQY_CONSOLIDATED=Y","Sort=A","Dates=H","DateFormat=P","Fill=—","Direction=H","UseDPDF=Y")</f>
        <v>#NAME?</v>
      </c>
      <c r="AA288" s="2" t="e">
        <f ca="1">_xll.BDH($C$278,"INVENTORY_GROWTH","FY 2016","FY 2016","Currency=INR","Period=FY","BEST_FPERIOD_OVERRIDE=FY","FILING_STATUS=OR","EQY_CONSOLIDATED=Y","Sort=A","Dates=H","DateFormat=P","Fill=—","Direction=H","UseDPDF=Y")</f>
        <v>#NAME?</v>
      </c>
      <c r="AB288" s="2" t="e">
        <f ca="1">_xll.BDH($C$278,"NET_FIXED_ASSETS_1_YEAR_GROWTH","FY 2016","FY 2016","Currency=INR","Period=FY","BEST_FPERIOD_OVERRIDE=FY","FILING_STATUS=OR","EQY_CONSOLIDATED=Y","Sort=A","Dates=H","DateFormat=P","Fill=—","Direction=H","UseDPDF=Y")</f>
        <v>#NAME?</v>
      </c>
      <c r="AC288" s="2" t="e">
        <f ca="1">_xll.BDH($C$278,"ASSET_GROWTH","FY 2016","FY 2016","Currency=INR","Period=FY","BEST_FPERIOD_OVERRIDE=FY","FILING_STATUS=OR","EQY_CONSOLIDATED=Y","Sort=A","Dates=H","DateFormat=P","Fill=—","Direction=H","UseDPDF=Y")</f>
        <v>#NAME?</v>
      </c>
      <c r="AD288" s="2" t="e">
        <f ca="1">_xll.BDH($C$278,"MODIFIED_WORK_CAP_GROWTH","FY 2016","FY 2016","Currency=INR","Period=FY","BEST_FPERIOD_OVERRIDE=FY","FILING_STATUS=OR","EQY_CONSOLIDATED=Y","Sort=A","Dates=H","DateFormat=P","Fill=—","Direction=H","UseDPDF=Y")</f>
        <v>#NAME?</v>
      </c>
      <c r="AE288" s="2" t="e">
        <f ca="1">_xll.BDH($C$278,"WORK_CAP_GROWTH","FY 2016","FY 2016","Currency=INR","Period=FY","BEST_FPERIOD_OVERRIDE=FY","FILING_STATUS=OR","EQY_CONSOLIDATED=Y","Sort=A","Dates=H","DateFormat=P","Fill=—","Direction=H","UseDPDF=Y")</f>
        <v>#NAME?</v>
      </c>
      <c r="AF288" s="2" t="e">
        <f ca="1">_xll.BDH($C$278,"ACCOUNTS_PAYABLE_GROWTH_1YR","FY 2016","FY 2016","Currency=INR","Period=FY","BEST_FPERIOD_OVERRIDE=FY","FILING_STATUS=OR","EQY_CONSOLIDATED=Y","Sort=A","Dates=H","DateFormat=P","Fill=—","Direction=H","UseDPDF=Y")</f>
        <v>#NAME?</v>
      </c>
      <c r="AG288" s="2" t="e">
        <f ca="1">_xll.BDH($C$278,"SHORT_TERM_DEBT_1_YEAR_GROWTH","FY 2016","FY 2016","Currency=INR","Period=FY","BEST_FPERIOD_OVERRIDE=FY","FILING_STATUS=OR","EQY_CONSOLIDATED=Y","Sort=A","Dates=H","DateFormat=P","Fill=—","Direction=H","UseDPDF=Y")</f>
        <v>#NAME?</v>
      </c>
      <c r="AH288" s="2" t="e">
        <f ca="1">_xll.BDH($C$278,"TOTAL_DEBT_1_YEAR_GROWTH","FY 2016","FY 2016","Currency=INR","Period=FY","BEST_FPERIOD_OVERRIDE=FY","FILING_STATUS=OR","EQY_CONSOLIDATED=Y","Sort=A","Dates=H","DateFormat=P","Fill=—","Direction=H","UseDPDF=Y")</f>
        <v>#NAME?</v>
      </c>
      <c r="AI288" s="2" t="e">
        <f ca="1">_xll.BDH($C$278,"TOTAL_EQUITY_1_YEAR_GROWTH","FY 2016","FY 2016","Currency=INR","Period=FY","BEST_FPERIOD_OVERRIDE=FY","FILING_STATUS=OR","EQY_CONSOLIDATED=Y","Sort=A","Dates=H","DateFormat=P","Fill=—","Direction=H","UseDPDF=Y")</f>
        <v>#NAME?</v>
      </c>
      <c r="AJ288" s="2" t="e">
        <f ca="1">_xll.BDH($C$278,"GROWTH_IN_CAP","FY 2016","FY 2016","Currency=INR","Period=FY","BEST_FPERIOD_OVERRIDE=FY","FILING_STATUS=OR","EQY_CONSOLIDATED=Y","Sort=A","Dates=H","DateFormat=P","Fill=—","Direction=H","UseDPDF=Y")</f>
        <v>#NAME?</v>
      </c>
      <c r="AK288" s="2" t="e">
        <f ca="1">_xll.BDH($C$278,"BVPS_GROWTH","FY 2016","FY 2016","Currency=INR","Period=FY","BEST_FPERIOD_OVERRIDE=FY","FILING_STATUS=OR","EQY_CONSOLIDATED=Y","Sort=A","Dates=H","DateFormat=P","Fill=—","Direction=H","UseDPDF=Y")</f>
        <v>#NAME?</v>
      </c>
      <c r="AL288" s="2" t="e">
        <f ca="1">_xll.BDH($C$278,"CASH_FLOW_GROWTH","FY 2016","FY 2016","Currency=INR","Period=FY","BEST_FPERIOD_OVERRIDE=FY","FILING_STATUS=OR","EQY_CONSOLIDATED=Y","Sort=A","Dates=H","DateFormat=P","Fill=—","Direction=H","UseDPDF=Y")</f>
        <v>#NAME?</v>
      </c>
      <c r="AM288" s="2" t="e">
        <f ca="1">_xll.BDH($C$278,"GEO_GROW_NET_SALES","FY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288" s="2" t="e">
        <f ca="1">_xll.BDH($C$278,"GEO_GROW_EBITDA","FY 2016","FY 2016","Currency=INR","Period=FY","BEST_FPERIOD_OVERRIDE=FY","FILING_STATUS=OR","EQY_CONSOLIDATED=Y","FA_ADJUSTED=GAAP","Sort=A","Dates=H","DateFormat=P","Fill=—","Direction=H","UseDPDF=Y")</f>
        <v>#NAME?</v>
      </c>
      <c r="AO288" s="2" t="e">
        <f ca="1">_xll.BDH($C$278,"GEO_GROW_OPER_INC","FY 2016","FY 2016","Currency=INR","Period=FY","BEST_FPERIOD_OVERRIDE=FY","FILING_STATUS=OR","EQY_CONSOLIDATED=Y","FA_ADJUSTED=GAAP","Sort=A","Dates=H","DateFormat=P","Fill=—","Direction=H","UseDPDF=Y")</f>
        <v>#NAME?</v>
      </c>
      <c r="AP288" s="2" t="e">
        <f ca="1">_xll.BDH($C$278,"NET_INCOME_TO_COMMON_5_YR_GROWTH","FY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288" s="2" t="e">
        <f ca="1">_xll.BDH($C$278,"5Y_GEO_GROWTH_DILUTED_EPS","FY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288" s="2" t="e">
        <f ca="1">_xll.BDH($C$278,"GEO_GROW_DVD_PER_SH","FY 2016","FY 2016","Currency=INR","Period=FY","BEST_FPERIOD_OVERRIDE=FY","FILING_STATUS=OR","EQY_CONSOLIDATED=Y","Sort=A","Dates=H","DateFormat=P","Fill=—","Direction=H","UseDPDF=Y")</f>
        <v>#NAME?</v>
      </c>
      <c r="AS288" s="2" t="e">
        <f ca="1">_xll.BDH($C$278,"ACCOUNTS_RECEIVABLE_5_YR_GROWTH","FY 2016","FY 2016","Currency=INR","Period=FY","BEST_FPERIOD_OVERRIDE=FY","FILING_STATUS=OR","EQY_CONSOLIDATED=Y","Sort=A","Dates=H","DateFormat=P","Fill=—","Direction=H","UseDPDF=Y")</f>
        <v>#NAME?</v>
      </c>
      <c r="AT288" s="2" t="e">
        <f ca="1">_xll.BDH($C$278,"INVENTORY_5_YEAR_GROWTH","FY 2016","FY 2016","Currency=INR","Period=FY","BEST_FPERIOD_OVERRIDE=FY","FILING_STATUS=OR","EQY_CONSOLIDATED=Y","Sort=A","Dates=H","DateFormat=P","Fill=—","Direction=H","UseDPDF=Y")</f>
        <v>#NAME?</v>
      </c>
      <c r="AU288" s="2" t="e">
        <f ca="1">_xll.BDH($C$278,"NET_FIXED_ASSETS_5_YEAR_GROWTH","FY 2016","FY 2016","Currency=INR","Period=FY","BEST_FPERIOD_OVERRIDE=FY","FILING_STATUS=OR","EQY_CONSOLIDATED=Y","Sort=A","Dates=H","DateFormat=P","Fill=—","Direction=H","UseDPDF=Y")</f>
        <v>#NAME?</v>
      </c>
      <c r="AV288" s="2" t="e">
        <f ca="1">_xll.BDH($C$278,"GEO_GROW_TOT_ASSET","FY 2016","FY 2016","Currency=INR","Period=FY","BEST_FPERIOD_OVERRIDE=FY","FILING_STATUS=OR","EQY_CONSOLIDATED=Y","Sort=A","Dates=H","DateFormat=P","Fill=—","Direction=H","UseDPDF=Y")</f>
        <v>#NAME?</v>
      </c>
      <c r="AW288" s="2" t="e">
        <f ca="1">_xll.BDH($C$278,"MODIFIED_WORKING_CPTL_5YR_GRWTH","FY 2016","FY 2016","Currency=INR","Period=FY","BEST_FPERIOD_OVERRIDE=FY","FILING_STATUS=OR","EQY_CONSOLIDATED=Y","Sort=A","Dates=H","DateFormat=P","Fill=—","Direction=H","UseDPDF=Y")</f>
        <v>#NAME?</v>
      </c>
      <c r="AX288" s="2" t="e">
        <f ca="1">_xll.BDH($C$278,"WORKING_CAPITAL_5_YEAR_GROWTH","FY 2016","FY 2016","Currency=INR","Period=FY","BEST_FPERIOD_OVERRIDE=FY","FILING_STATUS=OR","EQY_CONSOLIDATED=Y","Sort=A","Dates=H","DateFormat=P","Fill=—","Direction=H","UseDPDF=Y")</f>
        <v>#NAME?</v>
      </c>
      <c r="AY288" s="2" t="e">
        <f ca="1">_xll.BDH($C$278,"ACCOUNTS_PAYABLE_5_YEAR_GROWTH","FY 2016","FY 2016","Currency=INR","Period=FY","BEST_FPERIOD_OVERRIDE=FY","FILING_STATUS=OR","EQY_CONSOLIDATED=Y","Sort=A","Dates=H","DateFormat=P","Fill=—","Direction=H","UseDPDF=Y")</f>
        <v>#NAME?</v>
      </c>
      <c r="AZ288" s="2" t="e">
        <f ca="1">_xll.BDH($C$278,"SHORT_TERM_DEBT_5_YEAR_GROWTH","FY 2016","FY 2016","Currency=INR","Period=FY","BEST_FPERIOD_OVERRIDE=FY","FILING_STATUS=OR","EQY_CONSOLIDATED=Y","Sort=A","Dates=H","DateFormat=P","Fill=—","Direction=H","UseDPDF=Y")</f>
        <v>#NAME?</v>
      </c>
      <c r="BA288" s="2" t="e">
        <f ca="1">_xll.BDH($C$278,"TOTAL_DEBT_5_YEAR_GROWTH","FY 2016","FY 2016","Currency=INR","Period=FY","BEST_FPERIOD_OVERRIDE=FY","FILING_STATUS=OR","EQY_CONSOLIDATED=Y","Sort=A","Dates=H","DateFormat=P","Fill=—","Direction=H","UseDPDF=Y")</f>
        <v>#NAME?</v>
      </c>
      <c r="BB288" s="2" t="e">
        <f ca="1">_xll.BDH($C$278,"GEO_GROW_TOT_SHRHLDR_EQY","FY 2016","FY 2016","Currency=INR","Period=FY","BEST_FPERIOD_OVERRIDE=FY","FILING_STATUS=OR","EQY_CONSOLIDATED=Y","Sort=A","Dates=H","DateFormat=P","Fill=—","Direction=H","UseDPDF=Y")</f>
        <v>#NAME?</v>
      </c>
      <c r="BC288" s="2" t="e">
        <f ca="1">_xll.BDH($C$278,"TOTAL_CAPITAL_5_YEAR_GROWTH","FY 2016","FY 2016","Currency=INR","Period=FY","BEST_FPERIOD_OVERRIDE=FY","FILING_STATUS=OR","EQY_CONSOLIDATED=Y","Sort=A","Dates=H","DateFormat=P","Fill=—","Direction=H","UseDPDF=Y")</f>
        <v>#NAME?</v>
      </c>
      <c r="BD288" s="2" t="e">
        <f ca="1">_xll.BDH($C$278,"GEO_GROW_BOOK_VAL","FY 2016","FY 2016","Currency=INR","Period=FY","BEST_FPERIOD_OVERRIDE=FY","FILING_STATUS=OR","EQY_CONSOLIDATED=Y","Sort=A","Dates=H","DateFormat=P","Fill=—","Direction=H","UseDPDF=Y")</f>
        <v>#NAME?</v>
      </c>
      <c r="BE288" s="2" t="e">
        <f ca="1">_xll.BDH($C$278,"GEO_GROW_CASH_OPER_ACT","FY 2016","FY 2016","Currency=INR","Period=FY","BEST_FPERIOD_OVERRIDE=FY","FILING_STATUS=OR","EQY_CONSOLIDATED=Y","Sort=A","Dates=H","DateFormat=P","Fill=—","Direction=H","UseDPDF=Y")</f>
        <v>#NAME?</v>
      </c>
      <c r="BF288" s="2" t="e">
        <f ca="1">_xll.BDH($C$278,"REVENUE_SEQUENTIAL_GROWTH","FY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288" s="2" t="e">
        <f ca="1">_xll.BDH($C$278,"EBITDA_SEQUENTIAL_GROWTH","FY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288" s="2" t="e">
        <f ca="1">_xll.BDH($C$278,"OPERATING_INCOME_SEQ_GROWTH","FY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288" s="2" t="e">
        <f ca="1">_xll.BDH($C$278,"NET_INCOME_TO_COMMON_SEQ_GROWTH","FY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288" s="2" t="e">
        <f ca="1">_xll.BDH($C$278,"EPS_DILUTED_SEQUENTIAL_GROWTH","FY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288" s="2" t="e">
        <f ca="1">_xll.BDH($C$278,"DPS_SEQUENTIAL_GROWTH","FY 2016","FY 2016","Currency=INR","Period=FY","BEST_FPERIOD_OVERRIDE=FY","FILING_STATUS=OR","EQY_CONSOLIDATED=Y","Sort=A","Dates=H","DateFormat=P","Fill=—","Direction=H","UseDPDF=Y")</f>
        <v>#NAME?</v>
      </c>
      <c r="BL288" s="2" t="e">
        <f ca="1">_xll.BDH($C$278,"ACCOUNTS_RECEIVABLE_SEQ_GROWTH","FY 2016","FY 2016","Currency=INR","Period=FY","BEST_FPERIOD_OVERRIDE=FY","FILING_STATUS=OR","EQY_CONSOLIDATED=Y","Sort=A","Dates=H","DateFormat=P","Fill=—","Direction=H","UseDPDF=Y")</f>
        <v>#NAME?</v>
      </c>
      <c r="BM288" s="2" t="e">
        <f ca="1">_xll.BDH($C$278,"INVENTORY_SEQUENTIAL_GROWTH","FY 2016","FY 2016","Currency=INR","Period=FY","BEST_FPERIOD_OVERRIDE=FY","FILING_STATUS=OR","EQY_CONSOLIDATED=Y","Sort=A","Dates=H","DateFormat=P","Fill=—","Direction=H","UseDPDF=Y")</f>
        <v>#NAME?</v>
      </c>
      <c r="BN288" s="2" t="e">
        <f ca="1">_xll.BDH($C$278,"FIXED_ASSETS_SEQUENTIAL_GROWTH","FY 2016","FY 2016","Currency=INR","Period=FY","BEST_FPERIOD_OVERRIDE=FY","FILING_STATUS=OR","EQY_CONSOLIDATED=Y","Sort=A","Dates=H","DateFormat=P","Fill=—","Direction=H","UseDPDF=Y")</f>
        <v>#NAME?</v>
      </c>
      <c r="BO288" s="2" t="e">
        <f ca="1">_xll.BDH($C$278,"TOTAL_ASSETS_SEQUENTIAL_GROWTH","FY 2016","FY 2016","Currency=INR","Period=FY","BEST_FPERIOD_OVERRIDE=FY","FILING_STATUS=OR","EQY_CONSOLIDATED=Y","Sort=A","Dates=H","DateFormat=P","Fill=—","Direction=H","UseDPDF=Y")</f>
        <v>#NAME?</v>
      </c>
      <c r="BP288" s="2" t="e">
        <f ca="1">_xll.BDH($C$278,"MODIFIED_WORKING_CPTL_SEQ_GRWTH","FY 2016","FY 2016","Currency=INR","Period=FY","BEST_FPERIOD_OVERRIDE=FY","FILING_STATUS=OR","EQY_CONSOLIDATED=Y","Sort=A","Dates=H","DateFormat=P","Fill=—","Direction=H","UseDPDF=Y")</f>
        <v>#NAME?</v>
      </c>
      <c r="BQ288" s="2" t="e">
        <f ca="1">_xll.BDH($C$278,"WORKING_CAPITAL_SEQ_GROWTH","FY 2016","FY 2016","Currency=INR","Period=FY","BEST_FPERIOD_OVERRIDE=FY","FILING_STATUS=OR","EQY_CONSOLIDATED=Y","Sort=A","Dates=H","DateFormat=P","Fill=—","Direction=H","UseDPDF=Y")</f>
        <v>#NAME?</v>
      </c>
      <c r="BR288" s="2" t="e">
        <f ca="1">_xll.BDH($C$278,"ACCOUNTS_PAYABLE_SEQ_GROWTH","FY 2016","FY 2016","Currency=INR","Period=FY","BEST_FPERIOD_OVERRIDE=FY","FILING_STATUS=OR","EQY_CONSOLIDATED=Y","Sort=A","Dates=H","DateFormat=P","Fill=—","Direction=H","UseDPDF=Y")</f>
        <v>#NAME?</v>
      </c>
      <c r="BS288" s="2" t="e">
        <f ca="1">_xll.BDH($C$278,"ST_DEBT_SEQUENTIAL_GROWTH","FY 2016","FY 2016","Currency=INR","Period=FY","BEST_FPERIOD_OVERRIDE=FY","FILING_STATUS=OR","EQY_CONSOLIDATED=Y","Sort=A","Dates=H","DateFormat=P","Fill=—","Direction=H","UseDPDF=Y")</f>
        <v>#NAME?</v>
      </c>
      <c r="BT288" s="2" t="e">
        <f ca="1">_xll.BDH($C$278,"TOTAL_DEBT_SEQUENTIAL_GROWTH","FY 2016","FY 2016","Currency=INR","Period=FY","BEST_FPERIOD_OVERRIDE=FY","FILING_STATUS=OR","EQY_CONSOLIDATED=Y","Sort=A","Dates=H","DateFormat=P","Fill=—","Direction=H","UseDPDF=Y")</f>
        <v>#NAME?</v>
      </c>
      <c r="BU288" s="2" t="e">
        <f ca="1">_xll.BDH($C$278,"TOTAL_EQUITY_SEQUENTIAL_GROWTH","FY 2016","FY 2016","Currency=INR","Period=FY","BEST_FPERIOD_OVERRIDE=FY","FILING_STATUS=OR","EQY_CONSOLIDATED=Y","Sort=A","Dates=H","DateFormat=P","Fill=—","Direction=H","UseDPDF=Y")</f>
        <v>#NAME?</v>
      </c>
      <c r="BV288" s="2" t="e">
        <f ca="1">_xll.BDH($C$278,"TOTAL_CAPITAL_SEQUENTIAL_GROWTH","FY 2016","FY 2016","Currency=INR","Period=FY","BEST_FPERIOD_OVERRIDE=FY","FILING_STATUS=OR","EQY_CONSOLIDATED=Y","Sort=A","Dates=H","DateFormat=P","Fill=—","Direction=H","UseDPDF=Y")</f>
        <v>#NAME?</v>
      </c>
      <c r="BW288" s="2" t="e">
        <f ca="1">_xll.BDH($C$278,"BPS_SEQUENTIAL_GROWTH","FY 2016","FY 2016","Currency=INR","Period=FY","BEST_FPERIOD_OVERRIDE=FY","FILING_STATUS=OR","EQY_CONSOLIDATED=Y","Sort=A","Dates=H","DateFormat=P","Fill=—","Direction=H","UseDPDF=Y")</f>
        <v>#NAME?</v>
      </c>
      <c r="BX288" s="2" t="e">
        <f ca="1">_xll.BDH($C$278,"CFO_SEQUENTIAL_GROWTH","FY 2016","FY 2016","Currency=INR","Period=FY","BEST_FPERIOD_OVERRIDE=FY","FILING_STATUS=OR","EQY_CONSOLIDATED=Y","Sort=A","Dates=H","DateFormat=P","Fill=—","Direction=H","UseDPDF=Y")</f>
        <v>#NAME?</v>
      </c>
      <c r="BY288" s="3" t="e">
        <f ca="1">_xll.BDH($C$278,"SHORT_AND_LONG_TERM_DEBT","FY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288" s="3" t="e">
        <f ca="1">_xll.BDH($C$278,"BS_ST_BORROW","FY 2016","FY 2016","Currency=INR","Period=FY","BEST_FPERIOD_OVERRIDE=FY","FILING_STATUS=OR","EQY_CONSOLIDATED=Y","SCALING_FORMAT=MLN","Sort=A","Dates=H","DateFormat=P","Fill=—","Direction=H","UseDPDF=Y")</f>
        <v>#NAME?</v>
      </c>
      <c r="CA288" s="3" t="e">
        <f ca="1">_xll.BDH($C$278,"BS_LT_BORROW","FY 2016","FY 2016","Currency=INR","Period=FY","BEST_FPERIOD_OVERRIDE=FY","FILING_STATUS=OR","EQY_CONSOLIDATED=Y","SCALING_FORMAT=MLN","Sort=A","Dates=H","DateFormat=P","Fill=—","Direction=H","UseDPDF=Y")</f>
        <v>#NAME?</v>
      </c>
      <c r="CB288" s="2" t="e">
        <f ca="1">_xll.BDH($C$278,"TOT_DEBT_TO_EBITDA","FY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288" s="2" t="e">
        <f ca="1">_xll.BDH($C$278,"NET_DEBT_TO_EBITDA","FY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288" s="2" t="e">
        <f ca="1">_xll.BDH($C$278,"TOTAL_DEBT_TO_EBIT","FY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288" s="2" t="e">
        <f ca="1">_xll.BDH($C$278,"NET_DEBT_TO_EBIT","FY 2016","FY 2016","Currency=INR","Period=FY","BEST_FPERIOD_OVERRIDE=FY","FILING_STATUS=OR","EQY_CONSOLIDATED=Y","FA_ADJUSTED=GAAP","Sort=A","Dates=H","DateFormat=P","Fill=—","Direction=H","UseDPDF=Y")</f>
        <v>#NAME?</v>
      </c>
      <c r="CF288" s="2" t="e">
        <f ca="1">_xll.BDH($C$278,"EBITDA_TO_INTEREST_EXPN","FY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288" s="2" t="e">
        <f ca="1">_xll.BDH($C$278,"COM_EQY_TO_TOT_ASSET","FY 2016","FY 2016","Currency=INR","Period=FY","BEST_FPERIOD_OVERRIDE=FY","FILING_STATUS=OR","EQY_CONSOLIDATED=Y","Sort=A","Dates=H","DateFormat=P","Fill=—","Direction=H","UseDPDF=Y")</f>
        <v>#NAME?</v>
      </c>
      <c r="CH288" s="2" t="e">
        <f ca="1">_xll.BDH($C$278,"LT_DEBT_TO_TOT_EQY","FY 2016","FY 2016","Currency=INR","Period=FY","BEST_FPERIOD_OVERRIDE=FY","FILING_STATUS=OR","EQY_CONSOLIDATED=Y","Sort=A","Dates=H","DateFormat=P","Fill=—","Direction=H","UseDPDF=Y")</f>
        <v>#NAME?</v>
      </c>
      <c r="CI288" s="2" t="e">
        <f ca="1">_xll.BDH($C$278,"LT_DEBT_TO_TOT_CAP","FY 2016","FY 2016","Currency=INR","Period=FY","BEST_FPERIOD_OVERRIDE=FY","FILING_STATUS=OR","EQY_CONSOLIDATED=Y","Sort=A","Dates=H","DateFormat=P","Fill=—","Direction=H","UseDPDF=Y")</f>
        <v>#NAME?</v>
      </c>
      <c r="CJ288" s="2" t="e">
        <f ca="1">_xll.BDH($C$278,"LT_DEBT_TO_TOT_ASSET","FY 2016","FY 2016","Currency=INR","Period=FY","BEST_FPERIOD_OVERRIDE=FY","FILING_STATUS=OR","EQY_CONSOLIDATED=Y","Sort=A","Dates=H","DateFormat=P","Fill=—","Direction=H","UseDPDF=Y")</f>
        <v>#NAME?</v>
      </c>
      <c r="CK288" s="2" t="e">
        <f ca="1">_xll.BDH($C$278,"TOT_DEBT_TO_TOT_EQY","FY 2016","FY 2016","Currency=INR","Period=FY","BEST_FPERIOD_OVERRIDE=FY","FILING_STATUS=OR","EQY_CONSOLIDATED=Y","Sort=A","Dates=H","DateFormat=P","Fill=—","Direction=H","UseDPDF=Y")</f>
        <v>#NAME?</v>
      </c>
      <c r="CL288" s="2" t="e">
        <f ca="1">_xll.BDH($C$278,"TOT_DEBT_TO_TOT_CAP","FY 2016","FY 2016","Currency=INR","Period=FY","BEST_FPERIOD_OVERRIDE=FY","FILING_STATUS=OR","EQY_CONSOLIDATED=Y","Sort=A","Dates=H","DateFormat=P","Fill=—","Direction=H","UseDPDF=Y")</f>
        <v>#NAME?</v>
      </c>
      <c r="CM288" s="2" t="e">
        <f ca="1">_xll.BDH($C$278,"TOT_DEBT_TO_TOT_ASSET","FY 2016","FY 2016","Currency=INR","Period=FY","BEST_FPERIOD_OVERRIDE=FY","FILING_STATUS=OR","EQY_CONSOLIDATED=Y","Sort=A","Dates=H","DateFormat=P","Fill=—","Direction=H","UseDPDF=Y")</f>
        <v>#NAME?</v>
      </c>
      <c r="CN288" s="2" t="e">
        <f ca="1">_xll.BDH($C$278,"NET_DEBT_TO_SHRHLDR_EQTY","FY 2016","FY 2016","Currency=INR","Period=FY","BEST_FPERIOD_OVERRIDE=FY","FILING_STATUS=OR","EQY_CONSOLIDATED=Y","Sort=A","Dates=H","DateFormat=P","Fill=—","Direction=H","UseDPDF=Y")</f>
        <v>#NAME?</v>
      </c>
      <c r="CO288" s="2" t="e">
        <f ca="1">_xll.BDH($C$278,"NET_DEBT_%_CAPITAL","FY 2016","FY 2016","Currency=INR","Period=FY","BEST_FPERIOD_OVERRIDE=FY","FILING_STATUS=OR","EQY_CONSOLIDATED=Y","Sort=A","Dates=H","DateFormat=P","Fill=—","Direction=H","UseDPDF=Y")</f>
        <v>#NAME?</v>
      </c>
      <c r="CP288" s="3" t="e">
        <f ca="1">_xll.BDH($C$278,"EBITDA","FY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288" s="3" t="e">
        <f ca="1">_xll.BDH($C$278,"EBITDA_AFTER_CAPEX","FY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288" s="3" t="e">
        <f ca="1">_xll.BDH($C$278,"IS_OPER_INC","FY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288" s="2" t="e">
        <f ca="1">_xll.BDH($C$278,"CASH_RATIO","FY 2016","FY 2016","Currency=INR","Period=FY","BEST_FPERIOD_OVERRIDE=FY","FILING_STATUS=OR","EQY_CONSOLIDATED=Y","Sort=A","Dates=H","DateFormat=P","Fill=—","Direction=H","UseDPDF=Y")</f>
        <v>#NAME?</v>
      </c>
      <c r="CT288" s="2" t="e">
        <f ca="1">_xll.BDH($C$278,"CUR_RATIO","FY 2016","FY 2016","Currency=INR","Period=FY","BEST_FPERIOD_OVERRIDE=FY","FILING_STATUS=OR","EQY_CONSOLIDATED=Y","Sort=A","Dates=H","DateFormat=P","Fill=—","Direction=H","UseDPDF=Y")</f>
        <v>#NAME?</v>
      </c>
      <c r="CU288" s="2" t="e">
        <f ca="1">_xll.BDH($C$278,"QUICK_RATIO","FY 2016","FY 2016","Currency=INR","Period=FY","BEST_FPERIOD_OVERRIDE=FY","FILING_STATUS=OR","EQY_CONSOLIDATED=Y","Sort=A","Dates=H","DateFormat=P","Fill=—","Direction=H","UseDPDF=Y")</f>
        <v>#NAME?</v>
      </c>
      <c r="CV288" s="2" t="e">
        <f ca="1">_xll.BDH($C$278,"ALTMAN_Z_SCORE","FY 2016","FY 2016","Currency=INR","Period=FY","BEST_FPERIOD_OVERRIDE=FY","FILING_STATUS=OR","EQY_CONSOLIDATED=Y","Sort=A","Dates=H","DateFormat=P","Fill=—","Direction=H","UseDPDF=Y")</f>
        <v>#NAME?</v>
      </c>
      <c r="CW288" s="4" t="e">
        <f ca="1">_xll.BDH($C$278,"ACCT_RCV_TURN","FY 2016","FY 2016","Currency=INR","Period=FY","BEST_FPERIOD_OVERRIDE=FY","FILING_STATUS=OR","EQY_CONSOLIDATED=Y","FA_ADJUSTED=GAAP","Sort=A","Dates=H","DateFormat=P","Fill=—","Direction=H","UseDPDF=Y")</f>
        <v>#NAME?</v>
      </c>
      <c r="CX288" s="2" t="e">
        <f ca="1">_xll.BDH($C$278,"ACCT_RCV_DAYS","FY 2016","FY 2016","Currency=INR","Period=FY","BEST_FPERIOD_OVERRIDE=FY","FILING_STATUS=OR","EQY_CONSOLIDATED=Y","FA_ADJUSTED=GAAP","Sort=A","Dates=H","DateFormat=P","Fill=—","Direction=H","UseDPDF=Y")</f>
        <v>#NAME?</v>
      </c>
      <c r="CY288" s="4" t="e">
        <f ca="1">_xll.BDH($C$278,"INVENT_TURN","FY 2016","FY 2016","Currency=INR","Period=FY","BEST_FPERIOD_OVERRIDE=FY","FILING_STATUS=OR","EQY_CONSOLIDATED=Y","FA_ADJUSTED=GAAP","Sort=A","Dates=H","DateFormat=P","Fill=—","Direction=H","UseDPDF=Y")</f>
        <v>#NAME?</v>
      </c>
      <c r="CZ288" s="2" t="e">
        <f ca="1">_xll.BDH($C$278,"INVENT_DAYS","FY 2016","FY 2016","Currency=INR","Period=FY","BEST_FPERIOD_OVERRIDE=FY","FILING_STATUS=OR","EQY_CONSOLIDATED=Y","FA_ADJUSTED=GAAP","Sort=A","Dates=H","DateFormat=P","Fill=—","Direction=H","UseDPDF=Y")</f>
        <v>#NAME?</v>
      </c>
      <c r="DA288" s="4" t="e">
        <f ca="1">_xll.BDH($C$278,"ACCOUNTS_PAYABLE_TURNOVER","FY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288" s="2" t="e">
        <f ca="1">_xll.BDH($C$278,"ACCOUNTS_PAYABLE_TURNOVER_DAYS","FY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288" s="4" t="e">
        <f ca="1">_xll.BDH($C$278,"CASH_CONVERSION_CYCLE","FY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288" s="4" t="e">
        <f ca="1">_xll.BDH($C$278,"INV_TO_CASH_DAYS","FY 2016","FY 2016","Currency=INR","Period=FY","BEST_FPERIOD_OVERRIDE=FY","FILING_STATUS=OR","EQY_CONSOLIDATED=Y","FA_ADJUSTED=GAAP","Sort=A","Dates=H","DateFormat=P","Fill=—","Direction=H","UseDPDF=Y")</f>
        <v>#NAME?</v>
      </c>
      <c r="DE288" s="5" t="e">
        <f ca="1">_xll.BDH($C$278,"BS_INVENTORIES","FY 2016","FY 2016","Currency=INR","Period=FY","BEST_FPERIOD_OVERRIDE=FY","FILING_STATUS=OR","EQY_CONSOLIDATED=Y","SCALING_FORMAT=MLN","Sort=A","Dates=H","DateFormat=P","Fill=—","Direction=H","UseDPDF=Y")</f>
        <v>#NAME?</v>
      </c>
      <c r="DF288" s="3" t="e">
        <f ca="1">_xll.BDH($C$278,"INVTRY_RAW_MATERIALS","FY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288" s="3" t="e">
        <f ca="1">_xll.BDH($C$278,"INVTRY_IN_PROGRESS","FY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288" s="3" t="e">
        <f ca="1">_xll.BDH($C$278,"INVTRY_FINISHED_GOODS","FY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288" s="3" t="e">
        <f ca="1">_xll.BDH($C$278,"BS_OTHER_INV","FY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289" spans="1:113" x14ac:dyDescent="0.3">
      <c r="A289" s="6"/>
      <c r="B289" s="6"/>
      <c r="C289" s="6"/>
      <c r="D289" s="6"/>
      <c r="E289" t="s">
        <v>78</v>
      </c>
      <c r="F289" t="e">
        <f ca="1">_xll.BDH($C$278,"RETURN_COM_EQY","FQ1 2016","FQ1 2016","Currency=INR","Period=FQ","BEST_FPERIOD_OVERRIDE=FQ","FILING_STATUS=OR","EQY_CONSOLIDATED=Y","FA_ADJUSTED=GAAP","Sort=A","Dates=H","DateFormat=P","Fill=—","Direction=H","UseDPDF=Y")</f>
        <v>#NAME?</v>
      </c>
      <c r="G289" t="e">
        <f ca="1">_xll.BDH($C$278,"RETURN_ON_ASSET","FQ1 2016","FQ1 2016","Currency=INR","Period=FQ","BEST_FPERIOD_OVERRIDE=FQ","FILING_STATUS=OR","EQY_CONSOLIDATED=Y","FA_ADJUSTED=GAAP","Sort=A","Dates=H","DateFormat=P","Fill=—","Direction=H","UseDPDF=Y")</f>
        <v>#NAME?</v>
      </c>
      <c r="H289" t="e">
        <f ca="1">_xll.BDH($C$278,"RETURN_ON_CAP","FQ1 2016","FQ1 2016","Currency=INR","Period=FQ","BEST_FPERIOD_OVERRIDE=FQ","FILING_STATUS=OR","EQY_CONSOLIDATED=Y","FA_ADJUSTED=GAAP","Sort=A","Dates=H","DateFormat=P","Fill=—","Direction=H","UseDPDF=Y")</f>
        <v>#NAME?</v>
      </c>
      <c r="I289" t="e">
        <f ca="1">_xll.BDH($C$278,"RETURN_ON_INV_CAPITAL","FQ1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289" t="e">
        <f ca="1">_xll.BDH($C$278,"EBITDA_TO_REVENUE","FQ1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289" t="e">
        <f ca="1">_xll.BDH($C$278,"OPER_MARGIN","FQ1 2016","FQ1 2016","Currency=INR","Period=FQ","BEST_FPERIOD_OVERRIDE=FQ","FILING_STATUS=OR","EQY_CONSOLIDATED=Y","FA_ADJUSTED=GAAP","Sort=A","Dates=H","DateFormat=P","Fill=—","Direction=H","UseDPDF=Y")</f>
        <v>#NAME?</v>
      </c>
      <c r="L289" t="e">
        <f ca="1">_xll.BDH($C$278,"INCREMENTAL_OPERATING_MARGIN","FQ1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289" t="e">
        <f ca="1">_xll.BDH($C$278,"PRETAX_INC_TO_NET_SALES","FQ1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289" t="e">
        <f ca="1">_xll.BDH($C$278,"INC_BEF_XO_ITEMS_TO_NET_SALES","FQ1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289" t="e">
        <f ca="1">_xll.BDH($C$278,"PROF_MARGIN","FQ1 2016","FQ1 2016","Currency=INR","Period=FQ","BEST_FPERIOD_OVERRIDE=FQ","FILING_STATUS=OR","EQY_CONSOLIDATED=Y","FA_ADJUSTED=GAAP","Sort=A","Dates=H","DateFormat=P","Fill=—","Direction=H","UseDPDF=Y")</f>
        <v>#NAME?</v>
      </c>
      <c r="P289" t="e">
        <f ca="1">_xll.BDH($C$278,"NET_INCOME_TO_COMMON_MARGIN","FQ1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289" t="e">
        <f ca="1">_xll.BDH($C$278,"EFF_TAX_RATE","FQ1 2016","FQ1 2016","Currency=INR","Period=FQ","BEST_FPERIOD_OVERRIDE=FQ","FILING_STATUS=OR","EQY_CONSOLIDATED=Y","FA_ADJUSTED=GAAP","Sort=A","Dates=H","DateFormat=P","Fill=—","Direction=H","UseDPDF=Y")</f>
        <v>#NAME?</v>
      </c>
      <c r="R289" t="e">
        <f ca="1">_xll.BDH($C$278,"DVD_PAYOUT_RATIO","FQ1 2016","FQ1 2016","Currency=INR","Period=FQ","BEST_FPERIOD_OVERRIDE=FQ","FILING_STATUS=OR","EQY_CONSOLIDATED=Y","FA_ADJUSTED=GAAP","Sort=A","Dates=H","DateFormat=P","Fill=—","Direction=H","UseDPDF=Y")</f>
        <v>#NAME?</v>
      </c>
      <c r="S289" t="e">
        <f ca="1">_xll.BDH($C$278,"SUSTAIN_GROWTH_RT","FQ1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289" s="2" t="e">
        <f ca="1">_xll.BDH($C$278,"SALES_GROWTH","FQ1 2016","FQ1 2016","Currency=INR","Period=FQ","BEST_FPERIOD_OVERRIDE=FQ","FILING_STATUS=OR","EQY_CONSOLIDATED=Y","FA_ADJUSTED=GAAP","Sort=A","Dates=H","DateFormat=P","Fill=—","Direction=H","UseDPDF=Y")</f>
        <v>#NAME?</v>
      </c>
      <c r="U289" s="2" t="e">
        <f ca="1">_xll.BDH($C$278,"EBITDA_GROWTH","FQ1 2016","FQ1 2016","Currency=INR","Period=FQ","BEST_FPERIOD_OVERRIDE=FQ","FILING_STATUS=OR","EQY_CONSOLIDATED=Y","FA_ADJUSTED=GAAP","Sort=A","Dates=H","DateFormat=P","Fill=—","Direction=H","UseDPDF=Y")</f>
        <v>#NAME?</v>
      </c>
      <c r="V289" s="2" t="e">
        <f ca="1">_xll.BDH($C$278,"OPER_INC_GROWTH","FQ1 2016","FQ1 2016","Currency=INR","Period=FQ","BEST_FPERIOD_OVERRIDE=FQ","FILING_STATUS=OR","EQY_CONSOLIDATED=Y","FA_ADJUSTED=GAAP","Sort=A","Dates=H","DateFormat=P","Fill=—","Direction=H","UseDPDF=Y")</f>
        <v>#NAME?</v>
      </c>
      <c r="W289" s="2" t="e">
        <f ca="1">_xll.BDH($C$278,"EARN_FOR_COM_GROWTH","FQ1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289" s="2" t="e">
        <f ca="1">_xll.BDH($C$278,"DILUTED_EPS_AFT_XO_ITEMS_GROWTH","FQ1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289" s="2" t="e">
        <f ca="1">_xll.BDH($C$278,"DIVIDEND_PER_SHARE_1_YEAR_GROWTH","FQ1 2016","FQ1 2016","Currency=INR","Period=FQ","BEST_FPERIOD_OVERRIDE=FQ","FILING_STATUS=OR","EQY_CONSOLIDATED=Y","Sort=A","Dates=H","DateFormat=P","Fill=—","Direction=H","UseDPDF=Y")</f>
        <v>#NAME?</v>
      </c>
      <c r="Z289" s="2" t="e">
        <f ca="1">_xll.BDH($C$278,"ACCOUNTS_RECEIVABLE_GROWTH","FQ1 2016","FQ1 2016","Currency=INR","Period=FQ","BEST_FPERIOD_OVERRIDE=FQ","FILING_STATUS=OR","EQY_CONSOLIDATED=Y","Sort=A","Dates=H","DateFormat=P","Fill=—","Direction=H","UseDPDF=Y")</f>
        <v>#NAME?</v>
      </c>
      <c r="AA289" s="2" t="e">
        <f ca="1">_xll.BDH($C$278,"INVENTORY_GROWTH","FQ1 2016","FQ1 2016","Currency=INR","Period=FQ","BEST_FPERIOD_OVERRIDE=FQ","FILING_STATUS=OR","EQY_CONSOLIDATED=Y","Sort=A","Dates=H","DateFormat=P","Fill=—","Direction=H","UseDPDF=Y")</f>
        <v>#NAME?</v>
      </c>
      <c r="AB289" s="2" t="e">
        <f ca="1">_xll.BDH($C$278,"NET_FIXED_ASSETS_1_YEAR_GROWTH","FQ1 2016","FQ1 2016","Currency=INR","Period=FQ","BEST_FPERIOD_OVERRIDE=FQ","FILING_STATUS=OR","EQY_CONSOLIDATED=Y","Sort=A","Dates=H","DateFormat=P","Fill=—","Direction=H","UseDPDF=Y")</f>
        <v>#NAME?</v>
      </c>
      <c r="AC289" s="2" t="e">
        <f ca="1">_xll.BDH($C$278,"ASSET_GROWTH","FQ1 2016","FQ1 2016","Currency=INR","Period=FQ","BEST_FPERIOD_OVERRIDE=FQ","FILING_STATUS=OR","EQY_CONSOLIDATED=Y","Sort=A","Dates=H","DateFormat=P","Fill=—","Direction=H","UseDPDF=Y")</f>
        <v>#NAME?</v>
      </c>
      <c r="AD289" s="2" t="e">
        <f ca="1">_xll.BDH($C$278,"MODIFIED_WORK_CAP_GROWTH","FQ1 2016","FQ1 2016","Currency=INR","Period=FQ","BEST_FPERIOD_OVERRIDE=FQ","FILING_STATUS=OR","EQY_CONSOLIDATED=Y","Sort=A","Dates=H","DateFormat=P","Fill=—","Direction=H","UseDPDF=Y")</f>
        <v>#NAME?</v>
      </c>
      <c r="AE289" s="2" t="e">
        <f ca="1">_xll.BDH($C$278,"WORK_CAP_GROWTH","FQ1 2016","FQ1 2016","Currency=INR","Period=FQ","BEST_FPERIOD_OVERRIDE=FQ","FILING_STATUS=OR","EQY_CONSOLIDATED=Y","Sort=A","Dates=H","DateFormat=P","Fill=—","Direction=H","UseDPDF=Y")</f>
        <v>#NAME?</v>
      </c>
      <c r="AF289" s="2" t="e">
        <f ca="1">_xll.BDH($C$278,"ACCOUNTS_PAYABLE_GROWTH_1YR","FQ1 2016","FQ1 2016","Currency=INR","Period=FQ","BEST_FPERIOD_OVERRIDE=FQ","FILING_STATUS=OR","EQY_CONSOLIDATED=Y","Sort=A","Dates=H","DateFormat=P","Fill=—","Direction=H","UseDPDF=Y")</f>
        <v>#NAME?</v>
      </c>
      <c r="AG289" s="2" t="e">
        <f ca="1">_xll.BDH($C$278,"SHORT_TERM_DEBT_1_YEAR_GROWTH","FQ1 2016","FQ1 2016","Currency=INR","Period=FQ","BEST_FPERIOD_OVERRIDE=FQ","FILING_STATUS=OR","EQY_CONSOLIDATED=Y","Sort=A","Dates=H","DateFormat=P","Fill=—","Direction=H","UseDPDF=Y")</f>
        <v>#NAME?</v>
      </c>
      <c r="AH289" s="2" t="e">
        <f ca="1">_xll.BDH($C$278,"TOTAL_DEBT_1_YEAR_GROWTH","FQ1 2016","FQ1 2016","Currency=INR","Period=FQ","BEST_FPERIOD_OVERRIDE=FQ","FILING_STATUS=OR","EQY_CONSOLIDATED=Y","Sort=A","Dates=H","DateFormat=P","Fill=—","Direction=H","UseDPDF=Y")</f>
        <v>#NAME?</v>
      </c>
      <c r="AI289" s="2" t="e">
        <f ca="1">_xll.BDH($C$278,"TOTAL_EQUITY_1_YEAR_GROWTH","FQ1 2016","FQ1 2016","Currency=INR","Period=FQ","BEST_FPERIOD_OVERRIDE=FQ","FILING_STATUS=OR","EQY_CONSOLIDATED=Y","Sort=A","Dates=H","DateFormat=P","Fill=—","Direction=H","UseDPDF=Y")</f>
        <v>#NAME?</v>
      </c>
      <c r="AJ289" s="2" t="e">
        <f ca="1">_xll.BDH($C$278,"GROWTH_IN_CAP","FQ1 2016","FQ1 2016","Currency=INR","Period=FQ","BEST_FPERIOD_OVERRIDE=FQ","FILING_STATUS=OR","EQY_CONSOLIDATED=Y","Sort=A","Dates=H","DateFormat=P","Fill=—","Direction=H","UseDPDF=Y")</f>
        <v>#NAME?</v>
      </c>
      <c r="AK289" s="2" t="e">
        <f ca="1">_xll.BDH($C$278,"BVPS_GROWTH","FQ1 2016","FQ1 2016","Currency=INR","Period=FQ","BEST_FPERIOD_OVERRIDE=FQ","FILING_STATUS=OR","EQY_CONSOLIDATED=Y","Sort=A","Dates=H","DateFormat=P","Fill=—","Direction=H","UseDPDF=Y")</f>
        <v>#NAME?</v>
      </c>
      <c r="AL289" s="2" t="e">
        <f ca="1">_xll.BDH($C$278,"CASH_FLOW_GROWTH","FQ1 2016","FQ1 2016","Currency=INR","Period=FQ","BEST_FPERIOD_OVERRIDE=FQ","FILING_STATUS=OR","EQY_CONSOLIDATED=Y","Sort=A","Dates=H","DateFormat=P","Fill=—","Direction=H","UseDPDF=Y")</f>
        <v>#NAME?</v>
      </c>
      <c r="AM289" s="2" t="e">
        <f ca="1">_xll.BDH($C$278,"GEO_GROW_NET_SALES","FQ1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289" s="2" t="e">
        <f ca="1">_xll.BDH($C$278,"GEO_GROW_EBITDA","FQ1 2016","FQ1 2016","Currency=INR","Period=FQ","BEST_FPERIOD_OVERRIDE=FQ","FILING_STATUS=OR","EQY_CONSOLIDATED=Y","FA_ADJUSTED=GAAP","Sort=A","Dates=H","DateFormat=P","Fill=—","Direction=H","UseDPDF=Y")</f>
        <v>#NAME?</v>
      </c>
      <c r="AO289" s="2" t="e">
        <f ca="1">_xll.BDH($C$278,"GEO_GROW_OPER_INC","FQ1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289" s="2" t="e">
        <f ca="1">_xll.BDH($C$278,"NET_INCOME_TO_COMMON_5_YR_GROWTH","FQ1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289" s="2" t="e">
        <f ca="1">_xll.BDH($C$278,"5Y_GEO_GROWTH_DILUTED_EPS","FQ1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289" s="2" t="e">
        <f ca="1">_xll.BDH($C$278,"GEO_GROW_DVD_PER_SH","FQ1 2016","FQ1 2016","Currency=INR","Period=FQ","BEST_FPERIOD_OVERRIDE=FQ","FILING_STATUS=OR","EQY_CONSOLIDATED=Y","Sort=A","Dates=H","DateFormat=P","Fill=—","Direction=H","UseDPDF=Y")</f>
        <v>#NAME?</v>
      </c>
      <c r="AS289" s="2" t="e">
        <f ca="1">_xll.BDH($C$278,"ACCOUNTS_RECEIVABLE_5_YR_GROWTH","FQ1 2016","FQ1 2016","Currency=INR","Period=FQ","BEST_FPERIOD_OVERRIDE=FQ","FILING_STATUS=OR","EQY_CONSOLIDATED=Y","Sort=A","Dates=H","DateFormat=P","Fill=—","Direction=H","UseDPDF=Y")</f>
        <v>#NAME?</v>
      </c>
      <c r="AT289" s="2" t="e">
        <f ca="1">_xll.BDH($C$278,"INVENTORY_5_YEAR_GROWTH","FQ1 2016","FQ1 2016","Currency=INR","Period=FQ","BEST_FPERIOD_OVERRIDE=FQ","FILING_STATUS=OR","EQY_CONSOLIDATED=Y","Sort=A","Dates=H","DateFormat=P","Fill=—","Direction=H","UseDPDF=Y")</f>
        <v>#NAME?</v>
      </c>
      <c r="AU289" s="2" t="e">
        <f ca="1">_xll.BDH($C$278,"NET_FIXED_ASSETS_5_YEAR_GROWTH","FQ1 2016","FQ1 2016","Currency=INR","Period=FQ","BEST_FPERIOD_OVERRIDE=FQ","FILING_STATUS=OR","EQY_CONSOLIDATED=Y","Sort=A","Dates=H","DateFormat=P","Fill=—","Direction=H","UseDPDF=Y")</f>
        <v>#NAME?</v>
      </c>
      <c r="AV289" s="2" t="e">
        <f ca="1">_xll.BDH($C$278,"GEO_GROW_TOT_ASSET","FQ1 2016","FQ1 2016","Currency=INR","Period=FQ","BEST_FPERIOD_OVERRIDE=FQ","FILING_STATUS=OR","EQY_CONSOLIDATED=Y","Sort=A","Dates=H","DateFormat=P","Fill=—","Direction=H","UseDPDF=Y")</f>
        <v>#NAME?</v>
      </c>
      <c r="AW289" s="2" t="e">
        <f ca="1">_xll.BDH($C$278,"MODIFIED_WORKING_CPTL_5YR_GRWTH","FQ1 2016","FQ1 2016","Currency=INR","Period=FQ","BEST_FPERIOD_OVERRIDE=FQ","FILING_STATUS=OR","EQY_CONSOLIDATED=Y","Sort=A","Dates=H","DateFormat=P","Fill=—","Direction=H","UseDPDF=Y")</f>
        <v>#NAME?</v>
      </c>
      <c r="AX289" s="2" t="e">
        <f ca="1">_xll.BDH($C$278,"WORKING_CAPITAL_5_YEAR_GROWTH","FQ1 2016","FQ1 2016","Currency=INR","Period=FQ","BEST_FPERIOD_OVERRIDE=FQ","FILING_STATUS=OR","EQY_CONSOLIDATED=Y","Sort=A","Dates=H","DateFormat=P","Fill=—","Direction=H","UseDPDF=Y")</f>
        <v>#NAME?</v>
      </c>
      <c r="AY289" s="2" t="e">
        <f ca="1">_xll.BDH($C$278,"ACCOUNTS_PAYABLE_5_YEAR_GROWTH","FQ1 2016","FQ1 2016","Currency=INR","Period=FQ","BEST_FPERIOD_OVERRIDE=FQ","FILING_STATUS=OR","EQY_CONSOLIDATED=Y","Sort=A","Dates=H","DateFormat=P","Fill=—","Direction=H","UseDPDF=Y")</f>
        <v>#NAME?</v>
      </c>
      <c r="AZ289" s="2" t="e">
        <f ca="1">_xll.BDH($C$278,"SHORT_TERM_DEBT_5_YEAR_GROWTH","FQ1 2016","FQ1 2016","Currency=INR","Period=FQ","BEST_FPERIOD_OVERRIDE=FQ","FILING_STATUS=OR","EQY_CONSOLIDATED=Y","Sort=A","Dates=H","DateFormat=P","Fill=—","Direction=H","UseDPDF=Y")</f>
        <v>#NAME?</v>
      </c>
      <c r="BA289" s="2" t="e">
        <f ca="1">_xll.BDH($C$278,"TOTAL_DEBT_5_YEAR_GROWTH","FQ1 2016","FQ1 2016","Currency=INR","Period=FQ","BEST_FPERIOD_OVERRIDE=FQ","FILING_STATUS=OR","EQY_CONSOLIDATED=Y","Sort=A","Dates=H","DateFormat=P","Fill=—","Direction=H","UseDPDF=Y")</f>
        <v>#NAME?</v>
      </c>
      <c r="BB289" s="2" t="e">
        <f ca="1">_xll.BDH($C$278,"GEO_GROW_TOT_SHRHLDR_EQY","FQ1 2016","FQ1 2016","Currency=INR","Period=FQ","BEST_FPERIOD_OVERRIDE=FQ","FILING_STATUS=OR","EQY_CONSOLIDATED=Y","Sort=A","Dates=H","DateFormat=P","Fill=—","Direction=H","UseDPDF=Y")</f>
        <v>#NAME?</v>
      </c>
      <c r="BC289" s="2" t="e">
        <f ca="1">_xll.BDH($C$278,"TOTAL_CAPITAL_5_YEAR_GROWTH","FQ1 2016","FQ1 2016","Currency=INR","Period=FQ","BEST_FPERIOD_OVERRIDE=FQ","FILING_STATUS=OR","EQY_CONSOLIDATED=Y","Sort=A","Dates=H","DateFormat=P","Fill=—","Direction=H","UseDPDF=Y")</f>
        <v>#NAME?</v>
      </c>
      <c r="BD289" s="2" t="e">
        <f ca="1">_xll.BDH($C$278,"GEO_GROW_BOOK_VAL","FQ1 2016","FQ1 2016","Currency=INR","Period=FQ","BEST_FPERIOD_OVERRIDE=FQ","FILING_STATUS=OR","EQY_CONSOLIDATED=Y","Sort=A","Dates=H","DateFormat=P","Fill=—","Direction=H","UseDPDF=Y")</f>
        <v>#NAME?</v>
      </c>
      <c r="BE289" s="2" t="e">
        <f ca="1">_xll.BDH($C$278,"GEO_GROW_CASH_OPER_ACT","FQ1 2016","FQ1 2016","Currency=INR","Period=FQ","BEST_FPERIOD_OVERRIDE=FQ","FILING_STATUS=OR","EQY_CONSOLIDATED=Y","Sort=A","Dates=H","DateFormat=P","Fill=—","Direction=H","UseDPDF=Y")</f>
        <v>#NAME?</v>
      </c>
      <c r="BF289" s="2" t="e">
        <f ca="1">_xll.BDH($C$278,"REVENUE_SEQUENTIAL_GROWTH","FQ1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289" s="2" t="e">
        <f ca="1">_xll.BDH($C$278,"EBITDA_SEQUENTIAL_GROWTH","FQ1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289" s="2" t="e">
        <f ca="1">_xll.BDH($C$278,"OPERATING_INCOME_SEQ_GROWTH","FQ1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289" s="2" t="e">
        <f ca="1">_xll.BDH($C$278,"NET_INCOME_TO_COMMON_SEQ_GROWTH","FQ1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289" s="2" t="e">
        <f ca="1">_xll.BDH($C$278,"EPS_DILUTED_SEQUENTIAL_GROWTH","FQ1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289" s="2" t="e">
        <f ca="1">_xll.BDH($C$278,"DPS_SEQUENTIAL_GROWTH","FQ1 2016","FQ1 2016","Currency=INR","Period=FQ","BEST_FPERIOD_OVERRIDE=FQ","FILING_STATUS=OR","EQY_CONSOLIDATED=Y","Sort=A","Dates=H","DateFormat=P","Fill=—","Direction=H","UseDPDF=Y")</f>
        <v>#NAME?</v>
      </c>
      <c r="BL289" s="2" t="e">
        <f ca="1">_xll.BDH($C$278,"ACCOUNTS_RECEIVABLE_SEQ_GROWTH","FQ1 2016","FQ1 2016","Currency=INR","Period=FQ","BEST_FPERIOD_OVERRIDE=FQ","FILING_STATUS=OR","EQY_CONSOLIDATED=Y","Sort=A","Dates=H","DateFormat=P","Fill=—","Direction=H","UseDPDF=Y")</f>
        <v>#NAME?</v>
      </c>
      <c r="BM289" s="2" t="e">
        <f ca="1">_xll.BDH($C$278,"INVENTORY_SEQUENTIAL_GROWTH","FQ1 2016","FQ1 2016","Currency=INR","Period=FQ","BEST_FPERIOD_OVERRIDE=FQ","FILING_STATUS=OR","EQY_CONSOLIDATED=Y","Sort=A","Dates=H","DateFormat=P","Fill=—","Direction=H","UseDPDF=Y")</f>
        <v>#NAME?</v>
      </c>
      <c r="BN289" s="2" t="e">
        <f ca="1">_xll.BDH($C$278,"FIXED_ASSETS_SEQUENTIAL_GROWTH","FQ1 2016","FQ1 2016","Currency=INR","Period=FQ","BEST_FPERIOD_OVERRIDE=FQ","FILING_STATUS=OR","EQY_CONSOLIDATED=Y","Sort=A","Dates=H","DateFormat=P","Fill=—","Direction=H","UseDPDF=Y")</f>
        <v>#NAME?</v>
      </c>
      <c r="BO289" s="2" t="e">
        <f ca="1">_xll.BDH($C$278,"TOTAL_ASSETS_SEQUENTIAL_GROWTH","FQ1 2016","FQ1 2016","Currency=INR","Period=FQ","BEST_FPERIOD_OVERRIDE=FQ","FILING_STATUS=OR","EQY_CONSOLIDATED=Y","Sort=A","Dates=H","DateFormat=P","Fill=—","Direction=H","UseDPDF=Y")</f>
        <v>#NAME?</v>
      </c>
      <c r="BP289" s="2" t="e">
        <f ca="1">_xll.BDH($C$278,"MODIFIED_WORKING_CPTL_SEQ_GRWTH","FQ1 2016","FQ1 2016","Currency=INR","Period=FQ","BEST_FPERIOD_OVERRIDE=FQ","FILING_STATUS=OR","EQY_CONSOLIDATED=Y","Sort=A","Dates=H","DateFormat=P","Fill=—","Direction=H","UseDPDF=Y")</f>
        <v>#NAME?</v>
      </c>
      <c r="BQ289" s="2" t="e">
        <f ca="1">_xll.BDH($C$278,"WORKING_CAPITAL_SEQ_GROWTH","FQ1 2016","FQ1 2016","Currency=INR","Period=FQ","BEST_FPERIOD_OVERRIDE=FQ","FILING_STATUS=OR","EQY_CONSOLIDATED=Y","Sort=A","Dates=H","DateFormat=P","Fill=—","Direction=H","UseDPDF=Y")</f>
        <v>#NAME?</v>
      </c>
      <c r="BR289" s="2" t="e">
        <f ca="1">_xll.BDH($C$278,"ACCOUNTS_PAYABLE_SEQ_GROWTH","FQ1 2016","FQ1 2016","Currency=INR","Period=FQ","BEST_FPERIOD_OVERRIDE=FQ","FILING_STATUS=OR","EQY_CONSOLIDATED=Y","Sort=A","Dates=H","DateFormat=P","Fill=—","Direction=H","UseDPDF=Y")</f>
        <v>#NAME?</v>
      </c>
      <c r="BS289" s="2" t="e">
        <f ca="1">_xll.BDH($C$278,"ST_DEBT_SEQUENTIAL_GROWTH","FQ1 2016","FQ1 2016","Currency=INR","Period=FQ","BEST_FPERIOD_OVERRIDE=FQ","FILING_STATUS=OR","EQY_CONSOLIDATED=Y","Sort=A","Dates=H","DateFormat=P","Fill=—","Direction=H","UseDPDF=Y")</f>
        <v>#NAME?</v>
      </c>
      <c r="BT289" s="2" t="e">
        <f ca="1">_xll.BDH($C$278,"TOTAL_DEBT_SEQUENTIAL_GROWTH","FQ1 2016","FQ1 2016","Currency=INR","Period=FQ","BEST_FPERIOD_OVERRIDE=FQ","FILING_STATUS=OR","EQY_CONSOLIDATED=Y","Sort=A","Dates=H","DateFormat=P","Fill=—","Direction=H","UseDPDF=Y")</f>
        <v>#NAME?</v>
      </c>
      <c r="BU289" s="2" t="e">
        <f ca="1">_xll.BDH($C$278,"TOTAL_EQUITY_SEQUENTIAL_GROWTH","FQ1 2016","FQ1 2016","Currency=INR","Period=FQ","BEST_FPERIOD_OVERRIDE=FQ","FILING_STATUS=OR","EQY_CONSOLIDATED=Y","Sort=A","Dates=H","DateFormat=P","Fill=—","Direction=H","UseDPDF=Y")</f>
        <v>#NAME?</v>
      </c>
      <c r="BV289" s="2" t="e">
        <f ca="1">_xll.BDH($C$278,"TOTAL_CAPITAL_SEQUENTIAL_GROWTH","FQ1 2016","FQ1 2016","Currency=INR","Period=FQ","BEST_FPERIOD_OVERRIDE=FQ","FILING_STATUS=OR","EQY_CONSOLIDATED=Y","Sort=A","Dates=H","DateFormat=P","Fill=—","Direction=H","UseDPDF=Y")</f>
        <v>#NAME?</v>
      </c>
      <c r="BW289" s="2" t="e">
        <f ca="1">_xll.BDH($C$278,"BPS_SEQUENTIAL_GROWTH","FQ1 2016","FQ1 2016","Currency=INR","Period=FQ","BEST_FPERIOD_OVERRIDE=FQ","FILING_STATUS=OR","EQY_CONSOLIDATED=Y","Sort=A","Dates=H","DateFormat=P","Fill=—","Direction=H","UseDPDF=Y")</f>
        <v>#NAME?</v>
      </c>
      <c r="BX289" s="2" t="e">
        <f ca="1">_xll.BDH($C$278,"CFO_SEQUENTIAL_GROWTH","FQ1 2016","FQ1 2016","Currency=INR","Period=FQ","BEST_FPERIOD_OVERRIDE=FQ","FILING_STATUS=OR","EQY_CONSOLIDATED=Y","Sort=A","Dates=H","DateFormat=P","Fill=—","Direction=H","UseDPDF=Y")</f>
        <v>#NAME?</v>
      </c>
      <c r="BY289" s="3" t="e">
        <f ca="1">_xll.BDH($C$278,"SHORT_AND_LONG_TERM_DEBT","FQ1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289" s="3" t="e">
        <f ca="1">_xll.BDH($C$278,"BS_ST_BORROW","FQ1 2016","FQ1 2016","Currency=INR","Period=FQ","BEST_FPERIOD_OVERRIDE=FQ","FILING_STATUS=OR","EQY_CONSOLIDATED=Y","SCALING_FORMAT=MLN","Sort=A","Dates=H","DateFormat=P","Fill=—","Direction=H","UseDPDF=Y")</f>
        <v>#NAME?</v>
      </c>
      <c r="CA289" s="3" t="e">
        <f ca="1">_xll.BDH($C$278,"BS_LT_BORROW","FQ1 2016","FQ1 2016","Currency=INR","Period=FQ","BEST_FPERIOD_OVERRIDE=FQ","FILING_STATUS=OR","EQY_CONSOLIDATED=Y","SCALING_FORMAT=MLN","Sort=A","Dates=H","DateFormat=P","Fill=—","Direction=H","UseDPDF=Y")</f>
        <v>#NAME?</v>
      </c>
      <c r="CB289" s="2" t="e">
        <f ca="1">_xll.BDH($C$278,"TOT_DEBT_TO_EBITDA","FQ1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289" s="2" t="e">
        <f ca="1">_xll.BDH($C$278,"NET_DEBT_TO_EBITDA","FQ1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289" s="2" t="e">
        <f ca="1">_xll.BDH($C$278,"TOTAL_DEBT_TO_EBIT","FQ1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289" s="2" t="e">
        <f ca="1">_xll.BDH($C$278,"NET_DEBT_TO_EBIT","FQ1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289" s="2" t="e">
        <f ca="1">_xll.BDH($C$278,"EBITDA_TO_INTEREST_EXPN","FQ1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289" s="2" t="e">
        <f ca="1">_xll.BDH($C$278,"COM_EQY_TO_TOT_ASSET","FQ1 2016","FQ1 2016","Currency=INR","Period=FQ","BEST_FPERIOD_OVERRIDE=FQ","FILING_STATUS=OR","EQY_CONSOLIDATED=Y","Sort=A","Dates=H","DateFormat=P","Fill=—","Direction=H","UseDPDF=Y")</f>
        <v>#NAME?</v>
      </c>
      <c r="CH289" s="2" t="e">
        <f ca="1">_xll.BDH($C$278,"LT_DEBT_TO_TOT_EQY","FQ1 2016","FQ1 2016","Currency=INR","Period=FQ","BEST_FPERIOD_OVERRIDE=FQ","FILING_STATUS=OR","EQY_CONSOLIDATED=Y","Sort=A","Dates=H","DateFormat=P","Fill=—","Direction=H","UseDPDF=Y")</f>
        <v>#NAME?</v>
      </c>
      <c r="CI289" s="2" t="e">
        <f ca="1">_xll.BDH($C$278,"LT_DEBT_TO_TOT_CAP","FQ1 2016","FQ1 2016","Currency=INR","Period=FQ","BEST_FPERIOD_OVERRIDE=FQ","FILING_STATUS=OR","EQY_CONSOLIDATED=Y","Sort=A","Dates=H","DateFormat=P","Fill=—","Direction=H","UseDPDF=Y")</f>
        <v>#NAME?</v>
      </c>
      <c r="CJ289" s="2" t="e">
        <f ca="1">_xll.BDH($C$278,"LT_DEBT_TO_TOT_ASSET","FQ1 2016","FQ1 2016","Currency=INR","Period=FQ","BEST_FPERIOD_OVERRIDE=FQ","FILING_STATUS=OR","EQY_CONSOLIDATED=Y","Sort=A","Dates=H","DateFormat=P","Fill=—","Direction=H","UseDPDF=Y")</f>
        <v>#NAME?</v>
      </c>
      <c r="CK289" s="2" t="e">
        <f ca="1">_xll.BDH($C$278,"TOT_DEBT_TO_TOT_EQY","FQ1 2016","FQ1 2016","Currency=INR","Period=FQ","BEST_FPERIOD_OVERRIDE=FQ","FILING_STATUS=OR","EQY_CONSOLIDATED=Y","Sort=A","Dates=H","DateFormat=P","Fill=—","Direction=H","UseDPDF=Y")</f>
        <v>#NAME?</v>
      </c>
      <c r="CL289" s="2" t="e">
        <f ca="1">_xll.BDH($C$278,"TOT_DEBT_TO_TOT_CAP","FQ1 2016","FQ1 2016","Currency=INR","Period=FQ","BEST_FPERIOD_OVERRIDE=FQ","FILING_STATUS=OR","EQY_CONSOLIDATED=Y","Sort=A","Dates=H","DateFormat=P","Fill=—","Direction=H","UseDPDF=Y")</f>
        <v>#NAME?</v>
      </c>
      <c r="CM289" s="2" t="e">
        <f ca="1">_xll.BDH($C$278,"TOT_DEBT_TO_TOT_ASSET","FQ1 2016","FQ1 2016","Currency=INR","Period=FQ","BEST_FPERIOD_OVERRIDE=FQ","FILING_STATUS=OR","EQY_CONSOLIDATED=Y","Sort=A","Dates=H","DateFormat=P","Fill=—","Direction=H","UseDPDF=Y")</f>
        <v>#NAME?</v>
      </c>
      <c r="CN289" s="2" t="e">
        <f ca="1">_xll.BDH($C$278,"NET_DEBT_TO_SHRHLDR_EQTY","FQ1 2016","FQ1 2016","Currency=INR","Period=FQ","BEST_FPERIOD_OVERRIDE=FQ","FILING_STATUS=OR","EQY_CONSOLIDATED=Y","Sort=A","Dates=H","DateFormat=P","Fill=—","Direction=H","UseDPDF=Y")</f>
        <v>#NAME?</v>
      </c>
      <c r="CO289" s="2" t="e">
        <f ca="1">_xll.BDH($C$278,"NET_DEBT_%_CAPITAL","FQ1 2016","FQ1 2016","Currency=INR","Period=FQ","BEST_FPERIOD_OVERRIDE=FQ","FILING_STATUS=OR","EQY_CONSOLIDATED=Y","Sort=A","Dates=H","DateFormat=P","Fill=—","Direction=H","UseDPDF=Y")</f>
        <v>#NAME?</v>
      </c>
      <c r="CP289" s="3" t="e">
        <f ca="1">_xll.BDH($C$278,"EBITDA","FQ1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289" s="3" t="e">
        <f ca="1">_xll.BDH($C$278,"EBITDA_AFTER_CAPEX","FQ1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289" s="3" t="e">
        <f ca="1">_xll.BDH($C$278,"IS_OPER_INC","FQ1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289" s="2" t="e">
        <f ca="1">_xll.BDH($C$278,"CASH_RATIO","FQ1 2016","FQ1 2016","Currency=INR","Period=FQ","BEST_FPERIOD_OVERRIDE=FQ","FILING_STATUS=OR","EQY_CONSOLIDATED=Y","Sort=A","Dates=H","DateFormat=P","Fill=—","Direction=H","UseDPDF=Y")</f>
        <v>#NAME?</v>
      </c>
      <c r="CT289" s="2" t="e">
        <f ca="1">_xll.BDH($C$278,"CUR_RATIO","FQ1 2016","FQ1 2016","Currency=INR","Period=FQ","BEST_FPERIOD_OVERRIDE=FQ","FILING_STATUS=OR","EQY_CONSOLIDATED=Y","Sort=A","Dates=H","DateFormat=P","Fill=—","Direction=H","UseDPDF=Y")</f>
        <v>#NAME?</v>
      </c>
      <c r="CU289" s="2" t="e">
        <f ca="1">_xll.BDH($C$278,"QUICK_RATIO","FQ1 2016","FQ1 2016","Currency=INR","Period=FQ","BEST_FPERIOD_OVERRIDE=FQ","FILING_STATUS=OR","EQY_CONSOLIDATED=Y","Sort=A","Dates=H","DateFormat=P","Fill=—","Direction=H","UseDPDF=Y")</f>
        <v>#NAME?</v>
      </c>
      <c r="CV289" s="2" t="e">
        <f ca="1">_xll.BDH($C$278,"ALTMAN_Z_SCORE","FQ1 2016","FQ1 2016","Currency=INR","Period=FQ","BEST_FPERIOD_OVERRIDE=FQ","FILING_STATUS=OR","EQY_CONSOLIDATED=Y","Sort=A","Dates=H","DateFormat=P","Fill=—","Direction=H","UseDPDF=Y")</f>
        <v>#NAME?</v>
      </c>
      <c r="CW289" s="4" t="e">
        <f ca="1">_xll.BDH($C$278,"ACCT_RCV_TURN","FQ1 2016","FQ1 2016","Currency=INR","Period=FQ","BEST_FPERIOD_OVERRIDE=FQ","FILING_STATUS=OR","EQY_CONSOLIDATED=Y","FA_ADJUSTED=GAAP","Sort=A","Dates=H","DateFormat=P","Fill=—","Direction=H","UseDPDF=Y")</f>
        <v>#NAME?</v>
      </c>
      <c r="CX289" s="2" t="e">
        <f ca="1">_xll.BDH($C$278,"ACCT_RCV_DAYS","FQ1 2016","FQ1 2016","Currency=INR","Period=FQ","BEST_FPERIOD_OVERRIDE=FQ","FILING_STATUS=OR","EQY_CONSOLIDATED=Y","FA_ADJUSTED=GAAP","Sort=A","Dates=H","DateFormat=P","Fill=—","Direction=H","UseDPDF=Y")</f>
        <v>#NAME?</v>
      </c>
      <c r="CY289" s="4" t="e">
        <f ca="1">_xll.BDH($C$278,"INVENT_TURN","FQ1 2016","FQ1 2016","Currency=INR","Period=FQ","BEST_FPERIOD_OVERRIDE=FQ","FILING_STATUS=OR","EQY_CONSOLIDATED=Y","FA_ADJUSTED=GAAP","Sort=A","Dates=H","DateFormat=P","Fill=—","Direction=H","UseDPDF=Y")</f>
        <v>#NAME?</v>
      </c>
      <c r="CZ289" s="2" t="e">
        <f ca="1">_xll.BDH($C$278,"INVENT_DAYS","FQ1 2016","FQ1 2016","Currency=INR","Period=FQ","BEST_FPERIOD_OVERRIDE=FQ","FILING_STATUS=OR","EQY_CONSOLIDATED=Y","FA_ADJUSTED=GAAP","Sort=A","Dates=H","DateFormat=P","Fill=—","Direction=H","UseDPDF=Y")</f>
        <v>#NAME?</v>
      </c>
      <c r="DA289" s="4" t="e">
        <f ca="1">_xll.BDH($C$278,"ACCOUNTS_PAYABLE_TURNOVER","FQ1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289" s="2" t="e">
        <f ca="1">_xll.BDH($C$278,"ACCOUNTS_PAYABLE_TURNOVER_DAYS","FQ1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289" s="4" t="e">
        <f ca="1">_xll.BDH($C$278,"CASH_CONVERSION_CYCLE","FQ1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289" s="4" t="e">
        <f ca="1">_xll.BDH($C$278,"INV_TO_CASH_DAYS","FQ1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289" s="5" t="e">
        <f ca="1">_xll.BDH($C$278,"BS_INVENTORIES","FQ1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289" s="3" t="e">
        <f ca="1">_xll.BDH($C$278,"INVTRY_RAW_MATERIALS","FQ1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289" s="3" t="e">
        <f ca="1">_xll.BDH($C$278,"INVTRY_IN_PROGRESS","FQ1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289" s="3" t="e">
        <f ca="1">_xll.BDH($C$278,"INVTRY_FINISHED_GOODS","FQ1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289" s="3" t="e">
        <f ca="1">_xll.BDH($C$278,"BS_OTHER_INV","FQ1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290" spans="1:113" x14ac:dyDescent="0.3">
      <c r="A290" s="6"/>
      <c r="B290" s="6"/>
      <c r="C290" s="6"/>
      <c r="D290" s="6"/>
      <c r="E290" t="s">
        <v>79</v>
      </c>
      <c r="F290" t="e">
        <f ca="1">_xll.BDH($C$278,"RETURN_COM_EQY","FQ2 2016","FQ2 2016","Currency=INR","Period=FQ","BEST_FPERIOD_OVERRIDE=FQ","FILING_STATUS=OR","EQY_CONSOLIDATED=Y","FA_ADJUSTED=GAAP","Sort=A","Dates=H","DateFormat=P","Fill=—","Direction=H","UseDPDF=Y")</f>
        <v>#NAME?</v>
      </c>
      <c r="G290" t="e">
        <f ca="1">_xll.BDH($C$278,"RETURN_ON_ASSET","FQ2 2016","FQ2 2016","Currency=INR","Period=FQ","BEST_FPERIOD_OVERRIDE=FQ","FILING_STATUS=OR","EQY_CONSOLIDATED=Y","FA_ADJUSTED=GAAP","Sort=A","Dates=H","DateFormat=P","Fill=—","Direction=H","UseDPDF=Y")</f>
        <v>#NAME?</v>
      </c>
      <c r="H290" t="e">
        <f ca="1">_xll.BDH($C$278,"RETURN_ON_CAP","FQ2 2016","FQ2 2016","Currency=INR","Period=FQ","BEST_FPERIOD_OVERRIDE=FQ","FILING_STATUS=OR","EQY_CONSOLIDATED=Y","FA_ADJUSTED=GAAP","Sort=A","Dates=H","DateFormat=P","Fill=—","Direction=H","UseDPDF=Y")</f>
        <v>#NAME?</v>
      </c>
      <c r="I290" t="e">
        <f ca="1">_xll.BDH($C$278,"RETURN_ON_INV_CAPITAL","FQ2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290" t="e">
        <f ca="1">_xll.BDH($C$278,"EBITDA_TO_REVENUE","FQ2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290" t="e">
        <f ca="1">_xll.BDH($C$278,"OPER_MARGIN","FQ2 2016","FQ2 2016","Currency=INR","Period=FQ","BEST_FPERIOD_OVERRIDE=FQ","FILING_STATUS=OR","EQY_CONSOLIDATED=Y","FA_ADJUSTED=GAAP","Sort=A","Dates=H","DateFormat=P","Fill=—","Direction=H","UseDPDF=Y")</f>
        <v>#NAME?</v>
      </c>
      <c r="L290" t="e">
        <f ca="1">_xll.BDH($C$278,"INCREMENTAL_OPERATING_MARGIN","FQ2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290" t="e">
        <f ca="1">_xll.BDH($C$278,"PRETAX_INC_TO_NET_SALES","FQ2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290" t="e">
        <f ca="1">_xll.BDH($C$278,"INC_BEF_XO_ITEMS_TO_NET_SALES","FQ2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290" t="e">
        <f ca="1">_xll.BDH($C$278,"PROF_MARGIN","FQ2 2016","FQ2 2016","Currency=INR","Period=FQ","BEST_FPERIOD_OVERRIDE=FQ","FILING_STATUS=OR","EQY_CONSOLIDATED=Y","FA_ADJUSTED=GAAP","Sort=A","Dates=H","DateFormat=P","Fill=—","Direction=H","UseDPDF=Y")</f>
        <v>#NAME?</v>
      </c>
      <c r="P290" t="e">
        <f ca="1">_xll.BDH($C$278,"NET_INCOME_TO_COMMON_MARGIN","FQ2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290" t="e">
        <f ca="1">_xll.BDH($C$278,"EFF_TAX_RATE","FQ2 2016","FQ2 2016","Currency=INR","Period=FQ","BEST_FPERIOD_OVERRIDE=FQ","FILING_STATUS=OR","EQY_CONSOLIDATED=Y","FA_ADJUSTED=GAAP","Sort=A","Dates=H","DateFormat=P","Fill=—","Direction=H","UseDPDF=Y")</f>
        <v>#NAME?</v>
      </c>
      <c r="R290" t="e">
        <f ca="1">_xll.BDH($C$278,"DVD_PAYOUT_RATIO","FQ2 2016","FQ2 2016","Currency=INR","Period=FQ","BEST_FPERIOD_OVERRIDE=FQ","FILING_STATUS=OR","EQY_CONSOLIDATED=Y","FA_ADJUSTED=GAAP","Sort=A","Dates=H","DateFormat=P","Fill=—","Direction=H","UseDPDF=Y")</f>
        <v>#NAME?</v>
      </c>
      <c r="S290" t="e">
        <f ca="1">_xll.BDH($C$278,"SUSTAIN_GROWTH_RT","FQ2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290" s="2" t="e">
        <f ca="1">_xll.BDH($C$278,"SALES_GROWTH","FQ2 2016","FQ2 2016","Currency=INR","Period=FQ","BEST_FPERIOD_OVERRIDE=FQ","FILING_STATUS=OR","EQY_CONSOLIDATED=Y","FA_ADJUSTED=GAAP","Sort=A","Dates=H","DateFormat=P","Fill=—","Direction=H","UseDPDF=Y")</f>
        <v>#NAME?</v>
      </c>
      <c r="U290" s="2" t="e">
        <f ca="1">_xll.BDH($C$278,"EBITDA_GROWTH","FQ2 2016","FQ2 2016","Currency=INR","Period=FQ","BEST_FPERIOD_OVERRIDE=FQ","FILING_STATUS=OR","EQY_CONSOLIDATED=Y","FA_ADJUSTED=GAAP","Sort=A","Dates=H","DateFormat=P","Fill=—","Direction=H","UseDPDF=Y")</f>
        <v>#NAME?</v>
      </c>
      <c r="V290" s="2" t="e">
        <f ca="1">_xll.BDH($C$278,"OPER_INC_GROWTH","FQ2 2016","FQ2 2016","Currency=INR","Period=FQ","BEST_FPERIOD_OVERRIDE=FQ","FILING_STATUS=OR","EQY_CONSOLIDATED=Y","FA_ADJUSTED=GAAP","Sort=A","Dates=H","DateFormat=P","Fill=—","Direction=H","UseDPDF=Y")</f>
        <v>#NAME?</v>
      </c>
      <c r="W290" s="2" t="e">
        <f ca="1">_xll.BDH($C$278,"EARN_FOR_COM_GROWTH","FQ2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290" s="2" t="e">
        <f ca="1">_xll.BDH($C$278,"DILUTED_EPS_AFT_XO_ITEMS_GROWTH","FQ2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290" s="2" t="e">
        <f ca="1">_xll.BDH($C$278,"DIVIDEND_PER_SHARE_1_YEAR_GROWTH","FQ2 2016","FQ2 2016","Currency=INR","Period=FQ","BEST_FPERIOD_OVERRIDE=FQ","FILING_STATUS=OR","EQY_CONSOLIDATED=Y","Sort=A","Dates=H","DateFormat=P","Fill=—","Direction=H","UseDPDF=Y")</f>
        <v>#NAME?</v>
      </c>
      <c r="Z290" s="2" t="e">
        <f ca="1">_xll.BDH($C$278,"ACCOUNTS_RECEIVABLE_GROWTH","FQ2 2016","FQ2 2016","Currency=INR","Period=FQ","BEST_FPERIOD_OVERRIDE=FQ","FILING_STATUS=OR","EQY_CONSOLIDATED=Y","Sort=A","Dates=H","DateFormat=P","Fill=—","Direction=H","UseDPDF=Y")</f>
        <v>#NAME?</v>
      </c>
      <c r="AA290" s="2" t="e">
        <f ca="1">_xll.BDH($C$278,"INVENTORY_GROWTH","FQ2 2016","FQ2 2016","Currency=INR","Period=FQ","BEST_FPERIOD_OVERRIDE=FQ","FILING_STATUS=OR","EQY_CONSOLIDATED=Y","Sort=A","Dates=H","DateFormat=P","Fill=—","Direction=H","UseDPDF=Y")</f>
        <v>#NAME?</v>
      </c>
      <c r="AB290" s="2" t="e">
        <f ca="1">_xll.BDH($C$278,"NET_FIXED_ASSETS_1_YEAR_GROWTH","FQ2 2016","FQ2 2016","Currency=INR","Period=FQ","BEST_FPERIOD_OVERRIDE=FQ","FILING_STATUS=OR","EQY_CONSOLIDATED=Y","Sort=A","Dates=H","DateFormat=P","Fill=—","Direction=H","UseDPDF=Y")</f>
        <v>#NAME?</v>
      </c>
      <c r="AC290" s="2" t="e">
        <f ca="1">_xll.BDH($C$278,"ASSET_GROWTH","FQ2 2016","FQ2 2016","Currency=INR","Period=FQ","BEST_FPERIOD_OVERRIDE=FQ","FILING_STATUS=OR","EQY_CONSOLIDATED=Y","Sort=A","Dates=H","DateFormat=P","Fill=—","Direction=H","UseDPDF=Y")</f>
        <v>#NAME?</v>
      </c>
      <c r="AD290" s="2" t="e">
        <f ca="1">_xll.BDH($C$278,"MODIFIED_WORK_CAP_GROWTH","FQ2 2016","FQ2 2016","Currency=INR","Period=FQ","BEST_FPERIOD_OVERRIDE=FQ","FILING_STATUS=OR","EQY_CONSOLIDATED=Y","Sort=A","Dates=H","DateFormat=P","Fill=—","Direction=H","UseDPDF=Y")</f>
        <v>#NAME?</v>
      </c>
      <c r="AE290" s="2" t="e">
        <f ca="1">_xll.BDH($C$278,"WORK_CAP_GROWTH","FQ2 2016","FQ2 2016","Currency=INR","Period=FQ","BEST_FPERIOD_OVERRIDE=FQ","FILING_STATUS=OR","EQY_CONSOLIDATED=Y","Sort=A","Dates=H","DateFormat=P","Fill=—","Direction=H","UseDPDF=Y")</f>
        <v>#NAME?</v>
      </c>
      <c r="AF290" s="2" t="e">
        <f ca="1">_xll.BDH($C$278,"ACCOUNTS_PAYABLE_GROWTH_1YR","FQ2 2016","FQ2 2016","Currency=INR","Period=FQ","BEST_FPERIOD_OVERRIDE=FQ","FILING_STATUS=OR","EQY_CONSOLIDATED=Y","Sort=A","Dates=H","DateFormat=P","Fill=—","Direction=H","UseDPDF=Y")</f>
        <v>#NAME?</v>
      </c>
      <c r="AG290" s="2" t="e">
        <f ca="1">_xll.BDH($C$278,"SHORT_TERM_DEBT_1_YEAR_GROWTH","FQ2 2016","FQ2 2016","Currency=INR","Period=FQ","BEST_FPERIOD_OVERRIDE=FQ","FILING_STATUS=OR","EQY_CONSOLIDATED=Y","Sort=A","Dates=H","DateFormat=P","Fill=—","Direction=H","UseDPDF=Y")</f>
        <v>#NAME?</v>
      </c>
      <c r="AH290" s="2" t="e">
        <f ca="1">_xll.BDH($C$278,"TOTAL_DEBT_1_YEAR_GROWTH","FQ2 2016","FQ2 2016","Currency=INR","Period=FQ","BEST_FPERIOD_OVERRIDE=FQ","FILING_STATUS=OR","EQY_CONSOLIDATED=Y","Sort=A","Dates=H","DateFormat=P","Fill=—","Direction=H","UseDPDF=Y")</f>
        <v>#NAME?</v>
      </c>
      <c r="AI290" s="2" t="e">
        <f ca="1">_xll.BDH($C$278,"TOTAL_EQUITY_1_YEAR_GROWTH","FQ2 2016","FQ2 2016","Currency=INR","Period=FQ","BEST_FPERIOD_OVERRIDE=FQ","FILING_STATUS=OR","EQY_CONSOLIDATED=Y","Sort=A","Dates=H","DateFormat=P","Fill=—","Direction=H","UseDPDF=Y")</f>
        <v>#NAME?</v>
      </c>
      <c r="AJ290" s="2" t="e">
        <f ca="1">_xll.BDH($C$278,"GROWTH_IN_CAP","FQ2 2016","FQ2 2016","Currency=INR","Period=FQ","BEST_FPERIOD_OVERRIDE=FQ","FILING_STATUS=OR","EQY_CONSOLIDATED=Y","Sort=A","Dates=H","DateFormat=P","Fill=—","Direction=H","UseDPDF=Y")</f>
        <v>#NAME?</v>
      </c>
      <c r="AK290" s="2" t="e">
        <f ca="1">_xll.BDH($C$278,"BVPS_GROWTH","FQ2 2016","FQ2 2016","Currency=INR","Period=FQ","BEST_FPERIOD_OVERRIDE=FQ","FILING_STATUS=OR","EQY_CONSOLIDATED=Y","Sort=A","Dates=H","DateFormat=P","Fill=—","Direction=H","UseDPDF=Y")</f>
        <v>#NAME?</v>
      </c>
      <c r="AL290" s="2" t="e">
        <f ca="1">_xll.BDH($C$278,"CASH_FLOW_GROWTH","FQ2 2016","FQ2 2016","Currency=INR","Period=FQ","BEST_FPERIOD_OVERRIDE=FQ","FILING_STATUS=OR","EQY_CONSOLIDATED=Y","Sort=A","Dates=H","DateFormat=P","Fill=—","Direction=H","UseDPDF=Y")</f>
        <v>#NAME?</v>
      </c>
      <c r="AM290" s="2" t="e">
        <f ca="1">_xll.BDH($C$278,"GEO_GROW_NET_SALES","FQ2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290" s="2" t="e">
        <f ca="1">_xll.BDH($C$278,"GEO_GROW_EBITDA","FQ2 2016","FQ2 2016","Currency=INR","Period=FQ","BEST_FPERIOD_OVERRIDE=FQ","FILING_STATUS=OR","EQY_CONSOLIDATED=Y","FA_ADJUSTED=GAAP","Sort=A","Dates=H","DateFormat=P","Fill=—","Direction=H","UseDPDF=Y")</f>
        <v>#NAME?</v>
      </c>
      <c r="AO290" s="2" t="e">
        <f ca="1">_xll.BDH($C$278,"GEO_GROW_OPER_INC","FQ2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290" s="2" t="e">
        <f ca="1">_xll.BDH($C$278,"NET_INCOME_TO_COMMON_5_YR_GROWTH","FQ2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290" s="2" t="e">
        <f ca="1">_xll.BDH($C$278,"5Y_GEO_GROWTH_DILUTED_EPS","FQ2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290" s="2" t="e">
        <f ca="1">_xll.BDH($C$278,"GEO_GROW_DVD_PER_SH","FQ2 2016","FQ2 2016","Currency=INR","Period=FQ","BEST_FPERIOD_OVERRIDE=FQ","FILING_STATUS=OR","EQY_CONSOLIDATED=Y","Sort=A","Dates=H","DateFormat=P","Fill=—","Direction=H","UseDPDF=Y")</f>
        <v>#NAME?</v>
      </c>
      <c r="AS290" s="2" t="e">
        <f ca="1">_xll.BDH($C$278,"ACCOUNTS_RECEIVABLE_5_YR_GROWTH","FQ2 2016","FQ2 2016","Currency=INR","Period=FQ","BEST_FPERIOD_OVERRIDE=FQ","FILING_STATUS=OR","EQY_CONSOLIDATED=Y","Sort=A","Dates=H","DateFormat=P","Fill=—","Direction=H","UseDPDF=Y")</f>
        <v>#NAME?</v>
      </c>
      <c r="AT290" s="2" t="e">
        <f ca="1">_xll.BDH($C$278,"INVENTORY_5_YEAR_GROWTH","FQ2 2016","FQ2 2016","Currency=INR","Period=FQ","BEST_FPERIOD_OVERRIDE=FQ","FILING_STATUS=OR","EQY_CONSOLIDATED=Y","Sort=A","Dates=H","DateFormat=P","Fill=—","Direction=H","UseDPDF=Y")</f>
        <v>#NAME?</v>
      </c>
      <c r="AU290" s="2" t="e">
        <f ca="1">_xll.BDH($C$278,"NET_FIXED_ASSETS_5_YEAR_GROWTH","FQ2 2016","FQ2 2016","Currency=INR","Period=FQ","BEST_FPERIOD_OVERRIDE=FQ","FILING_STATUS=OR","EQY_CONSOLIDATED=Y","Sort=A","Dates=H","DateFormat=P","Fill=—","Direction=H","UseDPDF=Y")</f>
        <v>#NAME?</v>
      </c>
      <c r="AV290" s="2" t="e">
        <f ca="1">_xll.BDH($C$278,"GEO_GROW_TOT_ASSET","FQ2 2016","FQ2 2016","Currency=INR","Period=FQ","BEST_FPERIOD_OVERRIDE=FQ","FILING_STATUS=OR","EQY_CONSOLIDATED=Y","Sort=A","Dates=H","DateFormat=P","Fill=—","Direction=H","UseDPDF=Y")</f>
        <v>#NAME?</v>
      </c>
      <c r="AW290" s="2" t="e">
        <f ca="1">_xll.BDH($C$278,"MODIFIED_WORKING_CPTL_5YR_GRWTH","FQ2 2016","FQ2 2016","Currency=INR","Period=FQ","BEST_FPERIOD_OVERRIDE=FQ","FILING_STATUS=OR","EQY_CONSOLIDATED=Y","Sort=A","Dates=H","DateFormat=P","Fill=—","Direction=H","UseDPDF=Y")</f>
        <v>#NAME?</v>
      </c>
      <c r="AX290" s="2" t="e">
        <f ca="1">_xll.BDH($C$278,"WORKING_CAPITAL_5_YEAR_GROWTH","FQ2 2016","FQ2 2016","Currency=INR","Period=FQ","BEST_FPERIOD_OVERRIDE=FQ","FILING_STATUS=OR","EQY_CONSOLIDATED=Y","Sort=A","Dates=H","DateFormat=P","Fill=—","Direction=H","UseDPDF=Y")</f>
        <v>#NAME?</v>
      </c>
      <c r="AY290" s="2" t="e">
        <f ca="1">_xll.BDH($C$278,"ACCOUNTS_PAYABLE_5_YEAR_GROWTH","FQ2 2016","FQ2 2016","Currency=INR","Period=FQ","BEST_FPERIOD_OVERRIDE=FQ","FILING_STATUS=OR","EQY_CONSOLIDATED=Y","Sort=A","Dates=H","DateFormat=P","Fill=—","Direction=H","UseDPDF=Y")</f>
        <v>#NAME?</v>
      </c>
      <c r="AZ290" s="2" t="e">
        <f ca="1">_xll.BDH($C$278,"SHORT_TERM_DEBT_5_YEAR_GROWTH","FQ2 2016","FQ2 2016","Currency=INR","Period=FQ","BEST_FPERIOD_OVERRIDE=FQ","FILING_STATUS=OR","EQY_CONSOLIDATED=Y","Sort=A","Dates=H","DateFormat=P","Fill=—","Direction=H","UseDPDF=Y")</f>
        <v>#NAME?</v>
      </c>
      <c r="BA290" s="2" t="e">
        <f ca="1">_xll.BDH($C$278,"TOTAL_DEBT_5_YEAR_GROWTH","FQ2 2016","FQ2 2016","Currency=INR","Period=FQ","BEST_FPERIOD_OVERRIDE=FQ","FILING_STATUS=OR","EQY_CONSOLIDATED=Y","Sort=A","Dates=H","DateFormat=P","Fill=—","Direction=H","UseDPDF=Y")</f>
        <v>#NAME?</v>
      </c>
      <c r="BB290" s="2" t="e">
        <f ca="1">_xll.BDH($C$278,"GEO_GROW_TOT_SHRHLDR_EQY","FQ2 2016","FQ2 2016","Currency=INR","Period=FQ","BEST_FPERIOD_OVERRIDE=FQ","FILING_STATUS=OR","EQY_CONSOLIDATED=Y","Sort=A","Dates=H","DateFormat=P","Fill=—","Direction=H","UseDPDF=Y")</f>
        <v>#NAME?</v>
      </c>
      <c r="BC290" s="2" t="e">
        <f ca="1">_xll.BDH($C$278,"TOTAL_CAPITAL_5_YEAR_GROWTH","FQ2 2016","FQ2 2016","Currency=INR","Period=FQ","BEST_FPERIOD_OVERRIDE=FQ","FILING_STATUS=OR","EQY_CONSOLIDATED=Y","Sort=A","Dates=H","DateFormat=P","Fill=—","Direction=H","UseDPDF=Y")</f>
        <v>#NAME?</v>
      </c>
      <c r="BD290" s="2" t="e">
        <f ca="1">_xll.BDH($C$278,"GEO_GROW_BOOK_VAL","FQ2 2016","FQ2 2016","Currency=INR","Period=FQ","BEST_FPERIOD_OVERRIDE=FQ","FILING_STATUS=OR","EQY_CONSOLIDATED=Y","Sort=A","Dates=H","DateFormat=P","Fill=—","Direction=H","UseDPDF=Y")</f>
        <v>#NAME?</v>
      </c>
      <c r="BE290" s="2" t="e">
        <f ca="1">_xll.BDH($C$278,"GEO_GROW_CASH_OPER_ACT","FQ2 2016","FQ2 2016","Currency=INR","Period=FQ","BEST_FPERIOD_OVERRIDE=FQ","FILING_STATUS=OR","EQY_CONSOLIDATED=Y","Sort=A","Dates=H","DateFormat=P","Fill=—","Direction=H","UseDPDF=Y")</f>
        <v>#NAME?</v>
      </c>
      <c r="BF290" s="2" t="e">
        <f ca="1">_xll.BDH($C$278,"REVENUE_SEQUENTIAL_GROWTH","FQ2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290" s="2" t="e">
        <f ca="1">_xll.BDH($C$278,"EBITDA_SEQUENTIAL_GROWTH","FQ2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290" s="2" t="e">
        <f ca="1">_xll.BDH($C$278,"OPERATING_INCOME_SEQ_GROWTH","FQ2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290" s="2" t="e">
        <f ca="1">_xll.BDH($C$278,"NET_INCOME_TO_COMMON_SEQ_GROWTH","FQ2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290" s="2" t="e">
        <f ca="1">_xll.BDH($C$278,"EPS_DILUTED_SEQUENTIAL_GROWTH","FQ2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290" s="2" t="e">
        <f ca="1">_xll.BDH($C$278,"DPS_SEQUENTIAL_GROWTH","FQ2 2016","FQ2 2016","Currency=INR","Period=FQ","BEST_FPERIOD_OVERRIDE=FQ","FILING_STATUS=OR","EQY_CONSOLIDATED=Y","Sort=A","Dates=H","DateFormat=P","Fill=—","Direction=H","UseDPDF=Y")</f>
        <v>#NAME?</v>
      </c>
      <c r="BL290" s="2" t="e">
        <f ca="1">_xll.BDH($C$278,"ACCOUNTS_RECEIVABLE_SEQ_GROWTH","FQ2 2016","FQ2 2016","Currency=INR","Period=FQ","BEST_FPERIOD_OVERRIDE=FQ","FILING_STATUS=OR","EQY_CONSOLIDATED=Y","Sort=A","Dates=H","DateFormat=P","Fill=—","Direction=H","UseDPDF=Y")</f>
        <v>#NAME?</v>
      </c>
      <c r="BM290" s="2" t="e">
        <f ca="1">_xll.BDH($C$278,"INVENTORY_SEQUENTIAL_GROWTH","FQ2 2016","FQ2 2016","Currency=INR","Period=FQ","BEST_FPERIOD_OVERRIDE=FQ","FILING_STATUS=OR","EQY_CONSOLIDATED=Y","Sort=A","Dates=H","DateFormat=P","Fill=—","Direction=H","UseDPDF=Y")</f>
        <v>#NAME?</v>
      </c>
      <c r="BN290" s="2" t="e">
        <f ca="1">_xll.BDH($C$278,"FIXED_ASSETS_SEQUENTIAL_GROWTH","FQ2 2016","FQ2 2016","Currency=INR","Period=FQ","BEST_FPERIOD_OVERRIDE=FQ","FILING_STATUS=OR","EQY_CONSOLIDATED=Y","Sort=A","Dates=H","DateFormat=P","Fill=—","Direction=H","UseDPDF=Y")</f>
        <v>#NAME?</v>
      </c>
      <c r="BO290" s="2" t="e">
        <f ca="1">_xll.BDH($C$278,"TOTAL_ASSETS_SEQUENTIAL_GROWTH","FQ2 2016","FQ2 2016","Currency=INR","Period=FQ","BEST_FPERIOD_OVERRIDE=FQ","FILING_STATUS=OR","EQY_CONSOLIDATED=Y","Sort=A","Dates=H","DateFormat=P","Fill=—","Direction=H","UseDPDF=Y")</f>
        <v>#NAME?</v>
      </c>
      <c r="BP290" s="2" t="e">
        <f ca="1">_xll.BDH($C$278,"MODIFIED_WORKING_CPTL_SEQ_GRWTH","FQ2 2016","FQ2 2016","Currency=INR","Period=FQ","BEST_FPERIOD_OVERRIDE=FQ","FILING_STATUS=OR","EQY_CONSOLIDATED=Y","Sort=A","Dates=H","DateFormat=P","Fill=—","Direction=H","UseDPDF=Y")</f>
        <v>#NAME?</v>
      </c>
      <c r="BQ290" s="2" t="e">
        <f ca="1">_xll.BDH($C$278,"WORKING_CAPITAL_SEQ_GROWTH","FQ2 2016","FQ2 2016","Currency=INR","Period=FQ","BEST_FPERIOD_OVERRIDE=FQ","FILING_STATUS=OR","EQY_CONSOLIDATED=Y","Sort=A","Dates=H","DateFormat=P","Fill=—","Direction=H","UseDPDF=Y")</f>
        <v>#NAME?</v>
      </c>
      <c r="BR290" s="2" t="e">
        <f ca="1">_xll.BDH($C$278,"ACCOUNTS_PAYABLE_SEQ_GROWTH","FQ2 2016","FQ2 2016","Currency=INR","Period=FQ","BEST_FPERIOD_OVERRIDE=FQ","FILING_STATUS=OR","EQY_CONSOLIDATED=Y","Sort=A","Dates=H","DateFormat=P","Fill=—","Direction=H","UseDPDF=Y")</f>
        <v>#NAME?</v>
      </c>
      <c r="BS290" s="2" t="e">
        <f ca="1">_xll.BDH($C$278,"ST_DEBT_SEQUENTIAL_GROWTH","FQ2 2016","FQ2 2016","Currency=INR","Period=FQ","BEST_FPERIOD_OVERRIDE=FQ","FILING_STATUS=OR","EQY_CONSOLIDATED=Y","Sort=A","Dates=H","DateFormat=P","Fill=—","Direction=H","UseDPDF=Y")</f>
        <v>#NAME?</v>
      </c>
      <c r="BT290" s="2" t="e">
        <f ca="1">_xll.BDH($C$278,"TOTAL_DEBT_SEQUENTIAL_GROWTH","FQ2 2016","FQ2 2016","Currency=INR","Period=FQ","BEST_FPERIOD_OVERRIDE=FQ","FILING_STATUS=OR","EQY_CONSOLIDATED=Y","Sort=A","Dates=H","DateFormat=P","Fill=—","Direction=H","UseDPDF=Y")</f>
        <v>#NAME?</v>
      </c>
      <c r="BU290" s="2" t="e">
        <f ca="1">_xll.BDH($C$278,"TOTAL_EQUITY_SEQUENTIAL_GROWTH","FQ2 2016","FQ2 2016","Currency=INR","Period=FQ","BEST_FPERIOD_OVERRIDE=FQ","FILING_STATUS=OR","EQY_CONSOLIDATED=Y","Sort=A","Dates=H","DateFormat=P","Fill=—","Direction=H","UseDPDF=Y")</f>
        <v>#NAME?</v>
      </c>
      <c r="BV290" s="2" t="e">
        <f ca="1">_xll.BDH($C$278,"TOTAL_CAPITAL_SEQUENTIAL_GROWTH","FQ2 2016","FQ2 2016","Currency=INR","Period=FQ","BEST_FPERIOD_OVERRIDE=FQ","FILING_STATUS=OR","EQY_CONSOLIDATED=Y","Sort=A","Dates=H","DateFormat=P","Fill=—","Direction=H","UseDPDF=Y")</f>
        <v>#NAME?</v>
      </c>
      <c r="BW290" s="2" t="e">
        <f ca="1">_xll.BDH($C$278,"BPS_SEQUENTIAL_GROWTH","FQ2 2016","FQ2 2016","Currency=INR","Period=FQ","BEST_FPERIOD_OVERRIDE=FQ","FILING_STATUS=OR","EQY_CONSOLIDATED=Y","Sort=A","Dates=H","DateFormat=P","Fill=—","Direction=H","UseDPDF=Y")</f>
        <v>#NAME?</v>
      </c>
      <c r="BX290" s="2" t="e">
        <f ca="1">_xll.BDH($C$278,"CFO_SEQUENTIAL_GROWTH","FQ2 2016","FQ2 2016","Currency=INR","Period=FQ","BEST_FPERIOD_OVERRIDE=FQ","FILING_STATUS=OR","EQY_CONSOLIDATED=Y","Sort=A","Dates=H","DateFormat=P","Fill=—","Direction=H","UseDPDF=Y")</f>
        <v>#NAME?</v>
      </c>
      <c r="BY290" s="3" t="e">
        <f ca="1">_xll.BDH($C$278,"SHORT_AND_LONG_TERM_DEBT","FQ2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290" s="3" t="e">
        <f ca="1">_xll.BDH($C$278,"BS_ST_BORROW","FQ2 2016","FQ2 2016","Currency=INR","Period=FQ","BEST_FPERIOD_OVERRIDE=FQ","FILING_STATUS=OR","EQY_CONSOLIDATED=Y","SCALING_FORMAT=MLN","Sort=A","Dates=H","DateFormat=P","Fill=—","Direction=H","UseDPDF=Y")</f>
        <v>#NAME?</v>
      </c>
      <c r="CA290" s="3" t="e">
        <f ca="1">_xll.BDH($C$278,"BS_LT_BORROW","FQ2 2016","FQ2 2016","Currency=INR","Period=FQ","BEST_FPERIOD_OVERRIDE=FQ","FILING_STATUS=OR","EQY_CONSOLIDATED=Y","SCALING_FORMAT=MLN","Sort=A","Dates=H","DateFormat=P","Fill=—","Direction=H","UseDPDF=Y")</f>
        <v>#NAME?</v>
      </c>
      <c r="CB290" s="2" t="e">
        <f ca="1">_xll.BDH($C$278,"TOT_DEBT_TO_EBITDA","FQ2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290" s="2" t="e">
        <f ca="1">_xll.BDH($C$278,"NET_DEBT_TO_EBITDA","FQ2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290" s="2" t="e">
        <f ca="1">_xll.BDH($C$278,"TOTAL_DEBT_TO_EBIT","FQ2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290" s="2" t="e">
        <f ca="1">_xll.BDH($C$278,"NET_DEBT_TO_EBIT","FQ2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290" s="2" t="e">
        <f ca="1">_xll.BDH($C$278,"EBITDA_TO_INTEREST_EXPN","FQ2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290" s="2" t="e">
        <f ca="1">_xll.BDH($C$278,"COM_EQY_TO_TOT_ASSET","FQ2 2016","FQ2 2016","Currency=INR","Period=FQ","BEST_FPERIOD_OVERRIDE=FQ","FILING_STATUS=OR","EQY_CONSOLIDATED=Y","Sort=A","Dates=H","DateFormat=P","Fill=—","Direction=H","UseDPDF=Y")</f>
        <v>#NAME?</v>
      </c>
      <c r="CH290" s="2" t="e">
        <f ca="1">_xll.BDH($C$278,"LT_DEBT_TO_TOT_EQY","FQ2 2016","FQ2 2016","Currency=INR","Period=FQ","BEST_FPERIOD_OVERRIDE=FQ","FILING_STATUS=OR","EQY_CONSOLIDATED=Y","Sort=A","Dates=H","DateFormat=P","Fill=—","Direction=H","UseDPDF=Y")</f>
        <v>#NAME?</v>
      </c>
      <c r="CI290" s="2" t="e">
        <f ca="1">_xll.BDH($C$278,"LT_DEBT_TO_TOT_CAP","FQ2 2016","FQ2 2016","Currency=INR","Period=FQ","BEST_FPERIOD_OVERRIDE=FQ","FILING_STATUS=OR","EQY_CONSOLIDATED=Y","Sort=A","Dates=H","DateFormat=P","Fill=—","Direction=H","UseDPDF=Y")</f>
        <v>#NAME?</v>
      </c>
      <c r="CJ290" s="2" t="e">
        <f ca="1">_xll.BDH($C$278,"LT_DEBT_TO_TOT_ASSET","FQ2 2016","FQ2 2016","Currency=INR","Period=FQ","BEST_FPERIOD_OVERRIDE=FQ","FILING_STATUS=OR","EQY_CONSOLIDATED=Y","Sort=A","Dates=H","DateFormat=P","Fill=—","Direction=H","UseDPDF=Y")</f>
        <v>#NAME?</v>
      </c>
      <c r="CK290" s="2" t="e">
        <f ca="1">_xll.BDH($C$278,"TOT_DEBT_TO_TOT_EQY","FQ2 2016","FQ2 2016","Currency=INR","Period=FQ","BEST_FPERIOD_OVERRIDE=FQ","FILING_STATUS=OR","EQY_CONSOLIDATED=Y","Sort=A","Dates=H","DateFormat=P","Fill=—","Direction=H","UseDPDF=Y")</f>
        <v>#NAME?</v>
      </c>
      <c r="CL290" s="2" t="e">
        <f ca="1">_xll.BDH($C$278,"TOT_DEBT_TO_TOT_CAP","FQ2 2016","FQ2 2016","Currency=INR","Period=FQ","BEST_FPERIOD_OVERRIDE=FQ","FILING_STATUS=OR","EQY_CONSOLIDATED=Y","Sort=A","Dates=H","DateFormat=P","Fill=—","Direction=H","UseDPDF=Y")</f>
        <v>#NAME?</v>
      </c>
      <c r="CM290" s="2" t="e">
        <f ca="1">_xll.BDH($C$278,"TOT_DEBT_TO_TOT_ASSET","FQ2 2016","FQ2 2016","Currency=INR","Period=FQ","BEST_FPERIOD_OVERRIDE=FQ","FILING_STATUS=OR","EQY_CONSOLIDATED=Y","Sort=A","Dates=H","DateFormat=P","Fill=—","Direction=H","UseDPDF=Y")</f>
        <v>#NAME?</v>
      </c>
      <c r="CN290" s="2" t="e">
        <f ca="1">_xll.BDH($C$278,"NET_DEBT_TO_SHRHLDR_EQTY","FQ2 2016","FQ2 2016","Currency=INR","Period=FQ","BEST_FPERIOD_OVERRIDE=FQ","FILING_STATUS=OR","EQY_CONSOLIDATED=Y","Sort=A","Dates=H","DateFormat=P","Fill=—","Direction=H","UseDPDF=Y")</f>
        <v>#NAME?</v>
      </c>
      <c r="CO290" s="2" t="e">
        <f ca="1">_xll.BDH($C$278,"NET_DEBT_%_CAPITAL","FQ2 2016","FQ2 2016","Currency=INR","Period=FQ","BEST_FPERIOD_OVERRIDE=FQ","FILING_STATUS=OR","EQY_CONSOLIDATED=Y","Sort=A","Dates=H","DateFormat=P","Fill=—","Direction=H","UseDPDF=Y")</f>
        <v>#NAME?</v>
      </c>
      <c r="CP290" s="3" t="e">
        <f ca="1">_xll.BDH($C$278,"EBITDA","FQ2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290" s="3" t="e">
        <f ca="1">_xll.BDH($C$278,"EBITDA_AFTER_CAPEX","FQ2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290" s="3" t="e">
        <f ca="1">_xll.BDH($C$278,"IS_OPER_INC","FQ2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290" s="2" t="e">
        <f ca="1">_xll.BDH($C$278,"CASH_RATIO","FQ2 2016","FQ2 2016","Currency=INR","Period=FQ","BEST_FPERIOD_OVERRIDE=FQ","FILING_STATUS=OR","EQY_CONSOLIDATED=Y","Sort=A","Dates=H","DateFormat=P","Fill=—","Direction=H","UseDPDF=Y")</f>
        <v>#NAME?</v>
      </c>
      <c r="CT290" s="2" t="e">
        <f ca="1">_xll.BDH($C$278,"CUR_RATIO","FQ2 2016","FQ2 2016","Currency=INR","Period=FQ","BEST_FPERIOD_OVERRIDE=FQ","FILING_STATUS=OR","EQY_CONSOLIDATED=Y","Sort=A","Dates=H","DateFormat=P","Fill=—","Direction=H","UseDPDF=Y")</f>
        <v>#NAME?</v>
      </c>
      <c r="CU290" s="2" t="e">
        <f ca="1">_xll.BDH($C$278,"QUICK_RATIO","FQ2 2016","FQ2 2016","Currency=INR","Period=FQ","BEST_FPERIOD_OVERRIDE=FQ","FILING_STATUS=OR","EQY_CONSOLIDATED=Y","Sort=A","Dates=H","DateFormat=P","Fill=—","Direction=H","UseDPDF=Y")</f>
        <v>#NAME?</v>
      </c>
      <c r="CV290" s="2" t="e">
        <f ca="1">_xll.BDH($C$278,"ALTMAN_Z_SCORE","FQ2 2016","FQ2 2016","Currency=INR","Period=FQ","BEST_FPERIOD_OVERRIDE=FQ","FILING_STATUS=OR","EQY_CONSOLIDATED=Y","Sort=A","Dates=H","DateFormat=P","Fill=—","Direction=H","UseDPDF=Y")</f>
        <v>#NAME?</v>
      </c>
      <c r="CW290" s="4" t="e">
        <f ca="1">_xll.BDH($C$278,"ACCT_RCV_TURN","FQ2 2016","FQ2 2016","Currency=INR","Period=FQ","BEST_FPERIOD_OVERRIDE=FQ","FILING_STATUS=OR","EQY_CONSOLIDATED=Y","FA_ADJUSTED=GAAP","Sort=A","Dates=H","DateFormat=P","Fill=—","Direction=H","UseDPDF=Y")</f>
        <v>#NAME?</v>
      </c>
      <c r="CX290" s="2" t="e">
        <f ca="1">_xll.BDH($C$278,"ACCT_RCV_DAYS","FQ2 2016","FQ2 2016","Currency=INR","Period=FQ","BEST_FPERIOD_OVERRIDE=FQ","FILING_STATUS=OR","EQY_CONSOLIDATED=Y","FA_ADJUSTED=GAAP","Sort=A","Dates=H","DateFormat=P","Fill=—","Direction=H","UseDPDF=Y")</f>
        <v>#NAME?</v>
      </c>
      <c r="CY290" s="4" t="e">
        <f ca="1">_xll.BDH($C$278,"INVENT_TURN","FQ2 2016","FQ2 2016","Currency=INR","Period=FQ","BEST_FPERIOD_OVERRIDE=FQ","FILING_STATUS=OR","EQY_CONSOLIDATED=Y","FA_ADJUSTED=GAAP","Sort=A","Dates=H","DateFormat=P","Fill=—","Direction=H","UseDPDF=Y")</f>
        <v>#NAME?</v>
      </c>
      <c r="CZ290" s="2" t="e">
        <f ca="1">_xll.BDH($C$278,"INVENT_DAYS","FQ2 2016","FQ2 2016","Currency=INR","Period=FQ","BEST_FPERIOD_OVERRIDE=FQ","FILING_STATUS=OR","EQY_CONSOLIDATED=Y","FA_ADJUSTED=GAAP","Sort=A","Dates=H","DateFormat=P","Fill=—","Direction=H","UseDPDF=Y")</f>
        <v>#NAME?</v>
      </c>
      <c r="DA290" s="4" t="e">
        <f ca="1">_xll.BDH($C$278,"ACCOUNTS_PAYABLE_TURNOVER","FQ2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290" s="2" t="e">
        <f ca="1">_xll.BDH($C$278,"ACCOUNTS_PAYABLE_TURNOVER_DAYS","FQ2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290" s="4" t="e">
        <f ca="1">_xll.BDH($C$278,"CASH_CONVERSION_CYCLE","FQ2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290" s="4" t="e">
        <f ca="1">_xll.BDH($C$278,"INV_TO_CASH_DAYS","FQ2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290" s="5" t="e">
        <f ca="1">_xll.BDH($C$278,"BS_INVENTORIES","FQ2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290" s="3" t="e">
        <f ca="1">_xll.BDH($C$278,"INVTRY_RAW_MATERIALS","FQ2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290" s="3" t="e">
        <f ca="1">_xll.BDH($C$278,"INVTRY_IN_PROGRESS","FQ2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290" s="3" t="e">
        <f ca="1">_xll.BDH($C$278,"INVTRY_FINISHED_GOODS","FQ2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290" s="3" t="e">
        <f ca="1">_xll.BDH($C$278,"BS_OTHER_INV","FQ2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291" spans="1:113" x14ac:dyDescent="0.3">
      <c r="A291" s="6"/>
      <c r="B291" s="6"/>
      <c r="C291" s="6"/>
      <c r="D291" s="6"/>
      <c r="E291" t="s">
        <v>80</v>
      </c>
      <c r="F291" t="e">
        <f ca="1">_xll.BDH($C$278,"RETURN_COM_EQY","FQ3 2016","FQ3 2016","Currency=INR","Period=FQ","BEST_FPERIOD_OVERRIDE=FQ","FILING_STATUS=OR","EQY_CONSOLIDATED=Y","FA_ADJUSTED=GAAP","Sort=A","Dates=H","DateFormat=P","Fill=—","Direction=H","UseDPDF=Y")</f>
        <v>#NAME?</v>
      </c>
      <c r="G291" t="e">
        <f ca="1">_xll.BDH($C$278,"RETURN_ON_ASSET","FQ3 2016","FQ3 2016","Currency=INR","Period=FQ","BEST_FPERIOD_OVERRIDE=FQ","FILING_STATUS=OR","EQY_CONSOLIDATED=Y","FA_ADJUSTED=GAAP","Sort=A","Dates=H","DateFormat=P","Fill=—","Direction=H","UseDPDF=Y")</f>
        <v>#NAME?</v>
      </c>
      <c r="H291" t="e">
        <f ca="1">_xll.BDH($C$278,"RETURN_ON_CAP","FQ3 2016","FQ3 2016","Currency=INR","Period=FQ","BEST_FPERIOD_OVERRIDE=FQ","FILING_STATUS=OR","EQY_CONSOLIDATED=Y","FA_ADJUSTED=GAAP","Sort=A","Dates=H","DateFormat=P","Fill=—","Direction=H","UseDPDF=Y")</f>
        <v>#NAME?</v>
      </c>
      <c r="I291" t="e">
        <f ca="1">_xll.BDH($C$278,"RETURN_ON_INV_CAPITAL","FQ3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291" t="e">
        <f ca="1">_xll.BDH($C$278,"EBITDA_TO_REVENUE","FQ3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291" t="e">
        <f ca="1">_xll.BDH($C$278,"OPER_MARGIN","FQ3 2016","FQ3 2016","Currency=INR","Period=FQ","BEST_FPERIOD_OVERRIDE=FQ","FILING_STATUS=OR","EQY_CONSOLIDATED=Y","FA_ADJUSTED=GAAP","Sort=A","Dates=H","DateFormat=P","Fill=—","Direction=H","UseDPDF=Y")</f>
        <v>#NAME?</v>
      </c>
      <c r="L291" t="e">
        <f ca="1">_xll.BDH($C$278,"INCREMENTAL_OPERATING_MARGIN","FQ3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291" t="e">
        <f ca="1">_xll.BDH($C$278,"PRETAX_INC_TO_NET_SALES","FQ3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291" t="e">
        <f ca="1">_xll.BDH($C$278,"INC_BEF_XO_ITEMS_TO_NET_SALES","FQ3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291" t="e">
        <f ca="1">_xll.BDH($C$278,"PROF_MARGIN","FQ3 2016","FQ3 2016","Currency=INR","Period=FQ","BEST_FPERIOD_OVERRIDE=FQ","FILING_STATUS=OR","EQY_CONSOLIDATED=Y","FA_ADJUSTED=GAAP","Sort=A","Dates=H","DateFormat=P","Fill=—","Direction=H","UseDPDF=Y")</f>
        <v>#NAME?</v>
      </c>
      <c r="P291" t="e">
        <f ca="1">_xll.BDH($C$278,"NET_INCOME_TO_COMMON_MARGIN","FQ3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291" t="e">
        <f ca="1">_xll.BDH($C$278,"EFF_TAX_RATE","FQ3 2016","FQ3 2016","Currency=INR","Period=FQ","BEST_FPERIOD_OVERRIDE=FQ","FILING_STATUS=OR","EQY_CONSOLIDATED=Y","FA_ADJUSTED=GAAP","Sort=A","Dates=H","DateFormat=P","Fill=—","Direction=H","UseDPDF=Y")</f>
        <v>#NAME?</v>
      </c>
      <c r="R291" t="e">
        <f ca="1">_xll.BDH($C$278,"DVD_PAYOUT_RATIO","FQ3 2016","FQ3 2016","Currency=INR","Period=FQ","BEST_FPERIOD_OVERRIDE=FQ","FILING_STATUS=OR","EQY_CONSOLIDATED=Y","FA_ADJUSTED=GAAP","Sort=A","Dates=H","DateFormat=P","Fill=—","Direction=H","UseDPDF=Y")</f>
        <v>#NAME?</v>
      </c>
      <c r="S291" t="e">
        <f ca="1">_xll.BDH($C$278,"SUSTAIN_GROWTH_RT","FQ3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291" s="2" t="e">
        <f ca="1">_xll.BDH($C$278,"SALES_GROWTH","FQ3 2016","FQ3 2016","Currency=INR","Period=FQ","BEST_FPERIOD_OVERRIDE=FQ","FILING_STATUS=OR","EQY_CONSOLIDATED=Y","FA_ADJUSTED=GAAP","Sort=A","Dates=H","DateFormat=P","Fill=—","Direction=H","UseDPDF=Y")</f>
        <v>#NAME?</v>
      </c>
      <c r="U291" s="2" t="e">
        <f ca="1">_xll.BDH($C$278,"EBITDA_GROWTH","FQ3 2016","FQ3 2016","Currency=INR","Period=FQ","BEST_FPERIOD_OVERRIDE=FQ","FILING_STATUS=OR","EQY_CONSOLIDATED=Y","FA_ADJUSTED=GAAP","Sort=A","Dates=H","DateFormat=P","Fill=—","Direction=H","UseDPDF=Y")</f>
        <v>#NAME?</v>
      </c>
      <c r="V291" s="2" t="e">
        <f ca="1">_xll.BDH($C$278,"OPER_INC_GROWTH","FQ3 2016","FQ3 2016","Currency=INR","Period=FQ","BEST_FPERIOD_OVERRIDE=FQ","FILING_STATUS=OR","EQY_CONSOLIDATED=Y","FA_ADJUSTED=GAAP","Sort=A","Dates=H","DateFormat=P","Fill=—","Direction=H","UseDPDF=Y")</f>
        <v>#NAME?</v>
      </c>
      <c r="W291" s="2" t="e">
        <f ca="1">_xll.BDH($C$278,"EARN_FOR_COM_GROWTH","FQ3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291" s="2" t="e">
        <f ca="1">_xll.BDH($C$278,"DILUTED_EPS_AFT_XO_ITEMS_GROWTH","FQ3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291" s="2" t="e">
        <f ca="1">_xll.BDH($C$278,"DIVIDEND_PER_SHARE_1_YEAR_GROWTH","FQ3 2016","FQ3 2016","Currency=INR","Period=FQ","BEST_FPERIOD_OVERRIDE=FQ","FILING_STATUS=OR","EQY_CONSOLIDATED=Y","Sort=A","Dates=H","DateFormat=P","Fill=—","Direction=H","UseDPDF=Y")</f>
        <v>#NAME?</v>
      </c>
      <c r="Z291" s="2" t="e">
        <f ca="1">_xll.BDH($C$278,"ACCOUNTS_RECEIVABLE_GROWTH","FQ3 2016","FQ3 2016","Currency=INR","Period=FQ","BEST_FPERIOD_OVERRIDE=FQ","FILING_STATUS=OR","EQY_CONSOLIDATED=Y","Sort=A","Dates=H","DateFormat=P","Fill=—","Direction=H","UseDPDF=Y")</f>
        <v>#NAME?</v>
      </c>
      <c r="AA291" s="2" t="e">
        <f ca="1">_xll.BDH($C$278,"INVENTORY_GROWTH","FQ3 2016","FQ3 2016","Currency=INR","Period=FQ","BEST_FPERIOD_OVERRIDE=FQ","FILING_STATUS=OR","EQY_CONSOLIDATED=Y","Sort=A","Dates=H","DateFormat=P","Fill=—","Direction=H","UseDPDF=Y")</f>
        <v>#NAME?</v>
      </c>
      <c r="AB291" s="2" t="e">
        <f ca="1">_xll.BDH($C$278,"NET_FIXED_ASSETS_1_YEAR_GROWTH","FQ3 2016","FQ3 2016","Currency=INR","Period=FQ","BEST_FPERIOD_OVERRIDE=FQ","FILING_STATUS=OR","EQY_CONSOLIDATED=Y","Sort=A","Dates=H","DateFormat=P","Fill=—","Direction=H","UseDPDF=Y")</f>
        <v>#NAME?</v>
      </c>
      <c r="AC291" s="2" t="e">
        <f ca="1">_xll.BDH($C$278,"ASSET_GROWTH","FQ3 2016","FQ3 2016","Currency=INR","Period=FQ","BEST_FPERIOD_OVERRIDE=FQ","FILING_STATUS=OR","EQY_CONSOLIDATED=Y","Sort=A","Dates=H","DateFormat=P","Fill=—","Direction=H","UseDPDF=Y")</f>
        <v>#NAME?</v>
      </c>
      <c r="AD291" s="2" t="e">
        <f ca="1">_xll.BDH($C$278,"MODIFIED_WORK_CAP_GROWTH","FQ3 2016","FQ3 2016","Currency=INR","Period=FQ","BEST_FPERIOD_OVERRIDE=FQ","FILING_STATUS=OR","EQY_CONSOLIDATED=Y","Sort=A","Dates=H","DateFormat=P","Fill=—","Direction=H","UseDPDF=Y")</f>
        <v>#NAME?</v>
      </c>
      <c r="AE291" s="2" t="e">
        <f ca="1">_xll.BDH($C$278,"WORK_CAP_GROWTH","FQ3 2016","FQ3 2016","Currency=INR","Period=FQ","BEST_FPERIOD_OVERRIDE=FQ","FILING_STATUS=OR","EQY_CONSOLIDATED=Y","Sort=A","Dates=H","DateFormat=P","Fill=—","Direction=H","UseDPDF=Y")</f>
        <v>#NAME?</v>
      </c>
      <c r="AF291" s="2" t="e">
        <f ca="1">_xll.BDH($C$278,"ACCOUNTS_PAYABLE_GROWTH_1YR","FQ3 2016","FQ3 2016","Currency=INR","Period=FQ","BEST_FPERIOD_OVERRIDE=FQ","FILING_STATUS=OR","EQY_CONSOLIDATED=Y","Sort=A","Dates=H","DateFormat=P","Fill=—","Direction=H","UseDPDF=Y")</f>
        <v>#NAME?</v>
      </c>
      <c r="AG291" s="2" t="e">
        <f ca="1">_xll.BDH($C$278,"SHORT_TERM_DEBT_1_YEAR_GROWTH","FQ3 2016","FQ3 2016","Currency=INR","Period=FQ","BEST_FPERIOD_OVERRIDE=FQ","FILING_STATUS=OR","EQY_CONSOLIDATED=Y","Sort=A","Dates=H","DateFormat=P","Fill=—","Direction=H","UseDPDF=Y")</f>
        <v>#NAME?</v>
      </c>
      <c r="AH291" s="2" t="e">
        <f ca="1">_xll.BDH($C$278,"TOTAL_DEBT_1_YEAR_GROWTH","FQ3 2016","FQ3 2016","Currency=INR","Period=FQ","BEST_FPERIOD_OVERRIDE=FQ","FILING_STATUS=OR","EQY_CONSOLIDATED=Y","Sort=A","Dates=H","DateFormat=P","Fill=—","Direction=H","UseDPDF=Y")</f>
        <v>#NAME?</v>
      </c>
      <c r="AI291" s="2" t="e">
        <f ca="1">_xll.BDH($C$278,"TOTAL_EQUITY_1_YEAR_GROWTH","FQ3 2016","FQ3 2016","Currency=INR","Period=FQ","BEST_FPERIOD_OVERRIDE=FQ","FILING_STATUS=OR","EQY_CONSOLIDATED=Y","Sort=A","Dates=H","DateFormat=P","Fill=—","Direction=H","UseDPDF=Y")</f>
        <v>#NAME?</v>
      </c>
      <c r="AJ291" s="2" t="e">
        <f ca="1">_xll.BDH($C$278,"GROWTH_IN_CAP","FQ3 2016","FQ3 2016","Currency=INR","Period=FQ","BEST_FPERIOD_OVERRIDE=FQ","FILING_STATUS=OR","EQY_CONSOLIDATED=Y","Sort=A","Dates=H","DateFormat=P","Fill=—","Direction=H","UseDPDF=Y")</f>
        <v>#NAME?</v>
      </c>
      <c r="AK291" s="2" t="e">
        <f ca="1">_xll.BDH($C$278,"BVPS_GROWTH","FQ3 2016","FQ3 2016","Currency=INR","Period=FQ","BEST_FPERIOD_OVERRIDE=FQ","FILING_STATUS=OR","EQY_CONSOLIDATED=Y","Sort=A","Dates=H","DateFormat=P","Fill=—","Direction=H","UseDPDF=Y")</f>
        <v>#NAME?</v>
      </c>
      <c r="AL291" s="2" t="e">
        <f ca="1">_xll.BDH($C$278,"CASH_FLOW_GROWTH","FQ3 2016","FQ3 2016","Currency=INR","Period=FQ","BEST_FPERIOD_OVERRIDE=FQ","FILING_STATUS=OR","EQY_CONSOLIDATED=Y","Sort=A","Dates=H","DateFormat=P","Fill=—","Direction=H","UseDPDF=Y")</f>
        <v>#NAME?</v>
      </c>
      <c r="AM291" s="2" t="e">
        <f ca="1">_xll.BDH($C$278,"GEO_GROW_NET_SALES","FQ3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291" s="2" t="e">
        <f ca="1">_xll.BDH($C$278,"GEO_GROW_EBITDA","FQ3 2016","FQ3 2016","Currency=INR","Period=FQ","BEST_FPERIOD_OVERRIDE=FQ","FILING_STATUS=OR","EQY_CONSOLIDATED=Y","FA_ADJUSTED=GAAP","Sort=A","Dates=H","DateFormat=P","Fill=—","Direction=H","UseDPDF=Y")</f>
        <v>#NAME?</v>
      </c>
      <c r="AO291" s="2" t="e">
        <f ca="1">_xll.BDH($C$278,"GEO_GROW_OPER_INC","FQ3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291" s="2" t="e">
        <f ca="1">_xll.BDH($C$278,"NET_INCOME_TO_COMMON_5_YR_GROWTH","FQ3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291" s="2" t="e">
        <f ca="1">_xll.BDH($C$278,"5Y_GEO_GROWTH_DILUTED_EPS","FQ3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291" s="2" t="e">
        <f ca="1">_xll.BDH($C$278,"GEO_GROW_DVD_PER_SH","FQ3 2016","FQ3 2016","Currency=INR","Period=FQ","BEST_FPERIOD_OVERRIDE=FQ","FILING_STATUS=OR","EQY_CONSOLIDATED=Y","Sort=A","Dates=H","DateFormat=P","Fill=—","Direction=H","UseDPDF=Y")</f>
        <v>#NAME?</v>
      </c>
      <c r="AS291" s="2" t="e">
        <f ca="1">_xll.BDH($C$278,"ACCOUNTS_RECEIVABLE_5_YR_GROWTH","FQ3 2016","FQ3 2016","Currency=INR","Period=FQ","BEST_FPERIOD_OVERRIDE=FQ","FILING_STATUS=OR","EQY_CONSOLIDATED=Y","Sort=A","Dates=H","DateFormat=P","Fill=—","Direction=H","UseDPDF=Y")</f>
        <v>#NAME?</v>
      </c>
      <c r="AT291" s="2" t="e">
        <f ca="1">_xll.BDH($C$278,"INVENTORY_5_YEAR_GROWTH","FQ3 2016","FQ3 2016","Currency=INR","Period=FQ","BEST_FPERIOD_OVERRIDE=FQ","FILING_STATUS=OR","EQY_CONSOLIDATED=Y","Sort=A","Dates=H","DateFormat=P","Fill=—","Direction=H","UseDPDF=Y")</f>
        <v>#NAME?</v>
      </c>
      <c r="AU291" s="2" t="e">
        <f ca="1">_xll.BDH($C$278,"NET_FIXED_ASSETS_5_YEAR_GROWTH","FQ3 2016","FQ3 2016","Currency=INR","Period=FQ","BEST_FPERIOD_OVERRIDE=FQ","FILING_STATUS=OR","EQY_CONSOLIDATED=Y","Sort=A","Dates=H","DateFormat=P","Fill=—","Direction=H","UseDPDF=Y")</f>
        <v>#NAME?</v>
      </c>
      <c r="AV291" s="2" t="e">
        <f ca="1">_xll.BDH($C$278,"GEO_GROW_TOT_ASSET","FQ3 2016","FQ3 2016","Currency=INR","Period=FQ","BEST_FPERIOD_OVERRIDE=FQ","FILING_STATUS=OR","EQY_CONSOLIDATED=Y","Sort=A","Dates=H","DateFormat=P","Fill=—","Direction=H","UseDPDF=Y")</f>
        <v>#NAME?</v>
      </c>
      <c r="AW291" s="2" t="e">
        <f ca="1">_xll.BDH($C$278,"MODIFIED_WORKING_CPTL_5YR_GRWTH","FQ3 2016","FQ3 2016","Currency=INR","Period=FQ","BEST_FPERIOD_OVERRIDE=FQ","FILING_STATUS=OR","EQY_CONSOLIDATED=Y","Sort=A","Dates=H","DateFormat=P","Fill=—","Direction=H","UseDPDF=Y")</f>
        <v>#NAME?</v>
      </c>
      <c r="AX291" s="2" t="e">
        <f ca="1">_xll.BDH($C$278,"WORKING_CAPITAL_5_YEAR_GROWTH","FQ3 2016","FQ3 2016","Currency=INR","Period=FQ","BEST_FPERIOD_OVERRIDE=FQ","FILING_STATUS=OR","EQY_CONSOLIDATED=Y","Sort=A","Dates=H","DateFormat=P","Fill=—","Direction=H","UseDPDF=Y")</f>
        <v>#NAME?</v>
      </c>
      <c r="AY291" s="2" t="e">
        <f ca="1">_xll.BDH($C$278,"ACCOUNTS_PAYABLE_5_YEAR_GROWTH","FQ3 2016","FQ3 2016","Currency=INR","Period=FQ","BEST_FPERIOD_OVERRIDE=FQ","FILING_STATUS=OR","EQY_CONSOLIDATED=Y","Sort=A","Dates=H","DateFormat=P","Fill=—","Direction=H","UseDPDF=Y")</f>
        <v>#NAME?</v>
      </c>
      <c r="AZ291" s="2" t="e">
        <f ca="1">_xll.BDH($C$278,"SHORT_TERM_DEBT_5_YEAR_GROWTH","FQ3 2016","FQ3 2016","Currency=INR","Period=FQ","BEST_FPERIOD_OVERRIDE=FQ","FILING_STATUS=OR","EQY_CONSOLIDATED=Y","Sort=A","Dates=H","DateFormat=P","Fill=—","Direction=H","UseDPDF=Y")</f>
        <v>#NAME?</v>
      </c>
      <c r="BA291" s="2" t="e">
        <f ca="1">_xll.BDH($C$278,"TOTAL_DEBT_5_YEAR_GROWTH","FQ3 2016","FQ3 2016","Currency=INR","Period=FQ","BEST_FPERIOD_OVERRIDE=FQ","FILING_STATUS=OR","EQY_CONSOLIDATED=Y","Sort=A","Dates=H","DateFormat=P","Fill=—","Direction=H","UseDPDF=Y")</f>
        <v>#NAME?</v>
      </c>
      <c r="BB291" s="2" t="e">
        <f ca="1">_xll.BDH($C$278,"GEO_GROW_TOT_SHRHLDR_EQY","FQ3 2016","FQ3 2016","Currency=INR","Period=FQ","BEST_FPERIOD_OVERRIDE=FQ","FILING_STATUS=OR","EQY_CONSOLIDATED=Y","Sort=A","Dates=H","DateFormat=P","Fill=—","Direction=H","UseDPDF=Y")</f>
        <v>#NAME?</v>
      </c>
      <c r="BC291" s="2" t="e">
        <f ca="1">_xll.BDH($C$278,"TOTAL_CAPITAL_5_YEAR_GROWTH","FQ3 2016","FQ3 2016","Currency=INR","Period=FQ","BEST_FPERIOD_OVERRIDE=FQ","FILING_STATUS=OR","EQY_CONSOLIDATED=Y","Sort=A","Dates=H","DateFormat=P","Fill=—","Direction=H","UseDPDF=Y")</f>
        <v>#NAME?</v>
      </c>
      <c r="BD291" s="2" t="e">
        <f ca="1">_xll.BDH($C$278,"GEO_GROW_BOOK_VAL","FQ3 2016","FQ3 2016","Currency=INR","Period=FQ","BEST_FPERIOD_OVERRIDE=FQ","FILING_STATUS=OR","EQY_CONSOLIDATED=Y","Sort=A","Dates=H","DateFormat=P","Fill=—","Direction=H","UseDPDF=Y")</f>
        <v>#NAME?</v>
      </c>
      <c r="BE291" s="2" t="e">
        <f ca="1">_xll.BDH($C$278,"GEO_GROW_CASH_OPER_ACT","FQ3 2016","FQ3 2016","Currency=INR","Period=FQ","BEST_FPERIOD_OVERRIDE=FQ","FILING_STATUS=OR","EQY_CONSOLIDATED=Y","Sort=A","Dates=H","DateFormat=P","Fill=—","Direction=H","UseDPDF=Y")</f>
        <v>#NAME?</v>
      </c>
      <c r="BF291" s="2" t="e">
        <f ca="1">_xll.BDH($C$278,"REVENUE_SEQUENTIAL_GROWTH","FQ3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291" s="2" t="e">
        <f ca="1">_xll.BDH($C$278,"EBITDA_SEQUENTIAL_GROWTH","FQ3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291" s="2" t="e">
        <f ca="1">_xll.BDH($C$278,"OPERATING_INCOME_SEQ_GROWTH","FQ3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291" s="2" t="e">
        <f ca="1">_xll.BDH($C$278,"NET_INCOME_TO_COMMON_SEQ_GROWTH","FQ3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291" s="2" t="e">
        <f ca="1">_xll.BDH($C$278,"EPS_DILUTED_SEQUENTIAL_GROWTH","FQ3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291" s="2" t="e">
        <f ca="1">_xll.BDH($C$278,"DPS_SEQUENTIAL_GROWTH","FQ3 2016","FQ3 2016","Currency=INR","Period=FQ","BEST_FPERIOD_OVERRIDE=FQ","FILING_STATUS=OR","EQY_CONSOLIDATED=Y","Sort=A","Dates=H","DateFormat=P","Fill=—","Direction=H","UseDPDF=Y")</f>
        <v>#NAME?</v>
      </c>
      <c r="BL291" s="2" t="e">
        <f ca="1">_xll.BDH($C$278,"ACCOUNTS_RECEIVABLE_SEQ_GROWTH","FQ3 2016","FQ3 2016","Currency=INR","Period=FQ","BEST_FPERIOD_OVERRIDE=FQ","FILING_STATUS=OR","EQY_CONSOLIDATED=Y","Sort=A","Dates=H","DateFormat=P","Fill=—","Direction=H","UseDPDF=Y")</f>
        <v>#NAME?</v>
      </c>
      <c r="BM291" s="2" t="e">
        <f ca="1">_xll.BDH($C$278,"INVENTORY_SEQUENTIAL_GROWTH","FQ3 2016","FQ3 2016","Currency=INR","Period=FQ","BEST_FPERIOD_OVERRIDE=FQ","FILING_STATUS=OR","EQY_CONSOLIDATED=Y","Sort=A","Dates=H","DateFormat=P","Fill=—","Direction=H","UseDPDF=Y")</f>
        <v>#NAME?</v>
      </c>
      <c r="BN291" s="2" t="e">
        <f ca="1">_xll.BDH($C$278,"FIXED_ASSETS_SEQUENTIAL_GROWTH","FQ3 2016","FQ3 2016","Currency=INR","Period=FQ","BEST_FPERIOD_OVERRIDE=FQ","FILING_STATUS=OR","EQY_CONSOLIDATED=Y","Sort=A","Dates=H","DateFormat=P","Fill=—","Direction=H","UseDPDF=Y")</f>
        <v>#NAME?</v>
      </c>
      <c r="BO291" s="2" t="e">
        <f ca="1">_xll.BDH($C$278,"TOTAL_ASSETS_SEQUENTIAL_GROWTH","FQ3 2016","FQ3 2016","Currency=INR","Period=FQ","BEST_FPERIOD_OVERRIDE=FQ","FILING_STATUS=OR","EQY_CONSOLIDATED=Y","Sort=A","Dates=H","DateFormat=P","Fill=—","Direction=H","UseDPDF=Y")</f>
        <v>#NAME?</v>
      </c>
      <c r="BP291" s="2" t="e">
        <f ca="1">_xll.BDH($C$278,"MODIFIED_WORKING_CPTL_SEQ_GRWTH","FQ3 2016","FQ3 2016","Currency=INR","Period=FQ","BEST_FPERIOD_OVERRIDE=FQ","FILING_STATUS=OR","EQY_CONSOLIDATED=Y","Sort=A","Dates=H","DateFormat=P","Fill=—","Direction=H","UseDPDF=Y")</f>
        <v>#NAME?</v>
      </c>
      <c r="BQ291" s="2" t="e">
        <f ca="1">_xll.BDH($C$278,"WORKING_CAPITAL_SEQ_GROWTH","FQ3 2016","FQ3 2016","Currency=INR","Period=FQ","BEST_FPERIOD_OVERRIDE=FQ","FILING_STATUS=OR","EQY_CONSOLIDATED=Y","Sort=A","Dates=H","DateFormat=P","Fill=—","Direction=H","UseDPDF=Y")</f>
        <v>#NAME?</v>
      </c>
      <c r="BR291" s="2" t="e">
        <f ca="1">_xll.BDH($C$278,"ACCOUNTS_PAYABLE_SEQ_GROWTH","FQ3 2016","FQ3 2016","Currency=INR","Period=FQ","BEST_FPERIOD_OVERRIDE=FQ","FILING_STATUS=OR","EQY_CONSOLIDATED=Y","Sort=A","Dates=H","DateFormat=P","Fill=—","Direction=H","UseDPDF=Y")</f>
        <v>#NAME?</v>
      </c>
      <c r="BS291" s="2" t="e">
        <f ca="1">_xll.BDH($C$278,"ST_DEBT_SEQUENTIAL_GROWTH","FQ3 2016","FQ3 2016","Currency=INR","Period=FQ","BEST_FPERIOD_OVERRIDE=FQ","FILING_STATUS=OR","EQY_CONSOLIDATED=Y","Sort=A","Dates=H","DateFormat=P","Fill=—","Direction=H","UseDPDF=Y")</f>
        <v>#NAME?</v>
      </c>
      <c r="BT291" s="2" t="e">
        <f ca="1">_xll.BDH($C$278,"TOTAL_DEBT_SEQUENTIAL_GROWTH","FQ3 2016","FQ3 2016","Currency=INR","Period=FQ","BEST_FPERIOD_OVERRIDE=FQ","FILING_STATUS=OR","EQY_CONSOLIDATED=Y","Sort=A","Dates=H","DateFormat=P","Fill=—","Direction=H","UseDPDF=Y")</f>
        <v>#NAME?</v>
      </c>
      <c r="BU291" s="2" t="e">
        <f ca="1">_xll.BDH($C$278,"TOTAL_EQUITY_SEQUENTIAL_GROWTH","FQ3 2016","FQ3 2016","Currency=INR","Period=FQ","BEST_FPERIOD_OVERRIDE=FQ","FILING_STATUS=OR","EQY_CONSOLIDATED=Y","Sort=A","Dates=H","DateFormat=P","Fill=—","Direction=H","UseDPDF=Y")</f>
        <v>#NAME?</v>
      </c>
      <c r="BV291" s="2" t="e">
        <f ca="1">_xll.BDH($C$278,"TOTAL_CAPITAL_SEQUENTIAL_GROWTH","FQ3 2016","FQ3 2016","Currency=INR","Period=FQ","BEST_FPERIOD_OVERRIDE=FQ","FILING_STATUS=OR","EQY_CONSOLIDATED=Y","Sort=A","Dates=H","DateFormat=P","Fill=—","Direction=H","UseDPDF=Y")</f>
        <v>#NAME?</v>
      </c>
      <c r="BW291" s="2" t="e">
        <f ca="1">_xll.BDH($C$278,"BPS_SEQUENTIAL_GROWTH","FQ3 2016","FQ3 2016","Currency=INR","Period=FQ","BEST_FPERIOD_OVERRIDE=FQ","FILING_STATUS=OR","EQY_CONSOLIDATED=Y","Sort=A","Dates=H","DateFormat=P","Fill=—","Direction=H","UseDPDF=Y")</f>
        <v>#NAME?</v>
      </c>
      <c r="BX291" s="2" t="e">
        <f ca="1">_xll.BDH($C$278,"CFO_SEQUENTIAL_GROWTH","FQ3 2016","FQ3 2016","Currency=INR","Period=FQ","BEST_FPERIOD_OVERRIDE=FQ","FILING_STATUS=OR","EQY_CONSOLIDATED=Y","Sort=A","Dates=H","DateFormat=P","Fill=—","Direction=H","UseDPDF=Y")</f>
        <v>#NAME?</v>
      </c>
      <c r="BY291" s="3" t="e">
        <f ca="1">_xll.BDH($C$278,"SHORT_AND_LONG_TERM_DEBT","FQ3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291" s="3" t="e">
        <f ca="1">_xll.BDH($C$278,"BS_ST_BORROW","FQ3 2016","FQ3 2016","Currency=INR","Period=FQ","BEST_FPERIOD_OVERRIDE=FQ","FILING_STATUS=OR","EQY_CONSOLIDATED=Y","SCALING_FORMAT=MLN","Sort=A","Dates=H","DateFormat=P","Fill=—","Direction=H","UseDPDF=Y")</f>
        <v>#NAME?</v>
      </c>
      <c r="CA291" s="3" t="e">
        <f ca="1">_xll.BDH($C$278,"BS_LT_BORROW","FQ3 2016","FQ3 2016","Currency=INR","Period=FQ","BEST_FPERIOD_OVERRIDE=FQ","FILING_STATUS=OR","EQY_CONSOLIDATED=Y","SCALING_FORMAT=MLN","Sort=A","Dates=H","DateFormat=P","Fill=—","Direction=H","UseDPDF=Y")</f>
        <v>#NAME?</v>
      </c>
      <c r="CB291" s="2" t="e">
        <f ca="1">_xll.BDH($C$278,"TOT_DEBT_TO_EBITDA","FQ3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291" s="2" t="e">
        <f ca="1">_xll.BDH($C$278,"NET_DEBT_TO_EBITDA","FQ3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291" s="2" t="e">
        <f ca="1">_xll.BDH($C$278,"TOTAL_DEBT_TO_EBIT","FQ3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291" s="2" t="e">
        <f ca="1">_xll.BDH($C$278,"NET_DEBT_TO_EBIT","FQ3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291" s="2" t="e">
        <f ca="1">_xll.BDH($C$278,"EBITDA_TO_INTEREST_EXPN","FQ3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291" s="2" t="e">
        <f ca="1">_xll.BDH($C$278,"COM_EQY_TO_TOT_ASSET","FQ3 2016","FQ3 2016","Currency=INR","Period=FQ","BEST_FPERIOD_OVERRIDE=FQ","FILING_STATUS=OR","EQY_CONSOLIDATED=Y","Sort=A","Dates=H","DateFormat=P","Fill=—","Direction=H","UseDPDF=Y")</f>
        <v>#NAME?</v>
      </c>
      <c r="CH291" s="2" t="e">
        <f ca="1">_xll.BDH($C$278,"LT_DEBT_TO_TOT_EQY","FQ3 2016","FQ3 2016","Currency=INR","Period=FQ","BEST_FPERIOD_OVERRIDE=FQ","FILING_STATUS=OR","EQY_CONSOLIDATED=Y","Sort=A","Dates=H","DateFormat=P","Fill=—","Direction=H","UseDPDF=Y")</f>
        <v>#NAME?</v>
      </c>
      <c r="CI291" s="2" t="e">
        <f ca="1">_xll.BDH($C$278,"LT_DEBT_TO_TOT_CAP","FQ3 2016","FQ3 2016","Currency=INR","Period=FQ","BEST_FPERIOD_OVERRIDE=FQ","FILING_STATUS=OR","EQY_CONSOLIDATED=Y","Sort=A","Dates=H","DateFormat=P","Fill=—","Direction=H","UseDPDF=Y")</f>
        <v>#NAME?</v>
      </c>
      <c r="CJ291" s="2" t="e">
        <f ca="1">_xll.BDH($C$278,"LT_DEBT_TO_TOT_ASSET","FQ3 2016","FQ3 2016","Currency=INR","Period=FQ","BEST_FPERIOD_OVERRIDE=FQ","FILING_STATUS=OR","EQY_CONSOLIDATED=Y","Sort=A","Dates=H","DateFormat=P","Fill=—","Direction=H","UseDPDF=Y")</f>
        <v>#NAME?</v>
      </c>
      <c r="CK291" s="2" t="e">
        <f ca="1">_xll.BDH($C$278,"TOT_DEBT_TO_TOT_EQY","FQ3 2016","FQ3 2016","Currency=INR","Period=FQ","BEST_FPERIOD_OVERRIDE=FQ","FILING_STATUS=OR","EQY_CONSOLIDATED=Y","Sort=A","Dates=H","DateFormat=P","Fill=—","Direction=H","UseDPDF=Y")</f>
        <v>#NAME?</v>
      </c>
      <c r="CL291" s="2" t="e">
        <f ca="1">_xll.BDH($C$278,"TOT_DEBT_TO_TOT_CAP","FQ3 2016","FQ3 2016","Currency=INR","Period=FQ","BEST_FPERIOD_OVERRIDE=FQ","FILING_STATUS=OR","EQY_CONSOLIDATED=Y","Sort=A","Dates=H","DateFormat=P","Fill=—","Direction=H","UseDPDF=Y")</f>
        <v>#NAME?</v>
      </c>
      <c r="CM291" s="2" t="e">
        <f ca="1">_xll.BDH($C$278,"TOT_DEBT_TO_TOT_ASSET","FQ3 2016","FQ3 2016","Currency=INR","Period=FQ","BEST_FPERIOD_OVERRIDE=FQ","FILING_STATUS=OR","EQY_CONSOLIDATED=Y","Sort=A","Dates=H","DateFormat=P","Fill=—","Direction=H","UseDPDF=Y")</f>
        <v>#NAME?</v>
      </c>
      <c r="CN291" s="2" t="e">
        <f ca="1">_xll.BDH($C$278,"NET_DEBT_TO_SHRHLDR_EQTY","FQ3 2016","FQ3 2016","Currency=INR","Period=FQ","BEST_FPERIOD_OVERRIDE=FQ","FILING_STATUS=OR","EQY_CONSOLIDATED=Y","Sort=A","Dates=H","DateFormat=P","Fill=—","Direction=H","UseDPDF=Y")</f>
        <v>#NAME?</v>
      </c>
      <c r="CO291" s="2" t="e">
        <f ca="1">_xll.BDH($C$278,"NET_DEBT_%_CAPITAL","FQ3 2016","FQ3 2016","Currency=INR","Period=FQ","BEST_FPERIOD_OVERRIDE=FQ","FILING_STATUS=OR","EQY_CONSOLIDATED=Y","Sort=A","Dates=H","DateFormat=P","Fill=—","Direction=H","UseDPDF=Y")</f>
        <v>#NAME?</v>
      </c>
      <c r="CP291" s="3" t="e">
        <f ca="1">_xll.BDH($C$278,"EBITDA","FQ3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291" s="3" t="e">
        <f ca="1">_xll.BDH($C$278,"EBITDA_AFTER_CAPEX","FQ3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291" s="3" t="e">
        <f ca="1">_xll.BDH($C$278,"IS_OPER_INC","FQ3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291" s="2" t="e">
        <f ca="1">_xll.BDH($C$278,"CASH_RATIO","FQ3 2016","FQ3 2016","Currency=INR","Period=FQ","BEST_FPERIOD_OVERRIDE=FQ","FILING_STATUS=OR","EQY_CONSOLIDATED=Y","Sort=A","Dates=H","DateFormat=P","Fill=—","Direction=H","UseDPDF=Y")</f>
        <v>#NAME?</v>
      </c>
      <c r="CT291" s="2" t="e">
        <f ca="1">_xll.BDH($C$278,"CUR_RATIO","FQ3 2016","FQ3 2016","Currency=INR","Period=FQ","BEST_FPERIOD_OVERRIDE=FQ","FILING_STATUS=OR","EQY_CONSOLIDATED=Y","Sort=A","Dates=H","DateFormat=P","Fill=—","Direction=H","UseDPDF=Y")</f>
        <v>#NAME?</v>
      </c>
      <c r="CU291" s="2" t="e">
        <f ca="1">_xll.BDH($C$278,"QUICK_RATIO","FQ3 2016","FQ3 2016","Currency=INR","Period=FQ","BEST_FPERIOD_OVERRIDE=FQ","FILING_STATUS=OR","EQY_CONSOLIDATED=Y","Sort=A","Dates=H","DateFormat=P","Fill=—","Direction=H","UseDPDF=Y")</f>
        <v>#NAME?</v>
      </c>
      <c r="CV291" s="2" t="e">
        <f ca="1">_xll.BDH($C$278,"ALTMAN_Z_SCORE","FQ3 2016","FQ3 2016","Currency=INR","Period=FQ","BEST_FPERIOD_OVERRIDE=FQ","FILING_STATUS=OR","EQY_CONSOLIDATED=Y","Sort=A","Dates=H","DateFormat=P","Fill=—","Direction=H","UseDPDF=Y")</f>
        <v>#NAME?</v>
      </c>
      <c r="CW291" s="4" t="e">
        <f ca="1">_xll.BDH($C$278,"ACCT_RCV_TURN","FQ3 2016","FQ3 2016","Currency=INR","Period=FQ","BEST_FPERIOD_OVERRIDE=FQ","FILING_STATUS=OR","EQY_CONSOLIDATED=Y","FA_ADJUSTED=GAAP","Sort=A","Dates=H","DateFormat=P","Fill=—","Direction=H","UseDPDF=Y")</f>
        <v>#NAME?</v>
      </c>
      <c r="CX291" s="2" t="e">
        <f ca="1">_xll.BDH($C$278,"ACCT_RCV_DAYS","FQ3 2016","FQ3 2016","Currency=INR","Period=FQ","BEST_FPERIOD_OVERRIDE=FQ","FILING_STATUS=OR","EQY_CONSOLIDATED=Y","FA_ADJUSTED=GAAP","Sort=A","Dates=H","DateFormat=P","Fill=—","Direction=H","UseDPDF=Y")</f>
        <v>#NAME?</v>
      </c>
      <c r="CY291" s="4" t="e">
        <f ca="1">_xll.BDH($C$278,"INVENT_TURN","FQ3 2016","FQ3 2016","Currency=INR","Period=FQ","BEST_FPERIOD_OVERRIDE=FQ","FILING_STATUS=OR","EQY_CONSOLIDATED=Y","FA_ADJUSTED=GAAP","Sort=A","Dates=H","DateFormat=P","Fill=—","Direction=H","UseDPDF=Y")</f>
        <v>#NAME?</v>
      </c>
      <c r="CZ291" s="2" t="e">
        <f ca="1">_xll.BDH($C$278,"INVENT_DAYS","FQ3 2016","FQ3 2016","Currency=INR","Period=FQ","BEST_FPERIOD_OVERRIDE=FQ","FILING_STATUS=OR","EQY_CONSOLIDATED=Y","FA_ADJUSTED=GAAP","Sort=A","Dates=H","DateFormat=P","Fill=—","Direction=H","UseDPDF=Y")</f>
        <v>#NAME?</v>
      </c>
      <c r="DA291" s="4" t="e">
        <f ca="1">_xll.BDH($C$278,"ACCOUNTS_PAYABLE_TURNOVER","FQ3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291" s="2" t="e">
        <f ca="1">_xll.BDH($C$278,"ACCOUNTS_PAYABLE_TURNOVER_DAYS","FQ3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291" s="4" t="e">
        <f ca="1">_xll.BDH($C$278,"CASH_CONVERSION_CYCLE","FQ3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291" s="4" t="e">
        <f ca="1">_xll.BDH($C$278,"INV_TO_CASH_DAYS","FQ3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291" s="5" t="e">
        <f ca="1">_xll.BDH($C$278,"BS_INVENTORIES","FQ3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291" s="3" t="e">
        <f ca="1">_xll.BDH($C$278,"INVTRY_RAW_MATERIALS","FQ3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291" s="3" t="e">
        <f ca="1">_xll.BDH($C$278,"INVTRY_IN_PROGRESS","FQ3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291" s="3" t="e">
        <f ca="1">_xll.BDH($C$278,"INVTRY_FINISHED_GOODS","FQ3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291" s="3" t="e">
        <f ca="1">_xll.BDH($C$278,"BS_OTHER_INV","FQ3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292" spans="1:113" x14ac:dyDescent="0.3">
      <c r="A292" s="6"/>
      <c r="B292" s="6"/>
      <c r="C292" s="6"/>
      <c r="D292" s="6"/>
      <c r="E292" t="s">
        <v>81</v>
      </c>
      <c r="F292" t="e">
        <f ca="1">_xll.BDH($C$278,"RETURN_COM_EQY","FQ4 2016","FQ4 2016","Currency=INR","Period=FQ","BEST_FPERIOD_OVERRIDE=FQ","FILING_STATUS=OR","EQY_CONSOLIDATED=Y","FA_ADJUSTED=GAAP","Sort=A","Dates=H","DateFormat=P","Fill=—","Direction=H","UseDPDF=Y")</f>
        <v>#NAME?</v>
      </c>
      <c r="G292" t="e">
        <f ca="1">_xll.BDH($C$278,"RETURN_ON_ASSET","FQ4 2016","FQ4 2016","Currency=INR","Period=FQ","BEST_FPERIOD_OVERRIDE=FQ","FILING_STATUS=OR","EQY_CONSOLIDATED=Y","FA_ADJUSTED=GAAP","Sort=A","Dates=H","DateFormat=P","Fill=—","Direction=H","UseDPDF=Y")</f>
        <v>#NAME?</v>
      </c>
      <c r="H292" t="e">
        <f ca="1">_xll.BDH($C$278,"RETURN_ON_CAP","FQ4 2016","FQ4 2016","Currency=INR","Period=FQ","BEST_FPERIOD_OVERRIDE=FQ","FILING_STATUS=OR","EQY_CONSOLIDATED=Y","FA_ADJUSTED=GAAP","Sort=A","Dates=H","DateFormat=P","Fill=—","Direction=H","UseDPDF=Y")</f>
        <v>#NAME?</v>
      </c>
      <c r="I292" t="e">
        <f ca="1">_xll.BDH($C$278,"RETURN_ON_INV_CAPITAL","FQ4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292" t="e">
        <f ca="1">_xll.BDH($C$278,"EBITDA_TO_REVENUE","FQ4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292" t="e">
        <f ca="1">_xll.BDH($C$278,"OPER_MARGIN","FQ4 2016","FQ4 2016","Currency=INR","Period=FQ","BEST_FPERIOD_OVERRIDE=FQ","FILING_STATUS=OR","EQY_CONSOLIDATED=Y","FA_ADJUSTED=GAAP","Sort=A","Dates=H","DateFormat=P","Fill=—","Direction=H","UseDPDF=Y")</f>
        <v>#NAME?</v>
      </c>
      <c r="L292" t="e">
        <f ca="1">_xll.BDH($C$278,"INCREMENTAL_OPERATING_MARGIN","FQ4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292" t="e">
        <f ca="1">_xll.BDH($C$278,"PRETAX_INC_TO_NET_SALES","FQ4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292" t="e">
        <f ca="1">_xll.BDH($C$278,"INC_BEF_XO_ITEMS_TO_NET_SALES","FQ4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292" t="e">
        <f ca="1">_xll.BDH($C$278,"PROF_MARGIN","FQ4 2016","FQ4 2016","Currency=INR","Period=FQ","BEST_FPERIOD_OVERRIDE=FQ","FILING_STATUS=OR","EQY_CONSOLIDATED=Y","FA_ADJUSTED=GAAP","Sort=A","Dates=H","DateFormat=P","Fill=—","Direction=H","UseDPDF=Y")</f>
        <v>#NAME?</v>
      </c>
      <c r="P292" t="e">
        <f ca="1">_xll.BDH($C$278,"NET_INCOME_TO_COMMON_MARGIN","FQ4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292" t="e">
        <f ca="1">_xll.BDH($C$278,"EFF_TAX_RATE","FQ4 2016","FQ4 2016","Currency=INR","Period=FQ","BEST_FPERIOD_OVERRIDE=FQ","FILING_STATUS=OR","EQY_CONSOLIDATED=Y","FA_ADJUSTED=GAAP","Sort=A","Dates=H","DateFormat=P","Fill=—","Direction=H","UseDPDF=Y")</f>
        <v>#NAME?</v>
      </c>
      <c r="R292" t="e">
        <f ca="1">_xll.BDH($C$278,"DVD_PAYOUT_RATIO","FQ4 2016","FQ4 2016","Currency=INR","Period=FQ","BEST_FPERIOD_OVERRIDE=FQ","FILING_STATUS=OR","EQY_CONSOLIDATED=Y","FA_ADJUSTED=GAAP","Sort=A","Dates=H","DateFormat=P","Fill=—","Direction=H","UseDPDF=Y")</f>
        <v>#NAME?</v>
      </c>
      <c r="S292" t="e">
        <f ca="1">_xll.BDH($C$278,"SUSTAIN_GROWTH_RT","FQ4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292" s="2" t="e">
        <f ca="1">_xll.BDH($C$278,"SALES_GROWTH","FQ4 2016","FQ4 2016","Currency=INR","Period=FQ","BEST_FPERIOD_OVERRIDE=FQ","FILING_STATUS=OR","EQY_CONSOLIDATED=Y","FA_ADJUSTED=GAAP","Sort=A","Dates=H","DateFormat=P","Fill=—","Direction=H","UseDPDF=Y")</f>
        <v>#NAME?</v>
      </c>
      <c r="U292" s="2" t="e">
        <f ca="1">_xll.BDH($C$278,"EBITDA_GROWTH","FQ4 2016","FQ4 2016","Currency=INR","Period=FQ","BEST_FPERIOD_OVERRIDE=FQ","FILING_STATUS=OR","EQY_CONSOLIDATED=Y","FA_ADJUSTED=GAAP","Sort=A","Dates=H","DateFormat=P","Fill=—","Direction=H","UseDPDF=Y")</f>
        <v>#NAME?</v>
      </c>
      <c r="V292" s="2" t="e">
        <f ca="1">_xll.BDH($C$278,"OPER_INC_GROWTH","FQ4 2016","FQ4 2016","Currency=INR","Period=FQ","BEST_FPERIOD_OVERRIDE=FQ","FILING_STATUS=OR","EQY_CONSOLIDATED=Y","FA_ADJUSTED=GAAP","Sort=A","Dates=H","DateFormat=P","Fill=—","Direction=H","UseDPDF=Y")</f>
        <v>#NAME?</v>
      </c>
      <c r="W292" s="2" t="e">
        <f ca="1">_xll.BDH($C$278,"EARN_FOR_COM_GROWTH","FQ4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292" s="2" t="e">
        <f ca="1">_xll.BDH($C$278,"DILUTED_EPS_AFT_XO_ITEMS_GROWTH","FQ4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292" s="2" t="e">
        <f ca="1">_xll.BDH($C$278,"DIVIDEND_PER_SHARE_1_YEAR_GROWTH","FQ4 2016","FQ4 2016","Currency=INR","Period=FQ","BEST_FPERIOD_OVERRIDE=FQ","FILING_STATUS=OR","EQY_CONSOLIDATED=Y","Sort=A","Dates=H","DateFormat=P","Fill=—","Direction=H","UseDPDF=Y")</f>
        <v>#NAME?</v>
      </c>
      <c r="Z292" s="2" t="e">
        <f ca="1">_xll.BDH($C$278,"ACCOUNTS_RECEIVABLE_GROWTH","FQ4 2016","FQ4 2016","Currency=INR","Period=FQ","BEST_FPERIOD_OVERRIDE=FQ","FILING_STATUS=OR","EQY_CONSOLIDATED=Y","Sort=A","Dates=H","DateFormat=P","Fill=—","Direction=H","UseDPDF=Y")</f>
        <v>#NAME?</v>
      </c>
      <c r="AA292" s="2" t="e">
        <f ca="1">_xll.BDH($C$278,"INVENTORY_GROWTH","FQ4 2016","FQ4 2016","Currency=INR","Period=FQ","BEST_FPERIOD_OVERRIDE=FQ","FILING_STATUS=OR","EQY_CONSOLIDATED=Y","Sort=A","Dates=H","DateFormat=P","Fill=—","Direction=H","UseDPDF=Y")</f>
        <v>#NAME?</v>
      </c>
      <c r="AB292" s="2" t="e">
        <f ca="1">_xll.BDH($C$278,"NET_FIXED_ASSETS_1_YEAR_GROWTH","FQ4 2016","FQ4 2016","Currency=INR","Period=FQ","BEST_FPERIOD_OVERRIDE=FQ","FILING_STATUS=OR","EQY_CONSOLIDATED=Y","Sort=A","Dates=H","DateFormat=P","Fill=—","Direction=H","UseDPDF=Y")</f>
        <v>#NAME?</v>
      </c>
      <c r="AC292" s="2" t="e">
        <f ca="1">_xll.BDH($C$278,"ASSET_GROWTH","FQ4 2016","FQ4 2016","Currency=INR","Period=FQ","BEST_FPERIOD_OVERRIDE=FQ","FILING_STATUS=OR","EQY_CONSOLIDATED=Y","Sort=A","Dates=H","DateFormat=P","Fill=—","Direction=H","UseDPDF=Y")</f>
        <v>#NAME?</v>
      </c>
      <c r="AD292" s="2" t="e">
        <f ca="1">_xll.BDH($C$278,"MODIFIED_WORK_CAP_GROWTH","FQ4 2016","FQ4 2016","Currency=INR","Period=FQ","BEST_FPERIOD_OVERRIDE=FQ","FILING_STATUS=OR","EQY_CONSOLIDATED=Y","Sort=A","Dates=H","DateFormat=P","Fill=—","Direction=H","UseDPDF=Y")</f>
        <v>#NAME?</v>
      </c>
      <c r="AE292" s="2" t="e">
        <f ca="1">_xll.BDH($C$278,"WORK_CAP_GROWTH","FQ4 2016","FQ4 2016","Currency=INR","Period=FQ","BEST_FPERIOD_OVERRIDE=FQ","FILING_STATUS=OR","EQY_CONSOLIDATED=Y","Sort=A","Dates=H","DateFormat=P","Fill=—","Direction=H","UseDPDF=Y")</f>
        <v>#NAME?</v>
      </c>
      <c r="AF292" s="2" t="e">
        <f ca="1">_xll.BDH($C$278,"ACCOUNTS_PAYABLE_GROWTH_1YR","FQ4 2016","FQ4 2016","Currency=INR","Period=FQ","BEST_FPERIOD_OVERRIDE=FQ","FILING_STATUS=OR","EQY_CONSOLIDATED=Y","Sort=A","Dates=H","DateFormat=P","Fill=—","Direction=H","UseDPDF=Y")</f>
        <v>#NAME?</v>
      </c>
      <c r="AG292" s="2" t="e">
        <f ca="1">_xll.BDH($C$278,"SHORT_TERM_DEBT_1_YEAR_GROWTH","FQ4 2016","FQ4 2016","Currency=INR","Period=FQ","BEST_FPERIOD_OVERRIDE=FQ","FILING_STATUS=OR","EQY_CONSOLIDATED=Y","Sort=A","Dates=H","DateFormat=P","Fill=—","Direction=H","UseDPDF=Y")</f>
        <v>#NAME?</v>
      </c>
      <c r="AH292" s="2" t="e">
        <f ca="1">_xll.BDH($C$278,"TOTAL_DEBT_1_YEAR_GROWTH","FQ4 2016","FQ4 2016","Currency=INR","Period=FQ","BEST_FPERIOD_OVERRIDE=FQ","FILING_STATUS=OR","EQY_CONSOLIDATED=Y","Sort=A","Dates=H","DateFormat=P","Fill=—","Direction=H","UseDPDF=Y")</f>
        <v>#NAME?</v>
      </c>
      <c r="AI292" s="2" t="e">
        <f ca="1">_xll.BDH($C$278,"TOTAL_EQUITY_1_YEAR_GROWTH","FQ4 2016","FQ4 2016","Currency=INR","Period=FQ","BEST_FPERIOD_OVERRIDE=FQ","FILING_STATUS=OR","EQY_CONSOLIDATED=Y","Sort=A","Dates=H","DateFormat=P","Fill=—","Direction=H","UseDPDF=Y")</f>
        <v>#NAME?</v>
      </c>
      <c r="AJ292" s="2" t="e">
        <f ca="1">_xll.BDH($C$278,"GROWTH_IN_CAP","FQ4 2016","FQ4 2016","Currency=INR","Period=FQ","BEST_FPERIOD_OVERRIDE=FQ","FILING_STATUS=OR","EQY_CONSOLIDATED=Y","Sort=A","Dates=H","DateFormat=P","Fill=—","Direction=H","UseDPDF=Y")</f>
        <v>#NAME?</v>
      </c>
      <c r="AK292" s="2" t="e">
        <f ca="1">_xll.BDH($C$278,"BVPS_GROWTH","FQ4 2016","FQ4 2016","Currency=INR","Period=FQ","BEST_FPERIOD_OVERRIDE=FQ","FILING_STATUS=OR","EQY_CONSOLIDATED=Y","Sort=A","Dates=H","DateFormat=P","Fill=—","Direction=H","UseDPDF=Y")</f>
        <v>#NAME?</v>
      </c>
      <c r="AL292" s="2" t="e">
        <f ca="1">_xll.BDH($C$278,"CASH_FLOW_GROWTH","FQ4 2016","FQ4 2016","Currency=INR","Period=FQ","BEST_FPERIOD_OVERRIDE=FQ","FILING_STATUS=OR","EQY_CONSOLIDATED=Y","Sort=A","Dates=H","DateFormat=P","Fill=—","Direction=H","UseDPDF=Y")</f>
        <v>#NAME?</v>
      </c>
      <c r="AM292" s="2" t="e">
        <f ca="1">_xll.BDH($C$278,"GEO_GROW_NET_SALES","FQ4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292" s="2" t="e">
        <f ca="1">_xll.BDH($C$278,"GEO_GROW_EBITDA","FQ4 2016","FQ4 2016","Currency=INR","Period=FQ","BEST_FPERIOD_OVERRIDE=FQ","FILING_STATUS=OR","EQY_CONSOLIDATED=Y","FA_ADJUSTED=GAAP","Sort=A","Dates=H","DateFormat=P","Fill=—","Direction=H","UseDPDF=Y")</f>
        <v>#NAME?</v>
      </c>
      <c r="AO292" s="2" t="e">
        <f ca="1">_xll.BDH($C$278,"GEO_GROW_OPER_INC","FQ4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292" s="2" t="e">
        <f ca="1">_xll.BDH($C$278,"NET_INCOME_TO_COMMON_5_YR_GROWTH","FQ4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292" s="2" t="e">
        <f ca="1">_xll.BDH($C$278,"5Y_GEO_GROWTH_DILUTED_EPS","FQ4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292" s="2" t="e">
        <f ca="1">_xll.BDH($C$278,"GEO_GROW_DVD_PER_SH","FQ4 2016","FQ4 2016","Currency=INR","Period=FQ","BEST_FPERIOD_OVERRIDE=FQ","FILING_STATUS=OR","EQY_CONSOLIDATED=Y","Sort=A","Dates=H","DateFormat=P","Fill=—","Direction=H","UseDPDF=Y")</f>
        <v>#NAME?</v>
      </c>
      <c r="AS292" s="2" t="e">
        <f ca="1">_xll.BDH($C$278,"ACCOUNTS_RECEIVABLE_5_YR_GROWTH","FQ4 2016","FQ4 2016","Currency=INR","Period=FQ","BEST_FPERIOD_OVERRIDE=FQ","FILING_STATUS=OR","EQY_CONSOLIDATED=Y","Sort=A","Dates=H","DateFormat=P","Fill=—","Direction=H","UseDPDF=Y")</f>
        <v>#NAME?</v>
      </c>
      <c r="AT292" s="2" t="e">
        <f ca="1">_xll.BDH($C$278,"INVENTORY_5_YEAR_GROWTH","FQ4 2016","FQ4 2016","Currency=INR","Period=FQ","BEST_FPERIOD_OVERRIDE=FQ","FILING_STATUS=OR","EQY_CONSOLIDATED=Y","Sort=A","Dates=H","DateFormat=P","Fill=—","Direction=H","UseDPDF=Y")</f>
        <v>#NAME?</v>
      </c>
      <c r="AU292" s="2" t="e">
        <f ca="1">_xll.BDH($C$278,"NET_FIXED_ASSETS_5_YEAR_GROWTH","FQ4 2016","FQ4 2016","Currency=INR","Period=FQ","BEST_FPERIOD_OVERRIDE=FQ","FILING_STATUS=OR","EQY_CONSOLIDATED=Y","Sort=A","Dates=H","DateFormat=P","Fill=—","Direction=H","UseDPDF=Y")</f>
        <v>#NAME?</v>
      </c>
      <c r="AV292" s="2" t="e">
        <f ca="1">_xll.BDH($C$278,"GEO_GROW_TOT_ASSET","FQ4 2016","FQ4 2016","Currency=INR","Period=FQ","BEST_FPERIOD_OVERRIDE=FQ","FILING_STATUS=OR","EQY_CONSOLIDATED=Y","Sort=A","Dates=H","DateFormat=P","Fill=—","Direction=H","UseDPDF=Y")</f>
        <v>#NAME?</v>
      </c>
      <c r="AW292" s="2" t="e">
        <f ca="1">_xll.BDH($C$278,"MODIFIED_WORKING_CPTL_5YR_GRWTH","FQ4 2016","FQ4 2016","Currency=INR","Period=FQ","BEST_FPERIOD_OVERRIDE=FQ","FILING_STATUS=OR","EQY_CONSOLIDATED=Y","Sort=A","Dates=H","DateFormat=P","Fill=—","Direction=H","UseDPDF=Y")</f>
        <v>#NAME?</v>
      </c>
      <c r="AX292" s="2" t="e">
        <f ca="1">_xll.BDH($C$278,"WORKING_CAPITAL_5_YEAR_GROWTH","FQ4 2016","FQ4 2016","Currency=INR","Period=FQ","BEST_FPERIOD_OVERRIDE=FQ","FILING_STATUS=OR","EQY_CONSOLIDATED=Y","Sort=A","Dates=H","DateFormat=P","Fill=—","Direction=H","UseDPDF=Y")</f>
        <v>#NAME?</v>
      </c>
      <c r="AY292" s="2" t="e">
        <f ca="1">_xll.BDH($C$278,"ACCOUNTS_PAYABLE_5_YEAR_GROWTH","FQ4 2016","FQ4 2016","Currency=INR","Period=FQ","BEST_FPERIOD_OVERRIDE=FQ","FILING_STATUS=OR","EQY_CONSOLIDATED=Y","Sort=A","Dates=H","DateFormat=P","Fill=—","Direction=H","UseDPDF=Y")</f>
        <v>#NAME?</v>
      </c>
      <c r="AZ292" s="2" t="e">
        <f ca="1">_xll.BDH($C$278,"SHORT_TERM_DEBT_5_YEAR_GROWTH","FQ4 2016","FQ4 2016","Currency=INR","Period=FQ","BEST_FPERIOD_OVERRIDE=FQ","FILING_STATUS=OR","EQY_CONSOLIDATED=Y","Sort=A","Dates=H","DateFormat=P","Fill=—","Direction=H","UseDPDF=Y")</f>
        <v>#NAME?</v>
      </c>
      <c r="BA292" s="2" t="e">
        <f ca="1">_xll.BDH($C$278,"TOTAL_DEBT_5_YEAR_GROWTH","FQ4 2016","FQ4 2016","Currency=INR","Period=FQ","BEST_FPERIOD_OVERRIDE=FQ","FILING_STATUS=OR","EQY_CONSOLIDATED=Y","Sort=A","Dates=H","DateFormat=P","Fill=—","Direction=H","UseDPDF=Y")</f>
        <v>#NAME?</v>
      </c>
      <c r="BB292" s="2" t="e">
        <f ca="1">_xll.BDH($C$278,"GEO_GROW_TOT_SHRHLDR_EQY","FQ4 2016","FQ4 2016","Currency=INR","Period=FQ","BEST_FPERIOD_OVERRIDE=FQ","FILING_STATUS=OR","EQY_CONSOLIDATED=Y","Sort=A","Dates=H","DateFormat=P","Fill=—","Direction=H","UseDPDF=Y")</f>
        <v>#NAME?</v>
      </c>
      <c r="BC292" s="2" t="e">
        <f ca="1">_xll.BDH($C$278,"TOTAL_CAPITAL_5_YEAR_GROWTH","FQ4 2016","FQ4 2016","Currency=INR","Period=FQ","BEST_FPERIOD_OVERRIDE=FQ","FILING_STATUS=OR","EQY_CONSOLIDATED=Y","Sort=A","Dates=H","DateFormat=P","Fill=—","Direction=H","UseDPDF=Y")</f>
        <v>#NAME?</v>
      </c>
      <c r="BD292" s="2" t="e">
        <f ca="1">_xll.BDH($C$278,"GEO_GROW_BOOK_VAL","FQ4 2016","FQ4 2016","Currency=INR","Period=FQ","BEST_FPERIOD_OVERRIDE=FQ","FILING_STATUS=OR","EQY_CONSOLIDATED=Y","Sort=A","Dates=H","DateFormat=P","Fill=—","Direction=H","UseDPDF=Y")</f>
        <v>#NAME?</v>
      </c>
      <c r="BE292" s="2" t="e">
        <f ca="1">_xll.BDH($C$278,"GEO_GROW_CASH_OPER_ACT","FQ4 2016","FQ4 2016","Currency=INR","Period=FQ","BEST_FPERIOD_OVERRIDE=FQ","FILING_STATUS=OR","EQY_CONSOLIDATED=Y","Sort=A","Dates=H","DateFormat=P","Fill=—","Direction=H","UseDPDF=Y")</f>
        <v>#NAME?</v>
      </c>
      <c r="BF292" s="2" t="e">
        <f ca="1">_xll.BDH($C$278,"REVENUE_SEQUENTIAL_GROWTH","FQ4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292" s="2" t="e">
        <f ca="1">_xll.BDH($C$278,"EBITDA_SEQUENTIAL_GROWTH","FQ4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292" s="2" t="e">
        <f ca="1">_xll.BDH($C$278,"OPERATING_INCOME_SEQ_GROWTH","FQ4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292" s="2" t="e">
        <f ca="1">_xll.BDH($C$278,"NET_INCOME_TO_COMMON_SEQ_GROWTH","FQ4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292" s="2" t="e">
        <f ca="1">_xll.BDH($C$278,"EPS_DILUTED_SEQUENTIAL_GROWTH","FQ4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292" s="2" t="e">
        <f ca="1">_xll.BDH($C$278,"DPS_SEQUENTIAL_GROWTH","FQ4 2016","FQ4 2016","Currency=INR","Period=FQ","BEST_FPERIOD_OVERRIDE=FQ","FILING_STATUS=OR","EQY_CONSOLIDATED=Y","Sort=A","Dates=H","DateFormat=P","Fill=—","Direction=H","UseDPDF=Y")</f>
        <v>#NAME?</v>
      </c>
      <c r="BL292" s="2" t="e">
        <f ca="1">_xll.BDH($C$278,"ACCOUNTS_RECEIVABLE_SEQ_GROWTH","FQ4 2016","FQ4 2016","Currency=INR","Period=FQ","BEST_FPERIOD_OVERRIDE=FQ","FILING_STATUS=OR","EQY_CONSOLIDATED=Y","Sort=A","Dates=H","DateFormat=P","Fill=—","Direction=H","UseDPDF=Y")</f>
        <v>#NAME?</v>
      </c>
      <c r="BM292" s="2" t="e">
        <f ca="1">_xll.BDH($C$278,"INVENTORY_SEQUENTIAL_GROWTH","FQ4 2016","FQ4 2016","Currency=INR","Period=FQ","BEST_FPERIOD_OVERRIDE=FQ","FILING_STATUS=OR","EQY_CONSOLIDATED=Y","Sort=A","Dates=H","DateFormat=P","Fill=—","Direction=H","UseDPDF=Y")</f>
        <v>#NAME?</v>
      </c>
      <c r="BN292" s="2" t="e">
        <f ca="1">_xll.BDH($C$278,"FIXED_ASSETS_SEQUENTIAL_GROWTH","FQ4 2016","FQ4 2016","Currency=INR","Period=FQ","BEST_FPERIOD_OVERRIDE=FQ","FILING_STATUS=OR","EQY_CONSOLIDATED=Y","Sort=A","Dates=H","DateFormat=P","Fill=—","Direction=H","UseDPDF=Y")</f>
        <v>#NAME?</v>
      </c>
      <c r="BO292" s="2" t="e">
        <f ca="1">_xll.BDH($C$278,"TOTAL_ASSETS_SEQUENTIAL_GROWTH","FQ4 2016","FQ4 2016","Currency=INR","Period=FQ","BEST_FPERIOD_OVERRIDE=FQ","FILING_STATUS=OR","EQY_CONSOLIDATED=Y","Sort=A","Dates=H","DateFormat=P","Fill=—","Direction=H","UseDPDF=Y")</f>
        <v>#NAME?</v>
      </c>
      <c r="BP292" s="2" t="e">
        <f ca="1">_xll.BDH($C$278,"MODIFIED_WORKING_CPTL_SEQ_GRWTH","FQ4 2016","FQ4 2016","Currency=INR","Period=FQ","BEST_FPERIOD_OVERRIDE=FQ","FILING_STATUS=OR","EQY_CONSOLIDATED=Y","Sort=A","Dates=H","DateFormat=P","Fill=—","Direction=H","UseDPDF=Y")</f>
        <v>#NAME?</v>
      </c>
      <c r="BQ292" s="2" t="e">
        <f ca="1">_xll.BDH($C$278,"WORKING_CAPITAL_SEQ_GROWTH","FQ4 2016","FQ4 2016","Currency=INR","Period=FQ","BEST_FPERIOD_OVERRIDE=FQ","FILING_STATUS=OR","EQY_CONSOLIDATED=Y","Sort=A","Dates=H","DateFormat=P","Fill=—","Direction=H","UseDPDF=Y")</f>
        <v>#NAME?</v>
      </c>
      <c r="BR292" s="2" t="e">
        <f ca="1">_xll.BDH($C$278,"ACCOUNTS_PAYABLE_SEQ_GROWTH","FQ4 2016","FQ4 2016","Currency=INR","Period=FQ","BEST_FPERIOD_OVERRIDE=FQ","FILING_STATUS=OR","EQY_CONSOLIDATED=Y","Sort=A","Dates=H","DateFormat=P","Fill=—","Direction=H","UseDPDF=Y")</f>
        <v>#NAME?</v>
      </c>
      <c r="BS292" s="2" t="e">
        <f ca="1">_xll.BDH($C$278,"ST_DEBT_SEQUENTIAL_GROWTH","FQ4 2016","FQ4 2016","Currency=INR","Period=FQ","BEST_FPERIOD_OVERRIDE=FQ","FILING_STATUS=OR","EQY_CONSOLIDATED=Y","Sort=A","Dates=H","DateFormat=P","Fill=—","Direction=H","UseDPDF=Y")</f>
        <v>#NAME?</v>
      </c>
      <c r="BT292" s="2" t="e">
        <f ca="1">_xll.BDH($C$278,"TOTAL_DEBT_SEQUENTIAL_GROWTH","FQ4 2016","FQ4 2016","Currency=INR","Period=FQ","BEST_FPERIOD_OVERRIDE=FQ","FILING_STATUS=OR","EQY_CONSOLIDATED=Y","Sort=A","Dates=H","DateFormat=P","Fill=—","Direction=H","UseDPDF=Y")</f>
        <v>#NAME?</v>
      </c>
      <c r="BU292" s="2" t="e">
        <f ca="1">_xll.BDH($C$278,"TOTAL_EQUITY_SEQUENTIAL_GROWTH","FQ4 2016","FQ4 2016","Currency=INR","Period=FQ","BEST_FPERIOD_OVERRIDE=FQ","FILING_STATUS=OR","EQY_CONSOLIDATED=Y","Sort=A","Dates=H","DateFormat=P","Fill=—","Direction=H","UseDPDF=Y")</f>
        <v>#NAME?</v>
      </c>
      <c r="BV292" s="2" t="e">
        <f ca="1">_xll.BDH($C$278,"TOTAL_CAPITAL_SEQUENTIAL_GROWTH","FQ4 2016","FQ4 2016","Currency=INR","Period=FQ","BEST_FPERIOD_OVERRIDE=FQ","FILING_STATUS=OR","EQY_CONSOLIDATED=Y","Sort=A","Dates=H","DateFormat=P","Fill=—","Direction=H","UseDPDF=Y")</f>
        <v>#NAME?</v>
      </c>
      <c r="BW292" s="2" t="e">
        <f ca="1">_xll.BDH($C$278,"BPS_SEQUENTIAL_GROWTH","FQ4 2016","FQ4 2016","Currency=INR","Period=FQ","BEST_FPERIOD_OVERRIDE=FQ","FILING_STATUS=OR","EQY_CONSOLIDATED=Y","Sort=A","Dates=H","DateFormat=P","Fill=—","Direction=H","UseDPDF=Y")</f>
        <v>#NAME?</v>
      </c>
      <c r="BX292" s="2" t="e">
        <f ca="1">_xll.BDH($C$278,"CFO_SEQUENTIAL_GROWTH","FQ4 2016","FQ4 2016","Currency=INR","Period=FQ","BEST_FPERIOD_OVERRIDE=FQ","FILING_STATUS=OR","EQY_CONSOLIDATED=Y","Sort=A","Dates=H","DateFormat=P","Fill=—","Direction=H","UseDPDF=Y")</f>
        <v>#NAME?</v>
      </c>
      <c r="BY292" s="3" t="e">
        <f ca="1">_xll.BDH($C$278,"SHORT_AND_LONG_TERM_DEBT","FQ4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292" s="3" t="e">
        <f ca="1">_xll.BDH($C$278,"BS_ST_BORROW","FQ4 2016","FQ4 2016","Currency=INR","Period=FQ","BEST_FPERIOD_OVERRIDE=FQ","FILING_STATUS=OR","EQY_CONSOLIDATED=Y","SCALING_FORMAT=MLN","Sort=A","Dates=H","DateFormat=P","Fill=—","Direction=H","UseDPDF=Y")</f>
        <v>#NAME?</v>
      </c>
      <c r="CA292" s="3" t="e">
        <f ca="1">_xll.BDH($C$278,"BS_LT_BORROW","FQ4 2016","FQ4 2016","Currency=INR","Period=FQ","BEST_FPERIOD_OVERRIDE=FQ","FILING_STATUS=OR","EQY_CONSOLIDATED=Y","SCALING_FORMAT=MLN","Sort=A","Dates=H","DateFormat=P","Fill=—","Direction=H","UseDPDF=Y")</f>
        <v>#NAME?</v>
      </c>
      <c r="CB292" s="2" t="e">
        <f ca="1">_xll.BDH($C$278,"TOT_DEBT_TO_EBITDA","FQ4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292" s="2" t="e">
        <f ca="1">_xll.BDH($C$278,"NET_DEBT_TO_EBITDA","FQ4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292" s="2" t="e">
        <f ca="1">_xll.BDH($C$278,"TOTAL_DEBT_TO_EBIT","FQ4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292" s="2" t="e">
        <f ca="1">_xll.BDH($C$278,"NET_DEBT_TO_EBIT","FQ4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292" s="2" t="e">
        <f ca="1">_xll.BDH($C$278,"EBITDA_TO_INTEREST_EXPN","FQ4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292" s="2" t="e">
        <f ca="1">_xll.BDH($C$278,"COM_EQY_TO_TOT_ASSET","FQ4 2016","FQ4 2016","Currency=INR","Period=FQ","BEST_FPERIOD_OVERRIDE=FQ","FILING_STATUS=OR","EQY_CONSOLIDATED=Y","Sort=A","Dates=H","DateFormat=P","Fill=—","Direction=H","UseDPDF=Y")</f>
        <v>#NAME?</v>
      </c>
      <c r="CH292" s="2" t="e">
        <f ca="1">_xll.BDH($C$278,"LT_DEBT_TO_TOT_EQY","FQ4 2016","FQ4 2016","Currency=INR","Period=FQ","BEST_FPERIOD_OVERRIDE=FQ","FILING_STATUS=OR","EQY_CONSOLIDATED=Y","Sort=A","Dates=H","DateFormat=P","Fill=—","Direction=H","UseDPDF=Y")</f>
        <v>#NAME?</v>
      </c>
      <c r="CI292" s="2" t="e">
        <f ca="1">_xll.BDH($C$278,"LT_DEBT_TO_TOT_CAP","FQ4 2016","FQ4 2016","Currency=INR","Period=FQ","BEST_FPERIOD_OVERRIDE=FQ","FILING_STATUS=OR","EQY_CONSOLIDATED=Y","Sort=A","Dates=H","DateFormat=P","Fill=—","Direction=H","UseDPDF=Y")</f>
        <v>#NAME?</v>
      </c>
      <c r="CJ292" s="2" t="e">
        <f ca="1">_xll.BDH($C$278,"LT_DEBT_TO_TOT_ASSET","FQ4 2016","FQ4 2016","Currency=INR","Period=FQ","BEST_FPERIOD_OVERRIDE=FQ","FILING_STATUS=OR","EQY_CONSOLIDATED=Y","Sort=A","Dates=H","DateFormat=P","Fill=—","Direction=H","UseDPDF=Y")</f>
        <v>#NAME?</v>
      </c>
      <c r="CK292" s="2" t="e">
        <f ca="1">_xll.BDH($C$278,"TOT_DEBT_TO_TOT_EQY","FQ4 2016","FQ4 2016","Currency=INR","Period=FQ","BEST_FPERIOD_OVERRIDE=FQ","FILING_STATUS=OR","EQY_CONSOLIDATED=Y","Sort=A","Dates=H","DateFormat=P","Fill=—","Direction=H","UseDPDF=Y")</f>
        <v>#NAME?</v>
      </c>
      <c r="CL292" s="2" t="e">
        <f ca="1">_xll.BDH($C$278,"TOT_DEBT_TO_TOT_CAP","FQ4 2016","FQ4 2016","Currency=INR","Period=FQ","BEST_FPERIOD_OVERRIDE=FQ","FILING_STATUS=OR","EQY_CONSOLIDATED=Y","Sort=A","Dates=H","DateFormat=P","Fill=—","Direction=H","UseDPDF=Y")</f>
        <v>#NAME?</v>
      </c>
      <c r="CM292" s="2" t="e">
        <f ca="1">_xll.BDH($C$278,"TOT_DEBT_TO_TOT_ASSET","FQ4 2016","FQ4 2016","Currency=INR","Period=FQ","BEST_FPERIOD_OVERRIDE=FQ","FILING_STATUS=OR","EQY_CONSOLIDATED=Y","Sort=A","Dates=H","DateFormat=P","Fill=—","Direction=H","UseDPDF=Y")</f>
        <v>#NAME?</v>
      </c>
      <c r="CN292" s="2" t="e">
        <f ca="1">_xll.BDH($C$278,"NET_DEBT_TO_SHRHLDR_EQTY","FQ4 2016","FQ4 2016","Currency=INR","Period=FQ","BEST_FPERIOD_OVERRIDE=FQ","FILING_STATUS=OR","EQY_CONSOLIDATED=Y","Sort=A","Dates=H","DateFormat=P","Fill=—","Direction=H","UseDPDF=Y")</f>
        <v>#NAME?</v>
      </c>
      <c r="CO292" s="2" t="e">
        <f ca="1">_xll.BDH($C$278,"NET_DEBT_%_CAPITAL","FQ4 2016","FQ4 2016","Currency=INR","Period=FQ","BEST_FPERIOD_OVERRIDE=FQ","FILING_STATUS=OR","EQY_CONSOLIDATED=Y","Sort=A","Dates=H","DateFormat=P","Fill=—","Direction=H","UseDPDF=Y")</f>
        <v>#NAME?</v>
      </c>
      <c r="CP292" s="3" t="e">
        <f ca="1">_xll.BDH($C$278,"EBITDA","FQ4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292" s="3" t="e">
        <f ca="1">_xll.BDH($C$278,"EBITDA_AFTER_CAPEX","FQ4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292" s="3" t="e">
        <f ca="1">_xll.BDH($C$278,"IS_OPER_INC","FQ4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292" s="2" t="e">
        <f ca="1">_xll.BDH($C$278,"CASH_RATIO","FQ4 2016","FQ4 2016","Currency=INR","Period=FQ","BEST_FPERIOD_OVERRIDE=FQ","FILING_STATUS=OR","EQY_CONSOLIDATED=Y","Sort=A","Dates=H","DateFormat=P","Fill=—","Direction=H","UseDPDF=Y")</f>
        <v>#NAME?</v>
      </c>
      <c r="CT292" s="2" t="e">
        <f ca="1">_xll.BDH($C$278,"CUR_RATIO","FQ4 2016","FQ4 2016","Currency=INR","Period=FQ","BEST_FPERIOD_OVERRIDE=FQ","FILING_STATUS=OR","EQY_CONSOLIDATED=Y","Sort=A","Dates=H","DateFormat=P","Fill=—","Direction=H","UseDPDF=Y")</f>
        <v>#NAME?</v>
      </c>
      <c r="CU292" s="2" t="e">
        <f ca="1">_xll.BDH($C$278,"QUICK_RATIO","FQ4 2016","FQ4 2016","Currency=INR","Period=FQ","BEST_FPERIOD_OVERRIDE=FQ","FILING_STATUS=OR","EQY_CONSOLIDATED=Y","Sort=A","Dates=H","DateFormat=P","Fill=—","Direction=H","UseDPDF=Y")</f>
        <v>#NAME?</v>
      </c>
      <c r="CV292" s="2" t="e">
        <f ca="1">_xll.BDH($C$278,"ALTMAN_Z_SCORE","FQ4 2016","FQ4 2016","Currency=INR","Period=FQ","BEST_FPERIOD_OVERRIDE=FQ","FILING_STATUS=OR","EQY_CONSOLIDATED=Y","Sort=A","Dates=H","DateFormat=P","Fill=—","Direction=H","UseDPDF=Y")</f>
        <v>#NAME?</v>
      </c>
      <c r="CW292" s="4" t="e">
        <f ca="1">_xll.BDH($C$278,"ACCT_RCV_TURN","FQ4 2016","FQ4 2016","Currency=INR","Period=FQ","BEST_FPERIOD_OVERRIDE=FQ","FILING_STATUS=OR","EQY_CONSOLIDATED=Y","FA_ADJUSTED=GAAP","Sort=A","Dates=H","DateFormat=P","Fill=—","Direction=H","UseDPDF=Y")</f>
        <v>#NAME?</v>
      </c>
      <c r="CX292" s="2" t="e">
        <f ca="1">_xll.BDH($C$278,"ACCT_RCV_DAYS","FQ4 2016","FQ4 2016","Currency=INR","Period=FQ","BEST_FPERIOD_OVERRIDE=FQ","FILING_STATUS=OR","EQY_CONSOLIDATED=Y","FA_ADJUSTED=GAAP","Sort=A","Dates=H","DateFormat=P","Fill=—","Direction=H","UseDPDF=Y")</f>
        <v>#NAME?</v>
      </c>
      <c r="CY292" s="4" t="e">
        <f ca="1">_xll.BDH($C$278,"INVENT_TURN","FQ4 2016","FQ4 2016","Currency=INR","Period=FQ","BEST_FPERIOD_OVERRIDE=FQ","FILING_STATUS=OR","EQY_CONSOLIDATED=Y","FA_ADJUSTED=GAAP","Sort=A","Dates=H","DateFormat=P","Fill=—","Direction=H","UseDPDF=Y")</f>
        <v>#NAME?</v>
      </c>
      <c r="CZ292" s="2" t="e">
        <f ca="1">_xll.BDH($C$278,"INVENT_DAYS","FQ4 2016","FQ4 2016","Currency=INR","Period=FQ","BEST_FPERIOD_OVERRIDE=FQ","FILING_STATUS=OR","EQY_CONSOLIDATED=Y","FA_ADJUSTED=GAAP","Sort=A","Dates=H","DateFormat=P","Fill=—","Direction=H","UseDPDF=Y")</f>
        <v>#NAME?</v>
      </c>
      <c r="DA292" s="4" t="e">
        <f ca="1">_xll.BDH($C$278,"ACCOUNTS_PAYABLE_TURNOVER","FQ4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292" s="2" t="e">
        <f ca="1">_xll.BDH($C$278,"ACCOUNTS_PAYABLE_TURNOVER_DAYS","FQ4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292" s="4" t="e">
        <f ca="1">_xll.BDH($C$278,"CASH_CONVERSION_CYCLE","FQ4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292" s="4" t="e">
        <f ca="1">_xll.BDH($C$278,"INV_TO_CASH_DAYS","FQ4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292" s="5" t="e">
        <f ca="1">_xll.BDH($C$278,"BS_INVENTORIES","FQ4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292" s="3" t="e">
        <f ca="1">_xll.BDH($C$278,"INVTRY_RAW_MATERIALS","FQ4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292" s="3" t="e">
        <f ca="1">_xll.BDH($C$278,"INVTRY_IN_PROGRESS","FQ4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292" s="3" t="e">
        <f ca="1">_xll.BDH($C$278,"INVTRY_FINISHED_GOODS","FQ4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292" s="3" t="e">
        <f ca="1">_xll.BDH($C$278,"BS_OTHER_INV","FQ4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293" spans="1:113" x14ac:dyDescent="0.3">
      <c r="A293" s="6"/>
      <c r="B293" s="6"/>
      <c r="C293" s="6"/>
      <c r="D293" s="6" t="s">
        <v>84</v>
      </c>
      <c r="E293" t="s">
        <v>77</v>
      </c>
      <c r="F293" t="e">
        <f ca="1">_xll.BDH($C$278,"RETURN_COM_EQY","FY 2017","FY 2017","Currency=INR","Period=FY","BEST_FPERIOD_OVERRIDE=FY","FILING_STATUS=OR","EQY_CONSOLIDATED=Y","FA_ADJUSTED=GAAP","Sort=A","Dates=H","DateFormat=P","Fill=—","Direction=H","UseDPDF=Y")</f>
        <v>#NAME?</v>
      </c>
      <c r="G293" t="e">
        <f ca="1">_xll.BDH($C$278,"RETURN_ON_ASSET","FY 2017","FY 2017","Currency=INR","Period=FY","BEST_FPERIOD_OVERRIDE=FY","FILING_STATUS=OR","EQY_CONSOLIDATED=Y","FA_ADJUSTED=GAAP","Sort=A","Dates=H","DateFormat=P","Fill=—","Direction=H","UseDPDF=Y")</f>
        <v>#NAME?</v>
      </c>
      <c r="H293" t="e">
        <f ca="1">_xll.BDH($C$278,"RETURN_ON_CAP","FY 2017","FY 2017","Currency=INR","Period=FY","BEST_FPERIOD_OVERRIDE=FY","FILING_STATUS=OR","EQY_CONSOLIDATED=Y","FA_ADJUSTED=GAAP","Sort=A","Dates=H","DateFormat=P","Fill=—","Direction=H","UseDPDF=Y")</f>
        <v>#NAME?</v>
      </c>
      <c r="I293" t="e">
        <f ca="1">_xll.BDH($C$278,"RETURN_ON_INV_CAPITAL","FY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293" t="e">
        <f ca="1">_xll.BDH($C$278,"EBITDA_TO_REVENUE","FY 2017","FY 2017","Currency=INR","Period=FY","BEST_FPERIOD_OVERRIDE=FY","FILING_STATUS=OR","EQY_CONSOLIDATED=Y","FA_ADJUSTED=GAAP","Sort=A","Dates=H","DateFormat=P","Fill=—","Direction=H","UseDPDF=Y")</f>
        <v>#NAME?</v>
      </c>
      <c r="K293" t="e">
        <f ca="1">_xll.BDH($C$278,"OPER_MARGIN","FY 2017","FY 2017","Currency=INR","Period=FY","BEST_FPERIOD_OVERRIDE=FY","FILING_STATUS=OR","EQY_CONSOLIDATED=Y","FA_ADJUSTED=GAAP","Sort=A","Dates=H","DateFormat=P","Fill=—","Direction=H","UseDPDF=Y")</f>
        <v>#NAME?</v>
      </c>
      <c r="L293" t="e">
        <f ca="1">_xll.BDH($C$278,"INCREMENTAL_OPERATING_MARGIN","FY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293" t="e">
        <f ca="1">_xll.BDH($C$278,"PRETAX_INC_TO_NET_SALES","FY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293" t="e">
        <f ca="1">_xll.BDH($C$278,"INC_BEF_XO_ITEMS_TO_NET_SALES","FY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293" t="e">
        <f ca="1">_xll.BDH($C$278,"PROF_MARGIN","FY 2017","FY 2017","Currency=INR","Period=FY","BEST_FPERIOD_OVERRIDE=FY","FILING_STATUS=OR","EQY_CONSOLIDATED=Y","FA_ADJUSTED=GAAP","Sort=A","Dates=H","DateFormat=P","Fill=—","Direction=H","UseDPDF=Y")</f>
        <v>#NAME?</v>
      </c>
      <c r="P293" t="e">
        <f ca="1">_xll.BDH($C$278,"NET_INCOME_TO_COMMON_MARGIN","FY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293" t="e">
        <f ca="1">_xll.BDH($C$278,"EFF_TAX_RATE","FY 2017","FY 2017","Currency=INR","Period=FY","BEST_FPERIOD_OVERRIDE=FY","FILING_STATUS=OR","EQY_CONSOLIDATED=Y","FA_ADJUSTED=GAAP","Sort=A","Dates=H","DateFormat=P","Fill=—","Direction=H","UseDPDF=Y")</f>
        <v>#NAME?</v>
      </c>
      <c r="R293" t="e">
        <f ca="1">_xll.BDH($C$278,"DVD_PAYOUT_RATIO","FY 2017","FY 2017","Currency=INR","Period=FY","BEST_FPERIOD_OVERRIDE=FY","FILING_STATUS=OR","EQY_CONSOLIDATED=Y","FA_ADJUSTED=GAAP","Sort=A","Dates=H","DateFormat=P","Fill=—","Direction=H","UseDPDF=Y")</f>
        <v>#NAME?</v>
      </c>
      <c r="S293" t="e">
        <f ca="1">_xll.BDH($C$278,"SUSTAIN_GROWTH_RT","FY 2017","FY 2017","Currency=INR","Period=FY","BEST_FPERIOD_OVERRIDE=FY","FILING_STATUS=OR","EQY_CONSOLIDATED=Y","FA_ADJUSTED=GAAP","Sort=A","Dates=H","DateFormat=P","Fill=—","Direction=H","UseDPDF=Y")</f>
        <v>#NAME?</v>
      </c>
      <c r="T293" s="2" t="e">
        <f ca="1">_xll.BDH($C$278,"SALES_GROWTH","FY 2017","FY 2017","Currency=INR","Period=FY","BEST_FPERIOD_OVERRIDE=FY","FILING_STATUS=OR","EQY_CONSOLIDATED=Y","FA_ADJUSTED=GAAP","Sort=A","Dates=H","DateFormat=P","Fill=—","Direction=H","UseDPDF=Y")</f>
        <v>#NAME?</v>
      </c>
      <c r="U293" s="2" t="e">
        <f ca="1">_xll.BDH($C$278,"EBITDA_GROWTH","FY 2017","FY 2017","Currency=INR","Period=FY","BEST_FPERIOD_OVERRIDE=FY","FILING_STATUS=OR","EQY_CONSOLIDATED=Y","FA_ADJUSTED=GAAP","Sort=A","Dates=H","DateFormat=P","Fill=—","Direction=H","UseDPDF=Y")</f>
        <v>#NAME?</v>
      </c>
      <c r="V293" s="2" t="e">
        <f ca="1">_xll.BDH($C$278,"OPER_INC_GROWTH","FY 2017","FY 2017","Currency=INR","Period=FY","BEST_FPERIOD_OVERRIDE=FY","FILING_STATUS=OR","EQY_CONSOLIDATED=Y","FA_ADJUSTED=GAAP","Sort=A","Dates=H","DateFormat=P","Fill=—","Direction=H","UseDPDF=Y")</f>
        <v>#NAME?</v>
      </c>
      <c r="W293" s="2" t="e">
        <f ca="1">_xll.BDH($C$278,"EARN_FOR_COM_GROWTH","FY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293" s="2" t="e">
        <f ca="1">_xll.BDH($C$278,"DILUTED_EPS_AFT_XO_ITEMS_GROWTH","FY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293" s="2" t="e">
        <f ca="1">_xll.BDH($C$278,"DIVIDEND_PER_SHARE_1_YEAR_GROWTH","FY 2017","FY 2017","Currency=INR","Period=FY","BEST_FPERIOD_OVERRIDE=FY","FILING_STATUS=OR","EQY_CONSOLIDATED=Y","Sort=A","Dates=H","DateFormat=P","Fill=—","Direction=H","UseDPDF=Y")</f>
        <v>#NAME?</v>
      </c>
      <c r="Z293" s="2" t="e">
        <f ca="1">_xll.BDH($C$278,"ACCOUNTS_RECEIVABLE_GROWTH","FY 2017","FY 2017","Currency=INR","Period=FY","BEST_FPERIOD_OVERRIDE=FY","FILING_STATUS=OR","EQY_CONSOLIDATED=Y","Sort=A","Dates=H","DateFormat=P","Fill=—","Direction=H","UseDPDF=Y")</f>
        <v>#NAME?</v>
      </c>
      <c r="AA293" s="2" t="e">
        <f ca="1">_xll.BDH($C$278,"INVENTORY_GROWTH","FY 2017","FY 2017","Currency=INR","Period=FY","BEST_FPERIOD_OVERRIDE=FY","FILING_STATUS=OR","EQY_CONSOLIDATED=Y","Sort=A","Dates=H","DateFormat=P","Fill=—","Direction=H","UseDPDF=Y")</f>
        <v>#NAME?</v>
      </c>
      <c r="AB293" s="2" t="e">
        <f ca="1">_xll.BDH($C$278,"NET_FIXED_ASSETS_1_YEAR_GROWTH","FY 2017","FY 2017","Currency=INR","Period=FY","BEST_FPERIOD_OVERRIDE=FY","FILING_STATUS=OR","EQY_CONSOLIDATED=Y","Sort=A","Dates=H","DateFormat=P","Fill=—","Direction=H","UseDPDF=Y")</f>
        <v>#NAME?</v>
      </c>
      <c r="AC293" s="2" t="e">
        <f ca="1">_xll.BDH($C$278,"ASSET_GROWTH","FY 2017","FY 2017","Currency=INR","Period=FY","BEST_FPERIOD_OVERRIDE=FY","FILING_STATUS=OR","EQY_CONSOLIDATED=Y","Sort=A","Dates=H","DateFormat=P","Fill=—","Direction=H","UseDPDF=Y")</f>
        <v>#NAME?</v>
      </c>
      <c r="AD293" s="2" t="e">
        <f ca="1">_xll.BDH($C$278,"MODIFIED_WORK_CAP_GROWTH","FY 2017","FY 2017","Currency=INR","Period=FY","BEST_FPERIOD_OVERRIDE=FY","FILING_STATUS=OR","EQY_CONSOLIDATED=Y","Sort=A","Dates=H","DateFormat=P","Fill=—","Direction=H","UseDPDF=Y")</f>
        <v>#NAME?</v>
      </c>
      <c r="AE293" s="2" t="e">
        <f ca="1">_xll.BDH($C$278,"WORK_CAP_GROWTH","FY 2017","FY 2017","Currency=INR","Period=FY","BEST_FPERIOD_OVERRIDE=FY","FILING_STATUS=OR","EQY_CONSOLIDATED=Y","Sort=A","Dates=H","DateFormat=P","Fill=—","Direction=H","UseDPDF=Y")</f>
        <v>#NAME?</v>
      </c>
      <c r="AF293" s="2" t="e">
        <f ca="1">_xll.BDH($C$278,"ACCOUNTS_PAYABLE_GROWTH_1YR","FY 2017","FY 2017","Currency=INR","Period=FY","BEST_FPERIOD_OVERRIDE=FY","FILING_STATUS=OR","EQY_CONSOLIDATED=Y","Sort=A","Dates=H","DateFormat=P","Fill=—","Direction=H","UseDPDF=Y")</f>
        <v>#NAME?</v>
      </c>
      <c r="AG293" s="2" t="e">
        <f ca="1">_xll.BDH($C$278,"SHORT_TERM_DEBT_1_YEAR_GROWTH","FY 2017","FY 2017","Currency=INR","Period=FY","BEST_FPERIOD_OVERRIDE=FY","FILING_STATUS=OR","EQY_CONSOLIDATED=Y","Sort=A","Dates=H","DateFormat=P","Fill=—","Direction=H","UseDPDF=Y")</f>
        <v>#NAME?</v>
      </c>
      <c r="AH293" s="2" t="e">
        <f ca="1">_xll.BDH($C$278,"TOTAL_DEBT_1_YEAR_GROWTH","FY 2017","FY 2017","Currency=INR","Period=FY","BEST_FPERIOD_OVERRIDE=FY","FILING_STATUS=OR","EQY_CONSOLIDATED=Y","Sort=A","Dates=H","DateFormat=P","Fill=—","Direction=H","UseDPDF=Y")</f>
        <v>#NAME?</v>
      </c>
      <c r="AI293" s="2" t="e">
        <f ca="1">_xll.BDH($C$278,"TOTAL_EQUITY_1_YEAR_GROWTH","FY 2017","FY 2017","Currency=INR","Period=FY","BEST_FPERIOD_OVERRIDE=FY","FILING_STATUS=OR","EQY_CONSOLIDATED=Y","Sort=A","Dates=H","DateFormat=P","Fill=—","Direction=H","UseDPDF=Y")</f>
        <v>#NAME?</v>
      </c>
      <c r="AJ293" s="2" t="e">
        <f ca="1">_xll.BDH($C$278,"GROWTH_IN_CAP","FY 2017","FY 2017","Currency=INR","Period=FY","BEST_FPERIOD_OVERRIDE=FY","FILING_STATUS=OR","EQY_CONSOLIDATED=Y","Sort=A","Dates=H","DateFormat=P","Fill=—","Direction=H","UseDPDF=Y")</f>
        <v>#NAME?</v>
      </c>
      <c r="AK293" s="2" t="e">
        <f ca="1">_xll.BDH($C$278,"BVPS_GROWTH","FY 2017","FY 2017","Currency=INR","Period=FY","BEST_FPERIOD_OVERRIDE=FY","FILING_STATUS=OR","EQY_CONSOLIDATED=Y","Sort=A","Dates=H","DateFormat=P","Fill=—","Direction=H","UseDPDF=Y")</f>
        <v>#NAME?</v>
      </c>
      <c r="AL293" s="2" t="e">
        <f ca="1">_xll.BDH($C$278,"CASH_FLOW_GROWTH","FY 2017","FY 2017","Currency=INR","Period=FY","BEST_FPERIOD_OVERRIDE=FY","FILING_STATUS=OR","EQY_CONSOLIDATED=Y","Sort=A","Dates=H","DateFormat=P","Fill=—","Direction=H","UseDPDF=Y")</f>
        <v>#NAME?</v>
      </c>
      <c r="AM293" s="2" t="e">
        <f ca="1">_xll.BDH($C$278,"GEO_GROW_NET_SALES","FY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293" s="2" t="e">
        <f ca="1">_xll.BDH($C$278,"GEO_GROW_EBITDA","FY 2017","FY 2017","Currency=INR","Period=FY","BEST_FPERIOD_OVERRIDE=FY","FILING_STATUS=OR","EQY_CONSOLIDATED=Y","FA_ADJUSTED=GAAP","Sort=A","Dates=H","DateFormat=P","Fill=—","Direction=H","UseDPDF=Y")</f>
        <v>#NAME?</v>
      </c>
      <c r="AO293" s="2" t="e">
        <f ca="1">_xll.BDH($C$278,"GEO_GROW_OPER_INC","FY 2017","FY 2017","Currency=INR","Period=FY","BEST_FPERIOD_OVERRIDE=FY","FILING_STATUS=OR","EQY_CONSOLIDATED=Y","FA_ADJUSTED=GAAP","Sort=A","Dates=H","DateFormat=P","Fill=—","Direction=H","UseDPDF=Y")</f>
        <v>#NAME?</v>
      </c>
      <c r="AP293" s="2" t="e">
        <f ca="1">_xll.BDH($C$278,"NET_INCOME_TO_COMMON_5_YR_GROWTH","FY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293" s="2" t="e">
        <f ca="1">_xll.BDH($C$278,"5Y_GEO_GROWTH_DILUTED_EPS","FY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293" s="2" t="e">
        <f ca="1">_xll.BDH($C$278,"GEO_GROW_DVD_PER_SH","FY 2017","FY 2017","Currency=INR","Period=FY","BEST_FPERIOD_OVERRIDE=FY","FILING_STATUS=OR","EQY_CONSOLIDATED=Y","Sort=A","Dates=H","DateFormat=P","Fill=—","Direction=H","UseDPDF=Y")</f>
        <v>#NAME?</v>
      </c>
      <c r="AS293" s="2" t="e">
        <f ca="1">_xll.BDH($C$278,"ACCOUNTS_RECEIVABLE_5_YR_GROWTH","FY 2017","FY 2017","Currency=INR","Period=FY","BEST_FPERIOD_OVERRIDE=FY","FILING_STATUS=OR","EQY_CONSOLIDATED=Y","Sort=A","Dates=H","DateFormat=P","Fill=—","Direction=H","UseDPDF=Y")</f>
        <v>#NAME?</v>
      </c>
      <c r="AT293" s="2" t="e">
        <f ca="1">_xll.BDH($C$278,"INVENTORY_5_YEAR_GROWTH","FY 2017","FY 2017","Currency=INR","Period=FY","BEST_FPERIOD_OVERRIDE=FY","FILING_STATUS=OR","EQY_CONSOLIDATED=Y","Sort=A","Dates=H","DateFormat=P","Fill=—","Direction=H","UseDPDF=Y")</f>
        <v>#NAME?</v>
      </c>
      <c r="AU293" s="2" t="e">
        <f ca="1">_xll.BDH($C$278,"NET_FIXED_ASSETS_5_YEAR_GROWTH","FY 2017","FY 2017","Currency=INR","Period=FY","BEST_FPERIOD_OVERRIDE=FY","FILING_STATUS=OR","EQY_CONSOLIDATED=Y","Sort=A","Dates=H","DateFormat=P","Fill=—","Direction=H","UseDPDF=Y")</f>
        <v>#NAME?</v>
      </c>
      <c r="AV293" s="2" t="e">
        <f ca="1">_xll.BDH($C$278,"GEO_GROW_TOT_ASSET","FY 2017","FY 2017","Currency=INR","Period=FY","BEST_FPERIOD_OVERRIDE=FY","FILING_STATUS=OR","EQY_CONSOLIDATED=Y","Sort=A","Dates=H","DateFormat=P","Fill=—","Direction=H","UseDPDF=Y")</f>
        <v>#NAME?</v>
      </c>
      <c r="AW293" s="2" t="e">
        <f ca="1">_xll.BDH($C$278,"MODIFIED_WORKING_CPTL_5YR_GRWTH","FY 2017","FY 2017","Currency=INR","Period=FY","BEST_FPERIOD_OVERRIDE=FY","FILING_STATUS=OR","EQY_CONSOLIDATED=Y","Sort=A","Dates=H","DateFormat=P","Fill=—","Direction=H","UseDPDF=Y")</f>
        <v>#NAME?</v>
      </c>
      <c r="AX293" s="2" t="e">
        <f ca="1">_xll.BDH($C$278,"WORKING_CAPITAL_5_YEAR_GROWTH","FY 2017","FY 2017","Currency=INR","Period=FY","BEST_FPERIOD_OVERRIDE=FY","FILING_STATUS=OR","EQY_CONSOLIDATED=Y","Sort=A","Dates=H","DateFormat=P","Fill=—","Direction=H","UseDPDF=Y")</f>
        <v>#NAME?</v>
      </c>
      <c r="AY293" s="2" t="e">
        <f ca="1">_xll.BDH($C$278,"ACCOUNTS_PAYABLE_5_YEAR_GROWTH","FY 2017","FY 2017","Currency=INR","Period=FY","BEST_FPERIOD_OVERRIDE=FY","FILING_STATUS=OR","EQY_CONSOLIDATED=Y","Sort=A","Dates=H","DateFormat=P","Fill=—","Direction=H","UseDPDF=Y")</f>
        <v>#NAME?</v>
      </c>
      <c r="AZ293" s="2" t="e">
        <f ca="1">_xll.BDH($C$278,"SHORT_TERM_DEBT_5_YEAR_GROWTH","FY 2017","FY 2017","Currency=INR","Period=FY","BEST_FPERIOD_OVERRIDE=FY","FILING_STATUS=OR","EQY_CONSOLIDATED=Y","Sort=A","Dates=H","DateFormat=P","Fill=—","Direction=H","UseDPDF=Y")</f>
        <v>#NAME?</v>
      </c>
      <c r="BA293" s="2" t="e">
        <f ca="1">_xll.BDH($C$278,"TOTAL_DEBT_5_YEAR_GROWTH","FY 2017","FY 2017","Currency=INR","Period=FY","BEST_FPERIOD_OVERRIDE=FY","FILING_STATUS=OR","EQY_CONSOLIDATED=Y","Sort=A","Dates=H","DateFormat=P","Fill=—","Direction=H","UseDPDF=Y")</f>
        <v>#NAME?</v>
      </c>
      <c r="BB293" s="2" t="e">
        <f ca="1">_xll.BDH($C$278,"GEO_GROW_TOT_SHRHLDR_EQY","FY 2017","FY 2017","Currency=INR","Period=FY","BEST_FPERIOD_OVERRIDE=FY","FILING_STATUS=OR","EQY_CONSOLIDATED=Y","Sort=A","Dates=H","DateFormat=P","Fill=—","Direction=H","UseDPDF=Y")</f>
        <v>#NAME?</v>
      </c>
      <c r="BC293" s="2" t="e">
        <f ca="1">_xll.BDH($C$278,"TOTAL_CAPITAL_5_YEAR_GROWTH","FY 2017","FY 2017","Currency=INR","Period=FY","BEST_FPERIOD_OVERRIDE=FY","FILING_STATUS=OR","EQY_CONSOLIDATED=Y","Sort=A","Dates=H","DateFormat=P","Fill=—","Direction=H","UseDPDF=Y")</f>
        <v>#NAME?</v>
      </c>
      <c r="BD293" s="2" t="e">
        <f ca="1">_xll.BDH($C$278,"GEO_GROW_BOOK_VAL","FY 2017","FY 2017","Currency=INR","Period=FY","BEST_FPERIOD_OVERRIDE=FY","FILING_STATUS=OR","EQY_CONSOLIDATED=Y","Sort=A","Dates=H","DateFormat=P","Fill=—","Direction=H","UseDPDF=Y")</f>
        <v>#NAME?</v>
      </c>
      <c r="BE293" s="2" t="e">
        <f ca="1">_xll.BDH($C$278,"GEO_GROW_CASH_OPER_ACT","FY 2017","FY 2017","Currency=INR","Period=FY","BEST_FPERIOD_OVERRIDE=FY","FILING_STATUS=OR","EQY_CONSOLIDATED=Y","Sort=A","Dates=H","DateFormat=P","Fill=—","Direction=H","UseDPDF=Y")</f>
        <v>#NAME?</v>
      </c>
      <c r="BF293" s="2" t="e">
        <f ca="1">_xll.BDH($C$278,"REVENUE_SEQUENTIAL_GROWTH","FY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293" s="2" t="e">
        <f ca="1">_xll.BDH($C$278,"EBITDA_SEQUENTIAL_GROWTH","FY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293" s="2" t="e">
        <f ca="1">_xll.BDH($C$278,"OPERATING_INCOME_SEQ_GROWTH","FY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293" s="2" t="e">
        <f ca="1">_xll.BDH($C$278,"NET_INCOME_TO_COMMON_SEQ_GROWTH","FY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293" s="2" t="e">
        <f ca="1">_xll.BDH($C$278,"EPS_DILUTED_SEQUENTIAL_GROWTH","FY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293" s="2" t="e">
        <f ca="1">_xll.BDH($C$278,"DPS_SEQUENTIAL_GROWTH","FY 2017","FY 2017","Currency=INR","Period=FY","BEST_FPERIOD_OVERRIDE=FY","FILING_STATUS=OR","EQY_CONSOLIDATED=Y","Sort=A","Dates=H","DateFormat=P","Fill=—","Direction=H","UseDPDF=Y")</f>
        <v>#NAME?</v>
      </c>
      <c r="BL293" s="2" t="e">
        <f ca="1">_xll.BDH($C$278,"ACCOUNTS_RECEIVABLE_SEQ_GROWTH","FY 2017","FY 2017","Currency=INR","Period=FY","BEST_FPERIOD_OVERRIDE=FY","FILING_STATUS=OR","EQY_CONSOLIDATED=Y","Sort=A","Dates=H","DateFormat=P","Fill=—","Direction=H","UseDPDF=Y")</f>
        <v>#NAME?</v>
      </c>
      <c r="BM293" s="2" t="e">
        <f ca="1">_xll.BDH($C$278,"INVENTORY_SEQUENTIAL_GROWTH","FY 2017","FY 2017","Currency=INR","Period=FY","BEST_FPERIOD_OVERRIDE=FY","FILING_STATUS=OR","EQY_CONSOLIDATED=Y","Sort=A","Dates=H","DateFormat=P","Fill=—","Direction=H","UseDPDF=Y")</f>
        <v>#NAME?</v>
      </c>
      <c r="BN293" s="2" t="e">
        <f ca="1">_xll.BDH($C$278,"FIXED_ASSETS_SEQUENTIAL_GROWTH","FY 2017","FY 2017","Currency=INR","Period=FY","BEST_FPERIOD_OVERRIDE=FY","FILING_STATUS=OR","EQY_CONSOLIDATED=Y","Sort=A","Dates=H","DateFormat=P","Fill=—","Direction=H","UseDPDF=Y")</f>
        <v>#NAME?</v>
      </c>
      <c r="BO293" s="2" t="e">
        <f ca="1">_xll.BDH($C$278,"TOTAL_ASSETS_SEQUENTIAL_GROWTH","FY 2017","FY 2017","Currency=INR","Period=FY","BEST_FPERIOD_OVERRIDE=FY","FILING_STATUS=OR","EQY_CONSOLIDATED=Y","Sort=A","Dates=H","DateFormat=P","Fill=—","Direction=H","UseDPDF=Y")</f>
        <v>#NAME?</v>
      </c>
      <c r="BP293" s="2" t="e">
        <f ca="1">_xll.BDH($C$278,"MODIFIED_WORKING_CPTL_SEQ_GRWTH","FY 2017","FY 2017","Currency=INR","Period=FY","BEST_FPERIOD_OVERRIDE=FY","FILING_STATUS=OR","EQY_CONSOLIDATED=Y","Sort=A","Dates=H","DateFormat=P","Fill=—","Direction=H","UseDPDF=Y")</f>
        <v>#NAME?</v>
      </c>
      <c r="BQ293" s="2" t="e">
        <f ca="1">_xll.BDH($C$278,"WORKING_CAPITAL_SEQ_GROWTH","FY 2017","FY 2017","Currency=INR","Period=FY","BEST_FPERIOD_OVERRIDE=FY","FILING_STATUS=OR","EQY_CONSOLIDATED=Y","Sort=A","Dates=H","DateFormat=P","Fill=—","Direction=H","UseDPDF=Y")</f>
        <v>#NAME?</v>
      </c>
      <c r="BR293" s="2" t="e">
        <f ca="1">_xll.BDH($C$278,"ACCOUNTS_PAYABLE_SEQ_GROWTH","FY 2017","FY 2017","Currency=INR","Period=FY","BEST_FPERIOD_OVERRIDE=FY","FILING_STATUS=OR","EQY_CONSOLIDATED=Y","Sort=A","Dates=H","DateFormat=P","Fill=—","Direction=H","UseDPDF=Y")</f>
        <v>#NAME?</v>
      </c>
      <c r="BS293" s="2" t="e">
        <f ca="1">_xll.BDH($C$278,"ST_DEBT_SEQUENTIAL_GROWTH","FY 2017","FY 2017","Currency=INR","Period=FY","BEST_FPERIOD_OVERRIDE=FY","FILING_STATUS=OR","EQY_CONSOLIDATED=Y","Sort=A","Dates=H","DateFormat=P","Fill=—","Direction=H","UseDPDF=Y")</f>
        <v>#NAME?</v>
      </c>
      <c r="BT293" s="2" t="e">
        <f ca="1">_xll.BDH($C$278,"TOTAL_DEBT_SEQUENTIAL_GROWTH","FY 2017","FY 2017","Currency=INR","Period=FY","BEST_FPERIOD_OVERRIDE=FY","FILING_STATUS=OR","EQY_CONSOLIDATED=Y","Sort=A","Dates=H","DateFormat=P","Fill=—","Direction=H","UseDPDF=Y")</f>
        <v>#NAME?</v>
      </c>
      <c r="BU293" s="2" t="e">
        <f ca="1">_xll.BDH($C$278,"TOTAL_EQUITY_SEQUENTIAL_GROWTH","FY 2017","FY 2017","Currency=INR","Period=FY","BEST_FPERIOD_OVERRIDE=FY","FILING_STATUS=OR","EQY_CONSOLIDATED=Y","Sort=A","Dates=H","DateFormat=P","Fill=—","Direction=H","UseDPDF=Y")</f>
        <v>#NAME?</v>
      </c>
      <c r="BV293" s="2" t="e">
        <f ca="1">_xll.BDH($C$278,"TOTAL_CAPITAL_SEQUENTIAL_GROWTH","FY 2017","FY 2017","Currency=INR","Period=FY","BEST_FPERIOD_OVERRIDE=FY","FILING_STATUS=OR","EQY_CONSOLIDATED=Y","Sort=A","Dates=H","DateFormat=P","Fill=—","Direction=H","UseDPDF=Y")</f>
        <v>#NAME?</v>
      </c>
      <c r="BW293" s="2" t="e">
        <f ca="1">_xll.BDH($C$278,"BPS_SEQUENTIAL_GROWTH","FY 2017","FY 2017","Currency=INR","Period=FY","BEST_FPERIOD_OVERRIDE=FY","FILING_STATUS=OR","EQY_CONSOLIDATED=Y","Sort=A","Dates=H","DateFormat=P","Fill=—","Direction=H","UseDPDF=Y")</f>
        <v>#NAME?</v>
      </c>
      <c r="BX293" s="2" t="e">
        <f ca="1">_xll.BDH($C$278,"CFO_SEQUENTIAL_GROWTH","FY 2017","FY 2017","Currency=INR","Period=FY","BEST_FPERIOD_OVERRIDE=FY","FILING_STATUS=OR","EQY_CONSOLIDATED=Y","Sort=A","Dates=H","DateFormat=P","Fill=—","Direction=H","UseDPDF=Y")</f>
        <v>#NAME?</v>
      </c>
      <c r="BY293" s="3" t="e">
        <f ca="1">_xll.BDH($C$278,"SHORT_AND_LONG_TERM_DEBT","FY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293" s="3" t="e">
        <f ca="1">_xll.BDH($C$278,"BS_ST_BORROW","FY 2017","FY 2017","Currency=INR","Period=FY","BEST_FPERIOD_OVERRIDE=FY","FILING_STATUS=OR","EQY_CONSOLIDATED=Y","SCALING_FORMAT=MLN","Sort=A","Dates=H","DateFormat=P","Fill=—","Direction=H","UseDPDF=Y")</f>
        <v>#NAME?</v>
      </c>
      <c r="CA293" s="3" t="e">
        <f ca="1">_xll.BDH($C$278,"BS_LT_BORROW","FY 2017","FY 2017","Currency=INR","Period=FY","BEST_FPERIOD_OVERRIDE=FY","FILING_STATUS=OR","EQY_CONSOLIDATED=Y","SCALING_FORMAT=MLN","Sort=A","Dates=H","DateFormat=P","Fill=—","Direction=H","UseDPDF=Y")</f>
        <v>#NAME?</v>
      </c>
      <c r="CB293" s="2" t="e">
        <f ca="1">_xll.BDH($C$278,"TOT_DEBT_TO_EBITDA","FY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293" s="2" t="e">
        <f ca="1">_xll.BDH($C$278,"NET_DEBT_TO_EBITDA","FY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293" s="2" t="e">
        <f ca="1">_xll.BDH($C$278,"TOTAL_DEBT_TO_EBIT","FY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293" s="2" t="e">
        <f ca="1">_xll.BDH($C$278,"NET_DEBT_TO_EBIT","FY 2017","FY 2017","Currency=INR","Period=FY","BEST_FPERIOD_OVERRIDE=FY","FILING_STATUS=OR","EQY_CONSOLIDATED=Y","FA_ADJUSTED=GAAP","Sort=A","Dates=H","DateFormat=P","Fill=—","Direction=H","UseDPDF=Y")</f>
        <v>#NAME?</v>
      </c>
      <c r="CF293" s="2" t="e">
        <f ca="1">_xll.BDH($C$278,"EBITDA_TO_INTEREST_EXPN","FY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293" s="2" t="e">
        <f ca="1">_xll.BDH($C$278,"COM_EQY_TO_TOT_ASSET","FY 2017","FY 2017","Currency=INR","Period=FY","BEST_FPERIOD_OVERRIDE=FY","FILING_STATUS=OR","EQY_CONSOLIDATED=Y","Sort=A","Dates=H","DateFormat=P","Fill=—","Direction=H","UseDPDF=Y")</f>
        <v>#NAME?</v>
      </c>
      <c r="CH293" s="2" t="e">
        <f ca="1">_xll.BDH($C$278,"LT_DEBT_TO_TOT_EQY","FY 2017","FY 2017","Currency=INR","Period=FY","BEST_FPERIOD_OVERRIDE=FY","FILING_STATUS=OR","EQY_CONSOLIDATED=Y","Sort=A","Dates=H","DateFormat=P","Fill=—","Direction=H","UseDPDF=Y")</f>
        <v>#NAME?</v>
      </c>
      <c r="CI293" s="2" t="e">
        <f ca="1">_xll.BDH($C$278,"LT_DEBT_TO_TOT_CAP","FY 2017","FY 2017","Currency=INR","Period=FY","BEST_FPERIOD_OVERRIDE=FY","FILING_STATUS=OR","EQY_CONSOLIDATED=Y","Sort=A","Dates=H","DateFormat=P","Fill=—","Direction=H","UseDPDF=Y")</f>
        <v>#NAME?</v>
      </c>
      <c r="CJ293" s="2" t="e">
        <f ca="1">_xll.BDH($C$278,"LT_DEBT_TO_TOT_ASSET","FY 2017","FY 2017","Currency=INR","Period=FY","BEST_FPERIOD_OVERRIDE=FY","FILING_STATUS=OR","EQY_CONSOLIDATED=Y","Sort=A","Dates=H","DateFormat=P","Fill=—","Direction=H","UseDPDF=Y")</f>
        <v>#NAME?</v>
      </c>
      <c r="CK293" s="2" t="e">
        <f ca="1">_xll.BDH($C$278,"TOT_DEBT_TO_TOT_EQY","FY 2017","FY 2017","Currency=INR","Period=FY","BEST_FPERIOD_OVERRIDE=FY","FILING_STATUS=OR","EQY_CONSOLIDATED=Y","Sort=A","Dates=H","DateFormat=P","Fill=—","Direction=H","UseDPDF=Y")</f>
        <v>#NAME?</v>
      </c>
      <c r="CL293" s="2" t="e">
        <f ca="1">_xll.BDH($C$278,"TOT_DEBT_TO_TOT_CAP","FY 2017","FY 2017","Currency=INR","Period=FY","BEST_FPERIOD_OVERRIDE=FY","FILING_STATUS=OR","EQY_CONSOLIDATED=Y","Sort=A","Dates=H","DateFormat=P","Fill=—","Direction=H","UseDPDF=Y")</f>
        <v>#NAME?</v>
      </c>
      <c r="CM293" s="2" t="e">
        <f ca="1">_xll.BDH($C$278,"TOT_DEBT_TO_TOT_ASSET","FY 2017","FY 2017","Currency=INR","Period=FY","BEST_FPERIOD_OVERRIDE=FY","FILING_STATUS=OR","EQY_CONSOLIDATED=Y","Sort=A","Dates=H","DateFormat=P","Fill=—","Direction=H","UseDPDF=Y")</f>
        <v>#NAME?</v>
      </c>
      <c r="CN293" s="2" t="e">
        <f ca="1">_xll.BDH($C$278,"NET_DEBT_TO_SHRHLDR_EQTY","FY 2017","FY 2017","Currency=INR","Period=FY","BEST_FPERIOD_OVERRIDE=FY","FILING_STATUS=OR","EQY_CONSOLIDATED=Y","Sort=A","Dates=H","DateFormat=P","Fill=—","Direction=H","UseDPDF=Y")</f>
        <v>#NAME?</v>
      </c>
      <c r="CO293" s="2" t="e">
        <f ca="1">_xll.BDH($C$278,"NET_DEBT_%_CAPITAL","FY 2017","FY 2017","Currency=INR","Period=FY","BEST_FPERIOD_OVERRIDE=FY","FILING_STATUS=OR","EQY_CONSOLIDATED=Y","Sort=A","Dates=H","DateFormat=P","Fill=—","Direction=H","UseDPDF=Y")</f>
        <v>#NAME?</v>
      </c>
      <c r="CP293" s="3" t="e">
        <f ca="1">_xll.BDH($C$278,"EBITDA","FY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293" s="3" t="e">
        <f ca="1">_xll.BDH($C$278,"EBITDA_AFTER_CAPEX","FY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293" s="3" t="e">
        <f ca="1">_xll.BDH($C$278,"IS_OPER_INC","FY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293" s="2" t="e">
        <f ca="1">_xll.BDH($C$278,"CASH_RATIO","FY 2017","FY 2017","Currency=INR","Period=FY","BEST_FPERIOD_OVERRIDE=FY","FILING_STATUS=OR","EQY_CONSOLIDATED=Y","Sort=A","Dates=H","DateFormat=P","Fill=—","Direction=H","UseDPDF=Y")</f>
        <v>#NAME?</v>
      </c>
      <c r="CT293" s="2" t="e">
        <f ca="1">_xll.BDH($C$278,"CUR_RATIO","FY 2017","FY 2017","Currency=INR","Period=FY","BEST_FPERIOD_OVERRIDE=FY","FILING_STATUS=OR","EQY_CONSOLIDATED=Y","Sort=A","Dates=H","DateFormat=P","Fill=—","Direction=H","UseDPDF=Y")</f>
        <v>#NAME?</v>
      </c>
      <c r="CU293" s="2" t="e">
        <f ca="1">_xll.BDH($C$278,"QUICK_RATIO","FY 2017","FY 2017","Currency=INR","Period=FY","BEST_FPERIOD_OVERRIDE=FY","FILING_STATUS=OR","EQY_CONSOLIDATED=Y","Sort=A","Dates=H","DateFormat=P","Fill=—","Direction=H","UseDPDF=Y")</f>
        <v>#NAME?</v>
      </c>
      <c r="CV293" s="2" t="e">
        <f ca="1">_xll.BDH($C$278,"ALTMAN_Z_SCORE","FY 2017","FY 2017","Currency=INR","Period=FY","BEST_FPERIOD_OVERRIDE=FY","FILING_STATUS=OR","EQY_CONSOLIDATED=Y","Sort=A","Dates=H","DateFormat=P","Fill=—","Direction=H","UseDPDF=Y")</f>
        <v>#NAME?</v>
      </c>
      <c r="CW293" s="4" t="e">
        <f ca="1">_xll.BDH($C$278,"ACCT_RCV_TURN","FY 2017","FY 2017","Currency=INR","Period=FY","BEST_FPERIOD_OVERRIDE=FY","FILING_STATUS=OR","EQY_CONSOLIDATED=Y","FA_ADJUSTED=GAAP","Sort=A","Dates=H","DateFormat=P","Fill=—","Direction=H","UseDPDF=Y")</f>
        <v>#NAME?</v>
      </c>
      <c r="CX293" s="2" t="e">
        <f ca="1">_xll.BDH($C$278,"ACCT_RCV_DAYS","FY 2017","FY 2017","Currency=INR","Period=FY","BEST_FPERIOD_OVERRIDE=FY","FILING_STATUS=OR","EQY_CONSOLIDATED=Y","FA_ADJUSTED=GAAP","Sort=A","Dates=H","DateFormat=P","Fill=—","Direction=H","UseDPDF=Y")</f>
        <v>#NAME?</v>
      </c>
      <c r="CY293" s="4" t="e">
        <f ca="1">_xll.BDH($C$278,"INVENT_TURN","FY 2017","FY 2017","Currency=INR","Period=FY","BEST_FPERIOD_OVERRIDE=FY","FILING_STATUS=OR","EQY_CONSOLIDATED=Y","FA_ADJUSTED=GAAP","Sort=A","Dates=H","DateFormat=P","Fill=—","Direction=H","UseDPDF=Y")</f>
        <v>#NAME?</v>
      </c>
      <c r="CZ293" s="2" t="e">
        <f ca="1">_xll.BDH($C$278,"INVENT_DAYS","FY 2017","FY 2017","Currency=INR","Period=FY","BEST_FPERIOD_OVERRIDE=FY","FILING_STATUS=OR","EQY_CONSOLIDATED=Y","FA_ADJUSTED=GAAP","Sort=A","Dates=H","DateFormat=P","Fill=—","Direction=H","UseDPDF=Y")</f>
        <v>#NAME?</v>
      </c>
      <c r="DA293" s="4" t="e">
        <f ca="1">_xll.BDH($C$278,"ACCOUNTS_PAYABLE_TURNOVER","FY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293" s="2" t="e">
        <f ca="1">_xll.BDH($C$278,"ACCOUNTS_PAYABLE_TURNOVER_DAYS","FY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293" s="4" t="e">
        <f ca="1">_xll.BDH($C$278,"CASH_CONVERSION_CYCLE","FY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293" s="4" t="e">
        <f ca="1">_xll.BDH($C$278,"INV_TO_CASH_DAYS","FY 2017","FY 2017","Currency=INR","Period=FY","BEST_FPERIOD_OVERRIDE=FY","FILING_STATUS=OR","EQY_CONSOLIDATED=Y","FA_ADJUSTED=GAAP","Sort=A","Dates=H","DateFormat=P","Fill=—","Direction=H","UseDPDF=Y")</f>
        <v>#NAME?</v>
      </c>
      <c r="DE293" s="5" t="e">
        <f ca="1">_xll.BDH($C$278,"BS_INVENTORIES","FY 2017","FY 2017","Currency=INR","Period=FY","BEST_FPERIOD_OVERRIDE=FY","FILING_STATUS=OR","EQY_CONSOLIDATED=Y","SCALING_FORMAT=MLN","Sort=A","Dates=H","DateFormat=P","Fill=—","Direction=H","UseDPDF=Y")</f>
        <v>#NAME?</v>
      </c>
      <c r="DF293" s="3" t="e">
        <f ca="1">_xll.BDH($C$278,"INVTRY_RAW_MATERIALS","FY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293" s="3" t="e">
        <f ca="1">_xll.BDH($C$278,"INVTRY_IN_PROGRESS","FY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293" s="3" t="e">
        <f ca="1">_xll.BDH($C$278,"INVTRY_FINISHED_GOODS","FY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293" s="3" t="e">
        <f ca="1">_xll.BDH($C$278,"BS_OTHER_INV","FY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294" spans="1:113" x14ac:dyDescent="0.3">
      <c r="A294" s="6"/>
      <c r="B294" s="6"/>
      <c r="C294" s="6"/>
      <c r="D294" s="6"/>
      <c r="E294" t="s">
        <v>78</v>
      </c>
      <c r="F294" t="e">
        <f ca="1">_xll.BDH($C$278,"RETURN_COM_EQY","FQ1 2017","FQ1 2017","Currency=INR","Period=FQ","BEST_FPERIOD_OVERRIDE=FQ","FILING_STATUS=OR","EQY_CONSOLIDATED=Y","FA_ADJUSTED=GAAP","Sort=A","Dates=H","DateFormat=P","Fill=—","Direction=H","UseDPDF=Y")</f>
        <v>#NAME?</v>
      </c>
      <c r="G294" t="e">
        <f ca="1">_xll.BDH($C$278,"RETURN_ON_ASSET","FQ1 2017","FQ1 2017","Currency=INR","Period=FQ","BEST_FPERIOD_OVERRIDE=FQ","FILING_STATUS=OR","EQY_CONSOLIDATED=Y","FA_ADJUSTED=GAAP","Sort=A","Dates=H","DateFormat=P","Fill=—","Direction=H","UseDPDF=Y")</f>
        <v>#NAME?</v>
      </c>
      <c r="H294" t="e">
        <f ca="1">_xll.BDH($C$278,"RETURN_ON_CAP","FQ1 2017","FQ1 2017","Currency=INR","Period=FQ","BEST_FPERIOD_OVERRIDE=FQ","FILING_STATUS=OR","EQY_CONSOLIDATED=Y","FA_ADJUSTED=GAAP","Sort=A","Dates=H","DateFormat=P","Fill=—","Direction=H","UseDPDF=Y")</f>
        <v>#NAME?</v>
      </c>
      <c r="I294" t="e">
        <f ca="1">_xll.BDH($C$278,"RETURN_ON_INV_CAPITAL","FQ1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294" t="e">
        <f ca="1">_xll.BDH($C$278,"EBITDA_TO_REVENUE","FQ1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294" t="e">
        <f ca="1">_xll.BDH($C$278,"OPER_MARGIN","FQ1 2017","FQ1 2017","Currency=INR","Period=FQ","BEST_FPERIOD_OVERRIDE=FQ","FILING_STATUS=OR","EQY_CONSOLIDATED=Y","FA_ADJUSTED=GAAP","Sort=A","Dates=H","DateFormat=P","Fill=—","Direction=H","UseDPDF=Y")</f>
        <v>#NAME?</v>
      </c>
      <c r="L294" t="e">
        <f ca="1">_xll.BDH($C$278,"INCREMENTAL_OPERATING_MARGIN","FQ1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294" t="e">
        <f ca="1">_xll.BDH($C$278,"PRETAX_INC_TO_NET_SALES","FQ1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294" t="e">
        <f ca="1">_xll.BDH($C$278,"INC_BEF_XO_ITEMS_TO_NET_SALES","FQ1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294" t="e">
        <f ca="1">_xll.BDH($C$278,"PROF_MARGIN","FQ1 2017","FQ1 2017","Currency=INR","Period=FQ","BEST_FPERIOD_OVERRIDE=FQ","FILING_STATUS=OR","EQY_CONSOLIDATED=Y","FA_ADJUSTED=GAAP","Sort=A","Dates=H","DateFormat=P","Fill=—","Direction=H","UseDPDF=Y")</f>
        <v>#NAME?</v>
      </c>
      <c r="P294" t="e">
        <f ca="1">_xll.BDH($C$278,"NET_INCOME_TO_COMMON_MARGIN","FQ1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294" t="e">
        <f ca="1">_xll.BDH($C$278,"EFF_TAX_RATE","FQ1 2017","FQ1 2017","Currency=INR","Period=FQ","BEST_FPERIOD_OVERRIDE=FQ","FILING_STATUS=OR","EQY_CONSOLIDATED=Y","FA_ADJUSTED=GAAP","Sort=A","Dates=H","DateFormat=P","Fill=—","Direction=H","UseDPDF=Y")</f>
        <v>#NAME?</v>
      </c>
      <c r="R294" t="e">
        <f ca="1">_xll.BDH($C$278,"DVD_PAYOUT_RATIO","FQ1 2017","FQ1 2017","Currency=INR","Period=FQ","BEST_FPERIOD_OVERRIDE=FQ","FILING_STATUS=OR","EQY_CONSOLIDATED=Y","FA_ADJUSTED=GAAP","Sort=A","Dates=H","DateFormat=P","Fill=—","Direction=H","UseDPDF=Y")</f>
        <v>#NAME?</v>
      </c>
      <c r="S294" t="e">
        <f ca="1">_xll.BDH($C$278,"SUSTAIN_GROWTH_RT","FQ1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294" s="2" t="e">
        <f ca="1">_xll.BDH($C$278,"SALES_GROWTH","FQ1 2017","FQ1 2017","Currency=INR","Period=FQ","BEST_FPERIOD_OVERRIDE=FQ","FILING_STATUS=OR","EQY_CONSOLIDATED=Y","FA_ADJUSTED=GAAP","Sort=A","Dates=H","DateFormat=P","Fill=—","Direction=H","UseDPDF=Y")</f>
        <v>#NAME?</v>
      </c>
      <c r="U294" s="2" t="e">
        <f ca="1">_xll.BDH($C$278,"EBITDA_GROWTH","FQ1 2017","FQ1 2017","Currency=INR","Period=FQ","BEST_FPERIOD_OVERRIDE=FQ","FILING_STATUS=OR","EQY_CONSOLIDATED=Y","FA_ADJUSTED=GAAP","Sort=A","Dates=H","DateFormat=P","Fill=—","Direction=H","UseDPDF=Y")</f>
        <v>#NAME?</v>
      </c>
      <c r="V294" s="2" t="e">
        <f ca="1">_xll.BDH($C$278,"OPER_INC_GROWTH","FQ1 2017","FQ1 2017","Currency=INR","Period=FQ","BEST_FPERIOD_OVERRIDE=FQ","FILING_STATUS=OR","EQY_CONSOLIDATED=Y","FA_ADJUSTED=GAAP","Sort=A","Dates=H","DateFormat=P","Fill=—","Direction=H","UseDPDF=Y")</f>
        <v>#NAME?</v>
      </c>
      <c r="W294" s="2" t="e">
        <f ca="1">_xll.BDH($C$278,"EARN_FOR_COM_GROWTH","FQ1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294" s="2" t="e">
        <f ca="1">_xll.BDH($C$278,"DILUTED_EPS_AFT_XO_ITEMS_GROWTH","FQ1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294" s="2" t="e">
        <f ca="1">_xll.BDH($C$278,"DIVIDEND_PER_SHARE_1_YEAR_GROWTH","FQ1 2017","FQ1 2017","Currency=INR","Period=FQ","BEST_FPERIOD_OVERRIDE=FQ","FILING_STATUS=OR","EQY_CONSOLIDATED=Y","Sort=A","Dates=H","DateFormat=P","Fill=—","Direction=H","UseDPDF=Y")</f>
        <v>#NAME?</v>
      </c>
      <c r="Z294" s="2" t="e">
        <f ca="1">_xll.BDH($C$278,"ACCOUNTS_RECEIVABLE_GROWTH","FQ1 2017","FQ1 2017","Currency=INR","Period=FQ","BEST_FPERIOD_OVERRIDE=FQ","FILING_STATUS=OR","EQY_CONSOLIDATED=Y","Sort=A","Dates=H","DateFormat=P","Fill=—","Direction=H","UseDPDF=Y")</f>
        <v>#NAME?</v>
      </c>
      <c r="AA294" s="2" t="e">
        <f ca="1">_xll.BDH($C$278,"INVENTORY_GROWTH","FQ1 2017","FQ1 2017","Currency=INR","Period=FQ","BEST_FPERIOD_OVERRIDE=FQ","FILING_STATUS=OR","EQY_CONSOLIDATED=Y","Sort=A","Dates=H","DateFormat=P","Fill=—","Direction=H","UseDPDF=Y")</f>
        <v>#NAME?</v>
      </c>
      <c r="AB294" s="2" t="e">
        <f ca="1">_xll.BDH($C$278,"NET_FIXED_ASSETS_1_YEAR_GROWTH","FQ1 2017","FQ1 2017","Currency=INR","Period=FQ","BEST_FPERIOD_OVERRIDE=FQ","FILING_STATUS=OR","EQY_CONSOLIDATED=Y","Sort=A","Dates=H","DateFormat=P","Fill=—","Direction=H","UseDPDF=Y")</f>
        <v>#NAME?</v>
      </c>
      <c r="AC294" s="2" t="e">
        <f ca="1">_xll.BDH($C$278,"ASSET_GROWTH","FQ1 2017","FQ1 2017","Currency=INR","Period=FQ","BEST_FPERIOD_OVERRIDE=FQ","FILING_STATUS=OR","EQY_CONSOLIDATED=Y","Sort=A","Dates=H","DateFormat=P","Fill=—","Direction=H","UseDPDF=Y")</f>
        <v>#NAME?</v>
      </c>
      <c r="AD294" s="2" t="e">
        <f ca="1">_xll.BDH($C$278,"MODIFIED_WORK_CAP_GROWTH","FQ1 2017","FQ1 2017","Currency=INR","Period=FQ","BEST_FPERIOD_OVERRIDE=FQ","FILING_STATUS=OR","EQY_CONSOLIDATED=Y","Sort=A","Dates=H","DateFormat=P","Fill=—","Direction=H","UseDPDF=Y")</f>
        <v>#NAME?</v>
      </c>
      <c r="AE294" s="2" t="e">
        <f ca="1">_xll.BDH($C$278,"WORK_CAP_GROWTH","FQ1 2017","FQ1 2017","Currency=INR","Period=FQ","BEST_FPERIOD_OVERRIDE=FQ","FILING_STATUS=OR","EQY_CONSOLIDATED=Y","Sort=A","Dates=H","DateFormat=P","Fill=—","Direction=H","UseDPDF=Y")</f>
        <v>#NAME?</v>
      </c>
      <c r="AF294" s="2" t="e">
        <f ca="1">_xll.BDH($C$278,"ACCOUNTS_PAYABLE_GROWTH_1YR","FQ1 2017","FQ1 2017","Currency=INR","Period=FQ","BEST_FPERIOD_OVERRIDE=FQ","FILING_STATUS=OR","EQY_CONSOLIDATED=Y","Sort=A","Dates=H","DateFormat=P","Fill=—","Direction=H","UseDPDF=Y")</f>
        <v>#NAME?</v>
      </c>
      <c r="AG294" s="2" t="e">
        <f ca="1">_xll.BDH($C$278,"SHORT_TERM_DEBT_1_YEAR_GROWTH","FQ1 2017","FQ1 2017","Currency=INR","Period=FQ","BEST_FPERIOD_OVERRIDE=FQ","FILING_STATUS=OR","EQY_CONSOLIDATED=Y","Sort=A","Dates=H","DateFormat=P","Fill=—","Direction=H","UseDPDF=Y")</f>
        <v>#NAME?</v>
      </c>
      <c r="AH294" s="2" t="e">
        <f ca="1">_xll.BDH($C$278,"TOTAL_DEBT_1_YEAR_GROWTH","FQ1 2017","FQ1 2017","Currency=INR","Period=FQ","BEST_FPERIOD_OVERRIDE=FQ","FILING_STATUS=OR","EQY_CONSOLIDATED=Y","Sort=A","Dates=H","DateFormat=P","Fill=—","Direction=H","UseDPDF=Y")</f>
        <v>#NAME?</v>
      </c>
      <c r="AI294" s="2" t="e">
        <f ca="1">_xll.BDH($C$278,"TOTAL_EQUITY_1_YEAR_GROWTH","FQ1 2017","FQ1 2017","Currency=INR","Period=FQ","BEST_FPERIOD_OVERRIDE=FQ","FILING_STATUS=OR","EQY_CONSOLIDATED=Y","Sort=A","Dates=H","DateFormat=P","Fill=—","Direction=H","UseDPDF=Y")</f>
        <v>#NAME?</v>
      </c>
      <c r="AJ294" s="2" t="e">
        <f ca="1">_xll.BDH($C$278,"GROWTH_IN_CAP","FQ1 2017","FQ1 2017","Currency=INR","Period=FQ","BEST_FPERIOD_OVERRIDE=FQ","FILING_STATUS=OR","EQY_CONSOLIDATED=Y","Sort=A","Dates=H","DateFormat=P","Fill=—","Direction=H","UseDPDF=Y")</f>
        <v>#NAME?</v>
      </c>
      <c r="AK294" s="2" t="e">
        <f ca="1">_xll.BDH($C$278,"BVPS_GROWTH","FQ1 2017","FQ1 2017","Currency=INR","Period=FQ","BEST_FPERIOD_OVERRIDE=FQ","FILING_STATUS=OR","EQY_CONSOLIDATED=Y","Sort=A","Dates=H","DateFormat=P","Fill=—","Direction=H","UseDPDF=Y")</f>
        <v>#NAME?</v>
      </c>
      <c r="AL294" s="2" t="e">
        <f ca="1">_xll.BDH($C$278,"CASH_FLOW_GROWTH","FQ1 2017","FQ1 2017","Currency=INR","Period=FQ","BEST_FPERIOD_OVERRIDE=FQ","FILING_STATUS=OR","EQY_CONSOLIDATED=Y","Sort=A","Dates=H","DateFormat=P","Fill=—","Direction=H","UseDPDF=Y")</f>
        <v>#NAME?</v>
      </c>
      <c r="AM294" s="2" t="e">
        <f ca="1">_xll.BDH($C$278,"GEO_GROW_NET_SALES","FQ1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294" s="2" t="e">
        <f ca="1">_xll.BDH($C$278,"GEO_GROW_EBITDA","FQ1 2017","FQ1 2017","Currency=INR","Period=FQ","BEST_FPERIOD_OVERRIDE=FQ","FILING_STATUS=OR","EQY_CONSOLIDATED=Y","FA_ADJUSTED=GAAP","Sort=A","Dates=H","DateFormat=P","Fill=—","Direction=H","UseDPDF=Y")</f>
        <v>#NAME?</v>
      </c>
      <c r="AO294" s="2" t="e">
        <f ca="1">_xll.BDH($C$278,"GEO_GROW_OPER_INC","FQ1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294" s="2" t="e">
        <f ca="1">_xll.BDH($C$278,"NET_INCOME_TO_COMMON_5_YR_GROWTH","FQ1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294" s="2" t="e">
        <f ca="1">_xll.BDH($C$278,"5Y_GEO_GROWTH_DILUTED_EPS","FQ1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294" s="2" t="e">
        <f ca="1">_xll.BDH($C$278,"GEO_GROW_DVD_PER_SH","FQ1 2017","FQ1 2017","Currency=INR","Period=FQ","BEST_FPERIOD_OVERRIDE=FQ","FILING_STATUS=OR","EQY_CONSOLIDATED=Y","Sort=A","Dates=H","DateFormat=P","Fill=—","Direction=H","UseDPDF=Y")</f>
        <v>#NAME?</v>
      </c>
      <c r="AS294" s="2" t="e">
        <f ca="1">_xll.BDH($C$278,"ACCOUNTS_RECEIVABLE_5_YR_GROWTH","FQ1 2017","FQ1 2017","Currency=INR","Period=FQ","BEST_FPERIOD_OVERRIDE=FQ","FILING_STATUS=OR","EQY_CONSOLIDATED=Y","Sort=A","Dates=H","DateFormat=P","Fill=—","Direction=H","UseDPDF=Y")</f>
        <v>#NAME?</v>
      </c>
      <c r="AT294" s="2" t="e">
        <f ca="1">_xll.BDH($C$278,"INVENTORY_5_YEAR_GROWTH","FQ1 2017","FQ1 2017","Currency=INR","Period=FQ","BEST_FPERIOD_OVERRIDE=FQ","FILING_STATUS=OR","EQY_CONSOLIDATED=Y","Sort=A","Dates=H","DateFormat=P","Fill=—","Direction=H","UseDPDF=Y")</f>
        <v>#NAME?</v>
      </c>
      <c r="AU294" s="2" t="e">
        <f ca="1">_xll.BDH($C$278,"NET_FIXED_ASSETS_5_YEAR_GROWTH","FQ1 2017","FQ1 2017","Currency=INR","Period=FQ","BEST_FPERIOD_OVERRIDE=FQ","FILING_STATUS=OR","EQY_CONSOLIDATED=Y","Sort=A","Dates=H","DateFormat=P","Fill=—","Direction=H","UseDPDF=Y")</f>
        <v>#NAME?</v>
      </c>
      <c r="AV294" s="2" t="e">
        <f ca="1">_xll.BDH($C$278,"GEO_GROW_TOT_ASSET","FQ1 2017","FQ1 2017","Currency=INR","Period=FQ","BEST_FPERIOD_OVERRIDE=FQ","FILING_STATUS=OR","EQY_CONSOLIDATED=Y","Sort=A","Dates=H","DateFormat=P","Fill=—","Direction=H","UseDPDF=Y")</f>
        <v>#NAME?</v>
      </c>
      <c r="AW294" s="2" t="e">
        <f ca="1">_xll.BDH($C$278,"MODIFIED_WORKING_CPTL_5YR_GRWTH","FQ1 2017","FQ1 2017","Currency=INR","Period=FQ","BEST_FPERIOD_OVERRIDE=FQ","FILING_STATUS=OR","EQY_CONSOLIDATED=Y","Sort=A","Dates=H","DateFormat=P","Fill=—","Direction=H","UseDPDF=Y")</f>
        <v>#NAME?</v>
      </c>
      <c r="AX294" s="2" t="e">
        <f ca="1">_xll.BDH($C$278,"WORKING_CAPITAL_5_YEAR_GROWTH","FQ1 2017","FQ1 2017","Currency=INR","Period=FQ","BEST_FPERIOD_OVERRIDE=FQ","FILING_STATUS=OR","EQY_CONSOLIDATED=Y","Sort=A","Dates=H","DateFormat=P","Fill=—","Direction=H","UseDPDF=Y")</f>
        <v>#NAME?</v>
      </c>
      <c r="AY294" s="2" t="e">
        <f ca="1">_xll.BDH($C$278,"ACCOUNTS_PAYABLE_5_YEAR_GROWTH","FQ1 2017","FQ1 2017","Currency=INR","Period=FQ","BEST_FPERIOD_OVERRIDE=FQ","FILING_STATUS=OR","EQY_CONSOLIDATED=Y","Sort=A","Dates=H","DateFormat=P","Fill=—","Direction=H","UseDPDF=Y")</f>
        <v>#NAME?</v>
      </c>
      <c r="AZ294" s="2" t="e">
        <f ca="1">_xll.BDH($C$278,"SHORT_TERM_DEBT_5_YEAR_GROWTH","FQ1 2017","FQ1 2017","Currency=INR","Period=FQ","BEST_FPERIOD_OVERRIDE=FQ","FILING_STATUS=OR","EQY_CONSOLIDATED=Y","Sort=A","Dates=H","DateFormat=P","Fill=—","Direction=H","UseDPDF=Y")</f>
        <v>#NAME?</v>
      </c>
      <c r="BA294" s="2" t="e">
        <f ca="1">_xll.BDH($C$278,"TOTAL_DEBT_5_YEAR_GROWTH","FQ1 2017","FQ1 2017","Currency=INR","Period=FQ","BEST_FPERIOD_OVERRIDE=FQ","FILING_STATUS=OR","EQY_CONSOLIDATED=Y","Sort=A","Dates=H","DateFormat=P","Fill=—","Direction=H","UseDPDF=Y")</f>
        <v>#NAME?</v>
      </c>
      <c r="BB294" s="2" t="e">
        <f ca="1">_xll.BDH($C$278,"GEO_GROW_TOT_SHRHLDR_EQY","FQ1 2017","FQ1 2017","Currency=INR","Period=FQ","BEST_FPERIOD_OVERRIDE=FQ","FILING_STATUS=OR","EQY_CONSOLIDATED=Y","Sort=A","Dates=H","DateFormat=P","Fill=—","Direction=H","UseDPDF=Y")</f>
        <v>#NAME?</v>
      </c>
      <c r="BC294" s="2" t="e">
        <f ca="1">_xll.BDH($C$278,"TOTAL_CAPITAL_5_YEAR_GROWTH","FQ1 2017","FQ1 2017","Currency=INR","Period=FQ","BEST_FPERIOD_OVERRIDE=FQ","FILING_STATUS=OR","EQY_CONSOLIDATED=Y","Sort=A","Dates=H","DateFormat=P","Fill=—","Direction=H","UseDPDF=Y")</f>
        <v>#NAME?</v>
      </c>
      <c r="BD294" s="2" t="e">
        <f ca="1">_xll.BDH($C$278,"GEO_GROW_BOOK_VAL","FQ1 2017","FQ1 2017","Currency=INR","Period=FQ","BEST_FPERIOD_OVERRIDE=FQ","FILING_STATUS=OR","EQY_CONSOLIDATED=Y","Sort=A","Dates=H","DateFormat=P","Fill=—","Direction=H","UseDPDF=Y")</f>
        <v>#NAME?</v>
      </c>
      <c r="BE294" s="2" t="e">
        <f ca="1">_xll.BDH($C$278,"GEO_GROW_CASH_OPER_ACT","FQ1 2017","FQ1 2017","Currency=INR","Period=FQ","BEST_FPERIOD_OVERRIDE=FQ","FILING_STATUS=OR","EQY_CONSOLIDATED=Y","Sort=A","Dates=H","DateFormat=P","Fill=—","Direction=H","UseDPDF=Y")</f>
        <v>#NAME?</v>
      </c>
      <c r="BF294" s="2" t="e">
        <f ca="1">_xll.BDH($C$278,"REVENUE_SEQUENTIAL_GROWTH","FQ1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294" s="2" t="e">
        <f ca="1">_xll.BDH($C$278,"EBITDA_SEQUENTIAL_GROWTH","FQ1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294" s="2" t="e">
        <f ca="1">_xll.BDH($C$278,"OPERATING_INCOME_SEQ_GROWTH","FQ1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294" s="2" t="e">
        <f ca="1">_xll.BDH($C$278,"NET_INCOME_TO_COMMON_SEQ_GROWTH","FQ1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294" s="2" t="e">
        <f ca="1">_xll.BDH($C$278,"EPS_DILUTED_SEQUENTIAL_GROWTH","FQ1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294" s="2" t="e">
        <f ca="1">_xll.BDH($C$278,"DPS_SEQUENTIAL_GROWTH","FQ1 2017","FQ1 2017","Currency=INR","Period=FQ","BEST_FPERIOD_OVERRIDE=FQ","FILING_STATUS=OR","EQY_CONSOLIDATED=Y","Sort=A","Dates=H","DateFormat=P","Fill=—","Direction=H","UseDPDF=Y")</f>
        <v>#NAME?</v>
      </c>
      <c r="BL294" s="2" t="e">
        <f ca="1">_xll.BDH($C$278,"ACCOUNTS_RECEIVABLE_SEQ_GROWTH","FQ1 2017","FQ1 2017","Currency=INR","Period=FQ","BEST_FPERIOD_OVERRIDE=FQ","FILING_STATUS=OR","EQY_CONSOLIDATED=Y","Sort=A","Dates=H","DateFormat=P","Fill=—","Direction=H","UseDPDF=Y")</f>
        <v>#NAME?</v>
      </c>
      <c r="BM294" s="2" t="e">
        <f ca="1">_xll.BDH($C$278,"INVENTORY_SEQUENTIAL_GROWTH","FQ1 2017","FQ1 2017","Currency=INR","Period=FQ","BEST_FPERIOD_OVERRIDE=FQ","FILING_STATUS=OR","EQY_CONSOLIDATED=Y","Sort=A","Dates=H","DateFormat=P","Fill=—","Direction=H","UseDPDF=Y")</f>
        <v>#NAME?</v>
      </c>
      <c r="BN294" s="2" t="e">
        <f ca="1">_xll.BDH($C$278,"FIXED_ASSETS_SEQUENTIAL_GROWTH","FQ1 2017","FQ1 2017","Currency=INR","Period=FQ","BEST_FPERIOD_OVERRIDE=FQ","FILING_STATUS=OR","EQY_CONSOLIDATED=Y","Sort=A","Dates=H","DateFormat=P","Fill=—","Direction=H","UseDPDF=Y")</f>
        <v>#NAME?</v>
      </c>
      <c r="BO294" s="2" t="e">
        <f ca="1">_xll.BDH($C$278,"TOTAL_ASSETS_SEQUENTIAL_GROWTH","FQ1 2017","FQ1 2017","Currency=INR","Period=FQ","BEST_FPERIOD_OVERRIDE=FQ","FILING_STATUS=OR","EQY_CONSOLIDATED=Y","Sort=A","Dates=H","DateFormat=P","Fill=—","Direction=H","UseDPDF=Y")</f>
        <v>#NAME?</v>
      </c>
      <c r="BP294" s="2" t="e">
        <f ca="1">_xll.BDH($C$278,"MODIFIED_WORKING_CPTL_SEQ_GRWTH","FQ1 2017","FQ1 2017","Currency=INR","Period=FQ","BEST_FPERIOD_OVERRIDE=FQ","FILING_STATUS=OR","EQY_CONSOLIDATED=Y","Sort=A","Dates=H","DateFormat=P","Fill=—","Direction=H","UseDPDF=Y")</f>
        <v>#NAME?</v>
      </c>
      <c r="BQ294" s="2" t="e">
        <f ca="1">_xll.BDH($C$278,"WORKING_CAPITAL_SEQ_GROWTH","FQ1 2017","FQ1 2017","Currency=INR","Period=FQ","BEST_FPERIOD_OVERRIDE=FQ","FILING_STATUS=OR","EQY_CONSOLIDATED=Y","Sort=A","Dates=H","DateFormat=P","Fill=—","Direction=H","UseDPDF=Y")</f>
        <v>#NAME?</v>
      </c>
      <c r="BR294" s="2" t="e">
        <f ca="1">_xll.BDH($C$278,"ACCOUNTS_PAYABLE_SEQ_GROWTH","FQ1 2017","FQ1 2017","Currency=INR","Period=FQ","BEST_FPERIOD_OVERRIDE=FQ","FILING_STATUS=OR","EQY_CONSOLIDATED=Y","Sort=A","Dates=H","DateFormat=P","Fill=—","Direction=H","UseDPDF=Y")</f>
        <v>#NAME?</v>
      </c>
      <c r="BS294" s="2" t="e">
        <f ca="1">_xll.BDH($C$278,"ST_DEBT_SEQUENTIAL_GROWTH","FQ1 2017","FQ1 2017","Currency=INR","Period=FQ","BEST_FPERIOD_OVERRIDE=FQ","FILING_STATUS=OR","EQY_CONSOLIDATED=Y","Sort=A","Dates=H","DateFormat=P","Fill=—","Direction=H","UseDPDF=Y")</f>
        <v>#NAME?</v>
      </c>
      <c r="BT294" s="2" t="e">
        <f ca="1">_xll.BDH($C$278,"TOTAL_DEBT_SEQUENTIAL_GROWTH","FQ1 2017","FQ1 2017","Currency=INR","Period=FQ","BEST_FPERIOD_OVERRIDE=FQ","FILING_STATUS=OR","EQY_CONSOLIDATED=Y","Sort=A","Dates=H","DateFormat=P","Fill=—","Direction=H","UseDPDF=Y")</f>
        <v>#NAME?</v>
      </c>
      <c r="BU294" s="2" t="e">
        <f ca="1">_xll.BDH($C$278,"TOTAL_EQUITY_SEQUENTIAL_GROWTH","FQ1 2017","FQ1 2017","Currency=INR","Period=FQ","BEST_FPERIOD_OVERRIDE=FQ","FILING_STATUS=OR","EQY_CONSOLIDATED=Y","Sort=A","Dates=H","DateFormat=P","Fill=—","Direction=H","UseDPDF=Y")</f>
        <v>#NAME?</v>
      </c>
      <c r="BV294" s="2" t="e">
        <f ca="1">_xll.BDH($C$278,"TOTAL_CAPITAL_SEQUENTIAL_GROWTH","FQ1 2017","FQ1 2017","Currency=INR","Period=FQ","BEST_FPERIOD_OVERRIDE=FQ","FILING_STATUS=OR","EQY_CONSOLIDATED=Y","Sort=A","Dates=H","DateFormat=P","Fill=—","Direction=H","UseDPDF=Y")</f>
        <v>#NAME?</v>
      </c>
      <c r="BW294" s="2" t="e">
        <f ca="1">_xll.BDH($C$278,"BPS_SEQUENTIAL_GROWTH","FQ1 2017","FQ1 2017","Currency=INR","Period=FQ","BEST_FPERIOD_OVERRIDE=FQ","FILING_STATUS=OR","EQY_CONSOLIDATED=Y","Sort=A","Dates=H","DateFormat=P","Fill=—","Direction=H","UseDPDF=Y")</f>
        <v>#NAME?</v>
      </c>
      <c r="BX294" s="2" t="e">
        <f ca="1">_xll.BDH($C$278,"CFO_SEQUENTIAL_GROWTH","FQ1 2017","FQ1 2017","Currency=INR","Period=FQ","BEST_FPERIOD_OVERRIDE=FQ","FILING_STATUS=OR","EQY_CONSOLIDATED=Y","Sort=A","Dates=H","DateFormat=P","Fill=—","Direction=H","UseDPDF=Y")</f>
        <v>#NAME?</v>
      </c>
      <c r="BY294" s="3" t="e">
        <f ca="1">_xll.BDH($C$278,"SHORT_AND_LONG_TERM_DEBT","FQ1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294" s="3" t="e">
        <f ca="1">_xll.BDH($C$278,"BS_ST_BORROW","FQ1 2017","FQ1 2017","Currency=INR","Period=FQ","BEST_FPERIOD_OVERRIDE=FQ","FILING_STATUS=OR","EQY_CONSOLIDATED=Y","SCALING_FORMAT=MLN","Sort=A","Dates=H","DateFormat=P","Fill=—","Direction=H","UseDPDF=Y")</f>
        <v>#NAME?</v>
      </c>
      <c r="CA294" s="3" t="e">
        <f ca="1">_xll.BDH($C$278,"BS_LT_BORROW","FQ1 2017","FQ1 2017","Currency=INR","Period=FQ","BEST_FPERIOD_OVERRIDE=FQ","FILING_STATUS=OR","EQY_CONSOLIDATED=Y","SCALING_FORMAT=MLN","Sort=A","Dates=H","DateFormat=P","Fill=—","Direction=H","UseDPDF=Y")</f>
        <v>#NAME?</v>
      </c>
      <c r="CB294" s="2" t="e">
        <f ca="1">_xll.BDH($C$278,"TOT_DEBT_TO_EBITDA","FQ1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294" s="2" t="e">
        <f ca="1">_xll.BDH($C$278,"NET_DEBT_TO_EBITDA","FQ1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294" s="2" t="e">
        <f ca="1">_xll.BDH($C$278,"TOTAL_DEBT_TO_EBIT","FQ1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294" s="2" t="e">
        <f ca="1">_xll.BDH($C$278,"NET_DEBT_TO_EBIT","FQ1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294" s="2" t="e">
        <f ca="1">_xll.BDH($C$278,"EBITDA_TO_INTEREST_EXPN","FQ1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294" s="2" t="e">
        <f ca="1">_xll.BDH($C$278,"COM_EQY_TO_TOT_ASSET","FQ1 2017","FQ1 2017","Currency=INR","Period=FQ","BEST_FPERIOD_OVERRIDE=FQ","FILING_STATUS=OR","EQY_CONSOLIDATED=Y","Sort=A","Dates=H","DateFormat=P","Fill=—","Direction=H","UseDPDF=Y")</f>
        <v>#NAME?</v>
      </c>
      <c r="CH294" s="2" t="e">
        <f ca="1">_xll.BDH($C$278,"LT_DEBT_TO_TOT_EQY","FQ1 2017","FQ1 2017","Currency=INR","Period=FQ","BEST_FPERIOD_OVERRIDE=FQ","FILING_STATUS=OR","EQY_CONSOLIDATED=Y","Sort=A","Dates=H","DateFormat=P","Fill=—","Direction=H","UseDPDF=Y")</f>
        <v>#NAME?</v>
      </c>
      <c r="CI294" s="2" t="e">
        <f ca="1">_xll.BDH($C$278,"LT_DEBT_TO_TOT_CAP","FQ1 2017","FQ1 2017","Currency=INR","Period=FQ","BEST_FPERIOD_OVERRIDE=FQ","FILING_STATUS=OR","EQY_CONSOLIDATED=Y","Sort=A","Dates=H","DateFormat=P","Fill=—","Direction=H","UseDPDF=Y")</f>
        <v>#NAME?</v>
      </c>
      <c r="CJ294" s="2" t="e">
        <f ca="1">_xll.BDH($C$278,"LT_DEBT_TO_TOT_ASSET","FQ1 2017","FQ1 2017","Currency=INR","Period=FQ","BEST_FPERIOD_OVERRIDE=FQ","FILING_STATUS=OR","EQY_CONSOLIDATED=Y","Sort=A","Dates=H","DateFormat=P","Fill=—","Direction=H","UseDPDF=Y")</f>
        <v>#NAME?</v>
      </c>
      <c r="CK294" s="2" t="e">
        <f ca="1">_xll.BDH($C$278,"TOT_DEBT_TO_TOT_EQY","FQ1 2017","FQ1 2017","Currency=INR","Period=FQ","BEST_FPERIOD_OVERRIDE=FQ","FILING_STATUS=OR","EQY_CONSOLIDATED=Y","Sort=A","Dates=H","DateFormat=P","Fill=—","Direction=H","UseDPDF=Y")</f>
        <v>#NAME?</v>
      </c>
      <c r="CL294" s="2" t="e">
        <f ca="1">_xll.BDH($C$278,"TOT_DEBT_TO_TOT_CAP","FQ1 2017","FQ1 2017","Currency=INR","Period=FQ","BEST_FPERIOD_OVERRIDE=FQ","FILING_STATUS=OR","EQY_CONSOLIDATED=Y","Sort=A","Dates=H","DateFormat=P","Fill=—","Direction=H","UseDPDF=Y")</f>
        <v>#NAME?</v>
      </c>
      <c r="CM294" s="2" t="e">
        <f ca="1">_xll.BDH($C$278,"TOT_DEBT_TO_TOT_ASSET","FQ1 2017","FQ1 2017","Currency=INR","Period=FQ","BEST_FPERIOD_OVERRIDE=FQ","FILING_STATUS=OR","EQY_CONSOLIDATED=Y","Sort=A","Dates=H","DateFormat=P","Fill=—","Direction=H","UseDPDF=Y")</f>
        <v>#NAME?</v>
      </c>
      <c r="CN294" s="2" t="e">
        <f ca="1">_xll.BDH($C$278,"NET_DEBT_TO_SHRHLDR_EQTY","FQ1 2017","FQ1 2017","Currency=INR","Period=FQ","BEST_FPERIOD_OVERRIDE=FQ","FILING_STATUS=OR","EQY_CONSOLIDATED=Y","Sort=A","Dates=H","DateFormat=P","Fill=—","Direction=H","UseDPDF=Y")</f>
        <v>#NAME?</v>
      </c>
      <c r="CO294" s="2" t="e">
        <f ca="1">_xll.BDH($C$278,"NET_DEBT_%_CAPITAL","FQ1 2017","FQ1 2017","Currency=INR","Period=FQ","BEST_FPERIOD_OVERRIDE=FQ","FILING_STATUS=OR","EQY_CONSOLIDATED=Y","Sort=A","Dates=H","DateFormat=P","Fill=—","Direction=H","UseDPDF=Y")</f>
        <v>#NAME?</v>
      </c>
      <c r="CP294" s="3" t="e">
        <f ca="1">_xll.BDH($C$278,"EBITDA","FQ1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294" s="3" t="e">
        <f ca="1">_xll.BDH($C$278,"EBITDA_AFTER_CAPEX","FQ1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294" s="3" t="e">
        <f ca="1">_xll.BDH($C$278,"IS_OPER_INC","FQ1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294" s="2" t="e">
        <f ca="1">_xll.BDH($C$278,"CASH_RATIO","FQ1 2017","FQ1 2017","Currency=INR","Period=FQ","BEST_FPERIOD_OVERRIDE=FQ","FILING_STATUS=OR","EQY_CONSOLIDATED=Y","Sort=A","Dates=H","DateFormat=P","Fill=—","Direction=H","UseDPDF=Y")</f>
        <v>#NAME?</v>
      </c>
      <c r="CT294" s="2" t="e">
        <f ca="1">_xll.BDH($C$278,"CUR_RATIO","FQ1 2017","FQ1 2017","Currency=INR","Period=FQ","BEST_FPERIOD_OVERRIDE=FQ","FILING_STATUS=OR","EQY_CONSOLIDATED=Y","Sort=A","Dates=H","DateFormat=P","Fill=—","Direction=H","UseDPDF=Y")</f>
        <v>#NAME?</v>
      </c>
      <c r="CU294" s="2" t="e">
        <f ca="1">_xll.BDH($C$278,"QUICK_RATIO","FQ1 2017","FQ1 2017","Currency=INR","Period=FQ","BEST_FPERIOD_OVERRIDE=FQ","FILING_STATUS=OR","EQY_CONSOLIDATED=Y","Sort=A","Dates=H","DateFormat=P","Fill=—","Direction=H","UseDPDF=Y")</f>
        <v>#NAME?</v>
      </c>
      <c r="CV294" s="2" t="e">
        <f ca="1">_xll.BDH($C$278,"ALTMAN_Z_SCORE","FQ1 2017","FQ1 2017","Currency=INR","Period=FQ","BEST_FPERIOD_OVERRIDE=FQ","FILING_STATUS=OR","EQY_CONSOLIDATED=Y","Sort=A","Dates=H","DateFormat=P","Fill=—","Direction=H","UseDPDF=Y")</f>
        <v>#NAME?</v>
      </c>
      <c r="CW294" s="4" t="e">
        <f ca="1">_xll.BDH($C$278,"ACCT_RCV_TURN","FQ1 2017","FQ1 2017","Currency=INR","Period=FQ","BEST_FPERIOD_OVERRIDE=FQ","FILING_STATUS=OR","EQY_CONSOLIDATED=Y","FA_ADJUSTED=GAAP","Sort=A","Dates=H","DateFormat=P","Fill=—","Direction=H","UseDPDF=Y")</f>
        <v>#NAME?</v>
      </c>
      <c r="CX294" s="2" t="e">
        <f ca="1">_xll.BDH($C$278,"ACCT_RCV_DAYS","FQ1 2017","FQ1 2017","Currency=INR","Period=FQ","BEST_FPERIOD_OVERRIDE=FQ","FILING_STATUS=OR","EQY_CONSOLIDATED=Y","FA_ADJUSTED=GAAP","Sort=A","Dates=H","DateFormat=P","Fill=—","Direction=H","UseDPDF=Y")</f>
        <v>#NAME?</v>
      </c>
      <c r="CY294" s="4" t="e">
        <f ca="1">_xll.BDH($C$278,"INVENT_TURN","FQ1 2017","FQ1 2017","Currency=INR","Period=FQ","BEST_FPERIOD_OVERRIDE=FQ","FILING_STATUS=OR","EQY_CONSOLIDATED=Y","FA_ADJUSTED=GAAP","Sort=A","Dates=H","DateFormat=P","Fill=—","Direction=H","UseDPDF=Y")</f>
        <v>#NAME?</v>
      </c>
      <c r="CZ294" s="2" t="e">
        <f ca="1">_xll.BDH($C$278,"INVENT_DAYS","FQ1 2017","FQ1 2017","Currency=INR","Period=FQ","BEST_FPERIOD_OVERRIDE=FQ","FILING_STATUS=OR","EQY_CONSOLIDATED=Y","FA_ADJUSTED=GAAP","Sort=A","Dates=H","DateFormat=P","Fill=—","Direction=H","UseDPDF=Y")</f>
        <v>#NAME?</v>
      </c>
      <c r="DA294" s="4" t="e">
        <f ca="1">_xll.BDH($C$278,"ACCOUNTS_PAYABLE_TURNOVER","FQ1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294" s="2" t="e">
        <f ca="1">_xll.BDH($C$278,"ACCOUNTS_PAYABLE_TURNOVER_DAYS","FQ1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294" s="4" t="e">
        <f ca="1">_xll.BDH($C$278,"CASH_CONVERSION_CYCLE","FQ1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294" s="4" t="e">
        <f ca="1">_xll.BDH($C$278,"INV_TO_CASH_DAYS","FQ1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294" s="5" t="e">
        <f ca="1">_xll.BDH($C$278,"BS_INVENTORIES","FQ1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294" s="3" t="e">
        <f ca="1">_xll.BDH($C$278,"INVTRY_RAW_MATERIALS","FQ1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294" s="3" t="e">
        <f ca="1">_xll.BDH($C$278,"INVTRY_IN_PROGRESS","FQ1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294" s="3" t="e">
        <f ca="1">_xll.BDH($C$278,"INVTRY_FINISHED_GOODS","FQ1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294" s="3" t="e">
        <f ca="1">_xll.BDH($C$278,"BS_OTHER_INV","FQ1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295" spans="1:113" x14ac:dyDescent="0.3">
      <c r="A295" s="6"/>
      <c r="B295" s="6"/>
      <c r="C295" s="6"/>
      <c r="D295" s="6"/>
      <c r="E295" t="s">
        <v>79</v>
      </c>
      <c r="F295" t="e">
        <f ca="1">_xll.BDH($C$278,"RETURN_COM_EQY","FQ2 2017","FQ2 2017","Currency=INR","Period=FQ","BEST_FPERIOD_OVERRIDE=FQ","FILING_STATUS=OR","EQY_CONSOLIDATED=Y","FA_ADJUSTED=GAAP","Sort=A","Dates=H","DateFormat=P","Fill=—","Direction=H","UseDPDF=Y")</f>
        <v>#NAME?</v>
      </c>
      <c r="G295" t="e">
        <f ca="1">_xll.BDH($C$278,"RETURN_ON_ASSET","FQ2 2017","FQ2 2017","Currency=INR","Period=FQ","BEST_FPERIOD_OVERRIDE=FQ","FILING_STATUS=OR","EQY_CONSOLIDATED=Y","FA_ADJUSTED=GAAP","Sort=A","Dates=H","DateFormat=P","Fill=—","Direction=H","UseDPDF=Y")</f>
        <v>#NAME?</v>
      </c>
      <c r="H295" t="e">
        <f ca="1">_xll.BDH($C$278,"RETURN_ON_CAP","FQ2 2017","FQ2 2017","Currency=INR","Period=FQ","BEST_FPERIOD_OVERRIDE=FQ","FILING_STATUS=OR","EQY_CONSOLIDATED=Y","FA_ADJUSTED=GAAP","Sort=A","Dates=H","DateFormat=P","Fill=—","Direction=H","UseDPDF=Y")</f>
        <v>#NAME?</v>
      </c>
      <c r="I295" t="e">
        <f ca="1">_xll.BDH($C$278,"RETURN_ON_INV_CAPITAL","FQ2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295" t="e">
        <f ca="1">_xll.BDH($C$278,"EBITDA_TO_REVENUE","FQ2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295" t="e">
        <f ca="1">_xll.BDH($C$278,"OPER_MARGIN","FQ2 2017","FQ2 2017","Currency=INR","Period=FQ","BEST_FPERIOD_OVERRIDE=FQ","FILING_STATUS=OR","EQY_CONSOLIDATED=Y","FA_ADJUSTED=GAAP","Sort=A","Dates=H","DateFormat=P","Fill=—","Direction=H","UseDPDF=Y")</f>
        <v>#NAME?</v>
      </c>
      <c r="L295" t="e">
        <f ca="1">_xll.BDH($C$278,"INCREMENTAL_OPERATING_MARGIN","FQ2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295" t="e">
        <f ca="1">_xll.BDH($C$278,"PRETAX_INC_TO_NET_SALES","FQ2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295" t="e">
        <f ca="1">_xll.BDH($C$278,"INC_BEF_XO_ITEMS_TO_NET_SALES","FQ2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295" t="e">
        <f ca="1">_xll.BDH($C$278,"PROF_MARGIN","FQ2 2017","FQ2 2017","Currency=INR","Period=FQ","BEST_FPERIOD_OVERRIDE=FQ","FILING_STATUS=OR","EQY_CONSOLIDATED=Y","FA_ADJUSTED=GAAP","Sort=A","Dates=H","DateFormat=P","Fill=—","Direction=H","UseDPDF=Y")</f>
        <v>#NAME?</v>
      </c>
      <c r="P295" t="e">
        <f ca="1">_xll.BDH($C$278,"NET_INCOME_TO_COMMON_MARGIN","FQ2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295" t="e">
        <f ca="1">_xll.BDH($C$278,"EFF_TAX_RATE","FQ2 2017","FQ2 2017","Currency=INR","Period=FQ","BEST_FPERIOD_OVERRIDE=FQ","FILING_STATUS=OR","EQY_CONSOLIDATED=Y","FA_ADJUSTED=GAAP","Sort=A","Dates=H","DateFormat=P","Fill=—","Direction=H","UseDPDF=Y")</f>
        <v>#NAME?</v>
      </c>
      <c r="R295" t="e">
        <f ca="1">_xll.BDH($C$278,"DVD_PAYOUT_RATIO","FQ2 2017","FQ2 2017","Currency=INR","Period=FQ","BEST_FPERIOD_OVERRIDE=FQ","FILING_STATUS=OR","EQY_CONSOLIDATED=Y","FA_ADJUSTED=GAAP","Sort=A","Dates=H","DateFormat=P","Fill=—","Direction=H","UseDPDF=Y")</f>
        <v>#NAME?</v>
      </c>
      <c r="S295" t="e">
        <f ca="1">_xll.BDH($C$278,"SUSTAIN_GROWTH_RT","FQ2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295" s="2" t="e">
        <f ca="1">_xll.BDH($C$278,"SALES_GROWTH","FQ2 2017","FQ2 2017","Currency=INR","Period=FQ","BEST_FPERIOD_OVERRIDE=FQ","FILING_STATUS=OR","EQY_CONSOLIDATED=Y","FA_ADJUSTED=GAAP","Sort=A","Dates=H","DateFormat=P","Fill=—","Direction=H","UseDPDF=Y")</f>
        <v>#NAME?</v>
      </c>
      <c r="U295" s="2" t="e">
        <f ca="1">_xll.BDH($C$278,"EBITDA_GROWTH","FQ2 2017","FQ2 2017","Currency=INR","Period=FQ","BEST_FPERIOD_OVERRIDE=FQ","FILING_STATUS=OR","EQY_CONSOLIDATED=Y","FA_ADJUSTED=GAAP","Sort=A","Dates=H","DateFormat=P","Fill=—","Direction=H","UseDPDF=Y")</f>
        <v>#NAME?</v>
      </c>
      <c r="V295" s="2" t="e">
        <f ca="1">_xll.BDH($C$278,"OPER_INC_GROWTH","FQ2 2017","FQ2 2017","Currency=INR","Period=FQ","BEST_FPERIOD_OVERRIDE=FQ","FILING_STATUS=OR","EQY_CONSOLIDATED=Y","FA_ADJUSTED=GAAP","Sort=A","Dates=H","DateFormat=P","Fill=—","Direction=H","UseDPDF=Y")</f>
        <v>#NAME?</v>
      </c>
      <c r="W295" s="2" t="e">
        <f ca="1">_xll.BDH($C$278,"EARN_FOR_COM_GROWTH","FQ2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295" s="2" t="e">
        <f ca="1">_xll.BDH($C$278,"DILUTED_EPS_AFT_XO_ITEMS_GROWTH","FQ2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295" s="2" t="e">
        <f ca="1">_xll.BDH($C$278,"DIVIDEND_PER_SHARE_1_YEAR_GROWTH","FQ2 2017","FQ2 2017","Currency=INR","Period=FQ","BEST_FPERIOD_OVERRIDE=FQ","FILING_STATUS=OR","EQY_CONSOLIDATED=Y","Sort=A","Dates=H","DateFormat=P","Fill=—","Direction=H","UseDPDF=Y")</f>
        <v>#NAME?</v>
      </c>
      <c r="Z295" s="2" t="e">
        <f ca="1">_xll.BDH($C$278,"ACCOUNTS_RECEIVABLE_GROWTH","FQ2 2017","FQ2 2017","Currency=INR","Period=FQ","BEST_FPERIOD_OVERRIDE=FQ","FILING_STATUS=OR","EQY_CONSOLIDATED=Y","Sort=A","Dates=H","DateFormat=P","Fill=—","Direction=H","UseDPDF=Y")</f>
        <v>#NAME?</v>
      </c>
      <c r="AA295" s="2" t="e">
        <f ca="1">_xll.BDH($C$278,"INVENTORY_GROWTH","FQ2 2017","FQ2 2017","Currency=INR","Period=FQ","BEST_FPERIOD_OVERRIDE=FQ","FILING_STATUS=OR","EQY_CONSOLIDATED=Y","Sort=A","Dates=H","DateFormat=P","Fill=—","Direction=H","UseDPDF=Y")</f>
        <v>#NAME?</v>
      </c>
      <c r="AB295" s="2" t="e">
        <f ca="1">_xll.BDH($C$278,"NET_FIXED_ASSETS_1_YEAR_GROWTH","FQ2 2017","FQ2 2017","Currency=INR","Period=FQ","BEST_FPERIOD_OVERRIDE=FQ","FILING_STATUS=OR","EQY_CONSOLIDATED=Y","Sort=A","Dates=H","DateFormat=P","Fill=—","Direction=H","UseDPDF=Y")</f>
        <v>#NAME?</v>
      </c>
      <c r="AC295" s="2" t="e">
        <f ca="1">_xll.BDH($C$278,"ASSET_GROWTH","FQ2 2017","FQ2 2017","Currency=INR","Period=FQ","BEST_FPERIOD_OVERRIDE=FQ","FILING_STATUS=OR","EQY_CONSOLIDATED=Y","Sort=A","Dates=H","DateFormat=P","Fill=—","Direction=H","UseDPDF=Y")</f>
        <v>#NAME?</v>
      </c>
      <c r="AD295" s="2" t="e">
        <f ca="1">_xll.BDH($C$278,"MODIFIED_WORK_CAP_GROWTH","FQ2 2017","FQ2 2017","Currency=INR","Period=FQ","BEST_FPERIOD_OVERRIDE=FQ","FILING_STATUS=OR","EQY_CONSOLIDATED=Y","Sort=A","Dates=H","DateFormat=P","Fill=—","Direction=H","UseDPDF=Y")</f>
        <v>#NAME?</v>
      </c>
      <c r="AE295" s="2" t="e">
        <f ca="1">_xll.BDH($C$278,"WORK_CAP_GROWTH","FQ2 2017","FQ2 2017","Currency=INR","Period=FQ","BEST_FPERIOD_OVERRIDE=FQ","FILING_STATUS=OR","EQY_CONSOLIDATED=Y","Sort=A","Dates=H","DateFormat=P","Fill=—","Direction=H","UseDPDF=Y")</f>
        <v>#NAME?</v>
      </c>
      <c r="AF295" s="2" t="e">
        <f ca="1">_xll.BDH($C$278,"ACCOUNTS_PAYABLE_GROWTH_1YR","FQ2 2017","FQ2 2017","Currency=INR","Period=FQ","BEST_FPERIOD_OVERRIDE=FQ","FILING_STATUS=OR","EQY_CONSOLIDATED=Y","Sort=A","Dates=H","DateFormat=P","Fill=—","Direction=H","UseDPDF=Y")</f>
        <v>#NAME?</v>
      </c>
      <c r="AG295" s="2" t="e">
        <f ca="1">_xll.BDH($C$278,"SHORT_TERM_DEBT_1_YEAR_GROWTH","FQ2 2017","FQ2 2017","Currency=INR","Period=FQ","BEST_FPERIOD_OVERRIDE=FQ","FILING_STATUS=OR","EQY_CONSOLIDATED=Y","Sort=A","Dates=H","DateFormat=P","Fill=—","Direction=H","UseDPDF=Y")</f>
        <v>#NAME?</v>
      </c>
      <c r="AH295" s="2" t="e">
        <f ca="1">_xll.BDH($C$278,"TOTAL_DEBT_1_YEAR_GROWTH","FQ2 2017","FQ2 2017","Currency=INR","Period=FQ","BEST_FPERIOD_OVERRIDE=FQ","FILING_STATUS=OR","EQY_CONSOLIDATED=Y","Sort=A","Dates=H","DateFormat=P","Fill=—","Direction=H","UseDPDF=Y")</f>
        <v>#NAME?</v>
      </c>
      <c r="AI295" s="2" t="e">
        <f ca="1">_xll.BDH($C$278,"TOTAL_EQUITY_1_YEAR_GROWTH","FQ2 2017","FQ2 2017","Currency=INR","Period=FQ","BEST_FPERIOD_OVERRIDE=FQ","FILING_STATUS=OR","EQY_CONSOLIDATED=Y","Sort=A","Dates=H","DateFormat=P","Fill=—","Direction=H","UseDPDF=Y")</f>
        <v>#NAME?</v>
      </c>
      <c r="AJ295" s="2" t="e">
        <f ca="1">_xll.BDH($C$278,"GROWTH_IN_CAP","FQ2 2017","FQ2 2017","Currency=INR","Period=FQ","BEST_FPERIOD_OVERRIDE=FQ","FILING_STATUS=OR","EQY_CONSOLIDATED=Y","Sort=A","Dates=H","DateFormat=P","Fill=—","Direction=H","UseDPDF=Y")</f>
        <v>#NAME?</v>
      </c>
      <c r="AK295" s="2" t="e">
        <f ca="1">_xll.BDH($C$278,"BVPS_GROWTH","FQ2 2017","FQ2 2017","Currency=INR","Period=FQ","BEST_FPERIOD_OVERRIDE=FQ","FILING_STATUS=OR","EQY_CONSOLIDATED=Y","Sort=A","Dates=H","DateFormat=P","Fill=—","Direction=H","UseDPDF=Y")</f>
        <v>#NAME?</v>
      </c>
      <c r="AL295" s="2" t="e">
        <f ca="1">_xll.BDH($C$278,"CASH_FLOW_GROWTH","FQ2 2017","FQ2 2017","Currency=INR","Period=FQ","BEST_FPERIOD_OVERRIDE=FQ","FILING_STATUS=OR","EQY_CONSOLIDATED=Y","Sort=A","Dates=H","DateFormat=P","Fill=—","Direction=H","UseDPDF=Y")</f>
        <v>#NAME?</v>
      </c>
      <c r="AM295" s="2" t="e">
        <f ca="1">_xll.BDH($C$278,"GEO_GROW_NET_SALES","FQ2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295" s="2" t="e">
        <f ca="1">_xll.BDH($C$278,"GEO_GROW_EBITDA","FQ2 2017","FQ2 2017","Currency=INR","Period=FQ","BEST_FPERIOD_OVERRIDE=FQ","FILING_STATUS=OR","EQY_CONSOLIDATED=Y","FA_ADJUSTED=GAAP","Sort=A","Dates=H","DateFormat=P","Fill=—","Direction=H","UseDPDF=Y")</f>
        <v>#NAME?</v>
      </c>
      <c r="AO295" s="2" t="e">
        <f ca="1">_xll.BDH($C$278,"GEO_GROW_OPER_INC","FQ2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295" s="2" t="e">
        <f ca="1">_xll.BDH($C$278,"NET_INCOME_TO_COMMON_5_YR_GROWTH","FQ2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295" s="2" t="e">
        <f ca="1">_xll.BDH($C$278,"5Y_GEO_GROWTH_DILUTED_EPS","FQ2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295" s="2" t="e">
        <f ca="1">_xll.BDH($C$278,"GEO_GROW_DVD_PER_SH","FQ2 2017","FQ2 2017","Currency=INR","Period=FQ","BEST_FPERIOD_OVERRIDE=FQ","FILING_STATUS=OR","EQY_CONSOLIDATED=Y","Sort=A","Dates=H","DateFormat=P","Fill=—","Direction=H","UseDPDF=Y")</f>
        <v>#NAME?</v>
      </c>
      <c r="AS295" s="2" t="e">
        <f ca="1">_xll.BDH($C$278,"ACCOUNTS_RECEIVABLE_5_YR_GROWTH","FQ2 2017","FQ2 2017","Currency=INR","Period=FQ","BEST_FPERIOD_OVERRIDE=FQ","FILING_STATUS=OR","EQY_CONSOLIDATED=Y","Sort=A","Dates=H","DateFormat=P","Fill=—","Direction=H","UseDPDF=Y")</f>
        <v>#NAME?</v>
      </c>
      <c r="AT295" s="2" t="e">
        <f ca="1">_xll.BDH($C$278,"INVENTORY_5_YEAR_GROWTH","FQ2 2017","FQ2 2017","Currency=INR","Period=FQ","BEST_FPERIOD_OVERRIDE=FQ","FILING_STATUS=OR","EQY_CONSOLIDATED=Y","Sort=A","Dates=H","DateFormat=P","Fill=—","Direction=H","UseDPDF=Y")</f>
        <v>#NAME?</v>
      </c>
      <c r="AU295" s="2" t="e">
        <f ca="1">_xll.BDH($C$278,"NET_FIXED_ASSETS_5_YEAR_GROWTH","FQ2 2017","FQ2 2017","Currency=INR","Period=FQ","BEST_FPERIOD_OVERRIDE=FQ","FILING_STATUS=OR","EQY_CONSOLIDATED=Y","Sort=A","Dates=H","DateFormat=P","Fill=—","Direction=H","UseDPDF=Y")</f>
        <v>#NAME?</v>
      </c>
      <c r="AV295" s="2" t="e">
        <f ca="1">_xll.BDH($C$278,"GEO_GROW_TOT_ASSET","FQ2 2017","FQ2 2017","Currency=INR","Period=FQ","BEST_FPERIOD_OVERRIDE=FQ","FILING_STATUS=OR","EQY_CONSOLIDATED=Y","Sort=A","Dates=H","DateFormat=P","Fill=—","Direction=H","UseDPDF=Y")</f>
        <v>#NAME?</v>
      </c>
      <c r="AW295" s="2" t="e">
        <f ca="1">_xll.BDH($C$278,"MODIFIED_WORKING_CPTL_5YR_GRWTH","FQ2 2017","FQ2 2017","Currency=INR","Period=FQ","BEST_FPERIOD_OVERRIDE=FQ","FILING_STATUS=OR","EQY_CONSOLIDATED=Y","Sort=A","Dates=H","DateFormat=P","Fill=—","Direction=H","UseDPDF=Y")</f>
        <v>#NAME?</v>
      </c>
      <c r="AX295" s="2" t="e">
        <f ca="1">_xll.BDH($C$278,"WORKING_CAPITAL_5_YEAR_GROWTH","FQ2 2017","FQ2 2017","Currency=INR","Period=FQ","BEST_FPERIOD_OVERRIDE=FQ","FILING_STATUS=OR","EQY_CONSOLIDATED=Y","Sort=A","Dates=H","DateFormat=P","Fill=—","Direction=H","UseDPDF=Y")</f>
        <v>#NAME?</v>
      </c>
      <c r="AY295" s="2" t="e">
        <f ca="1">_xll.BDH($C$278,"ACCOUNTS_PAYABLE_5_YEAR_GROWTH","FQ2 2017","FQ2 2017","Currency=INR","Period=FQ","BEST_FPERIOD_OVERRIDE=FQ","FILING_STATUS=OR","EQY_CONSOLIDATED=Y","Sort=A","Dates=H","DateFormat=P","Fill=—","Direction=H","UseDPDF=Y")</f>
        <v>#NAME?</v>
      </c>
      <c r="AZ295" s="2" t="e">
        <f ca="1">_xll.BDH($C$278,"SHORT_TERM_DEBT_5_YEAR_GROWTH","FQ2 2017","FQ2 2017","Currency=INR","Period=FQ","BEST_FPERIOD_OVERRIDE=FQ","FILING_STATUS=OR","EQY_CONSOLIDATED=Y","Sort=A","Dates=H","DateFormat=P","Fill=—","Direction=H","UseDPDF=Y")</f>
        <v>#NAME?</v>
      </c>
      <c r="BA295" s="2" t="e">
        <f ca="1">_xll.BDH($C$278,"TOTAL_DEBT_5_YEAR_GROWTH","FQ2 2017","FQ2 2017","Currency=INR","Period=FQ","BEST_FPERIOD_OVERRIDE=FQ","FILING_STATUS=OR","EQY_CONSOLIDATED=Y","Sort=A","Dates=H","DateFormat=P","Fill=—","Direction=H","UseDPDF=Y")</f>
        <v>#NAME?</v>
      </c>
      <c r="BB295" s="2" t="e">
        <f ca="1">_xll.BDH($C$278,"GEO_GROW_TOT_SHRHLDR_EQY","FQ2 2017","FQ2 2017","Currency=INR","Period=FQ","BEST_FPERIOD_OVERRIDE=FQ","FILING_STATUS=OR","EQY_CONSOLIDATED=Y","Sort=A","Dates=H","DateFormat=P","Fill=—","Direction=H","UseDPDF=Y")</f>
        <v>#NAME?</v>
      </c>
      <c r="BC295" s="2" t="e">
        <f ca="1">_xll.BDH($C$278,"TOTAL_CAPITAL_5_YEAR_GROWTH","FQ2 2017","FQ2 2017","Currency=INR","Period=FQ","BEST_FPERIOD_OVERRIDE=FQ","FILING_STATUS=OR","EQY_CONSOLIDATED=Y","Sort=A","Dates=H","DateFormat=P","Fill=—","Direction=H","UseDPDF=Y")</f>
        <v>#NAME?</v>
      </c>
      <c r="BD295" s="2" t="e">
        <f ca="1">_xll.BDH($C$278,"GEO_GROW_BOOK_VAL","FQ2 2017","FQ2 2017","Currency=INR","Period=FQ","BEST_FPERIOD_OVERRIDE=FQ","FILING_STATUS=OR","EQY_CONSOLIDATED=Y","Sort=A","Dates=H","DateFormat=P","Fill=—","Direction=H","UseDPDF=Y")</f>
        <v>#NAME?</v>
      </c>
      <c r="BE295" s="2" t="e">
        <f ca="1">_xll.BDH($C$278,"GEO_GROW_CASH_OPER_ACT","FQ2 2017","FQ2 2017","Currency=INR","Period=FQ","BEST_FPERIOD_OVERRIDE=FQ","FILING_STATUS=OR","EQY_CONSOLIDATED=Y","Sort=A","Dates=H","DateFormat=P","Fill=—","Direction=H","UseDPDF=Y")</f>
        <v>#NAME?</v>
      </c>
      <c r="BF295" s="2" t="e">
        <f ca="1">_xll.BDH($C$278,"REVENUE_SEQUENTIAL_GROWTH","FQ2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295" s="2" t="e">
        <f ca="1">_xll.BDH($C$278,"EBITDA_SEQUENTIAL_GROWTH","FQ2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295" s="2" t="e">
        <f ca="1">_xll.BDH($C$278,"OPERATING_INCOME_SEQ_GROWTH","FQ2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295" s="2" t="e">
        <f ca="1">_xll.BDH($C$278,"NET_INCOME_TO_COMMON_SEQ_GROWTH","FQ2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295" s="2" t="e">
        <f ca="1">_xll.BDH($C$278,"EPS_DILUTED_SEQUENTIAL_GROWTH","FQ2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295" s="2" t="e">
        <f ca="1">_xll.BDH($C$278,"DPS_SEQUENTIAL_GROWTH","FQ2 2017","FQ2 2017","Currency=INR","Period=FQ","BEST_FPERIOD_OVERRIDE=FQ","FILING_STATUS=OR","EQY_CONSOLIDATED=Y","Sort=A","Dates=H","DateFormat=P","Fill=—","Direction=H","UseDPDF=Y")</f>
        <v>#NAME?</v>
      </c>
      <c r="BL295" s="2" t="e">
        <f ca="1">_xll.BDH($C$278,"ACCOUNTS_RECEIVABLE_SEQ_GROWTH","FQ2 2017","FQ2 2017","Currency=INR","Period=FQ","BEST_FPERIOD_OVERRIDE=FQ","FILING_STATUS=OR","EQY_CONSOLIDATED=Y","Sort=A","Dates=H","DateFormat=P","Fill=—","Direction=H","UseDPDF=Y")</f>
        <v>#NAME?</v>
      </c>
      <c r="BM295" s="2" t="e">
        <f ca="1">_xll.BDH($C$278,"INVENTORY_SEQUENTIAL_GROWTH","FQ2 2017","FQ2 2017","Currency=INR","Period=FQ","BEST_FPERIOD_OVERRIDE=FQ","FILING_STATUS=OR","EQY_CONSOLIDATED=Y","Sort=A","Dates=H","DateFormat=P","Fill=—","Direction=H","UseDPDF=Y")</f>
        <v>#NAME?</v>
      </c>
      <c r="BN295" s="2" t="e">
        <f ca="1">_xll.BDH($C$278,"FIXED_ASSETS_SEQUENTIAL_GROWTH","FQ2 2017","FQ2 2017","Currency=INR","Period=FQ","BEST_FPERIOD_OVERRIDE=FQ","FILING_STATUS=OR","EQY_CONSOLIDATED=Y","Sort=A","Dates=H","DateFormat=P","Fill=—","Direction=H","UseDPDF=Y")</f>
        <v>#NAME?</v>
      </c>
      <c r="BO295" s="2" t="e">
        <f ca="1">_xll.BDH($C$278,"TOTAL_ASSETS_SEQUENTIAL_GROWTH","FQ2 2017","FQ2 2017","Currency=INR","Period=FQ","BEST_FPERIOD_OVERRIDE=FQ","FILING_STATUS=OR","EQY_CONSOLIDATED=Y","Sort=A","Dates=H","DateFormat=P","Fill=—","Direction=H","UseDPDF=Y")</f>
        <v>#NAME?</v>
      </c>
      <c r="BP295" s="2" t="e">
        <f ca="1">_xll.BDH($C$278,"MODIFIED_WORKING_CPTL_SEQ_GRWTH","FQ2 2017","FQ2 2017","Currency=INR","Period=FQ","BEST_FPERIOD_OVERRIDE=FQ","FILING_STATUS=OR","EQY_CONSOLIDATED=Y","Sort=A","Dates=H","DateFormat=P","Fill=—","Direction=H","UseDPDF=Y")</f>
        <v>#NAME?</v>
      </c>
      <c r="BQ295" s="2" t="e">
        <f ca="1">_xll.BDH($C$278,"WORKING_CAPITAL_SEQ_GROWTH","FQ2 2017","FQ2 2017","Currency=INR","Period=FQ","BEST_FPERIOD_OVERRIDE=FQ","FILING_STATUS=OR","EQY_CONSOLIDATED=Y","Sort=A","Dates=H","DateFormat=P","Fill=—","Direction=H","UseDPDF=Y")</f>
        <v>#NAME?</v>
      </c>
      <c r="BR295" s="2" t="e">
        <f ca="1">_xll.BDH($C$278,"ACCOUNTS_PAYABLE_SEQ_GROWTH","FQ2 2017","FQ2 2017","Currency=INR","Period=FQ","BEST_FPERIOD_OVERRIDE=FQ","FILING_STATUS=OR","EQY_CONSOLIDATED=Y","Sort=A","Dates=H","DateFormat=P","Fill=—","Direction=H","UseDPDF=Y")</f>
        <v>#NAME?</v>
      </c>
      <c r="BS295" s="2" t="e">
        <f ca="1">_xll.BDH($C$278,"ST_DEBT_SEQUENTIAL_GROWTH","FQ2 2017","FQ2 2017","Currency=INR","Period=FQ","BEST_FPERIOD_OVERRIDE=FQ","FILING_STATUS=OR","EQY_CONSOLIDATED=Y","Sort=A","Dates=H","DateFormat=P","Fill=—","Direction=H","UseDPDF=Y")</f>
        <v>#NAME?</v>
      </c>
      <c r="BT295" s="2" t="e">
        <f ca="1">_xll.BDH($C$278,"TOTAL_DEBT_SEQUENTIAL_GROWTH","FQ2 2017","FQ2 2017","Currency=INR","Period=FQ","BEST_FPERIOD_OVERRIDE=FQ","FILING_STATUS=OR","EQY_CONSOLIDATED=Y","Sort=A","Dates=H","DateFormat=P","Fill=—","Direction=H","UseDPDF=Y")</f>
        <v>#NAME?</v>
      </c>
      <c r="BU295" s="2" t="e">
        <f ca="1">_xll.BDH($C$278,"TOTAL_EQUITY_SEQUENTIAL_GROWTH","FQ2 2017","FQ2 2017","Currency=INR","Period=FQ","BEST_FPERIOD_OVERRIDE=FQ","FILING_STATUS=OR","EQY_CONSOLIDATED=Y","Sort=A","Dates=H","DateFormat=P","Fill=—","Direction=H","UseDPDF=Y")</f>
        <v>#NAME?</v>
      </c>
      <c r="BV295" s="2" t="e">
        <f ca="1">_xll.BDH($C$278,"TOTAL_CAPITAL_SEQUENTIAL_GROWTH","FQ2 2017","FQ2 2017","Currency=INR","Period=FQ","BEST_FPERIOD_OVERRIDE=FQ","FILING_STATUS=OR","EQY_CONSOLIDATED=Y","Sort=A","Dates=H","DateFormat=P","Fill=—","Direction=H","UseDPDF=Y")</f>
        <v>#NAME?</v>
      </c>
      <c r="BW295" s="2" t="e">
        <f ca="1">_xll.BDH($C$278,"BPS_SEQUENTIAL_GROWTH","FQ2 2017","FQ2 2017","Currency=INR","Period=FQ","BEST_FPERIOD_OVERRIDE=FQ","FILING_STATUS=OR","EQY_CONSOLIDATED=Y","Sort=A","Dates=H","DateFormat=P","Fill=—","Direction=H","UseDPDF=Y")</f>
        <v>#NAME?</v>
      </c>
      <c r="BX295" s="2" t="e">
        <f ca="1">_xll.BDH($C$278,"CFO_SEQUENTIAL_GROWTH","FQ2 2017","FQ2 2017","Currency=INR","Period=FQ","BEST_FPERIOD_OVERRIDE=FQ","FILING_STATUS=OR","EQY_CONSOLIDATED=Y","Sort=A","Dates=H","DateFormat=P","Fill=—","Direction=H","UseDPDF=Y")</f>
        <v>#NAME?</v>
      </c>
      <c r="BY295" s="3" t="e">
        <f ca="1">_xll.BDH($C$278,"SHORT_AND_LONG_TERM_DEBT","FQ2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295" s="3" t="e">
        <f ca="1">_xll.BDH($C$278,"BS_ST_BORROW","FQ2 2017","FQ2 2017","Currency=INR","Period=FQ","BEST_FPERIOD_OVERRIDE=FQ","FILING_STATUS=OR","EQY_CONSOLIDATED=Y","SCALING_FORMAT=MLN","Sort=A","Dates=H","DateFormat=P","Fill=—","Direction=H","UseDPDF=Y")</f>
        <v>#NAME?</v>
      </c>
      <c r="CA295" s="3" t="e">
        <f ca="1">_xll.BDH($C$278,"BS_LT_BORROW","FQ2 2017","FQ2 2017","Currency=INR","Period=FQ","BEST_FPERIOD_OVERRIDE=FQ","FILING_STATUS=OR","EQY_CONSOLIDATED=Y","SCALING_FORMAT=MLN","Sort=A","Dates=H","DateFormat=P","Fill=—","Direction=H","UseDPDF=Y")</f>
        <v>#NAME?</v>
      </c>
      <c r="CB295" s="2" t="e">
        <f ca="1">_xll.BDH($C$278,"TOT_DEBT_TO_EBITDA","FQ2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295" s="2" t="e">
        <f ca="1">_xll.BDH($C$278,"NET_DEBT_TO_EBITDA","FQ2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295" s="2" t="e">
        <f ca="1">_xll.BDH($C$278,"TOTAL_DEBT_TO_EBIT","FQ2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295" s="2" t="e">
        <f ca="1">_xll.BDH($C$278,"NET_DEBT_TO_EBIT","FQ2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295" s="2" t="e">
        <f ca="1">_xll.BDH($C$278,"EBITDA_TO_INTEREST_EXPN","FQ2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295" s="2" t="e">
        <f ca="1">_xll.BDH($C$278,"COM_EQY_TO_TOT_ASSET","FQ2 2017","FQ2 2017","Currency=INR","Period=FQ","BEST_FPERIOD_OVERRIDE=FQ","FILING_STATUS=OR","EQY_CONSOLIDATED=Y","Sort=A","Dates=H","DateFormat=P","Fill=—","Direction=H","UseDPDF=Y")</f>
        <v>#NAME?</v>
      </c>
      <c r="CH295" s="2" t="e">
        <f ca="1">_xll.BDH($C$278,"LT_DEBT_TO_TOT_EQY","FQ2 2017","FQ2 2017","Currency=INR","Period=FQ","BEST_FPERIOD_OVERRIDE=FQ","FILING_STATUS=OR","EQY_CONSOLIDATED=Y","Sort=A","Dates=H","DateFormat=P","Fill=—","Direction=H","UseDPDF=Y")</f>
        <v>#NAME?</v>
      </c>
      <c r="CI295" s="2" t="e">
        <f ca="1">_xll.BDH($C$278,"LT_DEBT_TO_TOT_CAP","FQ2 2017","FQ2 2017","Currency=INR","Period=FQ","BEST_FPERIOD_OVERRIDE=FQ","FILING_STATUS=OR","EQY_CONSOLIDATED=Y","Sort=A","Dates=H","DateFormat=P","Fill=—","Direction=H","UseDPDF=Y")</f>
        <v>#NAME?</v>
      </c>
      <c r="CJ295" s="2" t="e">
        <f ca="1">_xll.BDH($C$278,"LT_DEBT_TO_TOT_ASSET","FQ2 2017","FQ2 2017","Currency=INR","Period=FQ","BEST_FPERIOD_OVERRIDE=FQ","FILING_STATUS=OR","EQY_CONSOLIDATED=Y","Sort=A","Dates=H","DateFormat=P","Fill=—","Direction=H","UseDPDF=Y")</f>
        <v>#NAME?</v>
      </c>
      <c r="CK295" s="2" t="e">
        <f ca="1">_xll.BDH($C$278,"TOT_DEBT_TO_TOT_EQY","FQ2 2017","FQ2 2017","Currency=INR","Period=FQ","BEST_FPERIOD_OVERRIDE=FQ","FILING_STATUS=OR","EQY_CONSOLIDATED=Y","Sort=A","Dates=H","DateFormat=P","Fill=—","Direction=H","UseDPDF=Y")</f>
        <v>#NAME?</v>
      </c>
      <c r="CL295" s="2" t="e">
        <f ca="1">_xll.BDH($C$278,"TOT_DEBT_TO_TOT_CAP","FQ2 2017","FQ2 2017","Currency=INR","Period=FQ","BEST_FPERIOD_OVERRIDE=FQ","FILING_STATUS=OR","EQY_CONSOLIDATED=Y","Sort=A","Dates=H","DateFormat=P","Fill=—","Direction=H","UseDPDF=Y")</f>
        <v>#NAME?</v>
      </c>
      <c r="CM295" s="2" t="e">
        <f ca="1">_xll.BDH($C$278,"TOT_DEBT_TO_TOT_ASSET","FQ2 2017","FQ2 2017","Currency=INR","Period=FQ","BEST_FPERIOD_OVERRIDE=FQ","FILING_STATUS=OR","EQY_CONSOLIDATED=Y","Sort=A","Dates=H","DateFormat=P","Fill=—","Direction=H","UseDPDF=Y")</f>
        <v>#NAME?</v>
      </c>
      <c r="CN295" s="2" t="e">
        <f ca="1">_xll.BDH($C$278,"NET_DEBT_TO_SHRHLDR_EQTY","FQ2 2017","FQ2 2017","Currency=INR","Period=FQ","BEST_FPERIOD_OVERRIDE=FQ","FILING_STATUS=OR","EQY_CONSOLIDATED=Y","Sort=A","Dates=H","DateFormat=P","Fill=—","Direction=H","UseDPDF=Y")</f>
        <v>#NAME?</v>
      </c>
      <c r="CO295" s="2" t="e">
        <f ca="1">_xll.BDH($C$278,"NET_DEBT_%_CAPITAL","FQ2 2017","FQ2 2017","Currency=INR","Period=FQ","BEST_FPERIOD_OVERRIDE=FQ","FILING_STATUS=OR","EQY_CONSOLIDATED=Y","Sort=A","Dates=H","DateFormat=P","Fill=—","Direction=H","UseDPDF=Y")</f>
        <v>#NAME?</v>
      </c>
      <c r="CP295" s="3" t="e">
        <f ca="1">_xll.BDH($C$278,"EBITDA","FQ2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295" s="3" t="e">
        <f ca="1">_xll.BDH($C$278,"EBITDA_AFTER_CAPEX","FQ2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295" s="3" t="e">
        <f ca="1">_xll.BDH($C$278,"IS_OPER_INC","FQ2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295" s="2" t="e">
        <f ca="1">_xll.BDH($C$278,"CASH_RATIO","FQ2 2017","FQ2 2017","Currency=INR","Period=FQ","BEST_FPERIOD_OVERRIDE=FQ","FILING_STATUS=OR","EQY_CONSOLIDATED=Y","Sort=A","Dates=H","DateFormat=P","Fill=—","Direction=H","UseDPDF=Y")</f>
        <v>#NAME?</v>
      </c>
      <c r="CT295" s="2" t="e">
        <f ca="1">_xll.BDH($C$278,"CUR_RATIO","FQ2 2017","FQ2 2017","Currency=INR","Period=FQ","BEST_FPERIOD_OVERRIDE=FQ","FILING_STATUS=OR","EQY_CONSOLIDATED=Y","Sort=A","Dates=H","DateFormat=P","Fill=—","Direction=H","UseDPDF=Y")</f>
        <v>#NAME?</v>
      </c>
      <c r="CU295" s="2" t="e">
        <f ca="1">_xll.BDH($C$278,"QUICK_RATIO","FQ2 2017","FQ2 2017","Currency=INR","Period=FQ","BEST_FPERIOD_OVERRIDE=FQ","FILING_STATUS=OR","EQY_CONSOLIDATED=Y","Sort=A","Dates=H","DateFormat=P","Fill=—","Direction=H","UseDPDF=Y")</f>
        <v>#NAME?</v>
      </c>
      <c r="CV295" s="2" t="e">
        <f ca="1">_xll.BDH($C$278,"ALTMAN_Z_SCORE","FQ2 2017","FQ2 2017","Currency=INR","Period=FQ","BEST_FPERIOD_OVERRIDE=FQ","FILING_STATUS=OR","EQY_CONSOLIDATED=Y","Sort=A","Dates=H","DateFormat=P","Fill=—","Direction=H","UseDPDF=Y")</f>
        <v>#NAME?</v>
      </c>
      <c r="CW295" s="4" t="e">
        <f ca="1">_xll.BDH($C$278,"ACCT_RCV_TURN","FQ2 2017","FQ2 2017","Currency=INR","Period=FQ","BEST_FPERIOD_OVERRIDE=FQ","FILING_STATUS=OR","EQY_CONSOLIDATED=Y","FA_ADJUSTED=GAAP","Sort=A","Dates=H","DateFormat=P","Fill=—","Direction=H","UseDPDF=Y")</f>
        <v>#NAME?</v>
      </c>
      <c r="CX295" s="2" t="e">
        <f ca="1">_xll.BDH($C$278,"ACCT_RCV_DAYS","FQ2 2017","FQ2 2017","Currency=INR","Period=FQ","BEST_FPERIOD_OVERRIDE=FQ","FILING_STATUS=OR","EQY_CONSOLIDATED=Y","FA_ADJUSTED=GAAP","Sort=A","Dates=H","DateFormat=P","Fill=—","Direction=H","UseDPDF=Y")</f>
        <v>#NAME?</v>
      </c>
      <c r="CY295" s="4" t="e">
        <f ca="1">_xll.BDH($C$278,"INVENT_TURN","FQ2 2017","FQ2 2017","Currency=INR","Period=FQ","BEST_FPERIOD_OVERRIDE=FQ","FILING_STATUS=OR","EQY_CONSOLIDATED=Y","FA_ADJUSTED=GAAP","Sort=A","Dates=H","DateFormat=P","Fill=—","Direction=H","UseDPDF=Y")</f>
        <v>#NAME?</v>
      </c>
      <c r="CZ295" s="2" t="e">
        <f ca="1">_xll.BDH($C$278,"INVENT_DAYS","FQ2 2017","FQ2 2017","Currency=INR","Period=FQ","BEST_FPERIOD_OVERRIDE=FQ","FILING_STATUS=OR","EQY_CONSOLIDATED=Y","FA_ADJUSTED=GAAP","Sort=A","Dates=H","DateFormat=P","Fill=—","Direction=H","UseDPDF=Y")</f>
        <v>#NAME?</v>
      </c>
      <c r="DA295" s="4" t="e">
        <f ca="1">_xll.BDH($C$278,"ACCOUNTS_PAYABLE_TURNOVER","FQ2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295" s="2" t="e">
        <f ca="1">_xll.BDH($C$278,"ACCOUNTS_PAYABLE_TURNOVER_DAYS","FQ2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295" s="4" t="e">
        <f ca="1">_xll.BDH($C$278,"CASH_CONVERSION_CYCLE","FQ2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295" s="4" t="e">
        <f ca="1">_xll.BDH($C$278,"INV_TO_CASH_DAYS","FQ2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295" s="5" t="e">
        <f ca="1">_xll.BDH($C$278,"BS_INVENTORIES","FQ2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295" s="3" t="e">
        <f ca="1">_xll.BDH($C$278,"INVTRY_RAW_MATERIALS","FQ2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295" s="3" t="e">
        <f ca="1">_xll.BDH($C$278,"INVTRY_IN_PROGRESS","FQ2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295" s="3" t="e">
        <f ca="1">_xll.BDH($C$278,"INVTRY_FINISHED_GOODS","FQ2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295" s="3" t="e">
        <f ca="1">_xll.BDH($C$278,"BS_OTHER_INV","FQ2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296" spans="1:113" x14ac:dyDescent="0.3">
      <c r="A296" s="6"/>
      <c r="B296" s="6"/>
      <c r="C296" s="6"/>
      <c r="D296" s="6"/>
      <c r="E296" t="s">
        <v>80</v>
      </c>
      <c r="F296" t="e">
        <f ca="1">_xll.BDH($C$278,"RETURN_COM_EQY","FQ3 2017","FQ3 2017","Currency=INR","Period=FQ","BEST_FPERIOD_OVERRIDE=FQ","FILING_STATUS=OR","EQY_CONSOLIDATED=Y","FA_ADJUSTED=GAAP","Sort=A","Dates=H","DateFormat=P","Fill=—","Direction=H","UseDPDF=Y")</f>
        <v>#NAME?</v>
      </c>
      <c r="G296" t="e">
        <f ca="1">_xll.BDH($C$278,"RETURN_ON_ASSET","FQ3 2017","FQ3 2017","Currency=INR","Period=FQ","BEST_FPERIOD_OVERRIDE=FQ","FILING_STATUS=OR","EQY_CONSOLIDATED=Y","FA_ADJUSTED=GAAP","Sort=A","Dates=H","DateFormat=P","Fill=—","Direction=H","UseDPDF=Y")</f>
        <v>#NAME?</v>
      </c>
      <c r="H296" t="e">
        <f ca="1">_xll.BDH($C$278,"RETURN_ON_CAP","FQ3 2017","FQ3 2017","Currency=INR","Period=FQ","BEST_FPERIOD_OVERRIDE=FQ","FILING_STATUS=OR","EQY_CONSOLIDATED=Y","FA_ADJUSTED=GAAP","Sort=A","Dates=H","DateFormat=P","Fill=—","Direction=H","UseDPDF=Y")</f>
        <v>#NAME?</v>
      </c>
      <c r="I296" t="e">
        <f ca="1">_xll.BDH($C$278,"RETURN_ON_INV_CAPITAL","FQ3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296" t="e">
        <f ca="1">_xll.BDH($C$278,"EBITDA_TO_REVENUE","FQ3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296" t="e">
        <f ca="1">_xll.BDH($C$278,"OPER_MARGIN","FQ3 2017","FQ3 2017","Currency=INR","Period=FQ","BEST_FPERIOD_OVERRIDE=FQ","FILING_STATUS=OR","EQY_CONSOLIDATED=Y","FA_ADJUSTED=GAAP","Sort=A","Dates=H","DateFormat=P","Fill=—","Direction=H","UseDPDF=Y")</f>
        <v>#NAME?</v>
      </c>
      <c r="L296" t="e">
        <f ca="1">_xll.BDH($C$278,"INCREMENTAL_OPERATING_MARGIN","FQ3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296" t="e">
        <f ca="1">_xll.BDH($C$278,"PRETAX_INC_TO_NET_SALES","FQ3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296" t="e">
        <f ca="1">_xll.BDH($C$278,"INC_BEF_XO_ITEMS_TO_NET_SALES","FQ3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296" t="e">
        <f ca="1">_xll.BDH($C$278,"PROF_MARGIN","FQ3 2017","FQ3 2017","Currency=INR","Period=FQ","BEST_FPERIOD_OVERRIDE=FQ","FILING_STATUS=OR","EQY_CONSOLIDATED=Y","FA_ADJUSTED=GAAP","Sort=A","Dates=H","DateFormat=P","Fill=—","Direction=H","UseDPDF=Y")</f>
        <v>#NAME?</v>
      </c>
      <c r="P296" t="e">
        <f ca="1">_xll.BDH($C$278,"NET_INCOME_TO_COMMON_MARGIN","FQ3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296" t="e">
        <f ca="1">_xll.BDH($C$278,"EFF_TAX_RATE","FQ3 2017","FQ3 2017","Currency=INR","Period=FQ","BEST_FPERIOD_OVERRIDE=FQ","FILING_STATUS=OR","EQY_CONSOLIDATED=Y","FA_ADJUSTED=GAAP","Sort=A","Dates=H","DateFormat=P","Fill=—","Direction=H","UseDPDF=Y")</f>
        <v>#NAME?</v>
      </c>
      <c r="R296" t="e">
        <f ca="1">_xll.BDH($C$278,"DVD_PAYOUT_RATIO","FQ3 2017","FQ3 2017","Currency=INR","Period=FQ","BEST_FPERIOD_OVERRIDE=FQ","FILING_STATUS=OR","EQY_CONSOLIDATED=Y","FA_ADJUSTED=GAAP","Sort=A","Dates=H","DateFormat=P","Fill=—","Direction=H","UseDPDF=Y")</f>
        <v>#NAME?</v>
      </c>
      <c r="S296" t="e">
        <f ca="1">_xll.BDH($C$278,"SUSTAIN_GROWTH_RT","FQ3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296" s="2" t="e">
        <f ca="1">_xll.BDH($C$278,"SALES_GROWTH","FQ3 2017","FQ3 2017","Currency=INR","Period=FQ","BEST_FPERIOD_OVERRIDE=FQ","FILING_STATUS=OR","EQY_CONSOLIDATED=Y","FA_ADJUSTED=GAAP","Sort=A","Dates=H","DateFormat=P","Fill=—","Direction=H","UseDPDF=Y")</f>
        <v>#NAME?</v>
      </c>
      <c r="U296" s="2" t="e">
        <f ca="1">_xll.BDH($C$278,"EBITDA_GROWTH","FQ3 2017","FQ3 2017","Currency=INR","Period=FQ","BEST_FPERIOD_OVERRIDE=FQ","FILING_STATUS=OR","EQY_CONSOLIDATED=Y","FA_ADJUSTED=GAAP","Sort=A","Dates=H","DateFormat=P","Fill=—","Direction=H","UseDPDF=Y")</f>
        <v>#NAME?</v>
      </c>
      <c r="V296" s="2" t="e">
        <f ca="1">_xll.BDH($C$278,"OPER_INC_GROWTH","FQ3 2017","FQ3 2017","Currency=INR","Period=FQ","BEST_FPERIOD_OVERRIDE=FQ","FILING_STATUS=OR","EQY_CONSOLIDATED=Y","FA_ADJUSTED=GAAP","Sort=A","Dates=H","DateFormat=P","Fill=—","Direction=H","UseDPDF=Y")</f>
        <v>#NAME?</v>
      </c>
      <c r="W296" s="2" t="e">
        <f ca="1">_xll.BDH($C$278,"EARN_FOR_COM_GROWTH","FQ3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296" s="2" t="e">
        <f ca="1">_xll.BDH($C$278,"DILUTED_EPS_AFT_XO_ITEMS_GROWTH","FQ3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296" s="2" t="e">
        <f ca="1">_xll.BDH($C$278,"DIVIDEND_PER_SHARE_1_YEAR_GROWTH","FQ3 2017","FQ3 2017","Currency=INR","Period=FQ","BEST_FPERIOD_OVERRIDE=FQ","FILING_STATUS=OR","EQY_CONSOLIDATED=Y","Sort=A","Dates=H","DateFormat=P","Fill=—","Direction=H","UseDPDF=Y")</f>
        <v>#NAME?</v>
      </c>
      <c r="Z296" s="2" t="e">
        <f ca="1">_xll.BDH($C$278,"ACCOUNTS_RECEIVABLE_GROWTH","FQ3 2017","FQ3 2017","Currency=INR","Period=FQ","BEST_FPERIOD_OVERRIDE=FQ","FILING_STATUS=OR","EQY_CONSOLIDATED=Y","Sort=A","Dates=H","DateFormat=P","Fill=—","Direction=H","UseDPDF=Y")</f>
        <v>#NAME?</v>
      </c>
      <c r="AA296" s="2" t="e">
        <f ca="1">_xll.BDH($C$278,"INVENTORY_GROWTH","FQ3 2017","FQ3 2017","Currency=INR","Period=FQ","BEST_FPERIOD_OVERRIDE=FQ","FILING_STATUS=OR","EQY_CONSOLIDATED=Y","Sort=A","Dates=H","DateFormat=P","Fill=—","Direction=H","UseDPDF=Y")</f>
        <v>#NAME?</v>
      </c>
      <c r="AB296" s="2" t="e">
        <f ca="1">_xll.BDH($C$278,"NET_FIXED_ASSETS_1_YEAR_GROWTH","FQ3 2017","FQ3 2017","Currency=INR","Period=FQ","BEST_FPERIOD_OVERRIDE=FQ","FILING_STATUS=OR","EQY_CONSOLIDATED=Y","Sort=A","Dates=H","DateFormat=P","Fill=—","Direction=H","UseDPDF=Y")</f>
        <v>#NAME?</v>
      </c>
      <c r="AC296" s="2" t="e">
        <f ca="1">_xll.BDH($C$278,"ASSET_GROWTH","FQ3 2017","FQ3 2017","Currency=INR","Period=FQ","BEST_FPERIOD_OVERRIDE=FQ","FILING_STATUS=OR","EQY_CONSOLIDATED=Y","Sort=A","Dates=H","DateFormat=P","Fill=—","Direction=H","UseDPDF=Y")</f>
        <v>#NAME?</v>
      </c>
      <c r="AD296" s="2" t="e">
        <f ca="1">_xll.BDH($C$278,"MODIFIED_WORK_CAP_GROWTH","FQ3 2017","FQ3 2017","Currency=INR","Period=FQ","BEST_FPERIOD_OVERRIDE=FQ","FILING_STATUS=OR","EQY_CONSOLIDATED=Y","Sort=A","Dates=H","DateFormat=P","Fill=—","Direction=H","UseDPDF=Y")</f>
        <v>#NAME?</v>
      </c>
      <c r="AE296" s="2" t="e">
        <f ca="1">_xll.BDH($C$278,"WORK_CAP_GROWTH","FQ3 2017","FQ3 2017","Currency=INR","Period=FQ","BEST_FPERIOD_OVERRIDE=FQ","FILING_STATUS=OR","EQY_CONSOLIDATED=Y","Sort=A","Dates=H","DateFormat=P","Fill=—","Direction=H","UseDPDF=Y")</f>
        <v>#NAME?</v>
      </c>
      <c r="AF296" s="2" t="e">
        <f ca="1">_xll.BDH($C$278,"ACCOUNTS_PAYABLE_GROWTH_1YR","FQ3 2017","FQ3 2017","Currency=INR","Period=FQ","BEST_FPERIOD_OVERRIDE=FQ","FILING_STATUS=OR","EQY_CONSOLIDATED=Y","Sort=A","Dates=H","DateFormat=P","Fill=—","Direction=H","UseDPDF=Y")</f>
        <v>#NAME?</v>
      </c>
      <c r="AG296" s="2" t="e">
        <f ca="1">_xll.BDH($C$278,"SHORT_TERM_DEBT_1_YEAR_GROWTH","FQ3 2017","FQ3 2017","Currency=INR","Period=FQ","BEST_FPERIOD_OVERRIDE=FQ","FILING_STATUS=OR","EQY_CONSOLIDATED=Y","Sort=A","Dates=H","DateFormat=P","Fill=—","Direction=H","UseDPDF=Y")</f>
        <v>#NAME?</v>
      </c>
      <c r="AH296" s="2" t="e">
        <f ca="1">_xll.BDH($C$278,"TOTAL_DEBT_1_YEAR_GROWTH","FQ3 2017","FQ3 2017","Currency=INR","Period=FQ","BEST_FPERIOD_OVERRIDE=FQ","FILING_STATUS=OR","EQY_CONSOLIDATED=Y","Sort=A","Dates=H","DateFormat=P","Fill=—","Direction=H","UseDPDF=Y")</f>
        <v>#NAME?</v>
      </c>
      <c r="AI296" s="2" t="e">
        <f ca="1">_xll.BDH($C$278,"TOTAL_EQUITY_1_YEAR_GROWTH","FQ3 2017","FQ3 2017","Currency=INR","Period=FQ","BEST_FPERIOD_OVERRIDE=FQ","FILING_STATUS=OR","EQY_CONSOLIDATED=Y","Sort=A","Dates=H","DateFormat=P","Fill=—","Direction=H","UseDPDF=Y")</f>
        <v>#NAME?</v>
      </c>
      <c r="AJ296" s="2" t="e">
        <f ca="1">_xll.BDH($C$278,"GROWTH_IN_CAP","FQ3 2017","FQ3 2017","Currency=INR","Period=FQ","BEST_FPERIOD_OVERRIDE=FQ","FILING_STATUS=OR","EQY_CONSOLIDATED=Y","Sort=A","Dates=H","DateFormat=P","Fill=—","Direction=H","UseDPDF=Y")</f>
        <v>#NAME?</v>
      </c>
      <c r="AK296" s="2" t="e">
        <f ca="1">_xll.BDH($C$278,"BVPS_GROWTH","FQ3 2017","FQ3 2017","Currency=INR","Period=FQ","BEST_FPERIOD_OVERRIDE=FQ","FILING_STATUS=OR","EQY_CONSOLIDATED=Y","Sort=A","Dates=H","DateFormat=P","Fill=—","Direction=H","UseDPDF=Y")</f>
        <v>#NAME?</v>
      </c>
      <c r="AL296" s="2" t="e">
        <f ca="1">_xll.BDH($C$278,"CASH_FLOW_GROWTH","FQ3 2017","FQ3 2017","Currency=INR","Period=FQ","BEST_FPERIOD_OVERRIDE=FQ","FILING_STATUS=OR","EQY_CONSOLIDATED=Y","Sort=A","Dates=H","DateFormat=P","Fill=—","Direction=H","UseDPDF=Y")</f>
        <v>#NAME?</v>
      </c>
      <c r="AM296" s="2" t="e">
        <f ca="1">_xll.BDH($C$278,"GEO_GROW_NET_SALES","FQ3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296" s="2" t="e">
        <f ca="1">_xll.BDH($C$278,"GEO_GROW_EBITDA","FQ3 2017","FQ3 2017","Currency=INR","Period=FQ","BEST_FPERIOD_OVERRIDE=FQ","FILING_STATUS=OR","EQY_CONSOLIDATED=Y","FA_ADJUSTED=GAAP","Sort=A","Dates=H","DateFormat=P","Fill=—","Direction=H","UseDPDF=Y")</f>
        <v>#NAME?</v>
      </c>
      <c r="AO296" s="2" t="e">
        <f ca="1">_xll.BDH($C$278,"GEO_GROW_OPER_INC","FQ3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296" s="2" t="e">
        <f ca="1">_xll.BDH($C$278,"NET_INCOME_TO_COMMON_5_YR_GROWTH","FQ3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296" s="2" t="e">
        <f ca="1">_xll.BDH($C$278,"5Y_GEO_GROWTH_DILUTED_EPS","FQ3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296" s="2" t="e">
        <f ca="1">_xll.BDH($C$278,"GEO_GROW_DVD_PER_SH","FQ3 2017","FQ3 2017","Currency=INR","Period=FQ","BEST_FPERIOD_OVERRIDE=FQ","FILING_STATUS=OR","EQY_CONSOLIDATED=Y","Sort=A","Dates=H","DateFormat=P","Fill=—","Direction=H","UseDPDF=Y")</f>
        <v>#NAME?</v>
      </c>
      <c r="AS296" s="2" t="e">
        <f ca="1">_xll.BDH($C$278,"ACCOUNTS_RECEIVABLE_5_YR_GROWTH","FQ3 2017","FQ3 2017","Currency=INR","Period=FQ","BEST_FPERIOD_OVERRIDE=FQ","FILING_STATUS=OR","EQY_CONSOLIDATED=Y","Sort=A","Dates=H","DateFormat=P","Fill=—","Direction=H","UseDPDF=Y")</f>
        <v>#NAME?</v>
      </c>
      <c r="AT296" s="2" t="e">
        <f ca="1">_xll.BDH($C$278,"INVENTORY_5_YEAR_GROWTH","FQ3 2017","FQ3 2017","Currency=INR","Period=FQ","BEST_FPERIOD_OVERRIDE=FQ","FILING_STATUS=OR","EQY_CONSOLIDATED=Y","Sort=A","Dates=H","DateFormat=P","Fill=—","Direction=H","UseDPDF=Y")</f>
        <v>#NAME?</v>
      </c>
      <c r="AU296" s="2" t="e">
        <f ca="1">_xll.BDH($C$278,"NET_FIXED_ASSETS_5_YEAR_GROWTH","FQ3 2017","FQ3 2017","Currency=INR","Period=FQ","BEST_FPERIOD_OVERRIDE=FQ","FILING_STATUS=OR","EQY_CONSOLIDATED=Y","Sort=A","Dates=H","DateFormat=P","Fill=—","Direction=H","UseDPDF=Y")</f>
        <v>#NAME?</v>
      </c>
      <c r="AV296" s="2" t="e">
        <f ca="1">_xll.BDH($C$278,"GEO_GROW_TOT_ASSET","FQ3 2017","FQ3 2017","Currency=INR","Period=FQ","BEST_FPERIOD_OVERRIDE=FQ","FILING_STATUS=OR","EQY_CONSOLIDATED=Y","Sort=A","Dates=H","DateFormat=P","Fill=—","Direction=H","UseDPDF=Y")</f>
        <v>#NAME?</v>
      </c>
      <c r="AW296" s="2" t="e">
        <f ca="1">_xll.BDH($C$278,"MODIFIED_WORKING_CPTL_5YR_GRWTH","FQ3 2017","FQ3 2017","Currency=INR","Period=FQ","BEST_FPERIOD_OVERRIDE=FQ","FILING_STATUS=OR","EQY_CONSOLIDATED=Y","Sort=A","Dates=H","DateFormat=P","Fill=—","Direction=H","UseDPDF=Y")</f>
        <v>#NAME?</v>
      </c>
      <c r="AX296" s="2" t="e">
        <f ca="1">_xll.BDH($C$278,"WORKING_CAPITAL_5_YEAR_GROWTH","FQ3 2017","FQ3 2017","Currency=INR","Period=FQ","BEST_FPERIOD_OVERRIDE=FQ","FILING_STATUS=OR","EQY_CONSOLIDATED=Y","Sort=A","Dates=H","DateFormat=P","Fill=—","Direction=H","UseDPDF=Y")</f>
        <v>#NAME?</v>
      </c>
      <c r="AY296" s="2" t="e">
        <f ca="1">_xll.BDH($C$278,"ACCOUNTS_PAYABLE_5_YEAR_GROWTH","FQ3 2017","FQ3 2017","Currency=INR","Period=FQ","BEST_FPERIOD_OVERRIDE=FQ","FILING_STATUS=OR","EQY_CONSOLIDATED=Y","Sort=A","Dates=H","DateFormat=P","Fill=—","Direction=H","UseDPDF=Y")</f>
        <v>#NAME?</v>
      </c>
      <c r="AZ296" s="2" t="e">
        <f ca="1">_xll.BDH($C$278,"SHORT_TERM_DEBT_5_YEAR_GROWTH","FQ3 2017","FQ3 2017","Currency=INR","Period=FQ","BEST_FPERIOD_OVERRIDE=FQ","FILING_STATUS=OR","EQY_CONSOLIDATED=Y","Sort=A","Dates=H","DateFormat=P","Fill=—","Direction=H","UseDPDF=Y")</f>
        <v>#NAME?</v>
      </c>
      <c r="BA296" s="2" t="e">
        <f ca="1">_xll.BDH($C$278,"TOTAL_DEBT_5_YEAR_GROWTH","FQ3 2017","FQ3 2017","Currency=INR","Period=FQ","BEST_FPERIOD_OVERRIDE=FQ","FILING_STATUS=OR","EQY_CONSOLIDATED=Y","Sort=A","Dates=H","DateFormat=P","Fill=—","Direction=H","UseDPDF=Y")</f>
        <v>#NAME?</v>
      </c>
      <c r="BB296" s="2" t="e">
        <f ca="1">_xll.BDH($C$278,"GEO_GROW_TOT_SHRHLDR_EQY","FQ3 2017","FQ3 2017","Currency=INR","Period=FQ","BEST_FPERIOD_OVERRIDE=FQ","FILING_STATUS=OR","EQY_CONSOLIDATED=Y","Sort=A","Dates=H","DateFormat=P","Fill=—","Direction=H","UseDPDF=Y")</f>
        <v>#NAME?</v>
      </c>
      <c r="BC296" s="2" t="e">
        <f ca="1">_xll.BDH($C$278,"TOTAL_CAPITAL_5_YEAR_GROWTH","FQ3 2017","FQ3 2017","Currency=INR","Period=FQ","BEST_FPERIOD_OVERRIDE=FQ","FILING_STATUS=OR","EQY_CONSOLIDATED=Y","Sort=A","Dates=H","DateFormat=P","Fill=—","Direction=H","UseDPDF=Y")</f>
        <v>#NAME?</v>
      </c>
      <c r="BD296" s="2" t="e">
        <f ca="1">_xll.BDH($C$278,"GEO_GROW_BOOK_VAL","FQ3 2017","FQ3 2017","Currency=INR","Period=FQ","BEST_FPERIOD_OVERRIDE=FQ","FILING_STATUS=OR","EQY_CONSOLIDATED=Y","Sort=A","Dates=H","DateFormat=P","Fill=—","Direction=H","UseDPDF=Y")</f>
        <v>#NAME?</v>
      </c>
      <c r="BE296" s="2" t="e">
        <f ca="1">_xll.BDH($C$278,"GEO_GROW_CASH_OPER_ACT","FQ3 2017","FQ3 2017","Currency=INR","Period=FQ","BEST_FPERIOD_OVERRIDE=FQ","FILING_STATUS=OR","EQY_CONSOLIDATED=Y","Sort=A","Dates=H","DateFormat=P","Fill=—","Direction=H","UseDPDF=Y")</f>
        <v>#NAME?</v>
      </c>
      <c r="BF296" s="2" t="e">
        <f ca="1">_xll.BDH($C$278,"REVENUE_SEQUENTIAL_GROWTH","FQ3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296" s="2" t="e">
        <f ca="1">_xll.BDH($C$278,"EBITDA_SEQUENTIAL_GROWTH","FQ3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296" s="2" t="e">
        <f ca="1">_xll.BDH($C$278,"OPERATING_INCOME_SEQ_GROWTH","FQ3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296" s="2" t="e">
        <f ca="1">_xll.BDH($C$278,"NET_INCOME_TO_COMMON_SEQ_GROWTH","FQ3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296" s="2" t="e">
        <f ca="1">_xll.BDH($C$278,"EPS_DILUTED_SEQUENTIAL_GROWTH","FQ3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296" s="2" t="e">
        <f ca="1">_xll.BDH($C$278,"DPS_SEQUENTIAL_GROWTH","FQ3 2017","FQ3 2017","Currency=INR","Period=FQ","BEST_FPERIOD_OVERRIDE=FQ","FILING_STATUS=OR","EQY_CONSOLIDATED=Y","Sort=A","Dates=H","DateFormat=P","Fill=—","Direction=H","UseDPDF=Y")</f>
        <v>#NAME?</v>
      </c>
      <c r="BL296" s="2" t="e">
        <f ca="1">_xll.BDH($C$278,"ACCOUNTS_RECEIVABLE_SEQ_GROWTH","FQ3 2017","FQ3 2017","Currency=INR","Period=FQ","BEST_FPERIOD_OVERRIDE=FQ","FILING_STATUS=OR","EQY_CONSOLIDATED=Y","Sort=A","Dates=H","DateFormat=P","Fill=—","Direction=H","UseDPDF=Y")</f>
        <v>#NAME?</v>
      </c>
      <c r="BM296" s="2" t="e">
        <f ca="1">_xll.BDH($C$278,"INVENTORY_SEQUENTIAL_GROWTH","FQ3 2017","FQ3 2017","Currency=INR","Period=FQ","BEST_FPERIOD_OVERRIDE=FQ","FILING_STATUS=OR","EQY_CONSOLIDATED=Y","Sort=A","Dates=H","DateFormat=P","Fill=—","Direction=H","UseDPDF=Y")</f>
        <v>#NAME?</v>
      </c>
      <c r="BN296" s="2" t="e">
        <f ca="1">_xll.BDH($C$278,"FIXED_ASSETS_SEQUENTIAL_GROWTH","FQ3 2017","FQ3 2017","Currency=INR","Period=FQ","BEST_FPERIOD_OVERRIDE=FQ","FILING_STATUS=OR","EQY_CONSOLIDATED=Y","Sort=A","Dates=H","DateFormat=P","Fill=—","Direction=H","UseDPDF=Y")</f>
        <v>#NAME?</v>
      </c>
      <c r="BO296" s="2" t="e">
        <f ca="1">_xll.BDH($C$278,"TOTAL_ASSETS_SEQUENTIAL_GROWTH","FQ3 2017","FQ3 2017","Currency=INR","Period=FQ","BEST_FPERIOD_OVERRIDE=FQ","FILING_STATUS=OR","EQY_CONSOLIDATED=Y","Sort=A","Dates=H","DateFormat=P","Fill=—","Direction=H","UseDPDF=Y")</f>
        <v>#NAME?</v>
      </c>
      <c r="BP296" s="2" t="e">
        <f ca="1">_xll.BDH($C$278,"MODIFIED_WORKING_CPTL_SEQ_GRWTH","FQ3 2017","FQ3 2017","Currency=INR","Period=FQ","BEST_FPERIOD_OVERRIDE=FQ","FILING_STATUS=OR","EQY_CONSOLIDATED=Y","Sort=A","Dates=H","DateFormat=P","Fill=—","Direction=H","UseDPDF=Y")</f>
        <v>#NAME?</v>
      </c>
      <c r="BQ296" s="2" t="e">
        <f ca="1">_xll.BDH($C$278,"WORKING_CAPITAL_SEQ_GROWTH","FQ3 2017","FQ3 2017","Currency=INR","Period=FQ","BEST_FPERIOD_OVERRIDE=FQ","FILING_STATUS=OR","EQY_CONSOLIDATED=Y","Sort=A","Dates=H","DateFormat=P","Fill=—","Direction=H","UseDPDF=Y")</f>
        <v>#NAME?</v>
      </c>
      <c r="BR296" s="2" t="e">
        <f ca="1">_xll.BDH($C$278,"ACCOUNTS_PAYABLE_SEQ_GROWTH","FQ3 2017","FQ3 2017","Currency=INR","Period=FQ","BEST_FPERIOD_OVERRIDE=FQ","FILING_STATUS=OR","EQY_CONSOLIDATED=Y","Sort=A","Dates=H","DateFormat=P","Fill=—","Direction=H","UseDPDF=Y")</f>
        <v>#NAME?</v>
      </c>
      <c r="BS296" s="2" t="e">
        <f ca="1">_xll.BDH($C$278,"ST_DEBT_SEQUENTIAL_GROWTH","FQ3 2017","FQ3 2017","Currency=INR","Period=FQ","BEST_FPERIOD_OVERRIDE=FQ","FILING_STATUS=OR","EQY_CONSOLIDATED=Y","Sort=A","Dates=H","DateFormat=P","Fill=—","Direction=H","UseDPDF=Y")</f>
        <v>#NAME?</v>
      </c>
      <c r="BT296" s="2" t="e">
        <f ca="1">_xll.BDH($C$278,"TOTAL_DEBT_SEQUENTIAL_GROWTH","FQ3 2017","FQ3 2017","Currency=INR","Period=FQ","BEST_FPERIOD_OVERRIDE=FQ","FILING_STATUS=OR","EQY_CONSOLIDATED=Y","Sort=A","Dates=H","DateFormat=P","Fill=—","Direction=H","UseDPDF=Y")</f>
        <v>#NAME?</v>
      </c>
      <c r="BU296" s="2" t="e">
        <f ca="1">_xll.BDH($C$278,"TOTAL_EQUITY_SEQUENTIAL_GROWTH","FQ3 2017","FQ3 2017","Currency=INR","Period=FQ","BEST_FPERIOD_OVERRIDE=FQ","FILING_STATUS=OR","EQY_CONSOLIDATED=Y","Sort=A","Dates=H","DateFormat=P","Fill=—","Direction=H","UseDPDF=Y")</f>
        <v>#NAME?</v>
      </c>
      <c r="BV296" s="2" t="e">
        <f ca="1">_xll.BDH($C$278,"TOTAL_CAPITAL_SEQUENTIAL_GROWTH","FQ3 2017","FQ3 2017","Currency=INR","Period=FQ","BEST_FPERIOD_OVERRIDE=FQ","FILING_STATUS=OR","EQY_CONSOLIDATED=Y","Sort=A","Dates=H","DateFormat=P","Fill=—","Direction=H","UseDPDF=Y")</f>
        <v>#NAME?</v>
      </c>
      <c r="BW296" s="2" t="e">
        <f ca="1">_xll.BDH($C$278,"BPS_SEQUENTIAL_GROWTH","FQ3 2017","FQ3 2017","Currency=INR","Period=FQ","BEST_FPERIOD_OVERRIDE=FQ","FILING_STATUS=OR","EQY_CONSOLIDATED=Y","Sort=A","Dates=H","DateFormat=P","Fill=—","Direction=H","UseDPDF=Y")</f>
        <v>#NAME?</v>
      </c>
      <c r="BX296" s="2" t="e">
        <f ca="1">_xll.BDH($C$278,"CFO_SEQUENTIAL_GROWTH","FQ3 2017","FQ3 2017","Currency=INR","Period=FQ","BEST_FPERIOD_OVERRIDE=FQ","FILING_STATUS=OR","EQY_CONSOLIDATED=Y","Sort=A","Dates=H","DateFormat=P","Fill=—","Direction=H","UseDPDF=Y")</f>
        <v>#NAME?</v>
      </c>
      <c r="BY296" s="3" t="e">
        <f ca="1">_xll.BDH($C$278,"SHORT_AND_LONG_TERM_DEBT","FQ3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296" s="3" t="e">
        <f ca="1">_xll.BDH($C$278,"BS_ST_BORROW","FQ3 2017","FQ3 2017","Currency=INR","Period=FQ","BEST_FPERIOD_OVERRIDE=FQ","FILING_STATUS=OR","EQY_CONSOLIDATED=Y","SCALING_FORMAT=MLN","Sort=A","Dates=H","DateFormat=P","Fill=—","Direction=H","UseDPDF=Y")</f>
        <v>#NAME?</v>
      </c>
      <c r="CA296" s="3" t="e">
        <f ca="1">_xll.BDH($C$278,"BS_LT_BORROW","FQ3 2017","FQ3 2017","Currency=INR","Period=FQ","BEST_FPERIOD_OVERRIDE=FQ","FILING_STATUS=OR","EQY_CONSOLIDATED=Y","SCALING_FORMAT=MLN","Sort=A","Dates=H","DateFormat=P","Fill=—","Direction=H","UseDPDF=Y")</f>
        <v>#NAME?</v>
      </c>
      <c r="CB296" s="2" t="e">
        <f ca="1">_xll.BDH($C$278,"TOT_DEBT_TO_EBITDA","FQ3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296" s="2" t="e">
        <f ca="1">_xll.BDH($C$278,"NET_DEBT_TO_EBITDA","FQ3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296" s="2" t="e">
        <f ca="1">_xll.BDH($C$278,"TOTAL_DEBT_TO_EBIT","FQ3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296" s="2" t="e">
        <f ca="1">_xll.BDH($C$278,"NET_DEBT_TO_EBIT","FQ3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296" s="2" t="e">
        <f ca="1">_xll.BDH($C$278,"EBITDA_TO_INTEREST_EXPN","FQ3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296" s="2" t="e">
        <f ca="1">_xll.BDH($C$278,"COM_EQY_TO_TOT_ASSET","FQ3 2017","FQ3 2017","Currency=INR","Period=FQ","BEST_FPERIOD_OVERRIDE=FQ","FILING_STATUS=OR","EQY_CONSOLIDATED=Y","Sort=A","Dates=H","DateFormat=P","Fill=—","Direction=H","UseDPDF=Y")</f>
        <v>#NAME?</v>
      </c>
      <c r="CH296" s="2" t="e">
        <f ca="1">_xll.BDH($C$278,"LT_DEBT_TO_TOT_EQY","FQ3 2017","FQ3 2017","Currency=INR","Period=FQ","BEST_FPERIOD_OVERRIDE=FQ","FILING_STATUS=OR","EQY_CONSOLIDATED=Y","Sort=A","Dates=H","DateFormat=P","Fill=—","Direction=H","UseDPDF=Y")</f>
        <v>#NAME?</v>
      </c>
      <c r="CI296" s="2" t="e">
        <f ca="1">_xll.BDH($C$278,"LT_DEBT_TO_TOT_CAP","FQ3 2017","FQ3 2017","Currency=INR","Period=FQ","BEST_FPERIOD_OVERRIDE=FQ","FILING_STATUS=OR","EQY_CONSOLIDATED=Y","Sort=A","Dates=H","DateFormat=P","Fill=—","Direction=H","UseDPDF=Y")</f>
        <v>#NAME?</v>
      </c>
      <c r="CJ296" s="2" t="e">
        <f ca="1">_xll.BDH($C$278,"LT_DEBT_TO_TOT_ASSET","FQ3 2017","FQ3 2017","Currency=INR","Period=FQ","BEST_FPERIOD_OVERRIDE=FQ","FILING_STATUS=OR","EQY_CONSOLIDATED=Y","Sort=A","Dates=H","DateFormat=P","Fill=—","Direction=H","UseDPDF=Y")</f>
        <v>#NAME?</v>
      </c>
      <c r="CK296" s="2" t="e">
        <f ca="1">_xll.BDH($C$278,"TOT_DEBT_TO_TOT_EQY","FQ3 2017","FQ3 2017","Currency=INR","Period=FQ","BEST_FPERIOD_OVERRIDE=FQ","FILING_STATUS=OR","EQY_CONSOLIDATED=Y","Sort=A","Dates=H","DateFormat=P","Fill=—","Direction=H","UseDPDF=Y")</f>
        <v>#NAME?</v>
      </c>
      <c r="CL296" s="2" t="e">
        <f ca="1">_xll.BDH($C$278,"TOT_DEBT_TO_TOT_CAP","FQ3 2017","FQ3 2017","Currency=INR","Period=FQ","BEST_FPERIOD_OVERRIDE=FQ","FILING_STATUS=OR","EQY_CONSOLIDATED=Y","Sort=A","Dates=H","DateFormat=P","Fill=—","Direction=H","UseDPDF=Y")</f>
        <v>#NAME?</v>
      </c>
      <c r="CM296" s="2" t="e">
        <f ca="1">_xll.BDH($C$278,"TOT_DEBT_TO_TOT_ASSET","FQ3 2017","FQ3 2017","Currency=INR","Period=FQ","BEST_FPERIOD_OVERRIDE=FQ","FILING_STATUS=OR","EQY_CONSOLIDATED=Y","Sort=A","Dates=H","DateFormat=P","Fill=—","Direction=H","UseDPDF=Y")</f>
        <v>#NAME?</v>
      </c>
      <c r="CN296" s="2" t="e">
        <f ca="1">_xll.BDH($C$278,"NET_DEBT_TO_SHRHLDR_EQTY","FQ3 2017","FQ3 2017","Currency=INR","Period=FQ","BEST_FPERIOD_OVERRIDE=FQ","FILING_STATUS=OR","EQY_CONSOLIDATED=Y","Sort=A","Dates=H","DateFormat=P","Fill=—","Direction=H","UseDPDF=Y")</f>
        <v>#NAME?</v>
      </c>
      <c r="CO296" s="2" t="e">
        <f ca="1">_xll.BDH($C$278,"NET_DEBT_%_CAPITAL","FQ3 2017","FQ3 2017","Currency=INR","Period=FQ","BEST_FPERIOD_OVERRIDE=FQ","FILING_STATUS=OR","EQY_CONSOLIDATED=Y","Sort=A","Dates=H","DateFormat=P","Fill=—","Direction=H","UseDPDF=Y")</f>
        <v>#NAME?</v>
      </c>
      <c r="CP296" s="3" t="e">
        <f ca="1">_xll.BDH($C$278,"EBITDA","FQ3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296" s="3" t="e">
        <f ca="1">_xll.BDH($C$278,"EBITDA_AFTER_CAPEX","FQ3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296" s="3" t="e">
        <f ca="1">_xll.BDH($C$278,"IS_OPER_INC","FQ3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296" s="2" t="e">
        <f ca="1">_xll.BDH($C$278,"CASH_RATIO","FQ3 2017","FQ3 2017","Currency=INR","Period=FQ","BEST_FPERIOD_OVERRIDE=FQ","FILING_STATUS=OR","EQY_CONSOLIDATED=Y","Sort=A","Dates=H","DateFormat=P","Fill=—","Direction=H","UseDPDF=Y")</f>
        <v>#NAME?</v>
      </c>
      <c r="CT296" s="2" t="e">
        <f ca="1">_xll.BDH($C$278,"CUR_RATIO","FQ3 2017","FQ3 2017","Currency=INR","Period=FQ","BEST_FPERIOD_OVERRIDE=FQ","FILING_STATUS=OR","EQY_CONSOLIDATED=Y","Sort=A","Dates=H","DateFormat=P","Fill=—","Direction=H","UseDPDF=Y")</f>
        <v>#NAME?</v>
      </c>
      <c r="CU296" s="2" t="e">
        <f ca="1">_xll.BDH($C$278,"QUICK_RATIO","FQ3 2017","FQ3 2017","Currency=INR","Period=FQ","BEST_FPERIOD_OVERRIDE=FQ","FILING_STATUS=OR","EQY_CONSOLIDATED=Y","Sort=A","Dates=H","DateFormat=P","Fill=—","Direction=H","UseDPDF=Y")</f>
        <v>#NAME?</v>
      </c>
      <c r="CV296" s="2" t="e">
        <f ca="1">_xll.BDH($C$278,"ALTMAN_Z_SCORE","FQ3 2017","FQ3 2017","Currency=INR","Period=FQ","BEST_FPERIOD_OVERRIDE=FQ","FILING_STATUS=OR","EQY_CONSOLIDATED=Y","Sort=A","Dates=H","DateFormat=P","Fill=—","Direction=H","UseDPDF=Y")</f>
        <v>#NAME?</v>
      </c>
      <c r="CW296" s="4" t="e">
        <f ca="1">_xll.BDH($C$278,"ACCT_RCV_TURN","FQ3 2017","FQ3 2017","Currency=INR","Period=FQ","BEST_FPERIOD_OVERRIDE=FQ","FILING_STATUS=OR","EQY_CONSOLIDATED=Y","FA_ADJUSTED=GAAP","Sort=A","Dates=H","DateFormat=P","Fill=—","Direction=H","UseDPDF=Y")</f>
        <v>#NAME?</v>
      </c>
      <c r="CX296" s="2" t="e">
        <f ca="1">_xll.BDH($C$278,"ACCT_RCV_DAYS","FQ3 2017","FQ3 2017","Currency=INR","Period=FQ","BEST_FPERIOD_OVERRIDE=FQ","FILING_STATUS=OR","EQY_CONSOLIDATED=Y","FA_ADJUSTED=GAAP","Sort=A","Dates=H","DateFormat=P","Fill=—","Direction=H","UseDPDF=Y")</f>
        <v>#NAME?</v>
      </c>
      <c r="CY296" s="4" t="e">
        <f ca="1">_xll.BDH($C$278,"INVENT_TURN","FQ3 2017","FQ3 2017","Currency=INR","Period=FQ","BEST_FPERIOD_OVERRIDE=FQ","FILING_STATUS=OR","EQY_CONSOLIDATED=Y","FA_ADJUSTED=GAAP","Sort=A","Dates=H","DateFormat=P","Fill=—","Direction=H","UseDPDF=Y")</f>
        <v>#NAME?</v>
      </c>
      <c r="CZ296" s="2" t="e">
        <f ca="1">_xll.BDH($C$278,"INVENT_DAYS","FQ3 2017","FQ3 2017","Currency=INR","Period=FQ","BEST_FPERIOD_OVERRIDE=FQ","FILING_STATUS=OR","EQY_CONSOLIDATED=Y","FA_ADJUSTED=GAAP","Sort=A","Dates=H","DateFormat=P","Fill=—","Direction=H","UseDPDF=Y")</f>
        <v>#NAME?</v>
      </c>
      <c r="DA296" s="4" t="e">
        <f ca="1">_xll.BDH($C$278,"ACCOUNTS_PAYABLE_TURNOVER","FQ3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296" s="2" t="e">
        <f ca="1">_xll.BDH($C$278,"ACCOUNTS_PAYABLE_TURNOVER_DAYS","FQ3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296" s="4" t="e">
        <f ca="1">_xll.BDH($C$278,"CASH_CONVERSION_CYCLE","FQ3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296" s="4" t="e">
        <f ca="1">_xll.BDH($C$278,"INV_TO_CASH_DAYS","FQ3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296" s="5" t="e">
        <f ca="1">_xll.BDH($C$278,"BS_INVENTORIES","FQ3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296" s="3" t="e">
        <f ca="1">_xll.BDH($C$278,"INVTRY_RAW_MATERIALS","FQ3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296" s="3" t="e">
        <f ca="1">_xll.BDH($C$278,"INVTRY_IN_PROGRESS","FQ3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296" s="3" t="e">
        <f ca="1">_xll.BDH($C$278,"INVTRY_FINISHED_GOODS","FQ3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296" s="3" t="e">
        <f ca="1">_xll.BDH($C$278,"BS_OTHER_INV","FQ3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297" spans="1:113" x14ac:dyDescent="0.3">
      <c r="A297" s="6"/>
      <c r="B297" s="6"/>
      <c r="C297" s="6"/>
      <c r="D297" s="6"/>
      <c r="E297" t="s">
        <v>81</v>
      </c>
      <c r="F297" t="e">
        <f ca="1">_xll.BDH($C$278,"RETURN_COM_EQY","FQ4 2017","FQ4 2017","Currency=INR","Period=FQ","BEST_FPERIOD_OVERRIDE=FQ","FILING_STATUS=OR","EQY_CONSOLIDATED=Y","FA_ADJUSTED=GAAP","Sort=A","Dates=H","DateFormat=P","Fill=—","Direction=H","UseDPDF=Y")</f>
        <v>#NAME?</v>
      </c>
      <c r="G297" t="e">
        <f ca="1">_xll.BDH($C$278,"RETURN_ON_ASSET","FQ4 2017","FQ4 2017","Currency=INR","Period=FQ","BEST_FPERIOD_OVERRIDE=FQ","FILING_STATUS=OR","EQY_CONSOLIDATED=Y","FA_ADJUSTED=GAAP","Sort=A","Dates=H","DateFormat=P","Fill=—","Direction=H","UseDPDF=Y")</f>
        <v>#NAME?</v>
      </c>
      <c r="H297" t="e">
        <f ca="1">_xll.BDH($C$278,"RETURN_ON_CAP","FQ4 2017","FQ4 2017","Currency=INR","Period=FQ","BEST_FPERIOD_OVERRIDE=FQ","FILING_STATUS=OR","EQY_CONSOLIDATED=Y","FA_ADJUSTED=GAAP","Sort=A","Dates=H","DateFormat=P","Fill=—","Direction=H","UseDPDF=Y")</f>
        <v>#NAME?</v>
      </c>
      <c r="I297" t="e">
        <f ca="1">_xll.BDH($C$278,"RETURN_ON_INV_CAPITAL","FQ4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297" t="e">
        <f ca="1">_xll.BDH($C$278,"EBITDA_TO_REVENUE","FQ4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297" t="e">
        <f ca="1">_xll.BDH($C$278,"OPER_MARGIN","FQ4 2017","FQ4 2017","Currency=INR","Period=FQ","BEST_FPERIOD_OVERRIDE=FQ","FILING_STATUS=OR","EQY_CONSOLIDATED=Y","FA_ADJUSTED=GAAP","Sort=A","Dates=H","DateFormat=P","Fill=—","Direction=H","UseDPDF=Y")</f>
        <v>#NAME?</v>
      </c>
      <c r="L297" t="e">
        <f ca="1">_xll.BDH($C$278,"INCREMENTAL_OPERATING_MARGIN","FQ4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297" t="e">
        <f ca="1">_xll.BDH($C$278,"PRETAX_INC_TO_NET_SALES","FQ4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297" t="e">
        <f ca="1">_xll.BDH($C$278,"INC_BEF_XO_ITEMS_TO_NET_SALES","FQ4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297" t="e">
        <f ca="1">_xll.BDH($C$278,"PROF_MARGIN","FQ4 2017","FQ4 2017","Currency=INR","Period=FQ","BEST_FPERIOD_OVERRIDE=FQ","FILING_STATUS=OR","EQY_CONSOLIDATED=Y","FA_ADJUSTED=GAAP","Sort=A","Dates=H","DateFormat=P","Fill=—","Direction=H","UseDPDF=Y")</f>
        <v>#NAME?</v>
      </c>
      <c r="P297" t="e">
        <f ca="1">_xll.BDH($C$278,"NET_INCOME_TO_COMMON_MARGIN","FQ4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297" t="e">
        <f ca="1">_xll.BDH($C$278,"EFF_TAX_RATE","FQ4 2017","FQ4 2017","Currency=INR","Period=FQ","BEST_FPERIOD_OVERRIDE=FQ","FILING_STATUS=OR","EQY_CONSOLIDATED=Y","FA_ADJUSTED=GAAP","Sort=A","Dates=H","DateFormat=P","Fill=—","Direction=H","UseDPDF=Y")</f>
        <v>#NAME?</v>
      </c>
      <c r="R297" t="e">
        <f ca="1">_xll.BDH($C$278,"DVD_PAYOUT_RATIO","FQ4 2017","FQ4 2017","Currency=INR","Period=FQ","BEST_FPERIOD_OVERRIDE=FQ","FILING_STATUS=OR","EQY_CONSOLIDATED=Y","FA_ADJUSTED=GAAP","Sort=A","Dates=H","DateFormat=P","Fill=—","Direction=H","UseDPDF=Y")</f>
        <v>#NAME?</v>
      </c>
      <c r="S297" t="e">
        <f ca="1">_xll.BDH($C$278,"SUSTAIN_GROWTH_RT","FQ4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297" s="2" t="e">
        <f ca="1">_xll.BDH($C$278,"SALES_GROWTH","FQ4 2017","FQ4 2017","Currency=INR","Period=FQ","BEST_FPERIOD_OVERRIDE=FQ","FILING_STATUS=OR","EQY_CONSOLIDATED=Y","FA_ADJUSTED=GAAP","Sort=A","Dates=H","DateFormat=P","Fill=—","Direction=H","UseDPDF=Y")</f>
        <v>#NAME?</v>
      </c>
      <c r="U297" s="2" t="e">
        <f ca="1">_xll.BDH($C$278,"EBITDA_GROWTH","FQ4 2017","FQ4 2017","Currency=INR","Period=FQ","BEST_FPERIOD_OVERRIDE=FQ","FILING_STATUS=OR","EQY_CONSOLIDATED=Y","FA_ADJUSTED=GAAP","Sort=A","Dates=H","DateFormat=P","Fill=—","Direction=H","UseDPDF=Y")</f>
        <v>#NAME?</v>
      </c>
      <c r="V297" s="2" t="e">
        <f ca="1">_xll.BDH($C$278,"OPER_INC_GROWTH","FQ4 2017","FQ4 2017","Currency=INR","Period=FQ","BEST_FPERIOD_OVERRIDE=FQ","FILING_STATUS=OR","EQY_CONSOLIDATED=Y","FA_ADJUSTED=GAAP","Sort=A","Dates=H","DateFormat=P","Fill=—","Direction=H","UseDPDF=Y")</f>
        <v>#NAME?</v>
      </c>
      <c r="W297" s="2" t="e">
        <f ca="1">_xll.BDH($C$278,"EARN_FOR_COM_GROWTH","FQ4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297" s="2" t="e">
        <f ca="1">_xll.BDH($C$278,"DILUTED_EPS_AFT_XO_ITEMS_GROWTH","FQ4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297" s="2" t="e">
        <f ca="1">_xll.BDH($C$278,"DIVIDEND_PER_SHARE_1_YEAR_GROWTH","FQ4 2017","FQ4 2017","Currency=INR","Period=FQ","BEST_FPERIOD_OVERRIDE=FQ","FILING_STATUS=OR","EQY_CONSOLIDATED=Y","Sort=A","Dates=H","DateFormat=P","Fill=—","Direction=H","UseDPDF=Y")</f>
        <v>#NAME?</v>
      </c>
      <c r="Z297" s="2" t="e">
        <f ca="1">_xll.BDH($C$278,"ACCOUNTS_RECEIVABLE_GROWTH","FQ4 2017","FQ4 2017","Currency=INR","Period=FQ","BEST_FPERIOD_OVERRIDE=FQ","FILING_STATUS=OR","EQY_CONSOLIDATED=Y","Sort=A","Dates=H","DateFormat=P","Fill=—","Direction=H","UseDPDF=Y")</f>
        <v>#NAME?</v>
      </c>
      <c r="AA297" s="2" t="e">
        <f ca="1">_xll.BDH($C$278,"INVENTORY_GROWTH","FQ4 2017","FQ4 2017","Currency=INR","Period=FQ","BEST_FPERIOD_OVERRIDE=FQ","FILING_STATUS=OR","EQY_CONSOLIDATED=Y","Sort=A","Dates=H","DateFormat=P","Fill=—","Direction=H","UseDPDF=Y")</f>
        <v>#NAME?</v>
      </c>
      <c r="AB297" s="2" t="e">
        <f ca="1">_xll.BDH($C$278,"NET_FIXED_ASSETS_1_YEAR_GROWTH","FQ4 2017","FQ4 2017","Currency=INR","Period=FQ","BEST_FPERIOD_OVERRIDE=FQ","FILING_STATUS=OR","EQY_CONSOLIDATED=Y","Sort=A","Dates=H","DateFormat=P","Fill=—","Direction=H","UseDPDF=Y")</f>
        <v>#NAME?</v>
      </c>
      <c r="AC297" s="2" t="e">
        <f ca="1">_xll.BDH($C$278,"ASSET_GROWTH","FQ4 2017","FQ4 2017","Currency=INR","Period=FQ","BEST_FPERIOD_OVERRIDE=FQ","FILING_STATUS=OR","EQY_CONSOLIDATED=Y","Sort=A","Dates=H","DateFormat=P","Fill=—","Direction=H","UseDPDF=Y")</f>
        <v>#NAME?</v>
      </c>
      <c r="AD297" s="2" t="e">
        <f ca="1">_xll.BDH($C$278,"MODIFIED_WORK_CAP_GROWTH","FQ4 2017","FQ4 2017","Currency=INR","Period=FQ","BEST_FPERIOD_OVERRIDE=FQ","FILING_STATUS=OR","EQY_CONSOLIDATED=Y","Sort=A","Dates=H","DateFormat=P","Fill=—","Direction=H","UseDPDF=Y")</f>
        <v>#NAME?</v>
      </c>
      <c r="AE297" s="2" t="e">
        <f ca="1">_xll.BDH($C$278,"WORK_CAP_GROWTH","FQ4 2017","FQ4 2017","Currency=INR","Period=FQ","BEST_FPERIOD_OVERRIDE=FQ","FILING_STATUS=OR","EQY_CONSOLIDATED=Y","Sort=A","Dates=H","DateFormat=P","Fill=—","Direction=H","UseDPDF=Y")</f>
        <v>#NAME?</v>
      </c>
      <c r="AF297" s="2" t="e">
        <f ca="1">_xll.BDH($C$278,"ACCOUNTS_PAYABLE_GROWTH_1YR","FQ4 2017","FQ4 2017","Currency=INR","Period=FQ","BEST_FPERIOD_OVERRIDE=FQ","FILING_STATUS=OR","EQY_CONSOLIDATED=Y","Sort=A","Dates=H","DateFormat=P","Fill=—","Direction=H","UseDPDF=Y")</f>
        <v>#NAME?</v>
      </c>
      <c r="AG297" s="2" t="e">
        <f ca="1">_xll.BDH($C$278,"SHORT_TERM_DEBT_1_YEAR_GROWTH","FQ4 2017","FQ4 2017","Currency=INR","Period=FQ","BEST_FPERIOD_OVERRIDE=FQ","FILING_STATUS=OR","EQY_CONSOLIDATED=Y","Sort=A","Dates=H","DateFormat=P","Fill=—","Direction=H","UseDPDF=Y")</f>
        <v>#NAME?</v>
      </c>
      <c r="AH297" s="2" t="e">
        <f ca="1">_xll.BDH($C$278,"TOTAL_DEBT_1_YEAR_GROWTH","FQ4 2017","FQ4 2017","Currency=INR","Period=FQ","BEST_FPERIOD_OVERRIDE=FQ","FILING_STATUS=OR","EQY_CONSOLIDATED=Y","Sort=A","Dates=H","DateFormat=P","Fill=—","Direction=H","UseDPDF=Y")</f>
        <v>#NAME?</v>
      </c>
      <c r="AI297" s="2" t="e">
        <f ca="1">_xll.BDH($C$278,"TOTAL_EQUITY_1_YEAR_GROWTH","FQ4 2017","FQ4 2017","Currency=INR","Period=FQ","BEST_FPERIOD_OVERRIDE=FQ","FILING_STATUS=OR","EQY_CONSOLIDATED=Y","Sort=A","Dates=H","DateFormat=P","Fill=—","Direction=H","UseDPDF=Y")</f>
        <v>#NAME?</v>
      </c>
      <c r="AJ297" s="2" t="e">
        <f ca="1">_xll.BDH($C$278,"GROWTH_IN_CAP","FQ4 2017","FQ4 2017","Currency=INR","Period=FQ","BEST_FPERIOD_OVERRIDE=FQ","FILING_STATUS=OR","EQY_CONSOLIDATED=Y","Sort=A","Dates=H","DateFormat=P","Fill=—","Direction=H","UseDPDF=Y")</f>
        <v>#NAME?</v>
      </c>
      <c r="AK297" s="2" t="e">
        <f ca="1">_xll.BDH($C$278,"BVPS_GROWTH","FQ4 2017","FQ4 2017","Currency=INR","Period=FQ","BEST_FPERIOD_OVERRIDE=FQ","FILING_STATUS=OR","EQY_CONSOLIDATED=Y","Sort=A","Dates=H","DateFormat=P","Fill=—","Direction=H","UseDPDF=Y")</f>
        <v>#NAME?</v>
      </c>
      <c r="AL297" s="2" t="e">
        <f ca="1">_xll.BDH($C$278,"CASH_FLOW_GROWTH","FQ4 2017","FQ4 2017","Currency=INR","Period=FQ","BEST_FPERIOD_OVERRIDE=FQ","FILING_STATUS=OR","EQY_CONSOLIDATED=Y","Sort=A","Dates=H","DateFormat=P","Fill=—","Direction=H","UseDPDF=Y")</f>
        <v>#NAME?</v>
      </c>
      <c r="AM297" s="2" t="e">
        <f ca="1">_xll.BDH($C$278,"GEO_GROW_NET_SALES","FQ4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297" s="2" t="e">
        <f ca="1">_xll.BDH($C$278,"GEO_GROW_EBITDA","FQ4 2017","FQ4 2017","Currency=INR","Period=FQ","BEST_FPERIOD_OVERRIDE=FQ","FILING_STATUS=OR","EQY_CONSOLIDATED=Y","FA_ADJUSTED=GAAP","Sort=A","Dates=H","DateFormat=P","Fill=—","Direction=H","UseDPDF=Y")</f>
        <v>#NAME?</v>
      </c>
      <c r="AO297" s="2" t="e">
        <f ca="1">_xll.BDH($C$278,"GEO_GROW_OPER_INC","FQ4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297" s="2" t="e">
        <f ca="1">_xll.BDH($C$278,"NET_INCOME_TO_COMMON_5_YR_GROWTH","FQ4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297" s="2" t="e">
        <f ca="1">_xll.BDH($C$278,"5Y_GEO_GROWTH_DILUTED_EPS","FQ4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297" s="2" t="e">
        <f ca="1">_xll.BDH($C$278,"GEO_GROW_DVD_PER_SH","FQ4 2017","FQ4 2017","Currency=INR","Period=FQ","BEST_FPERIOD_OVERRIDE=FQ","FILING_STATUS=OR","EQY_CONSOLIDATED=Y","Sort=A","Dates=H","DateFormat=P","Fill=—","Direction=H","UseDPDF=Y")</f>
        <v>#NAME?</v>
      </c>
      <c r="AS297" s="2" t="e">
        <f ca="1">_xll.BDH($C$278,"ACCOUNTS_RECEIVABLE_5_YR_GROWTH","FQ4 2017","FQ4 2017","Currency=INR","Period=FQ","BEST_FPERIOD_OVERRIDE=FQ","FILING_STATUS=OR","EQY_CONSOLIDATED=Y","Sort=A","Dates=H","DateFormat=P","Fill=—","Direction=H","UseDPDF=Y")</f>
        <v>#NAME?</v>
      </c>
      <c r="AT297" s="2" t="e">
        <f ca="1">_xll.BDH($C$278,"INVENTORY_5_YEAR_GROWTH","FQ4 2017","FQ4 2017","Currency=INR","Period=FQ","BEST_FPERIOD_OVERRIDE=FQ","FILING_STATUS=OR","EQY_CONSOLIDATED=Y","Sort=A","Dates=H","DateFormat=P","Fill=—","Direction=H","UseDPDF=Y")</f>
        <v>#NAME?</v>
      </c>
      <c r="AU297" s="2" t="e">
        <f ca="1">_xll.BDH($C$278,"NET_FIXED_ASSETS_5_YEAR_GROWTH","FQ4 2017","FQ4 2017","Currency=INR","Period=FQ","BEST_FPERIOD_OVERRIDE=FQ","FILING_STATUS=OR","EQY_CONSOLIDATED=Y","Sort=A","Dates=H","DateFormat=P","Fill=—","Direction=H","UseDPDF=Y")</f>
        <v>#NAME?</v>
      </c>
      <c r="AV297" s="2" t="e">
        <f ca="1">_xll.BDH($C$278,"GEO_GROW_TOT_ASSET","FQ4 2017","FQ4 2017","Currency=INR","Period=FQ","BEST_FPERIOD_OVERRIDE=FQ","FILING_STATUS=OR","EQY_CONSOLIDATED=Y","Sort=A","Dates=H","DateFormat=P","Fill=—","Direction=H","UseDPDF=Y")</f>
        <v>#NAME?</v>
      </c>
      <c r="AW297" s="2" t="e">
        <f ca="1">_xll.BDH($C$278,"MODIFIED_WORKING_CPTL_5YR_GRWTH","FQ4 2017","FQ4 2017","Currency=INR","Period=FQ","BEST_FPERIOD_OVERRIDE=FQ","FILING_STATUS=OR","EQY_CONSOLIDATED=Y","Sort=A","Dates=H","DateFormat=P","Fill=—","Direction=H","UseDPDF=Y")</f>
        <v>#NAME?</v>
      </c>
      <c r="AX297" s="2" t="e">
        <f ca="1">_xll.BDH($C$278,"WORKING_CAPITAL_5_YEAR_GROWTH","FQ4 2017","FQ4 2017","Currency=INR","Period=FQ","BEST_FPERIOD_OVERRIDE=FQ","FILING_STATUS=OR","EQY_CONSOLIDATED=Y","Sort=A","Dates=H","DateFormat=P","Fill=—","Direction=H","UseDPDF=Y")</f>
        <v>#NAME?</v>
      </c>
      <c r="AY297" s="2" t="e">
        <f ca="1">_xll.BDH($C$278,"ACCOUNTS_PAYABLE_5_YEAR_GROWTH","FQ4 2017","FQ4 2017","Currency=INR","Period=FQ","BEST_FPERIOD_OVERRIDE=FQ","FILING_STATUS=OR","EQY_CONSOLIDATED=Y","Sort=A","Dates=H","DateFormat=P","Fill=—","Direction=H","UseDPDF=Y")</f>
        <v>#NAME?</v>
      </c>
      <c r="AZ297" s="2" t="e">
        <f ca="1">_xll.BDH($C$278,"SHORT_TERM_DEBT_5_YEAR_GROWTH","FQ4 2017","FQ4 2017","Currency=INR","Period=FQ","BEST_FPERIOD_OVERRIDE=FQ","FILING_STATUS=OR","EQY_CONSOLIDATED=Y","Sort=A","Dates=H","DateFormat=P","Fill=—","Direction=H","UseDPDF=Y")</f>
        <v>#NAME?</v>
      </c>
      <c r="BA297" s="2" t="e">
        <f ca="1">_xll.BDH($C$278,"TOTAL_DEBT_5_YEAR_GROWTH","FQ4 2017","FQ4 2017","Currency=INR","Period=FQ","BEST_FPERIOD_OVERRIDE=FQ","FILING_STATUS=OR","EQY_CONSOLIDATED=Y","Sort=A","Dates=H","DateFormat=P","Fill=—","Direction=H","UseDPDF=Y")</f>
        <v>#NAME?</v>
      </c>
      <c r="BB297" s="2" t="e">
        <f ca="1">_xll.BDH($C$278,"GEO_GROW_TOT_SHRHLDR_EQY","FQ4 2017","FQ4 2017","Currency=INR","Period=FQ","BEST_FPERIOD_OVERRIDE=FQ","FILING_STATUS=OR","EQY_CONSOLIDATED=Y","Sort=A","Dates=H","DateFormat=P","Fill=—","Direction=H","UseDPDF=Y")</f>
        <v>#NAME?</v>
      </c>
      <c r="BC297" s="2" t="e">
        <f ca="1">_xll.BDH($C$278,"TOTAL_CAPITAL_5_YEAR_GROWTH","FQ4 2017","FQ4 2017","Currency=INR","Period=FQ","BEST_FPERIOD_OVERRIDE=FQ","FILING_STATUS=OR","EQY_CONSOLIDATED=Y","Sort=A","Dates=H","DateFormat=P","Fill=—","Direction=H","UseDPDF=Y")</f>
        <v>#NAME?</v>
      </c>
      <c r="BD297" s="2" t="e">
        <f ca="1">_xll.BDH($C$278,"GEO_GROW_BOOK_VAL","FQ4 2017","FQ4 2017","Currency=INR","Period=FQ","BEST_FPERIOD_OVERRIDE=FQ","FILING_STATUS=OR","EQY_CONSOLIDATED=Y","Sort=A","Dates=H","DateFormat=P","Fill=—","Direction=H","UseDPDF=Y")</f>
        <v>#NAME?</v>
      </c>
      <c r="BE297" s="2" t="e">
        <f ca="1">_xll.BDH($C$278,"GEO_GROW_CASH_OPER_ACT","FQ4 2017","FQ4 2017","Currency=INR","Period=FQ","BEST_FPERIOD_OVERRIDE=FQ","FILING_STATUS=OR","EQY_CONSOLIDATED=Y","Sort=A","Dates=H","DateFormat=P","Fill=—","Direction=H","UseDPDF=Y")</f>
        <v>#NAME?</v>
      </c>
      <c r="BF297" s="2" t="e">
        <f ca="1">_xll.BDH($C$278,"REVENUE_SEQUENTIAL_GROWTH","FQ4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297" s="2" t="e">
        <f ca="1">_xll.BDH($C$278,"EBITDA_SEQUENTIAL_GROWTH","FQ4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297" s="2" t="e">
        <f ca="1">_xll.BDH($C$278,"OPERATING_INCOME_SEQ_GROWTH","FQ4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297" s="2" t="e">
        <f ca="1">_xll.BDH($C$278,"NET_INCOME_TO_COMMON_SEQ_GROWTH","FQ4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297" s="2" t="e">
        <f ca="1">_xll.BDH($C$278,"EPS_DILUTED_SEQUENTIAL_GROWTH","FQ4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297" s="2" t="e">
        <f ca="1">_xll.BDH($C$278,"DPS_SEQUENTIAL_GROWTH","FQ4 2017","FQ4 2017","Currency=INR","Period=FQ","BEST_FPERIOD_OVERRIDE=FQ","FILING_STATUS=OR","EQY_CONSOLIDATED=Y","Sort=A","Dates=H","DateFormat=P","Fill=—","Direction=H","UseDPDF=Y")</f>
        <v>#NAME?</v>
      </c>
      <c r="BL297" s="2" t="e">
        <f ca="1">_xll.BDH($C$278,"ACCOUNTS_RECEIVABLE_SEQ_GROWTH","FQ4 2017","FQ4 2017","Currency=INR","Period=FQ","BEST_FPERIOD_OVERRIDE=FQ","FILING_STATUS=OR","EQY_CONSOLIDATED=Y","Sort=A","Dates=H","DateFormat=P","Fill=—","Direction=H","UseDPDF=Y")</f>
        <v>#NAME?</v>
      </c>
      <c r="BM297" s="2" t="e">
        <f ca="1">_xll.BDH($C$278,"INVENTORY_SEQUENTIAL_GROWTH","FQ4 2017","FQ4 2017","Currency=INR","Period=FQ","BEST_FPERIOD_OVERRIDE=FQ","FILING_STATUS=OR","EQY_CONSOLIDATED=Y","Sort=A","Dates=H","DateFormat=P","Fill=—","Direction=H","UseDPDF=Y")</f>
        <v>#NAME?</v>
      </c>
      <c r="BN297" s="2" t="e">
        <f ca="1">_xll.BDH($C$278,"FIXED_ASSETS_SEQUENTIAL_GROWTH","FQ4 2017","FQ4 2017","Currency=INR","Period=FQ","BEST_FPERIOD_OVERRIDE=FQ","FILING_STATUS=OR","EQY_CONSOLIDATED=Y","Sort=A","Dates=H","DateFormat=P","Fill=—","Direction=H","UseDPDF=Y")</f>
        <v>#NAME?</v>
      </c>
      <c r="BO297" s="2" t="e">
        <f ca="1">_xll.BDH($C$278,"TOTAL_ASSETS_SEQUENTIAL_GROWTH","FQ4 2017","FQ4 2017","Currency=INR","Period=FQ","BEST_FPERIOD_OVERRIDE=FQ","FILING_STATUS=OR","EQY_CONSOLIDATED=Y","Sort=A","Dates=H","DateFormat=P","Fill=—","Direction=H","UseDPDF=Y")</f>
        <v>#NAME?</v>
      </c>
      <c r="BP297" s="2" t="e">
        <f ca="1">_xll.BDH($C$278,"MODIFIED_WORKING_CPTL_SEQ_GRWTH","FQ4 2017","FQ4 2017","Currency=INR","Period=FQ","BEST_FPERIOD_OVERRIDE=FQ","FILING_STATUS=OR","EQY_CONSOLIDATED=Y","Sort=A","Dates=H","DateFormat=P","Fill=—","Direction=H","UseDPDF=Y")</f>
        <v>#NAME?</v>
      </c>
      <c r="BQ297" s="2" t="e">
        <f ca="1">_xll.BDH($C$278,"WORKING_CAPITAL_SEQ_GROWTH","FQ4 2017","FQ4 2017","Currency=INR","Period=FQ","BEST_FPERIOD_OVERRIDE=FQ","FILING_STATUS=OR","EQY_CONSOLIDATED=Y","Sort=A","Dates=H","DateFormat=P","Fill=—","Direction=H","UseDPDF=Y")</f>
        <v>#NAME?</v>
      </c>
      <c r="BR297" s="2" t="e">
        <f ca="1">_xll.BDH($C$278,"ACCOUNTS_PAYABLE_SEQ_GROWTH","FQ4 2017","FQ4 2017","Currency=INR","Period=FQ","BEST_FPERIOD_OVERRIDE=FQ","FILING_STATUS=OR","EQY_CONSOLIDATED=Y","Sort=A","Dates=H","DateFormat=P","Fill=—","Direction=H","UseDPDF=Y")</f>
        <v>#NAME?</v>
      </c>
      <c r="BS297" s="2" t="e">
        <f ca="1">_xll.BDH($C$278,"ST_DEBT_SEQUENTIAL_GROWTH","FQ4 2017","FQ4 2017","Currency=INR","Period=FQ","BEST_FPERIOD_OVERRIDE=FQ","FILING_STATUS=OR","EQY_CONSOLIDATED=Y","Sort=A","Dates=H","DateFormat=P","Fill=—","Direction=H","UseDPDF=Y")</f>
        <v>#NAME?</v>
      </c>
      <c r="BT297" s="2" t="e">
        <f ca="1">_xll.BDH($C$278,"TOTAL_DEBT_SEQUENTIAL_GROWTH","FQ4 2017","FQ4 2017","Currency=INR","Period=FQ","BEST_FPERIOD_OVERRIDE=FQ","FILING_STATUS=OR","EQY_CONSOLIDATED=Y","Sort=A","Dates=H","DateFormat=P","Fill=—","Direction=H","UseDPDF=Y")</f>
        <v>#NAME?</v>
      </c>
      <c r="BU297" s="2" t="e">
        <f ca="1">_xll.BDH($C$278,"TOTAL_EQUITY_SEQUENTIAL_GROWTH","FQ4 2017","FQ4 2017","Currency=INR","Period=FQ","BEST_FPERIOD_OVERRIDE=FQ","FILING_STATUS=OR","EQY_CONSOLIDATED=Y","Sort=A","Dates=H","DateFormat=P","Fill=—","Direction=H","UseDPDF=Y")</f>
        <v>#NAME?</v>
      </c>
      <c r="BV297" s="2" t="e">
        <f ca="1">_xll.BDH($C$278,"TOTAL_CAPITAL_SEQUENTIAL_GROWTH","FQ4 2017","FQ4 2017","Currency=INR","Period=FQ","BEST_FPERIOD_OVERRIDE=FQ","FILING_STATUS=OR","EQY_CONSOLIDATED=Y","Sort=A","Dates=H","DateFormat=P","Fill=—","Direction=H","UseDPDF=Y")</f>
        <v>#NAME?</v>
      </c>
      <c r="BW297" s="2" t="e">
        <f ca="1">_xll.BDH($C$278,"BPS_SEQUENTIAL_GROWTH","FQ4 2017","FQ4 2017","Currency=INR","Period=FQ","BEST_FPERIOD_OVERRIDE=FQ","FILING_STATUS=OR","EQY_CONSOLIDATED=Y","Sort=A","Dates=H","DateFormat=P","Fill=—","Direction=H","UseDPDF=Y")</f>
        <v>#NAME?</v>
      </c>
      <c r="BX297" s="2" t="e">
        <f ca="1">_xll.BDH($C$278,"CFO_SEQUENTIAL_GROWTH","FQ4 2017","FQ4 2017","Currency=INR","Period=FQ","BEST_FPERIOD_OVERRIDE=FQ","FILING_STATUS=OR","EQY_CONSOLIDATED=Y","Sort=A","Dates=H","DateFormat=P","Fill=—","Direction=H","UseDPDF=Y")</f>
        <v>#NAME?</v>
      </c>
      <c r="BY297" s="3" t="e">
        <f ca="1">_xll.BDH($C$278,"SHORT_AND_LONG_TERM_DEBT","FQ4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297" s="3" t="e">
        <f ca="1">_xll.BDH($C$278,"BS_ST_BORROW","FQ4 2017","FQ4 2017","Currency=INR","Period=FQ","BEST_FPERIOD_OVERRIDE=FQ","FILING_STATUS=OR","EQY_CONSOLIDATED=Y","SCALING_FORMAT=MLN","Sort=A","Dates=H","DateFormat=P","Fill=—","Direction=H","UseDPDF=Y")</f>
        <v>#NAME?</v>
      </c>
      <c r="CA297" s="3" t="e">
        <f ca="1">_xll.BDH($C$278,"BS_LT_BORROW","FQ4 2017","FQ4 2017","Currency=INR","Period=FQ","BEST_FPERIOD_OVERRIDE=FQ","FILING_STATUS=OR","EQY_CONSOLIDATED=Y","SCALING_FORMAT=MLN","Sort=A","Dates=H","DateFormat=P","Fill=—","Direction=H","UseDPDF=Y")</f>
        <v>#NAME?</v>
      </c>
      <c r="CB297" s="2" t="e">
        <f ca="1">_xll.BDH($C$278,"TOT_DEBT_TO_EBITDA","FQ4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297" s="2" t="e">
        <f ca="1">_xll.BDH($C$278,"NET_DEBT_TO_EBITDA","FQ4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297" s="2" t="e">
        <f ca="1">_xll.BDH($C$278,"TOTAL_DEBT_TO_EBIT","FQ4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297" s="2" t="e">
        <f ca="1">_xll.BDH($C$278,"NET_DEBT_TO_EBIT","FQ4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297" s="2" t="e">
        <f ca="1">_xll.BDH($C$278,"EBITDA_TO_INTEREST_EXPN","FQ4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297" s="2" t="e">
        <f ca="1">_xll.BDH($C$278,"COM_EQY_TO_TOT_ASSET","FQ4 2017","FQ4 2017","Currency=INR","Period=FQ","BEST_FPERIOD_OVERRIDE=FQ","FILING_STATUS=OR","EQY_CONSOLIDATED=Y","Sort=A","Dates=H","DateFormat=P","Fill=—","Direction=H","UseDPDF=Y")</f>
        <v>#NAME?</v>
      </c>
      <c r="CH297" s="2" t="e">
        <f ca="1">_xll.BDH($C$278,"LT_DEBT_TO_TOT_EQY","FQ4 2017","FQ4 2017","Currency=INR","Period=FQ","BEST_FPERIOD_OVERRIDE=FQ","FILING_STATUS=OR","EQY_CONSOLIDATED=Y","Sort=A","Dates=H","DateFormat=P","Fill=—","Direction=H","UseDPDF=Y")</f>
        <v>#NAME?</v>
      </c>
      <c r="CI297" s="2" t="e">
        <f ca="1">_xll.BDH($C$278,"LT_DEBT_TO_TOT_CAP","FQ4 2017","FQ4 2017","Currency=INR","Period=FQ","BEST_FPERIOD_OVERRIDE=FQ","FILING_STATUS=OR","EQY_CONSOLIDATED=Y","Sort=A","Dates=H","DateFormat=P","Fill=—","Direction=H","UseDPDF=Y")</f>
        <v>#NAME?</v>
      </c>
      <c r="CJ297" s="2" t="e">
        <f ca="1">_xll.BDH($C$278,"LT_DEBT_TO_TOT_ASSET","FQ4 2017","FQ4 2017","Currency=INR","Period=FQ","BEST_FPERIOD_OVERRIDE=FQ","FILING_STATUS=OR","EQY_CONSOLIDATED=Y","Sort=A","Dates=H","DateFormat=P","Fill=—","Direction=H","UseDPDF=Y")</f>
        <v>#NAME?</v>
      </c>
      <c r="CK297" s="2" t="e">
        <f ca="1">_xll.BDH($C$278,"TOT_DEBT_TO_TOT_EQY","FQ4 2017","FQ4 2017","Currency=INR","Period=FQ","BEST_FPERIOD_OVERRIDE=FQ","FILING_STATUS=OR","EQY_CONSOLIDATED=Y","Sort=A","Dates=H","DateFormat=P","Fill=—","Direction=H","UseDPDF=Y")</f>
        <v>#NAME?</v>
      </c>
      <c r="CL297" s="2" t="e">
        <f ca="1">_xll.BDH($C$278,"TOT_DEBT_TO_TOT_CAP","FQ4 2017","FQ4 2017","Currency=INR","Period=FQ","BEST_FPERIOD_OVERRIDE=FQ","FILING_STATUS=OR","EQY_CONSOLIDATED=Y","Sort=A","Dates=H","DateFormat=P","Fill=—","Direction=H","UseDPDF=Y")</f>
        <v>#NAME?</v>
      </c>
      <c r="CM297" s="2" t="e">
        <f ca="1">_xll.BDH($C$278,"TOT_DEBT_TO_TOT_ASSET","FQ4 2017","FQ4 2017","Currency=INR","Period=FQ","BEST_FPERIOD_OVERRIDE=FQ","FILING_STATUS=OR","EQY_CONSOLIDATED=Y","Sort=A","Dates=H","DateFormat=P","Fill=—","Direction=H","UseDPDF=Y")</f>
        <v>#NAME?</v>
      </c>
      <c r="CN297" s="2" t="e">
        <f ca="1">_xll.BDH($C$278,"NET_DEBT_TO_SHRHLDR_EQTY","FQ4 2017","FQ4 2017","Currency=INR","Period=FQ","BEST_FPERIOD_OVERRIDE=FQ","FILING_STATUS=OR","EQY_CONSOLIDATED=Y","Sort=A","Dates=H","DateFormat=P","Fill=—","Direction=H","UseDPDF=Y")</f>
        <v>#NAME?</v>
      </c>
      <c r="CO297" s="2" t="e">
        <f ca="1">_xll.BDH($C$278,"NET_DEBT_%_CAPITAL","FQ4 2017","FQ4 2017","Currency=INR","Period=FQ","BEST_FPERIOD_OVERRIDE=FQ","FILING_STATUS=OR","EQY_CONSOLIDATED=Y","Sort=A","Dates=H","DateFormat=P","Fill=—","Direction=H","UseDPDF=Y")</f>
        <v>#NAME?</v>
      </c>
      <c r="CP297" s="3" t="e">
        <f ca="1">_xll.BDH($C$278,"EBITDA","FQ4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297" s="3" t="e">
        <f ca="1">_xll.BDH($C$278,"EBITDA_AFTER_CAPEX","FQ4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297" s="3" t="e">
        <f ca="1">_xll.BDH($C$278,"IS_OPER_INC","FQ4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297" s="2" t="e">
        <f ca="1">_xll.BDH($C$278,"CASH_RATIO","FQ4 2017","FQ4 2017","Currency=INR","Period=FQ","BEST_FPERIOD_OVERRIDE=FQ","FILING_STATUS=OR","EQY_CONSOLIDATED=Y","Sort=A","Dates=H","DateFormat=P","Fill=—","Direction=H","UseDPDF=Y")</f>
        <v>#NAME?</v>
      </c>
      <c r="CT297" s="2" t="e">
        <f ca="1">_xll.BDH($C$278,"CUR_RATIO","FQ4 2017","FQ4 2017","Currency=INR","Period=FQ","BEST_FPERIOD_OVERRIDE=FQ","FILING_STATUS=OR","EQY_CONSOLIDATED=Y","Sort=A","Dates=H","DateFormat=P","Fill=—","Direction=H","UseDPDF=Y")</f>
        <v>#NAME?</v>
      </c>
      <c r="CU297" s="2" t="e">
        <f ca="1">_xll.BDH($C$278,"QUICK_RATIO","FQ4 2017","FQ4 2017","Currency=INR","Period=FQ","BEST_FPERIOD_OVERRIDE=FQ","FILING_STATUS=OR","EQY_CONSOLIDATED=Y","Sort=A","Dates=H","DateFormat=P","Fill=—","Direction=H","UseDPDF=Y")</f>
        <v>#NAME?</v>
      </c>
      <c r="CV297" s="2" t="e">
        <f ca="1">_xll.BDH($C$278,"ALTMAN_Z_SCORE","FQ4 2017","FQ4 2017","Currency=INR","Period=FQ","BEST_FPERIOD_OVERRIDE=FQ","FILING_STATUS=OR","EQY_CONSOLIDATED=Y","Sort=A","Dates=H","DateFormat=P","Fill=—","Direction=H","UseDPDF=Y")</f>
        <v>#NAME?</v>
      </c>
      <c r="CW297" s="4" t="e">
        <f ca="1">_xll.BDH($C$278,"ACCT_RCV_TURN","FQ4 2017","FQ4 2017","Currency=INR","Period=FQ","BEST_FPERIOD_OVERRIDE=FQ","FILING_STATUS=OR","EQY_CONSOLIDATED=Y","FA_ADJUSTED=GAAP","Sort=A","Dates=H","DateFormat=P","Fill=—","Direction=H","UseDPDF=Y")</f>
        <v>#NAME?</v>
      </c>
      <c r="CX297" s="2" t="e">
        <f ca="1">_xll.BDH($C$278,"ACCT_RCV_DAYS","FQ4 2017","FQ4 2017","Currency=INR","Period=FQ","BEST_FPERIOD_OVERRIDE=FQ","FILING_STATUS=OR","EQY_CONSOLIDATED=Y","FA_ADJUSTED=GAAP","Sort=A","Dates=H","DateFormat=P","Fill=—","Direction=H","UseDPDF=Y")</f>
        <v>#NAME?</v>
      </c>
      <c r="CY297" s="4" t="e">
        <f ca="1">_xll.BDH($C$278,"INVENT_TURN","FQ4 2017","FQ4 2017","Currency=INR","Period=FQ","BEST_FPERIOD_OVERRIDE=FQ","FILING_STATUS=OR","EQY_CONSOLIDATED=Y","FA_ADJUSTED=GAAP","Sort=A","Dates=H","DateFormat=P","Fill=—","Direction=H","UseDPDF=Y")</f>
        <v>#NAME?</v>
      </c>
      <c r="CZ297" s="2" t="e">
        <f ca="1">_xll.BDH($C$278,"INVENT_DAYS","FQ4 2017","FQ4 2017","Currency=INR","Period=FQ","BEST_FPERIOD_OVERRIDE=FQ","FILING_STATUS=OR","EQY_CONSOLIDATED=Y","FA_ADJUSTED=GAAP","Sort=A","Dates=H","DateFormat=P","Fill=—","Direction=H","UseDPDF=Y")</f>
        <v>#NAME?</v>
      </c>
      <c r="DA297" s="4" t="e">
        <f ca="1">_xll.BDH($C$278,"ACCOUNTS_PAYABLE_TURNOVER","FQ4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297" s="2" t="e">
        <f ca="1">_xll.BDH($C$278,"ACCOUNTS_PAYABLE_TURNOVER_DAYS","FQ4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297" s="4" t="e">
        <f ca="1">_xll.BDH($C$278,"CASH_CONVERSION_CYCLE","FQ4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297" s="4" t="e">
        <f ca="1">_xll.BDH($C$278,"INV_TO_CASH_DAYS","FQ4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297" s="5" t="e">
        <f ca="1">_xll.BDH($C$278,"BS_INVENTORIES","FQ4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297" s="3" t="e">
        <f ca="1">_xll.BDH($C$278,"INVTRY_RAW_MATERIALS","FQ4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297" s="3" t="e">
        <f ca="1">_xll.BDH($C$278,"INVTRY_IN_PROGRESS","FQ4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297" s="3" t="e">
        <f ca="1">_xll.BDH($C$278,"INVTRY_FINISHED_GOODS","FQ4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297" s="3" t="e">
        <f ca="1">_xll.BDH($C$278,"BS_OTHER_INV","FQ4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298" spans="1:113" x14ac:dyDescent="0.3">
      <c r="A298" s="6"/>
      <c r="B298" s="6"/>
      <c r="C298" s="6"/>
      <c r="D298" s="6" t="s">
        <v>85</v>
      </c>
      <c r="E298" t="s">
        <v>77</v>
      </c>
      <c r="F298" t="e">
        <f ca="1">_xll.BDH($C$278,"RETURN_COM_EQY","FY 2018","FY 2018","Currency=INR","Period=FY","BEST_FPERIOD_OVERRIDE=FY","FILING_STATUS=OR","EQY_CONSOLIDATED=Y","FA_ADJUSTED=GAAP","Sort=A","Dates=H","DateFormat=P","Fill=—","Direction=H","UseDPDF=Y")</f>
        <v>#NAME?</v>
      </c>
      <c r="G298" t="e">
        <f ca="1">_xll.BDH($C$278,"RETURN_ON_ASSET","FY 2018","FY 2018","Currency=INR","Period=FY","BEST_FPERIOD_OVERRIDE=FY","FILING_STATUS=OR","EQY_CONSOLIDATED=Y","FA_ADJUSTED=GAAP","Sort=A","Dates=H","DateFormat=P","Fill=—","Direction=H","UseDPDF=Y")</f>
        <v>#NAME?</v>
      </c>
      <c r="H298" t="e">
        <f ca="1">_xll.BDH($C$278,"RETURN_ON_CAP","FY 2018","FY 2018","Currency=INR","Period=FY","BEST_FPERIOD_OVERRIDE=FY","FILING_STATUS=OR","EQY_CONSOLIDATED=Y","FA_ADJUSTED=GAAP","Sort=A","Dates=H","DateFormat=P","Fill=—","Direction=H","UseDPDF=Y")</f>
        <v>#NAME?</v>
      </c>
      <c r="I298" t="e">
        <f ca="1">_xll.BDH($C$278,"RETURN_ON_INV_CAPITAL","FY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298" t="e">
        <f ca="1">_xll.BDH($C$278,"EBITDA_TO_REVENUE","FY 2018","FY 2018","Currency=INR","Period=FY","BEST_FPERIOD_OVERRIDE=FY","FILING_STATUS=OR","EQY_CONSOLIDATED=Y","FA_ADJUSTED=GAAP","Sort=A","Dates=H","DateFormat=P","Fill=—","Direction=H","UseDPDF=Y")</f>
        <v>#NAME?</v>
      </c>
      <c r="K298" t="e">
        <f ca="1">_xll.BDH($C$278,"OPER_MARGIN","FY 2018","FY 2018","Currency=INR","Period=FY","BEST_FPERIOD_OVERRIDE=FY","FILING_STATUS=OR","EQY_CONSOLIDATED=Y","FA_ADJUSTED=GAAP","Sort=A","Dates=H","DateFormat=P","Fill=—","Direction=H","UseDPDF=Y")</f>
        <v>#NAME?</v>
      </c>
      <c r="L298" t="e">
        <f ca="1">_xll.BDH($C$278,"INCREMENTAL_OPERATING_MARGIN","FY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298" t="e">
        <f ca="1">_xll.BDH($C$278,"PRETAX_INC_TO_NET_SALES","FY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298" t="e">
        <f ca="1">_xll.BDH($C$278,"INC_BEF_XO_ITEMS_TO_NET_SALES","FY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298" t="e">
        <f ca="1">_xll.BDH($C$278,"PROF_MARGIN","FY 2018","FY 2018","Currency=INR","Period=FY","BEST_FPERIOD_OVERRIDE=FY","FILING_STATUS=OR","EQY_CONSOLIDATED=Y","FA_ADJUSTED=GAAP","Sort=A","Dates=H","DateFormat=P","Fill=—","Direction=H","UseDPDF=Y")</f>
        <v>#NAME?</v>
      </c>
      <c r="P298" t="e">
        <f ca="1">_xll.BDH($C$278,"NET_INCOME_TO_COMMON_MARGIN","FY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298" t="e">
        <f ca="1">_xll.BDH($C$278,"EFF_TAX_RATE","FY 2018","FY 2018","Currency=INR","Period=FY","BEST_FPERIOD_OVERRIDE=FY","FILING_STATUS=OR","EQY_CONSOLIDATED=Y","FA_ADJUSTED=GAAP","Sort=A","Dates=H","DateFormat=P","Fill=—","Direction=H","UseDPDF=Y")</f>
        <v>#NAME?</v>
      </c>
      <c r="R298" t="e">
        <f ca="1">_xll.BDH($C$278,"DVD_PAYOUT_RATIO","FY 2018","FY 2018","Currency=INR","Period=FY","BEST_FPERIOD_OVERRIDE=FY","FILING_STATUS=OR","EQY_CONSOLIDATED=Y","FA_ADJUSTED=GAAP","Sort=A","Dates=H","DateFormat=P","Fill=—","Direction=H","UseDPDF=Y")</f>
        <v>#NAME?</v>
      </c>
      <c r="S298" t="e">
        <f ca="1">_xll.BDH($C$278,"SUSTAIN_GROWTH_RT","FY 2018","FY 2018","Currency=INR","Period=FY","BEST_FPERIOD_OVERRIDE=FY","FILING_STATUS=OR","EQY_CONSOLIDATED=Y","FA_ADJUSTED=GAAP","Sort=A","Dates=H","DateFormat=P","Fill=—","Direction=H","UseDPDF=Y")</f>
        <v>#NAME?</v>
      </c>
      <c r="T298" s="2" t="e">
        <f ca="1">_xll.BDH($C$278,"SALES_GROWTH","FY 2018","FY 2018","Currency=INR","Period=FY","BEST_FPERIOD_OVERRIDE=FY","FILING_STATUS=OR","EQY_CONSOLIDATED=Y","FA_ADJUSTED=GAAP","Sort=A","Dates=H","DateFormat=P","Fill=—","Direction=H","UseDPDF=Y")</f>
        <v>#NAME?</v>
      </c>
      <c r="U298" s="2" t="e">
        <f ca="1">_xll.BDH($C$278,"EBITDA_GROWTH","FY 2018","FY 2018","Currency=INR","Period=FY","BEST_FPERIOD_OVERRIDE=FY","FILING_STATUS=OR","EQY_CONSOLIDATED=Y","FA_ADJUSTED=GAAP","Sort=A","Dates=H","DateFormat=P","Fill=—","Direction=H","UseDPDF=Y")</f>
        <v>#NAME?</v>
      </c>
      <c r="V298" s="2" t="e">
        <f ca="1">_xll.BDH($C$278,"OPER_INC_GROWTH","FY 2018","FY 2018","Currency=INR","Period=FY","BEST_FPERIOD_OVERRIDE=FY","FILING_STATUS=OR","EQY_CONSOLIDATED=Y","FA_ADJUSTED=GAAP","Sort=A","Dates=H","DateFormat=P","Fill=—","Direction=H","UseDPDF=Y")</f>
        <v>#NAME?</v>
      </c>
      <c r="W298" s="2" t="e">
        <f ca="1">_xll.BDH($C$278,"EARN_FOR_COM_GROWTH","FY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298" s="2" t="e">
        <f ca="1">_xll.BDH($C$278,"DILUTED_EPS_AFT_XO_ITEMS_GROWTH","FY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298" s="2" t="e">
        <f ca="1">_xll.BDH($C$278,"DIVIDEND_PER_SHARE_1_YEAR_GROWTH","FY 2018","FY 2018","Currency=INR","Period=FY","BEST_FPERIOD_OVERRIDE=FY","FILING_STATUS=OR","EQY_CONSOLIDATED=Y","Sort=A","Dates=H","DateFormat=P","Fill=—","Direction=H","UseDPDF=Y")</f>
        <v>#NAME?</v>
      </c>
      <c r="Z298" s="2" t="e">
        <f ca="1">_xll.BDH($C$278,"ACCOUNTS_RECEIVABLE_GROWTH","FY 2018","FY 2018","Currency=INR","Period=FY","BEST_FPERIOD_OVERRIDE=FY","FILING_STATUS=OR","EQY_CONSOLIDATED=Y","Sort=A","Dates=H","DateFormat=P","Fill=—","Direction=H","UseDPDF=Y")</f>
        <v>#NAME?</v>
      </c>
      <c r="AA298" s="2" t="e">
        <f ca="1">_xll.BDH($C$278,"INVENTORY_GROWTH","FY 2018","FY 2018","Currency=INR","Period=FY","BEST_FPERIOD_OVERRIDE=FY","FILING_STATUS=OR","EQY_CONSOLIDATED=Y","Sort=A","Dates=H","DateFormat=P","Fill=—","Direction=H","UseDPDF=Y")</f>
        <v>#NAME?</v>
      </c>
      <c r="AB298" s="2" t="e">
        <f ca="1">_xll.BDH($C$278,"NET_FIXED_ASSETS_1_YEAR_GROWTH","FY 2018","FY 2018","Currency=INR","Period=FY","BEST_FPERIOD_OVERRIDE=FY","FILING_STATUS=OR","EQY_CONSOLIDATED=Y","Sort=A","Dates=H","DateFormat=P","Fill=—","Direction=H","UseDPDF=Y")</f>
        <v>#NAME?</v>
      </c>
      <c r="AC298" s="2" t="e">
        <f ca="1">_xll.BDH($C$278,"ASSET_GROWTH","FY 2018","FY 2018","Currency=INR","Period=FY","BEST_FPERIOD_OVERRIDE=FY","FILING_STATUS=OR","EQY_CONSOLIDATED=Y","Sort=A","Dates=H","DateFormat=P","Fill=—","Direction=H","UseDPDF=Y")</f>
        <v>#NAME?</v>
      </c>
      <c r="AD298" s="2" t="e">
        <f ca="1">_xll.BDH($C$278,"MODIFIED_WORK_CAP_GROWTH","FY 2018","FY 2018","Currency=INR","Period=FY","BEST_FPERIOD_OVERRIDE=FY","FILING_STATUS=OR","EQY_CONSOLIDATED=Y","Sort=A","Dates=H","DateFormat=P","Fill=—","Direction=H","UseDPDF=Y")</f>
        <v>#NAME?</v>
      </c>
      <c r="AE298" s="2" t="e">
        <f ca="1">_xll.BDH($C$278,"WORK_CAP_GROWTH","FY 2018","FY 2018","Currency=INR","Period=FY","BEST_FPERIOD_OVERRIDE=FY","FILING_STATUS=OR","EQY_CONSOLIDATED=Y","Sort=A","Dates=H","DateFormat=P","Fill=—","Direction=H","UseDPDF=Y")</f>
        <v>#NAME?</v>
      </c>
      <c r="AF298" s="2" t="e">
        <f ca="1">_xll.BDH($C$278,"ACCOUNTS_PAYABLE_GROWTH_1YR","FY 2018","FY 2018","Currency=INR","Period=FY","BEST_FPERIOD_OVERRIDE=FY","FILING_STATUS=OR","EQY_CONSOLIDATED=Y","Sort=A","Dates=H","DateFormat=P","Fill=—","Direction=H","UseDPDF=Y")</f>
        <v>#NAME?</v>
      </c>
      <c r="AG298" s="2" t="e">
        <f ca="1">_xll.BDH($C$278,"SHORT_TERM_DEBT_1_YEAR_GROWTH","FY 2018","FY 2018","Currency=INR","Period=FY","BEST_FPERIOD_OVERRIDE=FY","FILING_STATUS=OR","EQY_CONSOLIDATED=Y","Sort=A","Dates=H","DateFormat=P","Fill=—","Direction=H","UseDPDF=Y")</f>
        <v>#NAME?</v>
      </c>
      <c r="AH298" s="2" t="e">
        <f ca="1">_xll.BDH($C$278,"TOTAL_DEBT_1_YEAR_GROWTH","FY 2018","FY 2018","Currency=INR","Period=FY","BEST_FPERIOD_OVERRIDE=FY","FILING_STATUS=OR","EQY_CONSOLIDATED=Y","Sort=A","Dates=H","DateFormat=P","Fill=—","Direction=H","UseDPDF=Y")</f>
        <v>#NAME?</v>
      </c>
      <c r="AI298" s="2" t="e">
        <f ca="1">_xll.BDH($C$278,"TOTAL_EQUITY_1_YEAR_GROWTH","FY 2018","FY 2018","Currency=INR","Period=FY","BEST_FPERIOD_OVERRIDE=FY","FILING_STATUS=OR","EQY_CONSOLIDATED=Y","Sort=A","Dates=H","DateFormat=P","Fill=—","Direction=H","UseDPDF=Y")</f>
        <v>#NAME?</v>
      </c>
      <c r="AJ298" s="2" t="e">
        <f ca="1">_xll.BDH($C$278,"GROWTH_IN_CAP","FY 2018","FY 2018","Currency=INR","Period=FY","BEST_FPERIOD_OVERRIDE=FY","FILING_STATUS=OR","EQY_CONSOLIDATED=Y","Sort=A","Dates=H","DateFormat=P","Fill=—","Direction=H","UseDPDF=Y")</f>
        <v>#NAME?</v>
      </c>
      <c r="AK298" s="2" t="e">
        <f ca="1">_xll.BDH($C$278,"BVPS_GROWTH","FY 2018","FY 2018","Currency=INR","Period=FY","BEST_FPERIOD_OVERRIDE=FY","FILING_STATUS=OR","EQY_CONSOLIDATED=Y","Sort=A","Dates=H","DateFormat=P","Fill=—","Direction=H","UseDPDF=Y")</f>
        <v>#NAME?</v>
      </c>
      <c r="AL298" s="2" t="e">
        <f ca="1">_xll.BDH($C$278,"CASH_FLOW_GROWTH","FY 2018","FY 2018","Currency=INR","Period=FY","BEST_FPERIOD_OVERRIDE=FY","FILING_STATUS=OR","EQY_CONSOLIDATED=Y","Sort=A","Dates=H","DateFormat=P","Fill=—","Direction=H","UseDPDF=Y")</f>
        <v>#NAME?</v>
      </c>
      <c r="AM298" s="2" t="e">
        <f ca="1">_xll.BDH($C$278,"GEO_GROW_NET_SALES","FY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298" s="2" t="e">
        <f ca="1">_xll.BDH($C$278,"GEO_GROW_EBITDA","FY 2018","FY 2018","Currency=INR","Period=FY","BEST_FPERIOD_OVERRIDE=FY","FILING_STATUS=OR","EQY_CONSOLIDATED=Y","FA_ADJUSTED=GAAP","Sort=A","Dates=H","DateFormat=P","Fill=—","Direction=H","UseDPDF=Y")</f>
        <v>#NAME?</v>
      </c>
      <c r="AO298" s="2" t="e">
        <f ca="1">_xll.BDH($C$278,"GEO_GROW_OPER_INC","FY 2018","FY 2018","Currency=INR","Period=FY","BEST_FPERIOD_OVERRIDE=FY","FILING_STATUS=OR","EQY_CONSOLIDATED=Y","FA_ADJUSTED=GAAP","Sort=A","Dates=H","DateFormat=P","Fill=—","Direction=H","UseDPDF=Y")</f>
        <v>#NAME?</v>
      </c>
      <c r="AP298" s="2" t="e">
        <f ca="1">_xll.BDH($C$278,"NET_INCOME_TO_COMMON_5_YR_GROWTH","FY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298" s="2" t="e">
        <f ca="1">_xll.BDH($C$278,"5Y_GEO_GROWTH_DILUTED_EPS","FY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298" s="2" t="e">
        <f ca="1">_xll.BDH($C$278,"GEO_GROW_DVD_PER_SH","FY 2018","FY 2018","Currency=INR","Period=FY","BEST_FPERIOD_OVERRIDE=FY","FILING_STATUS=OR","EQY_CONSOLIDATED=Y","Sort=A","Dates=H","DateFormat=P","Fill=—","Direction=H","UseDPDF=Y")</f>
        <v>#NAME?</v>
      </c>
      <c r="AS298" s="2" t="e">
        <f ca="1">_xll.BDH($C$278,"ACCOUNTS_RECEIVABLE_5_YR_GROWTH","FY 2018","FY 2018","Currency=INR","Period=FY","BEST_FPERIOD_OVERRIDE=FY","FILING_STATUS=OR","EQY_CONSOLIDATED=Y","Sort=A","Dates=H","DateFormat=P","Fill=—","Direction=H","UseDPDF=Y")</f>
        <v>#NAME?</v>
      </c>
      <c r="AT298" s="2" t="e">
        <f ca="1">_xll.BDH($C$278,"INVENTORY_5_YEAR_GROWTH","FY 2018","FY 2018","Currency=INR","Period=FY","BEST_FPERIOD_OVERRIDE=FY","FILING_STATUS=OR","EQY_CONSOLIDATED=Y","Sort=A","Dates=H","DateFormat=P","Fill=—","Direction=H","UseDPDF=Y")</f>
        <v>#NAME?</v>
      </c>
      <c r="AU298" s="2" t="e">
        <f ca="1">_xll.BDH($C$278,"NET_FIXED_ASSETS_5_YEAR_GROWTH","FY 2018","FY 2018","Currency=INR","Period=FY","BEST_FPERIOD_OVERRIDE=FY","FILING_STATUS=OR","EQY_CONSOLIDATED=Y","Sort=A","Dates=H","DateFormat=P","Fill=—","Direction=H","UseDPDF=Y")</f>
        <v>#NAME?</v>
      </c>
      <c r="AV298" s="2" t="e">
        <f ca="1">_xll.BDH($C$278,"GEO_GROW_TOT_ASSET","FY 2018","FY 2018","Currency=INR","Period=FY","BEST_FPERIOD_OVERRIDE=FY","FILING_STATUS=OR","EQY_CONSOLIDATED=Y","Sort=A","Dates=H","DateFormat=P","Fill=—","Direction=H","UseDPDF=Y")</f>
        <v>#NAME?</v>
      </c>
      <c r="AW298" s="2" t="e">
        <f ca="1">_xll.BDH($C$278,"MODIFIED_WORKING_CPTL_5YR_GRWTH","FY 2018","FY 2018","Currency=INR","Period=FY","BEST_FPERIOD_OVERRIDE=FY","FILING_STATUS=OR","EQY_CONSOLIDATED=Y","Sort=A","Dates=H","DateFormat=P","Fill=—","Direction=H","UseDPDF=Y")</f>
        <v>#NAME?</v>
      </c>
      <c r="AX298" s="2" t="e">
        <f ca="1">_xll.BDH($C$278,"WORKING_CAPITAL_5_YEAR_GROWTH","FY 2018","FY 2018","Currency=INR","Period=FY","BEST_FPERIOD_OVERRIDE=FY","FILING_STATUS=OR","EQY_CONSOLIDATED=Y","Sort=A","Dates=H","DateFormat=P","Fill=—","Direction=H","UseDPDF=Y")</f>
        <v>#NAME?</v>
      </c>
      <c r="AY298" s="2" t="e">
        <f ca="1">_xll.BDH($C$278,"ACCOUNTS_PAYABLE_5_YEAR_GROWTH","FY 2018","FY 2018","Currency=INR","Period=FY","BEST_FPERIOD_OVERRIDE=FY","FILING_STATUS=OR","EQY_CONSOLIDATED=Y","Sort=A","Dates=H","DateFormat=P","Fill=—","Direction=H","UseDPDF=Y")</f>
        <v>#NAME?</v>
      </c>
      <c r="AZ298" s="2" t="e">
        <f ca="1">_xll.BDH($C$278,"SHORT_TERM_DEBT_5_YEAR_GROWTH","FY 2018","FY 2018","Currency=INR","Period=FY","BEST_FPERIOD_OVERRIDE=FY","FILING_STATUS=OR","EQY_CONSOLIDATED=Y","Sort=A","Dates=H","DateFormat=P","Fill=—","Direction=H","UseDPDF=Y")</f>
        <v>#NAME?</v>
      </c>
      <c r="BA298" s="2" t="e">
        <f ca="1">_xll.BDH($C$278,"TOTAL_DEBT_5_YEAR_GROWTH","FY 2018","FY 2018","Currency=INR","Period=FY","BEST_FPERIOD_OVERRIDE=FY","FILING_STATUS=OR","EQY_CONSOLIDATED=Y","Sort=A","Dates=H","DateFormat=P","Fill=—","Direction=H","UseDPDF=Y")</f>
        <v>#NAME?</v>
      </c>
      <c r="BB298" s="2" t="e">
        <f ca="1">_xll.BDH($C$278,"GEO_GROW_TOT_SHRHLDR_EQY","FY 2018","FY 2018","Currency=INR","Period=FY","BEST_FPERIOD_OVERRIDE=FY","FILING_STATUS=OR","EQY_CONSOLIDATED=Y","Sort=A","Dates=H","DateFormat=P","Fill=—","Direction=H","UseDPDF=Y")</f>
        <v>#NAME?</v>
      </c>
      <c r="BC298" s="2" t="e">
        <f ca="1">_xll.BDH($C$278,"TOTAL_CAPITAL_5_YEAR_GROWTH","FY 2018","FY 2018","Currency=INR","Period=FY","BEST_FPERIOD_OVERRIDE=FY","FILING_STATUS=OR","EQY_CONSOLIDATED=Y","Sort=A","Dates=H","DateFormat=P","Fill=—","Direction=H","UseDPDF=Y")</f>
        <v>#NAME?</v>
      </c>
      <c r="BD298" s="2" t="e">
        <f ca="1">_xll.BDH($C$278,"GEO_GROW_BOOK_VAL","FY 2018","FY 2018","Currency=INR","Period=FY","BEST_FPERIOD_OVERRIDE=FY","FILING_STATUS=OR","EQY_CONSOLIDATED=Y","Sort=A","Dates=H","DateFormat=P","Fill=—","Direction=H","UseDPDF=Y")</f>
        <v>#NAME?</v>
      </c>
      <c r="BE298" s="2" t="e">
        <f ca="1">_xll.BDH($C$278,"GEO_GROW_CASH_OPER_ACT","FY 2018","FY 2018","Currency=INR","Period=FY","BEST_FPERIOD_OVERRIDE=FY","FILING_STATUS=OR","EQY_CONSOLIDATED=Y","Sort=A","Dates=H","DateFormat=P","Fill=—","Direction=H","UseDPDF=Y")</f>
        <v>#NAME?</v>
      </c>
      <c r="BF298" s="2" t="e">
        <f ca="1">_xll.BDH($C$278,"REVENUE_SEQUENTIAL_GROWTH","FY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298" s="2" t="e">
        <f ca="1">_xll.BDH($C$278,"EBITDA_SEQUENTIAL_GROWTH","FY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298" s="2" t="e">
        <f ca="1">_xll.BDH($C$278,"OPERATING_INCOME_SEQ_GROWTH","FY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298" s="2" t="e">
        <f ca="1">_xll.BDH($C$278,"NET_INCOME_TO_COMMON_SEQ_GROWTH","FY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298" s="2" t="e">
        <f ca="1">_xll.BDH($C$278,"EPS_DILUTED_SEQUENTIAL_GROWTH","FY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298" s="2" t="e">
        <f ca="1">_xll.BDH($C$278,"DPS_SEQUENTIAL_GROWTH","FY 2018","FY 2018","Currency=INR","Period=FY","BEST_FPERIOD_OVERRIDE=FY","FILING_STATUS=OR","EQY_CONSOLIDATED=Y","Sort=A","Dates=H","DateFormat=P","Fill=—","Direction=H","UseDPDF=Y")</f>
        <v>#NAME?</v>
      </c>
      <c r="BL298" s="2" t="e">
        <f ca="1">_xll.BDH($C$278,"ACCOUNTS_RECEIVABLE_SEQ_GROWTH","FY 2018","FY 2018","Currency=INR","Period=FY","BEST_FPERIOD_OVERRIDE=FY","FILING_STATUS=OR","EQY_CONSOLIDATED=Y","Sort=A","Dates=H","DateFormat=P","Fill=—","Direction=H","UseDPDF=Y")</f>
        <v>#NAME?</v>
      </c>
      <c r="BM298" s="2" t="e">
        <f ca="1">_xll.BDH($C$278,"INVENTORY_SEQUENTIAL_GROWTH","FY 2018","FY 2018","Currency=INR","Period=FY","BEST_FPERIOD_OVERRIDE=FY","FILING_STATUS=OR","EQY_CONSOLIDATED=Y","Sort=A","Dates=H","DateFormat=P","Fill=—","Direction=H","UseDPDF=Y")</f>
        <v>#NAME?</v>
      </c>
      <c r="BN298" s="2" t="e">
        <f ca="1">_xll.BDH($C$278,"FIXED_ASSETS_SEQUENTIAL_GROWTH","FY 2018","FY 2018","Currency=INR","Period=FY","BEST_FPERIOD_OVERRIDE=FY","FILING_STATUS=OR","EQY_CONSOLIDATED=Y","Sort=A","Dates=H","DateFormat=P","Fill=—","Direction=H","UseDPDF=Y")</f>
        <v>#NAME?</v>
      </c>
      <c r="BO298" s="2" t="e">
        <f ca="1">_xll.BDH($C$278,"TOTAL_ASSETS_SEQUENTIAL_GROWTH","FY 2018","FY 2018","Currency=INR","Period=FY","BEST_FPERIOD_OVERRIDE=FY","FILING_STATUS=OR","EQY_CONSOLIDATED=Y","Sort=A","Dates=H","DateFormat=P","Fill=—","Direction=H","UseDPDF=Y")</f>
        <v>#NAME?</v>
      </c>
      <c r="BP298" s="2" t="e">
        <f ca="1">_xll.BDH($C$278,"MODIFIED_WORKING_CPTL_SEQ_GRWTH","FY 2018","FY 2018","Currency=INR","Period=FY","BEST_FPERIOD_OVERRIDE=FY","FILING_STATUS=OR","EQY_CONSOLIDATED=Y","Sort=A","Dates=H","DateFormat=P","Fill=—","Direction=H","UseDPDF=Y")</f>
        <v>#NAME?</v>
      </c>
      <c r="BQ298" s="2" t="e">
        <f ca="1">_xll.BDH($C$278,"WORKING_CAPITAL_SEQ_GROWTH","FY 2018","FY 2018","Currency=INR","Period=FY","BEST_FPERIOD_OVERRIDE=FY","FILING_STATUS=OR","EQY_CONSOLIDATED=Y","Sort=A","Dates=H","DateFormat=P","Fill=—","Direction=H","UseDPDF=Y")</f>
        <v>#NAME?</v>
      </c>
      <c r="BR298" s="2" t="e">
        <f ca="1">_xll.BDH($C$278,"ACCOUNTS_PAYABLE_SEQ_GROWTH","FY 2018","FY 2018","Currency=INR","Period=FY","BEST_FPERIOD_OVERRIDE=FY","FILING_STATUS=OR","EQY_CONSOLIDATED=Y","Sort=A","Dates=H","DateFormat=P","Fill=—","Direction=H","UseDPDF=Y")</f>
        <v>#NAME?</v>
      </c>
      <c r="BS298" s="2" t="e">
        <f ca="1">_xll.BDH($C$278,"ST_DEBT_SEQUENTIAL_GROWTH","FY 2018","FY 2018","Currency=INR","Period=FY","BEST_FPERIOD_OVERRIDE=FY","FILING_STATUS=OR","EQY_CONSOLIDATED=Y","Sort=A","Dates=H","DateFormat=P","Fill=—","Direction=H","UseDPDF=Y")</f>
        <v>#NAME?</v>
      </c>
      <c r="BT298" s="2" t="e">
        <f ca="1">_xll.BDH($C$278,"TOTAL_DEBT_SEQUENTIAL_GROWTH","FY 2018","FY 2018","Currency=INR","Period=FY","BEST_FPERIOD_OVERRIDE=FY","FILING_STATUS=OR","EQY_CONSOLIDATED=Y","Sort=A","Dates=H","DateFormat=P","Fill=—","Direction=H","UseDPDF=Y")</f>
        <v>#NAME?</v>
      </c>
      <c r="BU298" s="2" t="e">
        <f ca="1">_xll.BDH($C$278,"TOTAL_EQUITY_SEQUENTIAL_GROWTH","FY 2018","FY 2018","Currency=INR","Period=FY","BEST_FPERIOD_OVERRIDE=FY","FILING_STATUS=OR","EQY_CONSOLIDATED=Y","Sort=A","Dates=H","DateFormat=P","Fill=—","Direction=H","UseDPDF=Y")</f>
        <v>#NAME?</v>
      </c>
      <c r="BV298" s="2" t="e">
        <f ca="1">_xll.BDH($C$278,"TOTAL_CAPITAL_SEQUENTIAL_GROWTH","FY 2018","FY 2018","Currency=INR","Period=FY","BEST_FPERIOD_OVERRIDE=FY","FILING_STATUS=OR","EQY_CONSOLIDATED=Y","Sort=A","Dates=H","DateFormat=P","Fill=—","Direction=H","UseDPDF=Y")</f>
        <v>#NAME?</v>
      </c>
      <c r="BW298" s="2" t="e">
        <f ca="1">_xll.BDH($C$278,"BPS_SEQUENTIAL_GROWTH","FY 2018","FY 2018","Currency=INR","Period=FY","BEST_FPERIOD_OVERRIDE=FY","FILING_STATUS=OR","EQY_CONSOLIDATED=Y","Sort=A","Dates=H","DateFormat=P","Fill=—","Direction=H","UseDPDF=Y")</f>
        <v>#NAME?</v>
      </c>
      <c r="BX298" s="2" t="e">
        <f ca="1">_xll.BDH($C$278,"CFO_SEQUENTIAL_GROWTH","FY 2018","FY 2018","Currency=INR","Period=FY","BEST_FPERIOD_OVERRIDE=FY","FILING_STATUS=OR","EQY_CONSOLIDATED=Y","Sort=A","Dates=H","DateFormat=P","Fill=—","Direction=H","UseDPDF=Y")</f>
        <v>#NAME?</v>
      </c>
      <c r="BY298" s="3" t="e">
        <f ca="1">_xll.BDH($C$278,"SHORT_AND_LONG_TERM_DEBT","FY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298" s="3" t="e">
        <f ca="1">_xll.BDH($C$278,"BS_ST_BORROW","FY 2018","FY 2018","Currency=INR","Period=FY","BEST_FPERIOD_OVERRIDE=FY","FILING_STATUS=OR","EQY_CONSOLIDATED=Y","SCALING_FORMAT=MLN","Sort=A","Dates=H","DateFormat=P","Fill=—","Direction=H","UseDPDF=Y")</f>
        <v>#NAME?</v>
      </c>
      <c r="CA298" s="3" t="e">
        <f ca="1">_xll.BDH($C$278,"BS_LT_BORROW","FY 2018","FY 2018","Currency=INR","Period=FY","BEST_FPERIOD_OVERRIDE=FY","FILING_STATUS=OR","EQY_CONSOLIDATED=Y","SCALING_FORMAT=MLN","Sort=A","Dates=H","DateFormat=P","Fill=—","Direction=H","UseDPDF=Y")</f>
        <v>#NAME?</v>
      </c>
      <c r="CB298" s="2" t="e">
        <f ca="1">_xll.BDH($C$278,"TOT_DEBT_TO_EBITDA","FY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298" s="2" t="e">
        <f ca="1">_xll.BDH($C$278,"NET_DEBT_TO_EBITDA","FY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298" s="2" t="e">
        <f ca="1">_xll.BDH($C$278,"TOTAL_DEBT_TO_EBIT","FY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298" s="2" t="e">
        <f ca="1">_xll.BDH($C$278,"NET_DEBT_TO_EBIT","FY 2018","FY 2018","Currency=INR","Period=FY","BEST_FPERIOD_OVERRIDE=FY","FILING_STATUS=OR","EQY_CONSOLIDATED=Y","FA_ADJUSTED=GAAP","Sort=A","Dates=H","DateFormat=P","Fill=—","Direction=H","UseDPDF=Y")</f>
        <v>#NAME?</v>
      </c>
      <c r="CF298" s="2" t="e">
        <f ca="1">_xll.BDH($C$278,"EBITDA_TO_INTEREST_EXPN","FY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298" s="2" t="e">
        <f ca="1">_xll.BDH($C$278,"COM_EQY_TO_TOT_ASSET","FY 2018","FY 2018","Currency=INR","Period=FY","BEST_FPERIOD_OVERRIDE=FY","FILING_STATUS=OR","EQY_CONSOLIDATED=Y","Sort=A","Dates=H","DateFormat=P","Fill=—","Direction=H","UseDPDF=Y")</f>
        <v>#NAME?</v>
      </c>
      <c r="CH298" s="2" t="e">
        <f ca="1">_xll.BDH($C$278,"LT_DEBT_TO_TOT_EQY","FY 2018","FY 2018","Currency=INR","Period=FY","BEST_FPERIOD_OVERRIDE=FY","FILING_STATUS=OR","EQY_CONSOLIDATED=Y","Sort=A","Dates=H","DateFormat=P","Fill=—","Direction=H","UseDPDF=Y")</f>
        <v>#NAME?</v>
      </c>
      <c r="CI298" s="2" t="e">
        <f ca="1">_xll.BDH($C$278,"LT_DEBT_TO_TOT_CAP","FY 2018","FY 2018","Currency=INR","Period=FY","BEST_FPERIOD_OVERRIDE=FY","FILING_STATUS=OR","EQY_CONSOLIDATED=Y","Sort=A","Dates=H","DateFormat=P","Fill=—","Direction=H","UseDPDF=Y")</f>
        <v>#NAME?</v>
      </c>
      <c r="CJ298" s="2" t="e">
        <f ca="1">_xll.BDH($C$278,"LT_DEBT_TO_TOT_ASSET","FY 2018","FY 2018","Currency=INR","Period=FY","BEST_FPERIOD_OVERRIDE=FY","FILING_STATUS=OR","EQY_CONSOLIDATED=Y","Sort=A","Dates=H","DateFormat=P","Fill=—","Direction=H","UseDPDF=Y")</f>
        <v>#NAME?</v>
      </c>
      <c r="CK298" s="2" t="e">
        <f ca="1">_xll.BDH($C$278,"TOT_DEBT_TO_TOT_EQY","FY 2018","FY 2018","Currency=INR","Period=FY","BEST_FPERIOD_OVERRIDE=FY","FILING_STATUS=OR","EQY_CONSOLIDATED=Y","Sort=A","Dates=H","DateFormat=P","Fill=—","Direction=H","UseDPDF=Y")</f>
        <v>#NAME?</v>
      </c>
      <c r="CL298" s="2" t="e">
        <f ca="1">_xll.BDH($C$278,"TOT_DEBT_TO_TOT_CAP","FY 2018","FY 2018","Currency=INR","Period=FY","BEST_FPERIOD_OVERRIDE=FY","FILING_STATUS=OR","EQY_CONSOLIDATED=Y","Sort=A","Dates=H","DateFormat=P","Fill=—","Direction=H","UseDPDF=Y")</f>
        <v>#NAME?</v>
      </c>
      <c r="CM298" s="2" t="e">
        <f ca="1">_xll.BDH($C$278,"TOT_DEBT_TO_TOT_ASSET","FY 2018","FY 2018","Currency=INR","Period=FY","BEST_FPERIOD_OVERRIDE=FY","FILING_STATUS=OR","EQY_CONSOLIDATED=Y","Sort=A","Dates=H","DateFormat=P","Fill=—","Direction=H","UseDPDF=Y")</f>
        <v>#NAME?</v>
      </c>
      <c r="CN298" s="2" t="e">
        <f ca="1">_xll.BDH($C$278,"NET_DEBT_TO_SHRHLDR_EQTY","FY 2018","FY 2018","Currency=INR","Period=FY","BEST_FPERIOD_OVERRIDE=FY","FILING_STATUS=OR","EQY_CONSOLIDATED=Y","Sort=A","Dates=H","DateFormat=P","Fill=—","Direction=H","UseDPDF=Y")</f>
        <v>#NAME?</v>
      </c>
      <c r="CO298" s="2" t="e">
        <f ca="1">_xll.BDH($C$278,"NET_DEBT_%_CAPITAL","FY 2018","FY 2018","Currency=INR","Period=FY","BEST_FPERIOD_OVERRIDE=FY","FILING_STATUS=OR","EQY_CONSOLIDATED=Y","Sort=A","Dates=H","DateFormat=P","Fill=—","Direction=H","UseDPDF=Y")</f>
        <v>#NAME?</v>
      </c>
      <c r="CP298" s="3" t="e">
        <f ca="1">_xll.BDH($C$278,"EBITDA","FY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298" s="3" t="e">
        <f ca="1">_xll.BDH($C$278,"EBITDA_AFTER_CAPEX","FY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298" s="3" t="e">
        <f ca="1">_xll.BDH($C$278,"IS_OPER_INC","FY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298" s="2" t="e">
        <f ca="1">_xll.BDH($C$278,"CASH_RATIO","FY 2018","FY 2018","Currency=INR","Period=FY","BEST_FPERIOD_OVERRIDE=FY","FILING_STATUS=OR","EQY_CONSOLIDATED=Y","Sort=A","Dates=H","DateFormat=P","Fill=—","Direction=H","UseDPDF=Y")</f>
        <v>#NAME?</v>
      </c>
      <c r="CT298" s="2" t="e">
        <f ca="1">_xll.BDH($C$278,"CUR_RATIO","FY 2018","FY 2018","Currency=INR","Period=FY","BEST_FPERIOD_OVERRIDE=FY","FILING_STATUS=OR","EQY_CONSOLIDATED=Y","Sort=A","Dates=H","DateFormat=P","Fill=—","Direction=H","UseDPDF=Y")</f>
        <v>#NAME?</v>
      </c>
      <c r="CU298" s="2" t="e">
        <f ca="1">_xll.BDH($C$278,"QUICK_RATIO","FY 2018","FY 2018","Currency=INR","Period=FY","BEST_FPERIOD_OVERRIDE=FY","FILING_STATUS=OR","EQY_CONSOLIDATED=Y","Sort=A","Dates=H","DateFormat=P","Fill=—","Direction=H","UseDPDF=Y")</f>
        <v>#NAME?</v>
      </c>
      <c r="CV298" s="2" t="e">
        <f ca="1">_xll.BDH($C$278,"ALTMAN_Z_SCORE","FY 2018","FY 2018","Currency=INR","Period=FY","BEST_FPERIOD_OVERRIDE=FY","FILING_STATUS=OR","EQY_CONSOLIDATED=Y","Sort=A","Dates=H","DateFormat=P","Fill=—","Direction=H","UseDPDF=Y")</f>
        <v>#NAME?</v>
      </c>
      <c r="CW298" s="4" t="e">
        <f ca="1">_xll.BDH($C$278,"ACCT_RCV_TURN","FY 2018","FY 2018","Currency=INR","Period=FY","BEST_FPERIOD_OVERRIDE=FY","FILING_STATUS=OR","EQY_CONSOLIDATED=Y","FA_ADJUSTED=GAAP","Sort=A","Dates=H","DateFormat=P","Fill=—","Direction=H","UseDPDF=Y")</f>
        <v>#NAME?</v>
      </c>
      <c r="CX298" s="2" t="e">
        <f ca="1">_xll.BDH($C$278,"ACCT_RCV_DAYS","FY 2018","FY 2018","Currency=INR","Period=FY","BEST_FPERIOD_OVERRIDE=FY","FILING_STATUS=OR","EQY_CONSOLIDATED=Y","FA_ADJUSTED=GAAP","Sort=A","Dates=H","DateFormat=P","Fill=—","Direction=H","UseDPDF=Y")</f>
        <v>#NAME?</v>
      </c>
      <c r="CY298" s="4" t="e">
        <f ca="1">_xll.BDH($C$278,"INVENT_TURN","FY 2018","FY 2018","Currency=INR","Period=FY","BEST_FPERIOD_OVERRIDE=FY","FILING_STATUS=OR","EQY_CONSOLIDATED=Y","FA_ADJUSTED=GAAP","Sort=A","Dates=H","DateFormat=P","Fill=—","Direction=H","UseDPDF=Y")</f>
        <v>#NAME?</v>
      </c>
      <c r="CZ298" s="2" t="e">
        <f ca="1">_xll.BDH($C$278,"INVENT_DAYS","FY 2018","FY 2018","Currency=INR","Period=FY","BEST_FPERIOD_OVERRIDE=FY","FILING_STATUS=OR","EQY_CONSOLIDATED=Y","FA_ADJUSTED=GAAP","Sort=A","Dates=H","DateFormat=P","Fill=—","Direction=H","UseDPDF=Y")</f>
        <v>#NAME?</v>
      </c>
      <c r="DA298" s="4" t="e">
        <f ca="1">_xll.BDH($C$278,"ACCOUNTS_PAYABLE_TURNOVER","FY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298" s="2" t="e">
        <f ca="1">_xll.BDH($C$278,"ACCOUNTS_PAYABLE_TURNOVER_DAYS","FY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298" s="4" t="e">
        <f ca="1">_xll.BDH($C$278,"CASH_CONVERSION_CYCLE","FY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298" s="4" t="e">
        <f ca="1">_xll.BDH($C$278,"INV_TO_CASH_DAYS","FY 2018","FY 2018","Currency=INR","Period=FY","BEST_FPERIOD_OVERRIDE=FY","FILING_STATUS=OR","EQY_CONSOLIDATED=Y","FA_ADJUSTED=GAAP","Sort=A","Dates=H","DateFormat=P","Fill=—","Direction=H","UseDPDF=Y")</f>
        <v>#NAME?</v>
      </c>
      <c r="DE298" s="5" t="e">
        <f ca="1">_xll.BDH($C$278,"BS_INVENTORIES","FY 2018","FY 2018","Currency=INR","Period=FY","BEST_FPERIOD_OVERRIDE=FY","FILING_STATUS=OR","EQY_CONSOLIDATED=Y","SCALING_FORMAT=MLN","Sort=A","Dates=H","DateFormat=P","Fill=—","Direction=H","UseDPDF=Y")</f>
        <v>#NAME?</v>
      </c>
      <c r="DF298" s="3" t="e">
        <f ca="1">_xll.BDH($C$278,"INVTRY_RAW_MATERIALS","FY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298" s="3" t="e">
        <f ca="1">_xll.BDH($C$278,"INVTRY_IN_PROGRESS","FY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298" s="3" t="e">
        <f ca="1">_xll.BDH($C$278,"INVTRY_FINISHED_GOODS","FY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298" s="3" t="e">
        <f ca="1">_xll.BDH($C$278,"BS_OTHER_INV","FY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299" spans="1:113" x14ac:dyDescent="0.3">
      <c r="A299" s="6"/>
      <c r="B299" s="6"/>
      <c r="C299" s="6"/>
      <c r="D299" s="6"/>
      <c r="E299" t="s">
        <v>78</v>
      </c>
      <c r="F299" t="e">
        <f ca="1">_xll.BDH($C$278,"RETURN_COM_EQY","FQ1 2018","FQ1 2018","Currency=INR","Period=FQ","BEST_FPERIOD_OVERRIDE=FQ","FILING_STATUS=OR","EQY_CONSOLIDATED=Y","FA_ADJUSTED=GAAP","Sort=A","Dates=H","DateFormat=P","Fill=—","Direction=H","UseDPDF=Y")</f>
        <v>#NAME?</v>
      </c>
      <c r="G299" t="e">
        <f ca="1">_xll.BDH($C$278,"RETURN_ON_ASSET","FQ1 2018","FQ1 2018","Currency=INR","Period=FQ","BEST_FPERIOD_OVERRIDE=FQ","FILING_STATUS=OR","EQY_CONSOLIDATED=Y","FA_ADJUSTED=GAAP","Sort=A","Dates=H","DateFormat=P","Fill=—","Direction=H","UseDPDF=Y")</f>
        <v>#NAME?</v>
      </c>
      <c r="H299" t="e">
        <f ca="1">_xll.BDH($C$278,"RETURN_ON_CAP","FQ1 2018","FQ1 2018","Currency=INR","Period=FQ","BEST_FPERIOD_OVERRIDE=FQ","FILING_STATUS=OR","EQY_CONSOLIDATED=Y","FA_ADJUSTED=GAAP","Sort=A","Dates=H","DateFormat=P","Fill=—","Direction=H","UseDPDF=Y")</f>
        <v>#NAME?</v>
      </c>
      <c r="I299" t="e">
        <f ca="1">_xll.BDH($C$278,"RETURN_ON_INV_CAPITAL","FQ1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299" t="e">
        <f ca="1">_xll.BDH($C$278,"EBITDA_TO_REVENUE","FQ1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299" t="e">
        <f ca="1">_xll.BDH($C$278,"OPER_MARGIN","FQ1 2018","FQ1 2018","Currency=INR","Period=FQ","BEST_FPERIOD_OVERRIDE=FQ","FILING_STATUS=OR","EQY_CONSOLIDATED=Y","FA_ADJUSTED=GAAP","Sort=A","Dates=H","DateFormat=P","Fill=—","Direction=H","UseDPDF=Y")</f>
        <v>#NAME?</v>
      </c>
      <c r="L299" t="e">
        <f ca="1">_xll.BDH($C$278,"INCREMENTAL_OPERATING_MARGIN","FQ1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299" t="e">
        <f ca="1">_xll.BDH($C$278,"PRETAX_INC_TO_NET_SALES","FQ1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299" t="e">
        <f ca="1">_xll.BDH($C$278,"INC_BEF_XO_ITEMS_TO_NET_SALES","FQ1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299" t="e">
        <f ca="1">_xll.BDH($C$278,"PROF_MARGIN","FQ1 2018","FQ1 2018","Currency=INR","Period=FQ","BEST_FPERIOD_OVERRIDE=FQ","FILING_STATUS=OR","EQY_CONSOLIDATED=Y","FA_ADJUSTED=GAAP","Sort=A","Dates=H","DateFormat=P","Fill=—","Direction=H","UseDPDF=Y")</f>
        <v>#NAME?</v>
      </c>
      <c r="P299" t="e">
        <f ca="1">_xll.BDH($C$278,"NET_INCOME_TO_COMMON_MARGIN","FQ1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299" t="e">
        <f ca="1">_xll.BDH($C$278,"EFF_TAX_RATE","FQ1 2018","FQ1 2018","Currency=INR","Period=FQ","BEST_FPERIOD_OVERRIDE=FQ","FILING_STATUS=OR","EQY_CONSOLIDATED=Y","FA_ADJUSTED=GAAP","Sort=A","Dates=H","DateFormat=P","Fill=—","Direction=H","UseDPDF=Y")</f>
        <v>#NAME?</v>
      </c>
      <c r="R299" t="e">
        <f ca="1">_xll.BDH($C$278,"DVD_PAYOUT_RATIO","FQ1 2018","FQ1 2018","Currency=INR","Period=FQ","BEST_FPERIOD_OVERRIDE=FQ","FILING_STATUS=OR","EQY_CONSOLIDATED=Y","FA_ADJUSTED=GAAP","Sort=A","Dates=H","DateFormat=P","Fill=—","Direction=H","UseDPDF=Y")</f>
        <v>#NAME?</v>
      </c>
      <c r="S299" t="e">
        <f ca="1">_xll.BDH($C$278,"SUSTAIN_GROWTH_RT","FQ1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299" s="2" t="e">
        <f ca="1">_xll.BDH($C$278,"SALES_GROWTH","FQ1 2018","FQ1 2018","Currency=INR","Period=FQ","BEST_FPERIOD_OVERRIDE=FQ","FILING_STATUS=OR","EQY_CONSOLIDATED=Y","FA_ADJUSTED=GAAP","Sort=A","Dates=H","DateFormat=P","Fill=—","Direction=H","UseDPDF=Y")</f>
        <v>#NAME?</v>
      </c>
      <c r="U299" s="2" t="e">
        <f ca="1">_xll.BDH($C$278,"EBITDA_GROWTH","FQ1 2018","FQ1 2018","Currency=INR","Period=FQ","BEST_FPERIOD_OVERRIDE=FQ","FILING_STATUS=OR","EQY_CONSOLIDATED=Y","FA_ADJUSTED=GAAP","Sort=A","Dates=H","DateFormat=P","Fill=—","Direction=H","UseDPDF=Y")</f>
        <v>#NAME?</v>
      </c>
      <c r="V299" s="2" t="e">
        <f ca="1">_xll.BDH($C$278,"OPER_INC_GROWTH","FQ1 2018","FQ1 2018","Currency=INR","Period=FQ","BEST_FPERIOD_OVERRIDE=FQ","FILING_STATUS=OR","EQY_CONSOLIDATED=Y","FA_ADJUSTED=GAAP","Sort=A","Dates=H","DateFormat=P","Fill=—","Direction=H","UseDPDF=Y")</f>
        <v>#NAME?</v>
      </c>
      <c r="W299" s="2" t="e">
        <f ca="1">_xll.BDH($C$278,"EARN_FOR_COM_GROWTH","FQ1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299" s="2" t="e">
        <f ca="1">_xll.BDH($C$278,"DILUTED_EPS_AFT_XO_ITEMS_GROWTH","FQ1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299" s="2" t="e">
        <f ca="1">_xll.BDH($C$278,"DIVIDEND_PER_SHARE_1_YEAR_GROWTH","FQ1 2018","FQ1 2018","Currency=INR","Period=FQ","BEST_FPERIOD_OVERRIDE=FQ","FILING_STATUS=OR","EQY_CONSOLIDATED=Y","Sort=A","Dates=H","DateFormat=P","Fill=—","Direction=H","UseDPDF=Y")</f>
        <v>#NAME?</v>
      </c>
      <c r="Z299" s="2" t="e">
        <f ca="1">_xll.BDH($C$278,"ACCOUNTS_RECEIVABLE_GROWTH","FQ1 2018","FQ1 2018","Currency=INR","Period=FQ","BEST_FPERIOD_OVERRIDE=FQ","FILING_STATUS=OR","EQY_CONSOLIDATED=Y","Sort=A","Dates=H","DateFormat=P","Fill=—","Direction=H","UseDPDF=Y")</f>
        <v>#NAME?</v>
      </c>
      <c r="AA299" s="2" t="e">
        <f ca="1">_xll.BDH($C$278,"INVENTORY_GROWTH","FQ1 2018","FQ1 2018","Currency=INR","Period=FQ","BEST_FPERIOD_OVERRIDE=FQ","FILING_STATUS=OR","EQY_CONSOLIDATED=Y","Sort=A","Dates=H","DateFormat=P","Fill=—","Direction=H","UseDPDF=Y")</f>
        <v>#NAME?</v>
      </c>
      <c r="AB299" s="2" t="e">
        <f ca="1">_xll.BDH($C$278,"NET_FIXED_ASSETS_1_YEAR_GROWTH","FQ1 2018","FQ1 2018","Currency=INR","Period=FQ","BEST_FPERIOD_OVERRIDE=FQ","FILING_STATUS=OR","EQY_CONSOLIDATED=Y","Sort=A","Dates=H","DateFormat=P","Fill=—","Direction=H","UseDPDF=Y")</f>
        <v>#NAME?</v>
      </c>
      <c r="AC299" s="2" t="e">
        <f ca="1">_xll.BDH($C$278,"ASSET_GROWTH","FQ1 2018","FQ1 2018","Currency=INR","Period=FQ","BEST_FPERIOD_OVERRIDE=FQ","FILING_STATUS=OR","EQY_CONSOLIDATED=Y","Sort=A","Dates=H","DateFormat=P","Fill=—","Direction=H","UseDPDF=Y")</f>
        <v>#NAME?</v>
      </c>
      <c r="AD299" s="2" t="e">
        <f ca="1">_xll.BDH($C$278,"MODIFIED_WORK_CAP_GROWTH","FQ1 2018","FQ1 2018","Currency=INR","Period=FQ","BEST_FPERIOD_OVERRIDE=FQ","FILING_STATUS=OR","EQY_CONSOLIDATED=Y","Sort=A","Dates=H","DateFormat=P","Fill=—","Direction=H","UseDPDF=Y")</f>
        <v>#NAME?</v>
      </c>
      <c r="AE299" s="2" t="e">
        <f ca="1">_xll.BDH($C$278,"WORK_CAP_GROWTH","FQ1 2018","FQ1 2018","Currency=INR","Period=FQ","BEST_FPERIOD_OVERRIDE=FQ","FILING_STATUS=OR","EQY_CONSOLIDATED=Y","Sort=A","Dates=H","DateFormat=P","Fill=—","Direction=H","UseDPDF=Y")</f>
        <v>#NAME?</v>
      </c>
      <c r="AF299" s="2" t="e">
        <f ca="1">_xll.BDH($C$278,"ACCOUNTS_PAYABLE_GROWTH_1YR","FQ1 2018","FQ1 2018","Currency=INR","Period=FQ","BEST_FPERIOD_OVERRIDE=FQ","FILING_STATUS=OR","EQY_CONSOLIDATED=Y","Sort=A","Dates=H","DateFormat=P","Fill=—","Direction=H","UseDPDF=Y")</f>
        <v>#NAME?</v>
      </c>
      <c r="AG299" s="2" t="e">
        <f ca="1">_xll.BDH($C$278,"SHORT_TERM_DEBT_1_YEAR_GROWTH","FQ1 2018","FQ1 2018","Currency=INR","Period=FQ","BEST_FPERIOD_OVERRIDE=FQ","FILING_STATUS=OR","EQY_CONSOLIDATED=Y","Sort=A","Dates=H","DateFormat=P","Fill=—","Direction=H","UseDPDF=Y")</f>
        <v>#NAME?</v>
      </c>
      <c r="AH299" s="2" t="e">
        <f ca="1">_xll.BDH($C$278,"TOTAL_DEBT_1_YEAR_GROWTH","FQ1 2018","FQ1 2018","Currency=INR","Period=FQ","BEST_FPERIOD_OVERRIDE=FQ","FILING_STATUS=OR","EQY_CONSOLIDATED=Y","Sort=A","Dates=H","DateFormat=P","Fill=—","Direction=H","UseDPDF=Y")</f>
        <v>#NAME?</v>
      </c>
      <c r="AI299" s="2" t="e">
        <f ca="1">_xll.BDH($C$278,"TOTAL_EQUITY_1_YEAR_GROWTH","FQ1 2018","FQ1 2018","Currency=INR","Period=FQ","BEST_FPERIOD_OVERRIDE=FQ","FILING_STATUS=OR","EQY_CONSOLIDATED=Y","Sort=A","Dates=H","DateFormat=P","Fill=—","Direction=H","UseDPDF=Y")</f>
        <v>#NAME?</v>
      </c>
      <c r="AJ299" s="2" t="e">
        <f ca="1">_xll.BDH($C$278,"GROWTH_IN_CAP","FQ1 2018","FQ1 2018","Currency=INR","Period=FQ","BEST_FPERIOD_OVERRIDE=FQ","FILING_STATUS=OR","EQY_CONSOLIDATED=Y","Sort=A","Dates=H","DateFormat=P","Fill=—","Direction=H","UseDPDF=Y")</f>
        <v>#NAME?</v>
      </c>
      <c r="AK299" s="2" t="e">
        <f ca="1">_xll.BDH($C$278,"BVPS_GROWTH","FQ1 2018","FQ1 2018","Currency=INR","Period=FQ","BEST_FPERIOD_OVERRIDE=FQ","FILING_STATUS=OR","EQY_CONSOLIDATED=Y","Sort=A","Dates=H","DateFormat=P","Fill=—","Direction=H","UseDPDF=Y")</f>
        <v>#NAME?</v>
      </c>
      <c r="AL299" s="2" t="e">
        <f ca="1">_xll.BDH($C$278,"CASH_FLOW_GROWTH","FQ1 2018","FQ1 2018","Currency=INR","Period=FQ","BEST_FPERIOD_OVERRIDE=FQ","FILING_STATUS=OR","EQY_CONSOLIDATED=Y","Sort=A","Dates=H","DateFormat=P","Fill=—","Direction=H","UseDPDF=Y")</f>
        <v>#NAME?</v>
      </c>
      <c r="AM299" s="2" t="e">
        <f ca="1">_xll.BDH($C$278,"GEO_GROW_NET_SALES","FQ1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299" s="2" t="e">
        <f ca="1">_xll.BDH($C$278,"GEO_GROW_EBITDA","FQ1 2018","FQ1 2018","Currency=INR","Period=FQ","BEST_FPERIOD_OVERRIDE=FQ","FILING_STATUS=OR","EQY_CONSOLIDATED=Y","FA_ADJUSTED=GAAP","Sort=A","Dates=H","DateFormat=P","Fill=—","Direction=H","UseDPDF=Y")</f>
        <v>#NAME?</v>
      </c>
      <c r="AO299" s="2" t="e">
        <f ca="1">_xll.BDH($C$278,"GEO_GROW_OPER_INC","FQ1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299" s="2" t="e">
        <f ca="1">_xll.BDH($C$278,"NET_INCOME_TO_COMMON_5_YR_GROWTH","FQ1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299" s="2" t="e">
        <f ca="1">_xll.BDH($C$278,"5Y_GEO_GROWTH_DILUTED_EPS","FQ1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299" s="2" t="e">
        <f ca="1">_xll.BDH($C$278,"GEO_GROW_DVD_PER_SH","FQ1 2018","FQ1 2018","Currency=INR","Period=FQ","BEST_FPERIOD_OVERRIDE=FQ","FILING_STATUS=OR","EQY_CONSOLIDATED=Y","Sort=A","Dates=H","DateFormat=P","Fill=—","Direction=H","UseDPDF=Y")</f>
        <v>#NAME?</v>
      </c>
      <c r="AS299" s="2" t="e">
        <f ca="1">_xll.BDH($C$278,"ACCOUNTS_RECEIVABLE_5_YR_GROWTH","FQ1 2018","FQ1 2018","Currency=INR","Period=FQ","BEST_FPERIOD_OVERRIDE=FQ","FILING_STATUS=OR","EQY_CONSOLIDATED=Y","Sort=A","Dates=H","DateFormat=P","Fill=—","Direction=H","UseDPDF=Y")</f>
        <v>#NAME?</v>
      </c>
      <c r="AT299" s="2" t="e">
        <f ca="1">_xll.BDH($C$278,"INVENTORY_5_YEAR_GROWTH","FQ1 2018","FQ1 2018","Currency=INR","Period=FQ","BEST_FPERIOD_OVERRIDE=FQ","FILING_STATUS=OR","EQY_CONSOLIDATED=Y","Sort=A","Dates=H","DateFormat=P","Fill=—","Direction=H","UseDPDF=Y")</f>
        <v>#NAME?</v>
      </c>
      <c r="AU299" s="2" t="e">
        <f ca="1">_xll.BDH($C$278,"NET_FIXED_ASSETS_5_YEAR_GROWTH","FQ1 2018","FQ1 2018","Currency=INR","Period=FQ","BEST_FPERIOD_OVERRIDE=FQ","FILING_STATUS=OR","EQY_CONSOLIDATED=Y","Sort=A","Dates=H","DateFormat=P","Fill=—","Direction=H","UseDPDF=Y")</f>
        <v>#NAME?</v>
      </c>
      <c r="AV299" s="2" t="e">
        <f ca="1">_xll.BDH($C$278,"GEO_GROW_TOT_ASSET","FQ1 2018","FQ1 2018","Currency=INR","Period=FQ","BEST_FPERIOD_OVERRIDE=FQ","FILING_STATUS=OR","EQY_CONSOLIDATED=Y","Sort=A","Dates=H","DateFormat=P","Fill=—","Direction=H","UseDPDF=Y")</f>
        <v>#NAME?</v>
      </c>
      <c r="AW299" s="2" t="e">
        <f ca="1">_xll.BDH($C$278,"MODIFIED_WORKING_CPTL_5YR_GRWTH","FQ1 2018","FQ1 2018","Currency=INR","Period=FQ","BEST_FPERIOD_OVERRIDE=FQ","FILING_STATUS=OR","EQY_CONSOLIDATED=Y","Sort=A","Dates=H","DateFormat=P","Fill=—","Direction=H","UseDPDF=Y")</f>
        <v>#NAME?</v>
      </c>
      <c r="AX299" s="2" t="e">
        <f ca="1">_xll.BDH($C$278,"WORKING_CAPITAL_5_YEAR_GROWTH","FQ1 2018","FQ1 2018","Currency=INR","Period=FQ","BEST_FPERIOD_OVERRIDE=FQ","FILING_STATUS=OR","EQY_CONSOLIDATED=Y","Sort=A","Dates=H","DateFormat=P","Fill=—","Direction=H","UseDPDF=Y")</f>
        <v>#NAME?</v>
      </c>
      <c r="AY299" s="2" t="e">
        <f ca="1">_xll.BDH($C$278,"ACCOUNTS_PAYABLE_5_YEAR_GROWTH","FQ1 2018","FQ1 2018","Currency=INR","Period=FQ","BEST_FPERIOD_OVERRIDE=FQ","FILING_STATUS=OR","EQY_CONSOLIDATED=Y","Sort=A","Dates=H","DateFormat=P","Fill=—","Direction=H","UseDPDF=Y")</f>
        <v>#NAME?</v>
      </c>
      <c r="AZ299" s="2" t="e">
        <f ca="1">_xll.BDH($C$278,"SHORT_TERM_DEBT_5_YEAR_GROWTH","FQ1 2018","FQ1 2018","Currency=INR","Period=FQ","BEST_FPERIOD_OVERRIDE=FQ","FILING_STATUS=OR","EQY_CONSOLIDATED=Y","Sort=A","Dates=H","DateFormat=P","Fill=—","Direction=H","UseDPDF=Y")</f>
        <v>#NAME?</v>
      </c>
      <c r="BA299" s="2" t="e">
        <f ca="1">_xll.BDH($C$278,"TOTAL_DEBT_5_YEAR_GROWTH","FQ1 2018","FQ1 2018","Currency=INR","Period=FQ","BEST_FPERIOD_OVERRIDE=FQ","FILING_STATUS=OR","EQY_CONSOLIDATED=Y","Sort=A","Dates=H","DateFormat=P","Fill=—","Direction=H","UseDPDF=Y")</f>
        <v>#NAME?</v>
      </c>
      <c r="BB299" s="2" t="e">
        <f ca="1">_xll.BDH($C$278,"GEO_GROW_TOT_SHRHLDR_EQY","FQ1 2018","FQ1 2018","Currency=INR","Period=FQ","BEST_FPERIOD_OVERRIDE=FQ","FILING_STATUS=OR","EQY_CONSOLIDATED=Y","Sort=A","Dates=H","DateFormat=P","Fill=—","Direction=H","UseDPDF=Y")</f>
        <v>#NAME?</v>
      </c>
      <c r="BC299" s="2" t="e">
        <f ca="1">_xll.BDH($C$278,"TOTAL_CAPITAL_5_YEAR_GROWTH","FQ1 2018","FQ1 2018","Currency=INR","Period=FQ","BEST_FPERIOD_OVERRIDE=FQ","FILING_STATUS=OR","EQY_CONSOLIDATED=Y","Sort=A","Dates=H","DateFormat=P","Fill=—","Direction=H","UseDPDF=Y")</f>
        <v>#NAME?</v>
      </c>
      <c r="BD299" s="2" t="e">
        <f ca="1">_xll.BDH($C$278,"GEO_GROW_BOOK_VAL","FQ1 2018","FQ1 2018","Currency=INR","Period=FQ","BEST_FPERIOD_OVERRIDE=FQ","FILING_STATUS=OR","EQY_CONSOLIDATED=Y","Sort=A","Dates=H","DateFormat=P","Fill=—","Direction=H","UseDPDF=Y")</f>
        <v>#NAME?</v>
      </c>
      <c r="BE299" s="2" t="e">
        <f ca="1">_xll.BDH($C$278,"GEO_GROW_CASH_OPER_ACT","FQ1 2018","FQ1 2018","Currency=INR","Period=FQ","BEST_FPERIOD_OVERRIDE=FQ","FILING_STATUS=OR","EQY_CONSOLIDATED=Y","Sort=A","Dates=H","DateFormat=P","Fill=—","Direction=H","UseDPDF=Y")</f>
        <v>#NAME?</v>
      </c>
      <c r="BF299" s="2" t="e">
        <f ca="1">_xll.BDH($C$278,"REVENUE_SEQUENTIAL_GROWTH","FQ1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299" s="2" t="e">
        <f ca="1">_xll.BDH($C$278,"EBITDA_SEQUENTIAL_GROWTH","FQ1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299" s="2" t="e">
        <f ca="1">_xll.BDH($C$278,"OPERATING_INCOME_SEQ_GROWTH","FQ1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299" s="2" t="e">
        <f ca="1">_xll.BDH($C$278,"NET_INCOME_TO_COMMON_SEQ_GROWTH","FQ1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299" s="2" t="e">
        <f ca="1">_xll.BDH($C$278,"EPS_DILUTED_SEQUENTIAL_GROWTH","FQ1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299" s="2" t="e">
        <f ca="1">_xll.BDH($C$278,"DPS_SEQUENTIAL_GROWTH","FQ1 2018","FQ1 2018","Currency=INR","Period=FQ","BEST_FPERIOD_OVERRIDE=FQ","FILING_STATUS=OR","EQY_CONSOLIDATED=Y","Sort=A","Dates=H","DateFormat=P","Fill=—","Direction=H","UseDPDF=Y")</f>
        <v>#NAME?</v>
      </c>
      <c r="BL299" s="2" t="e">
        <f ca="1">_xll.BDH($C$278,"ACCOUNTS_RECEIVABLE_SEQ_GROWTH","FQ1 2018","FQ1 2018","Currency=INR","Period=FQ","BEST_FPERIOD_OVERRIDE=FQ","FILING_STATUS=OR","EQY_CONSOLIDATED=Y","Sort=A","Dates=H","DateFormat=P","Fill=—","Direction=H","UseDPDF=Y")</f>
        <v>#NAME?</v>
      </c>
      <c r="BM299" s="2" t="e">
        <f ca="1">_xll.BDH($C$278,"INVENTORY_SEQUENTIAL_GROWTH","FQ1 2018","FQ1 2018","Currency=INR","Period=FQ","BEST_FPERIOD_OVERRIDE=FQ","FILING_STATUS=OR","EQY_CONSOLIDATED=Y","Sort=A","Dates=H","DateFormat=P","Fill=—","Direction=H","UseDPDF=Y")</f>
        <v>#NAME?</v>
      </c>
      <c r="BN299" s="2" t="e">
        <f ca="1">_xll.BDH($C$278,"FIXED_ASSETS_SEQUENTIAL_GROWTH","FQ1 2018","FQ1 2018","Currency=INR","Period=FQ","BEST_FPERIOD_OVERRIDE=FQ","FILING_STATUS=OR","EQY_CONSOLIDATED=Y","Sort=A","Dates=H","DateFormat=P","Fill=—","Direction=H","UseDPDF=Y")</f>
        <v>#NAME?</v>
      </c>
      <c r="BO299" s="2" t="e">
        <f ca="1">_xll.BDH($C$278,"TOTAL_ASSETS_SEQUENTIAL_GROWTH","FQ1 2018","FQ1 2018","Currency=INR","Period=FQ","BEST_FPERIOD_OVERRIDE=FQ","FILING_STATUS=OR","EQY_CONSOLIDATED=Y","Sort=A","Dates=H","DateFormat=P","Fill=—","Direction=H","UseDPDF=Y")</f>
        <v>#NAME?</v>
      </c>
      <c r="BP299" s="2" t="e">
        <f ca="1">_xll.BDH($C$278,"MODIFIED_WORKING_CPTL_SEQ_GRWTH","FQ1 2018","FQ1 2018","Currency=INR","Period=FQ","BEST_FPERIOD_OVERRIDE=FQ","FILING_STATUS=OR","EQY_CONSOLIDATED=Y","Sort=A","Dates=H","DateFormat=P","Fill=—","Direction=H","UseDPDF=Y")</f>
        <v>#NAME?</v>
      </c>
      <c r="BQ299" s="2" t="e">
        <f ca="1">_xll.BDH($C$278,"WORKING_CAPITAL_SEQ_GROWTH","FQ1 2018","FQ1 2018","Currency=INR","Period=FQ","BEST_FPERIOD_OVERRIDE=FQ","FILING_STATUS=OR","EQY_CONSOLIDATED=Y","Sort=A","Dates=H","DateFormat=P","Fill=—","Direction=H","UseDPDF=Y")</f>
        <v>#NAME?</v>
      </c>
      <c r="BR299" s="2" t="e">
        <f ca="1">_xll.BDH($C$278,"ACCOUNTS_PAYABLE_SEQ_GROWTH","FQ1 2018","FQ1 2018","Currency=INR","Period=FQ","BEST_FPERIOD_OVERRIDE=FQ","FILING_STATUS=OR","EQY_CONSOLIDATED=Y","Sort=A","Dates=H","DateFormat=P","Fill=—","Direction=H","UseDPDF=Y")</f>
        <v>#NAME?</v>
      </c>
      <c r="BS299" s="2" t="e">
        <f ca="1">_xll.BDH($C$278,"ST_DEBT_SEQUENTIAL_GROWTH","FQ1 2018","FQ1 2018","Currency=INR","Period=FQ","BEST_FPERIOD_OVERRIDE=FQ","FILING_STATUS=OR","EQY_CONSOLIDATED=Y","Sort=A","Dates=H","DateFormat=P","Fill=—","Direction=H","UseDPDF=Y")</f>
        <v>#NAME?</v>
      </c>
      <c r="BT299" s="2" t="e">
        <f ca="1">_xll.BDH($C$278,"TOTAL_DEBT_SEQUENTIAL_GROWTH","FQ1 2018","FQ1 2018","Currency=INR","Period=FQ","BEST_FPERIOD_OVERRIDE=FQ","FILING_STATUS=OR","EQY_CONSOLIDATED=Y","Sort=A","Dates=H","DateFormat=P","Fill=—","Direction=H","UseDPDF=Y")</f>
        <v>#NAME?</v>
      </c>
      <c r="BU299" s="2" t="e">
        <f ca="1">_xll.BDH($C$278,"TOTAL_EQUITY_SEQUENTIAL_GROWTH","FQ1 2018","FQ1 2018","Currency=INR","Period=FQ","BEST_FPERIOD_OVERRIDE=FQ","FILING_STATUS=OR","EQY_CONSOLIDATED=Y","Sort=A","Dates=H","DateFormat=P","Fill=—","Direction=H","UseDPDF=Y")</f>
        <v>#NAME?</v>
      </c>
      <c r="BV299" s="2" t="e">
        <f ca="1">_xll.BDH($C$278,"TOTAL_CAPITAL_SEQUENTIAL_GROWTH","FQ1 2018","FQ1 2018","Currency=INR","Period=FQ","BEST_FPERIOD_OVERRIDE=FQ","FILING_STATUS=OR","EQY_CONSOLIDATED=Y","Sort=A","Dates=H","DateFormat=P","Fill=—","Direction=H","UseDPDF=Y")</f>
        <v>#NAME?</v>
      </c>
      <c r="BW299" s="2" t="e">
        <f ca="1">_xll.BDH($C$278,"BPS_SEQUENTIAL_GROWTH","FQ1 2018","FQ1 2018","Currency=INR","Period=FQ","BEST_FPERIOD_OVERRIDE=FQ","FILING_STATUS=OR","EQY_CONSOLIDATED=Y","Sort=A","Dates=H","DateFormat=P","Fill=—","Direction=H","UseDPDF=Y")</f>
        <v>#NAME?</v>
      </c>
      <c r="BX299" s="2" t="e">
        <f ca="1">_xll.BDH($C$278,"CFO_SEQUENTIAL_GROWTH","FQ1 2018","FQ1 2018","Currency=INR","Period=FQ","BEST_FPERIOD_OVERRIDE=FQ","FILING_STATUS=OR","EQY_CONSOLIDATED=Y","Sort=A","Dates=H","DateFormat=P","Fill=—","Direction=H","UseDPDF=Y")</f>
        <v>#NAME?</v>
      </c>
      <c r="BY299" s="3" t="e">
        <f ca="1">_xll.BDH($C$278,"SHORT_AND_LONG_TERM_DEBT","FQ1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299" s="3" t="e">
        <f ca="1">_xll.BDH($C$278,"BS_ST_BORROW","FQ1 2018","FQ1 2018","Currency=INR","Period=FQ","BEST_FPERIOD_OVERRIDE=FQ","FILING_STATUS=OR","EQY_CONSOLIDATED=Y","SCALING_FORMAT=MLN","Sort=A","Dates=H","DateFormat=P","Fill=—","Direction=H","UseDPDF=Y")</f>
        <v>#NAME?</v>
      </c>
      <c r="CA299" s="3" t="e">
        <f ca="1">_xll.BDH($C$278,"BS_LT_BORROW","FQ1 2018","FQ1 2018","Currency=INR","Period=FQ","BEST_FPERIOD_OVERRIDE=FQ","FILING_STATUS=OR","EQY_CONSOLIDATED=Y","SCALING_FORMAT=MLN","Sort=A","Dates=H","DateFormat=P","Fill=—","Direction=H","UseDPDF=Y")</f>
        <v>#NAME?</v>
      </c>
      <c r="CB299" s="2" t="e">
        <f ca="1">_xll.BDH($C$278,"TOT_DEBT_TO_EBITDA","FQ1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299" s="2" t="e">
        <f ca="1">_xll.BDH($C$278,"NET_DEBT_TO_EBITDA","FQ1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299" s="2" t="e">
        <f ca="1">_xll.BDH($C$278,"TOTAL_DEBT_TO_EBIT","FQ1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299" s="2" t="e">
        <f ca="1">_xll.BDH($C$278,"NET_DEBT_TO_EBIT","FQ1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299" s="2" t="e">
        <f ca="1">_xll.BDH($C$278,"EBITDA_TO_INTEREST_EXPN","FQ1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299" s="2" t="e">
        <f ca="1">_xll.BDH($C$278,"COM_EQY_TO_TOT_ASSET","FQ1 2018","FQ1 2018","Currency=INR","Period=FQ","BEST_FPERIOD_OVERRIDE=FQ","FILING_STATUS=OR","EQY_CONSOLIDATED=Y","Sort=A","Dates=H","DateFormat=P","Fill=—","Direction=H","UseDPDF=Y")</f>
        <v>#NAME?</v>
      </c>
      <c r="CH299" s="2" t="e">
        <f ca="1">_xll.BDH($C$278,"LT_DEBT_TO_TOT_EQY","FQ1 2018","FQ1 2018","Currency=INR","Period=FQ","BEST_FPERIOD_OVERRIDE=FQ","FILING_STATUS=OR","EQY_CONSOLIDATED=Y","Sort=A","Dates=H","DateFormat=P","Fill=—","Direction=H","UseDPDF=Y")</f>
        <v>#NAME?</v>
      </c>
      <c r="CI299" s="2" t="e">
        <f ca="1">_xll.BDH($C$278,"LT_DEBT_TO_TOT_CAP","FQ1 2018","FQ1 2018","Currency=INR","Period=FQ","BEST_FPERIOD_OVERRIDE=FQ","FILING_STATUS=OR","EQY_CONSOLIDATED=Y","Sort=A","Dates=H","DateFormat=P","Fill=—","Direction=H","UseDPDF=Y")</f>
        <v>#NAME?</v>
      </c>
      <c r="CJ299" s="2" t="e">
        <f ca="1">_xll.BDH($C$278,"LT_DEBT_TO_TOT_ASSET","FQ1 2018","FQ1 2018","Currency=INR","Period=FQ","BEST_FPERIOD_OVERRIDE=FQ","FILING_STATUS=OR","EQY_CONSOLIDATED=Y","Sort=A","Dates=H","DateFormat=P","Fill=—","Direction=H","UseDPDF=Y")</f>
        <v>#NAME?</v>
      </c>
      <c r="CK299" s="2" t="e">
        <f ca="1">_xll.BDH($C$278,"TOT_DEBT_TO_TOT_EQY","FQ1 2018","FQ1 2018","Currency=INR","Period=FQ","BEST_FPERIOD_OVERRIDE=FQ","FILING_STATUS=OR","EQY_CONSOLIDATED=Y","Sort=A","Dates=H","DateFormat=P","Fill=—","Direction=H","UseDPDF=Y")</f>
        <v>#NAME?</v>
      </c>
      <c r="CL299" s="2" t="e">
        <f ca="1">_xll.BDH($C$278,"TOT_DEBT_TO_TOT_CAP","FQ1 2018","FQ1 2018","Currency=INR","Period=FQ","BEST_FPERIOD_OVERRIDE=FQ","FILING_STATUS=OR","EQY_CONSOLIDATED=Y","Sort=A","Dates=H","DateFormat=P","Fill=—","Direction=H","UseDPDF=Y")</f>
        <v>#NAME?</v>
      </c>
      <c r="CM299" s="2" t="e">
        <f ca="1">_xll.BDH($C$278,"TOT_DEBT_TO_TOT_ASSET","FQ1 2018","FQ1 2018","Currency=INR","Period=FQ","BEST_FPERIOD_OVERRIDE=FQ","FILING_STATUS=OR","EQY_CONSOLIDATED=Y","Sort=A","Dates=H","DateFormat=P","Fill=—","Direction=H","UseDPDF=Y")</f>
        <v>#NAME?</v>
      </c>
      <c r="CN299" s="2" t="e">
        <f ca="1">_xll.BDH($C$278,"NET_DEBT_TO_SHRHLDR_EQTY","FQ1 2018","FQ1 2018","Currency=INR","Period=FQ","BEST_FPERIOD_OVERRIDE=FQ","FILING_STATUS=OR","EQY_CONSOLIDATED=Y","Sort=A","Dates=H","DateFormat=P","Fill=—","Direction=H","UseDPDF=Y")</f>
        <v>#NAME?</v>
      </c>
      <c r="CO299" s="2" t="e">
        <f ca="1">_xll.BDH($C$278,"NET_DEBT_%_CAPITAL","FQ1 2018","FQ1 2018","Currency=INR","Period=FQ","BEST_FPERIOD_OVERRIDE=FQ","FILING_STATUS=OR","EQY_CONSOLIDATED=Y","Sort=A","Dates=H","DateFormat=P","Fill=—","Direction=H","UseDPDF=Y")</f>
        <v>#NAME?</v>
      </c>
      <c r="CP299" s="3" t="e">
        <f ca="1">_xll.BDH($C$278,"EBITDA","FQ1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299" s="3" t="e">
        <f ca="1">_xll.BDH($C$278,"EBITDA_AFTER_CAPEX","FQ1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299" s="3" t="e">
        <f ca="1">_xll.BDH($C$278,"IS_OPER_INC","FQ1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299" s="2" t="e">
        <f ca="1">_xll.BDH($C$278,"CASH_RATIO","FQ1 2018","FQ1 2018","Currency=INR","Period=FQ","BEST_FPERIOD_OVERRIDE=FQ","FILING_STATUS=OR","EQY_CONSOLIDATED=Y","Sort=A","Dates=H","DateFormat=P","Fill=—","Direction=H","UseDPDF=Y")</f>
        <v>#NAME?</v>
      </c>
      <c r="CT299" s="2" t="e">
        <f ca="1">_xll.BDH($C$278,"CUR_RATIO","FQ1 2018","FQ1 2018","Currency=INR","Period=FQ","BEST_FPERIOD_OVERRIDE=FQ","FILING_STATUS=OR","EQY_CONSOLIDATED=Y","Sort=A","Dates=H","DateFormat=P","Fill=—","Direction=H","UseDPDF=Y")</f>
        <v>#NAME?</v>
      </c>
      <c r="CU299" s="2" t="e">
        <f ca="1">_xll.BDH($C$278,"QUICK_RATIO","FQ1 2018","FQ1 2018","Currency=INR","Period=FQ","BEST_FPERIOD_OVERRIDE=FQ","FILING_STATUS=OR","EQY_CONSOLIDATED=Y","Sort=A","Dates=H","DateFormat=P","Fill=—","Direction=H","UseDPDF=Y")</f>
        <v>#NAME?</v>
      </c>
      <c r="CV299" s="2" t="e">
        <f ca="1">_xll.BDH($C$278,"ALTMAN_Z_SCORE","FQ1 2018","FQ1 2018","Currency=INR","Period=FQ","BEST_FPERIOD_OVERRIDE=FQ","FILING_STATUS=OR","EQY_CONSOLIDATED=Y","Sort=A","Dates=H","DateFormat=P","Fill=—","Direction=H","UseDPDF=Y")</f>
        <v>#NAME?</v>
      </c>
      <c r="CW299" s="4" t="e">
        <f ca="1">_xll.BDH($C$278,"ACCT_RCV_TURN","FQ1 2018","FQ1 2018","Currency=INR","Period=FQ","BEST_FPERIOD_OVERRIDE=FQ","FILING_STATUS=OR","EQY_CONSOLIDATED=Y","FA_ADJUSTED=GAAP","Sort=A","Dates=H","DateFormat=P","Fill=—","Direction=H","UseDPDF=Y")</f>
        <v>#NAME?</v>
      </c>
      <c r="CX299" s="2" t="e">
        <f ca="1">_xll.BDH($C$278,"ACCT_RCV_DAYS","FQ1 2018","FQ1 2018","Currency=INR","Period=FQ","BEST_FPERIOD_OVERRIDE=FQ","FILING_STATUS=OR","EQY_CONSOLIDATED=Y","FA_ADJUSTED=GAAP","Sort=A","Dates=H","DateFormat=P","Fill=—","Direction=H","UseDPDF=Y")</f>
        <v>#NAME?</v>
      </c>
      <c r="CY299" s="4" t="e">
        <f ca="1">_xll.BDH($C$278,"INVENT_TURN","FQ1 2018","FQ1 2018","Currency=INR","Period=FQ","BEST_FPERIOD_OVERRIDE=FQ","FILING_STATUS=OR","EQY_CONSOLIDATED=Y","FA_ADJUSTED=GAAP","Sort=A","Dates=H","DateFormat=P","Fill=—","Direction=H","UseDPDF=Y")</f>
        <v>#NAME?</v>
      </c>
      <c r="CZ299" s="2" t="e">
        <f ca="1">_xll.BDH($C$278,"INVENT_DAYS","FQ1 2018","FQ1 2018","Currency=INR","Period=FQ","BEST_FPERIOD_OVERRIDE=FQ","FILING_STATUS=OR","EQY_CONSOLIDATED=Y","FA_ADJUSTED=GAAP","Sort=A","Dates=H","DateFormat=P","Fill=—","Direction=H","UseDPDF=Y")</f>
        <v>#NAME?</v>
      </c>
      <c r="DA299" s="4" t="e">
        <f ca="1">_xll.BDH($C$278,"ACCOUNTS_PAYABLE_TURNOVER","FQ1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299" s="2" t="e">
        <f ca="1">_xll.BDH($C$278,"ACCOUNTS_PAYABLE_TURNOVER_DAYS","FQ1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299" s="4" t="e">
        <f ca="1">_xll.BDH($C$278,"CASH_CONVERSION_CYCLE","FQ1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299" s="4" t="e">
        <f ca="1">_xll.BDH($C$278,"INV_TO_CASH_DAYS","FQ1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299" s="5" t="e">
        <f ca="1">_xll.BDH($C$278,"BS_INVENTORIES","FQ1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299" s="3" t="e">
        <f ca="1">_xll.BDH($C$278,"INVTRY_RAW_MATERIALS","FQ1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299" s="3" t="e">
        <f ca="1">_xll.BDH($C$278,"INVTRY_IN_PROGRESS","FQ1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299" s="3" t="e">
        <f ca="1">_xll.BDH($C$278,"INVTRY_FINISHED_GOODS","FQ1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299" s="3" t="e">
        <f ca="1">_xll.BDH($C$278,"BS_OTHER_INV","FQ1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00" spans="1:113" x14ac:dyDescent="0.3">
      <c r="A300" s="6"/>
      <c r="B300" s="6"/>
      <c r="C300" s="6"/>
      <c r="D300" s="6"/>
      <c r="E300" t="s">
        <v>79</v>
      </c>
      <c r="F300" t="e">
        <f ca="1">_xll.BDH($C$278,"RETURN_COM_EQY","FQ2 2018","FQ2 2018","Currency=INR","Period=FQ","BEST_FPERIOD_OVERRIDE=FQ","FILING_STATUS=OR","EQY_CONSOLIDATED=Y","FA_ADJUSTED=GAAP","Sort=A","Dates=H","DateFormat=P","Fill=—","Direction=H","UseDPDF=Y")</f>
        <v>#NAME?</v>
      </c>
      <c r="G300" t="e">
        <f ca="1">_xll.BDH($C$278,"RETURN_ON_ASSET","FQ2 2018","FQ2 2018","Currency=INR","Period=FQ","BEST_FPERIOD_OVERRIDE=FQ","FILING_STATUS=OR","EQY_CONSOLIDATED=Y","FA_ADJUSTED=GAAP","Sort=A","Dates=H","DateFormat=P","Fill=—","Direction=H","UseDPDF=Y")</f>
        <v>#NAME?</v>
      </c>
      <c r="H300" t="e">
        <f ca="1">_xll.BDH($C$278,"RETURN_ON_CAP","FQ2 2018","FQ2 2018","Currency=INR","Period=FQ","BEST_FPERIOD_OVERRIDE=FQ","FILING_STATUS=OR","EQY_CONSOLIDATED=Y","FA_ADJUSTED=GAAP","Sort=A","Dates=H","DateFormat=P","Fill=—","Direction=H","UseDPDF=Y")</f>
        <v>#NAME?</v>
      </c>
      <c r="I300" t="e">
        <f ca="1">_xll.BDH($C$278,"RETURN_ON_INV_CAPITAL","FQ2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00" t="e">
        <f ca="1">_xll.BDH($C$278,"EBITDA_TO_REVENUE","FQ2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00" t="e">
        <f ca="1">_xll.BDH($C$278,"OPER_MARGIN","FQ2 2018","FQ2 2018","Currency=INR","Period=FQ","BEST_FPERIOD_OVERRIDE=FQ","FILING_STATUS=OR","EQY_CONSOLIDATED=Y","FA_ADJUSTED=GAAP","Sort=A","Dates=H","DateFormat=P","Fill=—","Direction=H","UseDPDF=Y")</f>
        <v>#NAME?</v>
      </c>
      <c r="L300" t="e">
        <f ca="1">_xll.BDH($C$278,"INCREMENTAL_OPERATING_MARGIN","FQ2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00" t="e">
        <f ca="1">_xll.BDH($C$278,"PRETAX_INC_TO_NET_SALES","FQ2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00" t="e">
        <f ca="1">_xll.BDH($C$278,"INC_BEF_XO_ITEMS_TO_NET_SALES","FQ2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00" t="e">
        <f ca="1">_xll.BDH($C$278,"PROF_MARGIN","FQ2 2018","FQ2 2018","Currency=INR","Period=FQ","BEST_FPERIOD_OVERRIDE=FQ","FILING_STATUS=OR","EQY_CONSOLIDATED=Y","FA_ADJUSTED=GAAP","Sort=A","Dates=H","DateFormat=P","Fill=—","Direction=H","UseDPDF=Y")</f>
        <v>#NAME?</v>
      </c>
      <c r="P300" t="e">
        <f ca="1">_xll.BDH($C$278,"NET_INCOME_TO_COMMON_MARGIN","FQ2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00" t="e">
        <f ca="1">_xll.BDH($C$278,"EFF_TAX_RATE","FQ2 2018","FQ2 2018","Currency=INR","Period=FQ","BEST_FPERIOD_OVERRIDE=FQ","FILING_STATUS=OR","EQY_CONSOLIDATED=Y","FA_ADJUSTED=GAAP","Sort=A","Dates=H","DateFormat=P","Fill=—","Direction=H","UseDPDF=Y")</f>
        <v>#NAME?</v>
      </c>
      <c r="R300" t="e">
        <f ca="1">_xll.BDH($C$278,"DVD_PAYOUT_RATIO","FQ2 2018","FQ2 2018","Currency=INR","Period=FQ","BEST_FPERIOD_OVERRIDE=FQ","FILING_STATUS=OR","EQY_CONSOLIDATED=Y","FA_ADJUSTED=GAAP","Sort=A","Dates=H","DateFormat=P","Fill=—","Direction=H","UseDPDF=Y")</f>
        <v>#NAME?</v>
      </c>
      <c r="S300" t="e">
        <f ca="1">_xll.BDH($C$278,"SUSTAIN_GROWTH_RT","FQ2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00" s="2" t="e">
        <f ca="1">_xll.BDH($C$278,"SALES_GROWTH","FQ2 2018","FQ2 2018","Currency=INR","Period=FQ","BEST_FPERIOD_OVERRIDE=FQ","FILING_STATUS=OR","EQY_CONSOLIDATED=Y","FA_ADJUSTED=GAAP","Sort=A","Dates=H","DateFormat=P","Fill=—","Direction=H","UseDPDF=Y")</f>
        <v>#NAME?</v>
      </c>
      <c r="U300" s="2" t="e">
        <f ca="1">_xll.BDH($C$278,"EBITDA_GROWTH","FQ2 2018","FQ2 2018","Currency=INR","Period=FQ","BEST_FPERIOD_OVERRIDE=FQ","FILING_STATUS=OR","EQY_CONSOLIDATED=Y","FA_ADJUSTED=GAAP","Sort=A","Dates=H","DateFormat=P","Fill=—","Direction=H","UseDPDF=Y")</f>
        <v>#NAME?</v>
      </c>
      <c r="V300" s="2" t="e">
        <f ca="1">_xll.BDH($C$278,"OPER_INC_GROWTH","FQ2 2018","FQ2 2018","Currency=INR","Period=FQ","BEST_FPERIOD_OVERRIDE=FQ","FILING_STATUS=OR","EQY_CONSOLIDATED=Y","FA_ADJUSTED=GAAP","Sort=A","Dates=H","DateFormat=P","Fill=—","Direction=H","UseDPDF=Y")</f>
        <v>#NAME?</v>
      </c>
      <c r="W300" s="2" t="e">
        <f ca="1">_xll.BDH($C$278,"EARN_FOR_COM_GROWTH","FQ2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00" s="2" t="e">
        <f ca="1">_xll.BDH($C$278,"DILUTED_EPS_AFT_XO_ITEMS_GROWTH","FQ2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00" s="2" t="e">
        <f ca="1">_xll.BDH($C$278,"DIVIDEND_PER_SHARE_1_YEAR_GROWTH","FQ2 2018","FQ2 2018","Currency=INR","Period=FQ","BEST_FPERIOD_OVERRIDE=FQ","FILING_STATUS=OR","EQY_CONSOLIDATED=Y","Sort=A","Dates=H","DateFormat=P","Fill=—","Direction=H","UseDPDF=Y")</f>
        <v>#NAME?</v>
      </c>
      <c r="Z300" s="2" t="e">
        <f ca="1">_xll.BDH($C$278,"ACCOUNTS_RECEIVABLE_GROWTH","FQ2 2018","FQ2 2018","Currency=INR","Period=FQ","BEST_FPERIOD_OVERRIDE=FQ","FILING_STATUS=OR","EQY_CONSOLIDATED=Y","Sort=A","Dates=H","DateFormat=P","Fill=—","Direction=H","UseDPDF=Y")</f>
        <v>#NAME?</v>
      </c>
      <c r="AA300" s="2" t="e">
        <f ca="1">_xll.BDH($C$278,"INVENTORY_GROWTH","FQ2 2018","FQ2 2018","Currency=INR","Period=FQ","BEST_FPERIOD_OVERRIDE=FQ","FILING_STATUS=OR","EQY_CONSOLIDATED=Y","Sort=A","Dates=H","DateFormat=P","Fill=—","Direction=H","UseDPDF=Y")</f>
        <v>#NAME?</v>
      </c>
      <c r="AB300" s="2" t="e">
        <f ca="1">_xll.BDH($C$278,"NET_FIXED_ASSETS_1_YEAR_GROWTH","FQ2 2018","FQ2 2018","Currency=INR","Period=FQ","BEST_FPERIOD_OVERRIDE=FQ","FILING_STATUS=OR","EQY_CONSOLIDATED=Y","Sort=A","Dates=H","DateFormat=P","Fill=—","Direction=H","UseDPDF=Y")</f>
        <v>#NAME?</v>
      </c>
      <c r="AC300" s="2" t="e">
        <f ca="1">_xll.BDH($C$278,"ASSET_GROWTH","FQ2 2018","FQ2 2018","Currency=INR","Period=FQ","BEST_FPERIOD_OVERRIDE=FQ","FILING_STATUS=OR","EQY_CONSOLIDATED=Y","Sort=A","Dates=H","DateFormat=P","Fill=—","Direction=H","UseDPDF=Y")</f>
        <v>#NAME?</v>
      </c>
      <c r="AD300" s="2" t="e">
        <f ca="1">_xll.BDH($C$278,"MODIFIED_WORK_CAP_GROWTH","FQ2 2018","FQ2 2018","Currency=INR","Period=FQ","BEST_FPERIOD_OVERRIDE=FQ","FILING_STATUS=OR","EQY_CONSOLIDATED=Y","Sort=A","Dates=H","DateFormat=P","Fill=—","Direction=H","UseDPDF=Y")</f>
        <v>#NAME?</v>
      </c>
      <c r="AE300" s="2" t="e">
        <f ca="1">_xll.BDH($C$278,"WORK_CAP_GROWTH","FQ2 2018","FQ2 2018","Currency=INR","Period=FQ","BEST_FPERIOD_OVERRIDE=FQ","FILING_STATUS=OR","EQY_CONSOLIDATED=Y","Sort=A","Dates=H","DateFormat=P","Fill=—","Direction=H","UseDPDF=Y")</f>
        <v>#NAME?</v>
      </c>
      <c r="AF300" s="2" t="e">
        <f ca="1">_xll.BDH($C$278,"ACCOUNTS_PAYABLE_GROWTH_1YR","FQ2 2018","FQ2 2018","Currency=INR","Period=FQ","BEST_FPERIOD_OVERRIDE=FQ","FILING_STATUS=OR","EQY_CONSOLIDATED=Y","Sort=A","Dates=H","DateFormat=P","Fill=—","Direction=H","UseDPDF=Y")</f>
        <v>#NAME?</v>
      </c>
      <c r="AG300" s="2" t="e">
        <f ca="1">_xll.BDH($C$278,"SHORT_TERM_DEBT_1_YEAR_GROWTH","FQ2 2018","FQ2 2018","Currency=INR","Period=FQ","BEST_FPERIOD_OVERRIDE=FQ","FILING_STATUS=OR","EQY_CONSOLIDATED=Y","Sort=A","Dates=H","DateFormat=P","Fill=—","Direction=H","UseDPDF=Y")</f>
        <v>#NAME?</v>
      </c>
      <c r="AH300" s="2" t="e">
        <f ca="1">_xll.BDH($C$278,"TOTAL_DEBT_1_YEAR_GROWTH","FQ2 2018","FQ2 2018","Currency=INR","Period=FQ","BEST_FPERIOD_OVERRIDE=FQ","FILING_STATUS=OR","EQY_CONSOLIDATED=Y","Sort=A","Dates=H","DateFormat=P","Fill=—","Direction=H","UseDPDF=Y")</f>
        <v>#NAME?</v>
      </c>
      <c r="AI300" s="2" t="e">
        <f ca="1">_xll.BDH($C$278,"TOTAL_EQUITY_1_YEAR_GROWTH","FQ2 2018","FQ2 2018","Currency=INR","Period=FQ","BEST_FPERIOD_OVERRIDE=FQ","FILING_STATUS=OR","EQY_CONSOLIDATED=Y","Sort=A","Dates=H","DateFormat=P","Fill=—","Direction=H","UseDPDF=Y")</f>
        <v>#NAME?</v>
      </c>
      <c r="AJ300" s="2" t="e">
        <f ca="1">_xll.BDH($C$278,"GROWTH_IN_CAP","FQ2 2018","FQ2 2018","Currency=INR","Period=FQ","BEST_FPERIOD_OVERRIDE=FQ","FILING_STATUS=OR","EQY_CONSOLIDATED=Y","Sort=A","Dates=H","DateFormat=P","Fill=—","Direction=H","UseDPDF=Y")</f>
        <v>#NAME?</v>
      </c>
      <c r="AK300" s="2" t="e">
        <f ca="1">_xll.BDH($C$278,"BVPS_GROWTH","FQ2 2018","FQ2 2018","Currency=INR","Period=FQ","BEST_FPERIOD_OVERRIDE=FQ","FILING_STATUS=OR","EQY_CONSOLIDATED=Y","Sort=A","Dates=H","DateFormat=P","Fill=—","Direction=H","UseDPDF=Y")</f>
        <v>#NAME?</v>
      </c>
      <c r="AL300" s="2" t="e">
        <f ca="1">_xll.BDH($C$278,"CASH_FLOW_GROWTH","FQ2 2018","FQ2 2018","Currency=INR","Period=FQ","BEST_FPERIOD_OVERRIDE=FQ","FILING_STATUS=OR","EQY_CONSOLIDATED=Y","Sort=A","Dates=H","DateFormat=P","Fill=—","Direction=H","UseDPDF=Y")</f>
        <v>#NAME?</v>
      </c>
      <c r="AM300" s="2" t="e">
        <f ca="1">_xll.BDH($C$278,"GEO_GROW_NET_SALES","FQ2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00" s="2" t="e">
        <f ca="1">_xll.BDH($C$278,"GEO_GROW_EBITDA","FQ2 2018","FQ2 2018","Currency=INR","Period=FQ","BEST_FPERIOD_OVERRIDE=FQ","FILING_STATUS=OR","EQY_CONSOLIDATED=Y","FA_ADJUSTED=GAAP","Sort=A","Dates=H","DateFormat=P","Fill=—","Direction=H","UseDPDF=Y")</f>
        <v>#NAME?</v>
      </c>
      <c r="AO300" s="2" t="e">
        <f ca="1">_xll.BDH($C$278,"GEO_GROW_OPER_INC","FQ2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00" s="2" t="e">
        <f ca="1">_xll.BDH($C$278,"NET_INCOME_TO_COMMON_5_YR_GROWTH","FQ2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00" s="2" t="e">
        <f ca="1">_xll.BDH($C$278,"5Y_GEO_GROWTH_DILUTED_EPS","FQ2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00" s="2" t="e">
        <f ca="1">_xll.BDH($C$278,"GEO_GROW_DVD_PER_SH","FQ2 2018","FQ2 2018","Currency=INR","Period=FQ","BEST_FPERIOD_OVERRIDE=FQ","FILING_STATUS=OR","EQY_CONSOLIDATED=Y","Sort=A","Dates=H","DateFormat=P","Fill=—","Direction=H","UseDPDF=Y")</f>
        <v>#NAME?</v>
      </c>
      <c r="AS300" s="2" t="e">
        <f ca="1">_xll.BDH($C$278,"ACCOUNTS_RECEIVABLE_5_YR_GROWTH","FQ2 2018","FQ2 2018","Currency=INR","Period=FQ","BEST_FPERIOD_OVERRIDE=FQ","FILING_STATUS=OR","EQY_CONSOLIDATED=Y","Sort=A","Dates=H","DateFormat=P","Fill=—","Direction=H","UseDPDF=Y")</f>
        <v>#NAME?</v>
      </c>
      <c r="AT300" s="2" t="e">
        <f ca="1">_xll.BDH($C$278,"INVENTORY_5_YEAR_GROWTH","FQ2 2018","FQ2 2018","Currency=INR","Period=FQ","BEST_FPERIOD_OVERRIDE=FQ","FILING_STATUS=OR","EQY_CONSOLIDATED=Y","Sort=A","Dates=H","DateFormat=P","Fill=—","Direction=H","UseDPDF=Y")</f>
        <v>#NAME?</v>
      </c>
      <c r="AU300" s="2" t="e">
        <f ca="1">_xll.BDH($C$278,"NET_FIXED_ASSETS_5_YEAR_GROWTH","FQ2 2018","FQ2 2018","Currency=INR","Period=FQ","BEST_FPERIOD_OVERRIDE=FQ","FILING_STATUS=OR","EQY_CONSOLIDATED=Y","Sort=A","Dates=H","DateFormat=P","Fill=—","Direction=H","UseDPDF=Y")</f>
        <v>#NAME?</v>
      </c>
      <c r="AV300" s="2" t="e">
        <f ca="1">_xll.BDH($C$278,"GEO_GROW_TOT_ASSET","FQ2 2018","FQ2 2018","Currency=INR","Period=FQ","BEST_FPERIOD_OVERRIDE=FQ","FILING_STATUS=OR","EQY_CONSOLIDATED=Y","Sort=A","Dates=H","DateFormat=P","Fill=—","Direction=H","UseDPDF=Y")</f>
        <v>#NAME?</v>
      </c>
      <c r="AW300" s="2" t="e">
        <f ca="1">_xll.BDH($C$278,"MODIFIED_WORKING_CPTL_5YR_GRWTH","FQ2 2018","FQ2 2018","Currency=INR","Period=FQ","BEST_FPERIOD_OVERRIDE=FQ","FILING_STATUS=OR","EQY_CONSOLIDATED=Y","Sort=A","Dates=H","DateFormat=P","Fill=—","Direction=H","UseDPDF=Y")</f>
        <v>#NAME?</v>
      </c>
      <c r="AX300" s="2" t="e">
        <f ca="1">_xll.BDH($C$278,"WORKING_CAPITAL_5_YEAR_GROWTH","FQ2 2018","FQ2 2018","Currency=INR","Period=FQ","BEST_FPERIOD_OVERRIDE=FQ","FILING_STATUS=OR","EQY_CONSOLIDATED=Y","Sort=A","Dates=H","DateFormat=P","Fill=—","Direction=H","UseDPDF=Y")</f>
        <v>#NAME?</v>
      </c>
      <c r="AY300" s="2" t="e">
        <f ca="1">_xll.BDH($C$278,"ACCOUNTS_PAYABLE_5_YEAR_GROWTH","FQ2 2018","FQ2 2018","Currency=INR","Period=FQ","BEST_FPERIOD_OVERRIDE=FQ","FILING_STATUS=OR","EQY_CONSOLIDATED=Y","Sort=A","Dates=H","DateFormat=P","Fill=—","Direction=H","UseDPDF=Y")</f>
        <v>#NAME?</v>
      </c>
      <c r="AZ300" s="2" t="e">
        <f ca="1">_xll.BDH($C$278,"SHORT_TERM_DEBT_5_YEAR_GROWTH","FQ2 2018","FQ2 2018","Currency=INR","Period=FQ","BEST_FPERIOD_OVERRIDE=FQ","FILING_STATUS=OR","EQY_CONSOLIDATED=Y","Sort=A","Dates=H","DateFormat=P","Fill=—","Direction=H","UseDPDF=Y")</f>
        <v>#NAME?</v>
      </c>
      <c r="BA300" s="2" t="e">
        <f ca="1">_xll.BDH($C$278,"TOTAL_DEBT_5_YEAR_GROWTH","FQ2 2018","FQ2 2018","Currency=INR","Period=FQ","BEST_FPERIOD_OVERRIDE=FQ","FILING_STATUS=OR","EQY_CONSOLIDATED=Y","Sort=A","Dates=H","DateFormat=P","Fill=—","Direction=H","UseDPDF=Y")</f>
        <v>#NAME?</v>
      </c>
      <c r="BB300" s="2" t="e">
        <f ca="1">_xll.BDH($C$278,"GEO_GROW_TOT_SHRHLDR_EQY","FQ2 2018","FQ2 2018","Currency=INR","Period=FQ","BEST_FPERIOD_OVERRIDE=FQ","FILING_STATUS=OR","EQY_CONSOLIDATED=Y","Sort=A","Dates=H","DateFormat=P","Fill=—","Direction=H","UseDPDF=Y")</f>
        <v>#NAME?</v>
      </c>
      <c r="BC300" s="2" t="e">
        <f ca="1">_xll.BDH($C$278,"TOTAL_CAPITAL_5_YEAR_GROWTH","FQ2 2018","FQ2 2018","Currency=INR","Period=FQ","BEST_FPERIOD_OVERRIDE=FQ","FILING_STATUS=OR","EQY_CONSOLIDATED=Y","Sort=A","Dates=H","DateFormat=P","Fill=—","Direction=H","UseDPDF=Y")</f>
        <v>#NAME?</v>
      </c>
      <c r="BD300" s="2" t="e">
        <f ca="1">_xll.BDH($C$278,"GEO_GROW_BOOK_VAL","FQ2 2018","FQ2 2018","Currency=INR","Period=FQ","BEST_FPERIOD_OVERRIDE=FQ","FILING_STATUS=OR","EQY_CONSOLIDATED=Y","Sort=A","Dates=H","DateFormat=P","Fill=—","Direction=H","UseDPDF=Y")</f>
        <v>#NAME?</v>
      </c>
      <c r="BE300" s="2" t="e">
        <f ca="1">_xll.BDH($C$278,"GEO_GROW_CASH_OPER_ACT","FQ2 2018","FQ2 2018","Currency=INR","Period=FQ","BEST_FPERIOD_OVERRIDE=FQ","FILING_STATUS=OR","EQY_CONSOLIDATED=Y","Sort=A","Dates=H","DateFormat=P","Fill=—","Direction=H","UseDPDF=Y")</f>
        <v>#NAME?</v>
      </c>
      <c r="BF300" s="2" t="e">
        <f ca="1">_xll.BDH($C$278,"REVENUE_SEQUENTIAL_GROWTH","FQ2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00" s="2" t="e">
        <f ca="1">_xll.BDH($C$278,"EBITDA_SEQUENTIAL_GROWTH","FQ2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00" s="2" t="e">
        <f ca="1">_xll.BDH($C$278,"OPERATING_INCOME_SEQ_GROWTH","FQ2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00" s="2" t="e">
        <f ca="1">_xll.BDH($C$278,"NET_INCOME_TO_COMMON_SEQ_GROWTH","FQ2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00" s="2" t="e">
        <f ca="1">_xll.BDH($C$278,"EPS_DILUTED_SEQUENTIAL_GROWTH","FQ2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00" s="2" t="e">
        <f ca="1">_xll.BDH($C$278,"DPS_SEQUENTIAL_GROWTH","FQ2 2018","FQ2 2018","Currency=INR","Period=FQ","BEST_FPERIOD_OVERRIDE=FQ","FILING_STATUS=OR","EQY_CONSOLIDATED=Y","Sort=A","Dates=H","DateFormat=P","Fill=—","Direction=H","UseDPDF=Y")</f>
        <v>#NAME?</v>
      </c>
      <c r="BL300" s="2" t="e">
        <f ca="1">_xll.BDH($C$278,"ACCOUNTS_RECEIVABLE_SEQ_GROWTH","FQ2 2018","FQ2 2018","Currency=INR","Period=FQ","BEST_FPERIOD_OVERRIDE=FQ","FILING_STATUS=OR","EQY_CONSOLIDATED=Y","Sort=A","Dates=H","DateFormat=P","Fill=—","Direction=H","UseDPDF=Y")</f>
        <v>#NAME?</v>
      </c>
      <c r="BM300" s="2" t="e">
        <f ca="1">_xll.BDH($C$278,"INVENTORY_SEQUENTIAL_GROWTH","FQ2 2018","FQ2 2018","Currency=INR","Period=FQ","BEST_FPERIOD_OVERRIDE=FQ","FILING_STATUS=OR","EQY_CONSOLIDATED=Y","Sort=A","Dates=H","DateFormat=P","Fill=—","Direction=H","UseDPDF=Y")</f>
        <v>#NAME?</v>
      </c>
      <c r="BN300" s="2" t="e">
        <f ca="1">_xll.BDH($C$278,"FIXED_ASSETS_SEQUENTIAL_GROWTH","FQ2 2018","FQ2 2018","Currency=INR","Period=FQ","BEST_FPERIOD_OVERRIDE=FQ","FILING_STATUS=OR","EQY_CONSOLIDATED=Y","Sort=A","Dates=H","DateFormat=P","Fill=—","Direction=H","UseDPDF=Y")</f>
        <v>#NAME?</v>
      </c>
      <c r="BO300" s="2" t="e">
        <f ca="1">_xll.BDH($C$278,"TOTAL_ASSETS_SEQUENTIAL_GROWTH","FQ2 2018","FQ2 2018","Currency=INR","Period=FQ","BEST_FPERIOD_OVERRIDE=FQ","FILING_STATUS=OR","EQY_CONSOLIDATED=Y","Sort=A","Dates=H","DateFormat=P","Fill=—","Direction=H","UseDPDF=Y")</f>
        <v>#NAME?</v>
      </c>
      <c r="BP300" s="2" t="e">
        <f ca="1">_xll.BDH($C$278,"MODIFIED_WORKING_CPTL_SEQ_GRWTH","FQ2 2018","FQ2 2018","Currency=INR","Period=FQ","BEST_FPERIOD_OVERRIDE=FQ","FILING_STATUS=OR","EQY_CONSOLIDATED=Y","Sort=A","Dates=H","DateFormat=P","Fill=—","Direction=H","UseDPDF=Y")</f>
        <v>#NAME?</v>
      </c>
      <c r="BQ300" s="2" t="e">
        <f ca="1">_xll.BDH($C$278,"WORKING_CAPITAL_SEQ_GROWTH","FQ2 2018","FQ2 2018","Currency=INR","Period=FQ","BEST_FPERIOD_OVERRIDE=FQ","FILING_STATUS=OR","EQY_CONSOLIDATED=Y","Sort=A","Dates=H","DateFormat=P","Fill=—","Direction=H","UseDPDF=Y")</f>
        <v>#NAME?</v>
      </c>
      <c r="BR300" s="2" t="e">
        <f ca="1">_xll.BDH($C$278,"ACCOUNTS_PAYABLE_SEQ_GROWTH","FQ2 2018","FQ2 2018","Currency=INR","Period=FQ","BEST_FPERIOD_OVERRIDE=FQ","FILING_STATUS=OR","EQY_CONSOLIDATED=Y","Sort=A","Dates=H","DateFormat=P","Fill=—","Direction=H","UseDPDF=Y")</f>
        <v>#NAME?</v>
      </c>
      <c r="BS300" s="2" t="e">
        <f ca="1">_xll.BDH($C$278,"ST_DEBT_SEQUENTIAL_GROWTH","FQ2 2018","FQ2 2018","Currency=INR","Period=FQ","BEST_FPERIOD_OVERRIDE=FQ","FILING_STATUS=OR","EQY_CONSOLIDATED=Y","Sort=A","Dates=H","DateFormat=P","Fill=—","Direction=H","UseDPDF=Y")</f>
        <v>#NAME?</v>
      </c>
      <c r="BT300" s="2" t="e">
        <f ca="1">_xll.BDH($C$278,"TOTAL_DEBT_SEQUENTIAL_GROWTH","FQ2 2018","FQ2 2018","Currency=INR","Period=FQ","BEST_FPERIOD_OVERRIDE=FQ","FILING_STATUS=OR","EQY_CONSOLIDATED=Y","Sort=A","Dates=H","DateFormat=P","Fill=—","Direction=H","UseDPDF=Y")</f>
        <v>#NAME?</v>
      </c>
      <c r="BU300" s="2" t="e">
        <f ca="1">_xll.BDH($C$278,"TOTAL_EQUITY_SEQUENTIAL_GROWTH","FQ2 2018","FQ2 2018","Currency=INR","Period=FQ","BEST_FPERIOD_OVERRIDE=FQ","FILING_STATUS=OR","EQY_CONSOLIDATED=Y","Sort=A","Dates=H","DateFormat=P","Fill=—","Direction=H","UseDPDF=Y")</f>
        <v>#NAME?</v>
      </c>
      <c r="BV300" s="2" t="e">
        <f ca="1">_xll.BDH($C$278,"TOTAL_CAPITAL_SEQUENTIAL_GROWTH","FQ2 2018","FQ2 2018","Currency=INR","Period=FQ","BEST_FPERIOD_OVERRIDE=FQ","FILING_STATUS=OR","EQY_CONSOLIDATED=Y","Sort=A","Dates=H","DateFormat=P","Fill=—","Direction=H","UseDPDF=Y")</f>
        <v>#NAME?</v>
      </c>
      <c r="BW300" s="2" t="e">
        <f ca="1">_xll.BDH($C$278,"BPS_SEQUENTIAL_GROWTH","FQ2 2018","FQ2 2018","Currency=INR","Period=FQ","BEST_FPERIOD_OVERRIDE=FQ","FILING_STATUS=OR","EQY_CONSOLIDATED=Y","Sort=A","Dates=H","DateFormat=P","Fill=—","Direction=H","UseDPDF=Y")</f>
        <v>#NAME?</v>
      </c>
      <c r="BX300" s="2" t="e">
        <f ca="1">_xll.BDH($C$278,"CFO_SEQUENTIAL_GROWTH","FQ2 2018","FQ2 2018","Currency=INR","Period=FQ","BEST_FPERIOD_OVERRIDE=FQ","FILING_STATUS=OR","EQY_CONSOLIDATED=Y","Sort=A","Dates=H","DateFormat=P","Fill=—","Direction=H","UseDPDF=Y")</f>
        <v>#NAME?</v>
      </c>
      <c r="BY300" s="3" t="e">
        <f ca="1">_xll.BDH($C$278,"SHORT_AND_LONG_TERM_DEBT","FQ2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00" s="3" t="e">
        <f ca="1">_xll.BDH($C$278,"BS_ST_BORROW","FQ2 2018","FQ2 2018","Currency=INR","Period=FQ","BEST_FPERIOD_OVERRIDE=FQ","FILING_STATUS=OR","EQY_CONSOLIDATED=Y","SCALING_FORMAT=MLN","Sort=A","Dates=H","DateFormat=P","Fill=—","Direction=H","UseDPDF=Y")</f>
        <v>#NAME?</v>
      </c>
      <c r="CA300" s="3" t="e">
        <f ca="1">_xll.BDH($C$278,"BS_LT_BORROW","FQ2 2018","FQ2 2018","Currency=INR","Period=FQ","BEST_FPERIOD_OVERRIDE=FQ","FILING_STATUS=OR","EQY_CONSOLIDATED=Y","SCALING_FORMAT=MLN","Sort=A","Dates=H","DateFormat=P","Fill=—","Direction=H","UseDPDF=Y")</f>
        <v>#NAME?</v>
      </c>
      <c r="CB300" s="2" t="e">
        <f ca="1">_xll.BDH($C$278,"TOT_DEBT_TO_EBITDA","FQ2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00" s="2" t="e">
        <f ca="1">_xll.BDH($C$278,"NET_DEBT_TO_EBITDA","FQ2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00" s="2" t="e">
        <f ca="1">_xll.BDH($C$278,"TOTAL_DEBT_TO_EBIT","FQ2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00" s="2" t="e">
        <f ca="1">_xll.BDH($C$278,"NET_DEBT_TO_EBIT","FQ2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00" s="2" t="e">
        <f ca="1">_xll.BDH($C$278,"EBITDA_TO_INTEREST_EXPN","FQ2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00" s="2" t="e">
        <f ca="1">_xll.BDH($C$278,"COM_EQY_TO_TOT_ASSET","FQ2 2018","FQ2 2018","Currency=INR","Period=FQ","BEST_FPERIOD_OVERRIDE=FQ","FILING_STATUS=OR","EQY_CONSOLIDATED=Y","Sort=A","Dates=H","DateFormat=P","Fill=—","Direction=H","UseDPDF=Y")</f>
        <v>#NAME?</v>
      </c>
      <c r="CH300" s="2" t="e">
        <f ca="1">_xll.BDH($C$278,"LT_DEBT_TO_TOT_EQY","FQ2 2018","FQ2 2018","Currency=INR","Period=FQ","BEST_FPERIOD_OVERRIDE=FQ","FILING_STATUS=OR","EQY_CONSOLIDATED=Y","Sort=A","Dates=H","DateFormat=P","Fill=—","Direction=H","UseDPDF=Y")</f>
        <v>#NAME?</v>
      </c>
      <c r="CI300" s="2" t="e">
        <f ca="1">_xll.BDH($C$278,"LT_DEBT_TO_TOT_CAP","FQ2 2018","FQ2 2018","Currency=INR","Period=FQ","BEST_FPERIOD_OVERRIDE=FQ","FILING_STATUS=OR","EQY_CONSOLIDATED=Y","Sort=A","Dates=H","DateFormat=P","Fill=—","Direction=H","UseDPDF=Y")</f>
        <v>#NAME?</v>
      </c>
      <c r="CJ300" s="2" t="e">
        <f ca="1">_xll.BDH($C$278,"LT_DEBT_TO_TOT_ASSET","FQ2 2018","FQ2 2018","Currency=INR","Period=FQ","BEST_FPERIOD_OVERRIDE=FQ","FILING_STATUS=OR","EQY_CONSOLIDATED=Y","Sort=A","Dates=H","DateFormat=P","Fill=—","Direction=H","UseDPDF=Y")</f>
        <v>#NAME?</v>
      </c>
      <c r="CK300" s="2" t="e">
        <f ca="1">_xll.BDH($C$278,"TOT_DEBT_TO_TOT_EQY","FQ2 2018","FQ2 2018","Currency=INR","Period=FQ","BEST_FPERIOD_OVERRIDE=FQ","FILING_STATUS=OR","EQY_CONSOLIDATED=Y","Sort=A","Dates=H","DateFormat=P","Fill=—","Direction=H","UseDPDF=Y")</f>
        <v>#NAME?</v>
      </c>
      <c r="CL300" s="2" t="e">
        <f ca="1">_xll.BDH($C$278,"TOT_DEBT_TO_TOT_CAP","FQ2 2018","FQ2 2018","Currency=INR","Period=FQ","BEST_FPERIOD_OVERRIDE=FQ","FILING_STATUS=OR","EQY_CONSOLIDATED=Y","Sort=A","Dates=H","DateFormat=P","Fill=—","Direction=H","UseDPDF=Y")</f>
        <v>#NAME?</v>
      </c>
      <c r="CM300" s="2" t="e">
        <f ca="1">_xll.BDH($C$278,"TOT_DEBT_TO_TOT_ASSET","FQ2 2018","FQ2 2018","Currency=INR","Period=FQ","BEST_FPERIOD_OVERRIDE=FQ","FILING_STATUS=OR","EQY_CONSOLIDATED=Y","Sort=A","Dates=H","DateFormat=P","Fill=—","Direction=H","UseDPDF=Y")</f>
        <v>#NAME?</v>
      </c>
      <c r="CN300" s="2" t="e">
        <f ca="1">_xll.BDH($C$278,"NET_DEBT_TO_SHRHLDR_EQTY","FQ2 2018","FQ2 2018","Currency=INR","Period=FQ","BEST_FPERIOD_OVERRIDE=FQ","FILING_STATUS=OR","EQY_CONSOLIDATED=Y","Sort=A","Dates=H","DateFormat=P","Fill=—","Direction=H","UseDPDF=Y")</f>
        <v>#NAME?</v>
      </c>
      <c r="CO300" s="2" t="e">
        <f ca="1">_xll.BDH($C$278,"NET_DEBT_%_CAPITAL","FQ2 2018","FQ2 2018","Currency=INR","Period=FQ","BEST_FPERIOD_OVERRIDE=FQ","FILING_STATUS=OR","EQY_CONSOLIDATED=Y","Sort=A","Dates=H","DateFormat=P","Fill=—","Direction=H","UseDPDF=Y")</f>
        <v>#NAME?</v>
      </c>
      <c r="CP300" s="3" t="e">
        <f ca="1">_xll.BDH($C$278,"EBITDA","FQ2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00" s="3" t="e">
        <f ca="1">_xll.BDH($C$278,"EBITDA_AFTER_CAPEX","FQ2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00" s="3" t="e">
        <f ca="1">_xll.BDH($C$278,"IS_OPER_INC","FQ2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00" s="2" t="e">
        <f ca="1">_xll.BDH($C$278,"CASH_RATIO","FQ2 2018","FQ2 2018","Currency=INR","Period=FQ","BEST_FPERIOD_OVERRIDE=FQ","FILING_STATUS=OR","EQY_CONSOLIDATED=Y","Sort=A","Dates=H","DateFormat=P","Fill=—","Direction=H","UseDPDF=Y")</f>
        <v>#NAME?</v>
      </c>
      <c r="CT300" s="2" t="e">
        <f ca="1">_xll.BDH($C$278,"CUR_RATIO","FQ2 2018","FQ2 2018","Currency=INR","Period=FQ","BEST_FPERIOD_OVERRIDE=FQ","FILING_STATUS=OR","EQY_CONSOLIDATED=Y","Sort=A","Dates=H","DateFormat=P","Fill=—","Direction=H","UseDPDF=Y")</f>
        <v>#NAME?</v>
      </c>
      <c r="CU300" s="2" t="e">
        <f ca="1">_xll.BDH($C$278,"QUICK_RATIO","FQ2 2018","FQ2 2018","Currency=INR","Period=FQ","BEST_FPERIOD_OVERRIDE=FQ","FILING_STATUS=OR","EQY_CONSOLIDATED=Y","Sort=A","Dates=H","DateFormat=P","Fill=—","Direction=H","UseDPDF=Y")</f>
        <v>#NAME?</v>
      </c>
      <c r="CV300" s="2" t="e">
        <f ca="1">_xll.BDH($C$278,"ALTMAN_Z_SCORE","FQ2 2018","FQ2 2018","Currency=INR","Period=FQ","BEST_FPERIOD_OVERRIDE=FQ","FILING_STATUS=OR","EQY_CONSOLIDATED=Y","Sort=A","Dates=H","DateFormat=P","Fill=—","Direction=H","UseDPDF=Y")</f>
        <v>#NAME?</v>
      </c>
      <c r="CW300" s="4" t="e">
        <f ca="1">_xll.BDH($C$278,"ACCT_RCV_TURN","FQ2 2018","FQ2 2018","Currency=INR","Period=FQ","BEST_FPERIOD_OVERRIDE=FQ","FILING_STATUS=OR","EQY_CONSOLIDATED=Y","FA_ADJUSTED=GAAP","Sort=A","Dates=H","DateFormat=P","Fill=—","Direction=H","UseDPDF=Y")</f>
        <v>#NAME?</v>
      </c>
      <c r="CX300" s="2" t="e">
        <f ca="1">_xll.BDH($C$278,"ACCT_RCV_DAYS","FQ2 2018","FQ2 2018","Currency=INR","Period=FQ","BEST_FPERIOD_OVERRIDE=FQ","FILING_STATUS=OR","EQY_CONSOLIDATED=Y","FA_ADJUSTED=GAAP","Sort=A","Dates=H","DateFormat=P","Fill=—","Direction=H","UseDPDF=Y")</f>
        <v>#NAME?</v>
      </c>
      <c r="CY300" s="4" t="e">
        <f ca="1">_xll.BDH($C$278,"INVENT_TURN","FQ2 2018","FQ2 2018","Currency=INR","Period=FQ","BEST_FPERIOD_OVERRIDE=FQ","FILING_STATUS=OR","EQY_CONSOLIDATED=Y","FA_ADJUSTED=GAAP","Sort=A","Dates=H","DateFormat=P","Fill=—","Direction=H","UseDPDF=Y")</f>
        <v>#NAME?</v>
      </c>
      <c r="CZ300" s="2" t="e">
        <f ca="1">_xll.BDH($C$278,"INVENT_DAYS","FQ2 2018","FQ2 2018","Currency=INR","Period=FQ","BEST_FPERIOD_OVERRIDE=FQ","FILING_STATUS=OR","EQY_CONSOLIDATED=Y","FA_ADJUSTED=GAAP","Sort=A","Dates=H","DateFormat=P","Fill=—","Direction=H","UseDPDF=Y")</f>
        <v>#NAME?</v>
      </c>
      <c r="DA300" s="4" t="e">
        <f ca="1">_xll.BDH($C$278,"ACCOUNTS_PAYABLE_TURNOVER","FQ2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00" s="2" t="e">
        <f ca="1">_xll.BDH($C$278,"ACCOUNTS_PAYABLE_TURNOVER_DAYS","FQ2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00" s="4" t="e">
        <f ca="1">_xll.BDH($C$278,"CASH_CONVERSION_CYCLE","FQ2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00" s="4" t="e">
        <f ca="1">_xll.BDH($C$278,"INV_TO_CASH_DAYS","FQ2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00" s="5" t="e">
        <f ca="1">_xll.BDH($C$278,"BS_INVENTORIES","FQ2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00" s="3" t="e">
        <f ca="1">_xll.BDH($C$278,"INVTRY_RAW_MATERIALS","FQ2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00" s="3" t="e">
        <f ca="1">_xll.BDH($C$278,"INVTRY_IN_PROGRESS","FQ2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00" s="3" t="e">
        <f ca="1">_xll.BDH($C$278,"INVTRY_FINISHED_GOODS","FQ2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00" s="3" t="e">
        <f ca="1">_xll.BDH($C$278,"BS_OTHER_INV","FQ2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01" spans="1:113" x14ac:dyDescent="0.3">
      <c r="A301" s="6"/>
      <c r="B301" s="6"/>
      <c r="C301" s="6"/>
      <c r="D301" s="6"/>
      <c r="E301" t="s">
        <v>80</v>
      </c>
      <c r="F301" t="e">
        <f ca="1">_xll.BDH($C$278,"RETURN_COM_EQY","FQ3 2018","FQ3 2018","Currency=INR","Period=FQ","BEST_FPERIOD_OVERRIDE=FQ","FILING_STATUS=OR","EQY_CONSOLIDATED=Y","FA_ADJUSTED=GAAP","Sort=A","Dates=H","DateFormat=P","Fill=—","Direction=H","UseDPDF=Y")</f>
        <v>#NAME?</v>
      </c>
      <c r="G301" t="e">
        <f ca="1">_xll.BDH($C$278,"RETURN_ON_ASSET","FQ3 2018","FQ3 2018","Currency=INR","Period=FQ","BEST_FPERIOD_OVERRIDE=FQ","FILING_STATUS=OR","EQY_CONSOLIDATED=Y","FA_ADJUSTED=GAAP","Sort=A","Dates=H","DateFormat=P","Fill=—","Direction=H","UseDPDF=Y")</f>
        <v>#NAME?</v>
      </c>
      <c r="H301" t="e">
        <f ca="1">_xll.BDH($C$278,"RETURN_ON_CAP","FQ3 2018","FQ3 2018","Currency=INR","Period=FQ","BEST_FPERIOD_OVERRIDE=FQ","FILING_STATUS=OR","EQY_CONSOLIDATED=Y","FA_ADJUSTED=GAAP","Sort=A","Dates=H","DateFormat=P","Fill=—","Direction=H","UseDPDF=Y")</f>
        <v>#NAME?</v>
      </c>
      <c r="I301" t="e">
        <f ca="1">_xll.BDH($C$278,"RETURN_ON_INV_CAPITAL","FQ3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01" t="e">
        <f ca="1">_xll.BDH($C$278,"EBITDA_TO_REVENUE","FQ3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01" t="e">
        <f ca="1">_xll.BDH($C$278,"OPER_MARGIN","FQ3 2018","FQ3 2018","Currency=INR","Period=FQ","BEST_FPERIOD_OVERRIDE=FQ","FILING_STATUS=OR","EQY_CONSOLIDATED=Y","FA_ADJUSTED=GAAP","Sort=A","Dates=H","DateFormat=P","Fill=—","Direction=H","UseDPDF=Y")</f>
        <v>#NAME?</v>
      </c>
      <c r="L301" t="e">
        <f ca="1">_xll.BDH($C$278,"INCREMENTAL_OPERATING_MARGIN","FQ3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01" t="e">
        <f ca="1">_xll.BDH($C$278,"PRETAX_INC_TO_NET_SALES","FQ3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01" t="e">
        <f ca="1">_xll.BDH($C$278,"INC_BEF_XO_ITEMS_TO_NET_SALES","FQ3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01" t="e">
        <f ca="1">_xll.BDH($C$278,"PROF_MARGIN","FQ3 2018","FQ3 2018","Currency=INR","Period=FQ","BEST_FPERIOD_OVERRIDE=FQ","FILING_STATUS=OR","EQY_CONSOLIDATED=Y","FA_ADJUSTED=GAAP","Sort=A","Dates=H","DateFormat=P","Fill=—","Direction=H","UseDPDF=Y")</f>
        <v>#NAME?</v>
      </c>
      <c r="P301" t="e">
        <f ca="1">_xll.BDH($C$278,"NET_INCOME_TO_COMMON_MARGIN","FQ3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01" t="e">
        <f ca="1">_xll.BDH($C$278,"EFF_TAX_RATE","FQ3 2018","FQ3 2018","Currency=INR","Period=FQ","BEST_FPERIOD_OVERRIDE=FQ","FILING_STATUS=OR","EQY_CONSOLIDATED=Y","FA_ADJUSTED=GAAP","Sort=A","Dates=H","DateFormat=P","Fill=—","Direction=H","UseDPDF=Y")</f>
        <v>#NAME?</v>
      </c>
      <c r="R301" t="e">
        <f ca="1">_xll.BDH($C$278,"DVD_PAYOUT_RATIO","FQ3 2018","FQ3 2018","Currency=INR","Period=FQ","BEST_FPERIOD_OVERRIDE=FQ","FILING_STATUS=OR","EQY_CONSOLIDATED=Y","FA_ADJUSTED=GAAP","Sort=A","Dates=H","DateFormat=P","Fill=—","Direction=H","UseDPDF=Y")</f>
        <v>#NAME?</v>
      </c>
      <c r="S301" t="e">
        <f ca="1">_xll.BDH($C$278,"SUSTAIN_GROWTH_RT","FQ3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01" s="2" t="e">
        <f ca="1">_xll.BDH($C$278,"SALES_GROWTH","FQ3 2018","FQ3 2018","Currency=INR","Period=FQ","BEST_FPERIOD_OVERRIDE=FQ","FILING_STATUS=OR","EQY_CONSOLIDATED=Y","FA_ADJUSTED=GAAP","Sort=A","Dates=H","DateFormat=P","Fill=—","Direction=H","UseDPDF=Y")</f>
        <v>#NAME?</v>
      </c>
      <c r="U301" s="2" t="e">
        <f ca="1">_xll.BDH($C$278,"EBITDA_GROWTH","FQ3 2018","FQ3 2018","Currency=INR","Period=FQ","BEST_FPERIOD_OVERRIDE=FQ","FILING_STATUS=OR","EQY_CONSOLIDATED=Y","FA_ADJUSTED=GAAP","Sort=A","Dates=H","DateFormat=P","Fill=—","Direction=H","UseDPDF=Y")</f>
        <v>#NAME?</v>
      </c>
      <c r="V301" s="2" t="e">
        <f ca="1">_xll.BDH($C$278,"OPER_INC_GROWTH","FQ3 2018","FQ3 2018","Currency=INR","Period=FQ","BEST_FPERIOD_OVERRIDE=FQ","FILING_STATUS=OR","EQY_CONSOLIDATED=Y","FA_ADJUSTED=GAAP","Sort=A","Dates=H","DateFormat=P","Fill=—","Direction=H","UseDPDF=Y")</f>
        <v>#NAME?</v>
      </c>
      <c r="W301" s="2" t="e">
        <f ca="1">_xll.BDH($C$278,"EARN_FOR_COM_GROWTH","FQ3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01" s="2" t="e">
        <f ca="1">_xll.BDH($C$278,"DILUTED_EPS_AFT_XO_ITEMS_GROWTH","FQ3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01" s="2" t="e">
        <f ca="1">_xll.BDH($C$278,"DIVIDEND_PER_SHARE_1_YEAR_GROWTH","FQ3 2018","FQ3 2018","Currency=INR","Period=FQ","BEST_FPERIOD_OVERRIDE=FQ","FILING_STATUS=OR","EQY_CONSOLIDATED=Y","Sort=A","Dates=H","DateFormat=P","Fill=—","Direction=H","UseDPDF=Y")</f>
        <v>#NAME?</v>
      </c>
      <c r="Z301" s="2" t="e">
        <f ca="1">_xll.BDH($C$278,"ACCOUNTS_RECEIVABLE_GROWTH","FQ3 2018","FQ3 2018","Currency=INR","Period=FQ","BEST_FPERIOD_OVERRIDE=FQ","FILING_STATUS=OR","EQY_CONSOLIDATED=Y","Sort=A","Dates=H","DateFormat=P","Fill=—","Direction=H","UseDPDF=Y")</f>
        <v>#NAME?</v>
      </c>
      <c r="AA301" s="2" t="e">
        <f ca="1">_xll.BDH($C$278,"INVENTORY_GROWTH","FQ3 2018","FQ3 2018","Currency=INR","Period=FQ","BEST_FPERIOD_OVERRIDE=FQ","FILING_STATUS=OR","EQY_CONSOLIDATED=Y","Sort=A","Dates=H","DateFormat=P","Fill=—","Direction=H","UseDPDF=Y")</f>
        <v>#NAME?</v>
      </c>
      <c r="AB301" s="2" t="e">
        <f ca="1">_xll.BDH($C$278,"NET_FIXED_ASSETS_1_YEAR_GROWTH","FQ3 2018","FQ3 2018","Currency=INR","Period=FQ","BEST_FPERIOD_OVERRIDE=FQ","FILING_STATUS=OR","EQY_CONSOLIDATED=Y","Sort=A","Dates=H","DateFormat=P","Fill=—","Direction=H","UseDPDF=Y")</f>
        <v>#NAME?</v>
      </c>
      <c r="AC301" s="2" t="e">
        <f ca="1">_xll.BDH($C$278,"ASSET_GROWTH","FQ3 2018","FQ3 2018","Currency=INR","Period=FQ","BEST_FPERIOD_OVERRIDE=FQ","FILING_STATUS=OR","EQY_CONSOLIDATED=Y","Sort=A","Dates=H","DateFormat=P","Fill=—","Direction=H","UseDPDF=Y")</f>
        <v>#NAME?</v>
      </c>
      <c r="AD301" s="2" t="e">
        <f ca="1">_xll.BDH($C$278,"MODIFIED_WORK_CAP_GROWTH","FQ3 2018","FQ3 2018","Currency=INR","Period=FQ","BEST_FPERIOD_OVERRIDE=FQ","FILING_STATUS=OR","EQY_CONSOLIDATED=Y","Sort=A","Dates=H","DateFormat=P","Fill=—","Direction=H","UseDPDF=Y")</f>
        <v>#NAME?</v>
      </c>
      <c r="AE301" s="2" t="e">
        <f ca="1">_xll.BDH($C$278,"WORK_CAP_GROWTH","FQ3 2018","FQ3 2018","Currency=INR","Period=FQ","BEST_FPERIOD_OVERRIDE=FQ","FILING_STATUS=OR","EQY_CONSOLIDATED=Y","Sort=A","Dates=H","DateFormat=P","Fill=—","Direction=H","UseDPDF=Y")</f>
        <v>#NAME?</v>
      </c>
      <c r="AF301" s="2" t="e">
        <f ca="1">_xll.BDH($C$278,"ACCOUNTS_PAYABLE_GROWTH_1YR","FQ3 2018","FQ3 2018","Currency=INR","Period=FQ","BEST_FPERIOD_OVERRIDE=FQ","FILING_STATUS=OR","EQY_CONSOLIDATED=Y","Sort=A","Dates=H","DateFormat=P","Fill=—","Direction=H","UseDPDF=Y")</f>
        <v>#NAME?</v>
      </c>
      <c r="AG301" s="2" t="e">
        <f ca="1">_xll.BDH($C$278,"SHORT_TERM_DEBT_1_YEAR_GROWTH","FQ3 2018","FQ3 2018","Currency=INR","Period=FQ","BEST_FPERIOD_OVERRIDE=FQ","FILING_STATUS=OR","EQY_CONSOLIDATED=Y","Sort=A","Dates=H","DateFormat=P","Fill=—","Direction=H","UseDPDF=Y")</f>
        <v>#NAME?</v>
      </c>
      <c r="AH301" s="2" t="e">
        <f ca="1">_xll.BDH($C$278,"TOTAL_DEBT_1_YEAR_GROWTH","FQ3 2018","FQ3 2018","Currency=INR","Period=FQ","BEST_FPERIOD_OVERRIDE=FQ","FILING_STATUS=OR","EQY_CONSOLIDATED=Y","Sort=A","Dates=H","DateFormat=P","Fill=—","Direction=H","UseDPDF=Y")</f>
        <v>#NAME?</v>
      </c>
      <c r="AI301" s="2" t="e">
        <f ca="1">_xll.BDH($C$278,"TOTAL_EQUITY_1_YEAR_GROWTH","FQ3 2018","FQ3 2018","Currency=INR","Period=FQ","BEST_FPERIOD_OVERRIDE=FQ","FILING_STATUS=OR","EQY_CONSOLIDATED=Y","Sort=A","Dates=H","DateFormat=P","Fill=—","Direction=H","UseDPDF=Y")</f>
        <v>#NAME?</v>
      </c>
      <c r="AJ301" s="2" t="e">
        <f ca="1">_xll.BDH($C$278,"GROWTH_IN_CAP","FQ3 2018","FQ3 2018","Currency=INR","Period=FQ","BEST_FPERIOD_OVERRIDE=FQ","FILING_STATUS=OR","EQY_CONSOLIDATED=Y","Sort=A","Dates=H","DateFormat=P","Fill=—","Direction=H","UseDPDF=Y")</f>
        <v>#NAME?</v>
      </c>
      <c r="AK301" s="2" t="e">
        <f ca="1">_xll.BDH($C$278,"BVPS_GROWTH","FQ3 2018","FQ3 2018","Currency=INR","Period=FQ","BEST_FPERIOD_OVERRIDE=FQ","FILING_STATUS=OR","EQY_CONSOLIDATED=Y","Sort=A","Dates=H","DateFormat=P","Fill=—","Direction=H","UseDPDF=Y")</f>
        <v>#NAME?</v>
      </c>
      <c r="AL301" s="2" t="e">
        <f ca="1">_xll.BDH($C$278,"CASH_FLOW_GROWTH","FQ3 2018","FQ3 2018","Currency=INR","Period=FQ","BEST_FPERIOD_OVERRIDE=FQ","FILING_STATUS=OR","EQY_CONSOLIDATED=Y","Sort=A","Dates=H","DateFormat=P","Fill=—","Direction=H","UseDPDF=Y")</f>
        <v>#NAME?</v>
      </c>
      <c r="AM301" s="2" t="e">
        <f ca="1">_xll.BDH($C$278,"GEO_GROW_NET_SALES","FQ3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01" s="2" t="e">
        <f ca="1">_xll.BDH($C$278,"GEO_GROW_EBITDA","FQ3 2018","FQ3 2018","Currency=INR","Period=FQ","BEST_FPERIOD_OVERRIDE=FQ","FILING_STATUS=OR","EQY_CONSOLIDATED=Y","FA_ADJUSTED=GAAP","Sort=A","Dates=H","DateFormat=P","Fill=—","Direction=H","UseDPDF=Y")</f>
        <v>#NAME?</v>
      </c>
      <c r="AO301" s="2" t="e">
        <f ca="1">_xll.BDH($C$278,"GEO_GROW_OPER_INC","FQ3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01" s="2" t="e">
        <f ca="1">_xll.BDH($C$278,"NET_INCOME_TO_COMMON_5_YR_GROWTH","FQ3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01" s="2" t="e">
        <f ca="1">_xll.BDH($C$278,"5Y_GEO_GROWTH_DILUTED_EPS","FQ3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01" s="2" t="e">
        <f ca="1">_xll.BDH($C$278,"GEO_GROW_DVD_PER_SH","FQ3 2018","FQ3 2018","Currency=INR","Period=FQ","BEST_FPERIOD_OVERRIDE=FQ","FILING_STATUS=OR","EQY_CONSOLIDATED=Y","Sort=A","Dates=H","DateFormat=P","Fill=—","Direction=H","UseDPDF=Y")</f>
        <v>#NAME?</v>
      </c>
      <c r="AS301" s="2" t="e">
        <f ca="1">_xll.BDH($C$278,"ACCOUNTS_RECEIVABLE_5_YR_GROWTH","FQ3 2018","FQ3 2018","Currency=INR","Period=FQ","BEST_FPERIOD_OVERRIDE=FQ","FILING_STATUS=OR","EQY_CONSOLIDATED=Y","Sort=A","Dates=H","DateFormat=P","Fill=—","Direction=H","UseDPDF=Y")</f>
        <v>#NAME?</v>
      </c>
      <c r="AT301" s="2" t="e">
        <f ca="1">_xll.BDH($C$278,"INVENTORY_5_YEAR_GROWTH","FQ3 2018","FQ3 2018","Currency=INR","Period=FQ","BEST_FPERIOD_OVERRIDE=FQ","FILING_STATUS=OR","EQY_CONSOLIDATED=Y","Sort=A","Dates=H","DateFormat=P","Fill=—","Direction=H","UseDPDF=Y")</f>
        <v>#NAME?</v>
      </c>
      <c r="AU301" s="2" t="e">
        <f ca="1">_xll.BDH($C$278,"NET_FIXED_ASSETS_5_YEAR_GROWTH","FQ3 2018","FQ3 2018","Currency=INR","Period=FQ","BEST_FPERIOD_OVERRIDE=FQ","FILING_STATUS=OR","EQY_CONSOLIDATED=Y","Sort=A","Dates=H","DateFormat=P","Fill=—","Direction=H","UseDPDF=Y")</f>
        <v>#NAME?</v>
      </c>
      <c r="AV301" s="2" t="e">
        <f ca="1">_xll.BDH($C$278,"GEO_GROW_TOT_ASSET","FQ3 2018","FQ3 2018","Currency=INR","Period=FQ","BEST_FPERIOD_OVERRIDE=FQ","FILING_STATUS=OR","EQY_CONSOLIDATED=Y","Sort=A","Dates=H","DateFormat=P","Fill=—","Direction=H","UseDPDF=Y")</f>
        <v>#NAME?</v>
      </c>
      <c r="AW301" s="2" t="e">
        <f ca="1">_xll.BDH($C$278,"MODIFIED_WORKING_CPTL_5YR_GRWTH","FQ3 2018","FQ3 2018","Currency=INR","Period=FQ","BEST_FPERIOD_OVERRIDE=FQ","FILING_STATUS=OR","EQY_CONSOLIDATED=Y","Sort=A","Dates=H","DateFormat=P","Fill=—","Direction=H","UseDPDF=Y")</f>
        <v>#NAME?</v>
      </c>
      <c r="AX301" s="2" t="e">
        <f ca="1">_xll.BDH($C$278,"WORKING_CAPITAL_5_YEAR_GROWTH","FQ3 2018","FQ3 2018","Currency=INR","Period=FQ","BEST_FPERIOD_OVERRIDE=FQ","FILING_STATUS=OR","EQY_CONSOLIDATED=Y","Sort=A","Dates=H","DateFormat=P","Fill=—","Direction=H","UseDPDF=Y")</f>
        <v>#NAME?</v>
      </c>
      <c r="AY301" s="2" t="e">
        <f ca="1">_xll.BDH($C$278,"ACCOUNTS_PAYABLE_5_YEAR_GROWTH","FQ3 2018","FQ3 2018","Currency=INR","Period=FQ","BEST_FPERIOD_OVERRIDE=FQ","FILING_STATUS=OR","EQY_CONSOLIDATED=Y","Sort=A","Dates=H","DateFormat=P","Fill=—","Direction=H","UseDPDF=Y")</f>
        <v>#NAME?</v>
      </c>
      <c r="AZ301" s="2" t="e">
        <f ca="1">_xll.BDH($C$278,"SHORT_TERM_DEBT_5_YEAR_GROWTH","FQ3 2018","FQ3 2018","Currency=INR","Period=FQ","BEST_FPERIOD_OVERRIDE=FQ","FILING_STATUS=OR","EQY_CONSOLIDATED=Y","Sort=A","Dates=H","DateFormat=P","Fill=—","Direction=H","UseDPDF=Y")</f>
        <v>#NAME?</v>
      </c>
      <c r="BA301" s="2" t="e">
        <f ca="1">_xll.BDH($C$278,"TOTAL_DEBT_5_YEAR_GROWTH","FQ3 2018","FQ3 2018","Currency=INR","Period=FQ","BEST_FPERIOD_OVERRIDE=FQ","FILING_STATUS=OR","EQY_CONSOLIDATED=Y","Sort=A","Dates=H","DateFormat=P","Fill=—","Direction=H","UseDPDF=Y")</f>
        <v>#NAME?</v>
      </c>
      <c r="BB301" s="2" t="e">
        <f ca="1">_xll.BDH($C$278,"GEO_GROW_TOT_SHRHLDR_EQY","FQ3 2018","FQ3 2018","Currency=INR","Period=FQ","BEST_FPERIOD_OVERRIDE=FQ","FILING_STATUS=OR","EQY_CONSOLIDATED=Y","Sort=A","Dates=H","DateFormat=P","Fill=—","Direction=H","UseDPDF=Y")</f>
        <v>#NAME?</v>
      </c>
      <c r="BC301" s="2" t="e">
        <f ca="1">_xll.BDH($C$278,"TOTAL_CAPITAL_5_YEAR_GROWTH","FQ3 2018","FQ3 2018","Currency=INR","Period=FQ","BEST_FPERIOD_OVERRIDE=FQ","FILING_STATUS=OR","EQY_CONSOLIDATED=Y","Sort=A","Dates=H","DateFormat=P","Fill=—","Direction=H","UseDPDF=Y")</f>
        <v>#NAME?</v>
      </c>
      <c r="BD301" s="2" t="e">
        <f ca="1">_xll.BDH($C$278,"GEO_GROW_BOOK_VAL","FQ3 2018","FQ3 2018","Currency=INR","Period=FQ","BEST_FPERIOD_OVERRIDE=FQ","FILING_STATUS=OR","EQY_CONSOLIDATED=Y","Sort=A","Dates=H","DateFormat=P","Fill=—","Direction=H","UseDPDF=Y")</f>
        <v>#NAME?</v>
      </c>
      <c r="BE301" s="2" t="e">
        <f ca="1">_xll.BDH($C$278,"GEO_GROW_CASH_OPER_ACT","FQ3 2018","FQ3 2018","Currency=INR","Period=FQ","BEST_FPERIOD_OVERRIDE=FQ","FILING_STATUS=OR","EQY_CONSOLIDATED=Y","Sort=A","Dates=H","DateFormat=P","Fill=—","Direction=H","UseDPDF=Y")</f>
        <v>#NAME?</v>
      </c>
      <c r="BF301" s="2" t="e">
        <f ca="1">_xll.BDH($C$278,"REVENUE_SEQUENTIAL_GROWTH","FQ3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01" s="2" t="e">
        <f ca="1">_xll.BDH($C$278,"EBITDA_SEQUENTIAL_GROWTH","FQ3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01" s="2" t="e">
        <f ca="1">_xll.BDH($C$278,"OPERATING_INCOME_SEQ_GROWTH","FQ3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01" s="2" t="e">
        <f ca="1">_xll.BDH($C$278,"NET_INCOME_TO_COMMON_SEQ_GROWTH","FQ3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01" s="2" t="e">
        <f ca="1">_xll.BDH($C$278,"EPS_DILUTED_SEQUENTIAL_GROWTH","FQ3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01" s="2" t="e">
        <f ca="1">_xll.BDH($C$278,"DPS_SEQUENTIAL_GROWTH","FQ3 2018","FQ3 2018","Currency=INR","Period=FQ","BEST_FPERIOD_OVERRIDE=FQ","FILING_STATUS=OR","EQY_CONSOLIDATED=Y","Sort=A","Dates=H","DateFormat=P","Fill=—","Direction=H","UseDPDF=Y")</f>
        <v>#NAME?</v>
      </c>
      <c r="BL301" s="2" t="e">
        <f ca="1">_xll.BDH($C$278,"ACCOUNTS_RECEIVABLE_SEQ_GROWTH","FQ3 2018","FQ3 2018","Currency=INR","Period=FQ","BEST_FPERIOD_OVERRIDE=FQ","FILING_STATUS=OR","EQY_CONSOLIDATED=Y","Sort=A","Dates=H","DateFormat=P","Fill=—","Direction=H","UseDPDF=Y")</f>
        <v>#NAME?</v>
      </c>
      <c r="BM301" s="2" t="e">
        <f ca="1">_xll.BDH($C$278,"INVENTORY_SEQUENTIAL_GROWTH","FQ3 2018","FQ3 2018","Currency=INR","Period=FQ","BEST_FPERIOD_OVERRIDE=FQ","FILING_STATUS=OR","EQY_CONSOLIDATED=Y","Sort=A","Dates=H","DateFormat=P","Fill=—","Direction=H","UseDPDF=Y")</f>
        <v>#NAME?</v>
      </c>
      <c r="BN301" s="2" t="e">
        <f ca="1">_xll.BDH($C$278,"FIXED_ASSETS_SEQUENTIAL_GROWTH","FQ3 2018","FQ3 2018","Currency=INR","Period=FQ","BEST_FPERIOD_OVERRIDE=FQ","FILING_STATUS=OR","EQY_CONSOLIDATED=Y","Sort=A","Dates=H","DateFormat=P","Fill=—","Direction=H","UseDPDF=Y")</f>
        <v>#NAME?</v>
      </c>
      <c r="BO301" s="2" t="e">
        <f ca="1">_xll.BDH($C$278,"TOTAL_ASSETS_SEQUENTIAL_GROWTH","FQ3 2018","FQ3 2018","Currency=INR","Period=FQ","BEST_FPERIOD_OVERRIDE=FQ","FILING_STATUS=OR","EQY_CONSOLIDATED=Y","Sort=A","Dates=H","DateFormat=P","Fill=—","Direction=H","UseDPDF=Y")</f>
        <v>#NAME?</v>
      </c>
      <c r="BP301" s="2" t="e">
        <f ca="1">_xll.BDH($C$278,"MODIFIED_WORKING_CPTL_SEQ_GRWTH","FQ3 2018","FQ3 2018","Currency=INR","Period=FQ","BEST_FPERIOD_OVERRIDE=FQ","FILING_STATUS=OR","EQY_CONSOLIDATED=Y","Sort=A","Dates=H","DateFormat=P","Fill=—","Direction=H","UseDPDF=Y")</f>
        <v>#NAME?</v>
      </c>
      <c r="BQ301" s="2" t="e">
        <f ca="1">_xll.BDH($C$278,"WORKING_CAPITAL_SEQ_GROWTH","FQ3 2018","FQ3 2018","Currency=INR","Period=FQ","BEST_FPERIOD_OVERRIDE=FQ","FILING_STATUS=OR","EQY_CONSOLIDATED=Y","Sort=A","Dates=H","DateFormat=P","Fill=—","Direction=H","UseDPDF=Y")</f>
        <v>#NAME?</v>
      </c>
      <c r="BR301" s="2" t="e">
        <f ca="1">_xll.BDH($C$278,"ACCOUNTS_PAYABLE_SEQ_GROWTH","FQ3 2018","FQ3 2018","Currency=INR","Period=FQ","BEST_FPERIOD_OVERRIDE=FQ","FILING_STATUS=OR","EQY_CONSOLIDATED=Y","Sort=A","Dates=H","DateFormat=P","Fill=—","Direction=H","UseDPDF=Y")</f>
        <v>#NAME?</v>
      </c>
      <c r="BS301" s="2" t="e">
        <f ca="1">_xll.BDH($C$278,"ST_DEBT_SEQUENTIAL_GROWTH","FQ3 2018","FQ3 2018","Currency=INR","Period=FQ","BEST_FPERIOD_OVERRIDE=FQ","FILING_STATUS=OR","EQY_CONSOLIDATED=Y","Sort=A","Dates=H","DateFormat=P","Fill=—","Direction=H","UseDPDF=Y")</f>
        <v>#NAME?</v>
      </c>
      <c r="BT301" s="2" t="e">
        <f ca="1">_xll.BDH($C$278,"TOTAL_DEBT_SEQUENTIAL_GROWTH","FQ3 2018","FQ3 2018","Currency=INR","Period=FQ","BEST_FPERIOD_OVERRIDE=FQ","FILING_STATUS=OR","EQY_CONSOLIDATED=Y","Sort=A","Dates=H","DateFormat=P","Fill=—","Direction=H","UseDPDF=Y")</f>
        <v>#NAME?</v>
      </c>
      <c r="BU301" s="2" t="e">
        <f ca="1">_xll.BDH($C$278,"TOTAL_EQUITY_SEQUENTIAL_GROWTH","FQ3 2018","FQ3 2018","Currency=INR","Period=FQ","BEST_FPERIOD_OVERRIDE=FQ","FILING_STATUS=OR","EQY_CONSOLIDATED=Y","Sort=A","Dates=H","DateFormat=P","Fill=—","Direction=H","UseDPDF=Y")</f>
        <v>#NAME?</v>
      </c>
      <c r="BV301" s="2" t="e">
        <f ca="1">_xll.BDH($C$278,"TOTAL_CAPITAL_SEQUENTIAL_GROWTH","FQ3 2018","FQ3 2018","Currency=INR","Period=FQ","BEST_FPERIOD_OVERRIDE=FQ","FILING_STATUS=OR","EQY_CONSOLIDATED=Y","Sort=A","Dates=H","DateFormat=P","Fill=—","Direction=H","UseDPDF=Y")</f>
        <v>#NAME?</v>
      </c>
      <c r="BW301" s="2" t="e">
        <f ca="1">_xll.BDH($C$278,"BPS_SEQUENTIAL_GROWTH","FQ3 2018","FQ3 2018","Currency=INR","Period=FQ","BEST_FPERIOD_OVERRIDE=FQ","FILING_STATUS=OR","EQY_CONSOLIDATED=Y","Sort=A","Dates=H","DateFormat=P","Fill=—","Direction=H","UseDPDF=Y")</f>
        <v>#NAME?</v>
      </c>
      <c r="BX301" s="2" t="e">
        <f ca="1">_xll.BDH($C$278,"CFO_SEQUENTIAL_GROWTH","FQ3 2018","FQ3 2018","Currency=INR","Period=FQ","BEST_FPERIOD_OVERRIDE=FQ","FILING_STATUS=OR","EQY_CONSOLIDATED=Y","Sort=A","Dates=H","DateFormat=P","Fill=—","Direction=H","UseDPDF=Y")</f>
        <v>#NAME?</v>
      </c>
      <c r="BY301" s="3" t="e">
        <f ca="1">_xll.BDH($C$278,"SHORT_AND_LONG_TERM_DEBT","FQ3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01" s="3" t="e">
        <f ca="1">_xll.BDH($C$278,"BS_ST_BORROW","FQ3 2018","FQ3 2018","Currency=INR","Period=FQ","BEST_FPERIOD_OVERRIDE=FQ","FILING_STATUS=OR","EQY_CONSOLIDATED=Y","SCALING_FORMAT=MLN","Sort=A","Dates=H","DateFormat=P","Fill=—","Direction=H","UseDPDF=Y")</f>
        <v>#NAME?</v>
      </c>
      <c r="CA301" s="3" t="e">
        <f ca="1">_xll.BDH($C$278,"BS_LT_BORROW","FQ3 2018","FQ3 2018","Currency=INR","Period=FQ","BEST_FPERIOD_OVERRIDE=FQ","FILING_STATUS=OR","EQY_CONSOLIDATED=Y","SCALING_FORMAT=MLN","Sort=A","Dates=H","DateFormat=P","Fill=—","Direction=H","UseDPDF=Y")</f>
        <v>#NAME?</v>
      </c>
      <c r="CB301" s="2" t="e">
        <f ca="1">_xll.BDH($C$278,"TOT_DEBT_TO_EBITDA","FQ3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01" s="2" t="e">
        <f ca="1">_xll.BDH($C$278,"NET_DEBT_TO_EBITDA","FQ3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01" s="2" t="e">
        <f ca="1">_xll.BDH($C$278,"TOTAL_DEBT_TO_EBIT","FQ3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01" s="2" t="e">
        <f ca="1">_xll.BDH($C$278,"NET_DEBT_TO_EBIT","FQ3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01" s="2" t="e">
        <f ca="1">_xll.BDH($C$278,"EBITDA_TO_INTEREST_EXPN","FQ3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01" s="2" t="e">
        <f ca="1">_xll.BDH($C$278,"COM_EQY_TO_TOT_ASSET","FQ3 2018","FQ3 2018","Currency=INR","Period=FQ","BEST_FPERIOD_OVERRIDE=FQ","FILING_STATUS=OR","EQY_CONSOLIDATED=Y","Sort=A","Dates=H","DateFormat=P","Fill=—","Direction=H","UseDPDF=Y")</f>
        <v>#NAME?</v>
      </c>
      <c r="CH301" s="2" t="e">
        <f ca="1">_xll.BDH($C$278,"LT_DEBT_TO_TOT_EQY","FQ3 2018","FQ3 2018","Currency=INR","Period=FQ","BEST_FPERIOD_OVERRIDE=FQ","FILING_STATUS=OR","EQY_CONSOLIDATED=Y","Sort=A","Dates=H","DateFormat=P","Fill=—","Direction=H","UseDPDF=Y")</f>
        <v>#NAME?</v>
      </c>
      <c r="CI301" s="2" t="e">
        <f ca="1">_xll.BDH($C$278,"LT_DEBT_TO_TOT_CAP","FQ3 2018","FQ3 2018","Currency=INR","Period=FQ","BEST_FPERIOD_OVERRIDE=FQ","FILING_STATUS=OR","EQY_CONSOLIDATED=Y","Sort=A","Dates=H","DateFormat=P","Fill=—","Direction=H","UseDPDF=Y")</f>
        <v>#NAME?</v>
      </c>
      <c r="CJ301" s="2" t="e">
        <f ca="1">_xll.BDH($C$278,"LT_DEBT_TO_TOT_ASSET","FQ3 2018","FQ3 2018","Currency=INR","Period=FQ","BEST_FPERIOD_OVERRIDE=FQ","FILING_STATUS=OR","EQY_CONSOLIDATED=Y","Sort=A","Dates=H","DateFormat=P","Fill=—","Direction=H","UseDPDF=Y")</f>
        <v>#NAME?</v>
      </c>
      <c r="CK301" s="2" t="e">
        <f ca="1">_xll.BDH($C$278,"TOT_DEBT_TO_TOT_EQY","FQ3 2018","FQ3 2018","Currency=INR","Period=FQ","BEST_FPERIOD_OVERRIDE=FQ","FILING_STATUS=OR","EQY_CONSOLIDATED=Y","Sort=A","Dates=H","DateFormat=P","Fill=—","Direction=H","UseDPDF=Y")</f>
        <v>#NAME?</v>
      </c>
      <c r="CL301" s="2" t="e">
        <f ca="1">_xll.BDH($C$278,"TOT_DEBT_TO_TOT_CAP","FQ3 2018","FQ3 2018","Currency=INR","Period=FQ","BEST_FPERIOD_OVERRIDE=FQ","FILING_STATUS=OR","EQY_CONSOLIDATED=Y","Sort=A","Dates=H","DateFormat=P","Fill=—","Direction=H","UseDPDF=Y")</f>
        <v>#NAME?</v>
      </c>
      <c r="CM301" s="2" t="e">
        <f ca="1">_xll.BDH($C$278,"TOT_DEBT_TO_TOT_ASSET","FQ3 2018","FQ3 2018","Currency=INR","Period=FQ","BEST_FPERIOD_OVERRIDE=FQ","FILING_STATUS=OR","EQY_CONSOLIDATED=Y","Sort=A","Dates=H","DateFormat=P","Fill=—","Direction=H","UseDPDF=Y")</f>
        <v>#NAME?</v>
      </c>
      <c r="CN301" s="2" t="e">
        <f ca="1">_xll.BDH($C$278,"NET_DEBT_TO_SHRHLDR_EQTY","FQ3 2018","FQ3 2018","Currency=INR","Period=FQ","BEST_FPERIOD_OVERRIDE=FQ","FILING_STATUS=OR","EQY_CONSOLIDATED=Y","Sort=A","Dates=H","DateFormat=P","Fill=—","Direction=H","UseDPDF=Y")</f>
        <v>#NAME?</v>
      </c>
      <c r="CO301" s="2" t="e">
        <f ca="1">_xll.BDH($C$278,"NET_DEBT_%_CAPITAL","FQ3 2018","FQ3 2018","Currency=INR","Period=FQ","BEST_FPERIOD_OVERRIDE=FQ","FILING_STATUS=OR","EQY_CONSOLIDATED=Y","Sort=A","Dates=H","DateFormat=P","Fill=—","Direction=H","UseDPDF=Y")</f>
        <v>#NAME?</v>
      </c>
      <c r="CP301" s="3" t="e">
        <f ca="1">_xll.BDH($C$278,"EBITDA","FQ3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01" s="3" t="e">
        <f ca="1">_xll.BDH($C$278,"EBITDA_AFTER_CAPEX","FQ3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01" s="3" t="e">
        <f ca="1">_xll.BDH($C$278,"IS_OPER_INC","FQ3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01" s="2" t="e">
        <f ca="1">_xll.BDH($C$278,"CASH_RATIO","FQ3 2018","FQ3 2018","Currency=INR","Period=FQ","BEST_FPERIOD_OVERRIDE=FQ","FILING_STATUS=OR","EQY_CONSOLIDATED=Y","Sort=A","Dates=H","DateFormat=P","Fill=—","Direction=H","UseDPDF=Y")</f>
        <v>#NAME?</v>
      </c>
      <c r="CT301" s="2" t="e">
        <f ca="1">_xll.BDH($C$278,"CUR_RATIO","FQ3 2018","FQ3 2018","Currency=INR","Period=FQ","BEST_FPERIOD_OVERRIDE=FQ","FILING_STATUS=OR","EQY_CONSOLIDATED=Y","Sort=A","Dates=H","DateFormat=P","Fill=—","Direction=H","UseDPDF=Y")</f>
        <v>#NAME?</v>
      </c>
      <c r="CU301" s="2" t="e">
        <f ca="1">_xll.BDH($C$278,"QUICK_RATIO","FQ3 2018","FQ3 2018","Currency=INR","Period=FQ","BEST_FPERIOD_OVERRIDE=FQ","FILING_STATUS=OR","EQY_CONSOLIDATED=Y","Sort=A","Dates=H","DateFormat=P","Fill=—","Direction=H","UseDPDF=Y")</f>
        <v>#NAME?</v>
      </c>
      <c r="CV301" s="2" t="e">
        <f ca="1">_xll.BDH($C$278,"ALTMAN_Z_SCORE","FQ3 2018","FQ3 2018","Currency=INR","Period=FQ","BEST_FPERIOD_OVERRIDE=FQ","FILING_STATUS=OR","EQY_CONSOLIDATED=Y","Sort=A","Dates=H","DateFormat=P","Fill=—","Direction=H","UseDPDF=Y")</f>
        <v>#NAME?</v>
      </c>
      <c r="CW301" s="4" t="e">
        <f ca="1">_xll.BDH($C$278,"ACCT_RCV_TURN","FQ3 2018","FQ3 2018","Currency=INR","Period=FQ","BEST_FPERIOD_OVERRIDE=FQ","FILING_STATUS=OR","EQY_CONSOLIDATED=Y","FA_ADJUSTED=GAAP","Sort=A","Dates=H","DateFormat=P","Fill=—","Direction=H","UseDPDF=Y")</f>
        <v>#NAME?</v>
      </c>
      <c r="CX301" s="2" t="e">
        <f ca="1">_xll.BDH($C$278,"ACCT_RCV_DAYS","FQ3 2018","FQ3 2018","Currency=INR","Period=FQ","BEST_FPERIOD_OVERRIDE=FQ","FILING_STATUS=OR","EQY_CONSOLIDATED=Y","FA_ADJUSTED=GAAP","Sort=A","Dates=H","DateFormat=P","Fill=—","Direction=H","UseDPDF=Y")</f>
        <v>#NAME?</v>
      </c>
      <c r="CY301" s="4" t="e">
        <f ca="1">_xll.BDH($C$278,"INVENT_TURN","FQ3 2018","FQ3 2018","Currency=INR","Period=FQ","BEST_FPERIOD_OVERRIDE=FQ","FILING_STATUS=OR","EQY_CONSOLIDATED=Y","FA_ADJUSTED=GAAP","Sort=A","Dates=H","DateFormat=P","Fill=—","Direction=H","UseDPDF=Y")</f>
        <v>#NAME?</v>
      </c>
      <c r="CZ301" s="2" t="e">
        <f ca="1">_xll.BDH($C$278,"INVENT_DAYS","FQ3 2018","FQ3 2018","Currency=INR","Period=FQ","BEST_FPERIOD_OVERRIDE=FQ","FILING_STATUS=OR","EQY_CONSOLIDATED=Y","FA_ADJUSTED=GAAP","Sort=A","Dates=H","DateFormat=P","Fill=—","Direction=H","UseDPDF=Y")</f>
        <v>#NAME?</v>
      </c>
      <c r="DA301" s="4" t="e">
        <f ca="1">_xll.BDH($C$278,"ACCOUNTS_PAYABLE_TURNOVER","FQ3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01" s="2" t="e">
        <f ca="1">_xll.BDH($C$278,"ACCOUNTS_PAYABLE_TURNOVER_DAYS","FQ3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01" s="4" t="e">
        <f ca="1">_xll.BDH($C$278,"CASH_CONVERSION_CYCLE","FQ3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01" s="4" t="e">
        <f ca="1">_xll.BDH($C$278,"INV_TO_CASH_DAYS","FQ3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01" s="5" t="e">
        <f ca="1">_xll.BDH($C$278,"BS_INVENTORIES","FQ3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01" s="3" t="e">
        <f ca="1">_xll.BDH($C$278,"INVTRY_RAW_MATERIALS","FQ3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01" s="3" t="e">
        <f ca="1">_xll.BDH($C$278,"INVTRY_IN_PROGRESS","FQ3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01" s="3" t="e">
        <f ca="1">_xll.BDH($C$278,"INVTRY_FINISHED_GOODS","FQ3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01" s="3" t="e">
        <f ca="1">_xll.BDH($C$278,"BS_OTHER_INV","FQ3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02" spans="1:113" x14ac:dyDescent="0.3">
      <c r="A302" s="6"/>
      <c r="B302" s="6"/>
      <c r="C302" s="6"/>
      <c r="D302" s="6"/>
      <c r="E302" t="s">
        <v>81</v>
      </c>
      <c r="F302" t="e">
        <f ca="1">_xll.BDH($C$278,"RETURN_COM_EQY","FQ4 2018","FQ4 2018","Currency=INR","Period=FQ","BEST_FPERIOD_OVERRIDE=FQ","FILING_STATUS=OR","EQY_CONSOLIDATED=Y","FA_ADJUSTED=GAAP","Sort=A","Dates=H","DateFormat=P","Fill=—","Direction=H","UseDPDF=Y")</f>
        <v>#NAME?</v>
      </c>
      <c r="G302" t="e">
        <f ca="1">_xll.BDH($C$278,"RETURN_ON_ASSET","FQ4 2018","FQ4 2018","Currency=INR","Period=FQ","BEST_FPERIOD_OVERRIDE=FQ","FILING_STATUS=OR","EQY_CONSOLIDATED=Y","FA_ADJUSTED=GAAP","Sort=A","Dates=H","DateFormat=P","Fill=—","Direction=H","UseDPDF=Y")</f>
        <v>#NAME?</v>
      </c>
      <c r="H302" t="e">
        <f ca="1">_xll.BDH($C$278,"RETURN_ON_CAP","FQ4 2018","FQ4 2018","Currency=INR","Period=FQ","BEST_FPERIOD_OVERRIDE=FQ","FILING_STATUS=OR","EQY_CONSOLIDATED=Y","FA_ADJUSTED=GAAP","Sort=A","Dates=H","DateFormat=P","Fill=—","Direction=H","UseDPDF=Y")</f>
        <v>#NAME?</v>
      </c>
      <c r="I302" t="e">
        <f ca="1">_xll.BDH($C$278,"RETURN_ON_INV_CAPITAL","FQ4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02" t="e">
        <f ca="1">_xll.BDH($C$278,"EBITDA_TO_REVENUE","FQ4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02" t="e">
        <f ca="1">_xll.BDH($C$278,"OPER_MARGIN","FQ4 2018","FQ4 2018","Currency=INR","Period=FQ","BEST_FPERIOD_OVERRIDE=FQ","FILING_STATUS=OR","EQY_CONSOLIDATED=Y","FA_ADJUSTED=GAAP","Sort=A","Dates=H","DateFormat=P","Fill=—","Direction=H","UseDPDF=Y")</f>
        <v>#NAME?</v>
      </c>
      <c r="L302" t="e">
        <f ca="1">_xll.BDH($C$278,"INCREMENTAL_OPERATING_MARGIN","FQ4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02" t="e">
        <f ca="1">_xll.BDH($C$278,"PRETAX_INC_TO_NET_SALES","FQ4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02" t="e">
        <f ca="1">_xll.BDH($C$278,"INC_BEF_XO_ITEMS_TO_NET_SALES","FQ4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02" t="e">
        <f ca="1">_xll.BDH($C$278,"PROF_MARGIN","FQ4 2018","FQ4 2018","Currency=INR","Period=FQ","BEST_FPERIOD_OVERRIDE=FQ","FILING_STATUS=OR","EQY_CONSOLIDATED=Y","FA_ADJUSTED=GAAP","Sort=A","Dates=H","DateFormat=P","Fill=—","Direction=H","UseDPDF=Y")</f>
        <v>#NAME?</v>
      </c>
      <c r="P302" t="e">
        <f ca="1">_xll.BDH($C$278,"NET_INCOME_TO_COMMON_MARGIN","FQ4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02" t="e">
        <f ca="1">_xll.BDH($C$278,"EFF_TAX_RATE","FQ4 2018","FQ4 2018","Currency=INR","Period=FQ","BEST_FPERIOD_OVERRIDE=FQ","FILING_STATUS=OR","EQY_CONSOLIDATED=Y","FA_ADJUSTED=GAAP","Sort=A","Dates=H","DateFormat=P","Fill=—","Direction=H","UseDPDF=Y")</f>
        <v>#NAME?</v>
      </c>
      <c r="R302" t="e">
        <f ca="1">_xll.BDH($C$278,"DVD_PAYOUT_RATIO","FQ4 2018","FQ4 2018","Currency=INR","Period=FQ","BEST_FPERIOD_OVERRIDE=FQ","FILING_STATUS=OR","EQY_CONSOLIDATED=Y","FA_ADJUSTED=GAAP","Sort=A","Dates=H","DateFormat=P","Fill=—","Direction=H","UseDPDF=Y")</f>
        <v>#NAME?</v>
      </c>
      <c r="S302" t="e">
        <f ca="1">_xll.BDH($C$278,"SUSTAIN_GROWTH_RT","FQ4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02" s="2" t="e">
        <f ca="1">_xll.BDH($C$278,"SALES_GROWTH","FQ4 2018","FQ4 2018","Currency=INR","Period=FQ","BEST_FPERIOD_OVERRIDE=FQ","FILING_STATUS=OR","EQY_CONSOLIDATED=Y","FA_ADJUSTED=GAAP","Sort=A","Dates=H","DateFormat=P","Fill=—","Direction=H","UseDPDF=Y")</f>
        <v>#NAME?</v>
      </c>
      <c r="U302" s="2" t="e">
        <f ca="1">_xll.BDH($C$278,"EBITDA_GROWTH","FQ4 2018","FQ4 2018","Currency=INR","Period=FQ","BEST_FPERIOD_OVERRIDE=FQ","FILING_STATUS=OR","EQY_CONSOLIDATED=Y","FA_ADJUSTED=GAAP","Sort=A","Dates=H","DateFormat=P","Fill=—","Direction=H","UseDPDF=Y")</f>
        <v>#NAME?</v>
      </c>
      <c r="V302" s="2" t="e">
        <f ca="1">_xll.BDH($C$278,"OPER_INC_GROWTH","FQ4 2018","FQ4 2018","Currency=INR","Period=FQ","BEST_FPERIOD_OVERRIDE=FQ","FILING_STATUS=OR","EQY_CONSOLIDATED=Y","FA_ADJUSTED=GAAP","Sort=A","Dates=H","DateFormat=P","Fill=—","Direction=H","UseDPDF=Y")</f>
        <v>#NAME?</v>
      </c>
      <c r="W302" s="2" t="e">
        <f ca="1">_xll.BDH($C$278,"EARN_FOR_COM_GROWTH","FQ4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02" s="2" t="e">
        <f ca="1">_xll.BDH($C$278,"DILUTED_EPS_AFT_XO_ITEMS_GROWTH","FQ4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02" s="2" t="e">
        <f ca="1">_xll.BDH($C$278,"DIVIDEND_PER_SHARE_1_YEAR_GROWTH","FQ4 2018","FQ4 2018","Currency=INR","Period=FQ","BEST_FPERIOD_OVERRIDE=FQ","FILING_STATUS=OR","EQY_CONSOLIDATED=Y","Sort=A","Dates=H","DateFormat=P","Fill=—","Direction=H","UseDPDF=Y")</f>
        <v>#NAME?</v>
      </c>
      <c r="Z302" s="2" t="e">
        <f ca="1">_xll.BDH($C$278,"ACCOUNTS_RECEIVABLE_GROWTH","FQ4 2018","FQ4 2018","Currency=INR","Period=FQ","BEST_FPERIOD_OVERRIDE=FQ","FILING_STATUS=OR","EQY_CONSOLIDATED=Y","Sort=A","Dates=H","DateFormat=P","Fill=—","Direction=H","UseDPDF=Y")</f>
        <v>#NAME?</v>
      </c>
      <c r="AA302" s="2" t="e">
        <f ca="1">_xll.BDH($C$278,"INVENTORY_GROWTH","FQ4 2018","FQ4 2018","Currency=INR","Period=FQ","BEST_FPERIOD_OVERRIDE=FQ","FILING_STATUS=OR","EQY_CONSOLIDATED=Y","Sort=A","Dates=H","DateFormat=P","Fill=—","Direction=H","UseDPDF=Y")</f>
        <v>#NAME?</v>
      </c>
      <c r="AB302" s="2" t="e">
        <f ca="1">_xll.BDH($C$278,"NET_FIXED_ASSETS_1_YEAR_GROWTH","FQ4 2018","FQ4 2018","Currency=INR","Period=FQ","BEST_FPERIOD_OVERRIDE=FQ","FILING_STATUS=OR","EQY_CONSOLIDATED=Y","Sort=A","Dates=H","DateFormat=P","Fill=—","Direction=H","UseDPDF=Y")</f>
        <v>#NAME?</v>
      </c>
      <c r="AC302" s="2" t="e">
        <f ca="1">_xll.BDH($C$278,"ASSET_GROWTH","FQ4 2018","FQ4 2018","Currency=INR","Period=FQ","BEST_FPERIOD_OVERRIDE=FQ","FILING_STATUS=OR","EQY_CONSOLIDATED=Y","Sort=A","Dates=H","DateFormat=P","Fill=—","Direction=H","UseDPDF=Y")</f>
        <v>#NAME?</v>
      </c>
      <c r="AD302" s="2" t="e">
        <f ca="1">_xll.BDH($C$278,"MODIFIED_WORK_CAP_GROWTH","FQ4 2018","FQ4 2018","Currency=INR","Period=FQ","BEST_FPERIOD_OVERRIDE=FQ","FILING_STATUS=OR","EQY_CONSOLIDATED=Y","Sort=A","Dates=H","DateFormat=P","Fill=—","Direction=H","UseDPDF=Y")</f>
        <v>#NAME?</v>
      </c>
      <c r="AE302" s="2" t="e">
        <f ca="1">_xll.BDH($C$278,"WORK_CAP_GROWTH","FQ4 2018","FQ4 2018","Currency=INR","Period=FQ","BEST_FPERIOD_OVERRIDE=FQ","FILING_STATUS=OR","EQY_CONSOLIDATED=Y","Sort=A","Dates=H","DateFormat=P","Fill=—","Direction=H","UseDPDF=Y")</f>
        <v>#NAME?</v>
      </c>
      <c r="AF302" s="2" t="e">
        <f ca="1">_xll.BDH($C$278,"ACCOUNTS_PAYABLE_GROWTH_1YR","FQ4 2018","FQ4 2018","Currency=INR","Period=FQ","BEST_FPERIOD_OVERRIDE=FQ","FILING_STATUS=OR","EQY_CONSOLIDATED=Y","Sort=A","Dates=H","DateFormat=P","Fill=—","Direction=H","UseDPDF=Y")</f>
        <v>#NAME?</v>
      </c>
      <c r="AG302" s="2" t="e">
        <f ca="1">_xll.BDH($C$278,"SHORT_TERM_DEBT_1_YEAR_GROWTH","FQ4 2018","FQ4 2018","Currency=INR","Period=FQ","BEST_FPERIOD_OVERRIDE=FQ","FILING_STATUS=OR","EQY_CONSOLIDATED=Y","Sort=A","Dates=H","DateFormat=P","Fill=—","Direction=H","UseDPDF=Y")</f>
        <v>#NAME?</v>
      </c>
      <c r="AH302" s="2" t="e">
        <f ca="1">_xll.BDH($C$278,"TOTAL_DEBT_1_YEAR_GROWTH","FQ4 2018","FQ4 2018","Currency=INR","Period=FQ","BEST_FPERIOD_OVERRIDE=FQ","FILING_STATUS=OR","EQY_CONSOLIDATED=Y","Sort=A","Dates=H","DateFormat=P","Fill=—","Direction=H","UseDPDF=Y")</f>
        <v>#NAME?</v>
      </c>
      <c r="AI302" s="2" t="e">
        <f ca="1">_xll.BDH($C$278,"TOTAL_EQUITY_1_YEAR_GROWTH","FQ4 2018","FQ4 2018","Currency=INR","Period=FQ","BEST_FPERIOD_OVERRIDE=FQ","FILING_STATUS=OR","EQY_CONSOLIDATED=Y","Sort=A","Dates=H","DateFormat=P","Fill=—","Direction=H","UseDPDF=Y")</f>
        <v>#NAME?</v>
      </c>
      <c r="AJ302" s="2" t="e">
        <f ca="1">_xll.BDH($C$278,"GROWTH_IN_CAP","FQ4 2018","FQ4 2018","Currency=INR","Period=FQ","BEST_FPERIOD_OVERRIDE=FQ","FILING_STATUS=OR","EQY_CONSOLIDATED=Y","Sort=A","Dates=H","DateFormat=P","Fill=—","Direction=H","UseDPDF=Y")</f>
        <v>#NAME?</v>
      </c>
      <c r="AK302" s="2" t="e">
        <f ca="1">_xll.BDH($C$278,"BVPS_GROWTH","FQ4 2018","FQ4 2018","Currency=INR","Period=FQ","BEST_FPERIOD_OVERRIDE=FQ","FILING_STATUS=OR","EQY_CONSOLIDATED=Y","Sort=A","Dates=H","DateFormat=P","Fill=—","Direction=H","UseDPDF=Y")</f>
        <v>#NAME?</v>
      </c>
      <c r="AL302" s="2" t="e">
        <f ca="1">_xll.BDH($C$278,"CASH_FLOW_GROWTH","FQ4 2018","FQ4 2018","Currency=INR","Period=FQ","BEST_FPERIOD_OVERRIDE=FQ","FILING_STATUS=OR","EQY_CONSOLIDATED=Y","Sort=A","Dates=H","DateFormat=P","Fill=—","Direction=H","UseDPDF=Y")</f>
        <v>#NAME?</v>
      </c>
      <c r="AM302" s="2" t="e">
        <f ca="1">_xll.BDH($C$278,"GEO_GROW_NET_SALES","FQ4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02" s="2" t="e">
        <f ca="1">_xll.BDH($C$278,"GEO_GROW_EBITDA","FQ4 2018","FQ4 2018","Currency=INR","Period=FQ","BEST_FPERIOD_OVERRIDE=FQ","FILING_STATUS=OR","EQY_CONSOLIDATED=Y","FA_ADJUSTED=GAAP","Sort=A","Dates=H","DateFormat=P","Fill=—","Direction=H","UseDPDF=Y")</f>
        <v>#NAME?</v>
      </c>
      <c r="AO302" s="2" t="e">
        <f ca="1">_xll.BDH($C$278,"GEO_GROW_OPER_INC","FQ4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02" s="2" t="e">
        <f ca="1">_xll.BDH($C$278,"NET_INCOME_TO_COMMON_5_YR_GROWTH","FQ4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02" s="2" t="e">
        <f ca="1">_xll.BDH($C$278,"5Y_GEO_GROWTH_DILUTED_EPS","FQ4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02" s="2" t="e">
        <f ca="1">_xll.BDH($C$278,"GEO_GROW_DVD_PER_SH","FQ4 2018","FQ4 2018","Currency=INR","Period=FQ","BEST_FPERIOD_OVERRIDE=FQ","FILING_STATUS=OR","EQY_CONSOLIDATED=Y","Sort=A","Dates=H","DateFormat=P","Fill=—","Direction=H","UseDPDF=Y")</f>
        <v>#NAME?</v>
      </c>
      <c r="AS302" s="2" t="e">
        <f ca="1">_xll.BDH($C$278,"ACCOUNTS_RECEIVABLE_5_YR_GROWTH","FQ4 2018","FQ4 2018","Currency=INR","Period=FQ","BEST_FPERIOD_OVERRIDE=FQ","FILING_STATUS=OR","EQY_CONSOLIDATED=Y","Sort=A","Dates=H","DateFormat=P","Fill=—","Direction=H","UseDPDF=Y")</f>
        <v>#NAME?</v>
      </c>
      <c r="AT302" s="2" t="e">
        <f ca="1">_xll.BDH($C$278,"INVENTORY_5_YEAR_GROWTH","FQ4 2018","FQ4 2018","Currency=INR","Period=FQ","BEST_FPERIOD_OVERRIDE=FQ","FILING_STATUS=OR","EQY_CONSOLIDATED=Y","Sort=A","Dates=H","DateFormat=P","Fill=—","Direction=H","UseDPDF=Y")</f>
        <v>#NAME?</v>
      </c>
      <c r="AU302" s="2" t="e">
        <f ca="1">_xll.BDH($C$278,"NET_FIXED_ASSETS_5_YEAR_GROWTH","FQ4 2018","FQ4 2018","Currency=INR","Period=FQ","BEST_FPERIOD_OVERRIDE=FQ","FILING_STATUS=OR","EQY_CONSOLIDATED=Y","Sort=A","Dates=H","DateFormat=P","Fill=—","Direction=H","UseDPDF=Y")</f>
        <v>#NAME?</v>
      </c>
      <c r="AV302" s="2" t="e">
        <f ca="1">_xll.BDH($C$278,"GEO_GROW_TOT_ASSET","FQ4 2018","FQ4 2018","Currency=INR","Period=FQ","BEST_FPERIOD_OVERRIDE=FQ","FILING_STATUS=OR","EQY_CONSOLIDATED=Y","Sort=A","Dates=H","DateFormat=P","Fill=—","Direction=H","UseDPDF=Y")</f>
        <v>#NAME?</v>
      </c>
      <c r="AW302" s="2" t="e">
        <f ca="1">_xll.BDH($C$278,"MODIFIED_WORKING_CPTL_5YR_GRWTH","FQ4 2018","FQ4 2018","Currency=INR","Period=FQ","BEST_FPERIOD_OVERRIDE=FQ","FILING_STATUS=OR","EQY_CONSOLIDATED=Y","Sort=A","Dates=H","DateFormat=P","Fill=—","Direction=H","UseDPDF=Y")</f>
        <v>#NAME?</v>
      </c>
      <c r="AX302" s="2" t="e">
        <f ca="1">_xll.BDH($C$278,"WORKING_CAPITAL_5_YEAR_GROWTH","FQ4 2018","FQ4 2018","Currency=INR","Period=FQ","BEST_FPERIOD_OVERRIDE=FQ","FILING_STATUS=OR","EQY_CONSOLIDATED=Y","Sort=A","Dates=H","DateFormat=P","Fill=—","Direction=H","UseDPDF=Y")</f>
        <v>#NAME?</v>
      </c>
      <c r="AY302" s="2" t="e">
        <f ca="1">_xll.BDH($C$278,"ACCOUNTS_PAYABLE_5_YEAR_GROWTH","FQ4 2018","FQ4 2018","Currency=INR","Period=FQ","BEST_FPERIOD_OVERRIDE=FQ","FILING_STATUS=OR","EQY_CONSOLIDATED=Y","Sort=A","Dates=H","DateFormat=P","Fill=—","Direction=H","UseDPDF=Y")</f>
        <v>#NAME?</v>
      </c>
      <c r="AZ302" s="2" t="e">
        <f ca="1">_xll.BDH($C$278,"SHORT_TERM_DEBT_5_YEAR_GROWTH","FQ4 2018","FQ4 2018","Currency=INR","Period=FQ","BEST_FPERIOD_OVERRIDE=FQ","FILING_STATUS=OR","EQY_CONSOLIDATED=Y","Sort=A","Dates=H","DateFormat=P","Fill=—","Direction=H","UseDPDF=Y")</f>
        <v>#NAME?</v>
      </c>
      <c r="BA302" s="2" t="e">
        <f ca="1">_xll.BDH($C$278,"TOTAL_DEBT_5_YEAR_GROWTH","FQ4 2018","FQ4 2018","Currency=INR","Period=FQ","BEST_FPERIOD_OVERRIDE=FQ","FILING_STATUS=OR","EQY_CONSOLIDATED=Y","Sort=A","Dates=H","DateFormat=P","Fill=—","Direction=H","UseDPDF=Y")</f>
        <v>#NAME?</v>
      </c>
      <c r="BB302" s="2" t="e">
        <f ca="1">_xll.BDH($C$278,"GEO_GROW_TOT_SHRHLDR_EQY","FQ4 2018","FQ4 2018","Currency=INR","Period=FQ","BEST_FPERIOD_OVERRIDE=FQ","FILING_STATUS=OR","EQY_CONSOLIDATED=Y","Sort=A","Dates=H","DateFormat=P","Fill=—","Direction=H","UseDPDF=Y")</f>
        <v>#NAME?</v>
      </c>
      <c r="BC302" s="2" t="e">
        <f ca="1">_xll.BDH($C$278,"TOTAL_CAPITAL_5_YEAR_GROWTH","FQ4 2018","FQ4 2018","Currency=INR","Period=FQ","BEST_FPERIOD_OVERRIDE=FQ","FILING_STATUS=OR","EQY_CONSOLIDATED=Y","Sort=A","Dates=H","DateFormat=P","Fill=—","Direction=H","UseDPDF=Y")</f>
        <v>#NAME?</v>
      </c>
      <c r="BD302" s="2" t="e">
        <f ca="1">_xll.BDH($C$278,"GEO_GROW_BOOK_VAL","FQ4 2018","FQ4 2018","Currency=INR","Period=FQ","BEST_FPERIOD_OVERRIDE=FQ","FILING_STATUS=OR","EQY_CONSOLIDATED=Y","Sort=A","Dates=H","DateFormat=P","Fill=—","Direction=H","UseDPDF=Y")</f>
        <v>#NAME?</v>
      </c>
      <c r="BE302" s="2" t="e">
        <f ca="1">_xll.BDH($C$278,"GEO_GROW_CASH_OPER_ACT","FQ4 2018","FQ4 2018","Currency=INR","Period=FQ","BEST_FPERIOD_OVERRIDE=FQ","FILING_STATUS=OR","EQY_CONSOLIDATED=Y","Sort=A","Dates=H","DateFormat=P","Fill=—","Direction=H","UseDPDF=Y")</f>
        <v>#NAME?</v>
      </c>
      <c r="BF302" s="2" t="e">
        <f ca="1">_xll.BDH($C$278,"REVENUE_SEQUENTIAL_GROWTH","FQ4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02" s="2" t="e">
        <f ca="1">_xll.BDH($C$278,"EBITDA_SEQUENTIAL_GROWTH","FQ4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02" s="2" t="e">
        <f ca="1">_xll.BDH($C$278,"OPERATING_INCOME_SEQ_GROWTH","FQ4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02" s="2" t="e">
        <f ca="1">_xll.BDH($C$278,"NET_INCOME_TO_COMMON_SEQ_GROWTH","FQ4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02" s="2" t="e">
        <f ca="1">_xll.BDH($C$278,"EPS_DILUTED_SEQUENTIAL_GROWTH","FQ4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02" s="2" t="e">
        <f ca="1">_xll.BDH($C$278,"DPS_SEQUENTIAL_GROWTH","FQ4 2018","FQ4 2018","Currency=INR","Period=FQ","BEST_FPERIOD_OVERRIDE=FQ","FILING_STATUS=OR","EQY_CONSOLIDATED=Y","Sort=A","Dates=H","DateFormat=P","Fill=—","Direction=H","UseDPDF=Y")</f>
        <v>#NAME?</v>
      </c>
      <c r="BL302" s="2" t="e">
        <f ca="1">_xll.BDH($C$278,"ACCOUNTS_RECEIVABLE_SEQ_GROWTH","FQ4 2018","FQ4 2018","Currency=INR","Period=FQ","BEST_FPERIOD_OVERRIDE=FQ","FILING_STATUS=OR","EQY_CONSOLIDATED=Y","Sort=A","Dates=H","DateFormat=P","Fill=—","Direction=H","UseDPDF=Y")</f>
        <v>#NAME?</v>
      </c>
      <c r="BM302" s="2" t="e">
        <f ca="1">_xll.BDH($C$278,"INVENTORY_SEQUENTIAL_GROWTH","FQ4 2018","FQ4 2018","Currency=INR","Period=FQ","BEST_FPERIOD_OVERRIDE=FQ","FILING_STATUS=OR","EQY_CONSOLIDATED=Y","Sort=A","Dates=H","DateFormat=P","Fill=—","Direction=H","UseDPDF=Y")</f>
        <v>#NAME?</v>
      </c>
      <c r="BN302" s="2" t="e">
        <f ca="1">_xll.BDH($C$278,"FIXED_ASSETS_SEQUENTIAL_GROWTH","FQ4 2018","FQ4 2018","Currency=INR","Period=FQ","BEST_FPERIOD_OVERRIDE=FQ","FILING_STATUS=OR","EQY_CONSOLIDATED=Y","Sort=A","Dates=H","DateFormat=P","Fill=—","Direction=H","UseDPDF=Y")</f>
        <v>#NAME?</v>
      </c>
      <c r="BO302" s="2" t="e">
        <f ca="1">_xll.BDH($C$278,"TOTAL_ASSETS_SEQUENTIAL_GROWTH","FQ4 2018","FQ4 2018","Currency=INR","Period=FQ","BEST_FPERIOD_OVERRIDE=FQ","FILING_STATUS=OR","EQY_CONSOLIDATED=Y","Sort=A","Dates=H","DateFormat=P","Fill=—","Direction=H","UseDPDF=Y")</f>
        <v>#NAME?</v>
      </c>
      <c r="BP302" s="2" t="e">
        <f ca="1">_xll.BDH($C$278,"MODIFIED_WORKING_CPTL_SEQ_GRWTH","FQ4 2018","FQ4 2018","Currency=INR","Period=FQ","BEST_FPERIOD_OVERRIDE=FQ","FILING_STATUS=OR","EQY_CONSOLIDATED=Y","Sort=A","Dates=H","DateFormat=P","Fill=—","Direction=H","UseDPDF=Y")</f>
        <v>#NAME?</v>
      </c>
      <c r="BQ302" s="2" t="e">
        <f ca="1">_xll.BDH($C$278,"WORKING_CAPITAL_SEQ_GROWTH","FQ4 2018","FQ4 2018","Currency=INR","Period=FQ","BEST_FPERIOD_OVERRIDE=FQ","FILING_STATUS=OR","EQY_CONSOLIDATED=Y","Sort=A","Dates=H","DateFormat=P","Fill=—","Direction=H","UseDPDF=Y")</f>
        <v>#NAME?</v>
      </c>
      <c r="BR302" s="2" t="e">
        <f ca="1">_xll.BDH($C$278,"ACCOUNTS_PAYABLE_SEQ_GROWTH","FQ4 2018","FQ4 2018","Currency=INR","Period=FQ","BEST_FPERIOD_OVERRIDE=FQ","FILING_STATUS=OR","EQY_CONSOLIDATED=Y","Sort=A","Dates=H","DateFormat=P","Fill=—","Direction=H","UseDPDF=Y")</f>
        <v>#NAME?</v>
      </c>
      <c r="BS302" s="2" t="e">
        <f ca="1">_xll.BDH($C$278,"ST_DEBT_SEQUENTIAL_GROWTH","FQ4 2018","FQ4 2018","Currency=INR","Period=FQ","BEST_FPERIOD_OVERRIDE=FQ","FILING_STATUS=OR","EQY_CONSOLIDATED=Y","Sort=A","Dates=H","DateFormat=P","Fill=—","Direction=H","UseDPDF=Y")</f>
        <v>#NAME?</v>
      </c>
      <c r="BT302" s="2" t="e">
        <f ca="1">_xll.BDH($C$278,"TOTAL_DEBT_SEQUENTIAL_GROWTH","FQ4 2018","FQ4 2018","Currency=INR","Period=FQ","BEST_FPERIOD_OVERRIDE=FQ","FILING_STATUS=OR","EQY_CONSOLIDATED=Y","Sort=A","Dates=H","DateFormat=P","Fill=—","Direction=H","UseDPDF=Y")</f>
        <v>#NAME?</v>
      </c>
      <c r="BU302" s="2" t="e">
        <f ca="1">_xll.BDH($C$278,"TOTAL_EQUITY_SEQUENTIAL_GROWTH","FQ4 2018","FQ4 2018","Currency=INR","Period=FQ","BEST_FPERIOD_OVERRIDE=FQ","FILING_STATUS=OR","EQY_CONSOLIDATED=Y","Sort=A","Dates=H","DateFormat=P","Fill=—","Direction=H","UseDPDF=Y")</f>
        <v>#NAME?</v>
      </c>
      <c r="BV302" s="2" t="e">
        <f ca="1">_xll.BDH($C$278,"TOTAL_CAPITAL_SEQUENTIAL_GROWTH","FQ4 2018","FQ4 2018","Currency=INR","Period=FQ","BEST_FPERIOD_OVERRIDE=FQ","FILING_STATUS=OR","EQY_CONSOLIDATED=Y","Sort=A","Dates=H","DateFormat=P","Fill=—","Direction=H","UseDPDF=Y")</f>
        <v>#NAME?</v>
      </c>
      <c r="BW302" s="2" t="e">
        <f ca="1">_xll.BDH($C$278,"BPS_SEQUENTIAL_GROWTH","FQ4 2018","FQ4 2018","Currency=INR","Period=FQ","BEST_FPERIOD_OVERRIDE=FQ","FILING_STATUS=OR","EQY_CONSOLIDATED=Y","Sort=A","Dates=H","DateFormat=P","Fill=—","Direction=H","UseDPDF=Y")</f>
        <v>#NAME?</v>
      </c>
      <c r="BX302" s="2" t="e">
        <f ca="1">_xll.BDH($C$278,"CFO_SEQUENTIAL_GROWTH","FQ4 2018","FQ4 2018","Currency=INR","Period=FQ","BEST_FPERIOD_OVERRIDE=FQ","FILING_STATUS=OR","EQY_CONSOLIDATED=Y","Sort=A","Dates=H","DateFormat=P","Fill=—","Direction=H","UseDPDF=Y")</f>
        <v>#NAME?</v>
      </c>
      <c r="BY302" s="3" t="e">
        <f ca="1">_xll.BDH($C$278,"SHORT_AND_LONG_TERM_DEBT","FQ4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02" s="3" t="e">
        <f ca="1">_xll.BDH($C$278,"BS_ST_BORROW","FQ4 2018","FQ4 2018","Currency=INR","Period=FQ","BEST_FPERIOD_OVERRIDE=FQ","FILING_STATUS=OR","EQY_CONSOLIDATED=Y","SCALING_FORMAT=MLN","Sort=A","Dates=H","DateFormat=P","Fill=—","Direction=H","UseDPDF=Y")</f>
        <v>#NAME?</v>
      </c>
      <c r="CA302" s="3" t="e">
        <f ca="1">_xll.BDH($C$278,"BS_LT_BORROW","FQ4 2018","FQ4 2018","Currency=INR","Period=FQ","BEST_FPERIOD_OVERRIDE=FQ","FILING_STATUS=OR","EQY_CONSOLIDATED=Y","SCALING_FORMAT=MLN","Sort=A","Dates=H","DateFormat=P","Fill=—","Direction=H","UseDPDF=Y")</f>
        <v>#NAME?</v>
      </c>
      <c r="CB302" s="2" t="e">
        <f ca="1">_xll.BDH($C$278,"TOT_DEBT_TO_EBITDA","FQ4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02" s="2" t="e">
        <f ca="1">_xll.BDH($C$278,"NET_DEBT_TO_EBITDA","FQ4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02" s="2" t="e">
        <f ca="1">_xll.BDH($C$278,"TOTAL_DEBT_TO_EBIT","FQ4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02" s="2" t="e">
        <f ca="1">_xll.BDH($C$278,"NET_DEBT_TO_EBIT","FQ4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02" s="2" t="e">
        <f ca="1">_xll.BDH($C$278,"EBITDA_TO_INTEREST_EXPN","FQ4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02" s="2" t="e">
        <f ca="1">_xll.BDH($C$278,"COM_EQY_TO_TOT_ASSET","FQ4 2018","FQ4 2018","Currency=INR","Period=FQ","BEST_FPERIOD_OVERRIDE=FQ","FILING_STATUS=OR","EQY_CONSOLIDATED=Y","Sort=A","Dates=H","DateFormat=P","Fill=—","Direction=H","UseDPDF=Y")</f>
        <v>#NAME?</v>
      </c>
      <c r="CH302" s="2" t="e">
        <f ca="1">_xll.BDH($C$278,"LT_DEBT_TO_TOT_EQY","FQ4 2018","FQ4 2018","Currency=INR","Period=FQ","BEST_FPERIOD_OVERRIDE=FQ","FILING_STATUS=OR","EQY_CONSOLIDATED=Y","Sort=A","Dates=H","DateFormat=P","Fill=—","Direction=H","UseDPDF=Y")</f>
        <v>#NAME?</v>
      </c>
      <c r="CI302" s="2" t="e">
        <f ca="1">_xll.BDH($C$278,"LT_DEBT_TO_TOT_CAP","FQ4 2018","FQ4 2018","Currency=INR","Period=FQ","BEST_FPERIOD_OVERRIDE=FQ","FILING_STATUS=OR","EQY_CONSOLIDATED=Y","Sort=A","Dates=H","DateFormat=P","Fill=—","Direction=H","UseDPDF=Y")</f>
        <v>#NAME?</v>
      </c>
      <c r="CJ302" s="2" t="e">
        <f ca="1">_xll.BDH($C$278,"LT_DEBT_TO_TOT_ASSET","FQ4 2018","FQ4 2018","Currency=INR","Period=FQ","BEST_FPERIOD_OVERRIDE=FQ","FILING_STATUS=OR","EQY_CONSOLIDATED=Y","Sort=A","Dates=H","DateFormat=P","Fill=—","Direction=H","UseDPDF=Y")</f>
        <v>#NAME?</v>
      </c>
      <c r="CK302" s="2" t="e">
        <f ca="1">_xll.BDH($C$278,"TOT_DEBT_TO_TOT_EQY","FQ4 2018","FQ4 2018","Currency=INR","Period=FQ","BEST_FPERIOD_OVERRIDE=FQ","FILING_STATUS=OR","EQY_CONSOLIDATED=Y","Sort=A","Dates=H","DateFormat=P","Fill=—","Direction=H","UseDPDF=Y")</f>
        <v>#NAME?</v>
      </c>
      <c r="CL302" s="2" t="e">
        <f ca="1">_xll.BDH($C$278,"TOT_DEBT_TO_TOT_CAP","FQ4 2018","FQ4 2018","Currency=INR","Period=FQ","BEST_FPERIOD_OVERRIDE=FQ","FILING_STATUS=OR","EQY_CONSOLIDATED=Y","Sort=A","Dates=H","DateFormat=P","Fill=—","Direction=H","UseDPDF=Y")</f>
        <v>#NAME?</v>
      </c>
      <c r="CM302" s="2" t="e">
        <f ca="1">_xll.BDH($C$278,"TOT_DEBT_TO_TOT_ASSET","FQ4 2018","FQ4 2018","Currency=INR","Period=FQ","BEST_FPERIOD_OVERRIDE=FQ","FILING_STATUS=OR","EQY_CONSOLIDATED=Y","Sort=A","Dates=H","DateFormat=P","Fill=—","Direction=H","UseDPDF=Y")</f>
        <v>#NAME?</v>
      </c>
      <c r="CN302" s="2" t="e">
        <f ca="1">_xll.BDH($C$278,"NET_DEBT_TO_SHRHLDR_EQTY","FQ4 2018","FQ4 2018","Currency=INR","Period=FQ","BEST_FPERIOD_OVERRIDE=FQ","FILING_STATUS=OR","EQY_CONSOLIDATED=Y","Sort=A","Dates=H","DateFormat=P","Fill=—","Direction=H","UseDPDF=Y")</f>
        <v>#NAME?</v>
      </c>
      <c r="CO302" s="2" t="e">
        <f ca="1">_xll.BDH($C$278,"NET_DEBT_%_CAPITAL","FQ4 2018","FQ4 2018","Currency=INR","Period=FQ","BEST_FPERIOD_OVERRIDE=FQ","FILING_STATUS=OR","EQY_CONSOLIDATED=Y","Sort=A","Dates=H","DateFormat=P","Fill=—","Direction=H","UseDPDF=Y")</f>
        <v>#NAME?</v>
      </c>
      <c r="CP302" s="3" t="e">
        <f ca="1">_xll.BDH($C$278,"EBITDA","FQ4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02" s="3" t="e">
        <f ca="1">_xll.BDH($C$278,"EBITDA_AFTER_CAPEX","FQ4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02" s="3" t="e">
        <f ca="1">_xll.BDH($C$278,"IS_OPER_INC","FQ4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02" s="2" t="e">
        <f ca="1">_xll.BDH($C$278,"CASH_RATIO","FQ4 2018","FQ4 2018","Currency=INR","Period=FQ","BEST_FPERIOD_OVERRIDE=FQ","FILING_STATUS=OR","EQY_CONSOLIDATED=Y","Sort=A","Dates=H","DateFormat=P","Fill=—","Direction=H","UseDPDF=Y")</f>
        <v>#NAME?</v>
      </c>
      <c r="CT302" s="2" t="e">
        <f ca="1">_xll.BDH($C$278,"CUR_RATIO","FQ4 2018","FQ4 2018","Currency=INR","Period=FQ","BEST_FPERIOD_OVERRIDE=FQ","FILING_STATUS=OR","EQY_CONSOLIDATED=Y","Sort=A","Dates=H","DateFormat=P","Fill=—","Direction=H","UseDPDF=Y")</f>
        <v>#NAME?</v>
      </c>
      <c r="CU302" s="2" t="e">
        <f ca="1">_xll.BDH($C$278,"QUICK_RATIO","FQ4 2018","FQ4 2018","Currency=INR","Period=FQ","BEST_FPERIOD_OVERRIDE=FQ","FILING_STATUS=OR","EQY_CONSOLIDATED=Y","Sort=A","Dates=H","DateFormat=P","Fill=—","Direction=H","UseDPDF=Y")</f>
        <v>#NAME?</v>
      </c>
      <c r="CV302" s="2" t="e">
        <f ca="1">_xll.BDH($C$278,"ALTMAN_Z_SCORE","FQ4 2018","FQ4 2018","Currency=INR","Period=FQ","BEST_FPERIOD_OVERRIDE=FQ","FILING_STATUS=OR","EQY_CONSOLIDATED=Y","Sort=A","Dates=H","DateFormat=P","Fill=—","Direction=H","UseDPDF=Y")</f>
        <v>#NAME?</v>
      </c>
      <c r="CW302" s="4" t="e">
        <f ca="1">_xll.BDH($C$278,"ACCT_RCV_TURN","FQ4 2018","FQ4 2018","Currency=INR","Period=FQ","BEST_FPERIOD_OVERRIDE=FQ","FILING_STATUS=OR","EQY_CONSOLIDATED=Y","FA_ADJUSTED=GAAP","Sort=A","Dates=H","DateFormat=P","Fill=—","Direction=H","UseDPDF=Y")</f>
        <v>#NAME?</v>
      </c>
      <c r="CX302" s="2" t="e">
        <f ca="1">_xll.BDH($C$278,"ACCT_RCV_DAYS","FQ4 2018","FQ4 2018","Currency=INR","Period=FQ","BEST_FPERIOD_OVERRIDE=FQ","FILING_STATUS=OR","EQY_CONSOLIDATED=Y","FA_ADJUSTED=GAAP","Sort=A","Dates=H","DateFormat=P","Fill=—","Direction=H","UseDPDF=Y")</f>
        <v>#NAME?</v>
      </c>
      <c r="CY302" s="4" t="e">
        <f ca="1">_xll.BDH($C$278,"INVENT_TURN","FQ4 2018","FQ4 2018","Currency=INR","Period=FQ","BEST_FPERIOD_OVERRIDE=FQ","FILING_STATUS=OR","EQY_CONSOLIDATED=Y","FA_ADJUSTED=GAAP","Sort=A","Dates=H","DateFormat=P","Fill=—","Direction=H","UseDPDF=Y")</f>
        <v>#NAME?</v>
      </c>
      <c r="CZ302" s="2" t="e">
        <f ca="1">_xll.BDH($C$278,"INVENT_DAYS","FQ4 2018","FQ4 2018","Currency=INR","Period=FQ","BEST_FPERIOD_OVERRIDE=FQ","FILING_STATUS=OR","EQY_CONSOLIDATED=Y","FA_ADJUSTED=GAAP","Sort=A","Dates=H","DateFormat=P","Fill=—","Direction=H","UseDPDF=Y")</f>
        <v>#NAME?</v>
      </c>
      <c r="DA302" s="4" t="e">
        <f ca="1">_xll.BDH($C$278,"ACCOUNTS_PAYABLE_TURNOVER","FQ4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02" s="2" t="e">
        <f ca="1">_xll.BDH($C$278,"ACCOUNTS_PAYABLE_TURNOVER_DAYS","FQ4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02" s="4" t="e">
        <f ca="1">_xll.BDH($C$278,"CASH_CONVERSION_CYCLE","FQ4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02" s="4" t="e">
        <f ca="1">_xll.BDH($C$278,"INV_TO_CASH_DAYS","FQ4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02" s="5" t="e">
        <f ca="1">_xll.BDH($C$278,"BS_INVENTORIES","FQ4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02" s="3" t="e">
        <f ca="1">_xll.BDH($C$278,"INVTRY_RAW_MATERIALS","FQ4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02" s="3" t="e">
        <f ca="1">_xll.BDH($C$278,"INVTRY_IN_PROGRESS","FQ4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02" s="3" t="e">
        <f ca="1">_xll.BDH($C$278,"INVTRY_FINISHED_GOODS","FQ4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02" s="3" t="e">
        <f ca="1">_xll.BDH($C$278,"BS_OTHER_INV","FQ4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03" spans="1:113" x14ac:dyDescent="0.3">
      <c r="A303" s="6">
        <v>88</v>
      </c>
      <c r="B303" s="6" t="s">
        <v>108</v>
      </c>
      <c r="C303" s="6" t="s">
        <v>109</v>
      </c>
      <c r="D303" s="6" t="s">
        <v>76</v>
      </c>
      <c r="E303" t="s">
        <v>77</v>
      </c>
      <c r="F303" t="e">
        <f ca="1">_xll.BDH($C$303,"RETURN_COM_EQY","FY 2014","FY 2014","Currency=INR","Period=FY","BEST_FPERIOD_OVERRIDE=FY","FILING_STATUS=OR","EQY_CONSOLIDATED=Y","FA_ADJUSTED=GAAP","Sort=A","Dates=H","DateFormat=P","Fill=—","Direction=H","UseDPDF=Y")</f>
        <v>#NAME?</v>
      </c>
      <c r="G303" t="e">
        <f ca="1">_xll.BDH($C$303,"RETURN_ON_ASSET","FY 2014","FY 2014","Currency=INR","Period=FY","BEST_FPERIOD_OVERRIDE=FY","FILING_STATUS=OR","EQY_CONSOLIDATED=Y","FA_ADJUSTED=GAAP","Sort=A","Dates=H","DateFormat=P","Fill=—","Direction=H","UseDPDF=Y")</f>
        <v>#NAME?</v>
      </c>
      <c r="H303" t="e">
        <f ca="1">_xll.BDH($C$303,"RETURN_ON_CAP","FY 2014","FY 2014","Currency=INR","Period=FY","BEST_FPERIOD_OVERRIDE=FY","FILING_STATUS=OR","EQY_CONSOLIDATED=Y","FA_ADJUSTED=GAAP","Sort=A","Dates=H","DateFormat=P","Fill=—","Direction=H","UseDPDF=Y")</f>
        <v>#NAME?</v>
      </c>
      <c r="I303" t="e">
        <f ca="1">_xll.BDH($C$303,"RETURN_ON_INV_CAPITAL","FY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03" t="e">
        <f ca="1">_xll.BDH($C$303,"EBITDA_TO_REVENUE","FY 2014","FY 2014","Currency=INR","Period=FY","BEST_FPERIOD_OVERRIDE=FY","FILING_STATUS=OR","EQY_CONSOLIDATED=Y","FA_ADJUSTED=GAAP","Sort=A","Dates=H","DateFormat=P","Fill=—","Direction=H","UseDPDF=Y")</f>
        <v>#NAME?</v>
      </c>
      <c r="K303" t="e">
        <f ca="1">_xll.BDH($C$303,"OPER_MARGIN","FY 2014","FY 2014","Currency=INR","Period=FY","BEST_FPERIOD_OVERRIDE=FY","FILING_STATUS=OR","EQY_CONSOLIDATED=Y","FA_ADJUSTED=GAAP","Sort=A","Dates=H","DateFormat=P","Fill=—","Direction=H","UseDPDF=Y")</f>
        <v>#NAME?</v>
      </c>
      <c r="L303" t="e">
        <f ca="1">_xll.BDH($C$303,"INCREMENTAL_OPERATING_MARGIN","FY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03" t="e">
        <f ca="1">_xll.BDH($C$303,"PRETAX_INC_TO_NET_SALES","FY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03" t="e">
        <f ca="1">_xll.BDH($C$303,"INC_BEF_XO_ITEMS_TO_NET_SALES","FY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03" t="e">
        <f ca="1">_xll.BDH($C$303,"PROF_MARGIN","FY 2014","FY 2014","Currency=INR","Period=FY","BEST_FPERIOD_OVERRIDE=FY","FILING_STATUS=OR","EQY_CONSOLIDATED=Y","FA_ADJUSTED=GAAP","Sort=A","Dates=H","DateFormat=P","Fill=—","Direction=H","UseDPDF=Y")</f>
        <v>#NAME?</v>
      </c>
      <c r="P303" t="e">
        <f ca="1">_xll.BDH($C$303,"NET_INCOME_TO_COMMON_MARGIN","FY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03" t="e">
        <f ca="1">_xll.BDH($C$303,"EFF_TAX_RATE","FY 2014","FY 2014","Currency=INR","Period=FY","BEST_FPERIOD_OVERRIDE=FY","FILING_STATUS=OR","EQY_CONSOLIDATED=Y","FA_ADJUSTED=GAAP","Sort=A","Dates=H","DateFormat=P","Fill=—","Direction=H","UseDPDF=Y")</f>
        <v>#NAME?</v>
      </c>
      <c r="R303" t="e">
        <f ca="1">_xll.BDH($C$303,"DVD_PAYOUT_RATIO","FY 2014","FY 2014","Currency=INR","Period=FY","BEST_FPERIOD_OVERRIDE=FY","FILING_STATUS=OR","EQY_CONSOLIDATED=Y","FA_ADJUSTED=GAAP","Sort=A","Dates=H","DateFormat=P","Fill=—","Direction=H","UseDPDF=Y")</f>
        <v>#NAME?</v>
      </c>
      <c r="S303" t="e">
        <f ca="1">_xll.BDH($C$303,"SUSTAIN_GROWTH_RT","FY 2014","FY 2014","Currency=INR","Period=FY","BEST_FPERIOD_OVERRIDE=FY","FILING_STATUS=OR","EQY_CONSOLIDATED=Y","FA_ADJUSTED=GAAP","Sort=A","Dates=H","DateFormat=P","Fill=—","Direction=H","UseDPDF=Y")</f>
        <v>#NAME?</v>
      </c>
      <c r="T303" s="2" t="e">
        <f ca="1">_xll.BDH($C$303,"SALES_GROWTH","FY 2014","FY 2014","Currency=INR","Period=FY","BEST_FPERIOD_OVERRIDE=FY","FILING_STATUS=OR","EQY_CONSOLIDATED=Y","FA_ADJUSTED=GAAP","Sort=A","Dates=H","DateFormat=P","Fill=—","Direction=H","UseDPDF=Y")</f>
        <v>#NAME?</v>
      </c>
      <c r="U303" s="2" t="e">
        <f ca="1">_xll.BDH($C$303,"EBITDA_GROWTH","FY 2014","FY 2014","Currency=INR","Period=FY","BEST_FPERIOD_OVERRIDE=FY","FILING_STATUS=OR","EQY_CONSOLIDATED=Y","FA_ADJUSTED=GAAP","Sort=A","Dates=H","DateFormat=P","Fill=—","Direction=H","UseDPDF=Y")</f>
        <v>#NAME?</v>
      </c>
      <c r="V303" s="2" t="e">
        <f ca="1">_xll.BDH($C$303,"OPER_INC_GROWTH","FY 2014","FY 2014","Currency=INR","Period=FY","BEST_FPERIOD_OVERRIDE=FY","FILING_STATUS=OR","EQY_CONSOLIDATED=Y","FA_ADJUSTED=GAAP","Sort=A","Dates=H","DateFormat=P","Fill=—","Direction=H","UseDPDF=Y")</f>
        <v>#NAME?</v>
      </c>
      <c r="W303" s="2" t="e">
        <f ca="1">_xll.BDH($C$303,"EARN_FOR_COM_GROWTH","FY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03" s="2" t="e">
        <f ca="1">_xll.BDH($C$303,"DILUTED_EPS_AFT_XO_ITEMS_GROWTH","FY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03" s="2" t="e">
        <f ca="1">_xll.BDH($C$303,"DIVIDEND_PER_SHARE_1_YEAR_GROWTH","FY 2014","FY 2014","Currency=INR","Period=FY","BEST_FPERIOD_OVERRIDE=FY","FILING_STATUS=OR","EQY_CONSOLIDATED=Y","Sort=A","Dates=H","DateFormat=P","Fill=—","Direction=H","UseDPDF=Y")</f>
        <v>#NAME?</v>
      </c>
      <c r="Z303" s="2" t="e">
        <f ca="1">_xll.BDH($C$303,"ACCOUNTS_RECEIVABLE_GROWTH","FY 2014","FY 2014","Currency=INR","Period=FY","BEST_FPERIOD_OVERRIDE=FY","FILING_STATUS=OR","EQY_CONSOLIDATED=Y","Sort=A","Dates=H","DateFormat=P","Fill=—","Direction=H","UseDPDF=Y")</f>
        <v>#NAME?</v>
      </c>
      <c r="AA303" s="2" t="e">
        <f ca="1">_xll.BDH($C$303,"INVENTORY_GROWTH","FY 2014","FY 2014","Currency=INR","Period=FY","BEST_FPERIOD_OVERRIDE=FY","FILING_STATUS=OR","EQY_CONSOLIDATED=Y","Sort=A","Dates=H","DateFormat=P","Fill=—","Direction=H","UseDPDF=Y")</f>
        <v>#NAME?</v>
      </c>
      <c r="AB303" s="2" t="e">
        <f ca="1">_xll.BDH($C$303,"NET_FIXED_ASSETS_1_YEAR_GROWTH","FY 2014","FY 2014","Currency=INR","Period=FY","BEST_FPERIOD_OVERRIDE=FY","FILING_STATUS=OR","EQY_CONSOLIDATED=Y","Sort=A","Dates=H","DateFormat=P","Fill=—","Direction=H","UseDPDF=Y")</f>
        <v>#NAME?</v>
      </c>
      <c r="AC303" s="2" t="e">
        <f ca="1">_xll.BDH($C$303,"ASSET_GROWTH","FY 2014","FY 2014","Currency=INR","Period=FY","BEST_FPERIOD_OVERRIDE=FY","FILING_STATUS=OR","EQY_CONSOLIDATED=Y","Sort=A","Dates=H","DateFormat=P","Fill=—","Direction=H","UseDPDF=Y")</f>
        <v>#NAME?</v>
      </c>
      <c r="AD303" s="2" t="e">
        <f ca="1">_xll.BDH($C$303,"MODIFIED_WORK_CAP_GROWTH","FY 2014","FY 2014","Currency=INR","Period=FY","BEST_FPERIOD_OVERRIDE=FY","FILING_STATUS=OR","EQY_CONSOLIDATED=Y","Sort=A","Dates=H","DateFormat=P","Fill=—","Direction=H","UseDPDF=Y")</f>
        <v>#NAME?</v>
      </c>
      <c r="AE303" s="2" t="e">
        <f ca="1">_xll.BDH($C$303,"WORK_CAP_GROWTH","FY 2014","FY 2014","Currency=INR","Period=FY","BEST_FPERIOD_OVERRIDE=FY","FILING_STATUS=OR","EQY_CONSOLIDATED=Y","Sort=A","Dates=H","DateFormat=P","Fill=—","Direction=H","UseDPDF=Y")</f>
        <v>#NAME?</v>
      </c>
      <c r="AF303" s="2" t="e">
        <f ca="1">_xll.BDH($C$303,"ACCOUNTS_PAYABLE_GROWTH_1YR","FY 2014","FY 2014","Currency=INR","Period=FY","BEST_FPERIOD_OVERRIDE=FY","FILING_STATUS=OR","EQY_CONSOLIDATED=Y","Sort=A","Dates=H","DateFormat=P","Fill=—","Direction=H","UseDPDF=Y")</f>
        <v>#NAME?</v>
      </c>
      <c r="AG303" s="2" t="e">
        <f ca="1">_xll.BDH($C$303,"SHORT_TERM_DEBT_1_YEAR_GROWTH","FY 2014","FY 2014","Currency=INR","Period=FY","BEST_FPERIOD_OVERRIDE=FY","FILING_STATUS=OR","EQY_CONSOLIDATED=Y","Sort=A","Dates=H","DateFormat=P","Fill=—","Direction=H","UseDPDF=Y")</f>
        <v>#NAME?</v>
      </c>
      <c r="AH303" s="2" t="e">
        <f ca="1">_xll.BDH($C$303,"TOTAL_DEBT_1_YEAR_GROWTH","FY 2014","FY 2014","Currency=INR","Period=FY","BEST_FPERIOD_OVERRIDE=FY","FILING_STATUS=OR","EQY_CONSOLIDATED=Y","Sort=A","Dates=H","DateFormat=P","Fill=—","Direction=H","UseDPDF=Y")</f>
        <v>#NAME?</v>
      </c>
      <c r="AI303" s="2" t="e">
        <f ca="1">_xll.BDH($C$303,"TOTAL_EQUITY_1_YEAR_GROWTH","FY 2014","FY 2014","Currency=INR","Period=FY","BEST_FPERIOD_OVERRIDE=FY","FILING_STATUS=OR","EQY_CONSOLIDATED=Y","Sort=A","Dates=H","DateFormat=P","Fill=—","Direction=H","UseDPDF=Y")</f>
        <v>#NAME?</v>
      </c>
      <c r="AJ303" s="2" t="e">
        <f ca="1">_xll.BDH($C$303,"GROWTH_IN_CAP","FY 2014","FY 2014","Currency=INR","Period=FY","BEST_FPERIOD_OVERRIDE=FY","FILING_STATUS=OR","EQY_CONSOLIDATED=Y","Sort=A","Dates=H","DateFormat=P","Fill=—","Direction=H","UseDPDF=Y")</f>
        <v>#NAME?</v>
      </c>
      <c r="AK303" s="2" t="e">
        <f ca="1">_xll.BDH($C$303,"BVPS_GROWTH","FY 2014","FY 2014","Currency=INR","Period=FY","BEST_FPERIOD_OVERRIDE=FY","FILING_STATUS=OR","EQY_CONSOLIDATED=Y","Sort=A","Dates=H","DateFormat=P","Fill=—","Direction=H","UseDPDF=Y")</f>
        <v>#NAME?</v>
      </c>
      <c r="AL303" s="2" t="e">
        <f ca="1">_xll.BDH($C$303,"CASH_FLOW_GROWTH","FY 2014","FY 2014","Currency=INR","Period=FY","BEST_FPERIOD_OVERRIDE=FY","FILING_STATUS=OR","EQY_CONSOLIDATED=Y","Sort=A","Dates=H","DateFormat=P","Fill=—","Direction=H","UseDPDF=Y")</f>
        <v>#NAME?</v>
      </c>
      <c r="AM303" s="2" t="e">
        <f ca="1">_xll.BDH($C$303,"GEO_GROW_NET_SALES","FY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03" s="2" t="e">
        <f ca="1">_xll.BDH($C$303,"GEO_GROW_EBITDA","FY 2014","FY 2014","Currency=INR","Period=FY","BEST_FPERIOD_OVERRIDE=FY","FILING_STATUS=OR","EQY_CONSOLIDATED=Y","FA_ADJUSTED=GAAP","Sort=A","Dates=H","DateFormat=P","Fill=—","Direction=H","UseDPDF=Y")</f>
        <v>#NAME?</v>
      </c>
      <c r="AO303" s="2" t="e">
        <f ca="1">_xll.BDH($C$303,"GEO_GROW_OPER_INC","FY 2014","FY 2014","Currency=INR","Period=FY","BEST_FPERIOD_OVERRIDE=FY","FILING_STATUS=OR","EQY_CONSOLIDATED=Y","FA_ADJUSTED=GAAP","Sort=A","Dates=H","DateFormat=P","Fill=—","Direction=H","UseDPDF=Y")</f>
        <v>#NAME?</v>
      </c>
      <c r="AP303" s="2" t="e">
        <f ca="1">_xll.BDH($C$303,"NET_INCOME_TO_COMMON_5_YR_GROWTH","FY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03" s="2" t="e">
        <f ca="1">_xll.BDH($C$303,"5Y_GEO_GROWTH_DILUTED_EPS","FY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03" s="2" t="e">
        <f ca="1">_xll.BDH($C$303,"GEO_GROW_DVD_PER_SH","FY 2014","FY 2014","Currency=INR","Period=FY","BEST_FPERIOD_OVERRIDE=FY","FILING_STATUS=OR","EQY_CONSOLIDATED=Y","Sort=A","Dates=H","DateFormat=P","Fill=—","Direction=H","UseDPDF=Y")</f>
        <v>#NAME?</v>
      </c>
      <c r="AS303" s="2" t="e">
        <f ca="1">_xll.BDH($C$303,"ACCOUNTS_RECEIVABLE_5_YR_GROWTH","FY 2014","FY 2014","Currency=INR","Period=FY","BEST_FPERIOD_OVERRIDE=FY","FILING_STATUS=OR","EQY_CONSOLIDATED=Y","Sort=A","Dates=H","DateFormat=P","Fill=—","Direction=H","UseDPDF=Y")</f>
        <v>#NAME?</v>
      </c>
      <c r="AT303" s="2" t="e">
        <f ca="1">_xll.BDH($C$303,"INVENTORY_5_YEAR_GROWTH","FY 2014","FY 2014","Currency=INR","Period=FY","BEST_FPERIOD_OVERRIDE=FY","FILING_STATUS=OR","EQY_CONSOLIDATED=Y","Sort=A","Dates=H","DateFormat=P","Fill=—","Direction=H","UseDPDF=Y")</f>
        <v>#NAME?</v>
      </c>
      <c r="AU303" s="2" t="e">
        <f ca="1">_xll.BDH($C$303,"NET_FIXED_ASSETS_5_YEAR_GROWTH","FY 2014","FY 2014","Currency=INR","Period=FY","BEST_FPERIOD_OVERRIDE=FY","FILING_STATUS=OR","EQY_CONSOLIDATED=Y","Sort=A","Dates=H","DateFormat=P","Fill=—","Direction=H","UseDPDF=Y")</f>
        <v>#NAME?</v>
      </c>
      <c r="AV303" s="2" t="e">
        <f ca="1">_xll.BDH($C$303,"GEO_GROW_TOT_ASSET","FY 2014","FY 2014","Currency=INR","Period=FY","BEST_FPERIOD_OVERRIDE=FY","FILING_STATUS=OR","EQY_CONSOLIDATED=Y","Sort=A","Dates=H","DateFormat=P","Fill=—","Direction=H","UseDPDF=Y")</f>
        <v>#NAME?</v>
      </c>
      <c r="AW303" s="2" t="e">
        <f ca="1">_xll.BDH($C$303,"MODIFIED_WORKING_CPTL_5YR_GRWTH","FY 2014","FY 2014","Currency=INR","Period=FY","BEST_FPERIOD_OVERRIDE=FY","FILING_STATUS=OR","EQY_CONSOLIDATED=Y","Sort=A","Dates=H","DateFormat=P","Fill=—","Direction=H","UseDPDF=Y")</f>
        <v>#NAME?</v>
      </c>
      <c r="AX303" s="2" t="e">
        <f ca="1">_xll.BDH($C$303,"WORKING_CAPITAL_5_YEAR_GROWTH","FY 2014","FY 2014","Currency=INR","Period=FY","BEST_FPERIOD_OVERRIDE=FY","FILING_STATUS=OR","EQY_CONSOLIDATED=Y","Sort=A","Dates=H","DateFormat=P","Fill=—","Direction=H","UseDPDF=Y")</f>
        <v>#NAME?</v>
      </c>
      <c r="AY303" s="2" t="e">
        <f ca="1">_xll.BDH($C$303,"ACCOUNTS_PAYABLE_5_YEAR_GROWTH","FY 2014","FY 2014","Currency=INR","Period=FY","BEST_FPERIOD_OVERRIDE=FY","FILING_STATUS=OR","EQY_CONSOLIDATED=Y","Sort=A","Dates=H","DateFormat=P","Fill=—","Direction=H","UseDPDF=Y")</f>
        <v>#NAME?</v>
      </c>
      <c r="AZ303" s="2" t="e">
        <f ca="1">_xll.BDH($C$303,"SHORT_TERM_DEBT_5_YEAR_GROWTH","FY 2014","FY 2014","Currency=INR","Period=FY","BEST_FPERIOD_OVERRIDE=FY","FILING_STATUS=OR","EQY_CONSOLIDATED=Y","Sort=A","Dates=H","DateFormat=P","Fill=—","Direction=H","UseDPDF=Y")</f>
        <v>#NAME?</v>
      </c>
      <c r="BA303" s="2" t="e">
        <f ca="1">_xll.BDH($C$303,"TOTAL_DEBT_5_YEAR_GROWTH","FY 2014","FY 2014","Currency=INR","Period=FY","BEST_FPERIOD_OVERRIDE=FY","FILING_STATUS=OR","EQY_CONSOLIDATED=Y","Sort=A","Dates=H","DateFormat=P","Fill=—","Direction=H","UseDPDF=Y")</f>
        <v>#NAME?</v>
      </c>
      <c r="BB303" s="2" t="e">
        <f ca="1">_xll.BDH($C$303,"GEO_GROW_TOT_SHRHLDR_EQY","FY 2014","FY 2014","Currency=INR","Period=FY","BEST_FPERIOD_OVERRIDE=FY","FILING_STATUS=OR","EQY_CONSOLIDATED=Y","Sort=A","Dates=H","DateFormat=P","Fill=—","Direction=H","UseDPDF=Y")</f>
        <v>#NAME?</v>
      </c>
      <c r="BC303" s="2" t="e">
        <f ca="1">_xll.BDH($C$303,"TOTAL_CAPITAL_5_YEAR_GROWTH","FY 2014","FY 2014","Currency=INR","Period=FY","BEST_FPERIOD_OVERRIDE=FY","FILING_STATUS=OR","EQY_CONSOLIDATED=Y","Sort=A","Dates=H","DateFormat=P","Fill=—","Direction=H","UseDPDF=Y")</f>
        <v>#NAME?</v>
      </c>
      <c r="BD303" s="2" t="e">
        <f ca="1">_xll.BDH($C$303,"GEO_GROW_BOOK_VAL","FY 2014","FY 2014","Currency=INR","Period=FY","BEST_FPERIOD_OVERRIDE=FY","FILING_STATUS=OR","EQY_CONSOLIDATED=Y","Sort=A","Dates=H","DateFormat=P","Fill=—","Direction=H","UseDPDF=Y")</f>
        <v>#NAME?</v>
      </c>
      <c r="BE303" s="2" t="e">
        <f ca="1">_xll.BDH($C$303,"GEO_GROW_CASH_OPER_ACT","FY 2014","FY 2014","Currency=INR","Period=FY","BEST_FPERIOD_OVERRIDE=FY","FILING_STATUS=OR","EQY_CONSOLIDATED=Y","Sort=A","Dates=H","DateFormat=P","Fill=—","Direction=H","UseDPDF=Y")</f>
        <v>#NAME?</v>
      </c>
      <c r="BF303" s="2" t="e">
        <f ca="1">_xll.BDH($C$303,"REVENUE_SEQUENTIAL_GROWTH","FY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03" s="2" t="e">
        <f ca="1">_xll.BDH($C$303,"EBITDA_SEQUENTIAL_GROWTH","FY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03" s="2" t="e">
        <f ca="1">_xll.BDH($C$303,"OPERATING_INCOME_SEQ_GROWTH","FY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03" s="2" t="e">
        <f ca="1">_xll.BDH($C$303,"NET_INCOME_TO_COMMON_SEQ_GROWTH","FY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03" s="2" t="e">
        <f ca="1">_xll.BDH($C$303,"EPS_DILUTED_SEQUENTIAL_GROWTH","FY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03" s="2" t="e">
        <f ca="1">_xll.BDH($C$303,"DPS_SEQUENTIAL_GROWTH","FY 2014","FY 2014","Currency=INR","Period=FY","BEST_FPERIOD_OVERRIDE=FY","FILING_STATUS=OR","EQY_CONSOLIDATED=Y","Sort=A","Dates=H","DateFormat=P","Fill=—","Direction=H","UseDPDF=Y")</f>
        <v>#NAME?</v>
      </c>
      <c r="BL303" s="2" t="e">
        <f ca="1">_xll.BDH($C$303,"ACCOUNTS_RECEIVABLE_SEQ_GROWTH","FY 2014","FY 2014","Currency=INR","Period=FY","BEST_FPERIOD_OVERRIDE=FY","FILING_STATUS=OR","EQY_CONSOLIDATED=Y","Sort=A","Dates=H","DateFormat=P","Fill=—","Direction=H","UseDPDF=Y")</f>
        <v>#NAME?</v>
      </c>
      <c r="BM303" s="2" t="e">
        <f ca="1">_xll.BDH($C$303,"INVENTORY_SEQUENTIAL_GROWTH","FY 2014","FY 2014","Currency=INR","Period=FY","BEST_FPERIOD_OVERRIDE=FY","FILING_STATUS=OR","EQY_CONSOLIDATED=Y","Sort=A","Dates=H","DateFormat=P","Fill=—","Direction=H","UseDPDF=Y")</f>
        <v>#NAME?</v>
      </c>
      <c r="BN303" s="2" t="e">
        <f ca="1">_xll.BDH($C$303,"FIXED_ASSETS_SEQUENTIAL_GROWTH","FY 2014","FY 2014","Currency=INR","Period=FY","BEST_FPERIOD_OVERRIDE=FY","FILING_STATUS=OR","EQY_CONSOLIDATED=Y","Sort=A","Dates=H","DateFormat=P","Fill=—","Direction=H","UseDPDF=Y")</f>
        <v>#NAME?</v>
      </c>
      <c r="BO303" s="2" t="e">
        <f ca="1">_xll.BDH($C$303,"TOTAL_ASSETS_SEQUENTIAL_GROWTH","FY 2014","FY 2014","Currency=INR","Period=FY","BEST_FPERIOD_OVERRIDE=FY","FILING_STATUS=OR","EQY_CONSOLIDATED=Y","Sort=A","Dates=H","DateFormat=P","Fill=—","Direction=H","UseDPDF=Y")</f>
        <v>#NAME?</v>
      </c>
      <c r="BP303" s="2" t="e">
        <f ca="1">_xll.BDH($C$303,"MODIFIED_WORKING_CPTL_SEQ_GRWTH","FY 2014","FY 2014","Currency=INR","Period=FY","BEST_FPERIOD_OVERRIDE=FY","FILING_STATUS=OR","EQY_CONSOLIDATED=Y","Sort=A","Dates=H","DateFormat=P","Fill=—","Direction=H","UseDPDF=Y")</f>
        <v>#NAME?</v>
      </c>
      <c r="BQ303" s="2" t="e">
        <f ca="1">_xll.BDH($C$303,"WORKING_CAPITAL_SEQ_GROWTH","FY 2014","FY 2014","Currency=INR","Period=FY","BEST_FPERIOD_OVERRIDE=FY","FILING_STATUS=OR","EQY_CONSOLIDATED=Y","Sort=A","Dates=H","DateFormat=P","Fill=—","Direction=H","UseDPDF=Y")</f>
        <v>#NAME?</v>
      </c>
      <c r="BR303" s="2" t="e">
        <f ca="1">_xll.BDH($C$303,"ACCOUNTS_PAYABLE_SEQ_GROWTH","FY 2014","FY 2014","Currency=INR","Period=FY","BEST_FPERIOD_OVERRIDE=FY","FILING_STATUS=OR","EQY_CONSOLIDATED=Y","Sort=A","Dates=H","DateFormat=P","Fill=—","Direction=H","UseDPDF=Y")</f>
        <v>#NAME?</v>
      </c>
      <c r="BS303" s="2" t="e">
        <f ca="1">_xll.BDH($C$303,"ST_DEBT_SEQUENTIAL_GROWTH","FY 2014","FY 2014","Currency=INR","Period=FY","BEST_FPERIOD_OVERRIDE=FY","FILING_STATUS=OR","EQY_CONSOLIDATED=Y","Sort=A","Dates=H","DateFormat=P","Fill=—","Direction=H","UseDPDF=Y")</f>
        <v>#NAME?</v>
      </c>
      <c r="BT303" s="2" t="e">
        <f ca="1">_xll.BDH($C$303,"TOTAL_DEBT_SEQUENTIAL_GROWTH","FY 2014","FY 2014","Currency=INR","Period=FY","BEST_FPERIOD_OVERRIDE=FY","FILING_STATUS=OR","EQY_CONSOLIDATED=Y","Sort=A","Dates=H","DateFormat=P","Fill=—","Direction=H","UseDPDF=Y")</f>
        <v>#NAME?</v>
      </c>
      <c r="BU303" s="2" t="e">
        <f ca="1">_xll.BDH($C$303,"TOTAL_EQUITY_SEQUENTIAL_GROWTH","FY 2014","FY 2014","Currency=INR","Period=FY","BEST_FPERIOD_OVERRIDE=FY","FILING_STATUS=OR","EQY_CONSOLIDATED=Y","Sort=A","Dates=H","DateFormat=P","Fill=—","Direction=H","UseDPDF=Y")</f>
        <v>#NAME?</v>
      </c>
      <c r="BV303" s="2" t="e">
        <f ca="1">_xll.BDH($C$303,"TOTAL_CAPITAL_SEQUENTIAL_GROWTH","FY 2014","FY 2014","Currency=INR","Period=FY","BEST_FPERIOD_OVERRIDE=FY","FILING_STATUS=OR","EQY_CONSOLIDATED=Y","Sort=A","Dates=H","DateFormat=P","Fill=—","Direction=H","UseDPDF=Y")</f>
        <v>#NAME?</v>
      </c>
      <c r="BW303" s="2" t="e">
        <f ca="1">_xll.BDH($C$303,"BPS_SEQUENTIAL_GROWTH","FY 2014","FY 2014","Currency=INR","Period=FY","BEST_FPERIOD_OVERRIDE=FY","FILING_STATUS=OR","EQY_CONSOLIDATED=Y","Sort=A","Dates=H","DateFormat=P","Fill=—","Direction=H","UseDPDF=Y")</f>
        <v>#NAME?</v>
      </c>
      <c r="BX303" s="2" t="e">
        <f ca="1">_xll.BDH($C$303,"CFO_SEQUENTIAL_GROWTH","FY 2014","FY 2014","Currency=INR","Period=FY","BEST_FPERIOD_OVERRIDE=FY","FILING_STATUS=OR","EQY_CONSOLIDATED=Y","Sort=A","Dates=H","DateFormat=P","Fill=—","Direction=H","UseDPDF=Y")</f>
        <v>#NAME?</v>
      </c>
      <c r="BY303" s="3" t="e">
        <f ca="1">_xll.BDH($C$303,"SHORT_AND_LONG_TERM_DEBT","FY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03" s="3" t="e">
        <f ca="1">_xll.BDH($C$303,"BS_ST_BORROW","FY 2014","FY 2014","Currency=INR","Period=FY","BEST_FPERIOD_OVERRIDE=FY","FILING_STATUS=OR","EQY_CONSOLIDATED=Y","SCALING_FORMAT=MLN","Sort=A","Dates=H","DateFormat=P","Fill=—","Direction=H","UseDPDF=Y")</f>
        <v>#NAME?</v>
      </c>
      <c r="CA303" s="3" t="e">
        <f ca="1">_xll.BDH($C$303,"BS_LT_BORROW","FY 2014","FY 2014","Currency=INR","Period=FY","BEST_FPERIOD_OVERRIDE=FY","FILING_STATUS=OR","EQY_CONSOLIDATED=Y","SCALING_FORMAT=MLN","Sort=A","Dates=H","DateFormat=P","Fill=—","Direction=H","UseDPDF=Y")</f>
        <v>#NAME?</v>
      </c>
      <c r="CB303" s="2" t="e">
        <f ca="1">_xll.BDH($C$303,"TOT_DEBT_TO_EBITDA","FY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03" s="2" t="e">
        <f ca="1">_xll.BDH($C$303,"NET_DEBT_TO_EBITDA","FY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03" s="2" t="e">
        <f ca="1">_xll.BDH($C$303,"TOTAL_DEBT_TO_EBIT","FY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03" s="2" t="e">
        <f ca="1">_xll.BDH($C$303,"NET_DEBT_TO_EBIT","FY 2014","FY 2014","Currency=INR","Period=FY","BEST_FPERIOD_OVERRIDE=FY","FILING_STATUS=OR","EQY_CONSOLIDATED=Y","FA_ADJUSTED=GAAP","Sort=A","Dates=H","DateFormat=P","Fill=—","Direction=H","UseDPDF=Y")</f>
        <v>#NAME?</v>
      </c>
      <c r="CF303" s="2" t="e">
        <f ca="1">_xll.BDH($C$303,"EBITDA_TO_INTEREST_EXPN","FY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03" s="2" t="e">
        <f ca="1">_xll.BDH($C$303,"COM_EQY_TO_TOT_ASSET","FY 2014","FY 2014","Currency=INR","Period=FY","BEST_FPERIOD_OVERRIDE=FY","FILING_STATUS=OR","EQY_CONSOLIDATED=Y","Sort=A","Dates=H","DateFormat=P","Fill=—","Direction=H","UseDPDF=Y")</f>
        <v>#NAME?</v>
      </c>
      <c r="CH303" s="2" t="e">
        <f ca="1">_xll.BDH($C$303,"LT_DEBT_TO_TOT_EQY","FY 2014","FY 2014","Currency=INR","Period=FY","BEST_FPERIOD_OVERRIDE=FY","FILING_STATUS=OR","EQY_CONSOLIDATED=Y","Sort=A","Dates=H","DateFormat=P","Fill=—","Direction=H","UseDPDF=Y")</f>
        <v>#NAME?</v>
      </c>
      <c r="CI303" s="2" t="e">
        <f ca="1">_xll.BDH($C$303,"LT_DEBT_TO_TOT_CAP","FY 2014","FY 2014","Currency=INR","Period=FY","BEST_FPERIOD_OVERRIDE=FY","FILING_STATUS=OR","EQY_CONSOLIDATED=Y","Sort=A","Dates=H","DateFormat=P","Fill=—","Direction=H","UseDPDF=Y")</f>
        <v>#NAME?</v>
      </c>
      <c r="CJ303" s="2" t="e">
        <f ca="1">_xll.BDH($C$303,"LT_DEBT_TO_TOT_ASSET","FY 2014","FY 2014","Currency=INR","Period=FY","BEST_FPERIOD_OVERRIDE=FY","FILING_STATUS=OR","EQY_CONSOLIDATED=Y","Sort=A","Dates=H","DateFormat=P","Fill=—","Direction=H","UseDPDF=Y")</f>
        <v>#NAME?</v>
      </c>
      <c r="CK303" s="2" t="e">
        <f ca="1">_xll.BDH($C$303,"TOT_DEBT_TO_TOT_EQY","FY 2014","FY 2014","Currency=INR","Period=FY","BEST_FPERIOD_OVERRIDE=FY","FILING_STATUS=OR","EQY_CONSOLIDATED=Y","Sort=A","Dates=H","DateFormat=P","Fill=—","Direction=H","UseDPDF=Y")</f>
        <v>#NAME?</v>
      </c>
      <c r="CL303" s="2" t="e">
        <f ca="1">_xll.BDH($C$303,"TOT_DEBT_TO_TOT_CAP","FY 2014","FY 2014","Currency=INR","Period=FY","BEST_FPERIOD_OVERRIDE=FY","FILING_STATUS=OR","EQY_CONSOLIDATED=Y","Sort=A","Dates=H","DateFormat=P","Fill=—","Direction=H","UseDPDF=Y")</f>
        <v>#NAME?</v>
      </c>
      <c r="CM303" s="2" t="e">
        <f ca="1">_xll.BDH($C$303,"TOT_DEBT_TO_TOT_ASSET","FY 2014","FY 2014","Currency=INR","Period=FY","BEST_FPERIOD_OVERRIDE=FY","FILING_STATUS=OR","EQY_CONSOLIDATED=Y","Sort=A","Dates=H","DateFormat=P","Fill=—","Direction=H","UseDPDF=Y")</f>
        <v>#NAME?</v>
      </c>
      <c r="CN303" s="2" t="e">
        <f ca="1">_xll.BDH($C$303,"NET_DEBT_TO_SHRHLDR_EQTY","FY 2014","FY 2014","Currency=INR","Period=FY","BEST_FPERIOD_OVERRIDE=FY","FILING_STATUS=OR","EQY_CONSOLIDATED=Y","Sort=A","Dates=H","DateFormat=P","Fill=—","Direction=H","UseDPDF=Y")</f>
        <v>#NAME?</v>
      </c>
      <c r="CO303" s="2" t="e">
        <f ca="1">_xll.BDH($C$303,"NET_DEBT_%_CAPITAL","FY 2014","FY 2014","Currency=INR","Period=FY","BEST_FPERIOD_OVERRIDE=FY","FILING_STATUS=OR","EQY_CONSOLIDATED=Y","Sort=A","Dates=H","DateFormat=P","Fill=—","Direction=H","UseDPDF=Y")</f>
        <v>#NAME?</v>
      </c>
      <c r="CP303" s="3" t="e">
        <f ca="1">_xll.BDH($C$303,"EBITDA","FY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03" s="3" t="e">
        <f ca="1">_xll.BDH($C$303,"EBITDA_AFTER_CAPEX","FY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03" s="3" t="e">
        <f ca="1">_xll.BDH($C$303,"IS_OPER_INC","FY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03" s="2" t="e">
        <f ca="1">_xll.BDH($C$303,"CASH_RATIO","FY 2014","FY 2014","Currency=INR","Period=FY","BEST_FPERIOD_OVERRIDE=FY","FILING_STATUS=OR","EQY_CONSOLIDATED=Y","Sort=A","Dates=H","DateFormat=P","Fill=—","Direction=H","UseDPDF=Y")</f>
        <v>#NAME?</v>
      </c>
      <c r="CT303" s="2" t="e">
        <f ca="1">_xll.BDH($C$303,"CUR_RATIO","FY 2014","FY 2014","Currency=INR","Period=FY","BEST_FPERIOD_OVERRIDE=FY","FILING_STATUS=OR","EQY_CONSOLIDATED=Y","Sort=A","Dates=H","DateFormat=P","Fill=—","Direction=H","UseDPDF=Y")</f>
        <v>#NAME?</v>
      </c>
      <c r="CU303" s="2" t="e">
        <f ca="1">_xll.BDH($C$303,"QUICK_RATIO","FY 2014","FY 2014","Currency=INR","Period=FY","BEST_FPERIOD_OVERRIDE=FY","FILING_STATUS=OR","EQY_CONSOLIDATED=Y","Sort=A","Dates=H","DateFormat=P","Fill=—","Direction=H","UseDPDF=Y")</f>
        <v>#NAME?</v>
      </c>
      <c r="CV303" s="2" t="e">
        <f ca="1">_xll.BDH($C$303,"ALTMAN_Z_SCORE","FY 2014","FY 2014","Currency=INR","Period=FY","BEST_FPERIOD_OVERRIDE=FY","FILING_STATUS=OR","EQY_CONSOLIDATED=Y","Sort=A","Dates=H","DateFormat=P","Fill=—","Direction=H","UseDPDF=Y")</f>
        <v>#NAME?</v>
      </c>
      <c r="CW303" s="4" t="e">
        <f ca="1">_xll.BDH($C$303,"ACCT_RCV_TURN","FY 2014","FY 2014","Currency=INR","Period=FY","BEST_FPERIOD_OVERRIDE=FY","FILING_STATUS=OR","EQY_CONSOLIDATED=Y","FA_ADJUSTED=GAAP","Sort=A","Dates=H","DateFormat=P","Fill=—","Direction=H","UseDPDF=Y")</f>
        <v>#NAME?</v>
      </c>
      <c r="CX303" s="2" t="e">
        <f ca="1">_xll.BDH($C$303,"ACCT_RCV_DAYS","FY 2014","FY 2014","Currency=INR","Period=FY","BEST_FPERIOD_OVERRIDE=FY","FILING_STATUS=OR","EQY_CONSOLIDATED=Y","FA_ADJUSTED=GAAP","Sort=A","Dates=H","DateFormat=P","Fill=—","Direction=H","UseDPDF=Y")</f>
        <v>#NAME?</v>
      </c>
      <c r="CY303" s="4" t="e">
        <f ca="1">_xll.BDH($C$303,"INVENT_TURN","FY 2014","FY 2014","Currency=INR","Period=FY","BEST_FPERIOD_OVERRIDE=FY","FILING_STATUS=OR","EQY_CONSOLIDATED=Y","FA_ADJUSTED=GAAP","Sort=A","Dates=H","DateFormat=P","Fill=—","Direction=H","UseDPDF=Y")</f>
        <v>#NAME?</v>
      </c>
      <c r="CZ303" s="2" t="e">
        <f ca="1">_xll.BDH($C$303,"INVENT_DAYS","FY 2014","FY 2014","Currency=INR","Period=FY","BEST_FPERIOD_OVERRIDE=FY","FILING_STATUS=OR","EQY_CONSOLIDATED=Y","FA_ADJUSTED=GAAP","Sort=A","Dates=H","DateFormat=P","Fill=—","Direction=H","UseDPDF=Y")</f>
        <v>#NAME?</v>
      </c>
      <c r="DA303" s="4" t="e">
        <f ca="1">_xll.BDH($C$303,"ACCOUNTS_PAYABLE_TURNOVER","FY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03" s="2" t="e">
        <f ca="1">_xll.BDH($C$303,"ACCOUNTS_PAYABLE_TURNOVER_DAYS","FY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03" s="4" t="e">
        <f ca="1">_xll.BDH($C$303,"CASH_CONVERSION_CYCLE","FY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03" s="4" t="e">
        <f ca="1">_xll.BDH($C$303,"INV_TO_CASH_DAYS","FY 2014","FY 2014","Currency=INR","Period=FY","BEST_FPERIOD_OVERRIDE=FY","FILING_STATUS=OR","EQY_CONSOLIDATED=Y","FA_ADJUSTED=GAAP","Sort=A","Dates=H","DateFormat=P","Fill=—","Direction=H","UseDPDF=Y")</f>
        <v>#NAME?</v>
      </c>
      <c r="DE303" s="5" t="e">
        <f ca="1">_xll.BDH($C$303,"BS_INVENTORIES","FY 2014","FY 2014","Currency=INR","Period=FY","BEST_FPERIOD_OVERRIDE=FY","FILING_STATUS=OR","EQY_CONSOLIDATED=Y","SCALING_FORMAT=MLN","Sort=A","Dates=H","DateFormat=P","Fill=—","Direction=H","UseDPDF=Y")</f>
        <v>#NAME?</v>
      </c>
      <c r="DF303" s="3" t="e">
        <f ca="1">_xll.BDH($C$303,"INVTRY_RAW_MATERIALS","FY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03" s="3" t="e">
        <f ca="1">_xll.BDH($C$303,"INVTRY_IN_PROGRESS","FY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03" s="3" t="e">
        <f ca="1">_xll.BDH($C$303,"INVTRY_FINISHED_GOODS","FY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03" s="3" t="e">
        <f ca="1">_xll.BDH($C$303,"BS_OTHER_INV","FY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04" spans="1:113" x14ac:dyDescent="0.3">
      <c r="A304" s="6"/>
      <c r="B304" s="6"/>
      <c r="C304" s="6"/>
      <c r="D304" s="6"/>
      <c r="E304" t="s">
        <v>78</v>
      </c>
      <c r="F304" t="e">
        <f ca="1">_xll.BDH($C$303,"RETURN_COM_EQY","FQ1 2014","FQ1 2014","Currency=INR","Period=FQ","BEST_FPERIOD_OVERRIDE=FQ","FILING_STATUS=OR","EQY_CONSOLIDATED=Y","FA_ADJUSTED=GAAP","Sort=A","Dates=H","DateFormat=P","Fill=—","Direction=H","UseDPDF=Y")</f>
        <v>#NAME?</v>
      </c>
      <c r="G304" t="e">
        <f ca="1">_xll.BDH($C$303,"RETURN_ON_ASSET","FQ1 2014","FQ1 2014","Currency=INR","Period=FQ","BEST_FPERIOD_OVERRIDE=FQ","FILING_STATUS=OR","EQY_CONSOLIDATED=Y","FA_ADJUSTED=GAAP","Sort=A","Dates=H","DateFormat=P","Fill=—","Direction=H","UseDPDF=Y")</f>
        <v>#NAME?</v>
      </c>
      <c r="H304" t="e">
        <f ca="1">_xll.BDH($C$303,"RETURN_ON_CAP","FQ1 2014","FQ1 2014","Currency=INR","Period=FQ","BEST_FPERIOD_OVERRIDE=FQ","FILING_STATUS=OR","EQY_CONSOLIDATED=Y","FA_ADJUSTED=GAAP","Sort=A","Dates=H","DateFormat=P","Fill=—","Direction=H","UseDPDF=Y")</f>
        <v>#NAME?</v>
      </c>
      <c r="I304" t="e">
        <f ca="1">_xll.BDH($C$303,"RETURN_ON_INV_CAPITAL","FQ1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04" t="e">
        <f ca="1">_xll.BDH($C$303,"EBITDA_TO_REVENUE","FQ1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04" t="e">
        <f ca="1">_xll.BDH($C$303,"OPER_MARGIN","FQ1 2014","FQ1 2014","Currency=INR","Period=FQ","BEST_FPERIOD_OVERRIDE=FQ","FILING_STATUS=OR","EQY_CONSOLIDATED=Y","FA_ADJUSTED=GAAP","Sort=A","Dates=H","DateFormat=P","Fill=—","Direction=H","UseDPDF=Y")</f>
        <v>#NAME?</v>
      </c>
      <c r="L304" t="e">
        <f ca="1">_xll.BDH($C$303,"INCREMENTAL_OPERATING_MARGIN","FQ1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04" t="e">
        <f ca="1">_xll.BDH($C$303,"PRETAX_INC_TO_NET_SALES","FQ1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04" t="e">
        <f ca="1">_xll.BDH($C$303,"INC_BEF_XO_ITEMS_TO_NET_SALES","FQ1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04" t="e">
        <f ca="1">_xll.BDH($C$303,"PROF_MARGIN","FQ1 2014","FQ1 2014","Currency=INR","Period=FQ","BEST_FPERIOD_OVERRIDE=FQ","FILING_STATUS=OR","EQY_CONSOLIDATED=Y","FA_ADJUSTED=GAAP","Sort=A","Dates=H","DateFormat=P","Fill=—","Direction=H","UseDPDF=Y")</f>
        <v>#NAME?</v>
      </c>
      <c r="P304" t="e">
        <f ca="1">_xll.BDH($C$303,"NET_INCOME_TO_COMMON_MARGIN","FQ1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04" t="e">
        <f ca="1">_xll.BDH($C$303,"EFF_TAX_RATE","FQ1 2014","FQ1 2014","Currency=INR","Period=FQ","BEST_FPERIOD_OVERRIDE=FQ","FILING_STATUS=OR","EQY_CONSOLIDATED=Y","FA_ADJUSTED=GAAP","Sort=A","Dates=H","DateFormat=P","Fill=—","Direction=H","UseDPDF=Y")</f>
        <v>#NAME?</v>
      </c>
      <c r="R304" t="e">
        <f ca="1">_xll.BDH($C$303,"DVD_PAYOUT_RATIO","FQ1 2014","FQ1 2014","Currency=INR","Period=FQ","BEST_FPERIOD_OVERRIDE=FQ","FILING_STATUS=OR","EQY_CONSOLIDATED=Y","FA_ADJUSTED=GAAP","Sort=A","Dates=H","DateFormat=P","Fill=—","Direction=H","UseDPDF=Y")</f>
        <v>#NAME?</v>
      </c>
      <c r="S304" t="e">
        <f ca="1">_xll.BDH($C$303,"SUSTAIN_GROWTH_RT","FQ1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04" s="2" t="e">
        <f ca="1">_xll.BDH($C$303,"SALES_GROWTH","FQ1 2014","FQ1 2014","Currency=INR","Period=FQ","BEST_FPERIOD_OVERRIDE=FQ","FILING_STATUS=OR","EQY_CONSOLIDATED=Y","FA_ADJUSTED=GAAP","Sort=A","Dates=H","DateFormat=P","Fill=—","Direction=H","UseDPDF=Y")</f>
        <v>#NAME?</v>
      </c>
      <c r="U304" s="2" t="e">
        <f ca="1">_xll.BDH($C$303,"EBITDA_GROWTH","FQ1 2014","FQ1 2014","Currency=INR","Period=FQ","BEST_FPERIOD_OVERRIDE=FQ","FILING_STATUS=OR","EQY_CONSOLIDATED=Y","FA_ADJUSTED=GAAP","Sort=A","Dates=H","DateFormat=P","Fill=—","Direction=H","UseDPDF=Y")</f>
        <v>#NAME?</v>
      </c>
      <c r="V304" s="2" t="e">
        <f ca="1">_xll.BDH($C$303,"OPER_INC_GROWTH","FQ1 2014","FQ1 2014","Currency=INR","Period=FQ","BEST_FPERIOD_OVERRIDE=FQ","FILING_STATUS=OR","EQY_CONSOLIDATED=Y","FA_ADJUSTED=GAAP","Sort=A","Dates=H","DateFormat=P","Fill=—","Direction=H","UseDPDF=Y")</f>
        <v>#NAME?</v>
      </c>
      <c r="W304" s="2" t="e">
        <f ca="1">_xll.BDH($C$303,"EARN_FOR_COM_GROWTH","FQ1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04" s="2" t="e">
        <f ca="1">_xll.BDH($C$303,"DILUTED_EPS_AFT_XO_ITEMS_GROWTH","FQ1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04" s="2" t="e">
        <f ca="1">_xll.BDH($C$303,"DIVIDEND_PER_SHARE_1_YEAR_GROWTH","FQ1 2014","FQ1 2014","Currency=INR","Period=FQ","BEST_FPERIOD_OVERRIDE=FQ","FILING_STATUS=OR","EQY_CONSOLIDATED=Y","Sort=A","Dates=H","DateFormat=P","Fill=—","Direction=H","UseDPDF=Y")</f>
        <v>#NAME?</v>
      </c>
      <c r="Z304" s="2" t="e">
        <f ca="1">_xll.BDH($C$303,"ACCOUNTS_RECEIVABLE_GROWTH","FQ1 2014","FQ1 2014","Currency=INR","Period=FQ","BEST_FPERIOD_OVERRIDE=FQ","FILING_STATUS=OR","EQY_CONSOLIDATED=Y","Sort=A","Dates=H","DateFormat=P","Fill=—","Direction=H","UseDPDF=Y")</f>
        <v>#NAME?</v>
      </c>
      <c r="AA304" s="2" t="e">
        <f ca="1">_xll.BDH($C$303,"INVENTORY_GROWTH","FQ1 2014","FQ1 2014","Currency=INR","Period=FQ","BEST_FPERIOD_OVERRIDE=FQ","FILING_STATUS=OR","EQY_CONSOLIDATED=Y","Sort=A","Dates=H","DateFormat=P","Fill=—","Direction=H","UseDPDF=Y")</f>
        <v>#NAME?</v>
      </c>
      <c r="AB304" s="2" t="e">
        <f ca="1">_xll.BDH($C$303,"NET_FIXED_ASSETS_1_YEAR_GROWTH","FQ1 2014","FQ1 2014","Currency=INR","Period=FQ","BEST_FPERIOD_OVERRIDE=FQ","FILING_STATUS=OR","EQY_CONSOLIDATED=Y","Sort=A","Dates=H","DateFormat=P","Fill=—","Direction=H","UseDPDF=Y")</f>
        <v>#NAME?</v>
      </c>
      <c r="AC304" s="2" t="e">
        <f ca="1">_xll.BDH($C$303,"ASSET_GROWTH","FQ1 2014","FQ1 2014","Currency=INR","Period=FQ","BEST_FPERIOD_OVERRIDE=FQ","FILING_STATUS=OR","EQY_CONSOLIDATED=Y","Sort=A","Dates=H","DateFormat=P","Fill=—","Direction=H","UseDPDF=Y")</f>
        <v>#NAME?</v>
      </c>
      <c r="AD304" s="2" t="e">
        <f ca="1">_xll.BDH($C$303,"MODIFIED_WORK_CAP_GROWTH","FQ1 2014","FQ1 2014","Currency=INR","Period=FQ","BEST_FPERIOD_OVERRIDE=FQ","FILING_STATUS=OR","EQY_CONSOLIDATED=Y","Sort=A","Dates=H","DateFormat=P","Fill=—","Direction=H","UseDPDF=Y")</f>
        <v>#NAME?</v>
      </c>
      <c r="AE304" s="2" t="e">
        <f ca="1">_xll.BDH($C$303,"WORK_CAP_GROWTH","FQ1 2014","FQ1 2014","Currency=INR","Period=FQ","BEST_FPERIOD_OVERRIDE=FQ","FILING_STATUS=OR","EQY_CONSOLIDATED=Y","Sort=A","Dates=H","DateFormat=P","Fill=—","Direction=H","UseDPDF=Y")</f>
        <v>#NAME?</v>
      </c>
      <c r="AF304" s="2" t="e">
        <f ca="1">_xll.BDH($C$303,"ACCOUNTS_PAYABLE_GROWTH_1YR","FQ1 2014","FQ1 2014","Currency=INR","Period=FQ","BEST_FPERIOD_OVERRIDE=FQ","FILING_STATUS=OR","EQY_CONSOLIDATED=Y","Sort=A","Dates=H","DateFormat=P","Fill=—","Direction=H","UseDPDF=Y")</f>
        <v>#NAME?</v>
      </c>
      <c r="AG304" s="2" t="e">
        <f ca="1">_xll.BDH($C$303,"SHORT_TERM_DEBT_1_YEAR_GROWTH","FQ1 2014","FQ1 2014","Currency=INR","Period=FQ","BEST_FPERIOD_OVERRIDE=FQ","FILING_STATUS=OR","EQY_CONSOLIDATED=Y","Sort=A","Dates=H","DateFormat=P","Fill=—","Direction=H","UseDPDF=Y")</f>
        <v>#NAME?</v>
      </c>
      <c r="AH304" s="2" t="e">
        <f ca="1">_xll.BDH($C$303,"TOTAL_DEBT_1_YEAR_GROWTH","FQ1 2014","FQ1 2014","Currency=INR","Period=FQ","BEST_FPERIOD_OVERRIDE=FQ","FILING_STATUS=OR","EQY_CONSOLIDATED=Y","Sort=A","Dates=H","DateFormat=P","Fill=—","Direction=H","UseDPDF=Y")</f>
        <v>#NAME?</v>
      </c>
      <c r="AI304" s="2" t="e">
        <f ca="1">_xll.BDH($C$303,"TOTAL_EQUITY_1_YEAR_GROWTH","FQ1 2014","FQ1 2014","Currency=INR","Period=FQ","BEST_FPERIOD_OVERRIDE=FQ","FILING_STATUS=OR","EQY_CONSOLIDATED=Y","Sort=A","Dates=H","DateFormat=P","Fill=—","Direction=H","UseDPDF=Y")</f>
        <v>#NAME?</v>
      </c>
      <c r="AJ304" s="2" t="e">
        <f ca="1">_xll.BDH($C$303,"GROWTH_IN_CAP","FQ1 2014","FQ1 2014","Currency=INR","Period=FQ","BEST_FPERIOD_OVERRIDE=FQ","FILING_STATUS=OR","EQY_CONSOLIDATED=Y","Sort=A","Dates=H","DateFormat=P","Fill=—","Direction=H","UseDPDF=Y")</f>
        <v>#NAME?</v>
      </c>
      <c r="AK304" s="2" t="e">
        <f ca="1">_xll.BDH($C$303,"BVPS_GROWTH","FQ1 2014","FQ1 2014","Currency=INR","Period=FQ","BEST_FPERIOD_OVERRIDE=FQ","FILING_STATUS=OR","EQY_CONSOLIDATED=Y","Sort=A","Dates=H","DateFormat=P","Fill=—","Direction=H","UseDPDF=Y")</f>
        <v>#NAME?</v>
      </c>
      <c r="AL304" s="2" t="e">
        <f ca="1">_xll.BDH($C$303,"CASH_FLOW_GROWTH","FQ1 2014","FQ1 2014","Currency=INR","Period=FQ","BEST_FPERIOD_OVERRIDE=FQ","FILING_STATUS=OR","EQY_CONSOLIDATED=Y","Sort=A","Dates=H","DateFormat=P","Fill=—","Direction=H","UseDPDF=Y")</f>
        <v>#NAME?</v>
      </c>
      <c r="AM304" s="2" t="e">
        <f ca="1">_xll.BDH($C$303,"GEO_GROW_NET_SALES","FQ1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04" s="2" t="e">
        <f ca="1">_xll.BDH($C$303,"GEO_GROW_EBITDA","FQ1 2014","FQ1 2014","Currency=INR","Period=FQ","BEST_FPERIOD_OVERRIDE=FQ","FILING_STATUS=OR","EQY_CONSOLIDATED=Y","FA_ADJUSTED=GAAP","Sort=A","Dates=H","DateFormat=P","Fill=—","Direction=H","UseDPDF=Y")</f>
        <v>#NAME?</v>
      </c>
      <c r="AO304" s="2" t="e">
        <f ca="1">_xll.BDH($C$303,"GEO_GROW_OPER_INC","FQ1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04" s="2" t="e">
        <f ca="1">_xll.BDH($C$303,"NET_INCOME_TO_COMMON_5_YR_GROWTH","FQ1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04" s="2" t="e">
        <f ca="1">_xll.BDH($C$303,"5Y_GEO_GROWTH_DILUTED_EPS","FQ1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04" s="2" t="e">
        <f ca="1">_xll.BDH($C$303,"GEO_GROW_DVD_PER_SH","FQ1 2014","FQ1 2014","Currency=INR","Period=FQ","BEST_FPERIOD_OVERRIDE=FQ","FILING_STATUS=OR","EQY_CONSOLIDATED=Y","Sort=A","Dates=H","DateFormat=P","Fill=—","Direction=H","UseDPDF=Y")</f>
        <v>#NAME?</v>
      </c>
      <c r="AS304" s="2" t="e">
        <f ca="1">_xll.BDH($C$303,"ACCOUNTS_RECEIVABLE_5_YR_GROWTH","FQ1 2014","FQ1 2014","Currency=INR","Period=FQ","BEST_FPERIOD_OVERRIDE=FQ","FILING_STATUS=OR","EQY_CONSOLIDATED=Y","Sort=A","Dates=H","DateFormat=P","Fill=—","Direction=H","UseDPDF=Y")</f>
        <v>#NAME?</v>
      </c>
      <c r="AT304" s="2" t="e">
        <f ca="1">_xll.BDH($C$303,"INVENTORY_5_YEAR_GROWTH","FQ1 2014","FQ1 2014","Currency=INR","Period=FQ","BEST_FPERIOD_OVERRIDE=FQ","FILING_STATUS=OR","EQY_CONSOLIDATED=Y","Sort=A","Dates=H","DateFormat=P","Fill=—","Direction=H","UseDPDF=Y")</f>
        <v>#NAME?</v>
      </c>
      <c r="AU304" s="2" t="e">
        <f ca="1">_xll.BDH($C$303,"NET_FIXED_ASSETS_5_YEAR_GROWTH","FQ1 2014","FQ1 2014","Currency=INR","Period=FQ","BEST_FPERIOD_OVERRIDE=FQ","FILING_STATUS=OR","EQY_CONSOLIDATED=Y","Sort=A","Dates=H","DateFormat=P","Fill=—","Direction=H","UseDPDF=Y")</f>
        <v>#NAME?</v>
      </c>
      <c r="AV304" s="2" t="e">
        <f ca="1">_xll.BDH($C$303,"GEO_GROW_TOT_ASSET","FQ1 2014","FQ1 2014","Currency=INR","Period=FQ","BEST_FPERIOD_OVERRIDE=FQ","FILING_STATUS=OR","EQY_CONSOLIDATED=Y","Sort=A","Dates=H","DateFormat=P","Fill=—","Direction=H","UseDPDF=Y")</f>
        <v>#NAME?</v>
      </c>
      <c r="AW304" s="2" t="e">
        <f ca="1">_xll.BDH($C$303,"MODIFIED_WORKING_CPTL_5YR_GRWTH","FQ1 2014","FQ1 2014","Currency=INR","Period=FQ","BEST_FPERIOD_OVERRIDE=FQ","FILING_STATUS=OR","EQY_CONSOLIDATED=Y","Sort=A","Dates=H","DateFormat=P","Fill=—","Direction=H","UseDPDF=Y")</f>
        <v>#NAME?</v>
      </c>
      <c r="AX304" s="2" t="e">
        <f ca="1">_xll.BDH($C$303,"WORKING_CAPITAL_5_YEAR_GROWTH","FQ1 2014","FQ1 2014","Currency=INR","Period=FQ","BEST_FPERIOD_OVERRIDE=FQ","FILING_STATUS=OR","EQY_CONSOLIDATED=Y","Sort=A","Dates=H","DateFormat=P","Fill=—","Direction=H","UseDPDF=Y")</f>
        <v>#NAME?</v>
      </c>
      <c r="AY304" s="2" t="e">
        <f ca="1">_xll.BDH($C$303,"ACCOUNTS_PAYABLE_5_YEAR_GROWTH","FQ1 2014","FQ1 2014","Currency=INR","Period=FQ","BEST_FPERIOD_OVERRIDE=FQ","FILING_STATUS=OR","EQY_CONSOLIDATED=Y","Sort=A","Dates=H","DateFormat=P","Fill=—","Direction=H","UseDPDF=Y")</f>
        <v>#NAME?</v>
      </c>
      <c r="AZ304" s="2" t="e">
        <f ca="1">_xll.BDH($C$303,"SHORT_TERM_DEBT_5_YEAR_GROWTH","FQ1 2014","FQ1 2014","Currency=INR","Period=FQ","BEST_FPERIOD_OVERRIDE=FQ","FILING_STATUS=OR","EQY_CONSOLIDATED=Y","Sort=A","Dates=H","DateFormat=P","Fill=—","Direction=H","UseDPDF=Y")</f>
        <v>#NAME?</v>
      </c>
      <c r="BA304" s="2" t="e">
        <f ca="1">_xll.BDH($C$303,"TOTAL_DEBT_5_YEAR_GROWTH","FQ1 2014","FQ1 2014","Currency=INR","Period=FQ","BEST_FPERIOD_OVERRIDE=FQ","FILING_STATUS=OR","EQY_CONSOLIDATED=Y","Sort=A","Dates=H","DateFormat=P","Fill=—","Direction=H","UseDPDF=Y")</f>
        <v>#NAME?</v>
      </c>
      <c r="BB304" s="2" t="e">
        <f ca="1">_xll.BDH($C$303,"GEO_GROW_TOT_SHRHLDR_EQY","FQ1 2014","FQ1 2014","Currency=INR","Period=FQ","BEST_FPERIOD_OVERRIDE=FQ","FILING_STATUS=OR","EQY_CONSOLIDATED=Y","Sort=A","Dates=H","DateFormat=P","Fill=—","Direction=H","UseDPDF=Y")</f>
        <v>#NAME?</v>
      </c>
      <c r="BC304" s="2" t="e">
        <f ca="1">_xll.BDH($C$303,"TOTAL_CAPITAL_5_YEAR_GROWTH","FQ1 2014","FQ1 2014","Currency=INR","Period=FQ","BEST_FPERIOD_OVERRIDE=FQ","FILING_STATUS=OR","EQY_CONSOLIDATED=Y","Sort=A","Dates=H","DateFormat=P","Fill=—","Direction=H","UseDPDF=Y")</f>
        <v>#NAME?</v>
      </c>
      <c r="BD304" s="2" t="e">
        <f ca="1">_xll.BDH($C$303,"GEO_GROW_BOOK_VAL","FQ1 2014","FQ1 2014","Currency=INR","Period=FQ","BEST_FPERIOD_OVERRIDE=FQ","FILING_STATUS=OR","EQY_CONSOLIDATED=Y","Sort=A","Dates=H","DateFormat=P","Fill=—","Direction=H","UseDPDF=Y")</f>
        <v>#NAME?</v>
      </c>
      <c r="BE304" s="2" t="e">
        <f ca="1">_xll.BDH($C$303,"GEO_GROW_CASH_OPER_ACT","FQ1 2014","FQ1 2014","Currency=INR","Period=FQ","BEST_FPERIOD_OVERRIDE=FQ","FILING_STATUS=OR","EQY_CONSOLIDATED=Y","Sort=A","Dates=H","DateFormat=P","Fill=—","Direction=H","UseDPDF=Y")</f>
        <v>#NAME?</v>
      </c>
      <c r="BF304" s="2" t="e">
        <f ca="1">_xll.BDH($C$303,"REVENUE_SEQUENTIAL_GROWTH","FQ1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04" s="2" t="e">
        <f ca="1">_xll.BDH($C$303,"EBITDA_SEQUENTIAL_GROWTH","FQ1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04" s="2" t="e">
        <f ca="1">_xll.BDH($C$303,"OPERATING_INCOME_SEQ_GROWTH","FQ1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04" s="2" t="e">
        <f ca="1">_xll.BDH($C$303,"NET_INCOME_TO_COMMON_SEQ_GROWTH","FQ1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04" s="2" t="e">
        <f ca="1">_xll.BDH($C$303,"EPS_DILUTED_SEQUENTIAL_GROWTH","FQ1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04" s="2" t="e">
        <f ca="1">_xll.BDH($C$303,"DPS_SEQUENTIAL_GROWTH","FQ1 2014","FQ1 2014","Currency=INR","Period=FQ","BEST_FPERIOD_OVERRIDE=FQ","FILING_STATUS=OR","EQY_CONSOLIDATED=Y","Sort=A","Dates=H","DateFormat=P","Fill=—","Direction=H","UseDPDF=Y")</f>
        <v>#NAME?</v>
      </c>
      <c r="BL304" s="2" t="e">
        <f ca="1">_xll.BDH($C$303,"ACCOUNTS_RECEIVABLE_SEQ_GROWTH","FQ1 2014","FQ1 2014","Currency=INR","Period=FQ","BEST_FPERIOD_OVERRIDE=FQ","FILING_STATUS=OR","EQY_CONSOLIDATED=Y","Sort=A","Dates=H","DateFormat=P","Fill=—","Direction=H","UseDPDF=Y")</f>
        <v>#NAME?</v>
      </c>
      <c r="BM304" s="2" t="e">
        <f ca="1">_xll.BDH($C$303,"INVENTORY_SEQUENTIAL_GROWTH","FQ1 2014","FQ1 2014","Currency=INR","Period=FQ","BEST_FPERIOD_OVERRIDE=FQ","FILING_STATUS=OR","EQY_CONSOLIDATED=Y","Sort=A","Dates=H","DateFormat=P","Fill=—","Direction=H","UseDPDF=Y")</f>
        <v>#NAME?</v>
      </c>
      <c r="BN304" s="2" t="e">
        <f ca="1">_xll.BDH($C$303,"FIXED_ASSETS_SEQUENTIAL_GROWTH","FQ1 2014","FQ1 2014","Currency=INR","Period=FQ","BEST_FPERIOD_OVERRIDE=FQ","FILING_STATUS=OR","EQY_CONSOLIDATED=Y","Sort=A","Dates=H","DateFormat=P","Fill=—","Direction=H","UseDPDF=Y")</f>
        <v>#NAME?</v>
      </c>
      <c r="BO304" s="2" t="e">
        <f ca="1">_xll.BDH($C$303,"TOTAL_ASSETS_SEQUENTIAL_GROWTH","FQ1 2014","FQ1 2014","Currency=INR","Period=FQ","BEST_FPERIOD_OVERRIDE=FQ","FILING_STATUS=OR","EQY_CONSOLIDATED=Y","Sort=A","Dates=H","DateFormat=P","Fill=—","Direction=H","UseDPDF=Y")</f>
        <v>#NAME?</v>
      </c>
      <c r="BP304" s="2" t="e">
        <f ca="1">_xll.BDH($C$303,"MODIFIED_WORKING_CPTL_SEQ_GRWTH","FQ1 2014","FQ1 2014","Currency=INR","Period=FQ","BEST_FPERIOD_OVERRIDE=FQ","FILING_STATUS=OR","EQY_CONSOLIDATED=Y","Sort=A","Dates=H","DateFormat=P","Fill=—","Direction=H","UseDPDF=Y")</f>
        <v>#NAME?</v>
      </c>
      <c r="BQ304" s="2" t="e">
        <f ca="1">_xll.BDH($C$303,"WORKING_CAPITAL_SEQ_GROWTH","FQ1 2014","FQ1 2014","Currency=INR","Period=FQ","BEST_FPERIOD_OVERRIDE=FQ","FILING_STATUS=OR","EQY_CONSOLIDATED=Y","Sort=A","Dates=H","DateFormat=P","Fill=—","Direction=H","UseDPDF=Y")</f>
        <v>#NAME?</v>
      </c>
      <c r="BR304" s="2" t="e">
        <f ca="1">_xll.BDH($C$303,"ACCOUNTS_PAYABLE_SEQ_GROWTH","FQ1 2014","FQ1 2014","Currency=INR","Period=FQ","BEST_FPERIOD_OVERRIDE=FQ","FILING_STATUS=OR","EQY_CONSOLIDATED=Y","Sort=A","Dates=H","DateFormat=P","Fill=—","Direction=H","UseDPDF=Y")</f>
        <v>#NAME?</v>
      </c>
      <c r="BS304" s="2" t="e">
        <f ca="1">_xll.BDH($C$303,"ST_DEBT_SEQUENTIAL_GROWTH","FQ1 2014","FQ1 2014","Currency=INR","Period=FQ","BEST_FPERIOD_OVERRIDE=FQ","FILING_STATUS=OR","EQY_CONSOLIDATED=Y","Sort=A","Dates=H","DateFormat=P","Fill=—","Direction=H","UseDPDF=Y")</f>
        <v>#NAME?</v>
      </c>
      <c r="BT304" s="2" t="e">
        <f ca="1">_xll.BDH($C$303,"TOTAL_DEBT_SEQUENTIAL_GROWTH","FQ1 2014","FQ1 2014","Currency=INR","Period=FQ","BEST_FPERIOD_OVERRIDE=FQ","FILING_STATUS=OR","EQY_CONSOLIDATED=Y","Sort=A","Dates=H","DateFormat=P","Fill=—","Direction=H","UseDPDF=Y")</f>
        <v>#NAME?</v>
      </c>
      <c r="BU304" s="2" t="e">
        <f ca="1">_xll.BDH($C$303,"TOTAL_EQUITY_SEQUENTIAL_GROWTH","FQ1 2014","FQ1 2014","Currency=INR","Period=FQ","BEST_FPERIOD_OVERRIDE=FQ","FILING_STATUS=OR","EQY_CONSOLIDATED=Y","Sort=A","Dates=H","DateFormat=P","Fill=—","Direction=H","UseDPDF=Y")</f>
        <v>#NAME?</v>
      </c>
      <c r="BV304" s="2" t="e">
        <f ca="1">_xll.BDH($C$303,"TOTAL_CAPITAL_SEQUENTIAL_GROWTH","FQ1 2014","FQ1 2014","Currency=INR","Period=FQ","BEST_FPERIOD_OVERRIDE=FQ","FILING_STATUS=OR","EQY_CONSOLIDATED=Y","Sort=A","Dates=H","DateFormat=P","Fill=—","Direction=H","UseDPDF=Y")</f>
        <v>#NAME?</v>
      </c>
      <c r="BW304" s="2" t="e">
        <f ca="1">_xll.BDH($C$303,"BPS_SEQUENTIAL_GROWTH","FQ1 2014","FQ1 2014","Currency=INR","Period=FQ","BEST_FPERIOD_OVERRIDE=FQ","FILING_STATUS=OR","EQY_CONSOLIDATED=Y","Sort=A","Dates=H","DateFormat=P","Fill=—","Direction=H","UseDPDF=Y")</f>
        <v>#NAME?</v>
      </c>
      <c r="BX304" s="2" t="e">
        <f ca="1">_xll.BDH($C$303,"CFO_SEQUENTIAL_GROWTH","FQ1 2014","FQ1 2014","Currency=INR","Period=FQ","BEST_FPERIOD_OVERRIDE=FQ","FILING_STATUS=OR","EQY_CONSOLIDATED=Y","Sort=A","Dates=H","DateFormat=P","Fill=—","Direction=H","UseDPDF=Y")</f>
        <v>#NAME?</v>
      </c>
      <c r="BY304" s="3" t="e">
        <f ca="1">_xll.BDH($C$303,"SHORT_AND_LONG_TERM_DEBT","FQ1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04" s="3" t="e">
        <f ca="1">_xll.BDH($C$303,"BS_ST_BORROW","FQ1 2014","FQ1 2014","Currency=INR","Period=FQ","BEST_FPERIOD_OVERRIDE=FQ","FILING_STATUS=OR","EQY_CONSOLIDATED=Y","SCALING_FORMAT=MLN","Sort=A","Dates=H","DateFormat=P","Fill=—","Direction=H","UseDPDF=Y")</f>
        <v>#NAME?</v>
      </c>
      <c r="CA304" s="3" t="e">
        <f ca="1">_xll.BDH($C$303,"BS_LT_BORROW","FQ1 2014","FQ1 2014","Currency=INR","Period=FQ","BEST_FPERIOD_OVERRIDE=FQ","FILING_STATUS=OR","EQY_CONSOLIDATED=Y","SCALING_FORMAT=MLN","Sort=A","Dates=H","DateFormat=P","Fill=—","Direction=H","UseDPDF=Y")</f>
        <v>#NAME?</v>
      </c>
      <c r="CB304" s="2" t="e">
        <f ca="1">_xll.BDH($C$303,"TOT_DEBT_TO_EBITDA","FQ1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04" s="2" t="e">
        <f ca="1">_xll.BDH($C$303,"NET_DEBT_TO_EBITDA","FQ1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04" s="2" t="e">
        <f ca="1">_xll.BDH($C$303,"TOTAL_DEBT_TO_EBIT","FQ1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04" s="2" t="e">
        <f ca="1">_xll.BDH($C$303,"NET_DEBT_TO_EBIT","FQ1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04" s="2" t="e">
        <f ca="1">_xll.BDH($C$303,"EBITDA_TO_INTEREST_EXPN","FQ1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04" s="2" t="e">
        <f ca="1">_xll.BDH($C$303,"COM_EQY_TO_TOT_ASSET","FQ1 2014","FQ1 2014","Currency=INR","Period=FQ","BEST_FPERIOD_OVERRIDE=FQ","FILING_STATUS=OR","EQY_CONSOLIDATED=Y","Sort=A","Dates=H","DateFormat=P","Fill=—","Direction=H","UseDPDF=Y")</f>
        <v>#NAME?</v>
      </c>
      <c r="CH304" s="2" t="e">
        <f ca="1">_xll.BDH($C$303,"LT_DEBT_TO_TOT_EQY","FQ1 2014","FQ1 2014","Currency=INR","Period=FQ","BEST_FPERIOD_OVERRIDE=FQ","FILING_STATUS=OR","EQY_CONSOLIDATED=Y","Sort=A","Dates=H","DateFormat=P","Fill=—","Direction=H","UseDPDF=Y")</f>
        <v>#NAME?</v>
      </c>
      <c r="CI304" s="2" t="e">
        <f ca="1">_xll.BDH($C$303,"LT_DEBT_TO_TOT_CAP","FQ1 2014","FQ1 2014","Currency=INR","Period=FQ","BEST_FPERIOD_OVERRIDE=FQ","FILING_STATUS=OR","EQY_CONSOLIDATED=Y","Sort=A","Dates=H","DateFormat=P","Fill=—","Direction=H","UseDPDF=Y")</f>
        <v>#NAME?</v>
      </c>
      <c r="CJ304" s="2" t="e">
        <f ca="1">_xll.BDH($C$303,"LT_DEBT_TO_TOT_ASSET","FQ1 2014","FQ1 2014","Currency=INR","Period=FQ","BEST_FPERIOD_OVERRIDE=FQ","FILING_STATUS=OR","EQY_CONSOLIDATED=Y","Sort=A","Dates=H","DateFormat=P","Fill=—","Direction=H","UseDPDF=Y")</f>
        <v>#NAME?</v>
      </c>
      <c r="CK304" s="2" t="e">
        <f ca="1">_xll.BDH($C$303,"TOT_DEBT_TO_TOT_EQY","FQ1 2014","FQ1 2014","Currency=INR","Period=FQ","BEST_FPERIOD_OVERRIDE=FQ","FILING_STATUS=OR","EQY_CONSOLIDATED=Y","Sort=A","Dates=H","DateFormat=P","Fill=—","Direction=H","UseDPDF=Y")</f>
        <v>#NAME?</v>
      </c>
      <c r="CL304" s="2" t="e">
        <f ca="1">_xll.BDH($C$303,"TOT_DEBT_TO_TOT_CAP","FQ1 2014","FQ1 2014","Currency=INR","Period=FQ","BEST_FPERIOD_OVERRIDE=FQ","FILING_STATUS=OR","EQY_CONSOLIDATED=Y","Sort=A","Dates=H","DateFormat=P","Fill=—","Direction=H","UseDPDF=Y")</f>
        <v>#NAME?</v>
      </c>
      <c r="CM304" s="2" t="e">
        <f ca="1">_xll.BDH($C$303,"TOT_DEBT_TO_TOT_ASSET","FQ1 2014","FQ1 2014","Currency=INR","Period=FQ","BEST_FPERIOD_OVERRIDE=FQ","FILING_STATUS=OR","EQY_CONSOLIDATED=Y","Sort=A","Dates=H","DateFormat=P","Fill=—","Direction=H","UseDPDF=Y")</f>
        <v>#NAME?</v>
      </c>
      <c r="CN304" s="2" t="e">
        <f ca="1">_xll.BDH($C$303,"NET_DEBT_TO_SHRHLDR_EQTY","FQ1 2014","FQ1 2014","Currency=INR","Period=FQ","BEST_FPERIOD_OVERRIDE=FQ","FILING_STATUS=OR","EQY_CONSOLIDATED=Y","Sort=A","Dates=H","DateFormat=P","Fill=—","Direction=H","UseDPDF=Y")</f>
        <v>#NAME?</v>
      </c>
      <c r="CO304" s="2" t="e">
        <f ca="1">_xll.BDH($C$303,"NET_DEBT_%_CAPITAL","FQ1 2014","FQ1 2014","Currency=INR","Period=FQ","BEST_FPERIOD_OVERRIDE=FQ","FILING_STATUS=OR","EQY_CONSOLIDATED=Y","Sort=A","Dates=H","DateFormat=P","Fill=—","Direction=H","UseDPDF=Y")</f>
        <v>#NAME?</v>
      </c>
      <c r="CP304" s="3" t="e">
        <f ca="1">_xll.BDH($C$303,"EBITDA","FQ1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04" s="3" t="e">
        <f ca="1">_xll.BDH($C$303,"EBITDA_AFTER_CAPEX","FQ1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04" s="3" t="e">
        <f ca="1">_xll.BDH($C$303,"IS_OPER_INC","FQ1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04" s="2" t="e">
        <f ca="1">_xll.BDH($C$303,"CASH_RATIO","FQ1 2014","FQ1 2014","Currency=INR","Period=FQ","BEST_FPERIOD_OVERRIDE=FQ","FILING_STATUS=OR","EQY_CONSOLIDATED=Y","Sort=A","Dates=H","DateFormat=P","Fill=—","Direction=H","UseDPDF=Y")</f>
        <v>#NAME?</v>
      </c>
      <c r="CT304" s="2" t="e">
        <f ca="1">_xll.BDH($C$303,"CUR_RATIO","FQ1 2014","FQ1 2014","Currency=INR","Period=FQ","BEST_FPERIOD_OVERRIDE=FQ","FILING_STATUS=OR","EQY_CONSOLIDATED=Y","Sort=A","Dates=H","DateFormat=P","Fill=—","Direction=H","UseDPDF=Y")</f>
        <v>#NAME?</v>
      </c>
      <c r="CU304" s="2" t="e">
        <f ca="1">_xll.BDH($C$303,"QUICK_RATIO","FQ1 2014","FQ1 2014","Currency=INR","Period=FQ","BEST_FPERIOD_OVERRIDE=FQ","FILING_STATUS=OR","EQY_CONSOLIDATED=Y","Sort=A","Dates=H","DateFormat=P","Fill=—","Direction=H","UseDPDF=Y")</f>
        <v>#NAME?</v>
      </c>
      <c r="CV304" s="2" t="e">
        <f ca="1">_xll.BDH($C$303,"ALTMAN_Z_SCORE","FQ1 2014","FQ1 2014","Currency=INR","Period=FQ","BEST_FPERIOD_OVERRIDE=FQ","FILING_STATUS=OR","EQY_CONSOLIDATED=Y","Sort=A","Dates=H","DateFormat=P","Fill=—","Direction=H","UseDPDF=Y")</f>
        <v>#NAME?</v>
      </c>
      <c r="CW304" s="4" t="e">
        <f ca="1">_xll.BDH($C$303,"ACCT_RCV_TURN","FQ1 2014","FQ1 2014","Currency=INR","Period=FQ","BEST_FPERIOD_OVERRIDE=FQ","FILING_STATUS=OR","EQY_CONSOLIDATED=Y","FA_ADJUSTED=GAAP","Sort=A","Dates=H","DateFormat=P","Fill=—","Direction=H","UseDPDF=Y")</f>
        <v>#NAME?</v>
      </c>
      <c r="CX304" s="2" t="e">
        <f ca="1">_xll.BDH($C$303,"ACCT_RCV_DAYS","FQ1 2014","FQ1 2014","Currency=INR","Period=FQ","BEST_FPERIOD_OVERRIDE=FQ","FILING_STATUS=OR","EQY_CONSOLIDATED=Y","FA_ADJUSTED=GAAP","Sort=A","Dates=H","DateFormat=P","Fill=—","Direction=H","UseDPDF=Y")</f>
        <v>#NAME?</v>
      </c>
      <c r="CY304" s="4" t="e">
        <f ca="1">_xll.BDH($C$303,"INVENT_TURN","FQ1 2014","FQ1 2014","Currency=INR","Period=FQ","BEST_FPERIOD_OVERRIDE=FQ","FILING_STATUS=OR","EQY_CONSOLIDATED=Y","FA_ADJUSTED=GAAP","Sort=A","Dates=H","DateFormat=P","Fill=—","Direction=H","UseDPDF=Y")</f>
        <v>#NAME?</v>
      </c>
      <c r="CZ304" s="2" t="e">
        <f ca="1">_xll.BDH($C$303,"INVENT_DAYS","FQ1 2014","FQ1 2014","Currency=INR","Period=FQ","BEST_FPERIOD_OVERRIDE=FQ","FILING_STATUS=OR","EQY_CONSOLIDATED=Y","FA_ADJUSTED=GAAP","Sort=A","Dates=H","DateFormat=P","Fill=—","Direction=H","UseDPDF=Y")</f>
        <v>#NAME?</v>
      </c>
      <c r="DA304" s="4" t="e">
        <f ca="1">_xll.BDH($C$303,"ACCOUNTS_PAYABLE_TURNOVER","FQ1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04" s="2" t="e">
        <f ca="1">_xll.BDH($C$303,"ACCOUNTS_PAYABLE_TURNOVER_DAYS","FQ1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04" s="4" t="e">
        <f ca="1">_xll.BDH($C$303,"CASH_CONVERSION_CYCLE","FQ1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04" s="4" t="e">
        <f ca="1">_xll.BDH($C$303,"INV_TO_CASH_DAYS","FQ1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04" s="5" t="e">
        <f ca="1">_xll.BDH($C$303,"BS_INVENTORIES","FQ1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04" s="3" t="e">
        <f ca="1">_xll.BDH($C$303,"INVTRY_RAW_MATERIALS","FQ1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04" s="3" t="e">
        <f ca="1">_xll.BDH($C$303,"INVTRY_IN_PROGRESS","FQ1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04" s="3" t="e">
        <f ca="1">_xll.BDH($C$303,"INVTRY_FINISHED_GOODS","FQ1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04" s="3" t="e">
        <f ca="1">_xll.BDH($C$303,"BS_OTHER_INV","FQ1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05" spans="1:113" x14ac:dyDescent="0.3">
      <c r="A305" s="6"/>
      <c r="B305" s="6"/>
      <c r="C305" s="6"/>
      <c r="D305" s="6"/>
      <c r="E305" t="s">
        <v>79</v>
      </c>
      <c r="F305" t="e">
        <f ca="1">_xll.BDH($C$303,"RETURN_COM_EQY","FQ2 2014","FQ2 2014","Currency=INR","Period=FQ","BEST_FPERIOD_OVERRIDE=FQ","FILING_STATUS=OR","EQY_CONSOLIDATED=Y","FA_ADJUSTED=GAAP","Sort=A","Dates=H","DateFormat=P","Fill=—","Direction=H","UseDPDF=Y")</f>
        <v>#NAME?</v>
      </c>
      <c r="G305" t="e">
        <f ca="1">_xll.BDH($C$303,"RETURN_ON_ASSET","FQ2 2014","FQ2 2014","Currency=INR","Period=FQ","BEST_FPERIOD_OVERRIDE=FQ","FILING_STATUS=OR","EQY_CONSOLIDATED=Y","FA_ADJUSTED=GAAP","Sort=A","Dates=H","DateFormat=P","Fill=—","Direction=H","UseDPDF=Y")</f>
        <v>#NAME?</v>
      </c>
      <c r="H305" t="e">
        <f ca="1">_xll.BDH($C$303,"RETURN_ON_CAP","FQ2 2014","FQ2 2014","Currency=INR","Period=FQ","BEST_FPERIOD_OVERRIDE=FQ","FILING_STATUS=OR","EQY_CONSOLIDATED=Y","FA_ADJUSTED=GAAP","Sort=A","Dates=H","DateFormat=P","Fill=—","Direction=H","UseDPDF=Y")</f>
        <v>#NAME?</v>
      </c>
      <c r="I305" t="e">
        <f ca="1">_xll.BDH($C$303,"RETURN_ON_INV_CAPITAL","FQ2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05" t="e">
        <f ca="1">_xll.BDH($C$303,"EBITDA_TO_REVENUE","FQ2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05" t="e">
        <f ca="1">_xll.BDH($C$303,"OPER_MARGIN","FQ2 2014","FQ2 2014","Currency=INR","Period=FQ","BEST_FPERIOD_OVERRIDE=FQ","FILING_STATUS=OR","EQY_CONSOLIDATED=Y","FA_ADJUSTED=GAAP","Sort=A","Dates=H","DateFormat=P","Fill=—","Direction=H","UseDPDF=Y")</f>
        <v>#NAME?</v>
      </c>
      <c r="L305" t="e">
        <f ca="1">_xll.BDH($C$303,"INCREMENTAL_OPERATING_MARGIN","FQ2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05" t="e">
        <f ca="1">_xll.BDH($C$303,"PRETAX_INC_TO_NET_SALES","FQ2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05" t="e">
        <f ca="1">_xll.BDH($C$303,"INC_BEF_XO_ITEMS_TO_NET_SALES","FQ2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05" t="e">
        <f ca="1">_xll.BDH($C$303,"PROF_MARGIN","FQ2 2014","FQ2 2014","Currency=INR","Period=FQ","BEST_FPERIOD_OVERRIDE=FQ","FILING_STATUS=OR","EQY_CONSOLIDATED=Y","FA_ADJUSTED=GAAP","Sort=A","Dates=H","DateFormat=P","Fill=—","Direction=H","UseDPDF=Y")</f>
        <v>#NAME?</v>
      </c>
      <c r="P305" t="e">
        <f ca="1">_xll.BDH($C$303,"NET_INCOME_TO_COMMON_MARGIN","FQ2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05" t="e">
        <f ca="1">_xll.BDH($C$303,"EFF_TAX_RATE","FQ2 2014","FQ2 2014","Currency=INR","Period=FQ","BEST_FPERIOD_OVERRIDE=FQ","FILING_STATUS=OR","EQY_CONSOLIDATED=Y","FA_ADJUSTED=GAAP","Sort=A","Dates=H","DateFormat=P","Fill=—","Direction=H","UseDPDF=Y")</f>
        <v>#NAME?</v>
      </c>
      <c r="R305" t="e">
        <f ca="1">_xll.BDH($C$303,"DVD_PAYOUT_RATIO","FQ2 2014","FQ2 2014","Currency=INR","Period=FQ","BEST_FPERIOD_OVERRIDE=FQ","FILING_STATUS=OR","EQY_CONSOLIDATED=Y","FA_ADJUSTED=GAAP","Sort=A","Dates=H","DateFormat=P","Fill=—","Direction=H","UseDPDF=Y")</f>
        <v>#NAME?</v>
      </c>
      <c r="S305" t="e">
        <f ca="1">_xll.BDH($C$303,"SUSTAIN_GROWTH_RT","FQ2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05" s="2" t="e">
        <f ca="1">_xll.BDH($C$303,"SALES_GROWTH","FQ2 2014","FQ2 2014","Currency=INR","Period=FQ","BEST_FPERIOD_OVERRIDE=FQ","FILING_STATUS=OR","EQY_CONSOLIDATED=Y","FA_ADJUSTED=GAAP","Sort=A","Dates=H","DateFormat=P","Fill=—","Direction=H","UseDPDF=Y")</f>
        <v>#NAME?</v>
      </c>
      <c r="U305" s="2" t="e">
        <f ca="1">_xll.BDH($C$303,"EBITDA_GROWTH","FQ2 2014","FQ2 2014","Currency=INR","Period=FQ","BEST_FPERIOD_OVERRIDE=FQ","FILING_STATUS=OR","EQY_CONSOLIDATED=Y","FA_ADJUSTED=GAAP","Sort=A","Dates=H","DateFormat=P","Fill=—","Direction=H","UseDPDF=Y")</f>
        <v>#NAME?</v>
      </c>
      <c r="V305" s="2" t="e">
        <f ca="1">_xll.BDH($C$303,"OPER_INC_GROWTH","FQ2 2014","FQ2 2014","Currency=INR","Period=FQ","BEST_FPERIOD_OVERRIDE=FQ","FILING_STATUS=OR","EQY_CONSOLIDATED=Y","FA_ADJUSTED=GAAP","Sort=A","Dates=H","DateFormat=P","Fill=—","Direction=H","UseDPDF=Y")</f>
        <v>#NAME?</v>
      </c>
      <c r="W305" s="2" t="e">
        <f ca="1">_xll.BDH($C$303,"EARN_FOR_COM_GROWTH","FQ2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05" s="2" t="e">
        <f ca="1">_xll.BDH($C$303,"DILUTED_EPS_AFT_XO_ITEMS_GROWTH","FQ2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05" s="2" t="e">
        <f ca="1">_xll.BDH($C$303,"DIVIDEND_PER_SHARE_1_YEAR_GROWTH","FQ2 2014","FQ2 2014","Currency=INR","Period=FQ","BEST_FPERIOD_OVERRIDE=FQ","FILING_STATUS=OR","EQY_CONSOLIDATED=Y","Sort=A","Dates=H","DateFormat=P","Fill=—","Direction=H","UseDPDF=Y")</f>
        <v>#NAME?</v>
      </c>
      <c r="Z305" s="2" t="e">
        <f ca="1">_xll.BDH($C$303,"ACCOUNTS_RECEIVABLE_GROWTH","FQ2 2014","FQ2 2014","Currency=INR","Period=FQ","BEST_FPERIOD_OVERRIDE=FQ","FILING_STATUS=OR","EQY_CONSOLIDATED=Y","Sort=A","Dates=H","DateFormat=P","Fill=—","Direction=H","UseDPDF=Y")</f>
        <v>#NAME?</v>
      </c>
      <c r="AA305" s="2" t="e">
        <f ca="1">_xll.BDH($C$303,"INVENTORY_GROWTH","FQ2 2014","FQ2 2014","Currency=INR","Period=FQ","BEST_FPERIOD_OVERRIDE=FQ","FILING_STATUS=OR","EQY_CONSOLIDATED=Y","Sort=A","Dates=H","DateFormat=P","Fill=—","Direction=H","UseDPDF=Y")</f>
        <v>#NAME?</v>
      </c>
      <c r="AB305" s="2" t="e">
        <f ca="1">_xll.BDH($C$303,"NET_FIXED_ASSETS_1_YEAR_GROWTH","FQ2 2014","FQ2 2014","Currency=INR","Period=FQ","BEST_FPERIOD_OVERRIDE=FQ","FILING_STATUS=OR","EQY_CONSOLIDATED=Y","Sort=A","Dates=H","DateFormat=P","Fill=—","Direction=H","UseDPDF=Y")</f>
        <v>#NAME?</v>
      </c>
      <c r="AC305" s="2" t="e">
        <f ca="1">_xll.BDH($C$303,"ASSET_GROWTH","FQ2 2014","FQ2 2014","Currency=INR","Period=FQ","BEST_FPERIOD_OVERRIDE=FQ","FILING_STATUS=OR","EQY_CONSOLIDATED=Y","Sort=A","Dates=H","DateFormat=P","Fill=—","Direction=H","UseDPDF=Y")</f>
        <v>#NAME?</v>
      </c>
      <c r="AD305" s="2" t="e">
        <f ca="1">_xll.BDH($C$303,"MODIFIED_WORK_CAP_GROWTH","FQ2 2014","FQ2 2014","Currency=INR","Period=FQ","BEST_FPERIOD_OVERRIDE=FQ","FILING_STATUS=OR","EQY_CONSOLIDATED=Y","Sort=A","Dates=H","DateFormat=P","Fill=—","Direction=H","UseDPDF=Y")</f>
        <v>#NAME?</v>
      </c>
      <c r="AE305" s="2" t="e">
        <f ca="1">_xll.BDH($C$303,"WORK_CAP_GROWTH","FQ2 2014","FQ2 2014","Currency=INR","Period=FQ","BEST_FPERIOD_OVERRIDE=FQ","FILING_STATUS=OR","EQY_CONSOLIDATED=Y","Sort=A","Dates=H","DateFormat=P","Fill=—","Direction=H","UseDPDF=Y")</f>
        <v>#NAME?</v>
      </c>
      <c r="AF305" s="2" t="e">
        <f ca="1">_xll.BDH($C$303,"ACCOUNTS_PAYABLE_GROWTH_1YR","FQ2 2014","FQ2 2014","Currency=INR","Period=FQ","BEST_FPERIOD_OVERRIDE=FQ","FILING_STATUS=OR","EQY_CONSOLIDATED=Y","Sort=A","Dates=H","DateFormat=P","Fill=—","Direction=H","UseDPDF=Y")</f>
        <v>#NAME?</v>
      </c>
      <c r="AG305" s="2" t="e">
        <f ca="1">_xll.BDH($C$303,"SHORT_TERM_DEBT_1_YEAR_GROWTH","FQ2 2014","FQ2 2014","Currency=INR","Period=FQ","BEST_FPERIOD_OVERRIDE=FQ","FILING_STATUS=OR","EQY_CONSOLIDATED=Y","Sort=A","Dates=H","DateFormat=P","Fill=—","Direction=H","UseDPDF=Y")</f>
        <v>#NAME?</v>
      </c>
      <c r="AH305" s="2" t="e">
        <f ca="1">_xll.BDH($C$303,"TOTAL_DEBT_1_YEAR_GROWTH","FQ2 2014","FQ2 2014","Currency=INR","Period=FQ","BEST_FPERIOD_OVERRIDE=FQ","FILING_STATUS=OR","EQY_CONSOLIDATED=Y","Sort=A","Dates=H","DateFormat=P","Fill=—","Direction=H","UseDPDF=Y")</f>
        <v>#NAME?</v>
      </c>
      <c r="AI305" s="2" t="e">
        <f ca="1">_xll.BDH($C$303,"TOTAL_EQUITY_1_YEAR_GROWTH","FQ2 2014","FQ2 2014","Currency=INR","Period=FQ","BEST_FPERIOD_OVERRIDE=FQ","FILING_STATUS=OR","EQY_CONSOLIDATED=Y","Sort=A","Dates=H","DateFormat=P","Fill=—","Direction=H","UseDPDF=Y")</f>
        <v>#NAME?</v>
      </c>
      <c r="AJ305" s="2" t="e">
        <f ca="1">_xll.BDH($C$303,"GROWTH_IN_CAP","FQ2 2014","FQ2 2014","Currency=INR","Period=FQ","BEST_FPERIOD_OVERRIDE=FQ","FILING_STATUS=OR","EQY_CONSOLIDATED=Y","Sort=A","Dates=H","DateFormat=P","Fill=—","Direction=H","UseDPDF=Y")</f>
        <v>#NAME?</v>
      </c>
      <c r="AK305" s="2" t="e">
        <f ca="1">_xll.BDH($C$303,"BVPS_GROWTH","FQ2 2014","FQ2 2014","Currency=INR","Period=FQ","BEST_FPERIOD_OVERRIDE=FQ","FILING_STATUS=OR","EQY_CONSOLIDATED=Y","Sort=A","Dates=H","DateFormat=P","Fill=—","Direction=H","UseDPDF=Y")</f>
        <v>#NAME?</v>
      </c>
      <c r="AL305" s="2" t="e">
        <f ca="1">_xll.BDH($C$303,"CASH_FLOW_GROWTH","FQ2 2014","FQ2 2014","Currency=INR","Period=FQ","BEST_FPERIOD_OVERRIDE=FQ","FILING_STATUS=OR","EQY_CONSOLIDATED=Y","Sort=A","Dates=H","DateFormat=P","Fill=—","Direction=H","UseDPDF=Y")</f>
        <v>#NAME?</v>
      </c>
      <c r="AM305" s="2" t="e">
        <f ca="1">_xll.BDH($C$303,"GEO_GROW_NET_SALES","FQ2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05" s="2" t="e">
        <f ca="1">_xll.BDH($C$303,"GEO_GROW_EBITDA","FQ2 2014","FQ2 2014","Currency=INR","Period=FQ","BEST_FPERIOD_OVERRIDE=FQ","FILING_STATUS=OR","EQY_CONSOLIDATED=Y","FA_ADJUSTED=GAAP","Sort=A","Dates=H","DateFormat=P","Fill=—","Direction=H","UseDPDF=Y")</f>
        <v>#NAME?</v>
      </c>
      <c r="AO305" s="2" t="e">
        <f ca="1">_xll.BDH($C$303,"GEO_GROW_OPER_INC","FQ2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05" s="2" t="e">
        <f ca="1">_xll.BDH($C$303,"NET_INCOME_TO_COMMON_5_YR_GROWTH","FQ2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05" s="2" t="e">
        <f ca="1">_xll.BDH($C$303,"5Y_GEO_GROWTH_DILUTED_EPS","FQ2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05" s="2" t="e">
        <f ca="1">_xll.BDH($C$303,"GEO_GROW_DVD_PER_SH","FQ2 2014","FQ2 2014","Currency=INR","Period=FQ","BEST_FPERIOD_OVERRIDE=FQ","FILING_STATUS=OR","EQY_CONSOLIDATED=Y","Sort=A","Dates=H","DateFormat=P","Fill=—","Direction=H","UseDPDF=Y")</f>
        <v>#NAME?</v>
      </c>
      <c r="AS305" s="2" t="e">
        <f ca="1">_xll.BDH($C$303,"ACCOUNTS_RECEIVABLE_5_YR_GROWTH","FQ2 2014","FQ2 2014","Currency=INR","Period=FQ","BEST_FPERIOD_OVERRIDE=FQ","FILING_STATUS=OR","EQY_CONSOLIDATED=Y","Sort=A","Dates=H","DateFormat=P","Fill=—","Direction=H","UseDPDF=Y")</f>
        <v>#NAME?</v>
      </c>
      <c r="AT305" s="2" t="e">
        <f ca="1">_xll.BDH($C$303,"INVENTORY_5_YEAR_GROWTH","FQ2 2014","FQ2 2014","Currency=INR","Period=FQ","BEST_FPERIOD_OVERRIDE=FQ","FILING_STATUS=OR","EQY_CONSOLIDATED=Y","Sort=A","Dates=H","DateFormat=P","Fill=—","Direction=H","UseDPDF=Y")</f>
        <v>#NAME?</v>
      </c>
      <c r="AU305" s="2" t="e">
        <f ca="1">_xll.BDH($C$303,"NET_FIXED_ASSETS_5_YEAR_GROWTH","FQ2 2014","FQ2 2014","Currency=INR","Period=FQ","BEST_FPERIOD_OVERRIDE=FQ","FILING_STATUS=OR","EQY_CONSOLIDATED=Y","Sort=A","Dates=H","DateFormat=P","Fill=—","Direction=H","UseDPDF=Y")</f>
        <v>#NAME?</v>
      </c>
      <c r="AV305" s="2" t="e">
        <f ca="1">_xll.BDH($C$303,"GEO_GROW_TOT_ASSET","FQ2 2014","FQ2 2014","Currency=INR","Period=FQ","BEST_FPERIOD_OVERRIDE=FQ","FILING_STATUS=OR","EQY_CONSOLIDATED=Y","Sort=A","Dates=H","DateFormat=P","Fill=—","Direction=H","UseDPDF=Y")</f>
        <v>#NAME?</v>
      </c>
      <c r="AW305" s="2" t="e">
        <f ca="1">_xll.BDH($C$303,"MODIFIED_WORKING_CPTL_5YR_GRWTH","FQ2 2014","FQ2 2014","Currency=INR","Period=FQ","BEST_FPERIOD_OVERRIDE=FQ","FILING_STATUS=OR","EQY_CONSOLIDATED=Y","Sort=A","Dates=H","DateFormat=P","Fill=—","Direction=H","UseDPDF=Y")</f>
        <v>#NAME?</v>
      </c>
      <c r="AX305" s="2" t="e">
        <f ca="1">_xll.BDH($C$303,"WORKING_CAPITAL_5_YEAR_GROWTH","FQ2 2014","FQ2 2014","Currency=INR","Period=FQ","BEST_FPERIOD_OVERRIDE=FQ","FILING_STATUS=OR","EQY_CONSOLIDATED=Y","Sort=A","Dates=H","DateFormat=P","Fill=—","Direction=H","UseDPDF=Y")</f>
        <v>#NAME?</v>
      </c>
      <c r="AY305" s="2" t="e">
        <f ca="1">_xll.BDH($C$303,"ACCOUNTS_PAYABLE_5_YEAR_GROWTH","FQ2 2014","FQ2 2014","Currency=INR","Period=FQ","BEST_FPERIOD_OVERRIDE=FQ","FILING_STATUS=OR","EQY_CONSOLIDATED=Y","Sort=A","Dates=H","DateFormat=P","Fill=—","Direction=H","UseDPDF=Y")</f>
        <v>#NAME?</v>
      </c>
      <c r="AZ305" s="2" t="e">
        <f ca="1">_xll.BDH($C$303,"SHORT_TERM_DEBT_5_YEAR_GROWTH","FQ2 2014","FQ2 2014","Currency=INR","Period=FQ","BEST_FPERIOD_OVERRIDE=FQ","FILING_STATUS=OR","EQY_CONSOLIDATED=Y","Sort=A","Dates=H","DateFormat=P","Fill=—","Direction=H","UseDPDF=Y")</f>
        <v>#NAME?</v>
      </c>
      <c r="BA305" s="2" t="e">
        <f ca="1">_xll.BDH($C$303,"TOTAL_DEBT_5_YEAR_GROWTH","FQ2 2014","FQ2 2014","Currency=INR","Period=FQ","BEST_FPERIOD_OVERRIDE=FQ","FILING_STATUS=OR","EQY_CONSOLIDATED=Y","Sort=A","Dates=H","DateFormat=P","Fill=—","Direction=H","UseDPDF=Y")</f>
        <v>#NAME?</v>
      </c>
      <c r="BB305" s="2" t="e">
        <f ca="1">_xll.BDH($C$303,"GEO_GROW_TOT_SHRHLDR_EQY","FQ2 2014","FQ2 2014","Currency=INR","Period=FQ","BEST_FPERIOD_OVERRIDE=FQ","FILING_STATUS=OR","EQY_CONSOLIDATED=Y","Sort=A","Dates=H","DateFormat=P","Fill=—","Direction=H","UseDPDF=Y")</f>
        <v>#NAME?</v>
      </c>
      <c r="BC305" s="2" t="e">
        <f ca="1">_xll.BDH($C$303,"TOTAL_CAPITAL_5_YEAR_GROWTH","FQ2 2014","FQ2 2014","Currency=INR","Period=FQ","BEST_FPERIOD_OVERRIDE=FQ","FILING_STATUS=OR","EQY_CONSOLIDATED=Y","Sort=A","Dates=H","DateFormat=P","Fill=—","Direction=H","UseDPDF=Y")</f>
        <v>#NAME?</v>
      </c>
      <c r="BD305" s="2" t="e">
        <f ca="1">_xll.BDH($C$303,"GEO_GROW_BOOK_VAL","FQ2 2014","FQ2 2014","Currency=INR","Period=FQ","BEST_FPERIOD_OVERRIDE=FQ","FILING_STATUS=OR","EQY_CONSOLIDATED=Y","Sort=A","Dates=H","DateFormat=P","Fill=—","Direction=H","UseDPDF=Y")</f>
        <v>#NAME?</v>
      </c>
      <c r="BE305" s="2" t="e">
        <f ca="1">_xll.BDH($C$303,"GEO_GROW_CASH_OPER_ACT","FQ2 2014","FQ2 2014","Currency=INR","Period=FQ","BEST_FPERIOD_OVERRIDE=FQ","FILING_STATUS=OR","EQY_CONSOLIDATED=Y","Sort=A","Dates=H","DateFormat=P","Fill=—","Direction=H","UseDPDF=Y")</f>
        <v>#NAME?</v>
      </c>
      <c r="BF305" s="2" t="e">
        <f ca="1">_xll.BDH($C$303,"REVENUE_SEQUENTIAL_GROWTH","FQ2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05" s="2" t="e">
        <f ca="1">_xll.BDH($C$303,"EBITDA_SEQUENTIAL_GROWTH","FQ2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05" s="2" t="e">
        <f ca="1">_xll.BDH($C$303,"OPERATING_INCOME_SEQ_GROWTH","FQ2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05" s="2" t="e">
        <f ca="1">_xll.BDH($C$303,"NET_INCOME_TO_COMMON_SEQ_GROWTH","FQ2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05" s="2" t="e">
        <f ca="1">_xll.BDH($C$303,"EPS_DILUTED_SEQUENTIAL_GROWTH","FQ2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05" s="2" t="e">
        <f ca="1">_xll.BDH($C$303,"DPS_SEQUENTIAL_GROWTH","FQ2 2014","FQ2 2014","Currency=INR","Period=FQ","BEST_FPERIOD_OVERRIDE=FQ","FILING_STATUS=OR","EQY_CONSOLIDATED=Y","Sort=A","Dates=H","DateFormat=P","Fill=—","Direction=H","UseDPDF=Y")</f>
        <v>#NAME?</v>
      </c>
      <c r="BL305" s="2" t="e">
        <f ca="1">_xll.BDH($C$303,"ACCOUNTS_RECEIVABLE_SEQ_GROWTH","FQ2 2014","FQ2 2014","Currency=INR","Period=FQ","BEST_FPERIOD_OVERRIDE=FQ","FILING_STATUS=OR","EQY_CONSOLIDATED=Y","Sort=A","Dates=H","DateFormat=P","Fill=—","Direction=H","UseDPDF=Y")</f>
        <v>#NAME?</v>
      </c>
      <c r="BM305" s="2" t="e">
        <f ca="1">_xll.BDH($C$303,"INVENTORY_SEQUENTIAL_GROWTH","FQ2 2014","FQ2 2014","Currency=INR","Period=FQ","BEST_FPERIOD_OVERRIDE=FQ","FILING_STATUS=OR","EQY_CONSOLIDATED=Y","Sort=A","Dates=H","DateFormat=P","Fill=—","Direction=H","UseDPDF=Y")</f>
        <v>#NAME?</v>
      </c>
      <c r="BN305" s="2" t="e">
        <f ca="1">_xll.BDH($C$303,"FIXED_ASSETS_SEQUENTIAL_GROWTH","FQ2 2014","FQ2 2014","Currency=INR","Period=FQ","BEST_FPERIOD_OVERRIDE=FQ","FILING_STATUS=OR","EQY_CONSOLIDATED=Y","Sort=A","Dates=H","DateFormat=P","Fill=—","Direction=H","UseDPDF=Y")</f>
        <v>#NAME?</v>
      </c>
      <c r="BO305" s="2" t="e">
        <f ca="1">_xll.BDH($C$303,"TOTAL_ASSETS_SEQUENTIAL_GROWTH","FQ2 2014","FQ2 2014","Currency=INR","Period=FQ","BEST_FPERIOD_OVERRIDE=FQ","FILING_STATUS=OR","EQY_CONSOLIDATED=Y","Sort=A","Dates=H","DateFormat=P","Fill=—","Direction=H","UseDPDF=Y")</f>
        <v>#NAME?</v>
      </c>
      <c r="BP305" s="2" t="e">
        <f ca="1">_xll.BDH($C$303,"MODIFIED_WORKING_CPTL_SEQ_GRWTH","FQ2 2014","FQ2 2014","Currency=INR","Period=FQ","BEST_FPERIOD_OVERRIDE=FQ","FILING_STATUS=OR","EQY_CONSOLIDATED=Y","Sort=A","Dates=H","DateFormat=P","Fill=—","Direction=H","UseDPDF=Y")</f>
        <v>#NAME?</v>
      </c>
      <c r="BQ305" s="2" t="e">
        <f ca="1">_xll.BDH($C$303,"WORKING_CAPITAL_SEQ_GROWTH","FQ2 2014","FQ2 2014","Currency=INR","Period=FQ","BEST_FPERIOD_OVERRIDE=FQ","FILING_STATUS=OR","EQY_CONSOLIDATED=Y","Sort=A","Dates=H","DateFormat=P","Fill=—","Direction=H","UseDPDF=Y")</f>
        <v>#NAME?</v>
      </c>
      <c r="BR305" s="2" t="e">
        <f ca="1">_xll.BDH($C$303,"ACCOUNTS_PAYABLE_SEQ_GROWTH","FQ2 2014","FQ2 2014","Currency=INR","Period=FQ","BEST_FPERIOD_OVERRIDE=FQ","FILING_STATUS=OR","EQY_CONSOLIDATED=Y","Sort=A","Dates=H","DateFormat=P","Fill=—","Direction=H","UseDPDF=Y")</f>
        <v>#NAME?</v>
      </c>
      <c r="BS305" s="2" t="e">
        <f ca="1">_xll.BDH($C$303,"ST_DEBT_SEQUENTIAL_GROWTH","FQ2 2014","FQ2 2014","Currency=INR","Period=FQ","BEST_FPERIOD_OVERRIDE=FQ","FILING_STATUS=OR","EQY_CONSOLIDATED=Y","Sort=A","Dates=H","DateFormat=P","Fill=—","Direction=H","UseDPDF=Y")</f>
        <v>#NAME?</v>
      </c>
      <c r="BT305" s="2" t="e">
        <f ca="1">_xll.BDH($C$303,"TOTAL_DEBT_SEQUENTIAL_GROWTH","FQ2 2014","FQ2 2014","Currency=INR","Period=FQ","BEST_FPERIOD_OVERRIDE=FQ","FILING_STATUS=OR","EQY_CONSOLIDATED=Y","Sort=A","Dates=H","DateFormat=P","Fill=—","Direction=H","UseDPDF=Y")</f>
        <v>#NAME?</v>
      </c>
      <c r="BU305" s="2" t="e">
        <f ca="1">_xll.BDH($C$303,"TOTAL_EQUITY_SEQUENTIAL_GROWTH","FQ2 2014","FQ2 2014","Currency=INR","Period=FQ","BEST_FPERIOD_OVERRIDE=FQ","FILING_STATUS=OR","EQY_CONSOLIDATED=Y","Sort=A","Dates=H","DateFormat=P","Fill=—","Direction=H","UseDPDF=Y")</f>
        <v>#NAME?</v>
      </c>
      <c r="BV305" s="2" t="e">
        <f ca="1">_xll.BDH($C$303,"TOTAL_CAPITAL_SEQUENTIAL_GROWTH","FQ2 2014","FQ2 2014","Currency=INR","Period=FQ","BEST_FPERIOD_OVERRIDE=FQ","FILING_STATUS=OR","EQY_CONSOLIDATED=Y","Sort=A","Dates=H","DateFormat=P","Fill=—","Direction=H","UseDPDF=Y")</f>
        <v>#NAME?</v>
      </c>
      <c r="BW305" s="2" t="e">
        <f ca="1">_xll.BDH($C$303,"BPS_SEQUENTIAL_GROWTH","FQ2 2014","FQ2 2014","Currency=INR","Period=FQ","BEST_FPERIOD_OVERRIDE=FQ","FILING_STATUS=OR","EQY_CONSOLIDATED=Y","Sort=A","Dates=H","DateFormat=P","Fill=—","Direction=H","UseDPDF=Y")</f>
        <v>#NAME?</v>
      </c>
      <c r="BX305" s="2" t="e">
        <f ca="1">_xll.BDH($C$303,"CFO_SEQUENTIAL_GROWTH","FQ2 2014","FQ2 2014","Currency=INR","Period=FQ","BEST_FPERIOD_OVERRIDE=FQ","FILING_STATUS=OR","EQY_CONSOLIDATED=Y","Sort=A","Dates=H","DateFormat=P","Fill=—","Direction=H","UseDPDF=Y")</f>
        <v>#NAME?</v>
      </c>
      <c r="BY305" s="3" t="e">
        <f ca="1">_xll.BDH($C$303,"SHORT_AND_LONG_TERM_DEBT","FQ2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05" s="3" t="e">
        <f ca="1">_xll.BDH($C$303,"BS_ST_BORROW","FQ2 2014","FQ2 2014","Currency=INR","Period=FQ","BEST_FPERIOD_OVERRIDE=FQ","FILING_STATUS=OR","EQY_CONSOLIDATED=Y","SCALING_FORMAT=MLN","Sort=A","Dates=H","DateFormat=P","Fill=—","Direction=H","UseDPDF=Y")</f>
        <v>#NAME?</v>
      </c>
      <c r="CA305" s="3" t="e">
        <f ca="1">_xll.BDH($C$303,"BS_LT_BORROW","FQ2 2014","FQ2 2014","Currency=INR","Period=FQ","BEST_FPERIOD_OVERRIDE=FQ","FILING_STATUS=OR","EQY_CONSOLIDATED=Y","SCALING_FORMAT=MLN","Sort=A","Dates=H","DateFormat=P","Fill=—","Direction=H","UseDPDF=Y")</f>
        <v>#NAME?</v>
      </c>
      <c r="CB305" s="2" t="e">
        <f ca="1">_xll.BDH($C$303,"TOT_DEBT_TO_EBITDA","FQ2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05" s="2" t="e">
        <f ca="1">_xll.BDH($C$303,"NET_DEBT_TO_EBITDA","FQ2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05" s="2" t="e">
        <f ca="1">_xll.BDH($C$303,"TOTAL_DEBT_TO_EBIT","FQ2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05" s="2" t="e">
        <f ca="1">_xll.BDH($C$303,"NET_DEBT_TO_EBIT","FQ2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05" s="2" t="e">
        <f ca="1">_xll.BDH($C$303,"EBITDA_TO_INTEREST_EXPN","FQ2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05" s="2" t="e">
        <f ca="1">_xll.BDH($C$303,"COM_EQY_TO_TOT_ASSET","FQ2 2014","FQ2 2014","Currency=INR","Period=FQ","BEST_FPERIOD_OVERRIDE=FQ","FILING_STATUS=OR","EQY_CONSOLIDATED=Y","Sort=A","Dates=H","DateFormat=P","Fill=—","Direction=H","UseDPDF=Y")</f>
        <v>#NAME?</v>
      </c>
      <c r="CH305" s="2" t="e">
        <f ca="1">_xll.BDH($C$303,"LT_DEBT_TO_TOT_EQY","FQ2 2014","FQ2 2014","Currency=INR","Period=FQ","BEST_FPERIOD_OVERRIDE=FQ","FILING_STATUS=OR","EQY_CONSOLIDATED=Y","Sort=A","Dates=H","DateFormat=P","Fill=—","Direction=H","UseDPDF=Y")</f>
        <v>#NAME?</v>
      </c>
      <c r="CI305" s="2" t="e">
        <f ca="1">_xll.BDH($C$303,"LT_DEBT_TO_TOT_CAP","FQ2 2014","FQ2 2014","Currency=INR","Period=FQ","BEST_FPERIOD_OVERRIDE=FQ","FILING_STATUS=OR","EQY_CONSOLIDATED=Y","Sort=A","Dates=H","DateFormat=P","Fill=—","Direction=H","UseDPDF=Y")</f>
        <v>#NAME?</v>
      </c>
      <c r="CJ305" s="2" t="e">
        <f ca="1">_xll.BDH($C$303,"LT_DEBT_TO_TOT_ASSET","FQ2 2014","FQ2 2014","Currency=INR","Period=FQ","BEST_FPERIOD_OVERRIDE=FQ","FILING_STATUS=OR","EQY_CONSOLIDATED=Y","Sort=A","Dates=H","DateFormat=P","Fill=—","Direction=H","UseDPDF=Y")</f>
        <v>#NAME?</v>
      </c>
      <c r="CK305" s="2" t="e">
        <f ca="1">_xll.BDH($C$303,"TOT_DEBT_TO_TOT_EQY","FQ2 2014","FQ2 2014","Currency=INR","Period=FQ","BEST_FPERIOD_OVERRIDE=FQ","FILING_STATUS=OR","EQY_CONSOLIDATED=Y","Sort=A","Dates=H","DateFormat=P","Fill=—","Direction=H","UseDPDF=Y")</f>
        <v>#NAME?</v>
      </c>
      <c r="CL305" s="2" t="e">
        <f ca="1">_xll.BDH($C$303,"TOT_DEBT_TO_TOT_CAP","FQ2 2014","FQ2 2014","Currency=INR","Period=FQ","BEST_FPERIOD_OVERRIDE=FQ","FILING_STATUS=OR","EQY_CONSOLIDATED=Y","Sort=A","Dates=H","DateFormat=P","Fill=—","Direction=H","UseDPDF=Y")</f>
        <v>#NAME?</v>
      </c>
      <c r="CM305" s="2" t="e">
        <f ca="1">_xll.BDH($C$303,"TOT_DEBT_TO_TOT_ASSET","FQ2 2014","FQ2 2014","Currency=INR","Period=FQ","BEST_FPERIOD_OVERRIDE=FQ","FILING_STATUS=OR","EQY_CONSOLIDATED=Y","Sort=A","Dates=H","DateFormat=P","Fill=—","Direction=H","UseDPDF=Y")</f>
        <v>#NAME?</v>
      </c>
      <c r="CN305" s="2" t="e">
        <f ca="1">_xll.BDH($C$303,"NET_DEBT_TO_SHRHLDR_EQTY","FQ2 2014","FQ2 2014","Currency=INR","Period=FQ","BEST_FPERIOD_OVERRIDE=FQ","FILING_STATUS=OR","EQY_CONSOLIDATED=Y","Sort=A","Dates=H","DateFormat=P","Fill=—","Direction=H","UseDPDF=Y")</f>
        <v>#NAME?</v>
      </c>
      <c r="CO305" s="2" t="e">
        <f ca="1">_xll.BDH($C$303,"NET_DEBT_%_CAPITAL","FQ2 2014","FQ2 2014","Currency=INR","Period=FQ","BEST_FPERIOD_OVERRIDE=FQ","FILING_STATUS=OR","EQY_CONSOLIDATED=Y","Sort=A","Dates=H","DateFormat=P","Fill=—","Direction=H","UseDPDF=Y")</f>
        <v>#NAME?</v>
      </c>
      <c r="CP305" s="3" t="e">
        <f ca="1">_xll.BDH($C$303,"EBITDA","FQ2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05" s="3" t="e">
        <f ca="1">_xll.BDH($C$303,"EBITDA_AFTER_CAPEX","FQ2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05" s="3" t="e">
        <f ca="1">_xll.BDH($C$303,"IS_OPER_INC","FQ2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05" s="2" t="e">
        <f ca="1">_xll.BDH($C$303,"CASH_RATIO","FQ2 2014","FQ2 2014","Currency=INR","Period=FQ","BEST_FPERIOD_OVERRIDE=FQ","FILING_STATUS=OR","EQY_CONSOLIDATED=Y","Sort=A","Dates=H","DateFormat=P","Fill=—","Direction=H","UseDPDF=Y")</f>
        <v>#NAME?</v>
      </c>
      <c r="CT305" s="2" t="e">
        <f ca="1">_xll.BDH($C$303,"CUR_RATIO","FQ2 2014","FQ2 2014","Currency=INR","Period=FQ","BEST_FPERIOD_OVERRIDE=FQ","FILING_STATUS=OR","EQY_CONSOLIDATED=Y","Sort=A","Dates=H","DateFormat=P","Fill=—","Direction=H","UseDPDF=Y")</f>
        <v>#NAME?</v>
      </c>
      <c r="CU305" s="2" t="e">
        <f ca="1">_xll.BDH($C$303,"QUICK_RATIO","FQ2 2014","FQ2 2014","Currency=INR","Period=FQ","BEST_FPERIOD_OVERRIDE=FQ","FILING_STATUS=OR","EQY_CONSOLIDATED=Y","Sort=A","Dates=H","DateFormat=P","Fill=—","Direction=H","UseDPDF=Y")</f>
        <v>#NAME?</v>
      </c>
      <c r="CV305" s="2" t="e">
        <f ca="1">_xll.BDH($C$303,"ALTMAN_Z_SCORE","FQ2 2014","FQ2 2014","Currency=INR","Period=FQ","BEST_FPERIOD_OVERRIDE=FQ","FILING_STATUS=OR","EQY_CONSOLIDATED=Y","Sort=A","Dates=H","DateFormat=P","Fill=—","Direction=H","UseDPDF=Y")</f>
        <v>#NAME?</v>
      </c>
      <c r="CW305" s="4" t="e">
        <f ca="1">_xll.BDH($C$303,"ACCT_RCV_TURN","FQ2 2014","FQ2 2014","Currency=INR","Period=FQ","BEST_FPERIOD_OVERRIDE=FQ","FILING_STATUS=OR","EQY_CONSOLIDATED=Y","FA_ADJUSTED=GAAP","Sort=A","Dates=H","DateFormat=P","Fill=—","Direction=H","UseDPDF=Y")</f>
        <v>#NAME?</v>
      </c>
      <c r="CX305" s="2" t="e">
        <f ca="1">_xll.BDH($C$303,"ACCT_RCV_DAYS","FQ2 2014","FQ2 2014","Currency=INR","Period=FQ","BEST_FPERIOD_OVERRIDE=FQ","FILING_STATUS=OR","EQY_CONSOLIDATED=Y","FA_ADJUSTED=GAAP","Sort=A","Dates=H","DateFormat=P","Fill=—","Direction=H","UseDPDF=Y")</f>
        <v>#NAME?</v>
      </c>
      <c r="CY305" s="4" t="e">
        <f ca="1">_xll.BDH($C$303,"INVENT_TURN","FQ2 2014","FQ2 2014","Currency=INR","Period=FQ","BEST_FPERIOD_OVERRIDE=FQ","FILING_STATUS=OR","EQY_CONSOLIDATED=Y","FA_ADJUSTED=GAAP","Sort=A","Dates=H","DateFormat=P","Fill=—","Direction=H","UseDPDF=Y")</f>
        <v>#NAME?</v>
      </c>
      <c r="CZ305" s="2" t="e">
        <f ca="1">_xll.BDH($C$303,"INVENT_DAYS","FQ2 2014","FQ2 2014","Currency=INR","Period=FQ","BEST_FPERIOD_OVERRIDE=FQ","FILING_STATUS=OR","EQY_CONSOLIDATED=Y","FA_ADJUSTED=GAAP","Sort=A","Dates=H","DateFormat=P","Fill=—","Direction=H","UseDPDF=Y")</f>
        <v>#NAME?</v>
      </c>
      <c r="DA305" s="4" t="e">
        <f ca="1">_xll.BDH($C$303,"ACCOUNTS_PAYABLE_TURNOVER","FQ2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05" s="2" t="e">
        <f ca="1">_xll.BDH($C$303,"ACCOUNTS_PAYABLE_TURNOVER_DAYS","FQ2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05" s="4" t="e">
        <f ca="1">_xll.BDH($C$303,"CASH_CONVERSION_CYCLE","FQ2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05" s="4" t="e">
        <f ca="1">_xll.BDH($C$303,"INV_TO_CASH_DAYS","FQ2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05" s="5" t="e">
        <f ca="1">_xll.BDH($C$303,"BS_INVENTORIES","FQ2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05" s="3" t="e">
        <f ca="1">_xll.BDH($C$303,"INVTRY_RAW_MATERIALS","FQ2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05" s="3" t="e">
        <f ca="1">_xll.BDH($C$303,"INVTRY_IN_PROGRESS","FQ2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05" s="3" t="e">
        <f ca="1">_xll.BDH($C$303,"INVTRY_FINISHED_GOODS","FQ2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05" s="3" t="e">
        <f ca="1">_xll.BDH($C$303,"BS_OTHER_INV","FQ2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06" spans="1:113" x14ac:dyDescent="0.3">
      <c r="A306" s="6"/>
      <c r="B306" s="6"/>
      <c r="C306" s="6"/>
      <c r="D306" s="6"/>
      <c r="E306" t="s">
        <v>80</v>
      </c>
      <c r="F306" t="e">
        <f ca="1">_xll.BDH($C$303,"RETURN_COM_EQY","FQ3 2014","FQ3 2014","Currency=INR","Period=FQ","BEST_FPERIOD_OVERRIDE=FQ","FILING_STATUS=OR","EQY_CONSOLIDATED=Y","FA_ADJUSTED=GAAP","Sort=A","Dates=H","DateFormat=P","Fill=—","Direction=H","UseDPDF=Y")</f>
        <v>#NAME?</v>
      </c>
      <c r="G306" t="e">
        <f ca="1">_xll.BDH($C$303,"RETURN_ON_ASSET","FQ3 2014","FQ3 2014","Currency=INR","Period=FQ","BEST_FPERIOD_OVERRIDE=FQ","FILING_STATUS=OR","EQY_CONSOLIDATED=Y","FA_ADJUSTED=GAAP","Sort=A","Dates=H","DateFormat=P","Fill=—","Direction=H","UseDPDF=Y")</f>
        <v>#NAME?</v>
      </c>
      <c r="H306" t="e">
        <f ca="1">_xll.BDH($C$303,"RETURN_ON_CAP","FQ3 2014","FQ3 2014","Currency=INR","Period=FQ","BEST_FPERIOD_OVERRIDE=FQ","FILING_STATUS=OR","EQY_CONSOLIDATED=Y","FA_ADJUSTED=GAAP","Sort=A","Dates=H","DateFormat=P","Fill=—","Direction=H","UseDPDF=Y")</f>
        <v>#NAME?</v>
      </c>
      <c r="I306" t="e">
        <f ca="1">_xll.BDH($C$303,"RETURN_ON_INV_CAPITAL","FQ3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06" t="e">
        <f ca="1">_xll.BDH($C$303,"EBITDA_TO_REVENUE","FQ3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06" t="e">
        <f ca="1">_xll.BDH($C$303,"OPER_MARGIN","FQ3 2014","FQ3 2014","Currency=INR","Period=FQ","BEST_FPERIOD_OVERRIDE=FQ","FILING_STATUS=OR","EQY_CONSOLIDATED=Y","FA_ADJUSTED=GAAP","Sort=A","Dates=H","DateFormat=P","Fill=—","Direction=H","UseDPDF=Y")</f>
        <v>#NAME?</v>
      </c>
      <c r="L306" t="e">
        <f ca="1">_xll.BDH($C$303,"INCREMENTAL_OPERATING_MARGIN","FQ3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06" t="e">
        <f ca="1">_xll.BDH($C$303,"PRETAX_INC_TO_NET_SALES","FQ3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06" t="e">
        <f ca="1">_xll.BDH($C$303,"INC_BEF_XO_ITEMS_TO_NET_SALES","FQ3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06" t="e">
        <f ca="1">_xll.BDH($C$303,"PROF_MARGIN","FQ3 2014","FQ3 2014","Currency=INR","Period=FQ","BEST_FPERIOD_OVERRIDE=FQ","FILING_STATUS=OR","EQY_CONSOLIDATED=Y","FA_ADJUSTED=GAAP","Sort=A","Dates=H","DateFormat=P","Fill=—","Direction=H","UseDPDF=Y")</f>
        <v>#NAME?</v>
      </c>
      <c r="P306" t="e">
        <f ca="1">_xll.BDH($C$303,"NET_INCOME_TO_COMMON_MARGIN","FQ3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06" t="e">
        <f ca="1">_xll.BDH($C$303,"EFF_TAX_RATE","FQ3 2014","FQ3 2014","Currency=INR","Period=FQ","BEST_FPERIOD_OVERRIDE=FQ","FILING_STATUS=OR","EQY_CONSOLIDATED=Y","FA_ADJUSTED=GAAP","Sort=A","Dates=H","DateFormat=P","Fill=—","Direction=H","UseDPDF=Y")</f>
        <v>#NAME?</v>
      </c>
      <c r="R306" t="e">
        <f ca="1">_xll.BDH($C$303,"DVD_PAYOUT_RATIO","FQ3 2014","FQ3 2014","Currency=INR","Period=FQ","BEST_FPERIOD_OVERRIDE=FQ","FILING_STATUS=OR","EQY_CONSOLIDATED=Y","FA_ADJUSTED=GAAP","Sort=A","Dates=H","DateFormat=P","Fill=—","Direction=H","UseDPDF=Y")</f>
        <v>#NAME?</v>
      </c>
      <c r="S306" t="e">
        <f ca="1">_xll.BDH($C$303,"SUSTAIN_GROWTH_RT","FQ3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06" s="2" t="e">
        <f ca="1">_xll.BDH($C$303,"SALES_GROWTH","FQ3 2014","FQ3 2014","Currency=INR","Period=FQ","BEST_FPERIOD_OVERRIDE=FQ","FILING_STATUS=OR","EQY_CONSOLIDATED=Y","FA_ADJUSTED=GAAP","Sort=A","Dates=H","DateFormat=P","Fill=—","Direction=H","UseDPDF=Y")</f>
        <v>#NAME?</v>
      </c>
      <c r="U306" s="2" t="e">
        <f ca="1">_xll.BDH($C$303,"EBITDA_GROWTH","FQ3 2014","FQ3 2014","Currency=INR","Period=FQ","BEST_FPERIOD_OVERRIDE=FQ","FILING_STATUS=OR","EQY_CONSOLIDATED=Y","FA_ADJUSTED=GAAP","Sort=A","Dates=H","DateFormat=P","Fill=—","Direction=H","UseDPDF=Y")</f>
        <v>#NAME?</v>
      </c>
      <c r="V306" s="2" t="e">
        <f ca="1">_xll.BDH($C$303,"OPER_INC_GROWTH","FQ3 2014","FQ3 2014","Currency=INR","Period=FQ","BEST_FPERIOD_OVERRIDE=FQ","FILING_STATUS=OR","EQY_CONSOLIDATED=Y","FA_ADJUSTED=GAAP","Sort=A","Dates=H","DateFormat=P","Fill=—","Direction=H","UseDPDF=Y")</f>
        <v>#NAME?</v>
      </c>
      <c r="W306" s="2" t="e">
        <f ca="1">_xll.BDH($C$303,"EARN_FOR_COM_GROWTH","FQ3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06" s="2" t="e">
        <f ca="1">_xll.BDH($C$303,"DILUTED_EPS_AFT_XO_ITEMS_GROWTH","FQ3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06" s="2" t="e">
        <f ca="1">_xll.BDH($C$303,"DIVIDEND_PER_SHARE_1_YEAR_GROWTH","FQ3 2014","FQ3 2014","Currency=INR","Period=FQ","BEST_FPERIOD_OVERRIDE=FQ","FILING_STATUS=OR","EQY_CONSOLIDATED=Y","Sort=A","Dates=H","DateFormat=P","Fill=—","Direction=H","UseDPDF=Y")</f>
        <v>#NAME?</v>
      </c>
      <c r="Z306" s="2" t="e">
        <f ca="1">_xll.BDH($C$303,"ACCOUNTS_RECEIVABLE_GROWTH","FQ3 2014","FQ3 2014","Currency=INR","Period=FQ","BEST_FPERIOD_OVERRIDE=FQ","FILING_STATUS=OR","EQY_CONSOLIDATED=Y","Sort=A","Dates=H","DateFormat=P","Fill=—","Direction=H","UseDPDF=Y")</f>
        <v>#NAME?</v>
      </c>
      <c r="AA306" s="2" t="e">
        <f ca="1">_xll.BDH($C$303,"INVENTORY_GROWTH","FQ3 2014","FQ3 2014","Currency=INR","Period=FQ","BEST_FPERIOD_OVERRIDE=FQ","FILING_STATUS=OR","EQY_CONSOLIDATED=Y","Sort=A","Dates=H","DateFormat=P","Fill=—","Direction=H","UseDPDF=Y")</f>
        <v>#NAME?</v>
      </c>
      <c r="AB306" s="2" t="e">
        <f ca="1">_xll.BDH($C$303,"NET_FIXED_ASSETS_1_YEAR_GROWTH","FQ3 2014","FQ3 2014","Currency=INR","Period=FQ","BEST_FPERIOD_OVERRIDE=FQ","FILING_STATUS=OR","EQY_CONSOLIDATED=Y","Sort=A","Dates=H","DateFormat=P","Fill=—","Direction=H","UseDPDF=Y")</f>
        <v>#NAME?</v>
      </c>
      <c r="AC306" s="2" t="e">
        <f ca="1">_xll.BDH($C$303,"ASSET_GROWTH","FQ3 2014","FQ3 2014","Currency=INR","Period=FQ","BEST_FPERIOD_OVERRIDE=FQ","FILING_STATUS=OR","EQY_CONSOLIDATED=Y","Sort=A","Dates=H","DateFormat=P","Fill=—","Direction=H","UseDPDF=Y")</f>
        <v>#NAME?</v>
      </c>
      <c r="AD306" s="2" t="e">
        <f ca="1">_xll.BDH($C$303,"MODIFIED_WORK_CAP_GROWTH","FQ3 2014","FQ3 2014","Currency=INR","Period=FQ","BEST_FPERIOD_OVERRIDE=FQ","FILING_STATUS=OR","EQY_CONSOLIDATED=Y","Sort=A","Dates=H","DateFormat=P","Fill=—","Direction=H","UseDPDF=Y")</f>
        <v>#NAME?</v>
      </c>
      <c r="AE306" s="2" t="e">
        <f ca="1">_xll.BDH($C$303,"WORK_CAP_GROWTH","FQ3 2014","FQ3 2014","Currency=INR","Period=FQ","BEST_FPERIOD_OVERRIDE=FQ","FILING_STATUS=OR","EQY_CONSOLIDATED=Y","Sort=A","Dates=H","DateFormat=P","Fill=—","Direction=H","UseDPDF=Y")</f>
        <v>#NAME?</v>
      </c>
      <c r="AF306" s="2" t="e">
        <f ca="1">_xll.BDH($C$303,"ACCOUNTS_PAYABLE_GROWTH_1YR","FQ3 2014","FQ3 2014","Currency=INR","Period=FQ","BEST_FPERIOD_OVERRIDE=FQ","FILING_STATUS=OR","EQY_CONSOLIDATED=Y","Sort=A","Dates=H","DateFormat=P","Fill=—","Direction=H","UseDPDF=Y")</f>
        <v>#NAME?</v>
      </c>
      <c r="AG306" s="2" t="e">
        <f ca="1">_xll.BDH($C$303,"SHORT_TERM_DEBT_1_YEAR_GROWTH","FQ3 2014","FQ3 2014","Currency=INR","Period=FQ","BEST_FPERIOD_OVERRIDE=FQ","FILING_STATUS=OR","EQY_CONSOLIDATED=Y","Sort=A","Dates=H","DateFormat=P","Fill=—","Direction=H","UseDPDF=Y")</f>
        <v>#NAME?</v>
      </c>
      <c r="AH306" s="2" t="e">
        <f ca="1">_xll.BDH($C$303,"TOTAL_DEBT_1_YEAR_GROWTH","FQ3 2014","FQ3 2014","Currency=INR","Period=FQ","BEST_FPERIOD_OVERRIDE=FQ","FILING_STATUS=OR","EQY_CONSOLIDATED=Y","Sort=A","Dates=H","DateFormat=P","Fill=—","Direction=H","UseDPDF=Y")</f>
        <v>#NAME?</v>
      </c>
      <c r="AI306" s="2" t="e">
        <f ca="1">_xll.BDH($C$303,"TOTAL_EQUITY_1_YEAR_GROWTH","FQ3 2014","FQ3 2014","Currency=INR","Period=FQ","BEST_FPERIOD_OVERRIDE=FQ","FILING_STATUS=OR","EQY_CONSOLIDATED=Y","Sort=A","Dates=H","DateFormat=P","Fill=—","Direction=H","UseDPDF=Y")</f>
        <v>#NAME?</v>
      </c>
      <c r="AJ306" s="2" t="e">
        <f ca="1">_xll.BDH($C$303,"GROWTH_IN_CAP","FQ3 2014","FQ3 2014","Currency=INR","Period=FQ","BEST_FPERIOD_OVERRIDE=FQ","FILING_STATUS=OR","EQY_CONSOLIDATED=Y","Sort=A","Dates=H","DateFormat=P","Fill=—","Direction=H","UseDPDF=Y")</f>
        <v>#NAME?</v>
      </c>
      <c r="AK306" s="2" t="e">
        <f ca="1">_xll.BDH($C$303,"BVPS_GROWTH","FQ3 2014","FQ3 2014","Currency=INR","Period=FQ","BEST_FPERIOD_OVERRIDE=FQ","FILING_STATUS=OR","EQY_CONSOLIDATED=Y","Sort=A","Dates=H","DateFormat=P","Fill=—","Direction=H","UseDPDF=Y")</f>
        <v>#NAME?</v>
      </c>
      <c r="AL306" s="2" t="e">
        <f ca="1">_xll.BDH($C$303,"CASH_FLOW_GROWTH","FQ3 2014","FQ3 2014","Currency=INR","Period=FQ","BEST_FPERIOD_OVERRIDE=FQ","FILING_STATUS=OR","EQY_CONSOLIDATED=Y","Sort=A","Dates=H","DateFormat=P","Fill=—","Direction=H","UseDPDF=Y")</f>
        <v>#NAME?</v>
      </c>
      <c r="AM306" s="2" t="e">
        <f ca="1">_xll.BDH($C$303,"GEO_GROW_NET_SALES","FQ3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06" s="2" t="e">
        <f ca="1">_xll.BDH($C$303,"GEO_GROW_EBITDA","FQ3 2014","FQ3 2014","Currency=INR","Period=FQ","BEST_FPERIOD_OVERRIDE=FQ","FILING_STATUS=OR","EQY_CONSOLIDATED=Y","FA_ADJUSTED=GAAP","Sort=A","Dates=H","DateFormat=P","Fill=—","Direction=H","UseDPDF=Y")</f>
        <v>#NAME?</v>
      </c>
      <c r="AO306" s="2" t="e">
        <f ca="1">_xll.BDH($C$303,"GEO_GROW_OPER_INC","FQ3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06" s="2" t="e">
        <f ca="1">_xll.BDH($C$303,"NET_INCOME_TO_COMMON_5_YR_GROWTH","FQ3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06" s="2" t="e">
        <f ca="1">_xll.BDH($C$303,"5Y_GEO_GROWTH_DILUTED_EPS","FQ3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06" s="2" t="e">
        <f ca="1">_xll.BDH($C$303,"GEO_GROW_DVD_PER_SH","FQ3 2014","FQ3 2014","Currency=INR","Period=FQ","BEST_FPERIOD_OVERRIDE=FQ","FILING_STATUS=OR","EQY_CONSOLIDATED=Y","Sort=A","Dates=H","DateFormat=P","Fill=—","Direction=H","UseDPDF=Y")</f>
        <v>#NAME?</v>
      </c>
      <c r="AS306" s="2" t="e">
        <f ca="1">_xll.BDH($C$303,"ACCOUNTS_RECEIVABLE_5_YR_GROWTH","FQ3 2014","FQ3 2014","Currency=INR","Period=FQ","BEST_FPERIOD_OVERRIDE=FQ","FILING_STATUS=OR","EQY_CONSOLIDATED=Y","Sort=A","Dates=H","DateFormat=P","Fill=—","Direction=H","UseDPDF=Y")</f>
        <v>#NAME?</v>
      </c>
      <c r="AT306" s="2" t="e">
        <f ca="1">_xll.BDH($C$303,"INVENTORY_5_YEAR_GROWTH","FQ3 2014","FQ3 2014","Currency=INR","Period=FQ","BEST_FPERIOD_OVERRIDE=FQ","FILING_STATUS=OR","EQY_CONSOLIDATED=Y","Sort=A","Dates=H","DateFormat=P","Fill=—","Direction=H","UseDPDF=Y")</f>
        <v>#NAME?</v>
      </c>
      <c r="AU306" s="2" t="e">
        <f ca="1">_xll.BDH($C$303,"NET_FIXED_ASSETS_5_YEAR_GROWTH","FQ3 2014","FQ3 2014","Currency=INR","Period=FQ","BEST_FPERIOD_OVERRIDE=FQ","FILING_STATUS=OR","EQY_CONSOLIDATED=Y","Sort=A","Dates=H","DateFormat=P","Fill=—","Direction=H","UseDPDF=Y")</f>
        <v>#NAME?</v>
      </c>
      <c r="AV306" s="2" t="e">
        <f ca="1">_xll.BDH($C$303,"GEO_GROW_TOT_ASSET","FQ3 2014","FQ3 2014","Currency=INR","Period=FQ","BEST_FPERIOD_OVERRIDE=FQ","FILING_STATUS=OR","EQY_CONSOLIDATED=Y","Sort=A","Dates=H","DateFormat=P","Fill=—","Direction=H","UseDPDF=Y")</f>
        <v>#NAME?</v>
      </c>
      <c r="AW306" s="2" t="e">
        <f ca="1">_xll.BDH($C$303,"MODIFIED_WORKING_CPTL_5YR_GRWTH","FQ3 2014","FQ3 2014","Currency=INR","Period=FQ","BEST_FPERIOD_OVERRIDE=FQ","FILING_STATUS=OR","EQY_CONSOLIDATED=Y","Sort=A","Dates=H","DateFormat=P","Fill=—","Direction=H","UseDPDF=Y")</f>
        <v>#NAME?</v>
      </c>
      <c r="AX306" s="2" t="e">
        <f ca="1">_xll.BDH($C$303,"WORKING_CAPITAL_5_YEAR_GROWTH","FQ3 2014","FQ3 2014","Currency=INR","Period=FQ","BEST_FPERIOD_OVERRIDE=FQ","FILING_STATUS=OR","EQY_CONSOLIDATED=Y","Sort=A","Dates=H","DateFormat=P","Fill=—","Direction=H","UseDPDF=Y")</f>
        <v>#NAME?</v>
      </c>
      <c r="AY306" s="2" t="e">
        <f ca="1">_xll.BDH($C$303,"ACCOUNTS_PAYABLE_5_YEAR_GROWTH","FQ3 2014","FQ3 2014","Currency=INR","Period=FQ","BEST_FPERIOD_OVERRIDE=FQ","FILING_STATUS=OR","EQY_CONSOLIDATED=Y","Sort=A","Dates=H","DateFormat=P","Fill=—","Direction=H","UseDPDF=Y")</f>
        <v>#NAME?</v>
      </c>
      <c r="AZ306" s="2" t="e">
        <f ca="1">_xll.BDH($C$303,"SHORT_TERM_DEBT_5_YEAR_GROWTH","FQ3 2014","FQ3 2014","Currency=INR","Period=FQ","BEST_FPERIOD_OVERRIDE=FQ","FILING_STATUS=OR","EQY_CONSOLIDATED=Y","Sort=A","Dates=H","DateFormat=P","Fill=—","Direction=H","UseDPDF=Y")</f>
        <v>#NAME?</v>
      </c>
      <c r="BA306" s="2" t="e">
        <f ca="1">_xll.BDH($C$303,"TOTAL_DEBT_5_YEAR_GROWTH","FQ3 2014","FQ3 2014","Currency=INR","Period=FQ","BEST_FPERIOD_OVERRIDE=FQ","FILING_STATUS=OR","EQY_CONSOLIDATED=Y","Sort=A","Dates=H","DateFormat=P","Fill=—","Direction=H","UseDPDF=Y")</f>
        <v>#NAME?</v>
      </c>
      <c r="BB306" s="2" t="e">
        <f ca="1">_xll.BDH($C$303,"GEO_GROW_TOT_SHRHLDR_EQY","FQ3 2014","FQ3 2014","Currency=INR","Period=FQ","BEST_FPERIOD_OVERRIDE=FQ","FILING_STATUS=OR","EQY_CONSOLIDATED=Y","Sort=A","Dates=H","DateFormat=P","Fill=—","Direction=H","UseDPDF=Y")</f>
        <v>#NAME?</v>
      </c>
      <c r="BC306" s="2" t="e">
        <f ca="1">_xll.BDH($C$303,"TOTAL_CAPITAL_5_YEAR_GROWTH","FQ3 2014","FQ3 2014","Currency=INR","Period=FQ","BEST_FPERIOD_OVERRIDE=FQ","FILING_STATUS=OR","EQY_CONSOLIDATED=Y","Sort=A","Dates=H","DateFormat=P","Fill=—","Direction=H","UseDPDF=Y")</f>
        <v>#NAME?</v>
      </c>
      <c r="BD306" s="2" t="e">
        <f ca="1">_xll.BDH($C$303,"GEO_GROW_BOOK_VAL","FQ3 2014","FQ3 2014","Currency=INR","Period=FQ","BEST_FPERIOD_OVERRIDE=FQ","FILING_STATUS=OR","EQY_CONSOLIDATED=Y","Sort=A","Dates=H","DateFormat=P","Fill=—","Direction=H","UseDPDF=Y")</f>
        <v>#NAME?</v>
      </c>
      <c r="BE306" s="2" t="e">
        <f ca="1">_xll.BDH($C$303,"GEO_GROW_CASH_OPER_ACT","FQ3 2014","FQ3 2014","Currency=INR","Period=FQ","BEST_FPERIOD_OVERRIDE=FQ","FILING_STATUS=OR","EQY_CONSOLIDATED=Y","Sort=A","Dates=H","DateFormat=P","Fill=—","Direction=H","UseDPDF=Y")</f>
        <v>#NAME?</v>
      </c>
      <c r="BF306" s="2" t="e">
        <f ca="1">_xll.BDH($C$303,"REVENUE_SEQUENTIAL_GROWTH","FQ3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06" s="2" t="e">
        <f ca="1">_xll.BDH($C$303,"EBITDA_SEQUENTIAL_GROWTH","FQ3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06" s="2" t="e">
        <f ca="1">_xll.BDH($C$303,"OPERATING_INCOME_SEQ_GROWTH","FQ3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06" s="2" t="e">
        <f ca="1">_xll.BDH($C$303,"NET_INCOME_TO_COMMON_SEQ_GROWTH","FQ3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06" s="2" t="e">
        <f ca="1">_xll.BDH($C$303,"EPS_DILUTED_SEQUENTIAL_GROWTH","FQ3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06" s="2" t="e">
        <f ca="1">_xll.BDH($C$303,"DPS_SEQUENTIAL_GROWTH","FQ3 2014","FQ3 2014","Currency=INR","Period=FQ","BEST_FPERIOD_OVERRIDE=FQ","FILING_STATUS=OR","EQY_CONSOLIDATED=Y","Sort=A","Dates=H","DateFormat=P","Fill=—","Direction=H","UseDPDF=Y")</f>
        <v>#NAME?</v>
      </c>
      <c r="BL306" s="2" t="e">
        <f ca="1">_xll.BDH($C$303,"ACCOUNTS_RECEIVABLE_SEQ_GROWTH","FQ3 2014","FQ3 2014","Currency=INR","Period=FQ","BEST_FPERIOD_OVERRIDE=FQ","FILING_STATUS=OR","EQY_CONSOLIDATED=Y","Sort=A","Dates=H","DateFormat=P","Fill=—","Direction=H","UseDPDF=Y")</f>
        <v>#NAME?</v>
      </c>
      <c r="BM306" s="2" t="e">
        <f ca="1">_xll.BDH($C$303,"INVENTORY_SEQUENTIAL_GROWTH","FQ3 2014","FQ3 2014","Currency=INR","Period=FQ","BEST_FPERIOD_OVERRIDE=FQ","FILING_STATUS=OR","EQY_CONSOLIDATED=Y","Sort=A","Dates=H","DateFormat=P","Fill=—","Direction=H","UseDPDF=Y")</f>
        <v>#NAME?</v>
      </c>
      <c r="BN306" s="2" t="e">
        <f ca="1">_xll.BDH($C$303,"FIXED_ASSETS_SEQUENTIAL_GROWTH","FQ3 2014","FQ3 2014","Currency=INR","Period=FQ","BEST_FPERIOD_OVERRIDE=FQ","FILING_STATUS=OR","EQY_CONSOLIDATED=Y","Sort=A","Dates=H","DateFormat=P","Fill=—","Direction=H","UseDPDF=Y")</f>
        <v>#NAME?</v>
      </c>
      <c r="BO306" s="2" t="e">
        <f ca="1">_xll.BDH($C$303,"TOTAL_ASSETS_SEQUENTIAL_GROWTH","FQ3 2014","FQ3 2014","Currency=INR","Period=FQ","BEST_FPERIOD_OVERRIDE=FQ","FILING_STATUS=OR","EQY_CONSOLIDATED=Y","Sort=A","Dates=H","DateFormat=P","Fill=—","Direction=H","UseDPDF=Y")</f>
        <v>#NAME?</v>
      </c>
      <c r="BP306" s="2" t="e">
        <f ca="1">_xll.BDH($C$303,"MODIFIED_WORKING_CPTL_SEQ_GRWTH","FQ3 2014","FQ3 2014","Currency=INR","Period=FQ","BEST_FPERIOD_OVERRIDE=FQ","FILING_STATUS=OR","EQY_CONSOLIDATED=Y","Sort=A","Dates=H","DateFormat=P","Fill=—","Direction=H","UseDPDF=Y")</f>
        <v>#NAME?</v>
      </c>
      <c r="BQ306" s="2" t="e">
        <f ca="1">_xll.BDH($C$303,"WORKING_CAPITAL_SEQ_GROWTH","FQ3 2014","FQ3 2014","Currency=INR","Period=FQ","BEST_FPERIOD_OVERRIDE=FQ","FILING_STATUS=OR","EQY_CONSOLIDATED=Y","Sort=A","Dates=H","DateFormat=P","Fill=—","Direction=H","UseDPDF=Y")</f>
        <v>#NAME?</v>
      </c>
      <c r="BR306" s="2" t="e">
        <f ca="1">_xll.BDH($C$303,"ACCOUNTS_PAYABLE_SEQ_GROWTH","FQ3 2014","FQ3 2014","Currency=INR","Period=FQ","BEST_FPERIOD_OVERRIDE=FQ","FILING_STATUS=OR","EQY_CONSOLIDATED=Y","Sort=A","Dates=H","DateFormat=P","Fill=—","Direction=H","UseDPDF=Y")</f>
        <v>#NAME?</v>
      </c>
      <c r="BS306" s="2" t="e">
        <f ca="1">_xll.BDH($C$303,"ST_DEBT_SEQUENTIAL_GROWTH","FQ3 2014","FQ3 2014","Currency=INR","Period=FQ","BEST_FPERIOD_OVERRIDE=FQ","FILING_STATUS=OR","EQY_CONSOLIDATED=Y","Sort=A","Dates=H","DateFormat=P","Fill=—","Direction=H","UseDPDF=Y")</f>
        <v>#NAME?</v>
      </c>
      <c r="BT306" s="2" t="e">
        <f ca="1">_xll.BDH($C$303,"TOTAL_DEBT_SEQUENTIAL_GROWTH","FQ3 2014","FQ3 2014","Currency=INR","Period=FQ","BEST_FPERIOD_OVERRIDE=FQ","FILING_STATUS=OR","EQY_CONSOLIDATED=Y","Sort=A","Dates=H","DateFormat=P","Fill=—","Direction=H","UseDPDF=Y")</f>
        <v>#NAME?</v>
      </c>
      <c r="BU306" s="2" t="e">
        <f ca="1">_xll.BDH($C$303,"TOTAL_EQUITY_SEQUENTIAL_GROWTH","FQ3 2014","FQ3 2014","Currency=INR","Period=FQ","BEST_FPERIOD_OVERRIDE=FQ","FILING_STATUS=OR","EQY_CONSOLIDATED=Y","Sort=A","Dates=H","DateFormat=P","Fill=—","Direction=H","UseDPDF=Y")</f>
        <v>#NAME?</v>
      </c>
      <c r="BV306" s="2" t="e">
        <f ca="1">_xll.BDH($C$303,"TOTAL_CAPITAL_SEQUENTIAL_GROWTH","FQ3 2014","FQ3 2014","Currency=INR","Period=FQ","BEST_FPERIOD_OVERRIDE=FQ","FILING_STATUS=OR","EQY_CONSOLIDATED=Y","Sort=A","Dates=H","DateFormat=P","Fill=—","Direction=H","UseDPDF=Y")</f>
        <v>#NAME?</v>
      </c>
      <c r="BW306" s="2" t="e">
        <f ca="1">_xll.BDH($C$303,"BPS_SEQUENTIAL_GROWTH","FQ3 2014","FQ3 2014","Currency=INR","Period=FQ","BEST_FPERIOD_OVERRIDE=FQ","FILING_STATUS=OR","EQY_CONSOLIDATED=Y","Sort=A","Dates=H","DateFormat=P","Fill=—","Direction=H","UseDPDF=Y")</f>
        <v>#NAME?</v>
      </c>
      <c r="BX306" s="2" t="e">
        <f ca="1">_xll.BDH($C$303,"CFO_SEQUENTIAL_GROWTH","FQ3 2014","FQ3 2014","Currency=INR","Period=FQ","BEST_FPERIOD_OVERRIDE=FQ","FILING_STATUS=OR","EQY_CONSOLIDATED=Y","Sort=A","Dates=H","DateFormat=P","Fill=—","Direction=H","UseDPDF=Y")</f>
        <v>#NAME?</v>
      </c>
      <c r="BY306" s="3" t="e">
        <f ca="1">_xll.BDH($C$303,"SHORT_AND_LONG_TERM_DEBT","FQ3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06" s="3" t="e">
        <f ca="1">_xll.BDH($C$303,"BS_ST_BORROW","FQ3 2014","FQ3 2014","Currency=INR","Period=FQ","BEST_FPERIOD_OVERRIDE=FQ","FILING_STATUS=OR","EQY_CONSOLIDATED=Y","SCALING_FORMAT=MLN","Sort=A","Dates=H","DateFormat=P","Fill=—","Direction=H","UseDPDF=Y")</f>
        <v>#NAME?</v>
      </c>
      <c r="CA306" s="3" t="e">
        <f ca="1">_xll.BDH($C$303,"BS_LT_BORROW","FQ3 2014","FQ3 2014","Currency=INR","Period=FQ","BEST_FPERIOD_OVERRIDE=FQ","FILING_STATUS=OR","EQY_CONSOLIDATED=Y","SCALING_FORMAT=MLN","Sort=A","Dates=H","DateFormat=P","Fill=—","Direction=H","UseDPDF=Y")</f>
        <v>#NAME?</v>
      </c>
      <c r="CB306" s="2" t="e">
        <f ca="1">_xll.BDH($C$303,"TOT_DEBT_TO_EBITDA","FQ3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06" s="2" t="e">
        <f ca="1">_xll.BDH($C$303,"NET_DEBT_TO_EBITDA","FQ3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06" s="2" t="e">
        <f ca="1">_xll.BDH($C$303,"TOTAL_DEBT_TO_EBIT","FQ3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06" s="2" t="e">
        <f ca="1">_xll.BDH($C$303,"NET_DEBT_TO_EBIT","FQ3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06" s="2" t="e">
        <f ca="1">_xll.BDH($C$303,"EBITDA_TO_INTEREST_EXPN","FQ3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06" s="2" t="e">
        <f ca="1">_xll.BDH($C$303,"COM_EQY_TO_TOT_ASSET","FQ3 2014","FQ3 2014","Currency=INR","Period=FQ","BEST_FPERIOD_OVERRIDE=FQ","FILING_STATUS=OR","EQY_CONSOLIDATED=Y","Sort=A","Dates=H","DateFormat=P","Fill=—","Direction=H","UseDPDF=Y")</f>
        <v>#NAME?</v>
      </c>
      <c r="CH306" s="2" t="e">
        <f ca="1">_xll.BDH($C$303,"LT_DEBT_TO_TOT_EQY","FQ3 2014","FQ3 2014","Currency=INR","Period=FQ","BEST_FPERIOD_OVERRIDE=FQ","FILING_STATUS=OR","EQY_CONSOLIDATED=Y","Sort=A","Dates=H","DateFormat=P","Fill=—","Direction=H","UseDPDF=Y")</f>
        <v>#NAME?</v>
      </c>
      <c r="CI306" s="2" t="e">
        <f ca="1">_xll.BDH($C$303,"LT_DEBT_TO_TOT_CAP","FQ3 2014","FQ3 2014","Currency=INR","Period=FQ","BEST_FPERIOD_OVERRIDE=FQ","FILING_STATUS=OR","EQY_CONSOLIDATED=Y","Sort=A","Dates=H","DateFormat=P","Fill=—","Direction=H","UseDPDF=Y")</f>
        <v>#NAME?</v>
      </c>
      <c r="CJ306" s="2" t="e">
        <f ca="1">_xll.BDH($C$303,"LT_DEBT_TO_TOT_ASSET","FQ3 2014","FQ3 2014","Currency=INR","Period=FQ","BEST_FPERIOD_OVERRIDE=FQ","FILING_STATUS=OR","EQY_CONSOLIDATED=Y","Sort=A","Dates=H","DateFormat=P","Fill=—","Direction=H","UseDPDF=Y")</f>
        <v>#NAME?</v>
      </c>
      <c r="CK306" s="2" t="e">
        <f ca="1">_xll.BDH($C$303,"TOT_DEBT_TO_TOT_EQY","FQ3 2014","FQ3 2014","Currency=INR","Period=FQ","BEST_FPERIOD_OVERRIDE=FQ","FILING_STATUS=OR","EQY_CONSOLIDATED=Y","Sort=A","Dates=H","DateFormat=P","Fill=—","Direction=H","UseDPDF=Y")</f>
        <v>#NAME?</v>
      </c>
      <c r="CL306" s="2" t="e">
        <f ca="1">_xll.BDH($C$303,"TOT_DEBT_TO_TOT_CAP","FQ3 2014","FQ3 2014","Currency=INR","Period=FQ","BEST_FPERIOD_OVERRIDE=FQ","FILING_STATUS=OR","EQY_CONSOLIDATED=Y","Sort=A","Dates=H","DateFormat=P","Fill=—","Direction=H","UseDPDF=Y")</f>
        <v>#NAME?</v>
      </c>
      <c r="CM306" s="2" t="e">
        <f ca="1">_xll.BDH($C$303,"TOT_DEBT_TO_TOT_ASSET","FQ3 2014","FQ3 2014","Currency=INR","Period=FQ","BEST_FPERIOD_OVERRIDE=FQ","FILING_STATUS=OR","EQY_CONSOLIDATED=Y","Sort=A","Dates=H","DateFormat=P","Fill=—","Direction=H","UseDPDF=Y")</f>
        <v>#NAME?</v>
      </c>
      <c r="CN306" s="2" t="e">
        <f ca="1">_xll.BDH($C$303,"NET_DEBT_TO_SHRHLDR_EQTY","FQ3 2014","FQ3 2014","Currency=INR","Period=FQ","BEST_FPERIOD_OVERRIDE=FQ","FILING_STATUS=OR","EQY_CONSOLIDATED=Y","Sort=A","Dates=H","DateFormat=P","Fill=—","Direction=H","UseDPDF=Y")</f>
        <v>#NAME?</v>
      </c>
      <c r="CO306" s="2" t="e">
        <f ca="1">_xll.BDH($C$303,"NET_DEBT_%_CAPITAL","FQ3 2014","FQ3 2014","Currency=INR","Period=FQ","BEST_FPERIOD_OVERRIDE=FQ","FILING_STATUS=OR","EQY_CONSOLIDATED=Y","Sort=A","Dates=H","DateFormat=P","Fill=—","Direction=H","UseDPDF=Y")</f>
        <v>#NAME?</v>
      </c>
      <c r="CP306" s="3" t="e">
        <f ca="1">_xll.BDH($C$303,"EBITDA","FQ3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06" s="3" t="e">
        <f ca="1">_xll.BDH($C$303,"EBITDA_AFTER_CAPEX","FQ3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06" s="3" t="e">
        <f ca="1">_xll.BDH($C$303,"IS_OPER_INC","FQ3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06" s="2" t="e">
        <f ca="1">_xll.BDH($C$303,"CASH_RATIO","FQ3 2014","FQ3 2014","Currency=INR","Period=FQ","BEST_FPERIOD_OVERRIDE=FQ","FILING_STATUS=OR","EQY_CONSOLIDATED=Y","Sort=A","Dates=H","DateFormat=P","Fill=—","Direction=H","UseDPDF=Y")</f>
        <v>#NAME?</v>
      </c>
      <c r="CT306" s="2" t="e">
        <f ca="1">_xll.BDH($C$303,"CUR_RATIO","FQ3 2014","FQ3 2014","Currency=INR","Period=FQ","BEST_FPERIOD_OVERRIDE=FQ","FILING_STATUS=OR","EQY_CONSOLIDATED=Y","Sort=A","Dates=H","DateFormat=P","Fill=—","Direction=H","UseDPDF=Y")</f>
        <v>#NAME?</v>
      </c>
      <c r="CU306" s="2" t="e">
        <f ca="1">_xll.BDH($C$303,"QUICK_RATIO","FQ3 2014","FQ3 2014","Currency=INR","Period=FQ","BEST_FPERIOD_OVERRIDE=FQ","FILING_STATUS=OR","EQY_CONSOLIDATED=Y","Sort=A","Dates=H","DateFormat=P","Fill=—","Direction=H","UseDPDF=Y")</f>
        <v>#NAME?</v>
      </c>
      <c r="CV306" s="2" t="e">
        <f ca="1">_xll.BDH($C$303,"ALTMAN_Z_SCORE","FQ3 2014","FQ3 2014","Currency=INR","Period=FQ","BEST_FPERIOD_OVERRIDE=FQ","FILING_STATUS=OR","EQY_CONSOLIDATED=Y","Sort=A","Dates=H","DateFormat=P","Fill=—","Direction=H","UseDPDF=Y")</f>
        <v>#NAME?</v>
      </c>
      <c r="CW306" s="4" t="e">
        <f ca="1">_xll.BDH($C$303,"ACCT_RCV_TURN","FQ3 2014","FQ3 2014","Currency=INR","Period=FQ","BEST_FPERIOD_OVERRIDE=FQ","FILING_STATUS=OR","EQY_CONSOLIDATED=Y","FA_ADJUSTED=GAAP","Sort=A","Dates=H","DateFormat=P","Fill=—","Direction=H","UseDPDF=Y")</f>
        <v>#NAME?</v>
      </c>
      <c r="CX306" s="2" t="e">
        <f ca="1">_xll.BDH($C$303,"ACCT_RCV_DAYS","FQ3 2014","FQ3 2014","Currency=INR","Period=FQ","BEST_FPERIOD_OVERRIDE=FQ","FILING_STATUS=OR","EQY_CONSOLIDATED=Y","FA_ADJUSTED=GAAP","Sort=A","Dates=H","DateFormat=P","Fill=—","Direction=H","UseDPDF=Y")</f>
        <v>#NAME?</v>
      </c>
      <c r="CY306" s="4" t="e">
        <f ca="1">_xll.BDH($C$303,"INVENT_TURN","FQ3 2014","FQ3 2014","Currency=INR","Period=FQ","BEST_FPERIOD_OVERRIDE=FQ","FILING_STATUS=OR","EQY_CONSOLIDATED=Y","FA_ADJUSTED=GAAP","Sort=A","Dates=H","DateFormat=P","Fill=—","Direction=H","UseDPDF=Y")</f>
        <v>#NAME?</v>
      </c>
      <c r="CZ306" s="2" t="e">
        <f ca="1">_xll.BDH($C$303,"INVENT_DAYS","FQ3 2014","FQ3 2014","Currency=INR","Period=FQ","BEST_FPERIOD_OVERRIDE=FQ","FILING_STATUS=OR","EQY_CONSOLIDATED=Y","FA_ADJUSTED=GAAP","Sort=A","Dates=H","DateFormat=P","Fill=—","Direction=H","UseDPDF=Y")</f>
        <v>#NAME?</v>
      </c>
      <c r="DA306" s="4" t="e">
        <f ca="1">_xll.BDH($C$303,"ACCOUNTS_PAYABLE_TURNOVER","FQ3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06" s="2" t="e">
        <f ca="1">_xll.BDH($C$303,"ACCOUNTS_PAYABLE_TURNOVER_DAYS","FQ3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06" s="4" t="e">
        <f ca="1">_xll.BDH($C$303,"CASH_CONVERSION_CYCLE","FQ3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06" s="4" t="e">
        <f ca="1">_xll.BDH($C$303,"INV_TO_CASH_DAYS","FQ3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06" s="5" t="e">
        <f ca="1">_xll.BDH($C$303,"BS_INVENTORIES","FQ3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06" s="3" t="e">
        <f ca="1">_xll.BDH($C$303,"INVTRY_RAW_MATERIALS","FQ3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06" s="3" t="e">
        <f ca="1">_xll.BDH($C$303,"INVTRY_IN_PROGRESS","FQ3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06" s="3" t="e">
        <f ca="1">_xll.BDH($C$303,"INVTRY_FINISHED_GOODS","FQ3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06" s="3" t="e">
        <f ca="1">_xll.BDH($C$303,"BS_OTHER_INV","FQ3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07" spans="1:113" x14ac:dyDescent="0.3">
      <c r="A307" s="6"/>
      <c r="B307" s="6"/>
      <c r="C307" s="6"/>
      <c r="D307" s="6"/>
      <c r="E307" t="s">
        <v>81</v>
      </c>
      <c r="F307" t="e">
        <f ca="1">_xll.BDH($C$303,"RETURN_COM_EQY","FQ4 2014","FQ4 2014","Currency=INR","Period=FQ","BEST_FPERIOD_OVERRIDE=FQ","FILING_STATUS=OR","EQY_CONSOLIDATED=Y","FA_ADJUSTED=GAAP","Sort=A","Dates=H","DateFormat=P","Fill=—","Direction=H","UseDPDF=Y")</f>
        <v>#NAME?</v>
      </c>
      <c r="G307" t="e">
        <f ca="1">_xll.BDH($C$303,"RETURN_ON_ASSET","FQ4 2014","FQ4 2014","Currency=INR","Period=FQ","BEST_FPERIOD_OVERRIDE=FQ","FILING_STATUS=OR","EQY_CONSOLIDATED=Y","FA_ADJUSTED=GAAP","Sort=A","Dates=H","DateFormat=P","Fill=—","Direction=H","UseDPDF=Y")</f>
        <v>#NAME?</v>
      </c>
      <c r="H307" t="e">
        <f ca="1">_xll.BDH($C$303,"RETURN_ON_CAP","FQ4 2014","FQ4 2014","Currency=INR","Period=FQ","BEST_FPERIOD_OVERRIDE=FQ","FILING_STATUS=OR","EQY_CONSOLIDATED=Y","FA_ADJUSTED=GAAP","Sort=A","Dates=H","DateFormat=P","Fill=—","Direction=H","UseDPDF=Y")</f>
        <v>#NAME?</v>
      </c>
      <c r="I307" t="e">
        <f ca="1">_xll.BDH($C$303,"RETURN_ON_INV_CAPITAL","FQ4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07" t="e">
        <f ca="1">_xll.BDH($C$303,"EBITDA_TO_REVENUE","FQ4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07" t="e">
        <f ca="1">_xll.BDH($C$303,"OPER_MARGIN","FQ4 2014","FQ4 2014","Currency=INR","Period=FQ","BEST_FPERIOD_OVERRIDE=FQ","FILING_STATUS=OR","EQY_CONSOLIDATED=Y","FA_ADJUSTED=GAAP","Sort=A","Dates=H","DateFormat=P","Fill=—","Direction=H","UseDPDF=Y")</f>
        <v>#NAME?</v>
      </c>
      <c r="L307" t="e">
        <f ca="1">_xll.BDH($C$303,"INCREMENTAL_OPERATING_MARGIN","FQ4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07" t="e">
        <f ca="1">_xll.BDH($C$303,"PRETAX_INC_TO_NET_SALES","FQ4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07" t="e">
        <f ca="1">_xll.BDH($C$303,"INC_BEF_XO_ITEMS_TO_NET_SALES","FQ4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07" t="e">
        <f ca="1">_xll.BDH($C$303,"PROF_MARGIN","FQ4 2014","FQ4 2014","Currency=INR","Period=FQ","BEST_FPERIOD_OVERRIDE=FQ","FILING_STATUS=OR","EQY_CONSOLIDATED=Y","FA_ADJUSTED=GAAP","Sort=A","Dates=H","DateFormat=P","Fill=—","Direction=H","UseDPDF=Y")</f>
        <v>#NAME?</v>
      </c>
      <c r="P307" t="e">
        <f ca="1">_xll.BDH($C$303,"NET_INCOME_TO_COMMON_MARGIN","FQ4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07" t="e">
        <f ca="1">_xll.BDH($C$303,"EFF_TAX_RATE","FQ4 2014","FQ4 2014","Currency=INR","Period=FQ","BEST_FPERIOD_OVERRIDE=FQ","FILING_STATUS=OR","EQY_CONSOLIDATED=Y","FA_ADJUSTED=GAAP","Sort=A","Dates=H","DateFormat=P","Fill=—","Direction=H","UseDPDF=Y")</f>
        <v>#NAME?</v>
      </c>
      <c r="R307" t="e">
        <f ca="1">_xll.BDH($C$303,"DVD_PAYOUT_RATIO","FQ4 2014","FQ4 2014","Currency=INR","Period=FQ","BEST_FPERIOD_OVERRIDE=FQ","FILING_STATUS=OR","EQY_CONSOLIDATED=Y","FA_ADJUSTED=GAAP","Sort=A","Dates=H","DateFormat=P","Fill=—","Direction=H","UseDPDF=Y")</f>
        <v>#NAME?</v>
      </c>
      <c r="S307" t="e">
        <f ca="1">_xll.BDH($C$303,"SUSTAIN_GROWTH_RT","FQ4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07" s="2" t="e">
        <f ca="1">_xll.BDH($C$303,"SALES_GROWTH","FQ4 2014","FQ4 2014","Currency=INR","Period=FQ","BEST_FPERIOD_OVERRIDE=FQ","FILING_STATUS=OR","EQY_CONSOLIDATED=Y","FA_ADJUSTED=GAAP","Sort=A","Dates=H","DateFormat=P","Fill=—","Direction=H","UseDPDF=Y")</f>
        <v>#NAME?</v>
      </c>
      <c r="U307" s="2" t="e">
        <f ca="1">_xll.BDH($C$303,"EBITDA_GROWTH","FQ4 2014","FQ4 2014","Currency=INR","Period=FQ","BEST_FPERIOD_OVERRIDE=FQ","FILING_STATUS=OR","EQY_CONSOLIDATED=Y","FA_ADJUSTED=GAAP","Sort=A","Dates=H","DateFormat=P","Fill=—","Direction=H","UseDPDF=Y")</f>
        <v>#NAME?</v>
      </c>
      <c r="V307" s="2" t="e">
        <f ca="1">_xll.BDH($C$303,"OPER_INC_GROWTH","FQ4 2014","FQ4 2014","Currency=INR","Period=FQ","BEST_FPERIOD_OVERRIDE=FQ","FILING_STATUS=OR","EQY_CONSOLIDATED=Y","FA_ADJUSTED=GAAP","Sort=A","Dates=H","DateFormat=P","Fill=—","Direction=H","UseDPDF=Y")</f>
        <v>#NAME?</v>
      </c>
      <c r="W307" s="2" t="e">
        <f ca="1">_xll.BDH($C$303,"EARN_FOR_COM_GROWTH","FQ4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07" s="2" t="e">
        <f ca="1">_xll.BDH($C$303,"DILUTED_EPS_AFT_XO_ITEMS_GROWTH","FQ4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07" s="2" t="e">
        <f ca="1">_xll.BDH($C$303,"DIVIDEND_PER_SHARE_1_YEAR_GROWTH","FQ4 2014","FQ4 2014","Currency=INR","Period=FQ","BEST_FPERIOD_OVERRIDE=FQ","FILING_STATUS=OR","EQY_CONSOLIDATED=Y","Sort=A","Dates=H","DateFormat=P","Fill=—","Direction=H","UseDPDF=Y")</f>
        <v>#NAME?</v>
      </c>
      <c r="Z307" s="2" t="e">
        <f ca="1">_xll.BDH($C$303,"ACCOUNTS_RECEIVABLE_GROWTH","FQ4 2014","FQ4 2014","Currency=INR","Period=FQ","BEST_FPERIOD_OVERRIDE=FQ","FILING_STATUS=OR","EQY_CONSOLIDATED=Y","Sort=A","Dates=H","DateFormat=P","Fill=—","Direction=H","UseDPDF=Y")</f>
        <v>#NAME?</v>
      </c>
      <c r="AA307" s="2" t="e">
        <f ca="1">_xll.BDH($C$303,"INVENTORY_GROWTH","FQ4 2014","FQ4 2014","Currency=INR","Period=FQ","BEST_FPERIOD_OVERRIDE=FQ","FILING_STATUS=OR","EQY_CONSOLIDATED=Y","Sort=A","Dates=H","DateFormat=P","Fill=—","Direction=H","UseDPDF=Y")</f>
        <v>#NAME?</v>
      </c>
      <c r="AB307" s="2" t="e">
        <f ca="1">_xll.BDH($C$303,"NET_FIXED_ASSETS_1_YEAR_GROWTH","FQ4 2014","FQ4 2014","Currency=INR","Period=FQ","BEST_FPERIOD_OVERRIDE=FQ","FILING_STATUS=OR","EQY_CONSOLIDATED=Y","Sort=A","Dates=H","DateFormat=P","Fill=—","Direction=H","UseDPDF=Y")</f>
        <v>#NAME?</v>
      </c>
      <c r="AC307" s="2" t="e">
        <f ca="1">_xll.BDH($C$303,"ASSET_GROWTH","FQ4 2014","FQ4 2014","Currency=INR","Period=FQ","BEST_FPERIOD_OVERRIDE=FQ","FILING_STATUS=OR","EQY_CONSOLIDATED=Y","Sort=A","Dates=H","DateFormat=P","Fill=—","Direction=H","UseDPDF=Y")</f>
        <v>#NAME?</v>
      </c>
      <c r="AD307" s="2" t="e">
        <f ca="1">_xll.BDH($C$303,"MODIFIED_WORK_CAP_GROWTH","FQ4 2014","FQ4 2014","Currency=INR","Period=FQ","BEST_FPERIOD_OVERRIDE=FQ","FILING_STATUS=OR","EQY_CONSOLIDATED=Y","Sort=A","Dates=H","DateFormat=P","Fill=—","Direction=H","UseDPDF=Y")</f>
        <v>#NAME?</v>
      </c>
      <c r="AE307" s="2" t="e">
        <f ca="1">_xll.BDH($C$303,"WORK_CAP_GROWTH","FQ4 2014","FQ4 2014","Currency=INR","Period=FQ","BEST_FPERIOD_OVERRIDE=FQ","FILING_STATUS=OR","EQY_CONSOLIDATED=Y","Sort=A","Dates=H","DateFormat=P","Fill=—","Direction=H","UseDPDF=Y")</f>
        <v>#NAME?</v>
      </c>
      <c r="AF307" s="2" t="e">
        <f ca="1">_xll.BDH($C$303,"ACCOUNTS_PAYABLE_GROWTH_1YR","FQ4 2014","FQ4 2014","Currency=INR","Period=FQ","BEST_FPERIOD_OVERRIDE=FQ","FILING_STATUS=OR","EQY_CONSOLIDATED=Y","Sort=A","Dates=H","DateFormat=P","Fill=—","Direction=H","UseDPDF=Y")</f>
        <v>#NAME?</v>
      </c>
      <c r="AG307" s="2" t="e">
        <f ca="1">_xll.BDH($C$303,"SHORT_TERM_DEBT_1_YEAR_GROWTH","FQ4 2014","FQ4 2014","Currency=INR","Period=FQ","BEST_FPERIOD_OVERRIDE=FQ","FILING_STATUS=OR","EQY_CONSOLIDATED=Y","Sort=A","Dates=H","DateFormat=P","Fill=—","Direction=H","UseDPDF=Y")</f>
        <v>#NAME?</v>
      </c>
      <c r="AH307" s="2" t="e">
        <f ca="1">_xll.BDH($C$303,"TOTAL_DEBT_1_YEAR_GROWTH","FQ4 2014","FQ4 2014","Currency=INR","Period=FQ","BEST_FPERIOD_OVERRIDE=FQ","FILING_STATUS=OR","EQY_CONSOLIDATED=Y","Sort=A","Dates=H","DateFormat=P","Fill=—","Direction=H","UseDPDF=Y")</f>
        <v>#NAME?</v>
      </c>
      <c r="AI307" s="2" t="e">
        <f ca="1">_xll.BDH($C$303,"TOTAL_EQUITY_1_YEAR_GROWTH","FQ4 2014","FQ4 2014","Currency=INR","Period=FQ","BEST_FPERIOD_OVERRIDE=FQ","FILING_STATUS=OR","EQY_CONSOLIDATED=Y","Sort=A","Dates=H","DateFormat=P","Fill=—","Direction=H","UseDPDF=Y")</f>
        <v>#NAME?</v>
      </c>
      <c r="AJ307" s="2" t="e">
        <f ca="1">_xll.BDH($C$303,"GROWTH_IN_CAP","FQ4 2014","FQ4 2014","Currency=INR","Period=FQ","BEST_FPERIOD_OVERRIDE=FQ","FILING_STATUS=OR","EQY_CONSOLIDATED=Y","Sort=A","Dates=H","DateFormat=P","Fill=—","Direction=H","UseDPDF=Y")</f>
        <v>#NAME?</v>
      </c>
      <c r="AK307" s="2" t="e">
        <f ca="1">_xll.BDH($C$303,"BVPS_GROWTH","FQ4 2014","FQ4 2014","Currency=INR","Period=FQ","BEST_FPERIOD_OVERRIDE=FQ","FILING_STATUS=OR","EQY_CONSOLIDATED=Y","Sort=A","Dates=H","DateFormat=P","Fill=—","Direction=H","UseDPDF=Y")</f>
        <v>#NAME?</v>
      </c>
      <c r="AL307" s="2" t="e">
        <f ca="1">_xll.BDH($C$303,"CASH_FLOW_GROWTH","FQ4 2014","FQ4 2014","Currency=INR","Period=FQ","BEST_FPERIOD_OVERRIDE=FQ","FILING_STATUS=OR","EQY_CONSOLIDATED=Y","Sort=A","Dates=H","DateFormat=P","Fill=—","Direction=H","UseDPDF=Y")</f>
        <v>#NAME?</v>
      </c>
      <c r="AM307" s="2" t="e">
        <f ca="1">_xll.BDH($C$303,"GEO_GROW_NET_SALES","FQ4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07" s="2" t="e">
        <f ca="1">_xll.BDH($C$303,"GEO_GROW_EBITDA","FQ4 2014","FQ4 2014","Currency=INR","Period=FQ","BEST_FPERIOD_OVERRIDE=FQ","FILING_STATUS=OR","EQY_CONSOLIDATED=Y","FA_ADJUSTED=GAAP","Sort=A","Dates=H","DateFormat=P","Fill=—","Direction=H","UseDPDF=Y")</f>
        <v>#NAME?</v>
      </c>
      <c r="AO307" s="2" t="e">
        <f ca="1">_xll.BDH($C$303,"GEO_GROW_OPER_INC","FQ4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07" s="2" t="e">
        <f ca="1">_xll.BDH($C$303,"NET_INCOME_TO_COMMON_5_YR_GROWTH","FQ4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07" s="2" t="e">
        <f ca="1">_xll.BDH($C$303,"5Y_GEO_GROWTH_DILUTED_EPS","FQ4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07" s="2" t="e">
        <f ca="1">_xll.BDH($C$303,"GEO_GROW_DVD_PER_SH","FQ4 2014","FQ4 2014","Currency=INR","Period=FQ","BEST_FPERIOD_OVERRIDE=FQ","FILING_STATUS=OR","EQY_CONSOLIDATED=Y","Sort=A","Dates=H","DateFormat=P","Fill=—","Direction=H","UseDPDF=Y")</f>
        <v>#NAME?</v>
      </c>
      <c r="AS307" s="2" t="e">
        <f ca="1">_xll.BDH($C$303,"ACCOUNTS_RECEIVABLE_5_YR_GROWTH","FQ4 2014","FQ4 2014","Currency=INR","Period=FQ","BEST_FPERIOD_OVERRIDE=FQ","FILING_STATUS=OR","EQY_CONSOLIDATED=Y","Sort=A","Dates=H","DateFormat=P","Fill=—","Direction=H","UseDPDF=Y")</f>
        <v>#NAME?</v>
      </c>
      <c r="AT307" s="2" t="e">
        <f ca="1">_xll.BDH($C$303,"INVENTORY_5_YEAR_GROWTH","FQ4 2014","FQ4 2014","Currency=INR","Period=FQ","BEST_FPERIOD_OVERRIDE=FQ","FILING_STATUS=OR","EQY_CONSOLIDATED=Y","Sort=A","Dates=H","DateFormat=P","Fill=—","Direction=H","UseDPDF=Y")</f>
        <v>#NAME?</v>
      </c>
      <c r="AU307" s="2" t="e">
        <f ca="1">_xll.BDH($C$303,"NET_FIXED_ASSETS_5_YEAR_GROWTH","FQ4 2014","FQ4 2014","Currency=INR","Period=FQ","BEST_FPERIOD_OVERRIDE=FQ","FILING_STATUS=OR","EQY_CONSOLIDATED=Y","Sort=A","Dates=H","DateFormat=P","Fill=—","Direction=H","UseDPDF=Y")</f>
        <v>#NAME?</v>
      </c>
      <c r="AV307" s="2" t="e">
        <f ca="1">_xll.BDH($C$303,"GEO_GROW_TOT_ASSET","FQ4 2014","FQ4 2014","Currency=INR","Period=FQ","BEST_FPERIOD_OVERRIDE=FQ","FILING_STATUS=OR","EQY_CONSOLIDATED=Y","Sort=A","Dates=H","DateFormat=P","Fill=—","Direction=H","UseDPDF=Y")</f>
        <v>#NAME?</v>
      </c>
      <c r="AW307" s="2" t="e">
        <f ca="1">_xll.BDH($C$303,"MODIFIED_WORKING_CPTL_5YR_GRWTH","FQ4 2014","FQ4 2014","Currency=INR","Period=FQ","BEST_FPERIOD_OVERRIDE=FQ","FILING_STATUS=OR","EQY_CONSOLIDATED=Y","Sort=A","Dates=H","DateFormat=P","Fill=—","Direction=H","UseDPDF=Y")</f>
        <v>#NAME?</v>
      </c>
      <c r="AX307" s="2" t="e">
        <f ca="1">_xll.BDH($C$303,"WORKING_CAPITAL_5_YEAR_GROWTH","FQ4 2014","FQ4 2014","Currency=INR","Period=FQ","BEST_FPERIOD_OVERRIDE=FQ","FILING_STATUS=OR","EQY_CONSOLIDATED=Y","Sort=A","Dates=H","DateFormat=P","Fill=—","Direction=H","UseDPDF=Y")</f>
        <v>#NAME?</v>
      </c>
      <c r="AY307" s="2" t="e">
        <f ca="1">_xll.BDH($C$303,"ACCOUNTS_PAYABLE_5_YEAR_GROWTH","FQ4 2014","FQ4 2014","Currency=INR","Period=FQ","BEST_FPERIOD_OVERRIDE=FQ","FILING_STATUS=OR","EQY_CONSOLIDATED=Y","Sort=A","Dates=H","DateFormat=P","Fill=—","Direction=H","UseDPDF=Y")</f>
        <v>#NAME?</v>
      </c>
      <c r="AZ307" s="2" t="e">
        <f ca="1">_xll.BDH($C$303,"SHORT_TERM_DEBT_5_YEAR_GROWTH","FQ4 2014","FQ4 2014","Currency=INR","Period=FQ","BEST_FPERIOD_OVERRIDE=FQ","FILING_STATUS=OR","EQY_CONSOLIDATED=Y","Sort=A","Dates=H","DateFormat=P","Fill=—","Direction=H","UseDPDF=Y")</f>
        <v>#NAME?</v>
      </c>
      <c r="BA307" s="2" t="e">
        <f ca="1">_xll.BDH($C$303,"TOTAL_DEBT_5_YEAR_GROWTH","FQ4 2014","FQ4 2014","Currency=INR","Period=FQ","BEST_FPERIOD_OVERRIDE=FQ","FILING_STATUS=OR","EQY_CONSOLIDATED=Y","Sort=A","Dates=H","DateFormat=P","Fill=—","Direction=H","UseDPDF=Y")</f>
        <v>#NAME?</v>
      </c>
      <c r="BB307" s="2" t="e">
        <f ca="1">_xll.BDH($C$303,"GEO_GROW_TOT_SHRHLDR_EQY","FQ4 2014","FQ4 2014","Currency=INR","Period=FQ","BEST_FPERIOD_OVERRIDE=FQ","FILING_STATUS=OR","EQY_CONSOLIDATED=Y","Sort=A","Dates=H","DateFormat=P","Fill=—","Direction=H","UseDPDF=Y")</f>
        <v>#NAME?</v>
      </c>
      <c r="BC307" s="2" t="e">
        <f ca="1">_xll.BDH($C$303,"TOTAL_CAPITAL_5_YEAR_GROWTH","FQ4 2014","FQ4 2014","Currency=INR","Period=FQ","BEST_FPERIOD_OVERRIDE=FQ","FILING_STATUS=OR","EQY_CONSOLIDATED=Y","Sort=A","Dates=H","DateFormat=P","Fill=—","Direction=H","UseDPDF=Y")</f>
        <v>#NAME?</v>
      </c>
      <c r="BD307" s="2" t="e">
        <f ca="1">_xll.BDH($C$303,"GEO_GROW_BOOK_VAL","FQ4 2014","FQ4 2014","Currency=INR","Period=FQ","BEST_FPERIOD_OVERRIDE=FQ","FILING_STATUS=OR","EQY_CONSOLIDATED=Y","Sort=A","Dates=H","DateFormat=P","Fill=—","Direction=H","UseDPDF=Y")</f>
        <v>#NAME?</v>
      </c>
      <c r="BE307" s="2" t="e">
        <f ca="1">_xll.BDH($C$303,"GEO_GROW_CASH_OPER_ACT","FQ4 2014","FQ4 2014","Currency=INR","Period=FQ","BEST_FPERIOD_OVERRIDE=FQ","FILING_STATUS=OR","EQY_CONSOLIDATED=Y","Sort=A","Dates=H","DateFormat=P","Fill=—","Direction=H","UseDPDF=Y")</f>
        <v>#NAME?</v>
      </c>
      <c r="BF307" s="2" t="e">
        <f ca="1">_xll.BDH($C$303,"REVENUE_SEQUENTIAL_GROWTH","FQ4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07" s="2" t="e">
        <f ca="1">_xll.BDH($C$303,"EBITDA_SEQUENTIAL_GROWTH","FQ4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07" s="2" t="e">
        <f ca="1">_xll.BDH($C$303,"OPERATING_INCOME_SEQ_GROWTH","FQ4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07" s="2" t="e">
        <f ca="1">_xll.BDH($C$303,"NET_INCOME_TO_COMMON_SEQ_GROWTH","FQ4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07" s="2" t="e">
        <f ca="1">_xll.BDH($C$303,"EPS_DILUTED_SEQUENTIAL_GROWTH","FQ4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07" s="2" t="e">
        <f ca="1">_xll.BDH($C$303,"DPS_SEQUENTIAL_GROWTH","FQ4 2014","FQ4 2014","Currency=INR","Period=FQ","BEST_FPERIOD_OVERRIDE=FQ","FILING_STATUS=OR","EQY_CONSOLIDATED=Y","Sort=A","Dates=H","DateFormat=P","Fill=—","Direction=H","UseDPDF=Y")</f>
        <v>#NAME?</v>
      </c>
      <c r="BL307" s="2" t="e">
        <f ca="1">_xll.BDH($C$303,"ACCOUNTS_RECEIVABLE_SEQ_GROWTH","FQ4 2014","FQ4 2014","Currency=INR","Period=FQ","BEST_FPERIOD_OVERRIDE=FQ","FILING_STATUS=OR","EQY_CONSOLIDATED=Y","Sort=A","Dates=H","DateFormat=P","Fill=—","Direction=H","UseDPDF=Y")</f>
        <v>#NAME?</v>
      </c>
      <c r="BM307" s="2" t="e">
        <f ca="1">_xll.BDH($C$303,"INVENTORY_SEQUENTIAL_GROWTH","FQ4 2014","FQ4 2014","Currency=INR","Period=FQ","BEST_FPERIOD_OVERRIDE=FQ","FILING_STATUS=OR","EQY_CONSOLIDATED=Y","Sort=A","Dates=H","DateFormat=P","Fill=—","Direction=H","UseDPDF=Y")</f>
        <v>#NAME?</v>
      </c>
      <c r="BN307" s="2" t="e">
        <f ca="1">_xll.BDH($C$303,"FIXED_ASSETS_SEQUENTIAL_GROWTH","FQ4 2014","FQ4 2014","Currency=INR","Period=FQ","BEST_FPERIOD_OVERRIDE=FQ","FILING_STATUS=OR","EQY_CONSOLIDATED=Y","Sort=A","Dates=H","DateFormat=P","Fill=—","Direction=H","UseDPDF=Y")</f>
        <v>#NAME?</v>
      </c>
      <c r="BO307" s="2" t="e">
        <f ca="1">_xll.BDH($C$303,"TOTAL_ASSETS_SEQUENTIAL_GROWTH","FQ4 2014","FQ4 2014","Currency=INR","Period=FQ","BEST_FPERIOD_OVERRIDE=FQ","FILING_STATUS=OR","EQY_CONSOLIDATED=Y","Sort=A","Dates=H","DateFormat=P","Fill=—","Direction=H","UseDPDF=Y")</f>
        <v>#NAME?</v>
      </c>
      <c r="BP307" s="2" t="e">
        <f ca="1">_xll.BDH($C$303,"MODIFIED_WORKING_CPTL_SEQ_GRWTH","FQ4 2014","FQ4 2014","Currency=INR","Period=FQ","BEST_FPERIOD_OVERRIDE=FQ","FILING_STATUS=OR","EQY_CONSOLIDATED=Y","Sort=A","Dates=H","DateFormat=P","Fill=—","Direction=H","UseDPDF=Y")</f>
        <v>#NAME?</v>
      </c>
      <c r="BQ307" s="2" t="e">
        <f ca="1">_xll.BDH($C$303,"WORKING_CAPITAL_SEQ_GROWTH","FQ4 2014","FQ4 2014","Currency=INR","Period=FQ","BEST_FPERIOD_OVERRIDE=FQ","FILING_STATUS=OR","EQY_CONSOLIDATED=Y","Sort=A","Dates=H","DateFormat=P","Fill=—","Direction=H","UseDPDF=Y")</f>
        <v>#NAME?</v>
      </c>
      <c r="BR307" s="2" t="e">
        <f ca="1">_xll.BDH($C$303,"ACCOUNTS_PAYABLE_SEQ_GROWTH","FQ4 2014","FQ4 2014","Currency=INR","Period=FQ","BEST_FPERIOD_OVERRIDE=FQ","FILING_STATUS=OR","EQY_CONSOLIDATED=Y","Sort=A","Dates=H","DateFormat=P","Fill=—","Direction=H","UseDPDF=Y")</f>
        <v>#NAME?</v>
      </c>
      <c r="BS307" s="2" t="e">
        <f ca="1">_xll.BDH($C$303,"ST_DEBT_SEQUENTIAL_GROWTH","FQ4 2014","FQ4 2014","Currency=INR","Period=FQ","BEST_FPERIOD_OVERRIDE=FQ","FILING_STATUS=OR","EQY_CONSOLIDATED=Y","Sort=A","Dates=H","DateFormat=P","Fill=—","Direction=H","UseDPDF=Y")</f>
        <v>#NAME?</v>
      </c>
      <c r="BT307" s="2" t="e">
        <f ca="1">_xll.BDH($C$303,"TOTAL_DEBT_SEQUENTIAL_GROWTH","FQ4 2014","FQ4 2014","Currency=INR","Period=FQ","BEST_FPERIOD_OVERRIDE=FQ","FILING_STATUS=OR","EQY_CONSOLIDATED=Y","Sort=A","Dates=H","DateFormat=P","Fill=—","Direction=H","UseDPDF=Y")</f>
        <v>#NAME?</v>
      </c>
      <c r="BU307" s="2" t="e">
        <f ca="1">_xll.BDH($C$303,"TOTAL_EQUITY_SEQUENTIAL_GROWTH","FQ4 2014","FQ4 2014","Currency=INR","Period=FQ","BEST_FPERIOD_OVERRIDE=FQ","FILING_STATUS=OR","EQY_CONSOLIDATED=Y","Sort=A","Dates=H","DateFormat=P","Fill=—","Direction=H","UseDPDF=Y")</f>
        <v>#NAME?</v>
      </c>
      <c r="BV307" s="2" t="e">
        <f ca="1">_xll.BDH($C$303,"TOTAL_CAPITAL_SEQUENTIAL_GROWTH","FQ4 2014","FQ4 2014","Currency=INR","Period=FQ","BEST_FPERIOD_OVERRIDE=FQ","FILING_STATUS=OR","EQY_CONSOLIDATED=Y","Sort=A","Dates=H","DateFormat=P","Fill=—","Direction=H","UseDPDF=Y")</f>
        <v>#NAME?</v>
      </c>
      <c r="BW307" s="2" t="e">
        <f ca="1">_xll.BDH($C$303,"BPS_SEQUENTIAL_GROWTH","FQ4 2014","FQ4 2014","Currency=INR","Period=FQ","BEST_FPERIOD_OVERRIDE=FQ","FILING_STATUS=OR","EQY_CONSOLIDATED=Y","Sort=A","Dates=H","DateFormat=P","Fill=—","Direction=H","UseDPDF=Y")</f>
        <v>#NAME?</v>
      </c>
      <c r="BX307" s="2" t="e">
        <f ca="1">_xll.BDH($C$303,"CFO_SEQUENTIAL_GROWTH","FQ4 2014","FQ4 2014","Currency=INR","Period=FQ","BEST_FPERIOD_OVERRIDE=FQ","FILING_STATUS=OR","EQY_CONSOLIDATED=Y","Sort=A","Dates=H","DateFormat=P","Fill=—","Direction=H","UseDPDF=Y")</f>
        <v>#NAME?</v>
      </c>
      <c r="BY307" s="3" t="e">
        <f ca="1">_xll.BDH($C$303,"SHORT_AND_LONG_TERM_DEBT","FQ4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07" s="3" t="e">
        <f ca="1">_xll.BDH($C$303,"BS_ST_BORROW","FQ4 2014","FQ4 2014","Currency=INR","Period=FQ","BEST_FPERIOD_OVERRIDE=FQ","FILING_STATUS=OR","EQY_CONSOLIDATED=Y","SCALING_FORMAT=MLN","Sort=A","Dates=H","DateFormat=P","Fill=—","Direction=H","UseDPDF=Y")</f>
        <v>#NAME?</v>
      </c>
      <c r="CA307" s="3" t="e">
        <f ca="1">_xll.BDH($C$303,"BS_LT_BORROW","FQ4 2014","FQ4 2014","Currency=INR","Period=FQ","BEST_FPERIOD_OVERRIDE=FQ","FILING_STATUS=OR","EQY_CONSOLIDATED=Y","SCALING_FORMAT=MLN","Sort=A","Dates=H","DateFormat=P","Fill=—","Direction=H","UseDPDF=Y")</f>
        <v>#NAME?</v>
      </c>
      <c r="CB307" s="2" t="e">
        <f ca="1">_xll.BDH($C$303,"TOT_DEBT_TO_EBITDA","FQ4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07" s="2" t="e">
        <f ca="1">_xll.BDH($C$303,"NET_DEBT_TO_EBITDA","FQ4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07" s="2" t="e">
        <f ca="1">_xll.BDH($C$303,"TOTAL_DEBT_TO_EBIT","FQ4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07" s="2" t="e">
        <f ca="1">_xll.BDH($C$303,"NET_DEBT_TO_EBIT","FQ4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07" s="2" t="e">
        <f ca="1">_xll.BDH($C$303,"EBITDA_TO_INTEREST_EXPN","FQ4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07" s="2" t="e">
        <f ca="1">_xll.BDH($C$303,"COM_EQY_TO_TOT_ASSET","FQ4 2014","FQ4 2014","Currency=INR","Period=FQ","BEST_FPERIOD_OVERRIDE=FQ","FILING_STATUS=OR","EQY_CONSOLIDATED=Y","Sort=A","Dates=H","DateFormat=P","Fill=—","Direction=H","UseDPDF=Y")</f>
        <v>#NAME?</v>
      </c>
      <c r="CH307" s="2" t="e">
        <f ca="1">_xll.BDH($C$303,"LT_DEBT_TO_TOT_EQY","FQ4 2014","FQ4 2014","Currency=INR","Period=FQ","BEST_FPERIOD_OVERRIDE=FQ","FILING_STATUS=OR","EQY_CONSOLIDATED=Y","Sort=A","Dates=H","DateFormat=P","Fill=—","Direction=H","UseDPDF=Y")</f>
        <v>#NAME?</v>
      </c>
      <c r="CI307" s="2" t="e">
        <f ca="1">_xll.BDH($C$303,"LT_DEBT_TO_TOT_CAP","FQ4 2014","FQ4 2014","Currency=INR","Period=FQ","BEST_FPERIOD_OVERRIDE=FQ","FILING_STATUS=OR","EQY_CONSOLIDATED=Y","Sort=A","Dates=H","DateFormat=P","Fill=—","Direction=H","UseDPDF=Y")</f>
        <v>#NAME?</v>
      </c>
      <c r="CJ307" s="2" t="e">
        <f ca="1">_xll.BDH($C$303,"LT_DEBT_TO_TOT_ASSET","FQ4 2014","FQ4 2014","Currency=INR","Period=FQ","BEST_FPERIOD_OVERRIDE=FQ","FILING_STATUS=OR","EQY_CONSOLIDATED=Y","Sort=A","Dates=H","DateFormat=P","Fill=—","Direction=H","UseDPDF=Y")</f>
        <v>#NAME?</v>
      </c>
      <c r="CK307" s="2" t="e">
        <f ca="1">_xll.BDH($C$303,"TOT_DEBT_TO_TOT_EQY","FQ4 2014","FQ4 2014","Currency=INR","Period=FQ","BEST_FPERIOD_OVERRIDE=FQ","FILING_STATUS=OR","EQY_CONSOLIDATED=Y","Sort=A","Dates=H","DateFormat=P","Fill=—","Direction=H","UseDPDF=Y")</f>
        <v>#NAME?</v>
      </c>
      <c r="CL307" s="2" t="e">
        <f ca="1">_xll.BDH($C$303,"TOT_DEBT_TO_TOT_CAP","FQ4 2014","FQ4 2014","Currency=INR","Period=FQ","BEST_FPERIOD_OVERRIDE=FQ","FILING_STATUS=OR","EQY_CONSOLIDATED=Y","Sort=A","Dates=H","DateFormat=P","Fill=—","Direction=H","UseDPDF=Y")</f>
        <v>#NAME?</v>
      </c>
      <c r="CM307" s="2" t="e">
        <f ca="1">_xll.BDH($C$303,"TOT_DEBT_TO_TOT_ASSET","FQ4 2014","FQ4 2014","Currency=INR","Period=FQ","BEST_FPERIOD_OVERRIDE=FQ","FILING_STATUS=OR","EQY_CONSOLIDATED=Y","Sort=A","Dates=H","DateFormat=P","Fill=—","Direction=H","UseDPDF=Y")</f>
        <v>#NAME?</v>
      </c>
      <c r="CN307" s="2" t="e">
        <f ca="1">_xll.BDH($C$303,"NET_DEBT_TO_SHRHLDR_EQTY","FQ4 2014","FQ4 2014","Currency=INR","Period=FQ","BEST_FPERIOD_OVERRIDE=FQ","FILING_STATUS=OR","EQY_CONSOLIDATED=Y","Sort=A","Dates=H","DateFormat=P","Fill=—","Direction=H","UseDPDF=Y")</f>
        <v>#NAME?</v>
      </c>
      <c r="CO307" s="2" t="e">
        <f ca="1">_xll.BDH($C$303,"NET_DEBT_%_CAPITAL","FQ4 2014","FQ4 2014","Currency=INR","Period=FQ","BEST_FPERIOD_OVERRIDE=FQ","FILING_STATUS=OR","EQY_CONSOLIDATED=Y","Sort=A","Dates=H","DateFormat=P","Fill=—","Direction=H","UseDPDF=Y")</f>
        <v>#NAME?</v>
      </c>
      <c r="CP307" s="3" t="e">
        <f ca="1">_xll.BDH($C$303,"EBITDA","FQ4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07" s="3" t="e">
        <f ca="1">_xll.BDH($C$303,"EBITDA_AFTER_CAPEX","FQ4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07" s="3" t="e">
        <f ca="1">_xll.BDH($C$303,"IS_OPER_INC","FQ4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07" s="2" t="e">
        <f ca="1">_xll.BDH($C$303,"CASH_RATIO","FQ4 2014","FQ4 2014","Currency=INR","Period=FQ","BEST_FPERIOD_OVERRIDE=FQ","FILING_STATUS=OR","EQY_CONSOLIDATED=Y","Sort=A","Dates=H","DateFormat=P","Fill=—","Direction=H","UseDPDF=Y")</f>
        <v>#NAME?</v>
      </c>
      <c r="CT307" s="2" t="e">
        <f ca="1">_xll.BDH($C$303,"CUR_RATIO","FQ4 2014","FQ4 2014","Currency=INR","Period=FQ","BEST_FPERIOD_OVERRIDE=FQ","FILING_STATUS=OR","EQY_CONSOLIDATED=Y","Sort=A","Dates=H","DateFormat=P","Fill=—","Direction=H","UseDPDF=Y")</f>
        <v>#NAME?</v>
      </c>
      <c r="CU307" s="2" t="e">
        <f ca="1">_xll.BDH($C$303,"QUICK_RATIO","FQ4 2014","FQ4 2014","Currency=INR","Period=FQ","BEST_FPERIOD_OVERRIDE=FQ","FILING_STATUS=OR","EQY_CONSOLIDATED=Y","Sort=A","Dates=H","DateFormat=P","Fill=—","Direction=H","UseDPDF=Y")</f>
        <v>#NAME?</v>
      </c>
      <c r="CV307" s="2" t="e">
        <f ca="1">_xll.BDH($C$303,"ALTMAN_Z_SCORE","FQ4 2014","FQ4 2014","Currency=INR","Period=FQ","BEST_FPERIOD_OVERRIDE=FQ","FILING_STATUS=OR","EQY_CONSOLIDATED=Y","Sort=A","Dates=H","DateFormat=P","Fill=—","Direction=H","UseDPDF=Y")</f>
        <v>#NAME?</v>
      </c>
      <c r="CW307" s="4" t="e">
        <f ca="1">_xll.BDH($C$303,"ACCT_RCV_TURN","FQ4 2014","FQ4 2014","Currency=INR","Period=FQ","BEST_FPERIOD_OVERRIDE=FQ","FILING_STATUS=OR","EQY_CONSOLIDATED=Y","FA_ADJUSTED=GAAP","Sort=A","Dates=H","DateFormat=P","Fill=—","Direction=H","UseDPDF=Y")</f>
        <v>#NAME?</v>
      </c>
      <c r="CX307" s="2" t="e">
        <f ca="1">_xll.BDH($C$303,"ACCT_RCV_DAYS","FQ4 2014","FQ4 2014","Currency=INR","Period=FQ","BEST_FPERIOD_OVERRIDE=FQ","FILING_STATUS=OR","EQY_CONSOLIDATED=Y","FA_ADJUSTED=GAAP","Sort=A","Dates=H","DateFormat=P","Fill=—","Direction=H","UseDPDF=Y")</f>
        <v>#NAME?</v>
      </c>
      <c r="CY307" s="4" t="e">
        <f ca="1">_xll.BDH($C$303,"INVENT_TURN","FQ4 2014","FQ4 2014","Currency=INR","Period=FQ","BEST_FPERIOD_OVERRIDE=FQ","FILING_STATUS=OR","EQY_CONSOLIDATED=Y","FA_ADJUSTED=GAAP","Sort=A","Dates=H","DateFormat=P","Fill=—","Direction=H","UseDPDF=Y")</f>
        <v>#NAME?</v>
      </c>
      <c r="CZ307" s="2" t="e">
        <f ca="1">_xll.BDH($C$303,"INVENT_DAYS","FQ4 2014","FQ4 2014","Currency=INR","Period=FQ","BEST_FPERIOD_OVERRIDE=FQ","FILING_STATUS=OR","EQY_CONSOLIDATED=Y","FA_ADJUSTED=GAAP","Sort=A","Dates=H","DateFormat=P","Fill=—","Direction=H","UseDPDF=Y")</f>
        <v>#NAME?</v>
      </c>
      <c r="DA307" s="4" t="e">
        <f ca="1">_xll.BDH($C$303,"ACCOUNTS_PAYABLE_TURNOVER","FQ4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07" s="2" t="e">
        <f ca="1">_xll.BDH($C$303,"ACCOUNTS_PAYABLE_TURNOVER_DAYS","FQ4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07" s="4" t="e">
        <f ca="1">_xll.BDH($C$303,"CASH_CONVERSION_CYCLE","FQ4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07" s="4" t="e">
        <f ca="1">_xll.BDH($C$303,"INV_TO_CASH_DAYS","FQ4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07" s="5" t="e">
        <f ca="1">_xll.BDH($C$303,"BS_INVENTORIES","FQ4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07" s="3" t="e">
        <f ca="1">_xll.BDH($C$303,"INVTRY_RAW_MATERIALS","FQ4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07" s="3" t="e">
        <f ca="1">_xll.BDH($C$303,"INVTRY_IN_PROGRESS","FQ4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07" s="3" t="e">
        <f ca="1">_xll.BDH($C$303,"INVTRY_FINISHED_GOODS","FQ4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07" s="3" t="e">
        <f ca="1">_xll.BDH($C$303,"BS_OTHER_INV","FQ4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08" spans="1:113" x14ac:dyDescent="0.3">
      <c r="A308" s="6"/>
      <c r="B308" s="6"/>
      <c r="C308" s="6"/>
      <c r="D308" s="6" t="s">
        <v>82</v>
      </c>
      <c r="E308" t="s">
        <v>77</v>
      </c>
      <c r="F308" t="e">
        <f ca="1">_xll.BDH($C$303,"RETURN_COM_EQY","FY 2015","FY 2015","Currency=INR","Period=FY","BEST_FPERIOD_OVERRIDE=FY","FILING_STATUS=OR","EQY_CONSOLIDATED=Y","FA_ADJUSTED=GAAP","Sort=A","Dates=H","DateFormat=P","Fill=—","Direction=H","UseDPDF=Y")</f>
        <v>#NAME?</v>
      </c>
      <c r="G308" t="e">
        <f ca="1">_xll.BDH($C$303,"RETURN_ON_ASSET","FY 2015","FY 2015","Currency=INR","Period=FY","BEST_FPERIOD_OVERRIDE=FY","FILING_STATUS=OR","EQY_CONSOLIDATED=Y","FA_ADJUSTED=GAAP","Sort=A","Dates=H","DateFormat=P","Fill=—","Direction=H","UseDPDF=Y")</f>
        <v>#NAME?</v>
      </c>
      <c r="H308" t="e">
        <f ca="1">_xll.BDH($C$303,"RETURN_ON_CAP","FY 2015","FY 2015","Currency=INR","Period=FY","BEST_FPERIOD_OVERRIDE=FY","FILING_STATUS=OR","EQY_CONSOLIDATED=Y","FA_ADJUSTED=GAAP","Sort=A","Dates=H","DateFormat=P","Fill=—","Direction=H","UseDPDF=Y")</f>
        <v>#NAME?</v>
      </c>
      <c r="I308" t="e">
        <f ca="1">_xll.BDH($C$303,"RETURN_ON_INV_CAPITAL","FY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08" t="e">
        <f ca="1">_xll.BDH($C$303,"EBITDA_TO_REVENUE","FY 2015","FY 2015","Currency=INR","Period=FY","BEST_FPERIOD_OVERRIDE=FY","FILING_STATUS=OR","EQY_CONSOLIDATED=Y","FA_ADJUSTED=GAAP","Sort=A","Dates=H","DateFormat=P","Fill=—","Direction=H","UseDPDF=Y")</f>
        <v>#NAME?</v>
      </c>
      <c r="K308" t="e">
        <f ca="1">_xll.BDH($C$303,"OPER_MARGIN","FY 2015","FY 2015","Currency=INR","Period=FY","BEST_FPERIOD_OVERRIDE=FY","FILING_STATUS=OR","EQY_CONSOLIDATED=Y","FA_ADJUSTED=GAAP","Sort=A","Dates=H","DateFormat=P","Fill=—","Direction=H","UseDPDF=Y")</f>
        <v>#NAME?</v>
      </c>
      <c r="L308" t="e">
        <f ca="1">_xll.BDH($C$303,"INCREMENTAL_OPERATING_MARGIN","FY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08" t="e">
        <f ca="1">_xll.BDH($C$303,"PRETAX_INC_TO_NET_SALES","FY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08" t="e">
        <f ca="1">_xll.BDH($C$303,"INC_BEF_XO_ITEMS_TO_NET_SALES","FY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08" t="e">
        <f ca="1">_xll.BDH($C$303,"PROF_MARGIN","FY 2015","FY 2015","Currency=INR","Period=FY","BEST_FPERIOD_OVERRIDE=FY","FILING_STATUS=OR","EQY_CONSOLIDATED=Y","FA_ADJUSTED=GAAP","Sort=A","Dates=H","DateFormat=P","Fill=—","Direction=H","UseDPDF=Y")</f>
        <v>#NAME?</v>
      </c>
      <c r="P308" t="e">
        <f ca="1">_xll.BDH($C$303,"NET_INCOME_TO_COMMON_MARGIN","FY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08" t="e">
        <f ca="1">_xll.BDH($C$303,"EFF_TAX_RATE","FY 2015","FY 2015","Currency=INR","Period=FY","BEST_FPERIOD_OVERRIDE=FY","FILING_STATUS=OR","EQY_CONSOLIDATED=Y","FA_ADJUSTED=GAAP","Sort=A","Dates=H","DateFormat=P","Fill=—","Direction=H","UseDPDF=Y")</f>
        <v>#NAME?</v>
      </c>
      <c r="R308" t="e">
        <f ca="1">_xll.BDH($C$303,"DVD_PAYOUT_RATIO","FY 2015","FY 2015","Currency=INR","Period=FY","BEST_FPERIOD_OVERRIDE=FY","FILING_STATUS=OR","EQY_CONSOLIDATED=Y","FA_ADJUSTED=GAAP","Sort=A","Dates=H","DateFormat=P","Fill=—","Direction=H","UseDPDF=Y")</f>
        <v>#NAME?</v>
      </c>
      <c r="S308" t="e">
        <f ca="1">_xll.BDH($C$303,"SUSTAIN_GROWTH_RT","FY 2015","FY 2015","Currency=INR","Period=FY","BEST_FPERIOD_OVERRIDE=FY","FILING_STATUS=OR","EQY_CONSOLIDATED=Y","FA_ADJUSTED=GAAP","Sort=A","Dates=H","DateFormat=P","Fill=—","Direction=H","UseDPDF=Y")</f>
        <v>#NAME?</v>
      </c>
      <c r="T308" s="2" t="e">
        <f ca="1">_xll.BDH($C$303,"SALES_GROWTH","FY 2015","FY 2015","Currency=INR","Period=FY","BEST_FPERIOD_OVERRIDE=FY","FILING_STATUS=OR","EQY_CONSOLIDATED=Y","FA_ADJUSTED=GAAP","Sort=A","Dates=H","DateFormat=P","Fill=—","Direction=H","UseDPDF=Y")</f>
        <v>#NAME?</v>
      </c>
      <c r="U308" s="2" t="e">
        <f ca="1">_xll.BDH($C$303,"EBITDA_GROWTH","FY 2015","FY 2015","Currency=INR","Period=FY","BEST_FPERIOD_OVERRIDE=FY","FILING_STATUS=OR","EQY_CONSOLIDATED=Y","FA_ADJUSTED=GAAP","Sort=A","Dates=H","DateFormat=P","Fill=—","Direction=H","UseDPDF=Y")</f>
        <v>#NAME?</v>
      </c>
      <c r="V308" s="2" t="e">
        <f ca="1">_xll.BDH($C$303,"OPER_INC_GROWTH","FY 2015","FY 2015","Currency=INR","Period=FY","BEST_FPERIOD_OVERRIDE=FY","FILING_STATUS=OR","EQY_CONSOLIDATED=Y","FA_ADJUSTED=GAAP","Sort=A","Dates=H","DateFormat=P","Fill=—","Direction=H","UseDPDF=Y")</f>
        <v>#NAME?</v>
      </c>
      <c r="W308" s="2" t="e">
        <f ca="1">_xll.BDH($C$303,"EARN_FOR_COM_GROWTH","FY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08" s="2" t="e">
        <f ca="1">_xll.BDH($C$303,"DILUTED_EPS_AFT_XO_ITEMS_GROWTH","FY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08" s="2" t="e">
        <f ca="1">_xll.BDH($C$303,"DIVIDEND_PER_SHARE_1_YEAR_GROWTH","FY 2015","FY 2015","Currency=INR","Period=FY","BEST_FPERIOD_OVERRIDE=FY","FILING_STATUS=OR","EQY_CONSOLIDATED=Y","Sort=A","Dates=H","DateFormat=P","Fill=—","Direction=H","UseDPDF=Y")</f>
        <v>#NAME?</v>
      </c>
      <c r="Z308" s="2" t="e">
        <f ca="1">_xll.BDH($C$303,"ACCOUNTS_RECEIVABLE_GROWTH","FY 2015","FY 2015","Currency=INR","Period=FY","BEST_FPERIOD_OVERRIDE=FY","FILING_STATUS=OR","EQY_CONSOLIDATED=Y","Sort=A","Dates=H","DateFormat=P","Fill=—","Direction=H","UseDPDF=Y")</f>
        <v>#NAME?</v>
      </c>
      <c r="AA308" s="2" t="e">
        <f ca="1">_xll.BDH($C$303,"INVENTORY_GROWTH","FY 2015","FY 2015","Currency=INR","Period=FY","BEST_FPERIOD_OVERRIDE=FY","FILING_STATUS=OR","EQY_CONSOLIDATED=Y","Sort=A","Dates=H","DateFormat=P","Fill=—","Direction=H","UseDPDF=Y")</f>
        <v>#NAME?</v>
      </c>
      <c r="AB308" s="2" t="e">
        <f ca="1">_xll.BDH($C$303,"NET_FIXED_ASSETS_1_YEAR_GROWTH","FY 2015","FY 2015","Currency=INR","Period=FY","BEST_FPERIOD_OVERRIDE=FY","FILING_STATUS=OR","EQY_CONSOLIDATED=Y","Sort=A","Dates=H","DateFormat=P","Fill=—","Direction=H","UseDPDF=Y")</f>
        <v>#NAME?</v>
      </c>
      <c r="AC308" s="2" t="e">
        <f ca="1">_xll.BDH($C$303,"ASSET_GROWTH","FY 2015","FY 2015","Currency=INR","Period=FY","BEST_FPERIOD_OVERRIDE=FY","FILING_STATUS=OR","EQY_CONSOLIDATED=Y","Sort=A","Dates=H","DateFormat=P","Fill=—","Direction=H","UseDPDF=Y")</f>
        <v>#NAME?</v>
      </c>
      <c r="AD308" s="2" t="e">
        <f ca="1">_xll.BDH($C$303,"MODIFIED_WORK_CAP_GROWTH","FY 2015","FY 2015","Currency=INR","Period=FY","BEST_FPERIOD_OVERRIDE=FY","FILING_STATUS=OR","EQY_CONSOLIDATED=Y","Sort=A","Dates=H","DateFormat=P","Fill=—","Direction=H","UseDPDF=Y")</f>
        <v>#NAME?</v>
      </c>
      <c r="AE308" s="2" t="e">
        <f ca="1">_xll.BDH($C$303,"WORK_CAP_GROWTH","FY 2015","FY 2015","Currency=INR","Period=FY","BEST_FPERIOD_OVERRIDE=FY","FILING_STATUS=OR","EQY_CONSOLIDATED=Y","Sort=A","Dates=H","DateFormat=P","Fill=—","Direction=H","UseDPDF=Y")</f>
        <v>#NAME?</v>
      </c>
      <c r="AF308" s="2" t="e">
        <f ca="1">_xll.BDH($C$303,"ACCOUNTS_PAYABLE_GROWTH_1YR","FY 2015","FY 2015","Currency=INR","Period=FY","BEST_FPERIOD_OVERRIDE=FY","FILING_STATUS=OR","EQY_CONSOLIDATED=Y","Sort=A","Dates=H","DateFormat=P","Fill=—","Direction=H","UseDPDF=Y")</f>
        <v>#NAME?</v>
      </c>
      <c r="AG308" s="2" t="e">
        <f ca="1">_xll.BDH($C$303,"SHORT_TERM_DEBT_1_YEAR_GROWTH","FY 2015","FY 2015","Currency=INR","Period=FY","BEST_FPERIOD_OVERRIDE=FY","FILING_STATUS=OR","EQY_CONSOLIDATED=Y","Sort=A","Dates=H","DateFormat=P","Fill=—","Direction=H","UseDPDF=Y")</f>
        <v>#NAME?</v>
      </c>
      <c r="AH308" s="2" t="e">
        <f ca="1">_xll.BDH($C$303,"TOTAL_DEBT_1_YEAR_GROWTH","FY 2015","FY 2015","Currency=INR","Period=FY","BEST_FPERIOD_OVERRIDE=FY","FILING_STATUS=OR","EQY_CONSOLIDATED=Y","Sort=A","Dates=H","DateFormat=P","Fill=—","Direction=H","UseDPDF=Y")</f>
        <v>#NAME?</v>
      </c>
      <c r="AI308" s="2" t="e">
        <f ca="1">_xll.BDH($C$303,"TOTAL_EQUITY_1_YEAR_GROWTH","FY 2015","FY 2015","Currency=INR","Period=FY","BEST_FPERIOD_OVERRIDE=FY","FILING_STATUS=OR","EQY_CONSOLIDATED=Y","Sort=A","Dates=H","DateFormat=P","Fill=—","Direction=H","UseDPDF=Y")</f>
        <v>#NAME?</v>
      </c>
      <c r="AJ308" s="2" t="e">
        <f ca="1">_xll.BDH($C$303,"GROWTH_IN_CAP","FY 2015","FY 2015","Currency=INR","Period=FY","BEST_FPERIOD_OVERRIDE=FY","FILING_STATUS=OR","EQY_CONSOLIDATED=Y","Sort=A","Dates=H","DateFormat=P","Fill=—","Direction=H","UseDPDF=Y")</f>
        <v>#NAME?</v>
      </c>
      <c r="AK308" s="2" t="e">
        <f ca="1">_xll.BDH($C$303,"BVPS_GROWTH","FY 2015","FY 2015","Currency=INR","Period=FY","BEST_FPERIOD_OVERRIDE=FY","FILING_STATUS=OR","EQY_CONSOLIDATED=Y","Sort=A","Dates=H","DateFormat=P","Fill=—","Direction=H","UseDPDF=Y")</f>
        <v>#NAME?</v>
      </c>
      <c r="AL308" s="2" t="e">
        <f ca="1">_xll.BDH($C$303,"CASH_FLOW_GROWTH","FY 2015","FY 2015","Currency=INR","Period=FY","BEST_FPERIOD_OVERRIDE=FY","FILING_STATUS=OR","EQY_CONSOLIDATED=Y","Sort=A","Dates=H","DateFormat=P","Fill=—","Direction=H","UseDPDF=Y")</f>
        <v>#NAME?</v>
      </c>
      <c r="AM308" s="2" t="e">
        <f ca="1">_xll.BDH($C$303,"GEO_GROW_NET_SALES","FY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08" s="2" t="e">
        <f ca="1">_xll.BDH($C$303,"GEO_GROW_EBITDA","FY 2015","FY 2015","Currency=INR","Period=FY","BEST_FPERIOD_OVERRIDE=FY","FILING_STATUS=OR","EQY_CONSOLIDATED=Y","FA_ADJUSTED=GAAP","Sort=A","Dates=H","DateFormat=P","Fill=—","Direction=H","UseDPDF=Y")</f>
        <v>#NAME?</v>
      </c>
      <c r="AO308" s="2" t="e">
        <f ca="1">_xll.BDH($C$303,"GEO_GROW_OPER_INC","FY 2015","FY 2015","Currency=INR","Period=FY","BEST_FPERIOD_OVERRIDE=FY","FILING_STATUS=OR","EQY_CONSOLIDATED=Y","FA_ADJUSTED=GAAP","Sort=A","Dates=H","DateFormat=P","Fill=—","Direction=H","UseDPDF=Y")</f>
        <v>#NAME?</v>
      </c>
      <c r="AP308" s="2" t="e">
        <f ca="1">_xll.BDH($C$303,"NET_INCOME_TO_COMMON_5_YR_GROWTH","FY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08" s="2" t="e">
        <f ca="1">_xll.BDH($C$303,"5Y_GEO_GROWTH_DILUTED_EPS","FY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08" s="2" t="e">
        <f ca="1">_xll.BDH($C$303,"GEO_GROW_DVD_PER_SH","FY 2015","FY 2015","Currency=INR","Period=FY","BEST_FPERIOD_OVERRIDE=FY","FILING_STATUS=OR","EQY_CONSOLIDATED=Y","Sort=A","Dates=H","DateFormat=P","Fill=—","Direction=H","UseDPDF=Y")</f>
        <v>#NAME?</v>
      </c>
      <c r="AS308" s="2" t="e">
        <f ca="1">_xll.BDH($C$303,"ACCOUNTS_RECEIVABLE_5_YR_GROWTH","FY 2015","FY 2015","Currency=INR","Period=FY","BEST_FPERIOD_OVERRIDE=FY","FILING_STATUS=OR","EQY_CONSOLIDATED=Y","Sort=A","Dates=H","DateFormat=P","Fill=—","Direction=H","UseDPDF=Y")</f>
        <v>#NAME?</v>
      </c>
      <c r="AT308" s="2" t="e">
        <f ca="1">_xll.BDH($C$303,"INVENTORY_5_YEAR_GROWTH","FY 2015","FY 2015","Currency=INR","Period=FY","BEST_FPERIOD_OVERRIDE=FY","FILING_STATUS=OR","EQY_CONSOLIDATED=Y","Sort=A","Dates=H","DateFormat=P","Fill=—","Direction=H","UseDPDF=Y")</f>
        <v>#NAME?</v>
      </c>
      <c r="AU308" s="2" t="e">
        <f ca="1">_xll.BDH($C$303,"NET_FIXED_ASSETS_5_YEAR_GROWTH","FY 2015","FY 2015","Currency=INR","Period=FY","BEST_FPERIOD_OVERRIDE=FY","FILING_STATUS=OR","EQY_CONSOLIDATED=Y","Sort=A","Dates=H","DateFormat=P","Fill=—","Direction=H","UseDPDF=Y")</f>
        <v>#NAME?</v>
      </c>
      <c r="AV308" s="2" t="e">
        <f ca="1">_xll.BDH($C$303,"GEO_GROW_TOT_ASSET","FY 2015","FY 2015","Currency=INR","Period=FY","BEST_FPERIOD_OVERRIDE=FY","FILING_STATUS=OR","EQY_CONSOLIDATED=Y","Sort=A","Dates=H","DateFormat=P","Fill=—","Direction=H","UseDPDF=Y")</f>
        <v>#NAME?</v>
      </c>
      <c r="AW308" s="2" t="e">
        <f ca="1">_xll.BDH($C$303,"MODIFIED_WORKING_CPTL_5YR_GRWTH","FY 2015","FY 2015","Currency=INR","Period=FY","BEST_FPERIOD_OVERRIDE=FY","FILING_STATUS=OR","EQY_CONSOLIDATED=Y","Sort=A","Dates=H","DateFormat=P","Fill=—","Direction=H","UseDPDF=Y")</f>
        <v>#NAME?</v>
      </c>
      <c r="AX308" s="2" t="e">
        <f ca="1">_xll.BDH($C$303,"WORKING_CAPITAL_5_YEAR_GROWTH","FY 2015","FY 2015","Currency=INR","Period=FY","BEST_FPERIOD_OVERRIDE=FY","FILING_STATUS=OR","EQY_CONSOLIDATED=Y","Sort=A","Dates=H","DateFormat=P","Fill=—","Direction=H","UseDPDF=Y")</f>
        <v>#NAME?</v>
      </c>
      <c r="AY308" s="2" t="e">
        <f ca="1">_xll.BDH($C$303,"ACCOUNTS_PAYABLE_5_YEAR_GROWTH","FY 2015","FY 2015","Currency=INR","Period=FY","BEST_FPERIOD_OVERRIDE=FY","FILING_STATUS=OR","EQY_CONSOLIDATED=Y","Sort=A","Dates=H","DateFormat=P","Fill=—","Direction=H","UseDPDF=Y")</f>
        <v>#NAME?</v>
      </c>
      <c r="AZ308" s="2" t="e">
        <f ca="1">_xll.BDH($C$303,"SHORT_TERM_DEBT_5_YEAR_GROWTH","FY 2015","FY 2015","Currency=INR","Period=FY","BEST_FPERIOD_OVERRIDE=FY","FILING_STATUS=OR","EQY_CONSOLIDATED=Y","Sort=A","Dates=H","DateFormat=P","Fill=—","Direction=H","UseDPDF=Y")</f>
        <v>#NAME?</v>
      </c>
      <c r="BA308" s="2" t="e">
        <f ca="1">_xll.BDH($C$303,"TOTAL_DEBT_5_YEAR_GROWTH","FY 2015","FY 2015","Currency=INR","Period=FY","BEST_FPERIOD_OVERRIDE=FY","FILING_STATUS=OR","EQY_CONSOLIDATED=Y","Sort=A","Dates=H","DateFormat=P","Fill=—","Direction=H","UseDPDF=Y")</f>
        <v>#NAME?</v>
      </c>
      <c r="BB308" s="2" t="e">
        <f ca="1">_xll.BDH($C$303,"GEO_GROW_TOT_SHRHLDR_EQY","FY 2015","FY 2015","Currency=INR","Period=FY","BEST_FPERIOD_OVERRIDE=FY","FILING_STATUS=OR","EQY_CONSOLIDATED=Y","Sort=A","Dates=H","DateFormat=P","Fill=—","Direction=H","UseDPDF=Y")</f>
        <v>#NAME?</v>
      </c>
      <c r="BC308" s="2" t="e">
        <f ca="1">_xll.BDH($C$303,"TOTAL_CAPITAL_5_YEAR_GROWTH","FY 2015","FY 2015","Currency=INR","Period=FY","BEST_FPERIOD_OVERRIDE=FY","FILING_STATUS=OR","EQY_CONSOLIDATED=Y","Sort=A","Dates=H","DateFormat=P","Fill=—","Direction=H","UseDPDF=Y")</f>
        <v>#NAME?</v>
      </c>
      <c r="BD308" s="2" t="e">
        <f ca="1">_xll.BDH($C$303,"GEO_GROW_BOOK_VAL","FY 2015","FY 2015","Currency=INR","Period=FY","BEST_FPERIOD_OVERRIDE=FY","FILING_STATUS=OR","EQY_CONSOLIDATED=Y","Sort=A","Dates=H","DateFormat=P","Fill=—","Direction=H","UseDPDF=Y")</f>
        <v>#NAME?</v>
      </c>
      <c r="BE308" s="2" t="e">
        <f ca="1">_xll.BDH($C$303,"GEO_GROW_CASH_OPER_ACT","FY 2015","FY 2015","Currency=INR","Period=FY","BEST_FPERIOD_OVERRIDE=FY","FILING_STATUS=OR","EQY_CONSOLIDATED=Y","Sort=A","Dates=H","DateFormat=P","Fill=—","Direction=H","UseDPDF=Y")</f>
        <v>#NAME?</v>
      </c>
      <c r="BF308" s="2" t="e">
        <f ca="1">_xll.BDH($C$303,"REVENUE_SEQUENTIAL_GROWTH","FY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08" s="2" t="e">
        <f ca="1">_xll.BDH($C$303,"EBITDA_SEQUENTIAL_GROWTH","FY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08" s="2" t="e">
        <f ca="1">_xll.BDH($C$303,"OPERATING_INCOME_SEQ_GROWTH","FY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08" s="2" t="e">
        <f ca="1">_xll.BDH($C$303,"NET_INCOME_TO_COMMON_SEQ_GROWTH","FY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08" s="2" t="e">
        <f ca="1">_xll.BDH($C$303,"EPS_DILUTED_SEQUENTIAL_GROWTH","FY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08" s="2" t="e">
        <f ca="1">_xll.BDH($C$303,"DPS_SEQUENTIAL_GROWTH","FY 2015","FY 2015","Currency=INR","Period=FY","BEST_FPERIOD_OVERRIDE=FY","FILING_STATUS=OR","EQY_CONSOLIDATED=Y","Sort=A","Dates=H","DateFormat=P","Fill=—","Direction=H","UseDPDF=Y")</f>
        <v>#NAME?</v>
      </c>
      <c r="BL308" s="2" t="e">
        <f ca="1">_xll.BDH($C$303,"ACCOUNTS_RECEIVABLE_SEQ_GROWTH","FY 2015","FY 2015","Currency=INR","Period=FY","BEST_FPERIOD_OVERRIDE=FY","FILING_STATUS=OR","EQY_CONSOLIDATED=Y","Sort=A","Dates=H","DateFormat=P","Fill=—","Direction=H","UseDPDF=Y")</f>
        <v>#NAME?</v>
      </c>
      <c r="BM308" s="2" t="e">
        <f ca="1">_xll.BDH($C$303,"INVENTORY_SEQUENTIAL_GROWTH","FY 2015","FY 2015","Currency=INR","Period=FY","BEST_FPERIOD_OVERRIDE=FY","FILING_STATUS=OR","EQY_CONSOLIDATED=Y","Sort=A","Dates=H","DateFormat=P","Fill=—","Direction=H","UseDPDF=Y")</f>
        <v>#NAME?</v>
      </c>
      <c r="BN308" s="2" t="e">
        <f ca="1">_xll.BDH($C$303,"FIXED_ASSETS_SEQUENTIAL_GROWTH","FY 2015","FY 2015","Currency=INR","Period=FY","BEST_FPERIOD_OVERRIDE=FY","FILING_STATUS=OR","EQY_CONSOLIDATED=Y","Sort=A","Dates=H","DateFormat=P","Fill=—","Direction=H","UseDPDF=Y")</f>
        <v>#NAME?</v>
      </c>
      <c r="BO308" s="2" t="e">
        <f ca="1">_xll.BDH($C$303,"TOTAL_ASSETS_SEQUENTIAL_GROWTH","FY 2015","FY 2015","Currency=INR","Period=FY","BEST_FPERIOD_OVERRIDE=FY","FILING_STATUS=OR","EQY_CONSOLIDATED=Y","Sort=A","Dates=H","DateFormat=P","Fill=—","Direction=H","UseDPDF=Y")</f>
        <v>#NAME?</v>
      </c>
      <c r="BP308" s="2" t="e">
        <f ca="1">_xll.BDH($C$303,"MODIFIED_WORKING_CPTL_SEQ_GRWTH","FY 2015","FY 2015","Currency=INR","Period=FY","BEST_FPERIOD_OVERRIDE=FY","FILING_STATUS=OR","EQY_CONSOLIDATED=Y","Sort=A","Dates=H","DateFormat=P","Fill=—","Direction=H","UseDPDF=Y")</f>
        <v>#NAME?</v>
      </c>
      <c r="BQ308" s="2" t="e">
        <f ca="1">_xll.BDH($C$303,"WORKING_CAPITAL_SEQ_GROWTH","FY 2015","FY 2015","Currency=INR","Period=FY","BEST_FPERIOD_OVERRIDE=FY","FILING_STATUS=OR","EQY_CONSOLIDATED=Y","Sort=A","Dates=H","DateFormat=P","Fill=—","Direction=H","UseDPDF=Y")</f>
        <v>#NAME?</v>
      </c>
      <c r="BR308" s="2" t="e">
        <f ca="1">_xll.BDH($C$303,"ACCOUNTS_PAYABLE_SEQ_GROWTH","FY 2015","FY 2015","Currency=INR","Period=FY","BEST_FPERIOD_OVERRIDE=FY","FILING_STATUS=OR","EQY_CONSOLIDATED=Y","Sort=A","Dates=H","DateFormat=P","Fill=—","Direction=H","UseDPDF=Y")</f>
        <v>#NAME?</v>
      </c>
      <c r="BS308" s="2" t="e">
        <f ca="1">_xll.BDH($C$303,"ST_DEBT_SEQUENTIAL_GROWTH","FY 2015","FY 2015","Currency=INR","Period=FY","BEST_FPERIOD_OVERRIDE=FY","FILING_STATUS=OR","EQY_CONSOLIDATED=Y","Sort=A","Dates=H","DateFormat=P","Fill=—","Direction=H","UseDPDF=Y")</f>
        <v>#NAME?</v>
      </c>
      <c r="BT308" s="2" t="e">
        <f ca="1">_xll.BDH($C$303,"TOTAL_DEBT_SEQUENTIAL_GROWTH","FY 2015","FY 2015","Currency=INR","Period=FY","BEST_FPERIOD_OVERRIDE=FY","FILING_STATUS=OR","EQY_CONSOLIDATED=Y","Sort=A","Dates=H","DateFormat=P","Fill=—","Direction=H","UseDPDF=Y")</f>
        <v>#NAME?</v>
      </c>
      <c r="BU308" s="2" t="e">
        <f ca="1">_xll.BDH($C$303,"TOTAL_EQUITY_SEQUENTIAL_GROWTH","FY 2015","FY 2015","Currency=INR","Period=FY","BEST_FPERIOD_OVERRIDE=FY","FILING_STATUS=OR","EQY_CONSOLIDATED=Y","Sort=A","Dates=H","DateFormat=P","Fill=—","Direction=H","UseDPDF=Y")</f>
        <v>#NAME?</v>
      </c>
      <c r="BV308" s="2" t="e">
        <f ca="1">_xll.BDH($C$303,"TOTAL_CAPITAL_SEQUENTIAL_GROWTH","FY 2015","FY 2015","Currency=INR","Period=FY","BEST_FPERIOD_OVERRIDE=FY","FILING_STATUS=OR","EQY_CONSOLIDATED=Y","Sort=A","Dates=H","DateFormat=P","Fill=—","Direction=H","UseDPDF=Y")</f>
        <v>#NAME?</v>
      </c>
      <c r="BW308" s="2" t="e">
        <f ca="1">_xll.BDH($C$303,"BPS_SEQUENTIAL_GROWTH","FY 2015","FY 2015","Currency=INR","Period=FY","BEST_FPERIOD_OVERRIDE=FY","FILING_STATUS=OR","EQY_CONSOLIDATED=Y","Sort=A","Dates=H","DateFormat=P","Fill=—","Direction=H","UseDPDF=Y")</f>
        <v>#NAME?</v>
      </c>
      <c r="BX308" s="2" t="e">
        <f ca="1">_xll.BDH($C$303,"CFO_SEQUENTIAL_GROWTH","FY 2015","FY 2015","Currency=INR","Period=FY","BEST_FPERIOD_OVERRIDE=FY","FILING_STATUS=OR","EQY_CONSOLIDATED=Y","Sort=A","Dates=H","DateFormat=P","Fill=—","Direction=H","UseDPDF=Y")</f>
        <v>#NAME?</v>
      </c>
      <c r="BY308" s="3" t="e">
        <f ca="1">_xll.BDH($C$303,"SHORT_AND_LONG_TERM_DEBT","FY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08" s="3" t="e">
        <f ca="1">_xll.BDH($C$303,"BS_ST_BORROW","FY 2015","FY 2015","Currency=INR","Period=FY","BEST_FPERIOD_OVERRIDE=FY","FILING_STATUS=OR","EQY_CONSOLIDATED=Y","SCALING_FORMAT=MLN","Sort=A","Dates=H","DateFormat=P","Fill=—","Direction=H","UseDPDF=Y")</f>
        <v>#NAME?</v>
      </c>
      <c r="CA308" s="3" t="e">
        <f ca="1">_xll.BDH($C$303,"BS_LT_BORROW","FY 2015","FY 2015","Currency=INR","Period=FY","BEST_FPERIOD_OVERRIDE=FY","FILING_STATUS=OR","EQY_CONSOLIDATED=Y","SCALING_FORMAT=MLN","Sort=A","Dates=H","DateFormat=P","Fill=—","Direction=H","UseDPDF=Y")</f>
        <v>#NAME?</v>
      </c>
      <c r="CB308" s="2" t="e">
        <f ca="1">_xll.BDH($C$303,"TOT_DEBT_TO_EBITDA","FY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08" s="2" t="e">
        <f ca="1">_xll.BDH($C$303,"NET_DEBT_TO_EBITDA","FY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08" s="2" t="e">
        <f ca="1">_xll.BDH($C$303,"TOTAL_DEBT_TO_EBIT","FY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08" s="2" t="e">
        <f ca="1">_xll.BDH($C$303,"NET_DEBT_TO_EBIT","FY 2015","FY 2015","Currency=INR","Period=FY","BEST_FPERIOD_OVERRIDE=FY","FILING_STATUS=OR","EQY_CONSOLIDATED=Y","FA_ADJUSTED=GAAP","Sort=A","Dates=H","DateFormat=P","Fill=—","Direction=H","UseDPDF=Y")</f>
        <v>#NAME?</v>
      </c>
      <c r="CF308" s="2" t="e">
        <f ca="1">_xll.BDH($C$303,"EBITDA_TO_INTEREST_EXPN","FY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08" s="2" t="e">
        <f ca="1">_xll.BDH($C$303,"COM_EQY_TO_TOT_ASSET","FY 2015","FY 2015","Currency=INR","Period=FY","BEST_FPERIOD_OVERRIDE=FY","FILING_STATUS=OR","EQY_CONSOLIDATED=Y","Sort=A","Dates=H","DateFormat=P","Fill=—","Direction=H","UseDPDF=Y")</f>
        <v>#NAME?</v>
      </c>
      <c r="CH308" s="2" t="e">
        <f ca="1">_xll.BDH($C$303,"LT_DEBT_TO_TOT_EQY","FY 2015","FY 2015","Currency=INR","Period=FY","BEST_FPERIOD_OVERRIDE=FY","FILING_STATUS=OR","EQY_CONSOLIDATED=Y","Sort=A","Dates=H","DateFormat=P","Fill=—","Direction=H","UseDPDF=Y")</f>
        <v>#NAME?</v>
      </c>
      <c r="CI308" s="2" t="e">
        <f ca="1">_xll.BDH($C$303,"LT_DEBT_TO_TOT_CAP","FY 2015","FY 2015","Currency=INR","Period=FY","BEST_FPERIOD_OVERRIDE=FY","FILING_STATUS=OR","EQY_CONSOLIDATED=Y","Sort=A","Dates=H","DateFormat=P","Fill=—","Direction=H","UseDPDF=Y")</f>
        <v>#NAME?</v>
      </c>
      <c r="CJ308" s="2" t="e">
        <f ca="1">_xll.BDH($C$303,"LT_DEBT_TO_TOT_ASSET","FY 2015","FY 2015","Currency=INR","Period=FY","BEST_FPERIOD_OVERRIDE=FY","FILING_STATUS=OR","EQY_CONSOLIDATED=Y","Sort=A","Dates=H","DateFormat=P","Fill=—","Direction=H","UseDPDF=Y")</f>
        <v>#NAME?</v>
      </c>
      <c r="CK308" s="2" t="e">
        <f ca="1">_xll.BDH($C$303,"TOT_DEBT_TO_TOT_EQY","FY 2015","FY 2015","Currency=INR","Period=FY","BEST_FPERIOD_OVERRIDE=FY","FILING_STATUS=OR","EQY_CONSOLIDATED=Y","Sort=A","Dates=H","DateFormat=P","Fill=—","Direction=H","UseDPDF=Y")</f>
        <v>#NAME?</v>
      </c>
      <c r="CL308" s="2" t="e">
        <f ca="1">_xll.BDH($C$303,"TOT_DEBT_TO_TOT_CAP","FY 2015","FY 2015","Currency=INR","Period=FY","BEST_FPERIOD_OVERRIDE=FY","FILING_STATUS=OR","EQY_CONSOLIDATED=Y","Sort=A","Dates=H","DateFormat=P","Fill=—","Direction=H","UseDPDF=Y")</f>
        <v>#NAME?</v>
      </c>
      <c r="CM308" s="2" t="e">
        <f ca="1">_xll.BDH($C$303,"TOT_DEBT_TO_TOT_ASSET","FY 2015","FY 2015","Currency=INR","Period=FY","BEST_FPERIOD_OVERRIDE=FY","FILING_STATUS=OR","EQY_CONSOLIDATED=Y","Sort=A","Dates=H","DateFormat=P","Fill=—","Direction=H","UseDPDF=Y")</f>
        <v>#NAME?</v>
      </c>
      <c r="CN308" s="2" t="e">
        <f ca="1">_xll.BDH($C$303,"NET_DEBT_TO_SHRHLDR_EQTY","FY 2015","FY 2015","Currency=INR","Period=FY","BEST_FPERIOD_OVERRIDE=FY","FILING_STATUS=OR","EQY_CONSOLIDATED=Y","Sort=A","Dates=H","DateFormat=P","Fill=—","Direction=H","UseDPDF=Y")</f>
        <v>#NAME?</v>
      </c>
      <c r="CO308" s="2" t="e">
        <f ca="1">_xll.BDH($C$303,"NET_DEBT_%_CAPITAL","FY 2015","FY 2015","Currency=INR","Period=FY","BEST_FPERIOD_OVERRIDE=FY","FILING_STATUS=OR","EQY_CONSOLIDATED=Y","Sort=A","Dates=H","DateFormat=P","Fill=—","Direction=H","UseDPDF=Y")</f>
        <v>#NAME?</v>
      </c>
      <c r="CP308" s="3" t="e">
        <f ca="1">_xll.BDH($C$303,"EBITDA","FY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08" s="3" t="e">
        <f ca="1">_xll.BDH($C$303,"EBITDA_AFTER_CAPEX","FY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08" s="3" t="e">
        <f ca="1">_xll.BDH($C$303,"IS_OPER_INC","FY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08" s="2" t="e">
        <f ca="1">_xll.BDH($C$303,"CASH_RATIO","FY 2015","FY 2015","Currency=INR","Period=FY","BEST_FPERIOD_OVERRIDE=FY","FILING_STATUS=OR","EQY_CONSOLIDATED=Y","Sort=A","Dates=H","DateFormat=P","Fill=—","Direction=H","UseDPDF=Y")</f>
        <v>#NAME?</v>
      </c>
      <c r="CT308" s="2" t="e">
        <f ca="1">_xll.BDH($C$303,"CUR_RATIO","FY 2015","FY 2015","Currency=INR","Period=FY","BEST_FPERIOD_OVERRIDE=FY","FILING_STATUS=OR","EQY_CONSOLIDATED=Y","Sort=A","Dates=H","DateFormat=P","Fill=—","Direction=H","UseDPDF=Y")</f>
        <v>#NAME?</v>
      </c>
      <c r="CU308" s="2" t="e">
        <f ca="1">_xll.BDH($C$303,"QUICK_RATIO","FY 2015","FY 2015","Currency=INR","Period=FY","BEST_FPERIOD_OVERRIDE=FY","FILING_STATUS=OR","EQY_CONSOLIDATED=Y","Sort=A","Dates=H","DateFormat=P","Fill=—","Direction=H","UseDPDF=Y")</f>
        <v>#NAME?</v>
      </c>
      <c r="CV308" s="2" t="e">
        <f ca="1">_xll.BDH($C$303,"ALTMAN_Z_SCORE","FY 2015","FY 2015","Currency=INR","Period=FY","BEST_FPERIOD_OVERRIDE=FY","FILING_STATUS=OR","EQY_CONSOLIDATED=Y","Sort=A","Dates=H","DateFormat=P","Fill=—","Direction=H","UseDPDF=Y")</f>
        <v>#NAME?</v>
      </c>
      <c r="CW308" s="4" t="e">
        <f ca="1">_xll.BDH($C$303,"ACCT_RCV_TURN","FY 2015","FY 2015","Currency=INR","Period=FY","BEST_FPERIOD_OVERRIDE=FY","FILING_STATUS=OR","EQY_CONSOLIDATED=Y","FA_ADJUSTED=GAAP","Sort=A","Dates=H","DateFormat=P","Fill=—","Direction=H","UseDPDF=Y")</f>
        <v>#NAME?</v>
      </c>
      <c r="CX308" s="2" t="e">
        <f ca="1">_xll.BDH($C$303,"ACCT_RCV_DAYS","FY 2015","FY 2015","Currency=INR","Period=FY","BEST_FPERIOD_OVERRIDE=FY","FILING_STATUS=OR","EQY_CONSOLIDATED=Y","FA_ADJUSTED=GAAP","Sort=A","Dates=H","DateFormat=P","Fill=—","Direction=H","UseDPDF=Y")</f>
        <v>#NAME?</v>
      </c>
      <c r="CY308" s="4" t="e">
        <f ca="1">_xll.BDH($C$303,"INVENT_TURN","FY 2015","FY 2015","Currency=INR","Period=FY","BEST_FPERIOD_OVERRIDE=FY","FILING_STATUS=OR","EQY_CONSOLIDATED=Y","FA_ADJUSTED=GAAP","Sort=A","Dates=H","DateFormat=P","Fill=—","Direction=H","UseDPDF=Y")</f>
        <v>#NAME?</v>
      </c>
      <c r="CZ308" s="2" t="e">
        <f ca="1">_xll.BDH($C$303,"INVENT_DAYS","FY 2015","FY 2015","Currency=INR","Period=FY","BEST_FPERIOD_OVERRIDE=FY","FILING_STATUS=OR","EQY_CONSOLIDATED=Y","FA_ADJUSTED=GAAP","Sort=A","Dates=H","DateFormat=P","Fill=—","Direction=H","UseDPDF=Y")</f>
        <v>#NAME?</v>
      </c>
      <c r="DA308" s="4" t="e">
        <f ca="1">_xll.BDH($C$303,"ACCOUNTS_PAYABLE_TURNOVER","FY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08" s="2" t="e">
        <f ca="1">_xll.BDH($C$303,"ACCOUNTS_PAYABLE_TURNOVER_DAYS","FY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08" s="4" t="e">
        <f ca="1">_xll.BDH($C$303,"CASH_CONVERSION_CYCLE","FY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08" s="4" t="e">
        <f ca="1">_xll.BDH($C$303,"INV_TO_CASH_DAYS","FY 2015","FY 2015","Currency=INR","Period=FY","BEST_FPERIOD_OVERRIDE=FY","FILING_STATUS=OR","EQY_CONSOLIDATED=Y","FA_ADJUSTED=GAAP","Sort=A","Dates=H","DateFormat=P","Fill=—","Direction=H","UseDPDF=Y")</f>
        <v>#NAME?</v>
      </c>
      <c r="DE308" s="5" t="e">
        <f ca="1">_xll.BDH($C$303,"BS_INVENTORIES","FY 2015","FY 2015","Currency=INR","Period=FY","BEST_FPERIOD_OVERRIDE=FY","FILING_STATUS=OR","EQY_CONSOLIDATED=Y","SCALING_FORMAT=MLN","Sort=A","Dates=H","DateFormat=P","Fill=—","Direction=H","UseDPDF=Y")</f>
        <v>#NAME?</v>
      </c>
      <c r="DF308" s="3" t="e">
        <f ca="1">_xll.BDH($C$303,"INVTRY_RAW_MATERIALS","FY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08" s="3" t="e">
        <f ca="1">_xll.BDH($C$303,"INVTRY_IN_PROGRESS","FY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08" s="3" t="e">
        <f ca="1">_xll.BDH($C$303,"INVTRY_FINISHED_GOODS","FY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08" s="3" t="e">
        <f ca="1">_xll.BDH($C$303,"BS_OTHER_INV","FY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09" spans="1:113" x14ac:dyDescent="0.3">
      <c r="A309" s="6"/>
      <c r="B309" s="6"/>
      <c r="C309" s="6"/>
      <c r="D309" s="6"/>
      <c r="E309" t="s">
        <v>78</v>
      </c>
      <c r="F309" t="e">
        <f ca="1">_xll.BDH($C$303,"RETURN_COM_EQY","FQ1 2015","FQ1 2015","Currency=INR","Period=FQ","BEST_FPERIOD_OVERRIDE=FQ","FILING_STATUS=OR","EQY_CONSOLIDATED=Y","FA_ADJUSTED=GAAP","Sort=A","Dates=H","DateFormat=P","Fill=—","Direction=H","UseDPDF=Y")</f>
        <v>#NAME?</v>
      </c>
      <c r="G309" t="e">
        <f ca="1">_xll.BDH($C$303,"RETURN_ON_ASSET","FQ1 2015","FQ1 2015","Currency=INR","Period=FQ","BEST_FPERIOD_OVERRIDE=FQ","FILING_STATUS=OR","EQY_CONSOLIDATED=Y","FA_ADJUSTED=GAAP","Sort=A","Dates=H","DateFormat=P","Fill=—","Direction=H","UseDPDF=Y")</f>
        <v>#NAME?</v>
      </c>
      <c r="H309" t="e">
        <f ca="1">_xll.BDH($C$303,"RETURN_ON_CAP","FQ1 2015","FQ1 2015","Currency=INR","Period=FQ","BEST_FPERIOD_OVERRIDE=FQ","FILING_STATUS=OR","EQY_CONSOLIDATED=Y","FA_ADJUSTED=GAAP","Sort=A","Dates=H","DateFormat=P","Fill=—","Direction=H","UseDPDF=Y")</f>
        <v>#NAME?</v>
      </c>
      <c r="I309" t="e">
        <f ca="1">_xll.BDH($C$303,"RETURN_ON_INV_CAPITAL","FQ1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09" t="e">
        <f ca="1">_xll.BDH($C$303,"EBITDA_TO_REVENUE","FQ1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09" t="e">
        <f ca="1">_xll.BDH($C$303,"OPER_MARGIN","FQ1 2015","FQ1 2015","Currency=INR","Period=FQ","BEST_FPERIOD_OVERRIDE=FQ","FILING_STATUS=OR","EQY_CONSOLIDATED=Y","FA_ADJUSTED=GAAP","Sort=A","Dates=H","DateFormat=P","Fill=—","Direction=H","UseDPDF=Y")</f>
        <v>#NAME?</v>
      </c>
      <c r="L309" t="e">
        <f ca="1">_xll.BDH($C$303,"INCREMENTAL_OPERATING_MARGIN","FQ1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09" t="e">
        <f ca="1">_xll.BDH($C$303,"PRETAX_INC_TO_NET_SALES","FQ1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09" t="e">
        <f ca="1">_xll.BDH($C$303,"INC_BEF_XO_ITEMS_TO_NET_SALES","FQ1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09" t="e">
        <f ca="1">_xll.BDH($C$303,"PROF_MARGIN","FQ1 2015","FQ1 2015","Currency=INR","Period=FQ","BEST_FPERIOD_OVERRIDE=FQ","FILING_STATUS=OR","EQY_CONSOLIDATED=Y","FA_ADJUSTED=GAAP","Sort=A","Dates=H","DateFormat=P","Fill=—","Direction=H","UseDPDF=Y")</f>
        <v>#NAME?</v>
      </c>
      <c r="P309" t="e">
        <f ca="1">_xll.BDH($C$303,"NET_INCOME_TO_COMMON_MARGIN","FQ1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09" t="e">
        <f ca="1">_xll.BDH($C$303,"EFF_TAX_RATE","FQ1 2015","FQ1 2015","Currency=INR","Period=FQ","BEST_FPERIOD_OVERRIDE=FQ","FILING_STATUS=OR","EQY_CONSOLIDATED=Y","FA_ADJUSTED=GAAP","Sort=A","Dates=H","DateFormat=P","Fill=—","Direction=H","UseDPDF=Y")</f>
        <v>#NAME?</v>
      </c>
      <c r="R309" t="e">
        <f ca="1">_xll.BDH($C$303,"DVD_PAYOUT_RATIO","FQ1 2015","FQ1 2015","Currency=INR","Period=FQ","BEST_FPERIOD_OVERRIDE=FQ","FILING_STATUS=OR","EQY_CONSOLIDATED=Y","FA_ADJUSTED=GAAP","Sort=A","Dates=H","DateFormat=P","Fill=—","Direction=H","UseDPDF=Y")</f>
        <v>#NAME?</v>
      </c>
      <c r="S309" t="e">
        <f ca="1">_xll.BDH($C$303,"SUSTAIN_GROWTH_RT","FQ1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09" s="2" t="e">
        <f ca="1">_xll.BDH($C$303,"SALES_GROWTH","FQ1 2015","FQ1 2015","Currency=INR","Period=FQ","BEST_FPERIOD_OVERRIDE=FQ","FILING_STATUS=OR","EQY_CONSOLIDATED=Y","FA_ADJUSTED=GAAP","Sort=A","Dates=H","DateFormat=P","Fill=—","Direction=H","UseDPDF=Y")</f>
        <v>#NAME?</v>
      </c>
      <c r="U309" s="2" t="e">
        <f ca="1">_xll.BDH($C$303,"EBITDA_GROWTH","FQ1 2015","FQ1 2015","Currency=INR","Period=FQ","BEST_FPERIOD_OVERRIDE=FQ","FILING_STATUS=OR","EQY_CONSOLIDATED=Y","FA_ADJUSTED=GAAP","Sort=A","Dates=H","DateFormat=P","Fill=—","Direction=H","UseDPDF=Y")</f>
        <v>#NAME?</v>
      </c>
      <c r="V309" s="2" t="e">
        <f ca="1">_xll.BDH($C$303,"OPER_INC_GROWTH","FQ1 2015","FQ1 2015","Currency=INR","Period=FQ","BEST_FPERIOD_OVERRIDE=FQ","FILING_STATUS=OR","EQY_CONSOLIDATED=Y","FA_ADJUSTED=GAAP","Sort=A","Dates=H","DateFormat=P","Fill=—","Direction=H","UseDPDF=Y")</f>
        <v>#NAME?</v>
      </c>
      <c r="W309" s="2" t="e">
        <f ca="1">_xll.BDH($C$303,"EARN_FOR_COM_GROWTH","FQ1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09" s="2" t="e">
        <f ca="1">_xll.BDH($C$303,"DILUTED_EPS_AFT_XO_ITEMS_GROWTH","FQ1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09" s="2" t="e">
        <f ca="1">_xll.BDH($C$303,"DIVIDEND_PER_SHARE_1_YEAR_GROWTH","FQ1 2015","FQ1 2015","Currency=INR","Period=FQ","BEST_FPERIOD_OVERRIDE=FQ","FILING_STATUS=OR","EQY_CONSOLIDATED=Y","Sort=A","Dates=H","DateFormat=P","Fill=—","Direction=H","UseDPDF=Y")</f>
        <v>#NAME?</v>
      </c>
      <c r="Z309" s="2" t="e">
        <f ca="1">_xll.BDH($C$303,"ACCOUNTS_RECEIVABLE_GROWTH","FQ1 2015","FQ1 2015","Currency=INR","Period=FQ","BEST_FPERIOD_OVERRIDE=FQ","FILING_STATUS=OR","EQY_CONSOLIDATED=Y","Sort=A","Dates=H","DateFormat=P","Fill=—","Direction=H","UseDPDF=Y")</f>
        <v>#NAME?</v>
      </c>
      <c r="AA309" s="2" t="e">
        <f ca="1">_xll.BDH($C$303,"INVENTORY_GROWTH","FQ1 2015","FQ1 2015","Currency=INR","Period=FQ","BEST_FPERIOD_OVERRIDE=FQ","FILING_STATUS=OR","EQY_CONSOLIDATED=Y","Sort=A","Dates=H","DateFormat=P","Fill=—","Direction=H","UseDPDF=Y")</f>
        <v>#NAME?</v>
      </c>
      <c r="AB309" s="2" t="e">
        <f ca="1">_xll.BDH($C$303,"NET_FIXED_ASSETS_1_YEAR_GROWTH","FQ1 2015","FQ1 2015","Currency=INR","Period=FQ","BEST_FPERIOD_OVERRIDE=FQ","FILING_STATUS=OR","EQY_CONSOLIDATED=Y","Sort=A","Dates=H","DateFormat=P","Fill=—","Direction=H","UseDPDF=Y")</f>
        <v>#NAME?</v>
      </c>
      <c r="AC309" s="2" t="e">
        <f ca="1">_xll.BDH($C$303,"ASSET_GROWTH","FQ1 2015","FQ1 2015","Currency=INR","Period=FQ","BEST_FPERIOD_OVERRIDE=FQ","FILING_STATUS=OR","EQY_CONSOLIDATED=Y","Sort=A","Dates=H","DateFormat=P","Fill=—","Direction=H","UseDPDF=Y")</f>
        <v>#NAME?</v>
      </c>
      <c r="AD309" s="2" t="e">
        <f ca="1">_xll.BDH($C$303,"MODIFIED_WORK_CAP_GROWTH","FQ1 2015","FQ1 2015","Currency=INR","Period=FQ","BEST_FPERIOD_OVERRIDE=FQ","FILING_STATUS=OR","EQY_CONSOLIDATED=Y","Sort=A","Dates=H","DateFormat=P","Fill=—","Direction=H","UseDPDF=Y")</f>
        <v>#NAME?</v>
      </c>
      <c r="AE309" s="2" t="e">
        <f ca="1">_xll.BDH($C$303,"WORK_CAP_GROWTH","FQ1 2015","FQ1 2015","Currency=INR","Period=FQ","BEST_FPERIOD_OVERRIDE=FQ","FILING_STATUS=OR","EQY_CONSOLIDATED=Y","Sort=A","Dates=H","DateFormat=P","Fill=—","Direction=H","UseDPDF=Y")</f>
        <v>#NAME?</v>
      </c>
      <c r="AF309" s="2" t="e">
        <f ca="1">_xll.BDH($C$303,"ACCOUNTS_PAYABLE_GROWTH_1YR","FQ1 2015","FQ1 2015","Currency=INR","Period=FQ","BEST_FPERIOD_OVERRIDE=FQ","FILING_STATUS=OR","EQY_CONSOLIDATED=Y","Sort=A","Dates=H","DateFormat=P","Fill=—","Direction=H","UseDPDF=Y")</f>
        <v>#NAME?</v>
      </c>
      <c r="AG309" s="2" t="e">
        <f ca="1">_xll.BDH($C$303,"SHORT_TERM_DEBT_1_YEAR_GROWTH","FQ1 2015","FQ1 2015","Currency=INR","Period=FQ","BEST_FPERIOD_OVERRIDE=FQ","FILING_STATUS=OR","EQY_CONSOLIDATED=Y","Sort=A","Dates=H","DateFormat=P","Fill=—","Direction=H","UseDPDF=Y")</f>
        <v>#NAME?</v>
      </c>
      <c r="AH309" s="2" t="e">
        <f ca="1">_xll.BDH($C$303,"TOTAL_DEBT_1_YEAR_GROWTH","FQ1 2015","FQ1 2015","Currency=INR","Period=FQ","BEST_FPERIOD_OVERRIDE=FQ","FILING_STATUS=OR","EQY_CONSOLIDATED=Y","Sort=A","Dates=H","DateFormat=P","Fill=—","Direction=H","UseDPDF=Y")</f>
        <v>#NAME?</v>
      </c>
      <c r="AI309" s="2" t="e">
        <f ca="1">_xll.BDH($C$303,"TOTAL_EQUITY_1_YEAR_GROWTH","FQ1 2015","FQ1 2015","Currency=INR","Period=FQ","BEST_FPERIOD_OVERRIDE=FQ","FILING_STATUS=OR","EQY_CONSOLIDATED=Y","Sort=A","Dates=H","DateFormat=P","Fill=—","Direction=H","UseDPDF=Y")</f>
        <v>#NAME?</v>
      </c>
      <c r="AJ309" s="2" t="e">
        <f ca="1">_xll.BDH($C$303,"GROWTH_IN_CAP","FQ1 2015","FQ1 2015","Currency=INR","Period=FQ","BEST_FPERIOD_OVERRIDE=FQ","FILING_STATUS=OR","EQY_CONSOLIDATED=Y","Sort=A","Dates=H","DateFormat=P","Fill=—","Direction=H","UseDPDF=Y")</f>
        <v>#NAME?</v>
      </c>
      <c r="AK309" s="2" t="e">
        <f ca="1">_xll.BDH($C$303,"BVPS_GROWTH","FQ1 2015","FQ1 2015","Currency=INR","Period=FQ","BEST_FPERIOD_OVERRIDE=FQ","FILING_STATUS=OR","EQY_CONSOLIDATED=Y","Sort=A","Dates=H","DateFormat=P","Fill=—","Direction=H","UseDPDF=Y")</f>
        <v>#NAME?</v>
      </c>
      <c r="AL309" s="2" t="e">
        <f ca="1">_xll.BDH($C$303,"CASH_FLOW_GROWTH","FQ1 2015","FQ1 2015","Currency=INR","Period=FQ","BEST_FPERIOD_OVERRIDE=FQ","FILING_STATUS=OR","EQY_CONSOLIDATED=Y","Sort=A","Dates=H","DateFormat=P","Fill=—","Direction=H","UseDPDF=Y")</f>
        <v>#NAME?</v>
      </c>
      <c r="AM309" s="2" t="e">
        <f ca="1">_xll.BDH($C$303,"GEO_GROW_NET_SALES","FQ1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09" s="2" t="e">
        <f ca="1">_xll.BDH($C$303,"GEO_GROW_EBITDA","FQ1 2015","FQ1 2015","Currency=INR","Period=FQ","BEST_FPERIOD_OVERRIDE=FQ","FILING_STATUS=OR","EQY_CONSOLIDATED=Y","FA_ADJUSTED=GAAP","Sort=A","Dates=H","DateFormat=P","Fill=—","Direction=H","UseDPDF=Y")</f>
        <v>#NAME?</v>
      </c>
      <c r="AO309" s="2" t="e">
        <f ca="1">_xll.BDH($C$303,"GEO_GROW_OPER_INC","FQ1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09" s="2" t="e">
        <f ca="1">_xll.BDH($C$303,"NET_INCOME_TO_COMMON_5_YR_GROWTH","FQ1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09" s="2" t="e">
        <f ca="1">_xll.BDH($C$303,"5Y_GEO_GROWTH_DILUTED_EPS","FQ1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09" s="2" t="e">
        <f ca="1">_xll.BDH($C$303,"GEO_GROW_DVD_PER_SH","FQ1 2015","FQ1 2015","Currency=INR","Period=FQ","BEST_FPERIOD_OVERRIDE=FQ","FILING_STATUS=OR","EQY_CONSOLIDATED=Y","Sort=A","Dates=H","DateFormat=P","Fill=—","Direction=H","UseDPDF=Y")</f>
        <v>#NAME?</v>
      </c>
      <c r="AS309" s="2" t="e">
        <f ca="1">_xll.BDH($C$303,"ACCOUNTS_RECEIVABLE_5_YR_GROWTH","FQ1 2015","FQ1 2015","Currency=INR","Period=FQ","BEST_FPERIOD_OVERRIDE=FQ","FILING_STATUS=OR","EQY_CONSOLIDATED=Y","Sort=A","Dates=H","DateFormat=P","Fill=—","Direction=H","UseDPDF=Y")</f>
        <v>#NAME?</v>
      </c>
      <c r="AT309" s="2" t="e">
        <f ca="1">_xll.BDH($C$303,"INVENTORY_5_YEAR_GROWTH","FQ1 2015","FQ1 2015","Currency=INR","Period=FQ","BEST_FPERIOD_OVERRIDE=FQ","FILING_STATUS=OR","EQY_CONSOLIDATED=Y","Sort=A","Dates=H","DateFormat=P","Fill=—","Direction=H","UseDPDF=Y")</f>
        <v>#NAME?</v>
      </c>
      <c r="AU309" s="2" t="e">
        <f ca="1">_xll.BDH($C$303,"NET_FIXED_ASSETS_5_YEAR_GROWTH","FQ1 2015","FQ1 2015","Currency=INR","Period=FQ","BEST_FPERIOD_OVERRIDE=FQ","FILING_STATUS=OR","EQY_CONSOLIDATED=Y","Sort=A","Dates=H","DateFormat=P","Fill=—","Direction=H","UseDPDF=Y")</f>
        <v>#NAME?</v>
      </c>
      <c r="AV309" s="2" t="e">
        <f ca="1">_xll.BDH($C$303,"GEO_GROW_TOT_ASSET","FQ1 2015","FQ1 2015","Currency=INR","Period=FQ","BEST_FPERIOD_OVERRIDE=FQ","FILING_STATUS=OR","EQY_CONSOLIDATED=Y","Sort=A","Dates=H","DateFormat=P","Fill=—","Direction=H","UseDPDF=Y")</f>
        <v>#NAME?</v>
      </c>
      <c r="AW309" s="2" t="e">
        <f ca="1">_xll.BDH($C$303,"MODIFIED_WORKING_CPTL_5YR_GRWTH","FQ1 2015","FQ1 2015","Currency=INR","Period=FQ","BEST_FPERIOD_OVERRIDE=FQ","FILING_STATUS=OR","EQY_CONSOLIDATED=Y","Sort=A","Dates=H","DateFormat=P","Fill=—","Direction=H","UseDPDF=Y")</f>
        <v>#NAME?</v>
      </c>
      <c r="AX309" s="2" t="e">
        <f ca="1">_xll.BDH($C$303,"WORKING_CAPITAL_5_YEAR_GROWTH","FQ1 2015","FQ1 2015","Currency=INR","Period=FQ","BEST_FPERIOD_OVERRIDE=FQ","FILING_STATUS=OR","EQY_CONSOLIDATED=Y","Sort=A","Dates=H","DateFormat=P","Fill=—","Direction=H","UseDPDF=Y")</f>
        <v>#NAME?</v>
      </c>
      <c r="AY309" s="2" t="e">
        <f ca="1">_xll.BDH($C$303,"ACCOUNTS_PAYABLE_5_YEAR_GROWTH","FQ1 2015","FQ1 2015","Currency=INR","Period=FQ","BEST_FPERIOD_OVERRIDE=FQ","FILING_STATUS=OR","EQY_CONSOLIDATED=Y","Sort=A","Dates=H","DateFormat=P","Fill=—","Direction=H","UseDPDF=Y")</f>
        <v>#NAME?</v>
      </c>
      <c r="AZ309" s="2" t="e">
        <f ca="1">_xll.BDH($C$303,"SHORT_TERM_DEBT_5_YEAR_GROWTH","FQ1 2015","FQ1 2015","Currency=INR","Period=FQ","BEST_FPERIOD_OVERRIDE=FQ","FILING_STATUS=OR","EQY_CONSOLIDATED=Y","Sort=A","Dates=H","DateFormat=P","Fill=—","Direction=H","UseDPDF=Y")</f>
        <v>#NAME?</v>
      </c>
      <c r="BA309" s="2" t="e">
        <f ca="1">_xll.BDH($C$303,"TOTAL_DEBT_5_YEAR_GROWTH","FQ1 2015","FQ1 2015","Currency=INR","Period=FQ","BEST_FPERIOD_OVERRIDE=FQ","FILING_STATUS=OR","EQY_CONSOLIDATED=Y","Sort=A","Dates=H","DateFormat=P","Fill=—","Direction=H","UseDPDF=Y")</f>
        <v>#NAME?</v>
      </c>
      <c r="BB309" s="2" t="e">
        <f ca="1">_xll.BDH($C$303,"GEO_GROW_TOT_SHRHLDR_EQY","FQ1 2015","FQ1 2015","Currency=INR","Period=FQ","BEST_FPERIOD_OVERRIDE=FQ","FILING_STATUS=OR","EQY_CONSOLIDATED=Y","Sort=A","Dates=H","DateFormat=P","Fill=—","Direction=H","UseDPDF=Y")</f>
        <v>#NAME?</v>
      </c>
      <c r="BC309" s="2" t="e">
        <f ca="1">_xll.BDH($C$303,"TOTAL_CAPITAL_5_YEAR_GROWTH","FQ1 2015","FQ1 2015","Currency=INR","Period=FQ","BEST_FPERIOD_OVERRIDE=FQ","FILING_STATUS=OR","EQY_CONSOLIDATED=Y","Sort=A","Dates=H","DateFormat=P","Fill=—","Direction=H","UseDPDF=Y")</f>
        <v>#NAME?</v>
      </c>
      <c r="BD309" s="2" t="e">
        <f ca="1">_xll.BDH($C$303,"GEO_GROW_BOOK_VAL","FQ1 2015","FQ1 2015","Currency=INR","Period=FQ","BEST_FPERIOD_OVERRIDE=FQ","FILING_STATUS=OR","EQY_CONSOLIDATED=Y","Sort=A","Dates=H","DateFormat=P","Fill=—","Direction=H","UseDPDF=Y")</f>
        <v>#NAME?</v>
      </c>
      <c r="BE309" s="2" t="e">
        <f ca="1">_xll.BDH($C$303,"GEO_GROW_CASH_OPER_ACT","FQ1 2015","FQ1 2015","Currency=INR","Period=FQ","BEST_FPERIOD_OVERRIDE=FQ","FILING_STATUS=OR","EQY_CONSOLIDATED=Y","Sort=A","Dates=H","DateFormat=P","Fill=—","Direction=H","UseDPDF=Y")</f>
        <v>#NAME?</v>
      </c>
      <c r="BF309" s="2" t="e">
        <f ca="1">_xll.BDH($C$303,"REVENUE_SEQUENTIAL_GROWTH","FQ1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09" s="2" t="e">
        <f ca="1">_xll.BDH($C$303,"EBITDA_SEQUENTIAL_GROWTH","FQ1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09" s="2" t="e">
        <f ca="1">_xll.BDH($C$303,"OPERATING_INCOME_SEQ_GROWTH","FQ1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09" s="2" t="e">
        <f ca="1">_xll.BDH($C$303,"NET_INCOME_TO_COMMON_SEQ_GROWTH","FQ1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09" s="2" t="e">
        <f ca="1">_xll.BDH($C$303,"EPS_DILUTED_SEQUENTIAL_GROWTH","FQ1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09" s="2" t="e">
        <f ca="1">_xll.BDH($C$303,"DPS_SEQUENTIAL_GROWTH","FQ1 2015","FQ1 2015","Currency=INR","Period=FQ","BEST_FPERIOD_OVERRIDE=FQ","FILING_STATUS=OR","EQY_CONSOLIDATED=Y","Sort=A","Dates=H","DateFormat=P","Fill=—","Direction=H","UseDPDF=Y")</f>
        <v>#NAME?</v>
      </c>
      <c r="BL309" s="2" t="e">
        <f ca="1">_xll.BDH($C$303,"ACCOUNTS_RECEIVABLE_SEQ_GROWTH","FQ1 2015","FQ1 2015","Currency=INR","Period=FQ","BEST_FPERIOD_OVERRIDE=FQ","FILING_STATUS=OR","EQY_CONSOLIDATED=Y","Sort=A","Dates=H","DateFormat=P","Fill=—","Direction=H","UseDPDF=Y")</f>
        <v>#NAME?</v>
      </c>
      <c r="BM309" s="2" t="e">
        <f ca="1">_xll.BDH($C$303,"INVENTORY_SEQUENTIAL_GROWTH","FQ1 2015","FQ1 2015","Currency=INR","Period=FQ","BEST_FPERIOD_OVERRIDE=FQ","FILING_STATUS=OR","EQY_CONSOLIDATED=Y","Sort=A","Dates=H","DateFormat=P","Fill=—","Direction=H","UseDPDF=Y")</f>
        <v>#NAME?</v>
      </c>
      <c r="BN309" s="2" t="e">
        <f ca="1">_xll.BDH($C$303,"FIXED_ASSETS_SEQUENTIAL_GROWTH","FQ1 2015","FQ1 2015","Currency=INR","Period=FQ","BEST_FPERIOD_OVERRIDE=FQ","FILING_STATUS=OR","EQY_CONSOLIDATED=Y","Sort=A","Dates=H","DateFormat=P","Fill=—","Direction=H","UseDPDF=Y")</f>
        <v>#NAME?</v>
      </c>
      <c r="BO309" s="2" t="e">
        <f ca="1">_xll.BDH($C$303,"TOTAL_ASSETS_SEQUENTIAL_GROWTH","FQ1 2015","FQ1 2015","Currency=INR","Period=FQ","BEST_FPERIOD_OVERRIDE=FQ","FILING_STATUS=OR","EQY_CONSOLIDATED=Y","Sort=A","Dates=H","DateFormat=P","Fill=—","Direction=H","UseDPDF=Y")</f>
        <v>#NAME?</v>
      </c>
      <c r="BP309" s="2" t="e">
        <f ca="1">_xll.BDH($C$303,"MODIFIED_WORKING_CPTL_SEQ_GRWTH","FQ1 2015","FQ1 2015","Currency=INR","Period=FQ","BEST_FPERIOD_OVERRIDE=FQ","FILING_STATUS=OR","EQY_CONSOLIDATED=Y","Sort=A","Dates=H","DateFormat=P","Fill=—","Direction=H","UseDPDF=Y")</f>
        <v>#NAME?</v>
      </c>
      <c r="BQ309" s="2" t="e">
        <f ca="1">_xll.BDH($C$303,"WORKING_CAPITAL_SEQ_GROWTH","FQ1 2015","FQ1 2015","Currency=INR","Period=FQ","BEST_FPERIOD_OVERRIDE=FQ","FILING_STATUS=OR","EQY_CONSOLIDATED=Y","Sort=A","Dates=H","DateFormat=P","Fill=—","Direction=H","UseDPDF=Y")</f>
        <v>#NAME?</v>
      </c>
      <c r="BR309" s="2" t="e">
        <f ca="1">_xll.BDH($C$303,"ACCOUNTS_PAYABLE_SEQ_GROWTH","FQ1 2015","FQ1 2015","Currency=INR","Period=FQ","BEST_FPERIOD_OVERRIDE=FQ","FILING_STATUS=OR","EQY_CONSOLIDATED=Y","Sort=A","Dates=H","DateFormat=P","Fill=—","Direction=H","UseDPDF=Y")</f>
        <v>#NAME?</v>
      </c>
      <c r="BS309" s="2" t="e">
        <f ca="1">_xll.BDH($C$303,"ST_DEBT_SEQUENTIAL_GROWTH","FQ1 2015","FQ1 2015","Currency=INR","Period=FQ","BEST_FPERIOD_OVERRIDE=FQ","FILING_STATUS=OR","EQY_CONSOLIDATED=Y","Sort=A","Dates=H","DateFormat=P","Fill=—","Direction=H","UseDPDF=Y")</f>
        <v>#NAME?</v>
      </c>
      <c r="BT309" s="2" t="e">
        <f ca="1">_xll.BDH($C$303,"TOTAL_DEBT_SEQUENTIAL_GROWTH","FQ1 2015","FQ1 2015","Currency=INR","Period=FQ","BEST_FPERIOD_OVERRIDE=FQ","FILING_STATUS=OR","EQY_CONSOLIDATED=Y","Sort=A","Dates=H","DateFormat=P","Fill=—","Direction=H","UseDPDF=Y")</f>
        <v>#NAME?</v>
      </c>
      <c r="BU309" s="2" t="e">
        <f ca="1">_xll.BDH($C$303,"TOTAL_EQUITY_SEQUENTIAL_GROWTH","FQ1 2015","FQ1 2015","Currency=INR","Period=FQ","BEST_FPERIOD_OVERRIDE=FQ","FILING_STATUS=OR","EQY_CONSOLIDATED=Y","Sort=A","Dates=H","DateFormat=P","Fill=—","Direction=H","UseDPDF=Y")</f>
        <v>#NAME?</v>
      </c>
      <c r="BV309" s="2" t="e">
        <f ca="1">_xll.BDH($C$303,"TOTAL_CAPITAL_SEQUENTIAL_GROWTH","FQ1 2015","FQ1 2015","Currency=INR","Period=FQ","BEST_FPERIOD_OVERRIDE=FQ","FILING_STATUS=OR","EQY_CONSOLIDATED=Y","Sort=A","Dates=H","DateFormat=P","Fill=—","Direction=H","UseDPDF=Y")</f>
        <v>#NAME?</v>
      </c>
      <c r="BW309" s="2" t="e">
        <f ca="1">_xll.BDH($C$303,"BPS_SEQUENTIAL_GROWTH","FQ1 2015","FQ1 2015","Currency=INR","Period=FQ","BEST_FPERIOD_OVERRIDE=FQ","FILING_STATUS=OR","EQY_CONSOLIDATED=Y","Sort=A","Dates=H","DateFormat=P","Fill=—","Direction=H","UseDPDF=Y")</f>
        <v>#NAME?</v>
      </c>
      <c r="BX309" s="2" t="e">
        <f ca="1">_xll.BDH($C$303,"CFO_SEQUENTIAL_GROWTH","FQ1 2015","FQ1 2015","Currency=INR","Period=FQ","BEST_FPERIOD_OVERRIDE=FQ","FILING_STATUS=OR","EQY_CONSOLIDATED=Y","Sort=A","Dates=H","DateFormat=P","Fill=—","Direction=H","UseDPDF=Y")</f>
        <v>#NAME?</v>
      </c>
      <c r="BY309" s="3" t="e">
        <f ca="1">_xll.BDH($C$303,"SHORT_AND_LONG_TERM_DEBT","FQ1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09" s="3" t="e">
        <f ca="1">_xll.BDH($C$303,"BS_ST_BORROW","FQ1 2015","FQ1 2015","Currency=INR","Period=FQ","BEST_FPERIOD_OVERRIDE=FQ","FILING_STATUS=OR","EQY_CONSOLIDATED=Y","SCALING_FORMAT=MLN","Sort=A","Dates=H","DateFormat=P","Fill=—","Direction=H","UseDPDF=Y")</f>
        <v>#NAME?</v>
      </c>
      <c r="CA309" s="3" t="e">
        <f ca="1">_xll.BDH($C$303,"BS_LT_BORROW","FQ1 2015","FQ1 2015","Currency=INR","Period=FQ","BEST_FPERIOD_OVERRIDE=FQ","FILING_STATUS=OR","EQY_CONSOLIDATED=Y","SCALING_FORMAT=MLN","Sort=A","Dates=H","DateFormat=P","Fill=—","Direction=H","UseDPDF=Y")</f>
        <v>#NAME?</v>
      </c>
      <c r="CB309" s="2" t="e">
        <f ca="1">_xll.BDH($C$303,"TOT_DEBT_TO_EBITDA","FQ1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09" s="2" t="e">
        <f ca="1">_xll.BDH($C$303,"NET_DEBT_TO_EBITDA","FQ1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09" s="2" t="e">
        <f ca="1">_xll.BDH($C$303,"TOTAL_DEBT_TO_EBIT","FQ1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09" s="2" t="e">
        <f ca="1">_xll.BDH($C$303,"NET_DEBT_TO_EBIT","FQ1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09" s="2" t="e">
        <f ca="1">_xll.BDH($C$303,"EBITDA_TO_INTEREST_EXPN","FQ1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09" s="2" t="e">
        <f ca="1">_xll.BDH($C$303,"COM_EQY_TO_TOT_ASSET","FQ1 2015","FQ1 2015","Currency=INR","Period=FQ","BEST_FPERIOD_OVERRIDE=FQ","FILING_STATUS=OR","EQY_CONSOLIDATED=Y","Sort=A","Dates=H","DateFormat=P","Fill=—","Direction=H","UseDPDF=Y")</f>
        <v>#NAME?</v>
      </c>
      <c r="CH309" s="2" t="e">
        <f ca="1">_xll.BDH($C$303,"LT_DEBT_TO_TOT_EQY","FQ1 2015","FQ1 2015","Currency=INR","Period=FQ","BEST_FPERIOD_OVERRIDE=FQ","FILING_STATUS=OR","EQY_CONSOLIDATED=Y","Sort=A","Dates=H","DateFormat=P","Fill=—","Direction=H","UseDPDF=Y")</f>
        <v>#NAME?</v>
      </c>
      <c r="CI309" s="2" t="e">
        <f ca="1">_xll.BDH($C$303,"LT_DEBT_TO_TOT_CAP","FQ1 2015","FQ1 2015","Currency=INR","Period=FQ","BEST_FPERIOD_OVERRIDE=FQ","FILING_STATUS=OR","EQY_CONSOLIDATED=Y","Sort=A","Dates=H","DateFormat=P","Fill=—","Direction=H","UseDPDF=Y")</f>
        <v>#NAME?</v>
      </c>
      <c r="CJ309" s="2" t="e">
        <f ca="1">_xll.BDH($C$303,"LT_DEBT_TO_TOT_ASSET","FQ1 2015","FQ1 2015","Currency=INR","Period=FQ","BEST_FPERIOD_OVERRIDE=FQ","FILING_STATUS=OR","EQY_CONSOLIDATED=Y","Sort=A","Dates=H","DateFormat=P","Fill=—","Direction=H","UseDPDF=Y")</f>
        <v>#NAME?</v>
      </c>
      <c r="CK309" s="2" t="e">
        <f ca="1">_xll.BDH($C$303,"TOT_DEBT_TO_TOT_EQY","FQ1 2015","FQ1 2015","Currency=INR","Period=FQ","BEST_FPERIOD_OVERRIDE=FQ","FILING_STATUS=OR","EQY_CONSOLIDATED=Y","Sort=A","Dates=H","DateFormat=P","Fill=—","Direction=H","UseDPDF=Y")</f>
        <v>#NAME?</v>
      </c>
      <c r="CL309" s="2" t="e">
        <f ca="1">_xll.BDH($C$303,"TOT_DEBT_TO_TOT_CAP","FQ1 2015","FQ1 2015","Currency=INR","Period=FQ","BEST_FPERIOD_OVERRIDE=FQ","FILING_STATUS=OR","EQY_CONSOLIDATED=Y","Sort=A","Dates=H","DateFormat=P","Fill=—","Direction=H","UseDPDF=Y")</f>
        <v>#NAME?</v>
      </c>
      <c r="CM309" s="2" t="e">
        <f ca="1">_xll.BDH($C$303,"TOT_DEBT_TO_TOT_ASSET","FQ1 2015","FQ1 2015","Currency=INR","Period=FQ","BEST_FPERIOD_OVERRIDE=FQ","FILING_STATUS=OR","EQY_CONSOLIDATED=Y","Sort=A","Dates=H","DateFormat=P","Fill=—","Direction=H","UseDPDF=Y")</f>
        <v>#NAME?</v>
      </c>
      <c r="CN309" s="2" t="e">
        <f ca="1">_xll.BDH($C$303,"NET_DEBT_TO_SHRHLDR_EQTY","FQ1 2015","FQ1 2015","Currency=INR","Period=FQ","BEST_FPERIOD_OVERRIDE=FQ","FILING_STATUS=OR","EQY_CONSOLIDATED=Y","Sort=A","Dates=H","DateFormat=P","Fill=—","Direction=H","UseDPDF=Y")</f>
        <v>#NAME?</v>
      </c>
      <c r="CO309" s="2" t="e">
        <f ca="1">_xll.BDH($C$303,"NET_DEBT_%_CAPITAL","FQ1 2015","FQ1 2015","Currency=INR","Period=FQ","BEST_FPERIOD_OVERRIDE=FQ","FILING_STATUS=OR","EQY_CONSOLIDATED=Y","Sort=A","Dates=H","DateFormat=P","Fill=—","Direction=H","UseDPDF=Y")</f>
        <v>#NAME?</v>
      </c>
      <c r="CP309" s="3" t="e">
        <f ca="1">_xll.BDH($C$303,"EBITDA","FQ1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09" s="3" t="e">
        <f ca="1">_xll.BDH($C$303,"EBITDA_AFTER_CAPEX","FQ1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09" s="3" t="e">
        <f ca="1">_xll.BDH($C$303,"IS_OPER_INC","FQ1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09" s="2" t="e">
        <f ca="1">_xll.BDH($C$303,"CASH_RATIO","FQ1 2015","FQ1 2015","Currency=INR","Period=FQ","BEST_FPERIOD_OVERRIDE=FQ","FILING_STATUS=OR","EQY_CONSOLIDATED=Y","Sort=A","Dates=H","DateFormat=P","Fill=—","Direction=H","UseDPDF=Y")</f>
        <v>#NAME?</v>
      </c>
      <c r="CT309" s="2" t="e">
        <f ca="1">_xll.BDH($C$303,"CUR_RATIO","FQ1 2015","FQ1 2015","Currency=INR","Period=FQ","BEST_FPERIOD_OVERRIDE=FQ","FILING_STATUS=OR","EQY_CONSOLIDATED=Y","Sort=A","Dates=H","DateFormat=P","Fill=—","Direction=H","UseDPDF=Y")</f>
        <v>#NAME?</v>
      </c>
      <c r="CU309" s="2" t="e">
        <f ca="1">_xll.BDH($C$303,"QUICK_RATIO","FQ1 2015","FQ1 2015","Currency=INR","Period=FQ","BEST_FPERIOD_OVERRIDE=FQ","FILING_STATUS=OR","EQY_CONSOLIDATED=Y","Sort=A","Dates=H","DateFormat=P","Fill=—","Direction=H","UseDPDF=Y")</f>
        <v>#NAME?</v>
      </c>
      <c r="CV309" s="2" t="e">
        <f ca="1">_xll.BDH($C$303,"ALTMAN_Z_SCORE","FQ1 2015","FQ1 2015","Currency=INR","Period=FQ","BEST_FPERIOD_OVERRIDE=FQ","FILING_STATUS=OR","EQY_CONSOLIDATED=Y","Sort=A","Dates=H","DateFormat=P","Fill=—","Direction=H","UseDPDF=Y")</f>
        <v>#NAME?</v>
      </c>
      <c r="CW309" s="4" t="e">
        <f ca="1">_xll.BDH($C$303,"ACCT_RCV_TURN","FQ1 2015","FQ1 2015","Currency=INR","Period=FQ","BEST_FPERIOD_OVERRIDE=FQ","FILING_STATUS=OR","EQY_CONSOLIDATED=Y","FA_ADJUSTED=GAAP","Sort=A","Dates=H","DateFormat=P","Fill=—","Direction=H","UseDPDF=Y")</f>
        <v>#NAME?</v>
      </c>
      <c r="CX309" s="2" t="e">
        <f ca="1">_xll.BDH($C$303,"ACCT_RCV_DAYS","FQ1 2015","FQ1 2015","Currency=INR","Period=FQ","BEST_FPERIOD_OVERRIDE=FQ","FILING_STATUS=OR","EQY_CONSOLIDATED=Y","FA_ADJUSTED=GAAP","Sort=A","Dates=H","DateFormat=P","Fill=—","Direction=H","UseDPDF=Y")</f>
        <v>#NAME?</v>
      </c>
      <c r="CY309" s="4" t="e">
        <f ca="1">_xll.BDH($C$303,"INVENT_TURN","FQ1 2015","FQ1 2015","Currency=INR","Period=FQ","BEST_FPERIOD_OVERRIDE=FQ","FILING_STATUS=OR","EQY_CONSOLIDATED=Y","FA_ADJUSTED=GAAP","Sort=A","Dates=H","DateFormat=P","Fill=—","Direction=H","UseDPDF=Y")</f>
        <v>#NAME?</v>
      </c>
      <c r="CZ309" s="2" t="e">
        <f ca="1">_xll.BDH($C$303,"INVENT_DAYS","FQ1 2015","FQ1 2015","Currency=INR","Period=FQ","BEST_FPERIOD_OVERRIDE=FQ","FILING_STATUS=OR","EQY_CONSOLIDATED=Y","FA_ADJUSTED=GAAP","Sort=A","Dates=H","DateFormat=P","Fill=—","Direction=H","UseDPDF=Y")</f>
        <v>#NAME?</v>
      </c>
      <c r="DA309" s="4" t="e">
        <f ca="1">_xll.BDH($C$303,"ACCOUNTS_PAYABLE_TURNOVER","FQ1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09" s="2" t="e">
        <f ca="1">_xll.BDH($C$303,"ACCOUNTS_PAYABLE_TURNOVER_DAYS","FQ1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09" s="4" t="e">
        <f ca="1">_xll.BDH($C$303,"CASH_CONVERSION_CYCLE","FQ1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09" s="4" t="e">
        <f ca="1">_xll.BDH($C$303,"INV_TO_CASH_DAYS","FQ1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09" s="5" t="e">
        <f ca="1">_xll.BDH($C$303,"BS_INVENTORIES","FQ1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09" s="3" t="e">
        <f ca="1">_xll.BDH($C$303,"INVTRY_RAW_MATERIALS","FQ1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09" s="3" t="e">
        <f ca="1">_xll.BDH($C$303,"INVTRY_IN_PROGRESS","FQ1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09" s="3" t="e">
        <f ca="1">_xll.BDH($C$303,"INVTRY_FINISHED_GOODS","FQ1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09" s="3" t="e">
        <f ca="1">_xll.BDH($C$303,"BS_OTHER_INV","FQ1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10" spans="1:113" x14ac:dyDescent="0.3">
      <c r="A310" s="6"/>
      <c r="B310" s="6"/>
      <c r="C310" s="6"/>
      <c r="D310" s="6"/>
      <c r="E310" t="s">
        <v>79</v>
      </c>
      <c r="F310" t="e">
        <f ca="1">_xll.BDH($C$303,"RETURN_COM_EQY","FQ2 2015","FQ2 2015","Currency=INR","Period=FQ","BEST_FPERIOD_OVERRIDE=FQ","FILING_STATUS=OR","EQY_CONSOLIDATED=Y","FA_ADJUSTED=GAAP","Sort=A","Dates=H","DateFormat=P","Fill=—","Direction=H","UseDPDF=Y")</f>
        <v>#NAME?</v>
      </c>
      <c r="G310" t="e">
        <f ca="1">_xll.BDH($C$303,"RETURN_ON_ASSET","FQ2 2015","FQ2 2015","Currency=INR","Period=FQ","BEST_FPERIOD_OVERRIDE=FQ","FILING_STATUS=OR","EQY_CONSOLIDATED=Y","FA_ADJUSTED=GAAP","Sort=A","Dates=H","DateFormat=P","Fill=—","Direction=H","UseDPDF=Y")</f>
        <v>#NAME?</v>
      </c>
      <c r="H310" t="e">
        <f ca="1">_xll.BDH($C$303,"RETURN_ON_CAP","FQ2 2015","FQ2 2015","Currency=INR","Period=FQ","BEST_FPERIOD_OVERRIDE=FQ","FILING_STATUS=OR","EQY_CONSOLIDATED=Y","FA_ADJUSTED=GAAP","Sort=A","Dates=H","DateFormat=P","Fill=—","Direction=H","UseDPDF=Y")</f>
        <v>#NAME?</v>
      </c>
      <c r="I310" t="e">
        <f ca="1">_xll.BDH($C$303,"RETURN_ON_INV_CAPITAL","FQ2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10" t="e">
        <f ca="1">_xll.BDH($C$303,"EBITDA_TO_REVENUE","FQ2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10" t="e">
        <f ca="1">_xll.BDH($C$303,"OPER_MARGIN","FQ2 2015","FQ2 2015","Currency=INR","Period=FQ","BEST_FPERIOD_OVERRIDE=FQ","FILING_STATUS=OR","EQY_CONSOLIDATED=Y","FA_ADJUSTED=GAAP","Sort=A","Dates=H","DateFormat=P","Fill=—","Direction=H","UseDPDF=Y")</f>
        <v>#NAME?</v>
      </c>
      <c r="L310" t="e">
        <f ca="1">_xll.BDH($C$303,"INCREMENTAL_OPERATING_MARGIN","FQ2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10" t="e">
        <f ca="1">_xll.BDH($C$303,"PRETAX_INC_TO_NET_SALES","FQ2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10" t="e">
        <f ca="1">_xll.BDH($C$303,"INC_BEF_XO_ITEMS_TO_NET_SALES","FQ2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10" t="e">
        <f ca="1">_xll.BDH($C$303,"PROF_MARGIN","FQ2 2015","FQ2 2015","Currency=INR","Period=FQ","BEST_FPERIOD_OVERRIDE=FQ","FILING_STATUS=OR","EQY_CONSOLIDATED=Y","FA_ADJUSTED=GAAP","Sort=A","Dates=H","DateFormat=P","Fill=—","Direction=H","UseDPDF=Y")</f>
        <v>#NAME?</v>
      </c>
      <c r="P310" t="e">
        <f ca="1">_xll.BDH($C$303,"NET_INCOME_TO_COMMON_MARGIN","FQ2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10" t="e">
        <f ca="1">_xll.BDH($C$303,"EFF_TAX_RATE","FQ2 2015","FQ2 2015","Currency=INR","Period=FQ","BEST_FPERIOD_OVERRIDE=FQ","FILING_STATUS=OR","EQY_CONSOLIDATED=Y","FA_ADJUSTED=GAAP","Sort=A","Dates=H","DateFormat=P","Fill=—","Direction=H","UseDPDF=Y")</f>
        <v>#NAME?</v>
      </c>
      <c r="R310" t="e">
        <f ca="1">_xll.BDH($C$303,"DVD_PAYOUT_RATIO","FQ2 2015","FQ2 2015","Currency=INR","Period=FQ","BEST_FPERIOD_OVERRIDE=FQ","FILING_STATUS=OR","EQY_CONSOLIDATED=Y","FA_ADJUSTED=GAAP","Sort=A","Dates=H","DateFormat=P","Fill=—","Direction=H","UseDPDF=Y")</f>
        <v>#NAME?</v>
      </c>
      <c r="S310" t="e">
        <f ca="1">_xll.BDH($C$303,"SUSTAIN_GROWTH_RT","FQ2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10" s="2" t="e">
        <f ca="1">_xll.BDH($C$303,"SALES_GROWTH","FQ2 2015","FQ2 2015","Currency=INR","Period=FQ","BEST_FPERIOD_OVERRIDE=FQ","FILING_STATUS=OR","EQY_CONSOLIDATED=Y","FA_ADJUSTED=GAAP","Sort=A","Dates=H","DateFormat=P","Fill=—","Direction=H","UseDPDF=Y")</f>
        <v>#NAME?</v>
      </c>
      <c r="U310" s="2" t="e">
        <f ca="1">_xll.BDH($C$303,"EBITDA_GROWTH","FQ2 2015","FQ2 2015","Currency=INR","Period=FQ","BEST_FPERIOD_OVERRIDE=FQ","FILING_STATUS=OR","EQY_CONSOLIDATED=Y","FA_ADJUSTED=GAAP","Sort=A","Dates=H","DateFormat=P","Fill=—","Direction=H","UseDPDF=Y")</f>
        <v>#NAME?</v>
      </c>
      <c r="V310" s="2" t="e">
        <f ca="1">_xll.BDH($C$303,"OPER_INC_GROWTH","FQ2 2015","FQ2 2015","Currency=INR","Period=FQ","BEST_FPERIOD_OVERRIDE=FQ","FILING_STATUS=OR","EQY_CONSOLIDATED=Y","FA_ADJUSTED=GAAP","Sort=A","Dates=H","DateFormat=P","Fill=—","Direction=H","UseDPDF=Y")</f>
        <v>#NAME?</v>
      </c>
      <c r="W310" s="2" t="e">
        <f ca="1">_xll.BDH($C$303,"EARN_FOR_COM_GROWTH","FQ2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10" s="2" t="e">
        <f ca="1">_xll.BDH($C$303,"DILUTED_EPS_AFT_XO_ITEMS_GROWTH","FQ2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10" s="2" t="e">
        <f ca="1">_xll.BDH($C$303,"DIVIDEND_PER_SHARE_1_YEAR_GROWTH","FQ2 2015","FQ2 2015","Currency=INR","Period=FQ","BEST_FPERIOD_OVERRIDE=FQ","FILING_STATUS=OR","EQY_CONSOLIDATED=Y","Sort=A","Dates=H","DateFormat=P","Fill=—","Direction=H","UseDPDF=Y")</f>
        <v>#NAME?</v>
      </c>
      <c r="Z310" s="2" t="e">
        <f ca="1">_xll.BDH($C$303,"ACCOUNTS_RECEIVABLE_GROWTH","FQ2 2015","FQ2 2015","Currency=INR","Period=FQ","BEST_FPERIOD_OVERRIDE=FQ","FILING_STATUS=OR","EQY_CONSOLIDATED=Y","Sort=A","Dates=H","DateFormat=P","Fill=—","Direction=H","UseDPDF=Y")</f>
        <v>#NAME?</v>
      </c>
      <c r="AA310" s="2" t="e">
        <f ca="1">_xll.BDH($C$303,"INVENTORY_GROWTH","FQ2 2015","FQ2 2015","Currency=INR","Period=FQ","BEST_FPERIOD_OVERRIDE=FQ","FILING_STATUS=OR","EQY_CONSOLIDATED=Y","Sort=A","Dates=H","DateFormat=P","Fill=—","Direction=H","UseDPDF=Y")</f>
        <v>#NAME?</v>
      </c>
      <c r="AB310" s="2" t="e">
        <f ca="1">_xll.BDH($C$303,"NET_FIXED_ASSETS_1_YEAR_GROWTH","FQ2 2015","FQ2 2015","Currency=INR","Period=FQ","BEST_FPERIOD_OVERRIDE=FQ","FILING_STATUS=OR","EQY_CONSOLIDATED=Y","Sort=A","Dates=H","DateFormat=P","Fill=—","Direction=H","UseDPDF=Y")</f>
        <v>#NAME?</v>
      </c>
      <c r="AC310" s="2" t="e">
        <f ca="1">_xll.BDH($C$303,"ASSET_GROWTH","FQ2 2015","FQ2 2015","Currency=INR","Period=FQ","BEST_FPERIOD_OVERRIDE=FQ","FILING_STATUS=OR","EQY_CONSOLIDATED=Y","Sort=A","Dates=H","DateFormat=P","Fill=—","Direction=H","UseDPDF=Y")</f>
        <v>#NAME?</v>
      </c>
      <c r="AD310" s="2" t="e">
        <f ca="1">_xll.BDH($C$303,"MODIFIED_WORK_CAP_GROWTH","FQ2 2015","FQ2 2015","Currency=INR","Period=FQ","BEST_FPERIOD_OVERRIDE=FQ","FILING_STATUS=OR","EQY_CONSOLIDATED=Y","Sort=A","Dates=H","DateFormat=P","Fill=—","Direction=H","UseDPDF=Y")</f>
        <v>#NAME?</v>
      </c>
      <c r="AE310" s="2" t="e">
        <f ca="1">_xll.BDH($C$303,"WORK_CAP_GROWTH","FQ2 2015","FQ2 2015","Currency=INR","Period=FQ","BEST_FPERIOD_OVERRIDE=FQ","FILING_STATUS=OR","EQY_CONSOLIDATED=Y","Sort=A","Dates=H","DateFormat=P","Fill=—","Direction=H","UseDPDF=Y")</f>
        <v>#NAME?</v>
      </c>
      <c r="AF310" s="2" t="e">
        <f ca="1">_xll.BDH($C$303,"ACCOUNTS_PAYABLE_GROWTH_1YR","FQ2 2015","FQ2 2015","Currency=INR","Period=FQ","BEST_FPERIOD_OVERRIDE=FQ","FILING_STATUS=OR","EQY_CONSOLIDATED=Y","Sort=A","Dates=H","DateFormat=P","Fill=—","Direction=H","UseDPDF=Y")</f>
        <v>#NAME?</v>
      </c>
      <c r="AG310" s="2" t="e">
        <f ca="1">_xll.BDH($C$303,"SHORT_TERM_DEBT_1_YEAR_GROWTH","FQ2 2015","FQ2 2015","Currency=INR","Period=FQ","BEST_FPERIOD_OVERRIDE=FQ","FILING_STATUS=OR","EQY_CONSOLIDATED=Y","Sort=A","Dates=H","DateFormat=P","Fill=—","Direction=H","UseDPDF=Y")</f>
        <v>#NAME?</v>
      </c>
      <c r="AH310" s="2" t="e">
        <f ca="1">_xll.BDH($C$303,"TOTAL_DEBT_1_YEAR_GROWTH","FQ2 2015","FQ2 2015","Currency=INR","Period=FQ","BEST_FPERIOD_OVERRIDE=FQ","FILING_STATUS=OR","EQY_CONSOLIDATED=Y","Sort=A","Dates=H","DateFormat=P","Fill=—","Direction=H","UseDPDF=Y")</f>
        <v>#NAME?</v>
      </c>
      <c r="AI310" s="2" t="e">
        <f ca="1">_xll.BDH($C$303,"TOTAL_EQUITY_1_YEAR_GROWTH","FQ2 2015","FQ2 2015","Currency=INR","Period=FQ","BEST_FPERIOD_OVERRIDE=FQ","FILING_STATUS=OR","EQY_CONSOLIDATED=Y","Sort=A","Dates=H","DateFormat=P","Fill=—","Direction=H","UseDPDF=Y")</f>
        <v>#NAME?</v>
      </c>
      <c r="AJ310" s="2" t="e">
        <f ca="1">_xll.BDH($C$303,"GROWTH_IN_CAP","FQ2 2015","FQ2 2015","Currency=INR","Period=FQ","BEST_FPERIOD_OVERRIDE=FQ","FILING_STATUS=OR","EQY_CONSOLIDATED=Y","Sort=A","Dates=H","DateFormat=P","Fill=—","Direction=H","UseDPDF=Y")</f>
        <v>#NAME?</v>
      </c>
      <c r="AK310" s="2" t="e">
        <f ca="1">_xll.BDH($C$303,"BVPS_GROWTH","FQ2 2015","FQ2 2015","Currency=INR","Period=FQ","BEST_FPERIOD_OVERRIDE=FQ","FILING_STATUS=OR","EQY_CONSOLIDATED=Y","Sort=A","Dates=H","DateFormat=P","Fill=—","Direction=H","UseDPDF=Y")</f>
        <v>#NAME?</v>
      </c>
      <c r="AL310" s="2" t="e">
        <f ca="1">_xll.BDH($C$303,"CASH_FLOW_GROWTH","FQ2 2015","FQ2 2015","Currency=INR","Period=FQ","BEST_FPERIOD_OVERRIDE=FQ","FILING_STATUS=OR","EQY_CONSOLIDATED=Y","Sort=A","Dates=H","DateFormat=P","Fill=—","Direction=H","UseDPDF=Y")</f>
        <v>#NAME?</v>
      </c>
      <c r="AM310" s="2" t="e">
        <f ca="1">_xll.BDH($C$303,"GEO_GROW_NET_SALES","FQ2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10" s="2" t="e">
        <f ca="1">_xll.BDH($C$303,"GEO_GROW_EBITDA","FQ2 2015","FQ2 2015","Currency=INR","Period=FQ","BEST_FPERIOD_OVERRIDE=FQ","FILING_STATUS=OR","EQY_CONSOLIDATED=Y","FA_ADJUSTED=GAAP","Sort=A","Dates=H","DateFormat=P","Fill=—","Direction=H","UseDPDF=Y")</f>
        <v>#NAME?</v>
      </c>
      <c r="AO310" s="2" t="e">
        <f ca="1">_xll.BDH($C$303,"GEO_GROW_OPER_INC","FQ2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10" s="2" t="e">
        <f ca="1">_xll.BDH($C$303,"NET_INCOME_TO_COMMON_5_YR_GROWTH","FQ2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10" s="2" t="e">
        <f ca="1">_xll.BDH($C$303,"5Y_GEO_GROWTH_DILUTED_EPS","FQ2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10" s="2" t="e">
        <f ca="1">_xll.BDH($C$303,"GEO_GROW_DVD_PER_SH","FQ2 2015","FQ2 2015","Currency=INR","Period=FQ","BEST_FPERIOD_OVERRIDE=FQ","FILING_STATUS=OR","EQY_CONSOLIDATED=Y","Sort=A","Dates=H","DateFormat=P","Fill=—","Direction=H","UseDPDF=Y")</f>
        <v>#NAME?</v>
      </c>
      <c r="AS310" s="2" t="e">
        <f ca="1">_xll.BDH($C$303,"ACCOUNTS_RECEIVABLE_5_YR_GROWTH","FQ2 2015","FQ2 2015","Currency=INR","Period=FQ","BEST_FPERIOD_OVERRIDE=FQ","FILING_STATUS=OR","EQY_CONSOLIDATED=Y","Sort=A","Dates=H","DateFormat=P","Fill=—","Direction=H","UseDPDF=Y")</f>
        <v>#NAME?</v>
      </c>
      <c r="AT310" s="2" t="e">
        <f ca="1">_xll.BDH($C$303,"INVENTORY_5_YEAR_GROWTH","FQ2 2015","FQ2 2015","Currency=INR","Period=FQ","BEST_FPERIOD_OVERRIDE=FQ","FILING_STATUS=OR","EQY_CONSOLIDATED=Y","Sort=A","Dates=H","DateFormat=P","Fill=—","Direction=H","UseDPDF=Y")</f>
        <v>#NAME?</v>
      </c>
      <c r="AU310" s="2" t="e">
        <f ca="1">_xll.BDH($C$303,"NET_FIXED_ASSETS_5_YEAR_GROWTH","FQ2 2015","FQ2 2015","Currency=INR","Period=FQ","BEST_FPERIOD_OVERRIDE=FQ","FILING_STATUS=OR","EQY_CONSOLIDATED=Y","Sort=A","Dates=H","DateFormat=P","Fill=—","Direction=H","UseDPDF=Y")</f>
        <v>#NAME?</v>
      </c>
      <c r="AV310" s="2" t="e">
        <f ca="1">_xll.BDH($C$303,"GEO_GROW_TOT_ASSET","FQ2 2015","FQ2 2015","Currency=INR","Period=FQ","BEST_FPERIOD_OVERRIDE=FQ","FILING_STATUS=OR","EQY_CONSOLIDATED=Y","Sort=A","Dates=H","DateFormat=P","Fill=—","Direction=H","UseDPDF=Y")</f>
        <v>#NAME?</v>
      </c>
      <c r="AW310" s="2" t="e">
        <f ca="1">_xll.BDH($C$303,"MODIFIED_WORKING_CPTL_5YR_GRWTH","FQ2 2015","FQ2 2015","Currency=INR","Period=FQ","BEST_FPERIOD_OVERRIDE=FQ","FILING_STATUS=OR","EQY_CONSOLIDATED=Y","Sort=A","Dates=H","DateFormat=P","Fill=—","Direction=H","UseDPDF=Y")</f>
        <v>#NAME?</v>
      </c>
      <c r="AX310" s="2" t="e">
        <f ca="1">_xll.BDH($C$303,"WORKING_CAPITAL_5_YEAR_GROWTH","FQ2 2015","FQ2 2015","Currency=INR","Period=FQ","BEST_FPERIOD_OVERRIDE=FQ","FILING_STATUS=OR","EQY_CONSOLIDATED=Y","Sort=A","Dates=H","DateFormat=P","Fill=—","Direction=H","UseDPDF=Y")</f>
        <v>#NAME?</v>
      </c>
      <c r="AY310" s="2" t="e">
        <f ca="1">_xll.BDH($C$303,"ACCOUNTS_PAYABLE_5_YEAR_GROWTH","FQ2 2015","FQ2 2015","Currency=INR","Period=FQ","BEST_FPERIOD_OVERRIDE=FQ","FILING_STATUS=OR","EQY_CONSOLIDATED=Y","Sort=A","Dates=H","DateFormat=P","Fill=—","Direction=H","UseDPDF=Y")</f>
        <v>#NAME?</v>
      </c>
      <c r="AZ310" s="2" t="e">
        <f ca="1">_xll.BDH($C$303,"SHORT_TERM_DEBT_5_YEAR_GROWTH","FQ2 2015","FQ2 2015","Currency=INR","Period=FQ","BEST_FPERIOD_OVERRIDE=FQ","FILING_STATUS=OR","EQY_CONSOLIDATED=Y","Sort=A","Dates=H","DateFormat=P","Fill=—","Direction=H","UseDPDF=Y")</f>
        <v>#NAME?</v>
      </c>
      <c r="BA310" s="2" t="e">
        <f ca="1">_xll.BDH($C$303,"TOTAL_DEBT_5_YEAR_GROWTH","FQ2 2015","FQ2 2015","Currency=INR","Period=FQ","BEST_FPERIOD_OVERRIDE=FQ","FILING_STATUS=OR","EQY_CONSOLIDATED=Y","Sort=A","Dates=H","DateFormat=P","Fill=—","Direction=H","UseDPDF=Y")</f>
        <v>#NAME?</v>
      </c>
      <c r="BB310" s="2" t="e">
        <f ca="1">_xll.BDH($C$303,"GEO_GROW_TOT_SHRHLDR_EQY","FQ2 2015","FQ2 2015","Currency=INR","Period=FQ","BEST_FPERIOD_OVERRIDE=FQ","FILING_STATUS=OR","EQY_CONSOLIDATED=Y","Sort=A","Dates=H","DateFormat=P","Fill=—","Direction=H","UseDPDF=Y")</f>
        <v>#NAME?</v>
      </c>
      <c r="BC310" s="2" t="e">
        <f ca="1">_xll.BDH($C$303,"TOTAL_CAPITAL_5_YEAR_GROWTH","FQ2 2015","FQ2 2015","Currency=INR","Period=FQ","BEST_FPERIOD_OVERRIDE=FQ","FILING_STATUS=OR","EQY_CONSOLIDATED=Y","Sort=A","Dates=H","DateFormat=P","Fill=—","Direction=H","UseDPDF=Y")</f>
        <v>#NAME?</v>
      </c>
      <c r="BD310" s="2" t="e">
        <f ca="1">_xll.BDH($C$303,"GEO_GROW_BOOK_VAL","FQ2 2015","FQ2 2015","Currency=INR","Period=FQ","BEST_FPERIOD_OVERRIDE=FQ","FILING_STATUS=OR","EQY_CONSOLIDATED=Y","Sort=A","Dates=H","DateFormat=P","Fill=—","Direction=H","UseDPDF=Y")</f>
        <v>#NAME?</v>
      </c>
      <c r="BE310" s="2" t="e">
        <f ca="1">_xll.BDH($C$303,"GEO_GROW_CASH_OPER_ACT","FQ2 2015","FQ2 2015","Currency=INR","Period=FQ","BEST_FPERIOD_OVERRIDE=FQ","FILING_STATUS=OR","EQY_CONSOLIDATED=Y","Sort=A","Dates=H","DateFormat=P","Fill=—","Direction=H","UseDPDF=Y")</f>
        <v>#NAME?</v>
      </c>
      <c r="BF310" s="2" t="e">
        <f ca="1">_xll.BDH($C$303,"REVENUE_SEQUENTIAL_GROWTH","FQ2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10" s="2" t="e">
        <f ca="1">_xll.BDH($C$303,"EBITDA_SEQUENTIAL_GROWTH","FQ2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10" s="2" t="e">
        <f ca="1">_xll.BDH($C$303,"OPERATING_INCOME_SEQ_GROWTH","FQ2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10" s="2" t="e">
        <f ca="1">_xll.BDH($C$303,"NET_INCOME_TO_COMMON_SEQ_GROWTH","FQ2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10" s="2" t="e">
        <f ca="1">_xll.BDH($C$303,"EPS_DILUTED_SEQUENTIAL_GROWTH","FQ2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10" s="2" t="e">
        <f ca="1">_xll.BDH($C$303,"DPS_SEQUENTIAL_GROWTH","FQ2 2015","FQ2 2015","Currency=INR","Period=FQ","BEST_FPERIOD_OVERRIDE=FQ","FILING_STATUS=OR","EQY_CONSOLIDATED=Y","Sort=A","Dates=H","DateFormat=P","Fill=—","Direction=H","UseDPDF=Y")</f>
        <v>#NAME?</v>
      </c>
      <c r="BL310" s="2" t="e">
        <f ca="1">_xll.BDH($C$303,"ACCOUNTS_RECEIVABLE_SEQ_GROWTH","FQ2 2015","FQ2 2015","Currency=INR","Period=FQ","BEST_FPERIOD_OVERRIDE=FQ","FILING_STATUS=OR","EQY_CONSOLIDATED=Y","Sort=A","Dates=H","DateFormat=P","Fill=—","Direction=H","UseDPDF=Y")</f>
        <v>#NAME?</v>
      </c>
      <c r="BM310" s="2" t="e">
        <f ca="1">_xll.BDH($C$303,"INVENTORY_SEQUENTIAL_GROWTH","FQ2 2015","FQ2 2015","Currency=INR","Period=FQ","BEST_FPERIOD_OVERRIDE=FQ","FILING_STATUS=OR","EQY_CONSOLIDATED=Y","Sort=A","Dates=H","DateFormat=P","Fill=—","Direction=H","UseDPDF=Y")</f>
        <v>#NAME?</v>
      </c>
      <c r="BN310" s="2" t="e">
        <f ca="1">_xll.BDH($C$303,"FIXED_ASSETS_SEQUENTIAL_GROWTH","FQ2 2015","FQ2 2015","Currency=INR","Period=FQ","BEST_FPERIOD_OVERRIDE=FQ","FILING_STATUS=OR","EQY_CONSOLIDATED=Y","Sort=A","Dates=H","DateFormat=P","Fill=—","Direction=H","UseDPDF=Y")</f>
        <v>#NAME?</v>
      </c>
      <c r="BO310" s="2" t="e">
        <f ca="1">_xll.BDH($C$303,"TOTAL_ASSETS_SEQUENTIAL_GROWTH","FQ2 2015","FQ2 2015","Currency=INR","Period=FQ","BEST_FPERIOD_OVERRIDE=FQ","FILING_STATUS=OR","EQY_CONSOLIDATED=Y","Sort=A","Dates=H","DateFormat=P","Fill=—","Direction=H","UseDPDF=Y")</f>
        <v>#NAME?</v>
      </c>
      <c r="BP310" s="2" t="e">
        <f ca="1">_xll.BDH($C$303,"MODIFIED_WORKING_CPTL_SEQ_GRWTH","FQ2 2015","FQ2 2015","Currency=INR","Period=FQ","BEST_FPERIOD_OVERRIDE=FQ","FILING_STATUS=OR","EQY_CONSOLIDATED=Y","Sort=A","Dates=H","DateFormat=P","Fill=—","Direction=H","UseDPDF=Y")</f>
        <v>#NAME?</v>
      </c>
      <c r="BQ310" s="2" t="e">
        <f ca="1">_xll.BDH($C$303,"WORKING_CAPITAL_SEQ_GROWTH","FQ2 2015","FQ2 2015","Currency=INR","Period=FQ","BEST_FPERIOD_OVERRIDE=FQ","FILING_STATUS=OR","EQY_CONSOLIDATED=Y","Sort=A","Dates=H","DateFormat=P","Fill=—","Direction=H","UseDPDF=Y")</f>
        <v>#NAME?</v>
      </c>
      <c r="BR310" s="2" t="e">
        <f ca="1">_xll.BDH($C$303,"ACCOUNTS_PAYABLE_SEQ_GROWTH","FQ2 2015","FQ2 2015","Currency=INR","Period=FQ","BEST_FPERIOD_OVERRIDE=FQ","FILING_STATUS=OR","EQY_CONSOLIDATED=Y","Sort=A","Dates=H","DateFormat=P","Fill=—","Direction=H","UseDPDF=Y")</f>
        <v>#NAME?</v>
      </c>
      <c r="BS310" s="2" t="e">
        <f ca="1">_xll.BDH($C$303,"ST_DEBT_SEQUENTIAL_GROWTH","FQ2 2015","FQ2 2015","Currency=INR","Period=FQ","BEST_FPERIOD_OVERRIDE=FQ","FILING_STATUS=OR","EQY_CONSOLIDATED=Y","Sort=A","Dates=H","DateFormat=P","Fill=—","Direction=H","UseDPDF=Y")</f>
        <v>#NAME?</v>
      </c>
      <c r="BT310" s="2" t="e">
        <f ca="1">_xll.BDH($C$303,"TOTAL_DEBT_SEQUENTIAL_GROWTH","FQ2 2015","FQ2 2015","Currency=INR","Period=FQ","BEST_FPERIOD_OVERRIDE=FQ","FILING_STATUS=OR","EQY_CONSOLIDATED=Y","Sort=A","Dates=H","DateFormat=P","Fill=—","Direction=H","UseDPDF=Y")</f>
        <v>#NAME?</v>
      </c>
      <c r="BU310" s="2" t="e">
        <f ca="1">_xll.BDH($C$303,"TOTAL_EQUITY_SEQUENTIAL_GROWTH","FQ2 2015","FQ2 2015","Currency=INR","Period=FQ","BEST_FPERIOD_OVERRIDE=FQ","FILING_STATUS=OR","EQY_CONSOLIDATED=Y","Sort=A","Dates=H","DateFormat=P","Fill=—","Direction=H","UseDPDF=Y")</f>
        <v>#NAME?</v>
      </c>
      <c r="BV310" s="2" t="e">
        <f ca="1">_xll.BDH($C$303,"TOTAL_CAPITAL_SEQUENTIAL_GROWTH","FQ2 2015","FQ2 2015","Currency=INR","Period=FQ","BEST_FPERIOD_OVERRIDE=FQ","FILING_STATUS=OR","EQY_CONSOLIDATED=Y","Sort=A","Dates=H","DateFormat=P","Fill=—","Direction=H","UseDPDF=Y")</f>
        <v>#NAME?</v>
      </c>
      <c r="BW310" s="2" t="e">
        <f ca="1">_xll.BDH($C$303,"BPS_SEQUENTIAL_GROWTH","FQ2 2015","FQ2 2015","Currency=INR","Period=FQ","BEST_FPERIOD_OVERRIDE=FQ","FILING_STATUS=OR","EQY_CONSOLIDATED=Y","Sort=A","Dates=H","DateFormat=P","Fill=—","Direction=H","UseDPDF=Y")</f>
        <v>#NAME?</v>
      </c>
      <c r="BX310" s="2" t="e">
        <f ca="1">_xll.BDH($C$303,"CFO_SEQUENTIAL_GROWTH","FQ2 2015","FQ2 2015","Currency=INR","Period=FQ","BEST_FPERIOD_OVERRIDE=FQ","FILING_STATUS=OR","EQY_CONSOLIDATED=Y","Sort=A","Dates=H","DateFormat=P","Fill=—","Direction=H","UseDPDF=Y")</f>
        <v>#NAME?</v>
      </c>
      <c r="BY310" s="3" t="e">
        <f ca="1">_xll.BDH($C$303,"SHORT_AND_LONG_TERM_DEBT","FQ2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10" s="3" t="e">
        <f ca="1">_xll.BDH($C$303,"BS_ST_BORROW","FQ2 2015","FQ2 2015","Currency=INR","Period=FQ","BEST_FPERIOD_OVERRIDE=FQ","FILING_STATUS=OR","EQY_CONSOLIDATED=Y","SCALING_FORMAT=MLN","Sort=A","Dates=H","DateFormat=P","Fill=—","Direction=H","UseDPDF=Y")</f>
        <v>#NAME?</v>
      </c>
      <c r="CA310" s="3" t="e">
        <f ca="1">_xll.BDH($C$303,"BS_LT_BORROW","FQ2 2015","FQ2 2015","Currency=INR","Period=FQ","BEST_FPERIOD_OVERRIDE=FQ","FILING_STATUS=OR","EQY_CONSOLIDATED=Y","SCALING_FORMAT=MLN","Sort=A","Dates=H","DateFormat=P","Fill=—","Direction=H","UseDPDF=Y")</f>
        <v>#NAME?</v>
      </c>
      <c r="CB310" s="2" t="e">
        <f ca="1">_xll.BDH($C$303,"TOT_DEBT_TO_EBITDA","FQ2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10" s="2" t="e">
        <f ca="1">_xll.BDH($C$303,"NET_DEBT_TO_EBITDA","FQ2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10" s="2" t="e">
        <f ca="1">_xll.BDH($C$303,"TOTAL_DEBT_TO_EBIT","FQ2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10" s="2" t="e">
        <f ca="1">_xll.BDH($C$303,"NET_DEBT_TO_EBIT","FQ2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10" s="2" t="e">
        <f ca="1">_xll.BDH($C$303,"EBITDA_TO_INTEREST_EXPN","FQ2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10" s="2" t="e">
        <f ca="1">_xll.BDH($C$303,"COM_EQY_TO_TOT_ASSET","FQ2 2015","FQ2 2015","Currency=INR","Period=FQ","BEST_FPERIOD_OVERRIDE=FQ","FILING_STATUS=OR","EQY_CONSOLIDATED=Y","Sort=A","Dates=H","DateFormat=P","Fill=—","Direction=H","UseDPDF=Y")</f>
        <v>#NAME?</v>
      </c>
      <c r="CH310" s="2" t="e">
        <f ca="1">_xll.BDH($C$303,"LT_DEBT_TO_TOT_EQY","FQ2 2015","FQ2 2015","Currency=INR","Period=FQ","BEST_FPERIOD_OVERRIDE=FQ","FILING_STATUS=OR","EQY_CONSOLIDATED=Y","Sort=A","Dates=H","DateFormat=P","Fill=—","Direction=H","UseDPDF=Y")</f>
        <v>#NAME?</v>
      </c>
      <c r="CI310" s="2" t="e">
        <f ca="1">_xll.BDH($C$303,"LT_DEBT_TO_TOT_CAP","FQ2 2015","FQ2 2015","Currency=INR","Period=FQ","BEST_FPERIOD_OVERRIDE=FQ","FILING_STATUS=OR","EQY_CONSOLIDATED=Y","Sort=A","Dates=H","DateFormat=P","Fill=—","Direction=H","UseDPDF=Y")</f>
        <v>#NAME?</v>
      </c>
      <c r="CJ310" s="2" t="e">
        <f ca="1">_xll.BDH($C$303,"LT_DEBT_TO_TOT_ASSET","FQ2 2015","FQ2 2015","Currency=INR","Period=FQ","BEST_FPERIOD_OVERRIDE=FQ","FILING_STATUS=OR","EQY_CONSOLIDATED=Y","Sort=A","Dates=H","DateFormat=P","Fill=—","Direction=H","UseDPDF=Y")</f>
        <v>#NAME?</v>
      </c>
      <c r="CK310" s="2" t="e">
        <f ca="1">_xll.BDH($C$303,"TOT_DEBT_TO_TOT_EQY","FQ2 2015","FQ2 2015","Currency=INR","Period=FQ","BEST_FPERIOD_OVERRIDE=FQ","FILING_STATUS=OR","EQY_CONSOLIDATED=Y","Sort=A","Dates=H","DateFormat=P","Fill=—","Direction=H","UseDPDF=Y")</f>
        <v>#NAME?</v>
      </c>
      <c r="CL310" s="2" t="e">
        <f ca="1">_xll.BDH($C$303,"TOT_DEBT_TO_TOT_CAP","FQ2 2015","FQ2 2015","Currency=INR","Period=FQ","BEST_FPERIOD_OVERRIDE=FQ","FILING_STATUS=OR","EQY_CONSOLIDATED=Y","Sort=A","Dates=H","DateFormat=P","Fill=—","Direction=H","UseDPDF=Y")</f>
        <v>#NAME?</v>
      </c>
      <c r="CM310" s="2" t="e">
        <f ca="1">_xll.BDH($C$303,"TOT_DEBT_TO_TOT_ASSET","FQ2 2015","FQ2 2015","Currency=INR","Period=FQ","BEST_FPERIOD_OVERRIDE=FQ","FILING_STATUS=OR","EQY_CONSOLIDATED=Y","Sort=A","Dates=H","DateFormat=P","Fill=—","Direction=H","UseDPDF=Y")</f>
        <v>#NAME?</v>
      </c>
      <c r="CN310" s="2" t="e">
        <f ca="1">_xll.BDH($C$303,"NET_DEBT_TO_SHRHLDR_EQTY","FQ2 2015","FQ2 2015","Currency=INR","Period=FQ","BEST_FPERIOD_OVERRIDE=FQ","FILING_STATUS=OR","EQY_CONSOLIDATED=Y","Sort=A","Dates=H","DateFormat=P","Fill=—","Direction=H","UseDPDF=Y")</f>
        <v>#NAME?</v>
      </c>
      <c r="CO310" s="2" t="e">
        <f ca="1">_xll.BDH($C$303,"NET_DEBT_%_CAPITAL","FQ2 2015","FQ2 2015","Currency=INR","Period=FQ","BEST_FPERIOD_OVERRIDE=FQ","FILING_STATUS=OR","EQY_CONSOLIDATED=Y","Sort=A","Dates=H","DateFormat=P","Fill=—","Direction=H","UseDPDF=Y")</f>
        <v>#NAME?</v>
      </c>
      <c r="CP310" s="3" t="e">
        <f ca="1">_xll.BDH($C$303,"EBITDA","FQ2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10" s="3" t="e">
        <f ca="1">_xll.BDH($C$303,"EBITDA_AFTER_CAPEX","FQ2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10" s="3" t="e">
        <f ca="1">_xll.BDH($C$303,"IS_OPER_INC","FQ2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10" s="2" t="e">
        <f ca="1">_xll.BDH($C$303,"CASH_RATIO","FQ2 2015","FQ2 2015","Currency=INR","Period=FQ","BEST_FPERIOD_OVERRIDE=FQ","FILING_STATUS=OR","EQY_CONSOLIDATED=Y","Sort=A","Dates=H","DateFormat=P","Fill=—","Direction=H","UseDPDF=Y")</f>
        <v>#NAME?</v>
      </c>
      <c r="CT310" s="2" t="e">
        <f ca="1">_xll.BDH($C$303,"CUR_RATIO","FQ2 2015","FQ2 2015","Currency=INR","Period=FQ","BEST_FPERIOD_OVERRIDE=FQ","FILING_STATUS=OR","EQY_CONSOLIDATED=Y","Sort=A","Dates=H","DateFormat=P","Fill=—","Direction=H","UseDPDF=Y")</f>
        <v>#NAME?</v>
      </c>
      <c r="CU310" s="2" t="e">
        <f ca="1">_xll.BDH($C$303,"QUICK_RATIO","FQ2 2015","FQ2 2015","Currency=INR","Period=FQ","BEST_FPERIOD_OVERRIDE=FQ","FILING_STATUS=OR","EQY_CONSOLIDATED=Y","Sort=A","Dates=H","DateFormat=P","Fill=—","Direction=H","UseDPDF=Y")</f>
        <v>#NAME?</v>
      </c>
      <c r="CV310" s="2" t="e">
        <f ca="1">_xll.BDH($C$303,"ALTMAN_Z_SCORE","FQ2 2015","FQ2 2015","Currency=INR","Period=FQ","BEST_FPERIOD_OVERRIDE=FQ","FILING_STATUS=OR","EQY_CONSOLIDATED=Y","Sort=A","Dates=H","DateFormat=P","Fill=—","Direction=H","UseDPDF=Y")</f>
        <v>#NAME?</v>
      </c>
      <c r="CW310" s="4" t="e">
        <f ca="1">_xll.BDH($C$303,"ACCT_RCV_TURN","FQ2 2015","FQ2 2015","Currency=INR","Period=FQ","BEST_FPERIOD_OVERRIDE=FQ","FILING_STATUS=OR","EQY_CONSOLIDATED=Y","FA_ADJUSTED=GAAP","Sort=A","Dates=H","DateFormat=P","Fill=—","Direction=H","UseDPDF=Y")</f>
        <v>#NAME?</v>
      </c>
      <c r="CX310" s="2" t="e">
        <f ca="1">_xll.BDH($C$303,"ACCT_RCV_DAYS","FQ2 2015","FQ2 2015","Currency=INR","Period=FQ","BEST_FPERIOD_OVERRIDE=FQ","FILING_STATUS=OR","EQY_CONSOLIDATED=Y","FA_ADJUSTED=GAAP","Sort=A","Dates=H","DateFormat=P","Fill=—","Direction=H","UseDPDF=Y")</f>
        <v>#NAME?</v>
      </c>
      <c r="CY310" s="4" t="e">
        <f ca="1">_xll.BDH($C$303,"INVENT_TURN","FQ2 2015","FQ2 2015","Currency=INR","Period=FQ","BEST_FPERIOD_OVERRIDE=FQ","FILING_STATUS=OR","EQY_CONSOLIDATED=Y","FA_ADJUSTED=GAAP","Sort=A","Dates=H","DateFormat=P","Fill=—","Direction=H","UseDPDF=Y")</f>
        <v>#NAME?</v>
      </c>
      <c r="CZ310" s="2" t="e">
        <f ca="1">_xll.BDH($C$303,"INVENT_DAYS","FQ2 2015","FQ2 2015","Currency=INR","Period=FQ","BEST_FPERIOD_OVERRIDE=FQ","FILING_STATUS=OR","EQY_CONSOLIDATED=Y","FA_ADJUSTED=GAAP","Sort=A","Dates=H","DateFormat=P","Fill=—","Direction=H","UseDPDF=Y")</f>
        <v>#NAME?</v>
      </c>
      <c r="DA310" s="4" t="e">
        <f ca="1">_xll.BDH($C$303,"ACCOUNTS_PAYABLE_TURNOVER","FQ2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10" s="2" t="e">
        <f ca="1">_xll.BDH($C$303,"ACCOUNTS_PAYABLE_TURNOVER_DAYS","FQ2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10" s="4" t="e">
        <f ca="1">_xll.BDH($C$303,"CASH_CONVERSION_CYCLE","FQ2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10" s="4" t="e">
        <f ca="1">_xll.BDH($C$303,"INV_TO_CASH_DAYS","FQ2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10" s="5" t="e">
        <f ca="1">_xll.BDH($C$303,"BS_INVENTORIES","FQ2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10" s="3" t="e">
        <f ca="1">_xll.BDH($C$303,"INVTRY_RAW_MATERIALS","FQ2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10" s="3" t="e">
        <f ca="1">_xll.BDH($C$303,"INVTRY_IN_PROGRESS","FQ2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10" s="3" t="e">
        <f ca="1">_xll.BDH($C$303,"INVTRY_FINISHED_GOODS","FQ2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10" s="3" t="e">
        <f ca="1">_xll.BDH($C$303,"BS_OTHER_INV","FQ2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11" spans="1:113" x14ac:dyDescent="0.3">
      <c r="A311" s="6"/>
      <c r="B311" s="6"/>
      <c r="C311" s="6"/>
      <c r="D311" s="6"/>
      <c r="E311" t="s">
        <v>80</v>
      </c>
      <c r="F311" t="e">
        <f ca="1">_xll.BDH($C$303,"RETURN_COM_EQY","FQ3 2015","FQ3 2015","Currency=INR","Period=FQ","BEST_FPERIOD_OVERRIDE=FQ","FILING_STATUS=OR","EQY_CONSOLIDATED=Y","FA_ADJUSTED=GAAP","Sort=A","Dates=H","DateFormat=P","Fill=—","Direction=H","UseDPDF=Y")</f>
        <v>#NAME?</v>
      </c>
      <c r="G311" t="e">
        <f ca="1">_xll.BDH($C$303,"RETURN_ON_ASSET","FQ3 2015","FQ3 2015","Currency=INR","Period=FQ","BEST_FPERIOD_OVERRIDE=FQ","FILING_STATUS=OR","EQY_CONSOLIDATED=Y","FA_ADJUSTED=GAAP","Sort=A","Dates=H","DateFormat=P","Fill=—","Direction=H","UseDPDF=Y")</f>
        <v>#NAME?</v>
      </c>
      <c r="H311" t="e">
        <f ca="1">_xll.BDH($C$303,"RETURN_ON_CAP","FQ3 2015","FQ3 2015","Currency=INR","Period=FQ","BEST_FPERIOD_OVERRIDE=FQ","FILING_STATUS=OR","EQY_CONSOLIDATED=Y","FA_ADJUSTED=GAAP","Sort=A","Dates=H","DateFormat=P","Fill=—","Direction=H","UseDPDF=Y")</f>
        <v>#NAME?</v>
      </c>
      <c r="I311" t="e">
        <f ca="1">_xll.BDH($C$303,"RETURN_ON_INV_CAPITAL","FQ3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11" t="e">
        <f ca="1">_xll.BDH($C$303,"EBITDA_TO_REVENUE","FQ3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11" t="e">
        <f ca="1">_xll.BDH($C$303,"OPER_MARGIN","FQ3 2015","FQ3 2015","Currency=INR","Period=FQ","BEST_FPERIOD_OVERRIDE=FQ","FILING_STATUS=OR","EQY_CONSOLIDATED=Y","FA_ADJUSTED=GAAP","Sort=A","Dates=H","DateFormat=P","Fill=—","Direction=H","UseDPDF=Y")</f>
        <v>#NAME?</v>
      </c>
      <c r="L311" t="e">
        <f ca="1">_xll.BDH($C$303,"INCREMENTAL_OPERATING_MARGIN","FQ3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11" t="e">
        <f ca="1">_xll.BDH($C$303,"PRETAX_INC_TO_NET_SALES","FQ3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11" t="e">
        <f ca="1">_xll.BDH($C$303,"INC_BEF_XO_ITEMS_TO_NET_SALES","FQ3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11" t="e">
        <f ca="1">_xll.BDH($C$303,"PROF_MARGIN","FQ3 2015","FQ3 2015","Currency=INR","Period=FQ","BEST_FPERIOD_OVERRIDE=FQ","FILING_STATUS=OR","EQY_CONSOLIDATED=Y","FA_ADJUSTED=GAAP","Sort=A","Dates=H","DateFormat=P","Fill=—","Direction=H","UseDPDF=Y")</f>
        <v>#NAME?</v>
      </c>
      <c r="P311" t="e">
        <f ca="1">_xll.BDH($C$303,"NET_INCOME_TO_COMMON_MARGIN","FQ3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11" t="e">
        <f ca="1">_xll.BDH($C$303,"EFF_TAX_RATE","FQ3 2015","FQ3 2015","Currency=INR","Period=FQ","BEST_FPERIOD_OVERRIDE=FQ","FILING_STATUS=OR","EQY_CONSOLIDATED=Y","FA_ADJUSTED=GAAP","Sort=A","Dates=H","DateFormat=P","Fill=—","Direction=H","UseDPDF=Y")</f>
        <v>#NAME?</v>
      </c>
      <c r="R311" t="e">
        <f ca="1">_xll.BDH($C$303,"DVD_PAYOUT_RATIO","FQ3 2015","FQ3 2015","Currency=INR","Period=FQ","BEST_FPERIOD_OVERRIDE=FQ","FILING_STATUS=OR","EQY_CONSOLIDATED=Y","FA_ADJUSTED=GAAP","Sort=A","Dates=H","DateFormat=P","Fill=—","Direction=H","UseDPDF=Y")</f>
        <v>#NAME?</v>
      </c>
      <c r="S311" t="e">
        <f ca="1">_xll.BDH($C$303,"SUSTAIN_GROWTH_RT","FQ3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11" s="2" t="e">
        <f ca="1">_xll.BDH($C$303,"SALES_GROWTH","FQ3 2015","FQ3 2015","Currency=INR","Period=FQ","BEST_FPERIOD_OVERRIDE=FQ","FILING_STATUS=OR","EQY_CONSOLIDATED=Y","FA_ADJUSTED=GAAP","Sort=A","Dates=H","DateFormat=P","Fill=—","Direction=H","UseDPDF=Y")</f>
        <v>#NAME?</v>
      </c>
      <c r="U311" s="2" t="e">
        <f ca="1">_xll.BDH($C$303,"EBITDA_GROWTH","FQ3 2015","FQ3 2015","Currency=INR","Period=FQ","BEST_FPERIOD_OVERRIDE=FQ","FILING_STATUS=OR","EQY_CONSOLIDATED=Y","FA_ADJUSTED=GAAP","Sort=A","Dates=H","DateFormat=P","Fill=—","Direction=H","UseDPDF=Y")</f>
        <v>#NAME?</v>
      </c>
      <c r="V311" s="2" t="e">
        <f ca="1">_xll.BDH($C$303,"OPER_INC_GROWTH","FQ3 2015","FQ3 2015","Currency=INR","Period=FQ","BEST_FPERIOD_OVERRIDE=FQ","FILING_STATUS=OR","EQY_CONSOLIDATED=Y","FA_ADJUSTED=GAAP","Sort=A","Dates=H","DateFormat=P","Fill=—","Direction=H","UseDPDF=Y")</f>
        <v>#NAME?</v>
      </c>
      <c r="W311" s="2" t="e">
        <f ca="1">_xll.BDH($C$303,"EARN_FOR_COM_GROWTH","FQ3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11" s="2" t="e">
        <f ca="1">_xll.BDH($C$303,"DILUTED_EPS_AFT_XO_ITEMS_GROWTH","FQ3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11" s="2" t="e">
        <f ca="1">_xll.BDH($C$303,"DIVIDEND_PER_SHARE_1_YEAR_GROWTH","FQ3 2015","FQ3 2015","Currency=INR","Period=FQ","BEST_FPERIOD_OVERRIDE=FQ","FILING_STATUS=OR","EQY_CONSOLIDATED=Y","Sort=A","Dates=H","DateFormat=P","Fill=—","Direction=H","UseDPDF=Y")</f>
        <v>#NAME?</v>
      </c>
      <c r="Z311" s="2" t="e">
        <f ca="1">_xll.BDH($C$303,"ACCOUNTS_RECEIVABLE_GROWTH","FQ3 2015","FQ3 2015","Currency=INR","Period=FQ","BEST_FPERIOD_OVERRIDE=FQ","FILING_STATUS=OR","EQY_CONSOLIDATED=Y","Sort=A","Dates=H","DateFormat=P","Fill=—","Direction=H","UseDPDF=Y")</f>
        <v>#NAME?</v>
      </c>
      <c r="AA311" s="2" t="e">
        <f ca="1">_xll.BDH($C$303,"INVENTORY_GROWTH","FQ3 2015","FQ3 2015","Currency=INR","Period=FQ","BEST_FPERIOD_OVERRIDE=FQ","FILING_STATUS=OR","EQY_CONSOLIDATED=Y","Sort=A","Dates=H","DateFormat=P","Fill=—","Direction=H","UseDPDF=Y")</f>
        <v>#NAME?</v>
      </c>
      <c r="AB311" s="2" t="e">
        <f ca="1">_xll.BDH($C$303,"NET_FIXED_ASSETS_1_YEAR_GROWTH","FQ3 2015","FQ3 2015","Currency=INR","Period=FQ","BEST_FPERIOD_OVERRIDE=FQ","FILING_STATUS=OR","EQY_CONSOLIDATED=Y","Sort=A","Dates=H","DateFormat=P","Fill=—","Direction=H","UseDPDF=Y")</f>
        <v>#NAME?</v>
      </c>
      <c r="AC311" s="2" t="e">
        <f ca="1">_xll.BDH($C$303,"ASSET_GROWTH","FQ3 2015","FQ3 2015","Currency=INR","Period=FQ","BEST_FPERIOD_OVERRIDE=FQ","FILING_STATUS=OR","EQY_CONSOLIDATED=Y","Sort=A","Dates=H","DateFormat=P","Fill=—","Direction=H","UseDPDF=Y")</f>
        <v>#NAME?</v>
      </c>
      <c r="AD311" s="2" t="e">
        <f ca="1">_xll.BDH($C$303,"MODIFIED_WORK_CAP_GROWTH","FQ3 2015","FQ3 2015","Currency=INR","Period=FQ","BEST_FPERIOD_OVERRIDE=FQ","FILING_STATUS=OR","EQY_CONSOLIDATED=Y","Sort=A","Dates=H","DateFormat=P","Fill=—","Direction=H","UseDPDF=Y")</f>
        <v>#NAME?</v>
      </c>
      <c r="AE311" s="2" t="e">
        <f ca="1">_xll.BDH($C$303,"WORK_CAP_GROWTH","FQ3 2015","FQ3 2015","Currency=INR","Period=FQ","BEST_FPERIOD_OVERRIDE=FQ","FILING_STATUS=OR","EQY_CONSOLIDATED=Y","Sort=A","Dates=H","DateFormat=P","Fill=—","Direction=H","UseDPDF=Y")</f>
        <v>#NAME?</v>
      </c>
      <c r="AF311" s="2" t="e">
        <f ca="1">_xll.BDH($C$303,"ACCOUNTS_PAYABLE_GROWTH_1YR","FQ3 2015","FQ3 2015","Currency=INR","Period=FQ","BEST_FPERIOD_OVERRIDE=FQ","FILING_STATUS=OR","EQY_CONSOLIDATED=Y","Sort=A","Dates=H","DateFormat=P","Fill=—","Direction=H","UseDPDF=Y")</f>
        <v>#NAME?</v>
      </c>
      <c r="AG311" s="2" t="e">
        <f ca="1">_xll.BDH($C$303,"SHORT_TERM_DEBT_1_YEAR_GROWTH","FQ3 2015","FQ3 2015","Currency=INR","Period=FQ","BEST_FPERIOD_OVERRIDE=FQ","FILING_STATUS=OR","EQY_CONSOLIDATED=Y","Sort=A","Dates=H","DateFormat=P","Fill=—","Direction=H","UseDPDF=Y")</f>
        <v>#NAME?</v>
      </c>
      <c r="AH311" s="2" t="e">
        <f ca="1">_xll.BDH($C$303,"TOTAL_DEBT_1_YEAR_GROWTH","FQ3 2015","FQ3 2015","Currency=INR","Period=FQ","BEST_FPERIOD_OVERRIDE=FQ","FILING_STATUS=OR","EQY_CONSOLIDATED=Y","Sort=A","Dates=H","DateFormat=P","Fill=—","Direction=H","UseDPDF=Y")</f>
        <v>#NAME?</v>
      </c>
      <c r="AI311" s="2" t="e">
        <f ca="1">_xll.BDH($C$303,"TOTAL_EQUITY_1_YEAR_GROWTH","FQ3 2015","FQ3 2015","Currency=INR","Period=FQ","BEST_FPERIOD_OVERRIDE=FQ","FILING_STATUS=OR","EQY_CONSOLIDATED=Y","Sort=A","Dates=H","DateFormat=P","Fill=—","Direction=H","UseDPDF=Y")</f>
        <v>#NAME?</v>
      </c>
      <c r="AJ311" s="2" t="e">
        <f ca="1">_xll.BDH($C$303,"GROWTH_IN_CAP","FQ3 2015","FQ3 2015","Currency=INR","Period=FQ","BEST_FPERIOD_OVERRIDE=FQ","FILING_STATUS=OR","EQY_CONSOLIDATED=Y","Sort=A","Dates=H","DateFormat=P","Fill=—","Direction=H","UseDPDF=Y")</f>
        <v>#NAME?</v>
      </c>
      <c r="AK311" s="2" t="e">
        <f ca="1">_xll.BDH($C$303,"BVPS_GROWTH","FQ3 2015","FQ3 2015","Currency=INR","Period=FQ","BEST_FPERIOD_OVERRIDE=FQ","FILING_STATUS=OR","EQY_CONSOLIDATED=Y","Sort=A","Dates=H","DateFormat=P","Fill=—","Direction=H","UseDPDF=Y")</f>
        <v>#NAME?</v>
      </c>
      <c r="AL311" s="2" t="e">
        <f ca="1">_xll.BDH($C$303,"CASH_FLOW_GROWTH","FQ3 2015","FQ3 2015","Currency=INR","Period=FQ","BEST_FPERIOD_OVERRIDE=FQ","FILING_STATUS=OR","EQY_CONSOLIDATED=Y","Sort=A","Dates=H","DateFormat=P","Fill=—","Direction=H","UseDPDF=Y")</f>
        <v>#NAME?</v>
      </c>
      <c r="AM311" s="2" t="e">
        <f ca="1">_xll.BDH($C$303,"GEO_GROW_NET_SALES","FQ3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11" s="2" t="e">
        <f ca="1">_xll.BDH($C$303,"GEO_GROW_EBITDA","FQ3 2015","FQ3 2015","Currency=INR","Period=FQ","BEST_FPERIOD_OVERRIDE=FQ","FILING_STATUS=OR","EQY_CONSOLIDATED=Y","FA_ADJUSTED=GAAP","Sort=A","Dates=H","DateFormat=P","Fill=—","Direction=H","UseDPDF=Y")</f>
        <v>#NAME?</v>
      </c>
      <c r="AO311" s="2" t="e">
        <f ca="1">_xll.BDH($C$303,"GEO_GROW_OPER_INC","FQ3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11" s="2" t="e">
        <f ca="1">_xll.BDH($C$303,"NET_INCOME_TO_COMMON_5_YR_GROWTH","FQ3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11" s="2" t="e">
        <f ca="1">_xll.BDH($C$303,"5Y_GEO_GROWTH_DILUTED_EPS","FQ3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11" s="2" t="e">
        <f ca="1">_xll.BDH($C$303,"GEO_GROW_DVD_PER_SH","FQ3 2015","FQ3 2015","Currency=INR","Period=FQ","BEST_FPERIOD_OVERRIDE=FQ","FILING_STATUS=OR","EQY_CONSOLIDATED=Y","Sort=A","Dates=H","DateFormat=P","Fill=—","Direction=H","UseDPDF=Y")</f>
        <v>#NAME?</v>
      </c>
      <c r="AS311" s="2" t="e">
        <f ca="1">_xll.BDH($C$303,"ACCOUNTS_RECEIVABLE_5_YR_GROWTH","FQ3 2015","FQ3 2015","Currency=INR","Period=FQ","BEST_FPERIOD_OVERRIDE=FQ","FILING_STATUS=OR","EQY_CONSOLIDATED=Y","Sort=A","Dates=H","DateFormat=P","Fill=—","Direction=H","UseDPDF=Y")</f>
        <v>#NAME?</v>
      </c>
      <c r="AT311" s="2" t="e">
        <f ca="1">_xll.BDH($C$303,"INVENTORY_5_YEAR_GROWTH","FQ3 2015","FQ3 2015","Currency=INR","Period=FQ","BEST_FPERIOD_OVERRIDE=FQ","FILING_STATUS=OR","EQY_CONSOLIDATED=Y","Sort=A","Dates=H","DateFormat=P","Fill=—","Direction=H","UseDPDF=Y")</f>
        <v>#NAME?</v>
      </c>
      <c r="AU311" s="2" t="e">
        <f ca="1">_xll.BDH($C$303,"NET_FIXED_ASSETS_5_YEAR_GROWTH","FQ3 2015","FQ3 2015","Currency=INR","Period=FQ","BEST_FPERIOD_OVERRIDE=FQ","FILING_STATUS=OR","EQY_CONSOLIDATED=Y","Sort=A","Dates=H","DateFormat=P","Fill=—","Direction=H","UseDPDF=Y")</f>
        <v>#NAME?</v>
      </c>
      <c r="AV311" s="2" t="e">
        <f ca="1">_xll.BDH($C$303,"GEO_GROW_TOT_ASSET","FQ3 2015","FQ3 2015","Currency=INR","Period=FQ","BEST_FPERIOD_OVERRIDE=FQ","FILING_STATUS=OR","EQY_CONSOLIDATED=Y","Sort=A","Dates=H","DateFormat=P","Fill=—","Direction=H","UseDPDF=Y")</f>
        <v>#NAME?</v>
      </c>
      <c r="AW311" s="2" t="e">
        <f ca="1">_xll.BDH($C$303,"MODIFIED_WORKING_CPTL_5YR_GRWTH","FQ3 2015","FQ3 2015","Currency=INR","Period=FQ","BEST_FPERIOD_OVERRIDE=FQ","FILING_STATUS=OR","EQY_CONSOLIDATED=Y","Sort=A","Dates=H","DateFormat=P","Fill=—","Direction=H","UseDPDF=Y")</f>
        <v>#NAME?</v>
      </c>
      <c r="AX311" s="2" t="e">
        <f ca="1">_xll.BDH($C$303,"WORKING_CAPITAL_5_YEAR_GROWTH","FQ3 2015","FQ3 2015","Currency=INR","Period=FQ","BEST_FPERIOD_OVERRIDE=FQ","FILING_STATUS=OR","EQY_CONSOLIDATED=Y","Sort=A","Dates=H","DateFormat=P","Fill=—","Direction=H","UseDPDF=Y")</f>
        <v>#NAME?</v>
      </c>
      <c r="AY311" s="2" t="e">
        <f ca="1">_xll.BDH($C$303,"ACCOUNTS_PAYABLE_5_YEAR_GROWTH","FQ3 2015","FQ3 2015","Currency=INR","Period=FQ","BEST_FPERIOD_OVERRIDE=FQ","FILING_STATUS=OR","EQY_CONSOLIDATED=Y","Sort=A","Dates=H","DateFormat=P","Fill=—","Direction=H","UseDPDF=Y")</f>
        <v>#NAME?</v>
      </c>
      <c r="AZ311" s="2" t="e">
        <f ca="1">_xll.BDH($C$303,"SHORT_TERM_DEBT_5_YEAR_GROWTH","FQ3 2015","FQ3 2015","Currency=INR","Period=FQ","BEST_FPERIOD_OVERRIDE=FQ","FILING_STATUS=OR","EQY_CONSOLIDATED=Y","Sort=A","Dates=H","DateFormat=P","Fill=—","Direction=H","UseDPDF=Y")</f>
        <v>#NAME?</v>
      </c>
      <c r="BA311" s="2" t="e">
        <f ca="1">_xll.BDH($C$303,"TOTAL_DEBT_5_YEAR_GROWTH","FQ3 2015","FQ3 2015","Currency=INR","Period=FQ","BEST_FPERIOD_OVERRIDE=FQ","FILING_STATUS=OR","EQY_CONSOLIDATED=Y","Sort=A","Dates=H","DateFormat=P","Fill=—","Direction=H","UseDPDF=Y")</f>
        <v>#NAME?</v>
      </c>
      <c r="BB311" s="2" t="e">
        <f ca="1">_xll.BDH($C$303,"GEO_GROW_TOT_SHRHLDR_EQY","FQ3 2015","FQ3 2015","Currency=INR","Period=FQ","BEST_FPERIOD_OVERRIDE=FQ","FILING_STATUS=OR","EQY_CONSOLIDATED=Y","Sort=A","Dates=H","DateFormat=P","Fill=—","Direction=H","UseDPDF=Y")</f>
        <v>#NAME?</v>
      </c>
      <c r="BC311" s="2" t="e">
        <f ca="1">_xll.BDH($C$303,"TOTAL_CAPITAL_5_YEAR_GROWTH","FQ3 2015","FQ3 2015","Currency=INR","Period=FQ","BEST_FPERIOD_OVERRIDE=FQ","FILING_STATUS=OR","EQY_CONSOLIDATED=Y","Sort=A","Dates=H","DateFormat=P","Fill=—","Direction=H","UseDPDF=Y")</f>
        <v>#NAME?</v>
      </c>
      <c r="BD311" s="2" t="e">
        <f ca="1">_xll.BDH($C$303,"GEO_GROW_BOOK_VAL","FQ3 2015","FQ3 2015","Currency=INR","Period=FQ","BEST_FPERIOD_OVERRIDE=FQ","FILING_STATUS=OR","EQY_CONSOLIDATED=Y","Sort=A","Dates=H","DateFormat=P","Fill=—","Direction=H","UseDPDF=Y")</f>
        <v>#NAME?</v>
      </c>
      <c r="BE311" s="2" t="e">
        <f ca="1">_xll.BDH($C$303,"GEO_GROW_CASH_OPER_ACT","FQ3 2015","FQ3 2015","Currency=INR","Period=FQ","BEST_FPERIOD_OVERRIDE=FQ","FILING_STATUS=OR","EQY_CONSOLIDATED=Y","Sort=A","Dates=H","DateFormat=P","Fill=—","Direction=H","UseDPDF=Y")</f>
        <v>#NAME?</v>
      </c>
      <c r="BF311" s="2" t="e">
        <f ca="1">_xll.BDH($C$303,"REVENUE_SEQUENTIAL_GROWTH","FQ3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11" s="2" t="e">
        <f ca="1">_xll.BDH($C$303,"EBITDA_SEQUENTIAL_GROWTH","FQ3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11" s="2" t="e">
        <f ca="1">_xll.BDH($C$303,"OPERATING_INCOME_SEQ_GROWTH","FQ3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11" s="2" t="e">
        <f ca="1">_xll.BDH($C$303,"NET_INCOME_TO_COMMON_SEQ_GROWTH","FQ3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11" s="2" t="e">
        <f ca="1">_xll.BDH($C$303,"EPS_DILUTED_SEQUENTIAL_GROWTH","FQ3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11" s="2" t="e">
        <f ca="1">_xll.BDH($C$303,"DPS_SEQUENTIAL_GROWTH","FQ3 2015","FQ3 2015","Currency=INR","Period=FQ","BEST_FPERIOD_OVERRIDE=FQ","FILING_STATUS=OR","EQY_CONSOLIDATED=Y","Sort=A","Dates=H","DateFormat=P","Fill=—","Direction=H","UseDPDF=Y")</f>
        <v>#NAME?</v>
      </c>
      <c r="BL311" s="2" t="e">
        <f ca="1">_xll.BDH($C$303,"ACCOUNTS_RECEIVABLE_SEQ_GROWTH","FQ3 2015","FQ3 2015","Currency=INR","Period=FQ","BEST_FPERIOD_OVERRIDE=FQ","FILING_STATUS=OR","EQY_CONSOLIDATED=Y","Sort=A","Dates=H","DateFormat=P","Fill=—","Direction=H","UseDPDF=Y")</f>
        <v>#NAME?</v>
      </c>
      <c r="BM311" s="2" t="e">
        <f ca="1">_xll.BDH($C$303,"INVENTORY_SEQUENTIAL_GROWTH","FQ3 2015","FQ3 2015","Currency=INR","Period=FQ","BEST_FPERIOD_OVERRIDE=FQ","FILING_STATUS=OR","EQY_CONSOLIDATED=Y","Sort=A","Dates=H","DateFormat=P","Fill=—","Direction=H","UseDPDF=Y")</f>
        <v>#NAME?</v>
      </c>
      <c r="BN311" s="2" t="e">
        <f ca="1">_xll.BDH($C$303,"FIXED_ASSETS_SEQUENTIAL_GROWTH","FQ3 2015","FQ3 2015","Currency=INR","Period=FQ","BEST_FPERIOD_OVERRIDE=FQ","FILING_STATUS=OR","EQY_CONSOLIDATED=Y","Sort=A","Dates=H","DateFormat=P","Fill=—","Direction=H","UseDPDF=Y")</f>
        <v>#NAME?</v>
      </c>
      <c r="BO311" s="2" t="e">
        <f ca="1">_xll.BDH($C$303,"TOTAL_ASSETS_SEQUENTIAL_GROWTH","FQ3 2015","FQ3 2015","Currency=INR","Period=FQ","BEST_FPERIOD_OVERRIDE=FQ","FILING_STATUS=OR","EQY_CONSOLIDATED=Y","Sort=A","Dates=H","DateFormat=P","Fill=—","Direction=H","UseDPDF=Y")</f>
        <v>#NAME?</v>
      </c>
      <c r="BP311" s="2" t="e">
        <f ca="1">_xll.BDH($C$303,"MODIFIED_WORKING_CPTL_SEQ_GRWTH","FQ3 2015","FQ3 2015","Currency=INR","Period=FQ","BEST_FPERIOD_OVERRIDE=FQ","FILING_STATUS=OR","EQY_CONSOLIDATED=Y","Sort=A","Dates=H","DateFormat=P","Fill=—","Direction=H","UseDPDF=Y")</f>
        <v>#NAME?</v>
      </c>
      <c r="BQ311" s="2" t="e">
        <f ca="1">_xll.BDH($C$303,"WORKING_CAPITAL_SEQ_GROWTH","FQ3 2015","FQ3 2015","Currency=INR","Period=FQ","BEST_FPERIOD_OVERRIDE=FQ","FILING_STATUS=OR","EQY_CONSOLIDATED=Y","Sort=A","Dates=H","DateFormat=P","Fill=—","Direction=H","UseDPDF=Y")</f>
        <v>#NAME?</v>
      </c>
      <c r="BR311" s="2" t="e">
        <f ca="1">_xll.BDH($C$303,"ACCOUNTS_PAYABLE_SEQ_GROWTH","FQ3 2015","FQ3 2015","Currency=INR","Period=FQ","BEST_FPERIOD_OVERRIDE=FQ","FILING_STATUS=OR","EQY_CONSOLIDATED=Y","Sort=A","Dates=H","DateFormat=P","Fill=—","Direction=H","UseDPDF=Y")</f>
        <v>#NAME?</v>
      </c>
      <c r="BS311" s="2" t="e">
        <f ca="1">_xll.BDH($C$303,"ST_DEBT_SEQUENTIAL_GROWTH","FQ3 2015","FQ3 2015","Currency=INR","Period=FQ","BEST_FPERIOD_OVERRIDE=FQ","FILING_STATUS=OR","EQY_CONSOLIDATED=Y","Sort=A","Dates=H","DateFormat=P","Fill=—","Direction=H","UseDPDF=Y")</f>
        <v>#NAME?</v>
      </c>
      <c r="BT311" s="2" t="e">
        <f ca="1">_xll.BDH($C$303,"TOTAL_DEBT_SEQUENTIAL_GROWTH","FQ3 2015","FQ3 2015","Currency=INR","Period=FQ","BEST_FPERIOD_OVERRIDE=FQ","FILING_STATUS=OR","EQY_CONSOLIDATED=Y","Sort=A","Dates=H","DateFormat=P","Fill=—","Direction=H","UseDPDF=Y")</f>
        <v>#NAME?</v>
      </c>
      <c r="BU311" s="2" t="e">
        <f ca="1">_xll.BDH($C$303,"TOTAL_EQUITY_SEQUENTIAL_GROWTH","FQ3 2015","FQ3 2015","Currency=INR","Period=FQ","BEST_FPERIOD_OVERRIDE=FQ","FILING_STATUS=OR","EQY_CONSOLIDATED=Y","Sort=A","Dates=H","DateFormat=P","Fill=—","Direction=H","UseDPDF=Y")</f>
        <v>#NAME?</v>
      </c>
      <c r="BV311" s="2" t="e">
        <f ca="1">_xll.BDH($C$303,"TOTAL_CAPITAL_SEQUENTIAL_GROWTH","FQ3 2015","FQ3 2015","Currency=INR","Period=FQ","BEST_FPERIOD_OVERRIDE=FQ","FILING_STATUS=OR","EQY_CONSOLIDATED=Y","Sort=A","Dates=H","DateFormat=P","Fill=—","Direction=H","UseDPDF=Y")</f>
        <v>#NAME?</v>
      </c>
      <c r="BW311" s="2" t="e">
        <f ca="1">_xll.BDH($C$303,"BPS_SEQUENTIAL_GROWTH","FQ3 2015","FQ3 2015","Currency=INR","Period=FQ","BEST_FPERIOD_OVERRIDE=FQ","FILING_STATUS=OR","EQY_CONSOLIDATED=Y","Sort=A","Dates=H","DateFormat=P","Fill=—","Direction=H","UseDPDF=Y")</f>
        <v>#NAME?</v>
      </c>
      <c r="BX311" s="2" t="e">
        <f ca="1">_xll.BDH($C$303,"CFO_SEQUENTIAL_GROWTH","FQ3 2015","FQ3 2015","Currency=INR","Period=FQ","BEST_FPERIOD_OVERRIDE=FQ","FILING_STATUS=OR","EQY_CONSOLIDATED=Y","Sort=A","Dates=H","DateFormat=P","Fill=—","Direction=H","UseDPDF=Y")</f>
        <v>#NAME?</v>
      </c>
      <c r="BY311" s="3" t="e">
        <f ca="1">_xll.BDH($C$303,"SHORT_AND_LONG_TERM_DEBT","FQ3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11" s="3" t="e">
        <f ca="1">_xll.BDH($C$303,"BS_ST_BORROW","FQ3 2015","FQ3 2015","Currency=INR","Period=FQ","BEST_FPERIOD_OVERRIDE=FQ","FILING_STATUS=OR","EQY_CONSOLIDATED=Y","SCALING_FORMAT=MLN","Sort=A","Dates=H","DateFormat=P","Fill=—","Direction=H","UseDPDF=Y")</f>
        <v>#NAME?</v>
      </c>
      <c r="CA311" s="3" t="e">
        <f ca="1">_xll.BDH($C$303,"BS_LT_BORROW","FQ3 2015","FQ3 2015","Currency=INR","Period=FQ","BEST_FPERIOD_OVERRIDE=FQ","FILING_STATUS=OR","EQY_CONSOLIDATED=Y","SCALING_FORMAT=MLN","Sort=A","Dates=H","DateFormat=P","Fill=—","Direction=H","UseDPDF=Y")</f>
        <v>#NAME?</v>
      </c>
      <c r="CB311" s="2" t="e">
        <f ca="1">_xll.BDH($C$303,"TOT_DEBT_TO_EBITDA","FQ3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11" s="2" t="e">
        <f ca="1">_xll.BDH($C$303,"NET_DEBT_TO_EBITDA","FQ3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11" s="2" t="e">
        <f ca="1">_xll.BDH($C$303,"TOTAL_DEBT_TO_EBIT","FQ3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11" s="2" t="e">
        <f ca="1">_xll.BDH($C$303,"NET_DEBT_TO_EBIT","FQ3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11" s="2" t="e">
        <f ca="1">_xll.BDH($C$303,"EBITDA_TO_INTEREST_EXPN","FQ3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11" s="2" t="e">
        <f ca="1">_xll.BDH($C$303,"COM_EQY_TO_TOT_ASSET","FQ3 2015","FQ3 2015","Currency=INR","Period=FQ","BEST_FPERIOD_OVERRIDE=FQ","FILING_STATUS=OR","EQY_CONSOLIDATED=Y","Sort=A","Dates=H","DateFormat=P","Fill=—","Direction=H","UseDPDF=Y")</f>
        <v>#NAME?</v>
      </c>
      <c r="CH311" s="2" t="e">
        <f ca="1">_xll.BDH($C$303,"LT_DEBT_TO_TOT_EQY","FQ3 2015","FQ3 2015","Currency=INR","Period=FQ","BEST_FPERIOD_OVERRIDE=FQ","FILING_STATUS=OR","EQY_CONSOLIDATED=Y","Sort=A","Dates=H","DateFormat=P","Fill=—","Direction=H","UseDPDF=Y")</f>
        <v>#NAME?</v>
      </c>
      <c r="CI311" s="2" t="e">
        <f ca="1">_xll.BDH($C$303,"LT_DEBT_TO_TOT_CAP","FQ3 2015","FQ3 2015","Currency=INR","Period=FQ","BEST_FPERIOD_OVERRIDE=FQ","FILING_STATUS=OR","EQY_CONSOLIDATED=Y","Sort=A","Dates=H","DateFormat=P","Fill=—","Direction=H","UseDPDF=Y")</f>
        <v>#NAME?</v>
      </c>
      <c r="CJ311" s="2" t="e">
        <f ca="1">_xll.BDH($C$303,"LT_DEBT_TO_TOT_ASSET","FQ3 2015","FQ3 2015","Currency=INR","Period=FQ","BEST_FPERIOD_OVERRIDE=FQ","FILING_STATUS=OR","EQY_CONSOLIDATED=Y","Sort=A","Dates=H","DateFormat=P","Fill=—","Direction=H","UseDPDF=Y")</f>
        <v>#NAME?</v>
      </c>
      <c r="CK311" s="2" t="e">
        <f ca="1">_xll.BDH($C$303,"TOT_DEBT_TO_TOT_EQY","FQ3 2015","FQ3 2015","Currency=INR","Period=FQ","BEST_FPERIOD_OVERRIDE=FQ","FILING_STATUS=OR","EQY_CONSOLIDATED=Y","Sort=A","Dates=H","DateFormat=P","Fill=—","Direction=H","UseDPDF=Y")</f>
        <v>#NAME?</v>
      </c>
      <c r="CL311" s="2" t="e">
        <f ca="1">_xll.BDH($C$303,"TOT_DEBT_TO_TOT_CAP","FQ3 2015","FQ3 2015","Currency=INR","Period=FQ","BEST_FPERIOD_OVERRIDE=FQ","FILING_STATUS=OR","EQY_CONSOLIDATED=Y","Sort=A","Dates=H","DateFormat=P","Fill=—","Direction=H","UseDPDF=Y")</f>
        <v>#NAME?</v>
      </c>
      <c r="CM311" s="2" t="e">
        <f ca="1">_xll.BDH($C$303,"TOT_DEBT_TO_TOT_ASSET","FQ3 2015","FQ3 2015","Currency=INR","Period=FQ","BEST_FPERIOD_OVERRIDE=FQ","FILING_STATUS=OR","EQY_CONSOLIDATED=Y","Sort=A","Dates=H","DateFormat=P","Fill=—","Direction=H","UseDPDF=Y")</f>
        <v>#NAME?</v>
      </c>
      <c r="CN311" s="2" t="e">
        <f ca="1">_xll.BDH($C$303,"NET_DEBT_TO_SHRHLDR_EQTY","FQ3 2015","FQ3 2015","Currency=INR","Period=FQ","BEST_FPERIOD_OVERRIDE=FQ","FILING_STATUS=OR","EQY_CONSOLIDATED=Y","Sort=A","Dates=H","DateFormat=P","Fill=—","Direction=H","UseDPDF=Y")</f>
        <v>#NAME?</v>
      </c>
      <c r="CO311" s="2" t="e">
        <f ca="1">_xll.BDH($C$303,"NET_DEBT_%_CAPITAL","FQ3 2015","FQ3 2015","Currency=INR","Period=FQ","BEST_FPERIOD_OVERRIDE=FQ","FILING_STATUS=OR","EQY_CONSOLIDATED=Y","Sort=A","Dates=H","DateFormat=P","Fill=—","Direction=H","UseDPDF=Y")</f>
        <v>#NAME?</v>
      </c>
      <c r="CP311" s="3" t="e">
        <f ca="1">_xll.BDH($C$303,"EBITDA","FQ3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11" s="3" t="e">
        <f ca="1">_xll.BDH($C$303,"EBITDA_AFTER_CAPEX","FQ3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11" s="3" t="e">
        <f ca="1">_xll.BDH($C$303,"IS_OPER_INC","FQ3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11" s="2" t="e">
        <f ca="1">_xll.BDH($C$303,"CASH_RATIO","FQ3 2015","FQ3 2015","Currency=INR","Period=FQ","BEST_FPERIOD_OVERRIDE=FQ","FILING_STATUS=OR","EQY_CONSOLIDATED=Y","Sort=A","Dates=H","DateFormat=P","Fill=—","Direction=H","UseDPDF=Y")</f>
        <v>#NAME?</v>
      </c>
      <c r="CT311" s="2" t="e">
        <f ca="1">_xll.BDH($C$303,"CUR_RATIO","FQ3 2015","FQ3 2015","Currency=INR","Period=FQ","BEST_FPERIOD_OVERRIDE=FQ","FILING_STATUS=OR","EQY_CONSOLIDATED=Y","Sort=A","Dates=H","DateFormat=P","Fill=—","Direction=H","UseDPDF=Y")</f>
        <v>#NAME?</v>
      </c>
      <c r="CU311" s="2" t="e">
        <f ca="1">_xll.BDH($C$303,"QUICK_RATIO","FQ3 2015","FQ3 2015","Currency=INR","Period=FQ","BEST_FPERIOD_OVERRIDE=FQ","FILING_STATUS=OR","EQY_CONSOLIDATED=Y","Sort=A","Dates=H","DateFormat=P","Fill=—","Direction=H","UseDPDF=Y")</f>
        <v>#NAME?</v>
      </c>
      <c r="CV311" s="2" t="e">
        <f ca="1">_xll.BDH($C$303,"ALTMAN_Z_SCORE","FQ3 2015","FQ3 2015","Currency=INR","Period=FQ","BEST_FPERIOD_OVERRIDE=FQ","FILING_STATUS=OR","EQY_CONSOLIDATED=Y","Sort=A","Dates=H","DateFormat=P","Fill=—","Direction=H","UseDPDF=Y")</f>
        <v>#NAME?</v>
      </c>
      <c r="CW311" s="4" t="e">
        <f ca="1">_xll.BDH($C$303,"ACCT_RCV_TURN","FQ3 2015","FQ3 2015","Currency=INR","Period=FQ","BEST_FPERIOD_OVERRIDE=FQ","FILING_STATUS=OR","EQY_CONSOLIDATED=Y","FA_ADJUSTED=GAAP","Sort=A","Dates=H","DateFormat=P","Fill=—","Direction=H","UseDPDF=Y")</f>
        <v>#NAME?</v>
      </c>
      <c r="CX311" s="2" t="e">
        <f ca="1">_xll.BDH($C$303,"ACCT_RCV_DAYS","FQ3 2015","FQ3 2015","Currency=INR","Period=FQ","BEST_FPERIOD_OVERRIDE=FQ","FILING_STATUS=OR","EQY_CONSOLIDATED=Y","FA_ADJUSTED=GAAP","Sort=A","Dates=H","DateFormat=P","Fill=—","Direction=H","UseDPDF=Y")</f>
        <v>#NAME?</v>
      </c>
      <c r="CY311" s="4" t="e">
        <f ca="1">_xll.BDH($C$303,"INVENT_TURN","FQ3 2015","FQ3 2015","Currency=INR","Period=FQ","BEST_FPERIOD_OVERRIDE=FQ","FILING_STATUS=OR","EQY_CONSOLIDATED=Y","FA_ADJUSTED=GAAP","Sort=A","Dates=H","DateFormat=P","Fill=—","Direction=H","UseDPDF=Y")</f>
        <v>#NAME?</v>
      </c>
      <c r="CZ311" s="2" t="e">
        <f ca="1">_xll.BDH($C$303,"INVENT_DAYS","FQ3 2015","FQ3 2015","Currency=INR","Period=FQ","BEST_FPERIOD_OVERRIDE=FQ","FILING_STATUS=OR","EQY_CONSOLIDATED=Y","FA_ADJUSTED=GAAP","Sort=A","Dates=H","DateFormat=P","Fill=—","Direction=H","UseDPDF=Y")</f>
        <v>#NAME?</v>
      </c>
      <c r="DA311" s="4" t="e">
        <f ca="1">_xll.BDH($C$303,"ACCOUNTS_PAYABLE_TURNOVER","FQ3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11" s="2" t="e">
        <f ca="1">_xll.BDH($C$303,"ACCOUNTS_PAYABLE_TURNOVER_DAYS","FQ3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11" s="4" t="e">
        <f ca="1">_xll.BDH($C$303,"CASH_CONVERSION_CYCLE","FQ3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11" s="4" t="e">
        <f ca="1">_xll.BDH($C$303,"INV_TO_CASH_DAYS","FQ3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11" s="5" t="e">
        <f ca="1">_xll.BDH($C$303,"BS_INVENTORIES","FQ3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11" s="3" t="e">
        <f ca="1">_xll.BDH($C$303,"INVTRY_RAW_MATERIALS","FQ3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11" s="3" t="e">
        <f ca="1">_xll.BDH($C$303,"INVTRY_IN_PROGRESS","FQ3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11" s="3" t="e">
        <f ca="1">_xll.BDH($C$303,"INVTRY_FINISHED_GOODS","FQ3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11" s="3" t="e">
        <f ca="1">_xll.BDH($C$303,"BS_OTHER_INV","FQ3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12" spans="1:113" x14ac:dyDescent="0.3">
      <c r="A312" s="6"/>
      <c r="B312" s="6"/>
      <c r="C312" s="6"/>
      <c r="D312" s="6"/>
      <c r="E312" t="s">
        <v>81</v>
      </c>
      <c r="F312" t="e">
        <f ca="1">_xll.BDH($C$303,"RETURN_COM_EQY","FQ4 2015","FQ4 2015","Currency=INR","Period=FQ","BEST_FPERIOD_OVERRIDE=FQ","FILING_STATUS=OR","EQY_CONSOLIDATED=Y","FA_ADJUSTED=GAAP","Sort=A","Dates=H","DateFormat=P","Fill=—","Direction=H","UseDPDF=Y")</f>
        <v>#NAME?</v>
      </c>
      <c r="G312" t="e">
        <f ca="1">_xll.BDH($C$303,"RETURN_ON_ASSET","FQ4 2015","FQ4 2015","Currency=INR","Period=FQ","BEST_FPERIOD_OVERRIDE=FQ","FILING_STATUS=OR","EQY_CONSOLIDATED=Y","FA_ADJUSTED=GAAP","Sort=A","Dates=H","DateFormat=P","Fill=—","Direction=H","UseDPDF=Y")</f>
        <v>#NAME?</v>
      </c>
      <c r="H312" t="e">
        <f ca="1">_xll.BDH($C$303,"RETURN_ON_CAP","FQ4 2015","FQ4 2015","Currency=INR","Period=FQ","BEST_FPERIOD_OVERRIDE=FQ","FILING_STATUS=OR","EQY_CONSOLIDATED=Y","FA_ADJUSTED=GAAP","Sort=A","Dates=H","DateFormat=P","Fill=—","Direction=H","UseDPDF=Y")</f>
        <v>#NAME?</v>
      </c>
      <c r="I312" t="e">
        <f ca="1">_xll.BDH($C$303,"RETURN_ON_INV_CAPITAL","FQ4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12" t="e">
        <f ca="1">_xll.BDH($C$303,"EBITDA_TO_REVENUE","FQ4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12" t="e">
        <f ca="1">_xll.BDH($C$303,"OPER_MARGIN","FQ4 2015","FQ4 2015","Currency=INR","Period=FQ","BEST_FPERIOD_OVERRIDE=FQ","FILING_STATUS=OR","EQY_CONSOLIDATED=Y","FA_ADJUSTED=GAAP","Sort=A","Dates=H","DateFormat=P","Fill=—","Direction=H","UseDPDF=Y")</f>
        <v>#NAME?</v>
      </c>
      <c r="L312" t="e">
        <f ca="1">_xll.BDH($C$303,"INCREMENTAL_OPERATING_MARGIN","FQ4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12" t="e">
        <f ca="1">_xll.BDH($C$303,"PRETAX_INC_TO_NET_SALES","FQ4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12" t="e">
        <f ca="1">_xll.BDH($C$303,"INC_BEF_XO_ITEMS_TO_NET_SALES","FQ4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12" t="e">
        <f ca="1">_xll.BDH($C$303,"PROF_MARGIN","FQ4 2015","FQ4 2015","Currency=INR","Period=FQ","BEST_FPERIOD_OVERRIDE=FQ","FILING_STATUS=OR","EQY_CONSOLIDATED=Y","FA_ADJUSTED=GAAP","Sort=A","Dates=H","DateFormat=P","Fill=—","Direction=H","UseDPDF=Y")</f>
        <v>#NAME?</v>
      </c>
      <c r="P312" t="e">
        <f ca="1">_xll.BDH($C$303,"NET_INCOME_TO_COMMON_MARGIN","FQ4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12" t="e">
        <f ca="1">_xll.BDH($C$303,"EFF_TAX_RATE","FQ4 2015","FQ4 2015","Currency=INR","Period=FQ","BEST_FPERIOD_OVERRIDE=FQ","FILING_STATUS=OR","EQY_CONSOLIDATED=Y","FA_ADJUSTED=GAAP","Sort=A","Dates=H","DateFormat=P","Fill=—","Direction=H","UseDPDF=Y")</f>
        <v>#NAME?</v>
      </c>
      <c r="R312" t="e">
        <f ca="1">_xll.BDH($C$303,"DVD_PAYOUT_RATIO","FQ4 2015","FQ4 2015","Currency=INR","Period=FQ","BEST_FPERIOD_OVERRIDE=FQ","FILING_STATUS=OR","EQY_CONSOLIDATED=Y","FA_ADJUSTED=GAAP","Sort=A","Dates=H","DateFormat=P","Fill=—","Direction=H","UseDPDF=Y")</f>
        <v>#NAME?</v>
      </c>
      <c r="S312" t="e">
        <f ca="1">_xll.BDH($C$303,"SUSTAIN_GROWTH_RT","FQ4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12" s="2" t="e">
        <f ca="1">_xll.BDH($C$303,"SALES_GROWTH","FQ4 2015","FQ4 2015","Currency=INR","Period=FQ","BEST_FPERIOD_OVERRIDE=FQ","FILING_STATUS=OR","EQY_CONSOLIDATED=Y","FA_ADJUSTED=GAAP","Sort=A","Dates=H","DateFormat=P","Fill=—","Direction=H","UseDPDF=Y")</f>
        <v>#NAME?</v>
      </c>
      <c r="U312" s="2" t="e">
        <f ca="1">_xll.BDH($C$303,"EBITDA_GROWTH","FQ4 2015","FQ4 2015","Currency=INR","Period=FQ","BEST_FPERIOD_OVERRIDE=FQ","FILING_STATUS=OR","EQY_CONSOLIDATED=Y","FA_ADJUSTED=GAAP","Sort=A","Dates=H","DateFormat=P","Fill=—","Direction=H","UseDPDF=Y")</f>
        <v>#NAME?</v>
      </c>
      <c r="V312" s="2" t="e">
        <f ca="1">_xll.BDH($C$303,"OPER_INC_GROWTH","FQ4 2015","FQ4 2015","Currency=INR","Period=FQ","BEST_FPERIOD_OVERRIDE=FQ","FILING_STATUS=OR","EQY_CONSOLIDATED=Y","FA_ADJUSTED=GAAP","Sort=A","Dates=H","DateFormat=P","Fill=—","Direction=H","UseDPDF=Y")</f>
        <v>#NAME?</v>
      </c>
      <c r="W312" s="2" t="e">
        <f ca="1">_xll.BDH($C$303,"EARN_FOR_COM_GROWTH","FQ4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12" s="2" t="e">
        <f ca="1">_xll.BDH($C$303,"DILUTED_EPS_AFT_XO_ITEMS_GROWTH","FQ4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12" s="2" t="e">
        <f ca="1">_xll.BDH($C$303,"DIVIDEND_PER_SHARE_1_YEAR_GROWTH","FQ4 2015","FQ4 2015","Currency=INR","Period=FQ","BEST_FPERIOD_OVERRIDE=FQ","FILING_STATUS=OR","EQY_CONSOLIDATED=Y","Sort=A","Dates=H","DateFormat=P","Fill=—","Direction=H","UseDPDF=Y")</f>
        <v>#NAME?</v>
      </c>
      <c r="Z312" s="2" t="e">
        <f ca="1">_xll.BDH($C$303,"ACCOUNTS_RECEIVABLE_GROWTH","FQ4 2015","FQ4 2015","Currency=INR","Period=FQ","BEST_FPERIOD_OVERRIDE=FQ","FILING_STATUS=OR","EQY_CONSOLIDATED=Y","Sort=A","Dates=H","DateFormat=P","Fill=—","Direction=H","UseDPDF=Y")</f>
        <v>#NAME?</v>
      </c>
      <c r="AA312" s="2" t="e">
        <f ca="1">_xll.BDH($C$303,"INVENTORY_GROWTH","FQ4 2015","FQ4 2015","Currency=INR","Period=FQ","BEST_FPERIOD_OVERRIDE=FQ","FILING_STATUS=OR","EQY_CONSOLIDATED=Y","Sort=A","Dates=H","DateFormat=P","Fill=—","Direction=H","UseDPDF=Y")</f>
        <v>#NAME?</v>
      </c>
      <c r="AB312" s="2" t="e">
        <f ca="1">_xll.BDH($C$303,"NET_FIXED_ASSETS_1_YEAR_GROWTH","FQ4 2015","FQ4 2015","Currency=INR","Period=FQ","BEST_FPERIOD_OVERRIDE=FQ","FILING_STATUS=OR","EQY_CONSOLIDATED=Y","Sort=A","Dates=H","DateFormat=P","Fill=—","Direction=H","UseDPDF=Y")</f>
        <v>#NAME?</v>
      </c>
      <c r="AC312" s="2" t="e">
        <f ca="1">_xll.BDH($C$303,"ASSET_GROWTH","FQ4 2015","FQ4 2015","Currency=INR","Period=FQ","BEST_FPERIOD_OVERRIDE=FQ","FILING_STATUS=OR","EQY_CONSOLIDATED=Y","Sort=A","Dates=H","DateFormat=P","Fill=—","Direction=H","UseDPDF=Y")</f>
        <v>#NAME?</v>
      </c>
      <c r="AD312" s="2" t="e">
        <f ca="1">_xll.BDH($C$303,"MODIFIED_WORK_CAP_GROWTH","FQ4 2015","FQ4 2015","Currency=INR","Period=FQ","BEST_FPERIOD_OVERRIDE=FQ","FILING_STATUS=OR","EQY_CONSOLIDATED=Y","Sort=A","Dates=H","DateFormat=P","Fill=—","Direction=H","UseDPDF=Y")</f>
        <v>#NAME?</v>
      </c>
      <c r="AE312" s="2" t="e">
        <f ca="1">_xll.BDH($C$303,"WORK_CAP_GROWTH","FQ4 2015","FQ4 2015","Currency=INR","Period=FQ","BEST_FPERIOD_OVERRIDE=FQ","FILING_STATUS=OR","EQY_CONSOLIDATED=Y","Sort=A","Dates=H","DateFormat=P","Fill=—","Direction=H","UseDPDF=Y")</f>
        <v>#NAME?</v>
      </c>
      <c r="AF312" s="2" t="e">
        <f ca="1">_xll.BDH($C$303,"ACCOUNTS_PAYABLE_GROWTH_1YR","FQ4 2015","FQ4 2015","Currency=INR","Period=FQ","BEST_FPERIOD_OVERRIDE=FQ","FILING_STATUS=OR","EQY_CONSOLIDATED=Y","Sort=A","Dates=H","DateFormat=P","Fill=—","Direction=H","UseDPDF=Y")</f>
        <v>#NAME?</v>
      </c>
      <c r="AG312" s="2" t="e">
        <f ca="1">_xll.BDH($C$303,"SHORT_TERM_DEBT_1_YEAR_GROWTH","FQ4 2015","FQ4 2015","Currency=INR","Period=FQ","BEST_FPERIOD_OVERRIDE=FQ","FILING_STATUS=OR","EQY_CONSOLIDATED=Y","Sort=A","Dates=H","DateFormat=P","Fill=—","Direction=H","UseDPDF=Y")</f>
        <v>#NAME?</v>
      </c>
      <c r="AH312" s="2" t="e">
        <f ca="1">_xll.BDH($C$303,"TOTAL_DEBT_1_YEAR_GROWTH","FQ4 2015","FQ4 2015","Currency=INR","Period=FQ","BEST_FPERIOD_OVERRIDE=FQ","FILING_STATUS=OR","EQY_CONSOLIDATED=Y","Sort=A","Dates=H","DateFormat=P","Fill=—","Direction=H","UseDPDF=Y")</f>
        <v>#NAME?</v>
      </c>
      <c r="AI312" s="2" t="e">
        <f ca="1">_xll.BDH($C$303,"TOTAL_EQUITY_1_YEAR_GROWTH","FQ4 2015","FQ4 2015","Currency=INR","Period=FQ","BEST_FPERIOD_OVERRIDE=FQ","FILING_STATUS=OR","EQY_CONSOLIDATED=Y","Sort=A","Dates=H","DateFormat=P","Fill=—","Direction=H","UseDPDF=Y")</f>
        <v>#NAME?</v>
      </c>
      <c r="AJ312" s="2" t="e">
        <f ca="1">_xll.BDH($C$303,"GROWTH_IN_CAP","FQ4 2015","FQ4 2015","Currency=INR","Period=FQ","BEST_FPERIOD_OVERRIDE=FQ","FILING_STATUS=OR","EQY_CONSOLIDATED=Y","Sort=A","Dates=H","DateFormat=P","Fill=—","Direction=H","UseDPDF=Y")</f>
        <v>#NAME?</v>
      </c>
      <c r="AK312" s="2" t="e">
        <f ca="1">_xll.BDH($C$303,"BVPS_GROWTH","FQ4 2015","FQ4 2015","Currency=INR","Period=FQ","BEST_FPERIOD_OVERRIDE=FQ","FILING_STATUS=OR","EQY_CONSOLIDATED=Y","Sort=A","Dates=H","DateFormat=P","Fill=—","Direction=H","UseDPDF=Y")</f>
        <v>#NAME?</v>
      </c>
      <c r="AL312" s="2" t="e">
        <f ca="1">_xll.BDH($C$303,"CASH_FLOW_GROWTH","FQ4 2015","FQ4 2015","Currency=INR","Period=FQ","BEST_FPERIOD_OVERRIDE=FQ","FILING_STATUS=OR","EQY_CONSOLIDATED=Y","Sort=A","Dates=H","DateFormat=P","Fill=—","Direction=H","UseDPDF=Y")</f>
        <v>#NAME?</v>
      </c>
      <c r="AM312" s="2" t="e">
        <f ca="1">_xll.BDH($C$303,"GEO_GROW_NET_SALES","FQ4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12" s="2" t="e">
        <f ca="1">_xll.BDH($C$303,"GEO_GROW_EBITDA","FQ4 2015","FQ4 2015","Currency=INR","Period=FQ","BEST_FPERIOD_OVERRIDE=FQ","FILING_STATUS=OR","EQY_CONSOLIDATED=Y","FA_ADJUSTED=GAAP","Sort=A","Dates=H","DateFormat=P","Fill=—","Direction=H","UseDPDF=Y")</f>
        <v>#NAME?</v>
      </c>
      <c r="AO312" s="2" t="e">
        <f ca="1">_xll.BDH($C$303,"GEO_GROW_OPER_INC","FQ4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12" s="2" t="e">
        <f ca="1">_xll.BDH($C$303,"NET_INCOME_TO_COMMON_5_YR_GROWTH","FQ4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12" s="2" t="e">
        <f ca="1">_xll.BDH($C$303,"5Y_GEO_GROWTH_DILUTED_EPS","FQ4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12" s="2" t="e">
        <f ca="1">_xll.BDH($C$303,"GEO_GROW_DVD_PER_SH","FQ4 2015","FQ4 2015","Currency=INR","Period=FQ","BEST_FPERIOD_OVERRIDE=FQ","FILING_STATUS=OR","EQY_CONSOLIDATED=Y","Sort=A","Dates=H","DateFormat=P","Fill=—","Direction=H","UseDPDF=Y")</f>
        <v>#NAME?</v>
      </c>
      <c r="AS312" s="2" t="e">
        <f ca="1">_xll.BDH($C$303,"ACCOUNTS_RECEIVABLE_5_YR_GROWTH","FQ4 2015","FQ4 2015","Currency=INR","Period=FQ","BEST_FPERIOD_OVERRIDE=FQ","FILING_STATUS=OR","EQY_CONSOLIDATED=Y","Sort=A","Dates=H","DateFormat=P","Fill=—","Direction=H","UseDPDF=Y")</f>
        <v>#NAME?</v>
      </c>
      <c r="AT312" s="2" t="e">
        <f ca="1">_xll.BDH($C$303,"INVENTORY_5_YEAR_GROWTH","FQ4 2015","FQ4 2015","Currency=INR","Period=FQ","BEST_FPERIOD_OVERRIDE=FQ","FILING_STATUS=OR","EQY_CONSOLIDATED=Y","Sort=A","Dates=H","DateFormat=P","Fill=—","Direction=H","UseDPDF=Y")</f>
        <v>#NAME?</v>
      </c>
      <c r="AU312" s="2" t="e">
        <f ca="1">_xll.BDH($C$303,"NET_FIXED_ASSETS_5_YEAR_GROWTH","FQ4 2015","FQ4 2015","Currency=INR","Period=FQ","BEST_FPERIOD_OVERRIDE=FQ","FILING_STATUS=OR","EQY_CONSOLIDATED=Y","Sort=A","Dates=H","DateFormat=P","Fill=—","Direction=H","UseDPDF=Y")</f>
        <v>#NAME?</v>
      </c>
      <c r="AV312" s="2" t="e">
        <f ca="1">_xll.BDH($C$303,"GEO_GROW_TOT_ASSET","FQ4 2015","FQ4 2015","Currency=INR","Period=FQ","BEST_FPERIOD_OVERRIDE=FQ","FILING_STATUS=OR","EQY_CONSOLIDATED=Y","Sort=A","Dates=H","DateFormat=P","Fill=—","Direction=H","UseDPDF=Y")</f>
        <v>#NAME?</v>
      </c>
      <c r="AW312" s="2" t="e">
        <f ca="1">_xll.BDH($C$303,"MODIFIED_WORKING_CPTL_5YR_GRWTH","FQ4 2015","FQ4 2015","Currency=INR","Period=FQ","BEST_FPERIOD_OVERRIDE=FQ","FILING_STATUS=OR","EQY_CONSOLIDATED=Y","Sort=A","Dates=H","DateFormat=P","Fill=—","Direction=H","UseDPDF=Y")</f>
        <v>#NAME?</v>
      </c>
      <c r="AX312" s="2" t="e">
        <f ca="1">_xll.BDH($C$303,"WORKING_CAPITAL_5_YEAR_GROWTH","FQ4 2015","FQ4 2015","Currency=INR","Period=FQ","BEST_FPERIOD_OVERRIDE=FQ","FILING_STATUS=OR","EQY_CONSOLIDATED=Y","Sort=A","Dates=H","DateFormat=P","Fill=—","Direction=H","UseDPDF=Y")</f>
        <v>#NAME?</v>
      </c>
      <c r="AY312" s="2" t="e">
        <f ca="1">_xll.BDH($C$303,"ACCOUNTS_PAYABLE_5_YEAR_GROWTH","FQ4 2015","FQ4 2015","Currency=INR","Period=FQ","BEST_FPERIOD_OVERRIDE=FQ","FILING_STATUS=OR","EQY_CONSOLIDATED=Y","Sort=A","Dates=H","DateFormat=P","Fill=—","Direction=H","UseDPDF=Y")</f>
        <v>#NAME?</v>
      </c>
      <c r="AZ312" s="2" t="e">
        <f ca="1">_xll.BDH($C$303,"SHORT_TERM_DEBT_5_YEAR_GROWTH","FQ4 2015","FQ4 2015","Currency=INR","Period=FQ","BEST_FPERIOD_OVERRIDE=FQ","FILING_STATUS=OR","EQY_CONSOLIDATED=Y","Sort=A","Dates=H","DateFormat=P","Fill=—","Direction=H","UseDPDF=Y")</f>
        <v>#NAME?</v>
      </c>
      <c r="BA312" s="2" t="e">
        <f ca="1">_xll.BDH($C$303,"TOTAL_DEBT_5_YEAR_GROWTH","FQ4 2015","FQ4 2015","Currency=INR","Period=FQ","BEST_FPERIOD_OVERRIDE=FQ","FILING_STATUS=OR","EQY_CONSOLIDATED=Y","Sort=A","Dates=H","DateFormat=P","Fill=—","Direction=H","UseDPDF=Y")</f>
        <v>#NAME?</v>
      </c>
      <c r="BB312" s="2" t="e">
        <f ca="1">_xll.BDH($C$303,"GEO_GROW_TOT_SHRHLDR_EQY","FQ4 2015","FQ4 2015","Currency=INR","Period=FQ","BEST_FPERIOD_OVERRIDE=FQ","FILING_STATUS=OR","EQY_CONSOLIDATED=Y","Sort=A","Dates=H","DateFormat=P","Fill=—","Direction=H","UseDPDF=Y")</f>
        <v>#NAME?</v>
      </c>
      <c r="BC312" s="2" t="e">
        <f ca="1">_xll.BDH($C$303,"TOTAL_CAPITAL_5_YEAR_GROWTH","FQ4 2015","FQ4 2015","Currency=INR","Period=FQ","BEST_FPERIOD_OVERRIDE=FQ","FILING_STATUS=OR","EQY_CONSOLIDATED=Y","Sort=A","Dates=H","DateFormat=P","Fill=—","Direction=H","UseDPDF=Y")</f>
        <v>#NAME?</v>
      </c>
      <c r="BD312" s="2" t="e">
        <f ca="1">_xll.BDH($C$303,"GEO_GROW_BOOK_VAL","FQ4 2015","FQ4 2015","Currency=INR","Period=FQ","BEST_FPERIOD_OVERRIDE=FQ","FILING_STATUS=OR","EQY_CONSOLIDATED=Y","Sort=A","Dates=H","DateFormat=P","Fill=—","Direction=H","UseDPDF=Y")</f>
        <v>#NAME?</v>
      </c>
      <c r="BE312" s="2" t="e">
        <f ca="1">_xll.BDH($C$303,"GEO_GROW_CASH_OPER_ACT","FQ4 2015","FQ4 2015","Currency=INR","Period=FQ","BEST_FPERIOD_OVERRIDE=FQ","FILING_STATUS=OR","EQY_CONSOLIDATED=Y","Sort=A","Dates=H","DateFormat=P","Fill=—","Direction=H","UseDPDF=Y")</f>
        <v>#NAME?</v>
      </c>
      <c r="BF312" s="2" t="e">
        <f ca="1">_xll.BDH($C$303,"REVENUE_SEQUENTIAL_GROWTH","FQ4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12" s="2" t="e">
        <f ca="1">_xll.BDH($C$303,"EBITDA_SEQUENTIAL_GROWTH","FQ4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12" s="2" t="e">
        <f ca="1">_xll.BDH($C$303,"OPERATING_INCOME_SEQ_GROWTH","FQ4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12" s="2" t="e">
        <f ca="1">_xll.BDH($C$303,"NET_INCOME_TO_COMMON_SEQ_GROWTH","FQ4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12" s="2" t="e">
        <f ca="1">_xll.BDH($C$303,"EPS_DILUTED_SEQUENTIAL_GROWTH","FQ4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12" s="2" t="e">
        <f ca="1">_xll.BDH($C$303,"DPS_SEQUENTIAL_GROWTH","FQ4 2015","FQ4 2015","Currency=INR","Period=FQ","BEST_FPERIOD_OVERRIDE=FQ","FILING_STATUS=OR","EQY_CONSOLIDATED=Y","Sort=A","Dates=H","DateFormat=P","Fill=—","Direction=H","UseDPDF=Y")</f>
        <v>#NAME?</v>
      </c>
      <c r="BL312" s="2" t="e">
        <f ca="1">_xll.BDH($C$303,"ACCOUNTS_RECEIVABLE_SEQ_GROWTH","FQ4 2015","FQ4 2015","Currency=INR","Period=FQ","BEST_FPERIOD_OVERRIDE=FQ","FILING_STATUS=OR","EQY_CONSOLIDATED=Y","Sort=A","Dates=H","DateFormat=P","Fill=—","Direction=H","UseDPDF=Y")</f>
        <v>#NAME?</v>
      </c>
      <c r="BM312" s="2" t="e">
        <f ca="1">_xll.BDH($C$303,"INVENTORY_SEQUENTIAL_GROWTH","FQ4 2015","FQ4 2015","Currency=INR","Period=FQ","BEST_FPERIOD_OVERRIDE=FQ","FILING_STATUS=OR","EQY_CONSOLIDATED=Y","Sort=A","Dates=H","DateFormat=P","Fill=—","Direction=H","UseDPDF=Y")</f>
        <v>#NAME?</v>
      </c>
      <c r="BN312" s="2" t="e">
        <f ca="1">_xll.BDH($C$303,"FIXED_ASSETS_SEQUENTIAL_GROWTH","FQ4 2015","FQ4 2015","Currency=INR","Period=FQ","BEST_FPERIOD_OVERRIDE=FQ","FILING_STATUS=OR","EQY_CONSOLIDATED=Y","Sort=A","Dates=H","DateFormat=P","Fill=—","Direction=H","UseDPDF=Y")</f>
        <v>#NAME?</v>
      </c>
      <c r="BO312" s="2" t="e">
        <f ca="1">_xll.BDH($C$303,"TOTAL_ASSETS_SEQUENTIAL_GROWTH","FQ4 2015","FQ4 2015","Currency=INR","Period=FQ","BEST_FPERIOD_OVERRIDE=FQ","FILING_STATUS=OR","EQY_CONSOLIDATED=Y","Sort=A","Dates=H","DateFormat=P","Fill=—","Direction=H","UseDPDF=Y")</f>
        <v>#NAME?</v>
      </c>
      <c r="BP312" s="2" t="e">
        <f ca="1">_xll.BDH($C$303,"MODIFIED_WORKING_CPTL_SEQ_GRWTH","FQ4 2015","FQ4 2015","Currency=INR","Period=FQ","BEST_FPERIOD_OVERRIDE=FQ","FILING_STATUS=OR","EQY_CONSOLIDATED=Y","Sort=A","Dates=H","DateFormat=P","Fill=—","Direction=H","UseDPDF=Y")</f>
        <v>#NAME?</v>
      </c>
      <c r="BQ312" s="2" t="e">
        <f ca="1">_xll.BDH($C$303,"WORKING_CAPITAL_SEQ_GROWTH","FQ4 2015","FQ4 2015","Currency=INR","Period=FQ","BEST_FPERIOD_OVERRIDE=FQ","FILING_STATUS=OR","EQY_CONSOLIDATED=Y","Sort=A","Dates=H","DateFormat=P","Fill=—","Direction=H","UseDPDF=Y")</f>
        <v>#NAME?</v>
      </c>
      <c r="BR312" s="2" t="e">
        <f ca="1">_xll.BDH($C$303,"ACCOUNTS_PAYABLE_SEQ_GROWTH","FQ4 2015","FQ4 2015","Currency=INR","Period=FQ","BEST_FPERIOD_OVERRIDE=FQ","FILING_STATUS=OR","EQY_CONSOLIDATED=Y","Sort=A","Dates=H","DateFormat=P","Fill=—","Direction=H","UseDPDF=Y")</f>
        <v>#NAME?</v>
      </c>
      <c r="BS312" s="2" t="e">
        <f ca="1">_xll.BDH($C$303,"ST_DEBT_SEQUENTIAL_GROWTH","FQ4 2015","FQ4 2015","Currency=INR","Period=FQ","BEST_FPERIOD_OVERRIDE=FQ","FILING_STATUS=OR","EQY_CONSOLIDATED=Y","Sort=A","Dates=H","DateFormat=P","Fill=—","Direction=H","UseDPDF=Y")</f>
        <v>#NAME?</v>
      </c>
      <c r="BT312" s="2" t="e">
        <f ca="1">_xll.BDH($C$303,"TOTAL_DEBT_SEQUENTIAL_GROWTH","FQ4 2015","FQ4 2015","Currency=INR","Period=FQ","BEST_FPERIOD_OVERRIDE=FQ","FILING_STATUS=OR","EQY_CONSOLIDATED=Y","Sort=A","Dates=H","DateFormat=P","Fill=—","Direction=H","UseDPDF=Y")</f>
        <v>#NAME?</v>
      </c>
      <c r="BU312" s="2" t="e">
        <f ca="1">_xll.BDH($C$303,"TOTAL_EQUITY_SEQUENTIAL_GROWTH","FQ4 2015","FQ4 2015","Currency=INR","Period=FQ","BEST_FPERIOD_OVERRIDE=FQ","FILING_STATUS=OR","EQY_CONSOLIDATED=Y","Sort=A","Dates=H","DateFormat=P","Fill=—","Direction=H","UseDPDF=Y")</f>
        <v>#NAME?</v>
      </c>
      <c r="BV312" s="2" t="e">
        <f ca="1">_xll.BDH($C$303,"TOTAL_CAPITAL_SEQUENTIAL_GROWTH","FQ4 2015","FQ4 2015","Currency=INR","Period=FQ","BEST_FPERIOD_OVERRIDE=FQ","FILING_STATUS=OR","EQY_CONSOLIDATED=Y","Sort=A","Dates=H","DateFormat=P","Fill=—","Direction=H","UseDPDF=Y")</f>
        <v>#NAME?</v>
      </c>
      <c r="BW312" s="2" t="e">
        <f ca="1">_xll.BDH($C$303,"BPS_SEQUENTIAL_GROWTH","FQ4 2015","FQ4 2015","Currency=INR","Period=FQ","BEST_FPERIOD_OVERRIDE=FQ","FILING_STATUS=OR","EQY_CONSOLIDATED=Y","Sort=A","Dates=H","DateFormat=P","Fill=—","Direction=H","UseDPDF=Y")</f>
        <v>#NAME?</v>
      </c>
      <c r="BX312" s="2" t="e">
        <f ca="1">_xll.BDH($C$303,"CFO_SEQUENTIAL_GROWTH","FQ4 2015","FQ4 2015","Currency=INR","Period=FQ","BEST_FPERIOD_OVERRIDE=FQ","FILING_STATUS=OR","EQY_CONSOLIDATED=Y","Sort=A","Dates=H","DateFormat=P","Fill=—","Direction=H","UseDPDF=Y")</f>
        <v>#NAME?</v>
      </c>
      <c r="BY312" s="3" t="e">
        <f ca="1">_xll.BDH($C$303,"SHORT_AND_LONG_TERM_DEBT","FQ4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12" s="3" t="e">
        <f ca="1">_xll.BDH($C$303,"BS_ST_BORROW","FQ4 2015","FQ4 2015","Currency=INR","Period=FQ","BEST_FPERIOD_OVERRIDE=FQ","FILING_STATUS=OR","EQY_CONSOLIDATED=Y","SCALING_FORMAT=MLN","Sort=A","Dates=H","DateFormat=P","Fill=—","Direction=H","UseDPDF=Y")</f>
        <v>#NAME?</v>
      </c>
      <c r="CA312" s="3" t="e">
        <f ca="1">_xll.BDH($C$303,"BS_LT_BORROW","FQ4 2015","FQ4 2015","Currency=INR","Period=FQ","BEST_FPERIOD_OVERRIDE=FQ","FILING_STATUS=OR","EQY_CONSOLIDATED=Y","SCALING_FORMAT=MLN","Sort=A","Dates=H","DateFormat=P","Fill=—","Direction=H","UseDPDF=Y")</f>
        <v>#NAME?</v>
      </c>
      <c r="CB312" s="2" t="e">
        <f ca="1">_xll.BDH($C$303,"TOT_DEBT_TO_EBITDA","FQ4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12" s="2" t="e">
        <f ca="1">_xll.BDH($C$303,"NET_DEBT_TO_EBITDA","FQ4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12" s="2" t="e">
        <f ca="1">_xll.BDH($C$303,"TOTAL_DEBT_TO_EBIT","FQ4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12" s="2" t="e">
        <f ca="1">_xll.BDH($C$303,"NET_DEBT_TO_EBIT","FQ4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12" s="2" t="e">
        <f ca="1">_xll.BDH($C$303,"EBITDA_TO_INTEREST_EXPN","FQ4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12" s="2" t="e">
        <f ca="1">_xll.BDH($C$303,"COM_EQY_TO_TOT_ASSET","FQ4 2015","FQ4 2015","Currency=INR","Period=FQ","BEST_FPERIOD_OVERRIDE=FQ","FILING_STATUS=OR","EQY_CONSOLIDATED=Y","Sort=A","Dates=H","DateFormat=P","Fill=—","Direction=H","UseDPDF=Y")</f>
        <v>#NAME?</v>
      </c>
      <c r="CH312" s="2" t="e">
        <f ca="1">_xll.BDH($C$303,"LT_DEBT_TO_TOT_EQY","FQ4 2015","FQ4 2015","Currency=INR","Period=FQ","BEST_FPERIOD_OVERRIDE=FQ","FILING_STATUS=OR","EQY_CONSOLIDATED=Y","Sort=A","Dates=H","DateFormat=P","Fill=—","Direction=H","UseDPDF=Y")</f>
        <v>#NAME?</v>
      </c>
      <c r="CI312" s="2" t="e">
        <f ca="1">_xll.BDH($C$303,"LT_DEBT_TO_TOT_CAP","FQ4 2015","FQ4 2015","Currency=INR","Period=FQ","BEST_FPERIOD_OVERRIDE=FQ","FILING_STATUS=OR","EQY_CONSOLIDATED=Y","Sort=A","Dates=H","DateFormat=P","Fill=—","Direction=H","UseDPDF=Y")</f>
        <v>#NAME?</v>
      </c>
      <c r="CJ312" s="2" t="e">
        <f ca="1">_xll.BDH($C$303,"LT_DEBT_TO_TOT_ASSET","FQ4 2015","FQ4 2015","Currency=INR","Period=FQ","BEST_FPERIOD_OVERRIDE=FQ","FILING_STATUS=OR","EQY_CONSOLIDATED=Y","Sort=A","Dates=H","DateFormat=P","Fill=—","Direction=H","UseDPDF=Y")</f>
        <v>#NAME?</v>
      </c>
      <c r="CK312" s="2" t="e">
        <f ca="1">_xll.BDH($C$303,"TOT_DEBT_TO_TOT_EQY","FQ4 2015","FQ4 2015","Currency=INR","Period=FQ","BEST_FPERIOD_OVERRIDE=FQ","FILING_STATUS=OR","EQY_CONSOLIDATED=Y","Sort=A","Dates=H","DateFormat=P","Fill=—","Direction=H","UseDPDF=Y")</f>
        <v>#NAME?</v>
      </c>
      <c r="CL312" s="2" t="e">
        <f ca="1">_xll.BDH($C$303,"TOT_DEBT_TO_TOT_CAP","FQ4 2015","FQ4 2015","Currency=INR","Period=FQ","BEST_FPERIOD_OVERRIDE=FQ","FILING_STATUS=OR","EQY_CONSOLIDATED=Y","Sort=A","Dates=H","DateFormat=P","Fill=—","Direction=H","UseDPDF=Y")</f>
        <v>#NAME?</v>
      </c>
      <c r="CM312" s="2" t="e">
        <f ca="1">_xll.BDH($C$303,"TOT_DEBT_TO_TOT_ASSET","FQ4 2015","FQ4 2015","Currency=INR","Period=FQ","BEST_FPERIOD_OVERRIDE=FQ","FILING_STATUS=OR","EQY_CONSOLIDATED=Y","Sort=A","Dates=H","DateFormat=P","Fill=—","Direction=H","UseDPDF=Y")</f>
        <v>#NAME?</v>
      </c>
      <c r="CN312" s="2" t="e">
        <f ca="1">_xll.BDH($C$303,"NET_DEBT_TO_SHRHLDR_EQTY","FQ4 2015","FQ4 2015","Currency=INR","Period=FQ","BEST_FPERIOD_OVERRIDE=FQ","FILING_STATUS=OR","EQY_CONSOLIDATED=Y","Sort=A","Dates=H","DateFormat=P","Fill=—","Direction=H","UseDPDF=Y")</f>
        <v>#NAME?</v>
      </c>
      <c r="CO312" s="2" t="e">
        <f ca="1">_xll.BDH($C$303,"NET_DEBT_%_CAPITAL","FQ4 2015","FQ4 2015","Currency=INR","Period=FQ","BEST_FPERIOD_OVERRIDE=FQ","FILING_STATUS=OR","EQY_CONSOLIDATED=Y","Sort=A","Dates=H","DateFormat=P","Fill=—","Direction=H","UseDPDF=Y")</f>
        <v>#NAME?</v>
      </c>
      <c r="CP312" s="3" t="e">
        <f ca="1">_xll.BDH($C$303,"EBITDA","FQ4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12" s="3" t="e">
        <f ca="1">_xll.BDH($C$303,"EBITDA_AFTER_CAPEX","FQ4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12" s="3" t="e">
        <f ca="1">_xll.BDH($C$303,"IS_OPER_INC","FQ4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12" s="2" t="e">
        <f ca="1">_xll.BDH($C$303,"CASH_RATIO","FQ4 2015","FQ4 2015","Currency=INR","Period=FQ","BEST_FPERIOD_OVERRIDE=FQ","FILING_STATUS=OR","EQY_CONSOLIDATED=Y","Sort=A","Dates=H","DateFormat=P","Fill=—","Direction=H","UseDPDF=Y")</f>
        <v>#NAME?</v>
      </c>
      <c r="CT312" s="2" t="e">
        <f ca="1">_xll.BDH($C$303,"CUR_RATIO","FQ4 2015","FQ4 2015","Currency=INR","Period=FQ","BEST_FPERIOD_OVERRIDE=FQ","FILING_STATUS=OR","EQY_CONSOLIDATED=Y","Sort=A","Dates=H","DateFormat=P","Fill=—","Direction=H","UseDPDF=Y")</f>
        <v>#NAME?</v>
      </c>
      <c r="CU312" s="2" t="e">
        <f ca="1">_xll.BDH($C$303,"QUICK_RATIO","FQ4 2015","FQ4 2015","Currency=INR","Period=FQ","BEST_FPERIOD_OVERRIDE=FQ","FILING_STATUS=OR","EQY_CONSOLIDATED=Y","Sort=A","Dates=H","DateFormat=P","Fill=—","Direction=H","UseDPDF=Y")</f>
        <v>#NAME?</v>
      </c>
      <c r="CV312" s="2" t="e">
        <f ca="1">_xll.BDH($C$303,"ALTMAN_Z_SCORE","FQ4 2015","FQ4 2015","Currency=INR","Period=FQ","BEST_FPERIOD_OVERRIDE=FQ","FILING_STATUS=OR","EQY_CONSOLIDATED=Y","Sort=A","Dates=H","DateFormat=P","Fill=—","Direction=H","UseDPDF=Y")</f>
        <v>#NAME?</v>
      </c>
      <c r="CW312" s="4" t="e">
        <f ca="1">_xll.BDH($C$303,"ACCT_RCV_TURN","FQ4 2015","FQ4 2015","Currency=INR","Period=FQ","BEST_FPERIOD_OVERRIDE=FQ","FILING_STATUS=OR","EQY_CONSOLIDATED=Y","FA_ADJUSTED=GAAP","Sort=A","Dates=H","DateFormat=P","Fill=—","Direction=H","UseDPDF=Y")</f>
        <v>#NAME?</v>
      </c>
      <c r="CX312" s="2" t="e">
        <f ca="1">_xll.BDH($C$303,"ACCT_RCV_DAYS","FQ4 2015","FQ4 2015","Currency=INR","Period=FQ","BEST_FPERIOD_OVERRIDE=FQ","FILING_STATUS=OR","EQY_CONSOLIDATED=Y","FA_ADJUSTED=GAAP","Sort=A","Dates=H","DateFormat=P","Fill=—","Direction=H","UseDPDF=Y")</f>
        <v>#NAME?</v>
      </c>
      <c r="CY312" s="4" t="e">
        <f ca="1">_xll.BDH($C$303,"INVENT_TURN","FQ4 2015","FQ4 2015","Currency=INR","Period=FQ","BEST_FPERIOD_OVERRIDE=FQ","FILING_STATUS=OR","EQY_CONSOLIDATED=Y","FA_ADJUSTED=GAAP","Sort=A","Dates=H","DateFormat=P","Fill=—","Direction=H","UseDPDF=Y")</f>
        <v>#NAME?</v>
      </c>
      <c r="CZ312" s="2" t="e">
        <f ca="1">_xll.BDH($C$303,"INVENT_DAYS","FQ4 2015","FQ4 2015","Currency=INR","Period=FQ","BEST_FPERIOD_OVERRIDE=FQ","FILING_STATUS=OR","EQY_CONSOLIDATED=Y","FA_ADJUSTED=GAAP","Sort=A","Dates=H","DateFormat=P","Fill=—","Direction=H","UseDPDF=Y")</f>
        <v>#NAME?</v>
      </c>
      <c r="DA312" s="4" t="e">
        <f ca="1">_xll.BDH($C$303,"ACCOUNTS_PAYABLE_TURNOVER","FQ4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12" s="2" t="e">
        <f ca="1">_xll.BDH($C$303,"ACCOUNTS_PAYABLE_TURNOVER_DAYS","FQ4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12" s="4" t="e">
        <f ca="1">_xll.BDH($C$303,"CASH_CONVERSION_CYCLE","FQ4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12" s="4" t="e">
        <f ca="1">_xll.BDH($C$303,"INV_TO_CASH_DAYS","FQ4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12" s="5" t="e">
        <f ca="1">_xll.BDH($C$303,"BS_INVENTORIES","FQ4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12" s="3" t="e">
        <f ca="1">_xll.BDH($C$303,"INVTRY_RAW_MATERIALS","FQ4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12" s="3" t="e">
        <f ca="1">_xll.BDH($C$303,"INVTRY_IN_PROGRESS","FQ4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12" s="3" t="e">
        <f ca="1">_xll.BDH($C$303,"INVTRY_FINISHED_GOODS","FQ4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12" s="3" t="e">
        <f ca="1">_xll.BDH($C$303,"BS_OTHER_INV","FQ4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13" spans="1:113" x14ac:dyDescent="0.3">
      <c r="A313" s="6"/>
      <c r="B313" s="6"/>
      <c r="C313" s="6"/>
      <c r="D313" s="6" t="s">
        <v>83</v>
      </c>
      <c r="E313" t="s">
        <v>77</v>
      </c>
      <c r="F313" t="e">
        <f ca="1">_xll.BDH($C$303,"RETURN_COM_EQY","FY 2016","FY 2016","Currency=INR","Period=FY","BEST_FPERIOD_OVERRIDE=FY","FILING_STATUS=OR","EQY_CONSOLIDATED=Y","FA_ADJUSTED=GAAP","Sort=A","Dates=H","DateFormat=P","Fill=—","Direction=H","UseDPDF=Y")</f>
        <v>#NAME?</v>
      </c>
      <c r="G313" t="e">
        <f ca="1">_xll.BDH($C$303,"RETURN_ON_ASSET","FY 2016","FY 2016","Currency=INR","Period=FY","BEST_FPERIOD_OVERRIDE=FY","FILING_STATUS=OR","EQY_CONSOLIDATED=Y","FA_ADJUSTED=GAAP","Sort=A","Dates=H","DateFormat=P","Fill=—","Direction=H","UseDPDF=Y")</f>
        <v>#NAME?</v>
      </c>
      <c r="H313" t="e">
        <f ca="1">_xll.BDH($C$303,"RETURN_ON_CAP","FY 2016","FY 2016","Currency=INR","Period=FY","BEST_FPERIOD_OVERRIDE=FY","FILING_STATUS=OR","EQY_CONSOLIDATED=Y","FA_ADJUSTED=GAAP","Sort=A","Dates=H","DateFormat=P","Fill=—","Direction=H","UseDPDF=Y")</f>
        <v>#NAME?</v>
      </c>
      <c r="I313" t="e">
        <f ca="1">_xll.BDH($C$303,"RETURN_ON_INV_CAPITAL","FY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13" t="e">
        <f ca="1">_xll.BDH($C$303,"EBITDA_TO_REVENUE","FY 2016","FY 2016","Currency=INR","Period=FY","BEST_FPERIOD_OVERRIDE=FY","FILING_STATUS=OR","EQY_CONSOLIDATED=Y","FA_ADJUSTED=GAAP","Sort=A","Dates=H","DateFormat=P","Fill=—","Direction=H","UseDPDF=Y")</f>
        <v>#NAME?</v>
      </c>
      <c r="K313" t="e">
        <f ca="1">_xll.BDH($C$303,"OPER_MARGIN","FY 2016","FY 2016","Currency=INR","Period=FY","BEST_FPERIOD_OVERRIDE=FY","FILING_STATUS=OR","EQY_CONSOLIDATED=Y","FA_ADJUSTED=GAAP","Sort=A","Dates=H","DateFormat=P","Fill=—","Direction=H","UseDPDF=Y")</f>
        <v>#NAME?</v>
      </c>
      <c r="L313" t="e">
        <f ca="1">_xll.BDH($C$303,"INCREMENTAL_OPERATING_MARGIN","FY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13" t="e">
        <f ca="1">_xll.BDH($C$303,"PRETAX_INC_TO_NET_SALES","FY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13" t="e">
        <f ca="1">_xll.BDH($C$303,"INC_BEF_XO_ITEMS_TO_NET_SALES","FY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13" t="e">
        <f ca="1">_xll.BDH($C$303,"PROF_MARGIN","FY 2016","FY 2016","Currency=INR","Period=FY","BEST_FPERIOD_OVERRIDE=FY","FILING_STATUS=OR","EQY_CONSOLIDATED=Y","FA_ADJUSTED=GAAP","Sort=A","Dates=H","DateFormat=P","Fill=—","Direction=H","UseDPDF=Y")</f>
        <v>#NAME?</v>
      </c>
      <c r="P313" t="e">
        <f ca="1">_xll.BDH($C$303,"NET_INCOME_TO_COMMON_MARGIN","FY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13" t="e">
        <f ca="1">_xll.BDH($C$303,"EFF_TAX_RATE","FY 2016","FY 2016","Currency=INR","Period=FY","BEST_FPERIOD_OVERRIDE=FY","FILING_STATUS=OR","EQY_CONSOLIDATED=Y","FA_ADJUSTED=GAAP","Sort=A","Dates=H","DateFormat=P","Fill=—","Direction=H","UseDPDF=Y")</f>
        <v>#NAME?</v>
      </c>
      <c r="R313" t="e">
        <f ca="1">_xll.BDH($C$303,"DVD_PAYOUT_RATIO","FY 2016","FY 2016","Currency=INR","Period=FY","BEST_FPERIOD_OVERRIDE=FY","FILING_STATUS=OR","EQY_CONSOLIDATED=Y","FA_ADJUSTED=GAAP","Sort=A","Dates=H","DateFormat=P","Fill=—","Direction=H","UseDPDF=Y")</f>
        <v>#NAME?</v>
      </c>
      <c r="S313" t="e">
        <f ca="1">_xll.BDH($C$303,"SUSTAIN_GROWTH_RT","FY 2016","FY 2016","Currency=INR","Period=FY","BEST_FPERIOD_OVERRIDE=FY","FILING_STATUS=OR","EQY_CONSOLIDATED=Y","FA_ADJUSTED=GAAP","Sort=A","Dates=H","DateFormat=P","Fill=—","Direction=H","UseDPDF=Y")</f>
        <v>#NAME?</v>
      </c>
      <c r="T313" s="2" t="e">
        <f ca="1">_xll.BDH($C$303,"SALES_GROWTH","FY 2016","FY 2016","Currency=INR","Period=FY","BEST_FPERIOD_OVERRIDE=FY","FILING_STATUS=OR","EQY_CONSOLIDATED=Y","FA_ADJUSTED=GAAP","Sort=A","Dates=H","DateFormat=P","Fill=—","Direction=H","UseDPDF=Y")</f>
        <v>#NAME?</v>
      </c>
      <c r="U313" s="2" t="e">
        <f ca="1">_xll.BDH($C$303,"EBITDA_GROWTH","FY 2016","FY 2016","Currency=INR","Period=FY","BEST_FPERIOD_OVERRIDE=FY","FILING_STATUS=OR","EQY_CONSOLIDATED=Y","FA_ADJUSTED=GAAP","Sort=A","Dates=H","DateFormat=P","Fill=—","Direction=H","UseDPDF=Y")</f>
        <v>#NAME?</v>
      </c>
      <c r="V313" s="2" t="e">
        <f ca="1">_xll.BDH($C$303,"OPER_INC_GROWTH","FY 2016","FY 2016","Currency=INR","Period=FY","BEST_FPERIOD_OVERRIDE=FY","FILING_STATUS=OR","EQY_CONSOLIDATED=Y","FA_ADJUSTED=GAAP","Sort=A","Dates=H","DateFormat=P","Fill=—","Direction=H","UseDPDF=Y")</f>
        <v>#NAME?</v>
      </c>
      <c r="W313" s="2" t="e">
        <f ca="1">_xll.BDH($C$303,"EARN_FOR_COM_GROWTH","FY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13" s="2" t="e">
        <f ca="1">_xll.BDH($C$303,"DILUTED_EPS_AFT_XO_ITEMS_GROWTH","FY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13" s="2" t="e">
        <f ca="1">_xll.BDH($C$303,"DIVIDEND_PER_SHARE_1_YEAR_GROWTH","FY 2016","FY 2016","Currency=INR","Period=FY","BEST_FPERIOD_OVERRIDE=FY","FILING_STATUS=OR","EQY_CONSOLIDATED=Y","Sort=A","Dates=H","DateFormat=P","Fill=—","Direction=H","UseDPDF=Y")</f>
        <v>#NAME?</v>
      </c>
      <c r="Z313" s="2" t="e">
        <f ca="1">_xll.BDH($C$303,"ACCOUNTS_RECEIVABLE_GROWTH","FY 2016","FY 2016","Currency=INR","Period=FY","BEST_FPERIOD_OVERRIDE=FY","FILING_STATUS=OR","EQY_CONSOLIDATED=Y","Sort=A","Dates=H","DateFormat=P","Fill=—","Direction=H","UseDPDF=Y")</f>
        <v>#NAME?</v>
      </c>
      <c r="AA313" s="2" t="e">
        <f ca="1">_xll.BDH($C$303,"INVENTORY_GROWTH","FY 2016","FY 2016","Currency=INR","Period=FY","BEST_FPERIOD_OVERRIDE=FY","FILING_STATUS=OR","EQY_CONSOLIDATED=Y","Sort=A","Dates=H","DateFormat=P","Fill=—","Direction=H","UseDPDF=Y")</f>
        <v>#NAME?</v>
      </c>
      <c r="AB313" s="2" t="e">
        <f ca="1">_xll.BDH($C$303,"NET_FIXED_ASSETS_1_YEAR_GROWTH","FY 2016","FY 2016","Currency=INR","Period=FY","BEST_FPERIOD_OVERRIDE=FY","FILING_STATUS=OR","EQY_CONSOLIDATED=Y","Sort=A","Dates=H","DateFormat=P","Fill=—","Direction=H","UseDPDF=Y")</f>
        <v>#NAME?</v>
      </c>
      <c r="AC313" s="2" t="e">
        <f ca="1">_xll.BDH($C$303,"ASSET_GROWTH","FY 2016","FY 2016","Currency=INR","Period=FY","BEST_FPERIOD_OVERRIDE=FY","FILING_STATUS=OR","EQY_CONSOLIDATED=Y","Sort=A","Dates=H","DateFormat=P","Fill=—","Direction=H","UseDPDF=Y")</f>
        <v>#NAME?</v>
      </c>
      <c r="AD313" s="2" t="e">
        <f ca="1">_xll.BDH($C$303,"MODIFIED_WORK_CAP_GROWTH","FY 2016","FY 2016","Currency=INR","Period=FY","BEST_FPERIOD_OVERRIDE=FY","FILING_STATUS=OR","EQY_CONSOLIDATED=Y","Sort=A","Dates=H","DateFormat=P","Fill=—","Direction=H","UseDPDF=Y")</f>
        <v>#NAME?</v>
      </c>
      <c r="AE313" s="2" t="e">
        <f ca="1">_xll.BDH($C$303,"WORK_CAP_GROWTH","FY 2016","FY 2016","Currency=INR","Period=FY","BEST_FPERIOD_OVERRIDE=FY","FILING_STATUS=OR","EQY_CONSOLIDATED=Y","Sort=A","Dates=H","DateFormat=P","Fill=—","Direction=H","UseDPDF=Y")</f>
        <v>#NAME?</v>
      </c>
      <c r="AF313" s="2" t="e">
        <f ca="1">_xll.BDH($C$303,"ACCOUNTS_PAYABLE_GROWTH_1YR","FY 2016","FY 2016","Currency=INR","Period=FY","BEST_FPERIOD_OVERRIDE=FY","FILING_STATUS=OR","EQY_CONSOLIDATED=Y","Sort=A","Dates=H","DateFormat=P","Fill=—","Direction=H","UseDPDF=Y")</f>
        <v>#NAME?</v>
      </c>
      <c r="AG313" s="2" t="e">
        <f ca="1">_xll.BDH($C$303,"SHORT_TERM_DEBT_1_YEAR_GROWTH","FY 2016","FY 2016","Currency=INR","Period=FY","BEST_FPERIOD_OVERRIDE=FY","FILING_STATUS=OR","EQY_CONSOLIDATED=Y","Sort=A","Dates=H","DateFormat=P","Fill=—","Direction=H","UseDPDF=Y")</f>
        <v>#NAME?</v>
      </c>
      <c r="AH313" s="2" t="e">
        <f ca="1">_xll.BDH($C$303,"TOTAL_DEBT_1_YEAR_GROWTH","FY 2016","FY 2016","Currency=INR","Period=FY","BEST_FPERIOD_OVERRIDE=FY","FILING_STATUS=OR","EQY_CONSOLIDATED=Y","Sort=A","Dates=H","DateFormat=P","Fill=—","Direction=H","UseDPDF=Y")</f>
        <v>#NAME?</v>
      </c>
      <c r="AI313" s="2" t="e">
        <f ca="1">_xll.BDH($C$303,"TOTAL_EQUITY_1_YEAR_GROWTH","FY 2016","FY 2016","Currency=INR","Period=FY","BEST_FPERIOD_OVERRIDE=FY","FILING_STATUS=OR","EQY_CONSOLIDATED=Y","Sort=A","Dates=H","DateFormat=P","Fill=—","Direction=H","UseDPDF=Y")</f>
        <v>#NAME?</v>
      </c>
      <c r="AJ313" s="2" t="e">
        <f ca="1">_xll.BDH($C$303,"GROWTH_IN_CAP","FY 2016","FY 2016","Currency=INR","Period=FY","BEST_FPERIOD_OVERRIDE=FY","FILING_STATUS=OR","EQY_CONSOLIDATED=Y","Sort=A","Dates=H","DateFormat=P","Fill=—","Direction=H","UseDPDF=Y")</f>
        <v>#NAME?</v>
      </c>
      <c r="AK313" s="2" t="e">
        <f ca="1">_xll.BDH($C$303,"BVPS_GROWTH","FY 2016","FY 2016","Currency=INR","Period=FY","BEST_FPERIOD_OVERRIDE=FY","FILING_STATUS=OR","EQY_CONSOLIDATED=Y","Sort=A","Dates=H","DateFormat=P","Fill=—","Direction=H","UseDPDF=Y")</f>
        <v>#NAME?</v>
      </c>
      <c r="AL313" s="2" t="e">
        <f ca="1">_xll.BDH($C$303,"CASH_FLOW_GROWTH","FY 2016","FY 2016","Currency=INR","Period=FY","BEST_FPERIOD_OVERRIDE=FY","FILING_STATUS=OR","EQY_CONSOLIDATED=Y","Sort=A","Dates=H","DateFormat=P","Fill=—","Direction=H","UseDPDF=Y")</f>
        <v>#NAME?</v>
      </c>
      <c r="AM313" s="2" t="e">
        <f ca="1">_xll.BDH($C$303,"GEO_GROW_NET_SALES","FY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13" s="2" t="e">
        <f ca="1">_xll.BDH($C$303,"GEO_GROW_EBITDA","FY 2016","FY 2016","Currency=INR","Period=FY","BEST_FPERIOD_OVERRIDE=FY","FILING_STATUS=OR","EQY_CONSOLIDATED=Y","FA_ADJUSTED=GAAP","Sort=A","Dates=H","DateFormat=P","Fill=—","Direction=H","UseDPDF=Y")</f>
        <v>#NAME?</v>
      </c>
      <c r="AO313" s="2" t="e">
        <f ca="1">_xll.BDH($C$303,"GEO_GROW_OPER_INC","FY 2016","FY 2016","Currency=INR","Period=FY","BEST_FPERIOD_OVERRIDE=FY","FILING_STATUS=OR","EQY_CONSOLIDATED=Y","FA_ADJUSTED=GAAP","Sort=A","Dates=H","DateFormat=P","Fill=—","Direction=H","UseDPDF=Y")</f>
        <v>#NAME?</v>
      </c>
      <c r="AP313" s="2" t="e">
        <f ca="1">_xll.BDH($C$303,"NET_INCOME_TO_COMMON_5_YR_GROWTH","FY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13" s="2" t="e">
        <f ca="1">_xll.BDH($C$303,"5Y_GEO_GROWTH_DILUTED_EPS","FY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13" s="2" t="e">
        <f ca="1">_xll.BDH($C$303,"GEO_GROW_DVD_PER_SH","FY 2016","FY 2016","Currency=INR","Period=FY","BEST_FPERIOD_OVERRIDE=FY","FILING_STATUS=OR","EQY_CONSOLIDATED=Y","Sort=A","Dates=H","DateFormat=P","Fill=—","Direction=H","UseDPDF=Y")</f>
        <v>#NAME?</v>
      </c>
      <c r="AS313" s="2" t="e">
        <f ca="1">_xll.BDH($C$303,"ACCOUNTS_RECEIVABLE_5_YR_GROWTH","FY 2016","FY 2016","Currency=INR","Period=FY","BEST_FPERIOD_OVERRIDE=FY","FILING_STATUS=OR","EQY_CONSOLIDATED=Y","Sort=A","Dates=H","DateFormat=P","Fill=—","Direction=H","UseDPDF=Y")</f>
        <v>#NAME?</v>
      </c>
      <c r="AT313" s="2" t="e">
        <f ca="1">_xll.BDH($C$303,"INVENTORY_5_YEAR_GROWTH","FY 2016","FY 2016","Currency=INR","Period=FY","BEST_FPERIOD_OVERRIDE=FY","FILING_STATUS=OR","EQY_CONSOLIDATED=Y","Sort=A","Dates=H","DateFormat=P","Fill=—","Direction=H","UseDPDF=Y")</f>
        <v>#NAME?</v>
      </c>
      <c r="AU313" s="2" t="e">
        <f ca="1">_xll.BDH($C$303,"NET_FIXED_ASSETS_5_YEAR_GROWTH","FY 2016","FY 2016","Currency=INR","Period=FY","BEST_FPERIOD_OVERRIDE=FY","FILING_STATUS=OR","EQY_CONSOLIDATED=Y","Sort=A","Dates=H","DateFormat=P","Fill=—","Direction=H","UseDPDF=Y")</f>
        <v>#NAME?</v>
      </c>
      <c r="AV313" s="2" t="e">
        <f ca="1">_xll.BDH($C$303,"GEO_GROW_TOT_ASSET","FY 2016","FY 2016","Currency=INR","Period=FY","BEST_FPERIOD_OVERRIDE=FY","FILING_STATUS=OR","EQY_CONSOLIDATED=Y","Sort=A","Dates=H","DateFormat=P","Fill=—","Direction=H","UseDPDF=Y")</f>
        <v>#NAME?</v>
      </c>
      <c r="AW313" s="2" t="e">
        <f ca="1">_xll.BDH($C$303,"MODIFIED_WORKING_CPTL_5YR_GRWTH","FY 2016","FY 2016","Currency=INR","Period=FY","BEST_FPERIOD_OVERRIDE=FY","FILING_STATUS=OR","EQY_CONSOLIDATED=Y","Sort=A","Dates=H","DateFormat=P","Fill=—","Direction=H","UseDPDF=Y")</f>
        <v>#NAME?</v>
      </c>
      <c r="AX313" s="2" t="e">
        <f ca="1">_xll.BDH($C$303,"WORKING_CAPITAL_5_YEAR_GROWTH","FY 2016","FY 2016","Currency=INR","Period=FY","BEST_FPERIOD_OVERRIDE=FY","FILING_STATUS=OR","EQY_CONSOLIDATED=Y","Sort=A","Dates=H","DateFormat=P","Fill=—","Direction=H","UseDPDF=Y")</f>
        <v>#NAME?</v>
      </c>
      <c r="AY313" s="2" t="e">
        <f ca="1">_xll.BDH($C$303,"ACCOUNTS_PAYABLE_5_YEAR_GROWTH","FY 2016","FY 2016","Currency=INR","Period=FY","BEST_FPERIOD_OVERRIDE=FY","FILING_STATUS=OR","EQY_CONSOLIDATED=Y","Sort=A","Dates=H","DateFormat=P","Fill=—","Direction=H","UseDPDF=Y")</f>
        <v>#NAME?</v>
      </c>
      <c r="AZ313" s="2" t="e">
        <f ca="1">_xll.BDH($C$303,"SHORT_TERM_DEBT_5_YEAR_GROWTH","FY 2016","FY 2016","Currency=INR","Period=FY","BEST_FPERIOD_OVERRIDE=FY","FILING_STATUS=OR","EQY_CONSOLIDATED=Y","Sort=A","Dates=H","DateFormat=P","Fill=—","Direction=H","UseDPDF=Y")</f>
        <v>#NAME?</v>
      </c>
      <c r="BA313" s="2" t="e">
        <f ca="1">_xll.BDH($C$303,"TOTAL_DEBT_5_YEAR_GROWTH","FY 2016","FY 2016","Currency=INR","Period=FY","BEST_FPERIOD_OVERRIDE=FY","FILING_STATUS=OR","EQY_CONSOLIDATED=Y","Sort=A","Dates=H","DateFormat=P","Fill=—","Direction=H","UseDPDF=Y")</f>
        <v>#NAME?</v>
      </c>
      <c r="BB313" s="2" t="e">
        <f ca="1">_xll.BDH($C$303,"GEO_GROW_TOT_SHRHLDR_EQY","FY 2016","FY 2016","Currency=INR","Period=FY","BEST_FPERIOD_OVERRIDE=FY","FILING_STATUS=OR","EQY_CONSOLIDATED=Y","Sort=A","Dates=H","DateFormat=P","Fill=—","Direction=H","UseDPDF=Y")</f>
        <v>#NAME?</v>
      </c>
      <c r="BC313" s="2" t="e">
        <f ca="1">_xll.BDH($C$303,"TOTAL_CAPITAL_5_YEAR_GROWTH","FY 2016","FY 2016","Currency=INR","Period=FY","BEST_FPERIOD_OVERRIDE=FY","FILING_STATUS=OR","EQY_CONSOLIDATED=Y","Sort=A","Dates=H","DateFormat=P","Fill=—","Direction=H","UseDPDF=Y")</f>
        <v>#NAME?</v>
      </c>
      <c r="BD313" s="2" t="e">
        <f ca="1">_xll.BDH($C$303,"GEO_GROW_BOOK_VAL","FY 2016","FY 2016","Currency=INR","Period=FY","BEST_FPERIOD_OVERRIDE=FY","FILING_STATUS=OR","EQY_CONSOLIDATED=Y","Sort=A","Dates=H","DateFormat=P","Fill=—","Direction=H","UseDPDF=Y")</f>
        <v>#NAME?</v>
      </c>
      <c r="BE313" s="2" t="e">
        <f ca="1">_xll.BDH($C$303,"GEO_GROW_CASH_OPER_ACT","FY 2016","FY 2016","Currency=INR","Period=FY","BEST_FPERIOD_OVERRIDE=FY","FILING_STATUS=OR","EQY_CONSOLIDATED=Y","Sort=A","Dates=H","DateFormat=P","Fill=—","Direction=H","UseDPDF=Y")</f>
        <v>#NAME?</v>
      </c>
      <c r="BF313" s="2" t="e">
        <f ca="1">_xll.BDH($C$303,"REVENUE_SEQUENTIAL_GROWTH","FY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13" s="2" t="e">
        <f ca="1">_xll.BDH($C$303,"EBITDA_SEQUENTIAL_GROWTH","FY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13" s="2" t="e">
        <f ca="1">_xll.BDH($C$303,"OPERATING_INCOME_SEQ_GROWTH","FY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13" s="2" t="e">
        <f ca="1">_xll.BDH($C$303,"NET_INCOME_TO_COMMON_SEQ_GROWTH","FY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13" s="2" t="e">
        <f ca="1">_xll.BDH($C$303,"EPS_DILUTED_SEQUENTIAL_GROWTH","FY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13" s="2" t="e">
        <f ca="1">_xll.BDH($C$303,"DPS_SEQUENTIAL_GROWTH","FY 2016","FY 2016","Currency=INR","Period=FY","BEST_FPERIOD_OVERRIDE=FY","FILING_STATUS=OR","EQY_CONSOLIDATED=Y","Sort=A","Dates=H","DateFormat=P","Fill=—","Direction=H","UseDPDF=Y")</f>
        <v>#NAME?</v>
      </c>
      <c r="BL313" s="2" t="e">
        <f ca="1">_xll.BDH($C$303,"ACCOUNTS_RECEIVABLE_SEQ_GROWTH","FY 2016","FY 2016","Currency=INR","Period=FY","BEST_FPERIOD_OVERRIDE=FY","FILING_STATUS=OR","EQY_CONSOLIDATED=Y","Sort=A","Dates=H","DateFormat=P","Fill=—","Direction=H","UseDPDF=Y")</f>
        <v>#NAME?</v>
      </c>
      <c r="BM313" s="2" t="e">
        <f ca="1">_xll.BDH($C$303,"INVENTORY_SEQUENTIAL_GROWTH","FY 2016","FY 2016","Currency=INR","Period=FY","BEST_FPERIOD_OVERRIDE=FY","FILING_STATUS=OR","EQY_CONSOLIDATED=Y","Sort=A","Dates=H","DateFormat=P","Fill=—","Direction=H","UseDPDF=Y")</f>
        <v>#NAME?</v>
      </c>
      <c r="BN313" s="2" t="e">
        <f ca="1">_xll.BDH($C$303,"FIXED_ASSETS_SEQUENTIAL_GROWTH","FY 2016","FY 2016","Currency=INR","Period=FY","BEST_FPERIOD_OVERRIDE=FY","FILING_STATUS=OR","EQY_CONSOLIDATED=Y","Sort=A","Dates=H","DateFormat=P","Fill=—","Direction=H","UseDPDF=Y")</f>
        <v>#NAME?</v>
      </c>
      <c r="BO313" s="2" t="e">
        <f ca="1">_xll.BDH($C$303,"TOTAL_ASSETS_SEQUENTIAL_GROWTH","FY 2016","FY 2016","Currency=INR","Period=FY","BEST_FPERIOD_OVERRIDE=FY","FILING_STATUS=OR","EQY_CONSOLIDATED=Y","Sort=A","Dates=H","DateFormat=P","Fill=—","Direction=H","UseDPDF=Y")</f>
        <v>#NAME?</v>
      </c>
      <c r="BP313" s="2" t="e">
        <f ca="1">_xll.BDH($C$303,"MODIFIED_WORKING_CPTL_SEQ_GRWTH","FY 2016","FY 2016","Currency=INR","Period=FY","BEST_FPERIOD_OVERRIDE=FY","FILING_STATUS=OR","EQY_CONSOLIDATED=Y","Sort=A","Dates=H","DateFormat=P","Fill=—","Direction=H","UseDPDF=Y")</f>
        <v>#NAME?</v>
      </c>
      <c r="BQ313" s="2" t="e">
        <f ca="1">_xll.BDH($C$303,"WORKING_CAPITAL_SEQ_GROWTH","FY 2016","FY 2016","Currency=INR","Period=FY","BEST_FPERIOD_OVERRIDE=FY","FILING_STATUS=OR","EQY_CONSOLIDATED=Y","Sort=A","Dates=H","DateFormat=P","Fill=—","Direction=H","UseDPDF=Y")</f>
        <v>#NAME?</v>
      </c>
      <c r="BR313" s="2" t="e">
        <f ca="1">_xll.BDH($C$303,"ACCOUNTS_PAYABLE_SEQ_GROWTH","FY 2016","FY 2016","Currency=INR","Period=FY","BEST_FPERIOD_OVERRIDE=FY","FILING_STATUS=OR","EQY_CONSOLIDATED=Y","Sort=A","Dates=H","DateFormat=P","Fill=—","Direction=H","UseDPDF=Y")</f>
        <v>#NAME?</v>
      </c>
      <c r="BS313" s="2" t="e">
        <f ca="1">_xll.BDH($C$303,"ST_DEBT_SEQUENTIAL_GROWTH","FY 2016","FY 2016","Currency=INR","Period=FY","BEST_FPERIOD_OVERRIDE=FY","FILING_STATUS=OR","EQY_CONSOLIDATED=Y","Sort=A","Dates=H","DateFormat=P","Fill=—","Direction=H","UseDPDF=Y")</f>
        <v>#NAME?</v>
      </c>
      <c r="BT313" s="2" t="e">
        <f ca="1">_xll.BDH($C$303,"TOTAL_DEBT_SEQUENTIAL_GROWTH","FY 2016","FY 2016","Currency=INR","Period=FY","BEST_FPERIOD_OVERRIDE=FY","FILING_STATUS=OR","EQY_CONSOLIDATED=Y","Sort=A","Dates=H","DateFormat=P","Fill=—","Direction=H","UseDPDF=Y")</f>
        <v>#NAME?</v>
      </c>
      <c r="BU313" s="2" t="e">
        <f ca="1">_xll.BDH($C$303,"TOTAL_EQUITY_SEQUENTIAL_GROWTH","FY 2016","FY 2016","Currency=INR","Period=FY","BEST_FPERIOD_OVERRIDE=FY","FILING_STATUS=OR","EQY_CONSOLIDATED=Y","Sort=A","Dates=H","DateFormat=P","Fill=—","Direction=H","UseDPDF=Y")</f>
        <v>#NAME?</v>
      </c>
      <c r="BV313" s="2" t="e">
        <f ca="1">_xll.BDH($C$303,"TOTAL_CAPITAL_SEQUENTIAL_GROWTH","FY 2016","FY 2016","Currency=INR","Period=FY","BEST_FPERIOD_OVERRIDE=FY","FILING_STATUS=OR","EQY_CONSOLIDATED=Y","Sort=A","Dates=H","DateFormat=P","Fill=—","Direction=H","UseDPDF=Y")</f>
        <v>#NAME?</v>
      </c>
      <c r="BW313" s="2" t="e">
        <f ca="1">_xll.BDH($C$303,"BPS_SEQUENTIAL_GROWTH","FY 2016","FY 2016","Currency=INR","Period=FY","BEST_FPERIOD_OVERRIDE=FY","FILING_STATUS=OR","EQY_CONSOLIDATED=Y","Sort=A","Dates=H","DateFormat=P","Fill=—","Direction=H","UseDPDF=Y")</f>
        <v>#NAME?</v>
      </c>
      <c r="BX313" s="2" t="e">
        <f ca="1">_xll.BDH($C$303,"CFO_SEQUENTIAL_GROWTH","FY 2016","FY 2016","Currency=INR","Period=FY","BEST_FPERIOD_OVERRIDE=FY","FILING_STATUS=OR","EQY_CONSOLIDATED=Y","Sort=A","Dates=H","DateFormat=P","Fill=—","Direction=H","UseDPDF=Y")</f>
        <v>#NAME?</v>
      </c>
      <c r="BY313" s="3" t="e">
        <f ca="1">_xll.BDH($C$303,"SHORT_AND_LONG_TERM_DEBT","FY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13" s="3" t="e">
        <f ca="1">_xll.BDH($C$303,"BS_ST_BORROW","FY 2016","FY 2016","Currency=INR","Period=FY","BEST_FPERIOD_OVERRIDE=FY","FILING_STATUS=OR","EQY_CONSOLIDATED=Y","SCALING_FORMAT=MLN","Sort=A","Dates=H","DateFormat=P","Fill=—","Direction=H","UseDPDF=Y")</f>
        <v>#NAME?</v>
      </c>
      <c r="CA313" s="3" t="e">
        <f ca="1">_xll.BDH($C$303,"BS_LT_BORROW","FY 2016","FY 2016","Currency=INR","Period=FY","BEST_FPERIOD_OVERRIDE=FY","FILING_STATUS=OR","EQY_CONSOLIDATED=Y","SCALING_FORMAT=MLN","Sort=A","Dates=H","DateFormat=P","Fill=—","Direction=H","UseDPDF=Y")</f>
        <v>#NAME?</v>
      </c>
      <c r="CB313" s="2" t="e">
        <f ca="1">_xll.BDH($C$303,"TOT_DEBT_TO_EBITDA","FY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13" s="2" t="e">
        <f ca="1">_xll.BDH($C$303,"NET_DEBT_TO_EBITDA","FY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13" s="2" t="e">
        <f ca="1">_xll.BDH($C$303,"TOTAL_DEBT_TO_EBIT","FY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13" s="2" t="e">
        <f ca="1">_xll.BDH($C$303,"NET_DEBT_TO_EBIT","FY 2016","FY 2016","Currency=INR","Period=FY","BEST_FPERIOD_OVERRIDE=FY","FILING_STATUS=OR","EQY_CONSOLIDATED=Y","FA_ADJUSTED=GAAP","Sort=A","Dates=H","DateFormat=P","Fill=—","Direction=H","UseDPDF=Y")</f>
        <v>#NAME?</v>
      </c>
      <c r="CF313" s="2" t="e">
        <f ca="1">_xll.BDH($C$303,"EBITDA_TO_INTEREST_EXPN","FY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13" s="2" t="e">
        <f ca="1">_xll.BDH($C$303,"COM_EQY_TO_TOT_ASSET","FY 2016","FY 2016","Currency=INR","Period=FY","BEST_FPERIOD_OVERRIDE=FY","FILING_STATUS=OR","EQY_CONSOLIDATED=Y","Sort=A","Dates=H","DateFormat=P","Fill=—","Direction=H","UseDPDF=Y")</f>
        <v>#NAME?</v>
      </c>
      <c r="CH313" s="2" t="e">
        <f ca="1">_xll.BDH($C$303,"LT_DEBT_TO_TOT_EQY","FY 2016","FY 2016","Currency=INR","Period=FY","BEST_FPERIOD_OVERRIDE=FY","FILING_STATUS=OR","EQY_CONSOLIDATED=Y","Sort=A","Dates=H","DateFormat=P","Fill=—","Direction=H","UseDPDF=Y")</f>
        <v>#NAME?</v>
      </c>
      <c r="CI313" s="2" t="e">
        <f ca="1">_xll.BDH($C$303,"LT_DEBT_TO_TOT_CAP","FY 2016","FY 2016","Currency=INR","Period=FY","BEST_FPERIOD_OVERRIDE=FY","FILING_STATUS=OR","EQY_CONSOLIDATED=Y","Sort=A","Dates=H","DateFormat=P","Fill=—","Direction=H","UseDPDF=Y")</f>
        <v>#NAME?</v>
      </c>
      <c r="CJ313" s="2" t="e">
        <f ca="1">_xll.BDH($C$303,"LT_DEBT_TO_TOT_ASSET","FY 2016","FY 2016","Currency=INR","Period=FY","BEST_FPERIOD_OVERRIDE=FY","FILING_STATUS=OR","EQY_CONSOLIDATED=Y","Sort=A","Dates=H","DateFormat=P","Fill=—","Direction=H","UseDPDF=Y")</f>
        <v>#NAME?</v>
      </c>
      <c r="CK313" s="2" t="e">
        <f ca="1">_xll.BDH($C$303,"TOT_DEBT_TO_TOT_EQY","FY 2016","FY 2016","Currency=INR","Period=FY","BEST_FPERIOD_OVERRIDE=FY","FILING_STATUS=OR","EQY_CONSOLIDATED=Y","Sort=A","Dates=H","DateFormat=P","Fill=—","Direction=H","UseDPDF=Y")</f>
        <v>#NAME?</v>
      </c>
      <c r="CL313" s="2" t="e">
        <f ca="1">_xll.BDH($C$303,"TOT_DEBT_TO_TOT_CAP","FY 2016","FY 2016","Currency=INR","Period=FY","BEST_FPERIOD_OVERRIDE=FY","FILING_STATUS=OR","EQY_CONSOLIDATED=Y","Sort=A","Dates=H","DateFormat=P","Fill=—","Direction=H","UseDPDF=Y")</f>
        <v>#NAME?</v>
      </c>
      <c r="CM313" s="2" t="e">
        <f ca="1">_xll.BDH($C$303,"TOT_DEBT_TO_TOT_ASSET","FY 2016","FY 2016","Currency=INR","Period=FY","BEST_FPERIOD_OVERRIDE=FY","FILING_STATUS=OR","EQY_CONSOLIDATED=Y","Sort=A","Dates=H","DateFormat=P","Fill=—","Direction=H","UseDPDF=Y")</f>
        <v>#NAME?</v>
      </c>
      <c r="CN313" s="2" t="e">
        <f ca="1">_xll.BDH($C$303,"NET_DEBT_TO_SHRHLDR_EQTY","FY 2016","FY 2016","Currency=INR","Period=FY","BEST_FPERIOD_OVERRIDE=FY","FILING_STATUS=OR","EQY_CONSOLIDATED=Y","Sort=A","Dates=H","DateFormat=P","Fill=—","Direction=H","UseDPDF=Y")</f>
        <v>#NAME?</v>
      </c>
      <c r="CO313" s="2" t="e">
        <f ca="1">_xll.BDH($C$303,"NET_DEBT_%_CAPITAL","FY 2016","FY 2016","Currency=INR","Period=FY","BEST_FPERIOD_OVERRIDE=FY","FILING_STATUS=OR","EQY_CONSOLIDATED=Y","Sort=A","Dates=H","DateFormat=P","Fill=—","Direction=H","UseDPDF=Y")</f>
        <v>#NAME?</v>
      </c>
      <c r="CP313" s="3" t="e">
        <f ca="1">_xll.BDH($C$303,"EBITDA","FY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13" s="3" t="e">
        <f ca="1">_xll.BDH($C$303,"EBITDA_AFTER_CAPEX","FY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13" s="3" t="e">
        <f ca="1">_xll.BDH($C$303,"IS_OPER_INC","FY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13" s="2" t="e">
        <f ca="1">_xll.BDH($C$303,"CASH_RATIO","FY 2016","FY 2016","Currency=INR","Period=FY","BEST_FPERIOD_OVERRIDE=FY","FILING_STATUS=OR","EQY_CONSOLIDATED=Y","Sort=A","Dates=H","DateFormat=P","Fill=—","Direction=H","UseDPDF=Y")</f>
        <v>#NAME?</v>
      </c>
      <c r="CT313" s="2" t="e">
        <f ca="1">_xll.BDH($C$303,"CUR_RATIO","FY 2016","FY 2016","Currency=INR","Period=FY","BEST_FPERIOD_OVERRIDE=FY","FILING_STATUS=OR","EQY_CONSOLIDATED=Y","Sort=A","Dates=H","DateFormat=P","Fill=—","Direction=H","UseDPDF=Y")</f>
        <v>#NAME?</v>
      </c>
      <c r="CU313" s="2" t="e">
        <f ca="1">_xll.BDH($C$303,"QUICK_RATIO","FY 2016","FY 2016","Currency=INR","Period=FY","BEST_FPERIOD_OVERRIDE=FY","FILING_STATUS=OR","EQY_CONSOLIDATED=Y","Sort=A","Dates=H","DateFormat=P","Fill=—","Direction=H","UseDPDF=Y")</f>
        <v>#NAME?</v>
      </c>
      <c r="CV313" s="2" t="e">
        <f ca="1">_xll.BDH($C$303,"ALTMAN_Z_SCORE","FY 2016","FY 2016","Currency=INR","Period=FY","BEST_FPERIOD_OVERRIDE=FY","FILING_STATUS=OR","EQY_CONSOLIDATED=Y","Sort=A","Dates=H","DateFormat=P","Fill=—","Direction=H","UseDPDF=Y")</f>
        <v>#NAME?</v>
      </c>
      <c r="CW313" s="4" t="e">
        <f ca="1">_xll.BDH($C$303,"ACCT_RCV_TURN","FY 2016","FY 2016","Currency=INR","Period=FY","BEST_FPERIOD_OVERRIDE=FY","FILING_STATUS=OR","EQY_CONSOLIDATED=Y","FA_ADJUSTED=GAAP","Sort=A","Dates=H","DateFormat=P","Fill=—","Direction=H","UseDPDF=Y")</f>
        <v>#NAME?</v>
      </c>
      <c r="CX313" s="2" t="e">
        <f ca="1">_xll.BDH($C$303,"ACCT_RCV_DAYS","FY 2016","FY 2016","Currency=INR","Period=FY","BEST_FPERIOD_OVERRIDE=FY","FILING_STATUS=OR","EQY_CONSOLIDATED=Y","FA_ADJUSTED=GAAP","Sort=A","Dates=H","DateFormat=P","Fill=—","Direction=H","UseDPDF=Y")</f>
        <v>#NAME?</v>
      </c>
      <c r="CY313" s="4" t="e">
        <f ca="1">_xll.BDH($C$303,"INVENT_TURN","FY 2016","FY 2016","Currency=INR","Period=FY","BEST_FPERIOD_OVERRIDE=FY","FILING_STATUS=OR","EQY_CONSOLIDATED=Y","FA_ADJUSTED=GAAP","Sort=A","Dates=H","DateFormat=P","Fill=—","Direction=H","UseDPDF=Y")</f>
        <v>#NAME?</v>
      </c>
      <c r="CZ313" s="2" t="e">
        <f ca="1">_xll.BDH($C$303,"INVENT_DAYS","FY 2016","FY 2016","Currency=INR","Period=FY","BEST_FPERIOD_OVERRIDE=FY","FILING_STATUS=OR","EQY_CONSOLIDATED=Y","FA_ADJUSTED=GAAP","Sort=A","Dates=H","DateFormat=P","Fill=—","Direction=H","UseDPDF=Y")</f>
        <v>#NAME?</v>
      </c>
      <c r="DA313" s="4" t="e">
        <f ca="1">_xll.BDH($C$303,"ACCOUNTS_PAYABLE_TURNOVER","FY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13" s="2" t="e">
        <f ca="1">_xll.BDH($C$303,"ACCOUNTS_PAYABLE_TURNOVER_DAYS","FY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13" s="4" t="e">
        <f ca="1">_xll.BDH($C$303,"CASH_CONVERSION_CYCLE","FY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13" s="4" t="e">
        <f ca="1">_xll.BDH($C$303,"INV_TO_CASH_DAYS","FY 2016","FY 2016","Currency=INR","Period=FY","BEST_FPERIOD_OVERRIDE=FY","FILING_STATUS=OR","EQY_CONSOLIDATED=Y","FA_ADJUSTED=GAAP","Sort=A","Dates=H","DateFormat=P","Fill=—","Direction=H","UseDPDF=Y")</f>
        <v>#NAME?</v>
      </c>
      <c r="DE313" s="5" t="e">
        <f ca="1">_xll.BDH($C$303,"BS_INVENTORIES","FY 2016","FY 2016","Currency=INR","Period=FY","BEST_FPERIOD_OVERRIDE=FY","FILING_STATUS=OR","EQY_CONSOLIDATED=Y","SCALING_FORMAT=MLN","Sort=A","Dates=H","DateFormat=P","Fill=—","Direction=H","UseDPDF=Y")</f>
        <v>#NAME?</v>
      </c>
      <c r="DF313" s="3" t="e">
        <f ca="1">_xll.BDH($C$303,"INVTRY_RAW_MATERIALS","FY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13" s="3" t="e">
        <f ca="1">_xll.BDH($C$303,"INVTRY_IN_PROGRESS","FY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13" s="3" t="e">
        <f ca="1">_xll.BDH($C$303,"INVTRY_FINISHED_GOODS","FY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13" s="3" t="e">
        <f ca="1">_xll.BDH($C$303,"BS_OTHER_INV","FY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14" spans="1:113" x14ac:dyDescent="0.3">
      <c r="A314" s="6"/>
      <c r="B314" s="6"/>
      <c r="C314" s="6"/>
      <c r="D314" s="6"/>
      <c r="E314" t="s">
        <v>78</v>
      </c>
      <c r="F314" t="e">
        <f ca="1">_xll.BDH($C$303,"RETURN_COM_EQY","FQ1 2016","FQ1 2016","Currency=INR","Period=FQ","BEST_FPERIOD_OVERRIDE=FQ","FILING_STATUS=OR","EQY_CONSOLIDATED=Y","FA_ADJUSTED=GAAP","Sort=A","Dates=H","DateFormat=P","Fill=—","Direction=H","UseDPDF=Y")</f>
        <v>#NAME?</v>
      </c>
      <c r="G314" t="e">
        <f ca="1">_xll.BDH($C$303,"RETURN_ON_ASSET","FQ1 2016","FQ1 2016","Currency=INR","Period=FQ","BEST_FPERIOD_OVERRIDE=FQ","FILING_STATUS=OR","EQY_CONSOLIDATED=Y","FA_ADJUSTED=GAAP","Sort=A","Dates=H","DateFormat=P","Fill=—","Direction=H","UseDPDF=Y")</f>
        <v>#NAME?</v>
      </c>
      <c r="H314" t="e">
        <f ca="1">_xll.BDH($C$303,"RETURN_ON_CAP","FQ1 2016","FQ1 2016","Currency=INR","Period=FQ","BEST_FPERIOD_OVERRIDE=FQ","FILING_STATUS=OR","EQY_CONSOLIDATED=Y","FA_ADJUSTED=GAAP","Sort=A","Dates=H","DateFormat=P","Fill=—","Direction=H","UseDPDF=Y")</f>
        <v>#NAME?</v>
      </c>
      <c r="I314" t="e">
        <f ca="1">_xll.BDH($C$303,"RETURN_ON_INV_CAPITAL","FQ1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14" t="e">
        <f ca="1">_xll.BDH($C$303,"EBITDA_TO_REVENUE","FQ1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14" t="e">
        <f ca="1">_xll.BDH($C$303,"OPER_MARGIN","FQ1 2016","FQ1 2016","Currency=INR","Period=FQ","BEST_FPERIOD_OVERRIDE=FQ","FILING_STATUS=OR","EQY_CONSOLIDATED=Y","FA_ADJUSTED=GAAP","Sort=A","Dates=H","DateFormat=P","Fill=—","Direction=H","UseDPDF=Y")</f>
        <v>#NAME?</v>
      </c>
      <c r="L314" t="e">
        <f ca="1">_xll.BDH($C$303,"INCREMENTAL_OPERATING_MARGIN","FQ1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14" t="e">
        <f ca="1">_xll.BDH($C$303,"PRETAX_INC_TO_NET_SALES","FQ1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14" t="e">
        <f ca="1">_xll.BDH($C$303,"INC_BEF_XO_ITEMS_TO_NET_SALES","FQ1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14" t="e">
        <f ca="1">_xll.BDH($C$303,"PROF_MARGIN","FQ1 2016","FQ1 2016","Currency=INR","Period=FQ","BEST_FPERIOD_OVERRIDE=FQ","FILING_STATUS=OR","EQY_CONSOLIDATED=Y","FA_ADJUSTED=GAAP","Sort=A","Dates=H","DateFormat=P","Fill=—","Direction=H","UseDPDF=Y")</f>
        <v>#NAME?</v>
      </c>
      <c r="P314" t="e">
        <f ca="1">_xll.BDH($C$303,"NET_INCOME_TO_COMMON_MARGIN","FQ1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14" t="e">
        <f ca="1">_xll.BDH($C$303,"EFF_TAX_RATE","FQ1 2016","FQ1 2016","Currency=INR","Period=FQ","BEST_FPERIOD_OVERRIDE=FQ","FILING_STATUS=OR","EQY_CONSOLIDATED=Y","FA_ADJUSTED=GAAP","Sort=A","Dates=H","DateFormat=P","Fill=—","Direction=H","UseDPDF=Y")</f>
        <v>#NAME?</v>
      </c>
      <c r="R314" t="e">
        <f ca="1">_xll.BDH($C$303,"DVD_PAYOUT_RATIO","FQ1 2016","FQ1 2016","Currency=INR","Period=FQ","BEST_FPERIOD_OVERRIDE=FQ","FILING_STATUS=OR","EQY_CONSOLIDATED=Y","FA_ADJUSTED=GAAP","Sort=A","Dates=H","DateFormat=P","Fill=—","Direction=H","UseDPDF=Y")</f>
        <v>#NAME?</v>
      </c>
      <c r="S314" t="e">
        <f ca="1">_xll.BDH($C$303,"SUSTAIN_GROWTH_RT","FQ1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14" s="2" t="e">
        <f ca="1">_xll.BDH($C$303,"SALES_GROWTH","FQ1 2016","FQ1 2016","Currency=INR","Period=FQ","BEST_FPERIOD_OVERRIDE=FQ","FILING_STATUS=OR","EQY_CONSOLIDATED=Y","FA_ADJUSTED=GAAP","Sort=A","Dates=H","DateFormat=P","Fill=—","Direction=H","UseDPDF=Y")</f>
        <v>#NAME?</v>
      </c>
      <c r="U314" s="2" t="e">
        <f ca="1">_xll.BDH($C$303,"EBITDA_GROWTH","FQ1 2016","FQ1 2016","Currency=INR","Period=FQ","BEST_FPERIOD_OVERRIDE=FQ","FILING_STATUS=OR","EQY_CONSOLIDATED=Y","FA_ADJUSTED=GAAP","Sort=A","Dates=H","DateFormat=P","Fill=—","Direction=H","UseDPDF=Y")</f>
        <v>#NAME?</v>
      </c>
      <c r="V314" s="2" t="e">
        <f ca="1">_xll.BDH($C$303,"OPER_INC_GROWTH","FQ1 2016","FQ1 2016","Currency=INR","Period=FQ","BEST_FPERIOD_OVERRIDE=FQ","FILING_STATUS=OR","EQY_CONSOLIDATED=Y","FA_ADJUSTED=GAAP","Sort=A","Dates=H","DateFormat=P","Fill=—","Direction=H","UseDPDF=Y")</f>
        <v>#NAME?</v>
      </c>
      <c r="W314" s="2" t="e">
        <f ca="1">_xll.BDH($C$303,"EARN_FOR_COM_GROWTH","FQ1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14" s="2" t="e">
        <f ca="1">_xll.BDH($C$303,"DILUTED_EPS_AFT_XO_ITEMS_GROWTH","FQ1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14" s="2" t="e">
        <f ca="1">_xll.BDH($C$303,"DIVIDEND_PER_SHARE_1_YEAR_GROWTH","FQ1 2016","FQ1 2016","Currency=INR","Period=FQ","BEST_FPERIOD_OVERRIDE=FQ","FILING_STATUS=OR","EQY_CONSOLIDATED=Y","Sort=A","Dates=H","DateFormat=P","Fill=—","Direction=H","UseDPDF=Y")</f>
        <v>#NAME?</v>
      </c>
      <c r="Z314" s="2" t="e">
        <f ca="1">_xll.BDH($C$303,"ACCOUNTS_RECEIVABLE_GROWTH","FQ1 2016","FQ1 2016","Currency=INR","Period=FQ","BEST_FPERIOD_OVERRIDE=FQ","FILING_STATUS=OR","EQY_CONSOLIDATED=Y","Sort=A","Dates=H","DateFormat=P","Fill=—","Direction=H","UseDPDF=Y")</f>
        <v>#NAME?</v>
      </c>
      <c r="AA314" s="2" t="e">
        <f ca="1">_xll.BDH($C$303,"INVENTORY_GROWTH","FQ1 2016","FQ1 2016","Currency=INR","Period=FQ","BEST_FPERIOD_OVERRIDE=FQ","FILING_STATUS=OR","EQY_CONSOLIDATED=Y","Sort=A","Dates=H","DateFormat=P","Fill=—","Direction=H","UseDPDF=Y")</f>
        <v>#NAME?</v>
      </c>
      <c r="AB314" s="2" t="e">
        <f ca="1">_xll.BDH($C$303,"NET_FIXED_ASSETS_1_YEAR_GROWTH","FQ1 2016","FQ1 2016","Currency=INR","Period=FQ","BEST_FPERIOD_OVERRIDE=FQ","FILING_STATUS=OR","EQY_CONSOLIDATED=Y","Sort=A","Dates=H","DateFormat=P","Fill=—","Direction=H","UseDPDF=Y")</f>
        <v>#NAME?</v>
      </c>
      <c r="AC314" s="2" t="e">
        <f ca="1">_xll.BDH($C$303,"ASSET_GROWTH","FQ1 2016","FQ1 2016","Currency=INR","Period=FQ","BEST_FPERIOD_OVERRIDE=FQ","FILING_STATUS=OR","EQY_CONSOLIDATED=Y","Sort=A","Dates=H","DateFormat=P","Fill=—","Direction=H","UseDPDF=Y")</f>
        <v>#NAME?</v>
      </c>
      <c r="AD314" s="2" t="e">
        <f ca="1">_xll.BDH($C$303,"MODIFIED_WORK_CAP_GROWTH","FQ1 2016","FQ1 2016","Currency=INR","Period=FQ","BEST_FPERIOD_OVERRIDE=FQ","FILING_STATUS=OR","EQY_CONSOLIDATED=Y","Sort=A","Dates=H","DateFormat=P","Fill=—","Direction=H","UseDPDF=Y")</f>
        <v>#NAME?</v>
      </c>
      <c r="AE314" s="2" t="e">
        <f ca="1">_xll.BDH($C$303,"WORK_CAP_GROWTH","FQ1 2016","FQ1 2016","Currency=INR","Period=FQ","BEST_FPERIOD_OVERRIDE=FQ","FILING_STATUS=OR","EQY_CONSOLIDATED=Y","Sort=A","Dates=H","DateFormat=P","Fill=—","Direction=H","UseDPDF=Y")</f>
        <v>#NAME?</v>
      </c>
      <c r="AF314" s="2" t="e">
        <f ca="1">_xll.BDH($C$303,"ACCOUNTS_PAYABLE_GROWTH_1YR","FQ1 2016","FQ1 2016","Currency=INR","Period=FQ","BEST_FPERIOD_OVERRIDE=FQ","FILING_STATUS=OR","EQY_CONSOLIDATED=Y","Sort=A","Dates=H","DateFormat=P","Fill=—","Direction=H","UseDPDF=Y")</f>
        <v>#NAME?</v>
      </c>
      <c r="AG314" s="2" t="e">
        <f ca="1">_xll.BDH($C$303,"SHORT_TERM_DEBT_1_YEAR_GROWTH","FQ1 2016","FQ1 2016","Currency=INR","Period=FQ","BEST_FPERIOD_OVERRIDE=FQ","FILING_STATUS=OR","EQY_CONSOLIDATED=Y","Sort=A","Dates=H","DateFormat=P","Fill=—","Direction=H","UseDPDF=Y")</f>
        <v>#NAME?</v>
      </c>
      <c r="AH314" s="2" t="e">
        <f ca="1">_xll.BDH($C$303,"TOTAL_DEBT_1_YEAR_GROWTH","FQ1 2016","FQ1 2016","Currency=INR","Period=FQ","BEST_FPERIOD_OVERRIDE=FQ","FILING_STATUS=OR","EQY_CONSOLIDATED=Y","Sort=A","Dates=H","DateFormat=P","Fill=—","Direction=H","UseDPDF=Y")</f>
        <v>#NAME?</v>
      </c>
      <c r="AI314" s="2" t="e">
        <f ca="1">_xll.BDH($C$303,"TOTAL_EQUITY_1_YEAR_GROWTH","FQ1 2016","FQ1 2016","Currency=INR","Period=FQ","BEST_FPERIOD_OVERRIDE=FQ","FILING_STATUS=OR","EQY_CONSOLIDATED=Y","Sort=A","Dates=H","DateFormat=P","Fill=—","Direction=H","UseDPDF=Y")</f>
        <v>#NAME?</v>
      </c>
      <c r="AJ314" s="2" t="e">
        <f ca="1">_xll.BDH($C$303,"GROWTH_IN_CAP","FQ1 2016","FQ1 2016","Currency=INR","Period=FQ","BEST_FPERIOD_OVERRIDE=FQ","FILING_STATUS=OR","EQY_CONSOLIDATED=Y","Sort=A","Dates=H","DateFormat=P","Fill=—","Direction=H","UseDPDF=Y")</f>
        <v>#NAME?</v>
      </c>
      <c r="AK314" s="2" t="e">
        <f ca="1">_xll.BDH($C$303,"BVPS_GROWTH","FQ1 2016","FQ1 2016","Currency=INR","Period=FQ","BEST_FPERIOD_OVERRIDE=FQ","FILING_STATUS=OR","EQY_CONSOLIDATED=Y","Sort=A","Dates=H","DateFormat=P","Fill=—","Direction=H","UseDPDF=Y")</f>
        <v>#NAME?</v>
      </c>
      <c r="AL314" s="2" t="e">
        <f ca="1">_xll.BDH($C$303,"CASH_FLOW_GROWTH","FQ1 2016","FQ1 2016","Currency=INR","Period=FQ","BEST_FPERIOD_OVERRIDE=FQ","FILING_STATUS=OR","EQY_CONSOLIDATED=Y","Sort=A","Dates=H","DateFormat=P","Fill=—","Direction=H","UseDPDF=Y")</f>
        <v>#NAME?</v>
      </c>
      <c r="AM314" s="2" t="e">
        <f ca="1">_xll.BDH($C$303,"GEO_GROW_NET_SALES","FQ1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14" s="2" t="e">
        <f ca="1">_xll.BDH($C$303,"GEO_GROW_EBITDA","FQ1 2016","FQ1 2016","Currency=INR","Period=FQ","BEST_FPERIOD_OVERRIDE=FQ","FILING_STATUS=OR","EQY_CONSOLIDATED=Y","FA_ADJUSTED=GAAP","Sort=A","Dates=H","DateFormat=P","Fill=—","Direction=H","UseDPDF=Y")</f>
        <v>#NAME?</v>
      </c>
      <c r="AO314" s="2" t="e">
        <f ca="1">_xll.BDH($C$303,"GEO_GROW_OPER_INC","FQ1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14" s="2" t="e">
        <f ca="1">_xll.BDH($C$303,"NET_INCOME_TO_COMMON_5_YR_GROWTH","FQ1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14" s="2" t="e">
        <f ca="1">_xll.BDH($C$303,"5Y_GEO_GROWTH_DILUTED_EPS","FQ1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14" s="2" t="e">
        <f ca="1">_xll.BDH($C$303,"GEO_GROW_DVD_PER_SH","FQ1 2016","FQ1 2016","Currency=INR","Period=FQ","BEST_FPERIOD_OVERRIDE=FQ","FILING_STATUS=OR","EQY_CONSOLIDATED=Y","Sort=A","Dates=H","DateFormat=P","Fill=—","Direction=H","UseDPDF=Y")</f>
        <v>#NAME?</v>
      </c>
      <c r="AS314" s="2" t="e">
        <f ca="1">_xll.BDH($C$303,"ACCOUNTS_RECEIVABLE_5_YR_GROWTH","FQ1 2016","FQ1 2016","Currency=INR","Period=FQ","BEST_FPERIOD_OVERRIDE=FQ","FILING_STATUS=OR","EQY_CONSOLIDATED=Y","Sort=A","Dates=H","DateFormat=P","Fill=—","Direction=H","UseDPDF=Y")</f>
        <v>#NAME?</v>
      </c>
      <c r="AT314" s="2" t="e">
        <f ca="1">_xll.BDH($C$303,"INVENTORY_5_YEAR_GROWTH","FQ1 2016","FQ1 2016","Currency=INR","Period=FQ","BEST_FPERIOD_OVERRIDE=FQ","FILING_STATUS=OR","EQY_CONSOLIDATED=Y","Sort=A","Dates=H","DateFormat=P","Fill=—","Direction=H","UseDPDF=Y")</f>
        <v>#NAME?</v>
      </c>
      <c r="AU314" s="2" t="e">
        <f ca="1">_xll.BDH($C$303,"NET_FIXED_ASSETS_5_YEAR_GROWTH","FQ1 2016","FQ1 2016","Currency=INR","Period=FQ","BEST_FPERIOD_OVERRIDE=FQ","FILING_STATUS=OR","EQY_CONSOLIDATED=Y","Sort=A","Dates=H","DateFormat=P","Fill=—","Direction=H","UseDPDF=Y")</f>
        <v>#NAME?</v>
      </c>
      <c r="AV314" s="2" t="e">
        <f ca="1">_xll.BDH($C$303,"GEO_GROW_TOT_ASSET","FQ1 2016","FQ1 2016","Currency=INR","Period=FQ","BEST_FPERIOD_OVERRIDE=FQ","FILING_STATUS=OR","EQY_CONSOLIDATED=Y","Sort=A","Dates=H","DateFormat=P","Fill=—","Direction=H","UseDPDF=Y")</f>
        <v>#NAME?</v>
      </c>
      <c r="AW314" s="2" t="e">
        <f ca="1">_xll.BDH($C$303,"MODIFIED_WORKING_CPTL_5YR_GRWTH","FQ1 2016","FQ1 2016","Currency=INR","Period=FQ","BEST_FPERIOD_OVERRIDE=FQ","FILING_STATUS=OR","EQY_CONSOLIDATED=Y","Sort=A","Dates=H","DateFormat=P","Fill=—","Direction=H","UseDPDF=Y")</f>
        <v>#NAME?</v>
      </c>
      <c r="AX314" s="2" t="e">
        <f ca="1">_xll.BDH($C$303,"WORKING_CAPITAL_5_YEAR_GROWTH","FQ1 2016","FQ1 2016","Currency=INR","Period=FQ","BEST_FPERIOD_OVERRIDE=FQ","FILING_STATUS=OR","EQY_CONSOLIDATED=Y","Sort=A","Dates=H","DateFormat=P","Fill=—","Direction=H","UseDPDF=Y")</f>
        <v>#NAME?</v>
      </c>
      <c r="AY314" s="2" t="e">
        <f ca="1">_xll.BDH($C$303,"ACCOUNTS_PAYABLE_5_YEAR_GROWTH","FQ1 2016","FQ1 2016","Currency=INR","Period=FQ","BEST_FPERIOD_OVERRIDE=FQ","FILING_STATUS=OR","EQY_CONSOLIDATED=Y","Sort=A","Dates=H","DateFormat=P","Fill=—","Direction=H","UseDPDF=Y")</f>
        <v>#NAME?</v>
      </c>
      <c r="AZ314" s="2" t="e">
        <f ca="1">_xll.BDH($C$303,"SHORT_TERM_DEBT_5_YEAR_GROWTH","FQ1 2016","FQ1 2016","Currency=INR","Period=FQ","BEST_FPERIOD_OVERRIDE=FQ","FILING_STATUS=OR","EQY_CONSOLIDATED=Y","Sort=A","Dates=H","DateFormat=P","Fill=—","Direction=H","UseDPDF=Y")</f>
        <v>#NAME?</v>
      </c>
      <c r="BA314" s="2" t="e">
        <f ca="1">_xll.BDH($C$303,"TOTAL_DEBT_5_YEAR_GROWTH","FQ1 2016","FQ1 2016","Currency=INR","Period=FQ","BEST_FPERIOD_OVERRIDE=FQ","FILING_STATUS=OR","EQY_CONSOLIDATED=Y","Sort=A","Dates=H","DateFormat=P","Fill=—","Direction=H","UseDPDF=Y")</f>
        <v>#NAME?</v>
      </c>
      <c r="BB314" s="2" t="e">
        <f ca="1">_xll.BDH($C$303,"GEO_GROW_TOT_SHRHLDR_EQY","FQ1 2016","FQ1 2016","Currency=INR","Period=FQ","BEST_FPERIOD_OVERRIDE=FQ","FILING_STATUS=OR","EQY_CONSOLIDATED=Y","Sort=A","Dates=H","DateFormat=P","Fill=—","Direction=H","UseDPDF=Y")</f>
        <v>#NAME?</v>
      </c>
      <c r="BC314" s="2" t="e">
        <f ca="1">_xll.BDH($C$303,"TOTAL_CAPITAL_5_YEAR_GROWTH","FQ1 2016","FQ1 2016","Currency=INR","Period=FQ","BEST_FPERIOD_OVERRIDE=FQ","FILING_STATUS=OR","EQY_CONSOLIDATED=Y","Sort=A","Dates=H","DateFormat=P","Fill=—","Direction=H","UseDPDF=Y")</f>
        <v>#NAME?</v>
      </c>
      <c r="BD314" s="2" t="e">
        <f ca="1">_xll.BDH($C$303,"GEO_GROW_BOOK_VAL","FQ1 2016","FQ1 2016","Currency=INR","Period=FQ","BEST_FPERIOD_OVERRIDE=FQ","FILING_STATUS=OR","EQY_CONSOLIDATED=Y","Sort=A","Dates=H","DateFormat=P","Fill=—","Direction=H","UseDPDF=Y")</f>
        <v>#NAME?</v>
      </c>
      <c r="BE314" s="2" t="e">
        <f ca="1">_xll.BDH($C$303,"GEO_GROW_CASH_OPER_ACT","FQ1 2016","FQ1 2016","Currency=INR","Period=FQ","BEST_FPERIOD_OVERRIDE=FQ","FILING_STATUS=OR","EQY_CONSOLIDATED=Y","Sort=A","Dates=H","DateFormat=P","Fill=—","Direction=H","UseDPDF=Y")</f>
        <v>#NAME?</v>
      </c>
      <c r="BF314" s="2" t="e">
        <f ca="1">_xll.BDH($C$303,"REVENUE_SEQUENTIAL_GROWTH","FQ1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14" s="2" t="e">
        <f ca="1">_xll.BDH($C$303,"EBITDA_SEQUENTIAL_GROWTH","FQ1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14" s="2" t="e">
        <f ca="1">_xll.BDH($C$303,"OPERATING_INCOME_SEQ_GROWTH","FQ1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14" s="2" t="e">
        <f ca="1">_xll.BDH($C$303,"NET_INCOME_TO_COMMON_SEQ_GROWTH","FQ1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14" s="2" t="e">
        <f ca="1">_xll.BDH($C$303,"EPS_DILUTED_SEQUENTIAL_GROWTH","FQ1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14" s="2" t="e">
        <f ca="1">_xll.BDH($C$303,"DPS_SEQUENTIAL_GROWTH","FQ1 2016","FQ1 2016","Currency=INR","Period=FQ","BEST_FPERIOD_OVERRIDE=FQ","FILING_STATUS=OR","EQY_CONSOLIDATED=Y","Sort=A","Dates=H","DateFormat=P","Fill=—","Direction=H","UseDPDF=Y")</f>
        <v>#NAME?</v>
      </c>
      <c r="BL314" s="2" t="e">
        <f ca="1">_xll.BDH($C$303,"ACCOUNTS_RECEIVABLE_SEQ_GROWTH","FQ1 2016","FQ1 2016","Currency=INR","Period=FQ","BEST_FPERIOD_OVERRIDE=FQ","FILING_STATUS=OR","EQY_CONSOLIDATED=Y","Sort=A","Dates=H","DateFormat=P","Fill=—","Direction=H","UseDPDF=Y")</f>
        <v>#NAME?</v>
      </c>
      <c r="BM314" s="2" t="e">
        <f ca="1">_xll.BDH($C$303,"INVENTORY_SEQUENTIAL_GROWTH","FQ1 2016","FQ1 2016","Currency=INR","Period=FQ","BEST_FPERIOD_OVERRIDE=FQ","FILING_STATUS=OR","EQY_CONSOLIDATED=Y","Sort=A","Dates=H","DateFormat=P","Fill=—","Direction=H","UseDPDF=Y")</f>
        <v>#NAME?</v>
      </c>
      <c r="BN314" s="2" t="e">
        <f ca="1">_xll.BDH($C$303,"FIXED_ASSETS_SEQUENTIAL_GROWTH","FQ1 2016","FQ1 2016","Currency=INR","Period=FQ","BEST_FPERIOD_OVERRIDE=FQ","FILING_STATUS=OR","EQY_CONSOLIDATED=Y","Sort=A","Dates=H","DateFormat=P","Fill=—","Direction=H","UseDPDF=Y")</f>
        <v>#NAME?</v>
      </c>
      <c r="BO314" s="2" t="e">
        <f ca="1">_xll.BDH($C$303,"TOTAL_ASSETS_SEQUENTIAL_GROWTH","FQ1 2016","FQ1 2016","Currency=INR","Period=FQ","BEST_FPERIOD_OVERRIDE=FQ","FILING_STATUS=OR","EQY_CONSOLIDATED=Y","Sort=A","Dates=H","DateFormat=P","Fill=—","Direction=H","UseDPDF=Y")</f>
        <v>#NAME?</v>
      </c>
      <c r="BP314" s="2" t="e">
        <f ca="1">_xll.BDH($C$303,"MODIFIED_WORKING_CPTL_SEQ_GRWTH","FQ1 2016","FQ1 2016","Currency=INR","Period=FQ","BEST_FPERIOD_OVERRIDE=FQ","FILING_STATUS=OR","EQY_CONSOLIDATED=Y","Sort=A","Dates=H","DateFormat=P","Fill=—","Direction=H","UseDPDF=Y")</f>
        <v>#NAME?</v>
      </c>
      <c r="BQ314" s="2" t="e">
        <f ca="1">_xll.BDH($C$303,"WORKING_CAPITAL_SEQ_GROWTH","FQ1 2016","FQ1 2016","Currency=INR","Period=FQ","BEST_FPERIOD_OVERRIDE=FQ","FILING_STATUS=OR","EQY_CONSOLIDATED=Y","Sort=A","Dates=H","DateFormat=P","Fill=—","Direction=H","UseDPDF=Y")</f>
        <v>#NAME?</v>
      </c>
      <c r="BR314" s="2" t="e">
        <f ca="1">_xll.BDH($C$303,"ACCOUNTS_PAYABLE_SEQ_GROWTH","FQ1 2016","FQ1 2016","Currency=INR","Period=FQ","BEST_FPERIOD_OVERRIDE=FQ","FILING_STATUS=OR","EQY_CONSOLIDATED=Y","Sort=A","Dates=H","DateFormat=P","Fill=—","Direction=H","UseDPDF=Y")</f>
        <v>#NAME?</v>
      </c>
      <c r="BS314" s="2" t="e">
        <f ca="1">_xll.BDH($C$303,"ST_DEBT_SEQUENTIAL_GROWTH","FQ1 2016","FQ1 2016","Currency=INR","Period=FQ","BEST_FPERIOD_OVERRIDE=FQ","FILING_STATUS=OR","EQY_CONSOLIDATED=Y","Sort=A","Dates=H","DateFormat=P","Fill=—","Direction=H","UseDPDF=Y")</f>
        <v>#NAME?</v>
      </c>
      <c r="BT314" s="2" t="e">
        <f ca="1">_xll.BDH($C$303,"TOTAL_DEBT_SEQUENTIAL_GROWTH","FQ1 2016","FQ1 2016","Currency=INR","Period=FQ","BEST_FPERIOD_OVERRIDE=FQ","FILING_STATUS=OR","EQY_CONSOLIDATED=Y","Sort=A","Dates=H","DateFormat=P","Fill=—","Direction=H","UseDPDF=Y")</f>
        <v>#NAME?</v>
      </c>
      <c r="BU314" s="2" t="e">
        <f ca="1">_xll.BDH($C$303,"TOTAL_EQUITY_SEQUENTIAL_GROWTH","FQ1 2016","FQ1 2016","Currency=INR","Period=FQ","BEST_FPERIOD_OVERRIDE=FQ","FILING_STATUS=OR","EQY_CONSOLIDATED=Y","Sort=A","Dates=H","DateFormat=P","Fill=—","Direction=H","UseDPDF=Y")</f>
        <v>#NAME?</v>
      </c>
      <c r="BV314" s="2" t="e">
        <f ca="1">_xll.BDH($C$303,"TOTAL_CAPITAL_SEQUENTIAL_GROWTH","FQ1 2016","FQ1 2016","Currency=INR","Period=FQ","BEST_FPERIOD_OVERRIDE=FQ","FILING_STATUS=OR","EQY_CONSOLIDATED=Y","Sort=A","Dates=H","DateFormat=P","Fill=—","Direction=H","UseDPDF=Y")</f>
        <v>#NAME?</v>
      </c>
      <c r="BW314" s="2" t="e">
        <f ca="1">_xll.BDH($C$303,"BPS_SEQUENTIAL_GROWTH","FQ1 2016","FQ1 2016","Currency=INR","Period=FQ","BEST_FPERIOD_OVERRIDE=FQ","FILING_STATUS=OR","EQY_CONSOLIDATED=Y","Sort=A","Dates=H","DateFormat=P","Fill=—","Direction=H","UseDPDF=Y")</f>
        <v>#NAME?</v>
      </c>
      <c r="BX314" s="2" t="e">
        <f ca="1">_xll.BDH($C$303,"CFO_SEQUENTIAL_GROWTH","FQ1 2016","FQ1 2016","Currency=INR","Period=FQ","BEST_FPERIOD_OVERRIDE=FQ","FILING_STATUS=OR","EQY_CONSOLIDATED=Y","Sort=A","Dates=H","DateFormat=P","Fill=—","Direction=H","UseDPDF=Y")</f>
        <v>#NAME?</v>
      </c>
      <c r="BY314" s="3" t="e">
        <f ca="1">_xll.BDH($C$303,"SHORT_AND_LONG_TERM_DEBT","FQ1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14" s="3" t="e">
        <f ca="1">_xll.BDH($C$303,"BS_ST_BORROW","FQ1 2016","FQ1 2016","Currency=INR","Period=FQ","BEST_FPERIOD_OVERRIDE=FQ","FILING_STATUS=OR","EQY_CONSOLIDATED=Y","SCALING_FORMAT=MLN","Sort=A","Dates=H","DateFormat=P","Fill=—","Direction=H","UseDPDF=Y")</f>
        <v>#NAME?</v>
      </c>
      <c r="CA314" s="3" t="e">
        <f ca="1">_xll.BDH($C$303,"BS_LT_BORROW","FQ1 2016","FQ1 2016","Currency=INR","Period=FQ","BEST_FPERIOD_OVERRIDE=FQ","FILING_STATUS=OR","EQY_CONSOLIDATED=Y","SCALING_FORMAT=MLN","Sort=A","Dates=H","DateFormat=P","Fill=—","Direction=H","UseDPDF=Y")</f>
        <v>#NAME?</v>
      </c>
      <c r="CB314" s="2" t="e">
        <f ca="1">_xll.BDH($C$303,"TOT_DEBT_TO_EBITDA","FQ1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14" s="2" t="e">
        <f ca="1">_xll.BDH($C$303,"NET_DEBT_TO_EBITDA","FQ1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14" s="2" t="e">
        <f ca="1">_xll.BDH($C$303,"TOTAL_DEBT_TO_EBIT","FQ1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14" s="2" t="e">
        <f ca="1">_xll.BDH($C$303,"NET_DEBT_TO_EBIT","FQ1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14" s="2" t="e">
        <f ca="1">_xll.BDH($C$303,"EBITDA_TO_INTEREST_EXPN","FQ1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14" s="2" t="e">
        <f ca="1">_xll.BDH($C$303,"COM_EQY_TO_TOT_ASSET","FQ1 2016","FQ1 2016","Currency=INR","Period=FQ","BEST_FPERIOD_OVERRIDE=FQ","FILING_STATUS=OR","EQY_CONSOLIDATED=Y","Sort=A","Dates=H","DateFormat=P","Fill=—","Direction=H","UseDPDF=Y")</f>
        <v>#NAME?</v>
      </c>
      <c r="CH314" s="2" t="e">
        <f ca="1">_xll.BDH($C$303,"LT_DEBT_TO_TOT_EQY","FQ1 2016","FQ1 2016","Currency=INR","Period=FQ","BEST_FPERIOD_OVERRIDE=FQ","FILING_STATUS=OR","EQY_CONSOLIDATED=Y","Sort=A","Dates=H","DateFormat=P","Fill=—","Direction=H","UseDPDF=Y")</f>
        <v>#NAME?</v>
      </c>
      <c r="CI314" s="2" t="e">
        <f ca="1">_xll.BDH($C$303,"LT_DEBT_TO_TOT_CAP","FQ1 2016","FQ1 2016","Currency=INR","Period=FQ","BEST_FPERIOD_OVERRIDE=FQ","FILING_STATUS=OR","EQY_CONSOLIDATED=Y","Sort=A","Dates=H","DateFormat=P","Fill=—","Direction=H","UseDPDF=Y")</f>
        <v>#NAME?</v>
      </c>
      <c r="CJ314" s="2" t="e">
        <f ca="1">_xll.BDH($C$303,"LT_DEBT_TO_TOT_ASSET","FQ1 2016","FQ1 2016","Currency=INR","Period=FQ","BEST_FPERIOD_OVERRIDE=FQ","FILING_STATUS=OR","EQY_CONSOLIDATED=Y","Sort=A","Dates=H","DateFormat=P","Fill=—","Direction=H","UseDPDF=Y")</f>
        <v>#NAME?</v>
      </c>
      <c r="CK314" s="2" t="e">
        <f ca="1">_xll.BDH($C$303,"TOT_DEBT_TO_TOT_EQY","FQ1 2016","FQ1 2016","Currency=INR","Period=FQ","BEST_FPERIOD_OVERRIDE=FQ","FILING_STATUS=OR","EQY_CONSOLIDATED=Y","Sort=A","Dates=H","DateFormat=P","Fill=—","Direction=H","UseDPDF=Y")</f>
        <v>#NAME?</v>
      </c>
      <c r="CL314" s="2" t="e">
        <f ca="1">_xll.BDH($C$303,"TOT_DEBT_TO_TOT_CAP","FQ1 2016","FQ1 2016","Currency=INR","Period=FQ","BEST_FPERIOD_OVERRIDE=FQ","FILING_STATUS=OR","EQY_CONSOLIDATED=Y","Sort=A","Dates=H","DateFormat=P","Fill=—","Direction=H","UseDPDF=Y")</f>
        <v>#NAME?</v>
      </c>
      <c r="CM314" s="2" t="e">
        <f ca="1">_xll.BDH($C$303,"TOT_DEBT_TO_TOT_ASSET","FQ1 2016","FQ1 2016","Currency=INR","Period=FQ","BEST_FPERIOD_OVERRIDE=FQ","FILING_STATUS=OR","EQY_CONSOLIDATED=Y","Sort=A","Dates=H","DateFormat=P","Fill=—","Direction=H","UseDPDF=Y")</f>
        <v>#NAME?</v>
      </c>
      <c r="CN314" s="2" t="e">
        <f ca="1">_xll.BDH($C$303,"NET_DEBT_TO_SHRHLDR_EQTY","FQ1 2016","FQ1 2016","Currency=INR","Period=FQ","BEST_FPERIOD_OVERRIDE=FQ","FILING_STATUS=OR","EQY_CONSOLIDATED=Y","Sort=A","Dates=H","DateFormat=P","Fill=—","Direction=H","UseDPDF=Y")</f>
        <v>#NAME?</v>
      </c>
      <c r="CO314" s="2" t="e">
        <f ca="1">_xll.BDH($C$303,"NET_DEBT_%_CAPITAL","FQ1 2016","FQ1 2016","Currency=INR","Period=FQ","BEST_FPERIOD_OVERRIDE=FQ","FILING_STATUS=OR","EQY_CONSOLIDATED=Y","Sort=A","Dates=H","DateFormat=P","Fill=—","Direction=H","UseDPDF=Y")</f>
        <v>#NAME?</v>
      </c>
      <c r="CP314" s="3" t="e">
        <f ca="1">_xll.BDH($C$303,"EBITDA","FQ1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14" s="3" t="e">
        <f ca="1">_xll.BDH($C$303,"EBITDA_AFTER_CAPEX","FQ1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14" s="3" t="e">
        <f ca="1">_xll.BDH($C$303,"IS_OPER_INC","FQ1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14" s="2" t="e">
        <f ca="1">_xll.BDH($C$303,"CASH_RATIO","FQ1 2016","FQ1 2016","Currency=INR","Period=FQ","BEST_FPERIOD_OVERRIDE=FQ","FILING_STATUS=OR","EQY_CONSOLIDATED=Y","Sort=A","Dates=H","DateFormat=P","Fill=—","Direction=H","UseDPDF=Y")</f>
        <v>#NAME?</v>
      </c>
      <c r="CT314" s="2" t="e">
        <f ca="1">_xll.BDH($C$303,"CUR_RATIO","FQ1 2016","FQ1 2016","Currency=INR","Period=FQ","BEST_FPERIOD_OVERRIDE=FQ","FILING_STATUS=OR","EQY_CONSOLIDATED=Y","Sort=A","Dates=H","DateFormat=P","Fill=—","Direction=H","UseDPDF=Y")</f>
        <v>#NAME?</v>
      </c>
      <c r="CU314" s="2" t="e">
        <f ca="1">_xll.BDH($C$303,"QUICK_RATIO","FQ1 2016","FQ1 2016","Currency=INR","Period=FQ","BEST_FPERIOD_OVERRIDE=FQ","FILING_STATUS=OR","EQY_CONSOLIDATED=Y","Sort=A","Dates=H","DateFormat=P","Fill=—","Direction=H","UseDPDF=Y")</f>
        <v>#NAME?</v>
      </c>
      <c r="CV314" s="2" t="e">
        <f ca="1">_xll.BDH($C$303,"ALTMAN_Z_SCORE","FQ1 2016","FQ1 2016","Currency=INR","Period=FQ","BEST_FPERIOD_OVERRIDE=FQ","FILING_STATUS=OR","EQY_CONSOLIDATED=Y","Sort=A","Dates=H","DateFormat=P","Fill=—","Direction=H","UseDPDF=Y")</f>
        <v>#NAME?</v>
      </c>
      <c r="CW314" s="4" t="e">
        <f ca="1">_xll.BDH($C$303,"ACCT_RCV_TURN","FQ1 2016","FQ1 2016","Currency=INR","Period=FQ","BEST_FPERIOD_OVERRIDE=FQ","FILING_STATUS=OR","EQY_CONSOLIDATED=Y","FA_ADJUSTED=GAAP","Sort=A","Dates=H","DateFormat=P","Fill=—","Direction=H","UseDPDF=Y")</f>
        <v>#NAME?</v>
      </c>
      <c r="CX314" s="2" t="e">
        <f ca="1">_xll.BDH($C$303,"ACCT_RCV_DAYS","FQ1 2016","FQ1 2016","Currency=INR","Period=FQ","BEST_FPERIOD_OVERRIDE=FQ","FILING_STATUS=OR","EQY_CONSOLIDATED=Y","FA_ADJUSTED=GAAP","Sort=A","Dates=H","DateFormat=P","Fill=—","Direction=H","UseDPDF=Y")</f>
        <v>#NAME?</v>
      </c>
      <c r="CY314" s="4" t="e">
        <f ca="1">_xll.BDH($C$303,"INVENT_TURN","FQ1 2016","FQ1 2016","Currency=INR","Period=FQ","BEST_FPERIOD_OVERRIDE=FQ","FILING_STATUS=OR","EQY_CONSOLIDATED=Y","FA_ADJUSTED=GAAP","Sort=A","Dates=H","DateFormat=P","Fill=—","Direction=H","UseDPDF=Y")</f>
        <v>#NAME?</v>
      </c>
      <c r="CZ314" s="2" t="e">
        <f ca="1">_xll.BDH($C$303,"INVENT_DAYS","FQ1 2016","FQ1 2016","Currency=INR","Period=FQ","BEST_FPERIOD_OVERRIDE=FQ","FILING_STATUS=OR","EQY_CONSOLIDATED=Y","FA_ADJUSTED=GAAP","Sort=A","Dates=H","DateFormat=P","Fill=—","Direction=H","UseDPDF=Y")</f>
        <v>#NAME?</v>
      </c>
      <c r="DA314" s="4" t="e">
        <f ca="1">_xll.BDH($C$303,"ACCOUNTS_PAYABLE_TURNOVER","FQ1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14" s="2" t="e">
        <f ca="1">_xll.BDH($C$303,"ACCOUNTS_PAYABLE_TURNOVER_DAYS","FQ1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14" s="4" t="e">
        <f ca="1">_xll.BDH($C$303,"CASH_CONVERSION_CYCLE","FQ1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14" s="4" t="e">
        <f ca="1">_xll.BDH($C$303,"INV_TO_CASH_DAYS","FQ1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14" s="5" t="e">
        <f ca="1">_xll.BDH($C$303,"BS_INVENTORIES","FQ1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14" s="3" t="e">
        <f ca="1">_xll.BDH($C$303,"INVTRY_RAW_MATERIALS","FQ1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14" s="3" t="e">
        <f ca="1">_xll.BDH($C$303,"INVTRY_IN_PROGRESS","FQ1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14" s="3" t="e">
        <f ca="1">_xll.BDH($C$303,"INVTRY_FINISHED_GOODS","FQ1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14" s="3" t="e">
        <f ca="1">_xll.BDH($C$303,"BS_OTHER_INV","FQ1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15" spans="1:113" x14ac:dyDescent="0.3">
      <c r="A315" s="6"/>
      <c r="B315" s="6"/>
      <c r="C315" s="6"/>
      <c r="D315" s="6"/>
      <c r="E315" t="s">
        <v>79</v>
      </c>
      <c r="F315" t="e">
        <f ca="1">_xll.BDH($C$303,"RETURN_COM_EQY","FQ2 2016","FQ2 2016","Currency=INR","Period=FQ","BEST_FPERIOD_OVERRIDE=FQ","FILING_STATUS=OR","EQY_CONSOLIDATED=Y","FA_ADJUSTED=GAAP","Sort=A","Dates=H","DateFormat=P","Fill=—","Direction=H","UseDPDF=Y")</f>
        <v>#NAME?</v>
      </c>
      <c r="G315" t="e">
        <f ca="1">_xll.BDH($C$303,"RETURN_ON_ASSET","FQ2 2016","FQ2 2016","Currency=INR","Period=FQ","BEST_FPERIOD_OVERRIDE=FQ","FILING_STATUS=OR","EQY_CONSOLIDATED=Y","FA_ADJUSTED=GAAP","Sort=A","Dates=H","DateFormat=P","Fill=—","Direction=H","UseDPDF=Y")</f>
        <v>#NAME?</v>
      </c>
      <c r="H315" t="e">
        <f ca="1">_xll.BDH($C$303,"RETURN_ON_CAP","FQ2 2016","FQ2 2016","Currency=INR","Period=FQ","BEST_FPERIOD_OVERRIDE=FQ","FILING_STATUS=OR","EQY_CONSOLIDATED=Y","FA_ADJUSTED=GAAP","Sort=A","Dates=H","DateFormat=P","Fill=—","Direction=H","UseDPDF=Y")</f>
        <v>#NAME?</v>
      </c>
      <c r="I315" t="e">
        <f ca="1">_xll.BDH($C$303,"RETURN_ON_INV_CAPITAL","FQ2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15" t="e">
        <f ca="1">_xll.BDH($C$303,"EBITDA_TO_REVENUE","FQ2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15" t="e">
        <f ca="1">_xll.BDH($C$303,"OPER_MARGIN","FQ2 2016","FQ2 2016","Currency=INR","Period=FQ","BEST_FPERIOD_OVERRIDE=FQ","FILING_STATUS=OR","EQY_CONSOLIDATED=Y","FA_ADJUSTED=GAAP","Sort=A","Dates=H","DateFormat=P","Fill=—","Direction=H","UseDPDF=Y")</f>
        <v>#NAME?</v>
      </c>
      <c r="L315" t="e">
        <f ca="1">_xll.BDH($C$303,"INCREMENTAL_OPERATING_MARGIN","FQ2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15" t="e">
        <f ca="1">_xll.BDH($C$303,"PRETAX_INC_TO_NET_SALES","FQ2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15" t="e">
        <f ca="1">_xll.BDH($C$303,"INC_BEF_XO_ITEMS_TO_NET_SALES","FQ2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15" t="e">
        <f ca="1">_xll.BDH($C$303,"PROF_MARGIN","FQ2 2016","FQ2 2016","Currency=INR","Period=FQ","BEST_FPERIOD_OVERRIDE=FQ","FILING_STATUS=OR","EQY_CONSOLIDATED=Y","FA_ADJUSTED=GAAP","Sort=A","Dates=H","DateFormat=P","Fill=—","Direction=H","UseDPDF=Y")</f>
        <v>#NAME?</v>
      </c>
      <c r="P315" t="e">
        <f ca="1">_xll.BDH($C$303,"NET_INCOME_TO_COMMON_MARGIN","FQ2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15" t="e">
        <f ca="1">_xll.BDH($C$303,"EFF_TAX_RATE","FQ2 2016","FQ2 2016","Currency=INR","Period=FQ","BEST_FPERIOD_OVERRIDE=FQ","FILING_STATUS=OR","EQY_CONSOLIDATED=Y","FA_ADJUSTED=GAAP","Sort=A","Dates=H","DateFormat=P","Fill=—","Direction=H","UseDPDF=Y")</f>
        <v>#NAME?</v>
      </c>
      <c r="R315" t="e">
        <f ca="1">_xll.BDH($C$303,"DVD_PAYOUT_RATIO","FQ2 2016","FQ2 2016","Currency=INR","Period=FQ","BEST_FPERIOD_OVERRIDE=FQ","FILING_STATUS=OR","EQY_CONSOLIDATED=Y","FA_ADJUSTED=GAAP","Sort=A","Dates=H","DateFormat=P","Fill=—","Direction=H","UseDPDF=Y")</f>
        <v>#NAME?</v>
      </c>
      <c r="S315" t="e">
        <f ca="1">_xll.BDH($C$303,"SUSTAIN_GROWTH_RT","FQ2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15" s="2" t="e">
        <f ca="1">_xll.BDH($C$303,"SALES_GROWTH","FQ2 2016","FQ2 2016","Currency=INR","Period=FQ","BEST_FPERIOD_OVERRIDE=FQ","FILING_STATUS=OR","EQY_CONSOLIDATED=Y","FA_ADJUSTED=GAAP","Sort=A","Dates=H","DateFormat=P","Fill=—","Direction=H","UseDPDF=Y")</f>
        <v>#NAME?</v>
      </c>
      <c r="U315" s="2" t="e">
        <f ca="1">_xll.BDH($C$303,"EBITDA_GROWTH","FQ2 2016","FQ2 2016","Currency=INR","Period=FQ","BEST_FPERIOD_OVERRIDE=FQ","FILING_STATUS=OR","EQY_CONSOLIDATED=Y","FA_ADJUSTED=GAAP","Sort=A","Dates=H","DateFormat=P","Fill=—","Direction=H","UseDPDF=Y")</f>
        <v>#NAME?</v>
      </c>
      <c r="V315" s="2" t="e">
        <f ca="1">_xll.BDH($C$303,"OPER_INC_GROWTH","FQ2 2016","FQ2 2016","Currency=INR","Period=FQ","BEST_FPERIOD_OVERRIDE=FQ","FILING_STATUS=OR","EQY_CONSOLIDATED=Y","FA_ADJUSTED=GAAP","Sort=A","Dates=H","DateFormat=P","Fill=—","Direction=H","UseDPDF=Y")</f>
        <v>#NAME?</v>
      </c>
      <c r="W315" s="2" t="e">
        <f ca="1">_xll.BDH($C$303,"EARN_FOR_COM_GROWTH","FQ2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15" s="2" t="e">
        <f ca="1">_xll.BDH($C$303,"DILUTED_EPS_AFT_XO_ITEMS_GROWTH","FQ2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15" s="2" t="e">
        <f ca="1">_xll.BDH($C$303,"DIVIDEND_PER_SHARE_1_YEAR_GROWTH","FQ2 2016","FQ2 2016","Currency=INR","Period=FQ","BEST_FPERIOD_OVERRIDE=FQ","FILING_STATUS=OR","EQY_CONSOLIDATED=Y","Sort=A","Dates=H","DateFormat=P","Fill=—","Direction=H","UseDPDF=Y")</f>
        <v>#NAME?</v>
      </c>
      <c r="Z315" s="2" t="e">
        <f ca="1">_xll.BDH($C$303,"ACCOUNTS_RECEIVABLE_GROWTH","FQ2 2016","FQ2 2016","Currency=INR","Period=FQ","BEST_FPERIOD_OVERRIDE=FQ","FILING_STATUS=OR","EQY_CONSOLIDATED=Y","Sort=A","Dates=H","DateFormat=P","Fill=—","Direction=H","UseDPDF=Y")</f>
        <v>#NAME?</v>
      </c>
      <c r="AA315" s="2" t="e">
        <f ca="1">_xll.BDH($C$303,"INVENTORY_GROWTH","FQ2 2016","FQ2 2016","Currency=INR","Period=FQ","BEST_FPERIOD_OVERRIDE=FQ","FILING_STATUS=OR","EQY_CONSOLIDATED=Y","Sort=A","Dates=H","DateFormat=P","Fill=—","Direction=H","UseDPDF=Y")</f>
        <v>#NAME?</v>
      </c>
      <c r="AB315" s="2" t="e">
        <f ca="1">_xll.BDH($C$303,"NET_FIXED_ASSETS_1_YEAR_GROWTH","FQ2 2016","FQ2 2016","Currency=INR","Period=FQ","BEST_FPERIOD_OVERRIDE=FQ","FILING_STATUS=OR","EQY_CONSOLIDATED=Y","Sort=A","Dates=H","DateFormat=P","Fill=—","Direction=H","UseDPDF=Y")</f>
        <v>#NAME?</v>
      </c>
      <c r="AC315" s="2" t="e">
        <f ca="1">_xll.BDH($C$303,"ASSET_GROWTH","FQ2 2016","FQ2 2016","Currency=INR","Period=FQ","BEST_FPERIOD_OVERRIDE=FQ","FILING_STATUS=OR","EQY_CONSOLIDATED=Y","Sort=A","Dates=H","DateFormat=P","Fill=—","Direction=H","UseDPDF=Y")</f>
        <v>#NAME?</v>
      </c>
      <c r="AD315" s="2" t="e">
        <f ca="1">_xll.BDH($C$303,"MODIFIED_WORK_CAP_GROWTH","FQ2 2016","FQ2 2016","Currency=INR","Period=FQ","BEST_FPERIOD_OVERRIDE=FQ","FILING_STATUS=OR","EQY_CONSOLIDATED=Y","Sort=A","Dates=H","DateFormat=P","Fill=—","Direction=H","UseDPDF=Y")</f>
        <v>#NAME?</v>
      </c>
      <c r="AE315" s="2" t="e">
        <f ca="1">_xll.BDH($C$303,"WORK_CAP_GROWTH","FQ2 2016","FQ2 2016","Currency=INR","Period=FQ","BEST_FPERIOD_OVERRIDE=FQ","FILING_STATUS=OR","EQY_CONSOLIDATED=Y","Sort=A","Dates=H","DateFormat=P","Fill=—","Direction=H","UseDPDF=Y")</f>
        <v>#NAME?</v>
      </c>
      <c r="AF315" s="2" t="e">
        <f ca="1">_xll.BDH($C$303,"ACCOUNTS_PAYABLE_GROWTH_1YR","FQ2 2016","FQ2 2016","Currency=INR","Period=FQ","BEST_FPERIOD_OVERRIDE=FQ","FILING_STATUS=OR","EQY_CONSOLIDATED=Y","Sort=A","Dates=H","DateFormat=P","Fill=—","Direction=H","UseDPDF=Y")</f>
        <v>#NAME?</v>
      </c>
      <c r="AG315" s="2" t="e">
        <f ca="1">_xll.BDH($C$303,"SHORT_TERM_DEBT_1_YEAR_GROWTH","FQ2 2016","FQ2 2016","Currency=INR","Period=FQ","BEST_FPERIOD_OVERRIDE=FQ","FILING_STATUS=OR","EQY_CONSOLIDATED=Y","Sort=A","Dates=H","DateFormat=P","Fill=—","Direction=H","UseDPDF=Y")</f>
        <v>#NAME?</v>
      </c>
      <c r="AH315" s="2" t="e">
        <f ca="1">_xll.BDH($C$303,"TOTAL_DEBT_1_YEAR_GROWTH","FQ2 2016","FQ2 2016","Currency=INR","Period=FQ","BEST_FPERIOD_OVERRIDE=FQ","FILING_STATUS=OR","EQY_CONSOLIDATED=Y","Sort=A","Dates=H","DateFormat=P","Fill=—","Direction=H","UseDPDF=Y")</f>
        <v>#NAME?</v>
      </c>
      <c r="AI315" s="2" t="e">
        <f ca="1">_xll.BDH($C$303,"TOTAL_EQUITY_1_YEAR_GROWTH","FQ2 2016","FQ2 2016","Currency=INR","Period=FQ","BEST_FPERIOD_OVERRIDE=FQ","FILING_STATUS=OR","EQY_CONSOLIDATED=Y","Sort=A","Dates=H","DateFormat=P","Fill=—","Direction=H","UseDPDF=Y")</f>
        <v>#NAME?</v>
      </c>
      <c r="AJ315" s="2" t="e">
        <f ca="1">_xll.BDH($C$303,"GROWTH_IN_CAP","FQ2 2016","FQ2 2016","Currency=INR","Period=FQ","BEST_FPERIOD_OVERRIDE=FQ","FILING_STATUS=OR","EQY_CONSOLIDATED=Y","Sort=A","Dates=H","DateFormat=P","Fill=—","Direction=H","UseDPDF=Y")</f>
        <v>#NAME?</v>
      </c>
      <c r="AK315" s="2" t="e">
        <f ca="1">_xll.BDH($C$303,"BVPS_GROWTH","FQ2 2016","FQ2 2016","Currency=INR","Period=FQ","BEST_FPERIOD_OVERRIDE=FQ","FILING_STATUS=OR","EQY_CONSOLIDATED=Y","Sort=A","Dates=H","DateFormat=P","Fill=—","Direction=H","UseDPDF=Y")</f>
        <v>#NAME?</v>
      </c>
      <c r="AL315" s="2" t="e">
        <f ca="1">_xll.BDH($C$303,"CASH_FLOW_GROWTH","FQ2 2016","FQ2 2016","Currency=INR","Period=FQ","BEST_FPERIOD_OVERRIDE=FQ","FILING_STATUS=OR","EQY_CONSOLIDATED=Y","Sort=A","Dates=H","DateFormat=P","Fill=—","Direction=H","UseDPDF=Y")</f>
        <v>#NAME?</v>
      </c>
      <c r="AM315" s="2" t="e">
        <f ca="1">_xll.BDH($C$303,"GEO_GROW_NET_SALES","FQ2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15" s="2" t="e">
        <f ca="1">_xll.BDH($C$303,"GEO_GROW_EBITDA","FQ2 2016","FQ2 2016","Currency=INR","Period=FQ","BEST_FPERIOD_OVERRIDE=FQ","FILING_STATUS=OR","EQY_CONSOLIDATED=Y","FA_ADJUSTED=GAAP","Sort=A","Dates=H","DateFormat=P","Fill=—","Direction=H","UseDPDF=Y")</f>
        <v>#NAME?</v>
      </c>
      <c r="AO315" s="2" t="e">
        <f ca="1">_xll.BDH($C$303,"GEO_GROW_OPER_INC","FQ2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15" s="2" t="e">
        <f ca="1">_xll.BDH($C$303,"NET_INCOME_TO_COMMON_5_YR_GROWTH","FQ2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15" s="2" t="e">
        <f ca="1">_xll.BDH($C$303,"5Y_GEO_GROWTH_DILUTED_EPS","FQ2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15" s="2" t="e">
        <f ca="1">_xll.BDH($C$303,"GEO_GROW_DVD_PER_SH","FQ2 2016","FQ2 2016","Currency=INR","Period=FQ","BEST_FPERIOD_OVERRIDE=FQ","FILING_STATUS=OR","EQY_CONSOLIDATED=Y","Sort=A","Dates=H","DateFormat=P","Fill=—","Direction=H","UseDPDF=Y")</f>
        <v>#NAME?</v>
      </c>
      <c r="AS315" s="2" t="e">
        <f ca="1">_xll.BDH($C$303,"ACCOUNTS_RECEIVABLE_5_YR_GROWTH","FQ2 2016","FQ2 2016","Currency=INR","Period=FQ","BEST_FPERIOD_OVERRIDE=FQ","FILING_STATUS=OR","EQY_CONSOLIDATED=Y","Sort=A","Dates=H","DateFormat=P","Fill=—","Direction=H","UseDPDF=Y")</f>
        <v>#NAME?</v>
      </c>
      <c r="AT315" s="2" t="e">
        <f ca="1">_xll.BDH($C$303,"INVENTORY_5_YEAR_GROWTH","FQ2 2016","FQ2 2016","Currency=INR","Period=FQ","BEST_FPERIOD_OVERRIDE=FQ","FILING_STATUS=OR","EQY_CONSOLIDATED=Y","Sort=A","Dates=H","DateFormat=P","Fill=—","Direction=H","UseDPDF=Y")</f>
        <v>#NAME?</v>
      </c>
      <c r="AU315" s="2" t="e">
        <f ca="1">_xll.BDH($C$303,"NET_FIXED_ASSETS_5_YEAR_GROWTH","FQ2 2016","FQ2 2016","Currency=INR","Period=FQ","BEST_FPERIOD_OVERRIDE=FQ","FILING_STATUS=OR","EQY_CONSOLIDATED=Y","Sort=A","Dates=H","DateFormat=P","Fill=—","Direction=H","UseDPDF=Y")</f>
        <v>#NAME?</v>
      </c>
      <c r="AV315" s="2" t="e">
        <f ca="1">_xll.BDH($C$303,"GEO_GROW_TOT_ASSET","FQ2 2016","FQ2 2016","Currency=INR","Period=FQ","BEST_FPERIOD_OVERRIDE=FQ","FILING_STATUS=OR","EQY_CONSOLIDATED=Y","Sort=A","Dates=H","DateFormat=P","Fill=—","Direction=H","UseDPDF=Y")</f>
        <v>#NAME?</v>
      </c>
      <c r="AW315" s="2" t="e">
        <f ca="1">_xll.BDH($C$303,"MODIFIED_WORKING_CPTL_5YR_GRWTH","FQ2 2016","FQ2 2016","Currency=INR","Period=FQ","BEST_FPERIOD_OVERRIDE=FQ","FILING_STATUS=OR","EQY_CONSOLIDATED=Y","Sort=A","Dates=H","DateFormat=P","Fill=—","Direction=H","UseDPDF=Y")</f>
        <v>#NAME?</v>
      </c>
      <c r="AX315" s="2" t="e">
        <f ca="1">_xll.BDH($C$303,"WORKING_CAPITAL_5_YEAR_GROWTH","FQ2 2016","FQ2 2016","Currency=INR","Period=FQ","BEST_FPERIOD_OVERRIDE=FQ","FILING_STATUS=OR","EQY_CONSOLIDATED=Y","Sort=A","Dates=H","DateFormat=P","Fill=—","Direction=H","UseDPDF=Y")</f>
        <v>#NAME?</v>
      </c>
      <c r="AY315" s="2" t="e">
        <f ca="1">_xll.BDH($C$303,"ACCOUNTS_PAYABLE_5_YEAR_GROWTH","FQ2 2016","FQ2 2016","Currency=INR","Period=FQ","BEST_FPERIOD_OVERRIDE=FQ","FILING_STATUS=OR","EQY_CONSOLIDATED=Y","Sort=A","Dates=H","DateFormat=P","Fill=—","Direction=H","UseDPDF=Y")</f>
        <v>#NAME?</v>
      </c>
      <c r="AZ315" s="2" t="e">
        <f ca="1">_xll.BDH($C$303,"SHORT_TERM_DEBT_5_YEAR_GROWTH","FQ2 2016","FQ2 2016","Currency=INR","Period=FQ","BEST_FPERIOD_OVERRIDE=FQ","FILING_STATUS=OR","EQY_CONSOLIDATED=Y","Sort=A","Dates=H","DateFormat=P","Fill=—","Direction=H","UseDPDF=Y")</f>
        <v>#NAME?</v>
      </c>
      <c r="BA315" s="2" t="e">
        <f ca="1">_xll.BDH($C$303,"TOTAL_DEBT_5_YEAR_GROWTH","FQ2 2016","FQ2 2016","Currency=INR","Period=FQ","BEST_FPERIOD_OVERRIDE=FQ","FILING_STATUS=OR","EQY_CONSOLIDATED=Y","Sort=A","Dates=H","DateFormat=P","Fill=—","Direction=H","UseDPDF=Y")</f>
        <v>#NAME?</v>
      </c>
      <c r="BB315" s="2" t="e">
        <f ca="1">_xll.BDH($C$303,"GEO_GROW_TOT_SHRHLDR_EQY","FQ2 2016","FQ2 2016","Currency=INR","Period=FQ","BEST_FPERIOD_OVERRIDE=FQ","FILING_STATUS=OR","EQY_CONSOLIDATED=Y","Sort=A","Dates=H","DateFormat=P","Fill=—","Direction=H","UseDPDF=Y")</f>
        <v>#NAME?</v>
      </c>
      <c r="BC315" s="2" t="e">
        <f ca="1">_xll.BDH($C$303,"TOTAL_CAPITAL_5_YEAR_GROWTH","FQ2 2016","FQ2 2016","Currency=INR","Period=FQ","BEST_FPERIOD_OVERRIDE=FQ","FILING_STATUS=OR","EQY_CONSOLIDATED=Y","Sort=A","Dates=H","DateFormat=P","Fill=—","Direction=H","UseDPDF=Y")</f>
        <v>#NAME?</v>
      </c>
      <c r="BD315" s="2" t="e">
        <f ca="1">_xll.BDH($C$303,"GEO_GROW_BOOK_VAL","FQ2 2016","FQ2 2016","Currency=INR","Period=FQ","BEST_FPERIOD_OVERRIDE=FQ","FILING_STATUS=OR","EQY_CONSOLIDATED=Y","Sort=A","Dates=H","DateFormat=P","Fill=—","Direction=H","UseDPDF=Y")</f>
        <v>#NAME?</v>
      </c>
      <c r="BE315" s="2" t="e">
        <f ca="1">_xll.BDH($C$303,"GEO_GROW_CASH_OPER_ACT","FQ2 2016","FQ2 2016","Currency=INR","Period=FQ","BEST_FPERIOD_OVERRIDE=FQ","FILING_STATUS=OR","EQY_CONSOLIDATED=Y","Sort=A","Dates=H","DateFormat=P","Fill=—","Direction=H","UseDPDF=Y")</f>
        <v>#NAME?</v>
      </c>
      <c r="BF315" s="2" t="e">
        <f ca="1">_xll.BDH($C$303,"REVENUE_SEQUENTIAL_GROWTH","FQ2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15" s="2" t="e">
        <f ca="1">_xll.BDH($C$303,"EBITDA_SEQUENTIAL_GROWTH","FQ2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15" s="2" t="e">
        <f ca="1">_xll.BDH($C$303,"OPERATING_INCOME_SEQ_GROWTH","FQ2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15" s="2" t="e">
        <f ca="1">_xll.BDH($C$303,"NET_INCOME_TO_COMMON_SEQ_GROWTH","FQ2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15" s="2" t="e">
        <f ca="1">_xll.BDH($C$303,"EPS_DILUTED_SEQUENTIAL_GROWTH","FQ2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15" s="2" t="e">
        <f ca="1">_xll.BDH($C$303,"DPS_SEQUENTIAL_GROWTH","FQ2 2016","FQ2 2016","Currency=INR","Period=FQ","BEST_FPERIOD_OVERRIDE=FQ","FILING_STATUS=OR","EQY_CONSOLIDATED=Y","Sort=A","Dates=H","DateFormat=P","Fill=—","Direction=H","UseDPDF=Y")</f>
        <v>#NAME?</v>
      </c>
      <c r="BL315" s="2" t="e">
        <f ca="1">_xll.BDH($C$303,"ACCOUNTS_RECEIVABLE_SEQ_GROWTH","FQ2 2016","FQ2 2016","Currency=INR","Period=FQ","BEST_FPERIOD_OVERRIDE=FQ","FILING_STATUS=OR","EQY_CONSOLIDATED=Y","Sort=A","Dates=H","DateFormat=P","Fill=—","Direction=H","UseDPDF=Y")</f>
        <v>#NAME?</v>
      </c>
      <c r="BM315" s="2" t="e">
        <f ca="1">_xll.BDH($C$303,"INVENTORY_SEQUENTIAL_GROWTH","FQ2 2016","FQ2 2016","Currency=INR","Period=FQ","BEST_FPERIOD_OVERRIDE=FQ","FILING_STATUS=OR","EQY_CONSOLIDATED=Y","Sort=A","Dates=H","DateFormat=P","Fill=—","Direction=H","UseDPDF=Y")</f>
        <v>#NAME?</v>
      </c>
      <c r="BN315" s="2" t="e">
        <f ca="1">_xll.BDH($C$303,"FIXED_ASSETS_SEQUENTIAL_GROWTH","FQ2 2016","FQ2 2016","Currency=INR","Period=FQ","BEST_FPERIOD_OVERRIDE=FQ","FILING_STATUS=OR","EQY_CONSOLIDATED=Y","Sort=A","Dates=H","DateFormat=P","Fill=—","Direction=H","UseDPDF=Y")</f>
        <v>#NAME?</v>
      </c>
      <c r="BO315" s="2" t="e">
        <f ca="1">_xll.BDH($C$303,"TOTAL_ASSETS_SEQUENTIAL_GROWTH","FQ2 2016","FQ2 2016","Currency=INR","Period=FQ","BEST_FPERIOD_OVERRIDE=FQ","FILING_STATUS=OR","EQY_CONSOLIDATED=Y","Sort=A","Dates=H","DateFormat=P","Fill=—","Direction=H","UseDPDF=Y")</f>
        <v>#NAME?</v>
      </c>
      <c r="BP315" s="2" t="e">
        <f ca="1">_xll.BDH($C$303,"MODIFIED_WORKING_CPTL_SEQ_GRWTH","FQ2 2016","FQ2 2016","Currency=INR","Period=FQ","BEST_FPERIOD_OVERRIDE=FQ","FILING_STATUS=OR","EQY_CONSOLIDATED=Y","Sort=A","Dates=H","DateFormat=P","Fill=—","Direction=H","UseDPDF=Y")</f>
        <v>#NAME?</v>
      </c>
      <c r="BQ315" s="2" t="e">
        <f ca="1">_xll.BDH($C$303,"WORKING_CAPITAL_SEQ_GROWTH","FQ2 2016","FQ2 2016","Currency=INR","Period=FQ","BEST_FPERIOD_OVERRIDE=FQ","FILING_STATUS=OR","EQY_CONSOLIDATED=Y","Sort=A","Dates=H","DateFormat=P","Fill=—","Direction=H","UseDPDF=Y")</f>
        <v>#NAME?</v>
      </c>
      <c r="BR315" s="2" t="e">
        <f ca="1">_xll.BDH($C$303,"ACCOUNTS_PAYABLE_SEQ_GROWTH","FQ2 2016","FQ2 2016","Currency=INR","Period=FQ","BEST_FPERIOD_OVERRIDE=FQ","FILING_STATUS=OR","EQY_CONSOLIDATED=Y","Sort=A","Dates=H","DateFormat=P","Fill=—","Direction=H","UseDPDF=Y")</f>
        <v>#NAME?</v>
      </c>
      <c r="BS315" s="2" t="e">
        <f ca="1">_xll.BDH($C$303,"ST_DEBT_SEQUENTIAL_GROWTH","FQ2 2016","FQ2 2016","Currency=INR","Period=FQ","BEST_FPERIOD_OVERRIDE=FQ","FILING_STATUS=OR","EQY_CONSOLIDATED=Y","Sort=A","Dates=H","DateFormat=P","Fill=—","Direction=H","UseDPDF=Y")</f>
        <v>#NAME?</v>
      </c>
      <c r="BT315" s="2" t="e">
        <f ca="1">_xll.BDH($C$303,"TOTAL_DEBT_SEQUENTIAL_GROWTH","FQ2 2016","FQ2 2016","Currency=INR","Period=FQ","BEST_FPERIOD_OVERRIDE=FQ","FILING_STATUS=OR","EQY_CONSOLIDATED=Y","Sort=A","Dates=H","DateFormat=P","Fill=—","Direction=H","UseDPDF=Y")</f>
        <v>#NAME?</v>
      </c>
      <c r="BU315" s="2" t="e">
        <f ca="1">_xll.BDH($C$303,"TOTAL_EQUITY_SEQUENTIAL_GROWTH","FQ2 2016","FQ2 2016","Currency=INR","Period=FQ","BEST_FPERIOD_OVERRIDE=FQ","FILING_STATUS=OR","EQY_CONSOLIDATED=Y","Sort=A","Dates=H","DateFormat=P","Fill=—","Direction=H","UseDPDF=Y")</f>
        <v>#NAME?</v>
      </c>
      <c r="BV315" s="2" t="e">
        <f ca="1">_xll.BDH($C$303,"TOTAL_CAPITAL_SEQUENTIAL_GROWTH","FQ2 2016","FQ2 2016","Currency=INR","Period=FQ","BEST_FPERIOD_OVERRIDE=FQ","FILING_STATUS=OR","EQY_CONSOLIDATED=Y","Sort=A","Dates=H","DateFormat=P","Fill=—","Direction=H","UseDPDF=Y")</f>
        <v>#NAME?</v>
      </c>
      <c r="BW315" s="2" t="e">
        <f ca="1">_xll.BDH($C$303,"BPS_SEQUENTIAL_GROWTH","FQ2 2016","FQ2 2016","Currency=INR","Period=FQ","BEST_FPERIOD_OVERRIDE=FQ","FILING_STATUS=OR","EQY_CONSOLIDATED=Y","Sort=A","Dates=H","DateFormat=P","Fill=—","Direction=H","UseDPDF=Y")</f>
        <v>#NAME?</v>
      </c>
      <c r="BX315" s="2" t="e">
        <f ca="1">_xll.BDH($C$303,"CFO_SEQUENTIAL_GROWTH","FQ2 2016","FQ2 2016","Currency=INR","Period=FQ","BEST_FPERIOD_OVERRIDE=FQ","FILING_STATUS=OR","EQY_CONSOLIDATED=Y","Sort=A","Dates=H","DateFormat=P","Fill=—","Direction=H","UseDPDF=Y")</f>
        <v>#NAME?</v>
      </c>
      <c r="BY315" s="3" t="e">
        <f ca="1">_xll.BDH($C$303,"SHORT_AND_LONG_TERM_DEBT","FQ2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15" s="3" t="e">
        <f ca="1">_xll.BDH($C$303,"BS_ST_BORROW","FQ2 2016","FQ2 2016","Currency=INR","Period=FQ","BEST_FPERIOD_OVERRIDE=FQ","FILING_STATUS=OR","EQY_CONSOLIDATED=Y","SCALING_FORMAT=MLN","Sort=A","Dates=H","DateFormat=P","Fill=—","Direction=H","UseDPDF=Y")</f>
        <v>#NAME?</v>
      </c>
      <c r="CA315" s="3" t="e">
        <f ca="1">_xll.BDH($C$303,"BS_LT_BORROW","FQ2 2016","FQ2 2016","Currency=INR","Period=FQ","BEST_FPERIOD_OVERRIDE=FQ","FILING_STATUS=OR","EQY_CONSOLIDATED=Y","SCALING_FORMAT=MLN","Sort=A","Dates=H","DateFormat=P","Fill=—","Direction=H","UseDPDF=Y")</f>
        <v>#NAME?</v>
      </c>
      <c r="CB315" s="2" t="e">
        <f ca="1">_xll.BDH($C$303,"TOT_DEBT_TO_EBITDA","FQ2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15" s="2" t="e">
        <f ca="1">_xll.BDH($C$303,"NET_DEBT_TO_EBITDA","FQ2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15" s="2" t="e">
        <f ca="1">_xll.BDH($C$303,"TOTAL_DEBT_TO_EBIT","FQ2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15" s="2" t="e">
        <f ca="1">_xll.BDH($C$303,"NET_DEBT_TO_EBIT","FQ2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15" s="2" t="e">
        <f ca="1">_xll.BDH($C$303,"EBITDA_TO_INTEREST_EXPN","FQ2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15" s="2" t="e">
        <f ca="1">_xll.BDH($C$303,"COM_EQY_TO_TOT_ASSET","FQ2 2016","FQ2 2016","Currency=INR","Period=FQ","BEST_FPERIOD_OVERRIDE=FQ","FILING_STATUS=OR","EQY_CONSOLIDATED=Y","Sort=A","Dates=H","DateFormat=P","Fill=—","Direction=H","UseDPDF=Y")</f>
        <v>#NAME?</v>
      </c>
      <c r="CH315" s="2" t="e">
        <f ca="1">_xll.BDH($C$303,"LT_DEBT_TO_TOT_EQY","FQ2 2016","FQ2 2016","Currency=INR","Period=FQ","BEST_FPERIOD_OVERRIDE=FQ","FILING_STATUS=OR","EQY_CONSOLIDATED=Y","Sort=A","Dates=H","DateFormat=P","Fill=—","Direction=H","UseDPDF=Y")</f>
        <v>#NAME?</v>
      </c>
      <c r="CI315" s="2" t="e">
        <f ca="1">_xll.BDH($C$303,"LT_DEBT_TO_TOT_CAP","FQ2 2016","FQ2 2016","Currency=INR","Period=FQ","BEST_FPERIOD_OVERRIDE=FQ","FILING_STATUS=OR","EQY_CONSOLIDATED=Y","Sort=A","Dates=H","DateFormat=P","Fill=—","Direction=H","UseDPDF=Y")</f>
        <v>#NAME?</v>
      </c>
      <c r="CJ315" s="2" t="e">
        <f ca="1">_xll.BDH($C$303,"LT_DEBT_TO_TOT_ASSET","FQ2 2016","FQ2 2016","Currency=INR","Period=FQ","BEST_FPERIOD_OVERRIDE=FQ","FILING_STATUS=OR","EQY_CONSOLIDATED=Y","Sort=A","Dates=H","DateFormat=P","Fill=—","Direction=H","UseDPDF=Y")</f>
        <v>#NAME?</v>
      </c>
      <c r="CK315" s="2" t="e">
        <f ca="1">_xll.BDH($C$303,"TOT_DEBT_TO_TOT_EQY","FQ2 2016","FQ2 2016","Currency=INR","Period=FQ","BEST_FPERIOD_OVERRIDE=FQ","FILING_STATUS=OR","EQY_CONSOLIDATED=Y","Sort=A","Dates=H","DateFormat=P","Fill=—","Direction=H","UseDPDF=Y")</f>
        <v>#NAME?</v>
      </c>
      <c r="CL315" s="2" t="e">
        <f ca="1">_xll.BDH($C$303,"TOT_DEBT_TO_TOT_CAP","FQ2 2016","FQ2 2016","Currency=INR","Period=FQ","BEST_FPERIOD_OVERRIDE=FQ","FILING_STATUS=OR","EQY_CONSOLIDATED=Y","Sort=A","Dates=H","DateFormat=P","Fill=—","Direction=H","UseDPDF=Y")</f>
        <v>#NAME?</v>
      </c>
      <c r="CM315" s="2" t="e">
        <f ca="1">_xll.BDH($C$303,"TOT_DEBT_TO_TOT_ASSET","FQ2 2016","FQ2 2016","Currency=INR","Period=FQ","BEST_FPERIOD_OVERRIDE=FQ","FILING_STATUS=OR","EQY_CONSOLIDATED=Y","Sort=A","Dates=H","DateFormat=P","Fill=—","Direction=H","UseDPDF=Y")</f>
        <v>#NAME?</v>
      </c>
      <c r="CN315" s="2" t="e">
        <f ca="1">_xll.BDH($C$303,"NET_DEBT_TO_SHRHLDR_EQTY","FQ2 2016","FQ2 2016","Currency=INR","Period=FQ","BEST_FPERIOD_OVERRIDE=FQ","FILING_STATUS=OR","EQY_CONSOLIDATED=Y","Sort=A","Dates=H","DateFormat=P","Fill=—","Direction=H","UseDPDF=Y")</f>
        <v>#NAME?</v>
      </c>
      <c r="CO315" s="2" t="e">
        <f ca="1">_xll.BDH($C$303,"NET_DEBT_%_CAPITAL","FQ2 2016","FQ2 2016","Currency=INR","Period=FQ","BEST_FPERIOD_OVERRIDE=FQ","FILING_STATUS=OR","EQY_CONSOLIDATED=Y","Sort=A","Dates=H","DateFormat=P","Fill=—","Direction=H","UseDPDF=Y")</f>
        <v>#NAME?</v>
      </c>
      <c r="CP315" s="3" t="e">
        <f ca="1">_xll.BDH($C$303,"EBITDA","FQ2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15" s="3" t="e">
        <f ca="1">_xll.BDH($C$303,"EBITDA_AFTER_CAPEX","FQ2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15" s="3" t="e">
        <f ca="1">_xll.BDH($C$303,"IS_OPER_INC","FQ2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15" s="2" t="e">
        <f ca="1">_xll.BDH($C$303,"CASH_RATIO","FQ2 2016","FQ2 2016","Currency=INR","Period=FQ","BEST_FPERIOD_OVERRIDE=FQ","FILING_STATUS=OR","EQY_CONSOLIDATED=Y","Sort=A","Dates=H","DateFormat=P","Fill=—","Direction=H","UseDPDF=Y")</f>
        <v>#NAME?</v>
      </c>
      <c r="CT315" s="2" t="e">
        <f ca="1">_xll.BDH($C$303,"CUR_RATIO","FQ2 2016","FQ2 2016","Currency=INR","Period=FQ","BEST_FPERIOD_OVERRIDE=FQ","FILING_STATUS=OR","EQY_CONSOLIDATED=Y","Sort=A","Dates=H","DateFormat=P","Fill=—","Direction=H","UseDPDF=Y")</f>
        <v>#NAME?</v>
      </c>
      <c r="CU315" s="2" t="e">
        <f ca="1">_xll.BDH($C$303,"QUICK_RATIO","FQ2 2016","FQ2 2016","Currency=INR","Period=FQ","BEST_FPERIOD_OVERRIDE=FQ","FILING_STATUS=OR","EQY_CONSOLIDATED=Y","Sort=A","Dates=H","DateFormat=P","Fill=—","Direction=H","UseDPDF=Y")</f>
        <v>#NAME?</v>
      </c>
      <c r="CV315" s="2" t="e">
        <f ca="1">_xll.BDH($C$303,"ALTMAN_Z_SCORE","FQ2 2016","FQ2 2016","Currency=INR","Period=FQ","BEST_FPERIOD_OVERRIDE=FQ","FILING_STATUS=OR","EQY_CONSOLIDATED=Y","Sort=A","Dates=H","DateFormat=P","Fill=—","Direction=H","UseDPDF=Y")</f>
        <v>#NAME?</v>
      </c>
      <c r="CW315" s="4" t="e">
        <f ca="1">_xll.BDH($C$303,"ACCT_RCV_TURN","FQ2 2016","FQ2 2016","Currency=INR","Period=FQ","BEST_FPERIOD_OVERRIDE=FQ","FILING_STATUS=OR","EQY_CONSOLIDATED=Y","FA_ADJUSTED=GAAP","Sort=A","Dates=H","DateFormat=P","Fill=—","Direction=H","UseDPDF=Y")</f>
        <v>#NAME?</v>
      </c>
      <c r="CX315" s="2" t="e">
        <f ca="1">_xll.BDH($C$303,"ACCT_RCV_DAYS","FQ2 2016","FQ2 2016","Currency=INR","Period=FQ","BEST_FPERIOD_OVERRIDE=FQ","FILING_STATUS=OR","EQY_CONSOLIDATED=Y","FA_ADJUSTED=GAAP","Sort=A","Dates=H","DateFormat=P","Fill=—","Direction=H","UseDPDF=Y")</f>
        <v>#NAME?</v>
      </c>
      <c r="CY315" s="4" t="e">
        <f ca="1">_xll.BDH($C$303,"INVENT_TURN","FQ2 2016","FQ2 2016","Currency=INR","Period=FQ","BEST_FPERIOD_OVERRIDE=FQ","FILING_STATUS=OR","EQY_CONSOLIDATED=Y","FA_ADJUSTED=GAAP","Sort=A","Dates=H","DateFormat=P","Fill=—","Direction=H","UseDPDF=Y")</f>
        <v>#NAME?</v>
      </c>
      <c r="CZ315" s="2" t="e">
        <f ca="1">_xll.BDH($C$303,"INVENT_DAYS","FQ2 2016","FQ2 2016","Currency=INR","Period=FQ","BEST_FPERIOD_OVERRIDE=FQ","FILING_STATUS=OR","EQY_CONSOLIDATED=Y","FA_ADJUSTED=GAAP","Sort=A","Dates=H","DateFormat=P","Fill=—","Direction=H","UseDPDF=Y")</f>
        <v>#NAME?</v>
      </c>
      <c r="DA315" s="4" t="e">
        <f ca="1">_xll.BDH($C$303,"ACCOUNTS_PAYABLE_TURNOVER","FQ2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15" s="2" t="e">
        <f ca="1">_xll.BDH($C$303,"ACCOUNTS_PAYABLE_TURNOVER_DAYS","FQ2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15" s="4" t="e">
        <f ca="1">_xll.BDH($C$303,"CASH_CONVERSION_CYCLE","FQ2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15" s="4" t="e">
        <f ca="1">_xll.BDH($C$303,"INV_TO_CASH_DAYS","FQ2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15" s="5" t="e">
        <f ca="1">_xll.BDH($C$303,"BS_INVENTORIES","FQ2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15" s="3" t="e">
        <f ca="1">_xll.BDH($C$303,"INVTRY_RAW_MATERIALS","FQ2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15" s="3" t="e">
        <f ca="1">_xll.BDH($C$303,"INVTRY_IN_PROGRESS","FQ2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15" s="3" t="e">
        <f ca="1">_xll.BDH($C$303,"INVTRY_FINISHED_GOODS","FQ2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15" s="3" t="e">
        <f ca="1">_xll.BDH($C$303,"BS_OTHER_INV","FQ2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16" spans="1:113" x14ac:dyDescent="0.3">
      <c r="A316" s="6"/>
      <c r="B316" s="6"/>
      <c r="C316" s="6"/>
      <c r="D316" s="6"/>
      <c r="E316" t="s">
        <v>80</v>
      </c>
      <c r="F316" t="e">
        <f ca="1">_xll.BDH($C$303,"RETURN_COM_EQY","FQ3 2016","FQ3 2016","Currency=INR","Period=FQ","BEST_FPERIOD_OVERRIDE=FQ","FILING_STATUS=OR","EQY_CONSOLIDATED=Y","FA_ADJUSTED=GAAP","Sort=A","Dates=H","DateFormat=P","Fill=—","Direction=H","UseDPDF=Y")</f>
        <v>#NAME?</v>
      </c>
      <c r="G316" t="e">
        <f ca="1">_xll.BDH($C$303,"RETURN_ON_ASSET","FQ3 2016","FQ3 2016","Currency=INR","Period=FQ","BEST_FPERIOD_OVERRIDE=FQ","FILING_STATUS=OR","EQY_CONSOLIDATED=Y","FA_ADJUSTED=GAAP","Sort=A","Dates=H","DateFormat=P","Fill=—","Direction=H","UseDPDF=Y")</f>
        <v>#NAME?</v>
      </c>
      <c r="H316" t="e">
        <f ca="1">_xll.BDH($C$303,"RETURN_ON_CAP","FQ3 2016","FQ3 2016","Currency=INR","Period=FQ","BEST_FPERIOD_OVERRIDE=FQ","FILING_STATUS=OR","EQY_CONSOLIDATED=Y","FA_ADJUSTED=GAAP","Sort=A","Dates=H","DateFormat=P","Fill=—","Direction=H","UseDPDF=Y")</f>
        <v>#NAME?</v>
      </c>
      <c r="I316" t="e">
        <f ca="1">_xll.BDH($C$303,"RETURN_ON_INV_CAPITAL","FQ3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16" t="e">
        <f ca="1">_xll.BDH($C$303,"EBITDA_TO_REVENUE","FQ3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16" t="e">
        <f ca="1">_xll.BDH($C$303,"OPER_MARGIN","FQ3 2016","FQ3 2016","Currency=INR","Period=FQ","BEST_FPERIOD_OVERRIDE=FQ","FILING_STATUS=OR","EQY_CONSOLIDATED=Y","FA_ADJUSTED=GAAP","Sort=A","Dates=H","DateFormat=P","Fill=—","Direction=H","UseDPDF=Y")</f>
        <v>#NAME?</v>
      </c>
      <c r="L316" t="e">
        <f ca="1">_xll.BDH($C$303,"INCREMENTAL_OPERATING_MARGIN","FQ3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16" t="e">
        <f ca="1">_xll.BDH($C$303,"PRETAX_INC_TO_NET_SALES","FQ3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16" t="e">
        <f ca="1">_xll.BDH($C$303,"INC_BEF_XO_ITEMS_TO_NET_SALES","FQ3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16" t="e">
        <f ca="1">_xll.BDH($C$303,"PROF_MARGIN","FQ3 2016","FQ3 2016","Currency=INR","Period=FQ","BEST_FPERIOD_OVERRIDE=FQ","FILING_STATUS=OR","EQY_CONSOLIDATED=Y","FA_ADJUSTED=GAAP","Sort=A","Dates=H","DateFormat=P","Fill=—","Direction=H","UseDPDF=Y")</f>
        <v>#NAME?</v>
      </c>
      <c r="P316" t="e">
        <f ca="1">_xll.BDH($C$303,"NET_INCOME_TO_COMMON_MARGIN","FQ3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16" t="e">
        <f ca="1">_xll.BDH($C$303,"EFF_TAX_RATE","FQ3 2016","FQ3 2016","Currency=INR","Period=FQ","BEST_FPERIOD_OVERRIDE=FQ","FILING_STATUS=OR","EQY_CONSOLIDATED=Y","FA_ADJUSTED=GAAP","Sort=A","Dates=H","DateFormat=P","Fill=—","Direction=H","UseDPDF=Y")</f>
        <v>#NAME?</v>
      </c>
      <c r="R316" t="e">
        <f ca="1">_xll.BDH($C$303,"DVD_PAYOUT_RATIO","FQ3 2016","FQ3 2016","Currency=INR","Period=FQ","BEST_FPERIOD_OVERRIDE=FQ","FILING_STATUS=OR","EQY_CONSOLIDATED=Y","FA_ADJUSTED=GAAP","Sort=A","Dates=H","DateFormat=P","Fill=—","Direction=H","UseDPDF=Y")</f>
        <v>#NAME?</v>
      </c>
      <c r="S316" t="e">
        <f ca="1">_xll.BDH($C$303,"SUSTAIN_GROWTH_RT","FQ3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16" s="2" t="e">
        <f ca="1">_xll.BDH($C$303,"SALES_GROWTH","FQ3 2016","FQ3 2016","Currency=INR","Period=FQ","BEST_FPERIOD_OVERRIDE=FQ","FILING_STATUS=OR","EQY_CONSOLIDATED=Y","FA_ADJUSTED=GAAP","Sort=A","Dates=H","DateFormat=P","Fill=—","Direction=H","UseDPDF=Y")</f>
        <v>#NAME?</v>
      </c>
      <c r="U316" s="2" t="e">
        <f ca="1">_xll.BDH($C$303,"EBITDA_GROWTH","FQ3 2016","FQ3 2016","Currency=INR","Period=FQ","BEST_FPERIOD_OVERRIDE=FQ","FILING_STATUS=OR","EQY_CONSOLIDATED=Y","FA_ADJUSTED=GAAP","Sort=A","Dates=H","DateFormat=P","Fill=—","Direction=H","UseDPDF=Y")</f>
        <v>#NAME?</v>
      </c>
      <c r="V316" s="2" t="e">
        <f ca="1">_xll.BDH($C$303,"OPER_INC_GROWTH","FQ3 2016","FQ3 2016","Currency=INR","Period=FQ","BEST_FPERIOD_OVERRIDE=FQ","FILING_STATUS=OR","EQY_CONSOLIDATED=Y","FA_ADJUSTED=GAAP","Sort=A","Dates=H","DateFormat=P","Fill=—","Direction=H","UseDPDF=Y")</f>
        <v>#NAME?</v>
      </c>
      <c r="W316" s="2" t="e">
        <f ca="1">_xll.BDH($C$303,"EARN_FOR_COM_GROWTH","FQ3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16" s="2" t="e">
        <f ca="1">_xll.BDH($C$303,"DILUTED_EPS_AFT_XO_ITEMS_GROWTH","FQ3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16" s="2" t="e">
        <f ca="1">_xll.BDH($C$303,"DIVIDEND_PER_SHARE_1_YEAR_GROWTH","FQ3 2016","FQ3 2016","Currency=INR","Period=FQ","BEST_FPERIOD_OVERRIDE=FQ","FILING_STATUS=OR","EQY_CONSOLIDATED=Y","Sort=A","Dates=H","DateFormat=P","Fill=—","Direction=H","UseDPDF=Y")</f>
        <v>#NAME?</v>
      </c>
      <c r="Z316" s="2" t="e">
        <f ca="1">_xll.BDH($C$303,"ACCOUNTS_RECEIVABLE_GROWTH","FQ3 2016","FQ3 2016","Currency=INR","Period=FQ","BEST_FPERIOD_OVERRIDE=FQ","FILING_STATUS=OR","EQY_CONSOLIDATED=Y","Sort=A","Dates=H","DateFormat=P","Fill=—","Direction=H","UseDPDF=Y")</f>
        <v>#NAME?</v>
      </c>
      <c r="AA316" s="2" t="e">
        <f ca="1">_xll.BDH($C$303,"INVENTORY_GROWTH","FQ3 2016","FQ3 2016","Currency=INR","Period=FQ","BEST_FPERIOD_OVERRIDE=FQ","FILING_STATUS=OR","EQY_CONSOLIDATED=Y","Sort=A","Dates=H","DateFormat=P","Fill=—","Direction=H","UseDPDF=Y")</f>
        <v>#NAME?</v>
      </c>
      <c r="AB316" s="2" t="e">
        <f ca="1">_xll.BDH($C$303,"NET_FIXED_ASSETS_1_YEAR_GROWTH","FQ3 2016","FQ3 2016","Currency=INR","Period=FQ","BEST_FPERIOD_OVERRIDE=FQ","FILING_STATUS=OR","EQY_CONSOLIDATED=Y","Sort=A","Dates=H","DateFormat=P","Fill=—","Direction=H","UseDPDF=Y")</f>
        <v>#NAME?</v>
      </c>
      <c r="AC316" s="2" t="e">
        <f ca="1">_xll.BDH($C$303,"ASSET_GROWTH","FQ3 2016","FQ3 2016","Currency=INR","Period=FQ","BEST_FPERIOD_OVERRIDE=FQ","FILING_STATUS=OR","EQY_CONSOLIDATED=Y","Sort=A","Dates=H","DateFormat=P","Fill=—","Direction=H","UseDPDF=Y")</f>
        <v>#NAME?</v>
      </c>
      <c r="AD316" s="2" t="e">
        <f ca="1">_xll.BDH($C$303,"MODIFIED_WORK_CAP_GROWTH","FQ3 2016","FQ3 2016","Currency=INR","Period=FQ","BEST_FPERIOD_OVERRIDE=FQ","FILING_STATUS=OR","EQY_CONSOLIDATED=Y","Sort=A","Dates=H","DateFormat=P","Fill=—","Direction=H","UseDPDF=Y")</f>
        <v>#NAME?</v>
      </c>
      <c r="AE316" s="2" t="e">
        <f ca="1">_xll.BDH($C$303,"WORK_CAP_GROWTH","FQ3 2016","FQ3 2016","Currency=INR","Period=FQ","BEST_FPERIOD_OVERRIDE=FQ","FILING_STATUS=OR","EQY_CONSOLIDATED=Y","Sort=A","Dates=H","DateFormat=P","Fill=—","Direction=H","UseDPDF=Y")</f>
        <v>#NAME?</v>
      </c>
      <c r="AF316" s="2" t="e">
        <f ca="1">_xll.BDH($C$303,"ACCOUNTS_PAYABLE_GROWTH_1YR","FQ3 2016","FQ3 2016","Currency=INR","Period=FQ","BEST_FPERIOD_OVERRIDE=FQ","FILING_STATUS=OR","EQY_CONSOLIDATED=Y","Sort=A","Dates=H","DateFormat=P","Fill=—","Direction=H","UseDPDF=Y")</f>
        <v>#NAME?</v>
      </c>
      <c r="AG316" s="2" t="e">
        <f ca="1">_xll.BDH($C$303,"SHORT_TERM_DEBT_1_YEAR_GROWTH","FQ3 2016","FQ3 2016","Currency=INR","Period=FQ","BEST_FPERIOD_OVERRIDE=FQ","FILING_STATUS=OR","EQY_CONSOLIDATED=Y","Sort=A","Dates=H","DateFormat=P","Fill=—","Direction=H","UseDPDF=Y")</f>
        <v>#NAME?</v>
      </c>
      <c r="AH316" s="2" t="e">
        <f ca="1">_xll.BDH($C$303,"TOTAL_DEBT_1_YEAR_GROWTH","FQ3 2016","FQ3 2016","Currency=INR","Period=FQ","BEST_FPERIOD_OVERRIDE=FQ","FILING_STATUS=OR","EQY_CONSOLIDATED=Y","Sort=A","Dates=H","DateFormat=P","Fill=—","Direction=H","UseDPDF=Y")</f>
        <v>#NAME?</v>
      </c>
      <c r="AI316" s="2" t="e">
        <f ca="1">_xll.BDH($C$303,"TOTAL_EQUITY_1_YEAR_GROWTH","FQ3 2016","FQ3 2016","Currency=INR","Period=FQ","BEST_FPERIOD_OVERRIDE=FQ","FILING_STATUS=OR","EQY_CONSOLIDATED=Y","Sort=A","Dates=H","DateFormat=P","Fill=—","Direction=H","UseDPDF=Y")</f>
        <v>#NAME?</v>
      </c>
      <c r="AJ316" s="2" t="e">
        <f ca="1">_xll.BDH($C$303,"GROWTH_IN_CAP","FQ3 2016","FQ3 2016","Currency=INR","Period=FQ","BEST_FPERIOD_OVERRIDE=FQ","FILING_STATUS=OR","EQY_CONSOLIDATED=Y","Sort=A","Dates=H","DateFormat=P","Fill=—","Direction=H","UseDPDF=Y")</f>
        <v>#NAME?</v>
      </c>
      <c r="AK316" s="2" t="e">
        <f ca="1">_xll.BDH($C$303,"BVPS_GROWTH","FQ3 2016","FQ3 2016","Currency=INR","Period=FQ","BEST_FPERIOD_OVERRIDE=FQ","FILING_STATUS=OR","EQY_CONSOLIDATED=Y","Sort=A","Dates=H","DateFormat=P","Fill=—","Direction=H","UseDPDF=Y")</f>
        <v>#NAME?</v>
      </c>
      <c r="AL316" s="2" t="e">
        <f ca="1">_xll.BDH($C$303,"CASH_FLOW_GROWTH","FQ3 2016","FQ3 2016","Currency=INR","Period=FQ","BEST_FPERIOD_OVERRIDE=FQ","FILING_STATUS=OR","EQY_CONSOLIDATED=Y","Sort=A","Dates=H","DateFormat=P","Fill=—","Direction=H","UseDPDF=Y")</f>
        <v>#NAME?</v>
      </c>
      <c r="AM316" s="2" t="e">
        <f ca="1">_xll.BDH($C$303,"GEO_GROW_NET_SALES","FQ3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16" s="2" t="e">
        <f ca="1">_xll.BDH($C$303,"GEO_GROW_EBITDA","FQ3 2016","FQ3 2016","Currency=INR","Period=FQ","BEST_FPERIOD_OVERRIDE=FQ","FILING_STATUS=OR","EQY_CONSOLIDATED=Y","FA_ADJUSTED=GAAP","Sort=A","Dates=H","DateFormat=P","Fill=—","Direction=H","UseDPDF=Y")</f>
        <v>#NAME?</v>
      </c>
      <c r="AO316" s="2" t="e">
        <f ca="1">_xll.BDH($C$303,"GEO_GROW_OPER_INC","FQ3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16" s="2" t="e">
        <f ca="1">_xll.BDH($C$303,"NET_INCOME_TO_COMMON_5_YR_GROWTH","FQ3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16" s="2" t="e">
        <f ca="1">_xll.BDH($C$303,"5Y_GEO_GROWTH_DILUTED_EPS","FQ3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16" s="2" t="e">
        <f ca="1">_xll.BDH($C$303,"GEO_GROW_DVD_PER_SH","FQ3 2016","FQ3 2016","Currency=INR","Period=FQ","BEST_FPERIOD_OVERRIDE=FQ","FILING_STATUS=OR","EQY_CONSOLIDATED=Y","Sort=A","Dates=H","DateFormat=P","Fill=—","Direction=H","UseDPDF=Y")</f>
        <v>#NAME?</v>
      </c>
      <c r="AS316" s="2" t="e">
        <f ca="1">_xll.BDH($C$303,"ACCOUNTS_RECEIVABLE_5_YR_GROWTH","FQ3 2016","FQ3 2016","Currency=INR","Period=FQ","BEST_FPERIOD_OVERRIDE=FQ","FILING_STATUS=OR","EQY_CONSOLIDATED=Y","Sort=A","Dates=H","DateFormat=P","Fill=—","Direction=H","UseDPDF=Y")</f>
        <v>#NAME?</v>
      </c>
      <c r="AT316" s="2" t="e">
        <f ca="1">_xll.BDH($C$303,"INVENTORY_5_YEAR_GROWTH","FQ3 2016","FQ3 2016","Currency=INR","Period=FQ","BEST_FPERIOD_OVERRIDE=FQ","FILING_STATUS=OR","EQY_CONSOLIDATED=Y","Sort=A","Dates=H","DateFormat=P","Fill=—","Direction=H","UseDPDF=Y")</f>
        <v>#NAME?</v>
      </c>
      <c r="AU316" s="2" t="e">
        <f ca="1">_xll.BDH($C$303,"NET_FIXED_ASSETS_5_YEAR_GROWTH","FQ3 2016","FQ3 2016","Currency=INR","Period=FQ","BEST_FPERIOD_OVERRIDE=FQ","FILING_STATUS=OR","EQY_CONSOLIDATED=Y","Sort=A","Dates=H","DateFormat=P","Fill=—","Direction=H","UseDPDF=Y")</f>
        <v>#NAME?</v>
      </c>
      <c r="AV316" s="2" t="e">
        <f ca="1">_xll.BDH($C$303,"GEO_GROW_TOT_ASSET","FQ3 2016","FQ3 2016","Currency=INR","Period=FQ","BEST_FPERIOD_OVERRIDE=FQ","FILING_STATUS=OR","EQY_CONSOLIDATED=Y","Sort=A","Dates=H","DateFormat=P","Fill=—","Direction=H","UseDPDF=Y")</f>
        <v>#NAME?</v>
      </c>
      <c r="AW316" s="2" t="e">
        <f ca="1">_xll.BDH($C$303,"MODIFIED_WORKING_CPTL_5YR_GRWTH","FQ3 2016","FQ3 2016","Currency=INR","Period=FQ","BEST_FPERIOD_OVERRIDE=FQ","FILING_STATUS=OR","EQY_CONSOLIDATED=Y","Sort=A","Dates=H","DateFormat=P","Fill=—","Direction=H","UseDPDF=Y")</f>
        <v>#NAME?</v>
      </c>
      <c r="AX316" s="2" t="e">
        <f ca="1">_xll.BDH($C$303,"WORKING_CAPITAL_5_YEAR_GROWTH","FQ3 2016","FQ3 2016","Currency=INR","Period=FQ","BEST_FPERIOD_OVERRIDE=FQ","FILING_STATUS=OR","EQY_CONSOLIDATED=Y","Sort=A","Dates=H","DateFormat=P","Fill=—","Direction=H","UseDPDF=Y")</f>
        <v>#NAME?</v>
      </c>
      <c r="AY316" s="2" t="e">
        <f ca="1">_xll.BDH($C$303,"ACCOUNTS_PAYABLE_5_YEAR_GROWTH","FQ3 2016","FQ3 2016","Currency=INR","Period=FQ","BEST_FPERIOD_OVERRIDE=FQ","FILING_STATUS=OR","EQY_CONSOLIDATED=Y","Sort=A","Dates=H","DateFormat=P","Fill=—","Direction=H","UseDPDF=Y")</f>
        <v>#NAME?</v>
      </c>
      <c r="AZ316" s="2" t="e">
        <f ca="1">_xll.BDH($C$303,"SHORT_TERM_DEBT_5_YEAR_GROWTH","FQ3 2016","FQ3 2016","Currency=INR","Period=FQ","BEST_FPERIOD_OVERRIDE=FQ","FILING_STATUS=OR","EQY_CONSOLIDATED=Y","Sort=A","Dates=H","DateFormat=P","Fill=—","Direction=H","UseDPDF=Y")</f>
        <v>#NAME?</v>
      </c>
      <c r="BA316" s="2" t="e">
        <f ca="1">_xll.BDH($C$303,"TOTAL_DEBT_5_YEAR_GROWTH","FQ3 2016","FQ3 2016","Currency=INR","Period=FQ","BEST_FPERIOD_OVERRIDE=FQ","FILING_STATUS=OR","EQY_CONSOLIDATED=Y","Sort=A","Dates=H","DateFormat=P","Fill=—","Direction=H","UseDPDF=Y")</f>
        <v>#NAME?</v>
      </c>
      <c r="BB316" s="2" t="e">
        <f ca="1">_xll.BDH($C$303,"GEO_GROW_TOT_SHRHLDR_EQY","FQ3 2016","FQ3 2016","Currency=INR","Period=FQ","BEST_FPERIOD_OVERRIDE=FQ","FILING_STATUS=OR","EQY_CONSOLIDATED=Y","Sort=A","Dates=H","DateFormat=P","Fill=—","Direction=H","UseDPDF=Y")</f>
        <v>#NAME?</v>
      </c>
      <c r="BC316" s="2" t="e">
        <f ca="1">_xll.BDH($C$303,"TOTAL_CAPITAL_5_YEAR_GROWTH","FQ3 2016","FQ3 2016","Currency=INR","Period=FQ","BEST_FPERIOD_OVERRIDE=FQ","FILING_STATUS=OR","EQY_CONSOLIDATED=Y","Sort=A","Dates=H","DateFormat=P","Fill=—","Direction=H","UseDPDF=Y")</f>
        <v>#NAME?</v>
      </c>
      <c r="BD316" s="2" t="e">
        <f ca="1">_xll.BDH($C$303,"GEO_GROW_BOOK_VAL","FQ3 2016","FQ3 2016","Currency=INR","Period=FQ","BEST_FPERIOD_OVERRIDE=FQ","FILING_STATUS=OR","EQY_CONSOLIDATED=Y","Sort=A","Dates=H","DateFormat=P","Fill=—","Direction=H","UseDPDF=Y")</f>
        <v>#NAME?</v>
      </c>
      <c r="BE316" s="2" t="e">
        <f ca="1">_xll.BDH($C$303,"GEO_GROW_CASH_OPER_ACT","FQ3 2016","FQ3 2016","Currency=INR","Period=FQ","BEST_FPERIOD_OVERRIDE=FQ","FILING_STATUS=OR","EQY_CONSOLIDATED=Y","Sort=A","Dates=H","DateFormat=P","Fill=—","Direction=H","UseDPDF=Y")</f>
        <v>#NAME?</v>
      </c>
      <c r="BF316" s="2" t="e">
        <f ca="1">_xll.BDH($C$303,"REVENUE_SEQUENTIAL_GROWTH","FQ3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16" s="2" t="e">
        <f ca="1">_xll.BDH($C$303,"EBITDA_SEQUENTIAL_GROWTH","FQ3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16" s="2" t="e">
        <f ca="1">_xll.BDH($C$303,"OPERATING_INCOME_SEQ_GROWTH","FQ3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16" s="2" t="e">
        <f ca="1">_xll.BDH($C$303,"NET_INCOME_TO_COMMON_SEQ_GROWTH","FQ3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16" s="2" t="e">
        <f ca="1">_xll.BDH($C$303,"EPS_DILUTED_SEQUENTIAL_GROWTH","FQ3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16" s="2" t="e">
        <f ca="1">_xll.BDH($C$303,"DPS_SEQUENTIAL_GROWTH","FQ3 2016","FQ3 2016","Currency=INR","Period=FQ","BEST_FPERIOD_OVERRIDE=FQ","FILING_STATUS=OR","EQY_CONSOLIDATED=Y","Sort=A","Dates=H","DateFormat=P","Fill=—","Direction=H","UseDPDF=Y")</f>
        <v>#NAME?</v>
      </c>
      <c r="BL316" s="2" t="e">
        <f ca="1">_xll.BDH($C$303,"ACCOUNTS_RECEIVABLE_SEQ_GROWTH","FQ3 2016","FQ3 2016","Currency=INR","Period=FQ","BEST_FPERIOD_OVERRIDE=FQ","FILING_STATUS=OR","EQY_CONSOLIDATED=Y","Sort=A","Dates=H","DateFormat=P","Fill=—","Direction=H","UseDPDF=Y")</f>
        <v>#NAME?</v>
      </c>
      <c r="BM316" s="2" t="e">
        <f ca="1">_xll.BDH($C$303,"INVENTORY_SEQUENTIAL_GROWTH","FQ3 2016","FQ3 2016","Currency=INR","Period=FQ","BEST_FPERIOD_OVERRIDE=FQ","FILING_STATUS=OR","EQY_CONSOLIDATED=Y","Sort=A","Dates=H","DateFormat=P","Fill=—","Direction=H","UseDPDF=Y")</f>
        <v>#NAME?</v>
      </c>
      <c r="BN316" s="2" t="e">
        <f ca="1">_xll.BDH($C$303,"FIXED_ASSETS_SEQUENTIAL_GROWTH","FQ3 2016","FQ3 2016","Currency=INR","Period=FQ","BEST_FPERIOD_OVERRIDE=FQ","FILING_STATUS=OR","EQY_CONSOLIDATED=Y","Sort=A","Dates=H","DateFormat=P","Fill=—","Direction=H","UseDPDF=Y")</f>
        <v>#NAME?</v>
      </c>
      <c r="BO316" s="2" t="e">
        <f ca="1">_xll.BDH($C$303,"TOTAL_ASSETS_SEQUENTIAL_GROWTH","FQ3 2016","FQ3 2016","Currency=INR","Period=FQ","BEST_FPERIOD_OVERRIDE=FQ","FILING_STATUS=OR","EQY_CONSOLIDATED=Y","Sort=A","Dates=H","DateFormat=P","Fill=—","Direction=H","UseDPDF=Y")</f>
        <v>#NAME?</v>
      </c>
      <c r="BP316" s="2" t="e">
        <f ca="1">_xll.BDH($C$303,"MODIFIED_WORKING_CPTL_SEQ_GRWTH","FQ3 2016","FQ3 2016","Currency=INR","Period=FQ","BEST_FPERIOD_OVERRIDE=FQ","FILING_STATUS=OR","EQY_CONSOLIDATED=Y","Sort=A","Dates=H","DateFormat=P","Fill=—","Direction=H","UseDPDF=Y")</f>
        <v>#NAME?</v>
      </c>
      <c r="BQ316" s="2" t="e">
        <f ca="1">_xll.BDH($C$303,"WORKING_CAPITAL_SEQ_GROWTH","FQ3 2016","FQ3 2016","Currency=INR","Period=FQ","BEST_FPERIOD_OVERRIDE=FQ","FILING_STATUS=OR","EQY_CONSOLIDATED=Y","Sort=A","Dates=H","DateFormat=P","Fill=—","Direction=H","UseDPDF=Y")</f>
        <v>#NAME?</v>
      </c>
      <c r="BR316" s="2" t="e">
        <f ca="1">_xll.BDH($C$303,"ACCOUNTS_PAYABLE_SEQ_GROWTH","FQ3 2016","FQ3 2016","Currency=INR","Period=FQ","BEST_FPERIOD_OVERRIDE=FQ","FILING_STATUS=OR","EQY_CONSOLIDATED=Y","Sort=A","Dates=H","DateFormat=P","Fill=—","Direction=H","UseDPDF=Y")</f>
        <v>#NAME?</v>
      </c>
      <c r="BS316" s="2" t="e">
        <f ca="1">_xll.BDH($C$303,"ST_DEBT_SEQUENTIAL_GROWTH","FQ3 2016","FQ3 2016","Currency=INR","Period=FQ","BEST_FPERIOD_OVERRIDE=FQ","FILING_STATUS=OR","EQY_CONSOLIDATED=Y","Sort=A","Dates=H","DateFormat=P","Fill=—","Direction=H","UseDPDF=Y")</f>
        <v>#NAME?</v>
      </c>
      <c r="BT316" s="2" t="e">
        <f ca="1">_xll.BDH($C$303,"TOTAL_DEBT_SEQUENTIAL_GROWTH","FQ3 2016","FQ3 2016","Currency=INR","Period=FQ","BEST_FPERIOD_OVERRIDE=FQ","FILING_STATUS=OR","EQY_CONSOLIDATED=Y","Sort=A","Dates=H","DateFormat=P","Fill=—","Direction=H","UseDPDF=Y")</f>
        <v>#NAME?</v>
      </c>
      <c r="BU316" s="2" t="e">
        <f ca="1">_xll.BDH($C$303,"TOTAL_EQUITY_SEQUENTIAL_GROWTH","FQ3 2016","FQ3 2016","Currency=INR","Period=FQ","BEST_FPERIOD_OVERRIDE=FQ","FILING_STATUS=OR","EQY_CONSOLIDATED=Y","Sort=A","Dates=H","DateFormat=P","Fill=—","Direction=H","UseDPDF=Y")</f>
        <v>#NAME?</v>
      </c>
      <c r="BV316" s="2" t="e">
        <f ca="1">_xll.BDH($C$303,"TOTAL_CAPITAL_SEQUENTIAL_GROWTH","FQ3 2016","FQ3 2016","Currency=INR","Period=FQ","BEST_FPERIOD_OVERRIDE=FQ","FILING_STATUS=OR","EQY_CONSOLIDATED=Y","Sort=A","Dates=H","DateFormat=P","Fill=—","Direction=H","UseDPDF=Y")</f>
        <v>#NAME?</v>
      </c>
      <c r="BW316" s="2" t="e">
        <f ca="1">_xll.BDH($C$303,"BPS_SEQUENTIAL_GROWTH","FQ3 2016","FQ3 2016","Currency=INR","Period=FQ","BEST_FPERIOD_OVERRIDE=FQ","FILING_STATUS=OR","EQY_CONSOLIDATED=Y","Sort=A","Dates=H","DateFormat=P","Fill=—","Direction=H","UseDPDF=Y")</f>
        <v>#NAME?</v>
      </c>
      <c r="BX316" s="2" t="e">
        <f ca="1">_xll.BDH($C$303,"CFO_SEQUENTIAL_GROWTH","FQ3 2016","FQ3 2016","Currency=INR","Period=FQ","BEST_FPERIOD_OVERRIDE=FQ","FILING_STATUS=OR","EQY_CONSOLIDATED=Y","Sort=A","Dates=H","DateFormat=P","Fill=—","Direction=H","UseDPDF=Y")</f>
        <v>#NAME?</v>
      </c>
      <c r="BY316" s="3" t="e">
        <f ca="1">_xll.BDH($C$303,"SHORT_AND_LONG_TERM_DEBT","FQ3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16" s="3" t="e">
        <f ca="1">_xll.BDH($C$303,"BS_ST_BORROW","FQ3 2016","FQ3 2016","Currency=INR","Period=FQ","BEST_FPERIOD_OVERRIDE=FQ","FILING_STATUS=OR","EQY_CONSOLIDATED=Y","SCALING_FORMAT=MLN","Sort=A","Dates=H","DateFormat=P","Fill=—","Direction=H","UseDPDF=Y")</f>
        <v>#NAME?</v>
      </c>
      <c r="CA316" s="3" t="e">
        <f ca="1">_xll.BDH($C$303,"BS_LT_BORROW","FQ3 2016","FQ3 2016","Currency=INR","Period=FQ","BEST_FPERIOD_OVERRIDE=FQ","FILING_STATUS=OR","EQY_CONSOLIDATED=Y","SCALING_FORMAT=MLN","Sort=A","Dates=H","DateFormat=P","Fill=—","Direction=H","UseDPDF=Y")</f>
        <v>#NAME?</v>
      </c>
      <c r="CB316" s="2" t="e">
        <f ca="1">_xll.BDH($C$303,"TOT_DEBT_TO_EBITDA","FQ3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16" s="2" t="e">
        <f ca="1">_xll.BDH($C$303,"NET_DEBT_TO_EBITDA","FQ3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16" s="2" t="e">
        <f ca="1">_xll.BDH($C$303,"TOTAL_DEBT_TO_EBIT","FQ3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16" s="2" t="e">
        <f ca="1">_xll.BDH($C$303,"NET_DEBT_TO_EBIT","FQ3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16" s="2" t="e">
        <f ca="1">_xll.BDH($C$303,"EBITDA_TO_INTEREST_EXPN","FQ3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16" s="2" t="e">
        <f ca="1">_xll.BDH($C$303,"COM_EQY_TO_TOT_ASSET","FQ3 2016","FQ3 2016","Currency=INR","Period=FQ","BEST_FPERIOD_OVERRIDE=FQ","FILING_STATUS=OR","EQY_CONSOLIDATED=Y","Sort=A","Dates=H","DateFormat=P","Fill=—","Direction=H","UseDPDF=Y")</f>
        <v>#NAME?</v>
      </c>
      <c r="CH316" s="2" t="e">
        <f ca="1">_xll.BDH($C$303,"LT_DEBT_TO_TOT_EQY","FQ3 2016","FQ3 2016","Currency=INR","Period=FQ","BEST_FPERIOD_OVERRIDE=FQ","FILING_STATUS=OR","EQY_CONSOLIDATED=Y","Sort=A","Dates=H","DateFormat=P","Fill=—","Direction=H","UseDPDF=Y")</f>
        <v>#NAME?</v>
      </c>
      <c r="CI316" s="2" t="e">
        <f ca="1">_xll.BDH($C$303,"LT_DEBT_TO_TOT_CAP","FQ3 2016","FQ3 2016","Currency=INR","Period=FQ","BEST_FPERIOD_OVERRIDE=FQ","FILING_STATUS=OR","EQY_CONSOLIDATED=Y","Sort=A","Dates=H","DateFormat=P","Fill=—","Direction=H","UseDPDF=Y")</f>
        <v>#NAME?</v>
      </c>
      <c r="CJ316" s="2" t="e">
        <f ca="1">_xll.BDH($C$303,"LT_DEBT_TO_TOT_ASSET","FQ3 2016","FQ3 2016","Currency=INR","Period=FQ","BEST_FPERIOD_OVERRIDE=FQ","FILING_STATUS=OR","EQY_CONSOLIDATED=Y","Sort=A","Dates=H","DateFormat=P","Fill=—","Direction=H","UseDPDF=Y")</f>
        <v>#NAME?</v>
      </c>
      <c r="CK316" s="2" t="e">
        <f ca="1">_xll.BDH($C$303,"TOT_DEBT_TO_TOT_EQY","FQ3 2016","FQ3 2016","Currency=INR","Period=FQ","BEST_FPERIOD_OVERRIDE=FQ","FILING_STATUS=OR","EQY_CONSOLIDATED=Y","Sort=A","Dates=H","DateFormat=P","Fill=—","Direction=H","UseDPDF=Y")</f>
        <v>#NAME?</v>
      </c>
      <c r="CL316" s="2" t="e">
        <f ca="1">_xll.BDH($C$303,"TOT_DEBT_TO_TOT_CAP","FQ3 2016","FQ3 2016","Currency=INR","Period=FQ","BEST_FPERIOD_OVERRIDE=FQ","FILING_STATUS=OR","EQY_CONSOLIDATED=Y","Sort=A","Dates=H","DateFormat=P","Fill=—","Direction=H","UseDPDF=Y")</f>
        <v>#NAME?</v>
      </c>
      <c r="CM316" s="2" t="e">
        <f ca="1">_xll.BDH($C$303,"TOT_DEBT_TO_TOT_ASSET","FQ3 2016","FQ3 2016","Currency=INR","Period=FQ","BEST_FPERIOD_OVERRIDE=FQ","FILING_STATUS=OR","EQY_CONSOLIDATED=Y","Sort=A","Dates=H","DateFormat=P","Fill=—","Direction=H","UseDPDF=Y")</f>
        <v>#NAME?</v>
      </c>
      <c r="CN316" s="2" t="e">
        <f ca="1">_xll.BDH($C$303,"NET_DEBT_TO_SHRHLDR_EQTY","FQ3 2016","FQ3 2016","Currency=INR","Period=FQ","BEST_FPERIOD_OVERRIDE=FQ","FILING_STATUS=OR","EQY_CONSOLIDATED=Y","Sort=A","Dates=H","DateFormat=P","Fill=—","Direction=H","UseDPDF=Y")</f>
        <v>#NAME?</v>
      </c>
      <c r="CO316" s="2" t="e">
        <f ca="1">_xll.BDH($C$303,"NET_DEBT_%_CAPITAL","FQ3 2016","FQ3 2016","Currency=INR","Period=FQ","BEST_FPERIOD_OVERRIDE=FQ","FILING_STATUS=OR","EQY_CONSOLIDATED=Y","Sort=A","Dates=H","DateFormat=P","Fill=—","Direction=H","UseDPDF=Y")</f>
        <v>#NAME?</v>
      </c>
      <c r="CP316" s="3" t="e">
        <f ca="1">_xll.BDH($C$303,"EBITDA","FQ3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16" s="3" t="e">
        <f ca="1">_xll.BDH($C$303,"EBITDA_AFTER_CAPEX","FQ3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16" s="3" t="e">
        <f ca="1">_xll.BDH($C$303,"IS_OPER_INC","FQ3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16" s="2" t="e">
        <f ca="1">_xll.BDH($C$303,"CASH_RATIO","FQ3 2016","FQ3 2016","Currency=INR","Period=FQ","BEST_FPERIOD_OVERRIDE=FQ","FILING_STATUS=OR","EQY_CONSOLIDATED=Y","Sort=A","Dates=H","DateFormat=P","Fill=—","Direction=H","UseDPDF=Y")</f>
        <v>#NAME?</v>
      </c>
      <c r="CT316" s="2" t="e">
        <f ca="1">_xll.BDH($C$303,"CUR_RATIO","FQ3 2016","FQ3 2016","Currency=INR","Period=FQ","BEST_FPERIOD_OVERRIDE=FQ","FILING_STATUS=OR","EQY_CONSOLIDATED=Y","Sort=A","Dates=H","DateFormat=P","Fill=—","Direction=H","UseDPDF=Y")</f>
        <v>#NAME?</v>
      </c>
      <c r="CU316" s="2" t="e">
        <f ca="1">_xll.BDH($C$303,"QUICK_RATIO","FQ3 2016","FQ3 2016","Currency=INR","Period=FQ","BEST_FPERIOD_OVERRIDE=FQ","FILING_STATUS=OR","EQY_CONSOLIDATED=Y","Sort=A","Dates=H","DateFormat=P","Fill=—","Direction=H","UseDPDF=Y")</f>
        <v>#NAME?</v>
      </c>
      <c r="CV316" s="2" t="e">
        <f ca="1">_xll.BDH($C$303,"ALTMAN_Z_SCORE","FQ3 2016","FQ3 2016","Currency=INR","Period=FQ","BEST_FPERIOD_OVERRIDE=FQ","FILING_STATUS=OR","EQY_CONSOLIDATED=Y","Sort=A","Dates=H","DateFormat=P","Fill=—","Direction=H","UseDPDF=Y")</f>
        <v>#NAME?</v>
      </c>
      <c r="CW316" s="4" t="e">
        <f ca="1">_xll.BDH($C$303,"ACCT_RCV_TURN","FQ3 2016","FQ3 2016","Currency=INR","Period=FQ","BEST_FPERIOD_OVERRIDE=FQ","FILING_STATUS=OR","EQY_CONSOLIDATED=Y","FA_ADJUSTED=GAAP","Sort=A","Dates=H","DateFormat=P","Fill=—","Direction=H","UseDPDF=Y")</f>
        <v>#NAME?</v>
      </c>
      <c r="CX316" s="2" t="e">
        <f ca="1">_xll.BDH($C$303,"ACCT_RCV_DAYS","FQ3 2016","FQ3 2016","Currency=INR","Period=FQ","BEST_FPERIOD_OVERRIDE=FQ","FILING_STATUS=OR","EQY_CONSOLIDATED=Y","FA_ADJUSTED=GAAP","Sort=A","Dates=H","DateFormat=P","Fill=—","Direction=H","UseDPDF=Y")</f>
        <v>#NAME?</v>
      </c>
      <c r="CY316" s="4" t="e">
        <f ca="1">_xll.BDH($C$303,"INVENT_TURN","FQ3 2016","FQ3 2016","Currency=INR","Period=FQ","BEST_FPERIOD_OVERRIDE=FQ","FILING_STATUS=OR","EQY_CONSOLIDATED=Y","FA_ADJUSTED=GAAP","Sort=A","Dates=H","DateFormat=P","Fill=—","Direction=H","UseDPDF=Y")</f>
        <v>#NAME?</v>
      </c>
      <c r="CZ316" s="2" t="e">
        <f ca="1">_xll.BDH($C$303,"INVENT_DAYS","FQ3 2016","FQ3 2016","Currency=INR","Period=FQ","BEST_FPERIOD_OVERRIDE=FQ","FILING_STATUS=OR","EQY_CONSOLIDATED=Y","FA_ADJUSTED=GAAP","Sort=A","Dates=H","DateFormat=P","Fill=—","Direction=H","UseDPDF=Y")</f>
        <v>#NAME?</v>
      </c>
      <c r="DA316" s="4" t="e">
        <f ca="1">_xll.BDH($C$303,"ACCOUNTS_PAYABLE_TURNOVER","FQ3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16" s="2" t="e">
        <f ca="1">_xll.BDH($C$303,"ACCOUNTS_PAYABLE_TURNOVER_DAYS","FQ3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16" s="4" t="e">
        <f ca="1">_xll.BDH($C$303,"CASH_CONVERSION_CYCLE","FQ3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16" s="4" t="e">
        <f ca="1">_xll.BDH($C$303,"INV_TO_CASH_DAYS","FQ3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16" s="5" t="e">
        <f ca="1">_xll.BDH($C$303,"BS_INVENTORIES","FQ3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16" s="3" t="e">
        <f ca="1">_xll.BDH($C$303,"INVTRY_RAW_MATERIALS","FQ3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16" s="3" t="e">
        <f ca="1">_xll.BDH($C$303,"INVTRY_IN_PROGRESS","FQ3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16" s="3" t="e">
        <f ca="1">_xll.BDH($C$303,"INVTRY_FINISHED_GOODS","FQ3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16" s="3" t="e">
        <f ca="1">_xll.BDH($C$303,"BS_OTHER_INV","FQ3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17" spans="1:113" x14ac:dyDescent="0.3">
      <c r="A317" s="6"/>
      <c r="B317" s="6"/>
      <c r="C317" s="6"/>
      <c r="D317" s="6"/>
      <c r="E317" t="s">
        <v>81</v>
      </c>
      <c r="F317" t="e">
        <f ca="1">_xll.BDH($C$303,"RETURN_COM_EQY","FQ4 2016","FQ4 2016","Currency=INR","Period=FQ","BEST_FPERIOD_OVERRIDE=FQ","FILING_STATUS=OR","EQY_CONSOLIDATED=Y","FA_ADJUSTED=GAAP","Sort=A","Dates=H","DateFormat=P","Fill=—","Direction=H","UseDPDF=Y")</f>
        <v>#NAME?</v>
      </c>
      <c r="G317" t="e">
        <f ca="1">_xll.BDH($C$303,"RETURN_ON_ASSET","FQ4 2016","FQ4 2016","Currency=INR","Period=FQ","BEST_FPERIOD_OVERRIDE=FQ","FILING_STATUS=OR","EQY_CONSOLIDATED=Y","FA_ADJUSTED=GAAP","Sort=A","Dates=H","DateFormat=P","Fill=—","Direction=H","UseDPDF=Y")</f>
        <v>#NAME?</v>
      </c>
      <c r="H317" t="e">
        <f ca="1">_xll.BDH($C$303,"RETURN_ON_CAP","FQ4 2016","FQ4 2016","Currency=INR","Period=FQ","BEST_FPERIOD_OVERRIDE=FQ","FILING_STATUS=OR","EQY_CONSOLIDATED=Y","FA_ADJUSTED=GAAP","Sort=A","Dates=H","DateFormat=P","Fill=—","Direction=H","UseDPDF=Y")</f>
        <v>#NAME?</v>
      </c>
      <c r="I317" t="e">
        <f ca="1">_xll.BDH($C$303,"RETURN_ON_INV_CAPITAL","FQ4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17" t="e">
        <f ca="1">_xll.BDH($C$303,"EBITDA_TO_REVENUE","FQ4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17" t="e">
        <f ca="1">_xll.BDH($C$303,"OPER_MARGIN","FQ4 2016","FQ4 2016","Currency=INR","Period=FQ","BEST_FPERIOD_OVERRIDE=FQ","FILING_STATUS=OR","EQY_CONSOLIDATED=Y","FA_ADJUSTED=GAAP","Sort=A","Dates=H","DateFormat=P","Fill=—","Direction=H","UseDPDF=Y")</f>
        <v>#NAME?</v>
      </c>
      <c r="L317" t="e">
        <f ca="1">_xll.BDH($C$303,"INCREMENTAL_OPERATING_MARGIN","FQ4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17" t="e">
        <f ca="1">_xll.BDH($C$303,"PRETAX_INC_TO_NET_SALES","FQ4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17" t="e">
        <f ca="1">_xll.BDH($C$303,"INC_BEF_XO_ITEMS_TO_NET_SALES","FQ4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17" t="e">
        <f ca="1">_xll.BDH($C$303,"PROF_MARGIN","FQ4 2016","FQ4 2016","Currency=INR","Period=FQ","BEST_FPERIOD_OVERRIDE=FQ","FILING_STATUS=OR","EQY_CONSOLIDATED=Y","FA_ADJUSTED=GAAP","Sort=A","Dates=H","DateFormat=P","Fill=—","Direction=H","UseDPDF=Y")</f>
        <v>#NAME?</v>
      </c>
      <c r="P317" t="e">
        <f ca="1">_xll.BDH($C$303,"NET_INCOME_TO_COMMON_MARGIN","FQ4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17" t="e">
        <f ca="1">_xll.BDH($C$303,"EFF_TAX_RATE","FQ4 2016","FQ4 2016","Currency=INR","Period=FQ","BEST_FPERIOD_OVERRIDE=FQ","FILING_STATUS=OR","EQY_CONSOLIDATED=Y","FA_ADJUSTED=GAAP","Sort=A","Dates=H","DateFormat=P","Fill=—","Direction=H","UseDPDF=Y")</f>
        <v>#NAME?</v>
      </c>
      <c r="R317" t="e">
        <f ca="1">_xll.BDH($C$303,"DVD_PAYOUT_RATIO","FQ4 2016","FQ4 2016","Currency=INR","Period=FQ","BEST_FPERIOD_OVERRIDE=FQ","FILING_STATUS=OR","EQY_CONSOLIDATED=Y","FA_ADJUSTED=GAAP","Sort=A","Dates=H","DateFormat=P","Fill=—","Direction=H","UseDPDF=Y")</f>
        <v>#NAME?</v>
      </c>
      <c r="S317" t="e">
        <f ca="1">_xll.BDH($C$303,"SUSTAIN_GROWTH_RT","FQ4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17" s="2" t="e">
        <f ca="1">_xll.BDH($C$303,"SALES_GROWTH","FQ4 2016","FQ4 2016","Currency=INR","Period=FQ","BEST_FPERIOD_OVERRIDE=FQ","FILING_STATUS=OR","EQY_CONSOLIDATED=Y","FA_ADJUSTED=GAAP","Sort=A","Dates=H","DateFormat=P","Fill=—","Direction=H","UseDPDF=Y")</f>
        <v>#NAME?</v>
      </c>
      <c r="U317" s="2" t="e">
        <f ca="1">_xll.BDH($C$303,"EBITDA_GROWTH","FQ4 2016","FQ4 2016","Currency=INR","Period=FQ","BEST_FPERIOD_OVERRIDE=FQ","FILING_STATUS=OR","EQY_CONSOLIDATED=Y","FA_ADJUSTED=GAAP","Sort=A","Dates=H","DateFormat=P","Fill=—","Direction=H","UseDPDF=Y")</f>
        <v>#NAME?</v>
      </c>
      <c r="V317" s="2" t="e">
        <f ca="1">_xll.BDH($C$303,"OPER_INC_GROWTH","FQ4 2016","FQ4 2016","Currency=INR","Period=FQ","BEST_FPERIOD_OVERRIDE=FQ","FILING_STATUS=OR","EQY_CONSOLIDATED=Y","FA_ADJUSTED=GAAP","Sort=A","Dates=H","DateFormat=P","Fill=—","Direction=H","UseDPDF=Y")</f>
        <v>#NAME?</v>
      </c>
      <c r="W317" s="2" t="e">
        <f ca="1">_xll.BDH($C$303,"EARN_FOR_COM_GROWTH","FQ4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17" s="2" t="e">
        <f ca="1">_xll.BDH($C$303,"DILUTED_EPS_AFT_XO_ITEMS_GROWTH","FQ4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17" s="2" t="e">
        <f ca="1">_xll.BDH($C$303,"DIVIDEND_PER_SHARE_1_YEAR_GROWTH","FQ4 2016","FQ4 2016","Currency=INR","Period=FQ","BEST_FPERIOD_OVERRIDE=FQ","FILING_STATUS=OR","EQY_CONSOLIDATED=Y","Sort=A","Dates=H","DateFormat=P","Fill=—","Direction=H","UseDPDF=Y")</f>
        <v>#NAME?</v>
      </c>
      <c r="Z317" s="2" t="e">
        <f ca="1">_xll.BDH($C$303,"ACCOUNTS_RECEIVABLE_GROWTH","FQ4 2016","FQ4 2016","Currency=INR","Period=FQ","BEST_FPERIOD_OVERRIDE=FQ","FILING_STATUS=OR","EQY_CONSOLIDATED=Y","Sort=A","Dates=H","DateFormat=P","Fill=—","Direction=H","UseDPDF=Y")</f>
        <v>#NAME?</v>
      </c>
      <c r="AA317" s="2" t="e">
        <f ca="1">_xll.BDH($C$303,"INVENTORY_GROWTH","FQ4 2016","FQ4 2016","Currency=INR","Period=FQ","BEST_FPERIOD_OVERRIDE=FQ","FILING_STATUS=OR","EQY_CONSOLIDATED=Y","Sort=A","Dates=H","DateFormat=P","Fill=—","Direction=H","UseDPDF=Y")</f>
        <v>#NAME?</v>
      </c>
      <c r="AB317" s="2" t="e">
        <f ca="1">_xll.BDH($C$303,"NET_FIXED_ASSETS_1_YEAR_GROWTH","FQ4 2016","FQ4 2016","Currency=INR","Period=FQ","BEST_FPERIOD_OVERRIDE=FQ","FILING_STATUS=OR","EQY_CONSOLIDATED=Y","Sort=A","Dates=H","DateFormat=P","Fill=—","Direction=H","UseDPDF=Y")</f>
        <v>#NAME?</v>
      </c>
      <c r="AC317" s="2" t="e">
        <f ca="1">_xll.BDH($C$303,"ASSET_GROWTH","FQ4 2016","FQ4 2016","Currency=INR","Period=FQ","BEST_FPERIOD_OVERRIDE=FQ","FILING_STATUS=OR","EQY_CONSOLIDATED=Y","Sort=A","Dates=H","DateFormat=P","Fill=—","Direction=H","UseDPDF=Y")</f>
        <v>#NAME?</v>
      </c>
      <c r="AD317" s="2" t="e">
        <f ca="1">_xll.BDH($C$303,"MODIFIED_WORK_CAP_GROWTH","FQ4 2016","FQ4 2016","Currency=INR","Period=FQ","BEST_FPERIOD_OVERRIDE=FQ","FILING_STATUS=OR","EQY_CONSOLIDATED=Y","Sort=A","Dates=H","DateFormat=P","Fill=—","Direction=H","UseDPDF=Y")</f>
        <v>#NAME?</v>
      </c>
      <c r="AE317" s="2" t="e">
        <f ca="1">_xll.BDH($C$303,"WORK_CAP_GROWTH","FQ4 2016","FQ4 2016","Currency=INR","Period=FQ","BEST_FPERIOD_OVERRIDE=FQ","FILING_STATUS=OR","EQY_CONSOLIDATED=Y","Sort=A","Dates=H","DateFormat=P","Fill=—","Direction=H","UseDPDF=Y")</f>
        <v>#NAME?</v>
      </c>
      <c r="AF317" s="2" t="e">
        <f ca="1">_xll.BDH($C$303,"ACCOUNTS_PAYABLE_GROWTH_1YR","FQ4 2016","FQ4 2016","Currency=INR","Period=FQ","BEST_FPERIOD_OVERRIDE=FQ","FILING_STATUS=OR","EQY_CONSOLIDATED=Y","Sort=A","Dates=H","DateFormat=P","Fill=—","Direction=H","UseDPDF=Y")</f>
        <v>#NAME?</v>
      </c>
      <c r="AG317" s="2" t="e">
        <f ca="1">_xll.BDH($C$303,"SHORT_TERM_DEBT_1_YEAR_GROWTH","FQ4 2016","FQ4 2016","Currency=INR","Period=FQ","BEST_FPERIOD_OVERRIDE=FQ","FILING_STATUS=OR","EQY_CONSOLIDATED=Y","Sort=A","Dates=H","DateFormat=P","Fill=—","Direction=H","UseDPDF=Y")</f>
        <v>#NAME?</v>
      </c>
      <c r="AH317" s="2" t="e">
        <f ca="1">_xll.BDH($C$303,"TOTAL_DEBT_1_YEAR_GROWTH","FQ4 2016","FQ4 2016","Currency=INR","Period=FQ","BEST_FPERIOD_OVERRIDE=FQ","FILING_STATUS=OR","EQY_CONSOLIDATED=Y","Sort=A","Dates=H","DateFormat=P","Fill=—","Direction=H","UseDPDF=Y")</f>
        <v>#NAME?</v>
      </c>
      <c r="AI317" s="2" t="e">
        <f ca="1">_xll.BDH($C$303,"TOTAL_EQUITY_1_YEAR_GROWTH","FQ4 2016","FQ4 2016","Currency=INR","Period=FQ","BEST_FPERIOD_OVERRIDE=FQ","FILING_STATUS=OR","EQY_CONSOLIDATED=Y","Sort=A","Dates=H","DateFormat=P","Fill=—","Direction=H","UseDPDF=Y")</f>
        <v>#NAME?</v>
      </c>
      <c r="AJ317" s="2" t="e">
        <f ca="1">_xll.BDH($C$303,"GROWTH_IN_CAP","FQ4 2016","FQ4 2016","Currency=INR","Period=FQ","BEST_FPERIOD_OVERRIDE=FQ","FILING_STATUS=OR","EQY_CONSOLIDATED=Y","Sort=A","Dates=H","DateFormat=P","Fill=—","Direction=H","UseDPDF=Y")</f>
        <v>#NAME?</v>
      </c>
      <c r="AK317" s="2" t="e">
        <f ca="1">_xll.BDH($C$303,"BVPS_GROWTH","FQ4 2016","FQ4 2016","Currency=INR","Period=FQ","BEST_FPERIOD_OVERRIDE=FQ","FILING_STATUS=OR","EQY_CONSOLIDATED=Y","Sort=A","Dates=H","DateFormat=P","Fill=—","Direction=H","UseDPDF=Y")</f>
        <v>#NAME?</v>
      </c>
      <c r="AL317" s="2" t="e">
        <f ca="1">_xll.BDH($C$303,"CASH_FLOW_GROWTH","FQ4 2016","FQ4 2016","Currency=INR","Period=FQ","BEST_FPERIOD_OVERRIDE=FQ","FILING_STATUS=OR","EQY_CONSOLIDATED=Y","Sort=A","Dates=H","DateFormat=P","Fill=—","Direction=H","UseDPDF=Y")</f>
        <v>#NAME?</v>
      </c>
      <c r="AM317" s="2" t="e">
        <f ca="1">_xll.BDH($C$303,"GEO_GROW_NET_SALES","FQ4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17" s="2" t="e">
        <f ca="1">_xll.BDH($C$303,"GEO_GROW_EBITDA","FQ4 2016","FQ4 2016","Currency=INR","Period=FQ","BEST_FPERIOD_OVERRIDE=FQ","FILING_STATUS=OR","EQY_CONSOLIDATED=Y","FA_ADJUSTED=GAAP","Sort=A","Dates=H","DateFormat=P","Fill=—","Direction=H","UseDPDF=Y")</f>
        <v>#NAME?</v>
      </c>
      <c r="AO317" s="2" t="e">
        <f ca="1">_xll.BDH($C$303,"GEO_GROW_OPER_INC","FQ4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17" s="2" t="e">
        <f ca="1">_xll.BDH($C$303,"NET_INCOME_TO_COMMON_5_YR_GROWTH","FQ4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17" s="2" t="e">
        <f ca="1">_xll.BDH($C$303,"5Y_GEO_GROWTH_DILUTED_EPS","FQ4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17" s="2" t="e">
        <f ca="1">_xll.BDH($C$303,"GEO_GROW_DVD_PER_SH","FQ4 2016","FQ4 2016","Currency=INR","Period=FQ","BEST_FPERIOD_OVERRIDE=FQ","FILING_STATUS=OR","EQY_CONSOLIDATED=Y","Sort=A","Dates=H","DateFormat=P","Fill=—","Direction=H","UseDPDF=Y")</f>
        <v>#NAME?</v>
      </c>
      <c r="AS317" s="2" t="e">
        <f ca="1">_xll.BDH($C$303,"ACCOUNTS_RECEIVABLE_5_YR_GROWTH","FQ4 2016","FQ4 2016","Currency=INR","Period=FQ","BEST_FPERIOD_OVERRIDE=FQ","FILING_STATUS=OR","EQY_CONSOLIDATED=Y","Sort=A","Dates=H","DateFormat=P","Fill=—","Direction=H","UseDPDF=Y")</f>
        <v>#NAME?</v>
      </c>
      <c r="AT317" s="2" t="e">
        <f ca="1">_xll.BDH($C$303,"INVENTORY_5_YEAR_GROWTH","FQ4 2016","FQ4 2016","Currency=INR","Period=FQ","BEST_FPERIOD_OVERRIDE=FQ","FILING_STATUS=OR","EQY_CONSOLIDATED=Y","Sort=A","Dates=H","DateFormat=P","Fill=—","Direction=H","UseDPDF=Y")</f>
        <v>#NAME?</v>
      </c>
      <c r="AU317" s="2" t="e">
        <f ca="1">_xll.BDH($C$303,"NET_FIXED_ASSETS_5_YEAR_GROWTH","FQ4 2016","FQ4 2016","Currency=INR","Period=FQ","BEST_FPERIOD_OVERRIDE=FQ","FILING_STATUS=OR","EQY_CONSOLIDATED=Y","Sort=A","Dates=H","DateFormat=P","Fill=—","Direction=H","UseDPDF=Y")</f>
        <v>#NAME?</v>
      </c>
      <c r="AV317" s="2" t="e">
        <f ca="1">_xll.BDH($C$303,"GEO_GROW_TOT_ASSET","FQ4 2016","FQ4 2016","Currency=INR","Period=FQ","BEST_FPERIOD_OVERRIDE=FQ","FILING_STATUS=OR","EQY_CONSOLIDATED=Y","Sort=A","Dates=H","DateFormat=P","Fill=—","Direction=H","UseDPDF=Y")</f>
        <v>#NAME?</v>
      </c>
      <c r="AW317" s="2" t="e">
        <f ca="1">_xll.BDH($C$303,"MODIFIED_WORKING_CPTL_5YR_GRWTH","FQ4 2016","FQ4 2016","Currency=INR","Period=FQ","BEST_FPERIOD_OVERRIDE=FQ","FILING_STATUS=OR","EQY_CONSOLIDATED=Y","Sort=A","Dates=H","DateFormat=P","Fill=—","Direction=H","UseDPDF=Y")</f>
        <v>#NAME?</v>
      </c>
      <c r="AX317" s="2" t="e">
        <f ca="1">_xll.BDH($C$303,"WORKING_CAPITAL_5_YEAR_GROWTH","FQ4 2016","FQ4 2016","Currency=INR","Period=FQ","BEST_FPERIOD_OVERRIDE=FQ","FILING_STATUS=OR","EQY_CONSOLIDATED=Y","Sort=A","Dates=H","DateFormat=P","Fill=—","Direction=H","UseDPDF=Y")</f>
        <v>#NAME?</v>
      </c>
      <c r="AY317" s="2" t="e">
        <f ca="1">_xll.BDH($C$303,"ACCOUNTS_PAYABLE_5_YEAR_GROWTH","FQ4 2016","FQ4 2016","Currency=INR","Period=FQ","BEST_FPERIOD_OVERRIDE=FQ","FILING_STATUS=OR","EQY_CONSOLIDATED=Y","Sort=A","Dates=H","DateFormat=P","Fill=—","Direction=H","UseDPDF=Y")</f>
        <v>#NAME?</v>
      </c>
      <c r="AZ317" s="2" t="e">
        <f ca="1">_xll.BDH($C$303,"SHORT_TERM_DEBT_5_YEAR_GROWTH","FQ4 2016","FQ4 2016","Currency=INR","Period=FQ","BEST_FPERIOD_OVERRIDE=FQ","FILING_STATUS=OR","EQY_CONSOLIDATED=Y","Sort=A","Dates=H","DateFormat=P","Fill=—","Direction=H","UseDPDF=Y")</f>
        <v>#NAME?</v>
      </c>
      <c r="BA317" s="2" t="e">
        <f ca="1">_xll.BDH($C$303,"TOTAL_DEBT_5_YEAR_GROWTH","FQ4 2016","FQ4 2016","Currency=INR","Period=FQ","BEST_FPERIOD_OVERRIDE=FQ","FILING_STATUS=OR","EQY_CONSOLIDATED=Y","Sort=A","Dates=H","DateFormat=P","Fill=—","Direction=H","UseDPDF=Y")</f>
        <v>#NAME?</v>
      </c>
      <c r="BB317" s="2" t="e">
        <f ca="1">_xll.BDH($C$303,"GEO_GROW_TOT_SHRHLDR_EQY","FQ4 2016","FQ4 2016","Currency=INR","Period=FQ","BEST_FPERIOD_OVERRIDE=FQ","FILING_STATUS=OR","EQY_CONSOLIDATED=Y","Sort=A","Dates=H","DateFormat=P","Fill=—","Direction=H","UseDPDF=Y")</f>
        <v>#NAME?</v>
      </c>
      <c r="BC317" s="2" t="e">
        <f ca="1">_xll.BDH($C$303,"TOTAL_CAPITAL_5_YEAR_GROWTH","FQ4 2016","FQ4 2016","Currency=INR","Period=FQ","BEST_FPERIOD_OVERRIDE=FQ","FILING_STATUS=OR","EQY_CONSOLIDATED=Y","Sort=A","Dates=H","DateFormat=P","Fill=—","Direction=H","UseDPDF=Y")</f>
        <v>#NAME?</v>
      </c>
      <c r="BD317" s="2" t="e">
        <f ca="1">_xll.BDH($C$303,"GEO_GROW_BOOK_VAL","FQ4 2016","FQ4 2016","Currency=INR","Period=FQ","BEST_FPERIOD_OVERRIDE=FQ","FILING_STATUS=OR","EQY_CONSOLIDATED=Y","Sort=A","Dates=H","DateFormat=P","Fill=—","Direction=H","UseDPDF=Y")</f>
        <v>#NAME?</v>
      </c>
      <c r="BE317" s="2" t="e">
        <f ca="1">_xll.BDH($C$303,"GEO_GROW_CASH_OPER_ACT","FQ4 2016","FQ4 2016","Currency=INR","Period=FQ","BEST_FPERIOD_OVERRIDE=FQ","FILING_STATUS=OR","EQY_CONSOLIDATED=Y","Sort=A","Dates=H","DateFormat=P","Fill=—","Direction=H","UseDPDF=Y")</f>
        <v>#NAME?</v>
      </c>
      <c r="BF317" s="2" t="e">
        <f ca="1">_xll.BDH($C$303,"REVENUE_SEQUENTIAL_GROWTH","FQ4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17" s="2" t="e">
        <f ca="1">_xll.BDH($C$303,"EBITDA_SEQUENTIAL_GROWTH","FQ4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17" s="2" t="e">
        <f ca="1">_xll.BDH($C$303,"OPERATING_INCOME_SEQ_GROWTH","FQ4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17" s="2" t="e">
        <f ca="1">_xll.BDH($C$303,"NET_INCOME_TO_COMMON_SEQ_GROWTH","FQ4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17" s="2" t="e">
        <f ca="1">_xll.BDH($C$303,"EPS_DILUTED_SEQUENTIAL_GROWTH","FQ4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17" s="2" t="e">
        <f ca="1">_xll.BDH($C$303,"DPS_SEQUENTIAL_GROWTH","FQ4 2016","FQ4 2016","Currency=INR","Period=FQ","BEST_FPERIOD_OVERRIDE=FQ","FILING_STATUS=OR","EQY_CONSOLIDATED=Y","Sort=A","Dates=H","DateFormat=P","Fill=—","Direction=H","UseDPDF=Y")</f>
        <v>#NAME?</v>
      </c>
      <c r="BL317" s="2" t="e">
        <f ca="1">_xll.BDH($C$303,"ACCOUNTS_RECEIVABLE_SEQ_GROWTH","FQ4 2016","FQ4 2016","Currency=INR","Period=FQ","BEST_FPERIOD_OVERRIDE=FQ","FILING_STATUS=OR","EQY_CONSOLIDATED=Y","Sort=A","Dates=H","DateFormat=P","Fill=—","Direction=H","UseDPDF=Y")</f>
        <v>#NAME?</v>
      </c>
      <c r="BM317" s="2" t="e">
        <f ca="1">_xll.BDH($C$303,"INVENTORY_SEQUENTIAL_GROWTH","FQ4 2016","FQ4 2016","Currency=INR","Period=FQ","BEST_FPERIOD_OVERRIDE=FQ","FILING_STATUS=OR","EQY_CONSOLIDATED=Y","Sort=A","Dates=H","DateFormat=P","Fill=—","Direction=H","UseDPDF=Y")</f>
        <v>#NAME?</v>
      </c>
      <c r="BN317" s="2" t="e">
        <f ca="1">_xll.BDH($C$303,"FIXED_ASSETS_SEQUENTIAL_GROWTH","FQ4 2016","FQ4 2016","Currency=INR","Period=FQ","BEST_FPERIOD_OVERRIDE=FQ","FILING_STATUS=OR","EQY_CONSOLIDATED=Y","Sort=A","Dates=H","DateFormat=P","Fill=—","Direction=H","UseDPDF=Y")</f>
        <v>#NAME?</v>
      </c>
      <c r="BO317" s="2" t="e">
        <f ca="1">_xll.BDH($C$303,"TOTAL_ASSETS_SEQUENTIAL_GROWTH","FQ4 2016","FQ4 2016","Currency=INR","Period=FQ","BEST_FPERIOD_OVERRIDE=FQ","FILING_STATUS=OR","EQY_CONSOLIDATED=Y","Sort=A","Dates=H","DateFormat=P","Fill=—","Direction=H","UseDPDF=Y")</f>
        <v>#NAME?</v>
      </c>
      <c r="BP317" s="2" t="e">
        <f ca="1">_xll.BDH($C$303,"MODIFIED_WORKING_CPTL_SEQ_GRWTH","FQ4 2016","FQ4 2016","Currency=INR","Period=FQ","BEST_FPERIOD_OVERRIDE=FQ","FILING_STATUS=OR","EQY_CONSOLIDATED=Y","Sort=A","Dates=H","DateFormat=P","Fill=—","Direction=H","UseDPDF=Y")</f>
        <v>#NAME?</v>
      </c>
      <c r="BQ317" s="2" t="e">
        <f ca="1">_xll.BDH($C$303,"WORKING_CAPITAL_SEQ_GROWTH","FQ4 2016","FQ4 2016","Currency=INR","Period=FQ","BEST_FPERIOD_OVERRIDE=FQ","FILING_STATUS=OR","EQY_CONSOLIDATED=Y","Sort=A","Dates=H","DateFormat=P","Fill=—","Direction=H","UseDPDF=Y")</f>
        <v>#NAME?</v>
      </c>
      <c r="BR317" s="2" t="e">
        <f ca="1">_xll.BDH($C$303,"ACCOUNTS_PAYABLE_SEQ_GROWTH","FQ4 2016","FQ4 2016","Currency=INR","Period=FQ","BEST_FPERIOD_OVERRIDE=FQ","FILING_STATUS=OR","EQY_CONSOLIDATED=Y","Sort=A","Dates=H","DateFormat=P","Fill=—","Direction=H","UseDPDF=Y")</f>
        <v>#NAME?</v>
      </c>
      <c r="BS317" s="2" t="e">
        <f ca="1">_xll.BDH($C$303,"ST_DEBT_SEQUENTIAL_GROWTH","FQ4 2016","FQ4 2016","Currency=INR","Period=FQ","BEST_FPERIOD_OVERRIDE=FQ","FILING_STATUS=OR","EQY_CONSOLIDATED=Y","Sort=A","Dates=H","DateFormat=P","Fill=—","Direction=H","UseDPDF=Y")</f>
        <v>#NAME?</v>
      </c>
      <c r="BT317" s="2" t="e">
        <f ca="1">_xll.BDH($C$303,"TOTAL_DEBT_SEQUENTIAL_GROWTH","FQ4 2016","FQ4 2016","Currency=INR","Period=FQ","BEST_FPERIOD_OVERRIDE=FQ","FILING_STATUS=OR","EQY_CONSOLIDATED=Y","Sort=A","Dates=H","DateFormat=P","Fill=—","Direction=H","UseDPDF=Y")</f>
        <v>#NAME?</v>
      </c>
      <c r="BU317" s="2" t="e">
        <f ca="1">_xll.BDH($C$303,"TOTAL_EQUITY_SEQUENTIAL_GROWTH","FQ4 2016","FQ4 2016","Currency=INR","Period=FQ","BEST_FPERIOD_OVERRIDE=FQ","FILING_STATUS=OR","EQY_CONSOLIDATED=Y","Sort=A","Dates=H","DateFormat=P","Fill=—","Direction=H","UseDPDF=Y")</f>
        <v>#NAME?</v>
      </c>
      <c r="BV317" s="2" t="e">
        <f ca="1">_xll.BDH($C$303,"TOTAL_CAPITAL_SEQUENTIAL_GROWTH","FQ4 2016","FQ4 2016","Currency=INR","Period=FQ","BEST_FPERIOD_OVERRIDE=FQ","FILING_STATUS=OR","EQY_CONSOLIDATED=Y","Sort=A","Dates=H","DateFormat=P","Fill=—","Direction=H","UseDPDF=Y")</f>
        <v>#NAME?</v>
      </c>
      <c r="BW317" s="2" t="e">
        <f ca="1">_xll.BDH($C$303,"BPS_SEQUENTIAL_GROWTH","FQ4 2016","FQ4 2016","Currency=INR","Period=FQ","BEST_FPERIOD_OVERRIDE=FQ","FILING_STATUS=OR","EQY_CONSOLIDATED=Y","Sort=A","Dates=H","DateFormat=P","Fill=—","Direction=H","UseDPDF=Y")</f>
        <v>#NAME?</v>
      </c>
      <c r="BX317" s="2" t="e">
        <f ca="1">_xll.BDH($C$303,"CFO_SEQUENTIAL_GROWTH","FQ4 2016","FQ4 2016","Currency=INR","Period=FQ","BEST_FPERIOD_OVERRIDE=FQ","FILING_STATUS=OR","EQY_CONSOLIDATED=Y","Sort=A","Dates=H","DateFormat=P","Fill=—","Direction=H","UseDPDF=Y")</f>
        <v>#NAME?</v>
      </c>
      <c r="BY317" s="3" t="e">
        <f ca="1">_xll.BDH($C$303,"SHORT_AND_LONG_TERM_DEBT","FQ4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17" s="3" t="e">
        <f ca="1">_xll.BDH($C$303,"BS_ST_BORROW","FQ4 2016","FQ4 2016","Currency=INR","Period=FQ","BEST_FPERIOD_OVERRIDE=FQ","FILING_STATUS=OR","EQY_CONSOLIDATED=Y","SCALING_FORMAT=MLN","Sort=A","Dates=H","DateFormat=P","Fill=—","Direction=H","UseDPDF=Y")</f>
        <v>#NAME?</v>
      </c>
      <c r="CA317" s="3" t="e">
        <f ca="1">_xll.BDH($C$303,"BS_LT_BORROW","FQ4 2016","FQ4 2016","Currency=INR","Period=FQ","BEST_FPERIOD_OVERRIDE=FQ","FILING_STATUS=OR","EQY_CONSOLIDATED=Y","SCALING_FORMAT=MLN","Sort=A","Dates=H","DateFormat=P","Fill=—","Direction=H","UseDPDF=Y")</f>
        <v>#NAME?</v>
      </c>
      <c r="CB317" s="2" t="e">
        <f ca="1">_xll.BDH($C$303,"TOT_DEBT_TO_EBITDA","FQ4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17" s="2" t="e">
        <f ca="1">_xll.BDH($C$303,"NET_DEBT_TO_EBITDA","FQ4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17" s="2" t="e">
        <f ca="1">_xll.BDH($C$303,"TOTAL_DEBT_TO_EBIT","FQ4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17" s="2" t="e">
        <f ca="1">_xll.BDH($C$303,"NET_DEBT_TO_EBIT","FQ4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17" s="2" t="e">
        <f ca="1">_xll.BDH($C$303,"EBITDA_TO_INTEREST_EXPN","FQ4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17" s="2" t="e">
        <f ca="1">_xll.BDH($C$303,"COM_EQY_TO_TOT_ASSET","FQ4 2016","FQ4 2016","Currency=INR","Period=FQ","BEST_FPERIOD_OVERRIDE=FQ","FILING_STATUS=OR","EQY_CONSOLIDATED=Y","Sort=A","Dates=H","DateFormat=P","Fill=—","Direction=H","UseDPDF=Y")</f>
        <v>#NAME?</v>
      </c>
      <c r="CH317" s="2" t="e">
        <f ca="1">_xll.BDH($C$303,"LT_DEBT_TO_TOT_EQY","FQ4 2016","FQ4 2016","Currency=INR","Period=FQ","BEST_FPERIOD_OVERRIDE=FQ","FILING_STATUS=OR","EQY_CONSOLIDATED=Y","Sort=A","Dates=H","DateFormat=P","Fill=—","Direction=H","UseDPDF=Y")</f>
        <v>#NAME?</v>
      </c>
      <c r="CI317" s="2" t="e">
        <f ca="1">_xll.BDH($C$303,"LT_DEBT_TO_TOT_CAP","FQ4 2016","FQ4 2016","Currency=INR","Period=FQ","BEST_FPERIOD_OVERRIDE=FQ","FILING_STATUS=OR","EQY_CONSOLIDATED=Y","Sort=A","Dates=H","DateFormat=P","Fill=—","Direction=H","UseDPDF=Y")</f>
        <v>#NAME?</v>
      </c>
      <c r="CJ317" s="2" t="e">
        <f ca="1">_xll.BDH($C$303,"LT_DEBT_TO_TOT_ASSET","FQ4 2016","FQ4 2016","Currency=INR","Period=FQ","BEST_FPERIOD_OVERRIDE=FQ","FILING_STATUS=OR","EQY_CONSOLIDATED=Y","Sort=A","Dates=H","DateFormat=P","Fill=—","Direction=H","UseDPDF=Y")</f>
        <v>#NAME?</v>
      </c>
      <c r="CK317" s="2" t="e">
        <f ca="1">_xll.BDH($C$303,"TOT_DEBT_TO_TOT_EQY","FQ4 2016","FQ4 2016","Currency=INR","Period=FQ","BEST_FPERIOD_OVERRIDE=FQ","FILING_STATUS=OR","EQY_CONSOLIDATED=Y","Sort=A","Dates=H","DateFormat=P","Fill=—","Direction=H","UseDPDF=Y")</f>
        <v>#NAME?</v>
      </c>
      <c r="CL317" s="2" t="e">
        <f ca="1">_xll.BDH($C$303,"TOT_DEBT_TO_TOT_CAP","FQ4 2016","FQ4 2016","Currency=INR","Period=FQ","BEST_FPERIOD_OVERRIDE=FQ","FILING_STATUS=OR","EQY_CONSOLIDATED=Y","Sort=A","Dates=H","DateFormat=P","Fill=—","Direction=H","UseDPDF=Y")</f>
        <v>#NAME?</v>
      </c>
      <c r="CM317" s="2" t="e">
        <f ca="1">_xll.BDH($C$303,"TOT_DEBT_TO_TOT_ASSET","FQ4 2016","FQ4 2016","Currency=INR","Period=FQ","BEST_FPERIOD_OVERRIDE=FQ","FILING_STATUS=OR","EQY_CONSOLIDATED=Y","Sort=A","Dates=H","DateFormat=P","Fill=—","Direction=H","UseDPDF=Y")</f>
        <v>#NAME?</v>
      </c>
      <c r="CN317" s="2" t="e">
        <f ca="1">_xll.BDH($C$303,"NET_DEBT_TO_SHRHLDR_EQTY","FQ4 2016","FQ4 2016","Currency=INR","Period=FQ","BEST_FPERIOD_OVERRIDE=FQ","FILING_STATUS=OR","EQY_CONSOLIDATED=Y","Sort=A","Dates=H","DateFormat=P","Fill=—","Direction=H","UseDPDF=Y")</f>
        <v>#NAME?</v>
      </c>
      <c r="CO317" s="2" t="e">
        <f ca="1">_xll.BDH($C$303,"NET_DEBT_%_CAPITAL","FQ4 2016","FQ4 2016","Currency=INR","Period=FQ","BEST_FPERIOD_OVERRIDE=FQ","FILING_STATUS=OR","EQY_CONSOLIDATED=Y","Sort=A","Dates=H","DateFormat=P","Fill=—","Direction=H","UseDPDF=Y")</f>
        <v>#NAME?</v>
      </c>
      <c r="CP317" s="3" t="e">
        <f ca="1">_xll.BDH($C$303,"EBITDA","FQ4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17" s="3" t="e">
        <f ca="1">_xll.BDH($C$303,"EBITDA_AFTER_CAPEX","FQ4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17" s="3" t="e">
        <f ca="1">_xll.BDH($C$303,"IS_OPER_INC","FQ4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17" s="2" t="e">
        <f ca="1">_xll.BDH($C$303,"CASH_RATIO","FQ4 2016","FQ4 2016","Currency=INR","Period=FQ","BEST_FPERIOD_OVERRIDE=FQ","FILING_STATUS=OR","EQY_CONSOLIDATED=Y","Sort=A","Dates=H","DateFormat=P","Fill=—","Direction=H","UseDPDF=Y")</f>
        <v>#NAME?</v>
      </c>
      <c r="CT317" s="2" t="e">
        <f ca="1">_xll.BDH($C$303,"CUR_RATIO","FQ4 2016","FQ4 2016","Currency=INR","Period=FQ","BEST_FPERIOD_OVERRIDE=FQ","FILING_STATUS=OR","EQY_CONSOLIDATED=Y","Sort=A","Dates=H","DateFormat=P","Fill=—","Direction=H","UseDPDF=Y")</f>
        <v>#NAME?</v>
      </c>
      <c r="CU317" s="2" t="e">
        <f ca="1">_xll.BDH($C$303,"QUICK_RATIO","FQ4 2016","FQ4 2016","Currency=INR","Period=FQ","BEST_FPERIOD_OVERRIDE=FQ","FILING_STATUS=OR","EQY_CONSOLIDATED=Y","Sort=A","Dates=H","DateFormat=P","Fill=—","Direction=H","UseDPDF=Y")</f>
        <v>#NAME?</v>
      </c>
      <c r="CV317" s="2" t="e">
        <f ca="1">_xll.BDH($C$303,"ALTMAN_Z_SCORE","FQ4 2016","FQ4 2016","Currency=INR","Period=FQ","BEST_FPERIOD_OVERRIDE=FQ","FILING_STATUS=OR","EQY_CONSOLIDATED=Y","Sort=A","Dates=H","DateFormat=P","Fill=—","Direction=H","UseDPDF=Y")</f>
        <v>#NAME?</v>
      </c>
      <c r="CW317" s="4" t="e">
        <f ca="1">_xll.BDH($C$303,"ACCT_RCV_TURN","FQ4 2016","FQ4 2016","Currency=INR","Period=FQ","BEST_FPERIOD_OVERRIDE=FQ","FILING_STATUS=OR","EQY_CONSOLIDATED=Y","FA_ADJUSTED=GAAP","Sort=A","Dates=H","DateFormat=P","Fill=—","Direction=H","UseDPDF=Y")</f>
        <v>#NAME?</v>
      </c>
      <c r="CX317" s="2" t="e">
        <f ca="1">_xll.BDH($C$303,"ACCT_RCV_DAYS","FQ4 2016","FQ4 2016","Currency=INR","Period=FQ","BEST_FPERIOD_OVERRIDE=FQ","FILING_STATUS=OR","EQY_CONSOLIDATED=Y","FA_ADJUSTED=GAAP","Sort=A","Dates=H","DateFormat=P","Fill=—","Direction=H","UseDPDF=Y")</f>
        <v>#NAME?</v>
      </c>
      <c r="CY317" s="4" t="e">
        <f ca="1">_xll.BDH($C$303,"INVENT_TURN","FQ4 2016","FQ4 2016","Currency=INR","Period=FQ","BEST_FPERIOD_OVERRIDE=FQ","FILING_STATUS=OR","EQY_CONSOLIDATED=Y","FA_ADJUSTED=GAAP","Sort=A","Dates=H","DateFormat=P","Fill=—","Direction=H","UseDPDF=Y")</f>
        <v>#NAME?</v>
      </c>
      <c r="CZ317" s="2" t="e">
        <f ca="1">_xll.BDH($C$303,"INVENT_DAYS","FQ4 2016","FQ4 2016","Currency=INR","Period=FQ","BEST_FPERIOD_OVERRIDE=FQ","FILING_STATUS=OR","EQY_CONSOLIDATED=Y","FA_ADJUSTED=GAAP","Sort=A","Dates=H","DateFormat=P","Fill=—","Direction=H","UseDPDF=Y")</f>
        <v>#NAME?</v>
      </c>
      <c r="DA317" s="4" t="e">
        <f ca="1">_xll.BDH($C$303,"ACCOUNTS_PAYABLE_TURNOVER","FQ4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17" s="2" t="e">
        <f ca="1">_xll.BDH($C$303,"ACCOUNTS_PAYABLE_TURNOVER_DAYS","FQ4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17" s="4" t="e">
        <f ca="1">_xll.BDH($C$303,"CASH_CONVERSION_CYCLE","FQ4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17" s="4" t="e">
        <f ca="1">_xll.BDH($C$303,"INV_TO_CASH_DAYS","FQ4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17" s="5" t="e">
        <f ca="1">_xll.BDH($C$303,"BS_INVENTORIES","FQ4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17" s="3" t="e">
        <f ca="1">_xll.BDH($C$303,"INVTRY_RAW_MATERIALS","FQ4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17" s="3" t="e">
        <f ca="1">_xll.BDH($C$303,"INVTRY_IN_PROGRESS","FQ4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17" s="3" t="e">
        <f ca="1">_xll.BDH($C$303,"INVTRY_FINISHED_GOODS","FQ4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17" s="3" t="e">
        <f ca="1">_xll.BDH($C$303,"BS_OTHER_INV","FQ4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18" spans="1:113" x14ac:dyDescent="0.3">
      <c r="A318" s="6"/>
      <c r="B318" s="6"/>
      <c r="C318" s="6"/>
      <c r="D318" s="6" t="s">
        <v>84</v>
      </c>
      <c r="E318" t="s">
        <v>77</v>
      </c>
      <c r="F318" t="e">
        <f ca="1">_xll.BDH($C$303,"RETURN_COM_EQY","FY 2017","FY 2017","Currency=INR","Period=FY","BEST_FPERIOD_OVERRIDE=FY","FILING_STATUS=OR","EQY_CONSOLIDATED=Y","FA_ADJUSTED=GAAP","Sort=A","Dates=H","DateFormat=P","Fill=—","Direction=H","UseDPDF=Y")</f>
        <v>#NAME?</v>
      </c>
      <c r="G318" t="e">
        <f ca="1">_xll.BDH($C$303,"RETURN_ON_ASSET","FY 2017","FY 2017","Currency=INR","Period=FY","BEST_FPERIOD_OVERRIDE=FY","FILING_STATUS=OR","EQY_CONSOLIDATED=Y","FA_ADJUSTED=GAAP","Sort=A","Dates=H","DateFormat=P","Fill=—","Direction=H","UseDPDF=Y")</f>
        <v>#NAME?</v>
      </c>
      <c r="H318" t="e">
        <f ca="1">_xll.BDH($C$303,"RETURN_ON_CAP","FY 2017","FY 2017","Currency=INR","Period=FY","BEST_FPERIOD_OVERRIDE=FY","FILING_STATUS=OR","EQY_CONSOLIDATED=Y","FA_ADJUSTED=GAAP","Sort=A","Dates=H","DateFormat=P","Fill=—","Direction=H","UseDPDF=Y")</f>
        <v>#NAME?</v>
      </c>
      <c r="I318" t="e">
        <f ca="1">_xll.BDH($C$303,"RETURN_ON_INV_CAPITAL","FY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18" t="e">
        <f ca="1">_xll.BDH($C$303,"EBITDA_TO_REVENUE","FY 2017","FY 2017","Currency=INR","Period=FY","BEST_FPERIOD_OVERRIDE=FY","FILING_STATUS=OR","EQY_CONSOLIDATED=Y","FA_ADJUSTED=GAAP","Sort=A","Dates=H","DateFormat=P","Fill=—","Direction=H","UseDPDF=Y")</f>
        <v>#NAME?</v>
      </c>
      <c r="K318" t="e">
        <f ca="1">_xll.BDH($C$303,"OPER_MARGIN","FY 2017","FY 2017","Currency=INR","Period=FY","BEST_FPERIOD_OVERRIDE=FY","FILING_STATUS=OR","EQY_CONSOLIDATED=Y","FA_ADJUSTED=GAAP","Sort=A","Dates=H","DateFormat=P","Fill=—","Direction=H","UseDPDF=Y")</f>
        <v>#NAME?</v>
      </c>
      <c r="L318" t="e">
        <f ca="1">_xll.BDH($C$303,"INCREMENTAL_OPERATING_MARGIN","FY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18" t="e">
        <f ca="1">_xll.BDH($C$303,"PRETAX_INC_TO_NET_SALES","FY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18" t="e">
        <f ca="1">_xll.BDH($C$303,"INC_BEF_XO_ITEMS_TO_NET_SALES","FY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18" t="e">
        <f ca="1">_xll.BDH($C$303,"PROF_MARGIN","FY 2017","FY 2017","Currency=INR","Period=FY","BEST_FPERIOD_OVERRIDE=FY","FILING_STATUS=OR","EQY_CONSOLIDATED=Y","FA_ADJUSTED=GAAP","Sort=A","Dates=H","DateFormat=P","Fill=—","Direction=H","UseDPDF=Y")</f>
        <v>#NAME?</v>
      </c>
      <c r="P318" t="e">
        <f ca="1">_xll.BDH($C$303,"NET_INCOME_TO_COMMON_MARGIN","FY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18" t="e">
        <f ca="1">_xll.BDH($C$303,"EFF_TAX_RATE","FY 2017","FY 2017","Currency=INR","Period=FY","BEST_FPERIOD_OVERRIDE=FY","FILING_STATUS=OR","EQY_CONSOLIDATED=Y","FA_ADJUSTED=GAAP","Sort=A","Dates=H","DateFormat=P","Fill=—","Direction=H","UseDPDF=Y")</f>
        <v>#NAME?</v>
      </c>
      <c r="R318" t="e">
        <f ca="1">_xll.BDH($C$303,"DVD_PAYOUT_RATIO","FY 2017","FY 2017","Currency=INR","Period=FY","BEST_FPERIOD_OVERRIDE=FY","FILING_STATUS=OR","EQY_CONSOLIDATED=Y","FA_ADJUSTED=GAAP","Sort=A","Dates=H","DateFormat=P","Fill=—","Direction=H","UseDPDF=Y")</f>
        <v>#NAME?</v>
      </c>
      <c r="S318" t="e">
        <f ca="1">_xll.BDH($C$303,"SUSTAIN_GROWTH_RT","FY 2017","FY 2017","Currency=INR","Period=FY","BEST_FPERIOD_OVERRIDE=FY","FILING_STATUS=OR","EQY_CONSOLIDATED=Y","FA_ADJUSTED=GAAP","Sort=A","Dates=H","DateFormat=P","Fill=—","Direction=H","UseDPDF=Y")</f>
        <v>#NAME?</v>
      </c>
      <c r="T318" s="2" t="e">
        <f ca="1">_xll.BDH($C$303,"SALES_GROWTH","FY 2017","FY 2017","Currency=INR","Period=FY","BEST_FPERIOD_OVERRIDE=FY","FILING_STATUS=OR","EQY_CONSOLIDATED=Y","FA_ADJUSTED=GAAP","Sort=A","Dates=H","DateFormat=P","Fill=—","Direction=H","UseDPDF=Y")</f>
        <v>#NAME?</v>
      </c>
      <c r="U318" s="2" t="e">
        <f ca="1">_xll.BDH($C$303,"EBITDA_GROWTH","FY 2017","FY 2017","Currency=INR","Period=FY","BEST_FPERIOD_OVERRIDE=FY","FILING_STATUS=OR","EQY_CONSOLIDATED=Y","FA_ADJUSTED=GAAP","Sort=A","Dates=H","DateFormat=P","Fill=—","Direction=H","UseDPDF=Y")</f>
        <v>#NAME?</v>
      </c>
      <c r="V318" s="2" t="e">
        <f ca="1">_xll.BDH($C$303,"OPER_INC_GROWTH","FY 2017","FY 2017","Currency=INR","Period=FY","BEST_FPERIOD_OVERRIDE=FY","FILING_STATUS=OR","EQY_CONSOLIDATED=Y","FA_ADJUSTED=GAAP","Sort=A","Dates=H","DateFormat=P","Fill=—","Direction=H","UseDPDF=Y")</f>
        <v>#NAME?</v>
      </c>
      <c r="W318" s="2" t="e">
        <f ca="1">_xll.BDH($C$303,"EARN_FOR_COM_GROWTH","FY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18" s="2" t="e">
        <f ca="1">_xll.BDH($C$303,"DILUTED_EPS_AFT_XO_ITEMS_GROWTH","FY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18" s="2" t="e">
        <f ca="1">_xll.BDH($C$303,"DIVIDEND_PER_SHARE_1_YEAR_GROWTH","FY 2017","FY 2017","Currency=INR","Period=FY","BEST_FPERIOD_OVERRIDE=FY","FILING_STATUS=OR","EQY_CONSOLIDATED=Y","Sort=A","Dates=H","DateFormat=P","Fill=—","Direction=H","UseDPDF=Y")</f>
        <v>#NAME?</v>
      </c>
      <c r="Z318" s="2" t="e">
        <f ca="1">_xll.BDH($C$303,"ACCOUNTS_RECEIVABLE_GROWTH","FY 2017","FY 2017","Currency=INR","Period=FY","BEST_FPERIOD_OVERRIDE=FY","FILING_STATUS=OR","EQY_CONSOLIDATED=Y","Sort=A","Dates=H","DateFormat=P","Fill=—","Direction=H","UseDPDF=Y")</f>
        <v>#NAME?</v>
      </c>
      <c r="AA318" s="2" t="e">
        <f ca="1">_xll.BDH($C$303,"INVENTORY_GROWTH","FY 2017","FY 2017","Currency=INR","Period=FY","BEST_FPERIOD_OVERRIDE=FY","FILING_STATUS=OR","EQY_CONSOLIDATED=Y","Sort=A","Dates=H","DateFormat=P","Fill=—","Direction=H","UseDPDF=Y")</f>
        <v>#NAME?</v>
      </c>
      <c r="AB318" s="2" t="e">
        <f ca="1">_xll.BDH($C$303,"NET_FIXED_ASSETS_1_YEAR_GROWTH","FY 2017","FY 2017","Currency=INR","Period=FY","BEST_FPERIOD_OVERRIDE=FY","FILING_STATUS=OR","EQY_CONSOLIDATED=Y","Sort=A","Dates=H","DateFormat=P","Fill=—","Direction=H","UseDPDF=Y")</f>
        <v>#NAME?</v>
      </c>
      <c r="AC318" s="2" t="e">
        <f ca="1">_xll.BDH($C$303,"ASSET_GROWTH","FY 2017","FY 2017","Currency=INR","Period=FY","BEST_FPERIOD_OVERRIDE=FY","FILING_STATUS=OR","EQY_CONSOLIDATED=Y","Sort=A","Dates=H","DateFormat=P","Fill=—","Direction=H","UseDPDF=Y")</f>
        <v>#NAME?</v>
      </c>
      <c r="AD318" s="2" t="e">
        <f ca="1">_xll.BDH($C$303,"MODIFIED_WORK_CAP_GROWTH","FY 2017","FY 2017","Currency=INR","Period=FY","BEST_FPERIOD_OVERRIDE=FY","FILING_STATUS=OR","EQY_CONSOLIDATED=Y","Sort=A","Dates=H","DateFormat=P","Fill=—","Direction=H","UseDPDF=Y")</f>
        <v>#NAME?</v>
      </c>
      <c r="AE318" s="2" t="e">
        <f ca="1">_xll.BDH($C$303,"WORK_CAP_GROWTH","FY 2017","FY 2017","Currency=INR","Period=FY","BEST_FPERIOD_OVERRIDE=FY","FILING_STATUS=OR","EQY_CONSOLIDATED=Y","Sort=A","Dates=H","DateFormat=P","Fill=—","Direction=H","UseDPDF=Y")</f>
        <v>#NAME?</v>
      </c>
      <c r="AF318" s="2" t="e">
        <f ca="1">_xll.BDH($C$303,"ACCOUNTS_PAYABLE_GROWTH_1YR","FY 2017","FY 2017","Currency=INR","Period=FY","BEST_FPERIOD_OVERRIDE=FY","FILING_STATUS=OR","EQY_CONSOLIDATED=Y","Sort=A","Dates=H","DateFormat=P","Fill=—","Direction=H","UseDPDF=Y")</f>
        <v>#NAME?</v>
      </c>
      <c r="AG318" s="2" t="e">
        <f ca="1">_xll.BDH($C$303,"SHORT_TERM_DEBT_1_YEAR_GROWTH","FY 2017","FY 2017","Currency=INR","Period=FY","BEST_FPERIOD_OVERRIDE=FY","FILING_STATUS=OR","EQY_CONSOLIDATED=Y","Sort=A","Dates=H","DateFormat=P","Fill=—","Direction=H","UseDPDF=Y")</f>
        <v>#NAME?</v>
      </c>
      <c r="AH318" s="2" t="e">
        <f ca="1">_xll.BDH($C$303,"TOTAL_DEBT_1_YEAR_GROWTH","FY 2017","FY 2017","Currency=INR","Period=FY","BEST_FPERIOD_OVERRIDE=FY","FILING_STATUS=OR","EQY_CONSOLIDATED=Y","Sort=A","Dates=H","DateFormat=P","Fill=—","Direction=H","UseDPDF=Y")</f>
        <v>#NAME?</v>
      </c>
      <c r="AI318" s="2" t="e">
        <f ca="1">_xll.BDH($C$303,"TOTAL_EQUITY_1_YEAR_GROWTH","FY 2017","FY 2017","Currency=INR","Period=FY","BEST_FPERIOD_OVERRIDE=FY","FILING_STATUS=OR","EQY_CONSOLIDATED=Y","Sort=A","Dates=H","DateFormat=P","Fill=—","Direction=H","UseDPDF=Y")</f>
        <v>#NAME?</v>
      </c>
      <c r="AJ318" s="2" t="e">
        <f ca="1">_xll.BDH($C$303,"GROWTH_IN_CAP","FY 2017","FY 2017","Currency=INR","Period=FY","BEST_FPERIOD_OVERRIDE=FY","FILING_STATUS=OR","EQY_CONSOLIDATED=Y","Sort=A","Dates=H","DateFormat=P","Fill=—","Direction=H","UseDPDF=Y")</f>
        <v>#NAME?</v>
      </c>
      <c r="AK318" s="2" t="e">
        <f ca="1">_xll.BDH($C$303,"BVPS_GROWTH","FY 2017","FY 2017","Currency=INR","Period=FY","BEST_FPERIOD_OVERRIDE=FY","FILING_STATUS=OR","EQY_CONSOLIDATED=Y","Sort=A","Dates=H","DateFormat=P","Fill=—","Direction=H","UseDPDF=Y")</f>
        <v>#NAME?</v>
      </c>
      <c r="AL318" s="2" t="e">
        <f ca="1">_xll.BDH($C$303,"CASH_FLOW_GROWTH","FY 2017","FY 2017","Currency=INR","Period=FY","BEST_FPERIOD_OVERRIDE=FY","FILING_STATUS=OR","EQY_CONSOLIDATED=Y","Sort=A","Dates=H","DateFormat=P","Fill=—","Direction=H","UseDPDF=Y")</f>
        <v>#NAME?</v>
      </c>
      <c r="AM318" s="2" t="e">
        <f ca="1">_xll.BDH($C$303,"GEO_GROW_NET_SALES","FY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18" s="2" t="e">
        <f ca="1">_xll.BDH($C$303,"GEO_GROW_EBITDA","FY 2017","FY 2017","Currency=INR","Period=FY","BEST_FPERIOD_OVERRIDE=FY","FILING_STATUS=OR","EQY_CONSOLIDATED=Y","FA_ADJUSTED=GAAP","Sort=A","Dates=H","DateFormat=P","Fill=—","Direction=H","UseDPDF=Y")</f>
        <v>#NAME?</v>
      </c>
      <c r="AO318" s="2" t="e">
        <f ca="1">_xll.BDH($C$303,"GEO_GROW_OPER_INC","FY 2017","FY 2017","Currency=INR","Period=FY","BEST_FPERIOD_OVERRIDE=FY","FILING_STATUS=OR","EQY_CONSOLIDATED=Y","FA_ADJUSTED=GAAP","Sort=A","Dates=H","DateFormat=P","Fill=—","Direction=H","UseDPDF=Y")</f>
        <v>#NAME?</v>
      </c>
      <c r="AP318" s="2" t="e">
        <f ca="1">_xll.BDH($C$303,"NET_INCOME_TO_COMMON_5_YR_GROWTH","FY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18" s="2" t="e">
        <f ca="1">_xll.BDH($C$303,"5Y_GEO_GROWTH_DILUTED_EPS","FY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18" s="2" t="e">
        <f ca="1">_xll.BDH($C$303,"GEO_GROW_DVD_PER_SH","FY 2017","FY 2017","Currency=INR","Period=FY","BEST_FPERIOD_OVERRIDE=FY","FILING_STATUS=OR","EQY_CONSOLIDATED=Y","Sort=A","Dates=H","DateFormat=P","Fill=—","Direction=H","UseDPDF=Y")</f>
        <v>#NAME?</v>
      </c>
      <c r="AS318" s="2" t="e">
        <f ca="1">_xll.BDH($C$303,"ACCOUNTS_RECEIVABLE_5_YR_GROWTH","FY 2017","FY 2017","Currency=INR","Period=FY","BEST_FPERIOD_OVERRIDE=FY","FILING_STATUS=OR","EQY_CONSOLIDATED=Y","Sort=A","Dates=H","DateFormat=P","Fill=—","Direction=H","UseDPDF=Y")</f>
        <v>#NAME?</v>
      </c>
      <c r="AT318" s="2" t="e">
        <f ca="1">_xll.BDH($C$303,"INVENTORY_5_YEAR_GROWTH","FY 2017","FY 2017","Currency=INR","Period=FY","BEST_FPERIOD_OVERRIDE=FY","FILING_STATUS=OR","EQY_CONSOLIDATED=Y","Sort=A","Dates=H","DateFormat=P","Fill=—","Direction=H","UseDPDF=Y")</f>
        <v>#NAME?</v>
      </c>
      <c r="AU318" s="2" t="e">
        <f ca="1">_xll.BDH($C$303,"NET_FIXED_ASSETS_5_YEAR_GROWTH","FY 2017","FY 2017","Currency=INR","Period=FY","BEST_FPERIOD_OVERRIDE=FY","FILING_STATUS=OR","EQY_CONSOLIDATED=Y","Sort=A","Dates=H","DateFormat=P","Fill=—","Direction=H","UseDPDF=Y")</f>
        <v>#NAME?</v>
      </c>
      <c r="AV318" s="2" t="e">
        <f ca="1">_xll.BDH($C$303,"GEO_GROW_TOT_ASSET","FY 2017","FY 2017","Currency=INR","Period=FY","BEST_FPERIOD_OVERRIDE=FY","FILING_STATUS=OR","EQY_CONSOLIDATED=Y","Sort=A","Dates=H","DateFormat=P","Fill=—","Direction=H","UseDPDF=Y")</f>
        <v>#NAME?</v>
      </c>
      <c r="AW318" s="2" t="e">
        <f ca="1">_xll.BDH($C$303,"MODIFIED_WORKING_CPTL_5YR_GRWTH","FY 2017","FY 2017","Currency=INR","Period=FY","BEST_FPERIOD_OVERRIDE=FY","FILING_STATUS=OR","EQY_CONSOLIDATED=Y","Sort=A","Dates=H","DateFormat=P","Fill=—","Direction=H","UseDPDF=Y")</f>
        <v>#NAME?</v>
      </c>
      <c r="AX318" s="2" t="e">
        <f ca="1">_xll.BDH($C$303,"WORKING_CAPITAL_5_YEAR_GROWTH","FY 2017","FY 2017","Currency=INR","Period=FY","BEST_FPERIOD_OVERRIDE=FY","FILING_STATUS=OR","EQY_CONSOLIDATED=Y","Sort=A","Dates=H","DateFormat=P","Fill=—","Direction=H","UseDPDF=Y")</f>
        <v>#NAME?</v>
      </c>
      <c r="AY318" s="2" t="e">
        <f ca="1">_xll.BDH($C$303,"ACCOUNTS_PAYABLE_5_YEAR_GROWTH","FY 2017","FY 2017","Currency=INR","Period=FY","BEST_FPERIOD_OVERRIDE=FY","FILING_STATUS=OR","EQY_CONSOLIDATED=Y","Sort=A","Dates=H","DateFormat=P","Fill=—","Direction=H","UseDPDF=Y")</f>
        <v>#NAME?</v>
      </c>
      <c r="AZ318" s="2" t="e">
        <f ca="1">_xll.BDH($C$303,"SHORT_TERM_DEBT_5_YEAR_GROWTH","FY 2017","FY 2017","Currency=INR","Period=FY","BEST_FPERIOD_OVERRIDE=FY","FILING_STATUS=OR","EQY_CONSOLIDATED=Y","Sort=A","Dates=H","DateFormat=P","Fill=—","Direction=H","UseDPDF=Y")</f>
        <v>#NAME?</v>
      </c>
      <c r="BA318" s="2" t="e">
        <f ca="1">_xll.BDH($C$303,"TOTAL_DEBT_5_YEAR_GROWTH","FY 2017","FY 2017","Currency=INR","Period=FY","BEST_FPERIOD_OVERRIDE=FY","FILING_STATUS=OR","EQY_CONSOLIDATED=Y","Sort=A","Dates=H","DateFormat=P","Fill=—","Direction=H","UseDPDF=Y")</f>
        <v>#NAME?</v>
      </c>
      <c r="BB318" s="2" t="e">
        <f ca="1">_xll.BDH($C$303,"GEO_GROW_TOT_SHRHLDR_EQY","FY 2017","FY 2017","Currency=INR","Period=FY","BEST_FPERIOD_OVERRIDE=FY","FILING_STATUS=OR","EQY_CONSOLIDATED=Y","Sort=A","Dates=H","DateFormat=P","Fill=—","Direction=H","UseDPDF=Y")</f>
        <v>#NAME?</v>
      </c>
      <c r="BC318" s="2" t="e">
        <f ca="1">_xll.BDH($C$303,"TOTAL_CAPITAL_5_YEAR_GROWTH","FY 2017","FY 2017","Currency=INR","Period=FY","BEST_FPERIOD_OVERRIDE=FY","FILING_STATUS=OR","EQY_CONSOLIDATED=Y","Sort=A","Dates=H","DateFormat=P","Fill=—","Direction=H","UseDPDF=Y")</f>
        <v>#NAME?</v>
      </c>
      <c r="BD318" s="2" t="e">
        <f ca="1">_xll.BDH($C$303,"GEO_GROW_BOOK_VAL","FY 2017","FY 2017","Currency=INR","Period=FY","BEST_FPERIOD_OVERRIDE=FY","FILING_STATUS=OR","EQY_CONSOLIDATED=Y","Sort=A","Dates=H","DateFormat=P","Fill=—","Direction=H","UseDPDF=Y")</f>
        <v>#NAME?</v>
      </c>
      <c r="BE318" s="2" t="e">
        <f ca="1">_xll.BDH($C$303,"GEO_GROW_CASH_OPER_ACT","FY 2017","FY 2017","Currency=INR","Period=FY","BEST_FPERIOD_OVERRIDE=FY","FILING_STATUS=OR","EQY_CONSOLIDATED=Y","Sort=A","Dates=H","DateFormat=P","Fill=—","Direction=H","UseDPDF=Y")</f>
        <v>#NAME?</v>
      </c>
      <c r="BF318" s="2" t="e">
        <f ca="1">_xll.BDH($C$303,"REVENUE_SEQUENTIAL_GROWTH","FY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18" s="2" t="e">
        <f ca="1">_xll.BDH($C$303,"EBITDA_SEQUENTIAL_GROWTH","FY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18" s="2" t="e">
        <f ca="1">_xll.BDH($C$303,"OPERATING_INCOME_SEQ_GROWTH","FY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18" s="2" t="e">
        <f ca="1">_xll.BDH($C$303,"NET_INCOME_TO_COMMON_SEQ_GROWTH","FY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18" s="2" t="e">
        <f ca="1">_xll.BDH($C$303,"EPS_DILUTED_SEQUENTIAL_GROWTH","FY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18" s="2" t="e">
        <f ca="1">_xll.BDH($C$303,"DPS_SEQUENTIAL_GROWTH","FY 2017","FY 2017","Currency=INR","Period=FY","BEST_FPERIOD_OVERRIDE=FY","FILING_STATUS=OR","EQY_CONSOLIDATED=Y","Sort=A","Dates=H","DateFormat=P","Fill=—","Direction=H","UseDPDF=Y")</f>
        <v>#NAME?</v>
      </c>
      <c r="BL318" s="2" t="e">
        <f ca="1">_xll.BDH($C$303,"ACCOUNTS_RECEIVABLE_SEQ_GROWTH","FY 2017","FY 2017","Currency=INR","Period=FY","BEST_FPERIOD_OVERRIDE=FY","FILING_STATUS=OR","EQY_CONSOLIDATED=Y","Sort=A","Dates=H","DateFormat=P","Fill=—","Direction=H","UseDPDF=Y")</f>
        <v>#NAME?</v>
      </c>
      <c r="BM318" s="2" t="e">
        <f ca="1">_xll.BDH($C$303,"INVENTORY_SEQUENTIAL_GROWTH","FY 2017","FY 2017","Currency=INR","Period=FY","BEST_FPERIOD_OVERRIDE=FY","FILING_STATUS=OR","EQY_CONSOLIDATED=Y","Sort=A","Dates=H","DateFormat=P","Fill=—","Direction=H","UseDPDF=Y")</f>
        <v>#NAME?</v>
      </c>
      <c r="BN318" s="2" t="e">
        <f ca="1">_xll.BDH($C$303,"FIXED_ASSETS_SEQUENTIAL_GROWTH","FY 2017","FY 2017","Currency=INR","Period=FY","BEST_FPERIOD_OVERRIDE=FY","FILING_STATUS=OR","EQY_CONSOLIDATED=Y","Sort=A","Dates=H","DateFormat=P","Fill=—","Direction=H","UseDPDF=Y")</f>
        <v>#NAME?</v>
      </c>
      <c r="BO318" s="2" t="e">
        <f ca="1">_xll.BDH($C$303,"TOTAL_ASSETS_SEQUENTIAL_GROWTH","FY 2017","FY 2017","Currency=INR","Period=FY","BEST_FPERIOD_OVERRIDE=FY","FILING_STATUS=OR","EQY_CONSOLIDATED=Y","Sort=A","Dates=H","DateFormat=P","Fill=—","Direction=H","UseDPDF=Y")</f>
        <v>#NAME?</v>
      </c>
      <c r="BP318" s="2" t="e">
        <f ca="1">_xll.BDH($C$303,"MODIFIED_WORKING_CPTL_SEQ_GRWTH","FY 2017","FY 2017","Currency=INR","Period=FY","BEST_FPERIOD_OVERRIDE=FY","FILING_STATUS=OR","EQY_CONSOLIDATED=Y","Sort=A","Dates=H","DateFormat=P","Fill=—","Direction=H","UseDPDF=Y")</f>
        <v>#NAME?</v>
      </c>
      <c r="BQ318" s="2" t="e">
        <f ca="1">_xll.BDH($C$303,"WORKING_CAPITAL_SEQ_GROWTH","FY 2017","FY 2017","Currency=INR","Period=FY","BEST_FPERIOD_OVERRIDE=FY","FILING_STATUS=OR","EQY_CONSOLIDATED=Y","Sort=A","Dates=H","DateFormat=P","Fill=—","Direction=H","UseDPDF=Y")</f>
        <v>#NAME?</v>
      </c>
      <c r="BR318" s="2" t="e">
        <f ca="1">_xll.BDH($C$303,"ACCOUNTS_PAYABLE_SEQ_GROWTH","FY 2017","FY 2017","Currency=INR","Period=FY","BEST_FPERIOD_OVERRIDE=FY","FILING_STATUS=OR","EQY_CONSOLIDATED=Y","Sort=A","Dates=H","DateFormat=P","Fill=—","Direction=H","UseDPDF=Y")</f>
        <v>#NAME?</v>
      </c>
      <c r="BS318" s="2" t="e">
        <f ca="1">_xll.BDH($C$303,"ST_DEBT_SEQUENTIAL_GROWTH","FY 2017","FY 2017","Currency=INR","Period=FY","BEST_FPERIOD_OVERRIDE=FY","FILING_STATUS=OR","EQY_CONSOLIDATED=Y","Sort=A","Dates=H","DateFormat=P","Fill=—","Direction=H","UseDPDF=Y")</f>
        <v>#NAME?</v>
      </c>
      <c r="BT318" s="2" t="e">
        <f ca="1">_xll.BDH($C$303,"TOTAL_DEBT_SEQUENTIAL_GROWTH","FY 2017","FY 2017","Currency=INR","Period=FY","BEST_FPERIOD_OVERRIDE=FY","FILING_STATUS=OR","EQY_CONSOLIDATED=Y","Sort=A","Dates=H","DateFormat=P","Fill=—","Direction=H","UseDPDF=Y")</f>
        <v>#NAME?</v>
      </c>
      <c r="BU318" s="2" t="e">
        <f ca="1">_xll.BDH($C$303,"TOTAL_EQUITY_SEQUENTIAL_GROWTH","FY 2017","FY 2017","Currency=INR","Period=FY","BEST_FPERIOD_OVERRIDE=FY","FILING_STATUS=OR","EQY_CONSOLIDATED=Y","Sort=A","Dates=H","DateFormat=P","Fill=—","Direction=H","UseDPDF=Y")</f>
        <v>#NAME?</v>
      </c>
      <c r="BV318" s="2" t="e">
        <f ca="1">_xll.BDH($C$303,"TOTAL_CAPITAL_SEQUENTIAL_GROWTH","FY 2017","FY 2017","Currency=INR","Period=FY","BEST_FPERIOD_OVERRIDE=FY","FILING_STATUS=OR","EQY_CONSOLIDATED=Y","Sort=A","Dates=H","DateFormat=P","Fill=—","Direction=H","UseDPDF=Y")</f>
        <v>#NAME?</v>
      </c>
      <c r="BW318" s="2" t="e">
        <f ca="1">_xll.BDH($C$303,"BPS_SEQUENTIAL_GROWTH","FY 2017","FY 2017","Currency=INR","Period=FY","BEST_FPERIOD_OVERRIDE=FY","FILING_STATUS=OR","EQY_CONSOLIDATED=Y","Sort=A","Dates=H","DateFormat=P","Fill=—","Direction=H","UseDPDF=Y")</f>
        <v>#NAME?</v>
      </c>
      <c r="BX318" s="2" t="e">
        <f ca="1">_xll.BDH($C$303,"CFO_SEQUENTIAL_GROWTH","FY 2017","FY 2017","Currency=INR","Period=FY","BEST_FPERIOD_OVERRIDE=FY","FILING_STATUS=OR","EQY_CONSOLIDATED=Y","Sort=A","Dates=H","DateFormat=P","Fill=—","Direction=H","UseDPDF=Y")</f>
        <v>#NAME?</v>
      </c>
      <c r="BY318" s="3" t="e">
        <f ca="1">_xll.BDH($C$303,"SHORT_AND_LONG_TERM_DEBT","FY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18" s="3" t="e">
        <f ca="1">_xll.BDH($C$303,"BS_ST_BORROW","FY 2017","FY 2017","Currency=INR","Period=FY","BEST_FPERIOD_OVERRIDE=FY","FILING_STATUS=OR","EQY_CONSOLIDATED=Y","SCALING_FORMAT=MLN","Sort=A","Dates=H","DateFormat=P","Fill=—","Direction=H","UseDPDF=Y")</f>
        <v>#NAME?</v>
      </c>
      <c r="CA318" s="3" t="e">
        <f ca="1">_xll.BDH($C$303,"BS_LT_BORROW","FY 2017","FY 2017","Currency=INR","Period=FY","BEST_FPERIOD_OVERRIDE=FY","FILING_STATUS=OR","EQY_CONSOLIDATED=Y","SCALING_FORMAT=MLN","Sort=A","Dates=H","DateFormat=P","Fill=—","Direction=H","UseDPDF=Y")</f>
        <v>#NAME?</v>
      </c>
      <c r="CB318" s="2" t="e">
        <f ca="1">_xll.BDH($C$303,"TOT_DEBT_TO_EBITDA","FY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18" s="2" t="e">
        <f ca="1">_xll.BDH($C$303,"NET_DEBT_TO_EBITDA","FY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18" s="2" t="e">
        <f ca="1">_xll.BDH($C$303,"TOTAL_DEBT_TO_EBIT","FY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18" s="2" t="e">
        <f ca="1">_xll.BDH($C$303,"NET_DEBT_TO_EBIT","FY 2017","FY 2017","Currency=INR","Period=FY","BEST_FPERIOD_OVERRIDE=FY","FILING_STATUS=OR","EQY_CONSOLIDATED=Y","FA_ADJUSTED=GAAP","Sort=A","Dates=H","DateFormat=P","Fill=—","Direction=H","UseDPDF=Y")</f>
        <v>#NAME?</v>
      </c>
      <c r="CF318" s="2" t="e">
        <f ca="1">_xll.BDH($C$303,"EBITDA_TO_INTEREST_EXPN","FY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18" s="2" t="e">
        <f ca="1">_xll.BDH($C$303,"COM_EQY_TO_TOT_ASSET","FY 2017","FY 2017","Currency=INR","Period=FY","BEST_FPERIOD_OVERRIDE=FY","FILING_STATUS=OR","EQY_CONSOLIDATED=Y","Sort=A","Dates=H","DateFormat=P","Fill=—","Direction=H","UseDPDF=Y")</f>
        <v>#NAME?</v>
      </c>
      <c r="CH318" s="2" t="e">
        <f ca="1">_xll.BDH($C$303,"LT_DEBT_TO_TOT_EQY","FY 2017","FY 2017","Currency=INR","Period=FY","BEST_FPERIOD_OVERRIDE=FY","FILING_STATUS=OR","EQY_CONSOLIDATED=Y","Sort=A","Dates=H","DateFormat=P","Fill=—","Direction=H","UseDPDF=Y")</f>
        <v>#NAME?</v>
      </c>
      <c r="CI318" s="2" t="e">
        <f ca="1">_xll.BDH($C$303,"LT_DEBT_TO_TOT_CAP","FY 2017","FY 2017","Currency=INR","Period=FY","BEST_FPERIOD_OVERRIDE=FY","FILING_STATUS=OR","EQY_CONSOLIDATED=Y","Sort=A","Dates=H","DateFormat=P","Fill=—","Direction=H","UseDPDF=Y")</f>
        <v>#NAME?</v>
      </c>
      <c r="CJ318" s="2" t="e">
        <f ca="1">_xll.BDH($C$303,"LT_DEBT_TO_TOT_ASSET","FY 2017","FY 2017","Currency=INR","Period=FY","BEST_FPERIOD_OVERRIDE=FY","FILING_STATUS=OR","EQY_CONSOLIDATED=Y","Sort=A","Dates=H","DateFormat=P","Fill=—","Direction=H","UseDPDF=Y")</f>
        <v>#NAME?</v>
      </c>
      <c r="CK318" s="2" t="e">
        <f ca="1">_xll.BDH($C$303,"TOT_DEBT_TO_TOT_EQY","FY 2017","FY 2017","Currency=INR","Period=FY","BEST_FPERIOD_OVERRIDE=FY","FILING_STATUS=OR","EQY_CONSOLIDATED=Y","Sort=A","Dates=H","DateFormat=P","Fill=—","Direction=H","UseDPDF=Y")</f>
        <v>#NAME?</v>
      </c>
      <c r="CL318" s="2" t="e">
        <f ca="1">_xll.BDH($C$303,"TOT_DEBT_TO_TOT_CAP","FY 2017","FY 2017","Currency=INR","Period=FY","BEST_FPERIOD_OVERRIDE=FY","FILING_STATUS=OR","EQY_CONSOLIDATED=Y","Sort=A","Dates=H","DateFormat=P","Fill=—","Direction=H","UseDPDF=Y")</f>
        <v>#NAME?</v>
      </c>
      <c r="CM318" s="2" t="e">
        <f ca="1">_xll.BDH($C$303,"TOT_DEBT_TO_TOT_ASSET","FY 2017","FY 2017","Currency=INR","Period=FY","BEST_FPERIOD_OVERRIDE=FY","FILING_STATUS=OR","EQY_CONSOLIDATED=Y","Sort=A","Dates=H","DateFormat=P","Fill=—","Direction=H","UseDPDF=Y")</f>
        <v>#NAME?</v>
      </c>
      <c r="CN318" s="2" t="e">
        <f ca="1">_xll.BDH($C$303,"NET_DEBT_TO_SHRHLDR_EQTY","FY 2017","FY 2017","Currency=INR","Period=FY","BEST_FPERIOD_OVERRIDE=FY","FILING_STATUS=OR","EQY_CONSOLIDATED=Y","Sort=A","Dates=H","DateFormat=P","Fill=—","Direction=H","UseDPDF=Y")</f>
        <v>#NAME?</v>
      </c>
      <c r="CO318" s="2" t="e">
        <f ca="1">_xll.BDH($C$303,"NET_DEBT_%_CAPITAL","FY 2017","FY 2017","Currency=INR","Period=FY","BEST_FPERIOD_OVERRIDE=FY","FILING_STATUS=OR","EQY_CONSOLIDATED=Y","Sort=A","Dates=H","DateFormat=P","Fill=—","Direction=H","UseDPDF=Y")</f>
        <v>#NAME?</v>
      </c>
      <c r="CP318" s="3" t="e">
        <f ca="1">_xll.BDH($C$303,"EBITDA","FY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18" s="3" t="e">
        <f ca="1">_xll.BDH($C$303,"EBITDA_AFTER_CAPEX","FY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18" s="3" t="e">
        <f ca="1">_xll.BDH($C$303,"IS_OPER_INC","FY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18" s="2" t="e">
        <f ca="1">_xll.BDH($C$303,"CASH_RATIO","FY 2017","FY 2017","Currency=INR","Period=FY","BEST_FPERIOD_OVERRIDE=FY","FILING_STATUS=OR","EQY_CONSOLIDATED=Y","Sort=A","Dates=H","DateFormat=P","Fill=—","Direction=H","UseDPDF=Y")</f>
        <v>#NAME?</v>
      </c>
      <c r="CT318" s="2" t="e">
        <f ca="1">_xll.BDH($C$303,"CUR_RATIO","FY 2017","FY 2017","Currency=INR","Period=FY","BEST_FPERIOD_OVERRIDE=FY","FILING_STATUS=OR","EQY_CONSOLIDATED=Y","Sort=A","Dates=H","DateFormat=P","Fill=—","Direction=H","UseDPDF=Y")</f>
        <v>#NAME?</v>
      </c>
      <c r="CU318" s="2" t="e">
        <f ca="1">_xll.BDH($C$303,"QUICK_RATIO","FY 2017","FY 2017","Currency=INR","Period=FY","BEST_FPERIOD_OVERRIDE=FY","FILING_STATUS=OR","EQY_CONSOLIDATED=Y","Sort=A","Dates=H","DateFormat=P","Fill=—","Direction=H","UseDPDF=Y")</f>
        <v>#NAME?</v>
      </c>
      <c r="CV318" s="2" t="e">
        <f ca="1">_xll.BDH($C$303,"ALTMAN_Z_SCORE","FY 2017","FY 2017","Currency=INR","Period=FY","BEST_FPERIOD_OVERRIDE=FY","FILING_STATUS=OR","EQY_CONSOLIDATED=Y","Sort=A","Dates=H","DateFormat=P","Fill=—","Direction=H","UseDPDF=Y")</f>
        <v>#NAME?</v>
      </c>
      <c r="CW318" s="4" t="e">
        <f ca="1">_xll.BDH($C$303,"ACCT_RCV_TURN","FY 2017","FY 2017","Currency=INR","Period=FY","BEST_FPERIOD_OVERRIDE=FY","FILING_STATUS=OR","EQY_CONSOLIDATED=Y","FA_ADJUSTED=GAAP","Sort=A","Dates=H","DateFormat=P","Fill=—","Direction=H","UseDPDF=Y")</f>
        <v>#NAME?</v>
      </c>
      <c r="CX318" s="2" t="e">
        <f ca="1">_xll.BDH($C$303,"ACCT_RCV_DAYS","FY 2017","FY 2017","Currency=INR","Period=FY","BEST_FPERIOD_OVERRIDE=FY","FILING_STATUS=OR","EQY_CONSOLIDATED=Y","FA_ADJUSTED=GAAP","Sort=A","Dates=H","DateFormat=P","Fill=—","Direction=H","UseDPDF=Y")</f>
        <v>#NAME?</v>
      </c>
      <c r="CY318" s="4" t="e">
        <f ca="1">_xll.BDH($C$303,"INVENT_TURN","FY 2017","FY 2017","Currency=INR","Period=FY","BEST_FPERIOD_OVERRIDE=FY","FILING_STATUS=OR","EQY_CONSOLIDATED=Y","FA_ADJUSTED=GAAP","Sort=A","Dates=H","DateFormat=P","Fill=—","Direction=H","UseDPDF=Y")</f>
        <v>#NAME?</v>
      </c>
      <c r="CZ318" s="2" t="e">
        <f ca="1">_xll.BDH($C$303,"INVENT_DAYS","FY 2017","FY 2017","Currency=INR","Period=FY","BEST_FPERIOD_OVERRIDE=FY","FILING_STATUS=OR","EQY_CONSOLIDATED=Y","FA_ADJUSTED=GAAP","Sort=A","Dates=H","DateFormat=P","Fill=—","Direction=H","UseDPDF=Y")</f>
        <v>#NAME?</v>
      </c>
      <c r="DA318" s="4" t="e">
        <f ca="1">_xll.BDH($C$303,"ACCOUNTS_PAYABLE_TURNOVER","FY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18" s="2" t="e">
        <f ca="1">_xll.BDH($C$303,"ACCOUNTS_PAYABLE_TURNOVER_DAYS","FY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18" s="4" t="e">
        <f ca="1">_xll.BDH($C$303,"CASH_CONVERSION_CYCLE","FY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18" s="4" t="e">
        <f ca="1">_xll.BDH($C$303,"INV_TO_CASH_DAYS","FY 2017","FY 2017","Currency=INR","Period=FY","BEST_FPERIOD_OVERRIDE=FY","FILING_STATUS=OR","EQY_CONSOLIDATED=Y","FA_ADJUSTED=GAAP","Sort=A","Dates=H","DateFormat=P","Fill=—","Direction=H","UseDPDF=Y")</f>
        <v>#NAME?</v>
      </c>
      <c r="DE318" s="5" t="e">
        <f ca="1">_xll.BDH($C$303,"BS_INVENTORIES","FY 2017","FY 2017","Currency=INR","Period=FY","BEST_FPERIOD_OVERRIDE=FY","FILING_STATUS=OR","EQY_CONSOLIDATED=Y","SCALING_FORMAT=MLN","Sort=A","Dates=H","DateFormat=P","Fill=—","Direction=H","UseDPDF=Y")</f>
        <v>#NAME?</v>
      </c>
      <c r="DF318" s="3" t="e">
        <f ca="1">_xll.BDH($C$303,"INVTRY_RAW_MATERIALS","FY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18" s="3" t="e">
        <f ca="1">_xll.BDH($C$303,"INVTRY_IN_PROGRESS","FY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18" s="3" t="e">
        <f ca="1">_xll.BDH($C$303,"INVTRY_FINISHED_GOODS","FY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18" s="3" t="e">
        <f ca="1">_xll.BDH($C$303,"BS_OTHER_INV","FY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19" spans="1:113" x14ac:dyDescent="0.3">
      <c r="A319" s="6"/>
      <c r="B319" s="6"/>
      <c r="C319" s="6"/>
      <c r="D319" s="6"/>
      <c r="E319" t="s">
        <v>78</v>
      </c>
      <c r="F319" t="e">
        <f ca="1">_xll.BDH($C$303,"RETURN_COM_EQY","FQ1 2017","FQ1 2017","Currency=INR","Period=FQ","BEST_FPERIOD_OVERRIDE=FQ","FILING_STATUS=OR","EQY_CONSOLIDATED=Y","FA_ADJUSTED=GAAP","Sort=A","Dates=H","DateFormat=P","Fill=—","Direction=H","UseDPDF=Y")</f>
        <v>#NAME?</v>
      </c>
      <c r="G319" t="e">
        <f ca="1">_xll.BDH($C$303,"RETURN_ON_ASSET","FQ1 2017","FQ1 2017","Currency=INR","Period=FQ","BEST_FPERIOD_OVERRIDE=FQ","FILING_STATUS=OR","EQY_CONSOLIDATED=Y","FA_ADJUSTED=GAAP","Sort=A","Dates=H","DateFormat=P","Fill=—","Direction=H","UseDPDF=Y")</f>
        <v>#NAME?</v>
      </c>
      <c r="H319" t="e">
        <f ca="1">_xll.BDH($C$303,"RETURN_ON_CAP","FQ1 2017","FQ1 2017","Currency=INR","Period=FQ","BEST_FPERIOD_OVERRIDE=FQ","FILING_STATUS=OR","EQY_CONSOLIDATED=Y","FA_ADJUSTED=GAAP","Sort=A","Dates=H","DateFormat=P","Fill=—","Direction=H","UseDPDF=Y")</f>
        <v>#NAME?</v>
      </c>
      <c r="I319" t="e">
        <f ca="1">_xll.BDH($C$303,"RETURN_ON_INV_CAPITAL","FQ1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19" t="e">
        <f ca="1">_xll.BDH($C$303,"EBITDA_TO_REVENUE","FQ1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19" t="e">
        <f ca="1">_xll.BDH($C$303,"OPER_MARGIN","FQ1 2017","FQ1 2017","Currency=INR","Period=FQ","BEST_FPERIOD_OVERRIDE=FQ","FILING_STATUS=OR","EQY_CONSOLIDATED=Y","FA_ADJUSTED=GAAP","Sort=A","Dates=H","DateFormat=P","Fill=—","Direction=H","UseDPDF=Y")</f>
        <v>#NAME?</v>
      </c>
      <c r="L319" t="e">
        <f ca="1">_xll.BDH($C$303,"INCREMENTAL_OPERATING_MARGIN","FQ1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19" t="e">
        <f ca="1">_xll.BDH($C$303,"PRETAX_INC_TO_NET_SALES","FQ1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19" t="e">
        <f ca="1">_xll.BDH($C$303,"INC_BEF_XO_ITEMS_TO_NET_SALES","FQ1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19" t="e">
        <f ca="1">_xll.BDH($C$303,"PROF_MARGIN","FQ1 2017","FQ1 2017","Currency=INR","Period=FQ","BEST_FPERIOD_OVERRIDE=FQ","FILING_STATUS=OR","EQY_CONSOLIDATED=Y","FA_ADJUSTED=GAAP","Sort=A","Dates=H","DateFormat=P","Fill=—","Direction=H","UseDPDF=Y")</f>
        <v>#NAME?</v>
      </c>
      <c r="P319" t="e">
        <f ca="1">_xll.BDH($C$303,"NET_INCOME_TO_COMMON_MARGIN","FQ1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19" t="e">
        <f ca="1">_xll.BDH($C$303,"EFF_TAX_RATE","FQ1 2017","FQ1 2017","Currency=INR","Period=FQ","BEST_FPERIOD_OVERRIDE=FQ","FILING_STATUS=OR","EQY_CONSOLIDATED=Y","FA_ADJUSTED=GAAP","Sort=A","Dates=H","DateFormat=P","Fill=—","Direction=H","UseDPDF=Y")</f>
        <v>#NAME?</v>
      </c>
      <c r="R319" t="e">
        <f ca="1">_xll.BDH($C$303,"DVD_PAYOUT_RATIO","FQ1 2017","FQ1 2017","Currency=INR","Period=FQ","BEST_FPERIOD_OVERRIDE=FQ","FILING_STATUS=OR","EQY_CONSOLIDATED=Y","FA_ADJUSTED=GAAP","Sort=A","Dates=H","DateFormat=P","Fill=—","Direction=H","UseDPDF=Y")</f>
        <v>#NAME?</v>
      </c>
      <c r="S319" t="e">
        <f ca="1">_xll.BDH($C$303,"SUSTAIN_GROWTH_RT","FQ1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19" s="2" t="e">
        <f ca="1">_xll.BDH($C$303,"SALES_GROWTH","FQ1 2017","FQ1 2017","Currency=INR","Period=FQ","BEST_FPERIOD_OVERRIDE=FQ","FILING_STATUS=OR","EQY_CONSOLIDATED=Y","FA_ADJUSTED=GAAP","Sort=A","Dates=H","DateFormat=P","Fill=—","Direction=H","UseDPDF=Y")</f>
        <v>#NAME?</v>
      </c>
      <c r="U319" s="2" t="e">
        <f ca="1">_xll.BDH($C$303,"EBITDA_GROWTH","FQ1 2017","FQ1 2017","Currency=INR","Period=FQ","BEST_FPERIOD_OVERRIDE=FQ","FILING_STATUS=OR","EQY_CONSOLIDATED=Y","FA_ADJUSTED=GAAP","Sort=A","Dates=H","DateFormat=P","Fill=—","Direction=H","UseDPDF=Y")</f>
        <v>#NAME?</v>
      </c>
      <c r="V319" s="2" t="e">
        <f ca="1">_xll.BDH($C$303,"OPER_INC_GROWTH","FQ1 2017","FQ1 2017","Currency=INR","Period=FQ","BEST_FPERIOD_OVERRIDE=FQ","FILING_STATUS=OR","EQY_CONSOLIDATED=Y","FA_ADJUSTED=GAAP","Sort=A","Dates=H","DateFormat=P","Fill=—","Direction=H","UseDPDF=Y")</f>
        <v>#NAME?</v>
      </c>
      <c r="W319" s="2" t="e">
        <f ca="1">_xll.BDH($C$303,"EARN_FOR_COM_GROWTH","FQ1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19" s="2" t="e">
        <f ca="1">_xll.BDH($C$303,"DILUTED_EPS_AFT_XO_ITEMS_GROWTH","FQ1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19" s="2" t="e">
        <f ca="1">_xll.BDH($C$303,"DIVIDEND_PER_SHARE_1_YEAR_GROWTH","FQ1 2017","FQ1 2017","Currency=INR","Period=FQ","BEST_FPERIOD_OVERRIDE=FQ","FILING_STATUS=OR","EQY_CONSOLIDATED=Y","Sort=A","Dates=H","DateFormat=P","Fill=—","Direction=H","UseDPDF=Y")</f>
        <v>#NAME?</v>
      </c>
      <c r="Z319" s="2" t="e">
        <f ca="1">_xll.BDH($C$303,"ACCOUNTS_RECEIVABLE_GROWTH","FQ1 2017","FQ1 2017","Currency=INR","Period=FQ","BEST_FPERIOD_OVERRIDE=FQ","FILING_STATUS=OR","EQY_CONSOLIDATED=Y","Sort=A","Dates=H","DateFormat=P","Fill=—","Direction=H","UseDPDF=Y")</f>
        <v>#NAME?</v>
      </c>
      <c r="AA319" s="2" t="e">
        <f ca="1">_xll.BDH($C$303,"INVENTORY_GROWTH","FQ1 2017","FQ1 2017","Currency=INR","Period=FQ","BEST_FPERIOD_OVERRIDE=FQ","FILING_STATUS=OR","EQY_CONSOLIDATED=Y","Sort=A","Dates=H","DateFormat=P","Fill=—","Direction=H","UseDPDF=Y")</f>
        <v>#NAME?</v>
      </c>
      <c r="AB319" s="2" t="e">
        <f ca="1">_xll.BDH($C$303,"NET_FIXED_ASSETS_1_YEAR_GROWTH","FQ1 2017","FQ1 2017","Currency=INR","Period=FQ","BEST_FPERIOD_OVERRIDE=FQ","FILING_STATUS=OR","EQY_CONSOLIDATED=Y","Sort=A","Dates=H","DateFormat=P","Fill=—","Direction=H","UseDPDF=Y")</f>
        <v>#NAME?</v>
      </c>
      <c r="AC319" s="2" t="e">
        <f ca="1">_xll.BDH($C$303,"ASSET_GROWTH","FQ1 2017","FQ1 2017","Currency=INR","Period=FQ","BEST_FPERIOD_OVERRIDE=FQ","FILING_STATUS=OR","EQY_CONSOLIDATED=Y","Sort=A","Dates=H","DateFormat=P","Fill=—","Direction=H","UseDPDF=Y")</f>
        <v>#NAME?</v>
      </c>
      <c r="AD319" s="2" t="e">
        <f ca="1">_xll.BDH($C$303,"MODIFIED_WORK_CAP_GROWTH","FQ1 2017","FQ1 2017","Currency=INR","Period=FQ","BEST_FPERIOD_OVERRIDE=FQ","FILING_STATUS=OR","EQY_CONSOLIDATED=Y","Sort=A","Dates=H","DateFormat=P","Fill=—","Direction=H","UseDPDF=Y")</f>
        <v>#NAME?</v>
      </c>
      <c r="AE319" s="2" t="e">
        <f ca="1">_xll.BDH($C$303,"WORK_CAP_GROWTH","FQ1 2017","FQ1 2017","Currency=INR","Period=FQ","BEST_FPERIOD_OVERRIDE=FQ","FILING_STATUS=OR","EQY_CONSOLIDATED=Y","Sort=A","Dates=H","DateFormat=P","Fill=—","Direction=H","UseDPDF=Y")</f>
        <v>#NAME?</v>
      </c>
      <c r="AF319" s="2" t="e">
        <f ca="1">_xll.BDH($C$303,"ACCOUNTS_PAYABLE_GROWTH_1YR","FQ1 2017","FQ1 2017","Currency=INR","Period=FQ","BEST_FPERIOD_OVERRIDE=FQ","FILING_STATUS=OR","EQY_CONSOLIDATED=Y","Sort=A","Dates=H","DateFormat=P","Fill=—","Direction=H","UseDPDF=Y")</f>
        <v>#NAME?</v>
      </c>
      <c r="AG319" s="2" t="e">
        <f ca="1">_xll.BDH($C$303,"SHORT_TERM_DEBT_1_YEAR_GROWTH","FQ1 2017","FQ1 2017","Currency=INR","Period=FQ","BEST_FPERIOD_OVERRIDE=FQ","FILING_STATUS=OR","EQY_CONSOLIDATED=Y","Sort=A","Dates=H","DateFormat=P","Fill=—","Direction=H","UseDPDF=Y")</f>
        <v>#NAME?</v>
      </c>
      <c r="AH319" s="2" t="e">
        <f ca="1">_xll.BDH($C$303,"TOTAL_DEBT_1_YEAR_GROWTH","FQ1 2017","FQ1 2017","Currency=INR","Period=FQ","BEST_FPERIOD_OVERRIDE=FQ","FILING_STATUS=OR","EQY_CONSOLIDATED=Y","Sort=A","Dates=H","DateFormat=P","Fill=—","Direction=H","UseDPDF=Y")</f>
        <v>#NAME?</v>
      </c>
      <c r="AI319" s="2" t="e">
        <f ca="1">_xll.BDH($C$303,"TOTAL_EQUITY_1_YEAR_GROWTH","FQ1 2017","FQ1 2017","Currency=INR","Period=FQ","BEST_FPERIOD_OVERRIDE=FQ","FILING_STATUS=OR","EQY_CONSOLIDATED=Y","Sort=A","Dates=H","DateFormat=P","Fill=—","Direction=H","UseDPDF=Y")</f>
        <v>#NAME?</v>
      </c>
      <c r="AJ319" s="2" t="e">
        <f ca="1">_xll.BDH($C$303,"GROWTH_IN_CAP","FQ1 2017","FQ1 2017","Currency=INR","Period=FQ","BEST_FPERIOD_OVERRIDE=FQ","FILING_STATUS=OR","EQY_CONSOLIDATED=Y","Sort=A","Dates=H","DateFormat=P","Fill=—","Direction=H","UseDPDF=Y")</f>
        <v>#NAME?</v>
      </c>
      <c r="AK319" s="2" t="e">
        <f ca="1">_xll.BDH($C$303,"BVPS_GROWTH","FQ1 2017","FQ1 2017","Currency=INR","Period=FQ","BEST_FPERIOD_OVERRIDE=FQ","FILING_STATUS=OR","EQY_CONSOLIDATED=Y","Sort=A","Dates=H","DateFormat=P","Fill=—","Direction=H","UseDPDF=Y")</f>
        <v>#NAME?</v>
      </c>
      <c r="AL319" s="2" t="e">
        <f ca="1">_xll.BDH($C$303,"CASH_FLOW_GROWTH","FQ1 2017","FQ1 2017","Currency=INR","Period=FQ","BEST_FPERIOD_OVERRIDE=FQ","FILING_STATUS=OR","EQY_CONSOLIDATED=Y","Sort=A","Dates=H","DateFormat=P","Fill=—","Direction=H","UseDPDF=Y")</f>
        <v>#NAME?</v>
      </c>
      <c r="AM319" s="2" t="e">
        <f ca="1">_xll.BDH($C$303,"GEO_GROW_NET_SALES","FQ1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19" s="2" t="e">
        <f ca="1">_xll.BDH($C$303,"GEO_GROW_EBITDA","FQ1 2017","FQ1 2017","Currency=INR","Period=FQ","BEST_FPERIOD_OVERRIDE=FQ","FILING_STATUS=OR","EQY_CONSOLIDATED=Y","FA_ADJUSTED=GAAP","Sort=A","Dates=H","DateFormat=P","Fill=—","Direction=H","UseDPDF=Y")</f>
        <v>#NAME?</v>
      </c>
      <c r="AO319" s="2" t="e">
        <f ca="1">_xll.BDH($C$303,"GEO_GROW_OPER_INC","FQ1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19" s="2" t="e">
        <f ca="1">_xll.BDH($C$303,"NET_INCOME_TO_COMMON_5_YR_GROWTH","FQ1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19" s="2" t="e">
        <f ca="1">_xll.BDH($C$303,"5Y_GEO_GROWTH_DILUTED_EPS","FQ1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19" s="2" t="e">
        <f ca="1">_xll.BDH($C$303,"GEO_GROW_DVD_PER_SH","FQ1 2017","FQ1 2017","Currency=INR","Period=FQ","BEST_FPERIOD_OVERRIDE=FQ","FILING_STATUS=OR","EQY_CONSOLIDATED=Y","Sort=A","Dates=H","DateFormat=P","Fill=—","Direction=H","UseDPDF=Y")</f>
        <v>#NAME?</v>
      </c>
      <c r="AS319" s="2" t="e">
        <f ca="1">_xll.BDH($C$303,"ACCOUNTS_RECEIVABLE_5_YR_GROWTH","FQ1 2017","FQ1 2017","Currency=INR","Period=FQ","BEST_FPERIOD_OVERRIDE=FQ","FILING_STATUS=OR","EQY_CONSOLIDATED=Y","Sort=A","Dates=H","DateFormat=P","Fill=—","Direction=H","UseDPDF=Y")</f>
        <v>#NAME?</v>
      </c>
      <c r="AT319" s="2" t="e">
        <f ca="1">_xll.BDH($C$303,"INVENTORY_5_YEAR_GROWTH","FQ1 2017","FQ1 2017","Currency=INR","Period=FQ","BEST_FPERIOD_OVERRIDE=FQ","FILING_STATUS=OR","EQY_CONSOLIDATED=Y","Sort=A","Dates=H","DateFormat=P","Fill=—","Direction=H","UseDPDF=Y")</f>
        <v>#NAME?</v>
      </c>
      <c r="AU319" s="2" t="e">
        <f ca="1">_xll.BDH($C$303,"NET_FIXED_ASSETS_5_YEAR_GROWTH","FQ1 2017","FQ1 2017","Currency=INR","Period=FQ","BEST_FPERIOD_OVERRIDE=FQ","FILING_STATUS=OR","EQY_CONSOLIDATED=Y","Sort=A","Dates=H","DateFormat=P","Fill=—","Direction=H","UseDPDF=Y")</f>
        <v>#NAME?</v>
      </c>
      <c r="AV319" s="2" t="e">
        <f ca="1">_xll.BDH($C$303,"GEO_GROW_TOT_ASSET","FQ1 2017","FQ1 2017","Currency=INR","Period=FQ","BEST_FPERIOD_OVERRIDE=FQ","FILING_STATUS=OR","EQY_CONSOLIDATED=Y","Sort=A","Dates=H","DateFormat=P","Fill=—","Direction=H","UseDPDF=Y")</f>
        <v>#NAME?</v>
      </c>
      <c r="AW319" s="2" t="e">
        <f ca="1">_xll.BDH($C$303,"MODIFIED_WORKING_CPTL_5YR_GRWTH","FQ1 2017","FQ1 2017","Currency=INR","Period=FQ","BEST_FPERIOD_OVERRIDE=FQ","FILING_STATUS=OR","EQY_CONSOLIDATED=Y","Sort=A","Dates=H","DateFormat=P","Fill=—","Direction=H","UseDPDF=Y")</f>
        <v>#NAME?</v>
      </c>
      <c r="AX319" s="2" t="e">
        <f ca="1">_xll.BDH($C$303,"WORKING_CAPITAL_5_YEAR_GROWTH","FQ1 2017","FQ1 2017","Currency=INR","Period=FQ","BEST_FPERIOD_OVERRIDE=FQ","FILING_STATUS=OR","EQY_CONSOLIDATED=Y","Sort=A","Dates=H","DateFormat=P","Fill=—","Direction=H","UseDPDF=Y")</f>
        <v>#NAME?</v>
      </c>
      <c r="AY319" s="2" t="e">
        <f ca="1">_xll.BDH($C$303,"ACCOUNTS_PAYABLE_5_YEAR_GROWTH","FQ1 2017","FQ1 2017","Currency=INR","Period=FQ","BEST_FPERIOD_OVERRIDE=FQ","FILING_STATUS=OR","EQY_CONSOLIDATED=Y","Sort=A","Dates=H","DateFormat=P","Fill=—","Direction=H","UseDPDF=Y")</f>
        <v>#NAME?</v>
      </c>
      <c r="AZ319" s="2" t="e">
        <f ca="1">_xll.BDH($C$303,"SHORT_TERM_DEBT_5_YEAR_GROWTH","FQ1 2017","FQ1 2017","Currency=INR","Period=FQ","BEST_FPERIOD_OVERRIDE=FQ","FILING_STATUS=OR","EQY_CONSOLIDATED=Y","Sort=A","Dates=H","DateFormat=P","Fill=—","Direction=H","UseDPDF=Y")</f>
        <v>#NAME?</v>
      </c>
      <c r="BA319" s="2" t="e">
        <f ca="1">_xll.BDH($C$303,"TOTAL_DEBT_5_YEAR_GROWTH","FQ1 2017","FQ1 2017","Currency=INR","Period=FQ","BEST_FPERIOD_OVERRIDE=FQ","FILING_STATUS=OR","EQY_CONSOLIDATED=Y","Sort=A","Dates=H","DateFormat=P","Fill=—","Direction=H","UseDPDF=Y")</f>
        <v>#NAME?</v>
      </c>
      <c r="BB319" s="2" t="e">
        <f ca="1">_xll.BDH($C$303,"GEO_GROW_TOT_SHRHLDR_EQY","FQ1 2017","FQ1 2017","Currency=INR","Period=FQ","BEST_FPERIOD_OVERRIDE=FQ","FILING_STATUS=OR","EQY_CONSOLIDATED=Y","Sort=A","Dates=H","DateFormat=P","Fill=—","Direction=H","UseDPDF=Y")</f>
        <v>#NAME?</v>
      </c>
      <c r="BC319" s="2" t="e">
        <f ca="1">_xll.BDH($C$303,"TOTAL_CAPITAL_5_YEAR_GROWTH","FQ1 2017","FQ1 2017","Currency=INR","Period=FQ","BEST_FPERIOD_OVERRIDE=FQ","FILING_STATUS=OR","EQY_CONSOLIDATED=Y","Sort=A","Dates=H","DateFormat=P","Fill=—","Direction=H","UseDPDF=Y")</f>
        <v>#NAME?</v>
      </c>
      <c r="BD319" s="2" t="e">
        <f ca="1">_xll.BDH($C$303,"GEO_GROW_BOOK_VAL","FQ1 2017","FQ1 2017","Currency=INR","Period=FQ","BEST_FPERIOD_OVERRIDE=FQ","FILING_STATUS=OR","EQY_CONSOLIDATED=Y","Sort=A","Dates=H","DateFormat=P","Fill=—","Direction=H","UseDPDF=Y")</f>
        <v>#NAME?</v>
      </c>
      <c r="BE319" s="2" t="e">
        <f ca="1">_xll.BDH($C$303,"GEO_GROW_CASH_OPER_ACT","FQ1 2017","FQ1 2017","Currency=INR","Period=FQ","BEST_FPERIOD_OVERRIDE=FQ","FILING_STATUS=OR","EQY_CONSOLIDATED=Y","Sort=A","Dates=H","DateFormat=P","Fill=—","Direction=H","UseDPDF=Y")</f>
        <v>#NAME?</v>
      </c>
      <c r="BF319" s="2" t="e">
        <f ca="1">_xll.BDH($C$303,"REVENUE_SEQUENTIAL_GROWTH","FQ1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19" s="2" t="e">
        <f ca="1">_xll.BDH($C$303,"EBITDA_SEQUENTIAL_GROWTH","FQ1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19" s="2" t="e">
        <f ca="1">_xll.BDH($C$303,"OPERATING_INCOME_SEQ_GROWTH","FQ1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19" s="2" t="e">
        <f ca="1">_xll.BDH($C$303,"NET_INCOME_TO_COMMON_SEQ_GROWTH","FQ1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19" s="2" t="e">
        <f ca="1">_xll.BDH($C$303,"EPS_DILUTED_SEQUENTIAL_GROWTH","FQ1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19" s="2" t="e">
        <f ca="1">_xll.BDH($C$303,"DPS_SEQUENTIAL_GROWTH","FQ1 2017","FQ1 2017","Currency=INR","Period=FQ","BEST_FPERIOD_OVERRIDE=FQ","FILING_STATUS=OR","EQY_CONSOLIDATED=Y","Sort=A","Dates=H","DateFormat=P","Fill=—","Direction=H","UseDPDF=Y")</f>
        <v>#NAME?</v>
      </c>
      <c r="BL319" s="2" t="e">
        <f ca="1">_xll.BDH($C$303,"ACCOUNTS_RECEIVABLE_SEQ_GROWTH","FQ1 2017","FQ1 2017","Currency=INR","Period=FQ","BEST_FPERIOD_OVERRIDE=FQ","FILING_STATUS=OR","EQY_CONSOLIDATED=Y","Sort=A","Dates=H","DateFormat=P","Fill=—","Direction=H","UseDPDF=Y")</f>
        <v>#NAME?</v>
      </c>
      <c r="BM319" s="2" t="e">
        <f ca="1">_xll.BDH($C$303,"INVENTORY_SEQUENTIAL_GROWTH","FQ1 2017","FQ1 2017","Currency=INR","Period=FQ","BEST_FPERIOD_OVERRIDE=FQ","FILING_STATUS=OR","EQY_CONSOLIDATED=Y","Sort=A","Dates=H","DateFormat=P","Fill=—","Direction=H","UseDPDF=Y")</f>
        <v>#NAME?</v>
      </c>
      <c r="BN319" s="2" t="e">
        <f ca="1">_xll.BDH($C$303,"FIXED_ASSETS_SEQUENTIAL_GROWTH","FQ1 2017","FQ1 2017","Currency=INR","Period=FQ","BEST_FPERIOD_OVERRIDE=FQ","FILING_STATUS=OR","EQY_CONSOLIDATED=Y","Sort=A","Dates=H","DateFormat=P","Fill=—","Direction=H","UseDPDF=Y")</f>
        <v>#NAME?</v>
      </c>
      <c r="BO319" s="2" t="e">
        <f ca="1">_xll.BDH($C$303,"TOTAL_ASSETS_SEQUENTIAL_GROWTH","FQ1 2017","FQ1 2017","Currency=INR","Period=FQ","BEST_FPERIOD_OVERRIDE=FQ","FILING_STATUS=OR","EQY_CONSOLIDATED=Y","Sort=A","Dates=H","DateFormat=P","Fill=—","Direction=H","UseDPDF=Y")</f>
        <v>#NAME?</v>
      </c>
      <c r="BP319" s="2" t="e">
        <f ca="1">_xll.BDH($C$303,"MODIFIED_WORKING_CPTL_SEQ_GRWTH","FQ1 2017","FQ1 2017","Currency=INR","Period=FQ","BEST_FPERIOD_OVERRIDE=FQ","FILING_STATUS=OR","EQY_CONSOLIDATED=Y","Sort=A","Dates=H","DateFormat=P","Fill=—","Direction=H","UseDPDF=Y")</f>
        <v>#NAME?</v>
      </c>
      <c r="BQ319" s="2" t="e">
        <f ca="1">_xll.BDH($C$303,"WORKING_CAPITAL_SEQ_GROWTH","FQ1 2017","FQ1 2017","Currency=INR","Period=FQ","BEST_FPERIOD_OVERRIDE=FQ","FILING_STATUS=OR","EQY_CONSOLIDATED=Y","Sort=A","Dates=H","DateFormat=P","Fill=—","Direction=H","UseDPDF=Y")</f>
        <v>#NAME?</v>
      </c>
      <c r="BR319" s="2" t="e">
        <f ca="1">_xll.BDH($C$303,"ACCOUNTS_PAYABLE_SEQ_GROWTH","FQ1 2017","FQ1 2017","Currency=INR","Period=FQ","BEST_FPERIOD_OVERRIDE=FQ","FILING_STATUS=OR","EQY_CONSOLIDATED=Y","Sort=A","Dates=H","DateFormat=P","Fill=—","Direction=H","UseDPDF=Y")</f>
        <v>#NAME?</v>
      </c>
      <c r="BS319" s="2" t="e">
        <f ca="1">_xll.BDH($C$303,"ST_DEBT_SEQUENTIAL_GROWTH","FQ1 2017","FQ1 2017","Currency=INR","Period=FQ","BEST_FPERIOD_OVERRIDE=FQ","FILING_STATUS=OR","EQY_CONSOLIDATED=Y","Sort=A","Dates=H","DateFormat=P","Fill=—","Direction=H","UseDPDF=Y")</f>
        <v>#NAME?</v>
      </c>
      <c r="BT319" s="2" t="e">
        <f ca="1">_xll.BDH($C$303,"TOTAL_DEBT_SEQUENTIAL_GROWTH","FQ1 2017","FQ1 2017","Currency=INR","Period=FQ","BEST_FPERIOD_OVERRIDE=FQ","FILING_STATUS=OR","EQY_CONSOLIDATED=Y","Sort=A","Dates=H","DateFormat=P","Fill=—","Direction=H","UseDPDF=Y")</f>
        <v>#NAME?</v>
      </c>
      <c r="BU319" s="2" t="e">
        <f ca="1">_xll.BDH($C$303,"TOTAL_EQUITY_SEQUENTIAL_GROWTH","FQ1 2017","FQ1 2017","Currency=INR","Period=FQ","BEST_FPERIOD_OVERRIDE=FQ","FILING_STATUS=OR","EQY_CONSOLIDATED=Y","Sort=A","Dates=H","DateFormat=P","Fill=—","Direction=H","UseDPDF=Y")</f>
        <v>#NAME?</v>
      </c>
      <c r="BV319" s="2" t="e">
        <f ca="1">_xll.BDH($C$303,"TOTAL_CAPITAL_SEQUENTIAL_GROWTH","FQ1 2017","FQ1 2017","Currency=INR","Period=FQ","BEST_FPERIOD_OVERRIDE=FQ","FILING_STATUS=OR","EQY_CONSOLIDATED=Y","Sort=A","Dates=H","DateFormat=P","Fill=—","Direction=H","UseDPDF=Y")</f>
        <v>#NAME?</v>
      </c>
      <c r="BW319" s="2" t="e">
        <f ca="1">_xll.BDH($C$303,"BPS_SEQUENTIAL_GROWTH","FQ1 2017","FQ1 2017","Currency=INR","Period=FQ","BEST_FPERIOD_OVERRIDE=FQ","FILING_STATUS=OR","EQY_CONSOLIDATED=Y","Sort=A","Dates=H","DateFormat=P","Fill=—","Direction=H","UseDPDF=Y")</f>
        <v>#NAME?</v>
      </c>
      <c r="BX319" s="2" t="e">
        <f ca="1">_xll.BDH($C$303,"CFO_SEQUENTIAL_GROWTH","FQ1 2017","FQ1 2017","Currency=INR","Period=FQ","BEST_FPERIOD_OVERRIDE=FQ","FILING_STATUS=OR","EQY_CONSOLIDATED=Y","Sort=A","Dates=H","DateFormat=P","Fill=—","Direction=H","UseDPDF=Y")</f>
        <v>#NAME?</v>
      </c>
      <c r="BY319" s="3" t="e">
        <f ca="1">_xll.BDH($C$303,"SHORT_AND_LONG_TERM_DEBT","FQ1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19" s="3" t="e">
        <f ca="1">_xll.BDH($C$303,"BS_ST_BORROW","FQ1 2017","FQ1 2017","Currency=INR","Period=FQ","BEST_FPERIOD_OVERRIDE=FQ","FILING_STATUS=OR","EQY_CONSOLIDATED=Y","SCALING_FORMAT=MLN","Sort=A","Dates=H","DateFormat=P","Fill=—","Direction=H","UseDPDF=Y")</f>
        <v>#NAME?</v>
      </c>
      <c r="CA319" s="3" t="e">
        <f ca="1">_xll.BDH($C$303,"BS_LT_BORROW","FQ1 2017","FQ1 2017","Currency=INR","Period=FQ","BEST_FPERIOD_OVERRIDE=FQ","FILING_STATUS=OR","EQY_CONSOLIDATED=Y","SCALING_FORMAT=MLN","Sort=A","Dates=H","DateFormat=P","Fill=—","Direction=H","UseDPDF=Y")</f>
        <v>#NAME?</v>
      </c>
      <c r="CB319" s="2" t="e">
        <f ca="1">_xll.BDH($C$303,"TOT_DEBT_TO_EBITDA","FQ1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19" s="2" t="e">
        <f ca="1">_xll.BDH($C$303,"NET_DEBT_TO_EBITDA","FQ1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19" s="2" t="e">
        <f ca="1">_xll.BDH($C$303,"TOTAL_DEBT_TO_EBIT","FQ1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19" s="2" t="e">
        <f ca="1">_xll.BDH($C$303,"NET_DEBT_TO_EBIT","FQ1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19" s="2" t="e">
        <f ca="1">_xll.BDH($C$303,"EBITDA_TO_INTEREST_EXPN","FQ1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19" s="2" t="e">
        <f ca="1">_xll.BDH($C$303,"COM_EQY_TO_TOT_ASSET","FQ1 2017","FQ1 2017","Currency=INR","Period=FQ","BEST_FPERIOD_OVERRIDE=FQ","FILING_STATUS=OR","EQY_CONSOLIDATED=Y","Sort=A","Dates=H","DateFormat=P","Fill=—","Direction=H","UseDPDF=Y")</f>
        <v>#NAME?</v>
      </c>
      <c r="CH319" s="2" t="e">
        <f ca="1">_xll.BDH($C$303,"LT_DEBT_TO_TOT_EQY","FQ1 2017","FQ1 2017","Currency=INR","Period=FQ","BEST_FPERIOD_OVERRIDE=FQ","FILING_STATUS=OR","EQY_CONSOLIDATED=Y","Sort=A","Dates=H","DateFormat=P","Fill=—","Direction=H","UseDPDF=Y")</f>
        <v>#NAME?</v>
      </c>
      <c r="CI319" s="2" t="e">
        <f ca="1">_xll.BDH($C$303,"LT_DEBT_TO_TOT_CAP","FQ1 2017","FQ1 2017","Currency=INR","Period=FQ","BEST_FPERIOD_OVERRIDE=FQ","FILING_STATUS=OR","EQY_CONSOLIDATED=Y","Sort=A","Dates=H","DateFormat=P","Fill=—","Direction=H","UseDPDF=Y")</f>
        <v>#NAME?</v>
      </c>
      <c r="CJ319" s="2" t="e">
        <f ca="1">_xll.BDH($C$303,"LT_DEBT_TO_TOT_ASSET","FQ1 2017","FQ1 2017","Currency=INR","Period=FQ","BEST_FPERIOD_OVERRIDE=FQ","FILING_STATUS=OR","EQY_CONSOLIDATED=Y","Sort=A","Dates=H","DateFormat=P","Fill=—","Direction=H","UseDPDF=Y")</f>
        <v>#NAME?</v>
      </c>
      <c r="CK319" s="2" t="e">
        <f ca="1">_xll.BDH($C$303,"TOT_DEBT_TO_TOT_EQY","FQ1 2017","FQ1 2017","Currency=INR","Period=FQ","BEST_FPERIOD_OVERRIDE=FQ","FILING_STATUS=OR","EQY_CONSOLIDATED=Y","Sort=A","Dates=H","DateFormat=P","Fill=—","Direction=H","UseDPDF=Y")</f>
        <v>#NAME?</v>
      </c>
      <c r="CL319" s="2" t="e">
        <f ca="1">_xll.BDH($C$303,"TOT_DEBT_TO_TOT_CAP","FQ1 2017","FQ1 2017","Currency=INR","Period=FQ","BEST_FPERIOD_OVERRIDE=FQ","FILING_STATUS=OR","EQY_CONSOLIDATED=Y","Sort=A","Dates=H","DateFormat=P","Fill=—","Direction=H","UseDPDF=Y")</f>
        <v>#NAME?</v>
      </c>
      <c r="CM319" s="2" t="e">
        <f ca="1">_xll.BDH($C$303,"TOT_DEBT_TO_TOT_ASSET","FQ1 2017","FQ1 2017","Currency=INR","Period=FQ","BEST_FPERIOD_OVERRIDE=FQ","FILING_STATUS=OR","EQY_CONSOLIDATED=Y","Sort=A","Dates=H","DateFormat=P","Fill=—","Direction=H","UseDPDF=Y")</f>
        <v>#NAME?</v>
      </c>
      <c r="CN319" s="2" t="e">
        <f ca="1">_xll.BDH($C$303,"NET_DEBT_TO_SHRHLDR_EQTY","FQ1 2017","FQ1 2017","Currency=INR","Period=FQ","BEST_FPERIOD_OVERRIDE=FQ","FILING_STATUS=OR","EQY_CONSOLIDATED=Y","Sort=A","Dates=H","DateFormat=P","Fill=—","Direction=H","UseDPDF=Y")</f>
        <v>#NAME?</v>
      </c>
      <c r="CO319" s="2" t="e">
        <f ca="1">_xll.BDH($C$303,"NET_DEBT_%_CAPITAL","FQ1 2017","FQ1 2017","Currency=INR","Period=FQ","BEST_FPERIOD_OVERRIDE=FQ","FILING_STATUS=OR","EQY_CONSOLIDATED=Y","Sort=A","Dates=H","DateFormat=P","Fill=—","Direction=H","UseDPDF=Y")</f>
        <v>#NAME?</v>
      </c>
      <c r="CP319" s="3" t="e">
        <f ca="1">_xll.BDH($C$303,"EBITDA","FQ1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19" s="3" t="e">
        <f ca="1">_xll.BDH($C$303,"EBITDA_AFTER_CAPEX","FQ1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19" s="3" t="e">
        <f ca="1">_xll.BDH($C$303,"IS_OPER_INC","FQ1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19" s="2" t="e">
        <f ca="1">_xll.BDH($C$303,"CASH_RATIO","FQ1 2017","FQ1 2017","Currency=INR","Period=FQ","BEST_FPERIOD_OVERRIDE=FQ","FILING_STATUS=OR","EQY_CONSOLIDATED=Y","Sort=A","Dates=H","DateFormat=P","Fill=—","Direction=H","UseDPDF=Y")</f>
        <v>#NAME?</v>
      </c>
      <c r="CT319" s="2" t="e">
        <f ca="1">_xll.BDH($C$303,"CUR_RATIO","FQ1 2017","FQ1 2017","Currency=INR","Period=FQ","BEST_FPERIOD_OVERRIDE=FQ","FILING_STATUS=OR","EQY_CONSOLIDATED=Y","Sort=A","Dates=H","DateFormat=P","Fill=—","Direction=H","UseDPDF=Y")</f>
        <v>#NAME?</v>
      </c>
      <c r="CU319" s="2" t="e">
        <f ca="1">_xll.BDH($C$303,"QUICK_RATIO","FQ1 2017","FQ1 2017","Currency=INR","Period=FQ","BEST_FPERIOD_OVERRIDE=FQ","FILING_STATUS=OR","EQY_CONSOLIDATED=Y","Sort=A","Dates=H","DateFormat=P","Fill=—","Direction=H","UseDPDF=Y")</f>
        <v>#NAME?</v>
      </c>
      <c r="CV319" s="2" t="e">
        <f ca="1">_xll.BDH($C$303,"ALTMAN_Z_SCORE","FQ1 2017","FQ1 2017","Currency=INR","Period=FQ","BEST_FPERIOD_OVERRIDE=FQ","FILING_STATUS=OR","EQY_CONSOLIDATED=Y","Sort=A","Dates=H","DateFormat=P","Fill=—","Direction=H","UseDPDF=Y")</f>
        <v>#NAME?</v>
      </c>
      <c r="CW319" s="4" t="e">
        <f ca="1">_xll.BDH($C$303,"ACCT_RCV_TURN","FQ1 2017","FQ1 2017","Currency=INR","Period=FQ","BEST_FPERIOD_OVERRIDE=FQ","FILING_STATUS=OR","EQY_CONSOLIDATED=Y","FA_ADJUSTED=GAAP","Sort=A","Dates=H","DateFormat=P","Fill=—","Direction=H","UseDPDF=Y")</f>
        <v>#NAME?</v>
      </c>
      <c r="CX319" s="2" t="e">
        <f ca="1">_xll.BDH($C$303,"ACCT_RCV_DAYS","FQ1 2017","FQ1 2017","Currency=INR","Period=FQ","BEST_FPERIOD_OVERRIDE=FQ","FILING_STATUS=OR","EQY_CONSOLIDATED=Y","FA_ADJUSTED=GAAP","Sort=A","Dates=H","DateFormat=P","Fill=—","Direction=H","UseDPDF=Y")</f>
        <v>#NAME?</v>
      </c>
      <c r="CY319" s="4" t="e">
        <f ca="1">_xll.BDH($C$303,"INVENT_TURN","FQ1 2017","FQ1 2017","Currency=INR","Period=FQ","BEST_FPERIOD_OVERRIDE=FQ","FILING_STATUS=OR","EQY_CONSOLIDATED=Y","FA_ADJUSTED=GAAP","Sort=A","Dates=H","DateFormat=P","Fill=—","Direction=H","UseDPDF=Y")</f>
        <v>#NAME?</v>
      </c>
      <c r="CZ319" s="2" t="e">
        <f ca="1">_xll.BDH($C$303,"INVENT_DAYS","FQ1 2017","FQ1 2017","Currency=INR","Period=FQ","BEST_FPERIOD_OVERRIDE=FQ","FILING_STATUS=OR","EQY_CONSOLIDATED=Y","FA_ADJUSTED=GAAP","Sort=A","Dates=H","DateFormat=P","Fill=—","Direction=H","UseDPDF=Y")</f>
        <v>#NAME?</v>
      </c>
      <c r="DA319" s="4" t="e">
        <f ca="1">_xll.BDH($C$303,"ACCOUNTS_PAYABLE_TURNOVER","FQ1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19" s="2" t="e">
        <f ca="1">_xll.BDH($C$303,"ACCOUNTS_PAYABLE_TURNOVER_DAYS","FQ1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19" s="4" t="e">
        <f ca="1">_xll.BDH($C$303,"CASH_CONVERSION_CYCLE","FQ1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19" s="4" t="e">
        <f ca="1">_xll.BDH($C$303,"INV_TO_CASH_DAYS","FQ1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19" s="5" t="e">
        <f ca="1">_xll.BDH($C$303,"BS_INVENTORIES","FQ1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19" s="3" t="e">
        <f ca="1">_xll.BDH($C$303,"INVTRY_RAW_MATERIALS","FQ1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19" s="3" t="e">
        <f ca="1">_xll.BDH($C$303,"INVTRY_IN_PROGRESS","FQ1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19" s="3" t="e">
        <f ca="1">_xll.BDH($C$303,"INVTRY_FINISHED_GOODS","FQ1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19" s="3" t="e">
        <f ca="1">_xll.BDH($C$303,"BS_OTHER_INV","FQ1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20" spans="1:113" x14ac:dyDescent="0.3">
      <c r="A320" s="6"/>
      <c r="B320" s="6"/>
      <c r="C320" s="6"/>
      <c r="D320" s="6"/>
      <c r="E320" t="s">
        <v>79</v>
      </c>
      <c r="F320" t="e">
        <f ca="1">_xll.BDH($C$303,"RETURN_COM_EQY","FQ2 2017","FQ2 2017","Currency=INR","Period=FQ","BEST_FPERIOD_OVERRIDE=FQ","FILING_STATUS=OR","EQY_CONSOLIDATED=Y","FA_ADJUSTED=GAAP","Sort=A","Dates=H","DateFormat=P","Fill=—","Direction=H","UseDPDF=Y")</f>
        <v>#NAME?</v>
      </c>
      <c r="G320" t="e">
        <f ca="1">_xll.BDH($C$303,"RETURN_ON_ASSET","FQ2 2017","FQ2 2017","Currency=INR","Period=FQ","BEST_FPERIOD_OVERRIDE=FQ","FILING_STATUS=OR","EQY_CONSOLIDATED=Y","FA_ADJUSTED=GAAP","Sort=A","Dates=H","DateFormat=P","Fill=—","Direction=H","UseDPDF=Y")</f>
        <v>#NAME?</v>
      </c>
      <c r="H320" t="e">
        <f ca="1">_xll.BDH($C$303,"RETURN_ON_CAP","FQ2 2017","FQ2 2017","Currency=INR","Period=FQ","BEST_FPERIOD_OVERRIDE=FQ","FILING_STATUS=OR","EQY_CONSOLIDATED=Y","FA_ADJUSTED=GAAP","Sort=A","Dates=H","DateFormat=P","Fill=—","Direction=H","UseDPDF=Y")</f>
        <v>#NAME?</v>
      </c>
      <c r="I320" t="e">
        <f ca="1">_xll.BDH($C$303,"RETURN_ON_INV_CAPITAL","FQ2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20" t="e">
        <f ca="1">_xll.BDH($C$303,"EBITDA_TO_REVENUE","FQ2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20" t="e">
        <f ca="1">_xll.BDH($C$303,"OPER_MARGIN","FQ2 2017","FQ2 2017","Currency=INR","Period=FQ","BEST_FPERIOD_OVERRIDE=FQ","FILING_STATUS=OR","EQY_CONSOLIDATED=Y","FA_ADJUSTED=GAAP","Sort=A","Dates=H","DateFormat=P","Fill=—","Direction=H","UseDPDF=Y")</f>
        <v>#NAME?</v>
      </c>
      <c r="L320" t="e">
        <f ca="1">_xll.BDH($C$303,"INCREMENTAL_OPERATING_MARGIN","FQ2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20" t="e">
        <f ca="1">_xll.BDH($C$303,"PRETAX_INC_TO_NET_SALES","FQ2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20" t="e">
        <f ca="1">_xll.BDH($C$303,"INC_BEF_XO_ITEMS_TO_NET_SALES","FQ2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20" t="e">
        <f ca="1">_xll.BDH($C$303,"PROF_MARGIN","FQ2 2017","FQ2 2017","Currency=INR","Period=FQ","BEST_FPERIOD_OVERRIDE=FQ","FILING_STATUS=OR","EQY_CONSOLIDATED=Y","FA_ADJUSTED=GAAP","Sort=A","Dates=H","DateFormat=P","Fill=—","Direction=H","UseDPDF=Y")</f>
        <v>#NAME?</v>
      </c>
      <c r="P320" t="e">
        <f ca="1">_xll.BDH($C$303,"NET_INCOME_TO_COMMON_MARGIN","FQ2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20" t="e">
        <f ca="1">_xll.BDH($C$303,"EFF_TAX_RATE","FQ2 2017","FQ2 2017","Currency=INR","Period=FQ","BEST_FPERIOD_OVERRIDE=FQ","FILING_STATUS=OR","EQY_CONSOLIDATED=Y","FA_ADJUSTED=GAAP","Sort=A","Dates=H","DateFormat=P","Fill=—","Direction=H","UseDPDF=Y")</f>
        <v>#NAME?</v>
      </c>
      <c r="R320" t="e">
        <f ca="1">_xll.BDH($C$303,"DVD_PAYOUT_RATIO","FQ2 2017","FQ2 2017","Currency=INR","Period=FQ","BEST_FPERIOD_OVERRIDE=FQ","FILING_STATUS=OR","EQY_CONSOLIDATED=Y","FA_ADJUSTED=GAAP","Sort=A","Dates=H","DateFormat=P","Fill=—","Direction=H","UseDPDF=Y")</f>
        <v>#NAME?</v>
      </c>
      <c r="S320" t="e">
        <f ca="1">_xll.BDH($C$303,"SUSTAIN_GROWTH_RT","FQ2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20" s="2" t="e">
        <f ca="1">_xll.BDH($C$303,"SALES_GROWTH","FQ2 2017","FQ2 2017","Currency=INR","Period=FQ","BEST_FPERIOD_OVERRIDE=FQ","FILING_STATUS=OR","EQY_CONSOLIDATED=Y","FA_ADJUSTED=GAAP","Sort=A","Dates=H","DateFormat=P","Fill=—","Direction=H","UseDPDF=Y")</f>
        <v>#NAME?</v>
      </c>
      <c r="U320" s="2" t="e">
        <f ca="1">_xll.BDH($C$303,"EBITDA_GROWTH","FQ2 2017","FQ2 2017","Currency=INR","Period=FQ","BEST_FPERIOD_OVERRIDE=FQ","FILING_STATUS=OR","EQY_CONSOLIDATED=Y","FA_ADJUSTED=GAAP","Sort=A","Dates=H","DateFormat=P","Fill=—","Direction=H","UseDPDF=Y")</f>
        <v>#NAME?</v>
      </c>
      <c r="V320" s="2" t="e">
        <f ca="1">_xll.BDH($C$303,"OPER_INC_GROWTH","FQ2 2017","FQ2 2017","Currency=INR","Period=FQ","BEST_FPERIOD_OVERRIDE=FQ","FILING_STATUS=OR","EQY_CONSOLIDATED=Y","FA_ADJUSTED=GAAP","Sort=A","Dates=H","DateFormat=P","Fill=—","Direction=H","UseDPDF=Y")</f>
        <v>#NAME?</v>
      </c>
      <c r="W320" s="2" t="e">
        <f ca="1">_xll.BDH($C$303,"EARN_FOR_COM_GROWTH","FQ2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20" s="2" t="e">
        <f ca="1">_xll.BDH($C$303,"DILUTED_EPS_AFT_XO_ITEMS_GROWTH","FQ2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20" s="2" t="e">
        <f ca="1">_xll.BDH($C$303,"DIVIDEND_PER_SHARE_1_YEAR_GROWTH","FQ2 2017","FQ2 2017","Currency=INR","Period=FQ","BEST_FPERIOD_OVERRIDE=FQ","FILING_STATUS=OR","EQY_CONSOLIDATED=Y","Sort=A","Dates=H","DateFormat=P","Fill=—","Direction=H","UseDPDF=Y")</f>
        <v>#NAME?</v>
      </c>
      <c r="Z320" s="2" t="e">
        <f ca="1">_xll.BDH($C$303,"ACCOUNTS_RECEIVABLE_GROWTH","FQ2 2017","FQ2 2017","Currency=INR","Period=FQ","BEST_FPERIOD_OVERRIDE=FQ","FILING_STATUS=OR","EQY_CONSOLIDATED=Y","Sort=A","Dates=H","DateFormat=P","Fill=—","Direction=H","UseDPDF=Y")</f>
        <v>#NAME?</v>
      </c>
      <c r="AA320" s="2" t="e">
        <f ca="1">_xll.BDH($C$303,"INVENTORY_GROWTH","FQ2 2017","FQ2 2017","Currency=INR","Period=FQ","BEST_FPERIOD_OVERRIDE=FQ","FILING_STATUS=OR","EQY_CONSOLIDATED=Y","Sort=A","Dates=H","DateFormat=P","Fill=—","Direction=H","UseDPDF=Y")</f>
        <v>#NAME?</v>
      </c>
      <c r="AB320" s="2" t="e">
        <f ca="1">_xll.BDH($C$303,"NET_FIXED_ASSETS_1_YEAR_GROWTH","FQ2 2017","FQ2 2017","Currency=INR","Period=FQ","BEST_FPERIOD_OVERRIDE=FQ","FILING_STATUS=OR","EQY_CONSOLIDATED=Y","Sort=A","Dates=H","DateFormat=P","Fill=—","Direction=H","UseDPDF=Y")</f>
        <v>#NAME?</v>
      </c>
      <c r="AC320" s="2" t="e">
        <f ca="1">_xll.BDH($C$303,"ASSET_GROWTH","FQ2 2017","FQ2 2017","Currency=INR","Period=FQ","BEST_FPERIOD_OVERRIDE=FQ","FILING_STATUS=OR","EQY_CONSOLIDATED=Y","Sort=A","Dates=H","DateFormat=P","Fill=—","Direction=H","UseDPDF=Y")</f>
        <v>#NAME?</v>
      </c>
      <c r="AD320" s="2" t="e">
        <f ca="1">_xll.BDH($C$303,"MODIFIED_WORK_CAP_GROWTH","FQ2 2017","FQ2 2017","Currency=INR","Period=FQ","BEST_FPERIOD_OVERRIDE=FQ","FILING_STATUS=OR","EQY_CONSOLIDATED=Y","Sort=A","Dates=H","DateFormat=P","Fill=—","Direction=H","UseDPDF=Y")</f>
        <v>#NAME?</v>
      </c>
      <c r="AE320" s="2" t="e">
        <f ca="1">_xll.BDH($C$303,"WORK_CAP_GROWTH","FQ2 2017","FQ2 2017","Currency=INR","Period=FQ","BEST_FPERIOD_OVERRIDE=FQ","FILING_STATUS=OR","EQY_CONSOLIDATED=Y","Sort=A","Dates=H","DateFormat=P","Fill=—","Direction=H","UseDPDF=Y")</f>
        <v>#NAME?</v>
      </c>
      <c r="AF320" s="2" t="e">
        <f ca="1">_xll.BDH($C$303,"ACCOUNTS_PAYABLE_GROWTH_1YR","FQ2 2017","FQ2 2017","Currency=INR","Period=FQ","BEST_FPERIOD_OVERRIDE=FQ","FILING_STATUS=OR","EQY_CONSOLIDATED=Y","Sort=A","Dates=H","DateFormat=P","Fill=—","Direction=H","UseDPDF=Y")</f>
        <v>#NAME?</v>
      </c>
      <c r="AG320" s="2" t="e">
        <f ca="1">_xll.BDH($C$303,"SHORT_TERM_DEBT_1_YEAR_GROWTH","FQ2 2017","FQ2 2017","Currency=INR","Period=FQ","BEST_FPERIOD_OVERRIDE=FQ","FILING_STATUS=OR","EQY_CONSOLIDATED=Y","Sort=A","Dates=H","DateFormat=P","Fill=—","Direction=H","UseDPDF=Y")</f>
        <v>#NAME?</v>
      </c>
      <c r="AH320" s="2" t="e">
        <f ca="1">_xll.BDH($C$303,"TOTAL_DEBT_1_YEAR_GROWTH","FQ2 2017","FQ2 2017","Currency=INR","Period=FQ","BEST_FPERIOD_OVERRIDE=FQ","FILING_STATUS=OR","EQY_CONSOLIDATED=Y","Sort=A","Dates=H","DateFormat=P","Fill=—","Direction=H","UseDPDF=Y")</f>
        <v>#NAME?</v>
      </c>
      <c r="AI320" s="2" t="e">
        <f ca="1">_xll.BDH($C$303,"TOTAL_EQUITY_1_YEAR_GROWTH","FQ2 2017","FQ2 2017","Currency=INR","Period=FQ","BEST_FPERIOD_OVERRIDE=FQ","FILING_STATUS=OR","EQY_CONSOLIDATED=Y","Sort=A","Dates=H","DateFormat=P","Fill=—","Direction=H","UseDPDF=Y")</f>
        <v>#NAME?</v>
      </c>
      <c r="AJ320" s="2" t="e">
        <f ca="1">_xll.BDH($C$303,"GROWTH_IN_CAP","FQ2 2017","FQ2 2017","Currency=INR","Period=FQ","BEST_FPERIOD_OVERRIDE=FQ","FILING_STATUS=OR","EQY_CONSOLIDATED=Y","Sort=A","Dates=H","DateFormat=P","Fill=—","Direction=H","UseDPDF=Y")</f>
        <v>#NAME?</v>
      </c>
      <c r="AK320" s="2" t="e">
        <f ca="1">_xll.BDH($C$303,"BVPS_GROWTH","FQ2 2017","FQ2 2017","Currency=INR","Period=FQ","BEST_FPERIOD_OVERRIDE=FQ","FILING_STATUS=OR","EQY_CONSOLIDATED=Y","Sort=A","Dates=H","DateFormat=P","Fill=—","Direction=H","UseDPDF=Y")</f>
        <v>#NAME?</v>
      </c>
      <c r="AL320" s="2" t="e">
        <f ca="1">_xll.BDH($C$303,"CASH_FLOW_GROWTH","FQ2 2017","FQ2 2017","Currency=INR","Period=FQ","BEST_FPERIOD_OVERRIDE=FQ","FILING_STATUS=OR","EQY_CONSOLIDATED=Y","Sort=A","Dates=H","DateFormat=P","Fill=—","Direction=H","UseDPDF=Y")</f>
        <v>#NAME?</v>
      </c>
      <c r="AM320" s="2" t="e">
        <f ca="1">_xll.BDH($C$303,"GEO_GROW_NET_SALES","FQ2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20" s="2" t="e">
        <f ca="1">_xll.BDH($C$303,"GEO_GROW_EBITDA","FQ2 2017","FQ2 2017","Currency=INR","Period=FQ","BEST_FPERIOD_OVERRIDE=FQ","FILING_STATUS=OR","EQY_CONSOLIDATED=Y","FA_ADJUSTED=GAAP","Sort=A","Dates=H","DateFormat=P","Fill=—","Direction=H","UseDPDF=Y")</f>
        <v>#NAME?</v>
      </c>
      <c r="AO320" s="2" t="e">
        <f ca="1">_xll.BDH($C$303,"GEO_GROW_OPER_INC","FQ2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20" s="2" t="e">
        <f ca="1">_xll.BDH($C$303,"NET_INCOME_TO_COMMON_5_YR_GROWTH","FQ2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20" s="2" t="e">
        <f ca="1">_xll.BDH($C$303,"5Y_GEO_GROWTH_DILUTED_EPS","FQ2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20" s="2" t="e">
        <f ca="1">_xll.BDH($C$303,"GEO_GROW_DVD_PER_SH","FQ2 2017","FQ2 2017","Currency=INR","Period=FQ","BEST_FPERIOD_OVERRIDE=FQ","FILING_STATUS=OR","EQY_CONSOLIDATED=Y","Sort=A","Dates=H","DateFormat=P","Fill=—","Direction=H","UseDPDF=Y")</f>
        <v>#NAME?</v>
      </c>
      <c r="AS320" s="2" t="e">
        <f ca="1">_xll.BDH($C$303,"ACCOUNTS_RECEIVABLE_5_YR_GROWTH","FQ2 2017","FQ2 2017","Currency=INR","Period=FQ","BEST_FPERIOD_OVERRIDE=FQ","FILING_STATUS=OR","EQY_CONSOLIDATED=Y","Sort=A","Dates=H","DateFormat=P","Fill=—","Direction=H","UseDPDF=Y")</f>
        <v>#NAME?</v>
      </c>
      <c r="AT320" s="2" t="e">
        <f ca="1">_xll.BDH($C$303,"INVENTORY_5_YEAR_GROWTH","FQ2 2017","FQ2 2017","Currency=INR","Period=FQ","BEST_FPERIOD_OVERRIDE=FQ","FILING_STATUS=OR","EQY_CONSOLIDATED=Y","Sort=A","Dates=H","DateFormat=P","Fill=—","Direction=H","UseDPDF=Y")</f>
        <v>#NAME?</v>
      </c>
      <c r="AU320" s="2" t="e">
        <f ca="1">_xll.BDH($C$303,"NET_FIXED_ASSETS_5_YEAR_GROWTH","FQ2 2017","FQ2 2017","Currency=INR","Period=FQ","BEST_FPERIOD_OVERRIDE=FQ","FILING_STATUS=OR","EQY_CONSOLIDATED=Y","Sort=A","Dates=H","DateFormat=P","Fill=—","Direction=H","UseDPDF=Y")</f>
        <v>#NAME?</v>
      </c>
      <c r="AV320" s="2" t="e">
        <f ca="1">_xll.BDH($C$303,"GEO_GROW_TOT_ASSET","FQ2 2017","FQ2 2017","Currency=INR","Period=FQ","BEST_FPERIOD_OVERRIDE=FQ","FILING_STATUS=OR","EQY_CONSOLIDATED=Y","Sort=A","Dates=H","DateFormat=P","Fill=—","Direction=H","UseDPDF=Y")</f>
        <v>#NAME?</v>
      </c>
      <c r="AW320" s="2" t="e">
        <f ca="1">_xll.BDH($C$303,"MODIFIED_WORKING_CPTL_5YR_GRWTH","FQ2 2017","FQ2 2017","Currency=INR","Period=FQ","BEST_FPERIOD_OVERRIDE=FQ","FILING_STATUS=OR","EQY_CONSOLIDATED=Y","Sort=A","Dates=H","DateFormat=P","Fill=—","Direction=H","UseDPDF=Y")</f>
        <v>#NAME?</v>
      </c>
      <c r="AX320" s="2" t="e">
        <f ca="1">_xll.BDH($C$303,"WORKING_CAPITAL_5_YEAR_GROWTH","FQ2 2017","FQ2 2017","Currency=INR","Period=FQ","BEST_FPERIOD_OVERRIDE=FQ","FILING_STATUS=OR","EQY_CONSOLIDATED=Y","Sort=A","Dates=H","DateFormat=P","Fill=—","Direction=H","UseDPDF=Y")</f>
        <v>#NAME?</v>
      </c>
      <c r="AY320" s="2" t="e">
        <f ca="1">_xll.BDH($C$303,"ACCOUNTS_PAYABLE_5_YEAR_GROWTH","FQ2 2017","FQ2 2017","Currency=INR","Period=FQ","BEST_FPERIOD_OVERRIDE=FQ","FILING_STATUS=OR","EQY_CONSOLIDATED=Y","Sort=A","Dates=H","DateFormat=P","Fill=—","Direction=H","UseDPDF=Y")</f>
        <v>#NAME?</v>
      </c>
      <c r="AZ320" s="2" t="e">
        <f ca="1">_xll.BDH($C$303,"SHORT_TERM_DEBT_5_YEAR_GROWTH","FQ2 2017","FQ2 2017","Currency=INR","Period=FQ","BEST_FPERIOD_OVERRIDE=FQ","FILING_STATUS=OR","EQY_CONSOLIDATED=Y","Sort=A","Dates=H","DateFormat=P","Fill=—","Direction=H","UseDPDF=Y")</f>
        <v>#NAME?</v>
      </c>
      <c r="BA320" s="2" t="e">
        <f ca="1">_xll.BDH($C$303,"TOTAL_DEBT_5_YEAR_GROWTH","FQ2 2017","FQ2 2017","Currency=INR","Period=FQ","BEST_FPERIOD_OVERRIDE=FQ","FILING_STATUS=OR","EQY_CONSOLIDATED=Y","Sort=A","Dates=H","DateFormat=P","Fill=—","Direction=H","UseDPDF=Y")</f>
        <v>#NAME?</v>
      </c>
      <c r="BB320" s="2" t="e">
        <f ca="1">_xll.BDH($C$303,"GEO_GROW_TOT_SHRHLDR_EQY","FQ2 2017","FQ2 2017","Currency=INR","Period=FQ","BEST_FPERIOD_OVERRIDE=FQ","FILING_STATUS=OR","EQY_CONSOLIDATED=Y","Sort=A","Dates=H","DateFormat=P","Fill=—","Direction=H","UseDPDF=Y")</f>
        <v>#NAME?</v>
      </c>
      <c r="BC320" s="2" t="e">
        <f ca="1">_xll.BDH($C$303,"TOTAL_CAPITAL_5_YEAR_GROWTH","FQ2 2017","FQ2 2017","Currency=INR","Period=FQ","BEST_FPERIOD_OVERRIDE=FQ","FILING_STATUS=OR","EQY_CONSOLIDATED=Y","Sort=A","Dates=H","DateFormat=P","Fill=—","Direction=H","UseDPDF=Y")</f>
        <v>#NAME?</v>
      </c>
      <c r="BD320" s="2" t="e">
        <f ca="1">_xll.BDH($C$303,"GEO_GROW_BOOK_VAL","FQ2 2017","FQ2 2017","Currency=INR","Period=FQ","BEST_FPERIOD_OVERRIDE=FQ","FILING_STATUS=OR","EQY_CONSOLIDATED=Y","Sort=A","Dates=H","DateFormat=P","Fill=—","Direction=H","UseDPDF=Y")</f>
        <v>#NAME?</v>
      </c>
      <c r="BE320" s="2" t="e">
        <f ca="1">_xll.BDH($C$303,"GEO_GROW_CASH_OPER_ACT","FQ2 2017","FQ2 2017","Currency=INR","Period=FQ","BEST_FPERIOD_OVERRIDE=FQ","FILING_STATUS=OR","EQY_CONSOLIDATED=Y","Sort=A","Dates=H","DateFormat=P","Fill=—","Direction=H","UseDPDF=Y")</f>
        <v>#NAME?</v>
      </c>
      <c r="BF320" s="2" t="e">
        <f ca="1">_xll.BDH($C$303,"REVENUE_SEQUENTIAL_GROWTH","FQ2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20" s="2" t="e">
        <f ca="1">_xll.BDH($C$303,"EBITDA_SEQUENTIAL_GROWTH","FQ2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20" s="2" t="e">
        <f ca="1">_xll.BDH($C$303,"OPERATING_INCOME_SEQ_GROWTH","FQ2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20" s="2" t="e">
        <f ca="1">_xll.BDH($C$303,"NET_INCOME_TO_COMMON_SEQ_GROWTH","FQ2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20" s="2" t="e">
        <f ca="1">_xll.BDH($C$303,"EPS_DILUTED_SEQUENTIAL_GROWTH","FQ2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20" s="2" t="e">
        <f ca="1">_xll.BDH($C$303,"DPS_SEQUENTIAL_GROWTH","FQ2 2017","FQ2 2017","Currency=INR","Period=FQ","BEST_FPERIOD_OVERRIDE=FQ","FILING_STATUS=OR","EQY_CONSOLIDATED=Y","Sort=A","Dates=H","DateFormat=P","Fill=—","Direction=H","UseDPDF=Y")</f>
        <v>#NAME?</v>
      </c>
      <c r="BL320" s="2" t="e">
        <f ca="1">_xll.BDH($C$303,"ACCOUNTS_RECEIVABLE_SEQ_GROWTH","FQ2 2017","FQ2 2017","Currency=INR","Period=FQ","BEST_FPERIOD_OVERRIDE=FQ","FILING_STATUS=OR","EQY_CONSOLIDATED=Y","Sort=A","Dates=H","DateFormat=P","Fill=—","Direction=H","UseDPDF=Y")</f>
        <v>#NAME?</v>
      </c>
      <c r="BM320" s="2" t="e">
        <f ca="1">_xll.BDH($C$303,"INVENTORY_SEQUENTIAL_GROWTH","FQ2 2017","FQ2 2017","Currency=INR","Period=FQ","BEST_FPERIOD_OVERRIDE=FQ","FILING_STATUS=OR","EQY_CONSOLIDATED=Y","Sort=A","Dates=H","DateFormat=P","Fill=—","Direction=H","UseDPDF=Y")</f>
        <v>#NAME?</v>
      </c>
      <c r="BN320" s="2" t="e">
        <f ca="1">_xll.BDH($C$303,"FIXED_ASSETS_SEQUENTIAL_GROWTH","FQ2 2017","FQ2 2017","Currency=INR","Period=FQ","BEST_FPERIOD_OVERRIDE=FQ","FILING_STATUS=OR","EQY_CONSOLIDATED=Y","Sort=A","Dates=H","DateFormat=P","Fill=—","Direction=H","UseDPDF=Y")</f>
        <v>#NAME?</v>
      </c>
      <c r="BO320" s="2" t="e">
        <f ca="1">_xll.BDH($C$303,"TOTAL_ASSETS_SEQUENTIAL_GROWTH","FQ2 2017","FQ2 2017","Currency=INR","Period=FQ","BEST_FPERIOD_OVERRIDE=FQ","FILING_STATUS=OR","EQY_CONSOLIDATED=Y","Sort=A","Dates=H","DateFormat=P","Fill=—","Direction=H","UseDPDF=Y")</f>
        <v>#NAME?</v>
      </c>
      <c r="BP320" s="2" t="e">
        <f ca="1">_xll.BDH($C$303,"MODIFIED_WORKING_CPTL_SEQ_GRWTH","FQ2 2017","FQ2 2017","Currency=INR","Period=FQ","BEST_FPERIOD_OVERRIDE=FQ","FILING_STATUS=OR","EQY_CONSOLIDATED=Y","Sort=A","Dates=H","DateFormat=P","Fill=—","Direction=H","UseDPDF=Y")</f>
        <v>#NAME?</v>
      </c>
      <c r="BQ320" s="2" t="e">
        <f ca="1">_xll.BDH($C$303,"WORKING_CAPITAL_SEQ_GROWTH","FQ2 2017","FQ2 2017","Currency=INR","Period=FQ","BEST_FPERIOD_OVERRIDE=FQ","FILING_STATUS=OR","EQY_CONSOLIDATED=Y","Sort=A","Dates=H","DateFormat=P","Fill=—","Direction=H","UseDPDF=Y")</f>
        <v>#NAME?</v>
      </c>
      <c r="BR320" s="2" t="e">
        <f ca="1">_xll.BDH($C$303,"ACCOUNTS_PAYABLE_SEQ_GROWTH","FQ2 2017","FQ2 2017","Currency=INR","Period=FQ","BEST_FPERIOD_OVERRIDE=FQ","FILING_STATUS=OR","EQY_CONSOLIDATED=Y","Sort=A","Dates=H","DateFormat=P","Fill=—","Direction=H","UseDPDF=Y")</f>
        <v>#NAME?</v>
      </c>
      <c r="BS320" s="2" t="e">
        <f ca="1">_xll.BDH($C$303,"ST_DEBT_SEQUENTIAL_GROWTH","FQ2 2017","FQ2 2017","Currency=INR","Period=FQ","BEST_FPERIOD_OVERRIDE=FQ","FILING_STATUS=OR","EQY_CONSOLIDATED=Y","Sort=A","Dates=H","DateFormat=P","Fill=—","Direction=H","UseDPDF=Y")</f>
        <v>#NAME?</v>
      </c>
      <c r="BT320" s="2" t="e">
        <f ca="1">_xll.BDH($C$303,"TOTAL_DEBT_SEQUENTIAL_GROWTH","FQ2 2017","FQ2 2017","Currency=INR","Period=FQ","BEST_FPERIOD_OVERRIDE=FQ","FILING_STATUS=OR","EQY_CONSOLIDATED=Y","Sort=A","Dates=H","DateFormat=P","Fill=—","Direction=H","UseDPDF=Y")</f>
        <v>#NAME?</v>
      </c>
      <c r="BU320" s="2" t="e">
        <f ca="1">_xll.BDH($C$303,"TOTAL_EQUITY_SEQUENTIAL_GROWTH","FQ2 2017","FQ2 2017","Currency=INR","Period=FQ","BEST_FPERIOD_OVERRIDE=FQ","FILING_STATUS=OR","EQY_CONSOLIDATED=Y","Sort=A","Dates=H","DateFormat=P","Fill=—","Direction=H","UseDPDF=Y")</f>
        <v>#NAME?</v>
      </c>
      <c r="BV320" s="2" t="e">
        <f ca="1">_xll.BDH($C$303,"TOTAL_CAPITAL_SEQUENTIAL_GROWTH","FQ2 2017","FQ2 2017","Currency=INR","Period=FQ","BEST_FPERIOD_OVERRIDE=FQ","FILING_STATUS=OR","EQY_CONSOLIDATED=Y","Sort=A","Dates=H","DateFormat=P","Fill=—","Direction=H","UseDPDF=Y")</f>
        <v>#NAME?</v>
      </c>
      <c r="BW320" s="2" t="e">
        <f ca="1">_xll.BDH($C$303,"BPS_SEQUENTIAL_GROWTH","FQ2 2017","FQ2 2017","Currency=INR","Period=FQ","BEST_FPERIOD_OVERRIDE=FQ","FILING_STATUS=OR","EQY_CONSOLIDATED=Y","Sort=A","Dates=H","DateFormat=P","Fill=—","Direction=H","UseDPDF=Y")</f>
        <v>#NAME?</v>
      </c>
      <c r="BX320" s="2" t="e">
        <f ca="1">_xll.BDH($C$303,"CFO_SEQUENTIAL_GROWTH","FQ2 2017","FQ2 2017","Currency=INR","Period=FQ","BEST_FPERIOD_OVERRIDE=FQ","FILING_STATUS=OR","EQY_CONSOLIDATED=Y","Sort=A","Dates=H","DateFormat=P","Fill=—","Direction=H","UseDPDF=Y")</f>
        <v>#NAME?</v>
      </c>
      <c r="BY320" s="3" t="e">
        <f ca="1">_xll.BDH($C$303,"SHORT_AND_LONG_TERM_DEBT","FQ2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20" s="3" t="e">
        <f ca="1">_xll.BDH($C$303,"BS_ST_BORROW","FQ2 2017","FQ2 2017","Currency=INR","Period=FQ","BEST_FPERIOD_OVERRIDE=FQ","FILING_STATUS=OR","EQY_CONSOLIDATED=Y","SCALING_FORMAT=MLN","Sort=A","Dates=H","DateFormat=P","Fill=—","Direction=H","UseDPDF=Y")</f>
        <v>#NAME?</v>
      </c>
      <c r="CA320" s="3" t="e">
        <f ca="1">_xll.BDH($C$303,"BS_LT_BORROW","FQ2 2017","FQ2 2017","Currency=INR","Period=FQ","BEST_FPERIOD_OVERRIDE=FQ","FILING_STATUS=OR","EQY_CONSOLIDATED=Y","SCALING_FORMAT=MLN","Sort=A","Dates=H","DateFormat=P","Fill=—","Direction=H","UseDPDF=Y")</f>
        <v>#NAME?</v>
      </c>
      <c r="CB320" s="2" t="e">
        <f ca="1">_xll.BDH($C$303,"TOT_DEBT_TO_EBITDA","FQ2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20" s="2" t="e">
        <f ca="1">_xll.BDH($C$303,"NET_DEBT_TO_EBITDA","FQ2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20" s="2" t="e">
        <f ca="1">_xll.BDH($C$303,"TOTAL_DEBT_TO_EBIT","FQ2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20" s="2" t="e">
        <f ca="1">_xll.BDH($C$303,"NET_DEBT_TO_EBIT","FQ2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20" s="2" t="e">
        <f ca="1">_xll.BDH($C$303,"EBITDA_TO_INTEREST_EXPN","FQ2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20" s="2" t="e">
        <f ca="1">_xll.BDH($C$303,"COM_EQY_TO_TOT_ASSET","FQ2 2017","FQ2 2017","Currency=INR","Period=FQ","BEST_FPERIOD_OVERRIDE=FQ","FILING_STATUS=OR","EQY_CONSOLIDATED=Y","Sort=A","Dates=H","DateFormat=P","Fill=—","Direction=H","UseDPDF=Y")</f>
        <v>#NAME?</v>
      </c>
      <c r="CH320" s="2" t="e">
        <f ca="1">_xll.BDH($C$303,"LT_DEBT_TO_TOT_EQY","FQ2 2017","FQ2 2017","Currency=INR","Period=FQ","BEST_FPERIOD_OVERRIDE=FQ","FILING_STATUS=OR","EQY_CONSOLIDATED=Y","Sort=A","Dates=H","DateFormat=P","Fill=—","Direction=H","UseDPDF=Y")</f>
        <v>#NAME?</v>
      </c>
      <c r="CI320" s="2" t="e">
        <f ca="1">_xll.BDH($C$303,"LT_DEBT_TO_TOT_CAP","FQ2 2017","FQ2 2017","Currency=INR","Period=FQ","BEST_FPERIOD_OVERRIDE=FQ","FILING_STATUS=OR","EQY_CONSOLIDATED=Y","Sort=A","Dates=H","DateFormat=P","Fill=—","Direction=H","UseDPDF=Y")</f>
        <v>#NAME?</v>
      </c>
      <c r="CJ320" s="2" t="e">
        <f ca="1">_xll.BDH($C$303,"LT_DEBT_TO_TOT_ASSET","FQ2 2017","FQ2 2017","Currency=INR","Period=FQ","BEST_FPERIOD_OVERRIDE=FQ","FILING_STATUS=OR","EQY_CONSOLIDATED=Y","Sort=A","Dates=H","DateFormat=P","Fill=—","Direction=H","UseDPDF=Y")</f>
        <v>#NAME?</v>
      </c>
      <c r="CK320" s="2" t="e">
        <f ca="1">_xll.BDH($C$303,"TOT_DEBT_TO_TOT_EQY","FQ2 2017","FQ2 2017","Currency=INR","Period=FQ","BEST_FPERIOD_OVERRIDE=FQ","FILING_STATUS=OR","EQY_CONSOLIDATED=Y","Sort=A","Dates=H","DateFormat=P","Fill=—","Direction=H","UseDPDF=Y")</f>
        <v>#NAME?</v>
      </c>
      <c r="CL320" s="2" t="e">
        <f ca="1">_xll.BDH($C$303,"TOT_DEBT_TO_TOT_CAP","FQ2 2017","FQ2 2017","Currency=INR","Period=FQ","BEST_FPERIOD_OVERRIDE=FQ","FILING_STATUS=OR","EQY_CONSOLIDATED=Y","Sort=A","Dates=H","DateFormat=P","Fill=—","Direction=H","UseDPDF=Y")</f>
        <v>#NAME?</v>
      </c>
      <c r="CM320" s="2" t="e">
        <f ca="1">_xll.BDH($C$303,"TOT_DEBT_TO_TOT_ASSET","FQ2 2017","FQ2 2017","Currency=INR","Period=FQ","BEST_FPERIOD_OVERRIDE=FQ","FILING_STATUS=OR","EQY_CONSOLIDATED=Y","Sort=A","Dates=H","DateFormat=P","Fill=—","Direction=H","UseDPDF=Y")</f>
        <v>#NAME?</v>
      </c>
      <c r="CN320" s="2" t="e">
        <f ca="1">_xll.BDH($C$303,"NET_DEBT_TO_SHRHLDR_EQTY","FQ2 2017","FQ2 2017","Currency=INR","Period=FQ","BEST_FPERIOD_OVERRIDE=FQ","FILING_STATUS=OR","EQY_CONSOLIDATED=Y","Sort=A","Dates=H","DateFormat=P","Fill=—","Direction=H","UseDPDF=Y")</f>
        <v>#NAME?</v>
      </c>
      <c r="CO320" s="2" t="e">
        <f ca="1">_xll.BDH($C$303,"NET_DEBT_%_CAPITAL","FQ2 2017","FQ2 2017","Currency=INR","Period=FQ","BEST_FPERIOD_OVERRIDE=FQ","FILING_STATUS=OR","EQY_CONSOLIDATED=Y","Sort=A","Dates=H","DateFormat=P","Fill=—","Direction=H","UseDPDF=Y")</f>
        <v>#NAME?</v>
      </c>
      <c r="CP320" s="3" t="e">
        <f ca="1">_xll.BDH($C$303,"EBITDA","FQ2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20" s="3" t="e">
        <f ca="1">_xll.BDH($C$303,"EBITDA_AFTER_CAPEX","FQ2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20" s="3" t="e">
        <f ca="1">_xll.BDH($C$303,"IS_OPER_INC","FQ2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20" s="2" t="e">
        <f ca="1">_xll.BDH($C$303,"CASH_RATIO","FQ2 2017","FQ2 2017","Currency=INR","Period=FQ","BEST_FPERIOD_OVERRIDE=FQ","FILING_STATUS=OR","EQY_CONSOLIDATED=Y","Sort=A","Dates=H","DateFormat=P","Fill=—","Direction=H","UseDPDF=Y")</f>
        <v>#NAME?</v>
      </c>
      <c r="CT320" s="2" t="e">
        <f ca="1">_xll.BDH($C$303,"CUR_RATIO","FQ2 2017","FQ2 2017","Currency=INR","Period=FQ","BEST_FPERIOD_OVERRIDE=FQ","FILING_STATUS=OR","EQY_CONSOLIDATED=Y","Sort=A","Dates=H","DateFormat=P","Fill=—","Direction=H","UseDPDF=Y")</f>
        <v>#NAME?</v>
      </c>
      <c r="CU320" s="2" t="e">
        <f ca="1">_xll.BDH($C$303,"QUICK_RATIO","FQ2 2017","FQ2 2017","Currency=INR","Period=FQ","BEST_FPERIOD_OVERRIDE=FQ","FILING_STATUS=OR","EQY_CONSOLIDATED=Y","Sort=A","Dates=H","DateFormat=P","Fill=—","Direction=H","UseDPDF=Y")</f>
        <v>#NAME?</v>
      </c>
      <c r="CV320" s="2" t="e">
        <f ca="1">_xll.BDH($C$303,"ALTMAN_Z_SCORE","FQ2 2017","FQ2 2017","Currency=INR","Period=FQ","BEST_FPERIOD_OVERRIDE=FQ","FILING_STATUS=OR","EQY_CONSOLIDATED=Y","Sort=A","Dates=H","DateFormat=P","Fill=—","Direction=H","UseDPDF=Y")</f>
        <v>#NAME?</v>
      </c>
      <c r="CW320" s="4" t="e">
        <f ca="1">_xll.BDH($C$303,"ACCT_RCV_TURN","FQ2 2017","FQ2 2017","Currency=INR","Period=FQ","BEST_FPERIOD_OVERRIDE=FQ","FILING_STATUS=OR","EQY_CONSOLIDATED=Y","FA_ADJUSTED=GAAP","Sort=A","Dates=H","DateFormat=P","Fill=—","Direction=H","UseDPDF=Y")</f>
        <v>#NAME?</v>
      </c>
      <c r="CX320" s="2" t="e">
        <f ca="1">_xll.BDH($C$303,"ACCT_RCV_DAYS","FQ2 2017","FQ2 2017","Currency=INR","Period=FQ","BEST_FPERIOD_OVERRIDE=FQ","FILING_STATUS=OR","EQY_CONSOLIDATED=Y","FA_ADJUSTED=GAAP","Sort=A","Dates=H","DateFormat=P","Fill=—","Direction=H","UseDPDF=Y")</f>
        <v>#NAME?</v>
      </c>
      <c r="CY320" s="4" t="e">
        <f ca="1">_xll.BDH($C$303,"INVENT_TURN","FQ2 2017","FQ2 2017","Currency=INR","Period=FQ","BEST_FPERIOD_OVERRIDE=FQ","FILING_STATUS=OR","EQY_CONSOLIDATED=Y","FA_ADJUSTED=GAAP","Sort=A","Dates=H","DateFormat=P","Fill=—","Direction=H","UseDPDF=Y")</f>
        <v>#NAME?</v>
      </c>
      <c r="CZ320" s="2" t="e">
        <f ca="1">_xll.BDH($C$303,"INVENT_DAYS","FQ2 2017","FQ2 2017","Currency=INR","Period=FQ","BEST_FPERIOD_OVERRIDE=FQ","FILING_STATUS=OR","EQY_CONSOLIDATED=Y","FA_ADJUSTED=GAAP","Sort=A","Dates=H","DateFormat=P","Fill=—","Direction=H","UseDPDF=Y")</f>
        <v>#NAME?</v>
      </c>
      <c r="DA320" s="4" t="e">
        <f ca="1">_xll.BDH($C$303,"ACCOUNTS_PAYABLE_TURNOVER","FQ2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20" s="2" t="e">
        <f ca="1">_xll.BDH($C$303,"ACCOUNTS_PAYABLE_TURNOVER_DAYS","FQ2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20" s="4" t="e">
        <f ca="1">_xll.BDH($C$303,"CASH_CONVERSION_CYCLE","FQ2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20" s="4" t="e">
        <f ca="1">_xll.BDH($C$303,"INV_TO_CASH_DAYS","FQ2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20" s="5" t="e">
        <f ca="1">_xll.BDH($C$303,"BS_INVENTORIES","FQ2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20" s="3" t="e">
        <f ca="1">_xll.BDH($C$303,"INVTRY_RAW_MATERIALS","FQ2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20" s="3" t="e">
        <f ca="1">_xll.BDH($C$303,"INVTRY_IN_PROGRESS","FQ2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20" s="3" t="e">
        <f ca="1">_xll.BDH($C$303,"INVTRY_FINISHED_GOODS","FQ2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20" s="3" t="e">
        <f ca="1">_xll.BDH($C$303,"BS_OTHER_INV","FQ2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21" spans="1:113" x14ac:dyDescent="0.3">
      <c r="A321" s="6"/>
      <c r="B321" s="6"/>
      <c r="C321" s="6"/>
      <c r="D321" s="6"/>
      <c r="E321" t="s">
        <v>80</v>
      </c>
      <c r="F321" t="e">
        <f ca="1">_xll.BDH($C$303,"RETURN_COM_EQY","FQ3 2017","FQ3 2017","Currency=INR","Period=FQ","BEST_FPERIOD_OVERRIDE=FQ","FILING_STATUS=OR","EQY_CONSOLIDATED=Y","FA_ADJUSTED=GAAP","Sort=A","Dates=H","DateFormat=P","Fill=—","Direction=H","UseDPDF=Y")</f>
        <v>#NAME?</v>
      </c>
      <c r="G321" t="e">
        <f ca="1">_xll.BDH($C$303,"RETURN_ON_ASSET","FQ3 2017","FQ3 2017","Currency=INR","Period=FQ","BEST_FPERIOD_OVERRIDE=FQ","FILING_STATUS=OR","EQY_CONSOLIDATED=Y","FA_ADJUSTED=GAAP","Sort=A","Dates=H","DateFormat=P","Fill=—","Direction=H","UseDPDF=Y")</f>
        <v>#NAME?</v>
      </c>
      <c r="H321" t="e">
        <f ca="1">_xll.BDH($C$303,"RETURN_ON_CAP","FQ3 2017","FQ3 2017","Currency=INR","Period=FQ","BEST_FPERIOD_OVERRIDE=FQ","FILING_STATUS=OR","EQY_CONSOLIDATED=Y","FA_ADJUSTED=GAAP","Sort=A","Dates=H","DateFormat=P","Fill=—","Direction=H","UseDPDF=Y")</f>
        <v>#NAME?</v>
      </c>
      <c r="I321" t="e">
        <f ca="1">_xll.BDH($C$303,"RETURN_ON_INV_CAPITAL","FQ3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21" t="e">
        <f ca="1">_xll.BDH($C$303,"EBITDA_TO_REVENUE","FQ3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21" t="e">
        <f ca="1">_xll.BDH($C$303,"OPER_MARGIN","FQ3 2017","FQ3 2017","Currency=INR","Period=FQ","BEST_FPERIOD_OVERRIDE=FQ","FILING_STATUS=OR","EQY_CONSOLIDATED=Y","FA_ADJUSTED=GAAP","Sort=A","Dates=H","DateFormat=P","Fill=—","Direction=H","UseDPDF=Y")</f>
        <v>#NAME?</v>
      </c>
      <c r="L321" t="e">
        <f ca="1">_xll.BDH($C$303,"INCREMENTAL_OPERATING_MARGIN","FQ3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21" t="e">
        <f ca="1">_xll.BDH($C$303,"PRETAX_INC_TO_NET_SALES","FQ3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21" t="e">
        <f ca="1">_xll.BDH($C$303,"INC_BEF_XO_ITEMS_TO_NET_SALES","FQ3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21" t="e">
        <f ca="1">_xll.BDH($C$303,"PROF_MARGIN","FQ3 2017","FQ3 2017","Currency=INR","Period=FQ","BEST_FPERIOD_OVERRIDE=FQ","FILING_STATUS=OR","EQY_CONSOLIDATED=Y","FA_ADJUSTED=GAAP","Sort=A","Dates=H","DateFormat=P","Fill=—","Direction=H","UseDPDF=Y")</f>
        <v>#NAME?</v>
      </c>
      <c r="P321" t="e">
        <f ca="1">_xll.BDH($C$303,"NET_INCOME_TO_COMMON_MARGIN","FQ3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21" t="e">
        <f ca="1">_xll.BDH($C$303,"EFF_TAX_RATE","FQ3 2017","FQ3 2017","Currency=INR","Period=FQ","BEST_FPERIOD_OVERRIDE=FQ","FILING_STATUS=OR","EQY_CONSOLIDATED=Y","FA_ADJUSTED=GAAP","Sort=A","Dates=H","DateFormat=P","Fill=—","Direction=H","UseDPDF=Y")</f>
        <v>#NAME?</v>
      </c>
      <c r="R321" t="e">
        <f ca="1">_xll.BDH($C$303,"DVD_PAYOUT_RATIO","FQ3 2017","FQ3 2017","Currency=INR","Period=FQ","BEST_FPERIOD_OVERRIDE=FQ","FILING_STATUS=OR","EQY_CONSOLIDATED=Y","FA_ADJUSTED=GAAP","Sort=A","Dates=H","DateFormat=P","Fill=—","Direction=H","UseDPDF=Y")</f>
        <v>#NAME?</v>
      </c>
      <c r="S321" t="e">
        <f ca="1">_xll.BDH($C$303,"SUSTAIN_GROWTH_RT","FQ3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21" s="2" t="e">
        <f ca="1">_xll.BDH($C$303,"SALES_GROWTH","FQ3 2017","FQ3 2017","Currency=INR","Period=FQ","BEST_FPERIOD_OVERRIDE=FQ","FILING_STATUS=OR","EQY_CONSOLIDATED=Y","FA_ADJUSTED=GAAP","Sort=A","Dates=H","DateFormat=P","Fill=—","Direction=H","UseDPDF=Y")</f>
        <v>#NAME?</v>
      </c>
      <c r="U321" s="2" t="e">
        <f ca="1">_xll.BDH($C$303,"EBITDA_GROWTH","FQ3 2017","FQ3 2017","Currency=INR","Period=FQ","BEST_FPERIOD_OVERRIDE=FQ","FILING_STATUS=OR","EQY_CONSOLIDATED=Y","FA_ADJUSTED=GAAP","Sort=A","Dates=H","DateFormat=P","Fill=—","Direction=H","UseDPDF=Y")</f>
        <v>#NAME?</v>
      </c>
      <c r="V321" s="2" t="e">
        <f ca="1">_xll.BDH($C$303,"OPER_INC_GROWTH","FQ3 2017","FQ3 2017","Currency=INR","Period=FQ","BEST_FPERIOD_OVERRIDE=FQ","FILING_STATUS=OR","EQY_CONSOLIDATED=Y","FA_ADJUSTED=GAAP","Sort=A","Dates=H","DateFormat=P","Fill=—","Direction=H","UseDPDF=Y")</f>
        <v>#NAME?</v>
      </c>
      <c r="W321" s="2" t="e">
        <f ca="1">_xll.BDH($C$303,"EARN_FOR_COM_GROWTH","FQ3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21" s="2" t="e">
        <f ca="1">_xll.BDH($C$303,"DILUTED_EPS_AFT_XO_ITEMS_GROWTH","FQ3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21" s="2" t="e">
        <f ca="1">_xll.BDH($C$303,"DIVIDEND_PER_SHARE_1_YEAR_GROWTH","FQ3 2017","FQ3 2017","Currency=INR","Period=FQ","BEST_FPERIOD_OVERRIDE=FQ","FILING_STATUS=OR","EQY_CONSOLIDATED=Y","Sort=A","Dates=H","DateFormat=P","Fill=—","Direction=H","UseDPDF=Y")</f>
        <v>#NAME?</v>
      </c>
      <c r="Z321" s="2" t="e">
        <f ca="1">_xll.BDH($C$303,"ACCOUNTS_RECEIVABLE_GROWTH","FQ3 2017","FQ3 2017","Currency=INR","Period=FQ","BEST_FPERIOD_OVERRIDE=FQ","FILING_STATUS=OR","EQY_CONSOLIDATED=Y","Sort=A","Dates=H","DateFormat=P","Fill=—","Direction=H","UseDPDF=Y")</f>
        <v>#NAME?</v>
      </c>
      <c r="AA321" s="2" t="e">
        <f ca="1">_xll.BDH($C$303,"INVENTORY_GROWTH","FQ3 2017","FQ3 2017","Currency=INR","Period=FQ","BEST_FPERIOD_OVERRIDE=FQ","FILING_STATUS=OR","EQY_CONSOLIDATED=Y","Sort=A","Dates=H","DateFormat=P","Fill=—","Direction=H","UseDPDF=Y")</f>
        <v>#NAME?</v>
      </c>
      <c r="AB321" s="2" t="e">
        <f ca="1">_xll.BDH($C$303,"NET_FIXED_ASSETS_1_YEAR_GROWTH","FQ3 2017","FQ3 2017","Currency=INR","Period=FQ","BEST_FPERIOD_OVERRIDE=FQ","FILING_STATUS=OR","EQY_CONSOLIDATED=Y","Sort=A","Dates=H","DateFormat=P","Fill=—","Direction=H","UseDPDF=Y")</f>
        <v>#NAME?</v>
      </c>
      <c r="AC321" s="2" t="e">
        <f ca="1">_xll.BDH($C$303,"ASSET_GROWTH","FQ3 2017","FQ3 2017","Currency=INR","Period=FQ","BEST_FPERIOD_OVERRIDE=FQ","FILING_STATUS=OR","EQY_CONSOLIDATED=Y","Sort=A","Dates=H","DateFormat=P","Fill=—","Direction=H","UseDPDF=Y")</f>
        <v>#NAME?</v>
      </c>
      <c r="AD321" s="2" t="e">
        <f ca="1">_xll.BDH($C$303,"MODIFIED_WORK_CAP_GROWTH","FQ3 2017","FQ3 2017","Currency=INR","Period=FQ","BEST_FPERIOD_OVERRIDE=FQ","FILING_STATUS=OR","EQY_CONSOLIDATED=Y","Sort=A","Dates=H","DateFormat=P","Fill=—","Direction=H","UseDPDF=Y")</f>
        <v>#NAME?</v>
      </c>
      <c r="AE321" s="2" t="e">
        <f ca="1">_xll.BDH($C$303,"WORK_CAP_GROWTH","FQ3 2017","FQ3 2017","Currency=INR","Period=FQ","BEST_FPERIOD_OVERRIDE=FQ","FILING_STATUS=OR","EQY_CONSOLIDATED=Y","Sort=A","Dates=H","DateFormat=P","Fill=—","Direction=H","UseDPDF=Y")</f>
        <v>#NAME?</v>
      </c>
      <c r="AF321" s="2" t="e">
        <f ca="1">_xll.BDH($C$303,"ACCOUNTS_PAYABLE_GROWTH_1YR","FQ3 2017","FQ3 2017","Currency=INR","Period=FQ","BEST_FPERIOD_OVERRIDE=FQ","FILING_STATUS=OR","EQY_CONSOLIDATED=Y","Sort=A","Dates=H","DateFormat=P","Fill=—","Direction=H","UseDPDF=Y")</f>
        <v>#NAME?</v>
      </c>
      <c r="AG321" s="2" t="e">
        <f ca="1">_xll.BDH($C$303,"SHORT_TERM_DEBT_1_YEAR_GROWTH","FQ3 2017","FQ3 2017","Currency=INR","Period=FQ","BEST_FPERIOD_OVERRIDE=FQ","FILING_STATUS=OR","EQY_CONSOLIDATED=Y","Sort=A","Dates=H","DateFormat=P","Fill=—","Direction=H","UseDPDF=Y")</f>
        <v>#NAME?</v>
      </c>
      <c r="AH321" s="2" t="e">
        <f ca="1">_xll.BDH($C$303,"TOTAL_DEBT_1_YEAR_GROWTH","FQ3 2017","FQ3 2017","Currency=INR","Period=FQ","BEST_FPERIOD_OVERRIDE=FQ","FILING_STATUS=OR","EQY_CONSOLIDATED=Y","Sort=A","Dates=H","DateFormat=P","Fill=—","Direction=H","UseDPDF=Y")</f>
        <v>#NAME?</v>
      </c>
      <c r="AI321" s="2" t="e">
        <f ca="1">_xll.BDH($C$303,"TOTAL_EQUITY_1_YEAR_GROWTH","FQ3 2017","FQ3 2017","Currency=INR","Period=FQ","BEST_FPERIOD_OVERRIDE=FQ","FILING_STATUS=OR","EQY_CONSOLIDATED=Y","Sort=A","Dates=H","DateFormat=P","Fill=—","Direction=H","UseDPDF=Y")</f>
        <v>#NAME?</v>
      </c>
      <c r="AJ321" s="2" t="e">
        <f ca="1">_xll.BDH($C$303,"GROWTH_IN_CAP","FQ3 2017","FQ3 2017","Currency=INR","Period=FQ","BEST_FPERIOD_OVERRIDE=FQ","FILING_STATUS=OR","EQY_CONSOLIDATED=Y","Sort=A","Dates=H","DateFormat=P","Fill=—","Direction=H","UseDPDF=Y")</f>
        <v>#NAME?</v>
      </c>
      <c r="AK321" s="2" t="e">
        <f ca="1">_xll.BDH($C$303,"BVPS_GROWTH","FQ3 2017","FQ3 2017","Currency=INR","Period=FQ","BEST_FPERIOD_OVERRIDE=FQ","FILING_STATUS=OR","EQY_CONSOLIDATED=Y","Sort=A","Dates=H","DateFormat=P","Fill=—","Direction=H","UseDPDF=Y")</f>
        <v>#NAME?</v>
      </c>
      <c r="AL321" s="2" t="e">
        <f ca="1">_xll.BDH($C$303,"CASH_FLOW_GROWTH","FQ3 2017","FQ3 2017","Currency=INR","Period=FQ","BEST_FPERIOD_OVERRIDE=FQ","FILING_STATUS=OR","EQY_CONSOLIDATED=Y","Sort=A","Dates=H","DateFormat=P","Fill=—","Direction=H","UseDPDF=Y")</f>
        <v>#NAME?</v>
      </c>
      <c r="AM321" s="2" t="e">
        <f ca="1">_xll.BDH($C$303,"GEO_GROW_NET_SALES","FQ3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21" s="2" t="e">
        <f ca="1">_xll.BDH($C$303,"GEO_GROW_EBITDA","FQ3 2017","FQ3 2017","Currency=INR","Period=FQ","BEST_FPERIOD_OVERRIDE=FQ","FILING_STATUS=OR","EQY_CONSOLIDATED=Y","FA_ADJUSTED=GAAP","Sort=A","Dates=H","DateFormat=P","Fill=—","Direction=H","UseDPDF=Y")</f>
        <v>#NAME?</v>
      </c>
      <c r="AO321" s="2" t="e">
        <f ca="1">_xll.BDH($C$303,"GEO_GROW_OPER_INC","FQ3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21" s="2" t="e">
        <f ca="1">_xll.BDH($C$303,"NET_INCOME_TO_COMMON_5_YR_GROWTH","FQ3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21" s="2" t="e">
        <f ca="1">_xll.BDH($C$303,"5Y_GEO_GROWTH_DILUTED_EPS","FQ3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21" s="2" t="e">
        <f ca="1">_xll.BDH($C$303,"GEO_GROW_DVD_PER_SH","FQ3 2017","FQ3 2017","Currency=INR","Period=FQ","BEST_FPERIOD_OVERRIDE=FQ","FILING_STATUS=OR","EQY_CONSOLIDATED=Y","Sort=A","Dates=H","DateFormat=P","Fill=—","Direction=H","UseDPDF=Y")</f>
        <v>#NAME?</v>
      </c>
      <c r="AS321" s="2" t="e">
        <f ca="1">_xll.BDH($C$303,"ACCOUNTS_RECEIVABLE_5_YR_GROWTH","FQ3 2017","FQ3 2017","Currency=INR","Period=FQ","BEST_FPERIOD_OVERRIDE=FQ","FILING_STATUS=OR","EQY_CONSOLIDATED=Y","Sort=A","Dates=H","DateFormat=P","Fill=—","Direction=H","UseDPDF=Y")</f>
        <v>#NAME?</v>
      </c>
      <c r="AT321" s="2" t="e">
        <f ca="1">_xll.BDH($C$303,"INVENTORY_5_YEAR_GROWTH","FQ3 2017","FQ3 2017","Currency=INR","Period=FQ","BEST_FPERIOD_OVERRIDE=FQ","FILING_STATUS=OR","EQY_CONSOLIDATED=Y","Sort=A","Dates=H","DateFormat=P","Fill=—","Direction=H","UseDPDF=Y")</f>
        <v>#NAME?</v>
      </c>
      <c r="AU321" s="2" t="e">
        <f ca="1">_xll.BDH($C$303,"NET_FIXED_ASSETS_5_YEAR_GROWTH","FQ3 2017","FQ3 2017","Currency=INR","Period=FQ","BEST_FPERIOD_OVERRIDE=FQ","FILING_STATUS=OR","EQY_CONSOLIDATED=Y","Sort=A","Dates=H","DateFormat=P","Fill=—","Direction=H","UseDPDF=Y")</f>
        <v>#NAME?</v>
      </c>
      <c r="AV321" s="2" t="e">
        <f ca="1">_xll.BDH($C$303,"GEO_GROW_TOT_ASSET","FQ3 2017","FQ3 2017","Currency=INR","Period=FQ","BEST_FPERIOD_OVERRIDE=FQ","FILING_STATUS=OR","EQY_CONSOLIDATED=Y","Sort=A","Dates=H","DateFormat=P","Fill=—","Direction=H","UseDPDF=Y")</f>
        <v>#NAME?</v>
      </c>
      <c r="AW321" s="2" t="e">
        <f ca="1">_xll.BDH($C$303,"MODIFIED_WORKING_CPTL_5YR_GRWTH","FQ3 2017","FQ3 2017","Currency=INR","Period=FQ","BEST_FPERIOD_OVERRIDE=FQ","FILING_STATUS=OR","EQY_CONSOLIDATED=Y","Sort=A","Dates=H","DateFormat=P","Fill=—","Direction=H","UseDPDF=Y")</f>
        <v>#NAME?</v>
      </c>
      <c r="AX321" s="2" t="e">
        <f ca="1">_xll.BDH($C$303,"WORKING_CAPITAL_5_YEAR_GROWTH","FQ3 2017","FQ3 2017","Currency=INR","Period=FQ","BEST_FPERIOD_OVERRIDE=FQ","FILING_STATUS=OR","EQY_CONSOLIDATED=Y","Sort=A","Dates=H","DateFormat=P","Fill=—","Direction=H","UseDPDF=Y")</f>
        <v>#NAME?</v>
      </c>
      <c r="AY321" s="2" t="e">
        <f ca="1">_xll.BDH($C$303,"ACCOUNTS_PAYABLE_5_YEAR_GROWTH","FQ3 2017","FQ3 2017","Currency=INR","Period=FQ","BEST_FPERIOD_OVERRIDE=FQ","FILING_STATUS=OR","EQY_CONSOLIDATED=Y","Sort=A","Dates=H","DateFormat=P","Fill=—","Direction=H","UseDPDF=Y")</f>
        <v>#NAME?</v>
      </c>
      <c r="AZ321" s="2" t="e">
        <f ca="1">_xll.BDH($C$303,"SHORT_TERM_DEBT_5_YEAR_GROWTH","FQ3 2017","FQ3 2017","Currency=INR","Period=FQ","BEST_FPERIOD_OVERRIDE=FQ","FILING_STATUS=OR","EQY_CONSOLIDATED=Y","Sort=A","Dates=H","DateFormat=P","Fill=—","Direction=H","UseDPDF=Y")</f>
        <v>#NAME?</v>
      </c>
      <c r="BA321" s="2" t="e">
        <f ca="1">_xll.BDH($C$303,"TOTAL_DEBT_5_YEAR_GROWTH","FQ3 2017","FQ3 2017","Currency=INR","Period=FQ","BEST_FPERIOD_OVERRIDE=FQ","FILING_STATUS=OR","EQY_CONSOLIDATED=Y","Sort=A","Dates=H","DateFormat=P","Fill=—","Direction=H","UseDPDF=Y")</f>
        <v>#NAME?</v>
      </c>
      <c r="BB321" s="2" t="e">
        <f ca="1">_xll.BDH($C$303,"GEO_GROW_TOT_SHRHLDR_EQY","FQ3 2017","FQ3 2017","Currency=INR","Period=FQ","BEST_FPERIOD_OVERRIDE=FQ","FILING_STATUS=OR","EQY_CONSOLIDATED=Y","Sort=A","Dates=H","DateFormat=P","Fill=—","Direction=H","UseDPDF=Y")</f>
        <v>#NAME?</v>
      </c>
      <c r="BC321" s="2" t="e">
        <f ca="1">_xll.BDH($C$303,"TOTAL_CAPITAL_5_YEAR_GROWTH","FQ3 2017","FQ3 2017","Currency=INR","Period=FQ","BEST_FPERIOD_OVERRIDE=FQ","FILING_STATUS=OR","EQY_CONSOLIDATED=Y","Sort=A","Dates=H","DateFormat=P","Fill=—","Direction=H","UseDPDF=Y")</f>
        <v>#NAME?</v>
      </c>
      <c r="BD321" s="2" t="e">
        <f ca="1">_xll.BDH($C$303,"GEO_GROW_BOOK_VAL","FQ3 2017","FQ3 2017","Currency=INR","Period=FQ","BEST_FPERIOD_OVERRIDE=FQ","FILING_STATUS=OR","EQY_CONSOLIDATED=Y","Sort=A","Dates=H","DateFormat=P","Fill=—","Direction=H","UseDPDF=Y")</f>
        <v>#NAME?</v>
      </c>
      <c r="BE321" s="2" t="e">
        <f ca="1">_xll.BDH($C$303,"GEO_GROW_CASH_OPER_ACT","FQ3 2017","FQ3 2017","Currency=INR","Period=FQ","BEST_FPERIOD_OVERRIDE=FQ","FILING_STATUS=OR","EQY_CONSOLIDATED=Y","Sort=A","Dates=H","DateFormat=P","Fill=—","Direction=H","UseDPDF=Y")</f>
        <v>#NAME?</v>
      </c>
      <c r="BF321" s="2" t="e">
        <f ca="1">_xll.BDH($C$303,"REVENUE_SEQUENTIAL_GROWTH","FQ3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21" s="2" t="e">
        <f ca="1">_xll.BDH($C$303,"EBITDA_SEQUENTIAL_GROWTH","FQ3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21" s="2" t="e">
        <f ca="1">_xll.BDH($C$303,"OPERATING_INCOME_SEQ_GROWTH","FQ3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21" s="2" t="e">
        <f ca="1">_xll.BDH($C$303,"NET_INCOME_TO_COMMON_SEQ_GROWTH","FQ3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21" s="2" t="e">
        <f ca="1">_xll.BDH($C$303,"EPS_DILUTED_SEQUENTIAL_GROWTH","FQ3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21" s="2" t="e">
        <f ca="1">_xll.BDH($C$303,"DPS_SEQUENTIAL_GROWTH","FQ3 2017","FQ3 2017","Currency=INR","Period=FQ","BEST_FPERIOD_OVERRIDE=FQ","FILING_STATUS=OR","EQY_CONSOLIDATED=Y","Sort=A","Dates=H","DateFormat=P","Fill=—","Direction=H","UseDPDF=Y")</f>
        <v>#NAME?</v>
      </c>
      <c r="BL321" s="2" t="e">
        <f ca="1">_xll.BDH($C$303,"ACCOUNTS_RECEIVABLE_SEQ_GROWTH","FQ3 2017","FQ3 2017","Currency=INR","Period=FQ","BEST_FPERIOD_OVERRIDE=FQ","FILING_STATUS=OR","EQY_CONSOLIDATED=Y","Sort=A","Dates=H","DateFormat=P","Fill=—","Direction=H","UseDPDF=Y")</f>
        <v>#NAME?</v>
      </c>
      <c r="BM321" s="2" t="e">
        <f ca="1">_xll.BDH($C$303,"INVENTORY_SEQUENTIAL_GROWTH","FQ3 2017","FQ3 2017","Currency=INR","Period=FQ","BEST_FPERIOD_OVERRIDE=FQ","FILING_STATUS=OR","EQY_CONSOLIDATED=Y","Sort=A","Dates=H","DateFormat=P","Fill=—","Direction=H","UseDPDF=Y")</f>
        <v>#NAME?</v>
      </c>
      <c r="BN321" s="2" t="e">
        <f ca="1">_xll.BDH($C$303,"FIXED_ASSETS_SEQUENTIAL_GROWTH","FQ3 2017","FQ3 2017","Currency=INR","Period=FQ","BEST_FPERIOD_OVERRIDE=FQ","FILING_STATUS=OR","EQY_CONSOLIDATED=Y","Sort=A","Dates=H","DateFormat=P","Fill=—","Direction=H","UseDPDF=Y")</f>
        <v>#NAME?</v>
      </c>
      <c r="BO321" s="2" t="e">
        <f ca="1">_xll.BDH($C$303,"TOTAL_ASSETS_SEQUENTIAL_GROWTH","FQ3 2017","FQ3 2017","Currency=INR","Period=FQ","BEST_FPERIOD_OVERRIDE=FQ","FILING_STATUS=OR","EQY_CONSOLIDATED=Y","Sort=A","Dates=H","DateFormat=P","Fill=—","Direction=H","UseDPDF=Y")</f>
        <v>#NAME?</v>
      </c>
      <c r="BP321" s="2" t="e">
        <f ca="1">_xll.BDH($C$303,"MODIFIED_WORKING_CPTL_SEQ_GRWTH","FQ3 2017","FQ3 2017","Currency=INR","Period=FQ","BEST_FPERIOD_OVERRIDE=FQ","FILING_STATUS=OR","EQY_CONSOLIDATED=Y","Sort=A","Dates=H","DateFormat=P","Fill=—","Direction=H","UseDPDF=Y")</f>
        <v>#NAME?</v>
      </c>
      <c r="BQ321" s="2" t="e">
        <f ca="1">_xll.BDH($C$303,"WORKING_CAPITAL_SEQ_GROWTH","FQ3 2017","FQ3 2017","Currency=INR","Period=FQ","BEST_FPERIOD_OVERRIDE=FQ","FILING_STATUS=OR","EQY_CONSOLIDATED=Y","Sort=A","Dates=H","DateFormat=P","Fill=—","Direction=H","UseDPDF=Y")</f>
        <v>#NAME?</v>
      </c>
      <c r="BR321" s="2" t="e">
        <f ca="1">_xll.BDH($C$303,"ACCOUNTS_PAYABLE_SEQ_GROWTH","FQ3 2017","FQ3 2017","Currency=INR","Period=FQ","BEST_FPERIOD_OVERRIDE=FQ","FILING_STATUS=OR","EQY_CONSOLIDATED=Y","Sort=A","Dates=H","DateFormat=P","Fill=—","Direction=H","UseDPDF=Y")</f>
        <v>#NAME?</v>
      </c>
      <c r="BS321" s="2" t="e">
        <f ca="1">_xll.BDH($C$303,"ST_DEBT_SEQUENTIAL_GROWTH","FQ3 2017","FQ3 2017","Currency=INR","Period=FQ","BEST_FPERIOD_OVERRIDE=FQ","FILING_STATUS=OR","EQY_CONSOLIDATED=Y","Sort=A","Dates=H","DateFormat=P","Fill=—","Direction=H","UseDPDF=Y")</f>
        <v>#NAME?</v>
      </c>
      <c r="BT321" s="2" t="e">
        <f ca="1">_xll.BDH($C$303,"TOTAL_DEBT_SEQUENTIAL_GROWTH","FQ3 2017","FQ3 2017","Currency=INR","Period=FQ","BEST_FPERIOD_OVERRIDE=FQ","FILING_STATUS=OR","EQY_CONSOLIDATED=Y","Sort=A","Dates=H","DateFormat=P","Fill=—","Direction=H","UseDPDF=Y")</f>
        <v>#NAME?</v>
      </c>
      <c r="BU321" s="2" t="e">
        <f ca="1">_xll.BDH($C$303,"TOTAL_EQUITY_SEQUENTIAL_GROWTH","FQ3 2017","FQ3 2017","Currency=INR","Period=FQ","BEST_FPERIOD_OVERRIDE=FQ","FILING_STATUS=OR","EQY_CONSOLIDATED=Y","Sort=A","Dates=H","DateFormat=P","Fill=—","Direction=H","UseDPDF=Y")</f>
        <v>#NAME?</v>
      </c>
      <c r="BV321" s="2" t="e">
        <f ca="1">_xll.BDH($C$303,"TOTAL_CAPITAL_SEQUENTIAL_GROWTH","FQ3 2017","FQ3 2017","Currency=INR","Period=FQ","BEST_FPERIOD_OVERRIDE=FQ","FILING_STATUS=OR","EQY_CONSOLIDATED=Y","Sort=A","Dates=H","DateFormat=P","Fill=—","Direction=H","UseDPDF=Y")</f>
        <v>#NAME?</v>
      </c>
      <c r="BW321" s="2" t="e">
        <f ca="1">_xll.BDH($C$303,"BPS_SEQUENTIAL_GROWTH","FQ3 2017","FQ3 2017","Currency=INR","Period=FQ","BEST_FPERIOD_OVERRIDE=FQ","FILING_STATUS=OR","EQY_CONSOLIDATED=Y","Sort=A","Dates=H","DateFormat=P","Fill=—","Direction=H","UseDPDF=Y")</f>
        <v>#NAME?</v>
      </c>
      <c r="BX321" s="2" t="e">
        <f ca="1">_xll.BDH($C$303,"CFO_SEQUENTIAL_GROWTH","FQ3 2017","FQ3 2017","Currency=INR","Period=FQ","BEST_FPERIOD_OVERRIDE=FQ","FILING_STATUS=OR","EQY_CONSOLIDATED=Y","Sort=A","Dates=H","DateFormat=P","Fill=—","Direction=H","UseDPDF=Y")</f>
        <v>#NAME?</v>
      </c>
      <c r="BY321" s="3" t="e">
        <f ca="1">_xll.BDH($C$303,"SHORT_AND_LONG_TERM_DEBT","FQ3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21" s="3" t="e">
        <f ca="1">_xll.BDH($C$303,"BS_ST_BORROW","FQ3 2017","FQ3 2017","Currency=INR","Period=FQ","BEST_FPERIOD_OVERRIDE=FQ","FILING_STATUS=OR","EQY_CONSOLIDATED=Y","SCALING_FORMAT=MLN","Sort=A","Dates=H","DateFormat=P","Fill=—","Direction=H","UseDPDF=Y")</f>
        <v>#NAME?</v>
      </c>
      <c r="CA321" s="3" t="e">
        <f ca="1">_xll.BDH($C$303,"BS_LT_BORROW","FQ3 2017","FQ3 2017","Currency=INR","Period=FQ","BEST_FPERIOD_OVERRIDE=FQ","FILING_STATUS=OR","EQY_CONSOLIDATED=Y","SCALING_FORMAT=MLN","Sort=A","Dates=H","DateFormat=P","Fill=—","Direction=H","UseDPDF=Y")</f>
        <v>#NAME?</v>
      </c>
      <c r="CB321" s="2" t="e">
        <f ca="1">_xll.BDH($C$303,"TOT_DEBT_TO_EBITDA","FQ3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21" s="2" t="e">
        <f ca="1">_xll.BDH($C$303,"NET_DEBT_TO_EBITDA","FQ3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21" s="2" t="e">
        <f ca="1">_xll.BDH($C$303,"TOTAL_DEBT_TO_EBIT","FQ3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21" s="2" t="e">
        <f ca="1">_xll.BDH($C$303,"NET_DEBT_TO_EBIT","FQ3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21" s="2" t="e">
        <f ca="1">_xll.BDH($C$303,"EBITDA_TO_INTEREST_EXPN","FQ3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21" s="2" t="e">
        <f ca="1">_xll.BDH($C$303,"COM_EQY_TO_TOT_ASSET","FQ3 2017","FQ3 2017","Currency=INR","Period=FQ","BEST_FPERIOD_OVERRIDE=FQ","FILING_STATUS=OR","EQY_CONSOLIDATED=Y","Sort=A","Dates=H","DateFormat=P","Fill=—","Direction=H","UseDPDF=Y")</f>
        <v>#NAME?</v>
      </c>
      <c r="CH321" s="2" t="e">
        <f ca="1">_xll.BDH($C$303,"LT_DEBT_TO_TOT_EQY","FQ3 2017","FQ3 2017","Currency=INR","Period=FQ","BEST_FPERIOD_OVERRIDE=FQ","FILING_STATUS=OR","EQY_CONSOLIDATED=Y","Sort=A","Dates=H","DateFormat=P","Fill=—","Direction=H","UseDPDF=Y")</f>
        <v>#NAME?</v>
      </c>
      <c r="CI321" s="2" t="e">
        <f ca="1">_xll.BDH($C$303,"LT_DEBT_TO_TOT_CAP","FQ3 2017","FQ3 2017","Currency=INR","Period=FQ","BEST_FPERIOD_OVERRIDE=FQ","FILING_STATUS=OR","EQY_CONSOLIDATED=Y","Sort=A","Dates=H","DateFormat=P","Fill=—","Direction=H","UseDPDF=Y")</f>
        <v>#NAME?</v>
      </c>
      <c r="CJ321" s="2" t="e">
        <f ca="1">_xll.BDH($C$303,"LT_DEBT_TO_TOT_ASSET","FQ3 2017","FQ3 2017","Currency=INR","Period=FQ","BEST_FPERIOD_OVERRIDE=FQ","FILING_STATUS=OR","EQY_CONSOLIDATED=Y","Sort=A","Dates=H","DateFormat=P","Fill=—","Direction=H","UseDPDF=Y")</f>
        <v>#NAME?</v>
      </c>
      <c r="CK321" s="2" t="e">
        <f ca="1">_xll.BDH($C$303,"TOT_DEBT_TO_TOT_EQY","FQ3 2017","FQ3 2017","Currency=INR","Period=FQ","BEST_FPERIOD_OVERRIDE=FQ","FILING_STATUS=OR","EQY_CONSOLIDATED=Y","Sort=A","Dates=H","DateFormat=P","Fill=—","Direction=H","UseDPDF=Y")</f>
        <v>#NAME?</v>
      </c>
      <c r="CL321" s="2" t="e">
        <f ca="1">_xll.BDH($C$303,"TOT_DEBT_TO_TOT_CAP","FQ3 2017","FQ3 2017","Currency=INR","Period=FQ","BEST_FPERIOD_OVERRIDE=FQ","FILING_STATUS=OR","EQY_CONSOLIDATED=Y","Sort=A","Dates=H","DateFormat=P","Fill=—","Direction=H","UseDPDF=Y")</f>
        <v>#NAME?</v>
      </c>
      <c r="CM321" s="2" t="e">
        <f ca="1">_xll.BDH($C$303,"TOT_DEBT_TO_TOT_ASSET","FQ3 2017","FQ3 2017","Currency=INR","Period=FQ","BEST_FPERIOD_OVERRIDE=FQ","FILING_STATUS=OR","EQY_CONSOLIDATED=Y","Sort=A","Dates=H","DateFormat=P","Fill=—","Direction=H","UseDPDF=Y")</f>
        <v>#NAME?</v>
      </c>
      <c r="CN321" s="2" t="e">
        <f ca="1">_xll.BDH($C$303,"NET_DEBT_TO_SHRHLDR_EQTY","FQ3 2017","FQ3 2017","Currency=INR","Period=FQ","BEST_FPERIOD_OVERRIDE=FQ","FILING_STATUS=OR","EQY_CONSOLIDATED=Y","Sort=A","Dates=H","DateFormat=P","Fill=—","Direction=H","UseDPDF=Y")</f>
        <v>#NAME?</v>
      </c>
      <c r="CO321" s="2" t="e">
        <f ca="1">_xll.BDH($C$303,"NET_DEBT_%_CAPITAL","FQ3 2017","FQ3 2017","Currency=INR","Period=FQ","BEST_FPERIOD_OVERRIDE=FQ","FILING_STATUS=OR","EQY_CONSOLIDATED=Y","Sort=A","Dates=H","DateFormat=P","Fill=—","Direction=H","UseDPDF=Y")</f>
        <v>#NAME?</v>
      </c>
      <c r="CP321" s="3" t="e">
        <f ca="1">_xll.BDH($C$303,"EBITDA","FQ3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21" s="3" t="e">
        <f ca="1">_xll.BDH($C$303,"EBITDA_AFTER_CAPEX","FQ3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21" s="3" t="e">
        <f ca="1">_xll.BDH($C$303,"IS_OPER_INC","FQ3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21" s="2" t="e">
        <f ca="1">_xll.BDH($C$303,"CASH_RATIO","FQ3 2017","FQ3 2017","Currency=INR","Period=FQ","BEST_FPERIOD_OVERRIDE=FQ","FILING_STATUS=OR","EQY_CONSOLIDATED=Y","Sort=A","Dates=H","DateFormat=P","Fill=—","Direction=H","UseDPDF=Y")</f>
        <v>#NAME?</v>
      </c>
      <c r="CT321" s="2" t="e">
        <f ca="1">_xll.BDH($C$303,"CUR_RATIO","FQ3 2017","FQ3 2017","Currency=INR","Period=FQ","BEST_FPERIOD_OVERRIDE=FQ","FILING_STATUS=OR","EQY_CONSOLIDATED=Y","Sort=A","Dates=H","DateFormat=P","Fill=—","Direction=H","UseDPDF=Y")</f>
        <v>#NAME?</v>
      </c>
      <c r="CU321" s="2" t="e">
        <f ca="1">_xll.BDH($C$303,"QUICK_RATIO","FQ3 2017","FQ3 2017","Currency=INR","Period=FQ","BEST_FPERIOD_OVERRIDE=FQ","FILING_STATUS=OR","EQY_CONSOLIDATED=Y","Sort=A","Dates=H","DateFormat=P","Fill=—","Direction=H","UseDPDF=Y")</f>
        <v>#NAME?</v>
      </c>
      <c r="CV321" s="2" t="e">
        <f ca="1">_xll.BDH($C$303,"ALTMAN_Z_SCORE","FQ3 2017","FQ3 2017","Currency=INR","Period=FQ","BEST_FPERIOD_OVERRIDE=FQ","FILING_STATUS=OR","EQY_CONSOLIDATED=Y","Sort=A","Dates=H","DateFormat=P","Fill=—","Direction=H","UseDPDF=Y")</f>
        <v>#NAME?</v>
      </c>
      <c r="CW321" s="4" t="e">
        <f ca="1">_xll.BDH($C$303,"ACCT_RCV_TURN","FQ3 2017","FQ3 2017","Currency=INR","Period=FQ","BEST_FPERIOD_OVERRIDE=FQ","FILING_STATUS=OR","EQY_CONSOLIDATED=Y","FA_ADJUSTED=GAAP","Sort=A","Dates=H","DateFormat=P","Fill=—","Direction=H","UseDPDF=Y")</f>
        <v>#NAME?</v>
      </c>
      <c r="CX321" s="2" t="e">
        <f ca="1">_xll.BDH($C$303,"ACCT_RCV_DAYS","FQ3 2017","FQ3 2017","Currency=INR","Period=FQ","BEST_FPERIOD_OVERRIDE=FQ","FILING_STATUS=OR","EQY_CONSOLIDATED=Y","FA_ADJUSTED=GAAP","Sort=A","Dates=H","DateFormat=P","Fill=—","Direction=H","UseDPDF=Y")</f>
        <v>#NAME?</v>
      </c>
      <c r="CY321" s="4" t="e">
        <f ca="1">_xll.BDH($C$303,"INVENT_TURN","FQ3 2017","FQ3 2017","Currency=INR","Period=FQ","BEST_FPERIOD_OVERRIDE=FQ","FILING_STATUS=OR","EQY_CONSOLIDATED=Y","FA_ADJUSTED=GAAP","Sort=A","Dates=H","DateFormat=P","Fill=—","Direction=H","UseDPDF=Y")</f>
        <v>#NAME?</v>
      </c>
      <c r="CZ321" s="2" t="e">
        <f ca="1">_xll.BDH($C$303,"INVENT_DAYS","FQ3 2017","FQ3 2017","Currency=INR","Period=FQ","BEST_FPERIOD_OVERRIDE=FQ","FILING_STATUS=OR","EQY_CONSOLIDATED=Y","FA_ADJUSTED=GAAP","Sort=A","Dates=H","DateFormat=P","Fill=—","Direction=H","UseDPDF=Y")</f>
        <v>#NAME?</v>
      </c>
      <c r="DA321" s="4" t="e">
        <f ca="1">_xll.BDH($C$303,"ACCOUNTS_PAYABLE_TURNOVER","FQ3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21" s="2" t="e">
        <f ca="1">_xll.BDH($C$303,"ACCOUNTS_PAYABLE_TURNOVER_DAYS","FQ3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21" s="4" t="e">
        <f ca="1">_xll.BDH($C$303,"CASH_CONVERSION_CYCLE","FQ3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21" s="4" t="e">
        <f ca="1">_xll.BDH($C$303,"INV_TO_CASH_DAYS","FQ3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21" s="5" t="e">
        <f ca="1">_xll.BDH($C$303,"BS_INVENTORIES","FQ3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21" s="3" t="e">
        <f ca="1">_xll.BDH($C$303,"INVTRY_RAW_MATERIALS","FQ3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21" s="3" t="e">
        <f ca="1">_xll.BDH($C$303,"INVTRY_IN_PROGRESS","FQ3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21" s="3" t="e">
        <f ca="1">_xll.BDH($C$303,"INVTRY_FINISHED_GOODS","FQ3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21" s="3" t="e">
        <f ca="1">_xll.BDH($C$303,"BS_OTHER_INV","FQ3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22" spans="1:113" x14ac:dyDescent="0.3">
      <c r="A322" s="6"/>
      <c r="B322" s="6"/>
      <c r="C322" s="6"/>
      <c r="D322" s="6"/>
      <c r="E322" t="s">
        <v>81</v>
      </c>
      <c r="F322" t="e">
        <f ca="1">_xll.BDH($C$303,"RETURN_COM_EQY","FQ4 2017","FQ4 2017","Currency=INR","Period=FQ","BEST_FPERIOD_OVERRIDE=FQ","FILING_STATUS=OR","EQY_CONSOLIDATED=Y","FA_ADJUSTED=GAAP","Sort=A","Dates=H","DateFormat=P","Fill=—","Direction=H","UseDPDF=Y")</f>
        <v>#NAME?</v>
      </c>
      <c r="G322" t="e">
        <f ca="1">_xll.BDH($C$303,"RETURN_ON_ASSET","FQ4 2017","FQ4 2017","Currency=INR","Period=FQ","BEST_FPERIOD_OVERRIDE=FQ","FILING_STATUS=OR","EQY_CONSOLIDATED=Y","FA_ADJUSTED=GAAP","Sort=A","Dates=H","DateFormat=P","Fill=—","Direction=H","UseDPDF=Y")</f>
        <v>#NAME?</v>
      </c>
      <c r="H322" t="e">
        <f ca="1">_xll.BDH($C$303,"RETURN_ON_CAP","FQ4 2017","FQ4 2017","Currency=INR","Period=FQ","BEST_FPERIOD_OVERRIDE=FQ","FILING_STATUS=OR","EQY_CONSOLIDATED=Y","FA_ADJUSTED=GAAP","Sort=A","Dates=H","DateFormat=P","Fill=—","Direction=H","UseDPDF=Y")</f>
        <v>#NAME?</v>
      </c>
      <c r="I322" t="e">
        <f ca="1">_xll.BDH($C$303,"RETURN_ON_INV_CAPITAL","FQ4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22" t="e">
        <f ca="1">_xll.BDH($C$303,"EBITDA_TO_REVENUE","FQ4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22" t="e">
        <f ca="1">_xll.BDH($C$303,"OPER_MARGIN","FQ4 2017","FQ4 2017","Currency=INR","Period=FQ","BEST_FPERIOD_OVERRIDE=FQ","FILING_STATUS=OR","EQY_CONSOLIDATED=Y","FA_ADJUSTED=GAAP","Sort=A","Dates=H","DateFormat=P","Fill=—","Direction=H","UseDPDF=Y")</f>
        <v>#NAME?</v>
      </c>
      <c r="L322" t="e">
        <f ca="1">_xll.BDH($C$303,"INCREMENTAL_OPERATING_MARGIN","FQ4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22" t="e">
        <f ca="1">_xll.BDH($C$303,"PRETAX_INC_TO_NET_SALES","FQ4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22" t="e">
        <f ca="1">_xll.BDH($C$303,"INC_BEF_XO_ITEMS_TO_NET_SALES","FQ4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22" t="e">
        <f ca="1">_xll.BDH($C$303,"PROF_MARGIN","FQ4 2017","FQ4 2017","Currency=INR","Period=FQ","BEST_FPERIOD_OVERRIDE=FQ","FILING_STATUS=OR","EQY_CONSOLIDATED=Y","FA_ADJUSTED=GAAP","Sort=A","Dates=H","DateFormat=P","Fill=—","Direction=H","UseDPDF=Y")</f>
        <v>#NAME?</v>
      </c>
      <c r="P322" t="e">
        <f ca="1">_xll.BDH($C$303,"NET_INCOME_TO_COMMON_MARGIN","FQ4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22" t="e">
        <f ca="1">_xll.BDH($C$303,"EFF_TAX_RATE","FQ4 2017","FQ4 2017","Currency=INR","Period=FQ","BEST_FPERIOD_OVERRIDE=FQ","FILING_STATUS=OR","EQY_CONSOLIDATED=Y","FA_ADJUSTED=GAAP","Sort=A","Dates=H","DateFormat=P","Fill=—","Direction=H","UseDPDF=Y")</f>
        <v>#NAME?</v>
      </c>
      <c r="R322" t="e">
        <f ca="1">_xll.BDH($C$303,"DVD_PAYOUT_RATIO","FQ4 2017","FQ4 2017","Currency=INR","Period=FQ","BEST_FPERIOD_OVERRIDE=FQ","FILING_STATUS=OR","EQY_CONSOLIDATED=Y","FA_ADJUSTED=GAAP","Sort=A","Dates=H","DateFormat=P","Fill=—","Direction=H","UseDPDF=Y")</f>
        <v>#NAME?</v>
      </c>
      <c r="S322" t="e">
        <f ca="1">_xll.BDH($C$303,"SUSTAIN_GROWTH_RT","FQ4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22" s="2" t="e">
        <f ca="1">_xll.BDH($C$303,"SALES_GROWTH","FQ4 2017","FQ4 2017","Currency=INR","Period=FQ","BEST_FPERIOD_OVERRIDE=FQ","FILING_STATUS=OR","EQY_CONSOLIDATED=Y","FA_ADJUSTED=GAAP","Sort=A","Dates=H","DateFormat=P","Fill=—","Direction=H","UseDPDF=Y")</f>
        <v>#NAME?</v>
      </c>
      <c r="U322" s="2" t="e">
        <f ca="1">_xll.BDH($C$303,"EBITDA_GROWTH","FQ4 2017","FQ4 2017","Currency=INR","Period=FQ","BEST_FPERIOD_OVERRIDE=FQ","FILING_STATUS=OR","EQY_CONSOLIDATED=Y","FA_ADJUSTED=GAAP","Sort=A","Dates=H","DateFormat=P","Fill=—","Direction=H","UseDPDF=Y")</f>
        <v>#NAME?</v>
      </c>
      <c r="V322" s="2" t="e">
        <f ca="1">_xll.BDH($C$303,"OPER_INC_GROWTH","FQ4 2017","FQ4 2017","Currency=INR","Period=FQ","BEST_FPERIOD_OVERRIDE=FQ","FILING_STATUS=OR","EQY_CONSOLIDATED=Y","FA_ADJUSTED=GAAP","Sort=A","Dates=H","DateFormat=P","Fill=—","Direction=H","UseDPDF=Y")</f>
        <v>#NAME?</v>
      </c>
      <c r="W322" s="2" t="e">
        <f ca="1">_xll.BDH($C$303,"EARN_FOR_COM_GROWTH","FQ4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22" s="2" t="e">
        <f ca="1">_xll.BDH($C$303,"DILUTED_EPS_AFT_XO_ITEMS_GROWTH","FQ4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22" s="2" t="e">
        <f ca="1">_xll.BDH($C$303,"DIVIDEND_PER_SHARE_1_YEAR_GROWTH","FQ4 2017","FQ4 2017","Currency=INR","Period=FQ","BEST_FPERIOD_OVERRIDE=FQ","FILING_STATUS=OR","EQY_CONSOLIDATED=Y","Sort=A","Dates=H","DateFormat=P","Fill=—","Direction=H","UseDPDF=Y")</f>
        <v>#NAME?</v>
      </c>
      <c r="Z322" s="2" t="e">
        <f ca="1">_xll.BDH($C$303,"ACCOUNTS_RECEIVABLE_GROWTH","FQ4 2017","FQ4 2017","Currency=INR","Period=FQ","BEST_FPERIOD_OVERRIDE=FQ","FILING_STATUS=OR","EQY_CONSOLIDATED=Y","Sort=A","Dates=H","DateFormat=P","Fill=—","Direction=H","UseDPDF=Y")</f>
        <v>#NAME?</v>
      </c>
      <c r="AA322" s="2" t="e">
        <f ca="1">_xll.BDH($C$303,"INVENTORY_GROWTH","FQ4 2017","FQ4 2017","Currency=INR","Period=FQ","BEST_FPERIOD_OVERRIDE=FQ","FILING_STATUS=OR","EQY_CONSOLIDATED=Y","Sort=A","Dates=H","DateFormat=P","Fill=—","Direction=H","UseDPDF=Y")</f>
        <v>#NAME?</v>
      </c>
      <c r="AB322" s="2" t="e">
        <f ca="1">_xll.BDH($C$303,"NET_FIXED_ASSETS_1_YEAR_GROWTH","FQ4 2017","FQ4 2017","Currency=INR","Period=FQ","BEST_FPERIOD_OVERRIDE=FQ","FILING_STATUS=OR","EQY_CONSOLIDATED=Y","Sort=A","Dates=H","DateFormat=P","Fill=—","Direction=H","UseDPDF=Y")</f>
        <v>#NAME?</v>
      </c>
      <c r="AC322" s="2" t="e">
        <f ca="1">_xll.BDH($C$303,"ASSET_GROWTH","FQ4 2017","FQ4 2017","Currency=INR","Period=FQ","BEST_FPERIOD_OVERRIDE=FQ","FILING_STATUS=OR","EQY_CONSOLIDATED=Y","Sort=A","Dates=H","DateFormat=P","Fill=—","Direction=H","UseDPDF=Y")</f>
        <v>#NAME?</v>
      </c>
      <c r="AD322" s="2" t="e">
        <f ca="1">_xll.BDH($C$303,"MODIFIED_WORK_CAP_GROWTH","FQ4 2017","FQ4 2017","Currency=INR","Period=FQ","BEST_FPERIOD_OVERRIDE=FQ","FILING_STATUS=OR","EQY_CONSOLIDATED=Y","Sort=A","Dates=H","DateFormat=P","Fill=—","Direction=H","UseDPDF=Y")</f>
        <v>#NAME?</v>
      </c>
      <c r="AE322" s="2" t="e">
        <f ca="1">_xll.BDH($C$303,"WORK_CAP_GROWTH","FQ4 2017","FQ4 2017","Currency=INR","Period=FQ","BEST_FPERIOD_OVERRIDE=FQ","FILING_STATUS=OR","EQY_CONSOLIDATED=Y","Sort=A","Dates=H","DateFormat=P","Fill=—","Direction=H","UseDPDF=Y")</f>
        <v>#NAME?</v>
      </c>
      <c r="AF322" s="2" t="e">
        <f ca="1">_xll.BDH($C$303,"ACCOUNTS_PAYABLE_GROWTH_1YR","FQ4 2017","FQ4 2017","Currency=INR","Period=FQ","BEST_FPERIOD_OVERRIDE=FQ","FILING_STATUS=OR","EQY_CONSOLIDATED=Y","Sort=A","Dates=H","DateFormat=P","Fill=—","Direction=H","UseDPDF=Y")</f>
        <v>#NAME?</v>
      </c>
      <c r="AG322" s="2" t="e">
        <f ca="1">_xll.BDH($C$303,"SHORT_TERM_DEBT_1_YEAR_GROWTH","FQ4 2017","FQ4 2017","Currency=INR","Period=FQ","BEST_FPERIOD_OVERRIDE=FQ","FILING_STATUS=OR","EQY_CONSOLIDATED=Y","Sort=A","Dates=H","DateFormat=P","Fill=—","Direction=H","UseDPDF=Y")</f>
        <v>#NAME?</v>
      </c>
      <c r="AH322" s="2" t="e">
        <f ca="1">_xll.BDH($C$303,"TOTAL_DEBT_1_YEAR_GROWTH","FQ4 2017","FQ4 2017","Currency=INR","Period=FQ","BEST_FPERIOD_OVERRIDE=FQ","FILING_STATUS=OR","EQY_CONSOLIDATED=Y","Sort=A","Dates=H","DateFormat=P","Fill=—","Direction=H","UseDPDF=Y")</f>
        <v>#NAME?</v>
      </c>
      <c r="AI322" s="2" t="e">
        <f ca="1">_xll.BDH($C$303,"TOTAL_EQUITY_1_YEAR_GROWTH","FQ4 2017","FQ4 2017","Currency=INR","Period=FQ","BEST_FPERIOD_OVERRIDE=FQ","FILING_STATUS=OR","EQY_CONSOLIDATED=Y","Sort=A","Dates=H","DateFormat=P","Fill=—","Direction=H","UseDPDF=Y")</f>
        <v>#NAME?</v>
      </c>
      <c r="AJ322" s="2" t="e">
        <f ca="1">_xll.BDH($C$303,"GROWTH_IN_CAP","FQ4 2017","FQ4 2017","Currency=INR","Period=FQ","BEST_FPERIOD_OVERRIDE=FQ","FILING_STATUS=OR","EQY_CONSOLIDATED=Y","Sort=A","Dates=H","DateFormat=P","Fill=—","Direction=H","UseDPDF=Y")</f>
        <v>#NAME?</v>
      </c>
      <c r="AK322" s="2" t="e">
        <f ca="1">_xll.BDH($C$303,"BVPS_GROWTH","FQ4 2017","FQ4 2017","Currency=INR","Period=FQ","BEST_FPERIOD_OVERRIDE=FQ","FILING_STATUS=OR","EQY_CONSOLIDATED=Y","Sort=A","Dates=H","DateFormat=P","Fill=—","Direction=H","UseDPDF=Y")</f>
        <v>#NAME?</v>
      </c>
      <c r="AL322" s="2" t="e">
        <f ca="1">_xll.BDH($C$303,"CASH_FLOW_GROWTH","FQ4 2017","FQ4 2017","Currency=INR","Period=FQ","BEST_FPERIOD_OVERRIDE=FQ","FILING_STATUS=OR","EQY_CONSOLIDATED=Y","Sort=A","Dates=H","DateFormat=P","Fill=—","Direction=H","UseDPDF=Y")</f>
        <v>#NAME?</v>
      </c>
      <c r="AM322" s="2" t="e">
        <f ca="1">_xll.BDH($C$303,"GEO_GROW_NET_SALES","FQ4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22" s="2" t="e">
        <f ca="1">_xll.BDH($C$303,"GEO_GROW_EBITDA","FQ4 2017","FQ4 2017","Currency=INR","Period=FQ","BEST_FPERIOD_OVERRIDE=FQ","FILING_STATUS=OR","EQY_CONSOLIDATED=Y","FA_ADJUSTED=GAAP","Sort=A","Dates=H","DateFormat=P","Fill=—","Direction=H","UseDPDF=Y")</f>
        <v>#NAME?</v>
      </c>
      <c r="AO322" s="2" t="e">
        <f ca="1">_xll.BDH($C$303,"GEO_GROW_OPER_INC","FQ4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22" s="2" t="e">
        <f ca="1">_xll.BDH($C$303,"NET_INCOME_TO_COMMON_5_YR_GROWTH","FQ4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22" s="2" t="e">
        <f ca="1">_xll.BDH($C$303,"5Y_GEO_GROWTH_DILUTED_EPS","FQ4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22" s="2" t="e">
        <f ca="1">_xll.BDH($C$303,"GEO_GROW_DVD_PER_SH","FQ4 2017","FQ4 2017","Currency=INR","Period=FQ","BEST_FPERIOD_OVERRIDE=FQ","FILING_STATUS=OR","EQY_CONSOLIDATED=Y","Sort=A","Dates=H","DateFormat=P","Fill=—","Direction=H","UseDPDF=Y")</f>
        <v>#NAME?</v>
      </c>
      <c r="AS322" s="2" t="e">
        <f ca="1">_xll.BDH($C$303,"ACCOUNTS_RECEIVABLE_5_YR_GROWTH","FQ4 2017","FQ4 2017","Currency=INR","Period=FQ","BEST_FPERIOD_OVERRIDE=FQ","FILING_STATUS=OR","EQY_CONSOLIDATED=Y","Sort=A","Dates=H","DateFormat=P","Fill=—","Direction=H","UseDPDF=Y")</f>
        <v>#NAME?</v>
      </c>
      <c r="AT322" s="2" t="e">
        <f ca="1">_xll.BDH($C$303,"INVENTORY_5_YEAR_GROWTH","FQ4 2017","FQ4 2017","Currency=INR","Period=FQ","BEST_FPERIOD_OVERRIDE=FQ","FILING_STATUS=OR","EQY_CONSOLIDATED=Y","Sort=A","Dates=H","DateFormat=P","Fill=—","Direction=H","UseDPDF=Y")</f>
        <v>#NAME?</v>
      </c>
      <c r="AU322" s="2" t="e">
        <f ca="1">_xll.BDH($C$303,"NET_FIXED_ASSETS_5_YEAR_GROWTH","FQ4 2017","FQ4 2017","Currency=INR","Period=FQ","BEST_FPERIOD_OVERRIDE=FQ","FILING_STATUS=OR","EQY_CONSOLIDATED=Y","Sort=A","Dates=H","DateFormat=P","Fill=—","Direction=H","UseDPDF=Y")</f>
        <v>#NAME?</v>
      </c>
      <c r="AV322" s="2" t="e">
        <f ca="1">_xll.BDH($C$303,"GEO_GROW_TOT_ASSET","FQ4 2017","FQ4 2017","Currency=INR","Period=FQ","BEST_FPERIOD_OVERRIDE=FQ","FILING_STATUS=OR","EQY_CONSOLIDATED=Y","Sort=A","Dates=H","DateFormat=P","Fill=—","Direction=H","UseDPDF=Y")</f>
        <v>#NAME?</v>
      </c>
      <c r="AW322" s="2" t="e">
        <f ca="1">_xll.BDH($C$303,"MODIFIED_WORKING_CPTL_5YR_GRWTH","FQ4 2017","FQ4 2017","Currency=INR","Period=FQ","BEST_FPERIOD_OVERRIDE=FQ","FILING_STATUS=OR","EQY_CONSOLIDATED=Y","Sort=A","Dates=H","DateFormat=P","Fill=—","Direction=H","UseDPDF=Y")</f>
        <v>#NAME?</v>
      </c>
      <c r="AX322" s="2" t="e">
        <f ca="1">_xll.BDH($C$303,"WORKING_CAPITAL_5_YEAR_GROWTH","FQ4 2017","FQ4 2017","Currency=INR","Period=FQ","BEST_FPERIOD_OVERRIDE=FQ","FILING_STATUS=OR","EQY_CONSOLIDATED=Y","Sort=A","Dates=H","DateFormat=P","Fill=—","Direction=H","UseDPDF=Y")</f>
        <v>#NAME?</v>
      </c>
      <c r="AY322" s="2" t="e">
        <f ca="1">_xll.BDH($C$303,"ACCOUNTS_PAYABLE_5_YEAR_GROWTH","FQ4 2017","FQ4 2017","Currency=INR","Period=FQ","BEST_FPERIOD_OVERRIDE=FQ","FILING_STATUS=OR","EQY_CONSOLIDATED=Y","Sort=A","Dates=H","DateFormat=P","Fill=—","Direction=H","UseDPDF=Y")</f>
        <v>#NAME?</v>
      </c>
      <c r="AZ322" s="2" t="e">
        <f ca="1">_xll.BDH($C$303,"SHORT_TERM_DEBT_5_YEAR_GROWTH","FQ4 2017","FQ4 2017","Currency=INR","Period=FQ","BEST_FPERIOD_OVERRIDE=FQ","FILING_STATUS=OR","EQY_CONSOLIDATED=Y","Sort=A","Dates=H","DateFormat=P","Fill=—","Direction=H","UseDPDF=Y")</f>
        <v>#NAME?</v>
      </c>
      <c r="BA322" s="2" t="e">
        <f ca="1">_xll.BDH($C$303,"TOTAL_DEBT_5_YEAR_GROWTH","FQ4 2017","FQ4 2017","Currency=INR","Period=FQ","BEST_FPERIOD_OVERRIDE=FQ","FILING_STATUS=OR","EQY_CONSOLIDATED=Y","Sort=A","Dates=H","DateFormat=P","Fill=—","Direction=H","UseDPDF=Y")</f>
        <v>#NAME?</v>
      </c>
      <c r="BB322" s="2" t="e">
        <f ca="1">_xll.BDH($C$303,"GEO_GROW_TOT_SHRHLDR_EQY","FQ4 2017","FQ4 2017","Currency=INR","Period=FQ","BEST_FPERIOD_OVERRIDE=FQ","FILING_STATUS=OR","EQY_CONSOLIDATED=Y","Sort=A","Dates=H","DateFormat=P","Fill=—","Direction=H","UseDPDF=Y")</f>
        <v>#NAME?</v>
      </c>
      <c r="BC322" s="2" t="e">
        <f ca="1">_xll.BDH($C$303,"TOTAL_CAPITAL_5_YEAR_GROWTH","FQ4 2017","FQ4 2017","Currency=INR","Period=FQ","BEST_FPERIOD_OVERRIDE=FQ","FILING_STATUS=OR","EQY_CONSOLIDATED=Y","Sort=A","Dates=H","DateFormat=P","Fill=—","Direction=H","UseDPDF=Y")</f>
        <v>#NAME?</v>
      </c>
      <c r="BD322" s="2" t="e">
        <f ca="1">_xll.BDH($C$303,"GEO_GROW_BOOK_VAL","FQ4 2017","FQ4 2017","Currency=INR","Period=FQ","BEST_FPERIOD_OVERRIDE=FQ","FILING_STATUS=OR","EQY_CONSOLIDATED=Y","Sort=A","Dates=H","DateFormat=P","Fill=—","Direction=H","UseDPDF=Y")</f>
        <v>#NAME?</v>
      </c>
      <c r="BE322" s="2" t="e">
        <f ca="1">_xll.BDH($C$303,"GEO_GROW_CASH_OPER_ACT","FQ4 2017","FQ4 2017","Currency=INR","Period=FQ","BEST_FPERIOD_OVERRIDE=FQ","FILING_STATUS=OR","EQY_CONSOLIDATED=Y","Sort=A","Dates=H","DateFormat=P","Fill=—","Direction=H","UseDPDF=Y")</f>
        <v>#NAME?</v>
      </c>
      <c r="BF322" s="2" t="e">
        <f ca="1">_xll.BDH($C$303,"REVENUE_SEQUENTIAL_GROWTH","FQ4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22" s="2" t="e">
        <f ca="1">_xll.BDH($C$303,"EBITDA_SEQUENTIAL_GROWTH","FQ4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22" s="2" t="e">
        <f ca="1">_xll.BDH($C$303,"OPERATING_INCOME_SEQ_GROWTH","FQ4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22" s="2" t="e">
        <f ca="1">_xll.BDH($C$303,"NET_INCOME_TO_COMMON_SEQ_GROWTH","FQ4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22" s="2" t="e">
        <f ca="1">_xll.BDH($C$303,"EPS_DILUTED_SEQUENTIAL_GROWTH","FQ4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22" s="2" t="e">
        <f ca="1">_xll.BDH($C$303,"DPS_SEQUENTIAL_GROWTH","FQ4 2017","FQ4 2017","Currency=INR","Period=FQ","BEST_FPERIOD_OVERRIDE=FQ","FILING_STATUS=OR","EQY_CONSOLIDATED=Y","Sort=A","Dates=H","DateFormat=P","Fill=—","Direction=H","UseDPDF=Y")</f>
        <v>#NAME?</v>
      </c>
      <c r="BL322" s="2" t="e">
        <f ca="1">_xll.BDH($C$303,"ACCOUNTS_RECEIVABLE_SEQ_GROWTH","FQ4 2017","FQ4 2017","Currency=INR","Period=FQ","BEST_FPERIOD_OVERRIDE=FQ","FILING_STATUS=OR","EQY_CONSOLIDATED=Y","Sort=A","Dates=H","DateFormat=P","Fill=—","Direction=H","UseDPDF=Y")</f>
        <v>#NAME?</v>
      </c>
      <c r="BM322" s="2" t="e">
        <f ca="1">_xll.BDH($C$303,"INVENTORY_SEQUENTIAL_GROWTH","FQ4 2017","FQ4 2017","Currency=INR","Period=FQ","BEST_FPERIOD_OVERRIDE=FQ","FILING_STATUS=OR","EQY_CONSOLIDATED=Y","Sort=A","Dates=H","DateFormat=P","Fill=—","Direction=H","UseDPDF=Y")</f>
        <v>#NAME?</v>
      </c>
      <c r="BN322" s="2" t="e">
        <f ca="1">_xll.BDH($C$303,"FIXED_ASSETS_SEQUENTIAL_GROWTH","FQ4 2017","FQ4 2017","Currency=INR","Period=FQ","BEST_FPERIOD_OVERRIDE=FQ","FILING_STATUS=OR","EQY_CONSOLIDATED=Y","Sort=A","Dates=H","DateFormat=P","Fill=—","Direction=H","UseDPDF=Y")</f>
        <v>#NAME?</v>
      </c>
      <c r="BO322" s="2" t="e">
        <f ca="1">_xll.BDH($C$303,"TOTAL_ASSETS_SEQUENTIAL_GROWTH","FQ4 2017","FQ4 2017","Currency=INR","Period=FQ","BEST_FPERIOD_OVERRIDE=FQ","FILING_STATUS=OR","EQY_CONSOLIDATED=Y","Sort=A","Dates=H","DateFormat=P","Fill=—","Direction=H","UseDPDF=Y")</f>
        <v>#NAME?</v>
      </c>
      <c r="BP322" s="2" t="e">
        <f ca="1">_xll.BDH($C$303,"MODIFIED_WORKING_CPTL_SEQ_GRWTH","FQ4 2017","FQ4 2017","Currency=INR","Period=FQ","BEST_FPERIOD_OVERRIDE=FQ","FILING_STATUS=OR","EQY_CONSOLIDATED=Y","Sort=A","Dates=H","DateFormat=P","Fill=—","Direction=H","UseDPDF=Y")</f>
        <v>#NAME?</v>
      </c>
      <c r="BQ322" s="2" t="e">
        <f ca="1">_xll.BDH($C$303,"WORKING_CAPITAL_SEQ_GROWTH","FQ4 2017","FQ4 2017","Currency=INR","Period=FQ","BEST_FPERIOD_OVERRIDE=FQ","FILING_STATUS=OR","EQY_CONSOLIDATED=Y","Sort=A","Dates=H","DateFormat=P","Fill=—","Direction=H","UseDPDF=Y")</f>
        <v>#NAME?</v>
      </c>
      <c r="BR322" s="2" t="e">
        <f ca="1">_xll.BDH($C$303,"ACCOUNTS_PAYABLE_SEQ_GROWTH","FQ4 2017","FQ4 2017","Currency=INR","Period=FQ","BEST_FPERIOD_OVERRIDE=FQ","FILING_STATUS=OR","EQY_CONSOLIDATED=Y","Sort=A","Dates=H","DateFormat=P","Fill=—","Direction=H","UseDPDF=Y")</f>
        <v>#NAME?</v>
      </c>
      <c r="BS322" s="2" t="e">
        <f ca="1">_xll.BDH($C$303,"ST_DEBT_SEQUENTIAL_GROWTH","FQ4 2017","FQ4 2017","Currency=INR","Period=FQ","BEST_FPERIOD_OVERRIDE=FQ","FILING_STATUS=OR","EQY_CONSOLIDATED=Y","Sort=A","Dates=H","DateFormat=P","Fill=—","Direction=H","UseDPDF=Y")</f>
        <v>#NAME?</v>
      </c>
      <c r="BT322" s="2" t="e">
        <f ca="1">_xll.BDH($C$303,"TOTAL_DEBT_SEQUENTIAL_GROWTH","FQ4 2017","FQ4 2017","Currency=INR","Period=FQ","BEST_FPERIOD_OVERRIDE=FQ","FILING_STATUS=OR","EQY_CONSOLIDATED=Y","Sort=A","Dates=H","DateFormat=P","Fill=—","Direction=H","UseDPDF=Y")</f>
        <v>#NAME?</v>
      </c>
      <c r="BU322" s="2" t="e">
        <f ca="1">_xll.BDH($C$303,"TOTAL_EQUITY_SEQUENTIAL_GROWTH","FQ4 2017","FQ4 2017","Currency=INR","Period=FQ","BEST_FPERIOD_OVERRIDE=FQ","FILING_STATUS=OR","EQY_CONSOLIDATED=Y","Sort=A","Dates=H","DateFormat=P","Fill=—","Direction=H","UseDPDF=Y")</f>
        <v>#NAME?</v>
      </c>
      <c r="BV322" s="2" t="e">
        <f ca="1">_xll.BDH($C$303,"TOTAL_CAPITAL_SEQUENTIAL_GROWTH","FQ4 2017","FQ4 2017","Currency=INR","Period=FQ","BEST_FPERIOD_OVERRIDE=FQ","FILING_STATUS=OR","EQY_CONSOLIDATED=Y","Sort=A","Dates=H","DateFormat=P","Fill=—","Direction=H","UseDPDF=Y")</f>
        <v>#NAME?</v>
      </c>
      <c r="BW322" s="2" t="e">
        <f ca="1">_xll.BDH($C$303,"BPS_SEQUENTIAL_GROWTH","FQ4 2017","FQ4 2017","Currency=INR","Period=FQ","BEST_FPERIOD_OVERRIDE=FQ","FILING_STATUS=OR","EQY_CONSOLIDATED=Y","Sort=A","Dates=H","DateFormat=P","Fill=—","Direction=H","UseDPDF=Y")</f>
        <v>#NAME?</v>
      </c>
      <c r="BX322" s="2" t="e">
        <f ca="1">_xll.BDH($C$303,"CFO_SEQUENTIAL_GROWTH","FQ4 2017","FQ4 2017","Currency=INR","Period=FQ","BEST_FPERIOD_OVERRIDE=FQ","FILING_STATUS=OR","EQY_CONSOLIDATED=Y","Sort=A","Dates=H","DateFormat=P","Fill=—","Direction=H","UseDPDF=Y")</f>
        <v>#NAME?</v>
      </c>
      <c r="BY322" s="3" t="e">
        <f ca="1">_xll.BDH($C$303,"SHORT_AND_LONG_TERM_DEBT","FQ4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22" s="3" t="e">
        <f ca="1">_xll.BDH($C$303,"BS_ST_BORROW","FQ4 2017","FQ4 2017","Currency=INR","Period=FQ","BEST_FPERIOD_OVERRIDE=FQ","FILING_STATUS=OR","EQY_CONSOLIDATED=Y","SCALING_FORMAT=MLN","Sort=A","Dates=H","DateFormat=P","Fill=—","Direction=H","UseDPDF=Y")</f>
        <v>#NAME?</v>
      </c>
      <c r="CA322" s="3" t="e">
        <f ca="1">_xll.BDH($C$303,"BS_LT_BORROW","FQ4 2017","FQ4 2017","Currency=INR","Period=FQ","BEST_FPERIOD_OVERRIDE=FQ","FILING_STATUS=OR","EQY_CONSOLIDATED=Y","SCALING_FORMAT=MLN","Sort=A","Dates=H","DateFormat=P","Fill=—","Direction=H","UseDPDF=Y")</f>
        <v>#NAME?</v>
      </c>
      <c r="CB322" s="2" t="e">
        <f ca="1">_xll.BDH($C$303,"TOT_DEBT_TO_EBITDA","FQ4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22" s="2" t="e">
        <f ca="1">_xll.BDH($C$303,"NET_DEBT_TO_EBITDA","FQ4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22" s="2" t="e">
        <f ca="1">_xll.BDH($C$303,"TOTAL_DEBT_TO_EBIT","FQ4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22" s="2" t="e">
        <f ca="1">_xll.BDH($C$303,"NET_DEBT_TO_EBIT","FQ4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22" s="2" t="e">
        <f ca="1">_xll.BDH($C$303,"EBITDA_TO_INTEREST_EXPN","FQ4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22" s="2" t="e">
        <f ca="1">_xll.BDH($C$303,"COM_EQY_TO_TOT_ASSET","FQ4 2017","FQ4 2017","Currency=INR","Period=FQ","BEST_FPERIOD_OVERRIDE=FQ","FILING_STATUS=OR","EQY_CONSOLIDATED=Y","Sort=A","Dates=H","DateFormat=P","Fill=—","Direction=H","UseDPDF=Y")</f>
        <v>#NAME?</v>
      </c>
      <c r="CH322" s="2" t="e">
        <f ca="1">_xll.BDH($C$303,"LT_DEBT_TO_TOT_EQY","FQ4 2017","FQ4 2017","Currency=INR","Period=FQ","BEST_FPERIOD_OVERRIDE=FQ","FILING_STATUS=OR","EQY_CONSOLIDATED=Y","Sort=A","Dates=H","DateFormat=P","Fill=—","Direction=H","UseDPDF=Y")</f>
        <v>#NAME?</v>
      </c>
      <c r="CI322" s="2" t="e">
        <f ca="1">_xll.BDH($C$303,"LT_DEBT_TO_TOT_CAP","FQ4 2017","FQ4 2017","Currency=INR","Period=FQ","BEST_FPERIOD_OVERRIDE=FQ","FILING_STATUS=OR","EQY_CONSOLIDATED=Y","Sort=A","Dates=H","DateFormat=P","Fill=—","Direction=H","UseDPDF=Y")</f>
        <v>#NAME?</v>
      </c>
      <c r="CJ322" s="2" t="e">
        <f ca="1">_xll.BDH($C$303,"LT_DEBT_TO_TOT_ASSET","FQ4 2017","FQ4 2017","Currency=INR","Period=FQ","BEST_FPERIOD_OVERRIDE=FQ","FILING_STATUS=OR","EQY_CONSOLIDATED=Y","Sort=A","Dates=H","DateFormat=P","Fill=—","Direction=H","UseDPDF=Y")</f>
        <v>#NAME?</v>
      </c>
      <c r="CK322" s="2" t="e">
        <f ca="1">_xll.BDH($C$303,"TOT_DEBT_TO_TOT_EQY","FQ4 2017","FQ4 2017","Currency=INR","Period=FQ","BEST_FPERIOD_OVERRIDE=FQ","FILING_STATUS=OR","EQY_CONSOLIDATED=Y","Sort=A","Dates=H","DateFormat=P","Fill=—","Direction=H","UseDPDF=Y")</f>
        <v>#NAME?</v>
      </c>
      <c r="CL322" s="2" t="e">
        <f ca="1">_xll.BDH($C$303,"TOT_DEBT_TO_TOT_CAP","FQ4 2017","FQ4 2017","Currency=INR","Period=FQ","BEST_FPERIOD_OVERRIDE=FQ","FILING_STATUS=OR","EQY_CONSOLIDATED=Y","Sort=A","Dates=H","DateFormat=P","Fill=—","Direction=H","UseDPDF=Y")</f>
        <v>#NAME?</v>
      </c>
      <c r="CM322" s="2" t="e">
        <f ca="1">_xll.BDH($C$303,"TOT_DEBT_TO_TOT_ASSET","FQ4 2017","FQ4 2017","Currency=INR","Period=FQ","BEST_FPERIOD_OVERRIDE=FQ","FILING_STATUS=OR","EQY_CONSOLIDATED=Y","Sort=A","Dates=H","DateFormat=P","Fill=—","Direction=H","UseDPDF=Y")</f>
        <v>#NAME?</v>
      </c>
      <c r="CN322" s="2" t="e">
        <f ca="1">_xll.BDH($C$303,"NET_DEBT_TO_SHRHLDR_EQTY","FQ4 2017","FQ4 2017","Currency=INR","Period=FQ","BEST_FPERIOD_OVERRIDE=FQ","FILING_STATUS=OR","EQY_CONSOLIDATED=Y","Sort=A","Dates=H","DateFormat=P","Fill=—","Direction=H","UseDPDF=Y")</f>
        <v>#NAME?</v>
      </c>
      <c r="CO322" s="2" t="e">
        <f ca="1">_xll.BDH($C$303,"NET_DEBT_%_CAPITAL","FQ4 2017","FQ4 2017","Currency=INR","Period=FQ","BEST_FPERIOD_OVERRIDE=FQ","FILING_STATUS=OR","EQY_CONSOLIDATED=Y","Sort=A","Dates=H","DateFormat=P","Fill=—","Direction=H","UseDPDF=Y")</f>
        <v>#NAME?</v>
      </c>
      <c r="CP322" s="3" t="e">
        <f ca="1">_xll.BDH($C$303,"EBITDA","FQ4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22" s="3" t="e">
        <f ca="1">_xll.BDH($C$303,"EBITDA_AFTER_CAPEX","FQ4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22" s="3" t="e">
        <f ca="1">_xll.BDH($C$303,"IS_OPER_INC","FQ4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22" s="2" t="e">
        <f ca="1">_xll.BDH($C$303,"CASH_RATIO","FQ4 2017","FQ4 2017","Currency=INR","Period=FQ","BEST_FPERIOD_OVERRIDE=FQ","FILING_STATUS=OR","EQY_CONSOLIDATED=Y","Sort=A","Dates=H","DateFormat=P","Fill=—","Direction=H","UseDPDF=Y")</f>
        <v>#NAME?</v>
      </c>
      <c r="CT322" s="2" t="e">
        <f ca="1">_xll.BDH($C$303,"CUR_RATIO","FQ4 2017","FQ4 2017","Currency=INR","Period=FQ","BEST_FPERIOD_OVERRIDE=FQ","FILING_STATUS=OR","EQY_CONSOLIDATED=Y","Sort=A","Dates=H","DateFormat=P","Fill=—","Direction=H","UseDPDF=Y")</f>
        <v>#NAME?</v>
      </c>
      <c r="CU322" s="2" t="e">
        <f ca="1">_xll.BDH($C$303,"QUICK_RATIO","FQ4 2017","FQ4 2017","Currency=INR","Period=FQ","BEST_FPERIOD_OVERRIDE=FQ","FILING_STATUS=OR","EQY_CONSOLIDATED=Y","Sort=A","Dates=H","DateFormat=P","Fill=—","Direction=H","UseDPDF=Y")</f>
        <v>#NAME?</v>
      </c>
      <c r="CV322" s="2" t="e">
        <f ca="1">_xll.BDH($C$303,"ALTMAN_Z_SCORE","FQ4 2017","FQ4 2017","Currency=INR","Period=FQ","BEST_FPERIOD_OVERRIDE=FQ","FILING_STATUS=OR","EQY_CONSOLIDATED=Y","Sort=A","Dates=H","DateFormat=P","Fill=—","Direction=H","UseDPDF=Y")</f>
        <v>#NAME?</v>
      </c>
      <c r="CW322" s="4" t="e">
        <f ca="1">_xll.BDH($C$303,"ACCT_RCV_TURN","FQ4 2017","FQ4 2017","Currency=INR","Period=FQ","BEST_FPERIOD_OVERRIDE=FQ","FILING_STATUS=OR","EQY_CONSOLIDATED=Y","FA_ADJUSTED=GAAP","Sort=A","Dates=H","DateFormat=P","Fill=—","Direction=H","UseDPDF=Y")</f>
        <v>#NAME?</v>
      </c>
      <c r="CX322" s="2" t="e">
        <f ca="1">_xll.BDH($C$303,"ACCT_RCV_DAYS","FQ4 2017","FQ4 2017","Currency=INR","Period=FQ","BEST_FPERIOD_OVERRIDE=FQ","FILING_STATUS=OR","EQY_CONSOLIDATED=Y","FA_ADJUSTED=GAAP","Sort=A","Dates=H","DateFormat=P","Fill=—","Direction=H","UseDPDF=Y")</f>
        <v>#NAME?</v>
      </c>
      <c r="CY322" s="4" t="e">
        <f ca="1">_xll.BDH($C$303,"INVENT_TURN","FQ4 2017","FQ4 2017","Currency=INR","Period=FQ","BEST_FPERIOD_OVERRIDE=FQ","FILING_STATUS=OR","EQY_CONSOLIDATED=Y","FA_ADJUSTED=GAAP","Sort=A","Dates=H","DateFormat=P","Fill=—","Direction=H","UseDPDF=Y")</f>
        <v>#NAME?</v>
      </c>
      <c r="CZ322" s="2" t="e">
        <f ca="1">_xll.BDH($C$303,"INVENT_DAYS","FQ4 2017","FQ4 2017","Currency=INR","Period=FQ","BEST_FPERIOD_OVERRIDE=FQ","FILING_STATUS=OR","EQY_CONSOLIDATED=Y","FA_ADJUSTED=GAAP","Sort=A","Dates=H","DateFormat=P","Fill=—","Direction=H","UseDPDF=Y")</f>
        <v>#NAME?</v>
      </c>
      <c r="DA322" s="4" t="e">
        <f ca="1">_xll.BDH($C$303,"ACCOUNTS_PAYABLE_TURNOVER","FQ4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22" s="2" t="e">
        <f ca="1">_xll.BDH($C$303,"ACCOUNTS_PAYABLE_TURNOVER_DAYS","FQ4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22" s="4" t="e">
        <f ca="1">_xll.BDH($C$303,"CASH_CONVERSION_CYCLE","FQ4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22" s="4" t="e">
        <f ca="1">_xll.BDH($C$303,"INV_TO_CASH_DAYS","FQ4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22" s="5" t="e">
        <f ca="1">_xll.BDH($C$303,"BS_INVENTORIES","FQ4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22" s="3" t="e">
        <f ca="1">_xll.BDH($C$303,"INVTRY_RAW_MATERIALS","FQ4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22" s="3" t="e">
        <f ca="1">_xll.BDH($C$303,"INVTRY_IN_PROGRESS","FQ4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22" s="3" t="e">
        <f ca="1">_xll.BDH($C$303,"INVTRY_FINISHED_GOODS","FQ4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22" s="3" t="e">
        <f ca="1">_xll.BDH($C$303,"BS_OTHER_INV","FQ4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23" spans="1:113" x14ac:dyDescent="0.3">
      <c r="A323" s="6"/>
      <c r="B323" s="6"/>
      <c r="C323" s="6"/>
      <c r="D323" s="6" t="s">
        <v>85</v>
      </c>
      <c r="E323" t="s">
        <v>77</v>
      </c>
      <c r="F323" t="e">
        <f ca="1">_xll.BDH($C$303,"RETURN_COM_EQY","FY 2018","FY 2018","Currency=INR","Period=FY","BEST_FPERIOD_OVERRIDE=FY","FILING_STATUS=OR","EQY_CONSOLIDATED=Y","FA_ADJUSTED=GAAP","Sort=A","Dates=H","DateFormat=P","Fill=—","Direction=H","UseDPDF=Y")</f>
        <v>#NAME?</v>
      </c>
      <c r="G323" t="e">
        <f ca="1">_xll.BDH($C$303,"RETURN_ON_ASSET","FY 2018","FY 2018","Currency=INR","Period=FY","BEST_FPERIOD_OVERRIDE=FY","FILING_STATUS=OR","EQY_CONSOLIDATED=Y","FA_ADJUSTED=GAAP","Sort=A","Dates=H","DateFormat=P","Fill=—","Direction=H","UseDPDF=Y")</f>
        <v>#NAME?</v>
      </c>
      <c r="H323" t="e">
        <f ca="1">_xll.BDH($C$303,"RETURN_ON_CAP","FY 2018","FY 2018","Currency=INR","Period=FY","BEST_FPERIOD_OVERRIDE=FY","FILING_STATUS=OR","EQY_CONSOLIDATED=Y","FA_ADJUSTED=GAAP","Sort=A","Dates=H","DateFormat=P","Fill=—","Direction=H","UseDPDF=Y")</f>
        <v>#NAME?</v>
      </c>
      <c r="I323" t="e">
        <f ca="1">_xll.BDH($C$303,"RETURN_ON_INV_CAPITAL","FY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23" t="e">
        <f ca="1">_xll.BDH($C$303,"EBITDA_TO_REVENUE","FY 2018","FY 2018","Currency=INR","Period=FY","BEST_FPERIOD_OVERRIDE=FY","FILING_STATUS=OR","EQY_CONSOLIDATED=Y","FA_ADJUSTED=GAAP","Sort=A","Dates=H","DateFormat=P","Fill=—","Direction=H","UseDPDF=Y")</f>
        <v>#NAME?</v>
      </c>
      <c r="K323" t="e">
        <f ca="1">_xll.BDH($C$303,"OPER_MARGIN","FY 2018","FY 2018","Currency=INR","Period=FY","BEST_FPERIOD_OVERRIDE=FY","FILING_STATUS=OR","EQY_CONSOLIDATED=Y","FA_ADJUSTED=GAAP","Sort=A","Dates=H","DateFormat=P","Fill=—","Direction=H","UseDPDF=Y")</f>
        <v>#NAME?</v>
      </c>
      <c r="L323" t="e">
        <f ca="1">_xll.BDH($C$303,"INCREMENTAL_OPERATING_MARGIN","FY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23" t="e">
        <f ca="1">_xll.BDH($C$303,"PRETAX_INC_TO_NET_SALES","FY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23" t="e">
        <f ca="1">_xll.BDH($C$303,"INC_BEF_XO_ITEMS_TO_NET_SALES","FY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23" t="e">
        <f ca="1">_xll.BDH($C$303,"PROF_MARGIN","FY 2018","FY 2018","Currency=INR","Period=FY","BEST_FPERIOD_OVERRIDE=FY","FILING_STATUS=OR","EQY_CONSOLIDATED=Y","FA_ADJUSTED=GAAP","Sort=A","Dates=H","DateFormat=P","Fill=—","Direction=H","UseDPDF=Y")</f>
        <v>#NAME?</v>
      </c>
      <c r="P323" t="e">
        <f ca="1">_xll.BDH($C$303,"NET_INCOME_TO_COMMON_MARGIN","FY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23" t="e">
        <f ca="1">_xll.BDH($C$303,"EFF_TAX_RATE","FY 2018","FY 2018","Currency=INR","Period=FY","BEST_FPERIOD_OVERRIDE=FY","FILING_STATUS=OR","EQY_CONSOLIDATED=Y","FA_ADJUSTED=GAAP","Sort=A","Dates=H","DateFormat=P","Fill=—","Direction=H","UseDPDF=Y")</f>
        <v>#NAME?</v>
      </c>
      <c r="R323" t="e">
        <f ca="1">_xll.BDH($C$303,"DVD_PAYOUT_RATIO","FY 2018","FY 2018","Currency=INR","Period=FY","BEST_FPERIOD_OVERRIDE=FY","FILING_STATUS=OR","EQY_CONSOLIDATED=Y","FA_ADJUSTED=GAAP","Sort=A","Dates=H","DateFormat=P","Fill=—","Direction=H","UseDPDF=Y")</f>
        <v>#NAME?</v>
      </c>
      <c r="S323" t="e">
        <f ca="1">_xll.BDH($C$303,"SUSTAIN_GROWTH_RT","FY 2018","FY 2018","Currency=INR","Period=FY","BEST_FPERIOD_OVERRIDE=FY","FILING_STATUS=OR","EQY_CONSOLIDATED=Y","FA_ADJUSTED=GAAP","Sort=A","Dates=H","DateFormat=P","Fill=—","Direction=H","UseDPDF=Y")</f>
        <v>#NAME?</v>
      </c>
      <c r="T323" s="2" t="e">
        <f ca="1">_xll.BDH($C$303,"SALES_GROWTH","FY 2018","FY 2018","Currency=INR","Period=FY","BEST_FPERIOD_OVERRIDE=FY","FILING_STATUS=OR","EQY_CONSOLIDATED=Y","FA_ADJUSTED=GAAP","Sort=A","Dates=H","DateFormat=P","Fill=—","Direction=H","UseDPDF=Y")</f>
        <v>#NAME?</v>
      </c>
      <c r="U323" s="2" t="e">
        <f ca="1">_xll.BDH($C$303,"EBITDA_GROWTH","FY 2018","FY 2018","Currency=INR","Period=FY","BEST_FPERIOD_OVERRIDE=FY","FILING_STATUS=OR","EQY_CONSOLIDATED=Y","FA_ADJUSTED=GAAP","Sort=A","Dates=H","DateFormat=P","Fill=—","Direction=H","UseDPDF=Y")</f>
        <v>#NAME?</v>
      </c>
      <c r="V323" s="2" t="e">
        <f ca="1">_xll.BDH($C$303,"OPER_INC_GROWTH","FY 2018","FY 2018","Currency=INR","Period=FY","BEST_FPERIOD_OVERRIDE=FY","FILING_STATUS=OR","EQY_CONSOLIDATED=Y","FA_ADJUSTED=GAAP","Sort=A","Dates=H","DateFormat=P","Fill=—","Direction=H","UseDPDF=Y")</f>
        <v>#NAME?</v>
      </c>
      <c r="W323" s="2" t="e">
        <f ca="1">_xll.BDH($C$303,"EARN_FOR_COM_GROWTH","FY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23" s="2" t="e">
        <f ca="1">_xll.BDH($C$303,"DILUTED_EPS_AFT_XO_ITEMS_GROWTH","FY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23" s="2" t="e">
        <f ca="1">_xll.BDH($C$303,"DIVIDEND_PER_SHARE_1_YEAR_GROWTH","FY 2018","FY 2018","Currency=INR","Period=FY","BEST_FPERIOD_OVERRIDE=FY","FILING_STATUS=OR","EQY_CONSOLIDATED=Y","Sort=A","Dates=H","DateFormat=P","Fill=—","Direction=H","UseDPDF=Y")</f>
        <v>#NAME?</v>
      </c>
      <c r="Z323" s="2" t="e">
        <f ca="1">_xll.BDH($C$303,"ACCOUNTS_RECEIVABLE_GROWTH","FY 2018","FY 2018","Currency=INR","Period=FY","BEST_FPERIOD_OVERRIDE=FY","FILING_STATUS=OR","EQY_CONSOLIDATED=Y","Sort=A","Dates=H","DateFormat=P","Fill=—","Direction=H","UseDPDF=Y")</f>
        <v>#NAME?</v>
      </c>
      <c r="AA323" s="2" t="e">
        <f ca="1">_xll.BDH($C$303,"INVENTORY_GROWTH","FY 2018","FY 2018","Currency=INR","Period=FY","BEST_FPERIOD_OVERRIDE=FY","FILING_STATUS=OR","EQY_CONSOLIDATED=Y","Sort=A","Dates=H","DateFormat=P","Fill=—","Direction=H","UseDPDF=Y")</f>
        <v>#NAME?</v>
      </c>
      <c r="AB323" s="2" t="e">
        <f ca="1">_xll.BDH($C$303,"NET_FIXED_ASSETS_1_YEAR_GROWTH","FY 2018","FY 2018","Currency=INR","Period=FY","BEST_FPERIOD_OVERRIDE=FY","FILING_STATUS=OR","EQY_CONSOLIDATED=Y","Sort=A","Dates=H","DateFormat=P","Fill=—","Direction=H","UseDPDF=Y")</f>
        <v>#NAME?</v>
      </c>
      <c r="AC323" s="2" t="e">
        <f ca="1">_xll.BDH($C$303,"ASSET_GROWTH","FY 2018","FY 2018","Currency=INR","Period=FY","BEST_FPERIOD_OVERRIDE=FY","FILING_STATUS=OR","EQY_CONSOLIDATED=Y","Sort=A","Dates=H","DateFormat=P","Fill=—","Direction=H","UseDPDF=Y")</f>
        <v>#NAME?</v>
      </c>
      <c r="AD323" s="2" t="e">
        <f ca="1">_xll.BDH($C$303,"MODIFIED_WORK_CAP_GROWTH","FY 2018","FY 2018","Currency=INR","Period=FY","BEST_FPERIOD_OVERRIDE=FY","FILING_STATUS=OR","EQY_CONSOLIDATED=Y","Sort=A","Dates=H","DateFormat=P","Fill=—","Direction=H","UseDPDF=Y")</f>
        <v>#NAME?</v>
      </c>
      <c r="AE323" s="2" t="e">
        <f ca="1">_xll.BDH($C$303,"WORK_CAP_GROWTH","FY 2018","FY 2018","Currency=INR","Period=FY","BEST_FPERIOD_OVERRIDE=FY","FILING_STATUS=OR","EQY_CONSOLIDATED=Y","Sort=A","Dates=H","DateFormat=P","Fill=—","Direction=H","UseDPDF=Y")</f>
        <v>#NAME?</v>
      </c>
      <c r="AF323" s="2" t="e">
        <f ca="1">_xll.BDH($C$303,"ACCOUNTS_PAYABLE_GROWTH_1YR","FY 2018","FY 2018","Currency=INR","Period=FY","BEST_FPERIOD_OVERRIDE=FY","FILING_STATUS=OR","EQY_CONSOLIDATED=Y","Sort=A","Dates=H","DateFormat=P","Fill=—","Direction=H","UseDPDF=Y")</f>
        <v>#NAME?</v>
      </c>
      <c r="AG323" s="2" t="e">
        <f ca="1">_xll.BDH($C$303,"SHORT_TERM_DEBT_1_YEAR_GROWTH","FY 2018","FY 2018","Currency=INR","Period=FY","BEST_FPERIOD_OVERRIDE=FY","FILING_STATUS=OR","EQY_CONSOLIDATED=Y","Sort=A","Dates=H","DateFormat=P","Fill=—","Direction=H","UseDPDF=Y")</f>
        <v>#NAME?</v>
      </c>
      <c r="AH323" s="2" t="e">
        <f ca="1">_xll.BDH($C$303,"TOTAL_DEBT_1_YEAR_GROWTH","FY 2018","FY 2018","Currency=INR","Period=FY","BEST_FPERIOD_OVERRIDE=FY","FILING_STATUS=OR","EQY_CONSOLIDATED=Y","Sort=A","Dates=H","DateFormat=P","Fill=—","Direction=H","UseDPDF=Y")</f>
        <v>#NAME?</v>
      </c>
      <c r="AI323" s="2" t="e">
        <f ca="1">_xll.BDH($C$303,"TOTAL_EQUITY_1_YEAR_GROWTH","FY 2018","FY 2018","Currency=INR","Period=FY","BEST_FPERIOD_OVERRIDE=FY","FILING_STATUS=OR","EQY_CONSOLIDATED=Y","Sort=A","Dates=H","DateFormat=P","Fill=—","Direction=H","UseDPDF=Y")</f>
        <v>#NAME?</v>
      </c>
      <c r="AJ323" s="2" t="e">
        <f ca="1">_xll.BDH($C$303,"GROWTH_IN_CAP","FY 2018","FY 2018","Currency=INR","Period=FY","BEST_FPERIOD_OVERRIDE=FY","FILING_STATUS=OR","EQY_CONSOLIDATED=Y","Sort=A","Dates=H","DateFormat=P","Fill=—","Direction=H","UseDPDF=Y")</f>
        <v>#NAME?</v>
      </c>
      <c r="AK323" s="2" t="e">
        <f ca="1">_xll.BDH($C$303,"BVPS_GROWTH","FY 2018","FY 2018","Currency=INR","Period=FY","BEST_FPERIOD_OVERRIDE=FY","FILING_STATUS=OR","EQY_CONSOLIDATED=Y","Sort=A","Dates=H","DateFormat=P","Fill=—","Direction=H","UseDPDF=Y")</f>
        <v>#NAME?</v>
      </c>
      <c r="AL323" s="2" t="e">
        <f ca="1">_xll.BDH($C$303,"CASH_FLOW_GROWTH","FY 2018","FY 2018","Currency=INR","Period=FY","BEST_FPERIOD_OVERRIDE=FY","FILING_STATUS=OR","EQY_CONSOLIDATED=Y","Sort=A","Dates=H","DateFormat=P","Fill=—","Direction=H","UseDPDF=Y")</f>
        <v>#NAME?</v>
      </c>
      <c r="AM323" s="2" t="e">
        <f ca="1">_xll.BDH($C$303,"GEO_GROW_NET_SALES","FY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23" s="2" t="e">
        <f ca="1">_xll.BDH($C$303,"GEO_GROW_EBITDA","FY 2018","FY 2018","Currency=INR","Period=FY","BEST_FPERIOD_OVERRIDE=FY","FILING_STATUS=OR","EQY_CONSOLIDATED=Y","FA_ADJUSTED=GAAP","Sort=A","Dates=H","DateFormat=P","Fill=—","Direction=H","UseDPDF=Y")</f>
        <v>#NAME?</v>
      </c>
      <c r="AO323" s="2" t="e">
        <f ca="1">_xll.BDH($C$303,"GEO_GROW_OPER_INC","FY 2018","FY 2018","Currency=INR","Period=FY","BEST_FPERIOD_OVERRIDE=FY","FILING_STATUS=OR","EQY_CONSOLIDATED=Y","FA_ADJUSTED=GAAP","Sort=A","Dates=H","DateFormat=P","Fill=—","Direction=H","UseDPDF=Y")</f>
        <v>#NAME?</v>
      </c>
      <c r="AP323" s="2" t="e">
        <f ca="1">_xll.BDH($C$303,"NET_INCOME_TO_COMMON_5_YR_GROWTH","FY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23" s="2" t="e">
        <f ca="1">_xll.BDH($C$303,"5Y_GEO_GROWTH_DILUTED_EPS","FY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23" s="2" t="e">
        <f ca="1">_xll.BDH($C$303,"GEO_GROW_DVD_PER_SH","FY 2018","FY 2018","Currency=INR","Period=FY","BEST_FPERIOD_OVERRIDE=FY","FILING_STATUS=OR","EQY_CONSOLIDATED=Y","Sort=A","Dates=H","DateFormat=P","Fill=—","Direction=H","UseDPDF=Y")</f>
        <v>#NAME?</v>
      </c>
      <c r="AS323" s="2" t="e">
        <f ca="1">_xll.BDH($C$303,"ACCOUNTS_RECEIVABLE_5_YR_GROWTH","FY 2018","FY 2018","Currency=INR","Period=FY","BEST_FPERIOD_OVERRIDE=FY","FILING_STATUS=OR","EQY_CONSOLIDATED=Y","Sort=A","Dates=H","DateFormat=P","Fill=—","Direction=H","UseDPDF=Y")</f>
        <v>#NAME?</v>
      </c>
      <c r="AT323" s="2" t="e">
        <f ca="1">_xll.BDH($C$303,"INVENTORY_5_YEAR_GROWTH","FY 2018","FY 2018","Currency=INR","Period=FY","BEST_FPERIOD_OVERRIDE=FY","FILING_STATUS=OR","EQY_CONSOLIDATED=Y","Sort=A","Dates=H","DateFormat=P","Fill=—","Direction=H","UseDPDF=Y")</f>
        <v>#NAME?</v>
      </c>
      <c r="AU323" s="2" t="e">
        <f ca="1">_xll.BDH($C$303,"NET_FIXED_ASSETS_5_YEAR_GROWTH","FY 2018","FY 2018","Currency=INR","Period=FY","BEST_FPERIOD_OVERRIDE=FY","FILING_STATUS=OR","EQY_CONSOLIDATED=Y","Sort=A","Dates=H","DateFormat=P","Fill=—","Direction=H","UseDPDF=Y")</f>
        <v>#NAME?</v>
      </c>
      <c r="AV323" s="2" t="e">
        <f ca="1">_xll.BDH($C$303,"GEO_GROW_TOT_ASSET","FY 2018","FY 2018","Currency=INR","Period=FY","BEST_FPERIOD_OVERRIDE=FY","FILING_STATUS=OR","EQY_CONSOLIDATED=Y","Sort=A","Dates=H","DateFormat=P","Fill=—","Direction=H","UseDPDF=Y")</f>
        <v>#NAME?</v>
      </c>
      <c r="AW323" s="2" t="e">
        <f ca="1">_xll.BDH($C$303,"MODIFIED_WORKING_CPTL_5YR_GRWTH","FY 2018","FY 2018","Currency=INR","Period=FY","BEST_FPERIOD_OVERRIDE=FY","FILING_STATUS=OR","EQY_CONSOLIDATED=Y","Sort=A","Dates=H","DateFormat=P","Fill=—","Direction=H","UseDPDF=Y")</f>
        <v>#NAME?</v>
      </c>
      <c r="AX323" s="2" t="e">
        <f ca="1">_xll.BDH($C$303,"WORKING_CAPITAL_5_YEAR_GROWTH","FY 2018","FY 2018","Currency=INR","Period=FY","BEST_FPERIOD_OVERRIDE=FY","FILING_STATUS=OR","EQY_CONSOLIDATED=Y","Sort=A","Dates=H","DateFormat=P","Fill=—","Direction=H","UseDPDF=Y")</f>
        <v>#NAME?</v>
      </c>
      <c r="AY323" s="2" t="e">
        <f ca="1">_xll.BDH($C$303,"ACCOUNTS_PAYABLE_5_YEAR_GROWTH","FY 2018","FY 2018","Currency=INR","Period=FY","BEST_FPERIOD_OVERRIDE=FY","FILING_STATUS=OR","EQY_CONSOLIDATED=Y","Sort=A","Dates=H","DateFormat=P","Fill=—","Direction=H","UseDPDF=Y")</f>
        <v>#NAME?</v>
      </c>
      <c r="AZ323" s="2" t="e">
        <f ca="1">_xll.BDH($C$303,"SHORT_TERM_DEBT_5_YEAR_GROWTH","FY 2018","FY 2018","Currency=INR","Period=FY","BEST_FPERIOD_OVERRIDE=FY","FILING_STATUS=OR","EQY_CONSOLIDATED=Y","Sort=A","Dates=H","DateFormat=P","Fill=—","Direction=H","UseDPDF=Y")</f>
        <v>#NAME?</v>
      </c>
      <c r="BA323" s="2" t="e">
        <f ca="1">_xll.BDH($C$303,"TOTAL_DEBT_5_YEAR_GROWTH","FY 2018","FY 2018","Currency=INR","Period=FY","BEST_FPERIOD_OVERRIDE=FY","FILING_STATUS=OR","EQY_CONSOLIDATED=Y","Sort=A","Dates=H","DateFormat=P","Fill=—","Direction=H","UseDPDF=Y")</f>
        <v>#NAME?</v>
      </c>
      <c r="BB323" s="2" t="e">
        <f ca="1">_xll.BDH($C$303,"GEO_GROW_TOT_SHRHLDR_EQY","FY 2018","FY 2018","Currency=INR","Period=FY","BEST_FPERIOD_OVERRIDE=FY","FILING_STATUS=OR","EQY_CONSOLIDATED=Y","Sort=A","Dates=H","DateFormat=P","Fill=—","Direction=H","UseDPDF=Y")</f>
        <v>#NAME?</v>
      </c>
      <c r="BC323" s="2" t="e">
        <f ca="1">_xll.BDH($C$303,"TOTAL_CAPITAL_5_YEAR_GROWTH","FY 2018","FY 2018","Currency=INR","Period=FY","BEST_FPERIOD_OVERRIDE=FY","FILING_STATUS=OR","EQY_CONSOLIDATED=Y","Sort=A","Dates=H","DateFormat=P","Fill=—","Direction=H","UseDPDF=Y")</f>
        <v>#NAME?</v>
      </c>
      <c r="BD323" s="2" t="e">
        <f ca="1">_xll.BDH($C$303,"GEO_GROW_BOOK_VAL","FY 2018","FY 2018","Currency=INR","Period=FY","BEST_FPERIOD_OVERRIDE=FY","FILING_STATUS=OR","EQY_CONSOLIDATED=Y","Sort=A","Dates=H","DateFormat=P","Fill=—","Direction=H","UseDPDF=Y")</f>
        <v>#NAME?</v>
      </c>
      <c r="BE323" s="2" t="e">
        <f ca="1">_xll.BDH($C$303,"GEO_GROW_CASH_OPER_ACT","FY 2018","FY 2018","Currency=INR","Period=FY","BEST_FPERIOD_OVERRIDE=FY","FILING_STATUS=OR","EQY_CONSOLIDATED=Y","Sort=A","Dates=H","DateFormat=P","Fill=—","Direction=H","UseDPDF=Y")</f>
        <v>#NAME?</v>
      </c>
      <c r="BF323" s="2" t="e">
        <f ca="1">_xll.BDH($C$303,"REVENUE_SEQUENTIAL_GROWTH","FY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23" s="2" t="e">
        <f ca="1">_xll.BDH($C$303,"EBITDA_SEQUENTIAL_GROWTH","FY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23" s="2" t="e">
        <f ca="1">_xll.BDH($C$303,"OPERATING_INCOME_SEQ_GROWTH","FY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23" s="2" t="e">
        <f ca="1">_xll.BDH($C$303,"NET_INCOME_TO_COMMON_SEQ_GROWTH","FY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23" s="2" t="e">
        <f ca="1">_xll.BDH($C$303,"EPS_DILUTED_SEQUENTIAL_GROWTH","FY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23" s="2" t="e">
        <f ca="1">_xll.BDH($C$303,"DPS_SEQUENTIAL_GROWTH","FY 2018","FY 2018","Currency=INR","Period=FY","BEST_FPERIOD_OVERRIDE=FY","FILING_STATUS=OR","EQY_CONSOLIDATED=Y","Sort=A","Dates=H","DateFormat=P","Fill=—","Direction=H","UseDPDF=Y")</f>
        <v>#NAME?</v>
      </c>
      <c r="BL323" s="2" t="e">
        <f ca="1">_xll.BDH($C$303,"ACCOUNTS_RECEIVABLE_SEQ_GROWTH","FY 2018","FY 2018","Currency=INR","Period=FY","BEST_FPERIOD_OVERRIDE=FY","FILING_STATUS=OR","EQY_CONSOLIDATED=Y","Sort=A","Dates=H","DateFormat=P","Fill=—","Direction=H","UseDPDF=Y")</f>
        <v>#NAME?</v>
      </c>
      <c r="BM323" s="2" t="e">
        <f ca="1">_xll.BDH($C$303,"INVENTORY_SEQUENTIAL_GROWTH","FY 2018","FY 2018","Currency=INR","Period=FY","BEST_FPERIOD_OVERRIDE=FY","FILING_STATUS=OR","EQY_CONSOLIDATED=Y","Sort=A","Dates=H","DateFormat=P","Fill=—","Direction=H","UseDPDF=Y")</f>
        <v>#NAME?</v>
      </c>
      <c r="BN323" s="2" t="e">
        <f ca="1">_xll.BDH($C$303,"FIXED_ASSETS_SEQUENTIAL_GROWTH","FY 2018","FY 2018","Currency=INR","Period=FY","BEST_FPERIOD_OVERRIDE=FY","FILING_STATUS=OR","EQY_CONSOLIDATED=Y","Sort=A","Dates=H","DateFormat=P","Fill=—","Direction=H","UseDPDF=Y")</f>
        <v>#NAME?</v>
      </c>
      <c r="BO323" s="2" t="e">
        <f ca="1">_xll.BDH($C$303,"TOTAL_ASSETS_SEQUENTIAL_GROWTH","FY 2018","FY 2018","Currency=INR","Period=FY","BEST_FPERIOD_OVERRIDE=FY","FILING_STATUS=OR","EQY_CONSOLIDATED=Y","Sort=A","Dates=H","DateFormat=P","Fill=—","Direction=H","UseDPDF=Y")</f>
        <v>#NAME?</v>
      </c>
      <c r="BP323" s="2" t="e">
        <f ca="1">_xll.BDH($C$303,"MODIFIED_WORKING_CPTL_SEQ_GRWTH","FY 2018","FY 2018","Currency=INR","Period=FY","BEST_FPERIOD_OVERRIDE=FY","FILING_STATUS=OR","EQY_CONSOLIDATED=Y","Sort=A","Dates=H","DateFormat=P","Fill=—","Direction=H","UseDPDF=Y")</f>
        <v>#NAME?</v>
      </c>
      <c r="BQ323" s="2" t="e">
        <f ca="1">_xll.BDH($C$303,"WORKING_CAPITAL_SEQ_GROWTH","FY 2018","FY 2018","Currency=INR","Period=FY","BEST_FPERIOD_OVERRIDE=FY","FILING_STATUS=OR","EQY_CONSOLIDATED=Y","Sort=A","Dates=H","DateFormat=P","Fill=—","Direction=H","UseDPDF=Y")</f>
        <v>#NAME?</v>
      </c>
      <c r="BR323" s="2" t="e">
        <f ca="1">_xll.BDH($C$303,"ACCOUNTS_PAYABLE_SEQ_GROWTH","FY 2018","FY 2018","Currency=INR","Period=FY","BEST_FPERIOD_OVERRIDE=FY","FILING_STATUS=OR","EQY_CONSOLIDATED=Y","Sort=A","Dates=H","DateFormat=P","Fill=—","Direction=H","UseDPDF=Y")</f>
        <v>#NAME?</v>
      </c>
      <c r="BS323" s="2" t="e">
        <f ca="1">_xll.BDH($C$303,"ST_DEBT_SEQUENTIAL_GROWTH","FY 2018","FY 2018","Currency=INR","Period=FY","BEST_FPERIOD_OVERRIDE=FY","FILING_STATUS=OR","EQY_CONSOLIDATED=Y","Sort=A","Dates=H","DateFormat=P","Fill=—","Direction=H","UseDPDF=Y")</f>
        <v>#NAME?</v>
      </c>
      <c r="BT323" s="2" t="e">
        <f ca="1">_xll.BDH($C$303,"TOTAL_DEBT_SEQUENTIAL_GROWTH","FY 2018","FY 2018","Currency=INR","Period=FY","BEST_FPERIOD_OVERRIDE=FY","FILING_STATUS=OR","EQY_CONSOLIDATED=Y","Sort=A","Dates=H","DateFormat=P","Fill=—","Direction=H","UseDPDF=Y")</f>
        <v>#NAME?</v>
      </c>
      <c r="BU323" s="2" t="e">
        <f ca="1">_xll.BDH($C$303,"TOTAL_EQUITY_SEQUENTIAL_GROWTH","FY 2018","FY 2018","Currency=INR","Period=FY","BEST_FPERIOD_OVERRIDE=FY","FILING_STATUS=OR","EQY_CONSOLIDATED=Y","Sort=A","Dates=H","DateFormat=P","Fill=—","Direction=H","UseDPDF=Y")</f>
        <v>#NAME?</v>
      </c>
      <c r="BV323" s="2" t="e">
        <f ca="1">_xll.BDH($C$303,"TOTAL_CAPITAL_SEQUENTIAL_GROWTH","FY 2018","FY 2018","Currency=INR","Period=FY","BEST_FPERIOD_OVERRIDE=FY","FILING_STATUS=OR","EQY_CONSOLIDATED=Y","Sort=A","Dates=H","DateFormat=P","Fill=—","Direction=H","UseDPDF=Y")</f>
        <v>#NAME?</v>
      </c>
      <c r="BW323" s="2" t="e">
        <f ca="1">_xll.BDH($C$303,"BPS_SEQUENTIAL_GROWTH","FY 2018","FY 2018","Currency=INR","Period=FY","BEST_FPERIOD_OVERRIDE=FY","FILING_STATUS=OR","EQY_CONSOLIDATED=Y","Sort=A","Dates=H","DateFormat=P","Fill=—","Direction=H","UseDPDF=Y")</f>
        <v>#NAME?</v>
      </c>
      <c r="BX323" s="2" t="e">
        <f ca="1">_xll.BDH($C$303,"CFO_SEQUENTIAL_GROWTH","FY 2018","FY 2018","Currency=INR","Period=FY","BEST_FPERIOD_OVERRIDE=FY","FILING_STATUS=OR","EQY_CONSOLIDATED=Y","Sort=A","Dates=H","DateFormat=P","Fill=—","Direction=H","UseDPDF=Y")</f>
        <v>#NAME?</v>
      </c>
      <c r="BY323" s="3" t="e">
        <f ca="1">_xll.BDH($C$303,"SHORT_AND_LONG_TERM_DEBT","FY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23" s="3" t="e">
        <f ca="1">_xll.BDH($C$303,"BS_ST_BORROW","FY 2018","FY 2018","Currency=INR","Period=FY","BEST_FPERIOD_OVERRIDE=FY","FILING_STATUS=OR","EQY_CONSOLIDATED=Y","SCALING_FORMAT=MLN","Sort=A","Dates=H","DateFormat=P","Fill=—","Direction=H","UseDPDF=Y")</f>
        <v>#NAME?</v>
      </c>
      <c r="CA323" s="3" t="e">
        <f ca="1">_xll.BDH($C$303,"BS_LT_BORROW","FY 2018","FY 2018","Currency=INR","Period=FY","BEST_FPERIOD_OVERRIDE=FY","FILING_STATUS=OR","EQY_CONSOLIDATED=Y","SCALING_FORMAT=MLN","Sort=A","Dates=H","DateFormat=P","Fill=—","Direction=H","UseDPDF=Y")</f>
        <v>#NAME?</v>
      </c>
      <c r="CB323" s="2" t="e">
        <f ca="1">_xll.BDH($C$303,"TOT_DEBT_TO_EBITDA","FY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23" s="2" t="e">
        <f ca="1">_xll.BDH($C$303,"NET_DEBT_TO_EBITDA","FY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23" s="2" t="e">
        <f ca="1">_xll.BDH($C$303,"TOTAL_DEBT_TO_EBIT","FY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23" s="2" t="e">
        <f ca="1">_xll.BDH($C$303,"NET_DEBT_TO_EBIT","FY 2018","FY 2018","Currency=INR","Period=FY","BEST_FPERIOD_OVERRIDE=FY","FILING_STATUS=OR","EQY_CONSOLIDATED=Y","FA_ADJUSTED=GAAP","Sort=A","Dates=H","DateFormat=P","Fill=—","Direction=H","UseDPDF=Y")</f>
        <v>#NAME?</v>
      </c>
      <c r="CF323" s="2" t="e">
        <f ca="1">_xll.BDH($C$303,"EBITDA_TO_INTEREST_EXPN","FY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23" s="2" t="e">
        <f ca="1">_xll.BDH($C$303,"COM_EQY_TO_TOT_ASSET","FY 2018","FY 2018","Currency=INR","Period=FY","BEST_FPERIOD_OVERRIDE=FY","FILING_STATUS=OR","EQY_CONSOLIDATED=Y","Sort=A","Dates=H","DateFormat=P","Fill=—","Direction=H","UseDPDF=Y")</f>
        <v>#NAME?</v>
      </c>
      <c r="CH323" s="2" t="e">
        <f ca="1">_xll.BDH($C$303,"LT_DEBT_TO_TOT_EQY","FY 2018","FY 2018","Currency=INR","Period=FY","BEST_FPERIOD_OVERRIDE=FY","FILING_STATUS=OR","EQY_CONSOLIDATED=Y","Sort=A","Dates=H","DateFormat=P","Fill=—","Direction=H","UseDPDF=Y")</f>
        <v>#NAME?</v>
      </c>
      <c r="CI323" s="2" t="e">
        <f ca="1">_xll.BDH($C$303,"LT_DEBT_TO_TOT_CAP","FY 2018","FY 2018","Currency=INR","Period=FY","BEST_FPERIOD_OVERRIDE=FY","FILING_STATUS=OR","EQY_CONSOLIDATED=Y","Sort=A","Dates=H","DateFormat=P","Fill=—","Direction=H","UseDPDF=Y")</f>
        <v>#NAME?</v>
      </c>
      <c r="CJ323" s="2" t="e">
        <f ca="1">_xll.BDH($C$303,"LT_DEBT_TO_TOT_ASSET","FY 2018","FY 2018","Currency=INR","Period=FY","BEST_FPERIOD_OVERRIDE=FY","FILING_STATUS=OR","EQY_CONSOLIDATED=Y","Sort=A","Dates=H","DateFormat=P","Fill=—","Direction=H","UseDPDF=Y")</f>
        <v>#NAME?</v>
      </c>
      <c r="CK323" s="2" t="e">
        <f ca="1">_xll.BDH($C$303,"TOT_DEBT_TO_TOT_EQY","FY 2018","FY 2018","Currency=INR","Period=FY","BEST_FPERIOD_OVERRIDE=FY","FILING_STATUS=OR","EQY_CONSOLIDATED=Y","Sort=A","Dates=H","DateFormat=P","Fill=—","Direction=H","UseDPDF=Y")</f>
        <v>#NAME?</v>
      </c>
      <c r="CL323" s="2" t="e">
        <f ca="1">_xll.BDH($C$303,"TOT_DEBT_TO_TOT_CAP","FY 2018","FY 2018","Currency=INR","Period=FY","BEST_FPERIOD_OVERRIDE=FY","FILING_STATUS=OR","EQY_CONSOLIDATED=Y","Sort=A","Dates=H","DateFormat=P","Fill=—","Direction=H","UseDPDF=Y")</f>
        <v>#NAME?</v>
      </c>
      <c r="CM323" s="2" t="e">
        <f ca="1">_xll.BDH($C$303,"TOT_DEBT_TO_TOT_ASSET","FY 2018","FY 2018","Currency=INR","Period=FY","BEST_FPERIOD_OVERRIDE=FY","FILING_STATUS=OR","EQY_CONSOLIDATED=Y","Sort=A","Dates=H","DateFormat=P","Fill=—","Direction=H","UseDPDF=Y")</f>
        <v>#NAME?</v>
      </c>
      <c r="CN323" s="2" t="e">
        <f ca="1">_xll.BDH($C$303,"NET_DEBT_TO_SHRHLDR_EQTY","FY 2018","FY 2018","Currency=INR","Period=FY","BEST_FPERIOD_OVERRIDE=FY","FILING_STATUS=OR","EQY_CONSOLIDATED=Y","Sort=A","Dates=H","DateFormat=P","Fill=—","Direction=H","UseDPDF=Y")</f>
        <v>#NAME?</v>
      </c>
      <c r="CO323" s="2" t="e">
        <f ca="1">_xll.BDH($C$303,"NET_DEBT_%_CAPITAL","FY 2018","FY 2018","Currency=INR","Period=FY","BEST_FPERIOD_OVERRIDE=FY","FILING_STATUS=OR","EQY_CONSOLIDATED=Y","Sort=A","Dates=H","DateFormat=P","Fill=—","Direction=H","UseDPDF=Y")</f>
        <v>#NAME?</v>
      </c>
      <c r="CP323" s="3" t="e">
        <f ca="1">_xll.BDH($C$303,"EBITDA","FY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23" s="3" t="e">
        <f ca="1">_xll.BDH($C$303,"EBITDA_AFTER_CAPEX","FY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23" s="3" t="e">
        <f ca="1">_xll.BDH($C$303,"IS_OPER_INC","FY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23" s="2" t="e">
        <f ca="1">_xll.BDH($C$303,"CASH_RATIO","FY 2018","FY 2018","Currency=INR","Period=FY","BEST_FPERIOD_OVERRIDE=FY","FILING_STATUS=OR","EQY_CONSOLIDATED=Y","Sort=A","Dates=H","DateFormat=P","Fill=—","Direction=H","UseDPDF=Y")</f>
        <v>#NAME?</v>
      </c>
      <c r="CT323" s="2" t="e">
        <f ca="1">_xll.BDH($C$303,"CUR_RATIO","FY 2018","FY 2018","Currency=INR","Period=FY","BEST_FPERIOD_OVERRIDE=FY","FILING_STATUS=OR","EQY_CONSOLIDATED=Y","Sort=A","Dates=H","DateFormat=P","Fill=—","Direction=H","UseDPDF=Y")</f>
        <v>#NAME?</v>
      </c>
      <c r="CU323" s="2" t="e">
        <f ca="1">_xll.BDH($C$303,"QUICK_RATIO","FY 2018","FY 2018","Currency=INR","Period=FY","BEST_FPERIOD_OVERRIDE=FY","FILING_STATUS=OR","EQY_CONSOLIDATED=Y","Sort=A","Dates=H","DateFormat=P","Fill=—","Direction=H","UseDPDF=Y")</f>
        <v>#NAME?</v>
      </c>
      <c r="CV323" s="2" t="e">
        <f ca="1">_xll.BDH($C$303,"ALTMAN_Z_SCORE","FY 2018","FY 2018","Currency=INR","Period=FY","BEST_FPERIOD_OVERRIDE=FY","FILING_STATUS=OR","EQY_CONSOLIDATED=Y","Sort=A","Dates=H","DateFormat=P","Fill=—","Direction=H","UseDPDF=Y")</f>
        <v>#NAME?</v>
      </c>
      <c r="CW323" s="4" t="e">
        <f ca="1">_xll.BDH($C$303,"ACCT_RCV_TURN","FY 2018","FY 2018","Currency=INR","Period=FY","BEST_FPERIOD_OVERRIDE=FY","FILING_STATUS=OR","EQY_CONSOLIDATED=Y","FA_ADJUSTED=GAAP","Sort=A","Dates=H","DateFormat=P","Fill=—","Direction=H","UseDPDF=Y")</f>
        <v>#NAME?</v>
      </c>
      <c r="CX323" s="2" t="e">
        <f ca="1">_xll.BDH($C$303,"ACCT_RCV_DAYS","FY 2018","FY 2018","Currency=INR","Period=FY","BEST_FPERIOD_OVERRIDE=FY","FILING_STATUS=OR","EQY_CONSOLIDATED=Y","FA_ADJUSTED=GAAP","Sort=A","Dates=H","DateFormat=P","Fill=—","Direction=H","UseDPDF=Y")</f>
        <v>#NAME?</v>
      </c>
      <c r="CY323" s="4" t="e">
        <f ca="1">_xll.BDH($C$303,"INVENT_TURN","FY 2018","FY 2018","Currency=INR","Period=FY","BEST_FPERIOD_OVERRIDE=FY","FILING_STATUS=OR","EQY_CONSOLIDATED=Y","FA_ADJUSTED=GAAP","Sort=A","Dates=H","DateFormat=P","Fill=—","Direction=H","UseDPDF=Y")</f>
        <v>#NAME?</v>
      </c>
      <c r="CZ323" s="2" t="e">
        <f ca="1">_xll.BDH($C$303,"INVENT_DAYS","FY 2018","FY 2018","Currency=INR","Period=FY","BEST_FPERIOD_OVERRIDE=FY","FILING_STATUS=OR","EQY_CONSOLIDATED=Y","FA_ADJUSTED=GAAP","Sort=A","Dates=H","DateFormat=P","Fill=—","Direction=H","UseDPDF=Y")</f>
        <v>#NAME?</v>
      </c>
      <c r="DA323" s="4" t="e">
        <f ca="1">_xll.BDH($C$303,"ACCOUNTS_PAYABLE_TURNOVER","FY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23" s="2" t="e">
        <f ca="1">_xll.BDH($C$303,"ACCOUNTS_PAYABLE_TURNOVER_DAYS","FY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23" s="4" t="e">
        <f ca="1">_xll.BDH($C$303,"CASH_CONVERSION_CYCLE","FY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23" s="4" t="e">
        <f ca="1">_xll.BDH($C$303,"INV_TO_CASH_DAYS","FY 2018","FY 2018","Currency=INR","Period=FY","BEST_FPERIOD_OVERRIDE=FY","FILING_STATUS=OR","EQY_CONSOLIDATED=Y","FA_ADJUSTED=GAAP","Sort=A","Dates=H","DateFormat=P","Fill=—","Direction=H","UseDPDF=Y")</f>
        <v>#NAME?</v>
      </c>
      <c r="DE323" s="5" t="e">
        <f ca="1">_xll.BDH($C$303,"BS_INVENTORIES","FY 2018","FY 2018","Currency=INR","Period=FY","BEST_FPERIOD_OVERRIDE=FY","FILING_STATUS=OR","EQY_CONSOLIDATED=Y","SCALING_FORMAT=MLN","Sort=A","Dates=H","DateFormat=P","Fill=—","Direction=H","UseDPDF=Y")</f>
        <v>#NAME?</v>
      </c>
      <c r="DF323" s="3" t="e">
        <f ca="1">_xll.BDH($C$303,"INVTRY_RAW_MATERIALS","FY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23" s="3" t="e">
        <f ca="1">_xll.BDH($C$303,"INVTRY_IN_PROGRESS","FY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23" s="3" t="e">
        <f ca="1">_xll.BDH($C$303,"INVTRY_FINISHED_GOODS","FY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23" s="3" t="e">
        <f ca="1">_xll.BDH($C$303,"BS_OTHER_INV","FY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24" spans="1:113" x14ac:dyDescent="0.3">
      <c r="A324" s="6"/>
      <c r="B324" s="6"/>
      <c r="C324" s="6"/>
      <c r="D324" s="6"/>
      <c r="E324" t="s">
        <v>78</v>
      </c>
      <c r="F324" t="e">
        <f ca="1">_xll.BDH($C$303,"RETURN_COM_EQY","FQ1 2018","FQ1 2018","Currency=INR","Period=FQ","BEST_FPERIOD_OVERRIDE=FQ","FILING_STATUS=OR","EQY_CONSOLIDATED=Y","FA_ADJUSTED=GAAP","Sort=A","Dates=H","DateFormat=P","Fill=—","Direction=H","UseDPDF=Y")</f>
        <v>#NAME?</v>
      </c>
      <c r="G324" t="e">
        <f ca="1">_xll.BDH($C$303,"RETURN_ON_ASSET","FQ1 2018","FQ1 2018","Currency=INR","Period=FQ","BEST_FPERIOD_OVERRIDE=FQ","FILING_STATUS=OR","EQY_CONSOLIDATED=Y","FA_ADJUSTED=GAAP","Sort=A","Dates=H","DateFormat=P","Fill=—","Direction=H","UseDPDF=Y")</f>
        <v>#NAME?</v>
      </c>
      <c r="H324" t="e">
        <f ca="1">_xll.BDH($C$303,"RETURN_ON_CAP","FQ1 2018","FQ1 2018","Currency=INR","Period=FQ","BEST_FPERIOD_OVERRIDE=FQ","FILING_STATUS=OR","EQY_CONSOLIDATED=Y","FA_ADJUSTED=GAAP","Sort=A","Dates=H","DateFormat=P","Fill=—","Direction=H","UseDPDF=Y")</f>
        <v>#NAME?</v>
      </c>
      <c r="I324" t="e">
        <f ca="1">_xll.BDH($C$303,"RETURN_ON_INV_CAPITAL","FQ1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24" t="e">
        <f ca="1">_xll.BDH($C$303,"EBITDA_TO_REVENUE","FQ1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24" t="e">
        <f ca="1">_xll.BDH($C$303,"OPER_MARGIN","FQ1 2018","FQ1 2018","Currency=INR","Period=FQ","BEST_FPERIOD_OVERRIDE=FQ","FILING_STATUS=OR","EQY_CONSOLIDATED=Y","FA_ADJUSTED=GAAP","Sort=A","Dates=H","DateFormat=P","Fill=—","Direction=H","UseDPDF=Y")</f>
        <v>#NAME?</v>
      </c>
      <c r="L324" t="e">
        <f ca="1">_xll.BDH($C$303,"INCREMENTAL_OPERATING_MARGIN","FQ1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24" t="e">
        <f ca="1">_xll.BDH($C$303,"PRETAX_INC_TO_NET_SALES","FQ1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24" t="e">
        <f ca="1">_xll.BDH($C$303,"INC_BEF_XO_ITEMS_TO_NET_SALES","FQ1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24" t="e">
        <f ca="1">_xll.BDH($C$303,"PROF_MARGIN","FQ1 2018","FQ1 2018","Currency=INR","Period=FQ","BEST_FPERIOD_OVERRIDE=FQ","FILING_STATUS=OR","EQY_CONSOLIDATED=Y","FA_ADJUSTED=GAAP","Sort=A","Dates=H","DateFormat=P","Fill=—","Direction=H","UseDPDF=Y")</f>
        <v>#NAME?</v>
      </c>
      <c r="P324" t="e">
        <f ca="1">_xll.BDH($C$303,"NET_INCOME_TO_COMMON_MARGIN","FQ1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24" t="e">
        <f ca="1">_xll.BDH($C$303,"EFF_TAX_RATE","FQ1 2018","FQ1 2018","Currency=INR","Period=FQ","BEST_FPERIOD_OVERRIDE=FQ","FILING_STATUS=OR","EQY_CONSOLIDATED=Y","FA_ADJUSTED=GAAP","Sort=A","Dates=H","DateFormat=P","Fill=—","Direction=H","UseDPDF=Y")</f>
        <v>#NAME?</v>
      </c>
      <c r="R324" t="e">
        <f ca="1">_xll.BDH($C$303,"DVD_PAYOUT_RATIO","FQ1 2018","FQ1 2018","Currency=INR","Period=FQ","BEST_FPERIOD_OVERRIDE=FQ","FILING_STATUS=OR","EQY_CONSOLIDATED=Y","FA_ADJUSTED=GAAP","Sort=A","Dates=H","DateFormat=P","Fill=—","Direction=H","UseDPDF=Y")</f>
        <v>#NAME?</v>
      </c>
      <c r="S324" t="e">
        <f ca="1">_xll.BDH($C$303,"SUSTAIN_GROWTH_RT","FQ1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24" s="2" t="e">
        <f ca="1">_xll.BDH($C$303,"SALES_GROWTH","FQ1 2018","FQ1 2018","Currency=INR","Period=FQ","BEST_FPERIOD_OVERRIDE=FQ","FILING_STATUS=OR","EQY_CONSOLIDATED=Y","FA_ADJUSTED=GAAP","Sort=A","Dates=H","DateFormat=P","Fill=—","Direction=H","UseDPDF=Y")</f>
        <v>#NAME?</v>
      </c>
      <c r="U324" s="2" t="e">
        <f ca="1">_xll.BDH($C$303,"EBITDA_GROWTH","FQ1 2018","FQ1 2018","Currency=INR","Period=FQ","BEST_FPERIOD_OVERRIDE=FQ","FILING_STATUS=OR","EQY_CONSOLIDATED=Y","FA_ADJUSTED=GAAP","Sort=A","Dates=H","DateFormat=P","Fill=—","Direction=H","UseDPDF=Y")</f>
        <v>#NAME?</v>
      </c>
      <c r="V324" s="2" t="e">
        <f ca="1">_xll.BDH($C$303,"OPER_INC_GROWTH","FQ1 2018","FQ1 2018","Currency=INR","Period=FQ","BEST_FPERIOD_OVERRIDE=FQ","FILING_STATUS=OR","EQY_CONSOLIDATED=Y","FA_ADJUSTED=GAAP","Sort=A","Dates=H","DateFormat=P","Fill=—","Direction=H","UseDPDF=Y")</f>
        <v>#NAME?</v>
      </c>
      <c r="W324" s="2" t="e">
        <f ca="1">_xll.BDH($C$303,"EARN_FOR_COM_GROWTH","FQ1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24" s="2" t="e">
        <f ca="1">_xll.BDH($C$303,"DILUTED_EPS_AFT_XO_ITEMS_GROWTH","FQ1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24" s="2" t="e">
        <f ca="1">_xll.BDH($C$303,"DIVIDEND_PER_SHARE_1_YEAR_GROWTH","FQ1 2018","FQ1 2018","Currency=INR","Period=FQ","BEST_FPERIOD_OVERRIDE=FQ","FILING_STATUS=OR","EQY_CONSOLIDATED=Y","Sort=A","Dates=H","DateFormat=P","Fill=—","Direction=H","UseDPDF=Y")</f>
        <v>#NAME?</v>
      </c>
      <c r="Z324" s="2" t="e">
        <f ca="1">_xll.BDH($C$303,"ACCOUNTS_RECEIVABLE_GROWTH","FQ1 2018","FQ1 2018","Currency=INR","Period=FQ","BEST_FPERIOD_OVERRIDE=FQ","FILING_STATUS=OR","EQY_CONSOLIDATED=Y","Sort=A","Dates=H","DateFormat=P","Fill=—","Direction=H","UseDPDF=Y")</f>
        <v>#NAME?</v>
      </c>
      <c r="AA324" s="2" t="e">
        <f ca="1">_xll.BDH($C$303,"INVENTORY_GROWTH","FQ1 2018","FQ1 2018","Currency=INR","Period=FQ","BEST_FPERIOD_OVERRIDE=FQ","FILING_STATUS=OR","EQY_CONSOLIDATED=Y","Sort=A","Dates=H","DateFormat=P","Fill=—","Direction=H","UseDPDF=Y")</f>
        <v>#NAME?</v>
      </c>
      <c r="AB324" s="2" t="e">
        <f ca="1">_xll.BDH($C$303,"NET_FIXED_ASSETS_1_YEAR_GROWTH","FQ1 2018","FQ1 2018","Currency=INR","Period=FQ","BEST_FPERIOD_OVERRIDE=FQ","FILING_STATUS=OR","EQY_CONSOLIDATED=Y","Sort=A","Dates=H","DateFormat=P","Fill=—","Direction=H","UseDPDF=Y")</f>
        <v>#NAME?</v>
      </c>
      <c r="AC324" s="2" t="e">
        <f ca="1">_xll.BDH($C$303,"ASSET_GROWTH","FQ1 2018","FQ1 2018","Currency=INR","Period=FQ","BEST_FPERIOD_OVERRIDE=FQ","FILING_STATUS=OR","EQY_CONSOLIDATED=Y","Sort=A","Dates=H","DateFormat=P","Fill=—","Direction=H","UseDPDF=Y")</f>
        <v>#NAME?</v>
      </c>
      <c r="AD324" s="2" t="e">
        <f ca="1">_xll.BDH($C$303,"MODIFIED_WORK_CAP_GROWTH","FQ1 2018","FQ1 2018","Currency=INR","Period=FQ","BEST_FPERIOD_OVERRIDE=FQ","FILING_STATUS=OR","EQY_CONSOLIDATED=Y","Sort=A","Dates=H","DateFormat=P","Fill=—","Direction=H","UseDPDF=Y")</f>
        <v>#NAME?</v>
      </c>
      <c r="AE324" s="2" t="e">
        <f ca="1">_xll.BDH($C$303,"WORK_CAP_GROWTH","FQ1 2018","FQ1 2018","Currency=INR","Period=FQ","BEST_FPERIOD_OVERRIDE=FQ","FILING_STATUS=OR","EQY_CONSOLIDATED=Y","Sort=A","Dates=H","DateFormat=P","Fill=—","Direction=H","UseDPDF=Y")</f>
        <v>#NAME?</v>
      </c>
      <c r="AF324" s="2" t="e">
        <f ca="1">_xll.BDH($C$303,"ACCOUNTS_PAYABLE_GROWTH_1YR","FQ1 2018","FQ1 2018","Currency=INR","Period=FQ","BEST_FPERIOD_OVERRIDE=FQ","FILING_STATUS=OR","EQY_CONSOLIDATED=Y","Sort=A","Dates=H","DateFormat=P","Fill=—","Direction=H","UseDPDF=Y")</f>
        <v>#NAME?</v>
      </c>
      <c r="AG324" s="2" t="e">
        <f ca="1">_xll.BDH($C$303,"SHORT_TERM_DEBT_1_YEAR_GROWTH","FQ1 2018","FQ1 2018","Currency=INR","Period=FQ","BEST_FPERIOD_OVERRIDE=FQ","FILING_STATUS=OR","EQY_CONSOLIDATED=Y","Sort=A","Dates=H","DateFormat=P","Fill=—","Direction=H","UseDPDF=Y")</f>
        <v>#NAME?</v>
      </c>
      <c r="AH324" s="2" t="e">
        <f ca="1">_xll.BDH($C$303,"TOTAL_DEBT_1_YEAR_GROWTH","FQ1 2018","FQ1 2018","Currency=INR","Period=FQ","BEST_FPERIOD_OVERRIDE=FQ","FILING_STATUS=OR","EQY_CONSOLIDATED=Y","Sort=A","Dates=H","DateFormat=P","Fill=—","Direction=H","UseDPDF=Y")</f>
        <v>#NAME?</v>
      </c>
      <c r="AI324" s="2" t="e">
        <f ca="1">_xll.BDH($C$303,"TOTAL_EQUITY_1_YEAR_GROWTH","FQ1 2018","FQ1 2018","Currency=INR","Period=FQ","BEST_FPERIOD_OVERRIDE=FQ","FILING_STATUS=OR","EQY_CONSOLIDATED=Y","Sort=A","Dates=H","DateFormat=P","Fill=—","Direction=H","UseDPDF=Y")</f>
        <v>#NAME?</v>
      </c>
      <c r="AJ324" s="2" t="e">
        <f ca="1">_xll.BDH($C$303,"GROWTH_IN_CAP","FQ1 2018","FQ1 2018","Currency=INR","Period=FQ","BEST_FPERIOD_OVERRIDE=FQ","FILING_STATUS=OR","EQY_CONSOLIDATED=Y","Sort=A","Dates=H","DateFormat=P","Fill=—","Direction=H","UseDPDF=Y")</f>
        <v>#NAME?</v>
      </c>
      <c r="AK324" s="2" t="e">
        <f ca="1">_xll.BDH($C$303,"BVPS_GROWTH","FQ1 2018","FQ1 2018","Currency=INR","Period=FQ","BEST_FPERIOD_OVERRIDE=FQ","FILING_STATUS=OR","EQY_CONSOLIDATED=Y","Sort=A","Dates=H","DateFormat=P","Fill=—","Direction=H","UseDPDF=Y")</f>
        <v>#NAME?</v>
      </c>
      <c r="AL324" s="2" t="e">
        <f ca="1">_xll.BDH($C$303,"CASH_FLOW_GROWTH","FQ1 2018","FQ1 2018","Currency=INR","Period=FQ","BEST_FPERIOD_OVERRIDE=FQ","FILING_STATUS=OR","EQY_CONSOLIDATED=Y","Sort=A","Dates=H","DateFormat=P","Fill=—","Direction=H","UseDPDF=Y")</f>
        <v>#NAME?</v>
      </c>
      <c r="AM324" s="2" t="e">
        <f ca="1">_xll.BDH($C$303,"GEO_GROW_NET_SALES","FQ1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24" s="2" t="e">
        <f ca="1">_xll.BDH($C$303,"GEO_GROW_EBITDA","FQ1 2018","FQ1 2018","Currency=INR","Period=FQ","BEST_FPERIOD_OVERRIDE=FQ","FILING_STATUS=OR","EQY_CONSOLIDATED=Y","FA_ADJUSTED=GAAP","Sort=A","Dates=H","DateFormat=P","Fill=—","Direction=H","UseDPDF=Y")</f>
        <v>#NAME?</v>
      </c>
      <c r="AO324" s="2" t="e">
        <f ca="1">_xll.BDH($C$303,"GEO_GROW_OPER_INC","FQ1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24" s="2" t="e">
        <f ca="1">_xll.BDH($C$303,"NET_INCOME_TO_COMMON_5_YR_GROWTH","FQ1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24" s="2" t="e">
        <f ca="1">_xll.BDH($C$303,"5Y_GEO_GROWTH_DILUTED_EPS","FQ1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24" s="2" t="e">
        <f ca="1">_xll.BDH($C$303,"GEO_GROW_DVD_PER_SH","FQ1 2018","FQ1 2018","Currency=INR","Period=FQ","BEST_FPERIOD_OVERRIDE=FQ","FILING_STATUS=OR","EQY_CONSOLIDATED=Y","Sort=A","Dates=H","DateFormat=P","Fill=—","Direction=H","UseDPDF=Y")</f>
        <v>#NAME?</v>
      </c>
      <c r="AS324" s="2" t="e">
        <f ca="1">_xll.BDH($C$303,"ACCOUNTS_RECEIVABLE_5_YR_GROWTH","FQ1 2018","FQ1 2018","Currency=INR","Period=FQ","BEST_FPERIOD_OVERRIDE=FQ","FILING_STATUS=OR","EQY_CONSOLIDATED=Y","Sort=A","Dates=H","DateFormat=P","Fill=—","Direction=H","UseDPDF=Y")</f>
        <v>#NAME?</v>
      </c>
      <c r="AT324" s="2" t="e">
        <f ca="1">_xll.BDH($C$303,"INVENTORY_5_YEAR_GROWTH","FQ1 2018","FQ1 2018","Currency=INR","Period=FQ","BEST_FPERIOD_OVERRIDE=FQ","FILING_STATUS=OR","EQY_CONSOLIDATED=Y","Sort=A","Dates=H","DateFormat=P","Fill=—","Direction=H","UseDPDF=Y")</f>
        <v>#NAME?</v>
      </c>
      <c r="AU324" s="2" t="e">
        <f ca="1">_xll.BDH($C$303,"NET_FIXED_ASSETS_5_YEAR_GROWTH","FQ1 2018","FQ1 2018","Currency=INR","Period=FQ","BEST_FPERIOD_OVERRIDE=FQ","FILING_STATUS=OR","EQY_CONSOLIDATED=Y","Sort=A","Dates=H","DateFormat=P","Fill=—","Direction=H","UseDPDF=Y")</f>
        <v>#NAME?</v>
      </c>
      <c r="AV324" s="2" t="e">
        <f ca="1">_xll.BDH($C$303,"GEO_GROW_TOT_ASSET","FQ1 2018","FQ1 2018","Currency=INR","Period=FQ","BEST_FPERIOD_OVERRIDE=FQ","FILING_STATUS=OR","EQY_CONSOLIDATED=Y","Sort=A","Dates=H","DateFormat=P","Fill=—","Direction=H","UseDPDF=Y")</f>
        <v>#NAME?</v>
      </c>
      <c r="AW324" s="2" t="e">
        <f ca="1">_xll.BDH($C$303,"MODIFIED_WORKING_CPTL_5YR_GRWTH","FQ1 2018","FQ1 2018","Currency=INR","Period=FQ","BEST_FPERIOD_OVERRIDE=FQ","FILING_STATUS=OR","EQY_CONSOLIDATED=Y","Sort=A","Dates=H","DateFormat=P","Fill=—","Direction=H","UseDPDF=Y")</f>
        <v>#NAME?</v>
      </c>
      <c r="AX324" s="2" t="e">
        <f ca="1">_xll.BDH($C$303,"WORKING_CAPITAL_5_YEAR_GROWTH","FQ1 2018","FQ1 2018","Currency=INR","Period=FQ","BEST_FPERIOD_OVERRIDE=FQ","FILING_STATUS=OR","EQY_CONSOLIDATED=Y","Sort=A","Dates=H","DateFormat=P","Fill=—","Direction=H","UseDPDF=Y")</f>
        <v>#NAME?</v>
      </c>
      <c r="AY324" s="2" t="e">
        <f ca="1">_xll.BDH($C$303,"ACCOUNTS_PAYABLE_5_YEAR_GROWTH","FQ1 2018","FQ1 2018","Currency=INR","Period=FQ","BEST_FPERIOD_OVERRIDE=FQ","FILING_STATUS=OR","EQY_CONSOLIDATED=Y","Sort=A","Dates=H","DateFormat=P","Fill=—","Direction=H","UseDPDF=Y")</f>
        <v>#NAME?</v>
      </c>
      <c r="AZ324" s="2" t="e">
        <f ca="1">_xll.BDH($C$303,"SHORT_TERM_DEBT_5_YEAR_GROWTH","FQ1 2018","FQ1 2018","Currency=INR","Period=FQ","BEST_FPERIOD_OVERRIDE=FQ","FILING_STATUS=OR","EQY_CONSOLIDATED=Y","Sort=A","Dates=H","DateFormat=P","Fill=—","Direction=H","UseDPDF=Y")</f>
        <v>#NAME?</v>
      </c>
      <c r="BA324" s="2" t="e">
        <f ca="1">_xll.BDH($C$303,"TOTAL_DEBT_5_YEAR_GROWTH","FQ1 2018","FQ1 2018","Currency=INR","Period=FQ","BEST_FPERIOD_OVERRIDE=FQ","FILING_STATUS=OR","EQY_CONSOLIDATED=Y","Sort=A","Dates=H","DateFormat=P","Fill=—","Direction=H","UseDPDF=Y")</f>
        <v>#NAME?</v>
      </c>
      <c r="BB324" s="2" t="e">
        <f ca="1">_xll.BDH($C$303,"GEO_GROW_TOT_SHRHLDR_EQY","FQ1 2018","FQ1 2018","Currency=INR","Period=FQ","BEST_FPERIOD_OVERRIDE=FQ","FILING_STATUS=OR","EQY_CONSOLIDATED=Y","Sort=A","Dates=H","DateFormat=P","Fill=—","Direction=H","UseDPDF=Y")</f>
        <v>#NAME?</v>
      </c>
      <c r="BC324" s="2" t="e">
        <f ca="1">_xll.BDH($C$303,"TOTAL_CAPITAL_5_YEAR_GROWTH","FQ1 2018","FQ1 2018","Currency=INR","Period=FQ","BEST_FPERIOD_OVERRIDE=FQ","FILING_STATUS=OR","EQY_CONSOLIDATED=Y","Sort=A","Dates=H","DateFormat=P","Fill=—","Direction=H","UseDPDF=Y")</f>
        <v>#NAME?</v>
      </c>
      <c r="BD324" s="2" t="e">
        <f ca="1">_xll.BDH($C$303,"GEO_GROW_BOOK_VAL","FQ1 2018","FQ1 2018","Currency=INR","Period=FQ","BEST_FPERIOD_OVERRIDE=FQ","FILING_STATUS=OR","EQY_CONSOLIDATED=Y","Sort=A","Dates=H","DateFormat=P","Fill=—","Direction=H","UseDPDF=Y")</f>
        <v>#NAME?</v>
      </c>
      <c r="BE324" s="2" t="e">
        <f ca="1">_xll.BDH($C$303,"GEO_GROW_CASH_OPER_ACT","FQ1 2018","FQ1 2018","Currency=INR","Period=FQ","BEST_FPERIOD_OVERRIDE=FQ","FILING_STATUS=OR","EQY_CONSOLIDATED=Y","Sort=A","Dates=H","DateFormat=P","Fill=—","Direction=H","UseDPDF=Y")</f>
        <v>#NAME?</v>
      </c>
      <c r="BF324" s="2" t="e">
        <f ca="1">_xll.BDH($C$303,"REVENUE_SEQUENTIAL_GROWTH","FQ1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24" s="2" t="e">
        <f ca="1">_xll.BDH($C$303,"EBITDA_SEQUENTIAL_GROWTH","FQ1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24" s="2" t="e">
        <f ca="1">_xll.BDH($C$303,"OPERATING_INCOME_SEQ_GROWTH","FQ1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24" s="2" t="e">
        <f ca="1">_xll.BDH($C$303,"NET_INCOME_TO_COMMON_SEQ_GROWTH","FQ1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24" s="2" t="e">
        <f ca="1">_xll.BDH($C$303,"EPS_DILUTED_SEQUENTIAL_GROWTH","FQ1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24" s="2" t="e">
        <f ca="1">_xll.BDH($C$303,"DPS_SEQUENTIAL_GROWTH","FQ1 2018","FQ1 2018","Currency=INR","Period=FQ","BEST_FPERIOD_OVERRIDE=FQ","FILING_STATUS=OR","EQY_CONSOLIDATED=Y","Sort=A","Dates=H","DateFormat=P","Fill=—","Direction=H","UseDPDF=Y")</f>
        <v>#NAME?</v>
      </c>
      <c r="BL324" s="2" t="e">
        <f ca="1">_xll.BDH($C$303,"ACCOUNTS_RECEIVABLE_SEQ_GROWTH","FQ1 2018","FQ1 2018","Currency=INR","Period=FQ","BEST_FPERIOD_OVERRIDE=FQ","FILING_STATUS=OR","EQY_CONSOLIDATED=Y","Sort=A","Dates=H","DateFormat=P","Fill=—","Direction=H","UseDPDF=Y")</f>
        <v>#NAME?</v>
      </c>
      <c r="BM324" s="2" t="e">
        <f ca="1">_xll.BDH($C$303,"INVENTORY_SEQUENTIAL_GROWTH","FQ1 2018","FQ1 2018","Currency=INR","Period=FQ","BEST_FPERIOD_OVERRIDE=FQ","FILING_STATUS=OR","EQY_CONSOLIDATED=Y","Sort=A","Dates=H","DateFormat=P","Fill=—","Direction=H","UseDPDF=Y")</f>
        <v>#NAME?</v>
      </c>
      <c r="BN324" s="2" t="e">
        <f ca="1">_xll.BDH($C$303,"FIXED_ASSETS_SEQUENTIAL_GROWTH","FQ1 2018","FQ1 2018","Currency=INR","Period=FQ","BEST_FPERIOD_OVERRIDE=FQ","FILING_STATUS=OR","EQY_CONSOLIDATED=Y","Sort=A","Dates=H","DateFormat=P","Fill=—","Direction=H","UseDPDF=Y")</f>
        <v>#NAME?</v>
      </c>
      <c r="BO324" s="2" t="e">
        <f ca="1">_xll.BDH($C$303,"TOTAL_ASSETS_SEQUENTIAL_GROWTH","FQ1 2018","FQ1 2018","Currency=INR","Period=FQ","BEST_FPERIOD_OVERRIDE=FQ","FILING_STATUS=OR","EQY_CONSOLIDATED=Y","Sort=A","Dates=H","DateFormat=P","Fill=—","Direction=H","UseDPDF=Y")</f>
        <v>#NAME?</v>
      </c>
      <c r="BP324" s="2" t="e">
        <f ca="1">_xll.BDH($C$303,"MODIFIED_WORKING_CPTL_SEQ_GRWTH","FQ1 2018","FQ1 2018","Currency=INR","Period=FQ","BEST_FPERIOD_OVERRIDE=FQ","FILING_STATUS=OR","EQY_CONSOLIDATED=Y","Sort=A","Dates=H","DateFormat=P","Fill=—","Direction=H","UseDPDF=Y")</f>
        <v>#NAME?</v>
      </c>
      <c r="BQ324" s="2" t="e">
        <f ca="1">_xll.BDH($C$303,"WORKING_CAPITAL_SEQ_GROWTH","FQ1 2018","FQ1 2018","Currency=INR","Period=FQ","BEST_FPERIOD_OVERRIDE=FQ","FILING_STATUS=OR","EQY_CONSOLIDATED=Y","Sort=A","Dates=H","DateFormat=P","Fill=—","Direction=H","UseDPDF=Y")</f>
        <v>#NAME?</v>
      </c>
      <c r="BR324" s="2" t="e">
        <f ca="1">_xll.BDH($C$303,"ACCOUNTS_PAYABLE_SEQ_GROWTH","FQ1 2018","FQ1 2018","Currency=INR","Period=FQ","BEST_FPERIOD_OVERRIDE=FQ","FILING_STATUS=OR","EQY_CONSOLIDATED=Y","Sort=A","Dates=H","DateFormat=P","Fill=—","Direction=H","UseDPDF=Y")</f>
        <v>#NAME?</v>
      </c>
      <c r="BS324" s="2" t="e">
        <f ca="1">_xll.BDH($C$303,"ST_DEBT_SEQUENTIAL_GROWTH","FQ1 2018","FQ1 2018","Currency=INR","Period=FQ","BEST_FPERIOD_OVERRIDE=FQ","FILING_STATUS=OR","EQY_CONSOLIDATED=Y","Sort=A","Dates=H","DateFormat=P","Fill=—","Direction=H","UseDPDF=Y")</f>
        <v>#NAME?</v>
      </c>
      <c r="BT324" s="2" t="e">
        <f ca="1">_xll.BDH($C$303,"TOTAL_DEBT_SEQUENTIAL_GROWTH","FQ1 2018","FQ1 2018","Currency=INR","Period=FQ","BEST_FPERIOD_OVERRIDE=FQ","FILING_STATUS=OR","EQY_CONSOLIDATED=Y","Sort=A","Dates=H","DateFormat=P","Fill=—","Direction=H","UseDPDF=Y")</f>
        <v>#NAME?</v>
      </c>
      <c r="BU324" s="2" t="e">
        <f ca="1">_xll.BDH($C$303,"TOTAL_EQUITY_SEQUENTIAL_GROWTH","FQ1 2018","FQ1 2018","Currency=INR","Period=FQ","BEST_FPERIOD_OVERRIDE=FQ","FILING_STATUS=OR","EQY_CONSOLIDATED=Y","Sort=A","Dates=H","DateFormat=P","Fill=—","Direction=H","UseDPDF=Y")</f>
        <v>#NAME?</v>
      </c>
      <c r="BV324" s="2" t="e">
        <f ca="1">_xll.BDH($C$303,"TOTAL_CAPITAL_SEQUENTIAL_GROWTH","FQ1 2018","FQ1 2018","Currency=INR","Period=FQ","BEST_FPERIOD_OVERRIDE=FQ","FILING_STATUS=OR","EQY_CONSOLIDATED=Y","Sort=A","Dates=H","DateFormat=P","Fill=—","Direction=H","UseDPDF=Y")</f>
        <v>#NAME?</v>
      </c>
      <c r="BW324" s="2" t="e">
        <f ca="1">_xll.BDH($C$303,"BPS_SEQUENTIAL_GROWTH","FQ1 2018","FQ1 2018","Currency=INR","Period=FQ","BEST_FPERIOD_OVERRIDE=FQ","FILING_STATUS=OR","EQY_CONSOLIDATED=Y","Sort=A","Dates=H","DateFormat=P","Fill=—","Direction=H","UseDPDF=Y")</f>
        <v>#NAME?</v>
      </c>
      <c r="BX324" s="2" t="e">
        <f ca="1">_xll.BDH($C$303,"CFO_SEQUENTIAL_GROWTH","FQ1 2018","FQ1 2018","Currency=INR","Period=FQ","BEST_FPERIOD_OVERRIDE=FQ","FILING_STATUS=OR","EQY_CONSOLIDATED=Y","Sort=A","Dates=H","DateFormat=P","Fill=—","Direction=H","UseDPDF=Y")</f>
        <v>#NAME?</v>
      </c>
      <c r="BY324" s="3" t="e">
        <f ca="1">_xll.BDH($C$303,"SHORT_AND_LONG_TERM_DEBT","FQ1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24" s="3" t="e">
        <f ca="1">_xll.BDH($C$303,"BS_ST_BORROW","FQ1 2018","FQ1 2018","Currency=INR","Period=FQ","BEST_FPERIOD_OVERRIDE=FQ","FILING_STATUS=OR","EQY_CONSOLIDATED=Y","SCALING_FORMAT=MLN","Sort=A","Dates=H","DateFormat=P","Fill=—","Direction=H","UseDPDF=Y")</f>
        <v>#NAME?</v>
      </c>
      <c r="CA324" s="3" t="e">
        <f ca="1">_xll.BDH($C$303,"BS_LT_BORROW","FQ1 2018","FQ1 2018","Currency=INR","Period=FQ","BEST_FPERIOD_OVERRIDE=FQ","FILING_STATUS=OR","EQY_CONSOLIDATED=Y","SCALING_FORMAT=MLN","Sort=A","Dates=H","DateFormat=P","Fill=—","Direction=H","UseDPDF=Y")</f>
        <v>#NAME?</v>
      </c>
      <c r="CB324" s="2" t="e">
        <f ca="1">_xll.BDH($C$303,"TOT_DEBT_TO_EBITDA","FQ1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24" s="2" t="e">
        <f ca="1">_xll.BDH($C$303,"NET_DEBT_TO_EBITDA","FQ1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24" s="2" t="e">
        <f ca="1">_xll.BDH($C$303,"TOTAL_DEBT_TO_EBIT","FQ1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24" s="2" t="e">
        <f ca="1">_xll.BDH($C$303,"NET_DEBT_TO_EBIT","FQ1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24" s="2" t="e">
        <f ca="1">_xll.BDH($C$303,"EBITDA_TO_INTEREST_EXPN","FQ1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24" s="2" t="e">
        <f ca="1">_xll.BDH($C$303,"COM_EQY_TO_TOT_ASSET","FQ1 2018","FQ1 2018","Currency=INR","Period=FQ","BEST_FPERIOD_OVERRIDE=FQ","FILING_STATUS=OR","EQY_CONSOLIDATED=Y","Sort=A","Dates=H","DateFormat=P","Fill=—","Direction=H","UseDPDF=Y")</f>
        <v>#NAME?</v>
      </c>
      <c r="CH324" s="2" t="e">
        <f ca="1">_xll.BDH($C$303,"LT_DEBT_TO_TOT_EQY","FQ1 2018","FQ1 2018","Currency=INR","Period=FQ","BEST_FPERIOD_OVERRIDE=FQ","FILING_STATUS=OR","EQY_CONSOLIDATED=Y","Sort=A","Dates=H","DateFormat=P","Fill=—","Direction=H","UseDPDF=Y")</f>
        <v>#NAME?</v>
      </c>
      <c r="CI324" s="2" t="e">
        <f ca="1">_xll.BDH($C$303,"LT_DEBT_TO_TOT_CAP","FQ1 2018","FQ1 2018","Currency=INR","Period=FQ","BEST_FPERIOD_OVERRIDE=FQ","FILING_STATUS=OR","EQY_CONSOLIDATED=Y","Sort=A","Dates=H","DateFormat=P","Fill=—","Direction=H","UseDPDF=Y")</f>
        <v>#NAME?</v>
      </c>
      <c r="CJ324" s="2" t="e">
        <f ca="1">_xll.BDH($C$303,"LT_DEBT_TO_TOT_ASSET","FQ1 2018","FQ1 2018","Currency=INR","Period=FQ","BEST_FPERIOD_OVERRIDE=FQ","FILING_STATUS=OR","EQY_CONSOLIDATED=Y","Sort=A","Dates=H","DateFormat=P","Fill=—","Direction=H","UseDPDF=Y")</f>
        <v>#NAME?</v>
      </c>
      <c r="CK324" s="2" t="e">
        <f ca="1">_xll.BDH($C$303,"TOT_DEBT_TO_TOT_EQY","FQ1 2018","FQ1 2018","Currency=INR","Period=FQ","BEST_FPERIOD_OVERRIDE=FQ","FILING_STATUS=OR","EQY_CONSOLIDATED=Y","Sort=A","Dates=H","DateFormat=P","Fill=—","Direction=H","UseDPDF=Y")</f>
        <v>#NAME?</v>
      </c>
      <c r="CL324" s="2" t="e">
        <f ca="1">_xll.BDH($C$303,"TOT_DEBT_TO_TOT_CAP","FQ1 2018","FQ1 2018","Currency=INR","Period=FQ","BEST_FPERIOD_OVERRIDE=FQ","FILING_STATUS=OR","EQY_CONSOLIDATED=Y","Sort=A","Dates=H","DateFormat=P","Fill=—","Direction=H","UseDPDF=Y")</f>
        <v>#NAME?</v>
      </c>
      <c r="CM324" s="2" t="e">
        <f ca="1">_xll.BDH($C$303,"TOT_DEBT_TO_TOT_ASSET","FQ1 2018","FQ1 2018","Currency=INR","Period=FQ","BEST_FPERIOD_OVERRIDE=FQ","FILING_STATUS=OR","EQY_CONSOLIDATED=Y","Sort=A","Dates=H","DateFormat=P","Fill=—","Direction=H","UseDPDF=Y")</f>
        <v>#NAME?</v>
      </c>
      <c r="CN324" s="2" t="e">
        <f ca="1">_xll.BDH($C$303,"NET_DEBT_TO_SHRHLDR_EQTY","FQ1 2018","FQ1 2018","Currency=INR","Period=FQ","BEST_FPERIOD_OVERRIDE=FQ","FILING_STATUS=OR","EQY_CONSOLIDATED=Y","Sort=A","Dates=H","DateFormat=P","Fill=—","Direction=H","UseDPDF=Y")</f>
        <v>#NAME?</v>
      </c>
      <c r="CO324" s="2" t="e">
        <f ca="1">_xll.BDH($C$303,"NET_DEBT_%_CAPITAL","FQ1 2018","FQ1 2018","Currency=INR","Period=FQ","BEST_FPERIOD_OVERRIDE=FQ","FILING_STATUS=OR","EQY_CONSOLIDATED=Y","Sort=A","Dates=H","DateFormat=P","Fill=—","Direction=H","UseDPDF=Y")</f>
        <v>#NAME?</v>
      </c>
      <c r="CP324" s="3" t="e">
        <f ca="1">_xll.BDH($C$303,"EBITDA","FQ1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24" s="3" t="e">
        <f ca="1">_xll.BDH($C$303,"EBITDA_AFTER_CAPEX","FQ1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24" s="3" t="e">
        <f ca="1">_xll.BDH($C$303,"IS_OPER_INC","FQ1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24" s="2" t="e">
        <f ca="1">_xll.BDH($C$303,"CASH_RATIO","FQ1 2018","FQ1 2018","Currency=INR","Period=FQ","BEST_FPERIOD_OVERRIDE=FQ","FILING_STATUS=OR","EQY_CONSOLIDATED=Y","Sort=A","Dates=H","DateFormat=P","Fill=—","Direction=H","UseDPDF=Y")</f>
        <v>#NAME?</v>
      </c>
      <c r="CT324" s="2" t="e">
        <f ca="1">_xll.BDH($C$303,"CUR_RATIO","FQ1 2018","FQ1 2018","Currency=INR","Period=FQ","BEST_FPERIOD_OVERRIDE=FQ","FILING_STATUS=OR","EQY_CONSOLIDATED=Y","Sort=A","Dates=H","DateFormat=P","Fill=—","Direction=H","UseDPDF=Y")</f>
        <v>#NAME?</v>
      </c>
      <c r="CU324" s="2" t="e">
        <f ca="1">_xll.BDH($C$303,"QUICK_RATIO","FQ1 2018","FQ1 2018","Currency=INR","Period=FQ","BEST_FPERIOD_OVERRIDE=FQ","FILING_STATUS=OR","EQY_CONSOLIDATED=Y","Sort=A","Dates=H","DateFormat=P","Fill=—","Direction=H","UseDPDF=Y")</f>
        <v>#NAME?</v>
      </c>
      <c r="CV324" s="2" t="e">
        <f ca="1">_xll.BDH($C$303,"ALTMAN_Z_SCORE","FQ1 2018","FQ1 2018","Currency=INR","Period=FQ","BEST_FPERIOD_OVERRIDE=FQ","FILING_STATUS=OR","EQY_CONSOLIDATED=Y","Sort=A","Dates=H","DateFormat=P","Fill=—","Direction=H","UseDPDF=Y")</f>
        <v>#NAME?</v>
      </c>
      <c r="CW324" s="4" t="e">
        <f ca="1">_xll.BDH($C$303,"ACCT_RCV_TURN","FQ1 2018","FQ1 2018","Currency=INR","Period=FQ","BEST_FPERIOD_OVERRIDE=FQ","FILING_STATUS=OR","EQY_CONSOLIDATED=Y","FA_ADJUSTED=GAAP","Sort=A","Dates=H","DateFormat=P","Fill=—","Direction=H","UseDPDF=Y")</f>
        <v>#NAME?</v>
      </c>
      <c r="CX324" s="2" t="e">
        <f ca="1">_xll.BDH($C$303,"ACCT_RCV_DAYS","FQ1 2018","FQ1 2018","Currency=INR","Period=FQ","BEST_FPERIOD_OVERRIDE=FQ","FILING_STATUS=OR","EQY_CONSOLIDATED=Y","FA_ADJUSTED=GAAP","Sort=A","Dates=H","DateFormat=P","Fill=—","Direction=H","UseDPDF=Y")</f>
        <v>#NAME?</v>
      </c>
      <c r="CY324" s="4" t="e">
        <f ca="1">_xll.BDH($C$303,"INVENT_TURN","FQ1 2018","FQ1 2018","Currency=INR","Period=FQ","BEST_FPERIOD_OVERRIDE=FQ","FILING_STATUS=OR","EQY_CONSOLIDATED=Y","FA_ADJUSTED=GAAP","Sort=A","Dates=H","DateFormat=P","Fill=—","Direction=H","UseDPDF=Y")</f>
        <v>#NAME?</v>
      </c>
      <c r="CZ324" s="2" t="e">
        <f ca="1">_xll.BDH($C$303,"INVENT_DAYS","FQ1 2018","FQ1 2018","Currency=INR","Period=FQ","BEST_FPERIOD_OVERRIDE=FQ","FILING_STATUS=OR","EQY_CONSOLIDATED=Y","FA_ADJUSTED=GAAP","Sort=A","Dates=H","DateFormat=P","Fill=—","Direction=H","UseDPDF=Y")</f>
        <v>#NAME?</v>
      </c>
      <c r="DA324" s="4" t="e">
        <f ca="1">_xll.BDH($C$303,"ACCOUNTS_PAYABLE_TURNOVER","FQ1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24" s="2" t="e">
        <f ca="1">_xll.BDH($C$303,"ACCOUNTS_PAYABLE_TURNOVER_DAYS","FQ1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24" s="4" t="e">
        <f ca="1">_xll.BDH($C$303,"CASH_CONVERSION_CYCLE","FQ1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24" s="4" t="e">
        <f ca="1">_xll.BDH($C$303,"INV_TO_CASH_DAYS","FQ1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24" s="5" t="e">
        <f ca="1">_xll.BDH($C$303,"BS_INVENTORIES","FQ1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24" s="3" t="e">
        <f ca="1">_xll.BDH($C$303,"INVTRY_RAW_MATERIALS","FQ1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24" s="3" t="e">
        <f ca="1">_xll.BDH($C$303,"INVTRY_IN_PROGRESS","FQ1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24" s="3" t="e">
        <f ca="1">_xll.BDH($C$303,"INVTRY_FINISHED_GOODS","FQ1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24" s="3" t="e">
        <f ca="1">_xll.BDH($C$303,"BS_OTHER_INV","FQ1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25" spans="1:113" x14ac:dyDescent="0.3">
      <c r="A325" s="6"/>
      <c r="B325" s="6"/>
      <c r="C325" s="6"/>
      <c r="D325" s="6"/>
      <c r="E325" t="s">
        <v>79</v>
      </c>
      <c r="F325" t="e">
        <f ca="1">_xll.BDH($C$303,"RETURN_COM_EQY","FQ2 2018","FQ2 2018","Currency=INR","Period=FQ","BEST_FPERIOD_OVERRIDE=FQ","FILING_STATUS=OR","EQY_CONSOLIDATED=Y","FA_ADJUSTED=GAAP","Sort=A","Dates=H","DateFormat=P","Fill=—","Direction=H","UseDPDF=Y")</f>
        <v>#NAME?</v>
      </c>
      <c r="G325" t="e">
        <f ca="1">_xll.BDH($C$303,"RETURN_ON_ASSET","FQ2 2018","FQ2 2018","Currency=INR","Period=FQ","BEST_FPERIOD_OVERRIDE=FQ","FILING_STATUS=OR","EQY_CONSOLIDATED=Y","FA_ADJUSTED=GAAP","Sort=A","Dates=H","DateFormat=P","Fill=—","Direction=H","UseDPDF=Y")</f>
        <v>#NAME?</v>
      </c>
      <c r="H325" t="e">
        <f ca="1">_xll.BDH($C$303,"RETURN_ON_CAP","FQ2 2018","FQ2 2018","Currency=INR","Period=FQ","BEST_FPERIOD_OVERRIDE=FQ","FILING_STATUS=OR","EQY_CONSOLIDATED=Y","FA_ADJUSTED=GAAP","Sort=A","Dates=H","DateFormat=P","Fill=—","Direction=H","UseDPDF=Y")</f>
        <v>#NAME?</v>
      </c>
      <c r="I325" t="e">
        <f ca="1">_xll.BDH($C$303,"RETURN_ON_INV_CAPITAL","FQ2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25" t="e">
        <f ca="1">_xll.BDH($C$303,"EBITDA_TO_REVENUE","FQ2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25" t="e">
        <f ca="1">_xll.BDH($C$303,"OPER_MARGIN","FQ2 2018","FQ2 2018","Currency=INR","Period=FQ","BEST_FPERIOD_OVERRIDE=FQ","FILING_STATUS=OR","EQY_CONSOLIDATED=Y","FA_ADJUSTED=GAAP","Sort=A","Dates=H","DateFormat=P","Fill=—","Direction=H","UseDPDF=Y")</f>
        <v>#NAME?</v>
      </c>
      <c r="L325" t="e">
        <f ca="1">_xll.BDH($C$303,"INCREMENTAL_OPERATING_MARGIN","FQ2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25" t="e">
        <f ca="1">_xll.BDH($C$303,"PRETAX_INC_TO_NET_SALES","FQ2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25" t="e">
        <f ca="1">_xll.BDH($C$303,"INC_BEF_XO_ITEMS_TO_NET_SALES","FQ2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25" t="e">
        <f ca="1">_xll.BDH($C$303,"PROF_MARGIN","FQ2 2018","FQ2 2018","Currency=INR","Period=FQ","BEST_FPERIOD_OVERRIDE=FQ","FILING_STATUS=OR","EQY_CONSOLIDATED=Y","FA_ADJUSTED=GAAP","Sort=A","Dates=H","DateFormat=P","Fill=—","Direction=H","UseDPDF=Y")</f>
        <v>#NAME?</v>
      </c>
      <c r="P325" t="e">
        <f ca="1">_xll.BDH($C$303,"NET_INCOME_TO_COMMON_MARGIN","FQ2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25" t="e">
        <f ca="1">_xll.BDH($C$303,"EFF_TAX_RATE","FQ2 2018","FQ2 2018","Currency=INR","Period=FQ","BEST_FPERIOD_OVERRIDE=FQ","FILING_STATUS=OR","EQY_CONSOLIDATED=Y","FA_ADJUSTED=GAAP","Sort=A","Dates=H","DateFormat=P","Fill=—","Direction=H","UseDPDF=Y")</f>
        <v>#NAME?</v>
      </c>
      <c r="R325" t="e">
        <f ca="1">_xll.BDH($C$303,"DVD_PAYOUT_RATIO","FQ2 2018","FQ2 2018","Currency=INR","Period=FQ","BEST_FPERIOD_OVERRIDE=FQ","FILING_STATUS=OR","EQY_CONSOLIDATED=Y","FA_ADJUSTED=GAAP","Sort=A","Dates=H","DateFormat=P","Fill=—","Direction=H","UseDPDF=Y")</f>
        <v>#NAME?</v>
      </c>
      <c r="S325" t="e">
        <f ca="1">_xll.BDH($C$303,"SUSTAIN_GROWTH_RT","FQ2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25" s="2" t="e">
        <f ca="1">_xll.BDH($C$303,"SALES_GROWTH","FQ2 2018","FQ2 2018","Currency=INR","Period=FQ","BEST_FPERIOD_OVERRIDE=FQ","FILING_STATUS=OR","EQY_CONSOLIDATED=Y","FA_ADJUSTED=GAAP","Sort=A","Dates=H","DateFormat=P","Fill=—","Direction=H","UseDPDF=Y")</f>
        <v>#NAME?</v>
      </c>
      <c r="U325" s="2" t="e">
        <f ca="1">_xll.BDH($C$303,"EBITDA_GROWTH","FQ2 2018","FQ2 2018","Currency=INR","Period=FQ","BEST_FPERIOD_OVERRIDE=FQ","FILING_STATUS=OR","EQY_CONSOLIDATED=Y","FA_ADJUSTED=GAAP","Sort=A","Dates=H","DateFormat=P","Fill=—","Direction=H","UseDPDF=Y")</f>
        <v>#NAME?</v>
      </c>
      <c r="V325" s="2" t="e">
        <f ca="1">_xll.BDH($C$303,"OPER_INC_GROWTH","FQ2 2018","FQ2 2018","Currency=INR","Period=FQ","BEST_FPERIOD_OVERRIDE=FQ","FILING_STATUS=OR","EQY_CONSOLIDATED=Y","FA_ADJUSTED=GAAP","Sort=A","Dates=H","DateFormat=P","Fill=—","Direction=H","UseDPDF=Y")</f>
        <v>#NAME?</v>
      </c>
      <c r="W325" s="2" t="e">
        <f ca="1">_xll.BDH($C$303,"EARN_FOR_COM_GROWTH","FQ2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25" s="2" t="e">
        <f ca="1">_xll.BDH($C$303,"DILUTED_EPS_AFT_XO_ITEMS_GROWTH","FQ2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25" s="2" t="e">
        <f ca="1">_xll.BDH($C$303,"DIVIDEND_PER_SHARE_1_YEAR_GROWTH","FQ2 2018","FQ2 2018","Currency=INR","Period=FQ","BEST_FPERIOD_OVERRIDE=FQ","FILING_STATUS=OR","EQY_CONSOLIDATED=Y","Sort=A","Dates=H","DateFormat=P","Fill=—","Direction=H","UseDPDF=Y")</f>
        <v>#NAME?</v>
      </c>
      <c r="Z325" s="2" t="e">
        <f ca="1">_xll.BDH($C$303,"ACCOUNTS_RECEIVABLE_GROWTH","FQ2 2018","FQ2 2018","Currency=INR","Period=FQ","BEST_FPERIOD_OVERRIDE=FQ","FILING_STATUS=OR","EQY_CONSOLIDATED=Y","Sort=A","Dates=H","DateFormat=P","Fill=—","Direction=H","UseDPDF=Y")</f>
        <v>#NAME?</v>
      </c>
      <c r="AA325" s="2" t="e">
        <f ca="1">_xll.BDH($C$303,"INVENTORY_GROWTH","FQ2 2018","FQ2 2018","Currency=INR","Period=FQ","BEST_FPERIOD_OVERRIDE=FQ","FILING_STATUS=OR","EQY_CONSOLIDATED=Y","Sort=A","Dates=H","DateFormat=P","Fill=—","Direction=H","UseDPDF=Y")</f>
        <v>#NAME?</v>
      </c>
      <c r="AB325" s="2" t="e">
        <f ca="1">_xll.BDH($C$303,"NET_FIXED_ASSETS_1_YEAR_GROWTH","FQ2 2018","FQ2 2018","Currency=INR","Period=FQ","BEST_FPERIOD_OVERRIDE=FQ","FILING_STATUS=OR","EQY_CONSOLIDATED=Y","Sort=A","Dates=H","DateFormat=P","Fill=—","Direction=H","UseDPDF=Y")</f>
        <v>#NAME?</v>
      </c>
      <c r="AC325" s="2" t="e">
        <f ca="1">_xll.BDH($C$303,"ASSET_GROWTH","FQ2 2018","FQ2 2018","Currency=INR","Period=FQ","BEST_FPERIOD_OVERRIDE=FQ","FILING_STATUS=OR","EQY_CONSOLIDATED=Y","Sort=A","Dates=H","DateFormat=P","Fill=—","Direction=H","UseDPDF=Y")</f>
        <v>#NAME?</v>
      </c>
      <c r="AD325" s="2" t="e">
        <f ca="1">_xll.BDH($C$303,"MODIFIED_WORK_CAP_GROWTH","FQ2 2018","FQ2 2018","Currency=INR","Period=FQ","BEST_FPERIOD_OVERRIDE=FQ","FILING_STATUS=OR","EQY_CONSOLIDATED=Y","Sort=A","Dates=H","DateFormat=P","Fill=—","Direction=H","UseDPDF=Y")</f>
        <v>#NAME?</v>
      </c>
      <c r="AE325" s="2" t="e">
        <f ca="1">_xll.BDH($C$303,"WORK_CAP_GROWTH","FQ2 2018","FQ2 2018","Currency=INR","Period=FQ","BEST_FPERIOD_OVERRIDE=FQ","FILING_STATUS=OR","EQY_CONSOLIDATED=Y","Sort=A","Dates=H","DateFormat=P","Fill=—","Direction=H","UseDPDF=Y")</f>
        <v>#NAME?</v>
      </c>
      <c r="AF325" s="2" t="e">
        <f ca="1">_xll.BDH($C$303,"ACCOUNTS_PAYABLE_GROWTH_1YR","FQ2 2018","FQ2 2018","Currency=INR","Period=FQ","BEST_FPERIOD_OVERRIDE=FQ","FILING_STATUS=OR","EQY_CONSOLIDATED=Y","Sort=A","Dates=H","DateFormat=P","Fill=—","Direction=H","UseDPDF=Y")</f>
        <v>#NAME?</v>
      </c>
      <c r="AG325" s="2" t="e">
        <f ca="1">_xll.BDH($C$303,"SHORT_TERM_DEBT_1_YEAR_GROWTH","FQ2 2018","FQ2 2018","Currency=INR","Period=FQ","BEST_FPERIOD_OVERRIDE=FQ","FILING_STATUS=OR","EQY_CONSOLIDATED=Y","Sort=A","Dates=H","DateFormat=P","Fill=—","Direction=H","UseDPDF=Y")</f>
        <v>#NAME?</v>
      </c>
      <c r="AH325" s="2" t="e">
        <f ca="1">_xll.BDH($C$303,"TOTAL_DEBT_1_YEAR_GROWTH","FQ2 2018","FQ2 2018","Currency=INR","Period=FQ","BEST_FPERIOD_OVERRIDE=FQ","FILING_STATUS=OR","EQY_CONSOLIDATED=Y","Sort=A","Dates=H","DateFormat=P","Fill=—","Direction=H","UseDPDF=Y")</f>
        <v>#NAME?</v>
      </c>
      <c r="AI325" s="2" t="e">
        <f ca="1">_xll.BDH($C$303,"TOTAL_EQUITY_1_YEAR_GROWTH","FQ2 2018","FQ2 2018","Currency=INR","Period=FQ","BEST_FPERIOD_OVERRIDE=FQ","FILING_STATUS=OR","EQY_CONSOLIDATED=Y","Sort=A","Dates=H","DateFormat=P","Fill=—","Direction=H","UseDPDF=Y")</f>
        <v>#NAME?</v>
      </c>
      <c r="AJ325" s="2" t="e">
        <f ca="1">_xll.BDH($C$303,"GROWTH_IN_CAP","FQ2 2018","FQ2 2018","Currency=INR","Period=FQ","BEST_FPERIOD_OVERRIDE=FQ","FILING_STATUS=OR","EQY_CONSOLIDATED=Y","Sort=A","Dates=H","DateFormat=P","Fill=—","Direction=H","UseDPDF=Y")</f>
        <v>#NAME?</v>
      </c>
      <c r="AK325" s="2" t="e">
        <f ca="1">_xll.BDH($C$303,"BVPS_GROWTH","FQ2 2018","FQ2 2018","Currency=INR","Period=FQ","BEST_FPERIOD_OVERRIDE=FQ","FILING_STATUS=OR","EQY_CONSOLIDATED=Y","Sort=A","Dates=H","DateFormat=P","Fill=—","Direction=H","UseDPDF=Y")</f>
        <v>#NAME?</v>
      </c>
      <c r="AL325" s="2" t="e">
        <f ca="1">_xll.BDH($C$303,"CASH_FLOW_GROWTH","FQ2 2018","FQ2 2018","Currency=INR","Period=FQ","BEST_FPERIOD_OVERRIDE=FQ","FILING_STATUS=OR","EQY_CONSOLIDATED=Y","Sort=A","Dates=H","DateFormat=P","Fill=—","Direction=H","UseDPDF=Y")</f>
        <v>#NAME?</v>
      </c>
      <c r="AM325" s="2" t="e">
        <f ca="1">_xll.BDH($C$303,"GEO_GROW_NET_SALES","FQ2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25" s="2" t="e">
        <f ca="1">_xll.BDH($C$303,"GEO_GROW_EBITDA","FQ2 2018","FQ2 2018","Currency=INR","Period=FQ","BEST_FPERIOD_OVERRIDE=FQ","FILING_STATUS=OR","EQY_CONSOLIDATED=Y","FA_ADJUSTED=GAAP","Sort=A","Dates=H","DateFormat=P","Fill=—","Direction=H","UseDPDF=Y")</f>
        <v>#NAME?</v>
      </c>
      <c r="AO325" s="2" t="e">
        <f ca="1">_xll.BDH($C$303,"GEO_GROW_OPER_INC","FQ2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25" s="2" t="e">
        <f ca="1">_xll.BDH($C$303,"NET_INCOME_TO_COMMON_5_YR_GROWTH","FQ2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25" s="2" t="e">
        <f ca="1">_xll.BDH($C$303,"5Y_GEO_GROWTH_DILUTED_EPS","FQ2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25" s="2" t="e">
        <f ca="1">_xll.BDH($C$303,"GEO_GROW_DVD_PER_SH","FQ2 2018","FQ2 2018","Currency=INR","Period=FQ","BEST_FPERIOD_OVERRIDE=FQ","FILING_STATUS=OR","EQY_CONSOLIDATED=Y","Sort=A","Dates=H","DateFormat=P","Fill=—","Direction=H","UseDPDF=Y")</f>
        <v>#NAME?</v>
      </c>
      <c r="AS325" s="2" t="e">
        <f ca="1">_xll.BDH($C$303,"ACCOUNTS_RECEIVABLE_5_YR_GROWTH","FQ2 2018","FQ2 2018","Currency=INR","Period=FQ","BEST_FPERIOD_OVERRIDE=FQ","FILING_STATUS=OR","EQY_CONSOLIDATED=Y","Sort=A","Dates=H","DateFormat=P","Fill=—","Direction=H","UseDPDF=Y")</f>
        <v>#NAME?</v>
      </c>
      <c r="AT325" s="2" t="e">
        <f ca="1">_xll.BDH($C$303,"INVENTORY_5_YEAR_GROWTH","FQ2 2018","FQ2 2018","Currency=INR","Period=FQ","BEST_FPERIOD_OVERRIDE=FQ","FILING_STATUS=OR","EQY_CONSOLIDATED=Y","Sort=A","Dates=H","DateFormat=P","Fill=—","Direction=H","UseDPDF=Y")</f>
        <v>#NAME?</v>
      </c>
      <c r="AU325" s="2" t="e">
        <f ca="1">_xll.BDH($C$303,"NET_FIXED_ASSETS_5_YEAR_GROWTH","FQ2 2018","FQ2 2018","Currency=INR","Period=FQ","BEST_FPERIOD_OVERRIDE=FQ","FILING_STATUS=OR","EQY_CONSOLIDATED=Y","Sort=A","Dates=H","DateFormat=P","Fill=—","Direction=H","UseDPDF=Y")</f>
        <v>#NAME?</v>
      </c>
      <c r="AV325" s="2" t="e">
        <f ca="1">_xll.BDH($C$303,"GEO_GROW_TOT_ASSET","FQ2 2018","FQ2 2018","Currency=INR","Period=FQ","BEST_FPERIOD_OVERRIDE=FQ","FILING_STATUS=OR","EQY_CONSOLIDATED=Y","Sort=A","Dates=H","DateFormat=P","Fill=—","Direction=H","UseDPDF=Y")</f>
        <v>#NAME?</v>
      </c>
      <c r="AW325" s="2" t="e">
        <f ca="1">_xll.BDH($C$303,"MODIFIED_WORKING_CPTL_5YR_GRWTH","FQ2 2018","FQ2 2018","Currency=INR","Period=FQ","BEST_FPERIOD_OVERRIDE=FQ","FILING_STATUS=OR","EQY_CONSOLIDATED=Y","Sort=A","Dates=H","DateFormat=P","Fill=—","Direction=H","UseDPDF=Y")</f>
        <v>#NAME?</v>
      </c>
      <c r="AX325" s="2" t="e">
        <f ca="1">_xll.BDH($C$303,"WORKING_CAPITAL_5_YEAR_GROWTH","FQ2 2018","FQ2 2018","Currency=INR","Period=FQ","BEST_FPERIOD_OVERRIDE=FQ","FILING_STATUS=OR","EQY_CONSOLIDATED=Y","Sort=A","Dates=H","DateFormat=P","Fill=—","Direction=H","UseDPDF=Y")</f>
        <v>#NAME?</v>
      </c>
      <c r="AY325" s="2" t="e">
        <f ca="1">_xll.BDH($C$303,"ACCOUNTS_PAYABLE_5_YEAR_GROWTH","FQ2 2018","FQ2 2018","Currency=INR","Period=FQ","BEST_FPERIOD_OVERRIDE=FQ","FILING_STATUS=OR","EQY_CONSOLIDATED=Y","Sort=A","Dates=H","DateFormat=P","Fill=—","Direction=H","UseDPDF=Y")</f>
        <v>#NAME?</v>
      </c>
      <c r="AZ325" s="2" t="e">
        <f ca="1">_xll.BDH($C$303,"SHORT_TERM_DEBT_5_YEAR_GROWTH","FQ2 2018","FQ2 2018","Currency=INR","Period=FQ","BEST_FPERIOD_OVERRIDE=FQ","FILING_STATUS=OR","EQY_CONSOLIDATED=Y","Sort=A","Dates=H","DateFormat=P","Fill=—","Direction=H","UseDPDF=Y")</f>
        <v>#NAME?</v>
      </c>
      <c r="BA325" s="2" t="e">
        <f ca="1">_xll.BDH($C$303,"TOTAL_DEBT_5_YEAR_GROWTH","FQ2 2018","FQ2 2018","Currency=INR","Period=FQ","BEST_FPERIOD_OVERRIDE=FQ","FILING_STATUS=OR","EQY_CONSOLIDATED=Y","Sort=A","Dates=H","DateFormat=P","Fill=—","Direction=H","UseDPDF=Y")</f>
        <v>#NAME?</v>
      </c>
      <c r="BB325" s="2" t="e">
        <f ca="1">_xll.BDH($C$303,"GEO_GROW_TOT_SHRHLDR_EQY","FQ2 2018","FQ2 2018","Currency=INR","Period=FQ","BEST_FPERIOD_OVERRIDE=FQ","FILING_STATUS=OR","EQY_CONSOLIDATED=Y","Sort=A","Dates=H","DateFormat=P","Fill=—","Direction=H","UseDPDF=Y")</f>
        <v>#NAME?</v>
      </c>
      <c r="BC325" s="2" t="e">
        <f ca="1">_xll.BDH($C$303,"TOTAL_CAPITAL_5_YEAR_GROWTH","FQ2 2018","FQ2 2018","Currency=INR","Period=FQ","BEST_FPERIOD_OVERRIDE=FQ","FILING_STATUS=OR","EQY_CONSOLIDATED=Y","Sort=A","Dates=H","DateFormat=P","Fill=—","Direction=H","UseDPDF=Y")</f>
        <v>#NAME?</v>
      </c>
      <c r="BD325" s="2" t="e">
        <f ca="1">_xll.BDH($C$303,"GEO_GROW_BOOK_VAL","FQ2 2018","FQ2 2018","Currency=INR","Period=FQ","BEST_FPERIOD_OVERRIDE=FQ","FILING_STATUS=OR","EQY_CONSOLIDATED=Y","Sort=A","Dates=H","DateFormat=P","Fill=—","Direction=H","UseDPDF=Y")</f>
        <v>#NAME?</v>
      </c>
      <c r="BE325" s="2" t="e">
        <f ca="1">_xll.BDH($C$303,"GEO_GROW_CASH_OPER_ACT","FQ2 2018","FQ2 2018","Currency=INR","Period=FQ","BEST_FPERIOD_OVERRIDE=FQ","FILING_STATUS=OR","EQY_CONSOLIDATED=Y","Sort=A","Dates=H","DateFormat=P","Fill=—","Direction=H","UseDPDF=Y")</f>
        <v>#NAME?</v>
      </c>
      <c r="BF325" s="2" t="e">
        <f ca="1">_xll.BDH($C$303,"REVENUE_SEQUENTIAL_GROWTH","FQ2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25" s="2" t="e">
        <f ca="1">_xll.BDH($C$303,"EBITDA_SEQUENTIAL_GROWTH","FQ2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25" s="2" t="e">
        <f ca="1">_xll.BDH($C$303,"OPERATING_INCOME_SEQ_GROWTH","FQ2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25" s="2" t="e">
        <f ca="1">_xll.BDH($C$303,"NET_INCOME_TO_COMMON_SEQ_GROWTH","FQ2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25" s="2" t="e">
        <f ca="1">_xll.BDH($C$303,"EPS_DILUTED_SEQUENTIAL_GROWTH","FQ2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25" s="2" t="e">
        <f ca="1">_xll.BDH($C$303,"DPS_SEQUENTIAL_GROWTH","FQ2 2018","FQ2 2018","Currency=INR","Period=FQ","BEST_FPERIOD_OVERRIDE=FQ","FILING_STATUS=OR","EQY_CONSOLIDATED=Y","Sort=A","Dates=H","DateFormat=P","Fill=—","Direction=H","UseDPDF=Y")</f>
        <v>#NAME?</v>
      </c>
      <c r="BL325" s="2" t="e">
        <f ca="1">_xll.BDH($C$303,"ACCOUNTS_RECEIVABLE_SEQ_GROWTH","FQ2 2018","FQ2 2018","Currency=INR","Period=FQ","BEST_FPERIOD_OVERRIDE=FQ","FILING_STATUS=OR","EQY_CONSOLIDATED=Y","Sort=A","Dates=H","DateFormat=P","Fill=—","Direction=H","UseDPDF=Y")</f>
        <v>#NAME?</v>
      </c>
      <c r="BM325" s="2" t="e">
        <f ca="1">_xll.BDH($C$303,"INVENTORY_SEQUENTIAL_GROWTH","FQ2 2018","FQ2 2018","Currency=INR","Period=FQ","BEST_FPERIOD_OVERRIDE=FQ","FILING_STATUS=OR","EQY_CONSOLIDATED=Y","Sort=A","Dates=H","DateFormat=P","Fill=—","Direction=H","UseDPDF=Y")</f>
        <v>#NAME?</v>
      </c>
      <c r="BN325" s="2" t="e">
        <f ca="1">_xll.BDH($C$303,"FIXED_ASSETS_SEQUENTIAL_GROWTH","FQ2 2018","FQ2 2018","Currency=INR","Period=FQ","BEST_FPERIOD_OVERRIDE=FQ","FILING_STATUS=OR","EQY_CONSOLIDATED=Y","Sort=A","Dates=H","DateFormat=P","Fill=—","Direction=H","UseDPDF=Y")</f>
        <v>#NAME?</v>
      </c>
      <c r="BO325" s="2" t="e">
        <f ca="1">_xll.BDH($C$303,"TOTAL_ASSETS_SEQUENTIAL_GROWTH","FQ2 2018","FQ2 2018","Currency=INR","Period=FQ","BEST_FPERIOD_OVERRIDE=FQ","FILING_STATUS=OR","EQY_CONSOLIDATED=Y","Sort=A","Dates=H","DateFormat=P","Fill=—","Direction=H","UseDPDF=Y")</f>
        <v>#NAME?</v>
      </c>
      <c r="BP325" s="2" t="e">
        <f ca="1">_xll.BDH($C$303,"MODIFIED_WORKING_CPTL_SEQ_GRWTH","FQ2 2018","FQ2 2018","Currency=INR","Period=FQ","BEST_FPERIOD_OVERRIDE=FQ","FILING_STATUS=OR","EQY_CONSOLIDATED=Y","Sort=A","Dates=H","DateFormat=P","Fill=—","Direction=H","UseDPDF=Y")</f>
        <v>#NAME?</v>
      </c>
      <c r="BQ325" s="2" t="e">
        <f ca="1">_xll.BDH($C$303,"WORKING_CAPITAL_SEQ_GROWTH","FQ2 2018","FQ2 2018","Currency=INR","Period=FQ","BEST_FPERIOD_OVERRIDE=FQ","FILING_STATUS=OR","EQY_CONSOLIDATED=Y","Sort=A","Dates=H","DateFormat=P","Fill=—","Direction=H","UseDPDF=Y")</f>
        <v>#NAME?</v>
      </c>
      <c r="BR325" s="2" t="e">
        <f ca="1">_xll.BDH($C$303,"ACCOUNTS_PAYABLE_SEQ_GROWTH","FQ2 2018","FQ2 2018","Currency=INR","Period=FQ","BEST_FPERIOD_OVERRIDE=FQ","FILING_STATUS=OR","EQY_CONSOLIDATED=Y","Sort=A","Dates=H","DateFormat=P","Fill=—","Direction=H","UseDPDF=Y")</f>
        <v>#NAME?</v>
      </c>
      <c r="BS325" s="2" t="e">
        <f ca="1">_xll.BDH($C$303,"ST_DEBT_SEQUENTIAL_GROWTH","FQ2 2018","FQ2 2018","Currency=INR","Period=FQ","BEST_FPERIOD_OVERRIDE=FQ","FILING_STATUS=OR","EQY_CONSOLIDATED=Y","Sort=A","Dates=H","DateFormat=P","Fill=—","Direction=H","UseDPDF=Y")</f>
        <v>#NAME?</v>
      </c>
      <c r="BT325" s="2" t="e">
        <f ca="1">_xll.BDH($C$303,"TOTAL_DEBT_SEQUENTIAL_GROWTH","FQ2 2018","FQ2 2018","Currency=INR","Period=FQ","BEST_FPERIOD_OVERRIDE=FQ","FILING_STATUS=OR","EQY_CONSOLIDATED=Y","Sort=A","Dates=H","DateFormat=P","Fill=—","Direction=H","UseDPDF=Y")</f>
        <v>#NAME?</v>
      </c>
      <c r="BU325" s="2" t="e">
        <f ca="1">_xll.BDH($C$303,"TOTAL_EQUITY_SEQUENTIAL_GROWTH","FQ2 2018","FQ2 2018","Currency=INR","Period=FQ","BEST_FPERIOD_OVERRIDE=FQ","FILING_STATUS=OR","EQY_CONSOLIDATED=Y","Sort=A","Dates=H","DateFormat=P","Fill=—","Direction=H","UseDPDF=Y")</f>
        <v>#NAME?</v>
      </c>
      <c r="BV325" s="2" t="e">
        <f ca="1">_xll.BDH($C$303,"TOTAL_CAPITAL_SEQUENTIAL_GROWTH","FQ2 2018","FQ2 2018","Currency=INR","Period=FQ","BEST_FPERIOD_OVERRIDE=FQ","FILING_STATUS=OR","EQY_CONSOLIDATED=Y","Sort=A","Dates=H","DateFormat=P","Fill=—","Direction=H","UseDPDF=Y")</f>
        <v>#NAME?</v>
      </c>
      <c r="BW325" s="2" t="e">
        <f ca="1">_xll.BDH($C$303,"BPS_SEQUENTIAL_GROWTH","FQ2 2018","FQ2 2018","Currency=INR","Period=FQ","BEST_FPERIOD_OVERRIDE=FQ","FILING_STATUS=OR","EQY_CONSOLIDATED=Y","Sort=A","Dates=H","DateFormat=P","Fill=—","Direction=H","UseDPDF=Y")</f>
        <v>#NAME?</v>
      </c>
      <c r="BX325" s="2" t="e">
        <f ca="1">_xll.BDH($C$303,"CFO_SEQUENTIAL_GROWTH","FQ2 2018","FQ2 2018","Currency=INR","Period=FQ","BEST_FPERIOD_OVERRIDE=FQ","FILING_STATUS=OR","EQY_CONSOLIDATED=Y","Sort=A","Dates=H","DateFormat=P","Fill=—","Direction=H","UseDPDF=Y")</f>
        <v>#NAME?</v>
      </c>
      <c r="BY325" s="3" t="e">
        <f ca="1">_xll.BDH($C$303,"SHORT_AND_LONG_TERM_DEBT","FQ2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25" s="3" t="e">
        <f ca="1">_xll.BDH($C$303,"BS_ST_BORROW","FQ2 2018","FQ2 2018","Currency=INR","Period=FQ","BEST_FPERIOD_OVERRIDE=FQ","FILING_STATUS=OR","EQY_CONSOLIDATED=Y","SCALING_FORMAT=MLN","Sort=A","Dates=H","DateFormat=P","Fill=—","Direction=H","UseDPDF=Y")</f>
        <v>#NAME?</v>
      </c>
      <c r="CA325" s="3" t="e">
        <f ca="1">_xll.BDH($C$303,"BS_LT_BORROW","FQ2 2018","FQ2 2018","Currency=INR","Period=FQ","BEST_FPERIOD_OVERRIDE=FQ","FILING_STATUS=OR","EQY_CONSOLIDATED=Y","SCALING_FORMAT=MLN","Sort=A","Dates=H","DateFormat=P","Fill=—","Direction=H","UseDPDF=Y")</f>
        <v>#NAME?</v>
      </c>
      <c r="CB325" s="2" t="e">
        <f ca="1">_xll.BDH($C$303,"TOT_DEBT_TO_EBITDA","FQ2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25" s="2" t="e">
        <f ca="1">_xll.BDH($C$303,"NET_DEBT_TO_EBITDA","FQ2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25" s="2" t="e">
        <f ca="1">_xll.BDH($C$303,"TOTAL_DEBT_TO_EBIT","FQ2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25" s="2" t="e">
        <f ca="1">_xll.BDH($C$303,"NET_DEBT_TO_EBIT","FQ2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25" s="2" t="e">
        <f ca="1">_xll.BDH($C$303,"EBITDA_TO_INTEREST_EXPN","FQ2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25" s="2" t="e">
        <f ca="1">_xll.BDH($C$303,"COM_EQY_TO_TOT_ASSET","FQ2 2018","FQ2 2018","Currency=INR","Period=FQ","BEST_FPERIOD_OVERRIDE=FQ","FILING_STATUS=OR","EQY_CONSOLIDATED=Y","Sort=A","Dates=H","DateFormat=P","Fill=—","Direction=H","UseDPDF=Y")</f>
        <v>#NAME?</v>
      </c>
      <c r="CH325" s="2" t="e">
        <f ca="1">_xll.BDH($C$303,"LT_DEBT_TO_TOT_EQY","FQ2 2018","FQ2 2018","Currency=INR","Period=FQ","BEST_FPERIOD_OVERRIDE=FQ","FILING_STATUS=OR","EQY_CONSOLIDATED=Y","Sort=A","Dates=H","DateFormat=P","Fill=—","Direction=H","UseDPDF=Y")</f>
        <v>#NAME?</v>
      </c>
      <c r="CI325" s="2" t="e">
        <f ca="1">_xll.BDH($C$303,"LT_DEBT_TO_TOT_CAP","FQ2 2018","FQ2 2018","Currency=INR","Period=FQ","BEST_FPERIOD_OVERRIDE=FQ","FILING_STATUS=OR","EQY_CONSOLIDATED=Y","Sort=A","Dates=H","DateFormat=P","Fill=—","Direction=H","UseDPDF=Y")</f>
        <v>#NAME?</v>
      </c>
      <c r="CJ325" s="2" t="e">
        <f ca="1">_xll.BDH($C$303,"LT_DEBT_TO_TOT_ASSET","FQ2 2018","FQ2 2018","Currency=INR","Period=FQ","BEST_FPERIOD_OVERRIDE=FQ","FILING_STATUS=OR","EQY_CONSOLIDATED=Y","Sort=A","Dates=H","DateFormat=P","Fill=—","Direction=H","UseDPDF=Y")</f>
        <v>#NAME?</v>
      </c>
      <c r="CK325" s="2" t="e">
        <f ca="1">_xll.BDH($C$303,"TOT_DEBT_TO_TOT_EQY","FQ2 2018","FQ2 2018","Currency=INR","Period=FQ","BEST_FPERIOD_OVERRIDE=FQ","FILING_STATUS=OR","EQY_CONSOLIDATED=Y","Sort=A","Dates=H","DateFormat=P","Fill=—","Direction=H","UseDPDF=Y")</f>
        <v>#NAME?</v>
      </c>
      <c r="CL325" s="2" t="e">
        <f ca="1">_xll.BDH($C$303,"TOT_DEBT_TO_TOT_CAP","FQ2 2018","FQ2 2018","Currency=INR","Period=FQ","BEST_FPERIOD_OVERRIDE=FQ","FILING_STATUS=OR","EQY_CONSOLIDATED=Y","Sort=A","Dates=H","DateFormat=P","Fill=—","Direction=H","UseDPDF=Y")</f>
        <v>#NAME?</v>
      </c>
      <c r="CM325" s="2" t="e">
        <f ca="1">_xll.BDH($C$303,"TOT_DEBT_TO_TOT_ASSET","FQ2 2018","FQ2 2018","Currency=INR","Period=FQ","BEST_FPERIOD_OVERRIDE=FQ","FILING_STATUS=OR","EQY_CONSOLIDATED=Y","Sort=A","Dates=H","DateFormat=P","Fill=—","Direction=H","UseDPDF=Y")</f>
        <v>#NAME?</v>
      </c>
      <c r="CN325" s="2" t="e">
        <f ca="1">_xll.BDH($C$303,"NET_DEBT_TO_SHRHLDR_EQTY","FQ2 2018","FQ2 2018","Currency=INR","Period=FQ","BEST_FPERIOD_OVERRIDE=FQ","FILING_STATUS=OR","EQY_CONSOLIDATED=Y","Sort=A","Dates=H","DateFormat=P","Fill=—","Direction=H","UseDPDF=Y")</f>
        <v>#NAME?</v>
      </c>
      <c r="CO325" s="2" t="e">
        <f ca="1">_xll.BDH($C$303,"NET_DEBT_%_CAPITAL","FQ2 2018","FQ2 2018","Currency=INR","Period=FQ","BEST_FPERIOD_OVERRIDE=FQ","FILING_STATUS=OR","EQY_CONSOLIDATED=Y","Sort=A","Dates=H","DateFormat=P","Fill=—","Direction=H","UseDPDF=Y")</f>
        <v>#NAME?</v>
      </c>
      <c r="CP325" s="3" t="e">
        <f ca="1">_xll.BDH($C$303,"EBITDA","FQ2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25" s="3" t="e">
        <f ca="1">_xll.BDH($C$303,"EBITDA_AFTER_CAPEX","FQ2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25" s="3" t="e">
        <f ca="1">_xll.BDH($C$303,"IS_OPER_INC","FQ2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25" s="2" t="e">
        <f ca="1">_xll.BDH($C$303,"CASH_RATIO","FQ2 2018","FQ2 2018","Currency=INR","Period=FQ","BEST_FPERIOD_OVERRIDE=FQ","FILING_STATUS=OR","EQY_CONSOLIDATED=Y","Sort=A","Dates=H","DateFormat=P","Fill=—","Direction=H","UseDPDF=Y")</f>
        <v>#NAME?</v>
      </c>
      <c r="CT325" s="2" t="e">
        <f ca="1">_xll.BDH($C$303,"CUR_RATIO","FQ2 2018","FQ2 2018","Currency=INR","Period=FQ","BEST_FPERIOD_OVERRIDE=FQ","FILING_STATUS=OR","EQY_CONSOLIDATED=Y","Sort=A","Dates=H","DateFormat=P","Fill=—","Direction=H","UseDPDF=Y")</f>
        <v>#NAME?</v>
      </c>
      <c r="CU325" s="2" t="e">
        <f ca="1">_xll.BDH($C$303,"QUICK_RATIO","FQ2 2018","FQ2 2018","Currency=INR","Period=FQ","BEST_FPERIOD_OVERRIDE=FQ","FILING_STATUS=OR","EQY_CONSOLIDATED=Y","Sort=A","Dates=H","DateFormat=P","Fill=—","Direction=H","UseDPDF=Y")</f>
        <v>#NAME?</v>
      </c>
      <c r="CV325" s="2" t="e">
        <f ca="1">_xll.BDH($C$303,"ALTMAN_Z_SCORE","FQ2 2018","FQ2 2018","Currency=INR","Period=FQ","BEST_FPERIOD_OVERRIDE=FQ","FILING_STATUS=OR","EQY_CONSOLIDATED=Y","Sort=A","Dates=H","DateFormat=P","Fill=—","Direction=H","UseDPDF=Y")</f>
        <v>#NAME?</v>
      </c>
      <c r="CW325" s="4" t="e">
        <f ca="1">_xll.BDH($C$303,"ACCT_RCV_TURN","FQ2 2018","FQ2 2018","Currency=INR","Period=FQ","BEST_FPERIOD_OVERRIDE=FQ","FILING_STATUS=OR","EQY_CONSOLIDATED=Y","FA_ADJUSTED=GAAP","Sort=A","Dates=H","DateFormat=P","Fill=—","Direction=H","UseDPDF=Y")</f>
        <v>#NAME?</v>
      </c>
      <c r="CX325" s="2" t="e">
        <f ca="1">_xll.BDH($C$303,"ACCT_RCV_DAYS","FQ2 2018","FQ2 2018","Currency=INR","Period=FQ","BEST_FPERIOD_OVERRIDE=FQ","FILING_STATUS=OR","EQY_CONSOLIDATED=Y","FA_ADJUSTED=GAAP","Sort=A","Dates=H","DateFormat=P","Fill=—","Direction=H","UseDPDF=Y")</f>
        <v>#NAME?</v>
      </c>
      <c r="CY325" s="4" t="e">
        <f ca="1">_xll.BDH($C$303,"INVENT_TURN","FQ2 2018","FQ2 2018","Currency=INR","Period=FQ","BEST_FPERIOD_OVERRIDE=FQ","FILING_STATUS=OR","EQY_CONSOLIDATED=Y","FA_ADJUSTED=GAAP","Sort=A","Dates=H","DateFormat=P","Fill=—","Direction=H","UseDPDF=Y")</f>
        <v>#NAME?</v>
      </c>
      <c r="CZ325" s="2" t="e">
        <f ca="1">_xll.BDH($C$303,"INVENT_DAYS","FQ2 2018","FQ2 2018","Currency=INR","Period=FQ","BEST_FPERIOD_OVERRIDE=FQ","FILING_STATUS=OR","EQY_CONSOLIDATED=Y","FA_ADJUSTED=GAAP","Sort=A","Dates=H","DateFormat=P","Fill=—","Direction=H","UseDPDF=Y")</f>
        <v>#NAME?</v>
      </c>
      <c r="DA325" s="4" t="e">
        <f ca="1">_xll.BDH($C$303,"ACCOUNTS_PAYABLE_TURNOVER","FQ2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25" s="2" t="e">
        <f ca="1">_xll.BDH($C$303,"ACCOUNTS_PAYABLE_TURNOVER_DAYS","FQ2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25" s="4" t="e">
        <f ca="1">_xll.BDH($C$303,"CASH_CONVERSION_CYCLE","FQ2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25" s="4" t="e">
        <f ca="1">_xll.BDH($C$303,"INV_TO_CASH_DAYS","FQ2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25" s="5" t="e">
        <f ca="1">_xll.BDH($C$303,"BS_INVENTORIES","FQ2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25" s="3" t="e">
        <f ca="1">_xll.BDH($C$303,"INVTRY_RAW_MATERIALS","FQ2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25" s="3" t="e">
        <f ca="1">_xll.BDH($C$303,"INVTRY_IN_PROGRESS","FQ2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25" s="3" t="e">
        <f ca="1">_xll.BDH($C$303,"INVTRY_FINISHED_GOODS","FQ2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25" s="3" t="e">
        <f ca="1">_xll.BDH($C$303,"BS_OTHER_INV","FQ2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26" spans="1:113" x14ac:dyDescent="0.3">
      <c r="A326" s="6"/>
      <c r="B326" s="6"/>
      <c r="C326" s="6"/>
      <c r="D326" s="6"/>
      <c r="E326" t="s">
        <v>80</v>
      </c>
      <c r="F326" t="e">
        <f ca="1">_xll.BDH($C$303,"RETURN_COM_EQY","FQ3 2018","FQ3 2018","Currency=INR","Period=FQ","BEST_FPERIOD_OVERRIDE=FQ","FILING_STATUS=OR","EQY_CONSOLIDATED=Y","FA_ADJUSTED=GAAP","Sort=A","Dates=H","DateFormat=P","Fill=—","Direction=H","UseDPDF=Y")</f>
        <v>#NAME?</v>
      </c>
      <c r="G326" t="e">
        <f ca="1">_xll.BDH($C$303,"RETURN_ON_ASSET","FQ3 2018","FQ3 2018","Currency=INR","Period=FQ","BEST_FPERIOD_OVERRIDE=FQ","FILING_STATUS=OR","EQY_CONSOLIDATED=Y","FA_ADJUSTED=GAAP","Sort=A","Dates=H","DateFormat=P","Fill=—","Direction=H","UseDPDF=Y")</f>
        <v>#NAME?</v>
      </c>
      <c r="H326" t="e">
        <f ca="1">_xll.BDH($C$303,"RETURN_ON_CAP","FQ3 2018","FQ3 2018","Currency=INR","Period=FQ","BEST_FPERIOD_OVERRIDE=FQ","FILING_STATUS=OR","EQY_CONSOLIDATED=Y","FA_ADJUSTED=GAAP","Sort=A","Dates=H","DateFormat=P","Fill=—","Direction=H","UseDPDF=Y")</f>
        <v>#NAME?</v>
      </c>
      <c r="I326" t="e">
        <f ca="1">_xll.BDH($C$303,"RETURN_ON_INV_CAPITAL","FQ3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26" t="e">
        <f ca="1">_xll.BDH($C$303,"EBITDA_TO_REVENUE","FQ3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26" t="e">
        <f ca="1">_xll.BDH($C$303,"OPER_MARGIN","FQ3 2018","FQ3 2018","Currency=INR","Period=FQ","BEST_FPERIOD_OVERRIDE=FQ","FILING_STATUS=OR","EQY_CONSOLIDATED=Y","FA_ADJUSTED=GAAP","Sort=A","Dates=H","DateFormat=P","Fill=—","Direction=H","UseDPDF=Y")</f>
        <v>#NAME?</v>
      </c>
      <c r="L326" t="e">
        <f ca="1">_xll.BDH($C$303,"INCREMENTAL_OPERATING_MARGIN","FQ3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26" t="e">
        <f ca="1">_xll.BDH($C$303,"PRETAX_INC_TO_NET_SALES","FQ3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26" t="e">
        <f ca="1">_xll.BDH($C$303,"INC_BEF_XO_ITEMS_TO_NET_SALES","FQ3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26" t="e">
        <f ca="1">_xll.BDH($C$303,"PROF_MARGIN","FQ3 2018","FQ3 2018","Currency=INR","Period=FQ","BEST_FPERIOD_OVERRIDE=FQ","FILING_STATUS=OR","EQY_CONSOLIDATED=Y","FA_ADJUSTED=GAAP","Sort=A","Dates=H","DateFormat=P","Fill=—","Direction=H","UseDPDF=Y")</f>
        <v>#NAME?</v>
      </c>
      <c r="P326" t="e">
        <f ca="1">_xll.BDH($C$303,"NET_INCOME_TO_COMMON_MARGIN","FQ3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26" t="e">
        <f ca="1">_xll.BDH($C$303,"EFF_TAX_RATE","FQ3 2018","FQ3 2018","Currency=INR","Period=FQ","BEST_FPERIOD_OVERRIDE=FQ","FILING_STATUS=OR","EQY_CONSOLIDATED=Y","FA_ADJUSTED=GAAP","Sort=A","Dates=H","DateFormat=P","Fill=—","Direction=H","UseDPDF=Y")</f>
        <v>#NAME?</v>
      </c>
      <c r="R326" t="e">
        <f ca="1">_xll.BDH($C$303,"DVD_PAYOUT_RATIO","FQ3 2018","FQ3 2018","Currency=INR","Period=FQ","BEST_FPERIOD_OVERRIDE=FQ","FILING_STATUS=OR","EQY_CONSOLIDATED=Y","FA_ADJUSTED=GAAP","Sort=A","Dates=H","DateFormat=P","Fill=—","Direction=H","UseDPDF=Y")</f>
        <v>#NAME?</v>
      </c>
      <c r="S326" t="e">
        <f ca="1">_xll.BDH($C$303,"SUSTAIN_GROWTH_RT","FQ3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26" s="2" t="e">
        <f ca="1">_xll.BDH($C$303,"SALES_GROWTH","FQ3 2018","FQ3 2018","Currency=INR","Period=FQ","BEST_FPERIOD_OVERRIDE=FQ","FILING_STATUS=OR","EQY_CONSOLIDATED=Y","FA_ADJUSTED=GAAP","Sort=A","Dates=H","DateFormat=P","Fill=—","Direction=H","UseDPDF=Y")</f>
        <v>#NAME?</v>
      </c>
      <c r="U326" s="2" t="e">
        <f ca="1">_xll.BDH($C$303,"EBITDA_GROWTH","FQ3 2018","FQ3 2018","Currency=INR","Period=FQ","BEST_FPERIOD_OVERRIDE=FQ","FILING_STATUS=OR","EQY_CONSOLIDATED=Y","FA_ADJUSTED=GAAP","Sort=A","Dates=H","DateFormat=P","Fill=—","Direction=H","UseDPDF=Y")</f>
        <v>#NAME?</v>
      </c>
      <c r="V326" s="2" t="e">
        <f ca="1">_xll.BDH($C$303,"OPER_INC_GROWTH","FQ3 2018","FQ3 2018","Currency=INR","Period=FQ","BEST_FPERIOD_OVERRIDE=FQ","FILING_STATUS=OR","EQY_CONSOLIDATED=Y","FA_ADJUSTED=GAAP","Sort=A","Dates=H","DateFormat=P","Fill=—","Direction=H","UseDPDF=Y")</f>
        <v>#NAME?</v>
      </c>
      <c r="W326" s="2" t="e">
        <f ca="1">_xll.BDH($C$303,"EARN_FOR_COM_GROWTH","FQ3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26" s="2" t="e">
        <f ca="1">_xll.BDH($C$303,"DILUTED_EPS_AFT_XO_ITEMS_GROWTH","FQ3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26" s="2" t="e">
        <f ca="1">_xll.BDH($C$303,"DIVIDEND_PER_SHARE_1_YEAR_GROWTH","FQ3 2018","FQ3 2018","Currency=INR","Period=FQ","BEST_FPERIOD_OVERRIDE=FQ","FILING_STATUS=OR","EQY_CONSOLIDATED=Y","Sort=A","Dates=H","DateFormat=P","Fill=—","Direction=H","UseDPDF=Y")</f>
        <v>#NAME?</v>
      </c>
      <c r="Z326" s="2" t="e">
        <f ca="1">_xll.BDH($C$303,"ACCOUNTS_RECEIVABLE_GROWTH","FQ3 2018","FQ3 2018","Currency=INR","Period=FQ","BEST_FPERIOD_OVERRIDE=FQ","FILING_STATUS=OR","EQY_CONSOLIDATED=Y","Sort=A","Dates=H","DateFormat=P","Fill=—","Direction=H","UseDPDF=Y")</f>
        <v>#NAME?</v>
      </c>
      <c r="AA326" s="2" t="e">
        <f ca="1">_xll.BDH($C$303,"INVENTORY_GROWTH","FQ3 2018","FQ3 2018","Currency=INR","Period=FQ","BEST_FPERIOD_OVERRIDE=FQ","FILING_STATUS=OR","EQY_CONSOLIDATED=Y","Sort=A","Dates=H","DateFormat=P","Fill=—","Direction=H","UseDPDF=Y")</f>
        <v>#NAME?</v>
      </c>
      <c r="AB326" s="2" t="e">
        <f ca="1">_xll.BDH($C$303,"NET_FIXED_ASSETS_1_YEAR_GROWTH","FQ3 2018","FQ3 2018","Currency=INR","Period=FQ","BEST_FPERIOD_OVERRIDE=FQ","FILING_STATUS=OR","EQY_CONSOLIDATED=Y","Sort=A","Dates=H","DateFormat=P","Fill=—","Direction=H","UseDPDF=Y")</f>
        <v>#NAME?</v>
      </c>
      <c r="AC326" s="2" t="e">
        <f ca="1">_xll.BDH($C$303,"ASSET_GROWTH","FQ3 2018","FQ3 2018","Currency=INR","Period=FQ","BEST_FPERIOD_OVERRIDE=FQ","FILING_STATUS=OR","EQY_CONSOLIDATED=Y","Sort=A","Dates=H","DateFormat=P","Fill=—","Direction=H","UseDPDF=Y")</f>
        <v>#NAME?</v>
      </c>
      <c r="AD326" s="2" t="e">
        <f ca="1">_xll.BDH($C$303,"MODIFIED_WORK_CAP_GROWTH","FQ3 2018","FQ3 2018","Currency=INR","Period=FQ","BEST_FPERIOD_OVERRIDE=FQ","FILING_STATUS=OR","EQY_CONSOLIDATED=Y","Sort=A","Dates=H","DateFormat=P","Fill=—","Direction=H","UseDPDF=Y")</f>
        <v>#NAME?</v>
      </c>
      <c r="AE326" s="2" t="e">
        <f ca="1">_xll.BDH($C$303,"WORK_CAP_GROWTH","FQ3 2018","FQ3 2018","Currency=INR","Period=FQ","BEST_FPERIOD_OVERRIDE=FQ","FILING_STATUS=OR","EQY_CONSOLIDATED=Y","Sort=A","Dates=H","DateFormat=P","Fill=—","Direction=H","UseDPDF=Y")</f>
        <v>#NAME?</v>
      </c>
      <c r="AF326" s="2" t="e">
        <f ca="1">_xll.BDH($C$303,"ACCOUNTS_PAYABLE_GROWTH_1YR","FQ3 2018","FQ3 2018","Currency=INR","Period=FQ","BEST_FPERIOD_OVERRIDE=FQ","FILING_STATUS=OR","EQY_CONSOLIDATED=Y","Sort=A","Dates=H","DateFormat=P","Fill=—","Direction=H","UseDPDF=Y")</f>
        <v>#NAME?</v>
      </c>
      <c r="AG326" s="2" t="e">
        <f ca="1">_xll.BDH($C$303,"SHORT_TERM_DEBT_1_YEAR_GROWTH","FQ3 2018","FQ3 2018","Currency=INR","Period=FQ","BEST_FPERIOD_OVERRIDE=FQ","FILING_STATUS=OR","EQY_CONSOLIDATED=Y","Sort=A","Dates=H","DateFormat=P","Fill=—","Direction=H","UseDPDF=Y")</f>
        <v>#NAME?</v>
      </c>
      <c r="AH326" s="2" t="e">
        <f ca="1">_xll.BDH($C$303,"TOTAL_DEBT_1_YEAR_GROWTH","FQ3 2018","FQ3 2018","Currency=INR","Period=FQ","BEST_FPERIOD_OVERRIDE=FQ","FILING_STATUS=OR","EQY_CONSOLIDATED=Y","Sort=A","Dates=H","DateFormat=P","Fill=—","Direction=H","UseDPDF=Y")</f>
        <v>#NAME?</v>
      </c>
      <c r="AI326" s="2" t="e">
        <f ca="1">_xll.BDH($C$303,"TOTAL_EQUITY_1_YEAR_GROWTH","FQ3 2018","FQ3 2018","Currency=INR","Period=FQ","BEST_FPERIOD_OVERRIDE=FQ","FILING_STATUS=OR","EQY_CONSOLIDATED=Y","Sort=A","Dates=H","DateFormat=P","Fill=—","Direction=H","UseDPDF=Y")</f>
        <v>#NAME?</v>
      </c>
      <c r="AJ326" s="2" t="e">
        <f ca="1">_xll.BDH($C$303,"GROWTH_IN_CAP","FQ3 2018","FQ3 2018","Currency=INR","Period=FQ","BEST_FPERIOD_OVERRIDE=FQ","FILING_STATUS=OR","EQY_CONSOLIDATED=Y","Sort=A","Dates=H","DateFormat=P","Fill=—","Direction=H","UseDPDF=Y")</f>
        <v>#NAME?</v>
      </c>
      <c r="AK326" s="2" t="e">
        <f ca="1">_xll.BDH($C$303,"BVPS_GROWTH","FQ3 2018","FQ3 2018","Currency=INR","Period=FQ","BEST_FPERIOD_OVERRIDE=FQ","FILING_STATUS=OR","EQY_CONSOLIDATED=Y","Sort=A","Dates=H","DateFormat=P","Fill=—","Direction=H","UseDPDF=Y")</f>
        <v>#NAME?</v>
      </c>
      <c r="AL326" s="2" t="e">
        <f ca="1">_xll.BDH($C$303,"CASH_FLOW_GROWTH","FQ3 2018","FQ3 2018","Currency=INR","Period=FQ","BEST_FPERIOD_OVERRIDE=FQ","FILING_STATUS=OR","EQY_CONSOLIDATED=Y","Sort=A","Dates=H","DateFormat=P","Fill=—","Direction=H","UseDPDF=Y")</f>
        <v>#NAME?</v>
      </c>
      <c r="AM326" s="2" t="e">
        <f ca="1">_xll.BDH($C$303,"GEO_GROW_NET_SALES","FQ3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26" s="2" t="e">
        <f ca="1">_xll.BDH($C$303,"GEO_GROW_EBITDA","FQ3 2018","FQ3 2018","Currency=INR","Period=FQ","BEST_FPERIOD_OVERRIDE=FQ","FILING_STATUS=OR","EQY_CONSOLIDATED=Y","FA_ADJUSTED=GAAP","Sort=A","Dates=H","DateFormat=P","Fill=—","Direction=H","UseDPDF=Y")</f>
        <v>#NAME?</v>
      </c>
      <c r="AO326" s="2" t="e">
        <f ca="1">_xll.BDH($C$303,"GEO_GROW_OPER_INC","FQ3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26" s="2" t="e">
        <f ca="1">_xll.BDH($C$303,"NET_INCOME_TO_COMMON_5_YR_GROWTH","FQ3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26" s="2" t="e">
        <f ca="1">_xll.BDH($C$303,"5Y_GEO_GROWTH_DILUTED_EPS","FQ3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26" s="2" t="e">
        <f ca="1">_xll.BDH($C$303,"GEO_GROW_DVD_PER_SH","FQ3 2018","FQ3 2018","Currency=INR","Period=FQ","BEST_FPERIOD_OVERRIDE=FQ","FILING_STATUS=OR","EQY_CONSOLIDATED=Y","Sort=A","Dates=H","DateFormat=P","Fill=—","Direction=H","UseDPDF=Y")</f>
        <v>#NAME?</v>
      </c>
      <c r="AS326" s="2" t="e">
        <f ca="1">_xll.BDH($C$303,"ACCOUNTS_RECEIVABLE_5_YR_GROWTH","FQ3 2018","FQ3 2018","Currency=INR","Period=FQ","BEST_FPERIOD_OVERRIDE=FQ","FILING_STATUS=OR","EQY_CONSOLIDATED=Y","Sort=A","Dates=H","DateFormat=P","Fill=—","Direction=H","UseDPDF=Y")</f>
        <v>#NAME?</v>
      </c>
      <c r="AT326" s="2" t="e">
        <f ca="1">_xll.BDH($C$303,"INVENTORY_5_YEAR_GROWTH","FQ3 2018","FQ3 2018","Currency=INR","Period=FQ","BEST_FPERIOD_OVERRIDE=FQ","FILING_STATUS=OR","EQY_CONSOLIDATED=Y","Sort=A","Dates=H","DateFormat=P","Fill=—","Direction=H","UseDPDF=Y")</f>
        <v>#NAME?</v>
      </c>
      <c r="AU326" s="2" t="e">
        <f ca="1">_xll.BDH($C$303,"NET_FIXED_ASSETS_5_YEAR_GROWTH","FQ3 2018","FQ3 2018","Currency=INR","Period=FQ","BEST_FPERIOD_OVERRIDE=FQ","FILING_STATUS=OR","EQY_CONSOLIDATED=Y","Sort=A","Dates=H","DateFormat=P","Fill=—","Direction=H","UseDPDF=Y")</f>
        <v>#NAME?</v>
      </c>
      <c r="AV326" s="2" t="e">
        <f ca="1">_xll.BDH($C$303,"GEO_GROW_TOT_ASSET","FQ3 2018","FQ3 2018","Currency=INR","Period=FQ","BEST_FPERIOD_OVERRIDE=FQ","FILING_STATUS=OR","EQY_CONSOLIDATED=Y","Sort=A","Dates=H","DateFormat=P","Fill=—","Direction=H","UseDPDF=Y")</f>
        <v>#NAME?</v>
      </c>
      <c r="AW326" s="2" t="e">
        <f ca="1">_xll.BDH($C$303,"MODIFIED_WORKING_CPTL_5YR_GRWTH","FQ3 2018","FQ3 2018","Currency=INR","Period=FQ","BEST_FPERIOD_OVERRIDE=FQ","FILING_STATUS=OR","EQY_CONSOLIDATED=Y","Sort=A","Dates=H","DateFormat=P","Fill=—","Direction=H","UseDPDF=Y")</f>
        <v>#NAME?</v>
      </c>
      <c r="AX326" s="2" t="e">
        <f ca="1">_xll.BDH($C$303,"WORKING_CAPITAL_5_YEAR_GROWTH","FQ3 2018","FQ3 2018","Currency=INR","Period=FQ","BEST_FPERIOD_OVERRIDE=FQ","FILING_STATUS=OR","EQY_CONSOLIDATED=Y","Sort=A","Dates=H","DateFormat=P","Fill=—","Direction=H","UseDPDF=Y")</f>
        <v>#NAME?</v>
      </c>
      <c r="AY326" s="2" t="e">
        <f ca="1">_xll.BDH($C$303,"ACCOUNTS_PAYABLE_5_YEAR_GROWTH","FQ3 2018","FQ3 2018","Currency=INR","Period=FQ","BEST_FPERIOD_OVERRIDE=FQ","FILING_STATUS=OR","EQY_CONSOLIDATED=Y","Sort=A","Dates=H","DateFormat=P","Fill=—","Direction=H","UseDPDF=Y")</f>
        <v>#NAME?</v>
      </c>
      <c r="AZ326" s="2" t="e">
        <f ca="1">_xll.BDH($C$303,"SHORT_TERM_DEBT_5_YEAR_GROWTH","FQ3 2018","FQ3 2018","Currency=INR","Period=FQ","BEST_FPERIOD_OVERRIDE=FQ","FILING_STATUS=OR","EQY_CONSOLIDATED=Y","Sort=A","Dates=H","DateFormat=P","Fill=—","Direction=H","UseDPDF=Y")</f>
        <v>#NAME?</v>
      </c>
      <c r="BA326" s="2" t="e">
        <f ca="1">_xll.BDH($C$303,"TOTAL_DEBT_5_YEAR_GROWTH","FQ3 2018","FQ3 2018","Currency=INR","Period=FQ","BEST_FPERIOD_OVERRIDE=FQ","FILING_STATUS=OR","EQY_CONSOLIDATED=Y","Sort=A","Dates=H","DateFormat=P","Fill=—","Direction=H","UseDPDF=Y")</f>
        <v>#NAME?</v>
      </c>
      <c r="BB326" s="2" t="e">
        <f ca="1">_xll.BDH($C$303,"GEO_GROW_TOT_SHRHLDR_EQY","FQ3 2018","FQ3 2018","Currency=INR","Period=FQ","BEST_FPERIOD_OVERRIDE=FQ","FILING_STATUS=OR","EQY_CONSOLIDATED=Y","Sort=A","Dates=H","DateFormat=P","Fill=—","Direction=H","UseDPDF=Y")</f>
        <v>#NAME?</v>
      </c>
      <c r="BC326" s="2" t="e">
        <f ca="1">_xll.BDH($C$303,"TOTAL_CAPITAL_5_YEAR_GROWTH","FQ3 2018","FQ3 2018","Currency=INR","Period=FQ","BEST_FPERIOD_OVERRIDE=FQ","FILING_STATUS=OR","EQY_CONSOLIDATED=Y","Sort=A","Dates=H","DateFormat=P","Fill=—","Direction=H","UseDPDF=Y")</f>
        <v>#NAME?</v>
      </c>
      <c r="BD326" s="2" t="e">
        <f ca="1">_xll.BDH($C$303,"GEO_GROW_BOOK_VAL","FQ3 2018","FQ3 2018","Currency=INR","Period=FQ","BEST_FPERIOD_OVERRIDE=FQ","FILING_STATUS=OR","EQY_CONSOLIDATED=Y","Sort=A","Dates=H","DateFormat=P","Fill=—","Direction=H","UseDPDF=Y")</f>
        <v>#NAME?</v>
      </c>
      <c r="BE326" s="2" t="e">
        <f ca="1">_xll.BDH($C$303,"GEO_GROW_CASH_OPER_ACT","FQ3 2018","FQ3 2018","Currency=INR","Period=FQ","BEST_FPERIOD_OVERRIDE=FQ","FILING_STATUS=OR","EQY_CONSOLIDATED=Y","Sort=A","Dates=H","DateFormat=P","Fill=—","Direction=H","UseDPDF=Y")</f>
        <v>#NAME?</v>
      </c>
      <c r="BF326" s="2" t="e">
        <f ca="1">_xll.BDH($C$303,"REVENUE_SEQUENTIAL_GROWTH","FQ3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26" s="2" t="e">
        <f ca="1">_xll.BDH($C$303,"EBITDA_SEQUENTIAL_GROWTH","FQ3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26" s="2" t="e">
        <f ca="1">_xll.BDH($C$303,"OPERATING_INCOME_SEQ_GROWTH","FQ3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26" s="2" t="e">
        <f ca="1">_xll.BDH($C$303,"NET_INCOME_TO_COMMON_SEQ_GROWTH","FQ3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26" s="2" t="e">
        <f ca="1">_xll.BDH($C$303,"EPS_DILUTED_SEQUENTIAL_GROWTH","FQ3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26" s="2" t="e">
        <f ca="1">_xll.BDH($C$303,"DPS_SEQUENTIAL_GROWTH","FQ3 2018","FQ3 2018","Currency=INR","Period=FQ","BEST_FPERIOD_OVERRIDE=FQ","FILING_STATUS=OR","EQY_CONSOLIDATED=Y","Sort=A","Dates=H","DateFormat=P","Fill=—","Direction=H","UseDPDF=Y")</f>
        <v>#NAME?</v>
      </c>
      <c r="BL326" s="2" t="e">
        <f ca="1">_xll.BDH($C$303,"ACCOUNTS_RECEIVABLE_SEQ_GROWTH","FQ3 2018","FQ3 2018","Currency=INR","Period=FQ","BEST_FPERIOD_OVERRIDE=FQ","FILING_STATUS=OR","EQY_CONSOLIDATED=Y","Sort=A","Dates=H","DateFormat=P","Fill=—","Direction=H","UseDPDF=Y")</f>
        <v>#NAME?</v>
      </c>
      <c r="BM326" s="2" t="e">
        <f ca="1">_xll.BDH($C$303,"INVENTORY_SEQUENTIAL_GROWTH","FQ3 2018","FQ3 2018","Currency=INR","Period=FQ","BEST_FPERIOD_OVERRIDE=FQ","FILING_STATUS=OR","EQY_CONSOLIDATED=Y","Sort=A","Dates=H","DateFormat=P","Fill=—","Direction=H","UseDPDF=Y")</f>
        <v>#NAME?</v>
      </c>
      <c r="BN326" s="2" t="e">
        <f ca="1">_xll.BDH($C$303,"FIXED_ASSETS_SEQUENTIAL_GROWTH","FQ3 2018","FQ3 2018","Currency=INR","Period=FQ","BEST_FPERIOD_OVERRIDE=FQ","FILING_STATUS=OR","EQY_CONSOLIDATED=Y","Sort=A","Dates=H","DateFormat=P","Fill=—","Direction=H","UseDPDF=Y")</f>
        <v>#NAME?</v>
      </c>
      <c r="BO326" s="2" t="e">
        <f ca="1">_xll.BDH($C$303,"TOTAL_ASSETS_SEQUENTIAL_GROWTH","FQ3 2018","FQ3 2018","Currency=INR","Period=FQ","BEST_FPERIOD_OVERRIDE=FQ","FILING_STATUS=OR","EQY_CONSOLIDATED=Y","Sort=A","Dates=H","DateFormat=P","Fill=—","Direction=H","UseDPDF=Y")</f>
        <v>#NAME?</v>
      </c>
      <c r="BP326" s="2" t="e">
        <f ca="1">_xll.BDH($C$303,"MODIFIED_WORKING_CPTL_SEQ_GRWTH","FQ3 2018","FQ3 2018","Currency=INR","Period=FQ","BEST_FPERIOD_OVERRIDE=FQ","FILING_STATUS=OR","EQY_CONSOLIDATED=Y","Sort=A","Dates=H","DateFormat=P","Fill=—","Direction=H","UseDPDF=Y")</f>
        <v>#NAME?</v>
      </c>
      <c r="BQ326" s="2" t="e">
        <f ca="1">_xll.BDH($C$303,"WORKING_CAPITAL_SEQ_GROWTH","FQ3 2018","FQ3 2018","Currency=INR","Period=FQ","BEST_FPERIOD_OVERRIDE=FQ","FILING_STATUS=OR","EQY_CONSOLIDATED=Y","Sort=A","Dates=H","DateFormat=P","Fill=—","Direction=H","UseDPDF=Y")</f>
        <v>#NAME?</v>
      </c>
      <c r="BR326" s="2" t="e">
        <f ca="1">_xll.BDH($C$303,"ACCOUNTS_PAYABLE_SEQ_GROWTH","FQ3 2018","FQ3 2018","Currency=INR","Period=FQ","BEST_FPERIOD_OVERRIDE=FQ","FILING_STATUS=OR","EQY_CONSOLIDATED=Y","Sort=A","Dates=H","DateFormat=P","Fill=—","Direction=H","UseDPDF=Y")</f>
        <v>#NAME?</v>
      </c>
      <c r="BS326" s="2" t="e">
        <f ca="1">_xll.BDH($C$303,"ST_DEBT_SEQUENTIAL_GROWTH","FQ3 2018","FQ3 2018","Currency=INR","Period=FQ","BEST_FPERIOD_OVERRIDE=FQ","FILING_STATUS=OR","EQY_CONSOLIDATED=Y","Sort=A","Dates=H","DateFormat=P","Fill=—","Direction=H","UseDPDF=Y")</f>
        <v>#NAME?</v>
      </c>
      <c r="BT326" s="2" t="e">
        <f ca="1">_xll.BDH($C$303,"TOTAL_DEBT_SEQUENTIAL_GROWTH","FQ3 2018","FQ3 2018","Currency=INR","Period=FQ","BEST_FPERIOD_OVERRIDE=FQ","FILING_STATUS=OR","EQY_CONSOLIDATED=Y","Sort=A","Dates=H","DateFormat=P","Fill=—","Direction=H","UseDPDF=Y")</f>
        <v>#NAME?</v>
      </c>
      <c r="BU326" s="2" t="e">
        <f ca="1">_xll.BDH($C$303,"TOTAL_EQUITY_SEQUENTIAL_GROWTH","FQ3 2018","FQ3 2018","Currency=INR","Period=FQ","BEST_FPERIOD_OVERRIDE=FQ","FILING_STATUS=OR","EQY_CONSOLIDATED=Y","Sort=A","Dates=H","DateFormat=P","Fill=—","Direction=H","UseDPDF=Y")</f>
        <v>#NAME?</v>
      </c>
      <c r="BV326" s="2" t="e">
        <f ca="1">_xll.BDH($C$303,"TOTAL_CAPITAL_SEQUENTIAL_GROWTH","FQ3 2018","FQ3 2018","Currency=INR","Period=FQ","BEST_FPERIOD_OVERRIDE=FQ","FILING_STATUS=OR","EQY_CONSOLIDATED=Y","Sort=A","Dates=H","DateFormat=P","Fill=—","Direction=H","UseDPDF=Y")</f>
        <v>#NAME?</v>
      </c>
      <c r="BW326" s="2" t="e">
        <f ca="1">_xll.BDH($C$303,"BPS_SEQUENTIAL_GROWTH","FQ3 2018","FQ3 2018","Currency=INR","Period=FQ","BEST_FPERIOD_OVERRIDE=FQ","FILING_STATUS=OR","EQY_CONSOLIDATED=Y","Sort=A","Dates=H","DateFormat=P","Fill=—","Direction=H","UseDPDF=Y")</f>
        <v>#NAME?</v>
      </c>
      <c r="BX326" s="2" t="e">
        <f ca="1">_xll.BDH($C$303,"CFO_SEQUENTIAL_GROWTH","FQ3 2018","FQ3 2018","Currency=INR","Period=FQ","BEST_FPERIOD_OVERRIDE=FQ","FILING_STATUS=OR","EQY_CONSOLIDATED=Y","Sort=A","Dates=H","DateFormat=P","Fill=—","Direction=H","UseDPDF=Y")</f>
        <v>#NAME?</v>
      </c>
      <c r="BY326" s="3" t="e">
        <f ca="1">_xll.BDH($C$303,"SHORT_AND_LONG_TERM_DEBT","FQ3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26" s="3" t="e">
        <f ca="1">_xll.BDH($C$303,"BS_ST_BORROW","FQ3 2018","FQ3 2018","Currency=INR","Period=FQ","BEST_FPERIOD_OVERRIDE=FQ","FILING_STATUS=OR","EQY_CONSOLIDATED=Y","SCALING_FORMAT=MLN","Sort=A","Dates=H","DateFormat=P","Fill=—","Direction=H","UseDPDF=Y")</f>
        <v>#NAME?</v>
      </c>
      <c r="CA326" s="3" t="e">
        <f ca="1">_xll.BDH($C$303,"BS_LT_BORROW","FQ3 2018","FQ3 2018","Currency=INR","Period=FQ","BEST_FPERIOD_OVERRIDE=FQ","FILING_STATUS=OR","EQY_CONSOLIDATED=Y","SCALING_FORMAT=MLN","Sort=A","Dates=H","DateFormat=P","Fill=—","Direction=H","UseDPDF=Y")</f>
        <v>#NAME?</v>
      </c>
      <c r="CB326" s="2" t="e">
        <f ca="1">_xll.BDH($C$303,"TOT_DEBT_TO_EBITDA","FQ3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26" s="2" t="e">
        <f ca="1">_xll.BDH($C$303,"NET_DEBT_TO_EBITDA","FQ3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26" s="2" t="e">
        <f ca="1">_xll.BDH($C$303,"TOTAL_DEBT_TO_EBIT","FQ3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26" s="2" t="e">
        <f ca="1">_xll.BDH($C$303,"NET_DEBT_TO_EBIT","FQ3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26" s="2" t="e">
        <f ca="1">_xll.BDH($C$303,"EBITDA_TO_INTEREST_EXPN","FQ3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26" s="2" t="e">
        <f ca="1">_xll.BDH($C$303,"COM_EQY_TO_TOT_ASSET","FQ3 2018","FQ3 2018","Currency=INR","Period=FQ","BEST_FPERIOD_OVERRIDE=FQ","FILING_STATUS=OR","EQY_CONSOLIDATED=Y","Sort=A","Dates=H","DateFormat=P","Fill=—","Direction=H","UseDPDF=Y")</f>
        <v>#NAME?</v>
      </c>
      <c r="CH326" s="2" t="e">
        <f ca="1">_xll.BDH($C$303,"LT_DEBT_TO_TOT_EQY","FQ3 2018","FQ3 2018","Currency=INR","Period=FQ","BEST_FPERIOD_OVERRIDE=FQ","FILING_STATUS=OR","EQY_CONSOLIDATED=Y","Sort=A","Dates=H","DateFormat=P","Fill=—","Direction=H","UseDPDF=Y")</f>
        <v>#NAME?</v>
      </c>
      <c r="CI326" s="2" t="e">
        <f ca="1">_xll.BDH($C$303,"LT_DEBT_TO_TOT_CAP","FQ3 2018","FQ3 2018","Currency=INR","Period=FQ","BEST_FPERIOD_OVERRIDE=FQ","FILING_STATUS=OR","EQY_CONSOLIDATED=Y","Sort=A","Dates=H","DateFormat=P","Fill=—","Direction=H","UseDPDF=Y")</f>
        <v>#NAME?</v>
      </c>
      <c r="CJ326" s="2" t="e">
        <f ca="1">_xll.BDH($C$303,"LT_DEBT_TO_TOT_ASSET","FQ3 2018","FQ3 2018","Currency=INR","Period=FQ","BEST_FPERIOD_OVERRIDE=FQ","FILING_STATUS=OR","EQY_CONSOLIDATED=Y","Sort=A","Dates=H","DateFormat=P","Fill=—","Direction=H","UseDPDF=Y")</f>
        <v>#NAME?</v>
      </c>
      <c r="CK326" s="2" t="e">
        <f ca="1">_xll.BDH($C$303,"TOT_DEBT_TO_TOT_EQY","FQ3 2018","FQ3 2018","Currency=INR","Period=FQ","BEST_FPERIOD_OVERRIDE=FQ","FILING_STATUS=OR","EQY_CONSOLIDATED=Y","Sort=A","Dates=H","DateFormat=P","Fill=—","Direction=H","UseDPDF=Y")</f>
        <v>#NAME?</v>
      </c>
      <c r="CL326" s="2" t="e">
        <f ca="1">_xll.BDH($C$303,"TOT_DEBT_TO_TOT_CAP","FQ3 2018","FQ3 2018","Currency=INR","Period=FQ","BEST_FPERIOD_OVERRIDE=FQ","FILING_STATUS=OR","EQY_CONSOLIDATED=Y","Sort=A","Dates=H","DateFormat=P","Fill=—","Direction=H","UseDPDF=Y")</f>
        <v>#NAME?</v>
      </c>
      <c r="CM326" s="2" t="e">
        <f ca="1">_xll.BDH($C$303,"TOT_DEBT_TO_TOT_ASSET","FQ3 2018","FQ3 2018","Currency=INR","Period=FQ","BEST_FPERIOD_OVERRIDE=FQ","FILING_STATUS=OR","EQY_CONSOLIDATED=Y","Sort=A","Dates=H","DateFormat=P","Fill=—","Direction=H","UseDPDF=Y")</f>
        <v>#NAME?</v>
      </c>
      <c r="CN326" s="2" t="e">
        <f ca="1">_xll.BDH($C$303,"NET_DEBT_TO_SHRHLDR_EQTY","FQ3 2018","FQ3 2018","Currency=INR","Period=FQ","BEST_FPERIOD_OVERRIDE=FQ","FILING_STATUS=OR","EQY_CONSOLIDATED=Y","Sort=A","Dates=H","DateFormat=P","Fill=—","Direction=H","UseDPDF=Y")</f>
        <v>#NAME?</v>
      </c>
      <c r="CO326" s="2" t="e">
        <f ca="1">_xll.BDH($C$303,"NET_DEBT_%_CAPITAL","FQ3 2018","FQ3 2018","Currency=INR","Period=FQ","BEST_FPERIOD_OVERRIDE=FQ","FILING_STATUS=OR","EQY_CONSOLIDATED=Y","Sort=A","Dates=H","DateFormat=P","Fill=—","Direction=H","UseDPDF=Y")</f>
        <v>#NAME?</v>
      </c>
      <c r="CP326" s="3" t="e">
        <f ca="1">_xll.BDH($C$303,"EBITDA","FQ3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26" s="3" t="e">
        <f ca="1">_xll.BDH($C$303,"EBITDA_AFTER_CAPEX","FQ3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26" s="3" t="e">
        <f ca="1">_xll.BDH($C$303,"IS_OPER_INC","FQ3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26" s="2" t="e">
        <f ca="1">_xll.BDH($C$303,"CASH_RATIO","FQ3 2018","FQ3 2018","Currency=INR","Period=FQ","BEST_FPERIOD_OVERRIDE=FQ","FILING_STATUS=OR","EQY_CONSOLIDATED=Y","Sort=A","Dates=H","DateFormat=P","Fill=—","Direction=H","UseDPDF=Y")</f>
        <v>#NAME?</v>
      </c>
      <c r="CT326" s="2" t="e">
        <f ca="1">_xll.BDH($C$303,"CUR_RATIO","FQ3 2018","FQ3 2018","Currency=INR","Period=FQ","BEST_FPERIOD_OVERRIDE=FQ","FILING_STATUS=OR","EQY_CONSOLIDATED=Y","Sort=A","Dates=H","DateFormat=P","Fill=—","Direction=H","UseDPDF=Y")</f>
        <v>#NAME?</v>
      </c>
      <c r="CU326" s="2" t="e">
        <f ca="1">_xll.BDH($C$303,"QUICK_RATIO","FQ3 2018","FQ3 2018","Currency=INR","Period=FQ","BEST_FPERIOD_OVERRIDE=FQ","FILING_STATUS=OR","EQY_CONSOLIDATED=Y","Sort=A","Dates=H","DateFormat=P","Fill=—","Direction=H","UseDPDF=Y")</f>
        <v>#NAME?</v>
      </c>
      <c r="CV326" s="2" t="e">
        <f ca="1">_xll.BDH($C$303,"ALTMAN_Z_SCORE","FQ3 2018","FQ3 2018","Currency=INR","Period=FQ","BEST_FPERIOD_OVERRIDE=FQ","FILING_STATUS=OR","EQY_CONSOLIDATED=Y","Sort=A","Dates=H","DateFormat=P","Fill=—","Direction=H","UseDPDF=Y")</f>
        <v>#NAME?</v>
      </c>
      <c r="CW326" s="4" t="e">
        <f ca="1">_xll.BDH($C$303,"ACCT_RCV_TURN","FQ3 2018","FQ3 2018","Currency=INR","Period=FQ","BEST_FPERIOD_OVERRIDE=FQ","FILING_STATUS=OR","EQY_CONSOLIDATED=Y","FA_ADJUSTED=GAAP","Sort=A","Dates=H","DateFormat=P","Fill=—","Direction=H","UseDPDF=Y")</f>
        <v>#NAME?</v>
      </c>
      <c r="CX326" s="2" t="e">
        <f ca="1">_xll.BDH($C$303,"ACCT_RCV_DAYS","FQ3 2018","FQ3 2018","Currency=INR","Period=FQ","BEST_FPERIOD_OVERRIDE=FQ","FILING_STATUS=OR","EQY_CONSOLIDATED=Y","FA_ADJUSTED=GAAP","Sort=A","Dates=H","DateFormat=P","Fill=—","Direction=H","UseDPDF=Y")</f>
        <v>#NAME?</v>
      </c>
      <c r="CY326" s="4" t="e">
        <f ca="1">_xll.BDH($C$303,"INVENT_TURN","FQ3 2018","FQ3 2018","Currency=INR","Period=FQ","BEST_FPERIOD_OVERRIDE=FQ","FILING_STATUS=OR","EQY_CONSOLIDATED=Y","FA_ADJUSTED=GAAP","Sort=A","Dates=H","DateFormat=P","Fill=—","Direction=H","UseDPDF=Y")</f>
        <v>#NAME?</v>
      </c>
      <c r="CZ326" s="2" t="e">
        <f ca="1">_xll.BDH($C$303,"INVENT_DAYS","FQ3 2018","FQ3 2018","Currency=INR","Period=FQ","BEST_FPERIOD_OVERRIDE=FQ","FILING_STATUS=OR","EQY_CONSOLIDATED=Y","FA_ADJUSTED=GAAP","Sort=A","Dates=H","DateFormat=P","Fill=—","Direction=H","UseDPDF=Y")</f>
        <v>#NAME?</v>
      </c>
      <c r="DA326" s="4" t="e">
        <f ca="1">_xll.BDH($C$303,"ACCOUNTS_PAYABLE_TURNOVER","FQ3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26" s="2" t="e">
        <f ca="1">_xll.BDH($C$303,"ACCOUNTS_PAYABLE_TURNOVER_DAYS","FQ3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26" s="4" t="e">
        <f ca="1">_xll.BDH($C$303,"CASH_CONVERSION_CYCLE","FQ3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26" s="4" t="e">
        <f ca="1">_xll.BDH($C$303,"INV_TO_CASH_DAYS","FQ3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26" s="5" t="e">
        <f ca="1">_xll.BDH($C$303,"BS_INVENTORIES","FQ3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26" s="3" t="e">
        <f ca="1">_xll.BDH($C$303,"INVTRY_RAW_MATERIALS","FQ3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26" s="3" t="e">
        <f ca="1">_xll.BDH($C$303,"INVTRY_IN_PROGRESS","FQ3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26" s="3" t="e">
        <f ca="1">_xll.BDH($C$303,"INVTRY_FINISHED_GOODS","FQ3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26" s="3" t="e">
        <f ca="1">_xll.BDH($C$303,"BS_OTHER_INV","FQ3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27" spans="1:113" x14ac:dyDescent="0.3">
      <c r="A327" s="6"/>
      <c r="B327" s="6"/>
      <c r="C327" s="6"/>
      <c r="D327" s="6"/>
      <c r="E327" t="s">
        <v>81</v>
      </c>
      <c r="F327" t="e">
        <f ca="1">_xll.BDH($C$303,"RETURN_COM_EQY","FQ4 2018","FQ4 2018","Currency=INR","Period=FQ","BEST_FPERIOD_OVERRIDE=FQ","FILING_STATUS=OR","EQY_CONSOLIDATED=Y","FA_ADJUSTED=GAAP","Sort=A","Dates=H","DateFormat=P","Fill=—","Direction=H","UseDPDF=Y")</f>
        <v>#NAME?</v>
      </c>
      <c r="G327" t="e">
        <f ca="1">_xll.BDH($C$303,"RETURN_ON_ASSET","FQ4 2018","FQ4 2018","Currency=INR","Period=FQ","BEST_FPERIOD_OVERRIDE=FQ","FILING_STATUS=OR","EQY_CONSOLIDATED=Y","FA_ADJUSTED=GAAP","Sort=A","Dates=H","DateFormat=P","Fill=—","Direction=H","UseDPDF=Y")</f>
        <v>#NAME?</v>
      </c>
      <c r="H327" t="e">
        <f ca="1">_xll.BDH($C$303,"RETURN_ON_CAP","FQ4 2018","FQ4 2018","Currency=INR","Period=FQ","BEST_FPERIOD_OVERRIDE=FQ","FILING_STATUS=OR","EQY_CONSOLIDATED=Y","FA_ADJUSTED=GAAP","Sort=A","Dates=H","DateFormat=P","Fill=—","Direction=H","UseDPDF=Y")</f>
        <v>#NAME?</v>
      </c>
      <c r="I327" t="e">
        <f ca="1">_xll.BDH($C$303,"RETURN_ON_INV_CAPITAL","FQ4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27" t="e">
        <f ca="1">_xll.BDH($C$303,"EBITDA_TO_REVENUE","FQ4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27" t="e">
        <f ca="1">_xll.BDH($C$303,"OPER_MARGIN","FQ4 2018","FQ4 2018","Currency=INR","Period=FQ","BEST_FPERIOD_OVERRIDE=FQ","FILING_STATUS=OR","EQY_CONSOLIDATED=Y","FA_ADJUSTED=GAAP","Sort=A","Dates=H","DateFormat=P","Fill=—","Direction=H","UseDPDF=Y")</f>
        <v>#NAME?</v>
      </c>
      <c r="L327" t="e">
        <f ca="1">_xll.BDH($C$303,"INCREMENTAL_OPERATING_MARGIN","FQ4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27" t="e">
        <f ca="1">_xll.BDH($C$303,"PRETAX_INC_TO_NET_SALES","FQ4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27" t="e">
        <f ca="1">_xll.BDH($C$303,"INC_BEF_XO_ITEMS_TO_NET_SALES","FQ4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27" t="e">
        <f ca="1">_xll.BDH($C$303,"PROF_MARGIN","FQ4 2018","FQ4 2018","Currency=INR","Period=FQ","BEST_FPERIOD_OVERRIDE=FQ","FILING_STATUS=OR","EQY_CONSOLIDATED=Y","FA_ADJUSTED=GAAP","Sort=A","Dates=H","DateFormat=P","Fill=—","Direction=H","UseDPDF=Y")</f>
        <v>#NAME?</v>
      </c>
      <c r="P327" t="e">
        <f ca="1">_xll.BDH($C$303,"NET_INCOME_TO_COMMON_MARGIN","FQ4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27" t="e">
        <f ca="1">_xll.BDH($C$303,"EFF_TAX_RATE","FQ4 2018","FQ4 2018","Currency=INR","Period=FQ","BEST_FPERIOD_OVERRIDE=FQ","FILING_STATUS=OR","EQY_CONSOLIDATED=Y","FA_ADJUSTED=GAAP","Sort=A","Dates=H","DateFormat=P","Fill=—","Direction=H","UseDPDF=Y")</f>
        <v>#NAME?</v>
      </c>
      <c r="R327" t="e">
        <f ca="1">_xll.BDH($C$303,"DVD_PAYOUT_RATIO","FQ4 2018","FQ4 2018","Currency=INR","Period=FQ","BEST_FPERIOD_OVERRIDE=FQ","FILING_STATUS=OR","EQY_CONSOLIDATED=Y","FA_ADJUSTED=GAAP","Sort=A","Dates=H","DateFormat=P","Fill=—","Direction=H","UseDPDF=Y")</f>
        <v>#NAME?</v>
      </c>
      <c r="S327" t="e">
        <f ca="1">_xll.BDH($C$303,"SUSTAIN_GROWTH_RT","FQ4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27" s="2" t="e">
        <f ca="1">_xll.BDH($C$303,"SALES_GROWTH","FQ4 2018","FQ4 2018","Currency=INR","Period=FQ","BEST_FPERIOD_OVERRIDE=FQ","FILING_STATUS=OR","EQY_CONSOLIDATED=Y","FA_ADJUSTED=GAAP","Sort=A","Dates=H","DateFormat=P","Fill=—","Direction=H","UseDPDF=Y")</f>
        <v>#NAME?</v>
      </c>
      <c r="U327" s="2" t="e">
        <f ca="1">_xll.BDH($C$303,"EBITDA_GROWTH","FQ4 2018","FQ4 2018","Currency=INR","Period=FQ","BEST_FPERIOD_OVERRIDE=FQ","FILING_STATUS=OR","EQY_CONSOLIDATED=Y","FA_ADJUSTED=GAAP","Sort=A","Dates=H","DateFormat=P","Fill=—","Direction=H","UseDPDF=Y")</f>
        <v>#NAME?</v>
      </c>
      <c r="V327" s="2" t="e">
        <f ca="1">_xll.BDH($C$303,"OPER_INC_GROWTH","FQ4 2018","FQ4 2018","Currency=INR","Period=FQ","BEST_FPERIOD_OVERRIDE=FQ","FILING_STATUS=OR","EQY_CONSOLIDATED=Y","FA_ADJUSTED=GAAP","Sort=A","Dates=H","DateFormat=P","Fill=—","Direction=H","UseDPDF=Y")</f>
        <v>#NAME?</v>
      </c>
      <c r="W327" s="2" t="e">
        <f ca="1">_xll.BDH($C$303,"EARN_FOR_COM_GROWTH","FQ4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27" s="2" t="e">
        <f ca="1">_xll.BDH($C$303,"DILUTED_EPS_AFT_XO_ITEMS_GROWTH","FQ4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27" s="2" t="e">
        <f ca="1">_xll.BDH($C$303,"DIVIDEND_PER_SHARE_1_YEAR_GROWTH","FQ4 2018","FQ4 2018","Currency=INR","Period=FQ","BEST_FPERIOD_OVERRIDE=FQ","FILING_STATUS=OR","EQY_CONSOLIDATED=Y","Sort=A","Dates=H","DateFormat=P","Fill=—","Direction=H","UseDPDF=Y")</f>
        <v>#NAME?</v>
      </c>
      <c r="Z327" s="2" t="e">
        <f ca="1">_xll.BDH($C$303,"ACCOUNTS_RECEIVABLE_GROWTH","FQ4 2018","FQ4 2018","Currency=INR","Period=FQ","BEST_FPERIOD_OVERRIDE=FQ","FILING_STATUS=OR","EQY_CONSOLIDATED=Y","Sort=A","Dates=H","DateFormat=P","Fill=—","Direction=H","UseDPDF=Y")</f>
        <v>#NAME?</v>
      </c>
      <c r="AA327" s="2" t="e">
        <f ca="1">_xll.BDH($C$303,"INVENTORY_GROWTH","FQ4 2018","FQ4 2018","Currency=INR","Period=FQ","BEST_FPERIOD_OVERRIDE=FQ","FILING_STATUS=OR","EQY_CONSOLIDATED=Y","Sort=A","Dates=H","DateFormat=P","Fill=—","Direction=H","UseDPDF=Y")</f>
        <v>#NAME?</v>
      </c>
      <c r="AB327" s="2" t="e">
        <f ca="1">_xll.BDH($C$303,"NET_FIXED_ASSETS_1_YEAR_GROWTH","FQ4 2018","FQ4 2018","Currency=INR","Period=FQ","BEST_FPERIOD_OVERRIDE=FQ","FILING_STATUS=OR","EQY_CONSOLIDATED=Y","Sort=A","Dates=H","DateFormat=P","Fill=—","Direction=H","UseDPDF=Y")</f>
        <v>#NAME?</v>
      </c>
      <c r="AC327" s="2" t="e">
        <f ca="1">_xll.BDH($C$303,"ASSET_GROWTH","FQ4 2018","FQ4 2018","Currency=INR","Period=FQ","BEST_FPERIOD_OVERRIDE=FQ","FILING_STATUS=OR","EQY_CONSOLIDATED=Y","Sort=A","Dates=H","DateFormat=P","Fill=—","Direction=H","UseDPDF=Y")</f>
        <v>#NAME?</v>
      </c>
      <c r="AD327" s="2" t="e">
        <f ca="1">_xll.BDH($C$303,"MODIFIED_WORK_CAP_GROWTH","FQ4 2018","FQ4 2018","Currency=INR","Period=FQ","BEST_FPERIOD_OVERRIDE=FQ","FILING_STATUS=OR","EQY_CONSOLIDATED=Y","Sort=A","Dates=H","DateFormat=P","Fill=—","Direction=H","UseDPDF=Y")</f>
        <v>#NAME?</v>
      </c>
      <c r="AE327" s="2" t="e">
        <f ca="1">_xll.BDH($C$303,"WORK_CAP_GROWTH","FQ4 2018","FQ4 2018","Currency=INR","Period=FQ","BEST_FPERIOD_OVERRIDE=FQ","FILING_STATUS=OR","EQY_CONSOLIDATED=Y","Sort=A","Dates=H","DateFormat=P","Fill=—","Direction=H","UseDPDF=Y")</f>
        <v>#NAME?</v>
      </c>
      <c r="AF327" s="2" t="e">
        <f ca="1">_xll.BDH($C$303,"ACCOUNTS_PAYABLE_GROWTH_1YR","FQ4 2018","FQ4 2018","Currency=INR","Period=FQ","BEST_FPERIOD_OVERRIDE=FQ","FILING_STATUS=OR","EQY_CONSOLIDATED=Y","Sort=A","Dates=H","DateFormat=P","Fill=—","Direction=H","UseDPDF=Y")</f>
        <v>#NAME?</v>
      </c>
      <c r="AG327" s="2" t="e">
        <f ca="1">_xll.BDH($C$303,"SHORT_TERM_DEBT_1_YEAR_GROWTH","FQ4 2018","FQ4 2018","Currency=INR","Period=FQ","BEST_FPERIOD_OVERRIDE=FQ","FILING_STATUS=OR","EQY_CONSOLIDATED=Y","Sort=A","Dates=H","DateFormat=P","Fill=—","Direction=H","UseDPDF=Y")</f>
        <v>#NAME?</v>
      </c>
      <c r="AH327" s="2" t="e">
        <f ca="1">_xll.BDH($C$303,"TOTAL_DEBT_1_YEAR_GROWTH","FQ4 2018","FQ4 2018","Currency=INR","Period=FQ","BEST_FPERIOD_OVERRIDE=FQ","FILING_STATUS=OR","EQY_CONSOLIDATED=Y","Sort=A","Dates=H","DateFormat=P","Fill=—","Direction=H","UseDPDF=Y")</f>
        <v>#NAME?</v>
      </c>
      <c r="AI327" s="2" t="e">
        <f ca="1">_xll.BDH($C$303,"TOTAL_EQUITY_1_YEAR_GROWTH","FQ4 2018","FQ4 2018","Currency=INR","Period=FQ","BEST_FPERIOD_OVERRIDE=FQ","FILING_STATUS=OR","EQY_CONSOLIDATED=Y","Sort=A","Dates=H","DateFormat=P","Fill=—","Direction=H","UseDPDF=Y")</f>
        <v>#NAME?</v>
      </c>
      <c r="AJ327" s="2" t="e">
        <f ca="1">_xll.BDH($C$303,"GROWTH_IN_CAP","FQ4 2018","FQ4 2018","Currency=INR","Period=FQ","BEST_FPERIOD_OVERRIDE=FQ","FILING_STATUS=OR","EQY_CONSOLIDATED=Y","Sort=A","Dates=H","DateFormat=P","Fill=—","Direction=H","UseDPDF=Y")</f>
        <v>#NAME?</v>
      </c>
      <c r="AK327" s="2" t="e">
        <f ca="1">_xll.BDH($C$303,"BVPS_GROWTH","FQ4 2018","FQ4 2018","Currency=INR","Period=FQ","BEST_FPERIOD_OVERRIDE=FQ","FILING_STATUS=OR","EQY_CONSOLIDATED=Y","Sort=A","Dates=H","DateFormat=P","Fill=—","Direction=H","UseDPDF=Y")</f>
        <v>#NAME?</v>
      </c>
      <c r="AL327" s="2" t="e">
        <f ca="1">_xll.BDH($C$303,"CASH_FLOW_GROWTH","FQ4 2018","FQ4 2018","Currency=INR","Period=FQ","BEST_FPERIOD_OVERRIDE=FQ","FILING_STATUS=OR","EQY_CONSOLIDATED=Y","Sort=A","Dates=H","DateFormat=P","Fill=—","Direction=H","UseDPDF=Y")</f>
        <v>#NAME?</v>
      </c>
      <c r="AM327" s="2" t="e">
        <f ca="1">_xll.BDH($C$303,"GEO_GROW_NET_SALES","FQ4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27" s="2" t="e">
        <f ca="1">_xll.BDH($C$303,"GEO_GROW_EBITDA","FQ4 2018","FQ4 2018","Currency=INR","Period=FQ","BEST_FPERIOD_OVERRIDE=FQ","FILING_STATUS=OR","EQY_CONSOLIDATED=Y","FA_ADJUSTED=GAAP","Sort=A","Dates=H","DateFormat=P","Fill=—","Direction=H","UseDPDF=Y")</f>
        <v>#NAME?</v>
      </c>
      <c r="AO327" s="2" t="e">
        <f ca="1">_xll.BDH($C$303,"GEO_GROW_OPER_INC","FQ4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27" s="2" t="e">
        <f ca="1">_xll.BDH($C$303,"NET_INCOME_TO_COMMON_5_YR_GROWTH","FQ4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27" s="2" t="e">
        <f ca="1">_xll.BDH($C$303,"5Y_GEO_GROWTH_DILUTED_EPS","FQ4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27" s="2" t="e">
        <f ca="1">_xll.BDH($C$303,"GEO_GROW_DVD_PER_SH","FQ4 2018","FQ4 2018","Currency=INR","Period=FQ","BEST_FPERIOD_OVERRIDE=FQ","FILING_STATUS=OR","EQY_CONSOLIDATED=Y","Sort=A","Dates=H","DateFormat=P","Fill=—","Direction=H","UseDPDF=Y")</f>
        <v>#NAME?</v>
      </c>
      <c r="AS327" s="2" t="e">
        <f ca="1">_xll.BDH($C$303,"ACCOUNTS_RECEIVABLE_5_YR_GROWTH","FQ4 2018","FQ4 2018","Currency=INR","Period=FQ","BEST_FPERIOD_OVERRIDE=FQ","FILING_STATUS=OR","EQY_CONSOLIDATED=Y","Sort=A","Dates=H","DateFormat=P","Fill=—","Direction=H","UseDPDF=Y")</f>
        <v>#NAME?</v>
      </c>
      <c r="AT327" s="2" t="e">
        <f ca="1">_xll.BDH($C$303,"INVENTORY_5_YEAR_GROWTH","FQ4 2018","FQ4 2018","Currency=INR","Period=FQ","BEST_FPERIOD_OVERRIDE=FQ","FILING_STATUS=OR","EQY_CONSOLIDATED=Y","Sort=A","Dates=H","DateFormat=P","Fill=—","Direction=H","UseDPDF=Y")</f>
        <v>#NAME?</v>
      </c>
      <c r="AU327" s="2" t="e">
        <f ca="1">_xll.BDH($C$303,"NET_FIXED_ASSETS_5_YEAR_GROWTH","FQ4 2018","FQ4 2018","Currency=INR","Period=FQ","BEST_FPERIOD_OVERRIDE=FQ","FILING_STATUS=OR","EQY_CONSOLIDATED=Y","Sort=A","Dates=H","DateFormat=P","Fill=—","Direction=H","UseDPDF=Y")</f>
        <v>#NAME?</v>
      </c>
      <c r="AV327" s="2" t="e">
        <f ca="1">_xll.BDH($C$303,"GEO_GROW_TOT_ASSET","FQ4 2018","FQ4 2018","Currency=INR","Period=FQ","BEST_FPERIOD_OVERRIDE=FQ","FILING_STATUS=OR","EQY_CONSOLIDATED=Y","Sort=A","Dates=H","DateFormat=P","Fill=—","Direction=H","UseDPDF=Y")</f>
        <v>#NAME?</v>
      </c>
      <c r="AW327" s="2" t="e">
        <f ca="1">_xll.BDH($C$303,"MODIFIED_WORKING_CPTL_5YR_GRWTH","FQ4 2018","FQ4 2018","Currency=INR","Period=FQ","BEST_FPERIOD_OVERRIDE=FQ","FILING_STATUS=OR","EQY_CONSOLIDATED=Y","Sort=A","Dates=H","DateFormat=P","Fill=—","Direction=H","UseDPDF=Y")</f>
        <v>#NAME?</v>
      </c>
      <c r="AX327" s="2" t="e">
        <f ca="1">_xll.BDH($C$303,"WORKING_CAPITAL_5_YEAR_GROWTH","FQ4 2018","FQ4 2018","Currency=INR","Period=FQ","BEST_FPERIOD_OVERRIDE=FQ","FILING_STATUS=OR","EQY_CONSOLIDATED=Y","Sort=A","Dates=H","DateFormat=P","Fill=—","Direction=H","UseDPDF=Y")</f>
        <v>#NAME?</v>
      </c>
      <c r="AY327" s="2" t="e">
        <f ca="1">_xll.BDH($C$303,"ACCOUNTS_PAYABLE_5_YEAR_GROWTH","FQ4 2018","FQ4 2018","Currency=INR","Period=FQ","BEST_FPERIOD_OVERRIDE=FQ","FILING_STATUS=OR","EQY_CONSOLIDATED=Y","Sort=A","Dates=H","DateFormat=P","Fill=—","Direction=H","UseDPDF=Y")</f>
        <v>#NAME?</v>
      </c>
      <c r="AZ327" s="2" t="e">
        <f ca="1">_xll.BDH($C$303,"SHORT_TERM_DEBT_5_YEAR_GROWTH","FQ4 2018","FQ4 2018","Currency=INR","Period=FQ","BEST_FPERIOD_OVERRIDE=FQ","FILING_STATUS=OR","EQY_CONSOLIDATED=Y","Sort=A","Dates=H","DateFormat=P","Fill=—","Direction=H","UseDPDF=Y")</f>
        <v>#NAME?</v>
      </c>
      <c r="BA327" s="2" t="e">
        <f ca="1">_xll.BDH($C$303,"TOTAL_DEBT_5_YEAR_GROWTH","FQ4 2018","FQ4 2018","Currency=INR","Period=FQ","BEST_FPERIOD_OVERRIDE=FQ","FILING_STATUS=OR","EQY_CONSOLIDATED=Y","Sort=A","Dates=H","DateFormat=P","Fill=—","Direction=H","UseDPDF=Y")</f>
        <v>#NAME?</v>
      </c>
      <c r="BB327" s="2" t="e">
        <f ca="1">_xll.BDH($C$303,"GEO_GROW_TOT_SHRHLDR_EQY","FQ4 2018","FQ4 2018","Currency=INR","Period=FQ","BEST_FPERIOD_OVERRIDE=FQ","FILING_STATUS=OR","EQY_CONSOLIDATED=Y","Sort=A","Dates=H","DateFormat=P","Fill=—","Direction=H","UseDPDF=Y")</f>
        <v>#NAME?</v>
      </c>
      <c r="BC327" s="2" t="e">
        <f ca="1">_xll.BDH($C$303,"TOTAL_CAPITAL_5_YEAR_GROWTH","FQ4 2018","FQ4 2018","Currency=INR","Period=FQ","BEST_FPERIOD_OVERRIDE=FQ","FILING_STATUS=OR","EQY_CONSOLIDATED=Y","Sort=A","Dates=H","DateFormat=P","Fill=—","Direction=H","UseDPDF=Y")</f>
        <v>#NAME?</v>
      </c>
      <c r="BD327" s="2" t="e">
        <f ca="1">_xll.BDH($C$303,"GEO_GROW_BOOK_VAL","FQ4 2018","FQ4 2018","Currency=INR","Period=FQ","BEST_FPERIOD_OVERRIDE=FQ","FILING_STATUS=OR","EQY_CONSOLIDATED=Y","Sort=A","Dates=H","DateFormat=P","Fill=—","Direction=H","UseDPDF=Y")</f>
        <v>#NAME?</v>
      </c>
      <c r="BE327" s="2" t="e">
        <f ca="1">_xll.BDH($C$303,"GEO_GROW_CASH_OPER_ACT","FQ4 2018","FQ4 2018","Currency=INR","Period=FQ","BEST_FPERIOD_OVERRIDE=FQ","FILING_STATUS=OR","EQY_CONSOLIDATED=Y","Sort=A","Dates=H","DateFormat=P","Fill=—","Direction=H","UseDPDF=Y")</f>
        <v>#NAME?</v>
      </c>
      <c r="BF327" s="2" t="e">
        <f ca="1">_xll.BDH($C$303,"REVENUE_SEQUENTIAL_GROWTH","FQ4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27" s="2" t="e">
        <f ca="1">_xll.BDH($C$303,"EBITDA_SEQUENTIAL_GROWTH","FQ4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27" s="2" t="e">
        <f ca="1">_xll.BDH($C$303,"OPERATING_INCOME_SEQ_GROWTH","FQ4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27" s="2" t="e">
        <f ca="1">_xll.BDH($C$303,"NET_INCOME_TO_COMMON_SEQ_GROWTH","FQ4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27" s="2" t="e">
        <f ca="1">_xll.BDH($C$303,"EPS_DILUTED_SEQUENTIAL_GROWTH","FQ4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27" s="2" t="e">
        <f ca="1">_xll.BDH($C$303,"DPS_SEQUENTIAL_GROWTH","FQ4 2018","FQ4 2018","Currency=INR","Period=FQ","BEST_FPERIOD_OVERRIDE=FQ","FILING_STATUS=OR","EQY_CONSOLIDATED=Y","Sort=A","Dates=H","DateFormat=P","Fill=—","Direction=H","UseDPDF=Y")</f>
        <v>#NAME?</v>
      </c>
      <c r="BL327" s="2" t="e">
        <f ca="1">_xll.BDH($C$303,"ACCOUNTS_RECEIVABLE_SEQ_GROWTH","FQ4 2018","FQ4 2018","Currency=INR","Period=FQ","BEST_FPERIOD_OVERRIDE=FQ","FILING_STATUS=OR","EQY_CONSOLIDATED=Y","Sort=A","Dates=H","DateFormat=P","Fill=—","Direction=H","UseDPDF=Y")</f>
        <v>#NAME?</v>
      </c>
      <c r="BM327" s="2" t="e">
        <f ca="1">_xll.BDH($C$303,"INVENTORY_SEQUENTIAL_GROWTH","FQ4 2018","FQ4 2018","Currency=INR","Period=FQ","BEST_FPERIOD_OVERRIDE=FQ","FILING_STATUS=OR","EQY_CONSOLIDATED=Y","Sort=A","Dates=H","DateFormat=P","Fill=—","Direction=H","UseDPDF=Y")</f>
        <v>#NAME?</v>
      </c>
      <c r="BN327" s="2" t="e">
        <f ca="1">_xll.BDH($C$303,"FIXED_ASSETS_SEQUENTIAL_GROWTH","FQ4 2018","FQ4 2018","Currency=INR","Period=FQ","BEST_FPERIOD_OVERRIDE=FQ","FILING_STATUS=OR","EQY_CONSOLIDATED=Y","Sort=A","Dates=H","DateFormat=P","Fill=—","Direction=H","UseDPDF=Y")</f>
        <v>#NAME?</v>
      </c>
      <c r="BO327" s="2" t="e">
        <f ca="1">_xll.BDH($C$303,"TOTAL_ASSETS_SEQUENTIAL_GROWTH","FQ4 2018","FQ4 2018","Currency=INR","Period=FQ","BEST_FPERIOD_OVERRIDE=FQ","FILING_STATUS=OR","EQY_CONSOLIDATED=Y","Sort=A","Dates=H","DateFormat=P","Fill=—","Direction=H","UseDPDF=Y")</f>
        <v>#NAME?</v>
      </c>
      <c r="BP327" s="2" t="e">
        <f ca="1">_xll.BDH($C$303,"MODIFIED_WORKING_CPTL_SEQ_GRWTH","FQ4 2018","FQ4 2018","Currency=INR","Period=FQ","BEST_FPERIOD_OVERRIDE=FQ","FILING_STATUS=OR","EQY_CONSOLIDATED=Y","Sort=A","Dates=H","DateFormat=P","Fill=—","Direction=H","UseDPDF=Y")</f>
        <v>#NAME?</v>
      </c>
      <c r="BQ327" s="2" t="e">
        <f ca="1">_xll.BDH($C$303,"WORKING_CAPITAL_SEQ_GROWTH","FQ4 2018","FQ4 2018","Currency=INR","Period=FQ","BEST_FPERIOD_OVERRIDE=FQ","FILING_STATUS=OR","EQY_CONSOLIDATED=Y","Sort=A","Dates=H","DateFormat=P","Fill=—","Direction=H","UseDPDF=Y")</f>
        <v>#NAME?</v>
      </c>
      <c r="BR327" s="2" t="e">
        <f ca="1">_xll.BDH($C$303,"ACCOUNTS_PAYABLE_SEQ_GROWTH","FQ4 2018","FQ4 2018","Currency=INR","Period=FQ","BEST_FPERIOD_OVERRIDE=FQ","FILING_STATUS=OR","EQY_CONSOLIDATED=Y","Sort=A","Dates=H","DateFormat=P","Fill=—","Direction=H","UseDPDF=Y")</f>
        <v>#NAME?</v>
      </c>
      <c r="BS327" s="2" t="e">
        <f ca="1">_xll.BDH($C$303,"ST_DEBT_SEQUENTIAL_GROWTH","FQ4 2018","FQ4 2018","Currency=INR","Period=FQ","BEST_FPERIOD_OVERRIDE=FQ","FILING_STATUS=OR","EQY_CONSOLIDATED=Y","Sort=A","Dates=H","DateFormat=P","Fill=—","Direction=H","UseDPDF=Y")</f>
        <v>#NAME?</v>
      </c>
      <c r="BT327" s="2" t="e">
        <f ca="1">_xll.BDH($C$303,"TOTAL_DEBT_SEQUENTIAL_GROWTH","FQ4 2018","FQ4 2018","Currency=INR","Period=FQ","BEST_FPERIOD_OVERRIDE=FQ","FILING_STATUS=OR","EQY_CONSOLIDATED=Y","Sort=A","Dates=H","DateFormat=P","Fill=—","Direction=H","UseDPDF=Y")</f>
        <v>#NAME?</v>
      </c>
      <c r="BU327" s="2" t="e">
        <f ca="1">_xll.BDH($C$303,"TOTAL_EQUITY_SEQUENTIAL_GROWTH","FQ4 2018","FQ4 2018","Currency=INR","Period=FQ","BEST_FPERIOD_OVERRIDE=FQ","FILING_STATUS=OR","EQY_CONSOLIDATED=Y","Sort=A","Dates=H","DateFormat=P","Fill=—","Direction=H","UseDPDF=Y")</f>
        <v>#NAME?</v>
      </c>
      <c r="BV327" s="2" t="e">
        <f ca="1">_xll.BDH($C$303,"TOTAL_CAPITAL_SEQUENTIAL_GROWTH","FQ4 2018","FQ4 2018","Currency=INR","Period=FQ","BEST_FPERIOD_OVERRIDE=FQ","FILING_STATUS=OR","EQY_CONSOLIDATED=Y","Sort=A","Dates=H","DateFormat=P","Fill=—","Direction=H","UseDPDF=Y")</f>
        <v>#NAME?</v>
      </c>
      <c r="BW327" s="2" t="e">
        <f ca="1">_xll.BDH($C$303,"BPS_SEQUENTIAL_GROWTH","FQ4 2018","FQ4 2018","Currency=INR","Period=FQ","BEST_FPERIOD_OVERRIDE=FQ","FILING_STATUS=OR","EQY_CONSOLIDATED=Y","Sort=A","Dates=H","DateFormat=P","Fill=—","Direction=H","UseDPDF=Y")</f>
        <v>#NAME?</v>
      </c>
      <c r="BX327" s="2" t="e">
        <f ca="1">_xll.BDH($C$303,"CFO_SEQUENTIAL_GROWTH","FQ4 2018","FQ4 2018","Currency=INR","Period=FQ","BEST_FPERIOD_OVERRIDE=FQ","FILING_STATUS=OR","EQY_CONSOLIDATED=Y","Sort=A","Dates=H","DateFormat=P","Fill=—","Direction=H","UseDPDF=Y")</f>
        <v>#NAME?</v>
      </c>
      <c r="BY327" s="3" t="e">
        <f ca="1">_xll.BDH($C$303,"SHORT_AND_LONG_TERM_DEBT","FQ4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27" s="3" t="e">
        <f ca="1">_xll.BDH($C$303,"BS_ST_BORROW","FQ4 2018","FQ4 2018","Currency=INR","Period=FQ","BEST_FPERIOD_OVERRIDE=FQ","FILING_STATUS=OR","EQY_CONSOLIDATED=Y","SCALING_FORMAT=MLN","Sort=A","Dates=H","DateFormat=P","Fill=—","Direction=H","UseDPDF=Y")</f>
        <v>#NAME?</v>
      </c>
      <c r="CA327" s="3" t="e">
        <f ca="1">_xll.BDH($C$303,"BS_LT_BORROW","FQ4 2018","FQ4 2018","Currency=INR","Period=FQ","BEST_FPERIOD_OVERRIDE=FQ","FILING_STATUS=OR","EQY_CONSOLIDATED=Y","SCALING_FORMAT=MLN","Sort=A","Dates=H","DateFormat=P","Fill=—","Direction=H","UseDPDF=Y")</f>
        <v>#NAME?</v>
      </c>
      <c r="CB327" s="2" t="e">
        <f ca="1">_xll.BDH($C$303,"TOT_DEBT_TO_EBITDA","FQ4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27" s="2" t="e">
        <f ca="1">_xll.BDH($C$303,"NET_DEBT_TO_EBITDA","FQ4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27" s="2" t="e">
        <f ca="1">_xll.BDH($C$303,"TOTAL_DEBT_TO_EBIT","FQ4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27" s="2" t="e">
        <f ca="1">_xll.BDH($C$303,"NET_DEBT_TO_EBIT","FQ4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27" s="2" t="e">
        <f ca="1">_xll.BDH($C$303,"EBITDA_TO_INTEREST_EXPN","FQ4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27" s="2" t="e">
        <f ca="1">_xll.BDH($C$303,"COM_EQY_TO_TOT_ASSET","FQ4 2018","FQ4 2018","Currency=INR","Period=FQ","BEST_FPERIOD_OVERRIDE=FQ","FILING_STATUS=OR","EQY_CONSOLIDATED=Y","Sort=A","Dates=H","DateFormat=P","Fill=—","Direction=H","UseDPDF=Y")</f>
        <v>#NAME?</v>
      </c>
      <c r="CH327" s="2" t="e">
        <f ca="1">_xll.BDH($C$303,"LT_DEBT_TO_TOT_EQY","FQ4 2018","FQ4 2018","Currency=INR","Period=FQ","BEST_FPERIOD_OVERRIDE=FQ","FILING_STATUS=OR","EQY_CONSOLIDATED=Y","Sort=A","Dates=H","DateFormat=P","Fill=—","Direction=H","UseDPDF=Y")</f>
        <v>#NAME?</v>
      </c>
      <c r="CI327" s="2" t="e">
        <f ca="1">_xll.BDH($C$303,"LT_DEBT_TO_TOT_CAP","FQ4 2018","FQ4 2018","Currency=INR","Period=FQ","BEST_FPERIOD_OVERRIDE=FQ","FILING_STATUS=OR","EQY_CONSOLIDATED=Y","Sort=A","Dates=H","DateFormat=P","Fill=—","Direction=H","UseDPDF=Y")</f>
        <v>#NAME?</v>
      </c>
      <c r="CJ327" s="2" t="e">
        <f ca="1">_xll.BDH($C$303,"LT_DEBT_TO_TOT_ASSET","FQ4 2018","FQ4 2018","Currency=INR","Period=FQ","BEST_FPERIOD_OVERRIDE=FQ","FILING_STATUS=OR","EQY_CONSOLIDATED=Y","Sort=A","Dates=H","DateFormat=P","Fill=—","Direction=H","UseDPDF=Y")</f>
        <v>#NAME?</v>
      </c>
      <c r="CK327" s="2" t="e">
        <f ca="1">_xll.BDH($C$303,"TOT_DEBT_TO_TOT_EQY","FQ4 2018","FQ4 2018","Currency=INR","Period=FQ","BEST_FPERIOD_OVERRIDE=FQ","FILING_STATUS=OR","EQY_CONSOLIDATED=Y","Sort=A","Dates=H","DateFormat=P","Fill=—","Direction=H","UseDPDF=Y")</f>
        <v>#NAME?</v>
      </c>
      <c r="CL327" s="2" t="e">
        <f ca="1">_xll.BDH($C$303,"TOT_DEBT_TO_TOT_CAP","FQ4 2018","FQ4 2018","Currency=INR","Period=FQ","BEST_FPERIOD_OVERRIDE=FQ","FILING_STATUS=OR","EQY_CONSOLIDATED=Y","Sort=A","Dates=H","DateFormat=P","Fill=—","Direction=H","UseDPDF=Y")</f>
        <v>#NAME?</v>
      </c>
      <c r="CM327" s="2" t="e">
        <f ca="1">_xll.BDH($C$303,"TOT_DEBT_TO_TOT_ASSET","FQ4 2018","FQ4 2018","Currency=INR","Period=FQ","BEST_FPERIOD_OVERRIDE=FQ","FILING_STATUS=OR","EQY_CONSOLIDATED=Y","Sort=A","Dates=H","DateFormat=P","Fill=—","Direction=H","UseDPDF=Y")</f>
        <v>#NAME?</v>
      </c>
      <c r="CN327" s="2" t="e">
        <f ca="1">_xll.BDH($C$303,"NET_DEBT_TO_SHRHLDR_EQTY","FQ4 2018","FQ4 2018","Currency=INR","Period=FQ","BEST_FPERIOD_OVERRIDE=FQ","FILING_STATUS=OR","EQY_CONSOLIDATED=Y","Sort=A","Dates=H","DateFormat=P","Fill=—","Direction=H","UseDPDF=Y")</f>
        <v>#NAME?</v>
      </c>
      <c r="CO327" s="2" t="e">
        <f ca="1">_xll.BDH($C$303,"NET_DEBT_%_CAPITAL","FQ4 2018","FQ4 2018","Currency=INR","Period=FQ","BEST_FPERIOD_OVERRIDE=FQ","FILING_STATUS=OR","EQY_CONSOLIDATED=Y","Sort=A","Dates=H","DateFormat=P","Fill=—","Direction=H","UseDPDF=Y")</f>
        <v>#NAME?</v>
      </c>
      <c r="CP327" s="3" t="e">
        <f ca="1">_xll.BDH($C$303,"EBITDA","FQ4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27" s="3" t="e">
        <f ca="1">_xll.BDH($C$303,"EBITDA_AFTER_CAPEX","FQ4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27" s="3" t="e">
        <f ca="1">_xll.BDH($C$303,"IS_OPER_INC","FQ4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27" s="2" t="e">
        <f ca="1">_xll.BDH($C$303,"CASH_RATIO","FQ4 2018","FQ4 2018","Currency=INR","Period=FQ","BEST_FPERIOD_OVERRIDE=FQ","FILING_STATUS=OR","EQY_CONSOLIDATED=Y","Sort=A","Dates=H","DateFormat=P","Fill=—","Direction=H","UseDPDF=Y")</f>
        <v>#NAME?</v>
      </c>
      <c r="CT327" s="2" t="e">
        <f ca="1">_xll.BDH($C$303,"CUR_RATIO","FQ4 2018","FQ4 2018","Currency=INR","Period=FQ","BEST_FPERIOD_OVERRIDE=FQ","FILING_STATUS=OR","EQY_CONSOLIDATED=Y","Sort=A","Dates=H","DateFormat=P","Fill=—","Direction=H","UseDPDF=Y")</f>
        <v>#NAME?</v>
      </c>
      <c r="CU327" s="2" t="e">
        <f ca="1">_xll.BDH($C$303,"QUICK_RATIO","FQ4 2018","FQ4 2018","Currency=INR","Period=FQ","BEST_FPERIOD_OVERRIDE=FQ","FILING_STATUS=OR","EQY_CONSOLIDATED=Y","Sort=A","Dates=H","DateFormat=P","Fill=—","Direction=H","UseDPDF=Y")</f>
        <v>#NAME?</v>
      </c>
      <c r="CV327" s="2" t="e">
        <f ca="1">_xll.BDH($C$303,"ALTMAN_Z_SCORE","FQ4 2018","FQ4 2018","Currency=INR","Period=FQ","BEST_FPERIOD_OVERRIDE=FQ","FILING_STATUS=OR","EQY_CONSOLIDATED=Y","Sort=A","Dates=H","DateFormat=P","Fill=—","Direction=H","UseDPDF=Y")</f>
        <v>#NAME?</v>
      </c>
      <c r="CW327" s="4" t="e">
        <f ca="1">_xll.BDH($C$303,"ACCT_RCV_TURN","FQ4 2018","FQ4 2018","Currency=INR","Period=FQ","BEST_FPERIOD_OVERRIDE=FQ","FILING_STATUS=OR","EQY_CONSOLIDATED=Y","FA_ADJUSTED=GAAP","Sort=A","Dates=H","DateFormat=P","Fill=—","Direction=H","UseDPDF=Y")</f>
        <v>#NAME?</v>
      </c>
      <c r="CX327" s="2" t="e">
        <f ca="1">_xll.BDH($C$303,"ACCT_RCV_DAYS","FQ4 2018","FQ4 2018","Currency=INR","Period=FQ","BEST_FPERIOD_OVERRIDE=FQ","FILING_STATUS=OR","EQY_CONSOLIDATED=Y","FA_ADJUSTED=GAAP","Sort=A","Dates=H","DateFormat=P","Fill=—","Direction=H","UseDPDF=Y")</f>
        <v>#NAME?</v>
      </c>
      <c r="CY327" s="4" t="e">
        <f ca="1">_xll.BDH($C$303,"INVENT_TURN","FQ4 2018","FQ4 2018","Currency=INR","Period=FQ","BEST_FPERIOD_OVERRIDE=FQ","FILING_STATUS=OR","EQY_CONSOLIDATED=Y","FA_ADJUSTED=GAAP","Sort=A","Dates=H","DateFormat=P","Fill=—","Direction=H","UseDPDF=Y")</f>
        <v>#NAME?</v>
      </c>
      <c r="CZ327" s="2" t="e">
        <f ca="1">_xll.BDH($C$303,"INVENT_DAYS","FQ4 2018","FQ4 2018","Currency=INR","Period=FQ","BEST_FPERIOD_OVERRIDE=FQ","FILING_STATUS=OR","EQY_CONSOLIDATED=Y","FA_ADJUSTED=GAAP","Sort=A","Dates=H","DateFormat=P","Fill=—","Direction=H","UseDPDF=Y")</f>
        <v>#NAME?</v>
      </c>
      <c r="DA327" s="4" t="e">
        <f ca="1">_xll.BDH($C$303,"ACCOUNTS_PAYABLE_TURNOVER","FQ4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27" s="2" t="e">
        <f ca="1">_xll.BDH($C$303,"ACCOUNTS_PAYABLE_TURNOVER_DAYS","FQ4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27" s="4" t="e">
        <f ca="1">_xll.BDH($C$303,"CASH_CONVERSION_CYCLE","FQ4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27" s="4" t="e">
        <f ca="1">_xll.BDH($C$303,"INV_TO_CASH_DAYS","FQ4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27" s="5" t="e">
        <f ca="1">_xll.BDH($C$303,"BS_INVENTORIES","FQ4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27" s="3" t="e">
        <f ca="1">_xll.BDH($C$303,"INVTRY_RAW_MATERIALS","FQ4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27" s="3" t="e">
        <f ca="1">_xll.BDH($C$303,"INVTRY_IN_PROGRESS","FQ4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27" s="3" t="e">
        <f ca="1">_xll.BDH($C$303,"INVTRY_FINISHED_GOODS","FQ4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27" s="3" t="e">
        <f ca="1">_xll.BDH($C$303,"BS_OTHER_INV","FQ4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28" spans="1:113" x14ac:dyDescent="0.3">
      <c r="A328" s="6">
        <v>89</v>
      </c>
      <c r="B328" s="6" t="s">
        <v>110</v>
      </c>
      <c r="C328" s="6" t="s">
        <v>109</v>
      </c>
      <c r="D328" s="6" t="s">
        <v>76</v>
      </c>
      <c r="E328" t="s">
        <v>77</v>
      </c>
      <c r="F328" t="e">
        <f ca="1">_xll.BDH($C$328,"RETURN_COM_EQY","FY 2014","FY 2014","Currency=INR","Period=FY","BEST_FPERIOD_OVERRIDE=FY","FILING_STATUS=OR","EQY_CONSOLIDATED=Y","FA_ADJUSTED=GAAP","Sort=A","Dates=H","DateFormat=P","Fill=—","Direction=H","UseDPDF=Y")</f>
        <v>#NAME?</v>
      </c>
      <c r="G328" t="e">
        <f ca="1">_xll.BDH($C$328,"RETURN_ON_ASSET","FY 2014","FY 2014","Currency=INR","Period=FY","BEST_FPERIOD_OVERRIDE=FY","FILING_STATUS=OR","EQY_CONSOLIDATED=Y","FA_ADJUSTED=GAAP","Sort=A","Dates=H","DateFormat=P","Fill=—","Direction=H","UseDPDF=Y")</f>
        <v>#NAME?</v>
      </c>
      <c r="H328" t="e">
        <f ca="1">_xll.BDH($C$328,"RETURN_ON_CAP","FY 2014","FY 2014","Currency=INR","Period=FY","BEST_FPERIOD_OVERRIDE=FY","FILING_STATUS=OR","EQY_CONSOLIDATED=Y","FA_ADJUSTED=GAAP","Sort=A","Dates=H","DateFormat=P","Fill=—","Direction=H","UseDPDF=Y")</f>
        <v>#NAME?</v>
      </c>
      <c r="I328" t="e">
        <f ca="1">_xll.BDH($C$328,"RETURN_ON_INV_CAPITAL","FY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28" t="e">
        <f ca="1">_xll.BDH($C$328,"EBITDA_TO_REVENUE","FY 2014","FY 2014","Currency=INR","Period=FY","BEST_FPERIOD_OVERRIDE=FY","FILING_STATUS=OR","EQY_CONSOLIDATED=Y","FA_ADJUSTED=GAAP","Sort=A","Dates=H","DateFormat=P","Fill=—","Direction=H","UseDPDF=Y")</f>
        <v>#NAME?</v>
      </c>
      <c r="K328" t="e">
        <f ca="1">_xll.BDH($C$328,"OPER_MARGIN","FY 2014","FY 2014","Currency=INR","Period=FY","BEST_FPERIOD_OVERRIDE=FY","FILING_STATUS=OR","EQY_CONSOLIDATED=Y","FA_ADJUSTED=GAAP","Sort=A","Dates=H","DateFormat=P","Fill=—","Direction=H","UseDPDF=Y")</f>
        <v>#NAME?</v>
      </c>
      <c r="L328" t="e">
        <f ca="1">_xll.BDH($C$328,"INCREMENTAL_OPERATING_MARGIN","FY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28" t="e">
        <f ca="1">_xll.BDH($C$328,"PRETAX_INC_TO_NET_SALES","FY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28" t="e">
        <f ca="1">_xll.BDH($C$328,"INC_BEF_XO_ITEMS_TO_NET_SALES","FY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28" t="e">
        <f ca="1">_xll.BDH($C$328,"PROF_MARGIN","FY 2014","FY 2014","Currency=INR","Period=FY","BEST_FPERIOD_OVERRIDE=FY","FILING_STATUS=OR","EQY_CONSOLIDATED=Y","FA_ADJUSTED=GAAP","Sort=A","Dates=H","DateFormat=P","Fill=—","Direction=H","UseDPDF=Y")</f>
        <v>#NAME?</v>
      </c>
      <c r="P328" t="e">
        <f ca="1">_xll.BDH($C$328,"NET_INCOME_TO_COMMON_MARGIN","FY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28" t="e">
        <f ca="1">_xll.BDH($C$328,"EFF_TAX_RATE","FY 2014","FY 2014","Currency=INR","Period=FY","BEST_FPERIOD_OVERRIDE=FY","FILING_STATUS=OR","EQY_CONSOLIDATED=Y","FA_ADJUSTED=GAAP","Sort=A","Dates=H","DateFormat=P","Fill=—","Direction=H","UseDPDF=Y")</f>
        <v>#NAME?</v>
      </c>
      <c r="R328" t="e">
        <f ca="1">_xll.BDH($C$328,"DVD_PAYOUT_RATIO","FY 2014","FY 2014","Currency=INR","Period=FY","BEST_FPERIOD_OVERRIDE=FY","FILING_STATUS=OR","EQY_CONSOLIDATED=Y","FA_ADJUSTED=GAAP","Sort=A","Dates=H","DateFormat=P","Fill=—","Direction=H","UseDPDF=Y")</f>
        <v>#NAME?</v>
      </c>
      <c r="S328" t="e">
        <f ca="1">_xll.BDH($C$328,"SUSTAIN_GROWTH_RT","FY 2014","FY 2014","Currency=INR","Period=FY","BEST_FPERIOD_OVERRIDE=FY","FILING_STATUS=OR","EQY_CONSOLIDATED=Y","FA_ADJUSTED=GAAP","Sort=A","Dates=H","DateFormat=P","Fill=—","Direction=H","UseDPDF=Y")</f>
        <v>#NAME?</v>
      </c>
      <c r="T328" s="2" t="e">
        <f ca="1">_xll.BDH($C$328,"SALES_GROWTH","FY 2014","FY 2014","Currency=INR","Period=FY","BEST_FPERIOD_OVERRIDE=FY","FILING_STATUS=OR","EQY_CONSOLIDATED=Y","FA_ADJUSTED=GAAP","Sort=A","Dates=H","DateFormat=P","Fill=—","Direction=H","UseDPDF=Y")</f>
        <v>#NAME?</v>
      </c>
      <c r="U328" s="2" t="e">
        <f ca="1">_xll.BDH($C$328,"EBITDA_GROWTH","FY 2014","FY 2014","Currency=INR","Period=FY","BEST_FPERIOD_OVERRIDE=FY","FILING_STATUS=OR","EQY_CONSOLIDATED=Y","FA_ADJUSTED=GAAP","Sort=A","Dates=H","DateFormat=P","Fill=—","Direction=H","UseDPDF=Y")</f>
        <v>#NAME?</v>
      </c>
      <c r="V328" s="2" t="e">
        <f ca="1">_xll.BDH($C$328,"OPER_INC_GROWTH","FY 2014","FY 2014","Currency=INR","Period=FY","BEST_FPERIOD_OVERRIDE=FY","FILING_STATUS=OR","EQY_CONSOLIDATED=Y","FA_ADJUSTED=GAAP","Sort=A","Dates=H","DateFormat=P","Fill=—","Direction=H","UseDPDF=Y")</f>
        <v>#NAME?</v>
      </c>
      <c r="W328" s="2" t="e">
        <f ca="1">_xll.BDH($C$328,"EARN_FOR_COM_GROWTH","FY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28" s="2" t="e">
        <f ca="1">_xll.BDH($C$328,"DILUTED_EPS_AFT_XO_ITEMS_GROWTH","FY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28" s="2" t="e">
        <f ca="1">_xll.BDH($C$328,"DIVIDEND_PER_SHARE_1_YEAR_GROWTH","FY 2014","FY 2014","Currency=INR","Period=FY","BEST_FPERIOD_OVERRIDE=FY","FILING_STATUS=OR","EQY_CONSOLIDATED=Y","Sort=A","Dates=H","DateFormat=P","Fill=—","Direction=H","UseDPDF=Y")</f>
        <v>#NAME?</v>
      </c>
      <c r="Z328" s="2" t="e">
        <f ca="1">_xll.BDH($C$328,"ACCOUNTS_RECEIVABLE_GROWTH","FY 2014","FY 2014","Currency=INR","Period=FY","BEST_FPERIOD_OVERRIDE=FY","FILING_STATUS=OR","EQY_CONSOLIDATED=Y","Sort=A","Dates=H","DateFormat=P","Fill=—","Direction=H","UseDPDF=Y")</f>
        <v>#NAME?</v>
      </c>
      <c r="AA328" s="2" t="e">
        <f ca="1">_xll.BDH($C$328,"INVENTORY_GROWTH","FY 2014","FY 2014","Currency=INR","Period=FY","BEST_FPERIOD_OVERRIDE=FY","FILING_STATUS=OR","EQY_CONSOLIDATED=Y","Sort=A","Dates=H","DateFormat=P","Fill=—","Direction=H","UseDPDF=Y")</f>
        <v>#NAME?</v>
      </c>
      <c r="AB328" s="2" t="e">
        <f ca="1">_xll.BDH($C$328,"NET_FIXED_ASSETS_1_YEAR_GROWTH","FY 2014","FY 2014","Currency=INR","Period=FY","BEST_FPERIOD_OVERRIDE=FY","FILING_STATUS=OR","EQY_CONSOLIDATED=Y","Sort=A","Dates=H","DateFormat=P","Fill=—","Direction=H","UseDPDF=Y")</f>
        <v>#NAME?</v>
      </c>
      <c r="AC328" s="2" t="e">
        <f ca="1">_xll.BDH($C$328,"ASSET_GROWTH","FY 2014","FY 2014","Currency=INR","Period=FY","BEST_FPERIOD_OVERRIDE=FY","FILING_STATUS=OR","EQY_CONSOLIDATED=Y","Sort=A","Dates=H","DateFormat=P","Fill=—","Direction=H","UseDPDF=Y")</f>
        <v>#NAME?</v>
      </c>
      <c r="AD328" s="2" t="e">
        <f ca="1">_xll.BDH($C$328,"MODIFIED_WORK_CAP_GROWTH","FY 2014","FY 2014","Currency=INR","Period=FY","BEST_FPERIOD_OVERRIDE=FY","FILING_STATUS=OR","EQY_CONSOLIDATED=Y","Sort=A","Dates=H","DateFormat=P","Fill=—","Direction=H","UseDPDF=Y")</f>
        <v>#NAME?</v>
      </c>
      <c r="AE328" s="2" t="e">
        <f ca="1">_xll.BDH($C$328,"WORK_CAP_GROWTH","FY 2014","FY 2014","Currency=INR","Period=FY","BEST_FPERIOD_OVERRIDE=FY","FILING_STATUS=OR","EQY_CONSOLIDATED=Y","Sort=A","Dates=H","DateFormat=P","Fill=—","Direction=H","UseDPDF=Y")</f>
        <v>#NAME?</v>
      </c>
      <c r="AF328" s="2" t="e">
        <f ca="1">_xll.BDH($C$328,"ACCOUNTS_PAYABLE_GROWTH_1YR","FY 2014","FY 2014","Currency=INR","Period=FY","BEST_FPERIOD_OVERRIDE=FY","FILING_STATUS=OR","EQY_CONSOLIDATED=Y","Sort=A","Dates=H","DateFormat=P","Fill=—","Direction=H","UseDPDF=Y")</f>
        <v>#NAME?</v>
      </c>
      <c r="AG328" s="2" t="e">
        <f ca="1">_xll.BDH($C$328,"SHORT_TERM_DEBT_1_YEAR_GROWTH","FY 2014","FY 2014","Currency=INR","Period=FY","BEST_FPERIOD_OVERRIDE=FY","FILING_STATUS=OR","EQY_CONSOLIDATED=Y","Sort=A","Dates=H","DateFormat=P","Fill=—","Direction=H","UseDPDF=Y")</f>
        <v>#NAME?</v>
      </c>
      <c r="AH328" s="2" t="e">
        <f ca="1">_xll.BDH($C$328,"TOTAL_DEBT_1_YEAR_GROWTH","FY 2014","FY 2014","Currency=INR","Period=FY","BEST_FPERIOD_OVERRIDE=FY","FILING_STATUS=OR","EQY_CONSOLIDATED=Y","Sort=A","Dates=H","DateFormat=P","Fill=—","Direction=H","UseDPDF=Y")</f>
        <v>#NAME?</v>
      </c>
      <c r="AI328" s="2" t="e">
        <f ca="1">_xll.BDH($C$328,"TOTAL_EQUITY_1_YEAR_GROWTH","FY 2014","FY 2014","Currency=INR","Period=FY","BEST_FPERIOD_OVERRIDE=FY","FILING_STATUS=OR","EQY_CONSOLIDATED=Y","Sort=A","Dates=H","DateFormat=P","Fill=—","Direction=H","UseDPDF=Y")</f>
        <v>#NAME?</v>
      </c>
      <c r="AJ328" s="2" t="e">
        <f ca="1">_xll.BDH($C$328,"GROWTH_IN_CAP","FY 2014","FY 2014","Currency=INR","Period=FY","BEST_FPERIOD_OVERRIDE=FY","FILING_STATUS=OR","EQY_CONSOLIDATED=Y","Sort=A","Dates=H","DateFormat=P","Fill=—","Direction=H","UseDPDF=Y")</f>
        <v>#NAME?</v>
      </c>
      <c r="AK328" s="2" t="e">
        <f ca="1">_xll.BDH($C$328,"BVPS_GROWTH","FY 2014","FY 2014","Currency=INR","Period=FY","BEST_FPERIOD_OVERRIDE=FY","FILING_STATUS=OR","EQY_CONSOLIDATED=Y","Sort=A","Dates=H","DateFormat=P","Fill=—","Direction=H","UseDPDF=Y")</f>
        <v>#NAME?</v>
      </c>
      <c r="AL328" s="2" t="e">
        <f ca="1">_xll.BDH($C$328,"CASH_FLOW_GROWTH","FY 2014","FY 2014","Currency=INR","Period=FY","BEST_FPERIOD_OVERRIDE=FY","FILING_STATUS=OR","EQY_CONSOLIDATED=Y","Sort=A","Dates=H","DateFormat=P","Fill=—","Direction=H","UseDPDF=Y")</f>
        <v>#NAME?</v>
      </c>
      <c r="AM328" s="2" t="e">
        <f ca="1">_xll.BDH($C$328,"GEO_GROW_NET_SALES","FY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28" s="2" t="e">
        <f ca="1">_xll.BDH($C$328,"GEO_GROW_EBITDA","FY 2014","FY 2014","Currency=INR","Period=FY","BEST_FPERIOD_OVERRIDE=FY","FILING_STATUS=OR","EQY_CONSOLIDATED=Y","FA_ADJUSTED=GAAP","Sort=A","Dates=H","DateFormat=P","Fill=—","Direction=H","UseDPDF=Y")</f>
        <v>#NAME?</v>
      </c>
      <c r="AO328" s="2" t="e">
        <f ca="1">_xll.BDH($C$328,"GEO_GROW_OPER_INC","FY 2014","FY 2014","Currency=INR","Period=FY","BEST_FPERIOD_OVERRIDE=FY","FILING_STATUS=OR","EQY_CONSOLIDATED=Y","FA_ADJUSTED=GAAP","Sort=A","Dates=H","DateFormat=P","Fill=—","Direction=H","UseDPDF=Y")</f>
        <v>#NAME?</v>
      </c>
      <c r="AP328" s="2" t="e">
        <f ca="1">_xll.BDH($C$328,"NET_INCOME_TO_COMMON_5_YR_GROWTH","FY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28" s="2" t="e">
        <f ca="1">_xll.BDH($C$328,"5Y_GEO_GROWTH_DILUTED_EPS","FY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28" s="2" t="e">
        <f ca="1">_xll.BDH($C$328,"GEO_GROW_DVD_PER_SH","FY 2014","FY 2014","Currency=INR","Period=FY","BEST_FPERIOD_OVERRIDE=FY","FILING_STATUS=OR","EQY_CONSOLIDATED=Y","Sort=A","Dates=H","DateFormat=P","Fill=—","Direction=H","UseDPDF=Y")</f>
        <v>#NAME?</v>
      </c>
      <c r="AS328" s="2" t="e">
        <f ca="1">_xll.BDH($C$328,"ACCOUNTS_RECEIVABLE_5_YR_GROWTH","FY 2014","FY 2014","Currency=INR","Period=FY","BEST_FPERIOD_OVERRIDE=FY","FILING_STATUS=OR","EQY_CONSOLIDATED=Y","Sort=A","Dates=H","DateFormat=P","Fill=—","Direction=H","UseDPDF=Y")</f>
        <v>#NAME?</v>
      </c>
      <c r="AT328" s="2" t="e">
        <f ca="1">_xll.BDH($C$328,"INVENTORY_5_YEAR_GROWTH","FY 2014","FY 2014","Currency=INR","Period=FY","BEST_FPERIOD_OVERRIDE=FY","FILING_STATUS=OR","EQY_CONSOLIDATED=Y","Sort=A","Dates=H","DateFormat=P","Fill=—","Direction=H","UseDPDF=Y")</f>
        <v>#NAME?</v>
      </c>
      <c r="AU328" s="2" t="e">
        <f ca="1">_xll.BDH($C$328,"NET_FIXED_ASSETS_5_YEAR_GROWTH","FY 2014","FY 2014","Currency=INR","Period=FY","BEST_FPERIOD_OVERRIDE=FY","FILING_STATUS=OR","EQY_CONSOLIDATED=Y","Sort=A","Dates=H","DateFormat=P","Fill=—","Direction=H","UseDPDF=Y")</f>
        <v>#NAME?</v>
      </c>
      <c r="AV328" s="2" t="e">
        <f ca="1">_xll.BDH($C$328,"GEO_GROW_TOT_ASSET","FY 2014","FY 2014","Currency=INR","Period=FY","BEST_FPERIOD_OVERRIDE=FY","FILING_STATUS=OR","EQY_CONSOLIDATED=Y","Sort=A","Dates=H","DateFormat=P","Fill=—","Direction=H","UseDPDF=Y")</f>
        <v>#NAME?</v>
      </c>
      <c r="AW328" s="2" t="e">
        <f ca="1">_xll.BDH($C$328,"MODIFIED_WORKING_CPTL_5YR_GRWTH","FY 2014","FY 2014","Currency=INR","Period=FY","BEST_FPERIOD_OVERRIDE=FY","FILING_STATUS=OR","EQY_CONSOLIDATED=Y","Sort=A","Dates=H","DateFormat=P","Fill=—","Direction=H","UseDPDF=Y")</f>
        <v>#NAME?</v>
      </c>
      <c r="AX328" s="2" t="e">
        <f ca="1">_xll.BDH($C$328,"WORKING_CAPITAL_5_YEAR_GROWTH","FY 2014","FY 2014","Currency=INR","Period=FY","BEST_FPERIOD_OVERRIDE=FY","FILING_STATUS=OR","EQY_CONSOLIDATED=Y","Sort=A","Dates=H","DateFormat=P","Fill=—","Direction=H","UseDPDF=Y")</f>
        <v>#NAME?</v>
      </c>
      <c r="AY328" s="2" t="e">
        <f ca="1">_xll.BDH($C$328,"ACCOUNTS_PAYABLE_5_YEAR_GROWTH","FY 2014","FY 2014","Currency=INR","Period=FY","BEST_FPERIOD_OVERRIDE=FY","FILING_STATUS=OR","EQY_CONSOLIDATED=Y","Sort=A","Dates=H","DateFormat=P","Fill=—","Direction=H","UseDPDF=Y")</f>
        <v>#NAME?</v>
      </c>
      <c r="AZ328" s="2" t="e">
        <f ca="1">_xll.BDH($C$328,"SHORT_TERM_DEBT_5_YEAR_GROWTH","FY 2014","FY 2014","Currency=INR","Period=FY","BEST_FPERIOD_OVERRIDE=FY","FILING_STATUS=OR","EQY_CONSOLIDATED=Y","Sort=A","Dates=H","DateFormat=P","Fill=—","Direction=H","UseDPDF=Y")</f>
        <v>#NAME?</v>
      </c>
      <c r="BA328" s="2" t="e">
        <f ca="1">_xll.BDH($C$328,"TOTAL_DEBT_5_YEAR_GROWTH","FY 2014","FY 2014","Currency=INR","Period=FY","BEST_FPERIOD_OVERRIDE=FY","FILING_STATUS=OR","EQY_CONSOLIDATED=Y","Sort=A","Dates=H","DateFormat=P","Fill=—","Direction=H","UseDPDF=Y")</f>
        <v>#NAME?</v>
      </c>
      <c r="BB328" s="2" t="e">
        <f ca="1">_xll.BDH($C$328,"GEO_GROW_TOT_SHRHLDR_EQY","FY 2014","FY 2014","Currency=INR","Period=FY","BEST_FPERIOD_OVERRIDE=FY","FILING_STATUS=OR","EQY_CONSOLIDATED=Y","Sort=A","Dates=H","DateFormat=P","Fill=—","Direction=H","UseDPDF=Y")</f>
        <v>#NAME?</v>
      </c>
      <c r="BC328" s="2" t="e">
        <f ca="1">_xll.BDH($C$328,"TOTAL_CAPITAL_5_YEAR_GROWTH","FY 2014","FY 2014","Currency=INR","Period=FY","BEST_FPERIOD_OVERRIDE=FY","FILING_STATUS=OR","EQY_CONSOLIDATED=Y","Sort=A","Dates=H","DateFormat=P","Fill=—","Direction=H","UseDPDF=Y")</f>
        <v>#NAME?</v>
      </c>
      <c r="BD328" s="2" t="e">
        <f ca="1">_xll.BDH($C$328,"GEO_GROW_BOOK_VAL","FY 2014","FY 2014","Currency=INR","Period=FY","BEST_FPERIOD_OVERRIDE=FY","FILING_STATUS=OR","EQY_CONSOLIDATED=Y","Sort=A","Dates=H","DateFormat=P","Fill=—","Direction=H","UseDPDF=Y")</f>
        <v>#NAME?</v>
      </c>
      <c r="BE328" s="2" t="e">
        <f ca="1">_xll.BDH($C$328,"GEO_GROW_CASH_OPER_ACT","FY 2014","FY 2014","Currency=INR","Period=FY","BEST_FPERIOD_OVERRIDE=FY","FILING_STATUS=OR","EQY_CONSOLIDATED=Y","Sort=A","Dates=H","DateFormat=P","Fill=—","Direction=H","UseDPDF=Y")</f>
        <v>#NAME?</v>
      </c>
      <c r="BF328" s="2" t="e">
        <f ca="1">_xll.BDH($C$328,"REVENUE_SEQUENTIAL_GROWTH","FY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28" s="2" t="e">
        <f ca="1">_xll.BDH($C$328,"EBITDA_SEQUENTIAL_GROWTH","FY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28" s="2" t="e">
        <f ca="1">_xll.BDH($C$328,"OPERATING_INCOME_SEQ_GROWTH","FY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28" s="2" t="e">
        <f ca="1">_xll.BDH($C$328,"NET_INCOME_TO_COMMON_SEQ_GROWTH","FY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28" s="2" t="e">
        <f ca="1">_xll.BDH($C$328,"EPS_DILUTED_SEQUENTIAL_GROWTH","FY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28" s="2" t="e">
        <f ca="1">_xll.BDH($C$328,"DPS_SEQUENTIAL_GROWTH","FY 2014","FY 2014","Currency=INR","Period=FY","BEST_FPERIOD_OVERRIDE=FY","FILING_STATUS=OR","EQY_CONSOLIDATED=Y","Sort=A","Dates=H","DateFormat=P","Fill=—","Direction=H","UseDPDF=Y")</f>
        <v>#NAME?</v>
      </c>
      <c r="BL328" s="2" t="e">
        <f ca="1">_xll.BDH($C$328,"ACCOUNTS_RECEIVABLE_SEQ_GROWTH","FY 2014","FY 2014","Currency=INR","Period=FY","BEST_FPERIOD_OVERRIDE=FY","FILING_STATUS=OR","EQY_CONSOLIDATED=Y","Sort=A","Dates=H","DateFormat=P","Fill=—","Direction=H","UseDPDF=Y")</f>
        <v>#NAME?</v>
      </c>
      <c r="BM328" s="2" t="e">
        <f ca="1">_xll.BDH($C$328,"INVENTORY_SEQUENTIAL_GROWTH","FY 2014","FY 2014","Currency=INR","Period=FY","BEST_FPERIOD_OVERRIDE=FY","FILING_STATUS=OR","EQY_CONSOLIDATED=Y","Sort=A","Dates=H","DateFormat=P","Fill=—","Direction=H","UseDPDF=Y")</f>
        <v>#NAME?</v>
      </c>
      <c r="BN328" s="2" t="e">
        <f ca="1">_xll.BDH($C$328,"FIXED_ASSETS_SEQUENTIAL_GROWTH","FY 2014","FY 2014","Currency=INR","Period=FY","BEST_FPERIOD_OVERRIDE=FY","FILING_STATUS=OR","EQY_CONSOLIDATED=Y","Sort=A","Dates=H","DateFormat=P","Fill=—","Direction=H","UseDPDF=Y")</f>
        <v>#NAME?</v>
      </c>
      <c r="BO328" s="2" t="e">
        <f ca="1">_xll.BDH($C$328,"TOTAL_ASSETS_SEQUENTIAL_GROWTH","FY 2014","FY 2014","Currency=INR","Period=FY","BEST_FPERIOD_OVERRIDE=FY","FILING_STATUS=OR","EQY_CONSOLIDATED=Y","Sort=A","Dates=H","DateFormat=P","Fill=—","Direction=H","UseDPDF=Y")</f>
        <v>#NAME?</v>
      </c>
      <c r="BP328" s="2" t="e">
        <f ca="1">_xll.BDH($C$328,"MODIFIED_WORKING_CPTL_SEQ_GRWTH","FY 2014","FY 2014","Currency=INR","Period=FY","BEST_FPERIOD_OVERRIDE=FY","FILING_STATUS=OR","EQY_CONSOLIDATED=Y","Sort=A","Dates=H","DateFormat=P","Fill=—","Direction=H","UseDPDF=Y")</f>
        <v>#NAME?</v>
      </c>
      <c r="BQ328" s="2" t="e">
        <f ca="1">_xll.BDH($C$328,"WORKING_CAPITAL_SEQ_GROWTH","FY 2014","FY 2014","Currency=INR","Period=FY","BEST_FPERIOD_OVERRIDE=FY","FILING_STATUS=OR","EQY_CONSOLIDATED=Y","Sort=A","Dates=H","DateFormat=P","Fill=—","Direction=H","UseDPDF=Y")</f>
        <v>#NAME?</v>
      </c>
      <c r="BR328" s="2" t="e">
        <f ca="1">_xll.BDH($C$328,"ACCOUNTS_PAYABLE_SEQ_GROWTH","FY 2014","FY 2014","Currency=INR","Period=FY","BEST_FPERIOD_OVERRIDE=FY","FILING_STATUS=OR","EQY_CONSOLIDATED=Y","Sort=A","Dates=H","DateFormat=P","Fill=—","Direction=H","UseDPDF=Y")</f>
        <v>#NAME?</v>
      </c>
      <c r="BS328" s="2" t="e">
        <f ca="1">_xll.BDH($C$328,"ST_DEBT_SEQUENTIAL_GROWTH","FY 2014","FY 2014","Currency=INR","Period=FY","BEST_FPERIOD_OVERRIDE=FY","FILING_STATUS=OR","EQY_CONSOLIDATED=Y","Sort=A","Dates=H","DateFormat=P","Fill=—","Direction=H","UseDPDF=Y")</f>
        <v>#NAME?</v>
      </c>
      <c r="BT328" s="2" t="e">
        <f ca="1">_xll.BDH($C$328,"TOTAL_DEBT_SEQUENTIAL_GROWTH","FY 2014","FY 2014","Currency=INR","Period=FY","BEST_FPERIOD_OVERRIDE=FY","FILING_STATUS=OR","EQY_CONSOLIDATED=Y","Sort=A","Dates=H","DateFormat=P","Fill=—","Direction=H","UseDPDF=Y")</f>
        <v>#NAME?</v>
      </c>
      <c r="BU328" s="2" t="e">
        <f ca="1">_xll.BDH($C$328,"TOTAL_EQUITY_SEQUENTIAL_GROWTH","FY 2014","FY 2014","Currency=INR","Period=FY","BEST_FPERIOD_OVERRIDE=FY","FILING_STATUS=OR","EQY_CONSOLIDATED=Y","Sort=A","Dates=H","DateFormat=P","Fill=—","Direction=H","UseDPDF=Y")</f>
        <v>#NAME?</v>
      </c>
      <c r="BV328" s="2" t="e">
        <f ca="1">_xll.BDH($C$328,"TOTAL_CAPITAL_SEQUENTIAL_GROWTH","FY 2014","FY 2014","Currency=INR","Period=FY","BEST_FPERIOD_OVERRIDE=FY","FILING_STATUS=OR","EQY_CONSOLIDATED=Y","Sort=A","Dates=H","DateFormat=P","Fill=—","Direction=H","UseDPDF=Y")</f>
        <v>#NAME?</v>
      </c>
      <c r="BW328" s="2" t="e">
        <f ca="1">_xll.BDH($C$328,"BPS_SEQUENTIAL_GROWTH","FY 2014","FY 2014","Currency=INR","Period=FY","BEST_FPERIOD_OVERRIDE=FY","FILING_STATUS=OR","EQY_CONSOLIDATED=Y","Sort=A","Dates=H","DateFormat=P","Fill=—","Direction=H","UseDPDF=Y")</f>
        <v>#NAME?</v>
      </c>
      <c r="BX328" s="2" t="e">
        <f ca="1">_xll.BDH($C$328,"CFO_SEQUENTIAL_GROWTH","FY 2014","FY 2014","Currency=INR","Period=FY","BEST_FPERIOD_OVERRIDE=FY","FILING_STATUS=OR","EQY_CONSOLIDATED=Y","Sort=A","Dates=H","DateFormat=P","Fill=—","Direction=H","UseDPDF=Y")</f>
        <v>#NAME?</v>
      </c>
      <c r="BY328" s="3" t="e">
        <f ca="1">_xll.BDH($C$328,"SHORT_AND_LONG_TERM_DEBT","FY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28" s="3" t="e">
        <f ca="1">_xll.BDH($C$328,"BS_ST_BORROW","FY 2014","FY 2014","Currency=INR","Period=FY","BEST_FPERIOD_OVERRIDE=FY","FILING_STATUS=OR","EQY_CONSOLIDATED=Y","SCALING_FORMAT=MLN","Sort=A","Dates=H","DateFormat=P","Fill=—","Direction=H","UseDPDF=Y")</f>
        <v>#NAME?</v>
      </c>
      <c r="CA328" s="3" t="e">
        <f ca="1">_xll.BDH($C$328,"BS_LT_BORROW","FY 2014","FY 2014","Currency=INR","Period=FY","BEST_FPERIOD_OVERRIDE=FY","FILING_STATUS=OR","EQY_CONSOLIDATED=Y","SCALING_FORMAT=MLN","Sort=A","Dates=H","DateFormat=P","Fill=—","Direction=H","UseDPDF=Y")</f>
        <v>#NAME?</v>
      </c>
      <c r="CB328" s="2" t="e">
        <f ca="1">_xll.BDH($C$328,"TOT_DEBT_TO_EBITDA","FY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28" s="2" t="e">
        <f ca="1">_xll.BDH($C$328,"NET_DEBT_TO_EBITDA","FY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28" s="2" t="e">
        <f ca="1">_xll.BDH($C$328,"TOTAL_DEBT_TO_EBIT","FY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28" s="2" t="e">
        <f ca="1">_xll.BDH($C$328,"NET_DEBT_TO_EBIT","FY 2014","FY 2014","Currency=INR","Period=FY","BEST_FPERIOD_OVERRIDE=FY","FILING_STATUS=OR","EQY_CONSOLIDATED=Y","FA_ADJUSTED=GAAP","Sort=A","Dates=H","DateFormat=P","Fill=—","Direction=H","UseDPDF=Y")</f>
        <v>#NAME?</v>
      </c>
      <c r="CF328" s="2" t="e">
        <f ca="1">_xll.BDH($C$328,"EBITDA_TO_INTEREST_EXPN","FY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28" s="2" t="e">
        <f ca="1">_xll.BDH($C$328,"COM_EQY_TO_TOT_ASSET","FY 2014","FY 2014","Currency=INR","Period=FY","BEST_FPERIOD_OVERRIDE=FY","FILING_STATUS=OR","EQY_CONSOLIDATED=Y","Sort=A","Dates=H","DateFormat=P","Fill=—","Direction=H","UseDPDF=Y")</f>
        <v>#NAME?</v>
      </c>
      <c r="CH328" s="2" t="e">
        <f ca="1">_xll.BDH($C$328,"LT_DEBT_TO_TOT_EQY","FY 2014","FY 2014","Currency=INR","Period=FY","BEST_FPERIOD_OVERRIDE=FY","FILING_STATUS=OR","EQY_CONSOLIDATED=Y","Sort=A","Dates=H","DateFormat=P","Fill=—","Direction=H","UseDPDF=Y")</f>
        <v>#NAME?</v>
      </c>
      <c r="CI328" s="2" t="e">
        <f ca="1">_xll.BDH($C$328,"LT_DEBT_TO_TOT_CAP","FY 2014","FY 2014","Currency=INR","Period=FY","BEST_FPERIOD_OVERRIDE=FY","FILING_STATUS=OR","EQY_CONSOLIDATED=Y","Sort=A","Dates=H","DateFormat=P","Fill=—","Direction=H","UseDPDF=Y")</f>
        <v>#NAME?</v>
      </c>
      <c r="CJ328" s="2" t="e">
        <f ca="1">_xll.BDH($C$328,"LT_DEBT_TO_TOT_ASSET","FY 2014","FY 2014","Currency=INR","Period=FY","BEST_FPERIOD_OVERRIDE=FY","FILING_STATUS=OR","EQY_CONSOLIDATED=Y","Sort=A","Dates=H","DateFormat=P","Fill=—","Direction=H","UseDPDF=Y")</f>
        <v>#NAME?</v>
      </c>
      <c r="CK328" s="2" t="e">
        <f ca="1">_xll.BDH($C$328,"TOT_DEBT_TO_TOT_EQY","FY 2014","FY 2014","Currency=INR","Period=FY","BEST_FPERIOD_OVERRIDE=FY","FILING_STATUS=OR","EQY_CONSOLIDATED=Y","Sort=A","Dates=H","DateFormat=P","Fill=—","Direction=H","UseDPDF=Y")</f>
        <v>#NAME?</v>
      </c>
      <c r="CL328" s="2" t="e">
        <f ca="1">_xll.BDH($C$328,"TOT_DEBT_TO_TOT_CAP","FY 2014","FY 2014","Currency=INR","Period=FY","BEST_FPERIOD_OVERRIDE=FY","FILING_STATUS=OR","EQY_CONSOLIDATED=Y","Sort=A","Dates=H","DateFormat=P","Fill=—","Direction=H","UseDPDF=Y")</f>
        <v>#NAME?</v>
      </c>
      <c r="CM328" s="2" t="e">
        <f ca="1">_xll.BDH($C$328,"TOT_DEBT_TO_TOT_ASSET","FY 2014","FY 2014","Currency=INR","Period=FY","BEST_FPERIOD_OVERRIDE=FY","FILING_STATUS=OR","EQY_CONSOLIDATED=Y","Sort=A","Dates=H","DateFormat=P","Fill=—","Direction=H","UseDPDF=Y")</f>
        <v>#NAME?</v>
      </c>
      <c r="CN328" s="2" t="e">
        <f ca="1">_xll.BDH($C$328,"NET_DEBT_TO_SHRHLDR_EQTY","FY 2014","FY 2014","Currency=INR","Period=FY","BEST_FPERIOD_OVERRIDE=FY","FILING_STATUS=OR","EQY_CONSOLIDATED=Y","Sort=A","Dates=H","DateFormat=P","Fill=—","Direction=H","UseDPDF=Y")</f>
        <v>#NAME?</v>
      </c>
      <c r="CO328" s="2" t="e">
        <f ca="1">_xll.BDH($C$328,"NET_DEBT_%_CAPITAL","FY 2014","FY 2014","Currency=INR","Period=FY","BEST_FPERIOD_OVERRIDE=FY","FILING_STATUS=OR","EQY_CONSOLIDATED=Y","Sort=A","Dates=H","DateFormat=P","Fill=—","Direction=H","UseDPDF=Y")</f>
        <v>#NAME?</v>
      </c>
      <c r="CP328" s="3" t="e">
        <f ca="1">_xll.BDH($C$328,"EBITDA","FY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28" s="3" t="e">
        <f ca="1">_xll.BDH($C$328,"EBITDA_AFTER_CAPEX","FY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28" s="3" t="e">
        <f ca="1">_xll.BDH($C$328,"IS_OPER_INC","FY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28" s="2" t="e">
        <f ca="1">_xll.BDH($C$328,"CASH_RATIO","FY 2014","FY 2014","Currency=INR","Period=FY","BEST_FPERIOD_OVERRIDE=FY","FILING_STATUS=OR","EQY_CONSOLIDATED=Y","Sort=A","Dates=H","DateFormat=P","Fill=—","Direction=H","UseDPDF=Y")</f>
        <v>#NAME?</v>
      </c>
      <c r="CT328" s="2" t="e">
        <f ca="1">_xll.BDH($C$328,"CUR_RATIO","FY 2014","FY 2014","Currency=INR","Period=FY","BEST_FPERIOD_OVERRIDE=FY","FILING_STATUS=OR","EQY_CONSOLIDATED=Y","Sort=A","Dates=H","DateFormat=P","Fill=—","Direction=H","UseDPDF=Y")</f>
        <v>#NAME?</v>
      </c>
      <c r="CU328" s="2" t="e">
        <f ca="1">_xll.BDH($C$328,"QUICK_RATIO","FY 2014","FY 2014","Currency=INR","Period=FY","BEST_FPERIOD_OVERRIDE=FY","FILING_STATUS=OR","EQY_CONSOLIDATED=Y","Sort=A","Dates=H","DateFormat=P","Fill=—","Direction=H","UseDPDF=Y")</f>
        <v>#NAME?</v>
      </c>
      <c r="CV328" s="2" t="e">
        <f ca="1">_xll.BDH($C$328,"ALTMAN_Z_SCORE","FY 2014","FY 2014","Currency=INR","Period=FY","BEST_FPERIOD_OVERRIDE=FY","FILING_STATUS=OR","EQY_CONSOLIDATED=Y","Sort=A","Dates=H","DateFormat=P","Fill=—","Direction=H","UseDPDF=Y")</f>
        <v>#NAME?</v>
      </c>
      <c r="CW328" s="4" t="e">
        <f ca="1">_xll.BDH($C$328,"ACCT_RCV_TURN","FY 2014","FY 2014","Currency=INR","Period=FY","BEST_FPERIOD_OVERRIDE=FY","FILING_STATUS=OR","EQY_CONSOLIDATED=Y","FA_ADJUSTED=GAAP","Sort=A","Dates=H","DateFormat=P","Fill=—","Direction=H","UseDPDF=Y")</f>
        <v>#NAME?</v>
      </c>
      <c r="CX328" s="2" t="e">
        <f ca="1">_xll.BDH($C$328,"ACCT_RCV_DAYS","FY 2014","FY 2014","Currency=INR","Period=FY","BEST_FPERIOD_OVERRIDE=FY","FILING_STATUS=OR","EQY_CONSOLIDATED=Y","FA_ADJUSTED=GAAP","Sort=A","Dates=H","DateFormat=P","Fill=—","Direction=H","UseDPDF=Y")</f>
        <v>#NAME?</v>
      </c>
      <c r="CY328" s="4" t="e">
        <f ca="1">_xll.BDH($C$328,"INVENT_TURN","FY 2014","FY 2014","Currency=INR","Period=FY","BEST_FPERIOD_OVERRIDE=FY","FILING_STATUS=OR","EQY_CONSOLIDATED=Y","FA_ADJUSTED=GAAP","Sort=A","Dates=H","DateFormat=P","Fill=—","Direction=H","UseDPDF=Y")</f>
        <v>#NAME?</v>
      </c>
      <c r="CZ328" s="2" t="e">
        <f ca="1">_xll.BDH($C$328,"INVENT_DAYS","FY 2014","FY 2014","Currency=INR","Period=FY","BEST_FPERIOD_OVERRIDE=FY","FILING_STATUS=OR","EQY_CONSOLIDATED=Y","FA_ADJUSTED=GAAP","Sort=A","Dates=H","DateFormat=P","Fill=—","Direction=H","UseDPDF=Y")</f>
        <v>#NAME?</v>
      </c>
      <c r="DA328" s="4" t="e">
        <f ca="1">_xll.BDH($C$328,"ACCOUNTS_PAYABLE_TURNOVER","FY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28" s="2" t="e">
        <f ca="1">_xll.BDH($C$328,"ACCOUNTS_PAYABLE_TURNOVER_DAYS","FY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28" s="4" t="e">
        <f ca="1">_xll.BDH($C$328,"CASH_CONVERSION_CYCLE","FY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28" s="4" t="e">
        <f ca="1">_xll.BDH($C$328,"INV_TO_CASH_DAYS","FY 2014","FY 2014","Currency=INR","Period=FY","BEST_FPERIOD_OVERRIDE=FY","FILING_STATUS=OR","EQY_CONSOLIDATED=Y","FA_ADJUSTED=GAAP","Sort=A","Dates=H","DateFormat=P","Fill=—","Direction=H","UseDPDF=Y")</f>
        <v>#NAME?</v>
      </c>
      <c r="DE328" s="5" t="e">
        <f ca="1">_xll.BDH($C$328,"BS_INVENTORIES","FY 2014","FY 2014","Currency=INR","Period=FY","BEST_FPERIOD_OVERRIDE=FY","FILING_STATUS=OR","EQY_CONSOLIDATED=Y","SCALING_FORMAT=MLN","Sort=A","Dates=H","DateFormat=P","Fill=—","Direction=H","UseDPDF=Y")</f>
        <v>#NAME?</v>
      </c>
      <c r="DF328" s="3" t="e">
        <f ca="1">_xll.BDH($C$328,"INVTRY_RAW_MATERIALS","FY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28" s="3" t="e">
        <f ca="1">_xll.BDH($C$328,"INVTRY_IN_PROGRESS","FY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28" s="3" t="e">
        <f ca="1">_xll.BDH($C$328,"INVTRY_FINISHED_GOODS","FY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28" s="3" t="e">
        <f ca="1">_xll.BDH($C$328,"BS_OTHER_INV","FY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29" spans="1:113" x14ac:dyDescent="0.3">
      <c r="A329" s="6"/>
      <c r="B329" s="6"/>
      <c r="C329" s="6"/>
      <c r="D329" s="6"/>
      <c r="E329" t="s">
        <v>78</v>
      </c>
      <c r="F329" t="e">
        <f ca="1">_xll.BDH($C$328,"RETURN_COM_EQY","FQ1 2014","FQ1 2014","Currency=INR","Period=FQ","BEST_FPERIOD_OVERRIDE=FQ","FILING_STATUS=OR","EQY_CONSOLIDATED=Y","FA_ADJUSTED=GAAP","Sort=A","Dates=H","DateFormat=P","Fill=—","Direction=H","UseDPDF=Y")</f>
        <v>#NAME?</v>
      </c>
      <c r="G329" t="e">
        <f ca="1">_xll.BDH($C$328,"RETURN_ON_ASSET","FQ1 2014","FQ1 2014","Currency=INR","Period=FQ","BEST_FPERIOD_OVERRIDE=FQ","FILING_STATUS=OR","EQY_CONSOLIDATED=Y","FA_ADJUSTED=GAAP","Sort=A","Dates=H","DateFormat=P","Fill=—","Direction=H","UseDPDF=Y")</f>
        <v>#NAME?</v>
      </c>
      <c r="H329" t="e">
        <f ca="1">_xll.BDH($C$328,"RETURN_ON_CAP","FQ1 2014","FQ1 2014","Currency=INR","Period=FQ","BEST_FPERIOD_OVERRIDE=FQ","FILING_STATUS=OR","EQY_CONSOLIDATED=Y","FA_ADJUSTED=GAAP","Sort=A","Dates=H","DateFormat=P","Fill=—","Direction=H","UseDPDF=Y")</f>
        <v>#NAME?</v>
      </c>
      <c r="I329" t="e">
        <f ca="1">_xll.BDH($C$328,"RETURN_ON_INV_CAPITAL","FQ1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29" t="e">
        <f ca="1">_xll.BDH($C$328,"EBITDA_TO_REVENUE","FQ1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29" t="e">
        <f ca="1">_xll.BDH($C$328,"OPER_MARGIN","FQ1 2014","FQ1 2014","Currency=INR","Period=FQ","BEST_FPERIOD_OVERRIDE=FQ","FILING_STATUS=OR","EQY_CONSOLIDATED=Y","FA_ADJUSTED=GAAP","Sort=A","Dates=H","DateFormat=P","Fill=—","Direction=H","UseDPDF=Y")</f>
        <v>#NAME?</v>
      </c>
      <c r="L329" t="e">
        <f ca="1">_xll.BDH($C$328,"INCREMENTAL_OPERATING_MARGIN","FQ1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29" t="e">
        <f ca="1">_xll.BDH($C$328,"PRETAX_INC_TO_NET_SALES","FQ1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29" t="e">
        <f ca="1">_xll.BDH($C$328,"INC_BEF_XO_ITEMS_TO_NET_SALES","FQ1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29" t="e">
        <f ca="1">_xll.BDH($C$328,"PROF_MARGIN","FQ1 2014","FQ1 2014","Currency=INR","Period=FQ","BEST_FPERIOD_OVERRIDE=FQ","FILING_STATUS=OR","EQY_CONSOLIDATED=Y","FA_ADJUSTED=GAAP","Sort=A","Dates=H","DateFormat=P","Fill=—","Direction=H","UseDPDF=Y")</f>
        <v>#NAME?</v>
      </c>
      <c r="P329" t="e">
        <f ca="1">_xll.BDH($C$328,"NET_INCOME_TO_COMMON_MARGIN","FQ1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29" t="e">
        <f ca="1">_xll.BDH($C$328,"EFF_TAX_RATE","FQ1 2014","FQ1 2014","Currency=INR","Period=FQ","BEST_FPERIOD_OVERRIDE=FQ","FILING_STATUS=OR","EQY_CONSOLIDATED=Y","FA_ADJUSTED=GAAP","Sort=A","Dates=H","DateFormat=P","Fill=—","Direction=H","UseDPDF=Y")</f>
        <v>#NAME?</v>
      </c>
      <c r="R329" t="e">
        <f ca="1">_xll.BDH($C$328,"DVD_PAYOUT_RATIO","FQ1 2014","FQ1 2014","Currency=INR","Period=FQ","BEST_FPERIOD_OVERRIDE=FQ","FILING_STATUS=OR","EQY_CONSOLIDATED=Y","FA_ADJUSTED=GAAP","Sort=A","Dates=H","DateFormat=P","Fill=—","Direction=H","UseDPDF=Y")</f>
        <v>#NAME?</v>
      </c>
      <c r="S329" t="e">
        <f ca="1">_xll.BDH($C$328,"SUSTAIN_GROWTH_RT","FQ1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29" s="2" t="e">
        <f ca="1">_xll.BDH($C$328,"SALES_GROWTH","FQ1 2014","FQ1 2014","Currency=INR","Period=FQ","BEST_FPERIOD_OVERRIDE=FQ","FILING_STATUS=OR","EQY_CONSOLIDATED=Y","FA_ADJUSTED=GAAP","Sort=A","Dates=H","DateFormat=P","Fill=—","Direction=H","UseDPDF=Y")</f>
        <v>#NAME?</v>
      </c>
      <c r="U329" s="2" t="e">
        <f ca="1">_xll.BDH($C$328,"EBITDA_GROWTH","FQ1 2014","FQ1 2014","Currency=INR","Period=FQ","BEST_FPERIOD_OVERRIDE=FQ","FILING_STATUS=OR","EQY_CONSOLIDATED=Y","FA_ADJUSTED=GAAP","Sort=A","Dates=H","DateFormat=P","Fill=—","Direction=H","UseDPDF=Y")</f>
        <v>#NAME?</v>
      </c>
      <c r="V329" s="2" t="e">
        <f ca="1">_xll.BDH($C$328,"OPER_INC_GROWTH","FQ1 2014","FQ1 2014","Currency=INR","Period=FQ","BEST_FPERIOD_OVERRIDE=FQ","FILING_STATUS=OR","EQY_CONSOLIDATED=Y","FA_ADJUSTED=GAAP","Sort=A","Dates=H","DateFormat=P","Fill=—","Direction=H","UseDPDF=Y")</f>
        <v>#NAME?</v>
      </c>
      <c r="W329" s="2" t="e">
        <f ca="1">_xll.BDH($C$328,"EARN_FOR_COM_GROWTH","FQ1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29" s="2" t="e">
        <f ca="1">_xll.BDH($C$328,"DILUTED_EPS_AFT_XO_ITEMS_GROWTH","FQ1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29" s="2" t="e">
        <f ca="1">_xll.BDH($C$328,"DIVIDEND_PER_SHARE_1_YEAR_GROWTH","FQ1 2014","FQ1 2014","Currency=INR","Period=FQ","BEST_FPERIOD_OVERRIDE=FQ","FILING_STATUS=OR","EQY_CONSOLIDATED=Y","Sort=A","Dates=H","DateFormat=P","Fill=—","Direction=H","UseDPDF=Y")</f>
        <v>#NAME?</v>
      </c>
      <c r="Z329" s="2" t="e">
        <f ca="1">_xll.BDH($C$328,"ACCOUNTS_RECEIVABLE_GROWTH","FQ1 2014","FQ1 2014","Currency=INR","Period=FQ","BEST_FPERIOD_OVERRIDE=FQ","FILING_STATUS=OR","EQY_CONSOLIDATED=Y","Sort=A","Dates=H","DateFormat=P","Fill=—","Direction=H","UseDPDF=Y")</f>
        <v>#NAME?</v>
      </c>
      <c r="AA329" s="2" t="e">
        <f ca="1">_xll.BDH($C$328,"INVENTORY_GROWTH","FQ1 2014","FQ1 2014","Currency=INR","Period=FQ","BEST_FPERIOD_OVERRIDE=FQ","FILING_STATUS=OR","EQY_CONSOLIDATED=Y","Sort=A","Dates=H","DateFormat=P","Fill=—","Direction=H","UseDPDF=Y")</f>
        <v>#NAME?</v>
      </c>
      <c r="AB329" s="2" t="e">
        <f ca="1">_xll.BDH($C$328,"NET_FIXED_ASSETS_1_YEAR_GROWTH","FQ1 2014","FQ1 2014","Currency=INR","Period=FQ","BEST_FPERIOD_OVERRIDE=FQ","FILING_STATUS=OR","EQY_CONSOLIDATED=Y","Sort=A","Dates=H","DateFormat=P","Fill=—","Direction=H","UseDPDF=Y")</f>
        <v>#NAME?</v>
      </c>
      <c r="AC329" s="2" t="e">
        <f ca="1">_xll.BDH($C$328,"ASSET_GROWTH","FQ1 2014","FQ1 2014","Currency=INR","Period=FQ","BEST_FPERIOD_OVERRIDE=FQ","FILING_STATUS=OR","EQY_CONSOLIDATED=Y","Sort=A","Dates=H","DateFormat=P","Fill=—","Direction=H","UseDPDF=Y")</f>
        <v>#NAME?</v>
      </c>
      <c r="AD329" s="2" t="e">
        <f ca="1">_xll.BDH($C$328,"MODIFIED_WORK_CAP_GROWTH","FQ1 2014","FQ1 2014","Currency=INR","Period=FQ","BEST_FPERIOD_OVERRIDE=FQ","FILING_STATUS=OR","EQY_CONSOLIDATED=Y","Sort=A","Dates=H","DateFormat=P","Fill=—","Direction=H","UseDPDF=Y")</f>
        <v>#NAME?</v>
      </c>
      <c r="AE329" s="2" t="e">
        <f ca="1">_xll.BDH($C$328,"WORK_CAP_GROWTH","FQ1 2014","FQ1 2014","Currency=INR","Period=FQ","BEST_FPERIOD_OVERRIDE=FQ","FILING_STATUS=OR","EQY_CONSOLIDATED=Y","Sort=A","Dates=H","DateFormat=P","Fill=—","Direction=H","UseDPDF=Y")</f>
        <v>#NAME?</v>
      </c>
      <c r="AF329" s="2" t="e">
        <f ca="1">_xll.BDH($C$328,"ACCOUNTS_PAYABLE_GROWTH_1YR","FQ1 2014","FQ1 2014","Currency=INR","Period=FQ","BEST_FPERIOD_OVERRIDE=FQ","FILING_STATUS=OR","EQY_CONSOLIDATED=Y","Sort=A","Dates=H","DateFormat=P","Fill=—","Direction=H","UseDPDF=Y")</f>
        <v>#NAME?</v>
      </c>
      <c r="AG329" s="2" t="e">
        <f ca="1">_xll.BDH($C$328,"SHORT_TERM_DEBT_1_YEAR_GROWTH","FQ1 2014","FQ1 2014","Currency=INR","Period=FQ","BEST_FPERIOD_OVERRIDE=FQ","FILING_STATUS=OR","EQY_CONSOLIDATED=Y","Sort=A","Dates=H","DateFormat=P","Fill=—","Direction=H","UseDPDF=Y")</f>
        <v>#NAME?</v>
      </c>
      <c r="AH329" s="2" t="e">
        <f ca="1">_xll.BDH($C$328,"TOTAL_DEBT_1_YEAR_GROWTH","FQ1 2014","FQ1 2014","Currency=INR","Period=FQ","BEST_FPERIOD_OVERRIDE=FQ","FILING_STATUS=OR","EQY_CONSOLIDATED=Y","Sort=A","Dates=H","DateFormat=P","Fill=—","Direction=H","UseDPDF=Y")</f>
        <v>#NAME?</v>
      </c>
      <c r="AI329" s="2" t="e">
        <f ca="1">_xll.BDH($C$328,"TOTAL_EQUITY_1_YEAR_GROWTH","FQ1 2014","FQ1 2014","Currency=INR","Period=FQ","BEST_FPERIOD_OVERRIDE=FQ","FILING_STATUS=OR","EQY_CONSOLIDATED=Y","Sort=A","Dates=H","DateFormat=P","Fill=—","Direction=H","UseDPDF=Y")</f>
        <v>#NAME?</v>
      </c>
      <c r="AJ329" s="2" t="e">
        <f ca="1">_xll.BDH($C$328,"GROWTH_IN_CAP","FQ1 2014","FQ1 2014","Currency=INR","Period=FQ","BEST_FPERIOD_OVERRIDE=FQ","FILING_STATUS=OR","EQY_CONSOLIDATED=Y","Sort=A","Dates=H","DateFormat=P","Fill=—","Direction=H","UseDPDF=Y")</f>
        <v>#NAME?</v>
      </c>
      <c r="AK329" s="2" t="e">
        <f ca="1">_xll.BDH($C$328,"BVPS_GROWTH","FQ1 2014","FQ1 2014","Currency=INR","Period=FQ","BEST_FPERIOD_OVERRIDE=FQ","FILING_STATUS=OR","EQY_CONSOLIDATED=Y","Sort=A","Dates=H","DateFormat=P","Fill=—","Direction=H","UseDPDF=Y")</f>
        <v>#NAME?</v>
      </c>
      <c r="AL329" s="2" t="e">
        <f ca="1">_xll.BDH($C$328,"CASH_FLOW_GROWTH","FQ1 2014","FQ1 2014","Currency=INR","Period=FQ","BEST_FPERIOD_OVERRIDE=FQ","FILING_STATUS=OR","EQY_CONSOLIDATED=Y","Sort=A","Dates=H","DateFormat=P","Fill=—","Direction=H","UseDPDF=Y")</f>
        <v>#NAME?</v>
      </c>
      <c r="AM329" s="2" t="e">
        <f ca="1">_xll.BDH($C$328,"GEO_GROW_NET_SALES","FQ1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29" s="2" t="e">
        <f ca="1">_xll.BDH($C$328,"GEO_GROW_EBITDA","FQ1 2014","FQ1 2014","Currency=INR","Period=FQ","BEST_FPERIOD_OVERRIDE=FQ","FILING_STATUS=OR","EQY_CONSOLIDATED=Y","FA_ADJUSTED=GAAP","Sort=A","Dates=H","DateFormat=P","Fill=—","Direction=H","UseDPDF=Y")</f>
        <v>#NAME?</v>
      </c>
      <c r="AO329" s="2" t="e">
        <f ca="1">_xll.BDH($C$328,"GEO_GROW_OPER_INC","FQ1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29" s="2" t="e">
        <f ca="1">_xll.BDH($C$328,"NET_INCOME_TO_COMMON_5_YR_GROWTH","FQ1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29" s="2" t="e">
        <f ca="1">_xll.BDH($C$328,"5Y_GEO_GROWTH_DILUTED_EPS","FQ1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29" s="2" t="e">
        <f ca="1">_xll.BDH($C$328,"GEO_GROW_DVD_PER_SH","FQ1 2014","FQ1 2014","Currency=INR","Period=FQ","BEST_FPERIOD_OVERRIDE=FQ","FILING_STATUS=OR","EQY_CONSOLIDATED=Y","Sort=A","Dates=H","DateFormat=P","Fill=—","Direction=H","UseDPDF=Y")</f>
        <v>#NAME?</v>
      </c>
      <c r="AS329" s="2" t="e">
        <f ca="1">_xll.BDH($C$328,"ACCOUNTS_RECEIVABLE_5_YR_GROWTH","FQ1 2014","FQ1 2014","Currency=INR","Period=FQ","BEST_FPERIOD_OVERRIDE=FQ","FILING_STATUS=OR","EQY_CONSOLIDATED=Y","Sort=A","Dates=H","DateFormat=P","Fill=—","Direction=H","UseDPDF=Y")</f>
        <v>#NAME?</v>
      </c>
      <c r="AT329" s="2" t="e">
        <f ca="1">_xll.BDH($C$328,"INVENTORY_5_YEAR_GROWTH","FQ1 2014","FQ1 2014","Currency=INR","Period=FQ","BEST_FPERIOD_OVERRIDE=FQ","FILING_STATUS=OR","EQY_CONSOLIDATED=Y","Sort=A","Dates=H","DateFormat=P","Fill=—","Direction=H","UseDPDF=Y")</f>
        <v>#NAME?</v>
      </c>
      <c r="AU329" s="2" t="e">
        <f ca="1">_xll.BDH($C$328,"NET_FIXED_ASSETS_5_YEAR_GROWTH","FQ1 2014","FQ1 2014","Currency=INR","Period=FQ","BEST_FPERIOD_OVERRIDE=FQ","FILING_STATUS=OR","EQY_CONSOLIDATED=Y","Sort=A","Dates=H","DateFormat=P","Fill=—","Direction=H","UseDPDF=Y")</f>
        <v>#NAME?</v>
      </c>
      <c r="AV329" s="2" t="e">
        <f ca="1">_xll.BDH($C$328,"GEO_GROW_TOT_ASSET","FQ1 2014","FQ1 2014","Currency=INR","Period=FQ","BEST_FPERIOD_OVERRIDE=FQ","FILING_STATUS=OR","EQY_CONSOLIDATED=Y","Sort=A","Dates=H","DateFormat=P","Fill=—","Direction=H","UseDPDF=Y")</f>
        <v>#NAME?</v>
      </c>
      <c r="AW329" s="2" t="e">
        <f ca="1">_xll.BDH($C$328,"MODIFIED_WORKING_CPTL_5YR_GRWTH","FQ1 2014","FQ1 2014","Currency=INR","Period=FQ","BEST_FPERIOD_OVERRIDE=FQ","FILING_STATUS=OR","EQY_CONSOLIDATED=Y","Sort=A","Dates=H","DateFormat=P","Fill=—","Direction=H","UseDPDF=Y")</f>
        <v>#NAME?</v>
      </c>
      <c r="AX329" s="2" t="e">
        <f ca="1">_xll.BDH($C$328,"WORKING_CAPITAL_5_YEAR_GROWTH","FQ1 2014","FQ1 2014","Currency=INR","Period=FQ","BEST_FPERIOD_OVERRIDE=FQ","FILING_STATUS=OR","EQY_CONSOLIDATED=Y","Sort=A","Dates=H","DateFormat=P","Fill=—","Direction=H","UseDPDF=Y")</f>
        <v>#NAME?</v>
      </c>
      <c r="AY329" s="2" t="e">
        <f ca="1">_xll.BDH($C$328,"ACCOUNTS_PAYABLE_5_YEAR_GROWTH","FQ1 2014","FQ1 2014","Currency=INR","Period=FQ","BEST_FPERIOD_OVERRIDE=FQ","FILING_STATUS=OR","EQY_CONSOLIDATED=Y","Sort=A","Dates=H","DateFormat=P","Fill=—","Direction=H","UseDPDF=Y")</f>
        <v>#NAME?</v>
      </c>
      <c r="AZ329" s="2" t="e">
        <f ca="1">_xll.BDH($C$328,"SHORT_TERM_DEBT_5_YEAR_GROWTH","FQ1 2014","FQ1 2014","Currency=INR","Period=FQ","BEST_FPERIOD_OVERRIDE=FQ","FILING_STATUS=OR","EQY_CONSOLIDATED=Y","Sort=A","Dates=H","DateFormat=P","Fill=—","Direction=H","UseDPDF=Y")</f>
        <v>#NAME?</v>
      </c>
      <c r="BA329" s="2" t="e">
        <f ca="1">_xll.BDH($C$328,"TOTAL_DEBT_5_YEAR_GROWTH","FQ1 2014","FQ1 2014","Currency=INR","Period=FQ","BEST_FPERIOD_OVERRIDE=FQ","FILING_STATUS=OR","EQY_CONSOLIDATED=Y","Sort=A","Dates=H","DateFormat=P","Fill=—","Direction=H","UseDPDF=Y")</f>
        <v>#NAME?</v>
      </c>
      <c r="BB329" s="2" t="e">
        <f ca="1">_xll.BDH($C$328,"GEO_GROW_TOT_SHRHLDR_EQY","FQ1 2014","FQ1 2014","Currency=INR","Period=FQ","BEST_FPERIOD_OVERRIDE=FQ","FILING_STATUS=OR","EQY_CONSOLIDATED=Y","Sort=A","Dates=H","DateFormat=P","Fill=—","Direction=H","UseDPDF=Y")</f>
        <v>#NAME?</v>
      </c>
      <c r="BC329" s="2" t="e">
        <f ca="1">_xll.BDH($C$328,"TOTAL_CAPITAL_5_YEAR_GROWTH","FQ1 2014","FQ1 2014","Currency=INR","Period=FQ","BEST_FPERIOD_OVERRIDE=FQ","FILING_STATUS=OR","EQY_CONSOLIDATED=Y","Sort=A","Dates=H","DateFormat=P","Fill=—","Direction=H","UseDPDF=Y")</f>
        <v>#NAME?</v>
      </c>
      <c r="BD329" s="2" t="e">
        <f ca="1">_xll.BDH($C$328,"GEO_GROW_BOOK_VAL","FQ1 2014","FQ1 2014","Currency=INR","Period=FQ","BEST_FPERIOD_OVERRIDE=FQ","FILING_STATUS=OR","EQY_CONSOLIDATED=Y","Sort=A","Dates=H","DateFormat=P","Fill=—","Direction=H","UseDPDF=Y")</f>
        <v>#NAME?</v>
      </c>
      <c r="BE329" s="2" t="e">
        <f ca="1">_xll.BDH($C$328,"GEO_GROW_CASH_OPER_ACT","FQ1 2014","FQ1 2014","Currency=INR","Period=FQ","BEST_FPERIOD_OVERRIDE=FQ","FILING_STATUS=OR","EQY_CONSOLIDATED=Y","Sort=A","Dates=H","DateFormat=P","Fill=—","Direction=H","UseDPDF=Y")</f>
        <v>#NAME?</v>
      </c>
      <c r="BF329" s="2" t="e">
        <f ca="1">_xll.BDH($C$328,"REVENUE_SEQUENTIAL_GROWTH","FQ1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29" s="2" t="e">
        <f ca="1">_xll.BDH($C$328,"EBITDA_SEQUENTIAL_GROWTH","FQ1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29" s="2" t="e">
        <f ca="1">_xll.BDH($C$328,"OPERATING_INCOME_SEQ_GROWTH","FQ1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29" s="2" t="e">
        <f ca="1">_xll.BDH($C$328,"NET_INCOME_TO_COMMON_SEQ_GROWTH","FQ1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29" s="2" t="e">
        <f ca="1">_xll.BDH($C$328,"EPS_DILUTED_SEQUENTIAL_GROWTH","FQ1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29" s="2" t="e">
        <f ca="1">_xll.BDH($C$328,"DPS_SEQUENTIAL_GROWTH","FQ1 2014","FQ1 2014","Currency=INR","Period=FQ","BEST_FPERIOD_OVERRIDE=FQ","FILING_STATUS=OR","EQY_CONSOLIDATED=Y","Sort=A","Dates=H","DateFormat=P","Fill=—","Direction=H","UseDPDF=Y")</f>
        <v>#NAME?</v>
      </c>
      <c r="BL329" s="2" t="e">
        <f ca="1">_xll.BDH($C$328,"ACCOUNTS_RECEIVABLE_SEQ_GROWTH","FQ1 2014","FQ1 2014","Currency=INR","Period=FQ","BEST_FPERIOD_OVERRIDE=FQ","FILING_STATUS=OR","EQY_CONSOLIDATED=Y","Sort=A","Dates=H","DateFormat=P","Fill=—","Direction=H","UseDPDF=Y")</f>
        <v>#NAME?</v>
      </c>
      <c r="BM329" s="2" t="e">
        <f ca="1">_xll.BDH($C$328,"INVENTORY_SEQUENTIAL_GROWTH","FQ1 2014","FQ1 2014","Currency=INR","Period=FQ","BEST_FPERIOD_OVERRIDE=FQ","FILING_STATUS=OR","EQY_CONSOLIDATED=Y","Sort=A","Dates=H","DateFormat=P","Fill=—","Direction=H","UseDPDF=Y")</f>
        <v>#NAME?</v>
      </c>
      <c r="BN329" s="2" t="e">
        <f ca="1">_xll.BDH($C$328,"FIXED_ASSETS_SEQUENTIAL_GROWTH","FQ1 2014","FQ1 2014","Currency=INR","Period=FQ","BEST_FPERIOD_OVERRIDE=FQ","FILING_STATUS=OR","EQY_CONSOLIDATED=Y","Sort=A","Dates=H","DateFormat=P","Fill=—","Direction=H","UseDPDF=Y")</f>
        <v>#NAME?</v>
      </c>
      <c r="BO329" s="2" t="e">
        <f ca="1">_xll.BDH($C$328,"TOTAL_ASSETS_SEQUENTIAL_GROWTH","FQ1 2014","FQ1 2014","Currency=INR","Period=FQ","BEST_FPERIOD_OVERRIDE=FQ","FILING_STATUS=OR","EQY_CONSOLIDATED=Y","Sort=A","Dates=H","DateFormat=P","Fill=—","Direction=H","UseDPDF=Y")</f>
        <v>#NAME?</v>
      </c>
      <c r="BP329" s="2" t="e">
        <f ca="1">_xll.BDH($C$328,"MODIFIED_WORKING_CPTL_SEQ_GRWTH","FQ1 2014","FQ1 2014","Currency=INR","Period=FQ","BEST_FPERIOD_OVERRIDE=FQ","FILING_STATUS=OR","EQY_CONSOLIDATED=Y","Sort=A","Dates=H","DateFormat=P","Fill=—","Direction=H","UseDPDF=Y")</f>
        <v>#NAME?</v>
      </c>
      <c r="BQ329" s="2" t="e">
        <f ca="1">_xll.BDH($C$328,"WORKING_CAPITAL_SEQ_GROWTH","FQ1 2014","FQ1 2014","Currency=INR","Period=FQ","BEST_FPERIOD_OVERRIDE=FQ","FILING_STATUS=OR","EQY_CONSOLIDATED=Y","Sort=A","Dates=H","DateFormat=P","Fill=—","Direction=H","UseDPDF=Y")</f>
        <v>#NAME?</v>
      </c>
      <c r="BR329" s="2" t="e">
        <f ca="1">_xll.BDH($C$328,"ACCOUNTS_PAYABLE_SEQ_GROWTH","FQ1 2014","FQ1 2014","Currency=INR","Period=FQ","BEST_FPERIOD_OVERRIDE=FQ","FILING_STATUS=OR","EQY_CONSOLIDATED=Y","Sort=A","Dates=H","DateFormat=P","Fill=—","Direction=H","UseDPDF=Y")</f>
        <v>#NAME?</v>
      </c>
      <c r="BS329" s="2" t="e">
        <f ca="1">_xll.BDH($C$328,"ST_DEBT_SEQUENTIAL_GROWTH","FQ1 2014","FQ1 2014","Currency=INR","Period=FQ","BEST_FPERIOD_OVERRIDE=FQ","FILING_STATUS=OR","EQY_CONSOLIDATED=Y","Sort=A","Dates=H","DateFormat=P","Fill=—","Direction=H","UseDPDF=Y")</f>
        <v>#NAME?</v>
      </c>
      <c r="BT329" s="2" t="e">
        <f ca="1">_xll.BDH($C$328,"TOTAL_DEBT_SEQUENTIAL_GROWTH","FQ1 2014","FQ1 2014","Currency=INR","Period=FQ","BEST_FPERIOD_OVERRIDE=FQ","FILING_STATUS=OR","EQY_CONSOLIDATED=Y","Sort=A","Dates=H","DateFormat=P","Fill=—","Direction=H","UseDPDF=Y")</f>
        <v>#NAME?</v>
      </c>
      <c r="BU329" s="2" t="e">
        <f ca="1">_xll.BDH($C$328,"TOTAL_EQUITY_SEQUENTIAL_GROWTH","FQ1 2014","FQ1 2014","Currency=INR","Period=FQ","BEST_FPERIOD_OVERRIDE=FQ","FILING_STATUS=OR","EQY_CONSOLIDATED=Y","Sort=A","Dates=H","DateFormat=P","Fill=—","Direction=H","UseDPDF=Y")</f>
        <v>#NAME?</v>
      </c>
      <c r="BV329" s="2" t="e">
        <f ca="1">_xll.BDH($C$328,"TOTAL_CAPITAL_SEQUENTIAL_GROWTH","FQ1 2014","FQ1 2014","Currency=INR","Period=FQ","BEST_FPERIOD_OVERRIDE=FQ","FILING_STATUS=OR","EQY_CONSOLIDATED=Y","Sort=A","Dates=H","DateFormat=P","Fill=—","Direction=H","UseDPDF=Y")</f>
        <v>#NAME?</v>
      </c>
      <c r="BW329" s="2" t="e">
        <f ca="1">_xll.BDH($C$328,"BPS_SEQUENTIAL_GROWTH","FQ1 2014","FQ1 2014","Currency=INR","Period=FQ","BEST_FPERIOD_OVERRIDE=FQ","FILING_STATUS=OR","EQY_CONSOLIDATED=Y","Sort=A","Dates=H","DateFormat=P","Fill=—","Direction=H","UseDPDF=Y")</f>
        <v>#NAME?</v>
      </c>
      <c r="BX329" s="2" t="e">
        <f ca="1">_xll.BDH($C$328,"CFO_SEQUENTIAL_GROWTH","FQ1 2014","FQ1 2014","Currency=INR","Period=FQ","BEST_FPERIOD_OVERRIDE=FQ","FILING_STATUS=OR","EQY_CONSOLIDATED=Y","Sort=A","Dates=H","DateFormat=P","Fill=—","Direction=H","UseDPDF=Y")</f>
        <v>#NAME?</v>
      </c>
      <c r="BY329" s="3" t="e">
        <f ca="1">_xll.BDH($C$328,"SHORT_AND_LONG_TERM_DEBT","FQ1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29" s="3" t="e">
        <f ca="1">_xll.BDH($C$328,"BS_ST_BORROW","FQ1 2014","FQ1 2014","Currency=INR","Period=FQ","BEST_FPERIOD_OVERRIDE=FQ","FILING_STATUS=OR","EQY_CONSOLIDATED=Y","SCALING_FORMAT=MLN","Sort=A","Dates=H","DateFormat=P","Fill=—","Direction=H","UseDPDF=Y")</f>
        <v>#NAME?</v>
      </c>
      <c r="CA329" s="3" t="e">
        <f ca="1">_xll.BDH($C$328,"BS_LT_BORROW","FQ1 2014","FQ1 2014","Currency=INR","Period=FQ","BEST_FPERIOD_OVERRIDE=FQ","FILING_STATUS=OR","EQY_CONSOLIDATED=Y","SCALING_FORMAT=MLN","Sort=A","Dates=H","DateFormat=P","Fill=—","Direction=H","UseDPDF=Y")</f>
        <v>#NAME?</v>
      </c>
      <c r="CB329" s="2" t="e">
        <f ca="1">_xll.BDH($C$328,"TOT_DEBT_TO_EBITDA","FQ1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29" s="2" t="e">
        <f ca="1">_xll.BDH($C$328,"NET_DEBT_TO_EBITDA","FQ1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29" s="2" t="e">
        <f ca="1">_xll.BDH($C$328,"TOTAL_DEBT_TO_EBIT","FQ1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29" s="2" t="e">
        <f ca="1">_xll.BDH($C$328,"NET_DEBT_TO_EBIT","FQ1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29" s="2" t="e">
        <f ca="1">_xll.BDH($C$328,"EBITDA_TO_INTEREST_EXPN","FQ1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29" s="2" t="e">
        <f ca="1">_xll.BDH($C$328,"COM_EQY_TO_TOT_ASSET","FQ1 2014","FQ1 2014","Currency=INR","Period=FQ","BEST_FPERIOD_OVERRIDE=FQ","FILING_STATUS=OR","EQY_CONSOLIDATED=Y","Sort=A","Dates=H","DateFormat=P","Fill=—","Direction=H","UseDPDF=Y")</f>
        <v>#NAME?</v>
      </c>
      <c r="CH329" s="2" t="e">
        <f ca="1">_xll.BDH($C$328,"LT_DEBT_TO_TOT_EQY","FQ1 2014","FQ1 2014","Currency=INR","Period=FQ","BEST_FPERIOD_OVERRIDE=FQ","FILING_STATUS=OR","EQY_CONSOLIDATED=Y","Sort=A","Dates=H","DateFormat=P","Fill=—","Direction=H","UseDPDF=Y")</f>
        <v>#NAME?</v>
      </c>
      <c r="CI329" s="2" t="e">
        <f ca="1">_xll.BDH($C$328,"LT_DEBT_TO_TOT_CAP","FQ1 2014","FQ1 2014","Currency=INR","Period=FQ","BEST_FPERIOD_OVERRIDE=FQ","FILING_STATUS=OR","EQY_CONSOLIDATED=Y","Sort=A","Dates=H","DateFormat=P","Fill=—","Direction=H","UseDPDF=Y")</f>
        <v>#NAME?</v>
      </c>
      <c r="CJ329" s="2" t="e">
        <f ca="1">_xll.BDH($C$328,"LT_DEBT_TO_TOT_ASSET","FQ1 2014","FQ1 2014","Currency=INR","Period=FQ","BEST_FPERIOD_OVERRIDE=FQ","FILING_STATUS=OR","EQY_CONSOLIDATED=Y","Sort=A","Dates=H","DateFormat=P","Fill=—","Direction=H","UseDPDF=Y")</f>
        <v>#NAME?</v>
      </c>
      <c r="CK329" s="2" t="e">
        <f ca="1">_xll.BDH($C$328,"TOT_DEBT_TO_TOT_EQY","FQ1 2014","FQ1 2014","Currency=INR","Period=FQ","BEST_FPERIOD_OVERRIDE=FQ","FILING_STATUS=OR","EQY_CONSOLIDATED=Y","Sort=A","Dates=H","DateFormat=P","Fill=—","Direction=H","UseDPDF=Y")</f>
        <v>#NAME?</v>
      </c>
      <c r="CL329" s="2" t="e">
        <f ca="1">_xll.BDH($C$328,"TOT_DEBT_TO_TOT_CAP","FQ1 2014","FQ1 2014","Currency=INR","Period=FQ","BEST_FPERIOD_OVERRIDE=FQ","FILING_STATUS=OR","EQY_CONSOLIDATED=Y","Sort=A","Dates=H","DateFormat=P","Fill=—","Direction=H","UseDPDF=Y")</f>
        <v>#NAME?</v>
      </c>
      <c r="CM329" s="2" t="e">
        <f ca="1">_xll.BDH($C$328,"TOT_DEBT_TO_TOT_ASSET","FQ1 2014","FQ1 2014","Currency=INR","Period=FQ","BEST_FPERIOD_OVERRIDE=FQ","FILING_STATUS=OR","EQY_CONSOLIDATED=Y","Sort=A","Dates=H","DateFormat=P","Fill=—","Direction=H","UseDPDF=Y")</f>
        <v>#NAME?</v>
      </c>
      <c r="CN329" s="2" t="e">
        <f ca="1">_xll.BDH($C$328,"NET_DEBT_TO_SHRHLDR_EQTY","FQ1 2014","FQ1 2014","Currency=INR","Period=FQ","BEST_FPERIOD_OVERRIDE=FQ","FILING_STATUS=OR","EQY_CONSOLIDATED=Y","Sort=A","Dates=H","DateFormat=P","Fill=—","Direction=H","UseDPDF=Y")</f>
        <v>#NAME?</v>
      </c>
      <c r="CO329" s="2" t="e">
        <f ca="1">_xll.BDH($C$328,"NET_DEBT_%_CAPITAL","FQ1 2014","FQ1 2014","Currency=INR","Period=FQ","BEST_FPERIOD_OVERRIDE=FQ","FILING_STATUS=OR","EQY_CONSOLIDATED=Y","Sort=A","Dates=H","DateFormat=P","Fill=—","Direction=H","UseDPDF=Y")</f>
        <v>#NAME?</v>
      </c>
      <c r="CP329" s="3" t="e">
        <f ca="1">_xll.BDH($C$328,"EBITDA","FQ1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29" s="3" t="e">
        <f ca="1">_xll.BDH($C$328,"EBITDA_AFTER_CAPEX","FQ1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29" s="3" t="e">
        <f ca="1">_xll.BDH($C$328,"IS_OPER_INC","FQ1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29" s="2" t="e">
        <f ca="1">_xll.BDH($C$328,"CASH_RATIO","FQ1 2014","FQ1 2014","Currency=INR","Period=FQ","BEST_FPERIOD_OVERRIDE=FQ","FILING_STATUS=OR","EQY_CONSOLIDATED=Y","Sort=A","Dates=H","DateFormat=P","Fill=—","Direction=H","UseDPDF=Y")</f>
        <v>#NAME?</v>
      </c>
      <c r="CT329" s="2" t="e">
        <f ca="1">_xll.BDH($C$328,"CUR_RATIO","FQ1 2014","FQ1 2014","Currency=INR","Period=FQ","BEST_FPERIOD_OVERRIDE=FQ","FILING_STATUS=OR","EQY_CONSOLIDATED=Y","Sort=A","Dates=H","DateFormat=P","Fill=—","Direction=H","UseDPDF=Y")</f>
        <v>#NAME?</v>
      </c>
      <c r="CU329" s="2" t="e">
        <f ca="1">_xll.BDH($C$328,"QUICK_RATIO","FQ1 2014","FQ1 2014","Currency=INR","Period=FQ","BEST_FPERIOD_OVERRIDE=FQ","FILING_STATUS=OR","EQY_CONSOLIDATED=Y","Sort=A","Dates=H","DateFormat=P","Fill=—","Direction=H","UseDPDF=Y")</f>
        <v>#NAME?</v>
      </c>
      <c r="CV329" s="2" t="e">
        <f ca="1">_xll.BDH($C$328,"ALTMAN_Z_SCORE","FQ1 2014","FQ1 2014","Currency=INR","Period=FQ","BEST_FPERIOD_OVERRIDE=FQ","FILING_STATUS=OR","EQY_CONSOLIDATED=Y","Sort=A","Dates=H","DateFormat=P","Fill=—","Direction=H","UseDPDF=Y")</f>
        <v>#NAME?</v>
      </c>
      <c r="CW329" s="4" t="e">
        <f ca="1">_xll.BDH($C$328,"ACCT_RCV_TURN","FQ1 2014","FQ1 2014","Currency=INR","Period=FQ","BEST_FPERIOD_OVERRIDE=FQ","FILING_STATUS=OR","EQY_CONSOLIDATED=Y","FA_ADJUSTED=GAAP","Sort=A","Dates=H","DateFormat=P","Fill=—","Direction=H","UseDPDF=Y")</f>
        <v>#NAME?</v>
      </c>
      <c r="CX329" s="2" t="e">
        <f ca="1">_xll.BDH($C$328,"ACCT_RCV_DAYS","FQ1 2014","FQ1 2014","Currency=INR","Period=FQ","BEST_FPERIOD_OVERRIDE=FQ","FILING_STATUS=OR","EQY_CONSOLIDATED=Y","FA_ADJUSTED=GAAP","Sort=A","Dates=H","DateFormat=P","Fill=—","Direction=H","UseDPDF=Y")</f>
        <v>#NAME?</v>
      </c>
      <c r="CY329" s="4" t="e">
        <f ca="1">_xll.BDH($C$328,"INVENT_TURN","FQ1 2014","FQ1 2014","Currency=INR","Period=FQ","BEST_FPERIOD_OVERRIDE=FQ","FILING_STATUS=OR","EQY_CONSOLIDATED=Y","FA_ADJUSTED=GAAP","Sort=A","Dates=H","DateFormat=P","Fill=—","Direction=H","UseDPDF=Y")</f>
        <v>#NAME?</v>
      </c>
      <c r="CZ329" s="2" t="e">
        <f ca="1">_xll.BDH($C$328,"INVENT_DAYS","FQ1 2014","FQ1 2014","Currency=INR","Period=FQ","BEST_FPERIOD_OVERRIDE=FQ","FILING_STATUS=OR","EQY_CONSOLIDATED=Y","FA_ADJUSTED=GAAP","Sort=A","Dates=H","DateFormat=P","Fill=—","Direction=H","UseDPDF=Y")</f>
        <v>#NAME?</v>
      </c>
      <c r="DA329" s="4" t="e">
        <f ca="1">_xll.BDH($C$328,"ACCOUNTS_PAYABLE_TURNOVER","FQ1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29" s="2" t="e">
        <f ca="1">_xll.BDH($C$328,"ACCOUNTS_PAYABLE_TURNOVER_DAYS","FQ1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29" s="4" t="e">
        <f ca="1">_xll.BDH($C$328,"CASH_CONVERSION_CYCLE","FQ1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29" s="4" t="e">
        <f ca="1">_xll.BDH($C$328,"INV_TO_CASH_DAYS","FQ1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29" s="5" t="e">
        <f ca="1">_xll.BDH($C$328,"BS_INVENTORIES","FQ1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29" s="3" t="e">
        <f ca="1">_xll.BDH($C$328,"INVTRY_RAW_MATERIALS","FQ1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29" s="3" t="e">
        <f ca="1">_xll.BDH($C$328,"INVTRY_IN_PROGRESS","FQ1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29" s="3" t="e">
        <f ca="1">_xll.BDH($C$328,"INVTRY_FINISHED_GOODS","FQ1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29" s="3" t="e">
        <f ca="1">_xll.BDH($C$328,"BS_OTHER_INV","FQ1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30" spans="1:113" x14ac:dyDescent="0.3">
      <c r="A330" s="6"/>
      <c r="B330" s="6"/>
      <c r="C330" s="6"/>
      <c r="D330" s="6"/>
      <c r="E330" t="s">
        <v>79</v>
      </c>
      <c r="F330" t="e">
        <f ca="1">_xll.BDH($C$328,"RETURN_COM_EQY","FQ2 2014","FQ2 2014","Currency=INR","Period=FQ","BEST_FPERIOD_OVERRIDE=FQ","FILING_STATUS=OR","EQY_CONSOLIDATED=Y","FA_ADJUSTED=GAAP","Sort=A","Dates=H","DateFormat=P","Fill=—","Direction=H","UseDPDF=Y")</f>
        <v>#NAME?</v>
      </c>
      <c r="G330" t="e">
        <f ca="1">_xll.BDH($C$328,"RETURN_ON_ASSET","FQ2 2014","FQ2 2014","Currency=INR","Period=FQ","BEST_FPERIOD_OVERRIDE=FQ","FILING_STATUS=OR","EQY_CONSOLIDATED=Y","FA_ADJUSTED=GAAP","Sort=A","Dates=H","DateFormat=P","Fill=—","Direction=H","UseDPDF=Y")</f>
        <v>#NAME?</v>
      </c>
      <c r="H330" t="e">
        <f ca="1">_xll.BDH($C$328,"RETURN_ON_CAP","FQ2 2014","FQ2 2014","Currency=INR","Period=FQ","BEST_FPERIOD_OVERRIDE=FQ","FILING_STATUS=OR","EQY_CONSOLIDATED=Y","FA_ADJUSTED=GAAP","Sort=A","Dates=H","DateFormat=P","Fill=—","Direction=H","UseDPDF=Y")</f>
        <v>#NAME?</v>
      </c>
      <c r="I330" t="e">
        <f ca="1">_xll.BDH($C$328,"RETURN_ON_INV_CAPITAL","FQ2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30" t="e">
        <f ca="1">_xll.BDH($C$328,"EBITDA_TO_REVENUE","FQ2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30" t="e">
        <f ca="1">_xll.BDH($C$328,"OPER_MARGIN","FQ2 2014","FQ2 2014","Currency=INR","Period=FQ","BEST_FPERIOD_OVERRIDE=FQ","FILING_STATUS=OR","EQY_CONSOLIDATED=Y","FA_ADJUSTED=GAAP","Sort=A","Dates=H","DateFormat=P","Fill=—","Direction=H","UseDPDF=Y")</f>
        <v>#NAME?</v>
      </c>
      <c r="L330" t="e">
        <f ca="1">_xll.BDH($C$328,"INCREMENTAL_OPERATING_MARGIN","FQ2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30" t="e">
        <f ca="1">_xll.BDH($C$328,"PRETAX_INC_TO_NET_SALES","FQ2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30" t="e">
        <f ca="1">_xll.BDH($C$328,"INC_BEF_XO_ITEMS_TO_NET_SALES","FQ2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30" t="e">
        <f ca="1">_xll.BDH($C$328,"PROF_MARGIN","FQ2 2014","FQ2 2014","Currency=INR","Period=FQ","BEST_FPERIOD_OVERRIDE=FQ","FILING_STATUS=OR","EQY_CONSOLIDATED=Y","FA_ADJUSTED=GAAP","Sort=A","Dates=H","DateFormat=P","Fill=—","Direction=H","UseDPDF=Y")</f>
        <v>#NAME?</v>
      </c>
      <c r="P330" t="e">
        <f ca="1">_xll.BDH($C$328,"NET_INCOME_TO_COMMON_MARGIN","FQ2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30" t="e">
        <f ca="1">_xll.BDH($C$328,"EFF_TAX_RATE","FQ2 2014","FQ2 2014","Currency=INR","Period=FQ","BEST_FPERIOD_OVERRIDE=FQ","FILING_STATUS=OR","EQY_CONSOLIDATED=Y","FA_ADJUSTED=GAAP","Sort=A","Dates=H","DateFormat=P","Fill=—","Direction=H","UseDPDF=Y")</f>
        <v>#NAME?</v>
      </c>
      <c r="R330" t="e">
        <f ca="1">_xll.BDH($C$328,"DVD_PAYOUT_RATIO","FQ2 2014","FQ2 2014","Currency=INR","Period=FQ","BEST_FPERIOD_OVERRIDE=FQ","FILING_STATUS=OR","EQY_CONSOLIDATED=Y","FA_ADJUSTED=GAAP","Sort=A","Dates=H","DateFormat=P","Fill=—","Direction=H","UseDPDF=Y")</f>
        <v>#NAME?</v>
      </c>
      <c r="S330" t="e">
        <f ca="1">_xll.BDH($C$328,"SUSTAIN_GROWTH_RT","FQ2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30" s="2" t="e">
        <f ca="1">_xll.BDH($C$328,"SALES_GROWTH","FQ2 2014","FQ2 2014","Currency=INR","Period=FQ","BEST_FPERIOD_OVERRIDE=FQ","FILING_STATUS=OR","EQY_CONSOLIDATED=Y","FA_ADJUSTED=GAAP","Sort=A","Dates=H","DateFormat=P","Fill=—","Direction=H","UseDPDF=Y")</f>
        <v>#NAME?</v>
      </c>
      <c r="U330" s="2" t="e">
        <f ca="1">_xll.BDH($C$328,"EBITDA_GROWTH","FQ2 2014","FQ2 2014","Currency=INR","Period=FQ","BEST_FPERIOD_OVERRIDE=FQ","FILING_STATUS=OR","EQY_CONSOLIDATED=Y","FA_ADJUSTED=GAAP","Sort=A","Dates=H","DateFormat=P","Fill=—","Direction=H","UseDPDF=Y")</f>
        <v>#NAME?</v>
      </c>
      <c r="V330" s="2" t="e">
        <f ca="1">_xll.BDH($C$328,"OPER_INC_GROWTH","FQ2 2014","FQ2 2014","Currency=INR","Period=FQ","BEST_FPERIOD_OVERRIDE=FQ","FILING_STATUS=OR","EQY_CONSOLIDATED=Y","FA_ADJUSTED=GAAP","Sort=A","Dates=H","DateFormat=P","Fill=—","Direction=H","UseDPDF=Y")</f>
        <v>#NAME?</v>
      </c>
      <c r="W330" s="2" t="e">
        <f ca="1">_xll.BDH($C$328,"EARN_FOR_COM_GROWTH","FQ2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30" s="2" t="e">
        <f ca="1">_xll.BDH($C$328,"DILUTED_EPS_AFT_XO_ITEMS_GROWTH","FQ2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30" s="2" t="e">
        <f ca="1">_xll.BDH($C$328,"DIVIDEND_PER_SHARE_1_YEAR_GROWTH","FQ2 2014","FQ2 2014","Currency=INR","Period=FQ","BEST_FPERIOD_OVERRIDE=FQ","FILING_STATUS=OR","EQY_CONSOLIDATED=Y","Sort=A","Dates=H","DateFormat=P","Fill=—","Direction=H","UseDPDF=Y")</f>
        <v>#NAME?</v>
      </c>
      <c r="Z330" s="2" t="e">
        <f ca="1">_xll.BDH($C$328,"ACCOUNTS_RECEIVABLE_GROWTH","FQ2 2014","FQ2 2014","Currency=INR","Period=FQ","BEST_FPERIOD_OVERRIDE=FQ","FILING_STATUS=OR","EQY_CONSOLIDATED=Y","Sort=A","Dates=H","DateFormat=P","Fill=—","Direction=H","UseDPDF=Y")</f>
        <v>#NAME?</v>
      </c>
      <c r="AA330" s="2" t="e">
        <f ca="1">_xll.BDH($C$328,"INVENTORY_GROWTH","FQ2 2014","FQ2 2014","Currency=INR","Period=FQ","BEST_FPERIOD_OVERRIDE=FQ","FILING_STATUS=OR","EQY_CONSOLIDATED=Y","Sort=A","Dates=H","DateFormat=P","Fill=—","Direction=H","UseDPDF=Y")</f>
        <v>#NAME?</v>
      </c>
      <c r="AB330" s="2" t="e">
        <f ca="1">_xll.BDH($C$328,"NET_FIXED_ASSETS_1_YEAR_GROWTH","FQ2 2014","FQ2 2014","Currency=INR","Period=FQ","BEST_FPERIOD_OVERRIDE=FQ","FILING_STATUS=OR","EQY_CONSOLIDATED=Y","Sort=A","Dates=H","DateFormat=P","Fill=—","Direction=H","UseDPDF=Y")</f>
        <v>#NAME?</v>
      </c>
      <c r="AC330" s="2" t="e">
        <f ca="1">_xll.BDH($C$328,"ASSET_GROWTH","FQ2 2014","FQ2 2014","Currency=INR","Period=FQ","BEST_FPERIOD_OVERRIDE=FQ","FILING_STATUS=OR","EQY_CONSOLIDATED=Y","Sort=A","Dates=H","DateFormat=P","Fill=—","Direction=H","UseDPDF=Y")</f>
        <v>#NAME?</v>
      </c>
      <c r="AD330" s="2" t="e">
        <f ca="1">_xll.BDH($C$328,"MODIFIED_WORK_CAP_GROWTH","FQ2 2014","FQ2 2014","Currency=INR","Period=FQ","BEST_FPERIOD_OVERRIDE=FQ","FILING_STATUS=OR","EQY_CONSOLIDATED=Y","Sort=A","Dates=H","DateFormat=P","Fill=—","Direction=H","UseDPDF=Y")</f>
        <v>#NAME?</v>
      </c>
      <c r="AE330" s="2" t="e">
        <f ca="1">_xll.BDH($C$328,"WORK_CAP_GROWTH","FQ2 2014","FQ2 2014","Currency=INR","Period=FQ","BEST_FPERIOD_OVERRIDE=FQ","FILING_STATUS=OR","EQY_CONSOLIDATED=Y","Sort=A","Dates=H","DateFormat=P","Fill=—","Direction=H","UseDPDF=Y")</f>
        <v>#NAME?</v>
      </c>
      <c r="AF330" s="2" t="e">
        <f ca="1">_xll.BDH($C$328,"ACCOUNTS_PAYABLE_GROWTH_1YR","FQ2 2014","FQ2 2014","Currency=INR","Period=FQ","BEST_FPERIOD_OVERRIDE=FQ","FILING_STATUS=OR","EQY_CONSOLIDATED=Y","Sort=A","Dates=H","DateFormat=P","Fill=—","Direction=H","UseDPDF=Y")</f>
        <v>#NAME?</v>
      </c>
      <c r="AG330" s="2" t="e">
        <f ca="1">_xll.BDH($C$328,"SHORT_TERM_DEBT_1_YEAR_GROWTH","FQ2 2014","FQ2 2014","Currency=INR","Period=FQ","BEST_FPERIOD_OVERRIDE=FQ","FILING_STATUS=OR","EQY_CONSOLIDATED=Y","Sort=A","Dates=H","DateFormat=P","Fill=—","Direction=H","UseDPDF=Y")</f>
        <v>#NAME?</v>
      </c>
      <c r="AH330" s="2" t="e">
        <f ca="1">_xll.BDH($C$328,"TOTAL_DEBT_1_YEAR_GROWTH","FQ2 2014","FQ2 2014","Currency=INR","Period=FQ","BEST_FPERIOD_OVERRIDE=FQ","FILING_STATUS=OR","EQY_CONSOLIDATED=Y","Sort=A","Dates=H","DateFormat=P","Fill=—","Direction=H","UseDPDF=Y")</f>
        <v>#NAME?</v>
      </c>
      <c r="AI330" s="2" t="e">
        <f ca="1">_xll.BDH($C$328,"TOTAL_EQUITY_1_YEAR_GROWTH","FQ2 2014","FQ2 2014","Currency=INR","Period=FQ","BEST_FPERIOD_OVERRIDE=FQ","FILING_STATUS=OR","EQY_CONSOLIDATED=Y","Sort=A","Dates=H","DateFormat=P","Fill=—","Direction=H","UseDPDF=Y")</f>
        <v>#NAME?</v>
      </c>
      <c r="AJ330" s="2" t="e">
        <f ca="1">_xll.BDH($C$328,"GROWTH_IN_CAP","FQ2 2014","FQ2 2014","Currency=INR","Period=FQ","BEST_FPERIOD_OVERRIDE=FQ","FILING_STATUS=OR","EQY_CONSOLIDATED=Y","Sort=A","Dates=H","DateFormat=P","Fill=—","Direction=H","UseDPDF=Y")</f>
        <v>#NAME?</v>
      </c>
      <c r="AK330" s="2" t="e">
        <f ca="1">_xll.BDH($C$328,"BVPS_GROWTH","FQ2 2014","FQ2 2014","Currency=INR","Period=FQ","BEST_FPERIOD_OVERRIDE=FQ","FILING_STATUS=OR","EQY_CONSOLIDATED=Y","Sort=A","Dates=H","DateFormat=P","Fill=—","Direction=H","UseDPDF=Y")</f>
        <v>#NAME?</v>
      </c>
      <c r="AL330" s="2" t="e">
        <f ca="1">_xll.BDH($C$328,"CASH_FLOW_GROWTH","FQ2 2014","FQ2 2014","Currency=INR","Period=FQ","BEST_FPERIOD_OVERRIDE=FQ","FILING_STATUS=OR","EQY_CONSOLIDATED=Y","Sort=A","Dates=H","DateFormat=P","Fill=—","Direction=H","UseDPDF=Y")</f>
        <v>#NAME?</v>
      </c>
      <c r="AM330" s="2" t="e">
        <f ca="1">_xll.BDH($C$328,"GEO_GROW_NET_SALES","FQ2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30" s="2" t="e">
        <f ca="1">_xll.BDH($C$328,"GEO_GROW_EBITDA","FQ2 2014","FQ2 2014","Currency=INR","Period=FQ","BEST_FPERIOD_OVERRIDE=FQ","FILING_STATUS=OR","EQY_CONSOLIDATED=Y","FA_ADJUSTED=GAAP","Sort=A","Dates=H","DateFormat=P","Fill=—","Direction=H","UseDPDF=Y")</f>
        <v>#NAME?</v>
      </c>
      <c r="AO330" s="2" t="e">
        <f ca="1">_xll.BDH($C$328,"GEO_GROW_OPER_INC","FQ2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30" s="2" t="e">
        <f ca="1">_xll.BDH($C$328,"NET_INCOME_TO_COMMON_5_YR_GROWTH","FQ2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30" s="2" t="e">
        <f ca="1">_xll.BDH($C$328,"5Y_GEO_GROWTH_DILUTED_EPS","FQ2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30" s="2" t="e">
        <f ca="1">_xll.BDH($C$328,"GEO_GROW_DVD_PER_SH","FQ2 2014","FQ2 2014","Currency=INR","Period=FQ","BEST_FPERIOD_OVERRIDE=FQ","FILING_STATUS=OR","EQY_CONSOLIDATED=Y","Sort=A","Dates=H","DateFormat=P","Fill=—","Direction=H","UseDPDF=Y")</f>
        <v>#NAME?</v>
      </c>
      <c r="AS330" s="2" t="e">
        <f ca="1">_xll.BDH($C$328,"ACCOUNTS_RECEIVABLE_5_YR_GROWTH","FQ2 2014","FQ2 2014","Currency=INR","Period=FQ","BEST_FPERIOD_OVERRIDE=FQ","FILING_STATUS=OR","EQY_CONSOLIDATED=Y","Sort=A","Dates=H","DateFormat=P","Fill=—","Direction=H","UseDPDF=Y")</f>
        <v>#NAME?</v>
      </c>
      <c r="AT330" s="2" t="e">
        <f ca="1">_xll.BDH($C$328,"INVENTORY_5_YEAR_GROWTH","FQ2 2014","FQ2 2014","Currency=INR","Period=FQ","BEST_FPERIOD_OVERRIDE=FQ","FILING_STATUS=OR","EQY_CONSOLIDATED=Y","Sort=A","Dates=H","DateFormat=P","Fill=—","Direction=H","UseDPDF=Y")</f>
        <v>#NAME?</v>
      </c>
      <c r="AU330" s="2" t="e">
        <f ca="1">_xll.BDH($C$328,"NET_FIXED_ASSETS_5_YEAR_GROWTH","FQ2 2014","FQ2 2014","Currency=INR","Period=FQ","BEST_FPERIOD_OVERRIDE=FQ","FILING_STATUS=OR","EQY_CONSOLIDATED=Y","Sort=A","Dates=H","DateFormat=P","Fill=—","Direction=H","UseDPDF=Y")</f>
        <v>#NAME?</v>
      </c>
      <c r="AV330" s="2" t="e">
        <f ca="1">_xll.BDH($C$328,"GEO_GROW_TOT_ASSET","FQ2 2014","FQ2 2014","Currency=INR","Period=FQ","BEST_FPERIOD_OVERRIDE=FQ","FILING_STATUS=OR","EQY_CONSOLIDATED=Y","Sort=A","Dates=H","DateFormat=P","Fill=—","Direction=H","UseDPDF=Y")</f>
        <v>#NAME?</v>
      </c>
      <c r="AW330" s="2" t="e">
        <f ca="1">_xll.BDH($C$328,"MODIFIED_WORKING_CPTL_5YR_GRWTH","FQ2 2014","FQ2 2014","Currency=INR","Period=FQ","BEST_FPERIOD_OVERRIDE=FQ","FILING_STATUS=OR","EQY_CONSOLIDATED=Y","Sort=A","Dates=H","DateFormat=P","Fill=—","Direction=H","UseDPDF=Y")</f>
        <v>#NAME?</v>
      </c>
      <c r="AX330" s="2" t="e">
        <f ca="1">_xll.BDH($C$328,"WORKING_CAPITAL_5_YEAR_GROWTH","FQ2 2014","FQ2 2014","Currency=INR","Period=FQ","BEST_FPERIOD_OVERRIDE=FQ","FILING_STATUS=OR","EQY_CONSOLIDATED=Y","Sort=A","Dates=H","DateFormat=P","Fill=—","Direction=H","UseDPDF=Y")</f>
        <v>#NAME?</v>
      </c>
      <c r="AY330" s="2" t="e">
        <f ca="1">_xll.BDH($C$328,"ACCOUNTS_PAYABLE_5_YEAR_GROWTH","FQ2 2014","FQ2 2014","Currency=INR","Period=FQ","BEST_FPERIOD_OVERRIDE=FQ","FILING_STATUS=OR","EQY_CONSOLIDATED=Y","Sort=A","Dates=H","DateFormat=P","Fill=—","Direction=H","UseDPDF=Y")</f>
        <v>#NAME?</v>
      </c>
      <c r="AZ330" s="2" t="e">
        <f ca="1">_xll.BDH($C$328,"SHORT_TERM_DEBT_5_YEAR_GROWTH","FQ2 2014","FQ2 2014","Currency=INR","Period=FQ","BEST_FPERIOD_OVERRIDE=FQ","FILING_STATUS=OR","EQY_CONSOLIDATED=Y","Sort=A","Dates=H","DateFormat=P","Fill=—","Direction=H","UseDPDF=Y")</f>
        <v>#NAME?</v>
      </c>
      <c r="BA330" s="2" t="e">
        <f ca="1">_xll.BDH($C$328,"TOTAL_DEBT_5_YEAR_GROWTH","FQ2 2014","FQ2 2014","Currency=INR","Period=FQ","BEST_FPERIOD_OVERRIDE=FQ","FILING_STATUS=OR","EQY_CONSOLIDATED=Y","Sort=A","Dates=H","DateFormat=P","Fill=—","Direction=H","UseDPDF=Y")</f>
        <v>#NAME?</v>
      </c>
      <c r="BB330" s="2" t="e">
        <f ca="1">_xll.BDH($C$328,"GEO_GROW_TOT_SHRHLDR_EQY","FQ2 2014","FQ2 2014","Currency=INR","Period=FQ","BEST_FPERIOD_OVERRIDE=FQ","FILING_STATUS=OR","EQY_CONSOLIDATED=Y","Sort=A","Dates=H","DateFormat=P","Fill=—","Direction=H","UseDPDF=Y")</f>
        <v>#NAME?</v>
      </c>
      <c r="BC330" s="2" t="e">
        <f ca="1">_xll.BDH($C$328,"TOTAL_CAPITAL_5_YEAR_GROWTH","FQ2 2014","FQ2 2014","Currency=INR","Period=FQ","BEST_FPERIOD_OVERRIDE=FQ","FILING_STATUS=OR","EQY_CONSOLIDATED=Y","Sort=A","Dates=H","DateFormat=P","Fill=—","Direction=H","UseDPDF=Y")</f>
        <v>#NAME?</v>
      </c>
      <c r="BD330" s="2" t="e">
        <f ca="1">_xll.BDH($C$328,"GEO_GROW_BOOK_VAL","FQ2 2014","FQ2 2014","Currency=INR","Period=FQ","BEST_FPERIOD_OVERRIDE=FQ","FILING_STATUS=OR","EQY_CONSOLIDATED=Y","Sort=A","Dates=H","DateFormat=P","Fill=—","Direction=H","UseDPDF=Y")</f>
        <v>#NAME?</v>
      </c>
      <c r="BE330" s="2" t="e">
        <f ca="1">_xll.BDH($C$328,"GEO_GROW_CASH_OPER_ACT","FQ2 2014","FQ2 2014","Currency=INR","Period=FQ","BEST_FPERIOD_OVERRIDE=FQ","FILING_STATUS=OR","EQY_CONSOLIDATED=Y","Sort=A","Dates=H","DateFormat=P","Fill=—","Direction=H","UseDPDF=Y")</f>
        <v>#NAME?</v>
      </c>
      <c r="BF330" s="2" t="e">
        <f ca="1">_xll.BDH($C$328,"REVENUE_SEQUENTIAL_GROWTH","FQ2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30" s="2" t="e">
        <f ca="1">_xll.BDH($C$328,"EBITDA_SEQUENTIAL_GROWTH","FQ2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30" s="2" t="e">
        <f ca="1">_xll.BDH($C$328,"OPERATING_INCOME_SEQ_GROWTH","FQ2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30" s="2" t="e">
        <f ca="1">_xll.BDH($C$328,"NET_INCOME_TO_COMMON_SEQ_GROWTH","FQ2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30" s="2" t="e">
        <f ca="1">_xll.BDH($C$328,"EPS_DILUTED_SEQUENTIAL_GROWTH","FQ2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30" s="2" t="e">
        <f ca="1">_xll.BDH($C$328,"DPS_SEQUENTIAL_GROWTH","FQ2 2014","FQ2 2014","Currency=INR","Period=FQ","BEST_FPERIOD_OVERRIDE=FQ","FILING_STATUS=OR","EQY_CONSOLIDATED=Y","Sort=A","Dates=H","DateFormat=P","Fill=—","Direction=H","UseDPDF=Y")</f>
        <v>#NAME?</v>
      </c>
      <c r="BL330" s="2" t="e">
        <f ca="1">_xll.BDH($C$328,"ACCOUNTS_RECEIVABLE_SEQ_GROWTH","FQ2 2014","FQ2 2014","Currency=INR","Period=FQ","BEST_FPERIOD_OVERRIDE=FQ","FILING_STATUS=OR","EQY_CONSOLIDATED=Y","Sort=A","Dates=H","DateFormat=P","Fill=—","Direction=H","UseDPDF=Y")</f>
        <v>#NAME?</v>
      </c>
      <c r="BM330" s="2" t="e">
        <f ca="1">_xll.BDH($C$328,"INVENTORY_SEQUENTIAL_GROWTH","FQ2 2014","FQ2 2014","Currency=INR","Period=FQ","BEST_FPERIOD_OVERRIDE=FQ","FILING_STATUS=OR","EQY_CONSOLIDATED=Y","Sort=A","Dates=H","DateFormat=P","Fill=—","Direction=H","UseDPDF=Y")</f>
        <v>#NAME?</v>
      </c>
      <c r="BN330" s="2" t="e">
        <f ca="1">_xll.BDH($C$328,"FIXED_ASSETS_SEQUENTIAL_GROWTH","FQ2 2014","FQ2 2014","Currency=INR","Period=FQ","BEST_FPERIOD_OVERRIDE=FQ","FILING_STATUS=OR","EQY_CONSOLIDATED=Y","Sort=A","Dates=H","DateFormat=P","Fill=—","Direction=H","UseDPDF=Y")</f>
        <v>#NAME?</v>
      </c>
      <c r="BO330" s="2" t="e">
        <f ca="1">_xll.BDH($C$328,"TOTAL_ASSETS_SEQUENTIAL_GROWTH","FQ2 2014","FQ2 2014","Currency=INR","Period=FQ","BEST_FPERIOD_OVERRIDE=FQ","FILING_STATUS=OR","EQY_CONSOLIDATED=Y","Sort=A","Dates=H","DateFormat=P","Fill=—","Direction=H","UseDPDF=Y")</f>
        <v>#NAME?</v>
      </c>
      <c r="BP330" s="2" t="e">
        <f ca="1">_xll.BDH($C$328,"MODIFIED_WORKING_CPTL_SEQ_GRWTH","FQ2 2014","FQ2 2014","Currency=INR","Period=FQ","BEST_FPERIOD_OVERRIDE=FQ","FILING_STATUS=OR","EQY_CONSOLIDATED=Y","Sort=A","Dates=H","DateFormat=P","Fill=—","Direction=H","UseDPDF=Y")</f>
        <v>#NAME?</v>
      </c>
      <c r="BQ330" s="2" t="e">
        <f ca="1">_xll.BDH($C$328,"WORKING_CAPITAL_SEQ_GROWTH","FQ2 2014","FQ2 2014","Currency=INR","Period=FQ","BEST_FPERIOD_OVERRIDE=FQ","FILING_STATUS=OR","EQY_CONSOLIDATED=Y","Sort=A","Dates=H","DateFormat=P","Fill=—","Direction=H","UseDPDF=Y")</f>
        <v>#NAME?</v>
      </c>
      <c r="BR330" s="2" t="e">
        <f ca="1">_xll.BDH($C$328,"ACCOUNTS_PAYABLE_SEQ_GROWTH","FQ2 2014","FQ2 2014","Currency=INR","Period=FQ","BEST_FPERIOD_OVERRIDE=FQ","FILING_STATUS=OR","EQY_CONSOLIDATED=Y","Sort=A","Dates=H","DateFormat=P","Fill=—","Direction=H","UseDPDF=Y")</f>
        <v>#NAME?</v>
      </c>
      <c r="BS330" s="2" t="e">
        <f ca="1">_xll.BDH($C$328,"ST_DEBT_SEQUENTIAL_GROWTH","FQ2 2014","FQ2 2014","Currency=INR","Period=FQ","BEST_FPERIOD_OVERRIDE=FQ","FILING_STATUS=OR","EQY_CONSOLIDATED=Y","Sort=A","Dates=H","DateFormat=P","Fill=—","Direction=H","UseDPDF=Y")</f>
        <v>#NAME?</v>
      </c>
      <c r="BT330" s="2" t="e">
        <f ca="1">_xll.BDH($C$328,"TOTAL_DEBT_SEQUENTIAL_GROWTH","FQ2 2014","FQ2 2014","Currency=INR","Period=FQ","BEST_FPERIOD_OVERRIDE=FQ","FILING_STATUS=OR","EQY_CONSOLIDATED=Y","Sort=A","Dates=H","DateFormat=P","Fill=—","Direction=H","UseDPDF=Y")</f>
        <v>#NAME?</v>
      </c>
      <c r="BU330" s="2" t="e">
        <f ca="1">_xll.BDH($C$328,"TOTAL_EQUITY_SEQUENTIAL_GROWTH","FQ2 2014","FQ2 2014","Currency=INR","Period=FQ","BEST_FPERIOD_OVERRIDE=FQ","FILING_STATUS=OR","EQY_CONSOLIDATED=Y","Sort=A","Dates=H","DateFormat=P","Fill=—","Direction=H","UseDPDF=Y")</f>
        <v>#NAME?</v>
      </c>
      <c r="BV330" s="2" t="e">
        <f ca="1">_xll.BDH($C$328,"TOTAL_CAPITAL_SEQUENTIAL_GROWTH","FQ2 2014","FQ2 2014","Currency=INR","Period=FQ","BEST_FPERIOD_OVERRIDE=FQ","FILING_STATUS=OR","EQY_CONSOLIDATED=Y","Sort=A","Dates=H","DateFormat=P","Fill=—","Direction=H","UseDPDF=Y")</f>
        <v>#NAME?</v>
      </c>
      <c r="BW330" s="2" t="e">
        <f ca="1">_xll.BDH($C$328,"BPS_SEQUENTIAL_GROWTH","FQ2 2014","FQ2 2014","Currency=INR","Period=FQ","BEST_FPERIOD_OVERRIDE=FQ","FILING_STATUS=OR","EQY_CONSOLIDATED=Y","Sort=A","Dates=H","DateFormat=P","Fill=—","Direction=H","UseDPDF=Y")</f>
        <v>#NAME?</v>
      </c>
      <c r="BX330" s="2" t="e">
        <f ca="1">_xll.BDH($C$328,"CFO_SEQUENTIAL_GROWTH","FQ2 2014","FQ2 2014","Currency=INR","Period=FQ","BEST_FPERIOD_OVERRIDE=FQ","FILING_STATUS=OR","EQY_CONSOLIDATED=Y","Sort=A","Dates=H","DateFormat=P","Fill=—","Direction=H","UseDPDF=Y")</f>
        <v>#NAME?</v>
      </c>
      <c r="BY330" s="3" t="e">
        <f ca="1">_xll.BDH($C$328,"SHORT_AND_LONG_TERM_DEBT","FQ2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30" s="3" t="e">
        <f ca="1">_xll.BDH($C$328,"BS_ST_BORROW","FQ2 2014","FQ2 2014","Currency=INR","Period=FQ","BEST_FPERIOD_OVERRIDE=FQ","FILING_STATUS=OR","EQY_CONSOLIDATED=Y","SCALING_FORMAT=MLN","Sort=A","Dates=H","DateFormat=P","Fill=—","Direction=H","UseDPDF=Y")</f>
        <v>#NAME?</v>
      </c>
      <c r="CA330" s="3" t="e">
        <f ca="1">_xll.BDH($C$328,"BS_LT_BORROW","FQ2 2014","FQ2 2014","Currency=INR","Period=FQ","BEST_FPERIOD_OVERRIDE=FQ","FILING_STATUS=OR","EQY_CONSOLIDATED=Y","SCALING_FORMAT=MLN","Sort=A","Dates=H","DateFormat=P","Fill=—","Direction=H","UseDPDF=Y")</f>
        <v>#NAME?</v>
      </c>
      <c r="CB330" s="2" t="e">
        <f ca="1">_xll.BDH($C$328,"TOT_DEBT_TO_EBITDA","FQ2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30" s="2" t="e">
        <f ca="1">_xll.BDH($C$328,"NET_DEBT_TO_EBITDA","FQ2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30" s="2" t="e">
        <f ca="1">_xll.BDH($C$328,"TOTAL_DEBT_TO_EBIT","FQ2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30" s="2" t="e">
        <f ca="1">_xll.BDH($C$328,"NET_DEBT_TO_EBIT","FQ2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30" s="2" t="e">
        <f ca="1">_xll.BDH($C$328,"EBITDA_TO_INTEREST_EXPN","FQ2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30" s="2" t="e">
        <f ca="1">_xll.BDH($C$328,"COM_EQY_TO_TOT_ASSET","FQ2 2014","FQ2 2014","Currency=INR","Period=FQ","BEST_FPERIOD_OVERRIDE=FQ","FILING_STATUS=OR","EQY_CONSOLIDATED=Y","Sort=A","Dates=H","DateFormat=P","Fill=—","Direction=H","UseDPDF=Y")</f>
        <v>#NAME?</v>
      </c>
      <c r="CH330" s="2" t="e">
        <f ca="1">_xll.BDH($C$328,"LT_DEBT_TO_TOT_EQY","FQ2 2014","FQ2 2014","Currency=INR","Period=FQ","BEST_FPERIOD_OVERRIDE=FQ","FILING_STATUS=OR","EQY_CONSOLIDATED=Y","Sort=A","Dates=H","DateFormat=P","Fill=—","Direction=H","UseDPDF=Y")</f>
        <v>#NAME?</v>
      </c>
      <c r="CI330" s="2" t="e">
        <f ca="1">_xll.BDH($C$328,"LT_DEBT_TO_TOT_CAP","FQ2 2014","FQ2 2014","Currency=INR","Period=FQ","BEST_FPERIOD_OVERRIDE=FQ","FILING_STATUS=OR","EQY_CONSOLIDATED=Y","Sort=A","Dates=H","DateFormat=P","Fill=—","Direction=H","UseDPDF=Y")</f>
        <v>#NAME?</v>
      </c>
      <c r="CJ330" s="2" t="e">
        <f ca="1">_xll.BDH($C$328,"LT_DEBT_TO_TOT_ASSET","FQ2 2014","FQ2 2014","Currency=INR","Period=FQ","BEST_FPERIOD_OVERRIDE=FQ","FILING_STATUS=OR","EQY_CONSOLIDATED=Y","Sort=A","Dates=H","DateFormat=P","Fill=—","Direction=H","UseDPDF=Y")</f>
        <v>#NAME?</v>
      </c>
      <c r="CK330" s="2" t="e">
        <f ca="1">_xll.BDH($C$328,"TOT_DEBT_TO_TOT_EQY","FQ2 2014","FQ2 2014","Currency=INR","Period=FQ","BEST_FPERIOD_OVERRIDE=FQ","FILING_STATUS=OR","EQY_CONSOLIDATED=Y","Sort=A","Dates=H","DateFormat=P","Fill=—","Direction=H","UseDPDF=Y")</f>
        <v>#NAME?</v>
      </c>
      <c r="CL330" s="2" t="e">
        <f ca="1">_xll.BDH($C$328,"TOT_DEBT_TO_TOT_CAP","FQ2 2014","FQ2 2014","Currency=INR","Period=FQ","BEST_FPERIOD_OVERRIDE=FQ","FILING_STATUS=OR","EQY_CONSOLIDATED=Y","Sort=A","Dates=H","DateFormat=P","Fill=—","Direction=H","UseDPDF=Y")</f>
        <v>#NAME?</v>
      </c>
      <c r="CM330" s="2" t="e">
        <f ca="1">_xll.BDH($C$328,"TOT_DEBT_TO_TOT_ASSET","FQ2 2014","FQ2 2014","Currency=INR","Period=FQ","BEST_FPERIOD_OVERRIDE=FQ","FILING_STATUS=OR","EQY_CONSOLIDATED=Y","Sort=A","Dates=H","DateFormat=P","Fill=—","Direction=H","UseDPDF=Y")</f>
        <v>#NAME?</v>
      </c>
      <c r="CN330" s="2" t="e">
        <f ca="1">_xll.BDH($C$328,"NET_DEBT_TO_SHRHLDR_EQTY","FQ2 2014","FQ2 2014","Currency=INR","Period=FQ","BEST_FPERIOD_OVERRIDE=FQ","FILING_STATUS=OR","EQY_CONSOLIDATED=Y","Sort=A","Dates=H","DateFormat=P","Fill=—","Direction=H","UseDPDF=Y")</f>
        <v>#NAME?</v>
      </c>
      <c r="CO330" s="2" t="e">
        <f ca="1">_xll.BDH($C$328,"NET_DEBT_%_CAPITAL","FQ2 2014","FQ2 2014","Currency=INR","Period=FQ","BEST_FPERIOD_OVERRIDE=FQ","FILING_STATUS=OR","EQY_CONSOLIDATED=Y","Sort=A","Dates=H","DateFormat=P","Fill=—","Direction=H","UseDPDF=Y")</f>
        <v>#NAME?</v>
      </c>
      <c r="CP330" s="3" t="e">
        <f ca="1">_xll.BDH($C$328,"EBITDA","FQ2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30" s="3" t="e">
        <f ca="1">_xll.BDH($C$328,"EBITDA_AFTER_CAPEX","FQ2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30" s="3" t="e">
        <f ca="1">_xll.BDH($C$328,"IS_OPER_INC","FQ2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30" s="2" t="e">
        <f ca="1">_xll.BDH($C$328,"CASH_RATIO","FQ2 2014","FQ2 2014","Currency=INR","Period=FQ","BEST_FPERIOD_OVERRIDE=FQ","FILING_STATUS=OR","EQY_CONSOLIDATED=Y","Sort=A","Dates=H","DateFormat=P","Fill=—","Direction=H","UseDPDF=Y")</f>
        <v>#NAME?</v>
      </c>
      <c r="CT330" s="2" t="e">
        <f ca="1">_xll.BDH($C$328,"CUR_RATIO","FQ2 2014","FQ2 2014","Currency=INR","Period=FQ","BEST_FPERIOD_OVERRIDE=FQ","FILING_STATUS=OR","EQY_CONSOLIDATED=Y","Sort=A","Dates=H","DateFormat=P","Fill=—","Direction=H","UseDPDF=Y")</f>
        <v>#NAME?</v>
      </c>
      <c r="CU330" s="2" t="e">
        <f ca="1">_xll.BDH($C$328,"QUICK_RATIO","FQ2 2014","FQ2 2014","Currency=INR","Period=FQ","BEST_FPERIOD_OVERRIDE=FQ","FILING_STATUS=OR","EQY_CONSOLIDATED=Y","Sort=A","Dates=H","DateFormat=P","Fill=—","Direction=H","UseDPDF=Y")</f>
        <v>#NAME?</v>
      </c>
      <c r="CV330" s="2" t="e">
        <f ca="1">_xll.BDH($C$328,"ALTMAN_Z_SCORE","FQ2 2014","FQ2 2014","Currency=INR","Period=FQ","BEST_FPERIOD_OVERRIDE=FQ","FILING_STATUS=OR","EQY_CONSOLIDATED=Y","Sort=A","Dates=H","DateFormat=P","Fill=—","Direction=H","UseDPDF=Y")</f>
        <v>#NAME?</v>
      </c>
      <c r="CW330" s="4" t="e">
        <f ca="1">_xll.BDH($C$328,"ACCT_RCV_TURN","FQ2 2014","FQ2 2014","Currency=INR","Period=FQ","BEST_FPERIOD_OVERRIDE=FQ","FILING_STATUS=OR","EQY_CONSOLIDATED=Y","FA_ADJUSTED=GAAP","Sort=A","Dates=H","DateFormat=P","Fill=—","Direction=H","UseDPDF=Y")</f>
        <v>#NAME?</v>
      </c>
      <c r="CX330" s="2" t="e">
        <f ca="1">_xll.BDH($C$328,"ACCT_RCV_DAYS","FQ2 2014","FQ2 2014","Currency=INR","Period=FQ","BEST_FPERIOD_OVERRIDE=FQ","FILING_STATUS=OR","EQY_CONSOLIDATED=Y","FA_ADJUSTED=GAAP","Sort=A","Dates=H","DateFormat=P","Fill=—","Direction=H","UseDPDF=Y")</f>
        <v>#NAME?</v>
      </c>
      <c r="CY330" s="4" t="e">
        <f ca="1">_xll.BDH($C$328,"INVENT_TURN","FQ2 2014","FQ2 2014","Currency=INR","Period=FQ","BEST_FPERIOD_OVERRIDE=FQ","FILING_STATUS=OR","EQY_CONSOLIDATED=Y","FA_ADJUSTED=GAAP","Sort=A","Dates=H","DateFormat=P","Fill=—","Direction=H","UseDPDF=Y")</f>
        <v>#NAME?</v>
      </c>
      <c r="CZ330" s="2" t="e">
        <f ca="1">_xll.BDH($C$328,"INVENT_DAYS","FQ2 2014","FQ2 2014","Currency=INR","Period=FQ","BEST_FPERIOD_OVERRIDE=FQ","FILING_STATUS=OR","EQY_CONSOLIDATED=Y","FA_ADJUSTED=GAAP","Sort=A","Dates=H","DateFormat=P","Fill=—","Direction=H","UseDPDF=Y")</f>
        <v>#NAME?</v>
      </c>
      <c r="DA330" s="4" t="e">
        <f ca="1">_xll.BDH($C$328,"ACCOUNTS_PAYABLE_TURNOVER","FQ2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30" s="2" t="e">
        <f ca="1">_xll.BDH($C$328,"ACCOUNTS_PAYABLE_TURNOVER_DAYS","FQ2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30" s="4" t="e">
        <f ca="1">_xll.BDH($C$328,"CASH_CONVERSION_CYCLE","FQ2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30" s="4" t="e">
        <f ca="1">_xll.BDH($C$328,"INV_TO_CASH_DAYS","FQ2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30" s="5" t="e">
        <f ca="1">_xll.BDH($C$328,"BS_INVENTORIES","FQ2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30" s="3" t="e">
        <f ca="1">_xll.BDH($C$328,"INVTRY_RAW_MATERIALS","FQ2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30" s="3" t="e">
        <f ca="1">_xll.BDH($C$328,"INVTRY_IN_PROGRESS","FQ2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30" s="3" t="e">
        <f ca="1">_xll.BDH($C$328,"INVTRY_FINISHED_GOODS","FQ2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30" s="3" t="e">
        <f ca="1">_xll.BDH($C$328,"BS_OTHER_INV","FQ2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31" spans="1:113" x14ac:dyDescent="0.3">
      <c r="A331" s="6"/>
      <c r="B331" s="6"/>
      <c r="C331" s="6"/>
      <c r="D331" s="6"/>
      <c r="E331" t="s">
        <v>80</v>
      </c>
      <c r="F331" t="e">
        <f ca="1">_xll.BDH($C$328,"RETURN_COM_EQY","FQ3 2014","FQ3 2014","Currency=INR","Period=FQ","BEST_FPERIOD_OVERRIDE=FQ","FILING_STATUS=OR","EQY_CONSOLIDATED=Y","FA_ADJUSTED=GAAP","Sort=A","Dates=H","DateFormat=P","Fill=—","Direction=H","UseDPDF=Y")</f>
        <v>#NAME?</v>
      </c>
      <c r="G331" t="e">
        <f ca="1">_xll.BDH($C$328,"RETURN_ON_ASSET","FQ3 2014","FQ3 2014","Currency=INR","Period=FQ","BEST_FPERIOD_OVERRIDE=FQ","FILING_STATUS=OR","EQY_CONSOLIDATED=Y","FA_ADJUSTED=GAAP","Sort=A","Dates=H","DateFormat=P","Fill=—","Direction=H","UseDPDF=Y")</f>
        <v>#NAME?</v>
      </c>
      <c r="H331" t="e">
        <f ca="1">_xll.BDH($C$328,"RETURN_ON_CAP","FQ3 2014","FQ3 2014","Currency=INR","Period=FQ","BEST_FPERIOD_OVERRIDE=FQ","FILING_STATUS=OR","EQY_CONSOLIDATED=Y","FA_ADJUSTED=GAAP","Sort=A","Dates=H","DateFormat=P","Fill=—","Direction=H","UseDPDF=Y")</f>
        <v>#NAME?</v>
      </c>
      <c r="I331" t="e">
        <f ca="1">_xll.BDH($C$328,"RETURN_ON_INV_CAPITAL","FQ3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31" t="e">
        <f ca="1">_xll.BDH($C$328,"EBITDA_TO_REVENUE","FQ3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31" t="e">
        <f ca="1">_xll.BDH($C$328,"OPER_MARGIN","FQ3 2014","FQ3 2014","Currency=INR","Period=FQ","BEST_FPERIOD_OVERRIDE=FQ","FILING_STATUS=OR","EQY_CONSOLIDATED=Y","FA_ADJUSTED=GAAP","Sort=A","Dates=H","DateFormat=P","Fill=—","Direction=H","UseDPDF=Y")</f>
        <v>#NAME?</v>
      </c>
      <c r="L331" t="e">
        <f ca="1">_xll.BDH($C$328,"INCREMENTAL_OPERATING_MARGIN","FQ3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31" t="e">
        <f ca="1">_xll.BDH($C$328,"PRETAX_INC_TO_NET_SALES","FQ3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31" t="e">
        <f ca="1">_xll.BDH($C$328,"INC_BEF_XO_ITEMS_TO_NET_SALES","FQ3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31" t="e">
        <f ca="1">_xll.BDH($C$328,"PROF_MARGIN","FQ3 2014","FQ3 2014","Currency=INR","Period=FQ","BEST_FPERIOD_OVERRIDE=FQ","FILING_STATUS=OR","EQY_CONSOLIDATED=Y","FA_ADJUSTED=GAAP","Sort=A","Dates=H","DateFormat=P","Fill=—","Direction=H","UseDPDF=Y")</f>
        <v>#NAME?</v>
      </c>
      <c r="P331" t="e">
        <f ca="1">_xll.BDH($C$328,"NET_INCOME_TO_COMMON_MARGIN","FQ3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31" t="e">
        <f ca="1">_xll.BDH($C$328,"EFF_TAX_RATE","FQ3 2014","FQ3 2014","Currency=INR","Period=FQ","BEST_FPERIOD_OVERRIDE=FQ","FILING_STATUS=OR","EQY_CONSOLIDATED=Y","FA_ADJUSTED=GAAP","Sort=A","Dates=H","DateFormat=P","Fill=—","Direction=H","UseDPDF=Y")</f>
        <v>#NAME?</v>
      </c>
      <c r="R331" t="e">
        <f ca="1">_xll.BDH($C$328,"DVD_PAYOUT_RATIO","FQ3 2014","FQ3 2014","Currency=INR","Period=FQ","BEST_FPERIOD_OVERRIDE=FQ","FILING_STATUS=OR","EQY_CONSOLIDATED=Y","FA_ADJUSTED=GAAP","Sort=A","Dates=H","DateFormat=P","Fill=—","Direction=H","UseDPDF=Y")</f>
        <v>#NAME?</v>
      </c>
      <c r="S331" t="e">
        <f ca="1">_xll.BDH($C$328,"SUSTAIN_GROWTH_RT","FQ3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31" s="2" t="e">
        <f ca="1">_xll.BDH($C$328,"SALES_GROWTH","FQ3 2014","FQ3 2014","Currency=INR","Period=FQ","BEST_FPERIOD_OVERRIDE=FQ","FILING_STATUS=OR","EQY_CONSOLIDATED=Y","FA_ADJUSTED=GAAP","Sort=A","Dates=H","DateFormat=P","Fill=—","Direction=H","UseDPDF=Y")</f>
        <v>#NAME?</v>
      </c>
      <c r="U331" s="2" t="e">
        <f ca="1">_xll.BDH($C$328,"EBITDA_GROWTH","FQ3 2014","FQ3 2014","Currency=INR","Period=FQ","BEST_FPERIOD_OVERRIDE=FQ","FILING_STATUS=OR","EQY_CONSOLIDATED=Y","FA_ADJUSTED=GAAP","Sort=A","Dates=H","DateFormat=P","Fill=—","Direction=H","UseDPDF=Y")</f>
        <v>#NAME?</v>
      </c>
      <c r="V331" s="2" t="e">
        <f ca="1">_xll.BDH($C$328,"OPER_INC_GROWTH","FQ3 2014","FQ3 2014","Currency=INR","Period=FQ","BEST_FPERIOD_OVERRIDE=FQ","FILING_STATUS=OR","EQY_CONSOLIDATED=Y","FA_ADJUSTED=GAAP","Sort=A","Dates=H","DateFormat=P","Fill=—","Direction=H","UseDPDF=Y")</f>
        <v>#NAME?</v>
      </c>
      <c r="W331" s="2" t="e">
        <f ca="1">_xll.BDH($C$328,"EARN_FOR_COM_GROWTH","FQ3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31" s="2" t="e">
        <f ca="1">_xll.BDH($C$328,"DILUTED_EPS_AFT_XO_ITEMS_GROWTH","FQ3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31" s="2" t="e">
        <f ca="1">_xll.BDH($C$328,"DIVIDEND_PER_SHARE_1_YEAR_GROWTH","FQ3 2014","FQ3 2014","Currency=INR","Period=FQ","BEST_FPERIOD_OVERRIDE=FQ","FILING_STATUS=OR","EQY_CONSOLIDATED=Y","Sort=A","Dates=H","DateFormat=P","Fill=—","Direction=H","UseDPDF=Y")</f>
        <v>#NAME?</v>
      </c>
      <c r="Z331" s="2" t="e">
        <f ca="1">_xll.BDH($C$328,"ACCOUNTS_RECEIVABLE_GROWTH","FQ3 2014","FQ3 2014","Currency=INR","Period=FQ","BEST_FPERIOD_OVERRIDE=FQ","FILING_STATUS=OR","EQY_CONSOLIDATED=Y","Sort=A","Dates=H","DateFormat=P","Fill=—","Direction=H","UseDPDF=Y")</f>
        <v>#NAME?</v>
      </c>
      <c r="AA331" s="2" t="e">
        <f ca="1">_xll.BDH($C$328,"INVENTORY_GROWTH","FQ3 2014","FQ3 2014","Currency=INR","Period=FQ","BEST_FPERIOD_OVERRIDE=FQ","FILING_STATUS=OR","EQY_CONSOLIDATED=Y","Sort=A","Dates=H","DateFormat=P","Fill=—","Direction=H","UseDPDF=Y")</f>
        <v>#NAME?</v>
      </c>
      <c r="AB331" s="2" t="e">
        <f ca="1">_xll.BDH($C$328,"NET_FIXED_ASSETS_1_YEAR_GROWTH","FQ3 2014","FQ3 2014","Currency=INR","Period=FQ","BEST_FPERIOD_OVERRIDE=FQ","FILING_STATUS=OR","EQY_CONSOLIDATED=Y","Sort=A","Dates=H","DateFormat=P","Fill=—","Direction=H","UseDPDF=Y")</f>
        <v>#NAME?</v>
      </c>
      <c r="AC331" s="2" t="e">
        <f ca="1">_xll.BDH($C$328,"ASSET_GROWTH","FQ3 2014","FQ3 2014","Currency=INR","Period=FQ","BEST_FPERIOD_OVERRIDE=FQ","FILING_STATUS=OR","EQY_CONSOLIDATED=Y","Sort=A","Dates=H","DateFormat=P","Fill=—","Direction=H","UseDPDF=Y")</f>
        <v>#NAME?</v>
      </c>
      <c r="AD331" s="2" t="e">
        <f ca="1">_xll.BDH($C$328,"MODIFIED_WORK_CAP_GROWTH","FQ3 2014","FQ3 2014","Currency=INR","Period=FQ","BEST_FPERIOD_OVERRIDE=FQ","FILING_STATUS=OR","EQY_CONSOLIDATED=Y","Sort=A","Dates=H","DateFormat=P","Fill=—","Direction=H","UseDPDF=Y")</f>
        <v>#NAME?</v>
      </c>
      <c r="AE331" s="2" t="e">
        <f ca="1">_xll.BDH($C$328,"WORK_CAP_GROWTH","FQ3 2014","FQ3 2014","Currency=INR","Period=FQ","BEST_FPERIOD_OVERRIDE=FQ","FILING_STATUS=OR","EQY_CONSOLIDATED=Y","Sort=A","Dates=H","DateFormat=P","Fill=—","Direction=H","UseDPDF=Y")</f>
        <v>#NAME?</v>
      </c>
      <c r="AF331" s="2" t="e">
        <f ca="1">_xll.BDH($C$328,"ACCOUNTS_PAYABLE_GROWTH_1YR","FQ3 2014","FQ3 2014","Currency=INR","Period=FQ","BEST_FPERIOD_OVERRIDE=FQ","FILING_STATUS=OR","EQY_CONSOLIDATED=Y","Sort=A","Dates=H","DateFormat=P","Fill=—","Direction=H","UseDPDF=Y")</f>
        <v>#NAME?</v>
      </c>
      <c r="AG331" s="2" t="e">
        <f ca="1">_xll.BDH($C$328,"SHORT_TERM_DEBT_1_YEAR_GROWTH","FQ3 2014","FQ3 2014","Currency=INR","Period=FQ","BEST_FPERIOD_OVERRIDE=FQ","FILING_STATUS=OR","EQY_CONSOLIDATED=Y","Sort=A","Dates=H","DateFormat=P","Fill=—","Direction=H","UseDPDF=Y")</f>
        <v>#NAME?</v>
      </c>
      <c r="AH331" s="2" t="e">
        <f ca="1">_xll.BDH($C$328,"TOTAL_DEBT_1_YEAR_GROWTH","FQ3 2014","FQ3 2014","Currency=INR","Period=FQ","BEST_FPERIOD_OVERRIDE=FQ","FILING_STATUS=OR","EQY_CONSOLIDATED=Y","Sort=A","Dates=H","DateFormat=P","Fill=—","Direction=H","UseDPDF=Y")</f>
        <v>#NAME?</v>
      </c>
      <c r="AI331" s="2" t="e">
        <f ca="1">_xll.BDH($C$328,"TOTAL_EQUITY_1_YEAR_GROWTH","FQ3 2014","FQ3 2014","Currency=INR","Period=FQ","BEST_FPERIOD_OVERRIDE=FQ","FILING_STATUS=OR","EQY_CONSOLIDATED=Y","Sort=A","Dates=H","DateFormat=P","Fill=—","Direction=H","UseDPDF=Y")</f>
        <v>#NAME?</v>
      </c>
      <c r="AJ331" s="2" t="e">
        <f ca="1">_xll.BDH($C$328,"GROWTH_IN_CAP","FQ3 2014","FQ3 2014","Currency=INR","Period=FQ","BEST_FPERIOD_OVERRIDE=FQ","FILING_STATUS=OR","EQY_CONSOLIDATED=Y","Sort=A","Dates=H","DateFormat=P","Fill=—","Direction=H","UseDPDF=Y")</f>
        <v>#NAME?</v>
      </c>
      <c r="AK331" s="2" t="e">
        <f ca="1">_xll.BDH($C$328,"BVPS_GROWTH","FQ3 2014","FQ3 2014","Currency=INR","Period=FQ","BEST_FPERIOD_OVERRIDE=FQ","FILING_STATUS=OR","EQY_CONSOLIDATED=Y","Sort=A","Dates=H","DateFormat=P","Fill=—","Direction=H","UseDPDF=Y")</f>
        <v>#NAME?</v>
      </c>
      <c r="AL331" s="2" t="e">
        <f ca="1">_xll.BDH($C$328,"CASH_FLOW_GROWTH","FQ3 2014","FQ3 2014","Currency=INR","Period=FQ","BEST_FPERIOD_OVERRIDE=FQ","FILING_STATUS=OR","EQY_CONSOLIDATED=Y","Sort=A","Dates=H","DateFormat=P","Fill=—","Direction=H","UseDPDF=Y")</f>
        <v>#NAME?</v>
      </c>
      <c r="AM331" s="2" t="e">
        <f ca="1">_xll.BDH($C$328,"GEO_GROW_NET_SALES","FQ3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31" s="2" t="e">
        <f ca="1">_xll.BDH($C$328,"GEO_GROW_EBITDA","FQ3 2014","FQ3 2014","Currency=INR","Period=FQ","BEST_FPERIOD_OVERRIDE=FQ","FILING_STATUS=OR","EQY_CONSOLIDATED=Y","FA_ADJUSTED=GAAP","Sort=A","Dates=H","DateFormat=P","Fill=—","Direction=H","UseDPDF=Y")</f>
        <v>#NAME?</v>
      </c>
      <c r="AO331" s="2" t="e">
        <f ca="1">_xll.BDH($C$328,"GEO_GROW_OPER_INC","FQ3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31" s="2" t="e">
        <f ca="1">_xll.BDH($C$328,"NET_INCOME_TO_COMMON_5_YR_GROWTH","FQ3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31" s="2" t="e">
        <f ca="1">_xll.BDH($C$328,"5Y_GEO_GROWTH_DILUTED_EPS","FQ3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31" s="2" t="e">
        <f ca="1">_xll.BDH($C$328,"GEO_GROW_DVD_PER_SH","FQ3 2014","FQ3 2014","Currency=INR","Period=FQ","BEST_FPERIOD_OVERRIDE=FQ","FILING_STATUS=OR","EQY_CONSOLIDATED=Y","Sort=A","Dates=H","DateFormat=P","Fill=—","Direction=H","UseDPDF=Y")</f>
        <v>#NAME?</v>
      </c>
      <c r="AS331" s="2" t="e">
        <f ca="1">_xll.BDH($C$328,"ACCOUNTS_RECEIVABLE_5_YR_GROWTH","FQ3 2014","FQ3 2014","Currency=INR","Period=FQ","BEST_FPERIOD_OVERRIDE=FQ","FILING_STATUS=OR","EQY_CONSOLIDATED=Y","Sort=A","Dates=H","DateFormat=P","Fill=—","Direction=H","UseDPDF=Y")</f>
        <v>#NAME?</v>
      </c>
      <c r="AT331" s="2" t="e">
        <f ca="1">_xll.BDH($C$328,"INVENTORY_5_YEAR_GROWTH","FQ3 2014","FQ3 2014","Currency=INR","Period=FQ","BEST_FPERIOD_OVERRIDE=FQ","FILING_STATUS=OR","EQY_CONSOLIDATED=Y","Sort=A","Dates=H","DateFormat=P","Fill=—","Direction=H","UseDPDF=Y")</f>
        <v>#NAME?</v>
      </c>
      <c r="AU331" s="2" t="e">
        <f ca="1">_xll.BDH($C$328,"NET_FIXED_ASSETS_5_YEAR_GROWTH","FQ3 2014","FQ3 2014","Currency=INR","Period=FQ","BEST_FPERIOD_OVERRIDE=FQ","FILING_STATUS=OR","EQY_CONSOLIDATED=Y","Sort=A","Dates=H","DateFormat=P","Fill=—","Direction=H","UseDPDF=Y")</f>
        <v>#NAME?</v>
      </c>
      <c r="AV331" s="2" t="e">
        <f ca="1">_xll.BDH($C$328,"GEO_GROW_TOT_ASSET","FQ3 2014","FQ3 2014","Currency=INR","Period=FQ","BEST_FPERIOD_OVERRIDE=FQ","FILING_STATUS=OR","EQY_CONSOLIDATED=Y","Sort=A","Dates=H","DateFormat=P","Fill=—","Direction=H","UseDPDF=Y")</f>
        <v>#NAME?</v>
      </c>
      <c r="AW331" s="2" t="e">
        <f ca="1">_xll.BDH($C$328,"MODIFIED_WORKING_CPTL_5YR_GRWTH","FQ3 2014","FQ3 2014","Currency=INR","Period=FQ","BEST_FPERIOD_OVERRIDE=FQ","FILING_STATUS=OR","EQY_CONSOLIDATED=Y","Sort=A","Dates=H","DateFormat=P","Fill=—","Direction=H","UseDPDF=Y")</f>
        <v>#NAME?</v>
      </c>
      <c r="AX331" s="2" t="e">
        <f ca="1">_xll.BDH($C$328,"WORKING_CAPITAL_5_YEAR_GROWTH","FQ3 2014","FQ3 2014","Currency=INR","Period=FQ","BEST_FPERIOD_OVERRIDE=FQ","FILING_STATUS=OR","EQY_CONSOLIDATED=Y","Sort=A","Dates=H","DateFormat=P","Fill=—","Direction=H","UseDPDF=Y")</f>
        <v>#NAME?</v>
      </c>
      <c r="AY331" s="2" t="e">
        <f ca="1">_xll.BDH($C$328,"ACCOUNTS_PAYABLE_5_YEAR_GROWTH","FQ3 2014","FQ3 2014","Currency=INR","Period=FQ","BEST_FPERIOD_OVERRIDE=FQ","FILING_STATUS=OR","EQY_CONSOLIDATED=Y","Sort=A","Dates=H","DateFormat=P","Fill=—","Direction=H","UseDPDF=Y")</f>
        <v>#NAME?</v>
      </c>
      <c r="AZ331" s="2" t="e">
        <f ca="1">_xll.BDH($C$328,"SHORT_TERM_DEBT_5_YEAR_GROWTH","FQ3 2014","FQ3 2014","Currency=INR","Period=FQ","BEST_FPERIOD_OVERRIDE=FQ","FILING_STATUS=OR","EQY_CONSOLIDATED=Y","Sort=A","Dates=H","DateFormat=P","Fill=—","Direction=H","UseDPDF=Y")</f>
        <v>#NAME?</v>
      </c>
      <c r="BA331" s="2" t="e">
        <f ca="1">_xll.BDH($C$328,"TOTAL_DEBT_5_YEAR_GROWTH","FQ3 2014","FQ3 2014","Currency=INR","Period=FQ","BEST_FPERIOD_OVERRIDE=FQ","FILING_STATUS=OR","EQY_CONSOLIDATED=Y","Sort=A","Dates=H","DateFormat=P","Fill=—","Direction=H","UseDPDF=Y")</f>
        <v>#NAME?</v>
      </c>
      <c r="BB331" s="2" t="e">
        <f ca="1">_xll.BDH($C$328,"GEO_GROW_TOT_SHRHLDR_EQY","FQ3 2014","FQ3 2014","Currency=INR","Period=FQ","BEST_FPERIOD_OVERRIDE=FQ","FILING_STATUS=OR","EQY_CONSOLIDATED=Y","Sort=A","Dates=H","DateFormat=P","Fill=—","Direction=H","UseDPDF=Y")</f>
        <v>#NAME?</v>
      </c>
      <c r="BC331" s="2" t="e">
        <f ca="1">_xll.BDH($C$328,"TOTAL_CAPITAL_5_YEAR_GROWTH","FQ3 2014","FQ3 2014","Currency=INR","Period=FQ","BEST_FPERIOD_OVERRIDE=FQ","FILING_STATUS=OR","EQY_CONSOLIDATED=Y","Sort=A","Dates=H","DateFormat=P","Fill=—","Direction=H","UseDPDF=Y")</f>
        <v>#NAME?</v>
      </c>
      <c r="BD331" s="2" t="e">
        <f ca="1">_xll.BDH($C$328,"GEO_GROW_BOOK_VAL","FQ3 2014","FQ3 2014","Currency=INR","Period=FQ","BEST_FPERIOD_OVERRIDE=FQ","FILING_STATUS=OR","EQY_CONSOLIDATED=Y","Sort=A","Dates=H","DateFormat=P","Fill=—","Direction=H","UseDPDF=Y")</f>
        <v>#NAME?</v>
      </c>
      <c r="BE331" s="2" t="e">
        <f ca="1">_xll.BDH($C$328,"GEO_GROW_CASH_OPER_ACT","FQ3 2014","FQ3 2014","Currency=INR","Period=FQ","BEST_FPERIOD_OVERRIDE=FQ","FILING_STATUS=OR","EQY_CONSOLIDATED=Y","Sort=A","Dates=H","DateFormat=P","Fill=—","Direction=H","UseDPDF=Y")</f>
        <v>#NAME?</v>
      </c>
      <c r="BF331" s="2" t="e">
        <f ca="1">_xll.BDH($C$328,"REVENUE_SEQUENTIAL_GROWTH","FQ3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31" s="2" t="e">
        <f ca="1">_xll.BDH($C$328,"EBITDA_SEQUENTIAL_GROWTH","FQ3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31" s="2" t="e">
        <f ca="1">_xll.BDH($C$328,"OPERATING_INCOME_SEQ_GROWTH","FQ3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31" s="2" t="e">
        <f ca="1">_xll.BDH($C$328,"NET_INCOME_TO_COMMON_SEQ_GROWTH","FQ3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31" s="2" t="e">
        <f ca="1">_xll.BDH($C$328,"EPS_DILUTED_SEQUENTIAL_GROWTH","FQ3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31" s="2" t="e">
        <f ca="1">_xll.BDH($C$328,"DPS_SEQUENTIAL_GROWTH","FQ3 2014","FQ3 2014","Currency=INR","Period=FQ","BEST_FPERIOD_OVERRIDE=FQ","FILING_STATUS=OR","EQY_CONSOLIDATED=Y","Sort=A","Dates=H","DateFormat=P","Fill=—","Direction=H","UseDPDF=Y")</f>
        <v>#NAME?</v>
      </c>
      <c r="BL331" s="2" t="e">
        <f ca="1">_xll.BDH($C$328,"ACCOUNTS_RECEIVABLE_SEQ_GROWTH","FQ3 2014","FQ3 2014","Currency=INR","Period=FQ","BEST_FPERIOD_OVERRIDE=FQ","FILING_STATUS=OR","EQY_CONSOLIDATED=Y","Sort=A","Dates=H","DateFormat=P","Fill=—","Direction=H","UseDPDF=Y")</f>
        <v>#NAME?</v>
      </c>
      <c r="BM331" s="2" t="e">
        <f ca="1">_xll.BDH($C$328,"INVENTORY_SEQUENTIAL_GROWTH","FQ3 2014","FQ3 2014","Currency=INR","Period=FQ","BEST_FPERIOD_OVERRIDE=FQ","FILING_STATUS=OR","EQY_CONSOLIDATED=Y","Sort=A","Dates=H","DateFormat=P","Fill=—","Direction=H","UseDPDF=Y")</f>
        <v>#NAME?</v>
      </c>
      <c r="BN331" s="2" t="e">
        <f ca="1">_xll.BDH($C$328,"FIXED_ASSETS_SEQUENTIAL_GROWTH","FQ3 2014","FQ3 2014","Currency=INR","Period=FQ","BEST_FPERIOD_OVERRIDE=FQ","FILING_STATUS=OR","EQY_CONSOLIDATED=Y","Sort=A","Dates=H","DateFormat=P","Fill=—","Direction=H","UseDPDF=Y")</f>
        <v>#NAME?</v>
      </c>
      <c r="BO331" s="2" t="e">
        <f ca="1">_xll.BDH($C$328,"TOTAL_ASSETS_SEQUENTIAL_GROWTH","FQ3 2014","FQ3 2014","Currency=INR","Period=FQ","BEST_FPERIOD_OVERRIDE=FQ","FILING_STATUS=OR","EQY_CONSOLIDATED=Y","Sort=A","Dates=H","DateFormat=P","Fill=—","Direction=H","UseDPDF=Y")</f>
        <v>#NAME?</v>
      </c>
      <c r="BP331" s="2" t="e">
        <f ca="1">_xll.BDH($C$328,"MODIFIED_WORKING_CPTL_SEQ_GRWTH","FQ3 2014","FQ3 2014","Currency=INR","Period=FQ","BEST_FPERIOD_OVERRIDE=FQ","FILING_STATUS=OR","EQY_CONSOLIDATED=Y","Sort=A","Dates=H","DateFormat=P","Fill=—","Direction=H","UseDPDF=Y")</f>
        <v>#NAME?</v>
      </c>
      <c r="BQ331" s="2" t="e">
        <f ca="1">_xll.BDH($C$328,"WORKING_CAPITAL_SEQ_GROWTH","FQ3 2014","FQ3 2014","Currency=INR","Period=FQ","BEST_FPERIOD_OVERRIDE=FQ","FILING_STATUS=OR","EQY_CONSOLIDATED=Y","Sort=A","Dates=H","DateFormat=P","Fill=—","Direction=H","UseDPDF=Y")</f>
        <v>#NAME?</v>
      </c>
      <c r="BR331" s="2" t="e">
        <f ca="1">_xll.BDH($C$328,"ACCOUNTS_PAYABLE_SEQ_GROWTH","FQ3 2014","FQ3 2014","Currency=INR","Period=FQ","BEST_FPERIOD_OVERRIDE=FQ","FILING_STATUS=OR","EQY_CONSOLIDATED=Y","Sort=A","Dates=H","DateFormat=P","Fill=—","Direction=H","UseDPDF=Y")</f>
        <v>#NAME?</v>
      </c>
      <c r="BS331" s="2" t="e">
        <f ca="1">_xll.BDH($C$328,"ST_DEBT_SEQUENTIAL_GROWTH","FQ3 2014","FQ3 2014","Currency=INR","Period=FQ","BEST_FPERIOD_OVERRIDE=FQ","FILING_STATUS=OR","EQY_CONSOLIDATED=Y","Sort=A","Dates=H","DateFormat=P","Fill=—","Direction=H","UseDPDF=Y")</f>
        <v>#NAME?</v>
      </c>
      <c r="BT331" s="2" t="e">
        <f ca="1">_xll.BDH($C$328,"TOTAL_DEBT_SEQUENTIAL_GROWTH","FQ3 2014","FQ3 2014","Currency=INR","Period=FQ","BEST_FPERIOD_OVERRIDE=FQ","FILING_STATUS=OR","EQY_CONSOLIDATED=Y","Sort=A","Dates=H","DateFormat=P","Fill=—","Direction=H","UseDPDF=Y")</f>
        <v>#NAME?</v>
      </c>
      <c r="BU331" s="2" t="e">
        <f ca="1">_xll.BDH($C$328,"TOTAL_EQUITY_SEQUENTIAL_GROWTH","FQ3 2014","FQ3 2014","Currency=INR","Period=FQ","BEST_FPERIOD_OVERRIDE=FQ","FILING_STATUS=OR","EQY_CONSOLIDATED=Y","Sort=A","Dates=H","DateFormat=P","Fill=—","Direction=H","UseDPDF=Y")</f>
        <v>#NAME?</v>
      </c>
      <c r="BV331" s="2" t="e">
        <f ca="1">_xll.BDH($C$328,"TOTAL_CAPITAL_SEQUENTIAL_GROWTH","FQ3 2014","FQ3 2014","Currency=INR","Period=FQ","BEST_FPERIOD_OVERRIDE=FQ","FILING_STATUS=OR","EQY_CONSOLIDATED=Y","Sort=A","Dates=H","DateFormat=P","Fill=—","Direction=H","UseDPDF=Y")</f>
        <v>#NAME?</v>
      </c>
      <c r="BW331" s="2" t="e">
        <f ca="1">_xll.BDH($C$328,"BPS_SEQUENTIAL_GROWTH","FQ3 2014","FQ3 2014","Currency=INR","Period=FQ","BEST_FPERIOD_OVERRIDE=FQ","FILING_STATUS=OR","EQY_CONSOLIDATED=Y","Sort=A","Dates=H","DateFormat=P","Fill=—","Direction=H","UseDPDF=Y")</f>
        <v>#NAME?</v>
      </c>
      <c r="BX331" s="2" t="e">
        <f ca="1">_xll.BDH($C$328,"CFO_SEQUENTIAL_GROWTH","FQ3 2014","FQ3 2014","Currency=INR","Period=FQ","BEST_FPERIOD_OVERRIDE=FQ","FILING_STATUS=OR","EQY_CONSOLIDATED=Y","Sort=A","Dates=H","DateFormat=P","Fill=—","Direction=H","UseDPDF=Y")</f>
        <v>#NAME?</v>
      </c>
      <c r="BY331" s="3" t="e">
        <f ca="1">_xll.BDH($C$328,"SHORT_AND_LONG_TERM_DEBT","FQ3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31" s="3" t="e">
        <f ca="1">_xll.BDH($C$328,"BS_ST_BORROW","FQ3 2014","FQ3 2014","Currency=INR","Period=FQ","BEST_FPERIOD_OVERRIDE=FQ","FILING_STATUS=OR","EQY_CONSOLIDATED=Y","SCALING_FORMAT=MLN","Sort=A","Dates=H","DateFormat=P","Fill=—","Direction=H","UseDPDF=Y")</f>
        <v>#NAME?</v>
      </c>
      <c r="CA331" s="3" t="e">
        <f ca="1">_xll.BDH($C$328,"BS_LT_BORROW","FQ3 2014","FQ3 2014","Currency=INR","Period=FQ","BEST_FPERIOD_OVERRIDE=FQ","FILING_STATUS=OR","EQY_CONSOLIDATED=Y","SCALING_FORMAT=MLN","Sort=A","Dates=H","DateFormat=P","Fill=—","Direction=H","UseDPDF=Y")</f>
        <v>#NAME?</v>
      </c>
      <c r="CB331" s="2" t="e">
        <f ca="1">_xll.BDH($C$328,"TOT_DEBT_TO_EBITDA","FQ3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31" s="2" t="e">
        <f ca="1">_xll.BDH($C$328,"NET_DEBT_TO_EBITDA","FQ3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31" s="2" t="e">
        <f ca="1">_xll.BDH($C$328,"TOTAL_DEBT_TO_EBIT","FQ3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31" s="2" t="e">
        <f ca="1">_xll.BDH($C$328,"NET_DEBT_TO_EBIT","FQ3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31" s="2" t="e">
        <f ca="1">_xll.BDH($C$328,"EBITDA_TO_INTEREST_EXPN","FQ3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31" s="2" t="e">
        <f ca="1">_xll.BDH($C$328,"COM_EQY_TO_TOT_ASSET","FQ3 2014","FQ3 2014","Currency=INR","Period=FQ","BEST_FPERIOD_OVERRIDE=FQ","FILING_STATUS=OR","EQY_CONSOLIDATED=Y","Sort=A","Dates=H","DateFormat=P","Fill=—","Direction=H","UseDPDF=Y")</f>
        <v>#NAME?</v>
      </c>
      <c r="CH331" s="2" t="e">
        <f ca="1">_xll.BDH($C$328,"LT_DEBT_TO_TOT_EQY","FQ3 2014","FQ3 2014","Currency=INR","Period=FQ","BEST_FPERIOD_OVERRIDE=FQ","FILING_STATUS=OR","EQY_CONSOLIDATED=Y","Sort=A","Dates=H","DateFormat=P","Fill=—","Direction=H","UseDPDF=Y")</f>
        <v>#NAME?</v>
      </c>
      <c r="CI331" s="2" t="e">
        <f ca="1">_xll.BDH($C$328,"LT_DEBT_TO_TOT_CAP","FQ3 2014","FQ3 2014","Currency=INR","Period=FQ","BEST_FPERIOD_OVERRIDE=FQ","FILING_STATUS=OR","EQY_CONSOLIDATED=Y","Sort=A","Dates=H","DateFormat=P","Fill=—","Direction=H","UseDPDF=Y")</f>
        <v>#NAME?</v>
      </c>
      <c r="CJ331" s="2" t="e">
        <f ca="1">_xll.BDH($C$328,"LT_DEBT_TO_TOT_ASSET","FQ3 2014","FQ3 2014","Currency=INR","Period=FQ","BEST_FPERIOD_OVERRIDE=FQ","FILING_STATUS=OR","EQY_CONSOLIDATED=Y","Sort=A","Dates=H","DateFormat=P","Fill=—","Direction=H","UseDPDF=Y")</f>
        <v>#NAME?</v>
      </c>
      <c r="CK331" s="2" t="e">
        <f ca="1">_xll.BDH($C$328,"TOT_DEBT_TO_TOT_EQY","FQ3 2014","FQ3 2014","Currency=INR","Period=FQ","BEST_FPERIOD_OVERRIDE=FQ","FILING_STATUS=OR","EQY_CONSOLIDATED=Y","Sort=A","Dates=H","DateFormat=P","Fill=—","Direction=H","UseDPDF=Y")</f>
        <v>#NAME?</v>
      </c>
      <c r="CL331" s="2" t="e">
        <f ca="1">_xll.BDH($C$328,"TOT_DEBT_TO_TOT_CAP","FQ3 2014","FQ3 2014","Currency=INR","Period=FQ","BEST_FPERIOD_OVERRIDE=FQ","FILING_STATUS=OR","EQY_CONSOLIDATED=Y","Sort=A","Dates=H","DateFormat=P","Fill=—","Direction=H","UseDPDF=Y")</f>
        <v>#NAME?</v>
      </c>
      <c r="CM331" s="2" t="e">
        <f ca="1">_xll.BDH($C$328,"TOT_DEBT_TO_TOT_ASSET","FQ3 2014","FQ3 2014","Currency=INR","Period=FQ","BEST_FPERIOD_OVERRIDE=FQ","FILING_STATUS=OR","EQY_CONSOLIDATED=Y","Sort=A","Dates=H","DateFormat=P","Fill=—","Direction=H","UseDPDF=Y")</f>
        <v>#NAME?</v>
      </c>
      <c r="CN331" s="2" t="e">
        <f ca="1">_xll.BDH($C$328,"NET_DEBT_TO_SHRHLDR_EQTY","FQ3 2014","FQ3 2014","Currency=INR","Period=FQ","BEST_FPERIOD_OVERRIDE=FQ","FILING_STATUS=OR","EQY_CONSOLIDATED=Y","Sort=A","Dates=H","DateFormat=P","Fill=—","Direction=H","UseDPDF=Y")</f>
        <v>#NAME?</v>
      </c>
      <c r="CO331" s="2" t="e">
        <f ca="1">_xll.BDH($C$328,"NET_DEBT_%_CAPITAL","FQ3 2014","FQ3 2014","Currency=INR","Period=FQ","BEST_FPERIOD_OVERRIDE=FQ","FILING_STATUS=OR","EQY_CONSOLIDATED=Y","Sort=A","Dates=H","DateFormat=P","Fill=—","Direction=H","UseDPDF=Y")</f>
        <v>#NAME?</v>
      </c>
      <c r="CP331" s="3" t="e">
        <f ca="1">_xll.BDH($C$328,"EBITDA","FQ3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31" s="3" t="e">
        <f ca="1">_xll.BDH($C$328,"EBITDA_AFTER_CAPEX","FQ3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31" s="3" t="e">
        <f ca="1">_xll.BDH($C$328,"IS_OPER_INC","FQ3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31" s="2" t="e">
        <f ca="1">_xll.BDH($C$328,"CASH_RATIO","FQ3 2014","FQ3 2014","Currency=INR","Period=FQ","BEST_FPERIOD_OVERRIDE=FQ","FILING_STATUS=OR","EQY_CONSOLIDATED=Y","Sort=A","Dates=H","DateFormat=P","Fill=—","Direction=H","UseDPDF=Y")</f>
        <v>#NAME?</v>
      </c>
      <c r="CT331" s="2" t="e">
        <f ca="1">_xll.BDH($C$328,"CUR_RATIO","FQ3 2014","FQ3 2014","Currency=INR","Period=FQ","BEST_FPERIOD_OVERRIDE=FQ","FILING_STATUS=OR","EQY_CONSOLIDATED=Y","Sort=A","Dates=H","DateFormat=P","Fill=—","Direction=H","UseDPDF=Y")</f>
        <v>#NAME?</v>
      </c>
      <c r="CU331" s="2" t="e">
        <f ca="1">_xll.BDH($C$328,"QUICK_RATIO","FQ3 2014","FQ3 2014","Currency=INR","Period=FQ","BEST_FPERIOD_OVERRIDE=FQ","FILING_STATUS=OR","EQY_CONSOLIDATED=Y","Sort=A","Dates=H","DateFormat=P","Fill=—","Direction=H","UseDPDF=Y")</f>
        <v>#NAME?</v>
      </c>
      <c r="CV331" s="2" t="e">
        <f ca="1">_xll.BDH($C$328,"ALTMAN_Z_SCORE","FQ3 2014","FQ3 2014","Currency=INR","Period=FQ","BEST_FPERIOD_OVERRIDE=FQ","FILING_STATUS=OR","EQY_CONSOLIDATED=Y","Sort=A","Dates=H","DateFormat=P","Fill=—","Direction=H","UseDPDF=Y")</f>
        <v>#NAME?</v>
      </c>
      <c r="CW331" s="4" t="e">
        <f ca="1">_xll.BDH($C$328,"ACCT_RCV_TURN","FQ3 2014","FQ3 2014","Currency=INR","Period=FQ","BEST_FPERIOD_OVERRIDE=FQ","FILING_STATUS=OR","EQY_CONSOLIDATED=Y","FA_ADJUSTED=GAAP","Sort=A","Dates=H","DateFormat=P","Fill=—","Direction=H","UseDPDF=Y")</f>
        <v>#NAME?</v>
      </c>
      <c r="CX331" s="2" t="e">
        <f ca="1">_xll.BDH($C$328,"ACCT_RCV_DAYS","FQ3 2014","FQ3 2014","Currency=INR","Period=FQ","BEST_FPERIOD_OVERRIDE=FQ","FILING_STATUS=OR","EQY_CONSOLIDATED=Y","FA_ADJUSTED=GAAP","Sort=A","Dates=H","DateFormat=P","Fill=—","Direction=H","UseDPDF=Y")</f>
        <v>#NAME?</v>
      </c>
      <c r="CY331" s="4" t="e">
        <f ca="1">_xll.BDH($C$328,"INVENT_TURN","FQ3 2014","FQ3 2014","Currency=INR","Period=FQ","BEST_FPERIOD_OVERRIDE=FQ","FILING_STATUS=OR","EQY_CONSOLIDATED=Y","FA_ADJUSTED=GAAP","Sort=A","Dates=H","DateFormat=P","Fill=—","Direction=H","UseDPDF=Y")</f>
        <v>#NAME?</v>
      </c>
      <c r="CZ331" s="2" t="e">
        <f ca="1">_xll.BDH($C$328,"INVENT_DAYS","FQ3 2014","FQ3 2014","Currency=INR","Period=FQ","BEST_FPERIOD_OVERRIDE=FQ","FILING_STATUS=OR","EQY_CONSOLIDATED=Y","FA_ADJUSTED=GAAP","Sort=A","Dates=H","DateFormat=P","Fill=—","Direction=H","UseDPDF=Y")</f>
        <v>#NAME?</v>
      </c>
      <c r="DA331" s="4" t="e">
        <f ca="1">_xll.BDH($C$328,"ACCOUNTS_PAYABLE_TURNOVER","FQ3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31" s="2" t="e">
        <f ca="1">_xll.BDH($C$328,"ACCOUNTS_PAYABLE_TURNOVER_DAYS","FQ3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31" s="4" t="e">
        <f ca="1">_xll.BDH($C$328,"CASH_CONVERSION_CYCLE","FQ3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31" s="4" t="e">
        <f ca="1">_xll.BDH($C$328,"INV_TO_CASH_DAYS","FQ3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31" s="5" t="e">
        <f ca="1">_xll.BDH($C$328,"BS_INVENTORIES","FQ3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31" s="3" t="e">
        <f ca="1">_xll.BDH($C$328,"INVTRY_RAW_MATERIALS","FQ3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31" s="3" t="e">
        <f ca="1">_xll.BDH($C$328,"INVTRY_IN_PROGRESS","FQ3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31" s="3" t="e">
        <f ca="1">_xll.BDH($C$328,"INVTRY_FINISHED_GOODS","FQ3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31" s="3" t="e">
        <f ca="1">_xll.BDH($C$328,"BS_OTHER_INV","FQ3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32" spans="1:113" x14ac:dyDescent="0.3">
      <c r="A332" s="6"/>
      <c r="B332" s="6"/>
      <c r="C332" s="6"/>
      <c r="D332" s="6"/>
      <c r="E332" t="s">
        <v>81</v>
      </c>
      <c r="F332" t="e">
        <f ca="1">_xll.BDH($C$328,"RETURN_COM_EQY","FQ4 2014","FQ4 2014","Currency=INR","Period=FQ","BEST_FPERIOD_OVERRIDE=FQ","FILING_STATUS=OR","EQY_CONSOLIDATED=Y","FA_ADJUSTED=GAAP","Sort=A","Dates=H","DateFormat=P","Fill=—","Direction=H","UseDPDF=Y")</f>
        <v>#NAME?</v>
      </c>
      <c r="G332" t="e">
        <f ca="1">_xll.BDH($C$328,"RETURN_ON_ASSET","FQ4 2014","FQ4 2014","Currency=INR","Period=FQ","BEST_FPERIOD_OVERRIDE=FQ","FILING_STATUS=OR","EQY_CONSOLIDATED=Y","FA_ADJUSTED=GAAP","Sort=A","Dates=H","DateFormat=P","Fill=—","Direction=H","UseDPDF=Y")</f>
        <v>#NAME?</v>
      </c>
      <c r="H332" t="e">
        <f ca="1">_xll.BDH($C$328,"RETURN_ON_CAP","FQ4 2014","FQ4 2014","Currency=INR","Period=FQ","BEST_FPERIOD_OVERRIDE=FQ","FILING_STATUS=OR","EQY_CONSOLIDATED=Y","FA_ADJUSTED=GAAP","Sort=A","Dates=H","DateFormat=P","Fill=—","Direction=H","UseDPDF=Y")</f>
        <v>#NAME?</v>
      </c>
      <c r="I332" t="e">
        <f ca="1">_xll.BDH($C$328,"RETURN_ON_INV_CAPITAL","FQ4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32" t="e">
        <f ca="1">_xll.BDH($C$328,"EBITDA_TO_REVENUE","FQ4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32" t="e">
        <f ca="1">_xll.BDH($C$328,"OPER_MARGIN","FQ4 2014","FQ4 2014","Currency=INR","Period=FQ","BEST_FPERIOD_OVERRIDE=FQ","FILING_STATUS=OR","EQY_CONSOLIDATED=Y","FA_ADJUSTED=GAAP","Sort=A","Dates=H","DateFormat=P","Fill=—","Direction=H","UseDPDF=Y")</f>
        <v>#NAME?</v>
      </c>
      <c r="L332" t="e">
        <f ca="1">_xll.BDH($C$328,"INCREMENTAL_OPERATING_MARGIN","FQ4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32" t="e">
        <f ca="1">_xll.BDH($C$328,"PRETAX_INC_TO_NET_SALES","FQ4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32" t="e">
        <f ca="1">_xll.BDH($C$328,"INC_BEF_XO_ITEMS_TO_NET_SALES","FQ4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32" t="e">
        <f ca="1">_xll.BDH($C$328,"PROF_MARGIN","FQ4 2014","FQ4 2014","Currency=INR","Period=FQ","BEST_FPERIOD_OVERRIDE=FQ","FILING_STATUS=OR","EQY_CONSOLIDATED=Y","FA_ADJUSTED=GAAP","Sort=A","Dates=H","DateFormat=P","Fill=—","Direction=H","UseDPDF=Y")</f>
        <v>#NAME?</v>
      </c>
      <c r="P332" t="e">
        <f ca="1">_xll.BDH($C$328,"NET_INCOME_TO_COMMON_MARGIN","FQ4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32" t="e">
        <f ca="1">_xll.BDH($C$328,"EFF_TAX_RATE","FQ4 2014","FQ4 2014","Currency=INR","Period=FQ","BEST_FPERIOD_OVERRIDE=FQ","FILING_STATUS=OR","EQY_CONSOLIDATED=Y","FA_ADJUSTED=GAAP","Sort=A","Dates=H","DateFormat=P","Fill=—","Direction=H","UseDPDF=Y")</f>
        <v>#NAME?</v>
      </c>
      <c r="R332" t="e">
        <f ca="1">_xll.BDH($C$328,"DVD_PAYOUT_RATIO","FQ4 2014","FQ4 2014","Currency=INR","Period=FQ","BEST_FPERIOD_OVERRIDE=FQ","FILING_STATUS=OR","EQY_CONSOLIDATED=Y","FA_ADJUSTED=GAAP","Sort=A","Dates=H","DateFormat=P","Fill=—","Direction=H","UseDPDF=Y")</f>
        <v>#NAME?</v>
      </c>
      <c r="S332" t="e">
        <f ca="1">_xll.BDH($C$328,"SUSTAIN_GROWTH_RT","FQ4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32" s="2" t="e">
        <f ca="1">_xll.BDH($C$328,"SALES_GROWTH","FQ4 2014","FQ4 2014","Currency=INR","Period=FQ","BEST_FPERIOD_OVERRIDE=FQ","FILING_STATUS=OR","EQY_CONSOLIDATED=Y","FA_ADJUSTED=GAAP","Sort=A","Dates=H","DateFormat=P","Fill=—","Direction=H","UseDPDF=Y")</f>
        <v>#NAME?</v>
      </c>
      <c r="U332" s="2" t="e">
        <f ca="1">_xll.BDH($C$328,"EBITDA_GROWTH","FQ4 2014","FQ4 2014","Currency=INR","Period=FQ","BEST_FPERIOD_OVERRIDE=FQ","FILING_STATUS=OR","EQY_CONSOLIDATED=Y","FA_ADJUSTED=GAAP","Sort=A","Dates=H","DateFormat=P","Fill=—","Direction=H","UseDPDF=Y")</f>
        <v>#NAME?</v>
      </c>
      <c r="V332" s="2" t="e">
        <f ca="1">_xll.BDH($C$328,"OPER_INC_GROWTH","FQ4 2014","FQ4 2014","Currency=INR","Period=FQ","BEST_FPERIOD_OVERRIDE=FQ","FILING_STATUS=OR","EQY_CONSOLIDATED=Y","FA_ADJUSTED=GAAP","Sort=A","Dates=H","DateFormat=P","Fill=—","Direction=H","UseDPDF=Y")</f>
        <v>#NAME?</v>
      </c>
      <c r="W332" s="2" t="e">
        <f ca="1">_xll.BDH($C$328,"EARN_FOR_COM_GROWTH","FQ4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32" s="2" t="e">
        <f ca="1">_xll.BDH($C$328,"DILUTED_EPS_AFT_XO_ITEMS_GROWTH","FQ4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32" s="2" t="e">
        <f ca="1">_xll.BDH($C$328,"DIVIDEND_PER_SHARE_1_YEAR_GROWTH","FQ4 2014","FQ4 2014","Currency=INR","Period=FQ","BEST_FPERIOD_OVERRIDE=FQ","FILING_STATUS=OR","EQY_CONSOLIDATED=Y","Sort=A","Dates=H","DateFormat=P","Fill=—","Direction=H","UseDPDF=Y")</f>
        <v>#NAME?</v>
      </c>
      <c r="Z332" s="2" t="e">
        <f ca="1">_xll.BDH($C$328,"ACCOUNTS_RECEIVABLE_GROWTH","FQ4 2014","FQ4 2014","Currency=INR","Period=FQ","BEST_FPERIOD_OVERRIDE=FQ","FILING_STATUS=OR","EQY_CONSOLIDATED=Y","Sort=A","Dates=H","DateFormat=P","Fill=—","Direction=H","UseDPDF=Y")</f>
        <v>#NAME?</v>
      </c>
      <c r="AA332" s="2" t="e">
        <f ca="1">_xll.BDH($C$328,"INVENTORY_GROWTH","FQ4 2014","FQ4 2014","Currency=INR","Period=FQ","BEST_FPERIOD_OVERRIDE=FQ","FILING_STATUS=OR","EQY_CONSOLIDATED=Y","Sort=A","Dates=H","DateFormat=P","Fill=—","Direction=H","UseDPDF=Y")</f>
        <v>#NAME?</v>
      </c>
      <c r="AB332" s="2" t="e">
        <f ca="1">_xll.BDH($C$328,"NET_FIXED_ASSETS_1_YEAR_GROWTH","FQ4 2014","FQ4 2014","Currency=INR","Period=FQ","BEST_FPERIOD_OVERRIDE=FQ","FILING_STATUS=OR","EQY_CONSOLIDATED=Y","Sort=A","Dates=H","DateFormat=P","Fill=—","Direction=H","UseDPDF=Y")</f>
        <v>#NAME?</v>
      </c>
      <c r="AC332" s="2" t="e">
        <f ca="1">_xll.BDH($C$328,"ASSET_GROWTH","FQ4 2014","FQ4 2014","Currency=INR","Period=FQ","BEST_FPERIOD_OVERRIDE=FQ","FILING_STATUS=OR","EQY_CONSOLIDATED=Y","Sort=A","Dates=H","DateFormat=P","Fill=—","Direction=H","UseDPDF=Y")</f>
        <v>#NAME?</v>
      </c>
      <c r="AD332" s="2" t="e">
        <f ca="1">_xll.BDH($C$328,"MODIFIED_WORK_CAP_GROWTH","FQ4 2014","FQ4 2014","Currency=INR","Period=FQ","BEST_FPERIOD_OVERRIDE=FQ","FILING_STATUS=OR","EQY_CONSOLIDATED=Y","Sort=A","Dates=H","DateFormat=P","Fill=—","Direction=H","UseDPDF=Y")</f>
        <v>#NAME?</v>
      </c>
      <c r="AE332" s="2" t="e">
        <f ca="1">_xll.BDH($C$328,"WORK_CAP_GROWTH","FQ4 2014","FQ4 2014","Currency=INR","Period=FQ","BEST_FPERIOD_OVERRIDE=FQ","FILING_STATUS=OR","EQY_CONSOLIDATED=Y","Sort=A","Dates=H","DateFormat=P","Fill=—","Direction=H","UseDPDF=Y")</f>
        <v>#NAME?</v>
      </c>
      <c r="AF332" s="2" t="e">
        <f ca="1">_xll.BDH($C$328,"ACCOUNTS_PAYABLE_GROWTH_1YR","FQ4 2014","FQ4 2014","Currency=INR","Period=FQ","BEST_FPERIOD_OVERRIDE=FQ","FILING_STATUS=OR","EQY_CONSOLIDATED=Y","Sort=A","Dates=H","DateFormat=P","Fill=—","Direction=H","UseDPDF=Y")</f>
        <v>#NAME?</v>
      </c>
      <c r="AG332" s="2" t="e">
        <f ca="1">_xll.BDH($C$328,"SHORT_TERM_DEBT_1_YEAR_GROWTH","FQ4 2014","FQ4 2014","Currency=INR","Period=FQ","BEST_FPERIOD_OVERRIDE=FQ","FILING_STATUS=OR","EQY_CONSOLIDATED=Y","Sort=A","Dates=H","DateFormat=P","Fill=—","Direction=H","UseDPDF=Y")</f>
        <v>#NAME?</v>
      </c>
      <c r="AH332" s="2" t="e">
        <f ca="1">_xll.BDH($C$328,"TOTAL_DEBT_1_YEAR_GROWTH","FQ4 2014","FQ4 2014","Currency=INR","Period=FQ","BEST_FPERIOD_OVERRIDE=FQ","FILING_STATUS=OR","EQY_CONSOLIDATED=Y","Sort=A","Dates=H","DateFormat=P","Fill=—","Direction=H","UseDPDF=Y")</f>
        <v>#NAME?</v>
      </c>
      <c r="AI332" s="2" t="e">
        <f ca="1">_xll.BDH($C$328,"TOTAL_EQUITY_1_YEAR_GROWTH","FQ4 2014","FQ4 2014","Currency=INR","Period=FQ","BEST_FPERIOD_OVERRIDE=FQ","FILING_STATUS=OR","EQY_CONSOLIDATED=Y","Sort=A","Dates=H","DateFormat=P","Fill=—","Direction=H","UseDPDF=Y")</f>
        <v>#NAME?</v>
      </c>
      <c r="AJ332" s="2" t="e">
        <f ca="1">_xll.BDH($C$328,"GROWTH_IN_CAP","FQ4 2014","FQ4 2014","Currency=INR","Period=FQ","BEST_FPERIOD_OVERRIDE=FQ","FILING_STATUS=OR","EQY_CONSOLIDATED=Y","Sort=A","Dates=H","DateFormat=P","Fill=—","Direction=H","UseDPDF=Y")</f>
        <v>#NAME?</v>
      </c>
      <c r="AK332" s="2" t="e">
        <f ca="1">_xll.BDH($C$328,"BVPS_GROWTH","FQ4 2014","FQ4 2014","Currency=INR","Period=FQ","BEST_FPERIOD_OVERRIDE=FQ","FILING_STATUS=OR","EQY_CONSOLIDATED=Y","Sort=A","Dates=H","DateFormat=P","Fill=—","Direction=H","UseDPDF=Y")</f>
        <v>#NAME?</v>
      </c>
      <c r="AL332" s="2" t="e">
        <f ca="1">_xll.BDH($C$328,"CASH_FLOW_GROWTH","FQ4 2014","FQ4 2014","Currency=INR","Period=FQ","BEST_FPERIOD_OVERRIDE=FQ","FILING_STATUS=OR","EQY_CONSOLIDATED=Y","Sort=A","Dates=H","DateFormat=P","Fill=—","Direction=H","UseDPDF=Y")</f>
        <v>#NAME?</v>
      </c>
      <c r="AM332" s="2" t="e">
        <f ca="1">_xll.BDH($C$328,"GEO_GROW_NET_SALES","FQ4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32" s="2" t="e">
        <f ca="1">_xll.BDH($C$328,"GEO_GROW_EBITDA","FQ4 2014","FQ4 2014","Currency=INR","Period=FQ","BEST_FPERIOD_OVERRIDE=FQ","FILING_STATUS=OR","EQY_CONSOLIDATED=Y","FA_ADJUSTED=GAAP","Sort=A","Dates=H","DateFormat=P","Fill=—","Direction=H","UseDPDF=Y")</f>
        <v>#NAME?</v>
      </c>
      <c r="AO332" s="2" t="e">
        <f ca="1">_xll.BDH($C$328,"GEO_GROW_OPER_INC","FQ4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32" s="2" t="e">
        <f ca="1">_xll.BDH($C$328,"NET_INCOME_TO_COMMON_5_YR_GROWTH","FQ4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32" s="2" t="e">
        <f ca="1">_xll.BDH($C$328,"5Y_GEO_GROWTH_DILUTED_EPS","FQ4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32" s="2" t="e">
        <f ca="1">_xll.BDH($C$328,"GEO_GROW_DVD_PER_SH","FQ4 2014","FQ4 2014","Currency=INR","Period=FQ","BEST_FPERIOD_OVERRIDE=FQ","FILING_STATUS=OR","EQY_CONSOLIDATED=Y","Sort=A","Dates=H","DateFormat=P","Fill=—","Direction=H","UseDPDF=Y")</f>
        <v>#NAME?</v>
      </c>
      <c r="AS332" s="2" t="e">
        <f ca="1">_xll.BDH($C$328,"ACCOUNTS_RECEIVABLE_5_YR_GROWTH","FQ4 2014","FQ4 2014","Currency=INR","Period=FQ","BEST_FPERIOD_OVERRIDE=FQ","FILING_STATUS=OR","EQY_CONSOLIDATED=Y","Sort=A","Dates=H","DateFormat=P","Fill=—","Direction=H","UseDPDF=Y")</f>
        <v>#NAME?</v>
      </c>
      <c r="AT332" s="2" t="e">
        <f ca="1">_xll.BDH($C$328,"INVENTORY_5_YEAR_GROWTH","FQ4 2014","FQ4 2014","Currency=INR","Period=FQ","BEST_FPERIOD_OVERRIDE=FQ","FILING_STATUS=OR","EQY_CONSOLIDATED=Y","Sort=A","Dates=H","DateFormat=P","Fill=—","Direction=H","UseDPDF=Y")</f>
        <v>#NAME?</v>
      </c>
      <c r="AU332" s="2" t="e">
        <f ca="1">_xll.BDH($C$328,"NET_FIXED_ASSETS_5_YEAR_GROWTH","FQ4 2014","FQ4 2014","Currency=INR","Period=FQ","BEST_FPERIOD_OVERRIDE=FQ","FILING_STATUS=OR","EQY_CONSOLIDATED=Y","Sort=A","Dates=H","DateFormat=P","Fill=—","Direction=H","UseDPDF=Y")</f>
        <v>#NAME?</v>
      </c>
      <c r="AV332" s="2" t="e">
        <f ca="1">_xll.BDH($C$328,"GEO_GROW_TOT_ASSET","FQ4 2014","FQ4 2014","Currency=INR","Period=FQ","BEST_FPERIOD_OVERRIDE=FQ","FILING_STATUS=OR","EQY_CONSOLIDATED=Y","Sort=A","Dates=H","DateFormat=P","Fill=—","Direction=H","UseDPDF=Y")</f>
        <v>#NAME?</v>
      </c>
      <c r="AW332" s="2" t="e">
        <f ca="1">_xll.BDH($C$328,"MODIFIED_WORKING_CPTL_5YR_GRWTH","FQ4 2014","FQ4 2014","Currency=INR","Period=FQ","BEST_FPERIOD_OVERRIDE=FQ","FILING_STATUS=OR","EQY_CONSOLIDATED=Y","Sort=A","Dates=H","DateFormat=P","Fill=—","Direction=H","UseDPDF=Y")</f>
        <v>#NAME?</v>
      </c>
      <c r="AX332" s="2" t="e">
        <f ca="1">_xll.BDH($C$328,"WORKING_CAPITAL_5_YEAR_GROWTH","FQ4 2014","FQ4 2014","Currency=INR","Period=FQ","BEST_FPERIOD_OVERRIDE=FQ","FILING_STATUS=OR","EQY_CONSOLIDATED=Y","Sort=A","Dates=H","DateFormat=P","Fill=—","Direction=H","UseDPDF=Y")</f>
        <v>#NAME?</v>
      </c>
      <c r="AY332" s="2" t="e">
        <f ca="1">_xll.BDH($C$328,"ACCOUNTS_PAYABLE_5_YEAR_GROWTH","FQ4 2014","FQ4 2014","Currency=INR","Period=FQ","BEST_FPERIOD_OVERRIDE=FQ","FILING_STATUS=OR","EQY_CONSOLIDATED=Y","Sort=A","Dates=H","DateFormat=P","Fill=—","Direction=H","UseDPDF=Y")</f>
        <v>#NAME?</v>
      </c>
      <c r="AZ332" s="2" t="e">
        <f ca="1">_xll.BDH($C$328,"SHORT_TERM_DEBT_5_YEAR_GROWTH","FQ4 2014","FQ4 2014","Currency=INR","Period=FQ","BEST_FPERIOD_OVERRIDE=FQ","FILING_STATUS=OR","EQY_CONSOLIDATED=Y","Sort=A","Dates=H","DateFormat=P","Fill=—","Direction=H","UseDPDF=Y")</f>
        <v>#NAME?</v>
      </c>
      <c r="BA332" s="2" t="e">
        <f ca="1">_xll.BDH($C$328,"TOTAL_DEBT_5_YEAR_GROWTH","FQ4 2014","FQ4 2014","Currency=INR","Period=FQ","BEST_FPERIOD_OVERRIDE=FQ","FILING_STATUS=OR","EQY_CONSOLIDATED=Y","Sort=A","Dates=H","DateFormat=P","Fill=—","Direction=H","UseDPDF=Y")</f>
        <v>#NAME?</v>
      </c>
      <c r="BB332" s="2" t="e">
        <f ca="1">_xll.BDH($C$328,"GEO_GROW_TOT_SHRHLDR_EQY","FQ4 2014","FQ4 2014","Currency=INR","Period=FQ","BEST_FPERIOD_OVERRIDE=FQ","FILING_STATUS=OR","EQY_CONSOLIDATED=Y","Sort=A","Dates=H","DateFormat=P","Fill=—","Direction=H","UseDPDF=Y")</f>
        <v>#NAME?</v>
      </c>
      <c r="BC332" s="2" t="e">
        <f ca="1">_xll.BDH($C$328,"TOTAL_CAPITAL_5_YEAR_GROWTH","FQ4 2014","FQ4 2014","Currency=INR","Period=FQ","BEST_FPERIOD_OVERRIDE=FQ","FILING_STATUS=OR","EQY_CONSOLIDATED=Y","Sort=A","Dates=H","DateFormat=P","Fill=—","Direction=H","UseDPDF=Y")</f>
        <v>#NAME?</v>
      </c>
      <c r="BD332" s="2" t="e">
        <f ca="1">_xll.BDH($C$328,"GEO_GROW_BOOK_VAL","FQ4 2014","FQ4 2014","Currency=INR","Period=FQ","BEST_FPERIOD_OVERRIDE=FQ","FILING_STATUS=OR","EQY_CONSOLIDATED=Y","Sort=A","Dates=H","DateFormat=P","Fill=—","Direction=H","UseDPDF=Y")</f>
        <v>#NAME?</v>
      </c>
      <c r="BE332" s="2" t="e">
        <f ca="1">_xll.BDH($C$328,"GEO_GROW_CASH_OPER_ACT","FQ4 2014","FQ4 2014","Currency=INR","Period=FQ","BEST_FPERIOD_OVERRIDE=FQ","FILING_STATUS=OR","EQY_CONSOLIDATED=Y","Sort=A","Dates=H","DateFormat=P","Fill=—","Direction=H","UseDPDF=Y")</f>
        <v>#NAME?</v>
      </c>
      <c r="BF332" s="2" t="e">
        <f ca="1">_xll.BDH($C$328,"REVENUE_SEQUENTIAL_GROWTH","FQ4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32" s="2" t="e">
        <f ca="1">_xll.BDH($C$328,"EBITDA_SEQUENTIAL_GROWTH","FQ4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32" s="2" t="e">
        <f ca="1">_xll.BDH($C$328,"OPERATING_INCOME_SEQ_GROWTH","FQ4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32" s="2" t="e">
        <f ca="1">_xll.BDH($C$328,"NET_INCOME_TO_COMMON_SEQ_GROWTH","FQ4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32" s="2" t="e">
        <f ca="1">_xll.BDH($C$328,"EPS_DILUTED_SEQUENTIAL_GROWTH","FQ4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32" s="2" t="e">
        <f ca="1">_xll.BDH($C$328,"DPS_SEQUENTIAL_GROWTH","FQ4 2014","FQ4 2014","Currency=INR","Period=FQ","BEST_FPERIOD_OVERRIDE=FQ","FILING_STATUS=OR","EQY_CONSOLIDATED=Y","Sort=A","Dates=H","DateFormat=P","Fill=—","Direction=H","UseDPDF=Y")</f>
        <v>#NAME?</v>
      </c>
      <c r="BL332" s="2" t="e">
        <f ca="1">_xll.BDH($C$328,"ACCOUNTS_RECEIVABLE_SEQ_GROWTH","FQ4 2014","FQ4 2014","Currency=INR","Period=FQ","BEST_FPERIOD_OVERRIDE=FQ","FILING_STATUS=OR","EQY_CONSOLIDATED=Y","Sort=A","Dates=H","DateFormat=P","Fill=—","Direction=H","UseDPDF=Y")</f>
        <v>#NAME?</v>
      </c>
      <c r="BM332" s="2" t="e">
        <f ca="1">_xll.BDH($C$328,"INVENTORY_SEQUENTIAL_GROWTH","FQ4 2014","FQ4 2014","Currency=INR","Period=FQ","BEST_FPERIOD_OVERRIDE=FQ","FILING_STATUS=OR","EQY_CONSOLIDATED=Y","Sort=A","Dates=H","DateFormat=P","Fill=—","Direction=H","UseDPDF=Y")</f>
        <v>#NAME?</v>
      </c>
      <c r="BN332" s="2" t="e">
        <f ca="1">_xll.BDH($C$328,"FIXED_ASSETS_SEQUENTIAL_GROWTH","FQ4 2014","FQ4 2014","Currency=INR","Period=FQ","BEST_FPERIOD_OVERRIDE=FQ","FILING_STATUS=OR","EQY_CONSOLIDATED=Y","Sort=A","Dates=H","DateFormat=P","Fill=—","Direction=H","UseDPDF=Y")</f>
        <v>#NAME?</v>
      </c>
      <c r="BO332" s="2" t="e">
        <f ca="1">_xll.BDH($C$328,"TOTAL_ASSETS_SEQUENTIAL_GROWTH","FQ4 2014","FQ4 2014","Currency=INR","Period=FQ","BEST_FPERIOD_OVERRIDE=FQ","FILING_STATUS=OR","EQY_CONSOLIDATED=Y","Sort=A","Dates=H","DateFormat=P","Fill=—","Direction=H","UseDPDF=Y")</f>
        <v>#NAME?</v>
      </c>
      <c r="BP332" s="2" t="e">
        <f ca="1">_xll.BDH($C$328,"MODIFIED_WORKING_CPTL_SEQ_GRWTH","FQ4 2014","FQ4 2014","Currency=INR","Period=FQ","BEST_FPERIOD_OVERRIDE=FQ","FILING_STATUS=OR","EQY_CONSOLIDATED=Y","Sort=A","Dates=H","DateFormat=P","Fill=—","Direction=H","UseDPDF=Y")</f>
        <v>#NAME?</v>
      </c>
      <c r="BQ332" s="2" t="e">
        <f ca="1">_xll.BDH($C$328,"WORKING_CAPITAL_SEQ_GROWTH","FQ4 2014","FQ4 2014","Currency=INR","Period=FQ","BEST_FPERIOD_OVERRIDE=FQ","FILING_STATUS=OR","EQY_CONSOLIDATED=Y","Sort=A","Dates=H","DateFormat=P","Fill=—","Direction=H","UseDPDF=Y")</f>
        <v>#NAME?</v>
      </c>
      <c r="BR332" s="2" t="e">
        <f ca="1">_xll.BDH($C$328,"ACCOUNTS_PAYABLE_SEQ_GROWTH","FQ4 2014","FQ4 2014","Currency=INR","Period=FQ","BEST_FPERIOD_OVERRIDE=FQ","FILING_STATUS=OR","EQY_CONSOLIDATED=Y","Sort=A","Dates=H","DateFormat=P","Fill=—","Direction=H","UseDPDF=Y")</f>
        <v>#NAME?</v>
      </c>
      <c r="BS332" s="2" t="e">
        <f ca="1">_xll.BDH($C$328,"ST_DEBT_SEQUENTIAL_GROWTH","FQ4 2014","FQ4 2014","Currency=INR","Period=FQ","BEST_FPERIOD_OVERRIDE=FQ","FILING_STATUS=OR","EQY_CONSOLIDATED=Y","Sort=A","Dates=H","DateFormat=P","Fill=—","Direction=H","UseDPDF=Y")</f>
        <v>#NAME?</v>
      </c>
      <c r="BT332" s="2" t="e">
        <f ca="1">_xll.BDH($C$328,"TOTAL_DEBT_SEQUENTIAL_GROWTH","FQ4 2014","FQ4 2014","Currency=INR","Period=FQ","BEST_FPERIOD_OVERRIDE=FQ","FILING_STATUS=OR","EQY_CONSOLIDATED=Y","Sort=A","Dates=H","DateFormat=P","Fill=—","Direction=H","UseDPDF=Y")</f>
        <v>#NAME?</v>
      </c>
      <c r="BU332" s="2" t="e">
        <f ca="1">_xll.BDH($C$328,"TOTAL_EQUITY_SEQUENTIAL_GROWTH","FQ4 2014","FQ4 2014","Currency=INR","Period=FQ","BEST_FPERIOD_OVERRIDE=FQ","FILING_STATUS=OR","EQY_CONSOLIDATED=Y","Sort=A","Dates=H","DateFormat=P","Fill=—","Direction=H","UseDPDF=Y")</f>
        <v>#NAME?</v>
      </c>
      <c r="BV332" s="2" t="e">
        <f ca="1">_xll.BDH($C$328,"TOTAL_CAPITAL_SEQUENTIAL_GROWTH","FQ4 2014","FQ4 2014","Currency=INR","Period=FQ","BEST_FPERIOD_OVERRIDE=FQ","FILING_STATUS=OR","EQY_CONSOLIDATED=Y","Sort=A","Dates=H","DateFormat=P","Fill=—","Direction=H","UseDPDF=Y")</f>
        <v>#NAME?</v>
      </c>
      <c r="BW332" s="2" t="e">
        <f ca="1">_xll.BDH($C$328,"BPS_SEQUENTIAL_GROWTH","FQ4 2014","FQ4 2014","Currency=INR","Period=FQ","BEST_FPERIOD_OVERRIDE=FQ","FILING_STATUS=OR","EQY_CONSOLIDATED=Y","Sort=A","Dates=H","DateFormat=P","Fill=—","Direction=H","UseDPDF=Y")</f>
        <v>#NAME?</v>
      </c>
      <c r="BX332" s="2" t="e">
        <f ca="1">_xll.BDH($C$328,"CFO_SEQUENTIAL_GROWTH","FQ4 2014","FQ4 2014","Currency=INR","Period=FQ","BEST_FPERIOD_OVERRIDE=FQ","FILING_STATUS=OR","EQY_CONSOLIDATED=Y","Sort=A","Dates=H","DateFormat=P","Fill=—","Direction=H","UseDPDF=Y")</f>
        <v>#NAME?</v>
      </c>
      <c r="BY332" s="3" t="e">
        <f ca="1">_xll.BDH($C$328,"SHORT_AND_LONG_TERM_DEBT","FQ4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32" s="3" t="e">
        <f ca="1">_xll.BDH($C$328,"BS_ST_BORROW","FQ4 2014","FQ4 2014","Currency=INR","Period=FQ","BEST_FPERIOD_OVERRIDE=FQ","FILING_STATUS=OR","EQY_CONSOLIDATED=Y","SCALING_FORMAT=MLN","Sort=A","Dates=H","DateFormat=P","Fill=—","Direction=H","UseDPDF=Y")</f>
        <v>#NAME?</v>
      </c>
      <c r="CA332" s="3" t="e">
        <f ca="1">_xll.BDH($C$328,"BS_LT_BORROW","FQ4 2014","FQ4 2014","Currency=INR","Period=FQ","BEST_FPERIOD_OVERRIDE=FQ","FILING_STATUS=OR","EQY_CONSOLIDATED=Y","SCALING_FORMAT=MLN","Sort=A","Dates=H","DateFormat=P","Fill=—","Direction=H","UseDPDF=Y")</f>
        <v>#NAME?</v>
      </c>
      <c r="CB332" s="2" t="e">
        <f ca="1">_xll.BDH($C$328,"TOT_DEBT_TO_EBITDA","FQ4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32" s="2" t="e">
        <f ca="1">_xll.BDH($C$328,"NET_DEBT_TO_EBITDA","FQ4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32" s="2" t="e">
        <f ca="1">_xll.BDH($C$328,"TOTAL_DEBT_TO_EBIT","FQ4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32" s="2" t="e">
        <f ca="1">_xll.BDH($C$328,"NET_DEBT_TO_EBIT","FQ4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32" s="2" t="e">
        <f ca="1">_xll.BDH($C$328,"EBITDA_TO_INTEREST_EXPN","FQ4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32" s="2" t="e">
        <f ca="1">_xll.BDH($C$328,"COM_EQY_TO_TOT_ASSET","FQ4 2014","FQ4 2014","Currency=INR","Period=FQ","BEST_FPERIOD_OVERRIDE=FQ","FILING_STATUS=OR","EQY_CONSOLIDATED=Y","Sort=A","Dates=H","DateFormat=P","Fill=—","Direction=H","UseDPDF=Y")</f>
        <v>#NAME?</v>
      </c>
      <c r="CH332" s="2" t="e">
        <f ca="1">_xll.BDH($C$328,"LT_DEBT_TO_TOT_EQY","FQ4 2014","FQ4 2014","Currency=INR","Period=FQ","BEST_FPERIOD_OVERRIDE=FQ","FILING_STATUS=OR","EQY_CONSOLIDATED=Y","Sort=A","Dates=H","DateFormat=P","Fill=—","Direction=H","UseDPDF=Y")</f>
        <v>#NAME?</v>
      </c>
      <c r="CI332" s="2" t="e">
        <f ca="1">_xll.BDH($C$328,"LT_DEBT_TO_TOT_CAP","FQ4 2014","FQ4 2014","Currency=INR","Period=FQ","BEST_FPERIOD_OVERRIDE=FQ","FILING_STATUS=OR","EQY_CONSOLIDATED=Y","Sort=A","Dates=H","DateFormat=P","Fill=—","Direction=H","UseDPDF=Y")</f>
        <v>#NAME?</v>
      </c>
      <c r="CJ332" s="2" t="e">
        <f ca="1">_xll.BDH($C$328,"LT_DEBT_TO_TOT_ASSET","FQ4 2014","FQ4 2014","Currency=INR","Period=FQ","BEST_FPERIOD_OVERRIDE=FQ","FILING_STATUS=OR","EQY_CONSOLIDATED=Y","Sort=A","Dates=H","DateFormat=P","Fill=—","Direction=H","UseDPDF=Y")</f>
        <v>#NAME?</v>
      </c>
      <c r="CK332" s="2" t="e">
        <f ca="1">_xll.BDH($C$328,"TOT_DEBT_TO_TOT_EQY","FQ4 2014","FQ4 2014","Currency=INR","Period=FQ","BEST_FPERIOD_OVERRIDE=FQ","FILING_STATUS=OR","EQY_CONSOLIDATED=Y","Sort=A","Dates=H","DateFormat=P","Fill=—","Direction=H","UseDPDF=Y")</f>
        <v>#NAME?</v>
      </c>
      <c r="CL332" s="2" t="e">
        <f ca="1">_xll.BDH($C$328,"TOT_DEBT_TO_TOT_CAP","FQ4 2014","FQ4 2014","Currency=INR","Period=FQ","BEST_FPERIOD_OVERRIDE=FQ","FILING_STATUS=OR","EQY_CONSOLIDATED=Y","Sort=A","Dates=H","DateFormat=P","Fill=—","Direction=H","UseDPDF=Y")</f>
        <v>#NAME?</v>
      </c>
      <c r="CM332" s="2" t="e">
        <f ca="1">_xll.BDH($C$328,"TOT_DEBT_TO_TOT_ASSET","FQ4 2014","FQ4 2014","Currency=INR","Period=FQ","BEST_FPERIOD_OVERRIDE=FQ","FILING_STATUS=OR","EQY_CONSOLIDATED=Y","Sort=A","Dates=H","DateFormat=P","Fill=—","Direction=H","UseDPDF=Y")</f>
        <v>#NAME?</v>
      </c>
      <c r="CN332" s="2" t="e">
        <f ca="1">_xll.BDH($C$328,"NET_DEBT_TO_SHRHLDR_EQTY","FQ4 2014","FQ4 2014","Currency=INR","Period=FQ","BEST_FPERIOD_OVERRIDE=FQ","FILING_STATUS=OR","EQY_CONSOLIDATED=Y","Sort=A","Dates=H","DateFormat=P","Fill=—","Direction=H","UseDPDF=Y")</f>
        <v>#NAME?</v>
      </c>
      <c r="CO332" s="2" t="e">
        <f ca="1">_xll.BDH($C$328,"NET_DEBT_%_CAPITAL","FQ4 2014","FQ4 2014","Currency=INR","Period=FQ","BEST_FPERIOD_OVERRIDE=FQ","FILING_STATUS=OR","EQY_CONSOLIDATED=Y","Sort=A","Dates=H","DateFormat=P","Fill=—","Direction=H","UseDPDF=Y")</f>
        <v>#NAME?</v>
      </c>
      <c r="CP332" s="3" t="e">
        <f ca="1">_xll.BDH($C$328,"EBITDA","FQ4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32" s="3" t="e">
        <f ca="1">_xll.BDH($C$328,"EBITDA_AFTER_CAPEX","FQ4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32" s="3" t="e">
        <f ca="1">_xll.BDH($C$328,"IS_OPER_INC","FQ4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32" s="2" t="e">
        <f ca="1">_xll.BDH($C$328,"CASH_RATIO","FQ4 2014","FQ4 2014","Currency=INR","Period=FQ","BEST_FPERIOD_OVERRIDE=FQ","FILING_STATUS=OR","EQY_CONSOLIDATED=Y","Sort=A","Dates=H","DateFormat=P","Fill=—","Direction=H","UseDPDF=Y")</f>
        <v>#NAME?</v>
      </c>
      <c r="CT332" s="2" t="e">
        <f ca="1">_xll.BDH($C$328,"CUR_RATIO","FQ4 2014","FQ4 2014","Currency=INR","Period=FQ","BEST_FPERIOD_OVERRIDE=FQ","FILING_STATUS=OR","EQY_CONSOLIDATED=Y","Sort=A","Dates=H","DateFormat=P","Fill=—","Direction=H","UseDPDF=Y")</f>
        <v>#NAME?</v>
      </c>
      <c r="CU332" s="2" t="e">
        <f ca="1">_xll.BDH($C$328,"QUICK_RATIO","FQ4 2014","FQ4 2014","Currency=INR","Period=FQ","BEST_FPERIOD_OVERRIDE=FQ","FILING_STATUS=OR","EQY_CONSOLIDATED=Y","Sort=A","Dates=H","DateFormat=P","Fill=—","Direction=H","UseDPDF=Y")</f>
        <v>#NAME?</v>
      </c>
      <c r="CV332" s="2" t="e">
        <f ca="1">_xll.BDH($C$328,"ALTMAN_Z_SCORE","FQ4 2014","FQ4 2014","Currency=INR","Period=FQ","BEST_FPERIOD_OVERRIDE=FQ","FILING_STATUS=OR","EQY_CONSOLIDATED=Y","Sort=A","Dates=H","DateFormat=P","Fill=—","Direction=H","UseDPDF=Y")</f>
        <v>#NAME?</v>
      </c>
      <c r="CW332" s="4" t="e">
        <f ca="1">_xll.BDH($C$328,"ACCT_RCV_TURN","FQ4 2014","FQ4 2014","Currency=INR","Period=FQ","BEST_FPERIOD_OVERRIDE=FQ","FILING_STATUS=OR","EQY_CONSOLIDATED=Y","FA_ADJUSTED=GAAP","Sort=A","Dates=H","DateFormat=P","Fill=—","Direction=H","UseDPDF=Y")</f>
        <v>#NAME?</v>
      </c>
      <c r="CX332" s="2" t="e">
        <f ca="1">_xll.BDH($C$328,"ACCT_RCV_DAYS","FQ4 2014","FQ4 2014","Currency=INR","Period=FQ","BEST_FPERIOD_OVERRIDE=FQ","FILING_STATUS=OR","EQY_CONSOLIDATED=Y","FA_ADJUSTED=GAAP","Sort=A","Dates=H","DateFormat=P","Fill=—","Direction=H","UseDPDF=Y")</f>
        <v>#NAME?</v>
      </c>
      <c r="CY332" s="4" t="e">
        <f ca="1">_xll.BDH($C$328,"INVENT_TURN","FQ4 2014","FQ4 2014","Currency=INR","Period=FQ","BEST_FPERIOD_OVERRIDE=FQ","FILING_STATUS=OR","EQY_CONSOLIDATED=Y","FA_ADJUSTED=GAAP","Sort=A","Dates=H","DateFormat=P","Fill=—","Direction=H","UseDPDF=Y")</f>
        <v>#NAME?</v>
      </c>
      <c r="CZ332" s="2" t="e">
        <f ca="1">_xll.BDH($C$328,"INVENT_DAYS","FQ4 2014","FQ4 2014","Currency=INR","Period=FQ","BEST_FPERIOD_OVERRIDE=FQ","FILING_STATUS=OR","EQY_CONSOLIDATED=Y","FA_ADJUSTED=GAAP","Sort=A","Dates=H","DateFormat=P","Fill=—","Direction=H","UseDPDF=Y")</f>
        <v>#NAME?</v>
      </c>
      <c r="DA332" s="4" t="e">
        <f ca="1">_xll.BDH($C$328,"ACCOUNTS_PAYABLE_TURNOVER","FQ4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32" s="2" t="e">
        <f ca="1">_xll.BDH($C$328,"ACCOUNTS_PAYABLE_TURNOVER_DAYS","FQ4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32" s="4" t="e">
        <f ca="1">_xll.BDH($C$328,"CASH_CONVERSION_CYCLE","FQ4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32" s="4" t="e">
        <f ca="1">_xll.BDH($C$328,"INV_TO_CASH_DAYS","FQ4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32" s="5" t="e">
        <f ca="1">_xll.BDH($C$328,"BS_INVENTORIES","FQ4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32" s="3" t="e">
        <f ca="1">_xll.BDH($C$328,"INVTRY_RAW_MATERIALS","FQ4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32" s="3" t="e">
        <f ca="1">_xll.BDH($C$328,"INVTRY_IN_PROGRESS","FQ4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32" s="3" t="e">
        <f ca="1">_xll.BDH($C$328,"INVTRY_FINISHED_GOODS","FQ4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32" s="3" t="e">
        <f ca="1">_xll.BDH($C$328,"BS_OTHER_INV","FQ4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33" spans="1:113" x14ac:dyDescent="0.3">
      <c r="A333" s="6"/>
      <c r="B333" s="6"/>
      <c r="C333" s="6"/>
      <c r="D333" s="6" t="s">
        <v>82</v>
      </c>
      <c r="E333" t="s">
        <v>77</v>
      </c>
      <c r="F333" t="e">
        <f ca="1">_xll.BDH($C$328,"RETURN_COM_EQY","FY 2015","FY 2015","Currency=INR","Period=FY","BEST_FPERIOD_OVERRIDE=FY","FILING_STATUS=OR","EQY_CONSOLIDATED=Y","FA_ADJUSTED=GAAP","Sort=A","Dates=H","DateFormat=P","Fill=—","Direction=H","UseDPDF=Y")</f>
        <v>#NAME?</v>
      </c>
      <c r="G333" t="e">
        <f ca="1">_xll.BDH($C$328,"RETURN_ON_ASSET","FY 2015","FY 2015","Currency=INR","Period=FY","BEST_FPERIOD_OVERRIDE=FY","FILING_STATUS=OR","EQY_CONSOLIDATED=Y","FA_ADJUSTED=GAAP","Sort=A","Dates=H","DateFormat=P","Fill=—","Direction=H","UseDPDF=Y")</f>
        <v>#NAME?</v>
      </c>
      <c r="H333" t="e">
        <f ca="1">_xll.BDH($C$328,"RETURN_ON_CAP","FY 2015","FY 2015","Currency=INR","Period=FY","BEST_FPERIOD_OVERRIDE=FY","FILING_STATUS=OR","EQY_CONSOLIDATED=Y","FA_ADJUSTED=GAAP","Sort=A","Dates=H","DateFormat=P","Fill=—","Direction=H","UseDPDF=Y")</f>
        <v>#NAME?</v>
      </c>
      <c r="I333" t="e">
        <f ca="1">_xll.BDH($C$328,"RETURN_ON_INV_CAPITAL","FY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33" t="e">
        <f ca="1">_xll.BDH($C$328,"EBITDA_TO_REVENUE","FY 2015","FY 2015","Currency=INR","Period=FY","BEST_FPERIOD_OVERRIDE=FY","FILING_STATUS=OR","EQY_CONSOLIDATED=Y","FA_ADJUSTED=GAAP","Sort=A","Dates=H","DateFormat=P","Fill=—","Direction=H","UseDPDF=Y")</f>
        <v>#NAME?</v>
      </c>
      <c r="K333" t="e">
        <f ca="1">_xll.BDH($C$328,"OPER_MARGIN","FY 2015","FY 2015","Currency=INR","Period=FY","BEST_FPERIOD_OVERRIDE=FY","FILING_STATUS=OR","EQY_CONSOLIDATED=Y","FA_ADJUSTED=GAAP","Sort=A","Dates=H","DateFormat=P","Fill=—","Direction=H","UseDPDF=Y")</f>
        <v>#NAME?</v>
      </c>
      <c r="L333" t="e">
        <f ca="1">_xll.BDH($C$328,"INCREMENTAL_OPERATING_MARGIN","FY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33" t="e">
        <f ca="1">_xll.BDH($C$328,"PRETAX_INC_TO_NET_SALES","FY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33" t="e">
        <f ca="1">_xll.BDH($C$328,"INC_BEF_XO_ITEMS_TO_NET_SALES","FY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33" t="e">
        <f ca="1">_xll.BDH($C$328,"PROF_MARGIN","FY 2015","FY 2015","Currency=INR","Period=FY","BEST_FPERIOD_OVERRIDE=FY","FILING_STATUS=OR","EQY_CONSOLIDATED=Y","FA_ADJUSTED=GAAP","Sort=A","Dates=H","DateFormat=P","Fill=—","Direction=H","UseDPDF=Y")</f>
        <v>#NAME?</v>
      </c>
      <c r="P333" t="e">
        <f ca="1">_xll.BDH($C$328,"NET_INCOME_TO_COMMON_MARGIN","FY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33" t="e">
        <f ca="1">_xll.BDH($C$328,"EFF_TAX_RATE","FY 2015","FY 2015","Currency=INR","Period=FY","BEST_FPERIOD_OVERRIDE=FY","FILING_STATUS=OR","EQY_CONSOLIDATED=Y","FA_ADJUSTED=GAAP","Sort=A","Dates=H","DateFormat=P","Fill=—","Direction=H","UseDPDF=Y")</f>
        <v>#NAME?</v>
      </c>
      <c r="R333" t="e">
        <f ca="1">_xll.BDH($C$328,"DVD_PAYOUT_RATIO","FY 2015","FY 2015","Currency=INR","Period=FY","BEST_FPERIOD_OVERRIDE=FY","FILING_STATUS=OR","EQY_CONSOLIDATED=Y","FA_ADJUSTED=GAAP","Sort=A","Dates=H","DateFormat=P","Fill=—","Direction=H","UseDPDF=Y")</f>
        <v>#NAME?</v>
      </c>
      <c r="S333" t="e">
        <f ca="1">_xll.BDH($C$328,"SUSTAIN_GROWTH_RT","FY 2015","FY 2015","Currency=INR","Period=FY","BEST_FPERIOD_OVERRIDE=FY","FILING_STATUS=OR","EQY_CONSOLIDATED=Y","FA_ADJUSTED=GAAP","Sort=A","Dates=H","DateFormat=P","Fill=—","Direction=H","UseDPDF=Y")</f>
        <v>#NAME?</v>
      </c>
      <c r="T333" s="2" t="e">
        <f ca="1">_xll.BDH($C$328,"SALES_GROWTH","FY 2015","FY 2015","Currency=INR","Period=FY","BEST_FPERIOD_OVERRIDE=FY","FILING_STATUS=OR","EQY_CONSOLIDATED=Y","FA_ADJUSTED=GAAP","Sort=A","Dates=H","DateFormat=P","Fill=—","Direction=H","UseDPDF=Y")</f>
        <v>#NAME?</v>
      </c>
      <c r="U333" s="2" t="e">
        <f ca="1">_xll.BDH($C$328,"EBITDA_GROWTH","FY 2015","FY 2015","Currency=INR","Period=FY","BEST_FPERIOD_OVERRIDE=FY","FILING_STATUS=OR","EQY_CONSOLIDATED=Y","FA_ADJUSTED=GAAP","Sort=A","Dates=H","DateFormat=P","Fill=—","Direction=H","UseDPDF=Y")</f>
        <v>#NAME?</v>
      </c>
      <c r="V333" s="2" t="e">
        <f ca="1">_xll.BDH($C$328,"OPER_INC_GROWTH","FY 2015","FY 2015","Currency=INR","Period=FY","BEST_FPERIOD_OVERRIDE=FY","FILING_STATUS=OR","EQY_CONSOLIDATED=Y","FA_ADJUSTED=GAAP","Sort=A","Dates=H","DateFormat=P","Fill=—","Direction=H","UseDPDF=Y")</f>
        <v>#NAME?</v>
      </c>
      <c r="W333" s="2" t="e">
        <f ca="1">_xll.BDH($C$328,"EARN_FOR_COM_GROWTH","FY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33" s="2" t="e">
        <f ca="1">_xll.BDH($C$328,"DILUTED_EPS_AFT_XO_ITEMS_GROWTH","FY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33" s="2" t="e">
        <f ca="1">_xll.BDH($C$328,"DIVIDEND_PER_SHARE_1_YEAR_GROWTH","FY 2015","FY 2015","Currency=INR","Period=FY","BEST_FPERIOD_OVERRIDE=FY","FILING_STATUS=OR","EQY_CONSOLIDATED=Y","Sort=A","Dates=H","DateFormat=P","Fill=—","Direction=H","UseDPDF=Y")</f>
        <v>#NAME?</v>
      </c>
      <c r="Z333" s="2" t="e">
        <f ca="1">_xll.BDH($C$328,"ACCOUNTS_RECEIVABLE_GROWTH","FY 2015","FY 2015","Currency=INR","Period=FY","BEST_FPERIOD_OVERRIDE=FY","FILING_STATUS=OR","EQY_CONSOLIDATED=Y","Sort=A","Dates=H","DateFormat=P","Fill=—","Direction=H","UseDPDF=Y")</f>
        <v>#NAME?</v>
      </c>
      <c r="AA333" s="2" t="e">
        <f ca="1">_xll.BDH($C$328,"INVENTORY_GROWTH","FY 2015","FY 2015","Currency=INR","Period=FY","BEST_FPERIOD_OVERRIDE=FY","FILING_STATUS=OR","EQY_CONSOLIDATED=Y","Sort=A","Dates=H","DateFormat=P","Fill=—","Direction=H","UseDPDF=Y")</f>
        <v>#NAME?</v>
      </c>
      <c r="AB333" s="2" t="e">
        <f ca="1">_xll.BDH($C$328,"NET_FIXED_ASSETS_1_YEAR_GROWTH","FY 2015","FY 2015","Currency=INR","Period=FY","BEST_FPERIOD_OVERRIDE=FY","FILING_STATUS=OR","EQY_CONSOLIDATED=Y","Sort=A","Dates=H","DateFormat=P","Fill=—","Direction=H","UseDPDF=Y")</f>
        <v>#NAME?</v>
      </c>
      <c r="AC333" s="2" t="e">
        <f ca="1">_xll.BDH($C$328,"ASSET_GROWTH","FY 2015","FY 2015","Currency=INR","Period=FY","BEST_FPERIOD_OVERRIDE=FY","FILING_STATUS=OR","EQY_CONSOLIDATED=Y","Sort=A","Dates=H","DateFormat=P","Fill=—","Direction=H","UseDPDF=Y")</f>
        <v>#NAME?</v>
      </c>
      <c r="AD333" s="2" t="e">
        <f ca="1">_xll.BDH($C$328,"MODIFIED_WORK_CAP_GROWTH","FY 2015","FY 2015","Currency=INR","Period=FY","BEST_FPERIOD_OVERRIDE=FY","FILING_STATUS=OR","EQY_CONSOLIDATED=Y","Sort=A","Dates=H","DateFormat=P","Fill=—","Direction=H","UseDPDF=Y")</f>
        <v>#NAME?</v>
      </c>
      <c r="AE333" s="2" t="e">
        <f ca="1">_xll.BDH($C$328,"WORK_CAP_GROWTH","FY 2015","FY 2015","Currency=INR","Period=FY","BEST_FPERIOD_OVERRIDE=FY","FILING_STATUS=OR","EQY_CONSOLIDATED=Y","Sort=A","Dates=H","DateFormat=P","Fill=—","Direction=H","UseDPDF=Y")</f>
        <v>#NAME?</v>
      </c>
      <c r="AF333" s="2" t="e">
        <f ca="1">_xll.BDH($C$328,"ACCOUNTS_PAYABLE_GROWTH_1YR","FY 2015","FY 2015","Currency=INR","Period=FY","BEST_FPERIOD_OVERRIDE=FY","FILING_STATUS=OR","EQY_CONSOLIDATED=Y","Sort=A","Dates=H","DateFormat=P","Fill=—","Direction=H","UseDPDF=Y")</f>
        <v>#NAME?</v>
      </c>
      <c r="AG333" s="2" t="e">
        <f ca="1">_xll.BDH($C$328,"SHORT_TERM_DEBT_1_YEAR_GROWTH","FY 2015","FY 2015","Currency=INR","Period=FY","BEST_FPERIOD_OVERRIDE=FY","FILING_STATUS=OR","EQY_CONSOLIDATED=Y","Sort=A","Dates=H","DateFormat=P","Fill=—","Direction=H","UseDPDF=Y")</f>
        <v>#NAME?</v>
      </c>
      <c r="AH333" s="2" t="e">
        <f ca="1">_xll.BDH($C$328,"TOTAL_DEBT_1_YEAR_GROWTH","FY 2015","FY 2015","Currency=INR","Period=FY","BEST_FPERIOD_OVERRIDE=FY","FILING_STATUS=OR","EQY_CONSOLIDATED=Y","Sort=A","Dates=H","DateFormat=P","Fill=—","Direction=H","UseDPDF=Y")</f>
        <v>#NAME?</v>
      </c>
      <c r="AI333" s="2" t="e">
        <f ca="1">_xll.BDH($C$328,"TOTAL_EQUITY_1_YEAR_GROWTH","FY 2015","FY 2015","Currency=INR","Period=FY","BEST_FPERIOD_OVERRIDE=FY","FILING_STATUS=OR","EQY_CONSOLIDATED=Y","Sort=A","Dates=H","DateFormat=P","Fill=—","Direction=H","UseDPDF=Y")</f>
        <v>#NAME?</v>
      </c>
      <c r="AJ333" s="2" t="e">
        <f ca="1">_xll.BDH($C$328,"GROWTH_IN_CAP","FY 2015","FY 2015","Currency=INR","Period=FY","BEST_FPERIOD_OVERRIDE=FY","FILING_STATUS=OR","EQY_CONSOLIDATED=Y","Sort=A","Dates=H","DateFormat=P","Fill=—","Direction=H","UseDPDF=Y")</f>
        <v>#NAME?</v>
      </c>
      <c r="AK333" s="2" t="e">
        <f ca="1">_xll.BDH($C$328,"BVPS_GROWTH","FY 2015","FY 2015","Currency=INR","Period=FY","BEST_FPERIOD_OVERRIDE=FY","FILING_STATUS=OR","EQY_CONSOLIDATED=Y","Sort=A","Dates=H","DateFormat=P","Fill=—","Direction=H","UseDPDF=Y")</f>
        <v>#NAME?</v>
      </c>
      <c r="AL333" s="2" t="e">
        <f ca="1">_xll.BDH($C$328,"CASH_FLOW_GROWTH","FY 2015","FY 2015","Currency=INR","Period=FY","BEST_FPERIOD_OVERRIDE=FY","FILING_STATUS=OR","EQY_CONSOLIDATED=Y","Sort=A","Dates=H","DateFormat=P","Fill=—","Direction=H","UseDPDF=Y")</f>
        <v>#NAME?</v>
      </c>
      <c r="AM333" s="2" t="e">
        <f ca="1">_xll.BDH($C$328,"GEO_GROW_NET_SALES","FY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33" s="2" t="e">
        <f ca="1">_xll.BDH($C$328,"GEO_GROW_EBITDA","FY 2015","FY 2015","Currency=INR","Period=FY","BEST_FPERIOD_OVERRIDE=FY","FILING_STATUS=OR","EQY_CONSOLIDATED=Y","FA_ADJUSTED=GAAP","Sort=A","Dates=H","DateFormat=P","Fill=—","Direction=H","UseDPDF=Y")</f>
        <v>#NAME?</v>
      </c>
      <c r="AO333" s="2" t="e">
        <f ca="1">_xll.BDH($C$328,"GEO_GROW_OPER_INC","FY 2015","FY 2015","Currency=INR","Period=FY","BEST_FPERIOD_OVERRIDE=FY","FILING_STATUS=OR","EQY_CONSOLIDATED=Y","FA_ADJUSTED=GAAP","Sort=A","Dates=H","DateFormat=P","Fill=—","Direction=H","UseDPDF=Y")</f>
        <v>#NAME?</v>
      </c>
      <c r="AP333" s="2" t="e">
        <f ca="1">_xll.BDH($C$328,"NET_INCOME_TO_COMMON_5_YR_GROWTH","FY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33" s="2" t="e">
        <f ca="1">_xll.BDH($C$328,"5Y_GEO_GROWTH_DILUTED_EPS","FY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33" s="2" t="e">
        <f ca="1">_xll.BDH($C$328,"GEO_GROW_DVD_PER_SH","FY 2015","FY 2015","Currency=INR","Period=FY","BEST_FPERIOD_OVERRIDE=FY","FILING_STATUS=OR","EQY_CONSOLIDATED=Y","Sort=A","Dates=H","DateFormat=P","Fill=—","Direction=H","UseDPDF=Y")</f>
        <v>#NAME?</v>
      </c>
      <c r="AS333" s="2" t="e">
        <f ca="1">_xll.BDH($C$328,"ACCOUNTS_RECEIVABLE_5_YR_GROWTH","FY 2015","FY 2015","Currency=INR","Period=FY","BEST_FPERIOD_OVERRIDE=FY","FILING_STATUS=OR","EQY_CONSOLIDATED=Y","Sort=A","Dates=H","DateFormat=P","Fill=—","Direction=H","UseDPDF=Y")</f>
        <v>#NAME?</v>
      </c>
      <c r="AT333" s="2" t="e">
        <f ca="1">_xll.BDH($C$328,"INVENTORY_5_YEAR_GROWTH","FY 2015","FY 2015","Currency=INR","Period=FY","BEST_FPERIOD_OVERRIDE=FY","FILING_STATUS=OR","EQY_CONSOLIDATED=Y","Sort=A","Dates=H","DateFormat=P","Fill=—","Direction=H","UseDPDF=Y")</f>
        <v>#NAME?</v>
      </c>
      <c r="AU333" s="2" t="e">
        <f ca="1">_xll.BDH($C$328,"NET_FIXED_ASSETS_5_YEAR_GROWTH","FY 2015","FY 2015","Currency=INR","Period=FY","BEST_FPERIOD_OVERRIDE=FY","FILING_STATUS=OR","EQY_CONSOLIDATED=Y","Sort=A","Dates=H","DateFormat=P","Fill=—","Direction=H","UseDPDF=Y")</f>
        <v>#NAME?</v>
      </c>
      <c r="AV333" s="2" t="e">
        <f ca="1">_xll.BDH($C$328,"GEO_GROW_TOT_ASSET","FY 2015","FY 2015","Currency=INR","Period=FY","BEST_FPERIOD_OVERRIDE=FY","FILING_STATUS=OR","EQY_CONSOLIDATED=Y","Sort=A","Dates=H","DateFormat=P","Fill=—","Direction=H","UseDPDF=Y")</f>
        <v>#NAME?</v>
      </c>
      <c r="AW333" s="2" t="e">
        <f ca="1">_xll.BDH($C$328,"MODIFIED_WORKING_CPTL_5YR_GRWTH","FY 2015","FY 2015","Currency=INR","Period=FY","BEST_FPERIOD_OVERRIDE=FY","FILING_STATUS=OR","EQY_CONSOLIDATED=Y","Sort=A","Dates=H","DateFormat=P","Fill=—","Direction=H","UseDPDF=Y")</f>
        <v>#NAME?</v>
      </c>
      <c r="AX333" s="2" t="e">
        <f ca="1">_xll.BDH($C$328,"WORKING_CAPITAL_5_YEAR_GROWTH","FY 2015","FY 2015","Currency=INR","Period=FY","BEST_FPERIOD_OVERRIDE=FY","FILING_STATUS=OR","EQY_CONSOLIDATED=Y","Sort=A","Dates=H","DateFormat=P","Fill=—","Direction=H","UseDPDF=Y")</f>
        <v>#NAME?</v>
      </c>
      <c r="AY333" s="2" t="e">
        <f ca="1">_xll.BDH($C$328,"ACCOUNTS_PAYABLE_5_YEAR_GROWTH","FY 2015","FY 2015","Currency=INR","Period=FY","BEST_FPERIOD_OVERRIDE=FY","FILING_STATUS=OR","EQY_CONSOLIDATED=Y","Sort=A","Dates=H","DateFormat=P","Fill=—","Direction=H","UseDPDF=Y")</f>
        <v>#NAME?</v>
      </c>
      <c r="AZ333" s="2" t="e">
        <f ca="1">_xll.BDH($C$328,"SHORT_TERM_DEBT_5_YEAR_GROWTH","FY 2015","FY 2015","Currency=INR","Period=FY","BEST_FPERIOD_OVERRIDE=FY","FILING_STATUS=OR","EQY_CONSOLIDATED=Y","Sort=A","Dates=H","DateFormat=P","Fill=—","Direction=H","UseDPDF=Y")</f>
        <v>#NAME?</v>
      </c>
      <c r="BA333" s="2" t="e">
        <f ca="1">_xll.BDH($C$328,"TOTAL_DEBT_5_YEAR_GROWTH","FY 2015","FY 2015","Currency=INR","Period=FY","BEST_FPERIOD_OVERRIDE=FY","FILING_STATUS=OR","EQY_CONSOLIDATED=Y","Sort=A","Dates=H","DateFormat=P","Fill=—","Direction=H","UseDPDF=Y")</f>
        <v>#NAME?</v>
      </c>
      <c r="BB333" s="2" t="e">
        <f ca="1">_xll.BDH($C$328,"GEO_GROW_TOT_SHRHLDR_EQY","FY 2015","FY 2015","Currency=INR","Period=FY","BEST_FPERIOD_OVERRIDE=FY","FILING_STATUS=OR","EQY_CONSOLIDATED=Y","Sort=A","Dates=H","DateFormat=P","Fill=—","Direction=H","UseDPDF=Y")</f>
        <v>#NAME?</v>
      </c>
      <c r="BC333" s="2" t="e">
        <f ca="1">_xll.BDH($C$328,"TOTAL_CAPITAL_5_YEAR_GROWTH","FY 2015","FY 2015","Currency=INR","Period=FY","BEST_FPERIOD_OVERRIDE=FY","FILING_STATUS=OR","EQY_CONSOLIDATED=Y","Sort=A","Dates=H","DateFormat=P","Fill=—","Direction=H","UseDPDF=Y")</f>
        <v>#NAME?</v>
      </c>
      <c r="BD333" s="2" t="e">
        <f ca="1">_xll.BDH($C$328,"GEO_GROW_BOOK_VAL","FY 2015","FY 2015","Currency=INR","Period=FY","BEST_FPERIOD_OVERRIDE=FY","FILING_STATUS=OR","EQY_CONSOLIDATED=Y","Sort=A","Dates=H","DateFormat=P","Fill=—","Direction=H","UseDPDF=Y")</f>
        <v>#NAME?</v>
      </c>
      <c r="BE333" s="2" t="e">
        <f ca="1">_xll.BDH($C$328,"GEO_GROW_CASH_OPER_ACT","FY 2015","FY 2015","Currency=INR","Period=FY","BEST_FPERIOD_OVERRIDE=FY","FILING_STATUS=OR","EQY_CONSOLIDATED=Y","Sort=A","Dates=H","DateFormat=P","Fill=—","Direction=H","UseDPDF=Y")</f>
        <v>#NAME?</v>
      </c>
      <c r="BF333" s="2" t="e">
        <f ca="1">_xll.BDH($C$328,"REVENUE_SEQUENTIAL_GROWTH","FY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33" s="2" t="e">
        <f ca="1">_xll.BDH($C$328,"EBITDA_SEQUENTIAL_GROWTH","FY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33" s="2" t="e">
        <f ca="1">_xll.BDH($C$328,"OPERATING_INCOME_SEQ_GROWTH","FY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33" s="2" t="e">
        <f ca="1">_xll.BDH($C$328,"NET_INCOME_TO_COMMON_SEQ_GROWTH","FY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33" s="2" t="e">
        <f ca="1">_xll.BDH($C$328,"EPS_DILUTED_SEQUENTIAL_GROWTH","FY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33" s="2" t="e">
        <f ca="1">_xll.BDH($C$328,"DPS_SEQUENTIAL_GROWTH","FY 2015","FY 2015","Currency=INR","Period=FY","BEST_FPERIOD_OVERRIDE=FY","FILING_STATUS=OR","EQY_CONSOLIDATED=Y","Sort=A","Dates=H","DateFormat=P","Fill=—","Direction=H","UseDPDF=Y")</f>
        <v>#NAME?</v>
      </c>
      <c r="BL333" s="2" t="e">
        <f ca="1">_xll.BDH($C$328,"ACCOUNTS_RECEIVABLE_SEQ_GROWTH","FY 2015","FY 2015","Currency=INR","Period=FY","BEST_FPERIOD_OVERRIDE=FY","FILING_STATUS=OR","EQY_CONSOLIDATED=Y","Sort=A","Dates=H","DateFormat=P","Fill=—","Direction=H","UseDPDF=Y")</f>
        <v>#NAME?</v>
      </c>
      <c r="BM333" s="2" t="e">
        <f ca="1">_xll.BDH($C$328,"INVENTORY_SEQUENTIAL_GROWTH","FY 2015","FY 2015","Currency=INR","Period=FY","BEST_FPERIOD_OVERRIDE=FY","FILING_STATUS=OR","EQY_CONSOLIDATED=Y","Sort=A","Dates=H","DateFormat=P","Fill=—","Direction=H","UseDPDF=Y")</f>
        <v>#NAME?</v>
      </c>
      <c r="BN333" s="2" t="e">
        <f ca="1">_xll.BDH($C$328,"FIXED_ASSETS_SEQUENTIAL_GROWTH","FY 2015","FY 2015","Currency=INR","Period=FY","BEST_FPERIOD_OVERRIDE=FY","FILING_STATUS=OR","EQY_CONSOLIDATED=Y","Sort=A","Dates=H","DateFormat=P","Fill=—","Direction=H","UseDPDF=Y")</f>
        <v>#NAME?</v>
      </c>
      <c r="BO333" s="2" t="e">
        <f ca="1">_xll.BDH($C$328,"TOTAL_ASSETS_SEQUENTIAL_GROWTH","FY 2015","FY 2015","Currency=INR","Period=FY","BEST_FPERIOD_OVERRIDE=FY","FILING_STATUS=OR","EQY_CONSOLIDATED=Y","Sort=A","Dates=H","DateFormat=P","Fill=—","Direction=H","UseDPDF=Y")</f>
        <v>#NAME?</v>
      </c>
      <c r="BP333" s="2" t="e">
        <f ca="1">_xll.BDH($C$328,"MODIFIED_WORKING_CPTL_SEQ_GRWTH","FY 2015","FY 2015","Currency=INR","Period=FY","BEST_FPERIOD_OVERRIDE=FY","FILING_STATUS=OR","EQY_CONSOLIDATED=Y","Sort=A","Dates=H","DateFormat=P","Fill=—","Direction=H","UseDPDF=Y")</f>
        <v>#NAME?</v>
      </c>
      <c r="BQ333" s="2" t="e">
        <f ca="1">_xll.BDH($C$328,"WORKING_CAPITAL_SEQ_GROWTH","FY 2015","FY 2015","Currency=INR","Period=FY","BEST_FPERIOD_OVERRIDE=FY","FILING_STATUS=OR","EQY_CONSOLIDATED=Y","Sort=A","Dates=H","DateFormat=P","Fill=—","Direction=H","UseDPDF=Y")</f>
        <v>#NAME?</v>
      </c>
      <c r="BR333" s="2" t="e">
        <f ca="1">_xll.BDH($C$328,"ACCOUNTS_PAYABLE_SEQ_GROWTH","FY 2015","FY 2015","Currency=INR","Period=FY","BEST_FPERIOD_OVERRIDE=FY","FILING_STATUS=OR","EQY_CONSOLIDATED=Y","Sort=A","Dates=H","DateFormat=P","Fill=—","Direction=H","UseDPDF=Y")</f>
        <v>#NAME?</v>
      </c>
      <c r="BS333" s="2" t="e">
        <f ca="1">_xll.BDH($C$328,"ST_DEBT_SEQUENTIAL_GROWTH","FY 2015","FY 2015","Currency=INR","Period=FY","BEST_FPERIOD_OVERRIDE=FY","FILING_STATUS=OR","EQY_CONSOLIDATED=Y","Sort=A","Dates=H","DateFormat=P","Fill=—","Direction=H","UseDPDF=Y")</f>
        <v>#NAME?</v>
      </c>
      <c r="BT333" s="2" t="e">
        <f ca="1">_xll.BDH($C$328,"TOTAL_DEBT_SEQUENTIAL_GROWTH","FY 2015","FY 2015","Currency=INR","Period=FY","BEST_FPERIOD_OVERRIDE=FY","FILING_STATUS=OR","EQY_CONSOLIDATED=Y","Sort=A","Dates=H","DateFormat=P","Fill=—","Direction=H","UseDPDF=Y")</f>
        <v>#NAME?</v>
      </c>
      <c r="BU333" s="2" t="e">
        <f ca="1">_xll.BDH($C$328,"TOTAL_EQUITY_SEQUENTIAL_GROWTH","FY 2015","FY 2015","Currency=INR","Period=FY","BEST_FPERIOD_OVERRIDE=FY","FILING_STATUS=OR","EQY_CONSOLIDATED=Y","Sort=A","Dates=H","DateFormat=P","Fill=—","Direction=H","UseDPDF=Y")</f>
        <v>#NAME?</v>
      </c>
      <c r="BV333" s="2" t="e">
        <f ca="1">_xll.BDH($C$328,"TOTAL_CAPITAL_SEQUENTIAL_GROWTH","FY 2015","FY 2015","Currency=INR","Period=FY","BEST_FPERIOD_OVERRIDE=FY","FILING_STATUS=OR","EQY_CONSOLIDATED=Y","Sort=A","Dates=H","DateFormat=P","Fill=—","Direction=H","UseDPDF=Y")</f>
        <v>#NAME?</v>
      </c>
      <c r="BW333" s="2" t="e">
        <f ca="1">_xll.BDH($C$328,"BPS_SEQUENTIAL_GROWTH","FY 2015","FY 2015","Currency=INR","Period=FY","BEST_FPERIOD_OVERRIDE=FY","FILING_STATUS=OR","EQY_CONSOLIDATED=Y","Sort=A","Dates=H","DateFormat=P","Fill=—","Direction=H","UseDPDF=Y")</f>
        <v>#NAME?</v>
      </c>
      <c r="BX333" s="2" t="e">
        <f ca="1">_xll.BDH($C$328,"CFO_SEQUENTIAL_GROWTH","FY 2015","FY 2015","Currency=INR","Period=FY","BEST_FPERIOD_OVERRIDE=FY","FILING_STATUS=OR","EQY_CONSOLIDATED=Y","Sort=A","Dates=H","DateFormat=P","Fill=—","Direction=H","UseDPDF=Y")</f>
        <v>#NAME?</v>
      </c>
      <c r="BY333" s="3" t="e">
        <f ca="1">_xll.BDH($C$328,"SHORT_AND_LONG_TERM_DEBT","FY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33" s="3" t="e">
        <f ca="1">_xll.BDH($C$328,"BS_ST_BORROW","FY 2015","FY 2015","Currency=INR","Period=FY","BEST_FPERIOD_OVERRIDE=FY","FILING_STATUS=OR","EQY_CONSOLIDATED=Y","SCALING_FORMAT=MLN","Sort=A","Dates=H","DateFormat=P","Fill=—","Direction=H","UseDPDF=Y")</f>
        <v>#NAME?</v>
      </c>
      <c r="CA333" s="3" t="e">
        <f ca="1">_xll.BDH($C$328,"BS_LT_BORROW","FY 2015","FY 2015","Currency=INR","Period=FY","BEST_FPERIOD_OVERRIDE=FY","FILING_STATUS=OR","EQY_CONSOLIDATED=Y","SCALING_FORMAT=MLN","Sort=A","Dates=H","DateFormat=P","Fill=—","Direction=H","UseDPDF=Y")</f>
        <v>#NAME?</v>
      </c>
      <c r="CB333" s="2" t="e">
        <f ca="1">_xll.BDH($C$328,"TOT_DEBT_TO_EBITDA","FY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33" s="2" t="e">
        <f ca="1">_xll.BDH($C$328,"NET_DEBT_TO_EBITDA","FY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33" s="2" t="e">
        <f ca="1">_xll.BDH($C$328,"TOTAL_DEBT_TO_EBIT","FY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33" s="2" t="e">
        <f ca="1">_xll.BDH($C$328,"NET_DEBT_TO_EBIT","FY 2015","FY 2015","Currency=INR","Period=FY","BEST_FPERIOD_OVERRIDE=FY","FILING_STATUS=OR","EQY_CONSOLIDATED=Y","FA_ADJUSTED=GAAP","Sort=A","Dates=H","DateFormat=P","Fill=—","Direction=H","UseDPDF=Y")</f>
        <v>#NAME?</v>
      </c>
      <c r="CF333" s="2" t="e">
        <f ca="1">_xll.BDH($C$328,"EBITDA_TO_INTEREST_EXPN","FY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33" s="2" t="e">
        <f ca="1">_xll.BDH($C$328,"COM_EQY_TO_TOT_ASSET","FY 2015","FY 2015","Currency=INR","Period=FY","BEST_FPERIOD_OVERRIDE=FY","FILING_STATUS=OR","EQY_CONSOLIDATED=Y","Sort=A","Dates=H","DateFormat=P","Fill=—","Direction=H","UseDPDF=Y")</f>
        <v>#NAME?</v>
      </c>
      <c r="CH333" s="2" t="e">
        <f ca="1">_xll.BDH($C$328,"LT_DEBT_TO_TOT_EQY","FY 2015","FY 2015","Currency=INR","Period=FY","BEST_FPERIOD_OVERRIDE=FY","FILING_STATUS=OR","EQY_CONSOLIDATED=Y","Sort=A","Dates=H","DateFormat=P","Fill=—","Direction=H","UseDPDF=Y")</f>
        <v>#NAME?</v>
      </c>
      <c r="CI333" s="2" t="e">
        <f ca="1">_xll.BDH($C$328,"LT_DEBT_TO_TOT_CAP","FY 2015","FY 2015","Currency=INR","Period=FY","BEST_FPERIOD_OVERRIDE=FY","FILING_STATUS=OR","EQY_CONSOLIDATED=Y","Sort=A","Dates=H","DateFormat=P","Fill=—","Direction=H","UseDPDF=Y")</f>
        <v>#NAME?</v>
      </c>
      <c r="CJ333" s="2" t="e">
        <f ca="1">_xll.BDH($C$328,"LT_DEBT_TO_TOT_ASSET","FY 2015","FY 2015","Currency=INR","Period=FY","BEST_FPERIOD_OVERRIDE=FY","FILING_STATUS=OR","EQY_CONSOLIDATED=Y","Sort=A","Dates=H","DateFormat=P","Fill=—","Direction=H","UseDPDF=Y")</f>
        <v>#NAME?</v>
      </c>
      <c r="CK333" s="2" t="e">
        <f ca="1">_xll.BDH($C$328,"TOT_DEBT_TO_TOT_EQY","FY 2015","FY 2015","Currency=INR","Period=FY","BEST_FPERIOD_OVERRIDE=FY","FILING_STATUS=OR","EQY_CONSOLIDATED=Y","Sort=A","Dates=H","DateFormat=P","Fill=—","Direction=H","UseDPDF=Y")</f>
        <v>#NAME?</v>
      </c>
      <c r="CL333" s="2" t="e">
        <f ca="1">_xll.BDH($C$328,"TOT_DEBT_TO_TOT_CAP","FY 2015","FY 2015","Currency=INR","Period=FY","BEST_FPERIOD_OVERRIDE=FY","FILING_STATUS=OR","EQY_CONSOLIDATED=Y","Sort=A","Dates=H","DateFormat=P","Fill=—","Direction=H","UseDPDF=Y")</f>
        <v>#NAME?</v>
      </c>
      <c r="CM333" s="2" t="e">
        <f ca="1">_xll.BDH($C$328,"TOT_DEBT_TO_TOT_ASSET","FY 2015","FY 2015","Currency=INR","Period=FY","BEST_FPERIOD_OVERRIDE=FY","FILING_STATUS=OR","EQY_CONSOLIDATED=Y","Sort=A","Dates=H","DateFormat=P","Fill=—","Direction=H","UseDPDF=Y")</f>
        <v>#NAME?</v>
      </c>
      <c r="CN333" s="2" t="e">
        <f ca="1">_xll.BDH($C$328,"NET_DEBT_TO_SHRHLDR_EQTY","FY 2015","FY 2015","Currency=INR","Period=FY","BEST_FPERIOD_OVERRIDE=FY","FILING_STATUS=OR","EQY_CONSOLIDATED=Y","Sort=A","Dates=H","DateFormat=P","Fill=—","Direction=H","UseDPDF=Y")</f>
        <v>#NAME?</v>
      </c>
      <c r="CO333" s="2" t="e">
        <f ca="1">_xll.BDH($C$328,"NET_DEBT_%_CAPITAL","FY 2015","FY 2015","Currency=INR","Period=FY","BEST_FPERIOD_OVERRIDE=FY","FILING_STATUS=OR","EQY_CONSOLIDATED=Y","Sort=A","Dates=H","DateFormat=P","Fill=—","Direction=H","UseDPDF=Y")</f>
        <v>#NAME?</v>
      </c>
      <c r="CP333" s="3" t="e">
        <f ca="1">_xll.BDH($C$328,"EBITDA","FY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33" s="3" t="e">
        <f ca="1">_xll.BDH($C$328,"EBITDA_AFTER_CAPEX","FY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33" s="3" t="e">
        <f ca="1">_xll.BDH($C$328,"IS_OPER_INC","FY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33" s="2" t="e">
        <f ca="1">_xll.BDH($C$328,"CASH_RATIO","FY 2015","FY 2015","Currency=INR","Period=FY","BEST_FPERIOD_OVERRIDE=FY","FILING_STATUS=OR","EQY_CONSOLIDATED=Y","Sort=A","Dates=H","DateFormat=P","Fill=—","Direction=H","UseDPDF=Y")</f>
        <v>#NAME?</v>
      </c>
      <c r="CT333" s="2" t="e">
        <f ca="1">_xll.BDH($C$328,"CUR_RATIO","FY 2015","FY 2015","Currency=INR","Period=FY","BEST_FPERIOD_OVERRIDE=FY","FILING_STATUS=OR","EQY_CONSOLIDATED=Y","Sort=A","Dates=H","DateFormat=P","Fill=—","Direction=H","UseDPDF=Y")</f>
        <v>#NAME?</v>
      </c>
      <c r="CU333" s="2" t="e">
        <f ca="1">_xll.BDH($C$328,"QUICK_RATIO","FY 2015","FY 2015","Currency=INR","Period=FY","BEST_FPERIOD_OVERRIDE=FY","FILING_STATUS=OR","EQY_CONSOLIDATED=Y","Sort=A","Dates=H","DateFormat=P","Fill=—","Direction=H","UseDPDF=Y")</f>
        <v>#NAME?</v>
      </c>
      <c r="CV333" s="2" t="e">
        <f ca="1">_xll.BDH($C$328,"ALTMAN_Z_SCORE","FY 2015","FY 2015","Currency=INR","Period=FY","BEST_FPERIOD_OVERRIDE=FY","FILING_STATUS=OR","EQY_CONSOLIDATED=Y","Sort=A","Dates=H","DateFormat=P","Fill=—","Direction=H","UseDPDF=Y")</f>
        <v>#NAME?</v>
      </c>
      <c r="CW333" s="4" t="e">
        <f ca="1">_xll.BDH($C$328,"ACCT_RCV_TURN","FY 2015","FY 2015","Currency=INR","Period=FY","BEST_FPERIOD_OVERRIDE=FY","FILING_STATUS=OR","EQY_CONSOLIDATED=Y","FA_ADJUSTED=GAAP","Sort=A","Dates=H","DateFormat=P","Fill=—","Direction=H","UseDPDF=Y")</f>
        <v>#NAME?</v>
      </c>
      <c r="CX333" s="2" t="e">
        <f ca="1">_xll.BDH($C$328,"ACCT_RCV_DAYS","FY 2015","FY 2015","Currency=INR","Period=FY","BEST_FPERIOD_OVERRIDE=FY","FILING_STATUS=OR","EQY_CONSOLIDATED=Y","FA_ADJUSTED=GAAP","Sort=A","Dates=H","DateFormat=P","Fill=—","Direction=H","UseDPDF=Y")</f>
        <v>#NAME?</v>
      </c>
      <c r="CY333" s="4" t="e">
        <f ca="1">_xll.BDH($C$328,"INVENT_TURN","FY 2015","FY 2015","Currency=INR","Period=FY","BEST_FPERIOD_OVERRIDE=FY","FILING_STATUS=OR","EQY_CONSOLIDATED=Y","FA_ADJUSTED=GAAP","Sort=A","Dates=H","DateFormat=P","Fill=—","Direction=H","UseDPDF=Y")</f>
        <v>#NAME?</v>
      </c>
      <c r="CZ333" s="2" t="e">
        <f ca="1">_xll.BDH($C$328,"INVENT_DAYS","FY 2015","FY 2015","Currency=INR","Period=FY","BEST_FPERIOD_OVERRIDE=FY","FILING_STATUS=OR","EQY_CONSOLIDATED=Y","FA_ADJUSTED=GAAP","Sort=A","Dates=H","DateFormat=P","Fill=—","Direction=H","UseDPDF=Y")</f>
        <v>#NAME?</v>
      </c>
      <c r="DA333" s="4" t="e">
        <f ca="1">_xll.BDH($C$328,"ACCOUNTS_PAYABLE_TURNOVER","FY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33" s="2" t="e">
        <f ca="1">_xll.BDH($C$328,"ACCOUNTS_PAYABLE_TURNOVER_DAYS","FY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33" s="4" t="e">
        <f ca="1">_xll.BDH($C$328,"CASH_CONVERSION_CYCLE","FY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33" s="4" t="e">
        <f ca="1">_xll.BDH($C$328,"INV_TO_CASH_DAYS","FY 2015","FY 2015","Currency=INR","Period=FY","BEST_FPERIOD_OVERRIDE=FY","FILING_STATUS=OR","EQY_CONSOLIDATED=Y","FA_ADJUSTED=GAAP","Sort=A","Dates=H","DateFormat=P","Fill=—","Direction=H","UseDPDF=Y")</f>
        <v>#NAME?</v>
      </c>
      <c r="DE333" s="5" t="e">
        <f ca="1">_xll.BDH($C$328,"BS_INVENTORIES","FY 2015","FY 2015","Currency=INR","Period=FY","BEST_FPERIOD_OVERRIDE=FY","FILING_STATUS=OR","EQY_CONSOLIDATED=Y","SCALING_FORMAT=MLN","Sort=A","Dates=H","DateFormat=P","Fill=—","Direction=H","UseDPDF=Y")</f>
        <v>#NAME?</v>
      </c>
      <c r="DF333" s="3" t="e">
        <f ca="1">_xll.BDH($C$328,"INVTRY_RAW_MATERIALS","FY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33" s="3" t="e">
        <f ca="1">_xll.BDH($C$328,"INVTRY_IN_PROGRESS","FY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33" s="3" t="e">
        <f ca="1">_xll.BDH($C$328,"INVTRY_FINISHED_GOODS","FY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33" s="3" t="e">
        <f ca="1">_xll.BDH($C$328,"BS_OTHER_INV","FY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34" spans="1:113" x14ac:dyDescent="0.3">
      <c r="A334" s="6"/>
      <c r="B334" s="6"/>
      <c r="C334" s="6"/>
      <c r="D334" s="6"/>
      <c r="E334" t="s">
        <v>78</v>
      </c>
      <c r="F334" t="e">
        <f ca="1">_xll.BDH($C$328,"RETURN_COM_EQY","FQ1 2015","FQ1 2015","Currency=INR","Period=FQ","BEST_FPERIOD_OVERRIDE=FQ","FILING_STATUS=OR","EQY_CONSOLIDATED=Y","FA_ADJUSTED=GAAP","Sort=A","Dates=H","DateFormat=P","Fill=—","Direction=H","UseDPDF=Y")</f>
        <v>#NAME?</v>
      </c>
      <c r="G334" t="e">
        <f ca="1">_xll.BDH($C$328,"RETURN_ON_ASSET","FQ1 2015","FQ1 2015","Currency=INR","Period=FQ","BEST_FPERIOD_OVERRIDE=FQ","FILING_STATUS=OR","EQY_CONSOLIDATED=Y","FA_ADJUSTED=GAAP","Sort=A","Dates=H","DateFormat=P","Fill=—","Direction=H","UseDPDF=Y")</f>
        <v>#NAME?</v>
      </c>
      <c r="H334" t="e">
        <f ca="1">_xll.BDH($C$328,"RETURN_ON_CAP","FQ1 2015","FQ1 2015","Currency=INR","Period=FQ","BEST_FPERIOD_OVERRIDE=FQ","FILING_STATUS=OR","EQY_CONSOLIDATED=Y","FA_ADJUSTED=GAAP","Sort=A","Dates=H","DateFormat=P","Fill=—","Direction=H","UseDPDF=Y")</f>
        <v>#NAME?</v>
      </c>
      <c r="I334" t="e">
        <f ca="1">_xll.BDH($C$328,"RETURN_ON_INV_CAPITAL","FQ1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34" t="e">
        <f ca="1">_xll.BDH($C$328,"EBITDA_TO_REVENUE","FQ1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34" t="e">
        <f ca="1">_xll.BDH($C$328,"OPER_MARGIN","FQ1 2015","FQ1 2015","Currency=INR","Period=FQ","BEST_FPERIOD_OVERRIDE=FQ","FILING_STATUS=OR","EQY_CONSOLIDATED=Y","FA_ADJUSTED=GAAP","Sort=A","Dates=H","DateFormat=P","Fill=—","Direction=H","UseDPDF=Y")</f>
        <v>#NAME?</v>
      </c>
      <c r="L334" t="e">
        <f ca="1">_xll.BDH($C$328,"INCREMENTAL_OPERATING_MARGIN","FQ1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34" t="e">
        <f ca="1">_xll.BDH($C$328,"PRETAX_INC_TO_NET_SALES","FQ1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34" t="e">
        <f ca="1">_xll.BDH($C$328,"INC_BEF_XO_ITEMS_TO_NET_SALES","FQ1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34" t="e">
        <f ca="1">_xll.BDH($C$328,"PROF_MARGIN","FQ1 2015","FQ1 2015","Currency=INR","Period=FQ","BEST_FPERIOD_OVERRIDE=FQ","FILING_STATUS=OR","EQY_CONSOLIDATED=Y","FA_ADJUSTED=GAAP","Sort=A","Dates=H","DateFormat=P","Fill=—","Direction=H","UseDPDF=Y")</f>
        <v>#NAME?</v>
      </c>
      <c r="P334" t="e">
        <f ca="1">_xll.BDH($C$328,"NET_INCOME_TO_COMMON_MARGIN","FQ1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34" t="e">
        <f ca="1">_xll.BDH($C$328,"EFF_TAX_RATE","FQ1 2015","FQ1 2015","Currency=INR","Period=FQ","BEST_FPERIOD_OVERRIDE=FQ","FILING_STATUS=OR","EQY_CONSOLIDATED=Y","FA_ADJUSTED=GAAP","Sort=A","Dates=H","DateFormat=P","Fill=—","Direction=H","UseDPDF=Y")</f>
        <v>#NAME?</v>
      </c>
      <c r="R334" t="e">
        <f ca="1">_xll.BDH($C$328,"DVD_PAYOUT_RATIO","FQ1 2015","FQ1 2015","Currency=INR","Period=FQ","BEST_FPERIOD_OVERRIDE=FQ","FILING_STATUS=OR","EQY_CONSOLIDATED=Y","FA_ADJUSTED=GAAP","Sort=A","Dates=H","DateFormat=P","Fill=—","Direction=H","UseDPDF=Y")</f>
        <v>#NAME?</v>
      </c>
      <c r="S334" t="e">
        <f ca="1">_xll.BDH($C$328,"SUSTAIN_GROWTH_RT","FQ1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34" s="2" t="e">
        <f ca="1">_xll.BDH($C$328,"SALES_GROWTH","FQ1 2015","FQ1 2015","Currency=INR","Period=FQ","BEST_FPERIOD_OVERRIDE=FQ","FILING_STATUS=OR","EQY_CONSOLIDATED=Y","FA_ADJUSTED=GAAP","Sort=A","Dates=H","DateFormat=P","Fill=—","Direction=H","UseDPDF=Y")</f>
        <v>#NAME?</v>
      </c>
      <c r="U334" s="2" t="e">
        <f ca="1">_xll.BDH($C$328,"EBITDA_GROWTH","FQ1 2015","FQ1 2015","Currency=INR","Period=FQ","BEST_FPERIOD_OVERRIDE=FQ","FILING_STATUS=OR","EQY_CONSOLIDATED=Y","FA_ADJUSTED=GAAP","Sort=A","Dates=H","DateFormat=P","Fill=—","Direction=H","UseDPDF=Y")</f>
        <v>#NAME?</v>
      </c>
      <c r="V334" s="2" t="e">
        <f ca="1">_xll.BDH($C$328,"OPER_INC_GROWTH","FQ1 2015","FQ1 2015","Currency=INR","Period=FQ","BEST_FPERIOD_OVERRIDE=FQ","FILING_STATUS=OR","EQY_CONSOLIDATED=Y","FA_ADJUSTED=GAAP","Sort=A","Dates=H","DateFormat=P","Fill=—","Direction=H","UseDPDF=Y")</f>
        <v>#NAME?</v>
      </c>
      <c r="W334" s="2" t="e">
        <f ca="1">_xll.BDH($C$328,"EARN_FOR_COM_GROWTH","FQ1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34" s="2" t="e">
        <f ca="1">_xll.BDH($C$328,"DILUTED_EPS_AFT_XO_ITEMS_GROWTH","FQ1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34" s="2" t="e">
        <f ca="1">_xll.BDH($C$328,"DIVIDEND_PER_SHARE_1_YEAR_GROWTH","FQ1 2015","FQ1 2015","Currency=INR","Period=FQ","BEST_FPERIOD_OVERRIDE=FQ","FILING_STATUS=OR","EQY_CONSOLIDATED=Y","Sort=A","Dates=H","DateFormat=P","Fill=—","Direction=H","UseDPDF=Y")</f>
        <v>#NAME?</v>
      </c>
      <c r="Z334" s="2" t="e">
        <f ca="1">_xll.BDH($C$328,"ACCOUNTS_RECEIVABLE_GROWTH","FQ1 2015","FQ1 2015","Currency=INR","Period=FQ","BEST_FPERIOD_OVERRIDE=FQ","FILING_STATUS=OR","EQY_CONSOLIDATED=Y","Sort=A","Dates=H","DateFormat=P","Fill=—","Direction=H","UseDPDF=Y")</f>
        <v>#NAME?</v>
      </c>
      <c r="AA334" s="2" t="e">
        <f ca="1">_xll.BDH($C$328,"INVENTORY_GROWTH","FQ1 2015","FQ1 2015","Currency=INR","Period=FQ","BEST_FPERIOD_OVERRIDE=FQ","FILING_STATUS=OR","EQY_CONSOLIDATED=Y","Sort=A","Dates=H","DateFormat=P","Fill=—","Direction=H","UseDPDF=Y")</f>
        <v>#NAME?</v>
      </c>
      <c r="AB334" s="2" t="e">
        <f ca="1">_xll.BDH($C$328,"NET_FIXED_ASSETS_1_YEAR_GROWTH","FQ1 2015","FQ1 2015","Currency=INR","Period=FQ","BEST_FPERIOD_OVERRIDE=FQ","FILING_STATUS=OR","EQY_CONSOLIDATED=Y","Sort=A","Dates=H","DateFormat=P","Fill=—","Direction=H","UseDPDF=Y")</f>
        <v>#NAME?</v>
      </c>
      <c r="AC334" s="2" t="e">
        <f ca="1">_xll.BDH($C$328,"ASSET_GROWTH","FQ1 2015","FQ1 2015","Currency=INR","Period=FQ","BEST_FPERIOD_OVERRIDE=FQ","FILING_STATUS=OR","EQY_CONSOLIDATED=Y","Sort=A","Dates=H","DateFormat=P","Fill=—","Direction=H","UseDPDF=Y")</f>
        <v>#NAME?</v>
      </c>
      <c r="AD334" s="2" t="e">
        <f ca="1">_xll.BDH($C$328,"MODIFIED_WORK_CAP_GROWTH","FQ1 2015","FQ1 2015","Currency=INR","Period=FQ","BEST_FPERIOD_OVERRIDE=FQ","FILING_STATUS=OR","EQY_CONSOLIDATED=Y","Sort=A","Dates=H","DateFormat=P","Fill=—","Direction=H","UseDPDF=Y")</f>
        <v>#NAME?</v>
      </c>
      <c r="AE334" s="2" t="e">
        <f ca="1">_xll.BDH($C$328,"WORK_CAP_GROWTH","FQ1 2015","FQ1 2015","Currency=INR","Period=FQ","BEST_FPERIOD_OVERRIDE=FQ","FILING_STATUS=OR","EQY_CONSOLIDATED=Y","Sort=A","Dates=H","DateFormat=P","Fill=—","Direction=H","UseDPDF=Y")</f>
        <v>#NAME?</v>
      </c>
      <c r="AF334" s="2" t="e">
        <f ca="1">_xll.BDH($C$328,"ACCOUNTS_PAYABLE_GROWTH_1YR","FQ1 2015","FQ1 2015","Currency=INR","Period=FQ","BEST_FPERIOD_OVERRIDE=FQ","FILING_STATUS=OR","EQY_CONSOLIDATED=Y","Sort=A","Dates=H","DateFormat=P","Fill=—","Direction=H","UseDPDF=Y")</f>
        <v>#NAME?</v>
      </c>
      <c r="AG334" s="2" t="e">
        <f ca="1">_xll.BDH($C$328,"SHORT_TERM_DEBT_1_YEAR_GROWTH","FQ1 2015","FQ1 2015","Currency=INR","Period=FQ","BEST_FPERIOD_OVERRIDE=FQ","FILING_STATUS=OR","EQY_CONSOLIDATED=Y","Sort=A","Dates=H","DateFormat=P","Fill=—","Direction=H","UseDPDF=Y")</f>
        <v>#NAME?</v>
      </c>
      <c r="AH334" s="2" t="e">
        <f ca="1">_xll.BDH($C$328,"TOTAL_DEBT_1_YEAR_GROWTH","FQ1 2015","FQ1 2015","Currency=INR","Period=FQ","BEST_FPERIOD_OVERRIDE=FQ","FILING_STATUS=OR","EQY_CONSOLIDATED=Y","Sort=A","Dates=H","DateFormat=P","Fill=—","Direction=H","UseDPDF=Y")</f>
        <v>#NAME?</v>
      </c>
      <c r="AI334" s="2" t="e">
        <f ca="1">_xll.BDH($C$328,"TOTAL_EQUITY_1_YEAR_GROWTH","FQ1 2015","FQ1 2015","Currency=INR","Period=FQ","BEST_FPERIOD_OVERRIDE=FQ","FILING_STATUS=OR","EQY_CONSOLIDATED=Y","Sort=A","Dates=H","DateFormat=P","Fill=—","Direction=H","UseDPDF=Y")</f>
        <v>#NAME?</v>
      </c>
      <c r="AJ334" s="2" t="e">
        <f ca="1">_xll.BDH($C$328,"GROWTH_IN_CAP","FQ1 2015","FQ1 2015","Currency=INR","Period=FQ","BEST_FPERIOD_OVERRIDE=FQ","FILING_STATUS=OR","EQY_CONSOLIDATED=Y","Sort=A","Dates=H","DateFormat=P","Fill=—","Direction=H","UseDPDF=Y")</f>
        <v>#NAME?</v>
      </c>
      <c r="AK334" s="2" t="e">
        <f ca="1">_xll.BDH($C$328,"BVPS_GROWTH","FQ1 2015","FQ1 2015","Currency=INR","Period=FQ","BEST_FPERIOD_OVERRIDE=FQ","FILING_STATUS=OR","EQY_CONSOLIDATED=Y","Sort=A","Dates=H","DateFormat=P","Fill=—","Direction=H","UseDPDF=Y")</f>
        <v>#NAME?</v>
      </c>
      <c r="AL334" s="2" t="e">
        <f ca="1">_xll.BDH($C$328,"CASH_FLOW_GROWTH","FQ1 2015","FQ1 2015","Currency=INR","Period=FQ","BEST_FPERIOD_OVERRIDE=FQ","FILING_STATUS=OR","EQY_CONSOLIDATED=Y","Sort=A","Dates=H","DateFormat=P","Fill=—","Direction=H","UseDPDF=Y")</f>
        <v>#NAME?</v>
      </c>
      <c r="AM334" s="2" t="e">
        <f ca="1">_xll.BDH($C$328,"GEO_GROW_NET_SALES","FQ1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34" s="2" t="e">
        <f ca="1">_xll.BDH($C$328,"GEO_GROW_EBITDA","FQ1 2015","FQ1 2015","Currency=INR","Period=FQ","BEST_FPERIOD_OVERRIDE=FQ","FILING_STATUS=OR","EQY_CONSOLIDATED=Y","FA_ADJUSTED=GAAP","Sort=A","Dates=H","DateFormat=P","Fill=—","Direction=H","UseDPDF=Y")</f>
        <v>#NAME?</v>
      </c>
      <c r="AO334" s="2" t="e">
        <f ca="1">_xll.BDH($C$328,"GEO_GROW_OPER_INC","FQ1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34" s="2" t="e">
        <f ca="1">_xll.BDH($C$328,"NET_INCOME_TO_COMMON_5_YR_GROWTH","FQ1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34" s="2" t="e">
        <f ca="1">_xll.BDH($C$328,"5Y_GEO_GROWTH_DILUTED_EPS","FQ1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34" s="2" t="e">
        <f ca="1">_xll.BDH($C$328,"GEO_GROW_DVD_PER_SH","FQ1 2015","FQ1 2015","Currency=INR","Period=FQ","BEST_FPERIOD_OVERRIDE=FQ","FILING_STATUS=OR","EQY_CONSOLIDATED=Y","Sort=A","Dates=H","DateFormat=P","Fill=—","Direction=H","UseDPDF=Y")</f>
        <v>#NAME?</v>
      </c>
      <c r="AS334" s="2" t="e">
        <f ca="1">_xll.BDH($C$328,"ACCOUNTS_RECEIVABLE_5_YR_GROWTH","FQ1 2015","FQ1 2015","Currency=INR","Period=FQ","BEST_FPERIOD_OVERRIDE=FQ","FILING_STATUS=OR","EQY_CONSOLIDATED=Y","Sort=A","Dates=H","DateFormat=P","Fill=—","Direction=H","UseDPDF=Y")</f>
        <v>#NAME?</v>
      </c>
      <c r="AT334" s="2" t="e">
        <f ca="1">_xll.BDH($C$328,"INVENTORY_5_YEAR_GROWTH","FQ1 2015","FQ1 2015","Currency=INR","Period=FQ","BEST_FPERIOD_OVERRIDE=FQ","FILING_STATUS=OR","EQY_CONSOLIDATED=Y","Sort=A","Dates=H","DateFormat=P","Fill=—","Direction=H","UseDPDF=Y")</f>
        <v>#NAME?</v>
      </c>
      <c r="AU334" s="2" t="e">
        <f ca="1">_xll.BDH($C$328,"NET_FIXED_ASSETS_5_YEAR_GROWTH","FQ1 2015","FQ1 2015","Currency=INR","Period=FQ","BEST_FPERIOD_OVERRIDE=FQ","FILING_STATUS=OR","EQY_CONSOLIDATED=Y","Sort=A","Dates=H","DateFormat=P","Fill=—","Direction=H","UseDPDF=Y")</f>
        <v>#NAME?</v>
      </c>
      <c r="AV334" s="2" t="e">
        <f ca="1">_xll.BDH($C$328,"GEO_GROW_TOT_ASSET","FQ1 2015","FQ1 2015","Currency=INR","Period=FQ","BEST_FPERIOD_OVERRIDE=FQ","FILING_STATUS=OR","EQY_CONSOLIDATED=Y","Sort=A","Dates=H","DateFormat=P","Fill=—","Direction=H","UseDPDF=Y")</f>
        <v>#NAME?</v>
      </c>
      <c r="AW334" s="2" t="e">
        <f ca="1">_xll.BDH($C$328,"MODIFIED_WORKING_CPTL_5YR_GRWTH","FQ1 2015","FQ1 2015","Currency=INR","Period=FQ","BEST_FPERIOD_OVERRIDE=FQ","FILING_STATUS=OR","EQY_CONSOLIDATED=Y","Sort=A","Dates=H","DateFormat=P","Fill=—","Direction=H","UseDPDF=Y")</f>
        <v>#NAME?</v>
      </c>
      <c r="AX334" s="2" t="e">
        <f ca="1">_xll.BDH($C$328,"WORKING_CAPITAL_5_YEAR_GROWTH","FQ1 2015","FQ1 2015","Currency=INR","Period=FQ","BEST_FPERIOD_OVERRIDE=FQ","FILING_STATUS=OR","EQY_CONSOLIDATED=Y","Sort=A","Dates=H","DateFormat=P","Fill=—","Direction=H","UseDPDF=Y")</f>
        <v>#NAME?</v>
      </c>
      <c r="AY334" s="2" t="e">
        <f ca="1">_xll.BDH($C$328,"ACCOUNTS_PAYABLE_5_YEAR_GROWTH","FQ1 2015","FQ1 2015","Currency=INR","Period=FQ","BEST_FPERIOD_OVERRIDE=FQ","FILING_STATUS=OR","EQY_CONSOLIDATED=Y","Sort=A","Dates=H","DateFormat=P","Fill=—","Direction=H","UseDPDF=Y")</f>
        <v>#NAME?</v>
      </c>
      <c r="AZ334" s="2" t="e">
        <f ca="1">_xll.BDH($C$328,"SHORT_TERM_DEBT_5_YEAR_GROWTH","FQ1 2015","FQ1 2015","Currency=INR","Period=FQ","BEST_FPERIOD_OVERRIDE=FQ","FILING_STATUS=OR","EQY_CONSOLIDATED=Y","Sort=A","Dates=H","DateFormat=P","Fill=—","Direction=H","UseDPDF=Y")</f>
        <v>#NAME?</v>
      </c>
      <c r="BA334" s="2" t="e">
        <f ca="1">_xll.BDH($C$328,"TOTAL_DEBT_5_YEAR_GROWTH","FQ1 2015","FQ1 2015","Currency=INR","Period=FQ","BEST_FPERIOD_OVERRIDE=FQ","FILING_STATUS=OR","EQY_CONSOLIDATED=Y","Sort=A","Dates=H","DateFormat=P","Fill=—","Direction=H","UseDPDF=Y")</f>
        <v>#NAME?</v>
      </c>
      <c r="BB334" s="2" t="e">
        <f ca="1">_xll.BDH($C$328,"GEO_GROW_TOT_SHRHLDR_EQY","FQ1 2015","FQ1 2015","Currency=INR","Period=FQ","BEST_FPERIOD_OVERRIDE=FQ","FILING_STATUS=OR","EQY_CONSOLIDATED=Y","Sort=A","Dates=H","DateFormat=P","Fill=—","Direction=H","UseDPDF=Y")</f>
        <v>#NAME?</v>
      </c>
      <c r="BC334" s="2" t="e">
        <f ca="1">_xll.BDH($C$328,"TOTAL_CAPITAL_5_YEAR_GROWTH","FQ1 2015","FQ1 2015","Currency=INR","Period=FQ","BEST_FPERIOD_OVERRIDE=FQ","FILING_STATUS=OR","EQY_CONSOLIDATED=Y","Sort=A","Dates=H","DateFormat=P","Fill=—","Direction=H","UseDPDF=Y")</f>
        <v>#NAME?</v>
      </c>
      <c r="BD334" s="2" t="e">
        <f ca="1">_xll.BDH($C$328,"GEO_GROW_BOOK_VAL","FQ1 2015","FQ1 2015","Currency=INR","Period=FQ","BEST_FPERIOD_OVERRIDE=FQ","FILING_STATUS=OR","EQY_CONSOLIDATED=Y","Sort=A","Dates=H","DateFormat=P","Fill=—","Direction=H","UseDPDF=Y")</f>
        <v>#NAME?</v>
      </c>
      <c r="BE334" s="2" t="e">
        <f ca="1">_xll.BDH($C$328,"GEO_GROW_CASH_OPER_ACT","FQ1 2015","FQ1 2015","Currency=INR","Period=FQ","BEST_FPERIOD_OVERRIDE=FQ","FILING_STATUS=OR","EQY_CONSOLIDATED=Y","Sort=A","Dates=H","DateFormat=P","Fill=—","Direction=H","UseDPDF=Y")</f>
        <v>#NAME?</v>
      </c>
      <c r="BF334" s="2" t="e">
        <f ca="1">_xll.BDH($C$328,"REVENUE_SEQUENTIAL_GROWTH","FQ1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34" s="2" t="e">
        <f ca="1">_xll.BDH($C$328,"EBITDA_SEQUENTIAL_GROWTH","FQ1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34" s="2" t="e">
        <f ca="1">_xll.BDH($C$328,"OPERATING_INCOME_SEQ_GROWTH","FQ1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34" s="2" t="e">
        <f ca="1">_xll.BDH($C$328,"NET_INCOME_TO_COMMON_SEQ_GROWTH","FQ1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34" s="2" t="e">
        <f ca="1">_xll.BDH($C$328,"EPS_DILUTED_SEQUENTIAL_GROWTH","FQ1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34" s="2" t="e">
        <f ca="1">_xll.BDH($C$328,"DPS_SEQUENTIAL_GROWTH","FQ1 2015","FQ1 2015","Currency=INR","Period=FQ","BEST_FPERIOD_OVERRIDE=FQ","FILING_STATUS=OR","EQY_CONSOLIDATED=Y","Sort=A","Dates=H","DateFormat=P","Fill=—","Direction=H","UseDPDF=Y")</f>
        <v>#NAME?</v>
      </c>
      <c r="BL334" s="2" t="e">
        <f ca="1">_xll.BDH($C$328,"ACCOUNTS_RECEIVABLE_SEQ_GROWTH","FQ1 2015","FQ1 2015","Currency=INR","Period=FQ","BEST_FPERIOD_OVERRIDE=FQ","FILING_STATUS=OR","EQY_CONSOLIDATED=Y","Sort=A","Dates=H","DateFormat=P","Fill=—","Direction=H","UseDPDF=Y")</f>
        <v>#NAME?</v>
      </c>
      <c r="BM334" s="2" t="e">
        <f ca="1">_xll.BDH($C$328,"INVENTORY_SEQUENTIAL_GROWTH","FQ1 2015","FQ1 2015","Currency=INR","Period=FQ","BEST_FPERIOD_OVERRIDE=FQ","FILING_STATUS=OR","EQY_CONSOLIDATED=Y","Sort=A","Dates=H","DateFormat=P","Fill=—","Direction=H","UseDPDF=Y")</f>
        <v>#NAME?</v>
      </c>
      <c r="BN334" s="2" t="e">
        <f ca="1">_xll.BDH($C$328,"FIXED_ASSETS_SEQUENTIAL_GROWTH","FQ1 2015","FQ1 2015","Currency=INR","Period=FQ","BEST_FPERIOD_OVERRIDE=FQ","FILING_STATUS=OR","EQY_CONSOLIDATED=Y","Sort=A","Dates=H","DateFormat=P","Fill=—","Direction=H","UseDPDF=Y")</f>
        <v>#NAME?</v>
      </c>
      <c r="BO334" s="2" t="e">
        <f ca="1">_xll.BDH($C$328,"TOTAL_ASSETS_SEQUENTIAL_GROWTH","FQ1 2015","FQ1 2015","Currency=INR","Period=FQ","BEST_FPERIOD_OVERRIDE=FQ","FILING_STATUS=OR","EQY_CONSOLIDATED=Y","Sort=A","Dates=H","DateFormat=P","Fill=—","Direction=H","UseDPDF=Y")</f>
        <v>#NAME?</v>
      </c>
      <c r="BP334" s="2" t="e">
        <f ca="1">_xll.BDH($C$328,"MODIFIED_WORKING_CPTL_SEQ_GRWTH","FQ1 2015","FQ1 2015","Currency=INR","Period=FQ","BEST_FPERIOD_OVERRIDE=FQ","FILING_STATUS=OR","EQY_CONSOLIDATED=Y","Sort=A","Dates=H","DateFormat=P","Fill=—","Direction=H","UseDPDF=Y")</f>
        <v>#NAME?</v>
      </c>
      <c r="BQ334" s="2" t="e">
        <f ca="1">_xll.BDH($C$328,"WORKING_CAPITAL_SEQ_GROWTH","FQ1 2015","FQ1 2015","Currency=INR","Period=FQ","BEST_FPERIOD_OVERRIDE=FQ","FILING_STATUS=OR","EQY_CONSOLIDATED=Y","Sort=A","Dates=H","DateFormat=P","Fill=—","Direction=H","UseDPDF=Y")</f>
        <v>#NAME?</v>
      </c>
      <c r="BR334" s="2" t="e">
        <f ca="1">_xll.BDH($C$328,"ACCOUNTS_PAYABLE_SEQ_GROWTH","FQ1 2015","FQ1 2015","Currency=INR","Period=FQ","BEST_FPERIOD_OVERRIDE=FQ","FILING_STATUS=OR","EQY_CONSOLIDATED=Y","Sort=A","Dates=H","DateFormat=P","Fill=—","Direction=H","UseDPDF=Y")</f>
        <v>#NAME?</v>
      </c>
      <c r="BS334" s="2" t="e">
        <f ca="1">_xll.BDH($C$328,"ST_DEBT_SEQUENTIAL_GROWTH","FQ1 2015","FQ1 2015","Currency=INR","Period=FQ","BEST_FPERIOD_OVERRIDE=FQ","FILING_STATUS=OR","EQY_CONSOLIDATED=Y","Sort=A","Dates=H","DateFormat=P","Fill=—","Direction=H","UseDPDF=Y")</f>
        <v>#NAME?</v>
      </c>
      <c r="BT334" s="2" t="e">
        <f ca="1">_xll.BDH($C$328,"TOTAL_DEBT_SEQUENTIAL_GROWTH","FQ1 2015","FQ1 2015","Currency=INR","Period=FQ","BEST_FPERIOD_OVERRIDE=FQ","FILING_STATUS=OR","EQY_CONSOLIDATED=Y","Sort=A","Dates=H","DateFormat=P","Fill=—","Direction=H","UseDPDF=Y")</f>
        <v>#NAME?</v>
      </c>
      <c r="BU334" s="2" t="e">
        <f ca="1">_xll.BDH($C$328,"TOTAL_EQUITY_SEQUENTIAL_GROWTH","FQ1 2015","FQ1 2015","Currency=INR","Period=FQ","BEST_FPERIOD_OVERRIDE=FQ","FILING_STATUS=OR","EQY_CONSOLIDATED=Y","Sort=A","Dates=H","DateFormat=P","Fill=—","Direction=H","UseDPDF=Y")</f>
        <v>#NAME?</v>
      </c>
      <c r="BV334" s="2" t="e">
        <f ca="1">_xll.BDH($C$328,"TOTAL_CAPITAL_SEQUENTIAL_GROWTH","FQ1 2015","FQ1 2015","Currency=INR","Period=FQ","BEST_FPERIOD_OVERRIDE=FQ","FILING_STATUS=OR","EQY_CONSOLIDATED=Y","Sort=A","Dates=H","DateFormat=P","Fill=—","Direction=H","UseDPDF=Y")</f>
        <v>#NAME?</v>
      </c>
      <c r="BW334" s="2" t="e">
        <f ca="1">_xll.BDH($C$328,"BPS_SEQUENTIAL_GROWTH","FQ1 2015","FQ1 2015","Currency=INR","Period=FQ","BEST_FPERIOD_OVERRIDE=FQ","FILING_STATUS=OR","EQY_CONSOLIDATED=Y","Sort=A","Dates=H","DateFormat=P","Fill=—","Direction=H","UseDPDF=Y")</f>
        <v>#NAME?</v>
      </c>
      <c r="BX334" s="2" t="e">
        <f ca="1">_xll.BDH($C$328,"CFO_SEQUENTIAL_GROWTH","FQ1 2015","FQ1 2015","Currency=INR","Period=FQ","BEST_FPERIOD_OVERRIDE=FQ","FILING_STATUS=OR","EQY_CONSOLIDATED=Y","Sort=A","Dates=H","DateFormat=P","Fill=—","Direction=H","UseDPDF=Y")</f>
        <v>#NAME?</v>
      </c>
      <c r="BY334" s="3" t="e">
        <f ca="1">_xll.BDH($C$328,"SHORT_AND_LONG_TERM_DEBT","FQ1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34" s="3" t="e">
        <f ca="1">_xll.BDH($C$328,"BS_ST_BORROW","FQ1 2015","FQ1 2015","Currency=INR","Period=FQ","BEST_FPERIOD_OVERRIDE=FQ","FILING_STATUS=OR","EQY_CONSOLIDATED=Y","SCALING_FORMAT=MLN","Sort=A","Dates=H","DateFormat=P","Fill=—","Direction=H","UseDPDF=Y")</f>
        <v>#NAME?</v>
      </c>
      <c r="CA334" s="3" t="e">
        <f ca="1">_xll.BDH($C$328,"BS_LT_BORROW","FQ1 2015","FQ1 2015","Currency=INR","Period=FQ","BEST_FPERIOD_OVERRIDE=FQ","FILING_STATUS=OR","EQY_CONSOLIDATED=Y","SCALING_FORMAT=MLN","Sort=A","Dates=H","DateFormat=P","Fill=—","Direction=H","UseDPDF=Y")</f>
        <v>#NAME?</v>
      </c>
      <c r="CB334" s="2" t="e">
        <f ca="1">_xll.BDH($C$328,"TOT_DEBT_TO_EBITDA","FQ1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34" s="2" t="e">
        <f ca="1">_xll.BDH($C$328,"NET_DEBT_TO_EBITDA","FQ1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34" s="2" t="e">
        <f ca="1">_xll.BDH($C$328,"TOTAL_DEBT_TO_EBIT","FQ1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34" s="2" t="e">
        <f ca="1">_xll.BDH($C$328,"NET_DEBT_TO_EBIT","FQ1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34" s="2" t="e">
        <f ca="1">_xll.BDH($C$328,"EBITDA_TO_INTEREST_EXPN","FQ1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34" s="2" t="e">
        <f ca="1">_xll.BDH($C$328,"COM_EQY_TO_TOT_ASSET","FQ1 2015","FQ1 2015","Currency=INR","Period=FQ","BEST_FPERIOD_OVERRIDE=FQ","FILING_STATUS=OR","EQY_CONSOLIDATED=Y","Sort=A","Dates=H","DateFormat=P","Fill=—","Direction=H","UseDPDF=Y")</f>
        <v>#NAME?</v>
      </c>
      <c r="CH334" s="2" t="e">
        <f ca="1">_xll.BDH($C$328,"LT_DEBT_TO_TOT_EQY","FQ1 2015","FQ1 2015","Currency=INR","Period=FQ","BEST_FPERIOD_OVERRIDE=FQ","FILING_STATUS=OR","EQY_CONSOLIDATED=Y","Sort=A","Dates=H","DateFormat=P","Fill=—","Direction=H","UseDPDF=Y")</f>
        <v>#NAME?</v>
      </c>
      <c r="CI334" s="2" t="e">
        <f ca="1">_xll.BDH($C$328,"LT_DEBT_TO_TOT_CAP","FQ1 2015","FQ1 2015","Currency=INR","Period=FQ","BEST_FPERIOD_OVERRIDE=FQ","FILING_STATUS=OR","EQY_CONSOLIDATED=Y","Sort=A","Dates=H","DateFormat=P","Fill=—","Direction=H","UseDPDF=Y")</f>
        <v>#NAME?</v>
      </c>
      <c r="CJ334" s="2" t="e">
        <f ca="1">_xll.BDH($C$328,"LT_DEBT_TO_TOT_ASSET","FQ1 2015","FQ1 2015","Currency=INR","Period=FQ","BEST_FPERIOD_OVERRIDE=FQ","FILING_STATUS=OR","EQY_CONSOLIDATED=Y","Sort=A","Dates=H","DateFormat=P","Fill=—","Direction=H","UseDPDF=Y")</f>
        <v>#NAME?</v>
      </c>
      <c r="CK334" s="2" t="e">
        <f ca="1">_xll.BDH($C$328,"TOT_DEBT_TO_TOT_EQY","FQ1 2015","FQ1 2015","Currency=INR","Period=FQ","BEST_FPERIOD_OVERRIDE=FQ","FILING_STATUS=OR","EQY_CONSOLIDATED=Y","Sort=A","Dates=H","DateFormat=P","Fill=—","Direction=H","UseDPDF=Y")</f>
        <v>#NAME?</v>
      </c>
      <c r="CL334" s="2" t="e">
        <f ca="1">_xll.BDH($C$328,"TOT_DEBT_TO_TOT_CAP","FQ1 2015","FQ1 2015","Currency=INR","Period=FQ","BEST_FPERIOD_OVERRIDE=FQ","FILING_STATUS=OR","EQY_CONSOLIDATED=Y","Sort=A","Dates=H","DateFormat=P","Fill=—","Direction=H","UseDPDF=Y")</f>
        <v>#NAME?</v>
      </c>
      <c r="CM334" s="2" t="e">
        <f ca="1">_xll.BDH($C$328,"TOT_DEBT_TO_TOT_ASSET","FQ1 2015","FQ1 2015","Currency=INR","Period=FQ","BEST_FPERIOD_OVERRIDE=FQ","FILING_STATUS=OR","EQY_CONSOLIDATED=Y","Sort=A","Dates=H","DateFormat=P","Fill=—","Direction=H","UseDPDF=Y")</f>
        <v>#NAME?</v>
      </c>
      <c r="CN334" s="2" t="e">
        <f ca="1">_xll.BDH($C$328,"NET_DEBT_TO_SHRHLDR_EQTY","FQ1 2015","FQ1 2015","Currency=INR","Period=FQ","BEST_FPERIOD_OVERRIDE=FQ","FILING_STATUS=OR","EQY_CONSOLIDATED=Y","Sort=A","Dates=H","DateFormat=P","Fill=—","Direction=H","UseDPDF=Y")</f>
        <v>#NAME?</v>
      </c>
      <c r="CO334" s="2" t="e">
        <f ca="1">_xll.BDH($C$328,"NET_DEBT_%_CAPITAL","FQ1 2015","FQ1 2015","Currency=INR","Period=FQ","BEST_FPERIOD_OVERRIDE=FQ","FILING_STATUS=OR","EQY_CONSOLIDATED=Y","Sort=A","Dates=H","DateFormat=P","Fill=—","Direction=H","UseDPDF=Y")</f>
        <v>#NAME?</v>
      </c>
      <c r="CP334" s="3" t="e">
        <f ca="1">_xll.BDH($C$328,"EBITDA","FQ1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34" s="3" t="e">
        <f ca="1">_xll.BDH($C$328,"EBITDA_AFTER_CAPEX","FQ1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34" s="3" t="e">
        <f ca="1">_xll.BDH($C$328,"IS_OPER_INC","FQ1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34" s="2" t="e">
        <f ca="1">_xll.BDH($C$328,"CASH_RATIO","FQ1 2015","FQ1 2015","Currency=INR","Period=FQ","BEST_FPERIOD_OVERRIDE=FQ","FILING_STATUS=OR","EQY_CONSOLIDATED=Y","Sort=A","Dates=H","DateFormat=P","Fill=—","Direction=H","UseDPDF=Y")</f>
        <v>#NAME?</v>
      </c>
      <c r="CT334" s="2" t="e">
        <f ca="1">_xll.BDH($C$328,"CUR_RATIO","FQ1 2015","FQ1 2015","Currency=INR","Period=FQ","BEST_FPERIOD_OVERRIDE=FQ","FILING_STATUS=OR","EQY_CONSOLIDATED=Y","Sort=A","Dates=H","DateFormat=P","Fill=—","Direction=H","UseDPDF=Y")</f>
        <v>#NAME?</v>
      </c>
      <c r="CU334" s="2" t="e">
        <f ca="1">_xll.BDH($C$328,"QUICK_RATIO","FQ1 2015","FQ1 2015","Currency=INR","Period=FQ","BEST_FPERIOD_OVERRIDE=FQ","FILING_STATUS=OR","EQY_CONSOLIDATED=Y","Sort=A","Dates=H","DateFormat=P","Fill=—","Direction=H","UseDPDF=Y")</f>
        <v>#NAME?</v>
      </c>
      <c r="CV334" s="2" t="e">
        <f ca="1">_xll.BDH($C$328,"ALTMAN_Z_SCORE","FQ1 2015","FQ1 2015","Currency=INR","Period=FQ","BEST_FPERIOD_OVERRIDE=FQ","FILING_STATUS=OR","EQY_CONSOLIDATED=Y","Sort=A","Dates=H","DateFormat=P","Fill=—","Direction=H","UseDPDF=Y")</f>
        <v>#NAME?</v>
      </c>
      <c r="CW334" s="4" t="e">
        <f ca="1">_xll.BDH($C$328,"ACCT_RCV_TURN","FQ1 2015","FQ1 2015","Currency=INR","Period=FQ","BEST_FPERIOD_OVERRIDE=FQ","FILING_STATUS=OR","EQY_CONSOLIDATED=Y","FA_ADJUSTED=GAAP","Sort=A","Dates=H","DateFormat=P","Fill=—","Direction=H","UseDPDF=Y")</f>
        <v>#NAME?</v>
      </c>
      <c r="CX334" s="2" t="e">
        <f ca="1">_xll.BDH($C$328,"ACCT_RCV_DAYS","FQ1 2015","FQ1 2015","Currency=INR","Period=FQ","BEST_FPERIOD_OVERRIDE=FQ","FILING_STATUS=OR","EQY_CONSOLIDATED=Y","FA_ADJUSTED=GAAP","Sort=A","Dates=H","DateFormat=P","Fill=—","Direction=H","UseDPDF=Y")</f>
        <v>#NAME?</v>
      </c>
      <c r="CY334" s="4" t="e">
        <f ca="1">_xll.BDH($C$328,"INVENT_TURN","FQ1 2015","FQ1 2015","Currency=INR","Period=FQ","BEST_FPERIOD_OVERRIDE=FQ","FILING_STATUS=OR","EQY_CONSOLIDATED=Y","FA_ADJUSTED=GAAP","Sort=A","Dates=H","DateFormat=P","Fill=—","Direction=H","UseDPDF=Y")</f>
        <v>#NAME?</v>
      </c>
      <c r="CZ334" s="2" t="e">
        <f ca="1">_xll.BDH($C$328,"INVENT_DAYS","FQ1 2015","FQ1 2015","Currency=INR","Period=FQ","BEST_FPERIOD_OVERRIDE=FQ","FILING_STATUS=OR","EQY_CONSOLIDATED=Y","FA_ADJUSTED=GAAP","Sort=A","Dates=H","DateFormat=P","Fill=—","Direction=H","UseDPDF=Y")</f>
        <v>#NAME?</v>
      </c>
      <c r="DA334" s="4" t="e">
        <f ca="1">_xll.BDH($C$328,"ACCOUNTS_PAYABLE_TURNOVER","FQ1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34" s="2" t="e">
        <f ca="1">_xll.BDH($C$328,"ACCOUNTS_PAYABLE_TURNOVER_DAYS","FQ1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34" s="4" t="e">
        <f ca="1">_xll.BDH($C$328,"CASH_CONVERSION_CYCLE","FQ1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34" s="4" t="e">
        <f ca="1">_xll.BDH($C$328,"INV_TO_CASH_DAYS","FQ1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34" s="5" t="e">
        <f ca="1">_xll.BDH($C$328,"BS_INVENTORIES","FQ1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34" s="3" t="e">
        <f ca="1">_xll.BDH($C$328,"INVTRY_RAW_MATERIALS","FQ1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34" s="3" t="e">
        <f ca="1">_xll.BDH($C$328,"INVTRY_IN_PROGRESS","FQ1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34" s="3" t="e">
        <f ca="1">_xll.BDH($C$328,"INVTRY_FINISHED_GOODS","FQ1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34" s="3" t="e">
        <f ca="1">_xll.BDH($C$328,"BS_OTHER_INV","FQ1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35" spans="1:113" x14ac:dyDescent="0.3">
      <c r="A335" s="6"/>
      <c r="B335" s="6"/>
      <c r="C335" s="6"/>
      <c r="D335" s="6"/>
      <c r="E335" t="s">
        <v>79</v>
      </c>
      <c r="F335" t="e">
        <f ca="1">_xll.BDH($C$328,"RETURN_COM_EQY","FQ2 2015","FQ2 2015","Currency=INR","Period=FQ","BEST_FPERIOD_OVERRIDE=FQ","FILING_STATUS=OR","EQY_CONSOLIDATED=Y","FA_ADJUSTED=GAAP","Sort=A","Dates=H","DateFormat=P","Fill=—","Direction=H","UseDPDF=Y")</f>
        <v>#NAME?</v>
      </c>
      <c r="G335" t="e">
        <f ca="1">_xll.BDH($C$328,"RETURN_ON_ASSET","FQ2 2015","FQ2 2015","Currency=INR","Period=FQ","BEST_FPERIOD_OVERRIDE=FQ","FILING_STATUS=OR","EQY_CONSOLIDATED=Y","FA_ADJUSTED=GAAP","Sort=A","Dates=H","DateFormat=P","Fill=—","Direction=H","UseDPDF=Y")</f>
        <v>#NAME?</v>
      </c>
      <c r="H335" t="e">
        <f ca="1">_xll.BDH($C$328,"RETURN_ON_CAP","FQ2 2015","FQ2 2015","Currency=INR","Period=FQ","BEST_FPERIOD_OVERRIDE=FQ","FILING_STATUS=OR","EQY_CONSOLIDATED=Y","FA_ADJUSTED=GAAP","Sort=A","Dates=H","DateFormat=P","Fill=—","Direction=H","UseDPDF=Y")</f>
        <v>#NAME?</v>
      </c>
      <c r="I335" t="e">
        <f ca="1">_xll.BDH($C$328,"RETURN_ON_INV_CAPITAL","FQ2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35" t="e">
        <f ca="1">_xll.BDH($C$328,"EBITDA_TO_REVENUE","FQ2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35" t="e">
        <f ca="1">_xll.BDH($C$328,"OPER_MARGIN","FQ2 2015","FQ2 2015","Currency=INR","Period=FQ","BEST_FPERIOD_OVERRIDE=FQ","FILING_STATUS=OR","EQY_CONSOLIDATED=Y","FA_ADJUSTED=GAAP","Sort=A","Dates=H","DateFormat=P","Fill=—","Direction=H","UseDPDF=Y")</f>
        <v>#NAME?</v>
      </c>
      <c r="L335" t="e">
        <f ca="1">_xll.BDH($C$328,"INCREMENTAL_OPERATING_MARGIN","FQ2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35" t="e">
        <f ca="1">_xll.BDH($C$328,"PRETAX_INC_TO_NET_SALES","FQ2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35" t="e">
        <f ca="1">_xll.BDH($C$328,"INC_BEF_XO_ITEMS_TO_NET_SALES","FQ2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35" t="e">
        <f ca="1">_xll.BDH($C$328,"PROF_MARGIN","FQ2 2015","FQ2 2015","Currency=INR","Period=FQ","BEST_FPERIOD_OVERRIDE=FQ","FILING_STATUS=OR","EQY_CONSOLIDATED=Y","FA_ADJUSTED=GAAP","Sort=A","Dates=H","DateFormat=P","Fill=—","Direction=H","UseDPDF=Y")</f>
        <v>#NAME?</v>
      </c>
      <c r="P335" t="e">
        <f ca="1">_xll.BDH($C$328,"NET_INCOME_TO_COMMON_MARGIN","FQ2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35" t="e">
        <f ca="1">_xll.BDH($C$328,"EFF_TAX_RATE","FQ2 2015","FQ2 2015","Currency=INR","Period=FQ","BEST_FPERIOD_OVERRIDE=FQ","FILING_STATUS=OR","EQY_CONSOLIDATED=Y","FA_ADJUSTED=GAAP","Sort=A","Dates=H","DateFormat=P","Fill=—","Direction=H","UseDPDF=Y")</f>
        <v>#NAME?</v>
      </c>
      <c r="R335" t="e">
        <f ca="1">_xll.BDH($C$328,"DVD_PAYOUT_RATIO","FQ2 2015","FQ2 2015","Currency=INR","Period=FQ","BEST_FPERIOD_OVERRIDE=FQ","FILING_STATUS=OR","EQY_CONSOLIDATED=Y","FA_ADJUSTED=GAAP","Sort=A","Dates=H","DateFormat=P","Fill=—","Direction=H","UseDPDF=Y")</f>
        <v>#NAME?</v>
      </c>
      <c r="S335" t="e">
        <f ca="1">_xll.BDH($C$328,"SUSTAIN_GROWTH_RT","FQ2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35" s="2" t="e">
        <f ca="1">_xll.BDH($C$328,"SALES_GROWTH","FQ2 2015","FQ2 2015","Currency=INR","Period=FQ","BEST_FPERIOD_OVERRIDE=FQ","FILING_STATUS=OR","EQY_CONSOLIDATED=Y","FA_ADJUSTED=GAAP","Sort=A","Dates=H","DateFormat=P","Fill=—","Direction=H","UseDPDF=Y")</f>
        <v>#NAME?</v>
      </c>
      <c r="U335" s="2" t="e">
        <f ca="1">_xll.BDH($C$328,"EBITDA_GROWTH","FQ2 2015","FQ2 2015","Currency=INR","Period=FQ","BEST_FPERIOD_OVERRIDE=FQ","FILING_STATUS=OR","EQY_CONSOLIDATED=Y","FA_ADJUSTED=GAAP","Sort=A","Dates=H","DateFormat=P","Fill=—","Direction=H","UseDPDF=Y")</f>
        <v>#NAME?</v>
      </c>
      <c r="V335" s="2" t="e">
        <f ca="1">_xll.BDH($C$328,"OPER_INC_GROWTH","FQ2 2015","FQ2 2015","Currency=INR","Period=FQ","BEST_FPERIOD_OVERRIDE=FQ","FILING_STATUS=OR","EQY_CONSOLIDATED=Y","FA_ADJUSTED=GAAP","Sort=A","Dates=H","DateFormat=P","Fill=—","Direction=H","UseDPDF=Y")</f>
        <v>#NAME?</v>
      </c>
      <c r="W335" s="2" t="e">
        <f ca="1">_xll.BDH($C$328,"EARN_FOR_COM_GROWTH","FQ2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35" s="2" t="e">
        <f ca="1">_xll.BDH($C$328,"DILUTED_EPS_AFT_XO_ITEMS_GROWTH","FQ2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35" s="2" t="e">
        <f ca="1">_xll.BDH($C$328,"DIVIDEND_PER_SHARE_1_YEAR_GROWTH","FQ2 2015","FQ2 2015","Currency=INR","Period=FQ","BEST_FPERIOD_OVERRIDE=FQ","FILING_STATUS=OR","EQY_CONSOLIDATED=Y","Sort=A","Dates=H","DateFormat=P","Fill=—","Direction=H","UseDPDF=Y")</f>
        <v>#NAME?</v>
      </c>
      <c r="Z335" s="2" t="e">
        <f ca="1">_xll.BDH($C$328,"ACCOUNTS_RECEIVABLE_GROWTH","FQ2 2015","FQ2 2015","Currency=INR","Period=FQ","BEST_FPERIOD_OVERRIDE=FQ","FILING_STATUS=OR","EQY_CONSOLIDATED=Y","Sort=A","Dates=H","DateFormat=P","Fill=—","Direction=H","UseDPDF=Y")</f>
        <v>#NAME?</v>
      </c>
      <c r="AA335" s="2" t="e">
        <f ca="1">_xll.BDH($C$328,"INVENTORY_GROWTH","FQ2 2015","FQ2 2015","Currency=INR","Period=FQ","BEST_FPERIOD_OVERRIDE=FQ","FILING_STATUS=OR","EQY_CONSOLIDATED=Y","Sort=A","Dates=H","DateFormat=P","Fill=—","Direction=H","UseDPDF=Y")</f>
        <v>#NAME?</v>
      </c>
      <c r="AB335" s="2" t="e">
        <f ca="1">_xll.BDH($C$328,"NET_FIXED_ASSETS_1_YEAR_GROWTH","FQ2 2015","FQ2 2015","Currency=INR","Period=FQ","BEST_FPERIOD_OVERRIDE=FQ","FILING_STATUS=OR","EQY_CONSOLIDATED=Y","Sort=A","Dates=H","DateFormat=P","Fill=—","Direction=H","UseDPDF=Y")</f>
        <v>#NAME?</v>
      </c>
      <c r="AC335" s="2" t="e">
        <f ca="1">_xll.BDH($C$328,"ASSET_GROWTH","FQ2 2015","FQ2 2015","Currency=INR","Period=FQ","BEST_FPERIOD_OVERRIDE=FQ","FILING_STATUS=OR","EQY_CONSOLIDATED=Y","Sort=A","Dates=H","DateFormat=P","Fill=—","Direction=H","UseDPDF=Y")</f>
        <v>#NAME?</v>
      </c>
      <c r="AD335" s="2" t="e">
        <f ca="1">_xll.BDH($C$328,"MODIFIED_WORK_CAP_GROWTH","FQ2 2015","FQ2 2015","Currency=INR","Period=FQ","BEST_FPERIOD_OVERRIDE=FQ","FILING_STATUS=OR","EQY_CONSOLIDATED=Y","Sort=A","Dates=H","DateFormat=P","Fill=—","Direction=H","UseDPDF=Y")</f>
        <v>#NAME?</v>
      </c>
      <c r="AE335" s="2" t="e">
        <f ca="1">_xll.BDH($C$328,"WORK_CAP_GROWTH","FQ2 2015","FQ2 2015","Currency=INR","Period=FQ","BEST_FPERIOD_OVERRIDE=FQ","FILING_STATUS=OR","EQY_CONSOLIDATED=Y","Sort=A","Dates=H","DateFormat=P","Fill=—","Direction=H","UseDPDF=Y")</f>
        <v>#NAME?</v>
      </c>
      <c r="AF335" s="2" t="e">
        <f ca="1">_xll.BDH($C$328,"ACCOUNTS_PAYABLE_GROWTH_1YR","FQ2 2015","FQ2 2015","Currency=INR","Period=FQ","BEST_FPERIOD_OVERRIDE=FQ","FILING_STATUS=OR","EQY_CONSOLIDATED=Y","Sort=A","Dates=H","DateFormat=P","Fill=—","Direction=H","UseDPDF=Y")</f>
        <v>#NAME?</v>
      </c>
      <c r="AG335" s="2" t="e">
        <f ca="1">_xll.BDH($C$328,"SHORT_TERM_DEBT_1_YEAR_GROWTH","FQ2 2015","FQ2 2015","Currency=INR","Period=FQ","BEST_FPERIOD_OVERRIDE=FQ","FILING_STATUS=OR","EQY_CONSOLIDATED=Y","Sort=A","Dates=H","DateFormat=P","Fill=—","Direction=H","UseDPDF=Y")</f>
        <v>#NAME?</v>
      </c>
      <c r="AH335" s="2" t="e">
        <f ca="1">_xll.BDH($C$328,"TOTAL_DEBT_1_YEAR_GROWTH","FQ2 2015","FQ2 2015","Currency=INR","Period=FQ","BEST_FPERIOD_OVERRIDE=FQ","FILING_STATUS=OR","EQY_CONSOLIDATED=Y","Sort=A","Dates=H","DateFormat=P","Fill=—","Direction=H","UseDPDF=Y")</f>
        <v>#NAME?</v>
      </c>
      <c r="AI335" s="2" t="e">
        <f ca="1">_xll.BDH($C$328,"TOTAL_EQUITY_1_YEAR_GROWTH","FQ2 2015","FQ2 2015","Currency=INR","Period=FQ","BEST_FPERIOD_OVERRIDE=FQ","FILING_STATUS=OR","EQY_CONSOLIDATED=Y","Sort=A","Dates=H","DateFormat=P","Fill=—","Direction=H","UseDPDF=Y")</f>
        <v>#NAME?</v>
      </c>
      <c r="AJ335" s="2" t="e">
        <f ca="1">_xll.BDH($C$328,"GROWTH_IN_CAP","FQ2 2015","FQ2 2015","Currency=INR","Period=FQ","BEST_FPERIOD_OVERRIDE=FQ","FILING_STATUS=OR","EQY_CONSOLIDATED=Y","Sort=A","Dates=H","DateFormat=P","Fill=—","Direction=H","UseDPDF=Y")</f>
        <v>#NAME?</v>
      </c>
      <c r="AK335" s="2" t="e">
        <f ca="1">_xll.BDH($C$328,"BVPS_GROWTH","FQ2 2015","FQ2 2015","Currency=INR","Period=FQ","BEST_FPERIOD_OVERRIDE=FQ","FILING_STATUS=OR","EQY_CONSOLIDATED=Y","Sort=A","Dates=H","DateFormat=P","Fill=—","Direction=H","UseDPDF=Y")</f>
        <v>#NAME?</v>
      </c>
      <c r="AL335" s="2" t="e">
        <f ca="1">_xll.BDH($C$328,"CASH_FLOW_GROWTH","FQ2 2015","FQ2 2015","Currency=INR","Period=FQ","BEST_FPERIOD_OVERRIDE=FQ","FILING_STATUS=OR","EQY_CONSOLIDATED=Y","Sort=A","Dates=H","DateFormat=P","Fill=—","Direction=H","UseDPDF=Y")</f>
        <v>#NAME?</v>
      </c>
      <c r="AM335" s="2" t="e">
        <f ca="1">_xll.BDH($C$328,"GEO_GROW_NET_SALES","FQ2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35" s="2" t="e">
        <f ca="1">_xll.BDH($C$328,"GEO_GROW_EBITDA","FQ2 2015","FQ2 2015","Currency=INR","Period=FQ","BEST_FPERIOD_OVERRIDE=FQ","FILING_STATUS=OR","EQY_CONSOLIDATED=Y","FA_ADJUSTED=GAAP","Sort=A","Dates=H","DateFormat=P","Fill=—","Direction=H","UseDPDF=Y")</f>
        <v>#NAME?</v>
      </c>
      <c r="AO335" s="2" t="e">
        <f ca="1">_xll.BDH($C$328,"GEO_GROW_OPER_INC","FQ2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35" s="2" t="e">
        <f ca="1">_xll.BDH($C$328,"NET_INCOME_TO_COMMON_5_YR_GROWTH","FQ2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35" s="2" t="e">
        <f ca="1">_xll.BDH($C$328,"5Y_GEO_GROWTH_DILUTED_EPS","FQ2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35" s="2" t="e">
        <f ca="1">_xll.BDH($C$328,"GEO_GROW_DVD_PER_SH","FQ2 2015","FQ2 2015","Currency=INR","Period=FQ","BEST_FPERIOD_OVERRIDE=FQ","FILING_STATUS=OR","EQY_CONSOLIDATED=Y","Sort=A","Dates=H","DateFormat=P","Fill=—","Direction=H","UseDPDF=Y")</f>
        <v>#NAME?</v>
      </c>
      <c r="AS335" s="2" t="e">
        <f ca="1">_xll.BDH($C$328,"ACCOUNTS_RECEIVABLE_5_YR_GROWTH","FQ2 2015","FQ2 2015","Currency=INR","Period=FQ","BEST_FPERIOD_OVERRIDE=FQ","FILING_STATUS=OR","EQY_CONSOLIDATED=Y","Sort=A","Dates=H","DateFormat=P","Fill=—","Direction=H","UseDPDF=Y")</f>
        <v>#NAME?</v>
      </c>
      <c r="AT335" s="2" t="e">
        <f ca="1">_xll.BDH($C$328,"INVENTORY_5_YEAR_GROWTH","FQ2 2015","FQ2 2015","Currency=INR","Period=FQ","BEST_FPERIOD_OVERRIDE=FQ","FILING_STATUS=OR","EQY_CONSOLIDATED=Y","Sort=A","Dates=H","DateFormat=P","Fill=—","Direction=H","UseDPDF=Y")</f>
        <v>#NAME?</v>
      </c>
      <c r="AU335" s="2" t="e">
        <f ca="1">_xll.BDH($C$328,"NET_FIXED_ASSETS_5_YEAR_GROWTH","FQ2 2015","FQ2 2015","Currency=INR","Period=FQ","BEST_FPERIOD_OVERRIDE=FQ","FILING_STATUS=OR","EQY_CONSOLIDATED=Y","Sort=A","Dates=H","DateFormat=P","Fill=—","Direction=H","UseDPDF=Y")</f>
        <v>#NAME?</v>
      </c>
      <c r="AV335" s="2" t="e">
        <f ca="1">_xll.BDH($C$328,"GEO_GROW_TOT_ASSET","FQ2 2015","FQ2 2015","Currency=INR","Period=FQ","BEST_FPERIOD_OVERRIDE=FQ","FILING_STATUS=OR","EQY_CONSOLIDATED=Y","Sort=A","Dates=H","DateFormat=P","Fill=—","Direction=H","UseDPDF=Y")</f>
        <v>#NAME?</v>
      </c>
      <c r="AW335" s="2" t="e">
        <f ca="1">_xll.BDH($C$328,"MODIFIED_WORKING_CPTL_5YR_GRWTH","FQ2 2015","FQ2 2015","Currency=INR","Period=FQ","BEST_FPERIOD_OVERRIDE=FQ","FILING_STATUS=OR","EQY_CONSOLIDATED=Y","Sort=A","Dates=H","DateFormat=P","Fill=—","Direction=H","UseDPDF=Y")</f>
        <v>#NAME?</v>
      </c>
      <c r="AX335" s="2" t="e">
        <f ca="1">_xll.BDH($C$328,"WORKING_CAPITAL_5_YEAR_GROWTH","FQ2 2015","FQ2 2015","Currency=INR","Period=FQ","BEST_FPERIOD_OVERRIDE=FQ","FILING_STATUS=OR","EQY_CONSOLIDATED=Y","Sort=A","Dates=H","DateFormat=P","Fill=—","Direction=H","UseDPDF=Y")</f>
        <v>#NAME?</v>
      </c>
      <c r="AY335" s="2" t="e">
        <f ca="1">_xll.BDH($C$328,"ACCOUNTS_PAYABLE_5_YEAR_GROWTH","FQ2 2015","FQ2 2015","Currency=INR","Period=FQ","BEST_FPERIOD_OVERRIDE=FQ","FILING_STATUS=OR","EQY_CONSOLIDATED=Y","Sort=A","Dates=H","DateFormat=P","Fill=—","Direction=H","UseDPDF=Y")</f>
        <v>#NAME?</v>
      </c>
      <c r="AZ335" s="2" t="e">
        <f ca="1">_xll.BDH($C$328,"SHORT_TERM_DEBT_5_YEAR_GROWTH","FQ2 2015","FQ2 2015","Currency=INR","Period=FQ","BEST_FPERIOD_OVERRIDE=FQ","FILING_STATUS=OR","EQY_CONSOLIDATED=Y","Sort=A","Dates=H","DateFormat=P","Fill=—","Direction=H","UseDPDF=Y")</f>
        <v>#NAME?</v>
      </c>
      <c r="BA335" s="2" t="e">
        <f ca="1">_xll.BDH($C$328,"TOTAL_DEBT_5_YEAR_GROWTH","FQ2 2015","FQ2 2015","Currency=INR","Period=FQ","BEST_FPERIOD_OVERRIDE=FQ","FILING_STATUS=OR","EQY_CONSOLIDATED=Y","Sort=A","Dates=H","DateFormat=P","Fill=—","Direction=H","UseDPDF=Y")</f>
        <v>#NAME?</v>
      </c>
      <c r="BB335" s="2" t="e">
        <f ca="1">_xll.BDH($C$328,"GEO_GROW_TOT_SHRHLDR_EQY","FQ2 2015","FQ2 2015","Currency=INR","Period=FQ","BEST_FPERIOD_OVERRIDE=FQ","FILING_STATUS=OR","EQY_CONSOLIDATED=Y","Sort=A","Dates=H","DateFormat=P","Fill=—","Direction=H","UseDPDF=Y")</f>
        <v>#NAME?</v>
      </c>
      <c r="BC335" s="2" t="e">
        <f ca="1">_xll.BDH($C$328,"TOTAL_CAPITAL_5_YEAR_GROWTH","FQ2 2015","FQ2 2015","Currency=INR","Period=FQ","BEST_FPERIOD_OVERRIDE=FQ","FILING_STATUS=OR","EQY_CONSOLIDATED=Y","Sort=A","Dates=H","DateFormat=P","Fill=—","Direction=H","UseDPDF=Y")</f>
        <v>#NAME?</v>
      </c>
      <c r="BD335" s="2" t="e">
        <f ca="1">_xll.BDH($C$328,"GEO_GROW_BOOK_VAL","FQ2 2015","FQ2 2015","Currency=INR","Period=FQ","BEST_FPERIOD_OVERRIDE=FQ","FILING_STATUS=OR","EQY_CONSOLIDATED=Y","Sort=A","Dates=H","DateFormat=P","Fill=—","Direction=H","UseDPDF=Y")</f>
        <v>#NAME?</v>
      </c>
      <c r="BE335" s="2" t="e">
        <f ca="1">_xll.BDH($C$328,"GEO_GROW_CASH_OPER_ACT","FQ2 2015","FQ2 2015","Currency=INR","Period=FQ","BEST_FPERIOD_OVERRIDE=FQ","FILING_STATUS=OR","EQY_CONSOLIDATED=Y","Sort=A","Dates=H","DateFormat=P","Fill=—","Direction=H","UseDPDF=Y")</f>
        <v>#NAME?</v>
      </c>
      <c r="BF335" s="2" t="e">
        <f ca="1">_xll.BDH($C$328,"REVENUE_SEQUENTIAL_GROWTH","FQ2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35" s="2" t="e">
        <f ca="1">_xll.BDH($C$328,"EBITDA_SEQUENTIAL_GROWTH","FQ2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35" s="2" t="e">
        <f ca="1">_xll.BDH($C$328,"OPERATING_INCOME_SEQ_GROWTH","FQ2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35" s="2" t="e">
        <f ca="1">_xll.BDH($C$328,"NET_INCOME_TO_COMMON_SEQ_GROWTH","FQ2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35" s="2" t="e">
        <f ca="1">_xll.BDH($C$328,"EPS_DILUTED_SEQUENTIAL_GROWTH","FQ2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35" s="2" t="e">
        <f ca="1">_xll.BDH($C$328,"DPS_SEQUENTIAL_GROWTH","FQ2 2015","FQ2 2015","Currency=INR","Period=FQ","BEST_FPERIOD_OVERRIDE=FQ","FILING_STATUS=OR","EQY_CONSOLIDATED=Y","Sort=A","Dates=H","DateFormat=P","Fill=—","Direction=H","UseDPDF=Y")</f>
        <v>#NAME?</v>
      </c>
      <c r="BL335" s="2" t="e">
        <f ca="1">_xll.BDH($C$328,"ACCOUNTS_RECEIVABLE_SEQ_GROWTH","FQ2 2015","FQ2 2015","Currency=INR","Period=FQ","BEST_FPERIOD_OVERRIDE=FQ","FILING_STATUS=OR","EQY_CONSOLIDATED=Y","Sort=A","Dates=H","DateFormat=P","Fill=—","Direction=H","UseDPDF=Y")</f>
        <v>#NAME?</v>
      </c>
      <c r="BM335" s="2" t="e">
        <f ca="1">_xll.BDH($C$328,"INVENTORY_SEQUENTIAL_GROWTH","FQ2 2015","FQ2 2015","Currency=INR","Period=FQ","BEST_FPERIOD_OVERRIDE=FQ","FILING_STATUS=OR","EQY_CONSOLIDATED=Y","Sort=A","Dates=H","DateFormat=P","Fill=—","Direction=H","UseDPDF=Y")</f>
        <v>#NAME?</v>
      </c>
      <c r="BN335" s="2" t="e">
        <f ca="1">_xll.BDH($C$328,"FIXED_ASSETS_SEQUENTIAL_GROWTH","FQ2 2015","FQ2 2015","Currency=INR","Period=FQ","BEST_FPERIOD_OVERRIDE=FQ","FILING_STATUS=OR","EQY_CONSOLIDATED=Y","Sort=A","Dates=H","DateFormat=P","Fill=—","Direction=H","UseDPDF=Y")</f>
        <v>#NAME?</v>
      </c>
      <c r="BO335" s="2" t="e">
        <f ca="1">_xll.BDH($C$328,"TOTAL_ASSETS_SEQUENTIAL_GROWTH","FQ2 2015","FQ2 2015","Currency=INR","Period=FQ","BEST_FPERIOD_OVERRIDE=FQ","FILING_STATUS=OR","EQY_CONSOLIDATED=Y","Sort=A","Dates=H","DateFormat=P","Fill=—","Direction=H","UseDPDF=Y")</f>
        <v>#NAME?</v>
      </c>
      <c r="BP335" s="2" t="e">
        <f ca="1">_xll.BDH($C$328,"MODIFIED_WORKING_CPTL_SEQ_GRWTH","FQ2 2015","FQ2 2015","Currency=INR","Period=FQ","BEST_FPERIOD_OVERRIDE=FQ","FILING_STATUS=OR","EQY_CONSOLIDATED=Y","Sort=A","Dates=H","DateFormat=P","Fill=—","Direction=H","UseDPDF=Y")</f>
        <v>#NAME?</v>
      </c>
      <c r="BQ335" s="2" t="e">
        <f ca="1">_xll.BDH($C$328,"WORKING_CAPITAL_SEQ_GROWTH","FQ2 2015","FQ2 2015","Currency=INR","Period=FQ","BEST_FPERIOD_OVERRIDE=FQ","FILING_STATUS=OR","EQY_CONSOLIDATED=Y","Sort=A","Dates=H","DateFormat=P","Fill=—","Direction=H","UseDPDF=Y")</f>
        <v>#NAME?</v>
      </c>
      <c r="BR335" s="2" t="e">
        <f ca="1">_xll.BDH($C$328,"ACCOUNTS_PAYABLE_SEQ_GROWTH","FQ2 2015","FQ2 2015","Currency=INR","Period=FQ","BEST_FPERIOD_OVERRIDE=FQ","FILING_STATUS=OR","EQY_CONSOLIDATED=Y","Sort=A","Dates=H","DateFormat=P","Fill=—","Direction=H","UseDPDF=Y")</f>
        <v>#NAME?</v>
      </c>
      <c r="BS335" s="2" t="e">
        <f ca="1">_xll.BDH($C$328,"ST_DEBT_SEQUENTIAL_GROWTH","FQ2 2015","FQ2 2015","Currency=INR","Period=FQ","BEST_FPERIOD_OVERRIDE=FQ","FILING_STATUS=OR","EQY_CONSOLIDATED=Y","Sort=A","Dates=H","DateFormat=P","Fill=—","Direction=H","UseDPDF=Y")</f>
        <v>#NAME?</v>
      </c>
      <c r="BT335" s="2" t="e">
        <f ca="1">_xll.BDH($C$328,"TOTAL_DEBT_SEQUENTIAL_GROWTH","FQ2 2015","FQ2 2015","Currency=INR","Period=FQ","BEST_FPERIOD_OVERRIDE=FQ","FILING_STATUS=OR","EQY_CONSOLIDATED=Y","Sort=A","Dates=H","DateFormat=P","Fill=—","Direction=H","UseDPDF=Y")</f>
        <v>#NAME?</v>
      </c>
      <c r="BU335" s="2" t="e">
        <f ca="1">_xll.BDH($C$328,"TOTAL_EQUITY_SEQUENTIAL_GROWTH","FQ2 2015","FQ2 2015","Currency=INR","Period=FQ","BEST_FPERIOD_OVERRIDE=FQ","FILING_STATUS=OR","EQY_CONSOLIDATED=Y","Sort=A","Dates=H","DateFormat=P","Fill=—","Direction=H","UseDPDF=Y")</f>
        <v>#NAME?</v>
      </c>
      <c r="BV335" s="2" t="e">
        <f ca="1">_xll.BDH($C$328,"TOTAL_CAPITAL_SEQUENTIAL_GROWTH","FQ2 2015","FQ2 2015","Currency=INR","Period=FQ","BEST_FPERIOD_OVERRIDE=FQ","FILING_STATUS=OR","EQY_CONSOLIDATED=Y","Sort=A","Dates=H","DateFormat=P","Fill=—","Direction=H","UseDPDF=Y")</f>
        <v>#NAME?</v>
      </c>
      <c r="BW335" s="2" t="e">
        <f ca="1">_xll.BDH($C$328,"BPS_SEQUENTIAL_GROWTH","FQ2 2015","FQ2 2015","Currency=INR","Period=FQ","BEST_FPERIOD_OVERRIDE=FQ","FILING_STATUS=OR","EQY_CONSOLIDATED=Y","Sort=A","Dates=H","DateFormat=P","Fill=—","Direction=H","UseDPDF=Y")</f>
        <v>#NAME?</v>
      </c>
      <c r="BX335" s="2" t="e">
        <f ca="1">_xll.BDH($C$328,"CFO_SEQUENTIAL_GROWTH","FQ2 2015","FQ2 2015","Currency=INR","Period=FQ","BEST_FPERIOD_OVERRIDE=FQ","FILING_STATUS=OR","EQY_CONSOLIDATED=Y","Sort=A","Dates=H","DateFormat=P","Fill=—","Direction=H","UseDPDF=Y")</f>
        <v>#NAME?</v>
      </c>
      <c r="BY335" s="3" t="e">
        <f ca="1">_xll.BDH($C$328,"SHORT_AND_LONG_TERM_DEBT","FQ2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35" s="3" t="e">
        <f ca="1">_xll.BDH($C$328,"BS_ST_BORROW","FQ2 2015","FQ2 2015","Currency=INR","Period=FQ","BEST_FPERIOD_OVERRIDE=FQ","FILING_STATUS=OR","EQY_CONSOLIDATED=Y","SCALING_FORMAT=MLN","Sort=A","Dates=H","DateFormat=P","Fill=—","Direction=H","UseDPDF=Y")</f>
        <v>#NAME?</v>
      </c>
      <c r="CA335" s="3" t="e">
        <f ca="1">_xll.BDH($C$328,"BS_LT_BORROW","FQ2 2015","FQ2 2015","Currency=INR","Period=FQ","BEST_FPERIOD_OVERRIDE=FQ","FILING_STATUS=OR","EQY_CONSOLIDATED=Y","SCALING_FORMAT=MLN","Sort=A","Dates=H","DateFormat=P","Fill=—","Direction=H","UseDPDF=Y")</f>
        <v>#NAME?</v>
      </c>
      <c r="CB335" s="2" t="e">
        <f ca="1">_xll.BDH($C$328,"TOT_DEBT_TO_EBITDA","FQ2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35" s="2" t="e">
        <f ca="1">_xll.BDH($C$328,"NET_DEBT_TO_EBITDA","FQ2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35" s="2" t="e">
        <f ca="1">_xll.BDH($C$328,"TOTAL_DEBT_TO_EBIT","FQ2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35" s="2" t="e">
        <f ca="1">_xll.BDH($C$328,"NET_DEBT_TO_EBIT","FQ2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35" s="2" t="e">
        <f ca="1">_xll.BDH($C$328,"EBITDA_TO_INTEREST_EXPN","FQ2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35" s="2" t="e">
        <f ca="1">_xll.BDH($C$328,"COM_EQY_TO_TOT_ASSET","FQ2 2015","FQ2 2015","Currency=INR","Period=FQ","BEST_FPERIOD_OVERRIDE=FQ","FILING_STATUS=OR","EQY_CONSOLIDATED=Y","Sort=A","Dates=H","DateFormat=P","Fill=—","Direction=H","UseDPDF=Y")</f>
        <v>#NAME?</v>
      </c>
      <c r="CH335" s="2" t="e">
        <f ca="1">_xll.BDH($C$328,"LT_DEBT_TO_TOT_EQY","FQ2 2015","FQ2 2015","Currency=INR","Period=FQ","BEST_FPERIOD_OVERRIDE=FQ","FILING_STATUS=OR","EQY_CONSOLIDATED=Y","Sort=A","Dates=H","DateFormat=P","Fill=—","Direction=H","UseDPDF=Y")</f>
        <v>#NAME?</v>
      </c>
      <c r="CI335" s="2" t="e">
        <f ca="1">_xll.BDH($C$328,"LT_DEBT_TO_TOT_CAP","FQ2 2015","FQ2 2015","Currency=INR","Period=FQ","BEST_FPERIOD_OVERRIDE=FQ","FILING_STATUS=OR","EQY_CONSOLIDATED=Y","Sort=A","Dates=H","DateFormat=P","Fill=—","Direction=H","UseDPDF=Y")</f>
        <v>#NAME?</v>
      </c>
      <c r="CJ335" s="2" t="e">
        <f ca="1">_xll.BDH($C$328,"LT_DEBT_TO_TOT_ASSET","FQ2 2015","FQ2 2015","Currency=INR","Period=FQ","BEST_FPERIOD_OVERRIDE=FQ","FILING_STATUS=OR","EQY_CONSOLIDATED=Y","Sort=A","Dates=H","DateFormat=P","Fill=—","Direction=H","UseDPDF=Y")</f>
        <v>#NAME?</v>
      </c>
      <c r="CK335" s="2" t="e">
        <f ca="1">_xll.BDH($C$328,"TOT_DEBT_TO_TOT_EQY","FQ2 2015","FQ2 2015","Currency=INR","Period=FQ","BEST_FPERIOD_OVERRIDE=FQ","FILING_STATUS=OR","EQY_CONSOLIDATED=Y","Sort=A","Dates=H","DateFormat=P","Fill=—","Direction=H","UseDPDF=Y")</f>
        <v>#NAME?</v>
      </c>
      <c r="CL335" s="2" t="e">
        <f ca="1">_xll.BDH($C$328,"TOT_DEBT_TO_TOT_CAP","FQ2 2015","FQ2 2015","Currency=INR","Period=FQ","BEST_FPERIOD_OVERRIDE=FQ","FILING_STATUS=OR","EQY_CONSOLIDATED=Y","Sort=A","Dates=H","DateFormat=P","Fill=—","Direction=H","UseDPDF=Y")</f>
        <v>#NAME?</v>
      </c>
      <c r="CM335" s="2" t="e">
        <f ca="1">_xll.BDH($C$328,"TOT_DEBT_TO_TOT_ASSET","FQ2 2015","FQ2 2015","Currency=INR","Period=FQ","BEST_FPERIOD_OVERRIDE=FQ","FILING_STATUS=OR","EQY_CONSOLIDATED=Y","Sort=A","Dates=H","DateFormat=P","Fill=—","Direction=H","UseDPDF=Y")</f>
        <v>#NAME?</v>
      </c>
      <c r="CN335" s="2" t="e">
        <f ca="1">_xll.BDH($C$328,"NET_DEBT_TO_SHRHLDR_EQTY","FQ2 2015","FQ2 2015","Currency=INR","Period=FQ","BEST_FPERIOD_OVERRIDE=FQ","FILING_STATUS=OR","EQY_CONSOLIDATED=Y","Sort=A","Dates=H","DateFormat=P","Fill=—","Direction=H","UseDPDF=Y")</f>
        <v>#NAME?</v>
      </c>
      <c r="CO335" s="2" t="e">
        <f ca="1">_xll.BDH($C$328,"NET_DEBT_%_CAPITAL","FQ2 2015","FQ2 2015","Currency=INR","Period=FQ","BEST_FPERIOD_OVERRIDE=FQ","FILING_STATUS=OR","EQY_CONSOLIDATED=Y","Sort=A","Dates=H","DateFormat=P","Fill=—","Direction=H","UseDPDF=Y")</f>
        <v>#NAME?</v>
      </c>
      <c r="CP335" s="3" t="e">
        <f ca="1">_xll.BDH($C$328,"EBITDA","FQ2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35" s="3" t="e">
        <f ca="1">_xll.BDH($C$328,"EBITDA_AFTER_CAPEX","FQ2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35" s="3" t="e">
        <f ca="1">_xll.BDH($C$328,"IS_OPER_INC","FQ2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35" s="2" t="e">
        <f ca="1">_xll.BDH($C$328,"CASH_RATIO","FQ2 2015","FQ2 2015","Currency=INR","Period=FQ","BEST_FPERIOD_OVERRIDE=FQ","FILING_STATUS=OR","EQY_CONSOLIDATED=Y","Sort=A","Dates=H","DateFormat=P","Fill=—","Direction=H","UseDPDF=Y")</f>
        <v>#NAME?</v>
      </c>
      <c r="CT335" s="2" t="e">
        <f ca="1">_xll.BDH($C$328,"CUR_RATIO","FQ2 2015","FQ2 2015","Currency=INR","Period=FQ","BEST_FPERIOD_OVERRIDE=FQ","FILING_STATUS=OR","EQY_CONSOLIDATED=Y","Sort=A","Dates=H","DateFormat=P","Fill=—","Direction=H","UseDPDF=Y")</f>
        <v>#NAME?</v>
      </c>
      <c r="CU335" s="2" t="e">
        <f ca="1">_xll.BDH($C$328,"QUICK_RATIO","FQ2 2015","FQ2 2015","Currency=INR","Period=FQ","BEST_FPERIOD_OVERRIDE=FQ","FILING_STATUS=OR","EQY_CONSOLIDATED=Y","Sort=A","Dates=H","DateFormat=P","Fill=—","Direction=H","UseDPDF=Y")</f>
        <v>#NAME?</v>
      </c>
      <c r="CV335" s="2" t="e">
        <f ca="1">_xll.BDH($C$328,"ALTMAN_Z_SCORE","FQ2 2015","FQ2 2015","Currency=INR","Period=FQ","BEST_FPERIOD_OVERRIDE=FQ","FILING_STATUS=OR","EQY_CONSOLIDATED=Y","Sort=A","Dates=H","DateFormat=P","Fill=—","Direction=H","UseDPDF=Y")</f>
        <v>#NAME?</v>
      </c>
      <c r="CW335" s="4" t="e">
        <f ca="1">_xll.BDH($C$328,"ACCT_RCV_TURN","FQ2 2015","FQ2 2015","Currency=INR","Period=FQ","BEST_FPERIOD_OVERRIDE=FQ","FILING_STATUS=OR","EQY_CONSOLIDATED=Y","FA_ADJUSTED=GAAP","Sort=A","Dates=H","DateFormat=P","Fill=—","Direction=H","UseDPDF=Y")</f>
        <v>#NAME?</v>
      </c>
      <c r="CX335" s="2" t="e">
        <f ca="1">_xll.BDH($C$328,"ACCT_RCV_DAYS","FQ2 2015","FQ2 2015","Currency=INR","Period=FQ","BEST_FPERIOD_OVERRIDE=FQ","FILING_STATUS=OR","EQY_CONSOLIDATED=Y","FA_ADJUSTED=GAAP","Sort=A","Dates=H","DateFormat=P","Fill=—","Direction=H","UseDPDF=Y")</f>
        <v>#NAME?</v>
      </c>
      <c r="CY335" s="4" t="e">
        <f ca="1">_xll.BDH($C$328,"INVENT_TURN","FQ2 2015","FQ2 2015","Currency=INR","Period=FQ","BEST_FPERIOD_OVERRIDE=FQ","FILING_STATUS=OR","EQY_CONSOLIDATED=Y","FA_ADJUSTED=GAAP","Sort=A","Dates=H","DateFormat=P","Fill=—","Direction=H","UseDPDF=Y")</f>
        <v>#NAME?</v>
      </c>
      <c r="CZ335" s="2" t="e">
        <f ca="1">_xll.BDH($C$328,"INVENT_DAYS","FQ2 2015","FQ2 2015","Currency=INR","Period=FQ","BEST_FPERIOD_OVERRIDE=FQ","FILING_STATUS=OR","EQY_CONSOLIDATED=Y","FA_ADJUSTED=GAAP","Sort=A","Dates=H","DateFormat=P","Fill=—","Direction=H","UseDPDF=Y")</f>
        <v>#NAME?</v>
      </c>
      <c r="DA335" s="4" t="e">
        <f ca="1">_xll.BDH($C$328,"ACCOUNTS_PAYABLE_TURNOVER","FQ2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35" s="2" t="e">
        <f ca="1">_xll.BDH($C$328,"ACCOUNTS_PAYABLE_TURNOVER_DAYS","FQ2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35" s="4" t="e">
        <f ca="1">_xll.BDH($C$328,"CASH_CONVERSION_CYCLE","FQ2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35" s="4" t="e">
        <f ca="1">_xll.BDH($C$328,"INV_TO_CASH_DAYS","FQ2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35" s="5" t="e">
        <f ca="1">_xll.BDH($C$328,"BS_INVENTORIES","FQ2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35" s="3" t="e">
        <f ca="1">_xll.BDH($C$328,"INVTRY_RAW_MATERIALS","FQ2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35" s="3" t="e">
        <f ca="1">_xll.BDH($C$328,"INVTRY_IN_PROGRESS","FQ2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35" s="3" t="e">
        <f ca="1">_xll.BDH($C$328,"INVTRY_FINISHED_GOODS","FQ2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35" s="3" t="e">
        <f ca="1">_xll.BDH($C$328,"BS_OTHER_INV","FQ2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36" spans="1:113" x14ac:dyDescent="0.3">
      <c r="A336" s="6"/>
      <c r="B336" s="6"/>
      <c r="C336" s="6"/>
      <c r="D336" s="6"/>
      <c r="E336" t="s">
        <v>80</v>
      </c>
      <c r="F336" t="e">
        <f ca="1">_xll.BDH($C$328,"RETURN_COM_EQY","FQ3 2015","FQ3 2015","Currency=INR","Period=FQ","BEST_FPERIOD_OVERRIDE=FQ","FILING_STATUS=OR","EQY_CONSOLIDATED=Y","FA_ADJUSTED=GAAP","Sort=A","Dates=H","DateFormat=P","Fill=—","Direction=H","UseDPDF=Y")</f>
        <v>#NAME?</v>
      </c>
      <c r="G336" t="e">
        <f ca="1">_xll.BDH($C$328,"RETURN_ON_ASSET","FQ3 2015","FQ3 2015","Currency=INR","Period=FQ","BEST_FPERIOD_OVERRIDE=FQ","FILING_STATUS=OR","EQY_CONSOLIDATED=Y","FA_ADJUSTED=GAAP","Sort=A","Dates=H","DateFormat=P","Fill=—","Direction=H","UseDPDF=Y")</f>
        <v>#NAME?</v>
      </c>
      <c r="H336" t="e">
        <f ca="1">_xll.BDH($C$328,"RETURN_ON_CAP","FQ3 2015","FQ3 2015","Currency=INR","Period=FQ","BEST_FPERIOD_OVERRIDE=FQ","FILING_STATUS=OR","EQY_CONSOLIDATED=Y","FA_ADJUSTED=GAAP","Sort=A","Dates=H","DateFormat=P","Fill=—","Direction=H","UseDPDF=Y")</f>
        <v>#NAME?</v>
      </c>
      <c r="I336" t="e">
        <f ca="1">_xll.BDH($C$328,"RETURN_ON_INV_CAPITAL","FQ3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36" t="e">
        <f ca="1">_xll.BDH($C$328,"EBITDA_TO_REVENUE","FQ3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36" t="e">
        <f ca="1">_xll.BDH($C$328,"OPER_MARGIN","FQ3 2015","FQ3 2015","Currency=INR","Period=FQ","BEST_FPERIOD_OVERRIDE=FQ","FILING_STATUS=OR","EQY_CONSOLIDATED=Y","FA_ADJUSTED=GAAP","Sort=A","Dates=H","DateFormat=P","Fill=—","Direction=H","UseDPDF=Y")</f>
        <v>#NAME?</v>
      </c>
      <c r="L336" t="e">
        <f ca="1">_xll.BDH($C$328,"INCREMENTAL_OPERATING_MARGIN","FQ3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36" t="e">
        <f ca="1">_xll.BDH($C$328,"PRETAX_INC_TO_NET_SALES","FQ3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36" t="e">
        <f ca="1">_xll.BDH($C$328,"INC_BEF_XO_ITEMS_TO_NET_SALES","FQ3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36" t="e">
        <f ca="1">_xll.BDH($C$328,"PROF_MARGIN","FQ3 2015","FQ3 2015","Currency=INR","Period=FQ","BEST_FPERIOD_OVERRIDE=FQ","FILING_STATUS=OR","EQY_CONSOLIDATED=Y","FA_ADJUSTED=GAAP","Sort=A","Dates=H","DateFormat=P","Fill=—","Direction=H","UseDPDF=Y")</f>
        <v>#NAME?</v>
      </c>
      <c r="P336" t="e">
        <f ca="1">_xll.BDH($C$328,"NET_INCOME_TO_COMMON_MARGIN","FQ3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36" t="e">
        <f ca="1">_xll.BDH($C$328,"EFF_TAX_RATE","FQ3 2015","FQ3 2015","Currency=INR","Period=FQ","BEST_FPERIOD_OVERRIDE=FQ","FILING_STATUS=OR","EQY_CONSOLIDATED=Y","FA_ADJUSTED=GAAP","Sort=A","Dates=H","DateFormat=P","Fill=—","Direction=H","UseDPDF=Y")</f>
        <v>#NAME?</v>
      </c>
      <c r="R336" t="e">
        <f ca="1">_xll.BDH($C$328,"DVD_PAYOUT_RATIO","FQ3 2015","FQ3 2015","Currency=INR","Period=FQ","BEST_FPERIOD_OVERRIDE=FQ","FILING_STATUS=OR","EQY_CONSOLIDATED=Y","FA_ADJUSTED=GAAP","Sort=A","Dates=H","DateFormat=P","Fill=—","Direction=H","UseDPDF=Y")</f>
        <v>#NAME?</v>
      </c>
      <c r="S336" t="e">
        <f ca="1">_xll.BDH($C$328,"SUSTAIN_GROWTH_RT","FQ3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36" s="2" t="e">
        <f ca="1">_xll.BDH($C$328,"SALES_GROWTH","FQ3 2015","FQ3 2015","Currency=INR","Period=FQ","BEST_FPERIOD_OVERRIDE=FQ","FILING_STATUS=OR","EQY_CONSOLIDATED=Y","FA_ADJUSTED=GAAP","Sort=A","Dates=H","DateFormat=P","Fill=—","Direction=H","UseDPDF=Y")</f>
        <v>#NAME?</v>
      </c>
      <c r="U336" s="2" t="e">
        <f ca="1">_xll.BDH($C$328,"EBITDA_GROWTH","FQ3 2015","FQ3 2015","Currency=INR","Period=FQ","BEST_FPERIOD_OVERRIDE=FQ","FILING_STATUS=OR","EQY_CONSOLIDATED=Y","FA_ADJUSTED=GAAP","Sort=A","Dates=H","DateFormat=P","Fill=—","Direction=H","UseDPDF=Y")</f>
        <v>#NAME?</v>
      </c>
      <c r="V336" s="2" t="e">
        <f ca="1">_xll.BDH($C$328,"OPER_INC_GROWTH","FQ3 2015","FQ3 2015","Currency=INR","Period=FQ","BEST_FPERIOD_OVERRIDE=FQ","FILING_STATUS=OR","EQY_CONSOLIDATED=Y","FA_ADJUSTED=GAAP","Sort=A","Dates=H","DateFormat=P","Fill=—","Direction=H","UseDPDF=Y")</f>
        <v>#NAME?</v>
      </c>
      <c r="W336" s="2" t="e">
        <f ca="1">_xll.BDH($C$328,"EARN_FOR_COM_GROWTH","FQ3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36" s="2" t="e">
        <f ca="1">_xll.BDH($C$328,"DILUTED_EPS_AFT_XO_ITEMS_GROWTH","FQ3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36" s="2" t="e">
        <f ca="1">_xll.BDH($C$328,"DIVIDEND_PER_SHARE_1_YEAR_GROWTH","FQ3 2015","FQ3 2015","Currency=INR","Period=FQ","BEST_FPERIOD_OVERRIDE=FQ","FILING_STATUS=OR","EQY_CONSOLIDATED=Y","Sort=A","Dates=H","DateFormat=P","Fill=—","Direction=H","UseDPDF=Y")</f>
        <v>#NAME?</v>
      </c>
      <c r="Z336" s="2" t="e">
        <f ca="1">_xll.BDH($C$328,"ACCOUNTS_RECEIVABLE_GROWTH","FQ3 2015","FQ3 2015","Currency=INR","Period=FQ","BEST_FPERIOD_OVERRIDE=FQ","FILING_STATUS=OR","EQY_CONSOLIDATED=Y","Sort=A","Dates=H","DateFormat=P","Fill=—","Direction=H","UseDPDF=Y")</f>
        <v>#NAME?</v>
      </c>
      <c r="AA336" s="2" t="e">
        <f ca="1">_xll.BDH($C$328,"INVENTORY_GROWTH","FQ3 2015","FQ3 2015","Currency=INR","Period=FQ","BEST_FPERIOD_OVERRIDE=FQ","FILING_STATUS=OR","EQY_CONSOLIDATED=Y","Sort=A","Dates=H","DateFormat=P","Fill=—","Direction=H","UseDPDF=Y")</f>
        <v>#NAME?</v>
      </c>
      <c r="AB336" s="2" t="e">
        <f ca="1">_xll.BDH($C$328,"NET_FIXED_ASSETS_1_YEAR_GROWTH","FQ3 2015","FQ3 2015","Currency=INR","Period=FQ","BEST_FPERIOD_OVERRIDE=FQ","FILING_STATUS=OR","EQY_CONSOLIDATED=Y","Sort=A","Dates=H","DateFormat=P","Fill=—","Direction=H","UseDPDF=Y")</f>
        <v>#NAME?</v>
      </c>
      <c r="AC336" s="2" t="e">
        <f ca="1">_xll.BDH($C$328,"ASSET_GROWTH","FQ3 2015","FQ3 2015","Currency=INR","Period=FQ","BEST_FPERIOD_OVERRIDE=FQ","FILING_STATUS=OR","EQY_CONSOLIDATED=Y","Sort=A","Dates=H","DateFormat=P","Fill=—","Direction=H","UseDPDF=Y")</f>
        <v>#NAME?</v>
      </c>
      <c r="AD336" s="2" t="e">
        <f ca="1">_xll.BDH($C$328,"MODIFIED_WORK_CAP_GROWTH","FQ3 2015","FQ3 2015","Currency=INR","Period=FQ","BEST_FPERIOD_OVERRIDE=FQ","FILING_STATUS=OR","EQY_CONSOLIDATED=Y","Sort=A","Dates=H","DateFormat=P","Fill=—","Direction=H","UseDPDF=Y")</f>
        <v>#NAME?</v>
      </c>
      <c r="AE336" s="2" t="e">
        <f ca="1">_xll.BDH($C$328,"WORK_CAP_GROWTH","FQ3 2015","FQ3 2015","Currency=INR","Period=FQ","BEST_FPERIOD_OVERRIDE=FQ","FILING_STATUS=OR","EQY_CONSOLIDATED=Y","Sort=A","Dates=H","DateFormat=P","Fill=—","Direction=H","UseDPDF=Y")</f>
        <v>#NAME?</v>
      </c>
      <c r="AF336" s="2" t="e">
        <f ca="1">_xll.BDH($C$328,"ACCOUNTS_PAYABLE_GROWTH_1YR","FQ3 2015","FQ3 2015","Currency=INR","Period=FQ","BEST_FPERIOD_OVERRIDE=FQ","FILING_STATUS=OR","EQY_CONSOLIDATED=Y","Sort=A","Dates=H","DateFormat=P","Fill=—","Direction=H","UseDPDF=Y")</f>
        <v>#NAME?</v>
      </c>
      <c r="AG336" s="2" t="e">
        <f ca="1">_xll.BDH($C$328,"SHORT_TERM_DEBT_1_YEAR_GROWTH","FQ3 2015","FQ3 2015","Currency=INR","Period=FQ","BEST_FPERIOD_OVERRIDE=FQ","FILING_STATUS=OR","EQY_CONSOLIDATED=Y","Sort=A","Dates=H","DateFormat=P","Fill=—","Direction=H","UseDPDF=Y")</f>
        <v>#NAME?</v>
      </c>
      <c r="AH336" s="2" t="e">
        <f ca="1">_xll.BDH($C$328,"TOTAL_DEBT_1_YEAR_GROWTH","FQ3 2015","FQ3 2015","Currency=INR","Period=FQ","BEST_FPERIOD_OVERRIDE=FQ","FILING_STATUS=OR","EQY_CONSOLIDATED=Y","Sort=A","Dates=H","DateFormat=P","Fill=—","Direction=H","UseDPDF=Y")</f>
        <v>#NAME?</v>
      </c>
      <c r="AI336" s="2" t="e">
        <f ca="1">_xll.BDH($C$328,"TOTAL_EQUITY_1_YEAR_GROWTH","FQ3 2015","FQ3 2015","Currency=INR","Period=FQ","BEST_FPERIOD_OVERRIDE=FQ","FILING_STATUS=OR","EQY_CONSOLIDATED=Y","Sort=A","Dates=H","DateFormat=P","Fill=—","Direction=H","UseDPDF=Y")</f>
        <v>#NAME?</v>
      </c>
      <c r="AJ336" s="2" t="e">
        <f ca="1">_xll.BDH($C$328,"GROWTH_IN_CAP","FQ3 2015","FQ3 2015","Currency=INR","Period=FQ","BEST_FPERIOD_OVERRIDE=FQ","FILING_STATUS=OR","EQY_CONSOLIDATED=Y","Sort=A","Dates=H","DateFormat=P","Fill=—","Direction=H","UseDPDF=Y")</f>
        <v>#NAME?</v>
      </c>
      <c r="AK336" s="2" t="e">
        <f ca="1">_xll.BDH($C$328,"BVPS_GROWTH","FQ3 2015","FQ3 2015","Currency=INR","Period=FQ","BEST_FPERIOD_OVERRIDE=FQ","FILING_STATUS=OR","EQY_CONSOLIDATED=Y","Sort=A","Dates=H","DateFormat=P","Fill=—","Direction=H","UseDPDF=Y")</f>
        <v>#NAME?</v>
      </c>
      <c r="AL336" s="2" t="e">
        <f ca="1">_xll.BDH($C$328,"CASH_FLOW_GROWTH","FQ3 2015","FQ3 2015","Currency=INR","Period=FQ","BEST_FPERIOD_OVERRIDE=FQ","FILING_STATUS=OR","EQY_CONSOLIDATED=Y","Sort=A","Dates=H","DateFormat=P","Fill=—","Direction=H","UseDPDF=Y")</f>
        <v>#NAME?</v>
      </c>
      <c r="AM336" s="2" t="e">
        <f ca="1">_xll.BDH($C$328,"GEO_GROW_NET_SALES","FQ3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36" s="2" t="e">
        <f ca="1">_xll.BDH($C$328,"GEO_GROW_EBITDA","FQ3 2015","FQ3 2015","Currency=INR","Period=FQ","BEST_FPERIOD_OVERRIDE=FQ","FILING_STATUS=OR","EQY_CONSOLIDATED=Y","FA_ADJUSTED=GAAP","Sort=A","Dates=H","DateFormat=P","Fill=—","Direction=H","UseDPDF=Y")</f>
        <v>#NAME?</v>
      </c>
      <c r="AO336" s="2" t="e">
        <f ca="1">_xll.BDH($C$328,"GEO_GROW_OPER_INC","FQ3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36" s="2" t="e">
        <f ca="1">_xll.BDH($C$328,"NET_INCOME_TO_COMMON_5_YR_GROWTH","FQ3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36" s="2" t="e">
        <f ca="1">_xll.BDH($C$328,"5Y_GEO_GROWTH_DILUTED_EPS","FQ3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36" s="2" t="e">
        <f ca="1">_xll.BDH($C$328,"GEO_GROW_DVD_PER_SH","FQ3 2015","FQ3 2015","Currency=INR","Period=FQ","BEST_FPERIOD_OVERRIDE=FQ","FILING_STATUS=OR","EQY_CONSOLIDATED=Y","Sort=A","Dates=H","DateFormat=P","Fill=—","Direction=H","UseDPDF=Y")</f>
        <v>#NAME?</v>
      </c>
      <c r="AS336" s="2" t="e">
        <f ca="1">_xll.BDH($C$328,"ACCOUNTS_RECEIVABLE_5_YR_GROWTH","FQ3 2015","FQ3 2015","Currency=INR","Period=FQ","BEST_FPERIOD_OVERRIDE=FQ","FILING_STATUS=OR","EQY_CONSOLIDATED=Y","Sort=A","Dates=H","DateFormat=P","Fill=—","Direction=H","UseDPDF=Y")</f>
        <v>#NAME?</v>
      </c>
      <c r="AT336" s="2" t="e">
        <f ca="1">_xll.BDH($C$328,"INVENTORY_5_YEAR_GROWTH","FQ3 2015","FQ3 2015","Currency=INR","Period=FQ","BEST_FPERIOD_OVERRIDE=FQ","FILING_STATUS=OR","EQY_CONSOLIDATED=Y","Sort=A","Dates=H","DateFormat=P","Fill=—","Direction=H","UseDPDF=Y")</f>
        <v>#NAME?</v>
      </c>
      <c r="AU336" s="2" t="e">
        <f ca="1">_xll.BDH($C$328,"NET_FIXED_ASSETS_5_YEAR_GROWTH","FQ3 2015","FQ3 2015","Currency=INR","Period=FQ","BEST_FPERIOD_OVERRIDE=FQ","FILING_STATUS=OR","EQY_CONSOLIDATED=Y","Sort=A","Dates=H","DateFormat=P","Fill=—","Direction=H","UseDPDF=Y")</f>
        <v>#NAME?</v>
      </c>
      <c r="AV336" s="2" t="e">
        <f ca="1">_xll.BDH($C$328,"GEO_GROW_TOT_ASSET","FQ3 2015","FQ3 2015","Currency=INR","Period=FQ","BEST_FPERIOD_OVERRIDE=FQ","FILING_STATUS=OR","EQY_CONSOLIDATED=Y","Sort=A","Dates=H","DateFormat=P","Fill=—","Direction=H","UseDPDF=Y")</f>
        <v>#NAME?</v>
      </c>
      <c r="AW336" s="2" t="e">
        <f ca="1">_xll.BDH($C$328,"MODIFIED_WORKING_CPTL_5YR_GRWTH","FQ3 2015","FQ3 2015","Currency=INR","Period=FQ","BEST_FPERIOD_OVERRIDE=FQ","FILING_STATUS=OR","EQY_CONSOLIDATED=Y","Sort=A","Dates=H","DateFormat=P","Fill=—","Direction=H","UseDPDF=Y")</f>
        <v>#NAME?</v>
      </c>
      <c r="AX336" s="2" t="e">
        <f ca="1">_xll.BDH($C$328,"WORKING_CAPITAL_5_YEAR_GROWTH","FQ3 2015","FQ3 2015","Currency=INR","Period=FQ","BEST_FPERIOD_OVERRIDE=FQ","FILING_STATUS=OR","EQY_CONSOLIDATED=Y","Sort=A","Dates=H","DateFormat=P","Fill=—","Direction=H","UseDPDF=Y")</f>
        <v>#NAME?</v>
      </c>
      <c r="AY336" s="2" t="e">
        <f ca="1">_xll.BDH($C$328,"ACCOUNTS_PAYABLE_5_YEAR_GROWTH","FQ3 2015","FQ3 2015","Currency=INR","Period=FQ","BEST_FPERIOD_OVERRIDE=FQ","FILING_STATUS=OR","EQY_CONSOLIDATED=Y","Sort=A","Dates=H","DateFormat=P","Fill=—","Direction=H","UseDPDF=Y")</f>
        <v>#NAME?</v>
      </c>
      <c r="AZ336" s="2" t="e">
        <f ca="1">_xll.BDH($C$328,"SHORT_TERM_DEBT_5_YEAR_GROWTH","FQ3 2015","FQ3 2015","Currency=INR","Period=FQ","BEST_FPERIOD_OVERRIDE=FQ","FILING_STATUS=OR","EQY_CONSOLIDATED=Y","Sort=A","Dates=H","DateFormat=P","Fill=—","Direction=H","UseDPDF=Y")</f>
        <v>#NAME?</v>
      </c>
      <c r="BA336" s="2" t="e">
        <f ca="1">_xll.BDH($C$328,"TOTAL_DEBT_5_YEAR_GROWTH","FQ3 2015","FQ3 2015","Currency=INR","Period=FQ","BEST_FPERIOD_OVERRIDE=FQ","FILING_STATUS=OR","EQY_CONSOLIDATED=Y","Sort=A","Dates=H","DateFormat=P","Fill=—","Direction=H","UseDPDF=Y")</f>
        <v>#NAME?</v>
      </c>
      <c r="BB336" s="2" t="e">
        <f ca="1">_xll.BDH($C$328,"GEO_GROW_TOT_SHRHLDR_EQY","FQ3 2015","FQ3 2015","Currency=INR","Period=FQ","BEST_FPERIOD_OVERRIDE=FQ","FILING_STATUS=OR","EQY_CONSOLIDATED=Y","Sort=A","Dates=H","DateFormat=P","Fill=—","Direction=H","UseDPDF=Y")</f>
        <v>#NAME?</v>
      </c>
      <c r="BC336" s="2" t="e">
        <f ca="1">_xll.BDH($C$328,"TOTAL_CAPITAL_5_YEAR_GROWTH","FQ3 2015","FQ3 2015","Currency=INR","Period=FQ","BEST_FPERIOD_OVERRIDE=FQ","FILING_STATUS=OR","EQY_CONSOLIDATED=Y","Sort=A","Dates=H","DateFormat=P","Fill=—","Direction=H","UseDPDF=Y")</f>
        <v>#NAME?</v>
      </c>
      <c r="BD336" s="2" t="e">
        <f ca="1">_xll.BDH($C$328,"GEO_GROW_BOOK_VAL","FQ3 2015","FQ3 2015","Currency=INR","Period=FQ","BEST_FPERIOD_OVERRIDE=FQ","FILING_STATUS=OR","EQY_CONSOLIDATED=Y","Sort=A","Dates=H","DateFormat=P","Fill=—","Direction=H","UseDPDF=Y")</f>
        <v>#NAME?</v>
      </c>
      <c r="BE336" s="2" t="e">
        <f ca="1">_xll.BDH($C$328,"GEO_GROW_CASH_OPER_ACT","FQ3 2015","FQ3 2015","Currency=INR","Period=FQ","BEST_FPERIOD_OVERRIDE=FQ","FILING_STATUS=OR","EQY_CONSOLIDATED=Y","Sort=A","Dates=H","DateFormat=P","Fill=—","Direction=H","UseDPDF=Y")</f>
        <v>#NAME?</v>
      </c>
      <c r="BF336" s="2" t="e">
        <f ca="1">_xll.BDH($C$328,"REVENUE_SEQUENTIAL_GROWTH","FQ3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36" s="2" t="e">
        <f ca="1">_xll.BDH($C$328,"EBITDA_SEQUENTIAL_GROWTH","FQ3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36" s="2" t="e">
        <f ca="1">_xll.BDH($C$328,"OPERATING_INCOME_SEQ_GROWTH","FQ3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36" s="2" t="e">
        <f ca="1">_xll.BDH($C$328,"NET_INCOME_TO_COMMON_SEQ_GROWTH","FQ3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36" s="2" t="e">
        <f ca="1">_xll.BDH($C$328,"EPS_DILUTED_SEQUENTIAL_GROWTH","FQ3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36" s="2" t="e">
        <f ca="1">_xll.BDH($C$328,"DPS_SEQUENTIAL_GROWTH","FQ3 2015","FQ3 2015","Currency=INR","Period=FQ","BEST_FPERIOD_OVERRIDE=FQ","FILING_STATUS=OR","EQY_CONSOLIDATED=Y","Sort=A","Dates=H","DateFormat=P","Fill=—","Direction=H","UseDPDF=Y")</f>
        <v>#NAME?</v>
      </c>
      <c r="BL336" s="2" t="e">
        <f ca="1">_xll.BDH($C$328,"ACCOUNTS_RECEIVABLE_SEQ_GROWTH","FQ3 2015","FQ3 2015","Currency=INR","Period=FQ","BEST_FPERIOD_OVERRIDE=FQ","FILING_STATUS=OR","EQY_CONSOLIDATED=Y","Sort=A","Dates=H","DateFormat=P","Fill=—","Direction=H","UseDPDF=Y")</f>
        <v>#NAME?</v>
      </c>
      <c r="BM336" s="2" t="e">
        <f ca="1">_xll.BDH($C$328,"INVENTORY_SEQUENTIAL_GROWTH","FQ3 2015","FQ3 2015","Currency=INR","Period=FQ","BEST_FPERIOD_OVERRIDE=FQ","FILING_STATUS=OR","EQY_CONSOLIDATED=Y","Sort=A","Dates=H","DateFormat=P","Fill=—","Direction=H","UseDPDF=Y")</f>
        <v>#NAME?</v>
      </c>
      <c r="BN336" s="2" t="e">
        <f ca="1">_xll.BDH($C$328,"FIXED_ASSETS_SEQUENTIAL_GROWTH","FQ3 2015","FQ3 2015","Currency=INR","Period=FQ","BEST_FPERIOD_OVERRIDE=FQ","FILING_STATUS=OR","EQY_CONSOLIDATED=Y","Sort=A","Dates=H","DateFormat=P","Fill=—","Direction=H","UseDPDF=Y")</f>
        <v>#NAME?</v>
      </c>
      <c r="BO336" s="2" t="e">
        <f ca="1">_xll.BDH($C$328,"TOTAL_ASSETS_SEQUENTIAL_GROWTH","FQ3 2015","FQ3 2015","Currency=INR","Period=FQ","BEST_FPERIOD_OVERRIDE=FQ","FILING_STATUS=OR","EQY_CONSOLIDATED=Y","Sort=A","Dates=H","DateFormat=P","Fill=—","Direction=H","UseDPDF=Y")</f>
        <v>#NAME?</v>
      </c>
      <c r="BP336" s="2" t="e">
        <f ca="1">_xll.BDH($C$328,"MODIFIED_WORKING_CPTL_SEQ_GRWTH","FQ3 2015","FQ3 2015","Currency=INR","Period=FQ","BEST_FPERIOD_OVERRIDE=FQ","FILING_STATUS=OR","EQY_CONSOLIDATED=Y","Sort=A","Dates=H","DateFormat=P","Fill=—","Direction=H","UseDPDF=Y")</f>
        <v>#NAME?</v>
      </c>
      <c r="BQ336" s="2" t="e">
        <f ca="1">_xll.BDH($C$328,"WORKING_CAPITAL_SEQ_GROWTH","FQ3 2015","FQ3 2015","Currency=INR","Period=FQ","BEST_FPERIOD_OVERRIDE=FQ","FILING_STATUS=OR","EQY_CONSOLIDATED=Y","Sort=A","Dates=H","DateFormat=P","Fill=—","Direction=H","UseDPDF=Y")</f>
        <v>#NAME?</v>
      </c>
      <c r="BR336" s="2" t="e">
        <f ca="1">_xll.BDH($C$328,"ACCOUNTS_PAYABLE_SEQ_GROWTH","FQ3 2015","FQ3 2015","Currency=INR","Period=FQ","BEST_FPERIOD_OVERRIDE=FQ","FILING_STATUS=OR","EQY_CONSOLIDATED=Y","Sort=A","Dates=H","DateFormat=P","Fill=—","Direction=H","UseDPDF=Y")</f>
        <v>#NAME?</v>
      </c>
      <c r="BS336" s="2" t="e">
        <f ca="1">_xll.BDH($C$328,"ST_DEBT_SEQUENTIAL_GROWTH","FQ3 2015","FQ3 2015","Currency=INR","Period=FQ","BEST_FPERIOD_OVERRIDE=FQ","FILING_STATUS=OR","EQY_CONSOLIDATED=Y","Sort=A","Dates=H","DateFormat=P","Fill=—","Direction=H","UseDPDF=Y")</f>
        <v>#NAME?</v>
      </c>
      <c r="BT336" s="2" t="e">
        <f ca="1">_xll.BDH($C$328,"TOTAL_DEBT_SEQUENTIAL_GROWTH","FQ3 2015","FQ3 2015","Currency=INR","Period=FQ","BEST_FPERIOD_OVERRIDE=FQ","FILING_STATUS=OR","EQY_CONSOLIDATED=Y","Sort=A","Dates=H","DateFormat=P","Fill=—","Direction=H","UseDPDF=Y")</f>
        <v>#NAME?</v>
      </c>
      <c r="BU336" s="2" t="e">
        <f ca="1">_xll.BDH($C$328,"TOTAL_EQUITY_SEQUENTIAL_GROWTH","FQ3 2015","FQ3 2015","Currency=INR","Period=FQ","BEST_FPERIOD_OVERRIDE=FQ","FILING_STATUS=OR","EQY_CONSOLIDATED=Y","Sort=A","Dates=H","DateFormat=P","Fill=—","Direction=H","UseDPDF=Y")</f>
        <v>#NAME?</v>
      </c>
      <c r="BV336" s="2" t="e">
        <f ca="1">_xll.BDH($C$328,"TOTAL_CAPITAL_SEQUENTIAL_GROWTH","FQ3 2015","FQ3 2015","Currency=INR","Period=FQ","BEST_FPERIOD_OVERRIDE=FQ","FILING_STATUS=OR","EQY_CONSOLIDATED=Y","Sort=A","Dates=H","DateFormat=P","Fill=—","Direction=H","UseDPDF=Y")</f>
        <v>#NAME?</v>
      </c>
      <c r="BW336" s="2" t="e">
        <f ca="1">_xll.BDH($C$328,"BPS_SEQUENTIAL_GROWTH","FQ3 2015","FQ3 2015","Currency=INR","Period=FQ","BEST_FPERIOD_OVERRIDE=FQ","FILING_STATUS=OR","EQY_CONSOLIDATED=Y","Sort=A","Dates=H","DateFormat=P","Fill=—","Direction=H","UseDPDF=Y")</f>
        <v>#NAME?</v>
      </c>
      <c r="BX336" s="2" t="e">
        <f ca="1">_xll.BDH($C$328,"CFO_SEQUENTIAL_GROWTH","FQ3 2015","FQ3 2015","Currency=INR","Period=FQ","BEST_FPERIOD_OVERRIDE=FQ","FILING_STATUS=OR","EQY_CONSOLIDATED=Y","Sort=A","Dates=H","DateFormat=P","Fill=—","Direction=H","UseDPDF=Y")</f>
        <v>#NAME?</v>
      </c>
      <c r="BY336" s="3" t="e">
        <f ca="1">_xll.BDH($C$328,"SHORT_AND_LONG_TERM_DEBT","FQ3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36" s="3" t="e">
        <f ca="1">_xll.BDH($C$328,"BS_ST_BORROW","FQ3 2015","FQ3 2015","Currency=INR","Period=FQ","BEST_FPERIOD_OVERRIDE=FQ","FILING_STATUS=OR","EQY_CONSOLIDATED=Y","SCALING_FORMAT=MLN","Sort=A","Dates=H","DateFormat=P","Fill=—","Direction=H","UseDPDF=Y")</f>
        <v>#NAME?</v>
      </c>
      <c r="CA336" s="3" t="e">
        <f ca="1">_xll.BDH($C$328,"BS_LT_BORROW","FQ3 2015","FQ3 2015","Currency=INR","Period=FQ","BEST_FPERIOD_OVERRIDE=FQ","FILING_STATUS=OR","EQY_CONSOLIDATED=Y","SCALING_FORMAT=MLN","Sort=A","Dates=H","DateFormat=P","Fill=—","Direction=H","UseDPDF=Y")</f>
        <v>#NAME?</v>
      </c>
      <c r="CB336" s="2" t="e">
        <f ca="1">_xll.BDH($C$328,"TOT_DEBT_TO_EBITDA","FQ3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36" s="2" t="e">
        <f ca="1">_xll.BDH($C$328,"NET_DEBT_TO_EBITDA","FQ3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36" s="2" t="e">
        <f ca="1">_xll.BDH($C$328,"TOTAL_DEBT_TO_EBIT","FQ3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36" s="2" t="e">
        <f ca="1">_xll.BDH($C$328,"NET_DEBT_TO_EBIT","FQ3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36" s="2" t="e">
        <f ca="1">_xll.BDH($C$328,"EBITDA_TO_INTEREST_EXPN","FQ3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36" s="2" t="e">
        <f ca="1">_xll.BDH($C$328,"COM_EQY_TO_TOT_ASSET","FQ3 2015","FQ3 2015","Currency=INR","Period=FQ","BEST_FPERIOD_OVERRIDE=FQ","FILING_STATUS=OR","EQY_CONSOLIDATED=Y","Sort=A","Dates=H","DateFormat=P","Fill=—","Direction=H","UseDPDF=Y")</f>
        <v>#NAME?</v>
      </c>
      <c r="CH336" s="2" t="e">
        <f ca="1">_xll.BDH($C$328,"LT_DEBT_TO_TOT_EQY","FQ3 2015","FQ3 2015","Currency=INR","Period=FQ","BEST_FPERIOD_OVERRIDE=FQ","FILING_STATUS=OR","EQY_CONSOLIDATED=Y","Sort=A","Dates=H","DateFormat=P","Fill=—","Direction=H","UseDPDF=Y")</f>
        <v>#NAME?</v>
      </c>
      <c r="CI336" s="2" t="e">
        <f ca="1">_xll.BDH($C$328,"LT_DEBT_TO_TOT_CAP","FQ3 2015","FQ3 2015","Currency=INR","Period=FQ","BEST_FPERIOD_OVERRIDE=FQ","FILING_STATUS=OR","EQY_CONSOLIDATED=Y","Sort=A","Dates=H","DateFormat=P","Fill=—","Direction=H","UseDPDF=Y")</f>
        <v>#NAME?</v>
      </c>
      <c r="CJ336" s="2" t="e">
        <f ca="1">_xll.BDH($C$328,"LT_DEBT_TO_TOT_ASSET","FQ3 2015","FQ3 2015","Currency=INR","Period=FQ","BEST_FPERIOD_OVERRIDE=FQ","FILING_STATUS=OR","EQY_CONSOLIDATED=Y","Sort=A","Dates=H","DateFormat=P","Fill=—","Direction=H","UseDPDF=Y")</f>
        <v>#NAME?</v>
      </c>
      <c r="CK336" s="2" t="e">
        <f ca="1">_xll.BDH($C$328,"TOT_DEBT_TO_TOT_EQY","FQ3 2015","FQ3 2015","Currency=INR","Period=FQ","BEST_FPERIOD_OVERRIDE=FQ","FILING_STATUS=OR","EQY_CONSOLIDATED=Y","Sort=A","Dates=H","DateFormat=P","Fill=—","Direction=H","UseDPDF=Y")</f>
        <v>#NAME?</v>
      </c>
      <c r="CL336" s="2" t="e">
        <f ca="1">_xll.BDH($C$328,"TOT_DEBT_TO_TOT_CAP","FQ3 2015","FQ3 2015","Currency=INR","Period=FQ","BEST_FPERIOD_OVERRIDE=FQ","FILING_STATUS=OR","EQY_CONSOLIDATED=Y","Sort=A","Dates=H","DateFormat=P","Fill=—","Direction=H","UseDPDF=Y")</f>
        <v>#NAME?</v>
      </c>
      <c r="CM336" s="2" t="e">
        <f ca="1">_xll.BDH($C$328,"TOT_DEBT_TO_TOT_ASSET","FQ3 2015","FQ3 2015","Currency=INR","Period=FQ","BEST_FPERIOD_OVERRIDE=FQ","FILING_STATUS=OR","EQY_CONSOLIDATED=Y","Sort=A","Dates=H","DateFormat=P","Fill=—","Direction=H","UseDPDF=Y")</f>
        <v>#NAME?</v>
      </c>
      <c r="CN336" s="2" t="e">
        <f ca="1">_xll.BDH($C$328,"NET_DEBT_TO_SHRHLDR_EQTY","FQ3 2015","FQ3 2015","Currency=INR","Period=FQ","BEST_FPERIOD_OVERRIDE=FQ","FILING_STATUS=OR","EQY_CONSOLIDATED=Y","Sort=A","Dates=H","DateFormat=P","Fill=—","Direction=H","UseDPDF=Y")</f>
        <v>#NAME?</v>
      </c>
      <c r="CO336" s="2" t="e">
        <f ca="1">_xll.BDH($C$328,"NET_DEBT_%_CAPITAL","FQ3 2015","FQ3 2015","Currency=INR","Period=FQ","BEST_FPERIOD_OVERRIDE=FQ","FILING_STATUS=OR","EQY_CONSOLIDATED=Y","Sort=A","Dates=H","DateFormat=P","Fill=—","Direction=H","UseDPDF=Y")</f>
        <v>#NAME?</v>
      </c>
      <c r="CP336" s="3" t="e">
        <f ca="1">_xll.BDH($C$328,"EBITDA","FQ3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36" s="3" t="e">
        <f ca="1">_xll.BDH($C$328,"EBITDA_AFTER_CAPEX","FQ3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36" s="3" t="e">
        <f ca="1">_xll.BDH($C$328,"IS_OPER_INC","FQ3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36" s="2" t="e">
        <f ca="1">_xll.BDH($C$328,"CASH_RATIO","FQ3 2015","FQ3 2015","Currency=INR","Period=FQ","BEST_FPERIOD_OVERRIDE=FQ","FILING_STATUS=OR","EQY_CONSOLIDATED=Y","Sort=A","Dates=H","DateFormat=P","Fill=—","Direction=H","UseDPDF=Y")</f>
        <v>#NAME?</v>
      </c>
      <c r="CT336" s="2" t="e">
        <f ca="1">_xll.BDH($C$328,"CUR_RATIO","FQ3 2015","FQ3 2015","Currency=INR","Period=FQ","BEST_FPERIOD_OVERRIDE=FQ","FILING_STATUS=OR","EQY_CONSOLIDATED=Y","Sort=A","Dates=H","DateFormat=P","Fill=—","Direction=H","UseDPDF=Y")</f>
        <v>#NAME?</v>
      </c>
      <c r="CU336" s="2" t="e">
        <f ca="1">_xll.BDH($C$328,"QUICK_RATIO","FQ3 2015","FQ3 2015","Currency=INR","Period=FQ","BEST_FPERIOD_OVERRIDE=FQ","FILING_STATUS=OR","EQY_CONSOLIDATED=Y","Sort=A","Dates=H","DateFormat=P","Fill=—","Direction=H","UseDPDF=Y")</f>
        <v>#NAME?</v>
      </c>
      <c r="CV336" s="2" t="e">
        <f ca="1">_xll.BDH($C$328,"ALTMAN_Z_SCORE","FQ3 2015","FQ3 2015","Currency=INR","Period=FQ","BEST_FPERIOD_OVERRIDE=FQ","FILING_STATUS=OR","EQY_CONSOLIDATED=Y","Sort=A","Dates=H","DateFormat=P","Fill=—","Direction=H","UseDPDF=Y")</f>
        <v>#NAME?</v>
      </c>
      <c r="CW336" s="4" t="e">
        <f ca="1">_xll.BDH($C$328,"ACCT_RCV_TURN","FQ3 2015","FQ3 2015","Currency=INR","Period=FQ","BEST_FPERIOD_OVERRIDE=FQ","FILING_STATUS=OR","EQY_CONSOLIDATED=Y","FA_ADJUSTED=GAAP","Sort=A","Dates=H","DateFormat=P","Fill=—","Direction=H","UseDPDF=Y")</f>
        <v>#NAME?</v>
      </c>
      <c r="CX336" s="2" t="e">
        <f ca="1">_xll.BDH($C$328,"ACCT_RCV_DAYS","FQ3 2015","FQ3 2015","Currency=INR","Period=FQ","BEST_FPERIOD_OVERRIDE=FQ","FILING_STATUS=OR","EQY_CONSOLIDATED=Y","FA_ADJUSTED=GAAP","Sort=A","Dates=H","DateFormat=P","Fill=—","Direction=H","UseDPDF=Y")</f>
        <v>#NAME?</v>
      </c>
      <c r="CY336" s="4" t="e">
        <f ca="1">_xll.BDH($C$328,"INVENT_TURN","FQ3 2015","FQ3 2015","Currency=INR","Period=FQ","BEST_FPERIOD_OVERRIDE=FQ","FILING_STATUS=OR","EQY_CONSOLIDATED=Y","FA_ADJUSTED=GAAP","Sort=A","Dates=H","DateFormat=P","Fill=—","Direction=H","UseDPDF=Y")</f>
        <v>#NAME?</v>
      </c>
      <c r="CZ336" s="2" t="e">
        <f ca="1">_xll.BDH($C$328,"INVENT_DAYS","FQ3 2015","FQ3 2015","Currency=INR","Period=FQ","BEST_FPERIOD_OVERRIDE=FQ","FILING_STATUS=OR","EQY_CONSOLIDATED=Y","FA_ADJUSTED=GAAP","Sort=A","Dates=H","DateFormat=P","Fill=—","Direction=H","UseDPDF=Y")</f>
        <v>#NAME?</v>
      </c>
      <c r="DA336" s="4" t="e">
        <f ca="1">_xll.BDH($C$328,"ACCOUNTS_PAYABLE_TURNOVER","FQ3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36" s="2" t="e">
        <f ca="1">_xll.BDH($C$328,"ACCOUNTS_PAYABLE_TURNOVER_DAYS","FQ3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36" s="4" t="e">
        <f ca="1">_xll.BDH($C$328,"CASH_CONVERSION_CYCLE","FQ3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36" s="4" t="e">
        <f ca="1">_xll.BDH($C$328,"INV_TO_CASH_DAYS","FQ3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36" s="5" t="e">
        <f ca="1">_xll.BDH($C$328,"BS_INVENTORIES","FQ3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36" s="3" t="e">
        <f ca="1">_xll.BDH($C$328,"INVTRY_RAW_MATERIALS","FQ3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36" s="3" t="e">
        <f ca="1">_xll.BDH($C$328,"INVTRY_IN_PROGRESS","FQ3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36" s="3" t="e">
        <f ca="1">_xll.BDH($C$328,"INVTRY_FINISHED_GOODS","FQ3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36" s="3" t="e">
        <f ca="1">_xll.BDH($C$328,"BS_OTHER_INV","FQ3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37" spans="1:113" x14ac:dyDescent="0.3">
      <c r="A337" s="6"/>
      <c r="B337" s="6"/>
      <c r="C337" s="6"/>
      <c r="D337" s="6"/>
      <c r="E337" t="s">
        <v>81</v>
      </c>
      <c r="F337" t="e">
        <f ca="1">_xll.BDH($C$328,"RETURN_COM_EQY","FQ4 2015","FQ4 2015","Currency=INR","Period=FQ","BEST_FPERIOD_OVERRIDE=FQ","FILING_STATUS=OR","EQY_CONSOLIDATED=Y","FA_ADJUSTED=GAAP","Sort=A","Dates=H","DateFormat=P","Fill=—","Direction=H","UseDPDF=Y")</f>
        <v>#NAME?</v>
      </c>
      <c r="G337" t="e">
        <f ca="1">_xll.BDH($C$328,"RETURN_ON_ASSET","FQ4 2015","FQ4 2015","Currency=INR","Period=FQ","BEST_FPERIOD_OVERRIDE=FQ","FILING_STATUS=OR","EQY_CONSOLIDATED=Y","FA_ADJUSTED=GAAP","Sort=A","Dates=H","DateFormat=P","Fill=—","Direction=H","UseDPDF=Y")</f>
        <v>#NAME?</v>
      </c>
      <c r="H337" t="e">
        <f ca="1">_xll.BDH($C$328,"RETURN_ON_CAP","FQ4 2015","FQ4 2015","Currency=INR","Period=FQ","BEST_FPERIOD_OVERRIDE=FQ","FILING_STATUS=OR","EQY_CONSOLIDATED=Y","FA_ADJUSTED=GAAP","Sort=A","Dates=H","DateFormat=P","Fill=—","Direction=H","UseDPDF=Y")</f>
        <v>#NAME?</v>
      </c>
      <c r="I337" t="e">
        <f ca="1">_xll.BDH($C$328,"RETURN_ON_INV_CAPITAL","FQ4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37" t="e">
        <f ca="1">_xll.BDH($C$328,"EBITDA_TO_REVENUE","FQ4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37" t="e">
        <f ca="1">_xll.BDH($C$328,"OPER_MARGIN","FQ4 2015","FQ4 2015","Currency=INR","Period=FQ","BEST_FPERIOD_OVERRIDE=FQ","FILING_STATUS=OR","EQY_CONSOLIDATED=Y","FA_ADJUSTED=GAAP","Sort=A","Dates=H","DateFormat=P","Fill=—","Direction=H","UseDPDF=Y")</f>
        <v>#NAME?</v>
      </c>
      <c r="L337" t="e">
        <f ca="1">_xll.BDH($C$328,"INCREMENTAL_OPERATING_MARGIN","FQ4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37" t="e">
        <f ca="1">_xll.BDH($C$328,"PRETAX_INC_TO_NET_SALES","FQ4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37" t="e">
        <f ca="1">_xll.BDH($C$328,"INC_BEF_XO_ITEMS_TO_NET_SALES","FQ4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37" t="e">
        <f ca="1">_xll.BDH($C$328,"PROF_MARGIN","FQ4 2015","FQ4 2015","Currency=INR","Period=FQ","BEST_FPERIOD_OVERRIDE=FQ","FILING_STATUS=OR","EQY_CONSOLIDATED=Y","FA_ADJUSTED=GAAP","Sort=A","Dates=H","DateFormat=P","Fill=—","Direction=H","UseDPDF=Y")</f>
        <v>#NAME?</v>
      </c>
      <c r="P337" t="e">
        <f ca="1">_xll.BDH($C$328,"NET_INCOME_TO_COMMON_MARGIN","FQ4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37" t="e">
        <f ca="1">_xll.BDH($C$328,"EFF_TAX_RATE","FQ4 2015","FQ4 2015","Currency=INR","Period=FQ","BEST_FPERIOD_OVERRIDE=FQ","FILING_STATUS=OR","EQY_CONSOLIDATED=Y","FA_ADJUSTED=GAAP","Sort=A","Dates=H","DateFormat=P","Fill=—","Direction=H","UseDPDF=Y")</f>
        <v>#NAME?</v>
      </c>
      <c r="R337" t="e">
        <f ca="1">_xll.BDH($C$328,"DVD_PAYOUT_RATIO","FQ4 2015","FQ4 2015","Currency=INR","Period=FQ","BEST_FPERIOD_OVERRIDE=FQ","FILING_STATUS=OR","EQY_CONSOLIDATED=Y","FA_ADJUSTED=GAAP","Sort=A","Dates=H","DateFormat=P","Fill=—","Direction=H","UseDPDF=Y")</f>
        <v>#NAME?</v>
      </c>
      <c r="S337" t="e">
        <f ca="1">_xll.BDH($C$328,"SUSTAIN_GROWTH_RT","FQ4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37" s="2" t="e">
        <f ca="1">_xll.BDH($C$328,"SALES_GROWTH","FQ4 2015","FQ4 2015","Currency=INR","Period=FQ","BEST_FPERIOD_OVERRIDE=FQ","FILING_STATUS=OR","EQY_CONSOLIDATED=Y","FA_ADJUSTED=GAAP","Sort=A","Dates=H","DateFormat=P","Fill=—","Direction=H","UseDPDF=Y")</f>
        <v>#NAME?</v>
      </c>
      <c r="U337" s="2" t="e">
        <f ca="1">_xll.BDH($C$328,"EBITDA_GROWTH","FQ4 2015","FQ4 2015","Currency=INR","Period=FQ","BEST_FPERIOD_OVERRIDE=FQ","FILING_STATUS=OR","EQY_CONSOLIDATED=Y","FA_ADJUSTED=GAAP","Sort=A","Dates=H","DateFormat=P","Fill=—","Direction=H","UseDPDF=Y")</f>
        <v>#NAME?</v>
      </c>
      <c r="V337" s="2" t="e">
        <f ca="1">_xll.BDH($C$328,"OPER_INC_GROWTH","FQ4 2015","FQ4 2015","Currency=INR","Period=FQ","BEST_FPERIOD_OVERRIDE=FQ","FILING_STATUS=OR","EQY_CONSOLIDATED=Y","FA_ADJUSTED=GAAP","Sort=A","Dates=H","DateFormat=P","Fill=—","Direction=H","UseDPDF=Y")</f>
        <v>#NAME?</v>
      </c>
      <c r="W337" s="2" t="e">
        <f ca="1">_xll.BDH($C$328,"EARN_FOR_COM_GROWTH","FQ4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37" s="2" t="e">
        <f ca="1">_xll.BDH($C$328,"DILUTED_EPS_AFT_XO_ITEMS_GROWTH","FQ4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37" s="2" t="e">
        <f ca="1">_xll.BDH($C$328,"DIVIDEND_PER_SHARE_1_YEAR_GROWTH","FQ4 2015","FQ4 2015","Currency=INR","Period=FQ","BEST_FPERIOD_OVERRIDE=FQ","FILING_STATUS=OR","EQY_CONSOLIDATED=Y","Sort=A","Dates=H","DateFormat=P","Fill=—","Direction=H","UseDPDF=Y")</f>
        <v>#NAME?</v>
      </c>
      <c r="Z337" s="2" t="e">
        <f ca="1">_xll.BDH($C$328,"ACCOUNTS_RECEIVABLE_GROWTH","FQ4 2015","FQ4 2015","Currency=INR","Period=FQ","BEST_FPERIOD_OVERRIDE=FQ","FILING_STATUS=OR","EQY_CONSOLIDATED=Y","Sort=A","Dates=H","DateFormat=P","Fill=—","Direction=H","UseDPDF=Y")</f>
        <v>#NAME?</v>
      </c>
      <c r="AA337" s="2" t="e">
        <f ca="1">_xll.BDH($C$328,"INVENTORY_GROWTH","FQ4 2015","FQ4 2015","Currency=INR","Period=FQ","BEST_FPERIOD_OVERRIDE=FQ","FILING_STATUS=OR","EQY_CONSOLIDATED=Y","Sort=A","Dates=H","DateFormat=P","Fill=—","Direction=H","UseDPDF=Y")</f>
        <v>#NAME?</v>
      </c>
      <c r="AB337" s="2" t="e">
        <f ca="1">_xll.BDH($C$328,"NET_FIXED_ASSETS_1_YEAR_GROWTH","FQ4 2015","FQ4 2015","Currency=INR","Period=FQ","BEST_FPERIOD_OVERRIDE=FQ","FILING_STATUS=OR","EQY_CONSOLIDATED=Y","Sort=A","Dates=H","DateFormat=P","Fill=—","Direction=H","UseDPDF=Y")</f>
        <v>#NAME?</v>
      </c>
      <c r="AC337" s="2" t="e">
        <f ca="1">_xll.BDH($C$328,"ASSET_GROWTH","FQ4 2015","FQ4 2015","Currency=INR","Period=FQ","BEST_FPERIOD_OVERRIDE=FQ","FILING_STATUS=OR","EQY_CONSOLIDATED=Y","Sort=A","Dates=H","DateFormat=P","Fill=—","Direction=H","UseDPDF=Y")</f>
        <v>#NAME?</v>
      </c>
      <c r="AD337" s="2" t="e">
        <f ca="1">_xll.BDH($C$328,"MODIFIED_WORK_CAP_GROWTH","FQ4 2015","FQ4 2015","Currency=INR","Period=FQ","BEST_FPERIOD_OVERRIDE=FQ","FILING_STATUS=OR","EQY_CONSOLIDATED=Y","Sort=A","Dates=H","DateFormat=P","Fill=—","Direction=H","UseDPDF=Y")</f>
        <v>#NAME?</v>
      </c>
      <c r="AE337" s="2" t="e">
        <f ca="1">_xll.BDH($C$328,"WORK_CAP_GROWTH","FQ4 2015","FQ4 2015","Currency=INR","Period=FQ","BEST_FPERIOD_OVERRIDE=FQ","FILING_STATUS=OR","EQY_CONSOLIDATED=Y","Sort=A","Dates=H","DateFormat=P","Fill=—","Direction=H","UseDPDF=Y")</f>
        <v>#NAME?</v>
      </c>
      <c r="AF337" s="2" t="e">
        <f ca="1">_xll.BDH($C$328,"ACCOUNTS_PAYABLE_GROWTH_1YR","FQ4 2015","FQ4 2015","Currency=INR","Period=FQ","BEST_FPERIOD_OVERRIDE=FQ","FILING_STATUS=OR","EQY_CONSOLIDATED=Y","Sort=A","Dates=H","DateFormat=P","Fill=—","Direction=H","UseDPDF=Y")</f>
        <v>#NAME?</v>
      </c>
      <c r="AG337" s="2" t="e">
        <f ca="1">_xll.BDH($C$328,"SHORT_TERM_DEBT_1_YEAR_GROWTH","FQ4 2015","FQ4 2015","Currency=INR","Period=FQ","BEST_FPERIOD_OVERRIDE=FQ","FILING_STATUS=OR","EQY_CONSOLIDATED=Y","Sort=A","Dates=H","DateFormat=P","Fill=—","Direction=H","UseDPDF=Y")</f>
        <v>#NAME?</v>
      </c>
      <c r="AH337" s="2" t="e">
        <f ca="1">_xll.BDH($C$328,"TOTAL_DEBT_1_YEAR_GROWTH","FQ4 2015","FQ4 2015","Currency=INR","Period=FQ","BEST_FPERIOD_OVERRIDE=FQ","FILING_STATUS=OR","EQY_CONSOLIDATED=Y","Sort=A","Dates=H","DateFormat=P","Fill=—","Direction=H","UseDPDF=Y")</f>
        <v>#NAME?</v>
      </c>
      <c r="AI337" s="2" t="e">
        <f ca="1">_xll.BDH($C$328,"TOTAL_EQUITY_1_YEAR_GROWTH","FQ4 2015","FQ4 2015","Currency=INR","Period=FQ","BEST_FPERIOD_OVERRIDE=FQ","FILING_STATUS=OR","EQY_CONSOLIDATED=Y","Sort=A","Dates=H","DateFormat=P","Fill=—","Direction=H","UseDPDF=Y")</f>
        <v>#NAME?</v>
      </c>
      <c r="AJ337" s="2" t="e">
        <f ca="1">_xll.BDH($C$328,"GROWTH_IN_CAP","FQ4 2015","FQ4 2015","Currency=INR","Period=FQ","BEST_FPERIOD_OVERRIDE=FQ","FILING_STATUS=OR","EQY_CONSOLIDATED=Y","Sort=A","Dates=H","DateFormat=P","Fill=—","Direction=H","UseDPDF=Y")</f>
        <v>#NAME?</v>
      </c>
      <c r="AK337" s="2" t="e">
        <f ca="1">_xll.BDH($C$328,"BVPS_GROWTH","FQ4 2015","FQ4 2015","Currency=INR","Period=FQ","BEST_FPERIOD_OVERRIDE=FQ","FILING_STATUS=OR","EQY_CONSOLIDATED=Y","Sort=A","Dates=H","DateFormat=P","Fill=—","Direction=H","UseDPDF=Y")</f>
        <v>#NAME?</v>
      </c>
      <c r="AL337" s="2" t="e">
        <f ca="1">_xll.BDH($C$328,"CASH_FLOW_GROWTH","FQ4 2015","FQ4 2015","Currency=INR","Period=FQ","BEST_FPERIOD_OVERRIDE=FQ","FILING_STATUS=OR","EQY_CONSOLIDATED=Y","Sort=A","Dates=H","DateFormat=P","Fill=—","Direction=H","UseDPDF=Y")</f>
        <v>#NAME?</v>
      </c>
      <c r="AM337" s="2" t="e">
        <f ca="1">_xll.BDH($C$328,"GEO_GROW_NET_SALES","FQ4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37" s="2" t="e">
        <f ca="1">_xll.BDH($C$328,"GEO_GROW_EBITDA","FQ4 2015","FQ4 2015","Currency=INR","Period=FQ","BEST_FPERIOD_OVERRIDE=FQ","FILING_STATUS=OR","EQY_CONSOLIDATED=Y","FA_ADJUSTED=GAAP","Sort=A","Dates=H","DateFormat=P","Fill=—","Direction=H","UseDPDF=Y")</f>
        <v>#NAME?</v>
      </c>
      <c r="AO337" s="2" t="e">
        <f ca="1">_xll.BDH($C$328,"GEO_GROW_OPER_INC","FQ4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37" s="2" t="e">
        <f ca="1">_xll.BDH($C$328,"NET_INCOME_TO_COMMON_5_YR_GROWTH","FQ4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37" s="2" t="e">
        <f ca="1">_xll.BDH($C$328,"5Y_GEO_GROWTH_DILUTED_EPS","FQ4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37" s="2" t="e">
        <f ca="1">_xll.BDH($C$328,"GEO_GROW_DVD_PER_SH","FQ4 2015","FQ4 2015","Currency=INR","Period=FQ","BEST_FPERIOD_OVERRIDE=FQ","FILING_STATUS=OR","EQY_CONSOLIDATED=Y","Sort=A","Dates=H","DateFormat=P","Fill=—","Direction=H","UseDPDF=Y")</f>
        <v>#NAME?</v>
      </c>
      <c r="AS337" s="2" t="e">
        <f ca="1">_xll.BDH($C$328,"ACCOUNTS_RECEIVABLE_5_YR_GROWTH","FQ4 2015","FQ4 2015","Currency=INR","Period=FQ","BEST_FPERIOD_OVERRIDE=FQ","FILING_STATUS=OR","EQY_CONSOLIDATED=Y","Sort=A","Dates=H","DateFormat=P","Fill=—","Direction=H","UseDPDF=Y")</f>
        <v>#NAME?</v>
      </c>
      <c r="AT337" s="2" t="e">
        <f ca="1">_xll.BDH($C$328,"INVENTORY_5_YEAR_GROWTH","FQ4 2015","FQ4 2015","Currency=INR","Period=FQ","BEST_FPERIOD_OVERRIDE=FQ","FILING_STATUS=OR","EQY_CONSOLIDATED=Y","Sort=A","Dates=H","DateFormat=P","Fill=—","Direction=H","UseDPDF=Y")</f>
        <v>#NAME?</v>
      </c>
      <c r="AU337" s="2" t="e">
        <f ca="1">_xll.BDH($C$328,"NET_FIXED_ASSETS_5_YEAR_GROWTH","FQ4 2015","FQ4 2015","Currency=INR","Period=FQ","BEST_FPERIOD_OVERRIDE=FQ","FILING_STATUS=OR","EQY_CONSOLIDATED=Y","Sort=A","Dates=H","DateFormat=P","Fill=—","Direction=H","UseDPDF=Y")</f>
        <v>#NAME?</v>
      </c>
      <c r="AV337" s="2" t="e">
        <f ca="1">_xll.BDH($C$328,"GEO_GROW_TOT_ASSET","FQ4 2015","FQ4 2015","Currency=INR","Period=FQ","BEST_FPERIOD_OVERRIDE=FQ","FILING_STATUS=OR","EQY_CONSOLIDATED=Y","Sort=A","Dates=H","DateFormat=P","Fill=—","Direction=H","UseDPDF=Y")</f>
        <v>#NAME?</v>
      </c>
      <c r="AW337" s="2" t="e">
        <f ca="1">_xll.BDH($C$328,"MODIFIED_WORKING_CPTL_5YR_GRWTH","FQ4 2015","FQ4 2015","Currency=INR","Period=FQ","BEST_FPERIOD_OVERRIDE=FQ","FILING_STATUS=OR","EQY_CONSOLIDATED=Y","Sort=A","Dates=H","DateFormat=P","Fill=—","Direction=H","UseDPDF=Y")</f>
        <v>#NAME?</v>
      </c>
      <c r="AX337" s="2" t="e">
        <f ca="1">_xll.BDH($C$328,"WORKING_CAPITAL_5_YEAR_GROWTH","FQ4 2015","FQ4 2015","Currency=INR","Period=FQ","BEST_FPERIOD_OVERRIDE=FQ","FILING_STATUS=OR","EQY_CONSOLIDATED=Y","Sort=A","Dates=H","DateFormat=P","Fill=—","Direction=H","UseDPDF=Y")</f>
        <v>#NAME?</v>
      </c>
      <c r="AY337" s="2" t="e">
        <f ca="1">_xll.BDH($C$328,"ACCOUNTS_PAYABLE_5_YEAR_GROWTH","FQ4 2015","FQ4 2015","Currency=INR","Period=FQ","BEST_FPERIOD_OVERRIDE=FQ","FILING_STATUS=OR","EQY_CONSOLIDATED=Y","Sort=A","Dates=H","DateFormat=P","Fill=—","Direction=H","UseDPDF=Y")</f>
        <v>#NAME?</v>
      </c>
      <c r="AZ337" s="2" t="e">
        <f ca="1">_xll.BDH($C$328,"SHORT_TERM_DEBT_5_YEAR_GROWTH","FQ4 2015","FQ4 2015","Currency=INR","Period=FQ","BEST_FPERIOD_OVERRIDE=FQ","FILING_STATUS=OR","EQY_CONSOLIDATED=Y","Sort=A","Dates=H","DateFormat=P","Fill=—","Direction=H","UseDPDF=Y")</f>
        <v>#NAME?</v>
      </c>
      <c r="BA337" s="2" t="e">
        <f ca="1">_xll.BDH($C$328,"TOTAL_DEBT_5_YEAR_GROWTH","FQ4 2015","FQ4 2015","Currency=INR","Period=FQ","BEST_FPERIOD_OVERRIDE=FQ","FILING_STATUS=OR","EQY_CONSOLIDATED=Y","Sort=A","Dates=H","DateFormat=P","Fill=—","Direction=H","UseDPDF=Y")</f>
        <v>#NAME?</v>
      </c>
      <c r="BB337" s="2" t="e">
        <f ca="1">_xll.BDH($C$328,"GEO_GROW_TOT_SHRHLDR_EQY","FQ4 2015","FQ4 2015","Currency=INR","Period=FQ","BEST_FPERIOD_OVERRIDE=FQ","FILING_STATUS=OR","EQY_CONSOLIDATED=Y","Sort=A","Dates=H","DateFormat=P","Fill=—","Direction=H","UseDPDF=Y")</f>
        <v>#NAME?</v>
      </c>
      <c r="BC337" s="2" t="e">
        <f ca="1">_xll.BDH($C$328,"TOTAL_CAPITAL_5_YEAR_GROWTH","FQ4 2015","FQ4 2015","Currency=INR","Period=FQ","BEST_FPERIOD_OVERRIDE=FQ","FILING_STATUS=OR","EQY_CONSOLIDATED=Y","Sort=A","Dates=H","DateFormat=P","Fill=—","Direction=H","UseDPDF=Y")</f>
        <v>#NAME?</v>
      </c>
      <c r="BD337" s="2" t="e">
        <f ca="1">_xll.BDH($C$328,"GEO_GROW_BOOK_VAL","FQ4 2015","FQ4 2015","Currency=INR","Period=FQ","BEST_FPERIOD_OVERRIDE=FQ","FILING_STATUS=OR","EQY_CONSOLIDATED=Y","Sort=A","Dates=H","DateFormat=P","Fill=—","Direction=H","UseDPDF=Y")</f>
        <v>#NAME?</v>
      </c>
      <c r="BE337" s="2" t="e">
        <f ca="1">_xll.BDH($C$328,"GEO_GROW_CASH_OPER_ACT","FQ4 2015","FQ4 2015","Currency=INR","Period=FQ","BEST_FPERIOD_OVERRIDE=FQ","FILING_STATUS=OR","EQY_CONSOLIDATED=Y","Sort=A","Dates=H","DateFormat=P","Fill=—","Direction=H","UseDPDF=Y")</f>
        <v>#NAME?</v>
      </c>
      <c r="BF337" s="2" t="e">
        <f ca="1">_xll.BDH($C$328,"REVENUE_SEQUENTIAL_GROWTH","FQ4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37" s="2" t="e">
        <f ca="1">_xll.BDH($C$328,"EBITDA_SEQUENTIAL_GROWTH","FQ4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37" s="2" t="e">
        <f ca="1">_xll.BDH($C$328,"OPERATING_INCOME_SEQ_GROWTH","FQ4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37" s="2" t="e">
        <f ca="1">_xll.BDH($C$328,"NET_INCOME_TO_COMMON_SEQ_GROWTH","FQ4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37" s="2" t="e">
        <f ca="1">_xll.BDH($C$328,"EPS_DILUTED_SEQUENTIAL_GROWTH","FQ4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37" s="2" t="e">
        <f ca="1">_xll.BDH($C$328,"DPS_SEQUENTIAL_GROWTH","FQ4 2015","FQ4 2015","Currency=INR","Period=FQ","BEST_FPERIOD_OVERRIDE=FQ","FILING_STATUS=OR","EQY_CONSOLIDATED=Y","Sort=A","Dates=H","DateFormat=P","Fill=—","Direction=H","UseDPDF=Y")</f>
        <v>#NAME?</v>
      </c>
      <c r="BL337" s="2" t="e">
        <f ca="1">_xll.BDH($C$328,"ACCOUNTS_RECEIVABLE_SEQ_GROWTH","FQ4 2015","FQ4 2015","Currency=INR","Period=FQ","BEST_FPERIOD_OVERRIDE=FQ","FILING_STATUS=OR","EQY_CONSOLIDATED=Y","Sort=A","Dates=H","DateFormat=P","Fill=—","Direction=H","UseDPDF=Y")</f>
        <v>#NAME?</v>
      </c>
      <c r="BM337" s="2" t="e">
        <f ca="1">_xll.BDH($C$328,"INVENTORY_SEQUENTIAL_GROWTH","FQ4 2015","FQ4 2015","Currency=INR","Period=FQ","BEST_FPERIOD_OVERRIDE=FQ","FILING_STATUS=OR","EQY_CONSOLIDATED=Y","Sort=A","Dates=H","DateFormat=P","Fill=—","Direction=H","UseDPDF=Y")</f>
        <v>#NAME?</v>
      </c>
      <c r="BN337" s="2" t="e">
        <f ca="1">_xll.BDH($C$328,"FIXED_ASSETS_SEQUENTIAL_GROWTH","FQ4 2015","FQ4 2015","Currency=INR","Period=FQ","BEST_FPERIOD_OVERRIDE=FQ","FILING_STATUS=OR","EQY_CONSOLIDATED=Y","Sort=A","Dates=H","DateFormat=P","Fill=—","Direction=H","UseDPDF=Y")</f>
        <v>#NAME?</v>
      </c>
      <c r="BO337" s="2" t="e">
        <f ca="1">_xll.BDH($C$328,"TOTAL_ASSETS_SEQUENTIAL_GROWTH","FQ4 2015","FQ4 2015","Currency=INR","Period=FQ","BEST_FPERIOD_OVERRIDE=FQ","FILING_STATUS=OR","EQY_CONSOLIDATED=Y","Sort=A","Dates=H","DateFormat=P","Fill=—","Direction=H","UseDPDF=Y")</f>
        <v>#NAME?</v>
      </c>
      <c r="BP337" s="2" t="e">
        <f ca="1">_xll.BDH($C$328,"MODIFIED_WORKING_CPTL_SEQ_GRWTH","FQ4 2015","FQ4 2015","Currency=INR","Period=FQ","BEST_FPERIOD_OVERRIDE=FQ","FILING_STATUS=OR","EQY_CONSOLIDATED=Y","Sort=A","Dates=H","DateFormat=P","Fill=—","Direction=H","UseDPDF=Y")</f>
        <v>#NAME?</v>
      </c>
      <c r="BQ337" s="2" t="e">
        <f ca="1">_xll.BDH($C$328,"WORKING_CAPITAL_SEQ_GROWTH","FQ4 2015","FQ4 2015","Currency=INR","Period=FQ","BEST_FPERIOD_OVERRIDE=FQ","FILING_STATUS=OR","EQY_CONSOLIDATED=Y","Sort=A","Dates=H","DateFormat=P","Fill=—","Direction=H","UseDPDF=Y")</f>
        <v>#NAME?</v>
      </c>
      <c r="BR337" s="2" t="e">
        <f ca="1">_xll.BDH($C$328,"ACCOUNTS_PAYABLE_SEQ_GROWTH","FQ4 2015","FQ4 2015","Currency=INR","Period=FQ","BEST_FPERIOD_OVERRIDE=FQ","FILING_STATUS=OR","EQY_CONSOLIDATED=Y","Sort=A","Dates=H","DateFormat=P","Fill=—","Direction=H","UseDPDF=Y")</f>
        <v>#NAME?</v>
      </c>
      <c r="BS337" s="2" t="e">
        <f ca="1">_xll.BDH($C$328,"ST_DEBT_SEQUENTIAL_GROWTH","FQ4 2015","FQ4 2015","Currency=INR","Period=FQ","BEST_FPERIOD_OVERRIDE=FQ","FILING_STATUS=OR","EQY_CONSOLIDATED=Y","Sort=A","Dates=H","DateFormat=P","Fill=—","Direction=H","UseDPDF=Y")</f>
        <v>#NAME?</v>
      </c>
      <c r="BT337" s="2" t="e">
        <f ca="1">_xll.BDH($C$328,"TOTAL_DEBT_SEQUENTIAL_GROWTH","FQ4 2015","FQ4 2015","Currency=INR","Period=FQ","BEST_FPERIOD_OVERRIDE=FQ","FILING_STATUS=OR","EQY_CONSOLIDATED=Y","Sort=A","Dates=H","DateFormat=P","Fill=—","Direction=H","UseDPDF=Y")</f>
        <v>#NAME?</v>
      </c>
      <c r="BU337" s="2" t="e">
        <f ca="1">_xll.BDH($C$328,"TOTAL_EQUITY_SEQUENTIAL_GROWTH","FQ4 2015","FQ4 2015","Currency=INR","Period=FQ","BEST_FPERIOD_OVERRIDE=FQ","FILING_STATUS=OR","EQY_CONSOLIDATED=Y","Sort=A","Dates=H","DateFormat=P","Fill=—","Direction=H","UseDPDF=Y")</f>
        <v>#NAME?</v>
      </c>
      <c r="BV337" s="2" t="e">
        <f ca="1">_xll.BDH($C$328,"TOTAL_CAPITAL_SEQUENTIAL_GROWTH","FQ4 2015","FQ4 2015","Currency=INR","Period=FQ","BEST_FPERIOD_OVERRIDE=FQ","FILING_STATUS=OR","EQY_CONSOLIDATED=Y","Sort=A","Dates=H","DateFormat=P","Fill=—","Direction=H","UseDPDF=Y")</f>
        <v>#NAME?</v>
      </c>
      <c r="BW337" s="2" t="e">
        <f ca="1">_xll.BDH($C$328,"BPS_SEQUENTIAL_GROWTH","FQ4 2015","FQ4 2015","Currency=INR","Period=FQ","BEST_FPERIOD_OVERRIDE=FQ","FILING_STATUS=OR","EQY_CONSOLIDATED=Y","Sort=A","Dates=H","DateFormat=P","Fill=—","Direction=H","UseDPDF=Y")</f>
        <v>#NAME?</v>
      </c>
      <c r="BX337" s="2" t="e">
        <f ca="1">_xll.BDH($C$328,"CFO_SEQUENTIAL_GROWTH","FQ4 2015","FQ4 2015","Currency=INR","Period=FQ","BEST_FPERIOD_OVERRIDE=FQ","FILING_STATUS=OR","EQY_CONSOLIDATED=Y","Sort=A","Dates=H","DateFormat=P","Fill=—","Direction=H","UseDPDF=Y")</f>
        <v>#NAME?</v>
      </c>
      <c r="BY337" s="3" t="e">
        <f ca="1">_xll.BDH($C$328,"SHORT_AND_LONG_TERM_DEBT","FQ4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37" s="3" t="e">
        <f ca="1">_xll.BDH($C$328,"BS_ST_BORROW","FQ4 2015","FQ4 2015","Currency=INR","Period=FQ","BEST_FPERIOD_OVERRIDE=FQ","FILING_STATUS=OR","EQY_CONSOLIDATED=Y","SCALING_FORMAT=MLN","Sort=A","Dates=H","DateFormat=P","Fill=—","Direction=H","UseDPDF=Y")</f>
        <v>#NAME?</v>
      </c>
      <c r="CA337" s="3" t="e">
        <f ca="1">_xll.BDH($C$328,"BS_LT_BORROW","FQ4 2015","FQ4 2015","Currency=INR","Period=FQ","BEST_FPERIOD_OVERRIDE=FQ","FILING_STATUS=OR","EQY_CONSOLIDATED=Y","SCALING_FORMAT=MLN","Sort=A","Dates=H","DateFormat=P","Fill=—","Direction=H","UseDPDF=Y")</f>
        <v>#NAME?</v>
      </c>
      <c r="CB337" s="2" t="e">
        <f ca="1">_xll.BDH($C$328,"TOT_DEBT_TO_EBITDA","FQ4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37" s="2" t="e">
        <f ca="1">_xll.BDH($C$328,"NET_DEBT_TO_EBITDA","FQ4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37" s="2" t="e">
        <f ca="1">_xll.BDH($C$328,"TOTAL_DEBT_TO_EBIT","FQ4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37" s="2" t="e">
        <f ca="1">_xll.BDH($C$328,"NET_DEBT_TO_EBIT","FQ4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37" s="2" t="e">
        <f ca="1">_xll.BDH($C$328,"EBITDA_TO_INTEREST_EXPN","FQ4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37" s="2" t="e">
        <f ca="1">_xll.BDH($C$328,"COM_EQY_TO_TOT_ASSET","FQ4 2015","FQ4 2015","Currency=INR","Period=FQ","BEST_FPERIOD_OVERRIDE=FQ","FILING_STATUS=OR","EQY_CONSOLIDATED=Y","Sort=A","Dates=H","DateFormat=P","Fill=—","Direction=H","UseDPDF=Y")</f>
        <v>#NAME?</v>
      </c>
      <c r="CH337" s="2" t="e">
        <f ca="1">_xll.BDH($C$328,"LT_DEBT_TO_TOT_EQY","FQ4 2015","FQ4 2015","Currency=INR","Period=FQ","BEST_FPERIOD_OVERRIDE=FQ","FILING_STATUS=OR","EQY_CONSOLIDATED=Y","Sort=A","Dates=H","DateFormat=P","Fill=—","Direction=H","UseDPDF=Y")</f>
        <v>#NAME?</v>
      </c>
      <c r="CI337" s="2" t="e">
        <f ca="1">_xll.BDH($C$328,"LT_DEBT_TO_TOT_CAP","FQ4 2015","FQ4 2015","Currency=INR","Period=FQ","BEST_FPERIOD_OVERRIDE=FQ","FILING_STATUS=OR","EQY_CONSOLIDATED=Y","Sort=A","Dates=H","DateFormat=P","Fill=—","Direction=H","UseDPDF=Y")</f>
        <v>#NAME?</v>
      </c>
      <c r="CJ337" s="2" t="e">
        <f ca="1">_xll.BDH($C$328,"LT_DEBT_TO_TOT_ASSET","FQ4 2015","FQ4 2015","Currency=INR","Period=FQ","BEST_FPERIOD_OVERRIDE=FQ","FILING_STATUS=OR","EQY_CONSOLIDATED=Y","Sort=A","Dates=H","DateFormat=P","Fill=—","Direction=H","UseDPDF=Y")</f>
        <v>#NAME?</v>
      </c>
      <c r="CK337" s="2" t="e">
        <f ca="1">_xll.BDH($C$328,"TOT_DEBT_TO_TOT_EQY","FQ4 2015","FQ4 2015","Currency=INR","Period=FQ","BEST_FPERIOD_OVERRIDE=FQ","FILING_STATUS=OR","EQY_CONSOLIDATED=Y","Sort=A","Dates=H","DateFormat=P","Fill=—","Direction=H","UseDPDF=Y")</f>
        <v>#NAME?</v>
      </c>
      <c r="CL337" s="2" t="e">
        <f ca="1">_xll.BDH($C$328,"TOT_DEBT_TO_TOT_CAP","FQ4 2015","FQ4 2015","Currency=INR","Period=FQ","BEST_FPERIOD_OVERRIDE=FQ","FILING_STATUS=OR","EQY_CONSOLIDATED=Y","Sort=A","Dates=H","DateFormat=P","Fill=—","Direction=H","UseDPDF=Y")</f>
        <v>#NAME?</v>
      </c>
      <c r="CM337" s="2" t="e">
        <f ca="1">_xll.BDH($C$328,"TOT_DEBT_TO_TOT_ASSET","FQ4 2015","FQ4 2015","Currency=INR","Period=FQ","BEST_FPERIOD_OVERRIDE=FQ","FILING_STATUS=OR","EQY_CONSOLIDATED=Y","Sort=A","Dates=H","DateFormat=P","Fill=—","Direction=H","UseDPDF=Y")</f>
        <v>#NAME?</v>
      </c>
      <c r="CN337" s="2" t="e">
        <f ca="1">_xll.BDH($C$328,"NET_DEBT_TO_SHRHLDR_EQTY","FQ4 2015","FQ4 2015","Currency=INR","Period=FQ","BEST_FPERIOD_OVERRIDE=FQ","FILING_STATUS=OR","EQY_CONSOLIDATED=Y","Sort=A","Dates=H","DateFormat=P","Fill=—","Direction=H","UseDPDF=Y")</f>
        <v>#NAME?</v>
      </c>
      <c r="CO337" s="2" t="e">
        <f ca="1">_xll.BDH($C$328,"NET_DEBT_%_CAPITAL","FQ4 2015","FQ4 2015","Currency=INR","Period=FQ","BEST_FPERIOD_OVERRIDE=FQ","FILING_STATUS=OR","EQY_CONSOLIDATED=Y","Sort=A","Dates=H","DateFormat=P","Fill=—","Direction=H","UseDPDF=Y")</f>
        <v>#NAME?</v>
      </c>
      <c r="CP337" s="3" t="e">
        <f ca="1">_xll.BDH($C$328,"EBITDA","FQ4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37" s="3" t="e">
        <f ca="1">_xll.BDH($C$328,"EBITDA_AFTER_CAPEX","FQ4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37" s="3" t="e">
        <f ca="1">_xll.BDH($C$328,"IS_OPER_INC","FQ4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37" s="2" t="e">
        <f ca="1">_xll.BDH($C$328,"CASH_RATIO","FQ4 2015","FQ4 2015","Currency=INR","Period=FQ","BEST_FPERIOD_OVERRIDE=FQ","FILING_STATUS=OR","EQY_CONSOLIDATED=Y","Sort=A","Dates=H","DateFormat=P","Fill=—","Direction=H","UseDPDF=Y")</f>
        <v>#NAME?</v>
      </c>
      <c r="CT337" s="2" t="e">
        <f ca="1">_xll.BDH($C$328,"CUR_RATIO","FQ4 2015","FQ4 2015","Currency=INR","Period=FQ","BEST_FPERIOD_OVERRIDE=FQ","FILING_STATUS=OR","EQY_CONSOLIDATED=Y","Sort=A","Dates=H","DateFormat=P","Fill=—","Direction=H","UseDPDF=Y")</f>
        <v>#NAME?</v>
      </c>
      <c r="CU337" s="2" t="e">
        <f ca="1">_xll.BDH($C$328,"QUICK_RATIO","FQ4 2015","FQ4 2015","Currency=INR","Period=FQ","BEST_FPERIOD_OVERRIDE=FQ","FILING_STATUS=OR","EQY_CONSOLIDATED=Y","Sort=A","Dates=H","DateFormat=P","Fill=—","Direction=H","UseDPDF=Y")</f>
        <v>#NAME?</v>
      </c>
      <c r="CV337" s="2" t="e">
        <f ca="1">_xll.BDH($C$328,"ALTMAN_Z_SCORE","FQ4 2015","FQ4 2015","Currency=INR","Period=FQ","BEST_FPERIOD_OVERRIDE=FQ","FILING_STATUS=OR","EQY_CONSOLIDATED=Y","Sort=A","Dates=H","DateFormat=P","Fill=—","Direction=H","UseDPDF=Y")</f>
        <v>#NAME?</v>
      </c>
      <c r="CW337" s="4" t="e">
        <f ca="1">_xll.BDH($C$328,"ACCT_RCV_TURN","FQ4 2015","FQ4 2015","Currency=INR","Period=FQ","BEST_FPERIOD_OVERRIDE=FQ","FILING_STATUS=OR","EQY_CONSOLIDATED=Y","FA_ADJUSTED=GAAP","Sort=A","Dates=H","DateFormat=P","Fill=—","Direction=H","UseDPDF=Y")</f>
        <v>#NAME?</v>
      </c>
      <c r="CX337" s="2" t="e">
        <f ca="1">_xll.BDH($C$328,"ACCT_RCV_DAYS","FQ4 2015","FQ4 2015","Currency=INR","Period=FQ","BEST_FPERIOD_OVERRIDE=FQ","FILING_STATUS=OR","EQY_CONSOLIDATED=Y","FA_ADJUSTED=GAAP","Sort=A","Dates=H","DateFormat=P","Fill=—","Direction=H","UseDPDF=Y")</f>
        <v>#NAME?</v>
      </c>
      <c r="CY337" s="4" t="e">
        <f ca="1">_xll.BDH($C$328,"INVENT_TURN","FQ4 2015","FQ4 2015","Currency=INR","Period=FQ","BEST_FPERIOD_OVERRIDE=FQ","FILING_STATUS=OR","EQY_CONSOLIDATED=Y","FA_ADJUSTED=GAAP","Sort=A","Dates=H","DateFormat=P","Fill=—","Direction=H","UseDPDF=Y")</f>
        <v>#NAME?</v>
      </c>
      <c r="CZ337" s="2" t="e">
        <f ca="1">_xll.BDH($C$328,"INVENT_DAYS","FQ4 2015","FQ4 2015","Currency=INR","Period=FQ","BEST_FPERIOD_OVERRIDE=FQ","FILING_STATUS=OR","EQY_CONSOLIDATED=Y","FA_ADJUSTED=GAAP","Sort=A","Dates=H","DateFormat=P","Fill=—","Direction=H","UseDPDF=Y")</f>
        <v>#NAME?</v>
      </c>
      <c r="DA337" s="4" t="e">
        <f ca="1">_xll.BDH($C$328,"ACCOUNTS_PAYABLE_TURNOVER","FQ4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37" s="2" t="e">
        <f ca="1">_xll.BDH($C$328,"ACCOUNTS_PAYABLE_TURNOVER_DAYS","FQ4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37" s="4" t="e">
        <f ca="1">_xll.BDH($C$328,"CASH_CONVERSION_CYCLE","FQ4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37" s="4" t="e">
        <f ca="1">_xll.BDH($C$328,"INV_TO_CASH_DAYS","FQ4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37" s="5" t="e">
        <f ca="1">_xll.BDH($C$328,"BS_INVENTORIES","FQ4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37" s="3" t="e">
        <f ca="1">_xll.BDH($C$328,"INVTRY_RAW_MATERIALS","FQ4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37" s="3" t="e">
        <f ca="1">_xll.BDH($C$328,"INVTRY_IN_PROGRESS","FQ4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37" s="3" t="e">
        <f ca="1">_xll.BDH($C$328,"INVTRY_FINISHED_GOODS","FQ4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37" s="3" t="e">
        <f ca="1">_xll.BDH($C$328,"BS_OTHER_INV","FQ4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38" spans="1:113" x14ac:dyDescent="0.3">
      <c r="A338" s="6"/>
      <c r="B338" s="6"/>
      <c r="C338" s="6"/>
      <c r="D338" s="6" t="s">
        <v>83</v>
      </c>
      <c r="E338" t="s">
        <v>77</v>
      </c>
      <c r="F338" t="e">
        <f ca="1">_xll.BDH($C$328,"RETURN_COM_EQY","FY 2016","FY 2016","Currency=INR","Period=FY","BEST_FPERIOD_OVERRIDE=FY","FILING_STATUS=OR","EQY_CONSOLIDATED=Y","FA_ADJUSTED=GAAP","Sort=A","Dates=H","DateFormat=P","Fill=—","Direction=H","UseDPDF=Y")</f>
        <v>#NAME?</v>
      </c>
      <c r="G338" t="e">
        <f ca="1">_xll.BDH($C$328,"RETURN_ON_ASSET","FY 2016","FY 2016","Currency=INR","Period=FY","BEST_FPERIOD_OVERRIDE=FY","FILING_STATUS=OR","EQY_CONSOLIDATED=Y","FA_ADJUSTED=GAAP","Sort=A","Dates=H","DateFormat=P","Fill=—","Direction=H","UseDPDF=Y")</f>
        <v>#NAME?</v>
      </c>
      <c r="H338" t="e">
        <f ca="1">_xll.BDH($C$328,"RETURN_ON_CAP","FY 2016","FY 2016","Currency=INR","Period=FY","BEST_FPERIOD_OVERRIDE=FY","FILING_STATUS=OR","EQY_CONSOLIDATED=Y","FA_ADJUSTED=GAAP","Sort=A","Dates=H","DateFormat=P","Fill=—","Direction=H","UseDPDF=Y")</f>
        <v>#NAME?</v>
      </c>
      <c r="I338" t="e">
        <f ca="1">_xll.BDH($C$328,"RETURN_ON_INV_CAPITAL","FY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38" t="e">
        <f ca="1">_xll.BDH($C$328,"EBITDA_TO_REVENUE","FY 2016","FY 2016","Currency=INR","Period=FY","BEST_FPERIOD_OVERRIDE=FY","FILING_STATUS=OR","EQY_CONSOLIDATED=Y","FA_ADJUSTED=GAAP","Sort=A","Dates=H","DateFormat=P","Fill=—","Direction=H","UseDPDF=Y")</f>
        <v>#NAME?</v>
      </c>
      <c r="K338" t="e">
        <f ca="1">_xll.BDH($C$328,"OPER_MARGIN","FY 2016","FY 2016","Currency=INR","Period=FY","BEST_FPERIOD_OVERRIDE=FY","FILING_STATUS=OR","EQY_CONSOLIDATED=Y","FA_ADJUSTED=GAAP","Sort=A","Dates=H","DateFormat=P","Fill=—","Direction=H","UseDPDF=Y")</f>
        <v>#NAME?</v>
      </c>
      <c r="L338" t="e">
        <f ca="1">_xll.BDH($C$328,"INCREMENTAL_OPERATING_MARGIN","FY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38" t="e">
        <f ca="1">_xll.BDH($C$328,"PRETAX_INC_TO_NET_SALES","FY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38" t="e">
        <f ca="1">_xll.BDH($C$328,"INC_BEF_XO_ITEMS_TO_NET_SALES","FY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38" t="e">
        <f ca="1">_xll.BDH($C$328,"PROF_MARGIN","FY 2016","FY 2016","Currency=INR","Period=FY","BEST_FPERIOD_OVERRIDE=FY","FILING_STATUS=OR","EQY_CONSOLIDATED=Y","FA_ADJUSTED=GAAP","Sort=A","Dates=H","DateFormat=P","Fill=—","Direction=H","UseDPDF=Y")</f>
        <v>#NAME?</v>
      </c>
      <c r="P338" t="e">
        <f ca="1">_xll.BDH($C$328,"NET_INCOME_TO_COMMON_MARGIN","FY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38" t="e">
        <f ca="1">_xll.BDH($C$328,"EFF_TAX_RATE","FY 2016","FY 2016","Currency=INR","Period=FY","BEST_FPERIOD_OVERRIDE=FY","FILING_STATUS=OR","EQY_CONSOLIDATED=Y","FA_ADJUSTED=GAAP","Sort=A","Dates=H","DateFormat=P","Fill=—","Direction=H","UseDPDF=Y")</f>
        <v>#NAME?</v>
      </c>
      <c r="R338" t="e">
        <f ca="1">_xll.BDH($C$328,"DVD_PAYOUT_RATIO","FY 2016","FY 2016","Currency=INR","Period=FY","BEST_FPERIOD_OVERRIDE=FY","FILING_STATUS=OR","EQY_CONSOLIDATED=Y","FA_ADJUSTED=GAAP","Sort=A","Dates=H","DateFormat=P","Fill=—","Direction=H","UseDPDF=Y")</f>
        <v>#NAME?</v>
      </c>
      <c r="S338" t="e">
        <f ca="1">_xll.BDH($C$328,"SUSTAIN_GROWTH_RT","FY 2016","FY 2016","Currency=INR","Period=FY","BEST_FPERIOD_OVERRIDE=FY","FILING_STATUS=OR","EQY_CONSOLIDATED=Y","FA_ADJUSTED=GAAP","Sort=A","Dates=H","DateFormat=P","Fill=—","Direction=H","UseDPDF=Y")</f>
        <v>#NAME?</v>
      </c>
      <c r="T338" s="2" t="e">
        <f ca="1">_xll.BDH($C$328,"SALES_GROWTH","FY 2016","FY 2016","Currency=INR","Period=FY","BEST_FPERIOD_OVERRIDE=FY","FILING_STATUS=OR","EQY_CONSOLIDATED=Y","FA_ADJUSTED=GAAP","Sort=A","Dates=H","DateFormat=P","Fill=—","Direction=H","UseDPDF=Y")</f>
        <v>#NAME?</v>
      </c>
      <c r="U338" s="2" t="e">
        <f ca="1">_xll.BDH($C$328,"EBITDA_GROWTH","FY 2016","FY 2016","Currency=INR","Period=FY","BEST_FPERIOD_OVERRIDE=FY","FILING_STATUS=OR","EQY_CONSOLIDATED=Y","FA_ADJUSTED=GAAP","Sort=A","Dates=H","DateFormat=P","Fill=—","Direction=H","UseDPDF=Y")</f>
        <v>#NAME?</v>
      </c>
      <c r="V338" s="2" t="e">
        <f ca="1">_xll.BDH($C$328,"OPER_INC_GROWTH","FY 2016","FY 2016","Currency=INR","Period=FY","BEST_FPERIOD_OVERRIDE=FY","FILING_STATUS=OR","EQY_CONSOLIDATED=Y","FA_ADJUSTED=GAAP","Sort=A","Dates=H","DateFormat=P","Fill=—","Direction=H","UseDPDF=Y")</f>
        <v>#NAME?</v>
      </c>
      <c r="W338" s="2" t="e">
        <f ca="1">_xll.BDH($C$328,"EARN_FOR_COM_GROWTH","FY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38" s="2" t="e">
        <f ca="1">_xll.BDH($C$328,"DILUTED_EPS_AFT_XO_ITEMS_GROWTH","FY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38" s="2" t="e">
        <f ca="1">_xll.BDH($C$328,"DIVIDEND_PER_SHARE_1_YEAR_GROWTH","FY 2016","FY 2016","Currency=INR","Period=FY","BEST_FPERIOD_OVERRIDE=FY","FILING_STATUS=OR","EQY_CONSOLIDATED=Y","Sort=A","Dates=H","DateFormat=P","Fill=—","Direction=H","UseDPDF=Y")</f>
        <v>#NAME?</v>
      </c>
      <c r="Z338" s="2" t="e">
        <f ca="1">_xll.BDH($C$328,"ACCOUNTS_RECEIVABLE_GROWTH","FY 2016","FY 2016","Currency=INR","Period=FY","BEST_FPERIOD_OVERRIDE=FY","FILING_STATUS=OR","EQY_CONSOLIDATED=Y","Sort=A","Dates=H","DateFormat=P","Fill=—","Direction=H","UseDPDF=Y")</f>
        <v>#NAME?</v>
      </c>
      <c r="AA338" s="2" t="e">
        <f ca="1">_xll.BDH($C$328,"INVENTORY_GROWTH","FY 2016","FY 2016","Currency=INR","Period=FY","BEST_FPERIOD_OVERRIDE=FY","FILING_STATUS=OR","EQY_CONSOLIDATED=Y","Sort=A","Dates=H","DateFormat=P","Fill=—","Direction=H","UseDPDF=Y")</f>
        <v>#NAME?</v>
      </c>
      <c r="AB338" s="2" t="e">
        <f ca="1">_xll.BDH($C$328,"NET_FIXED_ASSETS_1_YEAR_GROWTH","FY 2016","FY 2016","Currency=INR","Period=FY","BEST_FPERIOD_OVERRIDE=FY","FILING_STATUS=OR","EQY_CONSOLIDATED=Y","Sort=A","Dates=H","DateFormat=P","Fill=—","Direction=H","UseDPDF=Y")</f>
        <v>#NAME?</v>
      </c>
      <c r="AC338" s="2" t="e">
        <f ca="1">_xll.BDH($C$328,"ASSET_GROWTH","FY 2016","FY 2016","Currency=INR","Period=FY","BEST_FPERIOD_OVERRIDE=FY","FILING_STATUS=OR","EQY_CONSOLIDATED=Y","Sort=A","Dates=H","DateFormat=P","Fill=—","Direction=H","UseDPDF=Y")</f>
        <v>#NAME?</v>
      </c>
      <c r="AD338" s="2" t="e">
        <f ca="1">_xll.BDH($C$328,"MODIFIED_WORK_CAP_GROWTH","FY 2016","FY 2016","Currency=INR","Period=FY","BEST_FPERIOD_OVERRIDE=FY","FILING_STATUS=OR","EQY_CONSOLIDATED=Y","Sort=A","Dates=H","DateFormat=P","Fill=—","Direction=H","UseDPDF=Y")</f>
        <v>#NAME?</v>
      </c>
      <c r="AE338" s="2" t="e">
        <f ca="1">_xll.BDH($C$328,"WORK_CAP_GROWTH","FY 2016","FY 2016","Currency=INR","Period=FY","BEST_FPERIOD_OVERRIDE=FY","FILING_STATUS=OR","EQY_CONSOLIDATED=Y","Sort=A","Dates=H","DateFormat=P","Fill=—","Direction=H","UseDPDF=Y")</f>
        <v>#NAME?</v>
      </c>
      <c r="AF338" s="2" t="e">
        <f ca="1">_xll.BDH($C$328,"ACCOUNTS_PAYABLE_GROWTH_1YR","FY 2016","FY 2016","Currency=INR","Period=FY","BEST_FPERIOD_OVERRIDE=FY","FILING_STATUS=OR","EQY_CONSOLIDATED=Y","Sort=A","Dates=H","DateFormat=P","Fill=—","Direction=H","UseDPDF=Y")</f>
        <v>#NAME?</v>
      </c>
      <c r="AG338" s="2" t="e">
        <f ca="1">_xll.BDH($C$328,"SHORT_TERM_DEBT_1_YEAR_GROWTH","FY 2016","FY 2016","Currency=INR","Period=FY","BEST_FPERIOD_OVERRIDE=FY","FILING_STATUS=OR","EQY_CONSOLIDATED=Y","Sort=A","Dates=H","DateFormat=P","Fill=—","Direction=H","UseDPDF=Y")</f>
        <v>#NAME?</v>
      </c>
      <c r="AH338" s="2" t="e">
        <f ca="1">_xll.BDH($C$328,"TOTAL_DEBT_1_YEAR_GROWTH","FY 2016","FY 2016","Currency=INR","Period=FY","BEST_FPERIOD_OVERRIDE=FY","FILING_STATUS=OR","EQY_CONSOLIDATED=Y","Sort=A","Dates=H","DateFormat=P","Fill=—","Direction=H","UseDPDF=Y")</f>
        <v>#NAME?</v>
      </c>
      <c r="AI338" s="2" t="e">
        <f ca="1">_xll.BDH($C$328,"TOTAL_EQUITY_1_YEAR_GROWTH","FY 2016","FY 2016","Currency=INR","Period=FY","BEST_FPERIOD_OVERRIDE=FY","FILING_STATUS=OR","EQY_CONSOLIDATED=Y","Sort=A","Dates=H","DateFormat=P","Fill=—","Direction=H","UseDPDF=Y")</f>
        <v>#NAME?</v>
      </c>
      <c r="AJ338" s="2" t="e">
        <f ca="1">_xll.BDH($C$328,"GROWTH_IN_CAP","FY 2016","FY 2016","Currency=INR","Period=FY","BEST_FPERIOD_OVERRIDE=FY","FILING_STATUS=OR","EQY_CONSOLIDATED=Y","Sort=A","Dates=H","DateFormat=P","Fill=—","Direction=H","UseDPDF=Y")</f>
        <v>#NAME?</v>
      </c>
      <c r="AK338" s="2" t="e">
        <f ca="1">_xll.BDH($C$328,"BVPS_GROWTH","FY 2016","FY 2016","Currency=INR","Period=FY","BEST_FPERIOD_OVERRIDE=FY","FILING_STATUS=OR","EQY_CONSOLIDATED=Y","Sort=A","Dates=H","DateFormat=P","Fill=—","Direction=H","UseDPDF=Y")</f>
        <v>#NAME?</v>
      </c>
      <c r="AL338" s="2" t="e">
        <f ca="1">_xll.BDH($C$328,"CASH_FLOW_GROWTH","FY 2016","FY 2016","Currency=INR","Period=FY","BEST_FPERIOD_OVERRIDE=FY","FILING_STATUS=OR","EQY_CONSOLIDATED=Y","Sort=A","Dates=H","DateFormat=P","Fill=—","Direction=H","UseDPDF=Y")</f>
        <v>#NAME?</v>
      </c>
      <c r="AM338" s="2" t="e">
        <f ca="1">_xll.BDH($C$328,"GEO_GROW_NET_SALES","FY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38" s="2" t="e">
        <f ca="1">_xll.BDH($C$328,"GEO_GROW_EBITDA","FY 2016","FY 2016","Currency=INR","Period=FY","BEST_FPERIOD_OVERRIDE=FY","FILING_STATUS=OR","EQY_CONSOLIDATED=Y","FA_ADJUSTED=GAAP","Sort=A","Dates=H","DateFormat=P","Fill=—","Direction=H","UseDPDF=Y")</f>
        <v>#NAME?</v>
      </c>
      <c r="AO338" s="2" t="e">
        <f ca="1">_xll.BDH($C$328,"GEO_GROW_OPER_INC","FY 2016","FY 2016","Currency=INR","Period=FY","BEST_FPERIOD_OVERRIDE=FY","FILING_STATUS=OR","EQY_CONSOLIDATED=Y","FA_ADJUSTED=GAAP","Sort=A","Dates=H","DateFormat=P","Fill=—","Direction=H","UseDPDF=Y")</f>
        <v>#NAME?</v>
      </c>
      <c r="AP338" s="2" t="e">
        <f ca="1">_xll.BDH($C$328,"NET_INCOME_TO_COMMON_5_YR_GROWTH","FY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38" s="2" t="e">
        <f ca="1">_xll.BDH($C$328,"5Y_GEO_GROWTH_DILUTED_EPS","FY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38" s="2" t="e">
        <f ca="1">_xll.BDH($C$328,"GEO_GROW_DVD_PER_SH","FY 2016","FY 2016","Currency=INR","Period=FY","BEST_FPERIOD_OVERRIDE=FY","FILING_STATUS=OR","EQY_CONSOLIDATED=Y","Sort=A","Dates=H","DateFormat=P","Fill=—","Direction=H","UseDPDF=Y")</f>
        <v>#NAME?</v>
      </c>
      <c r="AS338" s="2" t="e">
        <f ca="1">_xll.BDH($C$328,"ACCOUNTS_RECEIVABLE_5_YR_GROWTH","FY 2016","FY 2016","Currency=INR","Period=FY","BEST_FPERIOD_OVERRIDE=FY","FILING_STATUS=OR","EQY_CONSOLIDATED=Y","Sort=A","Dates=H","DateFormat=P","Fill=—","Direction=H","UseDPDF=Y")</f>
        <v>#NAME?</v>
      </c>
      <c r="AT338" s="2" t="e">
        <f ca="1">_xll.BDH($C$328,"INVENTORY_5_YEAR_GROWTH","FY 2016","FY 2016","Currency=INR","Period=FY","BEST_FPERIOD_OVERRIDE=FY","FILING_STATUS=OR","EQY_CONSOLIDATED=Y","Sort=A","Dates=H","DateFormat=P","Fill=—","Direction=H","UseDPDF=Y")</f>
        <v>#NAME?</v>
      </c>
      <c r="AU338" s="2" t="e">
        <f ca="1">_xll.BDH($C$328,"NET_FIXED_ASSETS_5_YEAR_GROWTH","FY 2016","FY 2016","Currency=INR","Period=FY","BEST_FPERIOD_OVERRIDE=FY","FILING_STATUS=OR","EQY_CONSOLIDATED=Y","Sort=A","Dates=H","DateFormat=P","Fill=—","Direction=H","UseDPDF=Y")</f>
        <v>#NAME?</v>
      </c>
      <c r="AV338" s="2" t="e">
        <f ca="1">_xll.BDH($C$328,"GEO_GROW_TOT_ASSET","FY 2016","FY 2016","Currency=INR","Period=FY","BEST_FPERIOD_OVERRIDE=FY","FILING_STATUS=OR","EQY_CONSOLIDATED=Y","Sort=A","Dates=H","DateFormat=P","Fill=—","Direction=H","UseDPDF=Y")</f>
        <v>#NAME?</v>
      </c>
      <c r="AW338" s="2" t="e">
        <f ca="1">_xll.BDH($C$328,"MODIFIED_WORKING_CPTL_5YR_GRWTH","FY 2016","FY 2016","Currency=INR","Period=FY","BEST_FPERIOD_OVERRIDE=FY","FILING_STATUS=OR","EQY_CONSOLIDATED=Y","Sort=A","Dates=H","DateFormat=P","Fill=—","Direction=H","UseDPDF=Y")</f>
        <v>#NAME?</v>
      </c>
      <c r="AX338" s="2" t="e">
        <f ca="1">_xll.BDH($C$328,"WORKING_CAPITAL_5_YEAR_GROWTH","FY 2016","FY 2016","Currency=INR","Period=FY","BEST_FPERIOD_OVERRIDE=FY","FILING_STATUS=OR","EQY_CONSOLIDATED=Y","Sort=A","Dates=H","DateFormat=P","Fill=—","Direction=H","UseDPDF=Y")</f>
        <v>#NAME?</v>
      </c>
      <c r="AY338" s="2" t="e">
        <f ca="1">_xll.BDH($C$328,"ACCOUNTS_PAYABLE_5_YEAR_GROWTH","FY 2016","FY 2016","Currency=INR","Period=FY","BEST_FPERIOD_OVERRIDE=FY","FILING_STATUS=OR","EQY_CONSOLIDATED=Y","Sort=A","Dates=H","DateFormat=P","Fill=—","Direction=H","UseDPDF=Y")</f>
        <v>#NAME?</v>
      </c>
      <c r="AZ338" s="2" t="e">
        <f ca="1">_xll.BDH($C$328,"SHORT_TERM_DEBT_5_YEAR_GROWTH","FY 2016","FY 2016","Currency=INR","Period=FY","BEST_FPERIOD_OVERRIDE=FY","FILING_STATUS=OR","EQY_CONSOLIDATED=Y","Sort=A","Dates=H","DateFormat=P","Fill=—","Direction=H","UseDPDF=Y")</f>
        <v>#NAME?</v>
      </c>
      <c r="BA338" s="2" t="e">
        <f ca="1">_xll.BDH($C$328,"TOTAL_DEBT_5_YEAR_GROWTH","FY 2016","FY 2016","Currency=INR","Period=FY","BEST_FPERIOD_OVERRIDE=FY","FILING_STATUS=OR","EQY_CONSOLIDATED=Y","Sort=A","Dates=H","DateFormat=P","Fill=—","Direction=H","UseDPDF=Y")</f>
        <v>#NAME?</v>
      </c>
      <c r="BB338" s="2" t="e">
        <f ca="1">_xll.BDH($C$328,"GEO_GROW_TOT_SHRHLDR_EQY","FY 2016","FY 2016","Currency=INR","Period=FY","BEST_FPERIOD_OVERRIDE=FY","FILING_STATUS=OR","EQY_CONSOLIDATED=Y","Sort=A","Dates=H","DateFormat=P","Fill=—","Direction=H","UseDPDF=Y")</f>
        <v>#NAME?</v>
      </c>
      <c r="BC338" s="2" t="e">
        <f ca="1">_xll.BDH($C$328,"TOTAL_CAPITAL_5_YEAR_GROWTH","FY 2016","FY 2016","Currency=INR","Period=FY","BEST_FPERIOD_OVERRIDE=FY","FILING_STATUS=OR","EQY_CONSOLIDATED=Y","Sort=A","Dates=H","DateFormat=P","Fill=—","Direction=H","UseDPDF=Y")</f>
        <v>#NAME?</v>
      </c>
      <c r="BD338" s="2" t="e">
        <f ca="1">_xll.BDH($C$328,"GEO_GROW_BOOK_VAL","FY 2016","FY 2016","Currency=INR","Period=FY","BEST_FPERIOD_OVERRIDE=FY","FILING_STATUS=OR","EQY_CONSOLIDATED=Y","Sort=A","Dates=H","DateFormat=P","Fill=—","Direction=H","UseDPDF=Y")</f>
        <v>#NAME?</v>
      </c>
      <c r="BE338" s="2" t="e">
        <f ca="1">_xll.BDH($C$328,"GEO_GROW_CASH_OPER_ACT","FY 2016","FY 2016","Currency=INR","Period=FY","BEST_FPERIOD_OVERRIDE=FY","FILING_STATUS=OR","EQY_CONSOLIDATED=Y","Sort=A","Dates=H","DateFormat=P","Fill=—","Direction=H","UseDPDF=Y")</f>
        <v>#NAME?</v>
      </c>
      <c r="BF338" s="2" t="e">
        <f ca="1">_xll.BDH($C$328,"REVENUE_SEQUENTIAL_GROWTH","FY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38" s="2" t="e">
        <f ca="1">_xll.BDH($C$328,"EBITDA_SEQUENTIAL_GROWTH","FY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38" s="2" t="e">
        <f ca="1">_xll.BDH($C$328,"OPERATING_INCOME_SEQ_GROWTH","FY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38" s="2" t="e">
        <f ca="1">_xll.BDH($C$328,"NET_INCOME_TO_COMMON_SEQ_GROWTH","FY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38" s="2" t="e">
        <f ca="1">_xll.BDH($C$328,"EPS_DILUTED_SEQUENTIAL_GROWTH","FY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38" s="2" t="e">
        <f ca="1">_xll.BDH($C$328,"DPS_SEQUENTIAL_GROWTH","FY 2016","FY 2016","Currency=INR","Period=FY","BEST_FPERIOD_OVERRIDE=FY","FILING_STATUS=OR","EQY_CONSOLIDATED=Y","Sort=A","Dates=H","DateFormat=P","Fill=—","Direction=H","UseDPDF=Y")</f>
        <v>#NAME?</v>
      </c>
      <c r="BL338" s="2" t="e">
        <f ca="1">_xll.BDH($C$328,"ACCOUNTS_RECEIVABLE_SEQ_GROWTH","FY 2016","FY 2016","Currency=INR","Period=FY","BEST_FPERIOD_OVERRIDE=FY","FILING_STATUS=OR","EQY_CONSOLIDATED=Y","Sort=A","Dates=H","DateFormat=P","Fill=—","Direction=H","UseDPDF=Y")</f>
        <v>#NAME?</v>
      </c>
      <c r="BM338" s="2" t="e">
        <f ca="1">_xll.BDH($C$328,"INVENTORY_SEQUENTIAL_GROWTH","FY 2016","FY 2016","Currency=INR","Period=FY","BEST_FPERIOD_OVERRIDE=FY","FILING_STATUS=OR","EQY_CONSOLIDATED=Y","Sort=A","Dates=H","DateFormat=P","Fill=—","Direction=H","UseDPDF=Y")</f>
        <v>#NAME?</v>
      </c>
      <c r="BN338" s="2" t="e">
        <f ca="1">_xll.BDH($C$328,"FIXED_ASSETS_SEQUENTIAL_GROWTH","FY 2016","FY 2016","Currency=INR","Period=FY","BEST_FPERIOD_OVERRIDE=FY","FILING_STATUS=OR","EQY_CONSOLIDATED=Y","Sort=A","Dates=H","DateFormat=P","Fill=—","Direction=H","UseDPDF=Y")</f>
        <v>#NAME?</v>
      </c>
      <c r="BO338" s="2" t="e">
        <f ca="1">_xll.BDH($C$328,"TOTAL_ASSETS_SEQUENTIAL_GROWTH","FY 2016","FY 2016","Currency=INR","Period=FY","BEST_FPERIOD_OVERRIDE=FY","FILING_STATUS=OR","EQY_CONSOLIDATED=Y","Sort=A","Dates=H","DateFormat=P","Fill=—","Direction=H","UseDPDF=Y")</f>
        <v>#NAME?</v>
      </c>
      <c r="BP338" s="2" t="e">
        <f ca="1">_xll.BDH($C$328,"MODIFIED_WORKING_CPTL_SEQ_GRWTH","FY 2016","FY 2016","Currency=INR","Period=FY","BEST_FPERIOD_OVERRIDE=FY","FILING_STATUS=OR","EQY_CONSOLIDATED=Y","Sort=A","Dates=H","DateFormat=P","Fill=—","Direction=H","UseDPDF=Y")</f>
        <v>#NAME?</v>
      </c>
      <c r="BQ338" s="2" t="e">
        <f ca="1">_xll.BDH($C$328,"WORKING_CAPITAL_SEQ_GROWTH","FY 2016","FY 2016","Currency=INR","Period=FY","BEST_FPERIOD_OVERRIDE=FY","FILING_STATUS=OR","EQY_CONSOLIDATED=Y","Sort=A","Dates=H","DateFormat=P","Fill=—","Direction=H","UseDPDF=Y")</f>
        <v>#NAME?</v>
      </c>
      <c r="BR338" s="2" t="e">
        <f ca="1">_xll.BDH($C$328,"ACCOUNTS_PAYABLE_SEQ_GROWTH","FY 2016","FY 2016","Currency=INR","Period=FY","BEST_FPERIOD_OVERRIDE=FY","FILING_STATUS=OR","EQY_CONSOLIDATED=Y","Sort=A","Dates=H","DateFormat=P","Fill=—","Direction=H","UseDPDF=Y")</f>
        <v>#NAME?</v>
      </c>
      <c r="BS338" s="2" t="e">
        <f ca="1">_xll.BDH($C$328,"ST_DEBT_SEQUENTIAL_GROWTH","FY 2016","FY 2016","Currency=INR","Period=FY","BEST_FPERIOD_OVERRIDE=FY","FILING_STATUS=OR","EQY_CONSOLIDATED=Y","Sort=A","Dates=H","DateFormat=P","Fill=—","Direction=H","UseDPDF=Y")</f>
        <v>#NAME?</v>
      </c>
      <c r="BT338" s="2" t="e">
        <f ca="1">_xll.BDH($C$328,"TOTAL_DEBT_SEQUENTIAL_GROWTH","FY 2016","FY 2016","Currency=INR","Period=FY","BEST_FPERIOD_OVERRIDE=FY","FILING_STATUS=OR","EQY_CONSOLIDATED=Y","Sort=A","Dates=H","DateFormat=P","Fill=—","Direction=H","UseDPDF=Y")</f>
        <v>#NAME?</v>
      </c>
      <c r="BU338" s="2" t="e">
        <f ca="1">_xll.BDH($C$328,"TOTAL_EQUITY_SEQUENTIAL_GROWTH","FY 2016","FY 2016","Currency=INR","Period=FY","BEST_FPERIOD_OVERRIDE=FY","FILING_STATUS=OR","EQY_CONSOLIDATED=Y","Sort=A","Dates=H","DateFormat=P","Fill=—","Direction=H","UseDPDF=Y")</f>
        <v>#NAME?</v>
      </c>
      <c r="BV338" s="2" t="e">
        <f ca="1">_xll.BDH($C$328,"TOTAL_CAPITAL_SEQUENTIAL_GROWTH","FY 2016","FY 2016","Currency=INR","Period=FY","BEST_FPERIOD_OVERRIDE=FY","FILING_STATUS=OR","EQY_CONSOLIDATED=Y","Sort=A","Dates=H","DateFormat=P","Fill=—","Direction=H","UseDPDF=Y")</f>
        <v>#NAME?</v>
      </c>
      <c r="BW338" s="2" t="e">
        <f ca="1">_xll.BDH($C$328,"BPS_SEQUENTIAL_GROWTH","FY 2016","FY 2016","Currency=INR","Period=FY","BEST_FPERIOD_OVERRIDE=FY","FILING_STATUS=OR","EQY_CONSOLIDATED=Y","Sort=A","Dates=H","DateFormat=P","Fill=—","Direction=H","UseDPDF=Y")</f>
        <v>#NAME?</v>
      </c>
      <c r="BX338" s="2" t="e">
        <f ca="1">_xll.BDH($C$328,"CFO_SEQUENTIAL_GROWTH","FY 2016","FY 2016","Currency=INR","Period=FY","BEST_FPERIOD_OVERRIDE=FY","FILING_STATUS=OR","EQY_CONSOLIDATED=Y","Sort=A","Dates=H","DateFormat=P","Fill=—","Direction=H","UseDPDF=Y")</f>
        <v>#NAME?</v>
      </c>
      <c r="BY338" s="3" t="e">
        <f ca="1">_xll.BDH($C$328,"SHORT_AND_LONG_TERM_DEBT","FY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38" s="3" t="e">
        <f ca="1">_xll.BDH($C$328,"BS_ST_BORROW","FY 2016","FY 2016","Currency=INR","Period=FY","BEST_FPERIOD_OVERRIDE=FY","FILING_STATUS=OR","EQY_CONSOLIDATED=Y","SCALING_FORMAT=MLN","Sort=A","Dates=H","DateFormat=P","Fill=—","Direction=H","UseDPDF=Y")</f>
        <v>#NAME?</v>
      </c>
      <c r="CA338" s="3" t="e">
        <f ca="1">_xll.BDH($C$328,"BS_LT_BORROW","FY 2016","FY 2016","Currency=INR","Period=FY","BEST_FPERIOD_OVERRIDE=FY","FILING_STATUS=OR","EQY_CONSOLIDATED=Y","SCALING_FORMAT=MLN","Sort=A","Dates=H","DateFormat=P","Fill=—","Direction=H","UseDPDF=Y")</f>
        <v>#NAME?</v>
      </c>
      <c r="CB338" s="2" t="e">
        <f ca="1">_xll.BDH($C$328,"TOT_DEBT_TO_EBITDA","FY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38" s="2" t="e">
        <f ca="1">_xll.BDH($C$328,"NET_DEBT_TO_EBITDA","FY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38" s="2" t="e">
        <f ca="1">_xll.BDH($C$328,"TOTAL_DEBT_TO_EBIT","FY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38" s="2" t="e">
        <f ca="1">_xll.BDH($C$328,"NET_DEBT_TO_EBIT","FY 2016","FY 2016","Currency=INR","Period=FY","BEST_FPERIOD_OVERRIDE=FY","FILING_STATUS=OR","EQY_CONSOLIDATED=Y","FA_ADJUSTED=GAAP","Sort=A","Dates=H","DateFormat=P","Fill=—","Direction=H","UseDPDF=Y")</f>
        <v>#NAME?</v>
      </c>
      <c r="CF338" s="2" t="e">
        <f ca="1">_xll.BDH($C$328,"EBITDA_TO_INTEREST_EXPN","FY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38" s="2" t="e">
        <f ca="1">_xll.BDH($C$328,"COM_EQY_TO_TOT_ASSET","FY 2016","FY 2016","Currency=INR","Period=FY","BEST_FPERIOD_OVERRIDE=FY","FILING_STATUS=OR","EQY_CONSOLIDATED=Y","Sort=A","Dates=H","DateFormat=P","Fill=—","Direction=H","UseDPDF=Y")</f>
        <v>#NAME?</v>
      </c>
      <c r="CH338" s="2" t="e">
        <f ca="1">_xll.BDH($C$328,"LT_DEBT_TO_TOT_EQY","FY 2016","FY 2016","Currency=INR","Period=FY","BEST_FPERIOD_OVERRIDE=FY","FILING_STATUS=OR","EQY_CONSOLIDATED=Y","Sort=A","Dates=H","DateFormat=P","Fill=—","Direction=H","UseDPDF=Y")</f>
        <v>#NAME?</v>
      </c>
      <c r="CI338" s="2" t="e">
        <f ca="1">_xll.BDH($C$328,"LT_DEBT_TO_TOT_CAP","FY 2016","FY 2016","Currency=INR","Period=FY","BEST_FPERIOD_OVERRIDE=FY","FILING_STATUS=OR","EQY_CONSOLIDATED=Y","Sort=A","Dates=H","DateFormat=P","Fill=—","Direction=H","UseDPDF=Y")</f>
        <v>#NAME?</v>
      </c>
      <c r="CJ338" s="2" t="e">
        <f ca="1">_xll.BDH($C$328,"LT_DEBT_TO_TOT_ASSET","FY 2016","FY 2016","Currency=INR","Period=FY","BEST_FPERIOD_OVERRIDE=FY","FILING_STATUS=OR","EQY_CONSOLIDATED=Y","Sort=A","Dates=H","DateFormat=P","Fill=—","Direction=H","UseDPDF=Y")</f>
        <v>#NAME?</v>
      </c>
      <c r="CK338" s="2" t="e">
        <f ca="1">_xll.BDH($C$328,"TOT_DEBT_TO_TOT_EQY","FY 2016","FY 2016","Currency=INR","Period=FY","BEST_FPERIOD_OVERRIDE=FY","FILING_STATUS=OR","EQY_CONSOLIDATED=Y","Sort=A","Dates=H","DateFormat=P","Fill=—","Direction=H","UseDPDF=Y")</f>
        <v>#NAME?</v>
      </c>
      <c r="CL338" s="2" t="e">
        <f ca="1">_xll.BDH($C$328,"TOT_DEBT_TO_TOT_CAP","FY 2016","FY 2016","Currency=INR","Period=FY","BEST_FPERIOD_OVERRIDE=FY","FILING_STATUS=OR","EQY_CONSOLIDATED=Y","Sort=A","Dates=H","DateFormat=P","Fill=—","Direction=H","UseDPDF=Y")</f>
        <v>#NAME?</v>
      </c>
      <c r="CM338" s="2" t="e">
        <f ca="1">_xll.BDH($C$328,"TOT_DEBT_TO_TOT_ASSET","FY 2016","FY 2016","Currency=INR","Period=FY","BEST_FPERIOD_OVERRIDE=FY","FILING_STATUS=OR","EQY_CONSOLIDATED=Y","Sort=A","Dates=H","DateFormat=P","Fill=—","Direction=H","UseDPDF=Y")</f>
        <v>#NAME?</v>
      </c>
      <c r="CN338" s="2" t="e">
        <f ca="1">_xll.BDH($C$328,"NET_DEBT_TO_SHRHLDR_EQTY","FY 2016","FY 2016","Currency=INR","Period=FY","BEST_FPERIOD_OVERRIDE=FY","FILING_STATUS=OR","EQY_CONSOLIDATED=Y","Sort=A","Dates=H","DateFormat=P","Fill=—","Direction=H","UseDPDF=Y")</f>
        <v>#NAME?</v>
      </c>
      <c r="CO338" s="2" t="e">
        <f ca="1">_xll.BDH($C$328,"NET_DEBT_%_CAPITAL","FY 2016","FY 2016","Currency=INR","Period=FY","BEST_FPERIOD_OVERRIDE=FY","FILING_STATUS=OR","EQY_CONSOLIDATED=Y","Sort=A","Dates=H","DateFormat=P","Fill=—","Direction=H","UseDPDF=Y")</f>
        <v>#NAME?</v>
      </c>
      <c r="CP338" s="3" t="e">
        <f ca="1">_xll.BDH($C$328,"EBITDA","FY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38" s="3" t="e">
        <f ca="1">_xll.BDH($C$328,"EBITDA_AFTER_CAPEX","FY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38" s="3" t="e">
        <f ca="1">_xll.BDH($C$328,"IS_OPER_INC","FY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38" s="2" t="e">
        <f ca="1">_xll.BDH($C$328,"CASH_RATIO","FY 2016","FY 2016","Currency=INR","Period=FY","BEST_FPERIOD_OVERRIDE=FY","FILING_STATUS=OR","EQY_CONSOLIDATED=Y","Sort=A","Dates=H","DateFormat=P","Fill=—","Direction=H","UseDPDF=Y")</f>
        <v>#NAME?</v>
      </c>
      <c r="CT338" s="2" t="e">
        <f ca="1">_xll.BDH($C$328,"CUR_RATIO","FY 2016","FY 2016","Currency=INR","Period=FY","BEST_FPERIOD_OVERRIDE=FY","FILING_STATUS=OR","EQY_CONSOLIDATED=Y","Sort=A","Dates=H","DateFormat=P","Fill=—","Direction=H","UseDPDF=Y")</f>
        <v>#NAME?</v>
      </c>
      <c r="CU338" s="2" t="e">
        <f ca="1">_xll.BDH($C$328,"QUICK_RATIO","FY 2016","FY 2016","Currency=INR","Period=FY","BEST_FPERIOD_OVERRIDE=FY","FILING_STATUS=OR","EQY_CONSOLIDATED=Y","Sort=A","Dates=H","DateFormat=P","Fill=—","Direction=H","UseDPDF=Y")</f>
        <v>#NAME?</v>
      </c>
      <c r="CV338" s="2" t="e">
        <f ca="1">_xll.BDH($C$328,"ALTMAN_Z_SCORE","FY 2016","FY 2016","Currency=INR","Period=FY","BEST_FPERIOD_OVERRIDE=FY","FILING_STATUS=OR","EQY_CONSOLIDATED=Y","Sort=A","Dates=H","DateFormat=P","Fill=—","Direction=H","UseDPDF=Y")</f>
        <v>#NAME?</v>
      </c>
      <c r="CW338" s="4" t="e">
        <f ca="1">_xll.BDH($C$328,"ACCT_RCV_TURN","FY 2016","FY 2016","Currency=INR","Period=FY","BEST_FPERIOD_OVERRIDE=FY","FILING_STATUS=OR","EQY_CONSOLIDATED=Y","FA_ADJUSTED=GAAP","Sort=A","Dates=H","DateFormat=P","Fill=—","Direction=H","UseDPDF=Y")</f>
        <v>#NAME?</v>
      </c>
      <c r="CX338" s="2" t="e">
        <f ca="1">_xll.BDH($C$328,"ACCT_RCV_DAYS","FY 2016","FY 2016","Currency=INR","Period=FY","BEST_FPERIOD_OVERRIDE=FY","FILING_STATUS=OR","EQY_CONSOLIDATED=Y","FA_ADJUSTED=GAAP","Sort=A","Dates=H","DateFormat=P","Fill=—","Direction=H","UseDPDF=Y")</f>
        <v>#NAME?</v>
      </c>
      <c r="CY338" s="4" t="e">
        <f ca="1">_xll.BDH($C$328,"INVENT_TURN","FY 2016","FY 2016","Currency=INR","Period=FY","BEST_FPERIOD_OVERRIDE=FY","FILING_STATUS=OR","EQY_CONSOLIDATED=Y","FA_ADJUSTED=GAAP","Sort=A","Dates=H","DateFormat=P","Fill=—","Direction=H","UseDPDF=Y")</f>
        <v>#NAME?</v>
      </c>
      <c r="CZ338" s="2" t="e">
        <f ca="1">_xll.BDH($C$328,"INVENT_DAYS","FY 2016","FY 2016","Currency=INR","Period=FY","BEST_FPERIOD_OVERRIDE=FY","FILING_STATUS=OR","EQY_CONSOLIDATED=Y","FA_ADJUSTED=GAAP","Sort=A","Dates=H","DateFormat=P","Fill=—","Direction=H","UseDPDF=Y")</f>
        <v>#NAME?</v>
      </c>
      <c r="DA338" s="4" t="e">
        <f ca="1">_xll.BDH($C$328,"ACCOUNTS_PAYABLE_TURNOVER","FY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38" s="2" t="e">
        <f ca="1">_xll.BDH($C$328,"ACCOUNTS_PAYABLE_TURNOVER_DAYS","FY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38" s="4" t="e">
        <f ca="1">_xll.BDH($C$328,"CASH_CONVERSION_CYCLE","FY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38" s="4" t="e">
        <f ca="1">_xll.BDH($C$328,"INV_TO_CASH_DAYS","FY 2016","FY 2016","Currency=INR","Period=FY","BEST_FPERIOD_OVERRIDE=FY","FILING_STATUS=OR","EQY_CONSOLIDATED=Y","FA_ADJUSTED=GAAP","Sort=A","Dates=H","DateFormat=P","Fill=—","Direction=H","UseDPDF=Y")</f>
        <v>#NAME?</v>
      </c>
      <c r="DE338" s="5" t="e">
        <f ca="1">_xll.BDH($C$328,"BS_INVENTORIES","FY 2016","FY 2016","Currency=INR","Period=FY","BEST_FPERIOD_OVERRIDE=FY","FILING_STATUS=OR","EQY_CONSOLIDATED=Y","SCALING_FORMAT=MLN","Sort=A","Dates=H","DateFormat=P","Fill=—","Direction=H","UseDPDF=Y")</f>
        <v>#NAME?</v>
      </c>
      <c r="DF338" s="3" t="e">
        <f ca="1">_xll.BDH($C$328,"INVTRY_RAW_MATERIALS","FY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38" s="3" t="e">
        <f ca="1">_xll.BDH($C$328,"INVTRY_IN_PROGRESS","FY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38" s="3" t="e">
        <f ca="1">_xll.BDH($C$328,"INVTRY_FINISHED_GOODS","FY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38" s="3" t="e">
        <f ca="1">_xll.BDH($C$328,"BS_OTHER_INV","FY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39" spans="1:113" x14ac:dyDescent="0.3">
      <c r="A339" s="6"/>
      <c r="B339" s="6"/>
      <c r="C339" s="6"/>
      <c r="D339" s="6"/>
      <c r="E339" t="s">
        <v>78</v>
      </c>
      <c r="F339" t="e">
        <f ca="1">_xll.BDH($C$328,"RETURN_COM_EQY","FQ1 2016","FQ1 2016","Currency=INR","Period=FQ","BEST_FPERIOD_OVERRIDE=FQ","FILING_STATUS=OR","EQY_CONSOLIDATED=Y","FA_ADJUSTED=GAAP","Sort=A","Dates=H","DateFormat=P","Fill=—","Direction=H","UseDPDF=Y")</f>
        <v>#NAME?</v>
      </c>
      <c r="G339" t="e">
        <f ca="1">_xll.BDH($C$328,"RETURN_ON_ASSET","FQ1 2016","FQ1 2016","Currency=INR","Period=FQ","BEST_FPERIOD_OVERRIDE=FQ","FILING_STATUS=OR","EQY_CONSOLIDATED=Y","FA_ADJUSTED=GAAP","Sort=A","Dates=H","DateFormat=P","Fill=—","Direction=H","UseDPDF=Y")</f>
        <v>#NAME?</v>
      </c>
      <c r="H339" t="e">
        <f ca="1">_xll.BDH($C$328,"RETURN_ON_CAP","FQ1 2016","FQ1 2016","Currency=INR","Period=FQ","BEST_FPERIOD_OVERRIDE=FQ","FILING_STATUS=OR","EQY_CONSOLIDATED=Y","FA_ADJUSTED=GAAP","Sort=A","Dates=H","DateFormat=P","Fill=—","Direction=H","UseDPDF=Y")</f>
        <v>#NAME?</v>
      </c>
      <c r="I339" t="e">
        <f ca="1">_xll.BDH($C$328,"RETURN_ON_INV_CAPITAL","FQ1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39" t="e">
        <f ca="1">_xll.BDH($C$328,"EBITDA_TO_REVENUE","FQ1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39" t="e">
        <f ca="1">_xll.BDH($C$328,"OPER_MARGIN","FQ1 2016","FQ1 2016","Currency=INR","Period=FQ","BEST_FPERIOD_OVERRIDE=FQ","FILING_STATUS=OR","EQY_CONSOLIDATED=Y","FA_ADJUSTED=GAAP","Sort=A","Dates=H","DateFormat=P","Fill=—","Direction=H","UseDPDF=Y")</f>
        <v>#NAME?</v>
      </c>
      <c r="L339" t="e">
        <f ca="1">_xll.BDH($C$328,"INCREMENTAL_OPERATING_MARGIN","FQ1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39" t="e">
        <f ca="1">_xll.BDH($C$328,"PRETAX_INC_TO_NET_SALES","FQ1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39" t="e">
        <f ca="1">_xll.BDH($C$328,"INC_BEF_XO_ITEMS_TO_NET_SALES","FQ1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39" t="e">
        <f ca="1">_xll.BDH($C$328,"PROF_MARGIN","FQ1 2016","FQ1 2016","Currency=INR","Period=FQ","BEST_FPERIOD_OVERRIDE=FQ","FILING_STATUS=OR","EQY_CONSOLIDATED=Y","FA_ADJUSTED=GAAP","Sort=A","Dates=H","DateFormat=P","Fill=—","Direction=H","UseDPDF=Y")</f>
        <v>#NAME?</v>
      </c>
      <c r="P339" t="e">
        <f ca="1">_xll.BDH($C$328,"NET_INCOME_TO_COMMON_MARGIN","FQ1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39" t="e">
        <f ca="1">_xll.BDH($C$328,"EFF_TAX_RATE","FQ1 2016","FQ1 2016","Currency=INR","Period=FQ","BEST_FPERIOD_OVERRIDE=FQ","FILING_STATUS=OR","EQY_CONSOLIDATED=Y","FA_ADJUSTED=GAAP","Sort=A","Dates=H","DateFormat=P","Fill=—","Direction=H","UseDPDF=Y")</f>
        <v>#NAME?</v>
      </c>
      <c r="R339" t="e">
        <f ca="1">_xll.BDH($C$328,"DVD_PAYOUT_RATIO","FQ1 2016","FQ1 2016","Currency=INR","Period=FQ","BEST_FPERIOD_OVERRIDE=FQ","FILING_STATUS=OR","EQY_CONSOLIDATED=Y","FA_ADJUSTED=GAAP","Sort=A","Dates=H","DateFormat=P","Fill=—","Direction=H","UseDPDF=Y")</f>
        <v>#NAME?</v>
      </c>
      <c r="S339" t="e">
        <f ca="1">_xll.BDH($C$328,"SUSTAIN_GROWTH_RT","FQ1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39" s="2" t="e">
        <f ca="1">_xll.BDH($C$328,"SALES_GROWTH","FQ1 2016","FQ1 2016","Currency=INR","Period=FQ","BEST_FPERIOD_OVERRIDE=FQ","FILING_STATUS=OR","EQY_CONSOLIDATED=Y","FA_ADJUSTED=GAAP","Sort=A","Dates=H","DateFormat=P","Fill=—","Direction=H","UseDPDF=Y")</f>
        <v>#NAME?</v>
      </c>
      <c r="U339" s="2" t="e">
        <f ca="1">_xll.BDH($C$328,"EBITDA_GROWTH","FQ1 2016","FQ1 2016","Currency=INR","Period=FQ","BEST_FPERIOD_OVERRIDE=FQ","FILING_STATUS=OR","EQY_CONSOLIDATED=Y","FA_ADJUSTED=GAAP","Sort=A","Dates=H","DateFormat=P","Fill=—","Direction=H","UseDPDF=Y")</f>
        <v>#NAME?</v>
      </c>
      <c r="V339" s="2" t="e">
        <f ca="1">_xll.BDH($C$328,"OPER_INC_GROWTH","FQ1 2016","FQ1 2016","Currency=INR","Period=FQ","BEST_FPERIOD_OVERRIDE=FQ","FILING_STATUS=OR","EQY_CONSOLIDATED=Y","FA_ADJUSTED=GAAP","Sort=A","Dates=H","DateFormat=P","Fill=—","Direction=H","UseDPDF=Y")</f>
        <v>#NAME?</v>
      </c>
      <c r="W339" s="2" t="e">
        <f ca="1">_xll.BDH($C$328,"EARN_FOR_COM_GROWTH","FQ1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39" s="2" t="e">
        <f ca="1">_xll.BDH($C$328,"DILUTED_EPS_AFT_XO_ITEMS_GROWTH","FQ1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39" s="2" t="e">
        <f ca="1">_xll.BDH($C$328,"DIVIDEND_PER_SHARE_1_YEAR_GROWTH","FQ1 2016","FQ1 2016","Currency=INR","Period=FQ","BEST_FPERIOD_OVERRIDE=FQ","FILING_STATUS=OR","EQY_CONSOLIDATED=Y","Sort=A","Dates=H","DateFormat=P","Fill=—","Direction=H","UseDPDF=Y")</f>
        <v>#NAME?</v>
      </c>
      <c r="Z339" s="2" t="e">
        <f ca="1">_xll.BDH($C$328,"ACCOUNTS_RECEIVABLE_GROWTH","FQ1 2016","FQ1 2016","Currency=INR","Period=FQ","BEST_FPERIOD_OVERRIDE=FQ","FILING_STATUS=OR","EQY_CONSOLIDATED=Y","Sort=A","Dates=H","DateFormat=P","Fill=—","Direction=H","UseDPDF=Y")</f>
        <v>#NAME?</v>
      </c>
      <c r="AA339" s="2" t="e">
        <f ca="1">_xll.BDH($C$328,"INVENTORY_GROWTH","FQ1 2016","FQ1 2016","Currency=INR","Period=FQ","BEST_FPERIOD_OVERRIDE=FQ","FILING_STATUS=OR","EQY_CONSOLIDATED=Y","Sort=A","Dates=H","DateFormat=P","Fill=—","Direction=H","UseDPDF=Y")</f>
        <v>#NAME?</v>
      </c>
      <c r="AB339" s="2" t="e">
        <f ca="1">_xll.BDH($C$328,"NET_FIXED_ASSETS_1_YEAR_GROWTH","FQ1 2016","FQ1 2016","Currency=INR","Period=FQ","BEST_FPERIOD_OVERRIDE=FQ","FILING_STATUS=OR","EQY_CONSOLIDATED=Y","Sort=A","Dates=H","DateFormat=P","Fill=—","Direction=H","UseDPDF=Y")</f>
        <v>#NAME?</v>
      </c>
      <c r="AC339" s="2" t="e">
        <f ca="1">_xll.BDH($C$328,"ASSET_GROWTH","FQ1 2016","FQ1 2016","Currency=INR","Period=FQ","BEST_FPERIOD_OVERRIDE=FQ","FILING_STATUS=OR","EQY_CONSOLIDATED=Y","Sort=A","Dates=H","DateFormat=P","Fill=—","Direction=H","UseDPDF=Y")</f>
        <v>#NAME?</v>
      </c>
      <c r="AD339" s="2" t="e">
        <f ca="1">_xll.BDH($C$328,"MODIFIED_WORK_CAP_GROWTH","FQ1 2016","FQ1 2016","Currency=INR","Period=FQ","BEST_FPERIOD_OVERRIDE=FQ","FILING_STATUS=OR","EQY_CONSOLIDATED=Y","Sort=A","Dates=H","DateFormat=P","Fill=—","Direction=H","UseDPDF=Y")</f>
        <v>#NAME?</v>
      </c>
      <c r="AE339" s="2" t="e">
        <f ca="1">_xll.BDH($C$328,"WORK_CAP_GROWTH","FQ1 2016","FQ1 2016","Currency=INR","Period=FQ","BEST_FPERIOD_OVERRIDE=FQ","FILING_STATUS=OR","EQY_CONSOLIDATED=Y","Sort=A","Dates=H","DateFormat=P","Fill=—","Direction=H","UseDPDF=Y")</f>
        <v>#NAME?</v>
      </c>
      <c r="AF339" s="2" t="e">
        <f ca="1">_xll.BDH($C$328,"ACCOUNTS_PAYABLE_GROWTH_1YR","FQ1 2016","FQ1 2016","Currency=INR","Period=FQ","BEST_FPERIOD_OVERRIDE=FQ","FILING_STATUS=OR","EQY_CONSOLIDATED=Y","Sort=A","Dates=H","DateFormat=P","Fill=—","Direction=H","UseDPDF=Y")</f>
        <v>#NAME?</v>
      </c>
      <c r="AG339" s="2" t="e">
        <f ca="1">_xll.BDH($C$328,"SHORT_TERM_DEBT_1_YEAR_GROWTH","FQ1 2016","FQ1 2016","Currency=INR","Period=FQ","BEST_FPERIOD_OVERRIDE=FQ","FILING_STATUS=OR","EQY_CONSOLIDATED=Y","Sort=A","Dates=H","DateFormat=P","Fill=—","Direction=H","UseDPDF=Y")</f>
        <v>#NAME?</v>
      </c>
      <c r="AH339" s="2" t="e">
        <f ca="1">_xll.BDH($C$328,"TOTAL_DEBT_1_YEAR_GROWTH","FQ1 2016","FQ1 2016","Currency=INR","Period=FQ","BEST_FPERIOD_OVERRIDE=FQ","FILING_STATUS=OR","EQY_CONSOLIDATED=Y","Sort=A","Dates=H","DateFormat=P","Fill=—","Direction=H","UseDPDF=Y")</f>
        <v>#NAME?</v>
      </c>
      <c r="AI339" s="2" t="e">
        <f ca="1">_xll.BDH($C$328,"TOTAL_EQUITY_1_YEAR_GROWTH","FQ1 2016","FQ1 2016","Currency=INR","Period=FQ","BEST_FPERIOD_OVERRIDE=FQ","FILING_STATUS=OR","EQY_CONSOLIDATED=Y","Sort=A","Dates=H","DateFormat=P","Fill=—","Direction=H","UseDPDF=Y")</f>
        <v>#NAME?</v>
      </c>
      <c r="AJ339" s="2" t="e">
        <f ca="1">_xll.BDH($C$328,"GROWTH_IN_CAP","FQ1 2016","FQ1 2016","Currency=INR","Period=FQ","BEST_FPERIOD_OVERRIDE=FQ","FILING_STATUS=OR","EQY_CONSOLIDATED=Y","Sort=A","Dates=H","DateFormat=P","Fill=—","Direction=H","UseDPDF=Y")</f>
        <v>#NAME?</v>
      </c>
      <c r="AK339" s="2" t="e">
        <f ca="1">_xll.BDH($C$328,"BVPS_GROWTH","FQ1 2016","FQ1 2016","Currency=INR","Period=FQ","BEST_FPERIOD_OVERRIDE=FQ","FILING_STATUS=OR","EQY_CONSOLIDATED=Y","Sort=A","Dates=H","DateFormat=P","Fill=—","Direction=H","UseDPDF=Y")</f>
        <v>#NAME?</v>
      </c>
      <c r="AL339" s="2" t="e">
        <f ca="1">_xll.BDH($C$328,"CASH_FLOW_GROWTH","FQ1 2016","FQ1 2016","Currency=INR","Period=FQ","BEST_FPERIOD_OVERRIDE=FQ","FILING_STATUS=OR","EQY_CONSOLIDATED=Y","Sort=A","Dates=H","DateFormat=P","Fill=—","Direction=H","UseDPDF=Y")</f>
        <v>#NAME?</v>
      </c>
      <c r="AM339" s="2" t="e">
        <f ca="1">_xll.BDH($C$328,"GEO_GROW_NET_SALES","FQ1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39" s="2" t="e">
        <f ca="1">_xll.BDH($C$328,"GEO_GROW_EBITDA","FQ1 2016","FQ1 2016","Currency=INR","Period=FQ","BEST_FPERIOD_OVERRIDE=FQ","FILING_STATUS=OR","EQY_CONSOLIDATED=Y","FA_ADJUSTED=GAAP","Sort=A","Dates=H","DateFormat=P","Fill=—","Direction=H","UseDPDF=Y")</f>
        <v>#NAME?</v>
      </c>
      <c r="AO339" s="2" t="e">
        <f ca="1">_xll.BDH($C$328,"GEO_GROW_OPER_INC","FQ1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39" s="2" t="e">
        <f ca="1">_xll.BDH($C$328,"NET_INCOME_TO_COMMON_5_YR_GROWTH","FQ1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39" s="2" t="e">
        <f ca="1">_xll.BDH($C$328,"5Y_GEO_GROWTH_DILUTED_EPS","FQ1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39" s="2" t="e">
        <f ca="1">_xll.BDH($C$328,"GEO_GROW_DVD_PER_SH","FQ1 2016","FQ1 2016","Currency=INR","Period=FQ","BEST_FPERIOD_OVERRIDE=FQ","FILING_STATUS=OR","EQY_CONSOLIDATED=Y","Sort=A","Dates=H","DateFormat=P","Fill=—","Direction=H","UseDPDF=Y")</f>
        <v>#NAME?</v>
      </c>
      <c r="AS339" s="2" t="e">
        <f ca="1">_xll.BDH($C$328,"ACCOUNTS_RECEIVABLE_5_YR_GROWTH","FQ1 2016","FQ1 2016","Currency=INR","Period=FQ","BEST_FPERIOD_OVERRIDE=FQ","FILING_STATUS=OR","EQY_CONSOLIDATED=Y","Sort=A","Dates=H","DateFormat=P","Fill=—","Direction=H","UseDPDF=Y")</f>
        <v>#NAME?</v>
      </c>
      <c r="AT339" s="2" t="e">
        <f ca="1">_xll.BDH($C$328,"INVENTORY_5_YEAR_GROWTH","FQ1 2016","FQ1 2016","Currency=INR","Period=FQ","BEST_FPERIOD_OVERRIDE=FQ","FILING_STATUS=OR","EQY_CONSOLIDATED=Y","Sort=A","Dates=H","DateFormat=P","Fill=—","Direction=H","UseDPDF=Y")</f>
        <v>#NAME?</v>
      </c>
      <c r="AU339" s="2" t="e">
        <f ca="1">_xll.BDH($C$328,"NET_FIXED_ASSETS_5_YEAR_GROWTH","FQ1 2016","FQ1 2016","Currency=INR","Period=FQ","BEST_FPERIOD_OVERRIDE=FQ","FILING_STATUS=OR","EQY_CONSOLIDATED=Y","Sort=A","Dates=H","DateFormat=P","Fill=—","Direction=H","UseDPDF=Y")</f>
        <v>#NAME?</v>
      </c>
      <c r="AV339" s="2" t="e">
        <f ca="1">_xll.BDH($C$328,"GEO_GROW_TOT_ASSET","FQ1 2016","FQ1 2016","Currency=INR","Period=FQ","BEST_FPERIOD_OVERRIDE=FQ","FILING_STATUS=OR","EQY_CONSOLIDATED=Y","Sort=A","Dates=H","DateFormat=P","Fill=—","Direction=H","UseDPDF=Y")</f>
        <v>#NAME?</v>
      </c>
      <c r="AW339" s="2" t="e">
        <f ca="1">_xll.BDH($C$328,"MODIFIED_WORKING_CPTL_5YR_GRWTH","FQ1 2016","FQ1 2016","Currency=INR","Period=FQ","BEST_FPERIOD_OVERRIDE=FQ","FILING_STATUS=OR","EQY_CONSOLIDATED=Y","Sort=A","Dates=H","DateFormat=P","Fill=—","Direction=H","UseDPDF=Y")</f>
        <v>#NAME?</v>
      </c>
      <c r="AX339" s="2" t="e">
        <f ca="1">_xll.BDH($C$328,"WORKING_CAPITAL_5_YEAR_GROWTH","FQ1 2016","FQ1 2016","Currency=INR","Period=FQ","BEST_FPERIOD_OVERRIDE=FQ","FILING_STATUS=OR","EQY_CONSOLIDATED=Y","Sort=A","Dates=H","DateFormat=P","Fill=—","Direction=H","UseDPDF=Y")</f>
        <v>#NAME?</v>
      </c>
      <c r="AY339" s="2" t="e">
        <f ca="1">_xll.BDH($C$328,"ACCOUNTS_PAYABLE_5_YEAR_GROWTH","FQ1 2016","FQ1 2016","Currency=INR","Period=FQ","BEST_FPERIOD_OVERRIDE=FQ","FILING_STATUS=OR","EQY_CONSOLIDATED=Y","Sort=A","Dates=H","DateFormat=P","Fill=—","Direction=H","UseDPDF=Y")</f>
        <v>#NAME?</v>
      </c>
      <c r="AZ339" s="2" t="e">
        <f ca="1">_xll.BDH($C$328,"SHORT_TERM_DEBT_5_YEAR_GROWTH","FQ1 2016","FQ1 2016","Currency=INR","Period=FQ","BEST_FPERIOD_OVERRIDE=FQ","FILING_STATUS=OR","EQY_CONSOLIDATED=Y","Sort=A","Dates=H","DateFormat=P","Fill=—","Direction=H","UseDPDF=Y")</f>
        <v>#NAME?</v>
      </c>
      <c r="BA339" s="2" t="e">
        <f ca="1">_xll.BDH($C$328,"TOTAL_DEBT_5_YEAR_GROWTH","FQ1 2016","FQ1 2016","Currency=INR","Period=FQ","BEST_FPERIOD_OVERRIDE=FQ","FILING_STATUS=OR","EQY_CONSOLIDATED=Y","Sort=A","Dates=H","DateFormat=P","Fill=—","Direction=H","UseDPDF=Y")</f>
        <v>#NAME?</v>
      </c>
      <c r="BB339" s="2" t="e">
        <f ca="1">_xll.BDH($C$328,"GEO_GROW_TOT_SHRHLDR_EQY","FQ1 2016","FQ1 2016","Currency=INR","Period=FQ","BEST_FPERIOD_OVERRIDE=FQ","FILING_STATUS=OR","EQY_CONSOLIDATED=Y","Sort=A","Dates=H","DateFormat=P","Fill=—","Direction=H","UseDPDF=Y")</f>
        <v>#NAME?</v>
      </c>
      <c r="BC339" s="2" t="e">
        <f ca="1">_xll.BDH($C$328,"TOTAL_CAPITAL_5_YEAR_GROWTH","FQ1 2016","FQ1 2016","Currency=INR","Period=FQ","BEST_FPERIOD_OVERRIDE=FQ","FILING_STATUS=OR","EQY_CONSOLIDATED=Y","Sort=A","Dates=H","DateFormat=P","Fill=—","Direction=H","UseDPDF=Y")</f>
        <v>#NAME?</v>
      </c>
      <c r="BD339" s="2" t="e">
        <f ca="1">_xll.BDH($C$328,"GEO_GROW_BOOK_VAL","FQ1 2016","FQ1 2016","Currency=INR","Period=FQ","BEST_FPERIOD_OVERRIDE=FQ","FILING_STATUS=OR","EQY_CONSOLIDATED=Y","Sort=A","Dates=H","DateFormat=P","Fill=—","Direction=H","UseDPDF=Y")</f>
        <v>#NAME?</v>
      </c>
      <c r="BE339" s="2" t="e">
        <f ca="1">_xll.BDH($C$328,"GEO_GROW_CASH_OPER_ACT","FQ1 2016","FQ1 2016","Currency=INR","Period=FQ","BEST_FPERIOD_OVERRIDE=FQ","FILING_STATUS=OR","EQY_CONSOLIDATED=Y","Sort=A","Dates=H","DateFormat=P","Fill=—","Direction=H","UseDPDF=Y")</f>
        <v>#NAME?</v>
      </c>
      <c r="BF339" s="2" t="e">
        <f ca="1">_xll.BDH($C$328,"REVENUE_SEQUENTIAL_GROWTH","FQ1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39" s="2" t="e">
        <f ca="1">_xll.BDH($C$328,"EBITDA_SEQUENTIAL_GROWTH","FQ1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39" s="2" t="e">
        <f ca="1">_xll.BDH($C$328,"OPERATING_INCOME_SEQ_GROWTH","FQ1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39" s="2" t="e">
        <f ca="1">_xll.BDH($C$328,"NET_INCOME_TO_COMMON_SEQ_GROWTH","FQ1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39" s="2" t="e">
        <f ca="1">_xll.BDH($C$328,"EPS_DILUTED_SEQUENTIAL_GROWTH","FQ1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39" s="2" t="e">
        <f ca="1">_xll.BDH($C$328,"DPS_SEQUENTIAL_GROWTH","FQ1 2016","FQ1 2016","Currency=INR","Period=FQ","BEST_FPERIOD_OVERRIDE=FQ","FILING_STATUS=OR","EQY_CONSOLIDATED=Y","Sort=A","Dates=H","DateFormat=P","Fill=—","Direction=H","UseDPDF=Y")</f>
        <v>#NAME?</v>
      </c>
      <c r="BL339" s="2" t="e">
        <f ca="1">_xll.BDH($C$328,"ACCOUNTS_RECEIVABLE_SEQ_GROWTH","FQ1 2016","FQ1 2016","Currency=INR","Period=FQ","BEST_FPERIOD_OVERRIDE=FQ","FILING_STATUS=OR","EQY_CONSOLIDATED=Y","Sort=A","Dates=H","DateFormat=P","Fill=—","Direction=H","UseDPDF=Y")</f>
        <v>#NAME?</v>
      </c>
      <c r="BM339" s="2" t="e">
        <f ca="1">_xll.BDH($C$328,"INVENTORY_SEQUENTIAL_GROWTH","FQ1 2016","FQ1 2016","Currency=INR","Period=FQ","BEST_FPERIOD_OVERRIDE=FQ","FILING_STATUS=OR","EQY_CONSOLIDATED=Y","Sort=A","Dates=H","DateFormat=P","Fill=—","Direction=H","UseDPDF=Y")</f>
        <v>#NAME?</v>
      </c>
      <c r="BN339" s="2" t="e">
        <f ca="1">_xll.BDH($C$328,"FIXED_ASSETS_SEQUENTIAL_GROWTH","FQ1 2016","FQ1 2016","Currency=INR","Period=FQ","BEST_FPERIOD_OVERRIDE=FQ","FILING_STATUS=OR","EQY_CONSOLIDATED=Y","Sort=A","Dates=H","DateFormat=P","Fill=—","Direction=H","UseDPDF=Y")</f>
        <v>#NAME?</v>
      </c>
      <c r="BO339" s="2" t="e">
        <f ca="1">_xll.BDH($C$328,"TOTAL_ASSETS_SEQUENTIAL_GROWTH","FQ1 2016","FQ1 2016","Currency=INR","Period=FQ","BEST_FPERIOD_OVERRIDE=FQ","FILING_STATUS=OR","EQY_CONSOLIDATED=Y","Sort=A","Dates=H","DateFormat=P","Fill=—","Direction=H","UseDPDF=Y")</f>
        <v>#NAME?</v>
      </c>
      <c r="BP339" s="2" t="e">
        <f ca="1">_xll.BDH($C$328,"MODIFIED_WORKING_CPTL_SEQ_GRWTH","FQ1 2016","FQ1 2016","Currency=INR","Period=FQ","BEST_FPERIOD_OVERRIDE=FQ","FILING_STATUS=OR","EQY_CONSOLIDATED=Y","Sort=A","Dates=H","DateFormat=P","Fill=—","Direction=H","UseDPDF=Y")</f>
        <v>#NAME?</v>
      </c>
      <c r="BQ339" s="2" t="e">
        <f ca="1">_xll.BDH($C$328,"WORKING_CAPITAL_SEQ_GROWTH","FQ1 2016","FQ1 2016","Currency=INR","Period=FQ","BEST_FPERIOD_OVERRIDE=FQ","FILING_STATUS=OR","EQY_CONSOLIDATED=Y","Sort=A","Dates=H","DateFormat=P","Fill=—","Direction=H","UseDPDF=Y")</f>
        <v>#NAME?</v>
      </c>
      <c r="BR339" s="2" t="e">
        <f ca="1">_xll.BDH($C$328,"ACCOUNTS_PAYABLE_SEQ_GROWTH","FQ1 2016","FQ1 2016","Currency=INR","Period=FQ","BEST_FPERIOD_OVERRIDE=FQ","FILING_STATUS=OR","EQY_CONSOLIDATED=Y","Sort=A","Dates=H","DateFormat=P","Fill=—","Direction=H","UseDPDF=Y")</f>
        <v>#NAME?</v>
      </c>
      <c r="BS339" s="2" t="e">
        <f ca="1">_xll.BDH($C$328,"ST_DEBT_SEQUENTIAL_GROWTH","FQ1 2016","FQ1 2016","Currency=INR","Period=FQ","BEST_FPERIOD_OVERRIDE=FQ","FILING_STATUS=OR","EQY_CONSOLIDATED=Y","Sort=A","Dates=H","DateFormat=P","Fill=—","Direction=H","UseDPDF=Y")</f>
        <v>#NAME?</v>
      </c>
      <c r="BT339" s="2" t="e">
        <f ca="1">_xll.BDH($C$328,"TOTAL_DEBT_SEQUENTIAL_GROWTH","FQ1 2016","FQ1 2016","Currency=INR","Period=FQ","BEST_FPERIOD_OVERRIDE=FQ","FILING_STATUS=OR","EQY_CONSOLIDATED=Y","Sort=A","Dates=H","DateFormat=P","Fill=—","Direction=H","UseDPDF=Y")</f>
        <v>#NAME?</v>
      </c>
      <c r="BU339" s="2" t="e">
        <f ca="1">_xll.BDH($C$328,"TOTAL_EQUITY_SEQUENTIAL_GROWTH","FQ1 2016","FQ1 2016","Currency=INR","Period=FQ","BEST_FPERIOD_OVERRIDE=FQ","FILING_STATUS=OR","EQY_CONSOLIDATED=Y","Sort=A","Dates=H","DateFormat=P","Fill=—","Direction=H","UseDPDF=Y")</f>
        <v>#NAME?</v>
      </c>
      <c r="BV339" s="2" t="e">
        <f ca="1">_xll.BDH($C$328,"TOTAL_CAPITAL_SEQUENTIAL_GROWTH","FQ1 2016","FQ1 2016","Currency=INR","Period=FQ","BEST_FPERIOD_OVERRIDE=FQ","FILING_STATUS=OR","EQY_CONSOLIDATED=Y","Sort=A","Dates=H","DateFormat=P","Fill=—","Direction=H","UseDPDF=Y")</f>
        <v>#NAME?</v>
      </c>
      <c r="BW339" s="2" t="e">
        <f ca="1">_xll.BDH($C$328,"BPS_SEQUENTIAL_GROWTH","FQ1 2016","FQ1 2016","Currency=INR","Period=FQ","BEST_FPERIOD_OVERRIDE=FQ","FILING_STATUS=OR","EQY_CONSOLIDATED=Y","Sort=A","Dates=H","DateFormat=P","Fill=—","Direction=H","UseDPDF=Y")</f>
        <v>#NAME?</v>
      </c>
      <c r="BX339" s="2" t="e">
        <f ca="1">_xll.BDH($C$328,"CFO_SEQUENTIAL_GROWTH","FQ1 2016","FQ1 2016","Currency=INR","Period=FQ","BEST_FPERIOD_OVERRIDE=FQ","FILING_STATUS=OR","EQY_CONSOLIDATED=Y","Sort=A","Dates=H","DateFormat=P","Fill=—","Direction=H","UseDPDF=Y")</f>
        <v>#NAME?</v>
      </c>
      <c r="BY339" s="3" t="e">
        <f ca="1">_xll.BDH($C$328,"SHORT_AND_LONG_TERM_DEBT","FQ1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39" s="3" t="e">
        <f ca="1">_xll.BDH($C$328,"BS_ST_BORROW","FQ1 2016","FQ1 2016","Currency=INR","Period=FQ","BEST_FPERIOD_OVERRIDE=FQ","FILING_STATUS=OR","EQY_CONSOLIDATED=Y","SCALING_FORMAT=MLN","Sort=A","Dates=H","DateFormat=P","Fill=—","Direction=H","UseDPDF=Y")</f>
        <v>#NAME?</v>
      </c>
      <c r="CA339" s="3" t="e">
        <f ca="1">_xll.BDH($C$328,"BS_LT_BORROW","FQ1 2016","FQ1 2016","Currency=INR","Period=FQ","BEST_FPERIOD_OVERRIDE=FQ","FILING_STATUS=OR","EQY_CONSOLIDATED=Y","SCALING_FORMAT=MLN","Sort=A","Dates=H","DateFormat=P","Fill=—","Direction=H","UseDPDF=Y")</f>
        <v>#NAME?</v>
      </c>
      <c r="CB339" s="2" t="e">
        <f ca="1">_xll.BDH($C$328,"TOT_DEBT_TO_EBITDA","FQ1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39" s="2" t="e">
        <f ca="1">_xll.BDH($C$328,"NET_DEBT_TO_EBITDA","FQ1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39" s="2" t="e">
        <f ca="1">_xll.BDH($C$328,"TOTAL_DEBT_TO_EBIT","FQ1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39" s="2" t="e">
        <f ca="1">_xll.BDH($C$328,"NET_DEBT_TO_EBIT","FQ1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39" s="2" t="e">
        <f ca="1">_xll.BDH($C$328,"EBITDA_TO_INTEREST_EXPN","FQ1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39" s="2" t="e">
        <f ca="1">_xll.BDH($C$328,"COM_EQY_TO_TOT_ASSET","FQ1 2016","FQ1 2016","Currency=INR","Period=FQ","BEST_FPERIOD_OVERRIDE=FQ","FILING_STATUS=OR","EQY_CONSOLIDATED=Y","Sort=A","Dates=H","DateFormat=P","Fill=—","Direction=H","UseDPDF=Y")</f>
        <v>#NAME?</v>
      </c>
      <c r="CH339" s="2" t="e">
        <f ca="1">_xll.BDH($C$328,"LT_DEBT_TO_TOT_EQY","FQ1 2016","FQ1 2016","Currency=INR","Period=FQ","BEST_FPERIOD_OVERRIDE=FQ","FILING_STATUS=OR","EQY_CONSOLIDATED=Y","Sort=A","Dates=H","DateFormat=P","Fill=—","Direction=H","UseDPDF=Y")</f>
        <v>#NAME?</v>
      </c>
      <c r="CI339" s="2" t="e">
        <f ca="1">_xll.BDH($C$328,"LT_DEBT_TO_TOT_CAP","FQ1 2016","FQ1 2016","Currency=INR","Period=FQ","BEST_FPERIOD_OVERRIDE=FQ","FILING_STATUS=OR","EQY_CONSOLIDATED=Y","Sort=A","Dates=H","DateFormat=P","Fill=—","Direction=H","UseDPDF=Y")</f>
        <v>#NAME?</v>
      </c>
      <c r="CJ339" s="2" t="e">
        <f ca="1">_xll.BDH($C$328,"LT_DEBT_TO_TOT_ASSET","FQ1 2016","FQ1 2016","Currency=INR","Period=FQ","BEST_FPERIOD_OVERRIDE=FQ","FILING_STATUS=OR","EQY_CONSOLIDATED=Y","Sort=A","Dates=H","DateFormat=P","Fill=—","Direction=H","UseDPDF=Y")</f>
        <v>#NAME?</v>
      </c>
      <c r="CK339" s="2" t="e">
        <f ca="1">_xll.BDH($C$328,"TOT_DEBT_TO_TOT_EQY","FQ1 2016","FQ1 2016","Currency=INR","Period=FQ","BEST_FPERIOD_OVERRIDE=FQ","FILING_STATUS=OR","EQY_CONSOLIDATED=Y","Sort=A","Dates=H","DateFormat=P","Fill=—","Direction=H","UseDPDF=Y")</f>
        <v>#NAME?</v>
      </c>
      <c r="CL339" s="2" t="e">
        <f ca="1">_xll.BDH($C$328,"TOT_DEBT_TO_TOT_CAP","FQ1 2016","FQ1 2016","Currency=INR","Period=FQ","BEST_FPERIOD_OVERRIDE=FQ","FILING_STATUS=OR","EQY_CONSOLIDATED=Y","Sort=A","Dates=H","DateFormat=P","Fill=—","Direction=H","UseDPDF=Y")</f>
        <v>#NAME?</v>
      </c>
      <c r="CM339" s="2" t="e">
        <f ca="1">_xll.BDH($C$328,"TOT_DEBT_TO_TOT_ASSET","FQ1 2016","FQ1 2016","Currency=INR","Period=FQ","BEST_FPERIOD_OVERRIDE=FQ","FILING_STATUS=OR","EQY_CONSOLIDATED=Y","Sort=A","Dates=H","DateFormat=P","Fill=—","Direction=H","UseDPDF=Y")</f>
        <v>#NAME?</v>
      </c>
      <c r="CN339" s="2" t="e">
        <f ca="1">_xll.BDH($C$328,"NET_DEBT_TO_SHRHLDR_EQTY","FQ1 2016","FQ1 2016","Currency=INR","Period=FQ","BEST_FPERIOD_OVERRIDE=FQ","FILING_STATUS=OR","EQY_CONSOLIDATED=Y","Sort=A","Dates=H","DateFormat=P","Fill=—","Direction=H","UseDPDF=Y")</f>
        <v>#NAME?</v>
      </c>
      <c r="CO339" s="2" t="e">
        <f ca="1">_xll.BDH($C$328,"NET_DEBT_%_CAPITAL","FQ1 2016","FQ1 2016","Currency=INR","Period=FQ","BEST_FPERIOD_OVERRIDE=FQ","FILING_STATUS=OR","EQY_CONSOLIDATED=Y","Sort=A","Dates=H","DateFormat=P","Fill=—","Direction=H","UseDPDF=Y")</f>
        <v>#NAME?</v>
      </c>
      <c r="CP339" s="3" t="e">
        <f ca="1">_xll.BDH($C$328,"EBITDA","FQ1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39" s="3" t="e">
        <f ca="1">_xll.BDH($C$328,"EBITDA_AFTER_CAPEX","FQ1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39" s="3" t="e">
        <f ca="1">_xll.BDH($C$328,"IS_OPER_INC","FQ1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39" s="2" t="e">
        <f ca="1">_xll.BDH($C$328,"CASH_RATIO","FQ1 2016","FQ1 2016","Currency=INR","Period=FQ","BEST_FPERIOD_OVERRIDE=FQ","FILING_STATUS=OR","EQY_CONSOLIDATED=Y","Sort=A","Dates=H","DateFormat=P","Fill=—","Direction=H","UseDPDF=Y")</f>
        <v>#NAME?</v>
      </c>
      <c r="CT339" s="2" t="e">
        <f ca="1">_xll.BDH($C$328,"CUR_RATIO","FQ1 2016","FQ1 2016","Currency=INR","Period=FQ","BEST_FPERIOD_OVERRIDE=FQ","FILING_STATUS=OR","EQY_CONSOLIDATED=Y","Sort=A","Dates=H","DateFormat=P","Fill=—","Direction=H","UseDPDF=Y")</f>
        <v>#NAME?</v>
      </c>
      <c r="CU339" s="2" t="e">
        <f ca="1">_xll.BDH($C$328,"QUICK_RATIO","FQ1 2016","FQ1 2016","Currency=INR","Period=FQ","BEST_FPERIOD_OVERRIDE=FQ","FILING_STATUS=OR","EQY_CONSOLIDATED=Y","Sort=A","Dates=H","DateFormat=P","Fill=—","Direction=H","UseDPDF=Y")</f>
        <v>#NAME?</v>
      </c>
      <c r="CV339" s="2" t="e">
        <f ca="1">_xll.BDH($C$328,"ALTMAN_Z_SCORE","FQ1 2016","FQ1 2016","Currency=INR","Period=FQ","BEST_FPERIOD_OVERRIDE=FQ","FILING_STATUS=OR","EQY_CONSOLIDATED=Y","Sort=A","Dates=H","DateFormat=P","Fill=—","Direction=H","UseDPDF=Y")</f>
        <v>#NAME?</v>
      </c>
      <c r="CW339" s="4" t="e">
        <f ca="1">_xll.BDH($C$328,"ACCT_RCV_TURN","FQ1 2016","FQ1 2016","Currency=INR","Period=FQ","BEST_FPERIOD_OVERRIDE=FQ","FILING_STATUS=OR","EQY_CONSOLIDATED=Y","FA_ADJUSTED=GAAP","Sort=A","Dates=H","DateFormat=P","Fill=—","Direction=H","UseDPDF=Y")</f>
        <v>#NAME?</v>
      </c>
      <c r="CX339" s="2" t="e">
        <f ca="1">_xll.BDH($C$328,"ACCT_RCV_DAYS","FQ1 2016","FQ1 2016","Currency=INR","Period=FQ","BEST_FPERIOD_OVERRIDE=FQ","FILING_STATUS=OR","EQY_CONSOLIDATED=Y","FA_ADJUSTED=GAAP","Sort=A","Dates=H","DateFormat=P","Fill=—","Direction=H","UseDPDF=Y")</f>
        <v>#NAME?</v>
      </c>
      <c r="CY339" s="4" t="e">
        <f ca="1">_xll.BDH($C$328,"INVENT_TURN","FQ1 2016","FQ1 2016","Currency=INR","Period=FQ","BEST_FPERIOD_OVERRIDE=FQ","FILING_STATUS=OR","EQY_CONSOLIDATED=Y","FA_ADJUSTED=GAAP","Sort=A","Dates=H","DateFormat=P","Fill=—","Direction=H","UseDPDF=Y")</f>
        <v>#NAME?</v>
      </c>
      <c r="CZ339" s="2" t="e">
        <f ca="1">_xll.BDH($C$328,"INVENT_DAYS","FQ1 2016","FQ1 2016","Currency=INR","Period=FQ","BEST_FPERIOD_OVERRIDE=FQ","FILING_STATUS=OR","EQY_CONSOLIDATED=Y","FA_ADJUSTED=GAAP","Sort=A","Dates=H","DateFormat=P","Fill=—","Direction=H","UseDPDF=Y")</f>
        <v>#NAME?</v>
      </c>
      <c r="DA339" s="4" t="e">
        <f ca="1">_xll.BDH($C$328,"ACCOUNTS_PAYABLE_TURNOVER","FQ1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39" s="2" t="e">
        <f ca="1">_xll.BDH($C$328,"ACCOUNTS_PAYABLE_TURNOVER_DAYS","FQ1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39" s="4" t="e">
        <f ca="1">_xll.BDH($C$328,"CASH_CONVERSION_CYCLE","FQ1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39" s="4" t="e">
        <f ca="1">_xll.BDH($C$328,"INV_TO_CASH_DAYS","FQ1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39" s="5" t="e">
        <f ca="1">_xll.BDH($C$328,"BS_INVENTORIES","FQ1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39" s="3" t="e">
        <f ca="1">_xll.BDH($C$328,"INVTRY_RAW_MATERIALS","FQ1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39" s="3" t="e">
        <f ca="1">_xll.BDH($C$328,"INVTRY_IN_PROGRESS","FQ1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39" s="3" t="e">
        <f ca="1">_xll.BDH($C$328,"INVTRY_FINISHED_GOODS","FQ1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39" s="3" t="e">
        <f ca="1">_xll.BDH($C$328,"BS_OTHER_INV","FQ1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40" spans="1:113" x14ac:dyDescent="0.3">
      <c r="A340" s="6"/>
      <c r="B340" s="6"/>
      <c r="C340" s="6"/>
      <c r="D340" s="6"/>
      <c r="E340" t="s">
        <v>79</v>
      </c>
      <c r="F340" t="e">
        <f ca="1">_xll.BDH($C$328,"RETURN_COM_EQY","FQ2 2016","FQ2 2016","Currency=INR","Period=FQ","BEST_FPERIOD_OVERRIDE=FQ","FILING_STATUS=OR","EQY_CONSOLIDATED=Y","FA_ADJUSTED=GAAP","Sort=A","Dates=H","DateFormat=P","Fill=—","Direction=H","UseDPDF=Y")</f>
        <v>#NAME?</v>
      </c>
      <c r="G340" t="e">
        <f ca="1">_xll.BDH($C$328,"RETURN_ON_ASSET","FQ2 2016","FQ2 2016","Currency=INR","Period=FQ","BEST_FPERIOD_OVERRIDE=FQ","FILING_STATUS=OR","EQY_CONSOLIDATED=Y","FA_ADJUSTED=GAAP","Sort=A","Dates=H","DateFormat=P","Fill=—","Direction=H","UseDPDF=Y")</f>
        <v>#NAME?</v>
      </c>
      <c r="H340" t="e">
        <f ca="1">_xll.BDH($C$328,"RETURN_ON_CAP","FQ2 2016","FQ2 2016","Currency=INR","Period=FQ","BEST_FPERIOD_OVERRIDE=FQ","FILING_STATUS=OR","EQY_CONSOLIDATED=Y","FA_ADJUSTED=GAAP","Sort=A","Dates=H","DateFormat=P","Fill=—","Direction=H","UseDPDF=Y")</f>
        <v>#NAME?</v>
      </c>
      <c r="I340" t="e">
        <f ca="1">_xll.BDH($C$328,"RETURN_ON_INV_CAPITAL","FQ2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40" t="e">
        <f ca="1">_xll.BDH($C$328,"EBITDA_TO_REVENUE","FQ2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40" t="e">
        <f ca="1">_xll.BDH($C$328,"OPER_MARGIN","FQ2 2016","FQ2 2016","Currency=INR","Period=FQ","BEST_FPERIOD_OVERRIDE=FQ","FILING_STATUS=OR","EQY_CONSOLIDATED=Y","FA_ADJUSTED=GAAP","Sort=A","Dates=H","DateFormat=P","Fill=—","Direction=H","UseDPDF=Y")</f>
        <v>#NAME?</v>
      </c>
      <c r="L340" t="e">
        <f ca="1">_xll.BDH($C$328,"INCREMENTAL_OPERATING_MARGIN","FQ2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40" t="e">
        <f ca="1">_xll.BDH($C$328,"PRETAX_INC_TO_NET_SALES","FQ2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40" t="e">
        <f ca="1">_xll.BDH($C$328,"INC_BEF_XO_ITEMS_TO_NET_SALES","FQ2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40" t="e">
        <f ca="1">_xll.BDH($C$328,"PROF_MARGIN","FQ2 2016","FQ2 2016","Currency=INR","Period=FQ","BEST_FPERIOD_OVERRIDE=FQ","FILING_STATUS=OR","EQY_CONSOLIDATED=Y","FA_ADJUSTED=GAAP","Sort=A","Dates=H","DateFormat=P","Fill=—","Direction=H","UseDPDF=Y")</f>
        <v>#NAME?</v>
      </c>
      <c r="P340" t="e">
        <f ca="1">_xll.BDH($C$328,"NET_INCOME_TO_COMMON_MARGIN","FQ2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40" t="e">
        <f ca="1">_xll.BDH($C$328,"EFF_TAX_RATE","FQ2 2016","FQ2 2016","Currency=INR","Period=FQ","BEST_FPERIOD_OVERRIDE=FQ","FILING_STATUS=OR","EQY_CONSOLIDATED=Y","FA_ADJUSTED=GAAP","Sort=A","Dates=H","DateFormat=P","Fill=—","Direction=H","UseDPDF=Y")</f>
        <v>#NAME?</v>
      </c>
      <c r="R340" t="e">
        <f ca="1">_xll.BDH($C$328,"DVD_PAYOUT_RATIO","FQ2 2016","FQ2 2016","Currency=INR","Period=FQ","BEST_FPERIOD_OVERRIDE=FQ","FILING_STATUS=OR","EQY_CONSOLIDATED=Y","FA_ADJUSTED=GAAP","Sort=A","Dates=H","DateFormat=P","Fill=—","Direction=H","UseDPDF=Y")</f>
        <v>#NAME?</v>
      </c>
      <c r="S340" t="e">
        <f ca="1">_xll.BDH($C$328,"SUSTAIN_GROWTH_RT","FQ2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40" s="2" t="e">
        <f ca="1">_xll.BDH($C$328,"SALES_GROWTH","FQ2 2016","FQ2 2016","Currency=INR","Period=FQ","BEST_FPERIOD_OVERRIDE=FQ","FILING_STATUS=OR","EQY_CONSOLIDATED=Y","FA_ADJUSTED=GAAP","Sort=A","Dates=H","DateFormat=P","Fill=—","Direction=H","UseDPDF=Y")</f>
        <v>#NAME?</v>
      </c>
      <c r="U340" s="2" t="e">
        <f ca="1">_xll.BDH($C$328,"EBITDA_GROWTH","FQ2 2016","FQ2 2016","Currency=INR","Period=FQ","BEST_FPERIOD_OVERRIDE=FQ","FILING_STATUS=OR","EQY_CONSOLIDATED=Y","FA_ADJUSTED=GAAP","Sort=A","Dates=H","DateFormat=P","Fill=—","Direction=H","UseDPDF=Y")</f>
        <v>#NAME?</v>
      </c>
      <c r="V340" s="2" t="e">
        <f ca="1">_xll.BDH($C$328,"OPER_INC_GROWTH","FQ2 2016","FQ2 2016","Currency=INR","Period=FQ","BEST_FPERIOD_OVERRIDE=FQ","FILING_STATUS=OR","EQY_CONSOLIDATED=Y","FA_ADJUSTED=GAAP","Sort=A","Dates=H","DateFormat=P","Fill=—","Direction=H","UseDPDF=Y")</f>
        <v>#NAME?</v>
      </c>
      <c r="W340" s="2" t="e">
        <f ca="1">_xll.BDH($C$328,"EARN_FOR_COM_GROWTH","FQ2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40" s="2" t="e">
        <f ca="1">_xll.BDH($C$328,"DILUTED_EPS_AFT_XO_ITEMS_GROWTH","FQ2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40" s="2" t="e">
        <f ca="1">_xll.BDH($C$328,"DIVIDEND_PER_SHARE_1_YEAR_GROWTH","FQ2 2016","FQ2 2016","Currency=INR","Period=FQ","BEST_FPERIOD_OVERRIDE=FQ","FILING_STATUS=OR","EQY_CONSOLIDATED=Y","Sort=A","Dates=H","DateFormat=P","Fill=—","Direction=H","UseDPDF=Y")</f>
        <v>#NAME?</v>
      </c>
      <c r="Z340" s="2" t="e">
        <f ca="1">_xll.BDH($C$328,"ACCOUNTS_RECEIVABLE_GROWTH","FQ2 2016","FQ2 2016","Currency=INR","Period=FQ","BEST_FPERIOD_OVERRIDE=FQ","FILING_STATUS=OR","EQY_CONSOLIDATED=Y","Sort=A","Dates=H","DateFormat=P","Fill=—","Direction=H","UseDPDF=Y")</f>
        <v>#NAME?</v>
      </c>
      <c r="AA340" s="2" t="e">
        <f ca="1">_xll.BDH($C$328,"INVENTORY_GROWTH","FQ2 2016","FQ2 2016","Currency=INR","Period=FQ","BEST_FPERIOD_OVERRIDE=FQ","FILING_STATUS=OR","EQY_CONSOLIDATED=Y","Sort=A","Dates=H","DateFormat=P","Fill=—","Direction=H","UseDPDF=Y")</f>
        <v>#NAME?</v>
      </c>
      <c r="AB340" s="2" t="e">
        <f ca="1">_xll.BDH($C$328,"NET_FIXED_ASSETS_1_YEAR_GROWTH","FQ2 2016","FQ2 2016","Currency=INR","Period=FQ","BEST_FPERIOD_OVERRIDE=FQ","FILING_STATUS=OR","EQY_CONSOLIDATED=Y","Sort=A","Dates=H","DateFormat=P","Fill=—","Direction=H","UseDPDF=Y")</f>
        <v>#NAME?</v>
      </c>
      <c r="AC340" s="2" t="e">
        <f ca="1">_xll.BDH($C$328,"ASSET_GROWTH","FQ2 2016","FQ2 2016","Currency=INR","Period=FQ","BEST_FPERIOD_OVERRIDE=FQ","FILING_STATUS=OR","EQY_CONSOLIDATED=Y","Sort=A","Dates=H","DateFormat=P","Fill=—","Direction=H","UseDPDF=Y")</f>
        <v>#NAME?</v>
      </c>
      <c r="AD340" s="2" t="e">
        <f ca="1">_xll.BDH($C$328,"MODIFIED_WORK_CAP_GROWTH","FQ2 2016","FQ2 2016","Currency=INR","Period=FQ","BEST_FPERIOD_OVERRIDE=FQ","FILING_STATUS=OR","EQY_CONSOLIDATED=Y","Sort=A","Dates=H","DateFormat=P","Fill=—","Direction=H","UseDPDF=Y")</f>
        <v>#NAME?</v>
      </c>
      <c r="AE340" s="2" t="e">
        <f ca="1">_xll.BDH($C$328,"WORK_CAP_GROWTH","FQ2 2016","FQ2 2016","Currency=INR","Period=FQ","BEST_FPERIOD_OVERRIDE=FQ","FILING_STATUS=OR","EQY_CONSOLIDATED=Y","Sort=A","Dates=H","DateFormat=P","Fill=—","Direction=H","UseDPDF=Y")</f>
        <v>#NAME?</v>
      </c>
      <c r="AF340" s="2" t="e">
        <f ca="1">_xll.BDH($C$328,"ACCOUNTS_PAYABLE_GROWTH_1YR","FQ2 2016","FQ2 2016","Currency=INR","Period=FQ","BEST_FPERIOD_OVERRIDE=FQ","FILING_STATUS=OR","EQY_CONSOLIDATED=Y","Sort=A","Dates=H","DateFormat=P","Fill=—","Direction=H","UseDPDF=Y")</f>
        <v>#NAME?</v>
      </c>
      <c r="AG340" s="2" t="e">
        <f ca="1">_xll.BDH($C$328,"SHORT_TERM_DEBT_1_YEAR_GROWTH","FQ2 2016","FQ2 2016","Currency=INR","Period=FQ","BEST_FPERIOD_OVERRIDE=FQ","FILING_STATUS=OR","EQY_CONSOLIDATED=Y","Sort=A","Dates=H","DateFormat=P","Fill=—","Direction=H","UseDPDF=Y")</f>
        <v>#NAME?</v>
      </c>
      <c r="AH340" s="2" t="e">
        <f ca="1">_xll.BDH($C$328,"TOTAL_DEBT_1_YEAR_GROWTH","FQ2 2016","FQ2 2016","Currency=INR","Period=FQ","BEST_FPERIOD_OVERRIDE=FQ","FILING_STATUS=OR","EQY_CONSOLIDATED=Y","Sort=A","Dates=H","DateFormat=P","Fill=—","Direction=H","UseDPDF=Y")</f>
        <v>#NAME?</v>
      </c>
      <c r="AI340" s="2" t="e">
        <f ca="1">_xll.BDH($C$328,"TOTAL_EQUITY_1_YEAR_GROWTH","FQ2 2016","FQ2 2016","Currency=INR","Period=FQ","BEST_FPERIOD_OVERRIDE=FQ","FILING_STATUS=OR","EQY_CONSOLIDATED=Y","Sort=A","Dates=H","DateFormat=P","Fill=—","Direction=H","UseDPDF=Y")</f>
        <v>#NAME?</v>
      </c>
      <c r="AJ340" s="2" t="e">
        <f ca="1">_xll.BDH($C$328,"GROWTH_IN_CAP","FQ2 2016","FQ2 2016","Currency=INR","Period=FQ","BEST_FPERIOD_OVERRIDE=FQ","FILING_STATUS=OR","EQY_CONSOLIDATED=Y","Sort=A","Dates=H","DateFormat=P","Fill=—","Direction=H","UseDPDF=Y")</f>
        <v>#NAME?</v>
      </c>
      <c r="AK340" s="2" t="e">
        <f ca="1">_xll.BDH($C$328,"BVPS_GROWTH","FQ2 2016","FQ2 2016","Currency=INR","Period=FQ","BEST_FPERIOD_OVERRIDE=FQ","FILING_STATUS=OR","EQY_CONSOLIDATED=Y","Sort=A","Dates=H","DateFormat=P","Fill=—","Direction=H","UseDPDF=Y")</f>
        <v>#NAME?</v>
      </c>
      <c r="AL340" s="2" t="e">
        <f ca="1">_xll.BDH($C$328,"CASH_FLOW_GROWTH","FQ2 2016","FQ2 2016","Currency=INR","Period=FQ","BEST_FPERIOD_OVERRIDE=FQ","FILING_STATUS=OR","EQY_CONSOLIDATED=Y","Sort=A","Dates=H","DateFormat=P","Fill=—","Direction=H","UseDPDF=Y")</f>
        <v>#NAME?</v>
      </c>
      <c r="AM340" s="2" t="e">
        <f ca="1">_xll.BDH($C$328,"GEO_GROW_NET_SALES","FQ2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40" s="2" t="e">
        <f ca="1">_xll.BDH($C$328,"GEO_GROW_EBITDA","FQ2 2016","FQ2 2016","Currency=INR","Period=FQ","BEST_FPERIOD_OVERRIDE=FQ","FILING_STATUS=OR","EQY_CONSOLIDATED=Y","FA_ADJUSTED=GAAP","Sort=A","Dates=H","DateFormat=P","Fill=—","Direction=H","UseDPDF=Y")</f>
        <v>#NAME?</v>
      </c>
      <c r="AO340" s="2" t="e">
        <f ca="1">_xll.BDH($C$328,"GEO_GROW_OPER_INC","FQ2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40" s="2" t="e">
        <f ca="1">_xll.BDH($C$328,"NET_INCOME_TO_COMMON_5_YR_GROWTH","FQ2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40" s="2" t="e">
        <f ca="1">_xll.BDH($C$328,"5Y_GEO_GROWTH_DILUTED_EPS","FQ2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40" s="2" t="e">
        <f ca="1">_xll.BDH($C$328,"GEO_GROW_DVD_PER_SH","FQ2 2016","FQ2 2016","Currency=INR","Period=FQ","BEST_FPERIOD_OVERRIDE=FQ","FILING_STATUS=OR","EQY_CONSOLIDATED=Y","Sort=A","Dates=H","DateFormat=P","Fill=—","Direction=H","UseDPDF=Y")</f>
        <v>#NAME?</v>
      </c>
      <c r="AS340" s="2" t="e">
        <f ca="1">_xll.BDH($C$328,"ACCOUNTS_RECEIVABLE_5_YR_GROWTH","FQ2 2016","FQ2 2016","Currency=INR","Period=FQ","BEST_FPERIOD_OVERRIDE=FQ","FILING_STATUS=OR","EQY_CONSOLIDATED=Y","Sort=A","Dates=H","DateFormat=P","Fill=—","Direction=H","UseDPDF=Y")</f>
        <v>#NAME?</v>
      </c>
      <c r="AT340" s="2" t="e">
        <f ca="1">_xll.BDH($C$328,"INVENTORY_5_YEAR_GROWTH","FQ2 2016","FQ2 2016","Currency=INR","Period=FQ","BEST_FPERIOD_OVERRIDE=FQ","FILING_STATUS=OR","EQY_CONSOLIDATED=Y","Sort=A","Dates=H","DateFormat=P","Fill=—","Direction=H","UseDPDF=Y")</f>
        <v>#NAME?</v>
      </c>
      <c r="AU340" s="2" t="e">
        <f ca="1">_xll.BDH($C$328,"NET_FIXED_ASSETS_5_YEAR_GROWTH","FQ2 2016","FQ2 2016","Currency=INR","Period=FQ","BEST_FPERIOD_OVERRIDE=FQ","FILING_STATUS=OR","EQY_CONSOLIDATED=Y","Sort=A","Dates=H","DateFormat=P","Fill=—","Direction=H","UseDPDF=Y")</f>
        <v>#NAME?</v>
      </c>
      <c r="AV340" s="2" t="e">
        <f ca="1">_xll.BDH($C$328,"GEO_GROW_TOT_ASSET","FQ2 2016","FQ2 2016","Currency=INR","Period=FQ","BEST_FPERIOD_OVERRIDE=FQ","FILING_STATUS=OR","EQY_CONSOLIDATED=Y","Sort=A","Dates=H","DateFormat=P","Fill=—","Direction=H","UseDPDF=Y")</f>
        <v>#NAME?</v>
      </c>
      <c r="AW340" s="2" t="e">
        <f ca="1">_xll.BDH($C$328,"MODIFIED_WORKING_CPTL_5YR_GRWTH","FQ2 2016","FQ2 2016","Currency=INR","Period=FQ","BEST_FPERIOD_OVERRIDE=FQ","FILING_STATUS=OR","EQY_CONSOLIDATED=Y","Sort=A","Dates=H","DateFormat=P","Fill=—","Direction=H","UseDPDF=Y")</f>
        <v>#NAME?</v>
      </c>
      <c r="AX340" s="2" t="e">
        <f ca="1">_xll.BDH($C$328,"WORKING_CAPITAL_5_YEAR_GROWTH","FQ2 2016","FQ2 2016","Currency=INR","Period=FQ","BEST_FPERIOD_OVERRIDE=FQ","FILING_STATUS=OR","EQY_CONSOLIDATED=Y","Sort=A","Dates=H","DateFormat=P","Fill=—","Direction=H","UseDPDF=Y")</f>
        <v>#NAME?</v>
      </c>
      <c r="AY340" s="2" t="e">
        <f ca="1">_xll.BDH($C$328,"ACCOUNTS_PAYABLE_5_YEAR_GROWTH","FQ2 2016","FQ2 2016","Currency=INR","Period=FQ","BEST_FPERIOD_OVERRIDE=FQ","FILING_STATUS=OR","EQY_CONSOLIDATED=Y","Sort=A","Dates=H","DateFormat=P","Fill=—","Direction=H","UseDPDF=Y")</f>
        <v>#NAME?</v>
      </c>
      <c r="AZ340" s="2" t="e">
        <f ca="1">_xll.BDH($C$328,"SHORT_TERM_DEBT_5_YEAR_GROWTH","FQ2 2016","FQ2 2016","Currency=INR","Period=FQ","BEST_FPERIOD_OVERRIDE=FQ","FILING_STATUS=OR","EQY_CONSOLIDATED=Y","Sort=A","Dates=H","DateFormat=P","Fill=—","Direction=H","UseDPDF=Y")</f>
        <v>#NAME?</v>
      </c>
      <c r="BA340" s="2" t="e">
        <f ca="1">_xll.BDH($C$328,"TOTAL_DEBT_5_YEAR_GROWTH","FQ2 2016","FQ2 2016","Currency=INR","Period=FQ","BEST_FPERIOD_OVERRIDE=FQ","FILING_STATUS=OR","EQY_CONSOLIDATED=Y","Sort=A","Dates=H","DateFormat=P","Fill=—","Direction=H","UseDPDF=Y")</f>
        <v>#NAME?</v>
      </c>
      <c r="BB340" s="2" t="e">
        <f ca="1">_xll.BDH($C$328,"GEO_GROW_TOT_SHRHLDR_EQY","FQ2 2016","FQ2 2016","Currency=INR","Period=FQ","BEST_FPERIOD_OVERRIDE=FQ","FILING_STATUS=OR","EQY_CONSOLIDATED=Y","Sort=A","Dates=H","DateFormat=P","Fill=—","Direction=H","UseDPDF=Y")</f>
        <v>#NAME?</v>
      </c>
      <c r="BC340" s="2" t="e">
        <f ca="1">_xll.BDH($C$328,"TOTAL_CAPITAL_5_YEAR_GROWTH","FQ2 2016","FQ2 2016","Currency=INR","Period=FQ","BEST_FPERIOD_OVERRIDE=FQ","FILING_STATUS=OR","EQY_CONSOLIDATED=Y","Sort=A","Dates=H","DateFormat=P","Fill=—","Direction=H","UseDPDF=Y")</f>
        <v>#NAME?</v>
      </c>
      <c r="BD340" s="2" t="e">
        <f ca="1">_xll.BDH($C$328,"GEO_GROW_BOOK_VAL","FQ2 2016","FQ2 2016","Currency=INR","Period=FQ","BEST_FPERIOD_OVERRIDE=FQ","FILING_STATUS=OR","EQY_CONSOLIDATED=Y","Sort=A","Dates=H","DateFormat=P","Fill=—","Direction=H","UseDPDF=Y")</f>
        <v>#NAME?</v>
      </c>
      <c r="BE340" s="2" t="e">
        <f ca="1">_xll.BDH($C$328,"GEO_GROW_CASH_OPER_ACT","FQ2 2016","FQ2 2016","Currency=INR","Period=FQ","BEST_FPERIOD_OVERRIDE=FQ","FILING_STATUS=OR","EQY_CONSOLIDATED=Y","Sort=A","Dates=H","DateFormat=P","Fill=—","Direction=H","UseDPDF=Y")</f>
        <v>#NAME?</v>
      </c>
      <c r="BF340" s="2" t="e">
        <f ca="1">_xll.BDH($C$328,"REVENUE_SEQUENTIAL_GROWTH","FQ2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40" s="2" t="e">
        <f ca="1">_xll.BDH($C$328,"EBITDA_SEQUENTIAL_GROWTH","FQ2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40" s="2" t="e">
        <f ca="1">_xll.BDH($C$328,"OPERATING_INCOME_SEQ_GROWTH","FQ2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40" s="2" t="e">
        <f ca="1">_xll.BDH($C$328,"NET_INCOME_TO_COMMON_SEQ_GROWTH","FQ2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40" s="2" t="e">
        <f ca="1">_xll.BDH($C$328,"EPS_DILUTED_SEQUENTIAL_GROWTH","FQ2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40" s="2" t="e">
        <f ca="1">_xll.BDH($C$328,"DPS_SEQUENTIAL_GROWTH","FQ2 2016","FQ2 2016","Currency=INR","Period=FQ","BEST_FPERIOD_OVERRIDE=FQ","FILING_STATUS=OR","EQY_CONSOLIDATED=Y","Sort=A","Dates=H","DateFormat=P","Fill=—","Direction=H","UseDPDF=Y")</f>
        <v>#NAME?</v>
      </c>
      <c r="BL340" s="2" t="e">
        <f ca="1">_xll.BDH($C$328,"ACCOUNTS_RECEIVABLE_SEQ_GROWTH","FQ2 2016","FQ2 2016","Currency=INR","Period=FQ","BEST_FPERIOD_OVERRIDE=FQ","FILING_STATUS=OR","EQY_CONSOLIDATED=Y","Sort=A","Dates=H","DateFormat=P","Fill=—","Direction=H","UseDPDF=Y")</f>
        <v>#NAME?</v>
      </c>
      <c r="BM340" s="2" t="e">
        <f ca="1">_xll.BDH($C$328,"INVENTORY_SEQUENTIAL_GROWTH","FQ2 2016","FQ2 2016","Currency=INR","Period=FQ","BEST_FPERIOD_OVERRIDE=FQ","FILING_STATUS=OR","EQY_CONSOLIDATED=Y","Sort=A","Dates=H","DateFormat=P","Fill=—","Direction=H","UseDPDF=Y")</f>
        <v>#NAME?</v>
      </c>
      <c r="BN340" s="2" t="e">
        <f ca="1">_xll.BDH($C$328,"FIXED_ASSETS_SEQUENTIAL_GROWTH","FQ2 2016","FQ2 2016","Currency=INR","Period=FQ","BEST_FPERIOD_OVERRIDE=FQ","FILING_STATUS=OR","EQY_CONSOLIDATED=Y","Sort=A","Dates=H","DateFormat=P","Fill=—","Direction=H","UseDPDF=Y")</f>
        <v>#NAME?</v>
      </c>
      <c r="BO340" s="2" t="e">
        <f ca="1">_xll.BDH($C$328,"TOTAL_ASSETS_SEQUENTIAL_GROWTH","FQ2 2016","FQ2 2016","Currency=INR","Period=FQ","BEST_FPERIOD_OVERRIDE=FQ","FILING_STATUS=OR","EQY_CONSOLIDATED=Y","Sort=A","Dates=H","DateFormat=P","Fill=—","Direction=H","UseDPDF=Y")</f>
        <v>#NAME?</v>
      </c>
      <c r="BP340" s="2" t="e">
        <f ca="1">_xll.BDH($C$328,"MODIFIED_WORKING_CPTL_SEQ_GRWTH","FQ2 2016","FQ2 2016","Currency=INR","Period=FQ","BEST_FPERIOD_OVERRIDE=FQ","FILING_STATUS=OR","EQY_CONSOLIDATED=Y","Sort=A","Dates=H","DateFormat=P","Fill=—","Direction=H","UseDPDF=Y")</f>
        <v>#NAME?</v>
      </c>
      <c r="BQ340" s="2" t="e">
        <f ca="1">_xll.BDH($C$328,"WORKING_CAPITAL_SEQ_GROWTH","FQ2 2016","FQ2 2016","Currency=INR","Period=FQ","BEST_FPERIOD_OVERRIDE=FQ","FILING_STATUS=OR","EQY_CONSOLIDATED=Y","Sort=A","Dates=H","DateFormat=P","Fill=—","Direction=H","UseDPDF=Y")</f>
        <v>#NAME?</v>
      </c>
      <c r="BR340" s="2" t="e">
        <f ca="1">_xll.BDH($C$328,"ACCOUNTS_PAYABLE_SEQ_GROWTH","FQ2 2016","FQ2 2016","Currency=INR","Period=FQ","BEST_FPERIOD_OVERRIDE=FQ","FILING_STATUS=OR","EQY_CONSOLIDATED=Y","Sort=A","Dates=H","DateFormat=P","Fill=—","Direction=H","UseDPDF=Y")</f>
        <v>#NAME?</v>
      </c>
      <c r="BS340" s="2" t="e">
        <f ca="1">_xll.BDH($C$328,"ST_DEBT_SEQUENTIAL_GROWTH","FQ2 2016","FQ2 2016","Currency=INR","Period=FQ","BEST_FPERIOD_OVERRIDE=FQ","FILING_STATUS=OR","EQY_CONSOLIDATED=Y","Sort=A","Dates=H","DateFormat=P","Fill=—","Direction=H","UseDPDF=Y")</f>
        <v>#NAME?</v>
      </c>
      <c r="BT340" s="2" t="e">
        <f ca="1">_xll.BDH($C$328,"TOTAL_DEBT_SEQUENTIAL_GROWTH","FQ2 2016","FQ2 2016","Currency=INR","Period=FQ","BEST_FPERIOD_OVERRIDE=FQ","FILING_STATUS=OR","EQY_CONSOLIDATED=Y","Sort=A","Dates=H","DateFormat=P","Fill=—","Direction=H","UseDPDF=Y")</f>
        <v>#NAME?</v>
      </c>
      <c r="BU340" s="2" t="e">
        <f ca="1">_xll.BDH($C$328,"TOTAL_EQUITY_SEQUENTIAL_GROWTH","FQ2 2016","FQ2 2016","Currency=INR","Period=FQ","BEST_FPERIOD_OVERRIDE=FQ","FILING_STATUS=OR","EQY_CONSOLIDATED=Y","Sort=A","Dates=H","DateFormat=P","Fill=—","Direction=H","UseDPDF=Y")</f>
        <v>#NAME?</v>
      </c>
      <c r="BV340" s="2" t="e">
        <f ca="1">_xll.BDH($C$328,"TOTAL_CAPITAL_SEQUENTIAL_GROWTH","FQ2 2016","FQ2 2016","Currency=INR","Period=FQ","BEST_FPERIOD_OVERRIDE=FQ","FILING_STATUS=OR","EQY_CONSOLIDATED=Y","Sort=A","Dates=H","DateFormat=P","Fill=—","Direction=H","UseDPDF=Y")</f>
        <v>#NAME?</v>
      </c>
      <c r="BW340" s="2" t="e">
        <f ca="1">_xll.BDH($C$328,"BPS_SEQUENTIAL_GROWTH","FQ2 2016","FQ2 2016","Currency=INR","Period=FQ","BEST_FPERIOD_OVERRIDE=FQ","FILING_STATUS=OR","EQY_CONSOLIDATED=Y","Sort=A","Dates=H","DateFormat=P","Fill=—","Direction=H","UseDPDF=Y")</f>
        <v>#NAME?</v>
      </c>
      <c r="BX340" s="2" t="e">
        <f ca="1">_xll.BDH($C$328,"CFO_SEQUENTIAL_GROWTH","FQ2 2016","FQ2 2016","Currency=INR","Period=FQ","BEST_FPERIOD_OVERRIDE=FQ","FILING_STATUS=OR","EQY_CONSOLIDATED=Y","Sort=A","Dates=H","DateFormat=P","Fill=—","Direction=H","UseDPDF=Y")</f>
        <v>#NAME?</v>
      </c>
      <c r="BY340" s="3" t="e">
        <f ca="1">_xll.BDH($C$328,"SHORT_AND_LONG_TERM_DEBT","FQ2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40" s="3" t="e">
        <f ca="1">_xll.BDH($C$328,"BS_ST_BORROW","FQ2 2016","FQ2 2016","Currency=INR","Period=FQ","BEST_FPERIOD_OVERRIDE=FQ","FILING_STATUS=OR","EQY_CONSOLIDATED=Y","SCALING_FORMAT=MLN","Sort=A","Dates=H","DateFormat=P","Fill=—","Direction=H","UseDPDF=Y")</f>
        <v>#NAME?</v>
      </c>
      <c r="CA340" s="3" t="e">
        <f ca="1">_xll.BDH($C$328,"BS_LT_BORROW","FQ2 2016","FQ2 2016","Currency=INR","Period=FQ","BEST_FPERIOD_OVERRIDE=FQ","FILING_STATUS=OR","EQY_CONSOLIDATED=Y","SCALING_FORMAT=MLN","Sort=A","Dates=H","DateFormat=P","Fill=—","Direction=H","UseDPDF=Y")</f>
        <v>#NAME?</v>
      </c>
      <c r="CB340" s="2" t="e">
        <f ca="1">_xll.BDH($C$328,"TOT_DEBT_TO_EBITDA","FQ2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40" s="2" t="e">
        <f ca="1">_xll.BDH($C$328,"NET_DEBT_TO_EBITDA","FQ2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40" s="2" t="e">
        <f ca="1">_xll.BDH($C$328,"TOTAL_DEBT_TO_EBIT","FQ2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40" s="2" t="e">
        <f ca="1">_xll.BDH($C$328,"NET_DEBT_TO_EBIT","FQ2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40" s="2" t="e">
        <f ca="1">_xll.BDH($C$328,"EBITDA_TO_INTEREST_EXPN","FQ2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40" s="2" t="e">
        <f ca="1">_xll.BDH($C$328,"COM_EQY_TO_TOT_ASSET","FQ2 2016","FQ2 2016","Currency=INR","Period=FQ","BEST_FPERIOD_OVERRIDE=FQ","FILING_STATUS=OR","EQY_CONSOLIDATED=Y","Sort=A","Dates=H","DateFormat=P","Fill=—","Direction=H","UseDPDF=Y")</f>
        <v>#NAME?</v>
      </c>
      <c r="CH340" s="2" t="e">
        <f ca="1">_xll.BDH($C$328,"LT_DEBT_TO_TOT_EQY","FQ2 2016","FQ2 2016","Currency=INR","Period=FQ","BEST_FPERIOD_OVERRIDE=FQ","FILING_STATUS=OR","EQY_CONSOLIDATED=Y","Sort=A","Dates=H","DateFormat=P","Fill=—","Direction=H","UseDPDF=Y")</f>
        <v>#NAME?</v>
      </c>
      <c r="CI340" s="2" t="e">
        <f ca="1">_xll.BDH($C$328,"LT_DEBT_TO_TOT_CAP","FQ2 2016","FQ2 2016","Currency=INR","Period=FQ","BEST_FPERIOD_OVERRIDE=FQ","FILING_STATUS=OR","EQY_CONSOLIDATED=Y","Sort=A","Dates=H","DateFormat=P","Fill=—","Direction=H","UseDPDF=Y")</f>
        <v>#NAME?</v>
      </c>
      <c r="CJ340" s="2" t="e">
        <f ca="1">_xll.BDH($C$328,"LT_DEBT_TO_TOT_ASSET","FQ2 2016","FQ2 2016","Currency=INR","Period=FQ","BEST_FPERIOD_OVERRIDE=FQ","FILING_STATUS=OR","EQY_CONSOLIDATED=Y","Sort=A","Dates=H","DateFormat=P","Fill=—","Direction=H","UseDPDF=Y")</f>
        <v>#NAME?</v>
      </c>
      <c r="CK340" s="2" t="e">
        <f ca="1">_xll.BDH($C$328,"TOT_DEBT_TO_TOT_EQY","FQ2 2016","FQ2 2016","Currency=INR","Period=FQ","BEST_FPERIOD_OVERRIDE=FQ","FILING_STATUS=OR","EQY_CONSOLIDATED=Y","Sort=A","Dates=H","DateFormat=P","Fill=—","Direction=H","UseDPDF=Y")</f>
        <v>#NAME?</v>
      </c>
      <c r="CL340" s="2" t="e">
        <f ca="1">_xll.BDH($C$328,"TOT_DEBT_TO_TOT_CAP","FQ2 2016","FQ2 2016","Currency=INR","Period=FQ","BEST_FPERIOD_OVERRIDE=FQ","FILING_STATUS=OR","EQY_CONSOLIDATED=Y","Sort=A","Dates=H","DateFormat=P","Fill=—","Direction=H","UseDPDF=Y")</f>
        <v>#NAME?</v>
      </c>
      <c r="CM340" s="2" t="e">
        <f ca="1">_xll.BDH($C$328,"TOT_DEBT_TO_TOT_ASSET","FQ2 2016","FQ2 2016","Currency=INR","Period=FQ","BEST_FPERIOD_OVERRIDE=FQ","FILING_STATUS=OR","EQY_CONSOLIDATED=Y","Sort=A","Dates=H","DateFormat=P","Fill=—","Direction=H","UseDPDF=Y")</f>
        <v>#NAME?</v>
      </c>
      <c r="CN340" s="2" t="e">
        <f ca="1">_xll.BDH($C$328,"NET_DEBT_TO_SHRHLDR_EQTY","FQ2 2016","FQ2 2016","Currency=INR","Period=FQ","BEST_FPERIOD_OVERRIDE=FQ","FILING_STATUS=OR","EQY_CONSOLIDATED=Y","Sort=A","Dates=H","DateFormat=P","Fill=—","Direction=H","UseDPDF=Y")</f>
        <v>#NAME?</v>
      </c>
      <c r="CO340" s="2" t="e">
        <f ca="1">_xll.BDH($C$328,"NET_DEBT_%_CAPITAL","FQ2 2016","FQ2 2016","Currency=INR","Period=FQ","BEST_FPERIOD_OVERRIDE=FQ","FILING_STATUS=OR","EQY_CONSOLIDATED=Y","Sort=A","Dates=H","DateFormat=P","Fill=—","Direction=H","UseDPDF=Y")</f>
        <v>#NAME?</v>
      </c>
      <c r="CP340" s="3" t="e">
        <f ca="1">_xll.BDH($C$328,"EBITDA","FQ2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40" s="3" t="e">
        <f ca="1">_xll.BDH($C$328,"EBITDA_AFTER_CAPEX","FQ2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40" s="3" t="e">
        <f ca="1">_xll.BDH($C$328,"IS_OPER_INC","FQ2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40" s="2" t="e">
        <f ca="1">_xll.BDH($C$328,"CASH_RATIO","FQ2 2016","FQ2 2016","Currency=INR","Period=FQ","BEST_FPERIOD_OVERRIDE=FQ","FILING_STATUS=OR","EQY_CONSOLIDATED=Y","Sort=A","Dates=H","DateFormat=P","Fill=—","Direction=H","UseDPDF=Y")</f>
        <v>#NAME?</v>
      </c>
      <c r="CT340" s="2" t="e">
        <f ca="1">_xll.BDH($C$328,"CUR_RATIO","FQ2 2016","FQ2 2016","Currency=INR","Period=FQ","BEST_FPERIOD_OVERRIDE=FQ","FILING_STATUS=OR","EQY_CONSOLIDATED=Y","Sort=A","Dates=H","DateFormat=P","Fill=—","Direction=H","UseDPDF=Y")</f>
        <v>#NAME?</v>
      </c>
      <c r="CU340" s="2" t="e">
        <f ca="1">_xll.BDH($C$328,"QUICK_RATIO","FQ2 2016","FQ2 2016","Currency=INR","Period=FQ","BEST_FPERIOD_OVERRIDE=FQ","FILING_STATUS=OR","EQY_CONSOLIDATED=Y","Sort=A","Dates=H","DateFormat=P","Fill=—","Direction=H","UseDPDF=Y")</f>
        <v>#NAME?</v>
      </c>
      <c r="CV340" s="2" t="e">
        <f ca="1">_xll.BDH($C$328,"ALTMAN_Z_SCORE","FQ2 2016","FQ2 2016","Currency=INR","Period=FQ","BEST_FPERIOD_OVERRIDE=FQ","FILING_STATUS=OR","EQY_CONSOLIDATED=Y","Sort=A","Dates=H","DateFormat=P","Fill=—","Direction=H","UseDPDF=Y")</f>
        <v>#NAME?</v>
      </c>
      <c r="CW340" s="4" t="e">
        <f ca="1">_xll.BDH($C$328,"ACCT_RCV_TURN","FQ2 2016","FQ2 2016","Currency=INR","Period=FQ","BEST_FPERIOD_OVERRIDE=FQ","FILING_STATUS=OR","EQY_CONSOLIDATED=Y","FA_ADJUSTED=GAAP","Sort=A","Dates=H","DateFormat=P","Fill=—","Direction=H","UseDPDF=Y")</f>
        <v>#NAME?</v>
      </c>
      <c r="CX340" s="2" t="e">
        <f ca="1">_xll.BDH($C$328,"ACCT_RCV_DAYS","FQ2 2016","FQ2 2016","Currency=INR","Period=FQ","BEST_FPERIOD_OVERRIDE=FQ","FILING_STATUS=OR","EQY_CONSOLIDATED=Y","FA_ADJUSTED=GAAP","Sort=A","Dates=H","DateFormat=P","Fill=—","Direction=H","UseDPDF=Y")</f>
        <v>#NAME?</v>
      </c>
      <c r="CY340" s="4" t="e">
        <f ca="1">_xll.BDH($C$328,"INVENT_TURN","FQ2 2016","FQ2 2016","Currency=INR","Period=FQ","BEST_FPERIOD_OVERRIDE=FQ","FILING_STATUS=OR","EQY_CONSOLIDATED=Y","FA_ADJUSTED=GAAP","Sort=A","Dates=H","DateFormat=P","Fill=—","Direction=H","UseDPDF=Y")</f>
        <v>#NAME?</v>
      </c>
      <c r="CZ340" s="2" t="e">
        <f ca="1">_xll.BDH($C$328,"INVENT_DAYS","FQ2 2016","FQ2 2016","Currency=INR","Period=FQ","BEST_FPERIOD_OVERRIDE=FQ","FILING_STATUS=OR","EQY_CONSOLIDATED=Y","FA_ADJUSTED=GAAP","Sort=A","Dates=H","DateFormat=P","Fill=—","Direction=H","UseDPDF=Y")</f>
        <v>#NAME?</v>
      </c>
      <c r="DA340" s="4" t="e">
        <f ca="1">_xll.BDH($C$328,"ACCOUNTS_PAYABLE_TURNOVER","FQ2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40" s="2" t="e">
        <f ca="1">_xll.BDH($C$328,"ACCOUNTS_PAYABLE_TURNOVER_DAYS","FQ2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40" s="4" t="e">
        <f ca="1">_xll.BDH($C$328,"CASH_CONVERSION_CYCLE","FQ2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40" s="4" t="e">
        <f ca="1">_xll.BDH($C$328,"INV_TO_CASH_DAYS","FQ2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40" s="5" t="e">
        <f ca="1">_xll.BDH($C$328,"BS_INVENTORIES","FQ2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40" s="3" t="e">
        <f ca="1">_xll.BDH($C$328,"INVTRY_RAW_MATERIALS","FQ2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40" s="3" t="e">
        <f ca="1">_xll.BDH($C$328,"INVTRY_IN_PROGRESS","FQ2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40" s="3" t="e">
        <f ca="1">_xll.BDH($C$328,"INVTRY_FINISHED_GOODS","FQ2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40" s="3" t="e">
        <f ca="1">_xll.BDH($C$328,"BS_OTHER_INV","FQ2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41" spans="1:113" x14ac:dyDescent="0.3">
      <c r="A341" s="6"/>
      <c r="B341" s="6"/>
      <c r="C341" s="6"/>
      <c r="D341" s="6"/>
      <c r="E341" t="s">
        <v>80</v>
      </c>
      <c r="F341" t="e">
        <f ca="1">_xll.BDH($C$328,"RETURN_COM_EQY","FQ3 2016","FQ3 2016","Currency=INR","Period=FQ","BEST_FPERIOD_OVERRIDE=FQ","FILING_STATUS=OR","EQY_CONSOLIDATED=Y","FA_ADJUSTED=GAAP","Sort=A","Dates=H","DateFormat=P","Fill=—","Direction=H","UseDPDF=Y")</f>
        <v>#NAME?</v>
      </c>
      <c r="G341" t="e">
        <f ca="1">_xll.BDH($C$328,"RETURN_ON_ASSET","FQ3 2016","FQ3 2016","Currency=INR","Period=FQ","BEST_FPERIOD_OVERRIDE=FQ","FILING_STATUS=OR","EQY_CONSOLIDATED=Y","FA_ADJUSTED=GAAP","Sort=A","Dates=H","DateFormat=P","Fill=—","Direction=H","UseDPDF=Y")</f>
        <v>#NAME?</v>
      </c>
      <c r="H341" t="e">
        <f ca="1">_xll.BDH($C$328,"RETURN_ON_CAP","FQ3 2016","FQ3 2016","Currency=INR","Period=FQ","BEST_FPERIOD_OVERRIDE=FQ","FILING_STATUS=OR","EQY_CONSOLIDATED=Y","FA_ADJUSTED=GAAP","Sort=A","Dates=H","DateFormat=P","Fill=—","Direction=H","UseDPDF=Y")</f>
        <v>#NAME?</v>
      </c>
      <c r="I341" t="e">
        <f ca="1">_xll.BDH($C$328,"RETURN_ON_INV_CAPITAL","FQ3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41" t="e">
        <f ca="1">_xll.BDH($C$328,"EBITDA_TO_REVENUE","FQ3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41" t="e">
        <f ca="1">_xll.BDH($C$328,"OPER_MARGIN","FQ3 2016","FQ3 2016","Currency=INR","Period=FQ","BEST_FPERIOD_OVERRIDE=FQ","FILING_STATUS=OR","EQY_CONSOLIDATED=Y","FA_ADJUSTED=GAAP","Sort=A","Dates=H","DateFormat=P","Fill=—","Direction=H","UseDPDF=Y")</f>
        <v>#NAME?</v>
      </c>
      <c r="L341" t="e">
        <f ca="1">_xll.BDH($C$328,"INCREMENTAL_OPERATING_MARGIN","FQ3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41" t="e">
        <f ca="1">_xll.BDH($C$328,"PRETAX_INC_TO_NET_SALES","FQ3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41" t="e">
        <f ca="1">_xll.BDH($C$328,"INC_BEF_XO_ITEMS_TO_NET_SALES","FQ3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41" t="e">
        <f ca="1">_xll.BDH($C$328,"PROF_MARGIN","FQ3 2016","FQ3 2016","Currency=INR","Period=FQ","BEST_FPERIOD_OVERRIDE=FQ","FILING_STATUS=OR","EQY_CONSOLIDATED=Y","FA_ADJUSTED=GAAP","Sort=A","Dates=H","DateFormat=P","Fill=—","Direction=H","UseDPDF=Y")</f>
        <v>#NAME?</v>
      </c>
      <c r="P341" t="e">
        <f ca="1">_xll.BDH($C$328,"NET_INCOME_TO_COMMON_MARGIN","FQ3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41" t="e">
        <f ca="1">_xll.BDH($C$328,"EFF_TAX_RATE","FQ3 2016","FQ3 2016","Currency=INR","Period=FQ","BEST_FPERIOD_OVERRIDE=FQ","FILING_STATUS=OR","EQY_CONSOLIDATED=Y","FA_ADJUSTED=GAAP","Sort=A","Dates=H","DateFormat=P","Fill=—","Direction=H","UseDPDF=Y")</f>
        <v>#NAME?</v>
      </c>
      <c r="R341" t="e">
        <f ca="1">_xll.BDH($C$328,"DVD_PAYOUT_RATIO","FQ3 2016","FQ3 2016","Currency=INR","Period=FQ","BEST_FPERIOD_OVERRIDE=FQ","FILING_STATUS=OR","EQY_CONSOLIDATED=Y","FA_ADJUSTED=GAAP","Sort=A","Dates=H","DateFormat=P","Fill=—","Direction=H","UseDPDF=Y")</f>
        <v>#NAME?</v>
      </c>
      <c r="S341" t="e">
        <f ca="1">_xll.BDH($C$328,"SUSTAIN_GROWTH_RT","FQ3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41" s="2" t="e">
        <f ca="1">_xll.BDH($C$328,"SALES_GROWTH","FQ3 2016","FQ3 2016","Currency=INR","Period=FQ","BEST_FPERIOD_OVERRIDE=FQ","FILING_STATUS=OR","EQY_CONSOLIDATED=Y","FA_ADJUSTED=GAAP","Sort=A","Dates=H","DateFormat=P","Fill=—","Direction=H","UseDPDF=Y")</f>
        <v>#NAME?</v>
      </c>
      <c r="U341" s="2" t="e">
        <f ca="1">_xll.BDH($C$328,"EBITDA_GROWTH","FQ3 2016","FQ3 2016","Currency=INR","Period=FQ","BEST_FPERIOD_OVERRIDE=FQ","FILING_STATUS=OR","EQY_CONSOLIDATED=Y","FA_ADJUSTED=GAAP","Sort=A","Dates=H","DateFormat=P","Fill=—","Direction=H","UseDPDF=Y")</f>
        <v>#NAME?</v>
      </c>
      <c r="V341" s="2" t="e">
        <f ca="1">_xll.BDH($C$328,"OPER_INC_GROWTH","FQ3 2016","FQ3 2016","Currency=INR","Period=FQ","BEST_FPERIOD_OVERRIDE=FQ","FILING_STATUS=OR","EQY_CONSOLIDATED=Y","FA_ADJUSTED=GAAP","Sort=A","Dates=H","DateFormat=P","Fill=—","Direction=H","UseDPDF=Y")</f>
        <v>#NAME?</v>
      </c>
      <c r="W341" s="2" t="e">
        <f ca="1">_xll.BDH($C$328,"EARN_FOR_COM_GROWTH","FQ3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41" s="2" t="e">
        <f ca="1">_xll.BDH($C$328,"DILUTED_EPS_AFT_XO_ITEMS_GROWTH","FQ3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41" s="2" t="e">
        <f ca="1">_xll.BDH($C$328,"DIVIDEND_PER_SHARE_1_YEAR_GROWTH","FQ3 2016","FQ3 2016","Currency=INR","Period=FQ","BEST_FPERIOD_OVERRIDE=FQ","FILING_STATUS=OR","EQY_CONSOLIDATED=Y","Sort=A","Dates=H","DateFormat=P","Fill=—","Direction=H","UseDPDF=Y")</f>
        <v>#NAME?</v>
      </c>
      <c r="Z341" s="2" t="e">
        <f ca="1">_xll.BDH($C$328,"ACCOUNTS_RECEIVABLE_GROWTH","FQ3 2016","FQ3 2016","Currency=INR","Period=FQ","BEST_FPERIOD_OVERRIDE=FQ","FILING_STATUS=OR","EQY_CONSOLIDATED=Y","Sort=A","Dates=H","DateFormat=P","Fill=—","Direction=H","UseDPDF=Y")</f>
        <v>#NAME?</v>
      </c>
      <c r="AA341" s="2" t="e">
        <f ca="1">_xll.BDH($C$328,"INVENTORY_GROWTH","FQ3 2016","FQ3 2016","Currency=INR","Period=FQ","BEST_FPERIOD_OVERRIDE=FQ","FILING_STATUS=OR","EQY_CONSOLIDATED=Y","Sort=A","Dates=H","DateFormat=P","Fill=—","Direction=H","UseDPDF=Y")</f>
        <v>#NAME?</v>
      </c>
      <c r="AB341" s="2" t="e">
        <f ca="1">_xll.BDH($C$328,"NET_FIXED_ASSETS_1_YEAR_GROWTH","FQ3 2016","FQ3 2016","Currency=INR","Period=FQ","BEST_FPERIOD_OVERRIDE=FQ","FILING_STATUS=OR","EQY_CONSOLIDATED=Y","Sort=A","Dates=H","DateFormat=P","Fill=—","Direction=H","UseDPDF=Y")</f>
        <v>#NAME?</v>
      </c>
      <c r="AC341" s="2" t="e">
        <f ca="1">_xll.BDH($C$328,"ASSET_GROWTH","FQ3 2016","FQ3 2016","Currency=INR","Period=FQ","BEST_FPERIOD_OVERRIDE=FQ","FILING_STATUS=OR","EQY_CONSOLIDATED=Y","Sort=A","Dates=H","DateFormat=P","Fill=—","Direction=H","UseDPDF=Y")</f>
        <v>#NAME?</v>
      </c>
      <c r="AD341" s="2" t="e">
        <f ca="1">_xll.BDH($C$328,"MODIFIED_WORK_CAP_GROWTH","FQ3 2016","FQ3 2016","Currency=INR","Period=FQ","BEST_FPERIOD_OVERRIDE=FQ","FILING_STATUS=OR","EQY_CONSOLIDATED=Y","Sort=A","Dates=H","DateFormat=P","Fill=—","Direction=H","UseDPDF=Y")</f>
        <v>#NAME?</v>
      </c>
      <c r="AE341" s="2" t="e">
        <f ca="1">_xll.BDH($C$328,"WORK_CAP_GROWTH","FQ3 2016","FQ3 2016","Currency=INR","Period=FQ","BEST_FPERIOD_OVERRIDE=FQ","FILING_STATUS=OR","EQY_CONSOLIDATED=Y","Sort=A","Dates=H","DateFormat=P","Fill=—","Direction=H","UseDPDF=Y")</f>
        <v>#NAME?</v>
      </c>
      <c r="AF341" s="2" t="e">
        <f ca="1">_xll.BDH($C$328,"ACCOUNTS_PAYABLE_GROWTH_1YR","FQ3 2016","FQ3 2016","Currency=INR","Period=FQ","BEST_FPERIOD_OVERRIDE=FQ","FILING_STATUS=OR","EQY_CONSOLIDATED=Y","Sort=A","Dates=H","DateFormat=P","Fill=—","Direction=H","UseDPDF=Y")</f>
        <v>#NAME?</v>
      </c>
      <c r="AG341" s="2" t="e">
        <f ca="1">_xll.BDH($C$328,"SHORT_TERM_DEBT_1_YEAR_GROWTH","FQ3 2016","FQ3 2016","Currency=INR","Period=FQ","BEST_FPERIOD_OVERRIDE=FQ","FILING_STATUS=OR","EQY_CONSOLIDATED=Y","Sort=A","Dates=H","DateFormat=P","Fill=—","Direction=H","UseDPDF=Y")</f>
        <v>#NAME?</v>
      </c>
      <c r="AH341" s="2" t="e">
        <f ca="1">_xll.BDH($C$328,"TOTAL_DEBT_1_YEAR_GROWTH","FQ3 2016","FQ3 2016","Currency=INR","Period=FQ","BEST_FPERIOD_OVERRIDE=FQ","FILING_STATUS=OR","EQY_CONSOLIDATED=Y","Sort=A","Dates=H","DateFormat=P","Fill=—","Direction=H","UseDPDF=Y")</f>
        <v>#NAME?</v>
      </c>
      <c r="AI341" s="2" t="e">
        <f ca="1">_xll.BDH($C$328,"TOTAL_EQUITY_1_YEAR_GROWTH","FQ3 2016","FQ3 2016","Currency=INR","Period=FQ","BEST_FPERIOD_OVERRIDE=FQ","FILING_STATUS=OR","EQY_CONSOLIDATED=Y","Sort=A","Dates=H","DateFormat=P","Fill=—","Direction=H","UseDPDF=Y")</f>
        <v>#NAME?</v>
      </c>
      <c r="AJ341" s="2" t="e">
        <f ca="1">_xll.BDH($C$328,"GROWTH_IN_CAP","FQ3 2016","FQ3 2016","Currency=INR","Period=FQ","BEST_FPERIOD_OVERRIDE=FQ","FILING_STATUS=OR","EQY_CONSOLIDATED=Y","Sort=A","Dates=H","DateFormat=P","Fill=—","Direction=H","UseDPDF=Y")</f>
        <v>#NAME?</v>
      </c>
      <c r="AK341" s="2" t="e">
        <f ca="1">_xll.BDH($C$328,"BVPS_GROWTH","FQ3 2016","FQ3 2016","Currency=INR","Period=FQ","BEST_FPERIOD_OVERRIDE=FQ","FILING_STATUS=OR","EQY_CONSOLIDATED=Y","Sort=A","Dates=H","DateFormat=P","Fill=—","Direction=H","UseDPDF=Y")</f>
        <v>#NAME?</v>
      </c>
      <c r="AL341" s="2" t="e">
        <f ca="1">_xll.BDH($C$328,"CASH_FLOW_GROWTH","FQ3 2016","FQ3 2016","Currency=INR","Period=FQ","BEST_FPERIOD_OVERRIDE=FQ","FILING_STATUS=OR","EQY_CONSOLIDATED=Y","Sort=A","Dates=H","DateFormat=P","Fill=—","Direction=H","UseDPDF=Y")</f>
        <v>#NAME?</v>
      </c>
      <c r="AM341" s="2" t="e">
        <f ca="1">_xll.BDH($C$328,"GEO_GROW_NET_SALES","FQ3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41" s="2" t="e">
        <f ca="1">_xll.BDH($C$328,"GEO_GROW_EBITDA","FQ3 2016","FQ3 2016","Currency=INR","Period=FQ","BEST_FPERIOD_OVERRIDE=FQ","FILING_STATUS=OR","EQY_CONSOLIDATED=Y","FA_ADJUSTED=GAAP","Sort=A","Dates=H","DateFormat=P","Fill=—","Direction=H","UseDPDF=Y")</f>
        <v>#NAME?</v>
      </c>
      <c r="AO341" s="2" t="e">
        <f ca="1">_xll.BDH($C$328,"GEO_GROW_OPER_INC","FQ3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41" s="2" t="e">
        <f ca="1">_xll.BDH($C$328,"NET_INCOME_TO_COMMON_5_YR_GROWTH","FQ3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41" s="2" t="e">
        <f ca="1">_xll.BDH($C$328,"5Y_GEO_GROWTH_DILUTED_EPS","FQ3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41" s="2" t="e">
        <f ca="1">_xll.BDH($C$328,"GEO_GROW_DVD_PER_SH","FQ3 2016","FQ3 2016","Currency=INR","Period=FQ","BEST_FPERIOD_OVERRIDE=FQ","FILING_STATUS=OR","EQY_CONSOLIDATED=Y","Sort=A","Dates=H","DateFormat=P","Fill=—","Direction=H","UseDPDF=Y")</f>
        <v>#NAME?</v>
      </c>
      <c r="AS341" s="2" t="e">
        <f ca="1">_xll.BDH($C$328,"ACCOUNTS_RECEIVABLE_5_YR_GROWTH","FQ3 2016","FQ3 2016","Currency=INR","Period=FQ","BEST_FPERIOD_OVERRIDE=FQ","FILING_STATUS=OR","EQY_CONSOLIDATED=Y","Sort=A","Dates=H","DateFormat=P","Fill=—","Direction=H","UseDPDF=Y")</f>
        <v>#NAME?</v>
      </c>
      <c r="AT341" s="2" t="e">
        <f ca="1">_xll.BDH($C$328,"INVENTORY_5_YEAR_GROWTH","FQ3 2016","FQ3 2016","Currency=INR","Period=FQ","BEST_FPERIOD_OVERRIDE=FQ","FILING_STATUS=OR","EQY_CONSOLIDATED=Y","Sort=A","Dates=H","DateFormat=P","Fill=—","Direction=H","UseDPDF=Y")</f>
        <v>#NAME?</v>
      </c>
      <c r="AU341" s="2" t="e">
        <f ca="1">_xll.BDH($C$328,"NET_FIXED_ASSETS_5_YEAR_GROWTH","FQ3 2016","FQ3 2016","Currency=INR","Period=FQ","BEST_FPERIOD_OVERRIDE=FQ","FILING_STATUS=OR","EQY_CONSOLIDATED=Y","Sort=A","Dates=H","DateFormat=P","Fill=—","Direction=H","UseDPDF=Y")</f>
        <v>#NAME?</v>
      </c>
      <c r="AV341" s="2" t="e">
        <f ca="1">_xll.BDH($C$328,"GEO_GROW_TOT_ASSET","FQ3 2016","FQ3 2016","Currency=INR","Period=FQ","BEST_FPERIOD_OVERRIDE=FQ","FILING_STATUS=OR","EQY_CONSOLIDATED=Y","Sort=A","Dates=H","DateFormat=P","Fill=—","Direction=H","UseDPDF=Y")</f>
        <v>#NAME?</v>
      </c>
      <c r="AW341" s="2" t="e">
        <f ca="1">_xll.BDH($C$328,"MODIFIED_WORKING_CPTL_5YR_GRWTH","FQ3 2016","FQ3 2016","Currency=INR","Period=FQ","BEST_FPERIOD_OVERRIDE=FQ","FILING_STATUS=OR","EQY_CONSOLIDATED=Y","Sort=A","Dates=H","DateFormat=P","Fill=—","Direction=H","UseDPDF=Y")</f>
        <v>#NAME?</v>
      </c>
      <c r="AX341" s="2" t="e">
        <f ca="1">_xll.BDH($C$328,"WORKING_CAPITAL_5_YEAR_GROWTH","FQ3 2016","FQ3 2016","Currency=INR","Period=FQ","BEST_FPERIOD_OVERRIDE=FQ","FILING_STATUS=OR","EQY_CONSOLIDATED=Y","Sort=A","Dates=H","DateFormat=P","Fill=—","Direction=H","UseDPDF=Y")</f>
        <v>#NAME?</v>
      </c>
      <c r="AY341" s="2" t="e">
        <f ca="1">_xll.BDH($C$328,"ACCOUNTS_PAYABLE_5_YEAR_GROWTH","FQ3 2016","FQ3 2016","Currency=INR","Period=FQ","BEST_FPERIOD_OVERRIDE=FQ","FILING_STATUS=OR","EQY_CONSOLIDATED=Y","Sort=A","Dates=H","DateFormat=P","Fill=—","Direction=H","UseDPDF=Y")</f>
        <v>#NAME?</v>
      </c>
      <c r="AZ341" s="2" t="e">
        <f ca="1">_xll.BDH($C$328,"SHORT_TERM_DEBT_5_YEAR_GROWTH","FQ3 2016","FQ3 2016","Currency=INR","Period=FQ","BEST_FPERIOD_OVERRIDE=FQ","FILING_STATUS=OR","EQY_CONSOLIDATED=Y","Sort=A","Dates=H","DateFormat=P","Fill=—","Direction=H","UseDPDF=Y")</f>
        <v>#NAME?</v>
      </c>
      <c r="BA341" s="2" t="e">
        <f ca="1">_xll.BDH($C$328,"TOTAL_DEBT_5_YEAR_GROWTH","FQ3 2016","FQ3 2016","Currency=INR","Period=FQ","BEST_FPERIOD_OVERRIDE=FQ","FILING_STATUS=OR","EQY_CONSOLIDATED=Y","Sort=A","Dates=H","DateFormat=P","Fill=—","Direction=H","UseDPDF=Y")</f>
        <v>#NAME?</v>
      </c>
      <c r="BB341" s="2" t="e">
        <f ca="1">_xll.BDH($C$328,"GEO_GROW_TOT_SHRHLDR_EQY","FQ3 2016","FQ3 2016","Currency=INR","Period=FQ","BEST_FPERIOD_OVERRIDE=FQ","FILING_STATUS=OR","EQY_CONSOLIDATED=Y","Sort=A","Dates=H","DateFormat=P","Fill=—","Direction=H","UseDPDF=Y")</f>
        <v>#NAME?</v>
      </c>
      <c r="BC341" s="2" t="e">
        <f ca="1">_xll.BDH($C$328,"TOTAL_CAPITAL_5_YEAR_GROWTH","FQ3 2016","FQ3 2016","Currency=INR","Period=FQ","BEST_FPERIOD_OVERRIDE=FQ","FILING_STATUS=OR","EQY_CONSOLIDATED=Y","Sort=A","Dates=H","DateFormat=P","Fill=—","Direction=H","UseDPDF=Y")</f>
        <v>#NAME?</v>
      </c>
      <c r="BD341" s="2" t="e">
        <f ca="1">_xll.BDH($C$328,"GEO_GROW_BOOK_VAL","FQ3 2016","FQ3 2016","Currency=INR","Period=FQ","BEST_FPERIOD_OVERRIDE=FQ","FILING_STATUS=OR","EQY_CONSOLIDATED=Y","Sort=A","Dates=H","DateFormat=P","Fill=—","Direction=H","UseDPDF=Y")</f>
        <v>#NAME?</v>
      </c>
      <c r="BE341" s="2" t="e">
        <f ca="1">_xll.BDH($C$328,"GEO_GROW_CASH_OPER_ACT","FQ3 2016","FQ3 2016","Currency=INR","Period=FQ","BEST_FPERIOD_OVERRIDE=FQ","FILING_STATUS=OR","EQY_CONSOLIDATED=Y","Sort=A","Dates=H","DateFormat=P","Fill=—","Direction=H","UseDPDF=Y")</f>
        <v>#NAME?</v>
      </c>
      <c r="BF341" s="2" t="e">
        <f ca="1">_xll.BDH($C$328,"REVENUE_SEQUENTIAL_GROWTH","FQ3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41" s="2" t="e">
        <f ca="1">_xll.BDH($C$328,"EBITDA_SEQUENTIAL_GROWTH","FQ3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41" s="2" t="e">
        <f ca="1">_xll.BDH($C$328,"OPERATING_INCOME_SEQ_GROWTH","FQ3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41" s="2" t="e">
        <f ca="1">_xll.BDH($C$328,"NET_INCOME_TO_COMMON_SEQ_GROWTH","FQ3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41" s="2" t="e">
        <f ca="1">_xll.BDH($C$328,"EPS_DILUTED_SEQUENTIAL_GROWTH","FQ3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41" s="2" t="e">
        <f ca="1">_xll.BDH($C$328,"DPS_SEQUENTIAL_GROWTH","FQ3 2016","FQ3 2016","Currency=INR","Period=FQ","BEST_FPERIOD_OVERRIDE=FQ","FILING_STATUS=OR","EQY_CONSOLIDATED=Y","Sort=A","Dates=H","DateFormat=P","Fill=—","Direction=H","UseDPDF=Y")</f>
        <v>#NAME?</v>
      </c>
      <c r="BL341" s="2" t="e">
        <f ca="1">_xll.BDH($C$328,"ACCOUNTS_RECEIVABLE_SEQ_GROWTH","FQ3 2016","FQ3 2016","Currency=INR","Period=FQ","BEST_FPERIOD_OVERRIDE=FQ","FILING_STATUS=OR","EQY_CONSOLIDATED=Y","Sort=A","Dates=H","DateFormat=P","Fill=—","Direction=H","UseDPDF=Y")</f>
        <v>#NAME?</v>
      </c>
      <c r="BM341" s="2" t="e">
        <f ca="1">_xll.BDH($C$328,"INVENTORY_SEQUENTIAL_GROWTH","FQ3 2016","FQ3 2016","Currency=INR","Period=FQ","BEST_FPERIOD_OVERRIDE=FQ","FILING_STATUS=OR","EQY_CONSOLIDATED=Y","Sort=A","Dates=H","DateFormat=P","Fill=—","Direction=H","UseDPDF=Y")</f>
        <v>#NAME?</v>
      </c>
      <c r="BN341" s="2" t="e">
        <f ca="1">_xll.BDH($C$328,"FIXED_ASSETS_SEQUENTIAL_GROWTH","FQ3 2016","FQ3 2016","Currency=INR","Period=FQ","BEST_FPERIOD_OVERRIDE=FQ","FILING_STATUS=OR","EQY_CONSOLIDATED=Y","Sort=A","Dates=H","DateFormat=P","Fill=—","Direction=H","UseDPDF=Y")</f>
        <v>#NAME?</v>
      </c>
      <c r="BO341" s="2" t="e">
        <f ca="1">_xll.BDH($C$328,"TOTAL_ASSETS_SEQUENTIAL_GROWTH","FQ3 2016","FQ3 2016","Currency=INR","Period=FQ","BEST_FPERIOD_OVERRIDE=FQ","FILING_STATUS=OR","EQY_CONSOLIDATED=Y","Sort=A","Dates=H","DateFormat=P","Fill=—","Direction=H","UseDPDF=Y")</f>
        <v>#NAME?</v>
      </c>
      <c r="BP341" s="2" t="e">
        <f ca="1">_xll.BDH($C$328,"MODIFIED_WORKING_CPTL_SEQ_GRWTH","FQ3 2016","FQ3 2016","Currency=INR","Period=FQ","BEST_FPERIOD_OVERRIDE=FQ","FILING_STATUS=OR","EQY_CONSOLIDATED=Y","Sort=A","Dates=H","DateFormat=P","Fill=—","Direction=H","UseDPDF=Y")</f>
        <v>#NAME?</v>
      </c>
      <c r="BQ341" s="2" t="e">
        <f ca="1">_xll.BDH($C$328,"WORKING_CAPITAL_SEQ_GROWTH","FQ3 2016","FQ3 2016","Currency=INR","Period=FQ","BEST_FPERIOD_OVERRIDE=FQ","FILING_STATUS=OR","EQY_CONSOLIDATED=Y","Sort=A","Dates=H","DateFormat=P","Fill=—","Direction=H","UseDPDF=Y")</f>
        <v>#NAME?</v>
      </c>
      <c r="BR341" s="2" t="e">
        <f ca="1">_xll.BDH($C$328,"ACCOUNTS_PAYABLE_SEQ_GROWTH","FQ3 2016","FQ3 2016","Currency=INR","Period=FQ","BEST_FPERIOD_OVERRIDE=FQ","FILING_STATUS=OR","EQY_CONSOLIDATED=Y","Sort=A","Dates=H","DateFormat=P","Fill=—","Direction=H","UseDPDF=Y")</f>
        <v>#NAME?</v>
      </c>
      <c r="BS341" s="2" t="e">
        <f ca="1">_xll.BDH($C$328,"ST_DEBT_SEQUENTIAL_GROWTH","FQ3 2016","FQ3 2016","Currency=INR","Period=FQ","BEST_FPERIOD_OVERRIDE=FQ","FILING_STATUS=OR","EQY_CONSOLIDATED=Y","Sort=A","Dates=H","DateFormat=P","Fill=—","Direction=H","UseDPDF=Y")</f>
        <v>#NAME?</v>
      </c>
      <c r="BT341" s="2" t="e">
        <f ca="1">_xll.BDH($C$328,"TOTAL_DEBT_SEQUENTIAL_GROWTH","FQ3 2016","FQ3 2016","Currency=INR","Period=FQ","BEST_FPERIOD_OVERRIDE=FQ","FILING_STATUS=OR","EQY_CONSOLIDATED=Y","Sort=A","Dates=H","DateFormat=P","Fill=—","Direction=H","UseDPDF=Y")</f>
        <v>#NAME?</v>
      </c>
      <c r="BU341" s="2" t="e">
        <f ca="1">_xll.BDH($C$328,"TOTAL_EQUITY_SEQUENTIAL_GROWTH","FQ3 2016","FQ3 2016","Currency=INR","Period=FQ","BEST_FPERIOD_OVERRIDE=FQ","FILING_STATUS=OR","EQY_CONSOLIDATED=Y","Sort=A","Dates=H","DateFormat=P","Fill=—","Direction=H","UseDPDF=Y")</f>
        <v>#NAME?</v>
      </c>
      <c r="BV341" s="2" t="e">
        <f ca="1">_xll.BDH($C$328,"TOTAL_CAPITAL_SEQUENTIAL_GROWTH","FQ3 2016","FQ3 2016","Currency=INR","Period=FQ","BEST_FPERIOD_OVERRIDE=FQ","FILING_STATUS=OR","EQY_CONSOLIDATED=Y","Sort=A","Dates=H","DateFormat=P","Fill=—","Direction=H","UseDPDF=Y")</f>
        <v>#NAME?</v>
      </c>
      <c r="BW341" s="2" t="e">
        <f ca="1">_xll.BDH($C$328,"BPS_SEQUENTIAL_GROWTH","FQ3 2016","FQ3 2016","Currency=INR","Period=FQ","BEST_FPERIOD_OVERRIDE=FQ","FILING_STATUS=OR","EQY_CONSOLIDATED=Y","Sort=A","Dates=H","DateFormat=P","Fill=—","Direction=H","UseDPDF=Y")</f>
        <v>#NAME?</v>
      </c>
      <c r="BX341" s="2" t="e">
        <f ca="1">_xll.BDH($C$328,"CFO_SEQUENTIAL_GROWTH","FQ3 2016","FQ3 2016","Currency=INR","Period=FQ","BEST_FPERIOD_OVERRIDE=FQ","FILING_STATUS=OR","EQY_CONSOLIDATED=Y","Sort=A","Dates=H","DateFormat=P","Fill=—","Direction=H","UseDPDF=Y")</f>
        <v>#NAME?</v>
      </c>
      <c r="BY341" s="3" t="e">
        <f ca="1">_xll.BDH($C$328,"SHORT_AND_LONG_TERM_DEBT","FQ3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41" s="3" t="e">
        <f ca="1">_xll.BDH($C$328,"BS_ST_BORROW","FQ3 2016","FQ3 2016","Currency=INR","Period=FQ","BEST_FPERIOD_OVERRIDE=FQ","FILING_STATUS=OR","EQY_CONSOLIDATED=Y","SCALING_FORMAT=MLN","Sort=A","Dates=H","DateFormat=P","Fill=—","Direction=H","UseDPDF=Y")</f>
        <v>#NAME?</v>
      </c>
      <c r="CA341" s="3" t="e">
        <f ca="1">_xll.BDH($C$328,"BS_LT_BORROW","FQ3 2016","FQ3 2016","Currency=INR","Period=FQ","BEST_FPERIOD_OVERRIDE=FQ","FILING_STATUS=OR","EQY_CONSOLIDATED=Y","SCALING_FORMAT=MLN","Sort=A","Dates=H","DateFormat=P","Fill=—","Direction=H","UseDPDF=Y")</f>
        <v>#NAME?</v>
      </c>
      <c r="CB341" s="2" t="e">
        <f ca="1">_xll.BDH($C$328,"TOT_DEBT_TO_EBITDA","FQ3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41" s="2" t="e">
        <f ca="1">_xll.BDH($C$328,"NET_DEBT_TO_EBITDA","FQ3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41" s="2" t="e">
        <f ca="1">_xll.BDH($C$328,"TOTAL_DEBT_TO_EBIT","FQ3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41" s="2" t="e">
        <f ca="1">_xll.BDH($C$328,"NET_DEBT_TO_EBIT","FQ3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41" s="2" t="e">
        <f ca="1">_xll.BDH($C$328,"EBITDA_TO_INTEREST_EXPN","FQ3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41" s="2" t="e">
        <f ca="1">_xll.BDH($C$328,"COM_EQY_TO_TOT_ASSET","FQ3 2016","FQ3 2016","Currency=INR","Period=FQ","BEST_FPERIOD_OVERRIDE=FQ","FILING_STATUS=OR","EQY_CONSOLIDATED=Y","Sort=A","Dates=H","DateFormat=P","Fill=—","Direction=H","UseDPDF=Y")</f>
        <v>#NAME?</v>
      </c>
      <c r="CH341" s="2" t="e">
        <f ca="1">_xll.BDH($C$328,"LT_DEBT_TO_TOT_EQY","FQ3 2016","FQ3 2016","Currency=INR","Period=FQ","BEST_FPERIOD_OVERRIDE=FQ","FILING_STATUS=OR","EQY_CONSOLIDATED=Y","Sort=A","Dates=H","DateFormat=P","Fill=—","Direction=H","UseDPDF=Y")</f>
        <v>#NAME?</v>
      </c>
      <c r="CI341" s="2" t="e">
        <f ca="1">_xll.BDH($C$328,"LT_DEBT_TO_TOT_CAP","FQ3 2016","FQ3 2016","Currency=INR","Period=FQ","BEST_FPERIOD_OVERRIDE=FQ","FILING_STATUS=OR","EQY_CONSOLIDATED=Y","Sort=A","Dates=H","DateFormat=P","Fill=—","Direction=H","UseDPDF=Y")</f>
        <v>#NAME?</v>
      </c>
      <c r="CJ341" s="2" t="e">
        <f ca="1">_xll.BDH($C$328,"LT_DEBT_TO_TOT_ASSET","FQ3 2016","FQ3 2016","Currency=INR","Period=FQ","BEST_FPERIOD_OVERRIDE=FQ","FILING_STATUS=OR","EQY_CONSOLIDATED=Y","Sort=A","Dates=H","DateFormat=P","Fill=—","Direction=H","UseDPDF=Y")</f>
        <v>#NAME?</v>
      </c>
      <c r="CK341" s="2" t="e">
        <f ca="1">_xll.BDH($C$328,"TOT_DEBT_TO_TOT_EQY","FQ3 2016","FQ3 2016","Currency=INR","Period=FQ","BEST_FPERIOD_OVERRIDE=FQ","FILING_STATUS=OR","EQY_CONSOLIDATED=Y","Sort=A","Dates=H","DateFormat=P","Fill=—","Direction=H","UseDPDF=Y")</f>
        <v>#NAME?</v>
      </c>
      <c r="CL341" s="2" t="e">
        <f ca="1">_xll.BDH($C$328,"TOT_DEBT_TO_TOT_CAP","FQ3 2016","FQ3 2016","Currency=INR","Period=FQ","BEST_FPERIOD_OVERRIDE=FQ","FILING_STATUS=OR","EQY_CONSOLIDATED=Y","Sort=A","Dates=H","DateFormat=P","Fill=—","Direction=H","UseDPDF=Y")</f>
        <v>#NAME?</v>
      </c>
      <c r="CM341" s="2" t="e">
        <f ca="1">_xll.BDH($C$328,"TOT_DEBT_TO_TOT_ASSET","FQ3 2016","FQ3 2016","Currency=INR","Period=FQ","BEST_FPERIOD_OVERRIDE=FQ","FILING_STATUS=OR","EQY_CONSOLIDATED=Y","Sort=A","Dates=H","DateFormat=P","Fill=—","Direction=H","UseDPDF=Y")</f>
        <v>#NAME?</v>
      </c>
      <c r="CN341" s="2" t="e">
        <f ca="1">_xll.BDH($C$328,"NET_DEBT_TO_SHRHLDR_EQTY","FQ3 2016","FQ3 2016","Currency=INR","Period=FQ","BEST_FPERIOD_OVERRIDE=FQ","FILING_STATUS=OR","EQY_CONSOLIDATED=Y","Sort=A","Dates=H","DateFormat=P","Fill=—","Direction=H","UseDPDF=Y")</f>
        <v>#NAME?</v>
      </c>
      <c r="CO341" s="2" t="e">
        <f ca="1">_xll.BDH($C$328,"NET_DEBT_%_CAPITAL","FQ3 2016","FQ3 2016","Currency=INR","Period=FQ","BEST_FPERIOD_OVERRIDE=FQ","FILING_STATUS=OR","EQY_CONSOLIDATED=Y","Sort=A","Dates=H","DateFormat=P","Fill=—","Direction=H","UseDPDF=Y")</f>
        <v>#NAME?</v>
      </c>
      <c r="CP341" s="3" t="e">
        <f ca="1">_xll.BDH($C$328,"EBITDA","FQ3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41" s="3" t="e">
        <f ca="1">_xll.BDH($C$328,"EBITDA_AFTER_CAPEX","FQ3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41" s="3" t="e">
        <f ca="1">_xll.BDH($C$328,"IS_OPER_INC","FQ3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41" s="2" t="e">
        <f ca="1">_xll.BDH($C$328,"CASH_RATIO","FQ3 2016","FQ3 2016","Currency=INR","Period=FQ","BEST_FPERIOD_OVERRIDE=FQ","FILING_STATUS=OR","EQY_CONSOLIDATED=Y","Sort=A","Dates=H","DateFormat=P","Fill=—","Direction=H","UseDPDF=Y")</f>
        <v>#NAME?</v>
      </c>
      <c r="CT341" s="2" t="e">
        <f ca="1">_xll.BDH($C$328,"CUR_RATIO","FQ3 2016","FQ3 2016","Currency=INR","Period=FQ","BEST_FPERIOD_OVERRIDE=FQ","FILING_STATUS=OR","EQY_CONSOLIDATED=Y","Sort=A","Dates=H","DateFormat=P","Fill=—","Direction=H","UseDPDF=Y")</f>
        <v>#NAME?</v>
      </c>
      <c r="CU341" s="2" t="e">
        <f ca="1">_xll.BDH($C$328,"QUICK_RATIO","FQ3 2016","FQ3 2016","Currency=INR","Period=FQ","BEST_FPERIOD_OVERRIDE=FQ","FILING_STATUS=OR","EQY_CONSOLIDATED=Y","Sort=A","Dates=H","DateFormat=P","Fill=—","Direction=H","UseDPDF=Y")</f>
        <v>#NAME?</v>
      </c>
      <c r="CV341" s="2" t="e">
        <f ca="1">_xll.BDH($C$328,"ALTMAN_Z_SCORE","FQ3 2016","FQ3 2016","Currency=INR","Period=FQ","BEST_FPERIOD_OVERRIDE=FQ","FILING_STATUS=OR","EQY_CONSOLIDATED=Y","Sort=A","Dates=H","DateFormat=P","Fill=—","Direction=H","UseDPDF=Y")</f>
        <v>#NAME?</v>
      </c>
      <c r="CW341" s="4" t="e">
        <f ca="1">_xll.BDH($C$328,"ACCT_RCV_TURN","FQ3 2016","FQ3 2016","Currency=INR","Period=FQ","BEST_FPERIOD_OVERRIDE=FQ","FILING_STATUS=OR","EQY_CONSOLIDATED=Y","FA_ADJUSTED=GAAP","Sort=A","Dates=H","DateFormat=P","Fill=—","Direction=H","UseDPDF=Y")</f>
        <v>#NAME?</v>
      </c>
      <c r="CX341" s="2" t="e">
        <f ca="1">_xll.BDH($C$328,"ACCT_RCV_DAYS","FQ3 2016","FQ3 2016","Currency=INR","Period=FQ","BEST_FPERIOD_OVERRIDE=FQ","FILING_STATUS=OR","EQY_CONSOLIDATED=Y","FA_ADJUSTED=GAAP","Sort=A","Dates=H","DateFormat=P","Fill=—","Direction=H","UseDPDF=Y")</f>
        <v>#NAME?</v>
      </c>
      <c r="CY341" s="4" t="e">
        <f ca="1">_xll.BDH($C$328,"INVENT_TURN","FQ3 2016","FQ3 2016","Currency=INR","Period=FQ","BEST_FPERIOD_OVERRIDE=FQ","FILING_STATUS=OR","EQY_CONSOLIDATED=Y","FA_ADJUSTED=GAAP","Sort=A","Dates=H","DateFormat=P","Fill=—","Direction=H","UseDPDF=Y")</f>
        <v>#NAME?</v>
      </c>
      <c r="CZ341" s="2" t="e">
        <f ca="1">_xll.BDH($C$328,"INVENT_DAYS","FQ3 2016","FQ3 2016","Currency=INR","Period=FQ","BEST_FPERIOD_OVERRIDE=FQ","FILING_STATUS=OR","EQY_CONSOLIDATED=Y","FA_ADJUSTED=GAAP","Sort=A","Dates=H","DateFormat=P","Fill=—","Direction=H","UseDPDF=Y")</f>
        <v>#NAME?</v>
      </c>
      <c r="DA341" s="4" t="e">
        <f ca="1">_xll.BDH($C$328,"ACCOUNTS_PAYABLE_TURNOVER","FQ3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41" s="2" t="e">
        <f ca="1">_xll.BDH($C$328,"ACCOUNTS_PAYABLE_TURNOVER_DAYS","FQ3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41" s="4" t="e">
        <f ca="1">_xll.BDH($C$328,"CASH_CONVERSION_CYCLE","FQ3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41" s="4" t="e">
        <f ca="1">_xll.BDH($C$328,"INV_TO_CASH_DAYS","FQ3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41" s="5" t="e">
        <f ca="1">_xll.BDH($C$328,"BS_INVENTORIES","FQ3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41" s="3" t="e">
        <f ca="1">_xll.BDH($C$328,"INVTRY_RAW_MATERIALS","FQ3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41" s="3" t="e">
        <f ca="1">_xll.BDH($C$328,"INVTRY_IN_PROGRESS","FQ3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41" s="3" t="e">
        <f ca="1">_xll.BDH($C$328,"INVTRY_FINISHED_GOODS","FQ3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41" s="3" t="e">
        <f ca="1">_xll.BDH($C$328,"BS_OTHER_INV","FQ3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42" spans="1:113" x14ac:dyDescent="0.3">
      <c r="A342" s="6"/>
      <c r="B342" s="6"/>
      <c r="C342" s="6"/>
      <c r="D342" s="6"/>
      <c r="E342" t="s">
        <v>81</v>
      </c>
      <c r="F342" t="e">
        <f ca="1">_xll.BDH($C$328,"RETURN_COM_EQY","FQ4 2016","FQ4 2016","Currency=INR","Period=FQ","BEST_FPERIOD_OVERRIDE=FQ","FILING_STATUS=OR","EQY_CONSOLIDATED=Y","FA_ADJUSTED=GAAP","Sort=A","Dates=H","DateFormat=P","Fill=—","Direction=H","UseDPDF=Y")</f>
        <v>#NAME?</v>
      </c>
      <c r="G342" t="e">
        <f ca="1">_xll.BDH($C$328,"RETURN_ON_ASSET","FQ4 2016","FQ4 2016","Currency=INR","Period=FQ","BEST_FPERIOD_OVERRIDE=FQ","FILING_STATUS=OR","EQY_CONSOLIDATED=Y","FA_ADJUSTED=GAAP","Sort=A","Dates=H","DateFormat=P","Fill=—","Direction=H","UseDPDF=Y")</f>
        <v>#NAME?</v>
      </c>
      <c r="H342" t="e">
        <f ca="1">_xll.BDH($C$328,"RETURN_ON_CAP","FQ4 2016","FQ4 2016","Currency=INR","Period=FQ","BEST_FPERIOD_OVERRIDE=FQ","FILING_STATUS=OR","EQY_CONSOLIDATED=Y","FA_ADJUSTED=GAAP","Sort=A","Dates=H","DateFormat=P","Fill=—","Direction=H","UseDPDF=Y")</f>
        <v>#NAME?</v>
      </c>
      <c r="I342" t="e">
        <f ca="1">_xll.BDH($C$328,"RETURN_ON_INV_CAPITAL","FQ4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42" t="e">
        <f ca="1">_xll.BDH($C$328,"EBITDA_TO_REVENUE","FQ4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42" t="e">
        <f ca="1">_xll.BDH($C$328,"OPER_MARGIN","FQ4 2016","FQ4 2016","Currency=INR","Period=FQ","BEST_FPERIOD_OVERRIDE=FQ","FILING_STATUS=OR","EQY_CONSOLIDATED=Y","FA_ADJUSTED=GAAP","Sort=A","Dates=H","DateFormat=P","Fill=—","Direction=H","UseDPDF=Y")</f>
        <v>#NAME?</v>
      </c>
      <c r="L342" t="e">
        <f ca="1">_xll.BDH($C$328,"INCREMENTAL_OPERATING_MARGIN","FQ4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42" t="e">
        <f ca="1">_xll.BDH($C$328,"PRETAX_INC_TO_NET_SALES","FQ4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42" t="e">
        <f ca="1">_xll.BDH($C$328,"INC_BEF_XO_ITEMS_TO_NET_SALES","FQ4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42" t="e">
        <f ca="1">_xll.BDH($C$328,"PROF_MARGIN","FQ4 2016","FQ4 2016","Currency=INR","Period=FQ","BEST_FPERIOD_OVERRIDE=FQ","FILING_STATUS=OR","EQY_CONSOLIDATED=Y","FA_ADJUSTED=GAAP","Sort=A","Dates=H","DateFormat=P","Fill=—","Direction=H","UseDPDF=Y")</f>
        <v>#NAME?</v>
      </c>
      <c r="P342" t="e">
        <f ca="1">_xll.BDH($C$328,"NET_INCOME_TO_COMMON_MARGIN","FQ4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42" t="e">
        <f ca="1">_xll.BDH($C$328,"EFF_TAX_RATE","FQ4 2016","FQ4 2016","Currency=INR","Period=FQ","BEST_FPERIOD_OVERRIDE=FQ","FILING_STATUS=OR","EQY_CONSOLIDATED=Y","FA_ADJUSTED=GAAP","Sort=A","Dates=H","DateFormat=P","Fill=—","Direction=H","UseDPDF=Y")</f>
        <v>#NAME?</v>
      </c>
      <c r="R342" t="e">
        <f ca="1">_xll.BDH($C$328,"DVD_PAYOUT_RATIO","FQ4 2016","FQ4 2016","Currency=INR","Period=FQ","BEST_FPERIOD_OVERRIDE=FQ","FILING_STATUS=OR","EQY_CONSOLIDATED=Y","FA_ADJUSTED=GAAP","Sort=A","Dates=H","DateFormat=P","Fill=—","Direction=H","UseDPDF=Y")</f>
        <v>#NAME?</v>
      </c>
      <c r="S342" t="e">
        <f ca="1">_xll.BDH($C$328,"SUSTAIN_GROWTH_RT","FQ4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42" s="2" t="e">
        <f ca="1">_xll.BDH($C$328,"SALES_GROWTH","FQ4 2016","FQ4 2016","Currency=INR","Period=FQ","BEST_FPERIOD_OVERRIDE=FQ","FILING_STATUS=OR","EQY_CONSOLIDATED=Y","FA_ADJUSTED=GAAP","Sort=A","Dates=H","DateFormat=P","Fill=—","Direction=H","UseDPDF=Y")</f>
        <v>#NAME?</v>
      </c>
      <c r="U342" s="2" t="e">
        <f ca="1">_xll.BDH($C$328,"EBITDA_GROWTH","FQ4 2016","FQ4 2016","Currency=INR","Period=FQ","BEST_FPERIOD_OVERRIDE=FQ","FILING_STATUS=OR","EQY_CONSOLIDATED=Y","FA_ADJUSTED=GAAP","Sort=A","Dates=H","DateFormat=P","Fill=—","Direction=H","UseDPDF=Y")</f>
        <v>#NAME?</v>
      </c>
      <c r="V342" s="2" t="e">
        <f ca="1">_xll.BDH($C$328,"OPER_INC_GROWTH","FQ4 2016","FQ4 2016","Currency=INR","Period=FQ","BEST_FPERIOD_OVERRIDE=FQ","FILING_STATUS=OR","EQY_CONSOLIDATED=Y","FA_ADJUSTED=GAAP","Sort=A","Dates=H","DateFormat=P","Fill=—","Direction=H","UseDPDF=Y")</f>
        <v>#NAME?</v>
      </c>
      <c r="W342" s="2" t="e">
        <f ca="1">_xll.BDH($C$328,"EARN_FOR_COM_GROWTH","FQ4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42" s="2" t="e">
        <f ca="1">_xll.BDH($C$328,"DILUTED_EPS_AFT_XO_ITEMS_GROWTH","FQ4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42" s="2" t="e">
        <f ca="1">_xll.BDH($C$328,"DIVIDEND_PER_SHARE_1_YEAR_GROWTH","FQ4 2016","FQ4 2016","Currency=INR","Period=FQ","BEST_FPERIOD_OVERRIDE=FQ","FILING_STATUS=OR","EQY_CONSOLIDATED=Y","Sort=A","Dates=H","DateFormat=P","Fill=—","Direction=H","UseDPDF=Y")</f>
        <v>#NAME?</v>
      </c>
      <c r="Z342" s="2" t="e">
        <f ca="1">_xll.BDH($C$328,"ACCOUNTS_RECEIVABLE_GROWTH","FQ4 2016","FQ4 2016","Currency=INR","Period=FQ","BEST_FPERIOD_OVERRIDE=FQ","FILING_STATUS=OR","EQY_CONSOLIDATED=Y","Sort=A","Dates=H","DateFormat=P","Fill=—","Direction=H","UseDPDF=Y")</f>
        <v>#NAME?</v>
      </c>
      <c r="AA342" s="2" t="e">
        <f ca="1">_xll.BDH($C$328,"INVENTORY_GROWTH","FQ4 2016","FQ4 2016","Currency=INR","Period=FQ","BEST_FPERIOD_OVERRIDE=FQ","FILING_STATUS=OR","EQY_CONSOLIDATED=Y","Sort=A","Dates=H","DateFormat=P","Fill=—","Direction=H","UseDPDF=Y")</f>
        <v>#NAME?</v>
      </c>
      <c r="AB342" s="2" t="e">
        <f ca="1">_xll.BDH($C$328,"NET_FIXED_ASSETS_1_YEAR_GROWTH","FQ4 2016","FQ4 2016","Currency=INR","Period=FQ","BEST_FPERIOD_OVERRIDE=FQ","FILING_STATUS=OR","EQY_CONSOLIDATED=Y","Sort=A","Dates=H","DateFormat=P","Fill=—","Direction=H","UseDPDF=Y")</f>
        <v>#NAME?</v>
      </c>
      <c r="AC342" s="2" t="e">
        <f ca="1">_xll.BDH($C$328,"ASSET_GROWTH","FQ4 2016","FQ4 2016","Currency=INR","Period=FQ","BEST_FPERIOD_OVERRIDE=FQ","FILING_STATUS=OR","EQY_CONSOLIDATED=Y","Sort=A","Dates=H","DateFormat=P","Fill=—","Direction=H","UseDPDF=Y")</f>
        <v>#NAME?</v>
      </c>
      <c r="AD342" s="2" t="e">
        <f ca="1">_xll.BDH($C$328,"MODIFIED_WORK_CAP_GROWTH","FQ4 2016","FQ4 2016","Currency=INR","Period=FQ","BEST_FPERIOD_OVERRIDE=FQ","FILING_STATUS=OR","EQY_CONSOLIDATED=Y","Sort=A","Dates=H","DateFormat=P","Fill=—","Direction=H","UseDPDF=Y")</f>
        <v>#NAME?</v>
      </c>
      <c r="AE342" s="2" t="e">
        <f ca="1">_xll.BDH($C$328,"WORK_CAP_GROWTH","FQ4 2016","FQ4 2016","Currency=INR","Period=FQ","BEST_FPERIOD_OVERRIDE=FQ","FILING_STATUS=OR","EQY_CONSOLIDATED=Y","Sort=A","Dates=H","DateFormat=P","Fill=—","Direction=H","UseDPDF=Y")</f>
        <v>#NAME?</v>
      </c>
      <c r="AF342" s="2" t="e">
        <f ca="1">_xll.BDH($C$328,"ACCOUNTS_PAYABLE_GROWTH_1YR","FQ4 2016","FQ4 2016","Currency=INR","Period=FQ","BEST_FPERIOD_OVERRIDE=FQ","FILING_STATUS=OR","EQY_CONSOLIDATED=Y","Sort=A","Dates=H","DateFormat=P","Fill=—","Direction=H","UseDPDF=Y")</f>
        <v>#NAME?</v>
      </c>
      <c r="AG342" s="2" t="e">
        <f ca="1">_xll.BDH($C$328,"SHORT_TERM_DEBT_1_YEAR_GROWTH","FQ4 2016","FQ4 2016","Currency=INR","Period=FQ","BEST_FPERIOD_OVERRIDE=FQ","FILING_STATUS=OR","EQY_CONSOLIDATED=Y","Sort=A","Dates=H","DateFormat=P","Fill=—","Direction=H","UseDPDF=Y")</f>
        <v>#NAME?</v>
      </c>
      <c r="AH342" s="2" t="e">
        <f ca="1">_xll.BDH($C$328,"TOTAL_DEBT_1_YEAR_GROWTH","FQ4 2016","FQ4 2016","Currency=INR","Period=FQ","BEST_FPERIOD_OVERRIDE=FQ","FILING_STATUS=OR","EQY_CONSOLIDATED=Y","Sort=A","Dates=H","DateFormat=P","Fill=—","Direction=H","UseDPDF=Y")</f>
        <v>#NAME?</v>
      </c>
      <c r="AI342" s="2" t="e">
        <f ca="1">_xll.BDH($C$328,"TOTAL_EQUITY_1_YEAR_GROWTH","FQ4 2016","FQ4 2016","Currency=INR","Period=FQ","BEST_FPERIOD_OVERRIDE=FQ","FILING_STATUS=OR","EQY_CONSOLIDATED=Y","Sort=A","Dates=H","DateFormat=P","Fill=—","Direction=H","UseDPDF=Y")</f>
        <v>#NAME?</v>
      </c>
      <c r="AJ342" s="2" t="e">
        <f ca="1">_xll.BDH($C$328,"GROWTH_IN_CAP","FQ4 2016","FQ4 2016","Currency=INR","Period=FQ","BEST_FPERIOD_OVERRIDE=FQ","FILING_STATUS=OR","EQY_CONSOLIDATED=Y","Sort=A","Dates=H","DateFormat=P","Fill=—","Direction=H","UseDPDF=Y")</f>
        <v>#NAME?</v>
      </c>
      <c r="AK342" s="2" t="e">
        <f ca="1">_xll.BDH($C$328,"BVPS_GROWTH","FQ4 2016","FQ4 2016","Currency=INR","Period=FQ","BEST_FPERIOD_OVERRIDE=FQ","FILING_STATUS=OR","EQY_CONSOLIDATED=Y","Sort=A","Dates=H","DateFormat=P","Fill=—","Direction=H","UseDPDF=Y")</f>
        <v>#NAME?</v>
      </c>
      <c r="AL342" s="2" t="e">
        <f ca="1">_xll.BDH($C$328,"CASH_FLOW_GROWTH","FQ4 2016","FQ4 2016","Currency=INR","Period=FQ","BEST_FPERIOD_OVERRIDE=FQ","FILING_STATUS=OR","EQY_CONSOLIDATED=Y","Sort=A","Dates=H","DateFormat=P","Fill=—","Direction=H","UseDPDF=Y")</f>
        <v>#NAME?</v>
      </c>
      <c r="AM342" s="2" t="e">
        <f ca="1">_xll.BDH($C$328,"GEO_GROW_NET_SALES","FQ4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42" s="2" t="e">
        <f ca="1">_xll.BDH($C$328,"GEO_GROW_EBITDA","FQ4 2016","FQ4 2016","Currency=INR","Period=FQ","BEST_FPERIOD_OVERRIDE=FQ","FILING_STATUS=OR","EQY_CONSOLIDATED=Y","FA_ADJUSTED=GAAP","Sort=A","Dates=H","DateFormat=P","Fill=—","Direction=H","UseDPDF=Y")</f>
        <v>#NAME?</v>
      </c>
      <c r="AO342" s="2" t="e">
        <f ca="1">_xll.BDH($C$328,"GEO_GROW_OPER_INC","FQ4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42" s="2" t="e">
        <f ca="1">_xll.BDH($C$328,"NET_INCOME_TO_COMMON_5_YR_GROWTH","FQ4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42" s="2" t="e">
        <f ca="1">_xll.BDH($C$328,"5Y_GEO_GROWTH_DILUTED_EPS","FQ4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42" s="2" t="e">
        <f ca="1">_xll.BDH($C$328,"GEO_GROW_DVD_PER_SH","FQ4 2016","FQ4 2016","Currency=INR","Period=FQ","BEST_FPERIOD_OVERRIDE=FQ","FILING_STATUS=OR","EQY_CONSOLIDATED=Y","Sort=A","Dates=H","DateFormat=P","Fill=—","Direction=H","UseDPDF=Y")</f>
        <v>#NAME?</v>
      </c>
      <c r="AS342" s="2" t="e">
        <f ca="1">_xll.BDH($C$328,"ACCOUNTS_RECEIVABLE_5_YR_GROWTH","FQ4 2016","FQ4 2016","Currency=INR","Period=FQ","BEST_FPERIOD_OVERRIDE=FQ","FILING_STATUS=OR","EQY_CONSOLIDATED=Y","Sort=A","Dates=H","DateFormat=P","Fill=—","Direction=H","UseDPDF=Y")</f>
        <v>#NAME?</v>
      </c>
      <c r="AT342" s="2" t="e">
        <f ca="1">_xll.BDH($C$328,"INVENTORY_5_YEAR_GROWTH","FQ4 2016","FQ4 2016","Currency=INR","Period=FQ","BEST_FPERIOD_OVERRIDE=FQ","FILING_STATUS=OR","EQY_CONSOLIDATED=Y","Sort=A","Dates=H","DateFormat=P","Fill=—","Direction=H","UseDPDF=Y")</f>
        <v>#NAME?</v>
      </c>
      <c r="AU342" s="2" t="e">
        <f ca="1">_xll.BDH($C$328,"NET_FIXED_ASSETS_5_YEAR_GROWTH","FQ4 2016","FQ4 2016","Currency=INR","Period=FQ","BEST_FPERIOD_OVERRIDE=FQ","FILING_STATUS=OR","EQY_CONSOLIDATED=Y","Sort=A","Dates=H","DateFormat=P","Fill=—","Direction=H","UseDPDF=Y")</f>
        <v>#NAME?</v>
      </c>
      <c r="AV342" s="2" t="e">
        <f ca="1">_xll.BDH($C$328,"GEO_GROW_TOT_ASSET","FQ4 2016","FQ4 2016","Currency=INR","Period=FQ","BEST_FPERIOD_OVERRIDE=FQ","FILING_STATUS=OR","EQY_CONSOLIDATED=Y","Sort=A","Dates=H","DateFormat=P","Fill=—","Direction=H","UseDPDF=Y")</f>
        <v>#NAME?</v>
      </c>
      <c r="AW342" s="2" t="e">
        <f ca="1">_xll.BDH($C$328,"MODIFIED_WORKING_CPTL_5YR_GRWTH","FQ4 2016","FQ4 2016","Currency=INR","Period=FQ","BEST_FPERIOD_OVERRIDE=FQ","FILING_STATUS=OR","EQY_CONSOLIDATED=Y","Sort=A","Dates=H","DateFormat=P","Fill=—","Direction=H","UseDPDF=Y")</f>
        <v>#NAME?</v>
      </c>
      <c r="AX342" s="2" t="e">
        <f ca="1">_xll.BDH($C$328,"WORKING_CAPITAL_5_YEAR_GROWTH","FQ4 2016","FQ4 2016","Currency=INR","Period=FQ","BEST_FPERIOD_OVERRIDE=FQ","FILING_STATUS=OR","EQY_CONSOLIDATED=Y","Sort=A","Dates=H","DateFormat=P","Fill=—","Direction=H","UseDPDF=Y")</f>
        <v>#NAME?</v>
      </c>
      <c r="AY342" s="2" t="e">
        <f ca="1">_xll.BDH($C$328,"ACCOUNTS_PAYABLE_5_YEAR_GROWTH","FQ4 2016","FQ4 2016","Currency=INR","Period=FQ","BEST_FPERIOD_OVERRIDE=FQ","FILING_STATUS=OR","EQY_CONSOLIDATED=Y","Sort=A","Dates=H","DateFormat=P","Fill=—","Direction=H","UseDPDF=Y")</f>
        <v>#NAME?</v>
      </c>
      <c r="AZ342" s="2" t="e">
        <f ca="1">_xll.BDH($C$328,"SHORT_TERM_DEBT_5_YEAR_GROWTH","FQ4 2016","FQ4 2016","Currency=INR","Period=FQ","BEST_FPERIOD_OVERRIDE=FQ","FILING_STATUS=OR","EQY_CONSOLIDATED=Y","Sort=A","Dates=H","DateFormat=P","Fill=—","Direction=H","UseDPDF=Y")</f>
        <v>#NAME?</v>
      </c>
      <c r="BA342" s="2" t="e">
        <f ca="1">_xll.BDH($C$328,"TOTAL_DEBT_5_YEAR_GROWTH","FQ4 2016","FQ4 2016","Currency=INR","Period=FQ","BEST_FPERIOD_OVERRIDE=FQ","FILING_STATUS=OR","EQY_CONSOLIDATED=Y","Sort=A","Dates=H","DateFormat=P","Fill=—","Direction=H","UseDPDF=Y")</f>
        <v>#NAME?</v>
      </c>
      <c r="BB342" s="2" t="e">
        <f ca="1">_xll.BDH($C$328,"GEO_GROW_TOT_SHRHLDR_EQY","FQ4 2016","FQ4 2016","Currency=INR","Period=FQ","BEST_FPERIOD_OVERRIDE=FQ","FILING_STATUS=OR","EQY_CONSOLIDATED=Y","Sort=A","Dates=H","DateFormat=P","Fill=—","Direction=H","UseDPDF=Y")</f>
        <v>#NAME?</v>
      </c>
      <c r="BC342" s="2" t="e">
        <f ca="1">_xll.BDH($C$328,"TOTAL_CAPITAL_5_YEAR_GROWTH","FQ4 2016","FQ4 2016","Currency=INR","Period=FQ","BEST_FPERIOD_OVERRIDE=FQ","FILING_STATUS=OR","EQY_CONSOLIDATED=Y","Sort=A","Dates=H","DateFormat=P","Fill=—","Direction=H","UseDPDF=Y")</f>
        <v>#NAME?</v>
      </c>
      <c r="BD342" s="2" t="e">
        <f ca="1">_xll.BDH($C$328,"GEO_GROW_BOOK_VAL","FQ4 2016","FQ4 2016","Currency=INR","Period=FQ","BEST_FPERIOD_OVERRIDE=FQ","FILING_STATUS=OR","EQY_CONSOLIDATED=Y","Sort=A","Dates=H","DateFormat=P","Fill=—","Direction=H","UseDPDF=Y")</f>
        <v>#NAME?</v>
      </c>
      <c r="BE342" s="2" t="e">
        <f ca="1">_xll.BDH($C$328,"GEO_GROW_CASH_OPER_ACT","FQ4 2016","FQ4 2016","Currency=INR","Period=FQ","BEST_FPERIOD_OVERRIDE=FQ","FILING_STATUS=OR","EQY_CONSOLIDATED=Y","Sort=A","Dates=H","DateFormat=P","Fill=—","Direction=H","UseDPDF=Y")</f>
        <v>#NAME?</v>
      </c>
      <c r="BF342" s="2" t="e">
        <f ca="1">_xll.BDH($C$328,"REVENUE_SEQUENTIAL_GROWTH","FQ4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42" s="2" t="e">
        <f ca="1">_xll.BDH($C$328,"EBITDA_SEQUENTIAL_GROWTH","FQ4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42" s="2" t="e">
        <f ca="1">_xll.BDH($C$328,"OPERATING_INCOME_SEQ_GROWTH","FQ4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42" s="2" t="e">
        <f ca="1">_xll.BDH($C$328,"NET_INCOME_TO_COMMON_SEQ_GROWTH","FQ4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42" s="2" t="e">
        <f ca="1">_xll.BDH($C$328,"EPS_DILUTED_SEQUENTIAL_GROWTH","FQ4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42" s="2" t="e">
        <f ca="1">_xll.BDH($C$328,"DPS_SEQUENTIAL_GROWTH","FQ4 2016","FQ4 2016","Currency=INR","Period=FQ","BEST_FPERIOD_OVERRIDE=FQ","FILING_STATUS=OR","EQY_CONSOLIDATED=Y","Sort=A","Dates=H","DateFormat=P","Fill=—","Direction=H","UseDPDF=Y")</f>
        <v>#NAME?</v>
      </c>
      <c r="BL342" s="2" t="e">
        <f ca="1">_xll.BDH($C$328,"ACCOUNTS_RECEIVABLE_SEQ_GROWTH","FQ4 2016","FQ4 2016","Currency=INR","Period=FQ","BEST_FPERIOD_OVERRIDE=FQ","FILING_STATUS=OR","EQY_CONSOLIDATED=Y","Sort=A","Dates=H","DateFormat=P","Fill=—","Direction=H","UseDPDF=Y")</f>
        <v>#NAME?</v>
      </c>
      <c r="BM342" s="2" t="e">
        <f ca="1">_xll.BDH($C$328,"INVENTORY_SEQUENTIAL_GROWTH","FQ4 2016","FQ4 2016","Currency=INR","Period=FQ","BEST_FPERIOD_OVERRIDE=FQ","FILING_STATUS=OR","EQY_CONSOLIDATED=Y","Sort=A","Dates=H","DateFormat=P","Fill=—","Direction=H","UseDPDF=Y")</f>
        <v>#NAME?</v>
      </c>
      <c r="BN342" s="2" t="e">
        <f ca="1">_xll.BDH($C$328,"FIXED_ASSETS_SEQUENTIAL_GROWTH","FQ4 2016","FQ4 2016","Currency=INR","Period=FQ","BEST_FPERIOD_OVERRIDE=FQ","FILING_STATUS=OR","EQY_CONSOLIDATED=Y","Sort=A","Dates=H","DateFormat=P","Fill=—","Direction=H","UseDPDF=Y")</f>
        <v>#NAME?</v>
      </c>
      <c r="BO342" s="2" t="e">
        <f ca="1">_xll.BDH($C$328,"TOTAL_ASSETS_SEQUENTIAL_GROWTH","FQ4 2016","FQ4 2016","Currency=INR","Period=FQ","BEST_FPERIOD_OVERRIDE=FQ","FILING_STATUS=OR","EQY_CONSOLIDATED=Y","Sort=A","Dates=H","DateFormat=P","Fill=—","Direction=H","UseDPDF=Y")</f>
        <v>#NAME?</v>
      </c>
      <c r="BP342" s="2" t="e">
        <f ca="1">_xll.BDH($C$328,"MODIFIED_WORKING_CPTL_SEQ_GRWTH","FQ4 2016","FQ4 2016","Currency=INR","Period=FQ","BEST_FPERIOD_OVERRIDE=FQ","FILING_STATUS=OR","EQY_CONSOLIDATED=Y","Sort=A","Dates=H","DateFormat=P","Fill=—","Direction=H","UseDPDF=Y")</f>
        <v>#NAME?</v>
      </c>
      <c r="BQ342" s="2" t="e">
        <f ca="1">_xll.BDH($C$328,"WORKING_CAPITAL_SEQ_GROWTH","FQ4 2016","FQ4 2016","Currency=INR","Period=FQ","BEST_FPERIOD_OVERRIDE=FQ","FILING_STATUS=OR","EQY_CONSOLIDATED=Y","Sort=A","Dates=H","DateFormat=P","Fill=—","Direction=H","UseDPDF=Y")</f>
        <v>#NAME?</v>
      </c>
      <c r="BR342" s="2" t="e">
        <f ca="1">_xll.BDH($C$328,"ACCOUNTS_PAYABLE_SEQ_GROWTH","FQ4 2016","FQ4 2016","Currency=INR","Period=FQ","BEST_FPERIOD_OVERRIDE=FQ","FILING_STATUS=OR","EQY_CONSOLIDATED=Y","Sort=A","Dates=H","DateFormat=P","Fill=—","Direction=H","UseDPDF=Y")</f>
        <v>#NAME?</v>
      </c>
      <c r="BS342" s="2" t="e">
        <f ca="1">_xll.BDH($C$328,"ST_DEBT_SEQUENTIAL_GROWTH","FQ4 2016","FQ4 2016","Currency=INR","Period=FQ","BEST_FPERIOD_OVERRIDE=FQ","FILING_STATUS=OR","EQY_CONSOLIDATED=Y","Sort=A","Dates=H","DateFormat=P","Fill=—","Direction=H","UseDPDF=Y")</f>
        <v>#NAME?</v>
      </c>
      <c r="BT342" s="2" t="e">
        <f ca="1">_xll.BDH($C$328,"TOTAL_DEBT_SEQUENTIAL_GROWTH","FQ4 2016","FQ4 2016","Currency=INR","Period=FQ","BEST_FPERIOD_OVERRIDE=FQ","FILING_STATUS=OR","EQY_CONSOLIDATED=Y","Sort=A","Dates=H","DateFormat=P","Fill=—","Direction=H","UseDPDF=Y")</f>
        <v>#NAME?</v>
      </c>
      <c r="BU342" s="2" t="e">
        <f ca="1">_xll.BDH($C$328,"TOTAL_EQUITY_SEQUENTIAL_GROWTH","FQ4 2016","FQ4 2016","Currency=INR","Period=FQ","BEST_FPERIOD_OVERRIDE=FQ","FILING_STATUS=OR","EQY_CONSOLIDATED=Y","Sort=A","Dates=H","DateFormat=P","Fill=—","Direction=H","UseDPDF=Y")</f>
        <v>#NAME?</v>
      </c>
      <c r="BV342" s="2" t="e">
        <f ca="1">_xll.BDH($C$328,"TOTAL_CAPITAL_SEQUENTIAL_GROWTH","FQ4 2016","FQ4 2016","Currency=INR","Period=FQ","BEST_FPERIOD_OVERRIDE=FQ","FILING_STATUS=OR","EQY_CONSOLIDATED=Y","Sort=A","Dates=H","DateFormat=P","Fill=—","Direction=H","UseDPDF=Y")</f>
        <v>#NAME?</v>
      </c>
      <c r="BW342" s="2" t="e">
        <f ca="1">_xll.BDH($C$328,"BPS_SEQUENTIAL_GROWTH","FQ4 2016","FQ4 2016","Currency=INR","Period=FQ","BEST_FPERIOD_OVERRIDE=FQ","FILING_STATUS=OR","EQY_CONSOLIDATED=Y","Sort=A","Dates=H","DateFormat=P","Fill=—","Direction=H","UseDPDF=Y")</f>
        <v>#NAME?</v>
      </c>
      <c r="BX342" s="2" t="e">
        <f ca="1">_xll.BDH($C$328,"CFO_SEQUENTIAL_GROWTH","FQ4 2016","FQ4 2016","Currency=INR","Period=FQ","BEST_FPERIOD_OVERRIDE=FQ","FILING_STATUS=OR","EQY_CONSOLIDATED=Y","Sort=A","Dates=H","DateFormat=P","Fill=—","Direction=H","UseDPDF=Y")</f>
        <v>#NAME?</v>
      </c>
      <c r="BY342" s="3" t="e">
        <f ca="1">_xll.BDH($C$328,"SHORT_AND_LONG_TERM_DEBT","FQ4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42" s="3" t="e">
        <f ca="1">_xll.BDH($C$328,"BS_ST_BORROW","FQ4 2016","FQ4 2016","Currency=INR","Period=FQ","BEST_FPERIOD_OVERRIDE=FQ","FILING_STATUS=OR","EQY_CONSOLIDATED=Y","SCALING_FORMAT=MLN","Sort=A","Dates=H","DateFormat=P","Fill=—","Direction=H","UseDPDF=Y")</f>
        <v>#NAME?</v>
      </c>
      <c r="CA342" s="3" t="e">
        <f ca="1">_xll.BDH($C$328,"BS_LT_BORROW","FQ4 2016","FQ4 2016","Currency=INR","Period=FQ","BEST_FPERIOD_OVERRIDE=FQ","FILING_STATUS=OR","EQY_CONSOLIDATED=Y","SCALING_FORMAT=MLN","Sort=A","Dates=H","DateFormat=P","Fill=—","Direction=H","UseDPDF=Y")</f>
        <v>#NAME?</v>
      </c>
      <c r="CB342" s="2" t="e">
        <f ca="1">_xll.BDH($C$328,"TOT_DEBT_TO_EBITDA","FQ4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42" s="2" t="e">
        <f ca="1">_xll.BDH($C$328,"NET_DEBT_TO_EBITDA","FQ4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42" s="2" t="e">
        <f ca="1">_xll.BDH($C$328,"TOTAL_DEBT_TO_EBIT","FQ4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42" s="2" t="e">
        <f ca="1">_xll.BDH($C$328,"NET_DEBT_TO_EBIT","FQ4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42" s="2" t="e">
        <f ca="1">_xll.BDH($C$328,"EBITDA_TO_INTEREST_EXPN","FQ4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42" s="2" t="e">
        <f ca="1">_xll.BDH($C$328,"COM_EQY_TO_TOT_ASSET","FQ4 2016","FQ4 2016","Currency=INR","Period=FQ","BEST_FPERIOD_OVERRIDE=FQ","FILING_STATUS=OR","EQY_CONSOLIDATED=Y","Sort=A","Dates=H","DateFormat=P","Fill=—","Direction=H","UseDPDF=Y")</f>
        <v>#NAME?</v>
      </c>
      <c r="CH342" s="2" t="e">
        <f ca="1">_xll.BDH($C$328,"LT_DEBT_TO_TOT_EQY","FQ4 2016","FQ4 2016","Currency=INR","Period=FQ","BEST_FPERIOD_OVERRIDE=FQ","FILING_STATUS=OR","EQY_CONSOLIDATED=Y","Sort=A","Dates=H","DateFormat=P","Fill=—","Direction=H","UseDPDF=Y")</f>
        <v>#NAME?</v>
      </c>
      <c r="CI342" s="2" t="e">
        <f ca="1">_xll.BDH($C$328,"LT_DEBT_TO_TOT_CAP","FQ4 2016","FQ4 2016","Currency=INR","Period=FQ","BEST_FPERIOD_OVERRIDE=FQ","FILING_STATUS=OR","EQY_CONSOLIDATED=Y","Sort=A","Dates=H","DateFormat=P","Fill=—","Direction=H","UseDPDF=Y")</f>
        <v>#NAME?</v>
      </c>
      <c r="CJ342" s="2" t="e">
        <f ca="1">_xll.BDH($C$328,"LT_DEBT_TO_TOT_ASSET","FQ4 2016","FQ4 2016","Currency=INR","Period=FQ","BEST_FPERIOD_OVERRIDE=FQ","FILING_STATUS=OR","EQY_CONSOLIDATED=Y","Sort=A","Dates=H","DateFormat=P","Fill=—","Direction=H","UseDPDF=Y")</f>
        <v>#NAME?</v>
      </c>
      <c r="CK342" s="2" t="e">
        <f ca="1">_xll.BDH($C$328,"TOT_DEBT_TO_TOT_EQY","FQ4 2016","FQ4 2016","Currency=INR","Period=FQ","BEST_FPERIOD_OVERRIDE=FQ","FILING_STATUS=OR","EQY_CONSOLIDATED=Y","Sort=A","Dates=H","DateFormat=P","Fill=—","Direction=H","UseDPDF=Y")</f>
        <v>#NAME?</v>
      </c>
      <c r="CL342" s="2" t="e">
        <f ca="1">_xll.BDH($C$328,"TOT_DEBT_TO_TOT_CAP","FQ4 2016","FQ4 2016","Currency=INR","Period=FQ","BEST_FPERIOD_OVERRIDE=FQ","FILING_STATUS=OR","EQY_CONSOLIDATED=Y","Sort=A","Dates=H","DateFormat=P","Fill=—","Direction=H","UseDPDF=Y")</f>
        <v>#NAME?</v>
      </c>
      <c r="CM342" s="2" t="e">
        <f ca="1">_xll.BDH($C$328,"TOT_DEBT_TO_TOT_ASSET","FQ4 2016","FQ4 2016","Currency=INR","Period=FQ","BEST_FPERIOD_OVERRIDE=FQ","FILING_STATUS=OR","EQY_CONSOLIDATED=Y","Sort=A","Dates=H","DateFormat=P","Fill=—","Direction=H","UseDPDF=Y")</f>
        <v>#NAME?</v>
      </c>
      <c r="CN342" s="2" t="e">
        <f ca="1">_xll.BDH($C$328,"NET_DEBT_TO_SHRHLDR_EQTY","FQ4 2016","FQ4 2016","Currency=INR","Period=FQ","BEST_FPERIOD_OVERRIDE=FQ","FILING_STATUS=OR","EQY_CONSOLIDATED=Y","Sort=A","Dates=H","DateFormat=P","Fill=—","Direction=H","UseDPDF=Y")</f>
        <v>#NAME?</v>
      </c>
      <c r="CO342" s="2" t="e">
        <f ca="1">_xll.BDH($C$328,"NET_DEBT_%_CAPITAL","FQ4 2016","FQ4 2016","Currency=INR","Period=FQ","BEST_FPERIOD_OVERRIDE=FQ","FILING_STATUS=OR","EQY_CONSOLIDATED=Y","Sort=A","Dates=H","DateFormat=P","Fill=—","Direction=H","UseDPDF=Y")</f>
        <v>#NAME?</v>
      </c>
      <c r="CP342" s="3" t="e">
        <f ca="1">_xll.BDH($C$328,"EBITDA","FQ4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42" s="3" t="e">
        <f ca="1">_xll.BDH($C$328,"EBITDA_AFTER_CAPEX","FQ4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42" s="3" t="e">
        <f ca="1">_xll.BDH($C$328,"IS_OPER_INC","FQ4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42" s="2" t="e">
        <f ca="1">_xll.BDH($C$328,"CASH_RATIO","FQ4 2016","FQ4 2016","Currency=INR","Period=FQ","BEST_FPERIOD_OVERRIDE=FQ","FILING_STATUS=OR","EQY_CONSOLIDATED=Y","Sort=A","Dates=H","DateFormat=P","Fill=—","Direction=H","UseDPDF=Y")</f>
        <v>#NAME?</v>
      </c>
      <c r="CT342" s="2" t="e">
        <f ca="1">_xll.BDH($C$328,"CUR_RATIO","FQ4 2016","FQ4 2016","Currency=INR","Period=FQ","BEST_FPERIOD_OVERRIDE=FQ","FILING_STATUS=OR","EQY_CONSOLIDATED=Y","Sort=A","Dates=H","DateFormat=P","Fill=—","Direction=H","UseDPDF=Y")</f>
        <v>#NAME?</v>
      </c>
      <c r="CU342" s="2" t="e">
        <f ca="1">_xll.BDH($C$328,"QUICK_RATIO","FQ4 2016","FQ4 2016","Currency=INR","Period=FQ","BEST_FPERIOD_OVERRIDE=FQ","FILING_STATUS=OR","EQY_CONSOLIDATED=Y","Sort=A","Dates=H","DateFormat=P","Fill=—","Direction=H","UseDPDF=Y")</f>
        <v>#NAME?</v>
      </c>
      <c r="CV342" s="2" t="e">
        <f ca="1">_xll.BDH($C$328,"ALTMAN_Z_SCORE","FQ4 2016","FQ4 2016","Currency=INR","Period=FQ","BEST_FPERIOD_OVERRIDE=FQ","FILING_STATUS=OR","EQY_CONSOLIDATED=Y","Sort=A","Dates=H","DateFormat=P","Fill=—","Direction=H","UseDPDF=Y")</f>
        <v>#NAME?</v>
      </c>
      <c r="CW342" s="4" t="e">
        <f ca="1">_xll.BDH($C$328,"ACCT_RCV_TURN","FQ4 2016","FQ4 2016","Currency=INR","Period=FQ","BEST_FPERIOD_OVERRIDE=FQ","FILING_STATUS=OR","EQY_CONSOLIDATED=Y","FA_ADJUSTED=GAAP","Sort=A","Dates=H","DateFormat=P","Fill=—","Direction=H","UseDPDF=Y")</f>
        <v>#NAME?</v>
      </c>
      <c r="CX342" s="2" t="e">
        <f ca="1">_xll.BDH($C$328,"ACCT_RCV_DAYS","FQ4 2016","FQ4 2016","Currency=INR","Period=FQ","BEST_FPERIOD_OVERRIDE=FQ","FILING_STATUS=OR","EQY_CONSOLIDATED=Y","FA_ADJUSTED=GAAP","Sort=A","Dates=H","DateFormat=P","Fill=—","Direction=H","UseDPDF=Y")</f>
        <v>#NAME?</v>
      </c>
      <c r="CY342" s="4" t="e">
        <f ca="1">_xll.BDH($C$328,"INVENT_TURN","FQ4 2016","FQ4 2016","Currency=INR","Period=FQ","BEST_FPERIOD_OVERRIDE=FQ","FILING_STATUS=OR","EQY_CONSOLIDATED=Y","FA_ADJUSTED=GAAP","Sort=A","Dates=H","DateFormat=P","Fill=—","Direction=H","UseDPDF=Y")</f>
        <v>#NAME?</v>
      </c>
      <c r="CZ342" s="2" t="e">
        <f ca="1">_xll.BDH($C$328,"INVENT_DAYS","FQ4 2016","FQ4 2016","Currency=INR","Period=FQ","BEST_FPERIOD_OVERRIDE=FQ","FILING_STATUS=OR","EQY_CONSOLIDATED=Y","FA_ADJUSTED=GAAP","Sort=A","Dates=H","DateFormat=P","Fill=—","Direction=H","UseDPDF=Y")</f>
        <v>#NAME?</v>
      </c>
      <c r="DA342" s="4" t="e">
        <f ca="1">_xll.BDH($C$328,"ACCOUNTS_PAYABLE_TURNOVER","FQ4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42" s="2" t="e">
        <f ca="1">_xll.BDH($C$328,"ACCOUNTS_PAYABLE_TURNOVER_DAYS","FQ4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42" s="4" t="e">
        <f ca="1">_xll.BDH($C$328,"CASH_CONVERSION_CYCLE","FQ4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42" s="4" t="e">
        <f ca="1">_xll.BDH($C$328,"INV_TO_CASH_DAYS","FQ4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42" s="5" t="e">
        <f ca="1">_xll.BDH($C$328,"BS_INVENTORIES","FQ4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42" s="3" t="e">
        <f ca="1">_xll.BDH($C$328,"INVTRY_RAW_MATERIALS","FQ4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42" s="3" t="e">
        <f ca="1">_xll.BDH($C$328,"INVTRY_IN_PROGRESS","FQ4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42" s="3" t="e">
        <f ca="1">_xll.BDH($C$328,"INVTRY_FINISHED_GOODS","FQ4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42" s="3" t="e">
        <f ca="1">_xll.BDH($C$328,"BS_OTHER_INV","FQ4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43" spans="1:113" x14ac:dyDescent="0.3">
      <c r="A343" s="6"/>
      <c r="B343" s="6"/>
      <c r="C343" s="6"/>
      <c r="D343" s="6" t="s">
        <v>84</v>
      </c>
      <c r="E343" t="s">
        <v>77</v>
      </c>
      <c r="F343" t="e">
        <f ca="1">_xll.BDH($C$328,"RETURN_COM_EQY","FY 2017","FY 2017","Currency=INR","Period=FY","BEST_FPERIOD_OVERRIDE=FY","FILING_STATUS=OR","EQY_CONSOLIDATED=Y","FA_ADJUSTED=GAAP","Sort=A","Dates=H","DateFormat=P","Fill=—","Direction=H","UseDPDF=Y")</f>
        <v>#NAME?</v>
      </c>
      <c r="G343" t="e">
        <f ca="1">_xll.BDH($C$328,"RETURN_ON_ASSET","FY 2017","FY 2017","Currency=INR","Period=FY","BEST_FPERIOD_OVERRIDE=FY","FILING_STATUS=OR","EQY_CONSOLIDATED=Y","FA_ADJUSTED=GAAP","Sort=A","Dates=H","DateFormat=P","Fill=—","Direction=H","UseDPDF=Y")</f>
        <v>#NAME?</v>
      </c>
      <c r="H343" t="e">
        <f ca="1">_xll.BDH($C$328,"RETURN_ON_CAP","FY 2017","FY 2017","Currency=INR","Period=FY","BEST_FPERIOD_OVERRIDE=FY","FILING_STATUS=OR","EQY_CONSOLIDATED=Y","FA_ADJUSTED=GAAP","Sort=A","Dates=H","DateFormat=P","Fill=—","Direction=H","UseDPDF=Y")</f>
        <v>#NAME?</v>
      </c>
      <c r="I343" t="e">
        <f ca="1">_xll.BDH($C$328,"RETURN_ON_INV_CAPITAL","FY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43" t="e">
        <f ca="1">_xll.BDH($C$328,"EBITDA_TO_REVENUE","FY 2017","FY 2017","Currency=INR","Period=FY","BEST_FPERIOD_OVERRIDE=FY","FILING_STATUS=OR","EQY_CONSOLIDATED=Y","FA_ADJUSTED=GAAP","Sort=A","Dates=H","DateFormat=P","Fill=—","Direction=H","UseDPDF=Y")</f>
        <v>#NAME?</v>
      </c>
      <c r="K343" t="e">
        <f ca="1">_xll.BDH($C$328,"OPER_MARGIN","FY 2017","FY 2017","Currency=INR","Period=FY","BEST_FPERIOD_OVERRIDE=FY","FILING_STATUS=OR","EQY_CONSOLIDATED=Y","FA_ADJUSTED=GAAP","Sort=A","Dates=H","DateFormat=P","Fill=—","Direction=H","UseDPDF=Y")</f>
        <v>#NAME?</v>
      </c>
      <c r="L343" t="e">
        <f ca="1">_xll.BDH($C$328,"INCREMENTAL_OPERATING_MARGIN","FY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43" t="e">
        <f ca="1">_xll.BDH($C$328,"PRETAX_INC_TO_NET_SALES","FY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43" t="e">
        <f ca="1">_xll.BDH($C$328,"INC_BEF_XO_ITEMS_TO_NET_SALES","FY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43" t="e">
        <f ca="1">_xll.BDH($C$328,"PROF_MARGIN","FY 2017","FY 2017","Currency=INR","Period=FY","BEST_FPERIOD_OVERRIDE=FY","FILING_STATUS=OR","EQY_CONSOLIDATED=Y","FA_ADJUSTED=GAAP","Sort=A","Dates=H","DateFormat=P","Fill=—","Direction=H","UseDPDF=Y")</f>
        <v>#NAME?</v>
      </c>
      <c r="P343" t="e">
        <f ca="1">_xll.BDH($C$328,"NET_INCOME_TO_COMMON_MARGIN","FY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43" t="e">
        <f ca="1">_xll.BDH($C$328,"EFF_TAX_RATE","FY 2017","FY 2017","Currency=INR","Period=FY","BEST_FPERIOD_OVERRIDE=FY","FILING_STATUS=OR","EQY_CONSOLIDATED=Y","FA_ADJUSTED=GAAP","Sort=A","Dates=H","DateFormat=P","Fill=—","Direction=H","UseDPDF=Y")</f>
        <v>#NAME?</v>
      </c>
      <c r="R343" t="e">
        <f ca="1">_xll.BDH($C$328,"DVD_PAYOUT_RATIO","FY 2017","FY 2017","Currency=INR","Period=FY","BEST_FPERIOD_OVERRIDE=FY","FILING_STATUS=OR","EQY_CONSOLIDATED=Y","FA_ADJUSTED=GAAP","Sort=A","Dates=H","DateFormat=P","Fill=—","Direction=H","UseDPDF=Y")</f>
        <v>#NAME?</v>
      </c>
      <c r="S343" t="e">
        <f ca="1">_xll.BDH($C$328,"SUSTAIN_GROWTH_RT","FY 2017","FY 2017","Currency=INR","Period=FY","BEST_FPERIOD_OVERRIDE=FY","FILING_STATUS=OR","EQY_CONSOLIDATED=Y","FA_ADJUSTED=GAAP","Sort=A","Dates=H","DateFormat=P","Fill=—","Direction=H","UseDPDF=Y")</f>
        <v>#NAME?</v>
      </c>
      <c r="T343" s="2" t="e">
        <f ca="1">_xll.BDH($C$328,"SALES_GROWTH","FY 2017","FY 2017","Currency=INR","Period=FY","BEST_FPERIOD_OVERRIDE=FY","FILING_STATUS=OR","EQY_CONSOLIDATED=Y","FA_ADJUSTED=GAAP","Sort=A","Dates=H","DateFormat=P","Fill=—","Direction=H","UseDPDF=Y")</f>
        <v>#NAME?</v>
      </c>
      <c r="U343" s="2" t="e">
        <f ca="1">_xll.BDH($C$328,"EBITDA_GROWTH","FY 2017","FY 2017","Currency=INR","Period=FY","BEST_FPERIOD_OVERRIDE=FY","FILING_STATUS=OR","EQY_CONSOLIDATED=Y","FA_ADJUSTED=GAAP","Sort=A","Dates=H","DateFormat=P","Fill=—","Direction=H","UseDPDF=Y")</f>
        <v>#NAME?</v>
      </c>
      <c r="V343" s="2" t="e">
        <f ca="1">_xll.BDH($C$328,"OPER_INC_GROWTH","FY 2017","FY 2017","Currency=INR","Period=FY","BEST_FPERIOD_OVERRIDE=FY","FILING_STATUS=OR","EQY_CONSOLIDATED=Y","FA_ADJUSTED=GAAP","Sort=A","Dates=H","DateFormat=P","Fill=—","Direction=H","UseDPDF=Y")</f>
        <v>#NAME?</v>
      </c>
      <c r="W343" s="2" t="e">
        <f ca="1">_xll.BDH($C$328,"EARN_FOR_COM_GROWTH","FY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43" s="2" t="e">
        <f ca="1">_xll.BDH($C$328,"DILUTED_EPS_AFT_XO_ITEMS_GROWTH","FY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43" s="2" t="e">
        <f ca="1">_xll.BDH($C$328,"DIVIDEND_PER_SHARE_1_YEAR_GROWTH","FY 2017","FY 2017","Currency=INR","Period=FY","BEST_FPERIOD_OVERRIDE=FY","FILING_STATUS=OR","EQY_CONSOLIDATED=Y","Sort=A","Dates=H","DateFormat=P","Fill=—","Direction=H","UseDPDF=Y")</f>
        <v>#NAME?</v>
      </c>
      <c r="Z343" s="2" t="e">
        <f ca="1">_xll.BDH($C$328,"ACCOUNTS_RECEIVABLE_GROWTH","FY 2017","FY 2017","Currency=INR","Period=FY","BEST_FPERIOD_OVERRIDE=FY","FILING_STATUS=OR","EQY_CONSOLIDATED=Y","Sort=A","Dates=H","DateFormat=P","Fill=—","Direction=H","UseDPDF=Y")</f>
        <v>#NAME?</v>
      </c>
      <c r="AA343" s="2" t="e">
        <f ca="1">_xll.BDH($C$328,"INVENTORY_GROWTH","FY 2017","FY 2017","Currency=INR","Period=FY","BEST_FPERIOD_OVERRIDE=FY","FILING_STATUS=OR","EQY_CONSOLIDATED=Y","Sort=A","Dates=H","DateFormat=P","Fill=—","Direction=H","UseDPDF=Y")</f>
        <v>#NAME?</v>
      </c>
      <c r="AB343" s="2" t="e">
        <f ca="1">_xll.BDH($C$328,"NET_FIXED_ASSETS_1_YEAR_GROWTH","FY 2017","FY 2017","Currency=INR","Period=FY","BEST_FPERIOD_OVERRIDE=FY","FILING_STATUS=OR","EQY_CONSOLIDATED=Y","Sort=A","Dates=H","DateFormat=P","Fill=—","Direction=H","UseDPDF=Y")</f>
        <v>#NAME?</v>
      </c>
      <c r="AC343" s="2" t="e">
        <f ca="1">_xll.BDH($C$328,"ASSET_GROWTH","FY 2017","FY 2017","Currency=INR","Period=FY","BEST_FPERIOD_OVERRIDE=FY","FILING_STATUS=OR","EQY_CONSOLIDATED=Y","Sort=A","Dates=H","DateFormat=P","Fill=—","Direction=H","UseDPDF=Y")</f>
        <v>#NAME?</v>
      </c>
      <c r="AD343" s="2" t="e">
        <f ca="1">_xll.BDH($C$328,"MODIFIED_WORK_CAP_GROWTH","FY 2017","FY 2017","Currency=INR","Period=FY","BEST_FPERIOD_OVERRIDE=FY","FILING_STATUS=OR","EQY_CONSOLIDATED=Y","Sort=A","Dates=H","DateFormat=P","Fill=—","Direction=H","UseDPDF=Y")</f>
        <v>#NAME?</v>
      </c>
      <c r="AE343" s="2" t="e">
        <f ca="1">_xll.BDH($C$328,"WORK_CAP_GROWTH","FY 2017","FY 2017","Currency=INR","Period=FY","BEST_FPERIOD_OVERRIDE=FY","FILING_STATUS=OR","EQY_CONSOLIDATED=Y","Sort=A","Dates=H","DateFormat=P","Fill=—","Direction=H","UseDPDF=Y")</f>
        <v>#NAME?</v>
      </c>
      <c r="AF343" s="2" t="e">
        <f ca="1">_xll.BDH($C$328,"ACCOUNTS_PAYABLE_GROWTH_1YR","FY 2017","FY 2017","Currency=INR","Period=FY","BEST_FPERIOD_OVERRIDE=FY","FILING_STATUS=OR","EQY_CONSOLIDATED=Y","Sort=A","Dates=H","DateFormat=P","Fill=—","Direction=H","UseDPDF=Y")</f>
        <v>#NAME?</v>
      </c>
      <c r="AG343" s="2" t="e">
        <f ca="1">_xll.BDH($C$328,"SHORT_TERM_DEBT_1_YEAR_GROWTH","FY 2017","FY 2017","Currency=INR","Period=FY","BEST_FPERIOD_OVERRIDE=FY","FILING_STATUS=OR","EQY_CONSOLIDATED=Y","Sort=A","Dates=H","DateFormat=P","Fill=—","Direction=H","UseDPDF=Y")</f>
        <v>#NAME?</v>
      </c>
      <c r="AH343" s="2" t="e">
        <f ca="1">_xll.BDH($C$328,"TOTAL_DEBT_1_YEAR_GROWTH","FY 2017","FY 2017","Currency=INR","Period=FY","BEST_FPERIOD_OVERRIDE=FY","FILING_STATUS=OR","EQY_CONSOLIDATED=Y","Sort=A","Dates=H","DateFormat=P","Fill=—","Direction=H","UseDPDF=Y")</f>
        <v>#NAME?</v>
      </c>
      <c r="AI343" s="2" t="e">
        <f ca="1">_xll.BDH($C$328,"TOTAL_EQUITY_1_YEAR_GROWTH","FY 2017","FY 2017","Currency=INR","Period=FY","BEST_FPERIOD_OVERRIDE=FY","FILING_STATUS=OR","EQY_CONSOLIDATED=Y","Sort=A","Dates=H","DateFormat=P","Fill=—","Direction=H","UseDPDF=Y")</f>
        <v>#NAME?</v>
      </c>
      <c r="AJ343" s="2" t="e">
        <f ca="1">_xll.BDH($C$328,"GROWTH_IN_CAP","FY 2017","FY 2017","Currency=INR","Period=FY","BEST_FPERIOD_OVERRIDE=FY","FILING_STATUS=OR","EQY_CONSOLIDATED=Y","Sort=A","Dates=H","DateFormat=P","Fill=—","Direction=H","UseDPDF=Y")</f>
        <v>#NAME?</v>
      </c>
      <c r="AK343" s="2" t="e">
        <f ca="1">_xll.BDH($C$328,"BVPS_GROWTH","FY 2017","FY 2017","Currency=INR","Period=FY","BEST_FPERIOD_OVERRIDE=FY","FILING_STATUS=OR","EQY_CONSOLIDATED=Y","Sort=A","Dates=H","DateFormat=P","Fill=—","Direction=H","UseDPDF=Y")</f>
        <v>#NAME?</v>
      </c>
      <c r="AL343" s="2" t="e">
        <f ca="1">_xll.BDH($C$328,"CASH_FLOW_GROWTH","FY 2017","FY 2017","Currency=INR","Period=FY","BEST_FPERIOD_OVERRIDE=FY","FILING_STATUS=OR","EQY_CONSOLIDATED=Y","Sort=A","Dates=H","DateFormat=P","Fill=—","Direction=H","UseDPDF=Y")</f>
        <v>#NAME?</v>
      </c>
      <c r="AM343" s="2" t="e">
        <f ca="1">_xll.BDH($C$328,"GEO_GROW_NET_SALES","FY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43" s="2" t="e">
        <f ca="1">_xll.BDH($C$328,"GEO_GROW_EBITDA","FY 2017","FY 2017","Currency=INR","Period=FY","BEST_FPERIOD_OVERRIDE=FY","FILING_STATUS=OR","EQY_CONSOLIDATED=Y","FA_ADJUSTED=GAAP","Sort=A","Dates=H","DateFormat=P","Fill=—","Direction=H","UseDPDF=Y")</f>
        <v>#NAME?</v>
      </c>
      <c r="AO343" s="2" t="e">
        <f ca="1">_xll.BDH($C$328,"GEO_GROW_OPER_INC","FY 2017","FY 2017","Currency=INR","Period=FY","BEST_FPERIOD_OVERRIDE=FY","FILING_STATUS=OR","EQY_CONSOLIDATED=Y","FA_ADJUSTED=GAAP","Sort=A","Dates=H","DateFormat=P","Fill=—","Direction=H","UseDPDF=Y")</f>
        <v>#NAME?</v>
      </c>
      <c r="AP343" s="2" t="e">
        <f ca="1">_xll.BDH($C$328,"NET_INCOME_TO_COMMON_5_YR_GROWTH","FY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43" s="2" t="e">
        <f ca="1">_xll.BDH($C$328,"5Y_GEO_GROWTH_DILUTED_EPS","FY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43" s="2" t="e">
        <f ca="1">_xll.BDH($C$328,"GEO_GROW_DVD_PER_SH","FY 2017","FY 2017","Currency=INR","Period=FY","BEST_FPERIOD_OVERRIDE=FY","FILING_STATUS=OR","EQY_CONSOLIDATED=Y","Sort=A","Dates=H","DateFormat=P","Fill=—","Direction=H","UseDPDF=Y")</f>
        <v>#NAME?</v>
      </c>
      <c r="AS343" s="2" t="e">
        <f ca="1">_xll.BDH($C$328,"ACCOUNTS_RECEIVABLE_5_YR_GROWTH","FY 2017","FY 2017","Currency=INR","Period=FY","BEST_FPERIOD_OVERRIDE=FY","FILING_STATUS=OR","EQY_CONSOLIDATED=Y","Sort=A","Dates=H","DateFormat=P","Fill=—","Direction=H","UseDPDF=Y")</f>
        <v>#NAME?</v>
      </c>
      <c r="AT343" s="2" t="e">
        <f ca="1">_xll.BDH($C$328,"INVENTORY_5_YEAR_GROWTH","FY 2017","FY 2017","Currency=INR","Period=FY","BEST_FPERIOD_OVERRIDE=FY","FILING_STATUS=OR","EQY_CONSOLIDATED=Y","Sort=A","Dates=H","DateFormat=P","Fill=—","Direction=H","UseDPDF=Y")</f>
        <v>#NAME?</v>
      </c>
      <c r="AU343" s="2" t="e">
        <f ca="1">_xll.BDH($C$328,"NET_FIXED_ASSETS_5_YEAR_GROWTH","FY 2017","FY 2017","Currency=INR","Period=FY","BEST_FPERIOD_OVERRIDE=FY","FILING_STATUS=OR","EQY_CONSOLIDATED=Y","Sort=A","Dates=H","DateFormat=P","Fill=—","Direction=H","UseDPDF=Y")</f>
        <v>#NAME?</v>
      </c>
      <c r="AV343" s="2" t="e">
        <f ca="1">_xll.BDH($C$328,"GEO_GROW_TOT_ASSET","FY 2017","FY 2017","Currency=INR","Period=FY","BEST_FPERIOD_OVERRIDE=FY","FILING_STATUS=OR","EQY_CONSOLIDATED=Y","Sort=A","Dates=H","DateFormat=P","Fill=—","Direction=H","UseDPDF=Y")</f>
        <v>#NAME?</v>
      </c>
      <c r="AW343" s="2" t="e">
        <f ca="1">_xll.BDH($C$328,"MODIFIED_WORKING_CPTL_5YR_GRWTH","FY 2017","FY 2017","Currency=INR","Period=FY","BEST_FPERIOD_OVERRIDE=FY","FILING_STATUS=OR","EQY_CONSOLIDATED=Y","Sort=A","Dates=H","DateFormat=P","Fill=—","Direction=H","UseDPDF=Y")</f>
        <v>#NAME?</v>
      </c>
      <c r="AX343" s="2" t="e">
        <f ca="1">_xll.BDH($C$328,"WORKING_CAPITAL_5_YEAR_GROWTH","FY 2017","FY 2017","Currency=INR","Period=FY","BEST_FPERIOD_OVERRIDE=FY","FILING_STATUS=OR","EQY_CONSOLIDATED=Y","Sort=A","Dates=H","DateFormat=P","Fill=—","Direction=H","UseDPDF=Y")</f>
        <v>#NAME?</v>
      </c>
      <c r="AY343" s="2" t="e">
        <f ca="1">_xll.BDH($C$328,"ACCOUNTS_PAYABLE_5_YEAR_GROWTH","FY 2017","FY 2017","Currency=INR","Period=FY","BEST_FPERIOD_OVERRIDE=FY","FILING_STATUS=OR","EQY_CONSOLIDATED=Y","Sort=A","Dates=H","DateFormat=P","Fill=—","Direction=H","UseDPDF=Y")</f>
        <v>#NAME?</v>
      </c>
      <c r="AZ343" s="2" t="e">
        <f ca="1">_xll.BDH($C$328,"SHORT_TERM_DEBT_5_YEAR_GROWTH","FY 2017","FY 2017","Currency=INR","Period=FY","BEST_FPERIOD_OVERRIDE=FY","FILING_STATUS=OR","EQY_CONSOLIDATED=Y","Sort=A","Dates=H","DateFormat=P","Fill=—","Direction=H","UseDPDF=Y")</f>
        <v>#NAME?</v>
      </c>
      <c r="BA343" s="2" t="e">
        <f ca="1">_xll.BDH($C$328,"TOTAL_DEBT_5_YEAR_GROWTH","FY 2017","FY 2017","Currency=INR","Period=FY","BEST_FPERIOD_OVERRIDE=FY","FILING_STATUS=OR","EQY_CONSOLIDATED=Y","Sort=A","Dates=H","DateFormat=P","Fill=—","Direction=H","UseDPDF=Y")</f>
        <v>#NAME?</v>
      </c>
      <c r="BB343" s="2" t="e">
        <f ca="1">_xll.BDH($C$328,"GEO_GROW_TOT_SHRHLDR_EQY","FY 2017","FY 2017","Currency=INR","Period=FY","BEST_FPERIOD_OVERRIDE=FY","FILING_STATUS=OR","EQY_CONSOLIDATED=Y","Sort=A","Dates=H","DateFormat=P","Fill=—","Direction=H","UseDPDF=Y")</f>
        <v>#NAME?</v>
      </c>
      <c r="BC343" s="2" t="e">
        <f ca="1">_xll.BDH($C$328,"TOTAL_CAPITAL_5_YEAR_GROWTH","FY 2017","FY 2017","Currency=INR","Period=FY","BEST_FPERIOD_OVERRIDE=FY","FILING_STATUS=OR","EQY_CONSOLIDATED=Y","Sort=A","Dates=H","DateFormat=P","Fill=—","Direction=H","UseDPDF=Y")</f>
        <v>#NAME?</v>
      </c>
      <c r="BD343" s="2" t="e">
        <f ca="1">_xll.BDH($C$328,"GEO_GROW_BOOK_VAL","FY 2017","FY 2017","Currency=INR","Period=FY","BEST_FPERIOD_OVERRIDE=FY","FILING_STATUS=OR","EQY_CONSOLIDATED=Y","Sort=A","Dates=H","DateFormat=P","Fill=—","Direction=H","UseDPDF=Y")</f>
        <v>#NAME?</v>
      </c>
      <c r="BE343" s="2" t="e">
        <f ca="1">_xll.BDH($C$328,"GEO_GROW_CASH_OPER_ACT","FY 2017","FY 2017","Currency=INR","Period=FY","BEST_FPERIOD_OVERRIDE=FY","FILING_STATUS=OR","EQY_CONSOLIDATED=Y","Sort=A","Dates=H","DateFormat=P","Fill=—","Direction=H","UseDPDF=Y")</f>
        <v>#NAME?</v>
      </c>
      <c r="BF343" s="2" t="e">
        <f ca="1">_xll.BDH($C$328,"REVENUE_SEQUENTIAL_GROWTH","FY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43" s="2" t="e">
        <f ca="1">_xll.BDH($C$328,"EBITDA_SEQUENTIAL_GROWTH","FY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43" s="2" t="e">
        <f ca="1">_xll.BDH($C$328,"OPERATING_INCOME_SEQ_GROWTH","FY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43" s="2" t="e">
        <f ca="1">_xll.BDH($C$328,"NET_INCOME_TO_COMMON_SEQ_GROWTH","FY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43" s="2" t="e">
        <f ca="1">_xll.BDH($C$328,"EPS_DILUTED_SEQUENTIAL_GROWTH","FY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43" s="2" t="e">
        <f ca="1">_xll.BDH($C$328,"DPS_SEQUENTIAL_GROWTH","FY 2017","FY 2017","Currency=INR","Period=FY","BEST_FPERIOD_OVERRIDE=FY","FILING_STATUS=OR","EQY_CONSOLIDATED=Y","Sort=A","Dates=H","DateFormat=P","Fill=—","Direction=H","UseDPDF=Y")</f>
        <v>#NAME?</v>
      </c>
      <c r="BL343" s="2" t="e">
        <f ca="1">_xll.BDH($C$328,"ACCOUNTS_RECEIVABLE_SEQ_GROWTH","FY 2017","FY 2017","Currency=INR","Period=FY","BEST_FPERIOD_OVERRIDE=FY","FILING_STATUS=OR","EQY_CONSOLIDATED=Y","Sort=A","Dates=H","DateFormat=P","Fill=—","Direction=H","UseDPDF=Y")</f>
        <v>#NAME?</v>
      </c>
      <c r="BM343" s="2" t="e">
        <f ca="1">_xll.BDH($C$328,"INVENTORY_SEQUENTIAL_GROWTH","FY 2017","FY 2017","Currency=INR","Period=FY","BEST_FPERIOD_OVERRIDE=FY","FILING_STATUS=OR","EQY_CONSOLIDATED=Y","Sort=A","Dates=H","DateFormat=P","Fill=—","Direction=H","UseDPDF=Y")</f>
        <v>#NAME?</v>
      </c>
      <c r="BN343" s="2" t="e">
        <f ca="1">_xll.BDH($C$328,"FIXED_ASSETS_SEQUENTIAL_GROWTH","FY 2017","FY 2017","Currency=INR","Period=FY","BEST_FPERIOD_OVERRIDE=FY","FILING_STATUS=OR","EQY_CONSOLIDATED=Y","Sort=A","Dates=H","DateFormat=P","Fill=—","Direction=H","UseDPDF=Y")</f>
        <v>#NAME?</v>
      </c>
      <c r="BO343" s="2" t="e">
        <f ca="1">_xll.BDH($C$328,"TOTAL_ASSETS_SEQUENTIAL_GROWTH","FY 2017","FY 2017","Currency=INR","Period=FY","BEST_FPERIOD_OVERRIDE=FY","FILING_STATUS=OR","EQY_CONSOLIDATED=Y","Sort=A","Dates=H","DateFormat=P","Fill=—","Direction=H","UseDPDF=Y")</f>
        <v>#NAME?</v>
      </c>
      <c r="BP343" s="2" t="e">
        <f ca="1">_xll.BDH($C$328,"MODIFIED_WORKING_CPTL_SEQ_GRWTH","FY 2017","FY 2017","Currency=INR","Period=FY","BEST_FPERIOD_OVERRIDE=FY","FILING_STATUS=OR","EQY_CONSOLIDATED=Y","Sort=A","Dates=H","DateFormat=P","Fill=—","Direction=H","UseDPDF=Y")</f>
        <v>#NAME?</v>
      </c>
      <c r="BQ343" s="2" t="e">
        <f ca="1">_xll.BDH($C$328,"WORKING_CAPITAL_SEQ_GROWTH","FY 2017","FY 2017","Currency=INR","Period=FY","BEST_FPERIOD_OVERRIDE=FY","FILING_STATUS=OR","EQY_CONSOLIDATED=Y","Sort=A","Dates=H","DateFormat=P","Fill=—","Direction=H","UseDPDF=Y")</f>
        <v>#NAME?</v>
      </c>
      <c r="BR343" s="2" t="e">
        <f ca="1">_xll.BDH($C$328,"ACCOUNTS_PAYABLE_SEQ_GROWTH","FY 2017","FY 2017","Currency=INR","Period=FY","BEST_FPERIOD_OVERRIDE=FY","FILING_STATUS=OR","EQY_CONSOLIDATED=Y","Sort=A","Dates=H","DateFormat=P","Fill=—","Direction=H","UseDPDF=Y")</f>
        <v>#NAME?</v>
      </c>
      <c r="BS343" s="2" t="e">
        <f ca="1">_xll.BDH($C$328,"ST_DEBT_SEQUENTIAL_GROWTH","FY 2017","FY 2017","Currency=INR","Period=FY","BEST_FPERIOD_OVERRIDE=FY","FILING_STATUS=OR","EQY_CONSOLIDATED=Y","Sort=A","Dates=H","DateFormat=P","Fill=—","Direction=H","UseDPDF=Y")</f>
        <v>#NAME?</v>
      </c>
      <c r="BT343" s="2" t="e">
        <f ca="1">_xll.BDH($C$328,"TOTAL_DEBT_SEQUENTIAL_GROWTH","FY 2017","FY 2017","Currency=INR","Period=FY","BEST_FPERIOD_OVERRIDE=FY","FILING_STATUS=OR","EQY_CONSOLIDATED=Y","Sort=A","Dates=H","DateFormat=P","Fill=—","Direction=H","UseDPDF=Y")</f>
        <v>#NAME?</v>
      </c>
      <c r="BU343" s="2" t="e">
        <f ca="1">_xll.BDH($C$328,"TOTAL_EQUITY_SEQUENTIAL_GROWTH","FY 2017","FY 2017","Currency=INR","Period=FY","BEST_FPERIOD_OVERRIDE=FY","FILING_STATUS=OR","EQY_CONSOLIDATED=Y","Sort=A","Dates=H","DateFormat=P","Fill=—","Direction=H","UseDPDF=Y")</f>
        <v>#NAME?</v>
      </c>
      <c r="BV343" s="2" t="e">
        <f ca="1">_xll.BDH($C$328,"TOTAL_CAPITAL_SEQUENTIAL_GROWTH","FY 2017","FY 2017","Currency=INR","Period=FY","BEST_FPERIOD_OVERRIDE=FY","FILING_STATUS=OR","EQY_CONSOLIDATED=Y","Sort=A","Dates=H","DateFormat=P","Fill=—","Direction=H","UseDPDF=Y")</f>
        <v>#NAME?</v>
      </c>
      <c r="BW343" s="2" t="e">
        <f ca="1">_xll.BDH($C$328,"BPS_SEQUENTIAL_GROWTH","FY 2017","FY 2017","Currency=INR","Period=FY","BEST_FPERIOD_OVERRIDE=FY","FILING_STATUS=OR","EQY_CONSOLIDATED=Y","Sort=A","Dates=H","DateFormat=P","Fill=—","Direction=H","UseDPDF=Y")</f>
        <v>#NAME?</v>
      </c>
      <c r="BX343" s="2" t="e">
        <f ca="1">_xll.BDH($C$328,"CFO_SEQUENTIAL_GROWTH","FY 2017","FY 2017","Currency=INR","Period=FY","BEST_FPERIOD_OVERRIDE=FY","FILING_STATUS=OR","EQY_CONSOLIDATED=Y","Sort=A","Dates=H","DateFormat=P","Fill=—","Direction=H","UseDPDF=Y")</f>
        <v>#NAME?</v>
      </c>
      <c r="BY343" s="3" t="e">
        <f ca="1">_xll.BDH($C$328,"SHORT_AND_LONG_TERM_DEBT","FY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43" s="3" t="e">
        <f ca="1">_xll.BDH($C$328,"BS_ST_BORROW","FY 2017","FY 2017","Currency=INR","Period=FY","BEST_FPERIOD_OVERRIDE=FY","FILING_STATUS=OR","EQY_CONSOLIDATED=Y","SCALING_FORMAT=MLN","Sort=A","Dates=H","DateFormat=P","Fill=—","Direction=H","UseDPDF=Y")</f>
        <v>#NAME?</v>
      </c>
      <c r="CA343" s="3" t="e">
        <f ca="1">_xll.BDH($C$328,"BS_LT_BORROW","FY 2017","FY 2017","Currency=INR","Period=FY","BEST_FPERIOD_OVERRIDE=FY","FILING_STATUS=OR","EQY_CONSOLIDATED=Y","SCALING_FORMAT=MLN","Sort=A","Dates=H","DateFormat=P","Fill=—","Direction=H","UseDPDF=Y")</f>
        <v>#NAME?</v>
      </c>
      <c r="CB343" s="2" t="e">
        <f ca="1">_xll.BDH($C$328,"TOT_DEBT_TO_EBITDA","FY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43" s="2" t="e">
        <f ca="1">_xll.BDH($C$328,"NET_DEBT_TO_EBITDA","FY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43" s="2" t="e">
        <f ca="1">_xll.BDH($C$328,"TOTAL_DEBT_TO_EBIT","FY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43" s="2" t="e">
        <f ca="1">_xll.BDH($C$328,"NET_DEBT_TO_EBIT","FY 2017","FY 2017","Currency=INR","Period=FY","BEST_FPERIOD_OVERRIDE=FY","FILING_STATUS=OR","EQY_CONSOLIDATED=Y","FA_ADJUSTED=GAAP","Sort=A","Dates=H","DateFormat=P","Fill=—","Direction=H","UseDPDF=Y")</f>
        <v>#NAME?</v>
      </c>
      <c r="CF343" s="2" t="e">
        <f ca="1">_xll.BDH($C$328,"EBITDA_TO_INTEREST_EXPN","FY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43" s="2" t="e">
        <f ca="1">_xll.BDH($C$328,"COM_EQY_TO_TOT_ASSET","FY 2017","FY 2017","Currency=INR","Period=FY","BEST_FPERIOD_OVERRIDE=FY","FILING_STATUS=OR","EQY_CONSOLIDATED=Y","Sort=A","Dates=H","DateFormat=P","Fill=—","Direction=H","UseDPDF=Y")</f>
        <v>#NAME?</v>
      </c>
      <c r="CH343" s="2" t="e">
        <f ca="1">_xll.BDH($C$328,"LT_DEBT_TO_TOT_EQY","FY 2017","FY 2017","Currency=INR","Period=FY","BEST_FPERIOD_OVERRIDE=FY","FILING_STATUS=OR","EQY_CONSOLIDATED=Y","Sort=A","Dates=H","DateFormat=P","Fill=—","Direction=H","UseDPDF=Y")</f>
        <v>#NAME?</v>
      </c>
      <c r="CI343" s="2" t="e">
        <f ca="1">_xll.BDH($C$328,"LT_DEBT_TO_TOT_CAP","FY 2017","FY 2017","Currency=INR","Period=FY","BEST_FPERIOD_OVERRIDE=FY","FILING_STATUS=OR","EQY_CONSOLIDATED=Y","Sort=A","Dates=H","DateFormat=P","Fill=—","Direction=H","UseDPDF=Y")</f>
        <v>#NAME?</v>
      </c>
      <c r="CJ343" s="2" t="e">
        <f ca="1">_xll.BDH($C$328,"LT_DEBT_TO_TOT_ASSET","FY 2017","FY 2017","Currency=INR","Period=FY","BEST_FPERIOD_OVERRIDE=FY","FILING_STATUS=OR","EQY_CONSOLIDATED=Y","Sort=A","Dates=H","DateFormat=P","Fill=—","Direction=H","UseDPDF=Y")</f>
        <v>#NAME?</v>
      </c>
      <c r="CK343" s="2" t="e">
        <f ca="1">_xll.BDH($C$328,"TOT_DEBT_TO_TOT_EQY","FY 2017","FY 2017","Currency=INR","Period=FY","BEST_FPERIOD_OVERRIDE=FY","FILING_STATUS=OR","EQY_CONSOLIDATED=Y","Sort=A","Dates=H","DateFormat=P","Fill=—","Direction=H","UseDPDF=Y")</f>
        <v>#NAME?</v>
      </c>
      <c r="CL343" s="2" t="e">
        <f ca="1">_xll.BDH($C$328,"TOT_DEBT_TO_TOT_CAP","FY 2017","FY 2017","Currency=INR","Period=FY","BEST_FPERIOD_OVERRIDE=FY","FILING_STATUS=OR","EQY_CONSOLIDATED=Y","Sort=A","Dates=H","DateFormat=P","Fill=—","Direction=H","UseDPDF=Y")</f>
        <v>#NAME?</v>
      </c>
      <c r="CM343" s="2" t="e">
        <f ca="1">_xll.BDH($C$328,"TOT_DEBT_TO_TOT_ASSET","FY 2017","FY 2017","Currency=INR","Period=FY","BEST_FPERIOD_OVERRIDE=FY","FILING_STATUS=OR","EQY_CONSOLIDATED=Y","Sort=A","Dates=H","DateFormat=P","Fill=—","Direction=H","UseDPDF=Y")</f>
        <v>#NAME?</v>
      </c>
      <c r="CN343" s="2" t="e">
        <f ca="1">_xll.BDH($C$328,"NET_DEBT_TO_SHRHLDR_EQTY","FY 2017","FY 2017","Currency=INR","Period=FY","BEST_FPERIOD_OVERRIDE=FY","FILING_STATUS=OR","EQY_CONSOLIDATED=Y","Sort=A","Dates=H","DateFormat=P","Fill=—","Direction=H","UseDPDF=Y")</f>
        <v>#NAME?</v>
      </c>
      <c r="CO343" s="2" t="e">
        <f ca="1">_xll.BDH($C$328,"NET_DEBT_%_CAPITAL","FY 2017","FY 2017","Currency=INR","Period=FY","BEST_FPERIOD_OVERRIDE=FY","FILING_STATUS=OR","EQY_CONSOLIDATED=Y","Sort=A","Dates=H","DateFormat=P","Fill=—","Direction=H","UseDPDF=Y")</f>
        <v>#NAME?</v>
      </c>
      <c r="CP343" s="3" t="e">
        <f ca="1">_xll.BDH($C$328,"EBITDA","FY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43" s="3" t="e">
        <f ca="1">_xll.BDH($C$328,"EBITDA_AFTER_CAPEX","FY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43" s="3" t="e">
        <f ca="1">_xll.BDH($C$328,"IS_OPER_INC","FY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43" s="2" t="e">
        <f ca="1">_xll.BDH($C$328,"CASH_RATIO","FY 2017","FY 2017","Currency=INR","Period=FY","BEST_FPERIOD_OVERRIDE=FY","FILING_STATUS=OR","EQY_CONSOLIDATED=Y","Sort=A","Dates=H","DateFormat=P","Fill=—","Direction=H","UseDPDF=Y")</f>
        <v>#NAME?</v>
      </c>
      <c r="CT343" s="2" t="e">
        <f ca="1">_xll.BDH($C$328,"CUR_RATIO","FY 2017","FY 2017","Currency=INR","Period=FY","BEST_FPERIOD_OVERRIDE=FY","FILING_STATUS=OR","EQY_CONSOLIDATED=Y","Sort=A","Dates=H","DateFormat=P","Fill=—","Direction=H","UseDPDF=Y")</f>
        <v>#NAME?</v>
      </c>
      <c r="CU343" s="2" t="e">
        <f ca="1">_xll.BDH($C$328,"QUICK_RATIO","FY 2017","FY 2017","Currency=INR","Period=FY","BEST_FPERIOD_OVERRIDE=FY","FILING_STATUS=OR","EQY_CONSOLIDATED=Y","Sort=A","Dates=H","DateFormat=P","Fill=—","Direction=H","UseDPDF=Y")</f>
        <v>#NAME?</v>
      </c>
      <c r="CV343" s="2" t="e">
        <f ca="1">_xll.BDH($C$328,"ALTMAN_Z_SCORE","FY 2017","FY 2017","Currency=INR","Period=FY","BEST_FPERIOD_OVERRIDE=FY","FILING_STATUS=OR","EQY_CONSOLIDATED=Y","Sort=A","Dates=H","DateFormat=P","Fill=—","Direction=H","UseDPDF=Y")</f>
        <v>#NAME?</v>
      </c>
      <c r="CW343" s="4" t="e">
        <f ca="1">_xll.BDH($C$328,"ACCT_RCV_TURN","FY 2017","FY 2017","Currency=INR","Period=FY","BEST_FPERIOD_OVERRIDE=FY","FILING_STATUS=OR","EQY_CONSOLIDATED=Y","FA_ADJUSTED=GAAP","Sort=A","Dates=H","DateFormat=P","Fill=—","Direction=H","UseDPDF=Y")</f>
        <v>#NAME?</v>
      </c>
      <c r="CX343" s="2" t="e">
        <f ca="1">_xll.BDH($C$328,"ACCT_RCV_DAYS","FY 2017","FY 2017","Currency=INR","Period=FY","BEST_FPERIOD_OVERRIDE=FY","FILING_STATUS=OR","EQY_CONSOLIDATED=Y","FA_ADJUSTED=GAAP","Sort=A","Dates=H","DateFormat=P","Fill=—","Direction=H","UseDPDF=Y")</f>
        <v>#NAME?</v>
      </c>
      <c r="CY343" s="4" t="e">
        <f ca="1">_xll.BDH($C$328,"INVENT_TURN","FY 2017","FY 2017","Currency=INR","Period=FY","BEST_FPERIOD_OVERRIDE=FY","FILING_STATUS=OR","EQY_CONSOLIDATED=Y","FA_ADJUSTED=GAAP","Sort=A","Dates=H","DateFormat=P","Fill=—","Direction=H","UseDPDF=Y")</f>
        <v>#NAME?</v>
      </c>
      <c r="CZ343" s="2" t="e">
        <f ca="1">_xll.BDH($C$328,"INVENT_DAYS","FY 2017","FY 2017","Currency=INR","Period=FY","BEST_FPERIOD_OVERRIDE=FY","FILING_STATUS=OR","EQY_CONSOLIDATED=Y","FA_ADJUSTED=GAAP","Sort=A","Dates=H","DateFormat=P","Fill=—","Direction=H","UseDPDF=Y")</f>
        <v>#NAME?</v>
      </c>
      <c r="DA343" s="4" t="e">
        <f ca="1">_xll.BDH($C$328,"ACCOUNTS_PAYABLE_TURNOVER","FY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43" s="2" t="e">
        <f ca="1">_xll.BDH($C$328,"ACCOUNTS_PAYABLE_TURNOVER_DAYS","FY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43" s="4" t="e">
        <f ca="1">_xll.BDH($C$328,"CASH_CONVERSION_CYCLE","FY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43" s="4" t="e">
        <f ca="1">_xll.BDH($C$328,"INV_TO_CASH_DAYS","FY 2017","FY 2017","Currency=INR","Period=FY","BEST_FPERIOD_OVERRIDE=FY","FILING_STATUS=OR","EQY_CONSOLIDATED=Y","FA_ADJUSTED=GAAP","Sort=A","Dates=H","DateFormat=P","Fill=—","Direction=H","UseDPDF=Y")</f>
        <v>#NAME?</v>
      </c>
      <c r="DE343" s="5" t="e">
        <f ca="1">_xll.BDH($C$328,"BS_INVENTORIES","FY 2017","FY 2017","Currency=INR","Period=FY","BEST_FPERIOD_OVERRIDE=FY","FILING_STATUS=OR","EQY_CONSOLIDATED=Y","SCALING_FORMAT=MLN","Sort=A","Dates=H","DateFormat=P","Fill=—","Direction=H","UseDPDF=Y")</f>
        <v>#NAME?</v>
      </c>
      <c r="DF343" s="3" t="e">
        <f ca="1">_xll.BDH($C$328,"INVTRY_RAW_MATERIALS","FY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43" s="3" t="e">
        <f ca="1">_xll.BDH($C$328,"INVTRY_IN_PROGRESS","FY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43" s="3" t="e">
        <f ca="1">_xll.BDH($C$328,"INVTRY_FINISHED_GOODS","FY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43" s="3" t="e">
        <f ca="1">_xll.BDH($C$328,"BS_OTHER_INV","FY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44" spans="1:113" x14ac:dyDescent="0.3">
      <c r="A344" s="6"/>
      <c r="B344" s="6"/>
      <c r="C344" s="6"/>
      <c r="D344" s="6"/>
      <c r="E344" t="s">
        <v>78</v>
      </c>
      <c r="F344" t="e">
        <f ca="1">_xll.BDH($C$328,"RETURN_COM_EQY","FQ1 2017","FQ1 2017","Currency=INR","Period=FQ","BEST_FPERIOD_OVERRIDE=FQ","FILING_STATUS=OR","EQY_CONSOLIDATED=Y","FA_ADJUSTED=GAAP","Sort=A","Dates=H","DateFormat=P","Fill=—","Direction=H","UseDPDF=Y")</f>
        <v>#NAME?</v>
      </c>
      <c r="G344" t="e">
        <f ca="1">_xll.BDH($C$328,"RETURN_ON_ASSET","FQ1 2017","FQ1 2017","Currency=INR","Period=FQ","BEST_FPERIOD_OVERRIDE=FQ","FILING_STATUS=OR","EQY_CONSOLIDATED=Y","FA_ADJUSTED=GAAP","Sort=A","Dates=H","DateFormat=P","Fill=—","Direction=H","UseDPDF=Y")</f>
        <v>#NAME?</v>
      </c>
      <c r="H344" t="e">
        <f ca="1">_xll.BDH($C$328,"RETURN_ON_CAP","FQ1 2017","FQ1 2017","Currency=INR","Period=FQ","BEST_FPERIOD_OVERRIDE=FQ","FILING_STATUS=OR","EQY_CONSOLIDATED=Y","FA_ADJUSTED=GAAP","Sort=A","Dates=H","DateFormat=P","Fill=—","Direction=H","UseDPDF=Y")</f>
        <v>#NAME?</v>
      </c>
      <c r="I344" t="e">
        <f ca="1">_xll.BDH($C$328,"RETURN_ON_INV_CAPITAL","FQ1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44" t="e">
        <f ca="1">_xll.BDH($C$328,"EBITDA_TO_REVENUE","FQ1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44" t="e">
        <f ca="1">_xll.BDH($C$328,"OPER_MARGIN","FQ1 2017","FQ1 2017","Currency=INR","Period=FQ","BEST_FPERIOD_OVERRIDE=FQ","FILING_STATUS=OR","EQY_CONSOLIDATED=Y","FA_ADJUSTED=GAAP","Sort=A","Dates=H","DateFormat=P","Fill=—","Direction=H","UseDPDF=Y")</f>
        <v>#NAME?</v>
      </c>
      <c r="L344" t="e">
        <f ca="1">_xll.BDH($C$328,"INCREMENTAL_OPERATING_MARGIN","FQ1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44" t="e">
        <f ca="1">_xll.BDH($C$328,"PRETAX_INC_TO_NET_SALES","FQ1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44" t="e">
        <f ca="1">_xll.BDH($C$328,"INC_BEF_XO_ITEMS_TO_NET_SALES","FQ1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44" t="e">
        <f ca="1">_xll.BDH($C$328,"PROF_MARGIN","FQ1 2017","FQ1 2017","Currency=INR","Period=FQ","BEST_FPERIOD_OVERRIDE=FQ","FILING_STATUS=OR","EQY_CONSOLIDATED=Y","FA_ADJUSTED=GAAP","Sort=A","Dates=H","DateFormat=P","Fill=—","Direction=H","UseDPDF=Y")</f>
        <v>#NAME?</v>
      </c>
      <c r="P344" t="e">
        <f ca="1">_xll.BDH($C$328,"NET_INCOME_TO_COMMON_MARGIN","FQ1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44" t="e">
        <f ca="1">_xll.BDH($C$328,"EFF_TAX_RATE","FQ1 2017","FQ1 2017","Currency=INR","Period=FQ","BEST_FPERIOD_OVERRIDE=FQ","FILING_STATUS=OR","EQY_CONSOLIDATED=Y","FA_ADJUSTED=GAAP","Sort=A","Dates=H","DateFormat=P","Fill=—","Direction=H","UseDPDF=Y")</f>
        <v>#NAME?</v>
      </c>
      <c r="R344" t="e">
        <f ca="1">_xll.BDH($C$328,"DVD_PAYOUT_RATIO","FQ1 2017","FQ1 2017","Currency=INR","Period=FQ","BEST_FPERIOD_OVERRIDE=FQ","FILING_STATUS=OR","EQY_CONSOLIDATED=Y","FA_ADJUSTED=GAAP","Sort=A","Dates=H","DateFormat=P","Fill=—","Direction=H","UseDPDF=Y")</f>
        <v>#NAME?</v>
      </c>
      <c r="S344" t="e">
        <f ca="1">_xll.BDH($C$328,"SUSTAIN_GROWTH_RT","FQ1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44" s="2" t="e">
        <f ca="1">_xll.BDH($C$328,"SALES_GROWTH","FQ1 2017","FQ1 2017","Currency=INR","Period=FQ","BEST_FPERIOD_OVERRIDE=FQ","FILING_STATUS=OR","EQY_CONSOLIDATED=Y","FA_ADJUSTED=GAAP","Sort=A","Dates=H","DateFormat=P","Fill=—","Direction=H","UseDPDF=Y")</f>
        <v>#NAME?</v>
      </c>
      <c r="U344" s="2" t="e">
        <f ca="1">_xll.BDH($C$328,"EBITDA_GROWTH","FQ1 2017","FQ1 2017","Currency=INR","Period=FQ","BEST_FPERIOD_OVERRIDE=FQ","FILING_STATUS=OR","EQY_CONSOLIDATED=Y","FA_ADJUSTED=GAAP","Sort=A","Dates=H","DateFormat=P","Fill=—","Direction=H","UseDPDF=Y")</f>
        <v>#NAME?</v>
      </c>
      <c r="V344" s="2" t="e">
        <f ca="1">_xll.BDH($C$328,"OPER_INC_GROWTH","FQ1 2017","FQ1 2017","Currency=INR","Period=FQ","BEST_FPERIOD_OVERRIDE=FQ","FILING_STATUS=OR","EQY_CONSOLIDATED=Y","FA_ADJUSTED=GAAP","Sort=A","Dates=H","DateFormat=P","Fill=—","Direction=H","UseDPDF=Y")</f>
        <v>#NAME?</v>
      </c>
      <c r="W344" s="2" t="e">
        <f ca="1">_xll.BDH($C$328,"EARN_FOR_COM_GROWTH","FQ1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44" s="2" t="e">
        <f ca="1">_xll.BDH($C$328,"DILUTED_EPS_AFT_XO_ITEMS_GROWTH","FQ1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44" s="2" t="e">
        <f ca="1">_xll.BDH($C$328,"DIVIDEND_PER_SHARE_1_YEAR_GROWTH","FQ1 2017","FQ1 2017","Currency=INR","Period=FQ","BEST_FPERIOD_OVERRIDE=FQ","FILING_STATUS=OR","EQY_CONSOLIDATED=Y","Sort=A","Dates=H","DateFormat=P","Fill=—","Direction=H","UseDPDF=Y")</f>
        <v>#NAME?</v>
      </c>
      <c r="Z344" s="2" t="e">
        <f ca="1">_xll.BDH($C$328,"ACCOUNTS_RECEIVABLE_GROWTH","FQ1 2017","FQ1 2017","Currency=INR","Period=FQ","BEST_FPERIOD_OVERRIDE=FQ","FILING_STATUS=OR","EQY_CONSOLIDATED=Y","Sort=A","Dates=H","DateFormat=P","Fill=—","Direction=H","UseDPDF=Y")</f>
        <v>#NAME?</v>
      </c>
      <c r="AA344" s="2" t="e">
        <f ca="1">_xll.BDH($C$328,"INVENTORY_GROWTH","FQ1 2017","FQ1 2017","Currency=INR","Period=FQ","BEST_FPERIOD_OVERRIDE=FQ","FILING_STATUS=OR","EQY_CONSOLIDATED=Y","Sort=A","Dates=H","DateFormat=P","Fill=—","Direction=H","UseDPDF=Y")</f>
        <v>#NAME?</v>
      </c>
      <c r="AB344" s="2" t="e">
        <f ca="1">_xll.BDH($C$328,"NET_FIXED_ASSETS_1_YEAR_GROWTH","FQ1 2017","FQ1 2017","Currency=INR","Period=FQ","BEST_FPERIOD_OVERRIDE=FQ","FILING_STATUS=OR","EQY_CONSOLIDATED=Y","Sort=A","Dates=H","DateFormat=P","Fill=—","Direction=H","UseDPDF=Y")</f>
        <v>#NAME?</v>
      </c>
      <c r="AC344" s="2" t="e">
        <f ca="1">_xll.BDH($C$328,"ASSET_GROWTH","FQ1 2017","FQ1 2017","Currency=INR","Period=FQ","BEST_FPERIOD_OVERRIDE=FQ","FILING_STATUS=OR","EQY_CONSOLIDATED=Y","Sort=A","Dates=H","DateFormat=P","Fill=—","Direction=H","UseDPDF=Y")</f>
        <v>#NAME?</v>
      </c>
      <c r="AD344" s="2" t="e">
        <f ca="1">_xll.BDH($C$328,"MODIFIED_WORK_CAP_GROWTH","FQ1 2017","FQ1 2017","Currency=INR","Period=FQ","BEST_FPERIOD_OVERRIDE=FQ","FILING_STATUS=OR","EQY_CONSOLIDATED=Y","Sort=A","Dates=H","DateFormat=P","Fill=—","Direction=H","UseDPDF=Y")</f>
        <v>#NAME?</v>
      </c>
      <c r="AE344" s="2" t="e">
        <f ca="1">_xll.BDH($C$328,"WORK_CAP_GROWTH","FQ1 2017","FQ1 2017","Currency=INR","Period=FQ","BEST_FPERIOD_OVERRIDE=FQ","FILING_STATUS=OR","EQY_CONSOLIDATED=Y","Sort=A","Dates=H","DateFormat=P","Fill=—","Direction=H","UseDPDF=Y")</f>
        <v>#NAME?</v>
      </c>
      <c r="AF344" s="2" t="e">
        <f ca="1">_xll.BDH($C$328,"ACCOUNTS_PAYABLE_GROWTH_1YR","FQ1 2017","FQ1 2017","Currency=INR","Period=FQ","BEST_FPERIOD_OVERRIDE=FQ","FILING_STATUS=OR","EQY_CONSOLIDATED=Y","Sort=A","Dates=H","DateFormat=P","Fill=—","Direction=H","UseDPDF=Y")</f>
        <v>#NAME?</v>
      </c>
      <c r="AG344" s="2" t="e">
        <f ca="1">_xll.BDH($C$328,"SHORT_TERM_DEBT_1_YEAR_GROWTH","FQ1 2017","FQ1 2017","Currency=INR","Period=FQ","BEST_FPERIOD_OVERRIDE=FQ","FILING_STATUS=OR","EQY_CONSOLIDATED=Y","Sort=A","Dates=H","DateFormat=P","Fill=—","Direction=H","UseDPDF=Y")</f>
        <v>#NAME?</v>
      </c>
      <c r="AH344" s="2" t="e">
        <f ca="1">_xll.BDH($C$328,"TOTAL_DEBT_1_YEAR_GROWTH","FQ1 2017","FQ1 2017","Currency=INR","Period=FQ","BEST_FPERIOD_OVERRIDE=FQ","FILING_STATUS=OR","EQY_CONSOLIDATED=Y","Sort=A","Dates=H","DateFormat=P","Fill=—","Direction=H","UseDPDF=Y")</f>
        <v>#NAME?</v>
      </c>
      <c r="AI344" s="2" t="e">
        <f ca="1">_xll.BDH($C$328,"TOTAL_EQUITY_1_YEAR_GROWTH","FQ1 2017","FQ1 2017","Currency=INR","Period=FQ","BEST_FPERIOD_OVERRIDE=FQ","FILING_STATUS=OR","EQY_CONSOLIDATED=Y","Sort=A","Dates=H","DateFormat=P","Fill=—","Direction=H","UseDPDF=Y")</f>
        <v>#NAME?</v>
      </c>
      <c r="AJ344" s="2" t="e">
        <f ca="1">_xll.BDH($C$328,"GROWTH_IN_CAP","FQ1 2017","FQ1 2017","Currency=INR","Period=FQ","BEST_FPERIOD_OVERRIDE=FQ","FILING_STATUS=OR","EQY_CONSOLIDATED=Y","Sort=A","Dates=H","DateFormat=P","Fill=—","Direction=H","UseDPDF=Y")</f>
        <v>#NAME?</v>
      </c>
      <c r="AK344" s="2" t="e">
        <f ca="1">_xll.BDH($C$328,"BVPS_GROWTH","FQ1 2017","FQ1 2017","Currency=INR","Period=FQ","BEST_FPERIOD_OVERRIDE=FQ","FILING_STATUS=OR","EQY_CONSOLIDATED=Y","Sort=A","Dates=H","DateFormat=P","Fill=—","Direction=H","UseDPDF=Y")</f>
        <v>#NAME?</v>
      </c>
      <c r="AL344" s="2" t="e">
        <f ca="1">_xll.BDH($C$328,"CASH_FLOW_GROWTH","FQ1 2017","FQ1 2017","Currency=INR","Period=FQ","BEST_FPERIOD_OVERRIDE=FQ","FILING_STATUS=OR","EQY_CONSOLIDATED=Y","Sort=A","Dates=H","DateFormat=P","Fill=—","Direction=H","UseDPDF=Y")</f>
        <v>#NAME?</v>
      </c>
      <c r="AM344" s="2" t="e">
        <f ca="1">_xll.BDH($C$328,"GEO_GROW_NET_SALES","FQ1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44" s="2" t="e">
        <f ca="1">_xll.BDH($C$328,"GEO_GROW_EBITDA","FQ1 2017","FQ1 2017","Currency=INR","Period=FQ","BEST_FPERIOD_OVERRIDE=FQ","FILING_STATUS=OR","EQY_CONSOLIDATED=Y","FA_ADJUSTED=GAAP","Sort=A","Dates=H","DateFormat=P","Fill=—","Direction=H","UseDPDF=Y")</f>
        <v>#NAME?</v>
      </c>
      <c r="AO344" s="2" t="e">
        <f ca="1">_xll.BDH($C$328,"GEO_GROW_OPER_INC","FQ1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44" s="2" t="e">
        <f ca="1">_xll.BDH($C$328,"NET_INCOME_TO_COMMON_5_YR_GROWTH","FQ1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44" s="2" t="e">
        <f ca="1">_xll.BDH($C$328,"5Y_GEO_GROWTH_DILUTED_EPS","FQ1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44" s="2" t="e">
        <f ca="1">_xll.BDH($C$328,"GEO_GROW_DVD_PER_SH","FQ1 2017","FQ1 2017","Currency=INR","Period=FQ","BEST_FPERIOD_OVERRIDE=FQ","FILING_STATUS=OR","EQY_CONSOLIDATED=Y","Sort=A","Dates=H","DateFormat=P","Fill=—","Direction=H","UseDPDF=Y")</f>
        <v>#NAME?</v>
      </c>
      <c r="AS344" s="2" t="e">
        <f ca="1">_xll.BDH($C$328,"ACCOUNTS_RECEIVABLE_5_YR_GROWTH","FQ1 2017","FQ1 2017","Currency=INR","Period=FQ","BEST_FPERIOD_OVERRIDE=FQ","FILING_STATUS=OR","EQY_CONSOLIDATED=Y","Sort=A","Dates=H","DateFormat=P","Fill=—","Direction=H","UseDPDF=Y")</f>
        <v>#NAME?</v>
      </c>
      <c r="AT344" s="2" t="e">
        <f ca="1">_xll.BDH($C$328,"INVENTORY_5_YEAR_GROWTH","FQ1 2017","FQ1 2017","Currency=INR","Period=FQ","BEST_FPERIOD_OVERRIDE=FQ","FILING_STATUS=OR","EQY_CONSOLIDATED=Y","Sort=A","Dates=H","DateFormat=P","Fill=—","Direction=H","UseDPDF=Y")</f>
        <v>#NAME?</v>
      </c>
      <c r="AU344" s="2" t="e">
        <f ca="1">_xll.BDH($C$328,"NET_FIXED_ASSETS_5_YEAR_GROWTH","FQ1 2017","FQ1 2017","Currency=INR","Period=FQ","BEST_FPERIOD_OVERRIDE=FQ","FILING_STATUS=OR","EQY_CONSOLIDATED=Y","Sort=A","Dates=H","DateFormat=P","Fill=—","Direction=H","UseDPDF=Y")</f>
        <v>#NAME?</v>
      </c>
      <c r="AV344" s="2" t="e">
        <f ca="1">_xll.BDH($C$328,"GEO_GROW_TOT_ASSET","FQ1 2017","FQ1 2017","Currency=INR","Period=FQ","BEST_FPERIOD_OVERRIDE=FQ","FILING_STATUS=OR","EQY_CONSOLIDATED=Y","Sort=A","Dates=H","DateFormat=P","Fill=—","Direction=H","UseDPDF=Y")</f>
        <v>#NAME?</v>
      </c>
      <c r="AW344" s="2" t="e">
        <f ca="1">_xll.BDH($C$328,"MODIFIED_WORKING_CPTL_5YR_GRWTH","FQ1 2017","FQ1 2017","Currency=INR","Period=FQ","BEST_FPERIOD_OVERRIDE=FQ","FILING_STATUS=OR","EQY_CONSOLIDATED=Y","Sort=A","Dates=H","DateFormat=P","Fill=—","Direction=H","UseDPDF=Y")</f>
        <v>#NAME?</v>
      </c>
      <c r="AX344" s="2" t="e">
        <f ca="1">_xll.BDH($C$328,"WORKING_CAPITAL_5_YEAR_GROWTH","FQ1 2017","FQ1 2017","Currency=INR","Period=FQ","BEST_FPERIOD_OVERRIDE=FQ","FILING_STATUS=OR","EQY_CONSOLIDATED=Y","Sort=A","Dates=H","DateFormat=P","Fill=—","Direction=H","UseDPDF=Y")</f>
        <v>#NAME?</v>
      </c>
      <c r="AY344" s="2" t="e">
        <f ca="1">_xll.BDH($C$328,"ACCOUNTS_PAYABLE_5_YEAR_GROWTH","FQ1 2017","FQ1 2017","Currency=INR","Period=FQ","BEST_FPERIOD_OVERRIDE=FQ","FILING_STATUS=OR","EQY_CONSOLIDATED=Y","Sort=A","Dates=H","DateFormat=P","Fill=—","Direction=H","UseDPDF=Y")</f>
        <v>#NAME?</v>
      </c>
      <c r="AZ344" s="2" t="e">
        <f ca="1">_xll.BDH($C$328,"SHORT_TERM_DEBT_5_YEAR_GROWTH","FQ1 2017","FQ1 2017","Currency=INR","Period=FQ","BEST_FPERIOD_OVERRIDE=FQ","FILING_STATUS=OR","EQY_CONSOLIDATED=Y","Sort=A","Dates=H","DateFormat=P","Fill=—","Direction=H","UseDPDF=Y")</f>
        <v>#NAME?</v>
      </c>
      <c r="BA344" s="2" t="e">
        <f ca="1">_xll.BDH($C$328,"TOTAL_DEBT_5_YEAR_GROWTH","FQ1 2017","FQ1 2017","Currency=INR","Period=FQ","BEST_FPERIOD_OVERRIDE=FQ","FILING_STATUS=OR","EQY_CONSOLIDATED=Y","Sort=A","Dates=H","DateFormat=P","Fill=—","Direction=H","UseDPDF=Y")</f>
        <v>#NAME?</v>
      </c>
      <c r="BB344" s="2" t="e">
        <f ca="1">_xll.BDH($C$328,"GEO_GROW_TOT_SHRHLDR_EQY","FQ1 2017","FQ1 2017","Currency=INR","Period=FQ","BEST_FPERIOD_OVERRIDE=FQ","FILING_STATUS=OR","EQY_CONSOLIDATED=Y","Sort=A","Dates=H","DateFormat=P","Fill=—","Direction=H","UseDPDF=Y")</f>
        <v>#NAME?</v>
      </c>
      <c r="BC344" s="2" t="e">
        <f ca="1">_xll.BDH($C$328,"TOTAL_CAPITAL_5_YEAR_GROWTH","FQ1 2017","FQ1 2017","Currency=INR","Period=FQ","BEST_FPERIOD_OVERRIDE=FQ","FILING_STATUS=OR","EQY_CONSOLIDATED=Y","Sort=A","Dates=H","DateFormat=P","Fill=—","Direction=H","UseDPDF=Y")</f>
        <v>#NAME?</v>
      </c>
      <c r="BD344" s="2" t="e">
        <f ca="1">_xll.BDH($C$328,"GEO_GROW_BOOK_VAL","FQ1 2017","FQ1 2017","Currency=INR","Period=FQ","BEST_FPERIOD_OVERRIDE=FQ","FILING_STATUS=OR","EQY_CONSOLIDATED=Y","Sort=A","Dates=H","DateFormat=P","Fill=—","Direction=H","UseDPDF=Y")</f>
        <v>#NAME?</v>
      </c>
      <c r="BE344" s="2" t="e">
        <f ca="1">_xll.BDH($C$328,"GEO_GROW_CASH_OPER_ACT","FQ1 2017","FQ1 2017","Currency=INR","Period=FQ","BEST_FPERIOD_OVERRIDE=FQ","FILING_STATUS=OR","EQY_CONSOLIDATED=Y","Sort=A","Dates=H","DateFormat=P","Fill=—","Direction=H","UseDPDF=Y")</f>
        <v>#NAME?</v>
      </c>
      <c r="BF344" s="2" t="e">
        <f ca="1">_xll.BDH($C$328,"REVENUE_SEQUENTIAL_GROWTH","FQ1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44" s="2" t="e">
        <f ca="1">_xll.BDH($C$328,"EBITDA_SEQUENTIAL_GROWTH","FQ1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44" s="2" t="e">
        <f ca="1">_xll.BDH($C$328,"OPERATING_INCOME_SEQ_GROWTH","FQ1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44" s="2" t="e">
        <f ca="1">_xll.BDH($C$328,"NET_INCOME_TO_COMMON_SEQ_GROWTH","FQ1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44" s="2" t="e">
        <f ca="1">_xll.BDH($C$328,"EPS_DILUTED_SEQUENTIAL_GROWTH","FQ1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44" s="2" t="e">
        <f ca="1">_xll.BDH($C$328,"DPS_SEQUENTIAL_GROWTH","FQ1 2017","FQ1 2017","Currency=INR","Period=FQ","BEST_FPERIOD_OVERRIDE=FQ","FILING_STATUS=OR","EQY_CONSOLIDATED=Y","Sort=A","Dates=H","DateFormat=P","Fill=—","Direction=H","UseDPDF=Y")</f>
        <v>#NAME?</v>
      </c>
      <c r="BL344" s="2" t="e">
        <f ca="1">_xll.BDH($C$328,"ACCOUNTS_RECEIVABLE_SEQ_GROWTH","FQ1 2017","FQ1 2017","Currency=INR","Period=FQ","BEST_FPERIOD_OVERRIDE=FQ","FILING_STATUS=OR","EQY_CONSOLIDATED=Y","Sort=A","Dates=H","DateFormat=P","Fill=—","Direction=H","UseDPDF=Y")</f>
        <v>#NAME?</v>
      </c>
      <c r="BM344" s="2" t="e">
        <f ca="1">_xll.BDH($C$328,"INVENTORY_SEQUENTIAL_GROWTH","FQ1 2017","FQ1 2017","Currency=INR","Period=FQ","BEST_FPERIOD_OVERRIDE=FQ","FILING_STATUS=OR","EQY_CONSOLIDATED=Y","Sort=A","Dates=H","DateFormat=P","Fill=—","Direction=H","UseDPDF=Y")</f>
        <v>#NAME?</v>
      </c>
      <c r="BN344" s="2" t="e">
        <f ca="1">_xll.BDH($C$328,"FIXED_ASSETS_SEQUENTIAL_GROWTH","FQ1 2017","FQ1 2017","Currency=INR","Period=FQ","BEST_FPERIOD_OVERRIDE=FQ","FILING_STATUS=OR","EQY_CONSOLIDATED=Y","Sort=A","Dates=H","DateFormat=P","Fill=—","Direction=H","UseDPDF=Y")</f>
        <v>#NAME?</v>
      </c>
      <c r="BO344" s="2" t="e">
        <f ca="1">_xll.BDH($C$328,"TOTAL_ASSETS_SEQUENTIAL_GROWTH","FQ1 2017","FQ1 2017","Currency=INR","Period=FQ","BEST_FPERIOD_OVERRIDE=FQ","FILING_STATUS=OR","EQY_CONSOLIDATED=Y","Sort=A","Dates=H","DateFormat=P","Fill=—","Direction=H","UseDPDF=Y")</f>
        <v>#NAME?</v>
      </c>
      <c r="BP344" s="2" t="e">
        <f ca="1">_xll.BDH($C$328,"MODIFIED_WORKING_CPTL_SEQ_GRWTH","FQ1 2017","FQ1 2017","Currency=INR","Period=FQ","BEST_FPERIOD_OVERRIDE=FQ","FILING_STATUS=OR","EQY_CONSOLIDATED=Y","Sort=A","Dates=H","DateFormat=P","Fill=—","Direction=H","UseDPDF=Y")</f>
        <v>#NAME?</v>
      </c>
      <c r="BQ344" s="2" t="e">
        <f ca="1">_xll.BDH($C$328,"WORKING_CAPITAL_SEQ_GROWTH","FQ1 2017","FQ1 2017","Currency=INR","Period=FQ","BEST_FPERIOD_OVERRIDE=FQ","FILING_STATUS=OR","EQY_CONSOLIDATED=Y","Sort=A","Dates=H","DateFormat=P","Fill=—","Direction=H","UseDPDF=Y")</f>
        <v>#NAME?</v>
      </c>
      <c r="BR344" s="2" t="e">
        <f ca="1">_xll.BDH($C$328,"ACCOUNTS_PAYABLE_SEQ_GROWTH","FQ1 2017","FQ1 2017","Currency=INR","Period=FQ","BEST_FPERIOD_OVERRIDE=FQ","FILING_STATUS=OR","EQY_CONSOLIDATED=Y","Sort=A","Dates=H","DateFormat=P","Fill=—","Direction=H","UseDPDF=Y")</f>
        <v>#NAME?</v>
      </c>
      <c r="BS344" s="2" t="e">
        <f ca="1">_xll.BDH($C$328,"ST_DEBT_SEQUENTIAL_GROWTH","FQ1 2017","FQ1 2017","Currency=INR","Period=FQ","BEST_FPERIOD_OVERRIDE=FQ","FILING_STATUS=OR","EQY_CONSOLIDATED=Y","Sort=A","Dates=H","DateFormat=P","Fill=—","Direction=H","UseDPDF=Y")</f>
        <v>#NAME?</v>
      </c>
      <c r="BT344" s="2" t="e">
        <f ca="1">_xll.BDH($C$328,"TOTAL_DEBT_SEQUENTIAL_GROWTH","FQ1 2017","FQ1 2017","Currency=INR","Period=FQ","BEST_FPERIOD_OVERRIDE=FQ","FILING_STATUS=OR","EQY_CONSOLIDATED=Y","Sort=A","Dates=H","DateFormat=P","Fill=—","Direction=H","UseDPDF=Y")</f>
        <v>#NAME?</v>
      </c>
      <c r="BU344" s="2" t="e">
        <f ca="1">_xll.BDH($C$328,"TOTAL_EQUITY_SEQUENTIAL_GROWTH","FQ1 2017","FQ1 2017","Currency=INR","Period=FQ","BEST_FPERIOD_OVERRIDE=FQ","FILING_STATUS=OR","EQY_CONSOLIDATED=Y","Sort=A","Dates=H","DateFormat=P","Fill=—","Direction=H","UseDPDF=Y")</f>
        <v>#NAME?</v>
      </c>
      <c r="BV344" s="2" t="e">
        <f ca="1">_xll.BDH($C$328,"TOTAL_CAPITAL_SEQUENTIAL_GROWTH","FQ1 2017","FQ1 2017","Currency=INR","Period=FQ","BEST_FPERIOD_OVERRIDE=FQ","FILING_STATUS=OR","EQY_CONSOLIDATED=Y","Sort=A","Dates=H","DateFormat=P","Fill=—","Direction=H","UseDPDF=Y")</f>
        <v>#NAME?</v>
      </c>
      <c r="BW344" s="2" t="e">
        <f ca="1">_xll.BDH($C$328,"BPS_SEQUENTIAL_GROWTH","FQ1 2017","FQ1 2017","Currency=INR","Period=FQ","BEST_FPERIOD_OVERRIDE=FQ","FILING_STATUS=OR","EQY_CONSOLIDATED=Y","Sort=A","Dates=H","DateFormat=P","Fill=—","Direction=H","UseDPDF=Y")</f>
        <v>#NAME?</v>
      </c>
      <c r="BX344" s="2" t="e">
        <f ca="1">_xll.BDH($C$328,"CFO_SEQUENTIAL_GROWTH","FQ1 2017","FQ1 2017","Currency=INR","Period=FQ","BEST_FPERIOD_OVERRIDE=FQ","FILING_STATUS=OR","EQY_CONSOLIDATED=Y","Sort=A","Dates=H","DateFormat=P","Fill=—","Direction=H","UseDPDF=Y")</f>
        <v>#NAME?</v>
      </c>
      <c r="BY344" s="3" t="e">
        <f ca="1">_xll.BDH($C$328,"SHORT_AND_LONG_TERM_DEBT","FQ1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44" s="3" t="e">
        <f ca="1">_xll.BDH($C$328,"BS_ST_BORROW","FQ1 2017","FQ1 2017","Currency=INR","Period=FQ","BEST_FPERIOD_OVERRIDE=FQ","FILING_STATUS=OR","EQY_CONSOLIDATED=Y","SCALING_FORMAT=MLN","Sort=A","Dates=H","DateFormat=P","Fill=—","Direction=H","UseDPDF=Y")</f>
        <v>#NAME?</v>
      </c>
      <c r="CA344" s="3" t="e">
        <f ca="1">_xll.BDH($C$328,"BS_LT_BORROW","FQ1 2017","FQ1 2017","Currency=INR","Period=FQ","BEST_FPERIOD_OVERRIDE=FQ","FILING_STATUS=OR","EQY_CONSOLIDATED=Y","SCALING_FORMAT=MLN","Sort=A","Dates=H","DateFormat=P","Fill=—","Direction=H","UseDPDF=Y")</f>
        <v>#NAME?</v>
      </c>
      <c r="CB344" s="2" t="e">
        <f ca="1">_xll.BDH($C$328,"TOT_DEBT_TO_EBITDA","FQ1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44" s="2" t="e">
        <f ca="1">_xll.BDH($C$328,"NET_DEBT_TO_EBITDA","FQ1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44" s="2" t="e">
        <f ca="1">_xll.BDH($C$328,"TOTAL_DEBT_TO_EBIT","FQ1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44" s="2" t="e">
        <f ca="1">_xll.BDH($C$328,"NET_DEBT_TO_EBIT","FQ1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44" s="2" t="e">
        <f ca="1">_xll.BDH($C$328,"EBITDA_TO_INTEREST_EXPN","FQ1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44" s="2" t="e">
        <f ca="1">_xll.BDH($C$328,"COM_EQY_TO_TOT_ASSET","FQ1 2017","FQ1 2017","Currency=INR","Period=FQ","BEST_FPERIOD_OVERRIDE=FQ","FILING_STATUS=OR","EQY_CONSOLIDATED=Y","Sort=A","Dates=H","DateFormat=P","Fill=—","Direction=H","UseDPDF=Y")</f>
        <v>#NAME?</v>
      </c>
      <c r="CH344" s="2" t="e">
        <f ca="1">_xll.BDH($C$328,"LT_DEBT_TO_TOT_EQY","FQ1 2017","FQ1 2017","Currency=INR","Period=FQ","BEST_FPERIOD_OVERRIDE=FQ","FILING_STATUS=OR","EQY_CONSOLIDATED=Y","Sort=A","Dates=H","DateFormat=P","Fill=—","Direction=H","UseDPDF=Y")</f>
        <v>#NAME?</v>
      </c>
      <c r="CI344" s="2" t="e">
        <f ca="1">_xll.BDH($C$328,"LT_DEBT_TO_TOT_CAP","FQ1 2017","FQ1 2017","Currency=INR","Period=FQ","BEST_FPERIOD_OVERRIDE=FQ","FILING_STATUS=OR","EQY_CONSOLIDATED=Y","Sort=A","Dates=H","DateFormat=P","Fill=—","Direction=H","UseDPDF=Y")</f>
        <v>#NAME?</v>
      </c>
      <c r="CJ344" s="2" t="e">
        <f ca="1">_xll.BDH($C$328,"LT_DEBT_TO_TOT_ASSET","FQ1 2017","FQ1 2017","Currency=INR","Period=FQ","BEST_FPERIOD_OVERRIDE=FQ","FILING_STATUS=OR","EQY_CONSOLIDATED=Y","Sort=A","Dates=H","DateFormat=P","Fill=—","Direction=H","UseDPDF=Y")</f>
        <v>#NAME?</v>
      </c>
      <c r="CK344" s="2" t="e">
        <f ca="1">_xll.BDH($C$328,"TOT_DEBT_TO_TOT_EQY","FQ1 2017","FQ1 2017","Currency=INR","Period=FQ","BEST_FPERIOD_OVERRIDE=FQ","FILING_STATUS=OR","EQY_CONSOLIDATED=Y","Sort=A","Dates=H","DateFormat=P","Fill=—","Direction=H","UseDPDF=Y")</f>
        <v>#NAME?</v>
      </c>
      <c r="CL344" s="2" t="e">
        <f ca="1">_xll.BDH($C$328,"TOT_DEBT_TO_TOT_CAP","FQ1 2017","FQ1 2017","Currency=INR","Period=FQ","BEST_FPERIOD_OVERRIDE=FQ","FILING_STATUS=OR","EQY_CONSOLIDATED=Y","Sort=A","Dates=H","DateFormat=P","Fill=—","Direction=H","UseDPDF=Y")</f>
        <v>#NAME?</v>
      </c>
      <c r="CM344" s="2" t="e">
        <f ca="1">_xll.BDH($C$328,"TOT_DEBT_TO_TOT_ASSET","FQ1 2017","FQ1 2017","Currency=INR","Period=FQ","BEST_FPERIOD_OVERRIDE=FQ","FILING_STATUS=OR","EQY_CONSOLIDATED=Y","Sort=A","Dates=H","DateFormat=P","Fill=—","Direction=H","UseDPDF=Y")</f>
        <v>#NAME?</v>
      </c>
      <c r="CN344" s="2" t="e">
        <f ca="1">_xll.BDH($C$328,"NET_DEBT_TO_SHRHLDR_EQTY","FQ1 2017","FQ1 2017","Currency=INR","Period=FQ","BEST_FPERIOD_OVERRIDE=FQ","FILING_STATUS=OR","EQY_CONSOLIDATED=Y","Sort=A","Dates=H","DateFormat=P","Fill=—","Direction=H","UseDPDF=Y")</f>
        <v>#NAME?</v>
      </c>
      <c r="CO344" s="2" t="e">
        <f ca="1">_xll.BDH($C$328,"NET_DEBT_%_CAPITAL","FQ1 2017","FQ1 2017","Currency=INR","Period=FQ","BEST_FPERIOD_OVERRIDE=FQ","FILING_STATUS=OR","EQY_CONSOLIDATED=Y","Sort=A","Dates=H","DateFormat=P","Fill=—","Direction=H","UseDPDF=Y")</f>
        <v>#NAME?</v>
      </c>
      <c r="CP344" s="3" t="e">
        <f ca="1">_xll.BDH($C$328,"EBITDA","FQ1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44" s="3" t="e">
        <f ca="1">_xll.BDH($C$328,"EBITDA_AFTER_CAPEX","FQ1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44" s="3" t="e">
        <f ca="1">_xll.BDH($C$328,"IS_OPER_INC","FQ1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44" s="2" t="e">
        <f ca="1">_xll.BDH($C$328,"CASH_RATIO","FQ1 2017","FQ1 2017","Currency=INR","Period=FQ","BEST_FPERIOD_OVERRIDE=FQ","FILING_STATUS=OR","EQY_CONSOLIDATED=Y","Sort=A","Dates=H","DateFormat=P","Fill=—","Direction=H","UseDPDF=Y")</f>
        <v>#NAME?</v>
      </c>
      <c r="CT344" s="2" t="e">
        <f ca="1">_xll.BDH($C$328,"CUR_RATIO","FQ1 2017","FQ1 2017","Currency=INR","Period=FQ","BEST_FPERIOD_OVERRIDE=FQ","FILING_STATUS=OR","EQY_CONSOLIDATED=Y","Sort=A","Dates=H","DateFormat=P","Fill=—","Direction=H","UseDPDF=Y")</f>
        <v>#NAME?</v>
      </c>
      <c r="CU344" s="2" t="e">
        <f ca="1">_xll.BDH($C$328,"QUICK_RATIO","FQ1 2017","FQ1 2017","Currency=INR","Period=FQ","BEST_FPERIOD_OVERRIDE=FQ","FILING_STATUS=OR","EQY_CONSOLIDATED=Y","Sort=A","Dates=H","DateFormat=P","Fill=—","Direction=H","UseDPDF=Y")</f>
        <v>#NAME?</v>
      </c>
      <c r="CV344" s="2" t="e">
        <f ca="1">_xll.BDH($C$328,"ALTMAN_Z_SCORE","FQ1 2017","FQ1 2017","Currency=INR","Period=FQ","BEST_FPERIOD_OVERRIDE=FQ","FILING_STATUS=OR","EQY_CONSOLIDATED=Y","Sort=A","Dates=H","DateFormat=P","Fill=—","Direction=H","UseDPDF=Y")</f>
        <v>#NAME?</v>
      </c>
      <c r="CW344" s="4" t="e">
        <f ca="1">_xll.BDH($C$328,"ACCT_RCV_TURN","FQ1 2017","FQ1 2017","Currency=INR","Period=FQ","BEST_FPERIOD_OVERRIDE=FQ","FILING_STATUS=OR","EQY_CONSOLIDATED=Y","FA_ADJUSTED=GAAP","Sort=A","Dates=H","DateFormat=P","Fill=—","Direction=H","UseDPDF=Y")</f>
        <v>#NAME?</v>
      </c>
      <c r="CX344" s="2" t="e">
        <f ca="1">_xll.BDH($C$328,"ACCT_RCV_DAYS","FQ1 2017","FQ1 2017","Currency=INR","Period=FQ","BEST_FPERIOD_OVERRIDE=FQ","FILING_STATUS=OR","EQY_CONSOLIDATED=Y","FA_ADJUSTED=GAAP","Sort=A","Dates=H","DateFormat=P","Fill=—","Direction=H","UseDPDF=Y")</f>
        <v>#NAME?</v>
      </c>
      <c r="CY344" s="4" t="e">
        <f ca="1">_xll.BDH($C$328,"INVENT_TURN","FQ1 2017","FQ1 2017","Currency=INR","Period=FQ","BEST_FPERIOD_OVERRIDE=FQ","FILING_STATUS=OR","EQY_CONSOLIDATED=Y","FA_ADJUSTED=GAAP","Sort=A","Dates=H","DateFormat=P","Fill=—","Direction=H","UseDPDF=Y")</f>
        <v>#NAME?</v>
      </c>
      <c r="CZ344" s="2" t="e">
        <f ca="1">_xll.BDH($C$328,"INVENT_DAYS","FQ1 2017","FQ1 2017","Currency=INR","Period=FQ","BEST_FPERIOD_OVERRIDE=FQ","FILING_STATUS=OR","EQY_CONSOLIDATED=Y","FA_ADJUSTED=GAAP","Sort=A","Dates=H","DateFormat=P","Fill=—","Direction=H","UseDPDF=Y")</f>
        <v>#NAME?</v>
      </c>
      <c r="DA344" s="4" t="e">
        <f ca="1">_xll.BDH($C$328,"ACCOUNTS_PAYABLE_TURNOVER","FQ1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44" s="2" t="e">
        <f ca="1">_xll.BDH($C$328,"ACCOUNTS_PAYABLE_TURNOVER_DAYS","FQ1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44" s="4" t="e">
        <f ca="1">_xll.BDH($C$328,"CASH_CONVERSION_CYCLE","FQ1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44" s="4" t="e">
        <f ca="1">_xll.BDH($C$328,"INV_TO_CASH_DAYS","FQ1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44" s="5" t="e">
        <f ca="1">_xll.BDH($C$328,"BS_INVENTORIES","FQ1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44" s="3" t="e">
        <f ca="1">_xll.BDH($C$328,"INVTRY_RAW_MATERIALS","FQ1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44" s="3" t="e">
        <f ca="1">_xll.BDH($C$328,"INVTRY_IN_PROGRESS","FQ1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44" s="3" t="e">
        <f ca="1">_xll.BDH($C$328,"INVTRY_FINISHED_GOODS","FQ1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44" s="3" t="e">
        <f ca="1">_xll.BDH($C$328,"BS_OTHER_INV","FQ1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45" spans="1:113" x14ac:dyDescent="0.3">
      <c r="A345" s="6"/>
      <c r="B345" s="6"/>
      <c r="C345" s="6"/>
      <c r="D345" s="6"/>
      <c r="E345" t="s">
        <v>79</v>
      </c>
      <c r="F345" t="e">
        <f ca="1">_xll.BDH($C$328,"RETURN_COM_EQY","FQ2 2017","FQ2 2017","Currency=INR","Period=FQ","BEST_FPERIOD_OVERRIDE=FQ","FILING_STATUS=OR","EQY_CONSOLIDATED=Y","FA_ADJUSTED=GAAP","Sort=A","Dates=H","DateFormat=P","Fill=—","Direction=H","UseDPDF=Y")</f>
        <v>#NAME?</v>
      </c>
      <c r="G345" t="e">
        <f ca="1">_xll.BDH($C$328,"RETURN_ON_ASSET","FQ2 2017","FQ2 2017","Currency=INR","Period=FQ","BEST_FPERIOD_OVERRIDE=FQ","FILING_STATUS=OR","EQY_CONSOLIDATED=Y","FA_ADJUSTED=GAAP","Sort=A","Dates=H","DateFormat=P","Fill=—","Direction=H","UseDPDF=Y")</f>
        <v>#NAME?</v>
      </c>
      <c r="H345" t="e">
        <f ca="1">_xll.BDH($C$328,"RETURN_ON_CAP","FQ2 2017","FQ2 2017","Currency=INR","Period=FQ","BEST_FPERIOD_OVERRIDE=FQ","FILING_STATUS=OR","EQY_CONSOLIDATED=Y","FA_ADJUSTED=GAAP","Sort=A","Dates=H","DateFormat=P","Fill=—","Direction=H","UseDPDF=Y")</f>
        <v>#NAME?</v>
      </c>
      <c r="I345" t="e">
        <f ca="1">_xll.BDH($C$328,"RETURN_ON_INV_CAPITAL","FQ2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45" t="e">
        <f ca="1">_xll.BDH($C$328,"EBITDA_TO_REVENUE","FQ2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45" t="e">
        <f ca="1">_xll.BDH($C$328,"OPER_MARGIN","FQ2 2017","FQ2 2017","Currency=INR","Period=FQ","BEST_FPERIOD_OVERRIDE=FQ","FILING_STATUS=OR","EQY_CONSOLIDATED=Y","FA_ADJUSTED=GAAP","Sort=A","Dates=H","DateFormat=P","Fill=—","Direction=H","UseDPDF=Y")</f>
        <v>#NAME?</v>
      </c>
      <c r="L345" t="e">
        <f ca="1">_xll.BDH($C$328,"INCREMENTAL_OPERATING_MARGIN","FQ2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45" t="e">
        <f ca="1">_xll.BDH($C$328,"PRETAX_INC_TO_NET_SALES","FQ2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45" t="e">
        <f ca="1">_xll.BDH($C$328,"INC_BEF_XO_ITEMS_TO_NET_SALES","FQ2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45" t="e">
        <f ca="1">_xll.BDH($C$328,"PROF_MARGIN","FQ2 2017","FQ2 2017","Currency=INR","Period=FQ","BEST_FPERIOD_OVERRIDE=FQ","FILING_STATUS=OR","EQY_CONSOLIDATED=Y","FA_ADJUSTED=GAAP","Sort=A","Dates=H","DateFormat=P","Fill=—","Direction=H","UseDPDF=Y")</f>
        <v>#NAME?</v>
      </c>
      <c r="P345" t="e">
        <f ca="1">_xll.BDH($C$328,"NET_INCOME_TO_COMMON_MARGIN","FQ2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45" t="e">
        <f ca="1">_xll.BDH($C$328,"EFF_TAX_RATE","FQ2 2017","FQ2 2017","Currency=INR","Period=FQ","BEST_FPERIOD_OVERRIDE=FQ","FILING_STATUS=OR","EQY_CONSOLIDATED=Y","FA_ADJUSTED=GAAP","Sort=A","Dates=H","DateFormat=P","Fill=—","Direction=H","UseDPDF=Y")</f>
        <v>#NAME?</v>
      </c>
      <c r="R345" t="e">
        <f ca="1">_xll.BDH($C$328,"DVD_PAYOUT_RATIO","FQ2 2017","FQ2 2017","Currency=INR","Period=FQ","BEST_FPERIOD_OVERRIDE=FQ","FILING_STATUS=OR","EQY_CONSOLIDATED=Y","FA_ADJUSTED=GAAP","Sort=A","Dates=H","DateFormat=P","Fill=—","Direction=H","UseDPDF=Y")</f>
        <v>#NAME?</v>
      </c>
      <c r="S345" t="e">
        <f ca="1">_xll.BDH($C$328,"SUSTAIN_GROWTH_RT","FQ2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45" s="2" t="e">
        <f ca="1">_xll.BDH($C$328,"SALES_GROWTH","FQ2 2017","FQ2 2017","Currency=INR","Period=FQ","BEST_FPERIOD_OVERRIDE=FQ","FILING_STATUS=OR","EQY_CONSOLIDATED=Y","FA_ADJUSTED=GAAP","Sort=A","Dates=H","DateFormat=P","Fill=—","Direction=H","UseDPDF=Y")</f>
        <v>#NAME?</v>
      </c>
      <c r="U345" s="2" t="e">
        <f ca="1">_xll.BDH($C$328,"EBITDA_GROWTH","FQ2 2017","FQ2 2017","Currency=INR","Period=FQ","BEST_FPERIOD_OVERRIDE=FQ","FILING_STATUS=OR","EQY_CONSOLIDATED=Y","FA_ADJUSTED=GAAP","Sort=A","Dates=H","DateFormat=P","Fill=—","Direction=H","UseDPDF=Y")</f>
        <v>#NAME?</v>
      </c>
      <c r="V345" s="2" t="e">
        <f ca="1">_xll.BDH($C$328,"OPER_INC_GROWTH","FQ2 2017","FQ2 2017","Currency=INR","Period=FQ","BEST_FPERIOD_OVERRIDE=FQ","FILING_STATUS=OR","EQY_CONSOLIDATED=Y","FA_ADJUSTED=GAAP","Sort=A","Dates=H","DateFormat=P","Fill=—","Direction=H","UseDPDF=Y")</f>
        <v>#NAME?</v>
      </c>
      <c r="W345" s="2" t="e">
        <f ca="1">_xll.BDH($C$328,"EARN_FOR_COM_GROWTH","FQ2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45" s="2" t="e">
        <f ca="1">_xll.BDH($C$328,"DILUTED_EPS_AFT_XO_ITEMS_GROWTH","FQ2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45" s="2" t="e">
        <f ca="1">_xll.BDH($C$328,"DIVIDEND_PER_SHARE_1_YEAR_GROWTH","FQ2 2017","FQ2 2017","Currency=INR","Period=FQ","BEST_FPERIOD_OVERRIDE=FQ","FILING_STATUS=OR","EQY_CONSOLIDATED=Y","Sort=A","Dates=H","DateFormat=P","Fill=—","Direction=H","UseDPDF=Y")</f>
        <v>#NAME?</v>
      </c>
      <c r="Z345" s="2" t="e">
        <f ca="1">_xll.BDH($C$328,"ACCOUNTS_RECEIVABLE_GROWTH","FQ2 2017","FQ2 2017","Currency=INR","Period=FQ","BEST_FPERIOD_OVERRIDE=FQ","FILING_STATUS=OR","EQY_CONSOLIDATED=Y","Sort=A","Dates=H","DateFormat=P","Fill=—","Direction=H","UseDPDF=Y")</f>
        <v>#NAME?</v>
      </c>
      <c r="AA345" s="2" t="e">
        <f ca="1">_xll.BDH($C$328,"INVENTORY_GROWTH","FQ2 2017","FQ2 2017","Currency=INR","Period=FQ","BEST_FPERIOD_OVERRIDE=FQ","FILING_STATUS=OR","EQY_CONSOLIDATED=Y","Sort=A","Dates=H","DateFormat=P","Fill=—","Direction=H","UseDPDF=Y")</f>
        <v>#NAME?</v>
      </c>
      <c r="AB345" s="2" t="e">
        <f ca="1">_xll.BDH($C$328,"NET_FIXED_ASSETS_1_YEAR_GROWTH","FQ2 2017","FQ2 2017","Currency=INR","Period=FQ","BEST_FPERIOD_OVERRIDE=FQ","FILING_STATUS=OR","EQY_CONSOLIDATED=Y","Sort=A","Dates=H","DateFormat=P","Fill=—","Direction=H","UseDPDF=Y")</f>
        <v>#NAME?</v>
      </c>
      <c r="AC345" s="2" t="e">
        <f ca="1">_xll.BDH($C$328,"ASSET_GROWTH","FQ2 2017","FQ2 2017","Currency=INR","Period=FQ","BEST_FPERIOD_OVERRIDE=FQ","FILING_STATUS=OR","EQY_CONSOLIDATED=Y","Sort=A","Dates=H","DateFormat=P","Fill=—","Direction=H","UseDPDF=Y")</f>
        <v>#NAME?</v>
      </c>
      <c r="AD345" s="2" t="e">
        <f ca="1">_xll.BDH($C$328,"MODIFIED_WORK_CAP_GROWTH","FQ2 2017","FQ2 2017","Currency=INR","Period=FQ","BEST_FPERIOD_OVERRIDE=FQ","FILING_STATUS=OR","EQY_CONSOLIDATED=Y","Sort=A","Dates=H","DateFormat=P","Fill=—","Direction=H","UseDPDF=Y")</f>
        <v>#NAME?</v>
      </c>
      <c r="AE345" s="2" t="e">
        <f ca="1">_xll.BDH($C$328,"WORK_CAP_GROWTH","FQ2 2017","FQ2 2017","Currency=INR","Period=FQ","BEST_FPERIOD_OVERRIDE=FQ","FILING_STATUS=OR","EQY_CONSOLIDATED=Y","Sort=A","Dates=H","DateFormat=P","Fill=—","Direction=H","UseDPDF=Y")</f>
        <v>#NAME?</v>
      </c>
      <c r="AF345" s="2" t="e">
        <f ca="1">_xll.BDH($C$328,"ACCOUNTS_PAYABLE_GROWTH_1YR","FQ2 2017","FQ2 2017","Currency=INR","Period=FQ","BEST_FPERIOD_OVERRIDE=FQ","FILING_STATUS=OR","EQY_CONSOLIDATED=Y","Sort=A","Dates=H","DateFormat=P","Fill=—","Direction=H","UseDPDF=Y")</f>
        <v>#NAME?</v>
      </c>
      <c r="AG345" s="2" t="e">
        <f ca="1">_xll.BDH($C$328,"SHORT_TERM_DEBT_1_YEAR_GROWTH","FQ2 2017","FQ2 2017","Currency=INR","Period=FQ","BEST_FPERIOD_OVERRIDE=FQ","FILING_STATUS=OR","EQY_CONSOLIDATED=Y","Sort=A","Dates=H","DateFormat=P","Fill=—","Direction=H","UseDPDF=Y")</f>
        <v>#NAME?</v>
      </c>
      <c r="AH345" s="2" t="e">
        <f ca="1">_xll.BDH($C$328,"TOTAL_DEBT_1_YEAR_GROWTH","FQ2 2017","FQ2 2017","Currency=INR","Period=FQ","BEST_FPERIOD_OVERRIDE=FQ","FILING_STATUS=OR","EQY_CONSOLIDATED=Y","Sort=A","Dates=H","DateFormat=P","Fill=—","Direction=H","UseDPDF=Y")</f>
        <v>#NAME?</v>
      </c>
      <c r="AI345" s="2" t="e">
        <f ca="1">_xll.BDH($C$328,"TOTAL_EQUITY_1_YEAR_GROWTH","FQ2 2017","FQ2 2017","Currency=INR","Period=FQ","BEST_FPERIOD_OVERRIDE=FQ","FILING_STATUS=OR","EQY_CONSOLIDATED=Y","Sort=A","Dates=H","DateFormat=P","Fill=—","Direction=H","UseDPDF=Y")</f>
        <v>#NAME?</v>
      </c>
      <c r="AJ345" s="2" t="e">
        <f ca="1">_xll.BDH($C$328,"GROWTH_IN_CAP","FQ2 2017","FQ2 2017","Currency=INR","Period=FQ","BEST_FPERIOD_OVERRIDE=FQ","FILING_STATUS=OR","EQY_CONSOLIDATED=Y","Sort=A","Dates=H","DateFormat=P","Fill=—","Direction=H","UseDPDF=Y")</f>
        <v>#NAME?</v>
      </c>
      <c r="AK345" s="2" t="e">
        <f ca="1">_xll.BDH($C$328,"BVPS_GROWTH","FQ2 2017","FQ2 2017","Currency=INR","Period=FQ","BEST_FPERIOD_OVERRIDE=FQ","FILING_STATUS=OR","EQY_CONSOLIDATED=Y","Sort=A","Dates=H","DateFormat=P","Fill=—","Direction=H","UseDPDF=Y")</f>
        <v>#NAME?</v>
      </c>
      <c r="AL345" s="2" t="e">
        <f ca="1">_xll.BDH($C$328,"CASH_FLOW_GROWTH","FQ2 2017","FQ2 2017","Currency=INR","Period=FQ","BEST_FPERIOD_OVERRIDE=FQ","FILING_STATUS=OR","EQY_CONSOLIDATED=Y","Sort=A","Dates=H","DateFormat=P","Fill=—","Direction=H","UseDPDF=Y")</f>
        <v>#NAME?</v>
      </c>
      <c r="AM345" s="2" t="e">
        <f ca="1">_xll.BDH($C$328,"GEO_GROW_NET_SALES","FQ2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45" s="2" t="e">
        <f ca="1">_xll.BDH($C$328,"GEO_GROW_EBITDA","FQ2 2017","FQ2 2017","Currency=INR","Period=FQ","BEST_FPERIOD_OVERRIDE=FQ","FILING_STATUS=OR","EQY_CONSOLIDATED=Y","FA_ADJUSTED=GAAP","Sort=A","Dates=H","DateFormat=P","Fill=—","Direction=H","UseDPDF=Y")</f>
        <v>#NAME?</v>
      </c>
      <c r="AO345" s="2" t="e">
        <f ca="1">_xll.BDH($C$328,"GEO_GROW_OPER_INC","FQ2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45" s="2" t="e">
        <f ca="1">_xll.BDH($C$328,"NET_INCOME_TO_COMMON_5_YR_GROWTH","FQ2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45" s="2" t="e">
        <f ca="1">_xll.BDH($C$328,"5Y_GEO_GROWTH_DILUTED_EPS","FQ2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45" s="2" t="e">
        <f ca="1">_xll.BDH($C$328,"GEO_GROW_DVD_PER_SH","FQ2 2017","FQ2 2017","Currency=INR","Period=FQ","BEST_FPERIOD_OVERRIDE=FQ","FILING_STATUS=OR","EQY_CONSOLIDATED=Y","Sort=A","Dates=H","DateFormat=P","Fill=—","Direction=H","UseDPDF=Y")</f>
        <v>#NAME?</v>
      </c>
      <c r="AS345" s="2" t="e">
        <f ca="1">_xll.BDH($C$328,"ACCOUNTS_RECEIVABLE_5_YR_GROWTH","FQ2 2017","FQ2 2017","Currency=INR","Period=FQ","BEST_FPERIOD_OVERRIDE=FQ","FILING_STATUS=OR","EQY_CONSOLIDATED=Y","Sort=A","Dates=H","DateFormat=P","Fill=—","Direction=H","UseDPDF=Y")</f>
        <v>#NAME?</v>
      </c>
      <c r="AT345" s="2" t="e">
        <f ca="1">_xll.BDH($C$328,"INVENTORY_5_YEAR_GROWTH","FQ2 2017","FQ2 2017","Currency=INR","Period=FQ","BEST_FPERIOD_OVERRIDE=FQ","FILING_STATUS=OR","EQY_CONSOLIDATED=Y","Sort=A","Dates=H","DateFormat=P","Fill=—","Direction=H","UseDPDF=Y")</f>
        <v>#NAME?</v>
      </c>
      <c r="AU345" s="2" t="e">
        <f ca="1">_xll.BDH($C$328,"NET_FIXED_ASSETS_5_YEAR_GROWTH","FQ2 2017","FQ2 2017","Currency=INR","Period=FQ","BEST_FPERIOD_OVERRIDE=FQ","FILING_STATUS=OR","EQY_CONSOLIDATED=Y","Sort=A","Dates=H","DateFormat=P","Fill=—","Direction=H","UseDPDF=Y")</f>
        <v>#NAME?</v>
      </c>
      <c r="AV345" s="2" t="e">
        <f ca="1">_xll.BDH($C$328,"GEO_GROW_TOT_ASSET","FQ2 2017","FQ2 2017","Currency=INR","Period=FQ","BEST_FPERIOD_OVERRIDE=FQ","FILING_STATUS=OR","EQY_CONSOLIDATED=Y","Sort=A","Dates=H","DateFormat=P","Fill=—","Direction=H","UseDPDF=Y")</f>
        <v>#NAME?</v>
      </c>
      <c r="AW345" s="2" t="e">
        <f ca="1">_xll.BDH($C$328,"MODIFIED_WORKING_CPTL_5YR_GRWTH","FQ2 2017","FQ2 2017","Currency=INR","Period=FQ","BEST_FPERIOD_OVERRIDE=FQ","FILING_STATUS=OR","EQY_CONSOLIDATED=Y","Sort=A","Dates=H","DateFormat=P","Fill=—","Direction=H","UseDPDF=Y")</f>
        <v>#NAME?</v>
      </c>
      <c r="AX345" s="2" t="e">
        <f ca="1">_xll.BDH($C$328,"WORKING_CAPITAL_5_YEAR_GROWTH","FQ2 2017","FQ2 2017","Currency=INR","Period=FQ","BEST_FPERIOD_OVERRIDE=FQ","FILING_STATUS=OR","EQY_CONSOLIDATED=Y","Sort=A","Dates=H","DateFormat=P","Fill=—","Direction=H","UseDPDF=Y")</f>
        <v>#NAME?</v>
      </c>
      <c r="AY345" s="2" t="e">
        <f ca="1">_xll.BDH($C$328,"ACCOUNTS_PAYABLE_5_YEAR_GROWTH","FQ2 2017","FQ2 2017","Currency=INR","Period=FQ","BEST_FPERIOD_OVERRIDE=FQ","FILING_STATUS=OR","EQY_CONSOLIDATED=Y","Sort=A","Dates=H","DateFormat=P","Fill=—","Direction=H","UseDPDF=Y")</f>
        <v>#NAME?</v>
      </c>
      <c r="AZ345" s="2" t="e">
        <f ca="1">_xll.BDH($C$328,"SHORT_TERM_DEBT_5_YEAR_GROWTH","FQ2 2017","FQ2 2017","Currency=INR","Period=FQ","BEST_FPERIOD_OVERRIDE=FQ","FILING_STATUS=OR","EQY_CONSOLIDATED=Y","Sort=A","Dates=H","DateFormat=P","Fill=—","Direction=H","UseDPDF=Y")</f>
        <v>#NAME?</v>
      </c>
      <c r="BA345" s="2" t="e">
        <f ca="1">_xll.BDH($C$328,"TOTAL_DEBT_5_YEAR_GROWTH","FQ2 2017","FQ2 2017","Currency=INR","Period=FQ","BEST_FPERIOD_OVERRIDE=FQ","FILING_STATUS=OR","EQY_CONSOLIDATED=Y","Sort=A","Dates=H","DateFormat=P","Fill=—","Direction=H","UseDPDF=Y")</f>
        <v>#NAME?</v>
      </c>
      <c r="BB345" s="2" t="e">
        <f ca="1">_xll.BDH($C$328,"GEO_GROW_TOT_SHRHLDR_EQY","FQ2 2017","FQ2 2017","Currency=INR","Period=FQ","BEST_FPERIOD_OVERRIDE=FQ","FILING_STATUS=OR","EQY_CONSOLIDATED=Y","Sort=A","Dates=H","DateFormat=P","Fill=—","Direction=H","UseDPDF=Y")</f>
        <v>#NAME?</v>
      </c>
      <c r="BC345" s="2" t="e">
        <f ca="1">_xll.BDH($C$328,"TOTAL_CAPITAL_5_YEAR_GROWTH","FQ2 2017","FQ2 2017","Currency=INR","Period=FQ","BEST_FPERIOD_OVERRIDE=FQ","FILING_STATUS=OR","EQY_CONSOLIDATED=Y","Sort=A","Dates=H","DateFormat=P","Fill=—","Direction=H","UseDPDF=Y")</f>
        <v>#NAME?</v>
      </c>
      <c r="BD345" s="2" t="e">
        <f ca="1">_xll.BDH($C$328,"GEO_GROW_BOOK_VAL","FQ2 2017","FQ2 2017","Currency=INR","Period=FQ","BEST_FPERIOD_OVERRIDE=FQ","FILING_STATUS=OR","EQY_CONSOLIDATED=Y","Sort=A","Dates=H","DateFormat=P","Fill=—","Direction=H","UseDPDF=Y")</f>
        <v>#NAME?</v>
      </c>
      <c r="BE345" s="2" t="e">
        <f ca="1">_xll.BDH($C$328,"GEO_GROW_CASH_OPER_ACT","FQ2 2017","FQ2 2017","Currency=INR","Period=FQ","BEST_FPERIOD_OVERRIDE=FQ","FILING_STATUS=OR","EQY_CONSOLIDATED=Y","Sort=A","Dates=H","DateFormat=P","Fill=—","Direction=H","UseDPDF=Y")</f>
        <v>#NAME?</v>
      </c>
      <c r="BF345" s="2" t="e">
        <f ca="1">_xll.BDH($C$328,"REVENUE_SEQUENTIAL_GROWTH","FQ2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45" s="2" t="e">
        <f ca="1">_xll.BDH($C$328,"EBITDA_SEQUENTIAL_GROWTH","FQ2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45" s="2" t="e">
        <f ca="1">_xll.BDH($C$328,"OPERATING_INCOME_SEQ_GROWTH","FQ2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45" s="2" t="e">
        <f ca="1">_xll.BDH($C$328,"NET_INCOME_TO_COMMON_SEQ_GROWTH","FQ2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45" s="2" t="e">
        <f ca="1">_xll.BDH($C$328,"EPS_DILUTED_SEQUENTIAL_GROWTH","FQ2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45" s="2" t="e">
        <f ca="1">_xll.BDH($C$328,"DPS_SEQUENTIAL_GROWTH","FQ2 2017","FQ2 2017","Currency=INR","Period=FQ","BEST_FPERIOD_OVERRIDE=FQ","FILING_STATUS=OR","EQY_CONSOLIDATED=Y","Sort=A","Dates=H","DateFormat=P","Fill=—","Direction=H","UseDPDF=Y")</f>
        <v>#NAME?</v>
      </c>
      <c r="BL345" s="2" t="e">
        <f ca="1">_xll.BDH($C$328,"ACCOUNTS_RECEIVABLE_SEQ_GROWTH","FQ2 2017","FQ2 2017","Currency=INR","Period=FQ","BEST_FPERIOD_OVERRIDE=FQ","FILING_STATUS=OR","EQY_CONSOLIDATED=Y","Sort=A","Dates=H","DateFormat=P","Fill=—","Direction=H","UseDPDF=Y")</f>
        <v>#NAME?</v>
      </c>
      <c r="BM345" s="2" t="e">
        <f ca="1">_xll.BDH($C$328,"INVENTORY_SEQUENTIAL_GROWTH","FQ2 2017","FQ2 2017","Currency=INR","Period=FQ","BEST_FPERIOD_OVERRIDE=FQ","FILING_STATUS=OR","EQY_CONSOLIDATED=Y","Sort=A","Dates=H","DateFormat=P","Fill=—","Direction=H","UseDPDF=Y")</f>
        <v>#NAME?</v>
      </c>
      <c r="BN345" s="2" t="e">
        <f ca="1">_xll.BDH($C$328,"FIXED_ASSETS_SEQUENTIAL_GROWTH","FQ2 2017","FQ2 2017","Currency=INR","Period=FQ","BEST_FPERIOD_OVERRIDE=FQ","FILING_STATUS=OR","EQY_CONSOLIDATED=Y","Sort=A","Dates=H","DateFormat=P","Fill=—","Direction=H","UseDPDF=Y")</f>
        <v>#NAME?</v>
      </c>
      <c r="BO345" s="2" t="e">
        <f ca="1">_xll.BDH($C$328,"TOTAL_ASSETS_SEQUENTIAL_GROWTH","FQ2 2017","FQ2 2017","Currency=INR","Period=FQ","BEST_FPERIOD_OVERRIDE=FQ","FILING_STATUS=OR","EQY_CONSOLIDATED=Y","Sort=A","Dates=H","DateFormat=P","Fill=—","Direction=H","UseDPDF=Y")</f>
        <v>#NAME?</v>
      </c>
      <c r="BP345" s="2" t="e">
        <f ca="1">_xll.BDH($C$328,"MODIFIED_WORKING_CPTL_SEQ_GRWTH","FQ2 2017","FQ2 2017","Currency=INR","Period=FQ","BEST_FPERIOD_OVERRIDE=FQ","FILING_STATUS=OR","EQY_CONSOLIDATED=Y","Sort=A","Dates=H","DateFormat=P","Fill=—","Direction=H","UseDPDF=Y")</f>
        <v>#NAME?</v>
      </c>
      <c r="BQ345" s="2" t="e">
        <f ca="1">_xll.BDH($C$328,"WORKING_CAPITAL_SEQ_GROWTH","FQ2 2017","FQ2 2017","Currency=INR","Period=FQ","BEST_FPERIOD_OVERRIDE=FQ","FILING_STATUS=OR","EQY_CONSOLIDATED=Y","Sort=A","Dates=H","DateFormat=P","Fill=—","Direction=H","UseDPDF=Y")</f>
        <v>#NAME?</v>
      </c>
      <c r="BR345" s="2" t="e">
        <f ca="1">_xll.BDH($C$328,"ACCOUNTS_PAYABLE_SEQ_GROWTH","FQ2 2017","FQ2 2017","Currency=INR","Period=FQ","BEST_FPERIOD_OVERRIDE=FQ","FILING_STATUS=OR","EQY_CONSOLIDATED=Y","Sort=A","Dates=H","DateFormat=P","Fill=—","Direction=H","UseDPDF=Y")</f>
        <v>#NAME?</v>
      </c>
      <c r="BS345" s="2" t="e">
        <f ca="1">_xll.BDH($C$328,"ST_DEBT_SEQUENTIAL_GROWTH","FQ2 2017","FQ2 2017","Currency=INR","Period=FQ","BEST_FPERIOD_OVERRIDE=FQ","FILING_STATUS=OR","EQY_CONSOLIDATED=Y","Sort=A","Dates=H","DateFormat=P","Fill=—","Direction=H","UseDPDF=Y")</f>
        <v>#NAME?</v>
      </c>
      <c r="BT345" s="2" t="e">
        <f ca="1">_xll.BDH($C$328,"TOTAL_DEBT_SEQUENTIAL_GROWTH","FQ2 2017","FQ2 2017","Currency=INR","Period=FQ","BEST_FPERIOD_OVERRIDE=FQ","FILING_STATUS=OR","EQY_CONSOLIDATED=Y","Sort=A","Dates=H","DateFormat=P","Fill=—","Direction=H","UseDPDF=Y")</f>
        <v>#NAME?</v>
      </c>
      <c r="BU345" s="2" t="e">
        <f ca="1">_xll.BDH($C$328,"TOTAL_EQUITY_SEQUENTIAL_GROWTH","FQ2 2017","FQ2 2017","Currency=INR","Period=FQ","BEST_FPERIOD_OVERRIDE=FQ","FILING_STATUS=OR","EQY_CONSOLIDATED=Y","Sort=A","Dates=H","DateFormat=P","Fill=—","Direction=H","UseDPDF=Y")</f>
        <v>#NAME?</v>
      </c>
      <c r="BV345" s="2" t="e">
        <f ca="1">_xll.BDH($C$328,"TOTAL_CAPITAL_SEQUENTIAL_GROWTH","FQ2 2017","FQ2 2017","Currency=INR","Period=FQ","BEST_FPERIOD_OVERRIDE=FQ","FILING_STATUS=OR","EQY_CONSOLIDATED=Y","Sort=A","Dates=H","DateFormat=P","Fill=—","Direction=H","UseDPDF=Y")</f>
        <v>#NAME?</v>
      </c>
      <c r="BW345" s="2" t="e">
        <f ca="1">_xll.BDH($C$328,"BPS_SEQUENTIAL_GROWTH","FQ2 2017","FQ2 2017","Currency=INR","Period=FQ","BEST_FPERIOD_OVERRIDE=FQ","FILING_STATUS=OR","EQY_CONSOLIDATED=Y","Sort=A","Dates=H","DateFormat=P","Fill=—","Direction=H","UseDPDF=Y")</f>
        <v>#NAME?</v>
      </c>
      <c r="BX345" s="2" t="e">
        <f ca="1">_xll.BDH($C$328,"CFO_SEQUENTIAL_GROWTH","FQ2 2017","FQ2 2017","Currency=INR","Period=FQ","BEST_FPERIOD_OVERRIDE=FQ","FILING_STATUS=OR","EQY_CONSOLIDATED=Y","Sort=A","Dates=H","DateFormat=P","Fill=—","Direction=H","UseDPDF=Y")</f>
        <v>#NAME?</v>
      </c>
      <c r="BY345" s="3" t="e">
        <f ca="1">_xll.BDH($C$328,"SHORT_AND_LONG_TERM_DEBT","FQ2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45" s="3" t="e">
        <f ca="1">_xll.BDH($C$328,"BS_ST_BORROW","FQ2 2017","FQ2 2017","Currency=INR","Period=FQ","BEST_FPERIOD_OVERRIDE=FQ","FILING_STATUS=OR","EQY_CONSOLIDATED=Y","SCALING_FORMAT=MLN","Sort=A","Dates=H","DateFormat=P","Fill=—","Direction=H","UseDPDF=Y")</f>
        <v>#NAME?</v>
      </c>
      <c r="CA345" s="3" t="e">
        <f ca="1">_xll.BDH($C$328,"BS_LT_BORROW","FQ2 2017","FQ2 2017","Currency=INR","Period=FQ","BEST_FPERIOD_OVERRIDE=FQ","FILING_STATUS=OR","EQY_CONSOLIDATED=Y","SCALING_FORMAT=MLN","Sort=A","Dates=H","DateFormat=P","Fill=—","Direction=H","UseDPDF=Y")</f>
        <v>#NAME?</v>
      </c>
      <c r="CB345" s="2" t="e">
        <f ca="1">_xll.BDH($C$328,"TOT_DEBT_TO_EBITDA","FQ2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45" s="2" t="e">
        <f ca="1">_xll.BDH($C$328,"NET_DEBT_TO_EBITDA","FQ2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45" s="2" t="e">
        <f ca="1">_xll.BDH($C$328,"TOTAL_DEBT_TO_EBIT","FQ2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45" s="2" t="e">
        <f ca="1">_xll.BDH($C$328,"NET_DEBT_TO_EBIT","FQ2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45" s="2" t="e">
        <f ca="1">_xll.BDH($C$328,"EBITDA_TO_INTEREST_EXPN","FQ2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45" s="2" t="e">
        <f ca="1">_xll.BDH($C$328,"COM_EQY_TO_TOT_ASSET","FQ2 2017","FQ2 2017","Currency=INR","Period=FQ","BEST_FPERIOD_OVERRIDE=FQ","FILING_STATUS=OR","EQY_CONSOLIDATED=Y","Sort=A","Dates=H","DateFormat=P","Fill=—","Direction=H","UseDPDF=Y")</f>
        <v>#NAME?</v>
      </c>
      <c r="CH345" s="2" t="e">
        <f ca="1">_xll.BDH($C$328,"LT_DEBT_TO_TOT_EQY","FQ2 2017","FQ2 2017","Currency=INR","Period=FQ","BEST_FPERIOD_OVERRIDE=FQ","FILING_STATUS=OR","EQY_CONSOLIDATED=Y","Sort=A","Dates=H","DateFormat=P","Fill=—","Direction=H","UseDPDF=Y")</f>
        <v>#NAME?</v>
      </c>
      <c r="CI345" s="2" t="e">
        <f ca="1">_xll.BDH($C$328,"LT_DEBT_TO_TOT_CAP","FQ2 2017","FQ2 2017","Currency=INR","Period=FQ","BEST_FPERIOD_OVERRIDE=FQ","FILING_STATUS=OR","EQY_CONSOLIDATED=Y","Sort=A","Dates=H","DateFormat=P","Fill=—","Direction=H","UseDPDF=Y")</f>
        <v>#NAME?</v>
      </c>
      <c r="CJ345" s="2" t="e">
        <f ca="1">_xll.BDH($C$328,"LT_DEBT_TO_TOT_ASSET","FQ2 2017","FQ2 2017","Currency=INR","Period=FQ","BEST_FPERIOD_OVERRIDE=FQ","FILING_STATUS=OR","EQY_CONSOLIDATED=Y","Sort=A","Dates=H","DateFormat=P","Fill=—","Direction=H","UseDPDF=Y")</f>
        <v>#NAME?</v>
      </c>
      <c r="CK345" s="2" t="e">
        <f ca="1">_xll.BDH($C$328,"TOT_DEBT_TO_TOT_EQY","FQ2 2017","FQ2 2017","Currency=INR","Period=FQ","BEST_FPERIOD_OVERRIDE=FQ","FILING_STATUS=OR","EQY_CONSOLIDATED=Y","Sort=A","Dates=H","DateFormat=P","Fill=—","Direction=H","UseDPDF=Y")</f>
        <v>#NAME?</v>
      </c>
      <c r="CL345" s="2" t="e">
        <f ca="1">_xll.BDH($C$328,"TOT_DEBT_TO_TOT_CAP","FQ2 2017","FQ2 2017","Currency=INR","Period=FQ","BEST_FPERIOD_OVERRIDE=FQ","FILING_STATUS=OR","EQY_CONSOLIDATED=Y","Sort=A","Dates=H","DateFormat=P","Fill=—","Direction=H","UseDPDF=Y")</f>
        <v>#NAME?</v>
      </c>
      <c r="CM345" s="2" t="e">
        <f ca="1">_xll.BDH($C$328,"TOT_DEBT_TO_TOT_ASSET","FQ2 2017","FQ2 2017","Currency=INR","Period=FQ","BEST_FPERIOD_OVERRIDE=FQ","FILING_STATUS=OR","EQY_CONSOLIDATED=Y","Sort=A","Dates=H","DateFormat=P","Fill=—","Direction=H","UseDPDF=Y")</f>
        <v>#NAME?</v>
      </c>
      <c r="CN345" s="2" t="e">
        <f ca="1">_xll.BDH($C$328,"NET_DEBT_TO_SHRHLDR_EQTY","FQ2 2017","FQ2 2017","Currency=INR","Period=FQ","BEST_FPERIOD_OVERRIDE=FQ","FILING_STATUS=OR","EQY_CONSOLIDATED=Y","Sort=A","Dates=H","DateFormat=P","Fill=—","Direction=H","UseDPDF=Y")</f>
        <v>#NAME?</v>
      </c>
      <c r="CO345" s="2" t="e">
        <f ca="1">_xll.BDH($C$328,"NET_DEBT_%_CAPITAL","FQ2 2017","FQ2 2017","Currency=INR","Period=FQ","BEST_FPERIOD_OVERRIDE=FQ","FILING_STATUS=OR","EQY_CONSOLIDATED=Y","Sort=A","Dates=H","DateFormat=P","Fill=—","Direction=H","UseDPDF=Y")</f>
        <v>#NAME?</v>
      </c>
      <c r="CP345" s="3" t="e">
        <f ca="1">_xll.BDH($C$328,"EBITDA","FQ2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45" s="3" t="e">
        <f ca="1">_xll.BDH($C$328,"EBITDA_AFTER_CAPEX","FQ2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45" s="3" t="e">
        <f ca="1">_xll.BDH($C$328,"IS_OPER_INC","FQ2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45" s="2" t="e">
        <f ca="1">_xll.BDH($C$328,"CASH_RATIO","FQ2 2017","FQ2 2017","Currency=INR","Period=FQ","BEST_FPERIOD_OVERRIDE=FQ","FILING_STATUS=OR","EQY_CONSOLIDATED=Y","Sort=A","Dates=H","DateFormat=P","Fill=—","Direction=H","UseDPDF=Y")</f>
        <v>#NAME?</v>
      </c>
      <c r="CT345" s="2" t="e">
        <f ca="1">_xll.BDH($C$328,"CUR_RATIO","FQ2 2017","FQ2 2017","Currency=INR","Period=FQ","BEST_FPERIOD_OVERRIDE=FQ","FILING_STATUS=OR","EQY_CONSOLIDATED=Y","Sort=A","Dates=H","DateFormat=P","Fill=—","Direction=H","UseDPDF=Y")</f>
        <v>#NAME?</v>
      </c>
      <c r="CU345" s="2" t="e">
        <f ca="1">_xll.BDH($C$328,"QUICK_RATIO","FQ2 2017","FQ2 2017","Currency=INR","Period=FQ","BEST_FPERIOD_OVERRIDE=FQ","FILING_STATUS=OR","EQY_CONSOLIDATED=Y","Sort=A","Dates=H","DateFormat=P","Fill=—","Direction=H","UseDPDF=Y")</f>
        <v>#NAME?</v>
      </c>
      <c r="CV345" s="2" t="e">
        <f ca="1">_xll.BDH($C$328,"ALTMAN_Z_SCORE","FQ2 2017","FQ2 2017","Currency=INR","Period=FQ","BEST_FPERIOD_OVERRIDE=FQ","FILING_STATUS=OR","EQY_CONSOLIDATED=Y","Sort=A","Dates=H","DateFormat=P","Fill=—","Direction=H","UseDPDF=Y")</f>
        <v>#NAME?</v>
      </c>
      <c r="CW345" s="4" t="e">
        <f ca="1">_xll.BDH($C$328,"ACCT_RCV_TURN","FQ2 2017","FQ2 2017","Currency=INR","Period=FQ","BEST_FPERIOD_OVERRIDE=FQ","FILING_STATUS=OR","EQY_CONSOLIDATED=Y","FA_ADJUSTED=GAAP","Sort=A","Dates=H","DateFormat=P","Fill=—","Direction=H","UseDPDF=Y")</f>
        <v>#NAME?</v>
      </c>
      <c r="CX345" s="2" t="e">
        <f ca="1">_xll.BDH($C$328,"ACCT_RCV_DAYS","FQ2 2017","FQ2 2017","Currency=INR","Period=FQ","BEST_FPERIOD_OVERRIDE=FQ","FILING_STATUS=OR","EQY_CONSOLIDATED=Y","FA_ADJUSTED=GAAP","Sort=A","Dates=H","DateFormat=P","Fill=—","Direction=H","UseDPDF=Y")</f>
        <v>#NAME?</v>
      </c>
      <c r="CY345" s="4" t="e">
        <f ca="1">_xll.BDH($C$328,"INVENT_TURN","FQ2 2017","FQ2 2017","Currency=INR","Period=FQ","BEST_FPERIOD_OVERRIDE=FQ","FILING_STATUS=OR","EQY_CONSOLIDATED=Y","FA_ADJUSTED=GAAP","Sort=A","Dates=H","DateFormat=P","Fill=—","Direction=H","UseDPDF=Y")</f>
        <v>#NAME?</v>
      </c>
      <c r="CZ345" s="2" t="e">
        <f ca="1">_xll.BDH($C$328,"INVENT_DAYS","FQ2 2017","FQ2 2017","Currency=INR","Period=FQ","BEST_FPERIOD_OVERRIDE=FQ","FILING_STATUS=OR","EQY_CONSOLIDATED=Y","FA_ADJUSTED=GAAP","Sort=A","Dates=H","DateFormat=P","Fill=—","Direction=H","UseDPDF=Y")</f>
        <v>#NAME?</v>
      </c>
      <c r="DA345" s="4" t="e">
        <f ca="1">_xll.BDH($C$328,"ACCOUNTS_PAYABLE_TURNOVER","FQ2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45" s="2" t="e">
        <f ca="1">_xll.BDH($C$328,"ACCOUNTS_PAYABLE_TURNOVER_DAYS","FQ2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45" s="4" t="e">
        <f ca="1">_xll.BDH($C$328,"CASH_CONVERSION_CYCLE","FQ2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45" s="4" t="e">
        <f ca="1">_xll.BDH($C$328,"INV_TO_CASH_DAYS","FQ2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45" s="5" t="e">
        <f ca="1">_xll.BDH($C$328,"BS_INVENTORIES","FQ2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45" s="3" t="e">
        <f ca="1">_xll.BDH($C$328,"INVTRY_RAW_MATERIALS","FQ2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45" s="3" t="e">
        <f ca="1">_xll.BDH($C$328,"INVTRY_IN_PROGRESS","FQ2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45" s="3" t="e">
        <f ca="1">_xll.BDH($C$328,"INVTRY_FINISHED_GOODS","FQ2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45" s="3" t="e">
        <f ca="1">_xll.BDH($C$328,"BS_OTHER_INV","FQ2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46" spans="1:113" x14ac:dyDescent="0.3">
      <c r="A346" s="6"/>
      <c r="B346" s="6"/>
      <c r="C346" s="6"/>
      <c r="D346" s="6"/>
      <c r="E346" t="s">
        <v>80</v>
      </c>
      <c r="F346" t="e">
        <f ca="1">_xll.BDH($C$328,"RETURN_COM_EQY","FQ3 2017","FQ3 2017","Currency=INR","Period=FQ","BEST_FPERIOD_OVERRIDE=FQ","FILING_STATUS=OR","EQY_CONSOLIDATED=Y","FA_ADJUSTED=GAAP","Sort=A","Dates=H","DateFormat=P","Fill=—","Direction=H","UseDPDF=Y")</f>
        <v>#NAME?</v>
      </c>
      <c r="G346" t="e">
        <f ca="1">_xll.BDH($C$328,"RETURN_ON_ASSET","FQ3 2017","FQ3 2017","Currency=INR","Period=FQ","BEST_FPERIOD_OVERRIDE=FQ","FILING_STATUS=OR","EQY_CONSOLIDATED=Y","FA_ADJUSTED=GAAP","Sort=A","Dates=H","DateFormat=P","Fill=—","Direction=H","UseDPDF=Y")</f>
        <v>#NAME?</v>
      </c>
      <c r="H346" t="e">
        <f ca="1">_xll.BDH($C$328,"RETURN_ON_CAP","FQ3 2017","FQ3 2017","Currency=INR","Period=FQ","BEST_FPERIOD_OVERRIDE=FQ","FILING_STATUS=OR","EQY_CONSOLIDATED=Y","FA_ADJUSTED=GAAP","Sort=A","Dates=H","DateFormat=P","Fill=—","Direction=H","UseDPDF=Y")</f>
        <v>#NAME?</v>
      </c>
      <c r="I346" t="e">
        <f ca="1">_xll.BDH($C$328,"RETURN_ON_INV_CAPITAL","FQ3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46" t="e">
        <f ca="1">_xll.BDH($C$328,"EBITDA_TO_REVENUE","FQ3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46" t="e">
        <f ca="1">_xll.BDH($C$328,"OPER_MARGIN","FQ3 2017","FQ3 2017","Currency=INR","Period=FQ","BEST_FPERIOD_OVERRIDE=FQ","FILING_STATUS=OR","EQY_CONSOLIDATED=Y","FA_ADJUSTED=GAAP","Sort=A","Dates=H","DateFormat=P","Fill=—","Direction=H","UseDPDF=Y")</f>
        <v>#NAME?</v>
      </c>
      <c r="L346" t="e">
        <f ca="1">_xll.BDH($C$328,"INCREMENTAL_OPERATING_MARGIN","FQ3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46" t="e">
        <f ca="1">_xll.BDH($C$328,"PRETAX_INC_TO_NET_SALES","FQ3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46" t="e">
        <f ca="1">_xll.BDH($C$328,"INC_BEF_XO_ITEMS_TO_NET_SALES","FQ3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46" t="e">
        <f ca="1">_xll.BDH($C$328,"PROF_MARGIN","FQ3 2017","FQ3 2017","Currency=INR","Period=FQ","BEST_FPERIOD_OVERRIDE=FQ","FILING_STATUS=OR","EQY_CONSOLIDATED=Y","FA_ADJUSTED=GAAP","Sort=A","Dates=H","DateFormat=P","Fill=—","Direction=H","UseDPDF=Y")</f>
        <v>#NAME?</v>
      </c>
      <c r="P346" t="e">
        <f ca="1">_xll.BDH($C$328,"NET_INCOME_TO_COMMON_MARGIN","FQ3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46" t="e">
        <f ca="1">_xll.BDH($C$328,"EFF_TAX_RATE","FQ3 2017","FQ3 2017","Currency=INR","Period=FQ","BEST_FPERIOD_OVERRIDE=FQ","FILING_STATUS=OR","EQY_CONSOLIDATED=Y","FA_ADJUSTED=GAAP","Sort=A","Dates=H","DateFormat=P","Fill=—","Direction=H","UseDPDF=Y")</f>
        <v>#NAME?</v>
      </c>
      <c r="R346" t="e">
        <f ca="1">_xll.BDH($C$328,"DVD_PAYOUT_RATIO","FQ3 2017","FQ3 2017","Currency=INR","Period=FQ","BEST_FPERIOD_OVERRIDE=FQ","FILING_STATUS=OR","EQY_CONSOLIDATED=Y","FA_ADJUSTED=GAAP","Sort=A","Dates=H","DateFormat=P","Fill=—","Direction=H","UseDPDF=Y")</f>
        <v>#NAME?</v>
      </c>
      <c r="S346" t="e">
        <f ca="1">_xll.BDH($C$328,"SUSTAIN_GROWTH_RT","FQ3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46" s="2" t="e">
        <f ca="1">_xll.BDH($C$328,"SALES_GROWTH","FQ3 2017","FQ3 2017","Currency=INR","Period=FQ","BEST_FPERIOD_OVERRIDE=FQ","FILING_STATUS=OR","EQY_CONSOLIDATED=Y","FA_ADJUSTED=GAAP","Sort=A","Dates=H","DateFormat=P","Fill=—","Direction=H","UseDPDF=Y")</f>
        <v>#NAME?</v>
      </c>
      <c r="U346" s="2" t="e">
        <f ca="1">_xll.BDH($C$328,"EBITDA_GROWTH","FQ3 2017","FQ3 2017","Currency=INR","Period=FQ","BEST_FPERIOD_OVERRIDE=FQ","FILING_STATUS=OR","EQY_CONSOLIDATED=Y","FA_ADJUSTED=GAAP","Sort=A","Dates=H","DateFormat=P","Fill=—","Direction=H","UseDPDF=Y")</f>
        <v>#NAME?</v>
      </c>
      <c r="V346" s="2" t="e">
        <f ca="1">_xll.BDH($C$328,"OPER_INC_GROWTH","FQ3 2017","FQ3 2017","Currency=INR","Period=FQ","BEST_FPERIOD_OVERRIDE=FQ","FILING_STATUS=OR","EQY_CONSOLIDATED=Y","FA_ADJUSTED=GAAP","Sort=A","Dates=H","DateFormat=P","Fill=—","Direction=H","UseDPDF=Y")</f>
        <v>#NAME?</v>
      </c>
      <c r="W346" s="2" t="e">
        <f ca="1">_xll.BDH($C$328,"EARN_FOR_COM_GROWTH","FQ3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46" s="2" t="e">
        <f ca="1">_xll.BDH($C$328,"DILUTED_EPS_AFT_XO_ITEMS_GROWTH","FQ3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46" s="2" t="e">
        <f ca="1">_xll.BDH($C$328,"DIVIDEND_PER_SHARE_1_YEAR_GROWTH","FQ3 2017","FQ3 2017","Currency=INR","Period=FQ","BEST_FPERIOD_OVERRIDE=FQ","FILING_STATUS=OR","EQY_CONSOLIDATED=Y","Sort=A","Dates=H","DateFormat=P","Fill=—","Direction=H","UseDPDF=Y")</f>
        <v>#NAME?</v>
      </c>
      <c r="Z346" s="2" t="e">
        <f ca="1">_xll.BDH($C$328,"ACCOUNTS_RECEIVABLE_GROWTH","FQ3 2017","FQ3 2017","Currency=INR","Period=FQ","BEST_FPERIOD_OVERRIDE=FQ","FILING_STATUS=OR","EQY_CONSOLIDATED=Y","Sort=A","Dates=H","DateFormat=P","Fill=—","Direction=H","UseDPDF=Y")</f>
        <v>#NAME?</v>
      </c>
      <c r="AA346" s="2" t="e">
        <f ca="1">_xll.BDH($C$328,"INVENTORY_GROWTH","FQ3 2017","FQ3 2017","Currency=INR","Period=FQ","BEST_FPERIOD_OVERRIDE=FQ","FILING_STATUS=OR","EQY_CONSOLIDATED=Y","Sort=A","Dates=H","DateFormat=P","Fill=—","Direction=H","UseDPDF=Y")</f>
        <v>#NAME?</v>
      </c>
      <c r="AB346" s="2" t="e">
        <f ca="1">_xll.BDH($C$328,"NET_FIXED_ASSETS_1_YEAR_GROWTH","FQ3 2017","FQ3 2017","Currency=INR","Period=FQ","BEST_FPERIOD_OVERRIDE=FQ","FILING_STATUS=OR","EQY_CONSOLIDATED=Y","Sort=A","Dates=H","DateFormat=P","Fill=—","Direction=H","UseDPDF=Y")</f>
        <v>#NAME?</v>
      </c>
      <c r="AC346" s="2" t="e">
        <f ca="1">_xll.BDH($C$328,"ASSET_GROWTH","FQ3 2017","FQ3 2017","Currency=INR","Period=FQ","BEST_FPERIOD_OVERRIDE=FQ","FILING_STATUS=OR","EQY_CONSOLIDATED=Y","Sort=A","Dates=H","DateFormat=P","Fill=—","Direction=H","UseDPDF=Y")</f>
        <v>#NAME?</v>
      </c>
      <c r="AD346" s="2" t="e">
        <f ca="1">_xll.BDH($C$328,"MODIFIED_WORK_CAP_GROWTH","FQ3 2017","FQ3 2017","Currency=INR","Period=FQ","BEST_FPERIOD_OVERRIDE=FQ","FILING_STATUS=OR","EQY_CONSOLIDATED=Y","Sort=A","Dates=H","DateFormat=P","Fill=—","Direction=H","UseDPDF=Y")</f>
        <v>#NAME?</v>
      </c>
      <c r="AE346" s="2" t="e">
        <f ca="1">_xll.BDH($C$328,"WORK_CAP_GROWTH","FQ3 2017","FQ3 2017","Currency=INR","Period=FQ","BEST_FPERIOD_OVERRIDE=FQ","FILING_STATUS=OR","EQY_CONSOLIDATED=Y","Sort=A","Dates=H","DateFormat=P","Fill=—","Direction=H","UseDPDF=Y")</f>
        <v>#NAME?</v>
      </c>
      <c r="AF346" s="2" t="e">
        <f ca="1">_xll.BDH($C$328,"ACCOUNTS_PAYABLE_GROWTH_1YR","FQ3 2017","FQ3 2017","Currency=INR","Period=FQ","BEST_FPERIOD_OVERRIDE=FQ","FILING_STATUS=OR","EQY_CONSOLIDATED=Y","Sort=A","Dates=H","DateFormat=P","Fill=—","Direction=H","UseDPDF=Y")</f>
        <v>#NAME?</v>
      </c>
      <c r="AG346" s="2" t="e">
        <f ca="1">_xll.BDH($C$328,"SHORT_TERM_DEBT_1_YEAR_GROWTH","FQ3 2017","FQ3 2017","Currency=INR","Period=FQ","BEST_FPERIOD_OVERRIDE=FQ","FILING_STATUS=OR","EQY_CONSOLIDATED=Y","Sort=A","Dates=H","DateFormat=P","Fill=—","Direction=H","UseDPDF=Y")</f>
        <v>#NAME?</v>
      </c>
      <c r="AH346" s="2" t="e">
        <f ca="1">_xll.BDH($C$328,"TOTAL_DEBT_1_YEAR_GROWTH","FQ3 2017","FQ3 2017","Currency=INR","Period=FQ","BEST_FPERIOD_OVERRIDE=FQ","FILING_STATUS=OR","EQY_CONSOLIDATED=Y","Sort=A","Dates=H","DateFormat=P","Fill=—","Direction=H","UseDPDF=Y")</f>
        <v>#NAME?</v>
      </c>
      <c r="AI346" s="2" t="e">
        <f ca="1">_xll.BDH($C$328,"TOTAL_EQUITY_1_YEAR_GROWTH","FQ3 2017","FQ3 2017","Currency=INR","Period=FQ","BEST_FPERIOD_OVERRIDE=FQ","FILING_STATUS=OR","EQY_CONSOLIDATED=Y","Sort=A","Dates=H","DateFormat=P","Fill=—","Direction=H","UseDPDF=Y")</f>
        <v>#NAME?</v>
      </c>
      <c r="AJ346" s="2" t="e">
        <f ca="1">_xll.BDH($C$328,"GROWTH_IN_CAP","FQ3 2017","FQ3 2017","Currency=INR","Period=FQ","BEST_FPERIOD_OVERRIDE=FQ","FILING_STATUS=OR","EQY_CONSOLIDATED=Y","Sort=A","Dates=H","DateFormat=P","Fill=—","Direction=H","UseDPDF=Y")</f>
        <v>#NAME?</v>
      </c>
      <c r="AK346" s="2" t="e">
        <f ca="1">_xll.BDH($C$328,"BVPS_GROWTH","FQ3 2017","FQ3 2017","Currency=INR","Period=FQ","BEST_FPERIOD_OVERRIDE=FQ","FILING_STATUS=OR","EQY_CONSOLIDATED=Y","Sort=A","Dates=H","DateFormat=P","Fill=—","Direction=H","UseDPDF=Y")</f>
        <v>#NAME?</v>
      </c>
      <c r="AL346" s="2" t="e">
        <f ca="1">_xll.BDH($C$328,"CASH_FLOW_GROWTH","FQ3 2017","FQ3 2017","Currency=INR","Period=FQ","BEST_FPERIOD_OVERRIDE=FQ","FILING_STATUS=OR","EQY_CONSOLIDATED=Y","Sort=A","Dates=H","DateFormat=P","Fill=—","Direction=H","UseDPDF=Y")</f>
        <v>#NAME?</v>
      </c>
      <c r="AM346" s="2" t="e">
        <f ca="1">_xll.BDH($C$328,"GEO_GROW_NET_SALES","FQ3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46" s="2" t="e">
        <f ca="1">_xll.BDH($C$328,"GEO_GROW_EBITDA","FQ3 2017","FQ3 2017","Currency=INR","Period=FQ","BEST_FPERIOD_OVERRIDE=FQ","FILING_STATUS=OR","EQY_CONSOLIDATED=Y","FA_ADJUSTED=GAAP","Sort=A","Dates=H","DateFormat=P","Fill=—","Direction=H","UseDPDF=Y")</f>
        <v>#NAME?</v>
      </c>
      <c r="AO346" s="2" t="e">
        <f ca="1">_xll.BDH($C$328,"GEO_GROW_OPER_INC","FQ3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46" s="2" t="e">
        <f ca="1">_xll.BDH($C$328,"NET_INCOME_TO_COMMON_5_YR_GROWTH","FQ3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46" s="2" t="e">
        <f ca="1">_xll.BDH($C$328,"5Y_GEO_GROWTH_DILUTED_EPS","FQ3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46" s="2" t="e">
        <f ca="1">_xll.BDH($C$328,"GEO_GROW_DVD_PER_SH","FQ3 2017","FQ3 2017","Currency=INR","Period=FQ","BEST_FPERIOD_OVERRIDE=FQ","FILING_STATUS=OR","EQY_CONSOLIDATED=Y","Sort=A","Dates=H","DateFormat=P","Fill=—","Direction=H","UseDPDF=Y")</f>
        <v>#NAME?</v>
      </c>
      <c r="AS346" s="2" t="e">
        <f ca="1">_xll.BDH($C$328,"ACCOUNTS_RECEIVABLE_5_YR_GROWTH","FQ3 2017","FQ3 2017","Currency=INR","Period=FQ","BEST_FPERIOD_OVERRIDE=FQ","FILING_STATUS=OR","EQY_CONSOLIDATED=Y","Sort=A","Dates=H","DateFormat=P","Fill=—","Direction=H","UseDPDF=Y")</f>
        <v>#NAME?</v>
      </c>
      <c r="AT346" s="2" t="e">
        <f ca="1">_xll.BDH($C$328,"INVENTORY_5_YEAR_GROWTH","FQ3 2017","FQ3 2017","Currency=INR","Period=FQ","BEST_FPERIOD_OVERRIDE=FQ","FILING_STATUS=OR","EQY_CONSOLIDATED=Y","Sort=A","Dates=H","DateFormat=P","Fill=—","Direction=H","UseDPDF=Y")</f>
        <v>#NAME?</v>
      </c>
      <c r="AU346" s="2" t="e">
        <f ca="1">_xll.BDH($C$328,"NET_FIXED_ASSETS_5_YEAR_GROWTH","FQ3 2017","FQ3 2017","Currency=INR","Period=FQ","BEST_FPERIOD_OVERRIDE=FQ","FILING_STATUS=OR","EQY_CONSOLIDATED=Y","Sort=A","Dates=H","DateFormat=P","Fill=—","Direction=H","UseDPDF=Y")</f>
        <v>#NAME?</v>
      </c>
      <c r="AV346" s="2" t="e">
        <f ca="1">_xll.BDH($C$328,"GEO_GROW_TOT_ASSET","FQ3 2017","FQ3 2017","Currency=INR","Period=FQ","BEST_FPERIOD_OVERRIDE=FQ","FILING_STATUS=OR","EQY_CONSOLIDATED=Y","Sort=A","Dates=H","DateFormat=P","Fill=—","Direction=H","UseDPDF=Y")</f>
        <v>#NAME?</v>
      </c>
      <c r="AW346" s="2" t="e">
        <f ca="1">_xll.BDH($C$328,"MODIFIED_WORKING_CPTL_5YR_GRWTH","FQ3 2017","FQ3 2017","Currency=INR","Period=FQ","BEST_FPERIOD_OVERRIDE=FQ","FILING_STATUS=OR","EQY_CONSOLIDATED=Y","Sort=A","Dates=H","DateFormat=P","Fill=—","Direction=H","UseDPDF=Y")</f>
        <v>#NAME?</v>
      </c>
      <c r="AX346" s="2" t="e">
        <f ca="1">_xll.BDH($C$328,"WORKING_CAPITAL_5_YEAR_GROWTH","FQ3 2017","FQ3 2017","Currency=INR","Period=FQ","BEST_FPERIOD_OVERRIDE=FQ","FILING_STATUS=OR","EQY_CONSOLIDATED=Y","Sort=A","Dates=H","DateFormat=P","Fill=—","Direction=H","UseDPDF=Y")</f>
        <v>#NAME?</v>
      </c>
      <c r="AY346" s="2" t="e">
        <f ca="1">_xll.BDH($C$328,"ACCOUNTS_PAYABLE_5_YEAR_GROWTH","FQ3 2017","FQ3 2017","Currency=INR","Period=FQ","BEST_FPERIOD_OVERRIDE=FQ","FILING_STATUS=OR","EQY_CONSOLIDATED=Y","Sort=A","Dates=H","DateFormat=P","Fill=—","Direction=H","UseDPDF=Y")</f>
        <v>#NAME?</v>
      </c>
      <c r="AZ346" s="2" t="e">
        <f ca="1">_xll.BDH($C$328,"SHORT_TERM_DEBT_5_YEAR_GROWTH","FQ3 2017","FQ3 2017","Currency=INR","Period=FQ","BEST_FPERIOD_OVERRIDE=FQ","FILING_STATUS=OR","EQY_CONSOLIDATED=Y","Sort=A","Dates=H","DateFormat=P","Fill=—","Direction=H","UseDPDF=Y")</f>
        <v>#NAME?</v>
      </c>
      <c r="BA346" s="2" t="e">
        <f ca="1">_xll.BDH($C$328,"TOTAL_DEBT_5_YEAR_GROWTH","FQ3 2017","FQ3 2017","Currency=INR","Period=FQ","BEST_FPERIOD_OVERRIDE=FQ","FILING_STATUS=OR","EQY_CONSOLIDATED=Y","Sort=A","Dates=H","DateFormat=P","Fill=—","Direction=H","UseDPDF=Y")</f>
        <v>#NAME?</v>
      </c>
      <c r="BB346" s="2" t="e">
        <f ca="1">_xll.BDH($C$328,"GEO_GROW_TOT_SHRHLDR_EQY","FQ3 2017","FQ3 2017","Currency=INR","Period=FQ","BEST_FPERIOD_OVERRIDE=FQ","FILING_STATUS=OR","EQY_CONSOLIDATED=Y","Sort=A","Dates=H","DateFormat=P","Fill=—","Direction=H","UseDPDF=Y")</f>
        <v>#NAME?</v>
      </c>
      <c r="BC346" s="2" t="e">
        <f ca="1">_xll.BDH($C$328,"TOTAL_CAPITAL_5_YEAR_GROWTH","FQ3 2017","FQ3 2017","Currency=INR","Period=FQ","BEST_FPERIOD_OVERRIDE=FQ","FILING_STATUS=OR","EQY_CONSOLIDATED=Y","Sort=A","Dates=H","DateFormat=P","Fill=—","Direction=H","UseDPDF=Y")</f>
        <v>#NAME?</v>
      </c>
      <c r="BD346" s="2" t="e">
        <f ca="1">_xll.BDH($C$328,"GEO_GROW_BOOK_VAL","FQ3 2017","FQ3 2017","Currency=INR","Period=FQ","BEST_FPERIOD_OVERRIDE=FQ","FILING_STATUS=OR","EQY_CONSOLIDATED=Y","Sort=A","Dates=H","DateFormat=P","Fill=—","Direction=H","UseDPDF=Y")</f>
        <v>#NAME?</v>
      </c>
      <c r="BE346" s="2" t="e">
        <f ca="1">_xll.BDH($C$328,"GEO_GROW_CASH_OPER_ACT","FQ3 2017","FQ3 2017","Currency=INR","Period=FQ","BEST_FPERIOD_OVERRIDE=FQ","FILING_STATUS=OR","EQY_CONSOLIDATED=Y","Sort=A","Dates=H","DateFormat=P","Fill=—","Direction=H","UseDPDF=Y")</f>
        <v>#NAME?</v>
      </c>
      <c r="BF346" s="2" t="e">
        <f ca="1">_xll.BDH($C$328,"REVENUE_SEQUENTIAL_GROWTH","FQ3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46" s="2" t="e">
        <f ca="1">_xll.BDH($C$328,"EBITDA_SEQUENTIAL_GROWTH","FQ3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46" s="2" t="e">
        <f ca="1">_xll.BDH($C$328,"OPERATING_INCOME_SEQ_GROWTH","FQ3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46" s="2" t="e">
        <f ca="1">_xll.BDH($C$328,"NET_INCOME_TO_COMMON_SEQ_GROWTH","FQ3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46" s="2" t="e">
        <f ca="1">_xll.BDH($C$328,"EPS_DILUTED_SEQUENTIAL_GROWTH","FQ3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46" s="2" t="e">
        <f ca="1">_xll.BDH($C$328,"DPS_SEQUENTIAL_GROWTH","FQ3 2017","FQ3 2017","Currency=INR","Period=FQ","BEST_FPERIOD_OVERRIDE=FQ","FILING_STATUS=OR","EQY_CONSOLIDATED=Y","Sort=A","Dates=H","DateFormat=P","Fill=—","Direction=H","UseDPDF=Y")</f>
        <v>#NAME?</v>
      </c>
      <c r="BL346" s="2" t="e">
        <f ca="1">_xll.BDH($C$328,"ACCOUNTS_RECEIVABLE_SEQ_GROWTH","FQ3 2017","FQ3 2017","Currency=INR","Period=FQ","BEST_FPERIOD_OVERRIDE=FQ","FILING_STATUS=OR","EQY_CONSOLIDATED=Y","Sort=A","Dates=H","DateFormat=P","Fill=—","Direction=H","UseDPDF=Y")</f>
        <v>#NAME?</v>
      </c>
      <c r="BM346" s="2" t="e">
        <f ca="1">_xll.BDH($C$328,"INVENTORY_SEQUENTIAL_GROWTH","FQ3 2017","FQ3 2017","Currency=INR","Period=FQ","BEST_FPERIOD_OVERRIDE=FQ","FILING_STATUS=OR","EQY_CONSOLIDATED=Y","Sort=A","Dates=H","DateFormat=P","Fill=—","Direction=H","UseDPDF=Y")</f>
        <v>#NAME?</v>
      </c>
      <c r="BN346" s="2" t="e">
        <f ca="1">_xll.BDH($C$328,"FIXED_ASSETS_SEQUENTIAL_GROWTH","FQ3 2017","FQ3 2017","Currency=INR","Period=FQ","BEST_FPERIOD_OVERRIDE=FQ","FILING_STATUS=OR","EQY_CONSOLIDATED=Y","Sort=A","Dates=H","DateFormat=P","Fill=—","Direction=H","UseDPDF=Y")</f>
        <v>#NAME?</v>
      </c>
      <c r="BO346" s="2" t="e">
        <f ca="1">_xll.BDH($C$328,"TOTAL_ASSETS_SEQUENTIAL_GROWTH","FQ3 2017","FQ3 2017","Currency=INR","Period=FQ","BEST_FPERIOD_OVERRIDE=FQ","FILING_STATUS=OR","EQY_CONSOLIDATED=Y","Sort=A","Dates=H","DateFormat=P","Fill=—","Direction=H","UseDPDF=Y")</f>
        <v>#NAME?</v>
      </c>
      <c r="BP346" s="2" t="e">
        <f ca="1">_xll.BDH($C$328,"MODIFIED_WORKING_CPTL_SEQ_GRWTH","FQ3 2017","FQ3 2017","Currency=INR","Period=FQ","BEST_FPERIOD_OVERRIDE=FQ","FILING_STATUS=OR","EQY_CONSOLIDATED=Y","Sort=A","Dates=H","DateFormat=P","Fill=—","Direction=H","UseDPDF=Y")</f>
        <v>#NAME?</v>
      </c>
      <c r="BQ346" s="2" t="e">
        <f ca="1">_xll.BDH($C$328,"WORKING_CAPITAL_SEQ_GROWTH","FQ3 2017","FQ3 2017","Currency=INR","Period=FQ","BEST_FPERIOD_OVERRIDE=FQ","FILING_STATUS=OR","EQY_CONSOLIDATED=Y","Sort=A","Dates=H","DateFormat=P","Fill=—","Direction=H","UseDPDF=Y")</f>
        <v>#NAME?</v>
      </c>
      <c r="BR346" s="2" t="e">
        <f ca="1">_xll.BDH($C$328,"ACCOUNTS_PAYABLE_SEQ_GROWTH","FQ3 2017","FQ3 2017","Currency=INR","Period=FQ","BEST_FPERIOD_OVERRIDE=FQ","FILING_STATUS=OR","EQY_CONSOLIDATED=Y","Sort=A","Dates=H","DateFormat=P","Fill=—","Direction=H","UseDPDF=Y")</f>
        <v>#NAME?</v>
      </c>
      <c r="BS346" s="2" t="e">
        <f ca="1">_xll.BDH($C$328,"ST_DEBT_SEQUENTIAL_GROWTH","FQ3 2017","FQ3 2017","Currency=INR","Period=FQ","BEST_FPERIOD_OVERRIDE=FQ","FILING_STATUS=OR","EQY_CONSOLIDATED=Y","Sort=A","Dates=H","DateFormat=P","Fill=—","Direction=H","UseDPDF=Y")</f>
        <v>#NAME?</v>
      </c>
      <c r="BT346" s="2" t="e">
        <f ca="1">_xll.BDH($C$328,"TOTAL_DEBT_SEQUENTIAL_GROWTH","FQ3 2017","FQ3 2017","Currency=INR","Period=FQ","BEST_FPERIOD_OVERRIDE=FQ","FILING_STATUS=OR","EQY_CONSOLIDATED=Y","Sort=A","Dates=H","DateFormat=P","Fill=—","Direction=H","UseDPDF=Y")</f>
        <v>#NAME?</v>
      </c>
      <c r="BU346" s="2" t="e">
        <f ca="1">_xll.BDH($C$328,"TOTAL_EQUITY_SEQUENTIAL_GROWTH","FQ3 2017","FQ3 2017","Currency=INR","Period=FQ","BEST_FPERIOD_OVERRIDE=FQ","FILING_STATUS=OR","EQY_CONSOLIDATED=Y","Sort=A","Dates=H","DateFormat=P","Fill=—","Direction=H","UseDPDF=Y")</f>
        <v>#NAME?</v>
      </c>
      <c r="BV346" s="2" t="e">
        <f ca="1">_xll.BDH($C$328,"TOTAL_CAPITAL_SEQUENTIAL_GROWTH","FQ3 2017","FQ3 2017","Currency=INR","Period=FQ","BEST_FPERIOD_OVERRIDE=FQ","FILING_STATUS=OR","EQY_CONSOLIDATED=Y","Sort=A","Dates=H","DateFormat=P","Fill=—","Direction=H","UseDPDF=Y")</f>
        <v>#NAME?</v>
      </c>
      <c r="BW346" s="2" t="e">
        <f ca="1">_xll.BDH($C$328,"BPS_SEQUENTIAL_GROWTH","FQ3 2017","FQ3 2017","Currency=INR","Period=FQ","BEST_FPERIOD_OVERRIDE=FQ","FILING_STATUS=OR","EQY_CONSOLIDATED=Y","Sort=A","Dates=H","DateFormat=P","Fill=—","Direction=H","UseDPDF=Y")</f>
        <v>#NAME?</v>
      </c>
      <c r="BX346" s="2" t="e">
        <f ca="1">_xll.BDH($C$328,"CFO_SEQUENTIAL_GROWTH","FQ3 2017","FQ3 2017","Currency=INR","Period=FQ","BEST_FPERIOD_OVERRIDE=FQ","FILING_STATUS=OR","EQY_CONSOLIDATED=Y","Sort=A","Dates=H","DateFormat=P","Fill=—","Direction=H","UseDPDF=Y")</f>
        <v>#NAME?</v>
      </c>
      <c r="BY346" s="3" t="e">
        <f ca="1">_xll.BDH($C$328,"SHORT_AND_LONG_TERM_DEBT","FQ3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46" s="3" t="e">
        <f ca="1">_xll.BDH($C$328,"BS_ST_BORROW","FQ3 2017","FQ3 2017","Currency=INR","Period=FQ","BEST_FPERIOD_OVERRIDE=FQ","FILING_STATUS=OR","EQY_CONSOLIDATED=Y","SCALING_FORMAT=MLN","Sort=A","Dates=H","DateFormat=P","Fill=—","Direction=H","UseDPDF=Y")</f>
        <v>#NAME?</v>
      </c>
      <c r="CA346" s="3" t="e">
        <f ca="1">_xll.BDH($C$328,"BS_LT_BORROW","FQ3 2017","FQ3 2017","Currency=INR","Period=FQ","BEST_FPERIOD_OVERRIDE=FQ","FILING_STATUS=OR","EQY_CONSOLIDATED=Y","SCALING_FORMAT=MLN","Sort=A","Dates=H","DateFormat=P","Fill=—","Direction=H","UseDPDF=Y")</f>
        <v>#NAME?</v>
      </c>
      <c r="CB346" s="2" t="e">
        <f ca="1">_xll.BDH($C$328,"TOT_DEBT_TO_EBITDA","FQ3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46" s="2" t="e">
        <f ca="1">_xll.BDH($C$328,"NET_DEBT_TO_EBITDA","FQ3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46" s="2" t="e">
        <f ca="1">_xll.BDH($C$328,"TOTAL_DEBT_TO_EBIT","FQ3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46" s="2" t="e">
        <f ca="1">_xll.BDH($C$328,"NET_DEBT_TO_EBIT","FQ3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46" s="2" t="e">
        <f ca="1">_xll.BDH($C$328,"EBITDA_TO_INTEREST_EXPN","FQ3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46" s="2" t="e">
        <f ca="1">_xll.BDH($C$328,"COM_EQY_TO_TOT_ASSET","FQ3 2017","FQ3 2017","Currency=INR","Period=FQ","BEST_FPERIOD_OVERRIDE=FQ","FILING_STATUS=OR","EQY_CONSOLIDATED=Y","Sort=A","Dates=H","DateFormat=P","Fill=—","Direction=H","UseDPDF=Y")</f>
        <v>#NAME?</v>
      </c>
      <c r="CH346" s="2" t="e">
        <f ca="1">_xll.BDH($C$328,"LT_DEBT_TO_TOT_EQY","FQ3 2017","FQ3 2017","Currency=INR","Period=FQ","BEST_FPERIOD_OVERRIDE=FQ","FILING_STATUS=OR","EQY_CONSOLIDATED=Y","Sort=A","Dates=H","DateFormat=P","Fill=—","Direction=H","UseDPDF=Y")</f>
        <v>#NAME?</v>
      </c>
      <c r="CI346" s="2" t="e">
        <f ca="1">_xll.BDH($C$328,"LT_DEBT_TO_TOT_CAP","FQ3 2017","FQ3 2017","Currency=INR","Period=FQ","BEST_FPERIOD_OVERRIDE=FQ","FILING_STATUS=OR","EQY_CONSOLIDATED=Y","Sort=A","Dates=H","DateFormat=P","Fill=—","Direction=H","UseDPDF=Y")</f>
        <v>#NAME?</v>
      </c>
      <c r="CJ346" s="2" t="e">
        <f ca="1">_xll.BDH($C$328,"LT_DEBT_TO_TOT_ASSET","FQ3 2017","FQ3 2017","Currency=INR","Period=FQ","BEST_FPERIOD_OVERRIDE=FQ","FILING_STATUS=OR","EQY_CONSOLIDATED=Y","Sort=A","Dates=H","DateFormat=P","Fill=—","Direction=H","UseDPDF=Y")</f>
        <v>#NAME?</v>
      </c>
      <c r="CK346" s="2" t="e">
        <f ca="1">_xll.BDH($C$328,"TOT_DEBT_TO_TOT_EQY","FQ3 2017","FQ3 2017","Currency=INR","Period=FQ","BEST_FPERIOD_OVERRIDE=FQ","FILING_STATUS=OR","EQY_CONSOLIDATED=Y","Sort=A","Dates=H","DateFormat=P","Fill=—","Direction=H","UseDPDF=Y")</f>
        <v>#NAME?</v>
      </c>
      <c r="CL346" s="2" t="e">
        <f ca="1">_xll.BDH($C$328,"TOT_DEBT_TO_TOT_CAP","FQ3 2017","FQ3 2017","Currency=INR","Period=FQ","BEST_FPERIOD_OVERRIDE=FQ","FILING_STATUS=OR","EQY_CONSOLIDATED=Y","Sort=A","Dates=H","DateFormat=P","Fill=—","Direction=H","UseDPDF=Y")</f>
        <v>#NAME?</v>
      </c>
      <c r="CM346" s="2" t="e">
        <f ca="1">_xll.BDH($C$328,"TOT_DEBT_TO_TOT_ASSET","FQ3 2017","FQ3 2017","Currency=INR","Period=FQ","BEST_FPERIOD_OVERRIDE=FQ","FILING_STATUS=OR","EQY_CONSOLIDATED=Y","Sort=A","Dates=H","DateFormat=P","Fill=—","Direction=H","UseDPDF=Y")</f>
        <v>#NAME?</v>
      </c>
      <c r="CN346" s="2" t="e">
        <f ca="1">_xll.BDH($C$328,"NET_DEBT_TO_SHRHLDR_EQTY","FQ3 2017","FQ3 2017","Currency=INR","Period=FQ","BEST_FPERIOD_OVERRIDE=FQ","FILING_STATUS=OR","EQY_CONSOLIDATED=Y","Sort=A","Dates=H","DateFormat=P","Fill=—","Direction=H","UseDPDF=Y")</f>
        <v>#NAME?</v>
      </c>
      <c r="CO346" s="2" t="e">
        <f ca="1">_xll.BDH($C$328,"NET_DEBT_%_CAPITAL","FQ3 2017","FQ3 2017","Currency=INR","Period=FQ","BEST_FPERIOD_OVERRIDE=FQ","FILING_STATUS=OR","EQY_CONSOLIDATED=Y","Sort=A","Dates=H","DateFormat=P","Fill=—","Direction=H","UseDPDF=Y")</f>
        <v>#NAME?</v>
      </c>
      <c r="CP346" s="3" t="e">
        <f ca="1">_xll.BDH($C$328,"EBITDA","FQ3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46" s="3" t="e">
        <f ca="1">_xll.BDH($C$328,"EBITDA_AFTER_CAPEX","FQ3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46" s="3" t="e">
        <f ca="1">_xll.BDH($C$328,"IS_OPER_INC","FQ3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46" s="2" t="e">
        <f ca="1">_xll.BDH($C$328,"CASH_RATIO","FQ3 2017","FQ3 2017","Currency=INR","Period=FQ","BEST_FPERIOD_OVERRIDE=FQ","FILING_STATUS=OR","EQY_CONSOLIDATED=Y","Sort=A","Dates=H","DateFormat=P","Fill=—","Direction=H","UseDPDF=Y")</f>
        <v>#NAME?</v>
      </c>
      <c r="CT346" s="2" t="e">
        <f ca="1">_xll.BDH($C$328,"CUR_RATIO","FQ3 2017","FQ3 2017","Currency=INR","Period=FQ","BEST_FPERIOD_OVERRIDE=FQ","FILING_STATUS=OR","EQY_CONSOLIDATED=Y","Sort=A","Dates=H","DateFormat=P","Fill=—","Direction=H","UseDPDF=Y")</f>
        <v>#NAME?</v>
      </c>
      <c r="CU346" s="2" t="e">
        <f ca="1">_xll.BDH($C$328,"QUICK_RATIO","FQ3 2017","FQ3 2017","Currency=INR","Period=FQ","BEST_FPERIOD_OVERRIDE=FQ","FILING_STATUS=OR","EQY_CONSOLIDATED=Y","Sort=A","Dates=H","DateFormat=P","Fill=—","Direction=H","UseDPDF=Y")</f>
        <v>#NAME?</v>
      </c>
      <c r="CV346" s="2" t="e">
        <f ca="1">_xll.BDH($C$328,"ALTMAN_Z_SCORE","FQ3 2017","FQ3 2017","Currency=INR","Period=FQ","BEST_FPERIOD_OVERRIDE=FQ","FILING_STATUS=OR","EQY_CONSOLIDATED=Y","Sort=A","Dates=H","DateFormat=P","Fill=—","Direction=H","UseDPDF=Y")</f>
        <v>#NAME?</v>
      </c>
      <c r="CW346" s="4" t="e">
        <f ca="1">_xll.BDH($C$328,"ACCT_RCV_TURN","FQ3 2017","FQ3 2017","Currency=INR","Period=FQ","BEST_FPERIOD_OVERRIDE=FQ","FILING_STATUS=OR","EQY_CONSOLIDATED=Y","FA_ADJUSTED=GAAP","Sort=A","Dates=H","DateFormat=P","Fill=—","Direction=H","UseDPDF=Y")</f>
        <v>#NAME?</v>
      </c>
      <c r="CX346" s="2" t="e">
        <f ca="1">_xll.BDH($C$328,"ACCT_RCV_DAYS","FQ3 2017","FQ3 2017","Currency=INR","Period=FQ","BEST_FPERIOD_OVERRIDE=FQ","FILING_STATUS=OR","EQY_CONSOLIDATED=Y","FA_ADJUSTED=GAAP","Sort=A","Dates=H","DateFormat=P","Fill=—","Direction=H","UseDPDF=Y")</f>
        <v>#NAME?</v>
      </c>
      <c r="CY346" s="4" t="e">
        <f ca="1">_xll.BDH($C$328,"INVENT_TURN","FQ3 2017","FQ3 2017","Currency=INR","Period=FQ","BEST_FPERIOD_OVERRIDE=FQ","FILING_STATUS=OR","EQY_CONSOLIDATED=Y","FA_ADJUSTED=GAAP","Sort=A","Dates=H","DateFormat=P","Fill=—","Direction=H","UseDPDF=Y")</f>
        <v>#NAME?</v>
      </c>
      <c r="CZ346" s="2" t="e">
        <f ca="1">_xll.BDH($C$328,"INVENT_DAYS","FQ3 2017","FQ3 2017","Currency=INR","Period=FQ","BEST_FPERIOD_OVERRIDE=FQ","FILING_STATUS=OR","EQY_CONSOLIDATED=Y","FA_ADJUSTED=GAAP","Sort=A","Dates=H","DateFormat=P","Fill=—","Direction=H","UseDPDF=Y")</f>
        <v>#NAME?</v>
      </c>
      <c r="DA346" s="4" t="e">
        <f ca="1">_xll.BDH($C$328,"ACCOUNTS_PAYABLE_TURNOVER","FQ3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46" s="2" t="e">
        <f ca="1">_xll.BDH($C$328,"ACCOUNTS_PAYABLE_TURNOVER_DAYS","FQ3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46" s="4" t="e">
        <f ca="1">_xll.BDH($C$328,"CASH_CONVERSION_CYCLE","FQ3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46" s="4" t="e">
        <f ca="1">_xll.BDH($C$328,"INV_TO_CASH_DAYS","FQ3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46" s="5" t="e">
        <f ca="1">_xll.BDH($C$328,"BS_INVENTORIES","FQ3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46" s="3" t="e">
        <f ca="1">_xll.BDH($C$328,"INVTRY_RAW_MATERIALS","FQ3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46" s="3" t="e">
        <f ca="1">_xll.BDH($C$328,"INVTRY_IN_PROGRESS","FQ3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46" s="3" t="e">
        <f ca="1">_xll.BDH($C$328,"INVTRY_FINISHED_GOODS","FQ3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46" s="3" t="e">
        <f ca="1">_xll.BDH($C$328,"BS_OTHER_INV","FQ3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47" spans="1:113" x14ac:dyDescent="0.3">
      <c r="A347" s="6"/>
      <c r="B347" s="6"/>
      <c r="C347" s="6"/>
      <c r="D347" s="6"/>
      <c r="E347" t="s">
        <v>81</v>
      </c>
      <c r="F347" t="e">
        <f ca="1">_xll.BDH($C$328,"RETURN_COM_EQY","FQ4 2017","FQ4 2017","Currency=INR","Period=FQ","BEST_FPERIOD_OVERRIDE=FQ","FILING_STATUS=OR","EQY_CONSOLIDATED=Y","FA_ADJUSTED=GAAP","Sort=A","Dates=H","DateFormat=P","Fill=—","Direction=H","UseDPDF=Y")</f>
        <v>#NAME?</v>
      </c>
      <c r="G347" t="e">
        <f ca="1">_xll.BDH($C$328,"RETURN_ON_ASSET","FQ4 2017","FQ4 2017","Currency=INR","Period=FQ","BEST_FPERIOD_OVERRIDE=FQ","FILING_STATUS=OR","EQY_CONSOLIDATED=Y","FA_ADJUSTED=GAAP","Sort=A","Dates=H","DateFormat=P","Fill=—","Direction=H","UseDPDF=Y")</f>
        <v>#NAME?</v>
      </c>
      <c r="H347" t="e">
        <f ca="1">_xll.BDH($C$328,"RETURN_ON_CAP","FQ4 2017","FQ4 2017","Currency=INR","Period=FQ","BEST_FPERIOD_OVERRIDE=FQ","FILING_STATUS=OR","EQY_CONSOLIDATED=Y","FA_ADJUSTED=GAAP","Sort=A","Dates=H","DateFormat=P","Fill=—","Direction=H","UseDPDF=Y")</f>
        <v>#NAME?</v>
      </c>
      <c r="I347" t="e">
        <f ca="1">_xll.BDH($C$328,"RETURN_ON_INV_CAPITAL","FQ4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47" t="e">
        <f ca="1">_xll.BDH($C$328,"EBITDA_TO_REVENUE","FQ4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47" t="e">
        <f ca="1">_xll.BDH($C$328,"OPER_MARGIN","FQ4 2017","FQ4 2017","Currency=INR","Period=FQ","BEST_FPERIOD_OVERRIDE=FQ","FILING_STATUS=OR","EQY_CONSOLIDATED=Y","FA_ADJUSTED=GAAP","Sort=A","Dates=H","DateFormat=P","Fill=—","Direction=H","UseDPDF=Y")</f>
        <v>#NAME?</v>
      </c>
      <c r="L347" t="e">
        <f ca="1">_xll.BDH($C$328,"INCREMENTAL_OPERATING_MARGIN","FQ4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47" t="e">
        <f ca="1">_xll.BDH($C$328,"PRETAX_INC_TO_NET_SALES","FQ4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47" t="e">
        <f ca="1">_xll.BDH($C$328,"INC_BEF_XO_ITEMS_TO_NET_SALES","FQ4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47" t="e">
        <f ca="1">_xll.BDH($C$328,"PROF_MARGIN","FQ4 2017","FQ4 2017","Currency=INR","Period=FQ","BEST_FPERIOD_OVERRIDE=FQ","FILING_STATUS=OR","EQY_CONSOLIDATED=Y","FA_ADJUSTED=GAAP","Sort=A","Dates=H","DateFormat=P","Fill=—","Direction=H","UseDPDF=Y")</f>
        <v>#NAME?</v>
      </c>
      <c r="P347" t="e">
        <f ca="1">_xll.BDH($C$328,"NET_INCOME_TO_COMMON_MARGIN","FQ4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47" t="e">
        <f ca="1">_xll.BDH($C$328,"EFF_TAX_RATE","FQ4 2017","FQ4 2017","Currency=INR","Period=FQ","BEST_FPERIOD_OVERRIDE=FQ","FILING_STATUS=OR","EQY_CONSOLIDATED=Y","FA_ADJUSTED=GAAP","Sort=A","Dates=H","DateFormat=P","Fill=—","Direction=H","UseDPDF=Y")</f>
        <v>#NAME?</v>
      </c>
      <c r="R347" t="e">
        <f ca="1">_xll.BDH($C$328,"DVD_PAYOUT_RATIO","FQ4 2017","FQ4 2017","Currency=INR","Period=FQ","BEST_FPERIOD_OVERRIDE=FQ","FILING_STATUS=OR","EQY_CONSOLIDATED=Y","FA_ADJUSTED=GAAP","Sort=A","Dates=H","DateFormat=P","Fill=—","Direction=H","UseDPDF=Y")</f>
        <v>#NAME?</v>
      </c>
      <c r="S347" t="e">
        <f ca="1">_xll.BDH($C$328,"SUSTAIN_GROWTH_RT","FQ4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47" s="2" t="e">
        <f ca="1">_xll.BDH($C$328,"SALES_GROWTH","FQ4 2017","FQ4 2017","Currency=INR","Period=FQ","BEST_FPERIOD_OVERRIDE=FQ","FILING_STATUS=OR","EQY_CONSOLIDATED=Y","FA_ADJUSTED=GAAP","Sort=A","Dates=H","DateFormat=P","Fill=—","Direction=H","UseDPDF=Y")</f>
        <v>#NAME?</v>
      </c>
      <c r="U347" s="2" t="e">
        <f ca="1">_xll.BDH($C$328,"EBITDA_GROWTH","FQ4 2017","FQ4 2017","Currency=INR","Period=FQ","BEST_FPERIOD_OVERRIDE=FQ","FILING_STATUS=OR","EQY_CONSOLIDATED=Y","FA_ADJUSTED=GAAP","Sort=A","Dates=H","DateFormat=P","Fill=—","Direction=H","UseDPDF=Y")</f>
        <v>#NAME?</v>
      </c>
      <c r="V347" s="2" t="e">
        <f ca="1">_xll.BDH($C$328,"OPER_INC_GROWTH","FQ4 2017","FQ4 2017","Currency=INR","Period=FQ","BEST_FPERIOD_OVERRIDE=FQ","FILING_STATUS=OR","EQY_CONSOLIDATED=Y","FA_ADJUSTED=GAAP","Sort=A","Dates=H","DateFormat=P","Fill=—","Direction=H","UseDPDF=Y")</f>
        <v>#NAME?</v>
      </c>
      <c r="W347" s="2" t="e">
        <f ca="1">_xll.BDH($C$328,"EARN_FOR_COM_GROWTH","FQ4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47" s="2" t="e">
        <f ca="1">_xll.BDH($C$328,"DILUTED_EPS_AFT_XO_ITEMS_GROWTH","FQ4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47" s="2" t="e">
        <f ca="1">_xll.BDH($C$328,"DIVIDEND_PER_SHARE_1_YEAR_GROWTH","FQ4 2017","FQ4 2017","Currency=INR","Period=FQ","BEST_FPERIOD_OVERRIDE=FQ","FILING_STATUS=OR","EQY_CONSOLIDATED=Y","Sort=A","Dates=H","DateFormat=P","Fill=—","Direction=H","UseDPDF=Y")</f>
        <v>#NAME?</v>
      </c>
      <c r="Z347" s="2" t="e">
        <f ca="1">_xll.BDH($C$328,"ACCOUNTS_RECEIVABLE_GROWTH","FQ4 2017","FQ4 2017","Currency=INR","Period=FQ","BEST_FPERIOD_OVERRIDE=FQ","FILING_STATUS=OR","EQY_CONSOLIDATED=Y","Sort=A","Dates=H","DateFormat=P","Fill=—","Direction=H","UseDPDF=Y")</f>
        <v>#NAME?</v>
      </c>
      <c r="AA347" s="2" t="e">
        <f ca="1">_xll.BDH($C$328,"INVENTORY_GROWTH","FQ4 2017","FQ4 2017","Currency=INR","Period=FQ","BEST_FPERIOD_OVERRIDE=FQ","FILING_STATUS=OR","EQY_CONSOLIDATED=Y","Sort=A","Dates=H","DateFormat=P","Fill=—","Direction=H","UseDPDF=Y")</f>
        <v>#NAME?</v>
      </c>
      <c r="AB347" s="2" t="e">
        <f ca="1">_xll.BDH($C$328,"NET_FIXED_ASSETS_1_YEAR_GROWTH","FQ4 2017","FQ4 2017","Currency=INR","Period=FQ","BEST_FPERIOD_OVERRIDE=FQ","FILING_STATUS=OR","EQY_CONSOLIDATED=Y","Sort=A","Dates=H","DateFormat=P","Fill=—","Direction=H","UseDPDF=Y")</f>
        <v>#NAME?</v>
      </c>
      <c r="AC347" s="2" t="e">
        <f ca="1">_xll.BDH($C$328,"ASSET_GROWTH","FQ4 2017","FQ4 2017","Currency=INR","Period=FQ","BEST_FPERIOD_OVERRIDE=FQ","FILING_STATUS=OR","EQY_CONSOLIDATED=Y","Sort=A","Dates=H","DateFormat=P","Fill=—","Direction=H","UseDPDF=Y")</f>
        <v>#NAME?</v>
      </c>
      <c r="AD347" s="2" t="e">
        <f ca="1">_xll.BDH($C$328,"MODIFIED_WORK_CAP_GROWTH","FQ4 2017","FQ4 2017","Currency=INR","Period=FQ","BEST_FPERIOD_OVERRIDE=FQ","FILING_STATUS=OR","EQY_CONSOLIDATED=Y","Sort=A","Dates=H","DateFormat=P","Fill=—","Direction=H","UseDPDF=Y")</f>
        <v>#NAME?</v>
      </c>
      <c r="AE347" s="2" t="e">
        <f ca="1">_xll.BDH($C$328,"WORK_CAP_GROWTH","FQ4 2017","FQ4 2017","Currency=INR","Period=FQ","BEST_FPERIOD_OVERRIDE=FQ","FILING_STATUS=OR","EQY_CONSOLIDATED=Y","Sort=A","Dates=H","DateFormat=P","Fill=—","Direction=H","UseDPDF=Y")</f>
        <v>#NAME?</v>
      </c>
      <c r="AF347" s="2" t="e">
        <f ca="1">_xll.BDH($C$328,"ACCOUNTS_PAYABLE_GROWTH_1YR","FQ4 2017","FQ4 2017","Currency=INR","Period=FQ","BEST_FPERIOD_OVERRIDE=FQ","FILING_STATUS=OR","EQY_CONSOLIDATED=Y","Sort=A","Dates=H","DateFormat=P","Fill=—","Direction=H","UseDPDF=Y")</f>
        <v>#NAME?</v>
      </c>
      <c r="AG347" s="2" t="e">
        <f ca="1">_xll.BDH($C$328,"SHORT_TERM_DEBT_1_YEAR_GROWTH","FQ4 2017","FQ4 2017","Currency=INR","Period=FQ","BEST_FPERIOD_OVERRIDE=FQ","FILING_STATUS=OR","EQY_CONSOLIDATED=Y","Sort=A","Dates=H","DateFormat=P","Fill=—","Direction=H","UseDPDF=Y")</f>
        <v>#NAME?</v>
      </c>
      <c r="AH347" s="2" t="e">
        <f ca="1">_xll.BDH($C$328,"TOTAL_DEBT_1_YEAR_GROWTH","FQ4 2017","FQ4 2017","Currency=INR","Period=FQ","BEST_FPERIOD_OVERRIDE=FQ","FILING_STATUS=OR","EQY_CONSOLIDATED=Y","Sort=A","Dates=H","DateFormat=P","Fill=—","Direction=H","UseDPDF=Y")</f>
        <v>#NAME?</v>
      </c>
      <c r="AI347" s="2" t="e">
        <f ca="1">_xll.BDH($C$328,"TOTAL_EQUITY_1_YEAR_GROWTH","FQ4 2017","FQ4 2017","Currency=INR","Period=FQ","BEST_FPERIOD_OVERRIDE=FQ","FILING_STATUS=OR","EQY_CONSOLIDATED=Y","Sort=A","Dates=H","DateFormat=P","Fill=—","Direction=H","UseDPDF=Y")</f>
        <v>#NAME?</v>
      </c>
      <c r="AJ347" s="2" t="e">
        <f ca="1">_xll.BDH($C$328,"GROWTH_IN_CAP","FQ4 2017","FQ4 2017","Currency=INR","Period=FQ","BEST_FPERIOD_OVERRIDE=FQ","FILING_STATUS=OR","EQY_CONSOLIDATED=Y","Sort=A","Dates=H","DateFormat=P","Fill=—","Direction=H","UseDPDF=Y")</f>
        <v>#NAME?</v>
      </c>
      <c r="AK347" s="2" t="e">
        <f ca="1">_xll.BDH($C$328,"BVPS_GROWTH","FQ4 2017","FQ4 2017","Currency=INR","Period=FQ","BEST_FPERIOD_OVERRIDE=FQ","FILING_STATUS=OR","EQY_CONSOLIDATED=Y","Sort=A","Dates=H","DateFormat=P","Fill=—","Direction=H","UseDPDF=Y")</f>
        <v>#NAME?</v>
      </c>
      <c r="AL347" s="2" t="e">
        <f ca="1">_xll.BDH($C$328,"CASH_FLOW_GROWTH","FQ4 2017","FQ4 2017","Currency=INR","Period=FQ","BEST_FPERIOD_OVERRIDE=FQ","FILING_STATUS=OR","EQY_CONSOLIDATED=Y","Sort=A","Dates=H","DateFormat=P","Fill=—","Direction=H","UseDPDF=Y")</f>
        <v>#NAME?</v>
      </c>
      <c r="AM347" s="2" t="e">
        <f ca="1">_xll.BDH($C$328,"GEO_GROW_NET_SALES","FQ4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47" s="2" t="e">
        <f ca="1">_xll.BDH($C$328,"GEO_GROW_EBITDA","FQ4 2017","FQ4 2017","Currency=INR","Period=FQ","BEST_FPERIOD_OVERRIDE=FQ","FILING_STATUS=OR","EQY_CONSOLIDATED=Y","FA_ADJUSTED=GAAP","Sort=A","Dates=H","DateFormat=P","Fill=—","Direction=H","UseDPDF=Y")</f>
        <v>#NAME?</v>
      </c>
      <c r="AO347" s="2" t="e">
        <f ca="1">_xll.BDH($C$328,"GEO_GROW_OPER_INC","FQ4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47" s="2" t="e">
        <f ca="1">_xll.BDH($C$328,"NET_INCOME_TO_COMMON_5_YR_GROWTH","FQ4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47" s="2" t="e">
        <f ca="1">_xll.BDH($C$328,"5Y_GEO_GROWTH_DILUTED_EPS","FQ4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47" s="2" t="e">
        <f ca="1">_xll.BDH($C$328,"GEO_GROW_DVD_PER_SH","FQ4 2017","FQ4 2017","Currency=INR","Period=FQ","BEST_FPERIOD_OVERRIDE=FQ","FILING_STATUS=OR","EQY_CONSOLIDATED=Y","Sort=A","Dates=H","DateFormat=P","Fill=—","Direction=H","UseDPDF=Y")</f>
        <v>#NAME?</v>
      </c>
      <c r="AS347" s="2" t="e">
        <f ca="1">_xll.BDH($C$328,"ACCOUNTS_RECEIVABLE_5_YR_GROWTH","FQ4 2017","FQ4 2017","Currency=INR","Period=FQ","BEST_FPERIOD_OVERRIDE=FQ","FILING_STATUS=OR","EQY_CONSOLIDATED=Y","Sort=A","Dates=H","DateFormat=P","Fill=—","Direction=H","UseDPDF=Y")</f>
        <v>#NAME?</v>
      </c>
      <c r="AT347" s="2" t="e">
        <f ca="1">_xll.BDH($C$328,"INVENTORY_5_YEAR_GROWTH","FQ4 2017","FQ4 2017","Currency=INR","Period=FQ","BEST_FPERIOD_OVERRIDE=FQ","FILING_STATUS=OR","EQY_CONSOLIDATED=Y","Sort=A","Dates=H","DateFormat=P","Fill=—","Direction=H","UseDPDF=Y")</f>
        <v>#NAME?</v>
      </c>
      <c r="AU347" s="2" t="e">
        <f ca="1">_xll.BDH($C$328,"NET_FIXED_ASSETS_5_YEAR_GROWTH","FQ4 2017","FQ4 2017","Currency=INR","Period=FQ","BEST_FPERIOD_OVERRIDE=FQ","FILING_STATUS=OR","EQY_CONSOLIDATED=Y","Sort=A","Dates=H","DateFormat=P","Fill=—","Direction=H","UseDPDF=Y")</f>
        <v>#NAME?</v>
      </c>
      <c r="AV347" s="2" t="e">
        <f ca="1">_xll.BDH($C$328,"GEO_GROW_TOT_ASSET","FQ4 2017","FQ4 2017","Currency=INR","Period=FQ","BEST_FPERIOD_OVERRIDE=FQ","FILING_STATUS=OR","EQY_CONSOLIDATED=Y","Sort=A","Dates=H","DateFormat=P","Fill=—","Direction=H","UseDPDF=Y")</f>
        <v>#NAME?</v>
      </c>
      <c r="AW347" s="2" t="e">
        <f ca="1">_xll.BDH($C$328,"MODIFIED_WORKING_CPTL_5YR_GRWTH","FQ4 2017","FQ4 2017","Currency=INR","Period=FQ","BEST_FPERIOD_OVERRIDE=FQ","FILING_STATUS=OR","EQY_CONSOLIDATED=Y","Sort=A","Dates=H","DateFormat=P","Fill=—","Direction=H","UseDPDF=Y")</f>
        <v>#NAME?</v>
      </c>
      <c r="AX347" s="2" t="e">
        <f ca="1">_xll.BDH($C$328,"WORKING_CAPITAL_5_YEAR_GROWTH","FQ4 2017","FQ4 2017","Currency=INR","Period=FQ","BEST_FPERIOD_OVERRIDE=FQ","FILING_STATUS=OR","EQY_CONSOLIDATED=Y","Sort=A","Dates=H","DateFormat=P","Fill=—","Direction=H","UseDPDF=Y")</f>
        <v>#NAME?</v>
      </c>
      <c r="AY347" s="2" t="e">
        <f ca="1">_xll.BDH($C$328,"ACCOUNTS_PAYABLE_5_YEAR_GROWTH","FQ4 2017","FQ4 2017","Currency=INR","Period=FQ","BEST_FPERIOD_OVERRIDE=FQ","FILING_STATUS=OR","EQY_CONSOLIDATED=Y","Sort=A","Dates=H","DateFormat=P","Fill=—","Direction=H","UseDPDF=Y")</f>
        <v>#NAME?</v>
      </c>
      <c r="AZ347" s="2" t="e">
        <f ca="1">_xll.BDH($C$328,"SHORT_TERM_DEBT_5_YEAR_GROWTH","FQ4 2017","FQ4 2017","Currency=INR","Period=FQ","BEST_FPERIOD_OVERRIDE=FQ","FILING_STATUS=OR","EQY_CONSOLIDATED=Y","Sort=A","Dates=H","DateFormat=P","Fill=—","Direction=H","UseDPDF=Y")</f>
        <v>#NAME?</v>
      </c>
      <c r="BA347" s="2" t="e">
        <f ca="1">_xll.BDH($C$328,"TOTAL_DEBT_5_YEAR_GROWTH","FQ4 2017","FQ4 2017","Currency=INR","Period=FQ","BEST_FPERIOD_OVERRIDE=FQ","FILING_STATUS=OR","EQY_CONSOLIDATED=Y","Sort=A","Dates=H","DateFormat=P","Fill=—","Direction=H","UseDPDF=Y")</f>
        <v>#NAME?</v>
      </c>
      <c r="BB347" s="2" t="e">
        <f ca="1">_xll.BDH($C$328,"GEO_GROW_TOT_SHRHLDR_EQY","FQ4 2017","FQ4 2017","Currency=INR","Period=FQ","BEST_FPERIOD_OVERRIDE=FQ","FILING_STATUS=OR","EQY_CONSOLIDATED=Y","Sort=A","Dates=H","DateFormat=P","Fill=—","Direction=H","UseDPDF=Y")</f>
        <v>#NAME?</v>
      </c>
      <c r="BC347" s="2" t="e">
        <f ca="1">_xll.BDH($C$328,"TOTAL_CAPITAL_5_YEAR_GROWTH","FQ4 2017","FQ4 2017","Currency=INR","Period=FQ","BEST_FPERIOD_OVERRIDE=FQ","FILING_STATUS=OR","EQY_CONSOLIDATED=Y","Sort=A","Dates=H","DateFormat=P","Fill=—","Direction=H","UseDPDF=Y")</f>
        <v>#NAME?</v>
      </c>
      <c r="BD347" s="2" t="e">
        <f ca="1">_xll.BDH($C$328,"GEO_GROW_BOOK_VAL","FQ4 2017","FQ4 2017","Currency=INR","Period=FQ","BEST_FPERIOD_OVERRIDE=FQ","FILING_STATUS=OR","EQY_CONSOLIDATED=Y","Sort=A","Dates=H","DateFormat=P","Fill=—","Direction=H","UseDPDF=Y")</f>
        <v>#NAME?</v>
      </c>
      <c r="BE347" s="2" t="e">
        <f ca="1">_xll.BDH($C$328,"GEO_GROW_CASH_OPER_ACT","FQ4 2017","FQ4 2017","Currency=INR","Period=FQ","BEST_FPERIOD_OVERRIDE=FQ","FILING_STATUS=OR","EQY_CONSOLIDATED=Y","Sort=A","Dates=H","DateFormat=P","Fill=—","Direction=H","UseDPDF=Y")</f>
        <v>#NAME?</v>
      </c>
      <c r="BF347" s="2" t="e">
        <f ca="1">_xll.BDH($C$328,"REVENUE_SEQUENTIAL_GROWTH","FQ4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47" s="2" t="e">
        <f ca="1">_xll.BDH($C$328,"EBITDA_SEQUENTIAL_GROWTH","FQ4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47" s="2" t="e">
        <f ca="1">_xll.BDH($C$328,"OPERATING_INCOME_SEQ_GROWTH","FQ4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47" s="2" t="e">
        <f ca="1">_xll.BDH($C$328,"NET_INCOME_TO_COMMON_SEQ_GROWTH","FQ4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47" s="2" t="e">
        <f ca="1">_xll.BDH($C$328,"EPS_DILUTED_SEQUENTIAL_GROWTH","FQ4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47" s="2" t="e">
        <f ca="1">_xll.BDH($C$328,"DPS_SEQUENTIAL_GROWTH","FQ4 2017","FQ4 2017","Currency=INR","Period=FQ","BEST_FPERIOD_OVERRIDE=FQ","FILING_STATUS=OR","EQY_CONSOLIDATED=Y","Sort=A","Dates=H","DateFormat=P","Fill=—","Direction=H","UseDPDF=Y")</f>
        <v>#NAME?</v>
      </c>
      <c r="BL347" s="2" t="e">
        <f ca="1">_xll.BDH($C$328,"ACCOUNTS_RECEIVABLE_SEQ_GROWTH","FQ4 2017","FQ4 2017","Currency=INR","Period=FQ","BEST_FPERIOD_OVERRIDE=FQ","FILING_STATUS=OR","EQY_CONSOLIDATED=Y","Sort=A","Dates=H","DateFormat=P","Fill=—","Direction=H","UseDPDF=Y")</f>
        <v>#NAME?</v>
      </c>
      <c r="BM347" s="2" t="e">
        <f ca="1">_xll.BDH($C$328,"INVENTORY_SEQUENTIAL_GROWTH","FQ4 2017","FQ4 2017","Currency=INR","Period=FQ","BEST_FPERIOD_OVERRIDE=FQ","FILING_STATUS=OR","EQY_CONSOLIDATED=Y","Sort=A","Dates=H","DateFormat=P","Fill=—","Direction=H","UseDPDF=Y")</f>
        <v>#NAME?</v>
      </c>
      <c r="BN347" s="2" t="e">
        <f ca="1">_xll.BDH($C$328,"FIXED_ASSETS_SEQUENTIAL_GROWTH","FQ4 2017","FQ4 2017","Currency=INR","Period=FQ","BEST_FPERIOD_OVERRIDE=FQ","FILING_STATUS=OR","EQY_CONSOLIDATED=Y","Sort=A","Dates=H","DateFormat=P","Fill=—","Direction=H","UseDPDF=Y")</f>
        <v>#NAME?</v>
      </c>
      <c r="BO347" s="2" t="e">
        <f ca="1">_xll.BDH($C$328,"TOTAL_ASSETS_SEQUENTIAL_GROWTH","FQ4 2017","FQ4 2017","Currency=INR","Period=FQ","BEST_FPERIOD_OVERRIDE=FQ","FILING_STATUS=OR","EQY_CONSOLIDATED=Y","Sort=A","Dates=H","DateFormat=P","Fill=—","Direction=H","UseDPDF=Y")</f>
        <v>#NAME?</v>
      </c>
      <c r="BP347" s="2" t="e">
        <f ca="1">_xll.BDH($C$328,"MODIFIED_WORKING_CPTL_SEQ_GRWTH","FQ4 2017","FQ4 2017","Currency=INR","Period=FQ","BEST_FPERIOD_OVERRIDE=FQ","FILING_STATUS=OR","EQY_CONSOLIDATED=Y","Sort=A","Dates=H","DateFormat=P","Fill=—","Direction=H","UseDPDF=Y")</f>
        <v>#NAME?</v>
      </c>
      <c r="BQ347" s="2" t="e">
        <f ca="1">_xll.BDH($C$328,"WORKING_CAPITAL_SEQ_GROWTH","FQ4 2017","FQ4 2017","Currency=INR","Period=FQ","BEST_FPERIOD_OVERRIDE=FQ","FILING_STATUS=OR","EQY_CONSOLIDATED=Y","Sort=A","Dates=H","DateFormat=P","Fill=—","Direction=H","UseDPDF=Y")</f>
        <v>#NAME?</v>
      </c>
      <c r="BR347" s="2" t="e">
        <f ca="1">_xll.BDH($C$328,"ACCOUNTS_PAYABLE_SEQ_GROWTH","FQ4 2017","FQ4 2017","Currency=INR","Period=FQ","BEST_FPERIOD_OVERRIDE=FQ","FILING_STATUS=OR","EQY_CONSOLIDATED=Y","Sort=A","Dates=H","DateFormat=P","Fill=—","Direction=H","UseDPDF=Y")</f>
        <v>#NAME?</v>
      </c>
      <c r="BS347" s="2" t="e">
        <f ca="1">_xll.BDH($C$328,"ST_DEBT_SEQUENTIAL_GROWTH","FQ4 2017","FQ4 2017","Currency=INR","Period=FQ","BEST_FPERIOD_OVERRIDE=FQ","FILING_STATUS=OR","EQY_CONSOLIDATED=Y","Sort=A","Dates=H","DateFormat=P","Fill=—","Direction=H","UseDPDF=Y")</f>
        <v>#NAME?</v>
      </c>
      <c r="BT347" s="2" t="e">
        <f ca="1">_xll.BDH($C$328,"TOTAL_DEBT_SEQUENTIAL_GROWTH","FQ4 2017","FQ4 2017","Currency=INR","Period=FQ","BEST_FPERIOD_OVERRIDE=FQ","FILING_STATUS=OR","EQY_CONSOLIDATED=Y","Sort=A","Dates=H","DateFormat=P","Fill=—","Direction=H","UseDPDF=Y")</f>
        <v>#NAME?</v>
      </c>
      <c r="BU347" s="2" t="e">
        <f ca="1">_xll.BDH($C$328,"TOTAL_EQUITY_SEQUENTIAL_GROWTH","FQ4 2017","FQ4 2017","Currency=INR","Period=FQ","BEST_FPERIOD_OVERRIDE=FQ","FILING_STATUS=OR","EQY_CONSOLIDATED=Y","Sort=A","Dates=H","DateFormat=P","Fill=—","Direction=H","UseDPDF=Y")</f>
        <v>#NAME?</v>
      </c>
      <c r="BV347" s="2" t="e">
        <f ca="1">_xll.BDH($C$328,"TOTAL_CAPITAL_SEQUENTIAL_GROWTH","FQ4 2017","FQ4 2017","Currency=INR","Period=FQ","BEST_FPERIOD_OVERRIDE=FQ","FILING_STATUS=OR","EQY_CONSOLIDATED=Y","Sort=A","Dates=H","DateFormat=P","Fill=—","Direction=H","UseDPDF=Y")</f>
        <v>#NAME?</v>
      </c>
      <c r="BW347" s="2" t="e">
        <f ca="1">_xll.BDH($C$328,"BPS_SEQUENTIAL_GROWTH","FQ4 2017","FQ4 2017","Currency=INR","Period=FQ","BEST_FPERIOD_OVERRIDE=FQ","FILING_STATUS=OR","EQY_CONSOLIDATED=Y","Sort=A","Dates=H","DateFormat=P","Fill=—","Direction=H","UseDPDF=Y")</f>
        <v>#NAME?</v>
      </c>
      <c r="BX347" s="2" t="e">
        <f ca="1">_xll.BDH($C$328,"CFO_SEQUENTIAL_GROWTH","FQ4 2017","FQ4 2017","Currency=INR","Period=FQ","BEST_FPERIOD_OVERRIDE=FQ","FILING_STATUS=OR","EQY_CONSOLIDATED=Y","Sort=A","Dates=H","DateFormat=P","Fill=—","Direction=H","UseDPDF=Y")</f>
        <v>#NAME?</v>
      </c>
      <c r="BY347" s="3" t="e">
        <f ca="1">_xll.BDH($C$328,"SHORT_AND_LONG_TERM_DEBT","FQ4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47" s="3" t="e">
        <f ca="1">_xll.BDH($C$328,"BS_ST_BORROW","FQ4 2017","FQ4 2017","Currency=INR","Period=FQ","BEST_FPERIOD_OVERRIDE=FQ","FILING_STATUS=OR","EQY_CONSOLIDATED=Y","SCALING_FORMAT=MLN","Sort=A","Dates=H","DateFormat=P","Fill=—","Direction=H","UseDPDF=Y")</f>
        <v>#NAME?</v>
      </c>
      <c r="CA347" s="3" t="e">
        <f ca="1">_xll.BDH($C$328,"BS_LT_BORROW","FQ4 2017","FQ4 2017","Currency=INR","Period=FQ","BEST_FPERIOD_OVERRIDE=FQ","FILING_STATUS=OR","EQY_CONSOLIDATED=Y","SCALING_FORMAT=MLN","Sort=A","Dates=H","DateFormat=P","Fill=—","Direction=H","UseDPDF=Y")</f>
        <v>#NAME?</v>
      </c>
      <c r="CB347" s="2" t="e">
        <f ca="1">_xll.BDH($C$328,"TOT_DEBT_TO_EBITDA","FQ4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47" s="2" t="e">
        <f ca="1">_xll.BDH($C$328,"NET_DEBT_TO_EBITDA","FQ4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47" s="2" t="e">
        <f ca="1">_xll.BDH($C$328,"TOTAL_DEBT_TO_EBIT","FQ4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47" s="2" t="e">
        <f ca="1">_xll.BDH($C$328,"NET_DEBT_TO_EBIT","FQ4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47" s="2" t="e">
        <f ca="1">_xll.BDH($C$328,"EBITDA_TO_INTEREST_EXPN","FQ4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47" s="2" t="e">
        <f ca="1">_xll.BDH($C$328,"COM_EQY_TO_TOT_ASSET","FQ4 2017","FQ4 2017","Currency=INR","Period=FQ","BEST_FPERIOD_OVERRIDE=FQ","FILING_STATUS=OR","EQY_CONSOLIDATED=Y","Sort=A","Dates=H","DateFormat=P","Fill=—","Direction=H","UseDPDF=Y")</f>
        <v>#NAME?</v>
      </c>
      <c r="CH347" s="2" t="e">
        <f ca="1">_xll.BDH($C$328,"LT_DEBT_TO_TOT_EQY","FQ4 2017","FQ4 2017","Currency=INR","Period=FQ","BEST_FPERIOD_OVERRIDE=FQ","FILING_STATUS=OR","EQY_CONSOLIDATED=Y","Sort=A","Dates=H","DateFormat=P","Fill=—","Direction=H","UseDPDF=Y")</f>
        <v>#NAME?</v>
      </c>
      <c r="CI347" s="2" t="e">
        <f ca="1">_xll.BDH($C$328,"LT_DEBT_TO_TOT_CAP","FQ4 2017","FQ4 2017","Currency=INR","Period=FQ","BEST_FPERIOD_OVERRIDE=FQ","FILING_STATUS=OR","EQY_CONSOLIDATED=Y","Sort=A","Dates=H","DateFormat=P","Fill=—","Direction=H","UseDPDF=Y")</f>
        <v>#NAME?</v>
      </c>
      <c r="CJ347" s="2" t="e">
        <f ca="1">_xll.BDH($C$328,"LT_DEBT_TO_TOT_ASSET","FQ4 2017","FQ4 2017","Currency=INR","Period=FQ","BEST_FPERIOD_OVERRIDE=FQ","FILING_STATUS=OR","EQY_CONSOLIDATED=Y","Sort=A","Dates=H","DateFormat=P","Fill=—","Direction=H","UseDPDF=Y")</f>
        <v>#NAME?</v>
      </c>
      <c r="CK347" s="2" t="e">
        <f ca="1">_xll.BDH($C$328,"TOT_DEBT_TO_TOT_EQY","FQ4 2017","FQ4 2017","Currency=INR","Period=FQ","BEST_FPERIOD_OVERRIDE=FQ","FILING_STATUS=OR","EQY_CONSOLIDATED=Y","Sort=A","Dates=H","DateFormat=P","Fill=—","Direction=H","UseDPDF=Y")</f>
        <v>#NAME?</v>
      </c>
      <c r="CL347" s="2" t="e">
        <f ca="1">_xll.BDH($C$328,"TOT_DEBT_TO_TOT_CAP","FQ4 2017","FQ4 2017","Currency=INR","Period=FQ","BEST_FPERIOD_OVERRIDE=FQ","FILING_STATUS=OR","EQY_CONSOLIDATED=Y","Sort=A","Dates=H","DateFormat=P","Fill=—","Direction=H","UseDPDF=Y")</f>
        <v>#NAME?</v>
      </c>
      <c r="CM347" s="2" t="e">
        <f ca="1">_xll.BDH($C$328,"TOT_DEBT_TO_TOT_ASSET","FQ4 2017","FQ4 2017","Currency=INR","Period=FQ","BEST_FPERIOD_OVERRIDE=FQ","FILING_STATUS=OR","EQY_CONSOLIDATED=Y","Sort=A","Dates=H","DateFormat=P","Fill=—","Direction=H","UseDPDF=Y")</f>
        <v>#NAME?</v>
      </c>
      <c r="CN347" s="2" t="e">
        <f ca="1">_xll.BDH($C$328,"NET_DEBT_TO_SHRHLDR_EQTY","FQ4 2017","FQ4 2017","Currency=INR","Period=FQ","BEST_FPERIOD_OVERRIDE=FQ","FILING_STATUS=OR","EQY_CONSOLIDATED=Y","Sort=A","Dates=H","DateFormat=P","Fill=—","Direction=H","UseDPDF=Y")</f>
        <v>#NAME?</v>
      </c>
      <c r="CO347" s="2" t="e">
        <f ca="1">_xll.BDH($C$328,"NET_DEBT_%_CAPITAL","FQ4 2017","FQ4 2017","Currency=INR","Period=FQ","BEST_FPERIOD_OVERRIDE=FQ","FILING_STATUS=OR","EQY_CONSOLIDATED=Y","Sort=A","Dates=H","DateFormat=P","Fill=—","Direction=H","UseDPDF=Y")</f>
        <v>#NAME?</v>
      </c>
      <c r="CP347" s="3" t="e">
        <f ca="1">_xll.BDH($C$328,"EBITDA","FQ4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47" s="3" t="e">
        <f ca="1">_xll.BDH($C$328,"EBITDA_AFTER_CAPEX","FQ4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47" s="3" t="e">
        <f ca="1">_xll.BDH($C$328,"IS_OPER_INC","FQ4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47" s="2" t="e">
        <f ca="1">_xll.BDH($C$328,"CASH_RATIO","FQ4 2017","FQ4 2017","Currency=INR","Period=FQ","BEST_FPERIOD_OVERRIDE=FQ","FILING_STATUS=OR","EQY_CONSOLIDATED=Y","Sort=A","Dates=H","DateFormat=P","Fill=—","Direction=H","UseDPDF=Y")</f>
        <v>#NAME?</v>
      </c>
      <c r="CT347" s="2" t="e">
        <f ca="1">_xll.BDH($C$328,"CUR_RATIO","FQ4 2017","FQ4 2017","Currency=INR","Period=FQ","BEST_FPERIOD_OVERRIDE=FQ","FILING_STATUS=OR","EQY_CONSOLIDATED=Y","Sort=A","Dates=H","DateFormat=P","Fill=—","Direction=H","UseDPDF=Y")</f>
        <v>#NAME?</v>
      </c>
      <c r="CU347" s="2" t="e">
        <f ca="1">_xll.BDH($C$328,"QUICK_RATIO","FQ4 2017","FQ4 2017","Currency=INR","Period=FQ","BEST_FPERIOD_OVERRIDE=FQ","FILING_STATUS=OR","EQY_CONSOLIDATED=Y","Sort=A","Dates=H","DateFormat=P","Fill=—","Direction=H","UseDPDF=Y")</f>
        <v>#NAME?</v>
      </c>
      <c r="CV347" s="2" t="e">
        <f ca="1">_xll.BDH($C$328,"ALTMAN_Z_SCORE","FQ4 2017","FQ4 2017","Currency=INR","Period=FQ","BEST_FPERIOD_OVERRIDE=FQ","FILING_STATUS=OR","EQY_CONSOLIDATED=Y","Sort=A","Dates=H","DateFormat=P","Fill=—","Direction=H","UseDPDF=Y")</f>
        <v>#NAME?</v>
      </c>
      <c r="CW347" s="4" t="e">
        <f ca="1">_xll.BDH($C$328,"ACCT_RCV_TURN","FQ4 2017","FQ4 2017","Currency=INR","Period=FQ","BEST_FPERIOD_OVERRIDE=FQ","FILING_STATUS=OR","EQY_CONSOLIDATED=Y","FA_ADJUSTED=GAAP","Sort=A","Dates=H","DateFormat=P","Fill=—","Direction=H","UseDPDF=Y")</f>
        <v>#NAME?</v>
      </c>
      <c r="CX347" s="2" t="e">
        <f ca="1">_xll.BDH($C$328,"ACCT_RCV_DAYS","FQ4 2017","FQ4 2017","Currency=INR","Period=FQ","BEST_FPERIOD_OVERRIDE=FQ","FILING_STATUS=OR","EQY_CONSOLIDATED=Y","FA_ADJUSTED=GAAP","Sort=A","Dates=H","DateFormat=P","Fill=—","Direction=H","UseDPDF=Y")</f>
        <v>#NAME?</v>
      </c>
      <c r="CY347" s="4" t="e">
        <f ca="1">_xll.BDH($C$328,"INVENT_TURN","FQ4 2017","FQ4 2017","Currency=INR","Period=FQ","BEST_FPERIOD_OVERRIDE=FQ","FILING_STATUS=OR","EQY_CONSOLIDATED=Y","FA_ADJUSTED=GAAP","Sort=A","Dates=H","DateFormat=P","Fill=—","Direction=H","UseDPDF=Y")</f>
        <v>#NAME?</v>
      </c>
      <c r="CZ347" s="2" t="e">
        <f ca="1">_xll.BDH($C$328,"INVENT_DAYS","FQ4 2017","FQ4 2017","Currency=INR","Period=FQ","BEST_FPERIOD_OVERRIDE=FQ","FILING_STATUS=OR","EQY_CONSOLIDATED=Y","FA_ADJUSTED=GAAP","Sort=A","Dates=H","DateFormat=P","Fill=—","Direction=H","UseDPDF=Y")</f>
        <v>#NAME?</v>
      </c>
      <c r="DA347" s="4" t="e">
        <f ca="1">_xll.BDH($C$328,"ACCOUNTS_PAYABLE_TURNOVER","FQ4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47" s="2" t="e">
        <f ca="1">_xll.BDH($C$328,"ACCOUNTS_PAYABLE_TURNOVER_DAYS","FQ4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47" s="4" t="e">
        <f ca="1">_xll.BDH($C$328,"CASH_CONVERSION_CYCLE","FQ4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47" s="4" t="e">
        <f ca="1">_xll.BDH($C$328,"INV_TO_CASH_DAYS","FQ4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47" s="5" t="e">
        <f ca="1">_xll.BDH($C$328,"BS_INVENTORIES","FQ4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47" s="3" t="e">
        <f ca="1">_xll.BDH($C$328,"INVTRY_RAW_MATERIALS","FQ4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47" s="3" t="e">
        <f ca="1">_xll.BDH($C$328,"INVTRY_IN_PROGRESS","FQ4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47" s="3" t="e">
        <f ca="1">_xll.BDH($C$328,"INVTRY_FINISHED_GOODS","FQ4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47" s="3" t="e">
        <f ca="1">_xll.BDH($C$328,"BS_OTHER_INV","FQ4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48" spans="1:113" x14ac:dyDescent="0.3">
      <c r="A348" s="6"/>
      <c r="B348" s="6"/>
      <c r="C348" s="6"/>
      <c r="D348" s="6" t="s">
        <v>85</v>
      </c>
      <c r="E348" t="s">
        <v>77</v>
      </c>
      <c r="F348" t="e">
        <f ca="1">_xll.BDH($C$328,"RETURN_COM_EQY","FY 2018","FY 2018","Currency=INR","Period=FY","BEST_FPERIOD_OVERRIDE=FY","FILING_STATUS=OR","EQY_CONSOLIDATED=Y","FA_ADJUSTED=GAAP","Sort=A","Dates=H","DateFormat=P","Fill=—","Direction=H","UseDPDF=Y")</f>
        <v>#NAME?</v>
      </c>
      <c r="G348" t="e">
        <f ca="1">_xll.BDH($C$328,"RETURN_ON_ASSET","FY 2018","FY 2018","Currency=INR","Period=FY","BEST_FPERIOD_OVERRIDE=FY","FILING_STATUS=OR","EQY_CONSOLIDATED=Y","FA_ADJUSTED=GAAP","Sort=A","Dates=H","DateFormat=P","Fill=—","Direction=H","UseDPDF=Y")</f>
        <v>#NAME?</v>
      </c>
      <c r="H348" t="e">
        <f ca="1">_xll.BDH($C$328,"RETURN_ON_CAP","FY 2018","FY 2018","Currency=INR","Period=FY","BEST_FPERIOD_OVERRIDE=FY","FILING_STATUS=OR","EQY_CONSOLIDATED=Y","FA_ADJUSTED=GAAP","Sort=A","Dates=H","DateFormat=P","Fill=—","Direction=H","UseDPDF=Y")</f>
        <v>#NAME?</v>
      </c>
      <c r="I348" t="e">
        <f ca="1">_xll.BDH($C$328,"RETURN_ON_INV_CAPITAL","FY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48" t="e">
        <f ca="1">_xll.BDH($C$328,"EBITDA_TO_REVENUE","FY 2018","FY 2018","Currency=INR","Period=FY","BEST_FPERIOD_OVERRIDE=FY","FILING_STATUS=OR","EQY_CONSOLIDATED=Y","FA_ADJUSTED=GAAP","Sort=A","Dates=H","DateFormat=P","Fill=—","Direction=H","UseDPDF=Y")</f>
        <v>#NAME?</v>
      </c>
      <c r="K348" t="e">
        <f ca="1">_xll.BDH($C$328,"OPER_MARGIN","FY 2018","FY 2018","Currency=INR","Period=FY","BEST_FPERIOD_OVERRIDE=FY","FILING_STATUS=OR","EQY_CONSOLIDATED=Y","FA_ADJUSTED=GAAP","Sort=A","Dates=H","DateFormat=P","Fill=—","Direction=H","UseDPDF=Y")</f>
        <v>#NAME?</v>
      </c>
      <c r="L348" t="e">
        <f ca="1">_xll.BDH($C$328,"INCREMENTAL_OPERATING_MARGIN","FY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48" t="e">
        <f ca="1">_xll.BDH($C$328,"PRETAX_INC_TO_NET_SALES","FY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48" t="e">
        <f ca="1">_xll.BDH($C$328,"INC_BEF_XO_ITEMS_TO_NET_SALES","FY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48" t="e">
        <f ca="1">_xll.BDH($C$328,"PROF_MARGIN","FY 2018","FY 2018","Currency=INR","Period=FY","BEST_FPERIOD_OVERRIDE=FY","FILING_STATUS=OR","EQY_CONSOLIDATED=Y","FA_ADJUSTED=GAAP","Sort=A","Dates=H","DateFormat=P","Fill=—","Direction=H","UseDPDF=Y")</f>
        <v>#NAME?</v>
      </c>
      <c r="P348" t="e">
        <f ca="1">_xll.BDH($C$328,"NET_INCOME_TO_COMMON_MARGIN","FY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48" t="e">
        <f ca="1">_xll.BDH($C$328,"EFF_TAX_RATE","FY 2018","FY 2018","Currency=INR","Period=FY","BEST_FPERIOD_OVERRIDE=FY","FILING_STATUS=OR","EQY_CONSOLIDATED=Y","FA_ADJUSTED=GAAP","Sort=A","Dates=H","DateFormat=P","Fill=—","Direction=H","UseDPDF=Y")</f>
        <v>#NAME?</v>
      </c>
      <c r="R348" t="e">
        <f ca="1">_xll.BDH($C$328,"DVD_PAYOUT_RATIO","FY 2018","FY 2018","Currency=INR","Period=FY","BEST_FPERIOD_OVERRIDE=FY","FILING_STATUS=OR","EQY_CONSOLIDATED=Y","FA_ADJUSTED=GAAP","Sort=A","Dates=H","DateFormat=P","Fill=—","Direction=H","UseDPDF=Y")</f>
        <v>#NAME?</v>
      </c>
      <c r="S348" t="e">
        <f ca="1">_xll.BDH($C$328,"SUSTAIN_GROWTH_RT","FY 2018","FY 2018","Currency=INR","Period=FY","BEST_FPERIOD_OVERRIDE=FY","FILING_STATUS=OR","EQY_CONSOLIDATED=Y","FA_ADJUSTED=GAAP","Sort=A","Dates=H","DateFormat=P","Fill=—","Direction=H","UseDPDF=Y")</f>
        <v>#NAME?</v>
      </c>
      <c r="T348" s="2" t="e">
        <f ca="1">_xll.BDH($C$328,"SALES_GROWTH","FY 2018","FY 2018","Currency=INR","Period=FY","BEST_FPERIOD_OVERRIDE=FY","FILING_STATUS=OR","EQY_CONSOLIDATED=Y","FA_ADJUSTED=GAAP","Sort=A","Dates=H","DateFormat=P","Fill=—","Direction=H","UseDPDF=Y")</f>
        <v>#NAME?</v>
      </c>
      <c r="U348" s="2" t="e">
        <f ca="1">_xll.BDH($C$328,"EBITDA_GROWTH","FY 2018","FY 2018","Currency=INR","Period=FY","BEST_FPERIOD_OVERRIDE=FY","FILING_STATUS=OR","EQY_CONSOLIDATED=Y","FA_ADJUSTED=GAAP","Sort=A","Dates=H","DateFormat=P","Fill=—","Direction=H","UseDPDF=Y")</f>
        <v>#NAME?</v>
      </c>
      <c r="V348" s="2" t="e">
        <f ca="1">_xll.BDH($C$328,"OPER_INC_GROWTH","FY 2018","FY 2018","Currency=INR","Period=FY","BEST_FPERIOD_OVERRIDE=FY","FILING_STATUS=OR","EQY_CONSOLIDATED=Y","FA_ADJUSTED=GAAP","Sort=A","Dates=H","DateFormat=P","Fill=—","Direction=H","UseDPDF=Y")</f>
        <v>#NAME?</v>
      </c>
      <c r="W348" s="2" t="e">
        <f ca="1">_xll.BDH($C$328,"EARN_FOR_COM_GROWTH","FY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48" s="2" t="e">
        <f ca="1">_xll.BDH($C$328,"DILUTED_EPS_AFT_XO_ITEMS_GROWTH","FY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48" s="2" t="e">
        <f ca="1">_xll.BDH($C$328,"DIVIDEND_PER_SHARE_1_YEAR_GROWTH","FY 2018","FY 2018","Currency=INR","Period=FY","BEST_FPERIOD_OVERRIDE=FY","FILING_STATUS=OR","EQY_CONSOLIDATED=Y","Sort=A","Dates=H","DateFormat=P","Fill=—","Direction=H","UseDPDF=Y")</f>
        <v>#NAME?</v>
      </c>
      <c r="Z348" s="2" t="e">
        <f ca="1">_xll.BDH($C$328,"ACCOUNTS_RECEIVABLE_GROWTH","FY 2018","FY 2018","Currency=INR","Period=FY","BEST_FPERIOD_OVERRIDE=FY","FILING_STATUS=OR","EQY_CONSOLIDATED=Y","Sort=A","Dates=H","DateFormat=P","Fill=—","Direction=H","UseDPDF=Y")</f>
        <v>#NAME?</v>
      </c>
      <c r="AA348" s="2" t="e">
        <f ca="1">_xll.BDH($C$328,"INVENTORY_GROWTH","FY 2018","FY 2018","Currency=INR","Period=FY","BEST_FPERIOD_OVERRIDE=FY","FILING_STATUS=OR","EQY_CONSOLIDATED=Y","Sort=A","Dates=H","DateFormat=P","Fill=—","Direction=H","UseDPDF=Y")</f>
        <v>#NAME?</v>
      </c>
      <c r="AB348" s="2" t="e">
        <f ca="1">_xll.BDH($C$328,"NET_FIXED_ASSETS_1_YEAR_GROWTH","FY 2018","FY 2018","Currency=INR","Period=FY","BEST_FPERIOD_OVERRIDE=FY","FILING_STATUS=OR","EQY_CONSOLIDATED=Y","Sort=A","Dates=H","DateFormat=P","Fill=—","Direction=H","UseDPDF=Y")</f>
        <v>#NAME?</v>
      </c>
      <c r="AC348" s="2" t="e">
        <f ca="1">_xll.BDH($C$328,"ASSET_GROWTH","FY 2018","FY 2018","Currency=INR","Period=FY","BEST_FPERIOD_OVERRIDE=FY","FILING_STATUS=OR","EQY_CONSOLIDATED=Y","Sort=A","Dates=H","DateFormat=P","Fill=—","Direction=H","UseDPDF=Y")</f>
        <v>#NAME?</v>
      </c>
      <c r="AD348" s="2" t="e">
        <f ca="1">_xll.BDH($C$328,"MODIFIED_WORK_CAP_GROWTH","FY 2018","FY 2018","Currency=INR","Period=FY","BEST_FPERIOD_OVERRIDE=FY","FILING_STATUS=OR","EQY_CONSOLIDATED=Y","Sort=A","Dates=H","DateFormat=P","Fill=—","Direction=H","UseDPDF=Y")</f>
        <v>#NAME?</v>
      </c>
      <c r="AE348" s="2" t="e">
        <f ca="1">_xll.BDH($C$328,"WORK_CAP_GROWTH","FY 2018","FY 2018","Currency=INR","Period=FY","BEST_FPERIOD_OVERRIDE=FY","FILING_STATUS=OR","EQY_CONSOLIDATED=Y","Sort=A","Dates=H","DateFormat=P","Fill=—","Direction=H","UseDPDF=Y")</f>
        <v>#NAME?</v>
      </c>
      <c r="AF348" s="2" t="e">
        <f ca="1">_xll.BDH($C$328,"ACCOUNTS_PAYABLE_GROWTH_1YR","FY 2018","FY 2018","Currency=INR","Period=FY","BEST_FPERIOD_OVERRIDE=FY","FILING_STATUS=OR","EQY_CONSOLIDATED=Y","Sort=A","Dates=H","DateFormat=P","Fill=—","Direction=H","UseDPDF=Y")</f>
        <v>#NAME?</v>
      </c>
      <c r="AG348" s="2" t="e">
        <f ca="1">_xll.BDH($C$328,"SHORT_TERM_DEBT_1_YEAR_GROWTH","FY 2018","FY 2018","Currency=INR","Period=FY","BEST_FPERIOD_OVERRIDE=FY","FILING_STATUS=OR","EQY_CONSOLIDATED=Y","Sort=A","Dates=H","DateFormat=P","Fill=—","Direction=H","UseDPDF=Y")</f>
        <v>#NAME?</v>
      </c>
      <c r="AH348" s="2" t="e">
        <f ca="1">_xll.BDH($C$328,"TOTAL_DEBT_1_YEAR_GROWTH","FY 2018","FY 2018","Currency=INR","Period=FY","BEST_FPERIOD_OVERRIDE=FY","FILING_STATUS=OR","EQY_CONSOLIDATED=Y","Sort=A","Dates=H","DateFormat=P","Fill=—","Direction=H","UseDPDF=Y")</f>
        <v>#NAME?</v>
      </c>
      <c r="AI348" s="2" t="e">
        <f ca="1">_xll.BDH($C$328,"TOTAL_EQUITY_1_YEAR_GROWTH","FY 2018","FY 2018","Currency=INR","Period=FY","BEST_FPERIOD_OVERRIDE=FY","FILING_STATUS=OR","EQY_CONSOLIDATED=Y","Sort=A","Dates=H","DateFormat=P","Fill=—","Direction=H","UseDPDF=Y")</f>
        <v>#NAME?</v>
      </c>
      <c r="AJ348" s="2" t="e">
        <f ca="1">_xll.BDH($C$328,"GROWTH_IN_CAP","FY 2018","FY 2018","Currency=INR","Period=FY","BEST_FPERIOD_OVERRIDE=FY","FILING_STATUS=OR","EQY_CONSOLIDATED=Y","Sort=A","Dates=H","DateFormat=P","Fill=—","Direction=H","UseDPDF=Y")</f>
        <v>#NAME?</v>
      </c>
      <c r="AK348" s="2" t="e">
        <f ca="1">_xll.BDH($C$328,"BVPS_GROWTH","FY 2018","FY 2018","Currency=INR","Period=FY","BEST_FPERIOD_OVERRIDE=FY","FILING_STATUS=OR","EQY_CONSOLIDATED=Y","Sort=A","Dates=H","DateFormat=P","Fill=—","Direction=H","UseDPDF=Y")</f>
        <v>#NAME?</v>
      </c>
      <c r="AL348" s="2" t="e">
        <f ca="1">_xll.BDH($C$328,"CASH_FLOW_GROWTH","FY 2018","FY 2018","Currency=INR","Period=FY","BEST_FPERIOD_OVERRIDE=FY","FILING_STATUS=OR","EQY_CONSOLIDATED=Y","Sort=A","Dates=H","DateFormat=P","Fill=—","Direction=H","UseDPDF=Y")</f>
        <v>#NAME?</v>
      </c>
      <c r="AM348" s="2" t="e">
        <f ca="1">_xll.BDH($C$328,"GEO_GROW_NET_SALES","FY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48" s="2" t="e">
        <f ca="1">_xll.BDH($C$328,"GEO_GROW_EBITDA","FY 2018","FY 2018","Currency=INR","Period=FY","BEST_FPERIOD_OVERRIDE=FY","FILING_STATUS=OR","EQY_CONSOLIDATED=Y","FA_ADJUSTED=GAAP","Sort=A","Dates=H","DateFormat=P","Fill=—","Direction=H","UseDPDF=Y")</f>
        <v>#NAME?</v>
      </c>
      <c r="AO348" s="2" t="e">
        <f ca="1">_xll.BDH($C$328,"GEO_GROW_OPER_INC","FY 2018","FY 2018","Currency=INR","Period=FY","BEST_FPERIOD_OVERRIDE=FY","FILING_STATUS=OR","EQY_CONSOLIDATED=Y","FA_ADJUSTED=GAAP","Sort=A","Dates=H","DateFormat=P","Fill=—","Direction=H","UseDPDF=Y")</f>
        <v>#NAME?</v>
      </c>
      <c r="AP348" s="2" t="e">
        <f ca="1">_xll.BDH($C$328,"NET_INCOME_TO_COMMON_5_YR_GROWTH","FY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48" s="2" t="e">
        <f ca="1">_xll.BDH($C$328,"5Y_GEO_GROWTH_DILUTED_EPS","FY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48" s="2" t="e">
        <f ca="1">_xll.BDH($C$328,"GEO_GROW_DVD_PER_SH","FY 2018","FY 2018","Currency=INR","Period=FY","BEST_FPERIOD_OVERRIDE=FY","FILING_STATUS=OR","EQY_CONSOLIDATED=Y","Sort=A","Dates=H","DateFormat=P","Fill=—","Direction=H","UseDPDF=Y")</f>
        <v>#NAME?</v>
      </c>
      <c r="AS348" s="2" t="e">
        <f ca="1">_xll.BDH($C$328,"ACCOUNTS_RECEIVABLE_5_YR_GROWTH","FY 2018","FY 2018","Currency=INR","Period=FY","BEST_FPERIOD_OVERRIDE=FY","FILING_STATUS=OR","EQY_CONSOLIDATED=Y","Sort=A","Dates=H","DateFormat=P","Fill=—","Direction=H","UseDPDF=Y")</f>
        <v>#NAME?</v>
      </c>
      <c r="AT348" s="2" t="e">
        <f ca="1">_xll.BDH($C$328,"INVENTORY_5_YEAR_GROWTH","FY 2018","FY 2018","Currency=INR","Period=FY","BEST_FPERIOD_OVERRIDE=FY","FILING_STATUS=OR","EQY_CONSOLIDATED=Y","Sort=A","Dates=H","DateFormat=P","Fill=—","Direction=H","UseDPDF=Y")</f>
        <v>#NAME?</v>
      </c>
      <c r="AU348" s="2" t="e">
        <f ca="1">_xll.BDH($C$328,"NET_FIXED_ASSETS_5_YEAR_GROWTH","FY 2018","FY 2018","Currency=INR","Period=FY","BEST_FPERIOD_OVERRIDE=FY","FILING_STATUS=OR","EQY_CONSOLIDATED=Y","Sort=A","Dates=H","DateFormat=P","Fill=—","Direction=H","UseDPDF=Y")</f>
        <v>#NAME?</v>
      </c>
      <c r="AV348" s="2" t="e">
        <f ca="1">_xll.BDH($C$328,"GEO_GROW_TOT_ASSET","FY 2018","FY 2018","Currency=INR","Period=FY","BEST_FPERIOD_OVERRIDE=FY","FILING_STATUS=OR","EQY_CONSOLIDATED=Y","Sort=A","Dates=H","DateFormat=P","Fill=—","Direction=H","UseDPDF=Y")</f>
        <v>#NAME?</v>
      </c>
      <c r="AW348" s="2" t="e">
        <f ca="1">_xll.BDH($C$328,"MODIFIED_WORKING_CPTL_5YR_GRWTH","FY 2018","FY 2018","Currency=INR","Period=FY","BEST_FPERIOD_OVERRIDE=FY","FILING_STATUS=OR","EQY_CONSOLIDATED=Y","Sort=A","Dates=H","DateFormat=P","Fill=—","Direction=H","UseDPDF=Y")</f>
        <v>#NAME?</v>
      </c>
      <c r="AX348" s="2" t="e">
        <f ca="1">_xll.BDH($C$328,"WORKING_CAPITAL_5_YEAR_GROWTH","FY 2018","FY 2018","Currency=INR","Period=FY","BEST_FPERIOD_OVERRIDE=FY","FILING_STATUS=OR","EQY_CONSOLIDATED=Y","Sort=A","Dates=H","DateFormat=P","Fill=—","Direction=H","UseDPDF=Y")</f>
        <v>#NAME?</v>
      </c>
      <c r="AY348" s="2" t="e">
        <f ca="1">_xll.BDH($C$328,"ACCOUNTS_PAYABLE_5_YEAR_GROWTH","FY 2018","FY 2018","Currency=INR","Period=FY","BEST_FPERIOD_OVERRIDE=FY","FILING_STATUS=OR","EQY_CONSOLIDATED=Y","Sort=A","Dates=H","DateFormat=P","Fill=—","Direction=H","UseDPDF=Y")</f>
        <v>#NAME?</v>
      </c>
      <c r="AZ348" s="2" t="e">
        <f ca="1">_xll.BDH($C$328,"SHORT_TERM_DEBT_5_YEAR_GROWTH","FY 2018","FY 2018","Currency=INR","Period=FY","BEST_FPERIOD_OVERRIDE=FY","FILING_STATUS=OR","EQY_CONSOLIDATED=Y","Sort=A","Dates=H","DateFormat=P","Fill=—","Direction=H","UseDPDF=Y")</f>
        <v>#NAME?</v>
      </c>
      <c r="BA348" s="2" t="e">
        <f ca="1">_xll.BDH($C$328,"TOTAL_DEBT_5_YEAR_GROWTH","FY 2018","FY 2018","Currency=INR","Period=FY","BEST_FPERIOD_OVERRIDE=FY","FILING_STATUS=OR","EQY_CONSOLIDATED=Y","Sort=A","Dates=H","DateFormat=P","Fill=—","Direction=H","UseDPDF=Y")</f>
        <v>#NAME?</v>
      </c>
      <c r="BB348" s="2" t="e">
        <f ca="1">_xll.BDH($C$328,"GEO_GROW_TOT_SHRHLDR_EQY","FY 2018","FY 2018","Currency=INR","Period=FY","BEST_FPERIOD_OVERRIDE=FY","FILING_STATUS=OR","EQY_CONSOLIDATED=Y","Sort=A","Dates=H","DateFormat=P","Fill=—","Direction=H","UseDPDF=Y")</f>
        <v>#NAME?</v>
      </c>
      <c r="BC348" s="2" t="e">
        <f ca="1">_xll.BDH($C$328,"TOTAL_CAPITAL_5_YEAR_GROWTH","FY 2018","FY 2018","Currency=INR","Period=FY","BEST_FPERIOD_OVERRIDE=FY","FILING_STATUS=OR","EQY_CONSOLIDATED=Y","Sort=A","Dates=H","DateFormat=P","Fill=—","Direction=H","UseDPDF=Y")</f>
        <v>#NAME?</v>
      </c>
      <c r="BD348" s="2" t="e">
        <f ca="1">_xll.BDH($C$328,"GEO_GROW_BOOK_VAL","FY 2018","FY 2018","Currency=INR","Period=FY","BEST_FPERIOD_OVERRIDE=FY","FILING_STATUS=OR","EQY_CONSOLIDATED=Y","Sort=A","Dates=H","DateFormat=P","Fill=—","Direction=H","UseDPDF=Y")</f>
        <v>#NAME?</v>
      </c>
      <c r="BE348" s="2" t="e">
        <f ca="1">_xll.BDH($C$328,"GEO_GROW_CASH_OPER_ACT","FY 2018","FY 2018","Currency=INR","Period=FY","BEST_FPERIOD_OVERRIDE=FY","FILING_STATUS=OR","EQY_CONSOLIDATED=Y","Sort=A","Dates=H","DateFormat=P","Fill=—","Direction=H","UseDPDF=Y")</f>
        <v>#NAME?</v>
      </c>
      <c r="BF348" s="2" t="e">
        <f ca="1">_xll.BDH($C$328,"REVENUE_SEQUENTIAL_GROWTH","FY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48" s="2" t="e">
        <f ca="1">_xll.BDH($C$328,"EBITDA_SEQUENTIAL_GROWTH","FY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48" s="2" t="e">
        <f ca="1">_xll.BDH($C$328,"OPERATING_INCOME_SEQ_GROWTH","FY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48" s="2" t="e">
        <f ca="1">_xll.BDH($C$328,"NET_INCOME_TO_COMMON_SEQ_GROWTH","FY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48" s="2" t="e">
        <f ca="1">_xll.BDH($C$328,"EPS_DILUTED_SEQUENTIAL_GROWTH","FY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48" s="2" t="e">
        <f ca="1">_xll.BDH($C$328,"DPS_SEQUENTIAL_GROWTH","FY 2018","FY 2018","Currency=INR","Period=FY","BEST_FPERIOD_OVERRIDE=FY","FILING_STATUS=OR","EQY_CONSOLIDATED=Y","Sort=A","Dates=H","DateFormat=P","Fill=—","Direction=H","UseDPDF=Y")</f>
        <v>#NAME?</v>
      </c>
      <c r="BL348" s="2" t="e">
        <f ca="1">_xll.BDH($C$328,"ACCOUNTS_RECEIVABLE_SEQ_GROWTH","FY 2018","FY 2018","Currency=INR","Period=FY","BEST_FPERIOD_OVERRIDE=FY","FILING_STATUS=OR","EQY_CONSOLIDATED=Y","Sort=A","Dates=H","DateFormat=P","Fill=—","Direction=H","UseDPDF=Y")</f>
        <v>#NAME?</v>
      </c>
      <c r="BM348" s="2" t="e">
        <f ca="1">_xll.BDH($C$328,"INVENTORY_SEQUENTIAL_GROWTH","FY 2018","FY 2018","Currency=INR","Period=FY","BEST_FPERIOD_OVERRIDE=FY","FILING_STATUS=OR","EQY_CONSOLIDATED=Y","Sort=A","Dates=H","DateFormat=P","Fill=—","Direction=H","UseDPDF=Y")</f>
        <v>#NAME?</v>
      </c>
      <c r="BN348" s="2" t="e">
        <f ca="1">_xll.BDH($C$328,"FIXED_ASSETS_SEQUENTIAL_GROWTH","FY 2018","FY 2018","Currency=INR","Period=FY","BEST_FPERIOD_OVERRIDE=FY","FILING_STATUS=OR","EQY_CONSOLIDATED=Y","Sort=A","Dates=H","DateFormat=P","Fill=—","Direction=H","UseDPDF=Y")</f>
        <v>#NAME?</v>
      </c>
      <c r="BO348" s="2" t="e">
        <f ca="1">_xll.BDH($C$328,"TOTAL_ASSETS_SEQUENTIAL_GROWTH","FY 2018","FY 2018","Currency=INR","Period=FY","BEST_FPERIOD_OVERRIDE=FY","FILING_STATUS=OR","EQY_CONSOLIDATED=Y","Sort=A","Dates=H","DateFormat=P","Fill=—","Direction=H","UseDPDF=Y")</f>
        <v>#NAME?</v>
      </c>
      <c r="BP348" s="2" t="e">
        <f ca="1">_xll.BDH($C$328,"MODIFIED_WORKING_CPTL_SEQ_GRWTH","FY 2018","FY 2018","Currency=INR","Period=FY","BEST_FPERIOD_OVERRIDE=FY","FILING_STATUS=OR","EQY_CONSOLIDATED=Y","Sort=A","Dates=H","DateFormat=P","Fill=—","Direction=H","UseDPDF=Y")</f>
        <v>#NAME?</v>
      </c>
      <c r="BQ348" s="2" t="e">
        <f ca="1">_xll.BDH($C$328,"WORKING_CAPITAL_SEQ_GROWTH","FY 2018","FY 2018","Currency=INR","Period=FY","BEST_FPERIOD_OVERRIDE=FY","FILING_STATUS=OR","EQY_CONSOLIDATED=Y","Sort=A","Dates=H","DateFormat=P","Fill=—","Direction=H","UseDPDF=Y")</f>
        <v>#NAME?</v>
      </c>
      <c r="BR348" s="2" t="e">
        <f ca="1">_xll.BDH($C$328,"ACCOUNTS_PAYABLE_SEQ_GROWTH","FY 2018","FY 2018","Currency=INR","Period=FY","BEST_FPERIOD_OVERRIDE=FY","FILING_STATUS=OR","EQY_CONSOLIDATED=Y","Sort=A","Dates=H","DateFormat=P","Fill=—","Direction=H","UseDPDF=Y")</f>
        <v>#NAME?</v>
      </c>
      <c r="BS348" s="2" t="e">
        <f ca="1">_xll.BDH($C$328,"ST_DEBT_SEQUENTIAL_GROWTH","FY 2018","FY 2018","Currency=INR","Period=FY","BEST_FPERIOD_OVERRIDE=FY","FILING_STATUS=OR","EQY_CONSOLIDATED=Y","Sort=A","Dates=H","DateFormat=P","Fill=—","Direction=H","UseDPDF=Y")</f>
        <v>#NAME?</v>
      </c>
      <c r="BT348" s="2" t="e">
        <f ca="1">_xll.BDH($C$328,"TOTAL_DEBT_SEQUENTIAL_GROWTH","FY 2018","FY 2018","Currency=INR","Period=FY","BEST_FPERIOD_OVERRIDE=FY","FILING_STATUS=OR","EQY_CONSOLIDATED=Y","Sort=A","Dates=H","DateFormat=P","Fill=—","Direction=H","UseDPDF=Y")</f>
        <v>#NAME?</v>
      </c>
      <c r="BU348" s="2" t="e">
        <f ca="1">_xll.BDH($C$328,"TOTAL_EQUITY_SEQUENTIAL_GROWTH","FY 2018","FY 2018","Currency=INR","Period=FY","BEST_FPERIOD_OVERRIDE=FY","FILING_STATUS=OR","EQY_CONSOLIDATED=Y","Sort=A","Dates=H","DateFormat=P","Fill=—","Direction=H","UseDPDF=Y")</f>
        <v>#NAME?</v>
      </c>
      <c r="BV348" s="2" t="e">
        <f ca="1">_xll.BDH($C$328,"TOTAL_CAPITAL_SEQUENTIAL_GROWTH","FY 2018","FY 2018","Currency=INR","Period=FY","BEST_FPERIOD_OVERRIDE=FY","FILING_STATUS=OR","EQY_CONSOLIDATED=Y","Sort=A","Dates=H","DateFormat=P","Fill=—","Direction=H","UseDPDF=Y")</f>
        <v>#NAME?</v>
      </c>
      <c r="BW348" s="2" t="e">
        <f ca="1">_xll.BDH($C$328,"BPS_SEQUENTIAL_GROWTH","FY 2018","FY 2018","Currency=INR","Period=FY","BEST_FPERIOD_OVERRIDE=FY","FILING_STATUS=OR","EQY_CONSOLIDATED=Y","Sort=A","Dates=H","DateFormat=P","Fill=—","Direction=H","UseDPDF=Y")</f>
        <v>#NAME?</v>
      </c>
      <c r="BX348" s="2" t="e">
        <f ca="1">_xll.BDH($C$328,"CFO_SEQUENTIAL_GROWTH","FY 2018","FY 2018","Currency=INR","Period=FY","BEST_FPERIOD_OVERRIDE=FY","FILING_STATUS=OR","EQY_CONSOLIDATED=Y","Sort=A","Dates=H","DateFormat=P","Fill=—","Direction=H","UseDPDF=Y")</f>
        <v>#NAME?</v>
      </c>
      <c r="BY348" s="3" t="e">
        <f ca="1">_xll.BDH($C$328,"SHORT_AND_LONG_TERM_DEBT","FY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48" s="3" t="e">
        <f ca="1">_xll.BDH($C$328,"BS_ST_BORROW","FY 2018","FY 2018","Currency=INR","Period=FY","BEST_FPERIOD_OVERRIDE=FY","FILING_STATUS=OR","EQY_CONSOLIDATED=Y","SCALING_FORMAT=MLN","Sort=A","Dates=H","DateFormat=P","Fill=—","Direction=H","UseDPDF=Y")</f>
        <v>#NAME?</v>
      </c>
      <c r="CA348" s="3" t="e">
        <f ca="1">_xll.BDH($C$328,"BS_LT_BORROW","FY 2018","FY 2018","Currency=INR","Period=FY","BEST_FPERIOD_OVERRIDE=FY","FILING_STATUS=OR","EQY_CONSOLIDATED=Y","SCALING_FORMAT=MLN","Sort=A","Dates=H","DateFormat=P","Fill=—","Direction=H","UseDPDF=Y")</f>
        <v>#NAME?</v>
      </c>
      <c r="CB348" s="2" t="e">
        <f ca="1">_xll.BDH($C$328,"TOT_DEBT_TO_EBITDA","FY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48" s="2" t="e">
        <f ca="1">_xll.BDH($C$328,"NET_DEBT_TO_EBITDA","FY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48" s="2" t="e">
        <f ca="1">_xll.BDH($C$328,"TOTAL_DEBT_TO_EBIT","FY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48" s="2" t="e">
        <f ca="1">_xll.BDH($C$328,"NET_DEBT_TO_EBIT","FY 2018","FY 2018","Currency=INR","Period=FY","BEST_FPERIOD_OVERRIDE=FY","FILING_STATUS=OR","EQY_CONSOLIDATED=Y","FA_ADJUSTED=GAAP","Sort=A","Dates=H","DateFormat=P","Fill=—","Direction=H","UseDPDF=Y")</f>
        <v>#NAME?</v>
      </c>
      <c r="CF348" s="2" t="e">
        <f ca="1">_xll.BDH($C$328,"EBITDA_TO_INTEREST_EXPN","FY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48" s="2" t="e">
        <f ca="1">_xll.BDH($C$328,"COM_EQY_TO_TOT_ASSET","FY 2018","FY 2018","Currency=INR","Period=FY","BEST_FPERIOD_OVERRIDE=FY","FILING_STATUS=OR","EQY_CONSOLIDATED=Y","Sort=A","Dates=H","DateFormat=P","Fill=—","Direction=H","UseDPDF=Y")</f>
        <v>#NAME?</v>
      </c>
      <c r="CH348" s="2" t="e">
        <f ca="1">_xll.BDH($C$328,"LT_DEBT_TO_TOT_EQY","FY 2018","FY 2018","Currency=INR","Period=FY","BEST_FPERIOD_OVERRIDE=FY","FILING_STATUS=OR","EQY_CONSOLIDATED=Y","Sort=A","Dates=H","DateFormat=P","Fill=—","Direction=H","UseDPDF=Y")</f>
        <v>#NAME?</v>
      </c>
      <c r="CI348" s="2" t="e">
        <f ca="1">_xll.BDH($C$328,"LT_DEBT_TO_TOT_CAP","FY 2018","FY 2018","Currency=INR","Period=FY","BEST_FPERIOD_OVERRIDE=FY","FILING_STATUS=OR","EQY_CONSOLIDATED=Y","Sort=A","Dates=H","DateFormat=P","Fill=—","Direction=H","UseDPDF=Y")</f>
        <v>#NAME?</v>
      </c>
      <c r="CJ348" s="2" t="e">
        <f ca="1">_xll.BDH($C$328,"LT_DEBT_TO_TOT_ASSET","FY 2018","FY 2018","Currency=INR","Period=FY","BEST_FPERIOD_OVERRIDE=FY","FILING_STATUS=OR","EQY_CONSOLIDATED=Y","Sort=A","Dates=H","DateFormat=P","Fill=—","Direction=H","UseDPDF=Y")</f>
        <v>#NAME?</v>
      </c>
      <c r="CK348" s="2" t="e">
        <f ca="1">_xll.BDH($C$328,"TOT_DEBT_TO_TOT_EQY","FY 2018","FY 2018","Currency=INR","Period=FY","BEST_FPERIOD_OVERRIDE=FY","FILING_STATUS=OR","EQY_CONSOLIDATED=Y","Sort=A","Dates=H","DateFormat=P","Fill=—","Direction=H","UseDPDF=Y")</f>
        <v>#NAME?</v>
      </c>
      <c r="CL348" s="2" t="e">
        <f ca="1">_xll.BDH($C$328,"TOT_DEBT_TO_TOT_CAP","FY 2018","FY 2018","Currency=INR","Period=FY","BEST_FPERIOD_OVERRIDE=FY","FILING_STATUS=OR","EQY_CONSOLIDATED=Y","Sort=A","Dates=H","DateFormat=P","Fill=—","Direction=H","UseDPDF=Y")</f>
        <v>#NAME?</v>
      </c>
      <c r="CM348" s="2" t="e">
        <f ca="1">_xll.BDH($C$328,"TOT_DEBT_TO_TOT_ASSET","FY 2018","FY 2018","Currency=INR","Period=FY","BEST_FPERIOD_OVERRIDE=FY","FILING_STATUS=OR","EQY_CONSOLIDATED=Y","Sort=A","Dates=H","DateFormat=P","Fill=—","Direction=H","UseDPDF=Y")</f>
        <v>#NAME?</v>
      </c>
      <c r="CN348" s="2" t="e">
        <f ca="1">_xll.BDH($C$328,"NET_DEBT_TO_SHRHLDR_EQTY","FY 2018","FY 2018","Currency=INR","Period=FY","BEST_FPERIOD_OVERRIDE=FY","FILING_STATUS=OR","EQY_CONSOLIDATED=Y","Sort=A","Dates=H","DateFormat=P","Fill=—","Direction=H","UseDPDF=Y")</f>
        <v>#NAME?</v>
      </c>
      <c r="CO348" s="2" t="e">
        <f ca="1">_xll.BDH($C$328,"NET_DEBT_%_CAPITAL","FY 2018","FY 2018","Currency=INR","Period=FY","BEST_FPERIOD_OVERRIDE=FY","FILING_STATUS=OR","EQY_CONSOLIDATED=Y","Sort=A","Dates=H","DateFormat=P","Fill=—","Direction=H","UseDPDF=Y")</f>
        <v>#NAME?</v>
      </c>
      <c r="CP348" s="3" t="e">
        <f ca="1">_xll.BDH($C$328,"EBITDA","FY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48" s="3" t="e">
        <f ca="1">_xll.BDH($C$328,"EBITDA_AFTER_CAPEX","FY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48" s="3" t="e">
        <f ca="1">_xll.BDH($C$328,"IS_OPER_INC","FY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48" s="2" t="e">
        <f ca="1">_xll.BDH($C$328,"CASH_RATIO","FY 2018","FY 2018","Currency=INR","Period=FY","BEST_FPERIOD_OVERRIDE=FY","FILING_STATUS=OR","EQY_CONSOLIDATED=Y","Sort=A","Dates=H","DateFormat=P","Fill=—","Direction=H","UseDPDF=Y")</f>
        <v>#NAME?</v>
      </c>
      <c r="CT348" s="2" t="e">
        <f ca="1">_xll.BDH($C$328,"CUR_RATIO","FY 2018","FY 2018","Currency=INR","Period=FY","BEST_FPERIOD_OVERRIDE=FY","FILING_STATUS=OR","EQY_CONSOLIDATED=Y","Sort=A","Dates=H","DateFormat=P","Fill=—","Direction=H","UseDPDF=Y")</f>
        <v>#NAME?</v>
      </c>
      <c r="CU348" s="2" t="e">
        <f ca="1">_xll.BDH($C$328,"QUICK_RATIO","FY 2018","FY 2018","Currency=INR","Period=FY","BEST_FPERIOD_OVERRIDE=FY","FILING_STATUS=OR","EQY_CONSOLIDATED=Y","Sort=A","Dates=H","DateFormat=P","Fill=—","Direction=H","UseDPDF=Y")</f>
        <v>#NAME?</v>
      </c>
      <c r="CV348" s="2" t="e">
        <f ca="1">_xll.BDH($C$328,"ALTMAN_Z_SCORE","FY 2018","FY 2018","Currency=INR","Period=FY","BEST_FPERIOD_OVERRIDE=FY","FILING_STATUS=OR","EQY_CONSOLIDATED=Y","Sort=A","Dates=H","DateFormat=P","Fill=—","Direction=H","UseDPDF=Y")</f>
        <v>#NAME?</v>
      </c>
      <c r="CW348" s="4" t="e">
        <f ca="1">_xll.BDH($C$328,"ACCT_RCV_TURN","FY 2018","FY 2018","Currency=INR","Period=FY","BEST_FPERIOD_OVERRIDE=FY","FILING_STATUS=OR","EQY_CONSOLIDATED=Y","FA_ADJUSTED=GAAP","Sort=A","Dates=H","DateFormat=P","Fill=—","Direction=H","UseDPDF=Y")</f>
        <v>#NAME?</v>
      </c>
      <c r="CX348" s="2" t="e">
        <f ca="1">_xll.BDH($C$328,"ACCT_RCV_DAYS","FY 2018","FY 2018","Currency=INR","Period=FY","BEST_FPERIOD_OVERRIDE=FY","FILING_STATUS=OR","EQY_CONSOLIDATED=Y","FA_ADJUSTED=GAAP","Sort=A","Dates=H","DateFormat=P","Fill=—","Direction=H","UseDPDF=Y")</f>
        <v>#NAME?</v>
      </c>
      <c r="CY348" s="4" t="e">
        <f ca="1">_xll.BDH($C$328,"INVENT_TURN","FY 2018","FY 2018","Currency=INR","Period=FY","BEST_FPERIOD_OVERRIDE=FY","FILING_STATUS=OR","EQY_CONSOLIDATED=Y","FA_ADJUSTED=GAAP","Sort=A","Dates=H","DateFormat=P","Fill=—","Direction=H","UseDPDF=Y")</f>
        <v>#NAME?</v>
      </c>
      <c r="CZ348" s="2" t="e">
        <f ca="1">_xll.BDH($C$328,"INVENT_DAYS","FY 2018","FY 2018","Currency=INR","Period=FY","BEST_FPERIOD_OVERRIDE=FY","FILING_STATUS=OR","EQY_CONSOLIDATED=Y","FA_ADJUSTED=GAAP","Sort=A","Dates=H","DateFormat=P","Fill=—","Direction=H","UseDPDF=Y")</f>
        <v>#NAME?</v>
      </c>
      <c r="DA348" s="4" t="e">
        <f ca="1">_xll.BDH($C$328,"ACCOUNTS_PAYABLE_TURNOVER","FY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48" s="2" t="e">
        <f ca="1">_xll.BDH($C$328,"ACCOUNTS_PAYABLE_TURNOVER_DAYS","FY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48" s="4" t="e">
        <f ca="1">_xll.BDH($C$328,"CASH_CONVERSION_CYCLE","FY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48" s="4" t="e">
        <f ca="1">_xll.BDH($C$328,"INV_TO_CASH_DAYS","FY 2018","FY 2018","Currency=INR","Period=FY","BEST_FPERIOD_OVERRIDE=FY","FILING_STATUS=OR","EQY_CONSOLIDATED=Y","FA_ADJUSTED=GAAP","Sort=A","Dates=H","DateFormat=P","Fill=—","Direction=H","UseDPDF=Y")</f>
        <v>#NAME?</v>
      </c>
      <c r="DE348" s="5" t="e">
        <f ca="1">_xll.BDH($C$328,"BS_INVENTORIES","FY 2018","FY 2018","Currency=INR","Period=FY","BEST_FPERIOD_OVERRIDE=FY","FILING_STATUS=OR","EQY_CONSOLIDATED=Y","SCALING_FORMAT=MLN","Sort=A","Dates=H","DateFormat=P","Fill=—","Direction=H","UseDPDF=Y")</f>
        <v>#NAME?</v>
      </c>
      <c r="DF348" s="3" t="e">
        <f ca="1">_xll.BDH($C$328,"INVTRY_RAW_MATERIALS","FY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48" s="3" t="e">
        <f ca="1">_xll.BDH($C$328,"INVTRY_IN_PROGRESS","FY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48" s="3" t="e">
        <f ca="1">_xll.BDH($C$328,"INVTRY_FINISHED_GOODS","FY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48" s="3" t="e">
        <f ca="1">_xll.BDH($C$328,"BS_OTHER_INV","FY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49" spans="1:113" x14ac:dyDescent="0.3">
      <c r="A349" s="6"/>
      <c r="B349" s="6"/>
      <c r="C349" s="6"/>
      <c r="D349" s="6"/>
      <c r="E349" t="s">
        <v>78</v>
      </c>
      <c r="F349" t="e">
        <f ca="1">_xll.BDH($C$328,"RETURN_COM_EQY","FQ1 2018","FQ1 2018","Currency=INR","Period=FQ","BEST_FPERIOD_OVERRIDE=FQ","FILING_STATUS=OR","EQY_CONSOLIDATED=Y","FA_ADJUSTED=GAAP","Sort=A","Dates=H","DateFormat=P","Fill=—","Direction=H","UseDPDF=Y")</f>
        <v>#NAME?</v>
      </c>
      <c r="G349" t="e">
        <f ca="1">_xll.BDH($C$328,"RETURN_ON_ASSET","FQ1 2018","FQ1 2018","Currency=INR","Period=FQ","BEST_FPERIOD_OVERRIDE=FQ","FILING_STATUS=OR","EQY_CONSOLIDATED=Y","FA_ADJUSTED=GAAP","Sort=A","Dates=H","DateFormat=P","Fill=—","Direction=H","UseDPDF=Y")</f>
        <v>#NAME?</v>
      </c>
      <c r="H349" t="e">
        <f ca="1">_xll.BDH($C$328,"RETURN_ON_CAP","FQ1 2018","FQ1 2018","Currency=INR","Period=FQ","BEST_FPERIOD_OVERRIDE=FQ","FILING_STATUS=OR","EQY_CONSOLIDATED=Y","FA_ADJUSTED=GAAP","Sort=A","Dates=H","DateFormat=P","Fill=—","Direction=H","UseDPDF=Y")</f>
        <v>#NAME?</v>
      </c>
      <c r="I349" t="e">
        <f ca="1">_xll.BDH($C$328,"RETURN_ON_INV_CAPITAL","FQ1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49" t="e">
        <f ca="1">_xll.BDH($C$328,"EBITDA_TO_REVENUE","FQ1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49" t="e">
        <f ca="1">_xll.BDH($C$328,"OPER_MARGIN","FQ1 2018","FQ1 2018","Currency=INR","Period=FQ","BEST_FPERIOD_OVERRIDE=FQ","FILING_STATUS=OR","EQY_CONSOLIDATED=Y","FA_ADJUSTED=GAAP","Sort=A","Dates=H","DateFormat=P","Fill=—","Direction=H","UseDPDF=Y")</f>
        <v>#NAME?</v>
      </c>
      <c r="L349" t="e">
        <f ca="1">_xll.BDH($C$328,"INCREMENTAL_OPERATING_MARGIN","FQ1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49" t="e">
        <f ca="1">_xll.BDH($C$328,"PRETAX_INC_TO_NET_SALES","FQ1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49" t="e">
        <f ca="1">_xll.BDH($C$328,"INC_BEF_XO_ITEMS_TO_NET_SALES","FQ1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49" t="e">
        <f ca="1">_xll.BDH($C$328,"PROF_MARGIN","FQ1 2018","FQ1 2018","Currency=INR","Period=FQ","BEST_FPERIOD_OVERRIDE=FQ","FILING_STATUS=OR","EQY_CONSOLIDATED=Y","FA_ADJUSTED=GAAP","Sort=A","Dates=H","DateFormat=P","Fill=—","Direction=H","UseDPDF=Y")</f>
        <v>#NAME?</v>
      </c>
      <c r="P349" t="e">
        <f ca="1">_xll.BDH($C$328,"NET_INCOME_TO_COMMON_MARGIN","FQ1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49" t="e">
        <f ca="1">_xll.BDH($C$328,"EFF_TAX_RATE","FQ1 2018","FQ1 2018","Currency=INR","Period=FQ","BEST_FPERIOD_OVERRIDE=FQ","FILING_STATUS=OR","EQY_CONSOLIDATED=Y","FA_ADJUSTED=GAAP","Sort=A","Dates=H","DateFormat=P","Fill=—","Direction=H","UseDPDF=Y")</f>
        <v>#NAME?</v>
      </c>
      <c r="R349" t="e">
        <f ca="1">_xll.BDH($C$328,"DVD_PAYOUT_RATIO","FQ1 2018","FQ1 2018","Currency=INR","Period=FQ","BEST_FPERIOD_OVERRIDE=FQ","FILING_STATUS=OR","EQY_CONSOLIDATED=Y","FA_ADJUSTED=GAAP","Sort=A","Dates=H","DateFormat=P","Fill=—","Direction=H","UseDPDF=Y")</f>
        <v>#NAME?</v>
      </c>
      <c r="S349" t="e">
        <f ca="1">_xll.BDH($C$328,"SUSTAIN_GROWTH_RT","FQ1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49" s="2" t="e">
        <f ca="1">_xll.BDH($C$328,"SALES_GROWTH","FQ1 2018","FQ1 2018","Currency=INR","Period=FQ","BEST_FPERIOD_OVERRIDE=FQ","FILING_STATUS=OR","EQY_CONSOLIDATED=Y","FA_ADJUSTED=GAAP","Sort=A","Dates=H","DateFormat=P","Fill=—","Direction=H","UseDPDF=Y")</f>
        <v>#NAME?</v>
      </c>
      <c r="U349" s="2" t="e">
        <f ca="1">_xll.BDH($C$328,"EBITDA_GROWTH","FQ1 2018","FQ1 2018","Currency=INR","Period=FQ","BEST_FPERIOD_OVERRIDE=FQ","FILING_STATUS=OR","EQY_CONSOLIDATED=Y","FA_ADJUSTED=GAAP","Sort=A","Dates=H","DateFormat=P","Fill=—","Direction=H","UseDPDF=Y")</f>
        <v>#NAME?</v>
      </c>
      <c r="V349" s="2" t="e">
        <f ca="1">_xll.BDH($C$328,"OPER_INC_GROWTH","FQ1 2018","FQ1 2018","Currency=INR","Period=FQ","BEST_FPERIOD_OVERRIDE=FQ","FILING_STATUS=OR","EQY_CONSOLIDATED=Y","FA_ADJUSTED=GAAP","Sort=A","Dates=H","DateFormat=P","Fill=—","Direction=H","UseDPDF=Y")</f>
        <v>#NAME?</v>
      </c>
      <c r="W349" s="2" t="e">
        <f ca="1">_xll.BDH($C$328,"EARN_FOR_COM_GROWTH","FQ1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49" s="2" t="e">
        <f ca="1">_xll.BDH($C$328,"DILUTED_EPS_AFT_XO_ITEMS_GROWTH","FQ1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49" s="2" t="e">
        <f ca="1">_xll.BDH($C$328,"DIVIDEND_PER_SHARE_1_YEAR_GROWTH","FQ1 2018","FQ1 2018","Currency=INR","Period=FQ","BEST_FPERIOD_OVERRIDE=FQ","FILING_STATUS=OR","EQY_CONSOLIDATED=Y","Sort=A","Dates=H","DateFormat=P","Fill=—","Direction=H","UseDPDF=Y")</f>
        <v>#NAME?</v>
      </c>
      <c r="Z349" s="2" t="e">
        <f ca="1">_xll.BDH($C$328,"ACCOUNTS_RECEIVABLE_GROWTH","FQ1 2018","FQ1 2018","Currency=INR","Period=FQ","BEST_FPERIOD_OVERRIDE=FQ","FILING_STATUS=OR","EQY_CONSOLIDATED=Y","Sort=A","Dates=H","DateFormat=P","Fill=—","Direction=H","UseDPDF=Y")</f>
        <v>#NAME?</v>
      </c>
      <c r="AA349" s="2" t="e">
        <f ca="1">_xll.BDH($C$328,"INVENTORY_GROWTH","FQ1 2018","FQ1 2018","Currency=INR","Period=FQ","BEST_FPERIOD_OVERRIDE=FQ","FILING_STATUS=OR","EQY_CONSOLIDATED=Y","Sort=A","Dates=H","DateFormat=P","Fill=—","Direction=H","UseDPDF=Y")</f>
        <v>#NAME?</v>
      </c>
      <c r="AB349" s="2" t="e">
        <f ca="1">_xll.BDH($C$328,"NET_FIXED_ASSETS_1_YEAR_GROWTH","FQ1 2018","FQ1 2018","Currency=INR","Period=FQ","BEST_FPERIOD_OVERRIDE=FQ","FILING_STATUS=OR","EQY_CONSOLIDATED=Y","Sort=A","Dates=H","DateFormat=P","Fill=—","Direction=H","UseDPDF=Y")</f>
        <v>#NAME?</v>
      </c>
      <c r="AC349" s="2" t="e">
        <f ca="1">_xll.BDH($C$328,"ASSET_GROWTH","FQ1 2018","FQ1 2018","Currency=INR","Period=FQ","BEST_FPERIOD_OVERRIDE=FQ","FILING_STATUS=OR","EQY_CONSOLIDATED=Y","Sort=A","Dates=H","DateFormat=P","Fill=—","Direction=H","UseDPDF=Y")</f>
        <v>#NAME?</v>
      </c>
      <c r="AD349" s="2" t="e">
        <f ca="1">_xll.BDH($C$328,"MODIFIED_WORK_CAP_GROWTH","FQ1 2018","FQ1 2018","Currency=INR","Period=FQ","BEST_FPERIOD_OVERRIDE=FQ","FILING_STATUS=OR","EQY_CONSOLIDATED=Y","Sort=A","Dates=H","DateFormat=P","Fill=—","Direction=H","UseDPDF=Y")</f>
        <v>#NAME?</v>
      </c>
      <c r="AE349" s="2" t="e">
        <f ca="1">_xll.BDH($C$328,"WORK_CAP_GROWTH","FQ1 2018","FQ1 2018","Currency=INR","Period=FQ","BEST_FPERIOD_OVERRIDE=FQ","FILING_STATUS=OR","EQY_CONSOLIDATED=Y","Sort=A","Dates=H","DateFormat=P","Fill=—","Direction=H","UseDPDF=Y")</f>
        <v>#NAME?</v>
      </c>
      <c r="AF349" s="2" t="e">
        <f ca="1">_xll.BDH($C$328,"ACCOUNTS_PAYABLE_GROWTH_1YR","FQ1 2018","FQ1 2018","Currency=INR","Period=FQ","BEST_FPERIOD_OVERRIDE=FQ","FILING_STATUS=OR","EQY_CONSOLIDATED=Y","Sort=A","Dates=H","DateFormat=P","Fill=—","Direction=H","UseDPDF=Y")</f>
        <v>#NAME?</v>
      </c>
      <c r="AG349" s="2" t="e">
        <f ca="1">_xll.BDH($C$328,"SHORT_TERM_DEBT_1_YEAR_GROWTH","FQ1 2018","FQ1 2018","Currency=INR","Period=FQ","BEST_FPERIOD_OVERRIDE=FQ","FILING_STATUS=OR","EQY_CONSOLIDATED=Y","Sort=A","Dates=H","DateFormat=P","Fill=—","Direction=H","UseDPDF=Y")</f>
        <v>#NAME?</v>
      </c>
      <c r="AH349" s="2" t="e">
        <f ca="1">_xll.BDH($C$328,"TOTAL_DEBT_1_YEAR_GROWTH","FQ1 2018","FQ1 2018","Currency=INR","Period=FQ","BEST_FPERIOD_OVERRIDE=FQ","FILING_STATUS=OR","EQY_CONSOLIDATED=Y","Sort=A","Dates=H","DateFormat=P","Fill=—","Direction=H","UseDPDF=Y")</f>
        <v>#NAME?</v>
      </c>
      <c r="AI349" s="2" t="e">
        <f ca="1">_xll.BDH($C$328,"TOTAL_EQUITY_1_YEAR_GROWTH","FQ1 2018","FQ1 2018","Currency=INR","Period=FQ","BEST_FPERIOD_OVERRIDE=FQ","FILING_STATUS=OR","EQY_CONSOLIDATED=Y","Sort=A","Dates=H","DateFormat=P","Fill=—","Direction=H","UseDPDF=Y")</f>
        <v>#NAME?</v>
      </c>
      <c r="AJ349" s="2" t="e">
        <f ca="1">_xll.BDH($C$328,"GROWTH_IN_CAP","FQ1 2018","FQ1 2018","Currency=INR","Period=FQ","BEST_FPERIOD_OVERRIDE=FQ","FILING_STATUS=OR","EQY_CONSOLIDATED=Y","Sort=A","Dates=H","DateFormat=P","Fill=—","Direction=H","UseDPDF=Y")</f>
        <v>#NAME?</v>
      </c>
      <c r="AK349" s="2" t="e">
        <f ca="1">_xll.BDH($C$328,"BVPS_GROWTH","FQ1 2018","FQ1 2018","Currency=INR","Period=FQ","BEST_FPERIOD_OVERRIDE=FQ","FILING_STATUS=OR","EQY_CONSOLIDATED=Y","Sort=A","Dates=H","DateFormat=P","Fill=—","Direction=H","UseDPDF=Y")</f>
        <v>#NAME?</v>
      </c>
      <c r="AL349" s="2" t="e">
        <f ca="1">_xll.BDH($C$328,"CASH_FLOW_GROWTH","FQ1 2018","FQ1 2018","Currency=INR","Period=FQ","BEST_FPERIOD_OVERRIDE=FQ","FILING_STATUS=OR","EQY_CONSOLIDATED=Y","Sort=A","Dates=H","DateFormat=P","Fill=—","Direction=H","UseDPDF=Y")</f>
        <v>#NAME?</v>
      </c>
      <c r="AM349" s="2" t="e">
        <f ca="1">_xll.BDH($C$328,"GEO_GROW_NET_SALES","FQ1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49" s="2" t="e">
        <f ca="1">_xll.BDH($C$328,"GEO_GROW_EBITDA","FQ1 2018","FQ1 2018","Currency=INR","Period=FQ","BEST_FPERIOD_OVERRIDE=FQ","FILING_STATUS=OR","EQY_CONSOLIDATED=Y","FA_ADJUSTED=GAAP","Sort=A","Dates=H","DateFormat=P","Fill=—","Direction=H","UseDPDF=Y")</f>
        <v>#NAME?</v>
      </c>
      <c r="AO349" s="2" t="e">
        <f ca="1">_xll.BDH($C$328,"GEO_GROW_OPER_INC","FQ1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49" s="2" t="e">
        <f ca="1">_xll.BDH($C$328,"NET_INCOME_TO_COMMON_5_YR_GROWTH","FQ1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49" s="2" t="e">
        <f ca="1">_xll.BDH($C$328,"5Y_GEO_GROWTH_DILUTED_EPS","FQ1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49" s="2" t="e">
        <f ca="1">_xll.BDH($C$328,"GEO_GROW_DVD_PER_SH","FQ1 2018","FQ1 2018","Currency=INR","Period=FQ","BEST_FPERIOD_OVERRIDE=FQ","FILING_STATUS=OR","EQY_CONSOLIDATED=Y","Sort=A","Dates=H","DateFormat=P","Fill=—","Direction=H","UseDPDF=Y")</f>
        <v>#NAME?</v>
      </c>
      <c r="AS349" s="2" t="e">
        <f ca="1">_xll.BDH($C$328,"ACCOUNTS_RECEIVABLE_5_YR_GROWTH","FQ1 2018","FQ1 2018","Currency=INR","Period=FQ","BEST_FPERIOD_OVERRIDE=FQ","FILING_STATUS=OR","EQY_CONSOLIDATED=Y","Sort=A","Dates=H","DateFormat=P","Fill=—","Direction=H","UseDPDF=Y")</f>
        <v>#NAME?</v>
      </c>
      <c r="AT349" s="2" t="e">
        <f ca="1">_xll.BDH($C$328,"INVENTORY_5_YEAR_GROWTH","FQ1 2018","FQ1 2018","Currency=INR","Period=FQ","BEST_FPERIOD_OVERRIDE=FQ","FILING_STATUS=OR","EQY_CONSOLIDATED=Y","Sort=A","Dates=H","DateFormat=P","Fill=—","Direction=H","UseDPDF=Y")</f>
        <v>#NAME?</v>
      </c>
      <c r="AU349" s="2" t="e">
        <f ca="1">_xll.BDH($C$328,"NET_FIXED_ASSETS_5_YEAR_GROWTH","FQ1 2018","FQ1 2018","Currency=INR","Period=FQ","BEST_FPERIOD_OVERRIDE=FQ","FILING_STATUS=OR","EQY_CONSOLIDATED=Y","Sort=A","Dates=H","DateFormat=P","Fill=—","Direction=H","UseDPDF=Y")</f>
        <v>#NAME?</v>
      </c>
      <c r="AV349" s="2" t="e">
        <f ca="1">_xll.BDH($C$328,"GEO_GROW_TOT_ASSET","FQ1 2018","FQ1 2018","Currency=INR","Period=FQ","BEST_FPERIOD_OVERRIDE=FQ","FILING_STATUS=OR","EQY_CONSOLIDATED=Y","Sort=A","Dates=H","DateFormat=P","Fill=—","Direction=H","UseDPDF=Y")</f>
        <v>#NAME?</v>
      </c>
      <c r="AW349" s="2" t="e">
        <f ca="1">_xll.BDH($C$328,"MODIFIED_WORKING_CPTL_5YR_GRWTH","FQ1 2018","FQ1 2018","Currency=INR","Period=FQ","BEST_FPERIOD_OVERRIDE=FQ","FILING_STATUS=OR","EQY_CONSOLIDATED=Y","Sort=A","Dates=H","DateFormat=P","Fill=—","Direction=H","UseDPDF=Y")</f>
        <v>#NAME?</v>
      </c>
      <c r="AX349" s="2" t="e">
        <f ca="1">_xll.BDH($C$328,"WORKING_CAPITAL_5_YEAR_GROWTH","FQ1 2018","FQ1 2018","Currency=INR","Period=FQ","BEST_FPERIOD_OVERRIDE=FQ","FILING_STATUS=OR","EQY_CONSOLIDATED=Y","Sort=A","Dates=H","DateFormat=P","Fill=—","Direction=H","UseDPDF=Y")</f>
        <v>#NAME?</v>
      </c>
      <c r="AY349" s="2" t="e">
        <f ca="1">_xll.BDH($C$328,"ACCOUNTS_PAYABLE_5_YEAR_GROWTH","FQ1 2018","FQ1 2018","Currency=INR","Period=FQ","BEST_FPERIOD_OVERRIDE=FQ","FILING_STATUS=OR","EQY_CONSOLIDATED=Y","Sort=A","Dates=H","DateFormat=P","Fill=—","Direction=H","UseDPDF=Y")</f>
        <v>#NAME?</v>
      </c>
      <c r="AZ349" s="2" t="e">
        <f ca="1">_xll.BDH($C$328,"SHORT_TERM_DEBT_5_YEAR_GROWTH","FQ1 2018","FQ1 2018","Currency=INR","Period=FQ","BEST_FPERIOD_OVERRIDE=FQ","FILING_STATUS=OR","EQY_CONSOLIDATED=Y","Sort=A","Dates=H","DateFormat=P","Fill=—","Direction=H","UseDPDF=Y")</f>
        <v>#NAME?</v>
      </c>
      <c r="BA349" s="2" t="e">
        <f ca="1">_xll.BDH($C$328,"TOTAL_DEBT_5_YEAR_GROWTH","FQ1 2018","FQ1 2018","Currency=INR","Period=FQ","BEST_FPERIOD_OVERRIDE=FQ","FILING_STATUS=OR","EQY_CONSOLIDATED=Y","Sort=A","Dates=H","DateFormat=P","Fill=—","Direction=H","UseDPDF=Y")</f>
        <v>#NAME?</v>
      </c>
      <c r="BB349" s="2" t="e">
        <f ca="1">_xll.BDH($C$328,"GEO_GROW_TOT_SHRHLDR_EQY","FQ1 2018","FQ1 2018","Currency=INR","Period=FQ","BEST_FPERIOD_OVERRIDE=FQ","FILING_STATUS=OR","EQY_CONSOLIDATED=Y","Sort=A","Dates=H","DateFormat=P","Fill=—","Direction=H","UseDPDF=Y")</f>
        <v>#NAME?</v>
      </c>
      <c r="BC349" s="2" t="e">
        <f ca="1">_xll.BDH($C$328,"TOTAL_CAPITAL_5_YEAR_GROWTH","FQ1 2018","FQ1 2018","Currency=INR","Period=FQ","BEST_FPERIOD_OVERRIDE=FQ","FILING_STATUS=OR","EQY_CONSOLIDATED=Y","Sort=A","Dates=H","DateFormat=P","Fill=—","Direction=H","UseDPDF=Y")</f>
        <v>#NAME?</v>
      </c>
      <c r="BD349" s="2" t="e">
        <f ca="1">_xll.BDH($C$328,"GEO_GROW_BOOK_VAL","FQ1 2018","FQ1 2018","Currency=INR","Period=FQ","BEST_FPERIOD_OVERRIDE=FQ","FILING_STATUS=OR","EQY_CONSOLIDATED=Y","Sort=A","Dates=H","DateFormat=P","Fill=—","Direction=H","UseDPDF=Y")</f>
        <v>#NAME?</v>
      </c>
      <c r="BE349" s="2" t="e">
        <f ca="1">_xll.BDH($C$328,"GEO_GROW_CASH_OPER_ACT","FQ1 2018","FQ1 2018","Currency=INR","Period=FQ","BEST_FPERIOD_OVERRIDE=FQ","FILING_STATUS=OR","EQY_CONSOLIDATED=Y","Sort=A","Dates=H","DateFormat=P","Fill=—","Direction=H","UseDPDF=Y")</f>
        <v>#NAME?</v>
      </c>
      <c r="BF349" s="2" t="e">
        <f ca="1">_xll.BDH($C$328,"REVENUE_SEQUENTIAL_GROWTH","FQ1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49" s="2" t="e">
        <f ca="1">_xll.BDH($C$328,"EBITDA_SEQUENTIAL_GROWTH","FQ1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49" s="2" t="e">
        <f ca="1">_xll.BDH($C$328,"OPERATING_INCOME_SEQ_GROWTH","FQ1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49" s="2" t="e">
        <f ca="1">_xll.BDH($C$328,"NET_INCOME_TO_COMMON_SEQ_GROWTH","FQ1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49" s="2" t="e">
        <f ca="1">_xll.BDH($C$328,"EPS_DILUTED_SEQUENTIAL_GROWTH","FQ1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49" s="2" t="e">
        <f ca="1">_xll.BDH($C$328,"DPS_SEQUENTIAL_GROWTH","FQ1 2018","FQ1 2018","Currency=INR","Period=FQ","BEST_FPERIOD_OVERRIDE=FQ","FILING_STATUS=OR","EQY_CONSOLIDATED=Y","Sort=A","Dates=H","DateFormat=P","Fill=—","Direction=H","UseDPDF=Y")</f>
        <v>#NAME?</v>
      </c>
      <c r="BL349" s="2" t="e">
        <f ca="1">_xll.BDH($C$328,"ACCOUNTS_RECEIVABLE_SEQ_GROWTH","FQ1 2018","FQ1 2018","Currency=INR","Period=FQ","BEST_FPERIOD_OVERRIDE=FQ","FILING_STATUS=OR","EQY_CONSOLIDATED=Y","Sort=A","Dates=H","DateFormat=P","Fill=—","Direction=H","UseDPDF=Y")</f>
        <v>#NAME?</v>
      </c>
      <c r="BM349" s="2" t="e">
        <f ca="1">_xll.BDH($C$328,"INVENTORY_SEQUENTIAL_GROWTH","FQ1 2018","FQ1 2018","Currency=INR","Period=FQ","BEST_FPERIOD_OVERRIDE=FQ","FILING_STATUS=OR","EQY_CONSOLIDATED=Y","Sort=A","Dates=H","DateFormat=P","Fill=—","Direction=H","UseDPDF=Y")</f>
        <v>#NAME?</v>
      </c>
      <c r="BN349" s="2" t="e">
        <f ca="1">_xll.BDH($C$328,"FIXED_ASSETS_SEQUENTIAL_GROWTH","FQ1 2018","FQ1 2018","Currency=INR","Period=FQ","BEST_FPERIOD_OVERRIDE=FQ","FILING_STATUS=OR","EQY_CONSOLIDATED=Y","Sort=A","Dates=H","DateFormat=P","Fill=—","Direction=H","UseDPDF=Y")</f>
        <v>#NAME?</v>
      </c>
      <c r="BO349" s="2" t="e">
        <f ca="1">_xll.BDH($C$328,"TOTAL_ASSETS_SEQUENTIAL_GROWTH","FQ1 2018","FQ1 2018","Currency=INR","Period=FQ","BEST_FPERIOD_OVERRIDE=FQ","FILING_STATUS=OR","EQY_CONSOLIDATED=Y","Sort=A","Dates=H","DateFormat=P","Fill=—","Direction=H","UseDPDF=Y")</f>
        <v>#NAME?</v>
      </c>
      <c r="BP349" s="2" t="e">
        <f ca="1">_xll.BDH($C$328,"MODIFIED_WORKING_CPTL_SEQ_GRWTH","FQ1 2018","FQ1 2018","Currency=INR","Period=FQ","BEST_FPERIOD_OVERRIDE=FQ","FILING_STATUS=OR","EQY_CONSOLIDATED=Y","Sort=A","Dates=H","DateFormat=P","Fill=—","Direction=H","UseDPDF=Y")</f>
        <v>#NAME?</v>
      </c>
      <c r="BQ349" s="2" t="e">
        <f ca="1">_xll.BDH($C$328,"WORKING_CAPITAL_SEQ_GROWTH","FQ1 2018","FQ1 2018","Currency=INR","Period=FQ","BEST_FPERIOD_OVERRIDE=FQ","FILING_STATUS=OR","EQY_CONSOLIDATED=Y","Sort=A","Dates=H","DateFormat=P","Fill=—","Direction=H","UseDPDF=Y")</f>
        <v>#NAME?</v>
      </c>
      <c r="BR349" s="2" t="e">
        <f ca="1">_xll.BDH($C$328,"ACCOUNTS_PAYABLE_SEQ_GROWTH","FQ1 2018","FQ1 2018","Currency=INR","Period=FQ","BEST_FPERIOD_OVERRIDE=FQ","FILING_STATUS=OR","EQY_CONSOLIDATED=Y","Sort=A","Dates=H","DateFormat=P","Fill=—","Direction=H","UseDPDF=Y")</f>
        <v>#NAME?</v>
      </c>
      <c r="BS349" s="2" t="e">
        <f ca="1">_xll.BDH($C$328,"ST_DEBT_SEQUENTIAL_GROWTH","FQ1 2018","FQ1 2018","Currency=INR","Period=FQ","BEST_FPERIOD_OVERRIDE=FQ","FILING_STATUS=OR","EQY_CONSOLIDATED=Y","Sort=A","Dates=H","DateFormat=P","Fill=—","Direction=H","UseDPDF=Y")</f>
        <v>#NAME?</v>
      </c>
      <c r="BT349" s="2" t="e">
        <f ca="1">_xll.BDH($C$328,"TOTAL_DEBT_SEQUENTIAL_GROWTH","FQ1 2018","FQ1 2018","Currency=INR","Period=FQ","BEST_FPERIOD_OVERRIDE=FQ","FILING_STATUS=OR","EQY_CONSOLIDATED=Y","Sort=A","Dates=H","DateFormat=P","Fill=—","Direction=H","UseDPDF=Y")</f>
        <v>#NAME?</v>
      </c>
      <c r="BU349" s="2" t="e">
        <f ca="1">_xll.BDH($C$328,"TOTAL_EQUITY_SEQUENTIAL_GROWTH","FQ1 2018","FQ1 2018","Currency=INR","Period=FQ","BEST_FPERIOD_OVERRIDE=FQ","FILING_STATUS=OR","EQY_CONSOLIDATED=Y","Sort=A","Dates=H","DateFormat=P","Fill=—","Direction=H","UseDPDF=Y")</f>
        <v>#NAME?</v>
      </c>
      <c r="BV349" s="2" t="e">
        <f ca="1">_xll.BDH($C$328,"TOTAL_CAPITAL_SEQUENTIAL_GROWTH","FQ1 2018","FQ1 2018","Currency=INR","Period=FQ","BEST_FPERIOD_OVERRIDE=FQ","FILING_STATUS=OR","EQY_CONSOLIDATED=Y","Sort=A","Dates=H","DateFormat=P","Fill=—","Direction=H","UseDPDF=Y")</f>
        <v>#NAME?</v>
      </c>
      <c r="BW349" s="2" t="e">
        <f ca="1">_xll.BDH($C$328,"BPS_SEQUENTIAL_GROWTH","FQ1 2018","FQ1 2018","Currency=INR","Period=FQ","BEST_FPERIOD_OVERRIDE=FQ","FILING_STATUS=OR","EQY_CONSOLIDATED=Y","Sort=A","Dates=H","DateFormat=P","Fill=—","Direction=H","UseDPDF=Y")</f>
        <v>#NAME?</v>
      </c>
      <c r="BX349" s="2" t="e">
        <f ca="1">_xll.BDH($C$328,"CFO_SEQUENTIAL_GROWTH","FQ1 2018","FQ1 2018","Currency=INR","Period=FQ","BEST_FPERIOD_OVERRIDE=FQ","FILING_STATUS=OR","EQY_CONSOLIDATED=Y","Sort=A","Dates=H","DateFormat=P","Fill=—","Direction=H","UseDPDF=Y")</f>
        <v>#NAME?</v>
      </c>
      <c r="BY349" s="3" t="e">
        <f ca="1">_xll.BDH($C$328,"SHORT_AND_LONG_TERM_DEBT","FQ1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49" s="3" t="e">
        <f ca="1">_xll.BDH($C$328,"BS_ST_BORROW","FQ1 2018","FQ1 2018","Currency=INR","Period=FQ","BEST_FPERIOD_OVERRIDE=FQ","FILING_STATUS=OR","EQY_CONSOLIDATED=Y","SCALING_FORMAT=MLN","Sort=A","Dates=H","DateFormat=P","Fill=—","Direction=H","UseDPDF=Y")</f>
        <v>#NAME?</v>
      </c>
      <c r="CA349" s="3" t="e">
        <f ca="1">_xll.BDH($C$328,"BS_LT_BORROW","FQ1 2018","FQ1 2018","Currency=INR","Period=FQ","BEST_FPERIOD_OVERRIDE=FQ","FILING_STATUS=OR","EQY_CONSOLIDATED=Y","SCALING_FORMAT=MLN","Sort=A","Dates=H","DateFormat=P","Fill=—","Direction=H","UseDPDF=Y")</f>
        <v>#NAME?</v>
      </c>
      <c r="CB349" s="2" t="e">
        <f ca="1">_xll.BDH($C$328,"TOT_DEBT_TO_EBITDA","FQ1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49" s="2" t="e">
        <f ca="1">_xll.BDH($C$328,"NET_DEBT_TO_EBITDA","FQ1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49" s="2" t="e">
        <f ca="1">_xll.BDH($C$328,"TOTAL_DEBT_TO_EBIT","FQ1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49" s="2" t="e">
        <f ca="1">_xll.BDH($C$328,"NET_DEBT_TO_EBIT","FQ1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49" s="2" t="e">
        <f ca="1">_xll.BDH($C$328,"EBITDA_TO_INTEREST_EXPN","FQ1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49" s="2" t="e">
        <f ca="1">_xll.BDH($C$328,"COM_EQY_TO_TOT_ASSET","FQ1 2018","FQ1 2018","Currency=INR","Period=FQ","BEST_FPERIOD_OVERRIDE=FQ","FILING_STATUS=OR","EQY_CONSOLIDATED=Y","Sort=A","Dates=H","DateFormat=P","Fill=—","Direction=H","UseDPDF=Y")</f>
        <v>#NAME?</v>
      </c>
      <c r="CH349" s="2" t="e">
        <f ca="1">_xll.BDH($C$328,"LT_DEBT_TO_TOT_EQY","FQ1 2018","FQ1 2018","Currency=INR","Period=FQ","BEST_FPERIOD_OVERRIDE=FQ","FILING_STATUS=OR","EQY_CONSOLIDATED=Y","Sort=A","Dates=H","DateFormat=P","Fill=—","Direction=H","UseDPDF=Y")</f>
        <v>#NAME?</v>
      </c>
      <c r="CI349" s="2" t="e">
        <f ca="1">_xll.BDH($C$328,"LT_DEBT_TO_TOT_CAP","FQ1 2018","FQ1 2018","Currency=INR","Period=FQ","BEST_FPERIOD_OVERRIDE=FQ","FILING_STATUS=OR","EQY_CONSOLIDATED=Y","Sort=A","Dates=H","DateFormat=P","Fill=—","Direction=H","UseDPDF=Y")</f>
        <v>#NAME?</v>
      </c>
      <c r="CJ349" s="2" t="e">
        <f ca="1">_xll.BDH($C$328,"LT_DEBT_TO_TOT_ASSET","FQ1 2018","FQ1 2018","Currency=INR","Period=FQ","BEST_FPERIOD_OVERRIDE=FQ","FILING_STATUS=OR","EQY_CONSOLIDATED=Y","Sort=A","Dates=H","DateFormat=P","Fill=—","Direction=H","UseDPDF=Y")</f>
        <v>#NAME?</v>
      </c>
      <c r="CK349" s="2" t="e">
        <f ca="1">_xll.BDH($C$328,"TOT_DEBT_TO_TOT_EQY","FQ1 2018","FQ1 2018","Currency=INR","Period=FQ","BEST_FPERIOD_OVERRIDE=FQ","FILING_STATUS=OR","EQY_CONSOLIDATED=Y","Sort=A","Dates=H","DateFormat=P","Fill=—","Direction=H","UseDPDF=Y")</f>
        <v>#NAME?</v>
      </c>
      <c r="CL349" s="2" t="e">
        <f ca="1">_xll.BDH($C$328,"TOT_DEBT_TO_TOT_CAP","FQ1 2018","FQ1 2018","Currency=INR","Period=FQ","BEST_FPERIOD_OVERRIDE=FQ","FILING_STATUS=OR","EQY_CONSOLIDATED=Y","Sort=A","Dates=H","DateFormat=P","Fill=—","Direction=H","UseDPDF=Y")</f>
        <v>#NAME?</v>
      </c>
      <c r="CM349" s="2" t="e">
        <f ca="1">_xll.BDH($C$328,"TOT_DEBT_TO_TOT_ASSET","FQ1 2018","FQ1 2018","Currency=INR","Period=FQ","BEST_FPERIOD_OVERRIDE=FQ","FILING_STATUS=OR","EQY_CONSOLIDATED=Y","Sort=A","Dates=H","DateFormat=P","Fill=—","Direction=H","UseDPDF=Y")</f>
        <v>#NAME?</v>
      </c>
      <c r="CN349" s="2" t="e">
        <f ca="1">_xll.BDH($C$328,"NET_DEBT_TO_SHRHLDR_EQTY","FQ1 2018","FQ1 2018","Currency=INR","Period=FQ","BEST_FPERIOD_OVERRIDE=FQ","FILING_STATUS=OR","EQY_CONSOLIDATED=Y","Sort=A","Dates=H","DateFormat=P","Fill=—","Direction=H","UseDPDF=Y")</f>
        <v>#NAME?</v>
      </c>
      <c r="CO349" s="2" t="e">
        <f ca="1">_xll.BDH($C$328,"NET_DEBT_%_CAPITAL","FQ1 2018","FQ1 2018","Currency=INR","Period=FQ","BEST_FPERIOD_OVERRIDE=FQ","FILING_STATUS=OR","EQY_CONSOLIDATED=Y","Sort=A","Dates=H","DateFormat=P","Fill=—","Direction=H","UseDPDF=Y")</f>
        <v>#NAME?</v>
      </c>
      <c r="CP349" s="3" t="e">
        <f ca="1">_xll.BDH($C$328,"EBITDA","FQ1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49" s="3" t="e">
        <f ca="1">_xll.BDH($C$328,"EBITDA_AFTER_CAPEX","FQ1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49" s="3" t="e">
        <f ca="1">_xll.BDH($C$328,"IS_OPER_INC","FQ1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49" s="2" t="e">
        <f ca="1">_xll.BDH($C$328,"CASH_RATIO","FQ1 2018","FQ1 2018","Currency=INR","Period=FQ","BEST_FPERIOD_OVERRIDE=FQ","FILING_STATUS=OR","EQY_CONSOLIDATED=Y","Sort=A","Dates=H","DateFormat=P","Fill=—","Direction=H","UseDPDF=Y")</f>
        <v>#NAME?</v>
      </c>
      <c r="CT349" s="2" t="e">
        <f ca="1">_xll.BDH($C$328,"CUR_RATIO","FQ1 2018","FQ1 2018","Currency=INR","Period=FQ","BEST_FPERIOD_OVERRIDE=FQ","FILING_STATUS=OR","EQY_CONSOLIDATED=Y","Sort=A","Dates=H","DateFormat=P","Fill=—","Direction=H","UseDPDF=Y")</f>
        <v>#NAME?</v>
      </c>
      <c r="CU349" s="2" t="e">
        <f ca="1">_xll.BDH($C$328,"QUICK_RATIO","FQ1 2018","FQ1 2018","Currency=INR","Period=FQ","BEST_FPERIOD_OVERRIDE=FQ","FILING_STATUS=OR","EQY_CONSOLIDATED=Y","Sort=A","Dates=H","DateFormat=P","Fill=—","Direction=H","UseDPDF=Y")</f>
        <v>#NAME?</v>
      </c>
      <c r="CV349" s="2" t="e">
        <f ca="1">_xll.BDH($C$328,"ALTMAN_Z_SCORE","FQ1 2018","FQ1 2018","Currency=INR","Period=FQ","BEST_FPERIOD_OVERRIDE=FQ","FILING_STATUS=OR","EQY_CONSOLIDATED=Y","Sort=A","Dates=H","DateFormat=P","Fill=—","Direction=H","UseDPDF=Y")</f>
        <v>#NAME?</v>
      </c>
      <c r="CW349" s="4" t="e">
        <f ca="1">_xll.BDH($C$328,"ACCT_RCV_TURN","FQ1 2018","FQ1 2018","Currency=INR","Period=FQ","BEST_FPERIOD_OVERRIDE=FQ","FILING_STATUS=OR","EQY_CONSOLIDATED=Y","FA_ADJUSTED=GAAP","Sort=A","Dates=H","DateFormat=P","Fill=—","Direction=H","UseDPDF=Y")</f>
        <v>#NAME?</v>
      </c>
      <c r="CX349" s="2" t="e">
        <f ca="1">_xll.BDH($C$328,"ACCT_RCV_DAYS","FQ1 2018","FQ1 2018","Currency=INR","Period=FQ","BEST_FPERIOD_OVERRIDE=FQ","FILING_STATUS=OR","EQY_CONSOLIDATED=Y","FA_ADJUSTED=GAAP","Sort=A","Dates=H","DateFormat=P","Fill=—","Direction=H","UseDPDF=Y")</f>
        <v>#NAME?</v>
      </c>
      <c r="CY349" s="4" t="e">
        <f ca="1">_xll.BDH($C$328,"INVENT_TURN","FQ1 2018","FQ1 2018","Currency=INR","Period=FQ","BEST_FPERIOD_OVERRIDE=FQ","FILING_STATUS=OR","EQY_CONSOLIDATED=Y","FA_ADJUSTED=GAAP","Sort=A","Dates=H","DateFormat=P","Fill=—","Direction=H","UseDPDF=Y")</f>
        <v>#NAME?</v>
      </c>
      <c r="CZ349" s="2" t="e">
        <f ca="1">_xll.BDH($C$328,"INVENT_DAYS","FQ1 2018","FQ1 2018","Currency=INR","Period=FQ","BEST_FPERIOD_OVERRIDE=FQ","FILING_STATUS=OR","EQY_CONSOLIDATED=Y","FA_ADJUSTED=GAAP","Sort=A","Dates=H","DateFormat=P","Fill=—","Direction=H","UseDPDF=Y")</f>
        <v>#NAME?</v>
      </c>
      <c r="DA349" s="4" t="e">
        <f ca="1">_xll.BDH($C$328,"ACCOUNTS_PAYABLE_TURNOVER","FQ1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49" s="2" t="e">
        <f ca="1">_xll.BDH($C$328,"ACCOUNTS_PAYABLE_TURNOVER_DAYS","FQ1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49" s="4" t="e">
        <f ca="1">_xll.BDH($C$328,"CASH_CONVERSION_CYCLE","FQ1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49" s="4" t="e">
        <f ca="1">_xll.BDH($C$328,"INV_TO_CASH_DAYS","FQ1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49" s="5" t="e">
        <f ca="1">_xll.BDH($C$328,"BS_INVENTORIES","FQ1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49" s="3" t="e">
        <f ca="1">_xll.BDH($C$328,"INVTRY_RAW_MATERIALS","FQ1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49" s="3" t="e">
        <f ca="1">_xll.BDH($C$328,"INVTRY_IN_PROGRESS","FQ1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49" s="3" t="e">
        <f ca="1">_xll.BDH($C$328,"INVTRY_FINISHED_GOODS","FQ1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49" s="3" t="e">
        <f ca="1">_xll.BDH($C$328,"BS_OTHER_INV","FQ1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50" spans="1:113" x14ac:dyDescent="0.3">
      <c r="A350" s="6"/>
      <c r="B350" s="6"/>
      <c r="C350" s="6"/>
      <c r="D350" s="6"/>
      <c r="E350" t="s">
        <v>79</v>
      </c>
      <c r="F350" t="e">
        <f ca="1">_xll.BDH($C$328,"RETURN_COM_EQY","FQ2 2018","FQ2 2018","Currency=INR","Period=FQ","BEST_FPERIOD_OVERRIDE=FQ","FILING_STATUS=OR","EQY_CONSOLIDATED=Y","FA_ADJUSTED=GAAP","Sort=A","Dates=H","DateFormat=P","Fill=—","Direction=H","UseDPDF=Y")</f>
        <v>#NAME?</v>
      </c>
      <c r="G350" t="e">
        <f ca="1">_xll.BDH($C$328,"RETURN_ON_ASSET","FQ2 2018","FQ2 2018","Currency=INR","Period=FQ","BEST_FPERIOD_OVERRIDE=FQ","FILING_STATUS=OR","EQY_CONSOLIDATED=Y","FA_ADJUSTED=GAAP","Sort=A","Dates=H","DateFormat=P","Fill=—","Direction=H","UseDPDF=Y")</f>
        <v>#NAME?</v>
      </c>
      <c r="H350" t="e">
        <f ca="1">_xll.BDH($C$328,"RETURN_ON_CAP","FQ2 2018","FQ2 2018","Currency=INR","Period=FQ","BEST_FPERIOD_OVERRIDE=FQ","FILING_STATUS=OR","EQY_CONSOLIDATED=Y","FA_ADJUSTED=GAAP","Sort=A","Dates=H","DateFormat=P","Fill=—","Direction=H","UseDPDF=Y")</f>
        <v>#NAME?</v>
      </c>
      <c r="I350" t="e">
        <f ca="1">_xll.BDH($C$328,"RETURN_ON_INV_CAPITAL","FQ2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50" t="e">
        <f ca="1">_xll.BDH($C$328,"EBITDA_TO_REVENUE","FQ2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350" t="e">
        <f ca="1">_xll.BDH($C$328,"OPER_MARGIN","FQ2 2018","FQ2 2018","Currency=INR","Period=FQ","BEST_FPERIOD_OVERRIDE=FQ","FILING_STATUS=OR","EQY_CONSOLIDATED=Y","FA_ADJUSTED=GAAP","Sort=A","Dates=H","DateFormat=P","Fill=—","Direction=H","UseDPDF=Y")</f>
        <v>#NAME?</v>
      </c>
      <c r="L350" t="e">
        <f ca="1">_xll.BDH($C$328,"INCREMENTAL_OPERATING_MARGIN","FQ2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50" t="e">
        <f ca="1">_xll.BDH($C$328,"PRETAX_INC_TO_NET_SALES","FQ2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50" t="e">
        <f ca="1">_xll.BDH($C$328,"INC_BEF_XO_ITEMS_TO_NET_SALES","FQ2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50" t="e">
        <f ca="1">_xll.BDH($C$328,"PROF_MARGIN","FQ2 2018","FQ2 2018","Currency=INR","Period=FQ","BEST_FPERIOD_OVERRIDE=FQ","FILING_STATUS=OR","EQY_CONSOLIDATED=Y","FA_ADJUSTED=GAAP","Sort=A","Dates=H","DateFormat=P","Fill=—","Direction=H","UseDPDF=Y")</f>
        <v>#NAME?</v>
      </c>
      <c r="P350" t="e">
        <f ca="1">_xll.BDH($C$328,"NET_INCOME_TO_COMMON_MARGIN","FQ2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50" t="e">
        <f ca="1">_xll.BDH($C$328,"EFF_TAX_RATE","FQ2 2018","FQ2 2018","Currency=INR","Period=FQ","BEST_FPERIOD_OVERRIDE=FQ","FILING_STATUS=OR","EQY_CONSOLIDATED=Y","FA_ADJUSTED=GAAP","Sort=A","Dates=H","DateFormat=P","Fill=—","Direction=H","UseDPDF=Y")</f>
        <v>#NAME?</v>
      </c>
      <c r="R350" t="e">
        <f ca="1">_xll.BDH($C$328,"DVD_PAYOUT_RATIO","FQ2 2018","FQ2 2018","Currency=INR","Period=FQ","BEST_FPERIOD_OVERRIDE=FQ","FILING_STATUS=OR","EQY_CONSOLIDATED=Y","FA_ADJUSTED=GAAP","Sort=A","Dates=H","DateFormat=P","Fill=—","Direction=H","UseDPDF=Y")</f>
        <v>#NAME?</v>
      </c>
      <c r="S350" t="e">
        <f ca="1">_xll.BDH($C$328,"SUSTAIN_GROWTH_RT","FQ2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350" s="2" t="e">
        <f ca="1">_xll.BDH($C$328,"SALES_GROWTH","FQ2 2018","FQ2 2018","Currency=INR","Period=FQ","BEST_FPERIOD_OVERRIDE=FQ","FILING_STATUS=OR","EQY_CONSOLIDATED=Y","FA_ADJUSTED=GAAP","Sort=A","Dates=H","DateFormat=P","Fill=—","Direction=H","UseDPDF=Y")</f>
        <v>#NAME?</v>
      </c>
      <c r="U350" s="2" t="e">
        <f ca="1">_xll.BDH($C$328,"EBITDA_GROWTH","FQ2 2018","FQ2 2018","Currency=INR","Period=FQ","BEST_FPERIOD_OVERRIDE=FQ","FILING_STATUS=OR","EQY_CONSOLIDATED=Y","FA_ADJUSTED=GAAP","Sort=A","Dates=H","DateFormat=P","Fill=—","Direction=H","UseDPDF=Y")</f>
        <v>#NAME?</v>
      </c>
      <c r="V350" s="2" t="e">
        <f ca="1">_xll.BDH($C$328,"OPER_INC_GROWTH","FQ2 2018","FQ2 2018","Currency=INR","Period=FQ","BEST_FPERIOD_OVERRIDE=FQ","FILING_STATUS=OR","EQY_CONSOLIDATED=Y","FA_ADJUSTED=GAAP","Sort=A","Dates=H","DateFormat=P","Fill=—","Direction=H","UseDPDF=Y")</f>
        <v>#NAME?</v>
      </c>
      <c r="W350" s="2" t="e">
        <f ca="1">_xll.BDH($C$328,"EARN_FOR_COM_GROWTH","FQ2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50" s="2" t="e">
        <f ca="1">_xll.BDH($C$328,"DILUTED_EPS_AFT_XO_ITEMS_GROWTH","FQ2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50" s="2" t="e">
        <f ca="1">_xll.BDH($C$328,"DIVIDEND_PER_SHARE_1_YEAR_GROWTH","FQ2 2018","FQ2 2018","Currency=INR","Period=FQ","BEST_FPERIOD_OVERRIDE=FQ","FILING_STATUS=OR","EQY_CONSOLIDATED=Y","Sort=A","Dates=H","DateFormat=P","Fill=—","Direction=H","UseDPDF=Y")</f>
        <v>#NAME?</v>
      </c>
      <c r="Z350" s="2" t="e">
        <f ca="1">_xll.BDH($C$328,"ACCOUNTS_RECEIVABLE_GROWTH","FQ2 2018","FQ2 2018","Currency=INR","Period=FQ","BEST_FPERIOD_OVERRIDE=FQ","FILING_STATUS=OR","EQY_CONSOLIDATED=Y","Sort=A","Dates=H","DateFormat=P","Fill=—","Direction=H","UseDPDF=Y")</f>
        <v>#NAME?</v>
      </c>
      <c r="AA350" s="2" t="e">
        <f ca="1">_xll.BDH($C$328,"INVENTORY_GROWTH","FQ2 2018","FQ2 2018","Currency=INR","Period=FQ","BEST_FPERIOD_OVERRIDE=FQ","FILING_STATUS=OR","EQY_CONSOLIDATED=Y","Sort=A","Dates=H","DateFormat=P","Fill=—","Direction=H","UseDPDF=Y")</f>
        <v>#NAME?</v>
      </c>
      <c r="AB350" s="2" t="e">
        <f ca="1">_xll.BDH($C$328,"NET_FIXED_ASSETS_1_YEAR_GROWTH","FQ2 2018","FQ2 2018","Currency=INR","Period=FQ","BEST_FPERIOD_OVERRIDE=FQ","FILING_STATUS=OR","EQY_CONSOLIDATED=Y","Sort=A","Dates=H","DateFormat=P","Fill=—","Direction=H","UseDPDF=Y")</f>
        <v>#NAME?</v>
      </c>
      <c r="AC350" s="2" t="e">
        <f ca="1">_xll.BDH($C$328,"ASSET_GROWTH","FQ2 2018","FQ2 2018","Currency=INR","Period=FQ","BEST_FPERIOD_OVERRIDE=FQ","FILING_STATUS=OR","EQY_CONSOLIDATED=Y","Sort=A","Dates=H","DateFormat=P","Fill=—","Direction=H","UseDPDF=Y")</f>
        <v>#NAME?</v>
      </c>
      <c r="AD350" s="2" t="e">
        <f ca="1">_xll.BDH($C$328,"MODIFIED_WORK_CAP_GROWTH","FQ2 2018","FQ2 2018","Currency=INR","Period=FQ","BEST_FPERIOD_OVERRIDE=FQ","FILING_STATUS=OR","EQY_CONSOLIDATED=Y","Sort=A","Dates=H","DateFormat=P","Fill=—","Direction=H","UseDPDF=Y")</f>
        <v>#NAME?</v>
      </c>
      <c r="AE350" s="2" t="e">
        <f ca="1">_xll.BDH($C$328,"WORK_CAP_GROWTH","FQ2 2018","FQ2 2018","Currency=INR","Period=FQ","BEST_FPERIOD_OVERRIDE=FQ","FILING_STATUS=OR","EQY_CONSOLIDATED=Y","Sort=A","Dates=H","DateFormat=P","Fill=—","Direction=H","UseDPDF=Y")</f>
        <v>#NAME?</v>
      </c>
      <c r="AF350" s="2" t="e">
        <f ca="1">_xll.BDH($C$328,"ACCOUNTS_PAYABLE_GROWTH_1YR","FQ2 2018","FQ2 2018","Currency=INR","Period=FQ","BEST_FPERIOD_OVERRIDE=FQ","FILING_STATUS=OR","EQY_CONSOLIDATED=Y","Sort=A","Dates=H","DateFormat=P","Fill=—","Direction=H","UseDPDF=Y")</f>
        <v>#NAME?</v>
      </c>
      <c r="AG350" s="2" t="e">
        <f ca="1">_xll.BDH($C$328,"SHORT_TERM_DEBT_1_YEAR_GROWTH","FQ2 2018","FQ2 2018","Currency=INR","Period=FQ","BEST_FPERIOD_OVERRIDE=FQ","FILING_STATUS=OR","EQY_CONSOLIDATED=Y","Sort=A","Dates=H","DateFormat=P","Fill=—","Direction=H","UseDPDF=Y")</f>
        <v>#NAME?</v>
      </c>
      <c r="AH350" s="2" t="e">
        <f ca="1">_xll.BDH($C$328,"TOTAL_DEBT_1_YEAR_GROWTH","FQ2 2018","FQ2 2018","Currency=INR","Period=FQ","BEST_FPERIOD_OVERRIDE=FQ","FILING_STATUS=OR","EQY_CONSOLIDATED=Y","Sort=A","Dates=H","DateFormat=P","Fill=—","Direction=H","UseDPDF=Y")</f>
        <v>#NAME?</v>
      </c>
      <c r="AI350" s="2" t="e">
        <f ca="1">_xll.BDH($C$328,"TOTAL_EQUITY_1_YEAR_GROWTH","FQ2 2018","FQ2 2018","Currency=INR","Period=FQ","BEST_FPERIOD_OVERRIDE=FQ","FILING_STATUS=OR","EQY_CONSOLIDATED=Y","Sort=A","Dates=H","DateFormat=P","Fill=—","Direction=H","UseDPDF=Y")</f>
        <v>#NAME?</v>
      </c>
      <c r="AJ350" s="2" t="e">
        <f ca="1">_xll.BDH($C$328,"GROWTH_IN_CAP","FQ2 2018","FQ2 2018","Currency=INR","Period=FQ","BEST_FPERIOD_OVERRIDE=FQ","FILING_STATUS=OR","EQY_CONSOLIDATED=Y","Sort=A","Dates=H","DateFormat=P","Fill=—","Direction=H","UseDPDF=Y")</f>
        <v>#NAME?</v>
      </c>
      <c r="AK350" s="2" t="e">
        <f ca="1">_xll.BDH($C$328,"BVPS_GROWTH","FQ2 2018","FQ2 2018","Currency=INR","Period=FQ","BEST_FPERIOD_OVERRIDE=FQ","FILING_STATUS=OR","EQY_CONSOLIDATED=Y","Sort=A","Dates=H","DateFormat=P","Fill=—","Direction=H","UseDPDF=Y")</f>
        <v>#NAME?</v>
      </c>
      <c r="AL350" s="2" t="e">
        <f ca="1">_xll.BDH($C$328,"CASH_FLOW_GROWTH","FQ2 2018","FQ2 2018","Currency=INR","Period=FQ","BEST_FPERIOD_OVERRIDE=FQ","FILING_STATUS=OR","EQY_CONSOLIDATED=Y","Sort=A","Dates=H","DateFormat=P","Fill=—","Direction=H","UseDPDF=Y")</f>
        <v>#NAME?</v>
      </c>
      <c r="AM350" s="2" t="e">
        <f ca="1">_xll.BDH($C$328,"GEO_GROW_NET_SALES","FQ2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50" s="2" t="e">
        <f ca="1">_xll.BDH($C$328,"GEO_GROW_EBITDA","FQ2 2018","FQ2 2018","Currency=INR","Period=FQ","BEST_FPERIOD_OVERRIDE=FQ","FILING_STATUS=OR","EQY_CONSOLIDATED=Y","FA_ADJUSTED=GAAP","Sort=A","Dates=H","DateFormat=P","Fill=—","Direction=H","UseDPDF=Y")</f>
        <v>#NAME?</v>
      </c>
      <c r="AO350" s="2" t="e">
        <f ca="1">_xll.BDH($C$328,"GEO_GROW_OPER_INC","FQ2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50" s="2" t="e">
        <f ca="1">_xll.BDH($C$328,"NET_INCOME_TO_COMMON_5_YR_GROWTH","FQ2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50" s="2" t="e">
        <f ca="1">_xll.BDH($C$328,"5Y_GEO_GROWTH_DILUTED_EPS","FQ2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50" s="2" t="e">
        <f ca="1">_xll.BDH($C$328,"GEO_GROW_DVD_PER_SH","FQ2 2018","FQ2 2018","Currency=INR","Period=FQ","BEST_FPERIOD_OVERRIDE=FQ","FILING_STATUS=OR","EQY_CONSOLIDATED=Y","Sort=A","Dates=H","DateFormat=P","Fill=—","Direction=H","UseDPDF=Y")</f>
        <v>#NAME?</v>
      </c>
      <c r="AS350" s="2" t="e">
        <f ca="1">_xll.BDH($C$328,"ACCOUNTS_RECEIVABLE_5_YR_GROWTH","FQ2 2018","FQ2 2018","Currency=INR","Period=FQ","BEST_FPERIOD_OVERRIDE=FQ","FILING_STATUS=OR","EQY_CONSOLIDATED=Y","Sort=A","Dates=H","DateFormat=P","Fill=—","Direction=H","UseDPDF=Y")</f>
        <v>#NAME?</v>
      </c>
      <c r="AT350" s="2" t="e">
        <f ca="1">_xll.BDH($C$328,"INVENTORY_5_YEAR_GROWTH","FQ2 2018","FQ2 2018","Currency=INR","Period=FQ","BEST_FPERIOD_OVERRIDE=FQ","FILING_STATUS=OR","EQY_CONSOLIDATED=Y","Sort=A","Dates=H","DateFormat=P","Fill=—","Direction=H","UseDPDF=Y")</f>
        <v>#NAME?</v>
      </c>
      <c r="AU350" s="2" t="e">
        <f ca="1">_xll.BDH($C$328,"NET_FIXED_ASSETS_5_YEAR_GROWTH","FQ2 2018","FQ2 2018","Currency=INR","Period=FQ","BEST_FPERIOD_OVERRIDE=FQ","FILING_STATUS=OR","EQY_CONSOLIDATED=Y","Sort=A","Dates=H","DateFormat=P","Fill=—","Direction=H","UseDPDF=Y")</f>
        <v>#NAME?</v>
      </c>
      <c r="AV350" s="2" t="e">
        <f ca="1">_xll.BDH($C$328,"GEO_GROW_TOT_ASSET","FQ2 2018","FQ2 2018","Currency=INR","Period=FQ","BEST_FPERIOD_OVERRIDE=FQ","FILING_STATUS=OR","EQY_CONSOLIDATED=Y","Sort=A","Dates=H","DateFormat=P","Fill=—","Direction=H","UseDPDF=Y")</f>
        <v>#NAME?</v>
      </c>
      <c r="AW350" s="2" t="e">
        <f ca="1">_xll.BDH($C$328,"MODIFIED_WORKING_CPTL_5YR_GRWTH","FQ2 2018","FQ2 2018","Currency=INR","Period=FQ","BEST_FPERIOD_OVERRIDE=FQ","FILING_STATUS=OR","EQY_CONSOLIDATED=Y","Sort=A","Dates=H","DateFormat=P","Fill=—","Direction=H","UseDPDF=Y")</f>
        <v>#NAME?</v>
      </c>
      <c r="AX350" s="2" t="e">
        <f ca="1">_xll.BDH($C$328,"WORKING_CAPITAL_5_YEAR_GROWTH","FQ2 2018","FQ2 2018","Currency=INR","Period=FQ","BEST_FPERIOD_OVERRIDE=FQ","FILING_STATUS=OR","EQY_CONSOLIDATED=Y","Sort=A","Dates=H","DateFormat=P","Fill=—","Direction=H","UseDPDF=Y")</f>
        <v>#NAME?</v>
      </c>
      <c r="AY350" s="2" t="e">
        <f ca="1">_xll.BDH($C$328,"ACCOUNTS_PAYABLE_5_YEAR_GROWTH","FQ2 2018","FQ2 2018","Currency=INR","Period=FQ","BEST_FPERIOD_OVERRIDE=FQ","FILING_STATUS=OR","EQY_CONSOLIDATED=Y","Sort=A","Dates=H","DateFormat=P","Fill=—","Direction=H","UseDPDF=Y")</f>
        <v>#NAME?</v>
      </c>
      <c r="AZ350" s="2" t="e">
        <f ca="1">_xll.BDH($C$328,"SHORT_TERM_DEBT_5_YEAR_GROWTH","FQ2 2018","FQ2 2018","Currency=INR","Period=FQ","BEST_FPERIOD_OVERRIDE=FQ","FILING_STATUS=OR","EQY_CONSOLIDATED=Y","Sort=A","Dates=H","DateFormat=P","Fill=—","Direction=H","UseDPDF=Y")</f>
        <v>#NAME?</v>
      </c>
      <c r="BA350" s="2" t="e">
        <f ca="1">_xll.BDH($C$328,"TOTAL_DEBT_5_YEAR_GROWTH","FQ2 2018","FQ2 2018","Currency=INR","Period=FQ","BEST_FPERIOD_OVERRIDE=FQ","FILING_STATUS=OR","EQY_CONSOLIDATED=Y","Sort=A","Dates=H","DateFormat=P","Fill=—","Direction=H","UseDPDF=Y")</f>
        <v>#NAME?</v>
      </c>
      <c r="BB350" s="2" t="e">
        <f ca="1">_xll.BDH($C$328,"GEO_GROW_TOT_SHRHLDR_EQY","FQ2 2018","FQ2 2018","Currency=INR","Period=FQ","BEST_FPERIOD_OVERRIDE=FQ","FILING_STATUS=OR","EQY_CONSOLIDATED=Y","Sort=A","Dates=H","DateFormat=P","Fill=—","Direction=H","UseDPDF=Y")</f>
        <v>#NAME?</v>
      </c>
      <c r="BC350" s="2" t="e">
        <f ca="1">_xll.BDH($C$328,"TOTAL_CAPITAL_5_YEAR_GROWTH","FQ2 2018","FQ2 2018","Currency=INR","Period=FQ","BEST_FPERIOD_OVERRIDE=FQ","FILING_STATUS=OR","EQY_CONSOLIDATED=Y","Sort=A","Dates=H","DateFormat=P","Fill=—","Direction=H","UseDPDF=Y")</f>
        <v>#NAME?</v>
      </c>
      <c r="BD350" s="2" t="e">
        <f ca="1">_xll.BDH($C$328,"GEO_GROW_BOOK_VAL","FQ2 2018","FQ2 2018","Currency=INR","Period=FQ","BEST_FPERIOD_OVERRIDE=FQ","FILING_STATUS=OR","EQY_CONSOLIDATED=Y","Sort=A","Dates=H","DateFormat=P","Fill=—","Direction=H","UseDPDF=Y")</f>
        <v>#NAME?</v>
      </c>
      <c r="BE350" s="2" t="e">
        <f ca="1">_xll.BDH($C$328,"GEO_GROW_CASH_OPER_ACT","FQ2 2018","FQ2 2018","Currency=INR","Period=FQ","BEST_FPERIOD_OVERRIDE=FQ","FILING_STATUS=OR","EQY_CONSOLIDATED=Y","Sort=A","Dates=H","DateFormat=P","Fill=—","Direction=H","UseDPDF=Y")</f>
        <v>#NAME?</v>
      </c>
      <c r="BF350" s="2" t="e">
        <f ca="1">_xll.BDH($C$328,"REVENUE_SEQUENTIAL_GROWTH","FQ2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50" s="2" t="e">
        <f ca="1">_xll.BDH($C$328,"EBITDA_SEQUENTIAL_GROWTH","FQ2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50" s="2" t="e">
        <f ca="1">_xll.BDH($C$328,"OPERATING_INCOME_SEQ_GROWTH","FQ2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50" s="2" t="e">
        <f ca="1">_xll.BDH($C$328,"NET_INCOME_TO_COMMON_SEQ_GROWTH","FQ2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50" s="2" t="e">
        <f ca="1">_xll.BDH($C$328,"EPS_DILUTED_SEQUENTIAL_GROWTH","FQ2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50" s="2" t="e">
        <f ca="1">_xll.BDH($C$328,"DPS_SEQUENTIAL_GROWTH","FQ2 2018","FQ2 2018","Currency=INR","Period=FQ","BEST_FPERIOD_OVERRIDE=FQ","FILING_STATUS=OR","EQY_CONSOLIDATED=Y","Sort=A","Dates=H","DateFormat=P","Fill=—","Direction=H","UseDPDF=Y")</f>
        <v>#NAME?</v>
      </c>
      <c r="BL350" s="2" t="e">
        <f ca="1">_xll.BDH($C$328,"ACCOUNTS_RECEIVABLE_SEQ_GROWTH","FQ2 2018","FQ2 2018","Currency=INR","Period=FQ","BEST_FPERIOD_OVERRIDE=FQ","FILING_STATUS=OR","EQY_CONSOLIDATED=Y","Sort=A","Dates=H","DateFormat=P","Fill=—","Direction=H","UseDPDF=Y")</f>
        <v>#NAME?</v>
      </c>
      <c r="BM350" s="2" t="e">
        <f ca="1">_xll.BDH($C$328,"INVENTORY_SEQUENTIAL_GROWTH","FQ2 2018","FQ2 2018","Currency=INR","Period=FQ","BEST_FPERIOD_OVERRIDE=FQ","FILING_STATUS=OR","EQY_CONSOLIDATED=Y","Sort=A","Dates=H","DateFormat=P","Fill=—","Direction=H","UseDPDF=Y")</f>
        <v>#NAME?</v>
      </c>
      <c r="BN350" s="2" t="e">
        <f ca="1">_xll.BDH($C$328,"FIXED_ASSETS_SEQUENTIAL_GROWTH","FQ2 2018","FQ2 2018","Currency=INR","Period=FQ","BEST_FPERIOD_OVERRIDE=FQ","FILING_STATUS=OR","EQY_CONSOLIDATED=Y","Sort=A","Dates=H","DateFormat=P","Fill=—","Direction=H","UseDPDF=Y")</f>
        <v>#NAME?</v>
      </c>
      <c r="BO350" s="2" t="e">
        <f ca="1">_xll.BDH($C$328,"TOTAL_ASSETS_SEQUENTIAL_GROWTH","FQ2 2018","FQ2 2018","Currency=INR","Period=FQ","BEST_FPERIOD_OVERRIDE=FQ","FILING_STATUS=OR","EQY_CONSOLIDATED=Y","Sort=A","Dates=H","DateFormat=P","Fill=—","Direction=H","UseDPDF=Y")</f>
        <v>#NAME?</v>
      </c>
      <c r="BP350" s="2" t="e">
        <f ca="1">_xll.BDH($C$328,"MODIFIED_WORKING_CPTL_SEQ_GRWTH","FQ2 2018","FQ2 2018","Currency=INR","Period=FQ","BEST_FPERIOD_OVERRIDE=FQ","FILING_STATUS=OR","EQY_CONSOLIDATED=Y","Sort=A","Dates=H","DateFormat=P","Fill=—","Direction=H","UseDPDF=Y")</f>
        <v>#NAME?</v>
      </c>
      <c r="BQ350" s="2" t="e">
        <f ca="1">_xll.BDH($C$328,"WORKING_CAPITAL_SEQ_GROWTH","FQ2 2018","FQ2 2018","Currency=INR","Period=FQ","BEST_FPERIOD_OVERRIDE=FQ","FILING_STATUS=OR","EQY_CONSOLIDATED=Y","Sort=A","Dates=H","DateFormat=P","Fill=—","Direction=H","UseDPDF=Y")</f>
        <v>#NAME?</v>
      </c>
      <c r="BR350" s="2" t="e">
        <f ca="1">_xll.BDH($C$328,"ACCOUNTS_PAYABLE_SEQ_GROWTH","FQ2 2018","FQ2 2018","Currency=INR","Period=FQ","BEST_FPERIOD_OVERRIDE=FQ","FILING_STATUS=OR","EQY_CONSOLIDATED=Y","Sort=A","Dates=H","DateFormat=P","Fill=—","Direction=H","UseDPDF=Y")</f>
        <v>#NAME?</v>
      </c>
      <c r="BS350" s="2" t="e">
        <f ca="1">_xll.BDH($C$328,"ST_DEBT_SEQUENTIAL_GROWTH","FQ2 2018","FQ2 2018","Currency=INR","Period=FQ","BEST_FPERIOD_OVERRIDE=FQ","FILING_STATUS=OR","EQY_CONSOLIDATED=Y","Sort=A","Dates=H","DateFormat=P","Fill=—","Direction=H","UseDPDF=Y")</f>
        <v>#NAME?</v>
      </c>
      <c r="BT350" s="2" t="e">
        <f ca="1">_xll.BDH($C$328,"TOTAL_DEBT_SEQUENTIAL_GROWTH","FQ2 2018","FQ2 2018","Currency=INR","Period=FQ","BEST_FPERIOD_OVERRIDE=FQ","FILING_STATUS=OR","EQY_CONSOLIDATED=Y","Sort=A","Dates=H","DateFormat=P","Fill=—","Direction=H","UseDPDF=Y")</f>
        <v>#NAME?</v>
      </c>
      <c r="BU350" s="2" t="e">
        <f ca="1">_xll.BDH($C$328,"TOTAL_EQUITY_SEQUENTIAL_GROWTH","FQ2 2018","FQ2 2018","Currency=INR","Period=FQ","BEST_FPERIOD_OVERRIDE=FQ","FILING_STATUS=OR","EQY_CONSOLIDATED=Y","Sort=A","Dates=H","DateFormat=P","Fill=—","Direction=H","UseDPDF=Y")</f>
        <v>#NAME?</v>
      </c>
      <c r="BV350" s="2" t="e">
        <f ca="1">_xll.BDH($C$328,"TOTAL_CAPITAL_SEQUENTIAL_GROWTH","FQ2 2018","FQ2 2018","Currency=INR","Period=FQ","BEST_FPERIOD_OVERRIDE=FQ","FILING_STATUS=OR","EQY_CONSOLIDATED=Y","Sort=A","Dates=H","DateFormat=P","Fill=—","Direction=H","UseDPDF=Y")</f>
        <v>#NAME?</v>
      </c>
      <c r="BW350" s="2" t="e">
        <f ca="1">_xll.BDH($C$328,"BPS_SEQUENTIAL_GROWTH","FQ2 2018","FQ2 2018","Currency=INR","Period=FQ","BEST_FPERIOD_OVERRIDE=FQ","FILING_STATUS=OR","EQY_CONSOLIDATED=Y","Sort=A","Dates=H","DateFormat=P","Fill=—","Direction=H","UseDPDF=Y")</f>
        <v>#NAME?</v>
      </c>
      <c r="BX350" s="2" t="e">
        <f ca="1">_xll.BDH($C$328,"CFO_SEQUENTIAL_GROWTH","FQ2 2018","FQ2 2018","Currency=INR","Period=FQ","BEST_FPERIOD_OVERRIDE=FQ","FILING_STATUS=OR","EQY_CONSOLIDATED=Y","Sort=A","Dates=H","DateFormat=P","Fill=—","Direction=H","UseDPDF=Y")</f>
        <v>#NAME?</v>
      </c>
      <c r="BY350" s="3" t="e">
        <f ca="1">_xll.BDH($C$328,"SHORT_AND_LONG_TERM_DEBT","FQ2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50" s="3" t="e">
        <f ca="1">_xll.BDH($C$328,"BS_ST_BORROW","FQ2 2018","FQ2 2018","Currency=INR","Period=FQ","BEST_FPERIOD_OVERRIDE=FQ","FILING_STATUS=OR","EQY_CONSOLIDATED=Y","SCALING_FORMAT=MLN","Sort=A","Dates=H","DateFormat=P","Fill=—","Direction=H","UseDPDF=Y")</f>
        <v>#NAME?</v>
      </c>
      <c r="CA350" s="3" t="e">
        <f ca="1">_xll.BDH($C$328,"BS_LT_BORROW","FQ2 2018","FQ2 2018","Currency=INR","Period=FQ","BEST_FPERIOD_OVERRIDE=FQ","FILING_STATUS=OR","EQY_CONSOLIDATED=Y","SCALING_FORMAT=MLN","Sort=A","Dates=H","DateFormat=P","Fill=—","Direction=H","UseDPDF=Y")</f>
        <v>#NAME?</v>
      </c>
      <c r="CB350" s="2" t="e">
        <f ca="1">_xll.BDH($C$328,"TOT_DEBT_TO_EBITDA","FQ2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50" s="2" t="e">
        <f ca="1">_xll.BDH($C$328,"NET_DEBT_TO_EBITDA","FQ2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50" s="2" t="e">
        <f ca="1">_xll.BDH($C$328,"TOTAL_DEBT_TO_EBIT","FQ2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50" s="2" t="e">
        <f ca="1">_xll.BDH($C$328,"NET_DEBT_TO_EBIT","FQ2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350" s="2" t="e">
        <f ca="1">_xll.BDH($C$328,"EBITDA_TO_INTEREST_EXPN","FQ2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50" s="2" t="e">
        <f ca="1">_xll.BDH($C$328,"COM_EQY_TO_TOT_ASSET","FQ2 2018","FQ2 2018","Currency=INR","Period=FQ","BEST_FPERIOD_OVERRIDE=FQ","FILING_STATUS=OR","EQY_CONSOLIDATED=Y","Sort=A","Dates=H","DateFormat=P","Fill=—","Direction=H","UseDPDF=Y")</f>
        <v>#NAME?</v>
      </c>
      <c r="CH350" s="2" t="e">
        <f ca="1">_xll.BDH($C$328,"LT_DEBT_TO_TOT_EQY","FQ2 2018","FQ2 2018","Currency=INR","Period=FQ","BEST_FPERIOD_OVERRIDE=FQ","FILING_STATUS=OR","EQY_CONSOLIDATED=Y","Sort=A","Dates=H","DateFormat=P","Fill=—","Direction=H","UseDPDF=Y")</f>
        <v>#NAME?</v>
      </c>
      <c r="CI350" s="2" t="e">
        <f ca="1">_xll.BDH($C$328,"LT_DEBT_TO_TOT_CAP","FQ2 2018","FQ2 2018","Currency=INR","Period=FQ","BEST_FPERIOD_OVERRIDE=FQ","FILING_STATUS=OR","EQY_CONSOLIDATED=Y","Sort=A","Dates=H","DateFormat=P","Fill=—","Direction=H","UseDPDF=Y")</f>
        <v>#NAME?</v>
      </c>
      <c r="CJ350" s="2" t="e">
        <f ca="1">_xll.BDH($C$328,"LT_DEBT_TO_TOT_ASSET","FQ2 2018","FQ2 2018","Currency=INR","Period=FQ","BEST_FPERIOD_OVERRIDE=FQ","FILING_STATUS=OR","EQY_CONSOLIDATED=Y","Sort=A","Dates=H","DateFormat=P","Fill=—","Direction=H","UseDPDF=Y")</f>
        <v>#NAME?</v>
      </c>
      <c r="CK350" s="2" t="e">
        <f ca="1">_xll.BDH($C$328,"TOT_DEBT_TO_TOT_EQY","FQ2 2018","FQ2 2018","Currency=INR","Period=FQ","BEST_FPERIOD_OVERRIDE=FQ","FILING_STATUS=OR","EQY_CONSOLIDATED=Y","Sort=A","Dates=H","DateFormat=P","Fill=—","Direction=H","UseDPDF=Y")</f>
        <v>#NAME?</v>
      </c>
      <c r="CL350" s="2" t="e">
        <f ca="1">_xll.BDH($C$328,"TOT_DEBT_TO_TOT_CAP","FQ2 2018","FQ2 2018","Currency=INR","Period=FQ","BEST_FPERIOD_OVERRIDE=FQ","FILING_STATUS=OR","EQY_CONSOLIDATED=Y","Sort=A","Dates=H","DateFormat=P","Fill=—","Direction=H","UseDPDF=Y")</f>
        <v>#NAME?</v>
      </c>
      <c r="CM350" s="2" t="e">
        <f ca="1">_xll.BDH($C$328,"TOT_DEBT_TO_TOT_ASSET","FQ2 2018","FQ2 2018","Currency=INR","Period=FQ","BEST_FPERIOD_OVERRIDE=FQ","FILING_STATUS=OR","EQY_CONSOLIDATED=Y","Sort=A","Dates=H","DateFormat=P","Fill=—","Direction=H","UseDPDF=Y")</f>
        <v>#NAME?</v>
      </c>
      <c r="CN350" s="2" t="e">
        <f ca="1">_xll.BDH($C$328,"NET_DEBT_TO_SHRHLDR_EQTY","FQ2 2018","FQ2 2018","Currency=INR","Period=FQ","BEST_FPERIOD_OVERRIDE=FQ","FILING_STATUS=OR","EQY_CONSOLIDATED=Y","Sort=A","Dates=H","DateFormat=P","Fill=—","Direction=H","UseDPDF=Y")</f>
        <v>#NAME?</v>
      </c>
      <c r="CO350" s="2" t="e">
        <f ca="1">_xll.BDH($C$328,"NET_DEBT_%_CAPITAL","FQ2 2018","FQ2 2018","Currency=INR","Period=FQ","BEST_FPERIOD_OVERRIDE=FQ","FILING_STATUS=OR","EQY_CONSOLIDATED=Y","Sort=A","Dates=H","DateFormat=P","Fill=—","Direction=H","UseDPDF=Y")</f>
        <v>#NAME?</v>
      </c>
      <c r="CP350" s="3" t="e">
        <f ca="1">_xll.BDH($C$328,"EBITDA","FQ2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50" s="3" t="e">
        <f ca="1">_xll.BDH($C$328,"EBITDA_AFTER_CAPEX","FQ2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50" s="3" t="e">
        <f ca="1">_xll.BDH($C$328,"IS_OPER_INC","FQ2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50" s="2" t="e">
        <f ca="1">_xll.BDH($C$328,"CASH_RATIO","FQ2 2018","FQ2 2018","Currency=INR","Period=FQ","BEST_FPERIOD_OVERRIDE=FQ","FILING_STATUS=OR","EQY_CONSOLIDATED=Y","Sort=A","Dates=H","DateFormat=P","Fill=—","Direction=H","UseDPDF=Y")</f>
        <v>#NAME?</v>
      </c>
      <c r="CT350" s="2" t="e">
        <f ca="1">_xll.BDH($C$328,"CUR_RATIO","FQ2 2018","FQ2 2018","Currency=INR","Period=FQ","BEST_FPERIOD_OVERRIDE=FQ","FILING_STATUS=OR","EQY_CONSOLIDATED=Y","Sort=A","Dates=H","DateFormat=P","Fill=—","Direction=H","UseDPDF=Y")</f>
        <v>#NAME?</v>
      </c>
      <c r="CU350" s="2" t="e">
        <f ca="1">_xll.BDH($C$328,"QUICK_RATIO","FQ2 2018","FQ2 2018","Currency=INR","Period=FQ","BEST_FPERIOD_OVERRIDE=FQ","FILING_STATUS=OR","EQY_CONSOLIDATED=Y","Sort=A","Dates=H","DateFormat=P","Fill=—","Direction=H","UseDPDF=Y")</f>
        <v>#NAME?</v>
      </c>
      <c r="CV350" s="2" t="e">
        <f ca="1">_xll.BDH($C$328,"ALTMAN_Z_SCORE","FQ2 2018","FQ2 2018","Currency=INR","Period=FQ","BEST_FPERIOD_OVERRIDE=FQ","FILING_STATUS=OR","EQY_CONSOLIDATED=Y","Sort=A","Dates=H","DateFormat=P","Fill=—","Direction=H","UseDPDF=Y")</f>
        <v>#NAME?</v>
      </c>
      <c r="CW350" s="4" t="e">
        <f ca="1">_xll.BDH($C$328,"ACCT_RCV_TURN","FQ2 2018","FQ2 2018","Currency=INR","Period=FQ","BEST_FPERIOD_OVERRIDE=FQ","FILING_STATUS=OR","EQY_CONSOLIDATED=Y","FA_ADJUSTED=GAAP","Sort=A","Dates=H","DateFormat=P","Fill=—","Direction=H","UseDPDF=Y")</f>
        <v>#NAME?</v>
      </c>
      <c r="CX350" s="2" t="e">
        <f ca="1">_xll.BDH($C$328,"ACCT_RCV_DAYS","FQ2 2018","FQ2 2018","Currency=INR","Period=FQ","BEST_FPERIOD_OVERRIDE=FQ","FILING_STATUS=OR","EQY_CONSOLIDATED=Y","FA_ADJUSTED=GAAP","Sort=A","Dates=H","DateFormat=P","Fill=—","Direction=H","UseDPDF=Y")</f>
        <v>#NAME?</v>
      </c>
      <c r="CY350" s="4" t="e">
        <f ca="1">_xll.BDH($C$328,"INVENT_TURN","FQ2 2018","FQ2 2018","Currency=INR","Period=FQ","BEST_FPERIOD_OVERRIDE=FQ","FILING_STATUS=OR","EQY_CONSOLIDATED=Y","FA_ADJUSTED=GAAP","Sort=A","Dates=H","DateFormat=P","Fill=—","Direction=H","UseDPDF=Y")</f>
        <v>#NAME?</v>
      </c>
      <c r="CZ350" s="2" t="e">
        <f ca="1">_xll.BDH($C$328,"INVENT_DAYS","FQ2 2018","FQ2 2018","Currency=INR","Period=FQ","BEST_FPERIOD_OVERRIDE=FQ","FILING_STATUS=OR","EQY_CONSOLIDATED=Y","FA_ADJUSTED=GAAP","Sort=A","Dates=H","DateFormat=P","Fill=—","Direction=H","UseDPDF=Y")</f>
        <v>#NAME?</v>
      </c>
      <c r="DA350" s="4" t="e">
        <f ca="1">_xll.BDH($C$328,"ACCOUNTS_PAYABLE_TURNOVER","FQ2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50" s="2" t="e">
        <f ca="1">_xll.BDH($C$328,"ACCOUNTS_PAYABLE_TURNOVER_DAYS","FQ2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50" s="4" t="e">
        <f ca="1">_xll.BDH($C$328,"CASH_CONVERSION_CYCLE","FQ2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50" s="4" t="e">
        <f ca="1">_xll.BDH($C$328,"INV_TO_CASH_DAYS","FQ2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350" s="5" t="e">
        <f ca="1">_xll.BDH($C$328,"BS_INVENTORIES","FQ2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350" s="3" t="e">
        <f ca="1">_xll.BDH($C$328,"INVTRY_RAW_MATERIALS","FQ2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50" s="3" t="e">
        <f ca="1">_xll.BDH($C$328,"INVTRY_IN_PROGRESS","FQ2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50" s="3" t="e">
        <f ca="1">_xll.BDH($C$328,"INVTRY_FINISHED_GOODS","FQ2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50" s="3" t="e">
        <f ca="1">_xll.BDH($C$328,"BS_OTHER_INV","FQ2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51" spans="1:113" x14ac:dyDescent="0.3">
      <c r="A351" s="6"/>
      <c r="B351" s="6"/>
      <c r="C351" s="6"/>
      <c r="D351" s="6"/>
      <c r="E351" t="s">
        <v>80</v>
      </c>
      <c r="F351" t="e">
        <f ca="1">_xll.BDH($C$328,"RETURN_COM_EQY","FQ3 2018","FQ3 2018","Currency=INR","Period=FQ","BEST_FPERIOD_OVERRIDE=FQ","FILING_STATUS=OR","EQY_CONSOLIDATED=Y","FA_ADJUSTED=GAAP","Sort=A","Dates=H","DateFormat=P","Fill=—","Direction=H","UseDPDF=Y")</f>
        <v>#NAME?</v>
      </c>
      <c r="G351" t="e">
        <f ca="1">_xll.BDH($C$328,"RETURN_ON_ASSET","FQ3 2018","FQ3 2018","Currency=INR","Period=FQ","BEST_FPERIOD_OVERRIDE=FQ","FILING_STATUS=OR","EQY_CONSOLIDATED=Y","FA_ADJUSTED=GAAP","Sort=A","Dates=H","DateFormat=P","Fill=—","Direction=H","UseDPDF=Y")</f>
        <v>#NAME?</v>
      </c>
      <c r="H351" t="e">
        <f ca="1">_xll.BDH($C$328,"RETURN_ON_CAP","FQ3 2018","FQ3 2018","Currency=INR","Period=FQ","BEST_FPERIOD_OVERRIDE=FQ","FILING_STATUS=OR","EQY_CONSOLIDATED=Y","FA_ADJUSTED=GAAP","Sort=A","Dates=H","DateFormat=P","Fill=—","Direction=H","UseDPDF=Y")</f>
        <v>#NAME?</v>
      </c>
      <c r="I351" t="e">
        <f ca="1">_xll.BDH($C$328,"RETURN_ON_INV_CAPITAL","FQ3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51" t="e">
        <f ca="1">_xll.BDH($C$328,"EBITDA_TO_REVENUE","FQ3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351" t="e">
        <f ca="1">_xll.BDH($C$328,"OPER_MARGIN","FQ3 2018","FQ3 2018","Currency=INR","Period=FQ","BEST_FPERIOD_OVERRIDE=FQ","FILING_STATUS=OR","EQY_CONSOLIDATED=Y","FA_ADJUSTED=GAAP","Sort=A","Dates=H","DateFormat=P","Fill=—","Direction=H","UseDPDF=Y")</f>
        <v>#NAME?</v>
      </c>
      <c r="L351" t="e">
        <f ca="1">_xll.BDH($C$328,"INCREMENTAL_OPERATING_MARGIN","FQ3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51" t="e">
        <f ca="1">_xll.BDH($C$328,"PRETAX_INC_TO_NET_SALES","FQ3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51" t="e">
        <f ca="1">_xll.BDH($C$328,"INC_BEF_XO_ITEMS_TO_NET_SALES","FQ3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51" t="e">
        <f ca="1">_xll.BDH($C$328,"PROF_MARGIN","FQ3 2018","FQ3 2018","Currency=INR","Period=FQ","BEST_FPERIOD_OVERRIDE=FQ","FILING_STATUS=OR","EQY_CONSOLIDATED=Y","FA_ADJUSTED=GAAP","Sort=A","Dates=H","DateFormat=P","Fill=—","Direction=H","UseDPDF=Y")</f>
        <v>#NAME?</v>
      </c>
      <c r="P351" t="e">
        <f ca="1">_xll.BDH($C$328,"NET_INCOME_TO_COMMON_MARGIN","FQ3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51" t="e">
        <f ca="1">_xll.BDH($C$328,"EFF_TAX_RATE","FQ3 2018","FQ3 2018","Currency=INR","Period=FQ","BEST_FPERIOD_OVERRIDE=FQ","FILING_STATUS=OR","EQY_CONSOLIDATED=Y","FA_ADJUSTED=GAAP","Sort=A","Dates=H","DateFormat=P","Fill=—","Direction=H","UseDPDF=Y")</f>
        <v>#NAME?</v>
      </c>
      <c r="R351" t="e">
        <f ca="1">_xll.BDH($C$328,"DVD_PAYOUT_RATIO","FQ3 2018","FQ3 2018","Currency=INR","Period=FQ","BEST_FPERIOD_OVERRIDE=FQ","FILING_STATUS=OR","EQY_CONSOLIDATED=Y","FA_ADJUSTED=GAAP","Sort=A","Dates=H","DateFormat=P","Fill=—","Direction=H","UseDPDF=Y")</f>
        <v>#NAME?</v>
      </c>
      <c r="S351" t="e">
        <f ca="1">_xll.BDH($C$328,"SUSTAIN_GROWTH_RT","FQ3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351" s="2" t="e">
        <f ca="1">_xll.BDH($C$328,"SALES_GROWTH","FQ3 2018","FQ3 2018","Currency=INR","Period=FQ","BEST_FPERIOD_OVERRIDE=FQ","FILING_STATUS=OR","EQY_CONSOLIDATED=Y","FA_ADJUSTED=GAAP","Sort=A","Dates=H","DateFormat=P","Fill=—","Direction=H","UseDPDF=Y")</f>
        <v>#NAME?</v>
      </c>
      <c r="U351" s="2" t="e">
        <f ca="1">_xll.BDH($C$328,"EBITDA_GROWTH","FQ3 2018","FQ3 2018","Currency=INR","Period=FQ","BEST_FPERIOD_OVERRIDE=FQ","FILING_STATUS=OR","EQY_CONSOLIDATED=Y","FA_ADJUSTED=GAAP","Sort=A","Dates=H","DateFormat=P","Fill=—","Direction=H","UseDPDF=Y")</f>
        <v>#NAME?</v>
      </c>
      <c r="V351" s="2" t="e">
        <f ca="1">_xll.BDH($C$328,"OPER_INC_GROWTH","FQ3 2018","FQ3 2018","Currency=INR","Period=FQ","BEST_FPERIOD_OVERRIDE=FQ","FILING_STATUS=OR","EQY_CONSOLIDATED=Y","FA_ADJUSTED=GAAP","Sort=A","Dates=H","DateFormat=P","Fill=—","Direction=H","UseDPDF=Y")</f>
        <v>#NAME?</v>
      </c>
      <c r="W351" s="2" t="e">
        <f ca="1">_xll.BDH($C$328,"EARN_FOR_COM_GROWTH","FQ3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51" s="2" t="e">
        <f ca="1">_xll.BDH($C$328,"DILUTED_EPS_AFT_XO_ITEMS_GROWTH","FQ3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51" s="2" t="e">
        <f ca="1">_xll.BDH($C$328,"DIVIDEND_PER_SHARE_1_YEAR_GROWTH","FQ3 2018","FQ3 2018","Currency=INR","Period=FQ","BEST_FPERIOD_OVERRIDE=FQ","FILING_STATUS=OR","EQY_CONSOLIDATED=Y","Sort=A","Dates=H","DateFormat=P","Fill=—","Direction=H","UseDPDF=Y")</f>
        <v>#NAME?</v>
      </c>
      <c r="Z351" s="2" t="e">
        <f ca="1">_xll.BDH($C$328,"ACCOUNTS_RECEIVABLE_GROWTH","FQ3 2018","FQ3 2018","Currency=INR","Period=FQ","BEST_FPERIOD_OVERRIDE=FQ","FILING_STATUS=OR","EQY_CONSOLIDATED=Y","Sort=A","Dates=H","DateFormat=P","Fill=—","Direction=H","UseDPDF=Y")</f>
        <v>#NAME?</v>
      </c>
      <c r="AA351" s="2" t="e">
        <f ca="1">_xll.BDH($C$328,"INVENTORY_GROWTH","FQ3 2018","FQ3 2018","Currency=INR","Period=FQ","BEST_FPERIOD_OVERRIDE=FQ","FILING_STATUS=OR","EQY_CONSOLIDATED=Y","Sort=A","Dates=H","DateFormat=P","Fill=—","Direction=H","UseDPDF=Y")</f>
        <v>#NAME?</v>
      </c>
      <c r="AB351" s="2" t="e">
        <f ca="1">_xll.BDH($C$328,"NET_FIXED_ASSETS_1_YEAR_GROWTH","FQ3 2018","FQ3 2018","Currency=INR","Period=FQ","BEST_FPERIOD_OVERRIDE=FQ","FILING_STATUS=OR","EQY_CONSOLIDATED=Y","Sort=A","Dates=H","DateFormat=P","Fill=—","Direction=H","UseDPDF=Y")</f>
        <v>#NAME?</v>
      </c>
      <c r="AC351" s="2" t="e">
        <f ca="1">_xll.BDH($C$328,"ASSET_GROWTH","FQ3 2018","FQ3 2018","Currency=INR","Period=FQ","BEST_FPERIOD_OVERRIDE=FQ","FILING_STATUS=OR","EQY_CONSOLIDATED=Y","Sort=A","Dates=H","DateFormat=P","Fill=—","Direction=H","UseDPDF=Y")</f>
        <v>#NAME?</v>
      </c>
      <c r="AD351" s="2" t="e">
        <f ca="1">_xll.BDH($C$328,"MODIFIED_WORK_CAP_GROWTH","FQ3 2018","FQ3 2018","Currency=INR","Period=FQ","BEST_FPERIOD_OVERRIDE=FQ","FILING_STATUS=OR","EQY_CONSOLIDATED=Y","Sort=A","Dates=H","DateFormat=P","Fill=—","Direction=H","UseDPDF=Y")</f>
        <v>#NAME?</v>
      </c>
      <c r="AE351" s="2" t="e">
        <f ca="1">_xll.BDH($C$328,"WORK_CAP_GROWTH","FQ3 2018","FQ3 2018","Currency=INR","Period=FQ","BEST_FPERIOD_OVERRIDE=FQ","FILING_STATUS=OR","EQY_CONSOLIDATED=Y","Sort=A","Dates=H","DateFormat=P","Fill=—","Direction=H","UseDPDF=Y")</f>
        <v>#NAME?</v>
      </c>
      <c r="AF351" s="2" t="e">
        <f ca="1">_xll.BDH($C$328,"ACCOUNTS_PAYABLE_GROWTH_1YR","FQ3 2018","FQ3 2018","Currency=INR","Period=FQ","BEST_FPERIOD_OVERRIDE=FQ","FILING_STATUS=OR","EQY_CONSOLIDATED=Y","Sort=A","Dates=H","DateFormat=P","Fill=—","Direction=H","UseDPDF=Y")</f>
        <v>#NAME?</v>
      </c>
      <c r="AG351" s="2" t="e">
        <f ca="1">_xll.BDH($C$328,"SHORT_TERM_DEBT_1_YEAR_GROWTH","FQ3 2018","FQ3 2018","Currency=INR","Period=FQ","BEST_FPERIOD_OVERRIDE=FQ","FILING_STATUS=OR","EQY_CONSOLIDATED=Y","Sort=A","Dates=H","DateFormat=P","Fill=—","Direction=H","UseDPDF=Y")</f>
        <v>#NAME?</v>
      </c>
      <c r="AH351" s="2" t="e">
        <f ca="1">_xll.BDH($C$328,"TOTAL_DEBT_1_YEAR_GROWTH","FQ3 2018","FQ3 2018","Currency=INR","Period=FQ","BEST_FPERIOD_OVERRIDE=FQ","FILING_STATUS=OR","EQY_CONSOLIDATED=Y","Sort=A","Dates=H","DateFormat=P","Fill=—","Direction=H","UseDPDF=Y")</f>
        <v>#NAME?</v>
      </c>
      <c r="AI351" s="2" t="e">
        <f ca="1">_xll.BDH($C$328,"TOTAL_EQUITY_1_YEAR_GROWTH","FQ3 2018","FQ3 2018","Currency=INR","Period=FQ","BEST_FPERIOD_OVERRIDE=FQ","FILING_STATUS=OR","EQY_CONSOLIDATED=Y","Sort=A","Dates=H","DateFormat=P","Fill=—","Direction=H","UseDPDF=Y")</f>
        <v>#NAME?</v>
      </c>
      <c r="AJ351" s="2" t="e">
        <f ca="1">_xll.BDH($C$328,"GROWTH_IN_CAP","FQ3 2018","FQ3 2018","Currency=INR","Period=FQ","BEST_FPERIOD_OVERRIDE=FQ","FILING_STATUS=OR","EQY_CONSOLIDATED=Y","Sort=A","Dates=H","DateFormat=P","Fill=—","Direction=H","UseDPDF=Y")</f>
        <v>#NAME?</v>
      </c>
      <c r="AK351" s="2" t="e">
        <f ca="1">_xll.BDH($C$328,"BVPS_GROWTH","FQ3 2018","FQ3 2018","Currency=INR","Period=FQ","BEST_FPERIOD_OVERRIDE=FQ","FILING_STATUS=OR","EQY_CONSOLIDATED=Y","Sort=A","Dates=H","DateFormat=P","Fill=—","Direction=H","UseDPDF=Y")</f>
        <v>#NAME?</v>
      </c>
      <c r="AL351" s="2" t="e">
        <f ca="1">_xll.BDH($C$328,"CASH_FLOW_GROWTH","FQ3 2018","FQ3 2018","Currency=INR","Period=FQ","BEST_FPERIOD_OVERRIDE=FQ","FILING_STATUS=OR","EQY_CONSOLIDATED=Y","Sort=A","Dates=H","DateFormat=P","Fill=—","Direction=H","UseDPDF=Y")</f>
        <v>#NAME?</v>
      </c>
      <c r="AM351" s="2" t="e">
        <f ca="1">_xll.BDH($C$328,"GEO_GROW_NET_SALES","FQ3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51" s="2" t="e">
        <f ca="1">_xll.BDH($C$328,"GEO_GROW_EBITDA","FQ3 2018","FQ3 2018","Currency=INR","Period=FQ","BEST_FPERIOD_OVERRIDE=FQ","FILING_STATUS=OR","EQY_CONSOLIDATED=Y","FA_ADJUSTED=GAAP","Sort=A","Dates=H","DateFormat=P","Fill=—","Direction=H","UseDPDF=Y")</f>
        <v>#NAME?</v>
      </c>
      <c r="AO351" s="2" t="e">
        <f ca="1">_xll.BDH($C$328,"GEO_GROW_OPER_INC","FQ3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51" s="2" t="e">
        <f ca="1">_xll.BDH($C$328,"NET_INCOME_TO_COMMON_5_YR_GROWTH","FQ3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51" s="2" t="e">
        <f ca="1">_xll.BDH($C$328,"5Y_GEO_GROWTH_DILUTED_EPS","FQ3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51" s="2" t="e">
        <f ca="1">_xll.BDH($C$328,"GEO_GROW_DVD_PER_SH","FQ3 2018","FQ3 2018","Currency=INR","Period=FQ","BEST_FPERIOD_OVERRIDE=FQ","FILING_STATUS=OR","EQY_CONSOLIDATED=Y","Sort=A","Dates=H","DateFormat=P","Fill=—","Direction=H","UseDPDF=Y")</f>
        <v>#NAME?</v>
      </c>
      <c r="AS351" s="2" t="e">
        <f ca="1">_xll.BDH($C$328,"ACCOUNTS_RECEIVABLE_5_YR_GROWTH","FQ3 2018","FQ3 2018","Currency=INR","Period=FQ","BEST_FPERIOD_OVERRIDE=FQ","FILING_STATUS=OR","EQY_CONSOLIDATED=Y","Sort=A","Dates=H","DateFormat=P","Fill=—","Direction=H","UseDPDF=Y")</f>
        <v>#NAME?</v>
      </c>
      <c r="AT351" s="2" t="e">
        <f ca="1">_xll.BDH($C$328,"INVENTORY_5_YEAR_GROWTH","FQ3 2018","FQ3 2018","Currency=INR","Period=FQ","BEST_FPERIOD_OVERRIDE=FQ","FILING_STATUS=OR","EQY_CONSOLIDATED=Y","Sort=A","Dates=H","DateFormat=P","Fill=—","Direction=H","UseDPDF=Y")</f>
        <v>#NAME?</v>
      </c>
      <c r="AU351" s="2" t="e">
        <f ca="1">_xll.BDH($C$328,"NET_FIXED_ASSETS_5_YEAR_GROWTH","FQ3 2018","FQ3 2018","Currency=INR","Period=FQ","BEST_FPERIOD_OVERRIDE=FQ","FILING_STATUS=OR","EQY_CONSOLIDATED=Y","Sort=A","Dates=H","DateFormat=P","Fill=—","Direction=H","UseDPDF=Y")</f>
        <v>#NAME?</v>
      </c>
      <c r="AV351" s="2" t="e">
        <f ca="1">_xll.BDH($C$328,"GEO_GROW_TOT_ASSET","FQ3 2018","FQ3 2018","Currency=INR","Period=FQ","BEST_FPERIOD_OVERRIDE=FQ","FILING_STATUS=OR","EQY_CONSOLIDATED=Y","Sort=A","Dates=H","DateFormat=P","Fill=—","Direction=H","UseDPDF=Y")</f>
        <v>#NAME?</v>
      </c>
      <c r="AW351" s="2" t="e">
        <f ca="1">_xll.BDH($C$328,"MODIFIED_WORKING_CPTL_5YR_GRWTH","FQ3 2018","FQ3 2018","Currency=INR","Period=FQ","BEST_FPERIOD_OVERRIDE=FQ","FILING_STATUS=OR","EQY_CONSOLIDATED=Y","Sort=A","Dates=H","DateFormat=P","Fill=—","Direction=H","UseDPDF=Y")</f>
        <v>#NAME?</v>
      </c>
      <c r="AX351" s="2" t="e">
        <f ca="1">_xll.BDH($C$328,"WORKING_CAPITAL_5_YEAR_GROWTH","FQ3 2018","FQ3 2018","Currency=INR","Period=FQ","BEST_FPERIOD_OVERRIDE=FQ","FILING_STATUS=OR","EQY_CONSOLIDATED=Y","Sort=A","Dates=H","DateFormat=P","Fill=—","Direction=H","UseDPDF=Y")</f>
        <v>#NAME?</v>
      </c>
      <c r="AY351" s="2" t="e">
        <f ca="1">_xll.BDH($C$328,"ACCOUNTS_PAYABLE_5_YEAR_GROWTH","FQ3 2018","FQ3 2018","Currency=INR","Period=FQ","BEST_FPERIOD_OVERRIDE=FQ","FILING_STATUS=OR","EQY_CONSOLIDATED=Y","Sort=A","Dates=H","DateFormat=P","Fill=—","Direction=H","UseDPDF=Y")</f>
        <v>#NAME?</v>
      </c>
      <c r="AZ351" s="2" t="e">
        <f ca="1">_xll.BDH($C$328,"SHORT_TERM_DEBT_5_YEAR_GROWTH","FQ3 2018","FQ3 2018","Currency=INR","Period=FQ","BEST_FPERIOD_OVERRIDE=FQ","FILING_STATUS=OR","EQY_CONSOLIDATED=Y","Sort=A","Dates=H","DateFormat=P","Fill=—","Direction=H","UseDPDF=Y")</f>
        <v>#NAME?</v>
      </c>
      <c r="BA351" s="2" t="e">
        <f ca="1">_xll.BDH($C$328,"TOTAL_DEBT_5_YEAR_GROWTH","FQ3 2018","FQ3 2018","Currency=INR","Period=FQ","BEST_FPERIOD_OVERRIDE=FQ","FILING_STATUS=OR","EQY_CONSOLIDATED=Y","Sort=A","Dates=H","DateFormat=P","Fill=—","Direction=H","UseDPDF=Y")</f>
        <v>#NAME?</v>
      </c>
      <c r="BB351" s="2" t="e">
        <f ca="1">_xll.BDH($C$328,"GEO_GROW_TOT_SHRHLDR_EQY","FQ3 2018","FQ3 2018","Currency=INR","Period=FQ","BEST_FPERIOD_OVERRIDE=FQ","FILING_STATUS=OR","EQY_CONSOLIDATED=Y","Sort=A","Dates=H","DateFormat=P","Fill=—","Direction=H","UseDPDF=Y")</f>
        <v>#NAME?</v>
      </c>
      <c r="BC351" s="2" t="e">
        <f ca="1">_xll.BDH($C$328,"TOTAL_CAPITAL_5_YEAR_GROWTH","FQ3 2018","FQ3 2018","Currency=INR","Period=FQ","BEST_FPERIOD_OVERRIDE=FQ","FILING_STATUS=OR","EQY_CONSOLIDATED=Y","Sort=A","Dates=H","DateFormat=P","Fill=—","Direction=H","UseDPDF=Y")</f>
        <v>#NAME?</v>
      </c>
      <c r="BD351" s="2" t="e">
        <f ca="1">_xll.BDH($C$328,"GEO_GROW_BOOK_VAL","FQ3 2018","FQ3 2018","Currency=INR","Period=FQ","BEST_FPERIOD_OVERRIDE=FQ","FILING_STATUS=OR","EQY_CONSOLIDATED=Y","Sort=A","Dates=H","DateFormat=P","Fill=—","Direction=H","UseDPDF=Y")</f>
        <v>#NAME?</v>
      </c>
      <c r="BE351" s="2" t="e">
        <f ca="1">_xll.BDH($C$328,"GEO_GROW_CASH_OPER_ACT","FQ3 2018","FQ3 2018","Currency=INR","Period=FQ","BEST_FPERIOD_OVERRIDE=FQ","FILING_STATUS=OR","EQY_CONSOLIDATED=Y","Sort=A","Dates=H","DateFormat=P","Fill=—","Direction=H","UseDPDF=Y")</f>
        <v>#NAME?</v>
      </c>
      <c r="BF351" s="2" t="e">
        <f ca="1">_xll.BDH($C$328,"REVENUE_SEQUENTIAL_GROWTH","FQ3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51" s="2" t="e">
        <f ca="1">_xll.BDH($C$328,"EBITDA_SEQUENTIAL_GROWTH","FQ3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51" s="2" t="e">
        <f ca="1">_xll.BDH($C$328,"OPERATING_INCOME_SEQ_GROWTH","FQ3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51" s="2" t="e">
        <f ca="1">_xll.BDH($C$328,"NET_INCOME_TO_COMMON_SEQ_GROWTH","FQ3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51" s="2" t="e">
        <f ca="1">_xll.BDH($C$328,"EPS_DILUTED_SEQUENTIAL_GROWTH","FQ3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51" s="2" t="e">
        <f ca="1">_xll.BDH($C$328,"DPS_SEQUENTIAL_GROWTH","FQ3 2018","FQ3 2018","Currency=INR","Period=FQ","BEST_FPERIOD_OVERRIDE=FQ","FILING_STATUS=OR","EQY_CONSOLIDATED=Y","Sort=A","Dates=H","DateFormat=P","Fill=—","Direction=H","UseDPDF=Y")</f>
        <v>#NAME?</v>
      </c>
      <c r="BL351" s="2" t="e">
        <f ca="1">_xll.BDH($C$328,"ACCOUNTS_RECEIVABLE_SEQ_GROWTH","FQ3 2018","FQ3 2018","Currency=INR","Period=FQ","BEST_FPERIOD_OVERRIDE=FQ","FILING_STATUS=OR","EQY_CONSOLIDATED=Y","Sort=A","Dates=H","DateFormat=P","Fill=—","Direction=H","UseDPDF=Y")</f>
        <v>#NAME?</v>
      </c>
      <c r="BM351" s="2" t="e">
        <f ca="1">_xll.BDH($C$328,"INVENTORY_SEQUENTIAL_GROWTH","FQ3 2018","FQ3 2018","Currency=INR","Period=FQ","BEST_FPERIOD_OVERRIDE=FQ","FILING_STATUS=OR","EQY_CONSOLIDATED=Y","Sort=A","Dates=H","DateFormat=P","Fill=—","Direction=H","UseDPDF=Y")</f>
        <v>#NAME?</v>
      </c>
      <c r="BN351" s="2" t="e">
        <f ca="1">_xll.BDH($C$328,"FIXED_ASSETS_SEQUENTIAL_GROWTH","FQ3 2018","FQ3 2018","Currency=INR","Period=FQ","BEST_FPERIOD_OVERRIDE=FQ","FILING_STATUS=OR","EQY_CONSOLIDATED=Y","Sort=A","Dates=H","DateFormat=P","Fill=—","Direction=H","UseDPDF=Y")</f>
        <v>#NAME?</v>
      </c>
      <c r="BO351" s="2" t="e">
        <f ca="1">_xll.BDH($C$328,"TOTAL_ASSETS_SEQUENTIAL_GROWTH","FQ3 2018","FQ3 2018","Currency=INR","Period=FQ","BEST_FPERIOD_OVERRIDE=FQ","FILING_STATUS=OR","EQY_CONSOLIDATED=Y","Sort=A","Dates=H","DateFormat=P","Fill=—","Direction=H","UseDPDF=Y")</f>
        <v>#NAME?</v>
      </c>
      <c r="BP351" s="2" t="e">
        <f ca="1">_xll.BDH($C$328,"MODIFIED_WORKING_CPTL_SEQ_GRWTH","FQ3 2018","FQ3 2018","Currency=INR","Period=FQ","BEST_FPERIOD_OVERRIDE=FQ","FILING_STATUS=OR","EQY_CONSOLIDATED=Y","Sort=A","Dates=H","DateFormat=P","Fill=—","Direction=H","UseDPDF=Y")</f>
        <v>#NAME?</v>
      </c>
      <c r="BQ351" s="2" t="e">
        <f ca="1">_xll.BDH($C$328,"WORKING_CAPITAL_SEQ_GROWTH","FQ3 2018","FQ3 2018","Currency=INR","Period=FQ","BEST_FPERIOD_OVERRIDE=FQ","FILING_STATUS=OR","EQY_CONSOLIDATED=Y","Sort=A","Dates=H","DateFormat=P","Fill=—","Direction=H","UseDPDF=Y")</f>
        <v>#NAME?</v>
      </c>
      <c r="BR351" s="2" t="e">
        <f ca="1">_xll.BDH($C$328,"ACCOUNTS_PAYABLE_SEQ_GROWTH","FQ3 2018","FQ3 2018","Currency=INR","Period=FQ","BEST_FPERIOD_OVERRIDE=FQ","FILING_STATUS=OR","EQY_CONSOLIDATED=Y","Sort=A","Dates=H","DateFormat=P","Fill=—","Direction=H","UseDPDF=Y")</f>
        <v>#NAME?</v>
      </c>
      <c r="BS351" s="2" t="e">
        <f ca="1">_xll.BDH($C$328,"ST_DEBT_SEQUENTIAL_GROWTH","FQ3 2018","FQ3 2018","Currency=INR","Period=FQ","BEST_FPERIOD_OVERRIDE=FQ","FILING_STATUS=OR","EQY_CONSOLIDATED=Y","Sort=A","Dates=H","DateFormat=P","Fill=—","Direction=H","UseDPDF=Y")</f>
        <v>#NAME?</v>
      </c>
      <c r="BT351" s="2" t="e">
        <f ca="1">_xll.BDH($C$328,"TOTAL_DEBT_SEQUENTIAL_GROWTH","FQ3 2018","FQ3 2018","Currency=INR","Period=FQ","BEST_FPERIOD_OVERRIDE=FQ","FILING_STATUS=OR","EQY_CONSOLIDATED=Y","Sort=A","Dates=H","DateFormat=P","Fill=—","Direction=H","UseDPDF=Y")</f>
        <v>#NAME?</v>
      </c>
      <c r="BU351" s="2" t="e">
        <f ca="1">_xll.BDH($C$328,"TOTAL_EQUITY_SEQUENTIAL_GROWTH","FQ3 2018","FQ3 2018","Currency=INR","Period=FQ","BEST_FPERIOD_OVERRIDE=FQ","FILING_STATUS=OR","EQY_CONSOLIDATED=Y","Sort=A","Dates=H","DateFormat=P","Fill=—","Direction=H","UseDPDF=Y")</f>
        <v>#NAME?</v>
      </c>
      <c r="BV351" s="2" t="e">
        <f ca="1">_xll.BDH($C$328,"TOTAL_CAPITAL_SEQUENTIAL_GROWTH","FQ3 2018","FQ3 2018","Currency=INR","Period=FQ","BEST_FPERIOD_OVERRIDE=FQ","FILING_STATUS=OR","EQY_CONSOLIDATED=Y","Sort=A","Dates=H","DateFormat=P","Fill=—","Direction=H","UseDPDF=Y")</f>
        <v>#NAME?</v>
      </c>
      <c r="BW351" s="2" t="e">
        <f ca="1">_xll.BDH($C$328,"BPS_SEQUENTIAL_GROWTH","FQ3 2018","FQ3 2018","Currency=INR","Period=FQ","BEST_FPERIOD_OVERRIDE=FQ","FILING_STATUS=OR","EQY_CONSOLIDATED=Y","Sort=A","Dates=H","DateFormat=P","Fill=—","Direction=H","UseDPDF=Y")</f>
        <v>#NAME?</v>
      </c>
      <c r="BX351" s="2" t="e">
        <f ca="1">_xll.BDH($C$328,"CFO_SEQUENTIAL_GROWTH","FQ3 2018","FQ3 2018","Currency=INR","Period=FQ","BEST_FPERIOD_OVERRIDE=FQ","FILING_STATUS=OR","EQY_CONSOLIDATED=Y","Sort=A","Dates=H","DateFormat=P","Fill=—","Direction=H","UseDPDF=Y")</f>
        <v>#NAME?</v>
      </c>
      <c r="BY351" s="3" t="e">
        <f ca="1">_xll.BDH($C$328,"SHORT_AND_LONG_TERM_DEBT","FQ3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51" s="3" t="e">
        <f ca="1">_xll.BDH($C$328,"BS_ST_BORROW","FQ3 2018","FQ3 2018","Currency=INR","Period=FQ","BEST_FPERIOD_OVERRIDE=FQ","FILING_STATUS=OR","EQY_CONSOLIDATED=Y","SCALING_FORMAT=MLN","Sort=A","Dates=H","DateFormat=P","Fill=—","Direction=H","UseDPDF=Y")</f>
        <v>#NAME?</v>
      </c>
      <c r="CA351" s="3" t="e">
        <f ca="1">_xll.BDH($C$328,"BS_LT_BORROW","FQ3 2018","FQ3 2018","Currency=INR","Period=FQ","BEST_FPERIOD_OVERRIDE=FQ","FILING_STATUS=OR","EQY_CONSOLIDATED=Y","SCALING_FORMAT=MLN","Sort=A","Dates=H","DateFormat=P","Fill=—","Direction=H","UseDPDF=Y")</f>
        <v>#NAME?</v>
      </c>
      <c r="CB351" s="2" t="e">
        <f ca="1">_xll.BDH($C$328,"TOT_DEBT_TO_EBITDA","FQ3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51" s="2" t="e">
        <f ca="1">_xll.BDH($C$328,"NET_DEBT_TO_EBITDA","FQ3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51" s="2" t="e">
        <f ca="1">_xll.BDH($C$328,"TOTAL_DEBT_TO_EBIT","FQ3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51" s="2" t="e">
        <f ca="1">_xll.BDH($C$328,"NET_DEBT_TO_EBIT","FQ3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351" s="2" t="e">
        <f ca="1">_xll.BDH($C$328,"EBITDA_TO_INTEREST_EXPN","FQ3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51" s="2" t="e">
        <f ca="1">_xll.BDH($C$328,"COM_EQY_TO_TOT_ASSET","FQ3 2018","FQ3 2018","Currency=INR","Period=FQ","BEST_FPERIOD_OVERRIDE=FQ","FILING_STATUS=OR","EQY_CONSOLIDATED=Y","Sort=A","Dates=H","DateFormat=P","Fill=—","Direction=H","UseDPDF=Y")</f>
        <v>#NAME?</v>
      </c>
      <c r="CH351" s="2" t="e">
        <f ca="1">_xll.BDH($C$328,"LT_DEBT_TO_TOT_EQY","FQ3 2018","FQ3 2018","Currency=INR","Period=FQ","BEST_FPERIOD_OVERRIDE=FQ","FILING_STATUS=OR","EQY_CONSOLIDATED=Y","Sort=A","Dates=H","DateFormat=P","Fill=—","Direction=H","UseDPDF=Y")</f>
        <v>#NAME?</v>
      </c>
      <c r="CI351" s="2" t="e">
        <f ca="1">_xll.BDH($C$328,"LT_DEBT_TO_TOT_CAP","FQ3 2018","FQ3 2018","Currency=INR","Period=FQ","BEST_FPERIOD_OVERRIDE=FQ","FILING_STATUS=OR","EQY_CONSOLIDATED=Y","Sort=A","Dates=H","DateFormat=P","Fill=—","Direction=H","UseDPDF=Y")</f>
        <v>#NAME?</v>
      </c>
      <c r="CJ351" s="2" t="e">
        <f ca="1">_xll.BDH($C$328,"LT_DEBT_TO_TOT_ASSET","FQ3 2018","FQ3 2018","Currency=INR","Period=FQ","BEST_FPERIOD_OVERRIDE=FQ","FILING_STATUS=OR","EQY_CONSOLIDATED=Y","Sort=A","Dates=H","DateFormat=P","Fill=—","Direction=H","UseDPDF=Y")</f>
        <v>#NAME?</v>
      </c>
      <c r="CK351" s="2" t="e">
        <f ca="1">_xll.BDH($C$328,"TOT_DEBT_TO_TOT_EQY","FQ3 2018","FQ3 2018","Currency=INR","Period=FQ","BEST_FPERIOD_OVERRIDE=FQ","FILING_STATUS=OR","EQY_CONSOLIDATED=Y","Sort=A","Dates=H","DateFormat=P","Fill=—","Direction=H","UseDPDF=Y")</f>
        <v>#NAME?</v>
      </c>
      <c r="CL351" s="2" t="e">
        <f ca="1">_xll.BDH($C$328,"TOT_DEBT_TO_TOT_CAP","FQ3 2018","FQ3 2018","Currency=INR","Period=FQ","BEST_FPERIOD_OVERRIDE=FQ","FILING_STATUS=OR","EQY_CONSOLIDATED=Y","Sort=A","Dates=H","DateFormat=P","Fill=—","Direction=H","UseDPDF=Y")</f>
        <v>#NAME?</v>
      </c>
      <c r="CM351" s="2" t="e">
        <f ca="1">_xll.BDH($C$328,"TOT_DEBT_TO_TOT_ASSET","FQ3 2018","FQ3 2018","Currency=INR","Period=FQ","BEST_FPERIOD_OVERRIDE=FQ","FILING_STATUS=OR","EQY_CONSOLIDATED=Y","Sort=A","Dates=H","DateFormat=P","Fill=—","Direction=H","UseDPDF=Y")</f>
        <v>#NAME?</v>
      </c>
      <c r="CN351" s="2" t="e">
        <f ca="1">_xll.BDH($C$328,"NET_DEBT_TO_SHRHLDR_EQTY","FQ3 2018","FQ3 2018","Currency=INR","Period=FQ","BEST_FPERIOD_OVERRIDE=FQ","FILING_STATUS=OR","EQY_CONSOLIDATED=Y","Sort=A","Dates=H","DateFormat=P","Fill=—","Direction=H","UseDPDF=Y")</f>
        <v>#NAME?</v>
      </c>
      <c r="CO351" s="2" t="e">
        <f ca="1">_xll.BDH($C$328,"NET_DEBT_%_CAPITAL","FQ3 2018","FQ3 2018","Currency=INR","Period=FQ","BEST_FPERIOD_OVERRIDE=FQ","FILING_STATUS=OR","EQY_CONSOLIDATED=Y","Sort=A","Dates=H","DateFormat=P","Fill=—","Direction=H","UseDPDF=Y")</f>
        <v>#NAME?</v>
      </c>
      <c r="CP351" s="3" t="e">
        <f ca="1">_xll.BDH($C$328,"EBITDA","FQ3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51" s="3" t="e">
        <f ca="1">_xll.BDH($C$328,"EBITDA_AFTER_CAPEX","FQ3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51" s="3" t="e">
        <f ca="1">_xll.BDH($C$328,"IS_OPER_INC","FQ3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51" s="2" t="e">
        <f ca="1">_xll.BDH($C$328,"CASH_RATIO","FQ3 2018","FQ3 2018","Currency=INR","Period=FQ","BEST_FPERIOD_OVERRIDE=FQ","FILING_STATUS=OR","EQY_CONSOLIDATED=Y","Sort=A","Dates=H","DateFormat=P","Fill=—","Direction=H","UseDPDF=Y")</f>
        <v>#NAME?</v>
      </c>
      <c r="CT351" s="2" t="e">
        <f ca="1">_xll.BDH($C$328,"CUR_RATIO","FQ3 2018","FQ3 2018","Currency=INR","Period=FQ","BEST_FPERIOD_OVERRIDE=FQ","FILING_STATUS=OR","EQY_CONSOLIDATED=Y","Sort=A","Dates=H","DateFormat=P","Fill=—","Direction=H","UseDPDF=Y")</f>
        <v>#NAME?</v>
      </c>
      <c r="CU351" s="2" t="e">
        <f ca="1">_xll.BDH($C$328,"QUICK_RATIO","FQ3 2018","FQ3 2018","Currency=INR","Period=FQ","BEST_FPERIOD_OVERRIDE=FQ","FILING_STATUS=OR","EQY_CONSOLIDATED=Y","Sort=A","Dates=H","DateFormat=P","Fill=—","Direction=H","UseDPDF=Y")</f>
        <v>#NAME?</v>
      </c>
      <c r="CV351" s="2" t="e">
        <f ca="1">_xll.BDH($C$328,"ALTMAN_Z_SCORE","FQ3 2018","FQ3 2018","Currency=INR","Period=FQ","BEST_FPERIOD_OVERRIDE=FQ","FILING_STATUS=OR","EQY_CONSOLIDATED=Y","Sort=A","Dates=H","DateFormat=P","Fill=—","Direction=H","UseDPDF=Y")</f>
        <v>#NAME?</v>
      </c>
      <c r="CW351" s="4" t="e">
        <f ca="1">_xll.BDH($C$328,"ACCT_RCV_TURN","FQ3 2018","FQ3 2018","Currency=INR","Period=FQ","BEST_FPERIOD_OVERRIDE=FQ","FILING_STATUS=OR","EQY_CONSOLIDATED=Y","FA_ADJUSTED=GAAP","Sort=A","Dates=H","DateFormat=P","Fill=—","Direction=H","UseDPDF=Y")</f>
        <v>#NAME?</v>
      </c>
      <c r="CX351" s="2" t="e">
        <f ca="1">_xll.BDH($C$328,"ACCT_RCV_DAYS","FQ3 2018","FQ3 2018","Currency=INR","Period=FQ","BEST_FPERIOD_OVERRIDE=FQ","FILING_STATUS=OR","EQY_CONSOLIDATED=Y","FA_ADJUSTED=GAAP","Sort=A","Dates=H","DateFormat=P","Fill=—","Direction=H","UseDPDF=Y")</f>
        <v>#NAME?</v>
      </c>
      <c r="CY351" s="4" t="e">
        <f ca="1">_xll.BDH($C$328,"INVENT_TURN","FQ3 2018","FQ3 2018","Currency=INR","Period=FQ","BEST_FPERIOD_OVERRIDE=FQ","FILING_STATUS=OR","EQY_CONSOLIDATED=Y","FA_ADJUSTED=GAAP","Sort=A","Dates=H","DateFormat=P","Fill=—","Direction=H","UseDPDF=Y")</f>
        <v>#NAME?</v>
      </c>
      <c r="CZ351" s="2" t="e">
        <f ca="1">_xll.BDH($C$328,"INVENT_DAYS","FQ3 2018","FQ3 2018","Currency=INR","Period=FQ","BEST_FPERIOD_OVERRIDE=FQ","FILING_STATUS=OR","EQY_CONSOLIDATED=Y","FA_ADJUSTED=GAAP","Sort=A","Dates=H","DateFormat=P","Fill=—","Direction=H","UseDPDF=Y")</f>
        <v>#NAME?</v>
      </c>
      <c r="DA351" s="4" t="e">
        <f ca="1">_xll.BDH($C$328,"ACCOUNTS_PAYABLE_TURNOVER","FQ3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51" s="2" t="e">
        <f ca="1">_xll.BDH($C$328,"ACCOUNTS_PAYABLE_TURNOVER_DAYS","FQ3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51" s="4" t="e">
        <f ca="1">_xll.BDH($C$328,"CASH_CONVERSION_CYCLE","FQ3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51" s="4" t="e">
        <f ca="1">_xll.BDH($C$328,"INV_TO_CASH_DAYS","FQ3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351" s="5" t="e">
        <f ca="1">_xll.BDH($C$328,"BS_INVENTORIES","FQ3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351" s="3" t="e">
        <f ca="1">_xll.BDH($C$328,"INVTRY_RAW_MATERIALS","FQ3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51" s="3" t="e">
        <f ca="1">_xll.BDH($C$328,"INVTRY_IN_PROGRESS","FQ3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51" s="3" t="e">
        <f ca="1">_xll.BDH($C$328,"INVTRY_FINISHED_GOODS","FQ3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51" s="3" t="e">
        <f ca="1">_xll.BDH($C$328,"BS_OTHER_INV","FQ3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52" spans="1:113" x14ac:dyDescent="0.3">
      <c r="A352" s="6"/>
      <c r="B352" s="6"/>
      <c r="C352" s="6"/>
      <c r="D352" s="6"/>
      <c r="E352" t="s">
        <v>81</v>
      </c>
      <c r="F352" t="e">
        <f ca="1">_xll.BDH($C$328,"RETURN_COM_EQY","FQ4 2018","FQ4 2018","Currency=INR","Period=FQ","BEST_FPERIOD_OVERRIDE=FQ","FILING_STATUS=OR","EQY_CONSOLIDATED=Y","FA_ADJUSTED=GAAP","Sort=A","Dates=H","DateFormat=P","Fill=—","Direction=H","UseDPDF=Y")</f>
        <v>#NAME?</v>
      </c>
      <c r="G352" t="e">
        <f ca="1">_xll.BDH($C$328,"RETURN_ON_ASSET","FQ4 2018","FQ4 2018","Currency=INR","Period=FQ","BEST_FPERIOD_OVERRIDE=FQ","FILING_STATUS=OR","EQY_CONSOLIDATED=Y","FA_ADJUSTED=GAAP","Sort=A","Dates=H","DateFormat=P","Fill=—","Direction=H","UseDPDF=Y")</f>
        <v>#NAME?</v>
      </c>
      <c r="H352" t="e">
        <f ca="1">_xll.BDH($C$328,"RETURN_ON_CAP","FQ4 2018","FQ4 2018","Currency=INR","Period=FQ","BEST_FPERIOD_OVERRIDE=FQ","FILING_STATUS=OR","EQY_CONSOLIDATED=Y","FA_ADJUSTED=GAAP","Sort=A","Dates=H","DateFormat=P","Fill=—","Direction=H","UseDPDF=Y")</f>
        <v>#NAME?</v>
      </c>
      <c r="I352" t="e">
        <f ca="1">_xll.BDH($C$328,"RETURN_ON_INV_CAPITAL","FQ4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52" t="e">
        <f ca="1">_xll.BDH($C$328,"EBITDA_TO_REVENUE","FQ4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352" t="e">
        <f ca="1">_xll.BDH($C$328,"OPER_MARGIN","FQ4 2018","FQ4 2018","Currency=INR","Period=FQ","BEST_FPERIOD_OVERRIDE=FQ","FILING_STATUS=OR","EQY_CONSOLIDATED=Y","FA_ADJUSTED=GAAP","Sort=A","Dates=H","DateFormat=P","Fill=—","Direction=H","UseDPDF=Y")</f>
        <v>#NAME?</v>
      </c>
      <c r="L352" t="e">
        <f ca="1">_xll.BDH($C$328,"INCREMENTAL_OPERATING_MARGIN","FQ4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52" t="e">
        <f ca="1">_xll.BDH($C$328,"PRETAX_INC_TO_NET_SALES","FQ4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52" t="e">
        <f ca="1">_xll.BDH($C$328,"INC_BEF_XO_ITEMS_TO_NET_SALES","FQ4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52" t="e">
        <f ca="1">_xll.BDH($C$328,"PROF_MARGIN","FQ4 2018","FQ4 2018","Currency=INR","Period=FQ","BEST_FPERIOD_OVERRIDE=FQ","FILING_STATUS=OR","EQY_CONSOLIDATED=Y","FA_ADJUSTED=GAAP","Sort=A","Dates=H","DateFormat=P","Fill=—","Direction=H","UseDPDF=Y")</f>
        <v>#NAME?</v>
      </c>
      <c r="P352" t="e">
        <f ca="1">_xll.BDH($C$328,"NET_INCOME_TO_COMMON_MARGIN","FQ4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52" t="e">
        <f ca="1">_xll.BDH($C$328,"EFF_TAX_RATE","FQ4 2018","FQ4 2018","Currency=INR","Period=FQ","BEST_FPERIOD_OVERRIDE=FQ","FILING_STATUS=OR","EQY_CONSOLIDATED=Y","FA_ADJUSTED=GAAP","Sort=A","Dates=H","DateFormat=P","Fill=—","Direction=H","UseDPDF=Y")</f>
        <v>#NAME?</v>
      </c>
      <c r="R352" t="e">
        <f ca="1">_xll.BDH($C$328,"DVD_PAYOUT_RATIO","FQ4 2018","FQ4 2018","Currency=INR","Period=FQ","BEST_FPERIOD_OVERRIDE=FQ","FILING_STATUS=OR","EQY_CONSOLIDATED=Y","FA_ADJUSTED=GAAP","Sort=A","Dates=H","DateFormat=P","Fill=—","Direction=H","UseDPDF=Y")</f>
        <v>#NAME?</v>
      </c>
      <c r="S352" t="e">
        <f ca="1">_xll.BDH($C$328,"SUSTAIN_GROWTH_RT","FQ4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352" s="2" t="e">
        <f ca="1">_xll.BDH($C$328,"SALES_GROWTH","FQ4 2018","FQ4 2018","Currency=INR","Period=FQ","BEST_FPERIOD_OVERRIDE=FQ","FILING_STATUS=OR","EQY_CONSOLIDATED=Y","FA_ADJUSTED=GAAP","Sort=A","Dates=H","DateFormat=P","Fill=—","Direction=H","UseDPDF=Y")</f>
        <v>#NAME?</v>
      </c>
      <c r="U352" s="2" t="e">
        <f ca="1">_xll.BDH($C$328,"EBITDA_GROWTH","FQ4 2018","FQ4 2018","Currency=INR","Period=FQ","BEST_FPERIOD_OVERRIDE=FQ","FILING_STATUS=OR","EQY_CONSOLIDATED=Y","FA_ADJUSTED=GAAP","Sort=A","Dates=H","DateFormat=P","Fill=—","Direction=H","UseDPDF=Y")</f>
        <v>#NAME?</v>
      </c>
      <c r="V352" s="2" t="e">
        <f ca="1">_xll.BDH($C$328,"OPER_INC_GROWTH","FQ4 2018","FQ4 2018","Currency=INR","Period=FQ","BEST_FPERIOD_OVERRIDE=FQ","FILING_STATUS=OR","EQY_CONSOLIDATED=Y","FA_ADJUSTED=GAAP","Sort=A","Dates=H","DateFormat=P","Fill=—","Direction=H","UseDPDF=Y")</f>
        <v>#NAME?</v>
      </c>
      <c r="W352" s="2" t="e">
        <f ca="1">_xll.BDH($C$328,"EARN_FOR_COM_GROWTH","FQ4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52" s="2" t="e">
        <f ca="1">_xll.BDH($C$328,"DILUTED_EPS_AFT_XO_ITEMS_GROWTH","FQ4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52" s="2" t="e">
        <f ca="1">_xll.BDH($C$328,"DIVIDEND_PER_SHARE_1_YEAR_GROWTH","FQ4 2018","FQ4 2018","Currency=INR","Period=FQ","BEST_FPERIOD_OVERRIDE=FQ","FILING_STATUS=OR","EQY_CONSOLIDATED=Y","Sort=A","Dates=H","DateFormat=P","Fill=—","Direction=H","UseDPDF=Y")</f>
        <v>#NAME?</v>
      </c>
      <c r="Z352" s="2" t="e">
        <f ca="1">_xll.BDH($C$328,"ACCOUNTS_RECEIVABLE_GROWTH","FQ4 2018","FQ4 2018","Currency=INR","Period=FQ","BEST_FPERIOD_OVERRIDE=FQ","FILING_STATUS=OR","EQY_CONSOLIDATED=Y","Sort=A","Dates=H","DateFormat=P","Fill=—","Direction=H","UseDPDF=Y")</f>
        <v>#NAME?</v>
      </c>
      <c r="AA352" s="2" t="e">
        <f ca="1">_xll.BDH($C$328,"INVENTORY_GROWTH","FQ4 2018","FQ4 2018","Currency=INR","Period=FQ","BEST_FPERIOD_OVERRIDE=FQ","FILING_STATUS=OR","EQY_CONSOLIDATED=Y","Sort=A","Dates=H","DateFormat=P","Fill=—","Direction=H","UseDPDF=Y")</f>
        <v>#NAME?</v>
      </c>
      <c r="AB352" s="2" t="e">
        <f ca="1">_xll.BDH($C$328,"NET_FIXED_ASSETS_1_YEAR_GROWTH","FQ4 2018","FQ4 2018","Currency=INR","Period=FQ","BEST_FPERIOD_OVERRIDE=FQ","FILING_STATUS=OR","EQY_CONSOLIDATED=Y","Sort=A","Dates=H","DateFormat=P","Fill=—","Direction=H","UseDPDF=Y")</f>
        <v>#NAME?</v>
      </c>
      <c r="AC352" s="2" t="e">
        <f ca="1">_xll.BDH($C$328,"ASSET_GROWTH","FQ4 2018","FQ4 2018","Currency=INR","Period=FQ","BEST_FPERIOD_OVERRIDE=FQ","FILING_STATUS=OR","EQY_CONSOLIDATED=Y","Sort=A","Dates=H","DateFormat=P","Fill=—","Direction=H","UseDPDF=Y")</f>
        <v>#NAME?</v>
      </c>
      <c r="AD352" s="2" t="e">
        <f ca="1">_xll.BDH($C$328,"MODIFIED_WORK_CAP_GROWTH","FQ4 2018","FQ4 2018","Currency=INR","Period=FQ","BEST_FPERIOD_OVERRIDE=FQ","FILING_STATUS=OR","EQY_CONSOLIDATED=Y","Sort=A","Dates=H","DateFormat=P","Fill=—","Direction=H","UseDPDF=Y")</f>
        <v>#NAME?</v>
      </c>
      <c r="AE352" s="2" t="e">
        <f ca="1">_xll.BDH($C$328,"WORK_CAP_GROWTH","FQ4 2018","FQ4 2018","Currency=INR","Period=FQ","BEST_FPERIOD_OVERRIDE=FQ","FILING_STATUS=OR","EQY_CONSOLIDATED=Y","Sort=A","Dates=H","DateFormat=P","Fill=—","Direction=H","UseDPDF=Y")</f>
        <v>#NAME?</v>
      </c>
      <c r="AF352" s="2" t="e">
        <f ca="1">_xll.BDH($C$328,"ACCOUNTS_PAYABLE_GROWTH_1YR","FQ4 2018","FQ4 2018","Currency=INR","Period=FQ","BEST_FPERIOD_OVERRIDE=FQ","FILING_STATUS=OR","EQY_CONSOLIDATED=Y","Sort=A","Dates=H","DateFormat=P","Fill=—","Direction=H","UseDPDF=Y")</f>
        <v>#NAME?</v>
      </c>
      <c r="AG352" s="2" t="e">
        <f ca="1">_xll.BDH($C$328,"SHORT_TERM_DEBT_1_YEAR_GROWTH","FQ4 2018","FQ4 2018","Currency=INR","Period=FQ","BEST_FPERIOD_OVERRIDE=FQ","FILING_STATUS=OR","EQY_CONSOLIDATED=Y","Sort=A","Dates=H","DateFormat=P","Fill=—","Direction=H","UseDPDF=Y")</f>
        <v>#NAME?</v>
      </c>
      <c r="AH352" s="2" t="e">
        <f ca="1">_xll.BDH($C$328,"TOTAL_DEBT_1_YEAR_GROWTH","FQ4 2018","FQ4 2018","Currency=INR","Period=FQ","BEST_FPERIOD_OVERRIDE=FQ","FILING_STATUS=OR","EQY_CONSOLIDATED=Y","Sort=A","Dates=H","DateFormat=P","Fill=—","Direction=H","UseDPDF=Y")</f>
        <v>#NAME?</v>
      </c>
      <c r="AI352" s="2" t="e">
        <f ca="1">_xll.BDH($C$328,"TOTAL_EQUITY_1_YEAR_GROWTH","FQ4 2018","FQ4 2018","Currency=INR","Period=FQ","BEST_FPERIOD_OVERRIDE=FQ","FILING_STATUS=OR","EQY_CONSOLIDATED=Y","Sort=A","Dates=H","DateFormat=P","Fill=—","Direction=H","UseDPDF=Y")</f>
        <v>#NAME?</v>
      </c>
      <c r="AJ352" s="2" t="e">
        <f ca="1">_xll.BDH($C$328,"GROWTH_IN_CAP","FQ4 2018","FQ4 2018","Currency=INR","Period=FQ","BEST_FPERIOD_OVERRIDE=FQ","FILING_STATUS=OR","EQY_CONSOLIDATED=Y","Sort=A","Dates=H","DateFormat=P","Fill=—","Direction=H","UseDPDF=Y")</f>
        <v>#NAME?</v>
      </c>
      <c r="AK352" s="2" t="e">
        <f ca="1">_xll.BDH($C$328,"BVPS_GROWTH","FQ4 2018","FQ4 2018","Currency=INR","Period=FQ","BEST_FPERIOD_OVERRIDE=FQ","FILING_STATUS=OR","EQY_CONSOLIDATED=Y","Sort=A","Dates=H","DateFormat=P","Fill=—","Direction=H","UseDPDF=Y")</f>
        <v>#NAME?</v>
      </c>
      <c r="AL352" s="2" t="e">
        <f ca="1">_xll.BDH($C$328,"CASH_FLOW_GROWTH","FQ4 2018","FQ4 2018","Currency=INR","Period=FQ","BEST_FPERIOD_OVERRIDE=FQ","FILING_STATUS=OR","EQY_CONSOLIDATED=Y","Sort=A","Dates=H","DateFormat=P","Fill=—","Direction=H","UseDPDF=Y")</f>
        <v>#NAME?</v>
      </c>
      <c r="AM352" s="2" t="e">
        <f ca="1">_xll.BDH($C$328,"GEO_GROW_NET_SALES","FQ4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52" s="2" t="e">
        <f ca="1">_xll.BDH($C$328,"GEO_GROW_EBITDA","FQ4 2018","FQ4 2018","Currency=INR","Period=FQ","BEST_FPERIOD_OVERRIDE=FQ","FILING_STATUS=OR","EQY_CONSOLIDATED=Y","FA_ADJUSTED=GAAP","Sort=A","Dates=H","DateFormat=P","Fill=—","Direction=H","UseDPDF=Y")</f>
        <v>#NAME?</v>
      </c>
      <c r="AO352" s="2" t="e">
        <f ca="1">_xll.BDH($C$328,"GEO_GROW_OPER_INC","FQ4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52" s="2" t="e">
        <f ca="1">_xll.BDH($C$328,"NET_INCOME_TO_COMMON_5_YR_GROWTH","FQ4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52" s="2" t="e">
        <f ca="1">_xll.BDH($C$328,"5Y_GEO_GROWTH_DILUTED_EPS","FQ4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52" s="2" t="e">
        <f ca="1">_xll.BDH($C$328,"GEO_GROW_DVD_PER_SH","FQ4 2018","FQ4 2018","Currency=INR","Period=FQ","BEST_FPERIOD_OVERRIDE=FQ","FILING_STATUS=OR","EQY_CONSOLIDATED=Y","Sort=A","Dates=H","DateFormat=P","Fill=—","Direction=H","UseDPDF=Y")</f>
        <v>#NAME?</v>
      </c>
      <c r="AS352" s="2" t="e">
        <f ca="1">_xll.BDH($C$328,"ACCOUNTS_RECEIVABLE_5_YR_GROWTH","FQ4 2018","FQ4 2018","Currency=INR","Period=FQ","BEST_FPERIOD_OVERRIDE=FQ","FILING_STATUS=OR","EQY_CONSOLIDATED=Y","Sort=A","Dates=H","DateFormat=P","Fill=—","Direction=H","UseDPDF=Y")</f>
        <v>#NAME?</v>
      </c>
      <c r="AT352" s="2" t="e">
        <f ca="1">_xll.BDH($C$328,"INVENTORY_5_YEAR_GROWTH","FQ4 2018","FQ4 2018","Currency=INR","Period=FQ","BEST_FPERIOD_OVERRIDE=FQ","FILING_STATUS=OR","EQY_CONSOLIDATED=Y","Sort=A","Dates=H","DateFormat=P","Fill=—","Direction=H","UseDPDF=Y")</f>
        <v>#NAME?</v>
      </c>
      <c r="AU352" s="2" t="e">
        <f ca="1">_xll.BDH($C$328,"NET_FIXED_ASSETS_5_YEAR_GROWTH","FQ4 2018","FQ4 2018","Currency=INR","Period=FQ","BEST_FPERIOD_OVERRIDE=FQ","FILING_STATUS=OR","EQY_CONSOLIDATED=Y","Sort=A","Dates=H","DateFormat=P","Fill=—","Direction=H","UseDPDF=Y")</f>
        <v>#NAME?</v>
      </c>
      <c r="AV352" s="2" t="e">
        <f ca="1">_xll.BDH($C$328,"GEO_GROW_TOT_ASSET","FQ4 2018","FQ4 2018","Currency=INR","Period=FQ","BEST_FPERIOD_OVERRIDE=FQ","FILING_STATUS=OR","EQY_CONSOLIDATED=Y","Sort=A","Dates=H","DateFormat=P","Fill=—","Direction=H","UseDPDF=Y")</f>
        <v>#NAME?</v>
      </c>
      <c r="AW352" s="2" t="e">
        <f ca="1">_xll.BDH($C$328,"MODIFIED_WORKING_CPTL_5YR_GRWTH","FQ4 2018","FQ4 2018","Currency=INR","Period=FQ","BEST_FPERIOD_OVERRIDE=FQ","FILING_STATUS=OR","EQY_CONSOLIDATED=Y","Sort=A","Dates=H","DateFormat=P","Fill=—","Direction=H","UseDPDF=Y")</f>
        <v>#NAME?</v>
      </c>
      <c r="AX352" s="2" t="e">
        <f ca="1">_xll.BDH($C$328,"WORKING_CAPITAL_5_YEAR_GROWTH","FQ4 2018","FQ4 2018","Currency=INR","Period=FQ","BEST_FPERIOD_OVERRIDE=FQ","FILING_STATUS=OR","EQY_CONSOLIDATED=Y","Sort=A","Dates=H","DateFormat=P","Fill=—","Direction=H","UseDPDF=Y")</f>
        <v>#NAME?</v>
      </c>
      <c r="AY352" s="2" t="e">
        <f ca="1">_xll.BDH($C$328,"ACCOUNTS_PAYABLE_5_YEAR_GROWTH","FQ4 2018","FQ4 2018","Currency=INR","Period=FQ","BEST_FPERIOD_OVERRIDE=FQ","FILING_STATUS=OR","EQY_CONSOLIDATED=Y","Sort=A","Dates=H","DateFormat=P","Fill=—","Direction=H","UseDPDF=Y")</f>
        <v>#NAME?</v>
      </c>
      <c r="AZ352" s="2" t="e">
        <f ca="1">_xll.BDH($C$328,"SHORT_TERM_DEBT_5_YEAR_GROWTH","FQ4 2018","FQ4 2018","Currency=INR","Period=FQ","BEST_FPERIOD_OVERRIDE=FQ","FILING_STATUS=OR","EQY_CONSOLIDATED=Y","Sort=A","Dates=H","DateFormat=P","Fill=—","Direction=H","UseDPDF=Y")</f>
        <v>#NAME?</v>
      </c>
      <c r="BA352" s="2" t="e">
        <f ca="1">_xll.BDH($C$328,"TOTAL_DEBT_5_YEAR_GROWTH","FQ4 2018","FQ4 2018","Currency=INR","Period=FQ","BEST_FPERIOD_OVERRIDE=FQ","FILING_STATUS=OR","EQY_CONSOLIDATED=Y","Sort=A","Dates=H","DateFormat=P","Fill=—","Direction=H","UseDPDF=Y")</f>
        <v>#NAME?</v>
      </c>
      <c r="BB352" s="2" t="e">
        <f ca="1">_xll.BDH($C$328,"GEO_GROW_TOT_SHRHLDR_EQY","FQ4 2018","FQ4 2018","Currency=INR","Period=FQ","BEST_FPERIOD_OVERRIDE=FQ","FILING_STATUS=OR","EQY_CONSOLIDATED=Y","Sort=A","Dates=H","DateFormat=P","Fill=—","Direction=H","UseDPDF=Y")</f>
        <v>#NAME?</v>
      </c>
      <c r="BC352" s="2" t="e">
        <f ca="1">_xll.BDH($C$328,"TOTAL_CAPITAL_5_YEAR_GROWTH","FQ4 2018","FQ4 2018","Currency=INR","Period=FQ","BEST_FPERIOD_OVERRIDE=FQ","FILING_STATUS=OR","EQY_CONSOLIDATED=Y","Sort=A","Dates=H","DateFormat=P","Fill=—","Direction=H","UseDPDF=Y")</f>
        <v>#NAME?</v>
      </c>
      <c r="BD352" s="2" t="e">
        <f ca="1">_xll.BDH($C$328,"GEO_GROW_BOOK_VAL","FQ4 2018","FQ4 2018","Currency=INR","Period=FQ","BEST_FPERIOD_OVERRIDE=FQ","FILING_STATUS=OR","EQY_CONSOLIDATED=Y","Sort=A","Dates=H","DateFormat=P","Fill=—","Direction=H","UseDPDF=Y")</f>
        <v>#NAME?</v>
      </c>
      <c r="BE352" s="2" t="e">
        <f ca="1">_xll.BDH($C$328,"GEO_GROW_CASH_OPER_ACT","FQ4 2018","FQ4 2018","Currency=INR","Period=FQ","BEST_FPERIOD_OVERRIDE=FQ","FILING_STATUS=OR","EQY_CONSOLIDATED=Y","Sort=A","Dates=H","DateFormat=P","Fill=—","Direction=H","UseDPDF=Y")</f>
        <v>#NAME?</v>
      </c>
      <c r="BF352" s="2" t="e">
        <f ca="1">_xll.BDH($C$328,"REVENUE_SEQUENTIAL_GROWTH","FQ4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52" s="2" t="e">
        <f ca="1">_xll.BDH($C$328,"EBITDA_SEQUENTIAL_GROWTH","FQ4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52" s="2" t="e">
        <f ca="1">_xll.BDH($C$328,"OPERATING_INCOME_SEQ_GROWTH","FQ4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52" s="2" t="e">
        <f ca="1">_xll.BDH($C$328,"NET_INCOME_TO_COMMON_SEQ_GROWTH","FQ4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52" s="2" t="e">
        <f ca="1">_xll.BDH($C$328,"EPS_DILUTED_SEQUENTIAL_GROWTH","FQ4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52" s="2" t="e">
        <f ca="1">_xll.BDH($C$328,"DPS_SEQUENTIAL_GROWTH","FQ4 2018","FQ4 2018","Currency=INR","Period=FQ","BEST_FPERIOD_OVERRIDE=FQ","FILING_STATUS=OR","EQY_CONSOLIDATED=Y","Sort=A","Dates=H","DateFormat=P","Fill=—","Direction=H","UseDPDF=Y")</f>
        <v>#NAME?</v>
      </c>
      <c r="BL352" s="2" t="e">
        <f ca="1">_xll.BDH($C$328,"ACCOUNTS_RECEIVABLE_SEQ_GROWTH","FQ4 2018","FQ4 2018","Currency=INR","Period=FQ","BEST_FPERIOD_OVERRIDE=FQ","FILING_STATUS=OR","EQY_CONSOLIDATED=Y","Sort=A","Dates=H","DateFormat=P","Fill=—","Direction=H","UseDPDF=Y")</f>
        <v>#NAME?</v>
      </c>
      <c r="BM352" s="2" t="e">
        <f ca="1">_xll.BDH($C$328,"INVENTORY_SEQUENTIAL_GROWTH","FQ4 2018","FQ4 2018","Currency=INR","Period=FQ","BEST_FPERIOD_OVERRIDE=FQ","FILING_STATUS=OR","EQY_CONSOLIDATED=Y","Sort=A","Dates=H","DateFormat=P","Fill=—","Direction=H","UseDPDF=Y")</f>
        <v>#NAME?</v>
      </c>
      <c r="BN352" s="2" t="e">
        <f ca="1">_xll.BDH($C$328,"FIXED_ASSETS_SEQUENTIAL_GROWTH","FQ4 2018","FQ4 2018","Currency=INR","Period=FQ","BEST_FPERIOD_OVERRIDE=FQ","FILING_STATUS=OR","EQY_CONSOLIDATED=Y","Sort=A","Dates=H","DateFormat=P","Fill=—","Direction=H","UseDPDF=Y")</f>
        <v>#NAME?</v>
      </c>
      <c r="BO352" s="2" t="e">
        <f ca="1">_xll.BDH($C$328,"TOTAL_ASSETS_SEQUENTIAL_GROWTH","FQ4 2018","FQ4 2018","Currency=INR","Period=FQ","BEST_FPERIOD_OVERRIDE=FQ","FILING_STATUS=OR","EQY_CONSOLIDATED=Y","Sort=A","Dates=H","DateFormat=P","Fill=—","Direction=H","UseDPDF=Y")</f>
        <v>#NAME?</v>
      </c>
      <c r="BP352" s="2" t="e">
        <f ca="1">_xll.BDH($C$328,"MODIFIED_WORKING_CPTL_SEQ_GRWTH","FQ4 2018","FQ4 2018","Currency=INR","Period=FQ","BEST_FPERIOD_OVERRIDE=FQ","FILING_STATUS=OR","EQY_CONSOLIDATED=Y","Sort=A","Dates=H","DateFormat=P","Fill=—","Direction=H","UseDPDF=Y")</f>
        <v>#NAME?</v>
      </c>
      <c r="BQ352" s="2" t="e">
        <f ca="1">_xll.BDH($C$328,"WORKING_CAPITAL_SEQ_GROWTH","FQ4 2018","FQ4 2018","Currency=INR","Period=FQ","BEST_FPERIOD_OVERRIDE=FQ","FILING_STATUS=OR","EQY_CONSOLIDATED=Y","Sort=A","Dates=H","DateFormat=P","Fill=—","Direction=H","UseDPDF=Y")</f>
        <v>#NAME?</v>
      </c>
      <c r="BR352" s="2" t="e">
        <f ca="1">_xll.BDH($C$328,"ACCOUNTS_PAYABLE_SEQ_GROWTH","FQ4 2018","FQ4 2018","Currency=INR","Period=FQ","BEST_FPERIOD_OVERRIDE=FQ","FILING_STATUS=OR","EQY_CONSOLIDATED=Y","Sort=A","Dates=H","DateFormat=P","Fill=—","Direction=H","UseDPDF=Y")</f>
        <v>#NAME?</v>
      </c>
      <c r="BS352" s="2" t="e">
        <f ca="1">_xll.BDH($C$328,"ST_DEBT_SEQUENTIAL_GROWTH","FQ4 2018","FQ4 2018","Currency=INR","Period=FQ","BEST_FPERIOD_OVERRIDE=FQ","FILING_STATUS=OR","EQY_CONSOLIDATED=Y","Sort=A","Dates=H","DateFormat=P","Fill=—","Direction=H","UseDPDF=Y")</f>
        <v>#NAME?</v>
      </c>
      <c r="BT352" s="2" t="e">
        <f ca="1">_xll.BDH($C$328,"TOTAL_DEBT_SEQUENTIAL_GROWTH","FQ4 2018","FQ4 2018","Currency=INR","Period=FQ","BEST_FPERIOD_OVERRIDE=FQ","FILING_STATUS=OR","EQY_CONSOLIDATED=Y","Sort=A","Dates=H","DateFormat=P","Fill=—","Direction=H","UseDPDF=Y")</f>
        <v>#NAME?</v>
      </c>
      <c r="BU352" s="2" t="e">
        <f ca="1">_xll.BDH($C$328,"TOTAL_EQUITY_SEQUENTIAL_GROWTH","FQ4 2018","FQ4 2018","Currency=INR","Period=FQ","BEST_FPERIOD_OVERRIDE=FQ","FILING_STATUS=OR","EQY_CONSOLIDATED=Y","Sort=A","Dates=H","DateFormat=P","Fill=—","Direction=H","UseDPDF=Y")</f>
        <v>#NAME?</v>
      </c>
      <c r="BV352" s="2" t="e">
        <f ca="1">_xll.BDH($C$328,"TOTAL_CAPITAL_SEQUENTIAL_GROWTH","FQ4 2018","FQ4 2018","Currency=INR","Period=FQ","BEST_FPERIOD_OVERRIDE=FQ","FILING_STATUS=OR","EQY_CONSOLIDATED=Y","Sort=A","Dates=H","DateFormat=P","Fill=—","Direction=H","UseDPDF=Y")</f>
        <v>#NAME?</v>
      </c>
      <c r="BW352" s="2" t="e">
        <f ca="1">_xll.BDH($C$328,"BPS_SEQUENTIAL_GROWTH","FQ4 2018","FQ4 2018","Currency=INR","Period=FQ","BEST_FPERIOD_OVERRIDE=FQ","FILING_STATUS=OR","EQY_CONSOLIDATED=Y","Sort=A","Dates=H","DateFormat=P","Fill=—","Direction=H","UseDPDF=Y")</f>
        <v>#NAME?</v>
      </c>
      <c r="BX352" s="2" t="e">
        <f ca="1">_xll.BDH($C$328,"CFO_SEQUENTIAL_GROWTH","FQ4 2018","FQ4 2018","Currency=INR","Period=FQ","BEST_FPERIOD_OVERRIDE=FQ","FILING_STATUS=OR","EQY_CONSOLIDATED=Y","Sort=A","Dates=H","DateFormat=P","Fill=—","Direction=H","UseDPDF=Y")</f>
        <v>#NAME?</v>
      </c>
      <c r="BY352" s="3" t="e">
        <f ca="1">_xll.BDH($C$328,"SHORT_AND_LONG_TERM_DEBT","FQ4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52" s="3" t="e">
        <f ca="1">_xll.BDH($C$328,"BS_ST_BORROW","FQ4 2018","FQ4 2018","Currency=INR","Period=FQ","BEST_FPERIOD_OVERRIDE=FQ","FILING_STATUS=OR","EQY_CONSOLIDATED=Y","SCALING_FORMAT=MLN","Sort=A","Dates=H","DateFormat=P","Fill=—","Direction=H","UseDPDF=Y")</f>
        <v>#NAME?</v>
      </c>
      <c r="CA352" s="3" t="e">
        <f ca="1">_xll.BDH($C$328,"BS_LT_BORROW","FQ4 2018","FQ4 2018","Currency=INR","Period=FQ","BEST_FPERIOD_OVERRIDE=FQ","FILING_STATUS=OR","EQY_CONSOLIDATED=Y","SCALING_FORMAT=MLN","Sort=A","Dates=H","DateFormat=P","Fill=—","Direction=H","UseDPDF=Y")</f>
        <v>#NAME?</v>
      </c>
      <c r="CB352" s="2" t="e">
        <f ca="1">_xll.BDH($C$328,"TOT_DEBT_TO_EBITDA","FQ4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52" s="2" t="e">
        <f ca="1">_xll.BDH($C$328,"NET_DEBT_TO_EBITDA","FQ4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52" s="2" t="e">
        <f ca="1">_xll.BDH($C$328,"TOTAL_DEBT_TO_EBIT","FQ4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52" s="2" t="e">
        <f ca="1">_xll.BDH($C$328,"NET_DEBT_TO_EBIT","FQ4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352" s="2" t="e">
        <f ca="1">_xll.BDH($C$328,"EBITDA_TO_INTEREST_EXPN","FQ4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52" s="2" t="e">
        <f ca="1">_xll.BDH($C$328,"COM_EQY_TO_TOT_ASSET","FQ4 2018","FQ4 2018","Currency=INR","Period=FQ","BEST_FPERIOD_OVERRIDE=FQ","FILING_STATUS=OR","EQY_CONSOLIDATED=Y","Sort=A","Dates=H","DateFormat=P","Fill=—","Direction=H","UseDPDF=Y")</f>
        <v>#NAME?</v>
      </c>
      <c r="CH352" s="2" t="e">
        <f ca="1">_xll.BDH($C$328,"LT_DEBT_TO_TOT_EQY","FQ4 2018","FQ4 2018","Currency=INR","Period=FQ","BEST_FPERIOD_OVERRIDE=FQ","FILING_STATUS=OR","EQY_CONSOLIDATED=Y","Sort=A","Dates=H","DateFormat=P","Fill=—","Direction=H","UseDPDF=Y")</f>
        <v>#NAME?</v>
      </c>
      <c r="CI352" s="2" t="e">
        <f ca="1">_xll.BDH($C$328,"LT_DEBT_TO_TOT_CAP","FQ4 2018","FQ4 2018","Currency=INR","Period=FQ","BEST_FPERIOD_OVERRIDE=FQ","FILING_STATUS=OR","EQY_CONSOLIDATED=Y","Sort=A","Dates=H","DateFormat=P","Fill=—","Direction=H","UseDPDF=Y")</f>
        <v>#NAME?</v>
      </c>
      <c r="CJ352" s="2" t="e">
        <f ca="1">_xll.BDH($C$328,"LT_DEBT_TO_TOT_ASSET","FQ4 2018","FQ4 2018","Currency=INR","Period=FQ","BEST_FPERIOD_OVERRIDE=FQ","FILING_STATUS=OR","EQY_CONSOLIDATED=Y","Sort=A","Dates=H","DateFormat=P","Fill=—","Direction=H","UseDPDF=Y")</f>
        <v>#NAME?</v>
      </c>
      <c r="CK352" s="2" t="e">
        <f ca="1">_xll.BDH($C$328,"TOT_DEBT_TO_TOT_EQY","FQ4 2018","FQ4 2018","Currency=INR","Period=FQ","BEST_FPERIOD_OVERRIDE=FQ","FILING_STATUS=OR","EQY_CONSOLIDATED=Y","Sort=A","Dates=H","DateFormat=P","Fill=—","Direction=H","UseDPDF=Y")</f>
        <v>#NAME?</v>
      </c>
      <c r="CL352" s="2" t="e">
        <f ca="1">_xll.BDH($C$328,"TOT_DEBT_TO_TOT_CAP","FQ4 2018","FQ4 2018","Currency=INR","Period=FQ","BEST_FPERIOD_OVERRIDE=FQ","FILING_STATUS=OR","EQY_CONSOLIDATED=Y","Sort=A","Dates=H","DateFormat=P","Fill=—","Direction=H","UseDPDF=Y")</f>
        <v>#NAME?</v>
      </c>
      <c r="CM352" s="2" t="e">
        <f ca="1">_xll.BDH($C$328,"TOT_DEBT_TO_TOT_ASSET","FQ4 2018","FQ4 2018","Currency=INR","Period=FQ","BEST_FPERIOD_OVERRIDE=FQ","FILING_STATUS=OR","EQY_CONSOLIDATED=Y","Sort=A","Dates=H","DateFormat=P","Fill=—","Direction=H","UseDPDF=Y")</f>
        <v>#NAME?</v>
      </c>
      <c r="CN352" s="2" t="e">
        <f ca="1">_xll.BDH($C$328,"NET_DEBT_TO_SHRHLDR_EQTY","FQ4 2018","FQ4 2018","Currency=INR","Period=FQ","BEST_FPERIOD_OVERRIDE=FQ","FILING_STATUS=OR","EQY_CONSOLIDATED=Y","Sort=A","Dates=H","DateFormat=P","Fill=—","Direction=H","UseDPDF=Y")</f>
        <v>#NAME?</v>
      </c>
      <c r="CO352" s="2" t="e">
        <f ca="1">_xll.BDH($C$328,"NET_DEBT_%_CAPITAL","FQ4 2018","FQ4 2018","Currency=INR","Period=FQ","BEST_FPERIOD_OVERRIDE=FQ","FILING_STATUS=OR","EQY_CONSOLIDATED=Y","Sort=A","Dates=H","DateFormat=P","Fill=—","Direction=H","UseDPDF=Y")</f>
        <v>#NAME?</v>
      </c>
      <c r="CP352" s="3" t="e">
        <f ca="1">_xll.BDH($C$328,"EBITDA","FQ4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52" s="3" t="e">
        <f ca="1">_xll.BDH($C$328,"EBITDA_AFTER_CAPEX","FQ4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52" s="3" t="e">
        <f ca="1">_xll.BDH($C$328,"IS_OPER_INC","FQ4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52" s="2" t="e">
        <f ca="1">_xll.BDH($C$328,"CASH_RATIO","FQ4 2018","FQ4 2018","Currency=INR","Period=FQ","BEST_FPERIOD_OVERRIDE=FQ","FILING_STATUS=OR","EQY_CONSOLIDATED=Y","Sort=A","Dates=H","DateFormat=P","Fill=—","Direction=H","UseDPDF=Y")</f>
        <v>#NAME?</v>
      </c>
      <c r="CT352" s="2" t="e">
        <f ca="1">_xll.BDH($C$328,"CUR_RATIO","FQ4 2018","FQ4 2018","Currency=INR","Period=FQ","BEST_FPERIOD_OVERRIDE=FQ","FILING_STATUS=OR","EQY_CONSOLIDATED=Y","Sort=A","Dates=H","DateFormat=P","Fill=—","Direction=H","UseDPDF=Y")</f>
        <v>#NAME?</v>
      </c>
      <c r="CU352" s="2" t="e">
        <f ca="1">_xll.BDH($C$328,"QUICK_RATIO","FQ4 2018","FQ4 2018","Currency=INR","Period=FQ","BEST_FPERIOD_OVERRIDE=FQ","FILING_STATUS=OR","EQY_CONSOLIDATED=Y","Sort=A","Dates=H","DateFormat=P","Fill=—","Direction=H","UseDPDF=Y")</f>
        <v>#NAME?</v>
      </c>
      <c r="CV352" s="2" t="e">
        <f ca="1">_xll.BDH($C$328,"ALTMAN_Z_SCORE","FQ4 2018","FQ4 2018","Currency=INR","Period=FQ","BEST_FPERIOD_OVERRIDE=FQ","FILING_STATUS=OR","EQY_CONSOLIDATED=Y","Sort=A","Dates=H","DateFormat=P","Fill=—","Direction=H","UseDPDF=Y")</f>
        <v>#NAME?</v>
      </c>
      <c r="CW352" s="4" t="e">
        <f ca="1">_xll.BDH($C$328,"ACCT_RCV_TURN","FQ4 2018","FQ4 2018","Currency=INR","Period=FQ","BEST_FPERIOD_OVERRIDE=FQ","FILING_STATUS=OR","EQY_CONSOLIDATED=Y","FA_ADJUSTED=GAAP","Sort=A","Dates=H","DateFormat=P","Fill=—","Direction=H","UseDPDF=Y")</f>
        <v>#NAME?</v>
      </c>
      <c r="CX352" s="2" t="e">
        <f ca="1">_xll.BDH($C$328,"ACCT_RCV_DAYS","FQ4 2018","FQ4 2018","Currency=INR","Period=FQ","BEST_FPERIOD_OVERRIDE=FQ","FILING_STATUS=OR","EQY_CONSOLIDATED=Y","FA_ADJUSTED=GAAP","Sort=A","Dates=H","DateFormat=P","Fill=—","Direction=H","UseDPDF=Y")</f>
        <v>#NAME?</v>
      </c>
      <c r="CY352" s="4" t="e">
        <f ca="1">_xll.BDH($C$328,"INVENT_TURN","FQ4 2018","FQ4 2018","Currency=INR","Period=FQ","BEST_FPERIOD_OVERRIDE=FQ","FILING_STATUS=OR","EQY_CONSOLIDATED=Y","FA_ADJUSTED=GAAP","Sort=A","Dates=H","DateFormat=P","Fill=—","Direction=H","UseDPDF=Y")</f>
        <v>#NAME?</v>
      </c>
      <c r="CZ352" s="2" t="e">
        <f ca="1">_xll.BDH($C$328,"INVENT_DAYS","FQ4 2018","FQ4 2018","Currency=INR","Period=FQ","BEST_FPERIOD_OVERRIDE=FQ","FILING_STATUS=OR","EQY_CONSOLIDATED=Y","FA_ADJUSTED=GAAP","Sort=A","Dates=H","DateFormat=P","Fill=—","Direction=H","UseDPDF=Y")</f>
        <v>#NAME?</v>
      </c>
      <c r="DA352" s="4" t="e">
        <f ca="1">_xll.BDH($C$328,"ACCOUNTS_PAYABLE_TURNOVER","FQ4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52" s="2" t="e">
        <f ca="1">_xll.BDH($C$328,"ACCOUNTS_PAYABLE_TURNOVER_DAYS","FQ4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52" s="4" t="e">
        <f ca="1">_xll.BDH($C$328,"CASH_CONVERSION_CYCLE","FQ4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52" s="4" t="e">
        <f ca="1">_xll.BDH($C$328,"INV_TO_CASH_DAYS","FQ4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352" s="5" t="e">
        <f ca="1">_xll.BDH($C$328,"BS_INVENTORIES","FQ4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352" s="3" t="e">
        <f ca="1">_xll.BDH($C$328,"INVTRY_RAW_MATERIALS","FQ4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52" s="3" t="e">
        <f ca="1">_xll.BDH($C$328,"INVTRY_IN_PROGRESS","FQ4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52" s="3" t="e">
        <f ca="1">_xll.BDH($C$328,"INVTRY_FINISHED_GOODS","FQ4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52" s="3" t="e">
        <f ca="1">_xll.BDH($C$328,"BS_OTHER_INV","FQ4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53" spans="1:113" x14ac:dyDescent="0.3">
      <c r="A353" s="6">
        <v>90</v>
      </c>
      <c r="B353" s="6" t="s">
        <v>111</v>
      </c>
      <c r="C353" s="6" t="s">
        <v>112</v>
      </c>
      <c r="D353" s="6" t="s">
        <v>76</v>
      </c>
      <c r="E353" t="s">
        <v>77</v>
      </c>
      <c r="F353" t="e">
        <f ca="1">_xll.BDH($C$353,"RETURN_COM_EQY","FY 2014","FY 2014","Currency=INR","Period=FY","BEST_FPERIOD_OVERRIDE=FY","FILING_STATUS=OR","EQY_CONSOLIDATED=Y","FA_ADJUSTED=GAAP","Sort=A","Dates=H","DateFormat=P","Fill=—","Direction=H","UseDPDF=Y")</f>
        <v>#NAME?</v>
      </c>
      <c r="G353" t="e">
        <f ca="1">_xll.BDH($C$353,"RETURN_ON_ASSET","FY 2014","FY 2014","Currency=INR","Period=FY","BEST_FPERIOD_OVERRIDE=FY","FILING_STATUS=OR","EQY_CONSOLIDATED=Y","FA_ADJUSTED=GAAP","Sort=A","Dates=H","DateFormat=P","Fill=—","Direction=H","UseDPDF=Y")</f>
        <v>#NAME?</v>
      </c>
      <c r="H353" t="e">
        <f ca="1">_xll.BDH($C$353,"RETURN_ON_CAP","FY 2014","FY 2014","Currency=INR","Period=FY","BEST_FPERIOD_OVERRIDE=FY","FILING_STATUS=OR","EQY_CONSOLIDATED=Y","FA_ADJUSTED=GAAP","Sort=A","Dates=H","DateFormat=P","Fill=—","Direction=H","UseDPDF=Y")</f>
        <v>#NAME?</v>
      </c>
      <c r="I353" t="e">
        <f ca="1">_xll.BDH($C$353,"RETURN_ON_INV_CAPITAL","FY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53" t="e">
        <f ca="1">_xll.BDH($C$353,"EBITDA_TO_REVENUE","FY 2014","FY 2014","Currency=INR","Period=FY","BEST_FPERIOD_OVERRIDE=FY","FILING_STATUS=OR","EQY_CONSOLIDATED=Y","FA_ADJUSTED=GAAP","Sort=A","Dates=H","DateFormat=P","Fill=—","Direction=H","UseDPDF=Y")</f>
        <v>#NAME?</v>
      </c>
      <c r="K353" t="e">
        <f ca="1">_xll.BDH($C$353,"OPER_MARGIN","FY 2014","FY 2014","Currency=INR","Period=FY","BEST_FPERIOD_OVERRIDE=FY","FILING_STATUS=OR","EQY_CONSOLIDATED=Y","FA_ADJUSTED=GAAP","Sort=A","Dates=H","DateFormat=P","Fill=—","Direction=H","UseDPDF=Y")</f>
        <v>#NAME?</v>
      </c>
      <c r="L353" t="e">
        <f ca="1">_xll.BDH($C$353,"INCREMENTAL_OPERATING_MARGIN","FY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53" t="e">
        <f ca="1">_xll.BDH($C$353,"PRETAX_INC_TO_NET_SALES","FY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53" t="e">
        <f ca="1">_xll.BDH($C$353,"INC_BEF_XO_ITEMS_TO_NET_SALES","FY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53" t="e">
        <f ca="1">_xll.BDH($C$353,"PROF_MARGIN","FY 2014","FY 2014","Currency=INR","Period=FY","BEST_FPERIOD_OVERRIDE=FY","FILING_STATUS=OR","EQY_CONSOLIDATED=Y","FA_ADJUSTED=GAAP","Sort=A","Dates=H","DateFormat=P","Fill=—","Direction=H","UseDPDF=Y")</f>
        <v>#NAME?</v>
      </c>
      <c r="P353" t="e">
        <f ca="1">_xll.BDH($C$353,"NET_INCOME_TO_COMMON_MARGIN","FY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53" t="e">
        <f ca="1">_xll.BDH($C$353,"EFF_TAX_RATE","FY 2014","FY 2014","Currency=INR","Period=FY","BEST_FPERIOD_OVERRIDE=FY","FILING_STATUS=OR","EQY_CONSOLIDATED=Y","FA_ADJUSTED=GAAP","Sort=A","Dates=H","DateFormat=P","Fill=—","Direction=H","UseDPDF=Y")</f>
        <v>#NAME?</v>
      </c>
      <c r="R353" t="e">
        <f ca="1">_xll.BDH($C$353,"DVD_PAYOUT_RATIO","FY 2014","FY 2014","Currency=INR","Period=FY","BEST_FPERIOD_OVERRIDE=FY","FILING_STATUS=OR","EQY_CONSOLIDATED=Y","FA_ADJUSTED=GAAP","Sort=A","Dates=H","DateFormat=P","Fill=—","Direction=H","UseDPDF=Y")</f>
        <v>#NAME?</v>
      </c>
      <c r="S353" t="e">
        <f ca="1">_xll.BDH($C$353,"SUSTAIN_GROWTH_RT","FY 2014","FY 2014","Currency=INR","Period=FY","BEST_FPERIOD_OVERRIDE=FY","FILING_STATUS=OR","EQY_CONSOLIDATED=Y","FA_ADJUSTED=GAAP","Sort=A","Dates=H","DateFormat=P","Fill=—","Direction=H","UseDPDF=Y")</f>
        <v>#NAME?</v>
      </c>
      <c r="T353" s="2" t="e">
        <f ca="1">_xll.BDH($C$353,"SALES_GROWTH","FY 2014","FY 2014","Currency=INR","Period=FY","BEST_FPERIOD_OVERRIDE=FY","FILING_STATUS=OR","EQY_CONSOLIDATED=Y","FA_ADJUSTED=GAAP","Sort=A","Dates=H","DateFormat=P","Fill=—","Direction=H","UseDPDF=Y")</f>
        <v>#NAME?</v>
      </c>
      <c r="U353" s="2" t="e">
        <f ca="1">_xll.BDH($C$353,"EBITDA_GROWTH","FY 2014","FY 2014","Currency=INR","Period=FY","BEST_FPERIOD_OVERRIDE=FY","FILING_STATUS=OR","EQY_CONSOLIDATED=Y","FA_ADJUSTED=GAAP","Sort=A","Dates=H","DateFormat=P","Fill=—","Direction=H","UseDPDF=Y")</f>
        <v>#NAME?</v>
      </c>
      <c r="V353" s="2" t="e">
        <f ca="1">_xll.BDH($C$353,"OPER_INC_GROWTH","FY 2014","FY 2014","Currency=INR","Period=FY","BEST_FPERIOD_OVERRIDE=FY","FILING_STATUS=OR","EQY_CONSOLIDATED=Y","FA_ADJUSTED=GAAP","Sort=A","Dates=H","DateFormat=P","Fill=—","Direction=H","UseDPDF=Y")</f>
        <v>#NAME?</v>
      </c>
      <c r="W353" s="2" t="e">
        <f ca="1">_xll.BDH($C$353,"EARN_FOR_COM_GROWTH","FY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353" s="2" t="e">
        <f ca="1">_xll.BDH($C$353,"DILUTED_EPS_AFT_XO_ITEMS_GROWTH","FY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53" s="2" t="e">
        <f ca="1">_xll.BDH($C$353,"DIVIDEND_PER_SHARE_1_YEAR_GROWTH","FY 2014","FY 2014","Currency=INR","Period=FY","BEST_FPERIOD_OVERRIDE=FY","FILING_STATUS=OR","EQY_CONSOLIDATED=Y","Sort=A","Dates=H","DateFormat=P","Fill=—","Direction=H","UseDPDF=Y")</f>
        <v>#NAME?</v>
      </c>
      <c r="Z353" s="2" t="e">
        <f ca="1">_xll.BDH($C$353,"ACCOUNTS_RECEIVABLE_GROWTH","FY 2014","FY 2014","Currency=INR","Period=FY","BEST_FPERIOD_OVERRIDE=FY","FILING_STATUS=OR","EQY_CONSOLIDATED=Y","Sort=A","Dates=H","DateFormat=P","Fill=—","Direction=H","UseDPDF=Y")</f>
        <v>#NAME?</v>
      </c>
      <c r="AA353" s="2" t="e">
        <f ca="1">_xll.BDH($C$353,"INVENTORY_GROWTH","FY 2014","FY 2014","Currency=INR","Period=FY","BEST_FPERIOD_OVERRIDE=FY","FILING_STATUS=OR","EQY_CONSOLIDATED=Y","Sort=A","Dates=H","DateFormat=P","Fill=—","Direction=H","UseDPDF=Y")</f>
        <v>#NAME?</v>
      </c>
      <c r="AB353" s="2" t="e">
        <f ca="1">_xll.BDH($C$353,"NET_FIXED_ASSETS_1_YEAR_GROWTH","FY 2014","FY 2014","Currency=INR","Period=FY","BEST_FPERIOD_OVERRIDE=FY","FILING_STATUS=OR","EQY_CONSOLIDATED=Y","Sort=A","Dates=H","DateFormat=P","Fill=—","Direction=H","UseDPDF=Y")</f>
        <v>#NAME?</v>
      </c>
      <c r="AC353" s="2" t="e">
        <f ca="1">_xll.BDH($C$353,"ASSET_GROWTH","FY 2014","FY 2014","Currency=INR","Period=FY","BEST_FPERIOD_OVERRIDE=FY","FILING_STATUS=OR","EQY_CONSOLIDATED=Y","Sort=A","Dates=H","DateFormat=P","Fill=—","Direction=H","UseDPDF=Y")</f>
        <v>#NAME?</v>
      </c>
      <c r="AD353" s="2" t="e">
        <f ca="1">_xll.BDH($C$353,"MODIFIED_WORK_CAP_GROWTH","FY 2014","FY 2014","Currency=INR","Period=FY","BEST_FPERIOD_OVERRIDE=FY","FILING_STATUS=OR","EQY_CONSOLIDATED=Y","Sort=A","Dates=H","DateFormat=P","Fill=—","Direction=H","UseDPDF=Y")</f>
        <v>#NAME?</v>
      </c>
      <c r="AE353" s="2" t="e">
        <f ca="1">_xll.BDH($C$353,"WORK_CAP_GROWTH","FY 2014","FY 2014","Currency=INR","Period=FY","BEST_FPERIOD_OVERRIDE=FY","FILING_STATUS=OR","EQY_CONSOLIDATED=Y","Sort=A","Dates=H","DateFormat=P","Fill=—","Direction=H","UseDPDF=Y")</f>
        <v>#NAME?</v>
      </c>
      <c r="AF353" s="2" t="e">
        <f ca="1">_xll.BDH($C$353,"ACCOUNTS_PAYABLE_GROWTH_1YR","FY 2014","FY 2014","Currency=INR","Period=FY","BEST_FPERIOD_OVERRIDE=FY","FILING_STATUS=OR","EQY_CONSOLIDATED=Y","Sort=A","Dates=H","DateFormat=P","Fill=—","Direction=H","UseDPDF=Y")</f>
        <v>#NAME?</v>
      </c>
      <c r="AG353" s="2" t="e">
        <f ca="1">_xll.BDH($C$353,"SHORT_TERM_DEBT_1_YEAR_GROWTH","FY 2014","FY 2014","Currency=INR","Period=FY","BEST_FPERIOD_OVERRIDE=FY","FILING_STATUS=OR","EQY_CONSOLIDATED=Y","Sort=A","Dates=H","DateFormat=P","Fill=—","Direction=H","UseDPDF=Y")</f>
        <v>#NAME?</v>
      </c>
      <c r="AH353" s="2" t="e">
        <f ca="1">_xll.BDH($C$353,"TOTAL_DEBT_1_YEAR_GROWTH","FY 2014","FY 2014","Currency=INR","Period=FY","BEST_FPERIOD_OVERRIDE=FY","FILING_STATUS=OR","EQY_CONSOLIDATED=Y","Sort=A","Dates=H","DateFormat=P","Fill=—","Direction=H","UseDPDF=Y")</f>
        <v>#NAME?</v>
      </c>
      <c r="AI353" s="2" t="e">
        <f ca="1">_xll.BDH($C$353,"TOTAL_EQUITY_1_YEAR_GROWTH","FY 2014","FY 2014","Currency=INR","Period=FY","BEST_FPERIOD_OVERRIDE=FY","FILING_STATUS=OR","EQY_CONSOLIDATED=Y","Sort=A","Dates=H","DateFormat=P","Fill=—","Direction=H","UseDPDF=Y")</f>
        <v>#NAME?</v>
      </c>
      <c r="AJ353" s="2" t="e">
        <f ca="1">_xll.BDH($C$353,"GROWTH_IN_CAP","FY 2014","FY 2014","Currency=INR","Period=FY","BEST_FPERIOD_OVERRIDE=FY","FILING_STATUS=OR","EQY_CONSOLIDATED=Y","Sort=A","Dates=H","DateFormat=P","Fill=—","Direction=H","UseDPDF=Y")</f>
        <v>#NAME?</v>
      </c>
      <c r="AK353" s="2" t="e">
        <f ca="1">_xll.BDH($C$353,"BVPS_GROWTH","FY 2014","FY 2014","Currency=INR","Period=FY","BEST_FPERIOD_OVERRIDE=FY","FILING_STATUS=OR","EQY_CONSOLIDATED=Y","Sort=A","Dates=H","DateFormat=P","Fill=—","Direction=H","UseDPDF=Y")</f>
        <v>#NAME?</v>
      </c>
      <c r="AL353" s="2" t="e">
        <f ca="1">_xll.BDH($C$353,"CASH_FLOW_GROWTH","FY 2014","FY 2014","Currency=INR","Period=FY","BEST_FPERIOD_OVERRIDE=FY","FILING_STATUS=OR","EQY_CONSOLIDATED=Y","Sort=A","Dates=H","DateFormat=P","Fill=—","Direction=H","UseDPDF=Y")</f>
        <v>#NAME?</v>
      </c>
      <c r="AM353" s="2" t="e">
        <f ca="1">_xll.BDH($C$353,"GEO_GROW_NET_SALES","FY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353" s="2" t="e">
        <f ca="1">_xll.BDH($C$353,"GEO_GROW_EBITDA","FY 2014","FY 2014","Currency=INR","Period=FY","BEST_FPERIOD_OVERRIDE=FY","FILING_STATUS=OR","EQY_CONSOLIDATED=Y","FA_ADJUSTED=GAAP","Sort=A","Dates=H","DateFormat=P","Fill=—","Direction=H","UseDPDF=Y")</f>
        <v>#NAME?</v>
      </c>
      <c r="AO353" s="2" t="e">
        <f ca="1">_xll.BDH($C$353,"GEO_GROW_OPER_INC","FY 2014","FY 2014","Currency=INR","Period=FY","BEST_FPERIOD_OVERRIDE=FY","FILING_STATUS=OR","EQY_CONSOLIDATED=Y","FA_ADJUSTED=GAAP","Sort=A","Dates=H","DateFormat=P","Fill=—","Direction=H","UseDPDF=Y")</f>
        <v>#NAME?</v>
      </c>
      <c r="AP353" s="2" t="e">
        <f ca="1">_xll.BDH($C$353,"NET_INCOME_TO_COMMON_5_YR_GROWTH","FY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53" s="2" t="e">
        <f ca="1">_xll.BDH($C$353,"5Y_GEO_GROWTH_DILUTED_EPS","FY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53" s="2" t="e">
        <f ca="1">_xll.BDH($C$353,"GEO_GROW_DVD_PER_SH","FY 2014","FY 2014","Currency=INR","Period=FY","BEST_FPERIOD_OVERRIDE=FY","FILING_STATUS=OR","EQY_CONSOLIDATED=Y","Sort=A","Dates=H","DateFormat=P","Fill=—","Direction=H","UseDPDF=Y")</f>
        <v>#NAME?</v>
      </c>
      <c r="AS353" s="2" t="e">
        <f ca="1">_xll.BDH($C$353,"ACCOUNTS_RECEIVABLE_5_YR_GROWTH","FY 2014","FY 2014","Currency=INR","Period=FY","BEST_FPERIOD_OVERRIDE=FY","FILING_STATUS=OR","EQY_CONSOLIDATED=Y","Sort=A","Dates=H","DateFormat=P","Fill=—","Direction=H","UseDPDF=Y")</f>
        <v>#NAME?</v>
      </c>
      <c r="AT353" s="2" t="e">
        <f ca="1">_xll.BDH($C$353,"INVENTORY_5_YEAR_GROWTH","FY 2014","FY 2014","Currency=INR","Period=FY","BEST_FPERIOD_OVERRIDE=FY","FILING_STATUS=OR","EQY_CONSOLIDATED=Y","Sort=A","Dates=H","DateFormat=P","Fill=—","Direction=H","UseDPDF=Y")</f>
        <v>#NAME?</v>
      </c>
      <c r="AU353" s="2" t="e">
        <f ca="1">_xll.BDH($C$353,"NET_FIXED_ASSETS_5_YEAR_GROWTH","FY 2014","FY 2014","Currency=INR","Period=FY","BEST_FPERIOD_OVERRIDE=FY","FILING_STATUS=OR","EQY_CONSOLIDATED=Y","Sort=A","Dates=H","DateFormat=P","Fill=—","Direction=H","UseDPDF=Y")</f>
        <v>#NAME?</v>
      </c>
      <c r="AV353" s="2" t="e">
        <f ca="1">_xll.BDH($C$353,"GEO_GROW_TOT_ASSET","FY 2014","FY 2014","Currency=INR","Period=FY","BEST_FPERIOD_OVERRIDE=FY","FILING_STATUS=OR","EQY_CONSOLIDATED=Y","Sort=A","Dates=H","DateFormat=P","Fill=—","Direction=H","UseDPDF=Y")</f>
        <v>#NAME?</v>
      </c>
      <c r="AW353" s="2" t="e">
        <f ca="1">_xll.BDH($C$353,"MODIFIED_WORKING_CPTL_5YR_GRWTH","FY 2014","FY 2014","Currency=INR","Period=FY","BEST_FPERIOD_OVERRIDE=FY","FILING_STATUS=OR","EQY_CONSOLIDATED=Y","Sort=A","Dates=H","DateFormat=P","Fill=—","Direction=H","UseDPDF=Y")</f>
        <v>#NAME?</v>
      </c>
      <c r="AX353" s="2" t="e">
        <f ca="1">_xll.BDH($C$353,"WORKING_CAPITAL_5_YEAR_GROWTH","FY 2014","FY 2014","Currency=INR","Period=FY","BEST_FPERIOD_OVERRIDE=FY","FILING_STATUS=OR","EQY_CONSOLIDATED=Y","Sort=A","Dates=H","DateFormat=P","Fill=—","Direction=H","UseDPDF=Y")</f>
        <v>#NAME?</v>
      </c>
      <c r="AY353" s="2" t="e">
        <f ca="1">_xll.BDH($C$353,"ACCOUNTS_PAYABLE_5_YEAR_GROWTH","FY 2014","FY 2014","Currency=INR","Period=FY","BEST_FPERIOD_OVERRIDE=FY","FILING_STATUS=OR","EQY_CONSOLIDATED=Y","Sort=A","Dates=H","DateFormat=P","Fill=—","Direction=H","UseDPDF=Y")</f>
        <v>#NAME?</v>
      </c>
      <c r="AZ353" s="2" t="e">
        <f ca="1">_xll.BDH($C$353,"SHORT_TERM_DEBT_5_YEAR_GROWTH","FY 2014","FY 2014","Currency=INR","Period=FY","BEST_FPERIOD_OVERRIDE=FY","FILING_STATUS=OR","EQY_CONSOLIDATED=Y","Sort=A","Dates=H","DateFormat=P","Fill=—","Direction=H","UseDPDF=Y")</f>
        <v>#NAME?</v>
      </c>
      <c r="BA353" s="2" t="e">
        <f ca="1">_xll.BDH($C$353,"TOTAL_DEBT_5_YEAR_GROWTH","FY 2014","FY 2014","Currency=INR","Period=FY","BEST_FPERIOD_OVERRIDE=FY","FILING_STATUS=OR","EQY_CONSOLIDATED=Y","Sort=A","Dates=H","DateFormat=P","Fill=—","Direction=H","UseDPDF=Y")</f>
        <v>#NAME?</v>
      </c>
      <c r="BB353" s="2" t="e">
        <f ca="1">_xll.BDH($C$353,"GEO_GROW_TOT_SHRHLDR_EQY","FY 2014","FY 2014","Currency=INR","Period=FY","BEST_FPERIOD_OVERRIDE=FY","FILING_STATUS=OR","EQY_CONSOLIDATED=Y","Sort=A","Dates=H","DateFormat=P","Fill=—","Direction=H","UseDPDF=Y")</f>
        <v>#NAME?</v>
      </c>
      <c r="BC353" s="2" t="e">
        <f ca="1">_xll.BDH($C$353,"TOTAL_CAPITAL_5_YEAR_GROWTH","FY 2014","FY 2014","Currency=INR","Period=FY","BEST_FPERIOD_OVERRIDE=FY","FILING_STATUS=OR","EQY_CONSOLIDATED=Y","Sort=A","Dates=H","DateFormat=P","Fill=—","Direction=H","UseDPDF=Y")</f>
        <v>#NAME?</v>
      </c>
      <c r="BD353" s="2" t="e">
        <f ca="1">_xll.BDH($C$353,"GEO_GROW_BOOK_VAL","FY 2014","FY 2014","Currency=INR","Period=FY","BEST_FPERIOD_OVERRIDE=FY","FILING_STATUS=OR","EQY_CONSOLIDATED=Y","Sort=A","Dates=H","DateFormat=P","Fill=—","Direction=H","UseDPDF=Y")</f>
        <v>#NAME?</v>
      </c>
      <c r="BE353" s="2" t="e">
        <f ca="1">_xll.BDH($C$353,"GEO_GROW_CASH_OPER_ACT","FY 2014","FY 2014","Currency=INR","Period=FY","BEST_FPERIOD_OVERRIDE=FY","FILING_STATUS=OR","EQY_CONSOLIDATED=Y","Sort=A","Dates=H","DateFormat=P","Fill=—","Direction=H","UseDPDF=Y")</f>
        <v>#NAME?</v>
      </c>
      <c r="BF353" s="2" t="e">
        <f ca="1">_xll.BDH($C$353,"REVENUE_SEQUENTIAL_GROWTH","FY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53" s="2" t="e">
        <f ca="1">_xll.BDH($C$353,"EBITDA_SEQUENTIAL_GROWTH","FY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53" s="2" t="e">
        <f ca="1">_xll.BDH($C$353,"OPERATING_INCOME_SEQ_GROWTH","FY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53" s="2" t="e">
        <f ca="1">_xll.BDH($C$353,"NET_INCOME_TO_COMMON_SEQ_GROWTH","FY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53" s="2" t="e">
        <f ca="1">_xll.BDH($C$353,"EPS_DILUTED_SEQUENTIAL_GROWTH","FY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53" s="2" t="e">
        <f ca="1">_xll.BDH($C$353,"DPS_SEQUENTIAL_GROWTH","FY 2014","FY 2014","Currency=INR","Period=FY","BEST_FPERIOD_OVERRIDE=FY","FILING_STATUS=OR","EQY_CONSOLIDATED=Y","Sort=A","Dates=H","DateFormat=P","Fill=—","Direction=H","UseDPDF=Y")</f>
        <v>#NAME?</v>
      </c>
      <c r="BL353" s="2" t="e">
        <f ca="1">_xll.BDH($C$353,"ACCOUNTS_RECEIVABLE_SEQ_GROWTH","FY 2014","FY 2014","Currency=INR","Period=FY","BEST_FPERIOD_OVERRIDE=FY","FILING_STATUS=OR","EQY_CONSOLIDATED=Y","Sort=A","Dates=H","DateFormat=P","Fill=—","Direction=H","UseDPDF=Y")</f>
        <v>#NAME?</v>
      </c>
      <c r="BM353" s="2" t="e">
        <f ca="1">_xll.BDH($C$353,"INVENTORY_SEQUENTIAL_GROWTH","FY 2014","FY 2014","Currency=INR","Period=FY","BEST_FPERIOD_OVERRIDE=FY","FILING_STATUS=OR","EQY_CONSOLIDATED=Y","Sort=A","Dates=H","DateFormat=P","Fill=—","Direction=H","UseDPDF=Y")</f>
        <v>#NAME?</v>
      </c>
      <c r="BN353" s="2" t="e">
        <f ca="1">_xll.BDH($C$353,"FIXED_ASSETS_SEQUENTIAL_GROWTH","FY 2014","FY 2014","Currency=INR","Period=FY","BEST_FPERIOD_OVERRIDE=FY","FILING_STATUS=OR","EQY_CONSOLIDATED=Y","Sort=A","Dates=H","DateFormat=P","Fill=—","Direction=H","UseDPDF=Y")</f>
        <v>#NAME?</v>
      </c>
      <c r="BO353" s="2" t="e">
        <f ca="1">_xll.BDH($C$353,"TOTAL_ASSETS_SEQUENTIAL_GROWTH","FY 2014","FY 2014","Currency=INR","Period=FY","BEST_FPERIOD_OVERRIDE=FY","FILING_STATUS=OR","EQY_CONSOLIDATED=Y","Sort=A","Dates=H","DateFormat=P","Fill=—","Direction=H","UseDPDF=Y")</f>
        <v>#NAME?</v>
      </c>
      <c r="BP353" s="2" t="e">
        <f ca="1">_xll.BDH($C$353,"MODIFIED_WORKING_CPTL_SEQ_GRWTH","FY 2014","FY 2014","Currency=INR","Period=FY","BEST_FPERIOD_OVERRIDE=FY","FILING_STATUS=OR","EQY_CONSOLIDATED=Y","Sort=A","Dates=H","DateFormat=P","Fill=—","Direction=H","UseDPDF=Y")</f>
        <v>#NAME?</v>
      </c>
      <c r="BQ353" s="2" t="e">
        <f ca="1">_xll.BDH($C$353,"WORKING_CAPITAL_SEQ_GROWTH","FY 2014","FY 2014","Currency=INR","Period=FY","BEST_FPERIOD_OVERRIDE=FY","FILING_STATUS=OR","EQY_CONSOLIDATED=Y","Sort=A","Dates=H","DateFormat=P","Fill=—","Direction=H","UseDPDF=Y")</f>
        <v>#NAME?</v>
      </c>
      <c r="BR353" s="2" t="e">
        <f ca="1">_xll.BDH($C$353,"ACCOUNTS_PAYABLE_SEQ_GROWTH","FY 2014","FY 2014","Currency=INR","Period=FY","BEST_FPERIOD_OVERRIDE=FY","FILING_STATUS=OR","EQY_CONSOLIDATED=Y","Sort=A","Dates=H","DateFormat=P","Fill=—","Direction=H","UseDPDF=Y")</f>
        <v>#NAME?</v>
      </c>
      <c r="BS353" s="2" t="e">
        <f ca="1">_xll.BDH($C$353,"ST_DEBT_SEQUENTIAL_GROWTH","FY 2014","FY 2014","Currency=INR","Period=FY","BEST_FPERIOD_OVERRIDE=FY","FILING_STATUS=OR","EQY_CONSOLIDATED=Y","Sort=A","Dates=H","DateFormat=P","Fill=—","Direction=H","UseDPDF=Y")</f>
        <v>#NAME?</v>
      </c>
      <c r="BT353" s="2" t="e">
        <f ca="1">_xll.BDH($C$353,"TOTAL_DEBT_SEQUENTIAL_GROWTH","FY 2014","FY 2014","Currency=INR","Period=FY","BEST_FPERIOD_OVERRIDE=FY","FILING_STATUS=OR","EQY_CONSOLIDATED=Y","Sort=A","Dates=H","DateFormat=P","Fill=—","Direction=H","UseDPDF=Y")</f>
        <v>#NAME?</v>
      </c>
      <c r="BU353" s="2" t="e">
        <f ca="1">_xll.BDH($C$353,"TOTAL_EQUITY_SEQUENTIAL_GROWTH","FY 2014","FY 2014","Currency=INR","Period=FY","BEST_FPERIOD_OVERRIDE=FY","FILING_STATUS=OR","EQY_CONSOLIDATED=Y","Sort=A","Dates=H","DateFormat=P","Fill=—","Direction=H","UseDPDF=Y")</f>
        <v>#NAME?</v>
      </c>
      <c r="BV353" s="2" t="e">
        <f ca="1">_xll.BDH($C$353,"TOTAL_CAPITAL_SEQUENTIAL_GROWTH","FY 2014","FY 2014","Currency=INR","Period=FY","BEST_FPERIOD_OVERRIDE=FY","FILING_STATUS=OR","EQY_CONSOLIDATED=Y","Sort=A","Dates=H","DateFormat=P","Fill=—","Direction=H","UseDPDF=Y")</f>
        <v>#NAME?</v>
      </c>
      <c r="BW353" s="2" t="e">
        <f ca="1">_xll.BDH($C$353,"BPS_SEQUENTIAL_GROWTH","FY 2014","FY 2014","Currency=INR","Period=FY","BEST_FPERIOD_OVERRIDE=FY","FILING_STATUS=OR","EQY_CONSOLIDATED=Y","Sort=A","Dates=H","DateFormat=P","Fill=—","Direction=H","UseDPDF=Y")</f>
        <v>#NAME?</v>
      </c>
      <c r="BX353" s="2" t="e">
        <f ca="1">_xll.BDH($C$353,"CFO_SEQUENTIAL_GROWTH","FY 2014","FY 2014","Currency=INR","Period=FY","BEST_FPERIOD_OVERRIDE=FY","FILING_STATUS=OR","EQY_CONSOLIDATED=Y","Sort=A","Dates=H","DateFormat=P","Fill=—","Direction=H","UseDPDF=Y")</f>
        <v>#NAME?</v>
      </c>
      <c r="BY353" s="3" t="e">
        <f ca="1">_xll.BDH($C$353,"SHORT_AND_LONG_TERM_DEBT","FY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53" s="3" t="e">
        <f ca="1">_xll.BDH($C$353,"BS_ST_BORROW","FY 2014","FY 2014","Currency=INR","Period=FY","BEST_FPERIOD_OVERRIDE=FY","FILING_STATUS=OR","EQY_CONSOLIDATED=Y","SCALING_FORMAT=MLN","Sort=A","Dates=H","DateFormat=P","Fill=—","Direction=H","UseDPDF=Y")</f>
        <v>#NAME?</v>
      </c>
      <c r="CA353" s="3" t="e">
        <f ca="1">_xll.BDH($C$353,"BS_LT_BORROW","FY 2014","FY 2014","Currency=INR","Period=FY","BEST_FPERIOD_OVERRIDE=FY","FILING_STATUS=OR","EQY_CONSOLIDATED=Y","SCALING_FORMAT=MLN","Sort=A","Dates=H","DateFormat=P","Fill=—","Direction=H","UseDPDF=Y")</f>
        <v>#NAME?</v>
      </c>
      <c r="CB353" s="2" t="e">
        <f ca="1">_xll.BDH($C$353,"TOT_DEBT_TO_EBITDA","FY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353" s="2" t="e">
        <f ca="1">_xll.BDH($C$353,"NET_DEBT_TO_EBITDA","FY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353" s="2" t="e">
        <f ca="1">_xll.BDH($C$353,"TOTAL_DEBT_TO_EBIT","FY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353" s="2" t="e">
        <f ca="1">_xll.BDH($C$353,"NET_DEBT_TO_EBIT","FY 2014","FY 2014","Currency=INR","Period=FY","BEST_FPERIOD_OVERRIDE=FY","FILING_STATUS=OR","EQY_CONSOLIDATED=Y","FA_ADJUSTED=GAAP","Sort=A","Dates=H","DateFormat=P","Fill=—","Direction=H","UseDPDF=Y")</f>
        <v>#NAME?</v>
      </c>
      <c r="CF353" s="2" t="e">
        <f ca="1">_xll.BDH($C$353,"EBITDA_TO_INTEREST_EXPN","FY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53" s="2" t="e">
        <f ca="1">_xll.BDH($C$353,"COM_EQY_TO_TOT_ASSET","FY 2014","FY 2014","Currency=INR","Period=FY","BEST_FPERIOD_OVERRIDE=FY","FILING_STATUS=OR","EQY_CONSOLIDATED=Y","Sort=A","Dates=H","DateFormat=P","Fill=—","Direction=H","UseDPDF=Y")</f>
        <v>#NAME?</v>
      </c>
      <c r="CH353" s="2" t="e">
        <f ca="1">_xll.BDH($C$353,"LT_DEBT_TO_TOT_EQY","FY 2014","FY 2014","Currency=INR","Period=FY","BEST_FPERIOD_OVERRIDE=FY","FILING_STATUS=OR","EQY_CONSOLIDATED=Y","Sort=A","Dates=H","DateFormat=P","Fill=—","Direction=H","UseDPDF=Y")</f>
        <v>#NAME?</v>
      </c>
      <c r="CI353" s="2" t="e">
        <f ca="1">_xll.BDH($C$353,"LT_DEBT_TO_TOT_CAP","FY 2014","FY 2014","Currency=INR","Period=FY","BEST_FPERIOD_OVERRIDE=FY","FILING_STATUS=OR","EQY_CONSOLIDATED=Y","Sort=A","Dates=H","DateFormat=P","Fill=—","Direction=H","UseDPDF=Y")</f>
        <v>#NAME?</v>
      </c>
      <c r="CJ353" s="2" t="e">
        <f ca="1">_xll.BDH($C$353,"LT_DEBT_TO_TOT_ASSET","FY 2014","FY 2014","Currency=INR","Period=FY","BEST_FPERIOD_OVERRIDE=FY","FILING_STATUS=OR","EQY_CONSOLIDATED=Y","Sort=A","Dates=H","DateFormat=P","Fill=—","Direction=H","UseDPDF=Y")</f>
        <v>#NAME?</v>
      </c>
      <c r="CK353" s="2" t="e">
        <f ca="1">_xll.BDH($C$353,"TOT_DEBT_TO_TOT_EQY","FY 2014","FY 2014","Currency=INR","Period=FY","BEST_FPERIOD_OVERRIDE=FY","FILING_STATUS=OR","EQY_CONSOLIDATED=Y","Sort=A","Dates=H","DateFormat=P","Fill=—","Direction=H","UseDPDF=Y")</f>
        <v>#NAME?</v>
      </c>
      <c r="CL353" s="2" t="e">
        <f ca="1">_xll.BDH($C$353,"TOT_DEBT_TO_TOT_CAP","FY 2014","FY 2014","Currency=INR","Period=FY","BEST_FPERIOD_OVERRIDE=FY","FILING_STATUS=OR","EQY_CONSOLIDATED=Y","Sort=A","Dates=H","DateFormat=P","Fill=—","Direction=H","UseDPDF=Y")</f>
        <v>#NAME?</v>
      </c>
      <c r="CM353" s="2" t="e">
        <f ca="1">_xll.BDH($C$353,"TOT_DEBT_TO_TOT_ASSET","FY 2014","FY 2014","Currency=INR","Period=FY","BEST_FPERIOD_OVERRIDE=FY","FILING_STATUS=OR","EQY_CONSOLIDATED=Y","Sort=A","Dates=H","DateFormat=P","Fill=—","Direction=H","UseDPDF=Y")</f>
        <v>#NAME?</v>
      </c>
      <c r="CN353" s="2" t="e">
        <f ca="1">_xll.BDH($C$353,"NET_DEBT_TO_SHRHLDR_EQTY","FY 2014","FY 2014","Currency=INR","Period=FY","BEST_FPERIOD_OVERRIDE=FY","FILING_STATUS=OR","EQY_CONSOLIDATED=Y","Sort=A","Dates=H","DateFormat=P","Fill=—","Direction=H","UseDPDF=Y")</f>
        <v>#NAME?</v>
      </c>
      <c r="CO353" s="2" t="e">
        <f ca="1">_xll.BDH($C$353,"NET_DEBT_%_CAPITAL","FY 2014","FY 2014","Currency=INR","Period=FY","BEST_FPERIOD_OVERRIDE=FY","FILING_STATUS=OR","EQY_CONSOLIDATED=Y","Sort=A","Dates=H","DateFormat=P","Fill=—","Direction=H","UseDPDF=Y")</f>
        <v>#NAME?</v>
      </c>
      <c r="CP353" s="3" t="e">
        <f ca="1">_xll.BDH($C$353,"EBITDA","FY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53" s="3" t="e">
        <f ca="1">_xll.BDH($C$353,"EBITDA_AFTER_CAPEX","FY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53" s="3" t="e">
        <f ca="1">_xll.BDH($C$353,"IS_OPER_INC","FY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53" s="2" t="e">
        <f ca="1">_xll.BDH($C$353,"CASH_RATIO","FY 2014","FY 2014","Currency=INR","Period=FY","BEST_FPERIOD_OVERRIDE=FY","FILING_STATUS=OR","EQY_CONSOLIDATED=Y","Sort=A","Dates=H","DateFormat=P","Fill=—","Direction=H","UseDPDF=Y")</f>
        <v>#NAME?</v>
      </c>
      <c r="CT353" s="2" t="e">
        <f ca="1">_xll.BDH($C$353,"CUR_RATIO","FY 2014","FY 2014","Currency=INR","Period=FY","BEST_FPERIOD_OVERRIDE=FY","FILING_STATUS=OR","EQY_CONSOLIDATED=Y","Sort=A","Dates=H","DateFormat=P","Fill=—","Direction=H","UseDPDF=Y")</f>
        <v>#NAME?</v>
      </c>
      <c r="CU353" s="2" t="e">
        <f ca="1">_xll.BDH($C$353,"QUICK_RATIO","FY 2014","FY 2014","Currency=INR","Period=FY","BEST_FPERIOD_OVERRIDE=FY","FILING_STATUS=OR","EQY_CONSOLIDATED=Y","Sort=A","Dates=H","DateFormat=P","Fill=—","Direction=H","UseDPDF=Y")</f>
        <v>#NAME?</v>
      </c>
      <c r="CV353" s="2" t="e">
        <f ca="1">_xll.BDH($C$353,"ALTMAN_Z_SCORE","FY 2014","FY 2014","Currency=INR","Period=FY","BEST_FPERIOD_OVERRIDE=FY","FILING_STATUS=OR","EQY_CONSOLIDATED=Y","Sort=A","Dates=H","DateFormat=P","Fill=—","Direction=H","UseDPDF=Y")</f>
        <v>#NAME?</v>
      </c>
      <c r="CW353" s="4" t="e">
        <f ca="1">_xll.BDH($C$353,"ACCT_RCV_TURN","FY 2014","FY 2014","Currency=INR","Period=FY","BEST_FPERIOD_OVERRIDE=FY","FILING_STATUS=OR","EQY_CONSOLIDATED=Y","FA_ADJUSTED=GAAP","Sort=A","Dates=H","DateFormat=P","Fill=—","Direction=H","UseDPDF=Y")</f>
        <v>#NAME?</v>
      </c>
      <c r="CX353" s="2" t="e">
        <f ca="1">_xll.BDH($C$353,"ACCT_RCV_DAYS","FY 2014","FY 2014","Currency=INR","Period=FY","BEST_FPERIOD_OVERRIDE=FY","FILING_STATUS=OR","EQY_CONSOLIDATED=Y","FA_ADJUSTED=GAAP","Sort=A","Dates=H","DateFormat=P","Fill=—","Direction=H","UseDPDF=Y")</f>
        <v>#NAME?</v>
      </c>
      <c r="CY353" s="4" t="e">
        <f ca="1">_xll.BDH($C$353,"INVENT_TURN","FY 2014","FY 2014","Currency=INR","Period=FY","BEST_FPERIOD_OVERRIDE=FY","FILING_STATUS=OR","EQY_CONSOLIDATED=Y","FA_ADJUSTED=GAAP","Sort=A","Dates=H","DateFormat=P","Fill=—","Direction=H","UseDPDF=Y")</f>
        <v>#NAME?</v>
      </c>
      <c r="CZ353" s="2" t="e">
        <f ca="1">_xll.BDH($C$353,"INVENT_DAYS","FY 2014","FY 2014","Currency=INR","Period=FY","BEST_FPERIOD_OVERRIDE=FY","FILING_STATUS=OR","EQY_CONSOLIDATED=Y","FA_ADJUSTED=GAAP","Sort=A","Dates=H","DateFormat=P","Fill=—","Direction=H","UseDPDF=Y")</f>
        <v>#NAME?</v>
      </c>
      <c r="DA353" s="4" t="e">
        <f ca="1">_xll.BDH($C$353,"ACCOUNTS_PAYABLE_TURNOVER","FY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53" s="2" t="e">
        <f ca="1">_xll.BDH($C$353,"ACCOUNTS_PAYABLE_TURNOVER_DAYS","FY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53" s="4" t="e">
        <f ca="1">_xll.BDH($C$353,"CASH_CONVERSION_CYCLE","FY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53" s="4" t="e">
        <f ca="1">_xll.BDH($C$353,"INV_TO_CASH_DAYS","FY 2014","FY 2014","Currency=INR","Period=FY","BEST_FPERIOD_OVERRIDE=FY","FILING_STATUS=OR","EQY_CONSOLIDATED=Y","FA_ADJUSTED=GAAP","Sort=A","Dates=H","DateFormat=P","Fill=—","Direction=H","UseDPDF=Y")</f>
        <v>#NAME?</v>
      </c>
      <c r="DE353" s="5" t="e">
        <f ca="1">_xll.BDH($C$353,"BS_INVENTORIES","FY 2014","FY 2014","Currency=INR","Period=FY","BEST_FPERIOD_OVERRIDE=FY","FILING_STATUS=OR","EQY_CONSOLIDATED=Y","SCALING_FORMAT=MLN","Sort=A","Dates=H","DateFormat=P","Fill=—","Direction=H","UseDPDF=Y")</f>
        <v>#NAME?</v>
      </c>
      <c r="DF353" s="3" t="e">
        <f ca="1">_xll.BDH($C$353,"INVTRY_RAW_MATERIALS","FY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53" s="3" t="e">
        <f ca="1">_xll.BDH($C$353,"INVTRY_IN_PROGRESS","FY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53" s="3" t="e">
        <f ca="1">_xll.BDH($C$353,"INVTRY_FINISHED_GOODS","FY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53" s="3" t="e">
        <f ca="1">_xll.BDH($C$353,"BS_OTHER_INV","FY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54" spans="1:113" x14ac:dyDescent="0.3">
      <c r="A354" s="6"/>
      <c r="B354" s="6"/>
      <c r="C354" s="6"/>
      <c r="D354" s="6"/>
      <c r="E354" t="s">
        <v>78</v>
      </c>
      <c r="F354" t="e">
        <f ca="1">_xll.BDH($C$353,"RETURN_COM_EQY","FQ1 2014","FQ1 2014","Currency=INR","Period=FQ","BEST_FPERIOD_OVERRIDE=FQ","FILING_STATUS=OR","EQY_CONSOLIDATED=Y","FA_ADJUSTED=GAAP","Sort=A","Dates=H","DateFormat=P","Fill=—","Direction=H","UseDPDF=Y")</f>
        <v>#NAME?</v>
      </c>
      <c r="G354" t="e">
        <f ca="1">_xll.BDH($C$353,"RETURN_ON_ASSET","FQ1 2014","FQ1 2014","Currency=INR","Period=FQ","BEST_FPERIOD_OVERRIDE=FQ","FILING_STATUS=OR","EQY_CONSOLIDATED=Y","FA_ADJUSTED=GAAP","Sort=A","Dates=H","DateFormat=P","Fill=—","Direction=H","UseDPDF=Y")</f>
        <v>#NAME?</v>
      </c>
      <c r="H354" t="e">
        <f ca="1">_xll.BDH($C$353,"RETURN_ON_CAP","FQ1 2014","FQ1 2014","Currency=INR","Period=FQ","BEST_FPERIOD_OVERRIDE=FQ","FILING_STATUS=OR","EQY_CONSOLIDATED=Y","FA_ADJUSTED=GAAP","Sort=A","Dates=H","DateFormat=P","Fill=—","Direction=H","UseDPDF=Y")</f>
        <v>#NAME?</v>
      </c>
      <c r="I354" t="e">
        <f ca="1">_xll.BDH($C$353,"RETURN_ON_INV_CAPITAL","FQ1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54" t="e">
        <f ca="1">_xll.BDH($C$353,"EBITDA_TO_REVENUE","FQ1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354" t="e">
        <f ca="1">_xll.BDH($C$353,"OPER_MARGIN","FQ1 2014","FQ1 2014","Currency=INR","Period=FQ","BEST_FPERIOD_OVERRIDE=FQ","FILING_STATUS=OR","EQY_CONSOLIDATED=Y","FA_ADJUSTED=GAAP","Sort=A","Dates=H","DateFormat=P","Fill=—","Direction=H","UseDPDF=Y")</f>
        <v>#NAME?</v>
      </c>
      <c r="L354" t="e">
        <f ca="1">_xll.BDH($C$353,"INCREMENTAL_OPERATING_MARGIN","FQ1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54" t="e">
        <f ca="1">_xll.BDH($C$353,"PRETAX_INC_TO_NET_SALES","FQ1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54" t="e">
        <f ca="1">_xll.BDH($C$353,"INC_BEF_XO_ITEMS_TO_NET_SALES","FQ1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54" t="e">
        <f ca="1">_xll.BDH($C$353,"PROF_MARGIN","FQ1 2014","FQ1 2014","Currency=INR","Period=FQ","BEST_FPERIOD_OVERRIDE=FQ","FILING_STATUS=OR","EQY_CONSOLIDATED=Y","FA_ADJUSTED=GAAP","Sort=A","Dates=H","DateFormat=P","Fill=—","Direction=H","UseDPDF=Y")</f>
        <v>#NAME?</v>
      </c>
      <c r="P354" t="e">
        <f ca="1">_xll.BDH($C$353,"NET_INCOME_TO_COMMON_MARGIN","FQ1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54" t="e">
        <f ca="1">_xll.BDH($C$353,"EFF_TAX_RATE","FQ1 2014","FQ1 2014","Currency=INR","Period=FQ","BEST_FPERIOD_OVERRIDE=FQ","FILING_STATUS=OR","EQY_CONSOLIDATED=Y","FA_ADJUSTED=GAAP","Sort=A","Dates=H","DateFormat=P","Fill=—","Direction=H","UseDPDF=Y")</f>
        <v>#NAME?</v>
      </c>
      <c r="R354" t="e">
        <f ca="1">_xll.BDH($C$353,"DVD_PAYOUT_RATIO","FQ1 2014","FQ1 2014","Currency=INR","Period=FQ","BEST_FPERIOD_OVERRIDE=FQ","FILING_STATUS=OR","EQY_CONSOLIDATED=Y","FA_ADJUSTED=GAAP","Sort=A","Dates=H","DateFormat=P","Fill=—","Direction=H","UseDPDF=Y")</f>
        <v>#NAME?</v>
      </c>
      <c r="S354" t="e">
        <f ca="1">_xll.BDH($C$353,"SUSTAIN_GROWTH_RT","FQ1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354" s="2" t="e">
        <f ca="1">_xll.BDH($C$353,"SALES_GROWTH","FQ1 2014","FQ1 2014","Currency=INR","Period=FQ","BEST_FPERIOD_OVERRIDE=FQ","FILING_STATUS=OR","EQY_CONSOLIDATED=Y","FA_ADJUSTED=GAAP","Sort=A","Dates=H","DateFormat=P","Fill=—","Direction=H","UseDPDF=Y")</f>
        <v>#NAME?</v>
      </c>
      <c r="U354" s="2" t="e">
        <f ca="1">_xll.BDH($C$353,"EBITDA_GROWTH","FQ1 2014","FQ1 2014","Currency=INR","Period=FQ","BEST_FPERIOD_OVERRIDE=FQ","FILING_STATUS=OR","EQY_CONSOLIDATED=Y","FA_ADJUSTED=GAAP","Sort=A","Dates=H","DateFormat=P","Fill=—","Direction=H","UseDPDF=Y")</f>
        <v>#NAME?</v>
      </c>
      <c r="V354" s="2" t="e">
        <f ca="1">_xll.BDH($C$353,"OPER_INC_GROWTH","FQ1 2014","FQ1 2014","Currency=INR","Period=FQ","BEST_FPERIOD_OVERRIDE=FQ","FILING_STATUS=OR","EQY_CONSOLIDATED=Y","FA_ADJUSTED=GAAP","Sort=A","Dates=H","DateFormat=P","Fill=—","Direction=H","UseDPDF=Y")</f>
        <v>#NAME?</v>
      </c>
      <c r="W354" s="2" t="e">
        <f ca="1">_xll.BDH($C$353,"EARN_FOR_COM_GROWTH","FQ1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54" s="2" t="e">
        <f ca="1">_xll.BDH($C$353,"DILUTED_EPS_AFT_XO_ITEMS_GROWTH","FQ1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54" s="2" t="e">
        <f ca="1">_xll.BDH($C$353,"DIVIDEND_PER_SHARE_1_YEAR_GROWTH","FQ1 2014","FQ1 2014","Currency=INR","Period=FQ","BEST_FPERIOD_OVERRIDE=FQ","FILING_STATUS=OR","EQY_CONSOLIDATED=Y","Sort=A","Dates=H","DateFormat=P","Fill=—","Direction=H","UseDPDF=Y")</f>
        <v>#NAME?</v>
      </c>
      <c r="Z354" s="2" t="e">
        <f ca="1">_xll.BDH($C$353,"ACCOUNTS_RECEIVABLE_GROWTH","FQ1 2014","FQ1 2014","Currency=INR","Period=FQ","BEST_FPERIOD_OVERRIDE=FQ","FILING_STATUS=OR","EQY_CONSOLIDATED=Y","Sort=A","Dates=H","DateFormat=P","Fill=—","Direction=H","UseDPDF=Y")</f>
        <v>#NAME?</v>
      </c>
      <c r="AA354" s="2" t="e">
        <f ca="1">_xll.BDH($C$353,"INVENTORY_GROWTH","FQ1 2014","FQ1 2014","Currency=INR","Period=FQ","BEST_FPERIOD_OVERRIDE=FQ","FILING_STATUS=OR","EQY_CONSOLIDATED=Y","Sort=A","Dates=H","DateFormat=P","Fill=—","Direction=H","UseDPDF=Y")</f>
        <v>#NAME?</v>
      </c>
      <c r="AB354" s="2" t="e">
        <f ca="1">_xll.BDH($C$353,"NET_FIXED_ASSETS_1_YEAR_GROWTH","FQ1 2014","FQ1 2014","Currency=INR","Period=FQ","BEST_FPERIOD_OVERRIDE=FQ","FILING_STATUS=OR","EQY_CONSOLIDATED=Y","Sort=A","Dates=H","DateFormat=P","Fill=—","Direction=H","UseDPDF=Y")</f>
        <v>#NAME?</v>
      </c>
      <c r="AC354" s="2" t="e">
        <f ca="1">_xll.BDH($C$353,"ASSET_GROWTH","FQ1 2014","FQ1 2014","Currency=INR","Period=FQ","BEST_FPERIOD_OVERRIDE=FQ","FILING_STATUS=OR","EQY_CONSOLIDATED=Y","Sort=A","Dates=H","DateFormat=P","Fill=—","Direction=H","UseDPDF=Y")</f>
        <v>#NAME?</v>
      </c>
      <c r="AD354" s="2" t="e">
        <f ca="1">_xll.BDH($C$353,"MODIFIED_WORK_CAP_GROWTH","FQ1 2014","FQ1 2014","Currency=INR","Period=FQ","BEST_FPERIOD_OVERRIDE=FQ","FILING_STATUS=OR","EQY_CONSOLIDATED=Y","Sort=A","Dates=H","DateFormat=P","Fill=—","Direction=H","UseDPDF=Y")</f>
        <v>#NAME?</v>
      </c>
      <c r="AE354" s="2" t="e">
        <f ca="1">_xll.BDH($C$353,"WORK_CAP_GROWTH","FQ1 2014","FQ1 2014","Currency=INR","Period=FQ","BEST_FPERIOD_OVERRIDE=FQ","FILING_STATUS=OR","EQY_CONSOLIDATED=Y","Sort=A","Dates=H","DateFormat=P","Fill=—","Direction=H","UseDPDF=Y")</f>
        <v>#NAME?</v>
      </c>
      <c r="AF354" s="2" t="e">
        <f ca="1">_xll.BDH($C$353,"ACCOUNTS_PAYABLE_GROWTH_1YR","FQ1 2014","FQ1 2014","Currency=INR","Period=FQ","BEST_FPERIOD_OVERRIDE=FQ","FILING_STATUS=OR","EQY_CONSOLIDATED=Y","Sort=A","Dates=H","DateFormat=P","Fill=—","Direction=H","UseDPDF=Y")</f>
        <v>#NAME?</v>
      </c>
      <c r="AG354" s="2" t="e">
        <f ca="1">_xll.BDH($C$353,"SHORT_TERM_DEBT_1_YEAR_GROWTH","FQ1 2014","FQ1 2014","Currency=INR","Period=FQ","BEST_FPERIOD_OVERRIDE=FQ","FILING_STATUS=OR","EQY_CONSOLIDATED=Y","Sort=A","Dates=H","DateFormat=P","Fill=—","Direction=H","UseDPDF=Y")</f>
        <v>#NAME?</v>
      </c>
      <c r="AH354" s="2" t="e">
        <f ca="1">_xll.BDH($C$353,"TOTAL_DEBT_1_YEAR_GROWTH","FQ1 2014","FQ1 2014","Currency=INR","Period=FQ","BEST_FPERIOD_OVERRIDE=FQ","FILING_STATUS=OR","EQY_CONSOLIDATED=Y","Sort=A","Dates=H","DateFormat=P","Fill=—","Direction=H","UseDPDF=Y")</f>
        <v>#NAME?</v>
      </c>
      <c r="AI354" s="2" t="e">
        <f ca="1">_xll.BDH($C$353,"TOTAL_EQUITY_1_YEAR_GROWTH","FQ1 2014","FQ1 2014","Currency=INR","Period=FQ","BEST_FPERIOD_OVERRIDE=FQ","FILING_STATUS=OR","EQY_CONSOLIDATED=Y","Sort=A","Dates=H","DateFormat=P","Fill=—","Direction=H","UseDPDF=Y")</f>
        <v>#NAME?</v>
      </c>
      <c r="AJ354" s="2" t="e">
        <f ca="1">_xll.BDH($C$353,"GROWTH_IN_CAP","FQ1 2014","FQ1 2014","Currency=INR","Period=FQ","BEST_FPERIOD_OVERRIDE=FQ","FILING_STATUS=OR","EQY_CONSOLIDATED=Y","Sort=A","Dates=H","DateFormat=P","Fill=—","Direction=H","UseDPDF=Y")</f>
        <v>#NAME?</v>
      </c>
      <c r="AK354" s="2" t="e">
        <f ca="1">_xll.BDH($C$353,"BVPS_GROWTH","FQ1 2014","FQ1 2014","Currency=INR","Period=FQ","BEST_FPERIOD_OVERRIDE=FQ","FILING_STATUS=OR","EQY_CONSOLIDATED=Y","Sort=A","Dates=H","DateFormat=P","Fill=—","Direction=H","UseDPDF=Y")</f>
        <v>#NAME?</v>
      </c>
      <c r="AL354" s="2" t="e">
        <f ca="1">_xll.BDH($C$353,"CASH_FLOW_GROWTH","FQ1 2014","FQ1 2014","Currency=INR","Period=FQ","BEST_FPERIOD_OVERRIDE=FQ","FILING_STATUS=OR","EQY_CONSOLIDATED=Y","Sort=A","Dates=H","DateFormat=P","Fill=—","Direction=H","UseDPDF=Y")</f>
        <v>#NAME?</v>
      </c>
      <c r="AM354" s="2" t="e">
        <f ca="1">_xll.BDH($C$353,"GEO_GROW_NET_SALES","FQ1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54" s="2" t="e">
        <f ca="1">_xll.BDH($C$353,"GEO_GROW_EBITDA","FQ1 2014","FQ1 2014","Currency=INR","Period=FQ","BEST_FPERIOD_OVERRIDE=FQ","FILING_STATUS=OR","EQY_CONSOLIDATED=Y","FA_ADJUSTED=GAAP","Sort=A","Dates=H","DateFormat=P","Fill=—","Direction=H","UseDPDF=Y")</f>
        <v>#NAME?</v>
      </c>
      <c r="AO354" s="2" t="e">
        <f ca="1">_xll.BDH($C$353,"GEO_GROW_OPER_INC","FQ1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54" s="2" t="e">
        <f ca="1">_xll.BDH($C$353,"NET_INCOME_TO_COMMON_5_YR_GROWTH","FQ1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54" s="2" t="e">
        <f ca="1">_xll.BDH($C$353,"5Y_GEO_GROWTH_DILUTED_EPS","FQ1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54" s="2" t="e">
        <f ca="1">_xll.BDH($C$353,"GEO_GROW_DVD_PER_SH","FQ1 2014","FQ1 2014","Currency=INR","Period=FQ","BEST_FPERIOD_OVERRIDE=FQ","FILING_STATUS=OR","EQY_CONSOLIDATED=Y","Sort=A","Dates=H","DateFormat=P","Fill=—","Direction=H","UseDPDF=Y")</f>
        <v>#NAME?</v>
      </c>
      <c r="AS354" s="2" t="e">
        <f ca="1">_xll.BDH($C$353,"ACCOUNTS_RECEIVABLE_5_YR_GROWTH","FQ1 2014","FQ1 2014","Currency=INR","Period=FQ","BEST_FPERIOD_OVERRIDE=FQ","FILING_STATUS=OR","EQY_CONSOLIDATED=Y","Sort=A","Dates=H","DateFormat=P","Fill=—","Direction=H","UseDPDF=Y")</f>
        <v>#NAME?</v>
      </c>
      <c r="AT354" s="2" t="e">
        <f ca="1">_xll.BDH($C$353,"INVENTORY_5_YEAR_GROWTH","FQ1 2014","FQ1 2014","Currency=INR","Period=FQ","BEST_FPERIOD_OVERRIDE=FQ","FILING_STATUS=OR","EQY_CONSOLIDATED=Y","Sort=A","Dates=H","DateFormat=P","Fill=—","Direction=H","UseDPDF=Y")</f>
        <v>#NAME?</v>
      </c>
      <c r="AU354" s="2" t="e">
        <f ca="1">_xll.BDH($C$353,"NET_FIXED_ASSETS_5_YEAR_GROWTH","FQ1 2014","FQ1 2014","Currency=INR","Period=FQ","BEST_FPERIOD_OVERRIDE=FQ","FILING_STATUS=OR","EQY_CONSOLIDATED=Y","Sort=A","Dates=H","DateFormat=P","Fill=—","Direction=H","UseDPDF=Y")</f>
        <v>#NAME?</v>
      </c>
      <c r="AV354" s="2" t="e">
        <f ca="1">_xll.BDH($C$353,"GEO_GROW_TOT_ASSET","FQ1 2014","FQ1 2014","Currency=INR","Period=FQ","BEST_FPERIOD_OVERRIDE=FQ","FILING_STATUS=OR","EQY_CONSOLIDATED=Y","Sort=A","Dates=H","DateFormat=P","Fill=—","Direction=H","UseDPDF=Y")</f>
        <v>#NAME?</v>
      </c>
      <c r="AW354" s="2" t="e">
        <f ca="1">_xll.BDH($C$353,"MODIFIED_WORKING_CPTL_5YR_GRWTH","FQ1 2014","FQ1 2014","Currency=INR","Period=FQ","BEST_FPERIOD_OVERRIDE=FQ","FILING_STATUS=OR","EQY_CONSOLIDATED=Y","Sort=A","Dates=H","DateFormat=P","Fill=—","Direction=H","UseDPDF=Y")</f>
        <v>#NAME?</v>
      </c>
      <c r="AX354" s="2" t="e">
        <f ca="1">_xll.BDH($C$353,"WORKING_CAPITAL_5_YEAR_GROWTH","FQ1 2014","FQ1 2014","Currency=INR","Period=FQ","BEST_FPERIOD_OVERRIDE=FQ","FILING_STATUS=OR","EQY_CONSOLIDATED=Y","Sort=A","Dates=H","DateFormat=P","Fill=—","Direction=H","UseDPDF=Y")</f>
        <v>#NAME?</v>
      </c>
      <c r="AY354" s="2" t="e">
        <f ca="1">_xll.BDH($C$353,"ACCOUNTS_PAYABLE_5_YEAR_GROWTH","FQ1 2014","FQ1 2014","Currency=INR","Period=FQ","BEST_FPERIOD_OVERRIDE=FQ","FILING_STATUS=OR","EQY_CONSOLIDATED=Y","Sort=A","Dates=H","DateFormat=P","Fill=—","Direction=H","UseDPDF=Y")</f>
        <v>#NAME?</v>
      </c>
      <c r="AZ354" s="2" t="e">
        <f ca="1">_xll.BDH($C$353,"SHORT_TERM_DEBT_5_YEAR_GROWTH","FQ1 2014","FQ1 2014","Currency=INR","Period=FQ","BEST_FPERIOD_OVERRIDE=FQ","FILING_STATUS=OR","EQY_CONSOLIDATED=Y","Sort=A","Dates=H","DateFormat=P","Fill=—","Direction=H","UseDPDF=Y")</f>
        <v>#NAME?</v>
      </c>
      <c r="BA354" s="2" t="e">
        <f ca="1">_xll.BDH($C$353,"TOTAL_DEBT_5_YEAR_GROWTH","FQ1 2014","FQ1 2014","Currency=INR","Period=FQ","BEST_FPERIOD_OVERRIDE=FQ","FILING_STATUS=OR","EQY_CONSOLIDATED=Y","Sort=A","Dates=H","DateFormat=P","Fill=—","Direction=H","UseDPDF=Y")</f>
        <v>#NAME?</v>
      </c>
      <c r="BB354" s="2" t="e">
        <f ca="1">_xll.BDH($C$353,"GEO_GROW_TOT_SHRHLDR_EQY","FQ1 2014","FQ1 2014","Currency=INR","Period=FQ","BEST_FPERIOD_OVERRIDE=FQ","FILING_STATUS=OR","EQY_CONSOLIDATED=Y","Sort=A","Dates=H","DateFormat=P","Fill=—","Direction=H","UseDPDF=Y")</f>
        <v>#NAME?</v>
      </c>
      <c r="BC354" s="2" t="e">
        <f ca="1">_xll.BDH($C$353,"TOTAL_CAPITAL_5_YEAR_GROWTH","FQ1 2014","FQ1 2014","Currency=INR","Period=FQ","BEST_FPERIOD_OVERRIDE=FQ","FILING_STATUS=OR","EQY_CONSOLIDATED=Y","Sort=A","Dates=H","DateFormat=P","Fill=—","Direction=H","UseDPDF=Y")</f>
        <v>#NAME?</v>
      </c>
      <c r="BD354" s="2" t="e">
        <f ca="1">_xll.BDH($C$353,"GEO_GROW_BOOK_VAL","FQ1 2014","FQ1 2014","Currency=INR","Period=FQ","BEST_FPERIOD_OVERRIDE=FQ","FILING_STATUS=OR","EQY_CONSOLIDATED=Y","Sort=A","Dates=H","DateFormat=P","Fill=—","Direction=H","UseDPDF=Y")</f>
        <v>#NAME?</v>
      </c>
      <c r="BE354" s="2" t="e">
        <f ca="1">_xll.BDH($C$353,"GEO_GROW_CASH_OPER_ACT","FQ1 2014","FQ1 2014","Currency=INR","Period=FQ","BEST_FPERIOD_OVERRIDE=FQ","FILING_STATUS=OR","EQY_CONSOLIDATED=Y","Sort=A","Dates=H","DateFormat=P","Fill=—","Direction=H","UseDPDF=Y")</f>
        <v>#NAME?</v>
      </c>
      <c r="BF354" s="2" t="e">
        <f ca="1">_xll.BDH($C$353,"REVENUE_SEQUENTIAL_GROWTH","FQ1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54" s="2" t="e">
        <f ca="1">_xll.BDH($C$353,"EBITDA_SEQUENTIAL_GROWTH","FQ1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54" s="2" t="e">
        <f ca="1">_xll.BDH($C$353,"OPERATING_INCOME_SEQ_GROWTH","FQ1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54" s="2" t="e">
        <f ca="1">_xll.BDH($C$353,"NET_INCOME_TO_COMMON_SEQ_GROWTH","FQ1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54" s="2" t="e">
        <f ca="1">_xll.BDH($C$353,"EPS_DILUTED_SEQUENTIAL_GROWTH","FQ1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54" s="2" t="e">
        <f ca="1">_xll.BDH($C$353,"DPS_SEQUENTIAL_GROWTH","FQ1 2014","FQ1 2014","Currency=INR","Period=FQ","BEST_FPERIOD_OVERRIDE=FQ","FILING_STATUS=OR","EQY_CONSOLIDATED=Y","Sort=A","Dates=H","DateFormat=P","Fill=—","Direction=H","UseDPDF=Y")</f>
        <v>#NAME?</v>
      </c>
      <c r="BL354" s="2" t="e">
        <f ca="1">_xll.BDH($C$353,"ACCOUNTS_RECEIVABLE_SEQ_GROWTH","FQ1 2014","FQ1 2014","Currency=INR","Period=FQ","BEST_FPERIOD_OVERRIDE=FQ","FILING_STATUS=OR","EQY_CONSOLIDATED=Y","Sort=A","Dates=H","DateFormat=P","Fill=—","Direction=H","UseDPDF=Y")</f>
        <v>#NAME?</v>
      </c>
      <c r="BM354" s="2" t="e">
        <f ca="1">_xll.BDH($C$353,"INVENTORY_SEQUENTIAL_GROWTH","FQ1 2014","FQ1 2014","Currency=INR","Period=FQ","BEST_FPERIOD_OVERRIDE=FQ","FILING_STATUS=OR","EQY_CONSOLIDATED=Y","Sort=A","Dates=H","DateFormat=P","Fill=—","Direction=H","UseDPDF=Y")</f>
        <v>#NAME?</v>
      </c>
      <c r="BN354" s="2" t="e">
        <f ca="1">_xll.BDH($C$353,"FIXED_ASSETS_SEQUENTIAL_GROWTH","FQ1 2014","FQ1 2014","Currency=INR","Period=FQ","BEST_FPERIOD_OVERRIDE=FQ","FILING_STATUS=OR","EQY_CONSOLIDATED=Y","Sort=A","Dates=H","DateFormat=P","Fill=—","Direction=H","UseDPDF=Y")</f>
        <v>#NAME?</v>
      </c>
      <c r="BO354" s="2" t="e">
        <f ca="1">_xll.BDH($C$353,"TOTAL_ASSETS_SEQUENTIAL_GROWTH","FQ1 2014","FQ1 2014","Currency=INR","Period=FQ","BEST_FPERIOD_OVERRIDE=FQ","FILING_STATUS=OR","EQY_CONSOLIDATED=Y","Sort=A","Dates=H","DateFormat=P","Fill=—","Direction=H","UseDPDF=Y")</f>
        <v>#NAME?</v>
      </c>
      <c r="BP354" s="2" t="e">
        <f ca="1">_xll.BDH($C$353,"MODIFIED_WORKING_CPTL_SEQ_GRWTH","FQ1 2014","FQ1 2014","Currency=INR","Period=FQ","BEST_FPERIOD_OVERRIDE=FQ","FILING_STATUS=OR","EQY_CONSOLIDATED=Y","Sort=A","Dates=H","DateFormat=P","Fill=—","Direction=H","UseDPDF=Y")</f>
        <v>#NAME?</v>
      </c>
      <c r="BQ354" s="2" t="e">
        <f ca="1">_xll.BDH($C$353,"WORKING_CAPITAL_SEQ_GROWTH","FQ1 2014","FQ1 2014","Currency=INR","Period=FQ","BEST_FPERIOD_OVERRIDE=FQ","FILING_STATUS=OR","EQY_CONSOLIDATED=Y","Sort=A","Dates=H","DateFormat=P","Fill=—","Direction=H","UseDPDF=Y")</f>
        <v>#NAME?</v>
      </c>
      <c r="BR354" s="2" t="e">
        <f ca="1">_xll.BDH($C$353,"ACCOUNTS_PAYABLE_SEQ_GROWTH","FQ1 2014","FQ1 2014","Currency=INR","Period=FQ","BEST_FPERIOD_OVERRIDE=FQ","FILING_STATUS=OR","EQY_CONSOLIDATED=Y","Sort=A","Dates=H","DateFormat=P","Fill=—","Direction=H","UseDPDF=Y")</f>
        <v>#NAME?</v>
      </c>
      <c r="BS354" s="2" t="e">
        <f ca="1">_xll.BDH($C$353,"ST_DEBT_SEQUENTIAL_GROWTH","FQ1 2014","FQ1 2014","Currency=INR","Period=FQ","BEST_FPERIOD_OVERRIDE=FQ","FILING_STATUS=OR","EQY_CONSOLIDATED=Y","Sort=A","Dates=H","DateFormat=P","Fill=—","Direction=H","UseDPDF=Y")</f>
        <v>#NAME?</v>
      </c>
      <c r="BT354" s="2" t="e">
        <f ca="1">_xll.BDH($C$353,"TOTAL_DEBT_SEQUENTIAL_GROWTH","FQ1 2014","FQ1 2014","Currency=INR","Period=FQ","BEST_FPERIOD_OVERRIDE=FQ","FILING_STATUS=OR","EQY_CONSOLIDATED=Y","Sort=A","Dates=H","DateFormat=P","Fill=—","Direction=H","UseDPDF=Y")</f>
        <v>#NAME?</v>
      </c>
      <c r="BU354" s="2" t="e">
        <f ca="1">_xll.BDH($C$353,"TOTAL_EQUITY_SEQUENTIAL_GROWTH","FQ1 2014","FQ1 2014","Currency=INR","Period=FQ","BEST_FPERIOD_OVERRIDE=FQ","FILING_STATUS=OR","EQY_CONSOLIDATED=Y","Sort=A","Dates=H","DateFormat=P","Fill=—","Direction=H","UseDPDF=Y")</f>
        <v>#NAME?</v>
      </c>
      <c r="BV354" s="2" t="e">
        <f ca="1">_xll.BDH($C$353,"TOTAL_CAPITAL_SEQUENTIAL_GROWTH","FQ1 2014","FQ1 2014","Currency=INR","Period=FQ","BEST_FPERIOD_OVERRIDE=FQ","FILING_STATUS=OR","EQY_CONSOLIDATED=Y","Sort=A","Dates=H","DateFormat=P","Fill=—","Direction=H","UseDPDF=Y")</f>
        <v>#NAME?</v>
      </c>
      <c r="BW354" s="2" t="e">
        <f ca="1">_xll.BDH($C$353,"BPS_SEQUENTIAL_GROWTH","FQ1 2014","FQ1 2014","Currency=INR","Period=FQ","BEST_FPERIOD_OVERRIDE=FQ","FILING_STATUS=OR","EQY_CONSOLIDATED=Y","Sort=A","Dates=H","DateFormat=P","Fill=—","Direction=H","UseDPDF=Y")</f>
        <v>#NAME?</v>
      </c>
      <c r="BX354" s="2" t="e">
        <f ca="1">_xll.BDH($C$353,"CFO_SEQUENTIAL_GROWTH","FQ1 2014","FQ1 2014","Currency=INR","Period=FQ","BEST_FPERIOD_OVERRIDE=FQ","FILING_STATUS=OR","EQY_CONSOLIDATED=Y","Sort=A","Dates=H","DateFormat=P","Fill=—","Direction=H","UseDPDF=Y")</f>
        <v>#NAME?</v>
      </c>
      <c r="BY354" s="3" t="e">
        <f ca="1">_xll.BDH($C$353,"SHORT_AND_LONG_TERM_DEBT","FQ1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54" s="3" t="e">
        <f ca="1">_xll.BDH($C$353,"BS_ST_BORROW","FQ1 2014","FQ1 2014","Currency=INR","Period=FQ","BEST_FPERIOD_OVERRIDE=FQ","FILING_STATUS=OR","EQY_CONSOLIDATED=Y","SCALING_FORMAT=MLN","Sort=A","Dates=H","DateFormat=P","Fill=—","Direction=H","UseDPDF=Y")</f>
        <v>#NAME?</v>
      </c>
      <c r="CA354" s="3" t="e">
        <f ca="1">_xll.BDH($C$353,"BS_LT_BORROW","FQ1 2014","FQ1 2014","Currency=INR","Period=FQ","BEST_FPERIOD_OVERRIDE=FQ","FILING_STATUS=OR","EQY_CONSOLIDATED=Y","SCALING_FORMAT=MLN","Sort=A","Dates=H","DateFormat=P","Fill=—","Direction=H","UseDPDF=Y")</f>
        <v>#NAME?</v>
      </c>
      <c r="CB354" s="2" t="e">
        <f ca="1">_xll.BDH($C$353,"TOT_DEBT_TO_EBITDA","FQ1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54" s="2" t="e">
        <f ca="1">_xll.BDH($C$353,"NET_DEBT_TO_EBITDA","FQ1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54" s="2" t="e">
        <f ca="1">_xll.BDH($C$353,"TOTAL_DEBT_TO_EBIT","FQ1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54" s="2" t="e">
        <f ca="1">_xll.BDH($C$353,"NET_DEBT_TO_EBIT","FQ1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354" s="2" t="e">
        <f ca="1">_xll.BDH($C$353,"EBITDA_TO_INTEREST_EXPN","FQ1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54" s="2" t="e">
        <f ca="1">_xll.BDH($C$353,"COM_EQY_TO_TOT_ASSET","FQ1 2014","FQ1 2014","Currency=INR","Period=FQ","BEST_FPERIOD_OVERRIDE=FQ","FILING_STATUS=OR","EQY_CONSOLIDATED=Y","Sort=A","Dates=H","DateFormat=P","Fill=—","Direction=H","UseDPDF=Y")</f>
        <v>#NAME?</v>
      </c>
      <c r="CH354" s="2" t="e">
        <f ca="1">_xll.BDH($C$353,"LT_DEBT_TO_TOT_EQY","FQ1 2014","FQ1 2014","Currency=INR","Period=FQ","BEST_FPERIOD_OVERRIDE=FQ","FILING_STATUS=OR","EQY_CONSOLIDATED=Y","Sort=A","Dates=H","DateFormat=P","Fill=—","Direction=H","UseDPDF=Y")</f>
        <v>#NAME?</v>
      </c>
      <c r="CI354" s="2" t="e">
        <f ca="1">_xll.BDH($C$353,"LT_DEBT_TO_TOT_CAP","FQ1 2014","FQ1 2014","Currency=INR","Period=FQ","BEST_FPERIOD_OVERRIDE=FQ","FILING_STATUS=OR","EQY_CONSOLIDATED=Y","Sort=A","Dates=H","DateFormat=P","Fill=—","Direction=H","UseDPDF=Y")</f>
        <v>#NAME?</v>
      </c>
      <c r="CJ354" s="2" t="e">
        <f ca="1">_xll.BDH($C$353,"LT_DEBT_TO_TOT_ASSET","FQ1 2014","FQ1 2014","Currency=INR","Period=FQ","BEST_FPERIOD_OVERRIDE=FQ","FILING_STATUS=OR","EQY_CONSOLIDATED=Y","Sort=A","Dates=H","DateFormat=P","Fill=—","Direction=H","UseDPDF=Y")</f>
        <v>#NAME?</v>
      </c>
      <c r="CK354" s="2" t="e">
        <f ca="1">_xll.BDH($C$353,"TOT_DEBT_TO_TOT_EQY","FQ1 2014","FQ1 2014","Currency=INR","Period=FQ","BEST_FPERIOD_OVERRIDE=FQ","FILING_STATUS=OR","EQY_CONSOLIDATED=Y","Sort=A","Dates=H","DateFormat=P","Fill=—","Direction=H","UseDPDF=Y")</f>
        <v>#NAME?</v>
      </c>
      <c r="CL354" s="2" t="e">
        <f ca="1">_xll.BDH($C$353,"TOT_DEBT_TO_TOT_CAP","FQ1 2014","FQ1 2014","Currency=INR","Period=FQ","BEST_FPERIOD_OVERRIDE=FQ","FILING_STATUS=OR","EQY_CONSOLIDATED=Y","Sort=A","Dates=H","DateFormat=P","Fill=—","Direction=H","UseDPDF=Y")</f>
        <v>#NAME?</v>
      </c>
      <c r="CM354" s="2" t="e">
        <f ca="1">_xll.BDH($C$353,"TOT_DEBT_TO_TOT_ASSET","FQ1 2014","FQ1 2014","Currency=INR","Period=FQ","BEST_FPERIOD_OVERRIDE=FQ","FILING_STATUS=OR","EQY_CONSOLIDATED=Y","Sort=A","Dates=H","DateFormat=P","Fill=—","Direction=H","UseDPDF=Y")</f>
        <v>#NAME?</v>
      </c>
      <c r="CN354" s="2" t="e">
        <f ca="1">_xll.BDH($C$353,"NET_DEBT_TO_SHRHLDR_EQTY","FQ1 2014","FQ1 2014","Currency=INR","Period=FQ","BEST_FPERIOD_OVERRIDE=FQ","FILING_STATUS=OR","EQY_CONSOLIDATED=Y","Sort=A","Dates=H","DateFormat=P","Fill=—","Direction=H","UseDPDF=Y")</f>
        <v>#NAME?</v>
      </c>
      <c r="CO354" s="2" t="e">
        <f ca="1">_xll.BDH($C$353,"NET_DEBT_%_CAPITAL","FQ1 2014","FQ1 2014","Currency=INR","Period=FQ","BEST_FPERIOD_OVERRIDE=FQ","FILING_STATUS=OR","EQY_CONSOLIDATED=Y","Sort=A","Dates=H","DateFormat=P","Fill=—","Direction=H","UseDPDF=Y")</f>
        <v>#NAME?</v>
      </c>
      <c r="CP354" s="3" t="e">
        <f ca="1">_xll.BDH($C$353,"EBITDA","FQ1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54" s="3" t="e">
        <f ca="1">_xll.BDH($C$353,"EBITDA_AFTER_CAPEX","FQ1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54" s="3" t="e">
        <f ca="1">_xll.BDH($C$353,"IS_OPER_INC","FQ1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54" s="2" t="e">
        <f ca="1">_xll.BDH($C$353,"CASH_RATIO","FQ1 2014","FQ1 2014","Currency=INR","Period=FQ","BEST_FPERIOD_OVERRIDE=FQ","FILING_STATUS=OR","EQY_CONSOLIDATED=Y","Sort=A","Dates=H","DateFormat=P","Fill=—","Direction=H","UseDPDF=Y")</f>
        <v>#NAME?</v>
      </c>
      <c r="CT354" s="2" t="e">
        <f ca="1">_xll.BDH($C$353,"CUR_RATIO","FQ1 2014","FQ1 2014","Currency=INR","Period=FQ","BEST_FPERIOD_OVERRIDE=FQ","FILING_STATUS=OR","EQY_CONSOLIDATED=Y","Sort=A","Dates=H","DateFormat=P","Fill=—","Direction=H","UseDPDF=Y")</f>
        <v>#NAME?</v>
      </c>
      <c r="CU354" s="2" t="e">
        <f ca="1">_xll.BDH($C$353,"QUICK_RATIO","FQ1 2014","FQ1 2014","Currency=INR","Period=FQ","BEST_FPERIOD_OVERRIDE=FQ","FILING_STATUS=OR","EQY_CONSOLIDATED=Y","Sort=A","Dates=H","DateFormat=P","Fill=—","Direction=H","UseDPDF=Y")</f>
        <v>#NAME?</v>
      </c>
      <c r="CV354" s="2" t="e">
        <f ca="1">_xll.BDH($C$353,"ALTMAN_Z_SCORE","FQ1 2014","FQ1 2014","Currency=INR","Period=FQ","BEST_FPERIOD_OVERRIDE=FQ","FILING_STATUS=OR","EQY_CONSOLIDATED=Y","Sort=A","Dates=H","DateFormat=P","Fill=—","Direction=H","UseDPDF=Y")</f>
        <v>#NAME?</v>
      </c>
      <c r="CW354" s="4" t="e">
        <f ca="1">_xll.BDH($C$353,"ACCT_RCV_TURN","FQ1 2014","FQ1 2014","Currency=INR","Period=FQ","BEST_FPERIOD_OVERRIDE=FQ","FILING_STATUS=OR","EQY_CONSOLIDATED=Y","FA_ADJUSTED=GAAP","Sort=A","Dates=H","DateFormat=P","Fill=—","Direction=H","UseDPDF=Y")</f>
        <v>#NAME?</v>
      </c>
      <c r="CX354" s="2" t="e">
        <f ca="1">_xll.BDH($C$353,"ACCT_RCV_DAYS","FQ1 2014","FQ1 2014","Currency=INR","Period=FQ","BEST_FPERIOD_OVERRIDE=FQ","FILING_STATUS=OR","EQY_CONSOLIDATED=Y","FA_ADJUSTED=GAAP","Sort=A","Dates=H","DateFormat=P","Fill=—","Direction=H","UseDPDF=Y")</f>
        <v>#NAME?</v>
      </c>
      <c r="CY354" s="4" t="e">
        <f ca="1">_xll.BDH($C$353,"INVENT_TURN","FQ1 2014","FQ1 2014","Currency=INR","Period=FQ","BEST_FPERIOD_OVERRIDE=FQ","FILING_STATUS=OR","EQY_CONSOLIDATED=Y","FA_ADJUSTED=GAAP","Sort=A","Dates=H","DateFormat=P","Fill=—","Direction=H","UseDPDF=Y")</f>
        <v>#NAME?</v>
      </c>
      <c r="CZ354" s="2" t="e">
        <f ca="1">_xll.BDH($C$353,"INVENT_DAYS","FQ1 2014","FQ1 2014","Currency=INR","Period=FQ","BEST_FPERIOD_OVERRIDE=FQ","FILING_STATUS=OR","EQY_CONSOLIDATED=Y","FA_ADJUSTED=GAAP","Sort=A","Dates=H","DateFormat=P","Fill=—","Direction=H","UseDPDF=Y")</f>
        <v>#NAME?</v>
      </c>
      <c r="DA354" s="4" t="e">
        <f ca="1">_xll.BDH($C$353,"ACCOUNTS_PAYABLE_TURNOVER","FQ1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54" s="2" t="e">
        <f ca="1">_xll.BDH($C$353,"ACCOUNTS_PAYABLE_TURNOVER_DAYS","FQ1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54" s="4" t="e">
        <f ca="1">_xll.BDH($C$353,"CASH_CONVERSION_CYCLE","FQ1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54" s="4" t="e">
        <f ca="1">_xll.BDH($C$353,"INV_TO_CASH_DAYS","FQ1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354" s="5" t="e">
        <f ca="1">_xll.BDH($C$353,"BS_INVENTORIES","FQ1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354" s="3" t="e">
        <f ca="1">_xll.BDH($C$353,"INVTRY_RAW_MATERIALS","FQ1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54" s="3" t="e">
        <f ca="1">_xll.BDH($C$353,"INVTRY_IN_PROGRESS","FQ1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54" s="3" t="e">
        <f ca="1">_xll.BDH($C$353,"INVTRY_FINISHED_GOODS","FQ1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54" s="3" t="e">
        <f ca="1">_xll.BDH($C$353,"BS_OTHER_INV","FQ1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55" spans="1:113" x14ac:dyDescent="0.3">
      <c r="A355" s="6"/>
      <c r="B355" s="6"/>
      <c r="C355" s="6"/>
      <c r="D355" s="6"/>
      <c r="E355" t="s">
        <v>79</v>
      </c>
      <c r="F355" t="e">
        <f ca="1">_xll.BDH($C$353,"RETURN_COM_EQY","FQ2 2014","FQ2 2014","Currency=INR","Period=FQ","BEST_FPERIOD_OVERRIDE=FQ","FILING_STATUS=OR","EQY_CONSOLIDATED=Y","FA_ADJUSTED=GAAP","Sort=A","Dates=H","DateFormat=P","Fill=—","Direction=H","UseDPDF=Y")</f>
        <v>#NAME?</v>
      </c>
      <c r="G355" t="e">
        <f ca="1">_xll.BDH($C$353,"RETURN_ON_ASSET","FQ2 2014","FQ2 2014","Currency=INR","Period=FQ","BEST_FPERIOD_OVERRIDE=FQ","FILING_STATUS=OR","EQY_CONSOLIDATED=Y","FA_ADJUSTED=GAAP","Sort=A","Dates=H","DateFormat=P","Fill=—","Direction=H","UseDPDF=Y")</f>
        <v>#NAME?</v>
      </c>
      <c r="H355" t="e">
        <f ca="1">_xll.BDH($C$353,"RETURN_ON_CAP","FQ2 2014","FQ2 2014","Currency=INR","Period=FQ","BEST_FPERIOD_OVERRIDE=FQ","FILING_STATUS=OR","EQY_CONSOLIDATED=Y","FA_ADJUSTED=GAAP","Sort=A","Dates=H","DateFormat=P","Fill=—","Direction=H","UseDPDF=Y")</f>
        <v>#NAME?</v>
      </c>
      <c r="I355" t="e">
        <f ca="1">_xll.BDH($C$353,"RETURN_ON_INV_CAPITAL","FQ2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55" t="e">
        <f ca="1">_xll.BDH($C$353,"EBITDA_TO_REVENUE","FQ2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355" t="e">
        <f ca="1">_xll.BDH($C$353,"OPER_MARGIN","FQ2 2014","FQ2 2014","Currency=INR","Period=FQ","BEST_FPERIOD_OVERRIDE=FQ","FILING_STATUS=OR","EQY_CONSOLIDATED=Y","FA_ADJUSTED=GAAP","Sort=A","Dates=H","DateFormat=P","Fill=—","Direction=H","UseDPDF=Y")</f>
        <v>#NAME?</v>
      </c>
      <c r="L355" t="e">
        <f ca="1">_xll.BDH($C$353,"INCREMENTAL_OPERATING_MARGIN","FQ2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55" t="e">
        <f ca="1">_xll.BDH($C$353,"PRETAX_INC_TO_NET_SALES","FQ2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55" t="e">
        <f ca="1">_xll.BDH($C$353,"INC_BEF_XO_ITEMS_TO_NET_SALES","FQ2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55" t="e">
        <f ca="1">_xll.BDH($C$353,"PROF_MARGIN","FQ2 2014","FQ2 2014","Currency=INR","Period=FQ","BEST_FPERIOD_OVERRIDE=FQ","FILING_STATUS=OR","EQY_CONSOLIDATED=Y","FA_ADJUSTED=GAAP","Sort=A","Dates=H","DateFormat=P","Fill=—","Direction=H","UseDPDF=Y")</f>
        <v>#NAME?</v>
      </c>
      <c r="P355" t="e">
        <f ca="1">_xll.BDH($C$353,"NET_INCOME_TO_COMMON_MARGIN","FQ2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55" t="e">
        <f ca="1">_xll.BDH($C$353,"EFF_TAX_RATE","FQ2 2014","FQ2 2014","Currency=INR","Period=FQ","BEST_FPERIOD_OVERRIDE=FQ","FILING_STATUS=OR","EQY_CONSOLIDATED=Y","FA_ADJUSTED=GAAP","Sort=A","Dates=H","DateFormat=P","Fill=—","Direction=H","UseDPDF=Y")</f>
        <v>#NAME?</v>
      </c>
      <c r="R355" t="e">
        <f ca="1">_xll.BDH($C$353,"DVD_PAYOUT_RATIO","FQ2 2014","FQ2 2014","Currency=INR","Period=FQ","BEST_FPERIOD_OVERRIDE=FQ","FILING_STATUS=OR","EQY_CONSOLIDATED=Y","FA_ADJUSTED=GAAP","Sort=A","Dates=H","DateFormat=P","Fill=—","Direction=H","UseDPDF=Y")</f>
        <v>#NAME?</v>
      </c>
      <c r="S355" t="e">
        <f ca="1">_xll.BDH($C$353,"SUSTAIN_GROWTH_RT","FQ2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355" s="2" t="e">
        <f ca="1">_xll.BDH($C$353,"SALES_GROWTH","FQ2 2014","FQ2 2014","Currency=INR","Period=FQ","BEST_FPERIOD_OVERRIDE=FQ","FILING_STATUS=OR","EQY_CONSOLIDATED=Y","FA_ADJUSTED=GAAP","Sort=A","Dates=H","DateFormat=P","Fill=—","Direction=H","UseDPDF=Y")</f>
        <v>#NAME?</v>
      </c>
      <c r="U355" s="2" t="e">
        <f ca="1">_xll.BDH($C$353,"EBITDA_GROWTH","FQ2 2014","FQ2 2014","Currency=INR","Period=FQ","BEST_FPERIOD_OVERRIDE=FQ","FILING_STATUS=OR","EQY_CONSOLIDATED=Y","FA_ADJUSTED=GAAP","Sort=A","Dates=H","DateFormat=P","Fill=—","Direction=H","UseDPDF=Y")</f>
        <v>#NAME?</v>
      </c>
      <c r="V355" s="2" t="e">
        <f ca="1">_xll.BDH($C$353,"OPER_INC_GROWTH","FQ2 2014","FQ2 2014","Currency=INR","Period=FQ","BEST_FPERIOD_OVERRIDE=FQ","FILING_STATUS=OR","EQY_CONSOLIDATED=Y","FA_ADJUSTED=GAAP","Sort=A","Dates=H","DateFormat=P","Fill=—","Direction=H","UseDPDF=Y")</f>
        <v>#NAME?</v>
      </c>
      <c r="W355" s="2" t="e">
        <f ca="1">_xll.BDH($C$353,"EARN_FOR_COM_GROWTH","FQ2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55" s="2" t="e">
        <f ca="1">_xll.BDH($C$353,"DILUTED_EPS_AFT_XO_ITEMS_GROWTH","FQ2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55" s="2" t="e">
        <f ca="1">_xll.BDH($C$353,"DIVIDEND_PER_SHARE_1_YEAR_GROWTH","FQ2 2014","FQ2 2014","Currency=INR","Period=FQ","BEST_FPERIOD_OVERRIDE=FQ","FILING_STATUS=OR","EQY_CONSOLIDATED=Y","Sort=A","Dates=H","DateFormat=P","Fill=—","Direction=H","UseDPDF=Y")</f>
        <v>#NAME?</v>
      </c>
      <c r="Z355" s="2" t="e">
        <f ca="1">_xll.BDH($C$353,"ACCOUNTS_RECEIVABLE_GROWTH","FQ2 2014","FQ2 2014","Currency=INR","Period=FQ","BEST_FPERIOD_OVERRIDE=FQ","FILING_STATUS=OR","EQY_CONSOLIDATED=Y","Sort=A","Dates=H","DateFormat=P","Fill=—","Direction=H","UseDPDF=Y")</f>
        <v>#NAME?</v>
      </c>
      <c r="AA355" s="2" t="e">
        <f ca="1">_xll.BDH($C$353,"INVENTORY_GROWTH","FQ2 2014","FQ2 2014","Currency=INR","Period=FQ","BEST_FPERIOD_OVERRIDE=FQ","FILING_STATUS=OR","EQY_CONSOLIDATED=Y","Sort=A","Dates=H","DateFormat=P","Fill=—","Direction=H","UseDPDF=Y")</f>
        <v>#NAME?</v>
      </c>
      <c r="AB355" s="2" t="e">
        <f ca="1">_xll.BDH($C$353,"NET_FIXED_ASSETS_1_YEAR_GROWTH","FQ2 2014","FQ2 2014","Currency=INR","Period=FQ","BEST_FPERIOD_OVERRIDE=FQ","FILING_STATUS=OR","EQY_CONSOLIDATED=Y","Sort=A","Dates=H","DateFormat=P","Fill=—","Direction=H","UseDPDF=Y")</f>
        <v>#NAME?</v>
      </c>
      <c r="AC355" s="2" t="e">
        <f ca="1">_xll.BDH($C$353,"ASSET_GROWTH","FQ2 2014","FQ2 2014","Currency=INR","Period=FQ","BEST_FPERIOD_OVERRIDE=FQ","FILING_STATUS=OR","EQY_CONSOLIDATED=Y","Sort=A","Dates=H","DateFormat=P","Fill=—","Direction=H","UseDPDF=Y")</f>
        <v>#NAME?</v>
      </c>
      <c r="AD355" s="2" t="e">
        <f ca="1">_xll.BDH($C$353,"MODIFIED_WORK_CAP_GROWTH","FQ2 2014","FQ2 2014","Currency=INR","Period=FQ","BEST_FPERIOD_OVERRIDE=FQ","FILING_STATUS=OR","EQY_CONSOLIDATED=Y","Sort=A","Dates=H","DateFormat=P","Fill=—","Direction=H","UseDPDF=Y")</f>
        <v>#NAME?</v>
      </c>
      <c r="AE355" s="2" t="e">
        <f ca="1">_xll.BDH($C$353,"WORK_CAP_GROWTH","FQ2 2014","FQ2 2014","Currency=INR","Period=FQ","BEST_FPERIOD_OVERRIDE=FQ","FILING_STATUS=OR","EQY_CONSOLIDATED=Y","Sort=A","Dates=H","DateFormat=P","Fill=—","Direction=H","UseDPDF=Y")</f>
        <v>#NAME?</v>
      </c>
      <c r="AF355" s="2" t="e">
        <f ca="1">_xll.BDH($C$353,"ACCOUNTS_PAYABLE_GROWTH_1YR","FQ2 2014","FQ2 2014","Currency=INR","Period=FQ","BEST_FPERIOD_OVERRIDE=FQ","FILING_STATUS=OR","EQY_CONSOLIDATED=Y","Sort=A","Dates=H","DateFormat=P","Fill=—","Direction=H","UseDPDF=Y")</f>
        <v>#NAME?</v>
      </c>
      <c r="AG355" s="2" t="e">
        <f ca="1">_xll.BDH($C$353,"SHORT_TERM_DEBT_1_YEAR_GROWTH","FQ2 2014","FQ2 2014","Currency=INR","Period=FQ","BEST_FPERIOD_OVERRIDE=FQ","FILING_STATUS=OR","EQY_CONSOLIDATED=Y","Sort=A","Dates=H","DateFormat=P","Fill=—","Direction=H","UseDPDF=Y")</f>
        <v>#NAME?</v>
      </c>
      <c r="AH355" s="2" t="e">
        <f ca="1">_xll.BDH($C$353,"TOTAL_DEBT_1_YEAR_GROWTH","FQ2 2014","FQ2 2014","Currency=INR","Period=FQ","BEST_FPERIOD_OVERRIDE=FQ","FILING_STATUS=OR","EQY_CONSOLIDATED=Y","Sort=A","Dates=H","DateFormat=P","Fill=—","Direction=H","UseDPDF=Y")</f>
        <v>#NAME?</v>
      </c>
      <c r="AI355" s="2" t="e">
        <f ca="1">_xll.BDH($C$353,"TOTAL_EQUITY_1_YEAR_GROWTH","FQ2 2014","FQ2 2014","Currency=INR","Period=FQ","BEST_FPERIOD_OVERRIDE=FQ","FILING_STATUS=OR","EQY_CONSOLIDATED=Y","Sort=A","Dates=H","DateFormat=P","Fill=—","Direction=H","UseDPDF=Y")</f>
        <v>#NAME?</v>
      </c>
      <c r="AJ355" s="2" t="e">
        <f ca="1">_xll.BDH($C$353,"GROWTH_IN_CAP","FQ2 2014","FQ2 2014","Currency=INR","Period=FQ","BEST_FPERIOD_OVERRIDE=FQ","FILING_STATUS=OR","EQY_CONSOLIDATED=Y","Sort=A","Dates=H","DateFormat=P","Fill=—","Direction=H","UseDPDF=Y")</f>
        <v>#NAME?</v>
      </c>
      <c r="AK355" s="2" t="e">
        <f ca="1">_xll.BDH($C$353,"BVPS_GROWTH","FQ2 2014","FQ2 2014","Currency=INR","Period=FQ","BEST_FPERIOD_OVERRIDE=FQ","FILING_STATUS=OR","EQY_CONSOLIDATED=Y","Sort=A","Dates=H","DateFormat=P","Fill=—","Direction=H","UseDPDF=Y")</f>
        <v>#NAME?</v>
      </c>
      <c r="AL355" s="2" t="e">
        <f ca="1">_xll.BDH($C$353,"CASH_FLOW_GROWTH","FQ2 2014","FQ2 2014","Currency=INR","Period=FQ","BEST_FPERIOD_OVERRIDE=FQ","FILING_STATUS=OR","EQY_CONSOLIDATED=Y","Sort=A","Dates=H","DateFormat=P","Fill=—","Direction=H","UseDPDF=Y")</f>
        <v>#NAME?</v>
      </c>
      <c r="AM355" s="2" t="e">
        <f ca="1">_xll.BDH($C$353,"GEO_GROW_NET_SALES","FQ2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55" s="2" t="e">
        <f ca="1">_xll.BDH($C$353,"GEO_GROW_EBITDA","FQ2 2014","FQ2 2014","Currency=INR","Period=FQ","BEST_FPERIOD_OVERRIDE=FQ","FILING_STATUS=OR","EQY_CONSOLIDATED=Y","FA_ADJUSTED=GAAP","Sort=A","Dates=H","DateFormat=P","Fill=—","Direction=H","UseDPDF=Y")</f>
        <v>#NAME?</v>
      </c>
      <c r="AO355" s="2" t="e">
        <f ca="1">_xll.BDH($C$353,"GEO_GROW_OPER_INC","FQ2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55" s="2" t="e">
        <f ca="1">_xll.BDH($C$353,"NET_INCOME_TO_COMMON_5_YR_GROWTH","FQ2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55" s="2" t="e">
        <f ca="1">_xll.BDH($C$353,"5Y_GEO_GROWTH_DILUTED_EPS","FQ2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55" s="2" t="e">
        <f ca="1">_xll.BDH($C$353,"GEO_GROW_DVD_PER_SH","FQ2 2014","FQ2 2014","Currency=INR","Period=FQ","BEST_FPERIOD_OVERRIDE=FQ","FILING_STATUS=OR","EQY_CONSOLIDATED=Y","Sort=A","Dates=H","DateFormat=P","Fill=—","Direction=H","UseDPDF=Y")</f>
        <v>#NAME?</v>
      </c>
      <c r="AS355" s="2" t="e">
        <f ca="1">_xll.BDH($C$353,"ACCOUNTS_RECEIVABLE_5_YR_GROWTH","FQ2 2014","FQ2 2014","Currency=INR","Period=FQ","BEST_FPERIOD_OVERRIDE=FQ","FILING_STATUS=OR","EQY_CONSOLIDATED=Y","Sort=A","Dates=H","DateFormat=P","Fill=—","Direction=H","UseDPDF=Y")</f>
        <v>#NAME?</v>
      </c>
      <c r="AT355" s="2" t="e">
        <f ca="1">_xll.BDH($C$353,"INVENTORY_5_YEAR_GROWTH","FQ2 2014","FQ2 2014","Currency=INR","Period=FQ","BEST_FPERIOD_OVERRIDE=FQ","FILING_STATUS=OR","EQY_CONSOLIDATED=Y","Sort=A","Dates=H","DateFormat=P","Fill=—","Direction=H","UseDPDF=Y")</f>
        <v>#NAME?</v>
      </c>
      <c r="AU355" s="2" t="e">
        <f ca="1">_xll.BDH($C$353,"NET_FIXED_ASSETS_5_YEAR_GROWTH","FQ2 2014","FQ2 2014","Currency=INR","Period=FQ","BEST_FPERIOD_OVERRIDE=FQ","FILING_STATUS=OR","EQY_CONSOLIDATED=Y","Sort=A","Dates=H","DateFormat=P","Fill=—","Direction=H","UseDPDF=Y")</f>
        <v>#NAME?</v>
      </c>
      <c r="AV355" s="2" t="e">
        <f ca="1">_xll.BDH($C$353,"GEO_GROW_TOT_ASSET","FQ2 2014","FQ2 2014","Currency=INR","Period=FQ","BEST_FPERIOD_OVERRIDE=FQ","FILING_STATUS=OR","EQY_CONSOLIDATED=Y","Sort=A","Dates=H","DateFormat=P","Fill=—","Direction=H","UseDPDF=Y")</f>
        <v>#NAME?</v>
      </c>
      <c r="AW355" s="2" t="e">
        <f ca="1">_xll.BDH($C$353,"MODIFIED_WORKING_CPTL_5YR_GRWTH","FQ2 2014","FQ2 2014","Currency=INR","Period=FQ","BEST_FPERIOD_OVERRIDE=FQ","FILING_STATUS=OR","EQY_CONSOLIDATED=Y","Sort=A","Dates=H","DateFormat=P","Fill=—","Direction=H","UseDPDF=Y")</f>
        <v>#NAME?</v>
      </c>
      <c r="AX355" s="2" t="e">
        <f ca="1">_xll.BDH($C$353,"WORKING_CAPITAL_5_YEAR_GROWTH","FQ2 2014","FQ2 2014","Currency=INR","Period=FQ","BEST_FPERIOD_OVERRIDE=FQ","FILING_STATUS=OR","EQY_CONSOLIDATED=Y","Sort=A","Dates=H","DateFormat=P","Fill=—","Direction=H","UseDPDF=Y")</f>
        <v>#NAME?</v>
      </c>
      <c r="AY355" s="2" t="e">
        <f ca="1">_xll.BDH($C$353,"ACCOUNTS_PAYABLE_5_YEAR_GROWTH","FQ2 2014","FQ2 2014","Currency=INR","Period=FQ","BEST_FPERIOD_OVERRIDE=FQ","FILING_STATUS=OR","EQY_CONSOLIDATED=Y","Sort=A","Dates=H","DateFormat=P","Fill=—","Direction=H","UseDPDF=Y")</f>
        <v>#NAME?</v>
      </c>
      <c r="AZ355" s="2" t="e">
        <f ca="1">_xll.BDH($C$353,"SHORT_TERM_DEBT_5_YEAR_GROWTH","FQ2 2014","FQ2 2014","Currency=INR","Period=FQ","BEST_FPERIOD_OVERRIDE=FQ","FILING_STATUS=OR","EQY_CONSOLIDATED=Y","Sort=A","Dates=H","DateFormat=P","Fill=—","Direction=H","UseDPDF=Y")</f>
        <v>#NAME?</v>
      </c>
      <c r="BA355" s="2" t="e">
        <f ca="1">_xll.BDH($C$353,"TOTAL_DEBT_5_YEAR_GROWTH","FQ2 2014","FQ2 2014","Currency=INR","Period=FQ","BEST_FPERIOD_OVERRIDE=FQ","FILING_STATUS=OR","EQY_CONSOLIDATED=Y","Sort=A","Dates=H","DateFormat=P","Fill=—","Direction=H","UseDPDF=Y")</f>
        <v>#NAME?</v>
      </c>
      <c r="BB355" s="2" t="e">
        <f ca="1">_xll.BDH($C$353,"GEO_GROW_TOT_SHRHLDR_EQY","FQ2 2014","FQ2 2014","Currency=INR","Period=FQ","BEST_FPERIOD_OVERRIDE=FQ","FILING_STATUS=OR","EQY_CONSOLIDATED=Y","Sort=A","Dates=H","DateFormat=P","Fill=—","Direction=H","UseDPDF=Y")</f>
        <v>#NAME?</v>
      </c>
      <c r="BC355" s="2" t="e">
        <f ca="1">_xll.BDH($C$353,"TOTAL_CAPITAL_5_YEAR_GROWTH","FQ2 2014","FQ2 2014","Currency=INR","Period=FQ","BEST_FPERIOD_OVERRIDE=FQ","FILING_STATUS=OR","EQY_CONSOLIDATED=Y","Sort=A","Dates=H","DateFormat=P","Fill=—","Direction=H","UseDPDF=Y")</f>
        <v>#NAME?</v>
      </c>
      <c r="BD355" s="2" t="e">
        <f ca="1">_xll.BDH($C$353,"GEO_GROW_BOOK_VAL","FQ2 2014","FQ2 2014","Currency=INR","Period=FQ","BEST_FPERIOD_OVERRIDE=FQ","FILING_STATUS=OR","EQY_CONSOLIDATED=Y","Sort=A","Dates=H","DateFormat=P","Fill=—","Direction=H","UseDPDF=Y")</f>
        <v>#NAME?</v>
      </c>
      <c r="BE355" s="2" t="e">
        <f ca="1">_xll.BDH($C$353,"GEO_GROW_CASH_OPER_ACT","FQ2 2014","FQ2 2014","Currency=INR","Period=FQ","BEST_FPERIOD_OVERRIDE=FQ","FILING_STATUS=OR","EQY_CONSOLIDATED=Y","Sort=A","Dates=H","DateFormat=P","Fill=—","Direction=H","UseDPDF=Y")</f>
        <v>#NAME?</v>
      </c>
      <c r="BF355" s="2" t="e">
        <f ca="1">_xll.BDH($C$353,"REVENUE_SEQUENTIAL_GROWTH","FQ2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55" s="2" t="e">
        <f ca="1">_xll.BDH($C$353,"EBITDA_SEQUENTIAL_GROWTH","FQ2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55" s="2" t="e">
        <f ca="1">_xll.BDH($C$353,"OPERATING_INCOME_SEQ_GROWTH","FQ2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55" s="2" t="e">
        <f ca="1">_xll.BDH($C$353,"NET_INCOME_TO_COMMON_SEQ_GROWTH","FQ2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55" s="2" t="e">
        <f ca="1">_xll.BDH($C$353,"EPS_DILUTED_SEQUENTIAL_GROWTH","FQ2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55" s="2" t="e">
        <f ca="1">_xll.BDH($C$353,"DPS_SEQUENTIAL_GROWTH","FQ2 2014","FQ2 2014","Currency=INR","Period=FQ","BEST_FPERIOD_OVERRIDE=FQ","FILING_STATUS=OR","EQY_CONSOLIDATED=Y","Sort=A","Dates=H","DateFormat=P","Fill=—","Direction=H","UseDPDF=Y")</f>
        <v>#NAME?</v>
      </c>
      <c r="BL355" s="2" t="e">
        <f ca="1">_xll.BDH($C$353,"ACCOUNTS_RECEIVABLE_SEQ_GROWTH","FQ2 2014","FQ2 2014","Currency=INR","Period=FQ","BEST_FPERIOD_OVERRIDE=FQ","FILING_STATUS=OR","EQY_CONSOLIDATED=Y","Sort=A","Dates=H","DateFormat=P","Fill=—","Direction=H","UseDPDF=Y")</f>
        <v>#NAME?</v>
      </c>
      <c r="BM355" s="2" t="e">
        <f ca="1">_xll.BDH($C$353,"INVENTORY_SEQUENTIAL_GROWTH","FQ2 2014","FQ2 2014","Currency=INR","Period=FQ","BEST_FPERIOD_OVERRIDE=FQ","FILING_STATUS=OR","EQY_CONSOLIDATED=Y","Sort=A","Dates=H","DateFormat=P","Fill=—","Direction=H","UseDPDF=Y")</f>
        <v>#NAME?</v>
      </c>
      <c r="BN355" s="2" t="e">
        <f ca="1">_xll.BDH($C$353,"FIXED_ASSETS_SEQUENTIAL_GROWTH","FQ2 2014","FQ2 2014","Currency=INR","Period=FQ","BEST_FPERIOD_OVERRIDE=FQ","FILING_STATUS=OR","EQY_CONSOLIDATED=Y","Sort=A","Dates=H","DateFormat=P","Fill=—","Direction=H","UseDPDF=Y")</f>
        <v>#NAME?</v>
      </c>
      <c r="BO355" s="2" t="e">
        <f ca="1">_xll.BDH($C$353,"TOTAL_ASSETS_SEQUENTIAL_GROWTH","FQ2 2014","FQ2 2014","Currency=INR","Period=FQ","BEST_FPERIOD_OVERRIDE=FQ","FILING_STATUS=OR","EQY_CONSOLIDATED=Y","Sort=A","Dates=H","DateFormat=P","Fill=—","Direction=H","UseDPDF=Y")</f>
        <v>#NAME?</v>
      </c>
      <c r="BP355" s="2" t="e">
        <f ca="1">_xll.BDH($C$353,"MODIFIED_WORKING_CPTL_SEQ_GRWTH","FQ2 2014","FQ2 2014","Currency=INR","Period=FQ","BEST_FPERIOD_OVERRIDE=FQ","FILING_STATUS=OR","EQY_CONSOLIDATED=Y","Sort=A","Dates=H","DateFormat=P","Fill=—","Direction=H","UseDPDF=Y")</f>
        <v>#NAME?</v>
      </c>
      <c r="BQ355" s="2" t="e">
        <f ca="1">_xll.BDH($C$353,"WORKING_CAPITAL_SEQ_GROWTH","FQ2 2014","FQ2 2014","Currency=INR","Period=FQ","BEST_FPERIOD_OVERRIDE=FQ","FILING_STATUS=OR","EQY_CONSOLIDATED=Y","Sort=A","Dates=H","DateFormat=P","Fill=—","Direction=H","UseDPDF=Y")</f>
        <v>#NAME?</v>
      </c>
      <c r="BR355" s="2" t="e">
        <f ca="1">_xll.BDH($C$353,"ACCOUNTS_PAYABLE_SEQ_GROWTH","FQ2 2014","FQ2 2014","Currency=INR","Period=FQ","BEST_FPERIOD_OVERRIDE=FQ","FILING_STATUS=OR","EQY_CONSOLIDATED=Y","Sort=A","Dates=H","DateFormat=P","Fill=—","Direction=H","UseDPDF=Y")</f>
        <v>#NAME?</v>
      </c>
      <c r="BS355" s="2" t="e">
        <f ca="1">_xll.BDH($C$353,"ST_DEBT_SEQUENTIAL_GROWTH","FQ2 2014","FQ2 2014","Currency=INR","Period=FQ","BEST_FPERIOD_OVERRIDE=FQ","FILING_STATUS=OR","EQY_CONSOLIDATED=Y","Sort=A","Dates=H","DateFormat=P","Fill=—","Direction=H","UseDPDF=Y")</f>
        <v>#NAME?</v>
      </c>
      <c r="BT355" s="2" t="e">
        <f ca="1">_xll.BDH($C$353,"TOTAL_DEBT_SEQUENTIAL_GROWTH","FQ2 2014","FQ2 2014","Currency=INR","Period=FQ","BEST_FPERIOD_OVERRIDE=FQ","FILING_STATUS=OR","EQY_CONSOLIDATED=Y","Sort=A","Dates=H","DateFormat=P","Fill=—","Direction=H","UseDPDF=Y")</f>
        <v>#NAME?</v>
      </c>
      <c r="BU355" s="2" t="e">
        <f ca="1">_xll.BDH($C$353,"TOTAL_EQUITY_SEQUENTIAL_GROWTH","FQ2 2014","FQ2 2014","Currency=INR","Period=FQ","BEST_FPERIOD_OVERRIDE=FQ","FILING_STATUS=OR","EQY_CONSOLIDATED=Y","Sort=A","Dates=H","DateFormat=P","Fill=—","Direction=H","UseDPDF=Y")</f>
        <v>#NAME?</v>
      </c>
      <c r="BV355" s="2" t="e">
        <f ca="1">_xll.BDH($C$353,"TOTAL_CAPITAL_SEQUENTIAL_GROWTH","FQ2 2014","FQ2 2014","Currency=INR","Period=FQ","BEST_FPERIOD_OVERRIDE=FQ","FILING_STATUS=OR","EQY_CONSOLIDATED=Y","Sort=A","Dates=H","DateFormat=P","Fill=—","Direction=H","UseDPDF=Y")</f>
        <v>#NAME?</v>
      </c>
      <c r="BW355" s="2" t="e">
        <f ca="1">_xll.BDH($C$353,"BPS_SEQUENTIAL_GROWTH","FQ2 2014","FQ2 2014","Currency=INR","Period=FQ","BEST_FPERIOD_OVERRIDE=FQ","FILING_STATUS=OR","EQY_CONSOLIDATED=Y","Sort=A","Dates=H","DateFormat=P","Fill=—","Direction=H","UseDPDF=Y")</f>
        <v>#NAME?</v>
      </c>
      <c r="BX355" s="2" t="e">
        <f ca="1">_xll.BDH($C$353,"CFO_SEQUENTIAL_GROWTH","FQ2 2014","FQ2 2014","Currency=INR","Period=FQ","BEST_FPERIOD_OVERRIDE=FQ","FILING_STATUS=OR","EQY_CONSOLIDATED=Y","Sort=A","Dates=H","DateFormat=P","Fill=—","Direction=H","UseDPDF=Y")</f>
        <v>#NAME?</v>
      </c>
      <c r="BY355" s="3" t="e">
        <f ca="1">_xll.BDH($C$353,"SHORT_AND_LONG_TERM_DEBT","FQ2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55" s="3" t="e">
        <f ca="1">_xll.BDH($C$353,"BS_ST_BORROW","FQ2 2014","FQ2 2014","Currency=INR","Period=FQ","BEST_FPERIOD_OVERRIDE=FQ","FILING_STATUS=OR","EQY_CONSOLIDATED=Y","SCALING_FORMAT=MLN","Sort=A","Dates=H","DateFormat=P","Fill=—","Direction=H","UseDPDF=Y")</f>
        <v>#NAME?</v>
      </c>
      <c r="CA355" s="3" t="e">
        <f ca="1">_xll.BDH($C$353,"BS_LT_BORROW","FQ2 2014","FQ2 2014","Currency=INR","Period=FQ","BEST_FPERIOD_OVERRIDE=FQ","FILING_STATUS=OR","EQY_CONSOLIDATED=Y","SCALING_FORMAT=MLN","Sort=A","Dates=H","DateFormat=P","Fill=—","Direction=H","UseDPDF=Y")</f>
        <v>#NAME?</v>
      </c>
      <c r="CB355" s="2" t="e">
        <f ca="1">_xll.BDH($C$353,"TOT_DEBT_TO_EBITDA","FQ2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55" s="2" t="e">
        <f ca="1">_xll.BDH($C$353,"NET_DEBT_TO_EBITDA","FQ2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55" s="2" t="e">
        <f ca="1">_xll.BDH($C$353,"TOTAL_DEBT_TO_EBIT","FQ2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55" s="2" t="e">
        <f ca="1">_xll.BDH($C$353,"NET_DEBT_TO_EBIT","FQ2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355" s="2" t="e">
        <f ca="1">_xll.BDH($C$353,"EBITDA_TO_INTEREST_EXPN","FQ2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55" s="2" t="e">
        <f ca="1">_xll.BDH($C$353,"COM_EQY_TO_TOT_ASSET","FQ2 2014","FQ2 2014","Currency=INR","Period=FQ","BEST_FPERIOD_OVERRIDE=FQ","FILING_STATUS=OR","EQY_CONSOLIDATED=Y","Sort=A","Dates=H","DateFormat=P","Fill=—","Direction=H","UseDPDF=Y")</f>
        <v>#NAME?</v>
      </c>
      <c r="CH355" s="2" t="e">
        <f ca="1">_xll.BDH($C$353,"LT_DEBT_TO_TOT_EQY","FQ2 2014","FQ2 2014","Currency=INR","Period=FQ","BEST_FPERIOD_OVERRIDE=FQ","FILING_STATUS=OR","EQY_CONSOLIDATED=Y","Sort=A","Dates=H","DateFormat=P","Fill=—","Direction=H","UseDPDF=Y")</f>
        <v>#NAME?</v>
      </c>
      <c r="CI355" s="2" t="e">
        <f ca="1">_xll.BDH($C$353,"LT_DEBT_TO_TOT_CAP","FQ2 2014","FQ2 2014","Currency=INR","Period=FQ","BEST_FPERIOD_OVERRIDE=FQ","FILING_STATUS=OR","EQY_CONSOLIDATED=Y","Sort=A","Dates=H","DateFormat=P","Fill=—","Direction=H","UseDPDF=Y")</f>
        <v>#NAME?</v>
      </c>
      <c r="CJ355" s="2" t="e">
        <f ca="1">_xll.BDH($C$353,"LT_DEBT_TO_TOT_ASSET","FQ2 2014","FQ2 2014","Currency=INR","Period=FQ","BEST_FPERIOD_OVERRIDE=FQ","FILING_STATUS=OR","EQY_CONSOLIDATED=Y","Sort=A","Dates=H","DateFormat=P","Fill=—","Direction=H","UseDPDF=Y")</f>
        <v>#NAME?</v>
      </c>
      <c r="CK355" s="2" t="e">
        <f ca="1">_xll.BDH($C$353,"TOT_DEBT_TO_TOT_EQY","FQ2 2014","FQ2 2014","Currency=INR","Period=FQ","BEST_FPERIOD_OVERRIDE=FQ","FILING_STATUS=OR","EQY_CONSOLIDATED=Y","Sort=A","Dates=H","DateFormat=P","Fill=—","Direction=H","UseDPDF=Y")</f>
        <v>#NAME?</v>
      </c>
      <c r="CL355" s="2" t="e">
        <f ca="1">_xll.BDH($C$353,"TOT_DEBT_TO_TOT_CAP","FQ2 2014","FQ2 2014","Currency=INR","Period=FQ","BEST_FPERIOD_OVERRIDE=FQ","FILING_STATUS=OR","EQY_CONSOLIDATED=Y","Sort=A","Dates=H","DateFormat=P","Fill=—","Direction=H","UseDPDF=Y")</f>
        <v>#NAME?</v>
      </c>
      <c r="CM355" s="2" t="e">
        <f ca="1">_xll.BDH($C$353,"TOT_DEBT_TO_TOT_ASSET","FQ2 2014","FQ2 2014","Currency=INR","Period=FQ","BEST_FPERIOD_OVERRIDE=FQ","FILING_STATUS=OR","EQY_CONSOLIDATED=Y","Sort=A","Dates=H","DateFormat=P","Fill=—","Direction=H","UseDPDF=Y")</f>
        <v>#NAME?</v>
      </c>
      <c r="CN355" s="2" t="e">
        <f ca="1">_xll.BDH($C$353,"NET_DEBT_TO_SHRHLDR_EQTY","FQ2 2014","FQ2 2014","Currency=INR","Period=FQ","BEST_FPERIOD_OVERRIDE=FQ","FILING_STATUS=OR","EQY_CONSOLIDATED=Y","Sort=A","Dates=H","DateFormat=P","Fill=—","Direction=H","UseDPDF=Y")</f>
        <v>#NAME?</v>
      </c>
      <c r="CO355" s="2" t="e">
        <f ca="1">_xll.BDH($C$353,"NET_DEBT_%_CAPITAL","FQ2 2014","FQ2 2014","Currency=INR","Period=FQ","BEST_FPERIOD_OVERRIDE=FQ","FILING_STATUS=OR","EQY_CONSOLIDATED=Y","Sort=A","Dates=H","DateFormat=P","Fill=—","Direction=H","UseDPDF=Y")</f>
        <v>#NAME?</v>
      </c>
      <c r="CP355" s="3" t="e">
        <f ca="1">_xll.BDH($C$353,"EBITDA","FQ2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55" s="3" t="e">
        <f ca="1">_xll.BDH($C$353,"EBITDA_AFTER_CAPEX","FQ2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55" s="3" t="e">
        <f ca="1">_xll.BDH($C$353,"IS_OPER_INC","FQ2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55" s="2" t="e">
        <f ca="1">_xll.BDH($C$353,"CASH_RATIO","FQ2 2014","FQ2 2014","Currency=INR","Period=FQ","BEST_FPERIOD_OVERRIDE=FQ","FILING_STATUS=OR","EQY_CONSOLIDATED=Y","Sort=A","Dates=H","DateFormat=P","Fill=—","Direction=H","UseDPDF=Y")</f>
        <v>#NAME?</v>
      </c>
      <c r="CT355" s="2" t="e">
        <f ca="1">_xll.BDH($C$353,"CUR_RATIO","FQ2 2014","FQ2 2014","Currency=INR","Period=FQ","BEST_FPERIOD_OVERRIDE=FQ","FILING_STATUS=OR","EQY_CONSOLIDATED=Y","Sort=A","Dates=H","DateFormat=P","Fill=—","Direction=H","UseDPDF=Y")</f>
        <v>#NAME?</v>
      </c>
      <c r="CU355" s="2" t="e">
        <f ca="1">_xll.BDH($C$353,"QUICK_RATIO","FQ2 2014","FQ2 2014","Currency=INR","Period=FQ","BEST_FPERIOD_OVERRIDE=FQ","FILING_STATUS=OR","EQY_CONSOLIDATED=Y","Sort=A","Dates=H","DateFormat=P","Fill=—","Direction=H","UseDPDF=Y")</f>
        <v>#NAME?</v>
      </c>
      <c r="CV355" s="2" t="e">
        <f ca="1">_xll.BDH($C$353,"ALTMAN_Z_SCORE","FQ2 2014","FQ2 2014","Currency=INR","Period=FQ","BEST_FPERIOD_OVERRIDE=FQ","FILING_STATUS=OR","EQY_CONSOLIDATED=Y","Sort=A","Dates=H","DateFormat=P","Fill=—","Direction=H","UseDPDF=Y")</f>
        <v>#NAME?</v>
      </c>
      <c r="CW355" s="4" t="e">
        <f ca="1">_xll.BDH($C$353,"ACCT_RCV_TURN","FQ2 2014","FQ2 2014","Currency=INR","Period=FQ","BEST_FPERIOD_OVERRIDE=FQ","FILING_STATUS=OR","EQY_CONSOLIDATED=Y","FA_ADJUSTED=GAAP","Sort=A","Dates=H","DateFormat=P","Fill=—","Direction=H","UseDPDF=Y")</f>
        <v>#NAME?</v>
      </c>
      <c r="CX355" s="2" t="e">
        <f ca="1">_xll.BDH($C$353,"ACCT_RCV_DAYS","FQ2 2014","FQ2 2014","Currency=INR","Period=FQ","BEST_FPERIOD_OVERRIDE=FQ","FILING_STATUS=OR","EQY_CONSOLIDATED=Y","FA_ADJUSTED=GAAP","Sort=A","Dates=H","DateFormat=P","Fill=—","Direction=H","UseDPDF=Y")</f>
        <v>#NAME?</v>
      </c>
      <c r="CY355" s="4" t="e">
        <f ca="1">_xll.BDH($C$353,"INVENT_TURN","FQ2 2014","FQ2 2014","Currency=INR","Period=FQ","BEST_FPERIOD_OVERRIDE=FQ","FILING_STATUS=OR","EQY_CONSOLIDATED=Y","FA_ADJUSTED=GAAP","Sort=A","Dates=H","DateFormat=P","Fill=—","Direction=H","UseDPDF=Y")</f>
        <v>#NAME?</v>
      </c>
      <c r="CZ355" s="2" t="e">
        <f ca="1">_xll.BDH($C$353,"INVENT_DAYS","FQ2 2014","FQ2 2014","Currency=INR","Period=FQ","BEST_FPERIOD_OVERRIDE=FQ","FILING_STATUS=OR","EQY_CONSOLIDATED=Y","FA_ADJUSTED=GAAP","Sort=A","Dates=H","DateFormat=P","Fill=—","Direction=H","UseDPDF=Y")</f>
        <v>#NAME?</v>
      </c>
      <c r="DA355" s="4" t="e">
        <f ca="1">_xll.BDH($C$353,"ACCOUNTS_PAYABLE_TURNOVER","FQ2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55" s="2" t="e">
        <f ca="1">_xll.BDH($C$353,"ACCOUNTS_PAYABLE_TURNOVER_DAYS","FQ2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55" s="4" t="e">
        <f ca="1">_xll.BDH($C$353,"CASH_CONVERSION_CYCLE","FQ2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55" s="4" t="e">
        <f ca="1">_xll.BDH($C$353,"INV_TO_CASH_DAYS","FQ2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355" s="5" t="e">
        <f ca="1">_xll.BDH($C$353,"BS_INVENTORIES","FQ2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355" s="3" t="e">
        <f ca="1">_xll.BDH($C$353,"INVTRY_RAW_MATERIALS","FQ2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55" s="3" t="e">
        <f ca="1">_xll.BDH($C$353,"INVTRY_IN_PROGRESS","FQ2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55" s="3" t="e">
        <f ca="1">_xll.BDH($C$353,"INVTRY_FINISHED_GOODS","FQ2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55" s="3" t="e">
        <f ca="1">_xll.BDH($C$353,"BS_OTHER_INV","FQ2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56" spans="1:113" x14ac:dyDescent="0.3">
      <c r="A356" s="6"/>
      <c r="B356" s="6"/>
      <c r="C356" s="6"/>
      <c r="D356" s="6"/>
      <c r="E356" t="s">
        <v>80</v>
      </c>
      <c r="F356" t="e">
        <f ca="1">_xll.BDH($C$353,"RETURN_COM_EQY","FQ3 2014","FQ3 2014","Currency=INR","Period=FQ","BEST_FPERIOD_OVERRIDE=FQ","FILING_STATUS=OR","EQY_CONSOLIDATED=Y","FA_ADJUSTED=GAAP","Sort=A","Dates=H","DateFormat=P","Fill=—","Direction=H","UseDPDF=Y")</f>
        <v>#NAME?</v>
      </c>
      <c r="G356" t="e">
        <f ca="1">_xll.BDH($C$353,"RETURN_ON_ASSET","FQ3 2014","FQ3 2014","Currency=INR","Period=FQ","BEST_FPERIOD_OVERRIDE=FQ","FILING_STATUS=OR","EQY_CONSOLIDATED=Y","FA_ADJUSTED=GAAP","Sort=A","Dates=H","DateFormat=P","Fill=—","Direction=H","UseDPDF=Y")</f>
        <v>#NAME?</v>
      </c>
      <c r="H356" t="e">
        <f ca="1">_xll.BDH($C$353,"RETURN_ON_CAP","FQ3 2014","FQ3 2014","Currency=INR","Period=FQ","BEST_FPERIOD_OVERRIDE=FQ","FILING_STATUS=OR","EQY_CONSOLIDATED=Y","FA_ADJUSTED=GAAP","Sort=A","Dates=H","DateFormat=P","Fill=—","Direction=H","UseDPDF=Y")</f>
        <v>#NAME?</v>
      </c>
      <c r="I356" t="e">
        <f ca="1">_xll.BDH($C$353,"RETURN_ON_INV_CAPITAL","FQ3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56" t="e">
        <f ca="1">_xll.BDH($C$353,"EBITDA_TO_REVENUE","FQ3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356" t="e">
        <f ca="1">_xll.BDH($C$353,"OPER_MARGIN","FQ3 2014","FQ3 2014","Currency=INR","Period=FQ","BEST_FPERIOD_OVERRIDE=FQ","FILING_STATUS=OR","EQY_CONSOLIDATED=Y","FA_ADJUSTED=GAAP","Sort=A","Dates=H","DateFormat=P","Fill=—","Direction=H","UseDPDF=Y")</f>
        <v>#NAME?</v>
      </c>
      <c r="L356" t="e">
        <f ca="1">_xll.BDH($C$353,"INCREMENTAL_OPERATING_MARGIN","FQ3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56" t="e">
        <f ca="1">_xll.BDH($C$353,"PRETAX_INC_TO_NET_SALES","FQ3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56" t="e">
        <f ca="1">_xll.BDH($C$353,"INC_BEF_XO_ITEMS_TO_NET_SALES","FQ3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56" t="e">
        <f ca="1">_xll.BDH($C$353,"PROF_MARGIN","FQ3 2014","FQ3 2014","Currency=INR","Period=FQ","BEST_FPERIOD_OVERRIDE=FQ","FILING_STATUS=OR","EQY_CONSOLIDATED=Y","FA_ADJUSTED=GAAP","Sort=A","Dates=H","DateFormat=P","Fill=—","Direction=H","UseDPDF=Y")</f>
        <v>#NAME?</v>
      </c>
      <c r="P356" t="e">
        <f ca="1">_xll.BDH($C$353,"NET_INCOME_TO_COMMON_MARGIN","FQ3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56" t="e">
        <f ca="1">_xll.BDH($C$353,"EFF_TAX_RATE","FQ3 2014","FQ3 2014","Currency=INR","Period=FQ","BEST_FPERIOD_OVERRIDE=FQ","FILING_STATUS=OR","EQY_CONSOLIDATED=Y","FA_ADJUSTED=GAAP","Sort=A","Dates=H","DateFormat=P","Fill=—","Direction=H","UseDPDF=Y")</f>
        <v>#NAME?</v>
      </c>
      <c r="R356" t="e">
        <f ca="1">_xll.BDH($C$353,"DVD_PAYOUT_RATIO","FQ3 2014","FQ3 2014","Currency=INR","Period=FQ","BEST_FPERIOD_OVERRIDE=FQ","FILING_STATUS=OR","EQY_CONSOLIDATED=Y","FA_ADJUSTED=GAAP","Sort=A","Dates=H","DateFormat=P","Fill=—","Direction=H","UseDPDF=Y")</f>
        <v>#NAME?</v>
      </c>
      <c r="S356" t="e">
        <f ca="1">_xll.BDH($C$353,"SUSTAIN_GROWTH_RT","FQ3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356" s="2" t="e">
        <f ca="1">_xll.BDH($C$353,"SALES_GROWTH","FQ3 2014","FQ3 2014","Currency=INR","Period=FQ","BEST_FPERIOD_OVERRIDE=FQ","FILING_STATUS=OR","EQY_CONSOLIDATED=Y","FA_ADJUSTED=GAAP","Sort=A","Dates=H","DateFormat=P","Fill=—","Direction=H","UseDPDF=Y")</f>
        <v>#NAME?</v>
      </c>
      <c r="U356" s="2" t="e">
        <f ca="1">_xll.BDH($C$353,"EBITDA_GROWTH","FQ3 2014","FQ3 2014","Currency=INR","Period=FQ","BEST_FPERIOD_OVERRIDE=FQ","FILING_STATUS=OR","EQY_CONSOLIDATED=Y","FA_ADJUSTED=GAAP","Sort=A","Dates=H","DateFormat=P","Fill=—","Direction=H","UseDPDF=Y")</f>
        <v>#NAME?</v>
      </c>
      <c r="V356" s="2" t="e">
        <f ca="1">_xll.BDH($C$353,"OPER_INC_GROWTH","FQ3 2014","FQ3 2014","Currency=INR","Period=FQ","BEST_FPERIOD_OVERRIDE=FQ","FILING_STATUS=OR","EQY_CONSOLIDATED=Y","FA_ADJUSTED=GAAP","Sort=A","Dates=H","DateFormat=P","Fill=—","Direction=H","UseDPDF=Y")</f>
        <v>#NAME?</v>
      </c>
      <c r="W356" s="2" t="e">
        <f ca="1">_xll.BDH($C$353,"EARN_FOR_COM_GROWTH","FQ3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56" s="2" t="e">
        <f ca="1">_xll.BDH($C$353,"DILUTED_EPS_AFT_XO_ITEMS_GROWTH","FQ3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56" s="2" t="e">
        <f ca="1">_xll.BDH($C$353,"DIVIDEND_PER_SHARE_1_YEAR_GROWTH","FQ3 2014","FQ3 2014","Currency=INR","Period=FQ","BEST_FPERIOD_OVERRIDE=FQ","FILING_STATUS=OR","EQY_CONSOLIDATED=Y","Sort=A","Dates=H","DateFormat=P","Fill=—","Direction=H","UseDPDF=Y")</f>
        <v>#NAME?</v>
      </c>
      <c r="Z356" s="2" t="e">
        <f ca="1">_xll.BDH($C$353,"ACCOUNTS_RECEIVABLE_GROWTH","FQ3 2014","FQ3 2014","Currency=INR","Period=FQ","BEST_FPERIOD_OVERRIDE=FQ","FILING_STATUS=OR","EQY_CONSOLIDATED=Y","Sort=A","Dates=H","DateFormat=P","Fill=—","Direction=H","UseDPDF=Y")</f>
        <v>#NAME?</v>
      </c>
      <c r="AA356" s="2" t="e">
        <f ca="1">_xll.BDH($C$353,"INVENTORY_GROWTH","FQ3 2014","FQ3 2014","Currency=INR","Period=FQ","BEST_FPERIOD_OVERRIDE=FQ","FILING_STATUS=OR","EQY_CONSOLIDATED=Y","Sort=A","Dates=H","DateFormat=P","Fill=—","Direction=H","UseDPDF=Y")</f>
        <v>#NAME?</v>
      </c>
      <c r="AB356" s="2" t="e">
        <f ca="1">_xll.BDH($C$353,"NET_FIXED_ASSETS_1_YEAR_GROWTH","FQ3 2014","FQ3 2014","Currency=INR","Period=FQ","BEST_FPERIOD_OVERRIDE=FQ","FILING_STATUS=OR","EQY_CONSOLIDATED=Y","Sort=A","Dates=H","DateFormat=P","Fill=—","Direction=H","UseDPDF=Y")</f>
        <v>#NAME?</v>
      </c>
      <c r="AC356" s="2" t="e">
        <f ca="1">_xll.BDH($C$353,"ASSET_GROWTH","FQ3 2014","FQ3 2014","Currency=INR","Period=FQ","BEST_FPERIOD_OVERRIDE=FQ","FILING_STATUS=OR","EQY_CONSOLIDATED=Y","Sort=A","Dates=H","DateFormat=P","Fill=—","Direction=H","UseDPDF=Y")</f>
        <v>#NAME?</v>
      </c>
      <c r="AD356" s="2" t="e">
        <f ca="1">_xll.BDH($C$353,"MODIFIED_WORK_CAP_GROWTH","FQ3 2014","FQ3 2014","Currency=INR","Period=FQ","BEST_FPERIOD_OVERRIDE=FQ","FILING_STATUS=OR","EQY_CONSOLIDATED=Y","Sort=A","Dates=H","DateFormat=P","Fill=—","Direction=H","UseDPDF=Y")</f>
        <v>#NAME?</v>
      </c>
      <c r="AE356" s="2" t="e">
        <f ca="1">_xll.BDH($C$353,"WORK_CAP_GROWTH","FQ3 2014","FQ3 2014","Currency=INR","Period=FQ","BEST_FPERIOD_OVERRIDE=FQ","FILING_STATUS=OR","EQY_CONSOLIDATED=Y","Sort=A","Dates=H","DateFormat=P","Fill=—","Direction=H","UseDPDF=Y")</f>
        <v>#NAME?</v>
      </c>
      <c r="AF356" s="2" t="e">
        <f ca="1">_xll.BDH($C$353,"ACCOUNTS_PAYABLE_GROWTH_1YR","FQ3 2014","FQ3 2014","Currency=INR","Period=FQ","BEST_FPERIOD_OVERRIDE=FQ","FILING_STATUS=OR","EQY_CONSOLIDATED=Y","Sort=A","Dates=H","DateFormat=P","Fill=—","Direction=H","UseDPDF=Y")</f>
        <v>#NAME?</v>
      </c>
      <c r="AG356" s="2" t="e">
        <f ca="1">_xll.BDH($C$353,"SHORT_TERM_DEBT_1_YEAR_GROWTH","FQ3 2014","FQ3 2014","Currency=INR","Period=FQ","BEST_FPERIOD_OVERRIDE=FQ","FILING_STATUS=OR","EQY_CONSOLIDATED=Y","Sort=A","Dates=H","DateFormat=P","Fill=—","Direction=H","UseDPDF=Y")</f>
        <v>#NAME?</v>
      </c>
      <c r="AH356" s="2" t="e">
        <f ca="1">_xll.BDH($C$353,"TOTAL_DEBT_1_YEAR_GROWTH","FQ3 2014","FQ3 2014","Currency=INR","Period=FQ","BEST_FPERIOD_OVERRIDE=FQ","FILING_STATUS=OR","EQY_CONSOLIDATED=Y","Sort=A","Dates=H","DateFormat=P","Fill=—","Direction=H","UseDPDF=Y")</f>
        <v>#NAME?</v>
      </c>
      <c r="AI356" s="2" t="e">
        <f ca="1">_xll.BDH($C$353,"TOTAL_EQUITY_1_YEAR_GROWTH","FQ3 2014","FQ3 2014","Currency=INR","Period=FQ","BEST_FPERIOD_OVERRIDE=FQ","FILING_STATUS=OR","EQY_CONSOLIDATED=Y","Sort=A","Dates=H","DateFormat=P","Fill=—","Direction=H","UseDPDF=Y")</f>
        <v>#NAME?</v>
      </c>
      <c r="AJ356" s="2" t="e">
        <f ca="1">_xll.BDH($C$353,"GROWTH_IN_CAP","FQ3 2014","FQ3 2014","Currency=INR","Period=FQ","BEST_FPERIOD_OVERRIDE=FQ","FILING_STATUS=OR","EQY_CONSOLIDATED=Y","Sort=A","Dates=H","DateFormat=P","Fill=—","Direction=H","UseDPDF=Y")</f>
        <v>#NAME?</v>
      </c>
      <c r="AK356" s="2" t="e">
        <f ca="1">_xll.BDH($C$353,"BVPS_GROWTH","FQ3 2014","FQ3 2014","Currency=INR","Period=FQ","BEST_FPERIOD_OVERRIDE=FQ","FILING_STATUS=OR","EQY_CONSOLIDATED=Y","Sort=A","Dates=H","DateFormat=P","Fill=—","Direction=H","UseDPDF=Y")</f>
        <v>#NAME?</v>
      </c>
      <c r="AL356" s="2" t="e">
        <f ca="1">_xll.BDH($C$353,"CASH_FLOW_GROWTH","FQ3 2014","FQ3 2014","Currency=INR","Period=FQ","BEST_FPERIOD_OVERRIDE=FQ","FILING_STATUS=OR","EQY_CONSOLIDATED=Y","Sort=A","Dates=H","DateFormat=P","Fill=—","Direction=H","UseDPDF=Y")</f>
        <v>#NAME?</v>
      </c>
      <c r="AM356" s="2" t="e">
        <f ca="1">_xll.BDH($C$353,"GEO_GROW_NET_SALES","FQ3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56" s="2" t="e">
        <f ca="1">_xll.BDH($C$353,"GEO_GROW_EBITDA","FQ3 2014","FQ3 2014","Currency=INR","Period=FQ","BEST_FPERIOD_OVERRIDE=FQ","FILING_STATUS=OR","EQY_CONSOLIDATED=Y","FA_ADJUSTED=GAAP","Sort=A","Dates=H","DateFormat=P","Fill=—","Direction=H","UseDPDF=Y")</f>
        <v>#NAME?</v>
      </c>
      <c r="AO356" s="2" t="e">
        <f ca="1">_xll.BDH($C$353,"GEO_GROW_OPER_INC","FQ3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56" s="2" t="e">
        <f ca="1">_xll.BDH($C$353,"NET_INCOME_TO_COMMON_5_YR_GROWTH","FQ3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56" s="2" t="e">
        <f ca="1">_xll.BDH($C$353,"5Y_GEO_GROWTH_DILUTED_EPS","FQ3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56" s="2" t="e">
        <f ca="1">_xll.BDH($C$353,"GEO_GROW_DVD_PER_SH","FQ3 2014","FQ3 2014","Currency=INR","Period=FQ","BEST_FPERIOD_OVERRIDE=FQ","FILING_STATUS=OR","EQY_CONSOLIDATED=Y","Sort=A","Dates=H","DateFormat=P","Fill=—","Direction=H","UseDPDF=Y")</f>
        <v>#NAME?</v>
      </c>
      <c r="AS356" s="2" t="e">
        <f ca="1">_xll.BDH($C$353,"ACCOUNTS_RECEIVABLE_5_YR_GROWTH","FQ3 2014","FQ3 2014","Currency=INR","Period=FQ","BEST_FPERIOD_OVERRIDE=FQ","FILING_STATUS=OR","EQY_CONSOLIDATED=Y","Sort=A","Dates=H","DateFormat=P","Fill=—","Direction=H","UseDPDF=Y")</f>
        <v>#NAME?</v>
      </c>
      <c r="AT356" s="2" t="e">
        <f ca="1">_xll.BDH($C$353,"INVENTORY_5_YEAR_GROWTH","FQ3 2014","FQ3 2014","Currency=INR","Period=FQ","BEST_FPERIOD_OVERRIDE=FQ","FILING_STATUS=OR","EQY_CONSOLIDATED=Y","Sort=A","Dates=H","DateFormat=P","Fill=—","Direction=H","UseDPDF=Y")</f>
        <v>#NAME?</v>
      </c>
      <c r="AU356" s="2" t="e">
        <f ca="1">_xll.BDH($C$353,"NET_FIXED_ASSETS_5_YEAR_GROWTH","FQ3 2014","FQ3 2014","Currency=INR","Period=FQ","BEST_FPERIOD_OVERRIDE=FQ","FILING_STATUS=OR","EQY_CONSOLIDATED=Y","Sort=A","Dates=H","DateFormat=P","Fill=—","Direction=H","UseDPDF=Y")</f>
        <v>#NAME?</v>
      </c>
      <c r="AV356" s="2" t="e">
        <f ca="1">_xll.BDH($C$353,"GEO_GROW_TOT_ASSET","FQ3 2014","FQ3 2014","Currency=INR","Period=FQ","BEST_FPERIOD_OVERRIDE=FQ","FILING_STATUS=OR","EQY_CONSOLIDATED=Y","Sort=A","Dates=H","DateFormat=P","Fill=—","Direction=H","UseDPDF=Y")</f>
        <v>#NAME?</v>
      </c>
      <c r="AW356" s="2" t="e">
        <f ca="1">_xll.BDH($C$353,"MODIFIED_WORKING_CPTL_5YR_GRWTH","FQ3 2014","FQ3 2014","Currency=INR","Period=FQ","BEST_FPERIOD_OVERRIDE=FQ","FILING_STATUS=OR","EQY_CONSOLIDATED=Y","Sort=A","Dates=H","DateFormat=P","Fill=—","Direction=H","UseDPDF=Y")</f>
        <v>#NAME?</v>
      </c>
      <c r="AX356" s="2" t="e">
        <f ca="1">_xll.BDH($C$353,"WORKING_CAPITAL_5_YEAR_GROWTH","FQ3 2014","FQ3 2014","Currency=INR","Period=FQ","BEST_FPERIOD_OVERRIDE=FQ","FILING_STATUS=OR","EQY_CONSOLIDATED=Y","Sort=A","Dates=H","DateFormat=P","Fill=—","Direction=H","UseDPDF=Y")</f>
        <v>#NAME?</v>
      </c>
      <c r="AY356" s="2" t="e">
        <f ca="1">_xll.BDH($C$353,"ACCOUNTS_PAYABLE_5_YEAR_GROWTH","FQ3 2014","FQ3 2014","Currency=INR","Period=FQ","BEST_FPERIOD_OVERRIDE=FQ","FILING_STATUS=OR","EQY_CONSOLIDATED=Y","Sort=A","Dates=H","DateFormat=P","Fill=—","Direction=H","UseDPDF=Y")</f>
        <v>#NAME?</v>
      </c>
      <c r="AZ356" s="2" t="e">
        <f ca="1">_xll.BDH($C$353,"SHORT_TERM_DEBT_5_YEAR_GROWTH","FQ3 2014","FQ3 2014","Currency=INR","Period=FQ","BEST_FPERIOD_OVERRIDE=FQ","FILING_STATUS=OR","EQY_CONSOLIDATED=Y","Sort=A","Dates=H","DateFormat=P","Fill=—","Direction=H","UseDPDF=Y")</f>
        <v>#NAME?</v>
      </c>
      <c r="BA356" s="2" t="e">
        <f ca="1">_xll.BDH($C$353,"TOTAL_DEBT_5_YEAR_GROWTH","FQ3 2014","FQ3 2014","Currency=INR","Period=FQ","BEST_FPERIOD_OVERRIDE=FQ","FILING_STATUS=OR","EQY_CONSOLIDATED=Y","Sort=A","Dates=H","DateFormat=P","Fill=—","Direction=H","UseDPDF=Y")</f>
        <v>#NAME?</v>
      </c>
      <c r="BB356" s="2" t="e">
        <f ca="1">_xll.BDH($C$353,"GEO_GROW_TOT_SHRHLDR_EQY","FQ3 2014","FQ3 2014","Currency=INR","Period=FQ","BEST_FPERIOD_OVERRIDE=FQ","FILING_STATUS=OR","EQY_CONSOLIDATED=Y","Sort=A","Dates=H","DateFormat=P","Fill=—","Direction=H","UseDPDF=Y")</f>
        <v>#NAME?</v>
      </c>
      <c r="BC356" s="2" t="e">
        <f ca="1">_xll.BDH($C$353,"TOTAL_CAPITAL_5_YEAR_GROWTH","FQ3 2014","FQ3 2014","Currency=INR","Period=FQ","BEST_FPERIOD_OVERRIDE=FQ","FILING_STATUS=OR","EQY_CONSOLIDATED=Y","Sort=A","Dates=H","DateFormat=P","Fill=—","Direction=H","UseDPDF=Y")</f>
        <v>#NAME?</v>
      </c>
      <c r="BD356" s="2" t="e">
        <f ca="1">_xll.BDH($C$353,"GEO_GROW_BOOK_VAL","FQ3 2014","FQ3 2014","Currency=INR","Period=FQ","BEST_FPERIOD_OVERRIDE=FQ","FILING_STATUS=OR","EQY_CONSOLIDATED=Y","Sort=A","Dates=H","DateFormat=P","Fill=—","Direction=H","UseDPDF=Y")</f>
        <v>#NAME?</v>
      </c>
      <c r="BE356" s="2" t="e">
        <f ca="1">_xll.BDH($C$353,"GEO_GROW_CASH_OPER_ACT","FQ3 2014","FQ3 2014","Currency=INR","Period=FQ","BEST_FPERIOD_OVERRIDE=FQ","FILING_STATUS=OR","EQY_CONSOLIDATED=Y","Sort=A","Dates=H","DateFormat=P","Fill=—","Direction=H","UseDPDF=Y")</f>
        <v>#NAME?</v>
      </c>
      <c r="BF356" s="2" t="e">
        <f ca="1">_xll.BDH($C$353,"REVENUE_SEQUENTIAL_GROWTH","FQ3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56" s="2" t="e">
        <f ca="1">_xll.BDH($C$353,"EBITDA_SEQUENTIAL_GROWTH","FQ3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56" s="2" t="e">
        <f ca="1">_xll.BDH($C$353,"OPERATING_INCOME_SEQ_GROWTH","FQ3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56" s="2" t="e">
        <f ca="1">_xll.BDH($C$353,"NET_INCOME_TO_COMMON_SEQ_GROWTH","FQ3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56" s="2" t="e">
        <f ca="1">_xll.BDH($C$353,"EPS_DILUTED_SEQUENTIAL_GROWTH","FQ3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56" s="2" t="e">
        <f ca="1">_xll.BDH($C$353,"DPS_SEQUENTIAL_GROWTH","FQ3 2014","FQ3 2014","Currency=INR","Period=FQ","BEST_FPERIOD_OVERRIDE=FQ","FILING_STATUS=OR","EQY_CONSOLIDATED=Y","Sort=A","Dates=H","DateFormat=P","Fill=—","Direction=H","UseDPDF=Y")</f>
        <v>#NAME?</v>
      </c>
      <c r="BL356" s="2" t="e">
        <f ca="1">_xll.BDH($C$353,"ACCOUNTS_RECEIVABLE_SEQ_GROWTH","FQ3 2014","FQ3 2014","Currency=INR","Period=FQ","BEST_FPERIOD_OVERRIDE=FQ","FILING_STATUS=OR","EQY_CONSOLIDATED=Y","Sort=A","Dates=H","DateFormat=P","Fill=—","Direction=H","UseDPDF=Y")</f>
        <v>#NAME?</v>
      </c>
      <c r="BM356" s="2" t="e">
        <f ca="1">_xll.BDH($C$353,"INVENTORY_SEQUENTIAL_GROWTH","FQ3 2014","FQ3 2014","Currency=INR","Period=FQ","BEST_FPERIOD_OVERRIDE=FQ","FILING_STATUS=OR","EQY_CONSOLIDATED=Y","Sort=A","Dates=H","DateFormat=P","Fill=—","Direction=H","UseDPDF=Y")</f>
        <v>#NAME?</v>
      </c>
      <c r="BN356" s="2" t="e">
        <f ca="1">_xll.BDH($C$353,"FIXED_ASSETS_SEQUENTIAL_GROWTH","FQ3 2014","FQ3 2014","Currency=INR","Period=FQ","BEST_FPERIOD_OVERRIDE=FQ","FILING_STATUS=OR","EQY_CONSOLIDATED=Y","Sort=A","Dates=H","DateFormat=P","Fill=—","Direction=H","UseDPDF=Y")</f>
        <v>#NAME?</v>
      </c>
      <c r="BO356" s="2" t="e">
        <f ca="1">_xll.BDH($C$353,"TOTAL_ASSETS_SEQUENTIAL_GROWTH","FQ3 2014","FQ3 2014","Currency=INR","Period=FQ","BEST_FPERIOD_OVERRIDE=FQ","FILING_STATUS=OR","EQY_CONSOLIDATED=Y","Sort=A","Dates=H","DateFormat=P","Fill=—","Direction=H","UseDPDF=Y")</f>
        <v>#NAME?</v>
      </c>
      <c r="BP356" s="2" t="e">
        <f ca="1">_xll.BDH($C$353,"MODIFIED_WORKING_CPTL_SEQ_GRWTH","FQ3 2014","FQ3 2014","Currency=INR","Period=FQ","BEST_FPERIOD_OVERRIDE=FQ","FILING_STATUS=OR","EQY_CONSOLIDATED=Y","Sort=A","Dates=H","DateFormat=P","Fill=—","Direction=H","UseDPDF=Y")</f>
        <v>#NAME?</v>
      </c>
      <c r="BQ356" s="2" t="e">
        <f ca="1">_xll.BDH($C$353,"WORKING_CAPITAL_SEQ_GROWTH","FQ3 2014","FQ3 2014","Currency=INR","Period=FQ","BEST_FPERIOD_OVERRIDE=FQ","FILING_STATUS=OR","EQY_CONSOLIDATED=Y","Sort=A","Dates=H","DateFormat=P","Fill=—","Direction=H","UseDPDF=Y")</f>
        <v>#NAME?</v>
      </c>
      <c r="BR356" s="2" t="e">
        <f ca="1">_xll.BDH($C$353,"ACCOUNTS_PAYABLE_SEQ_GROWTH","FQ3 2014","FQ3 2014","Currency=INR","Period=FQ","BEST_FPERIOD_OVERRIDE=FQ","FILING_STATUS=OR","EQY_CONSOLIDATED=Y","Sort=A","Dates=H","DateFormat=P","Fill=—","Direction=H","UseDPDF=Y")</f>
        <v>#NAME?</v>
      </c>
      <c r="BS356" s="2" t="e">
        <f ca="1">_xll.BDH($C$353,"ST_DEBT_SEQUENTIAL_GROWTH","FQ3 2014","FQ3 2014","Currency=INR","Period=FQ","BEST_FPERIOD_OVERRIDE=FQ","FILING_STATUS=OR","EQY_CONSOLIDATED=Y","Sort=A","Dates=H","DateFormat=P","Fill=—","Direction=H","UseDPDF=Y")</f>
        <v>#NAME?</v>
      </c>
      <c r="BT356" s="2" t="e">
        <f ca="1">_xll.BDH($C$353,"TOTAL_DEBT_SEQUENTIAL_GROWTH","FQ3 2014","FQ3 2014","Currency=INR","Period=FQ","BEST_FPERIOD_OVERRIDE=FQ","FILING_STATUS=OR","EQY_CONSOLIDATED=Y","Sort=A","Dates=H","DateFormat=P","Fill=—","Direction=H","UseDPDF=Y")</f>
        <v>#NAME?</v>
      </c>
      <c r="BU356" s="2" t="e">
        <f ca="1">_xll.BDH($C$353,"TOTAL_EQUITY_SEQUENTIAL_GROWTH","FQ3 2014","FQ3 2014","Currency=INR","Period=FQ","BEST_FPERIOD_OVERRIDE=FQ","FILING_STATUS=OR","EQY_CONSOLIDATED=Y","Sort=A","Dates=H","DateFormat=P","Fill=—","Direction=H","UseDPDF=Y")</f>
        <v>#NAME?</v>
      </c>
      <c r="BV356" s="2" t="e">
        <f ca="1">_xll.BDH($C$353,"TOTAL_CAPITAL_SEQUENTIAL_GROWTH","FQ3 2014","FQ3 2014","Currency=INR","Period=FQ","BEST_FPERIOD_OVERRIDE=FQ","FILING_STATUS=OR","EQY_CONSOLIDATED=Y","Sort=A","Dates=H","DateFormat=P","Fill=—","Direction=H","UseDPDF=Y")</f>
        <v>#NAME?</v>
      </c>
      <c r="BW356" s="2" t="e">
        <f ca="1">_xll.BDH($C$353,"BPS_SEQUENTIAL_GROWTH","FQ3 2014","FQ3 2014","Currency=INR","Period=FQ","BEST_FPERIOD_OVERRIDE=FQ","FILING_STATUS=OR","EQY_CONSOLIDATED=Y","Sort=A","Dates=H","DateFormat=P","Fill=—","Direction=H","UseDPDF=Y")</f>
        <v>#NAME?</v>
      </c>
      <c r="BX356" s="2" t="e">
        <f ca="1">_xll.BDH($C$353,"CFO_SEQUENTIAL_GROWTH","FQ3 2014","FQ3 2014","Currency=INR","Period=FQ","BEST_FPERIOD_OVERRIDE=FQ","FILING_STATUS=OR","EQY_CONSOLIDATED=Y","Sort=A","Dates=H","DateFormat=P","Fill=—","Direction=H","UseDPDF=Y")</f>
        <v>#NAME?</v>
      </c>
      <c r="BY356" s="3" t="e">
        <f ca="1">_xll.BDH($C$353,"SHORT_AND_LONG_TERM_DEBT","FQ3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56" s="3" t="e">
        <f ca="1">_xll.BDH($C$353,"BS_ST_BORROW","FQ3 2014","FQ3 2014","Currency=INR","Period=FQ","BEST_FPERIOD_OVERRIDE=FQ","FILING_STATUS=OR","EQY_CONSOLIDATED=Y","SCALING_FORMAT=MLN","Sort=A","Dates=H","DateFormat=P","Fill=—","Direction=H","UseDPDF=Y")</f>
        <v>#NAME?</v>
      </c>
      <c r="CA356" s="3" t="e">
        <f ca="1">_xll.BDH($C$353,"BS_LT_BORROW","FQ3 2014","FQ3 2014","Currency=INR","Period=FQ","BEST_FPERIOD_OVERRIDE=FQ","FILING_STATUS=OR","EQY_CONSOLIDATED=Y","SCALING_FORMAT=MLN","Sort=A","Dates=H","DateFormat=P","Fill=—","Direction=H","UseDPDF=Y")</f>
        <v>#NAME?</v>
      </c>
      <c r="CB356" s="2" t="e">
        <f ca="1">_xll.BDH($C$353,"TOT_DEBT_TO_EBITDA","FQ3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56" s="2" t="e">
        <f ca="1">_xll.BDH($C$353,"NET_DEBT_TO_EBITDA","FQ3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56" s="2" t="e">
        <f ca="1">_xll.BDH($C$353,"TOTAL_DEBT_TO_EBIT","FQ3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56" s="2" t="e">
        <f ca="1">_xll.BDH($C$353,"NET_DEBT_TO_EBIT","FQ3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356" s="2" t="e">
        <f ca="1">_xll.BDH($C$353,"EBITDA_TO_INTEREST_EXPN","FQ3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56" s="2" t="e">
        <f ca="1">_xll.BDH($C$353,"COM_EQY_TO_TOT_ASSET","FQ3 2014","FQ3 2014","Currency=INR","Period=FQ","BEST_FPERIOD_OVERRIDE=FQ","FILING_STATUS=OR","EQY_CONSOLIDATED=Y","Sort=A","Dates=H","DateFormat=P","Fill=—","Direction=H","UseDPDF=Y")</f>
        <v>#NAME?</v>
      </c>
      <c r="CH356" s="2" t="e">
        <f ca="1">_xll.BDH($C$353,"LT_DEBT_TO_TOT_EQY","FQ3 2014","FQ3 2014","Currency=INR","Period=FQ","BEST_FPERIOD_OVERRIDE=FQ","FILING_STATUS=OR","EQY_CONSOLIDATED=Y","Sort=A","Dates=H","DateFormat=P","Fill=—","Direction=H","UseDPDF=Y")</f>
        <v>#NAME?</v>
      </c>
      <c r="CI356" s="2" t="e">
        <f ca="1">_xll.BDH($C$353,"LT_DEBT_TO_TOT_CAP","FQ3 2014","FQ3 2014","Currency=INR","Period=FQ","BEST_FPERIOD_OVERRIDE=FQ","FILING_STATUS=OR","EQY_CONSOLIDATED=Y","Sort=A","Dates=H","DateFormat=P","Fill=—","Direction=H","UseDPDF=Y")</f>
        <v>#NAME?</v>
      </c>
      <c r="CJ356" s="2" t="e">
        <f ca="1">_xll.BDH($C$353,"LT_DEBT_TO_TOT_ASSET","FQ3 2014","FQ3 2014","Currency=INR","Period=FQ","BEST_FPERIOD_OVERRIDE=FQ","FILING_STATUS=OR","EQY_CONSOLIDATED=Y","Sort=A","Dates=H","DateFormat=P","Fill=—","Direction=H","UseDPDF=Y")</f>
        <v>#NAME?</v>
      </c>
      <c r="CK356" s="2" t="e">
        <f ca="1">_xll.BDH($C$353,"TOT_DEBT_TO_TOT_EQY","FQ3 2014","FQ3 2014","Currency=INR","Period=FQ","BEST_FPERIOD_OVERRIDE=FQ","FILING_STATUS=OR","EQY_CONSOLIDATED=Y","Sort=A","Dates=H","DateFormat=P","Fill=—","Direction=H","UseDPDF=Y")</f>
        <v>#NAME?</v>
      </c>
      <c r="CL356" s="2" t="e">
        <f ca="1">_xll.BDH($C$353,"TOT_DEBT_TO_TOT_CAP","FQ3 2014","FQ3 2014","Currency=INR","Period=FQ","BEST_FPERIOD_OVERRIDE=FQ","FILING_STATUS=OR","EQY_CONSOLIDATED=Y","Sort=A","Dates=H","DateFormat=P","Fill=—","Direction=H","UseDPDF=Y")</f>
        <v>#NAME?</v>
      </c>
      <c r="CM356" s="2" t="e">
        <f ca="1">_xll.BDH($C$353,"TOT_DEBT_TO_TOT_ASSET","FQ3 2014","FQ3 2014","Currency=INR","Period=FQ","BEST_FPERIOD_OVERRIDE=FQ","FILING_STATUS=OR","EQY_CONSOLIDATED=Y","Sort=A","Dates=H","DateFormat=P","Fill=—","Direction=H","UseDPDF=Y")</f>
        <v>#NAME?</v>
      </c>
      <c r="CN356" s="2" t="e">
        <f ca="1">_xll.BDH($C$353,"NET_DEBT_TO_SHRHLDR_EQTY","FQ3 2014","FQ3 2014","Currency=INR","Period=FQ","BEST_FPERIOD_OVERRIDE=FQ","FILING_STATUS=OR","EQY_CONSOLIDATED=Y","Sort=A","Dates=H","DateFormat=P","Fill=—","Direction=H","UseDPDF=Y")</f>
        <v>#NAME?</v>
      </c>
      <c r="CO356" s="2" t="e">
        <f ca="1">_xll.BDH($C$353,"NET_DEBT_%_CAPITAL","FQ3 2014","FQ3 2014","Currency=INR","Period=FQ","BEST_FPERIOD_OVERRIDE=FQ","FILING_STATUS=OR","EQY_CONSOLIDATED=Y","Sort=A","Dates=H","DateFormat=P","Fill=—","Direction=H","UseDPDF=Y")</f>
        <v>#NAME?</v>
      </c>
      <c r="CP356" s="3" t="e">
        <f ca="1">_xll.BDH($C$353,"EBITDA","FQ3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56" s="3" t="e">
        <f ca="1">_xll.BDH($C$353,"EBITDA_AFTER_CAPEX","FQ3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56" s="3" t="e">
        <f ca="1">_xll.BDH($C$353,"IS_OPER_INC","FQ3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56" s="2" t="e">
        <f ca="1">_xll.BDH($C$353,"CASH_RATIO","FQ3 2014","FQ3 2014","Currency=INR","Period=FQ","BEST_FPERIOD_OVERRIDE=FQ","FILING_STATUS=OR","EQY_CONSOLIDATED=Y","Sort=A","Dates=H","DateFormat=P","Fill=—","Direction=H","UseDPDF=Y")</f>
        <v>#NAME?</v>
      </c>
      <c r="CT356" s="2" t="e">
        <f ca="1">_xll.BDH($C$353,"CUR_RATIO","FQ3 2014","FQ3 2014","Currency=INR","Period=FQ","BEST_FPERIOD_OVERRIDE=FQ","FILING_STATUS=OR","EQY_CONSOLIDATED=Y","Sort=A","Dates=H","DateFormat=P","Fill=—","Direction=H","UseDPDF=Y")</f>
        <v>#NAME?</v>
      </c>
      <c r="CU356" s="2" t="e">
        <f ca="1">_xll.BDH($C$353,"QUICK_RATIO","FQ3 2014","FQ3 2014","Currency=INR","Period=FQ","BEST_FPERIOD_OVERRIDE=FQ","FILING_STATUS=OR","EQY_CONSOLIDATED=Y","Sort=A","Dates=H","DateFormat=P","Fill=—","Direction=H","UseDPDF=Y")</f>
        <v>#NAME?</v>
      </c>
      <c r="CV356" s="2" t="e">
        <f ca="1">_xll.BDH($C$353,"ALTMAN_Z_SCORE","FQ3 2014","FQ3 2014","Currency=INR","Period=FQ","BEST_FPERIOD_OVERRIDE=FQ","FILING_STATUS=OR","EQY_CONSOLIDATED=Y","Sort=A","Dates=H","DateFormat=P","Fill=—","Direction=H","UseDPDF=Y")</f>
        <v>#NAME?</v>
      </c>
      <c r="CW356" s="4" t="e">
        <f ca="1">_xll.BDH($C$353,"ACCT_RCV_TURN","FQ3 2014","FQ3 2014","Currency=INR","Period=FQ","BEST_FPERIOD_OVERRIDE=FQ","FILING_STATUS=OR","EQY_CONSOLIDATED=Y","FA_ADJUSTED=GAAP","Sort=A","Dates=H","DateFormat=P","Fill=—","Direction=H","UseDPDF=Y")</f>
        <v>#NAME?</v>
      </c>
      <c r="CX356" s="2" t="e">
        <f ca="1">_xll.BDH($C$353,"ACCT_RCV_DAYS","FQ3 2014","FQ3 2014","Currency=INR","Period=FQ","BEST_FPERIOD_OVERRIDE=FQ","FILING_STATUS=OR","EQY_CONSOLIDATED=Y","FA_ADJUSTED=GAAP","Sort=A","Dates=H","DateFormat=P","Fill=—","Direction=H","UseDPDF=Y")</f>
        <v>#NAME?</v>
      </c>
      <c r="CY356" s="4" t="e">
        <f ca="1">_xll.BDH($C$353,"INVENT_TURN","FQ3 2014","FQ3 2014","Currency=INR","Period=FQ","BEST_FPERIOD_OVERRIDE=FQ","FILING_STATUS=OR","EQY_CONSOLIDATED=Y","FA_ADJUSTED=GAAP","Sort=A","Dates=H","DateFormat=P","Fill=—","Direction=H","UseDPDF=Y")</f>
        <v>#NAME?</v>
      </c>
      <c r="CZ356" s="2" t="e">
        <f ca="1">_xll.BDH($C$353,"INVENT_DAYS","FQ3 2014","FQ3 2014","Currency=INR","Period=FQ","BEST_FPERIOD_OVERRIDE=FQ","FILING_STATUS=OR","EQY_CONSOLIDATED=Y","FA_ADJUSTED=GAAP","Sort=A","Dates=H","DateFormat=P","Fill=—","Direction=H","UseDPDF=Y")</f>
        <v>#NAME?</v>
      </c>
      <c r="DA356" s="4" t="e">
        <f ca="1">_xll.BDH($C$353,"ACCOUNTS_PAYABLE_TURNOVER","FQ3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56" s="2" t="e">
        <f ca="1">_xll.BDH($C$353,"ACCOUNTS_PAYABLE_TURNOVER_DAYS","FQ3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56" s="4" t="e">
        <f ca="1">_xll.BDH($C$353,"CASH_CONVERSION_CYCLE","FQ3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56" s="4" t="e">
        <f ca="1">_xll.BDH($C$353,"INV_TO_CASH_DAYS","FQ3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356" s="5" t="e">
        <f ca="1">_xll.BDH($C$353,"BS_INVENTORIES","FQ3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356" s="3" t="e">
        <f ca="1">_xll.BDH($C$353,"INVTRY_RAW_MATERIALS","FQ3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56" s="3" t="e">
        <f ca="1">_xll.BDH($C$353,"INVTRY_IN_PROGRESS","FQ3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56" s="3" t="e">
        <f ca="1">_xll.BDH($C$353,"INVTRY_FINISHED_GOODS","FQ3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56" s="3" t="e">
        <f ca="1">_xll.BDH($C$353,"BS_OTHER_INV","FQ3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57" spans="1:113" x14ac:dyDescent="0.3">
      <c r="A357" s="6"/>
      <c r="B357" s="6"/>
      <c r="C357" s="6"/>
      <c r="D357" s="6"/>
      <c r="E357" t="s">
        <v>81</v>
      </c>
      <c r="F357" t="e">
        <f ca="1">_xll.BDH($C$353,"RETURN_COM_EQY","FQ4 2014","FQ4 2014","Currency=INR","Period=FQ","BEST_FPERIOD_OVERRIDE=FQ","FILING_STATUS=OR","EQY_CONSOLIDATED=Y","FA_ADJUSTED=GAAP","Sort=A","Dates=H","DateFormat=P","Fill=—","Direction=H","UseDPDF=Y")</f>
        <v>#NAME?</v>
      </c>
      <c r="G357" t="e">
        <f ca="1">_xll.BDH($C$353,"RETURN_ON_ASSET","FQ4 2014","FQ4 2014","Currency=INR","Period=FQ","BEST_FPERIOD_OVERRIDE=FQ","FILING_STATUS=OR","EQY_CONSOLIDATED=Y","FA_ADJUSTED=GAAP","Sort=A","Dates=H","DateFormat=P","Fill=—","Direction=H","UseDPDF=Y")</f>
        <v>#NAME?</v>
      </c>
      <c r="H357" t="e">
        <f ca="1">_xll.BDH($C$353,"RETURN_ON_CAP","FQ4 2014","FQ4 2014","Currency=INR","Period=FQ","BEST_FPERIOD_OVERRIDE=FQ","FILING_STATUS=OR","EQY_CONSOLIDATED=Y","FA_ADJUSTED=GAAP","Sort=A","Dates=H","DateFormat=P","Fill=—","Direction=H","UseDPDF=Y")</f>
        <v>#NAME?</v>
      </c>
      <c r="I357" t="e">
        <f ca="1">_xll.BDH($C$353,"RETURN_ON_INV_CAPITAL","FQ4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57" t="e">
        <f ca="1">_xll.BDH($C$353,"EBITDA_TO_REVENUE","FQ4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357" t="e">
        <f ca="1">_xll.BDH($C$353,"OPER_MARGIN","FQ4 2014","FQ4 2014","Currency=INR","Period=FQ","BEST_FPERIOD_OVERRIDE=FQ","FILING_STATUS=OR","EQY_CONSOLIDATED=Y","FA_ADJUSTED=GAAP","Sort=A","Dates=H","DateFormat=P","Fill=—","Direction=H","UseDPDF=Y")</f>
        <v>#NAME?</v>
      </c>
      <c r="L357" t="e">
        <f ca="1">_xll.BDH($C$353,"INCREMENTAL_OPERATING_MARGIN","FQ4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57" t="e">
        <f ca="1">_xll.BDH($C$353,"PRETAX_INC_TO_NET_SALES","FQ4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57" t="e">
        <f ca="1">_xll.BDH($C$353,"INC_BEF_XO_ITEMS_TO_NET_SALES","FQ4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57" t="e">
        <f ca="1">_xll.BDH($C$353,"PROF_MARGIN","FQ4 2014","FQ4 2014","Currency=INR","Period=FQ","BEST_FPERIOD_OVERRIDE=FQ","FILING_STATUS=OR","EQY_CONSOLIDATED=Y","FA_ADJUSTED=GAAP","Sort=A","Dates=H","DateFormat=P","Fill=—","Direction=H","UseDPDF=Y")</f>
        <v>#NAME?</v>
      </c>
      <c r="P357" t="e">
        <f ca="1">_xll.BDH($C$353,"NET_INCOME_TO_COMMON_MARGIN","FQ4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57" t="e">
        <f ca="1">_xll.BDH($C$353,"EFF_TAX_RATE","FQ4 2014","FQ4 2014","Currency=INR","Period=FQ","BEST_FPERIOD_OVERRIDE=FQ","FILING_STATUS=OR","EQY_CONSOLIDATED=Y","FA_ADJUSTED=GAAP","Sort=A","Dates=H","DateFormat=P","Fill=—","Direction=H","UseDPDF=Y")</f>
        <v>#NAME?</v>
      </c>
      <c r="R357" t="e">
        <f ca="1">_xll.BDH($C$353,"DVD_PAYOUT_RATIO","FQ4 2014","FQ4 2014","Currency=INR","Period=FQ","BEST_FPERIOD_OVERRIDE=FQ","FILING_STATUS=OR","EQY_CONSOLIDATED=Y","FA_ADJUSTED=GAAP","Sort=A","Dates=H","DateFormat=P","Fill=—","Direction=H","UseDPDF=Y")</f>
        <v>#NAME?</v>
      </c>
      <c r="S357" t="e">
        <f ca="1">_xll.BDH($C$353,"SUSTAIN_GROWTH_RT","FQ4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357" s="2" t="e">
        <f ca="1">_xll.BDH($C$353,"SALES_GROWTH","FQ4 2014","FQ4 2014","Currency=INR","Period=FQ","BEST_FPERIOD_OVERRIDE=FQ","FILING_STATUS=OR","EQY_CONSOLIDATED=Y","FA_ADJUSTED=GAAP","Sort=A","Dates=H","DateFormat=P","Fill=—","Direction=H","UseDPDF=Y")</f>
        <v>#NAME?</v>
      </c>
      <c r="U357" s="2" t="e">
        <f ca="1">_xll.BDH($C$353,"EBITDA_GROWTH","FQ4 2014","FQ4 2014","Currency=INR","Period=FQ","BEST_FPERIOD_OVERRIDE=FQ","FILING_STATUS=OR","EQY_CONSOLIDATED=Y","FA_ADJUSTED=GAAP","Sort=A","Dates=H","DateFormat=P","Fill=—","Direction=H","UseDPDF=Y")</f>
        <v>#NAME?</v>
      </c>
      <c r="V357" s="2" t="e">
        <f ca="1">_xll.BDH($C$353,"OPER_INC_GROWTH","FQ4 2014","FQ4 2014","Currency=INR","Period=FQ","BEST_FPERIOD_OVERRIDE=FQ","FILING_STATUS=OR","EQY_CONSOLIDATED=Y","FA_ADJUSTED=GAAP","Sort=A","Dates=H","DateFormat=P","Fill=—","Direction=H","UseDPDF=Y")</f>
        <v>#NAME?</v>
      </c>
      <c r="W357" s="2" t="e">
        <f ca="1">_xll.BDH($C$353,"EARN_FOR_COM_GROWTH","FQ4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57" s="2" t="e">
        <f ca="1">_xll.BDH($C$353,"DILUTED_EPS_AFT_XO_ITEMS_GROWTH","FQ4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57" s="2" t="e">
        <f ca="1">_xll.BDH($C$353,"DIVIDEND_PER_SHARE_1_YEAR_GROWTH","FQ4 2014","FQ4 2014","Currency=INR","Period=FQ","BEST_FPERIOD_OVERRIDE=FQ","FILING_STATUS=OR","EQY_CONSOLIDATED=Y","Sort=A","Dates=H","DateFormat=P","Fill=—","Direction=H","UseDPDF=Y")</f>
        <v>#NAME?</v>
      </c>
      <c r="Z357" s="2" t="e">
        <f ca="1">_xll.BDH($C$353,"ACCOUNTS_RECEIVABLE_GROWTH","FQ4 2014","FQ4 2014","Currency=INR","Period=FQ","BEST_FPERIOD_OVERRIDE=FQ","FILING_STATUS=OR","EQY_CONSOLIDATED=Y","Sort=A","Dates=H","DateFormat=P","Fill=—","Direction=H","UseDPDF=Y")</f>
        <v>#NAME?</v>
      </c>
      <c r="AA357" s="2" t="e">
        <f ca="1">_xll.BDH($C$353,"INVENTORY_GROWTH","FQ4 2014","FQ4 2014","Currency=INR","Period=FQ","BEST_FPERIOD_OVERRIDE=FQ","FILING_STATUS=OR","EQY_CONSOLIDATED=Y","Sort=A","Dates=H","DateFormat=P","Fill=—","Direction=H","UseDPDF=Y")</f>
        <v>#NAME?</v>
      </c>
      <c r="AB357" s="2" t="e">
        <f ca="1">_xll.BDH($C$353,"NET_FIXED_ASSETS_1_YEAR_GROWTH","FQ4 2014","FQ4 2014","Currency=INR","Period=FQ","BEST_FPERIOD_OVERRIDE=FQ","FILING_STATUS=OR","EQY_CONSOLIDATED=Y","Sort=A","Dates=H","DateFormat=P","Fill=—","Direction=H","UseDPDF=Y")</f>
        <v>#NAME?</v>
      </c>
      <c r="AC357" s="2" t="e">
        <f ca="1">_xll.BDH($C$353,"ASSET_GROWTH","FQ4 2014","FQ4 2014","Currency=INR","Period=FQ","BEST_FPERIOD_OVERRIDE=FQ","FILING_STATUS=OR","EQY_CONSOLIDATED=Y","Sort=A","Dates=H","DateFormat=P","Fill=—","Direction=H","UseDPDF=Y")</f>
        <v>#NAME?</v>
      </c>
      <c r="AD357" s="2" t="e">
        <f ca="1">_xll.BDH($C$353,"MODIFIED_WORK_CAP_GROWTH","FQ4 2014","FQ4 2014","Currency=INR","Period=FQ","BEST_FPERIOD_OVERRIDE=FQ","FILING_STATUS=OR","EQY_CONSOLIDATED=Y","Sort=A","Dates=H","DateFormat=P","Fill=—","Direction=H","UseDPDF=Y")</f>
        <v>#NAME?</v>
      </c>
      <c r="AE357" s="2" t="e">
        <f ca="1">_xll.BDH($C$353,"WORK_CAP_GROWTH","FQ4 2014","FQ4 2014","Currency=INR","Period=FQ","BEST_FPERIOD_OVERRIDE=FQ","FILING_STATUS=OR","EQY_CONSOLIDATED=Y","Sort=A","Dates=H","DateFormat=P","Fill=—","Direction=H","UseDPDF=Y")</f>
        <v>#NAME?</v>
      </c>
      <c r="AF357" s="2" t="e">
        <f ca="1">_xll.BDH($C$353,"ACCOUNTS_PAYABLE_GROWTH_1YR","FQ4 2014","FQ4 2014","Currency=INR","Period=FQ","BEST_FPERIOD_OVERRIDE=FQ","FILING_STATUS=OR","EQY_CONSOLIDATED=Y","Sort=A","Dates=H","DateFormat=P","Fill=—","Direction=H","UseDPDF=Y")</f>
        <v>#NAME?</v>
      </c>
      <c r="AG357" s="2" t="e">
        <f ca="1">_xll.BDH($C$353,"SHORT_TERM_DEBT_1_YEAR_GROWTH","FQ4 2014","FQ4 2014","Currency=INR","Period=FQ","BEST_FPERIOD_OVERRIDE=FQ","FILING_STATUS=OR","EQY_CONSOLIDATED=Y","Sort=A","Dates=H","DateFormat=P","Fill=—","Direction=H","UseDPDF=Y")</f>
        <v>#NAME?</v>
      </c>
      <c r="AH357" s="2" t="e">
        <f ca="1">_xll.BDH($C$353,"TOTAL_DEBT_1_YEAR_GROWTH","FQ4 2014","FQ4 2014","Currency=INR","Period=FQ","BEST_FPERIOD_OVERRIDE=FQ","FILING_STATUS=OR","EQY_CONSOLIDATED=Y","Sort=A","Dates=H","DateFormat=P","Fill=—","Direction=H","UseDPDF=Y")</f>
        <v>#NAME?</v>
      </c>
      <c r="AI357" s="2" t="e">
        <f ca="1">_xll.BDH($C$353,"TOTAL_EQUITY_1_YEAR_GROWTH","FQ4 2014","FQ4 2014","Currency=INR","Period=FQ","BEST_FPERIOD_OVERRIDE=FQ","FILING_STATUS=OR","EQY_CONSOLIDATED=Y","Sort=A","Dates=H","DateFormat=P","Fill=—","Direction=H","UseDPDF=Y")</f>
        <v>#NAME?</v>
      </c>
      <c r="AJ357" s="2" t="e">
        <f ca="1">_xll.BDH($C$353,"GROWTH_IN_CAP","FQ4 2014","FQ4 2014","Currency=INR","Period=FQ","BEST_FPERIOD_OVERRIDE=FQ","FILING_STATUS=OR","EQY_CONSOLIDATED=Y","Sort=A","Dates=H","DateFormat=P","Fill=—","Direction=H","UseDPDF=Y")</f>
        <v>#NAME?</v>
      </c>
      <c r="AK357" s="2" t="e">
        <f ca="1">_xll.BDH($C$353,"BVPS_GROWTH","FQ4 2014","FQ4 2014","Currency=INR","Period=FQ","BEST_FPERIOD_OVERRIDE=FQ","FILING_STATUS=OR","EQY_CONSOLIDATED=Y","Sort=A","Dates=H","DateFormat=P","Fill=—","Direction=H","UseDPDF=Y")</f>
        <v>#NAME?</v>
      </c>
      <c r="AL357" s="2" t="e">
        <f ca="1">_xll.BDH($C$353,"CASH_FLOW_GROWTH","FQ4 2014","FQ4 2014","Currency=INR","Period=FQ","BEST_FPERIOD_OVERRIDE=FQ","FILING_STATUS=OR","EQY_CONSOLIDATED=Y","Sort=A","Dates=H","DateFormat=P","Fill=—","Direction=H","UseDPDF=Y")</f>
        <v>#NAME?</v>
      </c>
      <c r="AM357" s="2" t="e">
        <f ca="1">_xll.BDH($C$353,"GEO_GROW_NET_SALES","FQ4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57" s="2" t="e">
        <f ca="1">_xll.BDH($C$353,"GEO_GROW_EBITDA","FQ4 2014","FQ4 2014","Currency=INR","Period=FQ","BEST_FPERIOD_OVERRIDE=FQ","FILING_STATUS=OR","EQY_CONSOLIDATED=Y","FA_ADJUSTED=GAAP","Sort=A","Dates=H","DateFormat=P","Fill=—","Direction=H","UseDPDF=Y")</f>
        <v>#NAME?</v>
      </c>
      <c r="AO357" s="2" t="e">
        <f ca="1">_xll.BDH($C$353,"GEO_GROW_OPER_INC","FQ4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57" s="2" t="e">
        <f ca="1">_xll.BDH($C$353,"NET_INCOME_TO_COMMON_5_YR_GROWTH","FQ4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57" s="2" t="e">
        <f ca="1">_xll.BDH($C$353,"5Y_GEO_GROWTH_DILUTED_EPS","FQ4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57" s="2" t="e">
        <f ca="1">_xll.BDH($C$353,"GEO_GROW_DVD_PER_SH","FQ4 2014","FQ4 2014","Currency=INR","Period=FQ","BEST_FPERIOD_OVERRIDE=FQ","FILING_STATUS=OR","EQY_CONSOLIDATED=Y","Sort=A","Dates=H","DateFormat=P","Fill=—","Direction=H","UseDPDF=Y")</f>
        <v>#NAME?</v>
      </c>
      <c r="AS357" s="2" t="e">
        <f ca="1">_xll.BDH($C$353,"ACCOUNTS_RECEIVABLE_5_YR_GROWTH","FQ4 2014","FQ4 2014","Currency=INR","Period=FQ","BEST_FPERIOD_OVERRIDE=FQ","FILING_STATUS=OR","EQY_CONSOLIDATED=Y","Sort=A","Dates=H","DateFormat=P","Fill=—","Direction=H","UseDPDF=Y")</f>
        <v>#NAME?</v>
      </c>
      <c r="AT357" s="2" t="e">
        <f ca="1">_xll.BDH($C$353,"INVENTORY_5_YEAR_GROWTH","FQ4 2014","FQ4 2014","Currency=INR","Period=FQ","BEST_FPERIOD_OVERRIDE=FQ","FILING_STATUS=OR","EQY_CONSOLIDATED=Y","Sort=A","Dates=H","DateFormat=P","Fill=—","Direction=H","UseDPDF=Y")</f>
        <v>#NAME?</v>
      </c>
      <c r="AU357" s="2" t="e">
        <f ca="1">_xll.BDH($C$353,"NET_FIXED_ASSETS_5_YEAR_GROWTH","FQ4 2014","FQ4 2014","Currency=INR","Period=FQ","BEST_FPERIOD_OVERRIDE=FQ","FILING_STATUS=OR","EQY_CONSOLIDATED=Y","Sort=A","Dates=H","DateFormat=P","Fill=—","Direction=H","UseDPDF=Y")</f>
        <v>#NAME?</v>
      </c>
      <c r="AV357" s="2" t="e">
        <f ca="1">_xll.BDH($C$353,"GEO_GROW_TOT_ASSET","FQ4 2014","FQ4 2014","Currency=INR","Period=FQ","BEST_FPERIOD_OVERRIDE=FQ","FILING_STATUS=OR","EQY_CONSOLIDATED=Y","Sort=A","Dates=H","DateFormat=P","Fill=—","Direction=H","UseDPDF=Y")</f>
        <v>#NAME?</v>
      </c>
      <c r="AW357" s="2" t="e">
        <f ca="1">_xll.BDH($C$353,"MODIFIED_WORKING_CPTL_5YR_GRWTH","FQ4 2014","FQ4 2014","Currency=INR","Period=FQ","BEST_FPERIOD_OVERRIDE=FQ","FILING_STATUS=OR","EQY_CONSOLIDATED=Y","Sort=A","Dates=H","DateFormat=P","Fill=—","Direction=H","UseDPDF=Y")</f>
        <v>#NAME?</v>
      </c>
      <c r="AX357" s="2" t="e">
        <f ca="1">_xll.BDH($C$353,"WORKING_CAPITAL_5_YEAR_GROWTH","FQ4 2014","FQ4 2014","Currency=INR","Period=FQ","BEST_FPERIOD_OVERRIDE=FQ","FILING_STATUS=OR","EQY_CONSOLIDATED=Y","Sort=A","Dates=H","DateFormat=P","Fill=—","Direction=H","UseDPDF=Y")</f>
        <v>#NAME?</v>
      </c>
      <c r="AY357" s="2" t="e">
        <f ca="1">_xll.BDH($C$353,"ACCOUNTS_PAYABLE_5_YEAR_GROWTH","FQ4 2014","FQ4 2014","Currency=INR","Period=FQ","BEST_FPERIOD_OVERRIDE=FQ","FILING_STATUS=OR","EQY_CONSOLIDATED=Y","Sort=A","Dates=H","DateFormat=P","Fill=—","Direction=H","UseDPDF=Y")</f>
        <v>#NAME?</v>
      </c>
      <c r="AZ357" s="2" t="e">
        <f ca="1">_xll.BDH($C$353,"SHORT_TERM_DEBT_5_YEAR_GROWTH","FQ4 2014","FQ4 2014","Currency=INR","Period=FQ","BEST_FPERIOD_OVERRIDE=FQ","FILING_STATUS=OR","EQY_CONSOLIDATED=Y","Sort=A","Dates=H","DateFormat=P","Fill=—","Direction=H","UseDPDF=Y")</f>
        <v>#NAME?</v>
      </c>
      <c r="BA357" s="2" t="e">
        <f ca="1">_xll.BDH($C$353,"TOTAL_DEBT_5_YEAR_GROWTH","FQ4 2014","FQ4 2014","Currency=INR","Period=FQ","BEST_FPERIOD_OVERRIDE=FQ","FILING_STATUS=OR","EQY_CONSOLIDATED=Y","Sort=A","Dates=H","DateFormat=P","Fill=—","Direction=H","UseDPDF=Y")</f>
        <v>#NAME?</v>
      </c>
      <c r="BB357" s="2" t="e">
        <f ca="1">_xll.BDH($C$353,"GEO_GROW_TOT_SHRHLDR_EQY","FQ4 2014","FQ4 2014","Currency=INR","Period=FQ","BEST_FPERIOD_OVERRIDE=FQ","FILING_STATUS=OR","EQY_CONSOLIDATED=Y","Sort=A","Dates=H","DateFormat=P","Fill=—","Direction=H","UseDPDF=Y")</f>
        <v>#NAME?</v>
      </c>
      <c r="BC357" s="2" t="e">
        <f ca="1">_xll.BDH($C$353,"TOTAL_CAPITAL_5_YEAR_GROWTH","FQ4 2014","FQ4 2014","Currency=INR","Period=FQ","BEST_FPERIOD_OVERRIDE=FQ","FILING_STATUS=OR","EQY_CONSOLIDATED=Y","Sort=A","Dates=H","DateFormat=P","Fill=—","Direction=H","UseDPDF=Y")</f>
        <v>#NAME?</v>
      </c>
      <c r="BD357" s="2" t="e">
        <f ca="1">_xll.BDH($C$353,"GEO_GROW_BOOK_VAL","FQ4 2014","FQ4 2014","Currency=INR","Period=FQ","BEST_FPERIOD_OVERRIDE=FQ","FILING_STATUS=OR","EQY_CONSOLIDATED=Y","Sort=A","Dates=H","DateFormat=P","Fill=—","Direction=H","UseDPDF=Y")</f>
        <v>#NAME?</v>
      </c>
      <c r="BE357" s="2" t="e">
        <f ca="1">_xll.BDH($C$353,"GEO_GROW_CASH_OPER_ACT","FQ4 2014","FQ4 2014","Currency=INR","Period=FQ","BEST_FPERIOD_OVERRIDE=FQ","FILING_STATUS=OR","EQY_CONSOLIDATED=Y","Sort=A","Dates=H","DateFormat=P","Fill=—","Direction=H","UseDPDF=Y")</f>
        <v>#NAME?</v>
      </c>
      <c r="BF357" s="2" t="e">
        <f ca="1">_xll.BDH($C$353,"REVENUE_SEQUENTIAL_GROWTH","FQ4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57" s="2" t="e">
        <f ca="1">_xll.BDH($C$353,"EBITDA_SEQUENTIAL_GROWTH","FQ4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57" s="2" t="e">
        <f ca="1">_xll.BDH($C$353,"OPERATING_INCOME_SEQ_GROWTH","FQ4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57" s="2" t="e">
        <f ca="1">_xll.BDH($C$353,"NET_INCOME_TO_COMMON_SEQ_GROWTH","FQ4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57" s="2" t="e">
        <f ca="1">_xll.BDH($C$353,"EPS_DILUTED_SEQUENTIAL_GROWTH","FQ4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57" s="2" t="e">
        <f ca="1">_xll.BDH($C$353,"DPS_SEQUENTIAL_GROWTH","FQ4 2014","FQ4 2014","Currency=INR","Period=FQ","BEST_FPERIOD_OVERRIDE=FQ","FILING_STATUS=OR","EQY_CONSOLIDATED=Y","Sort=A","Dates=H","DateFormat=P","Fill=—","Direction=H","UseDPDF=Y")</f>
        <v>#NAME?</v>
      </c>
      <c r="BL357" s="2" t="e">
        <f ca="1">_xll.BDH($C$353,"ACCOUNTS_RECEIVABLE_SEQ_GROWTH","FQ4 2014","FQ4 2014","Currency=INR","Period=FQ","BEST_FPERIOD_OVERRIDE=FQ","FILING_STATUS=OR","EQY_CONSOLIDATED=Y","Sort=A","Dates=H","DateFormat=P","Fill=—","Direction=H","UseDPDF=Y")</f>
        <v>#NAME?</v>
      </c>
      <c r="BM357" s="2" t="e">
        <f ca="1">_xll.BDH($C$353,"INVENTORY_SEQUENTIAL_GROWTH","FQ4 2014","FQ4 2014","Currency=INR","Period=FQ","BEST_FPERIOD_OVERRIDE=FQ","FILING_STATUS=OR","EQY_CONSOLIDATED=Y","Sort=A","Dates=H","DateFormat=P","Fill=—","Direction=H","UseDPDF=Y")</f>
        <v>#NAME?</v>
      </c>
      <c r="BN357" s="2" t="e">
        <f ca="1">_xll.BDH($C$353,"FIXED_ASSETS_SEQUENTIAL_GROWTH","FQ4 2014","FQ4 2014","Currency=INR","Period=FQ","BEST_FPERIOD_OVERRIDE=FQ","FILING_STATUS=OR","EQY_CONSOLIDATED=Y","Sort=A","Dates=H","DateFormat=P","Fill=—","Direction=H","UseDPDF=Y")</f>
        <v>#NAME?</v>
      </c>
      <c r="BO357" s="2" t="e">
        <f ca="1">_xll.BDH($C$353,"TOTAL_ASSETS_SEQUENTIAL_GROWTH","FQ4 2014","FQ4 2014","Currency=INR","Period=FQ","BEST_FPERIOD_OVERRIDE=FQ","FILING_STATUS=OR","EQY_CONSOLIDATED=Y","Sort=A","Dates=H","DateFormat=P","Fill=—","Direction=H","UseDPDF=Y")</f>
        <v>#NAME?</v>
      </c>
      <c r="BP357" s="2" t="e">
        <f ca="1">_xll.BDH($C$353,"MODIFIED_WORKING_CPTL_SEQ_GRWTH","FQ4 2014","FQ4 2014","Currency=INR","Period=FQ","BEST_FPERIOD_OVERRIDE=FQ","FILING_STATUS=OR","EQY_CONSOLIDATED=Y","Sort=A","Dates=H","DateFormat=P","Fill=—","Direction=H","UseDPDF=Y")</f>
        <v>#NAME?</v>
      </c>
      <c r="BQ357" s="2" t="e">
        <f ca="1">_xll.BDH($C$353,"WORKING_CAPITAL_SEQ_GROWTH","FQ4 2014","FQ4 2014","Currency=INR","Period=FQ","BEST_FPERIOD_OVERRIDE=FQ","FILING_STATUS=OR","EQY_CONSOLIDATED=Y","Sort=A","Dates=H","DateFormat=P","Fill=—","Direction=H","UseDPDF=Y")</f>
        <v>#NAME?</v>
      </c>
      <c r="BR357" s="2" t="e">
        <f ca="1">_xll.BDH($C$353,"ACCOUNTS_PAYABLE_SEQ_GROWTH","FQ4 2014","FQ4 2014","Currency=INR","Period=FQ","BEST_FPERIOD_OVERRIDE=FQ","FILING_STATUS=OR","EQY_CONSOLIDATED=Y","Sort=A","Dates=H","DateFormat=P","Fill=—","Direction=H","UseDPDF=Y")</f>
        <v>#NAME?</v>
      </c>
      <c r="BS357" s="2" t="e">
        <f ca="1">_xll.BDH($C$353,"ST_DEBT_SEQUENTIAL_GROWTH","FQ4 2014","FQ4 2014","Currency=INR","Period=FQ","BEST_FPERIOD_OVERRIDE=FQ","FILING_STATUS=OR","EQY_CONSOLIDATED=Y","Sort=A","Dates=H","DateFormat=P","Fill=—","Direction=H","UseDPDF=Y")</f>
        <v>#NAME?</v>
      </c>
      <c r="BT357" s="2" t="e">
        <f ca="1">_xll.BDH($C$353,"TOTAL_DEBT_SEQUENTIAL_GROWTH","FQ4 2014","FQ4 2014","Currency=INR","Period=FQ","BEST_FPERIOD_OVERRIDE=FQ","FILING_STATUS=OR","EQY_CONSOLIDATED=Y","Sort=A","Dates=H","DateFormat=P","Fill=—","Direction=H","UseDPDF=Y")</f>
        <v>#NAME?</v>
      </c>
      <c r="BU357" s="2" t="e">
        <f ca="1">_xll.BDH($C$353,"TOTAL_EQUITY_SEQUENTIAL_GROWTH","FQ4 2014","FQ4 2014","Currency=INR","Period=FQ","BEST_FPERIOD_OVERRIDE=FQ","FILING_STATUS=OR","EQY_CONSOLIDATED=Y","Sort=A","Dates=H","DateFormat=P","Fill=—","Direction=H","UseDPDF=Y")</f>
        <v>#NAME?</v>
      </c>
      <c r="BV357" s="2" t="e">
        <f ca="1">_xll.BDH($C$353,"TOTAL_CAPITAL_SEQUENTIAL_GROWTH","FQ4 2014","FQ4 2014","Currency=INR","Period=FQ","BEST_FPERIOD_OVERRIDE=FQ","FILING_STATUS=OR","EQY_CONSOLIDATED=Y","Sort=A","Dates=H","DateFormat=P","Fill=—","Direction=H","UseDPDF=Y")</f>
        <v>#NAME?</v>
      </c>
      <c r="BW357" s="2" t="e">
        <f ca="1">_xll.BDH($C$353,"BPS_SEQUENTIAL_GROWTH","FQ4 2014","FQ4 2014","Currency=INR","Period=FQ","BEST_FPERIOD_OVERRIDE=FQ","FILING_STATUS=OR","EQY_CONSOLIDATED=Y","Sort=A","Dates=H","DateFormat=P","Fill=—","Direction=H","UseDPDF=Y")</f>
        <v>#NAME?</v>
      </c>
      <c r="BX357" s="2" t="e">
        <f ca="1">_xll.BDH($C$353,"CFO_SEQUENTIAL_GROWTH","FQ4 2014","FQ4 2014","Currency=INR","Period=FQ","BEST_FPERIOD_OVERRIDE=FQ","FILING_STATUS=OR","EQY_CONSOLIDATED=Y","Sort=A","Dates=H","DateFormat=P","Fill=—","Direction=H","UseDPDF=Y")</f>
        <v>#NAME?</v>
      </c>
      <c r="BY357" s="3" t="e">
        <f ca="1">_xll.BDH($C$353,"SHORT_AND_LONG_TERM_DEBT","FQ4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57" s="3" t="e">
        <f ca="1">_xll.BDH($C$353,"BS_ST_BORROW","FQ4 2014","FQ4 2014","Currency=INR","Period=FQ","BEST_FPERIOD_OVERRIDE=FQ","FILING_STATUS=OR","EQY_CONSOLIDATED=Y","SCALING_FORMAT=MLN","Sort=A","Dates=H","DateFormat=P","Fill=—","Direction=H","UseDPDF=Y")</f>
        <v>#NAME?</v>
      </c>
      <c r="CA357" s="3" t="e">
        <f ca="1">_xll.BDH($C$353,"BS_LT_BORROW","FQ4 2014","FQ4 2014","Currency=INR","Period=FQ","BEST_FPERIOD_OVERRIDE=FQ","FILING_STATUS=OR","EQY_CONSOLIDATED=Y","SCALING_FORMAT=MLN","Sort=A","Dates=H","DateFormat=P","Fill=—","Direction=H","UseDPDF=Y")</f>
        <v>#NAME?</v>
      </c>
      <c r="CB357" s="2" t="e">
        <f ca="1">_xll.BDH($C$353,"TOT_DEBT_TO_EBITDA","FQ4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57" s="2" t="e">
        <f ca="1">_xll.BDH($C$353,"NET_DEBT_TO_EBITDA","FQ4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57" s="2" t="e">
        <f ca="1">_xll.BDH($C$353,"TOTAL_DEBT_TO_EBIT","FQ4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57" s="2" t="e">
        <f ca="1">_xll.BDH($C$353,"NET_DEBT_TO_EBIT","FQ4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357" s="2" t="e">
        <f ca="1">_xll.BDH($C$353,"EBITDA_TO_INTEREST_EXPN","FQ4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57" s="2" t="e">
        <f ca="1">_xll.BDH($C$353,"COM_EQY_TO_TOT_ASSET","FQ4 2014","FQ4 2014","Currency=INR","Period=FQ","BEST_FPERIOD_OVERRIDE=FQ","FILING_STATUS=OR","EQY_CONSOLIDATED=Y","Sort=A","Dates=H","DateFormat=P","Fill=—","Direction=H","UseDPDF=Y")</f>
        <v>#NAME?</v>
      </c>
      <c r="CH357" s="2" t="e">
        <f ca="1">_xll.BDH($C$353,"LT_DEBT_TO_TOT_EQY","FQ4 2014","FQ4 2014","Currency=INR","Period=FQ","BEST_FPERIOD_OVERRIDE=FQ","FILING_STATUS=OR","EQY_CONSOLIDATED=Y","Sort=A","Dates=H","DateFormat=P","Fill=—","Direction=H","UseDPDF=Y")</f>
        <v>#NAME?</v>
      </c>
      <c r="CI357" s="2" t="e">
        <f ca="1">_xll.BDH($C$353,"LT_DEBT_TO_TOT_CAP","FQ4 2014","FQ4 2014","Currency=INR","Period=FQ","BEST_FPERIOD_OVERRIDE=FQ","FILING_STATUS=OR","EQY_CONSOLIDATED=Y","Sort=A","Dates=H","DateFormat=P","Fill=—","Direction=H","UseDPDF=Y")</f>
        <v>#NAME?</v>
      </c>
      <c r="CJ357" s="2" t="e">
        <f ca="1">_xll.BDH($C$353,"LT_DEBT_TO_TOT_ASSET","FQ4 2014","FQ4 2014","Currency=INR","Period=FQ","BEST_FPERIOD_OVERRIDE=FQ","FILING_STATUS=OR","EQY_CONSOLIDATED=Y","Sort=A","Dates=H","DateFormat=P","Fill=—","Direction=H","UseDPDF=Y")</f>
        <v>#NAME?</v>
      </c>
      <c r="CK357" s="2" t="e">
        <f ca="1">_xll.BDH($C$353,"TOT_DEBT_TO_TOT_EQY","FQ4 2014","FQ4 2014","Currency=INR","Period=FQ","BEST_FPERIOD_OVERRIDE=FQ","FILING_STATUS=OR","EQY_CONSOLIDATED=Y","Sort=A","Dates=H","DateFormat=P","Fill=—","Direction=H","UseDPDF=Y")</f>
        <v>#NAME?</v>
      </c>
      <c r="CL357" s="2" t="e">
        <f ca="1">_xll.BDH($C$353,"TOT_DEBT_TO_TOT_CAP","FQ4 2014","FQ4 2014","Currency=INR","Period=FQ","BEST_FPERIOD_OVERRIDE=FQ","FILING_STATUS=OR","EQY_CONSOLIDATED=Y","Sort=A","Dates=H","DateFormat=P","Fill=—","Direction=H","UseDPDF=Y")</f>
        <v>#NAME?</v>
      </c>
      <c r="CM357" s="2" t="e">
        <f ca="1">_xll.BDH($C$353,"TOT_DEBT_TO_TOT_ASSET","FQ4 2014","FQ4 2014","Currency=INR","Period=FQ","BEST_FPERIOD_OVERRIDE=FQ","FILING_STATUS=OR","EQY_CONSOLIDATED=Y","Sort=A","Dates=H","DateFormat=P","Fill=—","Direction=H","UseDPDF=Y")</f>
        <v>#NAME?</v>
      </c>
      <c r="CN357" s="2" t="e">
        <f ca="1">_xll.BDH($C$353,"NET_DEBT_TO_SHRHLDR_EQTY","FQ4 2014","FQ4 2014","Currency=INR","Period=FQ","BEST_FPERIOD_OVERRIDE=FQ","FILING_STATUS=OR","EQY_CONSOLIDATED=Y","Sort=A","Dates=H","DateFormat=P","Fill=—","Direction=H","UseDPDF=Y")</f>
        <v>#NAME?</v>
      </c>
      <c r="CO357" s="2" t="e">
        <f ca="1">_xll.BDH($C$353,"NET_DEBT_%_CAPITAL","FQ4 2014","FQ4 2014","Currency=INR","Period=FQ","BEST_FPERIOD_OVERRIDE=FQ","FILING_STATUS=OR","EQY_CONSOLIDATED=Y","Sort=A","Dates=H","DateFormat=P","Fill=—","Direction=H","UseDPDF=Y")</f>
        <v>#NAME?</v>
      </c>
      <c r="CP357" s="3" t="e">
        <f ca="1">_xll.BDH($C$353,"EBITDA","FQ4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57" s="3" t="e">
        <f ca="1">_xll.BDH($C$353,"EBITDA_AFTER_CAPEX","FQ4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57" s="3" t="e">
        <f ca="1">_xll.BDH($C$353,"IS_OPER_INC","FQ4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57" s="2" t="e">
        <f ca="1">_xll.BDH($C$353,"CASH_RATIO","FQ4 2014","FQ4 2014","Currency=INR","Period=FQ","BEST_FPERIOD_OVERRIDE=FQ","FILING_STATUS=OR","EQY_CONSOLIDATED=Y","Sort=A","Dates=H","DateFormat=P","Fill=—","Direction=H","UseDPDF=Y")</f>
        <v>#NAME?</v>
      </c>
      <c r="CT357" s="2" t="e">
        <f ca="1">_xll.BDH($C$353,"CUR_RATIO","FQ4 2014","FQ4 2014","Currency=INR","Period=FQ","BEST_FPERIOD_OVERRIDE=FQ","FILING_STATUS=OR","EQY_CONSOLIDATED=Y","Sort=A","Dates=H","DateFormat=P","Fill=—","Direction=H","UseDPDF=Y")</f>
        <v>#NAME?</v>
      </c>
      <c r="CU357" s="2" t="e">
        <f ca="1">_xll.BDH($C$353,"QUICK_RATIO","FQ4 2014","FQ4 2014","Currency=INR","Period=FQ","BEST_FPERIOD_OVERRIDE=FQ","FILING_STATUS=OR","EQY_CONSOLIDATED=Y","Sort=A","Dates=H","DateFormat=P","Fill=—","Direction=H","UseDPDF=Y")</f>
        <v>#NAME?</v>
      </c>
      <c r="CV357" s="2" t="e">
        <f ca="1">_xll.BDH($C$353,"ALTMAN_Z_SCORE","FQ4 2014","FQ4 2014","Currency=INR","Period=FQ","BEST_FPERIOD_OVERRIDE=FQ","FILING_STATUS=OR","EQY_CONSOLIDATED=Y","Sort=A","Dates=H","DateFormat=P","Fill=—","Direction=H","UseDPDF=Y")</f>
        <v>#NAME?</v>
      </c>
      <c r="CW357" s="4" t="e">
        <f ca="1">_xll.BDH($C$353,"ACCT_RCV_TURN","FQ4 2014","FQ4 2014","Currency=INR","Period=FQ","BEST_FPERIOD_OVERRIDE=FQ","FILING_STATUS=OR","EQY_CONSOLIDATED=Y","FA_ADJUSTED=GAAP","Sort=A","Dates=H","DateFormat=P","Fill=—","Direction=H","UseDPDF=Y")</f>
        <v>#NAME?</v>
      </c>
      <c r="CX357" s="2" t="e">
        <f ca="1">_xll.BDH($C$353,"ACCT_RCV_DAYS","FQ4 2014","FQ4 2014","Currency=INR","Period=FQ","BEST_FPERIOD_OVERRIDE=FQ","FILING_STATUS=OR","EQY_CONSOLIDATED=Y","FA_ADJUSTED=GAAP","Sort=A","Dates=H","DateFormat=P","Fill=—","Direction=H","UseDPDF=Y")</f>
        <v>#NAME?</v>
      </c>
      <c r="CY357" s="4" t="e">
        <f ca="1">_xll.BDH($C$353,"INVENT_TURN","FQ4 2014","FQ4 2014","Currency=INR","Period=FQ","BEST_FPERIOD_OVERRIDE=FQ","FILING_STATUS=OR","EQY_CONSOLIDATED=Y","FA_ADJUSTED=GAAP","Sort=A","Dates=H","DateFormat=P","Fill=—","Direction=H","UseDPDF=Y")</f>
        <v>#NAME?</v>
      </c>
      <c r="CZ357" s="2" t="e">
        <f ca="1">_xll.BDH($C$353,"INVENT_DAYS","FQ4 2014","FQ4 2014","Currency=INR","Period=FQ","BEST_FPERIOD_OVERRIDE=FQ","FILING_STATUS=OR","EQY_CONSOLIDATED=Y","FA_ADJUSTED=GAAP","Sort=A","Dates=H","DateFormat=P","Fill=—","Direction=H","UseDPDF=Y")</f>
        <v>#NAME?</v>
      </c>
      <c r="DA357" s="4" t="e">
        <f ca="1">_xll.BDH($C$353,"ACCOUNTS_PAYABLE_TURNOVER","FQ4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57" s="2" t="e">
        <f ca="1">_xll.BDH($C$353,"ACCOUNTS_PAYABLE_TURNOVER_DAYS","FQ4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57" s="4" t="e">
        <f ca="1">_xll.BDH($C$353,"CASH_CONVERSION_CYCLE","FQ4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57" s="4" t="e">
        <f ca="1">_xll.BDH($C$353,"INV_TO_CASH_DAYS","FQ4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357" s="5" t="e">
        <f ca="1">_xll.BDH($C$353,"BS_INVENTORIES","FQ4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357" s="3" t="e">
        <f ca="1">_xll.BDH($C$353,"INVTRY_RAW_MATERIALS","FQ4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57" s="3" t="e">
        <f ca="1">_xll.BDH($C$353,"INVTRY_IN_PROGRESS","FQ4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57" s="3" t="e">
        <f ca="1">_xll.BDH($C$353,"INVTRY_FINISHED_GOODS","FQ4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57" s="3" t="e">
        <f ca="1">_xll.BDH($C$353,"BS_OTHER_INV","FQ4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58" spans="1:113" x14ac:dyDescent="0.3">
      <c r="A358" s="6"/>
      <c r="B358" s="6"/>
      <c r="C358" s="6"/>
      <c r="D358" s="6" t="s">
        <v>82</v>
      </c>
      <c r="E358" t="s">
        <v>77</v>
      </c>
      <c r="F358" t="e">
        <f ca="1">_xll.BDH($C$353,"RETURN_COM_EQY","FY 2015","FY 2015","Currency=INR","Period=FY","BEST_FPERIOD_OVERRIDE=FY","FILING_STATUS=OR","EQY_CONSOLIDATED=Y","FA_ADJUSTED=GAAP","Sort=A","Dates=H","DateFormat=P","Fill=—","Direction=H","UseDPDF=Y")</f>
        <v>#NAME?</v>
      </c>
      <c r="G358" t="e">
        <f ca="1">_xll.BDH($C$353,"RETURN_ON_ASSET","FY 2015","FY 2015","Currency=INR","Period=FY","BEST_FPERIOD_OVERRIDE=FY","FILING_STATUS=OR","EQY_CONSOLIDATED=Y","FA_ADJUSTED=GAAP","Sort=A","Dates=H","DateFormat=P","Fill=—","Direction=H","UseDPDF=Y")</f>
        <v>#NAME?</v>
      </c>
      <c r="H358" t="e">
        <f ca="1">_xll.BDH($C$353,"RETURN_ON_CAP","FY 2015","FY 2015","Currency=INR","Period=FY","BEST_FPERIOD_OVERRIDE=FY","FILING_STATUS=OR","EQY_CONSOLIDATED=Y","FA_ADJUSTED=GAAP","Sort=A","Dates=H","DateFormat=P","Fill=—","Direction=H","UseDPDF=Y")</f>
        <v>#NAME?</v>
      </c>
      <c r="I358" t="e">
        <f ca="1">_xll.BDH($C$353,"RETURN_ON_INV_CAPITAL","FY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58" t="e">
        <f ca="1">_xll.BDH($C$353,"EBITDA_TO_REVENUE","FY 2015","FY 2015","Currency=INR","Period=FY","BEST_FPERIOD_OVERRIDE=FY","FILING_STATUS=OR","EQY_CONSOLIDATED=Y","FA_ADJUSTED=GAAP","Sort=A","Dates=H","DateFormat=P","Fill=—","Direction=H","UseDPDF=Y")</f>
        <v>#NAME?</v>
      </c>
      <c r="K358" t="e">
        <f ca="1">_xll.BDH($C$353,"OPER_MARGIN","FY 2015","FY 2015","Currency=INR","Period=FY","BEST_FPERIOD_OVERRIDE=FY","FILING_STATUS=OR","EQY_CONSOLIDATED=Y","FA_ADJUSTED=GAAP","Sort=A","Dates=H","DateFormat=P","Fill=—","Direction=H","UseDPDF=Y")</f>
        <v>#NAME?</v>
      </c>
      <c r="L358" t="e">
        <f ca="1">_xll.BDH($C$353,"INCREMENTAL_OPERATING_MARGIN","FY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58" t="e">
        <f ca="1">_xll.BDH($C$353,"PRETAX_INC_TO_NET_SALES","FY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58" t="e">
        <f ca="1">_xll.BDH($C$353,"INC_BEF_XO_ITEMS_TO_NET_SALES","FY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58" t="e">
        <f ca="1">_xll.BDH($C$353,"PROF_MARGIN","FY 2015","FY 2015","Currency=INR","Period=FY","BEST_FPERIOD_OVERRIDE=FY","FILING_STATUS=OR","EQY_CONSOLIDATED=Y","FA_ADJUSTED=GAAP","Sort=A","Dates=H","DateFormat=P","Fill=—","Direction=H","UseDPDF=Y")</f>
        <v>#NAME?</v>
      </c>
      <c r="P358" t="e">
        <f ca="1">_xll.BDH($C$353,"NET_INCOME_TO_COMMON_MARGIN","FY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58" t="e">
        <f ca="1">_xll.BDH($C$353,"EFF_TAX_RATE","FY 2015","FY 2015","Currency=INR","Period=FY","BEST_FPERIOD_OVERRIDE=FY","FILING_STATUS=OR","EQY_CONSOLIDATED=Y","FA_ADJUSTED=GAAP","Sort=A","Dates=H","DateFormat=P","Fill=—","Direction=H","UseDPDF=Y")</f>
        <v>#NAME?</v>
      </c>
      <c r="R358" t="e">
        <f ca="1">_xll.BDH($C$353,"DVD_PAYOUT_RATIO","FY 2015","FY 2015","Currency=INR","Period=FY","BEST_FPERIOD_OVERRIDE=FY","FILING_STATUS=OR","EQY_CONSOLIDATED=Y","FA_ADJUSTED=GAAP","Sort=A","Dates=H","DateFormat=P","Fill=—","Direction=H","UseDPDF=Y")</f>
        <v>#NAME?</v>
      </c>
      <c r="S358" t="e">
        <f ca="1">_xll.BDH($C$353,"SUSTAIN_GROWTH_RT","FY 2015","FY 2015","Currency=INR","Period=FY","BEST_FPERIOD_OVERRIDE=FY","FILING_STATUS=OR","EQY_CONSOLIDATED=Y","FA_ADJUSTED=GAAP","Sort=A","Dates=H","DateFormat=P","Fill=—","Direction=H","UseDPDF=Y")</f>
        <v>#NAME?</v>
      </c>
      <c r="T358" s="2" t="e">
        <f ca="1">_xll.BDH($C$353,"SALES_GROWTH","FY 2015","FY 2015","Currency=INR","Period=FY","BEST_FPERIOD_OVERRIDE=FY","FILING_STATUS=OR","EQY_CONSOLIDATED=Y","FA_ADJUSTED=GAAP","Sort=A","Dates=H","DateFormat=P","Fill=—","Direction=H","UseDPDF=Y")</f>
        <v>#NAME?</v>
      </c>
      <c r="U358" s="2" t="e">
        <f ca="1">_xll.BDH($C$353,"EBITDA_GROWTH","FY 2015","FY 2015","Currency=INR","Period=FY","BEST_FPERIOD_OVERRIDE=FY","FILING_STATUS=OR","EQY_CONSOLIDATED=Y","FA_ADJUSTED=GAAP","Sort=A","Dates=H","DateFormat=P","Fill=—","Direction=H","UseDPDF=Y")</f>
        <v>#NAME?</v>
      </c>
      <c r="V358" s="2" t="e">
        <f ca="1">_xll.BDH($C$353,"OPER_INC_GROWTH","FY 2015","FY 2015","Currency=INR","Period=FY","BEST_FPERIOD_OVERRIDE=FY","FILING_STATUS=OR","EQY_CONSOLIDATED=Y","FA_ADJUSTED=GAAP","Sort=A","Dates=H","DateFormat=P","Fill=—","Direction=H","UseDPDF=Y")</f>
        <v>#NAME?</v>
      </c>
      <c r="W358" s="2" t="e">
        <f ca="1">_xll.BDH($C$353,"EARN_FOR_COM_GROWTH","FY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358" s="2" t="e">
        <f ca="1">_xll.BDH($C$353,"DILUTED_EPS_AFT_XO_ITEMS_GROWTH","FY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58" s="2" t="e">
        <f ca="1">_xll.BDH($C$353,"DIVIDEND_PER_SHARE_1_YEAR_GROWTH","FY 2015","FY 2015","Currency=INR","Period=FY","BEST_FPERIOD_OVERRIDE=FY","FILING_STATUS=OR","EQY_CONSOLIDATED=Y","Sort=A","Dates=H","DateFormat=P","Fill=—","Direction=H","UseDPDF=Y")</f>
        <v>#NAME?</v>
      </c>
      <c r="Z358" s="2" t="e">
        <f ca="1">_xll.BDH($C$353,"ACCOUNTS_RECEIVABLE_GROWTH","FY 2015","FY 2015","Currency=INR","Period=FY","BEST_FPERIOD_OVERRIDE=FY","FILING_STATUS=OR","EQY_CONSOLIDATED=Y","Sort=A","Dates=H","DateFormat=P","Fill=—","Direction=H","UseDPDF=Y")</f>
        <v>#NAME?</v>
      </c>
      <c r="AA358" s="2" t="e">
        <f ca="1">_xll.BDH($C$353,"INVENTORY_GROWTH","FY 2015","FY 2015","Currency=INR","Period=FY","BEST_FPERIOD_OVERRIDE=FY","FILING_STATUS=OR","EQY_CONSOLIDATED=Y","Sort=A","Dates=H","DateFormat=P","Fill=—","Direction=H","UseDPDF=Y")</f>
        <v>#NAME?</v>
      </c>
      <c r="AB358" s="2" t="e">
        <f ca="1">_xll.BDH($C$353,"NET_FIXED_ASSETS_1_YEAR_GROWTH","FY 2015","FY 2015","Currency=INR","Period=FY","BEST_FPERIOD_OVERRIDE=FY","FILING_STATUS=OR","EQY_CONSOLIDATED=Y","Sort=A","Dates=H","DateFormat=P","Fill=—","Direction=H","UseDPDF=Y")</f>
        <v>#NAME?</v>
      </c>
      <c r="AC358" s="2" t="e">
        <f ca="1">_xll.BDH($C$353,"ASSET_GROWTH","FY 2015","FY 2015","Currency=INR","Period=FY","BEST_FPERIOD_OVERRIDE=FY","FILING_STATUS=OR","EQY_CONSOLIDATED=Y","Sort=A","Dates=H","DateFormat=P","Fill=—","Direction=H","UseDPDF=Y")</f>
        <v>#NAME?</v>
      </c>
      <c r="AD358" s="2" t="e">
        <f ca="1">_xll.BDH($C$353,"MODIFIED_WORK_CAP_GROWTH","FY 2015","FY 2015","Currency=INR","Period=FY","BEST_FPERIOD_OVERRIDE=FY","FILING_STATUS=OR","EQY_CONSOLIDATED=Y","Sort=A","Dates=H","DateFormat=P","Fill=—","Direction=H","UseDPDF=Y")</f>
        <v>#NAME?</v>
      </c>
      <c r="AE358" s="2" t="e">
        <f ca="1">_xll.BDH($C$353,"WORK_CAP_GROWTH","FY 2015","FY 2015","Currency=INR","Period=FY","BEST_FPERIOD_OVERRIDE=FY","FILING_STATUS=OR","EQY_CONSOLIDATED=Y","Sort=A","Dates=H","DateFormat=P","Fill=—","Direction=H","UseDPDF=Y")</f>
        <v>#NAME?</v>
      </c>
      <c r="AF358" s="2" t="e">
        <f ca="1">_xll.BDH($C$353,"ACCOUNTS_PAYABLE_GROWTH_1YR","FY 2015","FY 2015","Currency=INR","Period=FY","BEST_FPERIOD_OVERRIDE=FY","FILING_STATUS=OR","EQY_CONSOLIDATED=Y","Sort=A","Dates=H","DateFormat=P","Fill=—","Direction=H","UseDPDF=Y")</f>
        <v>#NAME?</v>
      </c>
      <c r="AG358" s="2" t="e">
        <f ca="1">_xll.BDH($C$353,"SHORT_TERM_DEBT_1_YEAR_GROWTH","FY 2015","FY 2015","Currency=INR","Period=FY","BEST_FPERIOD_OVERRIDE=FY","FILING_STATUS=OR","EQY_CONSOLIDATED=Y","Sort=A","Dates=H","DateFormat=P","Fill=—","Direction=H","UseDPDF=Y")</f>
        <v>#NAME?</v>
      </c>
      <c r="AH358" s="2" t="e">
        <f ca="1">_xll.BDH($C$353,"TOTAL_DEBT_1_YEAR_GROWTH","FY 2015","FY 2015","Currency=INR","Period=FY","BEST_FPERIOD_OVERRIDE=FY","FILING_STATUS=OR","EQY_CONSOLIDATED=Y","Sort=A","Dates=H","DateFormat=P","Fill=—","Direction=H","UseDPDF=Y")</f>
        <v>#NAME?</v>
      </c>
      <c r="AI358" s="2" t="e">
        <f ca="1">_xll.BDH($C$353,"TOTAL_EQUITY_1_YEAR_GROWTH","FY 2015","FY 2015","Currency=INR","Period=FY","BEST_FPERIOD_OVERRIDE=FY","FILING_STATUS=OR","EQY_CONSOLIDATED=Y","Sort=A","Dates=H","DateFormat=P","Fill=—","Direction=H","UseDPDF=Y")</f>
        <v>#NAME?</v>
      </c>
      <c r="AJ358" s="2" t="e">
        <f ca="1">_xll.BDH($C$353,"GROWTH_IN_CAP","FY 2015","FY 2015","Currency=INR","Period=FY","BEST_FPERIOD_OVERRIDE=FY","FILING_STATUS=OR","EQY_CONSOLIDATED=Y","Sort=A","Dates=H","DateFormat=P","Fill=—","Direction=H","UseDPDF=Y")</f>
        <v>#NAME?</v>
      </c>
      <c r="AK358" s="2" t="e">
        <f ca="1">_xll.BDH($C$353,"BVPS_GROWTH","FY 2015","FY 2015","Currency=INR","Period=FY","BEST_FPERIOD_OVERRIDE=FY","FILING_STATUS=OR","EQY_CONSOLIDATED=Y","Sort=A","Dates=H","DateFormat=P","Fill=—","Direction=H","UseDPDF=Y")</f>
        <v>#NAME?</v>
      </c>
      <c r="AL358" s="2" t="e">
        <f ca="1">_xll.BDH($C$353,"CASH_FLOW_GROWTH","FY 2015","FY 2015","Currency=INR","Period=FY","BEST_FPERIOD_OVERRIDE=FY","FILING_STATUS=OR","EQY_CONSOLIDATED=Y","Sort=A","Dates=H","DateFormat=P","Fill=—","Direction=H","UseDPDF=Y")</f>
        <v>#NAME?</v>
      </c>
      <c r="AM358" s="2" t="e">
        <f ca="1">_xll.BDH($C$353,"GEO_GROW_NET_SALES","FY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358" s="2" t="e">
        <f ca="1">_xll.BDH($C$353,"GEO_GROW_EBITDA","FY 2015","FY 2015","Currency=INR","Period=FY","BEST_FPERIOD_OVERRIDE=FY","FILING_STATUS=OR","EQY_CONSOLIDATED=Y","FA_ADJUSTED=GAAP","Sort=A","Dates=H","DateFormat=P","Fill=—","Direction=H","UseDPDF=Y")</f>
        <v>#NAME?</v>
      </c>
      <c r="AO358" s="2" t="e">
        <f ca="1">_xll.BDH($C$353,"GEO_GROW_OPER_INC","FY 2015","FY 2015","Currency=INR","Period=FY","BEST_FPERIOD_OVERRIDE=FY","FILING_STATUS=OR","EQY_CONSOLIDATED=Y","FA_ADJUSTED=GAAP","Sort=A","Dates=H","DateFormat=P","Fill=—","Direction=H","UseDPDF=Y")</f>
        <v>#NAME?</v>
      </c>
      <c r="AP358" s="2" t="e">
        <f ca="1">_xll.BDH($C$353,"NET_INCOME_TO_COMMON_5_YR_GROWTH","FY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58" s="2" t="e">
        <f ca="1">_xll.BDH($C$353,"5Y_GEO_GROWTH_DILUTED_EPS","FY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58" s="2" t="e">
        <f ca="1">_xll.BDH($C$353,"GEO_GROW_DVD_PER_SH","FY 2015","FY 2015","Currency=INR","Period=FY","BEST_FPERIOD_OVERRIDE=FY","FILING_STATUS=OR","EQY_CONSOLIDATED=Y","Sort=A","Dates=H","DateFormat=P","Fill=—","Direction=H","UseDPDF=Y")</f>
        <v>#NAME?</v>
      </c>
      <c r="AS358" s="2" t="e">
        <f ca="1">_xll.BDH($C$353,"ACCOUNTS_RECEIVABLE_5_YR_GROWTH","FY 2015","FY 2015","Currency=INR","Period=FY","BEST_FPERIOD_OVERRIDE=FY","FILING_STATUS=OR","EQY_CONSOLIDATED=Y","Sort=A","Dates=H","DateFormat=P","Fill=—","Direction=H","UseDPDF=Y")</f>
        <v>#NAME?</v>
      </c>
      <c r="AT358" s="2" t="e">
        <f ca="1">_xll.BDH($C$353,"INVENTORY_5_YEAR_GROWTH","FY 2015","FY 2015","Currency=INR","Period=FY","BEST_FPERIOD_OVERRIDE=FY","FILING_STATUS=OR","EQY_CONSOLIDATED=Y","Sort=A","Dates=H","DateFormat=P","Fill=—","Direction=H","UseDPDF=Y")</f>
        <v>#NAME?</v>
      </c>
      <c r="AU358" s="2" t="e">
        <f ca="1">_xll.BDH($C$353,"NET_FIXED_ASSETS_5_YEAR_GROWTH","FY 2015","FY 2015","Currency=INR","Period=FY","BEST_FPERIOD_OVERRIDE=FY","FILING_STATUS=OR","EQY_CONSOLIDATED=Y","Sort=A","Dates=H","DateFormat=P","Fill=—","Direction=H","UseDPDF=Y")</f>
        <v>#NAME?</v>
      </c>
      <c r="AV358" s="2" t="e">
        <f ca="1">_xll.BDH($C$353,"GEO_GROW_TOT_ASSET","FY 2015","FY 2015","Currency=INR","Period=FY","BEST_FPERIOD_OVERRIDE=FY","FILING_STATUS=OR","EQY_CONSOLIDATED=Y","Sort=A","Dates=H","DateFormat=P","Fill=—","Direction=H","UseDPDF=Y")</f>
        <v>#NAME?</v>
      </c>
      <c r="AW358" s="2" t="e">
        <f ca="1">_xll.BDH($C$353,"MODIFIED_WORKING_CPTL_5YR_GRWTH","FY 2015","FY 2015","Currency=INR","Period=FY","BEST_FPERIOD_OVERRIDE=FY","FILING_STATUS=OR","EQY_CONSOLIDATED=Y","Sort=A","Dates=H","DateFormat=P","Fill=—","Direction=H","UseDPDF=Y")</f>
        <v>#NAME?</v>
      </c>
      <c r="AX358" s="2" t="e">
        <f ca="1">_xll.BDH($C$353,"WORKING_CAPITAL_5_YEAR_GROWTH","FY 2015","FY 2015","Currency=INR","Period=FY","BEST_FPERIOD_OVERRIDE=FY","FILING_STATUS=OR","EQY_CONSOLIDATED=Y","Sort=A","Dates=H","DateFormat=P","Fill=—","Direction=H","UseDPDF=Y")</f>
        <v>#NAME?</v>
      </c>
      <c r="AY358" s="2" t="e">
        <f ca="1">_xll.BDH($C$353,"ACCOUNTS_PAYABLE_5_YEAR_GROWTH","FY 2015","FY 2015","Currency=INR","Period=FY","BEST_FPERIOD_OVERRIDE=FY","FILING_STATUS=OR","EQY_CONSOLIDATED=Y","Sort=A","Dates=H","DateFormat=P","Fill=—","Direction=H","UseDPDF=Y")</f>
        <v>#NAME?</v>
      </c>
      <c r="AZ358" s="2" t="e">
        <f ca="1">_xll.BDH($C$353,"SHORT_TERM_DEBT_5_YEAR_GROWTH","FY 2015","FY 2015","Currency=INR","Period=FY","BEST_FPERIOD_OVERRIDE=FY","FILING_STATUS=OR","EQY_CONSOLIDATED=Y","Sort=A","Dates=H","DateFormat=P","Fill=—","Direction=H","UseDPDF=Y")</f>
        <v>#NAME?</v>
      </c>
      <c r="BA358" s="2" t="e">
        <f ca="1">_xll.BDH($C$353,"TOTAL_DEBT_5_YEAR_GROWTH","FY 2015","FY 2015","Currency=INR","Period=FY","BEST_FPERIOD_OVERRIDE=FY","FILING_STATUS=OR","EQY_CONSOLIDATED=Y","Sort=A","Dates=H","DateFormat=P","Fill=—","Direction=H","UseDPDF=Y")</f>
        <v>#NAME?</v>
      </c>
      <c r="BB358" s="2" t="e">
        <f ca="1">_xll.BDH($C$353,"GEO_GROW_TOT_SHRHLDR_EQY","FY 2015","FY 2015","Currency=INR","Period=FY","BEST_FPERIOD_OVERRIDE=FY","FILING_STATUS=OR","EQY_CONSOLIDATED=Y","Sort=A","Dates=H","DateFormat=P","Fill=—","Direction=H","UseDPDF=Y")</f>
        <v>#NAME?</v>
      </c>
      <c r="BC358" s="2" t="e">
        <f ca="1">_xll.BDH($C$353,"TOTAL_CAPITAL_5_YEAR_GROWTH","FY 2015","FY 2015","Currency=INR","Period=FY","BEST_FPERIOD_OVERRIDE=FY","FILING_STATUS=OR","EQY_CONSOLIDATED=Y","Sort=A","Dates=H","DateFormat=P","Fill=—","Direction=H","UseDPDF=Y")</f>
        <v>#NAME?</v>
      </c>
      <c r="BD358" s="2" t="e">
        <f ca="1">_xll.BDH($C$353,"GEO_GROW_BOOK_VAL","FY 2015","FY 2015","Currency=INR","Period=FY","BEST_FPERIOD_OVERRIDE=FY","FILING_STATUS=OR","EQY_CONSOLIDATED=Y","Sort=A","Dates=H","DateFormat=P","Fill=—","Direction=H","UseDPDF=Y")</f>
        <v>#NAME?</v>
      </c>
      <c r="BE358" s="2" t="e">
        <f ca="1">_xll.BDH($C$353,"GEO_GROW_CASH_OPER_ACT","FY 2015","FY 2015","Currency=INR","Period=FY","BEST_FPERIOD_OVERRIDE=FY","FILING_STATUS=OR","EQY_CONSOLIDATED=Y","Sort=A","Dates=H","DateFormat=P","Fill=—","Direction=H","UseDPDF=Y")</f>
        <v>#NAME?</v>
      </c>
      <c r="BF358" s="2" t="e">
        <f ca="1">_xll.BDH($C$353,"REVENUE_SEQUENTIAL_GROWTH","FY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58" s="2" t="e">
        <f ca="1">_xll.BDH($C$353,"EBITDA_SEQUENTIAL_GROWTH","FY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58" s="2" t="e">
        <f ca="1">_xll.BDH($C$353,"OPERATING_INCOME_SEQ_GROWTH","FY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58" s="2" t="e">
        <f ca="1">_xll.BDH($C$353,"NET_INCOME_TO_COMMON_SEQ_GROWTH","FY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58" s="2" t="e">
        <f ca="1">_xll.BDH($C$353,"EPS_DILUTED_SEQUENTIAL_GROWTH","FY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58" s="2" t="e">
        <f ca="1">_xll.BDH($C$353,"DPS_SEQUENTIAL_GROWTH","FY 2015","FY 2015","Currency=INR","Period=FY","BEST_FPERIOD_OVERRIDE=FY","FILING_STATUS=OR","EQY_CONSOLIDATED=Y","Sort=A","Dates=H","DateFormat=P","Fill=—","Direction=H","UseDPDF=Y")</f>
        <v>#NAME?</v>
      </c>
      <c r="BL358" s="2" t="e">
        <f ca="1">_xll.BDH($C$353,"ACCOUNTS_RECEIVABLE_SEQ_GROWTH","FY 2015","FY 2015","Currency=INR","Period=FY","BEST_FPERIOD_OVERRIDE=FY","FILING_STATUS=OR","EQY_CONSOLIDATED=Y","Sort=A","Dates=H","DateFormat=P","Fill=—","Direction=H","UseDPDF=Y")</f>
        <v>#NAME?</v>
      </c>
      <c r="BM358" s="2" t="e">
        <f ca="1">_xll.BDH($C$353,"INVENTORY_SEQUENTIAL_GROWTH","FY 2015","FY 2015","Currency=INR","Period=FY","BEST_FPERIOD_OVERRIDE=FY","FILING_STATUS=OR","EQY_CONSOLIDATED=Y","Sort=A","Dates=H","DateFormat=P","Fill=—","Direction=H","UseDPDF=Y")</f>
        <v>#NAME?</v>
      </c>
      <c r="BN358" s="2" t="e">
        <f ca="1">_xll.BDH($C$353,"FIXED_ASSETS_SEQUENTIAL_GROWTH","FY 2015","FY 2015","Currency=INR","Period=FY","BEST_FPERIOD_OVERRIDE=FY","FILING_STATUS=OR","EQY_CONSOLIDATED=Y","Sort=A","Dates=H","DateFormat=P","Fill=—","Direction=H","UseDPDF=Y")</f>
        <v>#NAME?</v>
      </c>
      <c r="BO358" s="2" t="e">
        <f ca="1">_xll.BDH($C$353,"TOTAL_ASSETS_SEQUENTIAL_GROWTH","FY 2015","FY 2015","Currency=INR","Period=FY","BEST_FPERIOD_OVERRIDE=FY","FILING_STATUS=OR","EQY_CONSOLIDATED=Y","Sort=A","Dates=H","DateFormat=P","Fill=—","Direction=H","UseDPDF=Y")</f>
        <v>#NAME?</v>
      </c>
      <c r="BP358" s="2" t="e">
        <f ca="1">_xll.BDH($C$353,"MODIFIED_WORKING_CPTL_SEQ_GRWTH","FY 2015","FY 2015","Currency=INR","Period=FY","BEST_FPERIOD_OVERRIDE=FY","FILING_STATUS=OR","EQY_CONSOLIDATED=Y","Sort=A","Dates=H","DateFormat=P","Fill=—","Direction=H","UseDPDF=Y")</f>
        <v>#NAME?</v>
      </c>
      <c r="BQ358" s="2" t="e">
        <f ca="1">_xll.BDH($C$353,"WORKING_CAPITAL_SEQ_GROWTH","FY 2015","FY 2015","Currency=INR","Period=FY","BEST_FPERIOD_OVERRIDE=FY","FILING_STATUS=OR","EQY_CONSOLIDATED=Y","Sort=A","Dates=H","DateFormat=P","Fill=—","Direction=H","UseDPDF=Y")</f>
        <v>#NAME?</v>
      </c>
      <c r="BR358" s="2" t="e">
        <f ca="1">_xll.BDH($C$353,"ACCOUNTS_PAYABLE_SEQ_GROWTH","FY 2015","FY 2015","Currency=INR","Period=FY","BEST_FPERIOD_OVERRIDE=FY","FILING_STATUS=OR","EQY_CONSOLIDATED=Y","Sort=A","Dates=H","DateFormat=P","Fill=—","Direction=H","UseDPDF=Y")</f>
        <v>#NAME?</v>
      </c>
      <c r="BS358" s="2" t="e">
        <f ca="1">_xll.BDH($C$353,"ST_DEBT_SEQUENTIAL_GROWTH","FY 2015","FY 2015","Currency=INR","Period=FY","BEST_FPERIOD_OVERRIDE=FY","FILING_STATUS=OR","EQY_CONSOLIDATED=Y","Sort=A","Dates=H","DateFormat=P","Fill=—","Direction=H","UseDPDF=Y")</f>
        <v>#NAME?</v>
      </c>
      <c r="BT358" s="2" t="e">
        <f ca="1">_xll.BDH($C$353,"TOTAL_DEBT_SEQUENTIAL_GROWTH","FY 2015","FY 2015","Currency=INR","Period=FY","BEST_FPERIOD_OVERRIDE=FY","FILING_STATUS=OR","EQY_CONSOLIDATED=Y","Sort=A","Dates=H","DateFormat=P","Fill=—","Direction=H","UseDPDF=Y")</f>
        <v>#NAME?</v>
      </c>
      <c r="BU358" s="2" t="e">
        <f ca="1">_xll.BDH($C$353,"TOTAL_EQUITY_SEQUENTIAL_GROWTH","FY 2015","FY 2015","Currency=INR","Period=FY","BEST_FPERIOD_OVERRIDE=FY","FILING_STATUS=OR","EQY_CONSOLIDATED=Y","Sort=A","Dates=H","DateFormat=P","Fill=—","Direction=H","UseDPDF=Y")</f>
        <v>#NAME?</v>
      </c>
      <c r="BV358" s="2" t="e">
        <f ca="1">_xll.BDH($C$353,"TOTAL_CAPITAL_SEQUENTIAL_GROWTH","FY 2015","FY 2015","Currency=INR","Period=FY","BEST_FPERIOD_OVERRIDE=FY","FILING_STATUS=OR","EQY_CONSOLIDATED=Y","Sort=A","Dates=H","DateFormat=P","Fill=—","Direction=H","UseDPDF=Y")</f>
        <v>#NAME?</v>
      </c>
      <c r="BW358" s="2" t="e">
        <f ca="1">_xll.BDH($C$353,"BPS_SEQUENTIAL_GROWTH","FY 2015","FY 2015","Currency=INR","Period=FY","BEST_FPERIOD_OVERRIDE=FY","FILING_STATUS=OR","EQY_CONSOLIDATED=Y","Sort=A","Dates=H","DateFormat=P","Fill=—","Direction=H","UseDPDF=Y")</f>
        <v>#NAME?</v>
      </c>
      <c r="BX358" s="2" t="e">
        <f ca="1">_xll.BDH($C$353,"CFO_SEQUENTIAL_GROWTH","FY 2015","FY 2015","Currency=INR","Period=FY","BEST_FPERIOD_OVERRIDE=FY","FILING_STATUS=OR","EQY_CONSOLIDATED=Y","Sort=A","Dates=H","DateFormat=P","Fill=—","Direction=H","UseDPDF=Y")</f>
        <v>#NAME?</v>
      </c>
      <c r="BY358" s="3" t="e">
        <f ca="1">_xll.BDH($C$353,"SHORT_AND_LONG_TERM_DEBT","FY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58" s="3" t="e">
        <f ca="1">_xll.BDH($C$353,"BS_ST_BORROW","FY 2015","FY 2015","Currency=INR","Period=FY","BEST_FPERIOD_OVERRIDE=FY","FILING_STATUS=OR","EQY_CONSOLIDATED=Y","SCALING_FORMAT=MLN","Sort=A","Dates=H","DateFormat=P","Fill=—","Direction=H","UseDPDF=Y")</f>
        <v>#NAME?</v>
      </c>
      <c r="CA358" s="3" t="e">
        <f ca="1">_xll.BDH($C$353,"BS_LT_BORROW","FY 2015","FY 2015","Currency=INR","Period=FY","BEST_FPERIOD_OVERRIDE=FY","FILING_STATUS=OR","EQY_CONSOLIDATED=Y","SCALING_FORMAT=MLN","Sort=A","Dates=H","DateFormat=P","Fill=—","Direction=H","UseDPDF=Y")</f>
        <v>#NAME?</v>
      </c>
      <c r="CB358" s="2" t="e">
        <f ca="1">_xll.BDH($C$353,"TOT_DEBT_TO_EBITDA","FY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358" s="2" t="e">
        <f ca="1">_xll.BDH($C$353,"NET_DEBT_TO_EBITDA","FY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358" s="2" t="e">
        <f ca="1">_xll.BDH($C$353,"TOTAL_DEBT_TO_EBIT","FY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358" s="2" t="e">
        <f ca="1">_xll.BDH($C$353,"NET_DEBT_TO_EBIT","FY 2015","FY 2015","Currency=INR","Period=FY","BEST_FPERIOD_OVERRIDE=FY","FILING_STATUS=OR","EQY_CONSOLIDATED=Y","FA_ADJUSTED=GAAP","Sort=A","Dates=H","DateFormat=P","Fill=—","Direction=H","UseDPDF=Y")</f>
        <v>#NAME?</v>
      </c>
      <c r="CF358" s="2" t="e">
        <f ca="1">_xll.BDH($C$353,"EBITDA_TO_INTEREST_EXPN","FY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58" s="2" t="e">
        <f ca="1">_xll.BDH($C$353,"COM_EQY_TO_TOT_ASSET","FY 2015","FY 2015","Currency=INR","Period=FY","BEST_FPERIOD_OVERRIDE=FY","FILING_STATUS=OR","EQY_CONSOLIDATED=Y","Sort=A","Dates=H","DateFormat=P","Fill=—","Direction=H","UseDPDF=Y")</f>
        <v>#NAME?</v>
      </c>
      <c r="CH358" s="2" t="e">
        <f ca="1">_xll.BDH($C$353,"LT_DEBT_TO_TOT_EQY","FY 2015","FY 2015","Currency=INR","Period=FY","BEST_FPERIOD_OVERRIDE=FY","FILING_STATUS=OR","EQY_CONSOLIDATED=Y","Sort=A","Dates=H","DateFormat=P","Fill=—","Direction=H","UseDPDF=Y")</f>
        <v>#NAME?</v>
      </c>
      <c r="CI358" s="2" t="e">
        <f ca="1">_xll.BDH($C$353,"LT_DEBT_TO_TOT_CAP","FY 2015","FY 2015","Currency=INR","Period=FY","BEST_FPERIOD_OVERRIDE=FY","FILING_STATUS=OR","EQY_CONSOLIDATED=Y","Sort=A","Dates=H","DateFormat=P","Fill=—","Direction=H","UseDPDF=Y")</f>
        <v>#NAME?</v>
      </c>
      <c r="CJ358" s="2" t="e">
        <f ca="1">_xll.BDH($C$353,"LT_DEBT_TO_TOT_ASSET","FY 2015","FY 2015","Currency=INR","Period=FY","BEST_FPERIOD_OVERRIDE=FY","FILING_STATUS=OR","EQY_CONSOLIDATED=Y","Sort=A","Dates=H","DateFormat=P","Fill=—","Direction=H","UseDPDF=Y")</f>
        <v>#NAME?</v>
      </c>
      <c r="CK358" s="2" t="e">
        <f ca="1">_xll.BDH($C$353,"TOT_DEBT_TO_TOT_EQY","FY 2015","FY 2015","Currency=INR","Period=FY","BEST_FPERIOD_OVERRIDE=FY","FILING_STATUS=OR","EQY_CONSOLIDATED=Y","Sort=A","Dates=H","DateFormat=P","Fill=—","Direction=H","UseDPDF=Y")</f>
        <v>#NAME?</v>
      </c>
      <c r="CL358" s="2" t="e">
        <f ca="1">_xll.BDH($C$353,"TOT_DEBT_TO_TOT_CAP","FY 2015","FY 2015","Currency=INR","Period=FY","BEST_FPERIOD_OVERRIDE=FY","FILING_STATUS=OR","EQY_CONSOLIDATED=Y","Sort=A","Dates=H","DateFormat=P","Fill=—","Direction=H","UseDPDF=Y")</f>
        <v>#NAME?</v>
      </c>
      <c r="CM358" s="2" t="e">
        <f ca="1">_xll.BDH($C$353,"TOT_DEBT_TO_TOT_ASSET","FY 2015","FY 2015","Currency=INR","Period=FY","BEST_FPERIOD_OVERRIDE=FY","FILING_STATUS=OR","EQY_CONSOLIDATED=Y","Sort=A","Dates=H","DateFormat=P","Fill=—","Direction=H","UseDPDF=Y")</f>
        <v>#NAME?</v>
      </c>
      <c r="CN358" s="2" t="e">
        <f ca="1">_xll.BDH($C$353,"NET_DEBT_TO_SHRHLDR_EQTY","FY 2015","FY 2015","Currency=INR","Period=FY","BEST_FPERIOD_OVERRIDE=FY","FILING_STATUS=OR","EQY_CONSOLIDATED=Y","Sort=A","Dates=H","DateFormat=P","Fill=—","Direction=H","UseDPDF=Y")</f>
        <v>#NAME?</v>
      </c>
      <c r="CO358" s="2" t="e">
        <f ca="1">_xll.BDH($C$353,"NET_DEBT_%_CAPITAL","FY 2015","FY 2015","Currency=INR","Period=FY","BEST_FPERIOD_OVERRIDE=FY","FILING_STATUS=OR","EQY_CONSOLIDATED=Y","Sort=A","Dates=H","DateFormat=P","Fill=—","Direction=H","UseDPDF=Y")</f>
        <v>#NAME?</v>
      </c>
      <c r="CP358" s="3" t="e">
        <f ca="1">_xll.BDH($C$353,"EBITDA","FY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58" s="3" t="e">
        <f ca="1">_xll.BDH($C$353,"EBITDA_AFTER_CAPEX","FY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58" s="3" t="e">
        <f ca="1">_xll.BDH($C$353,"IS_OPER_INC","FY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58" s="2" t="e">
        <f ca="1">_xll.BDH($C$353,"CASH_RATIO","FY 2015","FY 2015","Currency=INR","Period=FY","BEST_FPERIOD_OVERRIDE=FY","FILING_STATUS=OR","EQY_CONSOLIDATED=Y","Sort=A","Dates=H","DateFormat=P","Fill=—","Direction=H","UseDPDF=Y")</f>
        <v>#NAME?</v>
      </c>
      <c r="CT358" s="2" t="e">
        <f ca="1">_xll.BDH($C$353,"CUR_RATIO","FY 2015","FY 2015","Currency=INR","Period=FY","BEST_FPERIOD_OVERRIDE=FY","FILING_STATUS=OR","EQY_CONSOLIDATED=Y","Sort=A","Dates=H","DateFormat=P","Fill=—","Direction=H","UseDPDF=Y")</f>
        <v>#NAME?</v>
      </c>
      <c r="CU358" s="2" t="e">
        <f ca="1">_xll.BDH($C$353,"QUICK_RATIO","FY 2015","FY 2015","Currency=INR","Period=FY","BEST_FPERIOD_OVERRIDE=FY","FILING_STATUS=OR","EQY_CONSOLIDATED=Y","Sort=A","Dates=H","DateFormat=P","Fill=—","Direction=H","UseDPDF=Y")</f>
        <v>#NAME?</v>
      </c>
      <c r="CV358" s="2" t="e">
        <f ca="1">_xll.BDH($C$353,"ALTMAN_Z_SCORE","FY 2015","FY 2015","Currency=INR","Period=FY","BEST_FPERIOD_OVERRIDE=FY","FILING_STATUS=OR","EQY_CONSOLIDATED=Y","Sort=A","Dates=H","DateFormat=P","Fill=—","Direction=H","UseDPDF=Y")</f>
        <v>#NAME?</v>
      </c>
      <c r="CW358" s="4" t="e">
        <f ca="1">_xll.BDH($C$353,"ACCT_RCV_TURN","FY 2015","FY 2015","Currency=INR","Period=FY","BEST_FPERIOD_OVERRIDE=FY","FILING_STATUS=OR","EQY_CONSOLIDATED=Y","FA_ADJUSTED=GAAP","Sort=A","Dates=H","DateFormat=P","Fill=—","Direction=H","UseDPDF=Y")</f>
        <v>#NAME?</v>
      </c>
      <c r="CX358" s="2" t="e">
        <f ca="1">_xll.BDH($C$353,"ACCT_RCV_DAYS","FY 2015","FY 2015","Currency=INR","Period=FY","BEST_FPERIOD_OVERRIDE=FY","FILING_STATUS=OR","EQY_CONSOLIDATED=Y","FA_ADJUSTED=GAAP","Sort=A","Dates=H","DateFormat=P","Fill=—","Direction=H","UseDPDF=Y")</f>
        <v>#NAME?</v>
      </c>
      <c r="CY358" s="4" t="e">
        <f ca="1">_xll.BDH($C$353,"INVENT_TURN","FY 2015","FY 2015","Currency=INR","Period=FY","BEST_FPERIOD_OVERRIDE=FY","FILING_STATUS=OR","EQY_CONSOLIDATED=Y","FA_ADJUSTED=GAAP","Sort=A","Dates=H","DateFormat=P","Fill=—","Direction=H","UseDPDF=Y")</f>
        <v>#NAME?</v>
      </c>
      <c r="CZ358" s="2" t="e">
        <f ca="1">_xll.BDH($C$353,"INVENT_DAYS","FY 2015","FY 2015","Currency=INR","Period=FY","BEST_FPERIOD_OVERRIDE=FY","FILING_STATUS=OR","EQY_CONSOLIDATED=Y","FA_ADJUSTED=GAAP","Sort=A","Dates=H","DateFormat=P","Fill=—","Direction=H","UseDPDF=Y")</f>
        <v>#NAME?</v>
      </c>
      <c r="DA358" s="4" t="e">
        <f ca="1">_xll.BDH($C$353,"ACCOUNTS_PAYABLE_TURNOVER","FY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58" s="2" t="e">
        <f ca="1">_xll.BDH($C$353,"ACCOUNTS_PAYABLE_TURNOVER_DAYS","FY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58" s="4" t="e">
        <f ca="1">_xll.BDH($C$353,"CASH_CONVERSION_CYCLE","FY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58" s="4" t="e">
        <f ca="1">_xll.BDH($C$353,"INV_TO_CASH_DAYS","FY 2015","FY 2015","Currency=INR","Period=FY","BEST_FPERIOD_OVERRIDE=FY","FILING_STATUS=OR","EQY_CONSOLIDATED=Y","FA_ADJUSTED=GAAP","Sort=A","Dates=H","DateFormat=P","Fill=—","Direction=H","UseDPDF=Y")</f>
        <v>#NAME?</v>
      </c>
      <c r="DE358" s="5" t="e">
        <f ca="1">_xll.BDH($C$353,"BS_INVENTORIES","FY 2015","FY 2015","Currency=INR","Period=FY","BEST_FPERIOD_OVERRIDE=FY","FILING_STATUS=OR","EQY_CONSOLIDATED=Y","SCALING_FORMAT=MLN","Sort=A","Dates=H","DateFormat=P","Fill=—","Direction=H","UseDPDF=Y")</f>
        <v>#NAME?</v>
      </c>
      <c r="DF358" s="3" t="e">
        <f ca="1">_xll.BDH($C$353,"INVTRY_RAW_MATERIALS","FY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58" s="3" t="e">
        <f ca="1">_xll.BDH($C$353,"INVTRY_IN_PROGRESS","FY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58" s="3" t="e">
        <f ca="1">_xll.BDH($C$353,"INVTRY_FINISHED_GOODS","FY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58" s="3" t="e">
        <f ca="1">_xll.BDH($C$353,"BS_OTHER_INV","FY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59" spans="1:113" x14ac:dyDescent="0.3">
      <c r="A359" s="6"/>
      <c r="B359" s="6"/>
      <c r="C359" s="6"/>
      <c r="D359" s="6"/>
      <c r="E359" t="s">
        <v>78</v>
      </c>
      <c r="F359" t="e">
        <f ca="1">_xll.BDH($C$353,"RETURN_COM_EQY","FQ1 2015","FQ1 2015","Currency=INR","Period=FQ","BEST_FPERIOD_OVERRIDE=FQ","FILING_STATUS=OR","EQY_CONSOLIDATED=Y","FA_ADJUSTED=GAAP","Sort=A","Dates=H","DateFormat=P","Fill=—","Direction=H","UseDPDF=Y")</f>
        <v>#NAME?</v>
      </c>
      <c r="G359" t="e">
        <f ca="1">_xll.BDH($C$353,"RETURN_ON_ASSET","FQ1 2015","FQ1 2015","Currency=INR","Period=FQ","BEST_FPERIOD_OVERRIDE=FQ","FILING_STATUS=OR","EQY_CONSOLIDATED=Y","FA_ADJUSTED=GAAP","Sort=A","Dates=H","DateFormat=P","Fill=—","Direction=H","UseDPDF=Y")</f>
        <v>#NAME?</v>
      </c>
      <c r="H359" t="e">
        <f ca="1">_xll.BDH($C$353,"RETURN_ON_CAP","FQ1 2015","FQ1 2015","Currency=INR","Period=FQ","BEST_FPERIOD_OVERRIDE=FQ","FILING_STATUS=OR","EQY_CONSOLIDATED=Y","FA_ADJUSTED=GAAP","Sort=A","Dates=H","DateFormat=P","Fill=—","Direction=H","UseDPDF=Y")</f>
        <v>#NAME?</v>
      </c>
      <c r="I359" t="e">
        <f ca="1">_xll.BDH($C$353,"RETURN_ON_INV_CAPITAL","FQ1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59" t="e">
        <f ca="1">_xll.BDH($C$353,"EBITDA_TO_REVENUE","FQ1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359" t="e">
        <f ca="1">_xll.BDH($C$353,"OPER_MARGIN","FQ1 2015","FQ1 2015","Currency=INR","Period=FQ","BEST_FPERIOD_OVERRIDE=FQ","FILING_STATUS=OR","EQY_CONSOLIDATED=Y","FA_ADJUSTED=GAAP","Sort=A","Dates=H","DateFormat=P","Fill=—","Direction=H","UseDPDF=Y")</f>
        <v>#NAME?</v>
      </c>
      <c r="L359" t="e">
        <f ca="1">_xll.BDH($C$353,"INCREMENTAL_OPERATING_MARGIN","FQ1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59" t="e">
        <f ca="1">_xll.BDH($C$353,"PRETAX_INC_TO_NET_SALES","FQ1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59" t="e">
        <f ca="1">_xll.BDH($C$353,"INC_BEF_XO_ITEMS_TO_NET_SALES","FQ1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59" t="e">
        <f ca="1">_xll.BDH($C$353,"PROF_MARGIN","FQ1 2015","FQ1 2015","Currency=INR","Period=FQ","BEST_FPERIOD_OVERRIDE=FQ","FILING_STATUS=OR","EQY_CONSOLIDATED=Y","FA_ADJUSTED=GAAP","Sort=A","Dates=H","DateFormat=P","Fill=—","Direction=H","UseDPDF=Y")</f>
        <v>#NAME?</v>
      </c>
      <c r="P359" t="e">
        <f ca="1">_xll.BDH($C$353,"NET_INCOME_TO_COMMON_MARGIN","FQ1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59" t="e">
        <f ca="1">_xll.BDH($C$353,"EFF_TAX_RATE","FQ1 2015","FQ1 2015","Currency=INR","Period=FQ","BEST_FPERIOD_OVERRIDE=FQ","FILING_STATUS=OR","EQY_CONSOLIDATED=Y","FA_ADJUSTED=GAAP","Sort=A","Dates=H","DateFormat=P","Fill=—","Direction=H","UseDPDF=Y")</f>
        <v>#NAME?</v>
      </c>
      <c r="R359" t="e">
        <f ca="1">_xll.BDH($C$353,"DVD_PAYOUT_RATIO","FQ1 2015","FQ1 2015","Currency=INR","Period=FQ","BEST_FPERIOD_OVERRIDE=FQ","FILING_STATUS=OR","EQY_CONSOLIDATED=Y","FA_ADJUSTED=GAAP","Sort=A","Dates=H","DateFormat=P","Fill=—","Direction=H","UseDPDF=Y")</f>
        <v>#NAME?</v>
      </c>
      <c r="S359" t="e">
        <f ca="1">_xll.BDH($C$353,"SUSTAIN_GROWTH_RT","FQ1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359" s="2" t="e">
        <f ca="1">_xll.BDH($C$353,"SALES_GROWTH","FQ1 2015","FQ1 2015","Currency=INR","Period=FQ","BEST_FPERIOD_OVERRIDE=FQ","FILING_STATUS=OR","EQY_CONSOLIDATED=Y","FA_ADJUSTED=GAAP","Sort=A","Dates=H","DateFormat=P","Fill=—","Direction=H","UseDPDF=Y")</f>
        <v>#NAME?</v>
      </c>
      <c r="U359" s="2" t="e">
        <f ca="1">_xll.BDH($C$353,"EBITDA_GROWTH","FQ1 2015","FQ1 2015","Currency=INR","Period=FQ","BEST_FPERIOD_OVERRIDE=FQ","FILING_STATUS=OR","EQY_CONSOLIDATED=Y","FA_ADJUSTED=GAAP","Sort=A","Dates=H","DateFormat=P","Fill=—","Direction=H","UseDPDF=Y")</f>
        <v>#NAME?</v>
      </c>
      <c r="V359" s="2" t="e">
        <f ca="1">_xll.BDH($C$353,"OPER_INC_GROWTH","FQ1 2015","FQ1 2015","Currency=INR","Period=FQ","BEST_FPERIOD_OVERRIDE=FQ","FILING_STATUS=OR","EQY_CONSOLIDATED=Y","FA_ADJUSTED=GAAP","Sort=A","Dates=H","DateFormat=P","Fill=—","Direction=H","UseDPDF=Y")</f>
        <v>#NAME?</v>
      </c>
      <c r="W359" s="2" t="e">
        <f ca="1">_xll.BDH($C$353,"EARN_FOR_COM_GROWTH","FQ1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59" s="2" t="e">
        <f ca="1">_xll.BDH($C$353,"DILUTED_EPS_AFT_XO_ITEMS_GROWTH","FQ1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59" s="2" t="e">
        <f ca="1">_xll.BDH($C$353,"DIVIDEND_PER_SHARE_1_YEAR_GROWTH","FQ1 2015","FQ1 2015","Currency=INR","Period=FQ","BEST_FPERIOD_OVERRIDE=FQ","FILING_STATUS=OR","EQY_CONSOLIDATED=Y","Sort=A","Dates=H","DateFormat=P","Fill=—","Direction=H","UseDPDF=Y")</f>
        <v>#NAME?</v>
      </c>
      <c r="Z359" s="2" t="e">
        <f ca="1">_xll.BDH($C$353,"ACCOUNTS_RECEIVABLE_GROWTH","FQ1 2015","FQ1 2015","Currency=INR","Period=FQ","BEST_FPERIOD_OVERRIDE=FQ","FILING_STATUS=OR","EQY_CONSOLIDATED=Y","Sort=A","Dates=H","DateFormat=P","Fill=—","Direction=H","UseDPDF=Y")</f>
        <v>#NAME?</v>
      </c>
      <c r="AA359" s="2" t="e">
        <f ca="1">_xll.BDH($C$353,"INVENTORY_GROWTH","FQ1 2015","FQ1 2015","Currency=INR","Period=FQ","BEST_FPERIOD_OVERRIDE=FQ","FILING_STATUS=OR","EQY_CONSOLIDATED=Y","Sort=A","Dates=H","DateFormat=P","Fill=—","Direction=H","UseDPDF=Y")</f>
        <v>#NAME?</v>
      </c>
      <c r="AB359" s="2" t="e">
        <f ca="1">_xll.BDH($C$353,"NET_FIXED_ASSETS_1_YEAR_GROWTH","FQ1 2015","FQ1 2015","Currency=INR","Period=FQ","BEST_FPERIOD_OVERRIDE=FQ","FILING_STATUS=OR","EQY_CONSOLIDATED=Y","Sort=A","Dates=H","DateFormat=P","Fill=—","Direction=H","UseDPDF=Y")</f>
        <v>#NAME?</v>
      </c>
      <c r="AC359" s="2" t="e">
        <f ca="1">_xll.BDH($C$353,"ASSET_GROWTH","FQ1 2015","FQ1 2015","Currency=INR","Period=FQ","BEST_FPERIOD_OVERRIDE=FQ","FILING_STATUS=OR","EQY_CONSOLIDATED=Y","Sort=A","Dates=H","DateFormat=P","Fill=—","Direction=H","UseDPDF=Y")</f>
        <v>#NAME?</v>
      </c>
      <c r="AD359" s="2" t="e">
        <f ca="1">_xll.BDH($C$353,"MODIFIED_WORK_CAP_GROWTH","FQ1 2015","FQ1 2015","Currency=INR","Period=FQ","BEST_FPERIOD_OVERRIDE=FQ","FILING_STATUS=OR","EQY_CONSOLIDATED=Y","Sort=A","Dates=H","DateFormat=P","Fill=—","Direction=H","UseDPDF=Y")</f>
        <v>#NAME?</v>
      </c>
      <c r="AE359" s="2" t="e">
        <f ca="1">_xll.BDH($C$353,"WORK_CAP_GROWTH","FQ1 2015","FQ1 2015","Currency=INR","Period=FQ","BEST_FPERIOD_OVERRIDE=FQ","FILING_STATUS=OR","EQY_CONSOLIDATED=Y","Sort=A","Dates=H","DateFormat=P","Fill=—","Direction=H","UseDPDF=Y")</f>
        <v>#NAME?</v>
      </c>
      <c r="AF359" s="2" t="e">
        <f ca="1">_xll.BDH($C$353,"ACCOUNTS_PAYABLE_GROWTH_1YR","FQ1 2015","FQ1 2015","Currency=INR","Period=FQ","BEST_FPERIOD_OVERRIDE=FQ","FILING_STATUS=OR","EQY_CONSOLIDATED=Y","Sort=A","Dates=H","DateFormat=P","Fill=—","Direction=H","UseDPDF=Y")</f>
        <v>#NAME?</v>
      </c>
      <c r="AG359" s="2" t="e">
        <f ca="1">_xll.BDH($C$353,"SHORT_TERM_DEBT_1_YEAR_GROWTH","FQ1 2015","FQ1 2015","Currency=INR","Period=FQ","BEST_FPERIOD_OVERRIDE=FQ","FILING_STATUS=OR","EQY_CONSOLIDATED=Y","Sort=A","Dates=H","DateFormat=P","Fill=—","Direction=H","UseDPDF=Y")</f>
        <v>#NAME?</v>
      </c>
      <c r="AH359" s="2" t="e">
        <f ca="1">_xll.BDH($C$353,"TOTAL_DEBT_1_YEAR_GROWTH","FQ1 2015","FQ1 2015","Currency=INR","Period=FQ","BEST_FPERIOD_OVERRIDE=FQ","FILING_STATUS=OR","EQY_CONSOLIDATED=Y","Sort=A","Dates=H","DateFormat=P","Fill=—","Direction=H","UseDPDF=Y")</f>
        <v>#NAME?</v>
      </c>
      <c r="AI359" s="2" t="e">
        <f ca="1">_xll.BDH($C$353,"TOTAL_EQUITY_1_YEAR_GROWTH","FQ1 2015","FQ1 2015","Currency=INR","Period=FQ","BEST_FPERIOD_OVERRIDE=FQ","FILING_STATUS=OR","EQY_CONSOLIDATED=Y","Sort=A","Dates=H","DateFormat=P","Fill=—","Direction=H","UseDPDF=Y")</f>
        <v>#NAME?</v>
      </c>
      <c r="AJ359" s="2" t="e">
        <f ca="1">_xll.BDH($C$353,"GROWTH_IN_CAP","FQ1 2015","FQ1 2015","Currency=INR","Period=FQ","BEST_FPERIOD_OVERRIDE=FQ","FILING_STATUS=OR","EQY_CONSOLIDATED=Y","Sort=A","Dates=H","DateFormat=P","Fill=—","Direction=H","UseDPDF=Y")</f>
        <v>#NAME?</v>
      </c>
      <c r="AK359" s="2" t="e">
        <f ca="1">_xll.BDH($C$353,"BVPS_GROWTH","FQ1 2015","FQ1 2015","Currency=INR","Period=FQ","BEST_FPERIOD_OVERRIDE=FQ","FILING_STATUS=OR","EQY_CONSOLIDATED=Y","Sort=A","Dates=H","DateFormat=P","Fill=—","Direction=H","UseDPDF=Y")</f>
        <v>#NAME?</v>
      </c>
      <c r="AL359" s="2" t="e">
        <f ca="1">_xll.BDH($C$353,"CASH_FLOW_GROWTH","FQ1 2015","FQ1 2015","Currency=INR","Period=FQ","BEST_FPERIOD_OVERRIDE=FQ","FILING_STATUS=OR","EQY_CONSOLIDATED=Y","Sort=A","Dates=H","DateFormat=P","Fill=—","Direction=H","UseDPDF=Y")</f>
        <v>#NAME?</v>
      </c>
      <c r="AM359" s="2" t="e">
        <f ca="1">_xll.BDH($C$353,"GEO_GROW_NET_SALES","FQ1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59" s="2" t="e">
        <f ca="1">_xll.BDH($C$353,"GEO_GROW_EBITDA","FQ1 2015","FQ1 2015","Currency=INR","Period=FQ","BEST_FPERIOD_OVERRIDE=FQ","FILING_STATUS=OR","EQY_CONSOLIDATED=Y","FA_ADJUSTED=GAAP","Sort=A","Dates=H","DateFormat=P","Fill=—","Direction=H","UseDPDF=Y")</f>
        <v>#NAME?</v>
      </c>
      <c r="AO359" s="2" t="e">
        <f ca="1">_xll.BDH($C$353,"GEO_GROW_OPER_INC","FQ1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59" s="2" t="e">
        <f ca="1">_xll.BDH($C$353,"NET_INCOME_TO_COMMON_5_YR_GROWTH","FQ1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59" s="2" t="e">
        <f ca="1">_xll.BDH($C$353,"5Y_GEO_GROWTH_DILUTED_EPS","FQ1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59" s="2" t="e">
        <f ca="1">_xll.BDH($C$353,"GEO_GROW_DVD_PER_SH","FQ1 2015","FQ1 2015","Currency=INR","Period=FQ","BEST_FPERIOD_OVERRIDE=FQ","FILING_STATUS=OR","EQY_CONSOLIDATED=Y","Sort=A","Dates=H","DateFormat=P","Fill=—","Direction=H","UseDPDF=Y")</f>
        <v>#NAME?</v>
      </c>
      <c r="AS359" s="2" t="e">
        <f ca="1">_xll.BDH($C$353,"ACCOUNTS_RECEIVABLE_5_YR_GROWTH","FQ1 2015","FQ1 2015","Currency=INR","Period=FQ","BEST_FPERIOD_OVERRIDE=FQ","FILING_STATUS=OR","EQY_CONSOLIDATED=Y","Sort=A","Dates=H","DateFormat=P","Fill=—","Direction=H","UseDPDF=Y")</f>
        <v>#NAME?</v>
      </c>
      <c r="AT359" s="2" t="e">
        <f ca="1">_xll.BDH($C$353,"INVENTORY_5_YEAR_GROWTH","FQ1 2015","FQ1 2015","Currency=INR","Period=FQ","BEST_FPERIOD_OVERRIDE=FQ","FILING_STATUS=OR","EQY_CONSOLIDATED=Y","Sort=A","Dates=H","DateFormat=P","Fill=—","Direction=H","UseDPDF=Y")</f>
        <v>#NAME?</v>
      </c>
      <c r="AU359" s="2" t="e">
        <f ca="1">_xll.BDH($C$353,"NET_FIXED_ASSETS_5_YEAR_GROWTH","FQ1 2015","FQ1 2015","Currency=INR","Period=FQ","BEST_FPERIOD_OVERRIDE=FQ","FILING_STATUS=OR","EQY_CONSOLIDATED=Y","Sort=A","Dates=H","DateFormat=P","Fill=—","Direction=H","UseDPDF=Y")</f>
        <v>#NAME?</v>
      </c>
      <c r="AV359" s="2" t="e">
        <f ca="1">_xll.BDH($C$353,"GEO_GROW_TOT_ASSET","FQ1 2015","FQ1 2015","Currency=INR","Period=FQ","BEST_FPERIOD_OVERRIDE=FQ","FILING_STATUS=OR","EQY_CONSOLIDATED=Y","Sort=A","Dates=H","DateFormat=P","Fill=—","Direction=H","UseDPDF=Y")</f>
        <v>#NAME?</v>
      </c>
      <c r="AW359" s="2" t="e">
        <f ca="1">_xll.BDH($C$353,"MODIFIED_WORKING_CPTL_5YR_GRWTH","FQ1 2015","FQ1 2015","Currency=INR","Period=FQ","BEST_FPERIOD_OVERRIDE=FQ","FILING_STATUS=OR","EQY_CONSOLIDATED=Y","Sort=A","Dates=H","DateFormat=P","Fill=—","Direction=H","UseDPDF=Y")</f>
        <v>#NAME?</v>
      </c>
      <c r="AX359" s="2" t="e">
        <f ca="1">_xll.BDH($C$353,"WORKING_CAPITAL_5_YEAR_GROWTH","FQ1 2015","FQ1 2015","Currency=INR","Period=FQ","BEST_FPERIOD_OVERRIDE=FQ","FILING_STATUS=OR","EQY_CONSOLIDATED=Y","Sort=A","Dates=H","DateFormat=P","Fill=—","Direction=H","UseDPDF=Y")</f>
        <v>#NAME?</v>
      </c>
      <c r="AY359" s="2" t="e">
        <f ca="1">_xll.BDH($C$353,"ACCOUNTS_PAYABLE_5_YEAR_GROWTH","FQ1 2015","FQ1 2015","Currency=INR","Period=FQ","BEST_FPERIOD_OVERRIDE=FQ","FILING_STATUS=OR","EQY_CONSOLIDATED=Y","Sort=A","Dates=H","DateFormat=P","Fill=—","Direction=H","UseDPDF=Y")</f>
        <v>#NAME?</v>
      </c>
      <c r="AZ359" s="2" t="e">
        <f ca="1">_xll.BDH($C$353,"SHORT_TERM_DEBT_5_YEAR_GROWTH","FQ1 2015","FQ1 2015","Currency=INR","Period=FQ","BEST_FPERIOD_OVERRIDE=FQ","FILING_STATUS=OR","EQY_CONSOLIDATED=Y","Sort=A","Dates=H","DateFormat=P","Fill=—","Direction=H","UseDPDF=Y")</f>
        <v>#NAME?</v>
      </c>
      <c r="BA359" s="2" t="e">
        <f ca="1">_xll.BDH($C$353,"TOTAL_DEBT_5_YEAR_GROWTH","FQ1 2015","FQ1 2015","Currency=INR","Period=FQ","BEST_FPERIOD_OVERRIDE=FQ","FILING_STATUS=OR","EQY_CONSOLIDATED=Y","Sort=A","Dates=H","DateFormat=P","Fill=—","Direction=H","UseDPDF=Y")</f>
        <v>#NAME?</v>
      </c>
      <c r="BB359" s="2" t="e">
        <f ca="1">_xll.BDH($C$353,"GEO_GROW_TOT_SHRHLDR_EQY","FQ1 2015","FQ1 2015","Currency=INR","Period=FQ","BEST_FPERIOD_OVERRIDE=FQ","FILING_STATUS=OR","EQY_CONSOLIDATED=Y","Sort=A","Dates=H","DateFormat=P","Fill=—","Direction=H","UseDPDF=Y")</f>
        <v>#NAME?</v>
      </c>
      <c r="BC359" s="2" t="e">
        <f ca="1">_xll.BDH($C$353,"TOTAL_CAPITAL_5_YEAR_GROWTH","FQ1 2015","FQ1 2015","Currency=INR","Period=FQ","BEST_FPERIOD_OVERRIDE=FQ","FILING_STATUS=OR","EQY_CONSOLIDATED=Y","Sort=A","Dates=H","DateFormat=P","Fill=—","Direction=H","UseDPDF=Y")</f>
        <v>#NAME?</v>
      </c>
      <c r="BD359" s="2" t="e">
        <f ca="1">_xll.BDH($C$353,"GEO_GROW_BOOK_VAL","FQ1 2015","FQ1 2015","Currency=INR","Period=FQ","BEST_FPERIOD_OVERRIDE=FQ","FILING_STATUS=OR","EQY_CONSOLIDATED=Y","Sort=A","Dates=H","DateFormat=P","Fill=—","Direction=H","UseDPDF=Y")</f>
        <v>#NAME?</v>
      </c>
      <c r="BE359" s="2" t="e">
        <f ca="1">_xll.BDH($C$353,"GEO_GROW_CASH_OPER_ACT","FQ1 2015","FQ1 2015","Currency=INR","Period=FQ","BEST_FPERIOD_OVERRIDE=FQ","FILING_STATUS=OR","EQY_CONSOLIDATED=Y","Sort=A","Dates=H","DateFormat=P","Fill=—","Direction=H","UseDPDF=Y")</f>
        <v>#NAME?</v>
      </c>
      <c r="BF359" s="2" t="e">
        <f ca="1">_xll.BDH($C$353,"REVENUE_SEQUENTIAL_GROWTH","FQ1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59" s="2" t="e">
        <f ca="1">_xll.BDH($C$353,"EBITDA_SEQUENTIAL_GROWTH","FQ1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59" s="2" t="e">
        <f ca="1">_xll.BDH($C$353,"OPERATING_INCOME_SEQ_GROWTH","FQ1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59" s="2" t="e">
        <f ca="1">_xll.BDH($C$353,"NET_INCOME_TO_COMMON_SEQ_GROWTH","FQ1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59" s="2" t="e">
        <f ca="1">_xll.BDH($C$353,"EPS_DILUTED_SEQUENTIAL_GROWTH","FQ1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59" s="2" t="e">
        <f ca="1">_xll.BDH($C$353,"DPS_SEQUENTIAL_GROWTH","FQ1 2015","FQ1 2015","Currency=INR","Period=FQ","BEST_FPERIOD_OVERRIDE=FQ","FILING_STATUS=OR","EQY_CONSOLIDATED=Y","Sort=A","Dates=H","DateFormat=P","Fill=—","Direction=H","UseDPDF=Y")</f>
        <v>#NAME?</v>
      </c>
      <c r="BL359" s="2" t="e">
        <f ca="1">_xll.BDH($C$353,"ACCOUNTS_RECEIVABLE_SEQ_GROWTH","FQ1 2015","FQ1 2015","Currency=INR","Period=FQ","BEST_FPERIOD_OVERRIDE=FQ","FILING_STATUS=OR","EQY_CONSOLIDATED=Y","Sort=A","Dates=H","DateFormat=P","Fill=—","Direction=H","UseDPDF=Y")</f>
        <v>#NAME?</v>
      </c>
      <c r="BM359" s="2" t="e">
        <f ca="1">_xll.BDH($C$353,"INVENTORY_SEQUENTIAL_GROWTH","FQ1 2015","FQ1 2015","Currency=INR","Period=FQ","BEST_FPERIOD_OVERRIDE=FQ","FILING_STATUS=OR","EQY_CONSOLIDATED=Y","Sort=A","Dates=H","DateFormat=P","Fill=—","Direction=H","UseDPDF=Y")</f>
        <v>#NAME?</v>
      </c>
      <c r="BN359" s="2" t="e">
        <f ca="1">_xll.BDH($C$353,"FIXED_ASSETS_SEQUENTIAL_GROWTH","FQ1 2015","FQ1 2015","Currency=INR","Period=FQ","BEST_FPERIOD_OVERRIDE=FQ","FILING_STATUS=OR","EQY_CONSOLIDATED=Y","Sort=A","Dates=H","DateFormat=P","Fill=—","Direction=H","UseDPDF=Y")</f>
        <v>#NAME?</v>
      </c>
      <c r="BO359" s="2" t="e">
        <f ca="1">_xll.BDH($C$353,"TOTAL_ASSETS_SEQUENTIAL_GROWTH","FQ1 2015","FQ1 2015","Currency=INR","Period=FQ","BEST_FPERIOD_OVERRIDE=FQ","FILING_STATUS=OR","EQY_CONSOLIDATED=Y","Sort=A","Dates=H","DateFormat=P","Fill=—","Direction=H","UseDPDF=Y")</f>
        <v>#NAME?</v>
      </c>
      <c r="BP359" s="2" t="e">
        <f ca="1">_xll.BDH($C$353,"MODIFIED_WORKING_CPTL_SEQ_GRWTH","FQ1 2015","FQ1 2015","Currency=INR","Period=FQ","BEST_FPERIOD_OVERRIDE=FQ","FILING_STATUS=OR","EQY_CONSOLIDATED=Y","Sort=A","Dates=H","DateFormat=P","Fill=—","Direction=H","UseDPDF=Y")</f>
        <v>#NAME?</v>
      </c>
      <c r="BQ359" s="2" t="e">
        <f ca="1">_xll.BDH($C$353,"WORKING_CAPITAL_SEQ_GROWTH","FQ1 2015","FQ1 2015","Currency=INR","Period=FQ","BEST_FPERIOD_OVERRIDE=FQ","FILING_STATUS=OR","EQY_CONSOLIDATED=Y","Sort=A","Dates=H","DateFormat=P","Fill=—","Direction=H","UseDPDF=Y")</f>
        <v>#NAME?</v>
      </c>
      <c r="BR359" s="2" t="e">
        <f ca="1">_xll.BDH($C$353,"ACCOUNTS_PAYABLE_SEQ_GROWTH","FQ1 2015","FQ1 2015","Currency=INR","Period=FQ","BEST_FPERIOD_OVERRIDE=FQ","FILING_STATUS=OR","EQY_CONSOLIDATED=Y","Sort=A","Dates=H","DateFormat=P","Fill=—","Direction=H","UseDPDF=Y")</f>
        <v>#NAME?</v>
      </c>
      <c r="BS359" s="2" t="e">
        <f ca="1">_xll.BDH($C$353,"ST_DEBT_SEQUENTIAL_GROWTH","FQ1 2015","FQ1 2015","Currency=INR","Period=FQ","BEST_FPERIOD_OVERRIDE=FQ","FILING_STATUS=OR","EQY_CONSOLIDATED=Y","Sort=A","Dates=H","DateFormat=P","Fill=—","Direction=H","UseDPDF=Y")</f>
        <v>#NAME?</v>
      </c>
      <c r="BT359" s="2" t="e">
        <f ca="1">_xll.BDH($C$353,"TOTAL_DEBT_SEQUENTIAL_GROWTH","FQ1 2015","FQ1 2015","Currency=INR","Period=FQ","BEST_FPERIOD_OVERRIDE=FQ","FILING_STATUS=OR","EQY_CONSOLIDATED=Y","Sort=A","Dates=H","DateFormat=P","Fill=—","Direction=H","UseDPDF=Y")</f>
        <v>#NAME?</v>
      </c>
      <c r="BU359" s="2" t="e">
        <f ca="1">_xll.BDH($C$353,"TOTAL_EQUITY_SEQUENTIAL_GROWTH","FQ1 2015","FQ1 2015","Currency=INR","Period=FQ","BEST_FPERIOD_OVERRIDE=FQ","FILING_STATUS=OR","EQY_CONSOLIDATED=Y","Sort=A","Dates=H","DateFormat=P","Fill=—","Direction=H","UseDPDF=Y")</f>
        <v>#NAME?</v>
      </c>
      <c r="BV359" s="2" t="e">
        <f ca="1">_xll.BDH($C$353,"TOTAL_CAPITAL_SEQUENTIAL_GROWTH","FQ1 2015","FQ1 2015","Currency=INR","Period=FQ","BEST_FPERIOD_OVERRIDE=FQ","FILING_STATUS=OR","EQY_CONSOLIDATED=Y","Sort=A","Dates=H","DateFormat=P","Fill=—","Direction=H","UseDPDF=Y")</f>
        <v>#NAME?</v>
      </c>
      <c r="BW359" s="2" t="e">
        <f ca="1">_xll.BDH($C$353,"BPS_SEQUENTIAL_GROWTH","FQ1 2015","FQ1 2015","Currency=INR","Period=FQ","BEST_FPERIOD_OVERRIDE=FQ","FILING_STATUS=OR","EQY_CONSOLIDATED=Y","Sort=A","Dates=H","DateFormat=P","Fill=—","Direction=H","UseDPDF=Y")</f>
        <v>#NAME?</v>
      </c>
      <c r="BX359" s="2" t="e">
        <f ca="1">_xll.BDH($C$353,"CFO_SEQUENTIAL_GROWTH","FQ1 2015","FQ1 2015","Currency=INR","Period=FQ","BEST_FPERIOD_OVERRIDE=FQ","FILING_STATUS=OR","EQY_CONSOLIDATED=Y","Sort=A","Dates=H","DateFormat=P","Fill=—","Direction=H","UseDPDF=Y")</f>
        <v>#NAME?</v>
      </c>
      <c r="BY359" s="3" t="e">
        <f ca="1">_xll.BDH($C$353,"SHORT_AND_LONG_TERM_DEBT","FQ1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59" s="3" t="e">
        <f ca="1">_xll.BDH($C$353,"BS_ST_BORROW","FQ1 2015","FQ1 2015","Currency=INR","Period=FQ","BEST_FPERIOD_OVERRIDE=FQ","FILING_STATUS=OR","EQY_CONSOLIDATED=Y","SCALING_FORMAT=MLN","Sort=A","Dates=H","DateFormat=P","Fill=—","Direction=H","UseDPDF=Y")</f>
        <v>#NAME?</v>
      </c>
      <c r="CA359" s="3" t="e">
        <f ca="1">_xll.BDH($C$353,"BS_LT_BORROW","FQ1 2015","FQ1 2015","Currency=INR","Period=FQ","BEST_FPERIOD_OVERRIDE=FQ","FILING_STATUS=OR","EQY_CONSOLIDATED=Y","SCALING_FORMAT=MLN","Sort=A","Dates=H","DateFormat=P","Fill=—","Direction=H","UseDPDF=Y")</f>
        <v>#NAME?</v>
      </c>
      <c r="CB359" s="2" t="e">
        <f ca="1">_xll.BDH($C$353,"TOT_DEBT_TO_EBITDA","FQ1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59" s="2" t="e">
        <f ca="1">_xll.BDH($C$353,"NET_DEBT_TO_EBITDA","FQ1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59" s="2" t="e">
        <f ca="1">_xll.BDH($C$353,"TOTAL_DEBT_TO_EBIT","FQ1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59" s="2" t="e">
        <f ca="1">_xll.BDH($C$353,"NET_DEBT_TO_EBIT","FQ1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359" s="2" t="e">
        <f ca="1">_xll.BDH($C$353,"EBITDA_TO_INTEREST_EXPN","FQ1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59" s="2" t="e">
        <f ca="1">_xll.BDH($C$353,"COM_EQY_TO_TOT_ASSET","FQ1 2015","FQ1 2015","Currency=INR","Period=FQ","BEST_FPERIOD_OVERRIDE=FQ","FILING_STATUS=OR","EQY_CONSOLIDATED=Y","Sort=A","Dates=H","DateFormat=P","Fill=—","Direction=H","UseDPDF=Y")</f>
        <v>#NAME?</v>
      </c>
      <c r="CH359" s="2" t="e">
        <f ca="1">_xll.BDH($C$353,"LT_DEBT_TO_TOT_EQY","FQ1 2015","FQ1 2015","Currency=INR","Period=FQ","BEST_FPERIOD_OVERRIDE=FQ","FILING_STATUS=OR","EQY_CONSOLIDATED=Y","Sort=A","Dates=H","DateFormat=P","Fill=—","Direction=H","UseDPDF=Y")</f>
        <v>#NAME?</v>
      </c>
      <c r="CI359" s="2" t="e">
        <f ca="1">_xll.BDH($C$353,"LT_DEBT_TO_TOT_CAP","FQ1 2015","FQ1 2015","Currency=INR","Period=FQ","BEST_FPERIOD_OVERRIDE=FQ","FILING_STATUS=OR","EQY_CONSOLIDATED=Y","Sort=A","Dates=H","DateFormat=P","Fill=—","Direction=H","UseDPDF=Y")</f>
        <v>#NAME?</v>
      </c>
      <c r="CJ359" s="2" t="e">
        <f ca="1">_xll.BDH($C$353,"LT_DEBT_TO_TOT_ASSET","FQ1 2015","FQ1 2015","Currency=INR","Period=FQ","BEST_FPERIOD_OVERRIDE=FQ","FILING_STATUS=OR","EQY_CONSOLIDATED=Y","Sort=A","Dates=H","DateFormat=P","Fill=—","Direction=H","UseDPDF=Y")</f>
        <v>#NAME?</v>
      </c>
      <c r="CK359" s="2" t="e">
        <f ca="1">_xll.BDH($C$353,"TOT_DEBT_TO_TOT_EQY","FQ1 2015","FQ1 2015","Currency=INR","Period=FQ","BEST_FPERIOD_OVERRIDE=FQ","FILING_STATUS=OR","EQY_CONSOLIDATED=Y","Sort=A","Dates=H","DateFormat=P","Fill=—","Direction=H","UseDPDF=Y")</f>
        <v>#NAME?</v>
      </c>
      <c r="CL359" s="2" t="e">
        <f ca="1">_xll.BDH($C$353,"TOT_DEBT_TO_TOT_CAP","FQ1 2015","FQ1 2015","Currency=INR","Period=FQ","BEST_FPERIOD_OVERRIDE=FQ","FILING_STATUS=OR","EQY_CONSOLIDATED=Y","Sort=A","Dates=H","DateFormat=P","Fill=—","Direction=H","UseDPDF=Y")</f>
        <v>#NAME?</v>
      </c>
      <c r="CM359" s="2" t="e">
        <f ca="1">_xll.BDH($C$353,"TOT_DEBT_TO_TOT_ASSET","FQ1 2015","FQ1 2015","Currency=INR","Period=FQ","BEST_FPERIOD_OVERRIDE=FQ","FILING_STATUS=OR","EQY_CONSOLIDATED=Y","Sort=A","Dates=H","DateFormat=P","Fill=—","Direction=H","UseDPDF=Y")</f>
        <v>#NAME?</v>
      </c>
      <c r="CN359" s="2" t="e">
        <f ca="1">_xll.BDH($C$353,"NET_DEBT_TO_SHRHLDR_EQTY","FQ1 2015","FQ1 2015","Currency=INR","Period=FQ","BEST_FPERIOD_OVERRIDE=FQ","FILING_STATUS=OR","EQY_CONSOLIDATED=Y","Sort=A","Dates=H","DateFormat=P","Fill=—","Direction=H","UseDPDF=Y")</f>
        <v>#NAME?</v>
      </c>
      <c r="CO359" s="2" t="e">
        <f ca="1">_xll.BDH($C$353,"NET_DEBT_%_CAPITAL","FQ1 2015","FQ1 2015","Currency=INR","Period=FQ","BEST_FPERIOD_OVERRIDE=FQ","FILING_STATUS=OR","EQY_CONSOLIDATED=Y","Sort=A","Dates=H","DateFormat=P","Fill=—","Direction=H","UseDPDF=Y")</f>
        <v>#NAME?</v>
      </c>
      <c r="CP359" s="3" t="e">
        <f ca="1">_xll.BDH($C$353,"EBITDA","FQ1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59" s="3" t="e">
        <f ca="1">_xll.BDH($C$353,"EBITDA_AFTER_CAPEX","FQ1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59" s="3" t="e">
        <f ca="1">_xll.BDH($C$353,"IS_OPER_INC","FQ1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59" s="2" t="e">
        <f ca="1">_xll.BDH($C$353,"CASH_RATIO","FQ1 2015","FQ1 2015","Currency=INR","Period=FQ","BEST_FPERIOD_OVERRIDE=FQ","FILING_STATUS=OR","EQY_CONSOLIDATED=Y","Sort=A","Dates=H","DateFormat=P","Fill=—","Direction=H","UseDPDF=Y")</f>
        <v>#NAME?</v>
      </c>
      <c r="CT359" s="2" t="e">
        <f ca="1">_xll.BDH($C$353,"CUR_RATIO","FQ1 2015","FQ1 2015","Currency=INR","Period=FQ","BEST_FPERIOD_OVERRIDE=FQ","FILING_STATUS=OR","EQY_CONSOLIDATED=Y","Sort=A","Dates=H","DateFormat=P","Fill=—","Direction=H","UseDPDF=Y")</f>
        <v>#NAME?</v>
      </c>
      <c r="CU359" s="2" t="e">
        <f ca="1">_xll.BDH($C$353,"QUICK_RATIO","FQ1 2015","FQ1 2015","Currency=INR","Period=FQ","BEST_FPERIOD_OVERRIDE=FQ","FILING_STATUS=OR","EQY_CONSOLIDATED=Y","Sort=A","Dates=H","DateFormat=P","Fill=—","Direction=H","UseDPDF=Y")</f>
        <v>#NAME?</v>
      </c>
      <c r="CV359" s="2" t="e">
        <f ca="1">_xll.BDH($C$353,"ALTMAN_Z_SCORE","FQ1 2015","FQ1 2015","Currency=INR","Period=FQ","BEST_FPERIOD_OVERRIDE=FQ","FILING_STATUS=OR","EQY_CONSOLIDATED=Y","Sort=A","Dates=H","DateFormat=P","Fill=—","Direction=H","UseDPDF=Y")</f>
        <v>#NAME?</v>
      </c>
      <c r="CW359" s="4" t="e">
        <f ca="1">_xll.BDH($C$353,"ACCT_RCV_TURN","FQ1 2015","FQ1 2015","Currency=INR","Period=FQ","BEST_FPERIOD_OVERRIDE=FQ","FILING_STATUS=OR","EQY_CONSOLIDATED=Y","FA_ADJUSTED=GAAP","Sort=A","Dates=H","DateFormat=P","Fill=—","Direction=H","UseDPDF=Y")</f>
        <v>#NAME?</v>
      </c>
      <c r="CX359" s="2" t="e">
        <f ca="1">_xll.BDH($C$353,"ACCT_RCV_DAYS","FQ1 2015","FQ1 2015","Currency=INR","Period=FQ","BEST_FPERIOD_OVERRIDE=FQ","FILING_STATUS=OR","EQY_CONSOLIDATED=Y","FA_ADJUSTED=GAAP","Sort=A","Dates=H","DateFormat=P","Fill=—","Direction=H","UseDPDF=Y")</f>
        <v>#NAME?</v>
      </c>
      <c r="CY359" s="4" t="e">
        <f ca="1">_xll.BDH($C$353,"INVENT_TURN","FQ1 2015","FQ1 2015","Currency=INR","Period=FQ","BEST_FPERIOD_OVERRIDE=FQ","FILING_STATUS=OR","EQY_CONSOLIDATED=Y","FA_ADJUSTED=GAAP","Sort=A","Dates=H","DateFormat=P","Fill=—","Direction=H","UseDPDF=Y")</f>
        <v>#NAME?</v>
      </c>
      <c r="CZ359" s="2" t="e">
        <f ca="1">_xll.BDH($C$353,"INVENT_DAYS","FQ1 2015","FQ1 2015","Currency=INR","Period=FQ","BEST_FPERIOD_OVERRIDE=FQ","FILING_STATUS=OR","EQY_CONSOLIDATED=Y","FA_ADJUSTED=GAAP","Sort=A","Dates=H","DateFormat=P","Fill=—","Direction=H","UseDPDF=Y")</f>
        <v>#NAME?</v>
      </c>
      <c r="DA359" s="4" t="e">
        <f ca="1">_xll.BDH($C$353,"ACCOUNTS_PAYABLE_TURNOVER","FQ1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59" s="2" t="e">
        <f ca="1">_xll.BDH($C$353,"ACCOUNTS_PAYABLE_TURNOVER_DAYS","FQ1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59" s="4" t="e">
        <f ca="1">_xll.BDH($C$353,"CASH_CONVERSION_CYCLE","FQ1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59" s="4" t="e">
        <f ca="1">_xll.BDH($C$353,"INV_TO_CASH_DAYS","FQ1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359" s="5" t="e">
        <f ca="1">_xll.BDH($C$353,"BS_INVENTORIES","FQ1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359" s="3" t="e">
        <f ca="1">_xll.BDH($C$353,"INVTRY_RAW_MATERIALS","FQ1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59" s="3" t="e">
        <f ca="1">_xll.BDH($C$353,"INVTRY_IN_PROGRESS","FQ1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59" s="3" t="e">
        <f ca="1">_xll.BDH($C$353,"INVTRY_FINISHED_GOODS","FQ1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59" s="3" t="e">
        <f ca="1">_xll.BDH($C$353,"BS_OTHER_INV","FQ1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60" spans="1:113" x14ac:dyDescent="0.3">
      <c r="A360" s="6"/>
      <c r="B360" s="6"/>
      <c r="C360" s="6"/>
      <c r="D360" s="6"/>
      <c r="E360" t="s">
        <v>79</v>
      </c>
      <c r="F360" t="e">
        <f ca="1">_xll.BDH($C$353,"RETURN_COM_EQY","FQ2 2015","FQ2 2015","Currency=INR","Period=FQ","BEST_FPERIOD_OVERRIDE=FQ","FILING_STATUS=OR","EQY_CONSOLIDATED=Y","FA_ADJUSTED=GAAP","Sort=A","Dates=H","DateFormat=P","Fill=—","Direction=H","UseDPDF=Y")</f>
        <v>#NAME?</v>
      </c>
      <c r="G360" t="e">
        <f ca="1">_xll.BDH($C$353,"RETURN_ON_ASSET","FQ2 2015","FQ2 2015","Currency=INR","Period=FQ","BEST_FPERIOD_OVERRIDE=FQ","FILING_STATUS=OR","EQY_CONSOLIDATED=Y","FA_ADJUSTED=GAAP","Sort=A","Dates=H","DateFormat=P","Fill=—","Direction=H","UseDPDF=Y")</f>
        <v>#NAME?</v>
      </c>
      <c r="H360" t="e">
        <f ca="1">_xll.BDH($C$353,"RETURN_ON_CAP","FQ2 2015","FQ2 2015","Currency=INR","Period=FQ","BEST_FPERIOD_OVERRIDE=FQ","FILING_STATUS=OR","EQY_CONSOLIDATED=Y","FA_ADJUSTED=GAAP","Sort=A","Dates=H","DateFormat=P","Fill=—","Direction=H","UseDPDF=Y")</f>
        <v>#NAME?</v>
      </c>
      <c r="I360" t="e">
        <f ca="1">_xll.BDH($C$353,"RETURN_ON_INV_CAPITAL","FQ2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60" t="e">
        <f ca="1">_xll.BDH($C$353,"EBITDA_TO_REVENUE","FQ2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360" t="e">
        <f ca="1">_xll.BDH($C$353,"OPER_MARGIN","FQ2 2015","FQ2 2015","Currency=INR","Period=FQ","BEST_FPERIOD_OVERRIDE=FQ","FILING_STATUS=OR","EQY_CONSOLIDATED=Y","FA_ADJUSTED=GAAP","Sort=A","Dates=H","DateFormat=P","Fill=—","Direction=H","UseDPDF=Y")</f>
        <v>#NAME?</v>
      </c>
      <c r="L360" t="e">
        <f ca="1">_xll.BDH($C$353,"INCREMENTAL_OPERATING_MARGIN","FQ2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60" t="e">
        <f ca="1">_xll.BDH($C$353,"PRETAX_INC_TO_NET_SALES","FQ2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60" t="e">
        <f ca="1">_xll.BDH($C$353,"INC_BEF_XO_ITEMS_TO_NET_SALES","FQ2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60" t="e">
        <f ca="1">_xll.BDH($C$353,"PROF_MARGIN","FQ2 2015","FQ2 2015","Currency=INR","Period=FQ","BEST_FPERIOD_OVERRIDE=FQ","FILING_STATUS=OR","EQY_CONSOLIDATED=Y","FA_ADJUSTED=GAAP","Sort=A","Dates=H","DateFormat=P","Fill=—","Direction=H","UseDPDF=Y")</f>
        <v>#NAME?</v>
      </c>
      <c r="P360" t="e">
        <f ca="1">_xll.BDH($C$353,"NET_INCOME_TO_COMMON_MARGIN","FQ2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60" t="e">
        <f ca="1">_xll.BDH($C$353,"EFF_TAX_RATE","FQ2 2015","FQ2 2015","Currency=INR","Period=FQ","BEST_FPERIOD_OVERRIDE=FQ","FILING_STATUS=OR","EQY_CONSOLIDATED=Y","FA_ADJUSTED=GAAP","Sort=A","Dates=H","DateFormat=P","Fill=—","Direction=H","UseDPDF=Y")</f>
        <v>#NAME?</v>
      </c>
      <c r="R360" t="e">
        <f ca="1">_xll.BDH($C$353,"DVD_PAYOUT_RATIO","FQ2 2015","FQ2 2015","Currency=INR","Period=FQ","BEST_FPERIOD_OVERRIDE=FQ","FILING_STATUS=OR","EQY_CONSOLIDATED=Y","FA_ADJUSTED=GAAP","Sort=A","Dates=H","DateFormat=P","Fill=—","Direction=H","UseDPDF=Y")</f>
        <v>#NAME?</v>
      </c>
      <c r="S360" t="e">
        <f ca="1">_xll.BDH($C$353,"SUSTAIN_GROWTH_RT","FQ2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360" s="2" t="e">
        <f ca="1">_xll.BDH($C$353,"SALES_GROWTH","FQ2 2015","FQ2 2015","Currency=INR","Period=FQ","BEST_FPERIOD_OVERRIDE=FQ","FILING_STATUS=OR","EQY_CONSOLIDATED=Y","FA_ADJUSTED=GAAP","Sort=A","Dates=H","DateFormat=P","Fill=—","Direction=H","UseDPDF=Y")</f>
        <v>#NAME?</v>
      </c>
      <c r="U360" s="2" t="e">
        <f ca="1">_xll.BDH($C$353,"EBITDA_GROWTH","FQ2 2015","FQ2 2015","Currency=INR","Period=FQ","BEST_FPERIOD_OVERRIDE=FQ","FILING_STATUS=OR","EQY_CONSOLIDATED=Y","FA_ADJUSTED=GAAP","Sort=A","Dates=H","DateFormat=P","Fill=—","Direction=H","UseDPDF=Y")</f>
        <v>#NAME?</v>
      </c>
      <c r="V360" s="2" t="e">
        <f ca="1">_xll.BDH($C$353,"OPER_INC_GROWTH","FQ2 2015","FQ2 2015","Currency=INR","Period=FQ","BEST_FPERIOD_OVERRIDE=FQ","FILING_STATUS=OR","EQY_CONSOLIDATED=Y","FA_ADJUSTED=GAAP","Sort=A","Dates=H","DateFormat=P","Fill=—","Direction=H","UseDPDF=Y")</f>
        <v>#NAME?</v>
      </c>
      <c r="W360" s="2" t="e">
        <f ca="1">_xll.BDH($C$353,"EARN_FOR_COM_GROWTH","FQ2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60" s="2" t="e">
        <f ca="1">_xll.BDH($C$353,"DILUTED_EPS_AFT_XO_ITEMS_GROWTH","FQ2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60" s="2" t="e">
        <f ca="1">_xll.BDH($C$353,"DIVIDEND_PER_SHARE_1_YEAR_GROWTH","FQ2 2015","FQ2 2015","Currency=INR","Period=FQ","BEST_FPERIOD_OVERRIDE=FQ","FILING_STATUS=OR","EQY_CONSOLIDATED=Y","Sort=A","Dates=H","DateFormat=P","Fill=—","Direction=H","UseDPDF=Y")</f>
        <v>#NAME?</v>
      </c>
      <c r="Z360" s="2" t="e">
        <f ca="1">_xll.BDH($C$353,"ACCOUNTS_RECEIVABLE_GROWTH","FQ2 2015","FQ2 2015","Currency=INR","Period=FQ","BEST_FPERIOD_OVERRIDE=FQ","FILING_STATUS=OR","EQY_CONSOLIDATED=Y","Sort=A","Dates=H","DateFormat=P","Fill=—","Direction=H","UseDPDF=Y")</f>
        <v>#NAME?</v>
      </c>
      <c r="AA360" s="2" t="e">
        <f ca="1">_xll.BDH($C$353,"INVENTORY_GROWTH","FQ2 2015","FQ2 2015","Currency=INR","Period=FQ","BEST_FPERIOD_OVERRIDE=FQ","FILING_STATUS=OR","EQY_CONSOLIDATED=Y","Sort=A","Dates=H","DateFormat=P","Fill=—","Direction=H","UseDPDF=Y")</f>
        <v>#NAME?</v>
      </c>
      <c r="AB360" s="2" t="e">
        <f ca="1">_xll.BDH($C$353,"NET_FIXED_ASSETS_1_YEAR_GROWTH","FQ2 2015","FQ2 2015","Currency=INR","Period=FQ","BEST_FPERIOD_OVERRIDE=FQ","FILING_STATUS=OR","EQY_CONSOLIDATED=Y","Sort=A","Dates=H","DateFormat=P","Fill=—","Direction=H","UseDPDF=Y")</f>
        <v>#NAME?</v>
      </c>
      <c r="AC360" s="2" t="e">
        <f ca="1">_xll.BDH($C$353,"ASSET_GROWTH","FQ2 2015","FQ2 2015","Currency=INR","Period=FQ","BEST_FPERIOD_OVERRIDE=FQ","FILING_STATUS=OR","EQY_CONSOLIDATED=Y","Sort=A","Dates=H","DateFormat=P","Fill=—","Direction=H","UseDPDF=Y")</f>
        <v>#NAME?</v>
      </c>
      <c r="AD360" s="2" t="e">
        <f ca="1">_xll.BDH($C$353,"MODIFIED_WORK_CAP_GROWTH","FQ2 2015","FQ2 2015","Currency=INR","Period=FQ","BEST_FPERIOD_OVERRIDE=FQ","FILING_STATUS=OR","EQY_CONSOLIDATED=Y","Sort=A","Dates=H","DateFormat=P","Fill=—","Direction=H","UseDPDF=Y")</f>
        <v>#NAME?</v>
      </c>
      <c r="AE360" s="2" t="e">
        <f ca="1">_xll.BDH($C$353,"WORK_CAP_GROWTH","FQ2 2015","FQ2 2015","Currency=INR","Period=FQ","BEST_FPERIOD_OVERRIDE=FQ","FILING_STATUS=OR","EQY_CONSOLIDATED=Y","Sort=A","Dates=H","DateFormat=P","Fill=—","Direction=H","UseDPDF=Y")</f>
        <v>#NAME?</v>
      </c>
      <c r="AF360" s="2" t="e">
        <f ca="1">_xll.BDH($C$353,"ACCOUNTS_PAYABLE_GROWTH_1YR","FQ2 2015","FQ2 2015","Currency=INR","Period=FQ","BEST_FPERIOD_OVERRIDE=FQ","FILING_STATUS=OR","EQY_CONSOLIDATED=Y","Sort=A","Dates=H","DateFormat=P","Fill=—","Direction=H","UseDPDF=Y")</f>
        <v>#NAME?</v>
      </c>
      <c r="AG360" s="2" t="e">
        <f ca="1">_xll.BDH($C$353,"SHORT_TERM_DEBT_1_YEAR_GROWTH","FQ2 2015","FQ2 2015","Currency=INR","Period=FQ","BEST_FPERIOD_OVERRIDE=FQ","FILING_STATUS=OR","EQY_CONSOLIDATED=Y","Sort=A","Dates=H","DateFormat=P","Fill=—","Direction=H","UseDPDF=Y")</f>
        <v>#NAME?</v>
      </c>
      <c r="AH360" s="2" t="e">
        <f ca="1">_xll.BDH($C$353,"TOTAL_DEBT_1_YEAR_GROWTH","FQ2 2015","FQ2 2015","Currency=INR","Period=FQ","BEST_FPERIOD_OVERRIDE=FQ","FILING_STATUS=OR","EQY_CONSOLIDATED=Y","Sort=A","Dates=H","DateFormat=P","Fill=—","Direction=H","UseDPDF=Y")</f>
        <v>#NAME?</v>
      </c>
      <c r="AI360" s="2" t="e">
        <f ca="1">_xll.BDH($C$353,"TOTAL_EQUITY_1_YEAR_GROWTH","FQ2 2015","FQ2 2015","Currency=INR","Period=FQ","BEST_FPERIOD_OVERRIDE=FQ","FILING_STATUS=OR","EQY_CONSOLIDATED=Y","Sort=A","Dates=H","DateFormat=P","Fill=—","Direction=H","UseDPDF=Y")</f>
        <v>#NAME?</v>
      </c>
      <c r="AJ360" s="2" t="e">
        <f ca="1">_xll.BDH($C$353,"GROWTH_IN_CAP","FQ2 2015","FQ2 2015","Currency=INR","Period=FQ","BEST_FPERIOD_OVERRIDE=FQ","FILING_STATUS=OR","EQY_CONSOLIDATED=Y","Sort=A","Dates=H","DateFormat=P","Fill=—","Direction=H","UseDPDF=Y")</f>
        <v>#NAME?</v>
      </c>
      <c r="AK360" s="2" t="e">
        <f ca="1">_xll.BDH($C$353,"BVPS_GROWTH","FQ2 2015","FQ2 2015","Currency=INR","Period=FQ","BEST_FPERIOD_OVERRIDE=FQ","FILING_STATUS=OR","EQY_CONSOLIDATED=Y","Sort=A","Dates=H","DateFormat=P","Fill=—","Direction=H","UseDPDF=Y")</f>
        <v>#NAME?</v>
      </c>
      <c r="AL360" s="2" t="e">
        <f ca="1">_xll.BDH($C$353,"CASH_FLOW_GROWTH","FQ2 2015","FQ2 2015","Currency=INR","Period=FQ","BEST_FPERIOD_OVERRIDE=FQ","FILING_STATUS=OR","EQY_CONSOLIDATED=Y","Sort=A","Dates=H","DateFormat=P","Fill=—","Direction=H","UseDPDF=Y")</f>
        <v>#NAME?</v>
      </c>
      <c r="AM360" s="2" t="e">
        <f ca="1">_xll.BDH($C$353,"GEO_GROW_NET_SALES","FQ2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60" s="2" t="e">
        <f ca="1">_xll.BDH($C$353,"GEO_GROW_EBITDA","FQ2 2015","FQ2 2015","Currency=INR","Period=FQ","BEST_FPERIOD_OVERRIDE=FQ","FILING_STATUS=OR","EQY_CONSOLIDATED=Y","FA_ADJUSTED=GAAP","Sort=A","Dates=H","DateFormat=P","Fill=—","Direction=H","UseDPDF=Y")</f>
        <v>#NAME?</v>
      </c>
      <c r="AO360" s="2" t="e">
        <f ca="1">_xll.BDH($C$353,"GEO_GROW_OPER_INC","FQ2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60" s="2" t="e">
        <f ca="1">_xll.BDH($C$353,"NET_INCOME_TO_COMMON_5_YR_GROWTH","FQ2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60" s="2" t="e">
        <f ca="1">_xll.BDH($C$353,"5Y_GEO_GROWTH_DILUTED_EPS","FQ2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60" s="2" t="e">
        <f ca="1">_xll.BDH($C$353,"GEO_GROW_DVD_PER_SH","FQ2 2015","FQ2 2015","Currency=INR","Period=FQ","BEST_FPERIOD_OVERRIDE=FQ","FILING_STATUS=OR","EQY_CONSOLIDATED=Y","Sort=A","Dates=H","DateFormat=P","Fill=—","Direction=H","UseDPDF=Y")</f>
        <v>#NAME?</v>
      </c>
      <c r="AS360" s="2" t="e">
        <f ca="1">_xll.BDH($C$353,"ACCOUNTS_RECEIVABLE_5_YR_GROWTH","FQ2 2015","FQ2 2015","Currency=INR","Period=FQ","BEST_FPERIOD_OVERRIDE=FQ","FILING_STATUS=OR","EQY_CONSOLIDATED=Y","Sort=A","Dates=H","DateFormat=P","Fill=—","Direction=H","UseDPDF=Y")</f>
        <v>#NAME?</v>
      </c>
      <c r="AT360" s="2" t="e">
        <f ca="1">_xll.BDH($C$353,"INVENTORY_5_YEAR_GROWTH","FQ2 2015","FQ2 2015","Currency=INR","Period=FQ","BEST_FPERIOD_OVERRIDE=FQ","FILING_STATUS=OR","EQY_CONSOLIDATED=Y","Sort=A","Dates=H","DateFormat=P","Fill=—","Direction=H","UseDPDF=Y")</f>
        <v>#NAME?</v>
      </c>
      <c r="AU360" s="2" t="e">
        <f ca="1">_xll.BDH($C$353,"NET_FIXED_ASSETS_5_YEAR_GROWTH","FQ2 2015","FQ2 2015","Currency=INR","Period=FQ","BEST_FPERIOD_OVERRIDE=FQ","FILING_STATUS=OR","EQY_CONSOLIDATED=Y","Sort=A","Dates=H","DateFormat=P","Fill=—","Direction=H","UseDPDF=Y")</f>
        <v>#NAME?</v>
      </c>
      <c r="AV360" s="2" t="e">
        <f ca="1">_xll.BDH($C$353,"GEO_GROW_TOT_ASSET","FQ2 2015","FQ2 2015","Currency=INR","Period=FQ","BEST_FPERIOD_OVERRIDE=FQ","FILING_STATUS=OR","EQY_CONSOLIDATED=Y","Sort=A","Dates=H","DateFormat=P","Fill=—","Direction=H","UseDPDF=Y")</f>
        <v>#NAME?</v>
      </c>
      <c r="AW360" s="2" t="e">
        <f ca="1">_xll.BDH($C$353,"MODIFIED_WORKING_CPTL_5YR_GRWTH","FQ2 2015","FQ2 2015","Currency=INR","Period=FQ","BEST_FPERIOD_OVERRIDE=FQ","FILING_STATUS=OR","EQY_CONSOLIDATED=Y","Sort=A","Dates=H","DateFormat=P","Fill=—","Direction=H","UseDPDF=Y")</f>
        <v>#NAME?</v>
      </c>
      <c r="AX360" s="2" t="e">
        <f ca="1">_xll.BDH($C$353,"WORKING_CAPITAL_5_YEAR_GROWTH","FQ2 2015","FQ2 2015","Currency=INR","Period=FQ","BEST_FPERIOD_OVERRIDE=FQ","FILING_STATUS=OR","EQY_CONSOLIDATED=Y","Sort=A","Dates=H","DateFormat=P","Fill=—","Direction=H","UseDPDF=Y")</f>
        <v>#NAME?</v>
      </c>
      <c r="AY360" s="2" t="e">
        <f ca="1">_xll.BDH($C$353,"ACCOUNTS_PAYABLE_5_YEAR_GROWTH","FQ2 2015","FQ2 2015","Currency=INR","Period=FQ","BEST_FPERIOD_OVERRIDE=FQ","FILING_STATUS=OR","EQY_CONSOLIDATED=Y","Sort=A","Dates=H","DateFormat=P","Fill=—","Direction=H","UseDPDF=Y")</f>
        <v>#NAME?</v>
      </c>
      <c r="AZ360" s="2" t="e">
        <f ca="1">_xll.BDH($C$353,"SHORT_TERM_DEBT_5_YEAR_GROWTH","FQ2 2015","FQ2 2015","Currency=INR","Period=FQ","BEST_FPERIOD_OVERRIDE=FQ","FILING_STATUS=OR","EQY_CONSOLIDATED=Y","Sort=A","Dates=H","DateFormat=P","Fill=—","Direction=H","UseDPDF=Y")</f>
        <v>#NAME?</v>
      </c>
      <c r="BA360" s="2" t="e">
        <f ca="1">_xll.BDH($C$353,"TOTAL_DEBT_5_YEAR_GROWTH","FQ2 2015","FQ2 2015","Currency=INR","Period=FQ","BEST_FPERIOD_OVERRIDE=FQ","FILING_STATUS=OR","EQY_CONSOLIDATED=Y","Sort=A","Dates=H","DateFormat=P","Fill=—","Direction=H","UseDPDF=Y")</f>
        <v>#NAME?</v>
      </c>
      <c r="BB360" s="2" t="e">
        <f ca="1">_xll.BDH($C$353,"GEO_GROW_TOT_SHRHLDR_EQY","FQ2 2015","FQ2 2015","Currency=INR","Period=FQ","BEST_FPERIOD_OVERRIDE=FQ","FILING_STATUS=OR","EQY_CONSOLIDATED=Y","Sort=A","Dates=H","DateFormat=P","Fill=—","Direction=H","UseDPDF=Y")</f>
        <v>#NAME?</v>
      </c>
      <c r="BC360" s="2" t="e">
        <f ca="1">_xll.BDH($C$353,"TOTAL_CAPITAL_5_YEAR_GROWTH","FQ2 2015","FQ2 2015","Currency=INR","Period=FQ","BEST_FPERIOD_OVERRIDE=FQ","FILING_STATUS=OR","EQY_CONSOLIDATED=Y","Sort=A","Dates=H","DateFormat=P","Fill=—","Direction=H","UseDPDF=Y")</f>
        <v>#NAME?</v>
      </c>
      <c r="BD360" s="2" t="e">
        <f ca="1">_xll.BDH($C$353,"GEO_GROW_BOOK_VAL","FQ2 2015","FQ2 2015","Currency=INR","Period=FQ","BEST_FPERIOD_OVERRIDE=FQ","FILING_STATUS=OR","EQY_CONSOLIDATED=Y","Sort=A","Dates=H","DateFormat=P","Fill=—","Direction=H","UseDPDF=Y")</f>
        <v>#NAME?</v>
      </c>
      <c r="BE360" s="2" t="e">
        <f ca="1">_xll.BDH($C$353,"GEO_GROW_CASH_OPER_ACT","FQ2 2015","FQ2 2015","Currency=INR","Period=FQ","BEST_FPERIOD_OVERRIDE=FQ","FILING_STATUS=OR","EQY_CONSOLIDATED=Y","Sort=A","Dates=H","DateFormat=P","Fill=—","Direction=H","UseDPDF=Y")</f>
        <v>#NAME?</v>
      </c>
      <c r="BF360" s="2" t="e">
        <f ca="1">_xll.BDH($C$353,"REVENUE_SEQUENTIAL_GROWTH","FQ2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60" s="2" t="e">
        <f ca="1">_xll.BDH($C$353,"EBITDA_SEQUENTIAL_GROWTH","FQ2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60" s="2" t="e">
        <f ca="1">_xll.BDH($C$353,"OPERATING_INCOME_SEQ_GROWTH","FQ2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60" s="2" t="e">
        <f ca="1">_xll.BDH($C$353,"NET_INCOME_TO_COMMON_SEQ_GROWTH","FQ2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60" s="2" t="e">
        <f ca="1">_xll.BDH($C$353,"EPS_DILUTED_SEQUENTIAL_GROWTH","FQ2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60" s="2" t="e">
        <f ca="1">_xll.BDH($C$353,"DPS_SEQUENTIAL_GROWTH","FQ2 2015","FQ2 2015","Currency=INR","Period=FQ","BEST_FPERIOD_OVERRIDE=FQ","FILING_STATUS=OR","EQY_CONSOLIDATED=Y","Sort=A","Dates=H","DateFormat=P","Fill=—","Direction=H","UseDPDF=Y")</f>
        <v>#NAME?</v>
      </c>
      <c r="BL360" s="2" t="e">
        <f ca="1">_xll.BDH($C$353,"ACCOUNTS_RECEIVABLE_SEQ_GROWTH","FQ2 2015","FQ2 2015","Currency=INR","Period=FQ","BEST_FPERIOD_OVERRIDE=FQ","FILING_STATUS=OR","EQY_CONSOLIDATED=Y","Sort=A","Dates=H","DateFormat=P","Fill=—","Direction=H","UseDPDF=Y")</f>
        <v>#NAME?</v>
      </c>
      <c r="BM360" s="2" t="e">
        <f ca="1">_xll.BDH($C$353,"INVENTORY_SEQUENTIAL_GROWTH","FQ2 2015","FQ2 2015","Currency=INR","Period=FQ","BEST_FPERIOD_OVERRIDE=FQ","FILING_STATUS=OR","EQY_CONSOLIDATED=Y","Sort=A","Dates=H","DateFormat=P","Fill=—","Direction=H","UseDPDF=Y")</f>
        <v>#NAME?</v>
      </c>
      <c r="BN360" s="2" t="e">
        <f ca="1">_xll.BDH($C$353,"FIXED_ASSETS_SEQUENTIAL_GROWTH","FQ2 2015","FQ2 2015","Currency=INR","Period=FQ","BEST_FPERIOD_OVERRIDE=FQ","FILING_STATUS=OR","EQY_CONSOLIDATED=Y","Sort=A","Dates=H","DateFormat=P","Fill=—","Direction=H","UseDPDF=Y")</f>
        <v>#NAME?</v>
      </c>
      <c r="BO360" s="2" t="e">
        <f ca="1">_xll.BDH($C$353,"TOTAL_ASSETS_SEQUENTIAL_GROWTH","FQ2 2015","FQ2 2015","Currency=INR","Period=FQ","BEST_FPERIOD_OVERRIDE=FQ","FILING_STATUS=OR","EQY_CONSOLIDATED=Y","Sort=A","Dates=H","DateFormat=P","Fill=—","Direction=H","UseDPDF=Y")</f>
        <v>#NAME?</v>
      </c>
      <c r="BP360" s="2" t="e">
        <f ca="1">_xll.BDH($C$353,"MODIFIED_WORKING_CPTL_SEQ_GRWTH","FQ2 2015","FQ2 2015","Currency=INR","Period=FQ","BEST_FPERIOD_OVERRIDE=FQ","FILING_STATUS=OR","EQY_CONSOLIDATED=Y","Sort=A","Dates=H","DateFormat=P","Fill=—","Direction=H","UseDPDF=Y")</f>
        <v>#NAME?</v>
      </c>
      <c r="BQ360" s="2" t="e">
        <f ca="1">_xll.BDH($C$353,"WORKING_CAPITAL_SEQ_GROWTH","FQ2 2015","FQ2 2015","Currency=INR","Period=FQ","BEST_FPERIOD_OVERRIDE=FQ","FILING_STATUS=OR","EQY_CONSOLIDATED=Y","Sort=A","Dates=H","DateFormat=P","Fill=—","Direction=H","UseDPDF=Y")</f>
        <v>#NAME?</v>
      </c>
      <c r="BR360" s="2" t="e">
        <f ca="1">_xll.BDH($C$353,"ACCOUNTS_PAYABLE_SEQ_GROWTH","FQ2 2015","FQ2 2015","Currency=INR","Period=FQ","BEST_FPERIOD_OVERRIDE=FQ","FILING_STATUS=OR","EQY_CONSOLIDATED=Y","Sort=A","Dates=H","DateFormat=P","Fill=—","Direction=H","UseDPDF=Y")</f>
        <v>#NAME?</v>
      </c>
      <c r="BS360" s="2" t="e">
        <f ca="1">_xll.BDH($C$353,"ST_DEBT_SEQUENTIAL_GROWTH","FQ2 2015","FQ2 2015","Currency=INR","Period=FQ","BEST_FPERIOD_OVERRIDE=FQ","FILING_STATUS=OR","EQY_CONSOLIDATED=Y","Sort=A","Dates=H","DateFormat=P","Fill=—","Direction=H","UseDPDF=Y")</f>
        <v>#NAME?</v>
      </c>
      <c r="BT360" s="2" t="e">
        <f ca="1">_xll.BDH($C$353,"TOTAL_DEBT_SEQUENTIAL_GROWTH","FQ2 2015","FQ2 2015","Currency=INR","Period=FQ","BEST_FPERIOD_OVERRIDE=FQ","FILING_STATUS=OR","EQY_CONSOLIDATED=Y","Sort=A","Dates=H","DateFormat=P","Fill=—","Direction=H","UseDPDF=Y")</f>
        <v>#NAME?</v>
      </c>
      <c r="BU360" s="2" t="e">
        <f ca="1">_xll.BDH($C$353,"TOTAL_EQUITY_SEQUENTIAL_GROWTH","FQ2 2015","FQ2 2015","Currency=INR","Period=FQ","BEST_FPERIOD_OVERRIDE=FQ","FILING_STATUS=OR","EQY_CONSOLIDATED=Y","Sort=A","Dates=H","DateFormat=P","Fill=—","Direction=H","UseDPDF=Y")</f>
        <v>#NAME?</v>
      </c>
      <c r="BV360" s="2" t="e">
        <f ca="1">_xll.BDH($C$353,"TOTAL_CAPITAL_SEQUENTIAL_GROWTH","FQ2 2015","FQ2 2015","Currency=INR","Period=FQ","BEST_FPERIOD_OVERRIDE=FQ","FILING_STATUS=OR","EQY_CONSOLIDATED=Y","Sort=A","Dates=H","DateFormat=P","Fill=—","Direction=H","UseDPDF=Y")</f>
        <v>#NAME?</v>
      </c>
      <c r="BW360" s="2" t="e">
        <f ca="1">_xll.BDH($C$353,"BPS_SEQUENTIAL_GROWTH","FQ2 2015","FQ2 2015","Currency=INR","Period=FQ","BEST_FPERIOD_OVERRIDE=FQ","FILING_STATUS=OR","EQY_CONSOLIDATED=Y","Sort=A","Dates=H","DateFormat=P","Fill=—","Direction=H","UseDPDF=Y")</f>
        <v>#NAME?</v>
      </c>
      <c r="BX360" s="2" t="e">
        <f ca="1">_xll.BDH($C$353,"CFO_SEQUENTIAL_GROWTH","FQ2 2015","FQ2 2015","Currency=INR","Period=FQ","BEST_FPERIOD_OVERRIDE=FQ","FILING_STATUS=OR","EQY_CONSOLIDATED=Y","Sort=A","Dates=H","DateFormat=P","Fill=—","Direction=H","UseDPDF=Y")</f>
        <v>#NAME?</v>
      </c>
      <c r="BY360" s="3" t="e">
        <f ca="1">_xll.BDH($C$353,"SHORT_AND_LONG_TERM_DEBT","FQ2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60" s="3" t="e">
        <f ca="1">_xll.BDH($C$353,"BS_ST_BORROW","FQ2 2015","FQ2 2015","Currency=INR","Period=FQ","BEST_FPERIOD_OVERRIDE=FQ","FILING_STATUS=OR","EQY_CONSOLIDATED=Y","SCALING_FORMAT=MLN","Sort=A","Dates=H","DateFormat=P","Fill=—","Direction=H","UseDPDF=Y")</f>
        <v>#NAME?</v>
      </c>
      <c r="CA360" s="3" t="e">
        <f ca="1">_xll.BDH($C$353,"BS_LT_BORROW","FQ2 2015","FQ2 2015","Currency=INR","Period=FQ","BEST_FPERIOD_OVERRIDE=FQ","FILING_STATUS=OR","EQY_CONSOLIDATED=Y","SCALING_FORMAT=MLN","Sort=A","Dates=H","DateFormat=P","Fill=—","Direction=H","UseDPDF=Y")</f>
        <v>#NAME?</v>
      </c>
      <c r="CB360" s="2" t="e">
        <f ca="1">_xll.BDH($C$353,"TOT_DEBT_TO_EBITDA","FQ2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60" s="2" t="e">
        <f ca="1">_xll.BDH($C$353,"NET_DEBT_TO_EBITDA","FQ2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60" s="2" t="e">
        <f ca="1">_xll.BDH($C$353,"TOTAL_DEBT_TO_EBIT","FQ2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60" s="2" t="e">
        <f ca="1">_xll.BDH($C$353,"NET_DEBT_TO_EBIT","FQ2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360" s="2" t="e">
        <f ca="1">_xll.BDH($C$353,"EBITDA_TO_INTEREST_EXPN","FQ2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60" s="2" t="e">
        <f ca="1">_xll.BDH($C$353,"COM_EQY_TO_TOT_ASSET","FQ2 2015","FQ2 2015","Currency=INR","Period=FQ","BEST_FPERIOD_OVERRIDE=FQ","FILING_STATUS=OR","EQY_CONSOLIDATED=Y","Sort=A","Dates=H","DateFormat=P","Fill=—","Direction=H","UseDPDF=Y")</f>
        <v>#NAME?</v>
      </c>
      <c r="CH360" s="2" t="e">
        <f ca="1">_xll.BDH($C$353,"LT_DEBT_TO_TOT_EQY","FQ2 2015","FQ2 2015","Currency=INR","Period=FQ","BEST_FPERIOD_OVERRIDE=FQ","FILING_STATUS=OR","EQY_CONSOLIDATED=Y","Sort=A","Dates=H","DateFormat=P","Fill=—","Direction=H","UseDPDF=Y")</f>
        <v>#NAME?</v>
      </c>
      <c r="CI360" s="2" t="e">
        <f ca="1">_xll.BDH($C$353,"LT_DEBT_TO_TOT_CAP","FQ2 2015","FQ2 2015","Currency=INR","Period=FQ","BEST_FPERIOD_OVERRIDE=FQ","FILING_STATUS=OR","EQY_CONSOLIDATED=Y","Sort=A","Dates=H","DateFormat=P","Fill=—","Direction=H","UseDPDF=Y")</f>
        <v>#NAME?</v>
      </c>
      <c r="CJ360" s="2" t="e">
        <f ca="1">_xll.BDH($C$353,"LT_DEBT_TO_TOT_ASSET","FQ2 2015","FQ2 2015","Currency=INR","Period=FQ","BEST_FPERIOD_OVERRIDE=FQ","FILING_STATUS=OR","EQY_CONSOLIDATED=Y","Sort=A","Dates=H","DateFormat=P","Fill=—","Direction=H","UseDPDF=Y")</f>
        <v>#NAME?</v>
      </c>
      <c r="CK360" s="2" t="e">
        <f ca="1">_xll.BDH($C$353,"TOT_DEBT_TO_TOT_EQY","FQ2 2015","FQ2 2015","Currency=INR","Period=FQ","BEST_FPERIOD_OVERRIDE=FQ","FILING_STATUS=OR","EQY_CONSOLIDATED=Y","Sort=A","Dates=H","DateFormat=P","Fill=—","Direction=H","UseDPDF=Y")</f>
        <v>#NAME?</v>
      </c>
      <c r="CL360" s="2" t="e">
        <f ca="1">_xll.BDH($C$353,"TOT_DEBT_TO_TOT_CAP","FQ2 2015","FQ2 2015","Currency=INR","Period=FQ","BEST_FPERIOD_OVERRIDE=FQ","FILING_STATUS=OR","EQY_CONSOLIDATED=Y","Sort=A","Dates=H","DateFormat=P","Fill=—","Direction=H","UseDPDF=Y")</f>
        <v>#NAME?</v>
      </c>
      <c r="CM360" s="2" t="e">
        <f ca="1">_xll.BDH($C$353,"TOT_DEBT_TO_TOT_ASSET","FQ2 2015","FQ2 2015","Currency=INR","Period=FQ","BEST_FPERIOD_OVERRIDE=FQ","FILING_STATUS=OR","EQY_CONSOLIDATED=Y","Sort=A","Dates=H","DateFormat=P","Fill=—","Direction=H","UseDPDF=Y")</f>
        <v>#NAME?</v>
      </c>
      <c r="CN360" s="2" t="e">
        <f ca="1">_xll.BDH($C$353,"NET_DEBT_TO_SHRHLDR_EQTY","FQ2 2015","FQ2 2015","Currency=INR","Period=FQ","BEST_FPERIOD_OVERRIDE=FQ","FILING_STATUS=OR","EQY_CONSOLIDATED=Y","Sort=A","Dates=H","DateFormat=P","Fill=—","Direction=H","UseDPDF=Y")</f>
        <v>#NAME?</v>
      </c>
      <c r="CO360" s="2" t="e">
        <f ca="1">_xll.BDH($C$353,"NET_DEBT_%_CAPITAL","FQ2 2015","FQ2 2015","Currency=INR","Period=FQ","BEST_FPERIOD_OVERRIDE=FQ","FILING_STATUS=OR","EQY_CONSOLIDATED=Y","Sort=A","Dates=H","DateFormat=P","Fill=—","Direction=H","UseDPDF=Y")</f>
        <v>#NAME?</v>
      </c>
      <c r="CP360" s="3" t="e">
        <f ca="1">_xll.BDH($C$353,"EBITDA","FQ2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60" s="3" t="e">
        <f ca="1">_xll.BDH($C$353,"EBITDA_AFTER_CAPEX","FQ2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60" s="3" t="e">
        <f ca="1">_xll.BDH($C$353,"IS_OPER_INC","FQ2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60" s="2" t="e">
        <f ca="1">_xll.BDH($C$353,"CASH_RATIO","FQ2 2015","FQ2 2015","Currency=INR","Period=FQ","BEST_FPERIOD_OVERRIDE=FQ","FILING_STATUS=OR","EQY_CONSOLIDATED=Y","Sort=A","Dates=H","DateFormat=P","Fill=—","Direction=H","UseDPDF=Y")</f>
        <v>#NAME?</v>
      </c>
      <c r="CT360" s="2" t="e">
        <f ca="1">_xll.BDH($C$353,"CUR_RATIO","FQ2 2015","FQ2 2015","Currency=INR","Period=FQ","BEST_FPERIOD_OVERRIDE=FQ","FILING_STATUS=OR","EQY_CONSOLIDATED=Y","Sort=A","Dates=H","DateFormat=P","Fill=—","Direction=H","UseDPDF=Y")</f>
        <v>#NAME?</v>
      </c>
      <c r="CU360" s="2" t="e">
        <f ca="1">_xll.BDH($C$353,"QUICK_RATIO","FQ2 2015","FQ2 2015","Currency=INR","Period=FQ","BEST_FPERIOD_OVERRIDE=FQ","FILING_STATUS=OR","EQY_CONSOLIDATED=Y","Sort=A","Dates=H","DateFormat=P","Fill=—","Direction=H","UseDPDF=Y")</f>
        <v>#NAME?</v>
      </c>
      <c r="CV360" s="2" t="e">
        <f ca="1">_xll.BDH($C$353,"ALTMAN_Z_SCORE","FQ2 2015","FQ2 2015","Currency=INR","Period=FQ","BEST_FPERIOD_OVERRIDE=FQ","FILING_STATUS=OR","EQY_CONSOLIDATED=Y","Sort=A","Dates=H","DateFormat=P","Fill=—","Direction=H","UseDPDF=Y")</f>
        <v>#NAME?</v>
      </c>
      <c r="CW360" s="4" t="e">
        <f ca="1">_xll.BDH($C$353,"ACCT_RCV_TURN","FQ2 2015","FQ2 2015","Currency=INR","Period=FQ","BEST_FPERIOD_OVERRIDE=FQ","FILING_STATUS=OR","EQY_CONSOLIDATED=Y","FA_ADJUSTED=GAAP","Sort=A","Dates=H","DateFormat=P","Fill=—","Direction=H","UseDPDF=Y")</f>
        <v>#NAME?</v>
      </c>
      <c r="CX360" s="2" t="e">
        <f ca="1">_xll.BDH($C$353,"ACCT_RCV_DAYS","FQ2 2015","FQ2 2015","Currency=INR","Period=FQ","BEST_FPERIOD_OVERRIDE=FQ","FILING_STATUS=OR","EQY_CONSOLIDATED=Y","FA_ADJUSTED=GAAP","Sort=A","Dates=H","DateFormat=P","Fill=—","Direction=H","UseDPDF=Y")</f>
        <v>#NAME?</v>
      </c>
      <c r="CY360" s="4" t="e">
        <f ca="1">_xll.BDH($C$353,"INVENT_TURN","FQ2 2015","FQ2 2015","Currency=INR","Period=FQ","BEST_FPERIOD_OVERRIDE=FQ","FILING_STATUS=OR","EQY_CONSOLIDATED=Y","FA_ADJUSTED=GAAP","Sort=A","Dates=H","DateFormat=P","Fill=—","Direction=H","UseDPDF=Y")</f>
        <v>#NAME?</v>
      </c>
      <c r="CZ360" s="2" t="e">
        <f ca="1">_xll.BDH($C$353,"INVENT_DAYS","FQ2 2015","FQ2 2015","Currency=INR","Period=FQ","BEST_FPERIOD_OVERRIDE=FQ","FILING_STATUS=OR","EQY_CONSOLIDATED=Y","FA_ADJUSTED=GAAP","Sort=A","Dates=H","DateFormat=P","Fill=—","Direction=H","UseDPDF=Y")</f>
        <v>#NAME?</v>
      </c>
      <c r="DA360" s="4" t="e">
        <f ca="1">_xll.BDH($C$353,"ACCOUNTS_PAYABLE_TURNOVER","FQ2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60" s="2" t="e">
        <f ca="1">_xll.BDH($C$353,"ACCOUNTS_PAYABLE_TURNOVER_DAYS","FQ2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60" s="4" t="e">
        <f ca="1">_xll.BDH($C$353,"CASH_CONVERSION_CYCLE","FQ2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60" s="4" t="e">
        <f ca="1">_xll.BDH($C$353,"INV_TO_CASH_DAYS","FQ2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360" s="5" t="e">
        <f ca="1">_xll.BDH($C$353,"BS_INVENTORIES","FQ2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360" s="3" t="e">
        <f ca="1">_xll.BDH($C$353,"INVTRY_RAW_MATERIALS","FQ2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60" s="3" t="e">
        <f ca="1">_xll.BDH($C$353,"INVTRY_IN_PROGRESS","FQ2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60" s="3" t="e">
        <f ca="1">_xll.BDH($C$353,"INVTRY_FINISHED_GOODS","FQ2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60" s="3" t="e">
        <f ca="1">_xll.BDH($C$353,"BS_OTHER_INV","FQ2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61" spans="1:113" x14ac:dyDescent="0.3">
      <c r="A361" s="6"/>
      <c r="B361" s="6"/>
      <c r="C361" s="6"/>
      <c r="D361" s="6"/>
      <c r="E361" t="s">
        <v>80</v>
      </c>
      <c r="F361" t="e">
        <f ca="1">_xll.BDH($C$353,"RETURN_COM_EQY","FQ3 2015","FQ3 2015","Currency=INR","Period=FQ","BEST_FPERIOD_OVERRIDE=FQ","FILING_STATUS=OR","EQY_CONSOLIDATED=Y","FA_ADJUSTED=GAAP","Sort=A","Dates=H","DateFormat=P","Fill=—","Direction=H","UseDPDF=Y")</f>
        <v>#NAME?</v>
      </c>
      <c r="G361" t="e">
        <f ca="1">_xll.BDH($C$353,"RETURN_ON_ASSET","FQ3 2015","FQ3 2015","Currency=INR","Period=FQ","BEST_FPERIOD_OVERRIDE=FQ","FILING_STATUS=OR","EQY_CONSOLIDATED=Y","FA_ADJUSTED=GAAP","Sort=A","Dates=H","DateFormat=P","Fill=—","Direction=H","UseDPDF=Y")</f>
        <v>#NAME?</v>
      </c>
      <c r="H361" t="e">
        <f ca="1">_xll.BDH($C$353,"RETURN_ON_CAP","FQ3 2015","FQ3 2015","Currency=INR","Period=FQ","BEST_FPERIOD_OVERRIDE=FQ","FILING_STATUS=OR","EQY_CONSOLIDATED=Y","FA_ADJUSTED=GAAP","Sort=A","Dates=H","DateFormat=P","Fill=—","Direction=H","UseDPDF=Y")</f>
        <v>#NAME?</v>
      </c>
      <c r="I361" t="e">
        <f ca="1">_xll.BDH($C$353,"RETURN_ON_INV_CAPITAL","FQ3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61" t="e">
        <f ca="1">_xll.BDH($C$353,"EBITDA_TO_REVENUE","FQ3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361" t="e">
        <f ca="1">_xll.BDH($C$353,"OPER_MARGIN","FQ3 2015","FQ3 2015","Currency=INR","Period=FQ","BEST_FPERIOD_OVERRIDE=FQ","FILING_STATUS=OR","EQY_CONSOLIDATED=Y","FA_ADJUSTED=GAAP","Sort=A","Dates=H","DateFormat=P","Fill=—","Direction=H","UseDPDF=Y")</f>
        <v>#NAME?</v>
      </c>
      <c r="L361" t="e">
        <f ca="1">_xll.BDH($C$353,"INCREMENTAL_OPERATING_MARGIN","FQ3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61" t="e">
        <f ca="1">_xll.BDH($C$353,"PRETAX_INC_TO_NET_SALES","FQ3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61" t="e">
        <f ca="1">_xll.BDH($C$353,"INC_BEF_XO_ITEMS_TO_NET_SALES","FQ3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61" t="e">
        <f ca="1">_xll.BDH($C$353,"PROF_MARGIN","FQ3 2015","FQ3 2015","Currency=INR","Period=FQ","BEST_FPERIOD_OVERRIDE=FQ","FILING_STATUS=OR","EQY_CONSOLIDATED=Y","FA_ADJUSTED=GAAP","Sort=A","Dates=H","DateFormat=P","Fill=—","Direction=H","UseDPDF=Y")</f>
        <v>#NAME?</v>
      </c>
      <c r="P361" t="e">
        <f ca="1">_xll.BDH($C$353,"NET_INCOME_TO_COMMON_MARGIN","FQ3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61" t="e">
        <f ca="1">_xll.BDH($C$353,"EFF_TAX_RATE","FQ3 2015","FQ3 2015","Currency=INR","Period=FQ","BEST_FPERIOD_OVERRIDE=FQ","FILING_STATUS=OR","EQY_CONSOLIDATED=Y","FA_ADJUSTED=GAAP","Sort=A","Dates=H","DateFormat=P","Fill=—","Direction=H","UseDPDF=Y")</f>
        <v>#NAME?</v>
      </c>
      <c r="R361" t="e">
        <f ca="1">_xll.BDH($C$353,"DVD_PAYOUT_RATIO","FQ3 2015","FQ3 2015","Currency=INR","Period=FQ","BEST_FPERIOD_OVERRIDE=FQ","FILING_STATUS=OR","EQY_CONSOLIDATED=Y","FA_ADJUSTED=GAAP","Sort=A","Dates=H","DateFormat=P","Fill=—","Direction=H","UseDPDF=Y")</f>
        <v>#NAME?</v>
      </c>
      <c r="S361" t="e">
        <f ca="1">_xll.BDH($C$353,"SUSTAIN_GROWTH_RT","FQ3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361" s="2" t="e">
        <f ca="1">_xll.BDH($C$353,"SALES_GROWTH","FQ3 2015","FQ3 2015","Currency=INR","Period=FQ","BEST_FPERIOD_OVERRIDE=FQ","FILING_STATUS=OR","EQY_CONSOLIDATED=Y","FA_ADJUSTED=GAAP","Sort=A","Dates=H","DateFormat=P","Fill=—","Direction=H","UseDPDF=Y")</f>
        <v>#NAME?</v>
      </c>
      <c r="U361" s="2" t="e">
        <f ca="1">_xll.BDH($C$353,"EBITDA_GROWTH","FQ3 2015","FQ3 2015","Currency=INR","Period=FQ","BEST_FPERIOD_OVERRIDE=FQ","FILING_STATUS=OR","EQY_CONSOLIDATED=Y","FA_ADJUSTED=GAAP","Sort=A","Dates=H","DateFormat=P","Fill=—","Direction=H","UseDPDF=Y")</f>
        <v>#NAME?</v>
      </c>
      <c r="V361" s="2" t="e">
        <f ca="1">_xll.BDH($C$353,"OPER_INC_GROWTH","FQ3 2015","FQ3 2015","Currency=INR","Period=FQ","BEST_FPERIOD_OVERRIDE=FQ","FILING_STATUS=OR","EQY_CONSOLIDATED=Y","FA_ADJUSTED=GAAP","Sort=A","Dates=H","DateFormat=P","Fill=—","Direction=H","UseDPDF=Y")</f>
        <v>#NAME?</v>
      </c>
      <c r="W361" s="2" t="e">
        <f ca="1">_xll.BDH($C$353,"EARN_FOR_COM_GROWTH","FQ3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61" s="2" t="e">
        <f ca="1">_xll.BDH($C$353,"DILUTED_EPS_AFT_XO_ITEMS_GROWTH","FQ3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61" s="2" t="e">
        <f ca="1">_xll.BDH($C$353,"DIVIDEND_PER_SHARE_1_YEAR_GROWTH","FQ3 2015","FQ3 2015","Currency=INR","Period=FQ","BEST_FPERIOD_OVERRIDE=FQ","FILING_STATUS=OR","EQY_CONSOLIDATED=Y","Sort=A","Dates=H","DateFormat=P","Fill=—","Direction=H","UseDPDF=Y")</f>
        <v>#NAME?</v>
      </c>
      <c r="Z361" s="2" t="e">
        <f ca="1">_xll.BDH($C$353,"ACCOUNTS_RECEIVABLE_GROWTH","FQ3 2015","FQ3 2015","Currency=INR","Period=FQ","BEST_FPERIOD_OVERRIDE=FQ","FILING_STATUS=OR","EQY_CONSOLIDATED=Y","Sort=A","Dates=H","DateFormat=P","Fill=—","Direction=H","UseDPDF=Y")</f>
        <v>#NAME?</v>
      </c>
      <c r="AA361" s="2" t="e">
        <f ca="1">_xll.BDH($C$353,"INVENTORY_GROWTH","FQ3 2015","FQ3 2015","Currency=INR","Period=FQ","BEST_FPERIOD_OVERRIDE=FQ","FILING_STATUS=OR","EQY_CONSOLIDATED=Y","Sort=A","Dates=H","DateFormat=P","Fill=—","Direction=H","UseDPDF=Y")</f>
        <v>#NAME?</v>
      </c>
      <c r="AB361" s="2" t="e">
        <f ca="1">_xll.BDH($C$353,"NET_FIXED_ASSETS_1_YEAR_GROWTH","FQ3 2015","FQ3 2015","Currency=INR","Period=FQ","BEST_FPERIOD_OVERRIDE=FQ","FILING_STATUS=OR","EQY_CONSOLIDATED=Y","Sort=A","Dates=H","DateFormat=P","Fill=—","Direction=H","UseDPDF=Y")</f>
        <v>#NAME?</v>
      </c>
      <c r="AC361" s="2" t="e">
        <f ca="1">_xll.BDH($C$353,"ASSET_GROWTH","FQ3 2015","FQ3 2015","Currency=INR","Period=FQ","BEST_FPERIOD_OVERRIDE=FQ","FILING_STATUS=OR","EQY_CONSOLIDATED=Y","Sort=A","Dates=H","DateFormat=P","Fill=—","Direction=H","UseDPDF=Y")</f>
        <v>#NAME?</v>
      </c>
      <c r="AD361" s="2" t="e">
        <f ca="1">_xll.BDH($C$353,"MODIFIED_WORK_CAP_GROWTH","FQ3 2015","FQ3 2015","Currency=INR","Period=FQ","BEST_FPERIOD_OVERRIDE=FQ","FILING_STATUS=OR","EQY_CONSOLIDATED=Y","Sort=A","Dates=H","DateFormat=P","Fill=—","Direction=H","UseDPDF=Y")</f>
        <v>#NAME?</v>
      </c>
      <c r="AE361" s="2" t="e">
        <f ca="1">_xll.BDH($C$353,"WORK_CAP_GROWTH","FQ3 2015","FQ3 2015","Currency=INR","Period=FQ","BEST_FPERIOD_OVERRIDE=FQ","FILING_STATUS=OR","EQY_CONSOLIDATED=Y","Sort=A","Dates=H","DateFormat=P","Fill=—","Direction=H","UseDPDF=Y")</f>
        <v>#NAME?</v>
      </c>
      <c r="AF361" s="2" t="e">
        <f ca="1">_xll.BDH($C$353,"ACCOUNTS_PAYABLE_GROWTH_1YR","FQ3 2015","FQ3 2015","Currency=INR","Period=FQ","BEST_FPERIOD_OVERRIDE=FQ","FILING_STATUS=OR","EQY_CONSOLIDATED=Y","Sort=A","Dates=H","DateFormat=P","Fill=—","Direction=H","UseDPDF=Y")</f>
        <v>#NAME?</v>
      </c>
      <c r="AG361" s="2" t="e">
        <f ca="1">_xll.BDH($C$353,"SHORT_TERM_DEBT_1_YEAR_GROWTH","FQ3 2015","FQ3 2015","Currency=INR","Period=FQ","BEST_FPERIOD_OVERRIDE=FQ","FILING_STATUS=OR","EQY_CONSOLIDATED=Y","Sort=A","Dates=H","DateFormat=P","Fill=—","Direction=H","UseDPDF=Y")</f>
        <v>#NAME?</v>
      </c>
      <c r="AH361" s="2" t="e">
        <f ca="1">_xll.BDH($C$353,"TOTAL_DEBT_1_YEAR_GROWTH","FQ3 2015","FQ3 2015","Currency=INR","Period=FQ","BEST_FPERIOD_OVERRIDE=FQ","FILING_STATUS=OR","EQY_CONSOLIDATED=Y","Sort=A","Dates=H","DateFormat=P","Fill=—","Direction=H","UseDPDF=Y")</f>
        <v>#NAME?</v>
      </c>
      <c r="AI361" s="2" t="e">
        <f ca="1">_xll.BDH($C$353,"TOTAL_EQUITY_1_YEAR_GROWTH","FQ3 2015","FQ3 2015","Currency=INR","Period=FQ","BEST_FPERIOD_OVERRIDE=FQ","FILING_STATUS=OR","EQY_CONSOLIDATED=Y","Sort=A","Dates=H","DateFormat=P","Fill=—","Direction=H","UseDPDF=Y")</f>
        <v>#NAME?</v>
      </c>
      <c r="AJ361" s="2" t="e">
        <f ca="1">_xll.BDH($C$353,"GROWTH_IN_CAP","FQ3 2015","FQ3 2015","Currency=INR","Period=FQ","BEST_FPERIOD_OVERRIDE=FQ","FILING_STATUS=OR","EQY_CONSOLIDATED=Y","Sort=A","Dates=H","DateFormat=P","Fill=—","Direction=H","UseDPDF=Y")</f>
        <v>#NAME?</v>
      </c>
      <c r="AK361" s="2" t="e">
        <f ca="1">_xll.BDH($C$353,"BVPS_GROWTH","FQ3 2015","FQ3 2015","Currency=INR","Period=FQ","BEST_FPERIOD_OVERRIDE=FQ","FILING_STATUS=OR","EQY_CONSOLIDATED=Y","Sort=A","Dates=H","DateFormat=P","Fill=—","Direction=H","UseDPDF=Y")</f>
        <v>#NAME?</v>
      </c>
      <c r="AL361" s="2" t="e">
        <f ca="1">_xll.BDH($C$353,"CASH_FLOW_GROWTH","FQ3 2015","FQ3 2015","Currency=INR","Period=FQ","BEST_FPERIOD_OVERRIDE=FQ","FILING_STATUS=OR","EQY_CONSOLIDATED=Y","Sort=A","Dates=H","DateFormat=P","Fill=—","Direction=H","UseDPDF=Y")</f>
        <v>#NAME?</v>
      </c>
      <c r="AM361" s="2" t="e">
        <f ca="1">_xll.BDH($C$353,"GEO_GROW_NET_SALES","FQ3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61" s="2" t="e">
        <f ca="1">_xll.BDH($C$353,"GEO_GROW_EBITDA","FQ3 2015","FQ3 2015","Currency=INR","Period=FQ","BEST_FPERIOD_OVERRIDE=FQ","FILING_STATUS=OR","EQY_CONSOLIDATED=Y","FA_ADJUSTED=GAAP","Sort=A","Dates=H","DateFormat=P","Fill=—","Direction=H","UseDPDF=Y")</f>
        <v>#NAME?</v>
      </c>
      <c r="AO361" s="2" t="e">
        <f ca="1">_xll.BDH($C$353,"GEO_GROW_OPER_INC","FQ3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61" s="2" t="e">
        <f ca="1">_xll.BDH($C$353,"NET_INCOME_TO_COMMON_5_YR_GROWTH","FQ3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61" s="2" t="e">
        <f ca="1">_xll.BDH($C$353,"5Y_GEO_GROWTH_DILUTED_EPS","FQ3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61" s="2" t="e">
        <f ca="1">_xll.BDH($C$353,"GEO_GROW_DVD_PER_SH","FQ3 2015","FQ3 2015","Currency=INR","Period=FQ","BEST_FPERIOD_OVERRIDE=FQ","FILING_STATUS=OR","EQY_CONSOLIDATED=Y","Sort=A","Dates=H","DateFormat=P","Fill=—","Direction=H","UseDPDF=Y")</f>
        <v>#NAME?</v>
      </c>
      <c r="AS361" s="2" t="e">
        <f ca="1">_xll.BDH($C$353,"ACCOUNTS_RECEIVABLE_5_YR_GROWTH","FQ3 2015","FQ3 2015","Currency=INR","Period=FQ","BEST_FPERIOD_OVERRIDE=FQ","FILING_STATUS=OR","EQY_CONSOLIDATED=Y","Sort=A","Dates=H","DateFormat=P","Fill=—","Direction=H","UseDPDF=Y")</f>
        <v>#NAME?</v>
      </c>
      <c r="AT361" s="2" t="e">
        <f ca="1">_xll.BDH($C$353,"INVENTORY_5_YEAR_GROWTH","FQ3 2015","FQ3 2015","Currency=INR","Period=FQ","BEST_FPERIOD_OVERRIDE=FQ","FILING_STATUS=OR","EQY_CONSOLIDATED=Y","Sort=A","Dates=H","DateFormat=P","Fill=—","Direction=H","UseDPDF=Y")</f>
        <v>#NAME?</v>
      </c>
      <c r="AU361" s="2" t="e">
        <f ca="1">_xll.BDH($C$353,"NET_FIXED_ASSETS_5_YEAR_GROWTH","FQ3 2015","FQ3 2015","Currency=INR","Period=FQ","BEST_FPERIOD_OVERRIDE=FQ","FILING_STATUS=OR","EQY_CONSOLIDATED=Y","Sort=A","Dates=H","DateFormat=P","Fill=—","Direction=H","UseDPDF=Y")</f>
        <v>#NAME?</v>
      </c>
      <c r="AV361" s="2" t="e">
        <f ca="1">_xll.BDH($C$353,"GEO_GROW_TOT_ASSET","FQ3 2015","FQ3 2015","Currency=INR","Period=FQ","BEST_FPERIOD_OVERRIDE=FQ","FILING_STATUS=OR","EQY_CONSOLIDATED=Y","Sort=A","Dates=H","DateFormat=P","Fill=—","Direction=H","UseDPDF=Y")</f>
        <v>#NAME?</v>
      </c>
      <c r="AW361" s="2" t="e">
        <f ca="1">_xll.BDH($C$353,"MODIFIED_WORKING_CPTL_5YR_GRWTH","FQ3 2015","FQ3 2015","Currency=INR","Period=FQ","BEST_FPERIOD_OVERRIDE=FQ","FILING_STATUS=OR","EQY_CONSOLIDATED=Y","Sort=A","Dates=H","DateFormat=P","Fill=—","Direction=H","UseDPDF=Y")</f>
        <v>#NAME?</v>
      </c>
      <c r="AX361" s="2" t="e">
        <f ca="1">_xll.BDH($C$353,"WORKING_CAPITAL_5_YEAR_GROWTH","FQ3 2015","FQ3 2015","Currency=INR","Period=FQ","BEST_FPERIOD_OVERRIDE=FQ","FILING_STATUS=OR","EQY_CONSOLIDATED=Y","Sort=A","Dates=H","DateFormat=P","Fill=—","Direction=H","UseDPDF=Y")</f>
        <v>#NAME?</v>
      </c>
      <c r="AY361" s="2" t="e">
        <f ca="1">_xll.BDH($C$353,"ACCOUNTS_PAYABLE_5_YEAR_GROWTH","FQ3 2015","FQ3 2015","Currency=INR","Period=FQ","BEST_FPERIOD_OVERRIDE=FQ","FILING_STATUS=OR","EQY_CONSOLIDATED=Y","Sort=A","Dates=H","DateFormat=P","Fill=—","Direction=H","UseDPDF=Y")</f>
        <v>#NAME?</v>
      </c>
      <c r="AZ361" s="2" t="e">
        <f ca="1">_xll.BDH($C$353,"SHORT_TERM_DEBT_5_YEAR_GROWTH","FQ3 2015","FQ3 2015","Currency=INR","Period=FQ","BEST_FPERIOD_OVERRIDE=FQ","FILING_STATUS=OR","EQY_CONSOLIDATED=Y","Sort=A","Dates=H","DateFormat=P","Fill=—","Direction=H","UseDPDF=Y")</f>
        <v>#NAME?</v>
      </c>
      <c r="BA361" s="2" t="e">
        <f ca="1">_xll.BDH($C$353,"TOTAL_DEBT_5_YEAR_GROWTH","FQ3 2015","FQ3 2015","Currency=INR","Period=FQ","BEST_FPERIOD_OVERRIDE=FQ","FILING_STATUS=OR","EQY_CONSOLIDATED=Y","Sort=A","Dates=H","DateFormat=P","Fill=—","Direction=H","UseDPDF=Y")</f>
        <v>#NAME?</v>
      </c>
      <c r="BB361" s="2" t="e">
        <f ca="1">_xll.BDH($C$353,"GEO_GROW_TOT_SHRHLDR_EQY","FQ3 2015","FQ3 2015","Currency=INR","Period=FQ","BEST_FPERIOD_OVERRIDE=FQ","FILING_STATUS=OR","EQY_CONSOLIDATED=Y","Sort=A","Dates=H","DateFormat=P","Fill=—","Direction=H","UseDPDF=Y")</f>
        <v>#NAME?</v>
      </c>
      <c r="BC361" s="2" t="e">
        <f ca="1">_xll.BDH($C$353,"TOTAL_CAPITAL_5_YEAR_GROWTH","FQ3 2015","FQ3 2015","Currency=INR","Period=FQ","BEST_FPERIOD_OVERRIDE=FQ","FILING_STATUS=OR","EQY_CONSOLIDATED=Y","Sort=A","Dates=H","DateFormat=P","Fill=—","Direction=H","UseDPDF=Y")</f>
        <v>#NAME?</v>
      </c>
      <c r="BD361" s="2" t="e">
        <f ca="1">_xll.BDH($C$353,"GEO_GROW_BOOK_VAL","FQ3 2015","FQ3 2015","Currency=INR","Period=FQ","BEST_FPERIOD_OVERRIDE=FQ","FILING_STATUS=OR","EQY_CONSOLIDATED=Y","Sort=A","Dates=H","DateFormat=P","Fill=—","Direction=H","UseDPDF=Y")</f>
        <v>#NAME?</v>
      </c>
      <c r="BE361" s="2" t="e">
        <f ca="1">_xll.BDH($C$353,"GEO_GROW_CASH_OPER_ACT","FQ3 2015","FQ3 2015","Currency=INR","Period=FQ","BEST_FPERIOD_OVERRIDE=FQ","FILING_STATUS=OR","EQY_CONSOLIDATED=Y","Sort=A","Dates=H","DateFormat=P","Fill=—","Direction=H","UseDPDF=Y")</f>
        <v>#NAME?</v>
      </c>
      <c r="BF361" s="2" t="e">
        <f ca="1">_xll.BDH($C$353,"REVENUE_SEQUENTIAL_GROWTH","FQ3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61" s="2" t="e">
        <f ca="1">_xll.BDH($C$353,"EBITDA_SEQUENTIAL_GROWTH","FQ3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61" s="2" t="e">
        <f ca="1">_xll.BDH($C$353,"OPERATING_INCOME_SEQ_GROWTH","FQ3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61" s="2" t="e">
        <f ca="1">_xll.BDH($C$353,"NET_INCOME_TO_COMMON_SEQ_GROWTH","FQ3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61" s="2" t="e">
        <f ca="1">_xll.BDH($C$353,"EPS_DILUTED_SEQUENTIAL_GROWTH","FQ3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61" s="2" t="e">
        <f ca="1">_xll.BDH($C$353,"DPS_SEQUENTIAL_GROWTH","FQ3 2015","FQ3 2015","Currency=INR","Period=FQ","BEST_FPERIOD_OVERRIDE=FQ","FILING_STATUS=OR","EQY_CONSOLIDATED=Y","Sort=A","Dates=H","DateFormat=P","Fill=—","Direction=H","UseDPDF=Y")</f>
        <v>#NAME?</v>
      </c>
      <c r="BL361" s="2" t="e">
        <f ca="1">_xll.BDH($C$353,"ACCOUNTS_RECEIVABLE_SEQ_GROWTH","FQ3 2015","FQ3 2015","Currency=INR","Period=FQ","BEST_FPERIOD_OVERRIDE=FQ","FILING_STATUS=OR","EQY_CONSOLIDATED=Y","Sort=A","Dates=H","DateFormat=P","Fill=—","Direction=H","UseDPDF=Y")</f>
        <v>#NAME?</v>
      </c>
      <c r="BM361" s="2" t="e">
        <f ca="1">_xll.BDH($C$353,"INVENTORY_SEQUENTIAL_GROWTH","FQ3 2015","FQ3 2015","Currency=INR","Period=FQ","BEST_FPERIOD_OVERRIDE=FQ","FILING_STATUS=OR","EQY_CONSOLIDATED=Y","Sort=A","Dates=H","DateFormat=P","Fill=—","Direction=H","UseDPDF=Y")</f>
        <v>#NAME?</v>
      </c>
      <c r="BN361" s="2" t="e">
        <f ca="1">_xll.BDH($C$353,"FIXED_ASSETS_SEQUENTIAL_GROWTH","FQ3 2015","FQ3 2015","Currency=INR","Period=FQ","BEST_FPERIOD_OVERRIDE=FQ","FILING_STATUS=OR","EQY_CONSOLIDATED=Y","Sort=A","Dates=H","DateFormat=P","Fill=—","Direction=H","UseDPDF=Y")</f>
        <v>#NAME?</v>
      </c>
      <c r="BO361" s="2" t="e">
        <f ca="1">_xll.BDH($C$353,"TOTAL_ASSETS_SEQUENTIAL_GROWTH","FQ3 2015","FQ3 2015","Currency=INR","Period=FQ","BEST_FPERIOD_OVERRIDE=FQ","FILING_STATUS=OR","EQY_CONSOLIDATED=Y","Sort=A","Dates=H","DateFormat=P","Fill=—","Direction=H","UseDPDF=Y")</f>
        <v>#NAME?</v>
      </c>
      <c r="BP361" s="2" t="e">
        <f ca="1">_xll.BDH($C$353,"MODIFIED_WORKING_CPTL_SEQ_GRWTH","FQ3 2015","FQ3 2015","Currency=INR","Period=FQ","BEST_FPERIOD_OVERRIDE=FQ","FILING_STATUS=OR","EQY_CONSOLIDATED=Y","Sort=A","Dates=H","DateFormat=P","Fill=—","Direction=H","UseDPDF=Y")</f>
        <v>#NAME?</v>
      </c>
      <c r="BQ361" s="2" t="e">
        <f ca="1">_xll.BDH($C$353,"WORKING_CAPITAL_SEQ_GROWTH","FQ3 2015","FQ3 2015","Currency=INR","Period=FQ","BEST_FPERIOD_OVERRIDE=FQ","FILING_STATUS=OR","EQY_CONSOLIDATED=Y","Sort=A","Dates=H","DateFormat=P","Fill=—","Direction=H","UseDPDF=Y")</f>
        <v>#NAME?</v>
      </c>
      <c r="BR361" s="2" t="e">
        <f ca="1">_xll.BDH($C$353,"ACCOUNTS_PAYABLE_SEQ_GROWTH","FQ3 2015","FQ3 2015","Currency=INR","Period=FQ","BEST_FPERIOD_OVERRIDE=FQ","FILING_STATUS=OR","EQY_CONSOLIDATED=Y","Sort=A","Dates=H","DateFormat=P","Fill=—","Direction=H","UseDPDF=Y")</f>
        <v>#NAME?</v>
      </c>
      <c r="BS361" s="2" t="e">
        <f ca="1">_xll.BDH($C$353,"ST_DEBT_SEQUENTIAL_GROWTH","FQ3 2015","FQ3 2015","Currency=INR","Period=FQ","BEST_FPERIOD_OVERRIDE=FQ","FILING_STATUS=OR","EQY_CONSOLIDATED=Y","Sort=A","Dates=H","DateFormat=P","Fill=—","Direction=H","UseDPDF=Y")</f>
        <v>#NAME?</v>
      </c>
      <c r="BT361" s="2" t="e">
        <f ca="1">_xll.BDH($C$353,"TOTAL_DEBT_SEQUENTIAL_GROWTH","FQ3 2015","FQ3 2015","Currency=INR","Period=FQ","BEST_FPERIOD_OVERRIDE=FQ","FILING_STATUS=OR","EQY_CONSOLIDATED=Y","Sort=A","Dates=H","DateFormat=P","Fill=—","Direction=H","UseDPDF=Y")</f>
        <v>#NAME?</v>
      </c>
      <c r="BU361" s="2" t="e">
        <f ca="1">_xll.BDH($C$353,"TOTAL_EQUITY_SEQUENTIAL_GROWTH","FQ3 2015","FQ3 2015","Currency=INR","Period=FQ","BEST_FPERIOD_OVERRIDE=FQ","FILING_STATUS=OR","EQY_CONSOLIDATED=Y","Sort=A","Dates=H","DateFormat=P","Fill=—","Direction=H","UseDPDF=Y")</f>
        <v>#NAME?</v>
      </c>
      <c r="BV361" s="2" t="e">
        <f ca="1">_xll.BDH($C$353,"TOTAL_CAPITAL_SEQUENTIAL_GROWTH","FQ3 2015","FQ3 2015","Currency=INR","Period=FQ","BEST_FPERIOD_OVERRIDE=FQ","FILING_STATUS=OR","EQY_CONSOLIDATED=Y","Sort=A","Dates=H","DateFormat=P","Fill=—","Direction=H","UseDPDF=Y")</f>
        <v>#NAME?</v>
      </c>
      <c r="BW361" s="2" t="e">
        <f ca="1">_xll.BDH($C$353,"BPS_SEQUENTIAL_GROWTH","FQ3 2015","FQ3 2015","Currency=INR","Period=FQ","BEST_FPERIOD_OVERRIDE=FQ","FILING_STATUS=OR","EQY_CONSOLIDATED=Y","Sort=A","Dates=H","DateFormat=P","Fill=—","Direction=H","UseDPDF=Y")</f>
        <v>#NAME?</v>
      </c>
      <c r="BX361" s="2" t="e">
        <f ca="1">_xll.BDH($C$353,"CFO_SEQUENTIAL_GROWTH","FQ3 2015","FQ3 2015","Currency=INR","Period=FQ","BEST_FPERIOD_OVERRIDE=FQ","FILING_STATUS=OR","EQY_CONSOLIDATED=Y","Sort=A","Dates=H","DateFormat=P","Fill=—","Direction=H","UseDPDF=Y")</f>
        <v>#NAME?</v>
      </c>
      <c r="BY361" s="3" t="e">
        <f ca="1">_xll.BDH($C$353,"SHORT_AND_LONG_TERM_DEBT","FQ3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61" s="3" t="e">
        <f ca="1">_xll.BDH($C$353,"BS_ST_BORROW","FQ3 2015","FQ3 2015","Currency=INR","Period=FQ","BEST_FPERIOD_OVERRIDE=FQ","FILING_STATUS=OR","EQY_CONSOLIDATED=Y","SCALING_FORMAT=MLN","Sort=A","Dates=H","DateFormat=P","Fill=—","Direction=H","UseDPDF=Y")</f>
        <v>#NAME?</v>
      </c>
      <c r="CA361" s="3" t="e">
        <f ca="1">_xll.BDH($C$353,"BS_LT_BORROW","FQ3 2015","FQ3 2015","Currency=INR","Period=FQ","BEST_FPERIOD_OVERRIDE=FQ","FILING_STATUS=OR","EQY_CONSOLIDATED=Y","SCALING_FORMAT=MLN","Sort=A","Dates=H","DateFormat=P","Fill=—","Direction=H","UseDPDF=Y")</f>
        <v>#NAME?</v>
      </c>
      <c r="CB361" s="2" t="e">
        <f ca="1">_xll.BDH($C$353,"TOT_DEBT_TO_EBITDA","FQ3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61" s="2" t="e">
        <f ca="1">_xll.BDH($C$353,"NET_DEBT_TO_EBITDA","FQ3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61" s="2" t="e">
        <f ca="1">_xll.BDH($C$353,"TOTAL_DEBT_TO_EBIT","FQ3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61" s="2" t="e">
        <f ca="1">_xll.BDH($C$353,"NET_DEBT_TO_EBIT","FQ3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361" s="2" t="e">
        <f ca="1">_xll.BDH($C$353,"EBITDA_TO_INTEREST_EXPN","FQ3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61" s="2" t="e">
        <f ca="1">_xll.BDH($C$353,"COM_EQY_TO_TOT_ASSET","FQ3 2015","FQ3 2015","Currency=INR","Period=FQ","BEST_FPERIOD_OVERRIDE=FQ","FILING_STATUS=OR","EQY_CONSOLIDATED=Y","Sort=A","Dates=H","DateFormat=P","Fill=—","Direction=H","UseDPDF=Y")</f>
        <v>#NAME?</v>
      </c>
      <c r="CH361" s="2" t="e">
        <f ca="1">_xll.BDH($C$353,"LT_DEBT_TO_TOT_EQY","FQ3 2015","FQ3 2015","Currency=INR","Period=FQ","BEST_FPERIOD_OVERRIDE=FQ","FILING_STATUS=OR","EQY_CONSOLIDATED=Y","Sort=A","Dates=H","DateFormat=P","Fill=—","Direction=H","UseDPDF=Y")</f>
        <v>#NAME?</v>
      </c>
      <c r="CI361" s="2" t="e">
        <f ca="1">_xll.BDH($C$353,"LT_DEBT_TO_TOT_CAP","FQ3 2015","FQ3 2015","Currency=INR","Period=FQ","BEST_FPERIOD_OVERRIDE=FQ","FILING_STATUS=OR","EQY_CONSOLIDATED=Y","Sort=A","Dates=H","DateFormat=P","Fill=—","Direction=H","UseDPDF=Y")</f>
        <v>#NAME?</v>
      </c>
      <c r="CJ361" s="2" t="e">
        <f ca="1">_xll.BDH($C$353,"LT_DEBT_TO_TOT_ASSET","FQ3 2015","FQ3 2015","Currency=INR","Period=FQ","BEST_FPERIOD_OVERRIDE=FQ","FILING_STATUS=OR","EQY_CONSOLIDATED=Y","Sort=A","Dates=H","DateFormat=P","Fill=—","Direction=H","UseDPDF=Y")</f>
        <v>#NAME?</v>
      </c>
      <c r="CK361" s="2" t="e">
        <f ca="1">_xll.BDH($C$353,"TOT_DEBT_TO_TOT_EQY","FQ3 2015","FQ3 2015","Currency=INR","Period=FQ","BEST_FPERIOD_OVERRIDE=FQ","FILING_STATUS=OR","EQY_CONSOLIDATED=Y","Sort=A","Dates=H","DateFormat=P","Fill=—","Direction=H","UseDPDF=Y")</f>
        <v>#NAME?</v>
      </c>
      <c r="CL361" s="2" t="e">
        <f ca="1">_xll.BDH($C$353,"TOT_DEBT_TO_TOT_CAP","FQ3 2015","FQ3 2015","Currency=INR","Period=FQ","BEST_FPERIOD_OVERRIDE=FQ","FILING_STATUS=OR","EQY_CONSOLIDATED=Y","Sort=A","Dates=H","DateFormat=P","Fill=—","Direction=H","UseDPDF=Y")</f>
        <v>#NAME?</v>
      </c>
      <c r="CM361" s="2" t="e">
        <f ca="1">_xll.BDH($C$353,"TOT_DEBT_TO_TOT_ASSET","FQ3 2015","FQ3 2015","Currency=INR","Period=FQ","BEST_FPERIOD_OVERRIDE=FQ","FILING_STATUS=OR","EQY_CONSOLIDATED=Y","Sort=A","Dates=H","DateFormat=P","Fill=—","Direction=H","UseDPDF=Y")</f>
        <v>#NAME?</v>
      </c>
      <c r="CN361" s="2" t="e">
        <f ca="1">_xll.BDH($C$353,"NET_DEBT_TO_SHRHLDR_EQTY","FQ3 2015","FQ3 2015","Currency=INR","Period=FQ","BEST_FPERIOD_OVERRIDE=FQ","FILING_STATUS=OR","EQY_CONSOLIDATED=Y","Sort=A","Dates=H","DateFormat=P","Fill=—","Direction=H","UseDPDF=Y")</f>
        <v>#NAME?</v>
      </c>
      <c r="CO361" s="2" t="e">
        <f ca="1">_xll.BDH($C$353,"NET_DEBT_%_CAPITAL","FQ3 2015","FQ3 2015","Currency=INR","Period=FQ","BEST_FPERIOD_OVERRIDE=FQ","FILING_STATUS=OR","EQY_CONSOLIDATED=Y","Sort=A","Dates=H","DateFormat=P","Fill=—","Direction=H","UseDPDF=Y")</f>
        <v>#NAME?</v>
      </c>
      <c r="CP361" s="3" t="e">
        <f ca="1">_xll.BDH($C$353,"EBITDA","FQ3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61" s="3" t="e">
        <f ca="1">_xll.BDH($C$353,"EBITDA_AFTER_CAPEX","FQ3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61" s="3" t="e">
        <f ca="1">_xll.BDH($C$353,"IS_OPER_INC","FQ3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61" s="2" t="e">
        <f ca="1">_xll.BDH($C$353,"CASH_RATIO","FQ3 2015","FQ3 2015","Currency=INR","Period=FQ","BEST_FPERIOD_OVERRIDE=FQ","FILING_STATUS=OR","EQY_CONSOLIDATED=Y","Sort=A","Dates=H","DateFormat=P","Fill=—","Direction=H","UseDPDF=Y")</f>
        <v>#NAME?</v>
      </c>
      <c r="CT361" s="2" t="e">
        <f ca="1">_xll.BDH($C$353,"CUR_RATIO","FQ3 2015","FQ3 2015","Currency=INR","Period=FQ","BEST_FPERIOD_OVERRIDE=FQ","FILING_STATUS=OR","EQY_CONSOLIDATED=Y","Sort=A","Dates=H","DateFormat=P","Fill=—","Direction=H","UseDPDF=Y")</f>
        <v>#NAME?</v>
      </c>
      <c r="CU361" s="2" t="e">
        <f ca="1">_xll.BDH($C$353,"QUICK_RATIO","FQ3 2015","FQ3 2015","Currency=INR","Period=FQ","BEST_FPERIOD_OVERRIDE=FQ","FILING_STATUS=OR","EQY_CONSOLIDATED=Y","Sort=A","Dates=H","DateFormat=P","Fill=—","Direction=H","UseDPDF=Y")</f>
        <v>#NAME?</v>
      </c>
      <c r="CV361" s="2" t="e">
        <f ca="1">_xll.BDH($C$353,"ALTMAN_Z_SCORE","FQ3 2015","FQ3 2015","Currency=INR","Period=FQ","BEST_FPERIOD_OVERRIDE=FQ","FILING_STATUS=OR","EQY_CONSOLIDATED=Y","Sort=A","Dates=H","DateFormat=P","Fill=—","Direction=H","UseDPDF=Y")</f>
        <v>#NAME?</v>
      </c>
      <c r="CW361" s="4" t="e">
        <f ca="1">_xll.BDH($C$353,"ACCT_RCV_TURN","FQ3 2015","FQ3 2015","Currency=INR","Period=FQ","BEST_FPERIOD_OVERRIDE=FQ","FILING_STATUS=OR","EQY_CONSOLIDATED=Y","FA_ADJUSTED=GAAP","Sort=A","Dates=H","DateFormat=P","Fill=—","Direction=H","UseDPDF=Y")</f>
        <v>#NAME?</v>
      </c>
      <c r="CX361" s="2" t="e">
        <f ca="1">_xll.BDH($C$353,"ACCT_RCV_DAYS","FQ3 2015","FQ3 2015","Currency=INR","Period=FQ","BEST_FPERIOD_OVERRIDE=FQ","FILING_STATUS=OR","EQY_CONSOLIDATED=Y","FA_ADJUSTED=GAAP","Sort=A","Dates=H","DateFormat=P","Fill=—","Direction=H","UseDPDF=Y")</f>
        <v>#NAME?</v>
      </c>
      <c r="CY361" s="4" t="e">
        <f ca="1">_xll.BDH($C$353,"INVENT_TURN","FQ3 2015","FQ3 2015","Currency=INR","Period=FQ","BEST_FPERIOD_OVERRIDE=FQ","FILING_STATUS=OR","EQY_CONSOLIDATED=Y","FA_ADJUSTED=GAAP","Sort=A","Dates=H","DateFormat=P","Fill=—","Direction=H","UseDPDF=Y")</f>
        <v>#NAME?</v>
      </c>
      <c r="CZ361" s="2" t="e">
        <f ca="1">_xll.BDH($C$353,"INVENT_DAYS","FQ3 2015","FQ3 2015","Currency=INR","Period=FQ","BEST_FPERIOD_OVERRIDE=FQ","FILING_STATUS=OR","EQY_CONSOLIDATED=Y","FA_ADJUSTED=GAAP","Sort=A","Dates=H","DateFormat=P","Fill=—","Direction=H","UseDPDF=Y")</f>
        <v>#NAME?</v>
      </c>
      <c r="DA361" s="4" t="e">
        <f ca="1">_xll.BDH($C$353,"ACCOUNTS_PAYABLE_TURNOVER","FQ3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61" s="2" t="e">
        <f ca="1">_xll.BDH($C$353,"ACCOUNTS_PAYABLE_TURNOVER_DAYS","FQ3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61" s="4" t="e">
        <f ca="1">_xll.BDH($C$353,"CASH_CONVERSION_CYCLE","FQ3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61" s="4" t="e">
        <f ca="1">_xll.BDH($C$353,"INV_TO_CASH_DAYS","FQ3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361" s="5" t="e">
        <f ca="1">_xll.BDH($C$353,"BS_INVENTORIES","FQ3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361" s="3" t="e">
        <f ca="1">_xll.BDH($C$353,"INVTRY_RAW_MATERIALS","FQ3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61" s="3" t="e">
        <f ca="1">_xll.BDH($C$353,"INVTRY_IN_PROGRESS","FQ3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61" s="3" t="e">
        <f ca="1">_xll.BDH($C$353,"INVTRY_FINISHED_GOODS","FQ3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61" s="3" t="e">
        <f ca="1">_xll.BDH($C$353,"BS_OTHER_INV","FQ3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62" spans="1:113" x14ac:dyDescent="0.3">
      <c r="A362" s="6"/>
      <c r="B362" s="6"/>
      <c r="C362" s="6"/>
      <c r="D362" s="6"/>
      <c r="E362" t="s">
        <v>81</v>
      </c>
      <c r="F362" t="e">
        <f ca="1">_xll.BDH($C$353,"RETURN_COM_EQY","FQ4 2015","FQ4 2015","Currency=INR","Period=FQ","BEST_FPERIOD_OVERRIDE=FQ","FILING_STATUS=OR","EQY_CONSOLIDATED=Y","FA_ADJUSTED=GAAP","Sort=A","Dates=H","DateFormat=P","Fill=—","Direction=H","UseDPDF=Y")</f>
        <v>#NAME?</v>
      </c>
      <c r="G362" t="e">
        <f ca="1">_xll.BDH($C$353,"RETURN_ON_ASSET","FQ4 2015","FQ4 2015","Currency=INR","Period=FQ","BEST_FPERIOD_OVERRIDE=FQ","FILING_STATUS=OR","EQY_CONSOLIDATED=Y","FA_ADJUSTED=GAAP","Sort=A","Dates=H","DateFormat=P","Fill=—","Direction=H","UseDPDF=Y")</f>
        <v>#NAME?</v>
      </c>
      <c r="H362" t="e">
        <f ca="1">_xll.BDH($C$353,"RETURN_ON_CAP","FQ4 2015","FQ4 2015","Currency=INR","Period=FQ","BEST_FPERIOD_OVERRIDE=FQ","FILING_STATUS=OR","EQY_CONSOLIDATED=Y","FA_ADJUSTED=GAAP","Sort=A","Dates=H","DateFormat=P","Fill=—","Direction=H","UseDPDF=Y")</f>
        <v>#NAME?</v>
      </c>
      <c r="I362" t="e">
        <f ca="1">_xll.BDH($C$353,"RETURN_ON_INV_CAPITAL","FQ4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62" t="e">
        <f ca="1">_xll.BDH($C$353,"EBITDA_TO_REVENUE","FQ4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362" t="e">
        <f ca="1">_xll.BDH($C$353,"OPER_MARGIN","FQ4 2015","FQ4 2015","Currency=INR","Period=FQ","BEST_FPERIOD_OVERRIDE=FQ","FILING_STATUS=OR","EQY_CONSOLIDATED=Y","FA_ADJUSTED=GAAP","Sort=A","Dates=H","DateFormat=P","Fill=—","Direction=H","UseDPDF=Y")</f>
        <v>#NAME?</v>
      </c>
      <c r="L362" t="e">
        <f ca="1">_xll.BDH($C$353,"INCREMENTAL_OPERATING_MARGIN","FQ4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62" t="e">
        <f ca="1">_xll.BDH($C$353,"PRETAX_INC_TO_NET_SALES","FQ4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62" t="e">
        <f ca="1">_xll.BDH($C$353,"INC_BEF_XO_ITEMS_TO_NET_SALES","FQ4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62" t="e">
        <f ca="1">_xll.BDH($C$353,"PROF_MARGIN","FQ4 2015","FQ4 2015","Currency=INR","Period=FQ","BEST_FPERIOD_OVERRIDE=FQ","FILING_STATUS=OR","EQY_CONSOLIDATED=Y","FA_ADJUSTED=GAAP","Sort=A","Dates=H","DateFormat=P","Fill=—","Direction=H","UseDPDF=Y")</f>
        <v>#NAME?</v>
      </c>
      <c r="P362" t="e">
        <f ca="1">_xll.BDH($C$353,"NET_INCOME_TO_COMMON_MARGIN","FQ4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62" t="e">
        <f ca="1">_xll.BDH($C$353,"EFF_TAX_RATE","FQ4 2015","FQ4 2015","Currency=INR","Period=FQ","BEST_FPERIOD_OVERRIDE=FQ","FILING_STATUS=OR","EQY_CONSOLIDATED=Y","FA_ADJUSTED=GAAP","Sort=A","Dates=H","DateFormat=P","Fill=—","Direction=H","UseDPDF=Y")</f>
        <v>#NAME?</v>
      </c>
      <c r="R362" t="e">
        <f ca="1">_xll.BDH($C$353,"DVD_PAYOUT_RATIO","FQ4 2015","FQ4 2015","Currency=INR","Period=FQ","BEST_FPERIOD_OVERRIDE=FQ","FILING_STATUS=OR","EQY_CONSOLIDATED=Y","FA_ADJUSTED=GAAP","Sort=A","Dates=H","DateFormat=P","Fill=—","Direction=H","UseDPDF=Y")</f>
        <v>#NAME?</v>
      </c>
      <c r="S362" t="e">
        <f ca="1">_xll.BDH($C$353,"SUSTAIN_GROWTH_RT","FQ4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362" s="2" t="e">
        <f ca="1">_xll.BDH($C$353,"SALES_GROWTH","FQ4 2015","FQ4 2015","Currency=INR","Period=FQ","BEST_FPERIOD_OVERRIDE=FQ","FILING_STATUS=OR","EQY_CONSOLIDATED=Y","FA_ADJUSTED=GAAP","Sort=A","Dates=H","DateFormat=P","Fill=—","Direction=H","UseDPDF=Y")</f>
        <v>#NAME?</v>
      </c>
      <c r="U362" s="2" t="e">
        <f ca="1">_xll.BDH($C$353,"EBITDA_GROWTH","FQ4 2015","FQ4 2015","Currency=INR","Period=FQ","BEST_FPERIOD_OVERRIDE=FQ","FILING_STATUS=OR","EQY_CONSOLIDATED=Y","FA_ADJUSTED=GAAP","Sort=A","Dates=H","DateFormat=P","Fill=—","Direction=H","UseDPDF=Y")</f>
        <v>#NAME?</v>
      </c>
      <c r="V362" s="2" t="e">
        <f ca="1">_xll.BDH($C$353,"OPER_INC_GROWTH","FQ4 2015","FQ4 2015","Currency=INR","Period=FQ","BEST_FPERIOD_OVERRIDE=FQ","FILING_STATUS=OR","EQY_CONSOLIDATED=Y","FA_ADJUSTED=GAAP","Sort=A","Dates=H","DateFormat=P","Fill=—","Direction=H","UseDPDF=Y")</f>
        <v>#NAME?</v>
      </c>
      <c r="W362" s="2" t="e">
        <f ca="1">_xll.BDH($C$353,"EARN_FOR_COM_GROWTH","FQ4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62" s="2" t="e">
        <f ca="1">_xll.BDH($C$353,"DILUTED_EPS_AFT_XO_ITEMS_GROWTH","FQ4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62" s="2" t="e">
        <f ca="1">_xll.BDH($C$353,"DIVIDEND_PER_SHARE_1_YEAR_GROWTH","FQ4 2015","FQ4 2015","Currency=INR","Period=FQ","BEST_FPERIOD_OVERRIDE=FQ","FILING_STATUS=OR","EQY_CONSOLIDATED=Y","Sort=A","Dates=H","DateFormat=P","Fill=—","Direction=H","UseDPDF=Y")</f>
        <v>#NAME?</v>
      </c>
      <c r="Z362" s="2" t="e">
        <f ca="1">_xll.BDH($C$353,"ACCOUNTS_RECEIVABLE_GROWTH","FQ4 2015","FQ4 2015","Currency=INR","Period=FQ","BEST_FPERIOD_OVERRIDE=FQ","FILING_STATUS=OR","EQY_CONSOLIDATED=Y","Sort=A","Dates=H","DateFormat=P","Fill=—","Direction=H","UseDPDF=Y")</f>
        <v>#NAME?</v>
      </c>
      <c r="AA362" s="2" t="e">
        <f ca="1">_xll.BDH($C$353,"INVENTORY_GROWTH","FQ4 2015","FQ4 2015","Currency=INR","Period=FQ","BEST_FPERIOD_OVERRIDE=FQ","FILING_STATUS=OR","EQY_CONSOLIDATED=Y","Sort=A","Dates=H","DateFormat=P","Fill=—","Direction=H","UseDPDF=Y")</f>
        <v>#NAME?</v>
      </c>
      <c r="AB362" s="2" t="e">
        <f ca="1">_xll.BDH($C$353,"NET_FIXED_ASSETS_1_YEAR_GROWTH","FQ4 2015","FQ4 2015","Currency=INR","Period=FQ","BEST_FPERIOD_OVERRIDE=FQ","FILING_STATUS=OR","EQY_CONSOLIDATED=Y","Sort=A","Dates=H","DateFormat=P","Fill=—","Direction=H","UseDPDF=Y")</f>
        <v>#NAME?</v>
      </c>
      <c r="AC362" s="2" t="e">
        <f ca="1">_xll.BDH($C$353,"ASSET_GROWTH","FQ4 2015","FQ4 2015","Currency=INR","Period=FQ","BEST_FPERIOD_OVERRIDE=FQ","FILING_STATUS=OR","EQY_CONSOLIDATED=Y","Sort=A","Dates=H","DateFormat=P","Fill=—","Direction=H","UseDPDF=Y")</f>
        <v>#NAME?</v>
      </c>
      <c r="AD362" s="2" t="e">
        <f ca="1">_xll.BDH($C$353,"MODIFIED_WORK_CAP_GROWTH","FQ4 2015","FQ4 2015","Currency=INR","Period=FQ","BEST_FPERIOD_OVERRIDE=FQ","FILING_STATUS=OR","EQY_CONSOLIDATED=Y","Sort=A","Dates=H","DateFormat=P","Fill=—","Direction=H","UseDPDF=Y")</f>
        <v>#NAME?</v>
      </c>
      <c r="AE362" s="2" t="e">
        <f ca="1">_xll.BDH($C$353,"WORK_CAP_GROWTH","FQ4 2015","FQ4 2015","Currency=INR","Period=FQ","BEST_FPERIOD_OVERRIDE=FQ","FILING_STATUS=OR","EQY_CONSOLIDATED=Y","Sort=A","Dates=H","DateFormat=P","Fill=—","Direction=H","UseDPDF=Y")</f>
        <v>#NAME?</v>
      </c>
      <c r="AF362" s="2" t="e">
        <f ca="1">_xll.BDH($C$353,"ACCOUNTS_PAYABLE_GROWTH_1YR","FQ4 2015","FQ4 2015","Currency=INR","Period=FQ","BEST_FPERIOD_OVERRIDE=FQ","FILING_STATUS=OR","EQY_CONSOLIDATED=Y","Sort=A","Dates=H","DateFormat=P","Fill=—","Direction=H","UseDPDF=Y")</f>
        <v>#NAME?</v>
      </c>
      <c r="AG362" s="2" t="e">
        <f ca="1">_xll.BDH($C$353,"SHORT_TERM_DEBT_1_YEAR_GROWTH","FQ4 2015","FQ4 2015","Currency=INR","Period=FQ","BEST_FPERIOD_OVERRIDE=FQ","FILING_STATUS=OR","EQY_CONSOLIDATED=Y","Sort=A","Dates=H","DateFormat=P","Fill=—","Direction=H","UseDPDF=Y")</f>
        <v>#NAME?</v>
      </c>
      <c r="AH362" s="2" t="e">
        <f ca="1">_xll.BDH($C$353,"TOTAL_DEBT_1_YEAR_GROWTH","FQ4 2015","FQ4 2015","Currency=INR","Period=FQ","BEST_FPERIOD_OVERRIDE=FQ","FILING_STATUS=OR","EQY_CONSOLIDATED=Y","Sort=A","Dates=H","DateFormat=P","Fill=—","Direction=H","UseDPDF=Y")</f>
        <v>#NAME?</v>
      </c>
      <c r="AI362" s="2" t="e">
        <f ca="1">_xll.BDH($C$353,"TOTAL_EQUITY_1_YEAR_GROWTH","FQ4 2015","FQ4 2015","Currency=INR","Period=FQ","BEST_FPERIOD_OVERRIDE=FQ","FILING_STATUS=OR","EQY_CONSOLIDATED=Y","Sort=A","Dates=H","DateFormat=P","Fill=—","Direction=H","UseDPDF=Y")</f>
        <v>#NAME?</v>
      </c>
      <c r="AJ362" s="2" t="e">
        <f ca="1">_xll.BDH($C$353,"GROWTH_IN_CAP","FQ4 2015","FQ4 2015","Currency=INR","Period=FQ","BEST_FPERIOD_OVERRIDE=FQ","FILING_STATUS=OR","EQY_CONSOLIDATED=Y","Sort=A","Dates=H","DateFormat=P","Fill=—","Direction=H","UseDPDF=Y")</f>
        <v>#NAME?</v>
      </c>
      <c r="AK362" s="2" t="e">
        <f ca="1">_xll.BDH($C$353,"BVPS_GROWTH","FQ4 2015","FQ4 2015","Currency=INR","Period=FQ","BEST_FPERIOD_OVERRIDE=FQ","FILING_STATUS=OR","EQY_CONSOLIDATED=Y","Sort=A","Dates=H","DateFormat=P","Fill=—","Direction=H","UseDPDF=Y")</f>
        <v>#NAME?</v>
      </c>
      <c r="AL362" s="2" t="e">
        <f ca="1">_xll.BDH($C$353,"CASH_FLOW_GROWTH","FQ4 2015","FQ4 2015","Currency=INR","Period=FQ","BEST_FPERIOD_OVERRIDE=FQ","FILING_STATUS=OR","EQY_CONSOLIDATED=Y","Sort=A","Dates=H","DateFormat=P","Fill=—","Direction=H","UseDPDF=Y")</f>
        <v>#NAME?</v>
      </c>
      <c r="AM362" s="2" t="e">
        <f ca="1">_xll.BDH($C$353,"GEO_GROW_NET_SALES","FQ4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62" s="2" t="e">
        <f ca="1">_xll.BDH($C$353,"GEO_GROW_EBITDA","FQ4 2015","FQ4 2015","Currency=INR","Period=FQ","BEST_FPERIOD_OVERRIDE=FQ","FILING_STATUS=OR","EQY_CONSOLIDATED=Y","FA_ADJUSTED=GAAP","Sort=A","Dates=H","DateFormat=P","Fill=—","Direction=H","UseDPDF=Y")</f>
        <v>#NAME?</v>
      </c>
      <c r="AO362" s="2" t="e">
        <f ca="1">_xll.BDH($C$353,"GEO_GROW_OPER_INC","FQ4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62" s="2" t="e">
        <f ca="1">_xll.BDH($C$353,"NET_INCOME_TO_COMMON_5_YR_GROWTH","FQ4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62" s="2" t="e">
        <f ca="1">_xll.BDH($C$353,"5Y_GEO_GROWTH_DILUTED_EPS","FQ4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62" s="2" t="e">
        <f ca="1">_xll.BDH($C$353,"GEO_GROW_DVD_PER_SH","FQ4 2015","FQ4 2015","Currency=INR","Period=FQ","BEST_FPERIOD_OVERRIDE=FQ","FILING_STATUS=OR","EQY_CONSOLIDATED=Y","Sort=A","Dates=H","DateFormat=P","Fill=—","Direction=H","UseDPDF=Y")</f>
        <v>#NAME?</v>
      </c>
      <c r="AS362" s="2" t="e">
        <f ca="1">_xll.BDH($C$353,"ACCOUNTS_RECEIVABLE_5_YR_GROWTH","FQ4 2015","FQ4 2015","Currency=INR","Period=FQ","BEST_FPERIOD_OVERRIDE=FQ","FILING_STATUS=OR","EQY_CONSOLIDATED=Y","Sort=A","Dates=H","DateFormat=P","Fill=—","Direction=H","UseDPDF=Y")</f>
        <v>#NAME?</v>
      </c>
      <c r="AT362" s="2" t="e">
        <f ca="1">_xll.BDH($C$353,"INVENTORY_5_YEAR_GROWTH","FQ4 2015","FQ4 2015","Currency=INR","Period=FQ","BEST_FPERIOD_OVERRIDE=FQ","FILING_STATUS=OR","EQY_CONSOLIDATED=Y","Sort=A","Dates=H","DateFormat=P","Fill=—","Direction=H","UseDPDF=Y")</f>
        <v>#NAME?</v>
      </c>
      <c r="AU362" s="2" t="e">
        <f ca="1">_xll.BDH($C$353,"NET_FIXED_ASSETS_5_YEAR_GROWTH","FQ4 2015","FQ4 2015","Currency=INR","Period=FQ","BEST_FPERIOD_OVERRIDE=FQ","FILING_STATUS=OR","EQY_CONSOLIDATED=Y","Sort=A","Dates=H","DateFormat=P","Fill=—","Direction=H","UseDPDF=Y")</f>
        <v>#NAME?</v>
      </c>
      <c r="AV362" s="2" t="e">
        <f ca="1">_xll.BDH($C$353,"GEO_GROW_TOT_ASSET","FQ4 2015","FQ4 2015","Currency=INR","Period=FQ","BEST_FPERIOD_OVERRIDE=FQ","FILING_STATUS=OR","EQY_CONSOLIDATED=Y","Sort=A","Dates=H","DateFormat=P","Fill=—","Direction=H","UseDPDF=Y")</f>
        <v>#NAME?</v>
      </c>
      <c r="AW362" s="2" t="e">
        <f ca="1">_xll.BDH($C$353,"MODIFIED_WORKING_CPTL_5YR_GRWTH","FQ4 2015","FQ4 2015","Currency=INR","Period=FQ","BEST_FPERIOD_OVERRIDE=FQ","FILING_STATUS=OR","EQY_CONSOLIDATED=Y","Sort=A","Dates=H","DateFormat=P","Fill=—","Direction=H","UseDPDF=Y")</f>
        <v>#NAME?</v>
      </c>
      <c r="AX362" s="2" t="e">
        <f ca="1">_xll.BDH($C$353,"WORKING_CAPITAL_5_YEAR_GROWTH","FQ4 2015","FQ4 2015","Currency=INR","Period=FQ","BEST_FPERIOD_OVERRIDE=FQ","FILING_STATUS=OR","EQY_CONSOLIDATED=Y","Sort=A","Dates=H","DateFormat=P","Fill=—","Direction=H","UseDPDF=Y")</f>
        <v>#NAME?</v>
      </c>
      <c r="AY362" s="2" t="e">
        <f ca="1">_xll.BDH($C$353,"ACCOUNTS_PAYABLE_5_YEAR_GROWTH","FQ4 2015","FQ4 2015","Currency=INR","Period=FQ","BEST_FPERIOD_OVERRIDE=FQ","FILING_STATUS=OR","EQY_CONSOLIDATED=Y","Sort=A","Dates=H","DateFormat=P","Fill=—","Direction=H","UseDPDF=Y")</f>
        <v>#NAME?</v>
      </c>
      <c r="AZ362" s="2" t="e">
        <f ca="1">_xll.BDH($C$353,"SHORT_TERM_DEBT_5_YEAR_GROWTH","FQ4 2015","FQ4 2015","Currency=INR","Period=FQ","BEST_FPERIOD_OVERRIDE=FQ","FILING_STATUS=OR","EQY_CONSOLIDATED=Y","Sort=A","Dates=H","DateFormat=P","Fill=—","Direction=H","UseDPDF=Y")</f>
        <v>#NAME?</v>
      </c>
      <c r="BA362" s="2" t="e">
        <f ca="1">_xll.BDH($C$353,"TOTAL_DEBT_5_YEAR_GROWTH","FQ4 2015","FQ4 2015","Currency=INR","Period=FQ","BEST_FPERIOD_OVERRIDE=FQ","FILING_STATUS=OR","EQY_CONSOLIDATED=Y","Sort=A","Dates=H","DateFormat=P","Fill=—","Direction=H","UseDPDF=Y")</f>
        <v>#NAME?</v>
      </c>
      <c r="BB362" s="2" t="e">
        <f ca="1">_xll.BDH($C$353,"GEO_GROW_TOT_SHRHLDR_EQY","FQ4 2015","FQ4 2015","Currency=INR","Period=FQ","BEST_FPERIOD_OVERRIDE=FQ","FILING_STATUS=OR","EQY_CONSOLIDATED=Y","Sort=A","Dates=H","DateFormat=P","Fill=—","Direction=H","UseDPDF=Y")</f>
        <v>#NAME?</v>
      </c>
      <c r="BC362" s="2" t="e">
        <f ca="1">_xll.BDH($C$353,"TOTAL_CAPITAL_5_YEAR_GROWTH","FQ4 2015","FQ4 2015","Currency=INR","Period=FQ","BEST_FPERIOD_OVERRIDE=FQ","FILING_STATUS=OR","EQY_CONSOLIDATED=Y","Sort=A","Dates=H","DateFormat=P","Fill=—","Direction=H","UseDPDF=Y")</f>
        <v>#NAME?</v>
      </c>
      <c r="BD362" s="2" t="e">
        <f ca="1">_xll.BDH($C$353,"GEO_GROW_BOOK_VAL","FQ4 2015","FQ4 2015","Currency=INR","Period=FQ","BEST_FPERIOD_OVERRIDE=FQ","FILING_STATUS=OR","EQY_CONSOLIDATED=Y","Sort=A","Dates=H","DateFormat=P","Fill=—","Direction=H","UseDPDF=Y")</f>
        <v>#NAME?</v>
      </c>
      <c r="BE362" s="2" t="e">
        <f ca="1">_xll.BDH($C$353,"GEO_GROW_CASH_OPER_ACT","FQ4 2015","FQ4 2015","Currency=INR","Period=FQ","BEST_FPERIOD_OVERRIDE=FQ","FILING_STATUS=OR","EQY_CONSOLIDATED=Y","Sort=A","Dates=H","DateFormat=P","Fill=—","Direction=H","UseDPDF=Y")</f>
        <v>#NAME?</v>
      </c>
      <c r="BF362" s="2" t="e">
        <f ca="1">_xll.BDH($C$353,"REVENUE_SEQUENTIAL_GROWTH","FQ4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62" s="2" t="e">
        <f ca="1">_xll.BDH($C$353,"EBITDA_SEQUENTIAL_GROWTH","FQ4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62" s="2" t="e">
        <f ca="1">_xll.BDH($C$353,"OPERATING_INCOME_SEQ_GROWTH","FQ4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62" s="2" t="e">
        <f ca="1">_xll.BDH($C$353,"NET_INCOME_TO_COMMON_SEQ_GROWTH","FQ4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62" s="2" t="e">
        <f ca="1">_xll.BDH($C$353,"EPS_DILUTED_SEQUENTIAL_GROWTH","FQ4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62" s="2" t="e">
        <f ca="1">_xll.BDH($C$353,"DPS_SEQUENTIAL_GROWTH","FQ4 2015","FQ4 2015","Currency=INR","Period=FQ","BEST_FPERIOD_OVERRIDE=FQ","FILING_STATUS=OR","EQY_CONSOLIDATED=Y","Sort=A","Dates=H","DateFormat=P","Fill=—","Direction=H","UseDPDF=Y")</f>
        <v>#NAME?</v>
      </c>
      <c r="BL362" s="2" t="e">
        <f ca="1">_xll.BDH($C$353,"ACCOUNTS_RECEIVABLE_SEQ_GROWTH","FQ4 2015","FQ4 2015","Currency=INR","Period=FQ","BEST_FPERIOD_OVERRIDE=FQ","FILING_STATUS=OR","EQY_CONSOLIDATED=Y","Sort=A","Dates=H","DateFormat=P","Fill=—","Direction=H","UseDPDF=Y")</f>
        <v>#NAME?</v>
      </c>
      <c r="BM362" s="2" t="e">
        <f ca="1">_xll.BDH($C$353,"INVENTORY_SEQUENTIAL_GROWTH","FQ4 2015","FQ4 2015","Currency=INR","Period=FQ","BEST_FPERIOD_OVERRIDE=FQ","FILING_STATUS=OR","EQY_CONSOLIDATED=Y","Sort=A","Dates=H","DateFormat=P","Fill=—","Direction=H","UseDPDF=Y")</f>
        <v>#NAME?</v>
      </c>
      <c r="BN362" s="2" t="e">
        <f ca="1">_xll.BDH($C$353,"FIXED_ASSETS_SEQUENTIAL_GROWTH","FQ4 2015","FQ4 2015","Currency=INR","Period=FQ","BEST_FPERIOD_OVERRIDE=FQ","FILING_STATUS=OR","EQY_CONSOLIDATED=Y","Sort=A","Dates=H","DateFormat=P","Fill=—","Direction=H","UseDPDF=Y")</f>
        <v>#NAME?</v>
      </c>
      <c r="BO362" s="2" t="e">
        <f ca="1">_xll.BDH($C$353,"TOTAL_ASSETS_SEQUENTIAL_GROWTH","FQ4 2015","FQ4 2015","Currency=INR","Period=FQ","BEST_FPERIOD_OVERRIDE=FQ","FILING_STATUS=OR","EQY_CONSOLIDATED=Y","Sort=A","Dates=H","DateFormat=P","Fill=—","Direction=H","UseDPDF=Y")</f>
        <v>#NAME?</v>
      </c>
      <c r="BP362" s="2" t="e">
        <f ca="1">_xll.BDH($C$353,"MODIFIED_WORKING_CPTL_SEQ_GRWTH","FQ4 2015","FQ4 2015","Currency=INR","Period=FQ","BEST_FPERIOD_OVERRIDE=FQ","FILING_STATUS=OR","EQY_CONSOLIDATED=Y","Sort=A","Dates=H","DateFormat=P","Fill=—","Direction=H","UseDPDF=Y")</f>
        <v>#NAME?</v>
      </c>
      <c r="BQ362" s="2" t="e">
        <f ca="1">_xll.BDH($C$353,"WORKING_CAPITAL_SEQ_GROWTH","FQ4 2015","FQ4 2015","Currency=INR","Period=FQ","BEST_FPERIOD_OVERRIDE=FQ","FILING_STATUS=OR","EQY_CONSOLIDATED=Y","Sort=A","Dates=H","DateFormat=P","Fill=—","Direction=H","UseDPDF=Y")</f>
        <v>#NAME?</v>
      </c>
      <c r="BR362" s="2" t="e">
        <f ca="1">_xll.BDH($C$353,"ACCOUNTS_PAYABLE_SEQ_GROWTH","FQ4 2015","FQ4 2015","Currency=INR","Period=FQ","BEST_FPERIOD_OVERRIDE=FQ","FILING_STATUS=OR","EQY_CONSOLIDATED=Y","Sort=A","Dates=H","DateFormat=P","Fill=—","Direction=H","UseDPDF=Y")</f>
        <v>#NAME?</v>
      </c>
      <c r="BS362" s="2" t="e">
        <f ca="1">_xll.BDH($C$353,"ST_DEBT_SEQUENTIAL_GROWTH","FQ4 2015","FQ4 2015","Currency=INR","Period=FQ","BEST_FPERIOD_OVERRIDE=FQ","FILING_STATUS=OR","EQY_CONSOLIDATED=Y","Sort=A","Dates=H","DateFormat=P","Fill=—","Direction=H","UseDPDF=Y")</f>
        <v>#NAME?</v>
      </c>
      <c r="BT362" s="2" t="e">
        <f ca="1">_xll.BDH($C$353,"TOTAL_DEBT_SEQUENTIAL_GROWTH","FQ4 2015","FQ4 2015","Currency=INR","Period=FQ","BEST_FPERIOD_OVERRIDE=FQ","FILING_STATUS=OR","EQY_CONSOLIDATED=Y","Sort=A","Dates=H","DateFormat=P","Fill=—","Direction=H","UseDPDF=Y")</f>
        <v>#NAME?</v>
      </c>
      <c r="BU362" s="2" t="e">
        <f ca="1">_xll.BDH($C$353,"TOTAL_EQUITY_SEQUENTIAL_GROWTH","FQ4 2015","FQ4 2015","Currency=INR","Period=FQ","BEST_FPERIOD_OVERRIDE=FQ","FILING_STATUS=OR","EQY_CONSOLIDATED=Y","Sort=A","Dates=H","DateFormat=P","Fill=—","Direction=H","UseDPDF=Y")</f>
        <v>#NAME?</v>
      </c>
      <c r="BV362" s="2" t="e">
        <f ca="1">_xll.BDH($C$353,"TOTAL_CAPITAL_SEQUENTIAL_GROWTH","FQ4 2015","FQ4 2015","Currency=INR","Period=FQ","BEST_FPERIOD_OVERRIDE=FQ","FILING_STATUS=OR","EQY_CONSOLIDATED=Y","Sort=A","Dates=H","DateFormat=P","Fill=—","Direction=H","UseDPDF=Y")</f>
        <v>#NAME?</v>
      </c>
      <c r="BW362" s="2" t="e">
        <f ca="1">_xll.BDH($C$353,"BPS_SEQUENTIAL_GROWTH","FQ4 2015","FQ4 2015","Currency=INR","Period=FQ","BEST_FPERIOD_OVERRIDE=FQ","FILING_STATUS=OR","EQY_CONSOLIDATED=Y","Sort=A","Dates=H","DateFormat=P","Fill=—","Direction=H","UseDPDF=Y")</f>
        <v>#NAME?</v>
      </c>
      <c r="BX362" s="2" t="e">
        <f ca="1">_xll.BDH($C$353,"CFO_SEQUENTIAL_GROWTH","FQ4 2015","FQ4 2015","Currency=INR","Period=FQ","BEST_FPERIOD_OVERRIDE=FQ","FILING_STATUS=OR","EQY_CONSOLIDATED=Y","Sort=A","Dates=H","DateFormat=P","Fill=—","Direction=H","UseDPDF=Y")</f>
        <v>#NAME?</v>
      </c>
      <c r="BY362" s="3" t="e">
        <f ca="1">_xll.BDH($C$353,"SHORT_AND_LONG_TERM_DEBT","FQ4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62" s="3" t="e">
        <f ca="1">_xll.BDH($C$353,"BS_ST_BORROW","FQ4 2015","FQ4 2015","Currency=INR","Period=FQ","BEST_FPERIOD_OVERRIDE=FQ","FILING_STATUS=OR","EQY_CONSOLIDATED=Y","SCALING_FORMAT=MLN","Sort=A","Dates=H","DateFormat=P","Fill=—","Direction=H","UseDPDF=Y")</f>
        <v>#NAME?</v>
      </c>
      <c r="CA362" s="3" t="e">
        <f ca="1">_xll.BDH($C$353,"BS_LT_BORROW","FQ4 2015","FQ4 2015","Currency=INR","Period=FQ","BEST_FPERIOD_OVERRIDE=FQ","FILING_STATUS=OR","EQY_CONSOLIDATED=Y","SCALING_FORMAT=MLN","Sort=A","Dates=H","DateFormat=P","Fill=—","Direction=H","UseDPDF=Y")</f>
        <v>#NAME?</v>
      </c>
      <c r="CB362" s="2" t="e">
        <f ca="1">_xll.BDH($C$353,"TOT_DEBT_TO_EBITDA","FQ4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62" s="2" t="e">
        <f ca="1">_xll.BDH($C$353,"NET_DEBT_TO_EBITDA","FQ4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62" s="2" t="e">
        <f ca="1">_xll.BDH($C$353,"TOTAL_DEBT_TO_EBIT","FQ4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62" s="2" t="e">
        <f ca="1">_xll.BDH($C$353,"NET_DEBT_TO_EBIT","FQ4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362" s="2" t="e">
        <f ca="1">_xll.BDH($C$353,"EBITDA_TO_INTEREST_EXPN","FQ4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62" s="2" t="e">
        <f ca="1">_xll.BDH($C$353,"COM_EQY_TO_TOT_ASSET","FQ4 2015","FQ4 2015","Currency=INR","Period=FQ","BEST_FPERIOD_OVERRIDE=FQ","FILING_STATUS=OR","EQY_CONSOLIDATED=Y","Sort=A","Dates=H","DateFormat=P","Fill=—","Direction=H","UseDPDF=Y")</f>
        <v>#NAME?</v>
      </c>
      <c r="CH362" s="2" t="e">
        <f ca="1">_xll.BDH($C$353,"LT_DEBT_TO_TOT_EQY","FQ4 2015","FQ4 2015","Currency=INR","Period=FQ","BEST_FPERIOD_OVERRIDE=FQ","FILING_STATUS=OR","EQY_CONSOLIDATED=Y","Sort=A","Dates=H","DateFormat=P","Fill=—","Direction=H","UseDPDF=Y")</f>
        <v>#NAME?</v>
      </c>
      <c r="CI362" s="2" t="e">
        <f ca="1">_xll.BDH($C$353,"LT_DEBT_TO_TOT_CAP","FQ4 2015","FQ4 2015","Currency=INR","Period=FQ","BEST_FPERIOD_OVERRIDE=FQ","FILING_STATUS=OR","EQY_CONSOLIDATED=Y","Sort=A","Dates=H","DateFormat=P","Fill=—","Direction=H","UseDPDF=Y")</f>
        <v>#NAME?</v>
      </c>
      <c r="CJ362" s="2" t="e">
        <f ca="1">_xll.BDH($C$353,"LT_DEBT_TO_TOT_ASSET","FQ4 2015","FQ4 2015","Currency=INR","Period=FQ","BEST_FPERIOD_OVERRIDE=FQ","FILING_STATUS=OR","EQY_CONSOLIDATED=Y","Sort=A","Dates=H","DateFormat=P","Fill=—","Direction=H","UseDPDF=Y")</f>
        <v>#NAME?</v>
      </c>
      <c r="CK362" s="2" t="e">
        <f ca="1">_xll.BDH($C$353,"TOT_DEBT_TO_TOT_EQY","FQ4 2015","FQ4 2015","Currency=INR","Period=FQ","BEST_FPERIOD_OVERRIDE=FQ","FILING_STATUS=OR","EQY_CONSOLIDATED=Y","Sort=A","Dates=H","DateFormat=P","Fill=—","Direction=H","UseDPDF=Y")</f>
        <v>#NAME?</v>
      </c>
      <c r="CL362" s="2" t="e">
        <f ca="1">_xll.BDH($C$353,"TOT_DEBT_TO_TOT_CAP","FQ4 2015","FQ4 2015","Currency=INR","Period=FQ","BEST_FPERIOD_OVERRIDE=FQ","FILING_STATUS=OR","EQY_CONSOLIDATED=Y","Sort=A","Dates=H","DateFormat=P","Fill=—","Direction=H","UseDPDF=Y")</f>
        <v>#NAME?</v>
      </c>
      <c r="CM362" s="2" t="e">
        <f ca="1">_xll.BDH($C$353,"TOT_DEBT_TO_TOT_ASSET","FQ4 2015","FQ4 2015","Currency=INR","Period=FQ","BEST_FPERIOD_OVERRIDE=FQ","FILING_STATUS=OR","EQY_CONSOLIDATED=Y","Sort=A","Dates=H","DateFormat=P","Fill=—","Direction=H","UseDPDF=Y")</f>
        <v>#NAME?</v>
      </c>
      <c r="CN362" s="2" t="e">
        <f ca="1">_xll.BDH($C$353,"NET_DEBT_TO_SHRHLDR_EQTY","FQ4 2015","FQ4 2015","Currency=INR","Period=FQ","BEST_FPERIOD_OVERRIDE=FQ","FILING_STATUS=OR","EQY_CONSOLIDATED=Y","Sort=A","Dates=H","DateFormat=P","Fill=—","Direction=H","UseDPDF=Y")</f>
        <v>#NAME?</v>
      </c>
      <c r="CO362" s="2" t="e">
        <f ca="1">_xll.BDH($C$353,"NET_DEBT_%_CAPITAL","FQ4 2015","FQ4 2015","Currency=INR","Period=FQ","BEST_FPERIOD_OVERRIDE=FQ","FILING_STATUS=OR","EQY_CONSOLIDATED=Y","Sort=A","Dates=H","DateFormat=P","Fill=—","Direction=H","UseDPDF=Y")</f>
        <v>#NAME?</v>
      </c>
      <c r="CP362" s="3" t="e">
        <f ca="1">_xll.BDH($C$353,"EBITDA","FQ4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62" s="3" t="e">
        <f ca="1">_xll.BDH($C$353,"EBITDA_AFTER_CAPEX","FQ4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62" s="3" t="e">
        <f ca="1">_xll.BDH($C$353,"IS_OPER_INC","FQ4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62" s="2" t="e">
        <f ca="1">_xll.BDH($C$353,"CASH_RATIO","FQ4 2015","FQ4 2015","Currency=INR","Period=FQ","BEST_FPERIOD_OVERRIDE=FQ","FILING_STATUS=OR","EQY_CONSOLIDATED=Y","Sort=A","Dates=H","DateFormat=P","Fill=—","Direction=H","UseDPDF=Y")</f>
        <v>#NAME?</v>
      </c>
      <c r="CT362" s="2" t="e">
        <f ca="1">_xll.BDH($C$353,"CUR_RATIO","FQ4 2015","FQ4 2015","Currency=INR","Period=FQ","BEST_FPERIOD_OVERRIDE=FQ","FILING_STATUS=OR","EQY_CONSOLIDATED=Y","Sort=A","Dates=H","DateFormat=P","Fill=—","Direction=H","UseDPDF=Y")</f>
        <v>#NAME?</v>
      </c>
      <c r="CU362" s="2" t="e">
        <f ca="1">_xll.BDH($C$353,"QUICK_RATIO","FQ4 2015","FQ4 2015","Currency=INR","Period=FQ","BEST_FPERIOD_OVERRIDE=FQ","FILING_STATUS=OR","EQY_CONSOLIDATED=Y","Sort=A","Dates=H","DateFormat=P","Fill=—","Direction=H","UseDPDF=Y")</f>
        <v>#NAME?</v>
      </c>
      <c r="CV362" s="2" t="e">
        <f ca="1">_xll.BDH($C$353,"ALTMAN_Z_SCORE","FQ4 2015","FQ4 2015","Currency=INR","Period=FQ","BEST_FPERIOD_OVERRIDE=FQ","FILING_STATUS=OR","EQY_CONSOLIDATED=Y","Sort=A","Dates=H","DateFormat=P","Fill=—","Direction=H","UseDPDF=Y")</f>
        <v>#NAME?</v>
      </c>
      <c r="CW362" s="4" t="e">
        <f ca="1">_xll.BDH($C$353,"ACCT_RCV_TURN","FQ4 2015","FQ4 2015","Currency=INR","Period=FQ","BEST_FPERIOD_OVERRIDE=FQ","FILING_STATUS=OR","EQY_CONSOLIDATED=Y","FA_ADJUSTED=GAAP","Sort=A","Dates=H","DateFormat=P","Fill=—","Direction=H","UseDPDF=Y")</f>
        <v>#NAME?</v>
      </c>
      <c r="CX362" s="2" t="e">
        <f ca="1">_xll.BDH($C$353,"ACCT_RCV_DAYS","FQ4 2015","FQ4 2015","Currency=INR","Period=FQ","BEST_FPERIOD_OVERRIDE=FQ","FILING_STATUS=OR","EQY_CONSOLIDATED=Y","FA_ADJUSTED=GAAP","Sort=A","Dates=H","DateFormat=P","Fill=—","Direction=H","UseDPDF=Y")</f>
        <v>#NAME?</v>
      </c>
      <c r="CY362" s="4" t="e">
        <f ca="1">_xll.BDH($C$353,"INVENT_TURN","FQ4 2015","FQ4 2015","Currency=INR","Period=FQ","BEST_FPERIOD_OVERRIDE=FQ","FILING_STATUS=OR","EQY_CONSOLIDATED=Y","FA_ADJUSTED=GAAP","Sort=A","Dates=H","DateFormat=P","Fill=—","Direction=H","UseDPDF=Y")</f>
        <v>#NAME?</v>
      </c>
      <c r="CZ362" s="2" t="e">
        <f ca="1">_xll.BDH($C$353,"INVENT_DAYS","FQ4 2015","FQ4 2015","Currency=INR","Period=FQ","BEST_FPERIOD_OVERRIDE=FQ","FILING_STATUS=OR","EQY_CONSOLIDATED=Y","FA_ADJUSTED=GAAP","Sort=A","Dates=H","DateFormat=P","Fill=—","Direction=H","UseDPDF=Y")</f>
        <v>#NAME?</v>
      </c>
      <c r="DA362" s="4" t="e">
        <f ca="1">_xll.BDH($C$353,"ACCOUNTS_PAYABLE_TURNOVER","FQ4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62" s="2" t="e">
        <f ca="1">_xll.BDH($C$353,"ACCOUNTS_PAYABLE_TURNOVER_DAYS","FQ4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62" s="4" t="e">
        <f ca="1">_xll.BDH($C$353,"CASH_CONVERSION_CYCLE","FQ4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62" s="4" t="e">
        <f ca="1">_xll.BDH($C$353,"INV_TO_CASH_DAYS","FQ4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362" s="5" t="e">
        <f ca="1">_xll.BDH($C$353,"BS_INVENTORIES","FQ4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362" s="3" t="e">
        <f ca="1">_xll.BDH($C$353,"INVTRY_RAW_MATERIALS","FQ4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62" s="3" t="e">
        <f ca="1">_xll.BDH($C$353,"INVTRY_IN_PROGRESS","FQ4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62" s="3" t="e">
        <f ca="1">_xll.BDH($C$353,"INVTRY_FINISHED_GOODS","FQ4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62" s="3" t="e">
        <f ca="1">_xll.BDH($C$353,"BS_OTHER_INV","FQ4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63" spans="1:113" x14ac:dyDescent="0.3">
      <c r="A363" s="6"/>
      <c r="B363" s="6"/>
      <c r="C363" s="6"/>
      <c r="D363" s="6" t="s">
        <v>83</v>
      </c>
      <c r="E363" t="s">
        <v>77</v>
      </c>
      <c r="F363" t="e">
        <f ca="1">_xll.BDH($C$353,"RETURN_COM_EQY","FY 2016","FY 2016","Currency=INR","Period=FY","BEST_FPERIOD_OVERRIDE=FY","FILING_STATUS=OR","EQY_CONSOLIDATED=Y","FA_ADJUSTED=GAAP","Sort=A","Dates=H","DateFormat=P","Fill=—","Direction=H","UseDPDF=Y")</f>
        <v>#NAME?</v>
      </c>
      <c r="G363" t="e">
        <f ca="1">_xll.BDH($C$353,"RETURN_ON_ASSET","FY 2016","FY 2016","Currency=INR","Period=FY","BEST_FPERIOD_OVERRIDE=FY","FILING_STATUS=OR","EQY_CONSOLIDATED=Y","FA_ADJUSTED=GAAP","Sort=A","Dates=H","DateFormat=P","Fill=—","Direction=H","UseDPDF=Y")</f>
        <v>#NAME?</v>
      </c>
      <c r="H363" t="e">
        <f ca="1">_xll.BDH($C$353,"RETURN_ON_CAP","FY 2016","FY 2016","Currency=INR","Period=FY","BEST_FPERIOD_OVERRIDE=FY","FILING_STATUS=OR","EQY_CONSOLIDATED=Y","FA_ADJUSTED=GAAP","Sort=A","Dates=H","DateFormat=P","Fill=—","Direction=H","UseDPDF=Y")</f>
        <v>#NAME?</v>
      </c>
      <c r="I363" t="e">
        <f ca="1">_xll.BDH($C$353,"RETURN_ON_INV_CAPITAL","FY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63" t="e">
        <f ca="1">_xll.BDH($C$353,"EBITDA_TO_REVENUE","FY 2016","FY 2016","Currency=INR","Period=FY","BEST_FPERIOD_OVERRIDE=FY","FILING_STATUS=OR","EQY_CONSOLIDATED=Y","FA_ADJUSTED=GAAP","Sort=A","Dates=H","DateFormat=P","Fill=—","Direction=H","UseDPDF=Y")</f>
        <v>#NAME?</v>
      </c>
      <c r="K363" t="e">
        <f ca="1">_xll.BDH($C$353,"OPER_MARGIN","FY 2016","FY 2016","Currency=INR","Period=FY","BEST_FPERIOD_OVERRIDE=FY","FILING_STATUS=OR","EQY_CONSOLIDATED=Y","FA_ADJUSTED=GAAP","Sort=A","Dates=H","DateFormat=P","Fill=—","Direction=H","UseDPDF=Y")</f>
        <v>#NAME?</v>
      </c>
      <c r="L363" t="e">
        <f ca="1">_xll.BDH($C$353,"INCREMENTAL_OPERATING_MARGIN","FY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63" t="e">
        <f ca="1">_xll.BDH($C$353,"PRETAX_INC_TO_NET_SALES","FY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63" t="e">
        <f ca="1">_xll.BDH($C$353,"INC_BEF_XO_ITEMS_TO_NET_SALES","FY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63" t="e">
        <f ca="1">_xll.BDH($C$353,"PROF_MARGIN","FY 2016","FY 2016","Currency=INR","Period=FY","BEST_FPERIOD_OVERRIDE=FY","FILING_STATUS=OR","EQY_CONSOLIDATED=Y","FA_ADJUSTED=GAAP","Sort=A","Dates=H","DateFormat=P","Fill=—","Direction=H","UseDPDF=Y")</f>
        <v>#NAME?</v>
      </c>
      <c r="P363" t="e">
        <f ca="1">_xll.BDH($C$353,"NET_INCOME_TO_COMMON_MARGIN","FY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63" t="e">
        <f ca="1">_xll.BDH($C$353,"EFF_TAX_RATE","FY 2016","FY 2016","Currency=INR","Period=FY","BEST_FPERIOD_OVERRIDE=FY","FILING_STATUS=OR","EQY_CONSOLIDATED=Y","FA_ADJUSTED=GAAP","Sort=A","Dates=H","DateFormat=P","Fill=—","Direction=H","UseDPDF=Y")</f>
        <v>#NAME?</v>
      </c>
      <c r="R363" t="e">
        <f ca="1">_xll.BDH($C$353,"DVD_PAYOUT_RATIO","FY 2016","FY 2016","Currency=INR","Period=FY","BEST_FPERIOD_OVERRIDE=FY","FILING_STATUS=OR","EQY_CONSOLIDATED=Y","FA_ADJUSTED=GAAP","Sort=A","Dates=H","DateFormat=P","Fill=—","Direction=H","UseDPDF=Y")</f>
        <v>#NAME?</v>
      </c>
      <c r="S363" t="e">
        <f ca="1">_xll.BDH($C$353,"SUSTAIN_GROWTH_RT","FY 2016","FY 2016","Currency=INR","Period=FY","BEST_FPERIOD_OVERRIDE=FY","FILING_STATUS=OR","EQY_CONSOLIDATED=Y","FA_ADJUSTED=GAAP","Sort=A","Dates=H","DateFormat=P","Fill=—","Direction=H","UseDPDF=Y")</f>
        <v>#NAME?</v>
      </c>
      <c r="T363" s="2" t="e">
        <f ca="1">_xll.BDH($C$353,"SALES_GROWTH","FY 2016","FY 2016","Currency=INR","Period=FY","BEST_FPERIOD_OVERRIDE=FY","FILING_STATUS=OR","EQY_CONSOLIDATED=Y","FA_ADJUSTED=GAAP","Sort=A","Dates=H","DateFormat=P","Fill=—","Direction=H","UseDPDF=Y")</f>
        <v>#NAME?</v>
      </c>
      <c r="U363" s="2" t="e">
        <f ca="1">_xll.BDH($C$353,"EBITDA_GROWTH","FY 2016","FY 2016","Currency=INR","Period=FY","BEST_FPERIOD_OVERRIDE=FY","FILING_STATUS=OR","EQY_CONSOLIDATED=Y","FA_ADJUSTED=GAAP","Sort=A","Dates=H","DateFormat=P","Fill=—","Direction=H","UseDPDF=Y")</f>
        <v>#NAME?</v>
      </c>
      <c r="V363" s="2" t="e">
        <f ca="1">_xll.BDH($C$353,"OPER_INC_GROWTH","FY 2016","FY 2016","Currency=INR","Period=FY","BEST_FPERIOD_OVERRIDE=FY","FILING_STATUS=OR","EQY_CONSOLIDATED=Y","FA_ADJUSTED=GAAP","Sort=A","Dates=H","DateFormat=P","Fill=—","Direction=H","UseDPDF=Y")</f>
        <v>#NAME?</v>
      </c>
      <c r="W363" s="2" t="e">
        <f ca="1">_xll.BDH($C$353,"EARN_FOR_COM_GROWTH","FY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363" s="2" t="e">
        <f ca="1">_xll.BDH($C$353,"DILUTED_EPS_AFT_XO_ITEMS_GROWTH","FY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63" s="2" t="e">
        <f ca="1">_xll.BDH($C$353,"DIVIDEND_PER_SHARE_1_YEAR_GROWTH","FY 2016","FY 2016","Currency=INR","Period=FY","BEST_FPERIOD_OVERRIDE=FY","FILING_STATUS=OR","EQY_CONSOLIDATED=Y","Sort=A","Dates=H","DateFormat=P","Fill=—","Direction=H","UseDPDF=Y")</f>
        <v>#NAME?</v>
      </c>
      <c r="Z363" s="2" t="e">
        <f ca="1">_xll.BDH($C$353,"ACCOUNTS_RECEIVABLE_GROWTH","FY 2016","FY 2016","Currency=INR","Period=FY","BEST_FPERIOD_OVERRIDE=FY","FILING_STATUS=OR","EQY_CONSOLIDATED=Y","Sort=A","Dates=H","DateFormat=P","Fill=—","Direction=H","UseDPDF=Y")</f>
        <v>#NAME?</v>
      </c>
      <c r="AA363" s="2" t="e">
        <f ca="1">_xll.BDH($C$353,"INVENTORY_GROWTH","FY 2016","FY 2016","Currency=INR","Period=FY","BEST_FPERIOD_OVERRIDE=FY","FILING_STATUS=OR","EQY_CONSOLIDATED=Y","Sort=A","Dates=H","DateFormat=P","Fill=—","Direction=H","UseDPDF=Y")</f>
        <v>#NAME?</v>
      </c>
      <c r="AB363" s="2" t="e">
        <f ca="1">_xll.BDH($C$353,"NET_FIXED_ASSETS_1_YEAR_GROWTH","FY 2016","FY 2016","Currency=INR","Period=FY","BEST_FPERIOD_OVERRIDE=FY","FILING_STATUS=OR","EQY_CONSOLIDATED=Y","Sort=A","Dates=H","DateFormat=P","Fill=—","Direction=H","UseDPDF=Y")</f>
        <v>#NAME?</v>
      </c>
      <c r="AC363" s="2" t="e">
        <f ca="1">_xll.BDH($C$353,"ASSET_GROWTH","FY 2016","FY 2016","Currency=INR","Period=FY","BEST_FPERIOD_OVERRIDE=FY","FILING_STATUS=OR","EQY_CONSOLIDATED=Y","Sort=A","Dates=H","DateFormat=P","Fill=—","Direction=H","UseDPDF=Y")</f>
        <v>#NAME?</v>
      </c>
      <c r="AD363" s="2" t="e">
        <f ca="1">_xll.BDH($C$353,"MODIFIED_WORK_CAP_GROWTH","FY 2016","FY 2016","Currency=INR","Period=FY","BEST_FPERIOD_OVERRIDE=FY","FILING_STATUS=OR","EQY_CONSOLIDATED=Y","Sort=A","Dates=H","DateFormat=P","Fill=—","Direction=H","UseDPDF=Y")</f>
        <v>#NAME?</v>
      </c>
      <c r="AE363" s="2" t="e">
        <f ca="1">_xll.BDH($C$353,"WORK_CAP_GROWTH","FY 2016","FY 2016","Currency=INR","Period=FY","BEST_FPERIOD_OVERRIDE=FY","FILING_STATUS=OR","EQY_CONSOLIDATED=Y","Sort=A","Dates=H","DateFormat=P","Fill=—","Direction=H","UseDPDF=Y")</f>
        <v>#NAME?</v>
      </c>
      <c r="AF363" s="2" t="e">
        <f ca="1">_xll.BDH($C$353,"ACCOUNTS_PAYABLE_GROWTH_1YR","FY 2016","FY 2016","Currency=INR","Period=FY","BEST_FPERIOD_OVERRIDE=FY","FILING_STATUS=OR","EQY_CONSOLIDATED=Y","Sort=A","Dates=H","DateFormat=P","Fill=—","Direction=H","UseDPDF=Y")</f>
        <v>#NAME?</v>
      </c>
      <c r="AG363" s="2" t="e">
        <f ca="1">_xll.BDH($C$353,"SHORT_TERM_DEBT_1_YEAR_GROWTH","FY 2016","FY 2016","Currency=INR","Period=FY","BEST_FPERIOD_OVERRIDE=FY","FILING_STATUS=OR","EQY_CONSOLIDATED=Y","Sort=A","Dates=H","DateFormat=P","Fill=—","Direction=H","UseDPDF=Y")</f>
        <v>#NAME?</v>
      </c>
      <c r="AH363" s="2" t="e">
        <f ca="1">_xll.BDH($C$353,"TOTAL_DEBT_1_YEAR_GROWTH","FY 2016","FY 2016","Currency=INR","Period=FY","BEST_FPERIOD_OVERRIDE=FY","FILING_STATUS=OR","EQY_CONSOLIDATED=Y","Sort=A","Dates=H","DateFormat=P","Fill=—","Direction=H","UseDPDF=Y")</f>
        <v>#NAME?</v>
      </c>
      <c r="AI363" s="2" t="e">
        <f ca="1">_xll.BDH($C$353,"TOTAL_EQUITY_1_YEAR_GROWTH","FY 2016","FY 2016","Currency=INR","Period=FY","BEST_FPERIOD_OVERRIDE=FY","FILING_STATUS=OR","EQY_CONSOLIDATED=Y","Sort=A","Dates=H","DateFormat=P","Fill=—","Direction=H","UseDPDF=Y")</f>
        <v>#NAME?</v>
      </c>
      <c r="AJ363" s="2" t="e">
        <f ca="1">_xll.BDH($C$353,"GROWTH_IN_CAP","FY 2016","FY 2016","Currency=INR","Period=FY","BEST_FPERIOD_OVERRIDE=FY","FILING_STATUS=OR","EQY_CONSOLIDATED=Y","Sort=A","Dates=H","DateFormat=P","Fill=—","Direction=H","UseDPDF=Y")</f>
        <v>#NAME?</v>
      </c>
      <c r="AK363" s="2" t="e">
        <f ca="1">_xll.BDH($C$353,"BVPS_GROWTH","FY 2016","FY 2016","Currency=INR","Period=FY","BEST_FPERIOD_OVERRIDE=FY","FILING_STATUS=OR","EQY_CONSOLIDATED=Y","Sort=A","Dates=H","DateFormat=P","Fill=—","Direction=H","UseDPDF=Y")</f>
        <v>#NAME?</v>
      </c>
      <c r="AL363" s="2" t="e">
        <f ca="1">_xll.BDH($C$353,"CASH_FLOW_GROWTH","FY 2016","FY 2016","Currency=INR","Period=FY","BEST_FPERIOD_OVERRIDE=FY","FILING_STATUS=OR","EQY_CONSOLIDATED=Y","Sort=A","Dates=H","DateFormat=P","Fill=—","Direction=H","UseDPDF=Y")</f>
        <v>#NAME?</v>
      </c>
      <c r="AM363" s="2" t="e">
        <f ca="1">_xll.BDH($C$353,"GEO_GROW_NET_SALES","FY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363" s="2" t="e">
        <f ca="1">_xll.BDH($C$353,"GEO_GROW_EBITDA","FY 2016","FY 2016","Currency=INR","Period=FY","BEST_FPERIOD_OVERRIDE=FY","FILING_STATUS=OR","EQY_CONSOLIDATED=Y","FA_ADJUSTED=GAAP","Sort=A","Dates=H","DateFormat=P","Fill=—","Direction=H","UseDPDF=Y")</f>
        <v>#NAME?</v>
      </c>
      <c r="AO363" s="2" t="e">
        <f ca="1">_xll.BDH($C$353,"GEO_GROW_OPER_INC","FY 2016","FY 2016","Currency=INR","Period=FY","BEST_FPERIOD_OVERRIDE=FY","FILING_STATUS=OR","EQY_CONSOLIDATED=Y","FA_ADJUSTED=GAAP","Sort=A","Dates=H","DateFormat=P","Fill=—","Direction=H","UseDPDF=Y")</f>
        <v>#NAME?</v>
      </c>
      <c r="AP363" s="2" t="e">
        <f ca="1">_xll.BDH($C$353,"NET_INCOME_TO_COMMON_5_YR_GROWTH","FY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63" s="2" t="e">
        <f ca="1">_xll.BDH($C$353,"5Y_GEO_GROWTH_DILUTED_EPS","FY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63" s="2" t="e">
        <f ca="1">_xll.BDH($C$353,"GEO_GROW_DVD_PER_SH","FY 2016","FY 2016","Currency=INR","Period=FY","BEST_FPERIOD_OVERRIDE=FY","FILING_STATUS=OR","EQY_CONSOLIDATED=Y","Sort=A","Dates=H","DateFormat=P","Fill=—","Direction=H","UseDPDF=Y")</f>
        <v>#NAME?</v>
      </c>
      <c r="AS363" s="2" t="e">
        <f ca="1">_xll.BDH($C$353,"ACCOUNTS_RECEIVABLE_5_YR_GROWTH","FY 2016","FY 2016","Currency=INR","Period=FY","BEST_FPERIOD_OVERRIDE=FY","FILING_STATUS=OR","EQY_CONSOLIDATED=Y","Sort=A","Dates=H","DateFormat=P","Fill=—","Direction=H","UseDPDF=Y")</f>
        <v>#NAME?</v>
      </c>
      <c r="AT363" s="2" t="e">
        <f ca="1">_xll.BDH($C$353,"INVENTORY_5_YEAR_GROWTH","FY 2016","FY 2016","Currency=INR","Period=FY","BEST_FPERIOD_OVERRIDE=FY","FILING_STATUS=OR","EQY_CONSOLIDATED=Y","Sort=A","Dates=H","DateFormat=P","Fill=—","Direction=H","UseDPDF=Y")</f>
        <v>#NAME?</v>
      </c>
      <c r="AU363" s="2" t="e">
        <f ca="1">_xll.BDH($C$353,"NET_FIXED_ASSETS_5_YEAR_GROWTH","FY 2016","FY 2016","Currency=INR","Period=FY","BEST_FPERIOD_OVERRIDE=FY","FILING_STATUS=OR","EQY_CONSOLIDATED=Y","Sort=A","Dates=H","DateFormat=P","Fill=—","Direction=H","UseDPDF=Y")</f>
        <v>#NAME?</v>
      </c>
      <c r="AV363" s="2" t="e">
        <f ca="1">_xll.BDH($C$353,"GEO_GROW_TOT_ASSET","FY 2016","FY 2016","Currency=INR","Period=FY","BEST_FPERIOD_OVERRIDE=FY","FILING_STATUS=OR","EQY_CONSOLIDATED=Y","Sort=A","Dates=H","DateFormat=P","Fill=—","Direction=H","UseDPDF=Y")</f>
        <v>#NAME?</v>
      </c>
      <c r="AW363" s="2" t="e">
        <f ca="1">_xll.BDH($C$353,"MODIFIED_WORKING_CPTL_5YR_GRWTH","FY 2016","FY 2016","Currency=INR","Period=FY","BEST_FPERIOD_OVERRIDE=FY","FILING_STATUS=OR","EQY_CONSOLIDATED=Y","Sort=A","Dates=H","DateFormat=P","Fill=—","Direction=H","UseDPDF=Y")</f>
        <v>#NAME?</v>
      </c>
      <c r="AX363" s="2" t="e">
        <f ca="1">_xll.BDH($C$353,"WORKING_CAPITAL_5_YEAR_GROWTH","FY 2016","FY 2016","Currency=INR","Period=FY","BEST_FPERIOD_OVERRIDE=FY","FILING_STATUS=OR","EQY_CONSOLIDATED=Y","Sort=A","Dates=H","DateFormat=P","Fill=—","Direction=H","UseDPDF=Y")</f>
        <v>#NAME?</v>
      </c>
      <c r="AY363" s="2" t="e">
        <f ca="1">_xll.BDH($C$353,"ACCOUNTS_PAYABLE_5_YEAR_GROWTH","FY 2016","FY 2016","Currency=INR","Period=FY","BEST_FPERIOD_OVERRIDE=FY","FILING_STATUS=OR","EQY_CONSOLIDATED=Y","Sort=A","Dates=H","DateFormat=P","Fill=—","Direction=H","UseDPDF=Y")</f>
        <v>#NAME?</v>
      </c>
      <c r="AZ363" s="2" t="e">
        <f ca="1">_xll.BDH($C$353,"SHORT_TERM_DEBT_5_YEAR_GROWTH","FY 2016","FY 2016","Currency=INR","Period=FY","BEST_FPERIOD_OVERRIDE=FY","FILING_STATUS=OR","EQY_CONSOLIDATED=Y","Sort=A","Dates=H","DateFormat=P","Fill=—","Direction=H","UseDPDF=Y")</f>
        <v>#NAME?</v>
      </c>
      <c r="BA363" s="2" t="e">
        <f ca="1">_xll.BDH($C$353,"TOTAL_DEBT_5_YEAR_GROWTH","FY 2016","FY 2016","Currency=INR","Period=FY","BEST_FPERIOD_OVERRIDE=FY","FILING_STATUS=OR","EQY_CONSOLIDATED=Y","Sort=A","Dates=H","DateFormat=P","Fill=—","Direction=H","UseDPDF=Y")</f>
        <v>#NAME?</v>
      </c>
      <c r="BB363" s="2" t="e">
        <f ca="1">_xll.BDH($C$353,"GEO_GROW_TOT_SHRHLDR_EQY","FY 2016","FY 2016","Currency=INR","Period=FY","BEST_FPERIOD_OVERRIDE=FY","FILING_STATUS=OR","EQY_CONSOLIDATED=Y","Sort=A","Dates=H","DateFormat=P","Fill=—","Direction=H","UseDPDF=Y")</f>
        <v>#NAME?</v>
      </c>
      <c r="BC363" s="2" t="e">
        <f ca="1">_xll.BDH($C$353,"TOTAL_CAPITAL_5_YEAR_GROWTH","FY 2016","FY 2016","Currency=INR","Period=FY","BEST_FPERIOD_OVERRIDE=FY","FILING_STATUS=OR","EQY_CONSOLIDATED=Y","Sort=A","Dates=H","DateFormat=P","Fill=—","Direction=H","UseDPDF=Y")</f>
        <v>#NAME?</v>
      </c>
      <c r="BD363" s="2" t="e">
        <f ca="1">_xll.BDH($C$353,"GEO_GROW_BOOK_VAL","FY 2016","FY 2016","Currency=INR","Period=FY","BEST_FPERIOD_OVERRIDE=FY","FILING_STATUS=OR","EQY_CONSOLIDATED=Y","Sort=A","Dates=H","DateFormat=P","Fill=—","Direction=H","UseDPDF=Y")</f>
        <v>#NAME?</v>
      </c>
      <c r="BE363" s="2" t="e">
        <f ca="1">_xll.BDH($C$353,"GEO_GROW_CASH_OPER_ACT","FY 2016","FY 2016","Currency=INR","Period=FY","BEST_FPERIOD_OVERRIDE=FY","FILING_STATUS=OR","EQY_CONSOLIDATED=Y","Sort=A","Dates=H","DateFormat=P","Fill=—","Direction=H","UseDPDF=Y")</f>
        <v>#NAME?</v>
      </c>
      <c r="BF363" s="2" t="e">
        <f ca="1">_xll.BDH($C$353,"REVENUE_SEQUENTIAL_GROWTH","FY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63" s="2" t="e">
        <f ca="1">_xll.BDH($C$353,"EBITDA_SEQUENTIAL_GROWTH","FY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63" s="2" t="e">
        <f ca="1">_xll.BDH($C$353,"OPERATING_INCOME_SEQ_GROWTH","FY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63" s="2" t="e">
        <f ca="1">_xll.BDH($C$353,"NET_INCOME_TO_COMMON_SEQ_GROWTH","FY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63" s="2" t="e">
        <f ca="1">_xll.BDH($C$353,"EPS_DILUTED_SEQUENTIAL_GROWTH","FY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63" s="2" t="e">
        <f ca="1">_xll.BDH($C$353,"DPS_SEQUENTIAL_GROWTH","FY 2016","FY 2016","Currency=INR","Period=FY","BEST_FPERIOD_OVERRIDE=FY","FILING_STATUS=OR","EQY_CONSOLIDATED=Y","Sort=A","Dates=H","DateFormat=P","Fill=—","Direction=H","UseDPDF=Y")</f>
        <v>#NAME?</v>
      </c>
      <c r="BL363" s="2" t="e">
        <f ca="1">_xll.BDH($C$353,"ACCOUNTS_RECEIVABLE_SEQ_GROWTH","FY 2016","FY 2016","Currency=INR","Period=FY","BEST_FPERIOD_OVERRIDE=FY","FILING_STATUS=OR","EQY_CONSOLIDATED=Y","Sort=A","Dates=H","DateFormat=P","Fill=—","Direction=H","UseDPDF=Y")</f>
        <v>#NAME?</v>
      </c>
      <c r="BM363" s="2" t="e">
        <f ca="1">_xll.BDH($C$353,"INVENTORY_SEQUENTIAL_GROWTH","FY 2016","FY 2016","Currency=INR","Period=FY","BEST_FPERIOD_OVERRIDE=FY","FILING_STATUS=OR","EQY_CONSOLIDATED=Y","Sort=A","Dates=H","DateFormat=P","Fill=—","Direction=H","UseDPDF=Y")</f>
        <v>#NAME?</v>
      </c>
      <c r="BN363" s="2" t="e">
        <f ca="1">_xll.BDH($C$353,"FIXED_ASSETS_SEQUENTIAL_GROWTH","FY 2016","FY 2016","Currency=INR","Period=FY","BEST_FPERIOD_OVERRIDE=FY","FILING_STATUS=OR","EQY_CONSOLIDATED=Y","Sort=A","Dates=H","DateFormat=P","Fill=—","Direction=H","UseDPDF=Y")</f>
        <v>#NAME?</v>
      </c>
      <c r="BO363" s="2" t="e">
        <f ca="1">_xll.BDH($C$353,"TOTAL_ASSETS_SEQUENTIAL_GROWTH","FY 2016","FY 2016","Currency=INR","Period=FY","BEST_FPERIOD_OVERRIDE=FY","FILING_STATUS=OR","EQY_CONSOLIDATED=Y","Sort=A","Dates=H","DateFormat=P","Fill=—","Direction=H","UseDPDF=Y")</f>
        <v>#NAME?</v>
      </c>
      <c r="BP363" s="2" t="e">
        <f ca="1">_xll.BDH($C$353,"MODIFIED_WORKING_CPTL_SEQ_GRWTH","FY 2016","FY 2016","Currency=INR","Period=FY","BEST_FPERIOD_OVERRIDE=FY","FILING_STATUS=OR","EQY_CONSOLIDATED=Y","Sort=A","Dates=H","DateFormat=P","Fill=—","Direction=H","UseDPDF=Y")</f>
        <v>#NAME?</v>
      </c>
      <c r="BQ363" s="2" t="e">
        <f ca="1">_xll.BDH($C$353,"WORKING_CAPITAL_SEQ_GROWTH","FY 2016","FY 2016","Currency=INR","Period=FY","BEST_FPERIOD_OVERRIDE=FY","FILING_STATUS=OR","EQY_CONSOLIDATED=Y","Sort=A","Dates=H","DateFormat=P","Fill=—","Direction=H","UseDPDF=Y")</f>
        <v>#NAME?</v>
      </c>
      <c r="BR363" s="2" t="e">
        <f ca="1">_xll.BDH($C$353,"ACCOUNTS_PAYABLE_SEQ_GROWTH","FY 2016","FY 2016","Currency=INR","Period=FY","BEST_FPERIOD_OVERRIDE=FY","FILING_STATUS=OR","EQY_CONSOLIDATED=Y","Sort=A","Dates=H","DateFormat=P","Fill=—","Direction=H","UseDPDF=Y")</f>
        <v>#NAME?</v>
      </c>
      <c r="BS363" s="2" t="e">
        <f ca="1">_xll.BDH($C$353,"ST_DEBT_SEQUENTIAL_GROWTH","FY 2016","FY 2016","Currency=INR","Period=FY","BEST_FPERIOD_OVERRIDE=FY","FILING_STATUS=OR","EQY_CONSOLIDATED=Y","Sort=A","Dates=H","DateFormat=P","Fill=—","Direction=H","UseDPDF=Y")</f>
        <v>#NAME?</v>
      </c>
      <c r="BT363" s="2" t="e">
        <f ca="1">_xll.BDH($C$353,"TOTAL_DEBT_SEQUENTIAL_GROWTH","FY 2016","FY 2016","Currency=INR","Period=FY","BEST_FPERIOD_OVERRIDE=FY","FILING_STATUS=OR","EQY_CONSOLIDATED=Y","Sort=A","Dates=H","DateFormat=P","Fill=—","Direction=H","UseDPDF=Y")</f>
        <v>#NAME?</v>
      </c>
      <c r="BU363" s="2" t="e">
        <f ca="1">_xll.BDH($C$353,"TOTAL_EQUITY_SEQUENTIAL_GROWTH","FY 2016","FY 2016","Currency=INR","Period=FY","BEST_FPERIOD_OVERRIDE=FY","FILING_STATUS=OR","EQY_CONSOLIDATED=Y","Sort=A","Dates=H","DateFormat=P","Fill=—","Direction=H","UseDPDF=Y")</f>
        <v>#NAME?</v>
      </c>
      <c r="BV363" s="2" t="e">
        <f ca="1">_xll.BDH($C$353,"TOTAL_CAPITAL_SEQUENTIAL_GROWTH","FY 2016","FY 2016","Currency=INR","Period=FY","BEST_FPERIOD_OVERRIDE=FY","FILING_STATUS=OR","EQY_CONSOLIDATED=Y","Sort=A","Dates=H","DateFormat=P","Fill=—","Direction=H","UseDPDF=Y")</f>
        <v>#NAME?</v>
      </c>
      <c r="BW363" s="2" t="e">
        <f ca="1">_xll.BDH($C$353,"BPS_SEQUENTIAL_GROWTH","FY 2016","FY 2016","Currency=INR","Period=FY","BEST_FPERIOD_OVERRIDE=FY","FILING_STATUS=OR","EQY_CONSOLIDATED=Y","Sort=A","Dates=H","DateFormat=P","Fill=—","Direction=H","UseDPDF=Y")</f>
        <v>#NAME?</v>
      </c>
      <c r="BX363" s="2" t="e">
        <f ca="1">_xll.BDH($C$353,"CFO_SEQUENTIAL_GROWTH","FY 2016","FY 2016","Currency=INR","Period=FY","BEST_FPERIOD_OVERRIDE=FY","FILING_STATUS=OR","EQY_CONSOLIDATED=Y","Sort=A","Dates=H","DateFormat=P","Fill=—","Direction=H","UseDPDF=Y")</f>
        <v>#NAME?</v>
      </c>
      <c r="BY363" s="3" t="e">
        <f ca="1">_xll.BDH($C$353,"SHORT_AND_LONG_TERM_DEBT","FY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63" s="3" t="e">
        <f ca="1">_xll.BDH($C$353,"BS_ST_BORROW","FY 2016","FY 2016","Currency=INR","Period=FY","BEST_FPERIOD_OVERRIDE=FY","FILING_STATUS=OR","EQY_CONSOLIDATED=Y","SCALING_FORMAT=MLN","Sort=A","Dates=H","DateFormat=P","Fill=—","Direction=H","UseDPDF=Y")</f>
        <v>#NAME?</v>
      </c>
      <c r="CA363" s="3" t="e">
        <f ca="1">_xll.BDH($C$353,"BS_LT_BORROW","FY 2016","FY 2016","Currency=INR","Period=FY","BEST_FPERIOD_OVERRIDE=FY","FILING_STATUS=OR","EQY_CONSOLIDATED=Y","SCALING_FORMAT=MLN","Sort=A","Dates=H","DateFormat=P","Fill=—","Direction=H","UseDPDF=Y")</f>
        <v>#NAME?</v>
      </c>
      <c r="CB363" s="2" t="e">
        <f ca="1">_xll.BDH($C$353,"TOT_DEBT_TO_EBITDA","FY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363" s="2" t="e">
        <f ca="1">_xll.BDH($C$353,"NET_DEBT_TO_EBITDA","FY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363" s="2" t="e">
        <f ca="1">_xll.BDH($C$353,"TOTAL_DEBT_TO_EBIT","FY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363" s="2" t="e">
        <f ca="1">_xll.BDH($C$353,"NET_DEBT_TO_EBIT","FY 2016","FY 2016","Currency=INR","Period=FY","BEST_FPERIOD_OVERRIDE=FY","FILING_STATUS=OR","EQY_CONSOLIDATED=Y","FA_ADJUSTED=GAAP","Sort=A","Dates=H","DateFormat=P","Fill=—","Direction=H","UseDPDF=Y")</f>
        <v>#NAME?</v>
      </c>
      <c r="CF363" s="2" t="e">
        <f ca="1">_xll.BDH($C$353,"EBITDA_TO_INTEREST_EXPN","FY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63" s="2" t="e">
        <f ca="1">_xll.BDH($C$353,"COM_EQY_TO_TOT_ASSET","FY 2016","FY 2016","Currency=INR","Period=FY","BEST_FPERIOD_OVERRIDE=FY","FILING_STATUS=OR","EQY_CONSOLIDATED=Y","Sort=A","Dates=H","DateFormat=P","Fill=—","Direction=H","UseDPDF=Y")</f>
        <v>#NAME?</v>
      </c>
      <c r="CH363" s="2" t="e">
        <f ca="1">_xll.BDH($C$353,"LT_DEBT_TO_TOT_EQY","FY 2016","FY 2016","Currency=INR","Period=FY","BEST_FPERIOD_OVERRIDE=FY","FILING_STATUS=OR","EQY_CONSOLIDATED=Y","Sort=A","Dates=H","DateFormat=P","Fill=—","Direction=H","UseDPDF=Y")</f>
        <v>#NAME?</v>
      </c>
      <c r="CI363" s="2" t="e">
        <f ca="1">_xll.BDH($C$353,"LT_DEBT_TO_TOT_CAP","FY 2016","FY 2016","Currency=INR","Period=FY","BEST_FPERIOD_OVERRIDE=FY","FILING_STATUS=OR","EQY_CONSOLIDATED=Y","Sort=A","Dates=H","DateFormat=P","Fill=—","Direction=H","UseDPDF=Y")</f>
        <v>#NAME?</v>
      </c>
      <c r="CJ363" s="2" t="e">
        <f ca="1">_xll.BDH($C$353,"LT_DEBT_TO_TOT_ASSET","FY 2016","FY 2016","Currency=INR","Period=FY","BEST_FPERIOD_OVERRIDE=FY","FILING_STATUS=OR","EQY_CONSOLIDATED=Y","Sort=A","Dates=H","DateFormat=P","Fill=—","Direction=H","UseDPDF=Y")</f>
        <v>#NAME?</v>
      </c>
      <c r="CK363" s="2" t="e">
        <f ca="1">_xll.BDH($C$353,"TOT_DEBT_TO_TOT_EQY","FY 2016","FY 2016","Currency=INR","Period=FY","BEST_FPERIOD_OVERRIDE=FY","FILING_STATUS=OR","EQY_CONSOLIDATED=Y","Sort=A","Dates=H","DateFormat=P","Fill=—","Direction=H","UseDPDF=Y")</f>
        <v>#NAME?</v>
      </c>
      <c r="CL363" s="2" t="e">
        <f ca="1">_xll.BDH($C$353,"TOT_DEBT_TO_TOT_CAP","FY 2016","FY 2016","Currency=INR","Period=FY","BEST_FPERIOD_OVERRIDE=FY","FILING_STATUS=OR","EQY_CONSOLIDATED=Y","Sort=A","Dates=H","DateFormat=P","Fill=—","Direction=H","UseDPDF=Y")</f>
        <v>#NAME?</v>
      </c>
      <c r="CM363" s="2" t="e">
        <f ca="1">_xll.BDH($C$353,"TOT_DEBT_TO_TOT_ASSET","FY 2016","FY 2016","Currency=INR","Period=FY","BEST_FPERIOD_OVERRIDE=FY","FILING_STATUS=OR","EQY_CONSOLIDATED=Y","Sort=A","Dates=H","DateFormat=P","Fill=—","Direction=H","UseDPDF=Y")</f>
        <v>#NAME?</v>
      </c>
      <c r="CN363" s="2" t="e">
        <f ca="1">_xll.BDH($C$353,"NET_DEBT_TO_SHRHLDR_EQTY","FY 2016","FY 2016","Currency=INR","Period=FY","BEST_FPERIOD_OVERRIDE=FY","FILING_STATUS=OR","EQY_CONSOLIDATED=Y","Sort=A","Dates=H","DateFormat=P","Fill=—","Direction=H","UseDPDF=Y")</f>
        <v>#NAME?</v>
      </c>
      <c r="CO363" s="2" t="e">
        <f ca="1">_xll.BDH($C$353,"NET_DEBT_%_CAPITAL","FY 2016","FY 2016","Currency=INR","Period=FY","BEST_FPERIOD_OVERRIDE=FY","FILING_STATUS=OR","EQY_CONSOLIDATED=Y","Sort=A","Dates=H","DateFormat=P","Fill=—","Direction=H","UseDPDF=Y")</f>
        <v>#NAME?</v>
      </c>
      <c r="CP363" s="3" t="e">
        <f ca="1">_xll.BDH($C$353,"EBITDA","FY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63" s="3" t="e">
        <f ca="1">_xll.BDH($C$353,"EBITDA_AFTER_CAPEX","FY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63" s="3" t="e">
        <f ca="1">_xll.BDH($C$353,"IS_OPER_INC","FY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63" s="2" t="e">
        <f ca="1">_xll.BDH($C$353,"CASH_RATIO","FY 2016","FY 2016","Currency=INR","Period=FY","BEST_FPERIOD_OVERRIDE=FY","FILING_STATUS=OR","EQY_CONSOLIDATED=Y","Sort=A","Dates=H","DateFormat=P","Fill=—","Direction=H","UseDPDF=Y")</f>
        <v>#NAME?</v>
      </c>
      <c r="CT363" s="2" t="e">
        <f ca="1">_xll.BDH($C$353,"CUR_RATIO","FY 2016","FY 2016","Currency=INR","Period=FY","BEST_FPERIOD_OVERRIDE=FY","FILING_STATUS=OR","EQY_CONSOLIDATED=Y","Sort=A","Dates=H","DateFormat=P","Fill=—","Direction=H","UseDPDF=Y")</f>
        <v>#NAME?</v>
      </c>
      <c r="CU363" s="2" t="e">
        <f ca="1">_xll.BDH($C$353,"QUICK_RATIO","FY 2016","FY 2016","Currency=INR","Period=FY","BEST_FPERIOD_OVERRIDE=FY","FILING_STATUS=OR","EQY_CONSOLIDATED=Y","Sort=A","Dates=H","DateFormat=P","Fill=—","Direction=H","UseDPDF=Y")</f>
        <v>#NAME?</v>
      </c>
      <c r="CV363" s="2" t="e">
        <f ca="1">_xll.BDH($C$353,"ALTMAN_Z_SCORE","FY 2016","FY 2016","Currency=INR","Period=FY","BEST_FPERIOD_OVERRIDE=FY","FILING_STATUS=OR","EQY_CONSOLIDATED=Y","Sort=A","Dates=H","DateFormat=P","Fill=—","Direction=H","UseDPDF=Y")</f>
        <v>#NAME?</v>
      </c>
      <c r="CW363" s="4" t="e">
        <f ca="1">_xll.BDH($C$353,"ACCT_RCV_TURN","FY 2016","FY 2016","Currency=INR","Period=FY","BEST_FPERIOD_OVERRIDE=FY","FILING_STATUS=OR","EQY_CONSOLIDATED=Y","FA_ADJUSTED=GAAP","Sort=A","Dates=H","DateFormat=P","Fill=—","Direction=H","UseDPDF=Y")</f>
        <v>#NAME?</v>
      </c>
      <c r="CX363" s="2" t="e">
        <f ca="1">_xll.BDH($C$353,"ACCT_RCV_DAYS","FY 2016","FY 2016","Currency=INR","Period=FY","BEST_FPERIOD_OVERRIDE=FY","FILING_STATUS=OR","EQY_CONSOLIDATED=Y","FA_ADJUSTED=GAAP","Sort=A","Dates=H","DateFormat=P","Fill=—","Direction=H","UseDPDF=Y")</f>
        <v>#NAME?</v>
      </c>
      <c r="CY363" s="4" t="e">
        <f ca="1">_xll.BDH($C$353,"INVENT_TURN","FY 2016","FY 2016","Currency=INR","Period=FY","BEST_FPERIOD_OVERRIDE=FY","FILING_STATUS=OR","EQY_CONSOLIDATED=Y","FA_ADJUSTED=GAAP","Sort=A","Dates=H","DateFormat=P","Fill=—","Direction=H","UseDPDF=Y")</f>
        <v>#NAME?</v>
      </c>
      <c r="CZ363" s="2" t="e">
        <f ca="1">_xll.BDH($C$353,"INVENT_DAYS","FY 2016","FY 2016","Currency=INR","Period=FY","BEST_FPERIOD_OVERRIDE=FY","FILING_STATUS=OR","EQY_CONSOLIDATED=Y","FA_ADJUSTED=GAAP","Sort=A","Dates=H","DateFormat=P","Fill=—","Direction=H","UseDPDF=Y")</f>
        <v>#NAME?</v>
      </c>
      <c r="DA363" s="4" t="e">
        <f ca="1">_xll.BDH($C$353,"ACCOUNTS_PAYABLE_TURNOVER","FY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63" s="2" t="e">
        <f ca="1">_xll.BDH($C$353,"ACCOUNTS_PAYABLE_TURNOVER_DAYS","FY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63" s="4" t="e">
        <f ca="1">_xll.BDH($C$353,"CASH_CONVERSION_CYCLE","FY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63" s="4" t="e">
        <f ca="1">_xll.BDH($C$353,"INV_TO_CASH_DAYS","FY 2016","FY 2016","Currency=INR","Period=FY","BEST_FPERIOD_OVERRIDE=FY","FILING_STATUS=OR","EQY_CONSOLIDATED=Y","FA_ADJUSTED=GAAP","Sort=A","Dates=H","DateFormat=P","Fill=—","Direction=H","UseDPDF=Y")</f>
        <v>#NAME?</v>
      </c>
      <c r="DE363" s="5" t="e">
        <f ca="1">_xll.BDH($C$353,"BS_INVENTORIES","FY 2016","FY 2016","Currency=INR","Period=FY","BEST_FPERIOD_OVERRIDE=FY","FILING_STATUS=OR","EQY_CONSOLIDATED=Y","SCALING_FORMAT=MLN","Sort=A","Dates=H","DateFormat=P","Fill=—","Direction=H","UseDPDF=Y")</f>
        <v>#NAME?</v>
      </c>
      <c r="DF363" s="3" t="e">
        <f ca="1">_xll.BDH($C$353,"INVTRY_RAW_MATERIALS","FY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63" s="3" t="e">
        <f ca="1">_xll.BDH($C$353,"INVTRY_IN_PROGRESS","FY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63" s="3" t="e">
        <f ca="1">_xll.BDH($C$353,"INVTRY_FINISHED_GOODS","FY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63" s="3" t="e">
        <f ca="1">_xll.BDH($C$353,"BS_OTHER_INV","FY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64" spans="1:113" x14ac:dyDescent="0.3">
      <c r="A364" s="6"/>
      <c r="B364" s="6"/>
      <c r="C364" s="6"/>
      <c r="D364" s="6"/>
      <c r="E364" t="s">
        <v>78</v>
      </c>
      <c r="F364" t="e">
        <f ca="1">_xll.BDH($C$353,"RETURN_COM_EQY","FQ1 2016","FQ1 2016","Currency=INR","Period=FQ","BEST_FPERIOD_OVERRIDE=FQ","FILING_STATUS=OR","EQY_CONSOLIDATED=Y","FA_ADJUSTED=GAAP","Sort=A","Dates=H","DateFormat=P","Fill=—","Direction=H","UseDPDF=Y")</f>
        <v>#NAME?</v>
      </c>
      <c r="G364" t="e">
        <f ca="1">_xll.BDH($C$353,"RETURN_ON_ASSET","FQ1 2016","FQ1 2016","Currency=INR","Period=FQ","BEST_FPERIOD_OVERRIDE=FQ","FILING_STATUS=OR","EQY_CONSOLIDATED=Y","FA_ADJUSTED=GAAP","Sort=A","Dates=H","DateFormat=P","Fill=—","Direction=H","UseDPDF=Y")</f>
        <v>#NAME?</v>
      </c>
      <c r="H364" t="e">
        <f ca="1">_xll.BDH($C$353,"RETURN_ON_CAP","FQ1 2016","FQ1 2016","Currency=INR","Period=FQ","BEST_FPERIOD_OVERRIDE=FQ","FILING_STATUS=OR","EQY_CONSOLIDATED=Y","FA_ADJUSTED=GAAP","Sort=A","Dates=H","DateFormat=P","Fill=—","Direction=H","UseDPDF=Y")</f>
        <v>#NAME?</v>
      </c>
      <c r="I364" t="e">
        <f ca="1">_xll.BDH($C$353,"RETURN_ON_INV_CAPITAL","FQ1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64" t="e">
        <f ca="1">_xll.BDH($C$353,"EBITDA_TO_REVENUE","FQ1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364" t="e">
        <f ca="1">_xll.BDH($C$353,"OPER_MARGIN","FQ1 2016","FQ1 2016","Currency=INR","Period=FQ","BEST_FPERIOD_OVERRIDE=FQ","FILING_STATUS=OR","EQY_CONSOLIDATED=Y","FA_ADJUSTED=GAAP","Sort=A","Dates=H","DateFormat=P","Fill=—","Direction=H","UseDPDF=Y")</f>
        <v>#NAME?</v>
      </c>
      <c r="L364" t="e">
        <f ca="1">_xll.BDH($C$353,"INCREMENTAL_OPERATING_MARGIN","FQ1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64" t="e">
        <f ca="1">_xll.BDH($C$353,"PRETAX_INC_TO_NET_SALES","FQ1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64" t="e">
        <f ca="1">_xll.BDH($C$353,"INC_BEF_XO_ITEMS_TO_NET_SALES","FQ1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64" t="e">
        <f ca="1">_xll.BDH($C$353,"PROF_MARGIN","FQ1 2016","FQ1 2016","Currency=INR","Period=FQ","BEST_FPERIOD_OVERRIDE=FQ","FILING_STATUS=OR","EQY_CONSOLIDATED=Y","FA_ADJUSTED=GAAP","Sort=A","Dates=H","DateFormat=P","Fill=—","Direction=H","UseDPDF=Y")</f>
        <v>#NAME?</v>
      </c>
      <c r="P364" t="e">
        <f ca="1">_xll.BDH($C$353,"NET_INCOME_TO_COMMON_MARGIN","FQ1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64" t="e">
        <f ca="1">_xll.BDH($C$353,"EFF_TAX_RATE","FQ1 2016","FQ1 2016","Currency=INR","Period=FQ","BEST_FPERIOD_OVERRIDE=FQ","FILING_STATUS=OR","EQY_CONSOLIDATED=Y","FA_ADJUSTED=GAAP","Sort=A","Dates=H","DateFormat=P","Fill=—","Direction=H","UseDPDF=Y")</f>
        <v>#NAME?</v>
      </c>
      <c r="R364" t="e">
        <f ca="1">_xll.BDH($C$353,"DVD_PAYOUT_RATIO","FQ1 2016","FQ1 2016","Currency=INR","Period=FQ","BEST_FPERIOD_OVERRIDE=FQ","FILING_STATUS=OR","EQY_CONSOLIDATED=Y","FA_ADJUSTED=GAAP","Sort=A","Dates=H","DateFormat=P","Fill=—","Direction=H","UseDPDF=Y")</f>
        <v>#NAME?</v>
      </c>
      <c r="S364" t="e">
        <f ca="1">_xll.BDH($C$353,"SUSTAIN_GROWTH_RT","FQ1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364" s="2" t="e">
        <f ca="1">_xll.BDH($C$353,"SALES_GROWTH","FQ1 2016","FQ1 2016","Currency=INR","Period=FQ","BEST_FPERIOD_OVERRIDE=FQ","FILING_STATUS=OR","EQY_CONSOLIDATED=Y","FA_ADJUSTED=GAAP","Sort=A","Dates=H","DateFormat=P","Fill=—","Direction=H","UseDPDF=Y")</f>
        <v>#NAME?</v>
      </c>
      <c r="U364" s="2" t="e">
        <f ca="1">_xll.BDH($C$353,"EBITDA_GROWTH","FQ1 2016","FQ1 2016","Currency=INR","Period=FQ","BEST_FPERIOD_OVERRIDE=FQ","FILING_STATUS=OR","EQY_CONSOLIDATED=Y","FA_ADJUSTED=GAAP","Sort=A","Dates=H","DateFormat=P","Fill=—","Direction=H","UseDPDF=Y")</f>
        <v>#NAME?</v>
      </c>
      <c r="V364" s="2" t="e">
        <f ca="1">_xll.BDH($C$353,"OPER_INC_GROWTH","FQ1 2016","FQ1 2016","Currency=INR","Period=FQ","BEST_FPERIOD_OVERRIDE=FQ","FILING_STATUS=OR","EQY_CONSOLIDATED=Y","FA_ADJUSTED=GAAP","Sort=A","Dates=H","DateFormat=P","Fill=—","Direction=H","UseDPDF=Y")</f>
        <v>#NAME?</v>
      </c>
      <c r="W364" s="2" t="e">
        <f ca="1">_xll.BDH($C$353,"EARN_FOR_COM_GROWTH","FQ1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64" s="2" t="e">
        <f ca="1">_xll.BDH($C$353,"DILUTED_EPS_AFT_XO_ITEMS_GROWTH","FQ1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64" s="2" t="e">
        <f ca="1">_xll.BDH($C$353,"DIVIDEND_PER_SHARE_1_YEAR_GROWTH","FQ1 2016","FQ1 2016","Currency=INR","Period=FQ","BEST_FPERIOD_OVERRIDE=FQ","FILING_STATUS=OR","EQY_CONSOLIDATED=Y","Sort=A","Dates=H","DateFormat=P","Fill=—","Direction=H","UseDPDF=Y")</f>
        <v>#NAME?</v>
      </c>
      <c r="Z364" s="2" t="e">
        <f ca="1">_xll.BDH($C$353,"ACCOUNTS_RECEIVABLE_GROWTH","FQ1 2016","FQ1 2016","Currency=INR","Period=FQ","BEST_FPERIOD_OVERRIDE=FQ","FILING_STATUS=OR","EQY_CONSOLIDATED=Y","Sort=A","Dates=H","DateFormat=P","Fill=—","Direction=H","UseDPDF=Y")</f>
        <v>#NAME?</v>
      </c>
      <c r="AA364" s="2" t="e">
        <f ca="1">_xll.BDH($C$353,"INVENTORY_GROWTH","FQ1 2016","FQ1 2016","Currency=INR","Period=FQ","BEST_FPERIOD_OVERRIDE=FQ","FILING_STATUS=OR","EQY_CONSOLIDATED=Y","Sort=A","Dates=H","DateFormat=P","Fill=—","Direction=H","UseDPDF=Y")</f>
        <v>#NAME?</v>
      </c>
      <c r="AB364" s="2" t="e">
        <f ca="1">_xll.BDH($C$353,"NET_FIXED_ASSETS_1_YEAR_GROWTH","FQ1 2016","FQ1 2016","Currency=INR","Period=FQ","BEST_FPERIOD_OVERRIDE=FQ","FILING_STATUS=OR","EQY_CONSOLIDATED=Y","Sort=A","Dates=H","DateFormat=P","Fill=—","Direction=H","UseDPDF=Y")</f>
        <v>#NAME?</v>
      </c>
      <c r="AC364" s="2" t="e">
        <f ca="1">_xll.BDH($C$353,"ASSET_GROWTH","FQ1 2016","FQ1 2016","Currency=INR","Period=FQ","BEST_FPERIOD_OVERRIDE=FQ","FILING_STATUS=OR","EQY_CONSOLIDATED=Y","Sort=A","Dates=H","DateFormat=P","Fill=—","Direction=H","UseDPDF=Y")</f>
        <v>#NAME?</v>
      </c>
      <c r="AD364" s="2" t="e">
        <f ca="1">_xll.BDH($C$353,"MODIFIED_WORK_CAP_GROWTH","FQ1 2016","FQ1 2016","Currency=INR","Period=FQ","BEST_FPERIOD_OVERRIDE=FQ","FILING_STATUS=OR","EQY_CONSOLIDATED=Y","Sort=A","Dates=H","DateFormat=P","Fill=—","Direction=H","UseDPDF=Y")</f>
        <v>#NAME?</v>
      </c>
      <c r="AE364" s="2" t="e">
        <f ca="1">_xll.BDH($C$353,"WORK_CAP_GROWTH","FQ1 2016","FQ1 2016","Currency=INR","Period=FQ","BEST_FPERIOD_OVERRIDE=FQ","FILING_STATUS=OR","EQY_CONSOLIDATED=Y","Sort=A","Dates=H","DateFormat=P","Fill=—","Direction=H","UseDPDF=Y")</f>
        <v>#NAME?</v>
      </c>
      <c r="AF364" s="2" t="e">
        <f ca="1">_xll.BDH($C$353,"ACCOUNTS_PAYABLE_GROWTH_1YR","FQ1 2016","FQ1 2016","Currency=INR","Period=FQ","BEST_FPERIOD_OVERRIDE=FQ","FILING_STATUS=OR","EQY_CONSOLIDATED=Y","Sort=A","Dates=H","DateFormat=P","Fill=—","Direction=H","UseDPDF=Y")</f>
        <v>#NAME?</v>
      </c>
      <c r="AG364" s="2" t="e">
        <f ca="1">_xll.BDH($C$353,"SHORT_TERM_DEBT_1_YEAR_GROWTH","FQ1 2016","FQ1 2016","Currency=INR","Period=FQ","BEST_FPERIOD_OVERRIDE=FQ","FILING_STATUS=OR","EQY_CONSOLIDATED=Y","Sort=A","Dates=H","DateFormat=P","Fill=—","Direction=H","UseDPDF=Y")</f>
        <v>#NAME?</v>
      </c>
      <c r="AH364" s="2" t="e">
        <f ca="1">_xll.BDH($C$353,"TOTAL_DEBT_1_YEAR_GROWTH","FQ1 2016","FQ1 2016","Currency=INR","Period=FQ","BEST_FPERIOD_OVERRIDE=FQ","FILING_STATUS=OR","EQY_CONSOLIDATED=Y","Sort=A","Dates=H","DateFormat=P","Fill=—","Direction=H","UseDPDF=Y")</f>
        <v>#NAME?</v>
      </c>
      <c r="AI364" s="2" t="e">
        <f ca="1">_xll.BDH($C$353,"TOTAL_EQUITY_1_YEAR_GROWTH","FQ1 2016","FQ1 2016","Currency=INR","Period=FQ","BEST_FPERIOD_OVERRIDE=FQ","FILING_STATUS=OR","EQY_CONSOLIDATED=Y","Sort=A","Dates=H","DateFormat=P","Fill=—","Direction=H","UseDPDF=Y")</f>
        <v>#NAME?</v>
      </c>
      <c r="AJ364" s="2" t="e">
        <f ca="1">_xll.BDH($C$353,"GROWTH_IN_CAP","FQ1 2016","FQ1 2016","Currency=INR","Period=FQ","BEST_FPERIOD_OVERRIDE=FQ","FILING_STATUS=OR","EQY_CONSOLIDATED=Y","Sort=A","Dates=H","DateFormat=P","Fill=—","Direction=H","UseDPDF=Y")</f>
        <v>#NAME?</v>
      </c>
      <c r="AK364" s="2" t="e">
        <f ca="1">_xll.BDH($C$353,"BVPS_GROWTH","FQ1 2016","FQ1 2016","Currency=INR","Period=FQ","BEST_FPERIOD_OVERRIDE=FQ","FILING_STATUS=OR","EQY_CONSOLIDATED=Y","Sort=A","Dates=H","DateFormat=P","Fill=—","Direction=H","UseDPDF=Y")</f>
        <v>#NAME?</v>
      </c>
      <c r="AL364" s="2" t="e">
        <f ca="1">_xll.BDH($C$353,"CASH_FLOW_GROWTH","FQ1 2016","FQ1 2016","Currency=INR","Period=FQ","BEST_FPERIOD_OVERRIDE=FQ","FILING_STATUS=OR","EQY_CONSOLIDATED=Y","Sort=A","Dates=H","DateFormat=P","Fill=—","Direction=H","UseDPDF=Y")</f>
        <v>#NAME?</v>
      </c>
      <c r="AM364" s="2" t="e">
        <f ca="1">_xll.BDH($C$353,"GEO_GROW_NET_SALES","FQ1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64" s="2" t="e">
        <f ca="1">_xll.BDH($C$353,"GEO_GROW_EBITDA","FQ1 2016","FQ1 2016","Currency=INR","Period=FQ","BEST_FPERIOD_OVERRIDE=FQ","FILING_STATUS=OR","EQY_CONSOLIDATED=Y","FA_ADJUSTED=GAAP","Sort=A","Dates=H","DateFormat=P","Fill=—","Direction=H","UseDPDF=Y")</f>
        <v>#NAME?</v>
      </c>
      <c r="AO364" s="2" t="e">
        <f ca="1">_xll.BDH($C$353,"GEO_GROW_OPER_INC","FQ1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64" s="2" t="e">
        <f ca="1">_xll.BDH($C$353,"NET_INCOME_TO_COMMON_5_YR_GROWTH","FQ1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64" s="2" t="e">
        <f ca="1">_xll.BDH($C$353,"5Y_GEO_GROWTH_DILUTED_EPS","FQ1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64" s="2" t="e">
        <f ca="1">_xll.BDH($C$353,"GEO_GROW_DVD_PER_SH","FQ1 2016","FQ1 2016","Currency=INR","Period=FQ","BEST_FPERIOD_OVERRIDE=FQ","FILING_STATUS=OR","EQY_CONSOLIDATED=Y","Sort=A","Dates=H","DateFormat=P","Fill=—","Direction=H","UseDPDF=Y")</f>
        <v>#NAME?</v>
      </c>
      <c r="AS364" s="2" t="e">
        <f ca="1">_xll.BDH($C$353,"ACCOUNTS_RECEIVABLE_5_YR_GROWTH","FQ1 2016","FQ1 2016","Currency=INR","Period=FQ","BEST_FPERIOD_OVERRIDE=FQ","FILING_STATUS=OR","EQY_CONSOLIDATED=Y","Sort=A","Dates=H","DateFormat=P","Fill=—","Direction=H","UseDPDF=Y")</f>
        <v>#NAME?</v>
      </c>
      <c r="AT364" s="2" t="e">
        <f ca="1">_xll.BDH($C$353,"INVENTORY_5_YEAR_GROWTH","FQ1 2016","FQ1 2016","Currency=INR","Period=FQ","BEST_FPERIOD_OVERRIDE=FQ","FILING_STATUS=OR","EQY_CONSOLIDATED=Y","Sort=A","Dates=H","DateFormat=P","Fill=—","Direction=H","UseDPDF=Y")</f>
        <v>#NAME?</v>
      </c>
      <c r="AU364" s="2" t="e">
        <f ca="1">_xll.BDH($C$353,"NET_FIXED_ASSETS_5_YEAR_GROWTH","FQ1 2016","FQ1 2016","Currency=INR","Period=FQ","BEST_FPERIOD_OVERRIDE=FQ","FILING_STATUS=OR","EQY_CONSOLIDATED=Y","Sort=A","Dates=H","DateFormat=P","Fill=—","Direction=H","UseDPDF=Y")</f>
        <v>#NAME?</v>
      </c>
      <c r="AV364" s="2" t="e">
        <f ca="1">_xll.BDH($C$353,"GEO_GROW_TOT_ASSET","FQ1 2016","FQ1 2016","Currency=INR","Period=FQ","BEST_FPERIOD_OVERRIDE=FQ","FILING_STATUS=OR","EQY_CONSOLIDATED=Y","Sort=A","Dates=H","DateFormat=P","Fill=—","Direction=H","UseDPDF=Y")</f>
        <v>#NAME?</v>
      </c>
      <c r="AW364" s="2" t="e">
        <f ca="1">_xll.BDH($C$353,"MODIFIED_WORKING_CPTL_5YR_GRWTH","FQ1 2016","FQ1 2016","Currency=INR","Period=FQ","BEST_FPERIOD_OVERRIDE=FQ","FILING_STATUS=OR","EQY_CONSOLIDATED=Y","Sort=A","Dates=H","DateFormat=P","Fill=—","Direction=H","UseDPDF=Y")</f>
        <v>#NAME?</v>
      </c>
      <c r="AX364" s="2" t="e">
        <f ca="1">_xll.BDH($C$353,"WORKING_CAPITAL_5_YEAR_GROWTH","FQ1 2016","FQ1 2016","Currency=INR","Period=FQ","BEST_FPERIOD_OVERRIDE=FQ","FILING_STATUS=OR","EQY_CONSOLIDATED=Y","Sort=A","Dates=H","DateFormat=P","Fill=—","Direction=H","UseDPDF=Y")</f>
        <v>#NAME?</v>
      </c>
      <c r="AY364" s="2" t="e">
        <f ca="1">_xll.BDH($C$353,"ACCOUNTS_PAYABLE_5_YEAR_GROWTH","FQ1 2016","FQ1 2016","Currency=INR","Period=FQ","BEST_FPERIOD_OVERRIDE=FQ","FILING_STATUS=OR","EQY_CONSOLIDATED=Y","Sort=A","Dates=H","DateFormat=P","Fill=—","Direction=H","UseDPDF=Y")</f>
        <v>#NAME?</v>
      </c>
      <c r="AZ364" s="2" t="e">
        <f ca="1">_xll.BDH($C$353,"SHORT_TERM_DEBT_5_YEAR_GROWTH","FQ1 2016","FQ1 2016","Currency=INR","Period=FQ","BEST_FPERIOD_OVERRIDE=FQ","FILING_STATUS=OR","EQY_CONSOLIDATED=Y","Sort=A","Dates=H","DateFormat=P","Fill=—","Direction=H","UseDPDF=Y")</f>
        <v>#NAME?</v>
      </c>
      <c r="BA364" s="2" t="e">
        <f ca="1">_xll.BDH($C$353,"TOTAL_DEBT_5_YEAR_GROWTH","FQ1 2016","FQ1 2016","Currency=INR","Period=FQ","BEST_FPERIOD_OVERRIDE=FQ","FILING_STATUS=OR","EQY_CONSOLIDATED=Y","Sort=A","Dates=H","DateFormat=P","Fill=—","Direction=H","UseDPDF=Y")</f>
        <v>#NAME?</v>
      </c>
      <c r="BB364" s="2" t="e">
        <f ca="1">_xll.BDH($C$353,"GEO_GROW_TOT_SHRHLDR_EQY","FQ1 2016","FQ1 2016","Currency=INR","Period=FQ","BEST_FPERIOD_OVERRIDE=FQ","FILING_STATUS=OR","EQY_CONSOLIDATED=Y","Sort=A","Dates=H","DateFormat=P","Fill=—","Direction=H","UseDPDF=Y")</f>
        <v>#NAME?</v>
      </c>
      <c r="BC364" s="2" t="e">
        <f ca="1">_xll.BDH($C$353,"TOTAL_CAPITAL_5_YEAR_GROWTH","FQ1 2016","FQ1 2016","Currency=INR","Period=FQ","BEST_FPERIOD_OVERRIDE=FQ","FILING_STATUS=OR","EQY_CONSOLIDATED=Y","Sort=A","Dates=H","DateFormat=P","Fill=—","Direction=H","UseDPDF=Y")</f>
        <v>#NAME?</v>
      </c>
      <c r="BD364" s="2" t="e">
        <f ca="1">_xll.BDH($C$353,"GEO_GROW_BOOK_VAL","FQ1 2016","FQ1 2016","Currency=INR","Period=FQ","BEST_FPERIOD_OVERRIDE=FQ","FILING_STATUS=OR","EQY_CONSOLIDATED=Y","Sort=A","Dates=H","DateFormat=P","Fill=—","Direction=H","UseDPDF=Y")</f>
        <v>#NAME?</v>
      </c>
      <c r="BE364" s="2" t="e">
        <f ca="1">_xll.BDH($C$353,"GEO_GROW_CASH_OPER_ACT","FQ1 2016","FQ1 2016","Currency=INR","Period=FQ","BEST_FPERIOD_OVERRIDE=FQ","FILING_STATUS=OR","EQY_CONSOLIDATED=Y","Sort=A","Dates=H","DateFormat=P","Fill=—","Direction=H","UseDPDF=Y")</f>
        <v>#NAME?</v>
      </c>
      <c r="BF364" s="2" t="e">
        <f ca="1">_xll.BDH($C$353,"REVENUE_SEQUENTIAL_GROWTH","FQ1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64" s="2" t="e">
        <f ca="1">_xll.BDH($C$353,"EBITDA_SEQUENTIAL_GROWTH","FQ1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64" s="2" t="e">
        <f ca="1">_xll.BDH($C$353,"OPERATING_INCOME_SEQ_GROWTH","FQ1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64" s="2" t="e">
        <f ca="1">_xll.BDH($C$353,"NET_INCOME_TO_COMMON_SEQ_GROWTH","FQ1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64" s="2" t="e">
        <f ca="1">_xll.BDH($C$353,"EPS_DILUTED_SEQUENTIAL_GROWTH","FQ1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64" s="2" t="e">
        <f ca="1">_xll.BDH($C$353,"DPS_SEQUENTIAL_GROWTH","FQ1 2016","FQ1 2016","Currency=INR","Period=FQ","BEST_FPERIOD_OVERRIDE=FQ","FILING_STATUS=OR","EQY_CONSOLIDATED=Y","Sort=A","Dates=H","DateFormat=P","Fill=—","Direction=H","UseDPDF=Y")</f>
        <v>#NAME?</v>
      </c>
      <c r="BL364" s="2" t="e">
        <f ca="1">_xll.BDH($C$353,"ACCOUNTS_RECEIVABLE_SEQ_GROWTH","FQ1 2016","FQ1 2016","Currency=INR","Period=FQ","BEST_FPERIOD_OVERRIDE=FQ","FILING_STATUS=OR","EQY_CONSOLIDATED=Y","Sort=A","Dates=H","DateFormat=P","Fill=—","Direction=H","UseDPDF=Y")</f>
        <v>#NAME?</v>
      </c>
      <c r="BM364" s="2" t="e">
        <f ca="1">_xll.BDH($C$353,"INVENTORY_SEQUENTIAL_GROWTH","FQ1 2016","FQ1 2016","Currency=INR","Period=FQ","BEST_FPERIOD_OVERRIDE=FQ","FILING_STATUS=OR","EQY_CONSOLIDATED=Y","Sort=A","Dates=H","DateFormat=P","Fill=—","Direction=H","UseDPDF=Y")</f>
        <v>#NAME?</v>
      </c>
      <c r="BN364" s="2" t="e">
        <f ca="1">_xll.BDH($C$353,"FIXED_ASSETS_SEQUENTIAL_GROWTH","FQ1 2016","FQ1 2016","Currency=INR","Period=FQ","BEST_FPERIOD_OVERRIDE=FQ","FILING_STATUS=OR","EQY_CONSOLIDATED=Y","Sort=A","Dates=H","DateFormat=P","Fill=—","Direction=H","UseDPDF=Y")</f>
        <v>#NAME?</v>
      </c>
      <c r="BO364" s="2" t="e">
        <f ca="1">_xll.BDH($C$353,"TOTAL_ASSETS_SEQUENTIAL_GROWTH","FQ1 2016","FQ1 2016","Currency=INR","Period=FQ","BEST_FPERIOD_OVERRIDE=FQ","FILING_STATUS=OR","EQY_CONSOLIDATED=Y","Sort=A","Dates=H","DateFormat=P","Fill=—","Direction=H","UseDPDF=Y")</f>
        <v>#NAME?</v>
      </c>
      <c r="BP364" s="2" t="e">
        <f ca="1">_xll.BDH($C$353,"MODIFIED_WORKING_CPTL_SEQ_GRWTH","FQ1 2016","FQ1 2016","Currency=INR","Period=FQ","BEST_FPERIOD_OVERRIDE=FQ","FILING_STATUS=OR","EQY_CONSOLIDATED=Y","Sort=A","Dates=H","DateFormat=P","Fill=—","Direction=H","UseDPDF=Y")</f>
        <v>#NAME?</v>
      </c>
      <c r="BQ364" s="2" t="e">
        <f ca="1">_xll.BDH($C$353,"WORKING_CAPITAL_SEQ_GROWTH","FQ1 2016","FQ1 2016","Currency=INR","Period=FQ","BEST_FPERIOD_OVERRIDE=FQ","FILING_STATUS=OR","EQY_CONSOLIDATED=Y","Sort=A","Dates=H","DateFormat=P","Fill=—","Direction=H","UseDPDF=Y")</f>
        <v>#NAME?</v>
      </c>
      <c r="BR364" s="2" t="e">
        <f ca="1">_xll.BDH($C$353,"ACCOUNTS_PAYABLE_SEQ_GROWTH","FQ1 2016","FQ1 2016","Currency=INR","Period=FQ","BEST_FPERIOD_OVERRIDE=FQ","FILING_STATUS=OR","EQY_CONSOLIDATED=Y","Sort=A","Dates=H","DateFormat=P","Fill=—","Direction=H","UseDPDF=Y")</f>
        <v>#NAME?</v>
      </c>
      <c r="BS364" s="2" t="e">
        <f ca="1">_xll.BDH($C$353,"ST_DEBT_SEQUENTIAL_GROWTH","FQ1 2016","FQ1 2016","Currency=INR","Period=FQ","BEST_FPERIOD_OVERRIDE=FQ","FILING_STATUS=OR","EQY_CONSOLIDATED=Y","Sort=A","Dates=H","DateFormat=P","Fill=—","Direction=H","UseDPDF=Y")</f>
        <v>#NAME?</v>
      </c>
      <c r="BT364" s="2" t="e">
        <f ca="1">_xll.BDH($C$353,"TOTAL_DEBT_SEQUENTIAL_GROWTH","FQ1 2016","FQ1 2016","Currency=INR","Period=FQ","BEST_FPERIOD_OVERRIDE=FQ","FILING_STATUS=OR","EQY_CONSOLIDATED=Y","Sort=A","Dates=H","DateFormat=P","Fill=—","Direction=H","UseDPDF=Y")</f>
        <v>#NAME?</v>
      </c>
      <c r="BU364" s="2" t="e">
        <f ca="1">_xll.BDH($C$353,"TOTAL_EQUITY_SEQUENTIAL_GROWTH","FQ1 2016","FQ1 2016","Currency=INR","Period=FQ","BEST_FPERIOD_OVERRIDE=FQ","FILING_STATUS=OR","EQY_CONSOLIDATED=Y","Sort=A","Dates=H","DateFormat=P","Fill=—","Direction=H","UseDPDF=Y")</f>
        <v>#NAME?</v>
      </c>
      <c r="BV364" s="2" t="e">
        <f ca="1">_xll.BDH($C$353,"TOTAL_CAPITAL_SEQUENTIAL_GROWTH","FQ1 2016","FQ1 2016","Currency=INR","Period=FQ","BEST_FPERIOD_OVERRIDE=FQ","FILING_STATUS=OR","EQY_CONSOLIDATED=Y","Sort=A","Dates=H","DateFormat=P","Fill=—","Direction=H","UseDPDF=Y")</f>
        <v>#NAME?</v>
      </c>
      <c r="BW364" s="2" t="e">
        <f ca="1">_xll.BDH($C$353,"BPS_SEQUENTIAL_GROWTH","FQ1 2016","FQ1 2016","Currency=INR","Period=FQ","BEST_FPERIOD_OVERRIDE=FQ","FILING_STATUS=OR","EQY_CONSOLIDATED=Y","Sort=A","Dates=H","DateFormat=P","Fill=—","Direction=H","UseDPDF=Y")</f>
        <v>#NAME?</v>
      </c>
      <c r="BX364" s="2" t="e">
        <f ca="1">_xll.BDH($C$353,"CFO_SEQUENTIAL_GROWTH","FQ1 2016","FQ1 2016","Currency=INR","Period=FQ","BEST_FPERIOD_OVERRIDE=FQ","FILING_STATUS=OR","EQY_CONSOLIDATED=Y","Sort=A","Dates=H","DateFormat=P","Fill=—","Direction=H","UseDPDF=Y")</f>
        <v>#NAME?</v>
      </c>
      <c r="BY364" s="3" t="e">
        <f ca="1">_xll.BDH($C$353,"SHORT_AND_LONG_TERM_DEBT","FQ1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64" s="3" t="e">
        <f ca="1">_xll.BDH($C$353,"BS_ST_BORROW","FQ1 2016","FQ1 2016","Currency=INR","Period=FQ","BEST_FPERIOD_OVERRIDE=FQ","FILING_STATUS=OR","EQY_CONSOLIDATED=Y","SCALING_FORMAT=MLN","Sort=A","Dates=H","DateFormat=P","Fill=—","Direction=H","UseDPDF=Y")</f>
        <v>#NAME?</v>
      </c>
      <c r="CA364" s="3" t="e">
        <f ca="1">_xll.BDH($C$353,"BS_LT_BORROW","FQ1 2016","FQ1 2016","Currency=INR","Period=FQ","BEST_FPERIOD_OVERRIDE=FQ","FILING_STATUS=OR","EQY_CONSOLIDATED=Y","SCALING_FORMAT=MLN","Sort=A","Dates=H","DateFormat=P","Fill=—","Direction=H","UseDPDF=Y")</f>
        <v>#NAME?</v>
      </c>
      <c r="CB364" s="2" t="e">
        <f ca="1">_xll.BDH($C$353,"TOT_DEBT_TO_EBITDA","FQ1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64" s="2" t="e">
        <f ca="1">_xll.BDH($C$353,"NET_DEBT_TO_EBITDA","FQ1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64" s="2" t="e">
        <f ca="1">_xll.BDH($C$353,"TOTAL_DEBT_TO_EBIT","FQ1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64" s="2" t="e">
        <f ca="1">_xll.BDH($C$353,"NET_DEBT_TO_EBIT","FQ1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364" s="2" t="e">
        <f ca="1">_xll.BDH($C$353,"EBITDA_TO_INTEREST_EXPN","FQ1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64" s="2" t="e">
        <f ca="1">_xll.BDH($C$353,"COM_EQY_TO_TOT_ASSET","FQ1 2016","FQ1 2016","Currency=INR","Period=FQ","BEST_FPERIOD_OVERRIDE=FQ","FILING_STATUS=OR","EQY_CONSOLIDATED=Y","Sort=A","Dates=H","DateFormat=P","Fill=—","Direction=H","UseDPDF=Y")</f>
        <v>#NAME?</v>
      </c>
      <c r="CH364" s="2" t="e">
        <f ca="1">_xll.BDH($C$353,"LT_DEBT_TO_TOT_EQY","FQ1 2016","FQ1 2016","Currency=INR","Period=FQ","BEST_FPERIOD_OVERRIDE=FQ","FILING_STATUS=OR","EQY_CONSOLIDATED=Y","Sort=A","Dates=H","DateFormat=P","Fill=—","Direction=H","UseDPDF=Y")</f>
        <v>#NAME?</v>
      </c>
      <c r="CI364" s="2" t="e">
        <f ca="1">_xll.BDH($C$353,"LT_DEBT_TO_TOT_CAP","FQ1 2016","FQ1 2016","Currency=INR","Period=FQ","BEST_FPERIOD_OVERRIDE=FQ","FILING_STATUS=OR","EQY_CONSOLIDATED=Y","Sort=A","Dates=H","DateFormat=P","Fill=—","Direction=H","UseDPDF=Y")</f>
        <v>#NAME?</v>
      </c>
      <c r="CJ364" s="2" t="e">
        <f ca="1">_xll.BDH($C$353,"LT_DEBT_TO_TOT_ASSET","FQ1 2016","FQ1 2016","Currency=INR","Period=FQ","BEST_FPERIOD_OVERRIDE=FQ","FILING_STATUS=OR","EQY_CONSOLIDATED=Y","Sort=A","Dates=H","DateFormat=P","Fill=—","Direction=H","UseDPDF=Y")</f>
        <v>#NAME?</v>
      </c>
      <c r="CK364" s="2" t="e">
        <f ca="1">_xll.BDH($C$353,"TOT_DEBT_TO_TOT_EQY","FQ1 2016","FQ1 2016","Currency=INR","Period=FQ","BEST_FPERIOD_OVERRIDE=FQ","FILING_STATUS=OR","EQY_CONSOLIDATED=Y","Sort=A","Dates=H","DateFormat=P","Fill=—","Direction=H","UseDPDF=Y")</f>
        <v>#NAME?</v>
      </c>
      <c r="CL364" s="2" t="e">
        <f ca="1">_xll.BDH($C$353,"TOT_DEBT_TO_TOT_CAP","FQ1 2016","FQ1 2016","Currency=INR","Period=FQ","BEST_FPERIOD_OVERRIDE=FQ","FILING_STATUS=OR","EQY_CONSOLIDATED=Y","Sort=A","Dates=H","DateFormat=P","Fill=—","Direction=H","UseDPDF=Y")</f>
        <v>#NAME?</v>
      </c>
      <c r="CM364" s="2" t="e">
        <f ca="1">_xll.BDH($C$353,"TOT_DEBT_TO_TOT_ASSET","FQ1 2016","FQ1 2016","Currency=INR","Period=FQ","BEST_FPERIOD_OVERRIDE=FQ","FILING_STATUS=OR","EQY_CONSOLIDATED=Y","Sort=A","Dates=H","DateFormat=P","Fill=—","Direction=H","UseDPDF=Y")</f>
        <v>#NAME?</v>
      </c>
      <c r="CN364" s="2" t="e">
        <f ca="1">_xll.BDH($C$353,"NET_DEBT_TO_SHRHLDR_EQTY","FQ1 2016","FQ1 2016","Currency=INR","Period=FQ","BEST_FPERIOD_OVERRIDE=FQ","FILING_STATUS=OR","EQY_CONSOLIDATED=Y","Sort=A","Dates=H","DateFormat=P","Fill=—","Direction=H","UseDPDF=Y")</f>
        <v>#NAME?</v>
      </c>
      <c r="CO364" s="2" t="e">
        <f ca="1">_xll.BDH($C$353,"NET_DEBT_%_CAPITAL","FQ1 2016","FQ1 2016","Currency=INR","Period=FQ","BEST_FPERIOD_OVERRIDE=FQ","FILING_STATUS=OR","EQY_CONSOLIDATED=Y","Sort=A","Dates=H","DateFormat=P","Fill=—","Direction=H","UseDPDF=Y")</f>
        <v>#NAME?</v>
      </c>
      <c r="CP364" s="3" t="e">
        <f ca="1">_xll.BDH($C$353,"EBITDA","FQ1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64" s="3" t="e">
        <f ca="1">_xll.BDH($C$353,"EBITDA_AFTER_CAPEX","FQ1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64" s="3" t="e">
        <f ca="1">_xll.BDH($C$353,"IS_OPER_INC","FQ1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64" s="2" t="e">
        <f ca="1">_xll.BDH($C$353,"CASH_RATIO","FQ1 2016","FQ1 2016","Currency=INR","Period=FQ","BEST_FPERIOD_OVERRIDE=FQ","FILING_STATUS=OR","EQY_CONSOLIDATED=Y","Sort=A","Dates=H","DateFormat=P","Fill=—","Direction=H","UseDPDF=Y")</f>
        <v>#NAME?</v>
      </c>
      <c r="CT364" s="2" t="e">
        <f ca="1">_xll.BDH($C$353,"CUR_RATIO","FQ1 2016","FQ1 2016","Currency=INR","Period=FQ","BEST_FPERIOD_OVERRIDE=FQ","FILING_STATUS=OR","EQY_CONSOLIDATED=Y","Sort=A","Dates=H","DateFormat=P","Fill=—","Direction=H","UseDPDF=Y")</f>
        <v>#NAME?</v>
      </c>
      <c r="CU364" s="2" t="e">
        <f ca="1">_xll.BDH($C$353,"QUICK_RATIO","FQ1 2016","FQ1 2016","Currency=INR","Period=FQ","BEST_FPERIOD_OVERRIDE=FQ","FILING_STATUS=OR","EQY_CONSOLIDATED=Y","Sort=A","Dates=H","DateFormat=P","Fill=—","Direction=H","UseDPDF=Y")</f>
        <v>#NAME?</v>
      </c>
      <c r="CV364" s="2" t="e">
        <f ca="1">_xll.BDH($C$353,"ALTMAN_Z_SCORE","FQ1 2016","FQ1 2016","Currency=INR","Period=FQ","BEST_FPERIOD_OVERRIDE=FQ","FILING_STATUS=OR","EQY_CONSOLIDATED=Y","Sort=A","Dates=H","DateFormat=P","Fill=—","Direction=H","UseDPDF=Y")</f>
        <v>#NAME?</v>
      </c>
      <c r="CW364" s="4" t="e">
        <f ca="1">_xll.BDH($C$353,"ACCT_RCV_TURN","FQ1 2016","FQ1 2016","Currency=INR","Period=FQ","BEST_FPERIOD_OVERRIDE=FQ","FILING_STATUS=OR","EQY_CONSOLIDATED=Y","FA_ADJUSTED=GAAP","Sort=A","Dates=H","DateFormat=P","Fill=—","Direction=H","UseDPDF=Y")</f>
        <v>#NAME?</v>
      </c>
      <c r="CX364" s="2" t="e">
        <f ca="1">_xll.BDH($C$353,"ACCT_RCV_DAYS","FQ1 2016","FQ1 2016","Currency=INR","Period=FQ","BEST_FPERIOD_OVERRIDE=FQ","FILING_STATUS=OR","EQY_CONSOLIDATED=Y","FA_ADJUSTED=GAAP","Sort=A","Dates=H","DateFormat=P","Fill=—","Direction=H","UseDPDF=Y")</f>
        <v>#NAME?</v>
      </c>
      <c r="CY364" s="4" t="e">
        <f ca="1">_xll.BDH($C$353,"INVENT_TURN","FQ1 2016","FQ1 2016","Currency=INR","Period=FQ","BEST_FPERIOD_OVERRIDE=FQ","FILING_STATUS=OR","EQY_CONSOLIDATED=Y","FA_ADJUSTED=GAAP","Sort=A","Dates=H","DateFormat=P","Fill=—","Direction=H","UseDPDF=Y")</f>
        <v>#NAME?</v>
      </c>
      <c r="CZ364" s="2" t="e">
        <f ca="1">_xll.BDH($C$353,"INVENT_DAYS","FQ1 2016","FQ1 2016","Currency=INR","Period=FQ","BEST_FPERIOD_OVERRIDE=FQ","FILING_STATUS=OR","EQY_CONSOLIDATED=Y","FA_ADJUSTED=GAAP","Sort=A","Dates=H","DateFormat=P","Fill=—","Direction=H","UseDPDF=Y")</f>
        <v>#NAME?</v>
      </c>
      <c r="DA364" s="4" t="e">
        <f ca="1">_xll.BDH($C$353,"ACCOUNTS_PAYABLE_TURNOVER","FQ1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64" s="2" t="e">
        <f ca="1">_xll.BDH($C$353,"ACCOUNTS_PAYABLE_TURNOVER_DAYS","FQ1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64" s="4" t="e">
        <f ca="1">_xll.BDH($C$353,"CASH_CONVERSION_CYCLE","FQ1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64" s="4" t="e">
        <f ca="1">_xll.BDH($C$353,"INV_TO_CASH_DAYS","FQ1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364" s="5" t="e">
        <f ca="1">_xll.BDH($C$353,"BS_INVENTORIES","FQ1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364" s="3" t="e">
        <f ca="1">_xll.BDH($C$353,"INVTRY_RAW_MATERIALS","FQ1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64" s="3" t="e">
        <f ca="1">_xll.BDH($C$353,"INVTRY_IN_PROGRESS","FQ1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64" s="3" t="e">
        <f ca="1">_xll.BDH($C$353,"INVTRY_FINISHED_GOODS","FQ1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64" s="3" t="e">
        <f ca="1">_xll.BDH($C$353,"BS_OTHER_INV","FQ1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65" spans="1:113" x14ac:dyDescent="0.3">
      <c r="A365" s="6"/>
      <c r="B365" s="6"/>
      <c r="C365" s="6"/>
      <c r="D365" s="6"/>
      <c r="E365" t="s">
        <v>79</v>
      </c>
      <c r="F365" t="e">
        <f ca="1">_xll.BDH($C$353,"RETURN_COM_EQY","FQ2 2016","FQ2 2016","Currency=INR","Period=FQ","BEST_FPERIOD_OVERRIDE=FQ","FILING_STATUS=OR","EQY_CONSOLIDATED=Y","FA_ADJUSTED=GAAP","Sort=A","Dates=H","DateFormat=P","Fill=—","Direction=H","UseDPDF=Y")</f>
        <v>#NAME?</v>
      </c>
      <c r="G365" t="e">
        <f ca="1">_xll.BDH($C$353,"RETURN_ON_ASSET","FQ2 2016","FQ2 2016","Currency=INR","Period=FQ","BEST_FPERIOD_OVERRIDE=FQ","FILING_STATUS=OR","EQY_CONSOLIDATED=Y","FA_ADJUSTED=GAAP","Sort=A","Dates=H","DateFormat=P","Fill=—","Direction=H","UseDPDF=Y")</f>
        <v>#NAME?</v>
      </c>
      <c r="H365" t="e">
        <f ca="1">_xll.BDH($C$353,"RETURN_ON_CAP","FQ2 2016","FQ2 2016","Currency=INR","Period=FQ","BEST_FPERIOD_OVERRIDE=FQ","FILING_STATUS=OR","EQY_CONSOLIDATED=Y","FA_ADJUSTED=GAAP","Sort=A","Dates=H","DateFormat=P","Fill=—","Direction=H","UseDPDF=Y")</f>
        <v>#NAME?</v>
      </c>
      <c r="I365" t="e">
        <f ca="1">_xll.BDH($C$353,"RETURN_ON_INV_CAPITAL","FQ2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65" t="e">
        <f ca="1">_xll.BDH($C$353,"EBITDA_TO_REVENUE","FQ2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365" t="e">
        <f ca="1">_xll.BDH($C$353,"OPER_MARGIN","FQ2 2016","FQ2 2016","Currency=INR","Period=FQ","BEST_FPERIOD_OVERRIDE=FQ","FILING_STATUS=OR","EQY_CONSOLIDATED=Y","FA_ADJUSTED=GAAP","Sort=A","Dates=H","DateFormat=P","Fill=—","Direction=H","UseDPDF=Y")</f>
        <v>#NAME?</v>
      </c>
      <c r="L365" t="e">
        <f ca="1">_xll.BDH($C$353,"INCREMENTAL_OPERATING_MARGIN","FQ2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65" t="e">
        <f ca="1">_xll.BDH($C$353,"PRETAX_INC_TO_NET_SALES","FQ2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65" t="e">
        <f ca="1">_xll.BDH($C$353,"INC_BEF_XO_ITEMS_TO_NET_SALES","FQ2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65" t="e">
        <f ca="1">_xll.BDH($C$353,"PROF_MARGIN","FQ2 2016","FQ2 2016","Currency=INR","Period=FQ","BEST_FPERIOD_OVERRIDE=FQ","FILING_STATUS=OR","EQY_CONSOLIDATED=Y","FA_ADJUSTED=GAAP","Sort=A","Dates=H","DateFormat=P","Fill=—","Direction=H","UseDPDF=Y")</f>
        <v>#NAME?</v>
      </c>
      <c r="P365" t="e">
        <f ca="1">_xll.BDH($C$353,"NET_INCOME_TO_COMMON_MARGIN","FQ2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65" t="e">
        <f ca="1">_xll.BDH($C$353,"EFF_TAX_RATE","FQ2 2016","FQ2 2016","Currency=INR","Period=FQ","BEST_FPERIOD_OVERRIDE=FQ","FILING_STATUS=OR","EQY_CONSOLIDATED=Y","FA_ADJUSTED=GAAP","Sort=A","Dates=H","DateFormat=P","Fill=—","Direction=H","UseDPDF=Y")</f>
        <v>#NAME?</v>
      </c>
      <c r="R365" t="e">
        <f ca="1">_xll.BDH($C$353,"DVD_PAYOUT_RATIO","FQ2 2016","FQ2 2016","Currency=INR","Period=FQ","BEST_FPERIOD_OVERRIDE=FQ","FILING_STATUS=OR","EQY_CONSOLIDATED=Y","FA_ADJUSTED=GAAP","Sort=A","Dates=H","DateFormat=P","Fill=—","Direction=H","UseDPDF=Y")</f>
        <v>#NAME?</v>
      </c>
      <c r="S365" t="e">
        <f ca="1">_xll.BDH($C$353,"SUSTAIN_GROWTH_RT","FQ2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365" s="2" t="e">
        <f ca="1">_xll.BDH($C$353,"SALES_GROWTH","FQ2 2016","FQ2 2016","Currency=INR","Period=FQ","BEST_FPERIOD_OVERRIDE=FQ","FILING_STATUS=OR","EQY_CONSOLIDATED=Y","FA_ADJUSTED=GAAP","Sort=A","Dates=H","DateFormat=P","Fill=—","Direction=H","UseDPDF=Y")</f>
        <v>#NAME?</v>
      </c>
      <c r="U365" s="2" t="e">
        <f ca="1">_xll.BDH($C$353,"EBITDA_GROWTH","FQ2 2016","FQ2 2016","Currency=INR","Period=FQ","BEST_FPERIOD_OVERRIDE=FQ","FILING_STATUS=OR","EQY_CONSOLIDATED=Y","FA_ADJUSTED=GAAP","Sort=A","Dates=H","DateFormat=P","Fill=—","Direction=H","UseDPDF=Y")</f>
        <v>#NAME?</v>
      </c>
      <c r="V365" s="2" t="e">
        <f ca="1">_xll.BDH($C$353,"OPER_INC_GROWTH","FQ2 2016","FQ2 2016","Currency=INR","Period=FQ","BEST_FPERIOD_OVERRIDE=FQ","FILING_STATUS=OR","EQY_CONSOLIDATED=Y","FA_ADJUSTED=GAAP","Sort=A","Dates=H","DateFormat=P","Fill=—","Direction=H","UseDPDF=Y")</f>
        <v>#NAME?</v>
      </c>
      <c r="W365" s="2" t="e">
        <f ca="1">_xll.BDH($C$353,"EARN_FOR_COM_GROWTH","FQ2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65" s="2" t="e">
        <f ca="1">_xll.BDH($C$353,"DILUTED_EPS_AFT_XO_ITEMS_GROWTH","FQ2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65" s="2" t="e">
        <f ca="1">_xll.BDH($C$353,"DIVIDEND_PER_SHARE_1_YEAR_GROWTH","FQ2 2016","FQ2 2016","Currency=INR","Period=FQ","BEST_FPERIOD_OVERRIDE=FQ","FILING_STATUS=OR","EQY_CONSOLIDATED=Y","Sort=A","Dates=H","DateFormat=P","Fill=—","Direction=H","UseDPDF=Y")</f>
        <v>#NAME?</v>
      </c>
      <c r="Z365" s="2" t="e">
        <f ca="1">_xll.BDH($C$353,"ACCOUNTS_RECEIVABLE_GROWTH","FQ2 2016","FQ2 2016","Currency=INR","Period=FQ","BEST_FPERIOD_OVERRIDE=FQ","FILING_STATUS=OR","EQY_CONSOLIDATED=Y","Sort=A","Dates=H","DateFormat=P","Fill=—","Direction=H","UseDPDF=Y")</f>
        <v>#NAME?</v>
      </c>
      <c r="AA365" s="2" t="e">
        <f ca="1">_xll.BDH($C$353,"INVENTORY_GROWTH","FQ2 2016","FQ2 2016","Currency=INR","Period=FQ","BEST_FPERIOD_OVERRIDE=FQ","FILING_STATUS=OR","EQY_CONSOLIDATED=Y","Sort=A","Dates=H","DateFormat=P","Fill=—","Direction=H","UseDPDF=Y")</f>
        <v>#NAME?</v>
      </c>
      <c r="AB365" s="2" t="e">
        <f ca="1">_xll.BDH($C$353,"NET_FIXED_ASSETS_1_YEAR_GROWTH","FQ2 2016","FQ2 2016","Currency=INR","Period=FQ","BEST_FPERIOD_OVERRIDE=FQ","FILING_STATUS=OR","EQY_CONSOLIDATED=Y","Sort=A","Dates=H","DateFormat=P","Fill=—","Direction=H","UseDPDF=Y")</f>
        <v>#NAME?</v>
      </c>
      <c r="AC365" s="2" t="e">
        <f ca="1">_xll.BDH($C$353,"ASSET_GROWTH","FQ2 2016","FQ2 2016","Currency=INR","Period=FQ","BEST_FPERIOD_OVERRIDE=FQ","FILING_STATUS=OR","EQY_CONSOLIDATED=Y","Sort=A","Dates=H","DateFormat=P","Fill=—","Direction=H","UseDPDF=Y")</f>
        <v>#NAME?</v>
      </c>
      <c r="AD365" s="2" t="e">
        <f ca="1">_xll.BDH($C$353,"MODIFIED_WORK_CAP_GROWTH","FQ2 2016","FQ2 2016","Currency=INR","Period=FQ","BEST_FPERIOD_OVERRIDE=FQ","FILING_STATUS=OR","EQY_CONSOLIDATED=Y","Sort=A","Dates=H","DateFormat=P","Fill=—","Direction=H","UseDPDF=Y")</f>
        <v>#NAME?</v>
      </c>
      <c r="AE365" s="2" t="e">
        <f ca="1">_xll.BDH($C$353,"WORK_CAP_GROWTH","FQ2 2016","FQ2 2016","Currency=INR","Period=FQ","BEST_FPERIOD_OVERRIDE=FQ","FILING_STATUS=OR","EQY_CONSOLIDATED=Y","Sort=A","Dates=H","DateFormat=P","Fill=—","Direction=H","UseDPDF=Y")</f>
        <v>#NAME?</v>
      </c>
      <c r="AF365" s="2" t="e">
        <f ca="1">_xll.BDH($C$353,"ACCOUNTS_PAYABLE_GROWTH_1YR","FQ2 2016","FQ2 2016","Currency=INR","Period=FQ","BEST_FPERIOD_OVERRIDE=FQ","FILING_STATUS=OR","EQY_CONSOLIDATED=Y","Sort=A","Dates=H","DateFormat=P","Fill=—","Direction=H","UseDPDF=Y")</f>
        <v>#NAME?</v>
      </c>
      <c r="AG365" s="2" t="e">
        <f ca="1">_xll.BDH($C$353,"SHORT_TERM_DEBT_1_YEAR_GROWTH","FQ2 2016","FQ2 2016","Currency=INR","Period=FQ","BEST_FPERIOD_OVERRIDE=FQ","FILING_STATUS=OR","EQY_CONSOLIDATED=Y","Sort=A","Dates=H","DateFormat=P","Fill=—","Direction=H","UseDPDF=Y")</f>
        <v>#NAME?</v>
      </c>
      <c r="AH365" s="2" t="e">
        <f ca="1">_xll.BDH($C$353,"TOTAL_DEBT_1_YEAR_GROWTH","FQ2 2016","FQ2 2016","Currency=INR","Period=FQ","BEST_FPERIOD_OVERRIDE=FQ","FILING_STATUS=OR","EQY_CONSOLIDATED=Y","Sort=A","Dates=H","DateFormat=P","Fill=—","Direction=H","UseDPDF=Y")</f>
        <v>#NAME?</v>
      </c>
      <c r="AI365" s="2" t="e">
        <f ca="1">_xll.BDH($C$353,"TOTAL_EQUITY_1_YEAR_GROWTH","FQ2 2016","FQ2 2016","Currency=INR","Period=FQ","BEST_FPERIOD_OVERRIDE=FQ","FILING_STATUS=OR","EQY_CONSOLIDATED=Y","Sort=A","Dates=H","DateFormat=P","Fill=—","Direction=H","UseDPDF=Y")</f>
        <v>#NAME?</v>
      </c>
      <c r="AJ365" s="2" t="e">
        <f ca="1">_xll.BDH($C$353,"GROWTH_IN_CAP","FQ2 2016","FQ2 2016","Currency=INR","Period=FQ","BEST_FPERIOD_OVERRIDE=FQ","FILING_STATUS=OR","EQY_CONSOLIDATED=Y","Sort=A","Dates=H","DateFormat=P","Fill=—","Direction=H","UseDPDF=Y")</f>
        <v>#NAME?</v>
      </c>
      <c r="AK365" s="2" t="e">
        <f ca="1">_xll.BDH($C$353,"BVPS_GROWTH","FQ2 2016","FQ2 2016","Currency=INR","Period=FQ","BEST_FPERIOD_OVERRIDE=FQ","FILING_STATUS=OR","EQY_CONSOLIDATED=Y","Sort=A","Dates=H","DateFormat=P","Fill=—","Direction=H","UseDPDF=Y")</f>
        <v>#NAME?</v>
      </c>
      <c r="AL365" s="2" t="e">
        <f ca="1">_xll.BDH($C$353,"CASH_FLOW_GROWTH","FQ2 2016","FQ2 2016","Currency=INR","Period=FQ","BEST_FPERIOD_OVERRIDE=FQ","FILING_STATUS=OR","EQY_CONSOLIDATED=Y","Sort=A","Dates=H","DateFormat=P","Fill=—","Direction=H","UseDPDF=Y")</f>
        <v>#NAME?</v>
      </c>
      <c r="AM365" s="2" t="e">
        <f ca="1">_xll.BDH($C$353,"GEO_GROW_NET_SALES","FQ2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65" s="2" t="e">
        <f ca="1">_xll.BDH($C$353,"GEO_GROW_EBITDA","FQ2 2016","FQ2 2016","Currency=INR","Period=FQ","BEST_FPERIOD_OVERRIDE=FQ","FILING_STATUS=OR","EQY_CONSOLIDATED=Y","FA_ADJUSTED=GAAP","Sort=A","Dates=H","DateFormat=P","Fill=—","Direction=H","UseDPDF=Y")</f>
        <v>#NAME?</v>
      </c>
      <c r="AO365" s="2" t="e">
        <f ca="1">_xll.BDH($C$353,"GEO_GROW_OPER_INC","FQ2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65" s="2" t="e">
        <f ca="1">_xll.BDH($C$353,"NET_INCOME_TO_COMMON_5_YR_GROWTH","FQ2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65" s="2" t="e">
        <f ca="1">_xll.BDH($C$353,"5Y_GEO_GROWTH_DILUTED_EPS","FQ2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65" s="2" t="e">
        <f ca="1">_xll.BDH($C$353,"GEO_GROW_DVD_PER_SH","FQ2 2016","FQ2 2016","Currency=INR","Period=FQ","BEST_FPERIOD_OVERRIDE=FQ","FILING_STATUS=OR","EQY_CONSOLIDATED=Y","Sort=A","Dates=H","DateFormat=P","Fill=—","Direction=H","UseDPDF=Y")</f>
        <v>#NAME?</v>
      </c>
      <c r="AS365" s="2" t="e">
        <f ca="1">_xll.BDH($C$353,"ACCOUNTS_RECEIVABLE_5_YR_GROWTH","FQ2 2016","FQ2 2016","Currency=INR","Period=FQ","BEST_FPERIOD_OVERRIDE=FQ","FILING_STATUS=OR","EQY_CONSOLIDATED=Y","Sort=A","Dates=H","DateFormat=P","Fill=—","Direction=H","UseDPDF=Y")</f>
        <v>#NAME?</v>
      </c>
      <c r="AT365" s="2" t="e">
        <f ca="1">_xll.BDH($C$353,"INVENTORY_5_YEAR_GROWTH","FQ2 2016","FQ2 2016","Currency=INR","Period=FQ","BEST_FPERIOD_OVERRIDE=FQ","FILING_STATUS=OR","EQY_CONSOLIDATED=Y","Sort=A","Dates=H","DateFormat=P","Fill=—","Direction=H","UseDPDF=Y")</f>
        <v>#NAME?</v>
      </c>
      <c r="AU365" s="2" t="e">
        <f ca="1">_xll.BDH($C$353,"NET_FIXED_ASSETS_5_YEAR_GROWTH","FQ2 2016","FQ2 2016","Currency=INR","Period=FQ","BEST_FPERIOD_OVERRIDE=FQ","FILING_STATUS=OR","EQY_CONSOLIDATED=Y","Sort=A","Dates=H","DateFormat=P","Fill=—","Direction=H","UseDPDF=Y")</f>
        <v>#NAME?</v>
      </c>
      <c r="AV365" s="2" t="e">
        <f ca="1">_xll.BDH($C$353,"GEO_GROW_TOT_ASSET","FQ2 2016","FQ2 2016","Currency=INR","Period=FQ","BEST_FPERIOD_OVERRIDE=FQ","FILING_STATUS=OR","EQY_CONSOLIDATED=Y","Sort=A","Dates=H","DateFormat=P","Fill=—","Direction=H","UseDPDF=Y")</f>
        <v>#NAME?</v>
      </c>
      <c r="AW365" s="2" t="e">
        <f ca="1">_xll.BDH($C$353,"MODIFIED_WORKING_CPTL_5YR_GRWTH","FQ2 2016","FQ2 2016","Currency=INR","Period=FQ","BEST_FPERIOD_OVERRIDE=FQ","FILING_STATUS=OR","EQY_CONSOLIDATED=Y","Sort=A","Dates=H","DateFormat=P","Fill=—","Direction=H","UseDPDF=Y")</f>
        <v>#NAME?</v>
      </c>
      <c r="AX365" s="2" t="e">
        <f ca="1">_xll.BDH($C$353,"WORKING_CAPITAL_5_YEAR_GROWTH","FQ2 2016","FQ2 2016","Currency=INR","Period=FQ","BEST_FPERIOD_OVERRIDE=FQ","FILING_STATUS=OR","EQY_CONSOLIDATED=Y","Sort=A","Dates=H","DateFormat=P","Fill=—","Direction=H","UseDPDF=Y")</f>
        <v>#NAME?</v>
      </c>
      <c r="AY365" s="2" t="e">
        <f ca="1">_xll.BDH($C$353,"ACCOUNTS_PAYABLE_5_YEAR_GROWTH","FQ2 2016","FQ2 2016","Currency=INR","Period=FQ","BEST_FPERIOD_OVERRIDE=FQ","FILING_STATUS=OR","EQY_CONSOLIDATED=Y","Sort=A","Dates=H","DateFormat=P","Fill=—","Direction=H","UseDPDF=Y")</f>
        <v>#NAME?</v>
      </c>
      <c r="AZ365" s="2" t="e">
        <f ca="1">_xll.BDH($C$353,"SHORT_TERM_DEBT_5_YEAR_GROWTH","FQ2 2016","FQ2 2016","Currency=INR","Period=FQ","BEST_FPERIOD_OVERRIDE=FQ","FILING_STATUS=OR","EQY_CONSOLIDATED=Y","Sort=A","Dates=H","DateFormat=P","Fill=—","Direction=H","UseDPDF=Y")</f>
        <v>#NAME?</v>
      </c>
      <c r="BA365" s="2" t="e">
        <f ca="1">_xll.BDH($C$353,"TOTAL_DEBT_5_YEAR_GROWTH","FQ2 2016","FQ2 2016","Currency=INR","Period=FQ","BEST_FPERIOD_OVERRIDE=FQ","FILING_STATUS=OR","EQY_CONSOLIDATED=Y","Sort=A","Dates=H","DateFormat=P","Fill=—","Direction=H","UseDPDF=Y")</f>
        <v>#NAME?</v>
      </c>
      <c r="BB365" s="2" t="e">
        <f ca="1">_xll.BDH($C$353,"GEO_GROW_TOT_SHRHLDR_EQY","FQ2 2016","FQ2 2016","Currency=INR","Period=FQ","BEST_FPERIOD_OVERRIDE=FQ","FILING_STATUS=OR","EQY_CONSOLIDATED=Y","Sort=A","Dates=H","DateFormat=P","Fill=—","Direction=H","UseDPDF=Y")</f>
        <v>#NAME?</v>
      </c>
      <c r="BC365" s="2" t="e">
        <f ca="1">_xll.BDH($C$353,"TOTAL_CAPITAL_5_YEAR_GROWTH","FQ2 2016","FQ2 2016","Currency=INR","Period=FQ","BEST_FPERIOD_OVERRIDE=FQ","FILING_STATUS=OR","EQY_CONSOLIDATED=Y","Sort=A","Dates=H","DateFormat=P","Fill=—","Direction=H","UseDPDF=Y")</f>
        <v>#NAME?</v>
      </c>
      <c r="BD365" s="2" t="e">
        <f ca="1">_xll.BDH($C$353,"GEO_GROW_BOOK_VAL","FQ2 2016","FQ2 2016","Currency=INR","Period=FQ","BEST_FPERIOD_OVERRIDE=FQ","FILING_STATUS=OR","EQY_CONSOLIDATED=Y","Sort=A","Dates=H","DateFormat=P","Fill=—","Direction=H","UseDPDF=Y")</f>
        <v>#NAME?</v>
      </c>
      <c r="BE365" s="2" t="e">
        <f ca="1">_xll.BDH($C$353,"GEO_GROW_CASH_OPER_ACT","FQ2 2016","FQ2 2016","Currency=INR","Period=FQ","BEST_FPERIOD_OVERRIDE=FQ","FILING_STATUS=OR","EQY_CONSOLIDATED=Y","Sort=A","Dates=H","DateFormat=P","Fill=—","Direction=H","UseDPDF=Y")</f>
        <v>#NAME?</v>
      </c>
      <c r="BF365" s="2" t="e">
        <f ca="1">_xll.BDH($C$353,"REVENUE_SEQUENTIAL_GROWTH","FQ2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65" s="2" t="e">
        <f ca="1">_xll.BDH($C$353,"EBITDA_SEQUENTIAL_GROWTH","FQ2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65" s="2" t="e">
        <f ca="1">_xll.BDH($C$353,"OPERATING_INCOME_SEQ_GROWTH","FQ2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65" s="2" t="e">
        <f ca="1">_xll.BDH($C$353,"NET_INCOME_TO_COMMON_SEQ_GROWTH","FQ2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65" s="2" t="e">
        <f ca="1">_xll.BDH($C$353,"EPS_DILUTED_SEQUENTIAL_GROWTH","FQ2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65" s="2" t="e">
        <f ca="1">_xll.BDH($C$353,"DPS_SEQUENTIAL_GROWTH","FQ2 2016","FQ2 2016","Currency=INR","Period=FQ","BEST_FPERIOD_OVERRIDE=FQ","FILING_STATUS=OR","EQY_CONSOLIDATED=Y","Sort=A","Dates=H","DateFormat=P","Fill=—","Direction=H","UseDPDF=Y")</f>
        <v>#NAME?</v>
      </c>
      <c r="BL365" s="2" t="e">
        <f ca="1">_xll.BDH($C$353,"ACCOUNTS_RECEIVABLE_SEQ_GROWTH","FQ2 2016","FQ2 2016","Currency=INR","Period=FQ","BEST_FPERIOD_OVERRIDE=FQ","FILING_STATUS=OR","EQY_CONSOLIDATED=Y","Sort=A","Dates=H","DateFormat=P","Fill=—","Direction=H","UseDPDF=Y")</f>
        <v>#NAME?</v>
      </c>
      <c r="BM365" s="2" t="e">
        <f ca="1">_xll.BDH($C$353,"INVENTORY_SEQUENTIAL_GROWTH","FQ2 2016","FQ2 2016","Currency=INR","Period=FQ","BEST_FPERIOD_OVERRIDE=FQ","FILING_STATUS=OR","EQY_CONSOLIDATED=Y","Sort=A","Dates=H","DateFormat=P","Fill=—","Direction=H","UseDPDF=Y")</f>
        <v>#NAME?</v>
      </c>
      <c r="BN365" s="2" t="e">
        <f ca="1">_xll.BDH($C$353,"FIXED_ASSETS_SEQUENTIAL_GROWTH","FQ2 2016","FQ2 2016","Currency=INR","Period=FQ","BEST_FPERIOD_OVERRIDE=FQ","FILING_STATUS=OR","EQY_CONSOLIDATED=Y","Sort=A","Dates=H","DateFormat=P","Fill=—","Direction=H","UseDPDF=Y")</f>
        <v>#NAME?</v>
      </c>
      <c r="BO365" s="2" t="e">
        <f ca="1">_xll.BDH($C$353,"TOTAL_ASSETS_SEQUENTIAL_GROWTH","FQ2 2016","FQ2 2016","Currency=INR","Period=FQ","BEST_FPERIOD_OVERRIDE=FQ","FILING_STATUS=OR","EQY_CONSOLIDATED=Y","Sort=A","Dates=H","DateFormat=P","Fill=—","Direction=H","UseDPDF=Y")</f>
        <v>#NAME?</v>
      </c>
      <c r="BP365" s="2" t="e">
        <f ca="1">_xll.BDH($C$353,"MODIFIED_WORKING_CPTL_SEQ_GRWTH","FQ2 2016","FQ2 2016","Currency=INR","Period=FQ","BEST_FPERIOD_OVERRIDE=FQ","FILING_STATUS=OR","EQY_CONSOLIDATED=Y","Sort=A","Dates=H","DateFormat=P","Fill=—","Direction=H","UseDPDF=Y")</f>
        <v>#NAME?</v>
      </c>
      <c r="BQ365" s="2" t="e">
        <f ca="1">_xll.BDH($C$353,"WORKING_CAPITAL_SEQ_GROWTH","FQ2 2016","FQ2 2016","Currency=INR","Period=FQ","BEST_FPERIOD_OVERRIDE=FQ","FILING_STATUS=OR","EQY_CONSOLIDATED=Y","Sort=A","Dates=H","DateFormat=P","Fill=—","Direction=H","UseDPDF=Y")</f>
        <v>#NAME?</v>
      </c>
      <c r="BR365" s="2" t="e">
        <f ca="1">_xll.BDH($C$353,"ACCOUNTS_PAYABLE_SEQ_GROWTH","FQ2 2016","FQ2 2016","Currency=INR","Period=FQ","BEST_FPERIOD_OVERRIDE=FQ","FILING_STATUS=OR","EQY_CONSOLIDATED=Y","Sort=A","Dates=H","DateFormat=P","Fill=—","Direction=H","UseDPDF=Y")</f>
        <v>#NAME?</v>
      </c>
      <c r="BS365" s="2" t="e">
        <f ca="1">_xll.BDH($C$353,"ST_DEBT_SEQUENTIAL_GROWTH","FQ2 2016","FQ2 2016","Currency=INR","Period=FQ","BEST_FPERIOD_OVERRIDE=FQ","FILING_STATUS=OR","EQY_CONSOLIDATED=Y","Sort=A","Dates=H","DateFormat=P","Fill=—","Direction=H","UseDPDF=Y")</f>
        <v>#NAME?</v>
      </c>
      <c r="BT365" s="2" t="e">
        <f ca="1">_xll.BDH($C$353,"TOTAL_DEBT_SEQUENTIAL_GROWTH","FQ2 2016","FQ2 2016","Currency=INR","Period=FQ","BEST_FPERIOD_OVERRIDE=FQ","FILING_STATUS=OR","EQY_CONSOLIDATED=Y","Sort=A","Dates=H","DateFormat=P","Fill=—","Direction=H","UseDPDF=Y")</f>
        <v>#NAME?</v>
      </c>
      <c r="BU365" s="2" t="e">
        <f ca="1">_xll.BDH($C$353,"TOTAL_EQUITY_SEQUENTIAL_GROWTH","FQ2 2016","FQ2 2016","Currency=INR","Period=FQ","BEST_FPERIOD_OVERRIDE=FQ","FILING_STATUS=OR","EQY_CONSOLIDATED=Y","Sort=A","Dates=H","DateFormat=P","Fill=—","Direction=H","UseDPDF=Y")</f>
        <v>#NAME?</v>
      </c>
      <c r="BV365" s="2" t="e">
        <f ca="1">_xll.BDH($C$353,"TOTAL_CAPITAL_SEQUENTIAL_GROWTH","FQ2 2016","FQ2 2016","Currency=INR","Period=FQ","BEST_FPERIOD_OVERRIDE=FQ","FILING_STATUS=OR","EQY_CONSOLIDATED=Y","Sort=A","Dates=H","DateFormat=P","Fill=—","Direction=H","UseDPDF=Y")</f>
        <v>#NAME?</v>
      </c>
      <c r="BW365" s="2" t="e">
        <f ca="1">_xll.BDH($C$353,"BPS_SEQUENTIAL_GROWTH","FQ2 2016","FQ2 2016","Currency=INR","Period=FQ","BEST_FPERIOD_OVERRIDE=FQ","FILING_STATUS=OR","EQY_CONSOLIDATED=Y","Sort=A","Dates=H","DateFormat=P","Fill=—","Direction=H","UseDPDF=Y")</f>
        <v>#NAME?</v>
      </c>
      <c r="BX365" s="2" t="e">
        <f ca="1">_xll.BDH($C$353,"CFO_SEQUENTIAL_GROWTH","FQ2 2016","FQ2 2016","Currency=INR","Period=FQ","BEST_FPERIOD_OVERRIDE=FQ","FILING_STATUS=OR","EQY_CONSOLIDATED=Y","Sort=A","Dates=H","DateFormat=P","Fill=—","Direction=H","UseDPDF=Y")</f>
        <v>#NAME?</v>
      </c>
      <c r="BY365" s="3" t="e">
        <f ca="1">_xll.BDH($C$353,"SHORT_AND_LONG_TERM_DEBT","FQ2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65" s="3" t="e">
        <f ca="1">_xll.BDH($C$353,"BS_ST_BORROW","FQ2 2016","FQ2 2016","Currency=INR","Period=FQ","BEST_FPERIOD_OVERRIDE=FQ","FILING_STATUS=OR","EQY_CONSOLIDATED=Y","SCALING_FORMAT=MLN","Sort=A","Dates=H","DateFormat=P","Fill=—","Direction=H","UseDPDF=Y")</f>
        <v>#NAME?</v>
      </c>
      <c r="CA365" s="3" t="e">
        <f ca="1">_xll.BDH($C$353,"BS_LT_BORROW","FQ2 2016","FQ2 2016","Currency=INR","Period=FQ","BEST_FPERIOD_OVERRIDE=FQ","FILING_STATUS=OR","EQY_CONSOLIDATED=Y","SCALING_FORMAT=MLN","Sort=A","Dates=H","DateFormat=P","Fill=—","Direction=H","UseDPDF=Y")</f>
        <v>#NAME?</v>
      </c>
      <c r="CB365" s="2" t="e">
        <f ca="1">_xll.BDH($C$353,"TOT_DEBT_TO_EBITDA","FQ2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65" s="2" t="e">
        <f ca="1">_xll.BDH($C$353,"NET_DEBT_TO_EBITDA","FQ2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65" s="2" t="e">
        <f ca="1">_xll.BDH($C$353,"TOTAL_DEBT_TO_EBIT","FQ2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65" s="2" t="e">
        <f ca="1">_xll.BDH($C$353,"NET_DEBT_TO_EBIT","FQ2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365" s="2" t="e">
        <f ca="1">_xll.BDH($C$353,"EBITDA_TO_INTEREST_EXPN","FQ2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65" s="2" t="e">
        <f ca="1">_xll.BDH($C$353,"COM_EQY_TO_TOT_ASSET","FQ2 2016","FQ2 2016","Currency=INR","Period=FQ","BEST_FPERIOD_OVERRIDE=FQ","FILING_STATUS=OR","EQY_CONSOLIDATED=Y","Sort=A","Dates=H","DateFormat=P","Fill=—","Direction=H","UseDPDF=Y")</f>
        <v>#NAME?</v>
      </c>
      <c r="CH365" s="2" t="e">
        <f ca="1">_xll.BDH($C$353,"LT_DEBT_TO_TOT_EQY","FQ2 2016","FQ2 2016","Currency=INR","Period=FQ","BEST_FPERIOD_OVERRIDE=FQ","FILING_STATUS=OR","EQY_CONSOLIDATED=Y","Sort=A","Dates=H","DateFormat=P","Fill=—","Direction=H","UseDPDF=Y")</f>
        <v>#NAME?</v>
      </c>
      <c r="CI365" s="2" t="e">
        <f ca="1">_xll.BDH($C$353,"LT_DEBT_TO_TOT_CAP","FQ2 2016","FQ2 2016","Currency=INR","Period=FQ","BEST_FPERIOD_OVERRIDE=FQ","FILING_STATUS=OR","EQY_CONSOLIDATED=Y","Sort=A","Dates=H","DateFormat=P","Fill=—","Direction=H","UseDPDF=Y")</f>
        <v>#NAME?</v>
      </c>
      <c r="CJ365" s="2" t="e">
        <f ca="1">_xll.BDH($C$353,"LT_DEBT_TO_TOT_ASSET","FQ2 2016","FQ2 2016","Currency=INR","Period=FQ","BEST_FPERIOD_OVERRIDE=FQ","FILING_STATUS=OR","EQY_CONSOLIDATED=Y","Sort=A","Dates=H","DateFormat=P","Fill=—","Direction=H","UseDPDF=Y")</f>
        <v>#NAME?</v>
      </c>
      <c r="CK365" s="2" t="e">
        <f ca="1">_xll.BDH($C$353,"TOT_DEBT_TO_TOT_EQY","FQ2 2016","FQ2 2016","Currency=INR","Period=FQ","BEST_FPERIOD_OVERRIDE=FQ","FILING_STATUS=OR","EQY_CONSOLIDATED=Y","Sort=A","Dates=H","DateFormat=P","Fill=—","Direction=H","UseDPDF=Y")</f>
        <v>#NAME?</v>
      </c>
      <c r="CL365" s="2" t="e">
        <f ca="1">_xll.BDH($C$353,"TOT_DEBT_TO_TOT_CAP","FQ2 2016","FQ2 2016","Currency=INR","Period=FQ","BEST_FPERIOD_OVERRIDE=FQ","FILING_STATUS=OR","EQY_CONSOLIDATED=Y","Sort=A","Dates=H","DateFormat=P","Fill=—","Direction=H","UseDPDF=Y")</f>
        <v>#NAME?</v>
      </c>
      <c r="CM365" s="2" t="e">
        <f ca="1">_xll.BDH($C$353,"TOT_DEBT_TO_TOT_ASSET","FQ2 2016","FQ2 2016","Currency=INR","Period=FQ","BEST_FPERIOD_OVERRIDE=FQ","FILING_STATUS=OR","EQY_CONSOLIDATED=Y","Sort=A","Dates=H","DateFormat=P","Fill=—","Direction=H","UseDPDF=Y")</f>
        <v>#NAME?</v>
      </c>
      <c r="CN365" s="2" t="e">
        <f ca="1">_xll.BDH($C$353,"NET_DEBT_TO_SHRHLDR_EQTY","FQ2 2016","FQ2 2016","Currency=INR","Period=FQ","BEST_FPERIOD_OVERRIDE=FQ","FILING_STATUS=OR","EQY_CONSOLIDATED=Y","Sort=A","Dates=H","DateFormat=P","Fill=—","Direction=H","UseDPDF=Y")</f>
        <v>#NAME?</v>
      </c>
      <c r="CO365" s="2" t="e">
        <f ca="1">_xll.BDH($C$353,"NET_DEBT_%_CAPITAL","FQ2 2016","FQ2 2016","Currency=INR","Period=FQ","BEST_FPERIOD_OVERRIDE=FQ","FILING_STATUS=OR","EQY_CONSOLIDATED=Y","Sort=A","Dates=H","DateFormat=P","Fill=—","Direction=H","UseDPDF=Y")</f>
        <v>#NAME?</v>
      </c>
      <c r="CP365" s="3" t="e">
        <f ca="1">_xll.BDH($C$353,"EBITDA","FQ2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65" s="3" t="e">
        <f ca="1">_xll.BDH($C$353,"EBITDA_AFTER_CAPEX","FQ2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65" s="3" t="e">
        <f ca="1">_xll.BDH($C$353,"IS_OPER_INC","FQ2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65" s="2" t="e">
        <f ca="1">_xll.BDH($C$353,"CASH_RATIO","FQ2 2016","FQ2 2016","Currency=INR","Period=FQ","BEST_FPERIOD_OVERRIDE=FQ","FILING_STATUS=OR","EQY_CONSOLIDATED=Y","Sort=A","Dates=H","DateFormat=P","Fill=—","Direction=H","UseDPDF=Y")</f>
        <v>#NAME?</v>
      </c>
      <c r="CT365" s="2" t="e">
        <f ca="1">_xll.BDH($C$353,"CUR_RATIO","FQ2 2016","FQ2 2016","Currency=INR","Period=FQ","BEST_FPERIOD_OVERRIDE=FQ","FILING_STATUS=OR","EQY_CONSOLIDATED=Y","Sort=A","Dates=H","DateFormat=P","Fill=—","Direction=H","UseDPDF=Y")</f>
        <v>#NAME?</v>
      </c>
      <c r="CU365" s="2" t="e">
        <f ca="1">_xll.BDH($C$353,"QUICK_RATIO","FQ2 2016","FQ2 2016","Currency=INR","Period=FQ","BEST_FPERIOD_OVERRIDE=FQ","FILING_STATUS=OR","EQY_CONSOLIDATED=Y","Sort=A","Dates=H","DateFormat=P","Fill=—","Direction=H","UseDPDF=Y")</f>
        <v>#NAME?</v>
      </c>
      <c r="CV365" s="2" t="e">
        <f ca="1">_xll.BDH($C$353,"ALTMAN_Z_SCORE","FQ2 2016","FQ2 2016","Currency=INR","Period=FQ","BEST_FPERIOD_OVERRIDE=FQ","FILING_STATUS=OR","EQY_CONSOLIDATED=Y","Sort=A","Dates=H","DateFormat=P","Fill=—","Direction=H","UseDPDF=Y")</f>
        <v>#NAME?</v>
      </c>
      <c r="CW365" s="4" t="e">
        <f ca="1">_xll.BDH($C$353,"ACCT_RCV_TURN","FQ2 2016","FQ2 2016","Currency=INR","Period=FQ","BEST_FPERIOD_OVERRIDE=FQ","FILING_STATUS=OR","EQY_CONSOLIDATED=Y","FA_ADJUSTED=GAAP","Sort=A","Dates=H","DateFormat=P","Fill=—","Direction=H","UseDPDF=Y")</f>
        <v>#NAME?</v>
      </c>
      <c r="CX365" s="2" t="e">
        <f ca="1">_xll.BDH($C$353,"ACCT_RCV_DAYS","FQ2 2016","FQ2 2016","Currency=INR","Period=FQ","BEST_FPERIOD_OVERRIDE=FQ","FILING_STATUS=OR","EQY_CONSOLIDATED=Y","FA_ADJUSTED=GAAP","Sort=A","Dates=H","DateFormat=P","Fill=—","Direction=H","UseDPDF=Y")</f>
        <v>#NAME?</v>
      </c>
      <c r="CY365" s="4" t="e">
        <f ca="1">_xll.BDH($C$353,"INVENT_TURN","FQ2 2016","FQ2 2016","Currency=INR","Period=FQ","BEST_FPERIOD_OVERRIDE=FQ","FILING_STATUS=OR","EQY_CONSOLIDATED=Y","FA_ADJUSTED=GAAP","Sort=A","Dates=H","DateFormat=P","Fill=—","Direction=H","UseDPDF=Y")</f>
        <v>#NAME?</v>
      </c>
      <c r="CZ365" s="2" t="e">
        <f ca="1">_xll.BDH($C$353,"INVENT_DAYS","FQ2 2016","FQ2 2016","Currency=INR","Period=FQ","BEST_FPERIOD_OVERRIDE=FQ","FILING_STATUS=OR","EQY_CONSOLIDATED=Y","FA_ADJUSTED=GAAP","Sort=A","Dates=H","DateFormat=P","Fill=—","Direction=H","UseDPDF=Y")</f>
        <v>#NAME?</v>
      </c>
      <c r="DA365" s="4" t="e">
        <f ca="1">_xll.BDH($C$353,"ACCOUNTS_PAYABLE_TURNOVER","FQ2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65" s="2" t="e">
        <f ca="1">_xll.BDH($C$353,"ACCOUNTS_PAYABLE_TURNOVER_DAYS","FQ2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65" s="4" t="e">
        <f ca="1">_xll.BDH($C$353,"CASH_CONVERSION_CYCLE","FQ2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65" s="4" t="e">
        <f ca="1">_xll.BDH($C$353,"INV_TO_CASH_DAYS","FQ2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365" s="5" t="e">
        <f ca="1">_xll.BDH($C$353,"BS_INVENTORIES","FQ2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365" s="3" t="e">
        <f ca="1">_xll.BDH($C$353,"INVTRY_RAW_MATERIALS","FQ2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65" s="3" t="e">
        <f ca="1">_xll.BDH($C$353,"INVTRY_IN_PROGRESS","FQ2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65" s="3" t="e">
        <f ca="1">_xll.BDH($C$353,"INVTRY_FINISHED_GOODS","FQ2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65" s="3" t="e">
        <f ca="1">_xll.BDH($C$353,"BS_OTHER_INV","FQ2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66" spans="1:113" x14ac:dyDescent="0.3">
      <c r="A366" s="6"/>
      <c r="B366" s="6"/>
      <c r="C366" s="6"/>
      <c r="D366" s="6"/>
      <c r="E366" t="s">
        <v>80</v>
      </c>
      <c r="F366" t="e">
        <f ca="1">_xll.BDH($C$353,"RETURN_COM_EQY","FQ3 2016","FQ3 2016","Currency=INR","Period=FQ","BEST_FPERIOD_OVERRIDE=FQ","FILING_STATUS=OR","EQY_CONSOLIDATED=Y","FA_ADJUSTED=GAAP","Sort=A","Dates=H","DateFormat=P","Fill=—","Direction=H","UseDPDF=Y")</f>
        <v>#NAME?</v>
      </c>
      <c r="G366" t="e">
        <f ca="1">_xll.BDH($C$353,"RETURN_ON_ASSET","FQ3 2016","FQ3 2016","Currency=INR","Period=FQ","BEST_FPERIOD_OVERRIDE=FQ","FILING_STATUS=OR","EQY_CONSOLIDATED=Y","FA_ADJUSTED=GAAP","Sort=A","Dates=H","DateFormat=P","Fill=—","Direction=H","UseDPDF=Y")</f>
        <v>#NAME?</v>
      </c>
      <c r="H366" t="e">
        <f ca="1">_xll.BDH($C$353,"RETURN_ON_CAP","FQ3 2016","FQ3 2016","Currency=INR","Period=FQ","BEST_FPERIOD_OVERRIDE=FQ","FILING_STATUS=OR","EQY_CONSOLIDATED=Y","FA_ADJUSTED=GAAP","Sort=A","Dates=H","DateFormat=P","Fill=—","Direction=H","UseDPDF=Y")</f>
        <v>#NAME?</v>
      </c>
      <c r="I366" t="e">
        <f ca="1">_xll.BDH($C$353,"RETURN_ON_INV_CAPITAL","FQ3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66" t="e">
        <f ca="1">_xll.BDH($C$353,"EBITDA_TO_REVENUE","FQ3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366" t="e">
        <f ca="1">_xll.BDH($C$353,"OPER_MARGIN","FQ3 2016","FQ3 2016","Currency=INR","Period=FQ","BEST_FPERIOD_OVERRIDE=FQ","FILING_STATUS=OR","EQY_CONSOLIDATED=Y","FA_ADJUSTED=GAAP","Sort=A","Dates=H","DateFormat=P","Fill=—","Direction=H","UseDPDF=Y")</f>
        <v>#NAME?</v>
      </c>
      <c r="L366" t="e">
        <f ca="1">_xll.BDH($C$353,"INCREMENTAL_OPERATING_MARGIN","FQ3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66" t="e">
        <f ca="1">_xll.BDH($C$353,"PRETAX_INC_TO_NET_SALES","FQ3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66" t="e">
        <f ca="1">_xll.BDH($C$353,"INC_BEF_XO_ITEMS_TO_NET_SALES","FQ3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66" t="e">
        <f ca="1">_xll.BDH($C$353,"PROF_MARGIN","FQ3 2016","FQ3 2016","Currency=INR","Period=FQ","BEST_FPERIOD_OVERRIDE=FQ","FILING_STATUS=OR","EQY_CONSOLIDATED=Y","FA_ADJUSTED=GAAP","Sort=A","Dates=H","DateFormat=P","Fill=—","Direction=H","UseDPDF=Y")</f>
        <v>#NAME?</v>
      </c>
      <c r="P366" t="e">
        <f ca="1">_xll.BDH($C$353,"NET_INCOME_TO_COMMON_MARGIN","FQ3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66" t="e">
        <f ca="1">_xll.BDH($C$353,"EFF_TAX_RATE","FQ3 2016","FQ3 2016","Currency=INR","Period=FQ","BEST_FPERIOD_OVERRIDE=FQ","FILING_STATUS=OR","EQY_CONSOLIDATED=Y","FA_ADJUSTED=GAAP","Sort=A","Dates=H","DateFormat=P","Fill=—","Direction=H","UseDPDF=Y")</f>
        <v>#NAME?</v>
      </c>
      <c r="R366" t="e">
        <f ca="1">_xll.BDH($C$353,"DVD_PAYOUT_RATIO","FQ3 2016","FQ3 2016","Currency=INR","Period=FQ","BEST_FPERIOD_OVERRIDE=FQ","FILING_STATUS=OR","EQY_CONSOLIDATED=Y","FA_ADJUSTED=GAAP","Sort=A","Dates=H","DateFormat=P","Fill=—","Direction=H","UseDPDF=Y")</f>
        <v>#NAME?</v>
      </c>
      <c r="S366" t="e">
        <f ca="1">_xll.BDH($C$353,"SUSTAIN_GROWTH_RT","FQ3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366" s="2" t="e">
        <f ca="1">_xll.BDH($C$353,"SALES_GROWTH","FQ3 2016","FQ3 2016","Currency=INR","Period=FQ","BEST_FPERIOD_OVERRIDE=FQ","FILING_STATUS=OR","EQY_CONSOLIDATED=Y","FA_ADJUSTED=GAAP","Sort=A","Dates=H","DateFormat=P","Fill=—","Direction=H","UseDPDF=Y")</f>
        <v>#NAME?</v>
      </c>
      <c r="U366" s="2" t="e">
        <f ca="1">_xll.BDH($C$353,"EBITDA_GROWTH","FQ3 2016","FQ3 2016","Currency=INR","Period=FQ","BEST_FPERIOD_OVERRIDE=FQ","FILING_STATUS=OR","EQY_CONSOLIDATED=Y","FA_ADJUSTED=GAAP","Sort=A","Dates=H","DateFormat=P","Fill=—","Direction=H","UseDPDF=Y")</f>
        <v>#NAME?</v>
      </c>
      <c r="V366" s="2" t="e">
        <f ca="1">_xll.BDH($C$353,"OPER_INC_GROWTH","FQ3 2016","FQ3 2016","Currency=INR","Period=FQ","BEST_FPERIOD_OVERRIDE=FQ","FILING_STATUS=OR","EQY_CONSOLIDATED=Y","FA_ADJUSTED=GAAP","Sort=A","Dates=H","DateFormat=P","Fill=—","Direction=H","UseDPDF=Y")</f>
        <v>#NAME?</v>
      </c>
      <c r="W366" s="2" t="e">
        <f ca="1">_xll.BDH($C$353,"EARN_FOR_COM_GROWTH","FQ3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66" s="2" t="e">
        <f ca="1">_xll.BDH($C$353,"DILUTED_EPS_AFT_XO_ITEMS_GROWTH","FQ3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66" s="2" t="e">
        <f ca="1">_xll.BDH($C$353,"DIVIDEND_PER_SHARE_1_YEAR_GROWTH","FQ3 2016","FQ3 2016","Currency=INR","Period=FQ","BEST_FPERIOD_OVERRIDE=FQ","FILING_STATUS=OR","EQY_CONSOLIDATED=Y","Sort=A","Dates=H","DateFormat=P","Fill=—","Direction=H","UseDPDF=Y")</f>
        <v>#NAME?</v>
      </c>
      <c r="Z366" s="2" t="e">
        <f ca="1">_xll.BDH($C$353,"ACCOUNTS_RECEIVABLE_GROWTH","FQ3 2016","FQ3 2016","Currency=INR","Period=FQ","BEST_FPERIOD_OVERRIDE=FQ","FILING_STATUS=OR","EQY_CONSOLIDATED=Y","Sort=A","Dates=H","DateFormat=P","Fill=—","Direction=H","UseDPDF=Y")</f>
        <v>#NAME?</v>
      </c>
      <c r="AA366" s="2" t="e">
        <f ca="1">_xll.BDH($C$353,"INVENTORY_GROWTH","FQ3 2016","FQ3 2016","Currency=INR","Period=FQ","BEST_FPERIOD_OVERRIDE=FQ","FILING_STATUS=OR","EQY_CONSOLIDATED=Y","Sort=A","Dates=H","DateFormat=P","Fill=—","Direction=H","UseDPDF=Y")</f>
        <v>#NAME?</v>
      </c>
      <c r="AB366" s="2" t="e">
        <f ca="1">_xll.BDH($C$353,"NET_FIXED_ASSETS_1_YEAR_GROWTH","FQ3 2016","FQ3 2016","Currency=INR","Period=FQ","BEST_FPERIOD_OVERRIDE=FQ","FILING_STATUS=OR","EQY_CONSOLIDATED=Y","Sort=A","Dates=H","DateFormat=P","Fill=—","Direction=H","UseDPDF=Y")</f>
        <v>#NAME?</v>
      </c>
      <c r="AC366" s="2" t="e">
        <f ca="1">_xll.BDH($C$353,"ASSET_GROWTH","FQ3 2016","FQ3 2016","Currency=INR","Period=FQ","BEST_FPERIOD_OVERRIDE=FQ","FILING_STATUS=OR","EQY_CONSOLIDATED=Y","Sort=A","Dates=H","DateFormat=P","Fill=—","Direction=H","UseDPDF=Y")</f>
        <v>#NAME?</v>
      </c>
      <c r="AD366" s="2" t="e">
        <f ca="1">_xll.BDH($C$353,"MODIFIED_WORK_CAP_GROWTH","FQ3 2016","FQ3 2016","Currency=INR","Period=FQ","BEST_FPERIOD_OVERRIDE=FQ","FILING_STATUS=OR","EQY_CONSOLIDATED=Y","Sort=A","Dates=H","DateFormat=P","Fill=—","Direction=H","UseDPDF=Y")</f>
        <v>#NAME?</v>
      </c>
      <c r="AE366" s="2" t="e">
        <f ca="1">_xll.BDH($C$353,"WORK_CAP_GROWTH","FQ3 2016","FQ3 2016","Currency=INR","Period=FQ","BEST_FPERIOD_OVERRIDE=FQ","FILING_STATUS=OR","EQY_CONSOLIDATED=Y","Sort=A","Dates=H","DateFormat=P","Fill=—","Direction=H","UseDPDF=Y")</f>
        <v>#NAME?</v>
      </c>
      <c r="AF366" s="2" t="e">
        <f ca="1">_xll.BDH($C$353,"ACCOUNTS_PAYABLE_GROWTH_1YR","FQ3 2016","FQ3 2016","Currency=INR","Period=FQ","BEST_FPERIOD_OVERRIDE=FQ","FILING_STATUS=OR","EQY_CONSOLIDATED=Y","Sort=A","Dates=H","DateFormat=P","Fill=—","Direction=H","UseDPDF=Y")</f>
        <v>#NAME?</v>
      </c>
      <c r="AG366" s="2" t="e">
        <f ca="1">_xll.BDH($C$353,"SHORT_TERM_DEBT_1_YEAR_GROWTH","FQ3 2016","FQ3 2016","Currency=INR","Period=FQ","BEST_FPERIOD_OVERRIDE=FQ","FILING_STATUS=OR","EQY_CONSOLIDATED=Y","Sort=A","Dates=H","DateFormat=P","Fill=—","Direction=H","UseDPDF=Y")</f>
        <v>#NAME?</v>
      </c>
      <c r="AH366" s="2" t="e">
        <f ca="1">_xll.BDH($C$353,"TOTAL_DEBT_1_YEAR_GROWTH","FQ3 2016","FQ3 2016","Currency=INR","Period=FQ","BEST_FPERIOD_OVERRIDE=FQ","FILING_STATUS=OR","EQY_CONSOLIDATED=Y","Sort=A","Dates=H","DateFormat=P","Fill=—","Direction=H","UseDPDF=Y")</f>
        <v>#NAME?</v>
      </c>
      <c r="AI366" s="2" t="e">
        <f ca="1">_xll.BDH($C$353,"TOTAL_EQUITY_1_YEAR_GROWTH","FQ3 2016","FQ3 2016","Currency=INR","Period=FQ","BEST_FPERIOD_OVERRIDE=FQ","FILING_STATUS=OR","EQY_CONSOLIDATED=Y","Sort=A","Dates=H","DateFormat=P","Fill=—","Direction=H","UseDPDF=Y")</f>
        <v>#NAME?</v>
      </c>
      <c r="AJ366" s="2" t="e">
        <f ca="1">_xll.BDH($C$353,"GROWTH_IN_CAP","FQ3 2016","FQ3 2016","Currency=INR","Period=FQ","BEST_FPERIOD_OVERRIDE=FQ","FILING_STATUS=OR","EQY_CONSOLIDATED=Y","Sort=A","Dates=H","DateFormat=P","Fill=—","Direction=H","UseDPDF=Y")</f>
        <v>#NAME?</v>
      </c>
      <c r="AK366" s="2" t="e">
        <f ca="1">_xll.BDH($C$353,"BVPS_GROWTH","FQ3 2016","FQ3 2016","Currency=INR","Period=FQ","BEST_FPERIOD_OVERRIDE=FQ","FILING_STATUS=OR","EQY_CONSOLIDATED=Y","Sort=A","Dates=H","DateFormat=P","Fill=—","Direction=H","UseDPDF=Y")</f>
        <v>#NAME?</v>
      </c>
      <c r="AL366" s="2" t="e">
        <f ca="1">_xll.BDH($C$353,"CASH_FLOW_GROWTH","FQ3 2016","FQ3 2016","Currency=INR","Period=FQ","BEST_FPERIOD_OVERRIDE=FQ","FILING_STATUS=OR","EQY_CONSOLIDATED=Y","Sort=A","Dates=H","DateFormat=P","Fill=—","Direction=H","UseDPDF=Y")</f>
        <v>#NAME?</v>
      </c>
      <c r="AM366" s="2" t="e">
        <f ca="1">_xll.BDH($C$353,"GEO_GROW_NET_SALES","FQ3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66" s="2" t="e">
        <f ca="1">_xll.BDH($C$353,"GEO_GROW_EBITDA","FQ3 2016","FQ3 2016","Currency=INR","Period=FQ","BEST_FPERIOD_OVERRIDE=FQ","FILING_STATUS=OR","EQY_CONSOLIDATED=Y","FA_ADJUSTED=GAAP","Sort=A","Dates=H","DateFormat=P","Fill=—","Direction=H","UseDPDF=Y")</f>
        <v>#NAME?</v>
      </c>
      <c r="AO366" s="2" t="e">
        <f ca="1">_xll.BDH($C$353,"GEO_GROW_OPER_INC","FQ3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66" s="2" t="e">
        <f ca="1">_xll.BDH($C$353,"NET_INCOME_TO_COMMON_5_YR_GROWTH","FQ3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66" s="2" t="e">
        <f ca="1">_xll.BDH($C$353,"5Y_GEO_GROWTH_DILUTED_EPS","FQ3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66" s="2" t="e">
        <f ca="1">_xll.BDH($C$353,"GEO_GROW_DVD_PER_SH","FQ3 2016","FQ3 2016","Currency=INR","Period=FQ","BEST_FPERIOD_OVERRIDE=FQ","FILING_STATUS=OR","EQY_CONSOLIDATED=Y","Sort=A","Dates=H","DateFormat=P","Fill=—","Direction=H","UseDPDF=Y")</f>
        <v>#NAME?</v>
      </c>
      <c r="AS366" s="2" t="e">
        <f ca="1">_xll.BDH($C$353,"ACCOUNTS_RECEIVABLE_5_YR_GROWTH","FQ3 2016","FQ3 2016","Currency=INR","Period=FQ","BEST_FPERIOD_OVERRIDE=FQ","FILING_STATUS=OR","EQY_CONSOLIDATED=Y","Sort=A","Dates=H","DateFormat=P","Fill=—","Direction=H","UseDPDF=Y")</f>
        <v>#NAME?</v>
      </c>
      <c r="AT366" s="2" t="e">
        <f ca="1">_xll.BDH($C$353,"INVENTORY_5_YEAR_GROWTH","FQ3 2016","FQ3 2016","Currency=INR","Period=FQ","BEST_FPERIOD_OVERRIDE=FQ","FILING_STATUS=OR","EQY_CONSOLIDATED=Y","Sort=A","Dates=H","DateFormat=P","Fill=—","Direction=H","UseDPDF=Y")</f>
        <v>#NAME?</v>
      </c>
      <c r="AU366" s="2" t="e">
        <f ca="1">_xll.BDH($C$353,"NET_FIXED_ASSETS_5_YEAR_GROWTH","FQ3 2016","FQ3 2016","Currency=INR","Period=FQ","BEST_FPERIOD_OVERRIDE=FQ","FILING_STATUS=OR","EQY_CONSOLIDATED=Y","Sort=A","Dates=H","DateFormat=P","Fill=—","Direction=H","UseDPDF=Y")</f>
        <v>#NAME?</v>
      </c>
      <c r="AV366" s="2" t="e">
        <f ca="1">_xll.BDH($C$353,"GEO_GROW_TOT_ASSET","FQ3 2016","FQ3 2016","Currency=INR","Period=FQ","BEST_FPERIOD_OVERRIDE=FQ","FILING_STATUS=OR","EQY_CONSOLIDATED=Y","Sort=A","Dates=H","DateFormat=P","Fill=—","Direction=H","UseDPDF=Y")</f>
        <v>#NAME?</v>
      </c>
      <c r="AW366" s="2" t="e">
        <f ca="1">_xll.BDH($C$353,"MODIFIED_WORKING_CPTL_5YR_GRWTH","FQ3 2016","FQ3 2016","Currency=INR","Period=FQ","BEST_FPERIOD_OVERRIDE=FQ","FILING_STATUS=OR","EQY_CONSOLIDATED=Y","Sort=A","Dates=H","DateFormat=P","Fill=—","Direction=H","UseDPDF=Y")</f>
        <v>#NAME?</v>
      </c>
      <c r="AX366" s="2" t="e">
        <f ca="1">_xll.BDH($C$353,"WORKING_CAPITAL_5_YEAR_GROWTH","FQ3 2016","FQ3 2016","Currency=INR","Period=FQ","BEST_FPERIOD_OVERRIDE=FQ","FILING_STATUS=OR","EQY_CONSOLIDATED=Y","Sort=A","Dates=H","DateFormat=P","Fill=—","Direction=H","UseDPDF=Y")</f>
        <v>#NAME?</v>
      </c>
      <c r="AY366" s="2" t="e">
        <f ca="1">_xll.BDH($C$353,"ACCOUNTS_PAYABLE_5_YEAR_GROWTH","FQ3 2016","FQ3 2016","Currency=INR","Period=FQ","BEST_FPERIOD_OVERRIDE=FQ","FILING_STATUS=OR","EQY_CONSOLIDATED=Y","Sort=A","Dates=H","DateFormat=P","Fill=—","Direction=H","UseDPDF=Y")</f>
        <v>#NAME?</v>
      </c>
      <c r="AZ366" s="2" t="e">
        <f ca="1">_xll.BDH($C$353,"SHORT_TERM_DEBT_5_YEAR_GROWTH","FQ3 2016","FQ3 2016","Currency=INR","Period=FQ","BEST_FPERIOD_OVERRIDE=FQ","FILING_STATUS=OR","EQY_CONSOLIDATED=Y","Sort=A","Dates=H","DateFormat=P","Fill=—","Direction=H","UseDPDF=Y")</f>
        <v>#NAME?</v>
      </c>
      <c r="BA366" s="2" t="e">
        <f ca="1">_xll.BDH($C$353,"TOTAL_DEBT_5_YEAR_GROWTH","FQ3 2016","FQ3 2016","Currency=INR","Period=FQ","BEST_FPERIOD_OVERRIDE=FQ","FILING_STATUS=OR","EQY_CONSOLIDATED=Y","Sort=A","Dates=H","DateFormat=P","Fill=—","Direction=H","UseDPDF=Y")</f>
        <v>#NAME?</v>
      </c>
      <c r="BB366" s="2" t="e">
        <f ca="1">_xll.BDH($C$353,"GEO_GROW_TOT_SHRHLDR_EQY","FQ3 2016","FQ3 2016","Currency=INR","Period=FQ","BEST_FPERIOD_OVERRIDE=FQ","FILING_STATUS=OR","EQY_CONSOLIDATED=Y","Sort=A","Dates=H","DateFormat=P","Fill=—","Direction=H","UseDPDF=Y")</f>
        <v>#NAME?</v>
      </c>
      <c r="BC366" s="2" t="e">
        <f ca="1">_xll.BDH($C$353,"TOTAL_CAPITAL_5_YEAR_GROWTH","FQ3 2016","FQ3 2016","Currency=INR","Period=FQ","BEST_FPERIOD_OVERRIDE=FQ","FILING_STATUS=OR","EQY_CONSOLIDATED=Y","Sort=A","Dates=H","DateFormat=P","Fill=—","Direction=H","UseDPDF=Y")</f>
        <v>#NAME?</v>
      </c>
      <c r="BD366" s="2" t="e">
        <f ca="1">_xll.BDH($C$353,"GEO_GROW_BOOK_VAL","FQ3 2016","FQ3 2016","Currency=INR","Period=FQ","BEST_FPERIOD_OVERRIDE=FQ","FILING_STATUS=OR","EQY_CONSOLIDATED=Y","Sort=A","Dates=H","DateFormat=P","Fill=—","Direction=H","UseDPDF=Y")</f>
        <v>#NAME?</v>
      </c>
      <c r="BE366" s="2" t="e">
        <f ca="1">_xll.BDH($C$353,"GEO_GROW_CASH_OPER_ACT","FQ3 2016","FQ3 2016","Currency=INR","Period=FQ","BEST_FPERIOD_OVERRIDE=FQ","FILING_STATUS=OR","EQY_CONSOLIDATED=Y","Sort=A","Dates=H","DateFormat=P","Fill=—","Direction=H","UseDPDF=Y")</f>
        <v>#NAME?</v>
      </c>
      <c r="BF366" s="2" t="e">
        <f ca="1">_xll.BDH($C$353,"REVENUE_SEQUENTIAL_GROWTH","FQ3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66" s="2" t="e">
        <f ca="1">_xll.BDH($C$353,"EBITDA_SEQUENTIAL_GROWTH","FQ3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66" s="2" t="e">
        <f ca="1">_xll.BDH($C$353,"OPERATING_INCOME_SEQ_GROWTH","FQ3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66" s="2" t="e">
        <f ca="1">_xll.BDH($C$353,"NET_INCOME_TO_COMMON_SEQ_GROWTH","FQ3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66" s="2" t="e">
        <f ca="1">_xll.BDH($C$353,"EPS_DILUTED_SEQUENTIAL_GROWTH","FQ3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66" s="2" t="e">
        <f ca="1">_xll.BDH($C$353,"DPS_SEQUENTIAL_GROWTH","FQ3 2016","FQ3 2016","Currency=INR","Period=FQ","BEST_FPERIOD_OVERRIDE=FQ","FILING_STATUS=OR","EQY_CONSOLIDATED=Y","Sort=A","Dates=H","DateFormat=P","Fill=—","Direction=H","UseDPDF=Y")</f>
        <v>#NAME?</v>
      </c>
      <c r="BL366" s="2" t="e">
        <f ca="1">_xll.BDH($C$353,"ACCOUNTS_RECEIVABLE_SEQ_GROWTH","FQ3 2016","FQ3 2016","Currency=INR","Period=FQ","BEST_FPERIOD_OVERRIDE=FQ","FILING_STATUS=OR","EQY_CONSOLIDATED=Y","Sort=A","Dates=H","DateFormat=P","Fill=—","Direction=H","UseDPDF=Y")</f>
        <v>#NAME?</v>
      </c>
      <c r="BM366" s="2" t="e">
        <f ca="1">_xll.BDH($C$353,"INVENTORY_SEQUENTIAL_GROWTH","FQ3 2016","FQ3 2016","Currency=INR","Period=FQ","BEST_FPERIOD_OVERRIDE=FQ","FILING_STATUS=OR","EQY_CONSOLIDATED=Y","Sort=A","Dates=H","DateFormat=P","Fill=—","Direction=H","UseDPDF=Y")</f>
        <v>#NAME?</v>
      </c>
      <c r="BN366" s="2" t="e">
        <f ca="1">_xll.BDH($C$353,"FIXED_ASSETS_SEQUENTIAL_GROWTH","FQ3 2016","FQ3 2016","Currency=INR","Period=FQ","BEST_FPERIOD_OVERRIDE=FQ","FILING_STATUS=OR","EQY_CONSOLIDATED=Y","Sort=A","Dates=H","DateFormat=P","Fill=—","Direction=H","UseDPDF=Y")</f>
        <v>#NAME?</v>
      </c>
      <c r="BO366" s="2" t="e">
        <f ca="1">_xll.BDH($C$353,"TOTAL_ASSETS_SEQUENTIAL_GROWTH","FQ3 2016","FQ3 2016","Currency=INR","Period=FQ","BEST_FPERIOD_OVERRIDE=FQ","FILING_STATUS=OR","EQY_CONSOLIDATED=Y","Sort=A","Dates=H","DateFormat=P","Fill=—","Direction=H","UseDPDF=Y")</f>
        <v>#NAME?</v>
      </c>
      <c r="BP366" s="2" t="e">
        <f ca="1">_xll.BDH($C$353,"MODIFIED_WORKING_CPTL_SEQ_GRWTH","FQ3 2016","FQ3 2016","Currency=INR","Period=FQ","BEST_FPERIOD_OVERRIDE=FQ","FILING_STATUS=OR","EQY_CONSOLIDATED=Y","Sort=A","Dates=H","DateFormat=P","Fill=—","Direction=H","UseDPDF=Y")</f>
        <v>#NAME?</v>
      </c>
      <c r="BQ366" s="2" t="e">
        <f ca="1">_xll.BDH($C$353,"WORKING_CAPITAL_SEQ_GROWTH","FQ3 2016","FQ3 2016","Currency=INR","Period=FQ","BEST_FPERIOD_OVERRIDE=FQ","FILING_STATUS=OR","EQY_CONSOLIDATED=Y","Sort=A","Dates=H","DateFormat=P","Fill=—","Direction=H","UseDPDF=Y")</f>
        <v>#NAME?</v>
      </c>
      <c r="BR366" s="2" t="e">
        <f ca="1">_xll.BDH($C$353,"ACCOUNTS_PAYABLE_SEQ_GROWTH","FQ3 2016","FQ3 2016","Currency=INR","Period=FQ","BEST_FPERIOD_OVERRIDE=FQ","FILING_STATUS=OR","EQY_CONSOLIDATED=Y","Sort=A","Dates=H","DateFormat=P","Fill=—","Direction=H","UseDPDF=Y")</f>
        <v>#NAME?</v>
      </c>
      <c r="BS366" s="2" t="e">
        <f ca="1">_xll.BDH($C$353,"ST_DEBT_SEQUENTIAL_GROWTH","FQ3 2016","FQ3 2016","Currency=INR","Period=FQ","BEST_FPERIOD_OVERRIDE=FQ","FILING_STATUS=OR","EQY_CONSOLIDATED=Y","Sort=A","Dates=H","DateFormat=P","Fill=—","Direction=H","UseDPDF=Y")</f>
        <v>#NAME?</v>
      </c>
      <c r="BT366" s="2" t="e">
        <f ca="1">_xll.BDH($C$353,"TOTAL_DEBT_SEQUENTIAL_GROWTH","FQ3 2016","FQ3 2016","Currency=INR","Period=FQ","BEST_FPERIOD_OVERRIDE=FQ","FILING_STATUS=OR","EQY_CONSOLIDATED=Y","Sort=A","Dates=H","DateFormat=P","Fill=—","Direction=H","UseDPDF=Y")</f>
        <v>#NAME?</v>
      </c>
      <c r="BU366" s="2" t="e">
        <f ca="1">_xll.BDH($C$353,"TOTAL_EQUITY_SEQUENTIAL_GROWTH","FQ3 2016","FQ3 2016","Currency=INR","Period=FQ","BEST_FPERIOD_OVERRIDE=FQ","FILING_STATUS=OR","EQY_CONSOLIDATED=Y","Sort=A","Dates=H","DateFormat=P","Fill=—","Direction=H","UseDPDF=Y")</f>
        <v>#NAME?</v>
      </c>
      <c r="BV366" s="2" t="e">
        <f ca="1">_xll.BDH($C$353,"TOTAL_CAPITAL_SEQUENTIAL_GROWTH","FQ3 2016","FQ3 2016","Currency=INR","Period=FQ","BEST_FPERIOD_OVERRIDE=FQ","FILING_STATUS=OR","EQY_CONSOLIDATED=Y","Sort=A","Dates=H","DateFormat=P","Fill=—","Direction=H","UseDPDF=Y")</f>
        <v>#NAME?</v>
      </c>
      <c r="BW366" s="2" t="e">
        <f ca="1">_xll.BDH($C$353,"BPS_SEQUENTIAL_GROWTH","FQ3 2016","FQ3 2016","Currency=INR","Period=FQ","BEST_FPERIOD_OVERRIDE=FQ","FILING_STATUS=OR","EQY_CONSOLIDATED=Y","Sort=A","Dates=H","DateFormat=P","Fill=—","Direction=H","UseDPDF=Y")</f>
        <v>#NAME?</v>
      </c>
      <c r="BX366" s="2" t="e">
        <f ca="1">_xll.BDH($C$353,"CFO_SEQUENTIAL_GROWTH","FQ3 2016","FQ3 2016","Currency=INR","Period=FQ","BEST_FPERIOD_OVERRIDE=FQ","FILING_STATUS=OR","EQY_CONSOLIDATED=Y","Sort=A","Dates=H","DateFormat=P","Fill=—","Direction=H","UseDPDF=Y")</f>
        <v>#NAME?</v>
      </c>
      <c r="BY366" s="3" t="e">
        <f ca="1">_xll.BDH($C$353,"SHORT_AND_LONG_TERM_DEBT","FQ3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66" s="3" t="e">
        <f ca="1">_xll.BDH($C$353,"BS_ST_BORROW","FQ3 2016","FQ3 2016","Currency=INR","Period=FQ","BEST_FPERIOD_OVERRIDE=FQ","FILING_STATUS=OR","EQY_CONSOLIDATED=Y","SCALING_FORMAT=MLN","Sort=A","Dates=H","DateFormat=P","Fill=—","Direction=H","UseDPDF=Y")</f>
        <v>#NAME?</v>
      </c>
      <c r="CA366" s="3" t="e">
        <f ca="1">_xll.BDH($C$353,"BS_LT_BORROW","FQ3 2016","FQ3 2016","Currency=INR","Period=FQ","BEST_FPERIOD_OVERRIDE=FQ","FILING_STATUS=OR","EQY_CONSOLIDATED=Y","SCALING_FORMAT=MLN","Sort=A","Dates=H","DateFormat=P","Fill=—","Direction=H","UseDPDF=Y")</f>
        <v>#NAME?</v>
      </c>
      <c r="CB366" s="2" t="e">
        <f ca="1">_xll.BDH($C$353,"TOT_DEBT_TO_EBITDA","FQ3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66" s="2" t="e">
        <f ca="1">_xll.BDH($C$353,"NET_DEBT_TO_EBITDA","FQ3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66" s="2" t="e">
        <f ca="1">_xll.BDH($C$353,"TOTAL_DEBT_TO_EBIT","FQ3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66" s="2" t="e">
        <f ca="1">_xll.BDH($C$353,"NET_DEBT_TO_EBIT","FQ3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366" s="2" t="e">
        <f ca="1">_xll.BDH($C$353,"EBITDA_TO_INTEREST_EXPN","FQ3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66" s="2" t="e">
        <f ca="1">_xll.BDH($C$353,"COM_EQY_TO_TOT_ASSET","FQ3 2016","FQ3 2016","Currency=INR","Period=FQ","BEST_FPERIOD_OVERRIDE=FQ","FILING_STATUS=OR","EQY_CONSOLIDATED=Y","Sort=A","Dates=H","DateFormat=P","Fill=—","Direction=H","UseDPDF=Y")</f>
        <v>#NAME?</v>
      </c>
      <c r="CH366" s="2" t="e">
        <f ca="1">_xll.BDH($C$353,"LT_DEBT_TO_TOT_EQY","FQ3 2016","FQ3 2016","Currency=INR","Period=FQ","BEST_FPERIOD_OVERRIDE=FQ","FILING_STATUS=OR","EQY_CONSOLIDATED=Y","Sort=A","Dates=H","DateFormat=P","Fill=—","Direction=H","UseDPDF=Y")</f>
        <v>#NAME?</v>
      </c>
      <c r="CI366" s="2" t="e">
        <f ca="1">_xll.BDH($C$353,"LT_DEBT_TO_TOT_CAP","FQ3 2016","FQ3 2016","Currency=INR","Period=FQ","BEST_FPERIOD_OVERRIDE=FQ","FILING_STATUS=OR","EQY_CONSOLIDATED=Y","Sort=A","Dates=H","DateFormat=P","Fill=—","Direction=H","UseDPDF=Y")</f>
        <v>#NAME?</v>
      </c>
      <c r="CJ366" s="2" t="e">
        <f ca="1">_xll.BDH($C$353,"LT_DEBT_TO_TOT_ASSET","FQ3 2016","FQ3 2016","Currency=INR","Period=FQ","BEST_FPERIOD_OVERRIDE=FQ","FILING_STATUS=OR","EQY_CONSOLIDATED=Y","Sort=A","Dates=H","DateFormat=P","Fill=—","Direction=H","UseDPDF=Y")</f>
        <v>#NAME?</v>
      </c>
      <c r="CK366" s="2" t="e">
        <f ca="1">_xll.BDH($C$353,"TOT_DEBT_TO_TOT_EQY","FQ3 2016","FQ3 2016","Currency=INR","Period=FQ","BEST_FPERIOD_OVERRIDE=FQ","FILING_STATUS=OR","EQY_CONSOLIDATED=Y","Sort=A","Dates=H","DateFormat=P","Fill=—","Direction=H","UseDPDF=Y")</f>
        <v>#NAME?</v>
      </c>
      <c r="CL366" s="2" t="e">
        <f ca="1">_xll.BDH($C$353,"TOT_DEBT_TO_TOT_CAP","FQ3 2016","FQ3 2016","Currency=INR","Period=FQ","BEST_FPERIOD_OVERRIDE=FQ","FILING_STATUS=OR","EQY_CONSOLIDATED=Y","Sort=A","Dates=H","DateFormat=P","Fill=—","Direction=H","UseDPDF=Y")</f>
        <v>#NAME?</v>
      </c>
      <c r="CM366" s="2" t="e">
        <f ca="1">_xll.BDH($C$353,"TOT_DEBT_TO_TOT_ASSET","FQ3 2016","FQ3 2016","Currency=INR","Period=FQ","BEST_FPERIOD_OVERRIDE=FQ","FILING_STATUS=OR","EQY_CONSOLIDATED=Y","Sort=A","Dates=H","DateFormat=P","Fill=—","Direction=H","UseDPDF=Y")</f>
        <v>#NAME?</v>
      </c>
      <c r="CN366" s="2" t="e">
        <f ca="1">_xll.BDH($C$353,"NET_DEBT_TO_SHRHLDR_EQTY","FQ3 2016","FQ3 2016","Currency=INR","Period=FQ","BEST_FPERIOD_OVERRIDE=FQ","FILING_STATUS=OR","EQY_CONSOLIDATED=Y","Sort=A","Dates=H","DateFormat=P","Fill=—","Direction=H","UseDPDF=Y")</f>
        <v>#NAME?</v>
      </c>
      <c r="CO366" s="2" t="e">
        <f ca="1">_xll.BDH($C$353,"NET_DEBT_%_CAPITAL","FQ3 2016","FQ3 2016","Currency=INR","Period=FQ","BEST_FPERIOD_OVERRIDE=FQ","FILING_STATUS=OR","EQY_CONSOLIDATED=Y","Sort=A","Dates=H","DateFormat=P","Fill=—","Direction=H","UseDPDF=Y")</f>
        <v>#NAME?</v>
      </c>
      <c r="CP366" s="3" t="e">
        <f ca="1">_xll.BDH($C$353,"EBITDA","FQ3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66" s="3" t="e">
        <f ca="1">_xll.BDH($C$353,"EBITDA_AFTER_CAPEX","FQ3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66" s="3" t="e">
        <f ca="1">_xll.BDH($C$353,"IS_OPER_INC","FQ3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66" s="2" t="e">
        <f ca="1">_xll.BDH($C$353,"CASH_RATIO","FQ3 2016","FQ3 2016","Currency=INR","Period=FQ","BEST_FPERIOD_OVERRIDE=FQ","FILING_STATUS=OR","EQY_CONSOLIDATED=Y","Sort=A","Dates=H","DateFormat=P","Fill=—","Direction=H","UseDPDF=Y")</f>
        <v>#NAME?</v>
      </c>
      <c r="CT366" s="2" t="e">
        <f ca="1">_xll.BDH($C$353,"CUR_RATIO","FQ3 2016","FQ3 2016","Currency=INR","Period=FQ","BEST_FPERIOD_OVERRIDE=FQ","FILING_STATUS=OR","EQY_CONSOLIDATED=Y","Sort=A","Dates=H","DateFormat=P","Fill=—","Direction=H","UseDPDF=Y")</f>
        <v>#NAME?</v>
      </c>
      <c r="CU366" s="2" t="e">
        <f ca="1">_xll.BDH($C$353,"QUICK_RATIO","FQ3 2016","FQ3 2016","Currency=INR","Period=FQ","BEST_FPERIOD_OVERRIDE=FQ","FILING_STATUS=OR","EQY_CONSOLIDATED=Y","Sort=A","Dates=H","DateFormat=P","Fill=—","Direction=H","UseDPDF=Y")</f>
        <v>#NAME?</v>
      </c>
      <c r="CV366" s="2" t="e">
        <f ca="1">_xll.BDH($C$353,"ALTMAN_Z_SCORE","FQ3 2016","FQ3 2016","Currency=INR","Period=FQ","BEST_FPERIOD_OVERRIDE=FQ","FILING_STATUS=OR","EQY_CONSOLIDATED=Y","Sort=A","Dates=H","DateFormat=P","Fill=—","Direction=H","UseDPDF=Y")</f>
        <v>#NAME?</v>
      </c>
      <c r="CW366" s="4" t="e">
        <f ca="1">_xll.BDH($C$353,"ACCT_RCV_TURN","FQ3 2016","FQ3 2016","Currency=INR","Period=FQ","BEST_FPERIOD_OVERRIDE=FQ","FILING_STATUS=OR","EQY_CONSOLIDATED=Y","FA_ADJUSTED=GAAP","Sort=A","Dates=H","DateFormat=P","Fill=—","Direction=H","UseDPDF=Y")</f>
        <v>#NAME?</v>
      </c>
      <c r="CX366" s="2" t="e">
        <f ca="1">_xll.BDH($C$353,"ACCT_RCV_DAYS","FQ3 2016","FQ3 2016","Currency=INR","Period=FQ","BEST_FPERIOD_OVERRIDE=FQ","FILING_STATUS=OR","EQY_CONSOLIDATED=Y","FA_ADJUSTED=GAAP","Sort=A","Dates=H","DateFormat=P","Fill=—","Direction=H","UseDPDF=Y")</f>
        <v>#NAME?</v>
      </c>
      <c r="CY366" s="4" t="e">
        <f ca="1">_xll.BDH($C$353,"INVENT_TURN","FQ3 2016","FQ3 2016","Currency=INR","Period=FQ","BEST_FPERIOD_OVERRIDE=FQ","FILING_STATUS=OR","EQY_CONSOLIDATED=Y","FA_ADJUSTED=GAAP","Sort=A","Dates=H","DateFormat=P","Fill=—","Direction=H","UseDPDF=Y")</f>
        <v>#NAME?</v>
      </c>
      <c r="CZ366" s="2" t="e">
        <f ca="1">_xll.BDH($C$353,"INVENT_DAYS","FQ3 2016","FQ3 2016","Currency=INR","Period=FQ","BEST_FPERIOD_OVERRIDE=FQ","FILING_STATUS=OR","EQY_CONSOLIDATED=Y","FA_ADJUSTED=GAAP","Sort=A","Dates=H","DateFormat=P","Fill=—","Direction=H","UseDPDF=Y")</f>
        <v>#NAME?</v>
      </c>
      <c r="DA366" s="4" t="e">
        <f ca="1">_xll.BDH($C$353,"ACCOUNTS_PAYABLE_TURNOVER","FQ3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66" s="2" t="e">
        <f ca="1">_xll.BDH($C$353,"ACCOUNTS_PAYABLE_TURNOVER_DAYS","FQ3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66" s="4" t="e">
        <f ca="1">_xll.BDH($C$353,"CASH_CONVERSION_CYCLE","FQ3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66" s="4" t="e">
        <f ca="1">_xll.BDH($C$353,"INV_TO_CASH_DAYS","FQ3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366" s="5" t="e">
        <f ca="1">_xll.BDH($C$353,"BS_INVENTORIES","FQ3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366" s="3" t="e">
        <f ca="1">_xll.BDH($C$353,"INVTRY_RAW_MATERIALS","FQ3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66" s="3" t="e">
        <f ca="1">_xll.BDH($C$353,"INVTRY_IN_PROGRESS","FQ3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66" s="3" t="e">
        <f ca="1">_xll.BDH($C$353,"INVTRY_FINISHED_GOODS","FQ3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66" s="3" t="e">
        <f ca="1">_xll.BDH($C$353,"BS_OTHER_INV","FQ3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67" spans="1:113" x14ac:dyDescent="0.3">
      <c r="A367" s="6"/>
      <c r="B367" s="6"/>
      <c r="C367" s="6"/>
      <c r="D367" s="6"/>
      <c r="E367" t="s">
        <v>81</v>
      </c>
      <c r="F367" t="e">
        <f ca="1">_xll.BDH($C$353,"RETURN_COM_EQY","FQ4 2016","FQ4 2016","Currency=INR","Period=FQ","BEST_FPERIOD_OVERRIDE=FQ","FILING_STATUS=OR","EQY_CONSOLIDATED=Y","FA_ADJUSTED=GAAP","Sort=A","Dates=H","DateFormat=P","Fill=—","Direction=H","UseDPDF=Y")</f>
        <v>#NAME?</v>
      </c>
      <c r="G367" t="e">
        <f ca="1">_xll.BDH($C$353,"RETURN_ON_ASSET","FQ4 2016","FQ4 2016","Currency=INR","Period=FQ","BEST_FPERIOD_OVERRIDE=FQ","FILING_STATUS=OR","EQY_CONSOLIDATED=Y","FA_ADJUSTED=GAAP","Sort=A","Dates=H","DateFormat=P","Fill=—","Direction=H","UseDPDF=Y")</f>
        <v>#NAME?</v>
      </c>
      <c r="H367" t="e">
        <f ca="1">_xll.BDH($C$353,"RETURN_ON_CAP","FQ4 2016","FQ4 2016","Currency=INR","Period=FQ","BEST_FPERIOD_OVERRIDE=FQ","FILING_STATUS=OR","EQY_CONSOLIDATED=Y","FA_ADJUSTED=GAAP","Sort=A","Dates=H","DateFormat=P","Fill=—","Direction=H","UseDPDF=Y")</f>
        <v>#NAME?</v>
      </c>
      <c r="I367" t="e">
        <f ca="1">_xll.BDH($C$353,"RETURN_ON_INV_CAPITAL","FQ4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67" t="e">
        <f ca="1">_xll.BDH($C$353,"EBITDA_TO_REVENUE","FQ4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367" t="e">
        <f ca="1">_xll.BDH($C$353,"OPER_MARGIN","FQ4 2016","FQ4 2016","Currency=INR","Period=FQ","BEST_FPERIOD_OVERRIDE=FQ","FILING_STATUS=OR","EQY_CONSOLIDATED=Y","FA_ADJUSTED=GAAP","Sort=A","Dates=H","DateFormat=P","Fill=—","Direction=H","UseDPDF=Y")</f>
        <v>#NAME?</v>
      </c>
      <c r="L367" t="e">
        <f ca="1">_xll.BDH($C$353,"INCREMENTAL_OPERATING_MARGIN","FQ4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67" t="e">
        <f ca="1">_xll.BDH($C$353,"PRETAX_INC_TO_NET_SALES","FQ4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67" t="e">
        <f ca="1">_xll.BDH($C$353,"INC_BEF_XO_ITEMS_TO_NET_SALES","FQ4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67" t="e">
        <f ca="1">_xll.BDH($C$353,"PROF_MARGIN","FQ4 2016","FQ4 2016","Currency=INR","Period=FQ","BEST_FPERIOD_OVERRIDE=FQ","FILING_STATUS=OR","EQY_CONSOLIDATED=Y","FA_ADJUSTED=GAAP","Sort=A","Dates=H","DateFormat=P","Fill=—","Direction=H","UseDPDF=Y")</f>
        <v>#NAME?</v>
      </c>
      <c r="P367" t="e">
        <f ca="1">_xll.BDH($C$353,"NET_INCOME_TO_COMMON_MARGIN","FQ4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67" t="e">
        <f ca="1">_xll.BDH($C$353,"EFF_TAX_RATE","FQ4 2016","FQ4 2016","Currency=INR","Period=FQ","BEST_FPERIOD_OVERRIDE=FQ","FILING_STATUS=OR","EQY_CONSOLIDATED=Y","FA_ADJUSTED=GAAP","Sort=A","Dates=H","DateFormat=P","Fill=—","Direction=H","UseDPDF=Y")</f>
        <v>#NAME?</v>
      </c>
      <c r="R367" t="e">
        <f ca="1">_xll.BDH($C$353,"DVD_PAYOUT_RATIO","FQ4 2016","FQ4 2016","Currency=INR","Period=FQ","BEST_FPERIOD_OVERRIDE=FQ","FILING_STATUS=OR","EQY_CONSOLIDATED=Y","FA_ADJUSTED=GAAP","Sort=A","Dates=H","DateFormat=P","Fill=—","Direction=H","UseDPDF=Y")</f>
        <v>#NAME?</v>
      </c>
      <c r="S367" t="e">
        <f ca="1">_xll.BDH($C$353,"SUSTAIN_GROWTH_RT","FQ4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367" s="2" t="e">
        <f ca="1">_xll.BDH($C$353,"SALES_GROWTH","FQ4 2016","FQ4 2016","Currency=INR","Period=FQ","BEST_FPERIOD_OVERRIDE=FQ","FILING_STATUS=OR","EQY_CONSOLIDATED=Y","FA_ADJUSTED=GAAP","Sort=A","Dates=H","DateFormat=P","Fill=—","Direction=H","UseDPDF=Y")</f>
        <v>#NAME?</v>
      </c>
      <c r="U367" s="2" t="e">
        <f ca="1">_xll.BDH($C$353,"EBITDA_GROWTH","FQ4 2016","FQ4 2016","Currency=INR","Period=FQ","BEST_FPERIOD_OVERRIDE=FQ","FILING_STATUS=OR","EQY_CONSOLIDATED=Y","FA_ADJUSTED=GAAP","Sort=A","Dates=H","DateFormat=P","Fill=—","Direction=H","UseDPDF=Y")</f>
        <v>#NAME?</v>
      </c>
      <c r="V367" s="2" t="e">
        <f ca="1">_xll.BDH($C$353,"OPER_INC_GROWTH","FQ4 2016","FQ4 2016","Currency=INR","Period=FQ","BEST_FPERIOD_OVERRIDE=FQ","FILING_STATUS=OR","EQY_CONSOLIDATED=Y","FA_ADJUSTED=GAAP","Sort=A","Dates=H","DateFormat=P","Fill=—","Direction=H","UseDPDF=Y")</f>
        <v>#NAME?</v>
      </c>
      <c r="W367" s="2" t="e">
        <f ca="1">_xll.BDH($C$353,"EARN_FOR_COM_GROWTH","FQ4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67" s="2" t="e">
        <f ca="1">_xll.BDH($C$353,"DILUTED_EPS_AFT_XO_ITEMS_GROWTH","FQ4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67" s="2" t="e">
        <f ca="1">_xll.BDH($C$353,"DIVIDEND_PER_SHARE_1_YEAR_GROWTH","FQ4 2016","FQ4 2016","Currency=INR","Period=FQ","BEST_FPERIOD_OVERRIDE=FQ","FILING_STATUS=OR","EQY_CONSOLIDATED=Y","Sort=A","Dates=H","DateFormat=P","Fill=—","Direction=H","UseDPDF=Y")</f>
        <v>#NAME?</v>
      </c>
      <c r="Z367" s="2" t="e">
        <f ca="1">_xll.BDH($C$353,"ACCOUNTS_RECEIVABLE_GROWTH","FQ4 2016","FQ4 2016","Currency=INR","Period=FQ","BEST_FPERIOD_OVERRIDE=FQ","FILING_STATUS=OR","EQY_CONSOLIDATED=Y","Sort=A","Dates=H","DateFormat=P","Fill=—","Direction=H","UseDPDF=Y")</f>
        <v>#NAME?</v>
      </c>
      <c r="AA367" s="2" t="e">
        <f ca="1">_xll.BDH($C$353,"INVENTORY_GROWTH","FQ4 2016","FQ4 2016","Currency=INR","Period=FQ","BEST_FPERIOD_OVERRIDE=FQ","FILING_STATUS=OR","EQY_CONSOLIDATED=Y","Sort=A","Dates=H","DateFormat=P","Fill=—","Direction=H","UseDPDF=Y")</f>
        <v>#NAME?</v>
      </c>
      <c r="AB367" s="2" t="e">
        <f ca="1">_xll.BDH($C$353,"NET_FIXED_ASSETS_1_YEAR_GROWTH","FQ4 2016","FQ4 2016","Currency=INR","Period=FQ","BEST_FPERIOD_OVERRIDE=FQ","FILING_STATUS=OR","EQY_CONSOLIDATED=Y","Sort=A","Dates=H","DateFormat=P","Fill=—","Direction=H","UseDPDF=Y")</f>
        <v>#NAME?</v>
      </c>
      <c r="AC367" s="2" t="e">
        <f ca="1">_xll.BDH($C$353,"ASSET_GROWTH","FQ4 2016","FQ4 2016","Currency=INR","Period=FQ","BEST_FPERIOD_OVERRIDE=FQ","FILING_STATUS=OR","EQY_CONSOLIDATED=Y","Sort=A","Dates=H","DateFormat=P","Fill=—","Direction=H","UseDPDF=Y")</f>
        <v>#NAME?</v>
      </c>
      <c r="AD367" s="2" t="e">
        <f ca="1">_xll.BDH($C$353,"MODIFIED_WORK_CAP_GROWTH","FQ4 2016","FQ4 2016","Currency=INR","Period=FQ","BEST_FPERIOD_OVERRIDE=FQ","FILING_STATUS=OR","EQY_CONSOLIDATED=Y","Sort=A","Dates=H","DateFormat=P","Fill=—","Direction=H","UseDPDF=Y")</f>
        <v>#NAME?</v>
      </c>
      <c r="AE367" s="2" t="e">
        <f ca="1">_xll.BDH($C$353,"WORK_CAP_GROWTH","FQ4 2016","FQ4 2016","Currency=INR","Period=FQ","BEST_FPERIOD_OVERRIDE=FQ","FILING_STATUS=OR","EQY_CONSOLIDATED=Y","Sort=A","Dates=H","DateFormat=P","Fill=—","Direction=H","UseDPDF=Y")</f>
        <v>#NAME?</v>
      </c>
      <c r="AF367" s="2" t="e">
        <f ca="1">_xll.BDH($C$353,"ACCOUNTS_PAYABLE_GROWTH_1YR","FQ4 2016","FQ4 2016","Currency=INR","Period=FQ","BEST_FPERIOD_OVERRIDE=FQ","FILING_STATUS=OR","EQY_CONSOLIDATED=Y","Sort=A","Dates=H","DateFormat=P","Fill=—","Direction=H","UseDPDF=Y")</f>
        <v>#NAME?</v>
      </c>
      <c r="AG367" s="2" t="e">
        <f ca="1">_xll.BDH($C$353,"SHORT_TERM_DEBT_1_YEAR_GROWTH","FQ4 2016","FQ4 2016","Currency=INR","Period=FQ","BEST_FPERIOD_OVERRIDE=FQ","FILING_STATUS=OR","EQY_CONSOLIDATED=Y","Sort=A","Dates=H","DateFormat=P","Fill=—","Direction=H","UseDPDF=Y")</f>
        <v>#NAME?</v>
      </c>
      <c r="AH367" s="2" t="e">
        <f ca="1">_xll.BDH($C$353,"TOTAL_DEBT_1_YEAR_GROWTH","FQ4 2016","FQ4 2016","Currency=INR","Period=FQ","BEST_FPERIOD_OVERRIDE=FQ","FILING_STATUS=OR","EQY_CONSOLIDATED=Y","Sort=A","Dates=H","DateFormat=P","Fill=—","Direction=H","UseDPDF=Y")</f>
        <v>#NAME?</v>
      </c>
      <c r="AI367" s="2" t="e">
        <f ca="1">_xll.BDH($C$353,"TOTAL_EQUITY_1_YEAR_GROWTH","FQ4 2016","FQ4 2016","Currency=INR","Period=FQ","BEST_FPERIOD_OVERRIDE=FQ","FILING_STATUS=OR","EQY_CONSOLIDATED=Y","Sort=A","Dates=H","DateFormat=P","Fill=—","Direction=H","UseDPDF=Y")</f>
        <v>#NAME?</v>
      </c>
      <c r="AJ367" s="2" t="e">
        <f ca="1">_xll.BDH($C$353,"GROWTH_IN_CAP","FQ4 2016","FQ4 2016","Currency=INR","Period=FQ","BEST_FPERIOD_OVERRIDE=FQ","FILING_STATUS=OR","EQY_CONSOLIDATED=Y","Sort=A","Dates=H","DateFormat=P","Fill=—","Direction=H","UseDPDF=Y")</f>
        <v>#NAME?</v>
      </c>
      <c r="AK367" s="2" t="e">
        <f ca="1">_xll.BDH($C$353,"BVPS_GROWTH","FQ4 2016","FQ4 2016","Currency=INR","Period=FQ","BEST_FPERIOD_OVERRIDE=FQ","FILING_STATUS=OR","EQY_CONSOLIDATED=Y","Sort=A","Dates=H","DateFormat=P","Fill=—","Direction=H","UseDPDF=Y")</f>
        <v>#NAME?</v>
      </c>
      <c r="AL367" s="2" t="e">
        <f ca="1">_xll.BDH($C$353,"CASH_FLOW_GROWTH","FQ4 2016","FQ4 2016","Currency=INR","Period=FQ","BEST_FPERIOD_OVERRIDE=FQ","FILING_STATUS=OR","EQY_CONSOLIDATED=Y","Sort=A","Dates=H","DateFormat=P","Fill=—","Direction=H","UseDPDF=Y")</f>
        <v>#NAME?</v>
      </c>
      <c r="AM367" s="2" t="e">
        <f ca="1">_xll.BDH($C$353,"GEO_GROW_NET_SALES","FQ4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67" s="2" t="e">
        <f ca="1">_xll.BDH($C$353,"GEO_GROW_EBITDA","FQ4 2016","FQ4 2016","Currency=INR","Period=FQ","BEST_FPERIOD_OVERRIDE=FQ","FILING_STATUS=OR","EQY_CONSOLIDATED=Y","FA_ADJUSTED=GAAP","Sort=A","Dates=H","DateFormat=P","Fill=—","Direction=H","UseDPDF=Y")</f>
        <v>#NAME?</v>
      </c>
      <c r="AO367" s="2" t="e">
        <f ca="1">_xll.BDH($C$353,"GEO_GROW_OPER_INC","FQ4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67" s="2" t="e">
        <f ca="1">_xll.BDH($C$353,"NET_INCOME_TO_COMMON_5_YR_GROWTH","FQ4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67" s="2" t="e">
        <f ca="1">_xll.BDH($C$353,"5Y_GEO_GROWTH_DILUTED_EPS","FQ4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67" s="2" t="e">
        <f ca="1">_xll.BDH($C$353,"GEO_GROW_DVD_PER_SH","FQ4 2016","FQ4 2016","Currency=INR","Period=FQ","BEST_FPERIOD_OVERRIDE=FQ","FILING_STATUS=OR","EQY_CONSOLIDATED=Y","Sort=A","Dates=H","DateFormat=P","Fill=—","Direction=H","UseDPDF=Y")</f>
        <v>#NAME?</v>
      </c>
      <c r="AS367" s="2" t="e">
        <f ca="1">_xll.BDH($C$353,"ACCOUNTS_RECEIVABLE_5_YR_GROWTH","FQ4 2016","FQ4 2016","Currency=INR","Period=FQ","BEST_FPERIOD_OVERRIDE=FQ","FILING_STATUS=OR","EQY_CONSOLIDATED=Y","Sort=A","Dates=H","DateFormat=P","Fill=—","Direction=H","UseDPDF=Y")</f>
        <v>#NAME?</v>
      </c>
      <c r="AT367" s="2" t="e">
        <f ca="1">_xll.BDH($C$353,"INVENTORY_5_YEAR_GROWTH","FQ4 2016","FQ4 2016","Currency=INR","Period=FQ","BEST_FPERIOD_OVERRIDE=FQ","FILING_STATUS=OR","EQY_CONSOLIDATED=Y","Sort=A","Dates=H","DateFormat=P","Fill=—","Direction=H","UseDPDF=Y")</f>
        <v>#NAME?</v>
      </c>
      <c r="AU367" s="2" t="e">
        <f ca="1">_xll.BDH($C$353,"NET_FIXED_ASSETS_5_YEAR_GROWTH","FQ4 2016","FQ4 2016","Currency=INR","Period=FQ","BEST_FPERIOD_OVERRIDE=FQ","FILING_STATUS=OR","EQY_CONSOLIDATED=Y","Sort=A","Dates=H","DateFormat=P","Fill=—","Direction=H","UseDPDF=Y")</f>
        <v>#NAME?</v>
      </c>
      <c r="AV367" s="2" t="e">
        <f ca="1">_xll.BDH($C$353,"GEO_GROW_TOT_ASSET","FQ4 2016","FQ4 2016","Currency=INR","Period=FQ","BEST_FPERIOD_OVERRIDE=FQ","FILING_STATUS=OR","EQY_CONSOLIDATED=Y","Sort=A","Dates=H","DateFormat=P","Fill=—","Direction=H","UseDPDF=Y")</f>
        <v>#NAME?</v>
      </c>
      <c r="AW367" s="2" t="e">
        <f ca="1">_xll.BDH($C$353,"MODIFIED_WORKING_CPTL_5YR_GRWTH","FQ4 2016","FQ4 2016","Currency=INR","Period=FQ","BEST_FPERIOD_OVERRIDE=FQ","FILING_STATUS=OR","EQY_CONSOLIDATED=Y","Sort=A","Dates=H","DateFormat=P","Fill=—","Direction=H","UseDPDF=Y")</f>
        <v>#NAME?</v>
      </c>
      <c r="AX367" s="2" t="e">
        <f ca="1">_xll.BDH($C$353,"WORKING_CAPITAL_5_YEAR_GROWTH","FQ4 2016","FQ4 2016","Currency=INR","Period=FQ","BEST_FPERIOD_OVERRIDE=FQ","FILING_STATUS=OR","EQY_CONSOLIDATED=Y","Sort=A","Dates=H","DateFormat=P","Fill=—","Direction=H","UseDPDF=Y")</f>
        <v>#NAME?</v>
      </c>
      <c r="AY367" s="2" t="e">
        <f ca="1">_xll.BDH($C$353,"ACCOUNTS_PAYABLE_5_YEAR_GROWTH","FQ4 2016","FQ4 2016","Currency=INR","Period=FQ","BEST_FPERIOD_OVERRIDE=FQ","FILING_STATUS=OR","EQY_CONSOLIDATED=Y","Sort=A","Dates=H","DateFormat=P","Fill=—","Direction=H","UseDPDF=Y")</f>
        <v>#NAME?</v>
      </c>
      <c r="AZ367" s="2" t="e">
        <f ca="1">_xll.BDH($C$353,"SHORT_TERM_DEBT_5_YEAR_GROWTH","FQ4 2016","FQ4 2016","Currency=INR","Period=FQ","BEST_FPERIOD_OVERRIDE=FQ","FILING_STATUS=OR","EQY_CONSOLIDATED=Y","Sort=A","Dates=H","DateFormat=P","Fill=—","Direction=H","UseDPDF=Y")</f>
        <v>#NAME?</v>
      </c>
      <c r="BA367" s="2" t="e">
        <f ca="1">_xll.BDH($C$353,"TOTAL_DEBT_5_YEAR_GROWTH","FQ4 2016","FQ4 2016","Currency=INR","Period=FQ","BEST_FPERIOD_OVERRIDE=FQ","FILING_STATUS=OR","EQY_CONSOLIDATED=Y","Sort=A","Dates=H","DateFormat=P","Fill=—","Direction=H","UseDPDF=Y")</f>
        <v>#NAME?</v>
      </c>
      <c r="BB367" s="2" t="e">
        <f ca="1">_xll.BDH($C$353,"GEO_GROW_TOT_SHRHLDR_EQY","FQ4 2016","FQ4 2016","Currency=INR","Period=FQ","BEST_FPERIOD_OVERRIDE=FQ","FILING_STATUS=OR","EQY_CONSOLIDATED=Y","Sort=A","Dates=H","DateFormat=P","Fill=—","Direction=H","UseDPDF=Y")</f>
        <v>#NAME?</v>
      </c>
      <c r="BC367" s="2" t="e">
        <f ca="1">_xll.BDH($C$353,"TOTAL_CAPITAL_5_YEAR_GROWTH","FQ4 2016","FQ4 2016","Currency=INR","Period=FQ","BEST_FPERIOD_OVERRIDE=FQ","FILING_STATUS=OR","EQY_CONSOLIDATED=Y","Sort=A","Dates=H","DateFormat=P","Fill=—","Direction=H","UseDPDF=Y")</f>
        <v>#NAME?</v>
      </c>
      <c r="BD367" s="2" t="e">
        <f ca="1">_xll.BDH($C$353,"GEO_GROW_BOOK_VAL","FQ4 2016","FQ4 2016","Currency=INR","Period=FQ","BEST_FPERIOD_OVERRIDE=FQ","FILING_STATUS=OR","EQY_CONSOLIDATED=Y","Sort=A","Dates=H","DateFormat=P","Fill=—","Direction=H","UseDPDF=Y")</f>
        <v>#NAME?</v>
      </c>
      <c r="BE367" s="2" t="e">
        <f ca="1">_xll.BDH($C$353,"GEO_GROW_CASH_OPER_ACT","FQ4 2016","FQ4 2016","Currency=INR","Period=FQ","BEST_FPERIOD_OVERRIDE=FQ","FILING_STATUS=OR","EQY_CONSOLIDATED=Y","Sort=A","Dates=H","DateFormat=P","Fill=—","Direction=H","UseDPDF=Y")</f>
        <v>#NAME?</v>
      </c>
      <c r="BF367" s="2" t="e">
        <f ca="1">_xll.BDH($C$353,"REVENUE_SEQUENTIAL_GROWTH","FQ4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67" s="2" t="e">
        <f ca="1">_xll.BDH($C$353,"EBITDA_SEQUENTIAL_GROWTH","FQ4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67" s="2" t="e">
        <f ca="1">_xll.BDH($C$353,"OPERATING_INCOME_SEQ_GROWTH","FQ4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67" s="2" t="e">
        <f ca="1">_xll.BDH($C$353,"NET_INCOME_TO_COMMON_SEQ_GROWTH","FQ4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67" s="2" t="e">
        <f ca="1">_xll.BDH($C$353,"EPS_DILUTED_SEQUENTIAL_GROWTH","FQ4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67" s="2" t="e">
        <f ca="1">_xll.BDH($C$353,"DPS_SEQUENTIAL_GROWTH","FQ4 2016","FQ4 2016","Currency=INR","Period=FQ","BEST_FPERIOD_OVERRIDE=FQ","FILING_STATUS=OR","EQY_CONSOLIDATED=Y","Sort=A","Dates=H","DateFormat=P","Fill=—","Direction=H","UseDPDF=Y")</f>
        <v>#NAME?</v>
      </c>
      <c r="BL367" s="2" t="e">
        <f ca="1">_xll.BDH($C$353,"ACCOUNTS_RECEIVABLE_SEQ_GROWTH","FQ4 2016","FQ4 2016","Currency=INR","Period=FQ","BEST_FPERIOD_OVERRIDE=FQ","FILING_STATUS=OR","EQY_CONSOLIDATED=Y","Sort=A","Dates=H","DateFormat=P","Fill=—","Direction=H","UseDPDF=Y")</f>
        <v>#NAME?</v>
      </c>
      <c r="BM367" s="2" t="e">
        <f ca="1">_xll.BDH($C$353,"INVENTORY_SEQUENTIAL_GROWTH","FQ4 2016","FQ4 2016","Currency=INR","Period=FQ","BEST_FPERIOD_OVERRIDE=FQ","FILING_STATUS=OR","EQY_CONSOLIDATED=Y","Sort=A","Dates=H","DateFormat=P","Fill=—","Direction=H","UseDPDF=Y")</f>
        <v>#NAME?</v>
      </c>
      <c r="BN367" s="2" t="e">
        <f ca="1">_xll.BDH($C$353,"FIXED_ASSETS_SEQUENTIAL_GROWTH","FQ4 2016","FQ4 2016","Currency=INR","Period=FQ","BEST_FPERIOD_OVERRIDE=FQ","FILING_STATUS=OR","EQY_CONSOLIDATED=Y","Sort=A","Dates=H","DateFormat=P","Fill=—","Direction=H","UseDPDF=Y")</f>
        <v>#NAME?</v>
      </c>
      <c r="BO367" s="2" t="e">
        <f ca="1">_xll.BDH($C$353,"TOTAL_ASSETS_SEQUENTIAL_GROWTH","FQ4 2016","FQ4 2016","Currency=INR","Period=FQ","BEST_FPERIOD_OVERRIDE=FQ","FILING_STATUS=OR","EQY_CONSOLIDATED=Y","Sort=A","Dates=H","DateFormat=P","Fill=—","Direction=H","UseDPDF=Y")</f>
        <v>#NAME?</v>
      </c>
      <c r="BP367" s="2" t="e">
        <f ca="1">_xll.BDH($C$353,"MODIFIED_WORKING_CPTL_SEQ_GRWTH","FQ4 2016","FQ4 2016","Currency=INR","Period=FQ","BEST_FPERIOD_OVERRIDE=FQ","FILING_STATUS=OR","EQY_CONSOLIDATED=Y","Sort=A","Dates=H","DateFormat=P","Fill=—","Direction=H","UseDPDF=Y")</f>
        <v>#NAME?</v>
      </c>
      <c r="BQ367" s="2" t="e">
        <f ca="1">_xll.BDH($C$353,"WORKING_CAPITAL_SEQ_GROWTH","FQ4 2016","FQ4 2016","Currency=INR","Period=FQ","BEST_FPERIOD_OVERRIDE=FQ","FILING_STATUS=OR","EQY_CONSOLIDATED=Y","Sort=A","Dates=H","DateFormat=P","Fill=—","Direction=H","UseDPDF=Y")</f>
        <v>#NAME?</v>
      </c>
      <c r="BR367" s="2" t="e">
        <f ca="1">_xll.BDH($C$353,"ACCOUNTS_PAYABLE_SEQ_GROWTH","FQ4 2016","FQ4 2016","Currency=INR","Period=FQ","BEST_FPERIOD_OVERRIDE=FQ","FILING_STATUS=OR","EQY_CONSOLIDATED=Y","Sort=A","Dates=H","DateFormat=P","Fill=—","Direction=H","UseDPDF=Y")</f>
        <v>#NAME?</v>
      </c>
      <c r="BS367" s="2" t="e">
        <f ca="1">_xll.BDH($C$353,"ST_DEBT_SEQUENTIAL_GROWTH","FQ4 2016","FQ4 2016","Currency=INR","Period=FQ","BEST_FPERIOD_OVERRIDE=FQ","FILING_STATUS=OR","EQY_CONSOLIDATED=Y","Sort=A","Dates=H","DateFormat=P","Fill=—","Direction=H","UseDPDF=Y")</f>
        <v>#NAME?</v>
      </c>
      <c r="BT367" s="2" t="e">
        <f ca="1">_xll.BDH($C$353,"TOTAL_DEBT_SEQUENTIAL_GROWTH","FQ4 2016","FQ4 2016","Currency=INR","Period=FQ","BEST_FPERIOD_OVERRIDE=FQ","FILING_STATUS=OR","EQY_CONSOLIDATED=Y","Sort=A","Dates=H","DateFormat=P","Fill=—","Direction=H","UseDPDF=Y")</f>
        <v>#NAME?</v>
      </c>
      <c r="BU367" s="2" t="e">
        <f ca="1">_xll.BDH($C$353,"TOTAL_EQUITY_SEQUENTIAL_GROWTH","FQ4 2016","FQ4 2016","Currency=INR","Period=FQ","BEST_FPERIOD_OVERRIDE=FQ","FILING_STATUS=OR","EQY_CONSOLIDATED=Y","Sort=A","Dates=H","DateFormat=P","Fill=—","Direction=H","UseDPDF=Y")</f>
        <v>#NAME?</v>
      </c>
      <c r="BV367" s="2" t="e">
        <f ca="1">_xll.BDH($C$353,"TOTAL_CAPITAL_SEQUENTIAL_GROWTH","FQ4 2016","FQ4 2016","Currency=INR","Period=FQ","BEST_FPERIOD_OVERRIDE=FQ","FILING_STATUS=OR","EQY_CONSOLIDATED=Y","Sort=A","Dates=H","DateFormat=P","Fill=—","Direction=H","UseDPDF=Y")</f>
        <v>#NAME?</v>
      </c>
      <c r="BW367" s="2" t="e">
        <f ca="1">_xll.BDH($C$353,"BPS_SEQUENTIAL_GROWTH","FQ4 2016","FQ4 2016","Currency=INR","Period=FQ","BEST_FPERIOD_OVERRIDE=FQ","FILING_STATUS=OR","EQY_CONSOLIDATED=Y","Sort=A","Dates=H","DateFormat=P","Fill=—","Direction=H","UseDPDF=Y")</f>
        <v>#NAME?</v>
      </c>
      <c r="BX367" s="2" t="e">
        <f ca="1">_xll.BDH($C$353,"CFO_SEQUENTIAL_GROWTH","FQ4 2016","FQ4 2016","Currency=INR","Period=FQ","BEST_FPERIOD_OVERRIDE=FQ","FILING_STATUS=OR","EQY_CONSOLIDATED=Y","Sort=A","Dates=H","DateFormat=P","Fill=—","Direction=H","UseDPDF=Y")</f>
        <v>#NAME?</v>
      </c>
      <c r="BY367" s="3" t="e">
        <f ca="1">_xll.BDH($C$353,"SHORT_AND_LONG_TERM_DEBT","FQ4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67" s="3" t="e">
        <f ca="1">_xll.BDH($C$353,"BS_ST_BORROW","FQ4 2016","FQ4 2016","Currency=INR","Period=FQ","BEST_FPERIOD_OVERRIDE=FQ","FILING_STATUS=OR","EQY_CONSOLIDATED=Y","SCALING_FORMAT=MLN","Sort=A","Dates=H","DateFormat=P","Fill=—","Direction=H","UseDPDF=Y")</f>
        <v>#NAME?</v>
      </c>
      <c r="CA367" s="3" t="e">
        <f ca="1">_xll.BDH($C$353,"BS_LT_BORROW","FQ4 2016","FQ4 2016","Currency=INR","Period=FQ","BEST_FPERIOD_OVERRIDE=FQ","FILING_STATUS=OR","EQY_CONSOLIDATED=Y","SCALING_FORMAT=MLN","Sort=A","Dates=H","DateFormat=P","Fill=—","Direction=H","UseDPDF=Y")</f>
        <v>#NAME?</v>
      </c>
      <c r="CB367" s="2" t="e">
        <f ca="1">_xll.BDH($C$353,"TOT_DEBT_TO_EBITDA","FQ4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67" s="2" t="e">
        <f ca="1">_xll.BDH($C$353,"NET_DEBT_TO_EBITDA","FQ4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67" s="2" t="e">
        <f ca="1">_xll.BDH($C$353,"TOTAL_DEBT_TO_EBIT","FQ4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67" s="2" t="e">
        <f ca="1">_xll.BDH($C$353,"NET_DEBT_TO_EBIT","FQ4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367" s="2" t="e">
        <f ca="1">_xll.BDH($C$353,"EBITDA_TO_INTEREST_EXPN","FQ4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67" s="2" t="e">
        <f ca="1">_xll.BDH($C$353,"COM_EQY_TO_TOT_ASSET","FQ4 2016","FQ4 2016","Currency=INR","Period=FQ","BEST_FPERIOD_OVERRIDE=FQ","FILING_STATUS=OR","EQY_CONSOLIDATED=Y","Sort=A","Dates=H","DateFormat=P","Fill=—","Direction=H","UseDPDF=Y")</f>
        <v>#NAME?</v>
      </c>
      <c r="CH367" s="2" t="e">
        <f ca="1">_xll.BDH($C$353,"LT_DEBT_TO_TOT_EQY","FQ4 2016","FQ4 2016","Currency=INR","Period=FQ","BEST_FPERIOD_OVERRIDE=FQ","FILING_STATUS=OR","EQY_CONSOLIDATED=Y","Sort=A","Dates=H","DateFormat=P","Fill=—","Direction=H","UseDPDF=Y")</f>
        <v>#NAME?</v>
      </c>
      <c r="CI367" s="2" t="e">
        <f ca="1">_xll.BDH($C$353,"LT_DEBT_TO_TOT_CAP","FQ4 2016","FQ4 2016","Currency=INR","Period=FQ","BEST_FPERIOD_OVERRIDE=FQ","FILING_STATUS=OR","EQY_CONSOLIDATED=Y","Sort=A","Dates=H","DateFormat=P","Fill=—","Direction=H","UseDPDF=Y")</f>
        <v>#NAME?</v>
      </c>
      <c r="CJ367" s="2" t="e">
        <f ca="1">_xll.BDH($C$353,"LT_DEBT_TO_TOT_ASSET","FQ4 2016","FQ4 2016","Currency=INR","Period=FQ","BEST_FPERIOD_OVERRIDE=FQ","FILING_STATUS=OR","EQY_CONSOLIDATED=Y","Sort=A","Dates=H","DateFormat=P","Fill=—","Direction=H","UseDPDF=Y")</f>
        <v>#NAME?</v>
      </c>
      <c r="CK367" s="2" t="e">
        <f ca="1">_xll.BDH($C$353,"TOT_DEBT_TO_TOT_EQY","FQ4 2016","FQ4 2016","Currency=INR","Period=FQ","BEST_FPERIOD_OVERRIDE=FQ","FILING_STATUS=OR","EQY_CONSOLIDATED=Y","Sort=A","Dates=H","DateFormat=P","Fill=—","Direction=H","UseDPDF=Y")</f>
        <v>#NAME?</v>
      </c>
      <c r="CL367" s="2" t="e">
        <f ca="1">_xll.BDH($C$353,"TOT_DEBT_TO_TOT_CAP","FQ4 2016","FQ4 2016","Currency=INR","Period=FQ","BEST_FPERIOD_OVERRIDE=FQ","FILING_STATUS=OR","EQY_CONSOLIDATED=Y","Sort=A","Dates=H","DateFormat=P","Fill=—","Direction=H","UseDPDF=Y")</f>
        <v>#NAME?</v>
      </c>
      <c r="CM367" s="2" t="e">
        <f ca="1">_xll.BDH($C$353,"TOT_DEBT_TO_TOT_ASSET","FQ4 2016","FQ4 2016","Currency=INR","Period=FQ","BEST_FPERIOD_OVERRIDE=FQ","FILING_STATUS=OR","EQY_CONSOLIDATED=Y","Sort=A","Dates=H","DateFormat=P","Fill=—","Direction=H","UseDPDF=Y")</f>
        <v>#NAME?</v>
      </c>
      <c r="CN367" s="2" t="e">
        <f ca="1">_xll.BDH($C$353,"NET_DEBT_TO_SHRHLDR_EQTY","FQ4 2016","FQ4 2016","Currency=INR","Period=FQ","BEST_FPERIOD_OVERRIDE=FQ","FILING_STATUS=OR","EQY_CONSOLIDATED=Y","Sort=A","Dates=H","DateFormat=P","Fill=—","Direction=H","UseDPDF=Y")</f>
        <v>#NAME?</v>
      </c>
      <c r="CO367" s="2" t="e">
        <f ca="1">_xll.BDH($C$353,"NET_DEBT_%_CAPITAL","FQ4 2016","FQ4 2016","Currency=INR","Period=FQ","BEST_FPERIOD_OVERRIDE=FQ","FILING_STATUS=OR","EQY_CONSOLIDATED=Y","Sort=A","Dates=H","DateFormat=P","Fill=—","Direction=H","UseDPDF=Y")</f>
        <v>#NAME?</v>
      </c>
      <c r="CP367" s="3" t="e">
        <f ca="1">_xll.BDH($C$353,"EBITDA","FQ4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67" s="3" t="e">
        <f ca="1">_xll.BDH($C$353,"EBITDA_AFTER_CAPEX","FQ4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67" s="3" t="e">
        <f ca="1">_xll.BDH($C$353,"IS_OPER_INC","FQ4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67" s="2" t="e">
        <f ca="1">_xll.BDH($C$353,"CASH_RATIO","FQ4 2016","FQ4 2016","Currency=INR","Period=FQ","BEST_FPERIOD_OVERRIDE=FQ","FILING_STATUS=OR","EQY_CONSOLIDATED=Y","Sort=A","Dates=H","DateFormat=P","Fill=—","Direction=H","UseDPDF=Y")</f>
        <v>#NAME?</v>
      </c>
      <c r="CT367" s="2" t="e">
        <f ca="1">_xll.BDH($C$353,"CUR_RATIO","FQ4 2016","FQ4 2016","Currency=INR","Period=FQ","BEST_FPERIOD_OVERRIDE=FQ","FILING_STATUS=OR","EQY_CONSOLIDATED=Y","Sort=A","Dates=H","DateFormat=P","Fill=—","Direction=H","UseDPDF=Y")</f>
        <v>#NAME?</v>
      </c>
      <c r="CU367" s="2" t="e">
        <f ca="1">_xll.BDH($C$353,"QUICK_RATIO","FQ4 2016","FQ4 2016","Currency=INR","Period=FQ","BEST_FPERIOD_OVERRIDE=FQ","FILING_STATUS=OR","EQY_CONSOLIDATED=Y","Sort=A","Dates=H","DateFormat=P","Fill=—","Direction=H","UseDPDF=Y")</f>
        <v>#NAME?</v>
      </c>
      <c r="CV367" s="2" t="e">
        <f ca="1">_xll.BDH($C$353,"ALTMAN_Z_SCORE","FQ4 2016","FQ4 2016","Currency=INR","Period=FQ","BEST_FPERIOD_OVERRIDE=FQ","FILING_STATUS=OR","EQY_CONSOLIDATED=Y","Sort=A","Dates=H","DateFormat=P","Fill=—","Direction=H","UseDPDF=Y")</f>
        <v>#NAME?</v>
      </c>
      <c r="CW367" s="4" t="e">
        <f ca="1">_xll.BDH($C$353,"ACCT_RCV_TURN","FQ4 2016","FQ4 2016","Currency=INR","Period=FQ","BEST_FPERIOD_OVERRIDE=FQ","FILING_STATUS=OR","EQY_CONSOLIDATED=Y","FA_ADJUSTED=GAAP","Sort=A","Dates=H","DateFormat=P","Fill=—","Direction=H","UseDPDF=Y")</f>
        <v>#NAME?</v>
      </c>
      <c r="CX367" s="2" t="e">
        <f ca="1">_xll.BDH($C$353,"ACCT_RCV_DAYS","FQ4 2016","FQ4 2016","Currency=INR","Period=FQ","BEST_FPERIOD_OVERRIDE=FQ","FILING_STATUS=OR","EQY_CONSOLIDATED=Y","FA_ADJUSTED=GAAP","Sort=A","Dates=H","DateFormat=P","Fill=—","Direction=H","UseDPDF=Y")</f>
        <v>#NAME?</v>
      </c>
      <c r="CY367" s="4" t="e">
        <f ca="1">_xll.BDH($C$353,"INVENT_TURN","FQ4 2016","FQ4 2016","Currency=INR","Period=FQ","BEST_FPERIOD_OVERRIDE=FQ","FILING_STATUS=OR","EQY_CONSOLIDATED=Y","FA_ADJUSTED=GAAP","Sort=A","Dates=H","DateFormat=P","Fill=—","Direction=H","UseDPDF=Y")</f>
        <v>#NAME?</v>
      </c>
      <c r="CZ367" s="2" t="e">
        <f ca="1">_xll.BDH($C$353,"INVENT_DAYS","FQ4 2016","FQ4 2016","Currency=INR","Period=FQ","BEST_FPERIOD_OVERRIDE=FQ","FILING_STATUS=OR","EQY_CONSOLIDATED=Y","FA_ADJUSTED=GAAP","Sort=A","Dates=H","DateFormat=P","Fill=—","Direction=H","UseDPDF=Y")</f>
        <v>#NAME?</v>
      </c>
      <c r="DA367" s="4" t="e">
        <f ca="1">_xll.BDH($C$353,"ACCOUNTS_PAYABLE_TURNOVER","FQ4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67" s="2" t="e">
        <f ca="1">_xll.BDH($C$353,"ACCOUNTS_PAYABLE_TURNOVER_DAYS","FQ4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67" s="4" t="e">
        <f ca="1">_xll.BDH($C$353,"CASH_CONVERSION_CYCLE","FQ4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67" s="4" t="e">
        <f ca="1">_xll.BDH($C$353,"INV_TO_CASH_DAYS","FQ4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367" s="5" t="e">
        <f ca="1">_xll.BDH($C$353,"BS_INVENTORIES","FQ4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367" s="3" t="e">
        <f ca="1">_xll.BDH($C$353,"INVTRY_RAW_MATERIALS","FQ4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67" s="3" t="e">
        <f ca="1">_xll.BDH($C$353,"INVTRY_IN_PROGRESS","FQ4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67" s="3" t="e">
        <f ca="1">_xll.BDH($C$353,"INVTRY_FINISHED_GOODS","FQ4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67" s="3" t="e">
        <f ca="1">_xll.BDH($C$353,"BS_OTHER_INV","FQ4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68" spans="1:113" x14ac:dyDescent="0.3">
      <c r="A368" s="6"/>
      <c r="B368" s="6"/>
      <c r="C368" s="6"/>
      <c r="D368" s="6" t="s">
        <v>84</v>
      </c>
      <c r="E368" t="s">
        <v>77</v>
      </c>
      <c r="F368" t="e">
        <f ca="1">_xll.BDH($C$353,"RETURN_COM_EQY","FY 2017","FY 2017","Currency=INR","Period=FY","BEST_FPERIOD_OVERRIDE=FY","FILING_STATUS=OR","EQY_CONSOLIDATED=Y","FA_ADJUSTED=GAAP","Sort=A","Dates=H","DateFormat=P","Fill=—","Direction=H","UseDPDF=Y")</f>
        <v>#NAME?</v>
      </c>
      <c r="G368" t="e">
        <f ca="1">_xll.BDH($C$353,"RETURN_ON_ASSET","FY 2017","FY 2017","Currency=INR","Period=FY","BEST_FPERIOD_OVERRIDE=FY","FILING_STATUS=OR","EQY_CONSOLIDATED=Y","FA_ADJUSTED=GAAP","Sort=A","Dates=H","DateFormat=P","Fill=—","Direction=H","UseDPDF=Y")</f>
        <v>#NAME?</v>
      </c>
      <c r="H368" t="e">
        <f ca="1">_xll.BDH($C$353,"RETURN_ON_CAP","FY 2017","FY 2017","Currency=INR","Period=FY","BEST_FPERIOD_OVERRIDE=FY","FILING_STATUS=OR","EQY_CONSOLIDATED=Y","FA_ADJUSTED=GAAP","Sort=A","Dates=H","DateFormat=P","Fill=—","Direction=H","UseDPDF=Y")</f>
        <v>#NAME?</v>
      </c>
      <c r="I368" t="e">
        <f ca="1">_xll.BDH($C$353,"RETURN_ON_INV_CAPITAL","FY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68" t="e">
        <f ca="1">_xll.BDH($C$353,"EBITDA_TO_REVENUE","FY 2017","FY 2017","Currency=INR","Period=FY","BEST_FPERIOD_OVERRIDE=FY","FILING_STATUS=OR","EQY_CONSOLIDATED=Y","FA_ADJUSTED=GAAP","Sort=A","Dates=H","DateFormat=P","Fill=—","Direction=H","UseDPDF=Y")</f>
        <v>#NAME?</v>
      </c>
      <c r="K368" t="e">
        <f ca="1">_xll.BDH($C$353,"OPER_MARGIN","FY 2017","FY 2017","Currency=INR","Period=FY","BEST_FPERIOD_OVERRIDE=FY","FILING_STATUS=OR","EQY_CONSOLIDATED=Y","FA_ADJUSTED=GAAP","Sort=A","Dates=H","DateFormat=P","Fill=—","Direction=H","UseDPDF=Y")</f>
        <v>#NAME?</v>
      </c>
      <c r="L368" t="e">
        <f ca="1">_xll.BDH($C$353,"INCREMENTAL_OPERATING_MARGIN","FY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68" t="e">
        <f ca="1">_xll.BDH($C$353,"PRETAX_INC_TO_NET_SALES","FY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68" t="e">
        <f ca="1">_xll.BDH($C$353,"INC_BEF_XO_ITEMS_TO_NET_SALES","FY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68" t="e">
        <f ca="1">_xll.BDH($C$353,"PROF_MARGIN","FY 2017","FY 2017","Currency=INR","Period=FY","BEST_FPERIOD_OVERRIDE=FY","FILING_STATUS=OR","EQY_CONSOLIDATED=Y","FA_ADJUSTED=GAAP","Sort=A","Dates=H","DateFormat=P","Fill=—","Direction=H","UseDPDF=Y")</f>
        <v>#NAME?</v>
      </c>
      <c r="P368" t="e">
        <f ca="1">_xll.BDH($C$353,"NET_INCOME_TO_COMMON_MARGIN","FY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68" t="e">
        <f ca="1">_xll.BDH($C$353,"EFF_TAX_RATE","FY 2017","FY 2017","Currency=INR","Period=FY","BEST_FPERIOD_OVERRIDE=FY","FILING_STATUS=OR","EQY_CONSOLIDATED=Y","FA_ADJUSTED=GAAP","Sort=A","Dates=H","DateFormat=P","Fill=—","Direction=H","UseDPDF=Y")</f>
        <v>#NAME?</v>
      </c>
      <c r="R368" t="e">
        <f ca="1">_xll.BDH($C$353,"DVD_PAYOUT_RATIO","FY 2017","FY 2017","Currency=INR","Period=FY","BEST_FPERIOD_OVERRIDE=FY","FILING_STATUS=OR","EQY_CONSOLIDATED=Y","FA_ADJUSTED=GAAP","Sort=A","Dates=H","DateFormat=P","Fill=—","Direction=H","UseDPDF=Y")</f>
        <v>#NAME?</v>
      </c>
      <c r="S368" t="e">
        <f ca="1">_xll.BDH($C$353,"SUSTAIN_GROWTH_RT","FY 2017","FY 2017","Currency=INR","Period=FY","BEST_FPERIOD_OVERRIDE=FY","FILING_STATUS=OR","EQY_CONSOLIDATED=Y","FA_ADJUSTED=GAAP","Sort=A","Dates=H","DateFormat=P","Fill=—","Direction=H","UseDPDF=Y")</f>
        <v>#NAME?</v>
      </c>
      <c r="T368" s="2" t="e">
        <f ca="1">_xll.BDH($C$353,"SALES_GROWTH","FY 2017","FY 2017","Currency=INR","Period=FY","BEST_FPERIOD_OVERRIDE=FY","FILING_STATUS=OR","EQY_CONSOLIDATED=Y","FA_ADJUSTED=GAAP","Sort=A","Dates=H","DateFormat=P","Fill=—","Direction=H","UseDPDF=Y")</f>
        <v>#NAME?</v>
      </c>
      <c r="U368" s="2" t="e">
        <f ca="1">_xll.BDH($C$353,"EBITDA_GROWTH","FY 2017","FY 2017","Currency=INR","Period=FY","BEST_FPERIOD_OVERRIDE=FY","FILING_STATUS=OR","EQY_CONSOLIDATED=Y","FA_ADJUSTED=GAAP","Sort=A","Dates=H","DateFormat=P","Fill=—","Direction=H","UseDPDF=Y")</f>
        <v>#NAME?</v>
      </c>
      <c r="V368" s="2" t="e">
        <f ca="1">_xll.BDH($C$353,"OPER_INC_GROWTH","FY 2017","FY 2017","Currency=INR","Period=FY","BEST_FPERIOD_OVERRIDE=FY","FILING_STATUS=OR","EQY_CONSOLIDATED=Y","FA_ADJUSTED=GAAP","Sort=A","Dates=H","DateFormat=P","Fill=—","Direction=H","UseDPDF=Y")</f>
        <v>#NAME?</v>
      </c>
      <c r="W368" s="2" t="e">
        <f ca="1">_xll.BDH($C$353,"EARN_FOR_COM_GROWTH","FY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368" s="2" t="e">
        <f ca="1">_xll.BDH($C$353,"DILUTED_EPS_AFT_XO_ITEMS_GROWTH","FY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68" s="2" t="e">
        <f ca="1">_xll.BDH($C$353,"DIVIDEND_PER_SHARE_1_YEAR_GROWTH","FY 2017","FY 2017","Currency=INR","Period=FY","BEST_FPERIOD_OVERRIDE=FY","FILING_STATUS=OR","EQY_CONSOLIDATED=Y","Sort=A","Dates=H","DateFormat=P","Fill=—","Direction=H","UseDPDF=Y")</f>
        <v>#NAME?</v>
      </c>
      <c r="Z368" s="2" t="e">
        <f ca="1">_xll.BDH($C$353,"ACCOUNTS_RECEIVABLE_GROWTH","FY 2017","FY 2017","Currency=INR","Period=FY","BEST_FPERIOD_OVERRIDE=FY","FILING_STATUS=OR","EQY_CONSOLIDATED=Y","Sort=A","Dates=H","DateFormat=P","Fill=—","Direction=H","UseDPDF=Y")</f>
        <v>#NAME?</v>
      </c>
      <c r="AA368" s="2" t="e">
        <f ca="1">_xll.BDH($C$353,"INVENTORY_GROWTH","FY 2017","FY 2017","Currency=INR","Period=FY","BEST_FPERIOD_OVERRIDE=FY","FILING_STATUS=OR","EQY_CONSOLIDATED=Y","Sort=A","Dates=H","DateFormat=P","Fill=—","Direction=H","UseDPDF=Y")</f>
        <v>#NAME?</v>
      </c>
      <c r="AB368" s="2" t="e">
        <f ca="1">_xll.BDH($C$353,"NET_FIXED_ASSETS_1_YEAR_GROWTH","FY 2017","FY 2017","Currency=INR","Period=FY","BEST_FPERIOD_OVERRIDE=FY","FILING_STATUS=OR","EQY_CONSOLIDATED=Y","Sort=A","Dates=H","DateFormat=P","Fill=—","Direction=H","UseDPDF=Y")</f>
        <v>#NAME?</v>
      </c>
      <c r="AC368" s="2" t="e">
        <f ca="1">_xll.BDH($C$353,"ASSET_GROWTH","FY 2017","FY 2017","Currency=INR","Period=FY","BEST_FPERIOD_OVERRIDE=FY","FILING_STATUS=OR","EQY_CONSOLIDATED=Y","Sort=A","Dates=H","DateFormat=P","Fill=—","Direction=H","UseDPDF=Y")</f>
        <v>#NAME?</v>
      </c>
      <c r="AD368" s="2" t="e">
        <f ca="1">_xll.BDH($C$353,"MODIFIED_WORK_CAP_GROWTH","FY 2017","FY 2017","Currency=INR","Period=FY","BEST_FPERIOD_OVERRIDE=FY","FILING_STATUS=OR","EQY_CONSOLIDATED=Y","Sort=A","Dates=H","DateFormat=P","Fill=—","Direction=H","UseDPDF=Y")</f>
        <v>#NAME?</v>
      </c>
      <c r="AE368" s="2" t="e">
        <f ca="1">_xll.BDH($C$353,"WORK_CAP_GROWTH","FY 2017","FY 2017","Currency=INR","Period=FY","BEST_FPERIOD_OVERRIDE=FY","FILING_STATUS=OR","EQY_CONSOLIDATED=Y","Sort=A","Dates=H","DateFormat=P","Fill=—","Direction=H","UseDPDF=Y")</f>
        <v>#NAME?</v>
      </c>
      <c r="AF368" s="2" t="e">
        <f ca="1">_xll.BDH($C$353,"ACCOUNTS_PAYABLE_GROWTH_1YR","FY 2017","FY 2017","Currency=INR","Period=FY","BEST_FPERIOD_OVERRIDE=FY","FILING_STATUS=OR","EQY_CONSOLIDATED=Y","Sort=A","Dates=H","DateFormat=P","Fill=—","Direction=H","UseDPDF=Y")</f>
        <v>#NAME?</v>
      </c>
      <c r="AG368" s="2" t="e">
        <f ca="1">_xll.BDH($C$353,"SHORT_TERM_DEBT_1_YEAR_GROWTH","FY 2017","FY 2017","Currency=INR","Period=FY","BEST_FPERIOD_OVERRIDE=FY","FILING_STATUS=OR","EQY_CONSOLIDATED=Y","Sort=A","Dates=H","DateFormat=P","Fill=—","Direction=H","UseDPDF=Y")</f>
        <v>#NAME?</v>
      </c>
      <c r="AH368" s="2" t="e">
        <f ca="1">_xll.BDH($C$353,"TOTAL_DEBT_1_YEAR_GROWTH","FY 2017","FY 2017","Currency=INR","Period=FY","BEST_FPERIOD_OVERRIDE=FY","FILING_STATUS=OR","EQY_CONSOLIDATED=Y","Sort=A","Dates=H","DateFormat=P","Fill=—","Direction=H","UseDPDF=Y")</f>
        <v>#NAME?</v>
      </c>
      <c r="AI368" s="2" t="e">
        <f ca="1">_xll.BDH($C$353,"TOTAL_EQUITY_1_YEAR_GROWTH","FY 2017","FY 2017","Currency=INR","Period=FY","BEST_FPERIOD_OVERRIDE=FY","FILING_STATUS=OR","EQY_CONSOLIDATED=Y","Sort=A","Dates=H","DateFormat=P","Fill=—","Direction=H","UseDPDF=Y")</f>
        <v>#NAME?</v>
      </c>
      <c r="AJ368" s="2" t="e">
        <f ca="1">_xll.BDH($C$353,"GROWTH_IN_CAP","FY 2017","FY 2017","Currency=INR","Period=FY","BEST_FPERIOD_OVERRIDE=FY","FILING_STATUS=OR","EQY_CONSOLIDATED=Y","Sort=A","Dates=H","DateFormat=P","Fill=—","Direction=H","UseDPDF=Y")</f>
        <v>#NAME?</v>
      </c>
      <c r="AK368" s="2" t="e">
        <f ca="1">_xll.BDH($C$353,"BVPS_GROWTH","FY 2017","FY 2017","Currency=INR","Period=FY","BEST_FPERIOD_OVERRIDE=FY","FILING_STATUS=OR","EQY_CONSOLIDATED=Y","Sort=A","Dates=H","DateFormat=P","Fill=—","Direction=H","UseDPDF=Y")</f>
        <v>#NAME?</v>
      </c>
      <c r="AL368" s="2" t="e">
        <f ca="1">_xll.BDH($C$353,"CASH_FLOW_GROWTH","FY 2017","FY 2017","Currency=INR","Period=FY","BEST_FPERIOD_OVERRIDE=FY","FILING_STATUS=OR","EQY_CONSOLIDATED=Y","Sort=A","Dates=H","DateFormat=P","Fill=—","Direction=H","UseDPDF=Y")</f>
        <v>#NAME?</v>
      </c>
      <c r="AM368" s="2" t="e">
        <f ca="1">_xll.BDH($C$353,"GEO_GROW_NET_SALES","FY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368" s="2" t="e">
        <f ca="1">_xll.BDH($C$353,"GEO_GROW_EBITDA","FY 2017","FY 2017","Currency=INR","Period=FY","BEST_FPERIOD_OVERRIDE=FY","FILING_STATUS=OR","EQY_CONSOLIDATED=Y","FA_ADJUSTED=GAAP","Sort=A","Dates=H","DateFormat=P","Fill=—","Direction=H","UseDPDF=Y")</f>
        <v>#NAME?</v>
      </c>
      <c r="AO368" s="2" t="e">
        <f ca="1">_xll.BDH($C$353,"GEO_GROW_OPER_INC","FY 2017","FY 2017","Currency=INR","Period=FY","BEST_FPERIOD_OVERRIDE=FY","FILING_STATUS=OR","EQY_CONSOLIDATED=Y","FA_ADJUSTED=GAAP","Sort=A","Dates=H","DateFormat=P","Fill=—","Direction=H","UseDPDF=Y")</f>
        <v>#NAME?</v>
      </c>
      <c r="AP368" s="2" t="e">
        <f ca="1">_xll.BDH($C$353,"NET_INCOME_TO_COMMON_5_YR_GROWTH","FY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68" s="2" t="e">
        <f ca="1">_xll.BDH($C$353,"5Y_GEO_GROWTH_DILUTED_EPS","FY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68" s="2" t="e">
        <f ca="1">_xll.BDH($C$353,"GEO_GROW_DVD_PER_SH","FY 2017","FY 2017","Currency=INR","Period=FY","BEST_FPERIOD_OVERRIDE=FY","FILING_STATUS=OR","EQY_CONSOLIDATED=Y","Sort=A","Dates=H","DateFormat=P","Fill=—","Direction=H","UseDPDF=Y")</f>
        <v>#NAME?</v>
      </c>
      <c r="AS368" s="2" t="e">
        <f ca="1">_xll.BDH($C$353,"ACCOUNTS_RECEIVABLE_5_YR_GROWTH","FY 2017","FY 2017","Currency=INR","Period=FY","BEST_FPERIOD_OVERRIDE=FY","FILING_STATUS=OR","EQY_CONSOLIDATED=Y","Sort=A","Dates=H","DateFormat=P","Fill=—","Direction=H","UseDPDF=Y")</f>
        <v>#NAME?</v>
      </c>
      <c r="AT368" s="2" t="e">
        <f ca="1">_xll.BDH($C$353,"INVENTORY_5_YEAR_GROWTH","FY 2017","FY 2017","Currency=INR","Period=FY","BEST_FPERIOD_OVERRIDE=FY","FILING_STATUS=OR","EQY_CONSOLIDATED=Y","Sort=A","Dates=H","DateFormat=P","Fill=—","Direction=H","UseDPDF=Y")</f>
        <v>#NAME?</v>
      </c>
      <c r="AU368" s="2" t="e">
        <f ca="1">_xll.BDH($C$353,"NET_FIXED_ASSETS_5_YEAR_GROWTH","FY 2017","FY 2017","Currency=INR","Period=FY","BEST_FPERIOD_OVERRIDE=FY","FILING_STATUS=OR","EQY_CONSOLIDATED=Y","Sort=A","Dates=H","DateFormat=P","Fill=—","Direction=H","UseDPDF=Y")</f>
        <v>#NAME?</v>
      </c>
      <c r="AV368" s="2" t="e">
        <f ca="1">_xll.BDH($C$353,"GEO_GROW_TOT_ASSET","FY 2017","FY 2017","Currency=INR","Period=FY","BEST_FPERIOD_OVERRIDE=FY","FILING_STATUS=OR","EQY_CONSOLIDATED=Y","Sort=A","Dates=H","DateFormat=P","Fill=—","Direction=H","UseDPDF=Y")</f>
        <v>#NAME?</v>
      </c>
      <c r="AW368" s="2" t="e">
        <f ca="1">_xll.BDH($C$353,"MODIFIED_WORKING_CPTL_5YR_GRWTH","FY 2017","FY 2017","Currency=INR","Period=FY","BEST_FPERIOD_OVERRIDE=FY","FILING_STATUS=OR","EQY_CONSOLIDATED=Y","Sort=A","Dates=H","DateFormat=P","Fill=—","Direction=H","UseDPDF=Y")</f>
        <v>#NAME?</v>
      </c>
      <c r="AX368" s="2" t="e">
        <f ca="1">_xll.BDH($C$353,"WORKING_CAPITAL_5_YEAR_GROWTH","FY 2017","FY 2017","Currency=INR","Period=FY","BEST_FPERIOD_OVERRIDE=FY","FILING_STATUS=OR","EQY_CONSOLIDATED=Y","Sort=A","Dates=H","DateFormat=P","Fill=—","Direction=H","UseDPDF=Y")</f>
        <v>#NAME?</v>
      </c>
      <c r="AY368" s="2" t="e">
        <f ca="1">_xll.BDH($C$353,"ACCOUNTS_PAYABLE_5_YEAR_GROWTH","FY 2017","FY 2017","Currency=INR","Period=FY","BEST_FPERIOD_OVERRIDE=FY","FILING_STATUS=OR","EQY_CONSOLIDATED=Y","Sort=A","Dates=H","DateFormat=P","Fill=—","Direction=H","UseDPDF=Y")</f>
        <v>#NAME?</v>
      </c>
      <c r="AZ368" s="2" t="e">
        <f ca="1">_xll.BDH($C$353,"SHORT_TERM_DEBT_5_YEAR_GROWTH","FY 2017","FY 2017","Currency=INR","Period=FY","BEST_FPERIOD_OVERRIDE=FY","FILING_STATUS=OR","EQY_CONSOLIDATED=Y","Sort=A","Dates=H","DateFormat=P","Fill=—","Direction=H","UseDPDF=Y")</f>
        <v>#NAME?</v>
      </c>
      <c r="BA368" s="2" t="e">
        <f ca="1">_xll.BDH($C$353,"TOTAL_DEBT_5_YEAR_GROWTH","FY 2017","FY 2017","Currency=INR","Period=FY","BEST_FPERIOD_OVERRIDE=FY","FILING_STATUS=OR","EQY_CONSOLIDATED=Y","Sort=A","Dates=H","DateFormat=P","Fill=—","Direction=H","UseDPDF=Y")</f>
        <v>#NAME?</v>
      </c>
      <c r="BB368" s="2" t="e">
        <f ca="1">_xll.BDH($C$353,"GEO_GROW_TOT_SHRHLDR_EQY","FY 2017","FY 2017","Currency=INR","Period=FY","BEST_FPERIOD_OVERRIDE=FY","FILING_STATUS=OR","EQY_CONSOLIDATED=Y","Sort=A","Dates=H","DateFormat=P","Fill=—","Direction=H","UseDPDF=Y")</f>
        <v>#NAME?</v>
      </c>
      <c r="BC368" s="2" t="e">
        <f ca="1">_xll.BDH($C$353,"TOTAL_CAPITAL_5_YEAR_GROWTH","FY 2017","FY 2017","Currency=INR","Period=FY","BEST_FPERIOD_OVERRIDE=FY","FILING_STATUS=OR","EQY_CONSOLIDATED=Y","Sort=A","Dates=H","DateFormat=P","Fill=—","Direction=H","UseDPDF=Y")</f>
        <v>#NAME?</v>
      </c>
      <c r="BD368" s="2" t="e">
        <f ca="1">_xll.BDH($C$353,"GEO_GROW_BOOK_VAL","FY 2017","FY 2017","Currency=INR","Period=FY","BEST_FPERIOD_OVERRIDE=FY","FILING_STATUS=OR","EQY_CONSOLIDATED=Y","Sort=A","Dates=H","DateFormat=P","Fill=—","Direction=H","UseDPDF=Y")</f>
        <v>#NAME?</v>
      </c>
      <c r="BE368" s="2" t="e">
        <f ca="1">_xll.BDH($C$353,"GEO_GROW_CASH_OPER_ACT","FY 2017","FY 2017","Currency=INR","Period=FY","BEST_FPERIOD_OVERRIDE=FY","FILING_STATUS=OR","EQY_CONSOLIDATED=Y","Sort=A","Dates=H","DateFormat=P","Fill=—","Direction=H","UseDPDF=Y")</f>
        <v>#NAME?</v>
      </c>
      <c r="BF368" s="2" t="e">
        <f ca="1">_xll.BDH($C$353,"REVENUE_SEQUENTIAL_GROWTH","FY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68" s="2" t="e">
        <f ca="1">_xll.BDH($C$353,"EBITDA_SEQUENTIAL_GROWTH","FY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68" s="2" t="e">
        <f ca="1">_xll.BDH($C$353,"OPERATING_INCOME_SEQ_GROWTH","FY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68" s="2" t="e">
        <f ca="1">_xll.BDH($C$353,"NET_INCOME_TO_COMMON_SEQ_GROWTH","FY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68" s="2" t="e">
        <f ca="1">_xll.BDH($C$353,"EPS_DILUTED_SEQUENTIAL_GROWTH","FY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68" s="2" t="e">
        <f ca="1">_xll.BDH($C$353,"DPS_SEQUENTIAL_GROWTH","FY 2017","FY 2017","Currency=INR","Period=FY","BEST_FPERIOD_OVERRIDE=FY","FILING_STATUS=OR","EQY_CONSOLIDATED=Y","Sort=A","Dates=H","DateFormat=P","Fill=—","Direction=H","UseDPDF=Y")</f>
        <v>#NAME?</v>
      </c>
      <c r="BL368" s="2" t="e">
        <f ca="1">_xll.BDH($C$353,"ACCOUNTS_RECEIVABLE_SEQ_GROWTH","FY 2017","FY 2017","Currency=INR","Period=FY","BEST_FPERIOD_OVERRIDE=FY","FILING_STATUS=OR","EQY_CONSOLIDATED=Y","Sort=A","Dates=H","DateFormat=P","Fill=—","Direction=H","UseDPDF=Y")</f>
        <v>#NAME?</v>
      </c>
      <c r="BM368" s="2" t="e">
        <f ca="1">_xll.BDH($C$353,"INVENTORY_SEQUENTIAL_GROWTH","FY 2017","FY 2017","Currency=INR","Period=FY","BEST_FPERIOD_OVERRIDE=FY","FILING_STATUS=OR","EQY_CONSOLIDATED=Y","Sort=A","Dates=H","DateFormat=P","Fill=—","Direction=H","UseDPDF=Y")</f>
        <v>#NAME?</v>
      </c>
      <c r="BN368" s="2" t="e">
        <f ca="1">_xll.BDH($C$353,"FIXED_ASSETS_SEQUENTIAL_GROWTH","FY 2017","FY 2017","Currency=INR","Period=FY","BEST_FPERIOD_OVERRIDE=FY","FILING_STATUS=OR","EQY_CONSOLIDATED=Y","Sort=A","Dates=H","DateFormat=P","Fill=—","Direction=H","UseDPDF=Y")</f>
        <v>#NAME?</v>
      </c>
      <c r="BO368" s="2" t="e">
        <f ca="1">_xll.BDH($C$353,"TOTAL_ASSETS_SEQUENTIAL_GROWTH","FY 2017","FY 2017","Currency=INR","Period=FY","BEST_FPERIOD_OVERRIDE=FY","FILING_STATUS=OR","EQY_CONSOLIDATED=Y","Sort=A","Dates=H","DateFormat=P","Fill=—","Direction=H","UseDPDF=Y")</f>
        <v>#NAME?</v>
      </c>
      <c r="BP368" s="2" t="e">
        <f ca="1">_xll.BDH($C$353,"MODIFIED_WORKING_CPTL_SEQ_GRWTH","FY 2017","FY 2017","Currency=INR","Period=FY","BEST_FPERIOD_OVERRIDE=FY","FILING_STATUS=OR","EQY_CONSOLIDATED=Y","Sort=A","Dates=H","DateFormat=P","Fill=—","Direction=H","UseDPDF=Y")</f>
        <v>#NAME?</v>
      </c>
      <c r="BQ368" s="2" t="e">
        <f ca="1">_xll.BDH($C$353,"WORKING_CAPITAL_SEQ_GROWTH","FY 2017","FY 2017","Currency=INR","Period=FY","BEST_FPERIOD_OVERRIDE=FY","FILING_STATUS=OR","EQY_CONSOLIDATED=Y","Sort=A","Dates=H","DateFormat=P","Fill=—","Direction=H","UseDPDF=Y")</f>
        <v>#NAME?</v>
      </c>
      <c r="BR368" s="2" t="e">
        <f ca="1">_xll.BDH($C$353,"ACCOUNTS_PAYABLE_SEQ_GROWTH","FY 2017","FY 2017","Currency=INR","Period=FY","BEST_FPERIOD_OVERRIDE=FY","FILING_STATUS=OR","EQY_CONSOLIDATED=Y","Sort=A","Dates=H","DateFormat=P","Fill=—","Direction=H","UseDPDF=Y")</f>
        <v>#NAME?</v>
      </c>
      <c r="BS368" s="2" t="e">
        <f ca="1">_xll.BDH($C$353,"ST_DEBT_SEQUENTIAL_GROWTH","FY 2017","FY 2017","Currency=INR","Period=FY","BEST_FPERIOD_OVERRIDE=FY","FILING_STATUS=OR","EQY_CONSOLIDATED=Y","Sort=A","Dates=H","DateFormat=P","Fill=—","Direction=H","UseDPDF=Y")</f>
        <v>#NAME?</v>
      </c>
      <c r="BT368" s="2" t="e">
        <f ca="1">_xll.BDH($C$353,"TOTAL_DEBT_SEQUENTIAL_GROWTH","FY 2017","FY 2017","Currency=INR","Period=FY","BEST_FPERIOD_OVERRIDE=FY","FILING_STATUS=OR","EQY_CONSOLIDATED=Y","Sort=A","Dates=H","DateFormat=P","Fill=—","Direction=H","UseDPDF=Y")</f>
        <v>#NAME?</v>
      </c>
      <c r="BU368" s="2" t="e">
        <f ca="1">_xll.BDH($C$353,"TOTAL_EQUITY_SEQUENTIAL_GROWTH","FY 2017","FY 2017","Currency=INR","Period=FY","BEST_FPERIOD_OVERRIDE=FY","FILING_STATUS=OR","EQY_CONSOLIDATED=Y","Sort=A","Dates=H","DateFormat=P","Fill=—","Direction=H","UseDPDF=Y")</f>
        <v>#NAME?</v>
      </c>
      <c r="BV368" s="2" t="e">
        <f ca="1">_xll.BDH($C$353,"TOTAL_CAPITAL_SEQUENTIAL_GROWTH","FY 2017","FY 2017","Currency=INR","Period=FY","BEST_FPERIOD_OVERRIDE=FY","FILING_STATUS=OR","EQY_CONSOLIDATED=Y","Sort=A","Dates=H","DateFormat=P","Fill=—","Direction=H","UseDPDF=Y")</f>
        <v>#NAME?</v>
      </c>
      <c r="BW368" s="2" t="e">
        <f ca="1">_xll.BDH($C$353,"BPS_SEQUENTIAL_GROWTH","FY 2017","FY 2017","Currency=INR","Period=FY","BEST_FPERIOD_OVERRIDE=FY","FILING_STATUS=OR","EQY_CONSOLIDATED=Y","Sort=A","Dates=H","DateFormat=P","Fill=—","Direction=H","UseDPDF=Y")</f>
        <v>#NAME?</v>
      </c>
      <c r="BX368" s="2" t="e">
        <f ca="1">_xll.BDH($C$353,"CFO_SEQUENTIAL_GROWTH","FY 2017","FY 2017","Currency=INR","Period=FY","BEST_FPERIOD_OVERRIDE=FY","FILING_STATUS=OR","EQY_CONSOLIDATED=Y","Sort=A","Dates=H","DateFormat=P","Fill=—","Direction=H","UseDPDF=Y")</f>
        <v>#NAME?</v>
      </c>
      <c r="BY368" s="3" t="e">
        <f ca="1">_xll.BDH($C$353,"SHORT_AND_LONG_TERM_DEBT","FY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68" s="3" t="e">
        <f ca="1">_xll.BDH($C$353,"BS_ST_BORROW","FY 2017","FY 2017","Currency=INR","Period=FY","BEST_FPERIOD_OVERRIDE=FY","FILING_STATUS=OR","EQY_CONSOLIDATED=Y","SCALING_FORMAT=MLN","Sort=A","Dates=H","DateFormat=P","Fill=—","Direction=H","UseDPDF=Y")</f>
        <v>#NAME?</v>
      </c>
      <c r="CA368" s="3" t="e">
        <f ca="1">_xll.BDH($C$353,"BS_LT_BORROW","FY 2017","FY 2017","Currency=INR","Period=FY","BEST_FPERIOD_OVERRIDE=FY","FILING_STATUS=OR","EQY_CONSOLIDATED=Y","SCALING_FORMAT=MLN","Sort=A","Dates=H","DateFormat=P","Fill=—","Direction=H","UseDPDF=Y")</f>
        <v>#NAME?</v>
      </c>
      <c r="CB368" s="2" t="e">
        <f ca="1">_xll.BDH($C$353,"TOT_DEBT_TO_EBITDA","FY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368" s="2" t="e">
        <f ca="1">_xll.BDH($C$353,"NET_DEBT_TO_EBITDA","FY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368" s="2" t="e">
        <f ca="1">_xll.BDH($C$353,"TOTAL_DEBT_TO_EBIT","FY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368" s="2" t="e">
        <f ca="1">_xll.BDH($C$353,"NET_DEBT_TO_EBIT","FY 2017","FY 2017","Currency=INR","Period=FY","BEST_FPERIOD_OVERRIDE=FY","FILING_STATUS=OR","EQY_CONSOLIDATED=Y","FA_ADJUSTED=GAAP","Sort=A","Dates=H","DateFormat=P","Fill=—","Direction=H","UseDPDF=Y")</f>
        <v>#NAME?</v>
      </c>
      <c r="CF368" s="2" t="e">
        <f ca="1">_xll.BDH($C$353,"EBITDA_TO_INTEREST_EXPN","FY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68" s="2" t="e">
        <f ca="1">_xll.BDH($C$353,"COM_EQY_TO_TOT_ASSET","FY 2017","FY 2017","Currency=INR","Period=FY","BEST_FPERIOD_OVERRIDE=FY","FILING_STATUS=OR","EQY_CONSOLIDATED=Y","Sort=A","Dates=H","DateFormat=P","Fill=—","Direction=H","UseDPDF=Y")</f>
        <v>#NAME?</v>
      </c>
      <c r="CH368" s="2" t="e">
        <f ca="1">_xll.BDH($C$353,"LT_DEBT_TO_TOT_EQY","FY 2017","FY 2017","Currency=INR","Period=FY","BEST_FPERIOD_OVERRIDE=FY","FILING_STATUS=OR","EQY_CONSOLIDATED=Y","Sort=A","Dates=H","DateFormat=P","Fill=—","Direction=H","UseDPDF=Y")</f>
        <v>#NAME?</v>
      </c>
      <c r="CI368" s="2" t="e">
        <f ca="1">_xll.BDH($C$353,"LT_DEBT_TO_TOT_CAP","FY 2017","FY 2017","Currency=INR","Period=FY","BEST_FPERIOD_OVERRIDE=FY","FILING_STATUS=OR","EQY_CONSOLIDATED=Y","Sort=A","Dates=H","DateFormat=P","Fill=—","Direction=H","UseDPDF=Y")</f>
        <v>#NAME?</v>
      </c>
      <c r="CJ368" s="2" t="e">
        <f ca="1">_xll.BDH($C$353,"LT_DEBT_TO_TOT_ASSET","FY 2017","FY 2017","Currency=INR","Period=FY","BEST_FPERIOD_OVERRIDE=FY","FILING_STATUS=OR","EQY_CONSOLIDATED=Y","Sort=A","Dates=H","DateFormat=P","Fill=—","Direction=H","UseDPDF=Y")</f>
        <v>#NAME?</v>
      </c>
      <c r="CK368" s="2" t="e">
        <f ca="1">_xll.BDH($C$353,"TOT_DEBT_TO_TOT_EQY","FY 2017","FY 2017","Currency=INR","Period=FY","BEST_FPERIOD_OVERRIDE=FY","FILING_STATUS=OR","EQY_CONSOLIDATED=Y","Sort=A","Dates=H","DateFormat=P","Fill=—","Direction=H","UseDPDF=Y")</f>
        <v>#NAME?</v>
      </c>
      <c r="CL368" s="2" t="e">
        <f ca="1">_xll.BDH($C$353,"TOT_DEBT_TO_TOT_CAP","FY 2017","FY 2017","Currency=INR","Period=FY","BEST_FPERIOD_OVERRIDE=FY","FILING_STATUS=OR","EQY_CONSOLIDATED=Y","Sort=A","Dates=H","DateFormat=P","Fill=—","Direction=H","UseDPDF=Y")</f>
        <v>#NAME?</v>
      </c>
      <c r="CM368" s="2" t="e">
        <f ca="1">_xll.BDH($C$353,"TOT_DEBT_TO_TOT_ASSET","FY 2017","FY 2017","Currency=INR","Period=FY","BEST_FPERIOD_OVERRIDE=FY","FILING_STATUS=OR","EQY_CONSOLIDATED=Y","Sort=A","Dates=H","DateFormat=P","Fill=—","Direction=H","UseDPDF=Y")</f>
        <v>#NAME?</v>
      </c>
      <c r="CN368" s="2" t="e">
        <f ca="1">_xll.BDH($C$353,"NET_DEBT_TO_SHRHLDR_EQTY","FY 2017","FY 2017","Currency=INR","Period=FY","BEST_FPERIOD_OVERRIDE=FY","FILING_STATUS=OR","EQY_CONSOLIDATED=Y","Sort=A","Dates=H","DateFormat=P","Fill=—","Direction=H","UseDPDF=Y")</f>
        <v>#NAME?</v>
      </c>
      <c r="CO368" s="2" t="e">
        <f ca="1">_xll.BDH($C$353,"NET_DEBT_%_CAPITAL","FY 2017","FY 2017","Currency=INR","Period=FY","BEST_FPERIOD_OVERRIDE=FY","FILING_STATUS=OR","EQY_CONSOLIDATED=Y","Sort=A","Dates=H","DateFormat=P","Fill=—","Direction=H","UseDPDF=Y")</f>
        <v>#NAME?</v>
      </c>
      <c r="CP368" s="3" t="e">
        <f ca="1">_xll.BDH($C$353,"EBITDA","FY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68" s="3" t="e">
        <f ca="1">_xll.BDH($C$353,"EBITDA_AFTER_CAPEX","FY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68" s="3" t="e">
        <f ca="1">_xll.BDH($C$353,"IS_OPER_INC","FY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68" s="2" t="e">
        <f ca="1">_xll.BDH($C$353,"CASH_RATIO","FY 2017","FY 2017","Currency=INR","Period=FY","BEST_FPERIOD_OVERRIDE=FY","FILING_STATUS=OR","EQY_CONSOLIDATED=Y","Sort=A","Dates=H","DateFormat=P","Fill=—","Direction=H","UseDPDF=Y")</f>
        <v>#NAME?</v>
      </c>
      <c r="CT368" s="2" t="e">
        <f ca="1">_xll.BDH($C$353,"CUR_RATIO","FY 2017","FY 2017","Currency=INR","Period=FY","BEST_FPERIOD_OVERRIDE=FY","FILING_STATUS=OR","EQY_CONSOLIDATED=Y","Sort=A","Dates=H","DateFormat=P","Fill=—","Direction=H","UseDPDF=Y")</f>
        <v>#NAME?</v>
      </c>
      <c r="CU368" s="2" t="e">
        <f ca="1">_xll.BDH($C$353,"QUICK_RATIO","FY 2017","FY 2017","Currency=INR","Period=FY","BEST_FPERIOD_OVERRIDE=FY","FILING_STATUS=OR","EQY_CONSOLIDATED=Y","Sort=A","Dates=H","DateFormat=P","Fill=—","Direction=H","UseDPDF=Y")</f>
        <v>#NAME?</v>
      </c>
      <c r="CV368" s="2" t="e">
        <f ca="1">_xll.BDH($C$353,"ALTMAN_Z_SCORE","FY 2017","FY 2017","Currency=INR","Period=FY","BEST_FPERIOD_OVERRIDE=FY","FILING_STATUS=OR","EQY_CONSOLIDATED=Y","Sort=A","Dates=H","DateFormat=P","Fill=—","Direction=H","UseDPDF=Y")</f>
        <v>#NAME?</v>
      </c>
      <c r="CW368" s="4" t="e">
        <f ca="1">_xll.BDH($C$353,"ACCT_RCV_TURN","FY 2017","FY 2017","Currency=INR","Period=FY","BEST_FPERIOD_OVERRIDE=FY","FILING_STATUS=OR","EQY_CONSOLIDATED=Y","FA_ADJUSTED=GAAP","Sort=A","Dates=H","DateFormat=P","Fill=—","Direction=H","UseDPDF=Y")</f>
        <v>#NAME?</v>
      </c>
      <c r="CX368" s="2" t="e">
        <f ca="1">_xll.BDH($C$353,"ACCT_RCV_DAYS","FY 2017","FY 2017","Currency=INR","Period=FY","BEST_FPERIOD_OVERRIDE=FY","FILING_STATUS=OR","EQY_CONSOLIDATED=Y","FA_ADJUSTED=GAAP","Sort=A","Dates=H","DateFormat=P","Fill=—","Direction=H","UseDPDF=Y")</f>
        <v>#NAME?</v>
      </c>
      <c r="CY368" s="4" t="e">
        <f ca="1">_xll.BDH($C$353,"INVENT_TURN","FY 2017","FY 2017","Currency=INR","Period=FY","BEST_FPERIOD_OVERRIDE=FY","FILING_STATUS=OR","EQY_CONSOLIDATED=Y","FA_ADJUSTED=GAAP","Sort=A","Dates=H","DateFormat=P","Fill=—","Direction=H","UseDPDF=Y")</f>
        <v>#NAME?</v>
      </c>
      <c r="CZ368" s="2" t="e">
        <f ca="1">_xll.BDH($C$353,"INVENT_DAYS","FY 2017","FY 2017","Currency=INR","Period=FY","BEST_FPERIOD_OVERRIDE=FY","FILING_STATUS=OR","EQY_CONSOLIDATED=Y","FA_ADJUSTED=GAAP","Sort=A","Dates=H","DateFormat=P","Fill=—","Direction=H","UseDPDF=Y")</f>
        <v>#NAME?</v>
      </c>
      <c r="DA368" s="4" t="e">
        <f ca="1">_xll.BDH($C$353,"ACCOUNTS_PAYABLE_TURNOVER","FY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68" s="2" t="e">
        <f ca="1">_xll.BDH($C$353,"ACCOUNTS_PAYABLE_TURNOVER_DAYS","FY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68" s="4" t="e">
        <f ca="1">_xll.BDH($C$353,"CASH_CONVERSION_CYCLE","FY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68" s="4" t="e">
        <f ca="1">_xll.BDH($C$353,"INV_TO_CASH_DAYS","FY 2017","FY 2017","Currency=INR","Period=FY","BEST_FPERIOD_OVERRIDE=FY","FILING_STATUS=OR","EQY_CONSOLIDATED=Y","FA_ADJUSTED=GAAP","Sort=A","Dates=H","DateFormat=P","Fill=—","Direction=H","UseDPDF=Y")</f>
        <v>#NAME?</v>
      </c>
      <c r="DE368" s="5" t="e">
        <f ca="1">_xll.BDH($C$353,"BS_INVENTORIES","FY 2017","FY 2017","Currency=INR","Period=FY","BEST_FPERIOD_OVERRIDE=FY","FILING_STATUS=OR","EQY_CONSOLIDATED=Y","SCALING_FORMAT=MLN","Sort=A","Dates=H","DateFormat=P","Fill=—","Direction=H","UseDPDF=Y")</f>
        <v>#NAME?</v>
      </c>
      <c r="DF368" s="3" t="e">
        <f ca="1">_xll.BDH($C$353,"INVTRY_RAW_MATERIALS","FY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68" s="3" t="e">
        <f ca="1">_xll.BDH($C$353,"INVTRY_IN_PROGRESS","FY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68" s="3" t="e">
        <f ca="1">_xll.BDH($C$353,"INVTRY_FINISHED_GOODS","FY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68" s="3" t="e">
        <f ca="1">_xll.BDH($C$353,"BS_OTHER_INV","FY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69" spans="1:113" x14ac:dyDescent="0.3">
      <c r="A369" s="6"/>
      <c r="B369" s="6"/>
      <c r="C369" s="6"/>
      <c r="D369" s="6"/>
      <c r="E369" t="s">
        <v>78</v>
      </c>
      <c r="F369" t="e">
        <f ca="1">_xll.BDH($C$353,"RETURN_COM_EQY","FQ1 2017","FQ1 2017","Currency=INR","Period=FQ","BEST_FPERIOD_OVERRIDE=FQ","FILING_STATUS=OR","EQY_CONSOLIDATED=Y","FA_ADJUSTED=GAAP","Sort=A","Dates=H","DateFormat=P","Fill=—","Direction=H","UseDPDF=Y")</f>
        <v>#NAME?</v>
      </c>
      <c r="G369" t="e">
        <f ca="1">_xll.BDH($C$353,"RETURN_ON_ASSET","FQ1 2017","FQ1 2017","Currency=INR","Period=FQ","BEST_FPERIOD_OVERRIDE=FQ","FILING_STATUS=OR","EQY_CONSOLIDATED=Y","FA_ADJUSTED=GAAP","Sort=A","Dates=H","DateFormat=P","Fill=—","Direction=H","UseDPDF=Y")</f>
        <v>#NAME?</v>
      </c>
      <c r="H369" t="e">
        <f ca="1">_xll.BDH($C$353,"RETURN_ON_CAP","FQ1 2017","FQ1 2017","Currency=INR","Period=FQ","BEST_FPERIOD_OVERRIDE=FQ","FILING_STATUS=OR","EQY_CONSOLIDATED=Y","FA_ADJUSTED=GAAP","Sort=A","Dates=H","DateFormat=P","Fill=—","Direction=H","UseDPDF=Y")</f>
        <v>#NAME?</v>
      </c>
      <c r="I369" t="e">
        <f ca="1">_xll.BDH($C$353,"RETURN_ON_INV_CAPITAL","FQ1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69" t="e">
        <f ca="1">_xll.BDH($C$353,"EBITDA_TO_REVENUE","FQ1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369" t="e">
        <f ca="1">_xll.BDH($C$353,"OPER_MARGIN","FQ1 2017","FQ1 2017","Currency=INR","Period=FQ","BEST_FPERIOD_OVERRIDE=FQ","FILING_STATUS=OR","EQY_CONSOLIDATED=Y","FA_ADJUSTED=GAAP","Sort=A","Dates=H","DateFormat=P","Fill=—","Direction=H","UseDPDF=Y")</f>
        <v>#NAME?</v>
      </c>
      <c r="L369" t="e">
        <f ca="1">_xll.BDH($C$353,"INCREMENTAL_OPERATING_MARGIN","FQ1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69" t="e">
        <f ca="1">_xll.BDH($C$353,"PRETAX_INC_TO_NET_SALES","FQ1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69" t="e">
        <f ca="1">_xll.BDH($C$353,"INC_BEF_XO_ITEMS_TO_NET_SALES","FQ1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69" t="e">
        <f ca="1">_xll.BDH($C$353,"PROF_MARGIN","FQ1 2017","FQ1 2017","Currency=INR","Period=FQ","BEST_FPERIOD_OVERRIDE=FQ","FILING_STATUS=OR","EQY_CONSOLIDATED=Y","FA_ADJUSTED=GAAP","Sort=A","Dates=H","DateFormat=P","Fill=—","Direction=H","UseDPDF=Y")</f>
        <v>#NAME?</v>
      </c>
      <c r="P369" t="e">
        <f ca="1">_xll.BDH($C$353,"NET_INCOME_TO_COMMON_MARGIN","FQ1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69" t="e">
        <f ca="1">_xll.BDH($C$353,"EFF_TAX_RATE","FQ1 2017","FQ1 2017","Currency=INR","Period=FQ","BEST_FPERIOD_OVERRIDE=FQ","FILING_STATUS=OR","EQY_CONSOLIDATED=Y","FA_ADJUSTED=GAAP","Sort=A","Dates=H","DateFormat=P","Fill=—","Direction=H","UseDPDF=Y")</f>
        <v>#NAME?</v>
      </c>
      <c r="R369" t="e">
        <f ca="1">_xll.BDH($C$353,"DVD_PAYOUT_RATIO","FQ1 2017","FQ1 2017","Currency=INR","Period=FQ","BEST_FPERIOD_OVERRIDE=FQ","FILING_STATUS=OR","EQY_CONSOLIDATED=Y","FA_ADJUSTED=GAAP","Sort=A","Dates=H","DateFormat=P","Fill=—","Direction=H","UseDPDF=Y")</f>
        <v>#NAME?</v>
      </c>
      <c r="S369" t="e">
        <f ca="1">_xll.BDH($C$353,"SUSTAIN_GROWTH_RT","FQ1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369" s="2" t="e">
        <f ca="1">_xll.BDH($C$353,"SALES_GROWTH","FQ1 2017","FQ1 2017","Currency=INR","Period=FQ","BEST_FPERIOD_OVERRIDE=FQ","FILING_STATUS=OR","EQY_CONSOLIDATED=Y","FA_ADJUSTED=GAAP","Sort=A","Dates=H","DateFormat=P","Fill=—","Direction=H","UseDPDF=Y")</f>
        <v>#NAME?</v>
      </c>
      <c r="U369" s="2" t="e">
        <f ca="1">_xll.BDH($C$353,"EBITDA_GROWTH","FQ1 2017","FQ1 2017","Currency=INR","Period=FQ","BEST_FPERIOD_OVERRIDE=FQ","FILING_STATUS=OR","EQY_CONSOLIDATED=Y","FA_ADJUSTED=GAAP","Sort=A","Dates=H","DateFormat=P","Fill=—","Direction=H","UseDPDF=Y")</f>
        <v>#NAME?</v>
      </c>
      <c r="V369" s="2" t="e">
        <f ca="1">_xll.BDH($C$353,"OPER_INC_GROWTH","FQ1 2017","FQ1 2017","Currency=INR","Period=FQ","BEST_FPERIOD_OVERRIDE=FQ","FILING_STATUS=OR","EQY_CONSOLIDATED=Y","FA_ADJUSTED=GAAP","Sort=A","Dates=H","DateFormat=P","Fill=—","Direction=H","UseDPDF=Y")</f>
        <v>#NAME?</v>
      </c>
      <c r="W369" s="2" t="e">
        <f ca="1">_xll.BDH($C$353,"EARN_FOR_COM_GROWTH","FQ1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69" s="2" t="e">
        <f ca="1">_xll.BDH($C$353,"DILUTED_EPS_AFT_XO_ITEMS_GROWTH","FQ1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69" s="2" t="e">
        <f ca="1">_xll.BDH($C$353,"DIVIDEND_PER_SHARE_1_YEAR_GROWTH","FQ1 2017","FQ1 2017","Currency=INR","Period=FQ","BEST_FPERIOD_OVERRIDE=FQ","FILING_STATUS=OR","EQY_CONSOLIDATED=Y","Sort=A","Dates=H","DateFormat=P","Fill=—","Direction=H","UseDPDF=Y")</f>
        <v>#NAME?</v>
      </c>
      <c r="Z369" s="2" t="e">
        <f ca="1">_xll.BDH($C$353,"ACCOUNTS_RECEIVABLE_GROWTH","FQ1 2017","FQ1 2017","Currency=INR","Period=FQ","BEST_FPERIOD_OVERRIDE=FQ","FILING_STATUS=OR","EQY_CONSOLIDATED=Y","Sort=A","Dates=H","DateFormat=P","Fill=—","Direction=H","UseDPDF=Y")</f>
        <v>#NAME?</v>
      </c>
      <c r="AA369" s="2" t="e">
        <f ca="1">_xll.BDH($C$353,"INVENTORY_GROWTH","FQ1 2017","FQ1 2017","Currency=INR","Period=FQ","BEST_FPERIOD_OVERRIDE=FQ","FILING_STATUS=OR","EQY_CONSOLIDATED=Y","Sort=A","Dates=H","DateFormat=P","Fill=—","Direction=H","UseDPDF=Y")</f>
        <v>#NAME?</v>
      </c>
      <c r="AB369" s="2" t="e">
        <f ca="1">_xll.BDH($C$353,"NET_FIXED_ASSETS_1_YEAR_GROWTH","FQ1 2017","FQ1 2017","Currency=INR","Period=FQ","BEST_FPERIOD_OVERRIDE=FQ","FILING_STATUS=OR","EQY_CONSOLIDATED=Y","Sort=A","Dates=H","DateFormat=P","Fill=—","Direction=H","UseDPDF=Y")</f>
        <v>#NAME?</v>
      </c>
      <c r="AC369" s="2" t="e">
        <f ca="1">_xll.BDH($C$353,"ASSET_GROWTH","FQ1 2017","FQ1 2017","Currency=INR","Period=FQ","BEST_FPERIOD_OVERRIDE=FQ","FILING_STATUS=OR","EQY_CONSOLIDATED=Y","Sort=A","Dates=H","DateFormat=P","Fill=—","Direction=H","UseDPDF=Y")</f>
        <v>#NAME?</v>
      </c>
      <c r="AD369" s="2" t="e">
        <f ca="1">_xll.BDH($C$353,"MODIFIED_WORK_CAP_GROWTH","FQ1 2017","FQ1 2017","Currency=INR","Period=FQ","BEST_FPERIOD_OVERRIDE=FQ","FILING_STATUS=OR","EQY_CONSOLIDATED=Y","Sort=A","Dates=H","DateFormat=P","Fill=—","Direction=H","UseDPDF=Y")</f>
        <v>#NAME?</v>
      </c>
      <c r="AE369" s="2" t="e">
        <f ca="1">_xll.BDH($C$353,"WORK_CAP_GROWTH","FQ1 2017","FQ1 2017","Currency=INR","Period=FQ","BEST_FPERIOD_OVERRIDE=FQ","FILING_STATUS=OR","EQY_CONSOLIDATED=Y","Sort=A","Dates=H","DateFormat=P","Fill=—","Direction=H","UseDPDF=Y")</f>
        <v>#NAME?</v>
      </c>
      <c r="AF369" s="2" t="e">
        <f ca="1">_xll.BDH($C$353,"ACCOUNTS_PAYABLE_GROWTH_1YR","FQ1 2017","FQ1 2017","Currency=INR","Period=FQ","BEST_FPERIOD_OVERRIDE=FQ","FILING_STATUS=OR","EQY_CONSOLIDATED=Y","Sort=A","Dates=H","DateFormat=P","Fill=—","Direction=H","UseDPDF=Y")</f>
        <v>#NAME?</v>
      </c>
      <c r="AG369" s="2" t="e">
        <f ca="1">_xll.BDH($C$353,"SHORT_TERM_DEBT_1_YEAR_GROWTH","FQ1 2017","FQ1 2017","Currency=INR","Period=FQ","BEST_FPERIOD_OVERRIDE=FQ","FILING_STATUS=OR","EQY_CONSOLIDATED=Y","Sort=A","Dates=H","DateFormat=P","Fill=—","Direction=H","UseDPDF=Y")</f>
        <v>#NAME?</v>
      </c>
      <c r="AH369" s="2" t="e">
        <f ca="1">_xll.BDH($C$353,"TOTAL_DEBT_1_YEAR_GROWTH","FQ1 2017","FQ1 2017","Currency=INR","Period=FQ","BEST_FPERIOD_OVERRIDE=FQ","FILING_STATUS=OR","EQY_CONSOLIDATED=Y","Sort=A","Dates=H","DateFormat=P","Fill=—","Direction=H","UseDPDF=Y")</f>
        <v>#NAME?</v>
      </c>
      <c r="AI369" s="2" t="e">
        <f ca="1">_xll.BDH($C$353,"TOTAL_EQUITY_1_YEAR_GROWTH","FQ1 2017","FQ1 2017","Currency=INR","Period=FQ","BEST_FPERIOD_OVERRIDE=FQ","FILING_STATUS=OR","EQY_CONSOLIDATED=Y","Sort=A","Dates=H","DateFormat=P","Fill=—","Direction=H","UseDPDF=Y")</f>
        <v>#NAME?</v>
      </c>
      <c r="AJ369" s="2" t="e">
        <f ca="1">_xll.BDH($C$353,"GROWTH_IN_CAP","FQ1 2017","FQ1 2017","Currency=INR","Period=FQ","BEST_FPERIOD_OVERRIDE=FQ","FILING_STATUS=OR","EQY_CONSOLIDATED=Y","Sort=A","Dates=H","DateFormat=P","Fill=—","Direction=H","UseDPDF=Y")</f>
        <v>#NAME?</v>
      </c>
      <c r="AK369" s="2" t="e">
        <f ca="1">_xll.BDH($C$353,"BVPS_GROWTH","FQ1 2017","FQ1 2017","Currency=INR","Period=FQ","BEST_FPERIOD_OVERRIDE=FQ","FILING_STATUS=OR","EQY_CONSOLIDATED=Y","Sort=A","Dates=H","DateFormat=P","Fill=—","Direction=H","UseDPDF=Y")</f>
        <v>#NAME?</v>
      </c>
      <c r="AL369" s="2" t="e">
        <f ca="1">_xll.BDH($C$353,"CASH_FLOW_GROWTH","FQ1 2017","FQ1 2017","Currency=INR","Period=FQ","BEST_FPERIOD_OVERRIDE=FQ","FILING_STATUS=OR","EQY_CONSOLIDATED=Y","Sort=A","Dates=H","DateFormat=P","Fill=—","Direction=H","UseDPDF=Y")</f>
        <v>#NAME?</v>
      </c>
      <c r="AM369" s="2" t="e">
        <f ca="1">_xll.BDH($C$353,"GEO_GROW_NET_SALES","FQ1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69" s="2" t="e">
        <f ca="1">_xll.BDH($C$353,"GEO_GROW_EBITDA","FQ1 2017","FQ1 2017","Currency=INR","Period=FQ","BEST_FPERIOD_OVERRIDE=FQ","FILING_STATUS=OR","EQY_CONSOLIDATED=Y","FA_ADJUSTED=GAAP","Sort=A","Dates=H","DateFormat=P","Fill=—","Direction=H","UseDPDF=Y")</f>
        <v>#NAME?</v>
      </c>
      <c r="AO369" s="2" t="e">
        <f ca="1">_xll.BDH($C$353,"GEO_GROW_OPER_INC","FQ1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69" s="2" t="e">
        <f ca="1">_xll.BDH($C$353,"NET_INCOME_TO_COMMON_5_YR_GROWTH","FQ1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69" s="2" t="e">
        <f ca="1">_xll.BDH($C$353,"5Y_GEO_GROWTH_DILUTED_EPS","FQ1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69" s="2" t="e">
        <f ca="1">_xll.BDH($C$353,"GEO_GROW_DVD_PER_SH","FQ1 2017","FQ1 2017","Currency=INR","Period=FQ","BEST_FPERIOD_OVERRIDE=FQ","FILING_STATUS=OR","EQY_CONSOLIDATED=Y","Sort=A","Dates=H","DateFormat=P","Fill=—","Direction=H","UseDPDF=Y")</f>
        <v>#NAME?</v>
      </c>
      <c r="AS369" s="2" t="e">
        <f ca="1">_xll.BDH($C$353,"ACCOUNTS_RECEIVABLE_5_YR_GROWTH","FQ1 2017","FQ1 2017","Currency=INR","Period=FQ","BEST_FPERIOD_OVERRIDE=FQ","FILING_STATUS=OR","EQY_CONSOLIDATED=Y","Sort=A","Dates=H","DateFormat=P","Fill=—","Direction=H","UseDPDF=Y")</f>
        <v>#NAME?</v>
      </c>
      <c r="AT369" s="2" t="e">
        <f ca="1">_xll.BDH($C$353,"INVENTORY_5_YEAR_GROWTH","FQ1 2017","FQ1 2017","Currency=INR","Period=FQ","BEST_FPERIOD_OVERRIDE=FQ","FILING_STATUS=OR","EQY_CONSOLIDATED=Y","Sort=A","Dates=H","DateFormat=P","Fill=—","Direction=H","UseDPDF=Y")</f>
        <v>#NAME?</v>
      </c>
      <c r="AU369" s="2" t="e">
        <f ca="1">_xll.BDH($C$353,"NET_FIXED_ASSETS_5_YEAR_GROWTH","FQ1 2017","FQ1 2017","Currency=INR","Period=FQ","BEST_FPERIOD_OVERRIDE=FQ","FILING_STATUS=OR","EQY_CONSOLIDATED=Y","Sort=A","Dates=H","DateFormat=P","Fill=—","Direction=H","UseDPDF=Y")</f>
        <v>#NAME?</v>
      </c>
      <c r="AV369" s="2" t="e">
        <f ca="1">_xll.BDH($C$353,"GEO_GROW_TOT_ASSET","FQ1 2017","FQ1 2017","Currency=INR","Period=FQ","BEST_FPERIOD_OVERRIDE=FQ","FILING_STATUS=OR","EQY_CONSOLIDATED=Y","Sort=A","Dates=H","DateFormat=P","Fill=—","Direction=H","UseDPDF=Y")</f>
        <v>#NAME?</v>
      </c>
      <c r="AW369" s="2" t="e">
        <f ca="1">_xll.BDH($C$353,"MODIFIED_WORKING_CPTL_5YR_GRWTH","FQ1 2017","FQ1 2017","Currency=INR","Period=FQ","BEST_FPERIOD_OVERRIDE=FQ","FILING_STATUS=OR","EQY_CONSOLIDATED=Y","Sort=A","Dates=H","DateFormat=P","Fill=—","Direction=H","UseDPDF=Y")</f>
        <v>#NAME?</v>
      </c>
      <c r="AX369" s="2" t="e">
        <f ca="1">_xll.BDH($C$353,"WORKING_CAPITAL_5_YEAR_GROWTH","FQ1 2017","FQ1 2017","Currency=INR","Period=FQ","BEST_FPERIOD_OVERRIDE=FQ","FILING_STATUS=OR","EQY_CONSOLIDATED=Y","Sort=A","Dates=H","DateFormat=P","Fill=—","Direction=H","UseDPDF=Y")</f>
        <v>#NAME?</v>
      </c>
      <c r="AY369" s="2" t="e">
        <f ca="1">_xll.BDH($C$353,"ACCOUNTS_PAYABLE_5_YEAR_GROWTH","FQ1 2017","FQ1 2017","Currency=INR","Period=FQ","BEST_FPERIOD_OVERRIDE=FQ","FILING_STATUS=OR","EQY_CONSOLIDATED=Y","Sort=A","Dates=H","DateFormat=P","Fill=—","Direction=H","UseDPDF=Y")</f>
        <v>#NAME?</v>
      </c>
      <c r="AZ369" s="2" t="e">
        <f ca="1">_xll.BDH($C$353,"SHORT_TERM_DEBT_5_YEAR_GROWTH","FQ1 2017","FQ1 2017","Currency=INR","Period=FQ","BEST_FPERIOD_OVERRIDE=FQ","FILING_STATUS=OR","EQY_CONSOLIDATED=Y","Sort=A","Dates=H","DateFormat=P","Fill=—","Direction=H","UseDPDF=Y")</f>
        <v>#NAME?</v>
      </c>
      <c r="BA369" s="2" t="e">
        <f ca="1">_xll.BDH($C$353,"TOTAL_DEBT_5_YEAR_GROWTH","FQ1 2017","FQ1 2017","Currency=INR","Period=FQ","BEST_FPERIOD_OVERRIDE=FQ","FILING_STATUS=OR","EQY_CONSOLIDATED=Y","Sort=A","Dates=H","DateFormat=P","Fill=—","Direction=H","UseDPDF=Y")</f>
        <v>#NAME?</v>
      </c>
      <c r="BB369" s="2" t="e">
        <f ca="1">_xll.BDH($C$353,"GEO_GROW_TOT_SHRHLDR_EQY","FQ1 2017","FQ1 2017","Currency=INR","Period=FQ","BEST_FPERIOD_OVERRIDE=FQ","FILING_STATUS=OR","EQY_CONSOLIDATED=Y","Sort=A","Dates=H","DateFormat=P","Fill=—","Direction=H","UseDPDF=Y")</f>
        <v>#NAME?</v>
      </c>
      <c r="BC369" s="2" t="e">
        <f ca="1">_xll.BDH($C$353,"TOTAL_CAPITAL_5_YEAR_GROWTH","FQ1 2017","FQ1 2017","Currency=INR","Period=FQ","BEST_FPERIOD_OVERRIDE=FQ","FILING_STATUS=OR","EQY_CONSOLIDATED=Y","Sort=A","Dates=H","DateFormat=P","Fill=—","Direction=H","UseDPDF=Y")</f>
        <v>#NAME?</v>
      </c>
      <c r="BD369" s="2" t="e">
        <f ca="1">_xll.BDH($C$353,"GEO_GROW_BOOK_VAL","FQ1 2017","FQ1 2017","Currency=INR","Period=FQ","BEST_FPERIOD_OVERRIDE=FQ","FILING_STATUS=OR","EQY_CONSOLIDATED=Y","Sort=A","Dates=H","DateFormat=P","Fill=—","Direction=H","UseDPDF=Y")</f>
        <v>#NAME?</v>
      </c>
      <c r="BE369" s="2" t="e">
        <f ca="1">_xll.BDH($C$353,"GEO_GROW_CASH_OPER_ACT","FQ1 2017","FQ1 2017","Currency=INR","Period=FQ","BEST_FPERIOD_OVERRIDE=FQ","FILING_STATUS=OR","EQY_CONSOLIDATED=Y","Sort=A","Dates=H","DateFormat=P","Fill=—","Direction=H","UseDPDF=Y")</f>
        <v>#NAME?</v>
      </c>
      <c r="BF369" s="2" t="e">
        <f ca="1">_xll.BDH($C$353,"REVENUE_SEQUENTIAL_GROWTH","FQ1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69" s="2" t="e">
        <f ca="1">_xll.BDH($C$353,"EBITDA_SEQUENTIAL_GROWTH","FQ1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69" s="2" t="e">
        <f ca="1">_xll.BDH($C$353,"OPERATING_INCOME_SEQ_GROWTH","FQ1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69" s="2" t="e">
        <f ca="1">_xll.BDH($C$353,"NET_INCOME_TO_COMMON_SEQ_GROWTH","FQ1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69" s="2" t="e">
        <f ca="1">_xll.BDH($C$353,"EPS_DILUTED_SEQUENTIAL_GROWTH","FQ1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69" s="2" t="e">
        <f ca="1">_xll.BDH($C$353,"DPS_SEQUENTIAL_GROWTH","FQ1 2017","FQ1 2017","Currency=INR","Period=FQ","BEST_FPERIOD_OVERRIDE=FQ","FILING_STATUS=OR","EQY_CONSOLIDATED=Y","Sort=A","Dates=H","DateFormat=P","Fill=—","Direction=H","UseDPDF=Y")</f>
        <v>#NAME?</v>
      </c>
      <c r="BL369" s="2" t="e">
        <f ca="1">_xll.BDH($C$353,"ACCOUNTS_RECEIVABLE_SEQ_GROWTH","FQ1 2017","FQ1 2017","Currency=INR","Period=FQ","BEST_FPERIOD_OVERRIDE=FQ","FILING_STATUS=OR","EQY_CONSOLIDATED=Y","Sort=A","Dates=H","DateFormat=P","Fill=—","Direction=H","UseDPDF=Y")</f>
        <v>#NAME?</v>
      </c>
      <c r="BM369" s="2" t="e">
        <f ca="1">_xll.BDH($C$353,"INVENTORY_SEQUENTIAL_GROWTH","FQ1 2017","FQ1 2017","Currency=INR","Period=FQ","BEST_FPERIOD_OVERRIDE=FQ","FILING_STATUS=OR","EQY_CONSOLIDATED=Y","Sort=A","Dates=H","DateFormat=P","Fill=—","Direction=H","UseDPDF=Y")</f>
        <v>#NAME?</v>
      </c>
      <c r="BN369" s="2" t="e">
        <f ca="1">_xll.BDH($C$353,"FIXED_ASSETS_SEQUENTIAL_GROWTH","FQ1 2017","FQ1 2017","Currency=INR","Period=FQ","BEST_FPERIOD_OVERRIDE=FQ","FILING_STATUS=OR","EQY_CONSOLIDATED=Y","Sort=A","Dates=H","DateFormat=P","Fill=—","Direction=H","UseDPDF=Y")</f>
        <v>#NAME?</v>
      </c>
      <c r="BO369" s="2" t="e">
        <f ca="1">_xll.BDH($C$353,"TOTAL_ASSETS_SEQUENTIAL_GROWTH","FQ1 2017","FQ1 2017","Currency=INR","Period=FQ","BEST_FPERIOD_OVERRIDE=FQ","FILING_STATUS=OR","EQY_CONSOLIDATED=Y","Sort=A","Dates=H","DateFormat=P","Fill=—","Direction=H","UseDPDF=Y")</f>
        <v>#NAME?</v>
      </c>
      <c r="BP369" s="2" t="e">
        <f ca="1">_xll.BDH($C$353,"MODIFIED_WORKING_CPTL_SEQ_GRWTH","FQ1 2017","FQ1 2017","Currency=INR","Period=FQ","BEST_FPERIOD_OVERRIDE=FQ","FILING_STATUS=OR","EQY_CONSOLIDATED=Y","Sort=A","Dates=H","DateFormat=P","Fill=—","Direction=H","UseDPDF=Y")</f>
        <v>#NAME?</v>
      </c>
      <c r="BQ369" s="2" t="e">
        <f ca="1">_xll.BDH($C$353,"WORKING_CAPITAL_SEQ_GROWTH","FQ1 2017","FQ1 2017","Currency=INR","Period=FQ","BEST_FPERIOD_OVERRIDE=FQ","FILING_STATUS=OR","EQY_CONSOLIDATED=Y","Sort=A","Dates=H","DateFormat=P","Fill=—","Direction=H","UseDPDF=Y")</f>
        <v>#NAME?</v>
      </c>
      <c r="BR369" s="2" t="e">
        <f ca="1">_xll.BDH($C$353,"ACCOUNTS_PAYABLE_SEQ_GROWTH","FQ1 2017","FQ1 2017","Currency=INR","Period=FQ","BEST_FPERIOD_OVERRIDE=FQ","FILING_STATUS=OR","EQY_CONSOLIDATED=Y","Sort=A","Dates=H","DateFormat=P","Fill=—","Direction=H","UseDPDF=Y")</f>
        <v>#NAME?</v>
      </c>
      <c r="BS369" s="2" t="e">
        <f ca="1">_xll.BDH($C$353,"ST_DEBT_SEQUENTIAL_GROWTH","FQ1 2017","FQ1 2017","Currency=INR","Period=FQ","BEST_FPERIOD_OVERRIDE=FQ","FILING_STATUS=OR","EQY_CONSOLIDATED=Y","Sort=A","Dates=H","DateFormat=P","Fill=—","Direction=H","UseDPDF=Y")</f>
        <v>#NAME?</v>
      </c>
      <c r="BT369" s="2" t="e">
        <f ca="1">_xll.BDH($C$353,"TOTAL_DEBT_SEQUENTIAL_GROWTH","FQ1 2017","FQ1 2017","Currency=INR","Period=FQ","BEST_FPERIOD_OVERRIDE=FQ","FILING_STATUS=OR","EQY_CONSOLIDATED=Y","Sort=A","Dates=H","DateFormat=P","Fill=—","Direction=H","UseDPDF=Y")</f>
        <v>#NAME?</v>
      </c>
      <c r="BU369" s="2" t="e">
        <f ca="1">_xll.BDH($C$353,"TOTAL_EQUITY_SEQUENTIAL_GROWTH","FQ1 2017","FQ1 2017","Currency=INR","Period=FQ","BEST_FPERIOD_OVERRIDE=FQ","FILING_STATUS=OR","EQY_CONSOLIDATED=Y","Sort=A","Dates=H","DateFormat=P","Fill=—","Direction=H","UseDPDF=Y")</f>
        <v>#NAME?</v>
      </c>
      <c r="BV369" s="2" t="e">
        <f ca="1">_xll.BDH($C$353,"TOTAL_CAPITAL_SEQUENTIAL_GROWTH","FQ1 2017","FQ1 2017","Currency=INR","Period=FQ","BEST_FPERIOD_OVERRIDE=FQ","FILING_STATUS=OR","EQY_CONSOLIDATED=Y","Sort=A","Dates=H","DateFormat=P","Fill=—","Direction=H","UseDPDF=Y")</f>
        <v>#NAME?</v>
      </c>
      <c r="BW369" s="2" t="e">
        <f ca="1">_xll.BDH($C$353,"BPS_SEQUENTIAL_GROWTH","FQ1 2017","FQ1 2017","Currency=INR","Period=FQ","BEST_FPERIOD_OVERRIDE=FQ","FILING_STATUS=OR","EQY_CONSOLIDATED=Y","Sort=A","Dates=H","DateFormat=P","Fill=—","Direction=H","UseDPDF=Y")</f>
        <v>#NAME?</v>
      </c>
      <c r="BX369" s="2" t="e">
        <f ca="1">_xll.BDH($C$353,"CFO_SEQUENTIAL_GROWTH","FQ1 2017","FQ1 2017","Currency=INR","Period=FQ","BEST_FPERIOD_OVERRIDE=FQ","FILING_STATUS=OR","EQY_CONSOLIDATED=Y","Sort=A","Dates=H","DateFormat=P","Fill=—","Direction=H","UseDPDF=Y")</f>
        <v>#NAME?</v>
      </c>
      <c r="BY369" s="3" t="e">
        <f ca="1">_xll.BDH($C$353,"SHORT_AND_LONG_TERM_DEBT","FQ1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69" s="3" t="e">
        <f ca="1">_xll.BDH($C$353,"BS_ST_BORROW","FQ1 2017","FQ1 2017","Currency=INR","Period=FQ","BEST_FPERIOD_OVERRIDE=FQ","FILING_STATUS=OR","EQY_CONSOLIDATED=Y","SCALING_FORMAT=MLN","Sort=A","Dates=H","DateFormat=P","Fill=—","Direction=H","UseDPDF=Y")</f>
        <v>#NAME?</v>
      </c>
      <c r="CA369" s="3" t="e">
        <f ca="1">_xll.BDH($C$353,"BS_LT_BORROW","FQ1 2017","FQ1 2017","Currency=INR","Period=FQ","BEST_FPERIOD_OVERRIDE=FQ","FILING_STATUS=OR","EQY_CONSOLIDATED=Y","SCALING_FORMAT=MLN","Sort=A","Dates=H","DateFormat=P","Fill=—","Direction=H","UseDPDF=Y")</f>
        <v>#NAME?</v>
      </c>
      <c r="CB369" s="2" t="e">
        <f ca="1">_xll.BDH($C$353,"TOT_DEBT_TO_EBITDA","FQ1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69" s="2" t="e">
        <f ca="1">_xll.BDH($C$353,"NET_DEBT_TO_EBITDA","FQ1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69" s="2" t="e">
        <f ca="1">_xll.BDH($C$353,"TOTAL_DEBT_TO_EBIT","FQ1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69" s="2" t="e">
        <f ca="1">_xll.BDH($C$353,"NET_DEBT_TO_EBIT","FQ1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369" s="2" t="e">
        <f ca="1">_xll.BDH($C$353,"EBITDA_TO_INTEREST_EXPN","FQ1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69" s="2" t="e">
        <f ca="1">_xll.BDH($C$353,"COM_EQY_TO_TOT_ASSET","FQ1 2017","FQ1 2017","Currency=INR","Period=FQ","BEST_FPERIOD_OVERRIDE=FQ","FILING_STATUS=OR","EQY_CONSOLIDATED=Y","Sort=A","Dates=H","DateFormat=P","Fill=—","Direction=H","UseDPDF=Y")</f>
        <v>#NAME?</v>
      </c>
      <c r="CH369" s="2" t="e">
        <f ca="1">_xll.BDH($C$353,"LT_DEBT_TO_TOT_EQY","FQ1 2017","FQ1 2017","Currency=INR","Period=FQ","BEST_FPERIOD_OVERRIDE=FQ","FILING_STATUS=OR","EQY_CONSOLIDATED=Y","Sort=A","Dates=H","DateFormat=P","Fill=—","Direction=H","UseDPDF=Y")</f>
        <v>#NAME?</v>
      </c>
      <c r="CI369" s="2" t="e">
        <f ca="1">_xll.BDH($C$353,"LT_DEBT_TO_TOT_CAP","FQ1 2017","FQ1 2017","Currency=INR","Period=FQ","BEST_FPERIOD_OVERRIDE=FQ","FILING_STATUS=OR","EQY_CONSOLIDATED=Y","Sort=A","Dates=H","DateFormat=P","Fill=—","Direction=H","UseDPDF=Y")</f>
        <v>#NAME?</v>
      </c>
      <c r="CJ369" s="2" t="e">
        <f ca="1">_xll.BDH($C$353,"LT_DEBT_TO_TOT_ASSET","FQ1 2017","FQ1 2017","Currency=INR","Period=FQ","BEST_FPERIOD_OVERRIDE=FQ","FILING_STATUS=OR","EQY_CONSOLIDATED=Y","Sort=A","Dates=H","DateFormat=P","Fill=—","Direction=H","UseDPDF=Y")</f>
        <v>#NAME?</v>
      </c>
      <c r="CK369" s="2" t="e">
        <f ca="1">_xll.BDH($C$353,"TOT_DEBT_TO_TOT_EQY","FQ1 2017","FQ1 2017","Currency=INR","Period=FQ","BEST_FPERIOD_OVERRIDE=FQ","FILING_STATUS=OR","EQY_CONSOLIDATED=Y","Sort=A","Dates=H","DateFormat=P","Fill=—","Direction=H","UseDPDF=Y")</f>
        <v>#NAME?</v>
      </c>
      <c r="CL369" s="2" t="e">
        <f ca="1">_xll.BDH($C$353,"TOT_DEBT_TO_TOT_CAP","FQ1 2017","FQ1 2017","Currency=INR","Period=FQ","BEST_FPERIOD_OVERRIDE=FQ","FILING_STATUS=OR","EQY_CONSOLIDATED=Y","Sort=A","Dates=H","DateFormat=P","Fill=—","Direction=H","UseDPDF=Y")</f>
        <v>#NAME?</v>
      </c>
      <c r="CM369" s="2" t="e">
        <f ca="1">_xll.BDH($C$353,"TOT_DEBT_TO_TOT_ASSET","FQ1 2017","FQ1 2017","Currency=INR","Period=FQ","BEST_FPERIOD_OVERRIDE=FQ","FILING_STATUS=OR","EQY_CONSOLIDATED=Y","Sort=A","Dates=H","DateFormat=P","Fill=—","Direction=H","UseDPDF=Y")</f>
        <v>#NAME?</v>
      </c>
      <c r="CN369" s="2" t="e">
        <f ca="1">_xll.BDH($C$353,"NET_DEBT_TO_SHRHLDR_EQTY","FQ1 2017","FQ1 2017","Currency=INR","Period=FQ","BEST_FPERIOD_OVERRIDE=FQ","FILING_STATUS=OR","EQY_CONSOLIDATED=Y","Sort=A","Dates=H","DateFormat=P","Fill=—","Direction=H","UseDPDF=Y")</f>
        <v>#NAME?</v>
      </c>
      <c r="CO369" s="2" t="e">
        <f ca="1">_xll.BDH($C$353,"NET_DEBT_%_CAPITAL","FQ1 2017","FQ1 2017","Currency=INR","Period=FQ","BEST_FPERIOD_OVERRIDE=FQ","FILING_STATUS=OR","EQY_CONSOLIDATED=Y","Sort=A","Dates=H","DateFormat=P","Fill=—","Direction=H","UseDPDF=Y")</f>
        <v>#NAME?</v>
      </c>
      <c r="CP369" s="3" t="e">
        <f ca="1">_xll.BDH($C$353,"EBITDA","FQ1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69" s="3" t="e">
        <f ca="1">_xll.BDH($C$353,"EBITDA_AFTER_CAPEX","FQ1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69" s="3" t="e">
        <f ca="1">_xll.BDH($C$353,"IS_OPER_INC","FQ1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69" s="2" t="e">
        <f ca="1">_xll.BDH($C$353,"CASH_RATIO","FQ1 2017","FQ1 2017","Currency=INR","Period=FQ","BEST_FPERIOD_OVERRIDE=FQ","FILING_STATUS=OR","EQY_CONSOLIDATED=Y","Sort=A","Dates=H","DateFormat=P","Fill=—","Direction=H","UseDPDF=Y")</f>
        <v>#NAME?</v>
      </c>
      <c r="CT369" s="2" t="e">
        <f ca="1">_xll.BDH($C$353,"CUR_RATIO","FQ1 2017","FQ1 2017","Currency=INR","Period=FQ","BEST_FPERIOD_OVERRIDE=FQ","FILING_STATUS=OR","EQY_CONSOLIDATED=Y","Sort=A","Dates=H","DateFormat=P","Fill=—","Direction=H","UseDPDF=Y")</f>
        <v>#NAME?</v>
      </c>
      <c r="CU369" s="2" t="e">
        <f ca="1">_xll.BDH($C$353,"QUICK_RATIO","FQ1 2017","FQ1 2017","Currency=INR","Period=FQ","BEST_FPERIOD_OVERRIDE=FQ","FILING_STATUS=OR","EQY_CONSOLIDATED=Y","Sort=A","Dates=H","DateFormat=P","Fill=—","Direction=H","UseDPDF=Y")</f>
        <v>#NAME?</v>
      </c>
      <c r="CV369" s="2" t="e">
        <f ca="1">_xll.BDH($C$353,"ALTMAN_Z_SCORE","FQ1 2017","FQ1 2017","Currency=INR","Period=FQ","BEST_FPERIOD_OVERRIDE=FQ","FILING_STATUS=OR","EQY_CONSOLIDATED=Y","Sort=A","Dates=H","DateFormat=P","Fill=—","Direction=H","UseDPDF=Y")</f>
        <v>#NAME?</v>
      </c>
      <c r="CW369" s="4" t="e">
        <f ca="1">_xll.BDH($C$353,"ACCT_RCV_TURN","FQ1 2017","FQ1 2017","Currency=INR","Period=FQ","BEST_FPERIOD_OVERRIDE=FQ","FILING_STATUS=OR","EQY_CONSOLIDATED=Y","FA_ADJUSTED=GAAP","Sort=A","Dates=H","DateFormat=P","Fill=—","Direction=H","UseDPDF=Y")</f>
        <v>#NAME?</v>
      </c>
      <c r="CX369" s="2" t="e">
        <f ca="1">_xll.BDH($C$353,"ACCT_RCV_DAYS","FQ1 2017","FQ1 2017","Currency=INR","Period=FQ","BEST_FPERIOD_OVERRIDE=FQ","FILING_STATUS=OR","EQY_CONSOLIDATED=Y","FA_ADJUSTED=GAAP","Sort=A","Dates=H","DateFormat=P","Fill=—","Direction=H","UseDPDF=Y")</f>
        <v>#NAME?</v>
      </c>
      <c r="CY369" s="4" t="e">
        <f ca="1">_xll.BDH($C$353,"INVENT_TURN","FQ1 2017","FQ1 2017","Currency=INR","Period=FQ","BEST_FPERIOD_OVERRIDE=FQ","FILING_STATUS=OR","EQY_CONSOLIDATED=Y","FA_ADJUSTED=GAAP","Sort=A","Dates=H","DateFormat=P","Fill=—","Direction=H","UseDPDF=Y")</f>
        <v>#NAME?</v>
      </c>
      <c r="CZ369" s="2" t="e">
        <f ca="1">_xll.BDH($C$353,"INVENT_DAYS","FQ1 2017","FQ1 2017","Currency=INR","Period=FQ","BEST_FPERIOD_OVERRIDE=FQ","FILING_STATUS=OR","EQY_CONSOLIDATED=Y","FA_ADJUSTED=GAAP","Sort=A","Dates=H","DateFormat=P","Fill=—","Direction=H","UseDPDF=Y")</f>
        <v>#NAME?</v>
      </c>
      <c r="DA369" s="4" t="e">
        <f ca="1">_xll.BDH($C$353,"ACCOUNTS_PAYABLE_TURNOVER","FQ1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69" s="2" t="e">
        <f ca="1">_xll.BDH($C$353,"ACCOUNTS_PAYABLE_TURNOVER_DAYS","FQ1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69" s="4" t="e">
        <f ca="1">_xll.BDH($C$353,"CASH_CONVERSION_CYCLE","FQ1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69" s="4" t="e">
        <f ca="1">_xll.BDH($C$353,"INV_TO_CASH_DAYS","FQ1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369" s="5" t="e">
        <f ca="1">_xll.BDH($C$353,"BS_INVENTORIES","FQ1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369" s="3" t="e">
        <f ca="1">_xll.BDH($C$353,"INVTRY_RAW_MATERIALS","FQ1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69" s="3" t="e">
        <f ca="1">_xll.BDH($C$353,"INVTRY_IN_PROGRESS","FQ1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69" s="3" t="e">
        <f ca="1">_xll.BDH($C$353,"INVTRY_FINISHED_GOODS","FQ1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69" s="3" t="e">
        <f ca="1">_xll.BDH($C$353,"BS_OTHER_INV","FQ1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70" spans="1:113" x14ac:dyDescent="0.3">
      <c r="A370" s="6"/>
      <c r="B370" s="6"/>
      <c r="C370" s="6"/>
      <c r="D370" s="6"/>
      <c r="E370" t="s">
        <v>79</v>
      </c>
      <c r="F370" t="e">
        <f ca="1">_xll.BDH($C$353,"RETURN_COM_EQY","FQ2 2017","FQ2 2017","Currency=INR","Period=FQ","BEST_FPERIOD_OVERRIDE=FQ","FILING_STATUS=OR","EQY_CONSOLIDATED=Y","FA_ADJUSTED=GAAP","Sort=A","Dates=H","DateFormat=P","Fill=—","Direction=H","UseDPDF=Y")</f>
        <v>#NAME?</v>
      </c>
      <c r="G370" t="e">
        <f ca="1">_xll.BDH($C$353,"RETURN_ON_ASSET","FQ2 2017","FQ2 2017","Currency=INR","Period=FQ","BEST_FPERIOD_OVERRIDE=FQ","FILING_STATUS=OR","EQY_CONSOLIDATED=Y","FA_ADJUSTED=GAAP","Sort=A","Dates=H","DateFormat=P","Fill=—","Direction=H","UseDPDF=Y")</f>
        <v>#NAME?</v>
      </c>
      <c r="H370" t="e">
        <f ca="1">_xll.BDH($C$353,"RETURN_ON_CAP","FQ2 2017","FQ2 2017","Currency=INR","Period=FQ","BEST_FPERIOD_OVERRIDE=FQ","FILING_STATUS=OR","EQY_CONSOLIDATED=Y","FA_ADJUSTED=GAAP","Sort=A","Dates=H","DateFormat=P","Fill=—","Direction=H","UseDPDF=Y")</f>
        <v>#NAME?</v>
      </c>
      <c r="I370" t="e">
        <f ca="1">_xll.BDH($C$353,"RETURN_ON_INV_CAPITAL","FQ2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70" t="e">
        <f ca="1">_xll.BDH($C$353,"EBITDA_TO_REVENUE","FQ2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370" t="e">
        <f ca="1">_xll.BDH($C$353,"OPER_MARGIN","FQ2 2017","FQ2 2017","Currency=INR","Period=FQ","BEST_FPERIOD_OVERRIDE=FQ","FILING_STATUS=OR","EQY_CONSOLIDATED=Y","FA_ADJUSTED=GAAP","Sort=A","Dates=H","DateFormat=P","Fill=—","Direction=H","UseDPDF=Y")</f>
        <v>#NAME?</v>
      </c>
      <c r="L370" t="e">
        <f ca="1">_xll.BDH($C$353,"INCREMENTAL_OPERATING_MARGIN","FQ2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70" t="e">
        <f ca="1">_xll.BDH($C$353,"PRETAX_INC_TO_NET_SALES","FQ2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70" t="e">
        <f ca="1">_xll.BDH($C$353,"INC_BEF_XO_ITEMS_TO_NET_SALES","FQ2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70" t="e">
        <f ca="1">_xll.BDH($C$353,"PROF_MARGIN","FQ2 2017","FQ2 2017","Currency=INR","Period=FQ","BEST_FPERIOD_OVERRIDE=FQ","FILING_STATUS=OR","EQY_CONSOLIDATED=Y","FA_ADJUSTED=GAAP","Sort=A","Dates=H","DateFormat=P","Fill=—","Direction=H","UseDPDF=Y")</f>
        <v>#NAME?</v>
      </c>
      <c r="P370" t="e">
        <f ca="1">_xll.BDH($C$353,"NET_INCOME_TO_COMMON_MARGIN","FQ2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70" t="e">
        <f ca="1">_xll.BDH($C$353,"EFF_TAX_RATE","FQ2 2017","FQ2 2017","Currency=INR","Period=FQ","BEST_FPERIOD_OVERRIDE=FQ","FILING_STATUS=OR","EQY_CONSOLIDATED=Y","FA_ADJUSTED=GAAP","Sort=A","Dates=H","DateFormat=P","Fill=—","Direction=H","UseDPDF=Y")</f>
        <v>#NAME?</v>
      </c>
      <c r="R370" t="e">
        <f ca="1">_xll.BDH($C$353,"DVD_PAYOUT_RATIO","FQ2 2017","FQ2 2017","Currency=INR","Period=FQ","BEST_FPERIOD_OVERRIDE=FQ","FILING_STATUS=OR","EQY_CONSOLIDATED=Y","FA_ADJUSTED=GAAP","Sort=A","Dates=H","DateFormat=P","Fill=—","Direction=H","UseDPDF=Y")</f>
        <v>#NAME?</v>
      </c>
      <c r="S370" t="e">
        <f ca="1">_xll.BDH($C$353,"SUSTAIN_GROWTH_RT","FQ2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370" s="2" t="e">
        <f ca="1">_xll.BDH($C$353,"SALES_GROWTH","FQ2 2017","FQ2 2017","Currency=INR","Period=FQ","BEST_FPERIOD_OVERRIDE=FQ","FILING_STATUS=OR","EQY_CONSOLIDATED=Y","FA_ADJUSTED=GAAP","Sort=A","Dates=H","DateFormat=P","Fill=—","Direction=H","UseDPDF=Y")</f>
        <v>#NAME?</v>
      </c>
      <c r="U370" s="2" t="e">
        <f ca="1">_xll.BDH($C$353,"EBITDA_GROWTH","FQ2 2017","FQ2 2017","Currency=INR","Period=FQ","BEST_FPERIOD_OVERRIDE=FQ","FILING_STATUS=OR","EQY_CONSOLIDATED=Y","FA_ADJUSTED=GAAP","Sort=A","Dates=H","DateFormat=P","Fill=—","Direction=H","UseDPDF=Y")</f>
        <v>#NAME?</v>
      </c>
      <c r="V370" s="2" t="e">
        <f ca="1">_xll.BDH($C$353,"OPER_INC_GROWTH","FQ2 2017","FQ2 2017","Currency=INR","Period=FQ","BEST_FPERIOD_OVERRIDE=FQ","FILING_STATUS=OR","EQY_CONSOLIDATED=Y","FA_ADJUSTED=GAAP","Sort=A","Dates=H","DateFormat=P","Fill=—","Direction=H","UseDPDF=Y")</f>
        <v>#NAME?</v>
      </c>
      <c r="W370" s="2" t="e">
        <f ca="1">_xll.BDH($C$353,"EARN_FOR_COM_GROWTH","FQ2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70" s="2" t="e">
        <f ca="1">_xll.BDH($C$353,"DILUTED_EPS_AFT_XO_ITEMS_GROWTH","FQ2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70" s="2" t="e">
        <f ca="1">_xll.BDH($C$353,"DIVIDEND_PER_SHARE_1_YEAR_GROWTH","FQ2 2017","FQ2 2017","Currency=INR","Period=FQ","BEST_FPERIOD_OVERRIDE=FQ","FILING_STATUS=OR","EQY_CONSOLIDATED=Y","Sort=A","Dates=H","DateFormat=P","Fill=—","Direction=H","UseDPDF=Y")</f>
        <v>#NAME?</v>
      </c>
      <c r="Z370" s="2" t="e">
        <f ca="1">_xll.BDH($C$353,"ACCOUNTS_RECEIVABLE_GROWTH","FQ2 2017","FQ2 2017","Currency=INR","Period=FQ","BEST_FPERIOD_OVERRIDE=FQ","FILING_STATUS=OR","EQY_CONSOLIDATED=Y","Sort=A","Dates=H","DateFormat=P","Fill=—","Direction=H","UseDPDF=Y")</f>
        <v>#NAME?</v>
      </c>
      <c r="AA370" s="2" t="e">
        <f ca="1">_xll.BDH($C$353,"INVENTORY_GROWTH","FQ2 2017","FQ2 2017","Currency=INR","Period=FQ","BEST_FPERIOD_OVERRIDE=FQ","FILING_STATUS=OR","EQY_CONSOLIDATED=Y","Sort=A","Dates=H","DateFormat=P","Fill=—","Direction=H","UseDPDF=Y")</f>
        <v>#NAME?</v>
      </c>
      <c r="AB370" s="2" t="e">
        <f ca="1">_xll.BDH($C$353,"NET_FIXED_ASSETS_1_YEAR_GROWTH","FQ2 2017","FQ2 2017","Currency=INR","Period=FQ","BEST_FPERIOD_OVERRIDE=FQ","FILING_STATUS=OR","EQY_CONSOLIDATED=Y","Sort=A","Dates=H","DateFormat=P","Fill=—","Direction=H","UseDPDF=Y")</f>
        <v>#NAME?</v>
      </c>
      <c r="AC370" s="2" t="e">
        <f ca="1">_xll.BDH($C$353,"ASSET_GROWTH","FQ2 2017","FQ2 2017","Currency=INR","Period=FQ","BEST_FPERIOD_OVERRIDE=FQ","FILING_STATUS=OR","EQY_CONSOLIDATED=Y","Sort=A","Dates=H","DateFormat=P","Fill=—","Direction=H","UseDPDF=Y")</f>
        <v>#NAME?</v>
      </c>
      <c r="AD370" s="2" t="e">
        <f ca="1">_xll.BDH($C$353,"MODIFIED_WORK_CAP_GROWTH","FQ2 2017","FQ2 2017","Currency=INR","Period=FQ","BEST_FPERIOD_OVERRIDE=FQ","FILING_STATUS=OR","EQY_CONSOLIDATED=Y","Sort=A","Dates=H","DateFormat=P","Fill=—","Direction=H","UseDPDF=Y")</f>
        <v>#NAME?</v>
      </c>
      <c r="AE370" s="2" t="e">
        <f ca="1">_xll.BDH($C$353,"WORK_CAP_GROWTH","FQ2 2017","FQ2 2017","Currency=INR","Period=FQ","BEST_FPERIOD_OVERRIDE=FQ","FILING_STATUS=OR","EQY_CONSOLIDATED=Y","Sort=A","Dates=H","DateFormat=P","Fill=—","Direction=H","UseDPDF=Y")</f>
        <v>#NAME?</v>
      </c>
      <c r="AF370" s="2" t="e">
        <f ca="1">_xll.BDH($C$353,"ACCOUNTS_PAYABLE_GROWTH_1YR","FQ2 2017","FQ2 2017","Currency=INR","Period=FQ","BEST_FPERIOD_OVERRIDE=FQ","FILING_STATUS=OR","EQY_CONSOLIDATED=Y","Sort=A","Dates=H","DateFormat=P","Fill=—","Direction=H","UseDPDF=Y")</f>
        <v>#NAME?</v>
      </c>
      <c r="AG370" s="2" t="e">
        <f ca="1">_xll.BDH($C$353,"SHORT_TERM_DEBT_1_YEAR_GROWTH","FQ2 2017","FQ2 2017","Currency=INR","Period=FQ","BEST_FPERIOD_OVERRIDE=FQ","FILING_STATUS=OR","EQY_CONSOLIDATED=Y","Sort=A","Dates=H","DateFormat=P","Fill=—","Direction=H","UseDPDF=Y")</f>
        <v>#NAME?</v>
      </c>
      <c r="AH370" s="2" t="e">
        <f ca="1">_xll.BDH($C$353,"TOTAL_DEBT_1_YEAR_GROWTH","FQ2 2017","FQ2 2017","Currency=INR","Period=FQ","BEST_FPERIOD_OVERRIDE=FQ","FILING_STATUS=OR","EQY_CONSOLIDATED=Y","Sort=A","Dates=H","DateFormat=P","Fill=—","Direction=H","UseDPDF=Y")</f>
        <v>#NAME?</v>
      </c>
      <c r="AI370" s="2" t="e">
        <f ca="1">_xll.BDH($C$353,"TOTAL_EQUITY_1_YEAR_GROWTH","FQ2 2017","FQ2 2017","Currency=INR","Period=FQ","BEST_FPERIOD_OVERRIDE=FQ","FILING_STATUS=OR","EQY_CONSOLIDATED=Y","Sort=A","Dates=H","DateFormat=P","Fill=—","Direction=H","UseDPDF=Y")</f>
        <v>#NAME?</v>
      </c>
      <c r="AJ370" s="2" t="e">
        <f ca="1">_xll.BDH($C$353,"GROWTH_IN_CAP","FQ2 2017","FQ2 2017","Currency=INR","Period=FQ","BEST_FPERIOD_OVERRIDE=FQ","FILING_STATUS=OR","EQY_CONSOLIDATED=Y","Sort=A","Dates=H","DateFormat=P","Fill=—","Direction=H","UseDPDF=Y")</f>
        <v>#NAME?</v>
      </c>
      <c r="AK370" s="2" t="e">
        <f ca="1">_xll.BDH($C$353,"BVPS_GROWTH","FQ2 2017","FQ2 2017","Currency=INR","Period=FQ","BEST_FPERIOD_OVERRIDE=FQ","FILING_STATUS=OR","EQY_CONSOLIDATED=Y","Sort=A","Dates=H","DateFormat=P","Fill=—","Direction=H","UseDPDF=Y")</f>
        <v>#NAME?</v>
      </c>
      <c r="AL370" s="2" t="e">
        <f ca="1">_xll.BDH($C$353,"CASH_FLOW_GROWTH","FQ2 2017","FQ2 2017","Currency=INR","Period=FQ","BEST_FPERIOD_OVERRIDE=FQ","FILING_STATUS=OR","EQY_CONSOLIDATED=Y","Sort=A","Dates=H","DateFormat=P","Fill=—","Direction=H","UseDPDF=Y")</f>
        <v>#NAME?</v>
      </c>
      <c r="AM370" s="2" t="e">
        <f ca="1">_xll.BDH($C$353,"GEO_GROW_NET_SALES","FQ2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70" s="2" t="e">
        <f ca="1">_xll.BDH($C$353,"GEO_GROW_EBITDA","FQ2 2017","FQ2 2017","Currency=INR","Period=FQ","BEST_FPERIOD_OVERRIDE=FQ","FILING_STATUS=OR","EQY_CONSOLIDATED=Y","FA_ADJUSTED=GAAP","Sort=A","Dates=H","DateFormat=P","Fill=—","Direction=H","UseDPDF=Y")</f>
        <v>#NAME?</v>
      </c>
      <c r="AO370" s="2" t="e">
        <f ca="1">_xll.BDH($C$353,"GEO_GROW_OPER_INC","FQ2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70" s="2" t="e">
        <f ca="1">_xll.BDH($C$353,"NET_INCOME_TO_COMMON_5_YR_GROWTH","FQ2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70" s="2" t="e">
        <f ca="1">_xll.BDH($C$353,"5Y_GEO_GROWTH_DILUTED_EPS","FQ2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70" s="2" t="e">
        <f ca="1">_xll.BDH($C$353,"GEO_GROW_DVD_PER_SH","FQ2 2017","FQ2 2017","Currency=INR","Period=FQ","BEST_FPERIOD_OVERRIDE=FQ","FILING_STATUS=OR","EQY_CONSOLIDATED=Y","Sort=A","Dates=H","DateFormat=P","Fill=—","Direction=H","UseDPDF=Y")</f>
        <v>#NAME?</v>
      </c>
      <c r="AS370" s="2" t="e">
        <f ca="1">_xll.BDH($C$353,"ACCOUNTS_RECEIVABLE_5_YR_GROWTH","FQ2 2017","FQ2 2017","Currency=INR","Period=FQ","BEST_FPERIOD_OVERRIDE=FQ","FILING_STATUS=OR","EQY_CONSOLIDATED=Y","Sort=A","Dates=H","DateFormat=P","Fill=—","Direction=H","UseDPDF=Y")</f>
        <v>#NAME?</v>
      </c>
      <c r="AT370" s="2" t="e">
        <f ca="1">_xll.BDH($C$353,"INVENTORY_5_YEAR_GROWTH","FQ2 2017","FQ2 2017","Currency=INR","Period=FQ","BEST_FPERIOD_OVERRIDE=FQ","FILING_STATUS=OR","EQY_CONSOLIDATED=Y","Sort=A","Dates=H","DateFormat=P","Fill=—","Direction=H","UseDPDF=Y")</f>
        <v>#NAME?</v>
      </c>
      <c r="AU370" s="2" t="e">
        <f ca="1">_xll.BDH($C$353,"NET_FIXED_ASSETS_5_YEAR_GROWTH","FQ2 2017","FQ2 2017","Currency=INR","Period=FQ","BEST_FPERIOD_OVERRIDE=FQ","FILING_STATUS=OR","EQY_CONSOLIDATED=Y","Sort=A","Dates=H","DateFormat=P","Fill=—","Direction=H","UseDPDF=Y")</f>
        <v>#NAME?</v>
      </c>
      <c r="AV370" s="2" t="e">
        <f ca="1">_xll.BDH($C$353,"GEO_GROW_TOT_ASSET","FQ2 2017","FQ2 2017","Currency=INR","Period=FQ","BEST_FPERIOD_OVERRIDE=FQ","FILING_STATUS=OR","EQY_CONSOLIDATED=Y","Sort=A","Dates=H","DateFormat=P","Fill=—","Direction=H","UseDPDF=Y")</f>
        <v>#NAME?</v>
      </c>
      <c r="AW370" s="2" t="e">
        <f ca="1">_xll.BDH($C$353,"MODIFIED_WORKING_CPTL_5YR_GRWTH","FQ2 2017","FQ2 2017","Currency=INR","Period=FQ","BEST_FPERIOD_OVERRIDE=FQ","FILING_STATUS=OR","EQY_CONSOLIDATED=Y","Sort=A","Dates=H","DateFormat=P","Fill=—","Direction=H","UseDPDF=Y")</f>
        <v>#NAME?</v>
      </c>
      <c r="AX370" s="2" t="e">
        <f ca="1">_xll.BDH($C$353,"WORKING_CAPITAL_5_YEAR_GROWTH","FQ2 2017","FQ2 2017","Currency=INR","Period=FQ","BEST_FPERIOD_OVERRIDE=FQ","FILING_STATUS=OR","EQY_CONSOLIDATED=Y","Sort=A","Dates=H","DateFormat=P","Fill=—","Direction=H","UseDPDF=Y")</f>
        <v>#NAME?</v>
      </c>
      <c r="AY370" s="2" t="e">
        <f ca="1">_xll.BDH($C$353,"ACCOUNTS_PAYABLE_5_YEAR_GROWTH","FQ2 2017","FQ2 2017","Currency=INR","Period=FQ","BEST_FPERIOD_OVERRIDE=FQ","FILING_STATUS=OR","EQY_CONSOLIDATED=Y","Sort=A","Dates=H","DateFormat=P","Fill=—","Direction=H","UseDPDF=Y")</f>
        <v>#NAME?</v>
      </c>
      <c r="AZ370" s="2" t="e">
        <f ca="1">_xll.BDH($C$353,"SHORT_TERM_DEBT_5_YEAR_GROWTH","FQ2 2017","FQ2 2017","Currency=INR","Period=FQ","BEST_FPERIOD_OVERRIDE=FQ","FILING_STATUS=OR","EQY_CONSOLIDATED=Y","Sort=A","Dates=H","DateFormat=P","Fill=—","Direction=H","UseDPDF=Y")</f>
        <v>#NAME?</v>
      </c>
      <c r="BA370" s="2" t="e">
        <f ca="1">_xll.BDH($C$353,"TOTAL_DEBT_5_YEAR_GROWTH","FQ2 2017","FQ2 2017","Currency=INR","Period=FQ","BEST_FPERIOD_OVERRIDE=FQ","FILING_STATUS=OR","EQY_CONSOLIDATED=Y","Sort=A","Dates=H","DateFormat=P","Fill=—","Direction=H","UseDPDF=Y")</f>
        <v>#NAME?</v>
      </c>
      <c r="BB370" s="2" t="e">
        <f ca="1">_xll.BDH($C$353,"GEO_GROW_TOT_SHRHLDR_EQY","FQ2 2017","FQ2 2017","Currency=INR","Period=FQ","BEST_FPERIOD_OVERRIDE=FQ","FILING_STATUS=OR","EQY_CONSOLIDATED=Y","Sort=A","Dates=H","DateFormat=P","Fill=—","Direction=H","UseDPDF=Y")</f>
        <v>#NAME?</v>
      </c>
      <c r="BC370" s="2" t="e">
        <f ca="1">_xll.BDH($C$353,"TOTAL_CAPITAL_5_YEAR_GROWTH","FQ2 2017","FQ2 2017","Currency=INR","Period=FQ","BEST_FPERIOD_OVERRIDE=FQ","FILING_STATUS=OR","EQY_CONSOLIDATED=Y","Sort=A","Dates=H","DateFormat=P","Fill=—","Direction=H","UseDPDF=Y")</f>
        <v>#NAME?</v>
      </c>
      <c r="BD370" s="2" t="e">
        <f ca="1">_xll.BDH($C$353,"GEO_GROW_BOOK_VAL","FQ2 2017","FQ2 2017","Currency=INR","Period=FQ","BEST_FPERIOD_OVERRIDE=FQ","FILING_STATUS=OR","EQY_CONSOLIDATED=Y","Sort=A","Dates=H","DateFormat=P","Fill=—","Direction=H","UseDPDF=Y")</f>
        <v>#NAME?</v>
      </c>
      <c r="BE370" s="2" t="e">
        <f ca="1">_xll.BDH($C$353,"GEO_GROW_CASH_OPER_ACT","FQ2 2017","FQ2 2017","Currency=INR","Period=FQ","BEST_FPERIOD_OVERRIDE=FQ","FILING_STATUS=OR","EQY_CONSOLIDATED=Y","Sort=A","Dates=H","DateFormat=P","Fill=—","Direction=H","UseDPDF=Y")</f>
        <v>#NAME?</v>
      </c>
      <c r="BF370" s="2" t="e">
        <f ca="1">_xll.BDH($C$353,"REVENUE_SEQUENTIAL_GROWTH","FQ2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70" s="2" t="e">
        <f ca="1">_xll.BDH($C$353,"EBITDA_SEQUENTIAL_GROWTH","FQ2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70" s="2" t="e">
        <f ca="1">_xll.BDH($C$353,"OPERATING_INCOME_SEQ_GROWTH","FQ2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70" s="2" t="e">
        <f ca="1">_xll.BDH($C$353,"NET_INCOME_TO_COMMON_SEQ_GROWTH","FQ2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70" s="2" t="e">
        <f ca="1">_xll.BDH($C$353,"EPS_DILUTED_SEQUENTIAL_GROWTH","FQ2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70" s="2" t="e">
        <f ca="1">_xll.BDH($C$353,"DPS_SEQUENTIAL_GROWTH","FQ2 2017","FQ2 2017","Currency=INR","Period=FQ","BEST_FPERIOD_OVERRIDE=FQ","FILING_STATUS=OR","EQY_CONSOLIDATED=Y","Sort=A","Dates=H","DateFormat=P","Fill=—","Direction=H","UseDPDF=Y")</f>
        <v>#NAME?</v>
      </c>
      <c r="BL370" s="2" t="e">
        <f ca="1">_xll.BDH($C$353,"ACCOUNTS_RECEIVABLE_SEQ_GROWTH","FQ2 2017","FQ2 2017","Currency=INR","Period=FQ","BEST_FPERIOD_OVERRIDE=FQ","FILING_STATUS=OR","EQY_CONSOLIDATED=Y","Sort=A","Dates=H","DateFormat=P","Fill=—","Direction=H","UseDPDF=Y")</f>
        <v>#NAME?</v>
      </c>
      <c r="BM370" s="2" t="e">
        <f ca="1">_xll.BDH($C$353,"INVENTORY_SEQUENTIAL_GROWTH","FQ2 2017","FQ2 2017","Currency=INR","Period=FQ","BEST_FPERIOD_OVERRIDE=FQ","FILING_STATUS=OR","EQY_CONSOLIDATED=Y","Sort=A","Dates=H","DateFormat=P","Fill=—","Direction=H","UseDPDF=Y")</f>
        <v>#NAME?</v>
      </c>
      <c r="BN370" s="2" t="e">
        <f ca="1">_xll.BDH($C$353,"FIXED_ASSETS_SEQUENTIAL_GROWTH","FQ2 2017","FQ2 2017","Currency=INR","Period=FQ","BEST_FPERIOD_OVERRIDE=FQ","FILING_STATUS=OR","EQY_CONSOLIDATED=Y","Sort=A","Dates=H","DateFormat=P","Fill=—","Direction=H","UseDPDF=Y")</f>
        <v>#NAME?</v>
      </c>
      <c r="BO370" s="2" t="e">
        <f ca="1">_xll.BDH($C$353,"TOTAL_ASSETS_SEQUENTIAL_GROWTH","FQ2 2017","FQ2 2017","Currency=INR","Period=FQ","BEST_FPERIOD_OVERRIDE=FQ","FILING_STATUS=OR","EQY_CONSOLIDATED=Y","Sort=A","Dates=H","DateFormat=P","Fill=—","Direction=H","UseDPDF=Y")</f>
        <v>#NAME?</v>
      </c>
      <c r="BP370" s="2" t="e">
        <f ca="1">_xll.BDH($C$353,"MODIFIED_WORKING_CPTL_SEQ_GRWTH","FQ2 2017","FQ2 2017","Currency=INR","Period=FQ","BEST_FPERIOD_OVERRIDE=FQ","FILING_STATUS=OR","EQY_CONSOLIDATED=Y","Sort=A","Dates=H","DateFormat=P","Fill=—","Direction=H","UseDPDF=Y")</f>
        <v>#NAME?</v>
      </c>
      <c r="BQ370" s="2" t="e">
        <f ca="1">_xll.BDH($C$353,"WORKING_CAPITAL_SEQ_GROWTH","FQ2 2017","FQ2 2017","Currency=INR","Period=FQ","BEST_FPERIOD_OVERRIDE=FQ","FILING_STATUS=OR","EQY_CONSOLIDATED=Y","Sort=A","Dates=H","DateFormat=P","Fill=—","Direction=H","UseDPDF=Y")</f>
        <v>#NAME?</v>
      </c>
      <c r="BR370" s="2" t="e">
        <f ca="1">_xll.BDH($C$353,"ACCOUNTS_PAYABLE_SEQ_GROWTH","FQ2 2017","FQ2 2017","Currency=INR","Period=FQ","BEST_FPERIOD_OVERRIDE=FQ","FILING_STATUS=OR","EQY_CONSOLIDATED=Y","Sort=A","Dates=H","DateFormat=P","Fill=—","Direction=H","UseDPDF=Y")</f>
        <v>#NAME?</v>
      </c>
      <c r="BS370" s="2" t="e">
        <f ca="1">_xll.BDH($C$353,"ST_DEBT_SEQUENTIAL_GROWTH","FQ2 2017","FQ2 2017","Currency=INR","Period=FQ","BEST_FPERIOD_OVERRIDE=FQ","FILING_STATUS=OR","EQY_CONSOLIDATED=Y","Sort=A","Dates=H","DateFormat=P","Fill=—","Direction=H","UseDPDF=Y")</f>
        <v>#NAME?</v>
      </c>
      <c r="BT370" s="2" t="e">
        <f ca="1">_xll.BDH($C$353,"TOTAL_DEBT_SEQUENTIAL_GROWTH","FQ2 2017","FQ2 2017","Currency=INR","Period=FQ","BEST_FPERIOD_OVERRIDE=FQ","FILING_STATUS=OR","EQY_CONSOLIDATED=Y","Sort=A","Dates=H","DateFormat=P","Fill=—","Direction=H","UseDPDF=Y")</f>
        <v>#NAME?</v>
      </c>
      <c r="BU370" s="2" t="e">
        <f ca="1">_xll.BDH($C$353,"TOTAL_EQUITY_SEQUENTIAL_GROWTH","FQ2 2017","FQ2 2017","Currency=INR","Period=FQ","BEST_FPERIOD_OVERRIDE=FQ","FILING_STATUS=OR","EQY_CONSOLIDATED=Y","Sort=A","Dates=H","DateFormat=P","Fill=—","Direction=H","UseDPDF=Y")</f>
        <v>#NAME?</v>
      </c>
      <c r="BV370" s="2" t="e">
        <f ca="1">_xll.BDH($C$353,"TOTAL_CAPITAL_SEQUENTIAL_GROWTH","FQ2 2017","FQ2 2017","Currency=INR","Period=FQ","BEST_FPERIOD_OVERRIDE=FQ","FILING_STATUS=OR","EQY_CONSOLIDATED=Y","Sort=A","Dates=H","DateFormat=P","Fill=—","Direction=H","UseDPDF=Y")</f>
        <v>#NAME?</v>
      </c>
      <c r="BW370" s="2" t="e">
        <f ca="1">_xll.BDH($C$353,"BPS_SEQUENTIAL_GROWTH","FQ2 2017","FQ2 2017","Currency=INR","Period=FQ","BEST_FPERIOD_OVERRIDE=FQ","FILING_STATUS=OR","EQY_CONSOLIDATED=Y","Sort=A","Dates=H","DateFormat=P","Fill=—","Direction=H","UseDPDF=Y")</f>
        <v>#NAME?</v>
      </c>
      <c r="BX370" s="2" t="e">
        <f ca="1">_xll.BDH($C$353,"CFO_SEQUENTIAL_GROWTH","FQ2 2017","FQ2 2017","Currency=INR","Period=FQ","BEST_FPERIOD_OVERRIDE=FQ","FILING_STATUS=OR","EQY_CONSOLIDATED=Y","Sort=A","Dates=H","DateFormat=P","Fill=—","Direction=H","UseDPDF=Y")</f>
        <v>#NAME?</v>
      </c>
      <c r="BY370" s="3" t="e">
        <f ca="1">_xll.BDH($C$353,"SHORT_AND_LONG_TERM_DEBT","FQ2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70" s="3" t="e">
        <f ca="1">_xll.BDH($C$353,"BS_ST_BORROW","FQ2 2017","FQ2 2017","Currency=INR","Period=FQ","BEST_FPERIOD_OVERRIDE=FQ","FILING_STATUS=OR","EQY_CONSOLIDATED=Y","SCALING_FORMAT=MLN","Sort=A","Dates=H","DateFormat=P","Fill=—","Direction=H","UseDPDF=Y")</f>
        <v>#NAME?</v>
      </c>
      <c r="CA370" s="3" t="e">
        <f ca="1">_xll.BDH($C$353,"BS_LT_BORROW","FQ2 2017","FQ2 2017","Currency=INR","Period=FQ","BEST_FPERIOD_OVERRIDE=FQ","FILING_STATUS=OR","EQY_CONSOLIDATED=Y","SCALING_FORMAT=MLN","Sort=A","Dates=H","DateFormat=P","Fill=—","Direction=H","UseDPDF=Y")</f>
        <v>#NAME?</v>
      </c>
      <c r="CB370" s="2" t="e">
        <f ca="1">_xll.BDH($C$353,"TOT_DEBT_TO_EBITDA","FQ2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70" s="2" t="e">
        <f ca="1">_xll.BDH($C$353,"NET_DEBT_TO_EBITDA","FQ2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70" s="2" t="e">
        <f ca="1">_xll.BDH($C$353,"TOTAL_DEBT_TO_EBIT","FQ2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70" s="2" t="e">
        <f ca="1">_xll.BDH($C$353,"NET_DEBT_TO_EBIT","FQ2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370" s="2" t="e">
        <f ca="1">_xll.BDH($C$353,"EBITDA_TO_INTEREST_EXPN","FQ2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70" s="2" t="e">
        <f ca="1">_xll.BDH($C$353,"COM_EQY_TO_TOT_ASSET","FQ2 2017","FQ2 2017","Currency=INR","Period=FQ","BEST_FPERIOD_OVERRIDE=FQ","FILING_STATUS=OR","EQY_CONSOLIDATED=Y","Sort=A","Dates=H","DateFormat=P","Fill=—","Direction=H","UseDPDF=Y")</f>
        <v>#NAME?</v>
      </c>
      <c r="CH370" s="2" t="e">
        <f ca="1">_xll.BDH($C$353,"LT_DEBT_TO_TOT_EQY","FQ2 2017","FQ2 2017","Currency=INR","Period=FQ","BEST_FPERIOD_OVERRIDE=FQ","FILING_STATUS=OR","EQY_CONSOLIDATED=Y","Sort=A","Dates=H","DateFormat=P","Fill=—","Direction=H","UseDPDF=Y")</f>
        <v>#NAME?</v>
      </c>
      <c r="CI370" s="2" t="e">
        <f ca="1">_xll.BDH($C$353,"LT_DEBT_TO_TOT_CAP","FQ2 2017","FQ2 2017","Currency=INR","Period=FQ","BEST_FPERIOD_OVERRIDE=FQ","FILING_STATUS=OR","EQY_CONSOLIDATED=Y","Sort=A","Dates=H","DateFormat=P","Fill=—","Direction=H","UseDPDF=Y")</f>
        <v>#NAME?</v>
      </c>
      <c r="CJ370" s="2" t="e">
        <f ca="1">_xll.BDH($C$353,"LT_DEBT_TO_TOT_ASSET","FQ2 2017","FQ2 2017","Currency=INR","Period=FQ","BEST_FPERIOD_OVERRIDE=FQ","FILING_STATUS=OR","EQY_CONSOLIDATED=Y","Sort=A","Dates=H","DateFormat=P","Fill=—","Direction=H","UseDPDF=Y")</f>
        <v>#NAME?</v>
      </c>
      <c r="CK370" s="2" t="e">
        <f ca="1">_xll.BDH($C$353,"TOT_DEBT_TO_TOT_EQY","FQ2 2017","FQ2 2017","Currency=INR","Period=FQ","BEST_FPERIOD_OVERRIDE=FQ","FILING_STATUS=OR","EQY_CONSOLIDATED=Y","Sort=A","Dates=H","DateFormat=P","Fill=—","Direction=H","UseDPDF=Y")</f>
        <v>#NAME?</v>
      </c>
      <c r="CL370" s="2" t="e">
        <f ca="1">_xll.BDH($C$353,"TOT_DEBT_TO_TOT_CAP","FQ2 2017","FQ2 2017","Currency=INR","Period=FQ","BEST_FPERIOD_OVERRIDE=FQ","FILING_STATUS=OR","EQY_CONSOLIDATED=Y","Sort=A","Dates=H","DateFormat=P","Fill=—","Direction=H","UseDPDF=Y")</f>
        <v>#NAME?</v>
      </c>
      <c r="CM370" s="2" t="e">
        <f ca="1">_xll.BDH($C$353,"TOT_DEBT_TO_TOT_ASSET","FQ2 2017","FQ2 2017","Currency=INR","Period=FQ","BEST_FPERIOD_OVERRIDE=FQ","FILING_STATUS=OR","EQY_CONSOLIDATED=Y","Sort=A","Dates=H","DateFormat=P","Fill=—","Direction=H","UseDPDF=Y")</f>
        <v>#NAME?</v>
      </c>
      <c r="CN370" s="2" t="e">
        <f ca="1">_xll.BDH($C$353,"NET_DEBT_TO_SHRHLDR_EQTY","FQ2 2017","FQ2 2017","Currency=INR","Period=FQ","BEST_FPERIOD_OVERRIDE=FQ","FILING_STATUS=OR","EQY_CONSOLIDATED=Y","Sort=A","Dates=H","DateFormat=P","Fill=—","Direction=H","UseDPDF=Y")</f>
        <v>#NAME?</v>
      </c>
      <c r="CO370" s="2" t="e">
        <f ca="1">_xll.BDH($C$353,"NET_DEBT_%_CAPITAL","FQ2 2017","FQ2 2017","Currency=INR","Period=FQ","BEST_FPERIOD_OVERRIDE=FQ","FILING_STATUS=OR","EQY_CONSOLIDATED=Y","Sort=A","Dates=H","DateFormat=P","Fill=—","Direction=H","UseDPDF=Y")</f>
        <v>#NAME?</v>
      </c>
      <c r="CP370" s="3" t="e">
        <f ca="1">_xll.BDH($C$353,"EBITDA","FQ2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70" s="3" t="e">
        <f ca="1">_xll.BDH($C$353,"EBITDA_AFTER_CAPEX","FQ2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70" s="3" t="e">
        <f ca="1">_xll.BDH($C$353,"IS_OPER_INC","FQ2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70" s="2" t="e">
        <f ca="1">_xll.BDH($C$353,"CASH_RATIO","FQ2 2017","FQ2 2017","Currency=INR","Period=FQ","BEST_FPERIOD_OVERRIDE=FQ","FILING_STATUS=OR","EQY_CONSOLIDATED=Y","Sort=A","Dates=H","DateFormat=P","Fill=—","Direction=H","UseDPDF=Y")</f>
        <v>#NAME?</v>
      </c>
      <c r="CT370" s="2" t="e">
        <f ca="1">_xll.BDH($C$353,"CUR_RATIO","FQ2 2017","FQ2 2017","Currency=INR","Period=FQ","BEST_FPERIOD_OVERRIDE=FQ","FILING_STATUS=OR","EQY_CONSOLIDATED=Y","Sort=A","Dates=H","DateFormat=P","Fill=—","Direction=H","UseDPDF=Y")</f>
        <v>#NAME?</v>
      </c>
      <c r="CU370" s="2" t="e">
        <f ca="1">_xll.BDH($C$353,"QUICK_RATIO","FQ2 2017","FQ2 2017","Currency=INR","Period=FQ","BEST_FPERIOD_OVERRIDE=FQ","FILING_STATUS=OR","EQY_CONSOLIDATED=Y","Sort=A","Dates=H","DateFormat=P","Fill=—","Direction=H","UseDPDF=Y")</f>
        <v>#NAME?</v>
      </c>
      <c r="CV370" s="2" t="e">
        <f ca="1">_xll.BDH($C$353,"ALTMAN_Z_SCORE","FQ2 2017","FQ2 2017","Currency=INR","Period=FQ","BEST_FPERIOD_OVERRIDE=FQ","FILING_STATUS=OR","EQY_CONSOLIDATED=Y","Sort=A","Dates=H","DateFormat=P","Fill=—","Direction=H","UseDPDF=Y")</f>
        <v>#NAME?</v>
      </c>
      <c r="CW370" s="4" t="e">
        <f ca="1">_xll.BDH($C$353,"ACCT_RCV_TURN","FQ2 2017","FQ2 2017","Currency=INR","Period=FQ","BEST_FPERIOD_OVERRIDE=FQ","FILING_STATUS=OR","EQY_CONSOLIDATED=Y","FA_ADJUSTED=GAAP","Sort=A","Dates=H","DateFormat=P","Fill=—","Direction=H","UseDPDF=Y")</f>
        <v>#NAME?</v>
      </c>
      <c r="CX370" s="2" t="e">
        <f ca="1">_xll.BDH($C$353,"ACCT_RCV_DAYS","FQ2 2017","FQ2 2017","Currency=INR","Period=FQ","BEST_FPERIOD_OVERRIDE=FQ","FILING_STATUS=OR","EQY_CONSOLIDATED=Y","FA_ADJUSTED=GAAP","Sort=A","Dates=H","DateFormat=P","Fill=—","Direction=H","UseDPDF=Y")</f>
        <v>#NAME?</v>
      </c>
      <c r="CY370" s="4" t="e">
        <f ca="1">_xll.BDH($C$353,"INVENT_TURN","FQ2 2017","FQ2 2017","Currency=INR","Period=FQ","BEST_FPERIOD_OVERRIDE=FQ","FILING_STATUS=OR","EQY_CONSOLIDATED=Y","FA_ADJUSTED=GAAP","Sort=A","Dates=H","DateFormat=P","Fill=—","Direction=H","UseDPDF=Y")</f>
        <v>#NAME?</v>
      </c>
      <c r="CZ370" s="2" t="e">
        <f ca="1">_xll.BDH($C$353,"INVENT_DAYS","FQ2 2017","FQ2 2017","Currency=INR","Period=FQ","BEST_FPERIOD_OVERRIDE=FQ","FILING_STATUS=OR","EQY_CONSOLIDATED=Y","FA_ADJUSTED=GAAP","Sort=A","Dates=H","DateFormat=P","Fill=—","Direction=H","UseDPDF=Y")</f>
        <v>#NAME?</v>
      </c>
      <c r="DA370" s="4" t="e">
        <f ca="1">_xll.BDH($C$353,"ACCOUNTS_PAYABLE_TURNOVER","FQ2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70" s="2" t="e">
        <f ca="1">_xll.BDH($C$353,"ACCOUNTS_PAYABLE_TURNOVER_DAYS","FQ2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70" s="4" t="e">
        <f ca="1">_xll.BDH($C$353,"CASH_CONVERSION_CYCLE","FQ2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70" s="4" t="e">
        <f ca="1">_xll.BDH($C$353,"INV_TO_CASH_DAYS","FQ2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370" s="5" t="e">
        <f ca="1">_xll.BDH($C$353,"BS_INVENTORIES","FQ2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370" s="3" t="e">
        <f ca="1">_xll.BDH($C$353,"INVTRY_RAW_MATERIALS","FQ2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70" s="3" t="e">
        <f ca="1">_xll.BDH($C$353,"INVTRY_IN_PROGRESS","FQ2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70" s="3" t="e">
        <f ca="1">_xll.BDH($C$353,"INVTRY_FINISHED_GOODS","FQ2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70" s="3" t="e">
        <f ca="1">_xll.BDH($C$353,"BS_OTHER_INV","FQ2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71" spans="1:113" x14ac:dyDescent="0.3">
      <c r="A371" s="6"/>
      <c r="B371" s="6"/>
      <c r="C371" s="6"/>
      <c r="D371" s="6"/>
      <c r="E371" t="s">
        <v>80</v>
      </c>
      <c r="F371" t="e">
        <f ca="1">_xll.BDH($C$353,"RETURN_COM_EQY","FQ3 2017","FQ3 2017","Currency=INR","Period=FQ","BEST_FPERIOD_OVERRIDE=FQ","FILING_STATUS=OR","EQY_CONSOLIDATED=Y","FA_ADJUSTED=GAAP","Sort=A","Dates=H","DateFormat=P","Fill=—","Direction=H","UseDPDF=Y")</f>
        <v>#NAME?</v>
      </c>
      <c r="G371" t="e">
        <f ca="1">_xll.BDH($C$353,"RETURN_ON_ASSET","FQ3 2017","FQ3 2017","Currency=INR","Period=FQ","BEST_FPERIOD_OVERRIDE=FQ","FILING_STATUS=OR","EQY_CONSOLIDATED=Y","FA_ADJUSTED=GAAP","Sort=A","Dates=H","DateFormat=P","Fill=—","Direction=H","UseDPDF=Y")</f>
        <v>#NAME?</v>
      </c>
      <c r="H371" t="e">
        <f ca="1">_xll.BDH($C$353,"RETURN_ON_CAP","FQ3 2017","FQ3 2017","Currency=INR","Period=FQ","BEST_FPERIOD_OVERRIDE=FQ","FILING_STATUS=OR","EQY_CONSOLIDATED=Y","FA_ADJUSTED=GAAP","Sort=A","Dates=H","DateFormat=P","Fill=—","Direction=H","UseDPDF=Y")</f>
        <v>#NAME?</v>
      </c>
      <c r="I371" t="e">
        <f ca="1">_xll.BDH($C$353,"RETURN_ON_INV_CAPITAL","FQ3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71" t="e">
        <f ca="1">_xll.BDH($C$353,"EBITDA_TO_REVENUE","FQ3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371" t="e">
        <f ca="1">_xll.BDH($C$353,"OPER_MARGIN","FQ3 2017","FQ3 2017","Currency=INR","Period=FQ","BEST_FPERIOD_OVERRIDE=FQ","FILING_STATUS=OR","EQY_CONSOLIDATED=Y","FA_ADJUSTED=GAAP","Sort=A","Dates=H","DateFormat=P","Fill=—","Direction=H","UseDPDF=Y")</f>
        <v>#NAME?</v>
      </c>
      <c r="L371" t="e">
        <f ca="1">_xll.BDH($C$353,"INCREMENTAL_OPERATING_MARGIN","FQ3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71" t="e">
        <f ca="1">_xll.BDH($C$353,"PRETAX_INC_TO_NET_SALES","FQ3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71" t="e">
        <f ca="1">_xll.BDH($C$353,"INC_BEF_XO_ITEMS_TO_NET_SALES","FQ3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71" t="e">
        <f ca="1">_xll.BDH($C$353,"PROF_MARGIN","FQ3 2017","FQ3 2017","Currency=INR","Period=FQ","BEST_FPERIOD_OVERRIDE=FQ","FILING_STATUS=OR","EQY_CONSOLIDATED=Y","FA_ADJUSTED=GAAP","Sort=A","Dates=H","DateFormat=P","Fill=—","Direction=H","UseDPDF=Y")</f>
        <v>#NAME?</v>
      </c>
      <c r="P371" t="e">
        <f ca="1">_xll.BDH($C$353,"NET_INCOME_TO_COMMON_MARGIN","FQ3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71" t="e">
        <f ca="1">_xll.BDH($C$353,"EFF_TAX_RATE","FQ3 2017","FQ3 2017","Currency=INR","Period=FQ","BEST_FPERIOD_OVERRIDE=FQ","FILING_STATUS=OR","EQY_CONSOLIDATED=Y","FA_ADJUSTED=GAAP","Sort=A","Dates=H","DateFormat=P","Fill=—","Direction=H","UseDPDF=Y")</f>
        <v>#NAME?</v>
      </c>
      <c r="R371" t="e">
        <f ca="1">_xll.BDH($C$353,"DVD_PAYOUT_RATIO","FQ3 2017","FQ3 2017","Currency=INR","Period=FQ","BEST_FPERIOD_OVERRIDE=FQ","FILING_STATUS=OR","EQY_CONSOLIDATED=Y","FA_ADJUSTED=GAAP","Sort=A","Dates=H","DateFormat=P","Fill=—","Direction=H","UseDPDF=Y")</f>
        <v>#NAME?</v>
      </c>
      <c r="S371" t="e">
        <f ca="1">_xll.BDH($C$353,"SUSTAIN_GROWTH_RT","FQ3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371" s="2" t="e">
        <f ca="1">_xll.BDH($C$353,"SALES_GROWTH","FQ3 2017","FQ3 2017","Currency=INR","Period=FQ","BEST_FPERIOD_OVERRIDE=FQ","FILING_STATUS=OR","EQY_CONSOLIDATED=Y","FA_ADJUSTED=GAAP","Sort=A","Dates=H","DateFormat=P","Fill=—","Direction=H","UseDPDF=Y")</f>
        <v>#NAME?</v>
      </c>
      <c r="U371" s="2" t="e">
        <f ca="1">_xll.BDH($C$353,"EBITDA_GROWTH","FQ3 2017","FQ3 2017","Currency=INR","Period=FQ","BEST_FPERIOD_OVERRIDE=FQ","FILING_STATUS=OR","EQY_CONSOLIDATED=Y","FA_ADJUSTED=GAAP","Sort=A","Dates=H","DateFormat=P","Fill=—","Direction=H","UseDPDF=Y")</f>
        <v>#NAME?</v>
      </c>
      <c r="V371" s="2" t="e">
        <f ca="1">_xll.BDH($C$353,"OPER_INC_GROWTH","FQ3 2017","FQ3 2017","Currency=INR","Period=FQ","BEST_FPERIOD_OVERRIDE=FQ","FILING_STATUS=OR","EQY_CONSOLIDATED=Y","FA_ADJUSTED=GAAP","Sort=A","Dates=H","DateFormat=P","Fill=—","Direction=H","UseDPDF=Y")</f>
        <v>#NAME?</v>
      </c>
      <c r="W371" s="2" t="e">
        <f ca="1">_xll.BDH($C$353,"EARN_FOR_COM_GROWTH","FQ3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71" s="2" t="e">
        <f ca="1">_xll.BDH($C$353,"DILUTED_EPS_AFT_XO_ITEMS_GROWTH","FQ3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71" s="2" t="e">
        <f ca="1">_xll.BDH($C$353,"DIVIDEND_PER_SHARE_1_YEAR_GROWTH","FQ3 2017","FQ3 2017","Currency=INR","Period=FQ","BEST_FPERIOD_OVERRIDE=FQ","FILING_STATUS=OR","EQY_CONSOLIDATED=Y","Sort=A","Dates=H","DateFormat=P","Fill=—","Direction=H","UseDPDF=Y")</f>
        <v>#NAME?</v>
      </c>
      <c r="Z371" s="2" t="e">
        <f ca="1">_xll.BDH($C$353,"ACCOUNTS_RECEIVABLE_GROWTH","FQ3 2017","FQ3 2017","Currency=INR","Period=FQ","BEST_FPERIOD_OVERRIDE=FQ","FILING_STATUS=OR","EQY_CONSOLIDATED=Y","Sort=A","Dates=H","DateFormat=P","Fill=—","Direction=H","UseDPDF=Y")</f>
        <v>#NAME?</v>
      </c>
      <c r="AA371" s="2" t="e">
        <f ca="1">_xll.BDH($C$353,"INVENTORY_GROWTH","FQ3 2017","FQ3 2017","Currency=INR","Period=FQ","BEST_FPERIOD_OVERRIDE=FQ","FILING_STATUS=OR","EQY_CONSOLIDATED=Y","Sort=A","Dates=H","DateFormat=P","Fill=—","Direction=H","UseDPDF=Y")</f>
        <v>#NAME?</v>
      </c>
      <c r="AB371" s="2" t="e">
        <f ca="1">_xll.BDH($C$353,"NET_FIXED_ASSETS_1_YEAR_GROWTH","FQ3 2017","FQ3 2017","Currency=INR","Period=FQ","BEST_FPERIOD_OVERRIDE=FQ","FILING_STATUS=OR","EQY_CONSOLIDATED=Y","Sort=A","Dates=H","DateFormat=P","Fill=—","Direction=H","UseDPDF=Y")</f>
        <v>#NAME?</v>
      </c>
      <c r="AC371" s="2" t="e">
        <f ca="1">_xll.BDH($C$353,"ASSET_GROWTH","FQ3 2017","FQ3 2017","Currency=INR","Period=FQ","BEST_FPERIOD_OVERRIDE=FQ","FILING_STATUS=OR","EQY_CONSOLIDATED=Y","Sort=A","Dates=H","DateFormat=P","Fill=—","Direction=H","UseDPDF=Y")</f>
        <v>#NAME?</v>
      </c>
      <c r="AD371" s="2" t="e">
        <f ca="1">_xll.BDH($C$353,"MODIFIED_WORK_CAP_GROWTH","FQ3 2017","FQ3 2017","Currency=INR","Period=FQ","BEST_FPERIOD_OVERRIDE=FQ","FILING_STATUS=OR","EQY_CONSOLIDATED=Y","Sort=A","Dates=H","DateFormat=P","Fill=—","Direction=H","UseDPDF=Y")</f>
        <v>#NAME?</v>
      </c>
      <c r="AE371" s="2" t="e">
        <f ca="1">_xll.BDH($C$353,"WORK_CAP_GROWTH","FQ3 2017","FQ3 2017","Currency=INR","Period=FQ","BEST_FPERIOD_OVERRIDE=FQ","FILING_STATUS=OR","EQY_CONSOLIDATED=Y","Sort=A","Dates=H","DateFormat=P","Fill=—","Direction=H","UseDPDF=Y")</f>
        <v>#NAME?</v>
      </c>
      <c r="AF371" s="2" t="e">
        <f ca="1">_xll.BDH($C$353,"ACCOUNTS_PAYABLE_GROWTH_1YR","FQ3 2017","FQ3 2017","Currency=INR","Period=FQ","BEST_FPERIOD_OVERRIDE=FQ","FILING_STATUS=OR","EQY_CONSOLIDATED=Y","Sort=A","Dates=H","DateFormat=P","Fill=—","Direction=H","UseDPDF=Y")</f>
        <v>#NAME?</v>
      </c>
      <c r="AG371" s="2" t="e">
        <f ca="1">_xll.BDH($C$353,"SHORT_TERM_DEBT_1_YEAR_GROWTH","FQ3 2017","FQ3 2017","Currency=INR","Period=FQ","BEST_FPERIOD_OVERRIDE=FQ","FILING_STATUS=OR","EQY_CONSOLIDATED=Y","Sort=A","Dates=H","DateFormat=P","Fill=—","Direction=H","UseDPDF=Y")</f>
        <v>#NAME?</v>
      </c>
      <c r="AH371" s="2" t="e">
        <f ca="1">_xll.BDH($C$353,"TOTAL_DEBT_1_YEAR_GROWTH","FQ3 2017","FQ3 2017","Currency=INR","Period=FQ","BEST_FPERIOD_OVERRIDE=FQ","FILING_STATUS=OR","EQY_CONSOLIDATED=Y","Sort=A","Dates=H","DateFormat=P","Fill=—","Direction=H","UseDPDF=Y")</f>
        <v>#NAME?</v>
      </c>
      <c r="AI371" s="2" t="e">
        <f ca="1">_xll.BDH($C$353,"TOTAL_EQUITY_1_YEAR_GROWTH","FQ3 2017","FQ3 2017","Currency=INR","Period=FQ","BEST_FPERIOD_OVERRIDE=FQ","FILING_STATUS=OR","EQY_CONSOLIDATED=Y","Sort=A","Dates=H","DateFormat=P","Fill=—","Direction=H","UseDPDF=Y")</f>
        <v>#NAME?</v>
      </c>
      <c r="AJ371" s="2" t="e">
        <f ca="1">_xll.BDH($C$353,"GROWTH_IN_CAP","FQ3 2017","FQ3 2017","Currency=INR","Period=FQ","BEST_FPERIOD_OVERRIDE=FQ","FILING_STATUS=OR","EQY_CONSOLIDATED=Y","Sort=A","Dates=H","DateFormat=P","Fill=—","Direction=H","UseDPDF=Y")</f>
        <v>#NAME?</v>
      </c>
      <c r="AK371" s="2" t="e">
        <f ca="1">_xll.BDH($C$353,"BVPS_GROWTH","FQ3 2017","FQ3 2017","Currency=INR","Period=FQ","BEST_FPERIOD_OVERRIDE=FQ","FILING_STATUS=OR","EQY_CONSOLIDATED=Y","Sort=A","Dates=H","DateFormat=P","Fill=—","Direction=H","UseDPDF=Y")</f>
        <v>#NAME?</v>
      </c>
      <c r="AL371" s="2" t="e">
        <f ca="1">_xll.BDH($C$353,"CASH_FLOW_GROWTH","FQ3 2017","FQ3 2017","Currency=INR","Period=FQ","BEST_FPERIOD_OVERRIDE=FQ","FILING_STATUS=OR","EQY_CONSOLIDATED=Y","Sort=A","Dates=H","DateFormat=P","Fill=—","Direction=H","UseDPDF=Y")</f>
        <v>#NAME?</v>
      </c>
      <c r="AM371" s="2" t="e">
        <f ca="1">_xll.BDH($C$353,"GEO_GROW_NET_SALES","FQ3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71" s="2" t="e">
        <f ca="1">_xll.BDH($C$353,"GEO_GROW_EBITDA","FQ3 2017","FQ3 2017","Currency=INR","Period=FQ","BEST_FPERIOD_OVERRIDE=FQ","FILING_STATUS=OR","EQY_CONSOLIDATED=Y","FA_ADJUSTED=GAAP","Sort=A","Dates=H","DateFormat=P","Fill=—","Direction=H","UseDPDF=Y")</f>
        <v>#NAME?</v>
      </c>
      <c r="AO371" s="2" t="e">
        <f ca="1">_xll.BDH($C$353,"GEO_GROW_OPER_INC","FQ3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71" s="2" t="e">
        <f ca="1">_xll.BDH($C$353,"NET_INCOME_TO_COMMON_5_YR_GROWTH","FQ3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71" s="2" t="e">
        <f ca="1">_xll.BDH($C$353,"5Y_GEO_GROWTH_DILUTED_EPS","FQ3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71" s="2" t="e">
        <f ca="1">_xll.BDH($C$353,"GEO_GROW_DVD_PER_SH","FQ3 2017","FQ3 2017","Currency=INR","Period=FQ","BEST_FPERIOD_OVERRIDE=FQ","FILING_STATUS=OR","EQY_CONSOLIDATED=Y","Sort=A","Dates=H","DateFormat=P","Fill=—","Direction=H","UseDPDF=Y")</f>
        <v>#NAME?</v>
      </c>
      <c r="AS371" s="2" t="e">
        <f ca="1">_xll.BDH($C$353,"ACCOUNTS_RECEIVABLE_5_YR_GROWTH","FQ3 2017","FQ3 2017","Currency=INR","Period=FQ","BEST_FPERIOD_OVERRIDE=FQ","FILING_STATUS=OR","EQY_CONSOLIDATED=Y","Sort=A","Dates=H","DateFormat=P","Fill=—","Direction=H","UseDPDF=Y")</f>
        <v>#NAME?</v>
      </c>
      <c r="AT371" s="2" t="e">
        <f ca="1">_xll.BDH($C$353,"INVENTORY_5_YEAR_GROWTH","FQ3 2017","FQ3 2017","Currency=INR","Period=FQ","BEST_FPERIOD_OVERRIDE=FQ","FILING_STATUS=OR","EQY_CONSOLIDATED=Y","Sort=A","Dates=H","DateFormat=P","Fill=—","Direction=H","UseDPDF=Y")</f>
        <v>#NAME?</v>
      </c>
      <c r="AU371" s="2" t="e">
        <f ca="1">_xll.BDH($C$353,"NET_FIXED_ASSETS_5_YEAR_GROWTH","FQ3 2017","FQ3 2017","Currency=INR","Period=FQ","BEST_FPERIOD_OVERRIDE=FQ","FILING_STATUS=OR","EQY_CONSOLIDATED=Y","Sort=A","Dates=H","DateFormat=P","Fill=—","Direction=H","UseDPDF=Y")</f>
        <v>#NAME?</v>
      </c>
      <c r="AV371" s="2" t="e">
        <f ca="1">_xll.BDH($C$353,"GEO_GROW_TOT_ASSET","FQ3 2017","FQ3 2017","Currency=INR","Period=FQ","BEST_FPERIOD_OVERRIDE=FQ","FILING_STATUS=OR","EQY_CONSOLIDATED=Y","Sort=A","Dates=H","DateFormat=P","Fill=—","Direction=H","UseDPDF=Y")</f>
        <v>#NAME?</v>
      </c>
      <c r="AW371" s="2" t="e">
        <f ca="1">_xll.BDH($C$353,"MODIFIED_WORKING_CPTL_5YR_GRWTH","FQ3 2017","FQ3 2017","Currency=INR","Period=FQ","BEST_FPERIOD_OVERRIDE=FQ","FILING_STATUS=OR","EQY_CONSOLIDATED=Y","Sort=A","Dates=H","DateFormat=P","Fill=—","Direction=H","UseDPDF=Y")</f>
        <v>#NAME?</v>
      </c>
      <c r="AX371" s="2" t="e">
        <f ca="1">_xll.BDH($C$353,"WORKING_CAPITAL_5_YEAR_GROWTH","FQ3 2017","FQ3 2017","Currency=INR","Period=FQ","BEST_FPERIOD_OVERRIDE=FQ","FILING_STATUS=OR","EQY_CONSOLIDATED=Y","Sort=A","Dates=H","DateFormat=P","Fill=—","Direction=H","UseDPDF=Y")</f>
        <v>#NAME?</v>
      </c>
      <c r="AY371" s="2" t="e">
        <f ca="1">_xll.BDH($C$353,"ACCOUNTS_PAYABLE_5_YEAR_GROWTH","FQ3 2017","FQ3 2017","Currency=INR","Period=FQ","BEST_FPERIOD_OVERRIDE=FQ","FILING_STATUS=OR","EQY_CONSOLIDATED=Y","Sort=A","Dates=H","DateFormat=P","Fill=—","Direction=H","UseDPDF=Y")</f>
        <v>#NAME?</v>
      </c>
      <c r="AZ371" s="2" t="e">
        <f ca="1">_xll.BDH($C$353,"SHORT_TERM_DEBT_5_YEAR_GROWTH","FQ3 2017","FQ3 2017","Currency=INR","Period=FQ","BEST_FPERIOD_OVERRIDE=FQ","FILING_STATUS=OR","EQY_CONSOLIDATED=Y","Sort=A","Dates=H","DateFormat=P","Fill=—","Direction=H","UseDPDF=Y")</f>
        <v>#NAME?</v>
      </c>
      <c r="BA371" s="2" t="e">
        <f ca="1">_xll.BDH($C$353,"TOTAL_DEBT_5_YEAR_GROWTH","FQ3 2017","FQ3 2017","Currency=INR","Period=FQ","BEST_FPERIOD_OVERRIDE=FQ","FILING_STATUS=OR","EQY_CONSOLIDATED=Y","Sort=A","Dates=H","DateFormat=P","Fill=—","Direction=H","UseDPDF=Y")</f>
        <v>#NAME?</v>
      </c>
      <c r="BB371" s="2" t="e">
        <f ca="1">_xll.BDH($C$353,"GEO_GROW_TOT_SHRHLDR_EQY","FQ3 2017","FQ3 2017","Currency=INR","Period=FQ","BEST_FPERIOD_OVERRIDE=FQ","FILING_STATUS=OR","EQY_CONSOLIDATED=Y","Sort=A","Dates=H","DateFormat=P","Fill=—","Direction=H","UseDPDF=Y")</f>
        <v>#NAME?</v>
      </c>
      <c r="BC371" s="2" t="e">
        <f ca="1">_xll.BDH($C$353,"TOTAL_CAPITAL_5_YEAR_GROWTH","FQ3 2017","FQ3 2017","Currency=INR","Period=FQ","BEST_FPERIOD_OVERRIDE=FQ","FILING_STATUS=OR","EQY_CONSOLIDATED=Y","Sort=A","Dates=H","DateFormat=P","Fill=—","Direction=H","UseDPDF=Y")</f>
        <v>#NAME?</v>
      </c>
      <c r="BD371" s="2" t="e">
        <f ca="1">_xll.BDH($C$353,"GEO_GROW_BOOK_VAL","FQ3 2017","FQ3 2017","Currency=INR","Period=FQ","BEST_FPERIOD_OVERRIDE=FQ","FILING_STATUS=OR","EQY_CONSOLIDATED=Y","Sort=A","Dates=H","DateFormat=P","Fill=—","Direction=H","UseDPDF=Y")</f>
        <v>#NAME?</v>
      </c>
      <c r="BE371" s="2" t="e">
        <f ca="1">_xll.BDH($C$353,"GEO_GROW_CASH_OPER_ACT","FQ3 2017","FQ3 2017","Currency=INR","Period=FQ","BEST_FPERIOD_OVERRIDE=FQ","FILING_STATUS=OR","EQY_CONSOLIDATED=Y","Sort=A","Dates=H","DateFormat=P","Fill=—","Direction=H","UseDPDF=Y")</f>
        <v>#NAME?</v>
      </c>
      <c r="BF371" s="2" t="e">
        <f ca="1">_xll.BDH($C$353,"REVENUE_SEQUENTIAL_GROWTH","FQ3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71" s="2" t="e">
        <f ca="1">_xll.BDH($C$353,"EBITDA_SEQUENTIAL_GROWTH","FQ3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71" s="2" t="e">
        <f ca="1">_xll.BDH($C$353,"OPERATING_INCOME_SEQ_GROWTH","FQ3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71" s="2" t="e">
        <f ca="1">_xll.BDH($C$353,"NET_INCOME_TO_COMMON_SEQ_GROWTH","FQ3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71" s="2" t="e">
        <f ca="1">_xll.BDH($C$353,"EPS_DILUTED_SEQUENTIAL_GROWTH","FQ3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71" s="2" t="e">
        <f ca="1">_xll.BDH($C$353,"DPS_SEQUENTIAL_GROWTH","FQ3 2017","FQ3 2017","Currency=INR","Period=FQ","BEST_FPERIOD_OVERRIDE=FQ","FILING_STATUS=OR","EQY_CONSOLIDATED=Y","Sort=A","Dates=H","DateFormat=P","Fill=—","Direction=H","UseDPDF=Y")</f>
        <v>#NAME?</v>
      </c>
      <c r="BL371" s="2" t="e">
        <f ca="1">_xll.BDH($C$353,"ACCOUNTS_RECEIVABLE_SEQ_GROWTH","FQ3 2017","FQ3 2017","Currency=INR","Period=FQ","BEST_FPERIOD_OVERRIDE=FQ","FILING_STATUS=OR","EQY_CONSOLIDATED=Y","Sort=A","Dates=H","DateFormat=P","Fill=—","Direction=H","UseDPDF=Y")</f>
        <v>#NAME?</v>
      </c>
      <c r="BM371" s="2" t="e">
        <f ca="1">_xll.BDH($C$353,"INVENTORY_SEQUENTIAL_GROWTH","FQ3 2017","FQ3 2017","Currency=INR","Period=FQ","BEST_FPERIOD_OVERRIDE=FQ","FILING_STATUS=OR","EQY_CONSOLIDATED=Y","Sort=A","Dates=H","DateFormat=P","Fill=—","Direction=H","UseDPDF=Y")</f>
        <v>#NAME?</v>
      </c>
      <c r="BN371" s="2" t="e">
        <f ca="1">_xll.BDH($C$353,"FIXED_ASSETS_SEQUENTIAL_GROWTH","FQ3 2017","FQ3 2017","Currency=INR","Period=FQ","BEST_FPERIOD_OVERRIDE=FQ","FILING_STATUS=OR","EQY_CONSOLIDATED=Y","Sort=A","Dates=H","DateFormat=P","Fill=—","Direction=H","UseDPDF=Y")</f>
        <v>#NAME?</v>
      </c>
      <c r="BO371" s="2" t="e">
        <f ca="1">_xll.BDH($C$353,"TOTAL_ASSETS_SEQUENTIAL_GROWTH","FQ3 2017","FQ3 2017","Currency=INR","Period=FQ","BEST_FPERIOD_OVERRIDE=FQ","FILING_STATUS=OR","EQY_CONSOLIDATED=Y","Sort=A","Dates=H","DateFormat=P","Fill=—","Direction=H","UseDPDF=Y")</f>
        <v>#NAME?</v>
      </c>
      <c r="BP371" s="2" t="e">
        <f ca="1">_xll.BDH($C$353,"MODIFIED_WORKING_CPTL_SEQ_GRWTH","FQ3 2017","FQ3 2017","Currency=INR","Period=FQ","BEST_FPERIOD_OVERRIDE=FQ","FILING_STATUS=OR","EQY_CONSOLIDATED=Y","Sort=A","Dates=H","DateFormat=P","Fill=—","Direction=H","UseDPDF=Y")</f>
        <v>#NAME?</v>
      </c>
      <c r="BQ371" s="2" t="e">
        <f ca="1">_xll.BDH($C$353,"WORKING_CAPITAL_SEQ_GROWTH","FQ3 2017","FQ3 2017","Currency=INR","Period=FQ","BEST_FPERIOD_OVERRIDE=FQ","FILING_STATUS=OR","EQY_CONSOLIDATED=Y","Sort=A","Dates=H","DateFormat=P","Fill=—","Direction=H","UseDPDF=Y")</f>
        <v>#NAME?</v>
      </c>
      <c r="BR371" s="2" t="e">
        <f ca="1">_xll.BDH($C$353,"ACCOUNTS_PAYABLE_SEQ_GROWTH","FQ3 2017","FQ3 2017","Currency=INR","Period=FQ","BEST_FPERIOD_OVERRIDE=FQ","FILING_STATUS=OR","EQY_CONSOLIDATED=Y","Sort=A","Dates=H","DateFormat=P","Fill=—","Direction=H","UseDPDF=Y")</f>
        <v>#NAME?</v>
      </c>
      <c r="BS371" s="2" t="e">
        <f ca="1">_xll.BDH($C$353,"ST_DEBT_SEQUENTIAL_GROWTH","FQ3 2017","FQ3 2017","Currency=INR","Period=FQ","BEST_FPERIOD_OVERRIDE=FQ","FILING_STATUS=OR","EQY_CONSOLIDATED=Y","Sort=A","Dates=H","DateFormat=P","Fill=—","Direction=H","UseDPDF=Y")</f>
        <v>#NAME?</v>
      </c>
      <c r="BT371" s="2" t="e">
        <f ca="1">_xll.BDH($C$353,"TOTAL_DEBT_SEQUENTIAL_GROWTH","FQ3 2017","FQ3 2017","Currency=INR","Period=FQ","BEST_FPERIOD_OVERRIDE=FQ","FILING_STATUS=OR","EQY_CONSOLIDATED=Y","Sort=A","Dates=H","DateFormat=P","Fill=—","Direction=H","UseDPDF=Y")</f>
        <v>#NAME?</v>
      </c>
      <c r="BU371" s="2" t="e">
        <f ca="1">_xll.BDH($C$353,"TOTAL_EQUITY_SEQUENTIAL_GROWTH","FQ3 2017","FQ3 2017","Currency=INR","Period=FQ","BEST_FPERIOD_OVERRIDE=FQ","FILING_STATUS=OR","EQY_CONSOLIDATED=Y","Sort=A","Dates=H","DateFormat=P","Fill=—","Direction=H","UseDPDF=Y")</f>
        <v>#NAME?</v>
      </c>
      <c r="BV371" s="2" t="e">
        <f ca="1">_xll.BDH($C$353,"TOTAL_CAPITAL_SEQUENTIAL_GROWTH","FQ3 2017","FQ3 2017","Currency=INR","Period=FQ","BEST_FPERIOD_OVERRIDE=FQ","FILING_STATUS=OR","EQY_CONSOLIDATED=Y","Sort=A","Dates=H","DateFormat=P","Fill=—","Direction=H","UseDPDF=Y")</f>
        <v>#NAME?</v>
      </c>
      <c r="BW371" s="2" t="e">
        <f ca="1">_xll.BDH($C$353,"BPS_SEQUENTIAL_GROWTH","FQ3 2017","FQ3 2017","Currency=INR","Period=FQ","BEST_FPERIOD_OVERRIDE=FQ","FILING_STATUS=OR","EQY_CONSOLIDATED=Y","Sort=A","Dates=H","DateFormat=P","Fill=—","Direction=H","UseDPDF=Y")</f>
        <v>#NAME?</v>
      </c>
      <c r="BX371" s="2" t="e">
        <f ca="1">_xll.BDH($C$353,"CFO_SEQUENTIAL_GROWTH","FQ3 2017","FQ3 2017","Currency=INR","Period=FQ","BEST_FPERIOD_OVERRIDE=FQ","FILING_STATUS=OR","EQY_CONSOLIDATED=Y","Sort=A","Dates=H","DateFormat=P","Fill=—","Direction=H","UseDPDF=Y")</f>
        <v>#NAME?</v>
      </c>
      <c r="BY371" s="3" t="e">
        <f ca="1">_xll.BDH($C$353,"SHORT_AND_LONG_TERM_DEBT","FQ3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71" s="3" t="e">
        <f ca="1">_xll.BDH($C$353,"BS_ST_BORROW","FQ3 2017","FQ3 2017","Currency=INR","Period=FQ","BEST_FPERIOD_OVERRIDE=FQ","FILING_STATUS=OR","EQY_CONSOLIDATED=Y","SCALING_FORMAT=MLN","Sort=A","Dates=H","DateFormat=P","Fill=—","Direction=H","UseDPDF=Y")</f>
        <v>#NAME?</v>
      </c>
      <c r="CA371" s="3" t="e">
        <f ca="1">_xll.BDH($C$353,"BS_LT_BORROW","FQ3 2017","FQ3 2017","Currency=INR","Period=FQ","BEST_FPERIOD_OVERRIDE=FQ","FILING_STATUS=OR","EQY_CONSOLIDATED=Y","SCALING_FORMAT=MLN","Sort=A","Dates=H","DateFormat=P","Fill=—","Direction=H","UseDPDF=Y")</f>
        <v>#NAME?</v>
      </c>
      <c r="CB371" s="2" t="e">
        <f ca="1">_xll.BDH($C$353,"TOT_DEBT_TO_EBITDA","FQ3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71" s="2" t="e">
        <f ca="1">_xll.BDH($C$353,"NET_DEBT_TO_EBITDA","FQ3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71" s="2" t="e">
        <f ca="1">_xll.BDH($C$353,"TOTAL_DEBT_TO_EBIT","FQ3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71" s="2" t="e">
        <f ca="1">_xll.BDH($C$353,"NET_DEBT_TO_EBIT","FQ3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371" s="2" t="e">
        <f ca="1">_xll.BDH($C$353,"EBITDA_TO_INTEREST_EXPN","FQ3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71" s="2" t="e">
        <f ca="1">_xll.BDH($C$353,"COM_EQY_TO_TOT_ASSET","FQ3 2017","FQ3 2017","Currency=INR","Period=FQ","BEST_FPERIOD_OVERRIDE=FQ","FILING_STATUS=OR","EQY_CONSOLIDATED=Y","Sort=A","Dates=H","DateFormat=P","Fill=—","Direction=H","UseDPDF=Y")</f>
        <v>#NAME?</v>
      </c>
      <c r="CH371" s="2" t="e">
        <f ca="1">_xll.BDH($C$353,"LT_DEBT_TO_TOT_EQY","FQ3 2017","FQ3 2017","Currency=INR","Period=FQ","BEST_FPERIOD_OVERRIDE=FQ","FILING_STATUS=OR","EQY_CONSOLIDATED=Y","Sort=A","Dates=H","DateFormat=P","Fill=—","Direction=H","UseDPDF=Y")</f>
        <v>#NAME?</v>
      </c>
      <c r="CI371" s="2" t="e">
        <f ca="1">_xll.BDH($C$353,"LT_DEBT_TO_TOT_CAP","FQ3 2017","FQ3 2017","Currency=INR","Period=FQ","BEST_FPERIOD_OVERRIDE=FQ","FILING_STATUS=OR","EQY_CONSOLIDATED=Y","Sort=A","Dates=H","DateFormat=P","Fill=—","Direction=H","UseDPDF=Y")</f>
        <v>#NAME?</v>
      </c>
      <c r="CJ371" s="2" t="e">
        <f ca="1">_xll.BDH($C$353,"LT_DEBT_TO_TOT_ASSET","FQ3 2017","FQ3 2017","Currency=INR","Period=FQ","BEST_FPERIOD_OVERRIDE=FQ","FILING_STATUS=OR","EQY_CONSOLIDATED=Y","Sort=A","Dates=H","DateFormat=P","Fill=—","Direction=H","UseDPDF=Y")</f>
        <v>#NAME?</v>
      </c>
      <c r="CK371" s="2" t="e">
        <f ca="1">_xll.BDH($C$353,"TOT_DEBT_TO_TOT_EQY","FQ3 2017","FQ3 2017","Currency=INR","Period=FQ","BEST_FPERIOD_OVERRIDE=FQ","FILING_STATUS=OR","EQY_CONSOLIDATED=Y","Sort=A","Dates=H","DateFormat=P","Fill=—","Direction=H","UseDPDF=Y")</f>
        <v>#NAME?</v>
      </c>
      <c r="CL371" s="2" t="e">
        <f ca="1">_xll.BDH($C$353,"TOT_DEBT_TO_TOT_CAP","FQ3 2017","FQ3 2017","Currency=INR","Period=FQ","BEST_FPERIOD_OVERRIDE=FQ","FILING_STATUS=OR","EQY_CONSOLIDATED=Y","Sort=A","Dates=H","DateFormat=P","Fill=—","Direction=H","UseDPDF=Y")</f>
        <v>#NAME?</v>
      </c>
      <c r="CM371" s="2" t="e">
        <f ca="1">_xll.BDH($C$353,"TOT_DEBT_TO_TOT_ASSET","FQ3 2017","FQ3 2017","Currency=INR","Period=FQ","BEST_FPERIOD_OVERRIDE=FQ","FILING_STATUS=OR","EQY_CONSOLIDATED=Y","Sort=A","Dates=H","DateFormat=P","Fill=—","Direction=H","UseDPDF=Y")</f>
        <v>#NAME?</v>
      </c>
      <c r="CN371" s="2" t="e">
        <f ca="1">_xll.BDH($C$353,"NET_DEBT_TO_SHRHLDR_EQTY","FQ3 2017","FQ3 2017","Currency=INR","Period=FQ","BEST_FPERIOD_OVERRIDE=FQ","FILING_STATUS=OR","EQY_CONSOLIDATED=Y","Sort=A","Dates=H","DateFormat=P","Fill=—","Direction=H","UseDPDF=Y")</f>
        <v>#NAME?</v>
      </c>
      <c r="CO371" s="2" t="e">
        <f ca="1">_xll.BDH($C$353,"NET_DEBT_%_CAPITAL","FQ3 2017","FQ3 2017","Currency=INR","Period=FQ","BEST_FPERIOD_OVERRIDE=FQ","FILING_STATUS=OR","EQY_CONSOLIDATED=Y","Sort=A","Dates=H","DateFormat=P","Fill=—","Direction=H","UseDPDF=Y")</f>
        <v>#NAME?</v>
      </c>
      <c r="CP371" s="3" t="e">
        <f ca="1">_xll.BDH($C$353,"EBITDA","FQ3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71" s="3" t="e">
        <f ca="1">_xll.BDH($C$353,"EBITDA_AFTER_CAPEX","FQ3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71" s="3" t="e">
        <f ca="1">_xll.BDH($C$353,"IS_OPER_INC","FQ3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71" s="2" t="e">
        <f ca="1">_xll.BDH($C$353,"CASH_RATIO","FQ3 2017","FQ3 2017","Currency=INR","Period=FQ","BEST_FPERIOD_OVERRIDE=FQ","FILING_STATUS=OR","EQY_CONSOLIDATED=Y","Sort=A","Dates=H","DateFormat=P","Fill=—","Direction=H","UseDPDF=Y")</f>
        <v>#NAME?</v>
      </c>
      <c r="CT371" s="2" t="e">
        <f ca="1">_xll.BDH($C$353,"CUR_RATIO","FQ3 2017","FQ3 2017","Currency=INR","Period=FQ","BEST_FPERIOD_OVERRIDE=FQ","FILING_STATUS=OR","EQY_CONSOLIDATED=Y","Sort=A","Dates=H","DateFormat=P","Fill=—","Direction=H","UseDPDF=Y")</f>
        <v>#NAME?</v>
      </c>
      <c r="CU371" s="2" t="e">
        <f ca="1">_xll.BDH($C$353,"QUICK_RATIO","FQ3 2017","FQ3 2017","Currency=INR","Period=FQ","BEST_FPERIOD_OVERRIDE=FQ","FILING_STATUS=OR","EQY_CONSOLIDATED=Y","Sort=A","Dates=H","DateFormat=P","Fill=—","Direction=H","UseDPDF=Y")</f>
        <v>#NAME?</v>
      </c>
      <c r="CV371" s="2" t="e">
        <f ca="1">_xll.BDH($C$353,"ALTMAN_Z_SCORE","FQ3 2017","FQ3 2017","Currency=INR","Period=FQ","BEST_FPERIOD_OVERRIDE=FQ","FILING_STATUS=OR","EQY_CONSOLIDATED=Y","Sort=A","Dates=H","DateFormat=P","Fill=—","Direction=H","UseDPDF=Y")</f>
        <v>#NAME?</v>
      </c>
      <c r="CW371" s="4" t="e">
        <f ca="1">_xll.BDH($C$353,"ACCT_RCV_TURN","FQ3 2017","FQ3 2017","Currency=INR","Period=FQ","BEST_FPERIOD_OVERRIDE=FQ","FILING_STATUS=OR","EQY_CONSOLIDATED=Y","FA_ADJUSTED=GAAP","Sort=A","Dates=H","DateFormat=P","Fill=—","Direction=H","UseDPDF=Y")</f>
        <v>#NAME?</v>
      </c>
      <c r="CX371" s="2" t="e">
        <f ca="1">_xll.BDH($C$353,"ACCT_RCV_DAYS","FQ3 2017","FQ3 2017","Currency=INR","Period=FQ","BEST_FPERIOD_OVERRIDE=FQ","FILING_STATUS=OR","EQY_CONSOLIDATED=Y","FA_ADJUSTED=GAAP","Sort=A","Dates=H","DateFormat=P","Fill=—","Direction=H","UseDPDF=Y")</f>
        <v>#NAME?</v>
      </c>
      <c r="CY371" s="4" t="e">
        <f ca="1">_xll.BDH($C$353,"INVENT_TURN","FQ3 2017","FQ3 2017","Currency=INR","Period=FQ","BEST_FPERIOD_OVERRIDE=FQ","FILING_STATUS=OR","EQY_CONSOLIDATED=Y","FA_ADJUSTED=GAAP","Sort=A","Dates=H","DateFormat=P","Fill=—","Direction=H","UseDPDF=Y")</f>
        <v>#NAME?</v>
      </c>
      <c r="CZ371" s="2" t="e">
        <f ca="1">_xll.BDH($C$353,"INVENT_DAYS","FQ3 2017","FQ3 2017","Currency=INR","Period=FQ","BEST_FPERIOD_OVERRIDE=FQ","FILING_STATUS=OR","EQY_CONSOLIDATED=Y","FA_ADJUSTED=GAAP","Sort=A","Dates=H","DateFormat=P","Fill=—","Direction=H","UseDPDF=Y")</f>
        <v>#NAME?</v>
      </c>
      <c r="DA371" s="4" t="e">
        <f ca="1">_xll.BDH($C$353,"ACCOUNTS_PAYABLE_TURNOVER","FQ3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71" s="2" t="e">
        <f ca="1">_xll.BDH($C$353,"ACCOUNTS_PAYABLE_TURNOVER_DAYS","FQ3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71" s="4" t="e">
        <f ca="1">_xll.BDH($C$353,"CASH_CONVERSION_CYCLE","FQ3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71" s="4" t="e">
        <f ca="1">_xll.BDH($C$353,"INV_TO_CASH_DAYS","FQ3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371" s="5" t="e">
        <f ca="1">_xll.BDH($C$353,"BS_INVENTORIES","FQ3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371" s="3" t="e">
        <f ca="1">_xll.BDH($C$353,"INVTRY_RAW_MATERIALS","FQ3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71" s="3" t="e">
        <f ca="1">_xll.BDH($C$353,"INVTRY_IN_PROGRESS","FQ3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71" s="3" t="e">
        <f ca="1">_xll.BDH($C$353,"INVTRY_FINISHED_GOODS","FQ3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71" s="3" t="e">
        <f ca="1">_xll.BDH($C$353,"BS_OTHER_INV","FQ3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72" spans="1:113" x14ac:dyDescent="0.3">
      <c r="A372" s="6"/>
      <c r="B372" s="6"/>
      <c r="C372" s="6"/>
      <c r="D372" s="6"/>
      <c r="E372" t="s">
        <v>81</v>
      </c>
      <c r="F372" t="e">
        <f ca="1">_xll.BDH($C$353,"RETURN_COM_EQY","FQ4 2017","FQ4 2017","Currency=INR","Period=FQ","BEST_FPERIOD_OVERRIDE=FQ","FILING_STATUS=OR","EQY_CONSOLIDATED=Y","FA_ADJUSTED=GAAP","Sort=A","Dates=H","DateFormat=P","Fill=—","Direction=H","UseDPDF=Y")</f>
        <v>#NAME?</v>
      </c>
      <c r="G372" t="e">
        <f ca="1">_xll.BDH($C$353,"RETURN_ON_ASSET","FQ4 2017","FQ4 2017","Currency=INR","Period=FQ","BEST_FPERIOD_OVERRIDE=FQ","FILING_STATUS=OR","EQY_CONSOLIDATED=Y","FA_ADJUSTED=GAAP","Sort=A","Dates=H","DateFormat=P","Fill=—","Direction=H","UseDPDF=Y")</f>
        <v>#NAME?</v>
      </c>
      <c r="H372" t="e">
        <f ca="1">_xll.BDH($C$353,"RETURN_ON_CAP","FQ4 2017","FQ4 2017","Currency=INR","Period=FQ","BEST_FPERIOD_OVERRIDE=FQ","FILING_STATUS=OR","EQY_CONSOLIDATED=Y","FA_ADJUSTED=GAAP","Sort=A","Dates=H","DateFormat=P","Fill=—","Direction=H","UseDPDF=Y")</f>
        <v>#NAME?</v>
      </c>
      <c r="I372" t="e">
        <f ca="1">_xll.BDH($C$353,"RETURN_ON_INV_CAPITAL","FQ4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72" t="e">
        <f ca="1">_xll.BDH($C$353,"EBITDA_TO_REVENUE","FQ4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372" t="e">
        <f ca="1">_xll.BDH($C$353,"OPER_MARGIN","FQ4 2017","FQ4 2017","Currency=INR","Period=FQ","BEST_FPERIOD_OVERRIDE=FQ","FILING_STATUS=OR","EQY_CONSOLIDATED=Y","FA_ADJUSTED=GAAP","Sort=A","Dates=H","DateFormat=P","Fill=—","Direction=H","UseDPDF=Y")</f>
        <v>#NAME?</v>
      </c>
      <c r="L372" t="e">
        <f ca="1">_xll.BDH($C$353,"INCREMENTAL_OPERATING_MARGIN","FQ4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72" t="e">
        <f ca="1">_xll.BDH($C$353,"PRETAX_INC_TO_NET_SALES","FQ4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72" t="e">
        <f ca="1">_xll.BDH($C$353,"INC_BEF_XO_ITEMS_TO_NET_SALES","FQ4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72" t="e">
        <f ca="1">_xll.BDH($C$353,"PROF_MARGIN","FQ4 2017","FQ4 2017","Currency=INR","Period=FQ","BEST_FPERIOD_OVERRIDE=FQ","FILING_STATUS=OR","EQY_CONSOLIDATED=Y","FA_ADJUSTED=GAAP","Sort=A","Dates=H","DateFormat=P","Fill=—","Direction=H","UseDPDF=Y")</f>
        <v>#NAME?</v>
      </c>
      <c r="P372" t="e">
        <f ca="1">_xll.BDH($C$353,"NET_INCOME_TO_COMMON_MARGIN","FQ4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72" t="e">
        <f ca="1">_xll.BDH($C$353,"EFF_TAX_RATE","FQ4 2017","FQ4 2017","Currency=INR","Period=FQ","BEST_FPERIOD_OVERRIDE=FQ","FILING_STATUS=OR","EQY_CONSOLIDATED=Y","FA_ADJUSTED=GAAP","Sort=A","Dates=H","DateFormat=P","Fill=—","Direction=H","UseDPDF=Y")</f>
        <v>#NAME?</v>
      </c>
      <c r="R372" t="e">
        <f ca="1">_xll.BDH($C$353,"DVD_PAYOUT_RATIO","FQ4 2017","FQ4 2017","Currency=INR","Period=FQ","BEST_FPERIOD_OVERRIDE=FQ","FILING_STATUS=OR","EQY_CONSOLIDATED=Y","FA_ADJUSTED=GAAP","Sort=A","Dates=H","DateFormat=P","Fill=—","Direction=H","UseDPDF=Y")</f>
        <v>#NAME?</v>
      </c>
      <c r="S372" t="e">
        <f ca="1">_xll.BDH($C$353,"SUSTAIN_GROWTH_RT","FQ4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372" s="2" t="e">
        <f ca="1">_xll.BDH($C$353,"SALES_GROWTH","FQ4 2017","FQ4 2017","Currency=INR","Period=FQ","BEST_FPERIOD_OVERRIDE=FQ","FILING_STATUS=OR","EQY_CONSOLIDATED=Y","FA_ADJUSTED=GAAP","Sort=A","Dates=H","DateFormat=P","Fill=—","Direction=H","UseDPDF=Y")</f>
        <v>#NAME?</v>
      </c>
      <c r="U372" s="2" t="e">
        <f ca="1">_xll.BDH($C$353,"EBITDA_GROWTH","FQ4 2017","FQ4 2017","Currency=INR","Period=FQ","BEST_FPERIOD_OVERRIDE=FQ","FILING_STATUS=OR","EQY_CONSOLIDATED=Y","FA_ADJUSTED=GAAP","Sort=A","Dates=H","DateFormat=P","Fill=—","Direction=H","UseDPDF=Y")</f>
        <v>#NAME?</v>
      </c>
      <c r="V372" s="2" t="e">
        <f ca="1">_xll.BDH($C$353,"OPER_INC_GROWTH","FQ4 2017","FQ4 2017","Currency=INR","Period=FQ","BEST_FPERIOD_OVERRIDE=FQ","FILING_STATUS=OR","EQY_CONSOLIDATED=Y","FA_ADJUSTED=GAAP","Sort=A","Dates=H","DateFormat=P","Fill=—","Direction=H","UseDPDF=Y")</f>
        <v>#NAME?</v>
      </c>
      <c r="W372" s="2" t="e">
        <f ca="1">_xll.BDH($C$353,"EARN_FOR_COM_GROWTH","FQ4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72" s="2" t="e">
        <f ca="1">_xll.BDH($C$353,"DILUTED_EPS_AFT_XO_ITEMS_GROWTH","FQ4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72" s="2" t="e">
        <f ca="1">_xll.BDH($C$353,"DIVIDEND_PER_SHARE_1_YEAR_GROWTH","FQ4 2017","FQ4 2017","Currency=INR","Period=FQ","BEST_FPERIOD_OVERRIDE=FQ","FILING_STATUS=OR","EQY_CONSOLIDATED=Y","Sort=A","Dates=H","DateFormat=P","Fill=—","Direction=H","UseDPDF=Y")</f>
        <v>#NAME?</v>
      </c>
      <c r="Z372" s="2" t="e">
        <f ca="1">_xll.BDH($C$353,"ACCOUNTS_RECEIVABLE_GROWTH","FQ4 2017","FQ4 2017","Currency=INR","Period=FQ","BEST_FPERIOD_OVERRIDE=FQ","FILING_STATUS=OR","EQY_CONSOLIDATED=Y","Sort=A","Dates=H","DateFormat=P","Fill=—","Direction=H","UseDPDF=Y")</f>
        <v>#NAME?</v>
      </c>
      <c r="AA372" s="2" t="e">
        <f ca="1">_xll.BDH($C$353,"INVENTORY_GROWTH","FQ4 2017","FQ4 2017","Currency=INR","Period=FQ","BEST_FPERIOD_OVERRIDE=FQ","FILING_STATUS=OR","EQY_CONSOLIDATED=Y","Sort=A","Dates=H","DateFormat=P","Fill=—","Direction=H","UseDPDF=Y")</f>
        <v>#NAME?</v>
      </c>
      <c r="AB372" s="2" t="e">
        <f ca="1">_xll.BDH($C$353,"NET_FIXED_ASSETS_1_YEAR_GROWTH","FQ4 2017","FQ4 2017","Currency=INR","Period=FQ","BEST_FPERIOD_OVERRIDE=FQ","FILING_STATUS=OR","EQY_CONSOLIDATED=Y","Sort=A","Dates=H","DateFormat=P","Fill=—","Direction=H","UseDPDF=Y")</f>
        <v>#NAME?</v>
      </c>
      <c r="AC372" s="2" t="e">
        <f ca="1">_xll.BDH($C$353,"ASSET_GROWTH","FQ4 2017","FQ4 2017","Currency=INR","Period=FQ","BEST_FPERIOD_OVERRIDE=FQ","FILING_STATUS=OR","EQY_CONSOLIDATED=Y","Sort=A","Dates=H","DateFormat=P","Fill=—","Direction=H","UseDPDF=Y")</f>
        <v>#NAME?</v>
      </c>
      <c r="AD372" s="2" t="e">
        <f ca="1">_xll.BDH($C$353,"MODIFIED_WORK_CAP_GROWTH","FQ4 2017","FQ4 2017","Currency=INR","Period=FQ","BEST_FPERIOD_OVERRIDE=FQ","FILING_STATUS=OR","EQY_CONSOLIDATED=Y","Sort=A","Dates=H","DateFormat=P","Fill=—","Direction=H","UseDPDF=Y")</f>
        <v>#NAME?</v>
      </c>
      <c r="AE372" s="2" t="e">
        <f ca="1">_xll.BDH($C$353,"WORK_CAP_GROWTH","FQ4 2017","FQ4 2017","Currency=INR","Period=FQ","BEST_FPERIOD_OVERRIDE=FQ","FILING_STATUS=OR","EQY_CONSOLIDATED=Y","Sort=A","Dates=H","DateFormat=P","Fill=—","Direction=H","UseDPDF=Y")</f>
        <v>#NAME?</v>
      </c>
      <c r="AF372" s="2" t="e">
        <f ca="1">_xll.BDH($C$353,"ACCOUNTS_PAYABLE_GROWTH_1YR","FQ4 2017","FQ4 2017","Currency=INR","Period=FQ","BEST_FPERIOD_OVERRIDE=FQ","FILING_STATUS=OR","EQY_CONSOLIDATED=Y","Sort=A","Dates=H","DateFormat=P","Fill=—","Direction=H","UseDPDF=Y")</f>
        <v>#NAME?</v>
      </c>
      <c r="AG372" s="2" t="e">
        <f ca="1">_xll.BDH($C$353,"SHORT_TERM_DEBT_1_YEAR_GROWTH","FQ4 2017","FQ4 2017","Currency=INR","Period=FQ","BEST_FPERIOD_OVERRIDE=FQ","FILING_STATUS=OR","EQY_CONSOLIDATED=Y","Sort=A","Dates=H","DateFormat=P","Fill=—","Direction=H","UseDPDF=Y")</f>
        <v>#NAME?</v>
      </c>
      <c r="AH372" s="2" t="e">
        <f ca="1">_xll.BDH($C$353,"TOTAL_DEBT_1_YEAR_GROWTH","FQ4 2017","FQ4 2017","Currency=INR","Period=FQ","BEST_FPERIOD_OVERRIDE=FQ","FILING_STATUS=OR","EQY_CONSOLIDATED=Y","Sort=A","Dates=H","DateFormat=P","Fill=—","Direction=H","UseDPDF=Y")</f>
        <v>#NAME?</v>
      </c>
      <c r="AI372" s="2" t="e">
        <f ca="1">_xll.BDH($C$353,"TOTAL_EQUITY_1_YEAR_GROWTH","FQ4 2017","FQ4 2017","Currency=INR","Period=FQ","BEST_FPERIOD_OVERRIDE=FQ","FILING_STATUS=OR","EQY_CONSOLIDATED=Y","Sort=A","Dates=H","DateFormat=P","Fill=—","Direction=H","UseDPDF=Y")</f>
        <v>#NAME?</v>
      </c>
      <c r="AJ372" s="2" t="e">
        <f ca="1">_xll.BDH($C$353,"GROWTH_IN_CAP","FQ4 2017","FQ4 2017","Currency=INR","Period=FQ","BEST_FPERIOD_OVERRIDE=FQ","FILING_STATUS=OR","EQY_CONSOLIDATED=Y","Sort=A","Dates=H","DateFormat=P","Fill=—","Direction=H","UseDPDF=Y")</f>
        <v>#NAME?</v>
      </c>
      <c r="AK372" s="2" t="e">
        <f ca="1">_xll.BDH($C$353,"BVPS_GROWTH","FQ4 2017","FQ4 2017","Currency=INR","Period=FQ","BEST_FPERIOD_OVERRIDE=FQ","FILING_STATUS=OR","EQY_CONSOLIDATED=Y","Sort=A","Dates=H","DateFormat=P","Fill=—","Direction=H","UseDPDF=Y")</f>
        <v>#NAME?</v>
      </c>
      <c r="AL372" s="2" t="e">
        <f ca="1">_xll.BDH($C$353,"CASH_FLOW_GROWTH","FQ4 2017","FQ4 2017","Currency=INR","Period=FQ","BEST_FPERIOD_OVERRIDE=FQ","FILING_STATUS=OR","EQY_CONSOLIDATED=Y","Sort=A","Dates=H","DateFormat=P","Fill=—","Direction=H","UseDPDF=Y")</f>
        <v>#NAME?</v>
      </c>
      <c r="AM372" s="2" t="e">
        <f ca="1">_xll.BDH($C$353,"GEO_GROW_NET_SALES","FQ4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72" s="2" t="e">
        <f ca="1">_xll.BDH($C$353,"GEO_GROW_EBITDA","FQ4 2017","FQ4 2017","Currency=INR","Period=FQ","BEST_FPERIOD_OVERRIDE=FQ","FILING_STATUS=OR","EQY_CONSOLIDATED=Y","FA_ADJUSTED=GAAP","Sort=A","Dates=H","DateFormat=P","Fill=—","Direction=H","UseDPDF=Y")</f>
        <v>#NAME?</v>
      </c>
      <c r="AO372" s="2" t="e">
        <f ca="1">_xll.BDH($C$353,"GEO_GROW_OPER_INC","FQ4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72" s="2" t="e">
        <f ca="1">_xll.BDH($C$353,"NET_INCOME_TO_COMMON_5_YR_GROWTH","FQ4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72" s="2" t="e">
        <f ca="1">_xll.BDH($C$353,"5Y_GEO_GROWTH_DILUTED_EPS","FQ4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72" s="2" t="e">
        <f ca="1">_xll.BDH($C$353,"GEO_GROW_DVD_PER_SH","FQ4 2017","FQ4 2017","Currency=INR","Period=FQ","BEST_FPERIOD_OVERRIDE=FQ","FILING_STATUS=OR","EQY_CONSOLIDATED=Y","Sort=A","Dates=H","DateFormat=P","Fill=—","Direction=H","UseDPDF=Y")</f>
        <v>#NAME?</v>
      </c>
      <c r="AS372" s="2" t="e">
        <f ca="1">_xll.BDH($C$353,"ACCOUNTS_RECEIVABLE_5_YR_GROWTH","FQ4 2017","FQ4 2017","Currency=INR","Period=FQ","BEST_FPERIOD_OVERRIDE=FQ","FILING_STATUS=OR","EQY_CONSOLIDATED=Y","Sort=A","Dates=H","DateFormat=P","Fill=—","Direction=H","UseDPDF=Y")</f>
        <v>#NAME?</v>
      </c>
      <c r="AT372" s="2" t="e">
        <f ca="1">_xll.BDH($C$353,"INVENTORY_5_YEAR_GROWTH","FQ4 2017","FQ4 2017","Currency=INR","Period=FQ","BEST_FPERIOD_OVERRIDE=FQ","FILING_STATUS=OR","EQY_CONSOLIDATED=Y","Sort=A","Dates=H","DateFormat=P","Fill=—","Direction=H","UseDPDF=Y")</f>
        <v>#NAME?</v>
      </c>
      <c r="AU372" s="2" t="e">
        <f ca="1">_xll.BDH($C$353,"NET_FIXED_ASSETS_5_YEAR_GROWTH","FQ4 2017","FQ4 2017","Currency=INR","Period=FQ","BEST_FPERIOD_OVERRIDE=FQ","FILING_STATUS=OR","EQY_CONSOLIDATED=Y","Sort=A","Dates=H","DateFormat=P","Fill=—","Direction=H","UseDPDF=Y")</f>
        <v>#NAME?</v>
      </c>
      <c r="AV372" s="2" t="e">
        <f ca="1">_xll.BDH($C$353,"GEO_GROW_TOT_ASSET","FQ4 2017","FQ4 2017","Currency=INR","Period=FQ","BEST_FPERIOD_OVERRIDE=FQ","FILING_STATUS=OR","EQY_CONSOLIDATED=Y","Sort=A","Dates=H","DateFormat=P","Fill=—","Direction=H","UseDPDF=Y")</f>
        <v>#NAME?</v>
      </c>
      <c r="AW372" s="2" t="e">
        <f ca="1">_xll.BDH($C$353,"MODIFIED_WORKING_CPTL_5YR_GRWTH","FQ4 2017","FQ4 2017","Currency=INR","Period=FQ","BEST_FPERIOD_OVERRIDE=FQ","FILING_STATUS=OR","EQY_CONSOLIDATED=Y","Sort=A","Dates=H","DateFormat=P","Fill=—","Direction=H","UseDPDF=Y")</f>
        <v>#NAME?</v>
      </c>
      <c r="AX372" s="2" t="e">
        <f ca="1">_xll.BDH($C$353,"WORKING_CAPITAL_5_YEAR_GROWTH","FQ4 2017","FQ4 2017","Currency=INR","Period=FQ","BEST_FPERIOD_OVERRIDE=FQ","FILING_STATUS=OR","EQY_CONSOLIDATED=Y","Sort=A","Dates=H","DateFormat=P","Fill=—","Direction=H","UseDPDF=Y")</f>
        <v>#NAME?</v>
      </c>
      <c r="AY372" s="2" t="e">
        <f ca="1">_xll.BDH($C$353,"ACCOUNTS_PAYABLE_5_YEAR_GROWTH","FQ4 2017","FQ4 2017","Currency=INR","Period=FQ","BEST_FPERIOD_OVERRIDE=FQ","FILING_STATUS=OR","EQY_CONSOLIDATED=Y","Sort=A","Dates=H","DateFormat=P","Fill=—","Direction=H","UseDPDF=Y")</f>
        <v>#NAME?</v>
      </c>
      <c r="AZ372" s="2" t="e">
        <f ca="1">_xll.BDH($C$353,"SHORT_TERM_DEBT_5_YEAR_GROWTH","FQ4 2017","FQ4 2017","Currency=INR","Period=FQ","BEST_FPERIOD_OVERRIDE=FQ","FILING_STATUS=OR","EQY_CONSOLIDATED=Y","Sort=A","Dates=H","DateFormat=P","Fill=—","Direction=H","UseDPDF=Y")</f>
        <v>#NAME?</v>
      </c>
      <c r="BA372" s="2" t="e">
        <f ca="1">_xll.BDH($C$353,"TOTAL_DEBT_5_YEAR_GROWTH","FQ4 2017","FQ4 2017","Currency=INR","Period=FQ","BEST_FPERIOD_OVERRIDE=FQ","FILING_STATUS=OR","EQY_CONSOLIDATED=Y","Sort=A","Dates=H","DateFormat=P","Fill=—","Direction=H","UseDPDF=Y")</f>
        <v>#NAME?</v>
      </c>
      <c r="BB372" s="2" t="e">
        <f ca="1">_xll.BDH($C$353,"GEO_GROW_TOT_SHRHLDR_EQY","FQ4 2017","FQ4 2017","Currency=INR","Period=FQ","BEST_FPERIOD_OVERRIDE=FQ","FILING_STATUS=OR","EQY_CONSOLIDATED=Y","Sort=A","Dates=H","DateFormat=P","Fill=—","Direction=H","UseDPDF=Y")</f>
        <v>#NAME?</v>
      </c>
      <c r="BC372" s="2" t="e">
        <f ca="1">_xll.BDH($C$353,"TOTAL_CAPITAL_5_YEAR_GROWTH","FQ4 2017","FQ4 2017","Currency=INR","Period=FQ","BEST_FPERIOD_OVERRIDE=FQ","FILING_STATUS=OR","EQY_CONSOLIDATED=Y","Sort=A","Dates=H","DateFormat=P","Fill=—","Direction=H","UseDPDF=Y")</f>
        <v>#NAME?</v>
      </c>
      <c r="BD372" s="2" t="e">
        <f ca="1">_xll.BDH($C$353,"GEO_GROW_BOOK_VAL","FQ4 2017","FQ4 2017","Currency=INR","Period=FQ","BEST_FPERIOD_OVERRIDE=FQ","FILING_STATUS=OR","EQY_CONSOLIDATED=Y","Sort=A","Dates=H","DateFormat=P","Fill=—","Direction=H","UseDPDF=Y")</f>
        <v>#NAME?</v>
      </c>
      <c r="BE372" s="2" t="e">
        <f ca="1">_xll.BDH($C$353,"GEO_GROW_CASH_OPER_ACT","FQ4 2017","FQ4 2017","Currency=INR","Period=FQ","BEST_FPERIOD_OVERRIDE=FQ","FILING_STATUS=OR","EQY_CONSOLIDATED=Y","Sort=A","Dates=H","DateFormat=P","Fill=—","Direction=H","UseDPDF=Y")</f>
        <v>#NAME?</v>
      </c>
      <c r="BF372" s="2" t="e">
        <f ca="1">_xll.BDH($C$353,"REVENUE_SEQUENTIAL_GROWTH","FQ4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72" s="2" t="e">
        <f ca="1">_xll.BDH($C$353,"EBITDA_SEQUENTIAL_GROWTH","FQ4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72" s="2" t="e">
        <f ca="1">_xll.BDH($C$353,"OPERATING_INCOME_SEQ_GROWTH","FQ4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72" s="2" t="e">
        <f ca="1">_xll.BDH($C$353,"NET_INCOME_TO_COMMON_SEQ_GROWTH","FQ4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72" s="2" t="e">
        <f ca="1">_xll.BDH($C$353,"EPS_DILUTED_SEQUENTIAL_GROWTH","FQ4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72" s="2" t="e">
        <f ca="1">_xll.BDH($C$353,"DPS_SEQUENTIAL_GROWTH","FQ4 2017","FQ4 2017","Currency=INR","Period=FQ","BEST_FPERIOD_OVERRIDE=FQ","FILING_STATUS=OR","EQY_CONSOLIDATED=Y","Sort=A","Dates=H","DateFormat=P","Fill=—","Direction=H","UseDPDF=Y")</f>
        <v>#NAME?</v>
      </c>
      <c r="BL372" s="2" t="e">
        <f ca="1">_xll.BDH($C$353,"ACCOUNTS_RECEIVABLE_SEQ_GROWTH","FQ4 2017","FQ4 2017","Currency=INR","Period=FQ","BEST_FPERIOD_OVERRIDE=FQ","FILING_STATUS=OR","EQY_CONSOLIDATED=Y","Sort=A","Dates=H","DateFormat=P","Fill=—","Direction=H","UseDPDF=Y")</f>
        <v>#NAME?</v>
      </c>
      <c r="BM372" s="2" t="e">
        <f ca="1">_xll.BDH($C$353,"INVENTORY_SEQUENTIAL_GROWTH","FQ4 2017","FQ4 2017","Currency=INR","Period=FQ","BEST_FPERIOD_OVERRIDE=FQ","FILING_STATUS=OR","EQY_CONSOLIDATED=Y","Sort=A","Dates=H","DateFormat=P","Fill=—","Direction=H","UseDPDF=Y")</f>
        <v>#NAME?</v>
      </c>
      <c r="BN372" s="2" t="e">
        <f ca="1">_xll.BDH($C$353,"FIXED_ASSETS_SEQUENTIAL_GROWTH","FQ4 2017","FQ4 2017","Currency=INR","Period=FQ","BEST_FPERIOD_OVERRIDE=FQ","FILING_STATUS=OR","EQY_CONSOLIDATED=Y","Sort=A","Dates=H","DateFormat=P","Fill=—","Direction=H","UseDPDF=Y")</f>
        <v>#NAME?</v>
      </c>
      <c r="BO372" s="2" t="e">
        <f ca="1">_xll.BDH($C$353,"TOTAL_ASSETS_SEQUENTIAL_GROWTH","FQ4 2017","FQ4 2017","Currency=INR","Period=FQ","BEST_FPERIOD_OVERRIDE=FQ","FILING_STATUS=OR","EQY_CONSOLIDATED=Y","Sort=A","Dates=H","DateFormat=P","Fill=—","Direction=H","UseDPDF=Y")</f>
        <v>#NAME?</v>
      </c>
      <c r="BP372" s="2" t="e">
        <f ca="1">_xll.BDH($C$353,"MODIFIED_WORKING_CPTL_SEQ_GRWTH","FQ4 2017","FQ4 2017","Currency=INR","Period=FQ","BEST_FPERIOD_OVERRIDE=FQ","FILING_STATUS=OR","EQY_CONSOLIDATED=Y","Sort=A","Dates=H","DateFormat=P","Fill=—","Direction=H","UseDPDF=Y")</f>
        <v>#NAME?</v>
      </c>
      <c r="BQ372" s="2" t="e">
        <f ca="1">_xll.BDH($C$353,"WORKING_CAPITAL_SEQ_GROWTH","FQ4 2017","FQ4 2017","Currency=INR","Period=FQ","BEST_FPERIOD_OVERRIDE=FQ","FILING_STATUS=OR","EQY_CONSOLIDATED=Y","Sort=A","Dates=H","DateFormat=P","Fill=—","Direction=H","UseDPDF=Y")</f>
        <v>#NAME?</v>
      </c>
      <c r="BR372" s="2" t="e">
        <f ca="1">_xll.BDH($C$353,"ACCOUNTS_PAYABLE_SEQ_GROWTH","FQ4 2017","FQ4 2017","Currency=INR","Period=FQ","BEST_FPERIOD_OVERRIDE=FQ","FILING_STATUS=OR","EQY_CONSOLIDATED=Y","Sort=A","Dates=H","DateFormat=P","Fill=—","Direction=H","UseDPDF=Y")</f>
        <v>#NAME?</v>
      </c>
      <c r="BS372" s="2" t="e">
        <f ca="1">_xll.BDH($C$353,"ST_DEBT_SEQUENTIAL_GROWTH","FQ4 2017","FQ4 2017","Currency=INR","Period=FQ","BEST_FPERIOD_OVERRIDE=FQ","FILING_STATUS=OR","EQY_CONSOLIDATED=Y","Sort=A","Dates=H","DateFormat=P","Fill=—","Direction=H","UseDPDF=Y")</f>
        <v>#NAME?</v>
      </c>
      <c r="BT372" s="2" t="e">
        <f ca="1">_xll.BDH($C$353,"TOTAL_DEBT_SEQUENTIAL_GROWTH","FQ4 2017","FQ4 2017","Currency=INR","Period=FQ","BEST_FPERIOD_OVERRIDE=FQ","FILING_STATUS=OR","EQY_CONSOLIDATED=Y","Sort=A","Dates=H","DateFormat=P","Fill=—","Direction=H","UseDPDF=Y")</f>
        <v>#NAME?</v>
      </c>
      <c r="BU372" s="2" t="e">
        <f ca="1">_xll.BDH($C$353,"TOTAL_EQUITY_SEQUENTIAL_GROWTH","FQ4 2017","FQ4 2017","Currency=INR","Period=FQ","BEST_FPERIOD_OVERRIDE=FQ","FILING_STATUS=OR","EQY_CONSOLIDATED=Y","Sort=A","Dates=H","DateFormat=P","Fill=—","Direction=H","UseDPDF=Y")</f>
        <v>#NAME?</v>
      </c>
      <c r="BV372" s="2" t="e">
        <f ca="1">_xll.BDH($C$353,"TOTAL_CAPITAL_SEQUENTIAL_GROWTH","FQ4 2017","FQ4 2017","Currency=INR","Period=FQ","BEST_FPERIOD_OVERRIDE=FQ","FILING_STATUS=OR","EQY_CONSOLIDATED=Y","Sort=A","Dates=H","DateFormat=P","Fill=—","Direction=H","UseDPDF=Y")</f>
        <v>#NAME?</v>
      </c>
      <c r="BW372" s="2" t="e">
        <f ca="1">_xll.BDH($C$353,"BPS_SEQUENTIAL_GROWTH","FQ4 2017","FQ4 2017","Currency=INR","Period=FQ","BEST_FPERIOD_OVERRIDE=FQ","FILING_STATUS=OR","EQY_CONSOLIDATED=Y","Sort=A","Dates=H","DateFormat=P","Fill=—","Direction=H","UseDPDF=Y")</f>
        <v>#NAME?</v>
      </c>
      <c r="BX372" s="2" t="e">
        <f ca="1">_xll.BDH($C$353,"CFO_SEQUENTIAL_GROWTH","FQ4 2017","FQ4 2017","Currency=INR","Period=FQ","BEST_FPERIOD_OVERRIDE=FQ","FILING_STATUS=OR","EQY_CONSOLIDATED=Y","Sort=A","Dates=H","DateFormat=P","Fill=—","Direction=H","UseDPDF=Y")</f>
        <v>#NAME?</v>
      </c>
      <c r="BY372" s="3" t="e">
        <f ca="1">_xll.BDH($C$353,"SHORT_AND_LONG_TERM_DEBT","FQ4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72" s="3" t="e">
        <f ca="1">_xll.BDH($C$353,"BS_ST_BORROW","FQ4 2017","FQ4 2017","Currency=INR","Period=FQ","BEST_FPERIOD_OVERRIDE=FQ","FILING_STATUS=OR","EQY_CONSOLIDATED=Y","SCALING_FORMAT=MLN","Sort=A","Dates=H","DateFormat=P","Fill=—","Direction=H","UseDPDF=Y")</f>
        <v>#NAME?</v>
      </c>
      <c r="CA372" s="3" t="e">
        <f ca="1">_xll.BDH($C$353,"BS_LT_BORROW","FQ4 2017","FQ4 2017","Currency=INR","Period=FQ","BEST_FPERIOD_OVERRIDE=FQ","FILING_STATUS=OR","EQY_CONSOLIDATED=Y","SCALING_FORMAT=MLN","Sort=A","Dates=H","DateFormat=P","Fill=—","Direction=H","UseDPDF=Y")</f>
        <v>#NAME?</v>
      </c>
      <c r="CB372" s="2" t="e">
        <f ca="1">_xll.BDH($C$353,"TOT_DEBT_TO_EBITDA","FQ4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72" s="2" t="e">
        <f ca="1">_xll.BDH($C$353,"NET_DEBT_TO_EBITDA","FQ4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72" s="2" t="e">
        <f ca="1">_xll.BDH($C$353,"TOTAL_DEBT_TO_EBIT","FQ4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72" s="2" t="e">
        <f ca="1">_xll.BDH($C$353,"NET_DEBT_TO_EBIT","FQ4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372" s="2" t="e">
        <f ca="1">_xll.BDH($C$353,"EBITDA_TO_INTEREST_EXPN","FQ4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72" s="2" t="e">
        <f ca="1">_xll.BDH($C$353,"COM_EQY_TO_TOT_ASSET","FQ4 2017","FQ4 2017","Currency=INR","Period=FQ","BEST_FPERIOD_OVERRIDE=FQ","FILING_STATUS=OR","EQY_CONSOLIDATED=Y","Sort=A","Dates=H","DateFormat=P","Fill=—","Direction=H","UseDPDF=Y")</f>
        <v>#NAME?</v>
      </c>
      <c r="CH372" s="2" t="e">
        <f ca="1">_xll.BDH($C$353,"LT_DEBT_TO_TOT_EQY","FQ4 2017","FQ4 2017","Currency=INR","Period=FQ","BEST_FPERIOD_OVERRIDE=FQ","FILING_STATUS=OR","EQY_CONSOLIDATED=Y","Sort=A","Dates=H","DateFormat=P","Fill=—","Direction=H","UseDPDF=Y")</f>
        <v>#NAME?</v>
      </c>
      <c r="CI372" s="2" t="e">
        <f ca="1">_xll.BDH($C$353,"LT_DEBT_TO_TOT_CAP","FQ4 2017","FQ4 2017","Currency=INR","Period=FQ","BEST_FPERIOD_OVERRIDE=FQ","FILING_STATUS=OR","EQY_CONSOLIDATED=Y","Sort=A","Dates=H","DateFormat=P","Fill=—","Direction=H","UseDPDF=Y")</f>
        <v>#NAME?</v>
      </c>
      <c r="CJ372" s="2" t="e">
        <f ca="1">_xll.BDH($C$353,"LT_DEBT_TO_TOT_ASSET","FQ4 2017","FQ4 2017","Currency=INR","Period=FQ","BEST_FPERIOD_OVERRIDE=FQ","FILING_STATUS=OR","EQY_CONSOLIDATED=Y","Sort=A","Dates=H","DateFormat=P","Fill=—","Direction=H","UseDPDF=Y")</f>
        <v>#NAME?</v>
      </c>
      <c r="CK372" s="2" t="e">
        <f ca="1">_xll.BDH($C$353,"TOT_DEBT_TO_TOT_EQY","FQ4 2017","FQ4 2017","Currency=INR","Period=FQ","BEST_FPERIOD_OVERRIDE=FQ","FILING_STATUS=OR","EQY_CONSOLIDATED=Y","Sort=A","Dates=H","DateFormat=P","Fill=—","Direction=H","UseDPDF=Y")</f>
        <v>#NAME?</v>
      </c>
      <c r="CL372" s="2" t="e">
        <f ca="1">_xll.BDH($C$353,"TOT_DEBT_TO_TOT_CAP","FQ4 2017","FQ4 2017","Currency=INR","Period=FQ","BEST_FPERIOD_OVERRIDE=FQ","FILING_STATUS=OR","EQY_CONSOLIDATED=Y","Sort=A","Dates=H","DateFormat=P","Fill=—","Direction=H","UseDPDF=Y")</f>
        <v>#NAME?</v>
      </c>
      <c r="CM372" s="2" t="e">
        <f ca="1">_xll.BDH($C$353,"TOT_DEBT_TO_TOT_ASSET","FQ4 2017","FQ4 2017","Currency=INR","Period=FQ","BEST_FPERIOD_OVERRIDE=FQ","FILING_STATUS=OR","EQY_CONSOLIDATED=Y","Sort=A","Dates=H","DateFormat=P","Fill=—","Direction=H","UseDPDF=Y")</f>
        <v>#NAME?</v>
      </c>
      <c r="CN372" s="2" t="e">
        <f ca="1">_xll.BDH($C$353,"NET_DEBT_TO_SHRHLDR_EQTY","FQ4 2017","FQ4 2017","Currency=INR","Period=FQ","BEST_FPERIOD_OVERRIDE=FQ","FILING_STATUS=OR","EQY_CONSOLIDATED=Y","Sort=A","Dates=H","DateFormat=P","Fill=—","Direction=H","UseDPDF=Y")</f>
        <v>#NAME?</v>
      </c>
      <c r="CO372" s="2" t="e">
        <f ca="1">_xll.BDH($C$353,"NET_DEBT_%_CAPITAL","FQ4 2017","FQ4 2017","Currency=INR","Period=FQ","BEST_FPERIOD_OVERRIDE=FQ","FILING_STATUS=OR","EQY_CONSOLIDATED=Y","Sort=A","Dates=H","DateFormat=P","Fill=—","Direction=H","UseDPDF=Y")</f>
        <v>#NAME?</v>
      </c>
      <c r="CP372" s="3" t="e">
        <f ca="1">_xll.BDH($C$353,"EBITDA","FQ4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72" s="3" t="e">
        <f ca="1">_xll.BDH($C$353,"EBITDA_AFTER_CAPEX","FQ4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72" s="3" t="e">
        <f ca="1">_xll.BDH($C$353,"IS_OPER_INC","FQ4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72" s="2" t="e">
        <f ca="1">_xll.BDH($C$353,"CASH_RATIO","FQ4 2017","FQ4 2017","Currency=INR","Period=FQ","BEST_FPERIOD_OVERRIDE=FQ","FILING_STATUS=OR","EQY_CONSOLIDATED=Y","Sort=A","Dates=H","DateFormat=P","Fill=—","Direction=H","UseDPDF=Y")</f>
        <v>#NAME?</v>
      </c>
      <c r="CT372" s="2" t="e">
        <f ca="1">_xll.BDH($C$353,"CUR_RATIO","FQ4 2017","FQ4 2017","Currency=INR","Period=FQ","BEST_FPERIOD_OVERRIDE=FQ","FILING_STATUS=OR","EQY_CONSOLIDATED=Y","Sort=A","Dates=H","DateFormat=P","Fill=—","Direction=H","UseDPDF=Y")</f>
        <v>#NAME?</v>
      </c>
      <c r="CU372" s="2" t="e">
        <f ca="1">_xll.BDH($C$353,"QUICK_RATIO","FQ4 2017","FQ4 2017","Currency=INR","Period=FQ","BEST_FPERIOD_OVERRIDE=FQ","FILING_STATUS=OR","EQY_CONSOLIDATED=Y","Sort=A","Dates=H","DateFormat=P","Fill=—","Direction=H","UseDPDF=Y")</f>
        <v>#NAME?</v>
      </c>
      <c r="CV372" s="2" t="e">
        <f ca="1">_xll.BDH($C$353,"ALTMAN_Z_SCORE","FQ4 2017","FQ4 2017","Currency=INR","Period=FQ","BEST_FPERIOD_OVERRIDE=FQ","FILING_STATUS=OR","EQY_CONSOLIDATED=Y","Sort=A","Dates=H","DateFormat=P","Fill=—","Direction=H","UseDPDF=Y")</f>
        <v>#NAME?</v>
      </c>
      <c r="CW372" s="4" t="e">
        <f ca="1">_xll.BDH($C$353,"ACCT_RCV_TURN","FQ4 2017","FQ4 2017","Currency=INR","Period=FQ","BEST_FPERIOD_OVERRIDE=FQ","FILING_STATUS=OR","EQY_CONSOLIDATED=Y","FA_ADJUSTED=GAAP","Sort=A","Dates=H","DateFormat=P","Fill=—","Direction=H","UseDPDF=Y")</f>
        <v>#NAME?</v>
      </c>
      <c r="CX372" s="2" t="e">
        <f ca="1">_xll.BDH($C$353,"ACCT_RCV_DAYS","FQ4 2017","FQ4 2017","Currency=INR","Period=FQ","BEST_FPERIOD_OVERRIDE=FQ","FILING_STATUS=OR","EQY_CONSOLIDATED=Y","FA_ADJUSTED=GAAP","Sort=A","Dates=H","DateFormat=P","Fill=—","Direction=H","UseDPDF=Y")</f>
        <v>#NAME?</v>
      </c>
      <c r="CY372" s="4" t="e">
        <f ca="1">_xll.BDH($C$353,"INVENT_TURN","FQ4 2017","FQ4 2017","Currency=INR","Period=FQ","BEST_FPERIOD_OVERRIDE=FQ","FILING_STATUS=OR","EQY_CONSOLIDATED=Y","FA_ADJUSTED=GAAP","Sort=A","Dates=H","DateFormat=P","Fill=—","Direction=H","UseDPDF=Y")</f>
        <v>#NAME?</v>
      </c>
      <c r="CZ372" s="2" t="e">
        <f ca="1">_xll.BDH($C$353,"INVENT_DAYS","FQ4 2017","FQ4 2017","Currency=INR","Period=FQ","BEST_FPERIOD_OVERRIDE=FQ","FILING_STATUS=OR","EQY_CONSOLIDATED=Y","FA_ADJUSTED=GAAP","Sort=A","Dates=H","DateFormat=P","Fill=—","Direction=H","UseDPDF=Y")</f>
        <v>#NAME?</v>
      </c>
      <c r="DA372" s="4" t="e">
        <f ca="1">_xll.BDH($C$353,"ACCOUNTS_PAYABLE_TURNOVER","FQ4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72" s="2" t="e">
        <f ca="1">_xll.BDH($C$353,"ACCOUNTS_PAYABLE_TURNOVER_DAYS","FQ4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72" s="4" t="e">
        <f ca="1">_xll.BDH($C$353,"CASH_CONVERSION_CYCLE","FQ4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72" s="4" t="e">
        <f ca="1">_xll.BDH($C$353,"INV_TO_CASH_DAYS","FQ4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372" s="5" t="e">
        <f ca="1">_xll.BDH($C$353,"BS_INVENTORIES","FQ4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372" s="3" t="e">
        <f ca="1">_xll.BDH($C$353,"INVTRY_RAW_MATERIALS","FQ4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72" s="3" t="e">
        <f ca="1">_xll.BDH($C$353,"INVTRY_IN_PROGRESS","FQ4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72" s="3" t="e">
        <f ca="1">_xll.BDH($C$353,"INVTRY_FINISHED_GOODS","FQ4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72" s="3" t="e">
        <f ca="1">_xll.BDH($C$353,"BS_OTHER_INV","FQ4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73" spans="1:113" x14ac:dyDescent="0.3">
      <c r="A373" s="6"/>
      <c r="B373" s="6"/>
      <c r="C373" s="6"/>
      <c r="D373" s="6" t="s">
        <v>85</v>
      </c>
      <c r="E373" t="s">
        <v>77</v>
      </c>
      <c r="F373" t="e">
        <f ca="1">_xll.BDH($C$353,"RETURN_COM_EQY","FY 2018","FY 2018","Currency=INR","Period=FY","BEST_FPERIOD_OVERRIDE=FY","FILING_STATUS=OR","EQY_CONSOLIDATED=Y","FA_ADJUSTED=GAAP","Sort=A","Dates=H","DateFormat=P","Fill=—","Direction=H","UseDPDF=Y")</f>
        <v>#NAME?</v>
      </c>
      <c r="G373" t="e">
        <f ca="1">_xll.BDH($C$353,"RETURN_ON_ASSET","FY 2018","FY 2018","Currency=INR","Period=FY","BEST_FPERIOD_OVERRIDE=FY","FILING_STATUS=OR","EQY_CONSOLIDATED=Y","FA_ADJUSTED=GAAP","Sort=A","Dates=H","DateFormat=P","Fill=—","Direction=H","UseDPDF=Y")</f>
        <v>#NAME?</v>
      </c>
      <c r="H373" t="e">
        <f ca="1">_xll.BDH($C$353,"RETURN_ON_CAP","FY 2018","FY 2018","Currency=INR","Period=FY","BEST_FPERIOD_OVERRIDE=FY","FILING_STATUS=OR","EQY_CONSOLIDATED=Y","FA_ADJUSTED=GAAP","Sort=A","Dates=H","DateFormat=P","Fill=—","Direction=H","UseDPDF=Y")</f>
        <v>#NAME?</v>
      </c>
      <c r="I373" t="e">
        <f ca="1">_xll.BDH($C$353,"RETURN_ON_INV_CAPITAL","FY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73" t="e">
        <f ca="1">_xll.BDH($C$353,"EBITDA_TO_REVENUE","FY 2018","FY 2018","Currency=INR","Period=FY","BEST_FPERIOD_OVERRIDE=FY","FILING_STATUS=OR","EQY_CONSOLIDATED=Y","FA_ADJUSTED=GAAP","Sort=A","Dates=H","DateFormat=P","Fill=—","Direction=H","UseDPDF=Y")</f>
        <v>#NAME?</v>
      </c>
      <c r="K373" t="e">
        <f ca="1">_xll.BDH($C$353,"OPER_MARGIN","FY 2018","FY 2018","Currency=INR","Period=FY","BEST_FPERIOD_OVERRIDE=FY","FILING_STATUS=OR","EQY_CONSOLIDATED=Y","FA_ADJUSTED=GAAP","Sort=A","Dates=H","DateFormat=P","Fill=—","Direction=H","UseDPDF=Y")</f>
        <v>#NAME?</v>
      </c>
      <c r="L373" t="e">
        <f ca="1">_xll.BDH($C$353,"INCREMENTAL_OPERATING_MARGIN","FY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73" t="e">
        <f ca="1">_xll.BDH($C$353,"PRETAX_INC_TO_NET_SALES","FY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73" t="e">
        <f ca="1">_xll.BDH($C$353,"INC_BEF_XO_ITEMS_TO_NET_SALES","FY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73" t="e">
        <f ca="1">_xll.BDH($C$353,"PROF_MARGIN","FY 2018","FY 2018","Currency=INR","Period=FY","BEST_FPERIOD_OVERRIDE=FY","FILING_STATUS=OR","EQY_CONSOLIDATED=Y","FA_ADJUSTED=GAAP","Sort=A","Dates=H","DateFormat=P","Fill=—","Direction=H","UseDPDF=Y")</f>
        <v>#NAME?</v>
      </c>
      <c r="P373" t="e">
        <f ca="1">_xll.BDH($C$353,"NET_INCOME_TO_COMMON_MARGIN","FY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73" t="e">
        <f ca="1">_xll.BDH($C$353,"EFF_TAX_RATE","FY 2018","FY 2018","Currency=INR","Period=FY","BEST_FPERIOD_OVERRIDE=FY","FILING_STATUS=OR","EQY_CONSOLIDATED=Y","FA_ADJUSTED=GAAP","Sort=A","Dates=H","DateFormat=P","Fill=—","Direction=H","UseDPDF=Y")</f>
        <v>#NAME?</v>
      </c>
      <c r="R373" t="e">
        <f ca="1">_xll.BDH($C$353,"DVD_PAYOUT_RATIO","FY 2018","FY 2018","Currency=INR","Period=FY","BEST_FPERIOD_OVERRIDE=FY","FILING_STATUS=OR","EQY_CONSOLIDATED=Y","FA_ADJUSTED=GAAP","Sort=A","Dates=H","DateFormat=P","Fill=—","Direction=H","UseDPDF=Y")</f>
        <v>#NAME?</v>
      </c>
      <c r="S373" t="e">
        <f ca="1">_xll.BDH($C$353,"SUSTAIN_GROWTH_RT","FY 2018","FY 2018","Currency=INR","Period=FY","BEST_FPERIOD_OVERRIDE=FY","FILING_STATUS=OR","EQY_CONSOLIDATED=Y","FA_ADJUSTED=GAAP","Sort=A","Dates=H","DateFormat=P","Fill=—","Direction=H","UseDPDF=Y")</f>
        <v>#NAME?</v>
      </c>
      <c r="T373" s="2" t="e">
        <f ca="1">_xll.BDH($C$353,"SALES_GROWTH","FY 2018","FY 2018","Currency=INR","Period=FY","BEST_FPERIOD_OVERRIDE=FY","FILING_STATUS=OR","EQY_CONSOLIDATED=Y","FA_ADJUSTED=GAAP","Sort=A","Dates=H","DateFormat=P","Fill=—","Direction=H","UseDPDF=Y")</f>
        <v>#NAME?</v>
      </c>
      <c r="U373" s="2" t="e">
        <f ca="1">_xll.BDH($C$353,"EBITDA_GROWTH","FY 2018","FY 2018","Currency=INR","Period=FY","BEST_FPERIOD_OVERRIDE=FY","FILING_STATUS=OR","EQY_CONSOLIDATED=Y","FA_ADJUSTED=GAAP","Sort=A","Dates=H","DateFormat=P","Fill=—","Direction=H","UseDPDF=Y")</f>
        <v>#NAME?</v>
      </c>
      <c r="V373" s="2" t="e">
        <f ca="1">_xll.BDH($C$353,"OPER_INC_GROWTH","FY 2018","FY 2018","Currency=INR","Period=FY","BEST_FPERIOD_OVERRIDE=FY","FILING_STATUS=OR","EQY_CONSOLIDATED=Y","FA_ADJUSTED=GAAP","Sort=A","Dates=H","DateFormat=P","Fill=—","Direction=H","UseDPDF=Y")</f>
        <v>#NAME?</v>
      </c>
      <c r="W373" s="2" t="e">
        <f ca="1">_xll.BDH($C$353,"EARN_FOR_COM_GROWTH","FY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373" s="2" t="e">
        <f ca="1">_xll.BDH($C$353,"DILUTED_EPS_AFT_XO_ITEMS_GROWTH","FY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73" s="2" t="e">
        <f ca="1">_xll.BDH($C$353,"DIVIDEND_PER_SHARE_1_YEAR_GROWTH","FY 2018","FY 2018","Currency=INR","Period=FY","BEST_FPERIOD_OVERRIDE=FY","FILING_STATUS=OR","EQY_CONSOLIDATED=Y","Sort=A","Dates=H","DateFormat=P","Fill=—","Direction=H","UseDPDF=Y")</f>
        <v>#NAME?</v>
      </c>
      <c r="Z373" s="2" t="e">
        <f ca="1">_xll.BDH($C$353,"ACCOUNTS_RECEIVABLE_GROWTH","FY 2018","FY 2018","Currency=INR","Period=FY","BEST_FPERIOD_OVERRIDE=FY","FILING_STATUS=OR","EQY_CONSOLIDATED=Y","Sort=A","Dates=H","DateFormat=P","Fill=—","Direction=H","UseDPDF=Y")</f>
        <v>#NAME?</v>
      </c>
      <c r="AA373" s="2" t="e">
        <f ca="1">_xll.BDH($C$353,"INVENTORY_GROWTH","FY 2018","FY 2018","Currency=INR","Period=FY","BEST_FPERIOD_OVERRIDE=FY","FILING_STATUS=OR","EQY_CONSOLIDATED=Y","Sort=A","Dates=H","DateFormat=P","Fill=—","Direction=H","UseDPDF=Y")</f>
        <v>#NAME?</v>
      </c>
      <c r="AB373" s="2" t="e">
        <f ca="1">_xll.BDH($C$353,"NET_FIXED_ASSETS_1_YEAR_GROWTH","FY 2018","FY 2018","Currency=INR","Period=FY","BEST_FPERIOD_OVERRIDE=FY","FILING_STATUS=OR","EQY_CONSOLIDATED=Y","Sort=A","Dates=H","DateFormat=P","Fill=—","Direction=H","UseDPDF=Y")</f>
        <v>#NAME?</v>
      </c>
      <c r="AC373" s="2" t="e">
        <f ca="1">_xll.BDH($C$353,"ASSET_GROWTH","FY 2018","FY 2018","Currency=INR","Period=FY","BEST_FPERIOD_OVERRIDE=FY","FILING_STATUS=OR","EQY_CONSOLIDATED=Y","Sort=A","Dates=H","DateFormat=P","Fill=—","Direction=H","UseDPDF=Y")</f>
        <v>#NAME?</v>
      </c>
      <c r="AD373" s="2" t="e">
        <f ca="1">_xll.BDH($C$353,"MODIFIED_WORK_CAP_GROWTH","FY 2018","FY 2018","Currency=INR","Period=FY","BEST_FPERIOD_OVERRIDE=FY","FILING_STATUS=OR","EQY_CONSOLIDATED=Y","Sort=A","Dates=H","DateFormat=P","Fill=—","Direction=H","UseDPDF=Y")</f>
        <v>#NAME?</v>
      </c>
      <c r="AE373" s="2" t="e">
        <f ca="1">_xll.BDH($C$353,"WORK_CAP_GROWTH","FY 2018","FY 2018","Currency=INR","Period=FY","BEST_FPERIOD_OVERRIDE=FY","FILING_STATUS=OR","EQY_CONSOLIDATED=Y","Sort=A","Dates=H","DateFormat=P","Fill=—","Direction=H","UseDPDF=Y")</f>
        <v>#NAME?</v>
      </c>
      <c r="AF373" s="2" t="e">
        <f ca="1">_xll.BDH($C$353,"ACCOUNTS_PAYABLE_GROWTH_1YR","FY 2018","FY 2018","Currency=INR","Period=FY","BEST_FPERIOD_OVERRIDE=FY","FILING_STATUS=OR","EQY_CONSOLIDATED=Y","Sort=A","Dates=H","DateFormat=P","Fill=—","Direction=H","UseDPDF=Y")</f>
        <v>#NAME?</v>
      </c>
      <c r="AG373" s="2" t="e">
        <f ca="1">_xll.BDH($C$353,"SHORT_TERM_DEBT_1_YEAR_GROWTH","FY 2018","FY 2018","Currency=INR","Period=FY","BEST_FPERIOD_OVERRIDE=FY","FILING_STATUS=OR","EQY_CONSOLIDATED=Y","Sort=A","Dates=H","DateFormat=P","Fill=—","Direction=H","UseDPDF=Y")</f>
        <v>#NAME?</v>
      </c>
      <c r="AH373" s="2" t="e">
        <f ca="1">_xll.BDH($C$353,"TOTAL_DEBT_1_YEAR_GROWTH","FY 2018","FY 2018","Currency=INR","Period=FY","BEST_FPERIOD_OVERRIDE=FY","FILING_STATUS=OR","EQY_CONSOLIDATED=Y","Sort=A","Dates=H","DateFormat=P","Fill=—","Direction=H","UseDPDF=Y")</f>
        <v>#NAME?</v>
      </c>
      <c r="AI373" s="2" t="e">
        <f ca="1">_xll.BDH($C$353,"TOTAL_EQUITY_1_YEAR_GROWTH","FY 2018","FY 2018","Currency=INR","Period=FY","BEST_FPERIOD_OVERRIDE=FY","FILING_STATUS=OR","EQY_CONSOLIDATED=Y","Sort=A","Dates=H","DateFormat=P","Fill=—","Direction=H","UseDPDF=Y")</f>
        <v>#NAME?</v>
      </c>
      <c r="AJ373" s="2" t="e">
        <f ca="1">_xll.BDH($C$353,"GROWTH_IN_CAP","FY 2018","FY 2018","Currency=INR","Period=FY","BEST_FPERIOD_OVERRIDE=FY","FILING_STATUS=OR","EQY_CONSOLIDATED=Y","Sort=A","Dates=H","DateFormat=P","Fill=—","Direction=H","UseDPDF=Y")</f>
        <v>#NAME?</v>
      </c>
      <c r="AK373" s="2" t="e">
        <f ca="1">_xll.BDH($C$353,"BVPS_GROWTH","FY 2018","FY 2018","Currency=INR","Period=FY","BEST_FPERIOD_OVERRIDE=FY","FILING_STATUS=OR","EQY_CONSOLIDATED=Y","Sort=A","Dates=H","DateFormat=P","Fill=—","Direction=H","UseDPDF=Y")</f>
        <v>#NAME?</v>
      </c>
      <c r="AL373" s="2" t="e">
        <f ca="1">_xll.BDH($C$353,"CASH_FLOW_GROWTH","FY 2018","FY 2018","Currency=INR","Period=FY","BEST_FPERIOD_OVERRIDE=FY","FILING_STATUS=OR","EQY_CONSOLIDATED=Y","Sort=A","Dates=H","DateFormat=P","Fill=—","Direction=H","UseDPDF=Y")</f>
        <v>#NAME?</v>
      </c>
      <c r="AM373" s="2" t="e">
        <f ca="1">_xll.BDH($C$353,"GEO_GROW_NET_SALES","FY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373" s="2" t="e">
        <f ca="1">_xll.BDH($C$353,"GEO_GROW_EBITDA","FY 2018","FY 2018","Currency=INR","Period=FY","BEST_FPERIOD_OVERRIDE=FY","FILING_STATUS=OR","EQY_CONSOLIDATED=Y","FA_ADJUSTED=GAAP","Sort=A","Dates=H","DateFormat=P","Fill=—","Direction=H","UseDPDF=Y")</f>
        <v>#NAME?</v>
      </c>
      <c r="AO373" s="2" t="e">
        <f ca="1">_xll.BDH($C$353,"GEO_GROW_OPER_INC","FY 2018","FY 2018","Currency=INR","Period=FY","BEST_FPERIOD_OVERRIDE=FY","FILING_STATUS=OR","EQY_CONSOLIDATED=Y","FA_ADJUSTED=GAAP","Sort=A","Dates=H","DateFormat=P","Fill=—","Direction=H","UseDPDF=Y")</f>
        <v>#NAME?</v>
      </c>
      <c r="AP373" s="2" t="e">
        <f ca="1">_xll.BDH($C$353,"NET_INCOME_TO_COMMON_5_YR_GROWTH","FY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73" s="2" t="e">
        <f ca="1">_xll.BDH($C$353,"5Y_GEO_GROWTH_DILUTED_EPS","FY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73" s="2" t="e">
        <f ca="1">_xll.BDH($C$353,"GEO_GROW_DVD_PER_SH","FY 2018","FY 2018","Currency=INR","Period=FY","BEST_FPERIOD_OVERRIDE=FY","FILING_STATUS=OR","EQY_CONSOLIDATED=Y","Sort=A","Dates=H","DateFormat=P","Fill=—","Direction=H","UseDPDF=Y")</f>
        <v>#NAME?</v>
      </c>
      <c r="AS373" s="2" t="e">
        <f ca="1">_xll.BDH($C$353,"ACCOUNTS_RECEIVABLE_5_YR_GROWTH","FY 2018","FY 2018","Currency=INR","Period=FY","BEST_FPERIOD_OVERRIDE=FY","FILING_STATUS=OR","EQY_CONSOLIDATED=Y","Sort=A","Dates=H","DateFormat=P","Fill=—","Direction=H","UseDPDF=Y")</f>
        <v>#NAME?</v>
      </c>
      <c r="AT373" s="2" t="e">
        <f ca="1">_xll.BDH($C$353,"INVENTORY_5_YEAR_GROWTH","FY 2018","FY 2018","Currency=INR","Period=FY","BEST_FPERIOD_OVERRIDE=FY","FILING_STATUS=OR","EQY_CONSOLIDATED=Y","Sort=A","Dates=H","DateFormat=P","Fill=—","Direction=H","UseDPDF=Y")</f>
        <v>#NAME?</v>
      </c>
      <c r="AU373" s="2" t="e">
        <f ca="1">_xll.BDH($C$353,"NET_FIXED_ASSETS_5_YEAR_GROWTH","FY 2018","FY 2018","Currency=INR","Period=FY","BEST_FPERIOD_OVERRIDE=FY","FILING_STATUS=OR","EQY_CONSOLIDATED=Y","Sort=A","Dates=H","DateFormat=P","Fill=—","Direction=H","UseDPDF=Y")</f>
        <v>#NAME?</v>
      </c>
      <c r="AV373" s="2" t="e">
        <f ca="1">_xll.BDH($C$353,"GEO_GROW_TOT_ASSET","FY 2018","FY 2018","Currency=INR","Period=FY","BEST_FPERIOD_OVERRIDE=FY","FILING_STATUS=OR","EQY_CONSOLIDATED=Y","Sort=A","Dates=H","DateFormat=P","Fill=—","Direction=H","UseDPDF=Y")</f>
        <v>#NAME?</v>
      </c>
      <c r="AW373" s="2" t="e">
        <f ca="1">_xll.BDH($C$353,"MODIFIED_WORKING_CPTL_5YR_GRWTH","FY 2018","FY 2018","Currency=INR","Period=FY","BEST_FPERIOD_OVERRIDE=FY","FILING_STATUS=OR","EQY_CONSOLIDATED=Y","Sort=A","Dates=H","DateFormat=P","Fill=—","Direction=H","UseDPDF=Y")</f>
        <v>#NAME?</v>
      </c>
      <c r="AX373" s="2" t="e">
        <f ca="1">_xll.BDH($C$353,"WORKING_CAPITAL_5_YEAR_GROWTH","FY 2018","FY 2018","Currency=INR","Period=FY","BEST_FPERIOD_OVERRIDE=FY","FILING_STATUS=OR","EQY_CONSOLIDATED=Y","Sort=A","Dates=H","DateFormat=P","Fill=—","Direction=H","UseDPDF=Y")</f>
        <v>#NAME?</v>
      </c>
      <c r="AY373" s="2" t="e">
        <f ca="1">_xll.BDH($C$353,"ACCOUNTS_PAYABLE_5_YEAR_GROWTH","FY 2018","FY 2018","Currency=INR","Period=FY","BEST_FPERIOD_OVERRIDE=FY","FILING_STATUS=OR","EQY_CONSOLIDATED=Y","Sort=A","Dates=H","DateFormat=P","Fill=—","Direction=H","UseDPDF=Y")</f>
        <v>#NAME?</v>
      </c>
      <c r="AZ373" s="2" t="e">
        <f ca="1">_xll.BDH($C$353,"SHORT_TERM_DEBT_5_YEAR_GROWTH","FY 2018","FY 2018","Currency=INR","Period=FY","BEST_FPERIOD_OVERRIDE=FY","FILING_STATUS=OR","EQY_CONSOLIDATED=Y","Sort=A","Dates=H","DateFormat=P","Fill=—","Direction=H","UseDPDF=Y")</f>
        <v>#NAME?</v>
      </c>
      <c r="BA373" s="2" t="e">
        <f ca="1">_xll.BDH($C$353,"TOTAL_DEBT_5_YEAR_GROWTH","FY 2018","FY 2018","Currency=INR","Period=FY","BEST_FPERIOD_OVERRIDE=FY","FILING_STATUS=OR","EQY_CONSOLIDATED=Y","Sort=A","Dates=H","DateFormat=P","Fill=—","Direction=H","UseDPDF=Y")</f>
        <v>#NAME?</v>
      </c>
      <c r="BB373" s="2" t="e">
        <f ca="1">_xll.BDH($C$353,"GEO_GROW_TOT_SHRHLDR_EQY","FY 2018","FY 2018","Currency=INR","Period=FY","BEST_FPERIOD_OVERRIDE=FY","FILING_STATUS=OR","EQY_CONSOLIDATED=Y","Sort=A","Dates=H","DateFormat=P","Fill=—","Direction=H","UseDPDF=Y")</f>
        <v>#NAME?</v>
      </c>
      <c r="BC373" s="2" t="e">
        <f ca="1">_xll.BDH($C$353,"TOTAL_CAPITAL_5_YEAR_GROWTH","FY 2018","FY 2018","Currency=INR","Period=FY","BEST_FPERIOD_OVERRIDE=FY","FILING_STATUS=OR","EQY_CONSOLIDATED=Y","Sort=A","Dates=H","DateFormat=P","Fill=—","Direction=H","UseDPDF=Y")</f>
        <v>#NAME?</v>
      </c>
      <c r="BD373" s="2" t="e">
        <f ca="1">_xll.BDH($C$353,"GEO_GROW_BOOK_VAL","FY 2018","FY 2018","Currency=INR","Period=FY","BEST_FPERIOD_OVERRIDE=FY","FILING_STATUS=OR","EQY_CONSOLIDATED=Y","Sort=A","Dates=H","DateFormat=P","Fill=—","Direction=H","UseDPDF=Y")</f>
        <v>#NAME?</v>
      </c>
      <c r="BE373" s="2" t="e">
        <f ca="1">_xll.BDH($C$353,"GEO_GROW_CASH_OPER_ACT","FY 2018","FY 2018","Currency=INR","Period=FY","BEST_FPERIOD_OVERRIDE=FY","FILING_STATUS=OR","EQY_CONSOLIDATED=Y","Sort=A","Dates=H","DateFormat=P","Fill=—","Direction=H","UseDPDF=Y")</f>
        <v>#NAME?</v>
      </c>
      <c r="BF373" s="2" t="e">
        <f ca="1">_xll.BDH($C$353,"REVENUE_SEQUENTIAL_GROWTH","FY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73" s="2" t="e">
        <f ca="1">_xll.BDH($C$353,"EBITDA_SEQUENTIAL_GROWTH","FY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73" s="2" t="e">
        <f ca="1">_xll.BDH($C$353,"OPERATING_INCOME_SEQ_GROWTH","FY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73" s="2" t="e">
        <f ca="1">_xll.BDH($C$353,"NET_INCOME_TO_COMMON_SEQ_GROWTH","FY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73" s="2" t="e">
        <f ca="1">_xll.BDH($C$353,"EPS_DILUTED_SEQUENTIAL_GROWTH","FY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73" s="2" t="e">
        <f ca="1">_xll.BDH($C$353,"DPS_SEQUENTIAL_GROWTH","FY 2018","FY 2018","Currency=INR","Period=FY","BEST_FPERIOD_OVERRIDE=FY","FILING_STATUS=OR","EQY_CONSOLIDATED=Y","Sort=A","Dates=H","DateFormat=P","Fill=—","Direction=H","UseDPDF=Y")</f>
        <v>#NAME?</v>
      </c>
      <c r="BL373" s="2" t="e">
        <f ca="1">_xll.BDH($C$353,"ACCOUNTS_RECEIVABLE_SEQ_GROWTH","FY 2018","FY 2018","Currency=INR","Period=FY","BEST_FPERIOD_OVERRIDE=FY","FILING_STATUS=OR","EQY_CONSOLIDATED=Y","Sort=A","Dates=H","DateFormat=P","Fill=—","Direction=H","UseDPDF=Y")</f>
        <v>#NAME?</v>
      </c>
      <c r="BM373" s="2" t="e">
        <f ca="1">_xll.BDH($C$353,"INVENTORY_SEQUENTIAL_GROWTH","FY 2018","FY 2018","Currency=INR","Period=FY","BEST_FPERIOD_OVERRIDE=FY","FILING_STATUS=OR","EQY_CONSOLIDATED=Y","Sort=A","Dates=H","DateFormat=P","Fill=—","Direction=H","UseDPDF=Y")</f>
        <v>#NAME?</v>
      </c>
      <c r="BN373" s="2" t="e">
        <f ca="1">_xll.BDH($C$353,"FIXED_ASSETS_SEQUENTIAL_GROWTH","FY 2018","FY 2018","Currency=INR","Period=FY","BEST_FPERIOD_OVERRIDE=FY","FILING_STATUS=OR","EQY_CONSOLIDATED=Y","Sort=A","Dates=H","DateFormat=P","Fill=—","Direction=H","UseDPDF=Y")</f>
        <v>#NAME?</v>
      </c>
      <c r="BO373" s="2" t="e">
        <f ca="1">_xll.BDH($C$353,"TOTAL_ASSETS_SEQUENTIAL_GROWTH","FY 2018","FY 2018","Currency=INR","Period=FY","BEST_FPERIOD_OVERRIDE=FY","FILING_STATUS=OR","EQY_CONSOLIDATED=Y","Sort=A","Dates=H","DateFormat=P","Fill=—","Direction=H","UseDPDF=Y")</f>
        <v>#NAME?</v>
      </c>
      <c r="BP373" s="2" t="e">
        <f ca="1">_xll.BDH($C$353,"MODIFIED_WORKING_CPTL_SEQ_GRWTH","FY 2018","FY 2018","Currency=INR","Period=FY","BEST_FPERIOD_OVERRIDE=FY","FILING_STATUS=OR","EQY_CONSOLIDATED=Y","Sort=A","Dates=H","DateFormat=P","Fill=—","Direction=H","UseDPDF=Y")</f>
        <v>#NAME?</v>
      </c>
      <c r="BQ373" s="2" t="e">
        <f ca="1">_xll.BDH($C$353,"WORKING_CAPITAL_SEQ_GROWTH","FY 2018","FY 2018","Currency=INR","Period=FY","BEST_FPERIOD_OVERRIDE=FY","FILING_STATUS=OR","EQY_CONSOLIDATED=Y","Sort=A","Dates=H","DateFormat=P","Fill=—","Direction=H","UseDPDF=Y")</f>
        <v>#NAME?</v>
      </c>
      <c r="BR373" s="2" t="e">
        <f ca="1">_xll.BDH($C$353,"ACCOUNTS_PAYABLE_SEQ_GROWTH","FY 2018","FY 2018","Currency=INR","Period=FY","BEST_FPERIOD_OVERRIDE=FY","FILING_STATUS=OR","EQY_CONSOLIDATED=Y","Sort=A","Dates=H","DateFormat=P","Fill=—","Direction=H","UseDPDF=Y")</f>
        <v>#NAME?</v>
      </c>
      <c r="BS373" s="2" t="e">
        <f ca="1">_xll.BDH($C$353,"ST_DEBT_SEQUENTIAL_GROWTH","FY 2018","FY 2018","Currency=INR","Period=FY","BEST_FPERIOD_OVERRIDE=FY","FILING_STATUS=OR","EQY_CONSOLIDATED=Y","Sort=A","Dates=H","DateFormat=P","Fill=—","Direction=H","UseDPDF=Y")</f>
        <v>#NAME?</v>
      </c>
      <c r="BT373" s="2" t="e">
        <f ca="1">_xll.BDH($C$353,"TOTAL_DEBT_SEQUENTIAL_GROWTH","FY 2018","FY 2018","Currency=INR","Period=FY","BEST_FPERIOD_OVERRIDE=FY","FILING_STATUS=OR","EQY_CONSOLIDATED=Y","Sort=A","Dates=H","DateFormat=P","Fill=—","Direction=H","UseDPDF=Y")</f>
        <v>#NAME?</v>
      </c>
      <c r="BU373" s="2" t="e">
        <f ca="1">_xll.BDH($C$353,"TOTAL_EQUITY_SEQUENTIAL_GROWTH","FY 2018","FY 2018","Currency=INR","Period=FY","BEST_FPERIOD_OVERRIDE=FY","FILING_STATUS=OR","EQY_CONSOLIDATED=Y","Sort=A","Dates=H","DateFormat=P","Fill=—","Direction=H","UseDPDF=Y")</f>
        <v>#NAME?</v>
      </c>
      <c r="BV373" s="2" t="e">
        <f ca="1">_xll.BDH($C$353,"TOTAL_CAPITAL_SEQUENTIAL_GROWTH","FY 2018","FY 2018","Currency=INR","Period=FY","BEST_FPERIOD_OVERRIDE=FY","FILING_STATUS=OR","EQY_CONSOLIDATED=Y","Sort=A","Dates=H","DateFormat=P","Fill=—","Direction=H","UseDPDF=Y")</f>
        <v>#NAME?</v>
      </c>
      <c r="BW373" s="2" t="e">
        <f ca="1">_xll.BDH($C$353,"BPS_SEQUENTIAL_GROWTH","FY 2018","FY 2018","Currency=INR","Period=FY","BEST_FPERIOD_OVERRIDE=FY","FILING_STATUS=OR","EQY_CONSOLIDATED=Y","Sort=A","Dates=H","DateFormat=P","Fill=—","Direction=H","UseDPDF=Y")</f>
        <v>#NAME?</v>
      </c>
      <c r="BX373" s="2" t="e">
        <f ca="1">_xll.BDH($C$353,"CFO_SEQUENTIAL_GROWTH","FY 2018","FY 2018","Currency=INR","Period=FY","BEST_FPERIOD_OVERRIDE=FY","FILING_STATUS=OR","EQY_CONSOLIDATED=Y","Sort=A","Dates=H","DateFormat=P","Fill=—","Direction=H","UseDPDF=Y")</f>
        <v>#NAME?</v>
      </c>
      <c r="BY373" s="3" t="e">
        <f ca="1">_xll.BDH($C$353,"SHORT_AND_LONG_TERM_DEBT","FY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73" s="3" t="e">
        <f ca="1">_xll.BDH($C$353,"BS_ST_BORROW","FY 2018","FY 2018","Currency=INR","Period=FY","BEST_FPERIOD_OVERRIDE=FY","FILING_STATUS=OR","EQY_CONSOLIDATED=Y","SCALING_FORMAT=MLN","Sort=A","Dates=H","DateFormat=P","Fill=—","Direction=H","UseDPDF=Y")</f>
        <v>#NAME?</v>
      </c>
      <c r="CA373" s="3" t="e">
        <f ca="1">_xll.BDH($C$353,"BS_LT_BORROW","FY 2018","FY 2018","Currency=INR","Period=FY","BEST_FPERIOD_OVERRIDE=FY","FILING_STATUS=OR","EQY_CONSOLIDATED=Y","SCALING_FORMAT=MLN","Sort=A","Dates=H","DateFormat=P","Fill=—","Direction=H","UseDPDF=Y")</f>
        <v>#NAME?</v>
      </c>
      <c r="CB373" s="2" t="e">
        <f ca="1">_xll.BDH($C$353,"TOT_DEBT_TO_EBITDA","FY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373" s="2" t="e">
        <f ca="1">_xll.BDH($C$353,"NET_DEBT_TO_EBITDA","FY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373" s="2" t="e">
        <f ca="1">_xll.BDH($C$353,"TOTAL_DEBT_TO_EBIT","FY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373" s="2" t="e">
        <f ca="1">_xll.BDH($C$353,"NET_DEBT_TO_EBIT","FY 2018","FY 2018","Currency=INR","Period=FY","BEST_FPERIOD_OVERRIDE=FY","FILING_STATUS=OR","EQY_CONSOLIDATED=Y","FA_ADJUSTED=GAAP","Sort=A","Dates=H","DateFormat=P","Fill=—","Direction=H","UseDPDF=Y")</f>
        <v>#NAME?</v>
      </c>
      <c r="CF373" s="2" t="e">
        <f ca="1">_xll.BDH($C$353,"EBITDA_TO_INTEREST_EXPN","FY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73" s="2" t="e">
        <f ca="1">_xll.BDH($C$353,"COM_EQY_TO_TOT_ASSET","FY 2018","FY 2018","Currency=INR","Period=FY","BEST_FPERIOD_OVERRIDE=FY","FILING_STATUS=OR","EQY_CONSOLIDATED=Y","Sort=A","Dates=H","DateFormat=P","Fill=—","Direction=H","UseDPDF=Y")</f>
        <v>#NAME?</v>
      </c>
      <c r="CH373" s="2" t="e">
        <f ca="1">_xll.BDH($C$353,"LT_DEBT_TO_TOT_EQY","FY 2018","FY 2018","Currency=INR","Period=FY","BEST_FPERIOD_OVERRIDE=FY","FILING_STATUS=OR","EQY_CONSOLIDATED=Y","Sort=A","Dates=H","DateFormat=P","Fill=—","Direction=H","UseDPDF=Y")</f>
        <v>#NAME?</v>
      </c>
      <c r="CI373" s="2" t="e">
        <f ca="1">_xll.BDH($C$353,"LT_DEBT_TO_TOT_CAP","FY 2018","FY 2018","Currency=INR","Period=FY","BEST_FPERIOD_OVERRIDE=FY","FILING_STATUS=OR","EQY_CONSOLIDATED=Y","Sort=A","Dates=H","DateFormat=P","Fill=—","Direction=H","UseDPDF=Y")</f>
        <v>#NAME?</v>
      </c>
      <c r="CJ373" s="2" t="e">
        <f ca="1">_xll.BDH($C$353,"LT_DEBT_TO_TOT_ASSET","FY 2018","FY 2018","Currency=INR","Period=FY","BEST_FPERIOD_OVERRIDE=FY","FILING_STATUS=OR","EQY_CONSOLIDATED=Y","Sort=A","Dates=H","DateFormat=P","Fill=—","Direction=H","UseDPDF=Y")</f>
        <v>#NAME?</v>
      </c>
      <c r="CK373" s="2" t="e">
        <f ca="1">_xll.BDH($C$353,"TOT_DEBT_TO_TOT_EQY","FY 2018","FY 2018","Currency=INR","Period=FY","BEST_FPERIOD_OVERRIDE=FY","FILING_STATUS=OR","EQY_CONSOLIDATED=Y","Sort=A","Dates=H","DateFormat=P","Fill=—","Direction=H","UseDPDF=Y")</f>
        <v>#NAME?</v>
      </c>
      <c r="CL373" s="2" t="e">
        <f ca="1">_xll.BDH($C$353,"TOT_DEBT_TO_TOT_CAP","FY 2018","FY 2018","Currency=INR","Period=FY","BEST_FPERIOD_OVERRIDE=FY","FILING_STATUS=OR","EQY_CONSOLIDATED=Y","Sort=A","Dates=H","DateFormat=P","Fill=—","Direction=H","UseDPDF=Y")</f>
        <v>#NAME?</v>
      </c>
      <c r="CM373" s="2" t="e">
        <f ca="1">_xll.BDH($C$353,"TOT_DEBT_TO_TOT_ASSET","FY 2018","FY 2018","Currency=INR","Period=FY","BEST_FPERIOD_OVERRIDE=FY","FILING_STATUS=OR","EQY_CONSOLIDATED=Y","Sort=A","Dates=H","DateFormat=P","Fill=—","Direction=H","UseDPDF=Y")</f>
        <v>#NAME?</v>
      </c>
      <c r="CN373" s="2" t="e">
        <f ca="1">_xll.BDH($C$353,"NET_DEBT_TO_SHRHLDR_EQTY","FY 2018","FY 2018","Currency=INR","Period=FY","BEST_FPERIOD_OVERRIDE=FY","FILING_STATUS=OR","EQY_CONSOLIDATED=Y","Sort=A","Dates=H","DateFormat=P","Fill=—","Direction=H","UseDPDF=Y")</f>
        <v>#NAME?</v>
      </c>
      <c r="CO373" s="2" t="e">
        <f ca="1">_xll.BDH($C$353,"NET_DEBT_%_CAPITAL","FY 2018","FY 2018","Currency=INR","Period=FY","BEST_FPERIOD_OVERRIDE=FY","FILING_STATUS=OR","EQY_CONSOLIDATED=Y","Sort=A","Dates=H","DateFormat=P","Fill=—","Direction=H","UseDPDF=Y")</f>
        <v>#NAME?</v>
      </c>
      <c r="CP373" s="3" t="e">
        <f ca="1">_xll.BDH($C$353,"EBITDA","FY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73" s="3" t="e">
        <f ca="1">_xll.BDH($C$353,"EBITDA_AFTER_CAPEX","FY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73" s="3" t="e">
        <f ca="1">_xll.BDH($C$353,"IS_OPER_INC","FY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73" s="2" t="e">
        <f ca="1">_xll.BDH($C$353,"CASH_RATIO","FY 2018","FY 2018","Currency=INR","Period=FY","BEST_FPERIOD_OVERRIDE=FY","FILING_STATUS=OR","EQY_CONSOLIDATED=Y","Sort=A","Dates=H","DateFormat=P","Fill=—","Direction=H","UseDPDF=Y")</f>
        <v>#NAME?</v>
      </c>
      <c r="CT373" s="2" t="e">
        <f ca="1">_xll.BDH($C$353,"CUR_RATIO","FY 2018","FY 2018","Currency=INR","Period=FY","BEST_FPERIOD_OVERRIDE=FY","FILING_STATUS=OR","EQY_CONSOLIDATED=Y","Sort=A","Dates=H","DateFormat=P","Fill=—","Direction=H","UseDPDF=Y")</f>
        <v>#NAME?</v>
      </c>
      <c r="CU373" s="2" t="e">
        <f ca="1">_xll.BDH($C$353,"QUICK_RATIO","FY 2018","FY 2018","Currency=INR","Period=FY","BEST_FPERIOD_OVERRIDE=FY","FILING_STATUS=OR","EQY_CONSOLIDATED=Y","Sort=A","Dates=H","DateFormat=P","Fill=—","Direction=H","UseDPDF=Y")</f>
        <v>#NAME?</v>
      </c>
      <c r="CV373" s="2" t="e">
        <f ca="1">_xll.BDH($C$353,"ALTMAN_Z_SCORE","FY 2018","FY 2018","Currency=INR","Period=FY","BEST_FPERIOD_OVERRIDE=FY","FILING_STATUS=OR","EQY_CONSOLIDATED=Y","Sort=A","Dates=H","DateFormat=P","Fill=—","Direction=H","UseDPDF=Y")</f>
        <v>#NAME?</v>
      </c>
      <c r="CW373" s="4" t="e">
        <f ca="1">_xll.BDH($C$353,"ACCT_RCV_TURN","FY 2018","FY 2018","Currency=INR","Period=FY","BEST_FPERIOD_OVERRIDE=FY","FILING_STATUS=OR","EQY_CONSOLIDATED=Y","FA_ADJUSTED=GAAP","Sort=A","Dates=H","DateFormat=P","Fill=—","Direction=H","UseDPDF=Y")</f>
        <v>#NAME?</v>
      </c>
      <c r="CX373" s="2" t="e">
        <f ca="1">_xll.BDH($C$353,"ACCT_RCV_DAYS","FY 2018","FY 2018","Currency=INR","Period=FY","BEST_FPERIOD_OVERRIDE=FY","FILING_STATUS=OR","EQY_CONSOLIDATED=Y","FA_ADJUSTED=GAAP","Sort=A","Dates=H","DateFormat=P","Fill=—","Direction=H","UseDPDF=Y")</f>
        <v>#NAME?</v>
      </c>
      <c r="CY373" s="4" t="e">
        <f ca="1">_xll.BDH($C$353,"INVENT_TURN","FY 2018","FY 2018","Currency=INR","Period=FY","BEST_FPERIOD_OVERRIDE=FY","FILING_STATUS=OR","EQY_CONSOLIDATED=Y","FA_ADJUSTED=GAAP","Sort=A","Dates=H","DateFormat=P","Fill=—","Direction=H","UseDPDF=Y")</f>
        <v>#NAME?</v>
      </c>
      <c r="CZ373" s="2" t="e">
        <f ca="1">_xll.BDH($C$353,"INVENT_DAYS","FY 2018","FY 2018","Currency=INR","Period=FY","BEST_FPERIOD_OVERRIDE=FY","FILING_STATUS=OR","EQY_CONSOLIDATED=Y","FA_ADJUSTED=GAAP","Sort=A","Dates=H","DateFormat=P","Fill=—","Direction=H","UseDPDF=Y")</f>
        <v>#NAME?</v>
      </c>
      <c r="DA373" s="4" t="e">
        <f ca="1">_xll.BDH($C$353,"ACCOUNTS_PAYABLE_TURNOVER","FY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73" s="2" t="e">
        <f ca="1">_xll.BDH($C$353,"ACCOUNTS_PAYABLE_TURNOVER_DAYS","FY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73" s="4" t="e">
        <f ca="1">_xll.BDH($C$353,"CASH_CONVERSION_CYCLE","FY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73" s="4" t="e">
        <f ca="1">_xll.BDH($C$353,"INV_TO_CASH_DAYS","FY 2018","FY 2018","Currency=INR","Period=FY","BEST_FPERIOD_OVERRIDE=FY","FILING_STATUS=OR","EQY_CONSOLIDATED=Y","FA_ADJUSTED=GAAP","Sort=A","Dates=H","DateFormat=P","Fill=—","Direction=H","UseDPDF=Y")</f>
        <v>#NAME?</v>
      </c>
      <c r="DE373" s="5" t="e">
        <f ca="1">_xll.BDH($C$353,"BS_INVENTORIES","FY 2018","FY 2018","Currency=INR","Period=FY","BEST_FPERIOD_OVERRIDE=FY","FILING_STATUS=OR","EQY_CONSOLIDATED=Y","SCALING_FORMAT=MLN","Sort=A","Dates=H","DateFormat=P","Fill=—","Direction=H","UseDPDF=Y")</f>
        <v>#NAME?</v>
      </c>
      <c r="DF373" s="3" t="e">
        <f ca="1">_xll.BDH($C$353,"INVTRY_RAW_MATERIALS","FY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73" s="3" t="e">
        <f ca="1">_xll.BDH($C$353,"INVTRY_IN_PROGRESS","FY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73" s="3" t="e">
        <f ca="1">_xll.BDH($C$353,"INVTRY_FINISHED_GOODS","FY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73" s="3" t="e">
        <f ca="1">_xll.BDH($C$353,"BS_OTHER_INV","FY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74" spans="1:113" x14ac:dyDescent="0.3">
      <c r="A374" s="6"/>
      <c r="B374" s="6"/>
      <c r="C374" s="6"/>
      <c r="D374" s="6"/>
      <c r="E374" t="s">
        <v>78</v>
      </c>
      <c r="F374" t="e">
        <f ca="1">_xll.BDH($C$353,"RETURN_COM_EQY","FQ1 2018","FQ1 2018","Currency=INR","Period=FQ","BEST_FPERIOD_OVERRIDE=FQ","FILING_STATUS=OR","EQY_CONSOLIDATED=Y","FA_ADJUSTED=GAAP","Sort=A","Dates=H","DateFormat=P","Fill=—","Direction=H","UseDPDF=Y")</f>
        <v>#NAME?</v>
      </c>
      <c r="G374" t="e">
        <f ca="1">_xll.BDH($C$353,"RETURN_ON_ASSET","FQ1 2018","FQ1 2018","Currency=INR","Period=FQ","BEST_FPERIOD_OVERRIDE=FQ","FILING_STATUS=OR","EQY_CONSOLIDATED=Y","FA_ADJUSTED=GAAP","Sort=A","Dates=H","DateFormat=P","Fill=—","Direction=H","UseDPDF=Y")</f>
        <v>#NAME?</v>
      </c>
      <c r="H374" t="e">
        <f ca="1">_xll.BDH($C$353,"RETURN_ON_CAP","FQ1 2018","FQ1 2018","Currency=INR","Period=FQ","BEST_FPERIOD_OVERRIDE=FQ","FILING_STATUS=OR","EQY_CONSOLIDATED=Y","FA_ADJUSTED=GAAP","Sort=A","Dates=H","DateFormat=P","Fill=—","Direction=H","UseDPDF=Y")</f>
        <v>#NAME?</v>
      </c>
      <c r="I374" t="e">
        <f ca="1">_xll.BDH($C$353,"RETURN_ON_INV_CAPITAL","FQ1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74" t="e">
        <f ca="1">_xll.BDH($C$353,"EBITDA_TO_REVENUE","FQ1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374" t="e">
        <f ca="1">_xll.BDH($C$353,"OPER_MARGIN","FQ1 2018","FQ1 2018","Currency=INR","Period=FQ","BEST_FPERIOD_OVERRIDE=FQ","FILING_STATUS=OR","EQY_CONSOLIDATED=Y","FA_ADJUSTED=GAAP","Sort=A","Dates=H","DateFormat=P","Fill=—","Direction=H","UseDPDF=Y")</f>
        <v>#NAME?</v>
      </c>
      <c r="L374" t="e">
        <f ca="1">_xll.BDH($C$353,"INCREMENTAL_OPERATING_MARGIN","FQ1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74" t="e">
        <f ca="1">_xll.BDH($C$353,"PRETAX_INC_TO_NET_SALES","FQ1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74" t="e">
        <f ca="1">_xll.BDH($C$353,"INC_BEF_XO_ITEMS_TO_NET_SALES","FQ1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74" t="e">
        <f ca="1">_xll.BDH($C$353,"PROF_MARGIN","FQ1 2018","FQ1 2018","Currency=INR","Period=FQ","BEST_FPERIOD_OVERRIDE=FQ","FILING_STATUS=OR","EQY_CONSOLIDATED=Y","FA_ADJUSTED=GAAP","Sort=A","Dates=H","DateFormat=P","Fill=—","Direction=H","UseDPDF=Y")</f>
        <v>#NAME?</v>
      </c>
      <c r="P374" t="e">
        <f ca="1">_xll.BDH($C$353,"NET_INCOME_TO_COMMON_MARGIN","FQ1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74" t="e">
        <f ca="1">_xll.BDH($C$353,"EFF_TAX_RATE","FQ1 2018","FQ1 2018","Currency=INR","Period=FQ","BEST_FPERIOD_OVERRIDE=FQ","FILING_STATUS=OR","EQY_CONSOLIDATED=Y","FA_ADJUSTED=GAAP","Sort=A","Dates=H","DateFormat=P","Fill=—","Direction=H","UseDPDF=Y")</f>
        <v>#NAME?</v>
      </c>
      <c r="R374" t="e">
        <f ca="1">_xll.BDH($C$353,"DVD_PAYOUT_RATIO","FQ1 2018","FQ1 2018","Currency=INR","Period=FQ","BEST_FPERIOD_OVERRIDE=FQ","FILING_STATUS=OR","EQY_CONSOLIDATED=Y","FA_ADJUSTED=GAAP","Sort=A","Dates=H","DateFormat=P","Fill=—","Direction=H","UseDPDF=Y")</f>
        <v>#NAME?</v>
      </c>
      <c r="S374" t="e">
        <f ca="1">_xll.BDH($C$353,"SUSTAIN_GROWTH_RT","FQ1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374" s="2" t="e">
        <f ca="1">_xll.BDH($C$353,"SALES_GROWTH","FQ1 2018","FQ1 2018","Currency=INR","Period=FQ","BEST_FPERIOD_OVERRIDE=FQ","FILING_STATUS=OR","EQY_CONSOLIDATED=Y","FA_ADJUSTED=GAAP","Sort=A","Dates=H","DateFormat=P","Fill=—","Direction=H","UseDPDF=Y")</f>
        <v>#NAME?</v>
      </c>
      <c r="U374" s="2" t="e">
        <f ca="1">_xll.BDH($C$353,"EBITDA_GROWTH","FQ1 2018","FQ1 2018","Currency=INR","Period=FQ","BEST_FPERIOD_OVERRIDE=FQ","FILING_STATUS=OR","EQY_CONSOLIDATED=Y","FA_ADJUSTED=GAAP","Sort=A","Dates=H","DateFormat=P","Fill=—","Direction=H","UseDPDF=Y")</f>
        <v>#NAME?</v>
      </c>
      <c r="V374" s="2" t="e">
        <f ca="1">_xll.BDH($C$353,"OPER_INC_GROWTH","FQ1 2018","FQ1 2018","Currency=INR","Period=FQ","BEST_FPERIOD_OVERRIDE=FQ","FILING_STATUS=OR","EQY_CONSOLIDATED=Y","FA_ADJUSTED=GAAP","Sort=A","Dates=H","DateFormat=P","Fill=—","Direction=H","UseDPDF=Y")</f>
        <v>#NAME?</v>
      </c>
      <c r="W374" s="2" t="e">
        <f ca="1">_xll.BDH($C$353,"EARN_FOR_COM_GROWTH","FQ1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74" s="2" t="e">
        <f ca="1">_xll.BDH($C$353,"DILUTED_EPS_AFT_XO_ITEMS_GROWTH","FQ1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74" s="2" t="e">
        <f ca="1">_xll.BDH($C$353,"DIVIDEND_PER_SHARE_1_YEAR_GROWTH","FQ1 2018","FQ1 2018","Currency=INR","Period=FQ","BEST_FPERIOD_OVERRIDE=FQ","FILING_STATUS=OR","EQY_CONSOLIDATED=Y","Sort=A","Dates=H","DateFormat=P","Fill=—","Direction=H","UseDPDF=Y")</f>
        <v>#NAME?</v>
      </c>
      <c r="Z374" s="2" t="e">
        <f ca="1">_xll.BDH($C$353,"ACCOUNTS_RECEIVABLE_GROWTH","FQ1 2018","FQ1 2018","Currency=INR","Period=FQ","BEST_FPERIOD_OVERRIDE=FQ","FILING_STATUS=OR","EQY_CONSOLIDATED=Y","Sort=A","Dates=H","DateFormat=P","Fill=—","Direction=H","UseDPDF=Y")</f>
        <v>#NAME?</v>
      </c>
      <c r="AA374" s="2" t="e">
        <f ca="1">_xll.BDH($C$353,"INVENTORY_GROWTH","FQ1 2018","FQ1 2018","Currency=INR","Period=FQ","BEST_FPERIOD_OVERRIDE=FQ","FILING_STATUS=OR","EQY_CONSOLIDATED=Y","Sort=A","Dates=H","DateFormat=P","Fill=—","Direction=H","UseDPDF=Y")</f>
        <v>#NAME?</v>
      </c>
      <c r="AB374" s="2" t="e">
        <f ca="1">_xll.BDH($C$353,"NET_FIXED_ASSETS_1_YEAR_GROWTH","FQ1 2018","FQ1 2018","Currency=INR","Period=FQ","BEST_FPERIOD_OVERRIDE=FQ","FILING_STATUS=OR","EQY_CONSOLIDATED=Y","Sort=A","Dates=H","DateFormat=P","Fill=—","Direction=H","UseDPDF=Y")</f>
        <v>#NAME?</v>
      </c>
      <c r="AC374" s="2" t="e">
        <f ca="1">_xll.BDH($C$353,"ASSET_GROWTH","FQ1 2018","FQ1 2018","Currency=INR","Period=FQ","BEST_FPERIOD_OVERRIDE=FQ","FILING_STATUS=OR","EQY_CONSOLIDATED=Y","Sort=A","Dates=H","DateFormat=P","Fill=—","Direction=H","UseDPDF=Y")</f>
        <v>#NAME?</v>
      </c>
      <c r="AD374" s="2" t="e">
        <f ca="1">_xll.BDH($C$353,"MODIFIED_WORK_CAP_GROWTH","FQ1 2018","FQ1 2018","Currency=INR","Period=FQ","BEST_FPERIOD_OVERRIDE=FQ","FILING_STATUS=OR","EQY_CONSOLIDATED=Y","Sort=A","Dates=H","DateFormat=P","Fill=—","Direction=H","UseDPDF=Y")</f>
        <v>#NAME?</v>
      </c>
      <c r="AE374" s="2" t="e">
        <f ca="1">_xll.BDH($C$353,"WORK_CAP_GROWTH","FQ1 2018","FQ1 2018","Currency=INR","Period=FQ","BEST_FPERIOD_OVERRIDE=FQ","FILING_STATUS=OR","EQY_CONSOLIDATED=Y","Sort=A","Dates=H","DateFormat=P","Fill=—","Direction=H","UseDPDF=Y")</f>
        <v>#NAME?</v>
      </c>
      <c r="AF374" s="2" t="e">
        <f ca="1">_xll.BDH($C$353,"ACCOUNTS_PAYABLE_GROWTH_1YR","FQ1 2018","FQ1 2018","Currency=INR","Period=FQ","BEST_FPERIOD_OVERRIDE=FQ","FILING_STATUS=OR","EQY_CONSOLIDATED=Y","Sort=A","Dates=H","DateFormat=P","Fill=—","Direction=H","UseDPDF=Y")</f>
        <v>#NAME?</v>
      </c>
      <c r="AG374" s="2" t="e">
        <f ca="1">_xll.BDH($C$353,"SHORT_TERM_DEBT_1_YEAR_GROWTH","FQ1 2018","FQ1 2018","Currency=INR","Period=FQ","BEST_FPERIOD_OVERRIDE=FQ","FILING_STATUS=OR","EQY_CONSOLIDATED=Y","Sort=A","Dates=H","DateFormat=P","Fill=—","Direction=H","UseDPDF=Y")</f>
        <v>#NAME?</v>
      </c>
      <c r="AH374" s="2" t="e">
        <f ca="1">_xll.BDH($C$353,"TOTAL_DEBT_1_YEAR_GROWTH","FQ1 2018","FQ1 2018","Currency=INR","Period=FQ","BEST_FPERIOD_OVERRIDE=FQ","FILING_STATUS=OR","EQY_CONSOLIDATED=Y","Sort=A","Dates=H","DateFormat=P","Fill=—","Direction=H","UseDPDF=Y")</f>
        <v>#NAME?</v>
      </c>
      <c r="AI374" s="2" t="e">
        <f ca="1">_xll.BDH($C$353,"TOTAL_EQUITY_1_YEAR_GROWTH","FQ1 2018","FQ1 2018","Currency=INR","Period=FQ","BEST_FPERIOD_OVERRIDE=FQ","FILING_STATUS=OR","EQY_CONSOLIDATED=Y","Sort=A","Dates=H","DateFormat=P","Fill=—","Direction=H","UseDPDF=Y")</f>
        <v>#NAME?</v>
      </c>
      <c r="AJ374" s="2" t="e">
        <f ca="1">_xll.BDH($C$353,"GROWTH_IN_CAP","FQ1 2018","FQ1 2018","Currency=INR","Period=FQ","BEST_FPERIOD_OVERRIDE=FQ","FILING_STATUS=OR","EQY_CONSOLIDATED=Y","Sort=A","Dates=H","DateFormat=P","Fill=—","Direction=H","UseDPDF=Y")</f>
        <v>#NAME?</v>
      </c>
      <c r="AK374" s="2" t="e">
        <f ca="1">_xll.BDH($C$353,"BVPS_GROWTH","FQ1 2018","FQ1 2018","Currency=INR","Period=FQ","BEST_FPERIOD_OVERRIDE=FQ","FILING_STATUS=OR","EQY_CONSOLIDATED=Y","Sort=A","Dates=H","DateFormat=P","Fill=—","Direction=H","UseDPDF=Y")</f>
        <v>#NAME?</v>
      </c>
      <c r="AL374" s="2" t="e">
        <f ca="1">_xll.BDH($C$353,"CASH_FLOW_GROWTH","FQ1 2018","FQ1 2018","Currency=INR","Period=FQ","BEST_FPERIOD_OVERRIDE=FQ","FILING_STATUS=OR","EQY_CONSOLIDATED=Y","Sort=A","Dates=H","DateFormat=P","Fill=—","Direction=H","UseDPDF=Y")</f>
        <v>#NAME?</v>
      </c>
      <c r="AM374" s="2" t="e">
        <f ca="1">_xll.BDH($C$353,"GEO_GROW_NET_SALES","FQ1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74" s="2" t="e">
        <f ca="1">_xll.BDH($C$353,"GEO_GROW_EBITDA","FQ1 2018","FQ1 2018","Currency=INR","Period=FQ","BEST_FPERIOD_OVERRIDE=FQ","FILING_STATUS=OR","EQY_CONSOLIDATED=Y","FA_ADJUSTED=GAAP","Sort=A","Dates=H","DateFormat=P","Fill=—","Direction=H","UseDPDF=Y")</f>
        <v>#NAME?</v>
      </c>
      <c r="AO374" s="2" t="e">
        <f ca="1">_xll.BDH($C$353,"GEO_GROW_OPER_INC","FQ1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74" s="2" t="e">
        <f ca="1">_xll.BDH($C$353,"NET_INCOME_TO_COMMON_5_YR_GROWTH","FQ1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74" s="2" t="e">
        <f ca="1">_xll.BDH($C$353,"5Y_GEO_GROWTH_DILUTED_EPS","FQ1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74" s="2" t="e">
        <f ca="1">_xll.BDH($C$353,"GEO_GROW_DVD_PER_SH","FQ1 2018","FQ1 2018","Currency=INR","Period=FQ","BEST_FPERIOD_OVERRIDE=FQ","FILING_STATUS=OR","EQY_CONSOLIDATED=Y","Sort=A","Dates=H","DateFormat=P","Fill=—","Direction=H","UseDPDF=Y")</f>
        <v>#NAME?</v>
      </c>
      <c r="AS374" s="2" t="e">
        <f ca="1">_xll.BDH($C$353,"ACCOUNTS_RECEIVABLE_5_YR_GROWTH","FQ1 2018","FQ1 2018","Currency=INR","Period=FQ","BEST_FPERIOD_OVERRIDE=FQ","FILING_STATUS=OR","EQY_CONSOLIDATED=Y","Sort=A","Dates=H","DateFormat=P","Fill=—","Direction=H","UseDPDF=Y")</f>
        <v>#NAME?</v>
      </c>
      <c r="AT374" s="2" t="e">
        <f ca="1">_xll.BDH($C$353,"INVENTORY_5_YEAR_GROWTH","FQ1 2018","FQ1 2018","Currency=INR","Period=FQ","BEST_FPERIOD_OVERRIDE=FQ","FILING_STATUS=OR","EQY_CONSOLIDATED=Y","Sort=A","Dates=H","DateFormat=P","Fill=—","Direction=H","UseDPDF=Y")</f>
        <v>#NAME?</v>
      </c>
      <c r="AU374" s="2" t="e">
        <f ca="1">_xll.BDH($C$353,"NET_FIXED_ASSETS_5_YEAR_GROWTH","FQ1 2018","FQ1 2018","Currency=INR","Period=FQ","BEST_FPERIOD_OVERRIDE=FQ","FILING_STATUS=OR","EQY_CONSOLIDATED=Y","Sort=A","Dates=H","DateFormat=P","Fill=—","Direction=H","UseDPDF=Y")</f>
        <v>#NAME?</v>
      </c>
      <c r="AV374" s="2" t="e">
        <f ca="1">_xll.BDH($C$353,"GEO_GROW_TOT_ASSET","FQ1 2018","FQ1 2018","Currency=INR","Period=FQ","BEST_FPERIOD_OVERRIDE=FQ","FILING_STATUS=OR","EQY_CONSOLIDATED=Y","Sort=A","Dates=H","DateFormat=P","Fill=—","Direction=H","UseDPDF=Y")</f>
        <v>#NAME?</v>
      </c>
      <c r="AW374" s="2" t="e">
        <f ca="1">_xll.BDH($C$353,"MODIFIED_WORKING_CPTL_5YR_GRWTH","FQ1 2018","FQ1 2018","Currency=INR","Period=FQ","BEST_FPERIOD_OVERRIDE=FQ","FILING_STATUS=OR","EQY_CONSOLIDATED=Y","Sort=A","Dates=H","DateFormat=P","Fill=—","Direction=H","UseDPDF=Y")</f>
        <v>#NAME?</v>
      </c>
      <c r="AX374" s="2" t="e">
        <f ca="1">_xll.BDH($C$353,"WORKING_CAPITAL_5_YEAR_GROWTH","FQ1 2018","FQ1 2018","Currency=INR","Period=FQ","BEST_FPERIOD_OVERRIDE=FQ","FILING_STATUS=OR","EQY_CONSOLIDATED=Y","Sort=A","Dates=H","DateFormat=P","Fill=—","Direction=H","UseDPDF=Y")</f>
        <v>#NAME?</v>
      </c>
      <c r="AY374" s="2" t="e">
        <f ca="1">_xll.BDH($C$353,"ACCOUNTS_PAYABLE_5_YEAR_GROWTH","FQ1 2018","FQ1 2018","Currency=INR","Period=FQ","BEST_FPERIOD_OVERRIDE=FQ","FILING_STATUS=OR","EQY_CONSOLIDATED=Y","Sort=A","Dates=H","DateFormat=P","Fill=—","Direction=H","UseDPDF=Y")</f>
        <v>#NAME?</v>
      </c>
      <c r="AZ374" s="2" t="e">
        <f ca="1">_xll.BDH($C$353,"SHORT_TERM_DEBT_5_YEAR_GROWTH","FQ1 2018","FQ1 2018","Currency=INR","Period=FQ","BEST_FPERIOD_OVERRIDE=FQ","FILING_STATUS=OR","EQY_CONSOLIDATED=Y","Sort=A","Dates=H","DateFormat=P","Fill=—","Direction=H","UseDPDF=Y")</f>
        <v>#NAME?</v>
      </c>
      <c r="BA374" s="2" t="e">
        <f ca="1">_xll.BDH($C$353,"TOTAL_DEBT_5_YEAR_GROWTH","FQ1 2018","FQ1 2018","Currency=INR","Period=FQ","BEST_FPERIOD_OVERRIDE=FQ","FILING_STATUS=OR","EQY_CONSOLIDATED=Y","Sort=A","Dates=H","DateFormat=P","Fill=—","Direction=H","UseDPDF=Y")</f>
        <v>#NAME?</v>
      </c>
      <c r="BB374" s="2" t="e">
        <f ca="1">_xll.BDH($C$353,"GEO_GROW_TOT_SHRHLDR_EQY","FQ1 2018","FQ1 2018","Currency=INR","Period=FQ","BEST_FPERIOD_OVERRIDE=FQ","FILING_STATUS=OR","EQY_CONSOLIDATED=Y","Sort=A","Dates=H","DateFormat=P","Fill=—","Direction=H","UseDPDF=Y")</f>
        <v>#NAME?</v>
      </c>
      <c r="BC374" s="2" t="e">
        <f ca="1">_xll.BDH($C$353,"TOTAL_CAPITAL_5_YEAR_GROWTH","FQ1 2018","FQ1 2018","Currency=INR","Period=FQ","BEST_FPERIOD_OVERRIDE=FQ","FILING_STATUS=OR","EQY_CONSOLIDATED=Y","Sort=A","Dates=H","DateFormat=P","Fill=—","Direction=H","UseDPDF=Y")</f>
        <v>#NAME?</v>
      </c>
      <c r="BD374" s="2" t="e">
        <f ca="1">_xll.BDH($C$353,"GEO_GROW_BOOK_VAL","FQ1 2018","FQ1 2018","Currency=INR","Period=FQ","BEST_FPERIOD_OVERRIDE=FQ","FILING_STATUS=OR","EQY_CONSOLIDATED=Y","Sort=A","Dates=H","DateFormat=P","Fill=—","Direction=H","UseDPDF=Y")</f>
        <v>#NAME?</v>
      </c>
      <c r="BE374" s="2" t="e">
        <f ca="1">_xll.BDH($C$353,"GEO_GROW_CASH_OPER_ACT","FQ1 2018","FQ1 2018","Currency=INR","Period=FQ","BEST_FPERIOD_OVERRIDE=FQ","FILING_STATUS=OR","EQY_CONSOLIDATED=Y","Sort=A","Dates=H","DateFormat=P","Fill=—","Direction=H","UseDPDF=Y")</f>
        <v>#NAME?</v>
      </c>
      <c r="BF374" s="2" t="e">
        <f ca="1">_xll.BDH($C$353,"REVENUE_SEQUENTIAL_GROWTH","FQ1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74" s="2" t="e">
        <f ca="1">_xll.BDH($C$353,"EBITDA_SEQUENTIAL_GROWTH","FQ1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74" s="2" t="e">
        <f ca="1">_xll.BDH($C$353,"OPERATING_INCOME_SEQ_GROWTH","FQ1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74" s="2" t="e">
        <f ca="1">_xll.BDH($C$353,"NET_INCOME_TO_COMMON_SEQ_GROWTH","FQ1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74" s="2" t="e">
        <f ca="1">_xll.BDH($C$353,"EPS_DILUTED_SEQUENTIAL_GROWTH","FQ1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74" s="2" t="e">
        <f ca="1">_xll.BDH($C$353,"DPS_SEQUENTIAL_GROWTH","FQ1 2018","FQ1 2018","Currency=INR","Period=FQ","BEST_FPERIOD_OVERRIDE=FQ","FILING_STATUS=OR","EQY_CONSOLIDATED=Y","Sort=A","Dates=H","DateFormat=P","Fill=—","Direction=H","UseDPDF=Y")</f>
        <v>#NAME?</v>
      </c>
      <c r="BL374" s="2" t="e">
        <f ca="1">_xll.BDH($C$353,"ACCOUNTS_RECEIVABLE_SEQ_GROWTH","FQ1 2018","FQ1 2018","Currency=INR","Period=FQ","BEST_FPERIOD_OVERRIDE=FQ","FILING_STATUS=OR","EQY_CONSOLIDATED=Y","Sort=A","Dates=H","DateFormat=P","Fill=—","Direction=H","UseDPDF=Y")</f>
        <v>#NAME?</v>
      </c>
      <c r="BM374" s="2" t="e">
        <f ca="1">_xll.BDH($C$353,"INVENTORY_SEQUENTIAL_GROWTH","FQ1 2018","FQ1 2018","Currency=INR","Period=FQ","BEST_FPERIOD_OVERRIDE=FQ","FILING_STATUS=OR","EQY_CONSOLIDATED=Y","Sort=A","Dates=H","DateFormat=P","Fill=—","Direction=H","UseDPDF=Y")</f>
        <v>#NAME?</v>
      </c>
      <c r="BN374" s="2" t="e">
        <f ca="1">_xll.BDH($C$353,"FIXED_ASSETS_SEQUENTIAL_GROWTH","FQ1 2018","FQ1 2018","Currency=INR","Period=FQ","BEST_FPERIOD_OVERRIDE=FQ","FILING_STATUS=OR","EQY_CONSOLIDATED=Y","Sort=A","Dates=H","DateFormat=P","Fill=—","Direction=H","UseDPDF=Y")</f>
        <v>#NAME?</v>
      </c>
      <c r="BO374" s="2" t="e">
        <f ca="1">_xll.BDH($C$353,"TOTAL_ASSETS_SEQUENTIAL_GROWTH","FQ1 2018","FQ1 2018","Currency=INR","Period=FQ","BEST_FPERIOD_OVERRIDE=FQ","FILING_STATUS=OR","EQY_CONSOLIDATED=Y","Sort=A","Dates=H","DateFormat=P","Fill=—","Direction=H","UseDPDF=Y")</f>
        <v>#NAME?</v>
      </c>
      <c r="BP374" s="2" t="e">
        <f ca="1">_xll.BDH($C$353,"MODIFIED_WORKING_CPTL_SEQ_GRWTH","FQ1 2018","FQ1 2018","Currency=INR","Period=FQ","BEST_FPERIOD_OVERRIDE=FQ","FILING_STATUS=OR","EQY_CONSOLIDATED=Y","Sort=A","Dates=H","DateFormat=P","Fill=—","Direction=H","UseDPDF=Y")</f>
        <v>#NAME?</v>
      </c>
      <c r="BQ374" s="2" t="e">
        <f ca="1">_xll.BDH($C$353,"WORKING_CAPITAL_SEQ_GROWTH","FQ1 2018","FQ1 2018","Currency=INR","Period=FQ","BEST_FPERIOD_OVERRIDE=FQ","FILING_STATUS=OR","EQY_CONSOLIDATED=Y","Sort=A","Dates=H","DateFormat=P","Fill=—","Direction=H","UseDPDF=Y")</f>
        <v>#NAME?</v>
      </c>
      <c r="BR374" s="2" t="e">
        <f ca="1">_xll.BDH($C$353,"ACCOUNTS_PAYABLE_SEQ_GROWTH","FQ1 2018","FQ1 2018","Currency=INR","Period=FQ","BEST_FPERIOD_OVERRIDE=FQ","FILING_STATUS=OR","EQY_CONSOLIDATED=Y","Sort=A","Dates=H","DateFormat=P","Fill=—","Direction=H","UseDPDF=Y")</f>
        <v>#NAME?</v>
      </c>
      <c r="BS374" s="2" t="e">
        <f ca="1">_xll.BDH($C$353,"ST_DEBT_SEQUENTIAL_GROWTH","FQ1 2018","FQ1 2018","Currency=INR","Period=FQ","BEST_FPERIOD_OVERRIDE=FQ","FILING_STATUS=OR","EQY_CONSOLIDATED=Y","Sort=A","Dates=H","DateFormat=P","Fill=—","Direction=H","UseDPDF=Y")</f>
        <v>#NAME?</v>
      </c>
      <c r="BT374" s="2" t="e">
        <f ca="1">_xll.BDH($C$353,"TOTAL_DEBT_SEQUENTIAL_GROWTH","FQ1 2018","FQ1 2018","Currency=INR","Period=FQ","BEST_FPERIOD_OVERRIDE=FQ","FILING_STATUS=OR","EQY_CONSOLIDATED=Y","Sort=A","Dates=H","DateFormat=P","Fill=—","Direction=H","UseDPDF=Y")</f>
        <v>#NAME?</v>
      </c>
      <c r="BU374" s="2" t="e">
        <f ca="1">_xll.BDH($C$353,"TOTAL_EQUITY_SEQUENTIAL_GROWTH","FQ1 2018","FQ1 2018","Currency=INR","Period=FQ","BEST_FPERIOD_OVERRIDE=FQ","FILING_STATUS=OR","EQY_CONSOLIDATED=Y","Sort=A","Dates=H","DateFormat=P","Fill=—","Direction=H","UseDPDF=Y")</f>
        <v>#NAME?</v>
      </c>
      <c r="BV374" s="2" t="e">
        <f ca="1">_xll.BDH($C$353,"TOTAL_CAPITAL_SEQUENTIAL_GROWTH","FQ1 2018","FQ1 2018","Currency=INR","Period=FQ","BEST_FPERIOD_OVERRIDE=FQ","FILING_STATUS=OR","EQY_CONSOLIDATED=Y","Sort=A","Dates=H","DateFormat=P","Fill=—","Direction=H","UseDPDF=Y")</f>
        <v>#NAME?</v>
      </c>
      <c r="BW374" s="2" t="e">
        <f ca="1">_xll.BDH($C$353,"BPS_SEQUENTIAL_GROWTH","FQ1 2018","FQ1 2018","Currency=INR","Period=FQ","BEST_FPERIOD_OVERRIDE=FQ","FILING_STATUS=OR","EQY_CONSOLIDATED=Y","Sort=A","Dates=H","DateFormat=P","Fill=—","Direction=H","UseDPDF=Y")</f>
        <v>#NAME?</v>
      </c>
      <c r="BX374" s="2" t="e">
        <f ca="1">_xll.BDH($C$353,"CFO_SEQUENTIAL_GROWTH","FQ1 2018","FQ1 2018","Currency=INR","Period=FQ","BEST_FPERIOD_OVERRIDE=FQ","FILING_STATUS=OR","EQY_CONSOLIDATED=Y","Sort=A","Dates=H","DateFormat=P","Fill=—","Direction=H","UseDPDF=Y")</f>
        <v>#NAME?</v>
      </c>
      <c r="BY374" s="3" t="e">
        <f ca="1">_xll.BDH($C$353,"SHORT_AND_LONG_TERM_DEBT","FQ1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74" s="3" t="e">
        <f ca="1">_xll.BDH($C$353,"BS_ST_BORROW","FQ1 2018","FQ1 2018","Currency=INR","Period=FQ","BEST_FPERIOD_OVERRIDE=FQ","FILING_STATUS=OR","EQY_CONSOLIDATED=Y","SCALING_FORMAT=MLN","Sort=A","Dates=H","DateFormat=P","Fill=—","Direction=H","UseDPDF=Y")</f>
        <v>#NAME?</v>
      </c>
      <c r="CA374" s="3" t="e">
        <f ca="1">_xll.BDH($C$353,"BS_LT_BORROW","FQ1 2018","FQ1 2018","Currency=INR","Period=FQ","BEST_FPERIOD_OVERRIDE=FQ","FILING_STATUS=OR","EQY_CONSOLIDATED=Y","SCALING_FORMAT=MLN","Sort=A","Dates=H","DateFormat=P","Fill=—","Direction=H","UseDPDF=Y")</f>
        <v>#NAME?</v>
      </c>
      <c r="CB374" s="2" t="e">
        <f ca="1">_xll.BDH($C$353,"TOT_DEBT_TO_EBITDA","FQ1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74" s="2" t="e">
        <f ca="1">_xll.BDH($C$353,"NET_DEBT_TO_EBITDA","FQ1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74" s="2" t="e">
        <f ca="1">_xll.BDH($C$353,"TOTAL_DEBT_TO_EBIT","FQ1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74" s="2" t="e">
        <f ca="1">_xll.BDH($C$353,"NET_DEBT_TO_EBIT","FQ1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374" s="2" t="e">
        <f ca="1">_xll.BDH($C$353,"EBITDA_TO_INTEREST_EXPN","FQ1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74" s="2" t="e">
        <f ca="1">_xll.BDH($C$353,"COM_EQY_TO_TOT_ASSET","FQ1 2018","FQ1 2018","Currency=INR","Period=FQ","BEST_FPERIOD_OVERRIDE=FQ","FILING_STATUS=OR","EQY_CONSOLIDATED=Y","Sort=A","Dates=H","DateFormat=P","Fill=—","Direction=H","UseDPDF=Y")</f>
        <v>#NAME?</v>
      </c>
      <c r="CH374" s="2" t="e">
        <f ca="1">_xll.BDH($C$353,"LT_DEBT_TO_TOT_EQY","FQ1 2018","FQ1 2018","Currency=INR","Period=FQ","BEST_FPERIOD_OVERRIDE=FQ","FILING_STATUS=OR","EQY_CONSOLIDATED=Y","Sort=A","Dates=H","DateFormat=P","Fill=—","Direction=H","UseDPDF=Y")</f>
        <v>#NAME?</v>
      </c>
      <c r="CI374" s="2" t="e">
        <f ca="1">_xll.BDH($C$353,"LT_DEBT_TO_TOT_CAP","FQ1 2018","FQ1 2018","Currency=INR","Period=FQ","BEST_FPERIOD_OVERRIDE=FQ","FILING_STATUS=OR","EQY_CONSOLIDATED=Y","Sort=A","Dates=H","DateFormat=P","Fill=—","Direction=H","UseDPDF=Y")</f>
        <v>#NAME?</v>
      </c>
      <c r="CJ374" s="2" t="e">
        <f ca="1">_xll.BDH($C$353,"LT_DEBT_TO_TOT_ASSET","FQ1 2018","FQ1 2018","Currency=INR","Period=FQ","BEST_FPERIOD_OVERRIDE=FQ","FILING_STATUS=OR","EQY_CONSOLIDATED=Y","Sort=A","Dates=H","DateFormat=P","Fill=—","Direction=H","UseDPDF=Y")</f>
        <v>#NAME?</v>
      </c>
      <c r="CK374" s="2" t="e">
        <f ca="1">_xll.BDH($C$353,"TOT_DEBT_TO_TOT_EQY","FQ1 2018","FQ1 2018","Currency=INR","Period=FQ","BEST_FPERIOD_OVERRIDE=FQ","FILING_STATUS=OR","EQY_CONSOLIDATED=Y","Sort=A","Dates=H","DateFormat=P","Fill=—","Direction=H","UseDPDF=Y")</f>
        <v>#NAME?</v>
      </c>
      <c r="CL374" s="2" t="e">
        <f ca="1">_xll.BDH($C$353,"TOT_DEBT_TO_TOT_CAP","FQ1 2018","FQ1 2018","Currency=INR","Period=FQ","BEST_FPERIOD_OVERRIDE=FQ","FILING_STATUS=OR","EQY_CONSOLIDATED=Y","Sort=A","Dates=H","DateFormat=P","Fill=—","Direction=H","UseDPDF=Y")</f>
        <v>#NAME?</v>
      </c>
      <c r="CM374" s="2" t="e">
        <f ca="1">_xll.BDH($C$353,"TOT_DEBT_TO_TOT_ASSET","FQ1 2018","FQ1 2018","Currency=INR","Period=FQ","BEST_FPERIOD_OVERRIDE=FQ","FILING_STATUS=OR","EQY_CONSOLIDATED=Y","Sort=A","Dates=H","DateFormat=P","Fill=—","Direction=H","UseDPDF=Y")</f>
        <v>#NAME?</v>
      </c>
      <c r="CN374" s="2" t="e">
        <f ca="1">_xll.BDH($C$353,"NET_DEBT_TO_SHRHLDR_EQTY","FQ1 2018","FQ1 2018","Currency=INR","Period=FQ","BEST_FPERIOD_OVERRIDE=FQ","FILING_STATUS=OR","EQY_CONSOLIDATED=Y","Sort=A","Dates=H","DateFormat=P","Fill=—","Direction=H","UseDPDF=Y")</f>
        <v>#NAME?</v>
      </c>
      <c r="CO374" s="2" t="e">
        <f ca="1">_xll.BDH($C$353,"NET_DEBT_%_CAPITAL","FQ1 2018","FQ1 2018","Currency=INR","Period=FQ","BEST_FPERIOD_OVERRIDE=FQ","FILING_STATUS=OR","EQY_CONSOLIDATED=Y","Sort=A","Dates=H","DateFormat=P","Fill=—","Direction=H","UseDPDF=Y")</f>
        <v>#NAME?</v>
      </c>
      <c r="CP374" s="3" t="e">
        <f ca="1">_xll.BDH($C$353,"EBITDA","FQ1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74" s="3" t="e">
        <f ca="1">_xll.BDH($C$353,"EBITDA_AFTER_CAPEX","FQ1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74" s="3" t="e">
        <f ca="1">_xll.BDH($C$353,"IS_OPER_INC","FQ1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74" s="2" t="e">
        <f ca="1">_xll.BDH($C$353,"CASH_RATIO","FQ1 2018","FQ1 2018","Currency=INR","Period=FQ","BEST_FPERIOD_OVERRIDE=FQ","FILING_STATUS=OR","EQY_CONSOLIDATED=Y","Sort=A","Dates=H","DateFormat=P","Fill=—","Direction=H","UseDPDF=Y")</f>
        <v>#NAME?</v>
      </c>
      <c r="CT374" s="2" t="e">
        <f ca="1">_xll.BDH($C$353,"CUR_RATIO","FQ1 2018","FQ1 2018","Currency=INR","Period=FQ","BEST_FPERIOD_OVERRIDE=FQ","FILING_STATUS=OR","EQY_CONSOLIDATED=Y","Sort=A","Dates=H","DateFormat=P","Fill=—","Direction=H","UseDPDF=Y")</f>
        <v>#NAME?</v>
      </c>
      <c r="CU374" s="2" t="e">
        <f ca="1">_xll.BDH($C$353,"QUICK_RATIO","FQ1 2018","FQ1 2018","Currency=INR","Period=FQ","BEST_FPERIOD_OVERRIDE=FQ","FILING_STATUS=OR","EQY_CONSOLIDATED=Y","Sort=A","Dates=H","DateFormat=P","Fill=—","Direction=H","UseDPDF=Y")</f>
        <v>#NAME?</v>
      </c>
      <c r="CV374" s="2" t="e">
        <f ca="1">_xll.BDH($C$353,"ALTMAN_Z_SCORE","FQ1 2018","FQ1 2018","Currency=INR","Period=FQ","BEST_FPERIOD_OVERRIDE=FQ","FILING_STATUS=OR","EQY_CONSOLIDATED=Y","Sort=A","Dates=H","DateFormat=P","Fill=—","Direction=H","UseDPDF=Y")</f>
        <v>#NAME?</v>
      </c>
      <c r="CW374" s="4" t="e">
        <f ca="1">_xll.BDH($C$353,"ACCT_RCV_TURN","FQ1 2018","FQ1 2018","Currency=INR","Period=FQ","BEST_FPERIOD_OVERRIDE=FQ","FILING_STATUS=OR","EQY_CONSOLIDATED=Y","FA_ADJUSTED=GAAP","Sort=A","Dates=H","DateFormat=P","Fill=—","Direction=H","UseDPDF=Y")</f>
        <v>#NAME?</v>
      </c>
      <c r="CX374" s="2" t="e">
        <f ca="1">_xll.BDH($C$353,"ACCT_RCV_DAYS","FQ1 2018","FQ1 2018","Currency=INR","Period=FQ","BEST_FPERIOD_OVERRIDE=FQ","FILING_STATUS=OR","EQY_CONSOLIDATED=Y","FA_ADJUSTED=GAAP","Sort=A","Dates=H","DateFormat=P","Fill=—","Direction=H","UseDPDF=Y")</f>
        <v>#NAME?</v>
      </c>
      <c r="CY374" s="4" t="e">
        <f ca="1">_xll.BDH($C$353,"INVENT_TURN","FQ1 2018","FQ1 2018","Currency=INR","Period=FQ","BEST_FPERIOD_OVERRIDE=FQ","FILING_STATUS=OR","EQY_CONSOLIDATED=Y","FA_ADJUSTED=GAAP","Sort=A","Dates=H","DateFormat=P","Fill=—","Direction=H","UseDPDF=Y")</f>
        <v>#NAME?</v>
      </c>
      <c r="CZ374" s="2" t="e">
        <f ca="1">_xll.BDH($C$353,"INVENT_DAYS","FQ1 2018","FQ1 2018","Currency=INR","Period=FQ","BEST_FPERIOD_OVERRIDE=FQ","FILING_STATUS=OR","EQY_CONSOLIDATED=Y","FA_ADJUSTED=GAAP","Sort=A","Dates=H","DateFormat=P","Fill=—","Direction=H","UseDPDF=Y")</f>
        <v>#NAME?</v>
      </c>
      <c r="DA374" s="4" t="e">
        <f ca="1">_xll.BDH($C$353,"ACCOUNTS_PAYABLE_TURNOVER","FQ1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74" s="2" t="e">
        <f ca="1">_xll.BDH($C$353,"ACCOUNTS_PAYABLE_TURNOVER_DAYS","FQ1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74" s="4" t="e">
        <f ca="1">_xll.BDH($C$353,"CASH_CONVERSION_CYCLE","FQ1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74" s="4" t="e">
        <f ca="1">_xll.BDH($C$353,"INV_TO_CASH_DAYS","FQ1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374" s="5" t="e">
        <f ca="1">_xll.BDH($C$353,"BS_INVENTORIES","FQ1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374" s="3" t="e">
        <f ca="1">_xll.BDH($C$353,"INVTRY_RAW_MATERIALS","FQ1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74" s="3" t="e">
        <f ca="1">_xll.BDH($C$353,"INVTRY_IN_PROGRESS","FQ1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74" s="3" t="e">
        <f ca="1">_xll.BDH($C$353,"INVTRY_FINISHED_GOODS","FQ1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74" s="3" t="e">
        <f ca="1">_xll.BDH($C$353,"BS_OTHER_INV","FQ1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375" spans="1:113" x14ac:dyDescent="0.3">
      <c r="A375" s="6"/>
      <c r="B375" s="6"/>
      <c r="C375" s="6"/>
      <c r="D375" s="6"/>
      <c r="E375" t="s">
        <v>79</v>
      </c>
      <c r="F375" t="e">
        <f ca="1">_xll.BDH($C$353,"RETURN_COM_EQY","FQ2 2018","FQ2 2018","Currency=INR","Period=FQ","BEST_FPERIOD_OVERRIDE=FQ","FILING_STATUS=OR","EQY_CONSOLIDATED=Y","FA_ADJUSTED=GAAP","Sort=A","Dates=H","DateFormat=P","Fill=—","Direction=H","UseDPDF=Y")</f>
        <v>#NAME?</v>
      </c>
      <c r="G375" t="e">
        <f ca="1">_xll.BDH($C$353,"RETURN_ON_ASSET","FQ2 2018","FQ2 2018","Currency=INR","Period=FQ","BEST_FPERIOD_OVERRIDE=FQ","FILING_STATUS=OR","EQY_CONSOLIDATED=Y","FA_ADJUSTED=GAAP","Sort=A","Dates=H","DateFormat=P","Fill=—","Direction=H","UseDPDF=Y")</f>
        <v>#NAME?</v>
      </c>
      <c r="H375" t="e">
        <f ca="1">_xll.BDH($C$353,"RETURN_ON_CAP","FQ2 2018","FQ2 2018","Currency=INR","Period=FQ","BEST_FPERIOD_OVERRIDE=FQ","FILING_STATUS=OR","EQY_CONSOLIDATED=Y","FA_ADJUSTED=GAAP","Sort=A","Dates=H","DateFormat=P","Fill=—","Direction=H","UseDPDF=Y")</f>
        <v>#NAME?</v>
      </c>
      <c r="I375" t="e">
        <f ca="1">_xll.BDH($C$353,"RETURN_ON_INV_CAPITAL","FQ2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375" t="e">
        <f ca="1">_xll.BDH($C$353,"EBITDA_TO_REVENUE","FQ2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375" t="e">
        <f ca="1">_xll.BDH($C$353,"OPER_MARGIN","FQ2 2018","FQ2 2018","Currency=INR","Period=FQ","BEST_FPERIOD_OVERRIDE=FQ","FILING_STATUS=OR","EQY_CONSOLIDATED=Y","FA_ADJUSTED=GAAP","Sort=A","Dates=H","DateFormat=P","Fill=—","Direction=H","UseDPDF=Y")</f>
        <v>#NAME?</v>
      </c>
      <c r="L375" t="e">
        <f ca="1">_xll.BDH($C$353,"INCREMENTAL_OPERATING_MARGIN","FQ2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375" t="e">
        <f ca="1">_xll.BDH($C$353,"PRETAX_INC_TO_NET_SALES","FQ2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375" t="e">
        <f ca="1">_xll.BDH($C$353,"INC_BEF_XO_ITEMS_TO_NET_SALES","FQ2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375" t="e">
        <f ca="1">_xll.BDH($C$353,"PROF_MARGIN","FQ2 2018","FQ2 2018","Currency=INR","Period=FQ","BEST_FPERIOD_OVERRIDE=FQ","FILING_STATUS=OR","EQY_CONSOLIDATED=Y","FA_ADJUSTED=GAAP","Sort=A","Dates=H","DateFormat=P","Fill=—","Direction=H","UseDPDF=Y")</f>
        <v>#NAME?</v>
      </c>
      <c r="P375" t="e">
        <f ca="1">_xll.BDH($C$353,"NET_INCOME_TO_COMMON_MARGIN","FQ2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375" t="e">
        <f ca="1">_xll.BDH($C$353,"EFF_TAX_RATE","FQ2 2018","FQ2 2018","Currency=INR","Period=FQ","BEST_FPERIOD_OVERRIDE=FQ","FILING_STATUS=OR","EQY_CONSOLIDATED=Y","FA_ADJUSTED=GAAP","Sort=A","Dates=H","DateFormat=P","Fill=—","Direction=H","UseDPDF=Y")</f>
        <v>#NAME?</v>
      </c>
      <c r="R375" t="e">
        <f ca="1">_xll.BDH($C$353,"DVD_PAYOUT_RATIO","FQ2 2018","FQ2 2018","Currency=INR","Period=FQ","BEST_FPERIOD_OVERRIDE=FQ","FILING_STATUS=OR","EQY_CONSOLIDATED=Y","FA_ADJUSTED=GAAP","Sort=A","Dates=H","DateFormat=P","Fill=—","Direction=H","UseDPDF=Y")</f>
        <v>#NAME?</v>
      </c>
      <c r="S375" t="e">
        <f ca="1">_xll.BDH($C$353,"SUSTAIN_GROWTH_RT","FQ2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375" s="2" t="e">
        <f ca="1">_xll.BDH($C$353,"SALES_GROWTH","FQ2 2018","FQ2 2018","Currency=INR","Period=FQ","BEST_FPERIOD_OVERRIDE=FQ","FILING_STATUS=OR","EQY_CONSOLIDATED=Y","FA_ADJUSTED=GAAP","Sort=A","Dates=H","DateFormat=P","Fill=—","Direction=H","UseDPDF=Y")</f>
        <v>#NAME?</v>
      </c>
      <c r="U375" s="2" t="e">
        <f ca="1">_xll.BDH($C$353,"EBITDA_GROWTH","FQ2 2018","FQ2 2018","Currency=INR","Period=FQ","BEST_FPERIOD_OVERRIDE=FQ","FILING_STATUS=OR","EQY_CONSOLIDATED=Y","FA_ADJUSTED=GAAP","Sort=A","Dates=H","DateFormat=P","Fill=—","Direction=H","UseDPDF=Y")</f>
        <v>#NAME?</v>
      </c>
      <c r="V375" s="2" t="e">
        <f ca="1">_xll.BDH($C$353,"OPER_INC_GROWTH","FQ2 2018","FQ2 2018","Currency=INR","Period=FQ","BEST_FPERIOD_OVERRIDE=FQ","FILING_STATUS=OR","EQY_CONSOLIDATED=Y","FA_ADJUSTED=GAAP","Sort=A","Dates=H","DateFormat=P","Fill=—","Direction=H","UseDPDF=Y")</f>
        <v>#NAME?</v>
      </c>
      <c r="W375" s="2" t="e">
        <f ca="1">_xll.BDH($C$353,"EARN_FOR_COM_GROWTH","FQ2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375" s="2" t="e">
        <f ca="1">_xll.BDH($C$353,"DILUTED_EPS_AFT_XO_ITEMS_GROWTH","FQ2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375" s="2" t="e">
        <f ca="1">_xll.BDH($C$353,"DIVIDEND_PER_SHARE_1_YEAR_GROWTH","FQ2 2018","FQ2 2018","Currency=INR","Period=FQ","BEST_FPERIOD_OVERRIDE=FQ","FILING_STATUS=OR","EQY_CONSOLIDATED=Y","Sort=A","Dates=H","DateFormat=P","Fill=—","Direction=H","UseDPDF=Y")</f>
        <v>#NAME?</v>
      </c>
      <c r="Z375" s="2" t="e">
        <f ca="1">_xll.BDH($C$353,"ACCOUNTS_RECEIVABLE_GROWTH","FQ2 2018","FQ2 2018","Currency=INR","Period=FQ","BEST_FPERIOD_OVERRIDE=FQ","FILING_STATUS=OR","EQY_CONSOLIDATED=Y","Sort=A","Dates=H","DateFormat=P","Fill=—","Direction=H","UseDPDF=Y")</f>
        <v>#NAME?</v>
      </c>
      <c r="AA375" s="2" t="e">
        <f ca="1">_xll.BDH($C$353,"INVENTORY_GROWTH","FQ2 2018","FQ2 2018","Currency=INR","Period=FQ","BEST_FPERIOD_OVERRIDE=FQ","FILING_STATUS=OR","EQY_CONSOLIDATED=Y","Sort=A","Dates=H","DateFormat=P","Fill=—","Direction=H","UseDPDF=Y")</f>
        <v>#NAME?</v>
      </c>
      <c r="AB375" s="2" t="e">
        <f ca="1">_xll.BDH($C$353,"NET_FIXED_ASSETS_1_YEAR_GROWTH","FQ2 2018","FQ2 2018","Currency=INR","Period=FQ","BEST_FPERIOD_OVERRIDE=FQ","FILING_STATUS=OR","EQY_CONSOLIDATED=Y","Sort=A","Dates=H","DateFormat=P","Fill=—","Direction=H","UseDPDF=Y")</f>
        <v>#NAME?</v>
      </c>
      <c r="AC375" s="2" t="e">
        <f ca="1">_xll.BDH($C$353,"ASSET_GROWTH","FQ2 2018","FQ2 2018","Currency=INR","Period=FQ","BEST_FPERIOD_OVERRIDE=FQ","FILING_STATUS=OR","EQY_CONSOLIDATED=Y","Sort=A","Dates=H","DateFormat=P","Fill=—","Direction=H","UseDPDF=Y")</f>
        <v>#NAME?</v>
      </c>
      <c r="AD375" s="2" t="e">
        <f ca="1">_xll.BDH($C$353,"MODIFIED_WORK_CAP_GROWTH","FQ2 2018","FQ2 2018","Currency=INR","Period=FQ","BEST_FPERIOD_OVERRIDE=FQ","FILING_STATUS=OR","EQY_CONSOLIDATED=Y","Sort=A","Dates=H","DateFormat=P","Fill=—","Direction=H","UseDPDF=Y")</f>
        <v>#NAME?</v>
      </c>
      <c r="AE375" s="2" t="e">
        <f ca="1">_xll.BDH($C$353,"WORK_CAP_GROWTH","FQ2 2018","FQ2 2018","Currency=INR","Period=FQ","BEST_FPERIOD_OVERRIDE=FQ","FILING_STATUS=OR","EQY_CONSOLIDATED=Y","Sort=A","Dates=H","DateFormat=P","Fill=—","Direction=H","UseDPDF=Y")</f>
        <v>#NAME?</v>
      </c>
      <c r="AF375" s="2" t="e">
        <f ca="1">_xll.BDH($C$353,"ACCOUNTS_PAYABLE_GROWTH_1YR","FQ2 2018","FQ2 2018","Currency=INR","Period=FQ","BEST_FPERIOD_OVERRIDE=FQ","FILING_STATUS=OR","EQY_CONSOLIDATED=Y","Sort=A","Dates=H","DateFormat=P","Fill=—","Direction=H","UseDPDF=Y")</f>
        <v>#NAME?</v>
      </c>
      <c r="AG375" s="2" t="e">
        <f ca="1">_xll.BDH($C$353,"SHORT_TERM_DEBT_1_YEAR_GROWTH","FQ2 2018","FQ2 2018","Currency=INR","Period=FQ","BEST_FPERIOD_OVERRIDE=FQ","FILING_STATUS=OR","EQY_CONSOLIDATED=Y","Sort=A","Dates=H","DateFormat=P","Fill=—","Direction=H","UseDPDF=Y")</f>
        <v>#NAME?</v>
      </c>
      <c r="AH375" s="2" t="e">
        <f ca="1">_xll.BDH($C$353,"TOTAL_DEBT_1_YEAR_GROWTH","FQ2 2018","FQ2 2018","Currency=INR","Period=FQ","BEST_FPERIOD_OVERRIDE=FQ","FILING_STATUS=OR","EQY_CONSOLIDATED=Y","Sort=A","Dates=H","DateFormat=P","Fill=—","Direction=H","UseDPDF=Y")</f>
        <v>#NAME?</v>
      </c>
      <c r="AI375" s="2" t="e">
        <f ca="1">_xll.BDH($C$353,"TOTAL_EQUITY_1_YEAR_GROWTH","FQ2 2018","FQ2 2018","Currency=INR","Period=FQ","BEST_FPERIOD_OVERRIDE=FQ","FILING_STATUS=OR","EQY_CONSOLIDATED=Y","Sort=A","Dates=H","DateFormat=P","Fill=—","Direction=H","UseDPDF=Y")</f>
        <v>#NAME?</v>
      </c>
      <c r="AJ375" s="2" t="e">
        <f ca="1">_xll.BDH($C$353,"GROWTH_IN_CAP","FQ2 2018","FQ2 2018","Currency=INR","Period=FQ","BEST_FPERIOD_OVERRIDE=FQ","FILING_STATUS=OR","EQY_CONSOLIDATED=Y","Sort=A","Dates=H","DateFormat=P","Fill=—","Direction=H","UseDPDF=Y")</f>
        <v>#NAME?</v>
      </c>
      <c r="AK375" s="2" t="e">
        <f ca="1">_xll.BDH($C$353,"BVPS_GROWTH","FQ2 2018","FQ2 2018","Currency=INR","Period=FQ","BEST_FPERIOD_OVERRIDE=FQ","FILING_STATUS=OR","EQY_CONSOLIDATED=Y","Sort=A","Dates=H","DateFormat=P","Fill=—","Direction=H","UseDPDF=Y")</f>
        <v>#NAME?</v>
      </c>
      <c r="AL375" s="2" t="e">
        <f ca="1">_xll.BDH($C$353,"CASH_FLOW_GROWTH","FQ2 2018","FQ2 2018","Currency=INR","Period=FQ","BEST_FPERIOD_OVERRIDE=FQ","FILING_STATUS=OR","EQY_CONSOLIDATED=Y","Sort=A","Dates=H","DateFormat=P","Fill=—","Direction=H","UseDPDF=Y")</f>
        <v>#NAME?</v>
      </c>
      <c r="AM375" s="2" t="e">
        <f ca="1">_xll.BDH($C$353,"GEO_GROW_NET_SALES","FQ2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375" s="2" t="e">
        <f ca="1">_xll.BDH($C$353,"GEO_GROW_EBITDA","FQ2 2018","FQ2 2018","Currency=INR","Period=FQ","BEST_FPERIOD_OVERRIDE=FQ","FILING_STATUS=OR","EQY_CONSOLIDATED=Y","FA_ADJUSTED=GAAP","Sort=A","Dates=H","DateFormat=P","Fill=—","Direction=H","UseDPDF=Y")</f>
        <v>#NAME?</v>
      </c>
      <c r="AO375" s="2" t="e">
        <f ca="1">_xll.BDH($C$353,"GEO_GROW_OPER_INC","FQ2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375" s="2" t="e">
        <f ca="1">_xll.BDH($C$353,"NET_INCOME_TO_COMMON_5_YR_GROWTH","FQ2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375" s="2" t="e">
        <f ca="1">_xll.BDH($C$353,"5Y_GEO_GROWTH_DILUTED_EPS","FQ2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375" s="2" t="e">
        <f ca="1">_xll.BDH($C$353,"GEO_GROW_DVD_PER_SH","FQ2 2018","FQ2 2018","Currency=INR","Period=FQ","BEST_FPERIOD_OVERRIDE=FQ","FILING_STATUS=OR","EQY_CONSOLIDATED=Y","Sort=A","Dates=H","DateFormat=P","Fill=—","Direction=H","UseDPDF=Y")</f>
        <v>#NAME?</v>
      </c>
      <c r="AS375" s="2" t="e">
        <f ca="1">_xll.BDH($C$353,"ACCOUNTS_RECEIVABLE_5_YR_GROWTH","FQ2 2018","FQ2 2018","Currency=INR","Period=FQ","BEST_FPERIOD_OVERRIDE=FQ","FILING_STATUS=OR","EQY_CONSOLIDATED=Y","Sort=A","Dates=H","DateFormat=P","Fill=—","Direction=H","UseDPDF=Y")</f>
        <v>#NAME?</v>
      </c>
      <c r="AT375" s="2" t="e">
        <f ca="1">_xll.BDH($C$353,"INVENTORY_5_YEAR_GROWTH","FQ2 2018","FQ2 2018","Currency=INR","Period=FQ","BEST_FPERIOD_OVERRIDE=FQ","FILING_STATUS=OR","EQY_CONSOLIDATED=Y","Sort=A","Dates=H","DateFormat=P","Fill=—","Direction=H","UseDPDF=Y")</f>
        <v>#NAME?</v>
      </c>
      <c r="AU375" s="2" t="e">
        <f ca="1">_xll.BDH($C$353,"NET_FIXED_ASSETS_5_YEAR_GROWTH","FQ2 2018","FQ2 2018","Currency=INR","Period=FQ","BEST_FPERIOD_OVERRIDE=FQ","FILING_STATUS=OR","EQY_CONSOLIDATED=Y","Sort=A","Dates=H","DateFormat=P","Fill=—","Direction=H","UseDPDF=Y")</f>
        <v>#NAME?</v>
      </c>
      <c r="AV375" s="2" t="e">
        <f ca="1">_xll.BDH($C$353,"GEO_GROW_TOT_ASSET","FQ2 2018","FQ2 2018","Currency=INR","Period=FQ","BEST_FPERIOD_OVERRIDE=FQ","FILING_STATUS=OR","EQY_CONSOLIDATED=Y","Sort=A","Dates=H","DateFormat=P","Fill=—","Direction=H","UseDPDF=Y")</f>
        <v>#NAME?</v>
      </c>
      <c r="AW375" s="2" t="e">
        <f ca="1">_xll.BDH($C$353,"MODIFIED_WORKING_CPTL_5YR_GRWTH","FQ2 2018","FQ2 2018","Currency=INR","Period=FQ","BEST_FPERIOD_OVERRIDE=FQ","FILING_STATUS=OR","EQY_CONSOLIDATED=Y","Sort=A","Dates=H","DateFormat=P","Fill=—","Direction=H","UseDPDF=Y")</f>
        <v>#NAME?</v>
      </c>
      <c r="AX375" s="2" t="e">
        <f ca="1">_xll.BDH($C$353,"WORKING_CAPITAL_5_YEAR_GROWTH","FQ2 2018","FQ2 2018","Currency=INR","Period=FQ","BEST_FPERIOD_OVERRIDE=FQ","FILING_STATUS=OR","EQY_CONSOLIDATED=Y","Sort=A","Dates=H","DateFormat=P","Fill=—","Direction=H","UseDPDF=Y")</f>
        <v>#NAME?</v>
      </c>
      <c r="AY375" s="2" t="e">
        <f ca="1">_xll.BDH($C$353,"ACCOUNTS_PAYABLE_5_YEAR_GROWTH","FQ2 2018","FQ2 2018","Currency=INR","Period=FQ","BEST_FPERIOD_OVERRIDE=FQ","FILING_STATUS=OR","EQY_CONSOLIDATED=Y","Sort=A","Dates=H","DateFormat=P","Fill=—","Direction=H","UseDPDF=Y")</f>
        <v>#NAME?</v>
      </c>
      <c r="AZ375" s="2" t="e">
        <f ca="1">_xll.BDH($C$353,"SHORT_TERM_DEBT_5_YEAR_GROWTH","FQ2 2018","FQ2 2018","Currency=INR","Period=FQ","BEST_FPERIOD_OVERRIDE=FQ","FILING_STATUS=OR","EQY_CONSOLIDATED=Y","Sort=A","Dates=H","DateFormat=P","Fill=—","Direction=H","UseDPDF=Y")</f>
        <v>#NAME?</v>
      </c>
      <c r="BA375" s="2" t="e">
        <f ca="1">_xll.BDH($C$353,"TOTAL_DEBT_5_YEAR_GROWTH","FQ2 2018","FQ2 2018","Currency=INR","Period=FQ","BEST_FPERIOD_OVERRIDE=FQ","FILING_STATUS=OR","EQY_CONSOLIDATED=Y","Sort=A","Dates=H","DateFormat=P","Fill=—","Direction=H","UseDPDF=Y")</f>
        <v>#NAME?</v>
      </c>
      <c r="BB375" s="2" t="e">
        <f ca="1">_xll.BDH($C$353,"GEO_GROW_TOT_SHRHLDR_EQY","FQ2 2018","FQ2 2018","Currency=INR","Period=FQ","BEST_FPERIOD_OVERRIDE=FQ","FILING_STATUS=OR","EQY_CONSOLIDATED=Y","Sort=A","Dates=H","DateFormat=P","Fill=—","Direction=H","UseDPDF=Y")</f>
        <v>#NAME?</v>
      </c>
      <c r="BC375" s="2" t="e">
        <f ca="1">_xll.BDH($C$353,"TOTAL_CAPITAL_5_YEAR_GROWTH","FQ2 2018","FQ2 2018","Currency=INR","Period=FQ","BEST_FPERIOD_OVERRIDE=FQ","FILING_STATUS=OR","EQY_CONSOLIDATED=Y","Sort=A","Dates=H","DateFormat=P","Fill=—","Direction=H","UseDPDF=Y")</f>
        <v>#NAME?</v>
      </c>
      <c r="BD375" s="2" t="e">
        <f ca="1">_xll.BDH($C$353,"GEO_GROW_BOOK_VAL","FQ2 2018","FQ2 2018","Currency=INR","Period=FQ","BEST_FPERIOD_OVERRIDE=FQ","FILING_STATUS=OR","EQY_CONSOLIDATED=Y","Sort=A","Dates=H","DateFormat=P","Fill=—","Direction=H","UseDPDF=Y")</f>
        <v>#NAME?</v>
      </c>
      <c r="BE375" s="2" t="e">
        <f ca="1">_xll.BDH($C$353,"GEO_GROW_CASH_OPER_ACT","FQ2 2018","FQ2 2018","Currency=INR","Period=FQ","BEST_FPERIOD_OVERRIDE=FQ","FILING_STATUS=OR","EQY_CONSOLIDATED=Y","Sort=A","Dates=H","DateFormat=P","Fill=—","Direction=H","UseDPDF=Y")</f>
        <v>#NAME?</v>
      </c>
      <c r="BF375" s="2" t="e">
        <f ca="1">_xll.BDH($C$353,"REVENUE_SEQUENTIAL_GROWTH","FQ2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375" s="2" t="e">
        <f ca="1">_xll.BDH($C$353,"EBITDA_SEQUENTIAL_GROWTH","FQ2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375" s="2" t="e">
        <f ca="1">_xll.BDH($C$353,"OPERATING_INCOME_SEQ_GROWTH","FQ2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375" s="2" t="e">
        <f ca="1">_xll.BDH($C$353,"NET_INCOME_TO_COMMON_SEQ_GROWTH","FQ2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375" s="2" t="e">
        <f ca="1">_xll.BDH($C$353,"EPS_DILUTED_SEQUENTIAL_GROWTH","FQ2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375" s="2" t="e">
        <f ca="1">_xll.BDH($C$353,"DPS_SEQUENTIAL_GROWTH","FQ2 2018","FQ2 2018","Currency=INR","Period=FQ","BEST_FPERIOD_OVERRIDE=FQ","FILING_STATUS=OR","EQY_CONSOLIDATED=Y","Sort=A","Dates=H","DateFormat=P","Fill=—","Direction=H","UseDPDF=Y")</f>
        <v>#NAME?</v>
      </c>
      <c r="BL375" s="2" t="e">
        <f ca="1">_xll.BDH($C$353,"ACCOUNTS_RECEIVABLE_SEQ_GROWTH","FQ2 2018","FQ2 2018","Currency=INR","Period=FQ","BEST_FPERIOD_OVERRIDE=FQ","FILING_STATUS=OR","EQY_CONSOLIDATED=Y","Sort=A","Dates=H","DateFormat=P","Fill=—","Direction=H","UseDPDF=Y")</f>
        <v>#NAME?</v>
      </c>
      <c r="BM375" s="2" t="e">
        <f ca="1">_xll.BDH($C$353,"INVENTORY_SEQUENTIAL_GROWTH","FQ2 2018","FQ2 2018","Currency=INR","Period=FQ","BEST_FPERIOD_OVERRIDE=FQ","FILING_STATUS=OR","EQY_CONSOLIDATED=Y","Sort=A","Dates=H","DateFormat=P","Fill=—","Direction=H","UseDPDF=Y")</f>
        <v>#NAME?</v>
      </c>
      <c r="BN375" s="2" t="e">
        <f ca="1">_xll.BDH($C$353,"FIXED_ASSETS_SEQUENTIAL_GROWTH","FQ2 2018","FQ2 2018","Currency=INR","Period=FQ","BEST_FPERIOD_OVERRIDE=FQ","FILING_STATUS=OR","EQY_CONSOLIDATED=Y","Sort=A","Dates=H","DateFormat=P","Fill=—","Direction=H","UseDPDF=Y")</f>
        <v>#NAME?</v>
      </c>
      <c r="BO375" s="2" t="e">
        <f ca="1">_xll.BDH($C$353,"TOTAL_ASSETS_SEQUENTIAL_GROWTH","FQ2 2018","FQ2 2018","Currency=INR","Period=FQ","BEST_FPERIOD_OVERRIDE=FQ","FILING_STATUS=OR","EQY_CONSOLIDATED=Y","Sort=A","Dates=H","DateFormat=P","Fill=—","Direction=H","UseDPDF=Y")</f>
        <v>#NAME?</v>
      </c>
      <c r="BP375" s="2" t="e">
        <f ca="1">_xll.BDH($C$353,"MODIFIED_WORKING_CPTL_SEQ_GRWTH","FQ2 2018","FQ2 2018","Currency=INR","Period=FQ","BEST_FPERIOD_OVERRIDE=FQ","FILING_STATUS=OR","EQY_CONSOLIDATED=Y","Sort=A","Dates=H","DateFormat=P","Fill=—","Direction=H","UseDPDF=Y")</f>
        <v>#NAME?</v>
      </c>
      <c r="BQ375" s="2" t="e">
        <f ca="1">_xll.BDH($C$353,"WORKING_CAPITAL_SEQ_GROWTH","FQ2 2018","FQ2 2018","Currency=INR","Period=FQ","BEST_FPERIOD_OVERRIDE=FQ","FILING_STATUS=OR","EQY_CONSOLIDATED=Y","Sort=A","Dates=H","DateFormat=P","Fill=—","Direction=H","UseDPDF=Y")</f>
        <v>#NAME?</v>
      </c>
      <c r="BR375" s="2" t="e">
        <f ca="1">_xll.BDH($C$353,"ACCOUNTS_PAYABLE_SEQ_GROWTH","FQ2 2018","FQ2 2018","Currency=INR","Period=FQ","BEST_FPERIOD_OVERRIDE=FQ","FILING_STATUS=OR","EQY_CONSOLIDATED=Y","Sort=A","Dates=H","DateFormat=P","Fill=—","Direction=H","UseDPDF=Y")</f>
        <v>#NAME?</v>
      </c>
      <c r="BS375" s="2" t="e">
        <f ca="1">_xll.BDH($C$353,"ST_DEBT_SEQUENTIAL_GROWTH","FQ2 2018","FQ2 2018","Currency=INR","Period=FQ","BEST_FPERIOD_OVERRIDE=FQ","FILING_STATUS=OR","EQY_CONSOLIDATED=Y","Sort=A","Dates=H","DateFormat=P","Fill=—","Direction=H","UseDPDF=Y")</f>
        <v>#NAME?</v>
      </c>
      <c r="BT375" s="2" t="e">
        <f ca="1">_xll.BDH($C$353,"TOTAL_DEBT_SEQUENTIAL_GROWTH","FQ2 2018","FQ2 2018","Currency=INR","Period=FQ","BEST_FPERIOD_OVERRIDE=FQ","FILING_STATUS=OR","EQY_CONSOLIDATED=Y","Sort=A","Dates=H","DateFormat=P","Fill=—","Direction=H","UseDPDF=Y")</f>
        <v>#NAME?</v>
      </c>
      <c r="BU375" s="2" t="e">
        <f ca="1">_xll.BDH($C$353,"TOTAL_EQUITY_SEQUENTIAL_GROWTH","FQ2 2018","FQ2 2018","Currency=INR","Period=FQ","BEST_FPERIOD_OVERRIDE=FQ","FILING_STATUS=OR","EQY_CONSOLIDATED=Y","Sort=A","Dates=H","DateFormat=P","Fill=—","Direction=H","UseDPDF=Y")</f>
        <v>#NAME?</v>
      </c>
      <c r="BV375" s="2" t="e">
        <f ca="1">_xll.BDH($C$353,"TOTAL_CAPITAL_SEQUENTIAL_GROWTH","FQ2 2018","FQ2 2018","Currency=INR","Period=FQ","BEST_FPERIOD_OVERRIDE=FQ","FILING_STATUS=OR","EQY_CONSOLIDATED=Y","Sort=A","Dates=H","DateFormat=P","Fill=—","Direction=H","UseDPDF=Y")</f>
        <v>#NAME?</v>
      </c>
      <c r="BW375" s="2" t="e">
        <f ca="1">_xll.BDH($C$353,"BPS_SEQUENTIAL_GROWTH","FQ2 2018","FQ2 2018","Currency=INR","Period=FQ","BEST_FPERIOD_OVERRIDE=FQ","FILING_STATUS=OR","EQY_CONSOLIDATED=Y","Sort=A","Dates=H","DateFormat=P","Fill=—","Direction=H","UseDPDF=Y")</f>
        <v>#NAME?</v>
      </c>
      <c r="BX375" s="2" t="e">
        <f ca="1">_xll.BDH($C$353,"CFO_SEQUENTIAL_GROWTH","FQ2 2018","FQ2 2018","Currency=INR","Period=FQ","BEST_FPERIOD_OVERRIDE=FQ","FILING_STATUS=OR","EQY_CONSOLIDATED=Y","Sort=A","Dates=H","DateFormat=P","Fill=—","Direction=H","UseDPDF=Y")</f>
        <v>#NAME?</v>
      </c>
      <c r="BY375" s="3" t="e">
        <f ca="1">_xll.BDH($C$353,"SHORT_AND_LONG_TERM_DEBT","FQ2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375" s="3" t="e">
        <f ca="1">_xll.BDH($C$353,"BS_ST_BORROW","FQ2 2018","FQ2 2018","Currency=INR","Period=FQ","BEST_FPERIOD_OVERRIDE=FQ","FILING_STATUS=OR","EQY_CONSOLIDATED=Y","SCALING_FORMAT=MLN","Sort=A","Dates=H","DateFormat=P","Fill=—","Direction=H","UseDPDF=Y")</f>
        <v>#NAME?</v>
      </c>
      <c r="CA375" s="3" t="e">
        <f ca="1">_xll.BDH($C$353,"BS_LT_BORROW","FQ2 2018","FQ2 2018","Currency=INR","Period=FQ","BEST_FPERIOD_OVERRIDE=FQ","FILING_STATUS=OR","EQY_CONSOLIDATED=Y","SCALING_FORMAT=MLN","Sort=A","Dates=H","DateFormat=P","Fill=—","Direction=H","UseDPDF=Y")</f>
        <v>#NAME?</v>
      </c>
      <c r="CB375" s="2" t="e">
        <f ca="1">_xll.BDH($C$353,"TOT_DEBT_TO_EBITDA","FQ2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375" s="2" t="e">
        <f ca="1">_xll.BDH($C$353,"NET_DEBT_TO_EBITDA","FQ2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375" s="2" t="e">
        <f ca="1">_xll.BDH($C$353,"TOTAL_DEBT_TO_EBIT","FQ2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375" s="2" t="e">
        <f ca="1">_xll.BDH($C$353,"NET_DEBT_TO_EBIT","FQ2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375" s="2" t="e">
        <f ca="1">_xll.BDH($C$353,"EBITDA_TO_INTEREST_EXPN","FQ2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375" s="2" t="e">
        <f ca="1">_xll.BDH($C$353,"COM_EQY_TO_TOT_ASSET","FQ2 2018","FQ2 2018","Currency=INR","Period=FQ","BEST_FPERIOD_OVERRIDE=FQ","FILING_STATUS=OR","EQY_CONSOLIDATED=Y","Sort=A","Dates=H","DateFormat=P","Fill=—","Direction=H","UseDPDF=Y")</f>
        <v>#NAME?</v>
      </c>
      <c r="CH375" s="2" t="e">
        <f ca="1">_xll.BDH($C$353,"LT_DEBT_TO_TOT_EQY","FQ2 2018","FQ2 2018","Currency=INR","Period=FQ","BEST_FPERIOD_OVERRIDE=FQ","FILING_STATUS=OR","EQY_CONSOLIDATED=Y","Sort=A","Dates=H","DateFormat=P","Fill=—","Direction=H","UseDPDF=Y")</f>
        <v>#NAME?</v>
      </c>
      <c r="CI375" s="2" t="e">
        <f ca="1">_xll.BDH($C$353,"LT_DEBT_TO_TOT_CAP","FQ2 2018","FQ2 2018","Currency=INR","Period=FQ","BEST_FPERIOD_OVERRIDE=FQ","FILING_STATUS=OR","EQY_CONSOLIDATED=Y","Sort=A","Dates=H","DateFormat=P","Fill=—","Direction=H","UseDPDF=Y")</f>
        <v>#NAME?</v>
      </c>
      <c r="CJ375" s="2" t="e">
        <f ca="1">_xll.BDH($C$353,"LT_DEBT_TO_TOT_ASSET","FQ2 2018","FQ2 2018","Currency=INR","Period=FQ","BEST_FPERIOD_OVERRIDE=FQ","FILING_STATUS=OR","EQY_CONSOLIDATED=Y","Sort=A","Dates=H","DateFormat=P","Fill=—","Direction=H","UseDPDF=Y")</f>
        <v>#NAME?</v>
      </c>
      <c r="CK375" s="2" t="e">
        <f ca="1">_xll.BDH($C$353,"TOT_DEBT_TO_TOT_EQY","FQ2 2018","FQ2 2018","Currency=INR","Period=FQ","BEST_FPERIOD_OVERRIDE=FQ","FILING_STATUS=OR","EQY_CONSOLIDATED=Y","Sort=A","Dates=H","DateFormat=P","Fill=—","Direction=H","UseDPDF=Y")</f>
        <v>#NAME?</v>
      </c>
      <c r="CL375" s="2" t="e">
        <f ca="1">_xll.BDH($C$353,"TOT_DEBT_TO_TOT_CAP","FQ2 2018","FQ2 2018","Currency=INR","Period=FQ","BEST_FPERIOD_OVERRIDE=FQ","FILING_STATUS=OR","EQY_CONSOLIDATED=Y","Sort=A","Dates=H","DateFormat=P","Fill=—","Direction=H","UseDPDF=Y")</f>
        <v>#NAME?</v>
      </c>
      <c r="CM375" s="2" t="e">
        <f ca="1">_xll.BDH($C$353,"TOT_DEBT_TO_TOT_ASSET","FQ2 2018","FQ2 2018","Currency=INR","Period=FQ","BEST_FPERIOD_OVERRIDE=FQ","FILING_STATUS=OR","EQY_CONSOLIDATED=Y","Sort=A","Dates=H","DateFormat=P","Fill=—","Direction=H","UseDPDF=Y")</f>
        <v>#NAME?</v>
      </c>
      <c r="CN375" s="2" t="e">
        <f ca="1">_xll.BDH($C$353,"NET_DEBT_TO_SHRHLDR_EQTY","FQ2 2018","FQ2 2018","Currency=INR","Period=FQ","BEST_FPERIOD_OVERRIDE=FQ","FILING_STATUS=OR","EQY_CONSOLIDATED=Y","Sort=A","Dates=H","DateFormat=P","Fill=—","Direction=H","UseDPDF=Y")</f>
        <v>#NAME?</v>
      </c>
      <c r="CO375" s="2" t="e">
        <f ca="1">_xll.BDH($C$353,"NET_DEBT_%_CAPITAL","FQ2 2018","FQ2 2018","Currency=INR","Period=FQ","BEST_FPERIOD_OVERRIDE=FQ","FILING_STATUS=OR","EQY_CONSOLIDATED=Y","Sort=A","Dates=H","DateFormat=P","Fill=—","Direction=H","UseDPDF=Y")</f>
        <v>#NAME?</v>
      </c>
      <c r="CP375" s="3" t="e">
        <f ca="1">_xll.BDH($C$353,"EBITDA","FQ2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375" s="3" t="e">
        <f ca="1">_xll.BDH($C$353,"EBITDA_AFTER_CAPEX","FQ2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375" s="3" t="e">
        <f ca="1">_xll.BDH($C$353,"IS_OPER_INC","FQ2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375" s="2" t="e">
        <f ca="1">_xll.BDH($C$353,"CASH_RATIO","FQ2 2018","FQ2 2018","Currency=INR","Period=FQ","BEST_FPERIOD_OVERRIDE=FQ","FILING_STATUS=OR","EQY_CONSOLIDATED=Y","Sort=A","Dates=H","DateFormat=P","Fill=—","Direction=H","UseDPDF=Y")</f>
        <v>#NAME?</v>
      </c>
      <c r="CT375" s="2" t="e">
        <f ca="1">_xll.BDH($C$353,"CUR_RATIO","FQ2 2018","FQ2 2018","Currency=INR","Period=FQ","BEST_FPERIOD_OVERRIDE=FQ","FILING_STATUS=OR","EQY_CONSOLIDATED=Y","Sort=A","Dates=H","DateFormat=P","Fill=—","Direction=H","UseDPDF=Y")</f>
        <v>#NAME?</v>
      </c>
      <c r="CU375" s="2" t="e">
        <f ca="1">_xll.BDH($C$353,"QUICK_RATIO","FQ2 2018","FQ2 2018","Currency=INR","Period=FQ","BEST_FPERIOD_OVERRIDE=FQ","FILING_STATUS=OR","EQY_CONSOLIDATED=Y","Sort=A","Dates=H","DateFormat=P","Fill=—","Direction=H","UseDPDF=Y")</f>
        <v>#NAME?</v>
      </c>
      <c r="CV375" s="2" t="e">
        <f ca="1">_xll.BDH($C$353,"ALTMAN_Z_SCORE","FQ2 2018","FQ2 2018","Currency=INR","Period=FQ","BEST_FPERIOD_OVERRIDE=FQ","FILING_STATUS=OR","EQY_CONSOLIDATED=Y","Sort=A","Dates=H","DateFormat=P","Fill=—","Direction=H","UseDPDF=Y")</f>
        <v>#NAME?</v>
      </c>
      <c r="CW375" s="4" t="e">
        <f ca="1">_xll.BDH($C$353,"ACCT_RCV_TURN","FQ2 2018","FQ2 2018","Currency=INR","Period=FQ","BEST_FPERIOD_OVERRIDE=FQ","FILING_STATUS=OR","EQY_CONSOLIDATED=Y","FA_ADJUSTED=GAAP","Sort=A","Dates=H","DateFormat=P","Fill=—","Direction=H","UseDPDF=Y")</f>
        <v>#NAME?</v>
      </c>
      <c r="CX375" s="2" t="e">
        <f ca="1">_xll.BDH($C$353,"ACCT_RCV_DAYS","FQ2 2018","FQ2 2018","Currency=INR","Period=FQ","BEST_FPERIOD_OVERRIDE=FQ","FILING_STATUS=OR","EQY_CONSOLIDATED=Y","FA_ADJUSTED=GAAP","Sort=A","Dates=H","DateFormat=P","Fill=—","Direction=H","UseDPDF=Y")</f>
        <v>#NAME?</v>
      </c>
      <c r="CY375" s="4" t="e">
        <f ca="1">_xll.BDH($C$353,"INVENT_TURN","FQ2 2018","FQ2 2018","Currency=INR","Period=FQ","BEST_FPERIOD_OVERRIDE=FQ","FILING_STATUS=OR","EQY_CONSOLIDATED=Y","FA_ADJUSTED=GAAP","Sort=A","Dates=H","DateFormat=P","Fill=—","Direction=H","UseDPDF=Y")</f>
        <v>#NAME?</v>
      </c>
      <c r="CZ375" s="2" t="e">
        <f ca="1">_xll.BDH($C$353,"INVENT_DAYS","FQ2 2018","FQ2 2018","Currency=INR","Period=FQ","BEST_FPERIOD_OVERRIDE=FQ","FILING_STATUS=OR","EQY_CONSOLIDATED=Y","FA_ADJUSTED=GAAP","Sort=A","Dates=H","DateFormat=P","Fill=—","Direction=H","UseDPDF=Y")</f>
        <v>#NAME?</v>
      </c>
      <c r="DA375" s="4" t="e">
        <f ca="1">_xll.BDH($C$353,"ACCOUNTS_PAYABLE_TURNOVER","FQ2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375" s="2" t="e">
        <f ca="1">_xll.BDH($C$353,"ACCOUNTS_PAYABLE_TURNOVER_DAYS","FQ2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375" s="4" t="e">
        <f ca="1">_xll.BDH($C$353,"CASH_CONVERSION_CYCLE","FQ2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375" s="4" t="e">
        <f ca="1">_xll.BDH($C$353,"INV_TO_CASH_DAYS","FQ2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375" s="5" t="e">
        <f ca="1">_xll.BDH($C$353,"BS_INVENTORIES","FQ2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375" s="3" t="e">
        <f ca="1">_xll.BDH($C$353,"INVTRY_RAW_MATERIALS","FQ2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375" s="3" t="e">
        <f ca="1">_xll.BDH($C$353,"INVTRY_IN_PROGRESS","FQ2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375" s="3" t="e">
        <f ca="1">_xll.BDH($C$353,"INVTRY_FINISHED_GOODS","FQ2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375" s="3" t="e">
        <f ca="1">_xll.BDH($C$353,"BS_OTHER_INV","FQ2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376" spans="1:113" x14ac:dyDescent="0.3">
      <c r="A376" s="6"/>
      <c r="B376" s="6"/>
      <c r="C376" s="6"/>
      <c r="D376" s="6"/>
      <c r="E376" t="s">
        <v>80</v>
      </c>
      <c r="F376" t="e">
        <f ca="1">_xll.BDH($C$353,"RETURN_COM_EQY","FQ3 2018","FQ3 2018","Currency=INR","Period=FQ","BEST_FPERIOD_OVERRIDE=FQ","FILING_STATUS=OR","EQY_CONSOLIDATED=Y","FA_ADJUSTED=GAAP","Sort=A","Dates=H","DateFormat=P","Fill=—","Direction=H","UseDPDF=Y")</f>
        <v>#NAME?</v>
      </c>
      <c r="G376" t="e">
        <f ca="1">_xll.BDH($C$353,"RETURN_ON_ASSET","FQ3 2018","FQ3 2018","Currency=INR","Period=FQ","BEST_FPERIOD_OVERRIDE=FQ","FILING_STATUS=OR","EQY_CONSOLIDATED=Y","FA_ADJUSTED=GAAP","Sort=A","Dates=H","DateFormat=P","Fill=—","Direction=H","UseDPDF=Y")</f>
        <v>#NAME?</v>
      </c>
      <c r="H376" t="e">
        <f ca="1">_xll.BDH($C$353,"RETURN_ON_CAP","FQ3 2018","FQ3 2018","Currency=INR","Period=FQ","BEST_FPERIOD_OVERRIDE=FQ","FILING_STATUS=OR","EQY_CONSOLIDATED=Y","FA_ADJUSTED=GAAP","Sort=A","Dates=H","DateFormat=P","Fill=—","Direction=H","UseDPDF=Y")</f>
        <v>#NAME?</v>
      </c>
      <c r="I376" t="e">
        <f ca="1">_xll.BDH($C$353,"RETURN_ON_INV_CAPITAL","FQ3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376" t="e">
        <f ca="1">_xll.BDH($C$353,"EBITDA_TO_REVENUE","FQ3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376" t="e">
        <f ca="1">_xll.BDH($C$353,"OPER_MARGIN","FQ3 2018","FQ3 2018","Currency=INR","Period=FQ","BEST_FPERIOD_OVERRIDE=FQ","FILING_STATUS=OR","EQY_CONSOLIDATED=Y","FA_ADJUSTED=GAAP","Sort=A","Dates=H","DateFormat=P","Fill=—","Direction=H","UseDPDF=Y")</f>
        <v>#NAME?</v>
      </c>
      <c r="L376" t="e">
        <f ca="1">_xll.BDH($C$353,"INCREMENTAL_OPERATING_MARGIN","FQ3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376" t="e">
        <f ca="1">_xll.BDH($C$353,"PRETAX_INC_TO_NET_SALES","FQ3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376" t="e">
        <f ca="1">_xll.BDH($C$353,"INC_BEF_XO_ITEMS_TO_NET_SALES","FQ3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376" t="e">
        <f ca="1">_xll.BDH($C$353,"PROF_MARGIN","FQ3 2018","FQ3 2018","Currency=INR","Period=FQ","BEST_FPERIOD_OVERRIDE=FQ","FILING_STATUS=OR","EQY_CONSOLIDATED=Y","FA_ADJUSTED=GAAP","Sort=A","Dates=H","DateFormat=P","Fill=—","Direction=H","UseDPDF=Y")</f>
        <v>#NAME?</v>
      </c>
      <c r="P376" t="e">
        <f ca="1">_xll.BDH($C$353,"NET_INCOME_TO_COMMON_MARGIN","FQ3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376" t="e">
        <f ca="1">_xll.BDH($C$353,"EFF_TAX_RATE","FQ3 2018","FQ3 2018","Currency=INR","Period=FQ","BEST_FPERIOD_OVERRIDE=FQ","FILING_STATUS=OR","EQY_CONSOLIDATED=Y","FA_ADJUSTED=GAAP","Sort=A","Dates=H","DateFormat=P","Fill=—","Direction=H","UseDPDF=Y")</f>
        <v>#NAME?</v>
      </c>
      <c r="R376" t="e">
        <f ca="1">_xll.BDH($C$353,"DVD_PAYOUT_RATIO","FQ3 2018","FQ3 2018","Currency=INR","Period=FQ","BEST_FPERIOD_OVERRIDE=FQ","FILING_STATUS=OR","EQY_CONSOLIDATED=Y","FA_ADJUSTED=GAAP","Sort=A","Dates=H","DateFormat=P","Fill=—","Direction=H","UseDPDF=Y")</f>
        <v>#NAME?</v>
      </c>
      <c r="S376" t="e">
        <f ca="1">_xll.BDH($C$353,"SUSTAIN_GROWTH_RT","FQ3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376" s="2" t="e">
        <f ca="1">_xll.BDH($C$353,"SALES_GROWTH","FQ3 2018","FQ3 2018","Currency=INR","Period=FQ","BEST_FPERIOD_OVERRIDE=FQ","FILING_STATUS=OR","EQY_CONSOLIDATED=Y","FA_ADJUSTED=GAAP","Sort=A","Dates=H","DateFormat=P","Fill=—","Direction=H","UseDPDF=Y")</f>
        <v>#NAME?</v>
      </c>
      <c r="U376" s="2" t="e">
        <f ca="1">_xll.BDH($C$353,"EBITDA_GROWTH","FQ3 2018","FQ3 2018","Currency=INR","Period=FQ","BEST_FPERIOD_OVERRIDE=FQ","FILING_STATUS=OR","EQY_CONSOLIDATED=Y","FA_ADJUSTED=GAAP","Sort=A","Dates=H","DateFormat=P","Fill=—","Direction=H","UseDPDF=Y")</f>
        <v>#NAME?</v>
      </c>
      <c r="V376" s="2" t="e">
        <f ca="1">_xll.BDH($C$353,"OPER_INC_GROWTH","FQ3 2018","FQ3 2018","Currency=INR","Period=FQ","BEST_FPERIOD_OVERRIDE=FQ","FILING_STATUS=OR","EQY_CONSOLIDATED=Y","FA_ADJUSTED=GAAP","Sort=A","Dates=H","DateFormat=P","Fill=—","Direction=H","UseDPDF=Y")</f>
        <v>#NAME?</v>
      </c>
      <c r="W376" s="2" t="e">
        <f ca="1">_xll.BDH($C$353,"EARN_FOR_COM_GROWTH","FQ3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376" s="2" t="e">
        <f ca="1">_xll.BDH($C$353,"DILUTED_EPS_AFT_XO_ITEMS_GROWTH","FQ3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376" s="2" t="e">
        <f ca="1">_xll.BDH($C$353,"DIVIDEND_PER_SHARE_1_YEAR_GROWTH","FQ3 2018","FQ3 2018","Currency=INR","Period=FQ","BEST_FPERIOD_OVERRIDE=FQ","FILING_STATUS=OR","EQY_CONSOLIDATED=Y","Sort=A","Dates=H","DateFormat=P","Fill=—","Direction=H","UseDPDF=Y")</f>
        <v>#NAME?</v>
      </c>
      <c r="Z376" s="2" t="e">
        <f ca="1">_xll.BDH($C$353,"ACCOUNTS_RECEIVABLE_GROWTH","FQ3 2018","FQ3 2018","Currency=INR","Period=FQ","BEST_FPERIOD_OVERRIDE=FQ","FILING_STATUS=OR","EQY_CONSOLIDATED=Y","Sort=A","Dates=H","DateFormat=P","Fill=—","Direction=H","UseDPDF=Y")</f>
        <v>#NAME?</v>
      </c>
      <c r="AA376" s="2" t="e">
        <f ca="1">_xll.BDH($C$353,"INVENTORY_GROWTH","FQ3 2018","FQ3 2018","Currency=INR","Period=FQ","BEST_FPERIOD_OVERRIDE=FQ","FILING_STATUS=OR","EQY_CONSOLIDATED=Y","Sort=A","Dates=H","DateFormat=P","Fill=—","Direction=H","UseDPDF=Y")</f>
        <v>#NAME?</v>
      </c>
      <c r="AB376" s="2" t="e">
        <f ca="1">_xll.BDH($C$353,"NET_FIXED_ASSETS_1_YEAR_GROWTH","FQ3 2018","FQ3 2018","Currency=INR","Period=FQ","BEST_FPERIOD_OVERRIDE=FQ","FILING_STATUS=OR","EQY_CONSOLIDATED=Y","Sort=A","Dates=H","DateFormat=P","Fill=—","Direction=H","UseDPDF=Y")</f>
        <v>#NAME?</v>
      </c>
      <c r="AC376" s="2" t="e">
        <f ca="1">_xll.BDH($C$353,"ASSET_GROWTH","FQ3 2018","FQ3 2018","Currency=INR","Period=FQ","BEST_FPERIOD_OVERRIDE=FQ","FILING_STATUS=OR","EQY_CONSOLIDATED=Y","Sort=A","Dates=H","DateFormat=P","Fill=—","Direction=H","UseDPDF=Y")</f>
        <v>#NAME?</v>
      </c>
      <c r="AD376" s="2" t="e">
        <f ca="1">_xll.BDH($C$353,"MODIFIED_WORK_CAP_GROWTH","FQ3 2018","FQ3 2018","Currency=INR","Period=FQ","BEST_FPERIOD_OVERRIDE=FQ","FILING_STATUS=OR","EQY_CONSOLIDATED=Y","Sort=A","Dates=H","DateFormat=P","Fill=—","Direction=H","UseDPDF=Y")</f>
        <v>#NAME?</v>
      </c>
      <c r="AE376" s="2" t="e">
        <f ca="1">_xll.BDH($C$353,"WORK_CAP_GROWTH","FQ3 2018","FQ3 2018","Currency=INR","Period=FQ","BEST_FPERIOD_OVERRIDE=FQ","FILING_STATUS=OR","EQY_CONSOLIDATED=Y","Sort=A","Dates=H","DateFormat=P","Fill=—","Direction=H","UseDPDF=Y")</f>
        <v>#NAME?</v>
      </c>
      <c r="AF376" s="2" t="e">
        <f ca="1">_xll.BDH($C$353,"ACCOUNTS_PAYABLE_GROWTH_1YR","FQ3 2018","FQ3 2018","Currency=INR","Period=FQ","BEST_FPERIOD_OVERRIDE=FQ","FILING_STATUS=OR","EQY_CONSOLIDATED=Y","Sort=A","Dates=H","DateFormat=P","Fill=—","Direction=H","UseDPDF=Y")</f>
        <v>#NAME?</v>
      </c>
      <c r="AG376" s="2" t="e">
        <f ca="1">_xll.BDH($C$353,"SHORT_TERM_DEBT_1_YEAR_GROWTH","FQ3 2018","FQ3 2018","Currency=INR","Period=FQ","BEST_FPERIOD_OVERRIDE=FQ","FILING_STATUS=OR","EQY_CONSOLIDATED=Y","Sort=A","Dates=H","DateFormat=P","Fill=—","Direction=H","UseDPDF=Y")</f>
        <v>#NAME?</v>
      </c>
      <c r="AH376" s="2" t="e">
        <f ca="1">_xll.BDH($C$353,"TOTAL_DEBT_1_YEAR_GROWTH","FQ3 2018","FQ3 2018","Currency=INR","Period=FQ","BEST_FPERIOD_OVERRIDE=FQ","FILING_STATUS=OR","EQY_CONSOLIDATED=Y","Sort=A","Dates=H","DateFormat=P","Fill=—","Direction=H","UseDPDF=Y")</f>
        <v>#NAME?</v>
      </c>
      <c r="AI376" s="2" t="e">
        <f ca="1">_xll.BDH($C$353,"TOTAL_EQUITY_1_YEAR_GROWTH","FQ3 2018","FQ3 2018","Currency=INR","Period=FQ","BEST_FPERIOD_OVERRIDE=FQ","FILING_STATUS=OR","EQY_CONSOLIDATED=Y","Sort=A","Dates=H","DateFormat=P","Fill=—","Direction=H","UseDPDF=Y")</f>
        <v>#NAME?</v>
      </c>
      <c r="AJ376" s="2" t="e">
        <f ca="1">_xll.BDH($C$353,"GROWTH_IN_CAP","FQ3 2018","FQ3 2018","Currency=INR","Period=FQ","BEST_FPERIOD_OVERRIDE=FQ","FILING_STATUS=OR","EQY_CONSOLIDATED=Y","Sort=A","Dates=H","DateFormat=P","Fill=—","Direction=H","UseDPDF=Y")</f>
        <v>#NAME?</v>
      </c>
      <c r="AK376" s="2" t="e">
        <f ca="1">_xll.BDH($C$353,"BVPS_GROWTH","FQ3 2018","FQ3 2018","Currency=INR","Period=FQ","BEST_FPERIOD_OVERRIDE=FQ","FILING_STATUS=OR","EQY_CONSOLIDATED=Y","Sort=A","Dates=H","DateFormat=P","Fill=—","Direction=H","UseDPDF=Y")</f>
        <v>#NAME?</v>
      </c>
      <c r="AL376" s="2" t="e">
        <f ca="1">_xll.BDH($C$353,"CASH_FLOW_GROWTH","FQ3 2018","FQ3 2018","Currency=INR","Period=FQ","BEST_FPERIOD_OVERRIDE=FQ","FILING_STATUS=OR","EQY_CONSOLIDATED=Y","Sort=A","Dates=H","DateFormat=P","Fill=—","Direction=H","UseDPDF=Y")</f>
        <v>#NAME?</v>
      </c>
      <c r="AM376" s="2" t="e">
        <f ca="1">_xll.BDH($C$353,"GEO_GROW_NET_SALES","FQ3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376" s="2" t="e">
        <f ca="1">_xll.BDH($C$353,"GEO_GROW_EBITDA","FQ3 2018","FQ3 2018","Currency=INR","Period=FQ","BEST_FPERIOD_OVERRIDE=FQ","FILING_STATUS=OR","EQY_CONSOLIDATED=Y","FA_ADJUSTED=GAAP","Sort=A","Dates=H","DateFormat=P","Fill=—","Direction=H","UseDPDF=Y")</f>
        <v>#NAME?</v>
      </c>
      <c r="AO376" s="2" t="e">
        <f ca="1">_xll.BDH($C$353,"GEO_GROW_OPER_INC","FQ3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376" s="2" t="e">
        <f ca="1">_xll.BDH($C$353,"NET_INCOME_TO_COMMON_5_YR_GROWTH","FQ3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376" s="2" t="e">
        <f ca="1">_xll.BDH($C$353,"5Y_GEO_GROWTH_DILUTED_EPS","FQ3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376" s="2" t="e">
        <f ca="1">_xll.BDH($C$353,"GEO_GROW_DVD_PER_SH","FQ3 2018","FQ3 2018","Currency=INR","Period=FQ","BEST_FPERIOD_OVERRIDE=FQ","FILING_STATUS=OR","EQY_CONSOLIDATED=Y","Sort=A","Dates=H","DateFormat=P","Fill=—","Direction=H","UseDPDF=Y")</f>
        <v>#NAME?</v>
      </c>
      <c r="AS376" s="2" t="e">
        <f ca="1">_xll.BDH($C$353,"ACCOUNTS_RECEIVABLE_5_YR_GROWTH","FQ3 2018","FQ3 2018","Currency=INR","Period=FQ","BEST_FPERIOD_OVERRIDE=FQ","FILING_STATUS=OR","EQY_CONSOLIDATED=Y","Sort=A","Dates=H","DateFormat=P","Fill=—","Direction=H","UseDPDF=Y")</f>
        <v>#NAME?</v>
      </c>
      <c r="AT376" s="2" t="e">
        <f ca="1">_xll.BDH($C$353,"INVENTORY_5_YEAR_GROWTH","FQ3 2018","FQ3 2018","Currency=INR","Period=FQ","BEST_FPERIOD_OVERRIDE=FQ","FILING_STATUS=OR","EQY_CONSOLIDATED=Y","Sort=A","Dates=H","DateFormat=P","Fill=—","Direction=H","UseDPDF=Y")</f>
        <v>#NAME?</v>
      </c>
      <c r="AU376" s="2" t="e">
        <f ca="1">_xll.BDH($C$353,"NET_FIXED_ASSETS_5_YEAR_GROWTH","FQ3 2018","FQ3 2018","Currency=INR","Period=FQ","BEST_FPERIOD_OVERRIDE=FQ","FILING_STATUS=OR","EQY_CONSOLIDATED=Y","Sort=A","Dates=H","DateFormat=P","Fill=—","Direction=H","UseDPDF=Y")</f>
        <v>#NAME?</v>
      </c>
      <c r="AV376" s="2" t="e">
        <f ca="1">_xll.BDH($C$353,"GEO_GROW_TOT_ASSET","FQ3 2018","FQ3 2018","Currency=INR","Period=FQ","BEST_FPERIOD_OVERRIDE=FQ","FILING_STATUS=OR","EQY_CONSOLIDATED=Y","Sort=A","Dates=H","DateFormat=P","Fill=—","Direction=H","UseDPDF=Y")</f>
        <v>#NAME?</v>
      </c>
      <c r="AW376" s="2" t="e">
        <f ca="1">_xll.BDH($C$353,"MODIFIED_WORKING_CPTL_5YR_GRWTH","FQ3 2018","FQ3 2018","Currency=INR","Period=FQ","BEST_FPERIOD_OVERRIDE=FQ","FILING_STATUS=OR","EQY_CONSOLIDATED=Y","Sort=A","Dates=H","DateFormat=P","Fill=—","Direction=H","UseDPDF=Y")</f>
        <v>#NAME?</v>
      </c>
      <c r="AX376" s="2" t="e">
        <f ca="1">_xll.BDH($C$353,"WORKING_CAPITAL_5_YEAR_GROWTH","FQ3 2018","FQ3 2018","Currency=INR","Period=FQ","BEST_FPERIOD_OVERRIDE=FQ","FILING_STATUS=OR","EQY_CONSOLIDATED=Y","Sort=A","Dates=H","DateFormat=P","Fill=—","Direction=H","UseDPDF=Y")</f>
        <v>#NAME?</v>
      </c>
      <c r="AY376" s="2" t="e">
        <f ca="1">_xll.BDH($C$353,"ACCOUNTS_PAYABLE_5_YEAR_GROWTH","FQ3 2018","FQ3 2018","Currency=INR","Period=FQ","BEST_FPERIOD_OVERRIDE=FQ","FILING_STATUS=OR","EQY_CONSOLIDATED=Y","Sort=A","Dates=H","DateFormat=P","Fill=—","Direction=H","UseDPDF=Y")</f>
        <v>#NAME?</v>
      </c>
      <c r="AZ376" s="2" t="e">
        <f ca="1">_xll.BDH($C$353,"SHORT_TERM_DEBT_5_YEAR_GROWTH","FQ3 2018","FQ3 2018","Currency=INR","Period=FQ","BEST_FPERIOD_OVERRIDE=FQ","FILING_STATUS=OR","EQY_CONSOLIDATED=Y","Sort=A","Dates=H","DateFormat=P","Fill=—","Direction=H","UseDPDF=Y")</f>
        <v>#NAME?</v>
      </c>
      <c r="BA376" s="2" t="e">
        <f ca="1">_xll.BDH($C$353,"TOTAL_DEBT_5_YEAR_GROWTH","FQ3 2018","FQ3 2018","Currency=INR","Period=FQ","BEST_FPERIOD_OVERRIDE=FQ","FILING_STATUS=OR","EQY_CONSOLIDATED=Y","Sort=A","Dates=H","DateFormat=P","Fill=—","Direction=H","UseDPDF=Y")</f>
        <v>#NAME?</v>
      </c>
      <c r="BB376" s="2" t="e">
        <f ca="1">_xll.BDH($C$353,"GEO_GROW_TOT_SHRHLDR_EQY","FQ3 2018","FQ3 2018","Currency=INR","Period=FQ","BEST_FPERIOD_OVERRIDE=FQ","FILING_STATUS=OR","EQY_CONSOLIDATED=Y","Sort=A","Dates=H","DateFormat=P","Fill=—","Direction=H","UseDPDF=Y")</f>
        <v>#NAME?</v>
      </c>
      <c r="BC376" s="2" t="e">
        <f ca="1">_xll.BDH($C$353,"TOTAL_CAPITAL_5_YEAR_GROWTH","FQ3 2018","FQ3 2018","Currency=INR","Period=FQ","BEST_FPERIOD_OVERRIDE=FQ","FILING_STATUS=OR","EQY_CONSOLIDATED=Y","Sort=A","Dates=H","DateFormat=P","Fill=—","Direction=H","UseDPDF=Y")</f>
        <v>#NAME?</v>
      </c>
      <c r="BD376" s="2" t="e">
        <f ca="1">_xll.BDH($C$353,"GEO_GROW_BOOK_VAL","FQ3 2018","FQ3 2018","Currency=INR","Period=FQ","BEST_FPERIOD_OVERRIDE=FQ","FILING_STATUS=OR","EQY_CONSOLIDATED=Y","Sort=A","Dates=H","DateFormat=P","Fill=—","Direction=H","UseDPDF=Y")</f>
        <v>#NAME?</v>
      </c>
      <c r="BE376" s="2" t="e">
        <f ca="1">_xll.BDH($C$353,"GEO_GROW_CASH_OPER_ACT","FQ3 2018","FQ3 2018","Currency=INR","Period=FQ","BEST_FPERIOD_OVERRIDE=FQ","FILING_STATUS=OR","EQY_CONSOLIDATED=Y","Sort=A","Dates=H","DateFormat=P","Fill=—","Direction=H","UseDPDF=Y")</f>
        <v>#NAME?</v>
      </c>
      <c r="BF376" s="2" t="e">
        <f ca="1">_xll.BDH($C$353,"REVENUE_SEQUENTIAL_GROWTH","FQ3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376" s="2" t="e">
        <f ca="1">_xll.BDH($C$353,"EBITDA_SEQUENTIAL_GROWTH","FQ3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376" s="2" t="e">
        <f ca="1">_xll.BDH($C$353,"OPERATING_INCOME_SEQ_GROWTH","FQ3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376" s="2" t="e">
        <f ca="1">_xll.BDH($C$353,"NET_INCOME_TO_COMMON_SEQ_GROWTH","FQ3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376" s="2" t="e">
        <f ca="1">_xll.BDH($C$353,"EPS_DILUTED_SEQUENTIAL_GROWTH","FQ3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376" s="2" t="e">
        <f ca="1">_xll.BDH($C$353,"DPS_SEQUENTIAL_GROWTH","FQ3 2018","FQ3 2018","Currency=INR","Period=FQ","BEST_FPERIOD_OVERRIDE=FQ","FILING_STATUS=OR","EQY_CONSOLIDATED=Y","Sort=A","Dates=H","DateFormat=P","Fill=—","Direction=H","UseDPDF=Y")</f>
        <v>#NAME?</v>
      </c>
      <c r="BL376" s="2" t="e">
        <f ca="1">_xll.BDH($C$353,"ACCOUNTS_RECEIVABLE_SEQ_GROWTH","FQ3 2018","FQ3 2018","Currency=INR","Period=FQ","BEST_FPERIOD_OVERRIDE=FQ","FILING_STATUS=OR","EQY_CONSOLIDATED=Y","Sort=A","Dates=H","DateFormat=P","Fill=—","Direction=H","UseDPDF=Y")</f>
        <v>#NAME?</v>
      </c>
      <c r="BM376" s="2" t="e">
        <f ca="1">_xll.BDH($C$353,"INVENTORY_SEQUENTIAL_GROWTH","FQ3 2018","FQ3 2018","Currency=INR","Period=FQ","BEST_FPERIOD_OVERRIDE=FQ","FILING_STATUS=OR","EQY_CONSOLIDATED=Y","Sort=A","Dates=H","DateFormat=P","Fill=—","Direction=H","UseDPDF=Y")</f>
        <v>#NAME?</v>
      </c>
      <c r="BN376" s="2" t="e">
        <f ca="1">_xll.BDH($C$353,"FIXED_ASSETS_SEQUENTIAL_GROWTH","FQ3 2018","FQ3 2018","Currency=INR","Period=FQ","BEST_FPERIOD_OVERRIDE=FQ","FILING_STATUS=OR","EQY_CONSOLIDATED=Y","Sort=A","Dates=H","DateFormat=P","Fill=—","Direction=H","UseDPDF=Y")</f>
        <v>#NAME?</v>
      </c>
      <c r="BO376" s="2" t="e">
        <f ca="1">_xll.BDH($C$353,"TOTAL_ASSETS_SEQUENTIAL_GROWTH","FQ3 2018","FQ3 2018","Currency=INR","Period=FQ","BEST_FPERIOD_OVERRIDE=FQ","FILING_STATUS=OR","EQY_CONSOLIDATED=Y","Sort=A","Dates=H","DateFormat=P","Fill=—","Direction=H","UseDPDF=Y")</f>
        <v>#NAME?</v>
      </c>
      <c r="BP376" s="2" t="e">
        <f ca="1">_xll.BDH($C$353,"MODIFIED_WORKING_CPTL_SEQ_GRWTH","FQ3 2018","FQ3 2018","Currency=INR","Period=FQ","BEST_FPERIOD_OVERRIDE=FQ","FILING_STATUS=OR","EQY_CONSOLIDATED=Y","Sort=A","Dates=H","DateFormat=P","Fill=—","Direction=H","UseDPDF=Y")</f>
        <v>#NAME?</v>
      </c>
      <c r="BQ376" s="2" t="e">
        <f ca="1">_xll.BDH($C$353,"WORKING_CAPITAL_SEQ_GROWTH","FQ3 2018","FQ3 2018","Currency=INR","Period=FQ","BEST_FPERIOD_OVERRIDE=FQ","FILING_STATUS=OR","EQY_CONSOLIDATED=Y","Sort=A","Dates=H","DateFormat=P","Fill=—","Direction=H","UseDPDF=Y")</f>
        <v>#NAME?</v>
      </c>
      <c r="BR376" s="2" t="e">
        <f ca="1">_xll.BDH($C$353,"ACCOUNTS_PAYABLE_SEQ_GROWTH","FQ3 2018","FQ3 2018","Currency=INR","Period=FQ","BEST_FPERIOD_OVERRIDE=FQ","FILING_STATUS=OR","EQY_CONSOLIDATED=Y","Sort=A","Dates=H","DateFormat=P","Fill=—","Direction=H","UseDPDF=Y")</f>
        <v>#NAME?</v>
      </c>
      <c r="BS376" s="2" t="e">
        <f ca="1">_xll.BDH($C$353,"ST_DEBT_SEQUENTIAL_GROWTH","FQ3 2018","FQ3 2018","Currency=INR","Period=FQ","BEST_FPERIOD_OVERRIDE=FQ","FILING_STATUS=OR","EQY_CONSOLIDATED=Y","Sort=A","Dates=H","DateFormat=P","Fill=—","Direction=H","UseDPDF=Y")</f>
        <v>#NAME?</v>
      </c>
      <c r="BT376" s="2" t="e">
        <f ca="1">_xll.BDH($C$353,"TOTAL_DEBT_SEQUENTIAL_GROWTH","FQ3 2018","FQ3 2018","Currency=INR","Period=FQ","BEST_FPERIOD_OVERRIDE=FQ","FILING_STATUS=OR","EQY_CONSOLIDATED=Y","Sort=A","Dates=H","DateFormat=P","Fill=—","Direction=H","UseDPDF=Y")</f>
        <v>#NAME?</v>
      </c>
      <c r="BU376" s="2" t="e">
        <f ca="1">_xll.BDH($C$353,"TOTAL_EQUITY_SEQUENTIAL_GROWTH","FQ3 2018","FQ3 2018","Currency=INR","Period=FQ","BEST_FPERIOD_OVERRIDE=FQ","FILING_STATUS=OR","EQY_CONSOLIDATED=Y","Sort=A","Dates=H","DateFormat=P","Fill=—","Direction=H","UseDPDF=Y")</f>
        <v>#NAME?</v>
      </c>
      <c r="BV376" s="2" t="e">
        <f ca="1">_xll.BDH($C$353,"TOTAL_CAPITAL_SEQUENTIAL_GROWTH","FQ3 2018","FQ3 2018","Currency=INR","Period=FQ","BEST_FPERIOD_OVERRIDE=FQ","FILING_STATUS=OR","EQY_CONSOLIDATED=Y","Sort=A","Dates=H","DateFormat=P","Fill=—","Direction=H","UseDPDF=Y")</f>
        <v>#NAME?</v>
      </c>
      <c r="BW376" s="2" t="e">
        <f ca="1">_xll.BDH($C$353,"BPS_SEQUENTIAL_GROWTH","FQ3 2018","FQ3 2018","Currency=INR","Period=FQ","BEST_FPERIOD_OVERRIDE=FQ","FILING_STATUS=OR","EQY_CONSOLIDATED=Y","Sort=A","Dates=H","DateFormat=P","Fill=—","Direction=H","UseDPDF=Y")</f>
        <v>#NAME?</v>
      </c>
      <c r="BX376" s="2" t="e">
        <f ca="1">_xll.BDH($C$353,"CFO_SEQUENTIAL_GROWTH","FQ3 2018","FQ3 2018","Currency=INR","Period=FQ","BEST_FPERIOD_OVERRIDE=FQ","FILING_STATUS=OR","EQY_CONSOLIDATED=Y","Sort=A","Dates=H","DateFormat=P","Fill=—","Direction=H","UseDPDF=Y")</f>
        <v>#NAME?</v>
      </c>
      <c r="BY376" s="3" t="e">
        <f ca="1">_xll.BDH($C$353,"SHORT_AND_LONG_TERM_DEBT","FQ3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376" s="3" t="e">
        <f ca="1">_xll.BDH($C$353,"BS_ST_BORROW","FQ3 2018","FQ3 2018","Currency=INR","Period=FQ","BEST_FPERIOD_OVERRIDE=FQ","FILING_STATUS=OR","EQY_CONSOLIDATED=Y","SCALING_FORMAT=MLN","Sort=A","Dates=H","DateFormat=P","Fill=—","Direction=H","UseDPDF=Y")</f>
        <v>#NAME?</v>
      </c>
      <c r="CA376" s="3" t="e">
        <f ca="1">_xll.BDH($C$353,"BS_LT_BORROW","FQ3 2018","FQ3 2018","Currency=INR","Period=FQ","BEST_FPERIOD_OVERRIDE=FQ","FILING_STATUS=OR","EQY_CONSOLIDATED=Y","SCALING_FORMAT=MLN","Sort=A","Dates=H","DateFormat=P","Fill=—","Direction=H","UseDPDF=Y")</f>
        <v>#NAME?</v>
      </c>
      <c r="CB376" s="2" t="e">
        <f ca="1">_xll.BDH($C$353,"TOT_DEBT_TO_EBITDA","FQ3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376" s="2" t="e">
        <f ca="1">_xll.BDH($C$353,"NET_DEBT_TO_EBITDA","FQ3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376" s="2" t="e">
        <f ca="1">_xll.BDH($C$353,"TOTAL_DEBT_TO_EBIT","FQ3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376" s="2" t="e">
        <f ca="1">_xll.BDH($C$353,"NET_DEBT_TO_EBIT","FQ3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376" s="2" t="e">
        <f ca="1">_xll.BDH($C$353,"EBITDA_TO_INTEREST_EXPN","FQ3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376" s="2" t="e">
        <f ca="1">_xll.BDH($C$353,"COM_EQY_TO_TOT_ASSET","FQ3 2018","FQ3 2018","Currency=INR","Period=FQ","BEST_FPERIOD_OVERRIDE=FQ","FILING_STATUS=OR","EQY_CONSOLIDATED=Y","Sort=A","Dates=H","DateFormat=P","Fill=—","Direction=H","UseDPDF=Y")</f>
        <v>#NAME?</v>
      </c>
      <c r="CH376" s="2" t="e">
        <f ca="1">_xll.BDH($C$353,"LT_DEBT_TO_TOT_EQY","FQ3 2018","FQ3 2018","Currency=INR","Period=FQ","BEST_FPERIOD_OVERRIDE=FQ","FILING_STATUS=OR","EQY_CONSOLIDATED=Y","Sort=A","Dates=H","DateFormat=P","Fill=—","Direction=H","UseDPDF=Y")</f>
        <v>#NAME?</v>
      </c>
      <c r="CI376" s="2" t="e">
        <f ca="1">_xll.BDH($C$353,"LT_DEBT_TO_TOT_CAP","FQ3 2018","FQ3 2018","Currency=INR","Period=FQ","BEST_FPERIOD_OVERRIDE=FQ","FILING_STATUS=OR","EQY_CONSOLIDATED=Y","Sort=A","Dates=H","DateFormat=P","Fill=—","Direction=H","UseDPDF=Y")</f>
        <v>#NAME?</v>
      </c>
      <c r="CJ376" s="2" t="e">
        <f ca="1">_xll.BDH($C$353,"LT_DEBT_TO_TOT_ASSET","FQ3 2018","FQ3 2018","Currency=INR","Period=FQ","BEST_FPERIOD_OVERRIDE=FQ","FILING_STATUS=OR","EQY_CONSOLIDATED=Y","Sort=A","Dates=H","DateFormat=P","Fill=—","Direction=H","UseDPDF=Y")</f>
        <v>#NAME?</v>
      </c>
      <c r="CK376" s="2" t="e">
        <f ca="1">_xll.BDH($C$353,"TOT_DEBT_TO_TOT_EQY","FQ3 2018","FQ3 2018","Currency=INR","Period=FQ","BEST_FPERIOD_OVERRIDE=FQ","FILING_STATUS=OR","EQY_CONSOLIDATED=Y","Sort=A","Dates=H","DateFormat=P","Fill=—","Direction=H","UseDPDF=Y")</f>
        <v>#NAME?</v>
      </c>
      <c r="CL376" s="2" t="e">
        <f ca="1">_xll.BDH($C$353,"TOT_DEBT_TO_TOT_CAP","FQ3 2018","FQ3 2018","Currency=INR","Period=FQ","BEST_FPERIOD_OVERRIDE=FQ","FILING_STATUS=OR","EQY_CONSOLIDATED=Y","Sort=A","Dates=H","DateFormat=P","Fill=—","Direction=H","UseDPDF=Y")</f>
        <v>#NAME?</v>
      </c>
      <c r="CM376" s="2" t="e">
        <f ca="1">_xll.BDH($C$353,"TOT_DEBT_TO_TOT_ASSET","FQ3 2018","FQ3 2018","Currency=INR","Period=FQ","BEST_FPERIOD_OVERRIDE=FQ","FILING_STATUS=OR","EQY_CONSOLIDATED=Y","Sort=A","Dates=H","DateFormat=P","Fill=—","Direction=H","UseDPDF=Y")</f>
        <v>#NAME?</v>
      </c>
      <c r="CN376" s="2" t="e">
        <f ca="1">_xll.BDH($C$353,"NET_DEBT_TO_SHRHLDR_EQTY","FQ3 2018","FQ3 2018","Currency=INR","Period=FQ","BEST_FPERIOD_OVERRIDE=FQ","FILING_STATUS=OR","EQY_CONSOLIDATED=Y","Sort=A","Dates=H","DateFormat=P","Fill=—","Direction=H","UseDPDF=Y")</f>
        <v>#NAME?</v>
      </c>
      <c r="CO376" s="2" t="e">
        <f ca="1">_xll.BDH($C$353,"NET_DEBT_%_CAPITAL","FQ3 2018","FQ3 2018","Currency=INR","Period=FQ","BEST_FPERIOD_OVERRIDE=FQ","FILING_STATUS=OR","EQY_CONSOLIDATED=Y","Sort=A","Dates=H","DateFormat=P","Fill=—","Direction=H","UseDPDF=Y")</f>
        <v>#NAME?</v>
      </c>
      <c r="CP376" s="3" t="e">
        <f ca="1">_xll.BDH($C$353,"EBITDA","FQ3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376" s="3" t="e">
        <f ca="1">_xll.BDH($C$353,"EBITDA_AFTER_CAPEX","FQ3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376" s="3" t="e">
        <f ca="1">_xll.BDH($C$353,"IS_OPER_INC","FQ3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376" s="2" t="e">
        <f ca="1">_xll.BDH($C$353,"CASH_RATIO","FQ3 2018","FQ3 2018","Currency=INR","Period=FQ","BEST_FPERIOD_OVERRIDE=FQ","FILING_STATUS=OR","EQY_CONSOLIDATED=Y","Sort=A","Dates=H","DateFormat=P","Fill=—","Direction=H","UseDPDF=Y")</f>
        <v>#NAME?</v>
      </c>
      <c r="CT376" s="2" t="e">
        <f ca="1">_xll.BDH($C$353,"CUR_RATIO","FQ3 2018","FQ3 2018","Currency=INR","Period=FQ","BEST_FPERIOD_OVERRIDE=FQ","FILING_STATUS=OR","EQY_CONSOLIDATED=Y","Sort=A","Dates=H","DateFormat=P","Fill=—","Direction=H","UseDPDF=Y")</f>
        <v>#NAME?</v>
      </c>
      <c r="CU376" s="2" t="e">
        <f ca="1">_xll.BDH($C$353,"QUICK_RATIO","FQ3 2018","FQ3 2018","Currency=INR","Period=FQ","BEST_FPERIOD_OVERRIDE=FQ","FILING_STATUS=OR","EQY_CONSOLIDATED=Y","Sort=A","Dates=H","DateFormat=P","Fill=—","Direction=H","UseDPDF=Y")</f>
        <v>#NAME?</v>
      </c>
      <c r="CV376" s="2" t="e">
        <f ca="1">_xll.BDH($C$353,"ALTMAN_Z_SCORE","FQ3 2018","FQ3 2018","Currency=INR","Period=FQ","BEST_FPERIOD_OVERRIDE=FQ","FILING_STATUS=OR","EQY_CONSOLIDATED=Y","Sort=A","Dates=H","DateFormat=P","Fill=—","Direction=H","UseDPDF=Y")</f>
        <v>#NAME?</v>
      </c>
      <c r="CW376" s="4" t="e">
        <f ca="1">_xll.BDH($C$353,"ACCT_RCV_TURN","FQ3 2018","FQ3 2018","Currency=INR","Period=FQ","BEST_FPERIOD_OVERRIDE=FQ","FILING_STATUS=OR","EQY_CONSOLIDATED=Y","FA_ADJUSTED=GAAP","Sort=A","Dates=H","DateFormat=P","Fill=—","Direction=H","UseDPDF=Y")</f>
        <v>#NAME?</v>
      </c>
      <c r="CX376" s="2" t="e">
        <f ca="1">_xll.BDH($C$353,"ACCT_RCV_DAYS","FQ3 2018","FQ3 2018","Currency=INR","Period=FQ","BEST_FPERIOD_OVERRIDE=FQ","FILING_STATUS=OR","EQY_CONSOLIDATED=Y","FA_ADJUSTED=GAAP","Sort=A","Dates=H","DateFormat=P","Fill=—","Direction=H","UseDPDF=Y")</f>
        <v>#NAME?</v>
      </c>
      <c r="CY376" s="4" t="e">
        <f ca="1">_xll.BDH($C$353,"INVENT_TURN","FQ3 2018","FQ3 2018","Currency=INR","Period=FQ","BEST_FPERIOD_OVERRIDE=FQ","FILING_STATUS=OR","EQY_CONSOLIDATED=Y","FA_ADJUSTED=GAAP","Sort=A","Dates=H","DateFormat=P","Fill=—","Direction=H","UseDPDF=Y")</f>
        <v>#NAME?</v>
      </c>
      <c r="CZ376" s="2" t="e">
        <f ca="1">_xll.BDH($C$353,"INVENT_DAYS","FQ3 2018","FQ3 2018","Currency=INR","Period=FQ","BEST_FPERIOD_OVERRIDE=FQ","FILING_STATUS=OR","EQY_CONSOLIDATED=Y","FA_ADJUSTED=GAAP","Sort=A","Dates=H","DateFormat=P","Fill=—","Direction=H","UseDPDF=Y")</f>
        <v>#NAME?</v>
      </c>
      <c r="DA376" s="4" t="e">
        <f ca="1">_xll.BDH($C$353,"ACCOUNTS_PAYABLE_TURNOVER","FQ3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376" s="2" t="e">
        <f ca="1">_xll.BDH($C$353,"ACCOUNTS_PAYABLE_TURNOVER_DAYS","FQ3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376" s="4" t="e">
        <f ca="1">_xll.BDH($C$353,"CASH_CONVERSION_CYCLE","FQ3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376" s="4" t="e">
        <f ca="1">_xll.BDH($C$353,"INV_TO_CASH_DAYS","FQ3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376" s="5" t="e">
        <f ca="1">_xll.BDH($C$353,"BS_INVENTORIES","FQ3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376" s="3" t="e">
        <f ca="1">_xll.BDH($C$353,"INVTRY_RAW_MATERIALS","FQ3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376" s="3" t="e">
        <f ca="1">_xll.BDH($C$353,"INVTRY_IN_PROGRESS","FQ3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376" s="3" t="e">
        <f ca="1">_xll.BDH($C$353,"INVTRY_FINISHED_GOODS","FQ3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376" s="3" t="e">
        <f ca="1">_xll.BDH($C$353,"BS_OTHER_INV","FQ3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377" spans="1:113" x14ac:dyDescent="0.3">
      <c r="A377" s="6"/>
      <c r="B377" s="6"/>
      <c r="C377" s="6"/>
      <c r="D377" s="6"/>
      <c r="E377" t="s">
        <v>81</v>
      </c>
      <c r="F377" t="e">
        <f ca="1">_xll.BDH($C$353,"RETURN_COM_EQY","FQ4 2018","FQ4 2018","Currency=INR","Period=FQ","BEST_FPERIOD_OVERRIDE=FQ","FILING_STATUS=OR","EQY_CONSOLIDATED=Y","FA_ADJUSTED=GAAP","Sort=A","Dates=H","DateFormat=P","Fill=—","Direction=H","UseDPDF=Y")</f>
        <v>#NAME?</v>
      </c>
      <c r="G377" t="e">
        <f ca="1">_xll.BDH($C$353,"RETURN_ON_ASSET","FQ4 2018","FQ4 2018","Currency=INR","Period=FQ","BEST_FPERIOD_OVERRIDE=FQ","FILING_STATUS=OR","EQY_CONSOLIDATED=Y","FA_ADJUSTED=GAAP","Sort=A","Dates=H","DateFormat=P","Fill=—","Direction=H","UseDPDF=Y")</f>
        <v>#NAME?</v>
      </c>
      <c r="H377" t="e">
        <f ca="1">_xll.BDH($C$353,"RETURN_ON_CAP","FQ4 2018","FQ4 2018","Currency=INR","Period=FQ","BEST_FPERIOD_OVERRIDE=FQ","FILING_STATUS=OR","EQY_CONSOLIDATED=Y","FA_ADJUSTED=GAAP","Sort=A","Dates=H","DateFormat=P","Fill=—","Direction=H","UseDPDF=Y")</f>
        <v>#NAME?</v>
      </c>
      <c r="I377" t="e">
        <f ca="1">_xll.BDH($C$353,"RETURN_ON_INV_CAPITAL","FQ4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377" t="e">
        <f ca="1">_xll.BDH($C$353,"EBITDA_TO_REVENUE","FQ4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377" t="e">
        <f ca="1">_xll.BDH($C$353,"OPER_MARGIN","FQ4 2018","FQ4 2018","Currency=INR","Period=FQ","BEST_FPERIOD_OVERRIDE=FQ","FILING_STATUS=OR","EQY_CONSOLIDATED=Y","FA_ADJUSTED=GAAP","Sort=A","Dates=H","DateFormat=P","Fill=—","Direction=H","UseDPDF=Y")</f>
        <v>#NAME?</v>
      </c>
      <c r="L377" t="e">
        <f ca="1">_xll.BDH($C$353,"INCREMENTAL_OPERATING_MARGIN","FQ4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377" t="e">
        <f ca="1">_xll.BDH($C$353,"PRETAX_INC_TO_NET_SALES","FQ4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377" t="e">
        <f ca="1">_xll.BDH($C$353,"INC_BEF_XO_ITEMS_TO_NET_SALES","FQ4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377" t="e">
        <f ca="1">_xll.BDH($C$353,"PROF_MARGIN","FQ4 2018","FQ4 2018","Currency=INR","Period=FQ","BEST_FPERIOD_OVERRIDE=FQ","FILING_STATUS=OR","EQY_CONSOLIDATED=Y","FA_ADJUSTED=GAAP","Sort=A","Dates=H","DateFormat=P","Fill=—","Direction=H","UseDPDF=Y")</f>
        <v>#NAME?</v>
      </c>
      <c r="P377" t="e">
        <f ca="1">_xll.BDH($C$353,"NET_INCOME_TO_COMMON_MARGIN","FQ4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377" t="e">
        <f ca="1">_xll.BDH($C$353,"EFF_TAX_RATE","FQ4 2018","FQ4 2018","Currency=INR","Period=FQ","BEST_FPERIOD_OVERRIDE=FQ","FILING_STATUS=OR","EQY_CONSOLIDATED=Y","FA_ADJUSTED=GAAP","Sort=A","Dates=H","DateFormat=P","Fill=—","Direction=H","UseDPDF=Y")</f>
        <v>#NAME?</v>
      </c>
      <c r="R377" t="e">
        <f ca="1">_xll.BDH($C$353,"DVD_PAYOUT_RATIO","FQ4 2018","FQ4 2018","Currency=INR","Period=FQ","BEST_FPERIOD_OVERRIDE=FQ","FILING_STATUS=OR","EQY_CONSOLIDATED=Y","FA_ADJUSTED=GAAP","Sort=A","Dates=H","DateFormat=P","Fill=—","Direction=H","UseDPDF=Y")</f>
        <v>#NAME?</v>
      </c>
      <c r="S377" t="e">
        <f ca="1">_xll.BDH($C$353,"SUSTAIN_GROWTH_RT","FQ4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377" s="2" t="e">
        <f ca="1">_xll.BDH($C$353,"SALES_GROWTH","FQ4 2018","FQ4 2018","Currency=INR","Period=FQ","BEST_FPERIOD_OVERRIDE=FQ","FILING_STATUS=OR","EQY_CONSOLIDATED=Y","FA_ADJUSTED=GAAP","Sort=A","Dates=H","DateFormat=P","Fill=—","Direction=H","UseDPDF=Y")</f>
        <v>#NAME?</v>
      </c>
      <c r="U377" s="2" t="e">
        <f ca="1">_xll.BDH($C$353,"EBITDA_GROWTH","FQ4 2018","FQ4 2018","Currency=INR","Period=FQ","BEST_FPERIOD_OVERRIDE=FQ","FILING_STATUS=OR","EQY_CONSOLIDATED=Y","FA_ADJUSTED=GAAP","Sort=A","Dates=H","DateFormat=P","Fill=—","Direction=H","UseDPDF=Y")</f>
        <v>#NAME?</v>
      </c>
      <c r="V377" s="2" t="e">
        <f ca="1">_xll.BDH($C$353,"OPER_INC_GROWTH","FQ4 2018","FQ4 2018","Currency=INR","Period=FQ","BEST_FPERIOD_OVERRIDE=FQ","FILING_STATUS=OR","EQY_CONSOLIDATED=Y","FA_ADJUSTED=GAAP","Sort=A","Dates=H","DateFormat=P","Fill=—","Direction=H","UseDPDF=Y")</f>
        <v>#NAME?</v>
      </c>
      <c r="W377" s="2" t="e">
        <f ca="1">_xll.BDH($C$353,"EARN_FOR_COM_GROWTH","FQ4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377" s="2" t="e">
        <f ca="1">_xll.BDH($C$353,"DILUTED_EPS_AFT_XO_ITEMS_GROWTH","FQ4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377" s="2" t="e">
        <f ca="1">_xll.BDH($C$353,"DIVIDEND_PER_SHARE_1_YEAR_GROWTH","FQ4 2018","FQ4 2018","Currency=INR","Period=FQ","BEST_FPERIOD_OVERRIDE=FQ","FILING_STATUS=OR","EQY_CONSOLIDATED=Y","Sort=A","Dates=H","DateFormat=P","Fill=—","Direction=H","UseDPDF=Y")</f>
        <v>#NAME?</v>
      </c>
      <c r="Z377" s="2" t="e">
        <f ca="1">_xll.BDH($C$353,"ACCOUNTS_RECEIVABLE_GROWTH","FQ4 2018","FQ4 2018","Currency=INR","Period=FQ","BEST_FPERIOD_OVERRIDE=FQ","FILING_STATUS=OR","EQY_CONSOLIDATED=Y","Sort=A","Dates=H","DateFormat=P","Fill=—","Direction=H","UseDPDF=Y")</f>
        <v>#NAME?</v>
      </c>
      <c r="AA377" s="2" t="e">
        <f ca="1">_xll.BDH($C$353,"INVENTORY_GROWTH","FQ4 2018","FQ4 2018","Currency=INR","Period=FQ","BEST_FPERIOD_OVERRIDE=FQ","FILING_STATUS=OR","EQY_CONSOLIDATED=Y","Sort=A","Dates=H","DateFormat=P","Fill=—","Direction=H","UseDPDF=Y")</f>
        <v>#NAME?</v>
      </c>
      <c r="AB377" s="2" t="e">
        <f ca="1">_xll.BDH($C$353,"NET_FIXED_ASSETS_1_YEAR_GROWTH","FQ4 2018","FQ4 2018","Currency=INR","Period=FQ","BEST_FPERIOD_OVERRIDE=FQ","FILING_STATUS=OR","EQY_CONSOLIDATED=Y","Sort=A","Dates=H","DateFormat=P","Fill=—","Direction=H","UseDPDF=Y")</f>
        <v>#NAME?</v>
      </c>
      <c r="AC377" s="2" t="e">
        <f ca="1">_xll.BDH($C$353,"ASSET_GROWTH","FQ4 2018","FQ4 2018","Currency=INR","Period=FQ","BEST_FPERIOD_OVERRIDE=FQ","FILING_STATUS=OR","EQY_CONSOLIDATED=Y","Sort=A","Dates=H","DateFormat=P","Fill=—","Direction=H","UseDPDF=Y")</f>
        <v>#NAME?</v>
      </c>
      <c r="AD377" s="2" t="e">
        <f ca="1">_xll.BDH($C$353,"MODIFIED_WORK_CAP_GROWTH","FQ4 2018","FQ4 2018","Currency=INR","Period=FQ","BEST_FPERIOD_OVERRIDE=FQ","FILING_STATUS=OR","EQY_CONSOLIDATED=Y","Sort=A","Dates=H","DateFormat=P","Fill=—","Direction=H","UseDPDF=Y")</f>
        <v>#NAME?</v>
      </c>
      <c r="AE377" s="2" t="e">
        <f ca="1">_xll.BDH($C$353,"WORK_CAP_GROWTH","FQ4 2018","FQ4 2018","Currency=INR","Period=FQ","BEST_FPERIOD_OVERRIDE=FQ","FILING_STATUS=OR","EQY_CONSOLIDATED=Y","Sort=A","Dates=H","DateFormat=P","Fill=—","Direction=H","UseDPDF=Y")</f>
        <v>#NAME?</v>
      </c>
      <c r="AF377" s="2" t="e">
        <f ca="1">_xll.BDH($C$353,"ACCOUNTS_PAYABLE_GROWTH_1YR","FQ4 2018","FQ4 2018","Currency=INR","Period=FQ","BEST_FPERIOD_OVERRIDE=FQ","FILING_STATUS=OR","EQY_CONSOLIDATED=Y","Sort=A","Dates=H","DateFormat=P","Fill=—","Direction=H","UseDPDF=Y")</f>
        <v>#NAME?</v>
      </c>
      <c r="AG377" s="2" t="e">
        <f ca="1">_xll.BDH($C$353,"SHORT_TERM_DEBT_1_YEAR_GROWTH","FQ4 2018","FQ4 2018","Currency=INR","Period=FQ","BEST_FPERIOD_OVERRIDE=FQ","FILING_STATUS=OR","EQY_CONSOLIDATED=Y","Sort=A","Dates=H","DateFormat=P","Fill=—","Direction=H","UseDPDF=Y")</f>
        <v>#NAME?</v>
      </c>
      <c r="AH377" s="2" t="e">
        <f ca="1">_xll.BDH($C$353,"TOTAL_DEBT_1_YEAR_GROWTH","FQ4 2018","FQ4 2018","Currency=INR","Period=FQ","BEST_FPERIOD_OVERRIDE=FQ","FILING_STATUS=OR","EQY_CONSOLIDATED=Y","Sort=A","Dates=H","DateFormat=P","Fill=—","Direction=H","UseDPDF=Y")</f>
        <v>#NAME?</v>
      </c>
      <c r="AI377" s="2" t="e">
        <f ca="1">_xll.BDH($C$353,"TOTAL_EQUITY_1_YEAR_GROWTH","FQ4 2018","FQ4 2018","Currency=INR","Period=FQ","BEST_FPERIOD_OVERRIDE=FQ","FILING_STATUS=OR","EQY_CONSOLIDATED=Y","Sort=A","Dates=H","DateFormat=P","Fill=—","Direction=H","UseDPDF=Y")</f>
        <v>#NAME?</v>
      </c>
      <c r="AJ377" s="2" t="e">
        <f ca="1">_xll.BDH($C$353,"GROWTH_IN_CAP","FQ4 2018","FQ4 2018","Currency=INR","Period=FQ","BEST_FPERIOD_OVERRIDE=FQ","FILING_STATUS=OR","EQY_CONSOLIDATED=Y","Sort=A","Dates=H","DateFormat=P","Fill=—","Direction=H","UseDPDF=Y")</f>
        <v>#NAME?</v>
      </c>
      <c r="AK377" s="2" t="e">
        <f ca="1">_xll.BDH($C$353,"BVPS_GROWTH","FQ4 2018","FQ4 2018","Currency=INR","Period=FQ","BEST_FPERIOD_OVERRIDE=FQ","FILING_STATUS=OR","EQY_CONSOLIDATED=Y","Sort=A","Dates=H","DateFormat=P","Fill=—","Direction=H","UseDPDF=Y")</f>
        <v>#NAME?</v>
      </c>
      <c r="AL377" s="2" t="e">
        <f ca="1">_xll.BDH($C$353,"CASH_FLOW_GROWTH","FQ4 2018","FQ4 2018","Currency=INR","Period=FQ","BEST_FPERIOD_OVERRIDE=FQ","FILING_STATUS=OR","EQY_CONSOLIDATED=Y","Sort=A","Dates=H","DateFormat=P","Fill=—","Direction=H","UseDPDF=Y")</f>
        <v>#NAME?</v>
      </c>
      <c r="AM377" s="2" t="e">
        <f ca="1">_xll.BDH($C$353,"GEO_GROW_NET_SALES","FQ4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377" s="2" t="e">
        <f ca="1">_xll.BDH($C$353,"GEO_GROW_EBITDA","FQ4 2018","FQ4 2018","Currency=INR","Period=FQ","BEST_FPERIOD_OVERRIDE=FQ","FILING_STATUS=OR","EQY_CONSOLIDATED=Y","FA_ADJUSTED=GAAP","Sort=A","Dates=H","DateFormat=P","Fill=—","Direction=H","UseDPDF=Y")</f>
        <v>#NAME?</v>
      </c>
      <c r="AO377" s="2" t="e">
        <f ca="1">_xll.BDH($C$353,"GEO_GROW_OPER_INC","FQ4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377" s="2" t="e">
        <f ca="1">_xll.BDH($C$353,"NET_INCOME_TO_COMMON_5_YR_GROWTH","FQ4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377" s="2" t="e">
        <f ca="1">_xll.BDH($C$353,"5Y_GEO_GROWTH_DILUTED_EPS","FQ4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377" s="2" t="e">
        <f ca="1">_xll.BDH($C$353,"GEO_GROW_DVD_PER_SH","FQ4 2018","FQ4 2018","Currency=INR","Period=FQ","BEST_FPERIOD_OVERRIDE=FQ","FILING_STATUS=OR","EQY_CONSOLIDATED=Y","Sort=A","Dates=H","DateFormat=P","Fill=—","Direction=H","UseDPDF=Y")</f>
        <v>#NAME?</v>
      </c>
      <c r="AS377" s="2" t="e">
        <f ca="1">_xll.BDH($C$353,"ACCOUNTS_RECEIVABLE_5_YR_GROWTH","FQ4 2018","FQ4 2018","Currency=INR","Period=FQ","BEST_FPERIOD_OVERRIDE=FQ","FILING_STATUS=OR","EQY_CONSOLIDATED=Y","Sort=A","Dates=H","DateFormat=P","Fill=—","Direction=H","UseDPDF=Y")</f>
        <v>#NAME?</v>
      </c>
      <c r="AT377" s="2" t="e">
        <f ca="1">_xll.BDH($C$353,"INVENTORY_5_YEAR_GROWTH","FQ4 2018","FQ4 2018","Currency=INR","Period=FQ","BEST_FPERIOD_OVERRIDE=FQ","FILING_STATUS=OR","EQY_CONSOLIDATED=Y","Sort=A","Dates=H","DateFormat=P","Fill=—","Direction=H","UseDPDF=Y")</f>
        <v>#NAME?</v>
      </c>
      <c r="AU377" s="2" t="e">
        <f ca="1">_xll.BDH($C$353,"NET_FIXED_ASSETS_5_YEAR_GROWTH","FQ4 2018","FQ4 2018","Currency=INR","Period=FQ","BEST_FPERIOD_OVERRIDE=FQ","FILING_STATUS=OR","EQY_CONSOLIDATED=Y","Sort=A","Dates=H","DateFormat=P","Fill=—","Direction=H","UseDPDF=Y")</f>
        <v>#NAME?</v>
      </c>
      <c r="AV377" s="2" t="e">
        <f ca="1">_xll.BDH($C$353,"GEO_GROW_TOT_ASSET","FQ4 2018","FQ4 2018","Currency=INR","Period=FQ","BEST_FPERIOD_OVERRIDE=FQ","FILING_STATUS=OR","EQY_CONSOLIDATED=Y","Sort=A","Dates=H","DateFormat=P","Fill=—","Direction=H","UseDPDF=Y")</f>
        <v>#NAME?</v>
      </c>
      <c r="AW377" s="2" t="e">
        <f ca="1">_xll.BDH($C$353,"MODIFIED_WORKING_CPTL_5YR_GRWTH","FQ4 2018","FQ4 2018","Currency=INR","Period=FQ","BEST_FPERIOD_OVERRIDE=FQ","FILING_STATUS=OR","EQY_CONSOLIDATED=Y","Sort=A","Dates=H","DateFormat=P","Fill=—","Direction=H","UseDPDF=Y")</f>
        <v>#NAME?</v>
      </c>
      <c r="AX377" s="2" t="e">
        <f ca="1">_xll.BDH($C$353,"WORKING_CAPITAL_5_YEAR_GROWTH","FQ4 2018","FQ4 2018","Currency=INR","Period=FQ","BEST_FPERIOD_OVERRIDE=FQ","FILING_STATUS=OR","EQY_CONSOLIDATED=Y","Sort=A","Dates=H","DateFormat=P","Fill=—","Direction=H","UseDPDF=Y")</f>
        <v>#NAME?</v>
      </c>
      <c r="AY377" s="2" t="e">
        <f ca="1">_xll.BDH($C$353,"ACCOUNTS_PAYABLE_5_YEAR_GROWTH","FQ4 2018","FQ4 2018","Currency=INR","Period=FQ","BEST_FPERIOD_OVERRIDE=FQ","FILING_STATUS=OR","EQY_CONSOLIDATED=Y","Sort=A","Dates=H","DateFormat=P","Fill=—","Direction=H","UseDPDF=Y")</f>
        <v>#NAME?</v>
      </c>
      <c r="AZ377" s="2" t="e">
        <f ca="1">_xll.BDH($C$353,"SHORT_TERM_DEBT_5_YEAR_GROWTH","FQ4 2018","FQ4 2018","Currency=INR","Period=FQ","BEST_FPERIOD_OVERRIDE=FQ","FILING_STATUS=OR","EQY_CONSOLIDATED=Y","Sort=A","Dates=H","DateFormat=P","Fill=—","Direction=H","UseDPDF=Y")</f>
        <v>#NAME?</v>
      </c>
      <c r="BA377" s="2" t="e">
        <f ca="1">_xll.BDH($C$353,"TOTAL_DEBT_5_YEAR_GROWTH","FQ4 2018","FQ4 2018","Currency=INR","Period=FQ","BEST_FPERIOD_OVERRIDE=FQ","FILING_STATUS=OR","EQY_CONSOLIDATED=Y","Sort=A","Dates=H","DateFormat=P","Fill=—","Direction=H","UseDPDF=Y")</f>
        <v>#NAME?</v>
      </c>
      <c r="BB377" s="2" t="e">
        <f ca="1">_xll.BDH($C$353,"GEO_GROW_TOT_SHRHLDR_EQY","FQ4 2018","FQ4 2018","Currency=INR","Period=FQ","BEST_FPERIOD_OVERRIDE=FQ","FILING_STATUS=OR","EQY_CONSOLIDATED=Y","Sort=A","Dates=H","DateFormat=P","Fill=—","Direction=H","UseDPDF=Y")</f>
        <v>#NAME?</v>
      </c>
      <c r="BC377" s="2" t="e">
        <f ca="1">_xll.BDH($C$353,"TOTAL_CAPITAL_5_YEAR_GROWTH","FQ4 2018","FQ4 2018","Currency=INR","Period=FQ","BEST_FPERIOD_OVERRIDE=FQ","FILING_STATUS=OR","EQY_CONSOLIDATED=Y","Sort=A","Dates=H","DateFormat=P","Fill=—","Direction=H","UseDPDF=Y")</f>
        <v>#NAME?</v>
      </c>
      <c r="BD377" s="2" t="e">
        <f ca="1">_xll.BDH($C$353,"GEO_GROW_BOOK_VAL","FQ4 2018","FQ4 2018","Currency=INR","Period=FQ","BEST_FPERIOD_OVERRIDE=FQ","FILING_STATUS=OR","EQY_CONSOLIDATED=Y","Sort=A","Dates=H","DateFormat=P","Fill=—","Direction=H","UseDPDF=Y")</f>
        <v>#NAME?</v>
      </c>
      <c r="BE377" s="2" t="e">
        <f ca="1">_xll.BDH($C$353,"GEO_GROW_CASH_OPER_ACT","FQ4 2018","FQ4 2018","Currency=INR","Period=FQ","BEST_FPERIOD_OVERRIDE=FQ","FILING_STATUS=OR","EQY_CONSOLIDATED=Y","Sort=A","Dates=H","DateFormat=P","Fill=—","Direction=H","UseDPDF=Y")</f>
        <v>#NAME?</v>
      </c>
      <c r="BF377" s="2" t="e">
        <f ca="1">_xll.BDH($C$353,"REVENUE_SEQUENTIAL_GROWTH","FQ4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377" s="2" t="e">
        <f ca="1">_xll.BDH($C$353,"EBITDA_SEQUENTIAL_GROWTH","FQ4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377" s="2" t="e">
        <f ca="1">_xll.BDH($C$353,"OPERATING_INCOME_SEQ_GROWTH","FQ4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377" s="2" t="e">
        <f ca="1">_xll.BDH($C$353,"NET_INCOME_TO_COMMON_SEQ_GROWTH","FQ4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377" s="2" t="e">
        <f ca="1">_xll.BDH($C$353,"EPS_DILUTED_SEQUENTIAL_GROWTH","FQ4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377" s="2" t="e">
        <f ca="1">_xll.BDH($C$353,"DPS_SEQUENTIAL_GROWTH","FQ4 2018","FQ4 2018","Currency=INR","Period=FQ","BEST_FPERIOD_OVERRIDE=FQ","FILING_STATUS=OR","EQY_CONSOLIDATED=Y","Sort=A","Dates=H","DateFormat=P","Fill=—","Direction=H","UseDPDF=Y")</f>
        <v>#NAME?</v>
      </c>
      <c r="BL377" s="2" t="e">
        <f ca="1">_xll.BDH($C$353,"ACCOUNTS_RECEIVABLE_SEQ_GROWTH","FQ4 2018","FQ4 2018","Currency=INR","Period=FQ","BEST_FPERIOD_OVERRIDE=FQ","FILING_STATUS=OR","EQY_CONSOLIDATED=Y","Sort=A","Dates=H","DateFormat=P","Fill=—","Direction=H","UseDPDF=Y")</f>
        <v>#NAME?</v>
      </c>
      <c r="BM377" s="2" t="e">
        <f ca="1">_xll.BDH($C$353,"INVENTORY_SEQUENTIAL_GROWTH","FQ4 2018","FQ4 2018","Currency=INR","Period=FQ","BEST_FPERIOD_OVERRIDE=FQ","FILING_STATUS=OR","EQY_CONSOLIDATED=Y","Sort=A","Dates=H","DateFormat=P","Fill=—","Direction=H","UseDPDF=Y")</f>
        <v>#NAME?</v>
      </c>
      <c r="BN377" s="2" t="e">
        <f ca="1">_xll.BDH($C$353,"FIXED_ASSETS_SEQUENTIAL_GROWTH","FQ4 2018","FQ4 2018","Currency=INR","Period=FQ","BEST_FPERIOD_OVERRIDE=FQ","FILING_STATUS=OR","EQY_CONSOLIDATED=Y","Sort=A","Dates=H","DateFormat=P","Fill=—","Direction=H","UseDPDF=Y")</f>
        <v>#NAME?</v>
      </c>
      <c r="BO377" s="2" t="e">
        <f ca="1">_xll.BDH($C$353,"TOTAL_ASSETS_SEQUENTIAL_GROWTH","FQ4 2018","FQ4 2018","Currency=INR","Period=FQ","BEST_FPERIOD_OVERRIDE=FQ","FILING_STATUS=OR","EQY_CONSOLIDATED=Y","Sort=A","Dates=H","DateFormat=P","Fill=—","Direction=H","UseDPDF=Y")</f>
        <v>#NAME?</v>
      </c>
      <c r="BP377" s="2" t="e">
        <f ca="1">_xll.BDH($C$353,"MODIFIED_WORKING_CPTL_SEQ_GRWTH","FQ4 2018","FQ4 2018","Currency=INR","Period=FQ","BEST_FPERIOD_OVERRIDE=FQ","FILING_STATUS=OR","EQY_CONSOLIDATED=Y","Sort=A","Dates=H","DateFormat=P","Fill=—","Direction=H","UseDPDF=Y")</f>
        <v>#NAME?</v>
      </c>
      <c r="BQ377" s="2" t="e">
        <f ca="1">_xll.BDH($C$353,"WORKING_CAPITAL_SEQ_GROWTH","FQ4 2018","FQ4 2018","Currency=INR","Period=FQ","BEST_FPERIOD_OVERRIDE=FQ","FILING_STATUS=OR","EQY_CONSOLIDATED=Y","Sort=A","Dates=H","DateFormat=P","Fill=—","Direction=H","UseDPDF=Y")</f>
        <v>#NAME?</v>
      </c>
      <c r="BR377" s="2" t="e">
        <f ca="1">_xll.BDH($C$353,"ACCOUNTS_PAYABLE_SEQ_GROWTH","FQ4 2018","FQ4 2018","Currency=INR","Period=FQ","BEST_FPERIOD_OVERRIDE=FQ","FILING_STATUS=OR","EQY_CONSOLIDATED=Y","Sort=A","Dates=H","DateFormat=P","Fill=—","Direction=H","UseDPDF=Y")</f>
        <v>#NAME?</v>
      </c>
      <c r="BS377" s="2" t="e">
        <f ca="1">_xll.BDH($C$353,"ST_DEBT_SEQUENTIAL_GROWTH","FQ4 2018","FQ4 2018","Currency=INR","Period=FQ","BEST_FPERIOD_OVERRIDE=FQ","FILING_STATUS=OR","EQY_CONSOLIDATED=Y","Sort=A","Dates=H","DateFormat=P","Fill=—","Direction=H","UseDPDF=Y")</f>
        <v>#NAME?</v>
      </c>
      <c r="BT377" s="2" t="e">
        <f ca="1">_xll.BDH($C$353,"TOTAL_DEBT_SEQUENTIAL_GROWTH","FQ4 2018","FQ4 2018","Currency=INR","Period=FQ","BEST_FPERIOD_OVERRIDE=FQ","FILING_STATUS=OR","EQY_CONSOLIDATED=Y","Sort=A","Dates=H","DateFormat=P","Fill=—","Direction=H","UseDPDF=Y")</f>
        <v>#NAME?</v>
      </c>
      <c r="BU377" s="2" t="e">
        <f ca="1">_xll.BDH($C$353,"TOTAL_EQUITY_SEQUENTIAL_GROWTH","FQ4 2018","FQ4 2018","Currency=INR","Period=FQ","BEST_FPERIOD_OVERRIDE=FQ","FILING_STATUS=OR","EQY_CONSOLIDATED=Y","Sort=A","Dates=H","DateFormat=P","Fill=—","Direction=H","UseDPDF=Y")</f>
        <v>#NAME?</v>
      </c>
      <c r="BV377" s="2" t="e">
        <f ca="1">_xll.BDH($C$353,"TOTAL_CAPITAL_SEQUENTIAL_GROWTH","FQ4 2018","FQ4 2018","Currency=INR","Period=FQ","BEST_FPERIOD_OVERRIDE=FQ","FILING_STATUS=OR","EQY_CONSOLIDATED=Y","Sort=A","Dates=H","DateFormat=P","Fill=—","Direction=H","UseDPDF=Y")</f>
        <v>#NAME?</v>
      </c>
      <c r="BW377" s="2" t="e">
        <f ca="1">_xll.BDH($C$353,"BPS_SEQUENTIAL_GROWTH","FQ4 2018","FQ4 2018","Currency=INR","Period=FQ","BEST_FPERIOD_OVERRIDE=FQ","FILING_STATUS=OR","EQY_CONSOLIDATED=Y","Sort=A","Dates=H","DateFormat=P","Fill=—","Direction=H","UseDPDF=Y")</f>
        <v>#NAME?</v>
      </c>
      <c r="BX377" s="2" t="e">
        <f ca="1">_xll.BDH($C$353,"CFO_SEQUENTIAL_GROWTH","FQ4 2018","FQ4 2018","Currency=INR","Period=FQ","BEST_FPERIOD_OVERRIDE=FQ","FILING_STATUS=OR","EQY_CONSOLIDATED=Y","Sort=A","Dates=H","DateFormat=P","Fill=—","Direction=H","UseDPDF=Y")</f>
        <v>#NAME?</v>
      </c>
      <c r="BY377" s="3" t="e">
        <f ca="1">_xll.BDH($C$353,"SHORT_AND_LONG_TERM_DEBT","FQ4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377" s="3" t="e">
        <f ca="1">_xll.BDH($C$353,"BS_ST_BORROW","FQ4 2018","FQ4 2018","Currency=INR","Period=FQ","BEST_FPERIOD_OVERRIDE=FQ","FILING_STATUS=OR","EQY_CONSOLIDATED=Y","SCALING_FORMAT=MLN","Sort=A","Dates=H","DateFormat=P","Fill=—","Direction=H","UseDPDF=Y")</f>
        <v>#NAME?</v>
      </c>
      <c r="CA377" s="3" t="e">
        <f ca="1">_xll.BDH($C$353,"BS_LT_BORROW","FQ4 2018","FQ4 2018","Currency=INR","Period=FQ","BEST_FPERIOD_OVERRIDE=FQ","FILING_STATUS=OR","EQY_CONSOLIDATED=Y","SCALING_FORMAT=MLN","Sort=A","Dates=H","DateFormat=P","Fill=—","Direction=H","UseDPDF=Y")</f>
        <v>#NAME?</v>
      </c>
      <c r="CB377" s="2" t="e">
        <f ca="1">_xll.BDH($C$353,"TOT_DEBT_TO_EBITDA","FQ4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377" s="2" t="e">
        <f ca="1">_xll.BDH($C$353,"NET_DEBT_TO_EBITDA","FQ4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377" s="2" t="e">
        <f ca="1">_xll.BDH($C$353,"TOTAL_DEBT_TO_EBIT","FQ4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377" s="2" t="e">
        <f ca="1">_xll.BDH($C$353,"NET_DEBT_TO_EBIT","FQ4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377" s="2" t="e">
        <f ca="1">_xll.BDH($C$353,"EBITDA_TO_INTEREST_EXPN","FQ4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377" s="2" t="e">
        <f ca="1">_xll.BDH($C$353,"COM_EQY_TO_TOT_ASSET","FQ4 2018","FQ4 2018","Currency=INR","Period=FQ","BEST_FPERIOD_OVERRIDE=FQ","FILING_STATUS=OR","EQY_CONSOLIDATED=Y","Sort=A","Dates=H","DateFormat=P","Fill=—","Direction=H","UseDPDF=Y")</f>
        <v>#NAME?</v>
      </c>
      <c r="CH377" s="2" t="e">
        <f ca="1">_xll.BDH($C$353,"LT_DEBT_TO_TOT_EQY","FQ4 2018","FQ4 2018","Currency=INR","Period=FQ","BEST_FPERIOD_OVERRIDE=FQ","FILING_STATUS=OR","EQY_CONSOLIDATED=Y","Sort=A","Dates=H","DateFormat=P","Fill=—","Direction=H","UseDPDF=Y")</f>
        <v>#NAME?</v>
      </c>
      <c r="CI377" s="2" t="e">
        <f ca="1">_xll.BDH($C$353,"LT_DEBT_TO_TOT_CAP","FQ4 2018","FQ4 2018","Currency=INR","Period=FQ","BEST_FPERIOD_OVERRIDE=FQ","FILING_STATUS=OR","EQY_CONSOLIDATED=Y","Sort=A","Dates=H","DateFormat=P","Fill=—","Direction=H","UseDPDF=Y")</f>
        <v>#NAME?</v>
      </c>
      <c r="CJ377" s="2" t="e">
        <f ca="1">_xll.BDH($C$353,"LT_DEBT_TO_TOT_ASSET","FQ4 2018","FQ4 2018","Currency=INR","Period=FQ","BEST_FPERIOD_OVERRIDE=FQ","FILING_STATUS=OR","EQY_CONSOLIDATED=Y","Sort=A","Dates=H","DateFormat=P","Fill=—","Direction=H","UseDPDF=Y")</f>
        <v>#NAME?</v>
      </c>
      <c r="CK377" s="2" t="e">
        <f ca="1">_xll.BDH($C$353,"TOT_DEBT_TO_TOT_EQY","FQ4 2018","FQ4 2018","Currency=INR","Period=FQ","BEST_FPERIOD_OVERRIDE=FQ","FILING_STATUS=OR","EQY_CONSOLIDATED=Y","Sort=A","Dates=H","DateFormat=P","Fill=—","Direction=H","UseDPDF=Y")</f>
        <v>#NAME?</v>
      </c>
      <c r="CL377" s="2" t="e">
        <f ca="1">_xll.BDH($C$353,"TOT_DEBT_TO_TOT_CAP","FQ4 2018","FQ4 2018","Currency=INR","Period=FQ","BEST_FPERIOD_OVERRIDE=FQ","FILING_STATUS=OR","EQY_CONSOLIDATED=Y","Sort=A","Dates=H","DateFormat=P","Fill=—","Direction=H","UseDPDF=Y")</f>
        <v>#NAME?</v>
      </c>
      <c r="CM377" s="2" t="e">
        <f ca="1">_xll.BDH($C$353,"TOT_DEBT_TO_TOT_ASSET","FQ4 2018","FQ4 2018","Currency=INR","Period=FQ","BEST_FPERIOD_OVERRIDE=FQ","FILING_STATUS=OR","EQY_CONSOLIDATED=Y","Sort=A","Dates=H","DateFormat=P","Fill=—","Direction=H","UseDPDF=Y")</f>
        <v>#NAME?</v>
      </c>
      <c r="CN377" s="2" t="e">
        <f ca="1">_xll.BDH($C$353,"NET_DEBT_TO_SHRHLDR_EQTY","FQ4 2018","FQ4 2018","Currency=INR","Period=FQ","BEST_FPERIOD_OVERRIDE=FQ","FILING_STATUS=OR","EQY_CONSOLIDATED=Y","Sort=A","Dates=H","DateFormat=P","Fill=—","Direction=H","UseDPDF=Y")</f>
        <v>#NAME?</v>
      </c>
      <c r="CO377" s="2" t="e">
        <f ca="1">_xll.BDH($C$353,"NET_DEBT_%_CAPITAL","FQ4 2018","FQ4 2018","Currency=INR","Period=FQ","BEST_FPERIOD_OVERRIDE=FQ","FILING_STATUS=OR","EQY_CONSOLIDATED=Y","Sort=A","Dates=H","DateFormat=P","Fill=—","Direction=H","UseDPDF=Y")</f>
        <v>#NAME?</v>
      </c>
      <c r="CP377" s="3" t="e">
        <f ca="1">_xll.BDH($C$353,"EBITDA","FQ4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377" s="3" t="e">
        <f ca="1">_xll.BDH($C$353,"EBITDA_AFTER_CAPEX","FQ4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377" s="3" t="e">
        <f ca="1">_xll.BDH($C$353,"IS_OPER_INC","FQ4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377" s="2" t="e">
        <f ca="1">_xll.BDH($C$353,"CASH_RATIO","FQ4 2018","FQ4 2018","Currency=INR","Period=FQ","BEST_FPERIOD_OVERRIDE=FQ","FILING_STATUS=OR","EQY_CONSOLIDATED=Y","Sort=A","Dates=H","DateFormat=P","Fill=—","Direction=H","UseDPDF=Y")</f>
        <v>#NAME?</v>
      </c>
      <c r="CT377" s="2" t="e">
        <f ca="1">_xll.BDH($C$353,"CUR_RATIO","FQ4 2018","FQ4 2018","Currency=INR","Period=FQ","BEST_FPERIOD_OVERRIDE=FQ","FILING_STATUS=OR","EQY_CONSOLIDATED=Y","Sort=A","Dates=H","DateFormat=P","Fill=—","Direction=H","UseDPDF=Y")</f>
        <v>#NAME?</v>
      </c>
      <c r="CU377" s="2" t="e">
        <f ca="1">_xll.BDH($C$353,"QUICK_RATIO","FQ4 2018","FQ4 2018","Currency=INR","Period=FQ","BEST_FPERIOD_OVERRIDE=FQ","FILING_STATUS=OR","EQY_CONSOLIDATED=Y","Sort=A","Dates=H","DateFormat=P","Fill=—","Direction=H","UseDPDF=Y")</f>
        <v>#NAME?</v>
      </c>
      <c r="CV377" s="2" t="e">
        <f ca="1">_xll.BDH($C$353,"ALTMAN_Z_SCORE","FQ4 2018","FQ4 2018","Currency=INR","Period=FQ","BEST_FPERIOD_OVERRIDE=FQ","FILING_STATUS=OR","EQY_CONSOLIDATED=Y","Sort=A","Dates=H","DateFormat=P","Fill=—","Direction=H","UseDPDF=Y")</f>
        <v>#NAME?</v>
      </c>
      <c r="CW377" s="4" t="e">
        <f ca="1">_xll.BDH($C$353,"ACCT_RCV_TURN","FQ4 2018","FQ4 2018","Currency=INR","Period=FQ","BEST_FPERIOD_OVERRIDE=FQ","FILING_STATUS=OR","EQY_CONSOLIDATED=Y","FA_ADJUSTED=GAAP","Sort=A","Dates=H","DateFormat=P","Fill=—","Direction=H","UseDPDF=Y")</f>
        <v>#NAME?</v>
      </c>
      <c r="CX377" s="2" t="e">
        <f ca="1">_xll.BDH($C$353,"ACCT_RCV_DAYS","FQ4 2018","FQ4 2018","Currency=INR","Period=FQ","BEST_FPERIOD_OVERRIDE=FQ","FILING_STATUS=OR","EQY_CONSOLIDATED=Y","FA_ADJUSTED=GAAP","Sort=A","Dates=H","DateFormat=P","Fill=—","Direction=H","UseDPDF=Y")</f>
        <v>#NAME?</v>
      </c>
      <c r="CY377" s="4" t="e">
        <f ca="1">_xll.BDH($C$353,"INVENT_TURN","FQ4 2018","FQ4 2018","Currency=INR","Period=FQ","BEST_FPERIOD_OVERRIDE=FQ","FILING_STATUS=OR","EQY_CONSOLIDATED=Y","FA_ADJUSTED=GAAP","Sort=A","Dates=H","DateFormat=P","Fill=—","Direction=H","UseDPDF=Y")</f>
        <v>#NAME?</v>
      </c>
      <c r="CZ377" s="2" t="e">
        <f ca="1">_xll.BDH($C$353,"INVENT_DAYS","FQ4 2018","FQ4 2018","Currency=INR","Period=FQ","BEST_FPERIOD_OVERRIDE=FQ","FILING_STATUS=OR","EQY_CONSOLIDATED=Y","FA_ADJUSTED=GAAP","Sort=A","Dates=H","DateFormat=P","Fill=—","Direction=H","UseDPDF=Y")</f>
        <v>#NAME?</v>
      </c>
      <c r="DA377" s="4" t="e">
        <f ca="1">_xll.BDH($C$353,"ACCOUNTS_PAYABLE_TURNOVER","FQ4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377" s="2" t="e">
        <f ca="1">_xll.BDH($C$353,"ACCOUNTS_PAYABLE_TURNOVER_DAYS","FQ4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377" s="4" t="e">
        <f ca="1">_xll.BDH($C$353,"CASH_CONVERSION_CYCLE","FQ4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377" s="4" t="e">
        <f ca="1">_xll.BDH($C$353,"INV_TO_CASH_DAYS","FQ4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377" s="5" t="e">
        <f ca="1">_xll.BDH($C$353,"BS_INVENTORIES","FQ4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377" s="3" t="e">
        <f ca="1">_xll.BDH($C$353,"INVTRY_RAW_MATERIALS","FQ4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377" s="3" t="e">
        <f ca="1">_xll.BDH($C$353,"INVTRY_IN_PROGRESS","FQ4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377" s="3" t="e">
        <f ca="1">_xll.BDH($C$353,"INVTRY_FINISHED_GOODS","FQ4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377" s="3" t="e">
        <f ca="1">_xll.BDH($C$353,"BS_OTHER_INV","FQ4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378" spans="1:113" x14ac:dyDescent="0.3">
      <c r="A378" s="6">
        <v>91</v>
      </c>
      <c r="B378" s="6" t="s">
        <v>113</v>
      </c>
      <c r="C378" s="6" t="s">
        <v>114</v>
      </c>
      <c r="D378" s="6" t="s">
        <v>76</v>
      </c>
      <c r="E378" t="s">
        <v>77</v>
      </c>
      <c r="F378" t="e">
        <f ca="1">_xll.BDH($C$378,"RETURN_COM_EQY","FY 2014","FY 2014","Currency=INR","Period=FY","BEST_FPERIOD_OVERRIDE=FY","FILING_STATUS=OR","EQY_CONSOLIDATED=Y","FA_ADJUSTED=GAAP","Sort=A","Dates=H","DateFormat=P","Fill=—","Direction=H","UseDPDF=Y")</f>
        <v>#NAME?</v>
      </c>
      <c r="G378" t="e">
        <f ca="1">_xll.BDH($C$378,"RETURN_ON_ASSET","FY 2014","FY 2014","Currency=INR","Period=FY","BEST_FPERIOD_OVERRIDE=FY","FILING_STATUS=OR","EQY_CONSOLIDATED=Y","FA_ADJUSTED=GAAP","Sort=A","Dates=H","DateFormat=P","Fill=—","Direction=H","UseDPDF=Y")</f>
        <v>#NAME?</v>
      </c>
      <c r="H378" t="e">
        <f ca="1">_xll.BDH($C$378,"RETURN_ON_CAP","FY 2014","FY 2014","Currency=INR","Period=FY","BEST_FPERIOD_OVERRIDE=FY","FILING_STATUS=OR","EQY_CONSOLIDATED=Y","FA_ADJUSTED=GAAP","Sort=A","Dates=H","DateFormat=P","Fill=—","Direction=H","UseDPDF=Y")</f>
        <v>#NAME?</v>
      </c>
      <c r="I378" t="e">
        <f ca="1">_xll.BDH($C$378,"RETURN_ON_INV_CAPITAL","FY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378" t="e">
        <f ca="1">_xll.BDH($C$378,"EBITDA_TO_REVENUE","FY 2014","FY 2014","Currency=INR","Period=FY","BEST_FPERIOD_OVERRIDE=FY","FILING_STATUS=OR","EQY_CONSOLIDATED=Y","FA_ADJUSTED=GAAP","Sort=A","Dates=H","DateFormat=P","Fill=—","Direction=H","UseDPDF=Y")</f>
        <v>#NAME?</v>
      </c>
      <c r="K378" t="e">
        <f ca="1">_xll.BDH($C$378,"OPER_MARGIN","FY 2014","FY 2014","Currency=INR","Period=FY","BEST_FPERIOD_OVERRIDE=FY","FILING_STATUS=OR","EQY_CONSOLIDATED=Y","FA_ADJUSTED=GAAP","Sort=A","Dates=H","DateFormat=P","Fill=—","Direction=H","UseDPDF=Y")</f>
        <v>#NAME?</v>
      </c>
      <c r="L378" t="e">
        <f ca="1">_xll.BDH($C$378,"INCREMENTAL_OPERATING_MARGIN","FY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378" t="e">
        <f ca="1">_xll.BDH($C$378,"PRETAX_INC_TO_NET_SALES","FY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378" t="e">
        <f ca="1">_xll.BDH($C$378,"INC_BEF_XO_ITEMS_TO_NET_SALES","FY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378" t="e">
        <f ca="1">_xll.BDH($C$378,"PROF_MARGIN","FY 2014","FY 2014","Currency=INR","Period=FY","BEST_FPERIOD_OVERRIDE=FY","FILING_STATUS=OR","EQY_CONSOLIDATED=Y","FA_ADJUSTED=GAAP","Sort=A","Dates=H","DateFormat=P","Fill=—","Direction=H","UseDPDF=Y")</f>
        <v>#NAME?</v>
      </c>
      <c r="P378" t="e">
        <f ca="1">_xll.BDH($C$378,"NET_INCOME_TO_COMMON_MARGIN","FY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378" t="e">
        <f ca="1">_xll.BDH($C$378,"EFF_TAX_RATE","FY 2014","FY 2014","Currency=INR","Period=FY","BEST_FPERIOD_OVERRIDE=FY","FILING_STATUS=OR","EQY_CONSOLIDATED=Y","FA_ADJUSTED=GAAP","Sort=A","Dates=H","DateFormat=P","Fill=—","Direction=H","UseDPDF=Y")</f>
        <v>#NAME?</v>
      </c>
      <c r="R378" t="e">
        <f ca="1">_xll.BDH($C$378,"DVD_PAYOUT_RATIO","FY 2014","FY 2014","Currency=INR","Period=FY","BEST_FPERIOD_OVERRIDE=FY","FILING_STATUS=OR","EQY_CONSOLIDATED=Y","FA_ADJUSTED=GAAP","Sort=A","Dates=H","DateFormat=P","Fill=—","Direction=H","UseDPDF=Y")</f>
        <v>#NAME?</v>
      </c>
      <c r="S378" t="e">
        <f ca="1">_xll.BDH($C$378,"SUSTAIN_GROWTH_RT","FY 2014","FY 2014","Currency=INR","Period=FY","BEST_FPERIOD_OVERRIDE=FY","FILING_STATUS=OR","EQY_CONSOLIDATED=Y","FA_ADJUSTED=GAAP","Sort=A","Dates=H","DateFormat=P","Fill=—","Direction=H","UseDPDF=Y")</f>
        <v>#NAME?</v>
      </c>
      <c r="T378" s="2" t="e">
        <f ca="1">_xll.BDH($C$378,"SALES_GROWTH","FY 2014","FY 2014","Currency=INR","Period=FY","BEST_FPERIOD_OVERRIDE=FY","FILING_STATUS=OR","EQY_CONSOLIDATED=Y","FA_ADJUSTED=GAAP","Sort=A","Dates=H","DateFormat=P","Fill=—","Direction=H","UseDPDF=Y")</f>
        <v>#NAME?</v>
      </c>
      <c r="U378" s="2" t="e">
        <f ca="1">_xll.BDH($C$378,"EBITDA_GROWTH","FY 2014","FY 2014","Currency=INR","Period=FY","BEST_FPERIOD_OVERRIDE=FY","FILING_STATUS=OR","EQY_CONSOLIDATED=Y","FA_ADJUSTED=GAAP","Sort=A","Dates=H","DateFormat=P","Fill=—","Direction=H","UseDPDF=Y")</f>
        <v>#NAME?</v>
      </c>
      <c r="V378" s="2" t="e">
        <f ca="1">_xll.BDH($C$378,"OPER_INC_GROWTH","FY 2014","FY 2014","Currency=INR","Period=FY","BEST_FPERIOD_OVERRIDE=FY","FILING_STATUS=OR","EQY_CONSOLIDATED=Y","FA_ADJUSTED=GAAP","Sort=A","Dates=H","DateFormat=P","Fill=—","Direction=H","UseDPDF=Y")</f>
        <v>#NAME?</v>
      </c>
      <c r="W378" s="2" t="e">
        <f ca="1">_xll.BDH($C$378,"EARN_FOR_COM_GROWTH","FY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378" s="2" t="e">
        <f ca="1">_xll.BDH($C$378,"DILUTED_EPS_AFT_XO_ITEMS_GROWTH","FY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378" s="2" t="e">
        <f ca="1">_xll.BDH($C$378,"DIVIDEND_PER_SHARE_1_YEAR_GROWTH","FY 2014","FY 2014","Currency=INR","Period=FY","BEST_FPERIOD_OVERRIDE=FY","FILING_STATUS=OR","EQY_CONSOLIDATED=Y","Sort=A","Dates=H","DateFormat=P","Fill=—","Direction=H","UseDPDF=Y")</f>
        <v>#NAME?</v>
      </c>
      <c r="Z378" s="2" t="e">
        <f ca="1">_xll.BDH($C$378,"ACCOUNTS_RECEIVABLE_GROWTH","FY 2014","FY 2014","Currency=INR","Period=FY","BEST_FPERIOD_OVERRIDE=FY","FILING_STATUS=OR","EQY_CONSOLIDATED=Y","Sort=A","Dates=H","DateFormat=P","Fill=—","Direction=H","UseDPDF=Y")</f>
        <v>#NAME?</v>
      </c>
      <c r="AA378" s="2" t="e">
        <f ca="1">_xll.BDH($C$378,"INVENTORY_GROWTH","FY 2014","FY 2014","Currency=INR","Period=FY","BEST_FPERIOD_OVERRIDE=FY","FILING_STATUS=OR","EQY_CONSOLIDATED=Y","Sort=A","Dates=H","DateFormat=P","Fill=—","Direction=H","UseDPDF=Y")</f>
        <v>#NAME?</v>
      </c>
      <c r="AB378" s="2" t="e">
        <f ca="1">_xll.BDH($C$378,"NET_FIXED_ASSETS_1_YEAR_GROWTH","FY 2014","FY 2014","Currency=INR","Period=FY","BEST_FPERIOD_OVERRIDE=FY","FILING_STATUS=OR","EQY_CONSOLIDATED=Y","Sort=A","Dates=H","DateFormat=P","Fill=—","Direction=H","UseDPDF=Y")</f>
        <v>#NAME?</v>
      </c>
      <c r="AC378" s="2" t="e">
        <f ca="1">_xll.BDH($C$378,"ASSET_GROWTH","FY 2014","FY 2014","Currency=INR","Period=FY","BEST_FPERIOD_OVERRIDE=FY","FILING_STATUS=OR","EQY_CONSOLIDATED=Y","Sort=A","Dates=H","DateFormat=P","Fill=—","Direction=H","UseDPDF=Y")</f>
        <v>#NAME?</v>
      </c>
      <c r="AD378" s="2" t="e">
        <f ca="1">_xll.BDH($C$378,"MODIFIED_WORK_CAP_GROWTH","FY 2014","FY 2014","Currency=INR","Period=FY","BEST_FPERIOD_OVERRIDE=FY","FILING_STATUS=OR","EQY_CONSOLIDATED=Y","Sort=A","Dates=H","DateFormat=P","Fill=—","Direction=H","UseDPDF=Y")</f>
        <v>#NAME?</v>
      </c>
      <c r="AE378" s="2" t="e">
        <f ca="1">_xll.BDH($C$378,"WORK_CAP_GROWTH","FY 2014","FY 2014","Currency=INR","Period=FY","BEST_FPERIOD_OVERRIDE=FY","FILING_STATUS=OR","EQY_CONSOLIDATED=Y","Sort=A","Dates=H","DateFormat=P","Fill=—","Direction=H","UseDPDF=Y")</f>
        <v>#NAME?</v>
      </c>
      <c r="AF378" s="2" t="e">
        <f ca="1">_xll.BDH($C$378,"ACCOUNTS_PAYABLE_GROWTH_1YR","FY 2014","FY 2014","Currency=INR","Period=FY","BEST_FPERIOD_OVERRIDE=FY","FILING_STATUS=OR","EQY_CONSOLIDATED=Y","Sort=A","Dates=H","DateFormat=P","Fill=—","Direction=H","UseDPDF=Y")</f>
        <v>#NAME?</v>
      </c>
      <c r="AG378" s="2" t="e">
        <f ca="1">_xll.BDH($C$378,"SHORT_TERM_DEBT_1_YEAR_GROWTH","FY 2014","FY 2014","Currency=INR","Period=FY","BEST_FPERIOD_OVERRIDE=FY","FILING_STATUS=OR","EQY_CONSOLIDATED=Y","Sort=A","Dates=H","DateFormat=P","Fill=—","Direction=H","UseDPDF=Y")</f>
        <v>#NAME?</v>
      </c>
      <c r="AH378" s="2" t="e">
        <f ca="1">_xll.BDH($C$378,"TOTAL_DEBT_1_YEAR_GROWTH","FY 2014","FY 2014","Currency=INR","Period=FY","BEST_FPERIOD_OVERRIDE=FY","FILING_STATUS=OR","EQY_CONSOLIDATED=Y","Sort=A","Dates=H","DateFormat=P","Fill=—","Direction=H","UseDPDF=Y")</f>
        <v>#NAME?</v>
      </c>
      <c r="AI378" s="2" t="e">
        <f ca="1">_xll.BDH($C$378,"TOTAL_EQUITY_1_YEAR_GROWTH","FY 2014","FY 2014","Currency=INR","Period=FY","BEST_FPERIOD_OVERRIDE=FY","FILING_STATUS=OR","EQY_CONSOLIDATED=Y","Sort=A","Dates=H","DateFormat=P","Fill=—","Direction=H","UseDPDF=Y")</f>
        <v>#NAME?</v>
      </c>
      <c r="AJ378" s="2" t="e">
        <f ca="1">_xll.BDH($C$378,"GROWTH_IN_CAP","FY 2014","FY 2014","Currency=INR","Period=FY","BEST_FPERIOD_OVERRIDE=FY","FILING_STATUS=OR","EQY_CONSOLIDATED=Y","Sort=A","Dates=H","DateFormat=P","Fill=—","Direction=H","UseDPDF=Y")</f>
        <v>#NAME?</v>
      </c>
      <c r="AK378" s="2" t="e">
        <f ca="1">_xll.BDH($C$378,"BVPS_GROWTH","FY 2014","FY 2014","Currency=INR","Period=FY","BEST_FPERIOD_OVERRIDE=FY","FILING_STATUS=OR","EQY_CONSOLIDATED=Y","Sort=A","Dates=H","DateFormat=P","Fill=—","Direction=H","UseDPDF=Y")</f>
        <v>#NAME?</v>
      </c>
      <c r="AL378" s="2" t="e">
        <f ca="1">_xll.BDH($C$378,"CASH_FLOW_GROWTH","FY 2014","FY 2014","Currency=INR","Period=FY","BEST_FPERIOD_OVERRIDE=FY","FILING_STATUS=OR","EQY_CONSOLIDATED=Y","Sort=A","Dates=H","DateFormat=P","Fill=—","Direction=H","UseDPDF=Y")</f>
        <v>#NAME?</v>
      </c>
      <c r="AM378" s="2" t="e">
        <f ca="1">_xll.BDH($C$378,"GEO_GROW_NET_SALES","FY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378" s="2" t="e">
        <f ca="1">_xll.BDH($C$378,"GEO_GROW_EBITDA","FY 2014","FY 2014","Currency=INR","Period=FY","BEST_FPERIOD_OVERRIDE=FY","FILING_STATUS=OR","EQY_CONSOLIDATED=Y","FA_ADJUSTED=GAAP","Sort=A","Dates=H","DateFormat=P","Fill=—","Direction=H","UseDPDF=Y")</f>
        <v>#NAME?</v>
      </c>
      <c r="AO378" s="2" t="e">
        <f ca="1">_xll.BDH($C$378,"GEO_GROW_OPER_INC","FY 2014","FY 2014","Currency=INR","Period=FY","BEST_FPERIOD_OVERRIDE=FY","FILING_STATUS=OR","EQY_CONSOLIDATED=Y","FA_ADJUSTED=GAAP","Sort=A","Dates=H","DateFormat=P","Fill=—","Direction=H","UseDPDF=Y")</f>
        <v>#NAME?</v>
      </c>
      <c r="AP378" s="2" t="e">
        <f ca="1">_xll.BDH($C$378,"NET_INCOME_TO_COMMON_5_YR_GROWTH","FY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378" s="2" t="e">
        <f ca="1">_xll.BDH($C$378,"5Y_GEO_GROWTH_DILUTED_EPS","FY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378" s="2" t="e">
        <f ca="1">_xll.BDH($C$378,"GEO_GROW_DVD_PER_SH","FY 2014","FY 2014","Currency=INR","Period=FY","BEST_FPERIOD_OVERRIDE=FY","FILING_STATUS=OR","EQY_CONSOLIDATED=Y","Sort=A","Dates=H","DateFormat=P","Fill=—","Direction=H","UseDPDF=Y")</f>
        <v>#NAME?</v>
      </c>
      <c r="AS378" s="2" t="e">
        <f ca="1">_xll.BDH($C$378,"ACCOUNTS_RECEIVABLE_5_YR_GROWTH","FY 2014","FY 2014","Currency=INR","Period=FY","BEST_FPERIOD_OVERRIDE=FY","FILING_STATUS=OR","EQY_CONSOLIDATED=Y","Sort=A","Dates=H","DateFormat=P","Fill=—","Direction=H","UseDPDF=Y")</f>
        <v>#NAME?</v>
      </c>
      <c r="AT378" s="2" t="e">
        <f ca="1">_xll.BDH($C$378,"INVENTORY_5_YEAR_GROWTH","FY 2014","FY 2014","Currency=INR","Period=FY","BEST_FPERIOD_OVERRIDE=FY","FILING_STATUS=OR","EQY_CONSOLIDATED=Y","Sort=A","Dates=H","DateFormat=P","Fill=—","Direction=H","UseDPDF=Y")</f>
        <v>#NAME?</v>
      </c>
      <c r="AU378" s="2" t="e">
        <f ca="1">_xll.BDH($C$378,"NET_FIXED_ASSETS_5_YEAR_GROWTH","FY 2014","FY 2014","Currency=INR","Period=FY","BEST_FPERIOD_OVERRIDE=FY","FILING_STATUS=OR","EQY_CONSOLIDATED=Y","Sort=A","Dates=H","DateFormat=P","Fill=—","Direction=H","UseDPDF=Y")</f>
        <v>#NAME?</v>
      </c>
      <c r="AV378" s="2" t="e">
        <f ca="1">_xll.BDH($C$378,"GEO_GROW_TOT_ASSET","FY 2014","FY 2014","Currency=INR","Period=FY","BEST_FPERIOD_OVERRIDE=FY","FILING_STATUS=OR","EQY_CONSOLIDATED=Y","Sort=A","Dates=H","DateFormat=P","Fill=—","Direction=H","UseDPDF=Y")</f>
        <v>#NAME?</v>
      </c>
      <c r="AW378" s="2" t="e">
        <f ca="1">_xll.BDH($C$378,"MODIFIED_WORKING_CPTL_5YR_GRWTH","FY 2014","FY 2014","Currency=INR","Period=FY","BEST_FPERIOD_OVERRIDE=FY","FILING_STATUS=OR","EQY_CONSOLIDATED=Y","Sort=A","Dates=H","DateFormat=P","Fill=—","Direction=H","UseDPDF=Y")</f>
        <v>#NAME?</v>
      </c>
      <c r="AX378" s="2" t="e">
        <f ca="1">_xll.BDH($C$378,"WORKING_CAPITAL_5_YEAR_GROWTH","FY 2014","FY 2014","Currency=INR","Period=FY","BEST_FPERIOD_OVERRIDE=FY","FILING_STATUS=OR","EQY_CONSOLIDATED=Y","Sort=A","Dates=H","DateFormat=P","Fill=—","Direction=H","UseDPDF=Y")</f>
        <v>#NAME?</v>
      </c>
      <c r="AY378" s="2" t="e">
        <f ca="1">_xll.BDH($C$378,"ACCOUNTS_PAYABLE_5_YEAR_GROWTH","FY 2014","FY 2014","Currency=INR","Period=FY","BEST_FPERIOD_OVERRIDE=FY","FILING_STATUS=OR","EQY_CONSOLIDATED=Y","Sort=A","Dates=H","DateFormat=P","Fill=—","Direction=H","UseDPDF=Y")</f>
        <v>#NAME?</v>
      </c>
      <c r="AZ378" s="2" t="e">
        <f ca="1">_xll.BDH($C$378,"SHORT_TERM_DEBT_5_YEAR_GROWTH","FY 2014","FY 2014","Currency=INR","Period=FY","BEST_FPERIOD_OVERRIDE=FY","FILING_STATUS=OR","EQY_CONSOLIDATED=Y","Sort=A","Dates=H","DateFormat=P","Fill=—","Direction=H","UseDPDF=Y")</f>
        <v>#NAME?</v>
      </c>
      <c r="BA378" s="2" t="e">
        <f ca="1">_xll.BDH($C$378,"TOTAL_DEBT_5_YEAR_GROWTH","FY 2014","FY 2014","Currency=INR","Period=FY","BEST_FPERIOD_OVERRIDE=FY","FILING_STATUS=OR","EQY_CONSOLIDATED=Y","Sort=A","Dates=H","DateFormat=P","Fill=—","Direction=H","UseDPDF=Y")</f>
        <v>#NAME?</v>
      </c>
      <c r="BB378" s="2" t="e">
        <f ca="1">_xll.BDH($C$378,"GEO_GROW_TOT_SHRHLDR_EQY","FY 2014","FY 2014","Currency=INR","Period=FY","BEST_FPERIOD_OVERRIDE=FY","FILING_STATUS=OR","EQY_CONSOLIDATED=Y","Sort=A","Dates=H","DateFormat=P","Fill=—","Direction=H","UseDPDF=Y")</f>
        <v>#NAME?</v>
      </c>
      <c r="BC378" s="2" t="e">
        <f ca="1">_xll.BDH($C$378,"TOTAL_CAPITAL_5_YEAR_GROWTH","FY 2014","FY 2014","Currency=INR","Period=FY","BEST_FPERIOD_OVERRIDE=FY","FILING_STATUS=OR","EQY_CONSOLIDATED=Y","Sort=A","Dates=H","DateFormat=P","Fill=—","Direction=H","UseDPDF=Y")</f>
        <v>#NAME?</v>
      </c>
      <c r="BD378" s="2" t="e">
        <f ca="1">_xll.BDH($C$378,"GEO_GROW_BOOK_VAL","FY 2014","FY 2014","Currency=INR","Period=FY","BEST_FPERIOD_OVERRIDE=FY","FILING_STATUS=OR","EQY_CONSOLIDATED=Y","Sort=A","Dates=H","DateFormat=P","Fill=—","Direction=H","UseDPDF=Y")</f>
        <v>#NAME?</v>
      </c>
      <c r="BE378" s="2" t="e">
        <f ca="1">_xll.BDH($C$378,"GEO_GROW_CASH_OPER_ACT","FY 2014","FY 2014","Currency=INR","Period=FY","BEST_FPERIOD_OVERRIDE=FY","FILING_STATUS=OR","EQY_CONSOLIDATED=Y","Sort=A","Dates=H","DateFormat=P","Fill=—","Direction=H","UseDPDF=Y")</f>
        <v>#NAME?</v>
      </c>
      <c r="BF378" s="2" t="e">
        <f ca="1">_xll.BDH($C$378,"REVENUE_SEQUENTIAL_GROWTH","FY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378" s="2" t="e">
        <f ca="1">_xll.BDH($C$378,"EBITDA_SEQUENTIAL_GROWTH","FY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378" s="2" t="e">
        <f ca="1">_xll.BDH($C$378,"OPERATING_INCOME_SEQ_GROWTH","FY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378" s="2" t="e">
        <f ca="1">_xll.BDH($C$378,"NET_INCOME_TO_COMMON_SEQ_GROWTH","FY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378" s="2" t="e">
        <f ca="1">_xll.BDH($C$378,"EPS_DILUTED_SEQUENTIAL_GROWTH","FY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378" s="2" t="e">
        <f ca="1">_xll.BDH($C$378,"DPS_SEQUENTIAL_GROWTH","FY 2014","FY 2014","Currency=INR","Period=FY","BEST_FPERIOD_OVERRIDE=FY","FILING_STATUS=OR","EQY_CONSOLIDATED=Y","Sort=A","Dates=H","DateFormat=P","Fill=—","Direction=H","UseDPDF=Y")</f>
        <v>#NAME?</v>
      </c>
      <c r="BL378" s="2" t="e">
        <f ca="1">_xll.BDH($C$378,"ACCOUNTS_RECEIVABLE_SEQ_GROWTH","FY 2014","FY 2014","Currency=INR","Period=FY","BEST_FPERIOD_OVERRIDE=FY","FILING_STATUS=OR","EQY_CONSOLIDATED=Y","Sort=A","Dates=H","DateFormat=P","Fill=—","Direction=H","UseDPDF=Y")</f>
        <v>#NAME?</v>
      </c>
      <c r="BM378" s="2" t="e">
        <f ca="1">_xll.BDH($C$378,"INVENTORY_SEQUENTIAL_GROWTH","FY 2014","FY 2014","Currency=INR","Period=FY","BEST_FPERIOD_OVERRIDE=FY","FILING_STATUS=OR","EQY_CONSOLIDATED=Y","Sort=A","Dates=H","DateFormat=P","Fill=—","Direction=H","UseDPDF=Y")</f>
        <v>#NAME?</v>
      </c>
      <c r="BN378" s="2" t="e">
        <f ca="1">_xll.BDH($C$378,"FIXED_ASSETS_SEQUENTIAL_GROWTH","FY 2014","FY 2014","Currency=INR","Period=FY","BEST_FPERIOD_OVERRIDE=FY","FILING_STATUS=OR","EQY_CONSOLIDATED=Y","Sort=A","Dates=H","DateFormat=P","Fill=—","Direction=H","UseDPDF=Y")</f>
        <v>#NAME?</v>
      </c>
      <c r="BO378" s="2" t="e">
        <f ca="1">_xll.BDH($C$378,"TOTAL_ASSETS_SEQUENTIAL_GROWTH","FY 2014","FY 2014","Currency=INR","Period=FY","BEST_FPERIOD_OVERRIDE=FY","FILING_STATUS=OR","EQY_CONSOLIDATED=Y","Sort=A","Dates=H","DateFormat=P","Fill=—","Direction=H","UseDPDF=Y")</f>
        <v>#NAME?</v>
      </c>
      <c r="BP378" s="2" t="e">
        <f ca="1">_xll.BDH($C$378,"MODIFIED_WORKING_CPTL_SEQ_GRWTH","FY 2014","FY 2014","Currency=INR","Period=FY","BEST_FPERIOD_OVERRIDE=FY","FILING_STATUS=OR","EQY_CONSOLIDATED=Y","Sort=A","Dates=H","DateFormat=P","Fill=—","Direction=H","UseDPDF=Y")</f>
        <v>#NAME?</v>
      </c>
      <c r="BQ378" s="2" t="e">
        <f ca="1">_xll.BDH($C$378,"WORKING_CAPITAL_SEQ_GROWTH","FY 2014","FY 2014","Currency=INR","Period=FY","BEST_FPERIOD_OVERRIDE=FY","FILING_STATUS=OR","EQY_CONSOLIDATED=Y","Sort=A","Dates=H","DateFormat=P","Fill=—","Direction=H","UseDPDF=Y")</f>
        <v>#NAME?</v>
      </c>
      <c r="BR378" s="2" t="e">
        <f ca="1">_xll.BDH($C$378,"ACCOUNTS_PAYABLE_SEQ_GROWTH","FY 2014","FY 2014","Currency=INR","Period=FY","BEST_FPERIOD_OVERRIDE=FY","FILING_STATUS=OR","EQY_CONSOLIDATED=Y","Sort=A","Dates=H","DateFormat=P","Fill=—","Direction=H","UseDPDF=Y")</f>
        <v>#NAME?</v>
      </c>
      <c r="BS378" s="2" t="e">
        <f ca="1">_xll.BDH($C$378,"ST_DEBT_SEQUENTIAL_GROWTH","FY 2014","FY 2014","Currency=INR","Period=FY","BEST_FPERIOD_OVERRIDE=FY","FILING_STATUS=OR","EQY_CONSOLIDATED=Y","Sort=A","Dates=H","DateFormat=P","Fill=—","Direction=H","UseDPDF=Y")</f>
        <v>#NAME?</v>
      </c>
      <c r="BT378" s="2" t="e">
        <f ca="1">_xll.BDH($C$378,"TOTAL_DEBT_SEQUENTIAL_GROWTH","FY 2014","FY 2014","Currency=INR","Period=FY","BEST_FPERIOD_OVERRIDE=FY","FILING_STATUS=OR","EQY_CONSOLIDATED=Y","Sort=A","Dates=H","DateFormat=P","Fill=—","Direction=H","UseDPDF=Y")</f>
        <v>#NAME?</v>
      </c>
      <c r="BU378" s="2" t="e">
        <f ca="1">_xll.BDH($C$378,"TOTAL_EQUITY_SEQUENTIAL_GROWTH","FY 2014","FY 2014","Currency=INR","Period=FY","BEST_FPERIOD_OVERRIDE=FY","FILING_STATUS=OR","EQY_CONSOLIDATED=Y","Sort=A","Dates=H","DateFormat=P","Fill=—","Direction=H","UseDPDF=Y")</f>
        <v>#NAME?</v>
      </c>
      <c r="BV378" s="2" t="e">
        <f ca="1">_xll.BDH($C$378,"TOTAL_CAPITAL_SEQUENTIAL_GROWTH","FY 2014","FY 2014","Currency=INR","Period=FY","BEST_FPERIOD_OVERRIDE=FY","FILING_STATUS=OR","EQY_CONSOLIDATED=Y","Sort=A","Dates=H","DateFormat=P","Fill=—","Direction=H","UseDPDF=Y")</f>
        <v>#NAME?</v>
      </c>
      <c r="BW378" s="2" t="e">
        <f ca="1">_xll.BDH($C$378,"BPS_SEQUENTIAL_GROWTH","FY 2014","FY 2014","Currency=INR","Period=FY","BEST_FPERIOD_OVERRIDE=FY","FILING_STATUS=OR","EQY_CONSOLIDATED=Y","Sort=A","Dates=H","DateFormat=P","Fill=—","Direction=H","UseDPDF=Y")</f>
        <v>#NAME?</v>
      </c>
      <c r="BX378" s="2" t="e">
        <f ca="1">_xll.BDH($C$378,"CFO_SEQUENTIAL_GROWTH","FY 2014","FY 2014","Currency=INR","Period=FY","BEST_FPERIOD_OVERRIDE=FY","FILING_STATUS=OR","EQY_CONSOLIDATED=Y","Sort=A","Dates=H","DateFormat=P","Fill=—","Direction=H","UseDPDF=Y")</f>
        <v>#NAME?</v>
      </c>
      <c r="BY378" s="3" t="e">
        <f ca="1">_xll.BDH($C$378,"SHORT_AND_LONG_TERM_DEBT","FY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378" s="3" t="e">
        <f ca="1">_xll.BDH($C$378,"BS_ST_BORROW","FY 2014","FY 2014","Currency=INR","Period=FY","BEST_FPERIOD_OVERRIDE=FY","FILING_STATUS=OR","EQY_CONSOLIDATED=Y","SCALING_FORMAT=MLN","Sort=A","Dates=H","DateFormat=P","Fill=—","Direction=H","UseDPDF=Y")</f>
        <v>#NAME?</v>
      </c>
      <c r="CA378" s="3" t="e">
        <f ca="1">_xll.BDH($C$378,"BS_LT_BORROW","FY 2014","FY 2014","Currency=INR","Period=FY","BEST_FPERIOD_OVERRIDE=FY","FILING_STATUS=OR","EQY_CONSOLIDATED=Y","SCALING_FORMAT=MLN","Sort=A","Dates=H","DateFormat=P","Fill=—","Direction=H","UseDPDF=Y")</f>
        <v>#NAME?</v>
      </c>
      <c r="CB378" s="2" t="e">
        <f ca="1">_xll.BDH($C$378,"TOT_DEBT_TO_EBITDA","FY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378" s="2" t="e">
        <f ca="1">_xll.BDH($C$378,"NET_DEBT_TO_EBITDA","FY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378" s="2" t="e">
        <f ca="1">_xll.BDH($C$378,"TOTAL_DEBT_TO_EBIT","FY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378" s="2" t="e">
        <f ca="1">_xll.BDH($C$378,"NET_DEBT_TO_EBIT","FY 2014","FY 2014","Currency=INR","Period=FY","BEST_FPERIOD_OVERRIDE=FY","FILING_STATUS=OR","EQY_CONSOLIDATED=Y","FA_ADJUSTED=GAAP","Sort=A","Dates=H","DateFormat=P","Fill=—","Direction=H","UseDPDF=Y")</f>
        <v>#NAME?</v>
      </c>
      <c r="CF378" s="2" t="e">
        <f ca="1">_xll.BDH($C$378,"EBITDA_TO_INTEREST_EXPN","FY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378" s="2" t="e">
        <f ca="1">_xll.BDH($C$378,"COM_EQY_TO_TOT_ASSET","FY 2014","FY 2014","Currency=INR","Period=FY","BEST_FPERIOD_OVERRIDE=FY","FILING_STATUS=OR","EQY_CONSOLIDATED=Y","Sort=A","Dates=H","DateFormat=P","Fill=—","Direction=H","UseDPDF=Y")</f>
        <v>#NAME?</v>
      </c>
      <c r="CH378" s="2" t="e">
        <f ca="1">_xll.BDH($C$378,"LT_DEBT_TO_TOT_EQY","FY 2014","FY 2014","Currency=INR","Period=FY","BEST_FPERIOD_OVERRIDE=FY","FILING_STATUS=OR","EQY_CONSOLIDATED=Y","Sort=A","Dates=H","DateFormat=P","Fill=—","Direction=H","UseDPDF=Y")</f>
        <v>#NAME?</v>
      </c>
      <c r="CI378" s="2" t="e">
        <f ca="1">_xll.BDH($C$378,"LT_DEBT_TO_TOT_CAP","FY 2014","FY 2014","Currency=INR","Period=FY","BEST_FPERIOD_OVERRIDE=FY","FILING_STATUS=OR","EQY_CONSOLIDATED=Y","Sort=A","Dates=H","DateFormat=P","Fill=—","Direction=H","UseDPDF=Y")</f>
        <v>#NAME?</v>
      </c>
      <c r="CJ378" s="2" t="e">
        <f ca="1">_xll.BDH($C$378,"LT_DEBT_TO_TOT_ASSET","FY 2014","FY 2014","Currency=INR","Period=FY","BEST_FPERIOD_OVERRIDE=FY","FILING_STATUS=OR","EQY_CONSOLIDATED=Y","Sort=A","Dates=H","DateFormat=P","Fill=—","Direction=H","UseDPDF=Y")</f>
        <v>#NAME?</v>
      </c>
      <c r="CK378" s="2" t="e">
        <f ca="1">_xll.BDH($C$378,"TOT_DEBT_TO_TOT_EQY","FY 2014","FY 2014","Currency=INR","Period=FY","BEST_FPERIOD_OVERRIDE=FY","FILING_STATUS=OR","EQY_CONSOLIDATED=Y","Sort=A","Dates=H","DateFormat=P","Fill=—","Direction=H","UseDPDF=Y")</f>
        <v>#NAME?</v>
      </c>
      <c r="CL378" s="2" t="e">
        <f ca="1">_xll.BDH($C$378,"TOT_DEBT_TO_TOT_CAP","FY 2014","FY 2014","Currency=INR","Period=FY","BEST_FPERIOD_OVERRIDE=FY","FILING_STATUS=OR","EQY_CONSOLIDATED=Y","Sort=A","Dates=H","DateFormat=P","Fill=—","Direction=H","UseDPDF=Y")</f>
        <v>#NAME?</v>
      </c>
      <c r="CM378" s="2" t="e">
        <f ca="1">_xll.BDH($C$378,"TOT_DEBT_TO_TOT_ASSET","FY 2014","FY 2014","Currency=INR","Period=FY","BEST_FPERIOD_OVERRIDE=FY","FILING_STATUS=OR","EQY_CONSOLIDATED=Y","Sort=A","Dates=H","DateFormat=P","Fill=—","Direction=H","UseDPDF=Y")</f>
        <v>#NAME?</v>
      </c>
      <c r="CN378" s="2" t="e">
        <f ca="1">_xll.BDH($C$378,"NET_DEBT_TO_SHRHLDR_EQTY","FY 2014","FY 2014","Currency=INR","Period=FY","BEST_FPERIOD_OVERRIDE=FY","FILING_STATUS=OR","EQY_CONSOLIDATED=Y","Sort=A","Dates=H","DateFormat=P","Fill=—","Direction=H","UseDPDF=Y")</f>
        <v>#NAME?</v>
      </c>
      <c r="CO378" s="2" t="e">
        <f ca="1">_xll.BDH($C$378,"NET_DEBT_%_CAPITAL","FY 2014","FY 2014","Currency=INR","Period=FY","BEST_FPERIOD_OVERRIDE=FY","FILING_STATUS=OR","EQY_CONSOLIDATED=Y","Sort=A","Dates=H","DateFormat=P","Fill=—","Direction=H","UseDPDF=Y")</f>
        <v>#NAME?</v>
      </c>
      <c r="CP378" s="3" t="e">
        <f ca="1">_xll.BDH($C$378,"EBITDA","FY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378" s="3" t="e">
        <f ca="1">_xll.BDH($C$378,"EBITDA_AFTER_CAPEX","FY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378" s="3" t="e">
        <f ca="1">_xll.BDH($C$378,"IS_OPER_INC","FY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378" s="2" t="e">
        <f ca="1">_xll.BDH($C$378,"CASH_RATIO","FY 2014","FY 2014","Currency=INR","Period=FY","BEST_FPERIOD_OVERRIDE=FY","FILING_STATUS=OR","EQY_CONSOLIDATED=Y","Sort=A","Dates=H","DateFormat=P","Fill=—","Direction=H","UseDPDF=Y")</f>
        <v>#NAME?</v>
      </c>
      <c r="CT378" s="2" t="e">
        <f ca="1">_xll.BDH($C$378,"CUR_RATIO","FY 2014","FY 2014","Currency=INR","Period=FY","BEST_FPERIOD_OVERRIDE=FY","FILING_STATUS=OR","EQY_CONSOLIDATED=Y","Sort=A","Dates=H","DateFormat=P","Fill=—","Direction=H","UseDPDF=Y")</f>
        <v>#NAME?</v>
      </c>
      <c r="CU378" s="2" t="e">
        <f ca="1">_xll.BDH($C$378,"QUICK_RATIO","FY 2014","FY 2014","Currency=INR","Period=FY","BEST_FPERIOD_OVERRIDE=FY","FILING_STATUS=OR","EQY_CONSOLIDATED=Y","Sort=A","Dates=H","DateFormat=P","Fill=—","Direction=H","UseDPDF=Y")</f>
        <v>#NAME?</v>
      </c>
      <c r="CV378" s="2" t="e">
        <f ca="1">_xll.BDH($C$378,"ALTMAN_Z_SCORE","FY 2014","FY 2014","Currency=INR","Period=FY","BEST_FPERIOD_OVERRIDE=FY","FILING_STATUS=OR","EQY_CONSOLIDATED=Y","Sort=A","Dates=H","DateFormat=P","Fill=—","Direction=H","UseDPDF=Y")</f>
        <v>#NAME?</v>
      </c>
      <c r="CW378" s="4" t="e">
        <f ca="1">_xll.BDH($C$378,"ACCT_RCV_TURN","FY 2014","FY 2014","Currency=INR","Period=FY","BEST_FPERIOD_OVERRIDE=FY","FILING_STATUS=OR","EQY_CONSOLIDATED=Y","FA_ADJUSTED=GAAP","Sort=A","Dates=H","DateFormat=P","Fill=—","Direction=H","UseDPDF=Y")</f>
        <v>#NAME?</v>
      </c>
      <c r="CX378" s="2" t="e">
        <f ca="1">_xll.BDH($C$378,"ACCT_RCV_DAYS","FY 2014","FY 2014","Currency=INR","Period=FY","BEST_FPERIOD_OVERRIDE=FY","FILING_STATUS=OR","EQY_CONSOLIDATED=Y","FA_ADJUSTED=GAAP","Sort=A","Dates=H","DateFormat=P","Fill=—","Direction=H","UseDPDF=Y")</f>
        <v>#NAME?</v>
      </c>
      <c r="CY378" s="4" t="e">
        <f ca="1">_xll.BDH($C$378,"INVENT_TURN","FY 2014","FY 2014","Currency=INR","Period=FY","BEST_FPERIOD_OVERRIDE=FY","FILING_STATUS=OR","EQY_CONSOLIDATED=Y","FA_ADJUSTED=GAAP","Sort=A","Dates=H","DateFormat=P","Fill=—","Direction=H","UseDPDF=Y")</f>
        <v>#NAME?</v>
      </c>
      <c r="CZ378" s="2" t="e">
        <f ca="1">_xll.BDH($C$378,"INVENT_DAYS","FY 2014","FY 2014","Currency=INR","Period=FY","BEST_FPERIOD_OVERRIDE=FY","FILING_STATUS=OR","EQY_CONSOLIDATED=Y","FA_ADJUSTED=GAAP","Sort=A","Dates=H","DateFormat=P","Fill=—","Direction=H","UseDPDF=Y")</f>
        <v>#NAME?</v>
      </c>
      <c r="DA378" s="4" t="e">
        <f ca="1">_xll.BDH($C$378,"ACCOUNTS_PAYABLE_TURNOVER","FY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378" s="2" t="e">
        <f ca="1">_xll.BDH($C$378,"ACCOUNTS_PAYABLE_TURNOVER_DAYS","FY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378" s="4" t="e">
        <f ca="1">_xll.BDH($C$378,"CASH_CONVERSION_CYCLE","FY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378" s="4" t="e">
        <f ca="1">_xll.BDH($C$378,"INV_TO_CASH_DAYS","FY 2014","FY 2014","Currency=INR","Period=FY","BEST_FPERIOD_OVERRIDE=FY","FILING_STATUS=OR","EQY_CONSOLIDATED=Y","FA_ADJUSTED=GAAP","Sort=A","Dates=H","DateFormat=P","Fill=—","Direction=H","UseDPDF=Y")</f>
        <v>#NAME?</v>
      </c>
      <c r="DE378" s="5" t="e">
        <f ca="1">_xll.BDH($C$378,"BS_INVENTORIES","FY 2014","FY 2014","Currency=INR","Period=FY","BEST_FPERIOD_OVERRIDE=FY","FILING_STATUS=OR","EQY_CONSOLIDATED=Y","SCALING_FORMAT=MLN","Sort=A","Dates=H","DateFormat=P","Fill=—","Direction=H","UseDPDF=Y")</f>
        <v>#NAME?</v>
      </c>
      <c r="DF378" s="3" t="e">
        <f ca="1">_xll.BDH($C$378,"INVTRY_RAW_MATERIALS","FY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378" s="3" t="e">
        <f ca="1">_xll.BDH($C$378,"INVTRY_IN_PROGRESS","FY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378" s="3" t="e">
        <f ca="1">_xll.BDH($C$378,"INVTRY_FINISHED_GOODS","FY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378" s="3" t="e">
        <f ca="1">_xll.BDH($C$378,"BS_OTHER_INV","FY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379" spans="1:113" x14ac:dyDescent="0.3">
      <c r="A379" s="6"/>
      <c r="B379" s="6"/>
      <c r="C379" s="6"/>
      <c r="D379" s="6"/>
      <c r="E379" t="s">
        <v>78</v>
      </c>
      <c r="F379" t="e">
        <f ca="1">_xll.BDH($C$378,"RETURN_COM_EQY","FQ1 2014","FQ1 2014","Currency=INR","Period=FQ","BEST_FPERIOD_OVERRIDE=FQ","FILING_STATUS=OR","EQY_CONSOLIDATED=Y","FA_ADJUSTED=GAAP","Sort=A","Dates=H","DateFormat=P","Fill=—","Direction=H","UseDPDF=Y")</f>
        <v>#NAME?</v>
      </c>
      <c r="G379" t="e">
        <f ca="1">_xll.BDH($C$378,"RETURN_ON_ASSET","FQ1 2014","FQ1 2014","Currency=INR","Period=FQ","BEST_FPERIOD_OVERRIDE=FQ","FILING_STATUS=OR","EQY_CONSOLIDATED=Y","FA_ADJUSTED=GAAP","Sort=A","Dates=H","DateFormat=P","Fill=—","Direction=H","UseDPDF=Y")</f>
        <v>#NAME?</v>
      </c>
      <c r="H379" t="e">
        <f ca="1">_xll.BDH($C$378,"RETURN_ON_CAP","FQ1 2014","FQ1 2014","Currency=INR","Period=FQ","BEST_FPERIOD_OVERRIDE=FQ","FILING_STATUS=OR","EQY_CONSOLIDATED=Y","FA_ADJUSTED=GAAP","Sort=A","Dates=H","DateFormat=P","Fill=—","Direction=H","UseDPDF=Y")</f>
        <v>#NAME?</v>
      </c>
      <c r="I379" t="e">
        <f ca="1">_xll.BDH($C$378,"RETURN_ON_INV_CAPITAL","FQ1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379" t="e">
        <f ca="1">_xll.BDH($C$378,"EBITDA_TO_REVENUE","FQ1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379" t="e">
        <f ca="1">_xll.BDH($C$378,"OPER_MARGIN","FQ1 2014","FQ1 2014","Currency=INR","Period=FQ","BEST_FPERIOD_OVERRIDE=FQ","FILING_STATUS=OR","EQY_CONSOLIDATED=Y","FA_ADJUSTED=GAAP","Sort=A","Dates=H","DateFormat=P","Fill=—","Direction=H","UseDPDF=Y")</f>
        <v>#NAME?</v>
      </c>
      <c r="L379" t="e">
        <f ca="1">_xll.BDH($C$378,"INCREMENTAL_OPERATING_MARGIN","FQ1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379" t="e">
        <f ca="1">_xll.BDH($C$378,"PRETAX_INC_TO_NET_SALES","FQ1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379" t="e">
        <f ca="1">_xll.BDH($C$378,"INC_BEF_XO_ITEMS_TO_NET_SALES","FQ1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379" t="e">
        <f ca="1">_xll.BDH($C$378,"PROF_MARGIN","FQ1 2014","FQ1 2014","Currency=INR","Period=FQ","BEST_FPERIOD_OVERRIDE=FQ","FILING_STATUS=OR","EQY_CONSOLIDATED=Y","FA_ADJUSTED=GAAP","Sort=A","Dates=H","DateFormat=P","Fill=—","Direction=H","UseDPDF=Y")</f>
        <v>#NAME?</v>
      </c>
      <c r="P379" t="e">
        <f ca="1">_xll.BDH($C$378,"NET_INCOME_TO_COMMON_MARGIN","FQ1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379" t="e">
        <f ca="1">_xll.BDH($C$378,"EFF_TAX_RATE","FQ1 2014","FQ1 2014","Currency=INR","Period=FQ","BEST_FPERIOD_OVERRIDE=FQ","FILING_STATUS=OR","EQY_CONSOLIDATED=Y","FA_ADJUSTED=GAAP","Sort=A","Dates=H","DateFormat=P","Fill=—","Direction=H","UseDPDF=Y")</f>
        <v>#NAME?</v>
      </c>
      <c r="R379" t="e">
        <f ca="1">_xll.BDH($C$378,"DVD_PAYOUT_RATIO","FQ1 2014","FQ1 2014","Currency=INR","Period=FQ","BEST_FPERIOD_OVERRIDE=FQ","FILING_STATUS=OR","EQY_CONSOLIDATED=Y","FA_ADJUSTED=GAAP","Sort=A","Dates=H","DateFormat=P","Fill=—","Direction=H","UseDPDF=Y")</f>
        <v>#NAME?</v>
      </c>
      <c r="S379" t="e">
        <f ca="1">_xll.BDH($C$378,"SUSTAIN_GROWTH_RT","FQ1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379" s="2" t="e">
        <f ca="1">_xll.BDH($C$378,"SALES_GROWTH","FQ1 2014","FQ1 2014","Currency=INR","Period=FQ","BEST_FPERIOD_OVERRIDE=FQ","FILING_STATUS=OR","EQY_CONSOLIDATED=Y","FA_ADJUSTED=GAAP","Sort=A","Dates=H","DateFormat=P","Fill=—","Direction=H","UseDPDF=Y")</f>
        <v>#NAME?</v>
      </c>
      <c r="U379" s="2" t="e">
        <f ca="1">_xll.BDH($C$378,"EBITDA_GROWTH","FQ1 2014","FQ1 2014","Currency=INR","Period=FQ","BEST_FPERIOD_OVERRIDE=FQ","FILING_STATUS=OR","EQY_CONSOLIDATED=Y","FA_ADJUSTED=GAAP","Sort=A","Dates=H","DateFormat=P","Fill=—","Direction=H","UseDPDF=Y")</f>
        <v>#NAME?</v>
      </c>
      <c r="V379" s="2" t="e">
        <f ca="1">_xll.BDH($C$378,"OPER_INC_GROWTH","FQ1 2014","FQ1 2014","Currency=INR","Period=FQ","BEST_FPERIOD_OVERRIDE=FQ","FILING_STATUS=OR","EQY_CONSOLIDATED=Y","FA_ADJUSTED=GAAP","Sort=A","Dates=H","DateFormat=P","Fill=—","Direction=H","UseDPDF=Y")</f>
        <v>#NAME?</v>
      </c>
      <c r="W379" s="2" t="e">
        <f ca="1">_xll.BDH($C$378,"EARN_FOR_COM_GROWTH","FQ1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379" s="2" t="e">
        <f ca="1">_xll.BDH($C$378,"DILUTED_EPS_AFT_XO_ITEMS_GROWTH","FQ1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379" s="2" t="e">
        <f ca="1">_xll.BDH($C$378,"DIVIDEND_PER_SHARE_1_YEAR_GROWTH","FQ1 2014","FQ1 2014","Currency=INR","Period=FQ","BEST_FPERIOD_OVERRIDE=FQ","FILING_STATUS=OR","EQY_CONSOLIDATED=Y","Sort=A","Dates=H","DateFormat=P","Fill=—","Direction=H","UseDPDF=Y")</f>
        <v>#NAME?</v>
      </c>
      <c r="Z379" s="2" t="e">
        <f ca="1">_xll.BDH($C$378,"ACCOUNTS_RECEIVABLE_GROWTH","FQ1 2014","FQ1 2014","Currency=INR","Period=FQ","BEST_FPERIOD_OVERRIDE=FQ","FILING_STATUS=OR","EQY_CONSOLIDATED=Y","Sort=A","Dates=H","DateFormat=P","Fill=—","Direction=H","UseDPDF=Y")</f>
        <v>#NAME?</v>
      </c>
      <c r="AA379" s="2" t="e">
        <f ca="1">_xll.BDH($C$378,"INVENTORY_GROWTH","FQ1 2014","FQ1 2014","Currency=INR","Period=FQ","BEST_FPERIOD_OVERRIDE=FQ","FILING_STATUS=OR","EQY_CONSOLIDATED=Y","Sort=A","Dates=H","DateFormat=P","Fill=—","Direction=H","UseDPDF=Y")</f>
        <v>#NAME?</v>
      </c>
      <c r="AB379" s="2" t="e">
        <f ca="1">_xll.BDH($C$378,"NET_FIXED_ASSETS_1_YEAR_GROWTH","FQ1 2014","FQ1 2014","Currency=INR","Period=FQ","BEST_FPERIOD_OVERRIDE=FQ","FILING_STATUS=OR","EQY_CONSOLIDATED=Y","Sort=A","Dates=H","DateFormat=P","Fill=—","Direction=H","UseDPDF=Y")</f>
        <v>#NAME?</v>
      </c>
      <c r="AC379" s="2" t="e">
        <f ca="1">_xll.BDH($C$378,"ASSET_GROWTH","FQ1 2014","FQ1 2014","Currency=INR","Period=FQ","BEST_FPERIOD_OVERRIDE=FQ","FILING_STATUS=OR","EQY_CONSOLIDATED=Y","Sort=A","Dates=H","DateFormat=P","Fill=—","Direction=H","UseDPDF=Y")</f>
        <v>#NAME?</v>
      </c>
      <c r="AD379" s="2" t="e">
        <f ca="1">_xll.BDH($C$378,"MODIFIED_WORK_CAP_GROWTH","FQ1 2014","FQ1 2014","Currency=INR","Period=FQ","BEST_FPERIOD_OVERRIDE=FQ","FILING_STATUS=OR","EQY_CONSOLIDATED=Y","Sort=A","Dates=H","DateFormat=P","Fill=—","Direction=H","UseDPDF=Y")</f>
        <v>#NAME?</v>
      </c>
      <c r="AE379" s="2" t="e">
        <f ca="1">_xll.BDH($C$378,"WORK_CAP_GROWTH","FQ1 2014","FQ1 2014","Currency=INR","Period=FQ","BEST_FPERIOD_OVERRIDE=FQ","FILING_STATUS=OR","EQY_CONSOLIDATED=Y","Sort=A","Dates=H","DateFormat=P","Fill=—","Direction=H","UseDPDF=Y")</f>
        <v>#NAME?</v>
      </c>
      <c r="AF379" s="2" t="e">
        <f ca="1">_xll.BDH($C$378,"ACCOUNTS_PAYABLE_GROWTH_1YR","FQ1 2014","FQ1 2014","Currency=INR","Period=FQ","BEST_FPERIOD_OVERRIDE=FQ","FILING_STATUS=OR","EQY_CONSOLIDATED=Y","Sort=A","Dates=H","DateFormat=P","Fill=—","Direction=H","UseDPDF=Y")</f>
        <v>#NAME?</v>
      </c>
      <c r="AG379" s="2" t="e">
        <f ca="1">_xll.BDH($C$378,"SHORT_TERM_DEBT_1_YEAR_GROWTH","FQ1 2014","FQ1 2014","Currency=INR","Period=FQ","BEST_FPERIOD_OVERRIDE=FQ","FILING_STATUS=OR","EQY_CONSOLIDATED=Y","Sort=A","Dates=H","DateFormat=P","Fill=—","Direction=H","UseDPDF=Y")</f>
        <v>#NAME?</v>
      </c>
      <c r="AH379" s="2" t="e">
        <f ca="1">_xll.BDH($C$378,"TOTAL_DEBT_1_YEAR_GROWTH","FQ1 2014","FQ1 2014","Currency=INR","Period=FQ","BEST_FPERIOD_OVERRIDE=FQ","FILING_STATUS=OR","EQY_CONSOLIDATED=Y","Sort=A","Dates=H","DateFormat=P","Fill=—","Direction=H","UseDPDF=Y")</f>
        <v>#NAME?</v>
      </c>
      <c r="AI379" s="2" t="e">
        <f ca="1">_xll.BDH($C$378,"TOTAL_EQUITY_1_YEAR_GROWTH","FQ1 2014","FQ1 2014","Currency=INR","Period=FQ","BEST_FPERIOD_OVERRIDE=FQ","FILING_STATUS=OR","EQY_CONSOLIDATED=Y","Sort=A","Dates=H","DateFormat=P","Fill=—","Direction=H","UseDPDF=Y")</f>
        <v>#NAME?</v>
      </c>
      <c r="AJ379" s="2" t="e">
        <f ca="1">_xll.BDH($C$378,"GROWTH_IN_CAP","FQ1 2014","FQ1 2014","Currency=INR","Period=FQ","BEST_FPERIOD_OVERRIDE=FQ","FILING_STATUS=OR","EQY_CONSOLIDATED=Y","Sort=A","Dates=H","DateFormat=P","Fill=—","Direction=H","UseDPDF=Y")</f>
        <v>#NAME?</v>
      </c>
      <c r="AK379" s="2" t="e">
        <f ca="1">_xll.BDH($C$378,"BVPS_GROWTH","FQ1 2014","FQ1 2014","Currency=INR","Period=FQ","BEST_FPERIOD_OVERRIDE=FQ","FILING_STATUS=OR","EQY_CONSOLIDATED=Y","Sort=A","Dates=H","DateFormat=P","Fill=—","Direction=H","UseDPDF=Y")</f>
        <v>#NAME?</v>
      </c>
      <c r="AL379" s="2" t="e">
        <f ca="1">_xll.BDH($C$378,"CASH_FLOW_GROWTH","FQ1 2014","FQ1 2014","Currency=INR","Period=FQ","BEST_FPERIOD_OVERRIDE=FQ","FILING_STATUS=OR","EQY_CONSOLIDATED=Y","Sort=A","Dates=H","DateFormat=P","Fill=—","Direction=H","UseDPDF=Y")</f>
        <v>#NAME?</v>
      </c>
      <c r="AM379" s="2" t="e">
        <f ca="1">_xll.BDH($C$378,"GEO_GROW_NET_SALES","FQ1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379" s="2" t="e">
        <f ca="1">_xll.BDH($C$378,"GEO_GROW_EBITDA","FQ1 2014","FQ1 2014","Currency=INR","Period=FQ","BEST_FPERIOD_OVERRIDE=FQ","FILING_STATUS=OR","EQY_CONSOLIDATED=Y","FA_ADJUSTED=GAAP","Sort=A","Dates=H","DateFormat=P","Fill=—","Direction=H","UseDPDF=Y")</f>
        <v>#NAME?</v>
      </c>
      <c r="AO379" s="2" t="e">
        <f ca="1">_xll.BDH($C$378,"GEO_GROW_OPER_INC","FQ1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379" s="2" t="e">
        <f ca="1">_xll.BDH($C$378,"NET_INCOME_TO_COMMON_5_YR_GROWTH","FQ1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379" s="2" t="e">
        <f ca="1">_xll.BDH($C$378,"5Y_GEO_GROWTH_DILUTED_EPS","FQ1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379" s="2" t="e">
        <f ca="1">_xll.BDH($C$378,"GEO_GROW_DVD_PER_SH","FQ1 2014","FQ1 2014","Currency=INR","Period=FQ","BEST_FPERIOD_OVERRIDE=FQ","FILING_STATUS=OR","EQY_CONSOLIDATED=Y","Sort=A","Dates=H","DateFormat=P","Fill=—","Direction=H","UseDPDF=Y")</f>
        <v>#NAME?</v>
      </c>
      <c r="AS379" s="2" t="e">
        <f ca="1">_xll.BDH($C$378,"ACCOUNTS_RECEIVABLE_5_YR_GROWTH","FQ1 2014","FQ1 2014","Currency=INR","Period=FQ","BEST_FPERIOD_OVERRIDE=FQ","FILING_STATUS=OR","EQY_CONSOLIDATED=Y","Sort=A","Dates=H","DateFormat=P","Fill=—","Direction=H","UseDPDF=Y")</f>
        <v>#NAME?</v>
      </c>
      <c r="AT379" s="2" t="e">
        <f ca="1">_xll.BDH($C$378,"INVENTORY_5_YEAR_GROWTH","FQ1 2014","FQ1 2014","Currency=INR","Period=FQ","BEST_FPERIOD_OVERRIDE=FQ","FILING_STATUS=OR","EQY_CONSOLIDATED=Y","Sort=A","Dates=H","DateFormat=P","Fill=—","Direction=H","UseDPDF=Y")</f>
        <v>#NAME?</v>
      </c>
      <c r="AU379" s="2" t="e">
        <f ca="1">_xll.BDH($C$378,"NET_FIXED_ASSETS_5_YEAR_GROWTH","FQ1 2014","FQ1 2014","Currency=INR","Period=FQ","BEST_FPERIOD_OVERRIDE=FQ","FILING_STATUS=OR","EQY_CONSOLIDATED=Y","Sort=A","Dates=H","DateFormat=P","Fill=—","Direction=H","UseDPDF=Y")</f>
        <v>#NAME?</v>
      </c>
      <c r="AV379" s="2" t="e">
        <f ca="1">_xll.BDH($C$378,"GEO_GROW_TOT_ASSET","FQ1 2014","FQ1 2014","Currency=INR","Period=FQ","BEST_FPERIOD_OVERRIDE=FQ","FILING_STATUS=OR","EQY_CONSOLIDATED=Y","Sort=A","Dates=H","DateFormat=P","Fill=—","Direction=H","UseDPDF=Y")</f>
        <v>#NAME?</v>
      </c>
      <c r="AW379" s="2" t="e">
        <f ca="1">_xll.BDH($C$378,"MODIFIED_WORKING_CPTL_5YR_GRWTH","FQ1 2014","FQ1 2014","Currency=INR","Period=FQ","BEST_FPERIOD_OVERRIDE=FQ","FILING_STATUS=OR","EQY_CONSOLIDATED=Y","Sort=A","Dates=H","DateFormat=P","Fill=—","Direction=H","UseDPDF=Y")</f>
        <v>#NAME?</v>
      </c>
      <c r="AX379" s="2" t="e">
        <f ca="1">_xll.BDH($C$378,"WORKING_CAPITAL_5_YEAR_GROWTH","FQ1 2014","FQ1 2014","Currency=INR","Period=FQ","BEST_FPERIOD_OVERRIDE=FQ","FILING_STATUS=OR","EQY_CONSOLIDATED=Y","Sort=A","Dates=H","DateFormat=P","Fill=—","Direction=H","UseDPDF=Y")</f>
        <v>#NAME?</v>
      </c>
      <c r="AY379" s="2" t="e">
        <f ca="1">_xll.BDH($C$378,"ACCOUNTS_PAYABLE_5_YEAR_GROWTH","FQ1 2014","FQ1 2014","Currency=INR","Period=FQ","BEST_FPERIOD_OVERRIDE=FQ","FILING_STATUS=OR","EQY_CONSOLIDATED=Y","Sort=A","Dates=H","DateFormat=P","Fill=—","Direction=H","UseDPDF=Y")</f>
        <v>#NAME?</v>
      </c>
      <c r="AZ379" s="2" t="e">
        <f ca="1">_xll.BDH($C$378,"SHORT_TERM_DEBT_5_YEAR_GROWTH","FQ1 2014","FQ1 2014","Currency=INR","Period=FQ","BEST_FPERIOD_OVERRIDE=FQ","FILING_STATUS=OR","EQY_CONSOLIDATED=Y","Sort=A","Dates=H","DateFormat=P","Fill=—","Direction=H","UseDPDF=Y")</f>
        <v>#NAME?</v>
      </c>
      <c r="BA379" s="2" t="e">
        <f ca="1">_xll.BDH($C$378,"TOTAL_DEBT_5_YEAR_GROWTH","FQ1 2014","FQ1 2014","Currency=INR","Period=FQ","BEST_FPERIOD_OVERRIDE=FQ","FILING_STATUS=OR","EQY_CONSOLIDATED=Y","Sort=A","Dates=H","DateFormat=P","Fill=—","Direction=H","UseDPDF=Y")</f>
        <v>#NAME?</v>
      </c>
      <c r="BB379" s="2" t="e">
        <f ca="1">_xll.BDH($C$378,"GEO_GROW_TOT_SHRHLDR_EQY","FQ1 2014","FQ1 2014","Currency=INR","Period=FQ","BEST_FPERIOD_OVERRIDE=FQ","FILING_STATUS=OR","EQY_CONSOLIDATED=Y","Sort=A","Dates=H","DateFormat=P","Fill=—","Direction=H","UseDPDF=Y")</f>
        <v>#NAME?</v>
      </c>
      <c r="BC379" s="2" t="e">
        <f ca="1">_xll.BDH($C$378,"TOTAL_CAPITAL_5_YEAR_GROWTH","FQ1 2014","FQ1 2014","Currency=INR","Period=FQ","BEST_FPERIOD_OVERRIDE=FQ","FILING_STATUS=OR","EQY_CONSOLIDATED=Y","Sort=A","Dates=H","DateFormat=P","Fill=—","Direction=H","UseDPDF=Y")</f>
        <v>#NAME?</v>
      </c>
      <c r="BD379" s="2" t="e">
        <f ca="1">_xll.BDH($C$378,"GEO_GROW_BOOK_VAL","FQ1 2014","FQ1 2014","Currency=INR","Period=FQ","BEST_FPERIOD_OVERRIDE=FQ","FILING_STATUS=OR","EQY_CONSOLIDATED=Y","Sort=A","Dates=H","DateFormat=P","Fill=—","Direction=H","UseDPDF=Y")</f>
        <v>#NAME?</v>
      </c>
      <c r="BE379" s="2" t="e">
        <f ca="1">_xll.BDH($C$378,"GEO_GROW_CASH_OPER_ACT","FQ1 2014","FQ1 2014","Currency=INR","Period=FQ","BEST_FPERIOD_OVERRIDE=FQ","FILING_STATUS=OR","EQY_CONSOLIDATED=Y","Sort=A","Dates=H","DateFormat=P","Fill=—","Direction=H","UseDPDF=Y")</f>
        <v>#NAME?</v>
      </c>
      <c r="BF379" s="2" t="e">
        <f ca="1">_xll.BDH($C$378,"REVENUE_SEQUENTIAL_GROWTH","FQ1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379" s="2" t="e">
        <f ca="1">_xll.BDH($C$378,"EBITDA_SEQUENTIAL_GROWTH","FQ1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379" s="2" t="e">
        <f ca="1">_xll.BDH($C$378,"OPERATING_INCOME_SEQ_GROWTH","FQ1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379" s="2" t="e">
        <f ca="1">_xll.BDH($C$378,"NET_INCOME_TO_COMMON_SEQ_GROWTH","FQ1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379" s="2" t="e">
        <f ca="1">_xll.BDH($C$378,"EPS_DILUTED_SEQUENTIAL_GROWTH","FQ1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379" s="2" t="e">
        <f ca="1">_xll.BDH($C$378,"DPS_SEQUENTIAL_GROWTH","FQ1 2014","FQ1 2014","Currency=INR","Period=FQ","BEST_FPERIOD_OVERRIDE=FQ","FILING_STATUS=OR","EQY_CONSOLIDATED=Y","Sort=A","Dates=H","DateFormat=P","Fill=—","Direction=H","UseDPDF=Y")</f>
        <v>#NAME?</v>
      </c>
      <c r="BL379" s="2" t="e">
        <f ca="1">_xll.BDH($C$378,"ACCOUNTS_RECEIVABLE_SEQ_GROWTH","FQ1 2014","FQ1 2014","Currency=INR","Period=FQ","BEST_FPERIOD_OVERRIDE=FQ","FILING_STATUS=OR","EQY_CONSOLIDATED=Y","Sort=A","Dates=H","DateFormat=P","Fill=—","Direction=H","UseDPDF=Y")</f>
        <v>#NAME?</v>
      </c>
      <c r="BM379" s="2" t="e">
        <f ca="1">_xll.BDH($C$378,"INVENTORY_SEQUENTIAL_GROWTH","FQ1 2014","FQ1 2014","Currency=INR","Period=FQ","BEST_FPERIOD_OVERRIDE=FQ","FILING_STATUS=OR","EQY_CONSOLIDATED=Y","Sort=A","Dates=H","DateFormat=P","Fill=—","Direction=H","UseDPDF=Y")</f>
        <v>#NAME?</v>
      </c>
      <c r="BN379" s="2" t="e">
        <f ca="1">_xll.BDH($C$378,"FIXED_ASSETS_SEQUENTIAL_GROWTH","FQ1 2014","FQ1 2014","Currency=INR","Period=FQ","BEST_FPERIOD_OVERRIDE=FQ","FILING_STATUS=OR","EQY_CONSOLIDATED=Y","Sort=A","Dates=H","DateFormat=P","Fill=—","Direction=H","UseDPDF=Y")</f>
        <v>#NAME?</v>
      </c>
      <c r="BO379" s="2" t="e">
        <f ca="1">_xll.BDH($C$378,"TOTAL_ASSETS_SEQUENTIAL_GROWTH","FQ1 2014","FQ1 2014","Currency=INR","Period=FQ","BEST_FPERIOD_OVERRIDE=FQ","FILING_STATUS=OR","EQY_CONSOLIDATED=Y","Sort=A","Dates=H","DateFormat=P","Fill=—","Direction=H","UseDPDF=Y")</f>
        <v>#NAME?</v>
      </c>
      <c r="BP379" s="2" t="e">
        <f ca="1">_xll.BDH($C$378,"MODIFIED_WORKING_CPTL_SEQ_GRWTH","FQ1 2014","FQ1 2014","Currency=INR","Period=FQ","BEST_FPERIOD_OVERRIDE=FQ","FILING_STATUS=OR","EQY_CONSOLIDATED=Y","Sort=A","Dates=H","DateFormat=P","Fill=—","Direction=H","UseDPDF=Y")</f>
        <v>#NAME?</v>
      </c>
      <c r="BQ379" s="2" t="e">
        <f ca="1">_xll.BDH($C$378,"WORKING_CAPITAL_SEQ_GROWTH","FQ1 2014","FQ1 2014","Currency=INR","Period=FQ","BEST_FPERIOD_OVERRIDE=FQ","FILING_STATUS=OR","EQY_CONSOLIDATED=Y","Sort=A","Dates=H","DateFormat=P","Fill=—","Direction=H","UseDPDF=Y")</f>
        <v>#NAME?</v>
      </c>
      <c r="BR379" s="2" t="e">
        <f ca="1">_xll.BDH($C$378,"ACCOUNTS_PAYABLE_SEQ_GROWTH","FQ1 2014","FQ1 2014","Currency=INR","Period=FQ","BEST_FPERIOD_OVERRIDE=FQ","FILING_STATUS=OR","EQY_CONSOLIDATED=Y","Sort=A","Dates=H","DateFormat=P","Fill=—","Direction=H","UseDPDF=Y")</f>
        <v>#NAME?</v>
      </c>
      <c r="BS379" s="2" t="e">
        <f ca="1">_xll.BDH($C$378,"ST_DEBT_SEQUENTIAL_GROWTH","FQ1 2014","FQ1 2014","Currency=INR","Period=FQ","BEST_FPERIOD_OVERRIDE=FQ","FILING_STATUS=OR","EQY_CONSOLIDATED=Y","Sort=A","Dates=H","DateFormat=P","Fill=—","Direction=H","UseDPDF=Y")</f>
        <v>#NAME?</v>
      </c>
      <c r="BT379" s="2" t="e">
        <f ca="1">_xll.BDH($C$378,"TOTAL_DEBT_SEQUENTIAL_GROWTH","FQ1 2014","FQ1 2014","Currency=INR","Period=FQ","BEST_FPERIOD_OVERRIDE=FQ","FILING_STATUS=OR","EQY_CONSOLIDATED=Y","Sort=A","Dates=H","DateFormat=P","Fill=—","Direction=H","UseDPDF=Y")</f>
        <v>#NAME?</v>
      </c>
      <c r="BU379" s="2" t="e">
        <f ca="1">_xll.BDH($C$378,"TOTAL_EQUITY_SEQUENTIAL_GROWTH","FQ1 2014","FQ1 2014","Currency=INR","Period=FQ","BEST_FPERIOD_OVERRIDE=FQ","FILING_STATUS=OR","EQY_CONSOLIDATED=Y","Sort=A","Dates=H","DateFormat=P","Fill=—","Direction=H","UseDPDF=Y")</f>
        <v>#NAME?</v>
      </c>
      <c r="BV379" s="2" t="e">
        <f ca="1">_xll.BDH($C$378,"TOTAL_CAPITAL_SEQUENTIAL_GROWTH","FQ1 2014","FQ1 2014","Currency=INR","Period=FQ","BEST_FPERIOD_OVERRIDE=FQ","FILING_STATUS=OR","EQY_CONSOLIDATED=Y","Sort=A","Dates=H","DateFormat=P","Fill=—","Direction=H","UseDPDF=Y")</f>
        <v>#NAME?</v>
      </c>
      <c r="BW379" s="2" t="e">
        <f ca="1">_xll.BDH($C$378,"BPS_SEQUENTIAL_GROWTH","FQ1 2014","FQ1 2014","Currency=INR","Period=FQ","BEST_FPERIOD_OVERRIDE=FQ","FILING_STATUS=OR","EQY_CONSOLIDATED=Y","Sort=A","Dates=H","DateFormat=P","Fill=—","Direction=H","UseDPDF=Y")</f>
        <v>#NAME?</v>
      </c>
      <c r="BX379" s="2" t="e">
        <f ca="1">_xll.BDH($C$378,"CFO_SEQUENTIAL_GROWTH","FQ1 2014","FQ1 2014","Currency=INR","Period=FQ","BEST_FPERIOD_OVERRIDE=FQ","FILING_STATUS=OR","EQY_CONSOLIDATED=Y","Sort=A","Dates=H","DateFormat=P","Fill=—","Direction=H","UseDPDF=Y")</f>
        <v>#NAME?</v>
      </c>
      <c r="BY379" s="3" t="e">
        <f ca="1">_xll.BDH($C$378,"SHORT_AND_LONG_TERM_DEBT","FQ1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379" s="3" t="e">
        <f ca="1">_xll.BDH($C$378,"BS_ST_BORROW","FQ1 2014","FQ1 2014","Currency=INR","Period=FQ","BEST_FPERIOD_OVERRIDE=FQ","FILING_STATUS=OR","EQY_CONSOLIDATED=Y","SCALING_FORMAT=MLN","Sort=A","Dates=H","DateFormat=P","Fill=—","Direction=H","UseDPDF=Y")</f>
        <v>#NAME?</v>
      </c>
      <c r="CA379" s="3" t="e">
        <f ca="1">_xll.BDH($C$378,"BS_LT_BORROW","FQ1 2014","FQ1 2014","Currency=INR","Period=FQ","BEST_FPERIOD_OVERRIDE=FQ","FILING_STATUS=OR","EQY_CONSOLIDATED=Y","SCALING_FORMAT=MLN","Sort=A","Dates=H","DateFormat=P","Fill=—","Direction=H","UseDPDF=Y")</f>
        <v>#NAME?</v>
      </c>
      <c r="CB379" s="2" t="e">
        <f ca="1">_xll.BDH($C$378,"TOT_DEBT_TO_EBITDA","FQ1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379" s="2" t="e">
        <f ca="1">_xll.BDH($C$378,"NET_DEBT_TO_EBITDA","FQ1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379" s="2" t="e">
        <f ca="1">_xll.BDH($C$378,"TOTAL_DEBT_TO_EBIT","FQ1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379" s="2" t="e">
        <f ca="1">_xll.BDH($C$378,"NET_DEBT_TO_EBIT","FQ1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379" s="2" t="e">
        <f ca="1">_xll.BDH($C$378,"EBITDA_TO_INTEREST_EXPN","FQ1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379" s="2" t="e">
        <f ca="1">_xll.BDH($C$378,"COM_EQY_TO_TOT_ASSET","FQ1 2014","FQ1 2014","Currency=INR","Period=FQ","BEST_FPERIOD_OVERRIDE=FQ","FILING_STATUS=OR","EQY_CONSOLIDATED=Y","Sort=A","Dates=H","DateFormat=P","Fill=—","Direction=H","UseDPDF=Y")</f>
        <v>#NAME?</v>
      </c>
      <c r="CH379" s="2" t="e">
        <f ca="1">_xll.BDH($C$378,"LT_DEBT_TO_TOT_EQY","FQ1 2014","FQ1 2014","Currency=INR","Period=FQ","BEST_FPERIOD_OVERRIDE=FQ","FILING_STATUS=OR","EQY_CONSOLIDATED=Y","Sort=A","Dates=H","DateFormat=P","Fill=—","Direction=H","UseDPDF=Y")</f>
        <v>#NAME?</v>
      </c>
      <c r="CI379" s="2" t="e">
        <f ca="1">_xll.BDH($C$378,"LT_DEBT_TO_TOT_CAP","FQ1 2014","FQ1 2014","Currency=INR","Period=FQ","BEST_FPERIOD_OVERRIDE=FQ","FILING_STATUS=OR","EQY_CONSOLIDATED=Y","Sort=A","Dates=H","DateFormat=P","Fill=—","Direction=H","UseDPDF=Y")</f>
        <v>#NAME?</v>
      </c>
      <c r="CJ379" s="2" t="e">
        <f ca="1">_xll.BDH($C$378,"LT_DEBT_TO_TOT_ASSET","FQ1 2014","FQ1 2014","Currency=INR","Period=FQ","BEST_FPERIOD_OVERRIDE=FQ","FILING_STATUS=OR","EQY_CONSOLIDATED=Y","Sort=A","Dates=H","DateFormat=P","Fill=—","Direction=H","UseDPDF=Y")</f>
        <v>#NAME?</v>
      </c>
      <c r="CK379" s="2" t="e">
        <f ca="1">_xll.BDH($C$378,"TOT_DEBT_TO_TOT_EQY","FQ1 2014","FQ1 2014","Currency=INR","Period=FQ","BEST_FPERIOD_OVERRIDE=FQ","FILING_STATUS=OR","EQY_CONSOLIDATED=Y","Sort=A","Dates=H","DateFormat=P","Fill=—","Direction=H","UseDPDF=Y")</f>
        <v>#NAME?</v>
      </c>
      <c r="CL379" s="2" t="e">
        <f ca="1">_xll.BDH($C$378,"TOT_DEBT_TO_TOT_CAP","FQ1 2014","FQ1 2014","Currency=INR","Period=FQ","BEST_FPERIOD_OVERRIDE=FQ","FILING_STATUS=OR","EQY_CONSOLIDATED=Y","Sort=A","Dates=H","DateFormat=P","Fill=—","Direction=H","UseDPDF=Y")</f>
        <v>#NAME?</v>
      </c>
      <c r="CM379" s="2" t="e">
        <f ca="1">_xll.BDH($C$378,"TOT_DEBT_TO_TOT_ASSET","FQ1 2014","FQ1 2014","Currency=INR","Period=FQ","BEST_FPERIOD_OVERRIDE=FQ","FILING_STATUS=OR","EQY_CONSOLIDATED=Y","Sort=A","Dates=H","DateFormat=P","Fill=—","Direction=H","UseDPDF=Y")</f>
        <v>#NAME?</v>
      </c>
      <c r="CN379" s="2" t="e">
        <f ca="1">_xll.BDH($C$378,"NET_DEBT_TO_SHRHLDR_EQTY","FQ1 2014","FQ1 2014","Currency=INR","Period=FQ","BEST_FPERIOD_OVERRIDE=FQ","FILING_STATUS=OR","EQY_CONSOLIDATED=Y","Sort=A","Dates=H","DateFormat=P","Fill=—","Direction=H","UseDPDF=Y")</f>
        <v>#NAME?</v>
      </c>
      <c r="CO379" s="2" t="e">
        <f ca="1">_xll.BDH($C$378,"NET_DEBT_%_CAPITAL","FQ1 2014","FQ1 2014","Currency=INR","Period=FQ","BEST_FPERIOD_OVERRIDE=FQ","FILING_STATUS=OR","EQY_CONSOLIDATED=Y","Sort=A","Dates=H","DateFormat=P","Fill=—","Direction=H","UseDPDF=Y")</f>
        <v>#NAME?</v>
      </c>
      <c r="CP379" s="3" t="e">
        <f ca="1">_xll.BDH($C$378,"EBITDA","FQ1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379" s="3" t="e">
        <f ca="1">_xll.BDH($C$378,"EBITDA_AFTER_CAPEX","FQ1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379" s="3" t="e">
        <f ca="1">_xll.BDH($C$378,"IS_OPER_INC","FQ1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379" s="2" t="e">
        <f ca="1">_xll.BDH($C$378,"CASH_RATIO","FQ1 2014","FQ1 2014","Currency=INR","Period=FQ","BEST_FPERIOD_OVERRIDE=FQ","FILING_STATUS=OR","EQY_CONSOLIDATED=Y","Sort=A","Dates=H","DateFormat=P","Fill=—","Direction=H","UseDPDF=Y")</f>
        <v>#NAME?</v>
      </c>
      <c r="CT379" s="2" t="e">
        <f ca="1">_xll.BDH($C$378,"CUR_RATIO","FQ1 2014","FQ1 2014","Currency=INR","Period=FQ","BEST_FPERIOD_OVERRIDE=FQ","FILING_STATUS=OR","EQY_CONSOLIDATED=Y","Sort=A","Dates=H","DateFormat=P","Fill=—","Direction=H","UseDPDF=Y")</f>
        <v>#NAME?</v>
      </c>
      <c r="CU379" s="2" t="e">
        <f ca="1">_xll.BDH($C$378,"QUICK_RATIO","FQ1 2014","FQ1 2014","Currency=INR","Period=FQ","BEST_FPERIOD_OVERRIDE=FQ","FILING_STATUS=OR","EQY_CONSOLIDATED=Y","Sort=A","Dates=H","DateFormat=P","Fill=—","Direction=H","UseDPDF=Y")</f>
        <v>#NAME?</v>
      </c>
      <c r="CV379" s="2" t="e">
        <f ca="1">_xll.BDH($C$378,"ALTMAN_Z_SCORE","FQ1 2014","FQ1 2014","Currency=INR","Period=FQ","BEST_FPERIOD_OVERRIDE=FQ","FILING_STATUS=OR","EQY_CONSOLIDATED=Y","Sort=A","Dates=H","DateFormat=P","Fill=—","Direction=H","UseDPDF=Y")</f>
        <v>#NAME?</v>
      </c>
      <c r="CW379" s="4" t="e">
        <f ca="1">_xll.BDH($C$378,"ACCT_RCV_TURN","FQ1 2014","FQ1 2014","Currency=INR","Period=FQ","BEST_FPERIOD_OVERRIDE=FQ","FILING_STATUS=OR","EQY_CONSOLIDATED=Y","FA_ADJUSTED=GAAP","Sort=A","Dates=H","DateFormat=P","Fill=—","Direction=H","UseDPDF=Y")</f>
        <v>#NAME?</v>
      </c>
      <c r="CX379" s="2" t="e">
        <f ca="1">_xll.BDH($C$378,"ACCT_RCV_DAYS","FQ1 2014","FQ1 2014","Currency=INR","Period=FQ","BEST_FPERIOD_OVERRIDE=FQ","FILING_STATUS=OR","EQY_CONSOLIDATED=Y","FA_ADJUSTED=GAAP","Sort=A","Dates=H","DateFormat=P","Fill=—","Direction=H","UseDPDF=Y")</f>
        <v>#NAME?</v>
      </c>
      <c r="CY379" s="4" t="e">
        <f ca="1">_xll.BDH($C$378,"INVENT_TURN","FQ1 2014","FQ1 2014","Currency=INR","Period=FQ","BEST_FPERIOD_OVERRIDE=FQ","FILING_STATUS=OR","EQY_CONSOLIDATED=Y","FA_ADJUSTED=GAAP","Sort=A","Dates=H","DateFormat=P","Fill=—","Direction=H","UseDPDF=Y")</f>
        <v>#NAME?</v>
      </c>
      <c r="CZ379" s="2" t="e">
        <f ca="1">_xll.BDH($C$378,"INVENT_DAYS","FQ1 2014","FQ1 2014","Currency=INR","Period=FQ","BEST_FPERIOD_OVERRIDE=FQ","FILING_STATUS=OR","EQY_CONSOLIDATED=Y","FA_ADJUSTED=GAAP","Sort=A","Dates=H","DateFormat=P","Fill=—","Direction=H","UseDPDF=Y")</f>
        <v>#NAME?</v>
      </c>
      <c r="DA379" s="4" t="e">
        <f ca="1">_xll.BDH($C$378,"ACCOUNTS_PAYABLE_TURNOVER","FQ1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379" s="2" t="e">
        <f ca="1">_xll.BDH($C$378,"ACCOUNTS_PAYABLE_TURNOVER_DAYS","FQ1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379" s="4" t="e">
        <f ca="1">_xll.BDH($C$378,"CASH_CONVERSION_CYCLE","FQ1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379" s="4" t="e">
        <f ca="1">_xll.BDH($C$378,"INV_TO_CASH_DAYS","FQ1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379" s="5" t="e">
        <f ca="1">_xll.BDH($C$378,"BS_INVENTORIES","FQ1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379" s="3" t="e">
        <f ca="1">_xll.BDH($C$378,"INVTRY_RAW_MATERIALS","FQ1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379" s="3" t="e">
        <f ca="1">_xll.BDH($C$378,"INVTRY_IN_PROGRESS","FQ1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379" s="3" t="e">
        <f ca="1">_xll.BDH($C$378,"INVTRY_FINISHED_GOODS","FQ1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379" s="3" t="e">
        <f ca="1">_xll.BDH($C$378,"BS_OTHER_INV","FQ1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380" spans="1:113" x14ac:dyDescent="0.3">
      <c r="A380" s="6"/>
      <c r="B380" s="6"/>
      <c r="C380" s="6"/>
      <c r="D380" s="6"/>
      <c r="E380" t="s">
        <v>79</v>
      </c>
      <c r="F380" t="e">
        <f ca="1">_xll.BDH($C$378,"RETURN_COM_EQY","FQ2 2014","FQ2 2014","Currency=INR","Period=FQ","BEST_FPERIOD_OVERRIDE=FQ","FILING_STATUS=OR","EQY_CONSOLIDATED=Y","FA_ADJUSTED=GAAP","Sort=A","Dates=H","DateFormat=P","Fill=—","Direction=H","UseDPDF=Y")</f>
        <v>#NAME?</v>
      </c>
      <c r="G380" t="e">
        <f ca="1">_xll.BDH($C$378,"RETURN_ON_ASSET","FQ2 2014","FQ2 2014","Currency=INR","Period=FQ","BEST_FPERIOD_OVERRIDE=FQ","FILING_STATUS=OR","EQY_CONSOLIDATED=Y","FA_ADJUSTED=GAAP","Sort=A","Dates=H","DateFormat=P","Fill=—","Direction=H","UseDPDF=Y")</f>
        <v>#NAME?</v>
      </c>
      <c r="H380" t="e">
        <f ca="1">_xll.BDH($C$378,"RETURN_ON_CAP","FQ2 2014","FQ2 2014","Currency=INR","Period=FQ","BEST_FPERIOD_OVERRIDE=FQ","FILING_STATUS=OR","EQY_CONSOLIDATED=Y","FA_ADJUSTED=GAAP","Sort=A","Dates=H","DateFormat=P","Fill=—","Direction=H","UseDPDF=Y")</f>
        <v>#NAME?</v>
      </c>
      <c r="I380" t="e">
        <f ca="1">_xll.BDH($C$378,"RETURN_ON_INV_CAPITAL","FQ2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380" t="e">
        <f ca="1">_xll.BDH($C$378,"EBITDA_TO_REVENUE","FQ2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380" t="e">
        <f ca="1">_xll.BDH($C$378,"OPER_MARGIN","FQ2 2014","FQ2 2014","Currency=INR","Period=FQ","BEST_FPERIOD_OVERRIDE=FQ","FILING_STATUS=OR","EQY_CONSOLIDATED=Y","FA_ADJUSTED=GAAP","Sort=A","Dates=H","DateFormat=P","Fill=—","Direction=H","UseDPDF=Y")</f>
        <v>#NAME?</v>
      </c>
      <c r="L380" t="e">
        <f ca="1">_xll.BDH($C$378,"INCREMENTAL_OPERATING_MARGIN","FQ2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380" t="e">
        <f ca="1">_xll.BDH($C$378,"PRETAX_INC_TO_NET_SALES","FQ2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380" t="e">
        <f ca="1">_xll.BDH($C$378,"INC_BEF_XO_ITEMS_TO_NET_SALES","FQ2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380" t="e">
        <f ca="1">_xll.BDH($C$378,"PROF_MARGIN","FQ2 2014","FQ2 2014","Currency=INR","Period=FQ","BEST_FPERIOD_OVERRIDE=FQ","FILING_STATUS=OR","EQY_CONSOLIDATED=Y","FA_ADJUSTED=GAAP","Sort=A","Dates=H","DateFormat=P","Fill=—","Direction=H","UseDPDF=Y")</f>
        <v>#NAME?</v>
      </c>
      <c r="P380" t="e">
        <f ca="1">_xll.BDH($C$378,"NET_INCOME_TO_COMMON_MARGIN","FQ2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380" t="e">
        <f ca="1">_xll.BDH($C$378,"EFF_TAX_RATE","FQ2 2014","FQ2 2014","Currency=INR","Period=FQ","BEST_FPERIOD_OVERRIDE=FQ","FILING_STATUS=OR","EQY_CONSOLIDATED=Y","FA_ADJUSTED=GAAP","Sort=A","Dates=H","DateFormat=P","Fill=—","Direction=H","UseDPDF=Y")</f>
        <v>#NAME?</v>
      </c>
      <c r="R380" t="e">
        <f ca="1">_xll.BDH($C$378,"DVD_PAYOUT_RATIO","FQ2 2014","FQ2 2014","Currency=INR","Period=FQ","BEST_FPERIOD_OVERRIDE=FQ","FILING_STATUS=OR","EQY_CONSOLIDATED=Y","FA_ADJUSTED=GAAP","Sort=A","Dates=H","DateFormat=P","Fill=—","Direction=H","UseDPDF=Y")</f>
        <v>#NAME?</v>
      </c>
      <c r="S380" t="e">
        <f ca="1">_xll.BDH($C$378,"SUSTAIN_GROWTH_RT","FQ2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380" s="2" t="e">
        <f ca="1">_xll.BDH($C$378,"SALES_GROWTH","FQ2 2014","FQ2 2014","Currency=INR","Period=FQ","BEST_FPERIOD_OVERRIDE=FQ","FILING_STATUS=OR","EQY_CONSOLIDATED=Y","FA_ADJUSTED=GAAP","Sort=A","Dates=H","DateFormat=P","Fill=—","Direction=H","UseDPDF=Y")</f>
        <v>#NAME?</v>
      </c>
      <c r="U380" s="2" t="e">
        <f ca="1">_xll.BDH($C$378,"EBITDA_GROWTH","FQ2 2014","FQ2 2014","Currency=INR","Period=FQ","BEST_FPERIOD_OVERRIDE=FQ","FILING_STATUS=OR","EQY_CONSOLIDATED=Y","FA_ADJUSTED=GAAP","Sort=A","Dates=H","DateFormat=P","Fill=—","Direction=H","UseDPDF=Y")</f>
        <v>#NAME?</v>
      </c>
      <c r="V380" s="2" t="e">
        <f ca="1">_xll.BDH($C$378,"OPER_INC_GROWTH","FQ2 2014","FQ2 2014","Currency=INR","Period=FQ","BEST_FPERIOD_OVERRIDE=FQ","FILING_STATUS=OR","EQY_CONSOLIDATED=Y","FA_ADJUSTED=GAAP","Sort=A","Dates=H","DateFormat=P","Fill=—","Direction=H","UseDPDF=Y")</f>
        <v>#NAME?</v>
      </c>
      <c r="W380" s="2" t="e">
        <f ca="1">_xll.BDH($C$378,"EARN_FOR_COM_GROWTH","FQ2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380" s="2" t="e">
        <f ca="1">_xll.BDH($C$378,"DILUTED_EPS_AFT_XO_ITEMS_GROWTH","FQ2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380" s="2" t="e">
        <f ca="1">_xll.BDH($C$378,"DIVIDEND_PER_SHARE_1_YEAR_GROWTH","FQ2 2014","FQ2 2014","Currency=INR","Period=FQ","BEST_FPERIOD_OVERRIDE=FQ","FILING_STATUS=OR","EQY_CONSOLIDATED=Y","Sort=A","Dates=H","DateFormat=P","Fill=—","Direction=H","UseDPDF=Y")</f>
        <v>#NAME?</v>
      </c>
      <c r="Z380" s="2" t="e">
        <f ca="1">_xll.BDH($C$378,"ACCOUNTS_RECEIVABLE_GROWTH","FQ2 2014","FQ2 2014","Currency=INR","Period=FQ","BEST_FPERIOD_OVERRIDE=FQ","FILING_STATUS=OR","EQY_CONSOLIDATED=Y","Sort=A","Dates=H","DateFormat=P","Fill=—","Direction=H","UseDPDF=Y")</f>
        <v>#NAME?</v>
      </c>
      <c r="AA380" s="2" t="e">
        <f ca="1">_xll.BDH($C$378,"INVENTORY_GROWTH","FQ2 2014","FQ2 2014","Currency=INR","Period=FQ","BEST_FPERIOD_OVERRIDE=FQ","FILING_STATUS=OR","EQY_CONSOLIDATED=Y","Sort=A","Dates=H","DateFormat=P","Fill=—","Direction=H","UseDPDF=Y")</f>
        <v>#NAME?</v>
      </c>
      <c r="AB380" s="2" t="e">
        <f ca="1">_xll.BDH($C$378,"NET_FIXED_ASSETS_1_YEAR_GROWTH","FQ2 2014","FQ2 2014","Currency=INR","Period=FQ","BEST_FPERIOD_OVERRIDE=FQ","FILING_STATUS=OR","EQY_CONSOLIDATED=Y","Sort=A","Dates=H","DateFormat=P","Fill=—","Direction=H","UseDPDF=Y")</f>
        <v>#NAME?</v>
      </c>
      <c r="AC380" s="2" t="e">
        <f ca="1">_xll.BDH($C$378,"ASSET_GROWTH","FQ2 2014","FQ2 2014","Currency=INR","Period=FQ","BEST_FPERIOD_OVERRIDE=FQ","FILING_STATUS=OR","EQY_CONSOLIDATED=Y","Sort=A","Dates=H","DateFormat=P","Fill=—","Direction=H","UseDPDF=Y")</f>
        <v>#NAME?</v>
      </c>
      <c r="AD380" s="2" t="e">
        <f ca="1">_xll.BDH($C$378,"MODIFIED_WORK_CAP_GROWTH","FQ2 2014","FQ2 2014","Currency=INR","Period=FQ","BEST_FPERIOD_OVERRIDE=FQ","FILING_STATUS=OR","EQY_CONSOLIDATED=Y","Sort=A","Dates=H","DateFormat=P","Fill=—","Direction=H","UseDPDF=Y")</f>
        <v>#NAME?</v>
      </c>
      <c r="AE380" s="2" t="e">
        <f ca="1">_xll.BDH($C$378,"WORK_CAP_GROWTH","FQ2 2014","FQ2 2014","Currency=INR","Period=FQ","BEST_FPERIOD_OVERRIDE=FQ","FILING_STATUS=OR","EQY_CONSOLIDATED=Y","Sort=A","Dates=H","DateFormat=P","Fill=—","Direction=H","UseDPDF=Y")</f>
        <v>#NAME?</v>
      </c>
      <c r="AF380" s="2" t="e">
        <f ca="1">_xll.BDH($C$378,"ACCOUNTS_PAYABLE_GROWTH_1YR","FQ2 2014","FQ2 2014","Currency=INR","Period=FQ","BEST_FPERIOD_OVERRIDE=FQ","FILING_STATUS=OR","EQY_CONSOLIDATED=Y","Sort=A","Dates=H","DateFormat=P","Fill=—","Direction=H","UseDPDF=Y")</f>
        <v>#NAME?</v>
      </c>
      <c r="AG380" s="2" t="e">
        <f ca="1">_xll.BDH($C$378,"SHORT_TERM_DEBT_1_YEAR_GROWTH","FQ2 2014","FQ2 2014","Currency=INR","Period=FQ","BEST_FPERIOD_OVERRIDE=FQ","FILING_STATUS=OR","EQY_CONSOLIDATED=Y","Sort=A","Dates=H","DateFormat=P","Fill=—","Direction=H","UseDPDF=Y")</f>
        <v>#NAME?</v>
      </c>
      <c r="AH380" s="2" t="e">
        <f ca="1">_xll.BDH($C$378,"TOTAL_DEBT_1_YEAR_GROWTH","FQ2 2014","FQ2 2014","Currency=INR","Period=FQ","BEST_FPERIOD_OVERRIDE=FQ","FILING_STATUS=OR","EQY_CONSOLIDATED=Y","Sort=A","Dates=H","DateFormat=P","Fill=—","Direction=H","UseDPDF=Y")</f>
        <v>#NAME?</v>
      </c>
      <c r="AI380" s="2" t="e">
        <f ca="1">_xll.BDH($C$378,"TOTAL_EQUITY_1_YEAR_GROWTH","FQ2 2014","FQ2 2014","Currency=INR","Period=FQ","BEST_FPERIOD_OVERRIDE=FQ","FILING_STATUS=OR","EQY_CONSOLIDATED=Y","Sort=A","Dates=H","DateFormat=P","Fill=—","Direction=H","UseDPDF=Y")</f>
        <v>#NAME?</v>
      </c>
      <c r="AJ380" s="2" t="e">
        <f ca="1">_xll.BDH($C$378,"GROWTH_IN_CAP","FQ2 2014","FQ2 2014","Currency=INR","Period=FQ","BEST_FPERIOD_OVERRIDE=FQ","FILING_STATUS=OR","EQY_CONSOLIDATED=Y","Sort=A","Dates=H","DateFormat=P","Fill=—","Direction=H","UseDPDF=Y")</f>
        <v>#NAME?</v>
      </c>
      <c r="AK380" s="2" t="e">
        <f ca="1">_xll.BDH($C$378,"BVPS_GROWTH","FQ2 2014","FQ2 2014","Currency=INR","Period=FQ","BEST_FPERIOD_OVERRIDE=FQ","FILING_STATUS=OR","EQY_CONSOLIDATED=Y","Sort=A","Dates=H","DateFormat=P","Fill=—","Direction=H","UseDPDF=Y")</f>
        <v>#NAME?</v>
      </c>
      <c r="AL380" s="2" t="e">
        <f ca="1">_xll.BDH($C$378,"CASH_FLOW_GROWTH","FQ2 2014","FQ2 2014","Currency=INR","Period=FQ","BEST_FPERIOD_OVERRIDE=FQ","FILING_STATUS=OR","EQY_CONSOLIDATED=Y","Sort=A","Dates=H","DateFormat=P","Fill=—","Direction=H","UseDPDF=Y")</f>
        <v>#NAME?</v>
      </c>
      <c r="AM380" s="2" t="e">
        <f ca="1">_xll.BDH($C$378,"GEO_GROW_NET_SALES","FQ2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380" s="2" t="e">
        <f ca="1">_xll.BDH($C$378,"GEO_GROW_EBITDA","FQ2 2014","FQ2 2014","Currency=INR","Period=FQ","BEST_FPERIOD_OVERRIDE=FQ","FILING_STATUS=OR","EQY_CONSOLIDATED=Y","FA_ADJUSTED=GAAP","Sort=A","Dates=H","DateFormat=P","Fill=—","Direction=H","UseDPDF=Y")</f>
        <v>#NAME?</v>
      </c>
      <c r="AO380" s="2" t="e">
        <f ca="1">_xll.BDH($C$378,"GEO_GROW_OPER_INC","FQ2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380" s="2" t="e">
        <f ca="1">_xll.BDH($C$378,"NET_INCOME_TO_COMMON_5_YR_GROWTH","FQ2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380" s="2" t="e">
        <f ca="1">_xll.BDH($C$378,"5Y_GEO_GROWTH_DILUTED_EPS","FQ2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380" s="2" t="e">
        <f ca="1">_xll.BDH($C$378,"GEO_GROW_DVD_PER_SH","FQ2 2014","FQ2 2014","Currency=INR","Period=FQ","BEST_FPERIOD_OVERRIDE=FQ","FILING_STATUS=OR","EQY_CONSOLIDATED=Y","Sort=A","Dates=H","DateFormat=P","Fill=—","Direction=H","UseDPDF=Y")</f>
        <v>#NAME?</v>
      </c>
      <c r="AS380" s="2" t="e">
        <f ca="1">_xll.BDH($C$378,"ACCOUNTS_RECEIVABLE_5_YR_GROWTH","FQ2 2014","FQ2 2014","Currency=INR","Period=FQ","BEST_FPERIOD_OVERRIDE=FQ","FILING_STATUS=OR","EQY_CONSOLIDATED=Y","Sort=A","Dates=H","DateFormat=P","Fill=—","Direction=H","UseDPDF=Y")</f>
        <v>#NAME?</v>
      </c>
      <c r="AT380" s="2" t="e">
        <f ca="1">_xll.BDH($C$378,"INVENTORY_5_YEAR_GROWTH","FQ2 2014","FQ2 2014","Currency=INR","Period=FQ","BEST_FPERIOD_OVERRIDE=FQ","FILING_STATUS=OR","EQY_CONSOLIDATED=Y","Sort=A","Dates=H","DateFormat=P","Fill=—","Direction=H","UseDPDF=Y")</f>
        <v>#NAME?</v>
      </c>
      <c r="AU380" s="2" t="e">
        <f ca="1">_xll.BDH($C$378,"NET_FIXED_ASSETS_5_YEAR_GROWTH","FQ2 2014","FQ2 2014","Currency=INR","Period=FQ","BEST_FPERIOD_OVERRIDE=FQ","FILING_STATUS=OR","EQY_CONSOLIDATED=Y","Sort=A","Dates=H","DateFormat=P","Fill=—","Direction=H","UseDPDF=Y")</f>
        <v>#NAME?</v>
      </c>
      <c r="AV380" s="2" t="e">
        <f ca="1">_xll.BDH($C$378,"GEO_GROW_TOT_ASSET","FQ2 2014","FQ2 2014","Currency=INR","Period=FQ","BEST_FPERIOD_OVERRIDE=FQ","FILING_STATUS=OR","EQY_CONSOLIDATED=Y","Sort=A","Dates=H","DateFormat=P","Fill=—","Direction=H","UseDPDF=Y")</f>
        <v>#NAME?</v>
      </c>
      <c r="AW380" s="2" t="e">
        <f ca="1">_xll.BDH($C$378,"MODIFIED_WORKING_CPTL_5YR_GRWTH","FQ2 2014","FQ2 2014","Currency=INR","Period=FQ","BEST_FPERIOD_OVERRIDE=FQ","FILING_STATUS=OR","EQY_CONSOLIDATED=Y","Sort=A","Dates=H","DateFormat=P","Fill=—","Direction=H","UseDPDF=Y")</f>
        <v>#NAME?</v>
      </c>
      <c r="AX380" s="2" t="e">
        <f ca="1">_xll.BDH($C$378,"WORKING_CAPITAL_5_YEAR_GROWTH","FQ2 2014","FQ2 2014","Currency=INR","Period=FQ","BEST_FPERIOD_OVERRIDE=FQ","FILING_STATUS=OR","EQY_CONSOLIDATED=Y","Sort=A","Dates=H","DateFormat=P","Fill=—","Direction=H","UseDPDF=Y")</f>
        <v>#NAME?</v>
      </c>
      <c r="AY380" s="2" t="e">
        <f ca="1">_xll.BDH($C$378,"ACCOUNTS_PAYABLE_5_YEAR_GROWTH","FQ2 2014","FQ2 2014","Currency=INR","Period=FQ","BEST_FPERIOD_OVERRIDE=FQ","FILING_STATUS=OR","EQY_CONSOLIDATED=Y","Sort=A","Dates=H","DateFormat=P","Fill=—","Direction=H","UseDPDF=Y")</f>
        <v>#NAME?</v>
      </c>
      <c r="AZ380" s="2" t="e">
        <f ca="1">_xll.BDH($C$378,"SHORT_TERM_DEBT_5_YEAR_GROWTH","FQ2 2014","FQ2 2014","Currency=INR","Period=FQ","BEST_FPERIOD_OVERRIDE=FQ","FILING_STATUS=OR","EQY_CONSOLIDATED=Y","Sort=A","Dates=H","DateFormat=P","Fill=—","Direction=H","UseDPDF=Y")</f>
        <v>#NAME?</v>
      </c>
      <c r="BA380" s="2" t="e">
        <f ca="1">_xll.BDH($C$378,"TOTAL_DEBT_5_YEAR_GROWTH","FQ2 2014","FQ2 2014","Currency=INR","Period=FQ","BEST_FPERIOD_OVERRIDE=FQ","FILING_STATUS=OR","EQY_CONSOLIDATED=Y","Sort=A","Dates=H","DateFormat=P","Fill=—","Direction=H","UseDPDF=Y")</f>
        <v>#NAME?</v>
      </c>
      <c r="BB380" s="2" t="e">
        <f ca="1">_xll.BDH($C$378,"GEO_GROW_TOT_SHRHLDR_EQY","FQ2 2014","FQ2 2014","Currency=INR","Period=FQ","BEST_FPERIOD_OVERRIDE=FQ","FILING_STATUS=OR","EQY_CONSOLIDATED=Y","Sort=A","Dates=H","DateFormat=P","Fill=—","Direction=H","UseDPDF=Y")</f>
        <v>#NAME?</v>
      </c>
      <c r="BC380" s="2" t="e">
        <f ca="1">_xll.BDH($C$378,"TOTAL_CAPITAL_5_YEAR_GROWTH","FQ2 2014","FQ2 2014","Currency=INR","Period=FQ","BEST_FPERIOD_OVERRIDE=FQ","FILING_STATUS=OR","EQY_CONSOLIDATED=Y","Sort=A","Dates=H","DateFormat=P","Fill=—","Direction=H","UseDPDF=Y")</f>
        <v>#NAME?</v>
      </c>
      <c r="BD380" s="2" t="e">
        <f ca="1">_xll.BDH($C$378,"GEO_GROW_BOOK_VAL","FQ2 2014","FQ2 2014","Currency=INR","Period=FQ","BEST_FPERIOD_OVERRIDE=FQ","FILING_STATUS=OR","EQY_CONSOLIDATED=Y","Sort=A","Dates=H","DateFormat=P","Fill=—","Direction=H","UseDPDF=Y")</f>
        <v>#NAME?</v>
      </c>
      <c r="BE380" s="2" t="e">
        <f ca="1">_xll.BDH($C$378,"GEO_GROW_CASH_OPER_ACT","FQ2 2014","FQ2 2014","Currency=INR","Period=FQ","BEST_FPERIOD_OVERRIDE=FQ","FILING_STATUS=OR","EQY_CONSOLIDATED=Y","Sort=A","Dates=H","DateFormat=P","Fill=—","Direction=H","UseDPDF=Y")</f>
        <v>#NAME?</v>
      </c>
      <c r="BF380" s="2" t="e">
        <f ca="1">_xll.BDH($C$378,"REVENUE_SEQUENTIAL_GROWTH","FQ2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380" s="2" t="e">
        <f ca="1">_xll.BDH($C$378,"EBITDA_SEQUENTIAL_GROWTH","FQ2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380" s="2" t="e">
        <f ca="1">_xll.BDH($C$378,"OPERATING_INCOME_SEQ_GROWTH","FQ2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380" s="2" t="e">
        <f ca="1">_xll.BDH($C$378,"NET_INCOME_TO_COMMON_SEQ_GROWTH","FQ2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380" s="2" t="e">
        <f ca="1">_xll.BDH($C$378,"EPS_DILUTED_SEQUENTIAL_GROWTH","FQ2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380" s="2" t="e">
        <f ca="1">_xll.BDH($C$378,"DPS_SEQUENTIAL_GROWTH","FQ2 2014","FQ2 2014","Currency=INR","Period=FQ","BEST_FPERIOD_OVERRIDE=FQ","FILING_STATUS=OR","EQY_CONSOLIDATED=Y","Sort=A","Dates=H","DateFormat=P","Fill=—","Direction=H","UseDPDF=Y")</f>
        <v>#NAME?</v>
      </c>
      <c r="BL380" s="2" t="e">
        <f ca="1">_xll.BDH($C$378,"ACCOUNTS_RECEIVABLE_SEQ_GROWTH","FQ2 2014","FQ2 2014","Currency=INR","Period=FQ","BEST_FPERIOD_OVERRIDE=FQ","FILING_STATUS=OR","EQY_CONSOLIDATED=Y","Sort=A","Dates=H","DateFormat=P","Fill=—","Direction=H","UseDPDF=Y")</f>
        <v>#NAME?</v>
      </c>
      <c r="BM380" s="2" t="e">
        <f ca="1">_xll.BDH($C$378,"INVENTORY_SEQUENTIAL_GROWTH","FQ2 2014","FQ2 2014","Currency=INR","Period=FQ","BEST_FPERIOD_OVERRIDE=FQ","FILING_STATUS=OR","EQY_CONSOLIDATED=Y","Sort=A","Dates=H","DateFormat=P","Fill=—","Direction=H","UseDPDF=Y")</f>
        <v>#NAME?</v>
      </c>
      <c r="BN380" s="2" t="e">
        <f ca="1">_xll.BDH($C$378,"FIXED_ASSETS_SEQUENTIAL_GROWTH","FQ2 2014","FQ2 2014","Currency=INR","Period=FQ","BEST_FPERIOD_OVERRIDE=FQ","FILING_STATUS=OR","EQY_CONSOLIDATED=Y","Sort=A","Dates=H","DateFormat=P","Fill=—","Direction=H","UseDPDF=Y")</f>
        <v>#NAME?</v>
      </c>
      <c r="BO380" s="2" t="e">
        <f ca="1">_xll.BDH($C$378,"TOTAL_ASSETS_SEQUENTIAL_GROWTH","FQ2 2014","FQ2 2014","Currency=INR","Period=FQ","BEST_FPERIOD_OVERRIDE=FQ","FILING_STATUS=OR","EQY_CONSOLIDATED=Y","Sort=A","Dates=H","DateFormat=P","Fill=—","Direction=H","UseDPDF=Y")</f>
        <v>#NAME?</v>
      </c>
      <c r="BP380" s="2" t="e">
        <f ca="1">_xll.BDH($C$378,"MODIFIED_WORKING_CPTL_SEQ_GRWTH","FQ2 2014","FQ2 2014","Currency=INR","Period=FQ","BEST_FPERIOD_OVERRIDE=FQ","FILING_STATUS=OR","EQY_CONSOLIDATED=Y","Sort=A","Dates=H","DateFormat=P","Fill=—","Direction=H","UseDPDF=Y")</f>
        <v>#NAME?</v>
      </c>
      <c r="BQ380" s="2" t="e">
        <f ca="1">_xll.BDH($C$378,"WORKING_CAPITAL_SEQ_GROWTH","FQ2 2014","FQ2 2014","Currency=INR","Period=FQ","BEST_FPERIOD_OVERRIDE=FQ","FILING_STATUS=OR","EQY_CONSOLIDATED=Y","Sort=A","Dates=H","DateFormat=P","Fill=—","Direction=H","UseDPDF=Y")</f>
        <v>#NAME?</v>
      </c>
      <c r="BR380" s="2" t="e">
        <f ca="1">_xll.BDH($C$378,"ACCOUNTS_PAYABLE_SEQ_GROWTH","FQ2 2014","FQ2 2014","Currency=INR","Period=FQ","BEST_FPERIOD_OVERRIDE=FQ","FILING_STATUS=OR","EQY_CONSOLIDATED=Y","Sort=A","Dates=H","DateFormat=P","Fill=—","Direction=H","UseDPDF=Y")</f>
        <v>#NAME?</v>
      </c>
      <c r="BS380" s="2" t="e">
        <f ca="1">_xll.BDH($C$378,"ST_DEBT_SEQUENTIAL_GROWTH","FQ2 2014","FQ2 2014","Currency=INR","Period=FQ","BEST_FPERIOD_OVERRIDE=FQ","FILING_STATUS=OR","EQY_CONSOLIDATED=Y","Sort=A","Dates=H","DateFormat=P","Fill=—","Direction=H","UseDPDF=Y")</f>
        <v>#NAME?</v>
      </c>
      <c r="BT380" s="2" t="e">
        <f ca="1">_xll.BDH($C$378,"TOTAL_DEBT_SEQUENTIAL_GROWTH","FQ2 2014","FQ2 2014","Currency=INR","Period=FQ","BEST_FPERIOD_OVERRIDE=FQ","FILING_STATUS=OR","EQY_CONSOLIDATED=Y","Sort=A","Dates=H","DateFormat=P","Fill=—","Direction=H","UseDPDF=Y")</f>
        <v>#NAME?</v>
      </c>
      <c r="BU380" s="2" t="e">
        <f ca="1">_xll.BDH($C$378,"TOTAL_EQUITY_SEQUENTIAL_GROWTH","FQ2 2014","FQ2 2014","Currency=INR","Period=FQ","BEST_FPERIOD_OVERRIDE=FQ","FILING_STATUS=OR","EQY_CONSOLIDATED=Y","Sort=A","Dates=H","DateFormat=P","Fill=—","Direction=H","UseDPDF=Y")</f>
        <v>#NAME?</v>
      </c>
      <c r="BV380" s="2" t="e">
        <f ca="1">_xll.BDH($C$378,"TOTAL_CAPITAL_SEQUENTIAL_GROWTH","FQ2 2014","FQ2 2014","Currency=INR","Period=FQ","BEST_FPERIOD_OVERRIDE=FQ","FILING_STATUS=OR","EQY_CONSOLIDATED=Y","Sort=A","Dates=H","DateFormat=P","Fill=—","Direction=H","UseDPDF=Y")</f>
        <v>#NAME?</v>
      </c>
      <c r="BW380" s="2" t="e">
        <f ca="1">_xll.BDH($C$378,"BPS_SEQUENTIAL_GROWTH","FQ2 2014","FQ2 2014","Currency=INR","Period=FQ","BEST_FPERIOD_OVERRIDE=FQ","FILING_STATUS=OR","EQY_CONSOLIDATED=Y","Sort=A","Dates=H","DateFormat=P","Fill=—","Direction=H","UseDPDF=Y")</f>
        <v>#NAME?</v>
      </c>
      <c r="BX380" s="2" t="e">
        <f ca="1">_xll.BDH($C$378,"CFO_SEQUENTIAL_GROWTH","FQ2 2014","FQ2 2014","Currency=INR","Period=FQ","BEST_FPERIOD_OVERRIDE=FQ","FILING_STATUS=OR","EQY_CONSOLIDATED=Y","Sort=A","Dates=H","DateFormat=P","Fill=—","Direction=H","UseDPDF=Y")</f>
        <v>#NAME?</v>
      </c>
      <c r="BY380" s="3" t="e">
        <f ca="1">_xll.BDH($C$378,"SHORT_AND_LONG_TERM_DEBT","FQ2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380" s="3" t="e">
        <f ca="1">_xll.BDH($C$378,"BS_ST_BORROW","FQ2 2014","FQ2 2014","Currency=INR","Period=FQ","BEST_FPERIOD_OVERRIDE=FQ","FILING_STATUS=OR","EQY_CONSOLIDATED=Y","SCALING_FORMAT=MLN","Sort=A","Dates=H","DateFormat=P","Fill=—","Direction=H","UseDPDF=Y")</f>
        <v>#NAME?</v>
      </c>
      <c r="CA380" s="3" t="e">
        <f ca="1">_xll.BDH($C$378,"BS_LT_BORROW","FQ2 2014","FQ2 2014","Currency=INR","Period=FQ","BEST_FPERIOD_OVERRIDE=FQ","FILING_STATUS=OR","EQY_CONSOLIDATED=Y","SCALING_FORMAT=MLN","Sort=A","Dates=H","DateFormat=P","Fill=—","Direction=H","UseDPDF=Y")</f>
        <v>#NAME?</v>
      </c>
      <c r="CB380" s="2" t="e">
        <f ca="1">_xll.BDH($C$378,"TOT_DEBT_TO_EBITDA","FQ2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380" s="2" t="e">
        <f ca="1">_xll.BDH($C$378,"NET_DEBT_TO_EBITDA","FQ2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380" s="2" t="e">
        <f ca="1">_xll.BDH($C$378,"TOTAL_DEBT_TO_EBIT","FQ2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380" s="2" t="e">
        <f ca="1">_xll.BDH($C$378,"NET_DEBT_TO_EBIT","FQ2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380" s="2" t="e">
        <f ca="1">_xll.BDH($C$378,"EBITDA_TO_INTEREST_EXPN","FQ2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380" s="2" t="e">
        <f ca="1">_xll.BDH($C$378,"COM_EQY_TO_TOT_ASSET","FQ2 2014","FQ2 2014","Currency=INR","Period=FQ","BEST_FPERIOD_OVERRIDE=FQ","FILING_STATUS=OR","EQY_CONSOLIDATED=Y","Sort=A","Dates=H","DateFormat=P","Fill=—","Direction=H","UseDPDF=Y")</f>
        <v>#NAME?</v>
      </c>
      <c r="CH380" s="2" t="e">
        <f ca="1">_xll.BDH($C$378,"LT_DEBT_TO_TOT_EQY","FQ2 2014","FQ2 2014","Currency=INR","Period=FQ","BEST_FPERIOD_OVERRIDE=FQ","FILING_STATUS=OR","EQY_CONSOLIDATED=Y","Sort=A","Dates=H","DateFormat=P","Fill=—","Direction=H","UseDPDF=Y")</f>
        <v>#NAME?</v>
      </c>
      <c r="CI380" s="2" t="e">
        <f ca="1">_xll.BDH($C$378,"LT_DEBT_TO_TOT_CAP","FQ2 2014","FQ2 2014","Currency=INR","Period=FQ","BEST_FPERIOD_OVERRIDE=FQ","FILING_STATUS=OR","EQY_CONSOLIDATED=Y","Sort=A","Dates=H","DateFormat=P","Fill=—","Direction=H","UseDPDF=Y")</f>
        <v>#NAME?</v>
      </c>
      <c r="CJ380" s="2" t="e">
        <f ca="1">_xll.BDH($C$378,"LT_DEBT_TO_TOT_ASSET","FQ2 2014","FQ2 2014","Currency=INR","Period=FQ","BEST_FPERIOD_OVERRIDE=FQ","FILING_STATUS=OR","EQY_CONSOLIDATED=Y","Sort=A","Dates=H","DateFormat=P","Fill=—","Direction=H","UseDPDF=Y")</f>
        <v>#NAME?</v>
      </c>
      <c r="CK380" s="2" t="e">
        <f ca="1">_xll.BDH($C$378,"TOT_DEBT_TO_TOT_EQY","FQ2 2014","FQ2 2014","Currency=INR","Period=FQ","BEST_FPERIOD_OVERRIDE=FQ","FILING_STATUS=OR","EQY_CONSOLIDATED=Y","Sort=A","Dates=H","DateFormat=P","Fill=—","Direction=H","UseDPDF=Y")</f>
        <v>#NAME?</v>
      </c>
      <c r="CL380" s="2" t="e">
        <f ca="1">_xll.BDH($C$378,"TOT_DEBT_TO_TOT_CAP","FQ2 2014","FQ2 2014","Currency=INR","Period=FQ","BEST_FPERIOD_OVERRIDE=FQ","FILING_STATUS=OR","EQY_CONSOLIDATED=Y","Sort=A","Dates=H","DateFormat=P","Fill=—","Direction=H","UseDPDF=Y")</f>
        <v>#NAME?</v>
      </c>
      <c r="CM380" s="2" t="e">
        <f ca="1">_xll.BDH($C$378,"TOT_DEBT_TO_TOT_ASSET","FQ2 2014","FQ2 2014","Currency=INR","Period=FQ","BEST_FPERIOD_OVERRIDE=FQ","FILING_STATUS=OR","EQY_CONSOLIDATED=Y","Sort=A","Dates=H","DateFormat=P","Fill=—","Direction=H","UseDPDF=Y")</f>
        <v>#NAME?</v>
      </c>
      <c r="CN380" s="2" t="e">
        <f ca="1">_xll.BDH($C$378,"NET_DEBT_TO_SHRHLDR_EQTY","FQ2 2014","FQ2 2014","Currency=INR","Period=FQ","BEST_FPERIOD_OVERRIDE=FQ","FILING_STATUS=OR","EQY_CONSOLIDATED=Y","Sort=A","Dates=H","DateFormat=P","Fill=—","Direction=H","UseDPDF=Y")</f>
        <v>#NAME?</v>
      </c>
      <c r="CO380" s="2" t="e">
        <f ca="1">_xll.BDH($C$378,"NET_DEBT_%_CAPITAL","FQ2 2014","FQ2 2014","Currency=INR","Period=FQ","BEST_FPERIOD_OVERRIDE=FQ","FILING_STATUS=OR","EQY_CONSOLIDATED=Y","Sort=A","Dates=H","DateFormat=P","Fill=—","Direction=H","UseDPDF=Y")</f>
        <v>#NAME?</v>
      </c>
      <c r="CP380" s="3" t="e">
        <f ca="1">_xll.BDH($C$378,"EBITDA","FQ2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380" s="3" t="e">
        <f ca="1">_xll.BDH($C$378,"EBITDA_AFTER_CAPEX","FQ2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380" s="3" t="e">
        <f ca="1">_xll.BDH($C$378,"IS_OPER_INC","FQ2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380" s="2" t="e">
        <f ca="1">_xll.BDH($C$378,"CASH_RATIO","FQ2 2014","FQ2 2014","Currency=INR","Period=FQ","BEST_FPERIOD_OVERRIDE=FQ","FILING_STATUS=OR","EQY_CONSOLIDATED=Y","Sort=A","Dates=H","DateFormat=P","Fill=—","Direction=H","UseDPDF=Y")</f>
        <v>#NAME?</v>
      </c>
      <c r="CT380" s="2" t="e">
        <f ca="1">_xll.BDH($C$378,"CUR_RATIO","FQ2 2014","FQ2 2014","Currency=INR","Period=FQ","BEST_FPERIOD_OVERRIDE=FQ","FILING_STATUS=OR","EQY_CONSOLIDATED=Y","Sort=A","Dates=H","DateFormat=P","Fill=—","Direction=H","UseDPDF=Y")</f>
        <v>#NAME?</v>
      </c>
      <c r="CU380" s="2" t="e">
        <f ca="1">_xll.BDH($C$378,"QUICK_RATIO","FQ2 2014","FQ2 2014","Currency=INR","Period=FQ","BEST_FPERIOD_OVERRIDE=FQ","FILING_STATUS=OR","EQY_CONSOLIDATED=Y","Sort=A","Dates=H","DateFormat=P","Fill=—","Direction=H","UseDPDF=Y")</f>
        <v>#NAME?</v>
      </c>
      <c r="CV380" s="2" t="e">
        <f ca="1">_xll.BDH($C$378,"ALTMAN_Z_SCORE","FQ2 2014","FQ2 2014","Currency=INR","Period=FQ","BEST_FPERIOD_OVERRIDE=FQ","FILING_STATUS=OR","EQY_CONSOLIDATED=Y","Sort=A","Dates=H","DateFormat=P","Fill=—","Direction=H","UseDPDF=Y")</f>
        <v>#NAME?</v>
      </c>
      <c r="CW380" s="4" t="e">
        <f ca="1">_xll.BDH($C$378,"ACCT_RCV_TURN","FQ2 2014","FQ2 2014","Currency=INR","Period=FQ","BEST_FPERIOD_OVERRIDE=FQ","FILING_STATUS=OR","EQY_CONSOLIDATED=Y","FA_ADJUSTED=GAAP","Sort=A","Dates=H","DateFormat=P","Fill=—","Direction=H","UseDPDF=Y")</f>
        <v>#NAME?</v>
      </c>
      <c r="CX380" s="2" t="e">
        <f ca="1">_xll.BDH($C$378,"ACCT_RCV_DAYS","FQ2 2014","FQ2 2014","Currency=INR","Period=FQ","BEST_FPERIOD_OVERRIDE=FQ","FILING_STATUS=OR","EQY_CONSOLIDATED=Y","FA_ADJUSTED=GAAP","Sort=A","Dates=H","DateFormat=P","Fill=—","Direction=H","UseDPDF=Y")</f>
        <v>#NAME?</v>
      </c>
      <c r="CY380" s="4" t="e">
        <f ca="1">_xll.BDH($C$378,"INVENT_TURN","FQ2 2014","FQ2 2014","Currency=INR","Period=FQ","BEST_FPERIOD_OVERRIDE=FQ","FILING_STATUS=OR","EQY_CONSOLIDATED=Y","FA_ADJUSTED=GAAP","Sort=A","Dates=H","DateFormat=P","Fill=—","Direction=H","UseDPDF=Y")</f>
        <v>#NAME?</v>
      </c>
      <c r="CZ380" s="2" t="e">
        <f ca="1">_xll.BDH($C$378,"INVENT_DAYS","FQ2 2014","FQ2 2014","Currency=INR","Period=FQ","BEST_FPERIOD_OVERRIDE=FQ","FILING_STATUS=OR","EQY_CONSOLIDATED=Y","FA_ADJUSTED=GAAP","Sort=A","Dates=H","DateFormat=P","Fill=—","Direction=H","UseDPDF=Y")</f>
        <v>#NAME?</v>
      </c>
      <c r="DA380" s="4" t="e">
        <f ca="1">_xll.BDH($C$378,"ACCOUNTS_PAYABLE_TURNOVER","FQ2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380" s="2" t="e">
        <f ca="1">_xll.BDH($C$378,"ACCOUNTS_PAYABLE_TURNOVER_DAYS","FQ2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380" s="4" t="e">
        <f ca="1">_xll.BDH($C$378,"CASH_CONVERSION_CYCLE","FQ2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380" s="4" t="e">
        <f ca="1">_xll.BDH($C$378,"INV_TO_CASH_DAYS","FQ2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380" s="5" t="e">
        <f ca="1">_xll.BDH($C$378,"BS_INVENTORIES","FQ2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380" s="3" t="e">
        <f ca="1">_xll.BDH($C$378,"INVTRY_RAW_MATERIALS","FQ2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380" s="3" t="e">
        <f ca="1">_xll.BDH($C$378,"INVTRY_IN_PROGRESS","FQ2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380" s="3" t="e">
        <f ca="1">_xll.BDH($C$378,"INVTRY_FINISHED_GOODS","FQ2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380" s="3" t="e">
        <f ca="1">_xll.BDH($C$378,"BS_OTHER_INV","FQ2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381" spans="1:113" x14ac:dyDescent="0.3">
      <c r="A381" s="6"/>
      <c r="B381" s="6"/>
      <c r="C381" s="6"/>
      <c r="D381" s="6"/>
      <c r="E381" t="s">
        <v>80</v>
      </c>
      <c r="F381" t="e">
        <f ca="1">_xll.BDH($C$378,"RETURN_COM_EQY","FQ3 2014","FQ3 2014","Currency=INR","Period=FQ","BEST_FPERIOD_OVERRIDE=FQ","FILING_STATUS=OR","EQY_CONSOLIDATED=Y","FA_ADJUSTED=GAAP","Sort=A","Dates=H","DateFormat=P","Fill=—","Direction=H","UseDPDF=Y")</f>
        <v>#NAME?</v>
      </c>
      <c r="G381" t="e">
        <f ca="1">_xll.BDH($C$378,"RETURN_ON_ASSET","FQ3 2014","FQ3 2014","Currency=INR","Period=FQ","BEST_FPERIOD_OVERRIDE=FQ","FILING_STATUS=OR","EQY_CONSOLIDATED=Y","FA_ADJUSTED=GAAP","Sort=A","Dates=H","DateFormat=P","Fill=—","Direction=H","UseDPDF=Y")</f>
        <v>#NAME?</v>
      </c>
      <c r="H381" t="e">
        <f ca="1">_xll.BDH($C$378,"RETURN_ON_CAP","FQ3 2014","FQ3 2014","Currency=INR","Period=FQ","BEST_FPERIOD_OVERRIDE=FQ","FILING_STATUS=OR","EQY_CONSOLIDATED=Y","FA_ADJUSTED=GAAP","Sort=A","Dates=H","DateFormat=P","Fill=—","Direction=H","UseDPDF=Y")</f>
        <v>#NAME?</v>
      </c>
      <c r="I381" t="e">
        <f ca="1">_xll.BDH($C$378,"RETURN_ON_INV_CAPITAL","FQ3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381" t="e">
        <f ca="1">_xll.BDH($C$378,"EBITDA_TO_REVENUE","FQ3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381" t="e">
        <f ca="1">_xll.BDH($C$378,"OPER_MARGIN","FQ3 2014","FQ3 2014","Currency=INR","Period=FQ","BEST_FPERIOD_OVERRIDE=FQ","FILING_STATUS=OR","EQY_CONSOLIDATED=Y","FA_ADJUSTED=GAAP","Sort=A","Dates=H","DateFormat=P","Fill=—","Direction=H","UseDPDF=Y")</f>
        <v>#NAME?</v>
      </c>
      <c r="L381" t="e">
        <f ca="1">_xll.BDH($C$378,"INCREMENTAL_OPERATING_MARGIN","FQ3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381" t="e">
        <f ca="1">_xll.BDH($C$378,"PRETAX_INC_TO_NET_SALES","FQ3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381" t="e">
        <f ca="1">_xll.BDH($C$378,"INC_BEF_XO_ITEMS_TO_NET_SALES","FQ3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381" t="e">
        <f ca="1">_xll.BDH($C$378,"PROF_MARGIN","FQ3 2014","FQ3 2014","Currency=INR","Period=FQ","BEST_FPERIOD_OVERRIDE=FQ","FILING_STATUS=OR","EQY_CONSOLIDATED=Y","FA_ADJUSTED=GAAP","Sort=A","Dates=H","DateFormat=P","Fill=—","Direction=H","UseDPDF=Y")</f>
        <v>#NAME?</v>
      </c>
      <c r="P381" t="e">
        <f ca="1">_xll.BDH($C$378,"NET_INCOME_TO_COMMON_MARGIN","FQ3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381" t="e">
        <f ca="1">_xll.BDH($C$378,"EFF_TAX_RATE","FQ3 2014","FQ3 2014","Currency=INR","Period=FQ","BEST_FPERIOD_OVERRIDE=FQ","FILING_STATUS=OR","EQY_CONSOLIDATED=Y","FA_ADJUSTED=GAAP","Sort=A","Dates=H","DateFormat=P","Fill=—","Direction=H","UseDPDF=Y")</f>
        <v>#NAME?</v>
      </c>
      <c r="R381" t="e">
        <f ca="1">_xll.BDH($C$378,"DVD_PAYOUT_RATIO","FQ3 2014","FQ3 2014","Currency=INR","Period=FQ","BEST_FPERIOD_OVERRIDE=FQ","FILING_STATUS=OR","EQY_CONSOLIDATED=Y","FA_ADJUSTED=GAAP","Sort=A","Dates=H","DateFormat=P","Fill=—","Direction=H","UseDPDF=Y")</f>
        <v>#NAME?</v>
      </c>
      <c r="S381" t="e">
        <f ca="1">_xll.BDH($C$378,"SUSTAIN_GROWTH_RT","FQ3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381" s="2" t="e">
        <f ca="1">_xll.BDH($C$378,"SALES_GROWTH","FQ3 2014","FQ3 2014","Currency=INR","Period=FQ","BEST_FPERIOD_OVERRIDE=FQ","FILING_STATUS=OR","EQY_CONSOLIDATED=Y","FA_ADJUSTED=GAAP","Sort=A","Dates=H","DateFormat=P","Fill=—","Direction=H","UseDPDF=Y")</f>
        <v>#NAME?</v>
      </c>
      <c r="U381" s="2" t="e">
        <f ca="1">_xll.BDH($C$378,"EBITDA_GROWTH","FQ3 2014","FQ3 2014","Currency=INR","Period=FQ","BEST_FPERIOD_OVERRIDE=FQ","FILING_STATUS=OR","EQY_CONSOLIDATED=Y","FA_ADJUSTED=GAAP","Sort=A","Dates=H","DateFormat=P","Fill=—","Direction=H","UseDPDF=Y")</f>
        <v>#NAME?</v>
      </c>
      <c r="V381" s="2" t="e">
        <f ca="1">_xll.BDH($C$378,"OPER_INC_GROWTH","FQ3 2014","FQ3 2014","Currency=INR","Period=FQ","BEST_FPERIOD_OVERRIDE=FQ","FILING_STATUS=OR","EQY_CONSOLIDATED=Y","FA_ADJUSTED=GAAP","Sort=A","Dates=H","DateFormat=P","Fill=—","Direction=H","UseDPDF=Y")</f>
        <v>#NAME?</v>
      </c>
      <c r="W381" s="2" t="e">
        <f ca="1">_xll.BDH($C$378,"EARN_FOR_COM_GROWTH","FQ3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381" s="2" t="e">
        <f ca="1">_xll.BDH($C$378,"DILUTED_EPS_AFT_XO_ITEMS_GROWTH","FQ3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381" s="2" t="e">
        <f ca="1">_xll.BDH($C$378,"DIVIDEND_PER_SHARE_1_YEAR_GROWTH","FQ3 2014","FQ3 2014","Currency=INR","Period=FQ","BEST_FPERIOD_OVERRIDE=FQ","FILING_STATUS=OR","EQY_CONSOLIDATED=Y","Sort=A","Dates=H","DateFormat=P","Fill=—","Direction=H","UseDPDF=Y")</f>
        <v>#NAME?</v>
      </c>
      <c r="Z381" s="2" t="e">
        <f ca="1">_xll.BDH($C$378,"ACCOUNTS_RECEIVABLE_GROWTH","FQ3 2014","FQ3 2014","Currency=INR","Period=FQ","BEST_FPERIOD_OVERRIDE=FQ","FILING_STATUS=OR","EQY_CONSOLIDATED=Y","Sort=A","Dates=H","DateFormat=P","Fill=—","Direction=H","UseDPDF=Y")</f>
        <v>#NAME?</v>
      </c>
      <c r="AA381" s="2" t="e">
        <f ca="1">_xll.BDH($C$378,"INVENTORY_GROWTH","FQ3 2014","FQ3 2014","Currency=INR","Period=FQ","BEST_FPERIOD_OVERRIDE=FQ","FILING_STATUS=OR","EQY_CONSOLIDATED=Y","Sort=A","Dates=H","DateFormat=P","Fill=—","Direction=H","UseDPDF=Y")</f>
        <v>#NAME?</v>
      </c>
      <c r="AB381" s="2" t="e">
        <f ca="1">_xll.BDH($C$378,"NET_FIXED_ASSETS_1_YEAR_GROWTH","FQ3 2014","FQ3 2014","Currency=INR","Period=FQ","BEST_FPERIOD_OVERRIDE=FQ","FILING_STATUS=OR","EQY_CONSOLIDATED=Y","Sort=A","Dates=H","DateFormat=P","Fill=—","Direction=H","UseDPDF=Y")</f>
        <v>#NAME?</v>
      </c>
      <c r="AC381" s="2" t="e">
        <f ca="1">_xll.BDH($C$378,"ASSET_GROWTH","FQ3 2014","FQ3 2014","Currency=INR","Period=FQ","BEST_FPERIOD_OVERRIDE=FQ","FILING_STATUS=OR","EQY_CONSOLIDATED=Y","Sort=A","Dates=H","DateFormat=P","Fill=—","Direction=H","UseDPDF=Y")</f>
        <v>#NAME?</v>
      </c>
      <c r="AD381" s="2" t="e">
        <f ca="1">_xll.BDH($C$378,"MODIFIED_WORK_CAP_GROWTH","FQ3 2014","FQ3 2014","Currency=INR","Period=FQ","BEST_FPERIOD_OVERRIDE=FQ","FILING_STATUS=OR","EQY_CONSOLIDATED=Y","Sort=A","Dates=H","DateFormat=P","Fill=—","Direction=H","UseDPDF=Y")</f>
        <v>#NAME?</v>
      </c>
      <c r="AE381" s="2" t="e">
        <f ca="1">_xll.BDH($C$378,"WORK_CAP_GROWTH","FQ3 2014","FQ3 2014","Currency=INR","Period=FQ","BEST_FPERIOD_OVERRIDE=FQ","FILING_STATUS=OR","EQY_CONSOLIDATED=Y","Sort=A","Dates=H","DateFormat=P","Fill=—","Direction=H","UseDPDF=Y")</f>
        <v>#NAME?</v>
      </c>
      <c r="AF381" s="2" t="e">
        <f ca="1">_xll.BDH($C$378,"ACCOUNTS_PAYABLE_GROWTH_1YR","FQ3 2014","FQ3 2014","Currency=INR","Period=FQ","BEST_FPERIOD_OVERRIDE=FQ","FILING_STATUS=OR","EQY_CONSOLIDATED=Y","Sort=A","Dates=H","DateFormat=P","Fill=—","Direction=H","UseDPDF=Y")</f>
        <v>#NAME?</v>
      </c>
      <c r="AG381" s="2" t="e">
        <f ca="1">_xll.BDH($C$378,"SHORT_TERM_DEBT_1_YEAR_GROWTH","FQ3 2014","FQ3 2014","Currency=INR","Period=FQ","BEST_FPERIOD_OVERRIDE=FQ","FILING_STATUS=OR","EQY_CONSOLIDATED=Y","Sort=A","Dates=H","DateFormat=P","Fill=—","Direction=H","UseDPDF=Y")</f>
        <v>#NAME?</v>
      </c>
      <c r="AH381" s="2" t="e">
        <f ca="1">_xll.BDH($C$378,"TOTAL_DEBT_1_YEAR_GROWTH","FQ3 2014","FQ3 2014","Currency=INR","Period=FQ","BEST_FPERIOD_OVERRIDE=FQ","FILING_STATUS=OR","EQY_CONSOLIDATED=Y","Sort=A","Dates=H","DateFormat=P","Fill=—","Direction=H","UseDPDF=Y")</f>
        <v>#NAME?</v>
      </c>
      <c r="AI381" s="2" t="e">
        <f ca="1">_xll.BDH($C$378,"TOTAL_EQUITY_1_YEAR_GROWTH","FQ3 2014","FQ3 2014","Currency=INR","Period=FQ","BEST_FPERIOD_OVERRIDE=FQ","FILING_STATUS=OR","EQY_CONSOLIDATED=Y","Sort=A","Dates=H","DateFormat=P","Fill=—","Direction=H","UseDPDF=Y")</f>
        <v>#NAME?</v>
      </c>
      <c r="AJ381" s="2" t="e">
        <f ca="1">_xll.BDH($C$378,"GROWTH_IN_CAP","FQ3 2014","FQ3 2014","Currency=INR","Period=FQ","BEST_FPERIOD_OVERRIDE=FQ","FILING_STATUS=OR","EQY_CONSOLIDATED=Y","Sort=A","Dates=H","DateFormat=P","Fill=—","Direction=H","UseDPDF=Y")</f>
        <v>#NAME?</v>
      </c>
      <c r="AK381" s="2" t="e">
        <f ca="1">_xll.BDH($C$378,"BVPS_GROWTH","FQ3 2014","FQ3 2014","Currency=INR","Period=FQ","BEST_FPERIOD_OVERRIDE=FQ","FILING_STATUS=OR","EQY_CONSOLIDATED=Y","Sort=A","Dates=H","DateFormat=P","Fill=—","Direction=H","UseDPDF=Y")</f>
        <v>#NAME?</v>
      </c>
      <c r="AL381" s="2" t="e">
        <f ca="1">_xll.BDH($C$378,"CASH_FLOW_GROWTH","FQ3 2014","FQ3 2014","Currency=INR","Period=FQ","BEST_FPERIOD_OVERRIDE=FQ","FILING_STATUS=OR","EQY_CONSOLIDATED=Y","Sort=A","Dates=H","DateFormat=P","Fill=—","Direction=H","UseDPDF=Y")</f>
        <v>#NAME?</v>
      </c>
      <c r="AM381" s="2" t="e">
        <f ca="1">_xll.BDH($C$378,"GEO_GROW_NET_SALES","FQ3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381" s="2" t="e">
        <f ca="1">_xll.BDH($C$378,"GEO_GROW_EBITDA","FQ3 2014","FQ3 2014","Currency=INR","Period=FQ","BEST_FPERIOD_OVERRIDE=FQ","FILING_STATUS=OR","EQY_CONSOLIDATED=Y","FA_ADJUSTED=GAAP","Sort=A","Dates=H","DateFormat=P","Fill=—","Direction=H","UseDPDF=Y")</f>
        <v>#NAME?</v>
      </c>
      <c r="AO381" s="2" t="e">
        <f ca="1">_xll.BDH($C$378,"GEO_GROW_OPER_INC","FQ3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381" s="2" t="e">
        <f ca="1">_xll.BDH($C$378,"NET_INCOME_TO_COMMON_5_YR_GROWTH","FQ3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381" s="2" t="e">
        <f ca="1">_xll.BDH($C$378,"5Y_GEO_GROWTH_DILUTED_EPS","FQ3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381" s="2" t="e">
        <f ca="1">_xll.BDH($C$378,"GEO_GROW_DVD_PER_SH","FQ3 2014","FQ3 2014","Currency=INR","Period=FQ","BEST_FPERIOD_OVERRIDE=FQ","FILING_STATUS=OR","EQY_CONSOLIDATED=Y","Sort=A","Dates=H","DateFormat=P","Fill=—","Direction=H","UseDPDF=Y")</f>
        <v>#NAME?</v>
      </c>
      <c r="AS381" s="2" t="e">
        <f ca="1">_xll.BDH($C$378,"ACCOUNTS_RECEIVABLE_5_YR_GROWTH","FQ3 2014","FQ3 2014","Currency=INR","Period=FQ","BEST_FPERIOD_OVERRIDE=FQ","FILING_STATUS=OR","EQY_CONSOLIDATED=Y","Sort=A","Dates=H","DateFormat=P","Fill=—","Direction=H","UseDPDF=Y")</f>
        <v>#NAME?</v>
      </c>
      <c r="AT381" s="2" t="e">
        <f ca="1">_xll.BDH($C$378,"INVENTORY_5_YEAR_GROWTH","FQ3 2014","FQ3 2014","Currency=INR","Period=FQ","BEST_FPERIOD_OVERRIDE=FQ","FILING_STATUS=OR","EQY_CONSOLIDATED=Y","Sort=A","Dates=H","DateFormat=P","Fill=—","Direction=H","UseDPDF=Y")</f>
        <v>#NAME?</v>
      </c>
      <c r="AU381" s="2" t="e">
        <f ca="1">_xll.BDH($C$378,"NET_FIXED_ASSETS_5_YEAR_GROWTH","FQ3 2014","FQ3 2014","Currency=INR","Period=FQ","BEST_FPERIOD_OVERRIDE=FQ","FILING_STATUS=OR","EQY_CONSOLIDATED=Y","Sort=A","Dates=H","DateFormat=P","Fill=—","Direction=H","UseDPDF=Y")</f>
        <v>#NAME?</v>
      </c>
      <c r="AV381" s="2" t="e">
        <f ca="1">_xll.BDH($C$378,"GEO_GROW_TOT_ASSET","FQ3 2014","FQ3 2014","Currency=INR","Period=FQ","BEST_FPERIOD_OVERRIDE=FQ","FILING_STATUS=OR","EQY_CONSOLIDATED=Y","Sort=A","Dates=H","DateFormat=P","Fill=—","Direction=H","UseDPDF=Y")</f>
        <v>#NAME?</v>
      </c>
      <c r="AW381" s="2" t="e">
        <f ca="1">_xll.BDH($C$378,"MODIFIED_WORKING_CPTL_5YR_GRWTH","FQ3 2014","FQ3 2014","Currency=INR","Period=FQ","BEST_FPERIOD_OVERRIDE=FQ","FILING_STATUS=OR","EQY_CONSOLIDATED=Y","Sort=A","Dates=H","DateFormat=P","Fill=—","Direction=H","UseDPDF=Y")</f>
        <v>#NAME?</v>
      </c>
      <c r="AX381" s="2" t="e">
        <f ca="1">_xll.BDH($C$378,"WORKING_CAPITAL_5_YEAR_GROWTH","FQ3 2014","FQ3 2014","Currency=INR","Period=FQ","BEST_FPERIOD_OVERRIDE=FQ","FILING_STATUS=OR","EQY_CONSOLIDATED=Y","Sort=A","Dates=H","DateFormat=P","Fill=—","Direction=H","UseDPDF=Y")</f>
        <v>#NAME?</v>
      </c>
      <c r="AY381" s="2" t="e">
        <f ca="1">_xll.BDH($C$378,"ACCOUNTS_PAYABLE_5_YEAR_GROWTH","FQ3 2014","FQ3 2014","Currency=INR","Period=FQ","BEST_FPERIOD_OVERRIDE=FQ","FILING_STATUS=OR","EQY_CONSOLIDATED=Y","Sort=A","Dates=H","DateFormat=P","Fill=—","Direction=H","UseDPDF=Y")</f>
        <v>#NAME?</v>
      </c>
      <c r="AZ381" s="2" t="e">
        <f ca="1">_xll.BDH($C$378,"SHORT_TERM_DEBT_5_YEAR_GROWTH","FQ3 2014","FQ3 2014","Currency=INR","Period=FQ","BEST_FPERIOD_OVERRIDE=FQ","FILING_STATUS=OR","EQY_CONSOLIDATED=Y","Sort=A","Dates=H","DateFormat=P","Fill=—","Direction=H","UseDPDF=Y")</f>
        <v>#NAME?</v>
      </c>
      <c r="BA381" s="2" t="e">
        <f ca="1">_xll.BDH($C$378,"TOTAL_DEBT_5_YEAR_GROWTH","FQ3 2014","FQ3 2014","Currency=INR","Period=FQ","BEST_FPERIOD_OVERRIDE=FQ","FILING_STATUS=OR","EQY_CONSOLIDATED=Y","Sort=A","Dates=H","DateFormat=P","Fill=—","Direction=H","UseDPDF=Y")</f>
        <v>#NAME?</v>
      </c>
      <c r="BB381" s="2" t="e">
        <f ca="1">_xll.BDH($C$378,"GEO_GROW_TOT_SHRHLDR_EQY","FQ3 2014","FQ3 2014","Currency=INR","Period=FQ","BEST_FPERIOD_OVERRIDE=FQ","FILING_STATUS=OR","EQY_CONSOLIDATED=Y","Sort=A","Dates=H","DateFormat=P","Fill=—","Direction=H","UseDPDF=Y")</f>
        <v>#NAME?</v>
      </c>
      <c r="BC381" s="2" t="e">
        <f ca="1">_xll.BDH($C$378,"TOTAL_CAPITAL_5_YEAR_GROWTH","FQ3 2014","FQ3 2014","Currency=INR","Period=FQ","BEST_FPERIOD_OVERRIDE=FQ","FILING_STATUS=OR","EQY_CONSOLIDATED=Y","Sort=A","Dates=H","DateFormat=P","Fill=—","Direction=H","UseDPDF=Y")</f>
        <v>#NAME?</v>
      </c>
      <c r="BD381" s="2" t="e">
        <f ca="1">_xll.BDH($C$378,"GEO_GROW_BOOK_VAL","FQ3 2014","FQ3 2014","Currency=INR","Period=FQ","BEST_FPERIOD_OVERRIDE=FQ","FILING_STATUS=OR","EQY_CONSOLIDATED=Y","Sort=A","Dates=H","DateFormat=P","Fill=—","Direction=H","UseDPDF=Y")</f>
        <v>#NAME?</v>
      </c>
      <c r="BE381" s="2" t="e">
        <f ca="1">_xll.BDH($C$378,"GEO_GROW_CASH_OPER_ACT","FQ3 2014","FQ3 2014","Currency=INR","Period=FQ","BEST_FPERIOD_OVERRIDE=FQ","FILING_STATUS=OR","EQY_CONSOLIDATED=Y","Sort=A","Dates=H","DateFormat=P","Fill=—","Direction=H","UseDPDF=Y")</f>
        <v>#NAME?</v>
      </c>
      <c r="BF381" s="2" t="e">
        <f ca="1">_xll.BDH($C$378,"REVENUE_SEQUENTIAL_GROWTH","FQ3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381" s="2" t="e">
        <f ca="1">_xll.BDH($C$378,"EBITDA_SEQUENTIAL_GROWTH","FQ3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381" s="2" t="e">
        <f ca="1">_xll.BDH($C$378,"OPERATING_INCOME_SEQ_GROWTH","FQ3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381" s="2" t="e">
        <f ca="1">_xll.BDH($C$378,"NET_INCOME_TO_COMMON_SEQ_GROWTH","FQ3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381" s="2" t="e">
        <f ca="1">_xll.BDH($C$378,"EPS_DILUTED_SEQUENTIAL_GROWTH","FQ3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381" s="2" t="e">
        <f ca="1">_xll.BDH($C$378,"DPS_SEQUENTIAL_GROWTH","FQ3 2014","FQ3 2014","Currency=INR","Period=FQ","BEST_FPERIOD_OVERRIDE=FQ","FILING_STATUS=OR","EQY_CONSOLIDATED=Y","Sort=A","Dates=H","DateFormat=P","Fill=—","Direction=H","UseDPDF=Y")</f>
        <v>#NAME?</v>
      </c>
      <c r="BL381" s="2" t="e">
        <f ca="1">_xll.BDH($C$378,"ACCOUNTS_RECEIVABLE_SEQ_GROWTH","FQ3 2014","FQ3 2014","Currency=INR","Period=FQ","BEST_FPERIOD_OVERRIDE=FQ","FILING_STATUS=OR","EQY_CONSOLIDATED=Y","Sort=A","Dates=H","DateFormat=P","Fill=—","Direction=H","UseDPDF=Y")</f>
        <v>#NAME?</v>
      </c>
      <c r="BM381" s="2" t="e">
        <f ca="1">_xll.BDH($C$378,"INVENTORY_SEQUENTIAL_GROWTH","FQ3 2014","FQ3 2014","Currency=INR","Period=FQ","BEST_FPERIOD_OVERRIDE=FQ","FILING_STATUS=OR","EQY_CONSOLIDATED=Y","Sort=A","Dates=H","DateFormat=P","Fill=—","Direction=H","UseDPDF=Y")</f>
        <v>#NAME?</v>
      </c>
      <c r="BN381" s="2" t="e">
        <f ca="1">_xll.BDH($C$378,"FIXED_ASSETS_SEQUENTIAL_GROWTH","FQ3 2014","FQ3 2014","Currency=INR","Period=FQ","BEST_FPERIOD_OVERRIDE=FQ","FILING_STATUS=OR","EQY_CONSOLIDATED=Y","Sort=A","Dates=H","DateFormat=P","Fill=—","Direction=H","UseDPDF=Y")</f>
        <v>#NAME?</v>
      </c>
      <c r="BO381" s="2" t="e">
        <f ca="1">_xll.BDH($C$378,"TOTAL_ASSETS_SEQUENTIAL_GROWTH","FQ3 2014","FQ3 2014","Currency=INR","Period=FQ","BEST_FPERIOD_OVERRIDE=FQ","FILING_STATUS=OR","EQY_CONSOLIDATED=Y","Sort=A","Dates=H","DateFormat=P","Fill=—","Direction=H","UseDPDF=Y")</f>
        <v>#NAME?</v>
      </c>
      <c r="BP381" s="2" t="e">
        <f ca="1">_xll.BDH($C$378,"MODIFIED_WORKING_CPTL_SEQ_GRWTH","FQ3 2014","FQ3 2014","Currency=INR","Period=FQ","BEST_FPERIOD_OVERRIDE=FQ","FILING_STATUS=OR","EQY_CONSOLIDATED=Y","Sort=A","Dates=H","DateFormat=P","Fill=—","Direction=H","UseDPDF=Y")</f>
        <v>#NAME?</v>
      </c>
      <c r="BQ381" s="2" t="e">
        <f ca="1">_xll.BDH($C$378,"WORKING_CAPITAL_SEQ_GROWTH","FQ3 2014","FQ3 2014","Currency=INR","Period=FQ","BEST_FPERIOD_OVERRIDE=FQ","FILING_STATUS=OR","EQY_CONSOLIDATED=Y","Sort=A","Dates=H","DateFormat=P","Fill=—","Direction=H","UseDPDF=Y")</f>
        <v>#NAME?</v>
      </c>
      <c r="BR381" s="2" t="e">
        <f ca="1">_xll.BDH($C$378,"ACCOUNTS_PAYABLE_SEQ_GROWTH","FQ3 2014","FQ3 2014","Currency=INR","Period=FQ","BEST_FPERIOD_OVERRIDE=FQ","FILING_STATUS=OR","EQY_CONSOLIDATED=Y","Sort=A","Dates=H","DateFormat=P","Fill=—","Direction=H","UseDPDF=Y")</f>
        <v>#NAME?</v>
      </c>
      <c r="BS381" s="2" t="e">
        <f ca="1">_xll.BDH($C$378,"ST_DEBT_SEQUENTIAL_GROWTH","FQ3 2014","FQ3 2014","Currency=INR","Period=FQ","BEST_FPERIOD_OVERRIDE=FQ","FILING_STATUS=OR","EQY_CONSOLIDATED=Y","Sort=A","Dates=H","DateFormat=P","Fill=—","Direction=H","UseDPDF=Y")</f>
        <v>#NAME?</v>
      </c>
      <c r="BT381" s="2" t="e">
        <f ca="1">_xll.BDH($C$378,"TOTAL_DEBT_SEQUENTIAL_GROWTH","FQ3 2014","FQ3 2014","Currency=INR","Period=FQ","BEST_FPERIOD_OVERRIDE=FQ","FILING_STATUS=OR","EQY_CONSOLIDATED=Y","Sort=A","Dates=H","DateFormat=P","Fill=—","Direction=H","UseDPDF=Y")</f>
        <v>#NAME?</v>
      </c>
      <c r="BU381" s="2" t="e">
        <f ca="1">_xll.BDH($C$378,"TOTAL_EQUITY_SEQUENTIAL_GROWTH","FQ3 2014","FQ3 2014","Currency=INR","Period=FQ","BEST_FPERIOD_OVERRIDE=FQ","FILING_STATUS=OR","EQY_CONSOLIDATED=Y","Sort=A","Dates=H","DateFormat=P","Fill=—","Direction=H","UseDPDF=Y")</f>
        <v>#NAME?</v>
      </c>
      <c r="BV381" s="2" t="e">
        <f ca="1">_xll.BDH($C$378,"TOTAL_CAPITAL_SEQUENTIAL_GROWTH","FQ3 2014","FQ3 2014","Currency=INR","Period=FQ","BEST_FPERIOD_OVERRIDE=FQ","FILING_STATUS=OR","EQY_CONSOLIDATED=Y","Sort=A","Dates=H","DateFormat=P","Fill=—","Direction=H","UseDPDF=Y")</f>
        <v>#NAME?</v>
      </c>
      <c r="BW381" s="2" t="e">
        <f ca="1">_xll.BDH($C$378,"BPS_SEQUENTIAL_GROWTH","FQ3 2014","FQ3 2014","Currency=INR","Period=FQ","BEST_FPERIOD_OVERRIDE=FQ","FILING_STATUS=OR","EQY_CONSOLIDATED=Y","Sort=A","Dates=H","DateFormat=P","Fill=—","Direction=H","UseDPDF=Y")</f>
        <v>#NAME?</v>
      </c>
      <c r="BX381" s="2" t="e">
        <f ca="1">_xll.BDH($C$378,"CFO_SEQUENTIAL_GROWTH","FQ3 2014","FQ3 2014","Currency=INR","Period=FQ","BEST_FPERIOD_OVERRIDE=FQ","FILING_STATUS=OR","EQY_CONSOLIDATED=Y","Sort=A","Dates=H","DateFormat=P","Fill=—","Direction=H","UseDPDF=Y")</f>
        <v>#NAME?</v>
      </c>
      <c r="BY381" s="3" t="e">
        <f ca="1">_xll.BDH($C$378,"SHORT_AND_LONG_TERM_DEBT","FQ3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381" s="3" t="e">
        <f ca="1">_xll.BDH($C$378,"BS_ST_BORROW","FQ3 2014","FQ3 2014","Currency=INR","Period=FQ","BEST_FPERIOD_OVERRIDE=FQ","FILING_STATUS=OR","EQY_CONSOLIDATED=Y","SCALING_FORMAT=MLN","Sort=A","Dates=H","DateFormat=P","Fill=—","Direction=H","UseDPDF=Y")</f>
        <v>#NAME?</v>
      </c>
      <c r="CA381" s="3" t="e">
        <f ca="1">_xll.BDH($C$378,"BS_LT_BORROW","FQ3 2014","FQ3 2014","Currency=INR","Period=FQ","BEST_FPERIOD_OVERRIDE=FQ","FILING_STATUS=OR","EQY_CONSOLIDATED=Y","SCALING_FORMAT=MLN","Sort=A","Dates=H","DateFormat=P","Fill=—","Direction=H","UseDPDF=Y")</f>
        <v>#NAME?</v>
      </c>
      <c r="CB381" s="2" t="e">
        <f ca="1">_xll.BDH($C$378,"TOT_DEBT_TO_EBITDA","FQ3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381" s="2" t="e">
        <f ca="1">_xll.BDH($C$378,"NET_DEBT_TO_EBITDA","FQ3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381" s="2" t="e">
        <f ca="1">_xll.BDH($C$378,"TOTAL_DEBT_TO_EBIT","FQ3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381" s="2" t="e">
        <f ca="1">_xll.BDH($C$378,"NET_DEBT_TO_EBIT","FQ3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381" s="2" t="e">
        <f ca="1">_xll.BDH($C$378,"EBITDA_TO_INTEREST_EXPN","FQ3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381" s="2" t="e">
        <f ca="1">_xll.BDH($C$378,"COM_EQY_TO_TOT_ASSET","FQ3 2014","FQ3 2014","Currency=INR","Period=FQ","BEST_FPERIOD_OVERRIDE=FQ","FILING_STATUS=OR","EQY_CONSOLIDATED=Y","Sort=A","Dates=H","DateFormat=P","Fill=—","Direction=H","UseDPDF=Y")</f>
        <v>#NAME?</v>
      </c>
      <c r="CH381" s="2" t="e">
        <f ca="1">_xll.BDH($C$378,"LT_DEBT_TO_TOT_EQY","FQ3 2014","FQ3 2014","Currency=INR","Period=FQ","BEST_FPERIOD_OVERRIDE=FQ","FILING_STATUS=OR","EQY_CONSOLIDATED=Y","Sort=A","Dates=H","DateFormat=P","Fill=—","Direction=H","UseDPDF=Y")</f>
        <v>#NAME?</v>
      </c>
      <c r="CI381" s="2" t="e">
        <f ca="1">_xll.BDH($C$378,"LT_DEBT_TO_TOT_CAP","FQ3 2014","FQ3 2014","Currency=INR","Period=FQ","BEST_FPERIOD_OVERRIDE=FQ","FILING_STATUS=OR","EQY_CONSOLIDATED=Y","Sort=A","Dates=H","DateFormat=P","Fill=—","Direction=H","UseDPDF=Y")</f>
        <v>#NAME?</v>
      </c>
      <c r="CJ381" s="2" t="e">
        <f ca="1">_xll.BDH($C$378,"LT_DEBT_TO_TOT_ASSET","FQ3 2014","FQ3 2014","Currency=INR","Period=FQ","BEST_FPERIOD_OVERRIDE=FQ","FILING_STATUS=OR","EQY_CONSOLIDATED=Y","Sort=A","Dates=H","DateFormat=P","Fill=—","Direction=H","UseDPDF=Y")</f>
        <v>#NAME?</v>
      </c>
      <c r="CK381" s="2" t="e">
        <f ca="1">_xll.BDH($C$378,"TOT_DEBT_TO_TOT_EQY","FQ3 2014","FQ3 2014","Currency=INR","Period=FQ","BEST_FPERIOD_OVERRIDE=FQ","FILING_STATUS=OR","EQY_CONSOLIDATED=Y","Sort=A","Dates=H","DateFormat=P","Fill=—","Direction=H","UseDPDF=Y")</f>
        <v>#NAME?</v>
      </c>
      <c r="CL381" s="2" t="e">
        <f ca="1">_xll.BDH($C$378,"TOT_DEBT_TO_TOT_CAP","FQ3 2014","FQ3 2014","Currency=INR","Period=FQ","BEST_FPERIOD_OVERRIDE=FQ","FILING_STATUS=OR","EQY_CONSOLIDATED=Y","Sort=A","Dates=H","DateFormat=P","Fill=—","Direction=H","UseDPDF=Y")</f>
        <v>#NAME?</v>
      </c>
      <c r="CM381" s="2" t="e">
        <f ca="1">_xll.BDH($C$378,"TOT_DEBT_TO_TOT_ASSET","FQ3 2014","FQ3 2014","Currency=INR","Period=FQ","BEST_FPERIOD_OVERRIDE=FQ","FILING_STATUS=OR","EQY_CONSOLIDATED=Y","Sort=A","Dates=H","DateFormat=P","Fill=—","Direction=H","UseDPDF=Y")</f>
        <v>#NAME?</v>
      </c>
      <c r="CN381" s="2" t="e">
        <f ca="1">_xll.BDH($C$378,"NET_DEBT_TO_SHRHLDR_EQTY","FQ3 2014","FQ3 2014","Currency=INR","Period=FQ","BEST_FPERIOD_OVERRIDE=FQ","FILING_STATUS=OR","EQY_CONSOLIDATED=Y","Sort=A","Dates=H","DateFormat=P","Fill=—","Direction=H","UseDPDF=Y")</f>
        <v>#NAME?</v>
      </c>
      <c r="CO381" s="2" t="e">
        <f ca="1">_xll.BDH($C$378,"NET_DEBT_%_CAPITAL","FQ3 2014","FQ3 2014","Currency=INR","Period=FQ","BEST_FPERIOD_OVERRIDE=FQ","FILING_STATUS=OR","EQY_CONSOLIDATED=Y","Sort=A","Dates=H","DateFormat=P","Fill=—","Direction=H","UseDPDF=Y")</f>
        <v>#NAME?</v>
      </c>
      <c r="CP381" s="3" t="e">
        <f ca="1">_xll.BDH($C$378,"EBITDA","FQ3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381" s="3" t="e">
        <f ca="1">_xll.BDH($C$378,"EBITDA_AFTER_CAPEX","FQ3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381" s="3" t="e">
        <f ca="1">_xll.BDH($C$378,"IS_OPER_INC","FQ3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381" s="2" t="e">
        <f ca="1">_xll.BDH($C$378,"CASH_RATIO","FQ3 2014","FQ3 2014","Currency=INR","Period=FQ","BEST_FPERIOD_OVERRIDE=FQ","FILING_STATUS=OR","EQY_CONSOLIDATED=Y","Sort=A","Dates=H","DateFormat=P","Fill=—","Direction=H","UseDPDF=Y")</f>
        <v>#NAME?</v>
      </c>
      <c r="CT381" s="2" t="e">
        <f ca="1">_xll.BDH($C$378,"CUR_RATIO","FQ3 2014","FQ3 2014","Currency=INR","Period=FQ","BEST_FPERIOD_OVERRIDE=FQ","FILING_STATUS=OR","EQY_CONSOLIDATED=Y","Sort=A","Dates=H","DateFormat=P","Fill=—","Direction=H","UseDPDF=Y")</f>
        <v>#NAME?</v>
      </c>
      <c r="CU381" s="2" t="e">
        <f ca="1">_xll.BDH($C$378,"QUICK_RATIO","FQ3 2014","FQ3 2014","Currency=INR","Period=FQ","BEST_FPERIOD_OVERRIDE=FQ","FILING_STATUS=OR","EQY_CONSOLIDATED=Y","Sort=A","Dates=H","DateFormat=P","Fill=—","Direction=H","UseDPDF=Y")</f>
        <v>#NAME?</v>
      </c>
      <c r="CV381" s="2" t="e">
        <f ca="1">_xll.BDH($C$378,"ALTMAN_Z_SCORE","FQ3 2014","FQ3 2014","Currency=INR","Period=FQ","BEST_FPERIOD_OVERRIDE=FQ","FILING_STATUS=OR","EQY_CONSOLIDATED=Y","Sort=A","Dates=H","DateFormat=P","Fill=—","Direction=H","UseDPDF=Y")</f>
        <v>#NAME?</v>
      </c>
      <c r="CW381" s="4" t="e">
        <f ca="1">_xll.BDH($C$378,"ACCT_RCV_TURN","FQ3 2014","FQ3 2014","Currency=INR","Period=FQ","BEST_FPERIOD_OVERRIDE=FQ","FILING_STATUS=OR","EQY_CONSOLIDATED=Y","FA_ADJUSTED=GAAP","Sort=A","Dates=H","DateFormat=P","Fill=—","Direction=H","UseDPDF=Y")</f>
        <v>#NAME?</v>
      </c>
      <c r="CX381" s="2" t="e">
        <f ca="1">_xll.BDH($C$378,"ACCT_RCV_DAYS","FQ3 2014","FQ3 2014","Currency=INR","Period=FQ","BEST_FPERIOD_OVERRIDE=FQ","FILING_STATUS=OR","EQY_CONSOLIDATED=Y","FA_ADJUSTED=GAAP","Sort=A","Dates=H","DateFormat=P","Fill=—","Direction=H","UseDPDF=Y")</f>
        <v>#NAME?</v>
      </c>
      <c r="CY381" s="4" t="e">
        <f ca="1">_xll.BDH($C$378,"INVENT_TURN","FQ3 2014","FQ3 2014","Currency=INR","Period=FQ","BEST_FPERIOD_OVERRIDE=FQ","FILING_STATUS=OR","EQY_CONSOLIDATED=Y","FA_ADJUSTED=GAAP","Sort=A","Dates=H","DateFormat=P","Fill=—","Direction=H","UseDPDF=Y")</f>
        <v>#NAME?</v>
      </c>
      <c r="CZ381" s="2" t="e">
        <f ca="1">_xll.BDH($C$378,"INVENT_DAYS","FQ3 2014","FQ3 2014","Currency=INR","Period=FQ","BEST_FPERIOD_OVERRIDE=FQ","FILING_STATUS=OR","EQY_CONSOLIDATED=Y","FA_ADJUSTED=GAAP","Sort=A","Dates=H","DateFormat=P","Fill=—","Direction=H","UseDPDF=Y")</f>
        <v>#NAME?</v>
      </c>
      <c r="DA381" s="4" t="e">
        <f ca="1">_xll.BDH($C$378,"ACCOUNTS_PAYABLE_TURNOVER","FQ3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381" s="2" t="e">
        <f ca="1">_xll.BDH($C$378,"ACCOUNTS_PAYABLE_TURNOVER_DAYS","FQ3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381" s="4" t="e">
        <f ca="1">_xll.BDH($C$378,"CASH_CONVERSION_CYCLE","FQ3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381" s="4" t="e">
        <f ca="1">_xll.BDH($C$378,"INV_TO_CASH_DAYS","FQ3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381" s="5" t="e">
        <f ca="1">_xll.BDH($C$378,"BS_INVENTORIES","FQ3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381" s="3" t="e">
        <f ca="1">_xll.BDH($C$378,"INVTRY_RAW_MATERIALS","FQ3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381" s="3" t="e">
        <f ca="1">_xll.BDH($C$378,"INVTRY_IN_PROGRESS","FQ3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381" s="3" t="e">
        <f ca="1">_xll.BDH($C$378,"INVTRY_FINISHED_GOODS","FQ3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381" s="3" t="e">
        <f ca="1">_xll.BDH($C$378,"BS_OTHER_INV","FQ3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382" spans="1:113" x14ac:dyDescent="0.3">
      <c r="A382" s="6"/>
      <c r="B382" s="6"/>
      <c r="C382" s="6"/>
      <c r="D382" s="6"/>
      <c r="E382" t="s">
        <v>81</v>
      </c>
      <c r="F382" t="e">
        <f ca="1">_xll.BDH($C$378,"RETURN_COM_EQY","FQ4 2014","FQ4 2014","Currency=INR","Period=FQ","BEST_FPERIOD_OVERRIDE=FQ","FILING_STATUS=OR","EQY_CONSOLIDATED=Y","FA_ADJUSTED=GAAP","Sort=A","Dates=H","DateFormat=P","Fill=—","Direction=H","UseDPDF=Y")</f>
        <v>#NAME?</v>
      </c>
      <c r="G382" t="e">
        <f ca="1">_xll.BDH($C$378,"RETURN_ON_ASSET","FQ4 2014","FQ4 2014","Currency=INR","Period=FQ","BEST_FPERIOD_OVERRIDE=FQ","FILING_STATUS=OR","EQY_CONSOLIDATED=Y","FA_ADJUSTED=GAAP","Sort=A","Dates=H","DateFormat=P","Fill=—","Direction=H","UseDPDF=Y")</f>
        <v>#NAME?</v>
      </c>
      <c r="H382" t="e">
        <f ca="1">_xll.BDH($C$378,"RETURN_ON_CAP","FQ4 2014","FQ4 2014","Currency=INR","Period=FQ","BEST_FPERIOD_OVERRIDE=FQ","FILING_STATUS=OR","EQY_CONSOLIDATED=Y","FA_ADJUSTED=GAAP","Sort=A","Dates=H","DateFormat=P","Fill=—","Direction=H","UseDPDF=Y")</f>
        <v>#NAME?</v>
      </c>
      <c r="I382" t="e">
        <f ca="1">_xll.BDH($C$378,"RETURN_ON_INV_CAPITAL","FQ4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382" t="e">
        <f ca="1">_xll.BDH($C$378,"EBITDA_TO_REVENUE","FQ4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382" t="e">
        <f ca="1">_xll.BDH($C$378,"OPER_MARGIN","FQ4 2014","FQ4 2014","Currency=INR","Period=FQ","BEST_FPERIOD_OVERRIDE=FQ","FILING_STATUS=OR","EQY_CONSOLIDATED=Y","FA_ADJUSTED=GAAP","Sort=A","Dates=H","DateFormat=P","Fill=—","Direction=H","UseDPDF=Y")</f>
        <v>#NAME?</v>
      </c>
      <c r="L382" t="e">
        <f ca="1">_xll.BDH($C$378,"INCREMENTAL_OPERATING_MARGIN","FQ4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382" t="e">
        <f ca="1">_xll.BDH($C$378,"PRETAX_INC_TO_NET_SALES","FQ4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382" t="e">
        <f ca="1">_xll.BDH($C$378,"INC_BEF_XO_ITEMS_TO_NET_SALES","FQ4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382" t="e">
        <f ca="1">_xll.BDH($C$378,"PROF_MARGIN","FQ4 2014","FQ4 2014","Currency=INR","Period=FQ","BEST_FPERIOD_OVERRIDE=FQ","FILING_STATUS=OR","EQY_CONSOLIDATED=Y","FA_ADJUSTED=GAAP","Sort=A","Dates=H","DateFormat=P","Fill=—","Direction=H","UseDPDF=Y")</f>
        <v>#NAME?</v>
      </c>
      <c r="P382" t="e">
        <f ca="1">_xll.BDH($C$378,"NET_INCOME_TO_COMMON_MARGIN","FQ4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382" t="e">
        <f ca="1">_xll.BDH($C$378,"EFF_TAX_RATE","FQ4 2014","FQ4 2014","Currency=INR","Period=FQ","BEST_FPERIOD_OVERRIDE=FQ","FILING_STATUS=OR","EQY_CONSOLIDATED=Y","FA_ADJUSTED=GAAP","Sort=A","Dates=H","DateFormat=P","Fill=—","Direction=H","UseDPDF=Y")</f>
        <v>#NAME?</v>
      </c>
      <c r="R382" t="e">
        <f ca="1">_xll.BDH($C$378,"DVD_PAYOUT_RATIO","FQ4 2014","FQ4 2014","Currency=INR","Period=FQ","BEST_FPERIOD_OVERRIDE=FQ","FILING_STATUS=OR","EQY_CONSOLIDATED=Y","FA_ADJUSTED=GAAP","Sort=A","Dates=H","DateFormat=P","Fill=—","Direction=H","UseDPDF=Y")</f>
        <v>#NAME?</v>
      </c>
      <c r="S382" t="e">
        <f ca="1">_xll.BDH($C$378,"SUSTAIN_GROWTH_RT","FQ4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382" s="2" t="e">
        <f ca="1">_xll.BDH($C$378,"SALES_GROWTH","FQ4 2014","FQ4 2014","Currency=INR","Period=FQ","BEST_FPERIOD_OVERRIDE=FQ","FILING_STATUS=OR","EQY_CONSOLIDATED=Y","FA_ADJUSTED=GAAP","Sort=A","Dates=H","DateFormat=P","Fill=—","Direction=H","UseDPDF=Y")</f>
        <v>#NAME?</v>
      </c>
      <c r="U382" s="2" t="e">
        <f ca="1">_xll.BDH($C$378,"EBITDA_GROWTH","FQ4 2014","FQ4 2014","Currency=INR","Period=FQ","BEST_FPERIOD_OVERRIDE=FQ","FILING_STATUS=OR","EQY_CONSOLIDATED=Y","FA_ADJUSTED=GAAP","Sort=A","Dates=H","DateFormat=P","Fill=—","Direction=H","UseDPDF=Y")</f>
        <v>#NAME?</v>
      </c>
      <c r="V382" s="2" t="e">
        <f ca="1">_xll.BDH($C$378,"OPER_INC_GROWTH","FQ4 2014","FQ4 2014","Currency=INR","Period=FQ","BEST_FPERIOD_OVERRIDE=FQ","FILING_STATUS=OR","EQY_CONSOLIDATED=Y","FA_ADJUSTED=GAAP","Sort=A","Dates=H","DateFormat=P","Fill=—","Direction=H","UseDPDF=Y")</f>
        <v>#NAME?</v>
      </c>
      <c r="W382" s="2" t="e">
        <f ca="1">_xll.BDH($C$378,"EARN_FOR_COM_GROWTH","FQ4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382" s="2" t="e">
        <f ca="1">_xll.BDH($C$378,"DILUTED_EPS_AFT_XO_ITEMS_GROWTH","FQ4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382" s="2" t="e">
        <f ca="1">_xll.BDH($C$378,"DIVIDEND_PER_SHARE_1_YEAR_GROWTH","FQ4 2014","FQ4 2014","Currency=INR","Period=FQ","BEST_FPERIOD_OVERRIDE=FQ","FILING_STATUS=OR","EQY_CONSOLIDATED=Y","Sort=A","Dates=H","DateFormat=P","Fill=—","Direction=H","UseDPDF=Y")</f>
        <v>#NAME?</v>
      </c>
      <c r="Z382" s="2" t="e">
        <f ca="1">_xll.BDH($C$378,"ACCOUNTS_RECEIVABLE_GROWTH","FQ4 2014","FQ4 2014","Currency=INR","Period=FQ","BEST_FPERIOD_OVERRIDE=FQ","FILING_STATUS=OR","EQY_CONSOLIDATED=Y","Sort=A","Dates=H","DateFormat=P","Fill=—","Direction=H","UseDPDF=Y")</f>
        <v>#NAME?</v>
      </c>
      <c r="AA382" s="2" t="e">
        <f ca="1">_xll.BDH($C$378,"INVENTORY_GROWTH","FQ4 2014","FQ4 2014","Currency=INR","Period=FQ","BEST_FPERIOD_OVERRIDE=FQ","FILING_STATUS=OR","EQY_CONSOLIDATED=Y","Sort=A","Dates=H","DateFormat=P","Fill=—","Direction=H","UseDPDF=Y")</f>
        <v>#NAME?</v>
      </c>
      <c r="AB382" s="2" t="e">
        <f ca="1">_xll.BDH($C$378,"NET_FIXED_ASSETS_1_YEAR_GROWTH","FQ4 2014","FQ4 2014","Currency=INR","Period=FQ","BEST_FPERIOD_OVERRIDE=FQ","FILING_STATUS=OR","EQY_CONSOLIDATED=Y","Sort=A","Dates=H","DateFormat=P","Fill=—","Direction=H","UseDPDF=Y")</f>
        <v>#NAME?</v>
      </c>
      <c r="AC382" s="2" t="e">
        <f ca="1">_xll.BDH($C$378,"ASSET_GROWTH","FQ4 2014","FQ4 2014","Currency=INR","Period=FQ","BEST_FPERIOD_OVERRIDE=FQ","FILING_STATUS=OR","EQY_CONSOLIDATED=Y","Sort=A","Dates=H","DateFormat=P","Fill=—","Direction=H","UseDPDF=Y")</f>
        <v>#NAME?</v>
      </c>
      <c r="AD382" s="2" t="e">
        <f ca="1">_xll.BDH($C$378,"MODIFIED_WORK_CAP_GROWTH","FQ4 2014","FQ4 2014","Currency=INR","Period=FQ","BEST_FPERIOD_OVERRIDE=FQ","FILING_STATUS=OR","EQY_CONSOLIDATED=Y","Sort=A","Dates=H","DateFormat=P","Fill=—","Direction=H","UseDPDF=Y")</f>
        <v>#NAME?</v>
      </c>
      <c r="AE382" s="2" t="e">
        <f ca="1">_xll.BDH($C$378,"WORK_CAP_GROWTH","FQ4 2014","FQ4 2014","Currency=INR","Period=FQ","BEST_FPERIOD_OVERRIDE=FQ","FILING_STATUS=OR","EQY_CONSOLIDATED=Y","Sort=A","Dates=H","DateFormat=P","Fill=—","Direction=H","UseDPDF=Y")</f>
        <v>#NAME?</v>
      </c>
      <c r="AF382" s="2" t="e">
        <f ca="1">_xll.BDH($C$378,"ACCOUNTS_PAYABLE_GROWTH_1YR","FQ4 2014","FQ4 2014","Currency=INR","Period=FQ","BEST_FPERIOD_OVERRIDE=FQ","FILING_STATUS=OR","EQY_CONSOLIDATED=Y","Sort=A","Dates=H","DateFormat=P","Fill=—","Direction=H","UseDPDF=Y")</f>
        <v>#NAME?</v>
      </c>
      <c r="AG382" s="2" t="e">
        <f ca="1">_xll.BDH($C$378,"SHORT_TERM_DEBT_1_YEAR_GROWTH","FQ4 2014","FQ4 2014","Currency=INR","Period=FQ","BEST_FPERIOD_OVERRIDE=FQ","FILING_STATUS=OR","EQY_CONSOLIDATED=Y","Sort=A","Dates=H","DateFormat=P","Fill=—","Direction=H","UseDPDF=Y")</f>
        <v>#NAME?</v>
      </c>
      <c r="AH382" s="2" t="e">
        <f ca="1">_xll.BDH($C$378,"TOTAL_DEBT_1_YEAR_GROWTH","FQ4 2014","FQ4 2014","Currency=INR","Period=FQ","BEST_FPERIOD_OVERRIDE=FQ","FILING_STATUS=OR","EQY_CONSOLIDATED=Y","Sort=A","Dates=H","DateFormat=P","Fill=—","Direction=H","UseDPDF=Y")</f>
        <v>#NAME?</v>
      </c>
      <c r="AI382" s="2" t="e">
        <f ca="1">_xll.BDH($C$378,"TOTAL_EQUITY_1_YEAR_GROWTH","FQ4 2014","FQ4 2014","Currency=INR","Period=FQ","BEST_FPERIOD_OVERRIDE=FQ","FILING_STATUS=OR","EQY_CONSOLIDATED=Y","Sort=A","Dates=H","DateFormat=P","Fill=—","Direction=H","UseDPDF=Y")</f>
        <v>#NAME?</v>
      </c>
      <c r="AJ382" s="2" t="e">
        <f ca="1">_xll.BDH($C$378,"GROWTH_IN_CAP","FQ4 2014","FQ4 2014","Currency=INR","Period=FQ","BEST_FPERIOD_OVERRIDE=FQ","FILING_STATUS=OR","EQY_CONSOLIDATED=Y","Sort=A","Dates=H","DateFormat=P","Fill=—","Direction=H","UseDPDF=Y")</f>
        <v>#NAME?</v>
      </c>
      <c r="AK382" s="2" t="e">
        <f ca="1">_xll.BDH($C$378,"BVPS_GROWTH","FQ4 2014","FQ4 2014","Currency=INR","Period=FQ","BEST_FPERIOD_OVERRIDE=FQ","FILING_STATUS=OR","EQY_CONSOLIDATED=Y","Sort=A","Dates=H","DateFormat=P","Fill=—","Direction=H","UseDPDF=Y")</f>
        <v>#NAME?</v>
      </c>
      <c r="AL382" s="2" t="e">
        <f ca="1">_xll.BDH($C$378,"CASH_FLOW_GROWTH","FQ4 2014","FQ4 2014","Currency=INR","Period=FQ","BEST_FPERIOD_OVERRIDE=FQ","FILING_STATUS=OR","EQY_CONSOLIDATED=Y","Sort=A","Dates=H","DateFormat=P","Fill=—","Direction=H","UseDPDF=Y")</f>
        <v>#NAME?</v>
      </c>
      <c r="AM382" s="2" t="e">
        <f ca="1">_xll.BDH($C$378,"GEO_GROW_NET_SALES","FQ4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382" s="2" t="e">
        <f ca="1">_xll.BDH($C$378,"GEO_GROW_EBITDA","FQ4 2014","FQ4 2014","Currency=INR","Period=FQ","BEST_FPERIOD_OVERRIDE=FQ","FILING_STATUS=OR","EQY_CONSOLIDATED=Y","FA_ADJUSTED=GAAP","Sort=A","Dates=H","DateFormat=P","Fill=—","Direction=H","UseDPDF=Y")</f>
        <v>#NAME?</v>
      </c>
      <c r="AO382" s="2" t="e">
        <f ca="1">_xll.BDH($C$378,"GEO_GROW_OPER_INC","FQ4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382" s="2" t="e">
        <f ca="1">_xll.BDH($C$378,"NET_INCOME_TO_COMMON_5_YR_GROWTH","FQ4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382" s="2" t="e">
        <f ca="1">_xll.BDH($C$378,"5Y_GEO_GROWTH_DILUTED_EPS","FQ4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382" s="2" t="e">
        <f ca="1">_xll.BDH($C$378,"GEO_GROW_DVD_PER_SH","FQ4 2014","FQ4 2014","Currency=INR","Period=FQ","BEST_FPERIOD_OVERRIDE=FQ","FILING_STATUS=OR","EQY_CONSOLIDATED=Y","Sort=A","Dates=H","DateFormat=P","Fill=—","Direction=H","UseDPDF=Y")</f>
        <v>#NAME?</v>
      </c>
      <c r="AS382" s="2" t="e">
        <f ca="1">_xll.BDH($C$378,"ACCOUNTS_RECEIVABLE_5_YR_GROWTH","FQ4 2014","FQ4 2014","Currency=INR","Period=FQ","BEST_FPERIOD_OVERRIDE=FQ","FILING_STATUS=OR","EQY_CONSOLIDATED=Y","Sort=A","Dates=H","DateFormat=P","Fill=—","Direction=H","UseDPDF=Y")</f>
        <v>#NAME?</v>
      </c>
      <c r="AT382" s="2" t="e">
        <f ca="1">_xll.BDH($C$378,"INVENTORY_5_YEAR_GROWTH","FQ4 2014","FQ4 2014","Currency=INR","Period=FQ","BEST_FPERIOD_OVERRIDE=FQ","FILING_STATUS=OR","EQY_CONSOLIDATED=Y","Sort=A","Dates=H","DateFormat=P","Fill=—","Direction=H","UseDPDF=Y")</f>
        <v>#NAME?</v>
      </c>
      <c r="AU382" s="2" t="e">
        <f ca="1">_xll.BDH($C$378,"NET_FIXED_ASSETS_5_YEAR_GROWTH","FQ4 2014","FQ4 2014","Currency=INR","Period=FQ","BEST_FPERIOD_OVERRIDE=FQ","FILING_STATUS=OR","EQY_CONSOLIDATED=Y","Sort=A","Dates=H","DateFormat=P","Fill=—","Direction=H","UseDPDF=Y")</f>
        <v>#NAME?</v>
      </c>
      <c r="AV382" s="2" t="e">
        <f ca="1">_xll.BDH($C$378,"GEO_GROW_TOT_ASSET","FQ4 2014","FQ4 2014","Currency=INR","Period=FQ","BEST_FPERIOD_OVERRIDE=FQ","FILING_STATUS=OR","EQY_CONSOLIDATED=Y","Sort=A","Dates=H","DateFormat=P","Fill=—","Direction=H","UseDPDF=Y")</f>
        <v>#NAME?</v>
      </c>
      <c r="AW382" s="2" t="e">
        <f ca="1">_xll.BDH($C$378,"MODIFIED_WORKING_CPTL_5YR_GRWTH","FQ4 2014","FQ4 2014","Currency=INR","Period=FQ","BEST_FPERIOD_OVERRIDE=FQ","FILING_STATUS=OR","EQY_CONSOLIDATED=Y","Sort=A","Dates=H","DateFormat=P","Fill=—","Direction=H","UseDPDF=Y")</f>
        <v>#NAME?</v>
      </c>
      <c r="AX382" s="2" t="e">
        <f ca="1">_xll.BDH($C$378,"WORKING_CAPITAL_5_YEAR_GROWTH","FQ4 2014","FQ4 2014","Currency=INR","Period=FQ","BEST_FPERIOD_OVERRIDE=FQ","FILING_STATUS=OR","EQY_CONSOLIDATED=Y","Sort=A","Dates=H","DateFormat=P","Fill=—","Direction=H","UseDPDF=Y")</f>
        <v>#NAME?</v>
      </c>
      <c r="AY382" s="2" t="e">
        <f ca="1">_xll.BDH($C$378,"ACCOUNTS_PAYABLE_5_YEAR_GROWTH","FQ4 2014","FQ4 2014","Currency=INR","Period=FQ","BEST_FPERIOD_OVERRIDE=FQ","FILING_STATUS=OR","EQY_CONSOLIDATED=Y","Sort=A","Dates=H","DateFormat=P","Fill=—","Direction=H","UseDPDF=Y")</f>
        <v>#NAME?</v>
      </c>
      <c r="AZ382" s="2" t="e">
        <f ca="1">_xll.BDH($C$378,"SHORT_TERM_DEBT_5_YEAR_GROWTH","FQ4 2014","FQ4 2014","Currency=INR","Period=FQ","BEST_FPERIOD_OVERRIDE=FQ","FILING_STATUS=OR","EQY_CONSOLIDATED=Y","Sort=A","Dates=H","DateFormat=P","Fill=—","Direction=H","UseDPDF=Y")</f>
        <v>#NAME?</v>
      </c>
      <c r="BA382" s="2" t="e">
        <f ca="1">_xll.BDH($C$378,"TOTAL_DEBT_5_YEAR_GROWTH","FQ4 2014","FQ4 2014","Currency=INR","Period=FQ","BEST_FPERIOD_OVERRIDE=FQ","FILING_STATUS=OR","EQY_CONSOLIDATED=Y","Sort=A","Dates=H","DateFormat=P","Fill=—","Direction=H","UseDPDF=Y")</f>
        <v>#NAME?</v>
      </c>
      <c r="BB382" s="2" t="e">
        <f ca="1">_xll.BDH($C$378,"GEO_GROW_TOT_SHRHLDR_EQY","FQ4 2014","FQ4 2014","Currency=INR","Period=FQ","BEST_FPERIOD_OVERRIDE=FQ","FILING_STATUS=OR","EQY_CONSOLIDATED=Y","Sort=A","Dates=H","DateFormat=P","Fill=—","Direction=H","UseDPDF=Y")</f>
        <v>#NAME?</v>
      </c>
      <c r="BC382" s="2" t="e">
        <f ca="1">_xll.BDH($C$378,"TOTAL_CAPITAL_5_YEAR_GROWTH","FQ4 2014","FQ4 2014","Currency=INR","Period=FQ","BEST_FPERIOD_OVERRIDE=FQ","FILING_STATUS=OR","EQY_CONSOLIDATED=Y","Sort=A","Dates=H","DateFormat=P","Fill=—","Direction=H","UseDPDF=Y")</f>
        <v>#NAME?</v>
      </c>
      <c r="BD382" s="2" t="e">
        <f ca="1">_xll.BDH($C$378,"GEO_GROW_BOOK_VAL","FQ4 2014","FQ4 2014","Currency=INR","Period=FQ","BEST_FPERIOD_OVERRIDE=FQ","FILING_STATUS=OR","EQY_CONSOLIDATED=Y","Sort=A","Dates=H","DateFormat=P","Fill=—","Direction=H","UseDPDF=Y")</f>
        <v>#NAME?</v>
      </c>
      <c r="BE382" s="2" t="e">
        <f ca="1">_xll.BDH($C$378,"GEO_GROW_CASH_OPER_ACT","FQ4 2014","FQ4 2014","Currency=INR","Period=FQ","BEST_FPERIOD_OVERRIDE=FQ","FILING_STATUS=OR","EQY_CONSOLIDATED=Y","Sort=A","Dates=H","DateFormat=P","Fill=—","Direction=H","UseDPDF=Y")</f>
        <v>#NAME?</v>
      </c>
      <c r="BF382" s="2" t="e">
        <f ca="1">_xll.BDH($C$378,"REVENUE_SEQUENTIAL_GROWTH","FQ4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382" s="2" t="e">
        <f ca="1">_xll.BDH($C$378,"EBITDA_SEQUENTIAL_GROWTH","FQ4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382" s="2" t="e">
        <f ca="1">_xll.BDH($C$378,"OPERATING_INCOME_SEQ_GROWTH","FQ4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382" s="2" t="e">
        <f ca="1">_xll.BDH($C$378,"NET_INCOME_TO_COMMON_SEQ_GROWTH","FQ4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382" s="2" t="e">
        <f ca="1">_xll.BDH($C$378,"EPS_DILUTED_SEQUENTIAL_GROWTH","FQ4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382" s="2" t="e">
        <f ca="1">_xll.BDH($C$378,"DPS_SEQUENTIAL_GROWTH","FQ4 2014","FQ4 2014","Currency=INR","Period=FQ","BEST_FPERIOD_OVERRIDE=FQ","FILING_STATUS=OR","EQY_CONSOLIDATED=Y","Sort=A","Dates=H","DateFormat=P","Fill=—","Direction=H","UseDPDF=Y")</f>
        <v>#NAME?</v>
      </c>
      <c r="BL382" s="2" t="e">
        <f ca="1">_xll.BDH($C$378,"ACCOUNTS_RECEIVABLE_SEQ_GROWTH","FQ4 2014","FQ4 2014","Currency=INR","Period=FQ","BEST_FPERIOD_OVERRIDE=FQ","FILING_STATUS=OR","EQY_CONSOLIDATED=Y","Sort=A","Dates=H","DateFormat=P","Fill=—","Direction=H","UseDPDF=Y")</f>
        <v>#NAME?</v>
      </c>
      <c r="BM382" s="2" t="e">
        <f ca="1">_xll.BDH($C$378,"INVENTORY_SEQUENTIAL_GROWTH","FQ4 2014","FQ4 2014","Currency=INR","Period=FQ","BEST_FPERIOD_OVERRIDE=FQ","FILING_STATUS=OR","EQY_CONSOLIDATED=Y","Sort=A","Dates=H","DateFormat=P","Fill=—","Direction=H","UseDPDF=Y")</f>
        <v>#NAME?</v>
      </c>
      <c r="BN382" s="2" t="e">
        <f ca="1">_xll.BDH($C$378,"FIXED_ASSETS_SEQUENTIAL_GROWTH","FQ4 2014","FQ4 2014","Currency=INR","Period=FQ","BEST_FPERIOD_OVERRIDE=FQ","FILING_STATUS=OR","EQY_CONSOLIDATED=Y","Sort=A","Dates=H","DateFormat=P","Fill=—","Direction=H","UseDPDF=Y")</f>
        <v>#NAME?</v>
      </c>
      <c r="BO382" s="2" t="e">
        <f ca="1">_xll.BDH($C$378,"TOTAL_ASSETS_SEQUENTIAL_GROWTH","FQ4 2014","FQ4 2014","Currency=INR","Period=FQ","BEST_FPERIOD_OVERRIDE=FQ","FILING_STATUS=OR","EQY_CONSOLIDATED=Y","Sort=A","Dates=H","DateFormat=P","Fill=—","Direction=H","UseDPDF=Y")</f>
        <v>#NAME?</v>
      </c>
      <c r="BP382" s="2" t="e">
        <f ca="1">_xll.BDH($C$378,"MODIFIED_WORKING_CPTL_SEQ_GRWTH","FQ4 2014","FQ4 2014","Currency=INR","Period=FQ","BEST_FPERIOD_OVERRIDE=FQ","FILING_STATUS=OR","EQY_CONSOLIDATED=Y","Sort=A","Dates=H","DateFormat=P","Fill=—","Direction=H","UseDPDF=Y")</f>
        <v>#NAME?</v>
      </c>
      <c r="BQ382" s="2" t="e">
        <f ca="1">_xll.BDH($C$378,"WORKING_CAPITAL_SEQ_GROWTH","FQ4 2014","FQ4 2014","Currency=INR","Period=FQ","BEST_FPERIOD_OVERRIDE=FQ","FILING_STATUS=OR","EQY_CONSOLIDATED=Y","Sort=A","Dates=H","DateFormat=P","Fill=—","Direction=H","UseDPDF=Y")</f>
        <v>#NAME?</v>
      </c>
      <c r="BR382" s="2" t="e">
        <f ca="1">_xll.BDH($C$378,"ACCOUNTS_PAYABLE_SEQ_GROWTH","FQ4 2014","FQ4 2014","Currency=INR","Period=FQ","BEST_FPERIOD_OVERRIDE=FQ","FILING_STATUS=OR","EQY_CONSOLIDATED=Y","Sort=A","Dates=H","DateFormat=P","Fill=—","Direction=H","UseDPDF=Y")</f>
        <v>#NAME?</v>
      </c>
      <c r="BS382" s="2" t="e">
        <f ca="1">_xll.BDH($C$378,"ST_DEBT_SEQUENTIAL_GROWTH","FQ4 2014","FQ4 2014","Currency=INR","Period=FQ","BEST_FPERIOD_OVERRIDE=FQ","FILING_STATUS=OR","EQY_CONSOLIDATED=Y","Sort=A","Dates=H","DateFormat=P","Fill=—","Direction=H","UseDPDF=Y")</f>
        <v>#NAME?</v>
      </c>
      <c r="BT382" s="2" t="e">
        <f ca="1">_xll.BDH($C$378,"TOTAL_DEBT_SEQUENTIAL_GROWTH","FQ4 2014","FQ4 2014","Currency=INR","Period=FQ","BEST_FPERIOD_OVERRIDE=FQ","FILING_STATUS=OR","EQY_CONSOLIDATED=Y","Sort=A","Dates=H","DateFormat=P","Fill=—","Direction=H","UseDPDF=Y")</f>
        <v>#NAME?</v>
      </c>
      <c r="BU382" s="2" t="e">
        <f ca="1">_xll.BDH($C$378,"TOTAL_EQUITY_SEQUENTIAL_GROWTH","FQ4 2014","FQ4 2014","Currency=INR","Period=FQ","BEST_FPERIOD_OVERRIDE=FQ","FILING_STATUS=OR","EQY_CONSOLIDATED=Y","Sort=A","Dates=H","DateFormat=P","Fill=—","Direction=H","UseDPDF=Y")</f>
        <v>#NAME?</v>
      </c>
      <c r="BV382" s="2" t="e">
        <f ca="1">_xll.BDH($C$378,"TOTAL_CAPITAL_SEQUENTIAL_GROWTH","FQ4 2014","FQ4 2014","Currency=INR","Period=FQ","BEST_FPERIOD_OVERRIDE=FQ","FILING_STATUS=OR","EQY_CONSOLIDATED=Y","Sort=A","Dates=H","DateFormat=P","Fill=—","Direction=H","UseDPDF=Y")</f>
        <v>#NAME?</v>
      </c>
      <c r="BW382" s="2" t="e">
        <f ca="1">_xll.BDH($C$378,"BPS_SEQUENTIAL_GROWTH","FQ4 2014","FQ4 2014","Currency=INR","Period=FQ","BEST_FPERIOD_OVERRIDE=FQ","FILING_STATUS=OR","EQY_CONSOLIDATED=Y","Sort=A","Dates=H","DateFormat=P","Fill=—","Direction=H","UseDPDF=Y")</f>
        <v>#NAME?</v>
      </c>
      <c r="BX382" s="2" t="e">
        <f ca="1">_xll.BDH($C$378,"CFO_SEQUENTIAL_GROWTH","FQ4 2014","FQ4 2014","Currency=INR","Period=FQ","BEST_FPERIOD_OVERRIDE=FQ","FILING_STATUS=OR","EQY_CONSOLIDATED=Y","Sort=A","Dates=H","DateFormat=P","Fill=—","Direction=H","UseDPDF=Y")</f>
        <v>#NAME?</v>
      </c>
      <c r="BY382" s="3" t="e">
        <f ca="1">_xll.BDH($C$378,"SHORT_AND_LONG_TERM_DEBT","FQ4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382" s="3" t="e">
        <f ca="1">_xll.BDH($C$378,"BS_ST_BORROW","FQ4 2014","FQ4 2014","Currency=INR","Period=FQ","BEST_FPERIOD_OVERRIDE=FQ","FILING_STATUS=OR","EQY_CONSOLIDATED=Y","SCALING_FORMAT=MLN","Sort=A","Dates=H","DateFormat=P","Fill=—","Direction=H","UseDPDF=Y")</f>
        <v>#NAME?</v>
      </c>
      <c r="CA382" s="3" t="e">
        <f ca="1">_xll.BDH($C$378,"BS_LT_BORROW","FQ4 2014","FQ4 2014","Currency=INR","Period=FQ","BEST_FPERIOD_OVERRIDE=FQ","FILING_STATUS=OR","EQY_CONSOLIDATED=Y","SCALING_FORMAT=MLN","Sort=A","Dates=H","DateFormat=P","Fill=—","Direction=H","UseDPDF=Y")</f>
        <v>#NAME?</v>
      </c>
      <c r="CB382" s="2" t="e">
        <f ca="1">_xll.BDH($C$378,"TOT_DEBT_TO_EBITDA","FQ4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382" s="2" t="e">
        <f ca="1">_xll.BDH($C$378,"NET_DEBT_TO_EBITDA","FQ4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382" s="2" t="e">
        <f ca="1">_xll.BDH($C$378,"TOTAL_DEBT_TO_EBIT","FQ4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382" s="2" t="e">
        <f ca="1">_xll.BDH($C$378,"NET_DEBT_TO_EBIT","FQ4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382" s="2" t="e">
        <f ca="1">_xll.BDH($C$378,"EBITDA_TO_INTEREST_EXPN","FQ4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382" s="2" t="e">
        <f ca="1">_xll.BDH($C$378,"COM_EQY_TO_TOT_ASSET","FQ4 2014","FQ4 2014","Currency=INR","Period=FQ","BEST_FPERIOD_OVERRIDE=FQ","FILING_STATUS=OR","EQY_CONSOLIDATED=Y","Sort=A","Dates=H","DateFormat=P","Fill=—","Direction=H","UseDPDF=Y")</f>
        <v>#NAME?</v>
      </c>
      <c r="CH382" s="2" t="e">
        <f ca="1">_xll.BDH($C$378,"LT_DEBT_TO_TOT_EQY","FQ4 2014","FQ4 2014","Currency=INR","Period=FQ","BEST_FPERIOD_OVERRIDE=FQ","FILING_STATUS=OR","EQY_CONSOLIDATED=Y","Sort=A","Dates=H","DateFormat=P","Fill=—","Direction=H","UseDPDF=Y")</f>
        <v>#NAME?</v>
      </c>
      <c r="CI382" s="2" t="e">
        <f ca="1">_xll.BDH($C$378,"LT_DEBT_TO_TOT_CAP","FQ4 2014","FQ4 2014","Currency=INR","Period=FQ","BEST_FPERIOD_OVERRIDE=FQ","FILING_STATUS=OR","EQY_CONSOLIDATED=Y","Sort=A","Dates=H","DateFormat=P","Fill=—","Direction=H","UseDPDF=Y")</f>
        <v>#NAME?</v>
      </c>
      <c r="CJ382" s="2" t="e">
        <f ca="1">_xll.BDH($C$378,"LT_DEBT_TO_TOT_ASSET","FQ4 2014","FQ4 2014","Currency=INR","Period=FQ","BEST_FPERIOD_OVERRIDE=FQ","FILING_STATUS=OR","EQY_CONSOLIDATED=Y","Sort=A","Dates=H","DateFormat=P","Fill=—","Direction=H","UseDPDF=Y")</f>
        <v>#NAME?</v>
      </c>
      <c r="CK382" s="2" t="e">
        <f ca="1">_xll.BDH($C$378,"TOT_DEBT_TO_TOT_EQY","FQ4 2014","FQ4 2014","Currency=INR","Period=FQ","BEST_FPERIOD_OVERRIDE=FQ","FILING_STATUS=OR","EQY_CONSOLIDATED=Y","Sort=A","Dates=H","DateFormat=P","Fill=—","Direction=H","UseDPDF=Y")</f>
        <v>#NAME?</v>
      </c>
      <c r="CL382" s="2" t="e">
        <f ca="1">_xll.BDH($C$378,"TOT_DEBT_TO_TOT_CAP","FQ4 2014","FQ4 2014","Currency=INR","Period=FQ","BEST_FPERIOD_OVERRIDE=FQ","FILING_STATUS=OR","EQY_CONSOLIDATED=Y","Sort=A","Dates=H","DateFormat=P","Fill=—","Direction=H","UseDPDF=Y")</f>
        <v>#NAME?</v>
      </c>
      <c r="CM382" s="2" t="e">
        <f ca="1">_xll.BDH($C$378,"TOT_DEBT_TO_TOT_ASSET","FQ4 2014","FQ4 2014","Currency=INR","Period=FQ","BEST_FPERIOD_OVERRIDE=FQ","FILING_STATUS=OR","EQY_CONSOLIDATED=Y","Sort=A","Dates=H","DateFormat=P","Fill=—","Direction=H","UseDPDF=Y")</f>
        <v>#NAME?</v>
      </c>
      <c r="CN382" s="2" t="e">
        <f ca="1">_xll.BDH($C$378,"NET_DEBT_TO_SHRHLDR_EQTY","FQ4 2014","FQ4 2014","Currency=INR","Period=FQ","BEST_FPERIOD_OVERRIDE=FQ","FILING_STATUS=OR","EQY_CONSOLIDATED=Y","Sort=A","Dates=H","DateFormat=P","Fill=—","Direction=H","UseDPDF=Y")</f>
        <v>#NAME?</v>
      </c>
      <c r="CO382" s="2" t="e">
        <f ca="1">_xll.BDH($C$378,"NET_DEBT_%_CAPITAL","FQ4 2014","FQ4 2014","Currency=INR","Period=FQ","BEST_FPERIOD_OVERRIDE=FQ","FILING_STATUS=OR","EQY_CONSOLIDATED=Y","Sort=A","Dates=H","DateFormat=P","Fill=—","Direction=H","UseDPDF=Y")</f>
        <v>#NAME?</v>
      </c>
      <c r="CP382" s="3" t="e">
        <f ca="1">_xll.BDH($C$378,"EBITDA","FQ4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382" s="3" t="e">
        <f ca="1">_xll.BDH($C$378,"EBITDA_AFTER_CAPEX","FQ4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382" s="3" t="e">
        <f ca="1">_xll.BDH($C$378,"IS_OPER_INC","FQ4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382" s="2" t="e">
        <f ca="1">_xll.BDH($C$378,"CASH_RATIO","FQ4 2014","FQ4 2014","Currency=INR","Period=FQ","BEST_FPERIOD_OVERRIDE=FQ","FILING_STATUS=OR","EQY_CONSOLIDATED=Y","Sort=A","Dates=H","DateFormat=P","Fill=—","Direction=H","UseDPDF=Y")</f>
        <v>#NAME?</v>
      </c>
      <c r="CT382" s="2" t="e">
        <f ca="1">_xll.BDH($C$378,"CUR_RATIO","FQ4 2014","FQ4 2014","Currency=INR","Period=FQ","BEST_FPERIOD_OVERRIDE=FQ","FILING_STATUS=OR","EQY_CONSOLIDATED=Y","Sort=A","Dates=H","DateFormat=P","Fill=—","Direction=H","UseDPDF=Y")</f>
        <v>#NAME?</v>
      </c>
      <c r="CU382" s="2" t="e">
        <f ca="1">_xll.BDH($C$378,"QUICK_RATIO","FQ4 2014","FQ4 2014","Currency=INR","Period=FQ","BEST_FPERIOD_OVERRIDE=FQ","FILING_STATUS=OR","EQY_CONSOLIDATED=Y","Sort=A","Dates=H","DateFormat=P","Fill=—","Direction=H","UseDPDF=Y")</f>
        <v>#NAME?</v>
      </c>
      <c r="CV382" s="2" t="e">
        <f ca="1">_xll.BDH($C$378,"ALTMAN_Z_SCORE","FQ4 2014","FQ4 2014","Currency=INR","Period=FQ","BEST_FPERIOD_OVERRIDE=FQ","FILING_STATUS=OR","EQY_CONSOLIDATED=Y","Sort=A","Dates=H","DateFormat=P","Fill=—","Direction=H","UseDPDF=Y")</f>
        <v>#NAME?</v>
      </c>
      <c r="CW382" s="4" t="e">
        <f ca="1">_xll.BDH($C$378,"ACCT_RCV_TURN","FQ4 2014","FQ4 2014","Currency=INR","Period=FQ","BEST_FPERIOD_OVERRIDE=FQ","FILING_STATUS=OR","EQY_CONSOLIDATED=Y","FA_ADJUSTED=GAAP","Sort=A","Dates=H","DateFormat=P","Fill=—","Direction=H","UseDPDF=Y")</f>
        <v>#NAME?</v>
      </c>
      <c r="CX382" s="2" t="e">
        <f ca="1">_xll.BDH($C$378,"ACCT_RCV_DAYS","FQ4 2014","FQ4 2014","Currency=INR","Period=FQ","BEST_FPERIOD_OVERRIDE=FQ","FILING_STATUS=OR","EQY_CONSOLIDATED=Y","FA_ADJUSTED=GAAP","Sort=A","Dates=H","DateFormat=P","Fill=—","Direction=H","UseDPDF=Y")</f>
        <v>#NAME?</v>
      </c>
      <c r="CY382" s="4" t="e">
        <f ca="1">_xll.BDH($C$378,"INVENT_TURN","FQ4 2014","FQ4 2014","Currency=INR","Period=FQ","BEST_FPERIOD_OVERRIDE=FQ","FILING_STATUS=OR","EQY_CONSOLIDATED=Y","FA_ADJUSTED=GAAP","Sort=A","Dates=H","DateFormat=P","Fill=—","Direction=H","UseDPDF=Y")</f>
        <v>#NAME?</v>
      </c>
      <c r="CZ382" s="2" t="e">
        <f ca="1">_xll.BDH($C$378,"INVENT_DAYS","FQ4 2014","FQ4 2014","Currency=INR","Period=FQ","BEST_FPERIOD_OVERRIDE=FQ","FILING_STATUS=OR","EQY_CONSOLIDATED=Y","FA_ADJUSTED=GAAP","Sort=A","Dates=H","DateFormat=P","Fill=—","Direction=H","UseDPDF=Y")</f>
        <v>#NAME?</v>
      </c>
      <c r="DA382" s="4" t="e">
        <f ca="1">_xll.BDH($C$378,"ACCOUNTS_PAYABLE_TURNOVER","FQ4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382" s="2" t="e">
        <f ca="1">_xll.BDH($C$378,"ACCOUNTS_PAYABLE_TURNOVER_DAYS","FQ4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382" s="4" t="e">
        <f ca="1">_xll.BDH($C$378,"CASH_CONVERSION_CYCLE","FQ4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382" s="4" t="e">
        <f ca="1">_xll.BDH($C$378,"INV_TO_CASH_DAYS","FQ4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382" s="5" t="e">
        <f ca="1">_xll.BDH($C$378,"BS_INVENTORIES","FQ4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382" s="3" t="e">
        <f ca="1">_xll.BDH($C$378,"INVTRY_RAW_MATERIALS","FQ4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382" s="3" t="e">
        <f ca="1">_xll.BDH($C$378,"INVTRY_IN_PROGRESS","FQ4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382" s="3" t="e">
        <f ca="1">_xll.BDH($C$378,"INVTRY_FINISHED_GOODS","FQ4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382" s="3" t="e">
        <f ca="1">_xll.BDH($C$378,"BS_OTHER_INV","FQ4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383" spans="1:113" x14ac:dyDescent="0.3">
      <c r="A383" s="6"/>
      <c r="B383" s="6"/>
      <c r="C383" s="6"/>
      <c r="D383" s="6" t="s">
        <v>82</v>
      </c>
      <c r="E383" t="s">
        <v>77</v>
      </c>
      <c r="F383" t="e">
        <f ca="1">_xll.BDH($C$378,"RETURN_COM_EQY","FY 2015","FY 2015","Currency=INR","Period=FY","BEST_FPERIOD_OVERRIDE=FY","FILING_STATUS=OR","EQY_CONSOLIDATED=Y","FA_ADJUSTED=GAAP","Sort=A","Dates=H","DateFormat=P","Fill=—","Direction=H","UseDPDF=Y")</f>
        <v>#NAME?</v>
      </c>
      <c r="G383" t="e">
        <f ca="1">_xll.BDH($C$378,"RETURN_ON_ASSET","FY 2015","FY 2015","Currency=INR","Period=FY","BEST_FPERIOD_OVERRIDE=FY","FILING_STATUS=OR","EQY_CONSOLIDATED=Y","FA_ADJUSTED=GAAP","Sort=A","Dates=H","DateFormat=P","Fill=—","Direction=H","UseDPDF=Y")</f>
        <v>#NAME?</v>
      </c>
      <c r="H383" t="e">
        <f ca="1">_xll.BDH($C$378,"RETURN_ON_CAP","FY 2015","FY 2015","Currency=INR","Period=FY","BEST_FPERIOD_OVERRIDE=FY","FILING_STATUS=OR","EQY_CONSOLIDATED=Y","FA_ADJUSTED=GAAP","Sort=A","Dates=H","DateFormat=P","Fill=—","Direction=H","UseDPDF=Y")</f>
        <v>#NAME?</v>
      </c>
      <c r="I383" t="e">
        <f ca="1">_xll.BDH($C$378,"RETURN_ON_INV_CAPITAL","FY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383" t="e">
        <f ca="1">_xll.BDH($C$378,"EBITDA_TO_REVENUE","FY 2015","FY 2015","Currency=INR","Period=FY","BEST_FPERIOD_OVERRIDE=FY","FILING_STATUS=OR","EQY_CONSOLIDATED=Y","FA_ADJUSTED=GAAP","Sort=A","Dates=H","DateFormat=P","Fill=—","Direction=H","UseDPDF=Y")</f>
        <v>#NAME?</v>
      </c>
      <c r="K383" t="e">
        <f ca="1">_xll.BDH($C$378,"OPER_MARGIN","FY 2015","FY 2015","Currency=INR","Period=FY","BEST_FPERIOD_OVERRIDE=FY","FILING_STATUS=OR","EQY_CONSOLIDATED=Y","FA_ADJUSTED=GAAP","Sort=A","Dates=H","DateFormat=P","Fill=—","Direction=H","UseDPDF=Y")</f>
        <v>#NAME?</v>
      </c>
      <c r="L383" t="e">
        <f ca="1">_xll.BDH($C$378,"INCREMENTAL_OPERATING_MARGIN","FY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383" t="e">
        <f ca="1">_xll.BDH($C$378,"PRETAX_INC_TO_NET_SALES","FY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383" t="e">
        <f ca="1">_xll.BDH($C$378,"INC_BEF_XO_ITEMS_TO_NET_SALES","FY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383" t="e">
        <f ca="1">_xll.BDH($C$378,"PROF_MARGIN","FY 2015","FY 2015","Currency=INR","Period=FY","BEST_FPERIOD_OVERRIDE=FY","FILING_STATUS=OR","EQY_CONSOLIDATED=Y","FA_ADJUSTED=GAAP","Sort=A","Dates=H","DateFormat=P","Fill=—","Direction=H","UseDPDF=Y")</f>
        <v>#NAME?</v>
      </c>
      <c r="P383" t="e">
        <f ca="1">_xll.BDH($C$378,"NET_INCOME_TO_COMMON_MARGIN","FY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383" t="e">
        <f ca="1">_xll.BDH($C$378,"EFF_TAX_RATE","FY 2015","FY 2015","Currency=INR","Period=FY","BEST_FPERIOD_OVERRIDE=FY","FILING_STATUS=OR","EQY_CONSOLIDATED=Y","FA_ADJUSTED=GAAP","Sort=A","Dates=H","DateFormat=P","Fill=—","Direction=H","UseDPDF=Y")</f>
        <v>#NAME?</v>
      </c>
      <c r="R383" t="e">
        <f ca="1">_xll.BDH($C$378,"DVD_PAYOUT_RATIO","FY 2015","FY 2015","Currency=INR","Period=FY","BEST_FPERIOD_OVERRIDE=FY","FILING_STATUS=OR","EQY_CONSOLIDATED=Y","FA_ADJUSTED=GAAP","Sort=A","Dates=H","DateFormat=P","Fill=—","Direction=H","UseDPDF=Y")</f>
        <v>#NAME?</v>
      </c>
      <c r="S383" t="e">
        <f ca="1">_xll.BDH($C$378,"SUSTAIN_GROWTH_RT","FY 2015","FY 2015","Currency=INR","Period=FY","BEST_FPERIOD_OVERRIDE=FY","FILING_STATUS=OR","EQY_CONSOLIDATED=Y","FA_ADJUSTED=GAAP","Sort=A","Dates=H","DateFormat=P","Fill=—","Direction=H","UseDPDF=Y")</f>
        <v>#NAME?</v>
      </c>
      <c r="T383" s="2" t="e">
        <f ca="1">_xll.BDH($C$378,"SALES_GROWTH","FY 2015","FY 2015","Currency=INR","Period=FY","BEST_FPERIOD_OVERRIDE=FY","FILING_STATUS=OR","EQY_CONSOLIDATED=Y","FA_ADJUSTED=GAAP","Sort=A","Dates=H","DateFormat=P","Fill=—","Direction=H","UseDPDF=Y")</f>
        <v>#NAME?</v>
      </c>
      <c r="U383" s="2" t="e">
        <f ca="1">_xll.BDH($C$378,"EBITDA_GROWTH","FY 2015","FY 2015","Currency=INR","Period=FY","BEST_FPERIOD_OVERRIDE=FY","FILING_STATUS=OR","EQY_CONSOLIDATED=Y","FA_ADJUSTED=GAAP","Sort=A","Dates=H","DateFormat=P","Fill=—","Direction=H","UseDPDF=Y")</f>
        <v>#NAME?</v>
      </c>
      <c r="V383" s="2" t="e">
        <f ca="1">_xll.BDH($C$378,"OPER_INC_GROWTH","FY 2015","FY 2015","Currency=INR","Period=FY","BEST_FPERIOD_OVERRIDE=FY","FILING_STATUS=OR","EQY_CONSOLIDATED=Y","FA_ADJUSTED=GAAP","Sort=A","Dates=H","DateFormat=P","Fill=—","Direction=H","UseDPDF=Y")</f>
        <v>#NAME?</v>
      </c>
      <c r="W383" s="2" t="e">
        <f ca="1">_xll.BDH($C$378,"EARN_FOR_COM_GROWTH","FY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383" s="2" t="e">
        <f ca="1">_xll.BDH($C$378,"DILUTED_EPS_AFT_XO_ITEMS_GROWTH","FY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383" s="2" t="e">
        <f ca="1">_xll.BDH($C$378,"DIVIDEND_PER_SHARE_1_YEAR_GROWTH","FY 2015","FY 2015","Currency=INR","Period=FY","BEST_FPERIOD_OVERRIDE=FY","FILING_STATUS=OR","EQY_CONSOLIDATED=Y","Sort=A","Dates=H","DateFormat=P","Fill=—","Direction=H","UseDPDF=Y")</f>
        <v>#NAME?</v>
      </c>
      <c r="Z383" s="2" t="e">
        <f ca="1">_xll.BDH($C$378,"ACCOUNTS_RECEIVABLE_GROWTH","FY 2015","FY 2015","Currency=INR","Period=FY","BEST_FPERIOD_OVERRIDE=FY","FILING_STATUS=OR","EQY_CONSOLIDATED=Y","Sort=A","Dates=H","DateFormat=P","Fill=—","Direction=H","UseDPDF=Y")</f>
        <v>#NAME?</v>
      </c>
      <c r="AA383" s="2" t="e">
        <f ca="1">_xll.BDH($C$378,"INVENTORY_GROWTH","FY 2015","FY 2015","Currency=INR","Period=FY","BEST_FPERIOD_OVERRIDE=FY","FILING_STATUS=OR","EQY_CONSOLIDATED=Y","Sort=A","Dates=H","DateFormat=P","Fill=—","Direction=H","UseDPDF=Y")</f>
        <v>#NAME?</v>
      </c>
      <c r="AB383" s="2" t="e">
        <f ca="1">_xll.BDH($C$378,"NET_FIXED_ASSETS_1_YEAR_GROWTH","FY 2015","FY 2015","Currency=INR","Period=FY","BEST_FPERIOD_OVERRIDE=FY","FILING_STATUS=OR","EQY_CONSOLIDATED=Y","Sort=A","Dates=H","DateFormat=P","Fill=—","Direction=H","UseDPDF=Y")</f>
        <v>#NAME?</v>
      </c>
      <c r="AC383" s="2" t="e">
        <f ca="1">_xll.BDH($C$378,"ASSET_GROWTH","FY 2015","FY 2015","Currency=INR","Period=FY","BEST_FPERIOD_OVERRIDE=FY","FILING_STATUS=OR","EQY_CONSOLIDATED=Y","Sort=A","Dates=H","DateFormat=P","Fill=—","Direction=H","UseDPDF=Y")</f>
        <v>#NAME?</v>
      </c>
      <c r="AD383" s="2" t="e">
        <f ca="1">_xll.BDH($C$378,"MODIFIED_WORK_CAP_GROWTH","FY 2015","FY 2015","Currency=INR","Period=FY","BEST_FPERIOD_OVERRIDE=FY","FILING_STATUS=OR","EQY_CONSOLIDATED=Y","Sort=A","Dates=H","DateFormat=P","Fill=—","Direction=H","UseDPDF=Y")</f>
        <v>#NAME?</v>
      </c>
      <c r="AE383" s="2" t="e">
        <f ca="1">_xll.BDH($C$378,"WORK_CAP_GROWTH","FY 2015","FY 2015","Currency=INR","Period=FY","BEST_FPERIOD_OVERRIDE=FY","FILING_STATUS=OR","EQY_CONSOLIDATED=Y","Sort=A","Dates=H","DateFormat=P","Fill=—","Direction=H","UseDPDF=Y")</f>
        <v>#NAME?</v>
      </c>
      <c r="AF383" s="2" t="e">
        <f ca="1">_xll.BDH($C$378,"ACCOUNTS_PAYABLE_GROWTH_1YR","FY 2015","FY 2015","Currency=INR","Period=FY","BEST_FPERIOD_OVERRIDE=FY","FILING_STATUS=OR","EQY_CONSOLIDATED=Y","Sort=A","Dates=H","DateFormat=P","Fill=—","Direction=H","UseDPDF=Y")</f>
        <v>#NAME?</v>
      </c>
      <c r="AG383" s="2" t="e">
        <f ca="1">_xll.BDH($C$378,"SHORT_TERM_DEBT_1_YEAR_GROWTH","FY 2015","FY 2015","Currency=INR","Period=FY","BEST_FPERIOD_OVERRIDE=FY","FILING_STATUS=OR","EQY_CONSOLIDATED=Y","Sort=A","Dates=H","DateFormat=P","Fill=—","Direction=H","UseDPDF=Y")</f>
        <v>#NAME?</v>
      </c>
      <c r="AH383" s="2" t="e">
        <f ca="1">_xll.BDH($C$378,"TOTAL_DEBT_1_YEAR_GROWTH","FY 2015","FY 2015","Currency=INR","Period=FY","BEST_FPERIOD_OVERRIDE=FY","FILING_STATUS=OR","EQY_CONSOLIDATED=Y","Sort=A","Dates=H","DateFormat=P","Fill=—","Direction=H","UseDPDF=Y")</f>
        <v>#NAME?</v>
      </c>
      <c r="AI383" s="2" t="e">
        <f ca="1">_xll.BDH($C$378,"TOTAL_EQUITY_1_YEAR_GROWTH","FY 2015","FY 2015","Currency=INR","Period=FY","BEST_FPERIOD_OVERRIDE=FY","FILING_STATUS=OR","EQY_CONSOLIDATED=Y","Sort=A","Dates=H","DateFormat=P","Fill=—","Direction=H","UseDPDF=Y")</f>
        <v>#NAME?</v>
      </c>
      <c r="AJ383" s="2" t="e">
        <f ca="1">_xll.BDH($C$378,"GROWTH_IN_CAP","FY 2015","FY 2015","Currency=INR","Period=FY","BEST_FPERIOD_OVERRIDE=FY","FILING_STATUS=OR","EQY_CONSOLIDATED=Y","Sort=A","Dates=H","DateFormat=P","Fill=—","Direction=H","UseDPDF=Y")</f>
        <v>#NAME?</v>
      </c>
      <c r="AK383" s="2" t="e">
        <f ca="1">_xll.BDH($C$378,"BVPS_GROWTH","FY 2015","FY 2015","Currency=INR","Period=FY","BEST_FPERIOD_OVERRIDE=FY","FILING_STATUS=OR","EQY_CONSOLIDATED=Y","Sort=A","Dates=H","DateFormat=P","Fill=—","Direction=H","UseDPDF=Y")</f>
        <v>#NAME?</v>
      </c>
      <c r="AL383" s="2" t="e">
        <f ca="1">_xll.BDH($C$378,"CASH_FLOW_GROWTH","FY 2015","FY 2015","Currency=INR","Period=FY","BEST_FPERIOD_OVERRIDE=FY","FILING_STATUS=OR","EQY_CONSOLIDATED=Y","Sort=A","Dates=H","DateFormat=P","Fill=—","Direction=H","UseDPDF=Y")</f>
        <v>#NAME?</v>
      </c>
      <c r="AM383" s="2" t="e">
        <f ca="1">_xll.BDH($C$378,"GEO_GROW_NET_SALES","FY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383" s="2" t="e">
        <f ca="1">_xll.BDH($C$378,"GEO_GROW_EBITDA","FY 2015","FY 2015","Currency=INR","Period=FY","BEST_FPERIOD_OVERRIDE=FY","FILING_STATUS=OR","EQY_CONSOLIDATED=Y","FA_ADJUSTED=GAAP","Sort=A","Dates=H","DateFormat=P","Fill=—","Direction=H","UseDPDF=Y")</f>
        <v>#NAME?</v>
      </c>
      <c r="AO383" s="2" t="e">
        <f ca="1">_xll.BDH($C$378,"GEO_GROW_OPER_INC","FY 2015","FY 2015","Currency=INR","Period=FY","BEST_FPERIOD_OVERRIDE=FY","FILING_STATUS=OR","EQY_CONSOLIDATED=Y","FA_ADJUSTED=GAAP","Sort=A","Dates=H","DateFormat=P","Fill=—","Direction=H","UseDPDF=Y")</f>
        <v>#NAME?</v>
      </c>
      <c r="AP383" s="2" t="e">
        <f ca="1">_xll.BDH($C$378,"NET_INCOME_TO_COMMON_5_YR_GROWTH","FY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383" s="2" t="e">
        <f ca="1">_xll.BDH($C$378,"5Y_GEO_GROWTH_DILUTED_EPS","FY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383" s="2" t="e">
        <f ca="1">_xll.BDH($C$378,"GEO_GROW_DVD_PER_SH","FY 2015","FY 2015","Currency=INR","Period=FY","BEST_FPERIOD_OVERRIDE=FY","FILING_STATUS=OR","EQY_CONSOLIDATED=Y","Sort=A","Dates=H","DateFormat=P","Fill=—","Direction=H","UseDPDF=Y")</f>
        <v>#NAME?</v>
      </c>
      <c r="AS383" s="2" t="e">
        <f ca="1">_xll.BDH($C$378,"ACCOUNTS_RECEIVABLE_5_YR_GROWTH","FY 2015","FY 2015","Currency=INR","Period=FY","BEST_FPERIOD_OVERRIDE=FY","FILING_STATUS=OR","EQY_CONSOLIDATED=Y","Sort=A","Dates=H","DateFormat=P","Fill=—","Direction=H","UseDPDF=Y")</f>
        <v>#NAME?</v>
      </c>
      <c r="AT383" s="2" t="e">
        <f ca="1">_xll.BDH($C$378,"INVENTORY_5_YEAR_GROWTH","FY 2015","FY 2015","Currency=INR","Period=FY","BEST_FPERIOD_OVERRIDE=FY","FILING_STATUS=OR","EQY_CONSOLIDATED=Y","Sort=A","Dates=H","DateFormat=P","Fill=—","Direction=H","UseDPDF=Y")</f>
        <v>#NAME?</v>
      </c>
      <c r="AU383" s="2" t="e">
        <f ca="1">_xll.BDH($C$378,"NET_FIXED_ASSETS_5_YEAR_GROWTH","FY 2015","FY 2015","Currency=INR","Period=FY","BEST_FPERIOD_OVERRIDE=FY","FILING_STATUS=OR","EQY_CONSOLIDATED=Y","Sort=A","Dates=H","DateFormat=P","Fill=—","Direction=H","UseDPDF=Y")</f>
        <v>#NAME?</v>
      </c>
      <c r="AV383" s="2" t="e">
        <f ca="1">_xll.BDH($C$378,"GEO_GROW_TOT_ASSET","FY 2015","FY 2015","Currency=INR","Period=FY","BEST_FPERIOD_OVERRIDE=FY","FILING_STATUS=OR","EQY_CONSOLIDATED=Y","Sort=A","Dates=H","DateFormat=P","Fill=—","Direction=H","UseDPDF=Y")</f>
        <v>#NAME?</v>
      </c>
      <c r="AW383" s="2" t="e">
        <f ca="1">_xll.BDH($C$378,"MODIFIED_WORKING_CPTL_5YR_GRWTH","FY 2015","FY 2015","Currency=INR","Period=FY","BEST_FPERIOD_OVERRIDE=FY","FILING_STATUS=OR","EQY_CONSOLIDATED=Y","Sort=A","Dates=H","DateFormat=P","Fill=—","Direction=H","UseDPDF=Y")</f>
        <v>#NAME?</v>
      </c>
      <c r="AX383" s="2" t="e">
        <f ca="1">_xll.BDH($C$378,"WORKING_CAPITAL_5_YEAR_GROWTH","FY 2015","FY 2015","Currency=INR","Period=FY","BEST_FPERIOD_OVERRIDE=FY","FILING_STATUS=OR","EQY_CONSOLIDATED=Y","Sort=A","Dates=H","DateFormat=P","Fill=—","Direction=H","UseDPDF=Y")</f>
        <v>#NAME?</v>
      </c>
      <c r="AY383" s="2" t="e">
        <f ca="1">_xll.BDH($C$378,"ACCOUNTS_PAYABLE_5_YEAR_GROWTH","FY 2015","FY 2015","Currency=INR","Period=FY","BEST_FPERIOD_OVERRIDE=FY","FILING_STATUS=OR","EQY_CONSOLIDATED=Y","Sort=A","Dates=H","DateFormat=P","Fill=—","Direction=H","UseDPDF=Y")</f>
        <v>#NAME?</v>
      </c>
      <c r="AZ383" s="2" t="e">
        <f ca="1">_xll.BDH($C$378,"SHORT_TERM_DEBT_5_YEAR_GROWTH","FY 2015","FY 2015","Currency=INR","Period=FY","BEST_FPERIOD_OVERRIDE=FY","FILING_STATUS=OR","EQY_CONSOLIDATED=Y","Sort=A","Dates=H","DateFormat=P","Fill=—","Direction=H","UseDPDF=Y")</f>
        <v>#NAME?</v>
      </c>
      <c r="BA383" s="2" t="e">
        <f ca="1">_xll.BDH($C$378,"TOTAL_DEBT_5_YEAR_GROWTH","FY 2015","FY 2015","Currency=INR","Period=FY","BEST_FPERIOD_OVERRIDE=FY","FILING_STATUS=OR","EQY_CONSOLIDATED=Y","Sort=A","Dates=H","DateFormat=P","Fill=—","Direction=H","UseDPDF=Y")</f>
        <v>#NAME?</v>
      </c>
      <c r="BB383" s="2" t="e">
        <f ca="1">_xll.BDH($C$378,"GEO_GROW_TOT_SHRHLDR_EQY","FY 2015","FY 2015","Currency=INR","Period=FY","BEST_FPERIOD_OVERRIDE=FY","FILING_STATUS=OR","EQY_CONSOLIDATED=Y","Sort=A","Dates=H","DateFormat=P","Fill=—","Direction=H","UseDPDF=Y")</f>
        <v>#NAME?</v>
      </c>
      <c r="BC383" s="2" t="e">
        <f ca="1">_xll.BDH($C$378,"TOTAL_CAPITAL_5_YEAR_GROWTH","FY 2015","FY 2015","Currency=INR","Period=FY","BEST_FPERIOD_OVERRIDE=FY","FILING_STATUS=OR","EQY_CONSOLIDATED=Y","Sort=A","Dates=H","DateFormat=P","Fill=—","Direction=H","UseDPDF=Y")</f>
        <v>#NAME?</v>
      </c>
      <c r="BD383" s="2" t="e">
        <f ca="1">_xll.BDH($C$378,"GEO_GROW_BOOK_VAL","FY 2015","FY 2015","Currency=INR","Period=FY","BEST_FPERIOD_OVERRIDE=FY","FILING_STATUS=OR","EQY_CONSOLIDATED=Y","Sort=A","Dates=H","DateFormat=P","Fill=—","Direction=H","UseDPDF=Y")</f>
        <v>#NAME?</v>
      </c>
      <c r="BE383" s="2" t="e">
        <f ca="1">_xll.BDH($C$378,"GEO_GROW_CASH_OPER_ACT","FY 2015","FY 2015","Currency=INR","Period=FY","BEST_FPERIOD_OVERRIDE=FY","FILING_STATUS=OR","EQY_CONSOLIDATED=Y","Sort=A","Dates=H","DateFormat=P","Fill=—","Direction=H","UseDPDF=Y")</f>
        <v>#NAME?</v>
      </c>
      <c r="BF383" s="2" t="e">
        <f ca="1">_xll.BDH($C$378,"REVENUE_SEQUENTIAL_GROWTH","FY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383" s="2" t="e">
        <f ca="1">_xll.BDH($C$378,"EBITDA_SEQUENTIAL_GROWTH","FY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383" s="2" t="e">
        <f ca="1">_xll.BDH($C$378,"OPERATING_INCOME_SEQ_GROWTH","FY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383" s="2" t="e">
        <f ca="1">_xll.BDH($C$378,"NET_INCOME_TO_COMMON_SEQ_GROWTH","FY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383" s="2" t="e">
        <f ca="1">_xll.BDH($C$378,"EPS_DILUTED_SEQUENTIAL_GROWTH","FY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383" s="2" t="e">
        <f ca="1">_xll.BDH($C$378,"DPS_SEQUENTIAL_GROWTH","FY 2015","FY 2015","Currency=INR","Period=FY","BEST_FPERIOD_OVERRIDE=FY","FILING_STATUS=OR","EQY_CONSOLIDATED=Y","Sort=A","Dates=H","DateFormat=P","Fill=—","Direction=H","UseDPDF=Y")</f>
        <v>#NAME?</v>
      </c>
      <c r="BL383" s="2" t="e">
        <f ca="1">_xll.BDH($C$378,"ACCOUNTS_RECEIVABLE_SEQ_GROWTH","FY 2015","FY 2015","Currency=INR","Period=FY","BEST_FPERIOD_OVERRIDE=FY","FILING_STATUS=OR","EQY_CONSOLIDATED=Y","Sort=A","Dates=H","DateFormat=P","Fill=—","Direction=H","UseDPDF=Y")</f>
        <v>#NAME?</v>
      </c>
      <c r="BM383" s="2" t="e">
        <f ca="1">_xll.BDH($C$378,"INVENTORY_SEQUENTIAL_GROWTH","FY 2015","FY 2015","Currency=INR","Period=FY","BEST_FPERIOD_OVERRIDE=FY","FILING_STATUS=OR","EQY_CONSOLIDATED=Y","Sort=A","Dates=H","DateFormat=P","Fill=—","Direction=H","UseDPDF=Y")</f>
        <v>#NAME?</v>
      </c>
      <c r="BN383" s="2" t="e">
        <f ca="1">_xll.BDH($C$378,"FIXED_ASSETS_SEQUENTIAL_GROWTH","FY 2015","FY 2015","Currency=INR","Period=FY","BEST_FPERIOD_OVERRIDE=FY","FILING_STATUS=OR","EQY_CONSOLIDATED=Y","Sort=A","Dates=H","DateFormat=P","Fill=—","Direction=H","UseDPDF=Y")</f>
        <v>#NAME?</v>
      </c>
      <c r="BO383" s="2" t="e">
        <f ca="1">_xll.BDH($C$378,"TOTAL_ASSETS_SEQUENTIAL_GROWTH","FY 2015","FY 2015","Currency=INR","Period=FY","BEST_FPERIOD_OVERRIDE=FY","FILING_STATUS=OR","EQY_CONSOLIDATED=Y","Sort=A","Dates=H","DateFormat=P","Fill=—","Direction=H","UseDPDF=Y")</f>
        <v>#NAME?</v>
      </c>
      <c r="BP383" s="2" t="e">
        <f ca="1">_xll.BDH($C$378,"MODIFIED_WORKING_CPTL_SEQ_GRWTH","FY 2015","FY 2015","Currency=INR","Period=FY","BEST_FPERIOD_OVERRIDE=FY","FILING_STATUS=OR","EQY_CONSOLIDATED=Y","Sort=A","Dates=H","DateFormat=P","Fill=—","Direction=H","UseDPDF=Y")</f>
        <v>#NAME?</v>
      </c>
      <c r="BQ383" s="2" t="e">
        <f ca="1">_xll.BDH($C$378,"WORKING_CAPITAL_SEQ_GROWTH","FY 2015","FY 2015","Currency=INR","Period=FY","BEST_FPERIOD_OVERRIDE=FY","FILING_STATUS=OR","EQY_CONSOLIDATED=Y","Sort=A","Dates=H","DateFormat=P","Fill=—","Direction=H","UseDPDF=Y")</f>
        <v>#NAME?</v>
      </c>
      <c r="BR383" s="2" t="e">
        <f ca="1">_xll.BDH($C$378,"ACCOUNTS_PAYABLE_SEQ_GROWTH","FY 2015","FY 2015","Currency=INR","Period=FY","BEST_FPERIOD_OVERRIDE=FY","FILING_STATUS=OR","EQY_CONSOLIDATED=Y","Sort=A","Dates=H","DateFormat=P","Fill=—","Direction=H","UseDPDF=Y")</f>
        <v>#NAME?</v>
      </c>
      <c r="BS383" s="2" t="e">
        <f ca="1">_xll.BDH($C$378,"ST_DEBT_SEQUENTIAL_GROWTH","FY 2015","FY 2015","Currency=INR","Period=FY","BEST_FPERIOD_OVERRIDE=FY","FILING_STATUS=OR","EQY_CONSOLIDATED=Y","Sort=A","Dates=H","DateFormat=P","Fill=—","Direction=H","UseDPDF=Y")</f>
        <v>#NAME?</v>
      </c>
      <c r="BT383" s="2" t="e">
        <f ca="1">_xll.BDH($C$378,"TOTAL_DEBT_SEQUENTIAL_GROWTH","FY 2015","FY 2015","Currency=INR","Period=FY","BEST_FPERIOD_OVERRIDE=FY","FILING_STATUS=OR","EQY_CONSOLIDATED=Y","Sort=A","Dates=H","DateFormat=P","Fill=—","Direction=H","UseDPDF=Y")</f>
        <v>#NAME?</v>
      </c>
      <c r="BU383" s="2" t="e">
        <f ca="1">_xll.BDH($C$378,"TOTAL_EQUITY_SEQUENTIAL_GROWTH","FY 2015","FY 2015","Currency=INR","Period=FY","BEST_FPERIOD_OVERRIDE=FY","FILING_STATUS=OR","EQY_CONSOLIDATED=Y","Sort=A","Dates=H","DateFormat=P","Fill=—","Direction=H","UseDPDF=Y")</f>
        <v>#NAME?</v>
      </c>
      <c r="BV383" s="2" t="e">
        <f ca="1">_xll.BDH($C$378,"TOTAL_CAPITAL_SEQUENTIAL_GROWTH","FY 2015","FY 2015","Currency=INR","Period=FY","BEST_FPERIOD_OVERRIDE=FY","FILING_STATUS=OR","EQY_CONSOLIDATED=Y","Sort=A","Dates=H","DateFormat=P","Fill=—","Direction=H","UseDPDF=Y")</f>
        <v>#NAME?</v>
      </c>
      <c r="BW383" s="2" t="e">
        <f ca="1">_xll.BDH($C$378,"BPS_SEQUENTIAL_GROWTH","FY 2015","FY 2015","Currency=INR","Period=FY","BEST_FPERIOD_OVERRIDE=FY","FILING_STATUS=OR","EQY_CONSOLIDATED=Y","Sort=A","Dates=H","DateFormat=P","Fill=—","Direction=H","UseDPDF=Y")</f>
        <v>#NAME?</v>
      </c>
      <c r="BX383" s="2" t="e">
        <f ca="1">_xll.BDH($C$378,"CFO_SEQUENTIAL_GROWTH","FY 2015","FY 2015","Currency=INR","Period=FY","BEST_FPERIOD_OVERRIDE=FY","FILING_STATUS=OR","EQY_CONSOLIDATED=Y","Sort=A","Dates=H","DateFormat=P","Fill=—","Direction=H","UseDPDF=Y")</f>
        <v>#NAME?</v>
      </c>
      <c r="BY383" s="3" t="e">
        <f ca="1">_xll.BDH($C$378,"SHORT_AND_LONG_TERM_DEBT","FY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383" s="3" t="e">
        <f ca="1">_xll.BDH($C$378,"BS_ST_BORROW","FY 2015","FY 2015","Currency=INR","Period=FY","BEST_FPERIOD_OVERRIDE=FY","FILING_STATUS=OR","EQY_CONSOLIDATED=Y","SCALING_FORMAT=MLN","Sort=A","Dates=H","DateFormat=P","Fill=—","Direction=H","UseDPDF=Y")</f>
        <v>#NAME?</v>
      </c>
      <c r="CA383" s="3" t="e">
        <f ca="1">_xll.BDH($C$378,"BS_LT_BORROW","FY 2015","FY 2015","Currency=INR","Period=FY","BEST_FPERIOD_OVERRIDE=FY","FILING_STATUS=OR","EQY_CONSOLIDATED=Y","SCALING_FORMAT=MLN","Sort=A","Dates=H","DateFormat=P","Fill=—","Direction=H","UseDPDF=Y")</f>
        <v>#NAME?</v>
      </c>
      <c r="CB383" s="2" t="e">
        <f ca="1">_xll.BDH($C$378,"TOT_DEBT_TO_EBITDA","FY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383" s="2" t="e">
        <f ca="1">_xll.BDH($C$378,"NET_DEBT_TO_EBITDA","FY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383" s="2" t="e">
        <f ca="1">_xll.BDH($C$378,"TOTAL_DEBT_TO_EBIT","FY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383" s="2" t="e">
        <f ca="1">_xll.BDH($C$378,"NET_DEBT_TO_EBIT","FY 2015","FY 2015","Currency=INR","Period=FY","BEST_FPERIOD_OVERRIDE=FY","FILING_STATUS=OR","EQY_CONSOLIDATED=Y","FA_ADJUSTED=GAAP","Sort=A","Dates=H","DateFormat=P","Fill=—","Direction=H","UseDPDF=Y")</f>
        <v>#NAME?</v>
      </c>
      <c r="CF383" s="2" t="e">
        <f ca="1">_xll.BDH($C$378,"EBITDA_TO_INTEREST_EXPN","FY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383" s="2" t="e">
        <f ca="1">_xll.BDH($C$378,"COM_EQY_TO_TOT_ASSET","FY 2015","FY 2015","Currency=INR","Period=FY","BEST_FPERIOD_OVERRIDE=FY","FILING_STATUS=OR","EQY_CONSOLIDATED=Y","Sort=A","Dates=H","DateFormat=P","Fill=—","Direction=H","UseDPDF=Y")</f>
        <v>#NAME?</v>
      </c>
      <c r="CH383" s="2" t="e">
        <f ca="1">_xll.BDH($C$378,"LT_DEBT_TO_TOT_EQY","FY 2015","FY 2015","Currency=INR","Period=FY","BEST_FPERIOD_OVERRIDE=FY","FILING_STATUS=OR","EQY_CONSOLIDATED=Y","Sort=A","Dates=H","DateFormat=P","Fill=—","Direction=H","UseDPDF=Y")</f>
        <v>#NAME?</v>
      </c>
      <c r="CI383" s="2" t="e">
        <f ca="1">_xll.BDH($C$378,"LT_DEBT_TO_TOT_CAP","FY 2015","FY 2015","Currency=INR","Period=FY","BEST_FPERIOD_OVERRIDE=FY","FILING_STATUS=OR","EQY_CONSOLIDATED=Y","Sort=A","Dates=H","DateFormat=P","Fill=—","Direction=H","UseDPDF=Y")</f>
        <v>#NAME?</v>
      </c>
      <c r="CJ383" s="2" t="e">
        <f ca="1">_xll.BDH($C$378,"LT_DEBT_TO_TOT_ASSET","FY 2015","FY 2015","Currency=INR","Period=FY","BEST_FPERIOD_OVERRIDE=FY","FILING_STATUS=OR","EQY_CONSOLIDATED=Y","Sort=A","Dates=H","DateFormat=P","Fill=—","Direction=H","UseDPDF=Y")</f>
        <v>#NAME?</v>
      </c>
      <c r="CK383" s="2" t="e">
        <f ca="1">_xll.BDH($C$378,"TOT_DEBT_TO_TOT_EQY","FY 2015","FY 2015","Currency=INR","Period=FY","BEST_FPERIOD_OVERRIDE=FY","FILING_STATUS=OR","EQY_CONSOLIDATED=Y","Sort=A","Dates=H","DateFormat=P","Fill=—","Direction=H","UseDPDF=Y")</f>
        <v>#NAME?</v>
      </c>
      <c r="CL383" s="2" t="e">
        <f ca="1">_xll.BDH($C$378,"TOT_DEBT_TO_TOT_CAP","FY 2015","FY 2015","Currency=INR","Period=FY","BEST_FPERIOD_OVERRIDE=FY","FILING_STATUS=OR","EQY_CONSOLIDATED=Y","Sort=A","Dates=H","DateFormat=P","Fill=—","Direction=H","UseDPDF=Y")</f>
        <v>#NAME?</v>
      </c>
      <c r="CM383" s="2" t="e">
        <f ca="1">_xll.BDH($C$378,"TOT_DEBT_TO_TOT_ASSET","FY 2015","FY 2015","Currency=INR","Period=FY","BEST_FPERIOD_OVERRIDE=FY","FILING_STATUS=OR","EQY_CONSOLIDATED=Y","Sort=A","Dates=H","DateFormat=P","Fill=—","Direction=H","UseDPDF=Y")</f>
        <v>#NAME?</v>
      </c>
      <c r="CN383" s="2" t="e">
        <f ca="1">_xll.BDH($C$378,"NET_DEBT_TO_SHRHLDR_EQTY","FY 2015","FY 2015","Currency=INR","Period=FY","BEST_FPERIOD_OVERRIDE=FY","FILING_STATUS=OR","EQY_CONSOLIDATED=Y","Sort=A","Dates=H","DateFormat=P","Fill=—","Direction=H","UseDPDF=Y")</f>
        <v>#NAME?</v>
      </c>
      <c r="CO383" s="2" t="e">
        <f ca="1">_xll.BDH($C$378,"NET_DEBT_%_CAPITAL","FY 2015","FY 2015","Currency=INR","Period=FY","BEST_FPERIOD_OVERRIDE=FY","FILING_STATUS=OR","EQY_CONSOLIDATED=Y","Sort=A","Dates=H","DateFormat=P","Fill=—","Direction=H","UseDPDF=Y")</f>
        <v>#NAME?</v>
      </c>
      <c r="CP383" s="3" t="e">
        <f ca="1">_xll.BDH($C$378,"EBITDA","FY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383" s="3" t="e">
        <f ca="1">_xll.BDH($C$378,"EBITDA_AFTER_CAPEX","FY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383" s="3" t="e">
        <f ca="1">_xll.BDH($C$378,"IS_OPER_INC","FY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383" s="2" t="e">
        <f ca="1">_xll.BDH($C$378,"CASH_RATIO","FY 2015","FY 2015","Currency=INR","Period=FY","BEST_FPERIOD_OVERRIDE=FY","FILING_STATUS=OR","EQY_CONSOLIDATED=Y","Sort=A","Dates=H","DateFormat=P","Fill=—","Direction=H","UseDPDF=Y")</f>
        <v>#NAME?</v>
      </c>
      <c r="CT383" s="2" t="e">
        <f ca="1">_xll.BDH($C$378,"CUR_RATIO","FY 2015","FY 2015","Currency=INR","Period=FY","BEST_FPERIOD_OVERRIDE=FY","FILING_STATUS=OR","EQY_CONSOLIDATED=Y","Sort=A","Dates=H","DateFormat=P","Fill=—","Direction=H","UseDPDF=Y")</f>
        <v>#NAME?</v>
      </c>
      <c r="CU383" s="2" t="e">
        <f ca="1">_xll.BDH($C$378,"QUICK_RATIO","FY 2015","FY 2015","Currency=INR","Period=FY","BEST_FPERIOD_OVERRIDE=FY","FILING_STATUS=OR","EQY_CONSOLIDATED=Y","Sort=A","Dates=H","DateFormat=P","Fill=—","Direction=H","UseDPDF=Y")</f>
        <v>#NAME?</v>
      </c>
      <c r="CV383" s="2" t="e">
        <f ca="1">_xll.BDH($C$378,"ALTMAN_Z_SCORE","FY 2015","FY 2015","Currency=INR","Period=FY","BEST_FPERIOD_OVERRIDE=FY","FILING_STATUS=OR","EQY_CONSOLIDATED=Y","Sort=A","Dates=H","DateFormat=P","Fill=—","Direction=H","UseDPDF=Y")</f>
        <v>#NAME?</v>
      </c>
      <c r="CW383" s="4" t="e">
        <f ca="1">_xll.BDH($C$378,"ACCT_RCV_TURN","FY 2015","FY 2015","Currency=INR","Period=FY","BEST_FPERIOD_OVERRIDE=FY","FILING_STATUS=OR","EQY_CONSOLIDATED=Y","FA_ADJUSTED=GAAP","Sort=A","Dates=H","DateFormat=P","Fill=—","Direction=H","UseDPDF=Y")</f>
        <v>#NAME?</v>
      </c>
      <c r="CX383" s="2" t="e">
        <f ca="1">_xll.BDH($C$378,"ACCT_RCV_DAYS","FY 2015","FY 2015","Currency=INR","Period=FY","BEST_FPERIOD_OVERRIDE=FY","FILING_STATUS=OR","EQY_CONSOLIDATED=Y","FA_ADJUSTED=GAAP","Sort=A","Dates=H","DateFormat=P","Fill=—","Direction=H","UseDPDF=Y")</f>
        <v>#NAME?</v>
      </c>
      <c r="CY383" s="4" t="e">
        <f ca="1">_xll.BDH($C$378,"INVENT_TURN","FY 2015","FY 2015","Currency=INR","Period=FY","BEST_FPERIOD_OVERRIDE=FY","FILING_STATUS=OR","EQY_CONSOLIDATED=Y","FA_ADJUSTED=GAAP","Sort=A","Dates=H","DateFormat=P","Fill=—","Direction=H","UseDPDF=Y")</f>
        <v>#NAME?</v>
      </c>
      <c r="CZ383" s="2" t="e">
        <f ca="1">_xll.BDH($C$378,"INVENT_DAYS","FY 2015","FY 2015","Currency=INR","Period=FY","BEST_FPERIOD_OVERRIDE=FY","FILING_STATUS=OR","EQY_CONSOLIDATED=Y","FA_ADJUSTED=GAAP","Sort=A","Dates=H","DateFormat=P","Fill=—","Direction=H","UseDPDF=Y")</f>
        <v>#NAME?</v>
      </c>
      <c r="DA383" s="4" t="e">
        <f ca="1">_xll.BDH($C$378,"ACCOUNTS_PAYABLE_TURNOVER","FY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383" s="2" t="e">
        <f ca="1">_xll.BDH($C$378,"ACCOUNTS_PAYABLE_TURNOVER_DAYS","FY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383" s="4" t="e">
        <f ca="1">_xll.BDH($C$378,"CASH_CONVERSION_CYCLE","FY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383" s="4" t="e">
        <f ca="1">_xll.BDH($C$378,"INV_TO_CASH_DAYS","FY 2015","FY 2015","Currency=INR","Period=FY","BEST_FPERIOD_OVERRIDE=FY","FILING_STATUS=OR","EQY_CONSOLIDATED=Y","FA_ADJUSTED=GAAP","Sort=A","Dates=H","DateFormat=P","Fill=—","Direction=H","UseDPDF=Y")</f>
        <v>#NAME?</v>
      </c>
      <c r="DE383" s="5" t="e">
        <f ca="1">_xll.BDH($C$378,"BS_INVENTORIES","FY 2015","FY 2015","Currency=INR","Period=FY","BEST_FPERIOD_OVERRIDE=FY","FILING_STATUS=OR","EQY_CONSOLIDATED=Y","SCALING_FORMAT=MLN","Sort=A","Dates=H","DateFormat=P","Fill=—","Direction=H","UseDPDF=Y")</f>
        <v>#NAME?</v>
      </c>
      <c r="DF383" s="3" t="e">
        <f ca="1">_xll.BDH($C$378,"INVTRY_RAW_MATERIALS","FY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383" s="3" t="e">
        <f ca="1">_xll.BDH($C$378,"INVTRY_IN_PROGRESS","FY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383" s="3" t="e">
        <f ca="1">_xll.BDH($C$378,"INVTRY_FINISHED_GOODS","FY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383" s="3" t="e">
        <f ca="1">_xll.BDH($C$378,"BS_OTHER_INV","FY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384" spans="1:113" x14ac:dyDescent="0.3">
      <c r="A384" s="6"/>
      <c r="B384" s="6"/>
      <c r="C384" s="6"/>
      <c r="D384" s="6"/>
      <c r="E384" t="s">
        <v>78</v>
      </c>
      <c r="F384" t="e">
        <f ca="1">_xll.BDH($C$378,"RETURN_COM_EQY","FQ1 2015","FQ1 2015","Currency=INR","Period=FQ","BEST_FPERIOD_OVERRIDE=FQ","FILING_STATUS=OR","EQY_CONSOLIDATED=Y","FA_ADJUSTED=GAAP","Sort=A","Dates=H","DateFormat=P","Fill=—","Direction=H","UseDPDF=Y")</f>
        <v>#NAME?</v>
      </c>
      <c r="G384" t="e">
        <f ca="1">_xll.BDH($C$378,"RETURN_ON_ASSET","FQ1 2015","FQ1 2015","Currency=INR","Period=FQ","BEST_FPERIOD_OVERRIDE=FQ","FILING_STATUS=OR","EQY_CONSOLIDATED=Y","FA_ADJUSTED=GAAP","Sort=A","Dates=H","DateFormat=P","Fill=—","Direction=H","UseDPDF=Y")</f>
        <v>#NAME?</v>
      </c>
      <c r="H384" t="e">
        <f ca="1">_xll.BDH($C$378,"RETURN_ON_CAP","FQ1 2015","FQ1 2015","Currency=INR","Period=FQ","BEST_FPERIOD_OVERRIDE=FQ","FILING_STATUS=OR","EQY_CONSOLIDATED=Y","FA_ADJUSTED=GAAP","Sort=A","Dates=H","DateFormat=P","Fill=—","Direction=H","UseDPDF=Y")</f>
        <v>#NAME?</v>
      </c>
      <c r="I384" t="e">
        <f ca="1">_xll.BDH($C$378,"RETURN_ON_INV_CAPITAL","FQ1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384" t="e">
        <f ca="1">_xll.BDH($C$378,"EBITDA_TO_REVENUE","FQ1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384" t="e">
        <f ca="1">_xll.BDH($C$378,"OPER_MARGIN","FQ1 2015","FQ1 2015","Currency=INR","Period=FQ","BEST_FPERIOD_OVERRIDE=FQ","FILING_STATUS=OR","EQY_CONSOLIDATED=Y","FA_ADJUSTED=GAAP","Sort=A","Dates=H","DateFormat=P","Fill=—","Direction=H","UseDPDF=Y")</f>
        <v>#NAME?</v>
      </c>
      <c r="L384" t="e">
        <f ca="1">_xll.BDH($C$378,"INCREMENTAL_OPERATING_MARGIN","FQ1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384" t="e">
        <f ca="1">_xll.BDH($C$378,"PRETAX_INC_TO_NET_SALES","FQ1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384" t="e">
        <f ca="1">_xll.BDH($C$378,"INC_BEF_XO_ITEMS_TO_NET_SALES","FQ1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384" t="e">
        <f ca="1">_xll.BDH($C$378,"PROF_MARGIN","FQ1 2015","FQ1 2015","Currency=INR","Period=FQ","BEST_FPERIOD_OVERRIDE=FQ","FILING_STATUS=OR","EQY_CONSOLIDATED=Y","FA_ADJUSTED=GAAP","Sort=A","Dates=H","DateFormat=P","Fill=—","Direction=H","UseDPDF=Y")</f>
        <v>#NAME?</v>
      </c>
      <c r="P384" t="e">
        <f ca="1">_xll.BDH($C$378,"NET_INCOME_TO_COMMON_MARGIN","FQ1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384" t="e">
        <f ca="1">_xll.BDH($C$378,"EFF_TAX_RATE","FQ1 2015","FQ1 2015","Currency=INR","Period=FQ","BEST_FPERIOD_OVERRIDE=FQ","FILING_STATUS=OR","EQY_CONSOLIDATED=Y","FA_ADJUSTED=GAAP","Sort=A","Dates=H","DateFormat=P","Fill=—","Direction=H","UseDPDF=Y")</f>
        <v>#NAME?</v>
      </c>
      <c r="R384" t="e">
        <f ca="1">_xll.BDH($C$378,"DVD_PAYOUT_RATIO","FQ1 2015","FQ1 2015","Currency=INR","Period=FQ","BEST_FPERIOD_OVERRIDE=FQ","FILING_STATUS=OR","EQY_CONSOLIDATED=Y","FA_ADJUSTED=GAAP","Sort=A","Dates=H","DateFormat=P","Fill=—","Direction=H","UseDPDF=Y")</f>
        <v>#NAME?</v>
      </c>
      <c r="S384" t="e">
        <f ca="1">_xll.BDH($C$378,"SUSTAIN_GROWTH_RT","FQ1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384" s="2" t="e">
        <f ca="1">_xll.BDH($C$378,"SALES_GROWTH","FQ1 2015","FQ1 2015","Currency=INR","Period=FQ","BEST_FPERIOD_OVERRIDE=FQ","FILING_STATUS=OR","EQY_CONSOLIDATED=Y","FA_ADJUSTED=GAAP","Sort=A","Dates=H","DateFormat=P","Fill=—","Direction=H","UseDPDF=Y")</f>
        <v>#NAME?</v>
      </c>
      <c r="U384" s="2" t="e">
        <f ca="1">_xll.BDH($C$378,"EBITDA_GROWTH","FQ1 2015","FQ1 2015","Currency=INR","Period=FQ","BEST_FPERIOD_OVERRIDE=FQ","FILING_STATUS=OR","EQY_CONSOLIDATED=Y","FA_ADJUSTED=GAAP","Sort=A","Dates=H","DateFormat=P","Fill=—","Direction=H","UseDPDF=Y")</f>
        <v>#NAME?</v>
      </c>
      <c r="V384" s="2" t="e">
        <f ca="1">_xll.BDH($C$378,"OPER_INC_GROWTH","FQ1 2015","FQ1 2015","Currency=INR","Period=FQ","BEST_FPERIOD_OVERRIDE=FQ","FILING_STATUS=OR","EQY_CONSOLIDATED=Y","FA_ADJUSTED=GAAP","Sort=A","Dates=H","DateFormat=P","Fill=—","Direction=H","UseDPDF=Y")</f>
        <v>#NAME?</v>
      </c>
      <c r="W384" s="2" t="e">
        <f ca="1">_xll.BDH($C$378,"EARN_FOR_COM_GROWTH","FQ1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384" s="2" t="e">
        <f ca="1">_xll.BDH($C$378,"DILUTED_EPS_AFT_XO_ITEMS_GROWTH","FQ1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384" s="2" t="e">
        <f ca="1">_xll.BDH($C$378,"DIVIDEND_PER_SHARE_1_YEAR_GROWTH","FQ1 2015","FQ1 2015","Currency=INR","Period=FQ","BEST_FPERIOD_OVERRIDE=FQ","FILING_STATUS=OR","EQY_CONSOLIDATED=Y","Sort=A","Dates=H","DateFormat=P","Fill=—","Direction=H","UseDPDF=Y")</f>
        <v>#NAME?</v>
      </c>
      <c r="Z384" s="2" t="e">
        <f ca="1">_xll.BDH($C$378,"ACCOUNTS_RECEIVABLE_GROWTH","FQ1 2015","FQ1 2015","Currency=INR","Period=FQ","BEST_FPERIOD_OVERRIDE=FQ","FILING_STATUS=OR","EQY_CONSOLIDATED=Y","Sort=A","Dates=H","DateFormat=P","Fill=—","Direction=H","UseDPDF=Y")</f>
        <v>#NAME?</v>
      </c>
      <c r="AA384" s="2" t="e">
        <f ca="1">_xll.BDH($C$378,"INVENTORY_GROWTH","FQ1 2015","FQ1 2015","Currency=INR","Period=FQ","BEST_FPERIOD_OVERRIDE=FQ","FILING_STATUS=OR","EQY_CONSOLIDATED=Y","Sort=A","Dates=H","DateFormat=P","Fill=—","Direction=H","UseDPDF=Y")</f>
        <v>#NAME?</v>
      </c>
      <c r="AB384" s="2" t="e">
        <f ca="1">_xll.BDH($C$378,"NET_FIXED_ASSETS_1_YEAR_GROWTH","FQ1 2015","FQ1 2015","Currency=INR","Period=FQ","BEST_FPERIOD_OVERRIDE=FQ","FILING_STATUS=OR","EQY_CONSOLIDATED=Y","Sort=A","Dates=H","DateFormat=P","Fill=—","Direction=H","UseDPDF=Y")</f>
        <v>#NAME?</v>
      </c>
      <c r="AC384" s="2" t="e">
        <f ca="1">_xll.BDH($C$378,"ASSET_GROWTH","FQ1 2015","FQ1 2015","Currency=INR","Period=FQ","BEST_FPERIOD_OVERRIDE=FQ","FILING_STATUS=OR","EQY_CONSOLIDATED=Y","Sort=A","Dates=H","DateFormat=P","Fill=—","Direction=H","UseDPDF=Y")</f>
        <v>#NAME?</v>
      </c>
      <c r="AD384" s="2" t="e">
        <f ca="1">_xll.BDH($C$378,"MODIFIED_WORK_CAP_GROWTH","FQ1 2015","FQ1 2015","Currency=INR","Period=FQ","BEST_FPERIOD_OVERRIDE=FQ","FILING_STATUS=OR","EQY_CONSOLIDATED=Y","Sort=A","Dates=H","DateFormat=P","Fill=—","Direction=H","UseDPDF=Y")</f>
        <v>#NAME?</v>
      </c>
      <c r="AE384" s="2" t="e">
        <f ca="1">_xll.BDH($C$378,"WORK_CAP_GROWTH","FQ1 2015","FQ1 2015","Currency=INR","Period=FQ","BEST_FPERIOD_OVERRIDE=FQ","FILING_STATUS=OR","EQY_CONSOLIDATED=Y","Sort=A","Dates=H","DateFormat=P","Fill=—","Direction=H","UseDPDF=Y")</f>
        <v>#NAME?</v>
      </c>
      <c r="AF384" s="2" t="e">
        <f ca="1">_xll.BDH($C$378,"ACCOUNTS_PAYABLE_GROWTH_1YR","FQ1 2015","FQ1 2015","Currency=INR","Period=FQ","BEST_FPERIOD_OVERRIDE=FQ","FILING_STATUS=OR","EQY_CONSOLIDATED=Y","Sort=A","Dates=H","DateFormat=P","Fill=—","Direction=H","UseDPDF=Y")</f>
        <v>#NAME?</v>
      </c>
      <c r="AG384" s="2" t="e">
        <f ca="1">_xll.BDH($C$378,"SHORT_TERM_DEBT_1_YEAR_GROWTH","FQ1 2015","FQ1 2015","Currency=INR","Period=FQ","BEST_FPERIOD_OVERRIDE=FQ","FILING_STATUS=OR","EQY_CONSOLIDATED=Y","Sort=A","Dates=H","DateFormat=P","Fill=—","Direction=H","UseDPDF=Y")</f>
        <v>#NAME?</v>
      </c>
      <c r="AH384" s="2" t="e">
        <f ca="1">_xll.BDH($C$378,"TOTAL_DEBT_1_YEAR_GROWTH","FQ1 2015","FQ1 2015","Currency=INR","Period=FQ","BEST_FPERIOD_OVERRIDE=FQ","FILING_STATUS=OR","EQY_CONSOLIDATED=Y","Sort=A","Dates=H","DateFormat=P","Fill=—","Direction=H","UseDPDF=Y")</f>
        <v>#NAME?</v>
      </c>
      <c r="AI384" s="2" t="e">
        <f ca="1">_xll.BDH($C$378,"TOTAL_EQUITY_1_YEAR_GROWTH","FQ1 2015","FQ1 2015","Currency=INR","Period=FQ","BEST_FPERIOD_OVERRIDE=FQ","FILING_STATUS=OR","EQY_CONSOLIDATED=Y","Sort=A","Dates=H","DateFormat=P","Fill=—","Direction=H","UseDPDF=Y")</f>
        <v>#NAME?</v>
      </c>
      <c r="AJ384" s="2" t="e">
        <f ca="1">_xll.BDH($C$378,"GROWTH_IN_CAP","FQ1 2015","FQ1 2015","Currency=INR","Period=FQ","BEST_FPERIOD_OVERRIDE=FQ","FILING_STATUS=OR","EQY_CONSOLIDATED=Y","Sort=A","Dates=H","DateFormat=P","Fill=—","Direction=H","UseDPDF=Y")</f>
        <v>#NAME?</v>
      </c>
      <c r="AK384" s="2" t="e">
        <f ca="1">_xll.BDH($C$378,"BVPS_GROWTH","FQ1 2015","FQ1 2015","Currency=INR","Period=FQ","BEST_FPERIOD_OVERRIDE=FQ","FILING_STATUS=OR","EQY_CONSOLIDATED=Y","Sort=A","Dates=H","DateFormat=P","Fill=—","Direction=H","UseDPDF=Y")</f>
        <v>#NAME?</v>
      </c>
      <c r="AL384" s="2" t="e">
        <f ca="1">_xll.BDH($C$378,"CASH_FLOW_GROWTH","FQ1 2015","FQ1 2015","Currency=INR","Period=FQ","BEST_FPERIOD_OVERRIDE=FQ","FILING_STATUS=OR","EQY_CONSOLIDATED=Y","Sort=A","Dates=H","DateFormat=P","Fill=—","Direction=H","UseDPDF=Y")</f>
        <v>#NAME?</v>
      </c>
      <c r="AM384" s="2" t="e">
        <f ca="1">_xll.BDH($C$378,"GEO_GROW_NET_SALES","FQ1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384" s="2" t="e">
        <f ca="1">_xll.BDH($C$378,"GEO_GROW_EBITDA","FQ1 2015","FQ1 2015","Currency=INR","Period=FQ","BEST_FPERIOD_OVERRIDE=FQ","FILING_STATUS=OR","EQY_CONSOLIDATED=Y","FA_ADJUSTED=GAAP","Sort=A","Dates=H","DateFormat=P","Fill=—","Direction=H","UseDPDF=Y")</f>
        <v>#NAME?</v>
      </c>
      <c r="AO384" s="2" t="e">
        <f ca="1">_xll.BDH($C$378,"GEO_GROW_OPER_INC","FQ1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384" s="2" t="e">
        <f ca="1">_xll.BDH($C$378,"NET_INCOME_TO_COMMON_5_YR_GROWTH","FQ1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384" s="2" t="e">
        <f ca="1">_xll.BDH($C$378,"5Y_GEO_GROWTH_DILUTED_EPS","FQ1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384" s="2" t="e">
        <f ca="1">_xll.BDH($C$378,"GEO_GROW_DVD_PER_SH","FQ1 2015","FQ1 2015","Currency=INR","Period=FQ","BEST_FPERIOD_OVERRIDE=FQ","FILING_STATUS=OR","EQY_CONSOLIDATED=Y","Sort=A","Dates=H","DateFormat=P","Fill=—","Direction=H","UseDPDF=Y")</f>
        <v>#NAME?</v>
      </c>
      <c r="AS384" s="2" t="e">
        <f ca="1">_xll.BDH($C$378,"ACCOUNTS_RECEIVABLE_5_YR_GROWTH","FQ1 2015","FQ1 2015","Currency=INR","Period=FQ","BEST_FPERIOD_OVERRIDE=FQ","FILING_STATUS=OR","EQY_CONSOLIDATED=Y","Sort=A","Dates=H","DateFormat=P","Fill=—","Direction=H","UseDPDF=Y")</f>
        <v>#NAME?</v>
      </c>
      <c r="AT384" s="2" t="e">
        <f ca="1">_xll.BDH($C$378,"INVENTORY_5_YEAR_GROWTH","FQ1 2015","FQ1 2015","Currency=INR","Period=FQ","BEST_FPERIOD_OVERRIDE=FQ","FILING_STATUS=OR","EQY_CONSOLIDATED=Y","Sort=A","Dates=H","DateFormat=P","Fill=—","Direction=H","UseDPDF=Y")</f>
        <v>#NAME?</v>
      </c>
      <c r="AU384" s="2" t="e">
        <f ca="1">_xll.BDH($C$378,"NET_FIXED_ASSETS_5_YEAR_GROWTH","FQ1 2015","FQ1 2015","Currency=INR","Period=FQ","BEST_FPERIOD_OVERRIDE=FQ","FILING_STATUS=OR","EQY_CONSOLIDATED=Y","Sort=A","Dates=H","DateFormat=P","Fill=—","Direction=H","UseDPDF=Y")</f>
        <v>#NAME?</v>
      </c>
      <c r="AV384" s="2" t="e">
        <f ca="1">_xll.BDH($C$378,"GEO_GROW_TOT_ASSET","FQ1 2015","FQ1 2015","Currency=INR","Period=FQ","BEST_FPERIOD_OVERRIDE=FQ","FILING_STATUS=OR","EQY_CONSOLIDATED=Y","Sort=A","Dates=H","DateFormat=P","Fill=—","Direction=H","UseDPDF=Y")</f>
        <v>#NAME?</v>
      </c>
      <c r="AW384" s="2" t="e">
        <f ca="1">_xll.BDH($C$378,"MODIFIED_WORKING_CPTL_5YR_GRWTH","FQ1 2015","FQ1 2015","Currency=INR","Period=FQ","BEST_FPERIOD_OVERRIDE=FQ","FILING_STATUS=OR","EQY_CONSOLIDATED=Y","Sort=A","Dates=H","DateFormat=P","Fill=—","Direction=H","UseDPDF=Y")</f>
        <v>#NAME?</v>
      </c>
      <c r="AX384" s="2" t="e">
        <f ca="1">_xll.BDH($C$378,"WORKING_CAPITAL_5_YEAR_GROWTH","FQ1 2015","FQ1 2015","Currency=INR","Period=FQ","BEST_FPERIOD_OVERRIDE=FQ","FILING_STATUS=OR","EQY_CONSOLIDATED=Y","Sort=A","Dates=H","DateFormat=P","Fill=—","Direction=H","UseDPDF=Y")</f>
        <v>#NAME?</v>
      </c>
      <c r="AY384" s="2" t="e">
        <f ca="1">_xll.BDH($C$378,"ACCOUNTS_PAYABLE_5_YEAR_GROWTH","FQ1 2015","FQ1 2015","Currency=INR","Period=FQ","BEST_FPERIOD_OVERRIDE=FQ","FILING_STATUS=OR","EQY_CONSOLIDATED=Y","Sort=A","Dates=H","DateFormat=P","Fill=—","Direction=H","UseDPDF=Y")</f>
        <v>#NAME?</v>
      </c>
      <c r="AZ384" s="2" t="e">
        <f ca="1">_xll.BDH($C$378,"SHORT_TERM_DEBT_5_YEAR_GROWTH","FQ1 2015","FQ1 2015","Currency=INR","Period=FQ","BEST_FPERIOD_OVERRIDE=FQ","FILING_STATUS=OR","EQY_CONSOLIDATED=Y","Sort=A","Dates=H","DateFormat=P","Fill=—","Direction=H","UseDPDF=Y")</f>
        <v>#NAME?</v>
      </c>
      <c r="BA384" s="2" t="e">
        <f ca="1">_xll.BDH($C$378,"TOTAL_DEBT_5_YEAR_GROWTH","FQ1 2015","FQ1 2015","Currency=INR","Period=FQ","BEST_FPERIOD_OVERRIDE=FQ","FILING_STATUS=OR","EQY_CONSOLIDATED=Y","Sort=A","Dates=H","DateFormat=P","Fill=—","Direction=H","UseDPDF=Y")</f>
        <v>#NAME?</v>
      </c>
      <c r="BB384" s="2" t="e">
        <f ca="1">_xll.BDH($C$378,"GEO_GROW_TOT_SHRHLDR_EQY","FQ1 2015","FQ1 2015","Currency=INR","Period=FQ","BEST_FPERIOD_OVERRIDE=FQ","FILING_STATUS=OR","EQY_CONSOLIDATED=Y","Sort=A","Dates=H","DateFormat=P","Fill=—","Direction=H","UseDPDF=Y")</f>
        <v>#NAME?</v>
      </c>
      <c r="BC384" s="2" t="e">
        <f ca="1">_xll.BDH($C$378,"TOTAL_CAPITAL_5_YEAR_GROWTH","FQ1 2015","FQ1 2015","Currency=INR","Period=FQ","BEST_FPERIOD_OVERRIDE=FQ","FILING_STATUS=OR","EQY_CONSOLIDATED=Y","Sort=A","Dates=H","DateFormat=P","Fill=—","Direction=H","UseDPDF=Y")</f>
        <v>#NAME?</v>
      </c>
      <c r="BD384" s="2" t="e">
        <f ca="1">_xll.BDH($C$378,"GEO_GROW_BOOK_VAL","FQ1 2015","FQ1 2015","Currency=INR","Period=FQ","BEST_FPERIOD_OVERRIDE=FQ","FILING_STATUS=OR","EQY_CONSOLIDATED=Y","Sort=A","Dates=H","DateFormat=P","Fill=—","Direction=H","UseDPDF=Y")</f>
        <v>#NAME?</v>
      </c>
      <c r="BE384" s="2" t="e">
        <f ca="1">_xll.BDH($C$378,"GEO_GROW_CASH_OPER_ACT","FQ1 2015","FQ1 2015","Currency=INR","Period=FQ","BEST_FPERIOD_OVERRIDE=FQ","FILING_STATUS=OR","EQY_CONSOLIDATED=Y","Sort=A","Dates=H","DateFormat=P","Fill=—","Direction=H","UseDPDF=Y")</f>
        <v>#NAME?</v>
      </c>
      <c r="BF384" s="2" t="e">
        <f ca="1">_xll.BDH($C$378,"REVENUE_SEQUENTIAL_GROWTH","FQ1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384" s="2" t="e">
        <f ca="1">_xll.BDH($C$378,"EBITDA_SEQUENTIAL_GROWTH","FQ1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384" s="2" t="e">
        <f ca="1">_xll.BDH($C$378,"OPERATING_INCOME_SEQ_GROWTH","FQ1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384" s="2" t="e">
        <f ca="1">_xll.BDH($C$378,"NET_INCOME_TO_COMMON_SEQ_GROWTH","FQ1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384" s="2" t="e">
        <f ca="1">_xll.BDH($C$378,"EPS_DILUTED_SEQUENTIAL_GROWTH","FQ1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384" s="2" t="e">
        <f ca="1">_xll.BDH($C$378,"DPS_SEQUENTIAL_GROWTH","FQ1 2015","FQ1 2015","Currency=INR","Period=FQ","BEST_FPERIOD_OVERRIDE=FQ","FILING_STATUS=OR","EQY_CONSOLIDATED=Y","Sort=A","Dates=H","DateFormat=P","Fill=—","Direction=H","UseDPDF=Y")</f>
        <v>#NAME?</v>
      </c>
      <c r="BL384" s="2" t="e">
        <f ca="1">_xll.BDH($C$378,"ACCOUNTS_RECEIVABLE_SEQ_GROWTH","FQ1 2015","FQ1 2015","Currency=INR","Period=FQ","BEST_FPERIOD_OVERRIDE=FQ","FILING_STATUS=OR","EQY_CONSOLIDATED=Y","Sort=A","Dates=H","DateFormat=P","Fill=—","Direction=H","UseDPDF=Y")</f>
        <v>#NAME?</v>
      </c>
      <c r="BM384" s="2" t="e">
        <f ca="1">_xll.BDH($C$378,"INVENTORY_SEQUENTIAL_GROWTH","FQ1 2015","FQ1 2015","Currency=INR","Period=FQ","BEST_FPERIOD_OVERRIDE=FQ","FILING_STATUS=OR","EQY_CONSOLIDATED=Y","Sort=A","Dates=H","DateFormat=P","Fill=—","Direction=H","UseDPDF=Y")</f>
        <v>#NAME?</v>
      </c>
      <c r="BN384" s="2" t="e">
        <f ca="1">_xll.BDH($C$378,"FIXED_ASSETS_SEQUENTIAL_GROWTH","FQ1 2015","FQ1 2015","Currency=INR","Period=FQ","BEST_FPERIOD_OVERRIDE=FQ","FILING_STATUS=OR","EQY_CONSOLIDATED=Y","Sort=A","Dates=H","DateFormat=P","Fill=—","Direction=H","UseDPDF=Y")</f>
        <v>#NAME?</v>
      </c>
      <c r="BO384" s="2" t="e">
        <f ca="1">_xll.BDH($C$378,"TOTAL_ASSETS_SEQUENTIAL_GROWTH","FQ1 2015","FQ1 2015","Currency=INR","Period=FQ","BEST_FPERIOD_OVERRIDE=FQ","FILING_STATUS=OR","EQY_CONSOLIDATED=Y","Sort=A","Dates=H","DateFormat=P","Fill=—","Direction=H","UseDPDF=Y")</f>
        <v>#NAME?</v>
      </c>
      <c r="BP384" s="2" t="e">
        <f ca="1">_xll.BDH($C$378,"MODIFIED_WORKING_CPTL_SEQ_GRWTH","FQ1 2015","FQ1 2015","Currency=INR","Period=FQ","BEST_FPERIOD_OVERRIDE=FQ","FILING_STATUS=OR","EQY_CONSOLIDATED=Y","Sort=A","Dates=H","DateFormat=P","Fill=—","Direction=H","UseDPDF=Y")</f>
        <v>#NAME?</v>
      </c>
      <c r="BQ384" s="2" t="e">
        <f ca="1">_xll.BDH($C$378,"WORKING_CAPITAL_SEQ_GROWTH","FQ1 2015","FQ1 2015","Currency=INR","Period=FQ","BEST_FPERIOD_OVERRIDE=FQ","FILING_STATUS=OR","EQY_CONSOLIDATED=Y","Sort=A","Dates=H","DateFormat=P","Fill=—","Direction=H","UseDPDF=Y")</f>
        <v>#NAME?</v>
      </c>
      <c r="BR384" s="2" t="e">
        <f ca="1">_xll.BDH($C$378,"ACCOUNTS_PAYABLE_SEQ_GROWTH","FQ1 2015","FQ1 2015","Currency=INR","Period=FQ","BEST_FPERIOD_OVERRIDE=FQ","FILING_STATUS=OR","EQY_CONSOLIDATED=Y","Sort=A","Dates=H","DateFormat=P","Fill=—","Direction=H","UseDPDF=Y")</f>
        <v>#NAME?</v>
      </c>
      <c r="BS384" s="2" t="e">
        <f ca="1">_xll.BDH($C$378,"ST_DEBT_SEQUENTIAL_GROWTH","FQ1 2015","FQ1 2015","Currency=INR","Period=FQ","BEST_FPERIOD_OVERRIDE=FQ","FILING_STATUS=OR","EQY_CONSOLIDATED=Y","Sort=A","Dates=H","DateFormat=P","Fill=—","Direction=H","UseDPDF=Y")</f>
        <v>#NAME?</v>
      </c>
      <c r="BT384" s="2" t="e">
        <f ca="1">_xll.BDH($C$378,"TOTAL_DEBT_SEQUENTIAL_GROWTH","FQ1 2015","FQ1 2015","Currency=INR","Period=FQ","BEST_FPERIOD_OVERRIDE=FQ","FILING_STATUS=OR","EQY_CONSOLIDATED=Y","Sort=A","Dates=H","DateFormat=P","Fill=—","Direction=H","UseDPDF=Y")</f>
        <v>#NAME?</v>
      </c>
      <c r="BU384" s="2" t="e">
        <f ca="1">_xll.BDH($C$378,"TOTAL_EQUITY_SEQUENTIAL_GROWTH","FQ1 2015","FQ1 2015","Currency=INR","Period=FQ","BEST_FPERIOD_OVERRIDE=FQ","FILING_STATUS=OR","EQY_CONSOLIDATED=Y","Sort=A","Dates=H","DateFormat=P","Fill=—","Direction=H","UseDPDF=Y")</f>
        <v>#NAME?</v>
      </c>
      <c r="BV384" s="2" t="e">
        <f ca="1">_xll.BDH($C$378,"TOTAL_CAPITAL_SEQUENTIAL_GROWTH","FQ1 2015","FQ1 2015","Currency=INR","Period=FQ","BEST_FPERIOD_OVERRIDE=FQ","FILING_STATUS=OR","EQY_CONSOLIDATED=Y","Sort=A","Dates=H","DateFormat=P","Fill=—","Direction=H","UseDPDF=Y")</f>
        <v>#NAME?</v>
      </c>
      <c r="BW384" s="2" t="e">
        <f ca="1">_xll.BDH($C$378,"BPS_SEQUENTIAL_GROWTH","FQ1 2015","FQ1 2015","Currency=INR","Period=FQ","BEST_FPERIOD_OVERRIDE=FQ","FILING_STATUS=OR","EQY_CONSOLIDATED=Y","Sort=A","Dates=H","DateFormat=P","Fill=—","Direction=H","UseDPDF=Y")</f>
        <v>#NAME?</v>
      </c>
      <c r="BX384" s="2" t="e">
        <f ca="1">_xll.BDH($C$378,"CFO_SEQUENTIAL_GROWTH","FQ1 2015","FQ1 2015","Currency=INR","Period=FQ","BEST_FPERIOD_OVERRIDE=FQ","FILING_STATUS=OR","EQY_CONSOLIDATED=Y","Sort=A","Dates=H","DateFormat=P","Fill=—","Direction=H","UseDPDF=Y")</f>
        <v>#NAME?</v>
      </c>
      <c r="BY384" s="3" t="e">
        <f ca="1">_xll.BDH($C$378,"SHORT_AND_LONG_TERM_DEBT","FQ1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384" s="3" t="e">
        <f ca="1">_xll.BDH($C$378,"BS_ST_BORROW","FQ1 2015","FQ1 2015","Currency=INR","Period=FQ","BEST_FPERIOD_OVERRIDE=FQ","FILING_STATUS=OR","EQY_CONSOLIDATED=Y","SCALING_FORMAT=MLN","Sort=A","Dates=H","DateFormat=P","Fill=—","Direction=H","UseDPDF=Y")</f>
        <v>#NAME?</v>
      </c>
      <c r="CA384" s="3" t="e">
        <f ca="1">_xll.BDH($C$378,"BS_LT_BORROW","FQ1 2015","FQ1 2015","Currency=INR","Period=FQ","BEST_FPERIOD_OVERRIDE=FQ","FILING_STATUS=OR","EQY_CONSOLIDATED=Y","SCALING_FORMAT=MLN","Sort=A","Dates=H","DateFormat=P","Fill=—","Direction=H","UseDPDF=Y")</f>
        <v>#NAME?</v>
      </c>
      <c r="CB384" s="2" t="e">
        <f ca="1">_xll.BDH($C$378,"TOT_DEBT_TO_EBITDA","FQ1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384" s="2" t="e">
        <f ca="1">_xll.BDH($C$378,"NET_DEBT_TO_EBITDA","FQ1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384" s="2" t="e">
        <f ca="1">_xll.BDH($C$378,"TOTAL_DEBT_TO_EBIT","FQ1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384" s="2" t="e">
        <f ca="1">_xll.BDH($C$378,"NET_DEBT_TO_EBIT","FQ1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384" s="2" t="e">
        <f ca="1">_xll.BDH($C$378,"EBITDA_TO_INTEREST_EXPN","FQ1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384" s="2" t="e">
        <f ca="1">_xll.BDH($C$378,"COM_EQY_TO_TOT_ASSET","FQ1 2015","FQ1 2015","Currency=INR","Period=FQ","BEST_FPERIOD_OVERRIDE=FQ","FILING_STATUS=OR","EQY_CONSOLIDATED=Y","Sort=A","Dates=H","DateFormat=P","Fill=—","Direction=H","UseDPDF=Y")</f>
        <v>#NAME?</v>
      </c>
      <c r="CH384" s="2" t="e">
        <f ca="1">_xll.BDH($C$378,"LT_DEBT_TO_TOT_EQY","FQ1 2015","FQ1 2015","Currency=INR","Period=FQ","BEST_FPERIOD_OVERRIDE=FQ","FILING_STATUS=OR","EQY_CONSOLIDATED=Y","Sort=A","Dates=H","DateFormat=P","Fill=—","Direction=H","UseDPDF=Y")</f>
        <v>#NAME?</v>
      </c>
      <c r="CI384" s="2" t="e">
        <f ca="1">_xll.BDH($C$378,"LT_DEBT_TO_TOT_CAP","FQ1 2015","FQ1 2015","Currency=INR","Period=FQ","BEST_FPERIOD_OVERRIDE=FQ","FILING_STATUS=OR","EQY_CONSOLIDATED=Y","Sort=A","Dates=H","DateFormat=P","Fill=—","Direction=H","UseDPDF=Y")</f>
        <v>#NAME?</v>
      </c>
      <c r="CJ384" s="2" t="e">
        <f ca="1">_xll.BDH($C$378,"LT_DEBT_TO_TOT_ASSET","FQ1 2015","FQ1 2015","Currency=INR","Period=FQ","BEST_FPERIOD_OVERRIDE=FQ","FILING_STATUS=OR","EQY_CONSOLIDATED=Y","Sort=A","Dates=H","DateFormat=P","Fill=—","Direction=H","UseDPDF=Y")</f>
        <v>#NAME?</v>
      </c>
      <c r="CK384" s="2" t="e">
        <f ca="1">_xll.BDH($C$378,"TOT_DEBT_TO_TOT_EQY","FQ1 2015","FQ1 2015","Currency=INR","Period=FQ","BEST_FPERIOD_OVERRIDE=FQ","FILING_STATUS=OR","EQY_CONSOLIDATED=Y","Sort=A","Dates=H","DateFormat=P","Fill=—","Direction=H","UseDPDF=Y")</f>
        <v>#NAME?</v>
      </c>
      <c r="CL384" s="2" t="e">
        <f ca="1">_xll.BDH($C$378,"TOT_DEBT_TO_TOT_CAP","FQ1 2015","FQ1 2015","Currency=INR","Period=FQ","BEST_FPERIOD_OVERRIDE=FQ","FILING_STATUS=OR","EQY_CONSOLIDATED=Y","Sort=A","Dates=H","DateFormat=P","Fill=—","Direction=H","UseDPDF=Y")</f>
        <v>#NAME?</v>
      </c>
      <c r="CM384" s="2" t="e">
        <f ca="1">_xll.BDH($C$378,"TOT_DEBT_TO_TOT_ASSET","FQ1 2015","FQ1 2015","Currency=INR","Period=FQ","BEST_FPERIOD_OVERRIDE=FQ","FILING_STATUS=OR","EQY_CONSOLIDATED=Y","Sort=A","Dates=H","DateFormat=P","Fill=—","Direction=H","UseDPDF=Y")</f>
        <v>#NAME?</v>
      </c>
      <c r="CN384" s="2" t="e">
        <f ca="1">_xll.BDH($C$378,"NET_DEBT_TO_SHRHLDR_EQTY","FQ1 2015","FQ1 2015","Currency=INR","Period=FQ","BEST_FPERIOD_OVERRIDE=FQ","FILING_STATUS=OR","EQY_CONSOLIDATED=Y","Sort=A","Dates=H","DateFormat=P","Fill=—","Direction=H","UseDPDF=Y")</f>
        <v>#NAME?</v>
      </c>
      <c r="CO384" s="2" t="e">
        <f ca="1">_xll.BDH($C$378,"NET_DEBT_%_CAPITAL","FQ1 2015","FQ1 2015","Currency=INR","Period=FQ","BEST_FPERIOD_OVERRIDE=FQ","FILING_STATUS=OR","EQY_CONSOLIDATED=Y","Sort=A","Dates=H","DateFormat=P","Fill=—","Direction=H","UseDPDF=Y")</f>
        <v>#NAME?</v>
      </c>
      <c r="CP384" s="3" t="e">
        <f ca="1">_xll.BDH($C$378,"EBITDA","FQ1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384" s="3" t="e">
        <f ca="1">_xll.BDH($C$378,"EBITDA_AFTER_CAPEX","FQ1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384" s="3" t="e">
        <f ca="1">_xll.BDH($C$378,"IS_OPER_INC","FQ1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384" s="2" t="e">
        <f ca="1">_xll.BDH($C$378,"CASH_RATIO","FQ1 2015","FQ1 2015","Currency=INR","Period=FQ","BEST_FPERIOD_OVERRIDE=FQ","FILING_STATUS=OR","EQY_CONSOLIDATED=Y","Sort=A","Dates=H","DateFormat=P","Fill=—","Direction=H","UseDPDF=Y")</f>
        <v>#NAME?</v>
      </c>
      <c r="CT384" s="2" t="e">
        <f ca="1">_xll.BDH($C$378,"CUR_RATIO","FQ1 2015","FQ1 2015","Currency=INR","Period=FQ","BEST_FPERIOD_OVERRIDE=FQ","FILING_STATUS=OR","EQY_CONSOLIDATED=Y","Sort=A","Dates=H","DateFormat=P","Fill=—","Direction=H","UseDPDF=Y")</f>
        <v>#NAME?</v>
      </c>
      <c r="CU384" s="2" t="e">
        <f ca="1">_xll.BDH($C$378,"QUICK_RATIO","FQ1 2015","FQ1 2015","Currency=INR","Period=FQ","BEST_FPERIOD_OVERRIDE=FQ","FILING_STATUS=OR","EQY_CONSOLIDATED=Y","Sort=A","Dates=H","DateFormat=P","Fill=—","Direction=H","UseDPDF=Y")</f>
        <v>#NAME?</v>
      </c>
      <c r="CV384" s="2" t="e">
        <f ca="1">_xll.BDH($C$378,"ALTMAN_Z_SCORE","FQ1 2015","FQ1 2015","Currency=INR","Period=FQ","BEST_FPERIOD_OVERRIDE=FQ","FILING_STATUS=OR","EQY_CONSOLIDATED=Y","Sort=A","Dates=H","DateFormat=P","Fill=—","Direction=H","UseDPDF=Y")</f>
        <v>#NAME?</v>
      </c>
      <c r="CW384" s="4" t="e">
        <f ca="1">_xll.BDH($C$378,"ACCT_RCV_TURN","FQ1 2015","FQ1 2015","Currency=INR","Period=FQ","BEST_FPERIOD_OVERRIDE=FQ","FILING_STATUS=OR","EQY_CONSOLIDATED=Y","FA_ADJUSTED=GAAP","Sort=A","Dates=H","DateFormat=P","Fill=—","Direction=H","UseDPDF=Y")</f>
        <v>#NAME?</v>
      </c>
      <c r="CX384" s="2" t="e">
        <f ca="1">_xll.BDH($C$378,"ACCT_RCV_DAYS","FQ1 2015","FQ1 2015","Currency=INR","Period=FQ","BEST_FPERIOD_OVERRIDE=FQ","FILING_STATUS=OR","EQY_CONSOLIDATED=Y","FA_ADJUSTED=GAAP","Sort=A","Dates=H","DateFormat=P","Fill=—","Direction=H","UseDPDF=Y")</f>
        <v>#NAME?</v>
      </c>
      <c r="CY384" s="4" t="e">
        <f ca="1">_xll.BDH($C$378,"INVENT_TURN","FQ1 2015","FQ1 2015","Currency=INR","Period=FQ","BEST_FPERIOD_OVERRIDE=FQ","FILING_STATUS=OR","EQY_CONSOLIDATED=Y","FA_ADJUSTED=GAAP","Sort=A","Dates=H","DateFormat=P","Fill=—","Direction=H","UseDPDF=Y")</f>
        <v>#NAME?</v>
      </c>
      <c r="CZ384" s="2" t="e">
        <f ca="1">_xll.BDH($C$378,"INVENT_DAYS","FQ1 2015","FQ1 2015","Currency=INR","Period=FQ","BEST_FPERIOD_OVERRIDE=FQ","FILING_STATUS=OR","EQY_CONSOLIDATED=Y","FA_ADJUSTED=GAAP","Sort=A","Dates=H","DateFormat=P","Fill=—","Direction=H","UseDPDF=Y")</f>
        <v>#NAME?</v>
      </c>
      <c r="DA384" s="4" t="e">
        <f ca="1">_xll.BDH($C$378,"ACCOUNTS_PAYABLE_TURNOVER","FQ1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384" s="2" t="e">
        <f ca="1">_xll.BDH($C$378,"ACCOUNTS_PAYABLE_TURNOVER_DAYS","FQ1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384" s="4" t="e">
        <f ca="1">_xll.BDH($C$378,"CASH_CONVERSION_CYCLE","FQ1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384" s="4" t="e">
        <f ca="1">_xll.BDH($C$378,"INV_TO_CASH_DAYS","FQ1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384" s="5" t="e">
        <f ca="1">_xll.BDH($C$378,"BS_INVENTORIES","FQ1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384" s="3" t="e">
        <f ca="1">_xll.BDH($C$378,"INVTRY_RAW_MATERIALS","FQ1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384" s="3" t="e">
        <f ca="1">_xll.BDH($C$378,"INVTRY_IN_PROGRESS","FQ1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384" s="3" t="e">
        <f ca="1">_xll.BDH($C$378,"INVTRY_FINISHED_GOODS","FQ1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384" s="3" t="e">
        <f ca="1">_xll.BDH($C$378,"BS_OTHER_INV","FQ1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385" spans="1:113" x14ac:dyDescent="0.3">
      <c r="A385" s="6"/>
      <c r="B385" s="6"/>
      <c r="C385" s="6"/>
      <c r="D385" s="6"/>
      <c r="E385" t="s">
        <v>79</v>
      </c>
      <c r="F385" t="e">
        <f ca="1">_xll.BDH($C$378,"RETURN_COM_EQY","FQ2 2015","FQ2 2015","Currency=INR","Period=FQ","BEST_FPERIOD_OVERRIDE=FQ","FILING_STATUS=OR","EQY_CONSOLIDATED=Y","FA_ADJUSTED=GAAP","Sort=A","Dates=H","DateFormat=P","Fill=—","Direction=H","UseDPDF=Y")</f>
        <v>#NAME?</v>
      </c>
      <c r="G385" t="e">
        <f ca="1">_xll.BDH($C$378,"RETURN_ON_ASSET","FQ2 2015","FQ2 2015","Currency=INR","Period=FQ","BEST_FPERIOD_OVERRIDE=FQ","FILING_STATUS=OR","EQY_CONSOLIDATED=Y","FA_ADJUSTED=GAAP","Sort=A","Dates=H","DateFormat=P","Fill=—","Direction=H","UseDPDF=Y")</f>
        <v>#NAME?</v>
      </c>
      <c r="H385" t="e">
        <f ca="1">_xll.BDH($C$378,"RETURN_ON_CAP","FQ2 2015","FQ2 2015","Currency=INR","Period=FQ","BEST_FPERIOD_OVERRIDE=FQ","FILING_STATUS=OR","EQY_CONSOLIDATED=Y","FA_ADJUSTED=GAAP","Sort=A","Dates=H","DateFormat=P","Fill=—","Direction=H","UseDPDF=Y")</f>
        <v>#NAME?</v>
      </c>
      <c r="I385" t="e">
        <f ca="1">_xll.BDH($C$378,"RETURN_ON_INV_CAPITAL","FQ2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385" t="e">
        <f ca="1">_xll.BDH($C$378,"EBITDA_TO_REVENUE","FQ2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385" t="e">
        <f ca="1">_xll.BDH($C$378,"OPER_MARGIN","FQ2 2015","FQ2 2015","Currency=INR","Period=FQ","BEST_FPERIOD_OVERRIDE=FQ","FILING_STATUS=OR","EQY_CONSOLIDATED=Y","FA_ADJUSTED=GAAP","Sort=A","Dates=H","DateFormat=P","Fill=—","Direction=H","UseDPDF=Y")</f>
        <v>#NAME?</v>
      </c>
      <c r="L385" t="e">
        <f ca="1">_xll.BDH($C$378,"INCREMENTAL_OPERATING_MARGIN","FQ2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385" t="e">
        <f ca="1">_xll.BDH($C$378,"PRETAX_INC_TO_NET_SALES","FQ2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385" t="e">
        <f ca="1">_xll.BDH($C$378,"INC_BEF_XO_ITEMS_TO_NET_SALES","FQ2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385" t="e">
        <f ca="1">_xll.BDH($C$378,"PROF_MARGIN","FQ2 2015","FQ2 2015","Currency=INR","Period=FQ","BEST_FPERIOD_OVERRIDE=FQ","FILING_STATUS=OR","EQY_CONSOLIDATED=Y","FA_ADJUSTED=GAAP","Sort=A","Dates=H","DateFormat=P","Fill=—","Direction=H","UseDPDF=Y")</f>
        <v>#NAME?</v>
      </c>
      <c r="P385" t="e">
        <f ca="1">_xll.BDH($C$378,"NET_INCOME_TO_COMMON_MARGIN","FQ2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385" t="e">
        <f ca="1">_xll.BDH($C$378,"EFF_TAX_RATE","FQ2 2015","FQ2 2015","Currency=INR","Period=FQ","BEST_FPERIOD_OVERRIDE=FQ","FILING_STATUS=OR","EQY_CONSOLIDATED=Y","FA_ADJUSTED=GAAP","Sort=A","Dates=H","DateFormat=P","Fill=—","Direction=H","UseDPDF=Y")</f>
        <v>#NAME?</v>
      </c>
      <c r="R385" t="e">
        <f ca="1">_xll.BDH($C$378,"DVD_PAYOUT_RATIO","FQ2 2015","FQ2 2015","Currency=INR","Period=FQ","BEST_FPERIOD_OVERRIDE=FQ","FILING_STATUS=OR","EQY_CONSOLIDATED=Y","FA_ADJUSTED=GAAP","Sort=A","Dates=H","DateFormat=P","Fill=—","Direction=H","UseDPDF=Y")</f>
        <v>#NAME?</v>
      </c>
      <c r="S385" t="e">
        <f ca="1">_xll.BDH($C$378,"SUSTAIN_GROWTH_RT","FQ2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385" s="2" t="e">
        <f ca="1">_xll.BDH($C$378,"SALES_GROWTH","FQ2 2015","FQ2 2015","Currency=INR","Period=FQ","BEST_FPERIOD_OVERRIDE=FQ","FILING_STATUS=OR","EQY_CONSOLIDATED=Y","FA_ADJUSTED=GAAP","Sort=A","Dates=H","DateFormat=P","Fill=—","Direction=H","UseDPDF=Y")</f>
        <v>#NAME?</v>
      </c>
      <c r="U385" s="2" t="e">
        <f ca="1">_xll.BDH($C$378,"EBITDA_GROWTH","FQ2 2015","FQ2 2015","Currency=INR","Period=FQ","BEST_FPERIOD_OVERRIDE=FQ","FILING_STATUS=OR","EQY_CONSOLIDATED=Y","FA_ADJUSTED=GAAP","Sort=A","Dates=H","DateFormat=P","Fill=—","Direction=H","UseDPDF=Y")</f>
        <v>#NAME?</v>
      </c>
      <c r="V385" s="2" t="e">
        <f ca="1">_xll.BDH($C$378,"OPER_INC_GROWTH","FQ2 2015","FQ2 2015","Currency=INR","Period=FQ","BEST_FPERIOD_OVERRIDE=FQ","FILING_STATUS=OR","EQY_CONSOLIDATED=Y","FA_ADJUSTED=GAAP","Sort=A","Dates=H","DateFormat=P","Fill=—","Direction=H","UseDPDF=Y")</f>
        <v>#NAME?</v>
      </c>
      <c r="W385" s="2" t="e">
        <f ca="1">_xll.BDH($C$378,"EARN_FOR_COM_GROWTH","FQ2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385" s="2" t="e">
        <f ca="1">_xll.BDH($C$378,"DILUTED_EPS_AFT_XO_ITEMS_GROWTH","FQ2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385" s="2" t="e">
        <f ca="1">_xll.BDH($C$378,"DIVIDEND_PER_SHARE_1_YEAR_GROWTH","FQ2 2015","FQ2 2015","Currency=INR","Period=FQ","BEST_FPERIOD_OVERRIDE=FQ","FILING_STATUS=OR","EQY_CONSOLIDATED=Y","Sort=A","Dates=H","DateFormat=P","Fill=—","Direction=H","UseDPDF=Y")</f>
        <v>#NAME?</v>
      </c>
      <c r="Z385" s="2" t="e">
        <f ca="1">_xll.BDH($C$378,"ACCOUNTS_RECEIVABLE_GROWTH","FQ2 2015","FQ2 2015","Currency=INR","Period=FQ","BEST_FPERIOD_OVERRIDE=FQ","FILING_STATUS=OR","EQY_CONSOLIDATED=Y","Sort=A","Dates=H","DateFormat=P","Fill=—","Direction=H","UseDPDF=Y")</f>
        <v>#NAME?</v>
      </c>
      <c r="AA385" s="2" t="e">
        <f ca="1">_xll.BDH($C$378,"INVENTORY_GROWTH","FQ2 2015","FQ2 2015","Currency=INR","Period=FQ","BEST_FPERIOD_OVERRIDE=FQ","FILING_STATUS=OR","EQY_CONSOLIDATED=Y","Sort=A","Dates=H","DateFormat=P","Fill=—","Direction=H","UseDPDF=Y")</f>
        <v>#NAME?</v>
      </c>
      <c r="AB385" s="2" t="e">
        <f ca="1">_xll.BDH($C$378,"NET_FIXED_ASSETS_1_YEAR_GROWTH","FQ2 2015","FQ2 2015","Currency=INR","Period=FQ","BEST_FPERIOD_OVERRIDE=FQ","FILING_STATUS=OR","EQY_CONSOLIDATED=Y","Sort=A","Dates=H","DateFormat=P","Fill=—","Direction=H","UseDPDF=Y")</f>
        <v>#NAME?</v>
      </c>
      <c r="AC385" s="2" t="e">
        <f ca="1">_xll.BDH($C$378,"ASSET_GROWTH","FQ2 2015","FQ2 2015","Currency=INR","Period=FQ","BEST_FPERIOD_OVERRIDE=FQ","FILING_STATUS=OR","EQY_CONSOLIDATED=Y","Sort=A","Dates=H","DateFormat=P","Fill=—","Direction=H","UseDPDF=Y")</f>
        <v>#NAME?</v>
      </c>
      <c r="AD385" s="2" t="e">
        <f ca="1">_xll.BDH($C$378,"MODIFIED_WORK_CAP_GROWTH","FQ2 2015","FQ2 2015","Currency=INR","Period=FQ","BEST_FPERIOD_OVERRIDE=FQ","FILING_STATUS=OR","EQY_CONSOLIDATED=Y","Sort=A","Dates=H","DateFormat=P","Fill=—","Direction=H","UseDPDF=Y")</f>
        <v>#NAME?</v>
      </c>
      <c r="AE385" s="2" t="e">
        <f ca="1">_xll.BDH($C$378,"WORK_CAP_GROWTH","FQ2 2015","FQ2 2015","Currency=INR","Period=FQ","BEST_FPERIOD_OVERRIDE=FQ","FILING_STATUS=OR","EQY_CONSOLIDATED=Y","Sort=A","Dates=H","DateFormat=P","Fill=—","Direction=H","UseDPDF=Y")</f>
        <v>#NAME?</v>
      </c>
      <c r="AF385" s="2" t="e">
        <f ca="1">_xll.BDH($C$378,"ACCOUNTS_PAYABLE_GROWTH_1YR","FQ2 2015","FQ2 2015","Currency=INR","Period=FQ","BEST_FPERIOD_OVERRIDE=FQ","FILING_STATUS=OR","EQY_CONSOLIDATED=Y","Sort=A","Dates=H","DateFormat=P","Fill=—","Direction=H","UseDPDF=Y")</f>
        <v>#NAME?</v>
      </c>
      <c r="AG385" s="2" t="e">
        <f ca="1">_xll.BDH($C$378,"SHORT_TERM_DEBT_1_YEAR_GROWTH","FQ2 2015","FQ2 2015","Currency=INR","Period=FQ","BEST_FPERIOD_OVERRIDE=FQ","FILING_STATUS=OR","EQY_CONSOLIDATED=Y","Sort=A","Dates=H","DateFormat=P","Fill=—","Direction=H","UseDPDF=Y")</f>
        <v>#NAME?</v>
      </c>
      <c r="AH385" s="2" t="e">
        <f ca="1">_xll.BDH($C$378,"TOTAL_DEBT_1_YEAR_GROWTH","FQ2 2015","FQ2 2015","Currency=INR","Period=FQ","BEST_FPERIOD_OVERRIDE=FQ","FILING_STATUS=OR","EQY_CONSOLIDATED=Y","Sort=A","Dates=H","DateFormat=P","Fill=—","Direction=H","UseDPDF=Y")</f>
        <v>#NAME?</v>
      </c>
      <c r="AI385" s="2" t="e">
        <f ca="1">_xll.BDH($C$378,"TOTAL_EQUITY_1_YEAR_GROWTH","FQ2 2015","FQ2 2015","Currency=INR","Period=FQ","BEST_FPERIOD_OVERRIDE=FQ","FILING_STATUS=OR","EQY_CONSOLIDATED=Y","Sort=A","Dates=H","DateFormat=P","Fill=—","Direction=H","UseDPDF=Y")</f>
        <v>#NAME?</v>
      </c>
      <c r="AJ385" s="2" t="e">
        <f ca="1">_xll.BDH($C$378,"GROWTH_IN_CAP","FQ2 2015","FQ2 2015","Currency=INR","Period=FQ","BEST_FPERIOD_OVERRIDE=FQ","FILING_STATUS=OR","EQY_CONSOLIDATED=Y","Sort=A","Dates=H","DateFormat=P","Fill=—","Direction=H","UseDPDF=Y")</f>
        <v>#NAME?</v>
      </c>
      <c r="AK385" s="2" t="e">
        <f ca="1">_xll.BDH($C$378,"BVPS_GROWTH","FQ2 2015","FQ2 2015","Currency=INR","Period=FQ","BEST_FPERIOD_OVERRIDE=FQ","FILING_STATUS=OR","EQY_CONSOLIDATED=Y","Sort=A","Dates=H","DateFormat=P","Fill=—","Direction=H","UseDPDF=Y")</f>
        <v>#NAME?</v>
      </c>
      <c r="AL385" s="2" t="e">
        <f ca="1">_xll.BDH($C$378,"CASH_FLOW_GROWTH","FQ2 2015","FQ2 2015","Currency=INR","Period=FQ","BEST_FPERIOD_OVERRIDE=FQ","FILING_STATUS=OR","EQY_CONSOLIDATED=Y","Sort=A","Dates=H","DateFormat=P","Fill=—","Direction=H","UseDPDF=Y")</f>
        <v>#NAME?</v>
      </c>
      <c r="AM385" s="2" t="e">
        <f ca="1">_xll.BDH($C$378,"GEO_GROW_NET_SALES","FQ2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385" s="2" t="e">
        <f ca="1">_xll.BDH($C$378,"GEO_GROW_EBITDA","FQ2 2015","FQ2 2015","Currency=INR","Period=FQ","BEST_FPERIOD_OVERRIDE=FQ","FILING_STATUS=OR","EQY_CONSOLIDATED=Y","FA_ADJUSTED=GAAP","Sort=A","Dates=H","DateFormat=P","Fill=—","Direction=H","UseDPDF=Y")</f>
        <v>#NAME?</v>
      </c>
      <c r="AO385" s="2" t="e">
        <f ca="1">_xll.BDH($C$378,"GEO_GROW_OPER_INC","FQ2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385" s="2" t="e">
        <f ca="1">_xll.BDH($C$378,"NET_INCOME_TO_COMMON_5_YR_GROWTH","FQ2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385" s="2" t="e">
        <f ca="1">_xll.BDH($C$378,"5Y_GEO_GROWTH_DILUTED_EPS","FQ2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385" s="2" t="e">
        <f ca="1">_xll.BDH($C$378,"GEO_GROW_DVD_PER_SH","FQ2 2015","FQ2 2015","Currency=INR","Period=FQ","BEST_FPERIOD_OVERRIDE=FQ","FILING_STATUS=OR","EQY_CONSOLIDATED=Y","Sort=A","Dates=H","DateFormat=P","Fill=—","Direction=H","UseDPDF=Y")</f>
        <v>#NAME?</v>
      </c>
      <c r="AS385" s="2" t="e">
        <f ca="1">_xll.BDH($C$378,"ACCOUNTS_RECEIVABLE_5_YR_GROWTH","FQ2 2015","FQ2 2015","Currency=INR","Period=FQ","BEST_FPERIOD_OVERRIDE=FQ","FILING_STATUS=OR","EQY_CONSOLIDATED=Y","Sort=A","Dates=H","DateFormat=P","Fill=—","Direction=H","UseDPDF=Y")</f>
        <v>#NAME?</v>
      </c>
      <c r="AT385" s="2" t="e">
        <f ca="1">_xll.BDH($C$378,"INVENTORY_5_YEAR_GROWTH","FQ2 2015","FQ2 2015","Currency=INR","Period=FQ","BEST_FPERIOD_OVERRIDE=FQ","FILING_STATUS=OR","EQY_CONSOLIDATED=Y","Sort=A","Dates=H","DateFormat=P","Fill=—","Direction=H","UseDPDF=Y")</f>
        <v>#NAME?</v>
      </c>
      <c r="AU385" s="2" t="e">
        <f ca="1">_xll.BDH($C$378,"NET_FIXED_ASSETS_5_YEAR_GROWTH","FQ2 2015","FQ2 2015","Currency=INR","Period=FQ","BEST_FPERIOD_OVERRIDE=FQ","FILING_STATUS=OR","EQY_CONSOLIDATED=Y","Sort=A","Dates=H","DateFormat=P","Fill=—","Direction=H","UseDPDF=Y")</f>
        <v>#NAME?</v>
      </c>
      <c r="AV385" s="2" t="e">
        <f ca="1">_xll.BDH($C$378,"GEO_GROW_TOT_ASSET","FQ2 2015","FQ2 2015","Currency=INR","Period=FQ","BEST_FPERIOD_OVERRIDE=FQ","FILING_STATUS=OR","EQY_CONSOLIDATED=Y","Sort=A","Dates=H","DateFormat=P","Fill=—","Direction=H","UseDPDF=Y")</f>
        <v>#NAME?</v>
      </c>
      <c r="AW385" s="2" t="e">
        <f ca="1">_xll.BDH($C$378,"MODIFIED_WORKING_CPTL_5YR_GRWTH","FQ2 2015","FQ2 2015","Currency=INR","Period=FQ","BEST_FPERIOD_OVERRIDE=FQ","FILING_STATUS=OR","EQY_CONSOLIDATED=Y","Sort=A","Dates=H","DateFormat=P","Fill=—","Direction=H","UseDPDF=Y")</f>
        <v>#NAME?</v>
      </c>
      <c r="AX385" s="2" t="e">
        <f ca="1">_xll.BDH($C$378,"WORKING_CAPITAL_5_YEAR_GROWTH","FQ2 2015","FQ2 2015","Currency=INR","Period=FQ","BEST_FPERIOD_OVERRIDE=FQ","FILING_STATUS=OR","EQY_CONSOLIDATED=Y","Sort=A","Dates=H","DateFormat=P","Fill=—","Direction=H","UseDPDF=Y")</f>
        <v>#NAME?</v>
      </c>
      <c r="AY385" s="2" t="e">
        <f ca="1">_xll.BDH($C$378,"ACCOUNTS_PAYABLE_5_YEAR_GROWTH","FQ2 2015","FQ2 2015","Currency=INR","Period=FQ","BEST_FPERIOD_OVERRIDE=FQ","FILING_STATUS=OR","EQY_CONSOLIDATED=Y","Sort=A","Dates=H","DateFormat=P","Fill=—","Direction=H","UseDPDF=Y")</f>
        <v>#NAME?</v>
      </c>
      <c r="AZ385" s="2" t="e">
        <f ca="1">_xll.BDH($C$378,"SHORT_TERM_DEBT_5_YEAR_GROWTH","FQ2 2015","FQ2 2015","Currency=INR","Period=FQ","BEST_FPERIOD_OVERRIDE=FQ","FILING_STATUS=OR","EQY_CONSOLIDATED=Y","Sort=A","Dates=H","DateFormat=P","Fill=—","Direction=H","UseDPDF=Y")</f>
        <v>#NAME?</v>
      </c>
      <c r="BA385" s="2" t="e">
        <f ca="1">_xll.BDH($C$378,"TOTAL_DEBT_5_YEAR_GROWTH","FQ2 2015","FQ2 2015","Currency=INR","Period=FQ","BEST_FPERIOD_OVERRIDE=FQ","FILING_STATUS=OR","EQY_CONSOLIDATED=Y","Sort=A","Dates=H","DateFormat=P","Fill=—","Direction=H","UseDPDF=Y")</f>
        <v>#NAME?</v>
      </c>
      <c r="BB385" s="2" t="e">
        <f ca="1">_xll.BDH($C$378,"GEO_GROW_TOT_SHRHLDR_EQY","FQ2 2015","FQ2 2015","Currency=INR","Period=FQ","BEST_FPERIOD_OVERRIDE=FQ","FILING_STATUS=OR","EQY_CONSOLIDATED=Y","Sort=A","Dates=H","DateFormat=P","Fill=—","Direction=H","UseDPDF=Y")</f>
        <v>#NAME?</v>
      </c>
      <c r="BC385" s="2" t="e">
        <f ca="1">_xll.BDH($C$378,"TOTAL_CAPITAL_5_YEAR_GROWTH","FQ2 2015","FQ2 2015","Currency=INR","Period=FQ","BEST_FPERIOD_OVERRIDE=FQ","FILING_STATUS=OR","EQY_CONSOLIDATED=Y","Sort=A","Dates=H","DateFormat=P","Fill=—","Direction=H","UseDPDF=Y")</f>
        <v>#NAME?</v>
      </c>
      <c r="BD385" s="2" t="e">
        <f ca="1">_xll.BDH($C$378,"GEO_GROW_BOOK_VAL","FQ2 2015","FQ2 2015","Currency=INR","Period=FQ","BEST_FPERIOD_OVERRIDE=FQ","FILING_STATUS=OR","EQY_CONSOLIDATED=Y","Sort=A","Dates=H","DateFormat=P","Fill=—","Direction=H","UseDPDF=Y")</f>
        <v>#NAME?</v>
      </c>
      <c r="BE385" s="2" t="e">
        <f ca="1">_xll.BDH($C$378,"GEO_GROW_CASH_OPER_ACT","FQ2 2015","FQ2 2015","Currency=INR","Period=FQ","BEST_FPERIOD_OVERRIDE=FQ","FILING_STATUS=OR","EQY_CONSOLIDATED=Y","Sort=A","Dates=H","DateFormat=P","Fill=—","Direction=H","UseDPDF=Y")</f>
        <v>#NAME?</v>
      </c>
      <c r="BF385" s="2" t="e">
        <f ca="1">_xll.BDH($C$378,"REVENUE_SEQUENTIAL_GROWTH","FQ2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385" s="2" t="e">
        <f ca="1">_xll.BDH($C$378,"EBITDA_SEQUENTIAL_GROWTH","FQ2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385" s="2" t="e">
        <f ca="1">_xll.BDH($C$378,"OPERATING_INCOME_SEQ_GROWTH","FQ2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385" s="2" t="e">
        <f ca="1">_xll.BDH($C$378,"NET_INCOME_TO_COMMON_SEQ_GROWTH","FQ2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385" s="2" t="e">
        <f ca="1">_xll.BDH($C$378,"EPS_DILUTED_SEQUENTIAL_GROWTH","FQ2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385" s="2" t="e">
        <f ca="1">_xll.BDH($C$378,"DPS_SEQUENTIAL_GROWTH","FQ2 2015","FQ2 2015","Currency=INR","Period=FQ","BEST_FPERIOD_OVERRIDE=FQ","FILING_STATUS=OR","EQY_CONSOLIDATED=Y","Sort=A","Dates=H","DateFormat=P","Fill=—","Direction=H","UseDPDF=Y")</f>
        <v>#NAME?</v>
      </c>
      <c r="BL385" s="2" t="e">
        <f ca="1">_xll.BDH($C$378,"ACCOUNTS_RECEIVABLE_SEQ_GROWTH","FQ2 2015","FQ2 2015","Currency=INR","Period=FQ","BEST_FPERIOD_OVERRIDE=FQ","FILING_STATUS=OR","EQY_CONSOLIDATED=Y","Sort=A","Dates=H","DateFormat=P","Fill=—","Direction=H","UseDPDF=Y")</f>
        <v>#NAME?</v>
      </c>
      <c r="BM385" s="2" t="e">
        <f ca="1">_xll.BDH($C$378,"INVENTORY_SEQUENTIAL_GROWTH","FQ2 2015","FQ2 2015","Currency=INR","Period=FQ","BEST_FPERIOD_OVERRIDE=FQ","FILING_STATUS=OR","EQY_CONSOLIDATED=Y","Sort=A","Dates=H","DateFormat=P","Fill=—","Direction=H","UseDPDF=Y")</f>
        <v>#NAME?</v>
      </c>
      <c r="BN385" s="2" t="e">
        <f ca="1">_xll.BDH($C$378,"FIXED_ASSETS_SEQUENTIAL_GROWTH","FQ2 2015","FQ2 2015","Currency=INR","Period=FQ","BEST_FPERIOD_OVERRIDE=FQ","FILING_STATUS=OR","EQY_CONSOLIDATED=Y","Sort=A","Dates=H","DateFormat=P","Fill=—","Direction=H","UseDPDF=Y")</f>
        <v>#NAME?</v>
      </c>
      <c r="BO385" s="2" t="e">
        <f ca="1">_xll.BDH($C$378,"TOTAL_ASSETS_SEQUENTIAL_GROWTH","FQ2 2015","FQ2 2015","Currency=INR","Period=FQ","BEST_FPERIOD_OVERRIDE=FQ","FILING_STATUS=OR","EQY_CONSOLIDATED=Y","Sort=A","Dates=H","DateFormat=P","Fill=—","Direction=H","UseDPDF=Y")</f>
        <v>#NAME?</v>
      </c>
      <c r="BP385" s="2" t="e">
        <f ca="1">_xll.BDH($C$378,"MODIFIED_WORKING_CPTL_SEQ_GRWTH","FQ2 2015","FQ2 2015","Currency=INR","Period=FQ","BEST_FPERIOD_OVERRIDE=FQ","FILING_STATUS=OR","EQY_CONSOLIDATED=Y","Sort=A","Dates=H","DateFormat=P","Fill=—","Direction=H","UseDPDF=Y")</f>
        <v>#NAME?</v>
      </c>
      <c r="BQ385" s="2" t="e">
        <f ca="1">_xll.BDH($C$378,"WORKING_CAPITAL_SEQ_GROWTH","FQ2 2015","FQ2 2015","Currency=INR","Period=FQ","BEST_FPERIOD_OVERRIDE=FQ","FILING_STATUS=OR","EQY_CONSOLIDATED=Y","Sort=A","Dates=H","DateFormat=P","Fill=—","Direction=H","UseDPDF=Y")</f>
        <v>#NAME?</v>
      </c>
      <c r="BR385" s="2" t="e">
        <f ca="1">_xll.BDH($C$378,"ACCOUNTS_PAYABLE_SEQ_GROWTH","FQ2 2015","FQ2 2015","Currency=INR","Period=FQ","BEST_FPERIOD_OVERRIDE=FQ","FILING_STATUS=OR","EQY_CONSOLIDATED=Y","Sort=A","Dates=H","DateFormat=P","Fill=—","Direction=H","UseDPDF=Y")</f>
        <v>#NAME?</v>
      </c>
      <c r="BS385" s="2" t="e">
        <f ca="1">_xll.BDH($C$378,"ST_DEBT_SEQUENTIAL_GROWTH","FQ2 2015","FQ2 2015","Currency=INR","Period=FQ","BEST_FPERIOD_OVERRIDE=FQ","FILING_STATUS=OR","EQY_CONSOLIDATED=Y","Sort=A","Dates=H","DateFormat=P","Fill=—","Direction=H","UseDPDF=Y")</f>
        <v>#NAME?</v>
      </c>
      <c r="BT385" s="2" t="e">
        <f ca="1">_xll.BDH($C$378,"TOTAL_DEBT_SEQUENTIAL_GROWTH","FQ2 2015","FQ2 2015","Currency=INR","Period=FQ","BEST_FPERIOD_OVERRIDE=FQ","FILING_STATUS=OR","EQY_CONSOLIDATED=Y","Sort=A","Dates=H","DateFormat=P","Fill=—","Direction=H","UseDPDF=Y")</f>
        <v>#NAME?</v>
      </c>
      <c r="BU385" s="2" t="e">
        <f ca="1">_xll.BDH($C$378,"TOTAL_EQUITY_SEQUENTIAL_GROWTH","FQ2 2015","FQ2 2015","Currency=INR","Period=FQ","BEST_FPERIOD_OVERRIDE=FQ","FILING_STATUS=OR","EQY_CONSOLIDATED=Y","Sort=A","Dates=H","DateFormat=P","Fill=—","Direction=H","UseDPDF=Y")</f>
        <v>#NAME?</v>
      </c>
      <c r="BV385" s="2" t="e">
        <f ca="1">_xll.BDH($C$378,"TOTAL_CAPITAL_SEQUENTIAL_GROWTH","FQ2 2015","FQ2 2015","Currency=INR","Period=FQ","BEST_FPERIOD_OVERRIDE=FQ","FILING_STATUS=OR","EQY_CONSOLIDATED=Y","Sort=A","Dates=H","DateFormat=P","Fill=—","Direction=H","UseDPDF=Y")</f>
        <v>#NAME?</v>
      </c>
      <c r="BW385" s="2" t="e">
        <f ca="1">_xll.BDH($C$378,"BPS_SEQUENTIAL_GROWTH","FQ2 2015","FQ2 2015","Currency=INR","Period=FQ","BEST_FPERIOD_OVERRIDE=FQ","FILING_STATUS=OR","EQY_CONSOLIDATED=Y","Sort=A","Dates=H","DateFormat=P","Fill=—","Direction=H","UseDPDF=Y")</f>
        <v>#NAME?</v>
      </c>
      <c r="BX385" s="2" t="e">
        <f ca="1">_xll.BDH($C$378,"CFO_SEQUENTIAL_GROWTH","FQ2 2015","FQ2 2015","Currency=INR","Period=FQ","BEST_FPERIOD_OVERRIDE=FQ","FILING_STATUS=OR","EQY_CONSOLIDATED=Y","Sort=A","Dates=H","DateFormat=P","Fill=—","Direction=H","UseDPDF=Y")</f>
        <v>#NAME?</v>
      </c>
      <c r="BY385" s="3" t="e">
        <f ca="1">_xll.BDH($C$378,"SHORT_AND_LONG_TERM_DEBT","FQ2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385" s="3" t="e">
        <f ca="1">_xll.BDH($C$378,"BS_ST_BORROW","FQ2 2015","FQ2 2015","Currency=INR","Period=FQ","BEST_FPERIOD_OVERRIDE=FQ","FILING_STATUS=OR","EQY_CONSOLIDATED=Y","SCALING_FORMAT=MLN","Sort=A","Dates=H","DateFormat=P","Fill=—","Direction=H","UseDPDF=Y")</f>
        <v>#NAME?</v>
      </c>
      <c r="CA385" s="3" t="e">
        <f ca="1">_xll.BDH($C$378,"BS_LT_BORROW","FQ2 2015","FQ2 2015","Currency=INR","Period=FQ","BEST_FPERIOD_OVERRIDE=FQ","FILING_STATUS=OR","EQY_CONSOLIDATED=Y","SCALING_FORMAT=MLN","Sort=A","Dates=H","DateFormat=P","Fill=—","Direction=H","UseDPDF=Y")</f>
        <v>#NAME?</v>
      </c>
      <c r="CB385" s="2" t="e">
        <f ca="1">_xll.BDH($C$378,"TOT_DEBT_TO_EBITDA","FQ2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385" s="2" t="e">
        <f ca="1">_xll.BDH($C$378,"NET_DEBT_TO_EBITDA","FQ2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385" s="2" t="e">
        <f ca="1">_xll.BDH($C$378,"TOTAL_DEBT_TO_EBIT","FQ2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385" s="2" t="e">
        <f ca="1">_xll.BDH($C$378,"NET_DEBT_TO_EBIT","FQ2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385" s="2" t="e">
        <f ca="1">_xll.BDH($C$378,"EBITDA_TO_INTEREST_EXPN","FQ2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385" s="2" t="e">
        <f ca="1">_xll.BDH($C$378,"COM_EQY_TO_TOT_ASSET","FQ2 2015","FQ2 2015","Currency=INR","Period=FQ","BEST_FPERIOD_OVERRIDE=FQ","FILING_STATUS=OR","EQY_CONSOLIDATED=Y","Sort=A","Dates=H","DateFormat=P","Fill=—","Direction=H","UseDPDF=Y")</f>
        <v>#NAME?</v>
      </c>
      <c r="CH385" s="2" t="e">
        <f ca="1">_xll.BDH($C$378,"LT_DEBT_TO_TOT_EQY","FQ2 2015","FQ2 2015","Currency=INR","Period=FQ","BEST_FPERIOD_OVERRIDE=FQ","FILING_STATUS=OR","EQY_CONSOLIDATED=Y","Sort=A","Dates=H","DateFormat=P","Fill=—","Direction=H","UseDPDF=Y")</f>
        <v>#NAME?</v>
      </c>
      <c r="CI385" s="2" t="e">
        <f ca="1">_xll.BDH($C$378,"LT_DEBT_TO_TOT_CAP","FQ2 2015","FQ2 2015","Currency=INR","Period=FQ","BEST_FPERIOD_OVERRIDE=FQ","FILING_STATUS=OR","EQY_CONSOLIDATED=Y","Sort=A","Dates=H","DateFormat=P","Fill=—","Direction=H","UseDPDF=Y")</f>
        <v>#NAME?</v>
      </c>
      <c r="CJ385" s="2" t="e">
        <f ca="1">_xll.BDH($C$378,"LT_DEBT_TO_TOT_ASSET","FQ2 2015","FQ2 2015","Currency=INR","Period=FQ","BEST_FPERIOD_OVERRIDE=FQ","FILING_STATUS=OR","EQY_CONSOLIDATED=Y","Sort=A","Dates=H","DateFormat=P","Fill=—","Direction=H","UseDPDF=Y")</f>
        <v>#NAME?</v>
      </c>
      <c r="CK385" s="2" t="e">
        <f ca="1">_xll.BDH($C$378,"TOT_DEBT_TO_TOT_EQY","FQ2 2015","FQ2 2015","Currency=INR","Period=FQ","BEST_FPERIOD_OVERRIDE=FQ","FILING_STATUS=OR","EQY_CONSOLIDATED=Y","Sort=A","Dates=H","DateFormat=P","Fill=—","Direction=H","UseDPDF=Y")</f>
        <v>#NAME?</v>
      </c>
      <c r="CL385" s="2" t="e">
        <f ca="1">_xll.BDH($C$378,"TOT_DEBT_TO_TOT_CAP","FQ2 2015","FQ2 2015","Currency=INR","Period=FQ","BEST_FPERIOD_OVERRIDE=FQ","FILING_STATUS=OR","EQY_CONSOLIDATED=Y","Sort=A","Dates=H","DateFormat=P","Fill=—","Direction=H","UseDPDF=Y")</f>
        <v>#NAME?</v>
      </c>
      <c r="CM385" s="2" t="e">
        <f ca="1">_xll.BDH($C$378,"TOT_DEBT_TO_TOT_ASSET","FQ2 2015","FQ2 2015","Currency=INR","Period=FQ","BEST_FPERIOD_OVERRIDE=FQ","FILING_STATUS=OR","EQY_CONSOLIDATED=Y","Sort=A","Dates=H","DateFormat=P","Fill=—","Direction=H","UseDPDF=Y")</f>
        <v>#NAME?</v>
      </c>
      <c r="CN385" s="2" t="e">
        <f ca="1">_xll.BDH($C$378,"NET_DEBT_TO_SHRHLDR_EQTY","FQ2 2015","FQ2 2015","Currency=INR","Period=FQ","BEST_FPERIOD_OVERRIDE=FQ","FILING_STATUS=OR","EQY_CONSOLIDATED=Y","Sort=A","Dates=H","DateFormat=P","Fill=—","Direction=H","UseDPDF=Y")</f>
        <v>#NAME?</v>
      </c>
      <c r="CO385" s="2" t="e">
        <f ca="1">_xll.BDH($C$378,"NET_DEBT_%_CAPITAL","FQ2 2015","FQ2 2015","Currency=INR","Period=FQ","BEST_FPERIOD_OVERRIDE=FQ","FILING_STATUS=OR","EQY_CONSOLIDATED=Y","Sort=A","Dates=H","DateFormat=P","Fill=—","Direction=H","UseDPDF=Y")</f>
        <v>#NAME?</v>
      </c>
      <c r="CP385" s="3" t="e">
        <f ca="1">_xll.BDH($C$378,"EBITDA","FQ2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385" s="3" t="e">
        <f ca="1">_xll.BDH($C$378,"EBITDA_AFTER_CAPEX","FQ2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385" s="3" t="e">
        <f ca="1">_xll.BDH($C$378,"IS_OPER_INC","FQ2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385" s="2" t="e">
        <f ca="1">_xll.BDH($C$378,"CASH_RATIO","FQ2 2015","FQ2 2015","Currency=INR","Period=FQ","BEST_FPERIOD_OVERRIDE=FQ","FILING_STATUS=OR","EQY_CONSOLIDATED=Y","Sort=A","Dates=H","DateFormat=P","Fill=—","Direction=H","UseDPDF=Y")</f>
        <v>#NAME?</v>
      </c>
      <c r="CT385" s="2" t="e">
        <f ca="1">_xll.BDH($C$378,"CUR_RATIO","FQ2 2015","FQ2 2015","Currency=INR","Period=FQ","BEST_FPERIOD_OVERRIDE=FQ","FILING_STATUS=OR","EQY_CONSOLIDATED=Y","Sort=A","Dates=H","DateFormat=P","Fill=—","Direction=H","UseDPDF=Y")</f>
        <v>#NAME?</v>
      </c>
      <c r="CU385" s="2" t="e">
        <f ca="1">_xll.BDH($C$378,"QUICK_RATIO","FQ2 2015","FQ2 2015","Currency=INR","Period=FQ","BEST_FPERIOD_OVERRIDE=FQ","FILING_STATUS=OR","EQY_CONSOLIDATED=Y","Sort=A","Dates=H","DateFormat=P","Fill=—","Direction=H","UseDPDF=Y")</f>
        <v>#NAME?</v>
      </c>
      <c r="CV385" s="2" t="e">
        <f ca="1">_xll.BDH($C$378,"ALTMAN_Z_SCORE","FQ2 2015","FQ2 2015","Currency=INR","Period=FQ","BEST_FPERIOD_OVERRIDE=FQ","FILING_STATUS=OR","EQY_CONSOLIDATED=Y","Sort=A","Dates=H","DateFormat=P","Fill=—","Direction=H","UseDPDF=Y")</f>
        <v>#NAME?</v>
      </c>
      <c r="CW385" s="4" t="e">
        <f ca="1">_xll.BDH($C$378,"ACCT_RCV_TURN","FQ2 2015","FQ2 2015","Currency=INR","Period=FQ","BEST_FPERIOD_OVERRIDE=FQ","FILING_STATUS=OR","EQY_CONSOLIDATED=Y","FA_ADJUSTED=GAAP","Sort=A","Dates=H","DateFormat=P","Fill=—","Direction=H","UseDPDF=Y")</f>
        <v>#NAME?</v>
      </c>
      <c r="CX385" s="2" t="e">
        <f ca="1">_xll.BDH($C$378,"ACCT_RCV_DAYS","FQ2 2015","FQ2 2015","Currency=INR","Period=FQ","BEST_FPERIOD_OVERRIDE=FQ","FILING_STATUS=OR","EQY_CONSOLIDATED=Y","FA_ADJUSTED=GAAP","Sort=A","Dates=H","DateFormat=P","Fill=—","Direction=H","UseDPDF=Y")</f>
        <v>#NAME?</v>
      </c>
      <c r="CY385" s="4" t="e">
        <f ca="1">_xll.BDH($C$378,"INVENT_TURN","FQ2 2015","FQ2 2015","Currency=INR","Period=FQ","BEST_FPERIOD_OVERRIDE=FQ","FILING_STATUS=OR","EQY_CONSOLIDATED=Y","FA_ADJUSTED=GAAP","Sort=A","Dates=H","DateFormat=P","Fill=—","Direction=H","UseDPDF=Y")</f>
        <v>#NAME?</v>
      </c>
      <c r="CZ385" s="2" t="e">
        <f ca="1">_xll.BDH($C$378,"INVENT_DAYS","FQ2 2015","FQ2 2015","Currency=INR","Period=FQ","BEST_FPERIOD_OVERRIDE=FQ","FILING_STATUS=OR","EQY_CONSOLIDATED=Y","FA_ADJUSTED=GAAP","Sort=A","Dates=H","DateFormat=P","Fill=—","Direction=H","UseDPDF=Y")</f>
        <v>#NAME?</v>
      </c>
      <c r="DA385" s="4" t="e">
        <f ca="1">_xll.BDH($C$378,"ACCOUNTS_PAYABLE_TURNOVER","FQ2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385" s="2" t="e">
        <f ca="1">_xll.BDH($C$378,"ACCOUNTS_PAYABLE_TURNOVER_DAYS","FQ2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385" s="4" t="e">
        <f ca="1">_xll.BDH($C$378,"CASH_CONVERSION_CYCLE","FQ2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385" s="4" t="e">
        <f ca="1">_xll.BDH($C$378,"INV_TO_CASH_DAYS","FQ2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385" s="5" t="e">
        <f ca="1">_xll.BDH($C$378,"BS_INVENTORIES","FQ2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385" s="3" t="e">
        <f ca="1">_xll.BDH($C$378,"INVTRY_RAW_MATERIALS","FQ2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385" s="3" t="e">
        <f ca="1">_xll.BDH($C$378,"INVTRY_IN_PROGRESS","FQ2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385" s="3" t="e">
        <f ca="1">_xll.BDH($C$378,"INVTRY_FINISHED_GOODS","FQ2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385" s="3" t="e">
        <f ca="1">_xll.BDH($C$378,"BS_OTHER_INV","FQ2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386" spans="1:113" x14ac:dyDescent="0.3">
      <c r="A386" s="6"/>
      <c r="B386" s="6"/>
      <c r="C386" s="6"/>
      <c r="D386" s="6"/>
      <c r="E386" t="s">
        <v>80</v>
      </c>
      <c r="F386" t="e">
        <f ca="1">_xll.BDH($C$378,"RETURN_COM_EQY","FQ3 2015","FQ3 2015","Currency=INR","Period=FQ","BEST_FPERIOD_OVERRIDE=FQ","FILING_STATUS=OR","EQY_CONSOLIDATED=Y","FA_ADJUSTED=GAAP","Sort=A","Dates=H","DateFormat=P","Fill=—","Direction=H","UseDPDF=Y")</f>
        <v>#NAME?</v>
      </c>
      <c r="G386" t="e">
        <f ca="1">_xll.BDH($C$378,"RETURN_ON_ASSET","FQ3 2015","FQ3 2015","Currency=INR","Period=FQ","BEST_FPERIOD_OVERRIDE=FQ","FILING_STATUS=OR","EQY_CONSOLIDATED=Y","FA_ADJUSTED=GAAP","Sort=A","Dates=H","DateFormat=P","Fill=—","Direction=H","UseDPDF=Y")</f>
        <v>#NAME?</v>
      </c>
      <c r="H386" t="e">
        <f ca="1">_xll.BDH($C$378,"RETURN_ON_CAP","FQ3 2015","FQ3 2015","Currency=INR","Period=FQ","BEST_FPERIOD_OVERRIDE=FQ","FILING_STATUS=OR","EQY_CONSOLIDATED=Y","FA_ADJUSTED=GAAP","Sort=A","Dates=H","DateFormat=P","Fill=—","Direction=H","UseDPDF=Y")</f>
        <v>#NAME?</v>
      </c>
      <c r="I386" t="e">
        <f ca="1">_xll.BDH($C$378,"RETURN_ON_INV_CAPITAL","FQ3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386" t="e">
        <f ca="1">_xll.BDH($C$378,"EBITDA_TO_REVENUE","FQ3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386" t="e">
        <f ca="1">_xll.BDH($C$378,"OPER_MARGIN","FQ3 2015","FQ3 2015","Currency=INR","Period=FQ","BEST_FPERIOD_OVERRIDE=FQ","FILING_STATUS=OR","EQY_CONSOLIDATED=Y","FA_ADJUSTED=GAAP","Sort=A","Dates=H","DateFormat=P","Fill=—","Direction=H","UseDPDF=Y")</f>
        <v>#NAME?</v>
      </c>
      <c r="L386" t="e">
        <f ca="1">_xll.BDH($C$378,"INCREMENTAL_OPERATING_MARGIN","FQ3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386" t="e">
        <f ca="1">_xll.BDH($C$378,"PRETAX_INC_TO_NET_SALES","FQ3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386" t="e">
        <f ca="1">_xll.BDH($C$378,"INC_BEF_XO_ITEMS_TO_NET_SALES","FQ3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386" t="e">
        <f ca="1">_xll.BDH($C$378,"PROF_MARGIN","FQ3 2015","FQ3 2015","Currency=INR","Period=FQ","BEST_FPERIOD_OVERRIDE=FQ","FILING_STATUS=OR","EQY_CONSOLIDATED=Y","FA_ADJUSTED=GAAP","Sort=A","Dates=H","DateFormat=P","Fill=—","Direction=H","UseDPDF=Y")</f>
        <v>#NAME?</v>
      </c>
      <c r="P386" t="e">
        <f ca="1">_xll.BDH($C$378,"NET_INCOME_TO_COMMON_MARGIN","FQ3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386" t="e">
        <f ca="1">_xll.BDH($C$378,"EFF_TAX_RATE","FQ3 2015","FQ3 2015","Currency=INR","Period=FQ","BEST_FPERIOD_OVERRIDE=FQ","FILING_STATUS=OR","EQY_CONSOLIDATED=Y","FA_ADJUSTED=GAAP","Sort=A","Dates=H","DateFormat=P","Fill=—","Direction=H","UseDPDF=Y")</f>
        <v>#NAME?</v>
      </c>
      <c r="R386" t="e">
        <f ca="1">_xll.BDH($C$378,"DVD_PAYOUT_RATIO","FQ3 2015","FQ3 2015","Currency=INR","Period=FQ","BEST_FPERIOD_OVERRIDE=FQ","FILING_STATUS=OR","EQY_CONSOLIDATED=Y","FA_ADJUSTED=GAAP","Sort=A","Dates=H","DateFormat=P","Fill=—","Direction=H","UseDPDF=Y")</f>
        <v>#NAME?</v>
      </c>
      <c r="S386" t="e">
        <f ca="1">_xll.BDH($C$378,"SUSTAIN_GROWTH_RT","FQ3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386" s="2" t="e">
        <f ca="1">_xll.BDH($C$378,"SALES_GROWTH","FQ3 2015","FQ3 2015","Currency=INR","Period=FQ","BEST_FPERIOD_OVERRIDE=FQ","FILING_STATUS=OR","EQY_CONSOLIDATED=Y","FA_ADJUSTED=GAAP","Sort=A","Dates=H","DateFormat=P","Fill=—","Direction=H","UseDPDF=Y")</f>
        <v>#NAME?</v>
      </c>
      <c r="U386" s="2" t="e">
        <f ca="1">_xll.BDH($C$378,"EBITDA_GROWTH","FQ3 2015","FQ3 2015","Currency=INR","Period=FQ","BEST_FPERIOD_OVERRIDE=FQ","FILING_STATUS=OR","EQY_CONSOLIDATED=Y","FA_ADJUSTED=GAAP","Sort=A","Dates=H","DateFormat=P","Fill=—","Direction=H","UseDPDF=Y")</f>
        <v>#NAME?</v>
      </c>
      <c r="V386" s="2" t="e">
        <f ca="1">_xll.BDH($C$378,"OPER_INC_GROWTH","FQ3 2015","FQ3 2015","Currency=INR","Period=FQ","BEST_FPERIOD_OVERRIDE=FQ","FILING_STATUS=OR","EQY_CONSOLIDATED=Y","FA_ADJUSTED=GAAP","Sort=A","Dates=H","DateFormat=P","Fill=—","Direction=H","UseDPDF=Y")</f>
        <v>#NAME?</v>
      </c>
      <c r="W386" s="2" t="e">
        <f ca="1">_xll.BDH($C$378,"EARN_FOR_COM_GROWTH","FQ3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386" s="2" t="e">
        <f ca="1">_xll.BDH($C$378,"DILUTED_EPS_AFT_XO_ITEMS_GROWTH","FQ3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386" s="2" t="e">
        <f ca="1">_xll.BDH($C$378,"DIVIDEND_PER_SHARE_1_YEAR_GROWTH","FQ3 2015","FQ3 2015","Currency=INR","Period=FQ","BEST_FPERIOD_OVERRIDE=FQ","FILING_STATUS=OR","EQY_CONSOLIDATED=Y","Sort=A","Dates=H","DateFormat=P","Fill=—","Direction=H","UseDPDF=Y")</f>
        <v>#NAME?</v>
      </c>
      <c r="Z386" s="2" t="e">
        <f ca="1">_xll.BDH($C$378,"ACCOUNTS_RECEIVABLE_GROWTH","FQ3 2015","FQ3 2015","Currency=INR","Period=FQ","BEST_FPERIOD_OVERRIDE=FQ","FILING_STATUS=OR","EQY_CONSOLIDATED=Y","Sort=A","Dates=H","DateFormat=P","Fill=—","Direction=H","UseDPDF=Y")</f>
        <v>#NAME?</v>
      </c>
      <c r="AA386" s="2" t="e">
        <f ca="1">_xll.BDH($C$378,"INVENTORY_GROWTH","FQ3 2015","FQ3 2015","Currency=INR","Period=FQ","BEST_FPERIOD_OVERRIDE=FQ","FILING_STATUS=OR","EQY_CONSOLIDATED=Y","Sort=A","Dates=H","DateFormat=P","Fill=—","Direction=H","UseDPDF=Y")</f>
        <v>#NAME?</v>
      </c>
      <c r="AB386" s="2" t="e">
        <f ca="1">_xll.BDH($C$378,"NET_FIXED_ASSETS_1_YEAR_GROWTH","FQ3 2015","FQ3 2015","Currency=INR","Period=FQ","BEST_FPERIOD_OVERRIDE=FQ","FILING_STATUS=OR","EQY_CONSOLIDATED=Y","Sort=A","Dates=H","DateFormat=P","Fill=—","Direction=H","UseDPDF=Y")</f>
        <v>#NAME?</v>
      </c>
      <c r="AC386" s="2" t="e">
        <f ca="1">_xll.BDH($C$378,"ASSET_GROWTH","FQ3 2015","FQ3 2015","Currency=INR","Period=FQ","BEST_FPERIOD_OVERRIDE=FQ","FILING_STATUS=OR","EQY_CONSOLIDATED=Y","Sort=A","Dates=H","DateFormat=P","Fill=—","Direction=H","UseDPDF=Y")</f>
        <v>#NAME?</v>
      </c>
      <c r="AD386" s="2" t="e">
        <f ca="1">_xll.BDH($C$378,"MODIFIED_WORK_CAP_GROWTH","FQ3 2015","FQ3 2015","Currency=INR","Period=FQ","BEST_FPERIOD_OVERRIDE=FQ","FILING_STATUS=OR","EQY_CONSOLIDATED=Y","Sort=A","Dates=H","DateFormat=P","Fill=—","Direction=H","UseDPDF=Y")</f>
        <v>#NAME?</v>
      </c>
      <c r="AE386" s="2" t="e">
        <f ca="1">_xll.BDH($C$378,"WORK_CAP_GROWTH","FQ3 2015","FQ3 2015","Currency=INR","Period=FQ","BEST_FPERIOD_OVERRIDE=FQ","FILING_STATUS=OR","EQY_CONSOLIDATED=Y","Sort=A","Dates=H","DateFormat=P","Fill=—","Direction=H","UseDPDF=Y")</f>
        <v>#NAME?</v>
      </c>
      <c r="AF386" s="2" t="e">
        <f ca="1">_xll.BDH($C$378,"ACCOUNTS_PAYABLE_GROWTH_1YR","FQ3 2015","FQ3 2015","Currency=INR","Period=FQ","BEST_FPERIOD_OVERRIDE=FQ","FILING_STATUS=OR","EQY_CONSOLIDATED=Y","Sort=A","Dates=H","DateFormat=P","Fill=—","Direction=H","UseDPDF=Y")</f>
        <v>#NAME?</v>
      </c>
      <c r="AG386" s="2" t="e">
        <f ca="1">_xll.BDH($C$378,"SHORT_TERM_DEBT_1_YEAR_GROWTH","FQ3 2015","FQ3 2015","Currency=INR","Period=FQ","BEST_FPERIOD_OVERRIDE=FQ","FILING_STATUS=OR","EQY_CONSOLIDATED=Y","Sort=A","Dates=H","DateFormat=P","Fill=—","Direction=H","UseDPDF=Y")</f>
        <v>#NAME?</v>
      </c>
      <c r="AH386" s="2" t="e">
        <f ca="1">_xll.BDH($C$378,"TOTAL_DEBT_1_YEAR_GROWTH","FQ3 2015","FQ3 2015","Currency=INR","Period=FQ","BEST_FPERIOD_OVERRIDE=FQ","FILING_STATUS=OR","EQY_CONSOLIDATED=Y","Sort=A","Dates=H","DateFormat=P","Fill=—","Direction=H","UseDPDF=Y")</f>
        <v>#NAME?</v>
      </c>
      <c r="AI386" s="2" t="e">
        <f ca="1">_xll.BDH($C$378,"TOTAL_EQUITY_1_YEAR_GROWTH","FQ3 2015","FQ3 2015","Currency=INR","Period=FQ","BEST_FPERIOD_OVERRIDE=FQ","FILING_STATUS=OR","EQY_CONSOLIDATED=Y","Sort=A","Dates=H","DateFormat=P","Fill=—","Direction=H","UseDPDF=Y")</f>
        <v>#NAME?</v>
      </c>
      <c r="AJ386" s="2" t="e">
        <f ca="1">_xll.BDH($C$378,"GROWTH_IN_CAP","FQ3 2015","FQ3 2015","Currency=INR","Period=FQ","BEST_FPERIOD_OVERRIDE=FQ","FILING_STATUS=OR","EQY_CONSOLIDATED=Y","Sort=A","Dates=H","DateFormat=P","Fill=—","Direction=H","UseDPDF=Y")</f>
        <v>#NAME?</v>
      </c>
      <c r="AK386" s="2" t="e">
        <f ca="1">_xll.BDH($C$378,"BVPS_GROWTH","FQ3 2015","FQ3 2015","Currency=INR","Period=FQ","BEST_FPERIOD_OVERRIDE=FQ","FILING_STATUS=OR","EQY_CONSOLIDATED=Y","Sort=A","Dates=H","DateFormat=P","Fill=—","Direction=H","UseDPDF=Y")</f>
        <v>#NAME?</v>
      </c>
      <c r="AL386" s="2" t="e">
        <f ca="1">_xll.BDH($C$378,"CASH_FLOW_GROWTH","FQ3 2015","FQ3 2015","Currency=INR","Period=FQ","BEST_FPERIOD_OVERRIDE=FQ","FILING_STATUS=OR","EQY_CONSOLIDATED=Y","Sort=A","Dates=H","DateFormat=P","Fill=—","Direction=H","UseDPDF=Y")</f>
        <v>#NAME?</v>
      </c>
      <c r="AM386" s="2" t="e">
        <f ca="1">_xll.BDH($C$378,"GEO_GROW_NET_SALES","FQ3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386" s="2" t="e">
        <f ca="1">_xll.BDH($C$378,"GEO_GROW_EBITDA","FQ3 2015","FQ3 2015","Currency=INR","Period=FQ","BEST_FPERIOD_OVERRIDE=FQ","FILING_STATUS=OR","EQY_CONSOLIDATED=Y","FA_ADJUSTED=GAAP","Sort=A","Dates=H","DateFormat=P","Fill=—","Direction=H","UseDPDF=Y")</f>
        <v>#NAME?</v>
      </c>
      <c r="AO386" s="2" t="e">
        <f ca="1">_xll.BDH($C$378,"GEO_GROW_OPER_INC","FQ3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386" s="2" t="e">
        <f ca="1">_xll.BDH($C$378,"NET_INCOME_TO_COMMON_5_YR_GROWTH","FQ3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386" s="2" t="e">
        <f ca="1">_xll.BDH($C$378,"5Y_GEO_GROWTH_DILUTED_EPS","FQ3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386" s="2" t="e">
        <f ca="1">_xll.BDH($C$378,"GEO_GROW_DVD_PER_SH","FQ3 2015","FQ3 2015","Currency=INR","Period=FQ","BEST_FPERIOD_OVERRIDE=FQ","FILING_STATUS=OR","EQY_CONSOLIDATED=Y","Sort=A","Dates=H","DateFormat=P","Fill=—","Direction=H","UseDPDF=Y")</f>
        <v>#NAME?</v>
      </c>
      <c r="AS386" s="2" t="e">
        <f ca="1">_xll.BDH($C$378,"ACCOUNTS_RECEIVABLE_5_YR_GROWTH","FQ3 2015","FQ3 2015","Currency=INR","Period=FQ","BEST_FPERIOD_OVERRIDE=FQ","FILING_STATUS=OR","EQY_CONSOLIDATED=Y","Sort=A","Dates=H","DateFormat=P","Fill=—","Direction=H","UseDPDF=Y")</f>
        <v>#NAME?</v>
      </c>
      <c r="AT386" s="2" t="e">
        <f ca="1">_xll.BDH($C$378,"INVENTORY_5_YEAR_GROWTH","FQ3 2015","FQ3 2015","Currency=INR","Period=FQ","BEST_FPERIOD_OVERRIDE=FQ","FILING_STATUS=OR","EQY_CONSOLIDATED=Y","Sort=A","Dates=H","DateFormat=P","Fill=—","Direction=H","UseDPDF=Y")</f>
        <v>#NAME?</v>
      </c>
      <c r="AU386" s="2" t="e">
        <f ca="1">_xll.BDH($C$378,"NET_FIXED_ASSETS_5_YEAR_GROWTH","FQ3 2015","FQ3 2015","Currency=INR","Period=FQ","BEST_FPERIOD_OVERRIDE=FQ","FILING_STATUS=OR","EQY_CONSOLIDATED=Y","Sort=A","Dates=H","DateFormat=P","Fill=—","Direction=H","UseDPDF=Y")</f>
        <v>#NAME?</v>
      </c>
      <c r="AV386" s="2" t="e">
        <f ca="1">_xll.BDH($C$378,"GEO_GROW_TOT_ASSET","FQ3 2015","FQ3 2015","Currency=INR","Period=FQ","BEST_FPERIOD_OVERRIDE=FQ","FILING_STATUS=OR","EQY_CONSOLIDATED=Y","Sort=A","Dates=H","DateFormat=P","Fill=—","Direction=H","UseDPDF=Y")</f>
        <v>#NAME?</v>
      </c>
      <c r="AW386" s="2" t="e">
        <f ca="1">_xll.BDH($C$378,"MODIFIED_WORKING_CPTL_5YR_GRWTH","FQ3 2015","FQ3 2015","Currency=INR","Period=FQ","BEST_FPERIOD_OVERRIDE=FQ","FILING_STATUS=OR","EQY_CONSOLIDATED=Y","Sort=A","Dates=H","DateFormat=P","Fill=—","Direction=H","UseDPDF=Y")</f>
        <v>#NAME?</v>
      </c>
      <c r="AX386" s="2" t="e">
        <f ca="1">_xll.BDH($C$378,"WORKING_CAPITAL_5_YEAR_GROWTH","FQ3 2015","FQ3 2015","Currency=INR","Period=FQ","BEST_FPERIOD_OVERRIDE=FQ","FILING_STATUS=OR","EQY_CONSOLIDATED=Y","Sort=A","Dates=H","DateFormat=P","Fill=—","Direction=H","UseDPDF=Y")</f>
        <v>#NAME?</v>
      </c>
      <c r="AY386" s="2" t="e">
        <f ca="1">_xll.BDH($C$378,"ACCOUNTS_PAYABLE_5_YEAR_GROWTH","FQ3 2015","FQ3 2015","Currency=INR","Period=FQ","BEST_FPERIOD_OVERRIDE=FQ","FILING_STATUS=OR","EQY_CONSOLIDATED=Y","Sort=A","Dates=H","DateFormat=P","Fill=—","Direction=H","UseDPDF=Y")</f>
        <v>#NAME?</v>
      </c>
      <c r="AZ386" s="2" t="e">
        <f ca="1">_xll.BDH($C$378,"SHORT_TERM_DEBT_5_YEAR_GROWTH","FQ3 2015","FQ3 2015","Currency=INR","Period=FQ","BEST_FPERIOD_OVERRIDE=FQ","FILING_STATUS=OR","EQY_CONSOLIDATED=Y","Sort=A","Dates=H","DateFormat=P","Fill=—","Direction=H","UseDPDF=Y")</f>
        <v>#NAME?</v>
      </c>
      <c r="BA386" s="2" t="e">
        <f ca="1">_xll.BDH($C$378,"TOTAL_DEBT_5_YEAR_GROWTH","FQ3 2015","FQ3 2015","Currency=INR","Period=FQ","BEST_FPERIOD_OVERRIDE=FQ","FILING_STATUS=OR","EQY_CONSOLIDATED=Y","Sort=A","Dates=H","DateFormat=P","Fill=—","Direction=H","UseDPDF=Y")</f>
        <v>#NAME?</v>
      </c>
      <c r="BB386" s="2" t="e">
        <f ca="1">_xll.BDH($C$378,"GEO_GROW_TOT_SHRHLDR_EQY","FQ3 2015","FQ3 2015","Currency=INR","Period=FQ","BEST_FPERIOD_OVERRIDE=FQ","FILING_STATUS=OR","EQY_CONSOLIDATED=Y","Sort=A","Dates=H","DateFormat=P","Fill=—","Direction=H","UseDPDF=Y")</f>
        <v>#NAME?</v>
      </c>
      <c r="BC386" s="2" t="e">
        <f ca="1">_xll.BDH($C$378,"TOTAL_CAPITAL_5_YEAR_GROWTH","FQ3 2015","FQ3 2015","Currency=INR","Period=FQ","BEST_FPERIOD_OVERRIDE=FQ","FILING_STATUS=OR","EQY_CONSOLIDATED=Y","Sort=A","Dates=H","DateFormat=P","Fill=—","Direction=H","UseDPDF=Y")</f>
        <v>#NAME?</v>
      </c>
      <c r="BD386" s="2" t="e">
        <f ca="1">_xll.BDH($C$378,"GEO_GROW_BOOK_VAL","FQ3 2015","FQ3 2015","Currency=INR","Period=FQ","BEST_FPERIOD_OVERRIDE=FQ","FILING_STATUS=OR","EQY_CONSOLIDATED=Y","Sort=A","Dates=H","DateFormat=P","Fill=—","Direction=H","UseDPDF=Y")</f>
        <v>#NAME?</v>
      </c>
      <c r="BE386" s="2" t="e">
        <f ca="1">_xll.BDH($C$378,"GEO_GROW_CASH_OPER_ACT","FQ3 2015","FQ3 2015","Currency=INR","Period=FQ","BEST_FPERIOD_OVERRIDE=FQ","FILING_STATUS=OR","EQY_CONSOLIDATED=Y","Sort=A","Dates=H","DateFormat=P","Fill=—","Direction=H","UseDPDF=Y")</f>
        <v>#NAME?</v>
      </c>
      <c r="BF386" s="2" t="e">
        <f ca="1">_xll.BDH($C$378,"REVENUE_SEQUENTIAL_GROWTH","FQ3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386" s="2" t="e">
        <f ca="1">_xll.BDH($C$378,"EBITDA_SEQUENTIAL_GROWTH","FQ3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386" s="2" t="e">
        <f ca="1">_xll.BDH($C$378,"OPERATING_INCOME_SEQ_GROWTH","FQ3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386" s="2" t="e">
        <f ca="1">_xll.BDH($C$378,"NET_INCOME_TO_COMMON_SEQ_GROWTH","FQ3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386" s="2" t="e">
        <f ca="1">_xll.BDH($C$378,"EPS_DILUTED_SEQUENTIAL_GROWTH","FQ3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386" s="2" t="e">
        <f ca="1">_xll.BDH($C$378,"DPS_SEQUENTIAL_GROWTH","FQ3 2015","FQ3 2015","Currency=INR","Period=FQ","BEST_FPERIOD_OVERRIDE=FQ","FILING_STATUS=OR","EQY_CONSOLIDATED=Y","Sort=A","Dates=H","DateFormat=P","Fill=—","Direction=H","UseDPDF=Y")</f>
        <v>#NAME?</v>
      </c>
      <c r="BL386" s="2" t="e">
        <f ca="1">_xll.BDH($C$378,"ACCOUNTS_RECEIVABLE_SEQ_GROWTH","FQ3 2015","FQ3 2015","Currency=INR","Period=FQ","BEST_FPERIOD_OVERRIDE=FQ","FILING_STATUS=OR","EQY_CONSOLIDATED=Y","Sort=A","Dates=H","DateFormat=P","Fill=—","Direction=H","UseDPDF=Y")</f>
        <v>#NAME?</v>
      </c>
      <c r="BM386" s="2" t="e">
        <f ca="1">_xll.BDH($C$378,"INVENTORY_SEQUENTIAL_GROWTH","FQ3 2015","FQ3 2015","Currency=INR","Period=FQ","BEST_FPERIOD_OVERRIDE=FQ","FILING_STATUS=OR","EQY_CONSOLIDATED=Y","Sort=A","Dates=H","DateFormat=P","Fill=—","Direction=H","UseDPDF=Y")</f>
        <v>#NAME?</v>
      </c>
      <c r="BN386" s="2" t="e">
        <f ca="1">_xll.BDH($C$378,"FIXED_ASSETS_SEQUENTIAL_GROWTH","FQ3 2015","FQ3 2015","Currency=INR","Period=FQ","BEST_FPERIOD_OVERRIDE=FQ","FILING_STATUS=OR","EQY_CONSOLIDATED=Y","Sort=A","Dates=H","DateFormat=P","Fill=—","Direction=H","UseDPDF=Y")</f>
        <v>#NAME?</v>
      </c>
      <c r="BO386" s="2" t="e">
        <f ca="1">_xll.BDH($C$378,"TOTAL_ASSETS_SEQUENTIAL_GROWTH","FQ3 2015","FQ3 2015","Currency=INR","Period=FQ","BEST_FPERIOD_OVERRIDE=FQ","FILING_STATUS=OR","EQY_CONSOLIDATED=Y","Sort=A","Dates=H","DateFormat=P","Fill=—","Direction=H","UseDPDF=Y")</f>
        <v>#NAME?</v>
      </c>
      <c r="BP386" s="2" t="e">
        <f ca="1">_xll.BDH($C$378,"MODIFIED_WORKING_CPTL_SEQ_GRWTH","FQ3 2015","FQ3 2015","Currency=INR","Period=FQ","BEST_FPERIOD_OVERRIDE=FQ","FILING_STATUS=OR","EQY_CONSOLIDATED=Y","Sort=A","Dates=H","DateFormat=P","Fill=—","Direction=H","UseDPDF=Y")</f>
        <v>#NAME?</v>
      </c>
      <c r="BQ386" s="2" t="e">
        <f ca="1">_xll.BDH($C$378,"WORKING_CAPITAL_SEQ_GROWTH","FQ3 2015","FQ3 2015","Currency=INR","Period=FQ","BEST_FPERIOD_OVERRIDE=FQ","FILING_STATUS=OR","EQY_CONSOLIDATED=Y","Sort=A","Dates=H","DateFormat=P","Fill=—","Direction=H","UseDPDF=Y")</f>
        <v>#NAME?</v>
      </c>
      <c r="BR386" s="2" t="e">
        <f ca="1">_xll.BDH($C$378,"ACCOUNTS_PAYABLE_SEQ_GROWTH","FQ3 2015","FQ3 2015","Currency=INR","Period=FQ","BEST_FPERIOD_OVERRIDE=FQ","FILING_STATUS=OR","EQY_CONSOLIDATED=Y","Sort=A","Dates=H","DateFormat=P","Fill=—","Direction=H","UseDPDF=Y")</f>
        <v>#NAME?</v>
      </c>
      <c r="BS386" s="2" t="e">
        <f ca="1">_xll.BDH($C$378,"ST_DEBT_SEQUENTIAL_GROWTH","FQ3 2015","FQ3 2015","Currency=INR","Period=FQ","BEST_FPERIOD_OVERRIDE=FQ","FILING_STATUS=OR","EQY_CONSOLIDATED=Y","Sort=A","Dates=H","DateFormat=P","Fill=—","Direction=H","UseDPDF=Y")</f>
        <v>#NAME?</v>
      </c>
      <c r="BT386" s="2" t="e">
        <f ca="1">_xll.BDH($C$378,"TOTAL_DEBT_SEQUENTIAL_GROWTH","FQ3 2015","FQ3 2015","Currency=INR","Period=FQ","BEST_FPERIOD_OVERRIDE=FQ","FILING_STATUS=OR","EQY_CONSOLIDATED=Y","Sort=A","Dates=H","DateFormat=P","Fill=—","Direction=H","UseDPDF=Y")</f>
        <v>#NAME?</v>
      </c>
      <c r="BU386" s="2" t="e">
        <f ca="1">_xll.BDH($C$378,"TOTAL_EQUITY_SEQUENTIAL_GROWTH","FQ3 2015","FQ3 2015","Currency=INR","Period=FQ","BEST_FPERIOD_OVERRIDE=FQ","FILING_STATUS=OR","EQY_CONSOLIDATED=Y","Sort=A","Dates=H","DateFormat=P","Fill=—","Direction=H","UseDPDF=Y")</f>
        <v>#NAME?</v>
      </c>
      <c r="BV386" s="2" t="e">
        <f ca="1">_xll.BDH($C$378,"TOTAL_CAPITAL_SEQUENTIAL_GROWTH","FQ3 2015","FQ3 2015","Currency=INR","Period=FQ","BEST_FPERIOD_OVERRIDE=FQ","FILING_STATUS=OR","EQY_CONSOLIDATED=Y","Sort=A","Dates=H","DateFormat=P","Fill=—","Direction=H","UseDPDF=Y")</f>
        <v>#NAME?</v>
      </c>
      <c r="BW386" s="2" t="e">
        <f ca="1">_xll.BDH($C$378,"BPS_SEQUENTIAL_GROWTH","FQ3 2015","FQ3 2015","Currency=INR","Period=FQ","BEST_FPERIOD_OVERRIDE=FQ","FILING_STATUS=OR","EQY_CONSOLIDATED=Y","Sort=A","Dates=H","DateFormat=P","Fill=—","Direction=H","UseDPDF=Y")</f>
        <v>#NAME?</v>
      </c>
      <c r="BX386" s="2" t="e">
        <f ca="1">_xll.BDH($C$378,"CFO_SEQUENTIAL_GROWTH","FQ3 2015","FQ3 2015","Currency=INR","Period=FQ","BEST_FPERIOD_OVERRIDE=FQ","FILING_STATUS=OR","EQY_CONSOLIDATED=Y","Sort=A","Dates=H","DateFormat=P","Fill=—","Direction=H","UseDPDF=Y")</f>
        <v>#NAME?</v>
      </c>
      <c r="BY386" s="3" t="e">
        <f ca="1">_xll.BDH($C$378,"SHORT_AND_LONG_TERM_DEBT","FQ3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386" s="3" t="e">
        <f ca="1">_xll.BDH($C$378,"BS_ST_BORROW","FQ3 2015","FQ3 2015","Currency=INR","Period=FQ","BEST_FPERIOD_OVERRIDE=FQ","FILING_STATUS=OR","EQY_CONSOLIDATED=Y","SCALING_FORMAT=MLN","Sort=A","Dates=H","DateFormat=P","Fill=—","Direction=H","UseDPDF=Y")</f>
        <v>#NAME?</v>
      </c>
      <c r="CA386" s="3" t="e">
        <f ca="1">_xll.BDH($C$378,"BS_LT_BORROW","FQ3 2015","FQ3 2015","Currency=INR","Period=FQ","BEST_FPERIOD_OVERRIDE=FQ","FILING_STATUS=OR","EQY_CONSOLIDATED=Y","SCALING_FORMAT=MLN","Sort=A","Dates=H","DateFormat=P","Fill=—","Direction=H","UseDPDF=Y")</f>
        <v>#NAME?</v>
      </c>
      <c r="CB386" s="2" t="e">
        <f ca="1">_xll.BDH($C$378,"TOT_DEBT_TO_EBITDA","FQ3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386" s="2" t="e">
        <f ca="1">_xll.BDH($C$378,"NET_DEBT_TO_EBITDA","FQ3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386" s="2" t="e">
        <f ca="1">_xll.BDH($C$378,"TOTAL_DEBT_TO_EBIT","FQ3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386" s="2" t="e">
        <f ca="1">_xll.BDH($C$378,"NET_DEBT_TO_EBIT","FQ3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386" s="2" t="e">
        <f ca="1">_xll.BDH($C$378,"EBITDA_TO_INTEREST_EXPN","FQ3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386" s="2" t="e">
        <f ca="1">_xll.BDH($C$378,"COM_EQY_TO_TOT_ASSET","FQ3 2015","FQ3 2015","Currency=INR","Period=FQ","BEST_FPERIOD_OVERRIDE=FQ","FILING_STATUS=OR","EQY_CONSOLIDATED=Y","Sort=A","Dates=H","DateFormat=P","Fill=—","Direction=H","UseDPDF=Y")</f>
        <v>#NAME?</v>
      </c>
      <c r="CH386" s="2" t="e">
        <f ca="1">_xll.BDH($C$378,"LT_DEBT_TO_TOT_EQY","FQ3 2015","FQ3 2015","Currency=INR","Period=FQ","BEST_FPERIOD_OVERRIDE=FQ","FILING_STATUS=OR","EQY_CONSOLIDATED=Y","Sort=A","Dates=H","DateFormat=P","Fill=—","Direction=H","UseDPDF=Y")</f>
        <v>#NAME?</v>
      </c>
      <c r="CI386" s="2" t="e">
        <f ca="1">_xll.BDH($C$378,"LT_DEBT_TO_TOT_CAP","FQ3 2015","FQ3 2015","Currency=INR","Period=FQ","BEST_FPERIOD_OVERRIDE=FQ","FILING_STATUS=OR","EQY_CONSOLIDATED=Y","Sort=A","Dates=H","DateFormat=P","Fill=—","Direction=H","UseDPDF=Y")</f>
        <v>#NAME?</v>
      </c>
      <c r="CJ386" s="2" t="e">
        <f ca="1">_xll.BDH($C$378,"LT_DEBT_TO_TOT_ASSET","FQ3 2015","FQ3 2015","Currency=INR","Period=FQ","BEST_FPERIOD_OVERRIDE=FQ","FILING_STATUS=OR","EQY_CONSOLIDATED=Y","Sort=A","Dates=H","DateFormat=P","Fill=—","Direction=H","UseDPDF=Y")</f>
        <v>#NAME?</v>
      </c>
      <c r="CK386" s="2" t="e">
        <f ca="1">_xll.BDH($C$378,"TOT_DEBT_TO_TOT_EQY","FQ3 2015","FQ3 2015","Currency=INR","Period=FQ","BEST_FPERIOD_OVERRIDE=FQ","FILING_STATUS=OR","EQY_CONSOLIDATED=Y","Sort=A","Dates=H","DateFormat=P","Fill=—","Direction=H","UseDPDF=Y")</f>
        <v>#NAME?</v>
      </c>
      <c r="CL386" s="2" t="e">
        <f ca="1">_xll.BDH($C$378,"TOT_DEBT_TO_TOT_CAP","FQ3 2015","FQ3 2015","Currency=INR","Period=FQ","BEST_FPERIOD_OVERRIDE=FQ","FILING_STATUS=OR","EQY_CONSOLIDATED=Y","Sort=A","Dates=H","DateFormat=P","Fill=—","Direction=H","UseDPDF=Y")</f>
        <v>#NAME?</v>
      </c>
      <c r="CM386" s="2" t="e">
        <f ca="1">_xll.BDH($C$378,"TOT_DEBT_TO_TOT_ASSET","FQ3 2015","FQ3 2015","Currency=INR","Period=FQ","BEST_FPERIOD_OVERRIDE=FQ","FILING_STATUS=OR","EQY_CONSOLIDATED=Y","Sort=A","Dates=H","DateFormat=P","Fill=—","Direction=H","UseDPDF=Y")</f>
        <v>#NAME?</v>
      </c>
      <c r="CN386" s="2" t="e">
        <f ca="1">_xll.BDH($C$378,"NET_DEBT_TO_SHRHLDR_EQTY","FQ3 2015","FQ3 2015","Currency=INR","Period=FQ","BEST_FPERIOD_OVERRIDE=FQ","FILING_STATUS=OR","EQY_CONSOLIDATED=Y","Sort=A","Dates=H","DateFormat=P","Fill=—","Direction=H","UseDPDF=Y")</f>
        <v>#NAME?</v>
      </c>
      <c r="CO386" s="2" t="e">
        <f ca="1">_xll.BDH($C$378,"NET_DEBT_%_CAPITAL","FQ3 2015","FQ3 2015","Currency=INR","Period=FQ","BEST_FPERIOD_OVERRIDE=FQ","FILING_STATUS=OR","EQY_CONSOLIDATED=Y","Sort=A","Dates=H","DateFormat=P","Fill=—","Direction=H","UseDPDF=Y")</f>
        <v>#NAME?</v>
      </c>
      <c r="CP386" s="3" t="e">
        <f ca="1">_xll.BDH($C$378,"EBITDA","FQ3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386" s="3" t="e">
        <f ca="1">_xll.BDH($C$378,"EBITDA_AFTER_CAPEX","FQ3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386" s="3" t="e">
        <f ca="1">_xll.BDH($C$378,"IS_OPER_INC","FQ3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386" s="2" t="e">
        <f ca="1">_xll.BDH($C$378,"CASH_RATIO","FQ3 2015","FQ3 2015","Currency=INR","Period=FQ","BEST_FPERIOD_OVERRIDE=FQ","FILING_STATUS=OR","EQY_CONSOLIDATED=Y","Sort=A","Dates=H","DateFormat=P","Fill=—","Direction=H","UseDPDF=Y")</f>
        <v>#NAME?</v>
      </c>
      <c r="CT386" s="2" t="e">
        <f ca="1">_xll.BDH($C$378,"CUR_RATIO","FQ3 2015","FQ3 2015","Currency=INR","Period=FQ","BEST_FPERIOD_OVERRIDE=FQ","FILING_STATUS=OR","EQY_CONSOLIDATED=Y","Sort=A","Dates=H","DateFormat=P","Fill=—","Direction=H","UseDPDF=Y")</f>
        <v>#NAME?</v>
      </c>
      <c r="CU386" s="2" t="e">
        <f ca="1">_xll.BDH($C$378,"QUICK_RATIO","FQ3 2015","FQ3 2015","Currency=INR","Period=FQ","BEST_FPERIOD_OVERRIDE=FQ","FILING_STATUS=OR","EQY_CONSOLIDATED=Y","Sort=A","Dates=H","DateFormat=P","Fill=—","Direction=H","UseDPDF=Y")</f>
        <v>#NAME?</v>
      </c>
      <c r="CV386" s="2" t="e">
        <f ca="1">_xll.BDH($C$378,"ALTMAN_Z_SCORE","FQ3 2015","FQ3 2015","Currency=INR","Period=FQ","BEST_FPERIOD_OVERRIDE=FQ","FILING_STATUS=OR","EQY_CONSOLIDATED=Y","Sort=A","Dates=H","DateFormat=P","Fill=—","Direction=H","UseDPDF=Y")</f>
        <v>#NAME?</v>
      </c>
      <c r="CW386" s="4" t="e">
        <f ca="1">_xll.BDH($C$378,"ACCT_RCV_TURN","FQ3 2015","FQ3 2015","Currency=INR","Period=FQ","BEST_FPERIOD_OVERRIDE=FQ","FILING_STATUS=OR","EQY_CONSOLIDATED=Y","FA_ADJUSTED=GAAP","Sort=A","Dates=H","DateFormat=P","Fill=—","Direction=H","UseDPDF=Y")</f>
        <v>#NAME?</v>
      </c>
      <c r="CX386" s="2" t="e">
        <f ca="1">_xll.BDH($C$378,"ACCT_RCV_DAYS","FQ3 2015","FQ3 2015","Currency=INR","Period=FQ","BEST_FPERIOD_OVERRIDE=FQ","FILING_STATUS=OR","EQY_CONSOLIDATED=Y","FA_ADJUSTED=GAAP","Sort=A","Dates=H","DateFormat=P","Fill=—","Direction=H","UseDPDF=Y")</f>
        <v>#NAME?</v>
      </c>
      <c r="CY386" s="4" t="e">
        <f ca="1">_xll.BDH($C$378,"INVENT_TURN","FQ3 2015","FQ3 2015","Currency=INR","Period=FQ","BEST_FPERIOD_OVERRIDE=FQ","FILING_STATUS=OR","EQY_CONSOLIDATED=Y","FA_ADJUSTED=GAAP","Sort=A","Dates=H","DateFormat=P","Fill=—","Direction=H","UseDPDF=Y")</f>
        <v>#NAME?</v>
      </c>
      <c r="CZ386" s="2" t="e">
        <f ca="1">_xll.BDH($C$378,"INVENT_DAYS","FQ3 2015","FQ3 2015","Currency=INR","Period=FQ","BEST_FPERIOD_OVERRIDE=FQ","FILING_STATUS=OR","EQY_CONSOLIDATED=Y","FA_ADJUSTED=GAAP","Sort=A","Dates=H","DateFormat=P","Fill=—","Direction=H","UseDPDF=Y")</f>
        <v>#NAME?</v>
      </c>
      <c r="DA386" s="4" t="e">
        <f ca="1">_xll.BDH($C$378,"ACCOUNTS_PAYABLE_TURNOVER","FQ3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386" s="2" t="e">
        <f ca="1">_xll.BDH($C$378,"ACCOUNTS_PAYABLE_TURNOVER_DAYS","FQ3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386" s="4" t="e">
        <f ca="1">_xll.BDH($C$378,"CASH_CONVERSION_CYCLE","FQ3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386" s="4" t="e">
        <f ca="1">_xll.BDH($C$378,"INV_TO_CASH_DAYS","FQ3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386" s="5" t="e">
        <f ca="1">_xll.BDH($C$378,"BS_INVENTORIES","FQ3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386" s="3" t="e">
        <f ca="1">_xll.BDH($C$378,"INVTRY_RAW_MATERIALS","FQ3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386" s="3" t="e">
        <f ca="1">_xll.BDH($C$378,"INVTRY_IN_PROGRESS","FQ3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386" s="3" t="e">
        <f ca="1">_xll.BDH($C$378,"INVTRY_FINISHED_GOODS","FQ3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386" s="3" t="e">
        <f ca="1">_xll.BDH($C$378,"BS_OTHER_INV","FQ3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387" spans="1:113" x14ac:dyDescent="0.3">
      <c r="A387" s="6"/>
      <c r="B387" s="6"/>
      <c r="C387" s="6"/>
      <c r="D387" s="6"/>
      <c r="E387" t="s">
        <v>81</v>
      </c>
      <c r="F387" t="e">
        <f ca="1">_xll.BDH($C$378,"RETURN_COM_EQY","FQ4 2015","FQ4 2015","Currency=INR","Period=FQ","BEST_FPERIOD_OVERRIDE=FQ","FILING_STATUS=OR","EQY_CONSOLIDATED=Y","FA_ADJUSTED=GAAP","Sort=A","Dates=H","DateFormat=P","Fill=—","Direction=H","UseDPDF=Y")</f>
        <v>#NAME?</v>
      </c>
      <c r="G387" t="e">
        <f ca="1">_xll.BDH($C$378,"RETURN_ON_ASSET","FQ4 2015","FQ4 2015","Currency=INR","Period=FQ","BEST_FPERIOD_OVERRIDE=FQ","FILING_STATUS=OR","EQY_CONSOLIDATED=Y","FA_ADJUSTED=GAAP","Sort=A","Dates=H","DateFormat=P","Fill=—","Direction=H","UseDPDF=Y")</f>
        <v>#NAME?</v>
      </c>
      <c r="H387" t="e">
        <f ca="1">_xll.BDH($C$378,"RETURN_ON_CAP","FQ4 2015","FQ4 2015","Currency=INR","Period=FQ","BEST_FPERIOD_OVERRIDE=FQ","FILING_STATUS=OR","EQY_CONSOLIDATED=Y","FA_ADJUSTED=GAAP","Sort=A","Dates=H","DateFormat=P","Fill=—","Direction=H","UseDPDF=Y")</f>
        <v>#NAME?</v>
      </c>
      <c r="I387" t="e">
        <f ca="1">_xll.BDH($C$378,"RETURN_ON_INV_CAPITAL","FQ4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387" t="e">
        <f ca="1">_xll.BDH($C$378,"EBITDA_TO_REVENUE","FQ4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387" t="e">
        <f ca="1">_xll.BDH($C$378,"OPER_MARGIN","FQ4 2015","FQ4 2015","Currency=INR","Period=FQ","BEST_FPERIOD_OVERRIDE=FQ","FILING_STATUS=OR","EQY_CONSOLIDATED=Y","FA_ADJUSTED=GAAP","Sort=A","Dates=H","DateFormat=P","Fill=—","Direction=H","UseDPDF=Y")</f>
        <v>#NAME?</v>
      </c>
      <c r="L387" t="e">
        <f ca="1">_xll.BDH($C$378,"INCREMENTAL_OPERATING_MARGIN","FQ4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387" t="e">
        <f ca="1">_xll.BDH($C$378,"PRETAX_INC_TO_NET_SALES","FQ4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387" t="e">
        <f ca="1">_xll.BDH($C$378,"INC_BEF_XO_ITEMS_TO_NET_SALES","FQ4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387" t="e">
        <f ca="1">_xll.BDH($C$378,"PROF_MARGIN","FQ4 2015","FQ4 2015","Currency=INR","Period=FQ","BEST_FPERIOD_OVERRIDE=FQ","FILING_STATUS=OR","EQY_CONSOLIDATED=Y","FA_ADJUSTED=GAAP","Sort=A","Dates=H","DateFormat=P","Fill=—","Direction=H","UseDPDF=Y")</f>
        <v>#NAME?</v>
      </c>
      <c r="P387" t="e">
        <f ca="1">_xll.BDH($C$378,"NET_INCOME_TO_COMMON_MARGIN","FQ4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387" t="e">
        <f ca="1">_xll.BDH($C$378,"EFF_TAX_RATE","FQ4 2015","FQ4 2015","Currency=INR","Period=FQ","BEST_FPERIOD_OVERRIDE=FQ","FILING_STATUS=OR","EQY_CONSOLIDATED=Y","FA_ADJUSTED=GAAP","Sort=A","Dates=H","DateFormat=P","Fill=—","Direction=H","UseDPDF=Y")</f>
        <v>#NAME?</v>
      </c>
      <c r="R387" t="e">
        <f ca="1">_xll.BDH($C$378,"DVD_PAYOUT_RATIO","FQ4 2015","FQ4 2015","Currency=INR","Period=FQ","BEST_FPERIOD_OVERRIDE=FQ","FILING_STATUS=OR","EQY_CONSOLIDATED=Y","FA_ADJUSTED=GAAP","Sort=A","Dates=H","DateFormat=P","Fill=—","Direction=H","UseDPDF=Y")</f>
        <v>#NAME?</v>
      </c>
      <c r="S387" t="e">
        <f ca="1">_xll.BDH($C$378,"SUSTAIN_GROWTH_RT","FQ4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387" s="2" t="e">
        <f ca="1">_xll.BDH($C$378,"SALES_GROWTH","FQ4 2015","FQ4 2015","Currency=INR","Period=FQ","BEST_FPERIOD_OVERRIDE=FQ","FILING_STATUS=OR","EQY_CONSOLIDATED=Y","FA_ADJUSTED=GAAP","Sort=A","Dates=H","DateFormat=P","Fill=—","Direction=H","UseDPDF=Y")</f>
        <v>#NAME?</v>
      </c>
      <c r="U387" s="2" t="e">
        <f ca="1">_xll.BDH($C$378,"EBITDA_GROWTH","FQ4 2015","FQ4 2015","Currency=INR","Period=FQ","BEST_FPERIOD_OVERRIDE=FQ","FILING_STATUS=OR","EQY_CONSOLIDATED=Y","FA_ADJUSTED=GAAP","Sort=A","Dates=H","DateFormat=P","Fill=—","Direction=H","UseDPDF=Y")</f>
        <v>#NAME?</v>
      </c>
      <c r="V387" s="2" t="e">
        <f ca="1">_xll.BDH($C$378,"OPER_INC_GROWTH","FQ4 2015","FQ4 2015","Currency=INR","Period=FQ","BEST_FPERIOD_OVERRIDE=FQ","FILING_STATUS=OR","EQY_CONSOLIDATED=Y","FA_ADJUSTED=GAAP","Sort=A","Dates=H","DateFormat=P","Fill=—","Direction=H","UseDPDF=Y")</f>
        <v>#NAME?</v>
      </c>
      <c r="W387" s="2" t="e">
        <f ca="1">_xll.BDH($C$378,"EARN_FOR_COM_GROWTH","FQ4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387" s="2" t="e">
        <f ca="1">_xll.BDH($C$378,"DILUTED_EPS_AFT_XO_ITEMS_GROWTH","FQ4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387" s="2" t="e">
        <f ca="1">_xll.BDH($C$378,"DIVIDEND_PER_SHARE_1_YEAR_GROWTH","FQ4 2015","FQ4 2015","Currency=INR","Period=FQ","BEST_FPERIOD_OVERRIDE=FQ","FILING_STATUS=OR","EQY_CONSOLIDATED=Y","Sort=A","Dates=H","DateFormat=P","Fill=—","Direction=H","UseDPDF=Y")</f>
        <v>#NAME?</v>
      </c>
      <c r="Z387" s="2" t="e">
        <f ca="1">_xll.BDH($C$378,"ACCOUNTS_RECEIVABLE_GROWTH","FQ4 2015","FQ4 2015","Currency=INR","Period=FQ","BEST_FPERIOD_OVERRIDE=FQ","FILING_STATUS=OR","EQY_CONSOLIDATED=Y","Sort=A","Dates=H","DateFormat=P","Fill=—","Direction=H","UseDPDF=Y")</f>
        <v>#NAME?</v>
      </c>
      <c r="AA387" s="2" t="e">
        <f ca="1">_xll.BDH($C$378,"INVENTORY_GROWTH","FQ4 2015","FQ4 2015","Currency=INR","Period=FQ","BEST_FPERIOD_OVERRIDE=FQ","FILING_STATUS=OR","EQY_CONSOLIDATED=Y","Sort=A","Dates=H","DateFormat=P","Fill=—","Direction=H","UseDPDF=Y")</f>
        <v>#NAME?</v>
      </c>
      <c r="AB387" s="2" t="e">
        <f ca="1">_xll.BDH($C$378,"NET_FIXED_ASSETS_1_YEAR_GROWTH","FQ4 2015","FQ4 2015","Currency=INR","Period=FQ","BEST_FPERIOD_OVERRIDE=FQ","FILING_STATUS=OR","EQY_CONSOLIDATED=Y","Sort=A","Dates=H","DateFormat=P","Fill=—","Direction=H","UseDPDF=Y")</f>
        <v>#NAME?</v>
      </c>
      <c r="AC387" s="2" t="e">
        <f ca="1">_xll.BDH($C$378,"ASSET_GROWTH","FQ4 2015","FQ4 2015","Currency=INR","Period=FQ","BEST_FPERIOD_OVERRIDE=FQ","FILING_STATUS=OR","EQY_CONSOLIDATED=Y","Sort=A","Dates=H","DateFormat=P","Fill=—","Direction=H","UseDPDF=Y")</f>
        <v>#NAME?</v>
      </c>
      <c r="AD387" s="2" t="e">
        <f ca="1">_xll.BDH($C$378,"MODIFIED_WORK_CAP_GROWTH","FQ4 2015","FQ4 2015","Currency=INR","Period=FQ","BEST_FPERIOD_OVERRIDE=FQ","FILING_STATUS=OR","EQY_CONSOLIDATED=Y","Sort=A","Dates=H","DateFormat=P","Fill=—","Direction=H","UseDPDF=Y")</f>
        <v>#NAME?</v>
      </c>
      <c r="AE387" s="2" t="e">
        <f ca="1">_xll.BDH($C$378,"WORK_CAP_GROWTH","FQ4 2015","FQ4 2015","Currency=INR","Period=FQ","BEST_FPERIOD_OVERRIDE=FQ","FILING_STATUS=OR","EQY_CONSOLIDATED=Y","Sort=A","Dates=H","DateFormat=P","Fill=—","Direction=H","UseDPDF=Y")</f>
        <v>#NAME?</v>
      </c>
      <c r="AF387" s="2" t="e">
        <f ca="1">_xll.BDH($C$378,"ACCOUNTS_PAYABLE_GROWTH_1YR","FQ4 2015","FQ4 2015","Currency=INR","Period=FQ","BEST_FPERIOD_OVERRIDE=FQ","FILING_STATUS=OR","EQY_CONSOLIDATED=Y","Sort=A","Dates=H","DateFormat=P","Fill=—","Direction=H","UseDPDF=Y")</f>
        <v>#NAME?</v>
      </c>
      <c r="AG387" s="2" t="e">
        <f ca="1">_xll.BDH($C$378,"SHORT_TERM_DEBT_1_YEAR_GROWTH","FQ4 2015","FQ4 2015","Currency=INR","Period=FQ","BEST_FPERIOD_OVERRIDE=FQ","FILING_STATUS=OR","EQY_CONSOLIDATED=Y","Sort=A","Dates=H","DateFormat=P","Fill=—","Direction=H","UseDPDF=Y")</f>
        <v>#NAME?</v>
      </c>
      <c r="AH387" s="2" t="e">
        <f ca="1">_xll.BDH($C$378,"TOTAL_DEBT_1_YEAR_GROWTH","FQ4 2015","FQ4 2015","Currency=INR","Period=FQ","BEST_FPERIOD_OVERRIDE=FQ","FILING_STATUS=OR","EQY_CONSOLIDATED=Y","Sort=A","Dates=H","DateFormat=P","Fill=—","Direction=H","UseDPDF=Y")</f>
        <v>#NAME?</v>
      </c>
      <c r="AI387" s="2" t="e">
        <f ca="1">_xll.BDH($C$378,"TOTAL_EQUITY_1_YEAR_GROWTH","FQ4 2015","FQ4 2015","Currency=INR","Period=FQ","BEST_FPERIOD_OVERRIDE=FQ","FILING_STATUS=OR","EQY_CONSOLIDATED=Y","Sort=A","Dates=H","DateFormat=P","Fill=—","Direction=H","UseDPDF=Y")</f>
        <v>#NAME?</v>
      </c>
      <c r="AJ387" s="2" t="e">
        <f ca="1">_xll.BDH($C$378,"GROWTH_IN_CAP","FQ4 2015","FQ4 2015","Currency=INR","Period=FQ","BEST_FPERIOD_OVERRIDE=FQ","FILING_STATUS=OR","EQY_CONSOLIDATED=Y","Sort=A","Dates=H","DateFormat=P","Fill=—","Direction=H","UseDPDF=Y")</f>
        <v>#NAME?</v>
      </c>
      <c r="AK387" s="2" t="e">
        <f ca="1">_xll.BDH($C$378,"BVPS_GROWTH","FQ4 2015","FQ4 2015","Currency=INR","Period=FQ","BEST_FPERIOD_OVERRIDE=FQ","FILING_STATUS=OR","EQY_CONSOLIDATED=Y","Sort=A","Dates=H","DateFormat=P","Fill=—","Direction=H","UseDPDF=Y")</f>
        <v>#NAME?</v>
      </c>
      <c r="AL387" s="2" t="e">
        <f ca="1">_xll.BDH($C$378,"CASH_FLOW_GROWTH","FQ4 2015","FQ4 2015","Currency=INR","Period=FQ","BEST_FPERIOD_OVERRIDE=FQ","FILING_STATUS=OR","EQY_CONSOLIDATED=Y","Sort=A","Dates=H","DateFormat=P","Fill=—","Direction=H","UseDPDF=Y")</f>
        <v>#NAME?</v>
      </c>
      <c r="AM387" s="2" t="e">
        <f ca="1">_xll.BDH($C$378,"GEO_GROW_NET_SALES","FQ4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387" s="2" t="e">
        <f ca="1">_xll.BDH($C$378,"GEO_GROW_EBITDA","FQ4 2015","FQ4 2015","Currency=INR","Period=FQ","BEST_FPERIOD_OVERRIDE=FQ","FILING_STATUS=OR","EQY_CONSOLIDATED=Y","FA_ADJUSTED=GAAP","Sort=A","Dates=H","DateFormat=P","Fill=—","Direction=H","UseDPDF=Y")</f>
        <v>#NAME?</v>
      </c>
      <c r="AO387" s="2" t="e">
        <f ca="1">_xll.BDH($C$378,"GEO_GROW_OPER_INC","FQ4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387" s="2" t="e">
        <f ca="1">_xll.BDH($C$378,"NET_INCOME_TO_COMMON_5_YR_GROWTH","FQ4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387" s="2" t="e">
        <f ca="1">_xll.BDH($C$378,"5Y_GEO_GROWTH_DILUTED_EPS","FQ4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387" s="2" t="e">
        <f ca="1">_xll.BDH($C$378,"GEO_GROW_DVD_PER_SH","FQ4 2015","FQ4 2015","Currency=INR","Period=FQ","BEST_FPERIOD_OVERRIDE=FQ","FILING_STATUS=OR","EQY_CONSOLIDATED=Y","Sort=A","Dates=H","DateFormat=P","Fill=—","Direction=H","UseDPDF=Y")</f>
        <v>#NAME?</v>
      </c>
      <c r="AS387" s="2" t="e">
        <f ca="1">_xll.BDH($C$378,"ACCOUNTS_RECEIVABLE_5_YR_GROWTH","FQ4 2015","FQ4 2015","Currency=INR","Period=FQ","BEST_FPERIOD_OVERRIDE=FQ","FILING_STATUS=OR","EQY_CONSOLIDATED=Y","Sort=A","Dates=H","DateFormat=P","Fill=—","Direction=H","UseDPDF=Y")</f>
        <v>#NAME?</v>
      </c>
      <c r="AT387" s="2" t="e">
        <f ca="1">_xll.BDH($C$378,"INVENTORY_5_YEAR_GROWTH","FQ4 2015","FQ4 2015","Currency=INR","Period=FQ","BEST_FPERIOD_OVERRIDE=FQ","FILING_STATUS=OR","EQY_CONSOLIDATED=Y","Sort=A","Dates=H","DateFormat=P","Fill=—","Direction=H","UseDPDF=Y")</f>
        <v>#NAME?</v>
      </c>
      <c r="AU387" s="2" t="e">
        <f ca="1">_xll.BDH($C$378,"NET_FIXED_ASSETS_5_YEAR_GROWTH","FQ4 2015","FQ4 2015","Currency=INR","Period=FQ","BEST_FPERIOD_OVERRIDE=FQ","FILING_STATUS=OR","EQY_CONSOLIDATED=Y","Sort=A","Dates=H","DateFormat=P","Fill=—","Direction=H","UseDPDF=Y")</f>
        <v>#NAME?</v>
      </c>
      <c r="AV387" s="2" t="e">
        <f ca="1">_xll.BDH($C$378,"GEO_GROW_TOT_ASSET","FQ4 2015","FQ4 2015","Currency=INR","Period=FQ","BEST_FPERIOD_OVERRIDE=FQ","FILING_STATUS=OR","EQY_CONSOLIDATED=Y","Sort=A","Dates=H","DateFormat=P","Fill=—","Direction=H","UseDPDF=Y")</f>
        <v>#NAME?</v>
      </c>
      <c r="AW387" s="2" t="e">
        <f ca="1">_xll.BDH($C$378,"MODIFIED_WORKING_CPTL_5YR_GRWTH","FQ4 2015","FQ4 2015","Currency=INR","Period=FQ","BEST_FPERIOD_OVERRIDE=FQ","FILING_STATUS=OR","EQY_CONSOLIDATED=Y","Sort=A","Dates=H","DateFormat=P","Fill=—","Direction=H","UseDPDF=Y")</f>
        <v>#NAME?</v>
      </c>
      <c r="AX387" s="2" t="e">
        <f ca="1">_xll.BDH($C$378,"WORKING_CAPITAL_5_YEAR_GROWTH","FQ4 2015","FQ4 2015","Currency=INR","Period=FQ","BEST_FPERIOD_OVERRIDE=FQ","FILING_STATUS=OR","EQY_CONSOLIDATED=Y","Sort=A","Dates=H","DateFormat=P","Fill=—","Direction=H","UseDPDF=Y")</f>
        <v>#NAME?</v>
      </c>
      <c r="AY387" s="2" t="e">
        <f ca="1">_xll.BDH($C$378,"ACCOUNTS_PAYABLE_5_YEAR_GROWTH","FQ4 2015","FQ4 2015","Currency=INR","Period=FQ","BEST_FPERIOD_OVERRIDE=FQ","FILING_STATUS=OR","EQY_CONSOLIDATED=Y","Sort=A","Dates=H","DateFormat=P","Fill=—","Direction=H","UseDPDF=Y")</f>
        <v>#NAME?</v>
      </c>
      <c r="AZ387" s="2" t="e">
        <f ca="1">_xll.BDH($C$378,"SHORT_TERM_DEBT_5_YEAR_GROWTH","FQ4 2015","FQ4 2015","Currency=INR","Period=FQ","BEST_FPERIOD_OVERRIDE=FQ","FILING_STATUS=OR","EQY_CONSOLIDATED=Y","Sort=A","Dates=H","DateFormat=P","Fill=—","Direction=H","UseDPDF=Y")</f>
        <v>#NAME?</v>
      </c>
      <c r="BA387" s="2" t="e">
        <f ca="1">_xll.BDH($C$378,"TOTAL_DEBT_5_YEAR_GROWTH","FQ4 2015","FQ4 2015","Currency=INR","Period=FQ","BEST_FPERIOD_OVERRIDE=FQ","FILING_STATUS=OR","EQY_CONSOLIDATED=Y","Sort=A","Dates=H","DateFormat=P","Fill=—","Direction=H","UseDPDF=Y")</f>
        <v>#NAME?</v>
      </c>
      <c r="BB387" s="2" t="e">
        <f ca="1">_xll.BDH($C$378,"GEO_GROW_TOT_SHRHLDR_EQY","FQ4 2015","FQ4 2015","Currency=INR","Period=FQ","BEST_FPERIOD_OVERRIDE=FQ","FILING_STATUS=OR","EQY_CONSOLIDATED=Y","Sort=A","Dates=H","DateFormat=P","Fill=—","Direction=H","UseDPDF=Y")</f>
        <v>#NAME?</v>
      </c>
      <c r="BC387" s="2" t="e">
        <f ca="1">_xll.BDH($C$378,"TOTAL_CAPITAL_5_YEAR_GROWTH","FQ4 2015","FQ4 2015","Currency=INR","Period=FQ","BEST_FPERIOD_OVERRIDE=FQ","FILING_STATUS=OR","EQY_CONSOLIDATED=Y","Sort=A","Dates=H","DateFormat=P","Fill=—","Direction=H","UseDPDF=Y")</f>
        <v>#NAME?</v>
      </c>
      <c r="BD387" s="2" t="e">
        <f ca="1">_xll.BDH($C$378,"GEO_GROW_BOOK_VAL","FQ4 2015","FQ4 2015","Currency=INR","Period=FQ","BEST_FPERIOD_OVERRIDE=FQ","FILING_STATUS=OR","EQY_CONSOLIDATED=Y","Sort=A","Dates=H","DateFormat=P","Fill=—","Direction=H","UseDPDF=Y")</f>
        <v>#NAME?</v>
      </c>
      <c r="BE387" s="2" t="e">
        <f ca="1">_xll.BDH($C$378,"GEO_GROW_CASH_OPER_ACT","FQ4 2015","FQ4 2015","Currency=INR","Period=FQ","BEST_FPERIOD_OVERRIDE=FQ","FILING_STATUS=OR","EQY_CONSOLIDATED=Y","Sort=A","Dates=H","DateFormat=P","Fill=—","Direction=H","UseDPDF=Y")</f>
        <v>#NAME?</v>
      </c>
      <c r="BF387" s="2" t="e">
        <f ca="1">_xll.BDH($C$378,"REVENUE_SEQUENTIAL_GROWTH","FQ4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387" s="2" t="e">
        <f ca="1">_xll.BDH($C$378,"EBITDA_SEQUENTIAL_GROWTH","FQ4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387" s="2" t="e">
        <f ca="1">_xll.BDH($C$378,"OPERATING_INCOME_SEQ_GROWTH","FQ4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387" s="2" t="e">
        <f ca="1">_xll.BDH($C$378,"NET_INCOME_TO_COMMON_SEQ_GROWTH","FQ4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387" s="2" t="e">
        <f ca="1">_xll.BDH($C$378,"EPS_DILUTED_SEQUENTIAL_GROWTH","FQ4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387" s="2" t="e">
        <f ca="1">_xll.BDH($C$378,"DPS_SEQUENTIAL_GROWTH","FQ4 2015","FQ4 2015","Currency=INR","Period=FQ","BEST_FPERIOD_OVERRIDE=FQ","FILING_STATUS=OR","EQY_CONSOLIDATED=Y","Sort=A","Dates=H","DateFormat=P","Fill=—","Direction=H","UseDPDF=Y")</f>
        <v>#NAME?</v>
      </c>
      <c r="BL387" s="2" t="e">
        <f ca="1">_xll.BDH($C$378,"ACCOUNTS_RECEIVABLE_SEQ_GROWTH","FQ4 2015","FQ4 2015","Currency=INR","Period=FQ","BEST_FPERIOD_OVERRIDE=FQ","FILING_STATUS=OR","EQY_CONSOLIDATED=Y","Sort=A","Dates=H","DateFormat=P","Fill=—","Direction=H","UseDPDF=Y")</f>
        <v>#NAME?</v>
      </c>
      <c r="BM387" s="2" t="e">
        <f ca="1">_xll.BDH($C$378,"INVENTORY_SEQUENTIAL_GROWTH","FQ4 2015","FQ4 2015","Currency=INR","Period=FQ","BEST_FPERIOD_OVERRIDE=FQ","FILING_STATUS=OR","EQY_CONSOLIDATED=Y","Sort=A","Dates=H","DateFormat=P","Fill=—","Direction=H","UseDPDF=Y")</f>
        <v>#NAME?</v>
      </c>
      <c r="BN387" s="2" t="e">
        <f ca="1">_xll.BDH($C$378,"FIXED_ASSETS_SEQUENTIAL_GROWTH","FQ4 2015","FQ4 2015","Currency=INR","Period=FQ","BEST_FPERIOD_OVERRIDE=FQ","FILING_STATUS=OR","EQY_CONSOLIDATED=Y","Sort=A","Dates=H","DateFormat=P","Fill=—","Direction=H","UseDPDF=Y")</f>
        <v>#NAME?</v>
      </c>
      <c r="BO387" s="2" t="e">
        <f ca="1">_xll.BDH($C$378,"TOTAL_ASSETS_SEQUENTIAL_GROWTH","FQ4 2015","FQ4 2015","Currency=INR","Period=FQ","BEST_FPERIOD_OVERRIDE=FQ","FILING_STATUS=OR","EQY_CONSOLIDATED=Y","Sort=A","Dates=H","DateFormat=P","Fill=—","Direction=H","UseDPDF=Y")</f>
        <v>#NAME?</v>
      </c>
      <c r="BP387" s="2" t="e">
        <f ca="1">_xll.BDH($C$378,"MODIFIED_WORKING_CPTL_SEQ_GRWTH","FQ4 2015","FQ4 2015","Currency=INR","Period=FQ","BEST_FPERIOD_OVERRIDE=FQ","FILING_STATUS=OR","EQY_CONSOLIDATED=Y","Sort=A","Dates=H","DateFormat=P","Fill=—","Direction=H","UseDPDF=Y")</f>
        <v>#NAME?</v>
      </c>
      <c r="BQ387" s="2" t="e">
        <f ca="1">_xll.BDH($C$378,"WORKING_CAPITAL_SEQ_GROWTH","FQ4 2015","FQ4 2015","Currency=INR","Period=FQ","BEST_FPERIOD_OVERRIDE=FQ","FILING_STATUS=OR","EQY_CONSOLIDATED=Y","Sort=A","Dates=H","DateFormat=P","Fill=—","Direction=H","UseDPDF=Y")</f>
        <v>#NAME?</v>
      </c>
      <c r="BR387" s="2" t="e">
        <f ca="1">_xll.BDH($C$378,"ACCOUNTS_PAYABLE_SEQ_GROWTH","FQ4 2015","FQ4 2015","Currency=INR","Period=FQ","BEST_FPERIOD_OVERRIDE=FQ","FILING_STATUS=OR","EQY_CONSOLIDATED=Y","Sort=A","Dates=H","DateFormat=P","Fill=—","Direction=H","UseDPDF=Y")</f>
        <v>#NAME?</v>
      </c>
      <c r="BS387" s="2" t="e">
        <f ca="1">_xll.BDH($C$378,"ST_DEBT_SEQUENTIAL_GROWTH","FQ4 2015","FQ4 2015","Currency=INR","Period=FQ","BEST_FPERIOD_OVERRIDE=FQ","FILING_STATUS=OR","EQY_CONSOLIDATED=Y","Sort=A","Dates=H","DateFormat=P","Fill=—","Direction=H","UseDPDF=Y")</f>
        <v>#NAME?</v>
      </c>
      <c r="BT387" s="2" t="e">
        <f ca="1">_xll.BDH($C$378,"TOTAL_DEBT_SEQUENTIAL_GROWTH","FQ4 2015","FQ4 2015","Currency=INR","Period=FQ","BEST_FPERIOD_OVERRIDE=FQ","FILING_STATUS=OR","EQY_CONSOLIDATED=Y","Sort=A","Dates=H","DateFormat=P","Fill=—","Direction=H","UseDPDF=Y")</f>
        <v>#NAME?</v>
      </c>
      <c r="BU387" s="2" t="e">
        <f ca="1">_xll.BDH($C$378,"TOTAL_EQUITY_SEQUENTIAL_GROWTH","FQ4 2015","FQ4 2015","Currency=INR","Period=FQ","BEST_FPERIOD_OVERRIDE=FQ","FILING_STATUS=OR","EQY_CONSOLIDATED=Y","Sort=A","Dates=H","DateFormat=P","Fill=—","Direction=H","UseDPDF=Y")</f>
        <v>#NAME?</v>
      </c>
      <c r="BV387" s="2" t="e">
        <f ca="1">_xll.BDH($C$378,"TOTAL_CAPITAL_SEQUENTIAL_GROWTH","FQ4 2015","FQ4 2015","Currency=INR","Period=FQ","BEST_FPERIOD_OVERRIDE=FQ","FILING_STATUS=OR","EQY_CONSOLIDATED=Y","Sort=A","Dates=H","DateFormat=P","Fill=—","Direction=H","UseDPDF=Y")</f>
        <v>#NAME?</v>
      </c>
      <c r="BW387" s="2" t="e">
        <f ca="1">_xll.BDH($C$378,"BPS_SEQUENTIAL_GROWTH","FQ4 2015","FQ4 2015","Currency=INR","Period=FQ","BEST_FPERIOD_OVERRIDE=FQ","FILING_STATUS=OR","EQY_CONSOLIDATED=Y","Sort=A","Dates=H","DateFormat=P","Fill=—","Direction=H","UseDPDF=Y")</f>
        <v>#NAME?</v>
      </c>
      <c r="BX387" s="2" t="e">
        <f ca="1">_xll.BDH($C$378,"CFO_SEQUENTIAL_GROWTH","FQ4 2015","FQ4 2015","Currency=INR","Period=FQ","BEST_FPERIOD_OVERRIDE=FQ","FILING_STATUS=OR","EQY_CONSOLIDATED=Y","Sort=A","Dates=H","DateFormat=P","Fill=—","Direction=H","UseDPDF=Y")</f>
        <v>#NAME?</v>
      </c>
      <c r="BY387" s="3" t="e">
        <f ca="1">_xll.BDH($C$378,"SHORT_AND_LONG_TERM_DEBT","FQ4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387" s="3" t="e">
        <f ca="1">_xll.BDH($C$378,"BS_ST_BORROW","FQ4 2015","FQ4 2015","Currency=INR","Period=FQ","BEST_FPERIOD_OVERRIDE=FQ","FILING_STATUS=OR","EQY_CONSOLIDATED=Y","SCALING_FORMAT=MLN","Sort=A","Dates=H","DateFormat=P","Fill=—","Direction=H","UseDPDF=Y")</f>
        <v>#NAME?</v>
      </c>
      <c r="CA387" s="3" t="e">
        <f ca="1">_xll.BDH($C$378,"BS_LT_BORROW","FQ4 2015","FQ4 2015","Currency=INR","Period=FQ","BEST_FPERIOD_OVERRIDE=FQ","FILING_STATUS=OR","EQY_CONSOLIDATED=Y","SCALING_FORMAT=MLN","Sort=A","Dates=H","DateFormat=P","Fill=—","Direction=H","UseDPDF=Y")</f>
        <v>#NAME?</v>
      </c>
      <c r="CB387" s="2" t="e">
        <f ca="1">_xll.BDH($C$378,"TOT_DEBT_TO_EBITDA","FQ4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387" s="2" t="e">
        <f ca="1">_xll.BDH($C$378,"NET_DEBT_TO_EBITDA","FQ4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387" s="2" t="e">
        <f ca="1">_xll.BDH($C$378,"TOTAL_DEBT_TO_EBIT","FQ4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387" s="2" t="e">
        <f ca="1">_xll.BDH($C$378,"NET_DEBT_TO_EBIT","FQ4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387" s="2" t="e">
        <f ca="1">_xll.BDH($C$378,"EBITDA_TO_INTEREST_EXPN","FQ4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387" s="2" t="e">
        <f ca="1">_xll.BDH($C$378,"COM_EQY_TO_TOT_ASSET","FQ4 2015","FQ4 2015","Currency=INR","Period=FQ","BEST_FPERIOD_OVERRIDE=FQ","FILING_STATUS=OR","EQY_CONSOLIDATED=Y","Sort=A","Dates=H","DateFormat=P","Fill=—","Direction=H","UseDPDF=Y")</f>
        <v>#NAME?</v>
      </c>
      <c r="CH387" s="2" t="e">
        <f ca="1">_xll.BDH($C$378,"LT_DEBT_TO_TOT_EQY","FQ4 2015","FQ4 2015","Currency=INR","Period=FQ","BEST_FPERIOD_OVERRIDE=FQ","FILING_STATUS=OR","EQY_CONSOLIDATED=Y","Sort=A","Dates=H","DateFormat=P","Fill=—","Direction=H","UseDPDF=Y")</f>
        <v>#NAME?</v>
      </c>
      <c r="CI387" s="2" t="e">
        <f ca="1">_xll.BDH($C$378,"LT_DEBT_TO_TOT_CAP","FQ4 2015","FQ4 2015","Currency=INR","Period=FQ","BEST_FPERIOD_OVERRIDE=FQ","FILING_STATUS=OR","EQY_CONSOLIDATED=Y","Sort=A","Dates=H","DateFormat=P","Fill=—","Direction=H","UseDPDF=Y")</f>
        <v>#NAME?</v>
      </c>
      <c r="CJ387" s="2" t="e">
        <f ca="1">_xll.BDH($C$378,"LT_DEBT_TO_TOT_ASSET","FQ4 2015","FQ4 2015","Currency=INR","Period=FQ","BEST_FPERIOD_OVERRIDE=FQ","FILING_STATUS=OR","EQY_CONSOLIDATED=Y","Sort=A","Dates=H","DateFormat=P","Fill=—","Direction=H","UseDPDF=Y")</f>
        <v>#NAME?</v>
      </c>
      <c r="CK387" s="2" t="e">
        <f ca="1">_xll.BDH($C$378,"TOT_DEBT_TO_TOT_EQY","FQ4 2015","FQ4 2015","Currency=INR","Period=FQ","BEST_FPERIOD_OVERRIDE=FQ","FILING_STATUS=OR","EQY_CONSOLIDATED=Y","Sort=A","Dates=H","DateFormat=P","Fill=—","Direction=H","UseDPDF=Y")</f>
        <v>#NAME?</v>
      </c>
      <c r="CL387" s="2" t="e">
        <f ca="1">_xll.BDH($C$378,"TOT_DEBT_TO_TOT_CAP","FQ4 2015","FQ4 2015","Currency=INR","Period=FQ","BEST_FPERIOD_OVERRIDE=FQ","FILING_STATUS=OR","EQY_CONSOLIDATED=Y","Sort=A","Dates=H","DateFormat=P","Fill=—","Direction=H","UseDPDF=Y")</f>
        <v>#NAME?</v>
      </c>
      <c r="CM387" s="2" t="e">
        <f ca="1">_xll.BDH($C$378,"TOT_DEBT_TO_TOT_ASSET","FQ4 2015","FQ4 2015","Currency=INR","Period=FQ","BEST_FPERIOD_OVERRIDE=FQ","FILING_STATUS=OR","EQY_CONSOLIDATED=Y","Sort=A","Dates=H","DateFormat=P","Fill=—","Direction=H","UseDPDF=Y")</f>
        <v>#NAME?</v>
      </c>
      <c r="CN387" s="2" t="e">
        <f ca="1">_xll.BDH($C$378,"NET_DEBT_TO_SHRHLDR_EQTY","FQ4 2015","FQ4 2015","Currency=INR","Period=FQ","BEST_FPERIOD_OVERRIDE=FQ","FILING_STATUS=OR","EQY_CONSOLIDATED=Y","Sort=A","Dates=H","DateFormat=P","Fill=—","Direction=H","UseDPDF=Y")</f>
        <v>#NAME?</v>
      </c>
      <c r="CO387" s="2" t="e">
        <f ca="1">_xll.BDH($C$378,"NET_DEBT_%_CAPITAL","FQ4 2015","FQ4 2015","Currency=INR","Period=FQ","BEST_FPERIOD_OVERRIDE=FQ","FILING_STATUS=OR","EQY_CONSOLIDATED=Y","Sort=A","Dates=H","DateFormat=P","Fill=—","Direction=H","UseDPDF=Y")</f>
        <v>#NAME?</v>
      </c>
      <c r="CP387" s="3" t="e">
        <f ca="1">_xll.BDH($C$378,"EBITDA","FQ4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387" s="3" t="e">
        <f ca="1">_xll.BDH($C$378,"EBITDA_AFTER_CAPEX","FQ4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387" s="3" t="e">
        <f ca="1">_xll.BDH($C$378,"IS_OPER_INC","FQ4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387" s="2" t="e">
        <f ca="1">_xll.BDH($C$378,"CASH_RATIO","FQ4 2015","FQ4 2015","Currency=INR","Period=FQ","BEST_FPERIOD_OVERRIDE=FQ","FILING_STATUS=OR","EQY_CONSOLIDATED=Y","Sort=A","Dates=H","DateFormat=P","Fill=—","Direction=H","UseDPDF=Y")</f>
        <v>#NAME?</v>
      </c>
      <c r="CT387" s="2" t="e">
        <f ca="1">_xll.BDH($C$378,"CUR_RATIO","FQ4 2015","FQ4 2015","Currency=INR","Period=FQ","BEST_FPERIOD_OVERRIDE=FQ","FILING_STATUS=OR","EQY_CONSOLIDATED=Y","Sort=A","Dates=H","DateFormat=P","Fill=—","Direction=H","UseDPDF=Y")</f>
        <v>#NAME?</v>
      </c>
      <c r="CU387" s="2" t="e">
        <f ca="1">_xll.BDH($C$378,"QUICK_RATIO","FQ4 2015","FQ4 2015","Currency=INR","Period=FQ","BEST_FPERIOD_OVERRIDE=FQ","FILING_STATUS=OR","EQY_CONSOLIDATED=Y","Sort=A","Dates=H","DateFormat=P","Fill=—","Direction=H","UseDPDF=Y")</f>
        <v>#NAME?</v>
      </c>
      <c r="CV387" s="2" t="e">
        <f ca="1">_xll.BDH($C$378,"ALTMAN_Z_SCORE","FQ4 2015","FQ4 2015","Currency=INR","Period=FQ","BEST_FPERIOD_OVERRIDE=FQ","FILING_STATUS=OR","EQY_CONSOLIDATED=Y","Sort=A","Dates=H","DateFormat=P","Fill=—","Direction=H","UseDPDF=Y")</f>
        <v>#NAME?</v>
      </c>
      <c r="CW387" s="4" t="e">
        <f ca="1">_xll.BDH($C$378,"ACCT_RCV_TURN","FQ4 2015","FQ4 2015","Currency=INR","Period=FQ","BEST_FPERIOD_OVERRIDE=FQ","FILING_STATUS=OR","EQY_CONSOLIDATED=Y","FA_ADJUSTED=GAAP","Sort=A","Dates=H","DateFormat=P","Fill=—","Direction=H","UseDPDF=Y")</f>
        <v>#NAME?</v>
      </c>
      <c r="CX387" s="2" t="e">
        <f ca="1">_xll.BDH($C$378,"ACCT_RCV_DAYS","FQ4 2015","FQ4 2015","Currency=INR","Period=FQ","BEST_FPERIOD_OVERRIDE=FQ","FILING_STATUS=OR","EQY_CONSOLIDATED=Y","FA_ADJUSTED=GAAP","Sort=A","Dates=H","DateFormat=P","Fill=—","Direction=H","UseDPDF=Y")</f>
        <v>#NAME?</v>
      </c>
      <c r="CY387" s="4" t="e">
        <f ca="1">_xll.BDH($C$378,"INVENT_TURN","FQ4 2015","FQ4 2015","Currency=INR","Period=FQ","BEST_FPERIOD_OVERRIDE=FQ","FILING_STATUS=OR","EQY_CONSOLIDATED=Y","FA_ADJUSTED=GAAP","Sort=A","Dates=H","DateFormat=P","Fill=—","Direction=H","UseDPDF=Y")</f>
        <v>#NAME?</v>
      </c>
      <c r="CZ387" s="2" t="e">
        <f ca="1">_xll.BDH($C$378,"INVENT_DAYS","FQ4 2015","FQ4 2015","Currency=INR","Period=FQ","BEST_FPERIOD_OVERRIDE=FQ","FILING_STATUS=OR","EQY_CONSOLIDATED=Y","FA_ADJUSTED=GAAP","Sort=A","Dates=H","DateFormat=P","Fill=—","Direction=H","UseDPDF=Y")</f>
        <v>#NAME?</v>
      </c>
      <c r="DA387" s="4" t="e">
        <f ca="1">_xll.BDH($C$378,"ACCOUNTS_PAYABLE_TURNOVER","FQ4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387" s="2" t="e">
        <f ca="1">_xll.BDH($C$378,"ACCOUNTS_PAYABLE_TURNOVER_DAYS","FQ4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387" s="4" t="e">
        <f ca="1">_xll.BDH($C$378,"CASH_CONVERSION_CYCLE","FQ4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387" s="4" t="e">
        <f ca="1">_xll.BDH($C$378,"INV_TO_CASH_DAYS","FQ4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387" s="5" t="e">
        <f ca="1">_xll.BDH($C$378,"BS_INVENTORIES","FQ4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387" s="3" t="e">
        <f ca="1">_xll.BDH($C$378,"INVTRY_RAW_MATERIALS","FQ4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387" s="3" t="e">
        <f ca="1">_xll.BDH($C$378,"INVTRY_IN_PROGRESS","FQ4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387" s="3" t="e">
        <f ca="1">_xll.BDH($C$378,"INVTRY_FINISHED_GOODS","FQ4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387" s="3" t="e">
        <f ca="1">_xll.BDH($C$378,"BS_OTHER_INV","FQ4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388" spans="1:113" x14ac:dyDescent="0.3">
      <c r="A388" s="6"/>
      <c r="B388" s="6"/>
      <c r="C388" s="6"/>
      <c r="D388" s="6" t="s">
        <v>83</v>
      </c>
      <c r="E388" t="s">
        <v>77</v>
      </c>
      <c r="F388" t="e">
        <f ca="1">_xll.BDH($C$378,"RETURN_COM_EQY","FY 2016","FY 2016","Currency=INR","Period=FY","BEST_FPERIOD_OVERRIDE=FY","FILING_STATUS=OR","EQY_CONSOLIDATED=Y","FA_ADJUSTED=GAAP","Sort=A","Dates=H","DateFormat=P","Fill=—","Direction=H","UseDPDF=Y")</f>
        <v>#NAME?</v>
      </c>
      <c r="G388" t="e">
        <f ca="1">_xll.BDH($C$378,"RETURN_ON_ASSET","FY 2016","FY 2016","Currency=INR","Period=FY","BEST_FPERIOD_OVERRIDE=FY","FILING_STATUS=OR","EQY_CONSOLIDATED=Y","FA_ADJUSTED=GAAP","Sort=A","Dates=H","DateFormat=P","Fill=—","Direction=H","UseDPDF=Y")</f>
        <v>#NAME?</v>
      </c>
      <c r="H388" t="e">
        <f ca="1">_xll.BDH($C$378,"RETURN_ON_CAP","FY 2016","FY 2016","Currency=INR","Period=FY","BEST_FPERIOD_OVERRIDE=FY","FILING_STATUS=OR","EQY_CONSOLIDATED=Y","FA_ADJUSTED=GAAP","Sort=A","Dates=H","DateFormat=P","Fill=—","Direction=H","UseDPDF=Y")</f>
        <v>#NAME?</v>
      </c>
      <c r="I388" t="e">
        <f ca="1">_xll.BDH($C$378,"RETURN_ON_INV_CAPITAL","FY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388" t="e">
        <f ca="1">_xll.BDH($C$378,"EBITDA_TO_REVENUE","FY 2016","FY 2016","Currency=INR","Period=FY","BEST_FPERIOD_OVERRIDE=FY","FILING_STATUS=OR","EQY_CONSOLIDATED=Y","FA_ADJUSTED=GAAP","Sort=A","Dates=H","DateFormat=P","Fill=—","Direction=H","UseDPDF=Y")</f>
        <v>#NAME?</v>
      </c>
      <c r="K388" t="e">
        <f ca="1">_xll.BDH($C$378,"OPER_MARGIN","FY 2016","FY 2016","Currency=INR","Period=FY","BEST_FPERIOD_OVERRIDE=FY","FILING_STATUS=OR","EQY_CONSOLIDATED=Y","FA_ADJUSTED=GAAP","Sort=A","Dates=H","DateFormat=P","Fill=—","Direction=H","UseDPDF=Y")</f>
        <v>#NAME?</v>
      </c>
      <c r="L388" t="e">
        <f ca="1">_xll.BDH($C$378,"INCREMENTAL_OPERATING_MARGIN","FY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388" t="e">
        <f ca="1">_xll.BDH($C$378,"PRETAX_INC_TO_NET_SALES","FY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388" t="e">
        <f ca="1">_xll.BDH($C$378,"INC_BEF_XO_ITEMS_TO_NET_SALES","FY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388" t="e">
        <f ca="1">_xll.BDH($C$378,"PROF_MARGIN","FY 2016","FY 2016","Currency=INR","Period=FY","BEST_FPERIOD_OVERRIDE=FY","FILING_STATUS=OR","EQY_CONSOLIDATED=Y","FA_ADJUSTED=GAAP","Sort=A","Dates=H","DateFormat=P","Fill=—","Direction=H","UseDPDF=Y")</f>
        <v>#NAME?</v>
      </c>
      <c r="P388" t="e">
        <f ca="1">_xll.BDH($C$378,"NET_INCOME_TO_COMMON_MARGIN","FY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388" t="e">
        <f ca="1">_xll.BDH($C$378,"EFF_TAX_RATE","FY 2016","FY 2016","Currency=INR","Period=FY","BEST_FPERIOD_OVERRIDE=FY","FILING_STATUS=OR","EQY_CONSOLIDATED=Y","FA_ADJUSTED=GAAP","Sort=A","Dates=H","DateFormat=P","Fill=—","Direction=H","UseDPDF=Y")</f>
        <v>#NAME?</v>
      </c>
      <c r="R388" t="e">
        <f ca="1">_xll.BDH($C$378,"DVD_PAYOUT_RATIO","FY 2016","FY 2016","Currency=INR","Period=FY","BEST_FPERIOD_OVERRIDE=FY","FILING_STATUS=OR","EQY_CONSOLIDATED=Y","FA_ADJUSTED=GAAP","Sort=A","Dates=H","DateFormat=P","Fill=—","Direction=H","UseDPDF=Y")</f>
        <v>#NAME?</v>
      </c>
      <c r="S388" t="e">
        <f ca="1">_xll.BDH($C$378,"SUSTAIN_GROWTH_RT","FY 2016","FY 2016","Currency=INR","Period=FY","BEST_FPERIOD_OVERRIDE=FY","FILING_STATUS=OR","EQY_CONSOLIDATED=Y","FA_ADJUSTED=GAAP","Sort=A","Dates=H","DateFormat=P","Fill=—","Direction=H","UseDPDF=Y")</f>
        <v>#NAME?</v>
      </c>
      <c r="T388" s="2" t="e">
        <f ca="1">_xll.BDH($C$378,"SALES_GROWTH","FY 2016","FY 2016","Currency=INR","Period=FY","BEST_FPERIOD_OVERRIDE=FY","FILING_STATUS=OR","EQY_CONSOLIDATED=Y","FA_ADJUSTED=GAAP","Sort=A","Dates=H","DateFormat=P","Fill=—","Direction=H","UseDPDF=Y")</f>
        <v>#NAME?</v>
      </c>
      <c r="U388" s="2" t="e">
        <f ca="1">_xll.BDH($C$378,"EBITDA_GROWTH","FY 2016","FY 2016","Currency=INR","Period=FY","BEST_FPERIOD_OVERRIDE=FY","FILING_STATUS=OR","EQY_CONSOLIDATED=Y","FA_ADJUSTED=GAAP","Sort=A","Dates=H","DateFormat=P","Fill=—","Direction=H","UseDPDF=Y")</f>
        <v>#NAME?</v>
      </c>
      <c r="V388" s="2" t="e">
        <f ca="1">_xll.BDH($C$378,"OPER_INC_GROWTH","FY 2016","FY 2016","Currency=INR","Period=FY","BEST_FPERIOD_OVERRIDE=FY","FILING_STATUS=OR","EQY_CONSOLIDATED=Y","FA_ADJUSTED=GAAP","Sort=A","Dates=H","DateFormat=P","Fill=—","Direction=H","UseDPDF=Y")</f>
        <v>#NAME?</v>
      </c>
      <c r="W388" s="2" t="e">
        <f ca="1">_xll.BDH($C$378,"EARN_FOR_COM_GROWTH","FY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388" s="2" t="e">
        <f ca="1">_xll.BDH($C$378,"DILUTED_EPS_AFT_XO_ITEMS_GROWTH","FY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388" s="2" t="e">
        <f ca="1">_xll.BDH($C$378,"DIVIDEND_PER_SHARE_1_YEAR_GROWTH","FY 2016","FY 2016","Currency=INR","Period=FY","BEST_FPERIOD_OVERRIDE=FY","FILING_STATUS=OR","EQY_CONSOLIDATED=Y","Sort=A","Dates=H","DateFormat=P","Fill=—","Direction=H","UseDPDF=Y")</f>
        <v>#NAME?</v>
      </c>
      <c r="Z388" s="2" t="e">
        <f ca="1">_xll.BDH($C$378,"ACCOUNTS_RECEIVABLE_GROWTH","FY 2016","FY 2016","Currency=INR","Period=FY","BEST_FPERIOD_OVERRIDE=FY","FILING_STATUS=OR","EQY_CONSOLIDATED=Y","Sort=A","Dates=H","DateFormat=P","Fill=—","Direction=H","UseDPDF=Y")</f>
        <v>#NAME?</v>
      </c>
      <c r="AA388" s="2" t="e">
        <f ca="1">_xll.BDH($C$378,"INVENTORY_GROWTH","FY 2016","FY 2016","Currency=INR","Period=FY","BEST_FPERIOD_OVERRIDE=FY","FILING_STATUS=OR","EQY_CONSOLIDATED=Y","Sort=A","Dates=H","DateFormat=P","Fill=—","Direction=H","UseDPDF=Y")</f>
        <v>#NAME?</v>
      </c>
      <c r="AB388" s="2" t="e">
        <f ca="1">_xll.BDH($C$378,"NET_FIXED_ASSETS_1_YEAR_GROWTH","FY 2016","FY 2016","Currency=INR","Period=FY","BEST_FPERIOD_OVERRIDE=FY","FILING_STATUS=OR","EQY_CONSOLIDATED=Y","Sort=A","Dates=H","DateFormat=P","Fill=—","Direction=H","UseDPDF=Y")</f>
        <v>#NAME?</v>
      </c>
      <c r="AC388" s="2" t="e">
        <f ca="1">_xll.BDH($C$378,"ASSET_GROWTH","FY 2016","FY 2016","Currency=INR","Period=FY","BEST_FPERIOD_OVERRIDE=FY","FILING_STATUS=OR","EQY_CONSOLIDATED=Y","Sort=A","Dates=H","DateFormat=P","Fill=—","Direction=H","UseDPDF=Y")</f>
        <v>#NAME?</v>
      </c>
      <c r="AD388" s="2" t="e">
        <f ca="1">_xll.BDH($C$378,"MODIFIED_WORK_CAP_GROWTH","FY 2016","FY 2016","Currency=INR","Period=FY","BEST_FPERIOD_OVERRIDE=FY","FILING_STATUS=OR","EQY_CONSOLIDATED=Y","Sort=A","Dates=H","DateFormat=P","Fill=—","Direction=H","UseDPDF=Y")</f>
        <v>#NAME?</v>
      </c>
      <c r="AE388" s="2" t="e">
        <f ca="1">_xll.BDH($C$378,"WORK_CAP_GROWTH","FY 2016","FY 2016","Currency=INR","Period=FY","BEST_FPERIOD_OVERRIDE=FY","FILING_STATUS=OR","EQY_CONSOLIDATED=Y","Sort=A","Dates=H","DateFormat=P","Fill=—","Direction=H","UseDPDF=Y")</f>
        <v>#NAME?</v>
      </c>
      <c r="AF388" s="2" t="e">
        <f ca="1">_xll.BDH($C$378,"ACCOUNTS_PAYABLE_GROWTH_1YR","FY 2016","FY 2016","Currency=INR","Period=FY","BEST_FPERIOD_OVERRIDE=FY","FILING_STATUS=OR","EQY_CONSOLIDATED=Y","Sort=A","Dates=H","DateFormat=P","Fill=—","Direction=H","UseDPDF=Y")</f>
        <v>#NAME?</v>
      </c>
      <c r="AG388" s="2" t="e">
        <f ca="1">_xll.BDH($C$378,"SHORT_TERM_DEBT_1_YEAR_GROWTH","FY 2016","FY 2016","Currency=INR","Period=FY","BEST_FPERIOD_OVERRIDE=FY","FILING_STATUS=OR","EQY_CONSOLIDATED=Y","Sort=A","Dates=H","DateFormat=P","Fill=—","Direction=H","UseDPDF=Y")</f>
        <v>#NAME?</v>
      </c>
      <c r="AH388" s="2" t="e">
        <f ca="1">_xll.BDH($C$378,"TOTAL_DEBT_1_YEAR_GROWTH","FY 2016","FY 2016","Currency=INR","Period=FY","BEST_FPERIOD_OVERRIDE=FY","FILING_STATUS=OR","EQY_CONSOLIDATED=Y","Sort=A","Dates=H","DateFormat=P","Fill=—","Direction=H","UseDPDF=Y")</f>
        <v>#NAME?</v>
      </c>
      <c r="AI388" s="2" t="e">
        <f ca="1">_xll.BDH($C$378,"TOTAL_EQUITY_1_YEAR_GROWTH","FY 2016","FY 2016","Currency=INR","Period=FY","BEST_FPERIOD_OVERRIDE=FY","FILING_STATUS=OR","EQY_CONSOLIDATED=Y","Sort=A","Dates=H","DateFormat=P","Fill=—","Direction=H","UseDPDF=Y")</f>
        <v>#NAME?</v>
      </c>
      <c r="AJ388" s="2" t="e">
        <f ca="1">_xll.BDH($C$378,"GROWTH_IN_CAP","FY 2016","FY 2016","Currency=INR","Period=FY","BEST_FPERIOD_OVERRIDE=FY","FILING_STATUS=OR","EQY_CONSOLIDATED=Y","Sort=A","Dates=H","DateFormat=P","Fill=—","Direction=H","UseDPDF=Y")</f>
        <v>#NAME?</v>
      </c>
      <c r="AK388" s="2" t="e">
        <f ca="1">_xll.BDH($C$378,"BVPS_GROWTH","FY 2016","FY 2016","Currency=INR","Period=FY","BEST_FPERIOD_OVERRIDE=FY","FILING_STATUS=OR","EQY_CONSOLIDATED=Y","Sort=A","Dates=H","DateFormat=P","Fill=—","Direction=H","UseDPDF=Y")</f>
        <v>#NAME?</v>
      </c>
      <c r="AL388" s="2" t="e">
        <f ca="1">_xll.BDH($C$378,"CASH_FLOW_GROWTH","FY 2016","FY 2016","Currency=INR","Period=FY","BEST_FPERIOD_OVERRIDE=FY","FILING_STATUS=OR","EQY_CONSOLIDATED=Y","Sort=A","Dates=H","DateFormat=P","Fill=—","Direction=H","UseDPDF=Y")</f>
        <v>#NAME?</v>
      </c>
      <c r="AM388" s="2" t="e">
        <f ca="1">_xll.BDH($C$378,"GEO_GROW_NET_SALES","FY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388" s="2" t="e">
        <f ca="1">_xll.BDH($C$378,"GEO_GROW_EBITDA","FY 2016","FY 2016","Currency=INR","Period=FY","BEST_FPERIOD_OVERRIDE=FY","FILING_STATUS=OR","EQY_CONSOLIDATED=Y","FA_ADJUSTED=GAAP","Sort=A","Dates=H","DateFormat=P","Fill=—","Direction=H","UseDPDF=Y")</f>
        <v>#NAME?</v>
      </c>
      <c r="AO388" s="2" t="e">
        <f ca="1">_xll.BDH($C$378,"GEO_GROW_OPER_INC","FY 2016","FY 2016","Currency=INR","Period=FY","BEST_FPERIOD_OVERRIDE=FY","FILING_STATUS=OR","EQY_CONSOLIDATED=Y","FA_ADJUSTED=GAAP","Sort=A","Dates=H","DateFormat=P","Fill=—","Direction=H","UseDPDF=Y")</f>
        <v>#NAME?</v>
      </c>
      <c r="AP388" s="2" t="e">
        <f ca="1">_xll.BDH($C$378,"NET_INCOME_TO_COMMON_5_YR_GROWTH","FY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388" s="2" t="e">
        <f ca="1">_xll.BDH($C$378,"5Y_GEO_GROWTH_DILUTED_EPS","FY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388" s="2" t="e">
        <f ca="1">_xll.BDH($C$378,"GEO_GROW_DVD_PER_SH","FY 2016","FY 2016","Currency=INR","Period=FY","BEST_FPERIOD_OVERRIDE=FY","FILING_STATUS=OR","EQY_CONSOLIDATED=Y","Sort=A","Dates=H","DateFormat=P","Fill=—","Direction=H","UseDPDF=Y")</f>
        <v>#NAME?</v>
      </c>
      <c r="AS388" s="2" t="e">
        <f ca="1">_xll.BDH($C$378,"ACCOUNTS_RECEIVABLE_5_YR_GROWTH","FY 2016","FY 2016","Currency=INR","Period=FY","BEST_FPERIOD_OVERRIDE=FY","FILING_STATUS=OR","EQY_CONSOLIDATED=Y","Sort=A","Dates=H","DateFormat=P","Fill=—","Direction=H","UseDPDF=Y")</f>
        <v>#NAME?</v>
      </c>
      <c r="AT388" s="2" t="e">
        <f ca="1">_xll.BDH($C$378,"INVENTORY_5_YEAR_GROWTH","FY 2016","FY 2016","Currency=INR","Period=FY","BEST_FPERIOD_OVERRIDE=FY","FILING_STATUS=OR","EQY_CONSOLIDATED=Y","Sort=A","Dates=H","DateFormat=P","Fill=—","Direction=H","UseDPDF=Y")</f>
        <v>#NAME?</v>
      </c>
      <c r="AU388" s="2" t="e">
        <f ca="1">_xll.BDH($C$378,"NET_FIXED_ASSETS_5_YEAR_GROWTH","FY 2016","FY 2016","Currency=INR","Period=FY","BEST_FPERIOD_OVERRIDE=FY","FILING_STATUS=OR","EQY_CONSOLIDATED=Y","Sort=A","Dates=H","DateFormat=P","Fill=—","Direction=H","UseDPDF=Y")</f>
        <v>#NAME?</v>
      </c>
      <c r="AV388" s="2" t="e">
        <f ca="1">_xll.BDH($C$378,"GEO_GROW_TOT_ASSET","FY 2016","FY 2016","Currency=INR","Period=FY","BEST_FPERIOD_OVERRIDE=FY","FILING_STATUS=OR","EQY_CONSOLIDATED=Y","Sort=A","Dates=H","DateFormat=P","Fill=—","Direction=H","UseDPDF=Y")</f>
        <v>#NAME?</v>
      </c>
      <c r="AW388" s="2" t="e">
        <f ca="1">_xll.BDH($C$378,"MODIFIED_WORKING_CPTL_5YR_GRWTH","FY 2016","FY 2016","Currency=INR","Period=FY","BEST_FPERIOD_OVERRIDE=FY","FILING_STATUS=OR","EQY_CONSOLIDATED=Y","Sort=A","Dates=H","DateFormat=P","Fill=—","Direction=H","UseDPDF=Y")</f>
        <v>#NAME?</v>
      </c>
      <c r="AX388" s="2" t="e">
        <f ca="1">_xll.BDH($C$378,"WORKING_CAPITAL_5_YEAR_GROWTH","FY 2016","FY 2016","Currency=INR","Period=FY","BEST_FPERIOD_OVERRIDE=FY","FILING_STATUS=OR","EQY_CONSOLIDATED=Y","Sort=A","Dates=H","DateFormat=P","Fill=—","Direction=H","UseDPDF=Y")</f>
        <v>#NAME?</v>
      </c>
      <c r="AY388" s="2" t="e">
        <f ca="1">_xll.BDH($C$378,"ACCOUNTS_PAYABLE_5_YEAR_GROWTH","FY 2016","FY 2016","Currency=INR","Period=FY","BEST_FPERIOD_OVERRIDE=FY","FILING_STATUS=OR","EQY_CONSOLIDATED=Y","Sort=A","Dates=H","DateFormat=P","Fill=—","Direction=H","UseDPDF=Y")</f>
        <v>#NAME?</v>
      </c>
      <c r="AZ388" s="2" t="e">
        <f ca="1">_xll.BDH($C$378,"SHORT_TERM_DEBT_5_YEAR_GROWTH","FY 2016","FY 2016","Currency=INR","Period=FY","BEST_FPERIOD_OVERRIDE=FY","FILING_STATUS=OR","EQY_CONSOLIDATED=Y","Sort=A","Dates=H","DateFormat=P","Fill=—","Direction=H","UseDPDF=Y")</f>
        <v>#NAME?</v>
      </c>
      <c r="BA388" s="2" t="e">
        <f ca="1">_xll.BDH($C$378,"TOTAL_DEBT_5_YEAR_GROWTH","FY 2016","FY 2016","Currency=INR","Period=FY","BEST_FPERIOD_OVERRIDE=FY","FILING_STATUS=OR","EQY_CONSOLIDATED=Y","Sort=A","Dates=H","DateFormat=P","Fill=—","Direction=H","UseDPDF=Y")</f>
        <v>#NAME?</v>
      </c>
      <c r="BB388" s="2" t="e">
        <f ca="1">_xll.BDH($C$378,"GEO_GROW_TOT_SHRHLDR_EQY","FY 2016","FY 2016","Currency=INR","Period=FY","BEST_FPERIOD_OVERRIDE=FY","FILING_STATUS=OR","EQY_CONSOLIDATED=Y","Sort=A","Dates=H","DateFormat=P","Fill=—","Direction=H","UseDPDF=Y")</f>
        <v>#NAME?</v>
      </c>
      <c r="BC388" s="2" t="e">
        <f ca="1">_xll.BDH($C$378,"TOTAL_CAPITAL_5_YEAR_GROWTH","FY 2016","FY 2016","Currency=INR","Period=FY","BEST_FPERIOD_OVERRIDE=FY","FILING_STATUS=OR","EQY_CONSOLIDATED=Y","Sort=A","Dates=H","DateFormat=P","Fill=—","Direction=H","UseDPDF=Y")</f>
        <v>#NAME?</v>
      </c>
      <c r="BD388" s="2" t="e">
        <f ca="1">_xll.BDH($C$378,"GEO_GROW_BOOK_VAL","FY 2016","FY 2016","Currency=INR","Period=FY","BEST_FPERIOD_OVERRIDE=FY","FILING_STATUS=OR","EQY_CONSOLIDATED=Y","Sort=A","Dates=H","DateFormat=P","Fill=—","Direction=H","UseDPDF=Y")</f>
        <v>#NAME?</v>
      </c>
      <c r="BE388" s="2" t="e">
        <f ca="1">_xll.BDH($C$378,"GEO_GROW_CASH_OPER_ACT","FY 2016","FY 2016","Currency=INR","Period=FY","BEST_FPERIOD_OVERRIDE=FY","FILING_STATUS=OR","EQY_CONSOLIDATED=Y","Sort=A","Dates=H","DateFormat=P","Fill=—","Direction=H","UseDPDF=Y")</f>
        <v>#NAME?</v>
      </c>
      <c r="BF388" s="2" t="e">
        <f ca="1">_xll.BDH($C$378,"REVENUE_SEQUENTIAL_GROWTH","FY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388" s="2" t="e">
        <f ca="1">_xll.BDH($C$378,"EBITDA_SEQUENTIAL_GROWTH","FY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388" s="2" t="e">
        <f ca="1">_xll.BDH($C$378,"OPERATING_INCOME_SEQ_GROWTH","FY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388" s="2" t="e">
        <f ca="1">_xll.BDH($C$378,"NET_INCOME_TO_COMMON_SEQ_GROWTH","FY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388" s="2" t="e">
        <f ca="1">_xll.BDH($C$378,"EPS_DILUTED_SEQUENTIAL_GROWTH","FY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388" s="2" t="e">
        <f ca="1">_xll.BDH($C$378,"DPS_SEQUENTIAL_GROWTH","FY 2016","FY 2016","Currency=INR","Period=FY","BEST_FPERIOD_OVERRIDE=FY","FILING_STATUS=OR","EQY_CONSOLIDATED=Y","Sort=A","Dates=H","DateFormat=P","Fill=—","Direction=H","UseDPDF=Y")</f>
        <v>#NAME?</v>
      </c>
      <c r="BL388" s="2" t="e">
        <f ca="1">_xll.BDH($C$378,"ACCOUNTS_RECEIVABLE_SEQ_GROWTH","FY 2016","FY 2016","Currency=INR","Period=FY","BEST_FPERIOD_OVERRIDE=FY","FILING_STATUS=OR","EQY_CONSOLIDATED=Y","Sort=A","Dates=H","DateFormat=P","Fill=—","Direction=H","UseDPDF=Y")</f>
        <v>#NAME?</v>
      </c>
      <c r="BM388" s="2" t="e">
        <f ca="1">_xll.BDH($C$378,"INVENTORY_SEQUENTIAL_GROWTH","FY 2016","FY 2016","Currency=INR","Period=FY","BEST_FPERIOD_OVERRIDE=FY","FILING_STATUS=OR","EQY_CONSOLIDATED=Y","Sort=A","Dates=H","DateFormat=P","Fill=—","Direction=H","UseDPDF=Y")</f>
        <v>#NAME?</v>
      </c>
      <c r="BN388" s="2" t="e">
        <f ca="1">_xll.BDH($C$378,"FIXED_ASSETS_SEQUENTIAL_GROWTH","FY 2016","FY 2016","Currency=INR","Period=FY","BEST_FPERIOD_OVERRIDE=FY","FILING_STATUS=OR","EQY_CONSOLIDATED=Y","Sort=A","Dates=H","DateFormat=P","Fill=—","Direction=H","UseDPDF=Y")</f>
        <v>#NAME?</v>
      </c>
      <c r="BO388" s="2" t="e">
        <f ca="1">_xll.BDH($C$378,"TOTAL_ASSETS_SEQUENTIAL_GROWTH","FY 2016","FY 2016","Currency=INR","Period=FY","BEST_FPERIOD_OVERRIDE=FY","FILING_STATUS=OR","EQY_CONSOLIDATED=Y","Sort=A","Dates=H","DateFormat=P","Fill=—","Direction=H","UseDPDF=Y")</f>
        <v>#NAME?</v>
      </c>
      <c r="BP388" s="2" t="e">
        <f ca="1">_xll.BDH($C$378,"MODIFIED_WORKING_CPTL_SEQ_GRWTH","FY 2016","FY 2016","Currency=INR","Period=FY","BEST_FPERIOD_OVERRIDE=FY","FILING_STATUS=OR","EQY_CONSOLIDATED=Y","Sort=A","Dates=H","DateFormat=P","Fill=—","Direction=H","UseDPDF=Y")</f>
        <v>#NAME?</v>
      </c>
      <c r="BQ388" s="2" t="e">
        <f ca="1">_xll.BDH($C$378,"WORKING_CAPITAL_SEQ_GROWTH","FY 2016","FY 2016","Currency=INR","Period=FY","BEST_FPERIOD_OVERRIDE=FY","FILING_STATUS=OR","EQY_CONSOLIDATED=Y","Sort=A","Dates=H","DateFormat=P","Fill=—","Direction=H","UseDPDF=Y")</f>
        <v>#NAME?</v>
      </c>
      <c r="BR388" s="2" t="e">
        <f ca="1">_xll.BDH($C$378,"ACCOUNTS_PAYABLE_SEQ_GROWTH","FY 2016","FY 2016","Currency=INR","Period=FY","BEST_FPERIOD_OVERRIDE=FY","FILING_STATUS=OR","EQY_CONSOLIDATED=Y","Sort=A","Dates=H","DateFormat=P","Fill=—","Direction=H","UseDPDF=Y")</f>
        <v>#NAME?</v>
      </c>
      <c r="BS388" s="2" t="e">
        <f ca="1">_xll.BDH($C$378,"ST_DEBT_SEQUENTIAL_GROWTH","FY 2016","FY 2016","Currency=INR","Period=FY","BEST_FPERIOD_OVERRIDE=FY","FILING_STATUS=OR","EQY_CONSOLIDATED=Y","Sort=A","Dates=H","DateFormat=P","Fill=—","Direction=H","UseDPDF=Y")</f>
        <v>#NAME?</v>
      </c>
      <c r="BT388" s="2" t="e">
        <f ca="1">_xll.BDH($C$378,"TOTAL_DEBT_SEQUENTIAL_GROWTH","FY 2016","FY 2016","Currency=INR","Period=FY","BEST_FPERIOD_OVERRIDE=FY","FILING_STATUS=OR","EQY_CONSOLIDATED=Y","Sort=A","Dates=H","DateFormat=P","Fill=—","Direction=H","UseDPDF=Y")</f>
        <v>#NAME?</v>
      </c>
      <c r="BU388" s="2" t="e">
        <f ca="1">_xll.BDH($C$378,"TOTAL_EQUITY_SEQUENTIAL_GROWTH","FY 2016","FY 2016","Currency=INR","Period=FY","BEST_FPERIOD_OVERRIDE=FY","FILING_STATUS=OR","EQY_CONSOLIDATED=Y","Sort=A","Dates=H","DateFormat=P","Fill=—","Direction=H","UseDPDF=Y")</f>
        <v>#NAME?</v>
      </c>
      <c r="BV388" s="2" t="e">
        <f ca="1">_xll.BDH($C$378,"TOTAL_CAPITAL_SEQUENTIAL_GROWTH","FY 2016","FY 2016","Currency=INR","Period=FY","BEST_FPERIOD_OVERRIDE=FY","FILING_STATUS=OR","EQY_CONSOLIDATED=Y","Sort=A","Dates=H","DateFormat=P","Fill=—","Direction=H","UseDPDF=Y")</f>
        <v>#NAME?</v>
      </c>
      <c r="BW388" s="2" t="e">
        <f ca="1">_xll.BDH($C$378,"BPS_SEQUENTIAL_GROWTH","FY 2016","FY 2016","Currency=INR","Period=FY","BEST_FPERIOD_OVERRIDE=FY","FILING_STATUS=OR","EQY_CONSOLIDATED=Y","Sort=A","Dates=H","DateFormat=P","Fill=—","Direction=H","UseDPDF=Y")</f>
        <v>#NAME?</v>
      </c>
      <c r="BX388" s="2" t="e">
        <f ca="1">_xll.BDH($C$378,"CFO_SEQUENTIAL_GROWTH","FY 2016","FY 2016","Currency=INR","Period=FY","BEST_FPERIOD_OVERRIDE=FY","FILING_STATUS=OR","EQY_CONSOLIDATED=Y","Sort=A","Dates=H","DateFormat=P","Fill=—","Direction=H","UseDPDF=Y")</f>
        <v>#NAME?</v>
      </c>
      <c r="BY388" s="3" t="e">
        <f ca="1">_xll.BDH($C$378,"SHORT_AND_LONG_TERM_DEBT","FY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388" s="3" t="e">
        <f ca="1">_xll.BDH($C$378,"BS_ST_BORROW","FY 2016","FY 2016","Currency=INR","Period=FY","BEST_FPERIOD_OVERRIDE=FY","FILING_STATUS=OR","EQY_CONSOLIDATED=Y","SCALING_FORMAT=MLN","Sort=A","Dates=H","DateFormat=P","Fill=—","Direction=H","UseDPDF=Y")</f>
        <v>#NAME?</v>
      </c>
      <c r="CA388" s="3" t="e">
        <f ca="1">_xll.BDH($C$378,"BS_LT_BORROW","FY 2016","FY 2016","Currency=INR","Period=FY","BEST_FPERIOD_OVERRIDE=FY","FILING_STATUS=OR","EQY_CONSOLIDATED=Y","SCALING_FORMAT=MLN","Sort=A","Dates=H","DateFormat=P","Fill=—","Direction=H","UseDPDF=Y")</f>
        <v>#NAME?</v>
      </c>
      <c r="CB388" s="2" t="e">
        <f ca="1">_xll.BDH($C$378,"TOT_DEBT_TO_EBITDA","FY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388" s="2" t="e">
        <f ca="1">_xll.BDH($C$378,"NET_DEBT_TO_EBITDA","FY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388" s="2" t="e">
        <f ca="1">_xll.BDH($C$378,"TOTAL_DEBT_TO_EBIT","FY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388" s="2" t="e">
        <f ca="1">_xll.BDH($C$378,"NET_DEBT_TO_EBIT","FY 2016","FY 2016","Currency=INR","Period=FY","BEST_FPERIOD_OVERRIDE=FY","FILING_STATUS=OR","EQY_CONSOLIDATED=Y","FA_ADJUSTED=GAAP","Sort=A","Dates=H","DateFormat=P","Fill=—","Direction=H","UseDPDF=Y")</f>
        <v>#NAME?</v>
      </c>
      <c r="CF388" s="2" t="e">
        <f ca="1">_xll.BDH($C$378,"EBITDA_TO_INTEREST_EXPN","FY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388" s="2" t="e">
        <f ca="1">_xll.BDH($C$378,"COM_EQY_TO_TOT_ASSET","FY 2016","FY 2016","Currency=INR","Period=FY","BEST_FPERIOD_OVERRIDE=FY","FILING_STATUS=OR","EQY_CONSOLIDATED=Y","Sort=A","Dates=H","DateFormat=P","Fill=—","Direction=H","UseDPDF=Y")</f>
        <v>#NAME?</v>
      </c>
      <c r="CH388" s="2" t="e">
        <f ca="1">_xll.BDH($C$378,"LT_DEBT_TO_TOT_EQY","FY 2016","FY 2016","Currency=INR","Period=FY","BEST_FPERIOD_OVERRIDE=FY","FILING_STATUS=OR","EQY_CONSOLIDATED=Y","Sort=A","Dates=H","DateFormat=P","Fill=—","Direction=H","UseDPDF=Y")</f>
        <v>#NAME?</v>
      </c>
      <c r="CI388" s="2" t="e">
        <f ca="1">_xll.BDH($C$378,"LT_DEBT_TO_TOT_CAP","FY 2016","FY 2016","Currency=INR","Period=FY","BEST_FPERIOD_OVERRIDE=FY","FILING_STATUS=OR","EQY_CONSOLIDATED=Y","Sort=A","Dates=H","DateFormat=P","Fill=—","Direction=H","UseDPDF=Y")</f>
        <v>#NAME?</v>
      </c>
      <c r="CJ388" s="2" t="e">
        <f ca="1">_xll.BDH($C$378,"LT_DEBT_TO_TOT_ASSET","FY 2016","FY 2016","Currency=INR","Period=FY","BEST_FPERIOD_OVERRIDE=FY","FILING_STATUS=OR","EQY_CONSOLIDATED=Y","Sort=A","Dates=H","DateFormat=P","Fill=—","Direction=H","UseDPDF=Y")</f>
        <v>#NAME?</v>
      </c>
      <c r="CK388" s="2" t="e">
        <f ca="1">_xll.BDH($C$378,"TOT_DEBT_TO_TOT_EQY","FY 2016","FY 2016","Currency=INR","Period=FY","BEST_FPERIOD_OVERRIDE=FY","FILING_STATUS=OR","EQY_CONSOLIDATED=Y","Sort=A","Dates=H","DateFormat=P","Fill=—","Direction=H","UseDPDF=Y")</f>
        <v>#NAME?</v>
      </c>
      <c r="CL388" s="2" t="e">
        <f ca="1">_xll.BDH($C$378,"TOT_DEBT_TO_TOT_CAP","FY 2016","FY 2016","Currency=INR","Period=FY","BEST_FPERIOD_OVERRIDE=FY","FILING_STATUS=OR","EQY_CONSOLIDATED=Y","Sort=A","Dates=H","DateFormat=P","Fill=—","Direction=H","UseDPDF=Y")</f>
        <v>#NAME?</v>
      </c>
      <c r="CM388" s="2" t="e">
        <f ca="1">_xll.BDH($C$378,"TOT_DEBT_TO_TOT_ASSET","FY 2016","FY 2016","Currency=INR","Period=FY","BEST_FPERIOD_OVERRIDE=FY","FILING_STATUS=OR","EQY_CONSOLIDATED=Y","Sort=A","Dates=H","DateFormat=P","Fill=—","Direction=H","UseDPDF=Y")</f>
        <v>#NAME?</v>
      </c>
      <c r="CN388" s="2" t="e">
        <f ca="1">_xll.BDH($C$378,"NET_DEBT_TO_SHRHLDR_EQTY","FY 2016","FY 2016","Currency=INR","Period=FY","BEST_FPERIOD_OVERRIDE=FY","FILING_STATUS=OR","EQY_CONSOLIDATED=Y","Sort=A","Dates=H","DateFormat=P","Fill=—","Direction=H","UseDPDF=Y")</f>
        <v>#NAME?</v>
      </c>
      <c r="CO388" s="2" t="e">
        <f ca="1">_xll.BDH($C$378,"NET_DEBT_%_CAPITAL","FY 2016","FY 2016","Currency=INR","Period=FY","BEST_FPERIOD_OVERRIDE=FY","FILING_STATUS=OR","EQY_CONSOLIDATED=Y","Sort=A","Dates=H","DateFormat=P","Fill=—","Direction=H","UseDPDF=Y")</f>
        <v>#NAME?</v>
      </c>
      <c r="CP388" s="3" t="e">
        <f ca="1">_xll.BDH($C$378,"EBITDA","FY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388" s="3" t="e">
        <f ca="1">_xll.BDH($C$378,"EBITDA_AFTER_CAPEX","FY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388" s="3" t="e">
        <f ca="1">_xll.BDH($C$378,"IS_OPER_INC","FY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388" s="2" t="e">
        <f ca="1">_xll.BDH($C$378,"CASH_RATIO","FY 2016","FY 2016","Currency=INR","Period=FY","BEST_FPERIOD_OVERRIDE=FY","FILING_STATUS=OR","EQY_CONSOLIDATED=Y","Sort=A","Dates=H","DateFormat=P","Fill=—","Direction=H","UseDPDF=Y")</f>
        <v>#NAME?</v>
      </c>
      <c r="CT388" s="2" t="e">
        <f ca="1">_xll.BDH($C$378,"CUR_RATIO","FY 2016","FY 2016","Currency=INR","Period=FY","BEST_FPERIOD_OVERRIDE=FY","FILING_STATUS=OR","EQY_CONSOLIDATED=Y","Sort=A","Dates=H","DateFormat=P","Fill=—","Direction=H","UseDPDF=Y")</f>
        <v>#NAME?</v>
      </c>
      <c r="CU388" s="2" t="e">
        <f ca="1">_xll.BDH($C$378,"QUICK_RATIO","FY 2016","FY 2016","Currency=INR","Period=FY","BEST_FPERIOD_OVERRIDE=FY","FILING_STATUS=OR","EQY_CONSOLIDATED=Y","Sort=A","Dates=H","DateFormat=P","Fill=—","Direction=H","UseDPDF=Y")</f>
        <v>#NAME?</v>
      </c>
      <c r="CV388" s="2" t="e">
        <f ca="1">_xll.BDH($C$378,"ALTMAN_Z_SCORE","FY 2016","FY 2016","Currency=INR","Period=FY","BEST_FPERIOD_OVERRIDE=FY","FILING_STATUS=OR","EQY_CONSOLIDATED=Y","Sort=A","Dates=H","DateFormat=P","Fill=—","Direction=H","UseDPDF=Y")</f>
        <v>#NAME?</v>
      </c>
      <c r="CW388" s="4" t="e">
        <f ca="1">_xll.BDH($C$378,"ACCT_RCV_TURN","FY 2016","FY 2016","Currency=INR","Period=FY","BEST_FPERIOD_OVERRIDE=FY","FILING_STATUS=OR","EQY_CONSOLIDATED=Y","FA_ADJUSTED=GAAP","Sort=A","Dates=H","DateFormat=P","Fill=—","Direction=H","UseDPDF=Y")</f>
        <v>#NAME?</v>
      </c>
      <c r="CX388" s="2" t="e">
        <f ca="1">_xll.BDH($C$378,"ACCT_RCV_DAYS","FY 2016","FY 2016","Currency=INR","Period=FY","BEST_FPERIOD_OVERRIDE=FY","FILING_STATUS=OR","EQY_CONSOLIDATED=Y","FA_ADJUSTED=GAAP","Sort=A","Dates=H","DateFormat=P","Fill=—","Direction=H","UseDPDF=Y")</f>
        <v>#NAME?</v>
      </c>
      <c r="CY388" s="4" t="e">
        <f ca="1">_xll.BDH($C$378,"INVENT_TURN","FY 2016","FY 2016","Currency=INR","Period=FY","BEST_FPERIOD_OVERRIDE=FY","FILING_STATUS=OR","EQY_CONSOLIDATED=Y","FA_ADJUSTED=GAAP","Sort=A","Dates=H","DateFormat=P","Fill=—","Direction=H","UseDPDF=Y")</f>
        <v>#NAME?</v>
      </c>
      <c r="CZ388" s="2" t="e">
        <f ca="1">_xll.BDH($C$378,"INVENT_DAYS","FY 2016","FY 2016","Currency=INR","Period=FY","BEST_FPERIOD_OVERRIDE=FY","FILING_STATUS=OR","EQY_CONSOLIDATED=Y","FA_ADJUSTED=GAAP","Sort=A","Dates=H","DateFormat=P","Fill=—","Direction=H","UseDPDF=Y")</f>
        <v>#NAME?</v>
      </c>
      <c r="DA388" s="4" t="e">
        <f ca="1">_xll.BDH($C$378,"ACCOUNTS_PAYABLE_TURNOVER","FY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388" s="2" t="e">
        <f ca="1">_xll.BDH($C$378,"ACCOUNTS_PAYABLE_TURNOVER_DAYS","FY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388" s="4" t="e">
        <f ca="1">_xll.BDH($C$378,"CASH_CONVERSION_CYCLE","FY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388" s="4" t="e">
        <f ca="1">_xll.BDH($C$378,"INV_TO_CASH_DAYS","FY 2016","FY 2016","Currency=INR","Period=FY","BEST_FPERIOD_OVERRIDE=FY","FILING_STATUS=OR","EQY_CONSOLIDATED=Y","FA_ADJUSTED=GAAP","Sort=A","Dates=H","DateFormat=P","Fill=—","Direction=H","UseDPDF=Y")</f>
        <v>#NAME?</v>
      </c>
      <c r="DE388" s="5" t="e">
        <f ca="1">_xll.BDH($C$378,"BS_INVENTORIES","FY 2016","FY 2016","Currency=INR","Period=FY","BEST_FPERIOD_OVERRIDE=FY","FILING_STATUS=OR","EQY_CONSOLIDATED=Y","SCALING_FORMAT=MLN","Sort=A","Dates=H","DateFormat=P","Fill=—","Direction=H","UseDPDF=Y")</f>
        <v>#NAME?</v>
      </c>
      <c r="DF388" s="3" t="e">
        <f ca="1">_xll.BDH($C$378,"INVTRY_RAW_MATERIALS","FY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388" s="3" t="e">
        <f ca="1">_xll.BDH($C$378,"INVTRY_IN_PROGRESS","FY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388" s="3" t="e">
        <f ca="1">_xll.BDH($C$378,"INVTRY_FINISHED_GOODS","FY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388" s="3" t="e">
        <f ca="1">_xll.BDH($C$378,"BS_OTHER_INV","FY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389" spans="1:113" x14ac:dyDescent="0.3">
      <c r="A389" s="6"/>
      <c r="B389" s="6"/>
      <c r="C389" s="6"/>
      <c r="D389" s="6"/>
      <c r="E389" t="s">
        <v>78</v>
      </c>
      <c r="F389" t="e">
        <f ca="1">_xll.BDH($C$378,"RETURN_COM_EQY","FQ1 2016","FQ1 2016","Currency=INR","Period=FQ","BEST_FPERIOD_OVERRIDE=FQ","FILING_STATUS=OR","EQY_CONSOLIDATED=Y","FA_ADJUSTED=GAAP","Sort=A","Dates=H","DateFormat=P","Fill=—","Direction=H","UseDPDF=Y")</f>
        <v>#NAME?</v>
      </c>
      <c r="G389" t="e">
        <f ca="1">_xll.BDH($C$378,"RETURN_ON_ASSET","FQ1 2016","FQ1 2016","Currency=INR","Period=FQ","BEST_FPERIOD_OVERRIDE=FQ","FILING_STATUS=OR","EQY_CONSOLIDATED=Y","FA_ADJUSTED=GAAP","Sort=A","Dates=H","DateFormat=P","Fill=—","Direction=H","UseDPDF=Y")</f>
        <v>#NAME?</v>
      </c>
      <c r="H389" t="e">
        <f ca="1">_xll.BDH($C$378,"RETURN_ON_CAP","FQ1 2016","FQ1 2016","Currency=INR","Period=FQ","BEST_FPERIOD_OVERRIDE=FQ","FILING_STATUS=OR","EQY_CONSOLIDATED=Y","FA_ADJUSTED=GAAP","Sort=A","Dates=H","DateFormat=P","Fill=—","Direction=H","UseDPDF=Y")</f>
        <v>#NAME?</v>
      </c>
      <c r="I389" t="e">
        <f ca="1">_xll.BDH($C$378,"RETURN_ON_INV_CAPITAL","FQ1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389" t="e">
        <f ca="1">_xll.BDH($C$378,"EBITDA_TO_REVENUE","FQ1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389" t="e">
        <f ca="1">_xll.BDH($C$378,"OPER_MARGIN","FQ1 2016","FQ1 2016","Currency=INR","Period=FQ","BEST_FPERIOD_OVERRIDE=FQ","FILING_STATUS=OR","EQY_CONSOLIDATED=Y","FA_ADJUSTED=GAAP","Sort=A","Dates=H","DateFormat=P","Fill=—","Direction=H","UseDPDF=Y")</f>
        <v>#NAME?</v>
      </c>
      <c r="L389" t="e">
        <f ca="1">_xll.BDH($C$378,"INCREMENTAL_OPERATING_MARGIN","FQ1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389" t="e">
        <f ca="1">_xll.BDH($C$378,"PRETAX_INC_TO_NET_SALES","FQ1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389" t="e">
        <f ca="1">_xll.BDH($C$378,"INC_BEF_XO_ITEMS_TO_NET_SALES","FQ1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389" t="e">
        <f ca="1">_xll.BDH($C$378,"PROF_MARGIN","FQ1 2016","FQ1 2016","Currency=INR","Period=FQ","BEST_FPERIOD_OVERRIDE=FQ","FILING_STATUS=OR","EQY_CONSOLIDATED=Y","FA_ADJUSTED=GAAP","Sort=A","Dates=H","DateFormat=P","Fill=—","Direction=H","UseDPDF=Y")</f>
        <v>#NAME?</v>
      </c>
      <c r="P389" t="e">
        <f ca="1">_xll.BDH($C$378,"NET_INCOME_TO_COMMON_MARGIN","FQ1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389" t="e">
        <f ca="1">_xll.BDH($C$378,"EFF_TAX_RATE","FQ1 2016","FQ1 2016","Currency=INR","Period=FQ","BEST_FPERIOD_OVERRIDE=FQ","FILING_STATUS=OR","EQY_CONSOLIDATED=Y","FA_ADJUSTED=GAAP","Sort=A","Dates=H","DateFormat=P","Fill=—","Direction=H","UseDPDF=Y")</f>
        <v>#NAME?</v>
      </c>
      <c r="R389" t="e">
        <f ca="1">_xll.BDH($C$378,"DVD_PAYOUT_RATIO","FQ1 2016","FQ1 2016","Currency=INR","Period=FQ","BEST_FPERIOD_OVERRIDE=FQ","FILING_STATUS=OR","EQY_CONSOLIDATED=Y","FA_ADJUSTED=GAAP","Sort=A","Dates=H","DateFormat=P","Fill=—","Direction=H","UseDPDF=Y")</f>
        <v>#NAME?</v>
      </c>
      <c r="S389" t="e">
        <f ca="1">_xll.BDH($C$378,"SUSTAIN_GROWTH_RT","FQ1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389" s="2" t="e">
        <f ca="1">_xll.BDH($C$378,"SALES_GROWTH","FQ1 2016","FQ1 2016","Currency=INR","Period=FQ","BEST_FPERIOD_OVERRIDE=FQ","FILING_STATUS=OR","EQY_CONSOLIDATED=Y","FA_ADJUSTED=GAAP","Sort=A","Dates=H","DateFormat=P","Fill=—","Direction=H","UseDPDF=Y")</f>
        <v>#NAME?</v>
      </c>
      <c r="U389" s="2" t="e">
        <f ca="1">_xll.BDH($C$378,"EBITDA_GROWTH","FQ1 2016","FQ1 2016","Currency=INR","Period=FQ","BEST_FPERIOD_OVERRIDE=FQ","FILING_STATUS=OR","EQY_CONSOLIDATED=Y","FA_ADJUSTED=GAAP","Sort=A","Dates=H","DateFormat=P","Fill=—","Direction=H","UseDPDF=Y")</f>
        <v>#NAME?</v>
      </c>
      <c r="V389" s="2" t="e">
        <f ca="1">_xll.BDH($C$378,"OPER_INC_GROWTH","FQ1 2016","FQ1 2016","Currency=INR","Period=FQ","BEST_FPERIOD_OVERRIDE=FQ","FILING_STATUS=OR","EQY_CONSOLIDATED=Y","FA_ADJUSTED=GAAP","Sort=A","Dates=H","DateFormat=P","Fill=—","Direction=H","UseDPDF=Y")</f>
        <v>#NAME?</v>
      </c>
      <c r="W389" s="2" t="e">
        <f ca="1">_xll.BDH($C$378,"EARN_FOR_COM_GROWTH","FQ1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389" s="2" t="e">
        <f ca="1">_xll.BDH($C$378,"DILUTED_EPS_AFT_XO_ITEMS_GROWTH","FQ1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389" s="2" t="e">
        <f ca="1">_xll.BDH($C$378,"DIVIDEND_PER_SHARE_1_YEAR_GROWTH","FQ1 2016","FQ1 2016","Currency=INR","Period=FQ","BEST_FPERIOD_OVERRIDE=FQ","FILING_STATUS=OR","EQY_CONSOLIDATED=Y","Sort=A","Dates=H","DateFormat=P","Fill=—","Direction=H","UseDPDF=Y")</f>
        <v>#NAME?</v>
      </c>
      <c r="Z389" s="2" t="e">
        <f ca="1">_xll.BDH($C$378,"ACCOUNTS_RECEIVABLE_GROWTH","FQ1 2016","FQ1 2016","Currency=INR","Period=FQ","BEST_FPERIOD_OVERRIDE=FQ","FILING_STATUS=OR","EQY_CONSOLIDATED=Y","Sort=A","Dates=H","DateFormat=P","Fill=—","Direction=H","UseDPDF=Y")</f>
        <v>#NAME?</v>
      </c>
      <c r="AA389" s="2" t="e">
        <f ca="1">_xll.BDH($C$378,"INVENTORY_GROWTH","FQ1 2016","FQ1 2016","Currency=INR","Period=FQ","BEST_FPERIOD_OVERRIDE=FQ","FILING_STATUS=OR","EQY_CONSOLIDATED=Y","Sort=A","Dates=H","DateFormat=P","Fill=—","Direction=H","UseDPDF=Y")</f>
        <v>#NAME?</v>
      </c>
      <c r="AB389" s="2" t="e">
        <f ca="1">_xll.BDH($C$378,"NET_FIXED_ASSETS_1_YEAR_GROWTH","FQ1 2016","FQ1 2016","Currency=INR","Period=FQ","BEST_FPERIOD_OVERRIDE=FQ","FILING_STATUS=OR","EQY_CONSOLIDATED=Y","Sort=A","Dates=H","DateFormat=P","Fill=—","Direction=H","UseDPDF=Y")</f>
        <v>#NAME?</v>
      </c>
      <c r="AC389" s="2" t="e">
        <f ca="1">_xll.BDH($C$378,"ASSET_GROWTH","FQ1 2016","FQ1 2016","Currency=INR","Period=FQ","BEST_FPERIOD_OVERRIDE=FQ","FILING_STATUS=OR","EQY_CONSOLIDATED=Y","Sort=A","Dates=H","DateFormat=P","Fill=—","Direction=H","UseDPDF=Y")</f>
        <v>#NAME?</v>
      </c>
      <c r="AD389" s="2" t="e">
        <f ca="1">_xll.BDH($C$378,"MODIFIED_WORK_CAP_GROWTH","FQ1 2016","FQ1 2016","Currency=INR","Period=FQ","BEST_FPERIOD_OVERRIDE=FQ","FILING_STATUS=OR","EQY_CONSOLIDATED=Y","Sort=A","Dates=H","DateFormat=P","Fill=—","Direction=H","UseDPDF=Y")</f>
        <v>#NAME?</v>
      </c>
      <c r="AE389" s="2" t="e">
        <f ca="1">_xll.BDH($C$378,"WORK_CAP_GROWTH","FQ1 2016","FQ1 2016","Currency=INR","Period=FQ","BEST_FPERIOD_OVERRIDE=FQ","FILING_STATUS=OR","EQY_CONSOLIDATED=Y","Sort=A","Dates=H","DateFormat=P","Fill=—","Direction=H","UseDPDF=Y")</f>
        <v>#NAME?</v>
      </c>
      <c r="AF389" s="2" t="e">
        <f ca="1">_xll.BDH($C$378,"ACCOUNTS_PAYABLE_GROWTH_1YR","FQ1 2016","FQ1 2016","Currency=INR","Period=FQ","BEST_FPERIOD_OVERRIDE=FQ","FILING_STATUS=OR","EQY_CONSOLIDATED=Y","Sort=A","Dates=H","DateFormat=P","Fill=—","Direction=H","UseDPDF=Y")</f>
        <v>#NAME?</v>
      </c>
      <c r="AG389" s="2" t="e">
        <f ca="1">_xll.BDH($C$378,"SHORT_TERM_DEBT_1_YEAR_GROWTH","FQ1 2016","FQ1 2016","Currency=INR","Period=FQ","BEST_FPERIOD_OVERRIDE=FQ","FILING_STATUS=OR","EQY_CONSOLIDATED=Y","Sort=A","Dates=H","DateFormat=P","Fill=—","Direction=H","UseDPDF=Y")</f>
        <v>#NAME?</v>
      </c>
      <c r="AH389" s="2" t="e">
        <f ca="1">_xll.BDH($C$378,"TOTAL_DEBT_1_YEAR_GROWTH","FQ1 2016","FQ1 2016","Currency=INR","Period=FQ","BEST_FPERIOD_OVERRIDE=FQ","FILING_STATUS=OR","EQY_CONSOLIDATED=Y","Sort=A","Dates=H","DateFormat=P","Fill=—","Direction=H","UseDPDF=Y")</f>
        <v>#NAME?</v>
      </c>
      <c r="AI389" s="2" t="e">
        <f ca="1">_xll.BDH($C$378,"TOTAL_EQUITY_1_YEAR_GROWTH","FQ1 2016","FQ1 2016","Currency=INR","Period=FQ","BEST_FPERIOD_OVERRIDE=FQ","FILING_STATUS=OR","EQY_CONSOLIDATED=Y","Sort=A","Dates=H","DateFormat=P","Fill=—","Direction=H","UseDPDF=Y")</f>
        <v>#NAME?</v>
      </c>
      <c r="AJ389" s="2" t="e">
        <f ca="1">_xll.BDH($C$378,"GROWTH_IN_CAP","FQ1 2016","FQ1 2016","Currency=INR","Period=FQ","BEST_FPERIOD_OVERRIDE=FQ","FILING_STATUS=OR","EQY_CONSOLIDATED=Y","Sort=A","Dates=H","DateFormat=P","Fill=—","Direction=H","UseDPDF=Y")</f>
        <v>#NAME?</v>
      </c>
      <c r="AK389" s="2" t="e">
        <f ca="1">_xll.BDH($C$378,"BVPS_GROWTH","FQ1 2016","FQ1 2016","Currency=INR","Period=FQ","BEST_FPERIOD_OVERRIDE=FQ","FILING_STATUS=OR","EQY_CONSOLIDATED=Y","Sort=A","Dates=H","DateFormat=P","Fill=—","Direction=H","UseDPDF=Y")</f>
        <v>#NAME?</v>
      </c>
      <c r="AL389" s="2" t="e">
        <f ca="1">_xll.BDH($C$378,"CASH_FLOW_GROWTH","FQ1 2016","FQ1 2016","Currency=INR","Period=FQ","BEST_FPERIOD_OVERRIDE=FQ","FILING_STATUS=OR","EQY_CONSOLIDATED=Y","Sort=A","Dates=H","DateFormat=P","Fill=—","Direction=H","UseDPDF=Y")</f>
        <v>#NAME?</v>
      </c>
      <c r="AM389" s="2" t="e">
        <f ca="1">_xll.BDH($C$378,"GEO_GROW_NET_SALES","FQ1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389" s="2" t="e">
        <f ca="1">_xll.BDH($C$378,"GEO_GROW_EBITDA","FQ1 2016","FQ1 2016","Currency=INR","Period=FQ","BEST_FPERIOD_OVERRIDE=FQ","FILING_STATUS=OR","EQY_CONSOLIDATED=Y","FA_ADJUSTED=GAAP","Sort=A","Dates=H","DateFormat=P","Fill=—","Direction=H","UseDPDF=Y")</f>
        <v>#NAME?</v>
      </c>
      <c r="AO389" s="2" t="e">
        <f ca="1">_xll.BDH($C$378,"GEO_GROW_OPER_INC","FQ1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389" s="2" t="e">
        <f ca="1">_xll.BDH($C$378,"NET_INCOME_TO_COMMON_5_YR_GROWTH","FQ1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389" s="2" t="e">
        <f ca="1">_xll.BDH($C$378,"5Y_GEO_GROWTH_DILUTED_EPS","FQ1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389" s="2" t="e">
        <f ca="1">_xll.BDH($C$378,"GEO_GROW_DVD_PER_SH","FQ1 2016","FQ1 2016","Currency=INR","Period=FQ","BEST_FPERIOD_OVERRIDE=FQ","FILING_STATUS=OR","EQY_CONSOLIDATED=Y","Sort=A","Dates=H","DateFormat=P","Fill=—","Direction=H","UseDPDF=Y")</f>
        <v>#NAME?</v>
      </c>
      <c r="AS389" s="2" t="e">
        <f ca="1">_xll.BDH($C$378,"ACCOUNTS_RECEIVABLE_5_YR_GROWTH","FQ1 2016","FQ1 2016","Currency=INR","Period=FQ","BEST_FPERIOD_OVERRIDE=FQ","FILING_STATUS=OR","EQY_CONSOLIDATED=Y","Sort=A","Dates=H","DateFormat=P","Fill=—","Direction=H","UseDPDF=Y")</f>
        <v>#NAME?</v>
      </c>
      <c r="AT389" s="2" t="e">
        <f ca="1">_xll.BDH($C$378,"INVENTORY_5_YEAR_GROWTH","FQ1 2016","FQ1 2016","Currency=INR","Period=FQ","BEST_FPERIOD_OVERRIDE=FQ","FILING_STATUS=OR","EQY_CONSOLIDATED=Y","Sort=A","Dates=H","DateFormat=P","Fill=—","Direction=H","UseDPDF=Y")</f>
        <v>#NAME?</v>
      </c>
      <c r="AU389" s="2" t="e">
        <f ca="1">_xll.BDH($C$378,"NET_FIXED_ASSETS_5_YEAR_GROWTH","FQ1 2016","FQ1 2016","Currency=INR","Period=FQ","BEST_FPERIOD_OVERRIDE=FQ","FILING_STATUS=OR","EQY_CONSOLIDATED=Y","Sort=A","Dates=H","DateFormat=P","Fill=—","Direction=H","UseDPDF=Y")</f>
        <v>#NAME?</v>
      </c>
      <c r="AV389" s="2" t="e">
        <f ca="1">_xll.BDH($C$378,"GEO_GROW_TOT_ASSET","FQ1 2016","FQ1 2016","Currency=INR","Period=FQ","BEST_FPERIOD_OVERRIDE=FQ","FILING_STATUS=OR","EQY_CONSOLIDATED=Y","Sort=A","Dates=H","DateFormat=P","Fill=—","Direction=H","UseDPDF=Y")</f>
        <v>#NAME?</v>
      </c>
      <c r="AW389" s="2" t="e">
        <f ca="1">_xll.BDH($C$378,"MODIFIED_WORKING_CPTL_5YR_GRWTH","FQ1 2016","FQ1 2016","Currency=INR","Period=FQ","BEST_FPERIOD_OVERRIDE=FQ","FILING_STATUS=OR","EQY_CONSOLIDATED=Y","Sort=A","Dates=H","DateFormat=P","Fill=—","Direction=H","UseDPDF=Y")</f>
        <v>#NAME?</v>
      </c>
      <c r="AX389" s="2" t="e">
        <f ca="1">_xll.BDH($C$378,"WORKING_CAPITAL_5_YEAR_GROWTH","FQ1 2016","FQ1 2016","Currency=INR","Period=FQ","BEST_FPERIOD_OVERRIDE=FQ","FILING_STATUS=OR","EQY_CONSOLIDATED=Y","Sort=A","Dates=H","DateFormat=P","Fill=—","Direction=H","UseDPDF=Y")</f>
        <v>#NAME?</v>
      </c>
      <c r="AY389" s="2" t="e">
        <f ca="1">_xll.BDH($C$378,"ACCOUNTS_PAYABLE_5_YEAR_GROWTH","FQ1 2016","FQ1 2016","Currency=INR","Period=FQ","BEST_FPERIOD_OVERRIDE=FQ","FILING_STATUS=OR","EQY_CONSOLIDATED=Y","Sort=A","Dates=H","DateFormat=P","Fill=—","Direction=H","UseDPDF=Y")</f>
        <v>#NAME?</v>
      </c>
      <c r="AZ389" s="2" t="e">
        <f ca="1">_xll.BDH($C$378,"SHORT_TERM_DEBT_5_YEAR_GROWTH","FQ1 2016","FQ1 2016","Currency=INR","Period=FQ","BEST_FPERIOD_OVERRIDE=FQ","FILING_STATUS=OR","EQY_CONSOLIDATED=Y","Sort=A","Dates=H","DateFormat=P","Fill=—","Direction=H","UseDPDF=Y")</f>
        <v>#NAME?</v>
      </c>
      <c r="BA389" s="2" t="e">
        <f ca="1">_xll.BDH($C$378,"TOTAL_DEBT_5_YEAR_GROWTH","FQ1 2016","FQ1 2016","Currency=INR","Period=FQ","BEST_FPERIOD_OVERRIDE=FQ","FILING_STATUS=OR","EQY_CONSOLIDATED=Y","Sort=A","Dates=H","DateFormat=P","Fill=—","Direction=H","UseDPDF=Y")</f>
        <v>#NAME?</v>
      </c>
      <c r="BB389" s="2" t="e">
        <f ca="1">_xll.BDH($C$378,"GEO_GROW_TOT_SHRHLDR_EQY","FQ1 2016","FQ1 2016","Currency=INR","Period=FQ","BEST_FPERIOD_OVERRIDE=FQ","FILING_STATUS=OR","EQY_CONSOLIDATED=Y","Sort=A","Dates=H","DateFormat=P","Fill=—","Direction=H","UseDPDF=Y")</f>
        <v>#NAME?</v>
      </c>
      <c r="BC389" s="2" t="e">
        <f ca="1">_xll.BDH($C$378,"TOTAL_CAPITAL_5_YEAR_GROWTH","FQ1 2016","FQ1 2016","Currency=INR","Period=FQ","BEST_FPERIOD_OVERRIDE=FQ","FILING_STATUS=OR","EQY_CONSOLIDATED=Y","Sort=A","Dates=H","DateFormat=P","Fill=—","Direction=H","UseDPDF=Y")</f>
        <v>#NAME?</v>
      </c>
      <c r="BD389" s="2" t="e">
        <f ca="1">_xll.BDH($C$378,"GEO_GROW_BOOK_VAL","FQ1 2016","FQ1 2016","Currency=INR","Period=FQ","BEST_FPERIOD_OVERRIDE=FQ","FILING_STATUS=OR","EQY_CONSOLIDATED=Y","Sort=A","Dates=H","DateFormat=P","Fill=—","Direction=H","UseDPDF=Y")</f>
        <v>#NAME?</v>
      </c>
      <c r="BE389" s="2" t="e">
        <f ca="1">_xll.BDH($C$378,"GEO_GROW_CASH_OPER_ACT","FQ1 2016","FQ1 2016","Currency=INR","Period=FQ","BEST_FPERIOD_OVERRIDE=FQ","FILING_STATUS=OR","EQY_CONSOLIDATED=Y","Sort=A","Dates=H","DateFormat=P","Fill=—","Direction=H","UseDPDF=Y")</f>
        <v>#NAME?</v>
      </c>
      <c r="BF389" s="2" t="e">
        <f ca="1">_xll.BDH($C$378,"REVENUE_SEQUENTIAL_GROWTH","FQ1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389" s="2" t="e">
        <f ca="1">_xll.BDH($C$378,"EBITDA_SEQUENTIAL_GROWTH","FQ1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389" s="2" t="e">
        <f ca="1">_xll.BDH($C$378,"OPERATING_INCOME_SEQ_GROWTH","FQ1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389" s="2" t="e">
        <f ca="1">_xll.BDH($C$378,"NET_INCOME_TO_COMMON_SEQ_GROWTH","FQ1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389" s="2" t="e">
        <f ca="1">_xll.BDH($C$378,"EPS_DILUTED_SEQUENTIAL_GROWTH","FQ1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389" s="2" t="e">
        <f ca="1">_xll.BDH($C$378,"DPS_SEQUENTIAL_GROWTH","FQ1 2016","FQ1 2016","Currency=INR","Period=FQ","BEST_FPERIOD_OVERRIDE=FQ","FILING_STATUS=OR","EQY_CONSOLIDATED=Y","Sort=A","Dates=H","DateFormat=P","Fill=—","Direction=H","UseDPDF=Y")</f>
        <v>#NAME?</v>
      </c>
      <c r="BL389" s="2" t="e">
        <f ca="1">_xll.BDH($C$378,"ACCOUNTS_RECEIVABLE_SEQ_GROWTH","FQ1 2016","FQ1 2016","Currency=INR","Period=FQ","BEST_FPERIOD_OVERRIDE=FQ","FILING_STATUS=OR","EQY_CONSOLIDATED=Y","Sort=A","Dates=H","DateFormat=P","Fill=—","Direction=H","UseDPDF=Y")</f>
        <v>#NAME?</v>
      </c>
      <c r="BM389" s="2" t="e">
        <f ca="1">_xll.BDH($C$378,"INVENTORY_SEQUENTIAL_GROWTH","FQ1 2016","FQ1 2016","Currency=INR","Period=FQ","BEST_FPERIOD_OVERRIDE=FQ","FILING_STATUS=OR","EQY_CONSOLIDATED=Y","Sort=A","Dates=H","DateFormat=P","Fill=—","Direction=H","UseDPDF=Y")</f>
        <v>#NAME?</v>
      </c>
      <c r="BN389" s="2" t="e">
        <f ca="1">_xll.BDH($C$378,"FIXED_ASSETS_SEQUENTIAL_GROWTH","FQ1 2016","FQ1 2016","Currency=INR","Period=FQ","BEST_FPERIOD_OVERRIDE=FQ","FILING_STATUS=OR","EQY_CONSOLIDATED=Y","Sort=A","Dates=H","DateFormat=P","Fill=—","Direction=H","UseDPDF=Y")</f>
        <v>#NAME?</v>
      </c>
      <c r="BO389" s="2" t="e">
        <f ca="1">_xll.BDH($C$378,"TOTAL_ASSETS_SEQUENTIAL_GROWTH","FQ1 2016","FQ1 2016","Currency=INR","Period=FQ","BEST_FPERIOD_OVERRIDE=FQ","FILING_STATUS=OR","EQY_CONSOLIDATED=Y","Sort=A","Dates=H","DateFormat=P","Fill=—","Direction=H","UseDPDF=Y")</f>
        <v>#NAME?</v>
      </c>
      <c r="BP389" s="2" t="e">
        <f ca="1">_xll.BDH($C$378,"MODIFIED_WORKING_CPTL_SEQ_GRWTH","FQ1 2016","FQ1 2016","Currency=INR","Period=FQ","BEST_FPERIOD_OVERRIDE=FQ","FILING_STATUS=OR","EQY_CONSOLIDATED=Y","Sort=A","Dates=H","DateFormat=P","Fill=—","Direction=H","UseDPDF=Y")</f>
        <v>#NAME?</v>
      </c>
      <c r="BQ389" s="2" t="e">
        <f ca="1">_xll.BDH($C$378,"WORKING_CAPITAL_SEQ_GROWTH","FQ1 2016","FQ1 2016","Currency=INR","Period=FQ","BEST_FPERIOD_OVERRIDE=FQ","FILING_STATUS=OR","EQY_CONSOLIDATED=Y","Sort=A","Dates=H","DateFormat=P","Fill=—","Direction=H","UseDPDF=Y")</f>
        <v>#NAME?</v>
      </c>
      <c r="BR389" s="2" t="e">
        <f ca="1">_xll.BDH($C$378,"ACCOUNTS_PAYABLE_SEQ_GROWTH","FQ1 2016","FQ1 2016","Currency=INR","Period=FQ","BEST_FPERIOD_OVERRIDE=FQ","FILING_STATUS=OR","EQY_CONSOLIDATED=Y","Sort=A","Dates=H","DateFormat=P","Fill=—","Direction=H","UseDPDF=Y")</f>
        <v>#NAME?</v>
      </c>
      <c r="BS389" s="2" t="e">
        <f ca="1">_xll.BDH($C$378,"ST_DEBT_SEQUENTIAL_GROWTH","FQ1 2016","FQ1 2016","Currency=INR","Period=FQ","BEST_FPERIOD_OVERRIDE=FQ","FILING_STATUS=OR","EQY_CONSOLIDATED=Y","Sort=A","Dates=H","DateFormat=P","Fill=—","Direction=H","UseDPDF=Y")</f>
        <v>#NAME?</v>
      </c>
      <c r="BT389" s="2" t="e">
        <f ca="1">_xll.BDH($C$378,"TOTAL_DEBT_SEQUENTIAL_GROWTH","FQ1 2016","FQ1 2016","Currency=INR","Period=FQ","BEST_FPERIOD_OVERRIDE=FQ","FILING_STATUS=OR","EQY_CONSOLIDATED=Y","Sort=A","Dates=H","DateFormat=P","Fill=—","Direction=H","UseDPDF=Y")</f>
        <v>#NAME?</v>
      </c>
      <c r="BU389" s="2" t="e">
        <f ca="1">_xll.BDH($C$378,"TOTAL_EQUITY_SEQUENTIAL_GROWTH","FQ1 2016","FQ1 2016","Currency=INR","Period=FQ","BEST_FPERIOD_OVERRIDE=FQ","FILING_STATUS=OR","EQY_CONSOLIDATED=Y","Sort=A","Dates=H","DateFormat=P","Fill=—","Direction=H","UseDPDF=Y")</f>
        <v>#NAME?</v>
      </c>
      <c r="BV389" s="2" t="e">
        <f ca="1">_xll.BDH($C$378,"TOTAL_CAPITAL_SEQUENTIAL_GROWTH","FQ1 2016","FQ1 2016","Currency=INR","Period=FQ","BEST_FPERIOD_OVERRIDE=FQ","FILING_STATUS=OR","EQY_CONSOLIDATED=Y","Sort=A","Dates=H","DateFormat=P","Fill=—","Direction=H","UseDPDF=Y")</f>
        <v>#NAME?</v>
      </c>
      <c r="BW389" s="2" t="e">
        <f ca="1">_xll.BDH($C$378,"BPS_SEQUENTIAL_GROWTH","FQ1 2016","FQ1 2016","Currency=INR","Period=FQ","BEST_FPERIOD_OVERRIDE=FQ","FILING_STATUS=OR","EQY_CONSOLIDATED=Y","Sort=A","Dates=H","DateFormat=P","Fill=—","Direction=H","UseDPDF=Y")</f>
        <v>#NAME?</v>
      </c>
      <c r="BX389" s="2" t="e">
        <f ca="1">_xll.BDH($C$378,"CFO_SEQUENTIAL_GROWTH","FQ1 2016","FQ1 2016","Currency=INR","Period=FQ","BEST_FPERIOD_OVERRIDE=FQ","FILING_STATUS=OR","EQY_CONSOLIDATED=Y","Sort=A","Dates=H","DateFormat=P","Fill=—","Direction=H","UseDPDF=Y")</f>
        <v>#NAME?</v>
      </c>
      <c r="BY389" s="3" t="e">
        <f ca="1">_xll.BDH($C$378,"SHORT_AND_LONG_TERM_DEBT","FQ1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389" s="3" t="e">
        <f ca="1">_xll.BDH($C$378,"BS_ST_BORROW","FQ1 2016","FQ1 2016","Currency=INR","Period=FQ","BEST_FPERIOD_OVERRIDE=FQ","FILING_STATUS=OR","EQY_CONSOLIDATED=Y","SCALING_FORMAT=MLN","Sort=A","Dates=H","DateFormat=P","Fill=—","Direction=H","UseDPDF=Y")</f>
        <v>#NAME?</v>
      </c>
      <c r="CA389" s="3" t="e">
        <f ca="1">_xll.BDH($C$378,"BS_LT_BORROW","FQ1 2016","FQ1 2016","Currency=INR","Period=FQ","BEST_FPERIOD_OVERRIDE=FQ","FILING_STATUS=OR","EQY_CONSOLIDATED=Y","SCALING_FORMAT=MLN","Sort=A","Dates=H","DateFormat=P","Fill=—","Direction=H","UseDPDF=Y")</f>
        <v>#NAME?</v>
      </c>
      <c r="CB389" s="2" t="e">
        <f ca="1">_xll.BDH($C$378,"TOT_DEBT_TO_EBITDA","FQ1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389" s="2" t="e">
        <f ca="1">_xll.BDH($C$378,"NET_DEBT_TO_EBITDA","FQ1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389" s="2" t="e">
        <f ca="1">_xll.BDH($C$378,"TOTAL_DEBT_TO_EBIT","FQ1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389" s="2" t="e">
        <f ca="1">_xll.BDH($C$378,"NET_DEBT_TO_EBIT","FQ1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389" s="2" t="e">
        <f ca="1">_xll.BDH($C$378,"EBITDA_TO_INTEREST_EXPN","FQ1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389" s="2" t="e">
        <f ca="1">_xll.BDH($C$378,"COM_EQY_TO_TOT_ASSET","FQ1 2016","FQ1 2016","Currency=INR","Period=FQ","BEST_FPERIOD_OVERRIDE=FQ","FILING_STATUS=OR","EQY_CONSOLIDATED=Y","Sort=A","Dates=H","DateFormat=P","Fill=—","Direction=H","UseDPDF=Y")</f>
        <v>#NAME?</v>
      </c>
      <c r="CH389" s="2" t="e">
        <f ca="1">_xll.BDH($C$378,"LT_DEBT_TO_TOT_EQY","FQ1 2016","FQ1 2016","Currency=INR","Period=FQ","BEST_FPERIOD_OVERRIDE=FQ","FILING_STATUS=OR","EQY_CONSOLIDATED=Y","Sort=A","Dates=H","DateFormat=P","Fill=—","Direction=H","UseDPDF=Y")</f>
        <v>#NAME?</v>
      </c>
      <c r="CI389" s="2" t="e">
        <f ca="1">_xll.BDH($C$378,"LT_DEBT_TO_TOT_CAP","FQ1 2016","FQ1 2016","Currency=INR","Period=FQ","BEST_FPERIOD_OVERRIDE=FQ","FILING_STATUS=OR","EQY_CONSOLIDATED=Y","Sort=A","Dates=H","DateFormat=P","Fill=—","Direction=H","UseDPDF=Y")</f>
        <v>#NAME?</v>
      </c>
      <c r="CJ389" s="2" t="e">
        <f ca="1">_xll.BDH($C$378,"LT_DEBT_TO_TOT_ASSET","FQ1 2016","FQ1 2016","Currency=INR","Period=FQ","BEST_FPERIOD_OVERRIDE=FQ","FILING_STATUS=OR","EQY_CONSOLIDATED=Y","Sort=A","Dates=H","DateFormat=P","Fill=—","Direction=H","UseDPDF=Y")</f>
        <v>#NAME?</v>
      </c>
      <c r="CK389" s="2" t="e">
        <f ca="1">_xll.BDH($C$378,"TOT_DEBT_TO_TOT_EQY","FQ1 2016","FQ1 2016","Currency=INR","Period=FQ","BEST_FPERIOD_OVERRIDE=FQ","FILING_STATUS=OR","EQY_CONSOLIDATED=Y","Sort=A","Dates=H","DateFormat=P","Fill=—","Direction=H","UseDPDF=Y")</f>
        <v>#NAME?</v>
      </c>
      <c r="CL389" s="2" t="e">
        <f ca="1">_xll.BDH($C$378,"TOT_DEBT_TO_TOT_CAP","FQ1 2016","FQ1 2016","Currency=INR","Period=FQ","BEST_FPERIOD_OVERRIDE=FQ","FILING_STATUS=OR","EQY_CONSOLIDATED=Y","Sort=A","Dates=H","DateFormat=P","Fill=—","Direction=H","UseDPDF=Y")</f>
        <v>#NAME?</v>
      </c>
      <c r="CM389" s="2" t="e">
        <f ca="1">_xll.BDH($C$378,"TOT_DEBT_TO_TOT_ASSET","FQ1 2016","FQ1 2016","Currency=INR","Period=FQ","BEST_FPERIOD_OVERRIDE=FQ","FILING_STATUS=OR","EQY_CONSOLIDATED=Y","Sort=A","Dates=H","DateFormat=P","Fill=—","Direction=H","UseDPDF=Y")</f>
        <v>#NAME?</v>
      </c>
      <c r="CN389" s="2" t="e">
        <f ca="1">_xll.BDH($C$378,"NET_DEBT_TO_SHRHLDR_EQTY","FQ1 2016","FQ1 2016","Currency=INR","Period=FQ","BEST_FPERIOD_OVERRIDE=FQ","FILING_STATUS=OR","EQY_CONSOLIDATED=Y","Sort=A","Dates=H","DateFormat=P","Fill=—","Direction=H","UseDPDF=Y")</f>
        <v>#NAME?</v>
      </c>
      <c r="CO389" s="2" t="e">
        <f ca="1">_xll.BDH($C$378,"NET_DEBT_%_CAPITAL","FQ1 2016","FQ1 2016","Currency=INR","Period=FQ","BEST_FPERIOD_OVERRIDE=FQ","FILING_STATUS=OR","EQY_CONSOLIDATED=Y","Sort=A","Dates=H","DateFormat=P","Fill=—","Direction=H","UseDPDF=Y")</f>
        <v>#NAME?</v>
      </c>
      <c r="CP389" s="3" t="e">
        <f ca="1">_xll.BDH($C$378,"EBITDA","FQ1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389" s="3" t="e">
        <f ca="1">_xll.BDH($C$378,"EBITDA_AFTER_CAPEX","FQ1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389" s="3" t="e">
        <f ca="1">_xll.BDH($C$378,"IS_OPER_INC","FQ1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389" s="2" t="e">
        <f ca="1">_xll.BDH($C$378,"CASH_RATIO","FQ1 2016","FQ1 2016","Currency=INR","Period=FQ","BEST_FPERIOD_OVERRIDE=FQ","FILING_STATUS=OR","EQY_CONSOLIDATED=Y","Sort=A","Dates=H","DateFormat=P","Fill=—","Direction=H","UseDPDF=Y")</f>
        <v>#NAME?</v>
      </c>
      <c r="CT389" s="2" t="e">
        <f ca="1">_xll.BDH($C$378,"CUR_RATIO","FQ1 2016","FQ1 2016","Currency=INR","Period=FQ","BEST_FPERIOD_OVERRIDE=FQ","FILING_STATUS=OR","EQY_CONSOLIDATED=Y","Sort=A","Dates=H","DateFormat=P","Fill=—","Direction=H","UseDPDF=Y")</f>
        <v>#NAME?</v>
      </c>
      <c r="CU389" s="2" t="e">
        <f ca="1">_xll.BDH($C$378,"QUICK_RATIO","FQ1 2016","FQ1 2016","Currency=INR","Period=FQ","BEST_FPERIOD_OVERRIDE=FQ","FILING_STATUS=OR","EQY_CONSOLIDATED=Y","Sort=A","Dates=H","DateFormat=P","Fill=—","Direction=H","UseDPDF=Y")</f>
        <v>#NAME?</v>
      </c>
      <c r="CV389" s="2" t="e">
        <f ca="1">_xll.BDH($C$378,"ALTMAN_Z_SCORE","FQ1 2016","FQ1 2016","Currency=INR","Period=FQ","BEST_FPERIOD_OVERRIDE=FQ","FILING_STATUS=OR","EQY_CONSOLIDATED=Y","Sort=A","Dates=H","DateFormat=P","Fill=—","Direction=H","UseDPDF=Y")</f>
        <v>#NAME?</v>
      </c>
      <c r="CW389" s="4" t="e">
        <f ca="1">_xll.BDH($C$378,"ACCT_RCV_TURN","FQ1 2016","FQ1 2016","Currency=INR","Period=FQ","BEST_FPERIOD_OVERRIDE=FQ","FILING_STATUS=OR","EQY_CONSOLIDATED=Y","FA_ADJUSTED=GAAP","Sort=A","Dates=H","DateFormat=P","Fill=—","Direction=H","UseDPDF=Y")</f>
        <v>#NAME?</v>
      </c>
      <c r="CX389" s="2" t="e">
        <f ca="1">_xll.BDH($C$378,"ACCT_RCV_DAYS","FQ1 2016","FQ1 2016","Currency=INR","Period=FQ","BEST_FPERIOD_OVERRIDE=FQ","FILING_STATUS=OR","EQY_CONSOLIDATED=Y","FA_ADJUSTED=GAAP","Sort=A","Dates=H","DateFormat=P","Fill=—","Direction=H","UseDPDF=Y")</f>
        <v>#NAME?</v>
      </c>
      <c r="CY389" s="4" t="e">
        <f ca="1">_xll.BDH($C$378,"INVENT_TURN","FQ1 2016","FQ1 2016","Currency=INR","Period=FQ","BEST_FPERIOD_OVERRIDE=FQ","FILING_STATUS=OR","EQY_CONSOLIDATED=Y","FA_ADJUSTED=GAAP","Sort=A","Dates=H","DateFormat=P","Fill=—","Direction=H","UseDPDF=Y")</f>
        <v>#NAME?</v>
      </c>
      <c r="CZ389" s="2" t="e">
        <f ca="1">_xll.BDH($C$378,"INVENT_DAYS","FQ1 2016","FQ1 2016","Currency=INR","Period=FQ","BEST_FPERIOD_OVERRIDE=FQ","FILING_STATUS=OR","EQY_CONSOLIDATED=Y","FA_ADJUSTED=GAAP","Sort=A","Dates=H","DateFormat=P","Fill=—","Direction=H","UseDPDF=Y")</f>
        <v>#NAME?</v>
      </c>
      <c r="DA389" s="4" t="e">
        <f ca="1">_xll.BDH($C$378,"ACCOUNTS_PAYABLE_TURNOVER","FQ1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389" s="2" t="e">
        <f ca="1">_xll.BDH($C$378,"ACCOUNTS_PAYABLE_TURNOVER_DAYS","FQ1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389" s="4" t="e">
        <f ca="1">_xll.BDH($C$378,"CASH_CONVERSION_CYCLE","FQ1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389" s="4" t="e">
        <f ca="1">_xll.BDH($C$378,"INV_TO_CASH_DAYS","FQ1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389" s="5" t="e">
        <f ca="1">_xll.BDH($C$378,"BS_INVENTORIES","FQ1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389" s="3" t="e">
        <f ca="1">_xll.BDH($C$378,"INVTRY_RAW_MATERIALS","FQ1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389" s="3" t="e">
        <f ca="1">_xll.BDH($C$378,"INVTRY_IN_PROGRESS","FQ1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389" s="3" t="e">
        <f ca="1">_xll.BDH($C$378,"INVTRY_FINISHED_GOODS","FQ1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389" s="3" t="e">
        <f ca="1">_xll.BDH($C$378,"BS_OTHER_INV","FQ1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390" spans="1:113" x14ac:dyDescent="0.3">
      <c r="A390" s="6"/>
      <c r="B390" s="6"/>
      <c r="C390" s="6"/>
      <c r="D390" s="6"/>
      <c r="E390" t="s">
        <v>79</v>
      </c>
      <c r="F390" t="e">
        <f ca="1">_xll.BDH($C$378,"RETURN_COM_EQY","FQ2 2016","FQ2 2016","Currency=INR","Period=FQ","BEST_FPERIOD_OVERRIDE=FQ","FILING_STATUS=OR","EQY_CONSOLIDATED=Y","FA_ADJUSTED=GAAP","Sort=A","Dates=H","DateFormat=P","Fill=—","Direction=H","UseDPDF=Y")</f>
        <v>#NAME?</v>
      </c>
      <c r="G390" t="e">
        <f ca="1">_xll.BDH($C$378,"RETURN_ON_ASSET","FQ2 2016","FQ2 2016","Currency=INR","Period=FQ","BEST_FPERIOD_OVERRIDE=FQ","FILING_STATUS=OR","EQY_CONSOLIDATED=Y","FA_ADJUSTED=GAAP","Sort=A","Dates=H","DateFormat=P","Fill=—","Direction=H","UseDPDF=Y")</f>
        <v>#NAME?</v>
      </c>
      <c r="H390" t="e">
        <f ca="1">_xll.BDH($C$378,"RETURN_ON_CAP","FQ2 2016","FQ2 2016","Currency=INR","Period=FQ","BEST_FPERIOD_OVERRIDE=FQ","FILING_STATUS=OR","EQY_CONSOLIDATED=Y","FA_ADJUSTED=GAAP","Sort=A","Dates=H","DateFormat=P","Fill=—","Direction=H","UseDPDF=Y")</f>
        <v>#NAME?</v>
      </c>
      <c r="I390" t="e">
        <f ca="1">_xll.BDH($C$378,"RETURN_ON_INV_CAPITAL","FQ2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390" t="e">
        <f ca="1">_xll.BDH($C$378,"EBITDA_TO_REVENUE","FQ2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390" t="e">
        <f ca="1">_xll.BDH($C$378,"OPER_MARGIN","FQ2 2016","FQ2 2016","Currency=INR","Period=FQ","BEST_FPERIOD_OVERRIDE=FQ","FILING_STATUS=OR","EQY_CONSOLIDATED=Y","FA_ADJUSTED=GAAP","Sort=A","Dates=H","DateFormat=P","Fill=—","Direction=H","UseDPDF=Y")</f>
        <v>#NAME?</v>
      </c>
      <c r="L390" t="e">
        <f ca="1">_xll.BDH($C$378,"INCREMENTAL_OPERATING_MARGIN","FQ2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390" t="e">
        <f ca="1">_xll.BDH($C$378,"PRETAX_INC_TO_NET_SALES","FQ2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390" t="e">
        <f ca="1">_xll.BDH($C$378,"INC_BEF_XO_ITEMS_TO_NET_SALES","FQ2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390" t="e">
        <f ca="1">_xll.BDH($C$378,"PROF_MARGIN","FQ2 2016","FQ2 2016","Currency=INR","Period=FQ","BEST_FPERIOD_OVERRIDE=FQ","FILING_STATUS=OR","EQY_CONSOLIDATED=Y","FA_ADJUSTED=GAAP","Sort=A","Dates=H","DateFormat=P","Fill=—","Direction=H","UseDPDF=Y")</f>
        <v>#NAME?</v>
      </c>
      <c r="P390" t="e">
        <f ca="1">_xll.BDH($C$378,"NET_INCOME_TO_COMMON_MARGIN","FQ2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390" t="e">
        <f ca="1">_xll.BDH($C$378,"EFF_TAX_RATE","FQ2 2016","FQ2 2016","Currency=INR","Period=FQ","BEST_FPERIOD_OVERRIDE=FQ","FILING_STATUS=OR","EQY_CONSOLIDATED=Y","FA_ADJUSTED=GAAP","Sort=A","Dates=H","DateFormat=P","Fill=—","Direction=H","UseDPDF=Y")</f>
        <v>#NAME?</v>
      </c>
      <c r="R390" t="e">
        <f ca="1">_xll.BDH($C$378,"DVD_PAYOUT_RATIO","FQ2 2016","FQ2 2016","Currency=INR","Period=FQ","BEST_FPERIOD_OVERRIDE=FQ","FILING_STATUS=OR","EQY_CONSOLIDATED=Y","FA_ADJUSTED=GAAP","Sort=A","Dates=H","DateFormat=P","Fill=—","Direction=H","UseDPDF=Y")</f>
        <v>#NAME?</v>
      </c>
      <c r="S390" t="e">
        <f ca="1">_xll.BDH($C$378,"SUSTAIN_GROWTH_RT","FQ2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390" s="2" t="e">
        <f ca="1">_xll.BDH($C$378,"SALES_GROWTH","FQ2 2016","FQ2 2016","Currency=INR","Period=FQ","BEST_FPERIOD_OVERRIDE=FQ","FILING_STATUS=OR","EQY_CONSOLIDATED=Y","FA_ADJUSTED=GAAP","Sort=A","Dates=H","DateFormat=P","Fill=—","Direction=H","UseDPDF=Y")</f>
        <v>#NAME?</v>
      </c>
      <c r="U390" s="2" t="e">
        <f ca="1">_xll.BDH($C$378,"EBITDA_GROWTH","FQ2 2016","FQ2 2016","Currency=INR","Period=FQ","BEST_FPERIOD_OVERRIDE=FQ","FILING_STATUS=OR","EQY_CONSOLIDATED=Y","FA_ADJUSTED=GAAP","Sort=A","Dates=H","DateFormat=P","Fill=—","Direction=H","UseDPDF=Y")</f>
        <v>#NAME?</v>
      </c>
      <c r="V390" s="2" t="e">
        <f ca="1">_xll.BDH($C$378,"OPER_INC_GROWTH","FQ2 2016","FQ2 2016","Currency=INR","Period=FQ","BEST_FPERIOD_OVERRIDE=FQ","FILING_STATUS=OR","EQY_CONSOLIDATED=Y","FA_ADJUSTED=GAAP","Sort=A","Dates=H","DateFormat=P","Fill=—","Direction=H","UseDPDF=Y")</f>
        <v>#NAME?</v>
      </c>
      <c r="W390" s="2" t="e">
        <f ca="1">_xll.BDH($C$378,"EARN_FOR_COM_GROWTH","FQ2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390" s="2" t="e">
        <f ca="1">_xll.BDH($C$378,"DILUTED_EPS_AFT_XO_ITEMS_GROWTH","FQ2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390" s="2" t="e">
        <f ca="1">_xll.BDH($C$378,"DIVIDEND_PER_SHARE_1_YEAR_GROWTH","FQ2 2016","FQ2 2016","Currency=INR","Period=FQ","BEST_FPERIOD_OVERRIDE=FQ","FILING_STATUS=OR","EQY_CONSOLIDATED=Y","Sort=A","Dates=H","DateFormat=P","Fill=—","Direction=H","UseDPDF=Y")</f>
        <v>#NAME?</v>
      </c>
      <c r="Z390" s="2" t="e">
        <f ca="1">_xll.BDH($C$378,"ACCOUNTS_RECEIVABLE_GROWTH","FQ2 2016","FQ2 2016","Currency=INR","Period=FQ","BEST_FPERIOD_OVERRIDE=FQ","FILING_STATUS=OR","EQY_CONSOLIDATED=Y","Sort=A","Dates=H","DateFormat=P","Fill=—","Direction=H","UseDPDF=Y")</f>
        <v>#NAME?</v>
      </c>
      <c r="AA390" s="2" t="e">
        <f ca="1">_xll.BDH($C$378,"INVENTORY_GROWTH","FQ2 2016","FQ2 2016","Currency=INR","Period=FQ","BEST_FPERIOD_OVERRIDE=FQ","FILING_STATUS=OR","EQY_CONSOLIDATED=Y","Sort=A","Dates=H","DateFormat=P","Fill=—","Direction=H","UseDPDF=Y")</f>
        <v>#NAME?</v>
      </c>
      <c r="AB390" s="2" t="e">
        <f ca="1">_xll.BDH($C$378,"NET_FIXED_ASSETS_1_YEAR_GROWTH","FQ2 2016","FQ2 2016","Currency=INR","Period=FQ","BEST_FPERIOD_OVERRIDE=FQ","FILING_STATUS=OR","EQY_CONSOLIDATED=Y","Sort=A","Dates=H","DateFormat=P","Fill=—","Direction=H","UseDPDF=Y")</f>
        <v>#NAME?</v>
      </c>
      <c r="AC390" s="2" t="e">
        <f ca="1">_xll.BDH($C$378,"ASSET_GROWTH","FQ2 2016","FQ2 2016","Currency=INR","Period=FQ","BEST_FPERIOD_OVERRIDE=FQ","FILING_STATUS=OR","EQY_CONSOLIDATED=Y","Sort=A","Dates=H","DateFormat=P","Fill=—","Direction=H","UseDPDF=Y")</f>
        <v>#NAME?</v>
      </c>
      <c r="AD390" s="2" t="e">
        <f ca="1">_xll.BDH($C$378,"MODIFIED_WORK_CAP_GROWTH","FQ2 2016","FQ2 2016","Currency=INR","Period=FQ","BEST_FPERIOD_OVERRIDE=FQ","FILING_STATUS=OR","EQY_CONSOLIDATED=Y","Sort=A","Dates=H","DateFormat=P","Fill=—","Direction=H","UseDPDF=Y")</f>
        <v>#NAME?</v>
      </c>
      <c r="AE390" s="2" t="e">
        <f ca="1">_xll.BDH($C$378,"WORK_CAP_GROWTH","FQ2 2016","FQ2 2016","Currency=INR","Period=FQ","BEST_FPERIOD_OVERRIDE=FQ","FILING_STATUS=OR","EQY_CONSOLIDATED=Y","Sort=A","Dates=H","DateFormat=P","Fill=—","Direction=H","UseDPDF=Y")</f>
        <v>#NAME?</v>
      </c>
      <c r="AF390" s="2" t="e">
        <f ca="1">_xll.BDH($C$378,"ACCOUNTS_PAYABLE_GROWTH_1YR","FQ2 2016","FQ2 2016","Currency=INR","Period=FQ","BEST_FPERIOD_OVERRIDE=FQ","FILING_STATUS=OR","EQY_CONSOLIDATED=Y","Sort=A","Dates=H","DateFormat=P","Fill=—","Direction=H","UseDPDF=Y")</f>
        <v>#NAME?</v>
      </c>
      <c r="AG390" s="2" t="e">
        <f ca="1">_xll.BDH($C$378,"SHORT_TERM_DEBT_1_YEAR_GROWTH","FQ2 2016","FQ2 2016","Currency=INR","Period=FQ","BEST_FPERIOD_OVERRIDE=FQ","FILING_STATUS=OR","EQY_CONSOLIDATED=Y","Sort=A","Dates=H","DateFormat=P","Fill=—","Direction=H","UseDPDF=Y")</f>
        <v>#NAME?</v>
      </c>
      <c r="AH390" s="2" t="e">
        <f ca="1">_xll.BDH($C$378,"TOTAL_DEBT_1_YEAR_GROWTH","FQ2 2016","FQ2 2016","Currency=INR","Period=FQ","BEST_FPERIOD_OVERRIDE=FQ","FILING_STATUS=OR","EQY_CONSOLIDATED=Y","Sort=A","Dates=H","DateFormat=P","Fill=—","Direction=H","UseDPDF=Y")</f>
        <v>#NAME?</v>
      </c>
      <c r="AI390" s="2" t="e">
        <f ca="1">_xll.BDH($C$378,"TOTAL_EQUITY_1_YEAR_GROWTH","FQ2 2016","FQ2 2016","Currency=INR","Period=FQ","BEST_FPERIOD_OVERRIDE=FQ","FILING_STATUS=OR","EQY_CONSOLIDATED=Y","Sort=A","Dates=H","DateFormat=P","Fill=—","Direction=H","UseDPDF=Y")</f>
        <v>#NAME?</v>
      </c>
      <c r="AJ390" s="2" t="e">
        <f ca="1">_xll.BDH($C$378,"GROWTH_IN_CAP","FQ2 2016","FQ2 2016","Currency=INR","Period=FQ","BEST_FPERIOD_OVERRIDE=FQ","FILING_STATUS=OR","EQY_CONSOLIDATED=Y","Sort=A","Dates=H","DateFormat=P","Fill=—","Direction=H","UseDPDF=Y")</f>
        <v>#NAME?</v>
      </c>
      <c r="AK390" s="2" t="e">
        <f ca="1">_xll.BDH($C$378,"BVPS_GROWTH","FQ2 2016","FQ2 2016","Currency=INR","Period=FQ","BEST_FPERIOD_OVERRIDE=FQ","FILING_STATUS=OR","EQY_CONSOLIDATED=Y","Sort=A","Dates=H","DateFormat=P","Fill=—","Direction=H","UseDPDF=Y")</f>
        <v>#NAME?</v>
      </c>
      <c r="AL390" s="2" t="e">
        <f ca="1">_xll.BDH($C$378,"CASH_FLOW_GROWTH","FQ2 2016","FQ2 2016","Currency=INR","Period=FQ","BEST_FPERIOD_OVERRIDE=FQ","FILING_STATUS=OR","EQY_CONSOLIDATED=Y","Sort=A","Dates=H","DateFormat=P","Fill=—","Direction=H","UseDPDF=Y")</f>
        <v>#NAME?</v>
      </c>
      <c r="AM390" s="2" t="e">
        <f ca="1">_xll.BDH($C$378,"GEO_GROW_NET_SALES","FQ2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390" s="2" t="e">
        <f ca="1">_xll.BDH($C$378,"GEO_GROW_EBITDA","FQ2 2016","FQ2 2016","Currency=INR","Period=FQ","BEST_FPERIOD_OVERRIDE=FQ","FILING_STATUS=OR","EQY_CONSOLIDATED=Y","FA_ADJUSTED=GAAP","Sort=A","Dates=H","DateFormat=P","Fill=—","Direction=H","UseDPDF=Y")</f>
        <v>#NAME?</v>
      </c>
      <c r="AO390" s="2" t="e">
        <f ca="1">_xll.BDH($C$378,"GEO_GROW_OPER_INC","FQ2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390" s="2" t="e">
        <f ca="1">_xll.BDH($C$378,"NET_INCOME_TO_COMMON_5_YR_GROWTH","FQ2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390" s="2" t="e">
        <f ca="1">_xll.BDH($C$378,"5Y_GEO_GROWTH_DILUTED_EPS","FQ2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390" s="2" t="e">
        <f ca="1">_xll.BDH($C$378,"GEO_GROW_DVD_PER_SH","FQ2 2016","FQ2 2016","Currency=INR","Period=FQ","BEST_FPERIOD_OVERRIDE=FQ","FILING_STATUS=OR","EQY_CONSOLIDATED=Y","Sort=A","Dates=H","DateFormat=P","Fill=—","Direction=H","UseDPDF=Y")</f>
        <v>#NAME?</v>
      </c>
      <c r="AS390" s="2" t="e">
        <f ca="1">_xll.BDH($C$378,"ACCOUNTS_RECEIVABLE_5_YR_GROWTH","FQ2 2016","FQ2 2016","Currency=INR","Period=FQ","BEST_FPERIOD_OVERRIDE=FQ","FILING_STATUS=OR","EQY_CONSOLIDATED=Y","Sort=A","Dates=H","DateFormat=P","Fill=—","Direction=H","UseDPDF=Y")</f>
        <v>#NAME?</v>
      </c>
      <c r="AT390" s="2" t="e">
        <f ca="1">_xll.BDH($C$378,"INVENTORY_5_YEAR_GROWTH","FQ2 2016","FQ2 2016","Currency=INR","Period=FQ","BEST_FPERIOD_OVERRIDE=FQ","FILING_STATUS=OR","EQY_CONSOLIDATED=Y","Sort=A","Dates=H","DateFormat=P","Fill=—","Direction=H","UseDPDF=Y")</f>
        <v>#NAME?</v>
      </c>
      <c r="AU390" s="2" t="e">
        <f ca="1">_xll.BDH($C$378,"NET_FIXED_ASSETS_5_YEAR_GROWTH","FQ2 2016","FQ2 2016","Currency=INR","Period=FQ","BEST_FPERIOD_OVERRIDE=FQ","FILING_STATUS=OR","EQY_CONSOLIDATED=Y","Sort=A","Dates=H","DateFormat=P","Fill=—","Direction=H","UseDPDF=Y")</f>
        <v>#NAME?</v>
      </c>
      <c r="AV390" s="2" t="e">
        <f ca="1">_xll.BDH($C$378,"GEO_GROW_TOT_ASSET","FQ2 2016","FQ2 2016","Currency=INR","Period=FQ","BEST_FPERIOD_OVERRIDE=FQ","FILING_STATUS=OR","EQY_CONSOLIDATED=Y","Sort=A","Dates=H","DateFormat=P","Fill=—","Direction=H","UseDPDF=Y")</f>
        <v>#NAME?</v>
      </c>
      <c r="AW390" s="2" t="e">
        <f ca="1">_xll.BDH($C$378,"MODIFIED_WORKING_CPTL_5YR_GRWTH","FQ2 2016","FQ2 2016","Currency=INR","Period=FQ","BEST_FPERIOD_OVERRIDE=FQ","FILING_STATUS=OR","EQY_CONSOLIDATED=Y","Sort=A","Dates=H","DateFormat=P","Fill=—","Direction=H","UseDPDF=Y")</f>
        <v>#NAME?</v>
      </c>
      <c r="AX390" s="2" t="e">
        <f ca="1">_xll.BDH($C$378,"WORKING_CAPITAL_5_YEAR_GROWTH","FQ2 2016","FQ2 2016","Currency=INR","Period=FQ","BEST_FPERIOD_OVERRIDE=FQ","FILING_STATUS=OR","EQY_CONSOLIDATED=Y","Sort=A","Dates=H","DateFormat=P","Fill=—","Direction=H","UseDPDF=Y")</f>
        <v>#NAME?</v>
      </c>
      <c r="AY390" s="2" t="e">
        <f ca="1">_xll.BDH($C$378,"ACCOUNTS_PAYABLE_5_YEAR_GROWTH","FQ2 2016","FQ2 2016","Currency=INR","Period=FQ","BEST_FPERIOD_OVERRIDE=FQ","FILING_STATUS=OR","EQY_CONSOLIDATED=Y","Sort=A","Dates=H","DateFormat=P","Fill=—","Direction=H","UseDPDF=Y")</f>
        <v>#NAME?</v>
      </c>
      <c r="AZ390" s="2" t="e">
        <f ca="1">_xll.BDH($C$378,"SHORT_TERM_DEBT_5_YEAR_GROWTH","FQ2 2016","FQ2 2016","Currency=INR","Period=FQ","BEST_FPERIOD_OVERRIDE=FQ","FILING_STATUS=OR","EQY_CONSOLIDATED=Y","Sort=A","Dates=H","DateFormat=P","Fill=—","Direction=H","UseDPDF=Y")</f>
        <v>#NAME?</v>
      </c>
      <c r="BA390" s="2" t="e">
        <f ca="1">_xll.BDH($C$378,"TOTAL_DEBT_5_YEAR_GROWTH","FQ2 2016","FQ2 2016","Currency=INR","Period=FQ","BEST_FPERIOD_OVERRIDE=FQ","FILING_STATUS=OR","EQY_CONSOLIDATED=Y","Sort=A","Dates=H","DateFormat=P","Fill=—","Direction=H","UseDPDF=Y")</f>
        <v>#NAME?</v>
      </c>
      <c r="BB390" s="2" t="e">
        <f ca="1">_xll.BDH($C$378,"GEO_GROW_TOT_SHRHLDR_EQY","FQ2 2016","FQ2 2016","Currency=INR","Period=FQ","BEST_FPERIOD_OVERRIDE=FQ","FILING_STATUS=OR","EQY_CONSOLIDATED=Y","Sort=A","Dates=H","DateFormat=P","Fill=—","Direction=H","UseDPDF=Y")</f>
        <v>#NAME?</v>
      </c>
      <c r="BC390" s="2" t="e">
        <f ca="1">_xll.BDH($C$378,"TOTAL_CAPITAL_5_YEAR_GROWTH","FQ2 2016","FQ2 2016","Currency=INR","Period=FQ","BEST_FPERIOD_OVERRIDE=FQ","FILING_STATUS=OR","EQY_CONSOLIDATED=Y","Sort=A","Dates=H","DateFormat=P","Fill=—","Direction=H","UseDPDF=Y")</f>
        <v>#NAME?</v>
      </c>
      <c r="BD390" s="2" t="e">
        <f ca="1">_xll.BDH($C$378,"GEO_GROW_BOOK_VAL","FQ2 2016","FQ2 2016","Currency=INR","Period=FQ","BEST_FPERIOD_OVERRIDE=FQ","FILING_STATUS=OR","EQY_CONSOLIDATED=Y","Sort=A","Dates=H","DateFormat=P","Fill=—","Direction=H","UseDPDF=Y")</f>
        <v>#NAME?</v>
      </c>
      <c r="BE390" s="2" t="e">
        <f ca="1">_xll.BDH($C$378,"GEO_GROW_CASH_OPER_ACT","FQ2 2016","FQ2 2016","Currency=INR","Period=FQ","BEST_FPERIOD_OVERRIDE=FQ","FILING_STATUS=OR","EQY_CONSOLIDATED=Y","Sort=A","Dates=H","DateFormat=P","Fill=—","Direction=H","UseDPDF=Y")</f>
        <v>#NAME?</v>
      </c>
      <c r="BF390" s="2" t="e">
        <f ca="1">_xll.BDH($C$378,"REVENUE_SEQUENTIAL_GROWTH","FQ2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390" s="2" t="e">
        <f ca="1">_xll.BDH($C$378,"EBITDA_SEQUENTIAL_GROWTH","FQ2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390" s="2" t="e">
        <f ca="1">_xll.BDH($C$378,"OPERATING_INCOME_SEQ_GROWTH","FQ2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390" s="2" t="e">
        <f ca="1">_xll.BDH($C$378,"NET_INCOME_TO_COMMON_SEQ_GROWTH","FQ2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390" s="2" t="e">
        <f ca="1">_xll.BDH($C$378,"EPS_DILUTED_SEQUENTIAL_GROWTH","FQ2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390" s="2" t="e">
        <f ca="1">_xll.BDH($C$378,"DPS_SEQUENTIAL_GROWTH","FQ2 2016","FQ2 2016","Currency=INR","Period=FQ","BEST_FPERIOD_OVERRIDE=FQ","FILING_STATUS=OR","EQY_CONSOLIDATED=Y","Sort=A","Dates=H","DateFormat=P","Fill=—","Direction=H","UseDPDF=Y")</f>
        <v>#NAME?</v>
      </c>
      <c r="BL390" s="2" t="e">
        <f ca="1">_xll.BDH($C$378,"ACCOUNTS_RECEIVABLE_SEQ_GROWTH","FQ2 2016","FQ2 2016","Currency=INR","Period=FQ","BEST_FPERIOD_OVERRIDE=FQ","FILING_STATUS=OR","EQY_CONSOLIDATED=Y","Sort=A","Dates=H","DateFormat=P","Fill=—","Direction=H","UseDPDF=Y")</f>
        <v>#NAME?</v>
      </c>
      <c r="BM390" s="2" t="e">
        <f ca="1">_xll.BDH($C$378,"INVENTORY_SEQUENTIAL_GROWTH","FQ2 2016","FQ2 2016","Currency=INR","Period=FQ","BEST_FPERIOD_OVERRIDE=FQ","FILING_STATUS=OR","EQY_CONSOLIDATED=Y","Sort=A","Dates=H","DateFormat=P","Fill=—","Direction=H","UseDPDF=Y")</f>
        <v>#NAME?</v>
      </c>
      <c r="BN390" s="2" t="e">
        <f ca="1">_xll.BDH($C$378,"FIXED_ASSETS_SEQUENTIAL_GROWTH","FQ2 2016","FQ2 2016","Currency=INR","Period=FQ","BEST_FPERIOD_OVERRIDE=FQ","FILING_STATUS=OR","EQY_CONSOLIDATED=Y","Sort=A","Dates=H","DateFormat=P","Fill=—","Direction=H","UseDPDF=Y")</f>
        <v>#NAME?</v>
      </c>
      <c r="BO390" s="2" t="e">
        <f ca="1">_xll.BDH($C$378,"TOTAL_ASSETS_SEQUENTIAL_GROWTH","FQ2 2016","FQ2 2016","Currency=INR","Period=FQ","BEST_FPERIOD_OVERRIDE=FQ","FILING_STATUS=OR","EQY_CONSOLIDATED=Y","Sort=A","Dates=H","DateFormat=P","Fill=—","Direction=H","UseDPDF=Y")</f>
        <v>#NAME?</v>
      </c>
      <c r="BP390" s="2" t="e">
        <f ca="1">_xll.BDH($C$378,"MODIFIED_WORKING_CPTL_SEQ_GRWTH","FQ2 2016","FQ2 2016","Currency=INR","Period=FQ","BEST_FPERIOD_OVERRIDE=FQ","FILING_STATUS=OR","EQY_CONSOLIDATED=Y","Sort=A","Dates=H","DateFormat=P","Fill=—","Direction=H","UseDPDF=Y")</f>
        <v>#NAME?</v>
      </c>
      <c r="BQ390" s="2" t="e">
        <f ca="1">_xll.BDH($C$378,"WORKING_CAPITAL_SEQ_GROWTH","FQ2 2016","FQ2 2016","Currency=INR","Period=FQ","BEST_FPERIOD_OVERRIDE=FQ","FILING_STATUS=OR","EQY_CONSOLIDATED=Y","Sort=A","Dates=H","DateFormat=P","Fill=—","Direction=H","UseDPDF=Y")</f>
        <v>#NAME?</v>
      </c>
      <c r="BR390" s="2" t="e">
        <f ca="1">_xll.BDH($C$378,"ACCOUNTS_PAYABLE_SEQ_GROWTH","FQ2 2016","FQ2 2016","Currency=INR","Period=FQ","BEST_FPERIOD_OVERRIDE=FQ","FILING_STATUS=OR","EQY_CONSOLIDATED=Y","Sort=A","Dates=H","DateFormat=P","Fill=—","Direction=H","UseDPDF=Y")</f>
        <v>#NAME?</v>
      </c>
      <c r="BS390" s="2" t="e">
        <f ca="1">_xll.BDH($C$378,"ST_DEBT_SEQUENTIAL_GROWTH","FQ2 2016","FQ2 2016","Currency=INR","Period=FQ","BEST_FPERIOD_OVERRIDE=FQ","FILING_STATUS=OR","EQY_CONSOLIDATED=Y","Sort=A","Dates=H","DateFormat=P","Fill=—","Direction=H","UseDPDF=Y")</f>
        <v>#NAME?</v>
      </c>
      <c r="BT390" s="2" t="e">
        <f ca="1">_xll.BDH($C$378,"TOTAL_DEBT_SEQUENTIAL_GROWTH","FQ2 2016","FQ2 2016","Currency=INR","Period=FQ","BEST_FPERIOD_OVERRIDE=FQ","FILING_STATUS=OR","EQY_CONSOLIDATED=Y","Sort=A","Dates=H","DateFormat=P","Fill=—","Direction=H","UseDPDF=Y")</f>
        <v>#NAME?</v>
      </c>
      <c r="BU390" s="2" t="e">
        <f ca="1">_xll.BDH($C$378,"TOTAL_EQUITY_SEQUENTIAL_GROWTH","FQ2 2016","FQ2 2016","Currency=INR","Period=FQ","BEST_FPERIOD_OVERRIDE=FQ","FILING_STATUS=OR","EQY_CONSOLIDATED=Y","Sort=A","Dates=H","DateFormat=P","Fill=—","Direction=H","UseDPDF=Y")</f>
        <v>#NAME?</v>
      </c>
      <c r="BV390" s="2" t="e">
        <f ca="1">_xll.BDH($C$378,"TOTAL_CAPITAL_SEQUENTIAL_GROWTH","FQ2 2016","FQ2 2016","Currency=INR","Period=FQ","BEST_FPERIOD_OVERRIDE=FQ","FILING_STATUS=OR","EQY_CONSOLIDATED=Y","Sort=A","Dates=H","DateFormat=P","Fill=—","Direction=H","UseDPDF=Y")</f>
        <v>#NAME?</v>
      </c>
      <c r="BW390" s="2" t="e">
        <f ca="1">_xll.BDH($C$378,"BPS_SEQUENTIAL_GROWTH","FQ2 2016","FQ2 2016","Currency=INR","Period=FQ","BEST_FPERIOD_OVERRIDE=FQ","FILING_STATUS=OR","EQY_CONSOLIDATED=Y","Sort=A","Dates=H","DateFormat=P","Fill=—","Direction=H","UseDPDF=Y")</f>
        <v>#NAME?</v>
      </c>
      <c r="BX390" s="2" t="e">
        <f ca="1">_xll.BDH($C$378,"CFO_SEQUENTIAL_GROWTH","FQ2 2016","FQ2 2016","Currency=INR","Period=FQ","BEST_FPERIOD_OVERRIDE=FQ","FILING_STATUS=OR","EQY_CONSOLIDATED=Y","Sort=A","Dates=H","DateFormat=P","Fill=—","Direction=H","UseDPDF=Y")</f>
        <v>#NAME?</v>
      </c>
      <c r="BY390" s="3" t="e">
        <f ca="1">_xll.BDH($C$378,"SHORT_AND_LONG_TERM_DEBT","FQ2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390" s="3" t="e">
        <f ca="1">_xll.BDH($C$378,"BS_ST_BORROW","FQ2 2016","FQ2 2016","Currency=INR","Period=FQ","BEST_FPERIOD_OVERRIDE=FQ","FILING_STATUS=OR","EQY_CONSOLIDATED=Y","SCALING_FORMAT=MLN","Sort=A","Dates=H","DateFormat=P","Fill=—","Direction=H","UseDPDF=Y")</f>
        <v>#NAME?</v>
      </c>
      <c r="CA390" s="3" t="e">
        <f ca="1">_xll.BDH($C$378,"BS_LT_BORROW","FQ2 2016","FQ2 2016","Currency=INR","Period=FQ","BEST_FPERIOD_OVERRIDE=FQ","FILING_STATUS=OR","EQY_CONSOLIDATED=Y","SCALING_FORMAT=MLN","Sort=A","Dates=H","DateFormat=P","Fill=—","Direction=H","UseDPDF=Y")</f>
        <v>#NAME?</v>
      </c>
      <c r="CB390" s="2" t="e">
        <f ca="1">_xll.BDH($C$378,"TOT_DEBT_TO_EBITDA","FQ2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390" s="2" t="e">
        <f ca="1">_xll.BDH($C$378,"NET_DEBT_TO_EBITDA","FQ2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390" s="2" t="e">
        <f ca="1">_xll.BDH($C$378,"TOTAL_DEBT_TO_EBIT","FQ2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390" s="2" t="e">
        <f ca="1">_xll.BDH($C$378,"NET_DEBT_TO_EBIT","FQ2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390" s="2" t="e">
        <f ca="1">_xll.BDH($C$378,"EBITDA_TO_INTEREST_EXPN","FQ2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390" s="2" t="e">
        <f ca="1">_xll.BDH($C$378,"COM_EQY_TO_TOT_ASSET","FQ2 2016","FQ2 2016","Currency=INR","Period=FQ","BEST_FPERIOD_OVERRIDE=FQ","FILING_STATUS=OR","EQY_CONSOLIDATED=Y","Sort=A","Dates=H","DateFormat=P","Fill=—","Direction=H","UseDPDF=Y")</f>
        <v>#NAME?</v>
      </c>
      <c r="CH390" s="2" t="e">
        <f ca="1">_xll.BDH($C$378,"LT_DEBT_TO_TOT_EQY","FQ2 2016","FQ2 2016","Currency=INR","Period=FQ","BEST_FPERIOD_OVERRIDE=FQ","FILING_STATUS=OR","EQY_CONSOLIDATED=Y","Sort=A","Dates=H","DateFormat=P","Fill=—","Direction=H","UseDPDF=Y")</f>
        <v>#NAME?</v>
      </c>
      <c r="CI390" s="2" t="e">
        <f ca="1">_xll.BDH($C$378,"LT_DEBT_TO_TOT_CAP","FQ2 2016","FQ2 2016","Currency=INR","Period=FQ","BEST_FPERIOD_OVERRIDE=FQ","FILING_STATUS=OR","EQY_CONSOLIDATED=Y","Sort=A","Dates=H","DateFormat=P","Fill=—","Direction=H","UseDPDF=Y")</f>
        <v>#NAME?</v>
      </c>
      <c r="CJ390" s="2" t="e">
        <f ca="1">_xll.BDH($C$378,"LT_DEBT_TO_TOT_ASSET","FQ2 2016","FQ2 2016","Currency=INR","Period=FQ","BEST_FPERIOD_OVERRIDE=FQ","FILING_STATUS=OR","EQY_CONSOLIDATED=Y","Sort=A","Dates=H","DateFormat=P","Fill=—","Direction=H","UseDPDF=Y")</f>
        <v>#NAME?</v>
      </c>
      <c r="CK390" s="2" t="e">
        <f ca="1">_xll.BDH($C$378,"TOT_DEBT_TO_TOT_EQY","FQ2 2016","FQ2 2016","Currency=INR","Period=FQ","BEST_FPERIOD_OVERRIDE=FQ","FILING_STATUS=OR","EQY_CONSOLIDATED=Y","Sort=A","Dates=H","DateFormat=P","Fill=—","Direction=H","UseDPDF=Y")</f>
        <v>#NAME?</v>
      </c>
      <c r="CL390" s="2" t="e">
        <f ca="1">_xll.BDH($C$378,"TOT_DEBT_TO_TOT_CAP","FQ2 2016","FQ2 2016","Currency=INR","Period=FQ","BEST_FPERIOD_OVERRIDE=FQ","FILING_STATUS=OR","EQY_CONSOLIDATED=Y","Sort=A","Dates=H","DateFormat=P","Fill=—","Direction=H","UseDPDF=Y")</f>
        <v>#NAME?</v>
      </c>
      <c r="CM390" s="2" t="e">
        <f ca="1">_xll.BDH($C$378,"TOT_DEBT_TO_TOT_ASSET","FQ2 2016","FQ2 2016","Currency=INR","Period=FQ","BEST_FPERIOD_OVERRIDE=FQ","FILING_STATUS=OR","EQY_CONSOLIDATED=Y","Sort=A","Dates=H","DateFormat=P","Fill=—","Direction=H","UseDPDF=Y")</f>
        <v>#NAME?</v>
      </c>
      <c r="CN390" s="2" t="e">
        <f ca="1">_xll.BDH($C$378,"NET_DEBT_TO_SHRHLDR_EQTY","FQ2 2016","FQ2 2016","Currency=INR","Period=FQ","BEST_FPERIOD_OVERRIDE=FQ","FILING_STATUS=OR","EQY_CONSOLIDATED=Y","Sort=A","Dates=H","DateFormat=P","Fill=—","Direction=H","UseDPDF=Y")</f>
        <v>#NAME?</v>
      </c>
      <c r="CO390" s="2" t="e">
        <f ca="1">_xll.BDH($C$378,"NET_DEBT_%_CAPITAL","FQ2 2016","FQ2 2016","Currency=INR","Period=FQ","BEST_FPERIOD_OVERRIDE=FQ","FILING_STATUS=OR","EQY_CONSOLIDATED=Y","Sort=A","Dates=H","DateFormat=P","Fill=—","Direction=H","UseDPDF=Y")</f>
        <v>#NAME?</v>
      </c>
      <c r="CP390" s="3" t="e">
        <f ca="1">_xll.BDH($C$378,"EBITDA","FQ2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390" s="3" t="e">
        <f ca="1">_xll.BDH($C$378,"EBITDA_AFTER_CAPEX","FQ2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390" s="3" t="e">
        <f ca="1">_xll.BDH($C$378,"IS_OPER_INC","FQ2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390" s="2" t="e">
        <f ca="1">_xll.BDH($C$378,"CASH_RATIO","FQ2 2016","FQ2 2016","Currency=INR","Period=FQ","BEST_FPERIOD_OVERRIDE=FQ","FILING_STATUS=OR","EQY_CONSOLIDATED=Y","Sort=A","Dates=H","DateFormat=P","Fill=—","Direction=H","UseDPDF=Y")</f>
        <v>#NAME?</v>
      </c>
      <c r="CT390" s="2" t="e">
        <f ca="1">_xll.BDH($C$378,"CUR_RATIO","FQ2 2016","FQ2 2016","Currency=INR","Period=FQ","BEST_FPERIOD_OVERRIDE=FQ","FILING_STATUS=OR","EQY_CONSOLIDATED=Y","Sort=A","Dates=H","DateFormat=P","Fill=—","Direction=H","UseDPDF=Y")</f>
        <v>#NAME?</v>
      </c>
      <c r="CU390" s="2" t="e">
        <f ca="1">_xll.BDH($C$378,"QUICK_RATIO","FQ2 2016","FQ2 2016","Currency=INR","Period=FQ","BEST_FPERIOD_OVERRIDE=FQ","FILING_STATUS=OR","EQY_CONSOLIDATED=Y","Sort=A","Dates=H","DateFormat=P","Fill=—","Direction=H","UseDPDF=Y")</f>
        <v>#NAME?</v>
      </c>
      <c r="CV390" s="2" t="e">
        <f ca="1">_xll.BDH($C$378,"ALTMAN_Z_SCORE","FQ2 2016","FQ2 2016","Currency=INR","Period=FQ","BEST_FPERIOD_OVERRIDE=FQ","FILING_STATUS=OR","EQY_CONSOLIDATED=Y","Sort=A","Dates=H","DateFormat=P","Fill=—","Direction=H","UseDPDF=Y")</f>
        <v>#NAME?</v>
      </c>
      <c r="CW390" s="4" t="e">
        <f ca="1">_xll.BDH($C$378,"ACCT_RCV_TURN","FQ2 2016","FQ2 2016","Currency=INR","Period=FQ","BEST_FPERIOD_OVERRIDE=FQ","FILING_STATUS=OR","EQY_CONSOLIDATED=Y","FA_ADJUSTED=GAAP","Sort=A","Dates=H","DateFormat=P","Fill=—","Direction=H","UseDPDF=Y")</f>
        <v>#NAME?</v>
      </c>
      <c r="CX390" s="2" t="e">
        <f ca="1">_xll.BDH($C$378,"ACCT_RCV_DAYS","FQ2 2016","FQ2 2016","Currency=INR","Period=FQ","BEST_FPERIOD_OVERRIDE=FQ","FILING_STATUS=OR","EQY_CONSOLIDATED=Y","FA_ADJUSTED=GAAP","Sort=A","Dates=H","DateFormat=P","Fill=—","Direction=H","UseDPDF=Y")</f>
        <v>#NAME?</v>
      </c>
      <c r="CY390" s="4" t="e">
        <f ca="1">_xll.BDH($C$378,"INVENT_TURN","FQ2 2016","FQ2 2016","Currency=INR","Period=FQ","BEST_FPERIOD_OVERRIDE=FQ","FILING_STATUS=OR","EQY_CONSOLIDATED=Y","FA_ADJUSTED=GAAP","Sort=A","Dates=H","DateFormat=P","Fill=—","Direction=H","UseDPDF=Y")</f>
        <v>#NAME?</v>
      </c>
      <c r="CZ390" s="2" t="e">
        <f ca="1">_xll.BDH($C$378,"INVENT_DAYS","FQ2 2016","FQ2 2016","Currency=INR","Period=FQ","BEST_FPERIOD_OVERRIDE=FQ","FILING_STATUS=OR","EQY_CONSOLIDATED=Y","FA_ADJUSTED=GAAP","Sort=A","Dates=H","DateFormat=P","Fill=—","Direction=H","UseDPDF=Y")</f>
        <v>#NAME?</v>
      </c>
      <c r="DA390" s="4" t="e">
        <f ca="1">_xll.BDH($C$378,"ACCOUNTS_PAYABLE_TURNOVER","FQ2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390" s="2" t="e">
        <f ca="1">_xll.BDH($C$378,"ACCOUNTS_PAYABLE_TURNOVER_DAYS","FQ2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390" s="4" t="e">
        <f ca="1">_xll.BDH($C$378,"CASH_CONVERSION_CYCLE","FQ2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390" s="4" t="e">
        <f ca="1">_xll.BDH($C$378,"INV_TO_CASH_DAYS","FQ2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390" s="5" t="e">
        <f ca="1">_xll.BDH($C$378,"BS_INVENTORIES","FQ2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390" s="3" t="e">
        <f ca="1">_xll.BDH($C$378,"INVTRY_RAW_MATERIALS","FQ2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390" s="3" t="e">
        <f ca="1">_xll.BDH($C$378,"INVTRY_IN_PROGRESS","FQ2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390" s="3" t="e">
        <f ca="1">_xll.BDH($C$378,"INVTRY_FINISHED_GOODS","FQ2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390" s="3" t="e">
        <f ca="1">_xll.BDH($C$378,"BS_OTHER_INV","FQ2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391" spans="1:113" x14ac:dyDescent="0.3">
      <c r="A391" s="6"/>
      <c r="B391" s="6"/>
      <c r="C391" s="6"/>
      <c r="D391" s="6"/>
      <c r="E391" t="s">
        <v>80</v>
      </c>
      <c r="F391" t="e">
        <f ca="1">_xll.BDH($C$378,"RETURN_COM_EQY","FQ3 2016","FQ3 2016","Currency=INR","Period=FQ","BEST_FPERIOD_OVERRIDE=FQ","FILING_STATUS=OR","EQY_CONSOLIDATED=Y","FA_ADJUSTED=GAAP","Sort=A","Dates=H","DateFormat=P","Fill=—","Direction=H","UseDPDF=Y")</f>
        <v>#NAME?</v>
      </c>
      <c r="G391" t="e">
        <f ca="1">_xll.BDH($C$378,"RETURN_ON_ASSET","FQ3 2016","FQ3 2016","Currency=INR","Period=FQ","BEST_FPERIOD_OVERRIDE=FQ","FILING_STATUS=OR","EQY_CONSOLIDATED=Y","FA_ADJUSTED=GAAP","Sort=A","Dates=H","DateFormat=P","Fill=—","Direction=H","UseDPDF=Y")</f>
        <v>#NAME?</v>
      </c>
      <c r="H391" t="e">
        <f ca="1">_xll.BDH($C$378,"RETURN_ON_CAP","FQ3 2016","FQ3 2016","Currency=INR","Period=FQ","BEST_FPERIOD_OVERRIDE=FQ","FILING_STATUS=OR","EQY_CONSOLIDATED=Y","FA_ADJUSTED=GAAP","Sort=A","Dates=H","DateFormat=P","Fill=—","Direction=H","UseDPDF=Y")</f>
        <v>#NAME?</v>
      </c>
      <c r="I391" t="e">
        <f ca="1">_xll.BDH($C$378,"RETURN_ON_INV_CAPITAL","FQ3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391" t="e">
        <f ca="1">_xll.BDH($C$378,"EBITDA_TO_REVENUE","FQ3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391" t="e">
        <f ca="1">_xll.BDH($C$378,"OPER_MARGIN","FQ3 2016","FQ3 2016","Currency=INR","Period=FQ","BEST_FPERIOD_OVERRIDE=FQ","FILING_STATUS=OR","EQY_CONSOLIDATED=Y","FA_ADJUSTED=GAAP","Sort=A","Dates=H","DateFormat=P","Fill=—","Direction=H","UseDPDF=Y")</f>
        <v>#NAME?</v>
      </c>
      <c r="L391" t="e">
        <f ca="1">_xll.BDH($C$378,"INCREMENTAL_OPERATING_MARGIN","FQ3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391" t="e">
        <f ca="1">_xll.BDH($C$378,"PRETAX_INC_TO_NET_SALES","FQ3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391" t="e">
        <f ca="1">_xll.BDH($C$378,"INC_BEF_XO_ITEMS_TO_NET_SALES","FQ3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391" t="e">
        <f ca="1">_xll.BDH($C$378,"PROF_MARGIN","FQ3 2016","FQ3 2016","Currency=INR","Period=FQ","BEST_FPERIOD_OVERRIDE=FQ","FILING_STATUS=OR","EQY_CONSOLIDATED=Y","FA_ADJUSTED=GAAP","Sort=A","Dates=H","DateFormat=P","Fill=—","Direction=H","UseDPDF=Y")</f>
        <v>#NAME?</v>
      </c>
      <c r="P391" t="e">
        <f ca="1">_xll.BDH($C$378,"NET_INCOME_TO_COMMON_MARGIN","FQ3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391" t="e">
        <f ca="1">_xll.BDH($C$378,"EFF_TAX_RATE","FQ3 2016","FQ3 2016","Currency=INR","Period=FQ","BEST_FPERIOD_OVERRIDE=FQ","FILING_STATUS=OR","EQY_CONSOLIDATED=Y","FA_ADJUSTED=GAAP","Sort=A","Dates=H","DateFormat=P","Fill=—","Direction=H","UseDPDF=Y")</f>
        <v>#NAME?</v>
      </c>
      <c r="R391" t="e">
        <f ca="1">_xll.BDH($C$378,"DVD_PAYOUT_RATIO","FQ3 2016","FQ3 2016","Currency=INR","Period=FQ","BEST_FPERIOD_OVERRIDE=FQ","FILING_STATUS=OR","EQY_CONSOLIDATED=Y","FA_ADJUSTED=GAAP","Sort=A","Dates=H","DateFormat=P","Fill=—","Direction=H","UseDPDF=Y")</f>
        <v>#NAME?</v>
      </c>
      <c r="S391" t="e">
        <f ca="1">_xll.BDH($C$378,"SUSTAIN_GROWTH_RT","FQ3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391" s="2" t="e">
        <f ca="1">_xll.BDH($C$378,"SALES_GROWTH","FQ3 2016","FQ3 2016","Currency=INR","Period=FQ","BEST_FPERIOD_OVERRIDE=FQ","FILING_STATUS=OR","EQY_CONSOLIDATED=Y","FA_ADJUSTED=GAAP","Sort=A","Dates=H","DateFormat=P","Fill=—","Direction=H","UseDPDF=Y")</f>
        <v>#NAME?</v>
      </c>
      <c r="U391" s="2" t="e">
        <f ca="1">_xll.BDH($C$378,"EBITDA_GROWTH","FQ3 2016","FQ3 2016","Currency=INR","Period=FQ","BEST_FPERIOD_OVERRIDE=FQ","FILING_STATUS=OR","EQY_CONSOLIDATED=Y","FA_ADJUSTED=GAAP","Sort=A","Dates=H","DateFormat=P","Fill=—","Direction=H","UseDPDF=Y")</f>
        <v>#NAME?</v>
      </c>
      <c r="V391" s="2" t="e">
        <f ca="1">_xll.BDH($C$378,"OPER_INC_GROWTH","FQ3 2016","FQ3 2016","Currency=INR","Period=FQ","BEST_FPERIOD_OVERRIDE=FQ","FILING_STATUS=OR","EQY_CONSOLIDATED=Y","FA_ADJUSTED=GAAP","Sort=A","Dates=H","DateFormat=P","Fill=—","Direction=H","UseDPDF=Y")</f>
        <v>#NAME?</v>
      </c>
      <c r="W391" s="2" t="e">
        <f ca="1">_xll.BDH($C$378,"EARN_FOR_COM_GROWTH","FQ3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391" s="2" t="e">
        <f ca="1">_xll.BDH($C$378,"DILUTED_EPS_AFT_XO_ITEMS_GROWTH","FQ3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391" s="2" t="e">
        <f ca="1">_xll.BDH($C$378,"DIVIDEND_PER_SHARE_1_YEAR_GROWTH","FQ3 2016","FQ3 2016","Currency=INR","Period=FQ","BEST_FPERIOD_OVERRIDE=FQ","FILING_STATUS=OR","EQY_CONSOLIDATED=Y","Sort=A","Dates=H","DateFormat=P","Fill=—","Direction=H","UseDPDF=Y")</f>
        <v>#NAME?</v>
      </c>
      <c r="Z391" s="2" t="e">
        <f ca="1">_xll.BDH($C$378,"ACCOUNTS_RECEIVABLE_GROWTH","FQ3 2016","FQ3 2016","Currency=INR","Period=FQ","BEST_FPERIOD_OVERRIDE=FQ","FILING_STATUS=OR","EQY_CONSOLIDATED=Y","Sort=A","Dates=H","DateFormat=P","Fill=—","Direction=H","UseDPDF=Y")</f>
        <v>#NAME?</v>
      </c>
      <c r="AA391" s="2" t="e">
        <f ca="1">_xll.BDH($C$378,"INVENTORY_GROWTH","FQ3 2016","FQ3 2016","Currency=INR","Period=FQ","BEST_FPERIOD_OVERRIDE=FQ","FILING_STATUS=OR","EQY_CONSOLIDATED=Y","Sort=A","Dates=H","DateFormat=P","Fill=—","Direction=H","UseDPDF=Y")</f>
        <v>#NAME?</v>
      </c>
      <c r="AB391" s="2" t="e">
        <f ca="1">_xll.BDH($C$378,"NET_FIXED_ASSETS_1_YEAR_GROWTH","FQ3 2016","FQ3 2016","Currency=INR","Period=FQ","BEST_FPERIOD_OVERRIDE=FQ","FILING_STATUS=OR","EQY_CONSOLIDATED=Y","Sort=A","Dates=H","DateFormat=P","Fill=—","Direction=H","UseDPDF=Y")</f>
        <v>#NAME?</v>
      </c>
      <c r="AC391" s="2" t="e">
        <f ca="1">_xll.BDH($C$378,"ASSET_GROWTH","FQ3 2016","FQ3 2016","Currency=INR","Period=FQ","BEST_FPERIOD_OVERRIDE=FQ","FILING_STATUS=OR","EQY_CONSOLIDATED=Y","Sort=A","Dates=H","DateFormat=P","Fill=—","Direction=H","UseDPDF=Y")</f>
        <v>#NAME?</v>
      </c>
      <c r="AD391" s="2" t="e">
        <f ca="1">_xll.BDH($C$378,"MODIFIED_WORK_CAP_GROWTH","FQ3 2016","FQ3 2016","Currency=INR","Period=FQ","BEST_FPERIOD_OVERRIDE=FQ","FILING_STATUS=OR","EQY_CONSOLIDATED=Y","Sort=A","Dates=H","DateFormat=P","Fill=—","Direction=H","UseDPDF=Y")</f>
        <v>#NAME?</v>
      </c>
      <c r="AE391" s="2" t="e">
        <f ca="1">_xll.BDH($C$378,"WORK_CAP_GROWTH","FQ3 2016","FQ3 2016","Currency=INR","Period=FQ","BEST_FPERIOD_OVERRIDE=FQ","FILING_STATUS=OR","EQY_CONSOLIDATED=Y","Sort=A","Dates=H","DateFormat=P","Fill=—","Direction=H","UseDPDF=Y")</f>
        <v>#NAME?</v>
      </c>
      <c r="AF391" s="2" t="e">
        <f ca="1">_xll.BDH($C$378,"ACCOUNTS_PAYABLE_GROWTH_1YR","FQ3 2016","FQ3 2016","Currency=INR","Period=FQ","BEST_FPERIOD_OVERRIDE=FQ","FILING_STATUS=OR","EQY_CONSOLIDATED=Y","Sort=A","Dates=H","DateFormat=P","Fill=—","Direction=H","UseDPDF=Y")</f>
        <v>#NAME?</v>
      </c>
      <c r="AG391" s="2" t="e">
        <f ca="1">_xll.BDH($C$378,"SHORT_TERM_DEBT_1_YEAR_GROWTH","FQ3 2016","FQ3 2016","Currency=INR","Period=FQ","BEST_FPERIOD_OVERRIDE=FQ","FILING_STATUS=OR","EQY_CONSOLIDATED=Y","Sort=A","Dates=H","DateFormat=P","Fill=—","Direction=H","UseDPDF=Y")</f>
        <v>#NAME?</v>
      </c>
      <c r="AH391" s="2" t="e">
        <f ca="1">_xll.BDH($C$378,"TOTAL_DEBT_1_YEAR_GROWTH","FQ3 2016","FQ3 2016","Currency=INR","Period=FQ","BEST_FPERIOD_OVERRIDE=FQ","FILING_STATUS=OR","EQY_CONSOLIDATED=Y","Sort=A","Dates=H","DateFormat=P","Fill=—","Direction=H","UseDPDF=Y")</f>
        <v>#NAME?</v>
      </c>
      <c r="AI391" s="2" t="e">
        <f ca="1">_xll.BDH($C$378,"TOTAL_EQUITY_1_YEAR_GROWTH","FQ3 2016","FQ3 2016","Currency=INR","Period=FQ","BEST_FPERIOD_OVERRIDE=FQ","FILING_STATUS=OR","EQY_CONSOLIDATED=Y","Sort=A","Dates=H","DateFormat=P","Fill=—","Direction=H","UseDPDF=Y")</f>
        <v>#NAME?</v>
      </c>
      <c r="AJ391" s="2" t="e">
        <f ca="1">_xll.BDH($C$378,"GROWTH_IN_CAP","FQ3 2016","FQ3 2016","Currency=INR","Period=FQ","BEST_FPERIOD_OVERRIDE=FQ","FILING_STATUS=OR","EQY_CONSOLIDATED=Y","Sort=A","Dates=H","DateFormat=P","Fill=—","Direction=H","UseDPDF=Y")</f>
        <v>#NAME?</v>
      </c>
      <c r="AK391" s="2" t="e">
        <f ca="1">_xll.BDH($C$378,"BVPS_GROWTH","FQ3 2016","FQ3 2016","Currency=INR","Period=FQ","BEST_FPERIOD_OVERRIDE=FQ","FILING_STATUS=OR","EQY_CONSOLIDATED=Y","Sort=A","Dates=H","DateFormat=P","Fill=—","Direction=H","UseDPDF=Y")</f>
        <v>#NAME?</v>
      </c>
      <c r="AL391" s="2" t="e">
        <f ca="1">_xll.BDH($C$378,"CASH_FLOW_GROWTH","FQ3 2016","FQ3 2016","Currency=INR","Period=FQ","BEST_FPERIOD_OVERRIDE=FQ","FILING_STATUS=OR","EQY_CONSOLIDATED=Y","Sort=A","Dates=H","DateFormat=P","Fill=—","Direction=H","UseDPDF=Y")</f>
        <v>#NAME?</v>
      </c>
      <c r="AM391" s="2" t="e">
        <f ca="1">_xll.BDH($C$378,"GEO_GROW_NET_SALES","FQ3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391" s="2" t="e">
        <f ca="1">_xll.BDH($C$378,"GEO_GROW_EBITDA","FQ3 2016","FQ3 2016","Currency=INR","Period=FQ","BEST_FPERIOD_OVERRIDE=FQ","FILING_STATUS=OR","EQY_CONSOLIDATED=Y","FA_ADJUSTED=GAAP","Sort=A","Dates=H","DateFormat=P","Fill=—","Direction=H","UseDPDF=Y")</f>
        <v>#NAME?</v>
      </c>
      <c r="AO391" s="2" t="e">
        <f ca="1">_xll.BDH($C$378,"GEO_GROW_OPER_INC","FQ3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391" s="2" t="e">
        <f ca="1">_xll.BDH($C$378,"NET_INCOME_TO_COMMON_5_YR_GROWTH","FQ3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391" s="2" t="e">
        <f ca="1">_xll.BDH($C$378,"5Y_GEO_GROWTH_DILUTED_EPS","FQ3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391" s="2" t="e">
        <f ca="1">_xll.BDH($C$378,"GEO_GROW_DVD_PER_SH","FQ3 2016","FQ3 2016","Currency=INR","Period=FQ","BEST_FPERIOD_OVERRIDE=FQ","FILING_STATUS=OR","EQY_CONSOLIDATED=Y","Sort=A","Dates=H","DateFormat=P","Fill=—","Direction=H","UseDPDF=Y")</f>
        <v>#NAME?</v>
      </c>
      <c r="AS391" s="2" t="e">
        <f ca="1">_xll.BDH($C$378,"ACCOUNTS_RECEIVABLE_5_YR_GROWTH","FQ3 2016","FQ3 2016","Currency=INR","Period=FQ","BEST_FPERIOD_OVERRIDE=FQ","FILING_STATUS=OR","EQY_CONSOLIDATED=Y","Sort=A","Dates=H","DateFormat=P","Fill=—","Direction=H","UseDPDF=Y")</f>
        <v>#NAME?</v>
      </c>
      <c r="AT391" s="2" t="e">
        <f ca="1">_xll.BDH($C$378,"INVENTORY_5_YEAR_GROWTH","FQ3 2016","FQ3 2016","Currency=INR","Period=FQ","BEST_FPERIOD_OVERRIDE=FQ","FILING_STATUS=OR","EQY_CONSOLIDATED=Y","Sort=A","Dates=H","DateFormat=P","Fill=—","Direction=H","UseDPDF=Y")</f>
        <v>#NAME?</v>
      </c>
      <c r="AU391" s="2" t="e">
        <f ca="1">_xll.BDH($C$378,"NET_FIXED_ASSETS_5_YEAR_GROWTH","FQ3 2016","FQ3 2016","Currency=INR","Period=FQ","BEST_FPERIOD_OVERRIDE=FQ","FILING_STATUS=OR","EQY_CONSOLIDATED=Y","Sort=A","Dates=H","DateFormat=P","Fill=—","Direction=H","UseDPDF=Y")</f>
        <v>#NAME?</v>
      </c>
      <c r="AV391" s="2" t="e">
        <f ca="1">_xll.BDH($C$378,"GEO_GROW_TOT_ASSET","FQ3 2016","FQ3 2016","Currency=INR","Period=FQ","BEST_FPERIOD_OVERRIDE=FQ","FILING_STATUS=OR","EQY_CONSOLIDATED=Y","Sort=A","Dates=H","DateFormat=P","Fill=—","Direction=H","UseDPDF=Y")</f>
        <v>#NAME?</v>
      </c>
      <c r="AW391" s="2" t="e">
        <f ca="1">_xll.BDH($C$378,"MODIFIED_WORKING_CPTL_5YR_GRWTH","FQ3 2016","FQ3 2016","Currency=INR","Period=FQ","BEST_FPERIOD_OVERRIDE=FQ","FILING_STATUS=OR","EQY_CONSOLIDATED=Y","Sort=A","Dates=H","DateFormat=P","Fill=—","Direction=H","UseDPDF=Y")</f>
        <v>#NAME?</v>
      </c>
      <c r="AX391" s="2" t="e">
        <f ca="1">_xll.BDH($C$378,"WORKING_CAPITAL_5_YEAR_GROWTH","FQ3 2016","FQ3 2016","Currency=INR","Period=FQ","BEST_FPERIOD_OVERRIDE=FQ","FILING_STATUS=OR","EQY_CONSOLIDATED=Y","Sort=A","Dates=H","DateFormat=P","Fill=—","Direction=H","UseDPDF=Y")</f>
        <v>#NAME?</v>
      </c>
      <c r="AY391" s="2" t="e">
        <f ca="1">_xll.BDH($C$378,"ACCOUNTS_PAYABLE_5_YEAR_GROWTH","FQ3 2016","FQ3 2016","Currency=INR","Period=FQ","BEST_FPERIOD_OVERRIDE=FQ","FILING_STATUS=OR","EQY_CONSOLIDATED=Y","Sort=A","Dates=H","DateFormat=P","Fill=—","Direction=H","UseDPDF=Y")</f>
        <v>#NAME?</v>
      </c>
      <c r="AZ391" s="2" t="e">
        <f ca="1">_xll.BDH($C$378,"SHORT_TERM_DEBT_5_YEAR_GROWTH","FQ3 2016","FQ3 2016","Currency=INR","Period=FQ","BEST_FPERIOD_OVERRIDE=FQ","FILING_STATUS=OR","EQY_CONSOLIDATED=Y","Sort=A","Dates=H","DateFormat=P","Fill=—","Direction=H","UseDPDF=Y")</f>
        <v>#NAME?</v>
      </c>
      <c r="BA391" s="2" t="e">
        <f ca="1">_xll.BDH($C$378,"TOTAL_DEBT_5_YEAR_GROWTH","FQ3 2016","FQ3 2016","Currency=INR","Period=FQ","BEST_FPERIOD_OVERRIDE=FQ","FILING_STATUS=OR","EQY_CONSOLIDATED=Y","Sort=A","Dates=H","DateFormat=P","Fill=—","Direction=H","UseDPDF=Y")</f>
        <v>#NAME?</v>
      </c>
      <c r="BB391" s="2" t="e">
        <f ca="1">_xll.BDH($C$378,"GEO_GROW_TOT_SHRHLDR_EQY","FQ3 2016","FQ3 2016","Currency=INR","Period=FQ","BEST_FPERIOD_OVERRIDE=FQ","FILING_STATUS=OR","EQY_CONSOLIDATED=Y","Sort=A","Dates=H","DateFormat=P","Fill=—","Direction=H","UseDPDF=Y")</f>
        <v>#NAME?</v>
      </c>
      <c r="BC391" s="2" t="e">
        <f ca="1">_xll.BDH($C$378,"TOTAL_CAPITAL_5_YEAR_GROWTH","FQ3 2016","FQ3 2016","Currency=INR","Period=FQ","BEST_FPERIOD_OVERRIDE=FQ","FILING_STATUS=OR","EQY_CONSOLIDATED=Y","Sort=A","Dates=H","DateFormat=P","Fill=—","Direction=H","UseDPDF=Y")</f>
        <v>#NAME?</v>
      </c>
      <c r="BD391" s="2" t="e">
        <f ca="1">_xll.BDH($C$378,"GEO_GROW_BOOK_VAL","FQ3 2016","FQ3 2016","Currency=INR","Period=FQ","BEST_FPERIOD_OVERRIDE=FQ","FILING_STATUS=OR","EQY_CONSOLIDATED=Y","Sort=A","Dates=H","DateFormat=P","Fill=—","Direction=H","UseDPDF=Y")</f>
        <v>#NAME?</v>
      </c>
      <c r="BE391" s="2" t="e">
        <f ca="1">_xll.BDH($C$378,"GEO_GROW_CASH_OPER_ACT","FQ3 2016","FQ3 2016","Currency=INR","Period=FQ","BEST_FPERIOD_OVERRIDE=FQ","FILING_STATUS=OR","EQY_CONSOLIDATED=Y","Sort=A","Dates=H","DateFormat=P","Fill=—","Direction=H","UseDPDF=Y")</f>
        <v>#NAME?</v>
      </c>
      <c r="BF391" s="2" t="e">
        <f ca="1">_xll.BDH($C$378,"REVENUE_SEQUENTIAL_GROWTH","FQ3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391" s="2" t="e">
        <f ca="1">_xll.BDH($C$378,"EBITDA_SEQUENTIAL_GROWTH","FQ3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391" s="2" t="e">
        <f ca="1">_xll.BDH($C$378,"OPERATING_INCOME_SEQ_GROWTH","FQ3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391" s="2" t="e">
        <f ca="1">_xll.BDH($C$378,"NET_INCOME_TO_COMMON_SEQ_GROWTH","FQ3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391" s="2" t="e">
        <f ca="1">_xll.BDH($C$378,"EPS_DILUTED_SEQUENTIAL_GROWTH","FQ3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391" s="2" t="e">
        <f ca="1">_xll.BDH($C$378,"DPS_SEQUENTIAL_GROWTH","FQ3 2016","FQ3 2016","Currency=INR","Period=FQ","BEST_FPERIOD_OVERRIDE=FQ","FILING_STATUS=OR","EQY_CONSOLIDATED=Y","Sort=A","Dates=H","DateFormat=P","Fill=—","Direction=H","UseDPDF=Y")</f>
        <v>#NAME?</v>
      </c>
      <c r="BL391" s="2" t="e">
        <f ca="1">_xll.BDH($C$378,"ACCOUNTS_RECEIVABLE_SEQ_GROWTH","FQ3 2016","FQ3 2016","Currency=INR","Period=FQ","BEST_FPERIOD_OVERRIDE=FQ","FILING_STATUS=OR","EQY_CONSOLIDATED=Y","Sort=A","Dates=H","DateFormat=P","Fill=—","Direction=H","UseDPDF=Y")</f>
        <v>#NAME?</v>
      </c>
      <c r="BM391" s="2" t="e">
        <f ca="1">_xll.BDH($C$378,"INVENTORY_SEQUENTIAL_GROWTH","FQ3 2016","FQ3 2016","Currency=INR","Period=FQ","BEST_FPERIOD_OVERRIDE=FQ","FILING_STATUS=OR","EQY_CONSOLIDATED=Y","Sort=A","Dates=H","DateFormat=P","Fill=—","Direction=H","UseDPDF=Y")</f>
        <v>#NAME?</v>
      </c>
      <c r="BN391" s="2" t="e">
        <f ca="1">_xll.BDH($C$378,"FIXED_ASSETS_SEQUENTIAL_GROWTH","FQ3 2016","FQ3 2016","Currency=INR","Period=FQ","BEST_FPERIOD_OVERRIDE=FQ","FILING_STATUS=OR","EQY_CONSOLIDATED=Y","Sort=A","Dates=H","DateFormat=P","Fill=—","Direction=H","UseDPDF=Y")</f>
        <v>#NAME?</v>
      </c>
      <c r="BO391" s="2" t="e">
        <f ca="1">_xll.BDH($C$378,"TOTAL_ASSETS_SEQUENTIAL_GROWTH","FQ3 2016","FQ3 2016","Currency=INR","Period=FQ","BEST_FPERIOD_OVERRIDE=FQ","FILING_STATUS=OR","EQY_CONSOLIDATED=Y","Sort=A","Dates=H","DateFormat=P","Fill=—","Direction=H","UseDPDF=Y")</f>
        <v>#NAME?</v>
      </c>
      <c r="BP391" s="2" t="e">
        <f ca="1">_xll.BDH($C$378,"MODIFIED_WORKING_CPTL_SEQ_GRWTH","FQ3 2016","FQ3 2016","Currency=INR","Period=FQ","BEST_FPERIOD_OVERRIDE=FQ","FILING_STATUS=OR","EQY_CONSOLIDATED=Y","Sort=A","Dates=H","DateFormat=P","Fill=—","Direction=H","UseDPDF=Y")</f>
        <v>#NAME?</v>
      </c>
      <c r="BQ391" s="2" t="e">
        <f ca="1">_xll.BDH($C$378,"WORKING_CAPITAL_SEQ_GROWTH","FQ3 2016","FQ3 2016","Currency=INR","Period=FQ","BEST_FPERIOD_OVERRIDE=FQ","FILING_STATUS=OR","EQY_CONSOLIDATED=Y","Sort=A","Dates=H","DateFormat=P","Fill=—","Direction=H","UseDPDF=Y")</f>
        <v>#NAME?</v>
      </c>
      <c r="BR391" s="2" t="e">
        <f ca="1">_xll.BDH($C$378,"ACCOUNTS_PAYABLE_SEQ_GROWTH","FQ3 2016","FQ3 2016","Currency=INR","Period=FQ","BEST_FPERIOD_OVERRIDE=FQ","FILING_STATUS=OR","EQY_CONSOLIDATED=Y","Sort=A","Dates=H","DateFormat=P","Fill=—","Direction=H","UseDPDF=Y")</f>
        <v>#NAME?</v>
      </c>
      <c r="BS391" s="2" t="e">
        <f ca="1">_xll.BDH($C$378,"ST_DEBT_SEQUENTIAL_GROWTH","FQ3 2016","FQ3 2016","Currency=INR","Period=FQ","BEST_FPERIOD_OVERRIDE=FQ","FILING_STATUS=OR","EQY_CONSOLIDATED=Y","Sort=A","Dates=H","DateFormat=P","Fill=—","Direction=H","UseDPDF=Y")</f>
        <v>#NAME?</v>
      </c>
      <c r="BT391" s="2" t="e">
        <f ca="1">_xll.BDH($C$378,"TOTAL_DEBT_SEQUENTIAL_GROWTH","FQ3 2016","FQ3 2016","Currency=INR","Period=FQ","BEST_FPERIOD_OVERRIDE=FQ","FILING_STATUS=OR","EQY_CONSOLIDATED=Y","Sort=A","Dates=H","DateFormat=P","Fill=—","Direction=H","UseDPDF=Y")</f>
        <v>#NAME?</v>
      </c>
      <c r="BU391" s="2" t="e">
        <f ca="1">_xll.BDH($C$378,"TOTAL_EQUITY_SEQUENTIAL_GROWTH","FQ3 2016","FQ3 2016","Currency=INR","Period=FQ","BEST_FPERIOD_OVERRIDE=FQ","FILING_STATUS=OR","EQY_CONSOLIDATED=Y","Sort=A","Dates=H","DateFormat=P","Fill=—","Direction=H","UseDPDF=Y")</f>
        <v>#NAME?</v>
      </c>
      <c r="BV391" s="2" t="e">
        <f ca="1">_xll.BDH($C$378,"TOTAL_CAPITAL_SEQUENTIAL_GROWTH","FQ3 2016","FQ3 2016","Currency=INR","Period=FQ","BEST_FPERIOD_OVERRIDE=FQ","FILING_STATUS=OR","EQY_CONSOLIDATED=Y","Sort=A","Dates=H","DateFormat=P","Fill=—","Direction=H","UseDPDF=Y")</f>
        <v>#NAME?</v>
      </c>
      <c r="BW391" s="2" t="e">
        <f ca="1">_xll.BDH($C$378,"BPS_SEQUENTIAL_GROWTH","FQ3 2016","FQ3 2016","Currency=INR","Period=FQ","BEST_FPERIOD_OVERRIDE=FQ","FILING_STATUS=OR","EQY_CONSOLIDATED=Y","Sort=A","Dates=H","DateFormat=P","Fill=—","Direction=H","UseDPDF=Y")</f>
        <v>#NAME?</v>
      </c>
      <c r="BX391" s="2" t="e">
        <f ca="1">_xll.BDH($C$378,"CFO_SEQUENTIAL_GROWTH","FQ3 2016","FQ3 2016","Currency=INR","Period=FQ","BEST_FPERIOD_OVERRIDE=FQ","FILING_STATUS=OR","EQY_CONSOLIDATED=Y","Sort=A","Dates=H","DateFormat=P","Fill=—","Direction=H","UseDPDF=Y")</f>
        <v>#NAME?</v>
      </c>
      <c r="BY391" s="3" t="e">
        <f ca="1">_xll.BDH($C$378,"SHORT_AND_LONG_TERM_DEBT","FQ3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391" s="3" t="e">
        <f ca="1">_xll.BDH($C$378,"BS_ST_BORROW","FQ3 2016","FQ3 2016","Currency=INR","Period=FQ","BEST_FPERIOD_OVERRIDE=FQ","FILING_STATUS=OR","EQY_CONSOLIDATED=Y","SCALING_FORMAT=MLN","Sort=A","Dates=H","DateFormat=P","Fill=—","Direction=H","UseDPDF=Y")</f>
        <v>#NAME?</v>
      </c>
      <c r="CA391" s="3" t="e">
        <f ca="1">_xll.BDH($C$378,"BS_LT_BORROW","FQ3 2016","FQ3 2016","Currency=INR","Period=FQ","BEST_FPERIOD_OVERRIDE=FQ","FILING_STATUS=OR","EQY_CONSOLIDATED=Y","SCALING_FORMAT=MLN","Sort=A","Dates=H","DateFormat=P","Fill=—","Direction=H","UseDPDF=Y")</f>
        <v>#NAME?</v>
      </c>
      <c r="CB391" s="2" t="e">
        <f ca="1">_xll.BDH($C$378,"TOT_DEBT_TO_EBITDA","FQ3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391" s="2" t="e">
        <f ca="1">_xll.BDH($C$378,"NET_DEBT_TO_EBITDA","FQ3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391" s="2" t="e">
        <f ca="1">_xll.BDH($C$378,"TOTAL_DEBT_TO_EBIT","FQ3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391" s="2" t="e">
        <f ca="1">_xll.BDH($C$378,"NET_DEBT_TO_EBIT","FQ3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391" s="2" t="e">
        <f ca="1">_xll.BDH($C$378,"EBITDA_TO_INTEREST_EXPN","FQ3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391" s="2" t="e">
        <f ca="1">_xll.BDH($C$378,"COM_EQY_TO_TOT_ASSET","FQ3 2016","FQ3 2016","Currency=INR","Period=FQ","BEST_FPERIOD_OVERRIDE=FQ","FILING_STATUS=OR","EQY_CONSOLIDATED=Y","Sort=A","Dates=H","DateFormat=P","Fill=—","Direction=H","UseDPDF=Y")</f>
        <v>#NAME?</v>
      </c>
      <c r="CH391" s="2" t="e">
        <f ca="1">_xll.BDH($C$378,"LT_DEBT_TO_TOT_EQY","FQ3 2016","FQ3 2016","Currency=INR","Period=FQ","BEST_FPERIOD_OVERRIDE=FQ","FILING_STATUS=OR","EQY_CONSOLIDATED=Y","Sort=A","Dates=H","DateFormat=P","Fill=—","Direction=H","UseDPDF=Y")</f>
        <v>#NAME?</v>
      </c>
      <c r="CI391" s="2" t="e">
        <f ca="1">_xll.BDH($C$378,"LT_DEBT_TO_TOT_CAP","FQ3 2016","FQ3 2016","Currency=INR","Period=FQ","BEST_FPERIOD_OVERRIDE=FQ","FILING_STATUS=OR","EQY_CONSOLIDATED=Y","Sort=A","Dates=H","DateFormat=P","Fill=—","Direction=H","UseDPDF=Y")</f>
        <v>#NAME?</v>
      </c>
      <c r="CJ391" s="2" t="e">
        <f ca="1">_xll.BDH($C$378,"LT_DEBT_TO_TOT_ASSET","FQ3 2016","FQ3 2016","Currency=INR","Period=FQ","BEST_FPERIOD_OVERRIDE=FQ","FILING_STATUS=OR","EQY_CONSOLIDATED=Y","Sort=A","Dates=H","DateFormat=P","Fill=—","Direction=H","UseDPDF=Y")</f>
        <v>#NAME?</v>
      </c>
      <c r="CK391" s="2" t="e">
        <f ca="1">_xll.BDH($C$378,"TOT_DEBT_TO_TOT_EQY","FQ3 2016","FQ3 2016","Currency=INR","Period=FQ","BEST_FPERIOD_OVERRIDE=FQ","FILING_STATUS=OR","EQY_CONSOLIDATED=Y","Sort=A","Dates=H","DateFormat=P","Fill=—","Direction=H","UseDPDF=Y")</f>
        <v>#NAME?</v>
      </c>
      <c r="CL391" s="2" t="e">
        <f ca="1">_xll.BDH($C$378,"TOT_DEBT_TO_TOT_CAP","FQ3 2016","FQ3 2016","Currency=INR","Period=FQ","BEST_FPERIOD_OVERRIDE=FQ","FILING_STATUS=OR","EQY_CONSOLIDATED=Y","Sort=A","Dates=H","DateFormat=P","Fill=—","Direction=H","UseDPDF=Y")</f>
        <v>#NAME?</v>
      </c>
      <c r="CM391" s="2" t="e">
        <f ca="1">_xll.BDH($C$378,"TOT_DEBT_TO_TOT_ASSET","FQ3 2016","FQ3 2016","Currency=INR","Period=FQ","BEST_FPERIOD_OVERRIDE=FQ","FILING_STATUS=OR","EQY_CONSOLIDATED=Y","Sort=A","Dates=H","DateFormat=P","Fill=—","Direction=H","UseDPDF=Y")</f>
        <v>#NAME?</v>
      </c>
      <c r="CN391" s="2" t="e">
        <f ca="1">_xll.BDH($C$378,"NET_DEBT_TO_SHRHLDR_EQTY","FQ3 2016","FQ3 2016","Currency=INR","Period=FQ","BEST_FPERIOD_OVERRIDE=FQ","FILING_STATUS=OR","EQY_CONSOLIDATED=Y","Sort=A","Dates=H","DateFormat=P","Fill=—","Direction=H","UseDPDF=Y")</f>
        <v>#NAME?</v>
      </c>
      <c r="CO391" s="2" t="e">
        <f ca="1">_xll.BDH($C$378,"NET_DEBT_%_CAPITAL","FQ3 2016","FQ3 2016","Currency=INR","Period=FQ","BEST_FPERIOD_OVERRIDE=FQ","FILING_STATUS=OR","EQY_CONSOLIDATED=Y","Sort=A","Dates=H","DateFormat=P","Fill=—","Direction=H","UseDPDF=Y")</f>
        <v>#NAME?</v>
      </c>
      <c r="CP391" s="3" t="e">
        <f ca="1">_xll.BDH($C$378,"EBITDA","FQ3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391" s="3" t="e">
        <f ca="1">_xll.BDH($C$378,"EBITDA_AFTER_CAPEX","FQ3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391" s="3" t="e">
        <f ca="1">_xll.BDH($C$378,"IS_OPER_INC","FQ3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391" s="2" t="e">
        <f ca="1">_xll.BDH($C$378,"CASH_RATIO","FQ3 2016","FQ3 2016","Currency=INR","Period=FQ","BEST_FPERIOD_OVERRIDE=FQ","FILING_STATUS=OR","EQY_CONSOLIDATED=Y","Sort=A","Dates=H","DateFormat=P","Fill=—","Direction=H","UseDPDF=Y")</f>
        <v>#NAME?</v>
      </c>
      <c r="CT391" s="2" t="e">
        <f ca="1">_xll.BDH($C$378,"CUR_RATIO","FQ3 2016","FQ3 2016","Currency=INR","Period=FQ","BEST_FPERIOD_OVERRIDE=FQ","FILING_STATUS=OR","EQY_CONSOLIDATED=Y","Sort=A","Dates=H","DateFormat=P","Fill=—","Direction=H","UseDPDF=Y")</f>
        <v>#NAME?</v>
      </c>
      <c r="CU391" s="2" t="e">
        <f ca="1">_xll.BDH($C$378,"QUICK_RATIO","FQ3 2016","FQ3 2016","Currency=INR","Period=FQ","BEST_FPERIOD_OVERRIDE=FQ","FILING_STATUS=OR","EQY_CONSOLIDATED=Y","Sort=A","Dates=H","DateFormat=P","Fill=—","Direction=H","UseDPDF=Y")</f>
        <v>#NAME?</v>
      </c>
      <c r="CV391" s="2" t="e">
        <f ca="1">_xll.BDH($C$378,"ALTMAN_Z_SCORE","FQ3 2016","FQ3 2016","Currency=INR","Period=FQ","BEST_FPERIOD_OVERRIDE=FQ","FILING_STATUS=OR","EQY_CONSOLIDATED=Y","Sort=A","Dates=H","DateFormat=P","Fill=—","Direction=H","UseDPDF=Y")</f>
        <v>#NAME?</v>
      </c>
      <c r="CW391" s="4" t="e">
        <f ca="1">_xll.BDH($C$378,"ACCT_RCV_TURN","FQ3 2016","FQ3 2016","Currency=INR","Period=FQ","BEST_FPERIOD_OVERRIDE=FQ","FILING_STATUS=OR","EQY_CONSOLIDATED=Y","FA_ADJUSTED=GAAP","Sort=A","Dates=H","DateFormat=P","Fill=—","Direction=H","UseDPDF=Y")</f>
        <v>#NAME?</v>
      </c>
      <c r="CX391" s="2" t="e">
        <f ca="1">_xll.BDH($C$378,"ACCT_RCV_DAYS","FQ3 2016","FQ3 2016","Currency=INR","Period=FQ","BEST_FPERIOD_OVERRIDE=FQ","FILING_STATUS=OR","EQY_CONSOLIDATED=Y","FA_ADJUSTED=GAAP","Sort=A","Dates=H","DateFormat=P","Fill=—","Direction=H","UseDPDF=Y")</f>
        <v>#NAME?</v>
      </c>
      <c r="CY391" s="4" t="e">
        <f ca="1">_xll.BDH($C$378,"INVENT_TURN","FQ3 2016","FQ3 2016","Currency=INR","Period=FQ","BEST_FPERIOD_OVERRIDE=FQ","FILING_STATUS=OR","EQY_CONSOLIDATED=Y","FA_ADJUSTED=GAAP","Sort=A","Dates=H","DateFormat=P","Fill=—","Direction=H","UseDPDF=Y")</f>
        <v>#NAME?</v>
      </c>
      <c r="CZ391" s="2" t="e">
        <f ca="1">_xll.BDH($C$378,"INVENT_DAYS","FQ3 2016","FQ3 2016","Currency=INR","Period=FQ","BEST_FPERIOD_OVERRIDE=FQ","FILING_STATUS=OR","EQY_CONSOLIDATED=Y","FA_ADJUSTED=GAAP","Sort=A","Dates=H","DateFormat=P","Fill=—","Direction=H","UseDPDF=Y")</f>
        <v>#NAME?</v>
      </c>
      <c r="DA391" s="4" t="e">
        <f ca="1">_xll.BDH($C$378,"ACCOUNTS_PAYABLE_TURNOVER","FQ3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391" s="2" t="e">
        <f ca="1">_xll.BDH($C$378,"ACCOUNTS_PAYABLE_TURNOVER_DAYS","FQ3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391" s="4" t="e">
        <f ca="1">_xll.BDH($C$378,"CASH_CONVERSION_CYCLE","FQ3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391" s="4" t="e">
        <f ca="1">_xll.BDH($C$378,"INV_TO_CASH_DAYS","FQ3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391" s="5" t="e">
        <f ca="1">_xll.BDH($C$378,"BS_INVENTORIES","FQ3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391" s="3" t="e">
        <f ca="1">_xll.BDH($C$378,"INVTRY_RAW_MATERIALS","FQ3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391" s="3" t="e">
        <f ca="1">_xll.BDH($C$378,"INVTRY_IN_PROGRESS","FQ3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391" s="3" t="e">
        <f ca="1">_xll.BDH($C$378,"INVTRY_FINISHED_GOODS","FQ3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391" s="3" t="e">
        <f ca="1">_xll.BDH($C$378,"BS_OTHER_INV","FQ3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392" spans="1:113" x14ac:dyDescent="0.3">
      <c r="A392" s="6"/>
      <c r="B392" s="6"/>
      <c r="C392" s="6"/>
      <c r="D392" s="6"/>
      <c r="E392" t="s">
        <v>81</v>
      </c>
      <c r="F392" t="e">
        <f ca="1">_xll.BDH($C$378,"RETURN_COM_EQY","FQ4 2016","FQ4 2016","Currency=INR","Period=FQ","BEST_FPERIOD_OVERRIDE=FQ","FILING_STATUS=OR","EQY_CONSOLIDATED=Y","FA_ADJUSTED=GAAP","Sort=A","Dates=H","DateFormat=P","Fill=—","Direction=H","UseDPDF=Y")</f>
        <v>#NAME?</v>
      </c>
      <c r="G392" t="e">
        <f ca="1">_xll.BDH($C$378,"RETURN_ON_ASSET","FQ4 2016","FQ4 2016","Currency=INR","Period=FQ","BEST_FPERIOD_OVERRIDE=FQ","FILING_STATUS=OR","EQY_CONSOLIDATED=Y","FA_ADJUSTED=GAAP","Sort=A","Dates=H","DateFormat=P","Fill=—","Direction=H","UseDPDF=Y")</f>
        <v>#NAME?</v>
      </c>
      <c r="H392" t="e">
        <f ca="1">_xll.BDH($C$378,"RETURN_ON_CAP","FQ4 2016","FQ4 2016","Currency=INR","Period=FQ","BEST_FPERIOD_OVERRIDE=FQ","FILING_STATUS=OR","EQY_CONSOLIDATED=Y","FA_ADJUSTED=GAAP","Sort=A","Dates=H","DateFormat=P","Fill=—","Direction=H","UseDPDF=Y")</f>
        <v>#NAME?</v>
      </c>
      <c r="I392" t="e">
        <f ca="1">_xll.BDH($C$378,"RETURN_ON_INV_CAPITAL","FQ4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392" t="e">
        <f ca="1">_xll.BDH($C$378,"EBITDA_TO_REVENUE","FQ4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392" t="e">
        <f ca="1">_xll.BDH($C$378,"OPER_MARGIN","FQ4 2016","FQ4 2016","Currency=INR","Period=FQ","BEST_FPERIOD_OVERRIDE=FQ","FILING_STATUS=OR","EQY_CONSOLIDATED=Y","FA_ADJUSTED=GAAP","Sort=A","Dates=H","DateFormat=P","Fill=—","Direction=H","UseDPDF=Y")</f>
        <v>#NAME?</v>
      </c>
      <c r="L392" t="e">
        <f ca="1">_xll.BDH($C$378,"INCREMENTAL_OPERATING_MARGIN","FQ4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392" t="e">
        <f ca="1">_xll.BDH($C$378,"PRETAX_INC_TO_NET_SALES","FQ4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392" t="e">
        <f ca="1">_xll.BDH($C$378,"INC_BEF_XO_ITEMS_TO_NET_SALES","FQ4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392" t="e">
        <f ca="1">_xll.BDH($C$378,"PROF_MARGIN","FQ4 2016","FQ4 2016","Currency=INR","Period=FQ","BEST_FPERIOD_OVERRIDE=FQ","FILING_STATUS=OR","EQY_CONSOLIDATED=Y","FA_ADJUSTED=GAAP","Sort=A","Dates=H","DateFormat=P","Fill=—","Direction=H","UseDPDF=Y")</f>
        <v>#NAME?</v>
      </c>
      <c r="P392" t="e">
        <f ca="1">_xll.BDH($C$378,"NET_INCOME_TO_COMMON_MARGIN","FQ4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392" t="e">
        <f ca="1">_xll.BDH($C$378,"EFF_TAX_RATE","FQ4 2016","FQ4 2016","Currency=INR","Period=FQ","BEST_FPERIOD_OVERRIDE=FQ","FILING_STATUS=OR","EQY_CONSOLIDATED=Y","FA_ADJUSTED=GAAP","Sort=A","Dates=H","DateFormat=P","Fill=—","Direction=H","UseDPDF=Y")</f>
        <v>#NAME?</v>
      </c>
      <c r="R392" t="e">
        <f ca="1">_xll.BDH($C$378,"DVD_PAYOUT_RATIO","FQ4 2016","FQ4 2016","Currency=INR","Period=FQ","BEST_FPERIOD_OVERRIDE=FQ","FILING_STATUS=OR","EQY_CONSOLIDATED=Y","FA_ADJUSTED=GAAP","Sort=A","Dates=H","DateFormat=P","Fill=—","Direction=H","UseDPDF=Y")</f>
        <v>#NAME?</v>
      </c>
      <c r="S392" t="e">
        <f ca="1">_xll.BDH($C$378,"SUSTAIN_GROWTH_RT","FQ4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392" s="2" t="e">
        <f ca="1">_xll.BDH($C$378,"SALES_GROWTH","FQ4 2016","FQ4 2016","Currency=INR","Period=FQ","BEST_FPERIOD_OVERRIDE=FQ","FILING_STATUS=OR","EQY_CONSOLIDATED=Y","FA_ADJUSTED=GAAP","Sort=A","Dates=H","DateFormat=P","Fill=—","Direction=H","UseDPDF=Y")</f>
        <v>#NAME?</v>
      </c>
      <c r="U392" s="2" t="e">
        <f ca="1">_xll.BDH($C$378,"EBITDA_GROWTH","FQ4 2016","FQ4 2016","Currency=INR","Period=FQ","BEST_FPERIOD_OVERRIDE=FQ","FILING_STATUS=OR","EQY_CONSOLIDATED=Y","FA_ADJUSTED=GAAP","Sort=A","Dates=H","DateFormat=P","Fill=—","Direction=H","UseDPDF=Y")</f>
        <v>#NAME?</v>
      </c>
      <c r="V392" s="2" t="e">
        <f ca="1">_xll.BDH($C$378,"OPER_INC_GROWTH","FQ4 2016","FQ4 2016","Currency=INR","Period=FQ","BEST_FPERIOD_OVERRIDE=FQ","FILING_STATUS=OR","EQY_CONSOLIDATED=Y","FA_ADJUSTED=GAAP","Sort=A","Dates=H","DateFormat=P","Fill=—","Direction=H","UseDPDF=Y")</f>
        <v>#NAME?</v>
      </c>
      <c r="W392" s="2" t="e">
        <f ca="1">_xll.BDH($C$378,"EARN_FOR_COM_GROWTH","FQ4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392" s="2" t="e">
        <f ca="1">_xll.BDH($C$378,"DILUTED_EPS_AFT_XO_ITEMS_GROWTH","FQ4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392" s="2" t="e">
        <f ca="1">_xll.BDH($C$378,"DIVIDEND_PER_SHARE_1_YEAR_GROWTH","FQ4 2016","FQ4 2016","Currency=INR","Period=FQ","BEST_FPERIOD_OVERRIDE=FQ","FILING_STATUS=OR","EQY_CONSOLIDATED=Y","Sort=A","Dates=H","DateFormat=P","Fill=—","Direction=H","UseDPDF=Y")</f>
        <v>#NAME?</v>
      </c>
      <c r="Z392" s="2" t="e">
        <f ca="1">_xll.BDH($C$378,"ACCOUNTS_RECEIVABLE_GROWTH","FQ4 2016","FQ4 2016","Currency=INR","Period=FQ","BEST_FPERIOD_OVERRIDE=FQ","FILING_STATUS=OR","EQY_CONSOLIDATED=Y","Sort=A","Dates=H","DateFormat=P","Fill=—","Direction=H","UseDPDF=Y")</f>
        <v>#NAME?</v>
      </c>
      <c r="AA392" s="2" t="e">
        <f ca="1">_xll.BDH($C$378,"INVENTORY_GROWTH","FQ4 2016","FQ4 2016","Currency=INR","Period=FQ","BEST_FPERIOD_OVERRIDE=FQ","FILING_STATUS=OR","EQY_CONSOLIDATED=Y","Sort=A","Dates=H","DateFormat=P","Fill=—","Direction=H","UseDPDF=Y")</f>
        <v>#NAME?</v>
      </c>
      <c r="AB392" s="2" t="e">
        <f ca="1">_xll.BDH($C$378,"NET_FIXED_ASSETS_1_YEAR_GROWTH","FQ4 2016","FQ4 2016","Currency=INR","Period=FQ","BEST_FPERIOD_OVERRIDE=FQ","FILING_STATUS=OR","EQY_CONSOLIDATED=Y","Sort=A","Dates=H","DateFormat=P","Fill=—","Direction=H","UseDPDF=Y")</f>
        <v>#NAME?</v>
      </c>
      <c r="AC392" s="2" t="e">
        <f ca="1">_xll.BDH($C$378,"ASSET_GROWTH","FQ4 2016","FQ4 2016","Currency=INR","Period=FQ","BEST_FPERIOD_OVERRIDE=FQ","FILING_STATUS=OR","EQY_CONSOLIDATED=Y","Sort=A","Dates=H","DateFormat=P","Fill=—","Direction=H","UseDPDF=Y")</f>
        <v>#NAME?</v>
      </c>
      <c r="AD392" s="2" t="e">
        <f ca="1">_xll.BDH($C$378,"MODIFIED_WORK_CAP_GROWTH","FQ4 2016","FQ4 2016","Currency=INR","Period=FQ","BEST_FPERIOD_OVERRIDE=FQ","FILING_STATUS=OR","EQY_CONSOLIDATED=Y","Sort=A","Dates=H","DateFormat=P","Fill=—","Direction=H","UseDPDF=Y")</f>
        <v>#NAME?</v>
      </c>
      <c r="AE392" s="2" t="e">
        <f ca="1">_xll.BDH($C$378,"WORK_CAP_GROWTH","FQ4 2016","FQ4 2016","Currency=INR","Period=FQ","BEST_FPERIOD_OVERRIDE=FQ","FILING_STATUS=OR","EQY_CONSOLIDATED=Y","Sort=A","Dates=H","DateFormat=P","Fill=—","Direction=H","UseDPDF=Y")</f>
        <v>#NAME?</v>
      </c>
      <c r="AF392" s="2" t="e">
        <f ca="1">_xll.BDH($C$378,"ACCOUNTS_PAYABLE_GROWTH_1YR","FQ4 2016","FQ4 2016","Currency=INR","Period=FQ","BEST_FPERIOD_OVERRIDE=FQ","FILING_STATUS=OR","EQY_CONSOLIDATED=Y","Sort=A","Dates=H","DateFormat=P","Fill=—","Direction=H","UseDPDF=Y")</f>
        <v>#NAME?</v>
      </c>
      <c r="AG392" s="2" t="e">
        <f ca="1">_xll.BDH($C$378,"SHORT_TERM_DEBT_1_YEAR_GROWTH","FQ4 2016","FQ4 2016","Currency=INR","Period=FQ","BEST_FPERIOD_OVERRIDE=FQ","FILING_STATUS=OR","EQY_CONSOLIDATED=Y","Sort=A","Dates=H","DateFormat=P","Fill=—","Direction=H","UseDPDF=Y")</f>
        <v>#NAME?</v>
      </c>
      <c r="AH392" s="2" t="e">
        <f ca="1">_xll.BDH($C$378,"TOTAL_DEBT_1_YEAR_GROWTH","FQ4 2016","FQ4 2016","Currency=INR","Period=FQ","BEST_FPERIOD_OVERRIDE=FQ","FILING_STATUS=OR","EQY_CONSOLIDATED=Y","Sort=A","Dates=H","DateFormat=P","Fill=—","Direction=H","UseDPDF=Y")</f>
        <v>#NAME?</v>
      </c>
      <c r="AI392" s="2" t="e">
        <f ca="1">_xll.BDH($C$378,"TOTAL_EQUITY_1_YEAR_GROWTH","FQ4 2016","FQ4 2016","Currency=INR","Period=FQ","BEST_FPERIOD_OVERRIDE=FQ","FILING_STATUS=OR","EQY_CONSOLIDATED=Y","Sort=A","Dates=H","DateFormat=P","Fill=—","Direction=H","UseDPDF=Y")</f>
        <v>#NAME?</v>
      </c>
      <c r="AJ392" s="2" t="e">
        <f ca="1">_xll.BDH($C$378,"GROWTH_IN_CAP","FQ4 2016","FQ4 2016","Currency=INR","Period=FQ","BEST_FPERIOD_OVERRIDE=FQ","FILING_STATUS=OR","EQY_CONSOLIDATED=Y","Sort=A","Dates=H","DateFormat=P","Fill=—","Direction=H","UseDPDF=Y")</f>
        <v>#NAME?</v>
      </c>
      <c r="AK392" s="2" t="e">
        <f ca="1">_xll.BDH($C$378,"BVPS_GROWTH","FQ4 2016","FQ4 2016","Currency=INR","Period=FQ","BEST_FPERIOD_OVERRIDE=FQ","FILING_STATUS=OR","EQY_CONSOLIDATED=Y","Sort=A","Dates=H","DateFormat=P","Fill=—","Direction=H","UseDPDF=Y")</f>
        <v>#NAME?</v>
      </c>
      <c r="AL392" s="2" t="e">
        <f ca="1">_xll.BDH($C$378,"CASH_FLOW_GROWTH","FQ4 2016","FQ4 2016","Currency=INR","Period=FQ","BEST_FPERIOD_OVERRIDE=FQ","FILING_STATUS=OR","EQY_CONSOLIDATED=Y","Sort=A","Dates=H","DateFormat=P","Fill=—","Direction=H","UseDPDF=Y")</f>
        <v>#NAME?</v>
      </c>
      <c r="AM392" s="2" t="e">
        <f ca="1">_xll.BDH($C$378,"GEO_GROW_NET_SALES","FQ4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392" s="2" t="e">
        <f ca="1">_xll.BDH($C$378,"GEO_GROW_EBITDA","FQ4 2016","FQ4 2016","Currency=INR","Period=FQ","BEST_FPERIOD_OVERRIDE=FQ","FILING_STATUS=OR","EQY_CONSOLIDATED=Y","FA_ADJUSTED=GAAP","Sort=A","Dates=H","DateFormat=P","Fill=—","Direction=H","UseDPDF=Y")</f>
        <v>#NAME?</v>
      </c>
      <c r="AO392" s="2" t="e">
        <f ca="1">_xll.BDH($C$378,"GEO_GROW_OPER_INC","FQ4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392" s="2" t="e">
        <f ca="1">_xll.BDH($C$378,"NET_INCOME_TO_COMMON_5_YR_GROWTH","FQ4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392" s="2" t="e">
        <f ca="1">_xll.BDH($C$378,"5Y_GEO_GROWTH_DILUTED_EPS","FQ4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392" s="2" t="e">
        <f ca="1">_xll.BDH($C$378,"GEO_GROW_DVD_PER_SH","FQ4 2016","FQ4 2016","Currency=INR","Period=FQ","BEST_FPERIOD_OVERRIDE=FQ","FILING_STATUS=OR","EQY_CONSOLIDATED=Y","Sort=A","Dates=H","DateFormat=P","Fill=—","Direction=H","UseDPDF=Y")</f>
        <v>#NAME?</v>
      </c>
      <c r="AS392" s="2" t="e">
        <f ca="1">_xll.BDH($C$378,"ACCOUNTS_RECEIVABLE_5_YR_GROWTH","FQ4 2016","FQ4 2016","Currency=INR","Period=FQ","BEST_FPERIOD_OVERRIDE=FQ","FILING_STATUS=OR","EQY_CONSOLIDATED=Y","Sort=A","Dates=H","DateFormat=P","Fill=—","Direction=H","UseDPDF=Y")</f>
        <v>#NAME?</v>
      </c>
      <c r="AT392" s="2" t="e">
        <f ca="1">_xll.BDH($C$378,"INVENTORY_5_YEAR_GROWTH","FQ4 2016","FQ4 2016","Currency=INR","Period=FQ","BEST_FPERIOD_OVERRIDE=FQ","FILING_STATUS=OR","EQY_CONSOLIDATED=Y","Sort=A","Dates=H","DateFormat=P","Fill=—","Direction=H","UseDPDF=Y")</f>
        <v>#NAME?</v>
      </c>
      <c r="AU392" s="2" t="e">
        <f ca="1">_xll.BDH($C$378,"NET_FIXED_ASSETS_5_YEAR_GROWTH","FQ4 2016","FQ4 2016","Currency=INR","Period=FQ","BEST_FPERIOD_OVERRIDE=FQ","FILING_STATUS=OR","EQY_CONSOLIDATED=Y","Sort=A","Dates=H","DateFormat=P","Fill=—","Direction=H","UseDPDF=Y")</f>
        <v>#NAME?</v>
      </c>
      <c r="AV392" s="2" t="e">
        <f ca="1">_xll.BDH($C$378,"GEO_GROW_TOT_ASSET","FQ4 2016","FQ4 2016","Currency=INR","Period=FQ","BEST_FPERIOD_OVERRIDE=FQ","FILING_STATUS=OR","EQY_CONSOLIDATED=Y","Sort=A","Dates=H","DateFormat=P","Fill=—","Direction=H","UseDPDF=Y")</f>
        <v>#NAME?</v>
      </c>
      <c r="AW392" s="2" t="e">
        <f ca="1">_xll.BDH($C$378,"MODIFIED_WORKING_CPTL_5YR_GRWTH","FQ4 2016","FQ4 2016","Currency=INR","Period=FQ","BEST_FPERIOD_OVERRIDE=FQ","FILING_STATUS=OR","EQY_CONSOLIDATED=Y","Sort=A","Dates=H","DateFormat=P","Fill=—","Direction=H","UseDPDF=Y")</f>
        <v>#NAME?</v>
      </c>
      <c r="AX392" s="2" t="e">
        <f ca="1">_xll.BDH($C$378,"WORKING_CAPITAL_5_YEAR_GROWTH","FQ4 2016","FQ4 2016","Currency=INR","Period=FQ","BEST_FPERIOD_OVERRIDE=FQ","FILING_STATUS=OR","EQY_CONSOLIDATED=Y","Sort=A","Dates=H","DateFormat=P","Fill=—","Direction=H","UseDPDF=Y")</f>
        <v>#NAME?</v>
      </c>
      <c r="AY392" s="2" t="e">
        <f ca="1">_xll.BDH($C$378,"ACCOUNTS_PAYABLE_5_YEAR_GROWTH","FQ4 2016","FQ4 2016","Currency=INR","Period=FQ","BEST_FPERIOD_OVERRIDE=FQ","FILING_STATUS=OR","EQY_CONSOLIDATED=Y","Sort=A","Dates=H","DateFormat=P","Fill=—","Direction=H","UseDPDF=Y")</f>
        <v>#NAME?</v>
      </c>
      <c r="AZ392" s="2" t="e">
        <f ca="1">_xll.BDH($C$378,"SHORT_TERM_DEBT_5_YEAR_GROWTH","FQ4 2016","FQ4 2016","Currency=INR","Period=FQ","BEST_FPERIOD_OVERRIDE=FQ","FILING_STATUS=OR","EQY_CONSOLIDATED=Y","Sort=A","Dates=H","DateFormat=P","Fill=—","Direction=H","UseDPDF=Y")</f>
        <v>#NAME?</v>
      </c>
      <c r="BA392" s="2" t="e">
        <f ca="1">_xll.BDH($C$378,"TOTAL_DEBT_5_YEAR_GROWTH","FQ4 2016","FQ4 2016","Currency=INR","Period=FQ","BEST_FPERIOD_OVERRIDE=FQ","FILING_STATUS=OR","EQY_CONSOLIDATED=Y","Sort=A","Dates=H","DateFormat=P","Fill=—","Direction=H","UseDPDF=Y")</f>
        <v>#NAME?</v>
      </c>
      <c r="BB392" s="2" t="e">
        <f ca="1">_xll.BDH($C$378,"GEO_GROW_TOT_SHRHLDR_EQY","FQ4 2016","FQ4 2016","Currency=INR","Period=FQ","BEST_FPERIOD_OVERRIDE=FQ","FILING_STATUS=OR","EQY_CONSOLIDATED=Y","Sort=A","Dates=H","DateFormat=P","Fill=—","Direction=H","UseDPDF=Y")</f>
        <v>#NAME?</v>
      </c>
      <c r="BC392" s="2" t="e">
        <f ca="1">_xll.BDH($C$378,"TOTAL_CAPITAL_5_YEAR_GROWTH","FQ4 2016","FQ4 2016","Currency=INR","Period=FQ","BEST_FPERIOD_OVERRIDE=FQ","FILING_STATUS=OR","EQY_CONSOLIDATED=Y","Sort=A","Dates=H","DateFormat=P","Fill=—","Direction=H","UseDPDF=Y")</f>
        <v>#NAME?</v>
      </c>
      <c r="BD392" s="2" t="e">
        <f ca="1">_xll.BDH($C$378,"GEO_GROW_BOOK_VAL","FQ4 2016","FQ4 2016","Currency=INR","Period=FQ","BEST_FPERIOD_OVERRIDE=FQ","FILING_STATUS=OR","EQY_CONSOLIDATED=Y","Sort=A","Dates=H","DateFormat=P","Fill=—","Direction=H","UseDPDF=Y")</f>
        <v>#NAME?</v>
      </c>
      <c r="BE392" s="2" t="e">
        <f ca="1">_xll.BDH($C$378,"GEO_GROW_CASH_OPER_ACT","FQ4 2016","FQ4 2016","Currency=INR","Period=FQ","BEST_FPERIOD_OVERRIDE=FQ","FILING_STATUS=OR","EQY_CONSOLIDATED=Y","Sort=A","Dates=H","DateFormat=P","Fill=—","Direction=H","UseDPDF=Y")</f>
        <v>#NAME?</v>
      </c>
      <c r="BF392" s="2" t="e">
        <f ca="1">_xll.BDH($C$378,"REVENUE_SEQUENTIAL_GROWTH","FQ4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392" s="2" t="e">
        <f ca="1">_xll.BDH($C$378,"EBITDA_SEQUENTIAL_GROWTH","FQ4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392" s="2" t="e">
        <f ca="1">_xll.BDH($C$378,"OPERATING_INCOME_SEQ_GROWTH","FQ4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392" s="2" t="e">
        <f ca="1">_xll.BDH($C$378,"NET_INCOME_TO_COMMON_SEQ_GROWTH","FQ4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392" s="2" t="e">
        <f ca="1">_xll.BDH($C$378,"EPS_DILUTED_SEQUENTIAL_GROWTH","FQ4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392" s="2" t="e">
        <f ca="1">_xll.BDH($C$378,"DPS_SEQUENTIAL_GROWTH","FQ4 2016","FQ4 2016","Currency=INR","Period=FQ","BEST_FPERIOD_OVERRIDE=FQ","FILING_STATUS=OR","EQY_CONSOLIDATED=Y","Sort=A","Dates=H","DateFormat=P","Fill=—","Direction=H","UseDPDF=Y")</f>
        <v>#NAME?</v>
      </c>
      <c r="BL392" s="2" t="e">
        <f ca="1">_xll.BDH($C$378,"ACCOUNTS_RECEIVABLE_SEQ_GROWTH","FQ4 2016","FQ4 2016","Currency=INR","Period=FQ","BEST_FPERIOD_OVERRIDE=FQ","FILING_STATUS=OR","EQY_CONSOLIDATED=Y","Sort=A","Dates=H","DateFormat=P","Fill=—","Direction=H","UseDPDF=Y")</f>
        <v>#NAME?</v>
      </c>
      <c r="BM392" s="2" t="e">
        <f ca="1">_xll.BDH($C$378,"INVENTORY_SEQUENTIAL_GROWTH","FQ4 2016","FQ4 2016","Currency=INR","Period=FQ","BEST_FPERIOD_OVERRIDE=FQ","FILING_STATUS=OR","EQY_CONSOLIDATED=Y","Sort=A","Dates=H","DateFormat=P","Fill=—","Direction=H","UseDPDF=Y")</f>
        <v>#NAME?</v>
      </c>
      <c r="BN392" s="2" t="e">
        <f ca="1">_xll.BDH($C$378,"FIXED_ASSETS_SEQUENTIAL_GROWTH","FQ4 2016","FQ4 2016","Currency=INR","Period=FQ","BEST_FPERIOD_OVERRIDE=FQ","FILING_STATUS=OR","EQY_CONSOLIDATED=Y","Sort=A","Dates=H","DateFormat=P","Fill=—","Direction=H","UseDPDF=Y")</f>
        <v>#NAME?</v>
      </c>
      <c r="BO392" s="2" t="e">
        <f ca="1">_xll.BDH($C$378,"TOTAL_ASSETS_SEQUENTIAL_GROWTH","FQ4 2016","FQ4 2016","Currency=INR","Period=FQ","BEST_FPERIOD_OVERRIDE=FQ","FILING_STATUS=OR","EQY_CONSOLIDATED=Y","Sort=A","Dates=H","DateFormat=P","Fill=—","Direction=H","UseDPDF=Y")</f>
        <v>#NAME?</v>
      </c>
      <c r="BP392" s="2" t="e">
        <f ca="1">_xll.BDH($C$378,"MODIFIED_WORKING_CPTL_SEQ_GRWTH","FQ4 2016","FQ4 2016","Currency=INR","Period=FQ","BEST_FPERIOD_OVERRIDE=FQ","FILING_STATUS=OR","EQY_CONSOLIDATED=Y","Sort=A","Dates=H","DateFormat=P","Fill=—","Direction=H","UseDPDF=Y")</f>
        <v>#NAME?</v>
      </c>
      <c r="BQ392" s="2" t="e">
        <f ca="1">_xll.BDH($C$378,"WORKING_CAPITAL_SEQ_GROWTH","FQ4 2016","FQ4 2016","Currency=INR","Period=FQ","BEST_FPERIOD_OVERRIDE=FQ","FILING_STATUS=OR","EQY_CONSOLIDATED=Y","Sort=A","Dates=H","DateFormat=P","Fill=—","Direction=H","UseDPDF=Y")</f>
        <v>#NAME?</v>
      </c>
      <c r="BR392" s="2" t="e">
        <f ca="1">_xll.BDH($C$378,"ACCOUNTS_PAYABLE_SEQ_GROWTH","FQ4 2016","FQ4 2016","Currency=INR","Period=FQ","BEST_FPERIOD_OVERRIDE=FQ","FILING_STATUS=OR","EQY_CONSOLIDATED=Y","Sort=A","Dates=H","DateFormat=P","Fill=—","Direction=H","UseDPDF=Y")</f>
        <v>#NAME?</v>
      </c>
      <c r="BS392" s="2" t="e">
        <f ca="1">_xll.BDH($C$378,"ST_DEBT_SEQUENTIAL_GROWTH","FQ4 2016","FQ4 2016","Currency=INR","Period=FQ","BEST_FPERIOD_OVERRIDE=FQ","FILING_STATUS=OR","EQY_CONSOLIDATED=Y","Sort=A","Dates=H","DateFormat=P","Fill=—","Direction=H","UseDPDF=Y")</f>
        <v>#NAME?</v>
      </c>
      <c r="BT392" s="2" t="e">
        <f ca="1">_xll.BDH($C$378,"TOTAL_DEBT_SEQUENTIAL_GROWTH","FQ4 2016","FQ4 2016","Currency=INR","Period=FQ","BEST_FPERIOD_OVERRIDE=FQ","FILING_STATUS=OR","EQY_CONSOLIDATED=Y","Sort=A","Dates=H","DateFormat=P","Fill=—","Direction=H","UseDPDF=Y")</f>
        <v>#NAME?</v>
      </c>
      <c r="BU392" s="2" t="e">
        <f ca="1">_xll.BDH($C$378,"TOTAL_EQUITY_SEQUENTIAL_GROWTH","FQ4 2016","FQ4 2016","Currency=INR","Period=FQ","BEST_FPERIOD_OVERRIDE=FQ","FILING_STATUS=OR","EQY_CONSOLIDATED=Y","Sort=A","Dates=H","DateFormat=P","Fill=—","Direction=H","UseDPDF=Y")</f>
        <v>#NAME?</v>
      </c>
      <c r="BV392" s="2" t="e">
        <f ca="1">_xll.BDH($C$378,"TOTAL_CAPITAL_SEQUENTIAL_GROWTH","FQ4 2016","FQ4 2016","Currency=INR","Period=FQ","BEST_FPERIOD_OVERRIDE=FQ","FILING_STATUS=OR","EQY_CONSOLIDATED=Y","Sort=A","Dates=H","DateFormat=P","Fill=—","Direction=H","UseDPDF=Y")</f>
        <v>#NAME?</v>
      </c>
      <c r="BW392" s="2" t="e">
        <f ca="1">_xll.BDH($C$378,"BPS_SEQUENTIAL_GROWTH","FQ4 2016","FQ4 2016","Currency=INR","Period=FQ","BEST_FPERIOD_OVERRIDE=FQ","FILING_STATUS=OR","EQY_CONSOLIDATED=Y","Sort=A","Dates=H","DateFormat=P","Fill=—","Direction=H","UseDPDF=Y")</f>
        <v>#NAME?</v>
      </c>
      <c r="BX392" s="2" t="e">
        <f ca="1">_xll.BDH($C$378,"CFO_SEQUENTIAL_GROWTH","FQ4 2016","FQ4 2016","Currency=INR","Period=FQ","BEST_FPERIOD_OVERRIDE=FQ","FILING_STATUS=OR","EQY_CONSOLIDATED=Y","Sort=A","Dates=H","DateFormat=P","Fill=—","Direction=H","UseDPDF=Y")</f>
        <v>#NAME?</v>
      </c>
      <c r="BY392" s="3" t="e">
        <f ca="1">_xll.BDH($C$378,"SHORT_AND_LONG_TERM_DEBT","FQ4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392" s="3" t="e">
        <f ca="1">_xll.BDH($C$378,"BS_ST_BORROW","FQ4 2016","FQ4 2016","Currency=INR","Period=FQ","BEST_FPERIOD_OVERRIDE=FQ","FILING_STATUS=OR","EQY_CONSOLIDATED=Y","SCALING_FORMAT=MLN","Sort=A","Dates=H","DateFormat=P","Fill=—","Direction=H","UseDPDF=Y")</f>
        <v>#NAME?</v>
      </c>
      <c r="CA392" s="3" t="e">
        <f ca="1">_xll.BDH($C$378,"BS_LT_BORROW","FQ4 2016","FQ4 2016","Currency=INR","Period=FQ","BEST_FPERIOD_OVERRIDE=FQ","FILING_STATUS=OR","EQY_CONSOLIDATED=Y","SCALING_FORMAT=MLN","Sort=A","Dates=H","DateFormat=P","Fill=—","Direction=H","UseDPDF=Y")</f>
        <v>#NAME?</v>
      </c>
      <c r="CB392" s="2" t="e">
        <f ca="1">_xll.BDH($C$378,"TOT_DEBT_TO_EBITDA","FQ4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392" s="2" t="e">
        <f ca="1">_xll.BDH($C$378,"NET_DEBT_TO_EBITDA","FQ4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392" s="2" t="e">
        <f ca="1">_xll.BDH($C$378,"TOTAL_DEBT_TO_EBIT","FQ4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392" s="2" t="e">
        <f ca="1">_xll.BDH($C$378,"NET_DEBT_TO_EBIT","FQ4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392" s="2" t="e">
        <f ca="1">_xll.BDH($C$378,"EBITDA_TO_INTEREST_EXPN","FQ4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392" s="2" t="e">
        <f ca="1">_xll.BDH($C$378,"COM_EQY_TO_TOT_ASSET","FQ4 2016","FQ4 2016","Currency=INR","Period=FQ","BEST_FPERIOD_OVERRIDE=FQ","FILING_STATUS=OR","EQY_CONSOLIDATED=Y","Sort=A","Dates=H","DateFormat=P","Fill=—","Direction=H","UseDPDF=Y")</f>
        <v>#NAME?</v>
      </c>
      <c r="CH392" s="2" t="e">
        <f ca="1">_xll.BDH($C$378,"LT_DEBT_TO_TOT_EQY","FQ4 2016","FQ4 2016","Currency=INR","Period=FQ","BEST_FPERIOD_OVERRIDE=FQ","FILING_STATUS=OR","EQY_CONSOLIDATED=Y","Sort=A","Dates=H","DateFormat=P","Fill=—","Direction=H","UseDPDF=Y")</f>
        <v>#NAME?</v>
      </c>
      <c r="CI392" s="2" t="e">
        <f ca="1">_xll.BDH($C$378,"LT_DEBT_TO_TOT_CAP","FQ4 2016","FQ4 2016","Currency=INR","Period=FQ","BEST_FPERIOD_OVERRIDE=FQ","FILING_STATUS=OR","EQY_CONSOLIDATED=Y","Sort=A","Dates=H","DateFormat=P","Fill=—","Direction=H","UseDPDF=Y")</f>
        <v>#NAME?</v>
      </c>
      <c r="CJ392" s="2" t="e">
        <f ca="1">_xll.BDH($C$378,"LT_DEBT_TO_TOT_ASSET","FQ4 2016","FQ4 2016","Currency=INR","Period=FQ","BEST_FPERIOD_OVERRIDE=FQ","FILING_STATUS=OR","EQY_CONSOLIDATED=Y","Sort=A","Dates=H","DateFormat=P","Fill=—","Direction=H","UseDPDF=Y")</f>
        <v>#NAME?</v>
      </c>
      <c r="CK392" s="2" t="e">
        <f ca="1">_xll.BDH($C$378,"TOT_DEBT_TO_TOT_EQY","FQ4 2016","FQ4 2016","Currency=INR","Period=FQ","BEST_FPERIOD_OVERRIDE=FQ","FILING_STATUS=OR","EQY_CONSOLIDATED=Y","Sort=A","Dates=H","DateFormat=P","Fill=—","Direction=H","UseDPDF=Y")</f>
        <v>#NAME?</v>
      </c>
      <c r="CL392" s="2" t="e">
        <f ca="1">_xll.BDH($C$378,"TOT_DEBT_TO_TOT_CAP","FQ4 2016","FQ4 2016","Currency=INR","Period=FQ","BEST_FPERIOD_OVERRIDE=FQ","FILING_STATUS=OR","EQY_CONSOLIDATED=Y","Sort=A","Dates=H","DateFormat=P","Fill=—","Direction=H","UseDPDF=Y")</f>
        <v>#NAME?</v>
      </c>
      <c r="CM392" s="2" t="e">
        <f ca="1">_xll.BDH($C$378,"TOT_DEBT_TO_TOT_ASSET","FQ4 2016","FQ4 2016","Currency=INR","Period=FQ","BEST_FPERIOD_OVERRIDE=FQ","FILING_STATUS=OR","EQY_CONSOLIDATED=Y","Sort=A","Dates=H","DateFormat=P","Fill=—","Direction=H","UseDPDF=Y")</f>
        <v>#NAME?</v>
      </c>
      <c r="CN392" s="2" t="e">
        <f ca="1">_xll.BDH($C$378,"NET_DEBT_TO_SHRHLDR_EQTY","FQ4 2016","FQ4 2016","Currency=INR","Period=FQ","BEST_FPERIOD_OVERRIDE=FQ","FILING_STATUS=OR","EQY_CONSOLIDATED=Y","Sort=A","Dates=H","DateFormat=P","Fill=—","Direction=H","UseDPDF=Y")</f>
        <v>#NAME?</v>
      </c>
      <c r="CO392" s="2" t="e">
        <f ca="1">_xll.BDH($C$378,"NET_DEBT_%_CAPITAL","FQ4 2016","FQ4 2016","Currency=INR","Period=FQ","BEST_FPERIOD_OVERRIDE=FQ","FILING_STATUS=OR","EQY_CONSOLIDATED=Y","Sort=A","Dates=H","DateFormat=P","Fill=—","Direction=H","UseDPDF=Y")</f>
        <v>#NAME?</v>
      </c>
      <c r="CP392" s="3" t="e">
        <f ca="1">_xll.BDH($C$378,"EBITDA","FQ4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392" s="3" t="e">
        <f ca="1">_xll.BDH($C$378,"EBITDA_AFTER_CAPEX","FQ4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392" s="3" t="e">
        <f ca="1">_xll.BDH($C$378,"IS_OPER_INC","FQ4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392" s="2" t="e">
        <f ca="1">_xll.BDH($C$378,"CASH_RATIO","FQ4 2016","FQ4 2016","Currency=INR","Period=FQ","BEST_FPERIOD_OVERRIDE=FQ","FILING_STATUS=OR","EQY_CONSOLIDATED=Y","Sort=A","Dates=H","DateFormat=P","Fill=—","Direction=H","UseDPDF=Y")</f>
        <v>#NAME?</v>
      </c>
      <c r="CT392" s="2" t="e">
        <f ca="1">_xll.BDH($C$378,"CUR_RATIO","FQ4 2016","FQ4 2016","Currency=INR","Period=FQ","BEST_FPERIOD_OVERRIDE=FQ","FILING_STATUS=OR","EQY_CONSOLIDATED=Y","Sort=A","Dates=H","DateFormat=P","Fill=—","Direction=H","UseDPDF=Y")</f>
        <v>#NAME?</v>
      </c>
      <c r="CU392" s="2" t="e">
        <f ca="1">_xll.BDH($C$378,"QUICK_RATIO","FQ4 2016","FQ4 2016","Currency=INR","Period=FQ","BEST_FPERIOD_OVERRIDE=FQ","FILING_STATUS=OR","EQY_CONSOLIDATED=Y","Sort=A","Dates=H","DateFormat=P","Fill=—","Direction=H","UseDPDF=Y")</f>
        <v>#NAME?</v>
      </c>
      <c r="CV392" s="2" t="e">
        <f ca="1">_xll.BDH($C$378,"ALTMAN_Z_SCORE","FQ4 2016","FQ4 2016","Currency=INR","Period=FQ","BEST_FPERIOD_OVERRIDE=FQ","FILING_STATUS=OR","EQY_CONSOLIDATED=Y","Sort=A","Dates=H","DateFormat=P","Fill=—","Direction=H","UseDPDF=Y")</f>
        <v>#NAME?</v>
      </c>
      <c r="CW392" s="4" t="e">
        <f ca="1">_xll.BDH($C$378,"ACCT_RCV_TURN","FQ4 2016","FQ4 2016","Currency=INR","Period=FQ","BEST_FPERIOD_OVERRIDE=FQ","FILING_STATUS=OR","EQY_CONSOLIDATED=Y","FA_ADJUSTED=GAAP","Sort=A","Dates=H","DateFormat=P","Fill=—","Direction=H","UseDPDF=Y")</f>
        <v>#NAME?</v>
      </c>
      <c r="CX392" s="2" t="e">
        <f ca="1">_xll.BDH($C$378,"ACCT_RCV_DAYS","FQ4 2016","FQ4 2016","Currency=INR","Period=FQ","BEST_FPERIOD_OVERRIDE=FQ","FILING_STATUS=OR","EQY_CONSOLIDATED=Y","FA_ADJUSTED=GAAP","Sort=A","Dates=H","DateFormat=P","Fill=—","Direction=H","UseDPDF=Y")</f>
        <v>#NAME?</v>
      </c>
      <c r="CY392" s="4" t="e">
        <f ca="1">_xll.BDH($C$378,"INVENT_TURN","FQ4 2016","FQ4 2016","Currency=INR","Period=FQ","BEST_FPERIOD_OVERRIDE=FQ","FILING_STATUS=OR","EQY_CONSOLIDATED=Y","FA_ADJUSTED=GAAP","Sort=A","Dates=H","DateFormat=P","Fill=—","Direction=H","UseDPDF=Y")</f>
        <v>#NAME?</v>
      </c>
      <c r="CZ392" s="2" t="e">
        <f ca="1">_xll.BDH($C$378,"INVENT_DAYS","FQ4 2016","FQ4 2016","Currency=INR","Period=FQ","BEST_FPERIOD_OVERRIDE=FQ","FILING_STATUS=OR","EQY_CONSOLIDATED=Y","FA_ADJUSTED=GAAP","Sort=A","Dates=H","DateFormat=P","Fill=—","Direction=H","UseDPDF=Y")</f>
        <v>#NAME?</v>
      </c>
      <c r="DA392" s="4" t="e">
        <f ca="1">_xll.BDH($C$378,"ACCOUNTS_PAYABLE_TURNOVER","FQ4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392" s="2" t="e">
        <f ca="1">_xll.BDH($C$378,"ACCOUNTS_PAYABLE_TURNOVER_DAYS","FQ4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392" s="4" t="e">
        <f ca="1">_xll.BDH($C$378,"CASH_CONVERSION_CYCLE","FQ4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392" s="4" t="e">
        <f ca="1">_xll.BDH($C$378,"INV_TO_CASH_DAYS","FQ4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392" s="5" t="e">
        <f ca="1">_xll.BDH($C$378,"BS_INVENTORIES","FQ4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392" s="3" t="e">
        <f ca="1">_xll.BDH($C$378,"INVTRY_RAW_MATERIALS","FQ4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392" s="3" t="e">
        <f ca="1">_xll.BDH($C$378,"INVTRY_IN_PROGRESS","FQ4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392" s="3" t="e">
        <f ca="1">_xll.BDH($C$378,"INVTRY_FINISHED_GOODS","FQ4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392" s="3" t="e">
        <f ca="1">_xll.BDH($C$378,"BS_OTHER_INV","FQ4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393" spans="1:113" x14ac:dyDescent="0.3">
      <c r="A393" s="6"/>
      <c r="B393" s="6"/>
      <c r="C393" s="6"/>
      <c r="D393" s="6" t="s">
        <v>84</v>
      </c>
      <c r="E393" t="s">
        <v>77</v>
      </c>
      <c r="F393" t="e">
        <f ca="1">_xll.BDH($C$378,"RETURN_COM_EQY","FY 2017","FY 2017","Currency=INR","Period=FY","BEST_FPERIOD_OVERRIDE=FY","FILING_STATUS=OR","EQY_CONSOLIDATED=Y","FA_ADJUSTED=GAAP","Sort=A","Dates=H","DateFormat=P","Fill=—","Direction=H","UseDPDF=Y")</f>
        <v>#NAME?</v>
      </c>
      <c r="G393" t="e">
        <f ca="1">_xll.BDH($C$378,"RETURN_ON_ASSET","FY 2017","FY 2017","Currency=INR","Period=FY","BEST_FPERIOD_OVERRIDE=FY","FILING_STATUS=OR","EQY_CONSOLIDATED=Y","FA_ADJUSTED=GAAP","Sort=A","Dates=H","DateFormat=P","Fill=—","Direction=H","UseDPDF=Y")</f>
        <v>#NAME?</v>
      </c>
      <c r="H393" t="e">
        <f ca="1">_xll.BDH($C$378,"RETURN_ON_CAP","FY 2017","FY 2017","Currency=INR","Period=FY","BEST_FPERIOD_OVERRIDE=FY","FILING_STATUS=OR","EQY_CONSOLIDATED=Y","FA_ADJUSTED=GAAP","Sort=A","Dates=H","DateFormat=P","Fill=—","Direction=H","UseDPDF=Y")</f>
        <v>#NAME?</v>
      </c>
      <c r="I393" t="e">
        <f ca="1">_xll.BDH($C$378,"RETURN_ON_INV_CAPITAL","FY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393" t="e">
        <f ca="1">_xll.BDH($C$378,"EBITDA_TO_REVENUE","FY 2017","FY 2017","Currency=INR","Period=FY","BEST_FPERIOD_OVERRIDE=FY","FILING_STATUS=OR","EQY_CONSOLIDATED=Y","FA_ADJUSTED=GAAP","Sort=A","Dates=H","DateFormat=P","Fill=—","Direction=H","UseDPDF=Y")</f>
        <v>#NAME?</v>
      </c>
      <c r="K393" t="e">
        <f ca="1">_xll.BDH($C$378,"OPER_MARGIN","FY 2017","FY 2017","Currency=INR","Period=FY","BEST_FPERIOD_OVERRIDE=FY","FILING_STATUS=OR","EQY_CONSOLIDATED=Y","FA_ADJUSTED=GAAP","Sort=A","Dates=H","DateFormat=P","Fill=—","Direction=H","UseDPDF=Y")</f>
        <v>#NAME?</v>
      </c>
      <c r="L393" t="e">
        <f ca="1">_xll.BDH($C$378,"INCREMENTAL_OPERATING_MARGIN","FY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393" t="e">
        <f ca="1">_xll.BDH($C$378,"PRETAX_INC_TO_NET_SALES","FY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393" t="e">
        <f ca="1">_xll.BDH($C$378,"INC_BEF_XO_ITEMS_TO_NET_SALES","FY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393" t="e">
        <f ca="1">_xll.BDH($C$378,"PROF_MARGIN","FY 2017","FY 2017","Currency=INR","Period=FY","BEST_FPERIOD_OVERRIDE=FY","FILING_STATUS=OR","EQY_CONSOLIDATED=Y","FA_ADJUSTED=GAAP","Sort=A","Dates=H","DateFormat=P","Fill=—","Direction=H","UseDPDF=Y")</f>
        <v>#NAME?</v>
      </c>
      <c r="P393" t="e">
        <f ca="1">_xll.BDH($C$378,"NET_INCOME_TO_COMMON_MARGIN","FY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393" t="e">
        <f ca="1">_xll.BDH($C$378,"EFF_TAX_RATE","FY 2017","FY 2017","Currency=INR","Period=FY","BEST_FPERIOD_OVERRIDE=FY","FILING_STATUS=OR","EQY_CONSOLIDATED=Y","FA_ADJUSTED=GAAP","Sort=A","Dates=H","DateFormat=P","Fill=—","Direction=H","UseDPDF=Y")</f>
        <v>#NAME?</v>
      </c>
      <c r="R393" t="e">
        <f ca="1">_xll.BDH($C$378,"DVD_PAYOUT_RATIO","FY 2017","FY 2017","Currency=INR","Period=FY","BEST_FPERIOD_OVERRIDE=FY","FILING_STATUS=OR","EQY_CONSOLIDATED=Y","FA_ADJUSTED=GAAP","Sort=A","Dates=H","DateFormat=P","Fill=—","Direction=H","UseDPDF=Y")</f>
        <v>#NAME?</v>
      </c>
      <c r="S393" t="e">
        <f ca="1">_xll.BDH($C$378,"SUSTAIN_GROWTH_RT","FY 2017","FY 2017","Currency=INR","Period=FY","BEST_FPERIOD_OVERRIDE=FY","FILING_STATUS=OR","EQY_CONSOLIDATED=Y","FA_ADJUSTED=GAAP","Sort=A","Dates=H","DateFormat=P","Fill=—","Direction=H","UseDPDF=Y")</f>
        <v>#NAME?</v>
      </c>
      <c r="T393" s="2" t="e">
        <f ca="1">_xll.BDH($C$378,"SALES_GROWTH","FY 2017","FY 2017","Currency=INR","Period=FY","BEST_FPERIOD_OVERRIDE=FY","FILING_STATUS=OR","EQY_CONSOLIDATED=Y","FA_ADJUSTED=GAAP","Sort=A","Dates=H","DateFormat=P","Fill=—","Direction=H","UseDPDF=Y")</f>
        <v>#NAME?</v>
      </c>
      <c r="U393" s="2" t="e">
        <f ca="1">_xll.BDH($C$378,"EBITDA_GROWTH","FY 2017","FY 2017","Currency=INR","Period=FY","BEST_FPERIOD_OVERRIDE=FY","FILING_STATUS=OR","EQY_CONSOLIDATED=Y","FA_ADJUSTED=GAAP","Sort=A","Dates=H","DateFormat=P","Fill=—","Direction=H","UseDPDF=Y")</f>
        <v>#NAME?</v>
      </c>
      <c r="V393" s="2" t="e">
        <f ca="1">_xll.BDH($C$378,"OPER_INC_GROWTH","FY 2017","FY 2017","Currency=INR","Period=FY","BEST_FPERIOD_OVERRIDE=FY","FILING_STATUS=OR","EQY_CONSOLIDATED=Y","FA_ADJUSTED=GAAP","Sort=A","Dates=H","DateFormat=P","Fill=—","Direction=H","UseDPDF=Y")</f>
        <v>#NAME?</v>
      </c>
      <c r="W393" s="2" t="e">
        <f ca="1">_xll.BDH($C$378,"EARN_FOR_COM_GROWTH","FY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393" s="2" t="e">
        <f ca="1">_xll.BDH($C$378,"DILUTED_EPS_AFT_XO_ITEMS_GROWTH","FY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393" s="2" t="e">
        <f ca="1">_xll.BDH($C$378,"DIVIDEND_PER_SHARE_1_YEAR_GROWTH","FY 2017","FY 2017","Currency=INR","Period=FY","BEST_FPERIOD_OVERRIDE=FY","FILING_STATUS=OR","EQY_CONSOLIDATED=Y","Sort=A","Dates=H","DateFormat=P","Fill=—","Direction=H","UseDPDF=Y")</f>
        <v>#NAME?</v>
      </c>
      <c r="Z393" s="2" t="e">
        <f ca="1">_xll.BDH($C$378,"ACCOUNTS_RECEIVABLE_GROWTH","FY 2017","FY 2017","Currency=INR","Period=FY","BEST_FPERIOD_OVERRIDE=FY","FILING_STATUS=OR","EQY_CONSOLIDATED=Y","Sort=A","Dates=H","DateFormat=P","Fill=—","Direction=H","UseDPDF=Y")</f>
        <v>#NAME?</v>
      </c>
      <c r="AA393" s="2" t="e">
        <f ca="1">_xll.BDH($C$378,"INVENTORY_GROWTH","FY 2017","FY 2017","Currency=INR","Period=FY","BEST_FPERIOD_OVERRIDE=FY","FILING_STATUS=OR","EQY_CONSOLIDATED=Y","Sort=A","Dates=H","DateFormat=P","Fill=—","Direction=H","UseDPDF=Y")</f>
        <v>#NAME?</v>
      </c>
      <c r="AB393" s="2" t="e">
        <f ca="1">_xll.BDH($C$378,"NET_FIXED_ASSETS_1_YEAR_GROWTH","FY 2017","FY 2017","Currency=INR","Period=FY","BEST_FPERIOD_OVERRIDE=FY","FILING_STATUS=OR","EQY_CONSOLIDATED=Y","Sort=A","Dates=H","DateFormat=P","Fill=—","Direction=H","UseDPDF=Y")</f>
        <v>#NAME?</v>
      </c>
      <c r="AC393" s="2" t="e">
        <f ca="1">_xll.BDH($C$378,"ASSET_GROWTH","FY 2017","FY 2017","Currency=INR","Period=FY","BEST_FPERIOD_OVERRIDE=FY","FILING_STATUS=OR","EQY_CONSOLIDATED=Y","Sort=A","Dates=H","DateFormat=P","Fill=—","Direction=H","UseDPDF=Y")</f>
        <v>#NAME?</v>
      </c>
      <c r="AD393" s="2" t="e">
        <f ca="1">_xll.BDH($C$378,"MODIFIED_WORK_CAP_GROWTH","FY 2017","FY 2017","Currency=INR","Period=FY","BEST_FPERIOD_OVERRIDE=FY","FILING_STATUS=OR","EQY_CONSOLIDATED=Y","Sort=A","Dates=H","DateFormat=P","Fill=—","Direction=H","UseDPDF=Y")</f>
        <v>#NAME?</v>
      </c>
      <c r="AE393" s="2" t="e">
        <f ca="1">_xll.BDH($C$378,"WORK_CAP_GROWTH","FY 2017","FY 2017","Currency=INR","Period=FY","BEST_FPERIOD_OVERRIDE=FY","FILING_STATUS=OR","EQY_CONSOLIDATED=Y","Sort=A","Dates=H","DateFormat=P","Fill=—","Direction=H","UseDPDF=Y")</f>
        <v>#NAME?</v>
      </c>
      <c r="AF393" s="2" t="e">
        <f ca="1">_xll.BDH($C$378,"ACCOUNTS_PAYABLE_GROWTH_1YR","FY 2017","FY 2017","Currency=INR","Period=FY","BEST_FPERIOD_OVERRIDE=FY","FILING_STATUS=OR","EQY_CONSOLIDATED=Y","Sort=A","Dates=H","DateFormat=P","Fill=—","Direction=H","UseDPDF=Y")</f>
        <v>#NAME?</v>
      </c>
      <c r="AG393" s="2" t="e">
        <f ca="1">_xll.BDH($C$378,"SHORT_TERM_DEBT_1_YEAR_GROWTH","FY 2017","FY 2017","Currency=INR","Period=FY","BEST_FPERIOD_OVERRIDE=FY","FILING_STATUS=OR","EQY_CONSOLIDATED=Y","Sort=A","Dates=H","DateFormat=P","Fill=—","Direction=H","UseDPDF=Y")</f>
        <v>#NAME?</v>
      </c>
      <c r="AH393" s="2" t="e">
        <f ca="1">_xll.BDH($C$378,"TOTAL_DEBT_1_YEAR_GROWTH","FY 2017","FY 2017","Currency=INR","Period=FY","BEST_FPERIOD_OVERRIDE=FY","FILING_STATUS=OR","EQY_CONSOLIDATED=Y","Sort=A","Dates=H","DateFormat=P","Fill=—","Direction=H","UseDPDF=Y")</f>
        <v>#NAME?</v>
      </c>
      <c r="AI393" s="2" t="e">
        <f ca="1">_xll.BDH($C$378,"TOTAL_EQUITY_1_YEAR_GROWTH","FY 2017","FY 2017","Currency=INR","Period=FY","BEST_FPERIOD_OVERRIDE=FY","FILING_STATUS=OR","EQY_CONSOLIDATED=Y","Sort=A","Dates=H","DateFormat=P","Fill=—","Direction=H","UseDPDF=Y")</f>
        <v>#NAME?</v>
      </c>
      <c r="AJ393" s="2" t="e">
        <f ca="1">_xll.BDH($C$378,"GROWTH_IN_CAP","FY 2017","FY 2017","Currency=INR","Period=FY","BEST_FPERIOD_OVERRIDE=FY","FILING_STATUS=OR","EQY_CONSOLIDATED=Y","Sort=A","Dates=H","DateFormat=P","Fill=—","Direction=H","UseDPDF=Y")</f>
        <v>#NAME?</v>
      </c>
      <c r="AK393" s="2" t="e">
        <f ca="1">_xll.BDH($C$378,"BVPS_GROWTH","FY 2017","FY 2017","Currency=INR","Period=FY","BEST_FPERIOD_OVERRIDE=FY","FILING_STATUS=OR","EQY_CONSOLIDATED=Y","Sort=A","Dates=H","DateFormat=P","Fill=—","Direction=H","UseDPDF=Y")</f>
        <v>#NAME?</v>
      </c>
      <c r="AL393" s="2" t="e">
        <f ca="1">_xll.BDH($C$378,"CASH_FLOW_GROWTH","FY 2017","FY 2017","Currency=INR","Period=FY","BEST_FPERIOD_OVERRIDE=FY","FILING_STATUS=OR","EQY_CONSOLIDATED=Y","Sort=A","Dates=H","DateFormat=P","Fill=—","Direction=H","UseDPDF=Y")</f>
        <v>#NAME?</v>
      </c>
      <c r="AM393" s="2" t="e">
        <f ca="1">_xll.BDH($C$378,"GEO_GROW_NET_SALES","FY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393" s="2" t="e">
        <f ca="1">_xll.BDH($C$378,"GEO_GROW_EBITDA","FY 2017","FY 2017","Currency=INR","Period=FY","BEST_FPERIOD_OVERRIDE=FY","FILING_STATUS=OR","EQY_CONSOLIDATED=Y","FA_ADJUSTED=GAAP","Sort=A","Dates=H","DateFormat=P","Fill=—","Direction=H","UseDPDF=Y")</f>
        <v>#NAME?</v>
      </c>
      <c r="AO393" s="2" t="e">
        <f ca="1">_xll.BDH($C$378,"GEO_GROW_OPER_INC","FY 2017","FY 2017","Currency=INR","Period=FY","BEST_FPERIOD_OVERRIDE=FY","FILING_STATUS=OR","EQY_CONSOLIDATED=Y","FA_ADJUSTED=GAAP","Sort=A","Dates=H","DateFormat=P","Fill=—","Direction=H","UseDPDF=Y")</f>
        <v>#NAME?</v>
      </c>
      <c r="AP393" s="2" t="e">
        <f ca="1">_xll.BDH($C$378,"NET_INCOME_TO_COMMON_5_YR_GROWTH","FY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393" s="2" t="e">
        <f ca="1">_xll.BDH($C$378,"5Y_GEO_GROWTH_DILUTED_EPS","FY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393" s="2" t="e">
        <f ca="1">_xll.BDH($C$378,"GEO_GROW_DVD_PER_SH","FY 2017","FY 2017","Currency=INR","Period=FY","BEST_FPERIOD_OVERRIDE=FY","FILING_STATUS=OR","EQY_CONSOLIDATED=Y","Sort=A","Dates=H","DateFormat=P","Fill=—","Direction=H","UseDPDF=Y")</f>
        <v>#NAME?</v>
      </c>
      <c r="AS393" s="2" t="e">
        <f ca="1">_xll.BDH($C$378,"ACCOUNTS_RECEIVABLE_5_YR_GROWTH","FY 2017","FY 2017","Currency=INR","Period=FY","BEST_FPERIOD_OVERRIDE=FY","FILING_STATUS=OR","EQY_CONSOLIDATED=Y","Sort=A","Dates=H","DateFormat=P","Fill=—","Direction=H","UseDPDF=Y")</f>
        <v>#NAME?</v>
      </c>
      <c r="AT393" s="2" t="e">
        <f ca="1">_xll.BDH($C$378,"INVENTORY_5_YEAR_GROWTH","FY 2017","FY 2017","Currency=INR","Period=FY","BEST_FPERIOD_OVERRIDE=FY","FILING_STATUS=OR","EQY_CONSOLIDATED=Y","Sort=A","Dates=H","DateFormat=P","Fill=—","Direction=H","UseDPDF=Y")</f>
        <v>#NAME?</v>
      </c>
      <c r="AU393" s="2" t="e">
        <f ca="1">_xll.BDH($C$378,"NET_FIXED_ASSETS_5_YEAR_GROWTH","FY 2017","FY 2017","Currency=INR","Period=FY","BEST_FPERIOD_OVERRIDE=FY","FILING_STATUS=OR","EQY_CONSOLIDATED=Y","Sort=A","Dates=H","DateFormat=P","Fill=—","Direction=H","UseDPDF=Y")</f>
        <v>#NAME?</v>
      </c>
      <c r="AV393" s="2" t="e">
        <f ca="1">_xll.BDH($C$378,"GEO_GROW_TOT_ASSET","FY 2017","FY 2017","Currency=INR","Period=FY","BEST_FPERIOD_OVERRIDE=FY","FILING_STATUS=OR","EQY_CONSOLIDATED=Y","Sort=A","Dates=H","DateFormat=P","Fill=—","Direction=H","UseDPDF=Y")</f>
        <v>#NAME?</v>
      </c>
      <c r="AW393" s="2" t="e">
        <f ca="1">_xll.BDH($C$378,"MODIFIED_WORKING_CPTL_5YR_GRWTH","FY 2017","FY 2017","Currency=INR","Period=FY","BEST_FPERIOD_OVERRIDE=FY","FILING_STATUS=OR","EQY_CONSOLIDATED=Y","Sort=A","Dates=H","DateFormat=P","Fill=—","Direction=H","UseDPDF=Y")</f>
        <v>#NAME?</v>
      </c>
      <c r="AX393" s="2" t="e">
        <f ca="1">_xll.BDH($C$378,"WORKING_CAPITAL_5_YEAR_GROWTH","FY 2017","FY 2017","Currency=INR","Period=FY","BEST_FPERIOD_OVERRIDE=FY","FILING_STATUS=OR","EQY_CONSOLIDATED=Y","Sort=A","Dates=H","DateFormat=P","Fill=—","Direction=H","UseDPDF=Y")</f>
        <v>#NAME?</v>
      </c>
      <c r="AY393" s="2" t="e">
        <f ca="1">_xll.BDH($C$378,"ACCOUNTS_PAYABLE_5_YEAR_GROWTH","FY 2017","FY 2017","Currency=INR","Period=FY","BEST_FPERIOD_OVERRIDE=FY","FILING_STATUS=OR","EQY_CONSOLIDATED=Y","Sort=A","Dates=H","DateFormat=P","Fill=—","Direction=H","UseDPDF=Y")</f>
        <v>#NAME?</v>
      </c>
      <c r="AZ393" s="2" t="e">
        <f ca="1">_xll.BDH($C$378,"SHORT_TERM_DEBT_5_YEAR_GROWTH","FY 2017","FY 2017","Currency=INR","Period=FY","BEST_FPERIOD_OVERRIDE=FY","FILING_STATUS=OR","EQY_CONSOLIDATED=Y","Sort=A","Dates=H","DateFormat=P","Fill=—","Direction=H","UseDPDF=Y")</f>
        <v>#NAME?</v>
      </c>
      <c r="BA393" s="2" t="e">
        <f ca="1">_xll.BDH($C$378,"TOTAL_DEBT_5_YEAR_GROWTH","FY 2017","FY 2017","Currency=INR","Period=FY","BEST_FPERIOD_OVERRIDE=FY","FILING_STATUS=OR","EQY_CONSOLIDATED=Y","Sort=A","Dates=H","DateFormat=P","Fill=—","Direction=H","UseDPDF=Y")</f>
        <v>#NAME?</v>
      </c>
      <c r="BB393" s="2" t="e">
        <f ca="1">_xll.BDH($C$378,"GEO_GROW_TOT_SHRHLDR_EQY","FY 2017","FY 2017","Currency=INR","Period=FY","BEST_FPERIOD_OVERRIDE=FY","FILING_STATUS=OR","EQY_CONSOLIDATED=Y","Sort=A","Dates=H","DateFormat=P","Fill=—","Direction=H","UseDPDF=Y")</f>
        <v>#NAME?</v>
      </c>
      <c r="BC393" s="2" t="e">
        <f ca="1">_xll.BDH($C$378,"TOTAL_CAPITAL_5_YEAR_GROWTH","FY 2017","FY 2017","Currency=INR","Period=FY","BEST_FPERIOD_OVERRIDE=FY","FILING_STATUS=OR","EQY_CONSOLIDATED=Y","Sort=A","Dates=H","DateFormat=P","Fill=—","Direction=H","UseDPDF=Y")</f>
        <v>#NAME?</v>
      </c>
      <c r="BD393" s="2" t="e">
        <f ca="1">_xll.BDH($C$378,"GEO_GROW_BOOK_VAL","FY 2017","FY 2017","Currency=INR","Period=FY","BEST_FPERIOD_OVERRIDE=FY","FILING_STATUS=OR","EQY_CONSOLIDATED=Y","Sort=A","Dates=H","DateFormat=P","Fill=—","Direction=H","UseDPDF=Y")</f>
        <v>#NAME?</v>
      </c>
      <c r="BE393" s="2" t="e">
        <f ca="1">_xll.BDH($C$378,"GEO_GROW_CASH_OPER_ACT","FY 2017","FY 2017","Currency=INR","Period=FY","BEST_FPERIOD_OVERRIDE=FY","FILING_STATUS=OR","EQY_CONSOLIDATED=Y","Sort=A","Dates=H","DateFormat=P","Fill=—","Direction=H","UseDPDF=Y")</f>
        <v>#NAME?</v>
      </c>
      <c r="BF393" s="2" t="e">
        <f ca="1">_xll.BDH($C$378,"REVENUE_SEQUENTIAL_GROWTH","FY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393" s="2" t="e">
        <f ca="1">_xll.BDH($C$378,"EBITDA_SEQUENTIAL_GROWTH","FY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393" s="2" t="e">
        <f ca="1">_xll.BDH($C$378,"OPERATING_INCOME_SEQ_GROWTH","FY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393" s="2" t="e">
        <f ca="1">_xll.BDH($C$378,"NET_INCOME_TO_COMMON_SEQ_GROWTH","FY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393" s="2" t="e">
        <f ca="1">_xll.BDH($C$378,"EPS_DILUTED_SEQUENTIAL_GROWTH","FY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393" s="2" t="e">
        <f ca="1">_xll.BDH($C$378,"DPS_SEQUENTIAL_GROWTH","FY 2017","FY 2017","Currency=INR","Period=FY","BEST_FPERIOD_OVERRIDE=FY","FILING_STATUS=OR","EQY_CONSOLIDATED=Y","Sort=A","Dates=H","DateFormat=P","Fill=—","Direction=H","UseDPDF=Y")</f>
        <v>#NAME?</v>
      </c>
      <c r="BL393" s="2" t="e">
        <f ca="1">_xll.BDH($C$378,"ACCOUNTS_RECEIVABLE_SEQ_GROWTH","FY 2017","FY 2017","Currency=INR","Period=FY","BEST_FPERIOD_OVERRIDE=FY","FILING_STATUS=OR","EQY_CONSOLIDATED=Y","Sort=A","Dates=H","DateFormat=P","Fill=—","Direction=H","UseDPDF=Y")</f>
        <v>#NAME?</v>
      </c>
      <c r="BM393" s="2" t="e">
        <f ca="1">_xll.BDH($C$378,"INVENTORY_SEQUENTIAL_GROWTH","FY 2017","FY 2017","Currency=INR","Period=FY","BEST_FPERIOD_OVERRIDE=FY","FILING_STATUS=OR","EQY_CONSOLIDATED=Y","Sort=A","Dates=H","DateFormat=P","Fill=—","Direction=H","UseDPDF=Y")</f>
        <v>#NAME?</v>
      </c>
      <c r="BN393" s="2" t="e">
        <f ca="1">_xll.BDH($C$378,"FIXED_ASSETS_SEQUENTIAL_GROWTH","FY 2017","FY 2017","Currency=INR","Period=FY","BEST_FPERIOD_OVERRIDE=FY","FILING_STATUS=OR","EQY_CONSOLIDATED=Y","Sort=A","Dates=H","DateFormat=P","Fill=—","Direction=H","UseDPDF=Y")</f>
        <v>#NAME?</v>
      </c>
      <c r="BO393" s="2" t="e">
        <f ca="1">_xll.BDH($C$378,"TOTAL_ASSETS_SEQUENTIAL_GROWTH","FY 2017","FY 2017","Currency=INR","Period=FY","BEST_FPERIOD_OVERRIDE=FY","FILING_STATUS=OR","EQY_CONSOLIDATED=Y","Sort=A","Dates=H","DateFormat=P","Fill=—","Direction=H","UseDPDF=Y")</f>
        <v>#NAME?</v>
      </c>
      <c r="BP393" s="2" t="e">
        <f ca="1">_xll.BDH($C$378,"MODIFIED_WORKING_CPTL_SEQ_GRWTH","FY 2017","FY 2017","Currency=INR","Period=FY","BEST_FPERIOD_OVERRIDE=FY","FILING_STATUS=OR","EQY_CONSOLIDATED=Y","Sort=A","Dates=H","DateFormat=P","Fill=—","Direction=H","UseDPDF=Y")</f>
        <v>#NAME?</v>
      </c>
      <c r="BQ393" s="2" t="e">
        <f ca="1">_xll.BDH($C$378,"WORKING_CAPITAL_SEQ_GROWTH","FY 2017","FY 2017","Currency=INR","Period=FY","BEST_FPERIOD_OVERRIDE=FY","FILING_STATUS=OR","EQY_CONSOLIDATED=Y","Sort=A","Dates=H","DateFormat=P","Fill=—","Direction=H","UseDPDF=Y")</f>
        <v>#NAME?</v>
      </c>
      <c r="BR393" s="2" t="e">
        <f ca="1">_xll.BDH($C$378,"ACCOUNTS_PAYABLE_SEQ_GROWTH","FY 2017","FY 2017","Currency=INR","Period=FY","BEST_FPERIOD_OVERRIDE=FY","FILING_STATUS=OR","EQY_CONSOLIDATED=Y","Sort=A","Dates=H","DateFormat=P","Fill=—","Direction=H","UseDPDF=Y")</f>
        <v>#NAME?</v>
      </c>
      <c r="BS393" s="2" t="e">
        <f ca="1">_xll.BDH($C$378,"ST_DEBT_SEQUENTIAL_GROWTH","FY 2017","FY 2017","Currency=INR","Period=FY","BEST_FPERIOD_OVERRIDE=FY","FILING_STATUS=OR","EQY_CONSOLIDATED=Y","Sort=A","Dates=H","DateFormat=P","Fill=—","Direction=H","UseDPDF=Y")</f>
        <v>#NAME?</v>
      </c>
      <c r="BT393" s="2" t="e">
        <f ca="1">_xll.BDH($C$378,"TOTAL_DEBT_SEQUENTIAL_GROWTH","FY 2017","FY 2017","Currency=INR","Period=FY","BEST_FPERIOD_OVERRIDE=FY","FILING_STATUS=OR","EQY_CONSOLIDATED=Y","Sort=A","Dates=H","DateFormat=P","Fill=—","Direction=H","UseDPDF=Y")</f>
        <v>#NAME?</v>
      </c>
      <c r="BU393" s="2" t="e">
        <f ca="1">_xll.BDH($C$378,"TOTAL_EQUITY_SEQUENTIAL_GROWTH","FY 2017","FY 2017","Currency=INR","Period=FY","BEST_FPERIOD_OVERRIDE=FY","FILING_STATUS=OR","EQY_CONSOLIDATED=Y","Sort=A","Dates=H","DateFormat=P","Fill=—","Direction=H","UseDPDF=Y")</f>
        <v>#NAME?</v>
      </c>
      <c r="BV393" s="2" t="e">
        <f ca="1">_xll.BDH($C$378,"TOTAL_CAPITAL_SEQUENTIAL_GROWTH","FY 2017","FY 2017","Currency=INR","Period=FY","BEST_FPERIOD_OVERRIDE=FY","FILING_STATUS=OR","EQY_CONSOLIDATED=Y","Sort=A","Dates=H","DateFormat=P","Fill=—","Direction=H","UseDPDF=Y")</f>
        <v>#NAME?</v>
      </c>
      <c r="BW393" s="2" t="e">
        <f ca="1">_xll.BDH($C$378,"BPS_SEQUENTIAL_GROWTH","FY 2017","FY 2017","Currency=INR","Period=FY","BEST_FPERIOD_OVERRIDE=FY","FILING_STATUS=OR","EQY_CONSOLIDATED=Y","Sort=A","Dates=H","DateFormat=P","Fill=—","Direction=H","UseDPDF=Y")</f>
        <v>#NAME?</v>
      </c>
      <c r="BX393" s="2" t="e">
        <f ca="1">_xll.BDH($C$378,"CFO_SEQUENTIAL_GROWTH","FY 2017","FY 2017","Currency=INR","Period=FY","BEST_FPERIOD_OVERRIDE=FY","FILING_STATUS=OR","EQY_CONSOLIDATED=Y","Sort=A","Dates=H","DateFormat=P","Fill=—","Direction=H","UseDPDF=Y")</f>
        <v>#NAME?</v>
      </c>
      <c r="BY393" s="3" t="e">
        <f ca="1">_xll.BDH($C$378,"SHORT_AND_LONG_TERM_DEBT","FY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393" s="3" t="e">
        <f ca="1">_xll.BDH($C$378,"BS_ST_BORROW","FY 2017","FY 2017","Currency=INR","Period=FY","BEST_FPERIOD_OVERRIDE=FY","FILING_STATUS=OR","EQY_CONSOLIDATED=Y","SCALING_FORMAT=MLN","Sort=A","Dates=H","DateFormat=P","Fill=—","Direction=H","UseDPDF=Y")</f>
        <v>#NAME?</v>
      </c>
      <c r="CA393" s="3" t="e">
        <f ca="1">_xll.BDH($C$378,"BS_LT_BORROW","FY 2017","FY 2017","Currency=INR","Period=FY","BEST_FPERIOD_OVERRIDE=FY","FILING_STATUS=OR","EQY_CONSOLIDATED=Y","SCALING_FORMAT=MLN","Sort=A","Dates=H","DateFormat=P","Fill=—","Direction=H","UseDPDF=Y")</f>
        <v>#NAME?</v>
      </c>
      <c r="CB393" s="2" t="e">
        <f ca="1">_xll.BDH($C$378,"TOT_DEBT_TO_EBITDA","FY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393" s="2" t="e">
        <f ca="1">_xll.BDH($C$378,"NET_DEBT_TO_EBITDA","FY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393" s="2" t="e">
        <f ca="1">_xll.BDH($C$378,"TOTAL_DEBT_TO_EBIT","FY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393" s="2" t="e">
        <f ca="1">_xll.BDH($C$378,"NET_DEBT_TO_EBIT","FY 2017","FY 2017","Currency=INR","Period=FY","BEST_FPERIOD_OVERRIDE=FY","FILING_STATUS=OR","EQY_CONSOLIDATED=Y","FA_ADJUSTED=GAAP","Sort=A","Dates=H","DateFormat=P","Fill=—","Direction=H","UseDPDF=Y")</f>
        <v>#NAME?</v>
      </c>
      <c r="CF393" s="2" t="e">
        <f ca="1">_xll.BDH($C$378,"EBITDA_TO_INTEREST_EXPN","FY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393" s="2" t="e">
        <f ca="1">_xll.BDH($C$378,"COM_EQY_TO_TOT_ASSET","FY 2017","FY 2017","Currency=INR","Period=FY","BEST_FPERIOD_OVERRIDE=FY","FILING_STATUS=OR","EQY_CONSOLIDATED=Y","Sort=A","Dates=H","DateFormat=P","Fill=—","Direction=H","UseDPDF=Y")</f>
        <v>#NAME?</v>
      </c>
      <c r="CH393" s="2" t="e">
        <f ca="1">_xll.BDH($C$378,"LT_DEBT_TO_TOT_EQY","FY 2017","FY 2017","Currency=INR","Period=FY","BEST_FPERIOD_OVERRIDE=FY","FILING_STATUS=OR","EQY_CONSOLIDATED=Y","Sort=A","Dates=H","DateFormat=P","Fill=—","Direction=H","UseDPDF=Y")</f>
        <v>#NAME?</v>
      </c>
      <c r="CI393" s="2" t="e">
        <f ca="1">_xll.BDH($C$378,"LT_DEBT_TO_TOT_CAP","FY 2017","FY 2017","Currency=INR","Period=FY","BEST_FPERIOD_OVERRIDE=FY","FILING_STATUS=OR","EQY_CONSOLIDATED=Y","Sort=A","Dates=H","DateFormat=P","Fill=—","Direction=H","UseDPDF=Y")</f>
        <v>#NAME?</v>
      </c>
      <c r="CJ393" s="2" t="e">
        <f ca="1">_xll.BDH($C$378,"LT_DEBT_TO_TOT_ASSET","FY 2017","FY 2017","Currency=INR","Period=FY","BEST_FPERIOD_OVERRIDE=FY","FILING_STATUS=OR","EQY_CONSOLIDATED=Y","Sort=A","Dates=H","DateFormat=P","Fill=—","Direction=H","UseDPDF=Y")</f>
        <v>#NAME?</v>
      </c>
      <c r="CK393" s="2" t="e">
        <f ca="1">_xll.BDH($C$378,"TOT_DEBT_TO_TOT_EQY","FY 2017","FY 2017","Currency=INR","Period=FY","BEST_FPERIOD_OVERRIDE=FY","FILING_STATUS=OR","EQY_CONSOLIDATED=Y","Sort=A","Dates=H","DateFormat=P","Fill=—","Direction=H","UseDPDF=Y")</f>
        <v>#NAME?</v>
      </c>
      <c r="CL393" s="2" t="e">
        <f ca="1">_xll.BDH($C$378,"TOT_DEBT_TO_TOT_CAP","FY 2017","FY 2017","Currency=INR","Period=FY","BEST_FPERIOD_OVERRIDE=FY","FILING_STATUS=OR","EQY_CONSOLIDATED=Y","Sort=A","Dates=H","DateFormat=P","Fill=—","Direction=H","UseDPDF=Y")</f>
        <v>#NAME?</v>
      </c>
      <c r="CM393" s="2" t="e">
        <f ca="1">_xll.BDH($C$378,"TOT_DEBT_TO_TOT_ASSET","FY 2017","FY 2017","Currency=INR","Period=FY","BEST_FPERIOD_OVERRIDE=FY","FILING_STATUS=OR","EQY_CONSOLIDATED=Y","Sort=A","Dates=H","DateFormat=P","Fill=—","Direction=H","UseDPDF=Y")</f>
        <v>#NAME?</v>
      </c>
      <c r="CN393" s="2" t="e">
        <f ca="1">_xll.BDH($C$378,"NET_DEBT_TO_SHRHLDR_EQTY","FY 2017","FY 2017","Currency=INR","Period=FY","BEST_FPERIOD_OVERRIDE=FY","FILING_STATUS=OR","EQY_CONSOLIDATED=Y","Sort=A","Dates=H","DateFormat=P","Fill=—","Direction=H","UseDPDF=Y")</f>
        <v>#NAME?</v>
      </c>
      <c r="CO393" s="2" t="e">
        <f ca="1">_xll.BDH($C$378,"NET_DEBT_%_CAPITAL","FY 2017","FY 2017","Currency=INR","Period=FY","BEST_FPERIOD_OVERRIDE=FY","FILING_STATUS=OR","EQY_CONSOLIDATED=Y","Sort=A","Dates=H","DateFormat=P","Fill=—","Direction=H","UseDPDF=Y")</f>
        <v>#NAME?</v>
      </c>
      <c r="CP393" s="3" t="e">
        <f ca="1">_xll.BDH($C$378,"EBITDA","FY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393" s="3" t="e">
        <f ca="1">_xll.BDH($C$378,"EBITDA_AFTER_CAPEX","FY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393" s="3" t="e">
        <f ca="1">_xll.BDH($C$378,"IS_OPER_INC","FY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393" s="2" t="e">
        <f ca="1">_xll.BDH($C$378,"CASH_RATIO","FY 2017","FY 2017","Currency=INR","Period=FY","BEST_FPERIOD_OVERRIDE=FY","FILING_STATUS=OR","EQY_CONSOLIDATED=Y","Sort=A","Dates=H","DateFormat=P","Fill=—","Direction=H","UseDPDF=Y")</f>
        <v>#NAME?</v>
      </c>
      <c r="CT393" s="2" t="e">
        <f ca="1">_xll.BDH($C$378,"CUR_RATIO","FY 2017","FY 2017","Currency=INR","Period=FY","BEST_FPERIOD_OVERRIDE=FY","FILING_STATUS=OR","EQY_CONSOLIDATED=Y","Sort=A","Dates=H","DateFormat=P","Fill=—","Direction=H","UseDPDF=Y")</f>
        <v>#NAME?</v>
      </c>
      <c r="CU393" s="2" t="e">
        <f ca="1">_xll.BDH($C$378,"QUICK_RATIO","FY 2017","FY 2017","Currency=INR","Period=FY","BEST_FPERIOD_OVERRIDE=FY","FILING_STATUS=OR","EQY_CONSOLIDATED=Y","Sort=A","Dates=H","DateFormat=P","Fill=—","Direction=H","UseDPDF=Y")</f>
        <v>#NAME?</v>
      </c>
      <c r="CV393" s="2" t="e">
        <f ca="1">_xll.BDH($C$378,"ALTMAN_Z_SCORE","FY 2017","FY 2017","Currency=INR","Period=FY","BEST_FPERIOD_OVERRIDE=FY","FILING_STATUS=OR","EQY_CONSOLIDATED=Y","Sort=A","Dates=H","DateFormat=P","Fill=—","Direction=H","UseDPDF=Y")</f>
        <v>#NAME?</v>
      </c>
      <c r="CW393" s="4" t="e">
        <f ca="1">_xll.BDH($C$378,"ACCT_RCV_TURN","FY 2017","FY 2017","Currency=INR","Period=FY","BEST_FPERIOD_OVERRIDE=FY","FILING_STATUS=OR","EQY_CONSOLIDATED=Y","FA_ADJUSTED=GAAP","Sort=A","Dates=H","DateFormat=P","Fill=—","Direction=H","UseDPDF=Y")</f>
        <v>#NAME?</v>
      </c>
      <c r="CX393" s="2" t="e">
        <f ca="1">_xll.BDH($C$378,"ACCT_RCV_DAYS","FY 2017","FY 2017","Currency=INR","Period=FY","BEST_FPERIOD_OVERRIDE=FY","FILING_STATUS=OR","EQY_CONSOLIDATED=Y","FA_ADJUSTED=GAAP","Sort=A","Dates=H","DateFormat=P","Fill=—","Direction=H","UseDPDF=Y")</f>
        <v>#NAME?</v>
      </c>
      <c r="CY393" s="4" t="e">
        <f ca="1">_xll.BDH($C$378,"INVENT_TURN","FY 2017","FY 2017","Currency=INR","Period=FY","BEST_FPERIOD_OVERRIDE=FY","FILING_STATUS=OR","EQY_CONSOLIDATED=Y","FA_ADJUSTED=GAAP","Sort=A","Dates=H","DateFormat=P","Fill=—","Direction=H","UseDPDF=Y")</f>
        <v>#NAME?</v>
      </c>
      <c r="CZ393" s="2" t="e">
        <f ca="1">_xll.BDH($C$378,"INVENT_DAYS","FY 2017","FY 2017","Currency=INR","Period=FY","BEST_FPERIOD_OVERRIDE=FY","FILING_STATUS=OR","EQY_CONSOLIDATED=Y","FA_ADJUSTED=GAAP","Sort=A","Dates=H","DateFormat=P","Fill=—","Direction=H","UseDPDF=Y")</f>
        <v>#NAME?</v>
      </c>
      <c r="DA393" s="4" t="e">
        <f ca="1">_xll.BDH($C$378,"ACCOUNTS_PAYABLE_TURNOVER","FY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393" s="2" t="e">
        <f ca="1">_xll.BDH($C$378,"ACCOUNTS_PAYABLE_TURNOVER_DAYS","FY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393" s="4" t="e">
        <f ca="1">_xll.BDH($C$378,"CASH_CONVERSION_CYCLE","FY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393" s="4" t="e">
        <f ca="1">_xll.BDH($C$378,"INV_TO_CASH_DAYS","FY 2017","FY 2017","Currency=INR","Period=FY","BEST_FPERIOD_OVERRIDE=FY","FILING_STATUS=OR","EQY_CONSOLIDATED=Y","FA_ADJUSTED=GAAP","Sort=A","Dates=H","DateFormat=P","Fill=—","Direction=H","UseDPDF=Y")</f>
        <v>#NAME?</v>
      </c>
      <c r="DE393" s="5" t="e">
        <f ca="1">_xll.BDH($C$378,"BS_INVENTORIES","FY 2017","FY 2017","Currency=INR","Period=FY","BEST_FPERIOD_OVERRIDE=FY","FILING_STATUS=OR","EQY_CONSOLIDATED=Y","SCALING_FORMAT=MLN","Sort=A","Dates=H","DateFormat=P","Fill=—","Direction=H","UseDPDF=Y")</f>
        <v>#NAME?</v>
      </c>
      <c r="DF393" s="3" t="e">
        <f ca="1">_xll.BDH($C$378,"INVTRY_RAW_MATERIALS","FY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393" s="3" t="e">
        <f ca="1">_xll.BDH($C$378,"INVTRY_IN_PROGRESS","FY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393" s="3" t="e">
        <f ca="1">_xll.BDH($C$378,"INVTRY_FINISHED_GOODS","FY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393" s="3" t="e">
        <f ca="1">_xll.BDH($C$378,"BS_OTHER_INV","FY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394" spans="1:113" x14ac:dyDescent="0.3">
      <c r="A394" s="6"/>
      <c r="B394" s="6"/>
      <c r="C394" s="6"/>
      <c r="D394" s="6"/>
      <c r="E394" t="s">
        <v>78</v>
      </c>
      <c r="F394" t="e">
        <f ca="1">_xll.BDH($C$378,"RETURN_COM_EQY","FQ1 2017","FQ1 2017","Currency=INR","Period=FQ","BEST_FPERIOD_OVERRIDE=FQ","FILING_STATUS=OR","EQY_CONSOLIDATED=Y","FA_ADJUSTED=GAAP","Sort=A","Dates=H","DateFormat=P","Fill=—","Direction=H","UseDPDF=Y")</f>
        <v>#NAME?</v>
      </c>
      <c r="G394" t="e">
        <f ca="1">_xll.BDH($C$378,"RETURN_ON_ASSET","FQ1 2017","FQ1 2017","Currency=INR","Period=FQ","BEST_FPERIOD_OVERRIDE=FQ","FILING_STATUS=OR","EQY_CONSOLIDATED=Y","FA_ADJUSTED=GAAP","Sort=A","Dates=H","DateFormat=P","Fill=—","Direction=H","UseDPDF=Y")</f>
        <v>#NAME?</v>
      </c>
      <c r="H394" t="e">
        <f ca="1">_xll.BDH($C$378,"RETURN_ON_CAP","FQ1 2017","FQ1 2017","Currency=INR","Period=FQ","BEST_FPERIOD_OVERRIDE=FQ","FILING_STATUS=OR","EQY_CONSOLIDATED=Y","FA_ADJUSTED=GAAP","Sort=A","Dates=H","DateFormat=P","Fill=—","Direction=H","UseDPDF=Y")</f>
        <v>#NAME?</v>
      </c>
      <c r="I394" t="e">
        <f ca="1">_xll.BDH($C$378,"RETURN_ON_INV_CAPITAL","FQ1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394" t="e">
        <f ca="1">_xll.BDH($C$378,"EBITDA_TO_REVENUE","FQ1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394" t="e">
        <f ca="1">_xll.BDH($C$378,"OPER_MARGIN","FQ1 2017","FQ1 2017","Currency=INR","Period=FQ","BEST_FPERIOD_OVERRIDE=FQ","FILING_STATUS=OR","EQY_CONSOLIDATED=Y","FA_ADJUSTED=GAAP","Sort=A","Dates=H","DateFormat=P","Fill=—","Direction=H","UseDPDF=Y")</f>
        <v>#NAME?</v>
      </c>
      <c r="L394" t="e">
        <f ca="1">_xll.BDH($C$378,"INCREMENTAL_OPERATING_MARGIN","FQ1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394" t="e">
        <f ca="1">_xll.BDH($C$378,"PRETAX_INC_TO_NET_SALES","FQ1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394" t="e">
        <f ca="1">_xll.BDH($C$378,"INC_BEF_XO_ITEMS_TO_NET_SALES","FQ1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394" t="e">
        <f ca="1">_xll.BDH($C$378,"PROF_MARGIN","FQ1 2017","FQ1 2017","Currency=INR","Period=FQ","BEST_FPERIOD_OVERRIDE=FQ","FILING_STATUS=OR","EQY_CONSOLIDATED=Y","FA_ADJUSTED=GAAP","Sort=A","Dates=H","DateFormat=P","Fill=—","Direction=H","UseDPDF=Y")</f>
        <v>#NAME?</v>
      </c>
      <c r="P394" t="e">
        <f ca="1">_xll.BDH($C$378,"NET_INCOME_TO_COMMON_MARGIN","FQ1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394" t="e">
        <f ca="1">_xll.BDH($C$378,"EFF_TAX_RATE","FQ1 2017","FQ1 2017","Currency=INR","Period=FQ","BEST_FPERIOD_OVERRIDE=FQ","FILING_STATUS=OR","EQY_CONSOLIDATED=Y","FA_ADJUSTED=GAAP","Sort=A","Dates=H","DateFormat=P","Fill=—","Direction=H","UseDPDF=Y")</f>
        <v>#NAME?</v>
      </c>
      <c r="R394" t="e">
        <f ca="1">_xll.BDH($C$378,"DVD_PAYOUT_RATIO","FQ1 2017","FQ1 2017","Currency=INR","Period=FQ","BEST_FPERIOD_OVERRIDE=FQ","FILING_STATUS=OR","EQY_CONSOLIDATED=Y","FA_ADJUSTED=GAAP","Sort=A","Dates=H","DateFormat=P","Fill=—","Direction=H","UseDPDF=Y")</f>
        <v>#NAME?</v>
      </c>
      <c r="S394" t="e">
        <f ca="1">_xll.BDH($C$378,"SUSTAIN_GROWTH_RT","FQ1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394" s="2" t="e">
        <f ca="1">_xll.BDH($C$378,"SALES_GROWTH","FQ1 2017","FQ1 2017","Currency=INR","Period=FQ","BEST_FPERIOD_OVERRIDE=FQ","FILING_STATUS=OR","EQY_CONSOLIDATED=Y","FA_ADJUSTED=GAAP","Sort=A","Dates=H","DateFormat=P","Fill=—","Direction=H","UseDPDF=Y")</f>
        <v>#NAME?</v>
      </c>
      <c r="U394" s="2" t="e">
        <f ca="1">_xll.BDH($C$378,"EBITDA_GROWTH","FQ1 2017","FQ1 2017","Currency=INR","Period=FQ","BEST_FPERIOD_OVERRIDE=FQ","FILING_STATUS=OR","EQY_CONSOLIDATED=Y","FA_ADJUSTED=GAAP","Sort=A","Dates=H","DateFormat=P","Fill=—","Direction=H","UseDPDF=Y")</f>
        <v>#NAME?</v>
      </c>
      <c r="V394" s="2" t="e">
        <f ca="1">_xll.BDH($C$378,"OPER_INC_GROWTH","FQ1 2017","FQ1 2017","Currency=INR","Period=FQ","BEST_FPERIOD_OVERRIDE=FQ","FILING_STATUS=OR","EQY_CONSOLIDATED=Y","FA_ADJUSTED=GAAP","Sort=A","Dates=H","DateFormat=P","Fill=—","Direction=H","UseDPDF=Y")</f>
        <v>#NAME?</v>
      </c>
      <c r="W394" s="2" t="e">
        <f ca="1">_xll.BDH($C$378,"EARN_FOR_COM_GROWTH","FQ1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394" s="2" t="e">
        <f ca="1">_xll.BDH($C$378,"DILUTED_EPS_AFT_XO_ITEMS_GROWTH","FQ1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394" s="2" t="e">
        <f ca="1">_xll.BDH($C$378,"DIVIDEND_PER_SHARE_1_YEAR_GROWTH","FQ1 2017","FQ1 2017","Currency=INR","Period=FQ","BEST_FPERIOD_OVERRIDE=FQ","FILING_STATUS=OR","EQY_CONSOLIDATED=Y","Sort=A","Dates=H","DateFormat=P","Fill=—","Direction=H","UseDPDF=Y")</f>
        <v>#NAME?</v>
      </c>
      <c r="Z394" s="2" t="e">
        <f ca="1">_xll.BDH($C$378,"ACCOUNTS_RECEIVABLE_GROWTH","FQ1 2017","FQ1 2017","Currency=INR","Period=FQ","BEST_FPERIOD_OVERRIDE=FQ","FILING_STATUS=OR","EQY_CONSOLIDATED=Y","Sort=A","Dates=H","DateFormat=P","Fill=—","Direction=H","UseDPDF=Y")</f>
        <v>#NAME?</v>
      </c>
      <c r="AA394" s="2" t="e">
        <f ca="1">_xll.BDH($C$378,"INVENTORY_GROWTH","FQ1 2017","FQ1 2017","Currency=INR","Period=FQ","BEST_FPERIOD_OVERRIDE=FQ","FILING_STATUS=OR","EQY_CONSOLIDATED=Y","Sort=A","Dates=H","DateFormat=P","Fill=—","Direction=H","UseDPDF=Y")</f>
        <v>#NAME?</v>
      </c>
      <c r="AB394" s="2" t="e">
        <f ca="1">_xll.BDH($C$378,"NET_FIXED_ASSETS_1_YEAR_GROWTH","FQ1 2017","FQ1 2017","Currency=INR","Period=FQ","BEST_FPERIOD_OVERRIDE=FQ","FILING_STATUS=OR","EQY_CONSOLIDATED=Y","Sort=A","Dates=H","DateFormat=P","Fill=—","Direction=H","UseDPDF=Y")</f>
        <v>#NAME?</v>
      </c>
      <c r="AC394" s="2" t="e">
        <f ca="1">_xll.BDH($C$378,"ASSET_GROWTH","FQ1 2017","FQ1 2017","Currency=INR","Period=FQ","BEST_FPERIOD_OVERRIDE=FQ","FILING_STATUS=OR","EQY_CONSOLIDATED=Y","Sort=A","Dates=H","DateFormat=P","Fill=—","Direction=H","UseDPDF=Y")</f>
        <v>#NAME?</v>
      </c>
      <c r="AD394" s="2" t="e">
        <f ca="1">_xll.BDH($C$378,"MODIFIED_WORK_CAP_GROWTH","FQ1 2017","FQ1 2017","Currency=INR","Period=FQ","BEST_FPERIOD_OVERRIDE=FQ","FILING_STATUS=OR","EQY_CONSOLIDATED=Y","Sort=A","Dates=H","DateFormat=P","Fill=—","Direction=H","UseDPDF=Y")</f>
        <v>#NAME?</v>
      </c>
      <c r="AE394" s="2" t="e">
        <f ca="1">_xll.BDH($C$378,"WORK_CAP_GROWTH","FQ1 2017","FQ1 2017","Currency=INR","Period=FQ","BEST_FPERIOD_OVERRIDE=FQ","FILING_STATUS=OR","EQY_CONSOLIDATED=Y","Sort=A","Dates=H","DateFormat=P","Fill=—","Direction=H","UseDPDF=Y")</f>
        <v>#NAME?</v>
      </c>
      <c r="AF394" s="2" t="e">
        <f ca="1">_xll.BDH($C$378,"ACCOUNTS_PAYABLE_GROWTH_1YR","FQ1 2017","FQ1 2017","Currency=INR","Period=FQ","BEST_FPERIOD_OVERRIDE=FQ","FILING_STATUS=OR","EQY_CONSOLIDATED=Y","Sort=A","Dates=H","DateFormat=P","Fill=—","Direction=H","UseDPDF=Y")</f>
        <v>#NAME?</v>
      </c>
      <c r="AG394" s="2" t="e">
        <f ca="1">_xll.BDH($C$378,"SHORT_TERM_DEBT_1_YEAR_GROWTH","FQ1 2017","FQ1 2017","Currency=INR","Period=FQ","BEST_FPERIOD_OVERRIDE=FQ","FILING_STATUS=OR","EQY_CONSOLIDATED=Y","Sort=A","Dates=H","DateFormat=P","Fill=—","Direction=H","UseDPDF=Y")</f>
        <v>#NAME?</v>
      </c>
      <c r="AH394" s="2" t="e">
        <f ca="1">_xll.BDH($C$378,"TOTAL_DEBT_1_YEAR_GROWTH","FQ1 2017","FQ1 2017","Currency=INR","Period=FQ","BEST_FPERIOD_OVERRIDE=FQ","FILING_STATUS=OR","EQY_CONSOLIDATED=Y","Sort=A","Dates=H","DateFormat=P","Fill=—","Direction=H","UseDPDF=Y")</f>
        <v>#NAME?</v>
      </c>
      <c r="AI394" s="2" t="e">
        <f ca="1">_xll.BDH($C$378,"TOTAL_EQUITY_1_YEAR_GROWTH","FQ1 2017","FQ1 2017","Currency=INR","Period=FQ","BEST_FPERIOD_OVERRIDE=FQ","FILING_STATUS=OR","EQY_CONSOLIDATED=Y","Sort=A","Dates=H","DateFormat=P","Fill=—","Direction=H","UseDPDF=Y")</f>
        <v>#NAME?</v>
      </c>
      <c r="AJ394" s="2" t="e">
        <f ca="1">_xll.BDH($C$378,"GROWTH_IN_CAP","FQ1 2017","FQ1 2017","Currency=INR","Period=FQ","BEST_FPERIOD_OVERRIDE=FQ","FILING_STATUS=OR","EQY_CONSOLIDATED=Y","Sort=A","Dates=H","DateFormat=P","Fill=—","Direction=H","UseDPDF=Y")</f>
        <v>#NAME?</v>
      </c>
      <c r="AK394" s="2" t="e">
        <f ca="1">_xll.BDH($C$378,"BVPS_GROWTH","FQ1 2017","FQ1 2017","Currency=INR","Period=FQ","BEST_FPERIOD_OVERRIDE=FQ","FILING_STATUS=OR","EQY_CONSOLIDATED=Y","Sort=A","Dates=H","DateFormat=P","Fill=—","Direction=H","UseDPDF=Y")</f>
        <v>#NAME?</v>
      </c>
      <c r="AL394" s="2" t="e">
        <f ca="1">_xll.BDH($C$378,"CASH_FLOW_GROWTH","FQ1 2017","FQ1 2017","Currency=INR","Period=FQ","BEST_FPERIOD_OVERRIDE=FQ","FILING_STATUS=OR","EQY_CONSOLIDATED=Y","Sort=A","Dates=H","DateFormat=P","Fill=—","Direction=H","UseDPDF=Y")</f>
        <v>#NAME?</v>
      </c>
      <c r="AM394" s="2" t="e">
        <f ca="1">_xll.BDH($C$378,"GEO_GROW_NET_SALES","FQ1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394" s="2" t="e">
        <f ca="1">_xll.BDH($C$378,"GEO_GROW_EBITDA","FQ1 2017","FQ1 2017","Currency=INR","Period=FQ","BEST_FPERIOD_OVERRIDE=FQ","FILING_STATUS=OR","EQY_CONSOLIDATED=Y","FA_ADJUSTED=GAAP","Sort=A","Dates=H","DateFormat=P","Fill=—","Direction=H","UseDPDF=Y")</f>
        <v>#NAME?</v>
      </c>
      <c r="AO394" s="2" t="e">
        <f ca="1">_xll.BDH($C$378,"GEO_GROW_OPER_INC","FQ1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394" s="2" t="e">
        <f ca="1">_xll.BDH($C$378,"NET_INCOME_TO_COMMON_5_YR_GROWTH","FQ1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394" s="2" t="e">
        <f ca="1">_xll.BDH($C$378,"5Y_GEO_GROWTH_DILUTED_EPS","FQ1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394" s="2" t="e">
        <f ca="1">_xll.BDH($C$378,"GEO_GROW_DVD_PER_SH","FQ1 2017","FQ1 2017","Currency=INR","Period=FQ","BEST_FPERIOD_OVERRIDE=FQ","FILING_STATUS=OR","EQY_CONSOLIDATED=Y","Sort=A","Dates=H","DateFormat=P","Fill=—","Direction=H","UseDPDF=Y")</f>
        <v>#NAME?</v>
      </c>
      <c r="AS394" s="2" t="e">
        <f ca="1">_xll.BDH($C$378,"ACCOUNTS_RECEIVABLE_5_YR_GROWTH","FQ1 2017","FQ1 2017","Currency=INR","Period=FQ","BEST_FPERIOD_OVERRIDE=FQ","FILING_STATUS=OR","EQY_CONSOLIDATED=Y","Sort=A","Dates=H","DateFormat=P","Fill=—","Direction=H","UseDPDF=Y")</f>
        <v>#NAME?</v>
      </c>
      <c r="AT394" s="2" t="e">
        <f ca="1">_xll.BDH($C$378,"INVENTORY_5_YEAR_GROWTH","FQ1 2017","FQ1 2017","Currency=INR","Period=FQ","BEST_FPERIOD_OVERRIDE=FQ","FILING_STATUS=OR","EQY_CONSOLIDATED=Y","Sort=A","Dates=H","DateFormat=P","Fill=—","Direction=H","UseDPDF=Y")</f>
        <v>#NAME?</v>
      </c>
      <c r="AU394" s="2" t="e">
        <f ca="1">_xll.BDH($C$378,"NET_FIXED_ASSETS_5_YEAR_GROWTH","FQ1 2017","FQ1 2017","Currency=INR","Period=FQ","BEST_FPERIOD_OVERRIDE=FQ","FILING_STATUS=OR","EQY_CONSOLIDATED=Y","Sort=A","Dates=H","DateFormat=P","Fill=—","Direction=H","UseDPDF=Y")</f>
        <v>#NAME?</v>
      </c>
      <c r="AV394" s="2" t="e">
        <f ca="1">_xll.BDH($C$378,"GEO_GROW_TOT_ASSET","FQ1 2017","FQ1 2017","Currency=INR","Period=FQ","BEST_FPERIOD_OVERRIDE=FQ","FILING_STATUS=OR","EQY_CONSOLIDATED=Y","Sort=A","Dates=H","DateFormat=P","Fill=—","Direction=H","UseDPDF=Y")</f>
        <v>#NAME?</v>
      </c>
      <c r="AW394" s="2" t="e">
        <f ca="1">_xll.BDH($C$378,"MODIFIED_WORKING_CPTL_5YR_GRWTH","FQ1 2017","FQ1 2017","Currency=INR","Period=FQ","BEST_FPERIOD_OVERRIDE=FQ","FILING_STATUS=OR","EQY_CONSOLIDATED=Y","Sort=A","Dates=H","DateFormat=P","Fill=—","Direction=H","UseDPDF=Y")</f>
        <v>#NAME?</v>
      </c>
      <c r="AX394" s="2" t="e">
        <f ca="1">_xll.BDH($C$378,"WORKING_CAPITAL_5_YEAR_GROWTH","FQ1 2017","FQ1 2017","Currency=INR","Period=FQ","BEST_FPERIOD_OVERRIDE=FQ","FILING_STATUS=OR","EQY_CONSOLIDATED=Y","Sort=A","Dates=H","DateFormat=P","Fill=—","Direction=H","UseDPDF=Y")</f>
        <v>#NAME?</v>
      </c>
      <c r="AY394" s="2" t="e">
        <f ca="1">_xll.BDH($C$378,"ACCOUNTS_PAYABLE_5_YEAR_GROWTH","FQ1 2017","FQ1 2017","Currency=INR","Period=FQ","BEST_FPERIOD_OVERRIDE=FQ","FILING_STATUS=OR","EQY_CONSOLIDATED=Y","Sort=A","Dates=H","DateFormat=P","Fill=—","Direction=H","UseDPDF=Y")</f>
        <v>#NAME?</v>
      </c>
      <c r="AZ394" s="2" t="e">
        <f ca="1">_xll.BDH($C$378,"SHORT_TERM_DEBT_5_YEAR_GROWTH","FQ1 2017","FQ1 2017","Currency=INR","Period=FQ","BEST_FPERIOD_OVERRIDE=FQ","FILING_STATUS=OR","EQY_CONSOLIDATED=Y","Sort=A","Dates=H","DateFormat=P","Fill=—","Direction=H","UseDPDF=Y")</f>
        <v>#NAME?</v>
      </c>
      <c r="BA394" s="2" t="e">
        <f ca="1">_xll.BDH($C$378,"TOTAL_DEBT_5_YEAR_GROWTH","FQ1 2017","FQ1 2017","Currency=INR","Period=FQ","BEST_FPERIOD_OVERRIDE=FQ","FILING_STATUS=OR","EQY_CONSOLIDATED=Y","Sort=A","Dates=H","DateFormat=P","Fill=—","Direction=H","UseDPDF=Y")</f>
        <v>#NAME?</v>
      </c>
      <c r="BB394" s="2" t="e">
        <f ca="1">_xll.BDH($C$378,"GEO_GROW_TOT_SHRHLDR_EQY","FQ1 2017","FQ1 2017","Currency=INR","Period=FQ","BEST_FPERIOD_OVERRIDE=FQ","FILING_STATUS=OR","EQY_CONSOLIDATED=Y","Sort=A","Dates=H","DateFormat=P","Fill=—","Direction=H","UseDPDF=Y")</f>
        <v>#NAME?</v>
      </c>
      <c r="BC394" s="2" t="e">
        <f ca="1">_xll.BDH($C$378,"TOTAL_CAPITAL_5_YEAR_GROWTH","FQ1 2017","FQ1 2017","Currency=INR","Period=FQ","BEST_FPERIOD_OVERRIDE=FQ","FILING_STATUS=OR","EQY_CONSOLIDATED=Y","Sort=A","Dates=H","DateFormat=P","Fill=—","Direction=H","UseDPDF=Y")</f>
        <v>#NAME?</v>
      </c>
      <c r="BD394" s="2" t="e">
        <f ca="1">_xll.BDH($C$378,"GEO_GROW_BOOK_VAL","FQ1 2017","FQ1 2017","Currency=INR","Period=FQ","BEST_FPERIOD_OVERRIDE=FQ","FILING_STATUS=OR","EQY_CONSOLIDATED=Y","Sort=A","Dates=H","DateFormat=P","Fill=—","Direction=H","UseDPDF=Y")</f>
        <v>#NAME?</v>
      </c>
      <c r="BE394" s="2" t="e">
        <f ca="1">_xll.BDH($C$378,"GEO_GROW_CASH_OPER_ACT","FQ1 2017","FQ1 2017","Currency=INR","Period=FQ","BEST_FPERIOD_OVERRIDE=FQ","FILING_STATUS=OR","EQY_CONSOLIDATED=Y","Sort=A","Dates=H","DateFormat=P","Fill=—","Direction=H","UseDPDF=Y")</f>
        <v>#NAME?</v>
      </c>
      <c r="BF394" s="2" t="e">
        <f ca="1">_xll.BDH($C$378,"REVENUE_SEQUENTIAL_GROWTH","FQ1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394" s="2" t="e">
        <f ca="1">_xll.BDH($C$378,"EBITDA_SEQUENTIAL_GROWTH","FQ1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394" s="2" t="e">
        <f ca="1">_xll.BDH($C$378,"OPERATING_INCOME_SEQ_GROWTH","FQ1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394" s="2" t="e">
        <f ca="1">_xll.BDH($C$378,"NET_INCOME_TO_COMMON_SEQ_GROWTH","FQ1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394" s="2" t="e">
        <f ca="1">_xll.BDH($C$378,"EPS_DILUTED_SEQUENTIAL_GROWTH","FQ1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394" s="2" t="e">
        <f ca="1">_xll.BDH($C$378,"DPS_SEQUENTIAL_GROWTH","FQ1 2017","FQ1 2017","Currency=INR","Period=FQ","BEST_FPERIOD_OVERRIDE=FQ","FILING_STATUS=OR","EQY_CONSOLIDATED=Y","Sort=A","Dates=H","DateFormat=P","Fill=—","Direction=H","UseDPDF=Y")</f>
        <v>#NAME?</v>
      </c>
      <c r="BL394" s="2" t="e">
        <f ca="1">_xll.BDH($C$378,"ACCOUNTS_RECEIVABLE_SEQ_GROWTH","FQ1 2017","FQ1 2017","Currency=INR","Period=FQ","BEST_FPERIOD_OVERRIDE=FQ","FILING_STATUS=OR","EQY_CONSOLIDATED=Y","Sort=A","Dates=H","DateFormat=P","Fill=—","Direction=H","UseDPDF=Y")</f>
        <v>#NAME?</v>
      </c>
      <c r="BM394" s="2" t="e">
        <f ca="1">_xll.BDH($C$378,"INVENTORY_SEQUENTIAL_GROWTH","FQ1 2017","FQ1 2017","Currency=INR","Period=FQ","BEST_FPERIOD_OVERRIDE=FQ","FILING_STATUS=OR","EQY_CONSOLIDATED=Y","Sort=A","Dates=H","DateFormat=P","Fill=—","Direction=H","UseDPDF=Y")</f>
        <v>#NAME?</v>
      </c>
      <c r="BN394" s="2" t="e">
        <f ca="1">_xll.BDH($C$378,"FIXED_ASSETS_SEQUENTIAL_GROWTH","FQ1 2017","FQ1 2017","Currency=INR","Period=FQ","BEST_FPERIOD_OVERRIDE=FQ","FILING_STATUS=OR","EQY_CONSOLIDATED=Y","Sort=A","Dates=H","DateFormat=P","Fill=—","Direction=H","UseDPDF=Y")</f>
        <v>#NAME?</v>
      </c>
      <c r="BO394" s="2" t="e">
        <f ca="1">_xll.BDH($C$378,"TOTAL_ASSETS_SEQUENTIAL_GROWTH","FQ1 2017","FQ1 2017","Currency=INR","Period=FQ","BEST_FPERIOD_OVERRIDE=FQ","FILING_STATUS=OR","EQY_CONSOLIDATED=Y","Sort=A","Dates=H","DateFormat=P","Fill=—","Direction=H","UseDPDF=Y")</f>
        <v>#NAME?</v>
      </c>
      <c r="BP394" s="2" t="e">
        <f ca="1">_xll.BDH($C$378,"MODIFIED_WORKING_CPTL_SEQ_GRWTH","FQ1 2017","FQ1 2017","Currency=INR","Period=FQ","BEST_FPERIOD_OVERRIDE=FQ","FILING_STATUS=OR","EQY_CONSOLIDATED=Y","Sort=A","Dates=H","DateFormat=P","Fill=—","Direction=H","UseDPDF=Y")</f>
        <v>#NAME?</v>
      </c>
      <c r="BQ394" s="2" t="e">
        <f ca="1">_xll.BDH($C$378,"WORKING_CAPITAL_SEQ_GROWTH","FQ1 2017","FQ1 2017","Currency=INR","Period=FQ","BEST_FPERIOD_OVERRIDE=FQ","FILING_STATUS=OR","EQY_CONSOLIDATED=Y","Sort=A","Dates=H","DateFormat=P","Fill=—","Direction=H","UseDPDF=Y")</f>
        <v>#NAME?</v>
      </c>
      <c r="BR394" s="2" t="e">
        <f ca="1">_xll.BDH($C$378,"ACCOUNTS_PAYABLE_SEQ_GROWTH","FQ1 2017","FQ1 2017","Currency=INR","Period=FQ","BEST_FPERIOD_OVERRIDE=FQ","FILING_STATUS=OR","EQY_CONSOLIDATED=Y","Sort=A","Dates=H","DateFormat=P","Fill=—","Direction=H","UseDPDF=Y")</f>
        <v>#NAME?</v>
      </c>
      <c r="BS394" s="2" t="e">
        <f ca="1">_xll.BDH($C$378,"ST_DEBT_SEQUENTIAL_GROWTH","FQ1 2017","FQ1 2017","Currency=INR","Period=FQ","BEST_FPERIOD_OVERRIDE=FQ","FILING_STATUS=OR","EQY_CONSOLIDATED=Y","Sort=A","Dates=H","DateFormat=P","Fill=—","Direction=H","UseDPDF=Y")</f>
        <v>#NAME?</v>
      </c>
      <c r="BT394" s="2" t="e">
        <f ca="1">_xll.BDH($C$378,"TOTAL_DEBT_SEQUENTIAL_GROWTH","FQ1 2017","FQ1 2017","Currency=INR","Period=FQ","BEST_FPERIOD_OVERRIDE=FQ","FILING_STATUS=OR","EQY_CONSOLIDATED=Y","Sort=A","Dates=H","DateFormat=P","Fill=—","Direction=H","UseDPDF=Y")</f>
        <v>#NAME?</v>
      </c>
      <c r="BU394" s="2" t="e">
        <f ca="1">_xll.BDH($C$378,"TOTAL_EQUITY_SEQUENTIAL_GROWTH","FQ1 2017","FQ1 2017","Currency=INR","Period=FQ","BEST_FPERIOD_OVERRIDE=FQ","FILING_STATUS=OR","EQY_CONSOLIDATED=Y","Sort=A","Dates=H","DateFormat=P","Fill=—","Direction=H","UseDPDF=Y")</f>
        <v>#NAME?</v>
      </c>
      <c r="BV394" s="2" t="e">
        <f ca="1">_xll.BDH($C$378,"TOTAL_CAPITAL_SEQUENTIAL_GROWTH","FQ1 2017","FQ1 2017","Currency=INR","Period=FQ","BEST_FPERIOD_OVERRIDE=FQ","FILING_STATUS=OR","EQY_CONSOLIDATED=Y","Sort=A","Dates=H","DateFormat=P","Fill=—","Direction=H","UseDPDF=Y")</f>
        <v>#NAME?</v>
      </c>
      <c r="BW394" s="2" t="e">
        <f ca="1">_xll.BDH($C$378,"BPS_SEQUENTIAL_GROWTH","FQ1 2017","FQ1 2017","Currency=INR","Period=FQ","BEST_FPERIOD_OVERRIDE=FQ","FILING_STATUS=OR","EQY_CONSOLIDATED=Y","Sort=A","Dates=H","DateFormat=P","Fill=—","Direction=H","UseDPDF=Y")</f>
        <v>#NAME?</v>
      </c>
      <c r="BX394" s="2" t="e">
        <f ca="1">_xll.BDH($C$378,"CFO_SEQUENTIAL_GROWTH","FQ1 2017","FQ1 2017","Currency=INR","Period=FQ","BEST_FPERIOD_OVERRIDE=FQ","FILING_STATUS=OR","EQY_CONSOLIDATED=Y","Sort=A","Dates=H","DateFormat=P","Fill=—","Direction=H","UseDPDF=Y")</f>
        <v>#NAME?</v>
      </c>
      <c r="BY394" s="3" t="e">
        <f ca="1">_xll.BDH($C$378,"SHORT_AND_LONG_TERM_DEBT","FQ1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394" s="3" t="e">
        <f ca="1">_xll.BDH($C$378,"BS_ST_BORROW","FQ1 2017","FQ1 2017","Currency=INR","Period=FQ","BEST_FPERIOD_OVERRIDE=FQ","FILING_STATUS=OR","EQY_CONSOLIDATED=Y","SCALING_FORMAT=MLN","Sort=A","Dates=H","DateFormat=P","Fill=—","Direction=H","UseDPDF=Y")</f>
        <v>#NAME?</v>
      </c>
      <c r="CA394" s="3" t="e">
        <f ca="1">_xll.BDH($C$378,"BS_LT_BORROW","FQ1 2017","FQ1 2017","Currency=INR","Period=FQ","BEST_FPERIOD_OVERRIDE=FQ","FILING_STATUS=OR","EQY_CONSOLIDATED=Y","SCALING_FORMAT=MLN","Sort=A","Dates=H","DateFormat=P","Fill=—","Direction=H","UseDPDF=Y")</f>
        <v>#NAME?</v>
      </c>
      <c r="CB394" s="2" t="e">
        <f ca="1">_xll.BDH($C$378,"TOT_DEBT_TO_EBITDA","FQ1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394" s="2" t="e">
        <f ca="1">_xll.BDH($C$378,"NET_DEBT_TO_EBITDA","FQ1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394" s="2" t="e">
        <f ca="1">_xll.BDH($C$378,"TOTAL_DEBT_TO_EBIT","FQ1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394" s="2" t="e">
        <f ca="1">_xll.BDH($C$378,"NET_DEBT_TO_EBIT","FQ1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394" s="2" t="e">
        <f ca="1">_xll.BDH($C$378,"EBITDA_TO_INTEREST_EXPN","FQ1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394" s="2" t="e">
        <f ca="1">_xll.BDH($C$378,"COM_EQY_TO_TOT_ASSET","FQ1 2017","FQ1 2017","Currency=INR","Period=FQ","BEST_FPERIOD_OVERRIDE=FQ","FILING_STATUS=OR","EQY_CONSOLIDATED=Y","Sort=A","Dates=H","DateFormat=P","Fill=—","Direction=H","UseDPDF=Y")</f>
        <v>#NAME?</v>
      </c>
      <c r="CH394" s="2" t="e">
        <f ca="1">_xll.BDH($C$378,"LT_DEBT_TO_TOT_EQY","FQ1 2017","FQ1 2017","Currency=INR","Period=FQ","BEST_FPERIOD_OVERRIDE=FQ","FILING_STATUS=OR","EQY_CONSOLIDATED=Y","Sort=A","Dates=H","DateFormat=P","Fill=—","Direction=H","UseDPDF=Y")</f>
        <v>#NAME?</v>
      </c>
      <c r="CI394" s="2" t="e">
        <f ca="1">_xll.BDH($C$378,"LT_DEBT_TO_TOT_CAP","FQ1 2017","FQ1 2017","Currency=INR","Period=FQ","BEST_FPERIOD_OVERRIDE=FQ","FILING_STATUS=OR","EQY_CONSOLIDATED=Y","Sort=A","Dates=H","DateFormat=P","Fill=—","Direction=H","UseDPDF=Y")</f>
        <v>#NAME?</v>
      </c>
      <c r="CJ394" s="2" t="e">
        <f ca="1">_xll.BDH($C$378,"LT_DEBT_TO_TOT_ASSET","FQ1 2017","FQ1 2017","Currency=INR","Period=FQ","BEST_FPERIOD_OVERRIDE=FQ","FILING_STATUS=OR","EQY_CONSOLIDATED=Y","Sort=A","Dates=H","DateFormat=P","Fill=—","Direction=H","UseDPDF=Y")</f>
        <v>#NAME?</v>
      </c>
      <c r="CK394" s="2" t="e">
        <f ca="1">_xll.BDH($C$378,"TOT_DEBT_TO_TOT_EQY","FQ1 2017","FQ1 2017","Currency=INR","Period=FQ","BEST_FPERIOD_OVERRIDE=FQ","FILING_STATUS=OR","EQY_CONSOLIDATED=Y","Sort=A","Dates=H","DateFormat=P","Fill=—","Direction=H","UseDPDF=Y")</f>
        <v>#NAME?</v>
      </c>
      <c r="CL394" s="2" t="e">
        <f ca="1">_xll.BDH($C$378,"TOT_DEBT_TO_TOT_CAP","FQ1 2017","FQ1 2017","Currency=INR","Period=FQ","BEST_FPERIOD_OVERRIDE=FQ","FILING_STATUS=OR","EQY_CONSOLIDATED=Y","Sort=A","Dates=H","DateFormat=P","Fill=—","Direction=H","UseDPDF=Y")</f>
        <v>#NAME?</v>
      </c>
      <c r="CM394" s="2" t="e">
        <f ca="1">_xll.BDH($C$378,"TOT_DEBT_TO_TOT_ASSET","FQ1 2017","FQ1 2017","Currency=INR","Period=FQ","BEST_FPERIOD_OVERRIDE=FQ","FILING_STATUS=OR","EQY_CONSOLIDATED=Y","Sort=A","Dates=H","DateFormat=P","Fill=—","Direction=H","UseDPDF=Y")</f>
        <v>#NAME?</v>
      </c>
      <c r="CN394" s="2" t="e">
        <f ca="1">_xll.BDH($C$378,"NET_DEBT_TO_SHRHLDR_EQTY","FQ1 2017","FQ1 2017","Currency=INR","Period=FQ","BEST_FPERIOD_OVERRIDE=FQ","FILING_STATUS=OR","EQY_CONSOLIDATED=Y","Sort=A","Dates=H","DateFormat=P","Fill=—","Direction=H","UseDPDF=Y")</f>
        <v>#NAME?</v>
      </c>
      <c r="CO394" s="2" t="e">
        <f ca="1">_xll.BDH($C$378,"NET_DEBT_%_CAPITAL","FQ1 2017","FQ1 2017","Currency=INR","Period=FQ","BEST_FPERIOD_OVERRIDE=FQ","FILING_STATUS=OR","EQY_CONSOLIDATED=Y","Sort=A","Dates=H","DateFormat=P","Fill=—","Direction=H","UseDPDF=Y")</f>
        <v>#NAME?</v>
      </c>
      <c r="CP394" s="3" t="e">
        <f ca="1">_xll.BDH($C$378,"EBITDA","FQ1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394" s="3" t="e">
        <f ca="1">_xll.BDH($C$378,"EBITDA_AFTER_CAPEX","FQ1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394" s="3" t="e">
        <f ca="1">_xll.BDH($C$378,"IS_OPER_INC","FQ1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394" s="2" t="e">
        <f ca="1">_xll.BDH($C$378,"CASH_RATIO","FQ1 2017","FQ1 2017","Currency=INR","Period=FQ","BEST_FPERIOD_OVERRIDE=FQ","FILING_STATUS=OR","EQY_CONSOLIDATED=Y","Sort=A","Dates=H","DateFormat=P","Fill=—","Direction=H","UseDPDF=Y")</f>
        <v>#NAME?</v>
      </c>
      <c r="CT394" s="2" t="e">
        <f ca="1">_xll.BDH($C$378,"CUR_RATIO","FQ1 2017","FQ1 2017","Currency=INR","Period=FQ","BEST_FPERIOD_OVERRIDE=FQ","FILING_STATUS=OR","EQY_CONSOLIDATED=Y","Sort=A","Dates=H","DateFormat=P","Fill=—","Direction=H","UseDPDF=Y")</f>
        <v>#NAME?</v>
      </c>
      <c r="CU394" s="2" t="e">
        <f ca="1">_xll.BDH($C$378,"QUICK_RATIO","FQ1 2017","FQ1 2017","Currency=INR","Period=FQ","BEST_FPERIOD_OVERRIDE=FQ","FILING_STATUS=OR","EQY_CONSOLIDATED=Y","Sort=A","Dates=H","DateFormat=P","Fill=—","Direction=H","UseDPDF=Y")</f>
        <v>#NAME?</v>
      </c>
      <c r="CV394" s="2" t="e">
        <f ca="1">_xll.BDH($C$378,"ALTMAN_Z_SCORE","FQ1 2017","FQ1 2017","Currency=INR","Period=FQ","BEST_FPERIOD_OVERRIDE=FQ","FILING_STATUS=OR","EQY_CONSOLIDATED=Y","Sort=A","Dates=H","DateFormat=P","Fill=—","Direction=H","UseDPDF=Y")</f>
        <v>#NAME?</v>
      </c>
      <c r="CW394" s="4" t="e">
        <f ca="1">_xll.BDH($C$378,"ACCT_RCV_TURN","FQ1 2017","FQ1 2017","Currency=INR","Period=FQ","BEST_FPERIOD_OVERRIDE=FQ","FILING_STATUS=OR","EQY_CONSOLIDATED=Y","FA_ADJUSTED=GAAP","Sort=A","Dates=H","DateFormat=P","Fill=—","Direction=H","UseDPDF=Y")</f>
        <v>#NAME?</v>
      </c>
      <c r="CX394" s="2" t="e">
        <f ca="1">_xll.BDH($C$378,"ACCT_RCV_DAYS","FQ1 2017","FQ1 2017","Currency=INR","Period=FQ","BEST_FPERIOD_OVERRIDE=FQ","FILING_STATUS=OR","EQY_CONSOLIDATED=Y","FA_ADJUSTED=GAAP","Sort=A","Dates=H","DateFormat=P","Fill=—","Direction=H","UseDPDF=Y")</f>
        <v>#NAME?</v>
      </c>
      <c r="CY394" s="4" t="e">
        <f ca="1">_xll.BDH($C$378,"INVENT_TURN","FQ1 2017","FQ1 2017","Currency=INR","Period=FQ","BEST_FPERIOD_OVERRIDE=FQ","FILING_STATUS=OR","EQY_CONSOLIDATED=Y","FA_ADJUSTED=GAAP","Sort=A","Dates=H","DateFormat=P","Fill=—","Direction=H","UseDPDF=Y")</f>
        <v>#NAME?</v>
      </c>
      <c r="CZ394" s="2" t="e">
        <f ca="1">_xll.BDH($C$378,"INVENT_DAYS","FQ1 2017","FQ1 2017","Currency=INR","Period=FQ","BEST_FPERIOD_OVERRIDE=FQ","FILING_STATUS=OR","EQY_CONSOLIDATED=Y","FA_ADJUSTED=GAAP","Sort=A","Dates=H","DateFormat=P","Fill=—","Direction=H","UseDPDF=Y")</f>
        <v>#NAME?</v>
      </c>
      <c r="DA394" s="4" t="e">
        <f ca="1">_xll.BDH($C$378,"ACCOUNTS_PAYABLE_TURNOVER","FQ1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394" s="2" t="e">
        <f ca="1">_xll.BDH($C$378,"ACCOUNTS_PAYABLE_TURNOVER_DAYS","FQ1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394" s="4" t="e">
        <f ca="1">_xll.BDH($C$378,"CASH_CONVERSION_CYCLE","FQ1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394" s="4" t="e">
        <f ca="1">_xll.BDH($C$378,"INV_TO_CASH_DAYS","FQ1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394" s="5" t="e">
        <f ca="1">_xll.BDH($C$378,"BS_INVENTORIES","FQ1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394" s="3" t="e">
        <f ca="1">_xll.BDH($C$378,"INVTRY_RAW_MATERIALS","FQ1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394" s="3" t="e">
        <f ca="1">_xll.BDH($C$378,"INVTRY_IN_PROGRESS","FQ1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394" s="3" t="e">
        <f ca="1">_xll.BDH($C$378,"INVTRY_FINISHED_GOODS","FQ1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394" s="3" t="e">
        <f ca="1">_xll.BDH($C$378,"BS_OTHER_INV","FQ1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395" spans="1:113" x14ac:dyDescent="0.3">
      <c r="A395" s="6"/>
      <c r="B395" s="6"/>
      <c r="C395" s="6"/>
      <c r="D395" s="6"/>
      <c r="E395" t="s">
        <v>79</v>
      </c>
      <c r="F395" t="e">
        <f ca="1">_xll.BDH($C$378,"RETURN_COM_EQY","FQ2 2017","FQ2 2017","Currency=INR","Period=FQ","BEST_FPERIOD_OVERRIDE=FQ","FILING_STATUS=OR","EQY_CONSOLIDATED=Y","FA_ADJUSTED=GAAP","Sort=A","Dates=H","DateFormat=P","Fill=—","Direction=H","UseDPDF=Y")</f>
        <v>#NAME?</v>
      </c>
      <c r="G395" t="e">
        <f ca="1">_xll.BDH($C$378,"RETURN_ON_ASSET","FQ2 2017","FQ2 2017","Currency=INR","Period=FQ","BEST_FPERIOD_OVERRIDE=FQ","FILING_STATUS=OR","EQY_CONSOLIDATED=Y","FA_ADJUSTED=GAAP","Sort=A","Dates=H","DateFormat=P","Fill=—","Direction=H","UseDPDF=Y")</f>
        <v>#NAME?</v>
      </c>
      <c r="H395" t="e">
        <f ca="1">_xll.BDH($C$378,"RETURN_ON_CAP","FQ2 2017","FQ2 2017","Currency=INR","Period=FQ","BEST_FPERIOD_OVERRIDE=FQ","FILING_STATUS=OR","EQY_CONSOLIDATED=Y","FA_ADJUSTED=GAAP","Sort=A","Dates=H","DateFormat=P","Fill=—","Direction=H","UseDPDF=Y")</f>
        <v>#NAME?</v>
      </c>
      <c r="I395" t="e">
        <f ca="1">_xll.BDH($C$378,"RETURN_ON_INV_CAPITAL","FQ2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395" t="e">
        <f ca="1">_xll.BDH($C$378,"EBITDA_TO_REVENUE","FQ2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395" t="e">
        <f ca="1">_xll.BDH($C$378,"OPER_MARGIN","FQ2 2017","FQ2 2017","Currency=INR","Period=FQ","BEST_FPERIOD_OVERRIDE=FQ","FILING_STATUS=OR","EQY_CONSOLIDATED=Y","FA_ADJUSTED=GAAP","Sort=A","Dates=H","DateFormat=P","Fill=—","Direction=H","UseDPDF=Y")</f>
        <v>#NAME?</v>
      </c>
      <c r="L395" t="e">
        <f ca="1">_xll.BDH($C$378,"INCREMENTAL_OPERATING_MARGIN","FQ2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395" t="e">
        <f ca="1">_xll.BDH($C$378,"PRETAX_INC_TO_NET_SALES","FQ2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395" t="e">
        <f ca="1">_xll.BDH($C$378,"INC_BEF_XO_ITEMS_TO_NET_SALES","FQ2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395" t="e">
        <f ca="1">_xll.BDH($C$378,"PROF_MARGIN","FQ2 2017","FQ2 2017","Currency=INR","Period=FQ","BEST_FPERIOD_OVERRIDE=FQ","FILING_STATUS=OR","EQY_CONSOLIDATED=Y","FA_ADJUSTED=GAAP","Sort=A","Dates=H","DateFormat=P","Fill=—","Direction=H","UseDPDF=Y")</f>
        <v>#NAME?</v>
      </c>
      <c r="P395" t="e">
        <f ca="1">_xll.BDH($C$378,"NET_INCOME_TO_COMMON_MARGIN","FQ2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395" t="e">
        <f ca="1">_xll.BDH($C$378,"EFF_TAX_RATE","FQ2 2017","FQ2 2017","Currency=INR","Period=FQ","BEST_FPERIOD_OVERRIDE=FQ","FILING_STATUS=OR","EQY_CONSOLIDATED=Y","FA_ADJUSTED=GAAP","Sort=A","Dates=H","DateFormat=P","Fill=—","Direction=H","UseDPDF=Y")</f>
        <v>#NAME?</v>
      </c>
      <c r="R395" t="e">
        <f ca="1">_xll.BDH($C$378,"DVD_PAYOUT_RATIO","FQ2 2017","FQ2 2017","Currency=INR","Period=FQ","BEST_FPERIOD_OVERRIDE=FQ","FILING_STATUS=OR","EQY_CONSOLIDATED=Y","FA_ADJUSTED=GAAP","Sort=A","Dates=H","DateFormat=P","Fill=—","Direction=H","UseDPDF=Y")</f>
        <v>#NAME?</v>
      </c>
      <c r="S395" t="e">
        <f ca="1">_xll.BDH($C$378,"SUSTAIN_GROWTH_RT","FQ2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395" s="2" t="e">
        <f ca="1">_xll.BDH($C$378,"SALES_GROWTH","FQ2 2017","FQ2 2017","Currency=INR","Period=FQ","BEST_FPERIOD_OVERRIDE=FQ","FILING_STATUS=OR","EQY_CONSOLIDATED=Y","FA_ADJUSTED=GAAP","Sort=A","Dates=H","DateFormat=P","Fill=—","Direction=H","UseDPDF=Y")</f>
        <v>#NAME?</v>
      </c>
      <c r="U395" s="2" t="e">
        <f ca="1">_xll.BDH($C$378,"EBITDA_GROWTH","FQ2 2017","FQ2 2017","Currency=INR","Period=FQ","BEST_FPERIOD_OVERRIDE=FQ","FILING_STATUS=OR","EQY_CONSOLIDATED=Y","FA_ADJUSTED=GAAP","Sort=A","Dates=H","DateFormat=P","Fill=—","Direction=H","UseDPDF=Y")</f>
        <v>#NAME?</v>
      </c>
      <c r="V395" s="2" t="e">
        <f ca="1">_xll.BDH($C$378,"OPER_INC_GROWTH","FQ2 2017","FQ2 2017","Currency=INR","Period=FQ","BEST_FPERIOD_OVERRIDE=FQ","FILING_STATUS=OR","EQY_CONSOLIDATED=Y","FA_ADJUSTED=GAAP","Sort=A","Dates=H","DateFormat=P","Fill=—","Direction=H","UseDPDF=Y")</f>
        <v>#NAME?</v>
      </c>
      <c r="W395" s="2" t="e">
        <f ca="1">_xll.BDH($C$378,"EARN_FOR_COM_GROWTH","FQ2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395" s="2" t="e">
        <f ca="1">_xll.BDH($C$378,"DILUTED_EPS_AFT_XO_ITEMS_GROWTH","FQ2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395" s="2" t="e">
        <f ca="1">_xll.BDH($C$378,"DIVIDEND_PER_SHARE_1_YEAR_GROWTH","FQ2 2017","FQ2 2017","Currency=INR","Period=FQ","BEST_FPERIOD_OVERRIDE=FQ","FILING_STATUS=OR","EQY_CONSOLIDATED=Y","Sort=A","Dates=H","DateFormat=P","Fill=—","Direction=H","UseDPDF=Y")</f>
        <v>#NAME?</v>
      </c>
      <c r="Z395" s="2" t="e">
        <f ca="1">_xll.BDH($C$378,"ACCOUNTS_RECEIVABLE_GROWTH","FQ2 2017","FQ2 2017","Currency=INR","Period=FQ","BEST_FPERIOD_OVERRIDE=FQ","FILING_STATUS=OR","EQY_CONSOLIDATED=Y","Sort=A","Dates=H","DateFormat=P","Fill=—","Direction=H","UseDPDF=Y")</f>
        <v>#NAME?</v>
      </c>
      <c r="AA395" s="2" t="e">
        <f ca="1">_xll.BDH($C$378,"INVENTORY_GROWTH","FQ2 2017","FQ2 2017","Currency=INR","Period=FQ","BEST_FPERIOD_OVERRIDE=FQ","FILING_STATUS=OR","EQY_CONSOLIDATED=Y","Sort=A","Dates=H","DateFormat=P","Fill=—","Direction=H","UseDPDF=Y")</f>
        <v>#NAME?</v>
      </c>
      <c r="AB395" s="2" t="e">
        <f ca="1">_xll.BDH($C$378,"NET_FIXED_ASSETS_1_YEAR_GROWTH","FQ2 2017","FQ2 2017","Currency=INR","Period=FQ","BEST_FPERIOD_OVERRIDE=FQ","FILING_STATUS=OR","EQY_CONSOLIDATED=Y","Sort=A","Dates=H","DateFormat=P","Fill=—","Direction=H","UseDPDF=Y")</f>
        <v>#NAME?</v>
      </c>
      <c r="AC395" s="2" t="e">
        <f ca="1">_xll.BDH($C$378,"ASSET_GROWTH","FQ2 2017","FQ2 2017","Currency=INR","Period=FQ","BEST_FPERIOD_OVERRIDE=FQ","FILING_STATUS=OR","EQY_CONSOLIDATED=Y","Sort=A","Dates=H","DateFormat=P","Fill=—","Direction=H","UseDPDF=Y")</f>
        <v>#NAME?</v>
      </c>
      <c r="AD395" s="2" t="e">
        <f ca="1">_xll.BDH($C$378,"MODIFIED_WORK_CAP_GROWTH","FQ2 2017","FQ2 2017","Currency=INR","Period=FQ","BEST_FPERIOD_OVERRIDE=FQ","FILING_STATUS=OR","EQY_CONSOLIDATED=Y","Sort=A","Dates=H","DateFormat=P","Fill=—","Direction=H","UseDPDF=Y")</f>
        <v>#NAME?</v>
      </c>
      <c r="AE395" s="2" t="e">
        <f ca="1">_xll.BDH($C$378,"WORK_CAP_GROWTH","FQ2 2017","FQ2 2017","Currency=INR","Period=FQ","BEST_FPERIOD_OVERRIDE=FQ","FILING_STATUS=OR","EQY_CONSOLIDATED=Y","Sort=A","Dates=H","DateFormat=P","Fill=—","Direction=H","UseDPDF=Y")</f>
        <v>#NAME?</v>
      </c>
      <c r="AF395" s="2" t="e">
        <f ca="1">_xll.BDH($C$378,"ACCOUNTS_PAYABLE_GROWTH_1YR","FQ2 2017","FQ2 2017","Currency=INR","Period=FQ","BEST_FPERIOD_OVERRIDE=FQ","FILING_STATUS=OR","EQY_CONSOLIDATED=Y","Sort=A","Dates=H","DateFormat=P","Fill=—","Direction=H","UseDPDF=Y")</f>
        <v>#NAME?</v>
      </c>
      <c r="AG395" s="2" t="e">
        <f ca="1">_xll.BDH($C$378,"SHORT_TERM_DEBT_1_YEAR_GROWTH","FQ2 2017","FQ2 2017","Currency=INR","Period=FQ","BEST_FPERIOD_OVERRIDE=FQ","FILING_STATUS=OR","EQY_CONSOLIDATED=Y","Sort=A","Dates=H","DateFormat=P","Fill=—","Direction=H","UseDPDF=Y")</f>
        <v>#NAME?</v>
      </c>
      <c r="AH395" s="2" t="e">
        <f ca="1">_xll.BDH($C$378,"TOTAL_DEBT_1_YEAR_GROWTH","FQ2 2017","FQ2 2017","Currency=INR","Period=FQ","BEST_FPERIOD_OVERRIDE=FQ","FILING_STATUS=OR","EQY_CONSOLIDATED=Y","Sort=A","Dates=H","DateFormat=P","Fill=—","Direction=H","UseDPDF=Y")</f>
        <v>#NAME?</v>
      </c>
      <c r="AI395" s="2" t="e">
        <f ca="1">_xll.BDH($C$378,"TOTAL_EQUITY_1_YEAR_GROWTH","FQ2 2017","FQ2 2017","Currency=INR","Period=FQ","BEST_FPERIOD_OVERRIDE=FQ","FILING_STATUS=OR","EQY_CONSOLIDATED=Y","Sort=A","Dates=H","DateFormat=P","Fill=—","Direction=H","UseDPDF=Y")</f>
        <v>#NAME?</v>
      </c>
      <c r="AJ395" s="2" t="e">
        <f ca="1">_xll.BDH($C$378,"GROWTH_IN_CAP","FQ2 2017","FQ2 2017","Currency=INR","Period=FQ","BEST_FPERIOD_OVERRIDE=FQ","FILING_STATUS=OR","EQY_CONSOLIDATED=Y","Sort=A","Dates=H","DateFormat=P","Fill=—","Direction=H","UseDPDF=Y")</f>
        <v>#NAME?</v>
      </c>
      <c r="AK395" s="2" t="e">
        <f ca="1">_xll.BDH($C$378,"BVPS_GROWTH","FQ2 2017","FQ2 2017","Currency=INR","Period=FQ","BEST_FPERIOD_OVERRIDE=FQ","FILING_STATUS=OR","EQY_CONSOLIDATED=Y","Sort=A","Dates=H","DateFormat=P","Fill=—","Direction=H","UseDPDF=Y")</f>
        <v>#NAME?</v>
      </c>
      <c r="AL395" s="2" t="e">
        <f ca="1">_xll.BDH($C$378,"CASH_FLOW_GROWTH","FQ2 2017","FQ2 2017","Currency=INR","Period=FQ","BEST_FPERIOD_OVERRIDE=FQ","FILING_STATUS=OR","EQY_CONSOLIDATED=Y","Sort=A","Dates=H","DateFormat=P","Fill=—","Direction=H","UseDPDF=Y")</f>
        <v>#NAME?</v>
      </c>
      <c r="AM395" s="2" t="e">
        <f ca="1">_xll.BDH($C$378,"GEO_GROW_NET_SALES","FQ2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395" s="2" t="e">
        <f ca="1">_xll.BDH($C$378,"GEO_GROW_EBITDA","FQ2 2017","FQ2 2017","Currency=INR","Period=FQ","BEST_FPERIOD_OVERRIDE=FQ","FILING_STATUS=OR","EQY_CONSOLIDATED=Y","FA_ADJUSTED=GAAP","Sort=A","Dates=H","DateFormat=P","Fill=—","Direction=H","UseDPDF=Y")</f>
        <v>#NAME?</v>
      </c>
      <c r="AO395" s="2" t="e">
        <f ca="1">_xll.BDH($C$378,"GEO_GROW_OPER_INC","FQ2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395" s="2" t="e">
        <f ca="1">_xll.BDH($C$378,"NET_INCOME_TO_COMMON_5_YR_GROWTH","FQ2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395" s="2" t="e">
        <f ca="1">_xll.BDH($C$378,"5Y_GEO_GROWTH_DILUTED_EPS","FQ2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395" s="2" t="e">
        <f ca="1">_xll.BDH($C$378,"GEO_GROW_DVD_PER_SH","FQ2 2017","FQ2 2017","Currency=INR","Period=FQ","BEST_FPERIOD_OVERRIDE=FQ","FILING_STATUS=OR","EQY_CONSOLIDATED=Y","Sort=A","Dates=H","DateFormat=P","Fill=—","Direction=H","UseDPDF=Y")</f>
        <v>#NAME?</v>
      </c>
      <c r="AS395" s="2" t="e">
        <f ca="1">_xll.BDH($C$378,"ACCOUNTS_RECEIVABLE_5_YR_GROWTH","FQ2 2017","FQ2 2017","Currency=INR","Period=FQ","BEST_FPERIOD_OVERRIDE=FQ","FILING_STATUS=OR","EQY_CONSOLIDATED=Y","Sort=A","Dates=H","DateFormat=P","Fill=—","Direction=H","UseDPDF=Y")</f>
        <v>#NAME?</v>
      </c>
      <c r="AT395" s="2" t="e">
        <f ca="1">_xll.BDH($C$378,"INVENTORY_5_YEAR_GROWTH","FQ2 2017","FQ2 2017","Currency=INR","Period=FQ","BEST_FPERIOD_OVERRIDE=FQ","FILING_STATUS=OR","EQY_CONSOLIDATED=Y","Sort=A","Dates=H","DateFormat=P","Fill=—","Direction=H","UseDPDF=Y")</f>
        <v>#NAME?</v>
      </c>
      <c r="AU395" s="2" t="e">
        <f ca="1">_xll.BDH($C$378,"NET_FIXED_ASSETS_5_YEAR_GROWTH","FQ2 2017","FQ2 2017","Currency=INR","Period=FQ","BEST_FPERIOD_OVERRIDE=FQ","FILING_STATUS=OR","EQY_CONSOLIDATED=Y","Sort=A","Dates=H","DateFormat=P","Fill=—","Direction=H","UseDPDF=Y")</f>
        <v>#NAME?</v>
      </c>
      <c r="AV395" s="2" t="e">
        <f ca="1">_xll.BDH($C$378,"GEO_GROW_TOT_ASSET","FQ2 2017","FQ2 2017","Currency=INR","Period=FQ","BEST_FPERIOD_OVERRIDE=FQ","FILING_STATUS=OR","EQY_CONSOLIDATED=Y","Sort=A","Dates=H","DateFormat=P","Fill=—","Direction=H","UseDPDF=Y")</f>
        <v>#NAME?</v>
      </c>
      <c r="AW395" s="2" t="e">
        <f ca="1">_xll.BDH($C$378,"MODIFIED_WORKING_CPTL_5YR_GRWTH","FQ2 2017","FQ2 2017","Currency=INR","Period=FQ","BEST_FPERIOD_OVERRIDE=FQ","FILING_STATUS=OR","EQY_CONSOLIDATED=Y","Sort=A","Dates=H","DateFormat=P","Fill=—","Direction=H","UseDPDF=Y")</f>
        <v>#NAME?</v>
      </c>
      <c r="AX395" s="2" t="e">
        <f ca="1">_xll.BDH($C$378,"WORKING_CAPITAL_5_YEAR_GROWTH","FQ2 2017","FQ2 2017","Currency=INR","Period=FQ","BEST_FPERIOD_OVERRIDE=FQ","FILING_STATUS=OR","EQY_CONSOLIDATED=Y","Sort=A","Dates=H","DateFormat=P","Fill=—","Direction=H","UseDPDF=Y")</f>
        <v>#NAME?</v>
      </c>
      <c r="AY395" s="2" t="e">
        <f ca="1">_xll.BDH($C$378,"ACCOUNTS_PAYABLE_5_YEAR_GROWTH","FQ2 2017","FQ2 2017","Currency=INR","Period=FQ","BEST_FPERIOD_OVERRIDE=FQ","FILING_STATUS=OR","EQY_CONSOLIDATED=Y","Sort=A","Dates=H","DateFormat=P","Fill=—","Direction=H","UseDPDF=Y")</f>
        <v>#NAME?</v>
      </c>
      <c r="AZ395" s="2" t="e">
        <f ca="1">_xll.BDH($C$378,"SHORT_TERM_DEBT_5_YEAR_GROWTH","FQ2 2017","FQ2 2017","Currency=INR","Period=FQ","BEST_FPERIOD_OVERRIDE=FQ","FILING_STATUS=OR","EQY_CONSOLIDATED=Y","Sort=A","Dates=H","DateFormat=P","Fill=—","Direction=H","UseDPDF=Y")</f>
        <v>#NAME?</v>
      </c>
      <c r="BA395" s="2" t="e">
        <f ca="1">_xll.BDH($C$378,"TOTAL_DEBT_5_YEAR_GROWTH","FQ2 2017","FQ2 2017","Currency=INR","Period=FQ","BEST_FPERIOD_OVERRIDE=FQ","FILING_STATUS=OR","EQY_CONSOLIDATED=Y","Sort=A","Dates=H","DateFormat=P","Fill=—","Direction=H","UseDPDF=Y")</f>
        <v>#NAME?</v>
      </c>
      <c r="BB395" s="2" t="e">
        <f ca="1">_xll.BDH($C$378,"GEO_GROW_TOT_SHRHLDR_EQY","FQ2 2017","FQ2 2017","Currency=INR","Period=FQ","BEST_FPERIOD_OVERRIDE=FQ","FILING_STATUS=OR","EQY_CONSOLIDATED=Y","Sort=A","Dates=H","DateFormat=P","Fill=—","Direction=H","UseDPDF=Y")</f>
        <v>#NAME?</v>
      </c>
      <c r="BC395" s="2" t="e">
        <f ca="1">_xll.BDH($C$378,"TOTAL_CAPITAL_5_YEAR_GROWTH","FQ2 2017","FQ2 2017","Currency=INR","Period=FQ","BEST_FPERIOD_OVERRIDE=FQ","FILING_STATUS=OR","EQY_CONSOLIDATED=Y","Sort=A","Dates=H","DateFormat=P","Fill=—","Direction=H","UseDPDF=Y")</f>
        <v>#NAME?</v>
      </c>
      <c r="BD395" s="2" t="e">
        <f ca="1">_xll.BDH($C$378,"GEO_GROW_BOOK_VAL","FQ2 2017","FQ2 2017","Currency=INR","Period=FQ","BEST_FPERIOD_OVERRIDE=FQ","FILING_STATUS=OR","EQY_CONSOLIDATED=Y","Sort=A","Dates=H","DateFormat=P","Fill=—","Direction=H","UseDPDF=Y")</f>
        <v>#NAME?</v>
      </c>
      <c r="BE395" s="2" t="e">
        <f ca="1">_xll.BDH($C$378,"GEO_GROW_CASH_OPER_ACT","FQ2 2017","FQ2 2017","Currency=INR","Period=FQ","BEST_FPERIOD_OVERRIDE=FQ","FILING_STATUS=OR","EQY_CONSOLIDATED=Y","Sort=A","Dates=H","DateFormat=P","Fill=—","Direction=H","UseDPDF=Y")</f>
        <v>#NAME?</v>
      </c>
      <c r="BF395" s="2" t="e">
        <f ca="1">_xll.BDH($C$378,"REVENUE_SEQUENTIAL_GROWTH","FQ2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395" s="2" t="e">
        <f ca="1">_xll.BDH($C$378,"EBITDA_SEQUENTIAL_GROWTH","FQ2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395" s="2" t="e">
        <f ca="1">_xll.BDH($C$378,"OPERATING_INCOME_SEQ_GROWTH","FQ2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395" s="2" t="e">
        <f ca="1">_xll.BDH($C$378,"NET_INCOME_TO_COMMON_SEQ_GROWTH","FQ2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395" s="2" t="e">
        <f ca="1">_xll.BDH($C$378,"EPS_DILUTED_SEQUENTIAL_GROWTH","FQ2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395" s="2" t="e">
        <f ca="1">_xll.BDH($C$378,"DPS_SEQUENTIAL_GROWTH","FQ2 2017","FQ2 2017","Currency=INR","Period=FQ","BEST_FPERIOD_OVERRIDE=FQ","FILING_STATUS=OR","EQY_CONSOLIDATED=Y","Sort=A","Dates=H","DateFormat=P","Fill=—","Direction=H","UseDPDF=Y")</f>
        <v>#NAME?</v>
      </c>
      <c r="BL395" s="2" t="e">
        <f ca="1">_xll.BDH($C$378,"ACCOUNTS_RECEIVABLE_SEQ_GROWTH","FQ2 2017","FQ2 2017","Currency=INR","Period=FQ","BEST_FPERIOD_OVERRIDE=FQ","FILING_STATUS=OR","EQY_CONSOLIDATED=Y","Sort=A","Dates=H","DateFormat=P","Fill=—","Direction=H","UseDPDF=Y")</f>
        <v>#NAME?</v>
      </c>
      <c r="BM395" s="2" t="e">
        <f ca="1">_xll.BDH($C$378,"INVENTORY_SEQUENTIAL_GROWTH","FQ2 2017","FQ2 2017","Currency=INR","Period=FQ","BEST_FPERIOD_OVERRIDE=FQ","FILING_STATUS=OR","EQY_CONSOLIDATED=Y","Sort=A","Dates=H","DateFormat=P","Fill=—","Direction=H","UseDPDF=Y")</f>
        <v>#NAME?</v>
      </c>
      <c r="BN395" s="2" t="e">
        <f ca="1">_xll.BDH($C$378,"FIXED_ASSETS_SEQUENTIAL_GROWTH","FQ2 2017","FQ2 2017","Currency=INR","Period=FQ","BEST_FPERIOD_OVERRIDE=FQ","FILING_STATUS=OR","EQY_CONSOLIDATED=Y","Sort=A","Dates=H","DateFormat=P","Fill=—","Direction=H","UseDPDF=Y")</f>
        <v>#NAME?</v>
      </c>
      <c r="BO395" s="2" t="e">
        <f ca="1">_xll.BDH($C$378,"TOTAL_ASSETS_SEQUENTIAL_GROWTH","FQ2 2017","FQ2 2017","Currency=INR","Period=FQ","BEST_FPERIOD_OVERRIDE=FQ","FILING_STATUS=OR","EQY_CONSOLIDATED=Y","Sort=A","Dates=H","DateFormat=P","Fill=—","Direction=H","UseDPDF=Y")</f>
        <v>#NAME?</v>
      </c>
      <c r="BP395" s="2" t="e">
        <f ca="1">_xll.BDH($C$378,"MODIFIED_WORKING_CPTL_SEQ_GRWTH","FQ2 2017","FQ2 2017","Currency=INR","Period=FQ","BEST_FPERIOD_OVERRIDE=FQ","FILING_STATUS=OR","EQY_CONSOLIDATED=Y","Sort=A","Dates=H","DateFormat=P","Fill=—","Direction=H","UseDPDF=Y")</f>
        <v>#NAME?</v>
      </c>
      <c r="BQ395" s="2" t="e">
        <f ca="1">_xll.BDH($C$378,"WORKING_CAPITAL_SEQ_GROWTH","FQ2 2017","FQ2 2017","Currency=INR","Period=FQ","BEST_FPERIOD_OVERRIDE=FQ","FILING_STATUS=OR","EQY_CONSOLIDATED=Y","Sort=A","Dates=H","DateFormat=P","Fill=—","Direction=H","UseDPDF=Y")</f>
        <v>#NAME?</v>
      </c>
      <c r="BR395" s="2" t="e">
        <f ca="1">_xll.BDH($C$378,"ACCOUNTS_PAYABLE_SEQ_GROWTH","FQ2 2017","FQ2 2017","Currency=INR","Period=FQ","BEST_FPERIOD_OVERRIDE=FQ","FILING_STATUS=OR","EQY_CONSOLIDATED=Y","Sort=A","Dates=H","DateFormat=P","Fill=—","Direction=H","UseDPDF=Y")</f>
        <v>#NAME?</v>
      </c>
      <c r="BS395" s="2" t="e">
        <f ca="1">_xll.BDH($C$378,"ST_DEBT_SEQUENTIAL_GROWTH","FQ2 2017","FQ2 2017","Currency=INR","Period=FQ","BEST_FPERIOD_OVERRIDE=FQ","FILING_STATUS=OR","EQY_CONSOLIDATED=Y","Sort=A","Dates=H","DateFormat=P","Fill=—","Direction=H","UseDPDF=Y")</f>
        <v>#NAME?</v>
      </c>
      <c r="BT395" s="2" t="e">
        <f ca="1">_xll.BDH($C$378,"TOTAL_DEBT_SEQUENTIAL_GROWTH","FQ2 2017","FQ2 2017","Currency=INR","Period=FQ","BEST_FPERIOD_OVERRIDE=FQ","FILING_STATUS=OR","EQY_CONSOLIDATED=Y","Sort=A","Dates=H","DateFormat=P","Fill=—","Direction=H","UseDPDF=Y")</f>
        <v>#NAME?</v>
      </c>
      <c r="BU395" s="2" t="e">
        <f ca="1">_xll.BDH($C$378,"TOTAL_EQUITY_SEQUENTIAL_GROWTH","FQ2 2017","FQ2 2017","Currency=INR","Period=FQ","BEST_FPERIOD_OVERRIDE=FQ","FILING_STATUS=OR","EQY_CONSOLIDATED=Y","Sort=A","Dates=H","DateFormat=P","Fill=—","Direction=H","UseDPDF=Y")</f>
        <v>#NAME?</v>
      </c>
      <c r="BV395" s="2" t="e">
        <f ca="1">_xll.BDH($C$378,"TOTAL_CAPITAL_SEQUENTIAL_GROWTH","FQ2 2017","FQ2 2017","Currency=INR","Period=FQ","BEST_FPERIOD_OVERRIDE=FQ","FILING_STATUS=OR","EQY_CONSOLIDATED=Y","Sort=A","Dates=H","DateFormat=P","Fill=—","Direction=H","UseDPDF=Y")</f>
        <v>#NAME?</v>
      </c>
      <c r="BW395" s="2" t="e">
        <f ca="1">_xll.BDH($C$378,"BPS_SEQUENTIAL_GROWTH","FQ2 2017","FQ2 2017","Currency=INR","Period=FQ","BEST_FPERIOD_OVERRIDE=FQ","FILING_STATUS=OR","EQY_CONSOLIDATED=Y","Sort=A","Dates=H","DateFormat=P","Fill=—","Direction=H","UseDPDF=Y")</f>
        <v>#NAME?</v>
      </c>
      <c r="BX395" s="2" t="e">
        <f ca="1">_xll.BDH($C$378,"CFO_SEQUENTIAL_GROWTH","FQ2 2017","FQ2 2017","Currency=INR","Period=FQ","BEST_FPERIOD_OVERRIDE=FQ","FILING_STATUS=OR","EQY_CONSOLIDATED=Y","Sort=A","Dates=H","DateFormat=P","Fill=—","Direction=H","UseDPDF=Y")</f>
        <v>#NAME?</v>
      </c>
      <c r="BY395" s="3" t="e">
        <f ca="1">_xll.BDH($C$378,"SHORT_AND_LONG_TERM_DEBT","FQ2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395" s="3" t="e">
        <f ca="1">_xll.BDH($C$378,"BS_ST_BORROW","FQ2 2017","FQ2 2017","Currency=INR","Period=FQ","BEST_FPERIOD_OVERRIDE=FQ","FILING_STATUS=OR","EQY_CONSOLIDATED=Y","SCALING_FORMAT=MLN","Sort=A","Dates=H","DateFormat=P","Fill=—","Direction=H","UseDPDF=Y")</f>
        <v>#NAME?</v>
      </c>
      <c r="CA395" s="3" t="e">
        <f ca="1">_xll.BDH($C$378,"BS_LT_BORROW","FQ2 2017","FQ2 2017","Currency=INR","Period=FQ","BEST_FPERIOD_OVERRIDE=FQ","FILING_STATUS=OR","EQY_CONSOLIDATED=Y","SCALING_FORMAT=MLN","Sort=A","Dates=H","DateFormat=P","Fill=—","Direction=H","UseDPDF=Y")</f>
        <v>#NAME?</v>
      </c>
      <c r="CB395" s="2" t="e">
        <f ca="1">_xll.BDH($C$378,"TOT_DEBT_TO_EBITDA","FQ2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395" s="2" t="e">
        <f ca="1">_xll.BDH($C$378,"NET_DEBT_TO_EBITDA","FQ2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395" s="2" t="e">
        <f ca="1">_xll.BDH($C$378,"TOTAL_DEBT_TO_EBIT","FQ2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395" s="2" t="e">
        <f ca="1">_xll.BDH($C$378,"NET_DEBT_TO_EBIT","FQ2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395" s="2" t="e">
        <f ca="1">_xll.BDH($C$378,"EBITDA_TO_INTEREST_EXPN","FQ2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395" s="2" t="e">
        <f ca="1">_xll.BDH($C$378,"COM_EQY_TO_TOT_ASSET","FQ2 2017","FQ2 2017","Currency=INR","Period=FQ","BEST_FPERIOD_OVERRIDE=FQ","FILING_STATUS=OR","EQY_CONSOLIDATED=Y","Sort=A","Dates=H","DateFormat=P","Fill=—","Direction=H","UseDPDF=Y")</f>
        <v>#NAME?</v>
      </c>
      <c r="CH395" s="2" t="e">
        <f ca="1">_xll.BDH($C$378,"LT_DEBT_TO_TOT_EQY","FQ2 2017","FQ2 2017","Currency=INR","Period=FQ","BEST_FPERIOD_OVERRIDE=FQ","FILING_STATUS=OR","EQY_CONSOLIDATED=Y","Sort=A","Dates=H","DateFormat=P","Fill=—","Direction=H","UseDPDF=Y")</f>
        <v>#NAME?</v>
      </c>
      <c r="CI395" s="2" t="e">
        <f ca="1">_xll.BDH($C$378,"LT_DEBT_TO_TOT_CAP","FQ2 2017","FQ2 2017","Currency=INR","Period=FQ","BEST_FPERIOD_OVERRIDE=FQ","FILING_STATUS=OR","EQY_CONSOLIDATED=Y","Sort=A","Dates=H","DateFormat=P","Fill=—","Direction=H","UseDPDF=Y")</f>
        <v>#NAME?</v>
      </c>
      <c r="CJ395" s="2" t="e">
        <f ca="1">_xll.BDH($C$378,"LT_DEBT_TO_TOT_ASSET","FQ2 2017","FQ2 2017","Currency=INR","Period=FQ","BEST_FPERIOD_OVERRIDE=FQ","FILING_STATUS=OR","EQY_CONSOLIDATED=Y","Sort=A","Dates=H","DateFormat=P","Fill=—","Direction=H","UseDPDF=Y")</f>
        <v>#NAME?</v>
      </c>
      <c r="CK395" s="2" t="e">
        <f ca="1">_xll.BDH($C$378,"TOT_DEBT_TO_TOT_EQY","FQ2 2017","FQ2 2017","Currency=INR","Period=FQ","BEST_FPERIOD_OVERRIDE=FQ","FILING_STATUS=OR","EQY_CONSOLIDATED=Y","Sort=A","Dates=H","DateFormat=P","Fill=—","Direction=H","UseDPDF=Y")</f>
        <v>#NAME?</v>
      </c>
      <c r="CL395" s="2" t="e">
        <f ca="1">_xll.BDH($C$378,"TOT_DEBT_TO_TOT_CAP","FQ2 2017","FQ2 2017","Currency=INR","Period=FQ","BEST_FPERIOD_OVERRIDE=FQ","FILING_STATUS=OR","EQY_CONSOLIDATED=Y","Sort=A","Dates=H","DateFormat=P","Fill=—","Direction=H","UseDPDF=Y")</f>
        <v>#NAME?</v>
      </c>
      <c r="CM395" s="2" t="e">
        <f ca="1">_xll.BDH($C$378,"TOT_DEBT_TO_TOT_ASSET","FQ2 2017","FQ2 2017","Currency=INR","Period=FQ","BEST_FPERIOD_OVERRIDE=FQ","FILING_STATUS=OR","EQY_CONSOLIDATED=Y","Sort=A","Dates=H","DateFormat=P","Fill=—","Direction=H","UseDPDF=Y")</f>
        <v>#NAME?</v>
      </c>
      <c r="CN395" s="2" t="e">
        <f ca="1">_xll.BDH($C$378,"NET_DEBT_TO_SHRHLDR_EQTY","FQ2 2017","FQ2 2017","Currency=INR","Period=FQ","BEST_FPERIOD_OVERRIDE=FQ","FILING_STATUS=OR","EQY_CONSOLIDATED=Y","Sort=A","Dates=H","DateFormat=P","Fill=—","Direction=H","UseDPDF=Y")</f>
        <v>#NAME?</v>
      </c>
      <c r="CO395" s="2" t="e">
        <f ca="1">_xll.BDH($C$378,"NET_DEBT_%_CAPITAL","FQ2 2017","FQ2 2017","Currency=INR","Period=FQ","BEST_FPERIOD_OVERRIDE=FQ","FILING_STATUS=OR","EQY_CONSOLIDATED=Y","Sort=A","Dates=H","DateFormat=P","Fill=—","Direction=H","UseDPDF=Y")</f>
        <v>#NAME?</v>
      </c>
      <c r="CP395" s="3" t="e">
        <f ca="1">_xll.BDH($C$378,"EBITDA","FQ2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395" s="3" t="e">
        <f ca="1">_xll.BDH($C$378,"EBITDA_AFTER_CAPEX","FQ2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395" s="3" t="e">
        <f ca="1">_xll.BDH($C$378,"IS_OPER_INC","FQ2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395" s="2" t="e">
        <f ca="1">_xll.BDH($C$378,"CASH_RATIO","FQ2 2017","FQ2 2017","Currency=INR","Period=FQ","BEST_FPERIOD_OVERRIDE=FQ","FILING_STATUS=OR","EQY_CONSOLIDATED=Y","Sort=A","Dates=H","DateFormat=P","Fill=—","Direction=H","UseDPDF=Y")</f>
        <v>#NAME?</v>
      </c>
      <c r="CT395" s="2" t="e">
        <f ca="1">_xll.BDH($C$378,"CUR_RATIO","FQ2 2017","FQ2 2017","Currency=INR","Period=FQ","BEST_FPERIOD_OVERRIDE=FQ","FILING_STATUS=OR","EQY_CONSOLIDATED=Y","Sort=A","Dates=H","DateFormat=P","Fill=—","Direction=H","UseDPDF=Y")</f>
        <v>#NAME?</v>
      </c>
      <c r="CU395" s="2" t="e">
        <f ca="1">_xll.BDH($C$378,"QUICK_RATIO","FQ2 2017","FQ2 2017","Currency=INR","Period=FQ","BEST_FPERIOD_OVERRIDE=FQ","FILING_STATUS=OR","EQY_CONSOLIDATED=Y","Sort=A","Dates=H","DateFormat=P","Fill=—","Direction=H","UseDPDF=Y")</f>
        <v>#NAME?</v>
      </c>
      <c r="CV395" s="2" t="e">
        <f ca="1">_xll.BDH($C$378,"ALTMAN_Z_SCORE","FQ2 2017","FQ2 2017","Currency=INR","Period=FQ","BEST_FPERIOD_OVERRIDE=FQ","FILING_STATUS=OR","EQY_CONSOLIDATED=Y","Sort=A","Dates=H","DateFormat=P","Fill=—","Direction=H","UseDPDF=Y")</f>
        <v>#NAME?</v>
      </c>
      <c r="CW395" s="4" t="e">
        <f ca="1">_xll.BDH($C$378,"ACCT_RCV_TURN","FQ2 2017","FQ2 2017","Currency=INR","Period=FQ","BEST_FPERIOD_OVERRIDE=FQ","FILING_STATUS=OR","EQY_CONSOLIDATED=Y","FA_ADJUSTED=GAAP","Sort=A","Dates=H","DateFormat=P","Fill=—","Direction=H","UseDPDF=Y")</f>
        <v>#NAME?</v>
      </c>
      <c r="CX395" s="2" t="e">
        <f ca="1">_xll.BDH($C$378,"ACCT_RCV_DAYS","FQ2 2017","FQ2 2017","Currency=INR","Period=FQ","BEST_FPERIOD_OVERRIDE=FQ","FILING_STATUS=OR","EQY_CONSOLIDATED=Y","FA_ADJUSTED=GAAP","Sort=A","Dates=H","DateFormat=P","Fill=—","Direction=H","UseDPDF=Y")</f>
        <v>#NAME?</v>
      </c>
      <c r="CY395" s="4" t="e">
        <f ca="1">_xll.BDH($C$378,"INVENT_TURN","FQ2 2017","FQ2 2017","Currency=INR","Period=FQ","BEST_FPERIOD_OVERRIDE=FQ","FILING_STATUS=OR","EQY_CONSOLIDATED=Y","FA_ADJUSTED=GAAP","Sort=A","Dates=H","DateFormat=P","Fill=—","Direction=H","UseDPDF=Y")</f>
        <v>#NAME?</v>
      </c>
      <c r="CZ395" s="2" t="e">
        <f ca="1">_xll.BDH($C$378,"INVENT_DAYS","FQ2 2017","FQ2 2017","Currency=INR","Period=FQ","BEST_FPERIOD_OVERRIDE=FQ","FILING_STATUS=OR","EQY_CONSOLIDATED=Y","FA_ADJUSTED=GAAP","Sort=A","Dates=H","DateFormat=P","Fill=—","Direction=H","UseDPDF=Y")</f>
        <v>#NAME?</v>
      </c>
      <c r="DA395" s="4" t="e">
        <f ca="1">_xll.BDH($C$378,"ACCOUNTS_PAYABLE_TURNOVER","FQ2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395" s="2" t="e">
        <f ca="1">_xll.BDH($C$378,"ACCOUNTS_PAYABLE_TURNOVER_DAYS","FQ2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395" s="4" t="e">
        <f ca="1">_xll.BDH($C$378,"CASH_CONVERSION_CYCLE","FQ2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395" s="4" t="e">
        <f ca="1">_xll.BDH($C$378,"INV_TO_CASH_DAYS","FQ2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395" s="5" t="e">
        <f ca="1">_xll.BDH($C$378,"BS_INVENTORIES","FQ2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395" s="3" t="e">
        <f ca="1">_xll.BDH($C$378,"INVTRY_RAW_MATERIALS","FQ2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395" s="3" t="e">
        <f ca="1">_xll.BDH($C$378,"INVTRY_IN_PROGRESS","FQ2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395" s="3" t="e">
        <f ca="1">_xll.BDH($C$378,"INVTRY_FINISHED_GOODS","FQ2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395" s="3" t="e">
        <f ca="1">_xll.BDH($C$378,"BS_OTHER_INV","FQ2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396" spans="1:113" x14ac:dyDescent="0.3">
      <c r="A396" s="6"/>
      <c r="B396" s="6"/>
      <c r="C396" s="6"/>
      <c r="D396" s="6"/>
      <c r="E396" t="s">
        <v>80</v>
      </c>
      <c r="F396" t="e">
        <f ca="1">_xll.BDH($C$378,"RETURN_COM_EQY","FQ3 2017","FQ3 2017","Currency=INR","Period=FQ","BEST_FPERIOD_OVERRIDE=FQ","FILING_STATUS=OR","EQY_CONSOLIDATED=Y","FA_ADJUSTED=GAAP","Sort=A","Dates=H","DateFormat=P","Fill=—","Direction=H","UseDPDF=Y")</f>
        <v>#NAME?</v>
      </c>
      <c r="G396" t="e">
        <f ca="1">_xll.BDH($C$378,"RETURN_ON_ASSET","FQ3 2017","FQ3 2017","Currency=INR","Period=FQ","BEST_FPERIOD_OVERRIDE=FQ","FILING_STATUS=OR","EQY_CONSOLIDATED=Y","FA_ADJUSTED=GAAP","Sort=A","Dates=H","DateFormat=P","Fill=—","Direction=H","UseDPDF=Y")</f>
        <v>#NAME?</v>
      </c>
      <c r="H396" t="e">
        <f ca="1">_xll.BDH($C$378,"RETURN_ON_CAP","FQ3 2017","FQ3 2017","Currency=INR","Period=FQ","BEST_FPERIOD_OVERRIDE=FQ","FILING_STATUS=OR","EQY_CONSOLIDATED=Y","FA_ADJUSTED=GAAP","Sort=A","Dates=H","DateFormat=P","Fill=—","Direction=H","UseDPDF=Y")</f>
        <v>#NAME?</v>
      </c>
      <c r="I396" t="e">
        <f ca="1">_xll.BDH($C$378,"RETURN_ON_INV_CAPITAL","FQ3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396" t="e">
        <f ca="1">_xll.BDH($C$378,"EBITDA_TO_REVENUE","FQ3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396" t="e">
        <f ca="1">_xll.BDH($C$378,"OPER_MARGIN","FQ3 2017","FQ3 2017","Currency=INR","Period=FQ","BEST_FPERIOD_OVERRIDE=FQ","FILING_STATUS=OR","EQY_CONSOLIDATED=Y","FA_ADJUSTED=GAAP","Sort=A","Dates=H","DateFormat=P","Fill=—","Direction=H","UseDPDF=Y")</f>
        <v>#NAME?</v>
      </c>
      <c r="L396" t="e">
        <f ca="1">_xll.BDH($C$378,"INCREMENTAL_OPERATING_MARGIN","FQ3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396" t="e">
        <f ca="1">_xll.BDH($C$378,"PRETAX_INC_TO_NET_SALES","FQ3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396" t="e">
        <f ca="1">_xll.BDH($C$378,"INC_BEF_XO_ITEMS_TO_NET_SALES","FQ3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396" t="e">
        <f ca="1">_xll.BDH($C$378,"PROF_MARGIN","FQ3 2017","FQ3 2017","Currency=INR","Period=FQ","BEST_FPERIOD_OVERRIDE=FQ","FILING_STATUS=OR","EQY_CONSOLIDATED=Y","FA_ADJUSTED=GAAP","Sort=A","Dates=H","DateFormat=P","Fill=—","Direction=H","UseDPDF=Y")</f>
        <v>#NAME?</v>
      </c>
      <c r="P396" t="e">
        <f ca="1">_xll.BDH($C$378,"NET_INCOME_TO_COMMON_MARGIN","FQ3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396" t="e">
        <f ca="1">_xll.BDH($C$378,"EFF_TAX_RATE","FQ3 2017","FQ3 2017","Currency=INR","Period=FQ","BEST_FPERIOD_OVERRIDE=FQ","FILING_STATUS=OR","EQY_CONSOLIDATED=Y","FA_ADJUSTED=GAAP","Sort=A","Dates=H","DateFormat=P","Fill=—","Direction=H","UseDPDF=Y")</f>
        <v>#NAME?</v>
      </c>
      <c r="R396" t="e">
        <f ca="1">_xll.BDH($C$378,"DVD_PAYOUT_RATIO","FQ3 2017","FQ3 2017","Currency=INR","Period=FQ","BEST_FPERIOD_OVERRIDE=FQ","FILING_STATUS=OR","EQY_CONSOLIDATED=Y","FA_ADJUSTED=GAAP","Sort=A","Dates=H","DateFormat=P","Fill=—","Direction=H","UseDPDF=Y")</f>
        <v>#NAME?</v>
      </c>
      <c r="S396" t="e">
        <f ca="1">_xll.BDH($C$378,"SUSTAIN_GROWTH_RT","FQ3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396" s="2" t="e">
        <f ca="1">_xll.BDH($C$378,"SALES_GROWTH","FQ3 2017","FQ3 2017","Currency=INR","Period=FQ","BEST_FPERIOD_OVERRIDE=FQ","FILING_STATUS=OR","EQY_CONSOLIDATED=Y","FA_ADJUSTED=GAAP","Sort=A","Dates=H","DateFormat=P","Fill=—","Direction=H","UseDPDF=Y")</f>
        <v>#NAME?</v>
      </c>
      <c r="U396" s="2" t="e">
        <f ca="1">_xll.BDH($C$378,"EBITDA_GROWTH","FQ3 2017","FQ3 2017","Currency=INR","Period=FQ","BEST_FPERIOD_OVERRIDE=FQ","FILING_STATUS=OR","EQY_CONSOLIDATED=Y","FA_ADJUSTED=GAAP","Sort=A","Dates=H","DateFormat=P","Fill=—","Direction=H","UseDPDF=Y")</f>
        <v>#NAME?</v>
      </c>
      <c r="V396" s="2" t="e">
        <f ca="1">_xll.BDH($C$378,"OPER_INC_GROWTH","FQ3 2017","FQ3 2017","Currency=INR","Period=FQ","BEST_FPERIOD_OVERRIDE=FQ","FILING_STATUS=OR","EQY_CONSOLIDATED=Y","FA_ADJUSTED=GAAP","Sort=A","Dates=H","DateFormat=P","Fill=—","Direction=H","UseDPDF=Y")</f>
        <v>#NAME?</v>
      </c>
      <c r="W396" s="2" t="e">
        <f ca="1">_xll.BDH($C$378,"EARN_FOR_COM_GROWTH","FQ3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396" s="2" t="e">
        <f ca="1">_xll.BDH($C$378,"DILUTED_EPS_AFT_XO_ITEMS_GROWTH","FQ3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396" s="2" t="e">
        <f ca="1">_xll.BDH($C$378,"DIVIDEND_PER_SHARE_1_YEAR_GROWTH","FQ3 2017","FQ3 2017","Currency=INR","Period=FQ","BEST_FPERIOD_OVERRIDE=FQ","FILING_STATUS=OR","EQY_CONSOLIDATED=Y","Sort=A","Dates=H","DateFormat=P","Fill=—","Direction=H","UseDPDF=Y")</f>
        <v>#NAME?</v>
      </c>
      <c r="Z396" s="2" t="e">
        <f ca="1">_xll.BDH($C$378,"ACCOUNTS_RECEIVABLE_GROWTH","FQ3 2017","FQ3 2017","Currency=INR","Period=FQ","BEST_FPERIOD_OVERRIDE=FQ","FILING_STATUS=OR","EQY_CONSOLIDATED=Y","Sort=A","Dates=H","DateFormat=P","Fill=—","Direction=H","UseDPDF=Y")</f>
        <v>#NAME?</v>
      </c>
      <c r="AA396" s="2" t="e">
        <f ca="1">_xll.BDH($C$378,"INVENTORY_GROWTH","FQ3 2017","FQ3 2017","Currency=INR","Period=FQ","BEST_FPERIOD_OVERRIDE=FQ","FILING_STATUS=OR","EQY_CONSOLIDATED=Y","Sort=A","Dates=H","DateFormat=P","Fill=—","Direction=H","UseDPDF=Y")</f>
        <v>#NAME?</v>
      </c>
      <c r="AB396" s="2" t="e">
        <f ca="1">_xll.BDH($C$378,"NET_FIXED_ASSETS_1_YEAR_GROWTH","FQ3 2017","FQ3 2017","Currency=INR","Period=FQ","BEST_FPERIOD_OVERRIDE=FQ","FILING_STATUS=OR","EQY_CONSOLIDATED=Y","Sort=A","Dates=H","DateFormat=P","Fill=—","Direction=H","UseDPDF=Y")</f>
        <v>#NAME?</v>
      </c>
      <c r="AC396" s="2" t="e">
        <f ca="1">_xll.BDH($C$378,"ASSET_GROWTH","FQ3 2017","FQ3 2017","Currency=INR","Period=FQ","BEST_FPERIOD_OVERRIDE=FQ","FILING_STATUS=OR","EQY_CONSOLIDATED=Y","Sort=A","Dates=H","DateFormat=P","Fill=—","Direction=H","UseDPDF=Y")</f>
        <v>#NAME?</v>
      </c>
      <c r="AD396" s="2" t="e">
        <f ca="1">_xll.BDH($C$378,"MODIFIED_WORK_CAP_GROWTH","FQ3 2017","FQ3 2017","Currency=INR","Period=FQ","BEST_FPERIOD_OVERRIDE=FQ","FILING_STATUS=OR","EQY_CONSOLIDATED=Y","Sort=A","Dates=H","DateFormat=P","Fill=—","Direction=H","UseDPDF=Y")</f>
        <v>#NAME?</v>
      </c>
      <c r="AE396" s="2" t="e">
        <f ca="1">_xll.BDH($C$378,"WORK_CAP_GROWTH","FQ3 2017","FQ3 2017","Currency=INR","Period=FQ","BEST_FPERIOD_OVERRIDE=FQ","FILING_STATUS=OR","EQY_CONSOLIDATED=Y","Sort=A","Dates=H","DateFormat=P","Fill=—","Direction=H","UseDPDF=Y")</f>
        <v>#NAME?</v>
      </c>
      <c r="AF396" s="2" t="e">
        <f ca="1">_xll.BDH($C$378,"ACCOUNTS_PAYABLE_GROWTH_1YR","FQ3 2017","FQ3 2017","Currency=INR","Period=FQ","BEST_FPERIOD_OVERRIDE=FQ","FILING_STATUS=OR","EQY_CONSOLIDATED=Y","Sort=A","Dates=H","DateFormat=P","Fill=—","Direction=H","UseDPDF=Y")</f>
        <v>#NAME?</v>
      </c>
      <c r="AG396" s="2" t="e">
        <f ca="1">_xll.BDH($C$378,"SHORT_TERM_DEBT_1_YEAR_GROWTH","FQ3 2017","FQ3 2017","Currency=INR","Period=FQ","BEST_FPERIOD_OVERRIDE=FQ","FILING_STATUS=OR","EQY_CONSOLIDATED=Y","Sort=A","Dates=H","DateFormat=P","Fill=—","Direction=H","UseDPDF=Y")</f>
        <v>#NAME?</v>
      </c>
      <c r="AH396" s="2" t="e">
        <f ca="1">_xll.BDH($C$378,"TOTAL_DEBT_1_YEAR_GROWTH","FQ3 2017","FQ3 2017","Currency=INR","Period=FQ","BEST_FPERIOD_OVERRIDE=FQ","FILING_STATUS=OR","EQY_CONSOLIDATED=Y","Sort=A","Dates=H","DateFormat=P","Fill=—","Direction=H","UseDPDF=Y")</f>
        <v>#NAME?</v>
      </c>
      <c r="AI396" s="2" t="e">
        <f ca="1">_xll.BDH($C$378,"TOTAL_EQUITY_1_YEAR_GROWTH","FQ3 2017","FQ3 2017","Currency=INR","Period=FQ","BEST_FPERIOD_OVERRIDE=FQ","FILING_STATUS=OR","EQY_CONSOLIDATED=Y","Sort=A","Dates=H","DateFormat=P","Fill=—","Direction=H","UseDPDF=Y")</f>
        <v>#NAME?</v>
      </c>
      <c r="AJ396" s="2" t="e">
        <f ca="1">_xll.BDH($C$378,"GROWTH_IN_CAP","FQ3 2017","FQ3 2017","Currency=INR","Period=FQ","BEST_FPERIOD_OVERRIDE=FQ","FILING_STATUS=OR","EQY_CONSOLIDATED=Y","Sort=A","Dates=H","DateFormat=P","Fill=—","Direction=H","UseDPDF=Y")</f>
        <v>#NAME?</v>
      </c>
      <c r="AK396" s="2" t="e">
        <f ca="1">_xll.BDH($C$378,"BVPS_GROWTH","FQ3 2017","FQ3 2017","Currency=INR","Period=FQ","BEST_FPERIOD_OVERRIDE=FQ","FILING_STATUS=OR","EQY_CONSOLIDATED=Y","Sort=A","Dates=H","DateFormat=P","Fill=—","Direction=H","UseDPDF=Y")</f>
        <v>#NAME?</v>
      </c>
      <c r="AL396" s="2" t="e">
        <f ca="1">_xll.BDH($C$378,"CASH_FLOW_GROWTH","FQ3 2017","FQ3 2017","Currency=INR","Period=FQ","BEST_FPERIOD_OVERRIDE=FQ","FILING_STATUS=OR","EQY_CONSOLIDATED=Y","Sort=A","Dates=H","DateFormat=P","Fill=—","Direction=H","UseDPDF=Y")</f>
        <v>#NAME?</v>
      </c>
      <c r="AM396" s="2" t="e">
        <f ca="1">_xll.BDH($C$378,"GEO_GROW_NET_SALES","FQ3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396" s="2" t="e">
        <f ca="1">_xll.BDH($C$378,"GEO_GROW_EBITDA","FQ3 2017","FQ3 2017","Currency=INR","Period=FQ","BEST_FPERIOD_OVERRIDE=FQ","FILING_STATUS=OR","EQY_CONSOLIDATED=Y","FA_ADJUSTED=GAAP","Sort=A","Dates=H","DateFormat=P","Fill=—","Direction=H","UseDPDF=Y")</f>
        <v>#NAME?</v>
      </c>
      <c r="AO396" s="2" t="e">
        <f ca="1">_xll.BDH($C$378,"GEO_GROW_OPER_INC","FQ3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396" s="2" t="e">
        <f ca="1">_xll.BDH($C$378,"NET_INCOME_TO_COMMON_5_YR_GROWTH","FQ3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396" s="2" t="e">
        <f ca="1">_xll.BDH($C$378,"5Y_GEO_GROWTH_DILUTED_EPS","FQ3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396" s="2" t="e">
        <f ca="1">_xll.BDH($C$378,"GEO_GROW_DVD_PER_SH","FQ3 2017","FQ3 2017","Currency=INR","Period=FQ","BEST_FPERIOD_OVERRIDE=FQ","FILING_STATUS=OR","EQY_CONSOLIDATED=Y","Sort=A","Dates=H","DateFormat=P","Fill=—","Direction=H","UseDPDF=Y")</f>
        <v>#NAME?</v>
      </c>
      <c r="AS396" s="2" t="e">
        <f ca="1">_xll.BDH($C$378,"ACCOUNTS_RECEIVABLE_5_YR_GROWTH","FQ3 2017","FQ3 2017","Currency=INR","Period=FQ","BEST_FPERIOD_OVERRIDE=FQ","FILING_STATUS=OR","EQY_CONSOLIDATED=Y","Sort=A","Dates=H","DateFormat=P","Fill=—","Direction=H","UseDPDF=Y")</f>
        <v>#NAME?</v>
      </c>
      <c r="AT396" s="2" t="e">
        <f ca="1">_xll.BDH($C$378,"INVENTORY_5_YEAR_GROWTH","FQ3 2017","FQ3 2017","Currency=INR","Period=FQ","BEST_FPERIOD_OVERRIDE=FQ","FILING_STATUS=OR","EQY_CONSOLIDATED=Y","Sort=A","Dates=H","DateFormat=P","Fill=—","Direction=H","UseDPDF=Y")</f>
        <v>#NAME?</v>
      </c>
      <c r="AU396" s="2" t="e">
        <f ca="1">_xll.BDH($C$378,"NET_FIXED_ASSETS_5_YEAR_GROWTH","FQ3 2017","FQ3 2017","Currency=INR","Period=FQ","BEST_FPERIOD_OVERRIDE=FQ","FILING_STATUS=OR","EQY_CONSOLIDATED=Y","Sort=A","Dates=H","DateFormat=P","Fill=—","Direction=H","UseDPDF=Y")</f>
        <v>#NAME?</v>
      </c>
      <c r="AV396" s="2" t="e">
        <f ca="1">_xll.BDH($C$378,"GEO_GROW_TOT_ASSET","FQ3 2017","FQ3 2017","Currency=INR","Period=FQ","BEST_FPERIOD_OVERRIDE=FQ","FILING_STATUS=OR","EQY_CONSOLIDATED=Y","Sort=A","Dates=H","DateFormat=P","Fill=—","Direction=H","UseDPDF=Y")</f>
        <v>#NAME?</v>
      </c>
      <c r="AW396" s="2" t="e">
        <f ca="1">_xll.BDH($C$378,"MODIFIED_WORKING_CPTL_5YR_GRWTH","FQ3 2017","FQ3 2017","Currency=INR","Period=FQ","BEST_FPERIOD_OVERRIDE=FQ","FILING_STATUS=OR","EQY_CONSOLIDATED=Y","Sort=A","Dates=H","DateFormat=P","Fill=—","Direction=H","UseDPDF=Y")</f>
        <v>#NAME?</v>
      </c>
      <c r="AX396" s="2" t="e">
        <f ca="1">_xll.BDH($C$378,"WORKING_CAPITAL_5_YEAR_GROWTH","FQ3 2017","FQ3 2017","Currency=INR","Period=FQ","BEST_FPERIOD_OVERRIDE=FQ","FILING_STATUS=OR","EQY_CONSOLIDATED=Y","Sort=A","Dates=H","DateFormat=P","Fill=—","Direction=H","UseDPDF=Y")</f>
        <v>#NAME?</v>
      </c>
      <c r="AY396" s="2" t="e">
        <f ca="1">_xll.BDH($C$378,"ACCOUNTS_PAYABLE_5_YEAR_GROWTH","FQ3 2017","FQ3 2017","Currency=INR","Period=FQ","BEST_FPERIOD_OVERRIDE=FQ","FILING_STATUS=OR","EQY_CONSOLIDATED=Y","Sort=A","Dates=H","DateFormat=P","Fill=—","Direction=H","UseDPDF=Y")</f>
        <v>#NAME?</v>
      </c>
      <c r="AZ396" s="2" t="e">
        <f ca="1">_xll.BDH($C$378,"SHORT_TERM_DEBT_5_YEAR_GROWTH","FQ3 2017","FQ3 2017","Currency=INR","Period=FQ","BEST_FPERIOD_OVERRIDE=FQ","FILING_STATUS=OR","EQY_CONSOLIDATED=Y","Sort=A","Dates=H","DateFormat=P","Fill=—","Direction=H","UseDPDF=Y")</f>
        <v>#NAME?</v>
      </c>
      <c r="BA396" s="2" t="e">
        <f ca="1">_xll.BDH($C$378,"TOTAL_DEBT_5_YEAR_GROWTH","FQ3 2017","FQ3 2017","Currency=INR","Period=FQ","BEST_FPERIOD_OVERRIDE=FQ","FILING_STATUS=OR","EQY_CONSOLIDATED=Y","Sort=A","Dates=H","DateFormat=P","Fill=—","Direction=H","UseDPDF=Y")</f>
        <v>#NAME?</v>
      </c>
      <c r="BB396" s="2" t="e">
        <f ca="1">_xll.BDH($C$378,"GEO_GROW_TOT_SHRHLDR_EQY","FQ3 2017","FQ3 2017","Currency=INR","Period=FQ","BEST_FPERIOD_OVERRIDE=FQ","FILING_STATUS=OR","EQY_CONSOLIDATED=Y","Sort=A","Dates=H","DateFormat=P","Fill=—","Direction=H","UseDPDF=Y")</f>
        <v>#NAME?</v>
      </c>
      <c r="BC396" s="2" t="e">
        <f ca="1">_xll.BDH($C$378,"TOTAL_CAPITAL_5_YEAR_GROWTH","FQ3 2017","FQ3 2017","Currency=INR","Period=FQ","BEST_FPERIOD_OVERRIDE=FQ","FILING_STATUS=OR","EQY_CONSOLIDATED=Y","Sort=A","Dates=H","DateFormat=P","Fill=—","Direction=H","UseDPDF=Y")</f>
        <v>#NAME?</v>
      </c>
      <c r="BD396" s="2" t="e">
        <f ca="1">_xll.BDH($C$378,"GEO_GROW_BOOK_VAL","FQ3 2017","FQ3 2017","Currency=INR","Period=FQ","BEST_FPERIOD_OVERRIDE=FQ","FILING_STATUS=OR","EQY_CONSOLIDATED=Y","Sort=A","Dates=H","DateFormat=P","Fill=—","Direction=H","UseDPDF=Y")</f>
        <v>#NAME?</v>
      </c>
      <c r="BE396" s="2" t="e">
        <f ca="1">_xll.BDH($C$378,"GEO_GROW_CASH_OPER_ACT","FQ3 2017","FQ3 2017","Currency=INR","Period=FQ","BEST_FPERIOD_OVERRIDE=FQ","FILING_STATUS=OR","EQY_CONSOLIDATED=Y","Sort=A","Dates=H","DateFormat=P","Fill=—","Direction=H","UseDPDF=Y")</f>
        <v>#NAME?</v>
      </c>
      <c r="BF396" s="2" t="e">
        <f ca="1">_xll.BDH($C$378,"REVENUE_SEQUENTIAL_GROWTH","FQ3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396" s="2" t="e">
        <f ca="1">_xll.BDH($C$378,"EBITDA_SEQUENTIAL_GROWTH","FQ3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396" s="2" t="e">
        <f ca="1">_xll.BDH($C$378,"OPERATING_INCOME_SEQ_GROWTH","FQ3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396" s="2" t="e">
        <f ca="1">_xll.BDH($C$378,"NET_INCOME_TO_COMMON_SEQ_GROWTH","FQ3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396" s="2" t="e">
        <f ca="1">_xll.BDH($C$378,"EPS_DILUTED_SEQUENTIAL_GROWTH","FQ3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396" s="2" t="e">
        <f ca="1">_xll.BDH($C$378,"DPS_SEQUENTIAL_GROWTH","FQ3 2017","FQ3 2017","Currency=INR","Period=FQ","BEST_FPERIOD_OVERRIDE=FQ","FILING_STATUS=OR","EQY_CONSOLIDATED=Y","Sort=A","Dates=H","DateFormat=P","Fill=—","Direction=H","UseDPDF=Y")</f>
        <v>#NAME?</v>
      </c>
      <c r="BL396" s="2" t="e">
        <f ca="1">_xll.BDH($C$378,"ACCOUNTS_RECEIVABLE_SEQ_GROWTH","FQ3 2017","FQ3 2017","Currency=INR","Period=FQ","BEST_FPERIOD_OVERRIDE=FQ","FILING_STATUS=OR","EQY_CONSOLIDATED=Y","Sort=A","Dates=H","DateFormat=P","Fill=—","Direction=H","UseDPDF=Y")</f>
        <v>#NAME?</v>
      </c>
      <c r="BM396" s="2" t="e">
        <f ca="1">_xll.BDH($C$378,"INVENTORY_SEQUENTIAL_GROWTH","FQ3 2017","FQ3 2017","Currency=INR","Period=FQ","BEST_FPERIOD_OVERRIDE=FQ","FILING_STATUS=OR","EQY_CONSOLIDATED=Y","Sort=A","Dates=H","DateFormat=P","Fill=—","Direction=H","UseDPDF=Y")</f>
        <v>#NAME?</v>
      </c>
      <c r="BN396" s="2" t="e">
        <f ca="1">_xll.BDH($C$378,"FIXED_ASSETS_SEQUENTIAL_GROWTH","FQ3 2017","FQ3 2017","Currency=INR","Period=FQ","BEST_FPERIOD_OVERRIDE=FQ","FILING_STATUS=OR","EQY_CONSOLIDATED=Y","Sort=A","Dates=H","DateFormat=P","Fill=—","Direction=H","UseDPDF=Y")</f>
        <v>#NAME?</v>
      </c>
      <c r="BO396" s="2" t="e">
        <f ca="1">_xll.BDH($C$378,"TOTAL_ASSETS_SEQUENTIAL_GROWTH","FQ3 2017","FQ3 2017","Currency=INR","Period=FQ","BEST_FPERIOD_OVERRIDE=FQ","FILING_STATUS=OR","EQY_CONSOLIDATED=Y","Sort=A","Dates=H","DateFormat=P","Fill=—","Direction=H","UseDPDF=Y")</f>
        <v>#NAME?</v>
      </c>
      <c r="BP396" s="2" t="e">
        <f ca="1">_xll.BDH($C$378,"MODIFIED_WORKING_CPTL_SEQ_GRWTH","FQ3 2017","FQ3 2017","Currency=INR","Period=FQ","BEST_FPERIOD_OVERRIDE=FQ","FILING_STATUS=OR","EQY_CONSOLIDATED=Y","Sort=A","Dates=H","DateFormat=P","Fill=—","Direction=H","UseDPDF=Y")</f>
        <v>#NAME?</v>
      </c>
      <c r="BQ396" s="2" t="e">
        <f ca="1">_xll.BDH($C$378,"WORKING_CAPITAL_SEQ_GROWTH","FQ3 2017","FQ3 2017","Currency=INR","Period=FQ","BEST_FPERIOD_OVERRIDE=FQ","FILING_STATUS=OR","EQY_CONSOLIDATED=Y","Sort=A","Dates=H","DateFormat=P","Fill=—","Direction=H","UseDPDF=Y")</f>
        <v>#NAME?</v>
      </c>
      <c r="BR396" s="2" t="e">
        <f ca="1">_xll.BDH($C$378,"ACCOUNTS_PAYABLE_SEQ_GROWTH","FQ3 2017","FQ3 2017","Currency=INR","Period=FQ","BEST_FPERIOD_OVERRIDE=FQ","FILING_STATUS=OR","EQY_CONSOLIDATED=Y","Sort=A","Dates=H","DateFormat=P","Fill=—","Direction=H","UseDPDF=Y")</f>
        <v>#NAME?</v>
      </c>
      <c r="BS396" s="2" t="e">
        <f ca="1">_xll.BDH($C$378,"ST_DEBT_SEQUENTIAL_GROWTH","FQ3 2017","FQ3 2017","Currency=INR","Period=FQ","BEST_FPERIOD_OVERRIDE=FQ","FILING_STATUS=OR","EQY_CONSOLIDATED=Y","Sort=A","Dates=H","DateFormat=P","Fill=—","Direction=H","UseDPDF=Y")</f>
        <v>#NAME?</v>
      </c>
      <c r="BT396" s="2" t="e">
        <f ca="1">_xll.BDH($C$378,"TOTAL_DEBT_SEQUENTIAL_GROWTH","FQ3 2017","FQ3 2017","Currency=INR","Period=FQ","BEST_FPERIOD_OVERRIDE=FQ","FILING_STATUS=OR","EQY_CONSOLIDATED=Y","Sort=A","Dates=H","DateFormat=P","Fill=—","Direction=H","UseDPDF=Y")</f>
        <v>#NAME?</v>
      </c>
      <c r="BU396" s="2" t="e">
        <f ca="1">_xll.BDH($C$378,"TOTAL_EQUITY_SEQUENTIAL_GROWTH","FQ3 2017","FQ3 2017","Currency=INR","Period=FQ","BEST_FPERIOD_OVERRIDE=FQ","FILING_STATUS=OR","EQY_CONSOLIDATED=Y","Sort=A","Dates=H","DateFormat=P","Fill=—","Direction=H","UseDPDF=Y")</f>
        <v>#NAME?</v>
      </c>
      <c r="BV396" s="2" t="e">
        <f ca="1">_xll.BDH($C$378,"TOTAL_CAPITAL_SEQUENTIAL_GROWTH","FQ3 2017","FQ3 2017","Currency=INR","Period=FQ","BEST_FPERIOD_OVERRIDE=FQ","FILING_STATUS=OR","EQY_CONSOLIDATED=Y","Sort=A","Dates=H","DateFormat=P","Fill=—","Direction=H","UseDPDF=Y")</f>
        <v>#NAME?</v>
      </c>
      <c r="BW396" s="2" t="e">
        <f ca="1">_xll.BDH($C$378,"BPS_SEQUENTIAL_GROWTH","FQ3 2017","FQ3 2017","Currency=INR","Period=FQ","BEST_FPERIOD_OVERRIDE=FQ","FILING_STATUS=OR","EQY_CONSOLIDATED=Y","Sort=A","Dates=H","DateFormat=P","Fill=—","Direction=H","UseDPDF=Y")</f>
        <v>#NAME?</v>
      </c>
      <c r="BX396" s="2" t="e">
        <f ca="1">_xll.BDH($C$378,"CFO_SEQUENTIAL_GROWTH","FQ3 2017","FQ3 2017","Currency=INR","Period=FQ","BEST_FPERIOD_OVERRIDE=FQ","FILING_STATUS=OR","EQY_CONSOLIDATED=Y","Sort=A","Dates=H","DateFormat=P","Fill=—","Direction=H","UseDPDF=Y")</f>
        <v>#NAME?</v>
      </c>
      <c r="BY396" s="3" t="e">
        <f ca="1">_xll.BDH($C$378,"SHORT_AND_LONG_TERM_DEBT","FQ3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396" s="3" t="e">
        <f ca="1">_xll.BDH($C$378,"BS_ST_BORROW","FQ3 2017","FQ3 2017","Currency=INR","Period=FQ","BEST_FPERIOD_OVERRIDE=FQ","FILING_STATUS=OR","EQY_CONSOLIDATED=Y","SCALING_FORMAT=MLN","Sort=A","Dates=H","DateFormat=P","Fill=—","Direction=H","UseDPDF=Y")</f>
        <v>#NAME?</v>
      </c>
      <c r="CA396" s="3" t="e">
        <f ca="1">_xll.BDH($C$378,"BS_LT_BORROW","FQ3 2017","FQ3 2017","Currency=INR","Period=FQ","BEST_FPERIOD_OVERRIDE=FQ","FILING_STATUS=OR","EQY_CONSOLIDATED=Y","SCALING_FORMAT=MLN","Sort=A","Dates=H","DateFormat=P","Fill=—","Direction=H","UseDPDF=Y")</f>
        <v>#NAME?</v>
      </c>
      <c r="CB396" s="2" t="e">
        <f ca="1">_xll.BDH($C$378,"TOT_DEBT_TO_EBITDA","FQ3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396" s="2" t="e">
        <f ca="1">_xll.BDH($C$378,"NET_DEBT_TO_EBITDA","FQ3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396" s="2" t="e">
        <f ca="1">_xll.BDH($C$378,"TOTAL_DEBT_TO_EBIT","FQ3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396" s="2" t="e">
        <f ca="1">_xll.BDH($C$378,"NET_DEBT_TO_EBIT","FQ3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396" s="2" t="e">
        <f ca="1">_xll.BDH($C$378,"EBITDA_TO_INTEREST_EXPN","FQ3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396" s="2" t="e">
        <f ca="1">_xll.BDH($C$378,"COM_EQY_TO_TOT_ASSET","FQ3 2017","FQ3 2017","Currency=INR","Period=FQ","BEST_FPERIOD_OVERRIDE=FQ","FILING_STATUS=OR","EQY_CONSOLIDATED=Y","Sort=A","Dates=H","DateFormat=P","Fill=—","Direction=H","UseDPDF=Y")</f>
        <v>#NAME?</v>
      </c>
      <c r="CH396" s="2" t="e">
        <f ca="1">_xll.BDH($C$378,"LT_DEBT_TO_TOT_EQY","FQ3 2017","FQ3 2017","Currency=INR","Period=FQ","BEST_FPERIOD_OVERRIDE=FQ","FILING_STATUS=OR","EQY_CONSOLIDATED=Y","Sort=A","Dates=H","DateFormat=P","Fill=—","Direction=H","UseDPDF=Y")</f>
        <v>#NAME?</v>
      </c>
      <c r="CI396" s="2" t="e">
        <f ca="1">_xll.BDH($C$378,"LT_DEBT_TO_TOT_CAP","FQ3 2017","FQ3 2017","Currency=INR","Period=FQ","BEST_FPERIOD_OVERRIDE=FQ","FILING_STATUS=OR","EQY_CONSOLIDATED=Y","Sort=A","Dates=H","DateFormat=P","Fill=—","Direction=H","UseDPDF=Y")</f>
        <v>#NAME?</v>
      </c>
      <c r="CJ396" s="2" t="e">
        <f ca="1">_xll.BDH($C$378,"LT_DEBT_TO_TOT_ASSET","FQ3 2017","FQ3 2017","Currency=INR","Period=FQ","BEST_FPERIOD_OVERRIDE=FQ","FILING_STATUS=OR","EQY_CONSOLIDATED=Y","Sort=A","Dates=H","DateFormat=P","Fill=—","Direction=H","UseDPDF=Y")</f>
        <v>#NAME?</v>
      </c>
      <c r="CK396" s="2" t="e">
        <f ca="1">_xll.BDH($C$378,"TOT_DEBT_TO_TOT_EQY","FQ3 2017","FQ3 2017","Currency=INR","Period=FQ","BEST_FPERIOD_OVERRIDE=FQ","FILING_STATUS=OR","EQY_CONSOLIDATED=Y","Sort=A","Dates=H","DateFormat=P","Fill=—","Direction=H","UseDPDF=Y")</f>
        <v>#NAME?</v>
      </c>
      <c r="CL396" s="2" t="e">
        <f ca="1">_xll.BDH($C$378,"TOT_DEBT_TO_TOT_CAP","FQ3 2017","FQ3 2017","Currency=INR","Period=FQ","BEST_FPERIOD_OVERRIDE=FQ","FILING_STATUS=OR","EQY_CONSOLIDATED=Y","Sort=A","Dates=H","DateFormat=P","Fill=—","Direction=H","UseDPDF=Y")</f>
        <v>#NAME?</v>
      </c>
      <c r="CM396" s="2" t="e">
        <f ca="1">_xll.BDH($C$378,"TOT_DEBT_TO_TOT_ASSET","FQ3 2017","FQ3 2017","Currency=INR","Period=FQ","BEST_FPERIOD_OVERRIDE=FQ","FILING_STATUS=OR","EQY_CONSOLIDATED=Y","Sort=A","Dates=H","DateFormat=P","Fill=—","Direction=H","UseDPDF=Y")</f>
        <v>#NAME?</v>
      </c>
      <c r="CN396" s="2" t="e">
        <f ca="1">_xll.BDH($C$378,"NET_DEBT_TO_SHRHLDR_EQTY","FQ3 2017","FQ3 2017","Currency=INR","Period=FQ","BEST_FPERIOD_OVERRIDE=FQ","FILING_STATUS=OR","EQY_CONSOLIDATED=Y","Sort=A","Dates=H","DateFormat=P","Fill=—","Direction=H","UseDPDF=Y")</f>
        <v>#NAME?</v>
      </c>
      <c r="CO396" s="2" t="e">
        <f ca="1">_xll.BDH($C$378,"NET_DEBT_%_CAPITAL","FQ3 2017","FQ3 2017","Currency=INR","Period=FQ","BEST_FPERIOD_OVERRIDE=FQ","FILING_STATUS=OR","EQY_CONSOLIDATED=Y","Sort=A","Dates=H","DateFormat=P","Fill=—","Direction=H","UseDPDF=Y")</f>
        <v>#NAME?</v>
      </c>
      <c r="CP396" s="3" t="e">
        <f ca="1">_xll.BDH($C$378,"EBITDA","FQ3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396" s="3" t="e">
        <f ca="1">_xll.BDH($C$378,"EBITDA_AFTER_CAPEX","FQ3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396" s="3" t="e">
        <f ca="1">_xll.BDH($C$378,"IS_OPER_INC","FQ3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396" s="2" t="e">
        <f ca="1">_xll.BDH($C$378,"CASH_RATIO","FQ3 2017","FQ3 2017","Currency=INR","Period=FQ","BEST_FPERIOD_OVERRIDE=FQ","FILING_STATUS=OR","EQY_CONSOLIDATED=Y","Sort=A","Dates=H","DateFormat=P","Fill=—","Direction=H","UseDPDF=Y")</f>
        <v>#NAME?</v>
      </c>
      <c r="CT396" s="2" t="e">
        <f ca="1">_xll.BDH($C$378,"CUR_RATIO","FQ3 2017","FQ3 2017","Currency=INR","Period=FQ","BEST_FPERIOD_OVERRIDE=FQ","FILING_STATUS=OR","EQY_CONSOLIDATED=Y","Sort=A","Dates=H","DateFormat=P","Fill=—","Direction=H","UseDPDF=Y")</f>
        <v>#NAME?</v>
      </c>
      <c r="CU396" s="2" t="e">
        <f ca="1">_xll.BDH($C$378,"QUICK_RATIO","FQ3 2017","FQ3 2017","Currency=INR","Period=FQ","BEST_FPERIOD_OVERRIDE=FQ","FILING_STATUS=OR","EQY_CONSOLIDATED=Y","Sort=A","Dates=H","DateFormat=P","Fill=—","Direction=H","UseDPDF=Y")</f>
        <v>#NAME?</v>
      </c>
      <c r="CV396" s="2" t="e">
        <f ca="1">_xll.BDH($C$378,"ALTMAN_Z_SCORE","FQ3 2017","FQ3 2017","Currency=INR","Period=FQ","BEST_FPERIOD_OVERRIDE=FQ","FILING_STATUS=OR","EQY_CONSOLIDATED=Y","Sort=A","Dates=H","DateFormat=P","Fill=—","Direction=H","UseDPDF=Y")</f>
        <v>#NAME?</v>
      </c>
      <c r="CW396" s="4" t="e">
        <f ca="1">_xll.BDH($C$378,"ACCT_RCV_TURN","FQ3 2017","FQ3 2017","Currency=INR","Period=FQ","BEST_FPERIOD_OVERRIDE=FQ","FILING_STATUS=OR","EQY_CONSOLIDATED=Y","FA_ADJUSTED=GAAP","Sort=A","Dates=H","DateFormat=P","Fill=—","Direction=H","UseDPDF=Y")</f>
        <v>#NAME?</v>
      </c>
      <c r="CX396" s="2" t="e">
        <f ca="1">_xll.BDH($C$378,"ACCT_RCV_DAYS","FQ3 2017","FQ3 2017","Currency=INR","Period=FQ","BEST_FPERIOD_OVERRIDE=FQ","FILING_STATUS=OR","EQY_CONSOLIDATED=Y","FA_ADJUSTED=GAAP","Sort=A","Dates=H","DateFormat=P","Fill=—","Direction=H","UseDPDF=Y")</f>
        <v>#NAME?</v>
      </c>
      <c r="CY396" s="4" t="e">
        <f ca="1">_xll.BDH($C$378,"INVENT_TURN","FQ3 2017","FQ3 2017","Currency=INR","Period=FQ","BEST_FPERIOD_OVERRIDE=FQ","FILING_STATUS=OR","EQY_CONSOLIDATED=Y","FA_ADJUSTED=GAAP","Sort=A","Dates=H","DateFormat=P","Fill=—","Direction=H","UseDPDF=Y")</f>
        <v>#NAME?</v>
      </c>
      <c r="CZ396" s="2" t="e">
        <f ca="1">_xll.BDH($C$378,"INVENT_DAYS","FQ3 2017","FQ3 2017","Currency=INR","Period=FQ","BEST_FPERIOD_OVERRIDE=FQ","FILING_STATUS=OR","EQY_CONSOLIDATED=Y","FA_ADJUSTED=GAAP","Sort=A","Dates=H","DateFormat=P","Fill=—","Direction=H","UseDPDF=Y")</f>
        <v>#NAME?</v>
      </c>
      <c r="DA396" s="4" t="e">
        <f ca="1">_xll.BDH($C$378,"ACCOUNTS_PAYABLE_TURNOVER","FQ3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396" s="2" t="e">
        <f ca="1">_xll.BDH($C$378,"ACCOUNTS_PAYABLE_TURNOVER_DAYS","FQ3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396" s="4" t="e">
        <f ca="1">_xll.BDH($C$378,"CASH_CONVERSION_CYCLE","FQ3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396" s="4" t="e">
        <f ca="1">_xll.BDH($C$378,"INV_TO_CASH_DAYS","FQ3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396" s="5" t="e">
        <f ca="1">_xll.BDH($C$378,"BS_INVENTORIES","FQ3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396" s="3" t="e">
        <f ca="1">_xll.BDH($C$378,"INVTRY_RAW_MATERIALS","FQ3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396" s="3" t="e">
        <f ca="1">_xll.BDH($C$378,"INVTRY_IN_PROGRESS","FQ3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396" s="3" t="e">
        <f ca="1">_xll.BDH($C$378,"INVTRY_FINISHED_GOODS","FQ3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396" s="3" t="e">
        <f ca="1">_xll.BDH($C$378,"BS_OTHER_INV","FQ3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397" spans="1:113" x14ac:dyDescent="0.3">
      <c r="A397" s="6"/>
      <c r="B397" s="6"/>
      <c r="C397" s="6"/>
      <c r="D397" s="6"/>
      <c r="E397" t="s">
        <v>81</v>
      </c>
      <c r="F397" t="e">
        <f ca="1">_xll.BDH($C$378,"RETURN_COM_EQY","FQ4 2017","FQ4 2017","Currency=INR","Period=FQ","BEST_FPERIOD_OVERRIDE=FQ","FILING_STATUS=OR","EQY_CONSOLIDATED=Y","FA_ADJUSTED=GAAP","Sort=A","Dates=H","DateFormat=P","Fill=—","Direction=H","UseDPDF=Y")</f>
        <v>#NAME?</v>
      </c>
      <c r="G397" t="e">
        <f ca="1">_xll.BDH($C$378,"RETURN_ON_ASSET","FQ4 2017","FQ4 2017","Currency=INR","Period=FQ","BEST_FPERIOD_OVERRIDE=FQ","FILING_STATUS=OR","EQY_CONSOLIDATED=Y","FA_ADJUSTED=GAAP","Sort=A","Dates=H","DateFormat=P","Fill=—","Direction=H","UseDPDF=Y")</f>
        <v>#NAME?</v>
      </c>
      <c r="H397" t="e">
        <f ca="1">_xll.BDH($C$378,"RETURN_ON_CAP","FQ4 2017","FQ4 2017","Currency=INR","Period=FQ","BEST_FPERIOD_OVERRIDE=FQ","FILING_STATUS=OR","EQY_CONSOLIDATED=Y","FA_ADJUSTED=GAAP","Sort=A","Dates=H","DateFormat=P","Fill=—","Direction=H","UseDPDF=Y")</f>
        <v>#NAME?</v>
      </c>
      <c r="I397" t="e">
        <f ca="1">_xll.BDH($C$378,"RETURN_ON_INV_CAPITAL","FQ4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397" t="e">
        <f ca="1">_xll.BDH($C$378,"EBITDA_TO_REVENUE","FQ4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397" t="e">
        <f ca="1">_xll.BDH($C$378,"OPER_MARGIN","FQ4 2017","FQ4 2017","Currency=INR","Period=FQ","BEST_FPERIOD_OVERRIDE=FQ","FILING_STATUS=OR","EQY_CONSOLIDATED=Y","FA_ADJUSTED=GAAP","Sort=A","Dates=H","DateFormat=P","Fill=—","Direction=H","UseDPDF=Y")</f>
        <v>#NAME?</v>
      </c>
      <c r="L397" t="e">
        <f ca="1">_xll.BDH($C$378,"INCREMENTAL_OPERATING_MARGIN","FQ4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397" t="e">
        <f ca="1">_xll.BDH($C$378,"PRETAX_INC_TO_NET_SALES","FQ4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397" t="e">
        <f ca="1">_xll.BDH($C$378,"INC_BEF_XO_ITEMS_TO_NET_SALES","FQ4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397" t="e">
        <f ca="1">_xll.BDH($C$378,"PROF_MARGIN","FQ4 2017","FQ4 2017","Currency=INR","Period=FQ","BEST_FPERIOD_OVERRIDE=FQ","FILING_STATUS=OR","EQY_CONSOLIDATED=Y","FA_ADJUSTED=GAAP","Sort=A","Dates=H","DateFormat=P","Fill=—","Direction=H","UseDPDF=Y")</f>
        <v>#NAME?</v>
      </c>
      <c r="P397" t="e">
        <f ca="1">_xll.BDH($C$378,"NET_INCOME_TO_COMMON_MARGIN","FQ4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397" t="e">
        <f ca="1">_xll.BDH($C$378,"EFF_TAX_RATE","FQ4 2017","FQ4 2017","Currency=INR","Period=FQ","BEST_FPERIOD_OVERRIDE=FQ","FILING_STATUS=OR","EQY_CONSOLIDATED=Y","FA_ADJUSTED=GAAP","Sort=A","Dates=H","DateFormat=P","Fill=—","Direction=H","UseDPDF=Y")</f>
        <v>#NAME?</v>
      </c>
      <c r="R397" t="e">
        <f ca="1">_xll.BDH($C$378,"DVD_PAYOUT_RATIO","FQ4 2017","FQ4 2017","Currency=INR","Period=FQ","BEST_FPERIOD_OVERRIDE=FQ","FILING_STATUS=OR","EQY_CONSOLIDATED=Y","FA_ADJUSTED=GAAP","Sort=A","Dates=H","DateFormat=P","Fill=—","Direction=H","UseDPDF=Y")</f>
        <v>#NAME?</v>
      </c>
      <c r="S397" t="e">
        <f ca="1">_xll.BDH($C$378,"SUSTAIN_GROWTH_RT","FQ4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397" s="2" t="e">
        <f ca="1">_xll.BDH($C$378,"SALES_GROWTH","FQ4 2017","FQ4 2017","Currency=INR","Period=FQ","BEST_FPERIOD_OVERRIDE=FQ","FILING_STATUS=OR","EQY_CONSOLIDATED=Y","FA_ADJUSTED=GAAP","Sort=A","Dates=H","DateFormat=P","Fill=—","Direction=H","UseDPDF=Y")</f>
        <v>#NAME?</v>
      </c>
      <c r="U397" s="2" t="e">
        <f ca="1">_xll.BDH($C$378,"EBITDA_GROWTH","FQ4 2017","FQ4 2017","Currency=INR","Period=FQ","BEST_FPERIOD_OVERRIDE=FQ","FILING_STATUS=OR","EQY_CONSOLIDATED=Y","FA_ADJUSTED=GAAP","Sort=A","Dates=H","DateFormat=P","Fill=—","Direction=H","UseDPDF=Y")</f>
        <v>#NAME?</v>
      </c>
      <c r="V397" s="2" t="e">
        <f ca="1">_xll.BDH($C$378,"OPER_INC_GROWTH","FQ4 2017","FQ4 2017","Currency=INR","Period=FQ","BEST_FPERIOD_OVERRIDE=FQ","FILING_STATUS=OR","EQY_CONSOLIDATED=Y","FA_ADJUSTED=GAAP","Sort=A","Dates=H","DateFormat=P","Fill=—","Direction=H","UseDPDF=Y")</f>
        <v>#NAME?</v>
      </c>
      <c r="W397" s="2" t="e">
        <f ca="1">_xll.BDH($C$378,"EARN_FOR_COM_GROWTH","FQ4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397" s="2" t="e">
        <f ca="1">_xll.BDH($C$378,"DILUTED_EPS_AFT_XO_ITEMS_GROWTH","FQ4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397" s="2" t="e">
        <f ca="1">_xll.BDH($C$378,"DIVIDEND_PER_SHARE_1_YEAR_GROWTH","FQ4 2017","FQ4 2017","Currency=INR","Period=FQ","BEST_FPERIOD_OVERRIDE=FQ","FILING_STATUS=OR","EQY_CONSOLIDATED=Y","Sort=A","Dates=H","DateFormat=P","Fill=—","Direction=H","UseDPDF=Y")</f>
        <v>#NAME?</v>
      </c>
      <c r="Z397" s="2" t="e">
        <f ca="1">_xll.BDH($C$378,"ACCOUNTS_RECEIVABLE_GROWTH","FQ4 2017","FQ4 2017","Currency=INR","Period=FQ","BEST_FPERIOD_OVERRIDE=FQ","FILING_STATUS=OR","EQY_CONSOLIDATED=Y","Sort=A","Dates=H","DateFormat=P","Fill=—","Direction=H","UseDPDF=Y")</f>
        <v>#NAME?</v>
      </c>
      <c r="AA397" s="2" t="e">
        <f ca="1">_xll.BDH($C$378,"INVENTORY_GROWTH","FQ4 2017","FQ4 2017","Currency=INR","Period=FQ","BEST_FPERIOD_OVERRIDE=FQ","FILING_STATUS=OR","EQY_CONSOLIDATED=Y","Sort=A","Dates=H","DateFormat=P","Fill=—","Direction=H","UseDPDF=Y")</f>
        <v>#NAME?</v>
      </c>
      <c r="AB397" s="2" t="e">
        <f ca="1">_xll.BDH($C$378,"NET_FIXED_ASSETS_1_YEAR_GROWTH","FQ4 2017","FQ4 2017","Currency=INR","Period=FQ","BEST_FPERIOD_OVERRIDE=FQ","FILING_STATUS=OR","EQY_CONSOLIDATED=Y","Sort=A","Dates=H","DateFormat=P","Fill=—","Direction=H","UseDPDF=Y")</f>
        <v>#NAME?</v>
      </c>
      <c r="AC397" s="2" t="e">
        <f ca="1">_xll.BDH($C$378,"ASSET_GROWTH","FQ4 2017","FQ4 2017","Currency=INR","Period=FQ","BEST_FPERIOD_OVERRIDE=FQ","FILING_STATUS=OR","EQY_CONSOLIDATED=Y","Sort=A","Dates=H","DateFormat=P","Fill=—","Direction=H","UseDPDF=Y")</f>
        <v>#NAME?</v>
      </c>
      <c r="AD397" s="2" t="e">
        <f ca="1">_xll.BDH($C$378,"MODIFIED_WORK_CAP_GROWTH","FQ4 2017","FQ4 2017","Currency=INR","Period=FQ","BEST_FPERIOD_OVERRIDE=FQ","FILING_STATUS=OR","EQY_CONSOLIDATED=Y","Sort=A","Dates=H","DateFormat=P","Fill=—","Direction=H","UseDPDF=Y")</f>
        <v>#NAME?</v>
      </c>
      <c r="AE397" s="2" t="e">
        <f ca="1">_xll.BDH($C$378,"WORK_CAP_GROWTH","FQ4 2017","FQ4 2017","Currency=INR","Period=FQ","BEST_FPERIOD_OVERRIDE=FQ","FILING_STATUS=OR","EQY_CONSOLIDATED=Y","Sort=A","Dates=H","DateFormat=P","Fill=—","Direction=H","UseDPDF=Y")</f>
        <v>#NAME?</v>
      </c>
      <c r="AF397" s="2" t="e">
        <f ca="1">_xll.BDH($C$378,"ACCOUNTS_PAYABLE_GROWTH_1YR","FQ4 2017","FQ4 2017","Currency=INR","Period=FQ","BEST_FPERIOD_OVERRIDE=FQ","FILING_STATUS=OR","EQY_CONSOLIDATED=Y","Sort=A","Dates=H","DateFormat=P","Fill=—","Direction=H","UseDPDF=Y")</f>
        <v>#NAME?</v>
      </c>
      <c r="AG397" s="2" t="e">
        <f ca="1">_xll.BDH($C$378,"SHORT_TERM_DEBT_1_YEAR_GROWTH","FQ4 2017","FQ4 2017","Currency=INR","Period=FQ","BEST_FPERIOD_OVERRIDE=FQ","FILING_STATUS=OR","EQY_CONSOLIDATED=Y","Sort=A","Dates=H","DateFormat=P","Fill=—","Direction=H","UseDPDF=Y")</f>
        <v>#NAME?</v>
      </c>
      <c r="AH397" s="2" t="e">
        <f ca="1">_xll.BDH($C$378,"TOTAL_DEBT_1_YEAR_GROWTH","FQ4 2017","FQ4 2017","Currency=INR","Period=FQ","BEST_FPERIOD_OVERRIDE=FQ","FILING_STATUS=OR","EQY_CONSOLIDATED=Y","Sort=A","Dates=H","DateFormat=P","Fill=—","Direction=H","UseDPDF=Y")</f>
        <v>#NAME?</v>
      </c>
      <c r="AI397" s="2" t="e">
        <f ca="1">_xll.BDH($C$378,"TOTAL_EQUITY_1_YEAR_GROWTH","FQ4 2017","FQ4 2017","Currency=INR","Period=FQ","BEST_FPERIOD_OVERRIDE=FQ","FILING_STATUS=OR","EQY_CONSOLIDATED=Y","Sort=A","Dates=H","DateFormat=P","Fill=—","Direction=H","UseDPDF=Y")</f>
        <v>#NAME?</v>
      </c>
      <c r="AJ397" s="2" t="e">
        <f ca="1">_xll.BDH($C$378,"GROWTH_IN_CAP","FQ4 2017","FQ4 2017","Currency=INR","Period=FQ","BEST_FPERIOD_OVERRIDE=FQ","FILING_STATUS=OR","EQY_CONSOLIDATED=Y","Sort=A","Dates=H","DateFormat=P","Fill=—","Direction=H","UseDPDF=Y")</f>
        <v>#NAME?</v>
      </c>
      <c r="AK397" s="2" t="e">
        <f ca="1">_xll.BDH($C$378,"BVPS_GROWTH","FQ4 2017","FQ4 2017","Currency=INR","Period=FQ","BEST_FPERIOD_OVERRIDE=FQ","FILING_STATUS=OR","EQY_CONSOLIDATED=Y","Sort=A","Dates=H","DateFormat=P","Fill=—","Direction=H","UseDPDF=Y")</f>
        <v>#NAME?</v>
      </c>
      <c r="AL397" s="2" t="e">
        <f ca="1">_xll.BDH($C$378,"CASH_FLOW_GROWTH","FQ4 2017","FQ4 2017","Currency=INR","Period=FQ","BEST_FPERIOD_OVERRIDE=FQ","FILING_STATUS=OR","EQY_CONSOLIDATED=Y","Sort=A","Dates=H","DateFormat=P","Fill=—","Direction=H","UseDPDF=Y")</f>
        <v>#NAME?</v>
      </c>
      <c r="AM397" s="2" t="e">
        <f ca="1">_xll.BDH($C$378,"GEO_GROW_NET_SALES","FQ4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397" s="2" t="e">
        <f ca="1">_xll.BDH($C$378,"GEO_GROW_EBITDA","FQ4 2017","FQ4 2017","Currency=INR","Period=FQ","BEST_FPERIOD_OVERRIDE=FQ","FILING_STATUS=OR","EQY_CONSOLIDATED=Y","FA_ADJUSTED=GAAP","Sort=A","Dates=H","DateFormat=P","Fill=—","Direction=H","UseDPDF=Y")</f>
        <v>#NAME?</v>
      </c>
      <c r="AO397" s="2" t="e">
        <f ca="1">_xll.BDH($C$378,"GEO_GROW_OPER_INC","FQ4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397" s="2" t="e">
        <f ca="1">_xll.BDH($C$378,"NET_INCOME_TO_COMMON_5_YR_GROWTH","FQ4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397" s="2" t="e">
        <f ca="1">_xll.BDH($C$378,"5Y_GEO_GROWTH_DILUTED_EPS","FQ4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397" s="2" t="e">
        <f ca="1">_xll.BDH($C$378,"GEO_GROW_DVD_PER_SH","FQ4 2017","FQ4 2017","Currency=INR","Period=FQ","BEST_FPERIOD_OVERRIDE=FQ","FILING_STATUS=OR","EQY_CONSOLIDATED=Y","Sort=A","Dates=H","DateFormat=P","Fill=—","Direction=H","UseDPDF=Y")</f>
        <v>#NAME?</v>
      </c>
      <c r="AS397" s="2" t="e">
        <f ca="1">_xll.BDH($C$378,"ACCOUNTS_RECEIVABLE_5_YR_GROWTH","FQ4 2017","FQ4 2017","Currency=INR","Period=FQ","BEST_FPERIOD_OVERRIDE=FQ","FILING_STATUS=OR","EQY_CONSOLIDATED=Y","Sort=A","Dates=H","DateFormat=P","Fill=—","Direction=H","UseDPDF=Y")</f>
        <v>#NAME?</v>
      </c>
      <c r="AT397" s="2" t="e">
        <f ca="1">_xll.BDH($C$378,"INVENTORY_5_YEAR_GROWTH","FQ4 2017","FQ4 2017","Currency=INR","Period=FQ","BEST_FPERIOD_OVERRIDE=FQ","FILING_STATUS=OR","EQY_CONSOLIDATED=Y","Sort=A","Dates=H","DateFormat=P","Fill=—","Direction=H","UseDPDF=Y")</f>
        <v>#NAME?</v>
      </c>
      <c r="AU397" s="2" t="e">
        <f ca="1">_xll.BDH($C$378,"NET_FIXED_ASSETS_5_YEAR_GROWTH","FQ4 2017","FQ4 2017","Currency=INR","Period=FQ","BEST_FPERIOD_OVERRIDE=FQ","FILING_STATUS=OR","EQY_CONSOLIDATED=Y","Sort=A","Dates=H","DateFormat=P","Fill=—","Direction=H","UseDPDF=Y")</f>
        <v>#NAME?</v>
      </c>
      <c r="AV397" s="2" t="e">
        <f ca="1">_xll.BDH($C$378,"GEO_GROW_TOT_ASSET","FQ4 2017","FQ4 2017","Currency=INR","Period=FQ","BEST_FPERIOD_OVERRIDE=FQ","FILING_STATUS=OR","EQY_CONSOLIDATED=Y","Sort=A","Dates=H","DateFormat=P","Fill=—","Direction=H","UseDPDF=Y")</f>
        <v>#NAME?</v>
      </c>
      <c r="AW397" s="2" t="e">
        <f ca="1">_xll.BDH($C$378,"MODIFIED_WORKING_CPTL_5YR_GRWTH","FQ4 2017","FQ4 2017","Currency=INR","Period=FQ","BEST_FPERIOD_OVERRIDE=FQ","FILING_STATUS=OR","EQY_CONSOLIDATED=Y","Sort=A","Dates=H","DateFormat=P","Fill=—","Direction=H","UseDPDF=Y")</f>
        <v>#NAME?</v>
      </c>
      <c r="AX397" s="2" t="e">
        <f ca="1">_xll.BDH($C$378,"WORKING_CAPITAL_5_YEAR_GROWTH","FQ4 2017","FQ4 2017","Currency=INR","Period=FQ","BEST_FPERIOD_OVERRIDE=FQ","FILING_STATUS=OR","EQY_CONSOLIDATED=Y","Sort=A","Dates=H","DateFormat=P","Fill=—","Direction=H","UseDPDF=Y")</f>
        <v>#NAME?</v>
      </c>
      <c r="AY397" s="2" t="e">
        <f ca="1">_xll.BDH($C$378,"ACCOUNTS_PAYABLE_5_YEAR_GROWTH","FQ4 2017","FQ4 2017","Currency=INR","Period=FQ","BEST_FPERIOD_OVERRIDE=FQ","FILING_STATUS=OR","EQY_CONSOLIDATED=Y","Sort=A","Dates=H","DateFormat=P","Fill=—","Direction=H","UseDPDF=Y")</f>
        <v>#NAME?</v>
      </c>
      <c r="AZ397" s="2" t="e">
        <f ca="1">_xll.BDH($C$378,"SHORT_TERM_DEBT_5_YEAR_GROWTH","FQ4 2017","FQ4 2017","Currency=INR","Period=FQ","BEST_FPERIOD_OVERRIDE=FQ","FILING_STATUS=OR","EQY_CONSOLIDATED=Y","Sort=A","Dates=H","DateFormat=P","Fill=—","Direction=H","UseDPDF=Y")</f>
        <v>#NAME?</v>
      </c>
      <c r="BA397" s="2" t="e">
        <f ca="1">_xll.BDH($C$378,"TOTAL_DEBT_5_YEAR_GROWTH","FQ4 2017","FQ4 2017","Currency=INR","Period=FQ","BEST_FPERIOD_OVERRIDE=FQ","FILING_STATUS=OR","EQY_CONSOLIDATED=Y","Sort=A","Dates=H","DateFormat=P","Fill=—","Direction=H","UseDPDF=Y")</f>
        <v>#NAME?</v>
      </c>
      <c r="BB397" s="2" t="e">
        <f ca="1">_xll.BDH($C$378,"GEO_GROW_TOT_SHRHLDR_EQY","FQ4 2017","FQ4 2017","Currency=INR","Period=FQ","BEST_FPERIOD_OVERRIDE=FQ","FILING_STATUS=OR","EQY_CONSOLIDATED=Y","Sort=A","Dates=H","DateFormat=P","Fill=—","Direction=H","UseDPDF=Y")</f>
        <v>#NAME?</v>
      </c>
      <c r="BC397" s="2" t="e">
        <f ca="1">_xll.BDH($C$378,"TOTAL_CAPITAL_5_YEAR_GROWTH","FQ4 2017","FQ4 2017","Currency=INR","Period=FQ","BEST_FPERIOD_OVERRIDE=FQ","FILING_STATUS=OR","EQY_CONSOLIDATED=Y","Sort=A","Dates=H","DateFormat=P","Fill=—","Direction=H","UseDPDF=Y")</f>
        <v>#NAME?</v>
      </c>
      <c r="BD397" s="2" t="e">
        <f ca="1">_xll.BDH($C$378,"GEO_GROW_BOOK_VAL","FQ4 2017","FQ4 2017","Currency=INR","Period=FQ","BEST_FPERIOD_OVERRIDE=FQ","FILING_STATUS=OR","EQY_CONSOLIDATED=Y","Sort=A","Dates=H","DateFormat=P","Fill=—","Direction=H","UseDPDF=Y")</f>
        <v>#NAME?</v>
      </c>
      <c r="BE397" s="2" t="e">
        <f ca="1">_xll.BDH($C$378,"GEO_GROW_CASH_OPER_ACT","FQ4 2017","FQ4 2017","Currency=INR","Period=FQ","BEST_FPERIOD_OVERRIDE=FQ","FILING_STATUS=OR","EQY_CONSOLIDATED=Y","Sort=A","Dates=H","DateFormat=P","Fill=—","Direction=H","UseDPDF=Y")</f>
        <v>#NAME?</v>
      </c>
      <c r="BF397" s="2" t="e">
        <f ca="1">_xll.BDH($C$378,"REVENUE_SEQUENTIAL_GROWTH","FQ4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397" s="2" t="e">
        <f ca="1">_xll.BDH($C$378,"EBITDA_SEQUENTIAL_GROWTH","FQ4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397" s="2" t="e">
        <f ca="1">_xll.BDH($C$378,"OPERATING_INCOME_SEQ_GROWTH","FQ4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397" s="2" t="e">
        <f ca="1">_xll.BDH($C$378,"NET_INCOME_TO_COMMON_SEQ_GROWTH","FQ4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397" s="2" t="e">
        <f ca="1">_xll.BDH($C$378,"EPS_DILUTED_SEQUENTIAL_GROWTH","FQ4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397" s="2" t="e">
        <f ca="1">_xll.BDH($C$378,"DPS_SEQUENTIAL_GROWTH","FQ4 2017","FQ4 2017","Currency=INR","Period=FQ","BEST_FPERIOD_OVERRIDE=FQ","FILING_STATUS=OR","EQY_CONSOLIDATED=Y","Sort=A","Dates=H","DateFormat=P","Fill=—","Direction=H","UseDPDF=Y")</f>
        <v>#NAME?</v>
      </c>
      <c r="BL397" s="2" t="e">
        <f ca="1">_xll.BDH($C$378,"ACCOUNTS_RECEIVABLE_SEQ_GROWTH","FQ4 2017","FQ4 2017","Currency=INR","Period=FQ","BEST_FPERIOD_OVERRIDE=FQ","FILING_STATUS=OR","EQY_CONSOLIDATED=Y","Sort=A","Dates=H","DateFormat=P","Fill=—","Direction=H","UseDPDF=Y")</f>
        <v>#NAME?</v>
      </c>
      <c r="BM397" s="2" t="e">
        <f ca="1">_xll.BDH($C$378,"INVENTORY_SEQUENTIAL_GROWTH","FQ4 2017","FQ4 2017","Currency=INR","Period=FQ","BEST_FPERIOD_OVERRIDE=FQ","FILING_STATUS=OR","EQY_CONSOLIDATED=Y","Sort=A","Dates=H","DateFormat=P","Fill=—","Direction=H","UseDPDF=Y")</f>
        <v>#NAME?</v>
      </c>
      <c r="BN397" s="2" t="e">
        <f ca="1">_xll.BDH($C$378,"FIXED_ASSETS_SEQUENTIAL_GROWTH","FQ4 2017","FQ4 2017","Currency=INR","Period=FQ","BEST_FPERIOD_OVERRIDE=FQ","FILING_STATUS=OR","EQY_CONSOLIDATED=Y","Sort=A","Dates=H","DateFormat=P","Fill=—","Direction=H","UseDPDF=Y")</f>
        <v>#NAME?</v>
      </c>
      <c r="BO397" s="2" t="e">
        <f ca="1">_xll.BDH($C$378,"TOTAL_ASSETS_SEQUENTIAL_GROWTH","FQ4 2017","FQ4 2017","Currency=INR","Period=FQ","BEST_FPERIOD_OVERRIDE=FQ","FILING_STATUS=OR","EQY_CONSOLIDATED=Y","Sort=A","Dates=H","DateFormat=P","Fill=—","Direction=H","UseDPDF=Y")</f>
        <v>#NAME?</v>
      </c>
      <c r="BP397" s="2" t="e">
        <f ca="1">_xll.BDH($C$378,"MODIFIED_WORKING_CPTL_SEQ_GRWTH","FQ4 2017","FQ4 2017","Currency=INR","Period=FQ","BEST_FPERIOD_OVERRIDE=FQ","FILING_STATUS=OR","EQY_CONSOLIDATED=Y","Sort=A","Dates=H","DateFormat=P","Fill=—","Direction=H","UseDPDF=Y")</f>
        <v>#NAME?</v>
      </c>
      <c r="BQ397" s="2" t="e">
        <f ca="1">_xll.BDH($C$378,"WORKING_CAPITAL_SEQ_GROWTH","FQ4 2017","FQ4 2017","Currency=INR","Period=FQ","BEST_FPERIOD_OVERRIDE=FQ","FILING_STATUS=OR","EQY_CONSOLIDATED=Y","Sort=A","Dates=H","DateFormat=P","Fill=—","Direction=H","UseDPDF=Y")</f>
        <v>#NAME?</v>
      </c>
      <c r="BR397" s="2" t="e">
        <f ca="1">_xll.BDH($C$378,"ACCOUNTS_PAYABLE_SEQ_GROWTH","FQ4 2017","FQ4 2017","Currency=INR","Period=FQ","BEST_FPERIOD_OVERRIDE=FQ","FILING_STATUS=OR","EQY_CONSOLIDATED=Y","Sort=A","Dates=H","DateFormat=P","Fill=—","Direction=H","UseDPDF=Y")</f>
        <v>#NAME?</v>
      </c>
      <c r="BS397" s="2" t="e">
        <f ca="1">_xll.BDH($C$378,"ST_DEBT_SEQUENTIAL_GROWTH","FQ4 2017","FQ4 2017","Currency=INR","Period=FQ","BEST_FPERIOD_OVERRIDE=FQ","FILING_STATUS=OR","EQY_CONSOLIDATED=Y","Sort=A","Dates=H","DateFormat=P","Fill=—","Direction=H","UseDPDF=Y")</f>
        <v>#NAME?</v>
      </c>
      <c r="BT397" s="2" t="e">
        <f ca="1">_xll.BDH($C$378,"TOTAL_DEBT_SEQUENTIAL_GROWTH","FQ4 2017","FQ4 2017","Currency=INR","Period=FQ","BEST_FPERIOD_OVERRIDE=FQ","FILING_STATUS=OR","EQY_CONSOLIDATED=Y","Sort=A","Dates=H","DateFormat=P","Fill=—","Direction=H","UseDPDF=Y")</f>
        <v>#NAME?</v>
      </c>
      <c r="BU397" s="2" t="e">
        <f ca="1">_xll.BDH($C$378,"TOTAL_EQUITY_SEQUENTIAL_GROWTH","FQ4 2017","FQ4 2017","Currency=INR","Period=FQ","BEST_FPERIOD_OVERRIDE=FQ","FILING_STATUS=OR","EQY_CONSOLIDATED=Y","Sort=A","Dates=H","DateFormat=P","Fill=—","Direction=H","UseDPDF=Y")</f>
        <v>#NAME?</v>
      </c>
      <c r="BV397" s="2" t="e">
        <f ca="1">_xll.BDH($C$378,"TOTAL_CAPITAL_SEQUENTIAL_GROWTH","FQ4 2017","FQ4 2017","Currency=INR","Period=FQ","BEST_FPERIOD_OVERRIDE=FQ","FILING_STATUS=OR","EQY_CONSOLIDATED=Y","Sort=A","Dates=H","DateFormat=P","Fill=—","Direction=H","UseDPDF=Y")</f>
        <v>#NAME?</v>
      </c>
      <c r="BW397" s="2" t="e">
        <f ca="1">_xll.BDH($C$378,"BPS_SEQUENTIAL_GROWTH","FQ4 2017","FQ4 2017","Currency=INR","Period=FQ","BEST_FPERIOD_OVERRIDE=FQ","FILING_STATUS=OR","EQY_CONSOLIDATED=Y","Sort=A","Dates=H","DateFormat=P","Fill=—","Direction=H","UseDPDF=Y")</f>
        <v>#NAME?</v>
      </c>
      <c r="BX397" s="2" t="e">
        <f ca="1">_xll.BDH($C$378,"CFO_SEQUENTIAL_GROWTH","FQ4 2017","FQ4 2017","Currency=INR","Period=FQ","BEST_FPERIOD_OVERRIDE=FQ","FILING_STATUS=OR","EQY_CONSOLIDATED=Y","Sort=A","Dates=H","DateFormat=P","Fill=—","Direction=H","UseDPDF=Y")</f>
        <v>#NAME?</v>
      </c>
      <c r="BY397" s="3" t="e">
        <f ca="1">_xll.BDH($C$378,"SHORT_AND_LONG_TERM_DEBT","FQ4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397" s="3" t="e">
        <f ca="1">_xll.BDH($C$378,"BS_ST_BORROW","FQ4 2017","FQ4 2017","Currency=INR","Period=FQ","BEST_FPERIOD_OVERRIDE=FQ","FILING_STATUS=OR","EQY_CONSOLIDATED=Y","SCALING_FORMAT=MLN","Sort=A","Dates=H","DateFormat=P","Fill=—","Direction=H","UseDPDF=Y")</f>
        <v>#NAME?</v>
      </c>
      <c r="CA397" s="3" t="e">
        <f ca="1">_xll.BDH($C$378,"BS_LT_BORROW","FQ4 2017","FQ4 2017","Currency=INR","Period=FQ","BEST_FPERIOD_OVERRIDE=FQ","FILING_STATUS=OR","EQY_CONSOLIDATED=Y","SCALING_FORMAT=MLN","Sort=A","Dates=H","DateFormat=P","Fill=—","Direction=H","UseDPDF=Y")</f>
        <v>#NAME?</v>
      </c>
      <c r="CB397" s="2" t="e">
        <f ca="1">_xll.BDH($C$378,"TOT_DEBT_TO_EBITDA","FQ4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397" s="2" t="e">
        <f ca="1">_xll.BDH($C$378,"NET_DEBT_TO_EBITDA","FQ4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397" s="2" t="e">
        <f ca="1">_xll.BDH($C$378,"TOTAL_DEBT_TO_EBIT","FQ4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397" s="2" t="e">
        <f ca="1">_xll.BDH($C$378,"NET_DEBT_TO_EBIT","FQ4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397" s="2" t="e">
        <f ca="1">_xll.BDH($C$378,"EBITDA_TO_INTEREST_EXPN","FQ4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397" s="2" t="e">
        <f ca="1">_xll.BDH($C$378,"COM_EQY_TO_TOT_ASSET","FQ4 2017","FQ4 2017","Currency=INR","Period=FQ","BEST_FPERIOD_OVERRIDE=FQ","FILING_STATUS=OR","EQY_CONSOLIDATED=Y","Sort=A","Dates=H","DateFormat=P","Fill=—","Direction=H","UseDPDF=Y")</f>
        <v>#NAME?</v>
      </c>
      <c r="CH397" s="2" t="e">
        <f ca="1">_xll.BDH($C$378,"LT_DEBT_TO_TOT_EQY","FQ4 2017","FQ4 2017","Currency=INR","Period=FQ","BEST_FPERIOD_OVERRIDE=FQ","FILING_STATUS=OR","EQY_CONSOLIDATED=Y","Sort=A","Dates=H","DateFormat=P","Fill=—","Direction=H","UseDPDF=Y")</f>
        <v>#NAME?</v>
      </c>
      <c r="CI397" s="2" t="e">
        <f ca="1">_xll.BDH($C$378,"LT_DEBT_TO_TOT_CAP","FQ4 2017","FQ4 2017","Currency=INR","Period=FQ","BEST_FPERIOD_OVERRIDE=FQ","FILING_STATUS=OR","EQY_CONSOLIDATED=Y","Sort=A","Dates=H","DateFormat=P","Fill=—","Direction=H","UseDPDF=Y")</f>
        <v>#NAME?</v>
      </c>
      <c r="CJ397" s="2" t="e">
        <f ca="1">_xll.BDH($C$378,"LT_DEBT_TO_TOT_ASSET","FQ4 2017","FQ4 2017","Currency=INR","Period=FQ","BEST_FPERIOD_OVERRIDE=FQ","FILING_STATUS=OR","EQY_CONSOLIDATED=Y","Sort=A","Dates=H","DateFormat=P","Fill=—","Direction=H","UseDPDF=Y")</f>
        <v>#NAME?</v>
      </c>
      <c r="CK397" s="2" t="e">
        <f ca="1">_xll.BDH($C$378,"TOT_DEBT_TO_TOT_EQY","FQ4 2017","FQ4 2017","Currency=INR","Period=FQ","BEST_FPERIOD_OVERRIDE=FQ","FILING_STATUS=OR","EQY_CONSOLIDATED=Y","Sort=A","Dates=H","DateFormat=P","Fill=—","Direction=H","UseDPDF=Y")</f>
        <v>#NAME?</v>
      </c>
      <c r="CL397" s="2" t="e">
        <f ca="1">_xll.BDH($C$378,"TOT_DEBT_TO_TOT_CAP","FQ4 2017","FQ4 2017","Currency=INR","Period=FQ","BEST_FPERIOD_OVERRIDE=FQ","FILING_STATUS=OR","EQY_CONSOLIDATED=Y","Sort=A","Dates=H","DateFormat=P","Fill=—","Direction=H","UseDPDF=Y")</f>
        <v>#NAME?</v>
      </c>
      <c r="CM397" s="2" t="e">
        <f ca="1">_xll.BDH($C$378,"TOT_DEBT_TO_TOT_ASSET","FQ4 2017","FQ4 2017","Currency=INR","Period=FQ","BEST_FPERIOD_OVERRIDE=FQ","FILING_STATUS=OR","EQY_CONSOLIDATED=Y","Sort=A","Dates=H","DateFormat=P","Fill=—","Direction=H","UseDPDF=Y")</f>
        <v>#NAME?</v>
      </c>
      <c r="CN397" s="2" t="e">
        <f ca="1">_xll.BDH($C$378,"NET_DEBT_TO_SHRHLDR_EQTY","FQ4 2017","FQ4 2017","Currency=INR","Period=FQ","BEST_FPERIOD_OVERRIDE=FQ","FILING_STATUS=OR","EQY_CONSOLIDATED=Y","Sort=A","Dates=H","DateFormat=P","Fill=—","Direction=H","UseDPDF=Y")</f>
        <v>#NAME?</v>
      </c>
      <c r="CO397" s="2" t="e">
        <f ca="1">_xll.BDH($C$378,"NET_DEBT_%_CAPITAL","FQ4 2017","FQ4 2017","Currency=INR","Period=FQ","BEST_FPERIOD_OVERRIDE=FQ","FILING_STATUS=OR","EQY_CONSOLIDATED=Y","Sort=A","Dates=H","DateFormat=P","Fill=—","Direction=H","UseDPDF=Y")</f>
        <v>#NAME?</v>
      </c>
      <c r="CP397" s="3" t="e">
        <f ca="1">_xll.BDH($C$378,"EBITDA","FQ4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397" s="3" t="e">
        <f ca="1">_xll.BDH($C$378,"EBITDA_AFTER_CAPEX","FQ4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397" s="3" t="e">
        <f ca="1">_xll.BDH($C$378,"IS_OPER_INC","FQ4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397" s="2" t="e">
        <f ca="1">_xll.BDH($C$378,"CASH_RATIO","FQ4 2017","FQ4 2017","Currency=INR","Period=FQ","BEST_FPERIOD_OVERRIDE=FQ","FILING_STATUS=OR","EQY_CONSOLIDATED=Y","Sort=A","Dates=H","DateFormat=P","Fill=—","Direction=H","UseDPDF=Y")</f>
        <v>#NAME?</v>
      </c>
      <c r="CT397" s="2" t="e">
        <f ca="1">_xll.BDH($C$378,"CUR_RATIO","FQ4 2017","FQ4 2017","Currency=INR","Period=FQ","BEST_FPERIOD_OVERRIDE=FQ","FILING_STATUS=OR","EQY_CONSOLIDATED=Y","Sort=A","Dates=H","DateFormat=P","Fill=—","Direction=H","UseDPDF=Y")</f>
        <v>#NAME?</v>
      </c>
      <c r="CU397" s="2" t="e">
        <f ca="1">_xll.BDH($C$378,"QUICK_RATIO","FQ4 2017","FQ4 2017","Currency=INR","Period=FQ","BEST_FPERIOD_OVERRIDE=FQ","FILING_STATUS=OR","EQY_CONSOLIDATED=Y","Sort=A","Dates=H","DateFormat=P","Fill=—","Direction=H","UseDPDF=Y")</f>
        <v>#NAME?</v>
      </c>
      <c r="CV397" s="2" t="e">
        <f ca="1">_xll.BDH($C$378,"ALTMAN_Z_SCORE","FQ4 2017","FQ4 2017","Currency=INR","Period=FQ","BEST_FPERIOD_OVERRIDE=FQ","FILING_STATUS=OR","EQY_CONSOLIDATED=Y","Sort=A","Dates=H","DateFormat=P","Fill=—","Direction=H","UseDPDF=Y")</f>
        <v>#NAME?</v>
      </c>
      <c r="CW397" s="4" t="e">
        <f ca="1">_xll.BDH($C$378,"ACCT_RCV_TURN","FQ4 2017","FQ4 2017","Currency=INR","Period=FQ","BEST_FPERIOD_OVERRIDE=FQ","FILING_STATUS=OR","EQY_CONSOLIDATED=Y","FA_ADJUSTED=GAAP","Sort=A","Dates=H","DateFormat=P","Fill=—","Direction=H","UseDPDF=Y")</f>
        <v>#NAME?</v>
      </c>
      <c r="CX397" s="2" t="e">
        <f ca="1">_xll.BDH($C$378,"ACCT_RCV_DAYS","FQ4 2017","FQ4 2017","Currency=INR","Period=FQ","BEST_FPERIOD_OVERRIDE=FQ","FILING_STATUS=OR","EQY_CONSOLIDATED=Y","FA_ADJUSTED=GAAP","Sort=A","Dates=H","DateFormat=P","Fill=—","Direction=H","UseDPDF=Y")</f>
        <v>#NAME?</v>
      </c>
      <c r="CY397" s="4" t="e">
        <f ca="1">_xll.BDH($C$378,"INVENT_TURN","FQ4 2017","FQ4 2017","Currency=INR","Period=FQ","BEST_FPERIOD_OVERRIDE=FQ","FILING_STATUS=OR","EQY_CONSOLIDATED=Y","FA_ADJUSTED=GAAP","Sort=A","Dates=H","DateFormat=P","Fill=—","Direction=H","UseDPDF=Y")</f>
        <v>#NAME?</v>
      </c>
      <c r="CZ397" s="2" t="e">
        <f ca="1">_xll.BDH($C$378,"INVENT_DAYS","FQ4 2017","FQ4 2017","Currency=INR","Period=FQ","BEST_FPERIOD_OVERRIDE=FQ","FILING_STATUS=OR","EQY_CONSOLIDATED=Y","FA_ADJUSTED=GAAP","Sort=A","Dates=H","DateFormat=P","Fill=—","Direction=H","UseDPDF=Y")</f>
        <v>#NAME?</v>
      </c>
      <c r="DA397" s="4" t="e">
        <f ca="1">_xll.BDH($C$378,"ACCOUNTS_PAYABLE_TURNOVER","FQ4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397" s="2" t="e">
        <f ca="1">_xll.BDH($C$378,"ACCOUNTS_PAYABLE_TURNOVER_DAYS","FQ4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397" s="4" t="e">
        <f ca="1">_xll.BDH($C$378,"CASH_CONVERSION_CYCLE","FQ4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397" s="4" t="e">
        <f ca="1">_xll.BDH($C$378,"INV_TO_CASH_DAYS","FQ4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397" s="5" t="e">
        <f ca="1">_xll.BDH($C$378,"BS_INVENTORIES","FQ4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397" s="3" t="e">
        <f ca="1">_xll.BDH($C$378,"INVTRY_RAW_MATERIALS","FQ4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397" s="3" t="e">
        <f ca="1">_xll.BDH($C$378,"INVTRY_IN_PROGRESS","FQ4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397" s="3" t="e">
        <f ca="1">_xll.BDH($C$378,"INVTRY_FINISHED_GOODS","FQ4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397" s="3" t="e">
        <f ca="1">_xll.BDH($C$378,"BS_OTHER_INV","FQ4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398" spans="1:113" x14ac:dyDescent="0.3">
      <c r="A398" s="6"/>
      <c r="B398" s="6"/>
      <c r="C398" s="6"/>
      <c r="D398" s="6" t="s">
        <v>85</v>
      </c>
      <c r="E398" t="s">
        <v>77</v>
      </c>
      <c r="F398" t="e">
        <f ca="1">_xll.BDH($C$378,"RETURN_COM_EQY","FY 2018","FY 2018","Currency=INR","Period=FY","BEST_FPERIOD_OVERRIDE=FY","FILING_STATUS=OR","EQY_CONSOLIDATED=Y","FA_ADJUSTED=GAAP","Sort=A","Dates=H","DateFormat=P","Fill=—","Direction=H","UseDPDF=Y")</f>
        <v>#NAME?</v>
      </c>
      <c r="G398" t="e">
        <f ca="1">_xll.BDH($C$378,"RETURN_ON_ASSET","FY 2018","FY 2018","Currency=INR","Period=FY","BEST_FPERIOD_OVERRIDE=FY","FILING_STATUS=OR","EQY_CONSOLIDATED=Y","FA_ADJUSTED=GAAP","Sort=A","Dates=H","DateFormat=P","Fill=—","Direction=H","UseDPDF=Y")</f>
        <v>#NAME?</v>
      </c>
      <c r="H398" t="e">
        <f ca="1">_xll.BDH($C$378,"RETURN_ON_CAP","FY 2018","FY 2018","Currency=INR","Period=FY","BEST_FPERIOD_OVERRIDE=FY","FILING_STATUS=OR","EQY_CONSOLIDATED=Y","FA_ADJUSTED=GAAP","Sort=A","Dates=H","DateFormat=P","Fill=—","Direction=H","UseDPDF=Y")</f>
        <v>#NAME?</v>
      </c>
      <c r="I398" t="e">
        <f ca="1">_xll.BDH($C$378,"RETURN_ON_INV_CAPITAL","FY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398" t="e">
        <f ca="1">_xll.BDH($C$378,"EBITDA_TO_REVENUE","FY 2018","FY 2018","Currency=INR","Period=FY","BEST_FPERIOD_OVERRIDE=FY","FILING_STATUS=OR","EQY_CONSOLIDATED=Y","FA_ADJUSTED=GAAP","Sort=A","Dates=H","DateFormat=P","Fill=—","Direction=H","UseDPDF=Y")</f>
        <v>#NAME?</v>
      </c>
      <c r="K398" t="e">
        <f ca="1">_xll.BDH($C$378,"OPER_MARGIN","FY 2018","FY 2018","Currency=INR","Period=FY","BEST_FPERIOD_OVERRIDE=FY","FILING_STATUS=OR","EQY_CONSOLIDATED=Y","FA_ADJUSTED=GAAP","Sort=A","Dates=H","DateFormat=P","Fill=—","Direction=H","UseDPDF=Y")</f>
        <v>#NAME?</v>
      </c>
      <c r="L398" t="e">
        <f ca="1">_xll.BDH($C$378,"INCREMENTAL_OPERATING_MARGIN","FY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398" t="e">
        <f ca="1">_xll.BDH($C$378,"PRETAX_INC_TO_NET_SALES","FY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398" t="e">
        <f ca="1">_xll.BDH($C$378,"INC_BEF_XO_ITEMS_TO_NET_SALES","FY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398" t="e">
        <f ca="1">_xll.BDH($C$378,"PROF_MARGIN","FY 2018","FY 2018","Currency=INR","Period=FY","BEST_FPERIOD_OVERRIDE=FY","FILING_STATUS=OR","EQY_CONSOLIDATED=Y","FA_ADJUSTED=GAAP","Sort=A","Dates=H","DateFormat=P","Fill=—","Direction=H","UseDPDF=Y")</f>
        <v>#NAME?</v>
      </c>
      <c r="P398" t="e">
        <f ca="1">_xll.BDH($C$378,"NET_INCOME_TO_COMMON_MARGIN","FY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398" t="e">
        <f ca="1">_xll.BDH($C$378,"EFF_TAX_RATE","FY 2018","FY 2018","Currency=INR","Period=FY","BEST_FPERIOD_OVERRIDE=FY","FILING_STATUS=OR","EQY_CONSOLIDATED=Y","FA_ADJUSTED=GAAP","Sort=A","Dates=H","DateFormat=P","Fill=—","Direction=H","UseDPDF=Y")</f>
        <v>#NAME?</v>
      </c>
      <c r="R398" t="e">
        <f ca="1">_xll.BDH($C$378,"DVD_PAYOUT_RATIO","FY 2018","FY 2018","Currency=INR","Period=FY","BEST_FPERIOD_OVERRIDE=FY","FILING_STATUS=OR","EQY_CONSOLIDATED=Y","FA_ADJUSTED=GAAP","Sort=A","Dates=H","DateFormat=P","Fill=—","Direction=H","UseDPDF=Y")</f>
        <v>#NAME?</v>
      </c>
      <c r="S398" t="e">
        <f ca="1">_xll.BDH($C$378,"SUSTAIN_GROWTH_RT","FY 2018","FY 2018","Currency=INR","Period=FY","BEST_FPERIOD_OVERRIDE=FY","FILING_STATUS=OR","EQY_CONSOLIDATED=Y","FA_ADJUSTED=GAAP","Sort=A","Dates=H","DateFormat=P","Fill=—","Direction=H","UseDPDF=Y")</f>
        <v>#NAME?</v>
      </c>
      <c r="T398" s="2" t="e">
        <f ca="1">_xll.BDH($C$378,"SALES_GROWTH","FY 2018","FY 2018","Currency=INR","Period=FY","BEST_FPERIOD_OVERRIDE=FY","FILING_STATUS=OR","EQY_CONSOLIDATED=Y","FA_ADJUSTED=GAAP","Sort=A","Dates=H","DateFormat=P","Fill=—","Direction=H","UseDPDF=Y")</f>
        <v>#NAME?</v>
      </c>
      <c r="U398" s="2" t="e">
        <f ca="1">_xll.BDH($C$378,"EBITDA_GROWTH","FY 2018","FY 2018","Currency=INR","Period=FY","BEST_FPERIOD_OVERRIDE=FY","FILING_STATUS=OR","EQY_CONSOLIDATED=Y","FA_ADJUSTED=GAAP","Sort=A","Dates=H","DateFormat=P","Fill=—","Direction=H","UseDPDF=Y")</f>
        <v>#NAME?</v>
      </c>
      <c r="V398" s="2" t="e">
        <f ca="1">_xll.BDH($C$378,"OPER_INC_GROWTH","FY 2018","FY 2018","Currency=INR","Period=FY","BEST_FPERIOD_OVERRIDE=FY","FILING_STATUS=OR","EQY_CONSOLIDATED=Y","FA_ADJUSTED=GAAP","Sort=A","Dates=H","DateFormat=P","Fill=—","Direction=H","UseDPDF=Y")</f>
        <v>#NAME?</v>
      </c>
      <c r="W398" s="2" t="e">
        <f ca="1">_xll.BDH($C$378,"EARN_FOR_COM_GROWTH","FY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398" s="2" t="e">
        <f ca="1">_xll.BDH($C$378,"DILUTED_EPS_AFT_XO_ITEMS_GROWTH","FY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398" s="2" t="e">
        <f ca="1">_xll.BDH($C$378,"DIVIDEND_PER_SHARE_1_YEAR_GROWTH","FY 2018","FY 2018","Currency=INR","Period=FY","BEST_FPERIOD_OVERRIDE=FY","FILING_STATUS=OR","EQY_CONSOLIDATED=Y","Sort=A","Dates=H","DateFormat=P","Fill=—","Direction=H","UseDPDF=Y")</f>
        <v>#NAME?</v>
      </c>
      <c r="Z398" s="2" t="e">
        <f ca="1">_xll.BDH($C$378,"ACCOUNTS_RECEIVABLE_GROWTH","FY 2018","FY 2018","Currency=INR","Period=FY","BEST_FPERIOD_OVERRIDE=FY","FILING_STATUS=OR","EQY_CONSOLIDATED=Y","Sort=A","Dates=H","DateFormat=P","Fill=—","Direction=H","UseDPDF=Y")</f>
        <v>#NAME?</v>
      </c>
      <c r="AA398" s="2" t="e">
        <f ca="1">_xll.BDH($C$378,"INVENTORY_GROWTH","FY 2018","FY 2018","Currency=INR","Period=FY","BEST_FPERIOD_OVERRIDE=FY","FILING_STATUS=OR","EQY_CONSOLIDATED=Y","Sort=A","Dates=H","DateFormat=P","Fill=—","Direction=H","UseDPDF=Y")</f>
        <v>#NAME?</v>
      </c>
      <c r="AB398" s="2" t="e">
        <f ca="1">_xll.BDH($C$378,"NET_FIXED_ASSETS_1_YEAR_GROWTH","FY 2018","FY 2018","Currency=INR","Period=FY","BEST_FPERIOD_OVERRIDE=FY","FILING_STATUS=OR","EQY_CONSOLIDATED=Y","Sort=A","Dates=H","DateFormat=P","Fill=—","Direction=H","UseDPDF=Y")</f>
        <v>#NAME?</v>
      </c>
      <c r="AC398" s="2" t="e">
        <f ca="1">_xll.BDH($C$378,"ASSET_GROWTH","FY 2018","FY 2018","Currency=INR","Period=FY","BEST_FPERIOD_OVERRIDE=FY","FILING_STATUS=OR","EQY_CONSOLIDATED=Y","Sort=A","Dates=H","DateFormat=P","Fill=—","Direction=H","UseDPDF=Y")</f>
        <v>#NAME?</v>
      </c>
      <c r="AD398" s="2" t="e">
        <f ca="1">_xll.BDH($C$378,"MODIFIED_WORK_CAP_GROWTH","FY 2018","FY 2018","Currency=INR","Period=FY","BEST_FPERIOD_OVERRIDE=FY","FILING_STATUS=OR","EQY_CONSOLIDATED=Y","Sort=A","Dates=H","DateFormat=P","Fill=—","Direction=H","UseDPDF=Y")</f>
        <v>#NAME?</v>
      </c>
      <c r="AE398" s="2" t="e">
        <f ca="1">_xll.BDH($C$378,"WORK_CAP_GROWTH","FY 2018","FY 2018","Currency=INR","Period=FY","BEST_FPERIOD_OVERRIDE=FY","FILING_STATUS=OR","EQY_CONSOLIDATED=Y","Sort=A","Dates=H","DateFormat=P","Fill=—","Direction=H","UseDPDF=Y")</f>
        <v>#NAME?</v>
      </c>
      <c r="AF398" s="2" t="e">
        <f ca="1">_xll.BDH($C$378,"ACCOUNTS_PAYABLE_GROWTH_1YR","FY 2018","FY 2018","Currency=INR","Period=FY","BEST_FPERIOD_OVERRIDE=FY","FILING_STATUS=OR","EQY_CONSOLIDATED=Y","Sort=A","Dates=H","DateFormat=P","Fill=—","Direction=H","UseDPDF=Y")</f>
        <v>#NAME?</v>
      </c>
      <c r="AG398" s="2" t="e">
        <f ca="1">_xll.BDH($C$378,"SHORT_TERM_DEBT_1_YEAR_GROWTH","FY 2018","FY 2018","Currency=INR","Period=FY","BEST_FPERIOD_OVERRIDE=FY","FILING_STATUS=OR","EQY_CONSOLIDATED=Y","Sort=A","Dates=H","DateFormat=P","Fill=—","Direction=H","UseDPDF=Y")</f>
        <v>#NAME?</v>
      </c>
      <c r="AH398" s="2" t="e">
        <f ca="1">_xll.BDH($C$378,"TOTAL_DEBT_1_YEAR_GROWTH","FY 2018","FY 2018","Currency=INR","Period=FY","BEST_FPERIOD_OVERRIDE=FY","FILING_STATUS=OR","EQY_CONSOLIDATED=Y","Sort=A","Dates=H","DateFormat=P","Fill=—","Direction=H","UseDPDF=Y")</f>
        <v>#NAME?</v>
      </c>
      <c r="AI398" s="2" t="e">
        <f ca="1">_xll.BDH($C$378,"TOTAL_EQUITY_1_YEAR_GROWTH","FY 2018","FY 2018","Currency=INR","Period=FY","BEST_FPERIOD_OVERRIDE=FY","FILING_STATUS=OR","EQY_CONSOLIDATED=Y","Sort=A","Dates=H","DateFormat=P","Fill=—","Direction=H","UseDPDF=Y")</f>
        <v>#NAME?</v>
      </c>
      <c r="AJ398" s="2" t="e">
        <f ca="1">_xll.BDH($C$378,"GROWTH_IN_CAP","FY 2018","FY 2018","Currency=INR","Period=FY","BEST_FPERIOD_OVERRIDE=FY","FILING_STATUS=OR","EQY_CONSOLIDATED=Y","Sort=A","Dates=H","DateFormat=P","Fill=—","Direction=H","UseDPDF=Y")</f>
        <v>#NAME?</v>
      </c>
      <c r="AK398" s="2" t="e">
        <f ca="1">_xll.BDH($C$378,"BVPS_GROWTH","FY 2018","FY 2018","Currency=INR","Period=FY","BEST_FPERIOD_OVERRIDE=FY","FILING_STATUS=OR","EQY_CONSOLIDATED=Y","Sort=A","Dates=H","DateFormat=P","Fill=—","Direction=H","UseDPDF=Y")</f>
        <v>#NAME?</v>
      </c>
      <c r="AL398" s="2" t="e">
        <f ca="1">_xll.BDH($C$378,"CASH_FLOW_GROWTH","FY 2018","FY 2018","Currency=INR","Period=FY","BEST_FPERIOD_OVERRIDE=FY","FILING_STATUS=OR","EQY_CONSOLIDATED=Y","Sort=A","Dates=H","DateFormat=P","Fill=—","Direction=H","UseDPDF=Y")</f>
        <v>#NAME?</v>
      </c>
      <c r="AM398" s="2" t="e">
        <f ca="1">_xll.BDH($C$378,"GEO_GROW_NET_SALES","FY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398" s="2" t="e">
        <f ca="1">_xll.BDH($C$378,"GEO_GROW_EBITDA","FY 2018","FY 2018","Currency=INR","Period=FY","BEST_FPERIOD_OVERRIDE=FY","FILING_STATUS=OR","EQY_CONSOLIDATED=Y","FA_ADJUSTED=GAAP","Sort=A","Dates=H","DateFormat=P","Fill=—","Direction=H","UseDPDF=Y")</f>
        <v>#NAME?</v>
      </c>
      <c r="AO398" s="2" t="e">
        <f ca="1">_xll.BDH($C$378,"GEO_GROW_OPER_INC","FY 2018","FY 2018","Currency=INR","Period=FY","BEST_FPERIOD_OVERRIDE=FY","FILING_STATUS=OR","EQY_CONSOLIDATED=Y","FA_ADJUSTED=GAAP","Sort=A","Dates=H","DateFormat=P","Fill=—","Direction=H","UseDPDF=Y")</f>
        <v>#NAME?</v>
      </c>
      <c r="AP398" s="2" t="e">
        <f ca="1">_xll.BDH($C$378,"NET_INCOME_TO_COMMON_5_YR_GROWTH","FY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398" s="2" t="e">
        <f ca="1">_xll.BDH($C$378,"5Y_GEO_GROWTH_DILUTED_EPS","FY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398" s="2" t="e">
        <f ca="1">_xll.BDH($C$378,"GEO_GROW_DVD_PER_SH","FY 2018","FY 2018","Currency=INR","Period=FY","BEST_FPERIOD_OVERRIDE=FY","FILING_STATUS=OR","EQY_CONSOLIDATED=Y","Sort=A","Dates=H","DateFormat=P","Fill=—","Direction=H","UseDPDF=Y")</f>
        <v>#NAME?</v>
      </c>
      <c r="AS398" s="2" t="e">
        <f ca="1">_xll.BDH($C$378,"ACCOUNTS_RECEIVABLE_5_YR_GROWTH","FY 2018","FY 2018","Currency=INR","Period=FY","BEST_FPERIOD_OVERRIDE=FY","FILING_STATUS=OR","EQY_CONSOLIDATED=Y","Sort=A","Dates=H","DateFormat=P","Fill=—","Direction=H","UseDPDF=Y")</f>
        <v>#NAME?</v>
      </c>
      <c r="AT398" s="2" t="e">
        <f ca="1">_xll.BDH($C$378,"INVENTORY_5_YEAR_GROWTH","FY 2018","FY 2018","Currency=INR","Period=FY","BEST_FPERIOD_OVERRIDE=FY","FILING_STATUS=OR","EQY_CONSOLIDATED=Y","Sort=A","Dates=H","DateFormat=P","Fill=—","Direction=H","UseDPDF=Y")</f>
        <v>#NAME?</v>
      </c>
      <c r="AU398" s="2" t="e">
        <f ca="1">_xll.BDH($C$378,"NET_FIXED_ASSETS_5_YEAR_GROWTH","FY 2018","FY 2018","Currency=INR","Period=FY","BEST_FPERIOD_OVERRIDE=FY","FILING_STATUS=OR","EQY_CONSOLIDATED=Y","Sort=A","Dates=H","DateFormat=P","Fill=—","Direction=H","UseDPDF=Y")</f>
        <v>#NAME?</v>
      </c>
      <c r="AV398" s="2" t="e">
        <f ca="1">_xll.BDH($C$378,"GEO_GROW_TOT_ASSET","FY 2018","FY 2018","Currency=INR","Period=FY","BEST_FPERIOD_OVERRIDE=FY","FILING_STATUS=OR","EQY_CONSOLIDATED=Y","Sort=A","Dates=H","DateFormat=P","Fill=—","Direction=H","UseDPDF=Y")</f>
        <v>#NAME?</v>
      </c>
      <c r="AW398" s="2" t="e">
        <f ca="1">_xll.BDH($C$378,"MODIFIED_WORKING_CPTL_5YR_GRWTH","FY 2018","FY 2018","Currency=INR","Period=FY","BEST_FPERIOD_OVERRIDE=FY","FILING_STATUS=OR","EQY_CONSOLIDATED=Y","Sort=A","Dates=H","DateFormat=P","Fill=—","Direction=H","UseDPDF=Y")</f>
        <v>#NAME?</v>
      </c>
      <c r="AX398" s="2" t="e">
        <f ca="1">_xll.BDH($C$378,"WORKING_CAPITAL_5_YEAR_GROWTH","FY 2018","FY 2018","Currency=INR","Period=FY","BEST_FPERIOD_OVERRIDE=FY","FILING_STATUS=OR","EQY_CONSOLIDATED=Y","Sort=A","Dates=H","DateFormat=P","Fill=—","Direction=H","UseDPDF=Y")</f>
        <v>#NAME?</v>
      </c>
      <c r="AY398" s="2" t="e">
        <f ca="1">_xll.BDH($C$378,"ACCOUNTS_PAYABLE_5_YEAR_GROWTH","FY 2018","FY 2018","Currency=INR","Period=FY","BEST_FPERIOD_OVERRIDE=FY","FILING_STATUS=OR","EQY_CONSOLIDATED=Y","Sort=A","Dates=H","DateFormat=P","Fill=—","Direction=H","UseDPDF=Y")</f>
        <v>#NAME?</v>
      </c>
      <c r="AZ398" s="2" t="e">
        <f ca="1">_xll.BDH($C$378,"SHORT_TERM_DEBT_5_YEAR_GROWTH","FY 2018","FY 2018","Currency=INR","Period=FY","BEST_FPERIOD_OVERRIDE=FY","FILING_STATUS=OR","EQY_CONSOLIDATED=Y","Sort=A","Dates=H","DateFormat=P","Fill=—","Direction=H","UseDPDF=Y")</f>
        <v>#NAME?</v>
      </c>
      <c r="BA398" s="2" t="e">
        <f ca="1">_xll.BDH($C$378,"TOTAL_DEBT_5_YEAR_GROWTH","FY 2018","FY 2018","Currency=INR","Period=FY","BEST_FPERIOD_OVERRIDE=FY","FILING_STATUS=OR","EQY_CONSOLIDATED=Y","Sort=A","Dates=H","DateFormat=P","Fill=—","Direction=H","UseDPDF=Y")</f>
        <v>#NAME?</v>
      </c>
      <c r="BB398" s="2" t="e">
        <f ca="1">_xll.BDH($C$378,"GEO_GROW_TOT_SHRHLDR_EQY","FY 2018","FY 2018","Currency=INR","Period=FY","BEST_FPERIOD_OVERRIDE=FY","FILING_STATUS=OR","EQY_CONSOLIDATED=Y","Sort=A","Dates=H","DateFormat=P","Fill=—","Direction=H","UseDPDF=Y")</f>
        <v>#NAME?</v>
      </c>
      <c r="BC398" s="2" t="e">
        <f ca="1">_xll.BDH($C$378,"TOTAL_CAPITAL_5_YEAR_GROWTH","FY 2018","FY 2018","Currency=INR","Period=FY","BEST_FPERIOD_OVERRIDE=FY","FILING_STATUS=OR","EQY_CONSOLIDATED=Y","Sort=A","Dates=H","DateFormat=P","Fill=—","Direction=H","UseDPDF=Y")</f>
        <v>#NAME?</v>
      </c>
      <c r="BD398" s="2" t="e">
        <f ca="1">_xll.BDH($C$378,"GEO_GROW_BOOK_VAL","FY 2018","FY 2018","Currency=INR","Period=FY","BEST_FPERIOD_OVERRIDE=FY","FILING_STATUS=OR","EQY_CONSOLIDATED=Y","Sort=A","Dates=H","DateFormat=P","Fill=—","Direction=H","UseDPDF=Y")</f>
        <v>#NAME?</v>
      </c>
      <c r="BE398" s="2" t="e">
        <f ca="1">_xll.BDH($C$378,"GEO_GROW_CASH_OPER_ACT","FY 2018","FY 2018","Currency=INR","Period=FY","BEST_FPERIOD_OVERRIDE=FY","FILING_STATUS=OR","EQY_CONSOLIDATED=Y","Sort=A","Dates=H","DateFormat=P","Fill=—","Direction=H","UseDPDF=Y")</f>
        <v>#NAME?</v>
      </c>
      <c r="BF398" s="2" t="e">
        <f ca="1">_xll.BDH($C$378,"REVENUE_SEQUENTIAL_GROWTH","FY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398" s="2" t="e">
        <f ca="1">_xll.BDH($C$378,"EBITDA_SEQUENTIAL_GROWTH","FY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398" s="2" t="e">
        <f ca="1">_xll.BDH($C$378,"OPERATING_INCOME_SEQ_GROWTH","FY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398" s="2" t="e">
        <f ca="1">_xll.BDH($C$378,"NET_INCOME_TO_COMMON_SEQ_GROWTH","FY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398" s="2" t="e">
        <f ca="1">_xll.BDH($C$378,"EPS_DILUTED_SEQUENTIAL_GROWTH","FY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398" s="2" t="e">
        <f ca="1">_xll.BDH($C$378,"DPS_SEQUENTIAL_GROWTH","FY 2018","FY 2018","Currency=INR","Period=FY","BEST_FPERIOD_OVERRIDE=FY","FILING_STATUS=OR","EQY_CONSOLIDATED=Y","Sort=A","Dates=H","DateFormat=P","Fill=—","Direction=H","UseDPDF=Y")</f>
        <v>#NAME?</v>
      </c>
      <c r="BL398" s="2" t="e">
        <f ca="1">_xll.BDH($C$378,"ACCOUNTS_RECEIVABLE_SEQ_GROWTH","FY 2018","FY 2018","Currency=INR","Period=FY","BEST_FPERIOD_OVERRIDE=FY","FILING_STATUS=OR","EQY_CONSOLIDATED=Y","Sort=A","Dates=H","DateFormat=P","Fill=—","Direction=H","UseDPDF=Y")</f>
        <v>#NAME?</v>
      </c>
      <c r="BM398" s="2" t="e">
        <f ca="1">_xll.BDH($C$378,"INVENTORY_SEQUENTIAL_GROWTH","FY 2018","FY 2018","Currency=INR","Period=FY","BEST_FPERIOD_OVERRIDE=FY","FILING_STATUS=OR","EQY_CONSOLIDATED=Y","Sort=A","Dates=H","DateFormat=P","Fill=—","Direction=H","UseDPDF=Y")</f>
        <v>#NAME?</v>
      </c>
      <c r="BN398" s="2" t="e">
        <f ca="1">_xll.BDH($C$378,"FIXED_ASSETS_SEQUENTIAL_GROWTH","FY 2018","FY 2018","Currency=INR","Period=FY","BEST_FPERIOD_OVERRIDE=FY","FILING_STATUS=OR","EQY_CONSOLIDATED=Y","Sort=A","Dates=H","DateFormat=P","Fill=—","Direction=H","UseDPDF=Y")</f>
        <v>#NAME?</v>
      </c>
      <c r="BO398" s="2" t="e">
        <f ca="1">_xll.BDH($C$378,"TOTAL_ASSETS_SEQUENTIAL_GROWTH","FY 2018","FY 2018","Currency=INR","Period=FY","BEST_FPERIOD_OVERRIDE=FY","FILING_STATUS=OR","EQY_CONSOLIDATED=Y","Sort=A","Dates=H","DateFormat=P","Fill=—","Direction=H","UseDPDF=Y")</f>
        <v>#NAME?</v>
      </c>
      <c r="BP398" s="2" t="e">
        <f ca="1">_xll.BDH($C$378,"MODIFIED_WORKING_CPTL_SEQ_GRWTH","FY 2018","FY 2018","Currency=INR","Period=FY","BEST_FPERIOD_OVERRIDE=FY","FILING_STATUS=OR","EQY_CONSOLIDATED=Y","Sort=A","Dates=H","DateFormat=P","Fill=—","Direction=H","UseDPDF=Y")</f>
        <v>#NAME?</v>
      </c>
      <c r="BQ398" s="2" t="e">
        <f ca="1">_xll.BDH($C$378,"WORKING_CAPITAL_SEQ_GROWTH","FY 2018","FY 2018","Currency=INR","Period=FY","BEST_FPERIOD_OVERRIDE=FY","FILING_STATUS=OR","EQY_CONSOLIDATED=Y","Sort=A","Dates=H","DateFormat=P","Fill=—","Direction=H","UseDPDF=Y")</f>
        <v>#NAME?</v>
      </c>
      <c r="BR398" s="2" t="e">
        <f ca="1">_xll.BDH($C$378,"ACCOUNTS_PAYABLE_SEQ_GROWTH","FY 2018","FY 2018","Currency=INR","Period=FY","BEST_FPERIOD_OVERRIDE=FY","FILING_STATUS=OR","EQY_CONSOLIDATED=Y","Sort=A","Dates=H","DateFormat=P","Fill=—","Direction=H","UseDPDF=Y")</f>
        <v>#NAME?</v>
      </c>
      <c r="BS398" s="2" t="e">
        <f ca="1">_xll.BDH($C$378,"ST_DEBT_SEQUENTIAL_GROWTH","FY 2018","FY 2018","Currency=INR","Period=FY","BEST_FPERIOD_OVERRIDE=FY","FILING_STATUS=OR","EQY_CONSOLIDATED=Y","Sort=A","Dates=H","DateFormat=P","Fill=—","Direction=H","UseDPDF=Y")</f>
        <v>#NAME?</v>
      </c>
      <c r="BT398" s="2" t="e">
        <f ca="1">_xll.BDH($C$378,"TOTAL_DEBT_SEQUENTIAL_GROWTH","FY 2018","FY 2018","Currency=INR","Period=FY","BEST_FPERIOD_OVERRIDE=FY","FILING_STATUS=OR","EQY_CONSOLIDATED=Y","Sort=A","Dates=H","DateFormat=P","Fill=—","Direction=H","UseDPDF=Y")</f>
        <v>#NAME?</v>
      </c>
      <c r="BU398" s="2" t="e">
        <f ca="1">_xll.BDH($C$378,"TOTAL_EQUITY_SEQUENTIAL_GROWTH","FY 2018","FY 2018","Currency=INR","Period=FY","BEST_FPERIOD_OVERRIDE=FY","FILING_STATUS=OR","EQY_CONSOLIDATED=Y","Sort=A","Dates=H","DateFormat=P","Fill=—","Direction=H","UseDPDF=Y")</f>
        <v>#NAME?</v>
      </c>
      <c r="BV398" s="2" t="e">
        <f ca="1">_xll.BDH($C$378,"TOTAL_CAPITAL_SEQUENTIAL_GROWTH","FY 2018","FY 2018","Currency=INR","Period=FY","BEST_FPERIOD_OVERRIDE=FY","FILING_STATUS=OR","EQY_CONSOLIDATED=Y","Sort=A","Dates=H","DateFormat=P","Fill=—","Direction=H","UseDPDF=Y")</f>
        <v>#NAME?</v>
      </c>
      <c r="BW398" s="2" t="e">
        <f ca="1">_xll.BDH($C$378,"BPS_SEQUENTIAL_GROWTH","FY 2018","FY 2018","Currency=INR","Period=FY","BEST_FPERIOD_OVERRIDE=FY","FILING_STATUS=OR","EQY_CONSOLIDATED=Y","Sort=A","Dates=H","DateFormat=P","Fill=—","Direction=H","UseDPDF=Y")</f>
        <v>#NAME?</v>
      </c>
      <c r="BX398" s="2" t="e">
        <f ca="1">_xll.BDH($C$378,"CFO_SEQUENTIAL_GROWTH","FY 2018","FY 2018","Currency=INR","Period=FY","BEST_FPERIOD_OVERRIDE=FY","FILING_STATUS=OR","EQY_CONSOLIDATED=Y","Sort=A","Dates=H","DateFormat=P","Fill=—","Direction=H","UseDPDF=Y")</f>
        <v>#NAME?</v>
      </c>
      <c r="BY398" s="3" t="e">
        <f ca="1">_xll.BDH($C$378,"SHORT_AND_LONG_TERM_DEBT","FY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398" s="3" t="e">
        <f ca="1">_xll.BDH($C$378,"BS_ST_BORROW","FY 2018","FY 2018","Currency=INR","Period=FY","BEST_FPERIOD_OVERRIDE=FY","FILING_STATUS=OR","EQY_CONSOLIDATED=Y","SCALING_FORMAT=MLN","Sort=A","Dates=H","DateFormat=P","Fill=—","Direction=H","UseDPDF=Y")</f>
        <v>#NAME?</v>
      </c>
      <c r="CA398" s="3" t="e">
        <f ca="1">_xll.BDH($C$378,"BS_LT_BORROW","FY 2018","FY 2018","Currency=INR","Period=FY","BEST_FPERIOD_OVERRIDE=FY","FILING_STATUS=OR","EQY_CONSOLIDATED=Y","SCALING_FORMAT=MLN","Sort=A","Dates=H","DateFormat=P","Fill=—","Direction=H","UseDPDF=Y")</f>
        <v>#NAME?</v>
      </c>
      <c r="CB398" s="2" t="e">
        <f ca="1">_xll.BDH($C$378,"TOT_DEBT_TO_EBITDA","FY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398" s="2" t="e">
        <f ca="1">_xll.BDH($C$378,"NET_DEBT_TO_EBITDA","FY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398" s="2" t="e">
        <f ca="1">_xll.BDH($C$378,"TOTAL_DEBT_TO_EBIT","FY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398" s="2" t="e">
        <f ca="1">_xll.BDH($C$378,"NET_DEBT_TO_EBIT","FY 2018","FY 2018","Currency=INR","Period=FY","BEST_FPERIOD_OVERRIDE=FY","FILING_STATUS=OR","EQY_CONSOLIDATED=Y","FA_ADJUSTED=GAAP","Sort=A","Dates=H","DateFormat=P","Fill=—","Direction=H","UseDPDF=Y")</f>
        <v>#NAME?</v>
      </c>
      <c r="CF398" s="2" t="e">
        <f ca="1">_xll.BDH($C$378,"EBITDA_TO_INTEREST_EXPN","FY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398" s="2" t="e">
        <f ca="1">_xll.BDH($C$378,"COM_EQY_TO_TOT_ASSET","FY 2018","FY 2018","Currency=INR","Period=FY","BEST_FPERIOD_OVERRIDE=FY","FILING_STATUS=OR","EQY_CONSOLIDATED=Y","Sort=A","Dates=H","DateFormat=P","Fill=—","Direction=H","UseDPDF=Y")</f>
        <v>#NAME?</v>
      </c>
      <c r="CH398" s="2" t="e">
        <f ca="1">_xll.BDH($C$378,"LT_DEBT_TO_TOT_EQY","FY 2018","FY 2018","Currency=INR","Period=FY","BEST_FPERIOD_OVERRIDE=FY","FILING_STATUS=OR","EQY_CONSOLIDATED=Y","Sort=A","Dates=H","DateFormat=P","Fill=—","Direction=H","UseDPDF=Y")</f>
        <v>#NAME?</v>
      </c>
      <c r="CI398" s="2" t="e">
        <f ca="1">_xll.BDH($C$378,"LT_DEBT_TO_TOT_CAP","FY 2018","FY 2018","Currency=INR","Period=FY","BEST_FPERIOD_OVERRIDE=FY","FILING_STATUS=OR","EQY_CONSOLIDATED=Y","Sort=A","Dates=H","DateFormat=P","Fill=—","Direction=H","UseDPDF=Y")</f>
        <v>#NAME?</v>
      </c>
      <c r="CJ398" s="2" t="e">
        <f ca="1">_xll.BDH($C$378,"LT_DEBT_TO_TOT_ASSET","FY 2018","FY 2018","Currency=INR","Period=FY","BEST_FPERIOD_OVERRIDE=FY","FILING_STATUS=OR","EQY_CONSOLIDATED=Y","Sort=A","Dates=H","DateFormat=P","Fill=—","Direction=H","UseDPDF=Y")</f>
        <v>#NAME?</v>
      </c>
      <c r="CK398" s="2" t="e">
        <f ca="1">_xll.BDH($C$378,"TOT_DEBT_TO_TOT_EQY","FY 2018","FY 2018","Currency=INR","Period=FY","BEST_FPERIOD_OVERRIDE=FY","FILING_STATUS=OR","EQY_CONSOLIDATED=Y","Sort=A","Dates=H","DateFormat=P","Fill=—","Direction=H","UseDPDF=Y")</f>
        <v>#NAME?</v>
      </c>
      <c r="CL398" s="2" t="e">
        <f ca="1">_xll.BDH($C$378,"TOT_DEBT_TO_TOT_CAP","FY 2018","FY 2018","Currency=INR","Period=FY","BEST_FPERIOD_OVERRIDE=FY","FILING_STATUS=OR","EQY_CONSOLIDATED=Y","Sort=A","Dates=H","DateFormat=P","Fill=—","Direction=H","UseDPDF=Y")</f>
        <v>#NAME?</v>
      </c>
      <c r="CM398" s="2" t="e">
        <f ca="1">_xll.BDH($C$378,"TOT_DEBT_TO_TOT_ASSET","FY 2018","FY 2018","Currency=INR","Period=FY","BEST_FPERIOD_OVERRIDE=FY","FILING_STATUS=OR","EQY_CONSOLIDATED=Y","Sort=A","Dates=H","DateFormat=P","Fill=—","Direction=H","UseDPDF=Y")</f>
        <v>#NAME?</v>
      </c>
      <c r="CN398" s="2" t="e">
        <f ca="1">_xll.BDH($C$378,"NET_DEBT_TO_SHRHLDR_EQTY","FY 2018","FY 2018","Currency=INR","Period=FY","BEST_FPERIOD_OVERRIDE=FY","FILING_STATUS=OR","EQY_CONSOLIDATED=Y","Sort=A","Dates=H","DateFormat=P","Fill=—","Direction=H","UseDPDF=Y")</f>
        <v>#NAME?</v>
      </c>
      <c r="CO398" s="2" t="e">
        <f ca="1">_xll.BDH($C$378,"NET_DEBT_%_CAPITAL","FY 2018","FY 2018","Currency=INR","Period=FY","BEST_FPERIOD_OVERRIDE=FY","FILING_STATUS=OR","EQY_CONSOLIDATED=Y","Sort=A","Dates=H","DateFormat=P","Fill=—","Direction=H","UseDPDF=Y")</f>
        <v>#NAME?</v>
      </c>
      <c r="CP398" s="3" t="e">
        <f ca="1">_xll.BDH($C$378,"EBITDA","FY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398" s="3" t="e">
        <f ca="1">_xll.BDH($C$378,"EBITDA_AFTER_CAPEX","FY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398" s="3" t="e">
        <f ca="1">_xll.BDH($C$378,"IS_OPER_INC","FY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398" s="2" t="e">
        <f ca="1">_xll.BDH($C$378,"CASH_RATIO","FY 2018","FY 2018","Currency=INR","Period=FY","BEST_FPERIOD_OVERRIDE=FY","FILING_STATUS=OR","EQY_CONSOLIDATED=Y","Sort=A","Dates=H","DateFormat=P","Fill=—","Direction=H","UseDPDF=Y")</f>
        <v>#NAME?</v>
      </c>
      <c r="CT398" s="2" t="e">
        <f ca="1">_xll.BDH($C$378,"CUR_RATIO","FY 2018","FY 2018","Currency=INR","Period=FY","BEST_FPERIOD_OVERRIDE=FY","FILING_STATUS=OR","EQY_CONSOLIDATED=Y","Sort=A","Dates=H","DateFormat=P","Fill=—","Direction=H","UseDPDF=Y")</f>
        <v>#NAME?</v>
      </c>
      <c r="CU398" s="2" t="e">
        <f ca="1">_xll.BDH($C$378,"QUICK_RATIO","FY 2018","FY 2018","Currency=INR","Period=FY","BEST_FPERIOD_OVERRIDE=FY","FILING_STATUS=OR","EQY_CONSOLIDATED=Y","Sort=A","Dates=H","DateFormat=P","Fill=—","Direction=H","UseDPDF=Y")</f>
        <v>#NAME?</v>
      </c>
      <c r="CV398" s="2" t="e">
        <f ca="1">_xll.BDH($C$378,"ALTMAN_Z_SCORE","FY 2018","FY 2018","Currency=INR","Period=FY","BEST_FPERIOD_OVERRIDE=FY","FILING_STATUS=OR","EQY_CONSOLIDATED=Y","Sort=A","Dates=H","DateFormat=P","Fill=—","Direction=H","UseDPDF=Y")</f>
        <v>#NAME?</v>
      </c>
      <c r="CW398" s="4" t="e">
        <f ca="1">_xll.BDH($C$378,"ACCT_RCV_TURN","FY 2018","FY 2018","Currency=INR","Period=FY","BEST_FPERIOD_OVERRIDE=FY","FILING_STATUS=OR","EQY_CONSOLIDATED=Y","FA_ADJUSTED=GAAP","Sort=A","Dates=H","DateFormat=P","Fill=—","Direction=H","UseDPDF=Y")</f>
        <v>#NAME?</v>
      </c>
      <c r="CX398" s="2" t="e">
        <f ca="1">_xll.BDH($C$378,"ACCT_RCV_DAYS","FY 2018","FY 2018","Currency=INR","Period=FY","BEST_FPERIOD_OVERRIDE=FY","FILING_STATUS=OR","EQY_CONSOLIDATED=Y","FA_ADJUSTED=GAAP","Sort=A","Dates=H","DateFormat=P","Fill=—","Direction=H","UseDPDF=Y")</f>
        <v>#NAME?</v>
      </c>
      <c r="CY398" s="4" t="e">
        <f ca="1">_xll.BDH($C$378,"INVENT_TURN","FY 2018","FY 2018","Currency=INR","Period=FY","BEST_FPERIOD_OVERRIDE=FY","FILING_STATUS=OR","EQY_CONSOLIDATED=Y","FA_ADJUSTED=GAAP","Sort=A","Dates=H","DateFormat=P","Fill=—","Direction=H","UseDPDF=Y")</f>
        <v>#NAME?</v>
      </c>
      <c r="CZ398" s="2" t="e">
        <f ca="1">_xll.BDH($C$378,"INVENT_DAYS","FY 2018","FY 2018","Currency=INR","Period=FY","BEST_FPERIOD_OVERRIDE=FY","FILING_STATUS=OR","EQY_CONSOLIDATED=Y","FA_ADJUSTED=GAAP","Sort=A","Dates=H","DateFormat=P","Fill=—","Direction=H","UseDPDF=Y")</f>
        <v>#NAME?</v>
      </c>
      <c r="DA398" s="4" t="e">
        <f ca="1">_xll.BDH($C$378,"ACCOUNTS_PAYABLE_TURNOVER","FY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398" s="2" t="e">
        <f ca="1">_xll.BDH($C$378,"ACCOUNTS_PAYABLE_TURNOVER_DAYS","FY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398" s="4" t="e">
        <f ca="1">_xll.BDH($C$378,"CASH_CONVERSION_CYCLE","FY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398" s="4" t="e">
        <f ca="1">_xll.BDH($C$378,"INV_TO_CASH_DAYS","FY 2018","FY 2018","Currency=INR","Period=FY","BEST_FPERIOD_OVERRIDE=FY","FILING_STATUS=OR","EQY_CONSOLIDATED=Y","FA_ADJUSTED=GAAP","Sort=A","Dates=H","DateFormat=P","Fill=—","Direction=H","UseDPDF=Y")</f>
        <v>#NAME?</v>
      </c>
      <c r="DE398" s="5" t="e">
        <f ca="1">_xll.BDH($C$378,"BS_INVENTORIES","FY 2018","FY 2018","Currency=INR","Period=FY","BEST_FPERIOD_OVERRIDE=FY","FILING_STATUS=OR","EQY_CONSOLIDATED=Y","SCALING_FORMAT=MLN","Sort=A","Dates=H","DateFormat=P","Fill=—","Direction=H","UseDPDF=Y")</f>
        <v>#NAME?</v>
      </c>
      <c r="DF398" s="3" t="e">
        <f ca="1">_xll.BDH($C$378,"INVTRY_RAW_MATERIALS","FY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398" s="3" t="e">
        <f ca="1">_xll.BDH($C$378,"INVTRY_IN_PROGRESS","FY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398" s="3" t="e">
        <f ca="1">_xll.BDH($C$378,"INVTRY_FINISHED_GOODS","FY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398" s="3" t="e">
        <f ca="1">_xll.BDH($C$378,"BS_OTHER_INV","FY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399" spans="1:113" x14ac:dyDescent="0.3">
      <c r="A399" s="6"/>
      <c r="B399" s="6"/>
      <c r="C399" s="6"/>
      <c r="D399" s="6"/>
      <c r="E399" t="s">
        <v>78</v>
      </c>
      <c r="F399" t="e">
        <f ca="1">_xll.BDH($C$378,"RETURN_COM_EQY","FQ1 2018","FQ1 2018","Currency=INR","Period=FQ","BEST_FPERIOD_OVERRIDE=FQ","FILING_STATUS=OR","EQY_CONSOLIDATED=Y","FA_ADJUSTED=GAAP","Sort=A","Dates=H","DateFormat=P","Fill=—","Direction=H","UseDPDF=Y")</f>
        <v>#NAME?</v>
      </c>
      <c r="G399" t="e">
        <f ca="1">_xll.BDH($C$378,"RETURN_ON_ASSET","FQ1 2018","FQ1 2018","Currency=INR","Period=FQ","BEST_FPERIOD_OVERRIDE=FQ","FILING_STATUS=OR","EQY_CONSOLIDATED=Y","FA_ADJUSTED=GAAP","Sort=A","Dates=H","DateFormat=P","Fill=—","Direction=H","UseDPDF=Y")</f>
        <v>#NAME?</v>
      </c>
      <c r="H399" t="e">
        <f ca="1">_xll.BDH($C$378,"RETURN_ON_CAP","FQ1 2018","FQ1 2018","Currency=INR","Period=FQ","BEST_FPERIOD_OVERRIDE=FQ","FILING_STATUS=OR","EQY_CONSOLIDATED=Y","FA_ADJUSTED=GAAP","Sort=A","Dates=H","DateFormat=P","Fill=—","Direction=H","UseDPDF=Y")</f>
        <v>#NAME?</v>
      </c>
      <c r="I399" t="e">
        <f ca="1">_xll.BDH($C$378,"RETURN_ON_INV_CAPITAL","FQ1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399" t="e">
        <f ca="1">_xll.BDH($C$378,"EBITDA_TO_REVENUE","FQ1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399" t="e">
        <f ca="1">_xll.BDH($C$378,"OPER_MARGIN","FQ1 2018","FQ1 2018","Currency=INR","Period=FQ","BEST_FPERIOD_OVERRIDE=FQ","FILING_STATUS=OR","EQY_CONSOLIDATED=Y","FA_ADJUSTED=GAAP","Sort=A","Dates=H","DateFormat=P","Fill=—","Direction=H","UseDPDF=Y")</f>
        <v>#NAME?</v>
      </c>
      <c r="L399" t="e">
        <f ca="1">_xll.BDH($C$378,"INCREMENTAL_OPERATING_MARGIN","FQ1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399" t="e">
        <f ca="1">_xll.BDH($C$378,"PRETAX_INC_TO_NET_SALES","FQ1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399" t="e">
        <f ca="1">_xll.BDH($C$378,"INC_BEF_XO_ITEMS_TO_NET_SALES","FQ1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399" t="e">
        <f ca="1">_xll.BDH($C$378,"PROF_MARGIN","FQ1 2018","FQ1 2018","Currency=INR","Period=FQ","BEST_FPERIOD_OVERRIDE=FQ","FILING_STATUS=OR","EQY_CONSOLIDATED=Y","FA_ADJUSTED=GAAP","Sort=A","Dates=H","DateFormat=P","Fill=—","Direction=H","UseDPDF=Y")</f>
        <v>#NAME?</v>
      </c>
      <c r="P399" t="e">
        <f ca="1">_xll.BDH($C$378,"NET_INCOME_TO_COMMON_MARGIN","FQ1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399" t="e">
        <f ca="1">_xll.BDH($C$378,"EFF_TAX_RATE","FQ1 2018","FQ1 2018","Currency=INR","Period=FQ","BEST_FPERIOD_OVERRIDE=FQ","FILING_STATUS=OR","EQY_CONSOLIDATED=Y","FA_ADJUSTED=GAAP","Sort=A","Dates=H","DateFormat=P","Fill=—","Direction=H","UseDPDF=Y")</f>
        <v>#NAME?</v>
      </c>
      <c r="R399" t="e">
        <f ca="1">_xll.BDH($C$378,"DVD_PAYOUT_RATIO","FQ1 2018","FQ1 2018","Currency=INR","Period=FQ","BEST_FPERIOD_OVERRIDE=FQ","FILING_STATUS=OR","EQY_CONSOLIDATED=Y","FA_ADJUSTED=GAAP","Sort=A","Dates=H","DateFormat=P","Fill=—","Direction=H","UseDPDF=Y")</f>
        <v>#NAME?</v>
      </c>
      <c r="S399" t="e">
        <f ca="1">_xll.BDH($C$378,"SUSTAIN_GROWTH_RT","FQ1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399" s="2" t="e">
        <f ca="1">_xll.BDH($C$378,"SALES_GROWTH","FQ1 2018","FQ1 2018","Currency=INR","Period=FQ","BEST_FPERIOD_OVERRIDE=FQ","FILING_STATUS=OR","EQY_CONSOLIDATED=Y","FA_ADJUSTED=GAAP","Sort=A","Dates=H","DateFormat=P","Fill=—","Direction=H","UseDPDF=Y")</f>
        <v>#NAME?</v>
      </c>
      <c r="U399" s="2" t="e">
        <f ca="1">_xll.BDH($C$378,"EBITDA_GROWTH","FQ1 2018","FQ1 2018","Currency=INR","Period=FQ","BEST_FPERIOD_OVERRIDE=FQ","FILING_STATUS=OR","EQY_CONSOLIDATED=Y","FA_ADJUSTED=GAAP","Sort=A","Dates=H","DateFormat=P","Fill=—","Direction=H","UseDPDF=Y")</f>
        <v>#NAME?</v>
      </c>
      <c r="V399" s="2" t="e">
        <f ca="1">_xll.BDH($C$378,"OPER_INC_GROWTH","FQ1 2018","FQ1 2018","Currency=INR","Period=FQ","BEST_FPERIOD_OVERRIDE=FQ","FILING_STATUS=OR","EQY_CONSOLIDATED=Y","FA_ADJUSTED=GAAP","Sort=A","Dates=H","DateFormat=P","Fill=—","Direction=H","UseDPDF=Y")</f>
        <v>#NAME?</v>
      </c>
      <c r="W399" s="2" t="e">
        <f ca="1">_xll.BDH($C$378,"EARN_FOR_COM_GROWTH","FQ1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399" s="2" t="e">
        <f ca="1">_xll.BDH($C$378,"DILUTED_EPS_AFT_XO_ITEMS_GROWTH","FQ1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399" s="2" t="e">
        <f ca="1">_xll.BDH($C$378,"DIVIDEND_PER_SHARE_1_YEAR_GROWTH","FQ1 2018","FQ1 2018","Currency=INR","Period=FQ","BEST_FPERIOD_OVERRIDE=FQ","FILING_STATUS=OR","EQY_CONSOLIDATED=Y","Sort=A","Dates=H","DateFormat=P","Fill=—","Direction=H","UseDPDF=Y")</f>
        <v>#NAME?</v>
      </c>
      <c r="Z399" s="2" t="e">
        <f ca="1">_xll.BDH($C$378,"ACCOUNTS_RECEIVABLE_GROWTH","FQ1 2018","FQ1 2018","Currency=INR","Period=FQ","BEST_FPERIOD_OVERRIDE=FQ","FILING_STATUS=OR","EQY_CONSOLIDATED=Y","Sort=A","Dates=H","DateFormat=P","Fill=—","Direction=H","UseDPDF=Y")</f>
        <v>#NAME?</v>
      </c>
      <c r="AA399" s="2" t="e">
        <f ca="1">_xll.BDH($C$378,"INVENTORY_GROWTH","FQ1 2018","FQ1 2018","Currency=INR","Period=FQ","BEST_FPERIOD_OVERRIDE=FQ","FILING_STATUS=OR","EQY_CONSOLIDATED=Y","Sort=A","Dates=H","DateFormat=P","Fill=—","Direction=H","UseDPDF=Y")</f>
        <v>#NAME?</v>
      </c>
      <c r="AB399" s="2" t="e">
        <f ca="1">_xll.BDH($C$378,"NET_FIXED_ASSETS_1_YEAR_GROWTH","FQ1 2018","FQ1 2018","Currency=INR","Period=FQ","BEST_FPERIOD_OVERRIDE=FQ","FILING_STATUS=OR","EQY_CONSOLIDATED=Y","Sort=A","Dates=H","DateFormat=P","Fill=—","Direction=H","UseDPDF=Y")</f>
        <v>#NAME?</v>
      </c>
      <c r="AC399" s="2" t="e">
        <f ca="1">_xll.BDH($C$378,"ASSET_GROWTH","FQ1 2018","FQ1 2018","Currency=INR","Period=FQ","BEST_FPERIOD_OVERRIDE=FQ","FILING_STATUS=OR","EQY_CONSOLIDATED=Y","Sort=A","Dates=H","DateFormat=P","Fill=—","Direction=H","UseDPDF=Y")</f>
        <v>#NAME?</v>
      </c>
      <c r="AD399" s="2" t="e">
        <f ca="1">_xll.BDH($C$378,"MODIFIED_WORK_CAP_GROWTH","FQ1 2018","FQ1 2018","Currency=INR","Period=FQ","BEST_FPERIOD_OVERRIDE=FQ","FILING_STATUS=OR","EQY_CONSOLIDATED=Y","Sort=A","Dates=H","DateFormat=P","Fill=—","Direction=H","UseDPDF=Y")</f>
        <v>#NAME?</v>
      </c>
      <c r="AE399" s="2" t="e">
        <f ca="1">_xll.BDH($C$378,"WORK_CAP_GROWTH","FQ1 2018","FQ1 2018","Currency=INR","Period=FQ","BEST_FPERIOD_OVERRIDE=FQ","FILING_STATUS=OR","EQY_CONSOLIDATED=Y","Sort=A","Dates=H","DateFormat=P","Fill=—","Direction=H","UseDPDF=Y")</f>
        <v>#NAME?</v>
      </c>
      <c r="AF399" s="2" t="e">
        <f ca="1">_xll.BDH($C$378,"ACCOUNTS_PAYABLE_GROWTH_1YR","FQ1 2018","FQ1 2018","Currency=INR","Period=FQ","BEST_FPERIOD_OVERRIDE=FQ","FILING_STATUS=OR","EQY_CONSOLIDATED=Y","Sort=A","Dates=H","DateFormat=P","Fill=—","Direction=H","UseDPDF=Y")</f>
        <v>#NAME?</v>
      </c>
      <c r="AG399" s="2" t="e">
        <f ca="1">_xll.BDH($C$378,"SHORT_TERM_DEBT_1_YEAR_GROWTH","FQ1 2018","FQ1 2018","Currency=INR","Period=FQ","BEST_FPERIOD_OVERRIDE=FQ","FILING_STATUS=OR","EQY_CONSOLIDATED=Y","Sort=A","Dates=H","DateFormat=P","Fill=—","Direction=H","UseDPDF=Y")</f>
        <v>#NAME?</v>
      </c>
      <c r="AH399" s="2" t="e">
        <f ca="1">_xll.BDH($C$378,"TOTAL_DEBT_1_YEAR_GROWTH","FQ1 2018","FQ1 2018","Currency=INR","Period=FQ","BEST_FPERIOD_OVERRIDE=FQ","FILING_STATUS=OR","EQY_CONSOLIDATED=Y","Sort=A","Dates=H","DateFormat=P","Fill=—","Direction=H","UseDPDF=Y")</f>
        <v>#NAME?</v>
      </c>
      <c r="AI399" s="2" t="e">
        <f ca="1">_xll.BDH($C$378,"TOTAL_EQUITY_1_YEAR_GROWTH","FQ1 2018","FQ1 2018","Currency=INR","Period=FQ","BEST_FPERIOD_OVERRIDE=FQ","FILING_STATUS=OR","EQY_CONSOLIDATED=Y","Sort=A","Dates=H","DateFormat=P","Fill=—","Direction=H","UseDPDF=Y")</f>
        <v>#NAME?</v>
      </c>
      <c r="AJ399" s="2" t="e">
        <f ca="1">_xll.BDH($C$378,"GROWTH_IN_CAP","FQ1 2018","FQ1 2018","Currency=INR","Period=FQ","BEST_FPERIOD_OVERRIDE=FQ","FILING_STATUS=OR","EQY_CONSOLIDATED=Y","Sort=A","Dates=H","DateFormat=P","Fill=—","Direction=H","UseDPDF=Y")</f>
        <v>#NAME?</v>
      </c>
      <c r="AK399" s="2" t="e">
        <f ca="1">_xll.BDH($C$378,"BVPS_GROWTH","FQ1 2018","FQ1 2018","Currency=INR","Period=FQ","BEST_FPERIOD_OVERRIDE=FQ","FILING_STATUS=OR","EQY_CONSOLIDATED=Y","Sort=A","Dates=H","DateFormat=P","Fill=—","Direction=H","UseDPDF=Y")</f>
        <v>#NAME?</v>
      </c>
      <c r="AL399" s="2" t="e">
        <f ca="1">_xll.BDH($C$378,"CASH_FLOW_GROWTH","FQ1 2018","FQ1 2018","Currency=INR","Period=FQ","BEST_FPERIOD_OVERRIDE=FQ","FILING_STATUS=OR","EQY_CONSOLIDATED=Y","Sort=A","Dates=H","DateFormat=P","Fill=—","Direction=H","UseDPDF=Y")</f>
        <v>#NAME?</v>
      </c>
      <c r="AM399" s="2" t="e">
        <f ca="1">_xll.BDH($C$378,"GEO_GROW_NET_SALES","FQ1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399" s="2" t="e">
        <f ca="1">_xll.BDH($C$378,"GEO_GROW_EBITDA","FQ1 2018","FQ1 2018","Currency=INR","Period=FQ","BEST_FPERIOD_OVERRIDE=FQ","FILING_STATUS=OR","EQY_CONSOLIDATED=Y","FA_ADJUSTED=GAAP","Sort=A","Dates=H","DateFormat=P","Fill=—","Direction=H","UseDPDF=Y")</f>
        <v>#NAME?</v>
      </c>
      <c r="AO399" s="2" t="e">
        <f ca="1">_xll.BDH($C$378,"GEO_GROW_OPER_INC","FQ1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399" s="2" t="e">
        <f ca="1">_xll.BDH($C$378,"NET_INCOME_TO_COMMON_5_YR_GROWTH","FQ1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399" s="2" t="e">
        <f ca="1">_xll.BDH($C$378,"5Y_GEO_GROWTH_DILUTED_EPS","FQ1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399" s="2" t="e">
        <f ca="1">_xll.BDH($C$378,"GEO_GROW_DVD_PER_SH","FQ1 2018","FQ1 2018","Currency=INR","Period=FQ","BEST_FPERIOD_OVERRIDE=FQ","FILING_STATUS=OR","EQY_CONSOLIDATED=Y","Sort=A","Dates=H","DateFormat=P","Fill=—","Direction=H","UseDPDF=Y")</f>
        <v>#NAME?</v>
      </c>
      <c r="AS399" s="2" t="e">
        <f ca="1">_xll.BDH($C$378,"ACCOUNTS_RECEIVABLE_5_YR_GROWTH","FQ1 2018","FQ1 2018","Currency=INR","Period=FQ","BEST_FPERIOD_OVERRIDE=FQ","FILING_STATUS=OR","EQY_CONSOLIDATED=Y","Sort=A","Dates=H","DateFormat=P","Fill=—","Direction=H","UseDPDF=Y")</f>
        <v>#NAME?</v>
      </c>
      <c r="AT399" s="2" t="e">
        <f ca="1">_xll.BDH($C$378,"INVENTORY_5_YEAR_GROWTH","FQ1 2018","FQ1 2018","Currency=INR","Period=FQ","BEST_FPERIOD_OVERRIDE=FQ","FILING_STATUS=OR","EQY_CONSOLIDATED=Y","Sort=A","Dates=H","DateFormat=P","Fill=—","Direction=H","UseDPDF=Y")</f>
        <v>#NAME?</v>
      </c>
      <c r="AU399" s="2" t="e">
        <f ca="1">_xll.BDH($C$378,"NET_FIXED_ASSETS_5_YEAR_GROWTH","FQ1 2018","FQ1 2018","Currency=INR","Period=FQ","BEST_FPERIOD_OVERRIDE=FQ","FILING_STATUS=OR","EQY_CONSOLIDATED=Y","Sort=A","Dates=H","DateFormat=P","Fill=—","Direction=H","UseDPDF=Y")</f>
        <v>#NAME?</v>
      </c>
      <c r="AV399" s="2" t="e">
        <f ca="1">_xll.BDH($C$378,"GEO_GROW_TOT_ASSET","FQ1 2018","FQ1 2018","Currency=INR","Period=FQ","BEST_FPERIOD_OVERRIDE=FQ","FILING_STATUS=OR","EQY_CONSOLIDATED=Y","Sort=A","Dates=H","DateFormat=P","Fill=—","Direction=H","UseDPDF=Y")</f>
        <v>#NAME?</v>
      </c>
      <c r="AW399" s="2" t="e">
        <f ca="1">_xll.BDH($C$378,"MODIFIED_WORKING_CPTL_5YR_GRWTH","FQ1 2018","FQ1 2018","Currency=INR","Period=FQ","BEST_FPERIOD_OVERRIDE=FQ","FILING_STATUS=OR","EQY_CONSOLIDATED=Y","Sort=A","Dates=H","DateFormat=P","Fill=—","Direction=H","UseDPDF=Y")</f>
        <v>#NAME?</v>
      </c>
      <c r="AX399" s="2" t="e">
        <f ca="1">_xll.BDH($C$378,"WORKING_CAPITAL_5_YEAR_GROWTH","FQ1 2018","FQ1 2018","Currency=INR","Period=FQ","BEST_FPERIOD_OVERRIDE=FQ","FILING_STATUS=OR","EQY_CONSOLIDATED=Y","Sort=A","Dates=H","DateFormat=P","Fill=—","Direction=H","UseDPDF=Y")</f>
        <v>#NAME?</v>
      </c>
      <c r="AY399" s="2" t="e">
        <f ca="1">_xll.BDH($C$378,"ACCOUNTS_PAYABLE_5_YEAR_GROWTH","FQ1 2018","FQ1 2018","Currency=INR","Period=FQ","BEST_FPERIOD_OVERRIDE=FQ","FILING_STATUS=OR","EQY_CONSOLIDATED=Y","Sort=A","Dates=H","DateFormat=P","Fill=—","Direction=H","UseDPDF=Y")</f>
        <v>#NAME?</v>
      </c>
      <c r="AZ399" s="2" t="e">
        <f ca="1">_xll.BDH($C$378,"SHORT_TERM_DEBT_5_YEAR_GROWTH","FQ1 2018","FQ1 2018","Currency=INR","Period=FQ","BEST_FPERIOD_OVERRIDE=FQ","FILING_STATUS=OR","EQY_CONSOLIDATED=Y","Sort=A","Dates=H","DateFormat=P","Fill=—","Direction=H","UseDPDF=Y")</f>
        <v>#NAME?</v>
      </c>
      <c r="BA399" s="2" t="e">
        <f ca="1">_xll.BDH($C$378,"TOTAL_DEBT_5_YEAR_GROWTH","FQ1 2018","FQ1 2018","Currency=INR","Period=FQ","BEST_FPERIOD_OVERRIDE=FQ","FILING_STATUS=OR","EQY_CONSOLIDATED=Y","Sort=A","Dates=H","DateFormat=P","Fill=—","Direction=H","UseDPDF=Y")</f>
        <v>#NAME?</v>
      </c>
      <c r="BB399" s="2" t="e">
        <f ca="1">_xll.BDH($C$378,"GEO_GROW_TOT_SHRHLDR_EQY","FQ1 2018","FQ1 2018","Currency=INR","Period=FQ","BEST_FPERIOD_OVERRIDE=FQ","FILING_STATUS=OR","EQY_CONSOLIDATED=Y","Sort=A","Dates=H","DateFormat=P","Fill=—","Direction=H","UseDPDF=Y")</f>
        <v>#NAME?</v>
      </c>
      <c r="BC399" s="2" t="e">
        <f ca="1">_xll.BDH($C$378,"TOTAL_CAPITAL_5_YEAR_GROWTH","FQ1 2018","FQ1 2018","Currency=INR","Period=FQ","BEST_FPERIOD_OVERRIDE=FQ","FILING_STATUS=OR","EQY_CONSOLIDATED=Y","Sort=A","Dates=H","DateFormat=P","Fill=—","Direction=H","UseDPDF=Y")</f>
        <v>#NAME?</v>
      </c>
      <c r="BD399" s="2" t="e">
        <f ca="1">_xll.BDH($C$378,"GEO_GROW_BOOK_VAL","FQ1 2018","FQ1 2018","Currency=INR","Period=FQ","BEST_FPERIOD_OVERRIDE=FQ","FILING_STATUS=OR","EQY_CONSOLIDATED=Y","Sort=A","Dates=H","DateFormat=P","Fill=—","Direction=H","UseDPDF=Y")</f>
        <v>#NAME?</v>
      </c>
      <c r="BE399" s="2" t="e">
        <f ca="1">_xll.BDH($C$378,"GEO_GROW_CASH_OPER_ACT","FQ1 2018","FQ1 2018","Currency=INR","Period=FQ","BEST_FPERIOD_OVERRIDE=FQ","FILING_STATUS=OR","EQY_CONSOLIDATED=Y","Sort=A","Dates=H","DateFormat=P","Fill=—","Direction=H","UseDPDF=Y")</f>
        <v>#NAME?</v>
      </c>
      <c r="BF399" s="2" t="e">
        <f ca="1">_xll.BDH($C$378,"REVENUE_SEQUENTIAL_GROWTH","FQ1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399" s="2" t="e">
        <f ca="1">_xll.BDH($C$378,"EBITDA_SEQUENTIAL_GROWTH","FQ1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399" s="2" t="e">
        <f ca="1">_xll.BDH($C$378,"OPERATING_INCOME_SEQ_GROWTH","FQ1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399" s="2" t="e">
        <f ca="1">_xll.BDH($C$378,"NET_INCOME_TO_COMMON_SEQ_GROWTH","FQ1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399" s="2" t="e">
        <f ca="1">_xll.BDH($C$378,"EPS_DILUTED_SEQUENTIAL_GROWTH","FQ1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399" s="2" t="e">
        <f ca="1">_xll.BDH($C$378,"DPS_SEQUENTIAL_GROWTH","FQ1 2018","FQ1 2018","Currency=INR","Period=FQ","BEST_FPERIOD_OVERRIDE=FQ","FILING_STATUS=OR","EQY_CONSOLIDATED=Y","Sort=A","Dates=H","DateFormat=P","Fill=—","Direction=H","UseDPDF=Y")</f>
        <v>#NAME?</v>
      </c>
      <c r="BL399" s="2" t="e">
        <f ca="1">_xll.BDH($C$378,"ACCOUNTS_RECEIVABLE_SEQ_GROWTH","FQ1 2018","FQ1 2018","Currency=INR","Period=FQ","BEST_FPERIOD_OVERRIDE=FQ","FILING_STATUS=OR","EQY_CONSOLIDATED=Y","Sort=A","Dates=H","DateFormat=P","Fill=—","Direction=H","UseDPDF=Y")</f>
        <v>#NAME?</v>
      </c>
      <c r="BM399" s="2" t="e">
        <f ca="1">_xll.BDH($C$378,"INVENTORY_SEQUENTIAL_GROWTH","FQ1 2018","FQ1 2018","Currency=INR","Period=FQ","BEST_FPERIOD_OVERRIDE=FQ","FILING_STATUS=OR","EQY_CONSOLIDATED=Y","Sort=A","Dates=H","DateFormat=P","Fill=—","Direction=H","UseDPDF=Y")</f>
        <v>#NAME?</v>
      </c>
      <c r="BN399" s="2" t="e">
        <f ca="1">_xll.BDH($C$378,"FIXED_ASSETS_SEQUENTIAL_GROWTH","FQ1 2018","FQ1 2018","Currency=INR","Period=FQ","BEST_FPERIOD_OVERRIDE=FQ","FILING_STATUS=OR","EQY_CONSOLIDATED=Y","Sort=A","Dates=H","DateFormat=P","Fill=—","Direction=H","UseDPDF=Y")</f>
        <v>#NAME?</v>
      </c>
      <c r="BO399" s="2" t="e">
        <f ca="1">_xll.BDH($C$378,"TOTAL_ASSETS_SEQUENTIAL_GROWTH","FQ1 2018","FQ1 2018","Currency=INR","Period=FQ","BEST_FPERIOD_OVERRIDE=FQ","FILING_STATUS=OR","EQY_CONSOLIDATED=Y","Sort=A","Dates=H","DateFormat=P","Fill=—","Direction=H","UseDPDF=Y")</f>
        <v>#NAME?</v>
      </c>
      <c r="BP399" s="2" t="e">
        <f ca="1">_xll.BDH($C$378,"MODIFIED_WORKING_CPTL_SEQ_GRWTH","FQ1 2018","FQ1 2018","Currency=INR","Period=FQ","BEST_FPERIOD_OVERRIDE=FQ","FILING_STATUS=OR","EQY_CONSOLIDATED=Y","Sort=A","Dates=H","DateFormat=P","Fill=—","Direction=H","UseDPDF=Y")</f>
        <v>#NAME?</v>
      </c>
      <c r="BQ399" s="2" t="e">
        <f ca="1">_xll.BDH($C$378,"WORKING_CAPITAL_SEQ_GROWTH","FQ1 2018","FQ1 2018","Currency=INR","Period=FQ","BEST_FPERIOD_OVERRIDE=FQ","FILING_STATUS=OR","EQY_CONSOLIDATED=Y","Sort=A","Dates=H","DateFormat=P","Fill=—","Direction=H","UseDPDF=Y")</f>
        <v>#NAME?</v>
      </c>
      <c r="BR399" s="2" t="e">
        <f ca="1">_xll.BDH($C$378,"ACCOUNTS_PAYABLE_SEQ_GROWTH","FQ1 2018","FQ1 2018","Currency=INR","Period=FQ","BEST_FPERIOD_OVERRIDE=FQ","FILING_STATUS=OR","EQY_CONSOLIDATED=Y","Sort=A","Dates=H","DateFormat=P","Fill=—","Direction=H","UseDPDF=Y")</f>
        <v>#NAME?</v>
      </c>
      <c r="BS399" s="2" t="e">
        <f ca="1">_xll.BDH($C$378,"ST_DEBT_SEQUENTIAL_GROWTH","FQ1 2018","FQ1 2018","Currency=INR","Period=FQ","BEST_FPERIOD_OVERRIDE=FQ","FILING_STATUS=OR","EQY_CONSOLIDATED=Y","Sort=A","Dates=H","DateFormat=P","Fill=—","Direction=H","UseDPDF=Y")</f>
        <v>#NAME?</v>
      </c>
      <c r="BT399" s="2" t="e">
        <f ca="1">_xll.BDH($C$378,"TOTAL_DEBT_SEQUENTIAL_GROWTH","FQ1 2018","FQ1 2018","Currency=INR","Period=FQ","BEST_FPERIOD_OVERRIDE=FQ","FILING_STATUS=OR","EQY_CONSOLIDATED=Y","Sort=A","Dates=H","DateFormat=P","Fill=—","Direction=H","UseDPDF=Y")</f>
        <v>#NAME?</v>
      </c>
      <c r="BU399" s="2" t="e">
        <f ca="1">_xll.BDH($C$378,"TOTAL_EQUITY_SEQUENTIAL_GROWTH","FQ1 2018","FQ1 2018","Currency=INR","Period=FQ","BEST_FPERIOD_OVERRIDE=FQ","FILING_STATUS=OR","EQY_CONSOLIDATED=Y","Sort=A","Dates=H","DateFormat=P","Fill=—","Direction=H","UseDPDF=Y")</f>
        <v>#NAME?</v>
      </c>
      <c r="BV399" s="2" t="e">
        <f ca="1">_xll.BDH($C$378,"TOTAL_CAPITAL_SEQUENTIAL_GROWTH","FQ1 2018","FQ1 2018","Currency=INR","Period=FQ","BEST_FPERIOD_OVERRIDE=FQ","FILING_STATUS=OR","EQY_CONSOLIDATED=Y","Sort=A","Dates=H","DateFormat=P","Fill=—","Direction=H","UseDPDF=Y")</f>
        <v>#NAME?</v>
      </c>
      <c r="BW399" s="2" t="e">
        <f ca="1">_xll.BDH($C$378,"BPS_SEQUENTIAL_GROWTH","FQ1 2018","FQ1 2018","Currency=INR","Period=FQ","BEST_FPERIOD_OVERRIDE=FQ","FILING_STATUS=OR","EQY_CONSOLIDATED=Y","Sort=A","Dates=H","DateFormat=P","Fill=—","Direction=H","UseDPDF=Y")</f>
        <v>#NAME?</v>
      </c>
      <c r="BX399" s="2" t="e">
        <f ca="1">_xll.BDH($C$378,"CFO_SEQUENTIAL_GROWTH","FQ1 2018","FQ1 2018","Currency=INR","Period=FQ","BEST_FPERIOD_OVERRIDE=FQ","FILING_STATUS=OR","EQY_CONSOLIDATED=Y","Sort=A","Dates=H","DateFormat=P","Fill=—","Direction=H","UseDPDF=Y")</f>
        <v>#NAME?</v>
      </c>
      <c r="BY399" s="3" t="e">
        <f ca="1">_xll.BDH($C$378,"SHORT_AND_LONG_TERM_DEBT","FQ1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399" s="3" t="e">
        <f ca="1">_xll.BDH($C$378,"BS_ST_BORROW","FQ1 2018","FQ1 2018","Currency=INR","Period=FQ","BEST_FPERIOD_OVERRIDE=FQ","FILING_STATUS=OR","EQY_CONSOLIDATED=Y","SCALING_FORMAT=MLN","Sort=A","Dates=H","DateFormat=P","Fill=—","Direction=H","UseDPDF=Y")</f>
        <v>#NAME?</v>
      </c>
      <c r="CA399" s="3" t="e">
        <f ca="1">_xll.BDH($C$378,"BS_LT_BORROW","FQ1 2018","FQ1 2018","Currency=INR","Period=FQ","BEST_FPERIOD_OVERRIDE=FQ","FILING_STATUS=OR","EQY_CONSOLIDATED=Y","SCALING_FORMAT=MLN","Sort=A","Dates=H","DateFormat=P","Fill=—","Direction=H","UseDPDF=Y")</f>
        <v>#NAME?</v>
      </c>
      <c r="CB399" s="2" t="e">
        <f ca="1">_xll.BDH($C$378,"TOT_DEBT_TO_EBITDA","FQ1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399" s="2" t="e">
        <f ca="1">_xll.BDH($C$378,"NET_DEBT_TO_EBITDA","FQ1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399" s="2" t="e">
        <f ca="1">_xll.BDH($C$378,"TOTAL_DEBT_TO_EBIT","FQ1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399" s="2" t="e">
        <f ca="1">_xll.BDH($C$378,"NET_DEBT_TO_EBIT","FQ1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399" s="2" t="e">
        <f ca="1">_xll.BDH($C$378,"EBITDA_TO_INTEREST_EXPN","FQ1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399" s="2" t="e">
        <f ca="1">_xll.BDH($C$378,"COM_EQY_TO_TOT_ASSET","FQ1 2018","FQ1 2018","Currency=INR","Period=FQ","BEST_FPERIOD_OVERRIDE=FQ","FILING_STATUS=OR","EQY_CONSOLIDATED=Y","Sort=A","Dates=H","DateFormat=P","Fill=—","Direction=H","UseDPDF=Y")</f>
        <v>#NAME?</v>
      </c>
      <c r="CH399" s="2" t="e">
        <f ca="1">_xll.BDH($C$378,"LT_DEBT_TO_TOT_EQY","FQ1 2018","FQ1 2018","Currency=INR","Period=FQ","BEST_FPERIOD_OVERRIDE=FQ","FILING_STATUS=OR","EQY_CONSOLIDATED=Y","Sort=A","Dates=H","DateFormat=P","Fill=—","Direction=H","UseDPDF=Y")</f>
        <v>#NAME?</v>
      </c>
      <c r="CI399" s="2" t="e">
        <f ca="1">_xll.BDH($C$378,"LT_DEBT_TO_TOT_CAP","FQ1 2018","FQ1 2018","Currency=INR","Period=FQ","BEST_FPERIOD_OVERRIDE=FQ","FILING_STATUS=OR","EQY_CONSOLIDATED=Y","Sort=A","Dates=H","DateFormat=P","Fill=—","Direction=H","UseDPDF=Y")</f>
        <v>#NAME?</v>
      </c>
      <c r="CJ399" s="2" t="e">
        <f ca="1">_xll.BDH($C$378,"LT_DEBT_TO_TOT_ASSET","FQ1 2018","FQ1 2018","Currency=INR","Period=FQ","BEST_FPERIOD_OVERRIDE=FQ","FILING_STATUS=OR","EQY_CONSOLIDATED=Y","Sort=A","Dates=H","DateFormat=P","Fill=—","Direction=H","UseDPDF=Y")</f>
        <v>#NAME?</v>
      </c>
      <c r="CK399" s="2" t="e">
        <f ca="1">_xll.BDH($C$378,"TOT_DEBT_TO_TOT_EQY","FQ1 2018","FQ1 2018","Currency=INR","Period=FQ","BEST_FPERIOD_OVERRIDE=FQ","FILING_STATUS=OR","EQY_CONSOLIDATED=Y","Sort=A","Dates=H","DateFormat=P","Fill=—","Direction=H","UseDPDF=Y")</f>
        <v>#NAME?</v>
      </c>
      <c r="CL399" s="2" t="e">
        <f ca="1">_xll.BDH($C$378,"TOT_DEBT_TO_TOT_CAP","FQ1 2018","FQ1 2018","Currency=INR","Period=FQ","BEST_FPERIOD_OVERRIDE=FQ","FILING_STATUS=OR","EQY_CONSOLIDATED=Y","Sort=A","Dates=H","DateFormat=P","Fill=—","Direction=H","UseDPDF=Y")</f>
        <v>#NAME?</v>
      </c>
      <c r="CM399" s="2" t="e">
        <f ca="1">_xll.BDH($C$378,"TOT_DEBT_TO_TOT_ASSET","FQ1 2018","FQ1 2018","Currency=INR","Period=FQ","BEST_FPERIOD_OVERRIDE=FQ","FILING_STATUS=OR","EQY_CONSOLIDATED=Y","Sort=A","Dates=H","DateFormat=P","Fill=—","Direction=H","UseDPDF=Y")</f>
        <v>#NAME?</v>
      </c>
      <c r="CN399" s="2" t="e">
        <f ca="1">_xll.BDH($C$378,"NET_DEBT_TO_SHRHLDR_EQTY","FQ1 2018","FQ1 2018","Currency=INR","Period=FQ","BEST_FPERIOD_OVERRIDE=FQ","FILING_STATUS=OR","EQY_CONSOLIDATED=Y","Sort=A","Dates=H","DateFormat=P","Fill=—","Direction=H","UseDPDF=Y")</f>
        <v>#NAME?</v>
      </c>
      <c r="CO399" s="2" t="e">
        <f ca="1">_xll.BDH($C$378,"NET_DEBT_%_CAPITAL","FQ1 2018","FQ1 2018","Currency=INR","Period=FQ","BEST_FPERIOD_OVERRIDE=FQ","FILING_STATUS=OR","EQY_CONSOLIDATED=Y","Sort=A","Dates=H","DateFormat=P","Fill=—","Direction=H","UseDPDF=Y")</f>
        <v>#NAME?</v>
      </c>
      <c r="CP399" s="3" t="e">
        <f ca="1">_xll.BDH($C$378,"EBITDA","FQ1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399" s="3" t="e">
        <f ca="1">_xll.BDH($C$378,"EBITDA_AFTER_CAPEX","FQ1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399" s="3" t="e">
        <f ca="1">_xll.BDH($C$378,"IS_OPER_INC","FQ1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399" s="2" t="e">
        <f ca="1">_xll.BDH($C$378,"CASH_RATIO","FQ1 2018","FQ1 2018","Currency=INR","Period=FQ","BEST_FPERIOD_OVERRIDE=FQ","FILING_STATUS=OR","EQY_CONSOLIDATED=Y","Sort=A","Dates=H","DateFormat=P","Fill=—","Direction=H","UseDPDF=Y")</f>
        <v>#NAME?</v>
      </c>
      <c r="CT399" s="2" t="e">
        <f ca="1">_xll.BDH($C$378,"CUR_RATIO","FQ1 2018","FQ1 2018","Currency=INR","Period=FQ","BEST_FPERIOD_OVERRIDE=FQ","FILING_STATUS=OR","EQY_CONSOLIDATED=Y","Sort=A","Dates=H","DateFormat=P","Fill=—","Direction=H","UseDPDF=Y")</f>
        <v>#NAME?</v>
      </c>
      <c r="CU399" s="2" t="e">
        <f ca="1">_xll.BDH($C$378,"QUICK_RATIO","FQ1 2018","FQ1 2018","Currency=INR","Period=FQ","BEST_FPERIOD_OVERRIDE=FQ","FILING_STATUS=OR","EQY_CONSOLIDATED=Y","Sort=A","Dates=H","DateFormat=P","Fill=—","Direction=H","UseDPDF=Y")</f>
        <v>#NAME?</v>
      </c>
      <c r="CV399" s="2" t="e">
        <f ca="1">_xll.BDH($C$378,"ALTMAN_Z_SCORE","FQ1 2018","FQ1 2018","Currency=INR","Period=FQ","BEST_FPERIOD_OVERRIDE=FQ","FILING_STATUS=OR","EQY_CONSOLIDATED=Y","Sort=A","Dates=H","DateFormat=P","Fill=—","Direction=H","UseDPDF=Y")</f>
        <v>#NAME?</v>
      </c>
      <c r="CW399" s="4" t="e">
        <f ca="1">_xll.BDH($C$378,"ACCT_RCV_TURN","FQ1 2018","FQ1 2018","Currency=INR","Period=FQ","BEST_FPERIOD_OVERRIDE=FQ","FILING_STATUS=OR","EQY_CONSOLIDATED=Y","FA_ADJUSTED=GAAP","Sort=A","Dates=H","DateFormat=P","Fill=—","Direction=H","UseDPDF=Y")</f>
        <v>#NAME?</v>
      </c>
      <c r="CX399" s="2" t="e">
        <f ca="1">_xll.BDH($C$378,"ACCT_RCV_DAYS","FQ1 2018","FQ1 2018","Currency=INR","Period=FQ","BEST_FPERIOD_OVERRIDE=FQ","FILING_STATUS=OR","EQY_CONSOLIDATED=Y","FA_ADJUSTED=GAAP","Sort=A","Dates=H","DateFormat=P","Fill=—","Direction=H","UseDPDF=Y")</f>
        <v>#NAME?</v>
      </c>
      <c r="CY399" s="4" t="e">
        <f ca="1">_xll.BDH($C$378,"INVENT_TURN","FQ1 2018","FQ1 2018","Currency=INR","Period=FQ","BEST_FPERIOD_OVERRIDE=FQ","FILING_STATUS=OR","EQY_CONSOLIDATED=Y","FA_ADJUSTED=GAAP","Sort=A","Dates=H","DateFormat=P","Fill=—","Direction=H","UseDPDF=Y")</f>
        <v>#NAME?</v>
      </c>
      <c r="CZ399" s="2" t="e">
        <f ca="1">_xll.BDH($C$378,"INVENT_DAYS","FQ1 2018","FQ1 2018","Currency=INR","Period=FQ","BEST_FPERIOD_OVERRIDE=FQ","FILING_STATUS=OR","EQY_CONSOLIDATED=Y","FA_ADJUSTED=GAAP","Sort=A","Dates=H","DateFormat=P","Fill=—","Direction=H","UseDPDF=Y")</f>
        <v>#NAME?</v>
      </c>
      <c r="DA399" s="4" t="e">
        <f ca="1">_xll.BDH($C$378,"ACCOUNTS_PAYABLE_TURNOVER","FQ1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399" s="2" t="e">
        <f ca="1">_xll.BDH($C$378,"ACCOUNTS_PAYABLE_TURNOVER_DAYS","FQ1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399" s="4" t="e">
        <f ca="1">_xll.BDH($C$378,"CASH_CONVERSION_CYCLE","FQ1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399" s="4" t="e">
        <f ca="1">_xll.BDH($C$378,"INV_TO_CASH_DAYS","FQ1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399" s="5" t="e">
        <f ca="1">_xll.BDH($C$378,"BS_INVENTORIES","FQ1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399" s="3" t="e">
        <f ca="1">_xll.BDH($C$378,"INVTRY_RAW_MATERIALS","FQ1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399" s="3" t="e">
        <f ca="1">_xll.BDH($C$378,"INVTRY_IN_PROGRESS","FQ1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399" s="3" t="e">
        <f ca="1">_xll.BDH($C$378,"INVTRY_FINISHED_GOODS","FQ1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399" s="3" t="e">
        <f ca="1">_xll.BDH($C$378,"BS_OTHER_INV","FQ1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00" spans="1:113" x14ac:dyDescent="0.3">
      <c r="A400" s="6"/>
      <c r="B400" s="6"/>
      <c r="C400" s="6"/>
      <c r="D400" s="6"/>
      <c r="E400" t="s">
        <v>79</v>
      </c>
      <c r="F400" t="e">
        <f ca="1">_xll.BDH($C$378,"RETURN_COM_EQY","FQ2 2018","FQ2 2018","Currency=INR","Period=FQ","BEST_FPERIOD_OVERRIDE=FQ","FILING_STATUS=OR","EQY_CONSOLIDATED=Y","FA_ADJUSTED=GAAP","Sort=A","Dates=H","DateFormat=P","Fill=—","Direction=H","UseDPDF=Y")</f>
        <v>#NAME?</v>
      </c>
      <c r="G400" t="e">
        <f ca="1">_xll.BDH($C$378,"RETURN_ON_ASSET","FQ2 2018","FQ2 2018","Currency=INR","Period=FQ","BEST_FPERIOD_OVERRIDE=FQ","FILING_STATUS=OR","EQY_CONSOLIDATED=Y","FA_ADJUSTED=GAAP","Sort=A","Dates=H","DateFormat=P","Fill=—","Direction=H","UseDPDF=Y")</f>
        <v>#NAME?</v>
      </c>
      <c r="H400" t="e">
        <f ca="1">_xll.BDH($C$378,"RETURN_ON_CAP","FQ2 2018","FQ2 2018","Currency=INR","Period=FQ","BEST_FPERIOD_OVERRIDE=FQ","FILING_STATUS=OR","EQY_CONSOLIDATED=Y","FA_ADJUSTED=GAAP","Sort=A","Dates=H","DateFormat=P","Fill=—","Direction=H","UseDPDF=Y")</f>
        <v>#NAME?</v>
      </c>
      <c r="I400" t="e">
        <f ca="1">_xll.BDH($C$378,"RETURN_ON_INV_CAPITAL","FQ2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00" t="e">
        <f ca="1">_xll.BDH($C$378,"EBITDA_TO_REVENUE","FQ2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00" t="e">
        <f ca="1">_xll.BDH($C$378,"OPER_MARGIN","FQ2 2018","FQ2 2018","Currency=INR","Period=FQ","BEST_FPERIOD_OVERRIDE=FQ","FILING_STATUS=OR","EQY_CONSOLIDATED=Y","FA_ADJUSTED=GAAP","Sort=A","Dates=H","DateFormat=P","Fill=—","Direction=H","UseDPDF=Y")</f>
        <v>#NAME?</v>
      </c>
      <c r="L400" t="e">
        <f ca="1">_xll.BDH($C$378,"INCREMENTAL_OPERATING_MARGIN","FQ2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00" t="e">
        <f ca="1">_xll.BDH($C$378,"PRETAX_INC_TO_NET_SALES","FQ2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00" t="e">
        <f ca="1">_xll.BDH($C$378,"INC_BEF_XO_ITEMS_TO_NET_SALES","FQ2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00" t="e">
        <f ca="1">_xll.BDH($C$378,"PROF_MARGIN","FQ2 2018","FQ2 2018","Currency=INR","Period=FQ","BEST_FPERIOD_OVERRIDE=FQ","FILING_STATUS=OR","EQY_CONSOLIDATED=Y","FA_ADJUSTED=GAAP","Sort=A","Dates=H","DateFormat=P","Fill=—","Direction=H","UseDPDF=Y")</f>
        <v>#NAME?</v>
      </c>
      <c r="P400" t="e">
        <f ca="1">_xll.BDH($C$378,"NET_INCOME_TO_COMMON_MARGIN","FQ2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00" t="e">
        <f ca="1">_xll.BDH($C$378,"EFF_TAX_RATE","FQ2 2018","FQ2 2018","Currency=INR","Period=FQ","BEST_FPERIOD_OVERRIDE=FQ","FILING_STATUS=OR","EQY_CONSOLIDATED=Y","FA_ADJUSTED=GAAP","Sort=A","Dates=H","DateFormat=P","Fill=—","Direction=H","UseDPDF=Y")</f>
        <v>#NAME?</v>
      </c>
      <c r="R400" t="e">
        <f ca="1">_xll.BDH($C$378,"DVD_PAYOUT_RATIO","FQ2 2018","FQ2 2018","Currency=INR","Period=FQ","BEST_FPERIOD_OVERRIDE=FQ","FILING_STATUS=OR","EQY_CONSOLIDATED=Y","FA_ADJUSTED=GAAP","Sort=A","Dates=H","DateFormat=P","Fill=—","Direction=H","UseDPDF=Y")</f>
        <v>#NAME?</v>
      </c>
      <c r="S400" t="e">
        <f ca="1">_xll.BDH($C$378,"SUSTAIN_GROWTH_RT","FQ2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00" s="2" t="e">
        <f ca="1">_xll.BDH($C$378,"SALES_GROWTH","FQ2 2018","FQ2 2018","Currency=INR","Period=FQ","BEST_FPERIOD_OVERRIDE=FQ","FILING_STATUS=OR","EQY_CONSOLIDATED=Y","FA_ADJUSTED=GAAP","Sort=A","Dates=H","DateFormat=P","Fill=—","Direction=H","UseDPDF=Y")</f>
        <v>#NAME?</v>
      </c>
      <c r="U400" s="2" t="e">
        <f ca="1">_xll.BDH($C$378,"EBITDA_GROWTH","FQ2 2018","FQ2 2018","Currency=INR","Period=FQ","BEST_FPERIOD_OVERRIDE=FQ","FILING_STATUS=OR","EQY_CONSOLIDATED=Y","FA_ADJUSTED=GAAP","Sort=A","Dates=H","DateFormat=P","Fill=—","Direction=H","UseDPDF=Y")</f>
        <v>#NAME?</v>
      </c>
      <c r="V400" s="2" t="e">
        <f ca="1">_xll.BDH($C$378,"OPER_INC_GROWTH","FQ2 2018","FQ2 2018","Currency=INR","Period=FQ","BEST_FPERIOD_OVERRIDE=FQ","FILING_STATUS=OR","EQY_CONSOLIDATED=Y","FA_ADJUSTED=GAAP","Sort=A","Dates=H","DateFormat=P","Fill=—","Direction=H","UseDPDF=Y")</f>
        <v>#NAME?</v>
      </c>
      <c r="W400" s="2" t="e">
        <f ca="1">_xll.BDH($C$378,"EARN_FOR_COM_GROWTH","FQ2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00" s="2" t="e">
        <f ca="1">_xll.BDH($C$378,"DILUTED_EPS_AFT_XO_ITEMS_GROWTH","FQ2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00" s="2" t="e">
        <f ca="1">_xll.BDH($C$378,"DIVIDEND_PER_SHARE_1_YEAR_GROWTH","FQ2 2018","FQ2 2018","Currency=INR","Period=FQ","BEST_FPERIOD_OVERRIDE=FQ","FILING_STATUS=OR","EQY_CONSOLIDATED=Y","Sort=A","Dates=H","DateFormat=P","Fill=—","Direction=H","UseDPDF=Y")</f>
        <v>#NAME?</v>
      </c>
      <c r="Z400" s="2" t="e">
        <f ca="1">_xll.BDH($C$378,"ACCOUNTS_RECEIVABLE_GROWTH","FQ2 2018","FQ2 2018","Currency=INR","Period=FQ","BEST_FPERIOD_OVERRIDE=FQ","FILING_STATUS=OR","EQY_CONSOLIDATED=Y","Sort=A","Dates=H","DateFormat=P","Fill=—","Direction=H","UseDPDF=Y")</f>
        <v>#NAME?</v>
      </c>
      <c r="AA400" s="2" t="e">
        <f ca="1">_xll.BDH($C$378,"INVENTORY_GROWTH","FQ2 2018","FQ2 2018","Currency=INR","Period=FQ","BEST_FPERIOD_OVERRIDE=FQ","FILING_STATUS=OR","EQY_CONSOLIDATED=Y","Sort=A","Dates=H","DateFormat=P","Fill=—","Direction=H","UseDPDF=Y")</f>
        <v>#NAME?</v>
      </c>
      <c r="AB400" s="2" t="e">
        <f ca="1">_xll.BDH($C$378,"NET_FIXED_ASSETS_1_YEAR_GROWTH","FQ2 2018","FQ2 2018","Currency=INR","Period=FQ","BEST_FPERIOD_OVERRIDE=FQ","FILING_STATUS=OR","EQY_CONSOLIDATED=Y","Sort=A","Dates=H","DateFormat=P","Fill=—","Direction=H","UseDPDF=Y")</f>
        <v>#NAME?</v>
      </c>
      <c r="AC400" s="2" t="e">
        <f ca="1">_xll.BDH($C$378,"ASSET_GROWTH","FQ2 2018","FQ2 2018","Currency=INR","Period=FQ","BEST_FPERIOD_OVERRIDE=FQ","FILING_STATUS=OR","EQY_CONSOLIDATED=Y","Sort=A","Dates=H","DateFormat=P","Fill=—","Direction=H","UseDPDF=Y")</f>
        <v>#NAME?</v>
      </c>
      <c r="AD400" s="2" t="e">
        <f ca="1">_xll.BDH($C$378,"MODIFIED_WORK_CAP_GROWTH","FQ2 2018","FQ2 2018","Currency=INR","Period=FQ","BEST_FPERIOD_OVERRIDE=FQ","FILING_STATUS=OR","EQY_CONSOLIDATED=Y","Sort=A","Dates=H","DateFormat=P","Fill=—","Direction=H","UseDPDF=Y")</f>
        <v>#NAME?</v>
      </c>
      <c r="AE400" s="2" t="e">
        <f ca="1">_xll.BDH($C$378,"WORK_CAP_GROWTH","FQ2 2018","FQ2 2018","Currency=INR","Period=FQ","BEST_FPERIOD_OVERRIDE=FQ","FILING_STATUS=OR","EQY_CONSOLIDATED=Y","Sort=A","Dates=H","DateFormat=P","Fill=—","Direction=H","UseDPDF=Y")</f>
        <v>#NAME?</v>
      </c>
      <c r="AF400" s="2" t="e">
        <f ca="1">_xll.BDH($C$378,"ACCOUNTS_PAYABLE_GROWTH_1YR","FQ2 2018","FQ2 2018","Currency=INR","Period=FQ","BEST_FPERIOD_OVERRIDE=FQ","FILING_STATUS=OR","EQY_CONSOLIDATED=Y","Sort=A","Dates=H","DateFormat=P","Fill=—","Direction=H","UseDPDF=Y")</f>
        <v>#NAME?</v>
      </c>
      <c r="AG400" s="2" t="e">
        <f ca="1">_xll.BDH($C$378,"SHORT_TERM_DEBT_1_YEAR_GROWTH","FQ2 2018","FQ2 2018","Currency=INR","Period=FQ","BEST_FPERIOD_OVERRIDE=FQ","FILING_STATUS=OR","EQY_CONSOLIDATED=Y","Sort=A","Dates=H","DateFormat=P","Fill=—","Direction=H","UseDPDF=Y")</f>
        <v>#NAME?</v>
      </c>
      <c r="AH400" s="2" t="e">
        <f ca="1">_xll.BDH($C$378,"TOTAL_DEBT_1_YEAR_GROWTH","FQ2 2018","FQ2 2018","Currency=INR","Period=FQ","BEST_FPERIOD_OVERRIDE=FQ","FILING_STATUS=OR","EQY_CONSOLIDATED=Y","Sort=A","Dates=H","DateFormat=P","Fill=—","Direction=H","UseDPDF=Y")</f>
        <v>#NAME?</v>
      </c>
      <c r="AI400" s="2" t="e">
        <f ca="1">_xll.BDH($C$378,"TOTAL_EQUITY_1_YEAR_GROWTH","FQ2 2018","FQ2 2018","Currency=INR","Period=FQ","BEST_FPERIOD_OVERRIDE=FQ","FILING_STATUS=OR","EQY_CONSOLIDATED=Y","Sort=A","Dates=H","DateFormat=P","Fill=—","Direction=H","UseDPDF=Y")</f>
        <v>#NAME?</v>
      </c>
      <c r="AJ400" s="2" t="e">
        <f ca="1">_xll.BDH($C$378,"GROWTH_IN_CAP","FQ2 2018","FQ2 2018","Currency=INR","Period=FQ","BEST_FPERIOD_OVERRIDE=FQ","FILING_STATUS=OR","EQY_CONSOLIDATED=Y","Sort=A","Dates=H","DateFormat=P","Fill=—","Direction=H","UseDPDF=Y")</f>
        <v>#NAME?</v>
      </c>
      <c r="AK400" s="2" t="e">
        <f ca="1">_xll.BDH($C$378,"BVPS_GROWTH","FQ2 2018","FQ2 2018","Currency=INR","Period=FQ","BEST_FPERIOD_OVERRIDE=FQ","FILING_STATUS=OR","EQY_CONSOLIDATED=Y","Sort=A","Dates=H","DateFormat=P","Fill=—","Direction=H","UseDPDF=Y")</f>
        <v>#NAME?</v>
      </c>
      <c r="AL400" s="2" t="e">
        <f ca="1">_xll.BDH($C$378,"CASH_FLOW_GROWTH","FQ2 2018","FQ2 2018","Currency=INR","Period=FQ","BEST_FPERIOD_OVERRIDE=FQ","FILING_STATUS=OR","EQY_CONSOLIDATED=Y","Sort=A","Dates=H","DateFormat=P","Fill=—","Direction=H","UseDPDF=Y")</f>
        <v>#NAME?</v>
      </c>
      <c r="AM400" s="2" t="e">
        <f ca="1">_xll.BDH($C$378,"GEO_GROW_NET_SALES","FQ2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00" s="2" t="e">
        <f ca="1">_xll.BDH($C$378,"GEO_GROW_EBITDA","FQ2 2018","FQ2 2018","Currency=INR","Period=FQ","BEST_FPERIOD_OVERRIDE=FQ","FILING_STATUS=OR","EQY_CONSOLIDATED=Y","FA_ADJUSTED=GAAP","Sort=A","Dates=H","DateFormat=P","Fill=—","Direction=H","UseDPDF=Y")</f>
        <v>#NAME?</v>
      </c>
      <c r="AO400" s="2" t="e">
        <f ca="1">_xll.BDH($C$378,"GEO_GROW_OPER_INC","FQ2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00" s="2" t="e">
        <f ca="1">_xll.BDH($C$378,"NET_INCOME_TO_COMMON_5_YR_GROWTH","FQ2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00" s="2" t="e">
        <f ca="1">_xll.BDH($C$378,"5Y_GEO_GROWTH_DILUTED_EPS","FQ2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00" s="2" t="e">
        <f ca="1">_xll.BDH($C$378,"GEO_GROW_DVD_PER_SH","FQ2 2018","FQ2 2018","Currency=INR","Period=FQ","BEST_FPERIOD_OVERRIDE=FQ","FILING_STATUS=OR","EQY_CONSOLIDATED=Y","Sort=A","Dates=H","DateFormat=P","Fill=—","Direction=H","UseDPDF=Y")</f>
        <v>#NAME?</v>
      </c>
      <c r="AS400" s="2" t="e">
        <f ca="1">_xll.BDH($C$378,"ACCOUNTS_RECEIVABLE_5_YR_GROWTH","FQ2 2018","FQ2 2018","Currency=INR","Period=FQ","BEST_FPERIOD_OVERRIDE=FQ","FILING_STATUS=OR","EQY_CONSOLIDATED=Y","Sort=A","Dates=H","DateFormat=P","Fill=—","Direction=H","UseDPDF=Y")</f>
        <v>#NAME?</v>
      </c>
      <c r="AT400" s="2" t="e">
        <f ca="1">_xll.BDH($C$378,"INVENTORY_5_YEAR_GROWTH","FQ2 2018","FQ2 2018","Currency=INR","Period=FQ","BEST_FPERIOD_OVERRIDE=FQ","FILING_STATUS=OR","EQY_CONSOLIDATED=Y","Sort=A","Dates=H","DateFormat=P","Fill=—","Direction=H","UseDPDF=Y")</f>
        <v>#NAME?</v>
      </c>
      <c r="AU400" s="2" t="e">
        <f ca="1">_xll.BDH($C$378,"NET_FIXED_ASSETS_5_YEAR_GROWTH","FQ2 2018","FQ2 2018","Currency=INR","Period=FQ","BEST_FPERIOD_OVERRIDE=FQ","FILING_STATUS=OR","EQY_CONSOLIDATED=Y","Sort=A","Dates=H","DateFormat=P","Fill=—","Direction=H","UseDPDF=Y")</f>
        <v>#NAME?</v>
      </c>
      <c r="AV400" s="2" t="e">
        <f ca="1">_xll.BDH($C$378,"GEO_GROW_TOT_ASSET","FQ2 2018","FQ2 2018","Currency=INR","Period=FQ","BEST_FPERIOD_OVERRIDE=FQ","FILING_STATUS=OR","EQY_CONSOLIDATED=Y","Sort=A","Dates=H","DateFormat=P","Fill=—","Direction=H","UseDPDF=Y")</f>
        <v>#NAME?</v>
      </c>
      <c r="AW400" s="2" t="e">
        <f ca="1">_xll.BDH($C$378,"MODIFIED_WORKING_CPTL_5YR_GRWTH","FQ2 2018","FQ2 2018","Currency=INR","Period=FQ","BEST_FPERIOD_OVERRIDE=FQ","FILING_STATUS=OR","EQY_CONSOLIDATED=Y","Sort=A","Dates=H","DateFormat=P","Fill=—","Direction=H","UseDPDF=Y")</f>
        <v>#NAME?</v>
      </c>
      <c r="AX400" s="2" t="e">
        <f ca="1">_xll.BDH($C$378,"WORKING_CAPITAL_5_YEAR_GROWTH","FQ2 2018","FQ2 2018","Currency=INR","Period=FQ","BEST_FPERIOD_OVERRIDE=FQ","FILING_STATUS=OR","EQY_CONSOLIDATED=Y","Sort=A","Dates=H","DateFormat=P","Fill=—","Direction=H","UseDPDF=Y")</f>
        <v>#NAME?</v>
      </c>
      <c r="AY400" s="2" t="e">
        <f ca="1">_xll.BDH($C$378,"ACCOUNTS_PAYABLE_5_YEAR_GROWTH","FQ2 2018","FQ2 2018","Currency=INR","Period=FQ","BEST_FPERIOD_OVERRIDE=FQ","FILING_STATUS=OR","EQY_CONSOLIDATED=Y","Sort=A","Dates=H","DateFormat=P","Fill=—","Direction=H","UseDPDF=Y")</f>
        <v>#NAME?</v>
      </c>
      <c r="AZ400" s="2" t="e">
        <f ca="1">_xll.BDH($C$378,"SHORT_TERM_DEBT_5_YEAR_GROWTH","FQ2 2018","FQ2 2018","Currency=INR","Period=FQ","BEST_FPERIOD_OVERRIDE=FQ","FILING_STATUS=OR","EQY_CONSOLIDATED=Y","Sort=A","Dates=H","DateFormat=P","Fill=—","Direction=H","UseDPDF=Y")</f>
        <v>#NAME?</v>
      </c>
      <c r="BA400" s="2" t="e">
        <f ca="1">_xll.BDH($C$378,"TOTAL_DEBT_5_YEAR_GROWTH","FQ2 2018","FQ2 2018","Currency=INR","Period=FQ","BEST_FPERIOD_OVERRIDE=FQ","FILING_STATUS=OR","EQY_CONSOLIDATED=Y","Sort=A","Dates=H","DateFormat=P","Fill=—","Direction=H","UseDPDF=Y")</f>
        <v>#NAME?</v>
      </c>
      <c r="BB400" s="2" t="e">
        <f ca="1">_xll.BDH($C$378,"GEO_GROW_TOT_SHRHLDR_EQY","FQ2 2018","FQ2 2018","Currency=INR","Period=FQ","BEST_FPERIOD_OVERRIDE=FQ","FILING_STATUS=OR","EQY_CONSOLIDATED=Y","Sort=A","Dates=H","DateFormat=P","Fill=—","Direction=H","UseDPDF=Y")</f>
        <v>#NAME?</v>
      </c>
      <c r="BC400" s="2" t="e">
        <f ca="1">_xll.BDH($C$378,"TOTAL_CAPITAL_5_YEAR_GROWTH","FQ2 2018","FQ2 2018","Currency=INR","Period=FQ","BEST_FPERIOD_OVERRIDE=FQ","FILING_STATUS=OR","EQY_CONSOLIDATED=Y","Sort=A","Dates=H","DateFormat=P","Fill=—","Direction=H","UseDPDF=Y")</f>
        <v>#NAME?</v>
      </c>
      <c r="BD400" s="2" t="e">
        <f ca="1">_xll.BDH($C$378,"GEO_GROW_BOOK_VAL","FQ2 2018","FQ2 2018","Currency=INR","Period=FQ","BEST_FPERIOD_OVERRIDE=FQ","FILING_STATUS=OR","EQY_CONSOLIDATED=Y","Sort=A","Dates=H","DateFormat=P","Fill=—","Direction=H","UseDPDF=Y")</f>
        <v>#NAME?</v>
      </c>
      <c r="BE400" s="2" t="e">
        <f ca="1">_xll.BDH($C$378,"GEO_GROW_CASH_OPER_ACT","FQ2 2018","FQ2 2018","Currency=INR","Period=FQ","BEST_FPERIOD_OVERRIDE=FQ","FILING_STATUS=OR","EQY_CONSOLIDATED=Y","Sort=A","Dates=H","DateFormat=P","Fill=—","Direction=H","UseDPDF=Y")</f>
        <v>#NAME?</v>
      </c>
      <c r="BF400" s="2" t="e">
        <f ca="1">_xll.BDH($C$378,"REVENUE_SEQUENTIAL_GROWTH","FQ2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00" s="2" t="e">
        <f ca="1">_xll.BDH($C$378,"EBITDA_SEQUENTIAL_GROWTH","FQ2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00" s="2" t="e">
        <f ca="1">_xll.BDH($C$378,"OPERATING_INCOME_SEQ_GROWTH","FQ2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00" s="2" t="e">
        <f ca="1">_xll.BDH($C$378,"NET_INCOME_TO_COMMON_SEQ_GROWTH","FQ2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00" s="2" t="e">
        <f ca="1">_xll.BDH($C$378,"EPS_DILUTED_SEQUENTIAL_GROWTH","FQ2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00" s="2" t="e">
        <f ca="1">_xll.BDH($C$378,"DPS_SEQUENTIAL_GROWTH","FQ2 2018","FQ2 2018","Currency=INR","Period=FQ","BEST_FPERIOD_OVERRIDE=FQ","FILING_STATUS=OR","EQY_CONSOLIDATED=Y","Sort=A","Dates=H","DateFormat=P","Fill=—","Direction=H","UseDPDF=Y")</f>
        <v>#NAME?</v>
      </c>
      <c r="BL400" s="2" t="e">
        <f ca="1">_xll.BDH($C$378,"ACCOUNTS_RECEIVABLE_SEQ_GROWTH","FQ2 2018","FQ2 2018","Currency=INR","Period=FQ","BEST_FPERIOD_OVERRIDE=FQ","FILING_STATUS=OR","EQY_CONSOLIDATED=Y","Sort=A","Dates=H","DateFormat=P","Fill=—","Direction=H","UseDPDF=Y")</f>
        <v>#NAME?</v>
      </c>
      <c r="BM400" s="2" t="e">
        <f ca="1">_xll.BDH($C$378,"INVENTORY_SEQUENTIAL_GROWTH","FQ2 2018","FQ2 2018","Currency=INR","Period=FQ","BEST_FPERIOD_OVERRIDE=FQ","FILING_STATUS=OR","EQY_CONSOLIDATED=Y","Sort=A","Dates=H","DateFormat=P","Fill=—","Direction=H","UseDPDF=Y")</f>
        <v>#NAME?</v>
      </c>
      <c r="BN400" s="2" t="e">
        <f ca="1">_xll.BDH($C$378,"FIXED_ASSETS_SEQUENTIAL_GROWTH","FQ2 2018","FQ2 2018","Currency=INR","Period=FQ","BEST_FPERIOD_OVERRIDE=FQ","FILING_STATUS=OR","EQY_CONSOLIDATED=Y","Sort=A","Dates=H","DateFormat=P","Fill=—","Direction=H","UseDPDF=Y")</f>
        <v>#NAME?</v>
      </c>
      <c r="BO400" s="2" t="e">
        <f ca="1">_xll.BDH($C$378,"TOTAL_ASSETS_SEQUENTIAL_GROWTH","FQ2 2018","FQ2 2018","Currency=INR","Period=FQ","BEST_FPERIOD_OVERRIDE=FQ","FILING_STATUS=OR","EQY_CONSOLIDATED=Y","Sort=A","Dates=H","DateFormat=P","Fill=—","Direction=H","UseDPDF=Y")</f>
        <v>#NAME?</v>
      </c>
      <c r="BP400" s="2" t="e">
        <f ca="1">_xll.BDH($C$378,"MODIFIED_WORKING_CPTL_SEQ_GRWTH","FQ2 2018","FQ2 2018","Currency=INR","Period=FQ","BEST_FPERIOD_OVERRIDE=FQ","FILING_STATUS=OR","EQY_CONSOLIDATED=Y","Sort=A","Dates=H","DateFormat=P","Fill=—","Direction=H","UseDPDF=Y")</f>
        <v>#NAME?</v>
      </c>
      <c r="BQ400" s="2" t="e">
        <f ca="1">_xll.BDH($C$378,"WORKING_CAPITAL_SEQ_GROWTH","FQ2 2018","FQ2 2018","Currency=INR","Period=FQ","BEST_FPERIOD_OVERRIDE=FQ","FILING_STATUS=OR","EQY_CONSOLIDATED=Y","Sort=A","Dates=H","DateFormat=P","Fill=—","Direction=H","UseDPDF=Y")</f>
        <v>#NAME?</v>
      </c>
      <c r="BR400" s="2" t="e">
        <f ca="1">_xll.BDH($C$378,"ACCOUNTS_PAYABLE_SEQ_GROWTH","FQ2 2018","FQ2 2018","Currency=INR","Period=FQ","BEST_FPERIOD_OVERRIDE=FQ","FILING_STATUS=OR","EQY_CONSOLIDATED=Y","Sort=A","Dates=H","DateFormat=P","Fill=—","Direction=H","UseDPDF=Y")</f>
        <v>#NAME?</v>
      </c>
      <c r="BS400" s="2" t="e">
        <f ca="1">_xll.BDH($C$378,"ST_DEBT_SEQUENTIAL_GROWTH","FQ2 2018","FQ2 2018","Currency=INR","Period=FQ","BEST_FPERIOD_OVERRIDE=FQ","FILING_STATUS=OR","EQY_CONSOLIDATED=Y","Sort=A","Dates=H","DateFormat=P","Fill=—","Direction=H","UseDPDF=Y")</f>
        <v>#NAME?</v>
      </c>
      <c r="BT400" s="2" t="e">
        <f ca="1">_xll.BDH($C$378,"TOTAL_DEBT_SEQUENTIAL_GROWTH","FQ2 2018","FQ2 2018","Currency=INR","Period=FQ","BEST_FPERIOD_OVERRIDE=FQ","FILING_STATUS=OR","EQY_CONSOLIDATED=Y","Sort=A","Dates=H","DateFormat=P","Fill=—","Direction=H","UseDPDF=Y")</f>
        <v>#NAME?</v>
      </c>
      <c r="BU400" s="2" t="e">
        <f ca="1">_xll.BDH($C$378,"TOTAL_EQUITY_SEQUENTIAL_GROWTH","FQ2 2018","FQ2 2018","Currency=INR","Period=FQ","BEST_FPERIOD_OVERRIDE=FQ","FILING_STATUS=OR","EQY_CONSOLIDATED=Y","Sort=A","Dates=H","DateFormat=P","Fill=—","Direction=H","UseDPDF=Y")</f>
        <v>#NAME?</v>
      </c>
      <c r="BV400" s="2" t="e">
        <f ca="1">_xll.BDH($C$378,"TOTAL_CAPITAL_SEQUENTIAL_GROWTH","FQ2 2018","FQ2 2018","Currency=INR","Period=FQ","BEST_FPERIOD_OVERRIDE=FQ","FILING_STATUS=OR","EQY_CONSOLIDATED=Y","Sort=A","Dates=H","DateFormat=P","Fill=—","Direction=H","UseDPDF=Y")</f>
        <v>#NAME?</v>
      </c>
      <c r="BW400" s="2" t="e">
        <f ca="1">_xll.BDH($C$378,"BPS_SEQUENTIAL_GROWTH","FQ2 2018","FQ2 2018","Currency=INR","Period=FQ","BEST_FPERIOD_OVERRIDE=FQ","FILING_STATUS=OR","EQY_CONSOLIDATED=Y","Sort=A","Dates=H","DateFormat=P","Fill=—","Direction=H","UseDPDF=Y")</f>
        <v>#NAME?</v>
      </c>
      <c r="BX400" s="2" t="e">
        <f ca="1">_xll.BDH($C$378,"CFO_SEQUENTIAL_GROWTH","FQ2 2018","FQ2 2018","Currency=INR","Period=FQ","BEST_FPERIOD_OVERRIDE=FQ","FILING_STATUS=OR","EQY_CONSOLIDATED=Y","Sort=A","Dates=H","DateFormat=P","Fill=—","Direction=H","UseDPDF=Y")</f>
        <v>#NAME?</v>
      </c>
      <c r="BY400" s="3" t="e">
        <f ca="1">_xll.BDH($C$378,"SHORT_AND_LONG_TERM_DEBT","FQ2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00" s="3" t="e">
        <f ca="1">_xll.BDH($C$378,"BS_ST_BORROW","FQ2 2018","FQ2 2018","Currency=INR","Period=FQ","BEST_FPERIOD_OVERRIDE=FQ","FILING_STATUS=OR","EQY_CONSOLIDATED=Y","SCALING_FORMAT=MLN","Sort=A","Dates=H","DateFormat=P","Fill=—","Direction=H","UseDPDF=Y")</f>
        <v>#NAME?</v>
      </c>
      <c r="CA400" s="3" t="e">
        <f ca="1">_xll.BDH($C$378,"BS_LT_BORROW","FQ2 2018","FQ2 2018","Currency=INR","Period=FQ","BEST_FPERIOD_OVERRIDE=FQ","FILING_STATUS=OR","EQY_CONSOLIDATED=Y","SCALING_FORMAT=MLN","Sort=A","Dates=H","DateFormat=P","Fill=—","Direction=H","UseDPDF=Y")</f>
        <v>#NAME?</v>
      </c>
      <c r="CB400" s="2" t="e">
        <f ca="1">_xll.BDH($C$378,"TOT_DEBT_TO_EBITDA","FQ2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00" s="2" t="e">
        <f ca="1">_xll.BDH($C$378,"NET_DEBT_TO_EBITDA","FQ2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00" s="2" t="e">
        <f ca="1">_xll.BDH($C$378,"TOTAL_DEBT_TO_EBIT","FQ2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00" s="2" t="e">
        <f ca="1">_xll.BDH($C$378,"NET_DEBT_TO_EBIT","FQ2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00" s="2" t="e">
        <f ca="1">_xll.BDH($C$378,"EBITDA_TO_INTEREST_EXPN","FQ2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00" s="2" t="e">
        <f ca="1">_xll.BDH($C$378,"COM_EQY_TO_TOT_ASSET","FQ2 2018","FQ2 2018","Currency=INR","Period=FQ","BEST_FPERIOD_OVERRIDE=FQ","FILING_STATUS=OR","EQY_CONSOLIDATED=Y","Sort=A","Dates=H","DateFormat=P","Fill=—","Direction=H","UseDPDF=Y")</f>
        <v>#NAME?</v>
      </c>
      <c r="CH400" s="2" t="e">
        <f ca="1">_xll.BDH($C$378,"LT_DEBT_TO_TOT_EQY","FQ2 2018","FQ2 2018","Currency=INR","Period=FQ","BEST_FPERIOD_OVERRIDE=FQ","FILING_STATUS=OR","EQY_CONSOLIDATED=Y","Sort=A","Dates=H","DateFormat=P","Fill=—","Direction=H","UseDPDF=Y")</f>
        <v>#NAME?</v>
      </c>
      <c r="CI400" s="2" t="e">
        <f ca="1">_xll.BDH($C$378,"LT_DEBT_TO_TOT_CAP","FQ2 2018","FQ2 2018","Currency=INR","Period=FQ","BEST_FPERIOD_OVERRIDE=FQ","FILING_STATUS=OR","EQY_CONSOLIDATED=Y","Sort=A","Dates=H","DateFormat=P","Fill=—","Direction=H","UseDPDF=Y")</f>
        <v>#NAME?</v>
      </c>
      <c r="CJ400" s="2" t="e">
        <f ca="1">_xll.BDH($C$378,"LT_DEBT_TO_TOT_ASSET","FQ2 2018","FQ2 2018","Currency=INR","Period=FQ","BEST_FPERIOD_OVERRIDE=FQ","FILING_STATUS=OR","EQY_CONSOLIDATED=Y","Sort=A","Dates=H","DateFormat=P","Fill=—","Direction=H","UseDPDF=Y")</f>
        <v>#NAME?</v>
      </c>
      <c r="CK400" s="2" t="e">
        <f ca="1">_xll.BDH($C$378,"TOT_DEBT_TO_TOT_EQY","FQ2 2018","FQ2 2018","Currency=INR","Period=FQ","BEST_FPERIOD_OVERRIDE=FQ","FILING_STATUS=OR","EQY_CONSOLIDATED=Y","Sort=A","Dates=H","DateFormat=P","Fill=—","Direction=H","UseDPDF=Y")</f>
        <v>#NAME?</v>
      </c>
      <c r="CL400" s="2" t="e">
        <f ca="1">_xll.BDH($C$378,"TOT_DEBT_TO_TOT_CAP","FQ2 2018","FQ2 2018","Currency=INR","Period=FQ","BEST_FPERIOD_OVERRIDE=FQ","FILING_STATUS=OR","EQY_CONSOLIDATED=Y","Sort=A","Dates=H","DateFormat=P","Fill=—","Direction=H","UseDPDF=Y")</f>
        <v>#NAME?</v>
      </c>
      <c r="CM400" s="2" t="e">
        <f ca="1">_xll.BDH($C$378,"TOT_DEBT_TO_TOT_ASSET","FQ2 2018","FQ2 2018","Currency=INR","Period=FQ","BEST_FPERIOD_OVERRIDE=FQ","FILING_STATUS=OR","EQY_CONSOLIDATED=Y","Sort=A","Dates=H","DateFormat=P","Fill=—","Direction=H","UseDPDF=Y")</f>
        <v>#NAME?</v>
      </c>
      <c r="CN400" s="2" t="e">
        <f ca="1">_xll.BDH($C$378,"NET_DEBT_TO_SHRHLDR_EQTY","FQ2 2018","FQ2 2018","Currency=INR","Period=FQ","BEST_FPERIOD_OVERRIDE=FQ","FILING_STATUS=OR","EQY_CONSOLIDATED=Y","Sort=A","Dates=H","DateFormat=P","Fill=—","Direction=H","UseDPDF=Y")</f>
        <v>#NAME?</v>
      </c>
      <c r="CO400" s="2" t="e">
        <f ca="1">_xll.BDH($C$378,"NET_DEBT_%_CAPITAL","FQ2 2018","FQ2 2018","Currency=INR","Period=FQ","BEST_FPERIOD_OVERRIDE=FQ","FILING_STATUS=OR","EQY_CONSOLIDATED=Y","Sort=A","Dates=H","DateFormat=P","Fill=—","Direction=H","UseDPDF=Y")</f>
        <v>#NAME?</v>
      </c>
      <c r="CP400" s="3" t="e">
        <f ca="1">_xll.BDH($C$378,"EBITDA","FQ2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00" s="3" t="e">
        <f ca="1">_xll.BDH($C$378,"EBITDA_AFTER_CAPEX","FQ2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00" s="3" t="e">
        <f ca="1">_xll.BDH($C$378,"IS_OPER_INC","FQ2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00" s="2" t="e">
        <f ca="1">_xll.BDH($C$378,"CASH_RATIO","FQ2 2018","FQ2 2018","Currency=INR","Period=FQ","BEST_FPERIOD_OVERRIDE=FQ","FILING_STATUS=OR","EQY_CONSOLIDATED=Y","Sort=A","Dates=H","DateFormat=P","Fill=—","Direction=H","UseDPDF=Y")</f>
        <v>#NAME?</v>
      </c>
      <c r="CT400" s="2" t="e">
        <f ca="1">_xll.BDH($C$378,"CUR_RATIO","FQ2 2018","FQ2 2018","Currency=INR","Period=FQ","BEST_FPERIOD_OVERRIDE=FQ","FILING_STATUS=OR","EQY_CONSOLIDATED=Y","Sort=A","Dates=H","DateFormat=P","Fill=—","Direction=H","UseDPDF=Y")</f>
        <v>#NAME?</v>
      </c>
      <c r="CU400" s="2" t="e">
        <f ca="1">_xll.BDH($C$378,"QUICK_RATIO","FQ2 2018","FQ2 2018","Currency=INR","Period=FQ","BEST_FPERIOD_OVERRIDE=FQ","FILING_STATUS=OR","EQY_CONSOLIDATED=Y","Sort=A","Dates=H","DateFormat=P","Fill=—","Direction=H","UseDPDF=Y")</f>
        <v>#NAME?</v>
      </c>
      <c r="CV400" s="2" t="e">
        <f ca="1">_xll.BDH($C$378,"ALTMAN_Z_SCORE","FQ2 2018","FQ2 2018","Currency=INR","Period=FQ","BEST_FPERIOD_OVERRIDE=FQ","FILING_STATUS=OR","EQY_CONSOLIDATED=Y","Sort=A","Dates=H","DateFormat=P","Fill=—","Direction=H","UseDPDF=Y")</f>
        <v>#NAME?</v>
      </c>
      <c r="CW400" s="4" t="e">
        <f ca="1">_xll.BDH($C$378,"ACCT_RCV_TURN","FQ2 2018","FQ2 2018","Currency=INR","Period=FQ","BEST_FPERIOD_OVERRIDE=FQ","FILING_STATUS=OR","EQY_CONSOLIDATED=Y","FA_ADJUSTED=GAAP","Sort=A","Dates=H","DateFormat=P","Fill=—","Direction=H","UseDPDF=Y")</f>
        <v>#NAME?</v>
      </c>
      <c r="CX400" s="2" t="e">
        <f ca="1">_xll.BDH($C$378,"ACCT_RCV_DAYS","FQ2 2018","FQ2 2018","Currency=INR","Period=FQ","BEST_FPERIOD_OVERRIDE=FQ","FILING_STATUS=OR","EQY_CONSOLIDATED=Y","FA_ADJUSTED=GAAP","Sort=A","Dates=H","DateFormat=P","Fill=—","Direction=H","UseDPDF=Y")</f>
        <v>#NAME?</v>
      </c>
      <c r="CY400" s="4" t="e">
        <f ca="1">_xll.BDH($C$378,"INVENT_TURN","FQ2 2018","FQ2 2018","Currency=INR","Period=FQ","BEST_FPERIOD_OVERRIDE=FQ","FILING_STATUS=OR","EQY_CONSOLIDATED=Y","FA_ADJUSTED=GAAP","Sort=A","Dates=H","DateFormat=P","Fill=—","Direction=H","UseDPDF=Y")</f>
        <v>#NAME?</v>
      </c>
      <c r="CZ400" s="2" t="e">
        <f ca="1">_xll.BDH($C$378,"INVENT_DAYS","FQ2 2018","FQ2 2018","Currency=INR","Period=FQ","BEST_FPERIOD_OVERRIDE=FQ","FILING_STATUS=OR","EQY_CONSOLIDATED=Y","FA_ADJUSTED=GAAP","Sort=A","Dates=H","DateFormat=P","Fill=—","Direction=H","UseDPDF=Y")</f>
        <v>#NAME?</v>
      </c>
      <c r="DA400" s="4" t="e">
        <f ca="1">_xll.BDH($C$378,"ACCOUNTS_PAYABLE_TURNOVER","FQ2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00" s="2" t="e">
        <f ca="1">_xll.BDH($C$378,"ACCOUNTS_PAYABLE_TURNOVER_DAYS","FQ2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00" s="4" t="e">
        <f ca="1">_xll.BDH($C$378,"CASH_CONVERSION_CYCLE","FQ2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00" s="4" t="e">
        <f ca="1">_xll.BDH($C$378,"INV_TO_CASH_DAYS","FQ2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00" s="5" t="e">
        <f ca="1">_xll.BDH($C$378,"BS_INVENTORIES","FQ2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00" s="3" t="e">
        <f ca="1">_xll.BDH($C$378,"INVTRY_RAW_MATERIALS","FQ2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00" s="3" t="e">
        <f ca="1">_xll.BDH($C$378,"INVTRY_IN_PROGRESS","FQ2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00" s="3" t="e">
        <f ca="1">_xll.BDH($C$378,"INVTRY_FINISHED_GOODS","FQ2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00" s="3" t="e">
        <f ca="1">_xll.BDH($C$378,"BS_OTHER_INV","FQ2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01" spans="1:113" x14ac:dyDescent="0.3">
      <c r="A401" s="6"/>
      <c r="B401" s="6"/>
      <c r="C401" s="6"/>
      <c r="D401" s="6"/>
      <c r="E401" t="s">
        <v>80</v>
      </c>
      <c r="F401" t="e">
        <f ca="1">_xll.BDH($C$378,"RETURN_COM_EQY","FQ3 2018","FQ3 2018","Currency=INR","Period=FQ","BEST_FPERIOD_OVERRIDE=FQ","FILING_STATUS=OR","EQY_CONSOLIDATED=Y","FA_ADJUSTED=GAAP","Sort=A","Dates=H","DateFormat=P","Fill=—","Direction=H","UseDPDF=Y")</f>
        <v>#NAME?</v>
      </c>
      <c r="G401" t="e">
        <f ca="1">_xll.BDH($C$378,"RETURN_ON_ASSET","FQ3 2018","FQ3 2018","Currency=INR","Period=FQ","BEST_FPERIOD_OVERRIDE=FQ","FILING_STATUS=OR","EQY_CONSOLIDATED=Y","FA_ADJUSTED=GAAP","Sort=A","Dates=H","DateFormat=P","Fill=—","Direction=H","UseDPDF=Y")</f>
        <v>#NAME?</v>
      </c>
      <c r="H401" t="e">
        <f ca="1">_xll.BDH($C$378,"RETURN_ON_CAP","FQ3 2018","FQ3 2018","Currency=INR","Period=FQ","BEST_FPERIOD_OVERRIDE=FQ","FILING_STATUS=OR","EQY_CONSOLIDATED=Y","FA_ADJUSTED=GAAP","Sort=A","Dates=H","DateFormat=P","Fill=—","Direction=H","UseDPDF=Y")</f>
        <v>#NAME?</v>
      </c>
      <c r="I401" t="e">
        <f ca="1">_xll.BDH($C$378,"RETURN_ON_INV_CAPITAL","FQ3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01" t="e">
        <f ca="1">_xll.BDH($C$378,"EBITDA_TO_REVENUE","FQ3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01" t="e">
        <f ca="1">_xll.BDH($C$378,"OPER_MARGIN","FQ3 2018","FQ3 2018","Currency=INR","Period=FQ","BEST_FPERIOD_OVERRIDE=FQ","FILING_STATUS=OR","EQY_CONSOLIDATED=Y","FA_ADJUSTED=GAAP","Sort=A","Dates=H","DateFormat=P","Fill=—","Direction=H","UseDPDF=Y")</f>
        <v>#NAME?</v>
      </c>
      <c r="L401" t="e">
        <f ca="1">_xll.BDH($C$378,"INCREMENTAL_OPERATING_MARGIN","FQ3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01" t="e">
        <f ca="1">_xll.BDH($C$378,"PRETAX_INC_TO_NET_SALES","FQ3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01" t="e">
        <f ca="1">_xll.BDH($C$378,"INC_BEF_XO_ITEMS_TO_NET_SALES","FQ3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01" t="e">
        <f ca="1">_xll.BDH($C$378,"PROF_MARGIN","FQ3 2018","FQ3 2018","Currency=INR","Period=FQ","BEST_FPERIOD_OVERRIDE=FQ","FILING_STATUS=OR","EQY_CONSOLIDATED=Y","FA_ADJUSTED=GAAP","Sort=A","Dates=H","DateFormat=P","Fill=—","Direction=H","UseDPDF=Y")</f>
        <v>#NAME?</v>
      </c>
      <c r="P401" t="e">
        <f ca="1">_xll.BDH($C$378,"NET_INCOME_TO_COMMON_MARGIN","FQ3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01" t="e">
        <f ca="1">_xll.BDH($C$378,"EFF_TAX_RATE","FQ3 2018","FQ3 2018","Currency=INR","Period=FQ","BEST_FPERIOD_OVERRIDE=FQ","FILING_STATUS=OR","EQY_CONSOLIDATED=Y","FA_ADJUSTED=GAAP","Sort=A","Dates=H","DateFormat=P","Fill=—","Direction=H","UseDPDF=Y")</f>
        <v>#NAME?</v>
      </c>
      <c r="R401" t="e">
        <f ca="1">_xll.BDH($C$378,"DVD_PAYOUT_RATIO","FQ3 2018","FQ3 2018","Currency=INR","Period=FQ","BEST_FPERIOD_OVERRIDE=FQ","FILING_STATUS=OR","EQY_CONSOLIDATED=Y","FA_ADJUSTED=GAAP","Sort=A","Dates=H","DateFormat=P","Fill=—","Direction=H","UseDPDF=Y")</f>
        <v>#NAME?</v>
      </c>
      <c r="S401" t="e">
        <f ca="1">_xll.BDH($C$378,"SUSTAIN_GROWTH_RT","FQ3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01" s="2" t="e">
        <f ca="1">_xll.BDH($C$378,"SALES_GROWTH","FQ3 2018","FQ3 2018","Currency=INR","Period=FQ","BEST_FPERIOD_OVERRIDE=FQ","FILING_STATUS=OR","EQY_CONSOLIDATED=Y","FA_ADJUSTED=GAAP","Sort=A","Dates=H","DateFormat=P","Fill=—","Direction=H","UseDPDF=Y")</f>
        <v>#NAME?</v>
      </c>
      <c r="U401" s="2" t="e">
        <f ca="1">_xll.BDH($C$378,"EBITDA_GROWTH","FQ3 2018","FQ3 2018","Currency=INR","Period=FQ","BEST_FPERIOD_OVERRIDE=FQ","FILING_STATUS=OR","EQY_CONSOLIDATED=Y","FA_ADJUSTED=GAAP","Sort=A","Dates=H","DateFormat=P","Fill=—","Direction=H","UseDPDF=Y")</f>
        <v>#NAME?</v>
      </c>
      <c r="V401" s="2" t="e">
        <f ca="1">_xll.BDH($C$378,"OPER_INC_GROWTH","FQ3 2018","FQ3 2018","Currency=INR","Period=FQ","BEST_FPERIOD_OVERRIDE=FQ","FILING_STATUS=OR","EQY_CONSOLIDATED=Y","FA_ADJUSTED=GAAP","Sort=A","Dates=H","DateFormat=P","Fill=—","Direction=H","UseDPDF=Y")</f>
        <v>#NAME?</v>
      </c>
      <c r="W401" s="2" t="e">
        <f ca="1">_xll.BDH($C$378,"EARN_FOR_COM_GROWTH","FQ3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01" s="2" t="e">
        <f ca="1">_xll.BDH($C$378,"DILUTED_EPS_AFT_XO_ITEMS_GROWTH","FQ3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01" s="2" t="e">
        <f ca="1">_xll.BDH($C$378,"DIVIDEND_PER_SHARE_1_YEAR_GROWTH","FQ3 2018","FQ3 2018","Currency=INR","Period=FQ","BEST_FPERIOD_OVERRIDE=FQ","FILING_STATUS=OR","EQY_CONSOLIDATED=Y","Sort=A","Dates=H","DateFormat=P","Fill=—","Direction=H","UseDPDF=Y")</f>
        <v>#NAME?</v>
      </c>
      <c r="Z401" s="2" t="e">
        <f ca="1">_xll.BDH($C$378,"ACCOUNTS_RECEIVABLE_GROWTH","FQ3 2018","FQ3 2018","Currency=INR","Period=FQ","BEST_FPERIOD_OVERRIDE=FQ","FILING_STATUS=OR","EQY_CONSOLIDATED=Y","Sort=A","Dates=H","DateFormat=P","Fill=—","Direction=H","UseDPDF=Y")</f>
        <v>#NAME?</v>
      </c>
      <c r="AA401" s="2" t="e">
        <f ca="1">_xll.BDH($C$378,"INVENTORY_GROWTH","FQ3 2018","FQ3 2018","Currency=INR","Period=FQ","BEST_FPERIOD_OVERRIDE=FQ","FILING_STATUS=OR","EQY_CONSOLIDATED=Y","Sort=A","Dates=H","DateFormat=P","Fill=—","Direction=H","UseDPDF=Y")</f>
        <v>#NAME?</v>
      </c>
      <c r="AB401" s="2" t="e">
        <f ca="1">_xll.BDH($C$378,"NET_FIXED_ASSETS_1_YEAR_GROWTH","FQ3 2018","FQ3 2018","Currency=INR","Period=FQ","BEST_FPERIOD_OVERRIDE=FQ","FILING_STATUS=OR","EQY_CONSOLIDATED=Y","Sort=A","Dates=H","DateFormat=P","Fill=—","Direction=H","UseDPDF=Y")</f>
        <v>#NAME?</v>
      </c>
      <c r="AC401" s="2" t="e">
        <f ca="1">_xll.BDH($C$378,"ASSET_GROWTH","FQ3 2018","FQ3 2018","Currency=INR","Period=FQ","BEST_FPERIOD_OVERRIDE=FQ","FILING_STATUS=OR","EQY_CONSOLIDATED=Y","Sort=A","Dates=H","DateFormat=P","Fill=—","Direction=H","UseDPDF=Y")</f>
        <v>#NAME?</v>
      </c>
      <c r="AD401" s="2" t="e">
        <f ca="1">_xll.BDH($C$378,"MODIFIED_WORK_CAP_GROWTH","FQ3 2018","FQ3 2018","Currency=INR","Period=FQ","BEST_FPERIOD_OVERRIDE=FQ","FILING_STATUS=OR","EQY_CONSOLIDATED=Y","Sort=A","Dates=H","DateFormat=P","Fill=—","Direction=H","UseDPDF=Y")</f>
        <v>#NAME?</v>
      </c>
      <c r="AE401" s="2" t="e">
        <f ca="1">_xll.BDH($C$378,"WORK_CAP_GROWTH","FQ3 2018","FQ3 2018","Currency=INR","Period=FQ","BEST_FPERIOD_OVERRIDE=FQ","FILING_STATUS=OR","EQY_CONSOLIDATED=Y","Sort=A","Dates=H","DateFormat=P","Fill=—","Direction=H","UseDPDF=Y")</f>
        <v>#NAME?</v>
      </c>
      <c r="AF401" s="2" t="e">
        <f ca="1">_xll.BDH($C$378,"ACCOUNTS_PAYABLE_GROWTH_1YR","FQ3 2018","FQ3 2018","Currency=INR","Period=FQ","BEST_FPERIOD_OVERRIDE=FQ","FILING_STATUS=OR","EQY_CONSOLIDATED=Y","Sort=A","Dates=H","DateFormat=P","Fill=—","Direction=H","UseDPDF=Y")</f>
        <v>#NAME?</v>
      </c>
      <c r="AG401" s="2" t="e">
        <f ca="1">_xll.BDH($C$378,"SHORT_TERM_DEBT_1_YEAR_GROWTH","FQ3 2018","FQ3 2018","Currency=INR","Period=FQ","BEST_FPERIOD_OVERRIDE=FQ","FILING_STATUS=OR","EQY_CONSOLIDATED=Y","Sort=A","Dates=H","DateFormat=P","Fill=—","Direction=H","UseDPDF=Y")</f>
        <v>#NAME?</v>
      </c>
      <c r="AH401" s="2" t="e">
        <f ca="1">_xll.BDH($C$378,"TOTAL_DEBT_1_YEAR_GROWTH","FQ3 2018","FQ3 2018","Currency=INR","Period=FQ","BEST_FPERIOD_OVERRIDE=FQ","FILING_STATUS=OR","EQY_CONSOLIDATED=Y","Sort=A","Dates=H","DateFormat=P","Fill=—","Direction=H","UseDPDF=Y")</f>
        <v>#NAME?</v>
      </c>
      <c r="AI401" s="2" t="e">
        <f ca="1">_xll.BDH($C$378,"TOTAL_EQUITY_1_YEAR_GROWTH","FQ3 2018","FQ3 2018","Currency=INR","Period=FQ","BEST_FPERIOD_OVERRIDE=FQ","FILING_STATUS=OR","EQY_CONSOLIDATED=Y","Sort=A","Dates=H","DateFormat=P","Fill=—","Direction=H","UseDPDF=Y")</f>
        <v>#NAME?</v>
      </c>
      <c r="AJ401" s="2" t="e">
        <f ca="1">_xll.BDH($C$378,"GROWTH_IN_CAP","FQ3 2018","FQ3 2018","Currency=INR","Period=FQ","BEST_FPERIOD_OVERRIDE=FQ","FILING_STATUS=OR","EQY_CONSOLIDATED=Y","Sort=A","Dates=H","DateFormat=P","Fill=—","Direction=H","UseDPDF=Y")</f>
        <v>#NAME?</v>
      </c>
      <c r="AK401" s="2" t="e">
        <f ca="1">_xll.BDH($C$378,"BVPS_GROWTH","FQ3 2018","FQ3 2018","Currency=INR","Period=FQ","BEST_FPERIOD_OVERRIDE=FQ","FILING_STATUS=OR","EQY_CONSOLIDATED=Y","Sort=A","Dates=H","DateFormat=P","Fill=—","Direction=H","UseDPDF=Y")</f>
        <v>#NAME?</v>
      </c>
      <c r="AL401" s="2" t="e">
        <f ca="1">_xll.BDH($C$378,"CASH_FLOW_GROWTH","FQ3 2018","FQ3 2018","Currency=INR","Period=FQ","BEST_FPERIOD_OVERRIDE=FQ","FILING_STATUS=OR","EQY_CONSOLIDATED=Y","Sort=A","Dates=H","DateFormat=P","Fill=—","Direction=H","UseDPDF=Y")</f>
        <v>#NAME?</v>
      </c>
      <c r="AM401" s="2" t="e">
        <f ca="1">_xll.BDH($C$378,"GEO_GROW_NET_SALES","FQ3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01" s="2" t="e">
        <f ca="1">_xll.BDH($C$378,"GEO_GROW_EBITDA","FQ3 2018","FQ3 2018","Currency=INR","Period=FQ","BEST_FPERIOD_OVERRIDE=FQ","FILING_STATUS=OR","EQY_CONSOLIDATED=Y","FA_ADJUSTED=GAAP","Sort=A","Dates=H","DateFormat=P","Fill=—","Direction=H","UseDPDF=Y")</f>
        <v>#NAME?</v>
      </c>
      <c r="AO401" s="2" t="e">
        <f ca="1">_xll.BDH($C$378,"GEO_GROW_OPER_INC","FQ3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01" s="2" t="e">
        <f ca="1">_xll.BDH($C$378,"NET_INCOME_TO_COMMON_5_YR_GROWTH","FQ3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01" s="2" t="e">
        <f ca="1">_xll.BDH($C$378,"5Y_GEO_GROWTH_DILUTED_EPS","FQ3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01" s="2" t="e">
        <f ca="1">_xll.BDH($C$378,"GEO_GROW_DVD_PER_SH","FQ3 2018","FQ3 2018","Currency=INR","Period=FQ","BEST_FPERIOD_OVERRIDE=FQ","FILING_STATUS=OR","EQY_CONSOLIDATED=Y","Sort=A","Dates=H","DateFormat=P","Fill=—","Direction=H","UseDPDF=Y")</f>
        <v>#NAME?</v>
      </c>
      <c r="AS401" s="2" t="e">
        <f ca="1">_xll.BDH($C$378,"ACCOUNTS_RECEIVABLE_5_YR_GROWTH","FQ3 2018","FQ3 2018","Currency=INR","Period=FQ","BEST_FPERIOD_OVERRIDE=FQ","FILING_STATUS=OR","EQY_CONSOLIDATED=Y","Sort=A","Dates=H","DateFormat=P","Fill=—","Direction=H","UseDPDF=Y")</f>
        <v>#NAME?</v>
      </c>
      <c r="AT401" s="2" t="e">
        <f ca="1">_xll.BDH($C$378,"INVENTORY_5_YEAR_GROWTH","FQ3 2018","FQ3 2018","Currency=INR","Period=FQ","BEST_FPERIOD_OVERRIDE=FQ","FILING_STATUS=OR","EQY_CONSOLIDATED=Y","Sort=A","Dates=H","DateFormat=P","Fill=—","Direction=H","UseDPDF=Y")</f>
        <v>#NAME?</v>
      </c>
      <c r="AU401" s="2" t="e">
        <f ca="1">_xll.BDH($C$378,"NET_FIXED_ASSETS_5_YEAR_GROWTH","FQ3 2018","FQ3 2018","Currency=INR","Period=FQ","BEST_FPERIOD_OVERRIDE=FQ","FILING_STATUS=OR","EQY_CONSOLIDATED=Y","Sort=A","Dates=H","DateFormat=P","Fill=—","Direction=H","UseDPDF=Y")</f>
        <v>#NAME?</v>
      </c>
      <c r="AV401" s="2" t="e">
        <f ca="1">_xll.BDH($C$378,"GEO_GROW_TOT_ASSET","FQ3 2018","FQ3 2018","Currency=INR","Period=FQ","BEST_FPERIOD_OVERRIDE=FQ","FILING_STATUS=OR","EQY_CONSOLIDATED=Y","Sort=A","Dates=H","DateFormat=P","Fill=—","Direction=H","UseDPDF=Y")</f>
        <v>#NAME?</v>
      </c>
      <c r="AW401" s="2" t="e">
        <f ca="1">_xll.BDH($C$378,"MODIFIED_WORKING_CPTL_5YR_GRWTH","FQ3 2018","FQ3 2018","Currency=INR","Period=FQ","BEST_FPERIOD_OVERRIDE=FQ","FILING_STATUS=OR","EQY_CONSOLIDATED=Y","Sort=A","Dates=H","DateFormat=P","Fill=—","Direction=H","UseDPDF=Y")</f>
        <v>#NAME?</v>
      </c>
      <c r="AX401" s="2" t="e">
        <f ca="1">_xll.BDH($C$378,"WORKING_CAPITAL_5_YEAR_GROWTH","FQ3 2018","FQ3 2018","Currency=INR","Period=FQ","BEST_FPERIOD_OVERRIDE=FQ","FILING_STATUS=OR","EQY_CONSOLIDATED=Y","Sort=A","Dates=H","DateFormat=P","Fill=—","Direction=H","UseDPDF=Y")</f>
        <v>#NAME?</v>
      </c>
      <c r="AY401" s="2" t="e">
        <f ca="1">_xll.BDH($C$378,"ACCOUNTS_PAYABLE_5_YEAR_GROWTH","FQ3 2018","FQ3 2018","Currency=INR","Period=FQ","BEST_FPERIOD_OVERRIDE=FQ","FILING_STATUS=OR","EQY_CONSOLIDATED=Y","Sort=A","Dates=H","DateFormat=P","Fill=—","Direction=H","UseDPDF=Y")</f>
        <v>#NAME?</v>
      </c>
      <c r="AZ401" s="2" t="e">
        <f ca="1">_xll.BDH($C$378,"SHORT_TERM_DEBT_5_YEAR_GROWTH","FQ3 2018","FQ3 2018","Currency=INR","Period=FQ","BEST_FPERIOD_OVERRIDE=FQ","FILING_STATUS=OR","EQY_CONSOLIDATED=Y","Sort=A","Dates=H","DateFormat=P","Fill=—","Direction=H","UseDPDF=Y")</f>
        <v>#NAME?</v>
      </c>
      <c r="BA401" s="2" t="e">
        <f ca="1">_xll.BDH($C$378,"TOTAL_DEBT_5_YEAR_GROWTH","FQ3 2018","FQ3 2018","Currency=INR","Period=FQ","BEST_FPERIOD_OVERRIDE=FQ","FILING_STATUS=OR","EQY_CONSOLIDATED=Y","Sort=A","Dates=H","DateFormat=P","Fill=—","Direction=H","UseDPDF=Y")</f>
        <v>#NAME?</v>
      </c>
      <c r="BB401" s="2" t="e">
        <f ca="1">_xll.BDH($C$378,"GEO_GROW_TOT_SHRHLDR_EQY","FQ3 2018","FQ3 2018","Currency=INR","Period=FQ","BEST_FPERIOD_OVERRIDE=FQ","FILING_STATUS=OR","EQY_CONSOLIDATED=Y","Sort=A","Dates=H","DateFormat=P","Fill=—","Direction=H","UseDPDF=Y")</f>
        <v>#NAME?</v>
      </c>
      <c r="BC401" s="2" t="e">
        <f ca="1">_xll.BDH($C$378,"TOTAL_CAPITAL_5_YEAR_GROWTH","FQ3 2018","FQ3 2018","Currency=INR","Period=FQ","BEST_FPERIOD_OVERRIDE=FQ","FILING_STATUS=OR","EQY_CONSOLIDATED=Y","Sort=A","Dates=H","DateFormat=P","Fill=—","Direction=H","UseDPDF=Y")</f>
        <v>#NAME?</v>
      </c>
      <c r="BD401" s="2" t="e">
        <f ca="1">_xll.BDH($C$378,"GEO_GROW_BOOK_VAL","FQ3 2018","FQ3 2018","Currency=INR","Period=FQ","BEST_FPERIOD_OVERRIDE=FQ","FILING_STATUS=OR","EQY_CONSOLIDATED=Y","Sort=A","Dates=H","DateFormat=P","Fill=—","Direction=H","UseDPDF=Y")</f>
        <v>#NAME?</v>
      </c>
      <c r="BE401" s="2" t="e">
        <f ca="1">_xll.BDH($C$378,"GEO_GROW_CASH_OPER_ACT","FQ3 2018","FQ3 2018","Currency=INR","Period=FQ","BEST_FPERIOD_OVERRIDE=FQ","FILING_STATUS=OR","EQY_CONSOLIDATED=Y","Sort=A","Dates=H","DateFormat=P","Fill=—","Direction=H","UseDPDF=Y")</f>
        <v>#NAME?</v>
      </c>
      <c r="BF401" s="2" t="e">
        <f ca="1">_xll.BDH($C$378,"REVENUE_SEQUENTIAL_GROWTH","FQ3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01" s="2" t="e">
        <f ca="1">_xll.BDH($C$378,"EBITDA_SEQUENTIAL_GROWTH","FQ3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01" s="2" t="e">
        <f ca="1">_xll.BDH($C$378,"OPERATING_INCOME_SEQ_GROWTH","FQ3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01" s="2" t="e">
        <f ca="1">_xll.BDH($C$378,"NET_INCOME_TO_COMMON_SEQ_GROWTH","FQ3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01" s="2" t="e">
        <f ca="1">_xll.BDH($C$378,"EPS_DILUTED_SEQUENTIAL_GROWTH","FQ3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01" s="2" t="e">
        <f ca="1">_xll.BDH($C$378,"DPS_SEQUENTIAL_GROWTH","FQ3 2018","FQ3 2018","Currency=INR","Period=FQ","BEST_FPERIOD_OVERRIDE=FQ","FILING_STATUS=OR","EQY_CONSOLIDATED=Y","Sort=A","Dates=H","DateFormat=P","Fill=—","Direction=H","UseDPDF=Y")</f>
        <v>#NAME?</v>
      </c>
      <c r="BL401" s="2" t="e">
        <f ca="1">_xll.BDH($C$378,"ACCOUNTS_RECEIVABLE_SEQ_GROWTH","FQ3 2018","FQ3 2018","Currency=INR","Period=FQ","BEST_FPERIOD_OVERRIDE=FQ","FILING_STATUS=OR","EQY_CONSOLIDATED=Y","Sort=A","Dates=H","DateFormat=P","Fill=—","Direction=H","UseDPDF=Y")</f>
        <v>#NAME?</v>
      </c>
      <c r="BM401" s="2" t="e">
        <f ca="1">_xll.BDH($C$378,"INVENTORY_SEQUENTIAL_GROWTH","FQ3 2018","FQ3 2018","Currency=INR","Period=FQ","BEST_FPERIOD_OVERRIDE=FQ","FILING_STATUS=OR","EQY_CONSOLIDATED=Y","Sort=A","Dates=H","DateFormat=P","Fill=—","Direction=H","UseDPDF=Y")</f>
        <v>#NAME?</v>
      </c>
      <c r="BN401" s="2" t="e">
        <f ca="1">_xll.BDH($C$378,"FIXED_ASSETS_SEQUENTIAL_GROWTH","FQ3 2018","FQ3 2018","Currency=INR","Period=FQ","BEST_FPERIOD_OVERRIDE=FQ","FILING_STATUS=OR","EQY_CONSOLIDATED=Y","Sort=A","Dates=H","DateFormat=P","Fill=—","Direction=H","UseDPDF=Y")</f>
        <v>#NAME?</v>
      </c>
      <c r="BO401" s="2" t="e">
        <f ca="1">_xll.BDH($C$378,"TOTAL_ASSETS_SEQUENTIAL_GROWTH","FQ3 2018","FQ3 2018","Currency=INR","Period=FQ","BEST_FPERIOD_OVERRIDE=FQ","FILING_STATUS=OR","EQY_CONSOLIDATED=Y","Sort=A","Dates=H","DateFormat=P","Fill=—","Direction=H","UseDPDF=Y")</f>
        <v>#NAME?</v>
      </c>
      <c r="BP401" s="2" t="e">
        <f ca="1">_xll.BDH($C$378,"MODIFIED_WORKING_CPTL_SEQ_GRWTH","FQ3 2018","FQ3 2018","Currency=INR","Period=FQ","BEST_FPERIOD_OVERRIDE=FQ","FILING_STATUS=OR","EQY_CONSOLIDATED=Y","Sort=A","Dates=H","DateFormat=P","Fill=—","Direction=H","UseDPDF=Y")</f>
        <v>#NAME?</v>
      </c>
      <c r="BQ401" s="2" t="e">
        <f ca="1">_xll.BDH($C$378,"WORKING_CAPITAL_SEQ_GROWTH","FQ3 2018","FQ3 2018","Currency=INR","Period=FQ","BEST_FPERIOD_OVERRIDE=FQ","FILING_STATUS=OR","EQY_CONSOLIDATED=Y","Sort=A","Dates=H","DateFormat=P","Fill=—","Direction=H","UseDPDF=Y")</f>
        <v>#NAME?</v>
      </c>
      <c r="BR401" s="2" t="e">
        <f ca="1">_xll.BDH($C$378,"ACCOUNTS_PAYABLE_SEQ_GROWTH","FQ3 2018","FQ3 2018","Currency=INR","Period=FQ","BEST_FPERIOD_OVERRIDE=FQ","FILING_STATUS=OR","EQY_CONSOLIDATED=Y","Sort=A","Dates=H","DateFormat=P","Fill=—","Direction=H","UseDPDF=Y")</f>
        <v>#NAME?</v>
      </c>
      <c r="BS401" s="2" t="e">
        <f ca="1">_xll.BDH($C$378,"ST_DEBT_SEQUENTIAL_GROWTH","FQ3 2018","FQ3 2018","Currency=INR","Period=FQ","BEST_FPERIOD_OVERRIDE=FQ","FILING_STATUS=OR","EQY_CONSOLIDATED=Y","Sort=A","Dates=H","DateFormat=P","Fill=—","Direction=H","UseDPDF=Y")</f>
        <v>#NAME?</v>
      </c>
      <c r="BT401" s="2" t="e">
        <f ca="1">_xll.BDH($C$378,"TOTAL_DEBT_SEQUENTIAL_GROWTH","FQ3 2018","FQ3 2018","Currency=INR","Period=FQ","BEST_FPERIOD_OVERRIDE=FQ","FILING_STATUS=OR","EQY_CONSOLIDATED=Y","Sort=A","Dates=H","DateFormat=P","Fill=—","Direction=H","UseDPDF=Y")</f>
        <v>#NAME?</v>
      </c>
      <c r="BU401" s="2" t="e">
        <f ca="1">_xll.BDH($C$378,"TOTAL_EQUITY_SEQUENTIAL_GROWTH","FQ3 2018","FQ3 2018","Currency=INR","Period=FQ","BEST_FPERIOD_OVERRIDE=FQ","FILING_STATUS=OR","EQY_CONSOLIDATED=Y","Sort=A","Dates=H","DateFormat=P","Fill=—","Direction=H","UseDPDF=Y")</f>
        <v>#NAME?</v>
      </c>
      <c r="BV401" s="2" t="e">
        <f ca="1">_xll.BDH($C$378,"TOTAL_CAPITAL_SEQUENTIAL_GROWTH","FQ3 2018","FQ3 2018","Currency=INR","Period=FQ","BEST_FPERIOD_OVERRIDE=FQ","FILING_STATUS=OR","EQY_CONSOLIDATED=Y","Sort=A","Dates=H","DateFormat=P","Fill=—","Direction=H","UseDPDF=Y")</f>
        <v>#NAME?</v>
      </c>
      <c r="BW401" s="2" t="e">
        <f ca="1">_xll.BDH($C$378,"BPS_SEQUENTIAL_GROWTH","FQ3 2018","FQ3 2018","Currency=INR","Period=FQ","BEST_FPERIOD_OVERRIDE=FQ","FILING_STATUS=OR","EQY_CONSOLIDATED=Y","Sort=A","Dates=H","DateFormat=P","Fill=—","Direction=H","UseDPDF=Y")</f>
        <v>#NAME?</v>
      </c>
      <c r="BX401" s="2" t="e">
        <f ca="1">_xll.BDH($C$378,"CFO_SEQUENTIAL_GROWTH","FQ3 2018","FQ3 2018","Currency=INR","Period=FQ","BEST_FPERIOD_OVERRIDE=FQ","FILING_STATUS=OR","EQY_CONSOLIDATED=Y","Sort=A","Dates=H","DateFormat=P","Fill=—","Direction=H","UseDPDF=Y")</f>
        <v>#NAME?</v>
      </c>
      <c r="BY401" s="3" t="e">
        <f ca="1">_xll.BDH($C$378,"SHORT_AND_LONG_TERM_DEBT","FQ3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01" s="3" t="e">
        <f ca="1">_xll.BDH($C$378,"BS_ST_BORROW","FQ3 2018","FQ3 2018","Currency=INR","Period=FQ","BEST_FPERIOD_OVERRIDE=FQ","FILING_STATUS=OR","EQY_CONSOLIDATED=Y","SCALING_FORMAT=MLN","Sort=A","Dates=H","DateFormat=P","Fill=—","Direction=H","UseDPDF=Y")</f>
        <v>#NAME?</v>
      </c>
      <c r="CA401" s="3" t="e">
        <f ca="1">_xll.BDH($C$378,"BS_LT_BORROW","FQ3 2018","FQ3 2018","Currency=INR","Period=FQ","BEST_FPERIOD_OVERRIDE=FQ","FILING_STATUS=OR","EQY_CONSOLIDATED=Y","SCALING_FORMAT=MLN","Sort=A","Dates=H","DateFormat=P","Fill=—","Direction=H","UseDPDF=Y")</f>
        <v>#NAME?</v>
      </c>
      <c r="CB401" s="2" t="e">
        <f ca="1">_xll.BDH($C$378,"TOT_DEBT_TO_EBITDA","FQ3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01" s="2" t="e">
        <f ca="1">_xll.BDH($C$378,"NET_DEBT_TO_EBITDA","FQ3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01" s="2" t="e">
        <f ca="1">_xll.BDH($C$378,"TOTAL_DEBT_TO_EBIT","FQ3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01" s="2" t="e">
        <f ca="1">_xll.BDH($C$378,"NET_DEBT_TO_EBIT","FQ3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01" s="2" t="e">
        <f ca="1">_xll.BDH($C$378,"EBITDA_TO_INTEREST_EXPN","FQ3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01" s="2" t="e">
        <f ca="1">_xll.BDH($C$378,"COM_EQY_TO_TOT_ASSET","FQ3 2018","FQ3 2018","Currency=INR","Period=FQ","BEST_FPERIOD_OVERRIDE=FQ","FILING_STATUS=OR","EQY_CONSOLIDATED=Y","Sort=A","Dates=H","DateFormat=P","Fill=—","Direction=H","UseDPDF=Y")</f>
        <v>#NAME?</v>
      </c>
      <c r="CH401" s="2" t="e">
        <f ca="1">_xll.BDH($C$378,"LT_DEBT_TO_TOT_EQY","FQ3 2018","FQ3 2018","Currency=INR","Period=FQ","BEST_FPERIOD_OVERRIDE=FQ","FILING_STATUS=OR","EQY_CONSOLIDATED=Y","Sort=A","Dates=H","DateFormat=P","Fill=—","Direction=H","UseDPDF=Y")</f>
        <v>#NAME?</v>
      </c>
      <c r="CI401" s="2" t="e">
        <f ca="1">_xll.BDH($C$378,"LT_DEBT_TO_TOT_CAP","FQ3 2018","FQ3 2018","Currency=INR","Period=FQ","BEST_FPERIOD_OVERRIDE=FQ","FILING_STATUS=OR","EQY_CONSOLIDATED=Y","Sort=A","Dates=H","DateFormat=P","Fill=—","Direction=H","UseDPDF=Y")</f>
        <v>#NAME?</v>
      </c>
      <c r="CJ401" s="2" t="e">
        <f ca="1">_xll.BDH($C$378,"LT_DEBT_TO_TOT_ASSET","FQ3 2018","FQ3 2018","Currency=INR","Period=FQ","BEST_FPERIOD_OVERRIDE=FQ","FILING_STATUS=OR","EQY_CONSOLIDATED=Y","Sort=A","Dates=H","DateFormat=P","Fill=—","Direction=H","UseDPDF=Y")</f>
        <v>#NAME?</v>
      </c>
      <c r="CK401" s="2" t="e">
        <f ca="1">_xll.BDH($C$378,"TOT_DEBT_TO_TOT_EQY","FQ3 2018","FQ3 2018","Currency=INR","Period=FQ","BEST_FPERIOD_OVERRIDE=FQ","FILING_STATUS=OR","EQY_CONSOLIDATED=Y","Sort=A","Dates=H","DateFormat=P","Fill=—","Direction=H","UseDPDF=Y")</f>
        <v>#NAME?</v>
      </c>
      <c r="CL401" s="2" t="e">
        <f ca="1">_xll.BDH($C$378,"TOT_DEBT_TO_TOT_CAP","FQ3 2018","FQ3 2018","Currency=INR","Period=FQ","BEST_FPERIOD_OVERRIDE=FQ","FILING_STATUS=OR","EQY_CONSOLIDATED=Y","Sort=A","Dates=H","DateFormat=P","Fill=—","Direction=H","UseDPDF=Y")</f>
        <v>#NAME?</v>
      </c>
      <c r="CM401" s="2" t="e">
        <f ca="1">_xll.BDH($C$378,"TOT_DEBT_TO_TOT_ASSET","FQ3 2018","FQ3 2018","Currency=INR","Period=FQ","BEST_FPERIOD_OVERRIDE=FQ","FILING_STATUS=OR","EQY_CONSOLIDATED=Y","Sort=A","Dates=H","DateFormat=P","Fill=—","Direction=H","UseDPDF=Y")</f>
        <v>#NAME?</v>
      </c>
      <c r="CN401" s="2" t="e">
        <f ca="1">_xll.BDH($C$378,"NET_DEBT_TO_SHRHLDR_EQTY","FQ3 2018","FQ3 2018","Currency=INR","Period=FQ","BEST_FPERIOD_OVERRIDE=FQ","FILING_STATUS=OR","EQY_CONSOLIDATED=Y","Sort=A","Dates=H","DateFormat=P","Fill=—","Direction=H","UseDPDF=Y")</f>
        <v>#NAME?</v>
      </c>
      <c r="CO401" s="2" t="e">
        <f ca="1">_xll.BDH($C$378,"NET_DEBT_%_CAPITAL","FQ3 2018","FQ3 2018","Currency=INR","Period=FQ","BEST_FPERIOD_OVERRIDE=FQ","FILING_STATUS=OR","EQY_CONSOLIDATED=Y","Sort=A","Dates=H","DateFormat=P","Fill=—","Direction=H","UseDPDF=Y")</f>
        <v>#NAME?</v>
      </c>
      <c r="CP401" s="3" t="e">
        <f ca="1">_xll.BDH($C$378,"EBITDA","FQ3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01" s="3" t="e">
        <f ca="1">_xll.BDH($C$378,"EBITDA_AFTER_CAPEX","FQ3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01" s="3" t="e">
        <f ca="1">_xll.BDH($C$378,"IS_OPER_INC","FQ3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01" s="2" t="e">
        <f ca="1">_xll.BDH($C$378,"CASH_RATIO","FQ3 2018","FQ3 2018","Currency=INR","Period=FQ","BEST_FPERIOD_OVERRIDE=FQ","FILING_STATUS=OR","EQY_CONSOLIDATED=Y","Sort=A","Dates=H","DateFormat=P","Fill=—","Direction=H","UseDPDF=Y")</f>
        <v>#NAME?</v>
      </c>
      <c r="CT401" s="2" t="e">
        <f ca="1">_xll.BDH($C$378,"CUR_RATIO","FQ3 2018","FQ3 2018","Currency=INR","Period=FQ","BEST_FPERIOD_OVERRIDE=FQ","FILING_STATUS=OR","EQY_CONSOLIDATED=Y","Sort=A","Dates=H","DateFormat=P","Fill=—","Direction=H","UseDPDF=Y")</f>
        <v>#NAME?</v>
      </c>
      <c r="CU401" s="2" t="e">
        <f ca="1">_xll.BDH($C$378,"QUICK_RATIO","FQ3 2018","FQ3 2018","Currency=INR","Period=FQ","BEST_FPERIOD_OVERRIDE=FQ","FILING_STATUS=OR","EQY_CONSOLIDATED=Y","Sort=A","Dates=H","DateFormat=P","Fill=—","Direction=H","UseDPDF=Y")</f>
        <v>#NAME?</v>
      </c>
      <c r="CV401" s="2" t="e">
        <f ca="1">_xll.BDH($C$378,"ALTMAN_Z_SCORE","FQ3 2018","FQ3 2018","Currency=INR","Period=FQ","BEST_FPERIOD_OVERRIDE=FQ","FILING_STATUS=OR","EQY_CONSOLIDATED=Y","Sort=A","Dates=H","DateFormat=P","Fill=—","Direction=H","UseDPDF=Y")</f>
        <v>#NAME?</v>
      </c>
      <c r="CW401" s="4" t="e">
        <f ca="1">_xll.BDH($C$378,"ACCT_RCV_TURN","FQ3 2018","FQ3 2018","Currency=INR","Period=FQ","BEST_FPERIOD_OVERRIDE=FQ","FILING_STATUS=OR","EQY_CONSOLIDATED=Y","FA_ADJUSTED=GAAP","Sort=A","Dates=H","DateFormat=P","Fill=—","Direction=H","UseDPDF=Y")</f>
        <v>#NAME?</v>
      </c>
      <c r="CX401" s="2" t="e">
        <f ca="1">_xll.BDH($C$378,"ACCT_RCV_DAYS","FQ3 2018","FQ3 2018","Currency=INR","Period=FQ","BEST_FPERIOD_OVERRIDE=FQ","FILING_STATUS=OR","EQY_CONSOLIDATED=Y","FA_ADJUSTED=GAAP","Sort=A","Dates=H","DateFormat=P","Fill=—","Direction=H","UseDPDF=Y")</f>
        <v>#NAME?</v>
      </c>
      <c r="CY401" s="4" t="e">
        <f ca="1">_xll.BDH($C$378,"INVENT_TURN","FQ3 2018","FQ3 2018","Currency=INR","Period=FQ","BEST_FPERIOD_OVERRIDE=FQ","FILING_STATUS=OR","EQY_CONSOLIDATED=Y","FA_ADJUSTED=GAAP","Sort=A","Dates=H","DateFormat=P","Fill=—","Direction=H","UseDPDF=Y")</f>
        <v>#NAME?</v>
      </c>
      <c r="CZ401" s="2" t="e">
        <f ca="1">_xll.BDH($C$378,"INVENT_DAYS","FQ3 2018","FQ3 2018","Currency=INR","Period=FQ","BEST_FPERIOD_OVERRIDE=FQ","FILING_STATUS=OR","EQY_CONSOLIDATED=Y","FA_ADJUSTED=GAAP","Sort=A","Dates=H","DateFormat=P","Fill=—","Direction=H","UseDPDF=Y")</f>
        <v>#NAME?</v>
      </c>
      <c r="DA401" s="4" t="e">
        <f ca="1">_xll.BDH($C$378,"ACCOUNTS_PAYABLE_TURNOVER","FQ3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01" s="2" t="e">
        <f ca="1">_xll.BDH($C$378,"ACCOUNTS_PAYABLE_TURNOVER_DAYS","FQ3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01" s="4" t="e">
        <f ca="1">_xll.BDH($C$378,"CASH_CONVERSION_CYCLE","FQ3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01" s="4" t="e">
        <f ca="1">_xll.BDH($C$378,"INV_TO_CASH_DAYS","FQ3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01" s="5" t="e">
        <f ca="1">_xll.BDH($C$378,"BS_INVENTORIES","FQ3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01" s="3" t="e">
        <f ca="1">_xll.BDH($C$378,"INVTRY_RAW_MATERIALS","FQ3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01" s="3" t="e">
        <f ca="1">_xll.BDH($C$378,"INVTRY_IN_PROGRESS","FQ3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01" s="3" t="e">
        <f ca="1">_xll.BDH($C$378,"INVTRY_FINISHED_GOODS","FQ3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01" s="3" t="e">
        <f ca="1">_xll.BDH($C$378,"BS_OTHER_INV","FQ3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02" spans="1:113" x14ac:dyDescent="0.3">
      <c r="A402" s="6"/>
      <c r="B402" s="6"/>
      <c r="C402" s="6"/>
      <c r="D402" s="6"/>
      <c r="E402" t="s">
        <v>81</v>
      </c>
      <c r="F402" t="e">
        <f ca="1">_xll.BDH($C$378,"RETURN_COM_EQY","FQ4 2018","FQ4 2018","Currency=INR","Period=FQ","BEST_FPERIOD_OVERRIDE=FQ","FILING_STATUS=OR","EQY_CONSOLIDATED=Y","FA_ADJUSTED=GAAP","Sort=A","Dates=H","DateFormat=P","Fill=—","Direction=H","UseDPDF=Y")</f>
        <v>#NAME?</v>
      </c>
      <c r="G402" t="e">
        <f ca="1">_xll.BDH($C$378,"RETURN_ON_ASSET","FQ4 2018","FQ4 2018","Currency=INR","Period=FQ","BEST_FPERIOD_OVERRIDE=FQ","FILING_STATUS=OR","EQY_CONSOLIDATED=Y","FA_ADJUSTED=GAAP","Sort=A","Dates=H","DateFormat=P","Fill=—","Direction=H","UseDPDF=Y")</f>
        <v>#NAME?</v>
      </c>
      <c r="H402" t="e">
        <f ca="1">_xll.BDH($C$378,"RETURN_ON_CAP","FQ4 2018","FQ4 2018","Currency=INR","Period=FQ","BEST_FPERIOD_OVERRIDE=FQ","FILING_STATUS=OR","EQY_CONSOLIDATED=Y","FA_ADJUSTED=GAAP","Sort=A","Dates=H","DateFormat=P","Fill=—","Direction=H","UseDPDF=Y")</f>
        <v>#NAME?</v>
      </c>
      <c r="I402" t="e">
        <f ca="1">_xll.BDH($C$378,"RETURN_ON_INV_CAPITAL","FQ4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02" t="e">
        <f ca="1">_xll.BDH($C$378,"EBITDA_TO_REVENUE","FQ4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02" t="e">
        <f ca="1">_xll.BDH($C$378,"OPER_MARGIN","FQ4 2018","FQ4 2018","Currency=INR","Period=FQ","BEST_FPERIOD_OVERRIDE=FQ","FILING_STATUS=OR","EQY_CONSOLIDATED=Y","FA_ADJUSTED=GAAP","Sort=A","Dates=H","DateFormat=P","Fill=—","Direction=H","UseDPDF=Y")</f>
        <v>#NAME?</v>
      </c>
      <c r="L402" t="e">
        <f ca="1">_xll.BDH($C$378,"INCREMENTAL_OPERATING_MARGIN","FQ4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02" t="e">
        <f ca="1">_xll.BDH($C$378,"PRETAX_INC_TO_NET_SALES","FQ4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02" t="e">
        <f ca="1">_xll.BDH($C$378,"INC_BEF_XO_ITEMS_TO_NET_SALES","FQ4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02" t="e">
        <f ca="1">_xll.BDH($C$378,"PROF_MARGIN","FQ4 2018","FQ4 2018","Currency=INR","Period=FQ","BEST_FPERIOD_OVERRIDE=FQ","FILING_STATUS=OR","EQY_CONSOLIDATED=Y","FA_ADJUSTED=GAAP","Sort=A","Dates=H","DateFormat=P","Fill=—","Direction=H","UseDPDF=Y")</f>
        <v>#NAME?</v>
      </c>
      <c r="P402" t="e">
        <f ca="1">_xll.BDH($C$378,"NET_INCOME_TO_COMMON_MARGIN","FQ4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02" t="e">
        <f ca="1">_xll.BDH($C$378,"EFF_TAX_RATE","FQ4 2018","FQ4 2018","Currency=INR","Period=FQ","BEST_FPERIOD_OVERRIDE=FQ","FILING_STATUS=OR","EQY_CONSOLIDATED=Y","FA_ADJUSTED=GAAP","Sort=A","Dates=H","DateFormat=P","Fill=—","Direction=H","UseDPDF=Y")</f>
        <v>#NAME?</v>
      </c>
      <c r="R402" t="e">
        <f ca="1">_xll.BDH($C$378,"DVD_PAYOUT_RATIO","FQ4 2018","FQ4 2018","Currency=INR","Period=FQ","BEST_FPERIOD_OVERRIDE=FQ","FILING_STATUS=OR","EQY_CONSOLIDATED=Y","FA_ADJUSTED=GAAP","Sort=A","Dates=H","DateFormat=P","Fill=—","Direction=H","UseDPDF=Y")</f>
        <v>#NAME?</v>
      </c>
      <c r="S402" t="e">
        <f ca="1">_xll.BDH($C$378,"SUSTAIN_GROWTH_RT","FQ4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02" s="2" t="e">
        <f ca="1">_xll.BDH($C$378,"SALES_GROWTH","FQ4 2018","FQ4 2018","Currency=INR","Period=FQ","BEST_FPERIOD_OVERRIDE=FQ","FILING_STATUS=OR","EQY_CONSOLIDATED=Y","FA_ADJUSTED=GAAP","Sort=A","Dates=H","DateFormat=P","Fill=—","Direction=H","UseDPDF=Y")</f>
        <v>#NAME?</v>
      </c>
      <c r="U402" s="2" t="e">
        <f ca="1">_xll.BDH($C$378,"EBITDA_GROWTH","FQ4 2018","FQ4 2018","Currency=INR","Period=FQ","BEST_FPERIOD_OVERRIDE=FQ","FILING_STATUS=OR","EQY_CONSOLIDATED=Y","FA_ADJUSTED=GAAP","Sort=A","Dates=H","DateFormat=P","Fill=—","Direction=H","UseDPDF=Y")</f>
        <v>#NAME?</v>
      </c>
      <c r="V402" s="2" t="e">
        <f ca="1">_xll.BDH($C$378,"OPER_INC_GROWTH","FQ4 2018","FQ4 2018","Currency=INR","Period=FQ","BEST_FPERIOD_OVERRIDE=FQ","FILING_STATUS=OR","EQY_CONSOLIDATED=Y","FA_ADJUSTED=GAAP","Sort=A","Dates=H","DateFormat=P","Fill=—","Direction=H","UseDPDF=Y")</f>
        <v>#NAME?</v>
      </c>
      <c r="W402" s="2" t="e">
        <f ca="1">_xll.BDH($C$378,"EARN_FOR_COM_GROWTH","FQ4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02" s="2" t="e">
        <f ca="1">_xll.BDH($C$378,"DILUTED_EPS_AFT_XO_ITEMS_GROWTH","FQ4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02" s="2" t="e">
        <f ca="1">_xll.BDH($C$378,"DIVIDEND_PER_SHARE_1_YEAR_GROWTH","FQ4 2018","FQ4 2018","Currency=INR","Period=FQ","BEST_FPERIOD_OVERRIDE=FQ","FILING_STATUS=OR","EQY_CONSOLIDATED=Y","Sort=A","Dates=H","DateFormat=P","Fill=—","Direction=H","UseDPDF=Y")</f>
        <v>#NAME?</v>
      </c>
      <c r="Z402" s="2" t="e">
        <f ca="1">_xll.BDH($C$378,"ACCOUNTS_RECEIVABLE_GROWTH","FQ4 2018","FQ4 2018","Currency=INR","Period=FQ","BEST_FPERIOD_OVERRIDE=FQ","FILING_STATUS=OR","EQY_CONSOLIDATED=Y","Sort=A","Dates=H","DateFormat=P","Fill=—","Direction=H","UseDPDF=Y")</f>
        <v>#NAME?</v>
      </c>
      <c r="AA402" s="2" t="e">
        <f ca="1">_xll.BDH($C$378,"INVENTORY_GROWTH","FQ4 2018","FQ4 2018","Currency=INR","Period=FQ","BEST_FPERIOD_OVERRIDE=FQ","FILING_STATUS=OR","EQY_CONSOLIDATED=Y","Sort=A","Dates=H","DateFormat=P","Fill=—","Direction=H","UseDPDF=Y")</f>
        <v>#NAME?</v>
      </c>
      <c r="AB402" s="2" t="e">
        <f ca="1">_xll.BDH($C$378,"NET_FIXED_ASSETS_1_YEAR_GROWTH","FQ4 2018","FQ4 2018","Currency=INR","Period=FQ","BEST_FPERIOD_OVERRIDE=FQ","FILING_STATUS=OR","EQY_CONSOLIDATED=Y","Sort=A","Dates=H","DateFormat=P","Fill=—","Direction=H","UseDPDF=Y")</f>
        <v>#NAME?</v>
      </c>
      <c r="AC402" s="2" t="e">
        <f ca="1">_xll.BDH($C$378,"ASSET_GROWTH","FQ4 2018","FQ4 2018","Currency=INR","Period=FQ","BEST_FPERIOD_OVERRIDE=FQ","FILING_STATUS=OR","EQY_CONSOLIDATED=Y","Sort=A","Dates=H","DateFormat=P","Fill=—","Direction=H","UseDPDF=Y")</f>
        <v>#NAME?</v>
      </c>
      <c r="AD402" s="2" t="e">
        <f ca="1">_xll.BDH($C$378,"MODIFIED_WORK_CAP_GROWTH","FQ4 2018","FQ4 2018","Currency=INR","Period=FQ","BEST_FPERIOD_OVERRIDE=FQ","FILING_STATUS=OR","EQY_CONSOLIDATED=Y","Sort=A","Dates=H","DateFormat=P","Fill=—","Direction=H","UseDPDF=Y")</f>
        <v>#NAME?</v>
      </c>
      <c r="AE402" s="2" t="e">
        <f ca="1">_xll.BDH($C$378,"WORK_CAP_GROWTH","FQ4 2018","FQ4 2018","Currency=INR","Period=FQ","BEST_FPERIOD_OVERRIDE=FQ","FILING_STATUS=OR","EQY_CONSOLIDATED=Y","Sort=A","Dates=H","DateFormat=P","Fill=—","Direction=H","UseDPDF=Y")</f>
        <v>#NAME?</v>
      </c>
      <c r="AF402" s="2" t="e">
        <f ca="1">_xll.BDH($C$378,"ACCOUNTS_PAYABLE_GROWTH_1YR","FQ4 2018","FQ4 2018","Currency=INR","Period=FQ","BEST_FPERIOD_OVERRIDE=FQ","FILING_STATUS=OR","EQY_CONSOLIDATED=Y","Sort=A","Dates=H","DateFormat=P","Fill=—","Direction=H","UseDPDF=Y")</f>
        <v>#NAME?</v>
      </c>
      <c r="AG402" s="2" t="e">
        <f ca="1">_xll.BDH($C$378,"SHORT_TERM_DEBT_1_YEAR_GROWTH","FQ4 2018","FQ4 2018","Currency=INR","Period=FQ","BEST_FPERIOD_OVERRIDE=FQ","FILING_STATUS=OR","EQY_CONSOLIDATED=Y","Sort=A","Dates=H","DateFormat=P","Fill=—","Direction=H","UseDPDF=Y")</f>
        <v>#NAME?</v>
      </c>
      <c r="AH402" s="2" t="e">
        <f ca="1">_xll.BDH($C$378,"TOTAL_DEBT_1_YEAR_GROWTH","FQ4 2018","FQ4 2018","Currency=INR","Period=FQ","BEST_FPERIOD_OVERRIDE=FQ","FILING_STATUS=OR","EQY_CONSOLIDATED=Y","Sort=A","Dates=H","DateFormat=P","Fill=—","Direction=H","UseDPDF=Y")</f>
        <v>#NAME?</v>
      </c>
      <c r="AI402" s="2" t="e">
        <f ca="1">_xll.BDH($C$378,"TOTAL_EQUITY_1_YEAR_GROWTH","FQ4 2018","FQ4 2018","Currency=INR","Period=FQ","BEST_FPERIOD_OVERRIDE=FQ","FILING_STATUS=OR","EQY_CONSOLIDATED=Y","Sort=A","Dates=H","DateFormat=P","Fill=—","Direction=H","UseDPDF=Y")</f>
        <v>#NAME?</v>
      </c>
      <c r="AJ402" s="2" t="e">
        <f ca="1">_xll.BDH($C$378,"GROWTH_IN_CAP","FQ4 2018","FQ4 2018","Currency=INR","Period=FQ","BEST_FPERIOD_OVERRIDE=FQ","FILING_STATUS=OR","EQY_CONSOLIDATED=Y","Sort=A","Dates=H","DateFormat=P","Fill=—","Direction=H","UseDPDF=Y")</f>
        <v>#NAME?</v>
      </c>
      <c r="AK402" s="2" t="e">
        <f ca="1">_xll.BDH($C$378,"BVPS_GROWTH","FQ4 2018","FQ4 2018","Currency=INR","Period=FQ","BEST_FPERIOD_OVERRIDE=FQ","FILING_STATUS=OR","EQY_CONSOLIDATED=Y","Sort=A","Dates=H","DateFormat=P","Fill=—","Direction=H","UseDPDF=Y")</f>
        <v>#NAME?</v>
      </c>
      <c r="AL402" s="2" t="e">
        <f ca="1">_xll.BDH($C$378,"CASH_FLOW_GROWTH","FQ4 2018","FQ4 2018","Currency=INR","Period=FQ","BEST_FPERIOD_OVERRIDE=FQ","FILING_STATUS=OR","EQY_CONSOLIDATED=Y","Sort=A","Dates=H","DateFormat=P","Fill=—","Direction=H","UseDPDF=Y")</f>
        <v>#NAME?</v>
      </c>
      <c r="AM402" s="2" t="e">
        <f ca="1">_xll.BDH($C$378,"GEO_GROW_NET_SALES","FQ4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02" s="2" t="e">
        <f ca="1">_xll.BDH($C$378,"GEO_GROW_EBITDA","FQ4 2018","FQ4 2018","Currency=INR","Period=FQ","BEST_FPERIOD_OVERRIDE=FQ","FILING_STATUS=OR","EQY_CONSOLIDATED=Y","FA_ADJUSTED=GAAP","Sort=A","Dates=H","DateFormat=P","Fill=—","Direction=H","UseDPDF=Y")</f>
        <v>#NAME?</v>
      </c>
      <c r="AO402" s="2" t="e">
        <f ca="1">_xll.BDH($C$378,"GEO_GROW_OPER_INC","FQ4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02" s="2" t="e">
        <f ca="1">_xll.BDH($C$378,"NET_INCOME_TO_COMMON_5_YR_GROWTH","FQ4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02" s="2" t="e">
        <f ca="1">_xll.BDH($C$378,"5Y_GEO_GROWTH_DILUTED_EPS","FQ4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02" s="2" t="e">
        <f ca="1">_xll.BDH($C$378,"GEO_GROW_DVD_PER_SH","FQ4 2018","FQ4 2018","Currency=INR","Period=FQ","BEST_FPERIOD_OVERRIDE=FQ","FILING_STATUS=OR","EQY_CONSOLIDATED=Y","Sort=A","Dates=H","DateFormat=P","Fill=—","Direction=H","UseDPDF=Y")</f>
        <v>#NAME?</v>
      </c>
      <c r="AS402" s="2" t="e">
        <f ca="1">_xll.BDH($C$378,"ACCOUNTS_RECEIVABLE_5_YR_GROWTH","FQ4 2018","FQ4 2018","Currency=INR","Period=FQ","BEST_FPERIOD_OVERRIDE=FQ","FILING_STATUS=OR","EQY_CONSOLIDATED=Y","Sort=A","Dates=H","DateFormat=P","Fill=—","Direction=H","UseDPDF=Y")</f>
        <v>#NAME?</v>
      </c>
      <c r="AT402" s="2" t="e">
        <f ca="1">_xll.BDH($C$378,"INVENTORY_5_YEAR_GROWTH","FQ4 2018","FQ4 2018","Currency=INR","Period=FQ","BEST_FPERIOD_OVERRIDE=FQ","FILING_STATUS=OR","EQY_CONSOLIDATED=Y","Sort=A","Dates=H","DateFormat=P","Fill=—","Direction=H","UseDPDF=Y")</f>
        <v>#NAME?</v>
      </c>
      <c r="AU402" s="2" t="e">
        <f ca="1">_xll.BDH($C$378,"NET_FIXED_ASSETS_5_YEAR_GROWTH","FQ4 2018","FQ4 2018","Currency=INR","Period=FQ","BEST_FPERIOD_OVERRIDE=FQ","FILING_STATUS=OR","EQY_CONSOLIDATED=Y","Sort=A","Dates=H","DateFormat=P","Fill=—","Direction=H","UseDPDF=Y")</f>
        <v>#NAME?</v>
      </c>
      <c r="AV402" s="2" t="e">
        <f ca="1">_xll.BDH($C$378,"GEO_GROW_TOT_ASSET","FQ4 2018","FQ4 2018","Currency=INR","Period=FQ","BEST_FPERIOD_OVERRIDE=FQ","FILING_STATUS=OR","EQY_CONSOLIDATED=Y","Sort=A","Dates=H","DateFormat=P","Fill=—","Direction=H","UseDPDF=Y")</f>
        <v>#NAME?</v>
      </c>
      <c r="AW402" s="2" t="e">
        <f ca="1">_xll.BDH($C$378,"MODIFIED_WORKING_CPTL_5YR_GRWTH","FQ4 2018","FQ4 2018","Currency=INR","Period=FQ","BEST_FPERIOD_OVERRIDE=FQ","FILING_STATUS=OR","EQY_CONSOLIDATED=Y","Sort=A","Dates=H","DateFormat=P","Fill=—","Direction=H","UseDPDF=Y")</f>
        <v>#NAME?</v>
      </c>
      <c r="AX402" s="2" t="e">
        <f ca="1">_xll.BDH($C$378,"WORKING_CAPITAL_5_YEAR_GROWTH","FQ4 2018","FQ4 2018","Currency=INR","Period=FQ","BEST_FPERIOD_OVERRIDE=FQ","FILING_STATUS=OR","EQY_CONSOLIDATED=Y","Sort=A","Dates=H","DateFormat=P","Fill=—","Direction=H","UseDPDF=Y")</f>
        <v>#NAME?</v>
      </c>
      <c r="AY402" s="2" t="e">
        <f ca="1">_xll.BDH($C$378,"ACCOUNTS_PAYABLE_5_YEAR_GROWTH","FQ4 2018","FQ4 2018","Currency=INR","Period=FQ","BEST_FPERIOD_OVERRIDE=FQ","FILING_STATUS=OR","EQY_CONSOLIDATED=Y","Sort=A","Dates=H","DateFormat=P","Fill=—","Direction=H","UseDPDF=Y")</f>
        <v>#NAME?</v>
      </c>
      <c r="AZ402" s="2" t="e">
        <f ca="1">_xll.BDH($C$378,"SHORT_TERM_DEBT_5_YEAR_GROWTH","FQ4 2018","FQ4 2018","Currency=INR","Period=FQ","BEST_FPERIOD_OVERRIDE=FQ","FILING_STATUS=OR","EQY_CONSOLIDATED=Y","Sort=A","Dates=H","DateFormat=P","Fill=—","Direction=H","UseDPDF=Y")</f>
        <v>#NAME?</v>
      </c>
      <c r="BA402" s="2" t="e">
        <f ca="1">_xll.BDH($C$378,"TOTAL_DEBT_5_YEAR_GROWTH","FQ4 2018","FQ4 2018","Currency=INR","Period=FQ","BEST_FPERIOD_OVERRIDE=FQ","FILING_STATUS=OR","EQY_CONSOLIDATED=Y","Sort=A","Dates=H","DateFormat=P","Fill=—","Direction=H","UseDPDF=Y")</f>
        <v>#NAME?</v>
      </c>
      <c r="BB402" s="2" t="e">
        <f ca="1">_xll.BDH($C$378,"GEO_GROW_TOT_SHRHLDR_EQY","FQ4 2018","FQ4 2018","Currency=INR","Period=FQ","BEST_FPERIOD_OVERRIDE=FQ","FILING_STATUS=OR","EQY_CONSOLIDATED=Y","Sort=A","Dates=H","DateFormat=P","Fill=—","Direction=H","UseDPDF=Y")</f>
        <v>#NAME?</v>
      </c>
      <c r="BC402" s="2" t="e">
        <f ca="1">_xll.BDH($C$378,"TOTAL_CAPITAL_5_YEAR_GROWTH","FQ4 2018","FQ4 2018","Currency=INR","Period=FQ","BEST_FPERIOD_OVERRIDE=FQ","FILING_STATUS=OR","EQY_CONSOLIDATED=Y","Sort=A","Dates=H","DateFormat=P","Fill=—","Direction=H","UseDPDF=Y")</f>
        <v>#NAME?</v>
      </c>
      <c r="BD402" s="2" t="e">
        <f ca="1">_xll.BDH($C$378,"GEO_GROW_BOOK_VAL","FQ4 2018","FQ4 2018","Currency=INR","Period=FQ","BEST_FPERIOD_OVERRIDE=FQ","FILING_STATUS=OR","EQY_CONSOLIDATED=Y","Sort=A","Dates=H","DateFormat=P","Fill=—","Direction=H","UseDPDF=Y")</f>
        <v>#NAME?</v>
      </c>
      <c r="BE402" s="2" t="e">
        <f ca="1">_xll.BDH($C$378,"GEO_GROW_CASH_OPER_ACT","FQ4 2018","FQ4 2018","Currency=INR","Period=FQ","BEST_FPERIOD_OVERRIDE=FQ","FILING_STATUS=OR","EQY_CONSOLIDATED=Y","Sort=A","Dates=H","DateFormat=P","Fill=—","Direction=H","UseDPDF=Y")</f>
        <v>#NAME?</v>
      </c>
      <c r="BF402" s="2" t="e">
        <f ca="1">_xll.BDH($C$378,"REVENUE_SEQUENTIAL_GROWTH","FQ4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02" s="2" t="e">
        <f ca="1">_xll.BDH($C$378,"EBITDA_SEQUENTIAL_GROWTH","FQ4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02" s="2" t="e">
        <f ca="1">_xll.BDH($C$378,"OPERATING_INCOME_SEQ_GROWTH","FQ4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02" s="2" t="e">
        <f ca="1">_xll.BDH($C$378,"NET_INCOME_TO_COMMON_SEQ_GROWTH","FQ4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02" s="2" t="e">
        <f ca="1">_xll.BDH($C$378,"EPS_DILUTED_SEQUENTIAL_GROWTH","FQ4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02" s="2" t="e">
        <f ca="1">_xll.BDH($C$378,"DPS_SEQUENTIAL_GROWTH","FQ4 2018","FQ4 2018","Currency=INR","Period=FQ","BEST_FPERIOD_OVERRIDE=FQ","FILING_STATUS=OR","EQY_CONSOLIDATED=Y","Sort=A","Dates=H","DateFormat=P","Fill=—","Direction=H","UseDPDF=Y")</f>
        <v>#NAME?</v>
      </c>
      <c r="BL402" s="2" t="e">
        <f ca="1">_xll.BDH($C$378,"ACCOUNTS_RECEIVABLE_SEQ_GROWTH","FQ4 2018","FQ4 2018","Currency=INR","Period=FQ","BEST_FPERIOD_OVERRIDE=FQ","FILING_STATUS=OR","EQY_CONSOLIDATED=Y","Sort=A","Dates=H","DateFormat=P","Fill=—","Direction=H","UseDPDF=Y")</f>
        <v>#NAME?</v>
      </c>
      <c r="BM402" s="2" t="e">
        <f ca="1">_xll.BDH($C$378,"INVENTORY_SEQUENTIAL_GROWTH","FQ4 2018","FQ4 2018","Currency=INR","Period=FQ","BEST_FPERIOD_OVERRIDE=FQ","FILING_STATUS=OR","EQY_CONSOLIDATED=Y","Sort=A","Dates=H","DateFormat=P","Fill=—","Direction=H","UseDPDF=Y")</f>
        <v>#NAME?</v>
      </c>
      <c r="BN402" s="2" t="e">
        <f ca="1">_xll.BDH($C$378,"FIXED_ASSETS_SEQUENTIAL_GROWTH","FQ4 2018","FQ4 2018","Currency=INR","Period=FQ","BEST_FPERIOD_OVERRIDE=FQ","FILING_STATUS=OR","EQY_CONSOLIDATED=Y","Sort=A","Dates=H","DateFormat=P","Fill=—","Direction=H","UseDPDF=Y")</f>
        <v>#NAME?</v>
      </c>
      <c r="BO402" s="2" t="e">
        <f ca="1">_xll.BDH($C$378,"TOTAL_ASSETS_SEQUENTIAL_GROWTH","FQ4 2018","FQ4 2018","Currency=INR","Period=FQ","BEST_FPERIOD_OVERRIDE=FQ","FILING_STATUS=OR","EQY_CONSOLIDATED=Y","Sort=A","Dates=H","DateFormat=P","Fill=—","Direction=H","UseDPDF=Y")</f>
        <v>#NAME?</v>
      </c>
      <c r="BP402" s="2" t="e">
        <f ca="1">_xll.BDH($C$378,"MODIFIED_WORKING_CPTL_SEQ_GRWTH","FQ4 2018","FQ4 2018","Currency=INR","Period=FQ","BEST_FPERIOD_OVERRIDE=FQ","FILING_STATUS=OR","EQY_CONSOLIDATED=Y","Sort=A","Dates=H","DateFormat=P","Fill=—","Direction=H","UseDPDF=Y")</f>
        <v>#NAME?</v>
      </c>
      <c r="BQ402" s="2" t="e">
        <f ca="1">_xll.BDH($C$378,"WORKING_CAPITAL_SEQ_GROWTH","FQ4 2018","FQ4 2018","Currency=INR","Period=FQ","BEST_FPERIOD_OVERRIDE=FQ","FILING_STATUS=OR","EQY_CONSOLIDATED=Y","Sort=A","Dates=H","DateFormat=P","Fill=—","Direction=H","UseDPDF=Y")</f>
        <v>#NAME?</v>
      </c>
      <c r="BR402" s="2" t="e">
        <f ca="1">_xll.BDH($C$378,"ACCOUNTS_PAYABLE_SEQ_GROWTH","FQ4 2018","FQ4 2018","Currency=INR","Period=FQ","BEST_FPERIOD_OVERRIDE=FQ","FILING_STATUS=OR","EQY_CONSOLIDATED=Y","Sort=A","Dates=H","DateFormat=P","Fill=—","Direction=H","UseDPDF=Y")</f>
        <v>#NAME?</v>
      </c>
      <c r="BS402" s="2" t="e">
        <f ca="1">_xll.BDH($C$378,"ST_DEBT_SEQUENTIAL_GROWTH","FQ4 2018","FQ4 2018","Currency=INR","Period=FQ","BEST_FPERIOD_OVERRIDE=FQ","FILING_STATUS=OR","EQY_CONSOLIDATED=Y","Sort=A","Dates=H","DateFormat=P","Fill=—","Direction=H","UseDPDF=Y")</f>
        <v>#NAME?</v>
      </c>
      <c r="BT402" s="2" t="e">
        <f ca="1">_xll.BDH($C$378,"TOTAL_DEBT_SEQUENTIAL_GROWTH","FQ4 2018","FQ4 2018","Currency=INR","Period=FQ","BEST_FPERIOD_OVERRIDE=FQ","FILING_STATUS=OR","EQY_CONSOLIDATED=Y","Sort=A","Dates=H","DateFormat=P","Fill=—","Direction=H","UseDPDF=Y")</f>
        <v>#NAME?</v>
      </c>
      <c r="BU402" s="2" t="e">
        <f ca="1">_xll.BDH($C$378,"TOTAL_EQUITY_SEQUENTIAL_GROWTH","FQ4 2018","FQ4 2018","Currency=INR","Period=FQ","BEST_FPERIOD_OVERRIDE=FQ","FILING_STATUS=OR","EQY_CONSOLIDATED=Y","Sort=A","Dates=H","DateFormat=P","Fill=—","Direction=H","UseDPDF=Y")</f>
        <v>#NAME?</v>
      </c>
      <c r="BV402" s="2" t="e">
        <f ca="1">_xll.BDH($C$378,"TOTAL_CAPITAL_SEQUENTIAL_GROWTH","FQ4 2018","FQ4 2018","Currency=INR","Period=FQ","BEST_FPERIOD_OVERRIDE=FQ","FILING_STATUS=OR","EQY_CONSOLIDATED=Y","Sort=A","Dates=H","DateFormat=P","Fill=—","Direction=H","UseDPDF=Y")</f>
        <v>#NAME?</v>
      </c>
      <c r="BW402" s="2" t="e">
        <f ca="1">_xll.BDH($C$378,"BPS_SEQUENTIAL_GROWTH","FQ4 2018","FQ4 2018","Currency=INR","Period=FQ","BEST_FPERIOD_OVERRIDE=FQ","FILING_STATUS=OR","EQY_CONSOLIDATED=Y","Sort=A","Dates=H","DateFormat=P","Fill=—","Direction=H","UseDPDF=Y")</f>
        <v>#NAME?</v>
      </c>
      <c r="BX402" s="2" t="e">
        <f ca="1">_xll.BDH($C$378,"CFO_SEQUENTIAL_GROWTH","FQ4 2018","FQ4 2018","Currency=INR","Period=FQ","BEST_FPERIOD_OVERRIDE=FQ","FILING_STATUS=OR","EQY_CONSOLIDATED=Y","Sort=A","Dates=H","DateFormat=P","Fill=—","Direction=H","UseDPDF=Y")</f>
        <v>#NAME?</v>
      </c>
      <c r="BY402" s="3" t="e">
        <f ca="1">_xll.BDH($C$378,"SHORT_AND_LONG_TERM_DEBT","FQ4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02" s="3" t="e">
        <f ca="1">_xll.BDH($C$378,"BS_ST_BORROW","FQ4 2018","FQ4 2018","Currency=INR","Period=FQ","BEST_FPERIOD_OVERRIDE=FQ","FILING_STATUS=OR","EQY_CONSOLIDATED=Y","SCALING_FORMAT=MLN","Sort=A","Dates=H","DateFormat=P","Fill=—","Direction=H","UseDPDF=Y")</f>
        <v>#NAME?</v>
      </c>
      <c r="CA402" s="3" t="e">
        <f ca="1">_xll.BDH($C$378,"BS_LT_BORROW","FQ4 2018","FQ4 2018","Currency=INR","Period=FQ","BEST_FPERIOD_OVERRIDE=FQ","FILING_STATUS=OR","EQY_CONSOLIDATED=Y","SCALING_FORMAT=MLN","Sort=A","Dates=H","DateFormat=P","Fill=—","Direction=H","UseDPDF=Y")</f>
        <v>#NAME?</v>
      </c>
      <c r="CB402" s="2" t="e">
        <f ca="1">_xll.BDH($C$378,"TOT_DEBT_TO_EBITDA","FQ4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02" s="2" t="e">
        <f ca="1">_xll.BDH($C$378,"NET_DEBT_TO_EBITDA","FQ4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02" s="2" t="e">
        <f ca="1">_xll.BDH($C$378,"TOTAL_DEBT_TO_EBIT","FQ4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02" s="2" t="e">
        <f ca="1">_xll.BDH($C$378,"NET_DEBT_TO_EBIT","FQ4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02" s="2" t="e">
        <f ca="1">_xll.BDH($C$378,"EBITDA_TO_INTEREST_EXPN","FQ4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02" s="2" t="e">
        <f ca="1">_xll.BDH($C$378,"COM_EQY_TO_TOT_ASSET","FQ4 2018","FQ4 2018","Currency=INR","Period=FQ","BEST_FPERIOD_OVERRIDE=FQ","FILING_STATUS=OR","EQY_CONSOLIDATED=Y","Sort=A","Dates=H","DateFormat=P","Fill=—","Direction=H","UseDPDF=Y")</f>
        <v>#NAME?</v>
      </c>
      <c r="CH402" s="2" t="e">
        <f ca="1">_xll.BDH($C$378,"LT_DEBT_TO_TOT_EQY","FQ4 2018","FQ4 2018","Currency=INR","Period=FQ","BEST_FPERIOD_OVERRIDE=FQ","FILING_STATUS=OR","EQY_CONSOLIDATED=Y","Sort=A","Dates=H","DateFormat=P","Fill=—","Direction=H","UseDPDF=Y")</f>
        <v>#NAME?</v>
      </c>
      <c r="CI402" s="2" t="e">
        <f ca="1">_xll.BDH($C$378,"LT_DEBT_TO_TOT_CAP","FQ4 2018","FQ4 2018","Currency=INR","Period=FQ","BEST_FPERIOD_OVERRIDE=FQ","FILING_STATUS=OR","EQY_CONSOLIDATED=Y","Sort=A","Dates=H","DateFormat=P","Fill=—","Direction=H","UseDPDF=Y")</f>
        <v>#NAME?</v>
      </c>
      <c r="CJ402" s="2" t="e">
        <f ca="1">_xll.BDH($C$378,"LT_DEBT_TO_TOT_ASSET","FQ4 2018","FQ4 2018","Currency=INR","Period=FQ","BEST_FPERIOD_OVERRIDE=FQ","FILING_STATUS=OR","EQY_CONSOLIDATED=Y","Sort=A","Dates=H","DateFormat=P","Fill=—","Direction=H","UseDPDF=Y")</f>
        <v>#NAME?</v>
      </c>
      <c r="CK402" s="2" t="e">
        <f ca="1">_xll.BDH($C$378,"TOT_DEBT_TO_TOT_EQY","FQ4 2018","FQ4 2018","Currency=INR","Period=FQ","BEST_FPERIOD_OVERRIDE=FQ","FILING_STATUS=OR","EQY_CONSOLIDATED=Y","Sort=A","Dates=H","DateFormat=P","Fill=—","Direction=H","UseDPDF=Y")</f>
        <v>#NAME?</v>
      </c>
      <c r="CL402" s="2" t="e">
        <f ca="1">_xll.BDH($C$378,"TOT_DEBT_TO_TOT_CAP","FQ4 2018","FQ4 2018","Currency=INR","Period=FQ","BEST_FPERIOD_OVERRIDE=FQ","FILING_STATUS=OR","EQY_CONSOLIDATED=Y","Sort=A","Dates=H","DateFormat=P","Fill=—","Direction=H","UseDPDF=Y")</f>
        <v>#NAME?</v>
      </c>
      <c r="CM402" s="2" t="e">
        <f ca="1">_xll.BDH($C$378,"TOT_DEBT_TO_TOT_ASSET","FQ4 2018","FQ4 2018","Currency=INR","Period=FQ","BEST_FPERIOD_OVERRIDE=FQ","FILING_STATUS=OR","EQY_CONSOLIDATED=Y","Sort=A","Dates=H","DateFormat=P","Fill=—","Direction=H","UseDPDF=Y")</f>
        <v>#NAME?</v>
      </c>
      <c r="CN402" s="2" t="e">
        <f ca="1">_xll.BDH($C$378,"NET_DEBT_TO_SHRHLDR_EQTY","FQ4 2018","FQ4 2018","Currency=INR","Period=FQ","BEST_FPERIOD_OVERRIDE=FQ","FILING_STATUS=OR","EQY_CONSOLIDATED=Y","Sort=A","Dates=H","DateFormat=P","Fill=—","Direction=H","UseDPDF=Y")</f>
        <v>#NAME?</v>
      </c>
      <c r="CO402" s="2" t="e">
        <f ca="1">_xll.BDH($C$378,"NET_DEBT_%_CAPITAL","FQ4 2018","FQ4 2018","Currency=INR","Period=FQ","BEST_FPERIOD_OVERRIDE=FQ","FILING_STATUS=OR","EQY_CONSOLIDATED=Y","Sort=A","Dates=H","DateFormat=P","Fill=—","Direction=H","UseDPDF=Y")</f>
        <v>#NAME?</v>
      </c>
      <c r="CP402" s="3" t="e">
        <f ca="1">_xll.BDH($C$378,"EBITDA","FQ4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02" s="3" t="e">
        <f ca="1">_xll.BDH($C$378,"EBITDA_AFTER_CAPEX","FQ4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02" s="3" t="e">
        <f ca="1">_xll.BDH($C$378,"IS_OPER_INC","FQ4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02" s="2" t="e">
        <f ca="1">_xll.BDH($C$378,"CASH_RATIO","FQ4 2018","FQ4 2018","Currency=INR","Period=FQ","BEST_FPERIOD_OVERRIDE=FQ","FILING_STATUS=OR","EQY_CONSOLIDATED=Y","Sort=A","Dates=H","DateFormat=P","Fill=—","Direction=H","UseDPDF=Y")</f>
        <v>#NAME?</v>
      </c>
      <c r="CT402" s="2" t="e">
        <f ca="1">_xll.BDH($C$378,"CUR_RATIO","FQ4 2018","FQ4 2018","Currency=INR","Period=FQ","BEST_FPERIOD_OVERRIDE=FQ","FILING_STATUS=OR","EQY_CONSOLIDATED=Y","Sort=A","Dates=H","DateFormat=P","Fill=—","Direction=H","UseDPDF=Y")</f>
        <v>#NAME?</v>
      </c>
      <c r="CU402" s="2" t="e">
        <f ca="1">_xll.BDH($C$378,"QUICK_RATIO","FQ4 2018","FQ4 2018","Currency=INR","Period=FQ","BEST_FPERIOD_OVERRIDE=FQ","FILING_STATUS=OR","EQY_CONSOLIDATED=Y","Sort=A","Dates=H","DateFormat=P","Fill=—","Direction=H","UseDPDF=Y")</f>
        <v>#NAME?</v>
      </c>
      <c r="CV402" s="2" t="e">
        <f ca="1">_xll.BDH($C$378,"ALTMAN_Z_SCORE","FQ4 2018","FQ4 2018","Currency=INR","Period=FQ","BEST_FPERIOD_OVERRIDE=FQ","FILING_STATUS=OR","EQY_CONSOLIDATED=Y","Sort=A","Dates=H","DateFormat=P","Fill=—","Direction=H","UseDPDF=Y")</f>
        <v>#NAME?</v>
      </c>
      <c r="CW402" s="4" t="e">
        <f ca="1">_xll.BDH($C$378,"ACCT_RCV_TURN","FQ4 2018","FQ4 2018","Currency=INR","Period=FQ","BEST_FPERIOD_OVERRIDE=FQ","FILING_STATUS=OR","EQY_CONSOLIDATED=Y","FA_ADJUSTED=GAAP","Sort=A","Dates=H","DateFormat=P","Fill=—","Direction=H","UseDPDF=Y")</f>
        <v>#NAME?</v>
      </c>
      <c r="CX402" s="2" t="e">
        <f ca="1">_xll.BDH($C$378,"ACCT_RCV_DAYS","FQ4 2018","FQ4 2018","Currency=INR","Period=FQ","BEST_FPERIOD_OVERRIDE=FQ","FILING_STATUS=OR","EQY_CONSOLIDATED=Y","FA_ADJUSTED=GAAP","Sort=A","Dates=H","DateFormat=P","Fill=—","Direction=H","UseDPDF=Y")</f>
        <v>#NAME?</v>
      </c>
      <c r="CY402" s="4" t="e">
        <f ca="1">_xll.BDH($C$378,"INVENT_TURN","FQ4 2018","FQ4 2018","Currency=INR","Period=FQ","BEST_FPERIOD_OVERRIDE=FQ","FILING_STATUS=OR","EQY_CONSOLIDATED=Y","FA_ADJUSTED=GAAP","Sort=A","Dates=H","DateFormat=P","Fill=—","Direction=H","UseDPDF=Y")</f>
        <v>#NAME?</v>
      </c>
      <c r="CZ402" s="2" t="e">
        <f ca="1">_xll.BDH($C$378,"INVENT_DAYS","FQ4 2018","FQ4 2018","Currency=INR","Period=FQ","BEST_FPERIOD_OVERRIDE=FQ","FILING_STATUS=OR","EQY_CONSOLIDATED=Y","FA_ADJUSTED=GAAP","Sort=A","Dates=H","DateFormat=P","Fill=—","Direction=H","UseDPDF=Y")</f>
        <v>#NAME?</v>
      </c>
      <c r="DA402" s="4" t="e">
        <f ca="1">_xll.BDH($C$378,"ACCOUNTS_PAYABLE_TURNOVER","FQ4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02" s="2" t="e">
        <f ca="1">_xll.BDH($C$378,"ACCOUNTS_PAYABLE_TURNOVER_DAYS","FQ4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02" s="4" t="e">
        <f ca="1">_xll.BDH($C$378,"CASH_CONVERSION_CYCLE","FQ4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02" s="4" t="e">
        <f ca="1">_xll.BDH($C$378,"INV_TO_CASH_DAYS","FQ4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02" s="5" t="e">
        <f ca="1">_xll.BDH($C$378,"BS_INVENTORIES","FQ4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02" s="3" t="e">
        <f ca="1">_xll.BDH($C$378,"INVTRY_RAW_MATERIALS","FQ4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02" s="3" t="e">
        <f ca="1">_xll.BDH($C$378,"INVTRY_IN_PROGRESS","FQ4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02" s="3" t="e">
        <f ca="1">_xll.BDH($C$378,"INVTRY_FINISHED_GOODS","FQ4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02" s="3" t="e">
        <f ca="1">_xll.BDH($C$378,"BS_OTHER_INV","FQ4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03" spans="1:113" x14ac:dyDescent="0.3">
      <c r="A403" s="6">
        <v>92</v>
      </c>
      <c r="B403" s="6" t="s">
        <v>115</v>
      </c>
      <c r="C403" s="6" t="s">
        <v>116</v>
      </c>
      <c r="D403" s="6" t="s">
        <v>76</v>
      </c>
      <c r="E403" t="s">
        <v>77</v>
      </c>
      <c r="F403" t="e">
        <f ca="1">_xll.BDH($C$403,"RETURN_COM_EQY","FY 2014","FY 2014","Currency=INR","Period=FY","BEST_FPERIOD_OVERRIDE=FY","FILING_STATUS=OR","EQY_CONSOLIDATED=Y","FA_ADJUSTED=GAAP","Sort=A","Dates=H","DateFormat=P","Fill=—","Direction=H","UseDPDF=Y")</f>
        <v>#NAME?</v>
      </c>
      <c r="G403" t="e">
        <f ca="1">_xll.BDH($C$403,"RETURN_ON_ASSET","FY 2014","FY 2014","Currency=INR","Period=FY","BEST_FPERIOD_OVERRIDE=FY","FILING_STATUS=OR","EQY_CONSOLIDATED=Y","FA_ADJUSTED=GAAP","Sort=A","Dates=H","DateFormat=P","Fill=—","Direction=H","UseDPDF=Y")</f>
        <v>#NAME?</v>
      </c>
      <c r="H403" t="e">
        <f ca="1">_xll.BDH($C$403,"RETURN_ON_CAP","FY 2014","FY 2014","Currency=INR","Period=FY","BEST_FPERIOD_OVERRIDE=FY","FILING_STATUS=OR","EQY_CONSOLIDATED=Y","FA_ADJUSTED=GAAP","Sort=A","Dates=H","DateFormat=P","Fill=—","Direction=H","UseDPDF=Y")</f>
        <v>#NAME?</v>
      </c>
      <c r="I403" t="e">
        <f ca="1">_xll.BDH($C$403,"RETURN_ON_INV_CAPITAL","FY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03" t="e">
        <f ca="1">_xll.BDH($C$403,"EBITDA_TO_REVENUE","FY 2014","FY 2014","Currency=INR","Period=FY","BEST_FPERIOD_OVERRIDE=FY","FILING_STATUS=OR","EQY_CONSOLIDATED=Y","FA_ADJUSTED=GAAP","Sort=A","Dates=H","DateFormat=P","Fill=—","Direction=H","UseDPDF=Y")</f>
        <v>#NAME?</v>
      </c>
      <c r="K403" t="e">
        <f ca="1">_xll.BDH($C$403,"OPER_MARGIN","FY 2014","FY 2014","Currency=INR","Period=FY","BEST_FPERIOD_OVERRIDE=FY","FILING_STATUS=OR","EQY_CONSOLIDATED=Y","FA_ADJUSTED=GAAP","Sort=A","Dates=H","DateFormat=P","Fill=—","Direction=H","UseDPDF=Y")</f>
        <v>#NAME?</v>
      </c>
      <c r="L403" t="e">
        <f ca="1">_xll.BDH($C$403,"INCREMENTAL_OPERATING_MARGIN","FY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03" t="e">
        <f ca="1">_xll.BDH($C$403,"PRETAX_INC_TO_NET_SALES","FY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03" t="e">
        <f ca="1">_xll.BDH($C$403,"INC_BEF_XO_ITEMS_TO_NET_SALES","FY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03" t="e">
        <f ca="1">_xll.BDH($C$403,"PROF_MARGIN","FY 2014","FY 2014","Currency=INR","Period=FY","BEST_FPERIOD_OVERRIDE=FY","FILING_STATUS=OR","EQY_CONSOLIDATED=Y","FA_ADJUSTED=GAAP","Sort=A","Dates=H","DateFormat=P","Fill=—","Direction=H","UseDPDF=Y")</f>
        <v>#NAME?</v>
      </c>
      <c r="P403" t="e">
        <f ca="1">_xll.BDH($C$403,"NET_INCOME_TO_COMMON_MARGIN","FY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03" t="e">
        <f ca="1">_xll.BDH($C$403,"EFF_TAX_RATE","FY 2014","FY 2014","Currency=INR","Period=FY","BEST_FPERIOD_OVERRIDE=FY","FILING_STATUS=OR","EQY_CONSOLIDATED=Y","FA_ADJUSTED=GAAP","Sort=A","Dates=H","DateFormat=P","Fill=—","Direction=H","UseDPDF=Y")</f>
        <v>#NAME?</v>
      </c>
      <c r="R403" t="e">
        <f ca="1">_xll.BDH($C$403,"DVD_PAYOUT_RATIO","FY 2014","FY 2014","Currency=INR","Period=FY","BEST_FPERIOD_OVERRIDE=FY","FILING_STATUS=OR","EQY_CONSOLIDATED=Y","FA_ADJUSTED=GAAP","Sort=A","Dates=H","DateFormat=P","Fill=—","Direction=H","UseDPDF=Y")</f>
        <v>#NAME?</v>
      </c>
      <c r="S403" t="e">
        <f ca="1">_xll.BDH($C$403,"SUSTAIN_GROWTH_RT","FY 2014","FY 2014","Currency=INR","Period=FY","BEST_FPERIOD_OVERRIDE=FY","FILING_STATUS=OR","EQY_CONSOLIDATED=Y","FA_ADJUSTED=GAAP","Sort=A","Dates=H","DateFormat=P","Fill=—","Direction=H","UseDPDF=Y")</f>
        <v>#NAME?</v>
      </c>
      <c r="T403" s="2" t="e">
        <f ca="1">_xll.BDH($C$403,"SALES_GROWTH","FY 2014","FY 2014","Currency=INR","Period=FY","BEST_FPERIOD_OVERRIDE=FY","FILING_STATUS=OR","EQY_CONSOLIDATED=Y","FA_ADJUSTED=GAAP","Sort=A","Dates=H","DateFormat=P","Fill=—","Direction=H","UseDPDF=Y")</f>
        <v>#NAME?</v>
      </c>
      <c r="U403" s="2" t="e">
        <f ca="1">_xll.BDH($C$403,"EBITDA_GROWTH","FY 2014","FY 2014","Currency=INR","Period=FY","BEST_FPERIOD_OVERRIDE=FY","FILING_STATUS=OR","EQY_CONSOLIDATED=Y","FA_ADJUSTED=GAAP","Sort=A","Dates=H","DateFormat=P","Fill=—","Direction=H","UseDPDF=Y")</f>
        <v>#NAME?</v>
      </c>
      <c r="V403" s="2" t="e">
        <f ca="1">_xll.BDH($C$403,"OPER_INC_GROWTH","FY 2014","FY 2014","Currency=INR","Period=FY","BEST_FPERIOD_OVERRIDE=FY","FILING_STATUS=OR","EQY_CONSOLIDATED=Y","FA_ADJUSTED=GAAP","Sort=A","Dates=H","DateFormat=P","Fill=—","Direction=H","UseDPDF=Y")</f>
        <v>#NAME?</v>
      </c>
      <c r="W403" s="2" t="e">
        <f ca="1">_xll.BDH($C$403,"EARN_FOR_COM_GROWTH","FY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03" s="2" t="e">
        <f ca="1">_xll.BDH($C$403,"DILUTED_EPS_AFT_XO_ITEMS_GROWTH","FY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03" s="2" t="e">
        <f ca="1">_xll.BDH($C$403,"DIVIDEND_PER_SHARE_1_YEAR_GROWTH","FY 2014","FY 2014","Currency=INR","Period=FY","BEST_FPERIOD_OVERRIDE=FY","FILING_STATUS=OR","EQY_CONSOLIDATED=Y","Sort=A","Dates=H","DateFormat=P","Fill=—","Direction=H","UseDPDF=Y")</f>
        <v>#NAME?</v>
      </c>
      <c r="Z403" s="2" t="e">
        <f ca="1">_xll.BDH($C$403,"ACCOUNTS_RECEIVABLE_GROWTH","FY 2014","FY 2014","Currency=INR","Period=FY","BEST_FPERIOD_OVERRIDE=FY","FILING_STATUS=OR","EQY_CONSOLIDATED=Y","Sort=A","Dates=H","DateFormat=P","Fill=—","Direction=H","UseDPDF=Y")</f>
        <v>#NAME?</v>
      </c>
      <c r="AA403" s="2" t="e">
        <f ca="1">_xll.BDH($C$403,"INVENTORY_GROWTH","FY 2014","FY 2014","Currency=INR","Period=FY","BEST_FPERIOD_OVERRIDE=FY","FILING_STATUS=OR","EQY_CONSOLIDATED=Y","Sort=A","Dates=H","DateFormat=P","Fill=—","Direction=H","UseDPDF=Y")</f>
        <v>#NAME?</v>
      </c>
      <c r="AB403" s="2" t="e">
        <f ca="1">_xll.BDH($C$403,"NET_FIXED_ASSETS_1_YEAR_GROWTH","FY 2014","FY 2014","Currency=INR","Period=FY","BEST_FPERIOD_OVERRIDE=FY","FILING_STATUS=OR","EQY_CONSOLIDATED=Y","Sort=A","Dates=H","DateFormat=P","Fill=—","Direction=H","UseDPDF=Y")</f>
        <v>#NAME?</v>
      </c>
      <c r="AC403" s="2" t="e">
        <f ca="1">_xll.BDH($C$403,"ASSET_GROWTH","FY 2014","FY 2014","Currency=INR","Period=FY","BEST_FPERIOD_OVERRIDE=FY","FILING_STATUS=OR","EQY_CONSOLIDATED=Y","Sort=A","Dates=H","DateFormat=P","Fill=—","Direction=H","UseDPDF=Y")</f>
        <v>#NAME?</v>
      </c>
      <c r="AD403" s="2" t="e">
        <f ca="1">_xll.BDH($C$403,"MODIFIED_WORK_CAP_GROWTH","FY 2014","FY 2014","Currency=INR","Period=FY","BEST_FPERIOD_OVERRIDE=FY","FILING_STATUS=OR","EQY_CONSOLIDATED=Y","Sort=A","Dates=H","DateFormat=P","Fill=—","Direction=H","UseDPDF=Y")</f>
        <v>#NAME?</v>
      </c>
      <c r="AE403" s="2" t="e">
        <f ca="1">_xll.BDH($C$403,"WORK_CAP_GROWTH","FY 2014","FY 2014","Currency=INR","Period=FY","BEST_FPERIOD_OVERRIDE=FY","FILING_STATUS=OR","EQY_CONSOLIDATED=Y","Sort=A","Dates=H","DateFormat=P","Fill=—","Direction=H","UseDPDF=Y")</f>
        <v>#NAME?</v>
      </c>
      <c r="AF403" s="2" t="e">
        <f ca="1">_xll.BDH($C$403,"ACCOUNTS_PAYABLE_GROWTH_1YR","FY 2014","FY 2014","Currency=INR","Period=FY","BEST_FPERIOD_OVERRIDE=FY","FILING_STATUS=OR","EQY_CONSOLIDATED=Y","Sort=A","Dates=H","DateFormat=P","Fill=—","Direction=H","UseDPDF=Y")</f>
        <v>#NAME?</v>
      </c>
      <c r="AG403" s="2" t="e">
        <f ca="1">_xll.BDH($C$403,"SHORT_TERM_DEBT_1_YEAR_GROWTH","FY 2014","FY 2014","Currency=INR","Period=FY","BEST_FPERIOD_OVERRIDE=FY","FILING_STATUS=OR","EQY_CONSOLIDATED=Y","Sort=A","Dates=H","DateFormat=P","Fill=—","Direction=H","UseDPDF=Y")</f>
        <v>#NAME?</v>
      </c>
      <c r="AH403" s="2" t="e">
        <f ca="1">_xll.BDH($C$403,"TOTAL_DEBT_1_YEAR_GROWTH","FY 2014","FY 2014","Currency=INR","Period=FY","BEST_FPERIOD_OVERRIDE=FY","FILING_STATUS=OR","EQY_CONSOLIDATED=Y","Sort=A","Dates=H","DateFormat=P","Fill=—","Direction=H","UseDPDF=Y")</f>
        <v>#NAME?</v>
      </c>
      <c r="AI403" s="2" t="e">
        <f ca="1">_xll.BDH($C$403,"TOTAL_EQUITY_1_YEAR_GROWTH","FY 2014","FY 2014","Currency=INR","Period=FY","BEST_FPERIOD_OVERRIDE=FY","FILING_STATUS=OR","EQY_CONSOLIDATED=Y","Sort=A","Dates=H","DateFormat=P","Fill=—","Direction=H","UseDPDF=Y")</f>
        <v>#NAME?</v>
      </c>
      <c r="AJ403" s="2" t="e">
        <f ca="1">_xll.BDH($C$403,"GROWTH_IN_CAP","FY 2014","FY 2014","Currency=INR","Period=FY","BEST_FPERIOD_OVERRIDE=FY","FILING_STATUS=OR","EQY_CONSOLIDATED=Y","Sort=A","Dates=H","DateFormat=P","Fill=—","Direction=H","UseDPDF=Y")</f>
        <v>#NAME?</v>
      </c>
      <c r="AK403" s="2" t="e">
        <f ca="1">_xll.BDH($C$403,"BVPS_GROWTH","FY 2014","FY 2014","Currency=INR","Period=FY","BEST_FPERIOD_OVERRIDE=FY","FILING_STATUS=OR","EQY_CONSOLIDATED=Y","Sort=A","Dates=H","DateFormat=P","Fill=—","Direction=H","UseDPDF=Y")</f>
        <v>#NAME?</v>
      </c>
      <c r="AL403" s="2" t="e">
        <f ca="1">_xll.BDH($C$403,"CASH_FLOW_GROWTH","FY 2014","FY 2014","Currency=INR","Period=FY","BEST_FPERIOD_OVERRIDE=FY","FILING_STATUS=OR","EQY_CONSOLIDATED=Y","Sort=A","Dates=H","DateFormat=P","Fill=—","Direction=H","UseDPDF=Y")</f>
        <v>#NAME?</v>
      </c>
      <c r="AM403" s="2" t="e">
        <f ca="1">_xll.BDH($C$403,"GEO_GROW_NET_SALES","FY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03" s="2" t="e">
        <f ca="1">_xll.BDH($C$403,"GEO_GROW_EBITDA","FY 2014","FY 2014","Currency=INR","Period=FY","BEST_FPERIOD_OVERRIDE=FY","FILING_STATUS=OR","EQY_CONSOLIDATED=Y","FA_ADJUSTED=GAAP","Sort=A","Dates=H","DateFormat=P","Fill=—","Direction=H","UseDPDF=Y")</f>
        <v>#NAME?</v>
      </c>
      <c r="AO403" s="2" t="e">
        <f ca="1">_xll.BDH($C$403,"GEO_GROW_OPER_INC","FY 2014","FY 2014","Currency=INR","Period=FY","BEST_FPERIOD_OVERRIDE=FY","FILING_STATUS=OR","EQY_CONSOLIDATED=Y","FA_ADJUSTED=GAAP","Sort=A","Dates=H","DateFormat=P","Fill=—","Direction=H","UseDPDF=Y")</f>
        <v>#NAME?</v>
      </c>
      <c r="AP403" s="2" t="e">
        <f ca="1">_xll.BDH($C$403,"NET_INCOME_TO_COMMON_5_YR_GROWTH","FY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03" s="2" t="e">
        <f ca="1">_xll.BDH($C$403,"5Y_GEO_GROWTH_DILUTED_EPS","FY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03" s="2" t="e">
        <f ca="1">_xll.BDH($C$403,"GEO_GROW_DVD_PER_SH","FY 2014","FY 2014","Currency=INR","Period=FY","BEST_FPERIOD_OVERRIDE=FY","FILING_STATUS=OR","EQY_CONSOLIDATED=Y","Sort=A","Dates=H","DateFormat=P","Fill=—","Direction=H","UseDPDF=Y")</f>
        <v>#NAME?</v>
      </c>
      <c r="AS403" s="2" t="e">
        <f ca="1">_xll.BDH($C$403,"ACCOUNTS_RECEIVABLE_5_YR_GROWTH","FY 2014","FY 2014","Currency=INR","Period=FY","BEST_FPERIOD_OVERRIDE=FY","FILING_STATUS=OR","EQY_CONSOLIDATED=Y","Sort=A","Dates=H","DateFormat=P","Fill=—","Direction=H","UseDPDF=Y")</f>
        <v>#NAME?</v>
      </c>
      <c r="AT403" s="2" t="e">
        <f ca="1">_xll.BDH($C$403,"INVENTORY_5_YEAR_GROWTH","FY 2014","FY 2014","Currency=INR","Period=FY","BEST_FPERIOD_OVERRIDE=FY","FILING_STATUS=OR","EQY_CONSOLIDATED=Y","Sort=A","Dates=H","DateFormat=P","Fill=—","Direction=H","UseDPDF=Y")</f>
        <v>#NAME?</v>
      </c>
      <c r="AU403" s="2" t="e">
        <f ca="1">_xll.BDH($C$403,"NET_FIXED_ASSETS_5_YEAR_GROWTH","FY 2014","FY 2014","Currency=INR","Period=FY","BEST_FPERIOD_OVERRIDE=FY","FILING_STATUS=OR","EQY_CONSOLIDATED=Y","Sort=A","Dates=H","DateFormat=P","Fill=—","Direction=H","UseDPDF=Y")</f>
        <v>#NAME?</v>
      </c>
      <c r="AV403" s="2" t="e">
        <f ca="1">_xll.BDH($C$403,"GEO_GROW_TOT_ASSET","FY 2014","FY 2014","Currency=INR","Period=FY","BEST_FPERIOD_OVERRIDE=FY","FILING_STATUS=OR","EQY_CONSOLIDATED=Y","Sort=A","Dates=H","DateFormat=P","Fill=—","Direction=H","UseDPDF=Y")</f>
        <v>#NAME?</v>
      </c>
      <c r="AW403" s="2" t="e">
        <f ca="1">_xll.BDH($C$403,"MODIFIED_WORKING_CPTL_5YR_GRWTH","FY 2014","FY 2014","Currency=INR","Period=FY","BEST_FPERIOD_OVERRIDE=FY","FILING_STATUS=OR","EQY_CONSOLIDATED=Y","Sort=A","Dates=H","DateFormat=P","Fill=—","Direction=H","UseDPDF=Y")</f>
        <v>#NAME?</v>
      </c>
      <c r="AX403" s="2" t="e">
        <f ca="1">_xll.BDH($C$403,"WORKING_CAPITAL_5_YEAR_GROWTH","FY 2014","FY 2014","Currency=INR","Period=FY","BEST_FPERIOD_OVERRIDE=FY","FILING_STATUS=OR","EQY_CONSOLIDATED=Y","Sort=A","Dates=H","DateFormat=P","Fill=—","Direction=H","UseDPDF=Y")</f>
        <v>#NAME?</v>
      </c>
      <c r="AY403" s="2" t="e">
        <f ca="1">_xll.BDH($C$403,"ACCOUNTS_PAYABLE_5_YEAR_GROWTH","FY 2014","FY 2014","Currency=INR","Period=FY","BEST_FPERIOD_OVERRIDE=FY","FILING_STATUS=OR","EQY_CONSOLIDATED=Y","Sort=A","Dates=H","DateFormat=P","Fill=—","Direction=H","UseDPDF=Y")</f>
        <v>#NAME?</v>
      </c>
      <c r="AZ403" s="2" t="e">
        <f ca="1">_xll.BDH($C$403,"SHORT_TERM_DEBT_5_YEAR_GROWTH","FY 2014","FY 2014","Currency=INR","Period=FY","BEST_FPERIOD_OVERRIDE=FY","FILING_STATUS=OR","EQY_CONSOLIDATED=Y","Sort=A","Dates=H","DateFormat=P","Fill=—","Direction=H","UseDPDF=Y")</f>
        <v>#NAME?</v>
      </c>
      <c r="BA403" s="2" t="e">
        <f ca="1">_xll.BDH($C$403,"TOTAL_DEBT_5_YEAR_GROWTH","FY 2014","FY 2014","Currency=INR","Period=FY","BEST_FPERIOD_OVERRIDE=FY","FILING_STATUS=OR","EQY_CONSOLIDATED=Y","Sort=A","Dates=H","DateFormat=P","Fill=—","Direction=H","UseDPDF=Y")</f>
        <v>#NAME?</v>
      </c>
      <c r="BB403" s="2" t="e">
        <f ca="1">_xll.BDH($C$403,"GEO_GROW_TOT_SHRHLDR_EQY","FY 2014","FY 2014","Currency=INR","Period=FY","BEST_FPERIOD_OVERRIDE=FY","FILING_STATUS=OR","EQY_CONSOLIDATED=Y","Sort=A","Dates=H","DateFormat=P","Fill=—","Direction=H","UseDPDF=Y")</f>
        <v>#NAME?</v>
      </c>
      <c r="BC403" s="2" t="e">
        <f ca="1">_xll.BDH($C$403,"TOTAL_CAPITAL_5_YEAR_GROWTH","FY 2014","FY 2014","Currency=INR","Period=FY","BEST_FPERIOD_OVERRIDE=FY","FILING_STATUS=OR","EQY_CONSOLIDATED=Y","Sort=A","Dates=H","DateFormat=P","Fill=—","Direction=H","UseDPDF=Y")</f>
        <v>#NAME?</v>
      </c>
      <c r="BD403" s="2" t="e">
        <f ca="1">_xll.BDH($C$403,"GEO_GROW_BOOK_VAL","FY 2014","FY 2014","Currency=INR","Period=FY","BEST_FPERIOD_OVERRIDE=FY","FILING_STATUS=OR","EQY_CONSOLIDATED=Y","Sort=A","Dates=H","DateFormat=P","Fill=—","Direction=H","UseDPDF=Y")</f>
        <v>#NAME?</v>
      </c>
      <c r="BE403" s="2" t="e">
        <f ca="1">_xll.BDH($C$403,"GEO_GROW_CASH_OPER_ACT","FY 2014","FY 2014","Currency=INR","Period=FY","BEST_FPERIOD_OVERRIDE=FY","FILING_STATUS=OR","EQY_CONSOLIDATED=Y","Sort=A","Dates=H","DateFormat=P","Fill=—","Direction=H","UseDPDF=Y")</f>
        <v>#NAME?</v>
      </c>
      <c r="BF403" s="2" t="e">
        <f ca="1">_xll.BDH($C$403,"REVENUE_SEQUENTIAL_GROWTH","FY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03" s="2" t="e">
        <f ca="1">_xll.BDH($C$403,"EBITDA_SEQUENTIAL_GROWTH","FY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03" s="2" t="e">
        <f ca="1">_xll.BDH($C$403,"OPERATING_INCOME_SEQ_GROWTH","FY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03" s="2" t="e">
        <f ca="1">_xll.BDH($C$403,"NET_INCOME_TO_COMMON_SEQ_GROWTH","FY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03" s="2" t="e">
        <f ca="1">_xll.BDH($C$403,"EPS_DILUTED_SEQUENTIAL_GROWTH","FY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03" s="2" t="e">
        <f ca="1">_xll.BDH($C$403,"DPS_SEQUENTIAL_GROWTH","FY 2014","FY 2014","Currency=INR","Period=FY","BEST_FPERIOD_OVERRIDE=FY","FILING_STATUS=OR","EQY_CONSOLIDATED=Y","Sort=A","Dates=H","DateFormat=P","Fill=—","Direction=H","UseDPDF=Y")</f>
        <v>#NAME?</v>
      </c>
      <c r="BL403" s="2" t="e">
        <f ca="1">_xll.BDH($C$403,"ACCOUNTS_RECEIVABLE_SEQ_GROWTH","FY 2014","FY 2014","Currency=INR","Period=FY","BEST_FPERIOD_OVERRIDE=FY","FILING_STATUS=OR","EQY_CONSOLIDATED=Y","Sort=A","Dates=H","DateFormat=P","Fill=—","Direction=H","UseDPDF=Y")</f>
        <v>#NAME?</v>
      </c>
      <c r="BM403" s="2" t="e">
        <f ca="1">_xll.BDH($C$403,"INVENTORY_SEQUENTIAL_GROWTH","FY 2014","FY 2014","Currency=INR","Period=FY","BEST_FPERIOD_OVERRIDE=FY","FILING_STATUS=OR","EQY_CONSOLIDATED=Y","Sort=A","Dates=H","DateFormat=P","Fill=—","Direction=H","UseDPDF=Y")</f>
        <v>#NAME?</v>
      </c>
      <c r="BN403" s="2" t="e">
        <f ca="1">_xll.BDH($C$403,"FIXED_ASSETS_SEQUENTIAL_GROWTH","FY 2014","FY 2014","Currency=INR","Period=FY","BEST_FPERIOD_OVERRIDE=FY","FILING_STATUS=OR","EQY_CONSOLIDATED=Y","Sort=A","Dates=H","DateFormat=P","Fill=—","Direction=H","UseDPDF=Y")</f>
        <v>#NAME?</v>
      </c>
      <c r="BO403" s="2" t="e">
        <f ca="1">_xll.BDH($C$403,"TOTAL_ASSETS_SEQUENTIAL_GROWTH","FY 2014","FY 2014","Currency=INR","Period=FY","BEST_FPERIOD_OVERRIDE=FY","FILING_STATUS=OR","EQY_CONSOLIDATED=Y","Sort=A","Dates=H","DateFormat=P","Fill=—","Direction=H","UseDPDF=Y")</f>
        <v>#NAME?</v>
      </c>
      <c r="BP403" s="2" t="e">
        <f ca="1">_xll.BDH($C$403,"MODIFIED_WORKING_CPTL_SEQ_GRWTH","FY 2014","FY 2014","Currency=INR","Period=FY","BEST_FPERIOD_OVERRIDE=FY","FILING_STATUS=OR","EQY_CONSOLIDATED=Y","Sort=A","Dates=H","DateFormat=P","Fill=—","Direction=H","UseDPDF=Y")</f>
        <v>#NAME?</v>
      </c>
      <c r="BQ403" s="2" t="e">
        <f ca="1">_xll.BDH($C$403,"WORKING_CAPITAL_SEQ_GROWTH","FY 2014","FY 2014","Currency=INR","Period=FY","BEST_FPERIOD_OVERRIDE=FY","FILING_STATUS=OR","EQY_CONSOLIDATED=Y","Sort=A","Dates=H","DateFormat=P","Fill=—","Direction=H","UseDPDF=Y")</f>
        <v>#NAME?</v>
      </c>
      <c r="BR403" s="2" t="e">
        <f ca="1">_xll.BDH($C$403,"ACCOUNTS_PAYABLE_SEQ_GROWTH","FY 2014","FY 2014","Currency=INR","Period=FY","BEST_FPERIOD_OVERRIDE=FY","FILING_STATUS=OR","EQY_CONSOLIDATED=Y","Sort=A","Dates=H","DateFormat=P","Fill=—","Direction=H","UseDPDF=Y")</f>
        <v>#NAME?</v>
      </c>
      <c r="BS403" s="2" t="e">
        <f ca="1">_xll.BDH($C$403,"ST_DEBT_SEQUENTIAL_GROWTH","FY 2014","FY 2014","Currency=INR","Period=FY","BEST_FPERIOD_OVERRIDE=FY","FILING_STATUS=OR","EQY_CONSOLIDATED=Y","Sort=A","Dates=H","DateFormat=P","Fill=—","Direction=H","UseDPDF=Y")</f>
        <v>#NAME?</v>
      </c>
      <c r="BT403" s="2" t="e">
        <f ca="1">_xll.BDH($C$403,"TOTAL_DEBT_SEQUENTIAL_GROWTH","FY 2014","FY 2014","Currency=INR","Period=FY","BEST_FPERIOD_OVERRIDE=FY","FILING_STATUS=OR","EQY_CONSOLIDATED=Y","Sort=A","Dates=H","DateFormat=P","Fill=—","Direction=H","UseDPDF=Y")</f>
        <v>#NAME?</v>
      </c>
      <c r="BU403" s="2" t="e">
        <f ca="1">_xll.BDH($C$403,"TOTAL_EQUITY_SEQUENTIAL_GROWTH","FY 2014","FY 2014","Currency=INR","Period=FY","BEST_FPERIOD_OVERRIDE=FY","FILING_STATUS=OR","EQY_CONSOLIDATED=Y","Sort=A","Dates=H","DateFormat=P","Fill=—","Direction=H","UseDPDF=Y")</f>
        <v>#NAME?</v>
      </c>
      <c r="BV403" s="2" t="e">
        <f ca="1">_xll.BDH($C$403,"TOTAL_CAPITAL_SEQUENTIAL_GROWTH","FY 2014","FY 2014","Currency=INR","Period=FY","BEST_FPERIOD_OVERRIDE=FY","FILING_STATUS=OR","EQY_CONSOLIDATED=Y","Sort=A","Dates=H","DateFormat=P","Fill=—","Direction=H","UseDPDF=Y")</f>
        <v>#NAME?</v>
      </c>
      <c r="BW403" s="2" t="e">
        <f ca="1">_xll.BDH($C$403,"BPS_SEQUENTIAL_GROWTH","FY 2014","FY 2014","Currency=INR","Period=FY","BEST_FPERIOD_OVERRIDE=FY","FILING_STATUS=OR","EQY_CONSOLIDATED=Y","Sort=A","Dates=H","DateFormat=P","Fill=—","Direction=H","UseDPDF=Y")</f>
        <v>#NAME?</v>
      </c>
      <c r="BX403" s="2" t="e">
        <f ca="1">_xll.BDH($C$403,"CFO_SEQUENTIAL_GROWTH","FY 2014","FY 2014","Currency=INR","Period=FY","BEST_FPERIOD_OVERRIDE=FY","FILING_STATUS=OR","EQY_CONSOLIDATED=Y","Sort=A","Dates=H","DateFormat=P","Fill=—","Direction=H","UseDPDF=Y")</f>
        <v>#NAME?</v>
      </c>
      <c r="BY403" s="3" t="e">
        <f ca="1">_xll.BDH($C$403,"SHORT_AND_LONG_TERM_DEBT","FY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03" s="3" t="e">
        <f ca="1">_xll.BDH($C$403,"BS_ST_BORROW","FY 2014","FY 2014","Currency=INR","Period=FY","BEST_FPERIOD_OVERRIDE=FY","FILING_STATUS=OR","EQY_CONSOLIDATED=Y","SCALING_FORMAT=MLN","Sort=A","Dates=H","DateFormat=P","Fill=—","Direction=H","UseDPDF=Y")</f>
        <v>#NAME?</v>
      </c>
      <c r="CA403" s="3" t="e">
        <f ca="1">_xll.BDH($C$403,"BS_LT_BORROW","FY 2014","FY 2014","Currency=INR","Period=FY","BEST_FPERIOD_OVERRIDE=FY","FILING_STATUS=OR","EQY_CONSOLIDATED=Y","SCALING_FORMAT=MLN","Sort=A","Dates=H","DateFormat=P","Fill=—","Direction=H","UseDPDF=Y")</f>
        <v>#NAME?</v>
      </c>
      <c r="CB403" s="2" t="e">
        <f ca="1">_xll.BDH($C$403,"TOT_DEBT_TO_EBITDA","FY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03" s="2" t="e">
        <f ca="1">_xll.BDH($C$403,"NET_DEBT_TO_EBITDA","FY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03" s="2" t="e">
        <f ca="1">_xll.BDH($C$403,"TOTAL_DEBT_TO_EBIT","FY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03" s="2" t="e">
        <f ca="1">_xll.BDH($C$403,"NET_DEBT_TO_EBIT","FY 2014","FY 2014","Currency=INR","Period=FY","BEST_FPERIOD_OVERRIDE=FY","FILING_STATUS=OR","EQY_CONSOLIDATED=Y","FA_ADJUSTED=GAAP","Sort=A","Dates=H","DateFormat=P","Fill=—","Direction=H","UseDPDF=Y")</f>
        <v>#NAME?</v>
      </c>
      <c r="CF403" s="2" t="e">
        <f ca="1">_xll.BDH($C$403,"EBITDA_TO_INTEREST_EXPN","FY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03" s="2" t="e">
        <f ca="1">_xll.BDH($C$403,"COM_EQY_TO_TOT_ASSET","FY 2014","FY 2014","Currency=INR","Period=FY","BEST_FPERIOD_OVERRIDE=FY","FILING_STATUS=OR","EQY_CONSOLIDATED=Y","Sort=A","Dates=H","DateFormat=P","Fill=—","Direction=H","UseDPDF=Y")</f>
        <v>#NAME?</v>
      </c>
      <c r="CH403" s="2" t="e">
        <f ca="1">_xll.BDH($C$403,"LT_DEBT_TO_TOT_EQY","FY 2014","FY 2014","Currency=INR","Period=FY","BEST_FPERIOD_OVERRIDE=FY","FILING_STATUS=OR","EQY_CONSOLIDATED=Y","Sort=A","Dates=H","DateFormat=P","Fill=—","Direction=H","UseDPDF=Y")</f>
        <v>#NAME?</v>
      </c>
      <c r="CI403" s="2" t="e">
        <f ca="1">_xll.BDH($C$403,"LT_DEBT_TO_TOT_CAP","FY 2014","FY 2014","Currency=INR","Period=FY","BEST_FPERIOD_OVERRIDE=FY","FILING_STATUS=OR","EQY_CONSOLIDATED=Y","Sort=A","Dates=H","DateFormat=P","Fill=—","Direction=H","UseDPDF=Y")</f>
        <v>#NAME?</v>
      </c>
      <c r="CJ403" s="2" t="e">
        <f ca="1">_xll.BDH($C$403,"LT_DEBT_TO_TOT_ASSET","FY 2014","FY 2014","Currency=INR","Period=FY","BEST_FPERIOD_OVERRIDE=FY","FILING_STATUS=OR","EQY_CONSOLIDATED=Y","Sort=A","Dates=H","DateFormat=P","Fill=—","Direction=H","UseDPDF=Y")</f>
        <v>#NAME?</v>
      </c>
      <c r="CK403" s="2" t="e">
        <f ca="1">_xll.BDH($C$403,"TOT_DEBT_TO_TOT_EQY","FY 2014","FY 2014","Currency=INR","Period=FY","BEST_FPERIOD_OVERRIDE=FY","FILING_STATUS=OR","EQY_CONSOLIDATED=Y","Sort=A","Dates=H","DateFormat=P","Fill=—","Direction=H","UseDPDF=Y")</f>
        <v>#NAME?</v>
      </c>
      <c r="CL403" s="2" t="e">
        <f ca="1">_xll.BDH($C$403,"TOT_DEBT_TO_TOT_CAP","FY 2014","FY 2014","Currency=INR","Period=FY","BEST_FPERIOD_OVERRIDE=FY","FILING_STATUS=OR","EQY_CONSOLIDATED=Y","Sort=A","Dates=H","DateFormat=P","Fill=—","Direction=H","UseDPDF=Y")</f>
        <v>#NAME?</v>
      </c>
      <c r="CM403" s="2" t="e">
        <f ca="1">_xll.BDH($C$403,"TOT_DEBT_TO_TOT_ASSET","FY 2014","FY 2014","Currency=INR","Period=FY","BEST_FPERIOD_OVERRIDE=FY","FILING_STATUS=OR","EQY_CONSOLIDATED=Y","Sort=A","Dates=H","DateFormat=P","Fill=—","Direction=H","UseDPDF=Y")</f>
        <v>#NAME?</v>
      </c>
      <c r="CN403" s="2" t="e">
        <f ca="1">_xll.BDH($C$403,"NET_DEBT_TO_SHRHLDR_EQTY","FY 2014","FY 2014","Currency=INR","Period=FY","BEST_FPERIOD_OVERRIDE=FY","FILING_STATUS=OR","EQY_CONSOLIDATED=Y","Sort=A","Dates=H","DateFormat=P","Fill=—","Direction=H","UseDPDF=Y")</f>
        <v>#NAME?</v>
      </c>
      <c r="CO403" s="2" t="e">
        <f ca="1">_xll.BDH($C$403,"NET_DEBT_%_CAPITAL","FY 2014","FY 2014","Currency=INR","Period=FY","BEST_FPERIOD_OVERRIDE=FY","FILING_STATUS=OR","EQY_CONSOLIDATED=Y","Sort=A","Dates=H","DateFormat=P","Fill=—","Direction=H","UseDPDF=Y")</f>
        <v>#NAME?</v>
      </c>
      <c r="CP403" s="3" t="e">
        <f ca="1">_xll.BDH($C$403,"EBITDA","FY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03" s="3" t="e">
        <f ca="1">_xll.BDH($C$403,"EBITDA_AFTER_CAPEX","FY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03" s="3" t="e">
        <f ca="1">_xll.BDH($C$403,"IS_OPER_INC","FY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03" s="2" t="e">
        <f ca="1">_xll.BDH($C$403,"CASH_RATIO","FY 2014","FY 2014","Currency=INR","Period=FY","BEST_FPERIOD_OVERRIDE=FY","FILING_STATUS=OR","EQY_CONSOLIDATED=Y","Sort=A","Dates=H","DateFormat=P","Fill=—","Direction=H","UseDPDF=Y")</f>
        <v>#NAME?</v>
      </c>
      <c r="CT403" s="2" t="e">
        <f ca="1">_xll.BDH($C$403,"CUR_RATIO","FY 2014","FY 2014","Currency=INR","Period=FY","BEST_FPERIOD_OVERRIDE=FY","FILING_STATUS=OR","EQY_CONSOLIDATED=Y","Sort=A","Dates=H","DateFormat=P","Fill=—","Direction=H","UseDPDF=Y")</f>
        <v>#NAME?</v>
      </c>
      <c r="CU403" s="2" t="e">
        <f ca="1">_xll.BDH($C$403,"QUICK_RATIO","FY 2014","FY 2014","Currency=INR","Period=FY","BEST_FPERIOD_OVERRIDE=FY","FILING_STATUS=OR","EQY_CONSOLIDATED=Y","Sort=A","Dates=H","DateFormat=P","Fill=—","Direction=H","UseDPDF=Y")</f>
        <v>#NAME?</v>
      </c>
      <c r="CV403" s="2" t="e">
        <f ca="1">_xll.BDH($C$403,"ALTMAN_Z_SCORE","FY 2014","FY 2014","Currency=INR","Period=FY","BEST_FPERIOD_OVERRIDE=FY","FILING_STATUS=OR","EQY_CONSOLIDATED=Y","Sort=A","Dates=H","DateFormat=P","Fill=—","Direction=H","UseDPDF=Y")</f>
        <v>#NAME?</v>
      </c>
      <c r="CW403" s="4" t="e">
        <f ca="1">_xll.BDH($C$403,"ACCT_RCV_TURN","FY 2014","FY 2014","Currency=INR","Period=FY","BEST_FPERIOD_OVERRIDE=FY","FILING_STATUS=OR","EQY_CONSOLIDATED=Y","FA_ADJUSTED=GAAP","Sort=A","Dates=H","DateFormat=P","Fill=—","Direction=H","UseDPDF=Y")</f>
        <v>#NAME?</v>
      </c>
      <c r="CX403" s="2" t="e">
        <f ca="1">_xll.BDH($C$403,"ACCT_RCV_DAYS","FY 2014","FY 2014","Currency=INR","Period=FY","BEST_FPERIOD_OVERRIDE=FY","FILING_STATUS=OR","EQY_CONSOLIDATED=Y","FA_ADJUSTED=GAAP","Sort=A","Dates=H","DateFormat=P","Fill=—","Direction=H","UseDPDF=Y")</f>
        <v>#NAME?</v>
      </c>
      <c r="CY403" s="4" t="e">
        <f ca="1">_xll.BDH($C$403,"INVENT_TURN","FY 2014","FY 2014","Currency=INR","Period=FY","BEST_FPERIOD_OVERRIDE=FY","FILING_STATUS=OR","EQY_CONSOLIDATED=Y","FA_ADJUSTED=GAAP","Sort=A","Dates=H","DateFormat=P","Fill=—","Direction=H","UseDPDF=Y")</f>
        <v>#NAME?</v>
      </c>
      <c r="CZ403" s="2" t="e">
        <f ca="1">_xll.BDH($C$403,"INVENT_DAYS","FY 2014","FY 2014","Currency=INR","Period=FY","BEST_FPERIOD_OVERRIDE=FY","FILING_STATUS=OR","EQY_CONSOLIDATED=Y","FA_ADJUSTED=GAAP","Sort=A","Dates=H","DateFormat=P","Fill=—","Direction=H","UseDPDF=Y")</f>
        <v>#NAME?</v>
      </c>
      <c r="DA403" s="4" t="e">
        <f ca="1">_xll.BDH($C$403,"ACCOUNTS_PAYABLE_TURNOVER","FY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03" s="2" t="e">
        <f ca="1">_xll.BDH($C$403,"ACCOUNTS_PAYABLE_TURNOVER_DAYS","FY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03" s="4" t="e">
        <f ca="1">_xll.BDH($C$403,"CASH_CONVERSION_CYCLE","FY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03" s="4" t="e">
        <f ca="1">_xll.BDH($C$403,"INV_TO_CASH_DAYS","FY 2014","FY 2014","Currency=INR","Period=FY","BEST_FPERIOD_OVERRIDE=FY","FILING_STATUS=OR","EQY_CONSOLIDATED=Y","FA_ADJUSTED=GAAP","Sort=A","Dates=H","DateFormat=P","Fill=—","Direction=H","UseDPDF=Y")</f>
        <v>#NAME?</v>
      </c>
      <c r="DE403" s="5" t="e">
        <f ca="1">_xll.BDH($C$403,"BS_INVENTORIES","FY 2014","FY 2014","Currency=INR","Period=FY","BEST_FPERIOD_OVERRIDE=FY","FILING_STATUS=OR","EQY_CONSOLIDATED=Y","SCALING_FORMAT=MLN","Sort=A","Dates=H","DateFormat=P","Fill=—","Direction=H","UseDPDF=Y")</f>
        <v>#NAME?</v>
      </c>
      <c r="DF403" s="3" t="e">
        <f ca="1">_xll.BDH($C$403,"INVTRY_RAW_MATERIALS","FY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03" s="3" t="e">
        <f ca="1">_xll.BDH($C$403,"INVTRY_IN_PROGRESS","FY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03" s="3" t="e">
        <f ca="1">_xll.BDH($C$403,"INVTRY_FINISHED_GOODS","FY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03" s="3" t="e">
        <f ca="1">_xll.BDH($C$403,"BS_OTHER_INV","FY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04" spans="1:113" x14ac:dyDescent="0.3">
      <c r="A404" s="6"/>
      <c r="B404" s="6"/>
      <c r="C404" s="6"/>
      <c r="D404" s="6"/>
      <c r="E404" t="s">
        <v>78</v>
      </c>
      <c r="F404" t="e">
        <f ca="1">_xll.BDH($C$403,"RETURN_COM_EQY","FQ1 2014","FQ1 2014","Currency=INR","Period=FQ","BEST_FPERIOD_OVERRIDE=FQ","FILING_STATUS=OR","EQY_CONSOLIDATED=Y","FA_ADJUSTED=GAAP","Sort=A","Dates=H","DateFormat=P","Fill=—","Direction=H","UseDPDF=Y")</f>
        <v>#NAME?</v>
      </c>
      <c r="G404" t="e">
        <f ca="1">_xll.BDH($C$403,"RETURN_ON_ASSET","FQ1 2014","FQ1 2014","Currency=INR","Period=FQ","BEST_FPERIOD_OVERRIDE=FQ","FILING_STATUS=OR","EQY_CONSOLIDATED=Y","FA_ADJUSTED=GAAP","Sort=A","Dates=H","DateFormat=P","Fill=—","Direction=H","UseDPDF=Y")</f>
        <v>#NAME?</v>
      </c>
      <c r="H404" t="e">
        <f ca="1">_xll.BDH($C$403,"RETURN_ON_CAP","FQ1 2014","FQ1 2014","Currency=INR","Period=FQ","BEST_FPERIOD_OVERRIDE=FQ","FILING_STATUS=OR","EQY_CONSOLIDATED=Y","FA_ADJUSTED=GAAP","Sort=A","Dates=H","DateFormat=P","Fill=—","Direction=H","UseDPDF=Y")</f>
        <v>#NAME?</v>
      </c>
      <c r="I404" t="e">
        <f ca="1">_xll.BDH($C$403,"RETURN_ON_INV_CAPITAL","FQ1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04" t="e">
        <f ca="1">_xll.BDH($C$403,"EBITDA_TO_REVENUE","FQ1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04" t="e">
        <f ca="1">_xll.BDH($C$403,"OPER_MARGIN","FQ1 2014","FQ1 2014","Currency=INR","Period=FQ","BEST_FPERIOD_OVERRIDE=FQ","FILING_STATUS=OR","EQY_CONSOLIDATED=Y","FA_ADJUSTED=GAAP","Sort=A","Dates=H","DateFormat=P","Fill=—","Direction=H","UseDPDF=Y")</f>
        <v>#NAME?</v>
      </c>
      <c r="L404" t="e">
        <f ca="1">_xll.BDH($C$403,"INCREMENTAL_OPERATING_MARGIN","FQ1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04" t="e">
        <f ca="1">_xll.BDH($C$403,"PRETAX_INC_TO_NET_SALES","FQ1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04" t="e">
        <f ca="1">_xll.BDH($C$403,"INC_BEF_XO_ITEMS_TO_NET_SALES","FQ1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04" t="e">
        <f ca="1">_xll.BDH($C$403,"PROF_MARGIN","FQ1 2014","FQ1 2014","Currency=INR","Period=FQ","BEST_FPERIOD_OVERRIDE=FQ","FILING_STATUS=OR","EQY_CONSOLIDATED=Y","FA_ADJUSTED=GAAP","Sort=A","Dates=H","DateFormat=P","Fill=—","Direction=H","UseDPDF=Y")</f>
        <v>#NAME?</v>
      </c>
      <c r="P404" t="e">
        <f ca="1">_xll.BDH($C$403,"NET_INCOME_TO_COMMON_MARGIN","FQ1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04" t="e">
        <f ca="1">_xll.BDH($C$403,"EFF_TAX_RATE","FQ1 2014","FQ1 2014","Currency=INR","Period=FQ","BEST_FPERIOD_OVERRIDE=FQ","FILING_STATUS=OR","EQY_CONSOLIDATED=Y","FA_ADJUSTED=GAAP","Sort=A","Dates=H","DateFormat=P","Fill=—","Direction=H","UseDPDF=Y")</f>
        <v>#NAME?</v>
      </c>
      <c r="R404" t="e">
        <f ca="1">_xll.BDH($C$403,"DVD_PAYOUT_RATIO","FQ1 2014","FQ1 2014","Currency=INR","Period=FQ","BEST_FPERIOD_OVERRIDE=FQ","FILING_STATUS=OR","EQY_CONSOLIDATED=Y","FA_ADJUSTED=GAAP","Sort=A","Dates=H","DateFormat=P","Fill=—","Direction=H","UseDPDF=Y")</f>
        <v>#NAME?</v>
      </c>
      <c r="S404" t="e">
        <f ca="1">_xll.BDH($C$403,"SUSTAIN_GROWTH_RT","FQ1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04" s="2" t="e">
        <f ca="1">_xll.BDH($C$403,"SALES_GROWTH","FQ1 2014","FQ1 2014","Currency=INR","Period=FQ","BEST_FPERIOD_OVERRIDE=FQ","FILING_STATUS=OR","EQY_CONSOLIDATED=Y","FA_ADJUSTED=GAAP","Sort=A","Dates=H","DateFormat=P","Fill=—","Direction=H","UseDPDF=Y")</f>
        <v>#NAME?</v>
      </c>
      <c r="U404" s="2" t="e">
        <f ca="1">_xll.BDH($C$403,"EBITDA_GROWTH","FQ1 2014","FQ1 2014","Currency=INR","Period=FQ","BEST_FPERIOD_OVERRIDE=FQ","FILING_STATUS=OR","EQY_CONSOLIDATED=Y","FA_ADJUSTED=GAAP","Sort=A","Dates=H","DateFormat=P","Fill=—","Direction=H","UseDPDF=Y")</f>
        <v>#NAME?</v>
      </c>
      <c r="V404" s="2" t="e">
        <f ca="1">_xll.BDH($C$403,"OPER_INC_GROWTH","FQ1 2014","FQ1 2014","Currency=INR","Period=FQ","BEST_FPERIOD_OVERRIDE=FQ","FILING_STATUS=OR","EQY_CONSOLIDATED=Y","FA_ADJUSTED=GAAP","Sort=A","Dates=H","DateFormat=P","Fill=—","Direction=H","UseDPDF=Y")</f>
        <v>#NAME?</v>
      </c>
      <c r="W404" s="2" t="e">
        <f ca="1">_xll.BDH($C$403,"EARN_FOR_COM_GROWTH","FQ1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04" s="2" t="e">
        <f ca="1">_xll.BDH($C$403,"DILUTED_EPS_AFT_XO_ITEMS_GROWTH","FQ1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04" s="2" t="e">
        <f ca="1">_xll.BDH($C$403,"DIVIDEND_PER_SHARE_1_YEAR_GROWTH","FQ1 2014","FQ1 2014","Currency=INR","Period=FQ","BEST_FPERIOD_OVERRIDE=FQ","FILING_STATUS=OR","EQY_CONSOLIDATED=Y","Sort=A","Dates=H","DateFormat=P","Fill=—","Direction=H","UseDPDF=Y")</f>
        <v>#NAME?</v>
      </c>
      <c r="Z404" s="2" t="e">
        <f ca="1">_xll.BDH($C$403,"ACCOUNTS_RECEIVABLE_GROWTH","FQ1 2014","FQ1 2014","Currency=INR","Period=FQ","BEST_FPERIOD_OVERRIDE=FQ","FILING_STATUS=OR","EQY_CONSOLIDATED=Y","Sort=A","Dates=H","DateFormat=P","Fill=—","Direction=H","UseDPDF=Y")</f>
        <v>#NAME?</v>
      </c>
      <c r="AA404" s="2" t="e">
        <f ca="1">_xll.BDH($C$403,"INVENTORY_GROWTH","FQ1 2014","FQ1 2014","Currency=INR","Period=FQ","BEST_FPERIOD_OVERRIDE=FQ","FILING_STATUS=OR","EQY_CONSOLIDATED=Y","Sort=A","Dates=H","DateFormat=P","Fill=—","Direction=H","UseDPDF=Y")</f>
        <v>#NAME?</v>
      </c>
      <c r="AB404" s="2" t="e">
        <f ca="1">_xll.BDH($C$403,"NET_FIXED_ASSETS_1_YEAR_GROWTH","FQ1 2014","FQ1 2014","Currency=INR","Period=FQ","BEST_FPERIOD_OVERRIDE=FQ","FILING_STATUS=OR","EQY_CONSOLIDATED=Y","Sort=A","Dates=H","DateFormat=P","Fill=—","Direction=H","UseDPDF=Y")</f>
        <v>#NAME?</v>
      </c>
      <c r="AC404" s="2" t="e">
        <f ca="1">_xll.BDH($C$403,"ASSET_GROWTH","FQ1 2014","FQ1 2014","Currency=INR","Period=FQ","BEST_FPERIOD_OVERRIDE=FQ","FILING_STATUS=OR","EQY_CONSOLIDATED=Y","Sort=A","Dates=H","DateFormat=P","Fill=—","Direction=H","UseDPDF=Y")</f>
        <v>#NAME?</v>
      </c>
      <c r="AD404" s="2" t="e">
        <f ca="1">_xll.BDH($C$403,"MODIFIED_WORK_CAP_GROWTH","FQ1 2014","FQ1 2014","Currency=INR","Period=FQ","BEST_FPERIOD_OVERRIDE=FQ","FILING_STATUS=OR","EQY_CONSOLIDATED=Y","Sort=A","Dates=H","DateFormat=P","Fill=—","Direction=H","UseDPDF=Y")</f>
        <v>#NAME?</v>
      </c>
      <c r="AE404" s="2" t="e">
        <f ca="1">_xll.BDH($C$403,"WORK_CAP_GROWTH","FQ1 2014","FQ1 2014","Currency=INR","Period=FQ","BEST_FPERIOD_OVERRIDE=FQ","FILING_STATUS=OR","EQY_CONSOLIDATED=Y","Sort=A","Dates=H","DateFormat=P","Fill=—","Direction=H","UseDPDF=Y")</f>
        <v>#NAME?</v>
      </c>
      <c r="AF404" s="2" t="e">
        <f ca="1">_xll.BDH($C$403,"ACCOUNTS_PAYABLE_GROWTH_1YR","FQ1 2014","FQ1 2014","Currency=INR","Period=FQ","BEST_FPERIOD_OVERRIDE=FQ","FILING_STATUS=OR","EQY_CONSOLIDATED=Y","Sort=A","Dates=H","DateFormat=P","Fill=—","Direction=H","UseDPDF=Y")</f>
        <v>#NAME?</v>
      </c>
      <c r="AG404" s="2" t="e">
        <f ca="1">_xll.BDH($C$403,"SHORT_TERM_DEBT_1_YEAR_GROWTH","FQ1 2014","FQ1 2014","Currency=INR","Period=FQ","BEST_FPERIOD_OVERRIDE=FQ","FILING_STATUS=OR","EQY_CONSOLIDATED=Y","Sort=A","Dates=H","DateFormat=P","Fill=—","Direction=H","UseDPDF=Y")</f>
        <v>#NAME?</v>
      </c>
      <c r="AH404" s="2" t="e">
        <f ca="1">_xll.BDH($C$403,"TOTAL_DEBT_1_YEAR_GROWTH","FQ1 2014","FQ1 2014","Currency=INR","Period=FQ","BEST_FPERIOD_OVERRIDE=FQ","FILING_STATUS=OR","EQY_CONSOLIDATED=Y","Sort=A","Dates=H","DateFormat=P","Fill=—","Direction=H","UseDPDF=Y")</f>
        <v>#NAME?</v>
      </c>
      <c r="AI404" s="2" t="e">
        <f ca="1">_xll.BDH($C$403,"TOTAL_EQUITY_1_YEAR_GROWTH","FQ1 2014","FQ1 2014","Currency=INR","Period=FQ","BEST_FPERIOD_OVERRIDE=FQ","FILING_STATUS=OR","EQY_CONSOLIDATED=Y","Sort=A","Dates=H","DateFormat=P","Fill=—","Direction=H","UseDPDF=Y")</f>
        <v>#NAME?</v>
      </c>
      <c r="AJ404" s="2" t="e">
        <f ca="1">_xll.BDH($C$403,"GROWTH_IN_CAP","FQ1 2014","FQ1 2014","Currency=INR","Period=FQ","BEST_FPERIOD_OVERRIDE=FQ","FILING_STATUS=OR","EQY_CONSOLIDATED=Y","Sort=A","Dates=H","DateFormat=P","Fill=—","Direction=H","UseDPDF=Y")</f>
        <v>#NAME?</v>
      </c>
      <c r="AK404" s="2" t="e">
        <f ca="1">_xll.BDH($C$403,"BVPS_GROWTH","FQ1 2014","FQ1 2014","Currency=INR","Period=FQ","BEST_FPERIOD_OVERRIDE=FQ","FILING_STATUS=OR","EQY_CONSOLIDATED=Y","Sort=A","Dates=H","DateFormat=P","Fill=—","Direction=H","UseDPDF=Y")</f>
        <v>#NAME?</v>
      </c>
      <c r="AL404" s="2" t="e">
        <f ca="1">_xll.BDH($C$403,"CASH_FLOW_GROWTH","FQ1 2014","FQ1 2014","Currency=INR","Period=FQ","BEST_FPERIOD_OVERRIDE=FQ","FILING_STATUS=OR","EQY_CONSOLIDATED=Y","Sort=A","Dates=H","DateFormat=P","Fill=—","Direction=H","UseDPDF=Y")</f>
        <v>#NAME?</v>
      </c>
      <c r="AM404" s="2" t="e">
        <f ca="1">_xll.BDH($C$403,"GEO_GROW_NET_SALES","FQ1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04" s="2" t="e">
        <f ca="1">_xll.BDH($C$403,"GEO_GROW_EBITDA","FQ1 2014","FQ1 2014","Currency=INR","Period=FQ","BEST_FPERIOD_OVERRIDE=FQ","FILING_STATUS=OR","EQY_CONSOLIDATED=Y","FA_ADJUSTED=GAAP","Sort=A","Dates=H","DateFormat=P","Fill=—","Direction=H","UseDPDF=Y")</f>
        <v>#NAME?</v>
      </c>
      <c r="AO404" s="2" t="e">
        <f ca="1">_xll.BDH($C$403,"GEO_GROW_OPER_INC","FQ1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04" s="2" t="e">
        <f ca="1">_xll.BDH($C$403,"NET_INCOME_TO_COMMON_5_YR_GROWTH","FQ1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04" s="2" t="e">
        <f ca="1">_xll.BDH($C$403,"5Y_GEO_GROWTH_DILUTED_EPS","FQ1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04" s="2" t="e">
        <f ca="1">_xll.BDH($C$403,"GEO_GROW_DVD_PER_SH","FQ1 2014","FQ1 2014","Currency=INR","Period=FQ","BEST_FPERIOD_OVERRIDE=FQ","FILING_STATUS=OR","EQY_CONSOLIDATED=Y","Sort=A","Dates=H","DateFormat=P","Fill=—","Direction=H","UseDPDF=Y")</f>
        <v>#NAME?</v>
      </c>
      <c r="AS404" s="2" t="e">
        <f ca="1">_xll.BDH($C$403,"ACCOUNTS_RECEIVABLE_5_YR_GROWTH","FQ1 2014","FQ1 2014","Currency=INR","Period=FQ","BEST_FPERIOD_OVERRIDE=FQ","FILING_STATUS=OR","EQY_CONSOLIDATED=Y","Sort=A","Dates=H","DateFormat=P","Fill=—","Direction=H","UseDPDF=Y")</f>
        <v>#NAME?</v>
      </c>
      <c r="AT404" s="2" t="e">
        <f ca="1">_xll.BDH($C$403,"INVENTORY_5_YEAR_GROWTH","FQ1 2014","FQ1 2014","Currency=INR","Period=FQ","BEST_FPERIOD_OVERRIDE=FQ","FILING_STATUS=OR","EQY_CONSOLIDATED=Y","Sort=A","Dates=H","DateFormat=P","Fill=—","Direction=H","UseDPDF=Y")</f>
        <v>#NAME?</v>
      </c>
      <c r="AU404" s="2" t="e">
        <f ca="1">_xll.BDH($C$403,"NET_FIXED_ASSETS_5_YEAR_GROWTH","FQ1 2014","FQ1 2014","Currency=INR","Period=FQ","BEST_FPERIOD_OVERRIDE=FQ","FILING_STATUS=OR","EQY_CONSOLIDATED=Y","Sort=A","Dates=H","DateFormat=P","Fill=—","Direction=H","UseDPDF=Y")</f>
        <v>#NAME?</v>
      </c>
      <c r="AV404" s="2" t="e">
        <f ca="1">_xll.BDH($C$403,"GEO_GROW_TOT_ASSET","FQ1 2014","FQ1 2014","Currency=INR","Period=FQ","BEST_FPERIOD_OVERRIDE=FQ","FILING_STATUS=OR","EQY_CONSOLIDATED=Y","Sort=A","Dates=H","DateFormat=P","Fill=—","Direction=H","UseDPDF=Y")</f>
        <v>#NAME?</v>
      </c>
      <c r="AW404" s="2" t="e">
        <f ca="1">_xll.BDH($C$403,"MODIFIED_WORKING_CPTL_5YR_GRWTH","FQ1 2014","FQ1 2014","Currency=INR","Period=FQ","BEST_FPERIOD_OVERRIDE=FQ","FILING_STATUS=OR","EQY_CONSOLIDATED=Y","Sort=A","Dates=H","DateFormat=P","Fill=—","Direction=H","UseDPDF=Y")</f>
        <v>#NAME?</v>
      </c>
      <c r="AX404" s="2" t="e">
        <f ca="1">_xll.BDH($C$403,"WORKING_CAPITAL_5_YEAR_GROWTH","FQ1 2014","FQ1 2014","Currency=INR","Period=FQ","BEST_FPERIOD_OVERRIDE=FQ","FILING_STATUS=OR","EQY_CONSOLIDATED=Y","Sort=A","Dates=H","DateFormat=P","Fill=—","Direction=H","UseDPDF=Y")</f>
        <v>#NAME?</v>
      </c>
      <c r="AY404" s="2" t="e">
        <f ca="1">_xll.BDH($C$403,"ACCOUNTS_PAYABLE_5_YEAR_GROWTH","FQ1 2014","FQ1 2014","Currency=INR","Period=FQ","BEST_FPERIOD_OVERRIDE=FQ","FILING_STATUS=OR","EQY_CONSOLIDATED=Y","Sort=A","Dates=H","DateFormat=P","Fill=—","Direction=H","UseDPDF=Y")</f>
        <v>#NAME?</v>
      </c>
      <c r="AZ404" s="2" t="e">
        <f ca="1">_xll.BDH($C$403,"SHORT_TERM_DEBT_5_YEAR_GROWTH","FQ1 2014","FQ1 2014","Currency=INR","Period=FQ","BEST_FPERIOD_OVERRIDE=FQ","FILING_STATUS=OR","EQY_CONSOLIDATED=Y","Sort=A","Dates=H","DateFormat=P","Fill=—","Direction=H","UseDPDF=Y")</f>
        <v>#NAME?</v>
      </c>
      <c r="BA404" s="2" t="e">
        <f ca="1">_xll.BDH($C$403,"TOTAL_DEBT_5_YEAR_GROWTH","FQ1 2014","FQ1 2014","Currency=INR","Period=FQ","BEST_FPERIOD_OVERRIDE=FQ","FILING_STATUS=OR","EQY_CONSOLIDATED=Y","Sort=A","Dates=H","DateFormat=P","Fill=—","Direction=H","UseDPDF=Y")</f>
        <v>#NAME?</v>
      </c>
      <c r="BB404" s="2" t="e">
        <f ca="1">_xll.BDH($C$403,"GEO_GROW_TOT_SHRHLDR_EQY","FQ1 2014","FQ1 2014","Currency=INR","Period=FQ","BEST_FPERIOD_OVERRIDE=FQ","FILING_STATUS=OR","EQY_CONSOLIDATED=Y","Sort=A","Dates=H","DateFormat=P","Fill=—","Direction=H","UseDPDF=Y")</f>
        <v>#NAME?</v>
      </c>
      <c r="BC404" s="2" t="e">
        <f ca="1">_xll.BDH($C$403,"TOTAL_CAPITAL_5_YEAR_GROWTH","FQ1 2014","FQ1 2014","Currency=INR","Period=FQ","BEST_FPERIOD_OVERRIDE=FQ","FILING_STATUS=OR","EQY_CONSOLIDATED=Y","Sort=A","Dates=H","DateFormat=P","Fill=—","Direction=H","UseDPDF=Y")</f>
        <v>#NAME?</v>
      </c>
      <c r="BD404" s="2" t="e">
        <f ca="1">_xll.BDH($C$403,"GEO_GROW_BOOK_VAL","FQ1 2014","FQ1 2014","Currency=INR","Period=FQ","BEST_FPERIOD_OVERRIDE=FQ","FILING_STATUS=OR","EQY_CONSOLIDATED=Y","Sort=A","Dates=H","DateFormat=P","Fill=—","Direction=H","UseDPDF=Y")</f>
        <v>#NAME?</v>
      </c>
      <c r="BE404" s="2" t="e">
        <f ca="1">_xll.BDH($C$403,"GEO_GROW_CASH_OPER_ACT","FQ1 2014","FQ1 2014","Currency=INR","Period=FQ","BEST_FPERIOD_OVERRIDE=FQ","FILING_STATUS=OR","EQY_CONSOLIDATED=Y","Sort=A","Dates=H","DateFormat=P","Fill=—","Direction=H","UseDPDF=Y")</f>
        <v>#NAME?</v>
      </c>
      <c r="BF404" s="2" t="e">
        <f ca="1">_xll.BDH($C$403,"REVENUE_SEQUENTIAL_GROWTH","FQ1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04" s="2" t="e">
        <f ca="1">_xll.BDH($C$403,"EBITDA_SEQUENTIAL_GROWTH","FQ1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04" s="2" t="e">
        <f ca="1">_xll.BDH($C$403,"OPERATING_INCOME_SEQ_GROWTH","FQ1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04" s="2" t="e">
        <f ca="1">_xll.BDH($C$403,"NET_INCOME_TO_COMMON_SEQ_GROWTH","FQ1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04" s="2" t="e">
        <f ca="1">_xll.BDH($C$403,"EPS_DILUTED_SEQUENTIAL_GROWTH","FQ1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04" s="2" t="e">
        <f ca="1">_xll.BDH($C$403,"DPS_SEQUENTIAL_GROWTH","FQ1 2014","FQ1 2014","Currency=INR","Period=FQ","BEST_FPERIOD_OVERRIDE=FQ","FILING_STATUS=OR","EQY_CONSOLIDATED=Y","Sort=A","Dates=H","DateFormat=P","Fill=—","Direction=H","UseDPDF=Y")</f>
        <v>#NAME?</v>
      </c>
      <c r="BL404" s="2" t="e">
        <f ca="1">_xll.BDH($C$403,"ACCOUNTS_RECEIVABLE_SEQ_GROWTH","FQ1 2014","FQ1 2014","Currency=INR","Period=FQ","BEST_FPERIOD_OVERRIDE=FQ","FILING_STATUS=OR","EQY_CONSOLIDATED=Y","Sort=A","Dates=H","DateFormat=P","Fill=—","Direction=H","UseDPDF=Y")</f>
        <v>#NAME?</v>
      </c>
      <c r="BM404" s="2" t="e">
        <f ca="1">_xll.BDH($C$403,"INVENTORY_SEQUENTIAL_GROWTH","FQ1 2014","FQ1 2014","Currency=INR","Period=FQ","BEST_FPERIOD_OVERRIDE=FQ","FILING_STATUS=OR","EQY_CONSOLIDATED=Y","Sort=A","Dates=H","DateFormat=P","Fill=—","Direction=H","UseDPDF=Y")</f>
        <v>#NAME?</v>
      </c>
      <c r="BN404" s="2" t="e">
        <f ca="1">_xll.BDH($C$403,"FIXED_ASSETS_SEQUENTIAL_GROWTH","FQ1 2014","FQ1 2014","Currency=INR","Period=FQ","BEST_FPERIOD_OVERRIDE=FQ","FILING_STATUS=OR","EQY_CONSOLIDATED=Y","Sort=A","Dates=H","DateFormat=P","Fill=—","Direction=H","UseDPDF=Y")</f>
        <v>#NAME?</v>
      </c>
      <c r="BO404" s="2" t="e">
        <f ca="1">_xll.BDH($C$403,"TOTAL_ASSETS_SEQUENTIAL_GROWTH","FQ1 2014","FQ1 2014","Currency=INR","Period=FQ","BEST_FPERIOD_OVERRIDE=FQ","FILING_STATUS=OR","EQY_CONSOLIDATED=Y","Sort=A","Dates=H","DateFormat=P","Fill=—","Direction=H","UseDPDF=Y")</f>
        <v>#NAME?</v>
      </c>
      <c r="BP404" s="2" t="e">
        <f ca="1">_xll.BDH($C$403,"MODIFIED_WORKING_CPTL_SEQ_GRWTH","FQ1 2014","FQ1 2014","Currency=INR","Period=FQ","BEST_FPERIOD_OVERRIDE=FQ","FILING_STATUS=OR","EQY_CONSOLIDATED=Y","Sort=A","Dates=H","DateFormat=P","Fill=—","Direction=H","UseDPDF=Y")</f>
        <v>#NAME?</v>
      </c>
      <c r="BQ404" s="2" t="e">
        <f ca="1">_xll.BDH($C$403,"WORKING_CAPITAL_SEQ_GROWTH","FQ1 2014","FQ1 2014","Currency=INR","Period=FQ","BEST_FPERIOD_OVERRIDE=FQ","FILING_STATUS=OR","EQY_CONSOLIDATED=Y","Sort=A","Dates=H","DateFormat=P","Fill=—","Direction=H","UseDPDF=Y")</f>
        <v>#NAME?</v>
      </c>
      <c r="BR404" s="2" t="e">
        <f ca="1">_xll.BDH($C$403,"ACCOUNTS_PAYABLE_SEQ_GROWTH","FQ1 2014","FQ1 2014","Currency=INR","Period=FQ","BEST_FPERIOD_OVERRIDE=FQ","FILING_STATUS=OR","EQY_CONSOLIDATED=Y","Sort=A","Dates=H","DateFormat=P","Fill=—","Direction=H","UseDPDF=Y")</f>
        <v>#NAME?</v>
      </c>
      <c r="BS404" s="2" t="e">
        <f ca="1">_xll.BDH($C$403,"ST_DEBT_SEQUENTIAL_GROWTH","FQ1 2014","FQ1 2014","Currency=INR","Period=FQ","BEST_FPERIOD_OVERRIDE=FQ","FILING_STATUS=OR","EQY_CONSOLIDATED=Y","Sort=A","Dates=H","DateFormat=P","Fill=—","Direction=H","UseDPDF=Y")</f>
        <v>#NAME?</v>
      </c>
      <c r="BT404" s="2" t="e">
        <f ca="1">_xll.BDH($C$403,"TOTAL_DEBT_SEQUENTIAL_GROWTH","FQ1 2014","FQ1 2014","Currency=INR","Period=FQ","BEST_FPERIOD_OVERRIDE=FQ","FILING_STATUS=OR","EQY_CONSOLIDATED=Y","Sort=A","Dates=H","DateFormat=P","Fill=—","Direction=H","UseDPDF=Y")</f>
        <v>#NAME?</v>
      </c>
      <c r="BU404" s="2" t="e">
        <f ca="1">_xll.BDH($C$403,"TOTAL_EQUITY_SEQUENTIAL_GROWTH","FQ1 2014","FQ1 2014","Currency=INR","Period=FQ","BEST_FPERIOD_OVERRIDE=FQ","FILING_STATUS=OR","EQY_CONSOLIDATED=Y","Sort=A","Dates=H","DateFormat=P","Fill=—","Direction=H","UseDPDF=Y")</f>
        <v>#NAME?</v>
      </c>
      <c r="BV404" s="2" t="e">
        <f ca="1">_xll.BDH($C$403,"TOTAL_CAPITAL_SEQUENTIAL_GROWTH","FQ1 2014","FQ1 2014","Currency=INR","Period=FQ","BEST_FPERIOD_OVERRIDE=FQ","FILING_STATUS=OR","EQY_CONSOLIDATED=Y","Sort=A","Dates=H","DateFormat=P","Fill=—","Direction=H","UseDPDF=Y")</f>
        <v>#NAME?</v>
      </c>
      <c r="BW404" s="2" t="e">
        <f ca="1">_xll.BDH($C$403,"BPS_SEQUENTIAL_GROWTH","FQ1 2014","FQ1 2014","Currency=INR","Period=FQ","BEST_FPERIOD_OVERRIDE=FQ","FILING_STATUS=OR","EQY_CONSOLIDATED=Y","Sort=A","Dates=H","DateFormat=P","Fill=—","Direction=H","UseDPDF=Y")</f>
        <v>#NAME?</v>
      </c>
      <c r="BX404" s="2" t="e">
        <f ca="1">_xll.BDH($C$403,"CFO_SEQUENTIAL_GROWTH","FQ1 2014","FQ1 2014","Currency=INR","Period=FQ","BEST_FPERIOD_OVERRIDE=FQ","FILING_STATUS=OR","EQY_CONSOLIDATED=Y","Sort=A","Dates=H","DateFormat=P","Fill=—","Direction=H","UseDPDF=Y")</f>
        <v>#NAME?</v>
      </c>
      <c r="BY404" s="3" t="e">
        <f ca="1">_xll.BDH($C$403,"SHORT_AND_LONG_TERM_DEBT","FQ1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04" s="3" t="e">
        <f ca="1">_xll.BDH($C$403,"BS_ST_BORROW","FQ1 2014","FQ1 2014","Currency=INR","Period=FQ","BEST_FPERIOD_OVERRIDE=FQ","FILING_STATUS=OR","EQY_CONSOLIDATED=Y","SCALING_FORMAT=MLN","Sort=A","Dates=H","DateFormat=P","Fill=—","Direction=H","UseDPDF=Y")</f>
        <v>#NAME?</v>
      </c>
      <c r="CA404" s="3" t="e">
        <f ca="1">_xll.BDH($C$403,"BS_LT_BORROW","FQ1 2014","FQ1 2014","Currency=INR","Period=FQ","BEST_FPERIOD_OVERRIDE=FQ","FILING_STATUS=OR","EQY_CONSOLIDATED=Y","SCALING_FORMAT=MLN","Sort=A","Dates=H","DateFormat=P","Fill=—","Direction=H","UseDPDF=Y")</f>
        <v>#NAME?</v>
      </c>
      <c r="CB404" s="2" t="e">
        <f ca="1">_xll.BDH($C$403,"TOT_DEBT_TO_EBITDA","FQ1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04" s="2" t="e">
        <f ca="1">_xll.BDH($C$403,"NET_DEBT_TO_EBITDA","FQ1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04" s="2" t="e">
        <f ca="1">_xll.BDH($C$403,"TOTAL_DEBT_TO_EBIT","FQ1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04" s="2" t="e">
        <f ca="1">_xll.BDH($C$403,"NET_DEBT_TO_EBIT","FQ1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04" s="2" t="e">
        <f ca="1">_xll.BDH($C$403,"EBITDA_TO_INTEREST_EXPN","FQ1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04" s="2" t="e">
        <f ca="1">_xll.BDH($C$403,"COM_EQY_TO_TOT_ASSET","FQ1 2014","FQ1 2014","Currency=INR","Period=FQ","BEST_FPERIOD_OVERRIDE=FQ","FILING_STATUS=OR","EQY_CONSOLIDATED=Y","Sort=A","Dates=H","DateFormat=P","Fill=—","Direction=H","UseDPDF=Y")</f>
        <v>#NAME?</v>
      </c>
      <c r="CH404" s="2" t="e">
        <f ca="1">_xll.BDH($C$403,"LT_DEBT_TO_TOT_EQY","FQ1 2014","FQ1 2014","Currency=INR","Period=FQ","BEST_FPERIOD_OVERRIDE=FQ","FILING_STATUS=OR","EQY_CONSOLIDATED=Y","Sort=A","Dates=H","DateFormat=P","Fill=—","Direction=H","UseDPDF=Y")</f>
        <v>#NAME?</v>
      </c>
      <c r="CI404" s="2" t="e">
        <f ca="1">_xll.BDH($C$403,"LT_DEBT_TO_TOT_CAP","FQ1 2014","FQ1 2014","Currency=INR","Period=FQ","BEST_FPERIOD_OVERRIDE=FQ","FILING_STATUS=OR","EQY_CONSOLIDATED=Y","Sort=A","Dates=H","DateFormat=P","Fill=—","Direction=H","UseDPDF=Y")</f>
        <v>#NAME?</v>
      </c>
      <c r="CJ404" s="2" t="e">
        <f ca="1">_xll.BDH($C$403,"LT_DEBT_TO_TOT_ASSET","FQ1 2014","FQ1 2014","Currency=INR","Period=FQ","BEST_FPERIOD_OVERRIDE=FQ","FILING_STATUS=OR","EQY_CONSOLIDATED=Y","Sort=A","Dates=H","DateFormat=P","Fill=—","Direction=H","UseDPDF=Y")</f>
        <v>#NAME?</v>
      </c>
      <c r="CK404" s="2" t="e">
        <f ca="1">_xll.BDH($C$403,"TOT_DEBT_TO_TOT_EQY","FQ1 2014","FQ1 2014","Currency=INR","Period=FQ","BEST_FPERIOD_OVERRIDE=FQ","FILING_STATUS=OR","EQY_CONSOLIDATED=Y","Sort=A","Dates=H","DateFormat=P","Fill=—","Direction=H","UseDPDF=Y")</f>
        <v>#NAME?</v>
      </c>
      <c r="CL404" s="2" t="e">
        <f ca="1">_xll.BDH($C$403,"TOT_DEBT_TO_TOT_CAP","FQ1 2014","FQ1 2014","Currency=INR","Period=FQ","BEST_FPERIOD_OVERRIDE=FQ","FILING_STATUS=OR","EQY_CONSOLIDATED=Y","Sort=A","Dates=H","DateFormat=P","Fill=—","Direction=H","UseDPDF=Y")</f>
        <v>#NAME?</v>
      </c>
      <c r="CM404" s="2" t="e">
        <f ca="1">_xll.BDH($C$403,"TOT_DEBT_TO_TOT_ASSET","FQ1 2014","FQ1 2014","Currency=INR","Period=FQ","BEST_FPERIOD_OVERRIDE=FQ","FILING_STATUS=OR","EQY_CONSOLIDATED=Y","Sort=A","Dates=H","DateFormat=P","Fill=—","Direction=H","UseDPDF=Y")</f>
        <v>#NAME?</v>
      </c>
      <c r="CN404" s="2" t="e">
        <f ca="1">_xll.BDH($C$403,"NET_DEBT_TO_SHRHLDR_EQTY","FQ1 2014","FQ1 2014","Currency=INR","Period=FQ","BEST_FPERIOD_OVERRIDE=FQ","FILING_STATUS=OR","EQY_CONSOLIDATED=Y","Sort=A","Dates=H","DateFormat=P","Fill=—","Direction=H","UseDPDF=Y")</f>
        <v>#NAME?</v>
      </c>
      <c r="CO404" s="2" t="e">
        <f ca="1">_xll.BDH($C$403,"NET_DEBT_%_CAPITAL","FQ1 2014","FQ1 2014","Currency=INR","Period=FQ","BEST_FPERIOD_OVERRIDE=FQ","FILING_STATUS=OR","EQY_CONSOLIDATED=Y","Sort=A","Dates=H","DateFormat=P","Fill=—","Direction=H","UseDPDF=Y")</f>
        <v>#NAME?</v>
      </c>
      <c r="CP404" s="3" t="e">
        <f ca="1">_xll.BDH($C$403,"EBITDA","FQ1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04" s="3" t="e">
        <f ca="1">_xll.BDH($C$403,"EBITDA_AFTER_CAPEX","FQ1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04" s="3" t="e">
        <f ca="1">_xll.BDH($C$403,"IS_OPER_INC","FQ1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04" s="2" t="e">
        <f ca="1">_xll.BDH($C$403,"CASH_RATIO","FQ1 2014","FQ1 2014","Currency=INR","Period=FQ","BEST_FPERIOD_OVERRIDE=FQ","FILING_STATUS=OR","EQY_CONSOLIDATED=Y","Sort=A","Dates=H","DateFormat=P","Fill=—","Direction=H","UseDPDF=Y")</f>
        <v>#NAME?</v>
      </c>
      <c r="CT404" s="2" t="e">
        <f ca="1">_xll.BDH($C$403,"CUR_RATIO","FQ1 2014","FQ1 2014","Currency=INR","Period=FQ","BEST_FPERIOD_OVERRIDE=FQ","FILING_STATUS=OR","EQY_CONSOLIDATED=Y","Sort=A","Dates=H","DateFormat=P","Fill=—","Direction=H","UseDPDF=Y")</f>
        <v>#NAME?</v>
      </c>
      <c r="CU404" s="2" t="e">
        <f ca="1">_xll.BDH($C$403,"QUICK_RATIO","FQ1 2014","FQ1 2014","Currency=INR","Period=FQ","BEST_FPERIOD_OVERRIDE=FQ","FILING_STATUS=OR","EQY_CONSOLIDATED=Y","Sort=A","Dates=H","DateFormat=P","Fill=—","Direction=H","UseDPDF=Y")</f>
        <v>#NAME?</v>
      </c>
      <c r="CV404" s="2" t="e">
        <f ca="1">_xll.BDH($C$403,"ALTMAN_Z_SCORE","FQ1 2014","FQ1 2014","Currency=INR","Period=FQ","BEST_FPERIOD_OVERRIDE=FQ","FILING_STATUS=OR","EQY_CONSOLIDATED=Y","Sort=A","Dates=H","DateFormat=P","Fill=—","Direction=H","UseDPDF=Y")</f>
        <v>#NAME?</v>
      </c>
      <c r="CW404" s="4" t="e">
        <f ca="1">_xll.BDH($C$403,"ACCT_RCV_TURN","FQ1 2014","FQ1 2014","Currency=INR","Period=FQ","BEST_FPERIOD_OVERRIDE=FQ","FILING_STATUS=OR","EQY_CONSOLIDATED=Y","FA_ADJUSTED=GAAP","Sort=A","Dates=H","DateFormat=P","Fill=—","Direction=H","UseDPDF=Y")</f>
        <v>#NAME?</v>
      </c>
      <c r="CX404" s="2" t="e">
        <f ca="1">_xll.BDH($C$403,"ACCT_RCV_DAYS","FQ1 2014","FQ1 2014","Currency=INR","Period=FQ","BEST_FPERIOD_OVERRIDE=FQ","FILING_STATUS=OR","EQY_CONSOLIDATED=Y","FA_ADJUSTED=GAAP","Sort=A","Dates=H","DateFormat=P","Fill=—","Direction=H","UseDPDF=Y")</f>
        <v>#NAME?</v>
      </c>
      <c r="CY404" s="4" t="e">
        <f ca="1">_xll.BDH($C$403,"INVENT_TURN","FQ1 2014","FQ1 2014","Currency=INR","Period=FQ","BEST_FPERIOD_OVERRIDE=FQ","FILING_STATUS=OR","EQY_CONSOLIDATED=Y","FA_ADJUSTED=GAAP","Sort=A","Dates=H","DateFormat=P","Fill=—","Direction=H","UseDPDF=Y")</f>
        <v>#NAME?</v>
      </c>
      <c r="CZ404" s="2" t="e">
        <f ca="1">_xll.BDH($C$403,"INVENT_DAYS","FQ1 2014","FQ1 2014","Currency=INR","Period=FQ","BEST_FPERIOD_OVERRIDE=FQ","FILING_STATUS=OR","EQY_CONSOLIDATED=Y","FA_ADJUSTED=GAAP","Sort=A","Dates=H","DateFormat=P","Fill=—","Direction=H","UseDPDF=Y")</f>
        <v>#NAME?</v>
      </c>
      <c r="DA404" s="4" t="e">
        <f ca="1">_xll.BDH($C$403,"ACCOUNTS_PAYABLE_TURNOVER","FQ1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04" s="2" t="e">
        <f ca="1">_xll.BDH($C$403,"ACCOUNTS_PAYABLE_TURNOVER_DAYS","FQ1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04" s="4" t="e">
        <f ca="1">_xll.BDH($C$403,"CASH_CONVERSION_CYCLE","FQ1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04" s="4" t="e">
        <f ca="1">_xll.BDH($C$403,"INV_TO_CASH_DAYS","FQ1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04" s="5" t="e">
        <f ca="1">_xll.BDH($C$403,"BS_INVENTORIES","FQ1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04" s="3" t="e">
        <f ca="1">_xll.BDH($C$403,"INVTRY_RAW_MATERIALS","FQ1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04" s="3" t="e">
        <f ca="1">_xll.BDH($C$403,"INVTRY_IN_PROGRESS","FQ1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04" s="3" t="e">
        <f ca="1">_xll.BDH($C$403,"INVTRY_FINISHED_GOODS","FQ1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04" s="3" t="e">
        <f ca="1">_xll.BDH($C$403,"BS_OTHER_INV","FQ1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05" spans="1:113" x14ac:dyDescent="0.3">
      <c r="A405" s="6"/>
      <c r="B405" s="6"/>
      <c r="C405" s="6"/>
      <c r="D405" s="6"/>
      <c r="E405" t="s">
        <v>79</v>
      </c>
      <c r="F405" t="e">
        <f ca="1">_xll.BDH($C$403,"RETURN_COM_EQY","FQ2 2014","FQ2 2014","Currency=INR","Period=FQ","BEST_FPERIOD_OVERRIDE=FQ","FILING_STATUS=OR","EQY_CONSOLIDATED=Y","FA_ADJUSTED=GAAP","Sort=A","Dates=H","DateFormat=P","Fill=—","Direction=H","UseDPDF=Y")</f>
        <v>#NAME?</v>
      </c>
      <c r="G405" t="e">
        <f ca="1">_xll.BDH($C$403,"RETURN_ON_ASSET","FQ2 2014","FQ2 2014","Currency=INR","Period=FQ","BEST_FPERIOD_OVERRIDE=FQ","FILING_STATUS=OR","EQY_CONSOLIDATED=Y","FA_ADJUSTED=GAAP","Sort=A","Dates=H","DateFormat=P","Fill=—","Direction=H","UseDPDF=Y")</f>
        <v>#NAME?</v>
      </c>
      <c r="H405" t="e">
        <f ca="1">_xll.BDH($C$403,"RETURN_ON_CAP","FQ2 2014","FQ2 2014","Currency=INR","Period=FQ","BEST_FPERIOD_OVERRIDE=FQ","FILING_STATUS=OR","EQY_CONSOLIDATED=Y","FA_ADJUSTED=GAAP","Sort=A","Dates=H","DateFormat=P","Fill=—","Direction=H","UseDPDF=Y")</f>
        <v>#NAME?</v>
      </c>
      <c r="I405" t="e">
        <f ca="1">_xll.BDH($C$403,"RETURN_ON_INV_CAPITAL","FQ2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05" t="e">
        <f ca="1">_xll.BDH($C$403,"EBITDA_TO_REVENUE","FQ2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05" t="e">
        <f ca="1">_xll.BDH($C$403,"OPER_MARGIN","FQ2 2014","FQ2 2014","Currency=INR","Period=FQ","BEST_FPERIOD_OVERRIDE=FQ","FILING_STATUS=OR","EQY_CONSOLIDATED=Y","FA_ADJUSTED=GAAP","Sort=A","Dates=H","DateFormat=P","Fill=—","Direction=H","UseDPDF=Y")</f>
        <v>#NAME?</v>
      </c>
      <c r="L405" t="e">
        <f ca="1">_xll.BDH($C$403,"INCREMENTAL_OPERATING_MARGIN","FQ2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05" t="e">
        <f ca="1">_xll.BDH($C$403,"PRETAX_INC_TO_NET_SALES","FQ2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05" t="e">
        <f ca="1">_xll.BDH($C$403,"INC_BEF_XO_ITEMS_TO_NET_SALES","FQ2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05" t="e">
        <f ca="1">_xll.BDH($C$403,"PROF_MARGIN","FQ2 2014","FQ2 2014","Currency=INR","Period=FQ","BEST_FPERIOD_OVERRIDE=FQ","FILING_STATUS=OR","EQY_CONSOLIDATED=Y","FA_ADJUSTED=GAAP","Sort=A","Dates=H","DateFormat=P","Fill=—","Direction=H","UseDPDF=Y")</f>
        <v>#NAME?</v>
      </c>
      <c r="P405" t="e">
        <f ca="1">_xll.BDH($C$403,"NET_INCOME_TO_COMMON_MARGIN","FQ2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05" t="e">
        <f ca="1">_xll.BDH($C$403,"EFF_TAX_RATE","FQ2 2014","FQ2 2014","Currency=INR","Period=FQ","BEST_FPERIOD_OVERRIDE=FQ","FILING_STATUS=OR","EQY_CONSOLIDATED=Y","FA_ADJUSTED=GAAP","Sort=A","Dates=H","DateFormat=P","Fill=—","Direction=H","UseDPDF=Y")</f>
        <v>#NAME?</v>
      </c>
      <c r="R405" t="e">
        <f ca="1">_xll.BDH($C$403,"DVD_PAYOUT_RATIO","FQ2 2014","FQ2 2014","Currency=INR","Period=FQ","BEST_FPERIOD_OVERRIDE=FQ","FILING_STATUS=OR","EQY_CONSOLIDATED=Y","FA_ADJUSTED=GAAP","Sort=A","Dates=H","DateFormat=P","Fill=—","Direction=H","UseDPDF=Y")</f>
        <v>#NAME?</v>
      </c>
      <c r="S405" t="e">
        <f ca="1">_xll.BDH($C$403,"SUSTAIN_GROWTH_RT","FQ2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05" s="2" t="e">
        <f ca="1">_xll.BDH($C$403,"SALES_GROWTH","FQ2 2014","FQ2 2014","Currency=INR","Period=FQ","BEST_FPERIOD_OVERRIDE=FQ","FILING_STATUS=OR","EQY_CONSOLIDATED=Y","FA_ADJUSTED=GAAP","Sort=A","Dates=H","DateFormat=P","Fill=—","Direction=H","UseDPDF=Y")</f>
        <v>#NAME?</v>
      </c>
      <c r="U405" s="2" t="e">
        <f ca="1">_xll.BDH($C$403,"EBITDA_GROWTH","FQ2 2014","FQ2 2014","Currency=INR","Period=FQ","BEST_FPERIOD_OVERRIDE=FQ","FILING_STATUS=OR","EQY_CONSOLIDATED=Y","FA_ADJUSTED=GAAP","Sort=A","Dates=H","DateFormat=P","Fill=—","Direction=H","UseDPDF=Y")</f>
        <v>#NAME?</v>
      </c>
      <c r="V405" s="2" t="e">
        <f ca="1">_xll.BDH($C$403,"OPER_INC_GROWTH","FQ2 2014","FQ2 2014","Currency=INR","Period=FQ","BEST_FPERIOD_OVERRIDE=FQ","FILING_STATUS=OR","EQY_CONSOLIDATED=Y","FA_ADJUSTED=GAAP","Sort=A","Dates=H","DateFormat=P","Fill=—","Direction=H","UseDPDF=Y")</f>
        <v>#NAME?</v>
      </c>
      <c r="W405" s="2" t="e">
        <f ca="1">_xll.BDH($C$403,"EARN_FOR_COM_GROWTH","FQ2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05" s="2" t="e">
        <f ca="1">_xll.BDH($C$403,"DILUTED_EPS_AFT_XO_ITEMS_GROWTH","FQ2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05" s="2" t="e">
        <f ca="1">_xll.BDH($C$403,"DIVIDEND_PER_SHARE_1_YEAR_GROWTH","FQ2 2014","FQ2 2014","Currency=INR","Period=FQ","BEST_FPERIOD_OVERRIDE=FQ","FILING_STATUS=OR","EQY_CONSOLIDATED=Y","Sort=A","Dates=H","DateFormat=P","Fill=—","Direction=H","UseDPDF=Y")</f>
        <v>#NAME?</v>
      </c>
      <c r="Z405" s="2" t="e">
        <f ca="1">_xll.BDH($C$403,"ACCOUNTS_RECEIVABLE_GROWTH","FQ2 2014","FQ2 2014","Currency=INR","Period=FQ","BEST_FPERIOD_OVERRIDE=FQ","FILING_STATUS=OR","EQY_CONSOLIDATED=Y","Sort=A","Dates=H","DateFormat=P","Fill=—","Direction=H","UseDPDF=Y")</f>
        <v>#NAME?</v>
      </c>
      <c r="AA405" s="2" t="e">
        <f ca="1">_xll.BDH($C$403,"INVENTORY_GROWTH","FQ2 2014","FQ2 2014","Currency=INR","Period=FQ","BEST_FPERIOD_OVERRIDE=FQ","FILING_STATUS=OR","EQY_CONSOLIDATED=Y","Sort=A","Dates=H","DateFormat=P","Fill=—","Direction=H","UseDPDF=Y")</f>
        <v>#NAME?</v>
      </c>
      <c r="AB405" s="2" t="e">
        <f ca="1">_xll.BDH($C$403,"NET_FIXED_ASSETS_1_YEAR_GROWTH","FQ2 2014","FQ2 2014","Currency=INR","Period=FQ","BEST_FPERIOD_OVERRIDE=FQ","FILING_STATUS=OR","EQY_CONSOLIDATED=Y","Sort=A","Dates=H","DateFormat=P","Fill=—","Direction=H","UseDPDF=Y")</f>
        <v>#NAME?</v>
      </c>
      <c r="AC405" s="2" t="e">
        <f ca="1">_xll.BDH($C$403,"ASSET_GROWTH","FQ2 2014","FQ2 2014","Currency=INR","Period=FQ","BEST_FPERIOD_OVERRIDE=FQ","FILING_STATUS=OR","EQY_CONSOLIDATED=Y","Sort=A","Dates=H","DateFormat=P","Fill=—","Direction=H","UseDPDF=Y")</f>
        <v>#NAME?</v>
      </c>
      <c r="AD405" s="2" t="e">
        <f ca="1">_xll.BDH($C$403,"MODIFIED_WORK_CAP_GROWTH","FQ2 2014","FQ2 2014","Currency=INR","Period=FQ","BEST_FPERIOD_OVERRIDE=FQ","FILING_STATUS=OR","EQY_CONSOLIDATED=Y","Sort=A","Dates=H","DateFormat=P","Fill=—","Direction=H","UseDPDF=Y")</f>
        <v>#NAME?</v>
      </c>
      <c r="AE405" s="2" t="e">
        <f ca="1">_xll.BDH($C$403,"WORK_CAP_GROWTH","FQ2 2014","FQ2 2014","Currency=INR","Period=FQ","BEST_FPERIOD_OVERRIDE=FQ","FILING_STATUS=OR","EQY_CONSOLIDATED=Y","Sort=A","Dates=H","DateFormat=P","Fill=—","Direction=H","UseDPDF=Y")</f>
        <v>#NAME?</v>
      </c>
      <c r="AF405" s="2" t="e">
        <f ca="1">_xll.BDH($C$403,"ACCOUNTS_PAYABLE_GROWTH_1YR","FQ2 2014","FQ2 2014","Currency=INR","Period=FQ","BEST_FPERIOD_OVERRIDE=FQ","FILING_STATUS=OR","EQY_CONSOLIDATED=Y","Sort=A","Dates=H","DateFormat=P","Fill=—","Direction=H","UseDPDF=Y")</f>
        <v>#NAME?</v>
      </c>
      <c r="AG405" s="2" t="e">
        <f ca="1">_xll.BDH($C$403,"SHORT_TERM_DEBT_1_YEAR_GROWTH","FQ2 2014","FQ2 2014","Currency=INR","Period=FQ","BEST_FPERIOD_OVERRIDE=FQ","FILING_STATUS=OR","EQY_CONSOLIDATED=Y","Sort=A","Dates=H","DateFormat=P","Fill=—","Direction=H","UseDPDF=Y")</f>
        <v>#NAME?</v>
      </c>
      <c r="AH405" s="2" t="e">
        <f ca="1">_xll.BDH($C$403,"TOTAL_DEBT_1_YEAR_GROWTH","FQ2 2014","FQ2 2014","Currency=INR","Period=FQ","BEST_FPERIOD_OVERRIDE=FQ","FILING_STATUS=OR","EQY_CONSOLIDATED=Y","Sort=A","Dates=H","DateFormat=P","Fill=—","Direction=H","UseDPDF=Y")</f>
        <v>#NAME?</v>
      </c>
      <c r="AI405" s="2" t="e">
        <f ca="1">_xll.BDH($C$403,"TOTAL_EQUITY_1_YEAR_GROWTH","FQ2 2014","FQ2 2014","Currency=INR","Period=FQ","BEST_FPERIOD_OVERRIDE=FQ","FILING_STATUS=OR","EQY_CONSOLIDATED=Y","Sort=A","Dates=H","DateFormat=P","Fill=—","Direction=H","UseDPDF=Y")</f>
        <v>#NAME?</v>
      </c>
      <c r="AJ405" s="2" t="e">
        <f ca="1">_xll.BDH($C$403,"GROWTH_IN_CAP","FQ2 2014","FQ2 2014","Currency=INR","Period=FQ","BEST_FPERIOD_OVERRIDE=FQ","FILING_STATUS=OR","EQY_CONSOLIDATED=Y","Sort=A","Dates=H","DateFormat=P","Fill=—","Direction=H","UseDPDF=Y")</f>
        <v>#NAME?</v>
      </c>
      <c r="AK405" s="2" t="e">
        <f ca="1">_xll.BDH($C$403,"BVPS_GROWTH","FQ2 2014","FQ2 2014","Currency=INR","Period=FQ","BEST_FPERIOD_OVERRIDE=FQ","FILING_STATUS=OR","EQY_CONSOLIDATED=Y","Sort=A","Dates=H","DateFormat=P","Fill=—","Direction=H","UseDPDF=Y")</f>
        <v>#NAME?</v>
      </c>
      <c r="AL405" s="2" t="e">
        <f ca="1">_xll.BDH($C$403,"CASH_FLOW_GROWTH","FQ2 2014","FQ2 2014","Currency=INR","Period=FQ","BEST_FPERIOD_OVERRIDE=FQ","FILING_STATUS=OR","EQY_CONSOLIDATED=Y","Sort=A","Dates=H","DateFormat=P","Fill=—","Direction=H","UseDPDF=Y")</f>
        <v>#NAME?</v>
      </c>
      <c r="AM405" s="2" t="e">
        <f ca="1">_xll.BDH($C$403,"GEO_GROW_NET_SALES","FQ2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05" s="2" t="e">
        <f ca="1">_xll.BDH($C$403,"GEO_GROW_EBITDA","FQ2 2014","FQ2 2014","Currency=INR","Period=FQ","BEST_FPERIOD_OVERRIDE=FQ","FILING_STATUS=OR","EQY_CONSOLIDATED=Y","FA_ADJUSTED=GAAP","Sort=A","Dates=H","DateFormat=P","Fill=—","Direction=H","UseDPDF=Y")</f>
        <v>#NAME?</v>
      </c>
      <c r="AO405" s="2" t="e">
        <f ca="1">_xll.BDH($C$403,"GEO_GROW_OPER_INC","FQ2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05" s="2" t="e">
        <f ca="1">_xll.BDH($C$403,"NET_INCOME_TO_COMMON_5_YR_GROWTH","FQ2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05" s="2" t="e">
        <f ca="1">_xll.BDH($C$403,"5Y_GEO_GROWTH_DILUTED_EPS","FQ2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05" s="2" t="e">
        <f ca="1">_xll.BDH($C$403,"GEO_GROW_DVD_PER_SH","FQ2 2014","FQ2 2014","Currency=INR","Period=FQ","BEST_FPERIOD_OVERRIDE=FQ","FILING_STATUS=OR","EQY_CONSOLIDATED=Y","Sort=A","Dates=H","DateFormat=P","Fill=—","Direction=H","UseDPDF=Y")</f>
        <v>#NAME?</v>
      </c>
      <c r="AS405" s="2" t="e">
        <f ca="1">_xll.BDH($C$403,"ACCOUNTS_RECEIVABLE_5_YR_GROWTH","FQ2 2014","FQ2 2014","Currency=INR","Period=FQ","BEST_FPERIOD_OVERRIDE=FQ","FILING_STATUS=OR","EQY_CONSOLIDATED=Y","Sort=A","Dates=H","DateFormat=P","Fill=—","Direction=H","UseDPDF=Y")</f>
        <v>#NAME?</v>
      </c>
      <c r="AT405" s="2" t="e">
        <f ca="1">_xll.BDH($C$403,"INVENTORY_5_YEAR_GROWTH","FQ2 2014","FQ2 2014","Currency=INR","Period=FQ","BEST_FPERIOD_OVERRIDE=FQ","FILING_STATUS=OR","EQY_CONSOLIDATED=Y","Sort=A","Dates=H","DateFormat=P","Fill=—","Direction=H","UseDPDF=Y")</f>
        <v>#NAME?</v>
      </c>
      <c r="AU405" s="2" t="e">
        <f ca="1">_xll.BDH($C$403,"NET_FIXED_ASSETS_5_YEAR_GROWTH","FQ2 2014","FQ2 2014","Currency=INR","Period=FQ","BEST_FPERIOD_OVERRIDE=FQ","FILING_STATUS=OR","EQY_CONSOLIDATED=Y","Sort=A","Dates=H","DateFormat=P","Fill=—","Direction=H","UseDPDF=Y")</f>
        <v>#NAME?</v>
      </c>
      <c r="AV405" s="2" t="e">
        <f ca="1">_xll.BDH($C$403,"GEO_GROW_TOT_ASSET","FQ2 2014","FQ2 2014","Currency=INR","Period=FQ","BEST_FPERIOD_OVERRIDE=FQ","FILING_STATUS=OR","EQY_CONSOLIDATED=Y","Sort=A","Dates=H","DateFormat=P","Fill=—","Direction=H","UseDPDF=Y")</f>
        <v>#NAME?</v>
      </c>
      <c r="AW405" s="2" t="e">
        <f ca="1">_xll.BDH($C$403,"MODIFIED_WORKING_CPTL_5YR_GRWTH","FQ2 2014","FQ2 2014","Currency=INR","Period=FQ","BEST_FPERIOD_OVERRIDE=FQ","FILING_STATUS=OR","EQY_CONSOLIDATED=Y","Sort=A","Dates=H","DateFormat=P","Fill=—","Direction=H","UseDPDF=Y")</f>
        <v>#NAME?</v>
      </c>
      <c r="AX405" s="2" t="e">
        <f ca="1">_xll.BDH($C$403,"WORKING_CAPITAL_5_YEAR_GROWTH","FQ2 2014","FQ2 2014","Currency=INR","Period=FQ","BEST_FPERIOD_OVERRIDE=FQ","FILING_STATUS=OR","EQY_CONSOLIDATED=Y","Sort=A","Dates=H","DateFormat=P","Fill=—","Direction=H","UseDPDF=Y")</f>
        <v>#NAME?</v>
      </c>
      <c r="AY405" s="2" t="e">
        <f ca="1">_xll.BDH($C$403,"ACCOUNTS_PAYABLE_5_YEAR_GROWTH","FQ2 2014","FQ2 2014","Currency=INR","Period=FQ","BEST_FPERIOD_OVERRIDE=FQ","FILING_STATUS=OR","EQY_CONSOLIDATED=Y","Sort=A","Dates=H","DateFormat=P","Fill=—","Direction=H","UseDPDF=Y")</f>
        <v>#NAME?</v>
      </c>
      <c r="AZ405" s="2" t="e">
        <f ca="1">_xll.BDH($C$403,"SHORT_TERM_DEBT_5_YEAR_GROWTH","FQ2 2014","FQ2 2014","Currency=INR","Period=FQ","BEST_FPERIOD_OVERRIDE=FQ","FILING_STATUS=OR","EQY_CONSOLIDATED=Y","Sort=A","Dates=H","DateFormat=P","Fill=—","Direction=H","UseDPDF=Y")</f>
        <v>#NAME?</v>
      </c>
      <c r="BA405" s="2" t="e">
        <f ca="1">_xll.BDH($C$403,"TOTAL_DEBT_5_YEAR_GROWTH","FQ2 2014","FQ2 2014","Currency=INR","Period=FQ","BEST_FPERIOD_OVERRIDE=FQ","FILING_STATUS=OR","EQY_CONSOLIDATED=Y","Sort=A","Dates=H","DateFormat=P","Fill=—","Direction=H","UseDPDF=Y")</f>
        <v>#NAME?</v>
      </c>
      <c r="BB405" s="2" t="e">
        <f ca="1">_xll.BDH($C$403,"GEO_GROW_TOT_SHRHLDR_EQY","FQ2 2014","FQ2 2014","Currency=INR","Period=FQ","BEST_FPERIOD_OVERRIDE=FQ","FILING_STATUS=OR","EQY_CONSOLIDATED=Y","Sort=A","Dates=H","DateFormat=P","Fill=—","Direction=H","UseDPDF=Y")</f>
        <v>#NAME?</v>
      </c>
      <c r="BC405" s="2" t="e">
        <f ca="1">_xll.BDH($C$403,"TOTAL_CAPITAL_5_YEAR_GROWTH","FQ2 2014","FQ2 2014","Currency=INR","Period=FQ","BEST_FPERIOD_OVERRIDE=FQ","FILING_STATUS=OR","EQY_CONSOLIDATED=Y","Sort=A","Dates=H","DateFormat=P","Fill=—","Direction=H","UseDPDF=Y")</f>
        <v>#NAME?</v>
      </c>
      <c r="BD405" s="2" t="e">
        <f ca="1">_xll.BDH($C$403,"GEO_GROW_BOOK_VAL","FQ2 2014","FQ2 2014","Currency=INR","Period=FQ","BEST_FPERIOD_OVERRIDE=FQ","FILING_STATUS=OR","EQY_CONSOLIDATED=Y","Sort=A","Dates=H","DateFormat=P","Fill=—","Direction=H","UseDPDF=Y")</f>
        <v>#NAME?</v>
      </c>
      <c r="BE405" s="2" t="e">
        <f ca="1">_xll.BDH($C$403,"GEO_GROW_CASH_OPER_ACT","FQ2 2014","FQ2 2014","Currency=INR","Period=FQ","BEST_FPERIOD_OVERRIDE=FQ","FILING_STATUS=OR","EQY_CONSOLIDATED=Y","Sort=A","Dates=H","DateFormat=P","Fill=—","Direction=H","UseDPDF=Y")</f>
        <v>#NAME?</v>
      </c>
      <c r="BF405" s="2" t="e">
        <f ca="1">_xll.BDH($C$403,"REVENUE_SEQUENTIAL_GROWTH","FQ2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05" s="2" t="e">
        <f ca="1">_xll.BDH($C$403,"EBITDA_SEQUENTIAL_GROWTH","FQ2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05" s="2" t="e">
        <f ca="1">_xll.BDH($C$403,"OPERATING_INCOME_SEQ_GROWTH","FQ2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05" s="2" t="e">
        <f ca="1">_xll.BDH($C$403,"NET_INCOME_TO_COMMON_SEQ_GROWTH","FQ2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05" s="2" t="e">
        <f ca="1">_xll.BDH($C$403,"EPS_DILUTED_SEQUENTIAL_GROWTH","FQ2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05" s="2" t="e">
        <f ca="1">_xll.BDH($C$403,"DPS_SEQUENTIAL_GROWTH","FQ2 2014","FQ2 2014","Currency=INR","Period=FQ","BEST_FPERIOD_OVERRIDE=FQ","FILING_STATUS=OR","EQY_CONSOLIDATED=Y","Sort=A","Dates=H","DateFormat=P","Fill=—","Direction=H","UseDPDF=Y")</f>
        <v>#NAME?</v>
      </c>
      <c r="BL405" s="2" t="e">
        <f ca="1">_xll.BDH($C$403,"ACCOUNTS_RECEIVABLE_SEQ_GROWTH","FQ2 2014","FQ2 2014","Currency=INR","Period=FQ","BEST_FPERIOD_OVERRIDE=FQ","FILING_STATUS=OR","EQY_CONSOLIDATED=Y","Sort=A","Dates=H","DateFormat=P","Fill=—","Direction=H","UseDPDF=Y")</f>
        <v>#NAME?</v>
      </c>
      <c r="BM405" s="2" t="e">
        <f ca="1">_xll.BDH($C$403,"INVENTORY_SEQUENTIAL_GROWTH","FQ2 2014","FQ2 2014","Currency=INR","Period=FQ","BEST_FPERIOD_OVERRIDE=FQ","FILING_STATUS=OR","EQY_CONSOLIDATED=Y","Sort=A","Dates=H","DateFormat=P","Fill=—","Direction=H","UseDPDF=Y")</f>
        <v>#NAME?</v>
      </c>
      <c r="BN405" s="2" t="e">
        <f ca="1">_xll.BDH($C$403,"FIXED_ASSETS_SEQUENTIAL_GROWTH","FQ2 2014","FQ2 2014","Currency=INR","Period=FQ","BEST_FPERIOD_OVERRIDE=FQ","FILING_STATUS=OR","EQY_CONSOLIDATED=Y","Sort=A","Dates=H","DateFormat=P","Fill=—","Direction=H","UseDPDF=Y")</f>
        <v>#NAME?</v>
      </c>
      <c r="BO405" s="2" t="e">
        <f ca="1">_xll.BDH($C$403,"TOTAL_ASSETS_SEQUENTIAL_GROWTH","FQ2 2014","FQ2 2014","Currency=INR","Period=FQ","BEST_FPERIOD_OVERRIDE=FQ","FILING_STATUS=OR","EQY_CONSOLIDATED=Y","Sort=A","Dates=H","DateFormat=P","Fill=—","Direction=H","UseDPDF=Y")</f>
        <v>#NAME?</v>
      </c>
      <c r="BP405" s="2" t="e">
        <f ca="1">_xll.BDH($C$403,"MODIFIED_WORKING_CPTL_SEQ_GRWTH","FQ2 2014","FQ2 2014","Currency=INR","Period=FQ","BEST_FPERIOD_OVERRIDE=FQ","FILING_STATUS=OR","EQY_CONSOLIDATED=Y","Sort=A","Dates=H","DateFormat=P","Fill=—","Direction=H","UseDPDF=Y")</f>
        <v>#NAME?</v>
      </c>
      <c r="BQ405" s="2" t="e">
        <f ca="1">_xll.BDH($C$403,"WORKING_CAPITAL_SEQ_GROWTH","FQ2 2014","FQ2 2014","Currency=INR","Period=FQ","BEST_FPERIOD_OVERRIDE=FQ","FILING_STATUS=OR","EQY_CONSOLIDATED=Y","Sort=A","Dates=H","DateFormat=P","Fill=—","Direction=H","UseDPDF=Y")</f>
        <v>#NAME?</v>
      </c>
      <c r="BR405" s="2" t="e">
        <f ca="1">_xll.BDH($C$403,"ACCOUNTS_PAYABLE_SEQ_GROWTH","FQ2 2014","FQ2 2014","Currency=INR","Period=FQ","BEST_FPERIOD_OVERRIDE=FQ","FILING_STATUS=OR","EQY_CONSOLIDATED=Y","Sort=A","Dates=H","DateFormat=P","Fill=—","Direction=H","UseDPDF=Y")</f>
        <v>#NAME?</v>
      </c>
      <c r="BS405" s="2" t="e">
        <f ca="1">_xll.BDH($C$403,"ST_DEBT_SEQUENTIAL_GROWTH","FQ2 2014","FQ2 2014","Currency=INR","Period=FQ","BEST_FPERIOD_OVERRIDE=FQ","FILING_STATUS=OR","EQY_CONSOLIDATED=Y","Sort=A","Dates=H","DateFormat=P","Fill=—","Direction=H","UseDPDF=Y")</f>
        <v>#NAME?</v>
      </c>
      <c r="BT405" s="2" t="e">
        <f ca="1">_xll.BDH($C$403,"TOTAL_DEBT_SEQUENTIAL_GROWTH","FQ2 2014","FQ2 2014","Currency=INR","Period=FQ","BEST_FPERIOD_OVERRIDE=FQ","FILING_STATUS=OR","EQY_CONSOLIDATED=Y","Sort=A","Dates=H","DateFormat=P","Fill=—","Direction=H","UseDPDF=Y")</f>
        <v>#NAME?</v>
      </c>
      <c r="BU405" s="2" t="e">
        <f ca="1">_xll.BDH($C$403,"TOTAL_EQUITY_SEQUENTIAL_GROWTH","FQ2 2014","FQ2 2014","Currency=INR","Period=FQ","BEST_FPERIOD_OVERRIDE=FQ","FILING_STATUS=OR","EQY_CONSOLIDATED=Y","Sort=A","Dates=H","DateFormat=P","Fill=—","Direction=H","UseDPDF=Y")</f>
        <v>#NAME?</v>
      </c>
      <c r="BV405" s="2" t="e">
        <f ca="1">_xll.BDH($C$403,"TOTAL_CAPITAL_SEQUENTIAL_GROWTH","FQ2 2014","FQ2 2014","Currency=INR","Period=FQ","BEST_FPERIOD_OVERRIDE=FQ","FILING_STATUS=OR","EQY_CONSOLIDATED=Y","Sort=A","Dates=H","DateFormat=P","Fill=—","Direction=H","UseDPDF=Y")</f>
        <v>#NAME?</v>
      </c>
      <c r="BW405" s="2" t="e">
        <f ca="1">_xll.BDH($C$403,"BPS_SEQUENTIAL_GROWTH","FQ2 2014","FQ2 2014","Currency=INR","Period=FQ","BEST_FPERIOD_OVERRIDE=FQ","FILING_STATUS=OR","EQY_CONSOLIDATED=Y","Sort=A","Dates=H","DateFormat=P","Fill=—","Direction=H","UseDPDF=Y")</f>
        <v>#NAME?</v>
      </c>
      <c r="BX405" s="2" t="e">
        <f ca="1">_xll.BDH($C$403,"CFO_SEQUENTIAL_GROWTH","FQ2 2014","FQ2 2014","Currency=INR","Period=FQ","BEST_FPERIOD_OVERRIDE=FQ","FILING_STATUS=OR","EQY_CONSOLIDATED=Y","Sort=A","Dates=H","DateFormat=P","Fill=—","Direction=H","UseDPDF=Y")</f>
        <v>#NAME?</v>
      </c>
      <c r="BY405" s="3" t="e">
        <f ca="1">_xll.BDH($C$403,"SHORT_AND_LONG_TERM_DEBT","FQ2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05" s="3" t="e">
        <f ca="1">_xll.BDH($C$403,"BS_ST_BORROW","FQ2 2014","FQ2 2014","Currency=INR","Period=FQ","BEST_FPERIOD_OVERRIDE=FQ","FILING_STATUS=OR","EQY_CONSOLIDATED=Y","SCALING_FORMAT=MLN","Sort=A","Dates=H","DateFormat=P","Fill=—","Direction=H","UseDPDF=Y")</f>
        <v>#NAME?</v>
      </c>
      <c r="CA405" s="3" t="e">
        <f ca="1">_xll.BDH($C$403,"BS_LT_BORROW","FQ2 2014","FQ2 2014","Currency=INR","Period=FQ","BEST_FPERIOD_OVERRIDE=FQ","FILING_STATUS=OR","EQY_CONSOLIDATED=Y","SCALING_FORMAT=MLN","Sort=A","Dates=H","DateFormat=P","Fill=—","Direction=H","UseDPDF=Y")</f>
        <v>#NAME?</v>
      </c>
      <c r="CB405" s="2" t="e">
        <f ca="1">_xll.BDH($C$403,"TOT_DEBT_TO_EBITDA","FQ2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05" s="2" t="e">
        <f ca="1">_xll.BDH($C$403,"NET_DEBT_TO_EBITDA","FQ2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05" s="2" t="e">
        <f ca="1">_xll.BDH($C$403,"TOTAL_DEBT_TO_EBIT","FQ2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05" s="2" t="e">
        <f ca="1">_xll.BDH($C$403,"NET_DEBT_TO_EBIT","FQ2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05" s="2" t="e">
        <f ca="1">_xll.BDH($C$403,"EBITDA_TO_INTEREST_EXPN","FQ2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05" s="2" t="e">
        <f ca="1">_xll.BDH($C$403,"COM_EQY_TO_TOT_ASSET","FQ2 2014","FQ2 2014","Currency=INR","Period=FQ","BEST_FPERIOD_OVERRIDE=FQ","FILING_STATUS=OR","EQY_CONSOLIDATED=Y","Sort=A","Dates=H","DateFormat=P","Fill=—","Direction=H","UseDPDF=Y")</f>
        <v>#NAME?</v>
      </c>
      <c r="CH405" s="2" t="e">
        <f ca="1">_xll.BDH($C$403,"LT_DEBT_TO_TOT_EQY","FQ2 2014","FQ2 2014","Currency=INR","Period=FQ","BEST_FPERIOD_OVERRIDE=FQ","FILING_STATUS=OR","EQY_CONSOLIDATED=Y","Sort=A","Dates=H","DateFormat=P","Fill=—","Direction=H","UseDPDF=Y")</f>
        <v>#NAME?</v>
      </c>
      <c r="CI405" s="2" t="e">
        <f ca="1">_xll.BDH($C$403,"LT_DEBT_TO_TOT_CAP","FQ2 2014","FQ2 2014","Currency=INR","Period=FQ","BEST_FPERIOD_OVERRIDE=FQ","FILING_STATUS=OR","EQY_CONSOLIDATED=Y","Sort=A","Dates=H","DateFormat=P","Fill=—","Direction=H","UseDPDF=Y")</f>
        <v>#NAME?</v>
      </c>
      <c r="CJ405" s="2" t="e">
        <f ca="1">_xll.BDH($C$403,"LT_DEBT_TO_TOT_ASSET","FQ2 2014","FQ2 2014","Currency=INR","Period=FQ","BEST_FPERIOD_OVERRIDE=FQ","FILING_STATUS=OR","EQY_CONSOLIDATED=Y","Sort=A","Dates=H","DateFormat=P","Fill=—","Direction=H","UseDPDF=Y")</f>
        <v>#NAME?</v>
      </c>
      <c r="CK405" s="2" t="e">
        <f ca="1">_xll.BDH($C$403,"TOT_DEBT_TO_TOT_EQY","FQ2 2014","FQ2 2014","Currency=INR","Period=FQ","BEST_FPERIOD_OVERRIDE=FQ","FILING_STATUS=OR","EQY_CONSOLIDATED=Y","Sort=A","Dates=H","DateFormat=P","Fill=—","Direction=H","UseDPDF=Y")</f>
        <v>#NAME?</v>
      </c>
      <c r="CL405" s="2" t="e">
        <f ca="1">_xll.BDH($C$403,"TOT_DEBT_TO_TOT_CAP","FQ2 2014","FQ2 2014","Currency=INR","Period=FQ","BEST_FPERIOD_OVERRIDE=FQ","FILING_STATUS=OR","EQY_CONSOLIDATED=Y","Sort=A","Dates=H","DateFormat=P","Fill=—","Direction=H","UseDPDF=Y")</f>
        <v>#NAME?</v>
      </c>
      <c r="CM405" s="2" t="e">
        <f ca="1">_xll.BDH($C$403,"TOT_DEBT_TO_TOT_ASSET","FQ2 2014","FQ2 2014","Currency=INR","Period=FQ","BEST_FPERIOD_OVERRIDE=FQ","FILING_STATUS=OR","EQY_CONSOLIDATED=Y","Sort=A","Dates=H","DateFormat=P","Fill=—","Direction=H","UseDPDF=Y")</f>
        <v>#NAME?</v>
      </c>
      <c r="CN405" s="2" t="e">
        <f ca="1">_xll.BDH($C$403,"NET_DEBT_TO_SHRHLDR_EQTY","FQ2 2014","FQ2 2014","Currency=INR","Period=FQ","BEST_FPERIOD_OVERRIDE=FQ","FILING_STATUS=OR","EQY_CONSOLIDATED=Y","Sort=A","Dates=H","DateFormat=P","Fill=—","Direction=H","UseDPDF=Y")</f>
        <v>#NAME?</v>
      </c>
      <c r="CO405" s="2" t="e">
        <f ca="1">_xll.BDH($C$403,"NET_DEBT_%_CAPITAL","FQ2 2014","FQ2 2014","Currency=INR","Period=FQ","BEST_FPERIOD_OVERRIDE=FQ","FILING_STATUS=OR","EQY_CONSOLIDATED=Y","Sort=A","Dates=H","DateFormat=P","Fill=—","Direction=H","UseDPDF=Y")</f>
        <v>#NAME?</v>
      </c>
      <c r="CP405" s="3" t="e">
        <f ca="1">_xll.BDH($C$403,"EBITDA","FQ2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05" s="3" t="e">
        <f ca="1">_xll.BDH($C$403,"EBITDA_AFTER_CAPEX","FQ2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05" s="3" t="e">
        <f ca="1">_xll.BDH($C$403,"IS_OPER_INC","FQ2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05" s="2" t="e">
        <f ca="1">_xll.BDH($C$403,"CASH_RATIO","FQ2 2014","FQ2 2014","Currency=INR","Period=FQ","BEST_FPERIOD_OVERRIDE=FQ","FILING_STATUS=OR","EQY_CONSOLIDATED=Y","Sort=A","Dates=H","DateFormat=P","Fill=—","Direction=H","UseDPDF=Y")</f>
        <v>#NAME?</v>
      </c>
      <c r="CT405" s="2" t="e">
        <f ca="1">_xll.BDH($C$403,"CUR_RATIO","FQ2 2014","FQ2 2014","Currency=INR","Period=FQ","BEST_FPERIOD_OVERRIDE=FQ","FILING_STATUS=OR","EQY_CONSOLIDATED=Y","Sort=A","Dates=H","DateFormat=P","Fill=—","Direction=H","UseDPDF=Y")</f>
        <v>#NAME?</v>
      </c>
      <c r="CU405" s="2" t="e">
        <f ca="1">_xll.BDH($C$403,"QUICK_RATIO","FQ2 2014","FQ2 2014","Currency=INR","Period=FQ","BEST_FPERIOD_OVERRIDE=FQ","FILING_STATUS=OR","EQY_CONSOLIDATED=Y","Sort=A","Dates=H","DateFormat=P","Fill=—","Direction=H","UseDPDF=Y")</f>
        <v>#NAME?</v>
      </c>
      <c r="CV405" s="2" t="e">
        <f ca="1">_xll.BDH($C$403,"ALTMAN_Z_SCORE","FQ2 2014","FQ2 2014","Currency=INR","Period=FQ","BEST_FPERIOD_OVERRIDE=FQ","FILING_STATUS=OR","EQY_CONSOLIDATED=Y","Sort=A","Dates=H","DateFormat=P","Fill=—","Direction=H","UseDPDF=Y")</f>
        <v>#NAME?</v>
      </c>
      <c r="CW405" s="4" t="e">
        <f ca="1">_xll.BDH($C$403,"ACCT_RCV_TURN","FQ2 2014","FQ2 2014","Currency=INR","Period=FQ","BEST_FPERIOD_OVERRIDE=FQ","FILING_STATUS=OR","EQY_CONSOLIDATED=Y","FA_ADJUSTED=GAAP","Sort=A","Dates=H","DateFormat=P","Fill=—","Direction=H","UseDPDF=Y")</f>
        <v>#NAME?</v>
      </c>
      <c r="CX405" s="2" t="e">
        <f ca="1">_xll.BDH($C$403,"ACCT_RCV_DAYS","FQ2 2014","FQ2 2014","Currency=INR","Period=FQ","BEST_FPERIOD_OVERRIDE=FQ","FILING_STATUS=OR","EQY_CONSOLIDATED=Y","FA_ADJUSTED=GAAP","Sort=A","Dates=H","DateFormat=P","Fill=—","Direction=H","UseDPDF=Y")</f>
        <v>#NAME?</v>
      </c>
      <c r="CY405" s="4" t="e">
        <f ca="1">_xll.BDH($C$403,"INVENT_TURN","FQ2 2014","FQ2 2014","Currency=INR","Period=FQ","BEST_FPERIOD_OVERRIDE=FQ","FILING_STATUS=OR","EQY_CONSOLIDATED=Y","FA_ADJUSTED=GAAP","Sort=A","Dates=H","DateFormat=P","Fill=—","Direction=H","UseDPDF=Y")</f>
        <v>#NAME?</v>
      </c>
      <c r="CZ405" s="2" t="e">
        <f ca="1">_xll.BDH($C$403,"INVENT_DAYS","FQ2 2014","FQ2 2014","Currency=INR","Period=FQ","BEST_FPERIOD_OVERRIDE=FQ","FILING_STATUS=OR","EQY_CONSOLIDATED=Y","FA_ADJUSTED=GAAP","Sort=A","Dates=H","DateFormat=P","Fill=—","Direction=H","UseDPDF=Y")</f>
        <v>#NAME?</v>
      </c>
      <c r="DA405" s="4" t="e">
        <f ca="1">_xll.BDH($C$403,"ACCOUNTS_PAYABLE_TURNOVER","FQ2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05" s="2" t="e">
        <f ca="1">_xll.BDH($C$403,"ACCOUNTS_PAYABLE_TURNOVER_DAYS","FQ2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05" s="4" t="e">
        <f ca="1">_xll.BDH($C$403,"CASH_CONVERSION_CYCLE","FQ2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05" s="4" t="e">
        <f ca="1">_xll.BDH($C$403,"INV_TO_CASH_DAYS","FQ2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05" s="5" t="e">
        <f ca="1">_xll.BDH($C$403,"BS_INVENTORIES","FQ2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05" s="3" t="e">
        <f ca="1">_xll.BDH($C$403,"INVTRY_RAW_MATERIALS","FQ2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05" s="3" t="e">
        <f ca="1">_xll.BDH($C$403,"INVTRY_IN_PROGRESS","FQ2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05" s="3" t="e">
        <f ca="1">_xll.BDH($C$403,"INVTRY_FINISHED_GOODS","FQ2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05" s="3" t="e">
        <f ca="1">_xll.BDH($C$403,"BS_OTHER_INV","FQ2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06" spans="1:113" x14ac:dyDescent="0.3">
      <c r="A406" s="6"/>
      <c r="B406" s="6"/>
      <c r="C406" s="6"/>
      <c r="D406" s="6"/>
      <c r="E406" t="s">
        <v>80</v>
      </c>
      <c r="F406" t="e">
        <f ca="1">_xll.BDH($C$403,"RETURN_COM_EQY","FQ3 2014","FQ3 2014","Currency=INR","Period=FQ","BEST_FPERIOD_OVERRIDE=FQ","FILING_STATUS=OR","EQY_CONSOLIDATED=Y","FA_ADJUSTED=GAAP","Sort=A","Dates=H","DateFormat=P","Fill=—","Direction=H","UseDPDF=Y")</f>
        <v>#NAME?</v>
      </c>
      <c r="G406" t="e">
        <f ca="1">_xll.BDH($C$403,"RETURN_ON_ASSET","FQ3 2014","FQ3 2014","Currency=INR","Period=FQ","BEST_FPERIOD_OVERRIDE=FQ","FILING_STATUS=OR","EQY_CONSOLIDATED=Y","FA_ADJUSTED=GAAP","Sort=A","Dates=H","DateFormat=P","Fill=—","Direction=H","UseDPDF=Y")</f>
        <v>#NAME?</v>
      </c>
      <c r="H406" t="e">
        <f ca="1">_xll.BDH($C$403,"RETURN_ON_CAP","FQ3 2014","FQ3 2014","Currency=INR","Period=FQ","BEST_FPERIOD_OVERRIDE=FQ","FILING_STATUS=OR","EQY_CONSOLIDATED=Y","FA_ADJUSTED=GAAP","Sort=A","Dates=H","DateFormat=P","Fill=—","Direction=H","UseDPDF=Y")</f>
        <v>#NAME?</v>
      </c>
      <c r="I406" t="e">
        <f ca="1">_xll.BDH($C$403,"RETURN_ON_INV_CAPITAL","FQ3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06" t="e">
        <f ca="1">_xll.BDH($C$403,"EBITDA_TO_REVENUE","FQ3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06" t="e">
        <f ca="1">_xll.BDH($C$403,"OPER_MARGIN","FQ3 2014","FQ3 2014","Currency=INR","Period=FQ","BEST_FPERIOD_OVERRIDE=FQ","FILING_STATUS=OR","EQY_CONSOLIDATED=Y","FA_ADJUSTED=GAAP","Sort=A","Dates=H","DateFormat=P","Fill=—","Direction=H","UseDPDF=Y")</f>
        <v>#NAME?</v>
      </c>
      <c r="L406" t="e">
        <f ca="1">_xll.BDH($C$403,"INCREMENTAL_OPERATING_MARGIN","FQ3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06" t="e">
        <f ca="1">_xll.BDH($C$403,"PRETAX_INC_TO_NET_SALES","FQ3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06" t="e">
        <f ca="1">_xll.BDH($C$403,"INC_BEF_XO_ITEMS_TO_NET_SALES","FQ3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06" t="e">
        <f ca="1">_xll.BDH($C$403,"PROF_MARGIN","FQ3 2014","FQ3 2014","Currency=INR","Period=FQ","BEST_FPERIOD_OVERRIDE=FQ","FILING_STATUS=OR","EQY_CONSOLIDATED=Y","FA_ADJUSTED=GAAP","Sort=A","Dates=H","DateFormat=P","Fill=—","Direction=H","UseDPDF=Y")</f>
        <v>#NAME?</v>
      </c>
      <c r="P406" t="e">
        <f ca="1">_xll.BDH($C$403,"NET_INCOME_TO_COMMON_MARGIN","FQ3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06" t="e">
        <f ca="1">_xll.BDH($C$403,"EFF_TAX_RATE","FQ3 2014","FQ3 2014","Currency=INR","Period=FQ","BEST_FPERIOD_OVERRIDE=FQ","FILING_STATUS=OR","EQY_CONSOLIDATED=Y","FA_ADJUSTED=GAAP","Sort=A","Dates=H","DateFormat=P","Fill=—","Direction=H","UseDPDF=Y")</f>
        <v>#NAME?</v>
      </c>
      <c r="R406" t="e">
        <f ca="1">_xll.BDH($C$403,"DVD_PAYOUT_RATIO","FQ3 2014","FQ3 2014","Currency=INR","Period=FQ","BEST_FPERIOD_OVERRIDE=FQ","FILING_STATUS=OR","EQY_CONSOLIDATED=Y","FA_ADJUSTED=GAAP","Sort=A","Dates=H","DateFormat=P","Fill=—","Direction=H","UseDPDF=Y")</f>
        <v>#NAME?</v>
      </c>
      <c r="S406" t="e">
        <f ca="1">_xll.BDH($C$403,"SUSTAIN_GROWTH_RT","FQ3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06" s="2" t="e">
        <f ca="1">_xll.BDH($C$403,"SALES_GROWTH","FQ3 2014","FQ3 2014","Currency=INR","Period=FQ","BEST_FPERIOD_OVERRIDE=FQ","FILING_STATUS=OR","EQY_CONSOLIDATED=Y","FA_ADJUSTED=GAAP","Sort=A","Dates=H","DateFormat=P","Fill=—","Direction=H","UseDPDF=Y")</f>
        <v>#NAME?</v>
      </c>
      <c r="U406" s="2" t="e">
        <f ca="1">_xll.BDH($C$403,"EBITDA_GROWTH","FQ3 2014","FQ3 2014","Currency=INR","Period=FQ","BEST_FPERIOD_OVERRIDE=FQ","FILING_STATUS=OR","EQY_CONSOLIDATED=Y","FA_ADJUSTED=GAAP","Sort=A","Dates=H","DateFormat=P","Fill=—","Direction=H","UseDPDF=Y")</f>
        <v>#NAME?</v>
      </c>
      <c r="V406" s="2" t="e">
        <f ca="1">_xll.BDH($C$403,"OPER_INC_GROWTH","FQ3 2014","FQ3 2014","Currency=INR","Period=FQ","BEST_FPERIOD_OVERRIDE=FQ","FILING_STATUS=OR","EQY_CONSOLIDATED=Y","FA_ADJUSTED=GAAP","Sort=A","Dates=H","DateFormat=P","Fill=—","Direction=H","UseDPDF=Y")</f>
        <v>#NAME?</v>
      </c>
      <c r="W406" s="2" t="e">
        <f ca="1">_xll.BDH($C$403,"EARN_FOR_COM_GROWTH","FQ3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06" s="2" t="e">
        <f ca="1">_xll.BDH($C$403,"DILUTED_EPS_AFT_XO_ITEMS_GROWTH","FQ3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06" s="2" t="e">
        <f ca="1">_xll.BDH($C$403,"DIVIDEND_PER_SHARE_1_YEAR_GROWTH","FQ3 2014","FQ3 2014","Currency=INR","Period=FQ","BEST_FPERIOD_OVERRIDE=FQ","FILING_STATUS=OR","EQY_CONSOLIDATED=Y","Sort=A","Dates=H","DateFormat=P","Fill=—","Direction=H","UseDPDF=Y")</f>
        <v>#NAME?</v>
      </c>
      <c r="Z406" s="2" t="e">
        <f ca="1">_xll.BDH($C$403,"ACCOUNTS_RECEIVABLE_GROWTH","FQ3 2014","FQ3 2014","Currency=INR","Period=FQ","BEST_FPERIOD_OVERRIDE=FQ","FILING_STATUS=OR","EQY_CONSOLIDATED=Y","Sort=A","Dates=H","DateFormat=P","Fill=—","Direction=H","UseDPDF=Y")</f>
        <v>#NAME?</v>
      </c>
      <c r="AA406" s="2" t="e">
        <f ca="1">_xll.BDH($C$403,"INVENTORY_GROWTH","FQ3 2014","FQ3 2014","Currency=INR","Period=FQ","BEST_FPERIOD_OVERRIDE=FQ","FILING_STATUS=OR","EQY_CONSOLIDATED=Y","Sort=A","Dates=H","DateFormat=P","Fill=—","Direction=H","UseDPDF=Y")</f>
        <v>#NAME?</v>
      </c>
      <c r="AB406" s="2" t="e">
        <f ca="1">_xll.BDH($C$403,"NET_FIXED_ASSETS_1_YEAR_GROWTH","FQ3 2014","FQ3 2014","Currency=INR","Period=FQ","BEST_FPERIOD_OVERRIDE=FQ","FILING_STATUS=OR","EQY_CONSOLIDATED=Y","Sort=A","Dates=H","DateFormat=P","Fill=—","Direction=H","UseDPDF=Y")</f>
        <v>#NAME?</v>
      </c>
      <c r="AC406" s="2" t="e">
        <f ca="1">_xll.BDH($C$403,"ASSET_GROWTH","FQ3 2014","FQ3 2014","Currency=INR","Period=FQ","BEST_FPERIOD_OVERRIDE=FQ","FILING_STATUS=OR","EQY_CONSOLIDATED=Y","Sort=A","Dates=H","DateFormat=P","Fill=—","Direction=H","UseDPDF=Y")</f>
        <v>#NAME?</v>
      </c>
      <c r="AD406" s="2" t="e">
        <f ca="1">_xll.BDH($C$403,"MODIFIED_WORK_CAP_GROWTH","FQ3 2014","FQ3 2014","Currency=INR","Period=FQ","BEST_FPERIOD_OVERRIDE=FQ","FILING_STATUS=OR","EQY_CONSOLIDATED=Y","Sort=A","Dates=H","DateFormat=P","Fill=—","Direction=H","UseDPDF=Y")</f>
        <v>#NAME?</v>
      </c>
      <c r="AE406" s="2" t="e">
        <f ca="1">_xll.BDH($C$403,"WORK_CAP_GROWTH","FQ3 2014","FQ3 2014","Currency=INR","Period=FQ","BEST_FPERIOD_OVERRIDE=FQ","FILING_STATUS=OR","EQY_CONSOLIDATED=Y","Sort=A","Dates=H","DateFormat=P","Fill=—","Direction=H","UseDPDF=Y")</f>
        <v>#NAME?</v>
      </c>
      <c r="AF406" s="2" t="e">
        <f ca="1">_xll.BDH($C$403,"ACCOUNTS_PAYABLE_GROWTH_1YR","FQ3 2014","FQ3 2014","Currency=INR","Period=FQ","BEST_FPERIOD_OVERRIDE=FQ","FILING_STATUS=OR","EQY_CONSOLIDATED=Y","Sort=A","Dates=H","DateFormat=P","Fill=—","Direction=H","UseDPDF=Y")</f>
        <v>#NAME?</v>
      </c>
      <c r="AG406" s="2" t="e">
        <f ca="1">_xll.BDH($C$403,"SHORT_TERM_DEBT_1_YEAR_GROWTH","FQ3 2014","FQ3 2014","Currency=INR","Period=FQ","BEST_FPERIOD_OVERRIDE=FQ","FILING_STATUS=OR","EQY_CONSOLIDATED=Y","Sort=A","Dates=H","DateFormat=P","Fill=—","Direction=H","UseDPDF=Y")</f>
        <v>#NAME?</v>
      </c>
      <c r="AH406" s="2" t="e">
        <f ca="1">_xll.BDH($C$403,"TOTAL_DEBT_1_YEAR_GROWTH","FQ3 2014","FQ3 2014","Currency=INR","Period=FQ","BEST_FPERIOD_OVERRIDE=FQ","FILING_STATUS=OR","EQY_CONSOLIDATED=Y","Sort=A","Dates=H","DateFormat=P","Fill=—","Direction=H","UseDPDF=Y")</f>
        <v>#NAME?</v>
      </c>
      <c r="AI406" s="2" t="e">
        <f ca="1">_xll.BDH($C$403,"TOTAL_EQUITY_1_YEAR_GROWTH","FQ3 2014","FQ3 2014","Currency=INR","Period=FQ","BEST_FPERIOD_OVERRIDE=FQ","FILING_STATUS=OR","EQY_CONSOLIDATED=Y","Sort=A","Dates=H","DateFormat=P","Fill=—","Direction=H","UseDPDF=Y")</f>
        <v>#NAME?</v>
      </c>
      <c r="AJ406" s="2" t="e">
        <f ca="1">_xll.BDH($C$403,"GROWTH_IN_CAP","FQ3 2014","FQ3 2014","Currency=INR","Period=FQ","BEST_FPERIOD_OVERRIDE=FQ","FILING_STATUS=OR","EQY_CONSOLIDATED=Y","Sort=A","Dates=H","DateFormat=P","Fill=—","Direction=H","UseDPDF=Y")</f>
        <v>#NAME?</v>
      </c>
      <c r="AK406" s="2" t="e">
        <f ca="1">_xll.BDH($C$403,"BVPS_GROWTH","FQ3 2014","FQ3 2014","Currency=INR","Period=FQ","BEST_FPERIOD_OVERRIDE=FQ","FILING_STATUS=OR","EQY_CONSOLIDATED=Y","Sort=A","Dates=H","DateFormat=P","Fill=—","Direction=H","UseDPDF=Y")</f>
        <v>#NAME?</v>
      </c>
      <c r="AL406" s="2" t="e">
        <f ca="1">_xll.BDH($C$403,"CASH_FLOW_GROWTH","FQ3 2014","FQ3 2014","Currency=INR","Period=FQ","BEST_FPERIOD_OVERRIDE=FQ","FILING_STATUS=OR","EQY_CONSOLIDATED=Y","Sort=A","Dates=H","DateFormat=P","Fill=—","Direction=H","UseDPDF=Y")</f>
        <v>#NAME?</v>
      </c>
      <c r="AM406" s="2" t="e">
        <f ca="1">_xll.BDH($C$403,"GEO_GROW_NET_SALES","FQ3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06" s="2" t="e">
        <f ca="1">_xll.BDH($C$403,"GEO_GROW_EBITDA","FQ3 2014","FQ3 2014","Currency=INR","Period=FQ","BEST_FPERIOD_OVERRIDE=FQ","FILING_STATUS=OR","EQY_CONSOLIDATED=Y","FA_ADJUSTED=GAAP","Sort=A","Dates=H","DateFormat=P","Fill=—","Direction=H","UseDPDF=Y")</f>
        <v>#NAME?</v>
      </c>
      <c r="AO406" s="2" t="e">
        <f ca="1">_xll.BDH($C$403,"GEO_GROW_OPER_INC","FQ3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06" s="2" t="e">
        <f ca="1">_xll.BDH($C$403,"NET_INCOME_TO_COMMON_5_YR_GROWTH","FQ3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06" s="2" t="e">
        <f ca="1">_xll.BDH($C$403,"5Y_GEO_GROWTH_DILUTED_EPS","FQ3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06" s="2" t="e">
        <f ca="1">_xll.BDH($C$403,"GEO_GROW_DVD_PER_SH","FQ3 2014","FQ3 2014","Currency=INR","Period=FQ","BEST_FPERIOD_OVERRIDE=FQ","FILING_STATUS=OR","EQY_CONSOLIDATED=Y","Sort=A","Dates=H","DateFormat=P","Fill=—","Direction=H","UseDPDF=Y")</f>
        <v>#NAME?</v>
      </c>
      <c r="AS406" s="2" t="e">
        <f ca="1">_xll.BDH($C$403,"ACCOUNTS_RECEIVABLE_5_YR_GROWTH","FQ3 2014","FQ3 2014","Currency=INR","Period=FQ","BEST_FPERIOD_OVERRIDE=FQ","FILING_STATUS=OR","EQY_CONSOLIDATED=Y","Sort=A","Dates=H","DateFormat=P","Fill=—","Direction=H","UseDPDF=Y")</f>
        <v>#NAME?</v>
      </c>
      <c r="AT406" s="2" t="e">
        <f ca="1">_xll.BDH($C$403,"INVENTORY_5_YEAR_GROWTH","FQ3 2014","FQ3 2014","Currency=INR","Period=FQ","BEST_FPERIOD_OVERRIDE=FQ","FILING_STATUS=OR","EQY_CONSOLIDATED=Y","Sort=A","Dates=H","DateFormat=P","Fill=—","Direction=H","UseDPDF=Y")</f>
        <v>#NAME?</v>
      </c>
      <c r="AU406" s="2" t="e">
        <f ca="1">_xll.BDH($C$403,"NET_FIXED_ASSETS_5_YEAR_GROWTH","FQ3 2014","FQ3 2014","Currency=INR","Period=FQ","BEST_FPERIOD_OVERRIDE=FQ","FILING_STATUS=OR","EQY_CONSOLIDATED=Y","Sort=A","Dates=H","DateFormat=P","Fill=—","Direction=H","UseDPDF=Y")</f>
        <v>#NAME?</v>
      </c>
      <c r="AV406" s="2" t="e">
        <f ca="1">_xll.BDH($C$403,"GEO_GROW_TOT_ASSET","FQ3 2014","FQ3 2014","Currency=INR","Period=FQ","BEST_FPERIOD_OVERRIDE=FQ","FILING_STATUS=OR","EQY_CONSOLIDATED=Y","Sort=A","Dates=H","DateFormat=P","Fill=—","Direction=H","UseDPDF=Y")</f>
        <v>#NAME?</v>
      </c>
      <c r="AW406" s="2" t="e">
        <f ca="1">_xll.BDH($C$403,"MODIFIED_WORKING_CPTL_5YR_GRWTH","FQ3 2014","FQ3 2014","Currency=INR","Period=FQ","BEST_FPERIOD_OVERRIDE=FQ","FILING_STATUS=OR","EQY_CONSOLIDATED=Y","Sort=A","Dates=H","DateFormat=P","Fill=—","Direction=H","UseDPDF=Y")</f>
        <v>#NAME?</v>
      </c>
      <c r="AX406" s="2" t="e">
        <f ca="1">_xll.BDH($C$403,"WORKING_CAPITAL_5_YEAR_GROWTH","FQ3 2014","FQ3 2014","Currency=INR","Period=FQ","BEST_FPERIOD_OVERRIDE=FQ","FILING_STATUS=OR","EQY_CONSOLIDATED=Y","Sort=A","Dates=H","DateFormat=P","Fill=—","Direction=H","UseDPDF=Y")</f>
        <v>#NAME?</v>
      </c>
      <c r="AY406" s="2" t="e">
        <f ca="1">_xll.BDH($C$403,"ACCOUNTS_PAYABLE_5_YEAR_GROWTH","FQ3 2014","FQ3 2014","Currency=INR","Period=FQ","BEST_FPERIOD_OVERRIDE=FQ","FILING_STATUS=OR","EQY_CONSOLIDATED=Y","Sort=A","Dates=H","DateFormat=P","Fill=—","Direction=H","UseDPDF=Y")</f>
        <v>#NAME?</v>
      </c>
      <c r="AZ406" s="2" t="e">
        <f ca="1">_xll.BDH($C$403,"SHORT_TERM_DEBT_5_YEAR_GROWTH","FQ3 2014","FQ3 2014","Currency=INR","Period=FQ","BEST_FPERIOD_OVERRIDE=FQ","FILING_STATUS=OR","EQY_CONSOLIDATED=Y","Sort=A","Dates=H","DateFormat=P","Fill=—","Direction=H","UseDPDF=Y")</f>
        <v>#NAME?</v>
      </c>
      <c r="BA406" s="2" t="e">
        <f ca="1">_xll.BDH($C$403,"TOTAL_DEBT_5_YEAR_GROWTH","FQ3 2014","FQ3 2014","Currency=INR","Period=FQ","BEST_FPERIOD_OVERRIDE=FQ","FILING_STATUS=OR","EQY_CONSOLIDATED=Y","Sort=A","Dates=H","DateFormat=P","Fill=—","Direction=H","UseDPDF=Y")</f>
        <v>#NAME?</v>
      </c>
      <c r="BB406" s="2" t="e">
        <f ca="1">_xll.BDH($C$403,"GEO_GROW_TOT_SHRHLDR_EQY","FQ3 2014","FQ3 2014","Currency=INR","Period=FQ","BEST_FPERIOD_OVERRIDE=FQ","FILING_STATUS=OR","EQY_CONSOLIDATED=Y","Sort=A","Dates=H","DateFormat=P","Fill=—","Direction=H","UseDPDF=Y")</f>
        <v>#NAME?</v>
      </c>
      <c r="BC406" s="2" t="e">
        <f ca="1">_xll.BDH($C$403,"TOTAL_CAPITAL_5_YEAR_GROWTH","FQ3 2014","FQ3 2014","Currency=INR","Period=FQ","BEST_FPERIOD_OVERRIDE=FQ","FILING_STATUS=OR","EQY_CONSOLIDATED=Y","Sort=A","Dates=H","DateFormat=P","Fill=—","Direction=H","UseDPDF=Y")</f>
        <v>#NAME?</v>
      </c>
      <c r="BD406" s="2" t="e">
        <f ca="1">_xll.BDH($C$403,"GEO_GROW_BOOK_VAL","FQ3 2014","FQ3 2014","Currency=INR","Period=FQ","BEST_FPERIOD_OVERRIDE=FQ","FILING_STATUS=OR","EQY_CONSOLIDATED=Y","Sort=A","Dates=H","DateFormat=P","Fill=—","Direction=H","UseDPDF=Y")</f>
        <v>#NAME?</v>
      </c>
      <c r="BE406" s="2" t="e">
        <f ca="1">_xll.BDH($C$403,"GEO_GROW_CASH_OPER_ACT","FQ3 2014","FQ3 2014","Currency=INR","Period=FQ","BEST_FPERIOD_OVERRIDE=FQ","FILING_STATUS=OR","EQY_CONSOLIDATED=Y","Sort=A","Dates=H","DateFormat=P","Fill=—","Direction=H","UseDPDF=Y")</f>
        <v>#NAME?</v>
      </c>
      <c r="BF406" s="2" t="e">
        <f ca="1">_xll.BDH($C$403,"REVENUE_SEQUENTIAL_GROWTH","FQ3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06" s="2" t="e">
        <f ca="1">_xll.BDH($C$403,"EBITDA_SEQUENTIAL_GROWTH","FQ3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06" s="2" t="e">
        <f ca="1">_xll.BDH($C$403,"OPERATING_INCOME_SEQ_GROWTH","FQ3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06" s="2" t="e">
        <f ca="1">_xll.BDH($C$403,"NET_INCOME_TO_COMMON_SEQ_GROWTH","FQ3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06" s="2" t="e">
        <f ca="1">_xll.BDH($C$403,"EPS_DILUTED_SEQUENTIAL_GROWTH","FQ3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06" s="2" t="e">
        <f ca="1">_xll.BDH($C$403,"DPS_SEQUENTIAL_GROWTH","FQ3 2014","FQ3 2014","Currency=INR","Period=FQ","BEST_FPERIOD_OVERRIDE=FQ","FILING_STATUS=OR","EQY_CONSOLIDATED=Y","Sort=A","Dates=H","DateFormat=P","Fill=—","Direction=H","UseDPDF=Y")</f>
        <v>#NAME?</v>
      </c>
      <c r="BL406" s="2" t="e">
        <f ca="1">_xll.BDH($C$403,"ACCOUNTS_RECEIVABLE_SEQ_GROWTH","FQ3 2014","FQ3 2014","Currency=INR","Period=FQ","BEST_FPERIOD_OVERRIDE=FQ","FILING_STATUS=OR","EQY_CONSOLIDATED=Y","Sort=A","Dates=H","DateFormat=P","Fill=—","Direction=H","UseDPDF=Y")</f>
        <v>#NAME?</v>
      </c>
      <c r="BM406" s="2" t="e">
        <f ca="1">_xll.BDH($C$403,"INVENTORY_SEQUENTIAL_GROWTH","FQ3 2014","FQ3 2014","Currency=INR","Period=FQ","BEST_FPERIOD_OVERRIDE=FQ","FILING_STATUS=OR","EQY_CONSOLIDATED=Y","Sort=A","Dates=H","DateFormat=P","Fill=—","Direction=H","UseDPDF=Y")</f>
        <v>#NAME?</v>
      </c>
      <c r="BN406" s="2" t="e">
        <f ca="1">_xll.BDH($C$403,"FIXED_ASSETS_SEQUENTIAL_GROWTH","FQ3 2014","FQ3 2014","Currency=INR","Period=FQ","BEST_FPERIOD_OVERRIDE=FQ","FILING_STATUS=OR","EQY_CONSOLIDATED=Y","Sort=A","Dates=H","DateFormat=P","Fill=—","Direction=H","UseDPDF=Y")</f>
        <v>#NAME?</v>
      </c>
      <c r="BO406" s="2" t="e">
        <f ca="1">_xll.BDH($C$403,"TOTAL_ASSETS_SEQUENTIAL_GROWTH","FQ3 2014","FQ3 2014","Currency=INR","Period=FQ","BEST_FPERIOD_OVERRIDE=FQ","FILING_STATUS=OR","EQY_CONSOLIDATED=Y","Sort=A","Dates=H","DateFormat=P","Fill=—","Direction=H","UseDPDF=Y")</f>
        <v>#NAME?</v>
      </c>
      <c r="BP406" s="2" t="e">
        <f ca="1">_xll.BDH($C$403,"MODIFIED_WORKING_CPTL_SEQ_GRWTH","FQ3 2014","FQ3 2014","Currency=INR","Period=FQ","BEST_FPERIOD_OVERRIDE=FQ","FILING_STATUS=OR","EQY_CONSOLIDATED=Y","Sort=A","Dates=H","DateFormat=P","Fill=—","Direction=H","UseDPDF=Y")</f>
        <v>#NAME?</v>
      </c>
      <c r="BQ406" s="2" t="e">
        <f ca="1">_xll.BDH($C$403,"WORKING_CAPITAL_SEQ_GROWTH","FQ3 2014","FQ3 2014","Currency=INR","Period=FQ","BEST_FPERIOD_OVERRIDE=FQ","FILING_STATUS=OR","EQY_CONSOLIDATED=Y","Sort=A","Dates=H","DateFormat=P","Fill=—","Direction=H","UseDPDF=Y")</f>
        <v>#NAME?</v>
      </c>
      <c r="BR406" s="2" t="e">
        <f ca="1">_xll.BDH($C$403,"ACCOUNTS_PAYABLE_SEQ_GROWTH","FQ3 2014","FQ3 2014","Currency=INR","Period=FQ","BEST_FPERIOD_OVERRIDE=FQ","FILING_STATUS=OR","EQY_CONSOLIDATED=Y","Sort=A","Dates=H","DateFormat=P","Fill=—","Direction=H","UseDPDF=Y")</f>
        <v>#NAME?</v>
      </c>
      <c r="BS406" s="2" t="e">
        <f ca="1">_xll.BDH($C$403,"ST_DEBT_SEQUENTIAL_GROWTH","FQ3 2014","FQ3 2014","Currency=INR","Period=FQ","BEST_FPERIOD_OVERRIDE=FQ","FILING_STATUS=OR","EQY_CONSOLIDATED=Y","Sort=A","Dates=H","DateFormat=P","Fill=—","Direction=H","UseDPDF=Y")</f>
        <v>#NAME?</v>
      </c>
      <c r="BT406" s="2" t="e">
        <f ca="1">_xll.BDH($C$403,"TOTAL_DEBT_SEQUENTIAL_GROWTH","FQ3 2014","FQ3 2014","Currency=INR","Period=FQ","BEST_FPERIOD_OVERRIDE=FQ","FILING_STATUS=OR","EQY_CONSOLIDATED=Y","Sort=A","Dates=H","DateFormat=P","Fill=—","Direction=H","UseDPDF=Y")</f>
        <v>#NAME?</v>
      </c>
      <c r="BU406" s="2" t="e">
        <f ca="1">_xll.BDH($C$403,"TOTAL_EQUITY_SEQUENTIAL_GROWTH","FQ3 2014","FQ3 2014","Currency=INR","Period=FQ","BEST_FPERIOD_OVERRIDE=FQ","FILING_STATUS=OR","EQY_CONSOLIDATED=Y","Sort=A","Dates=H","DateFormat=P","Fill=—","Direction=H","UseDPDF=Y")</f>
        <v>#NAME?</v>
      </c>
      <c r="BV406" s="2" t="e">
        <f ca="1">_xll.BDH($C$403,"TOTAL_CAPITAL_SEQUENTIAL_GROWTH","FQ3 2014","FQ3 2014","Currency=INR","Period=FQ","BEST_FPERIOD_OVERRIDE=FQ","FILING_STATUS=OR","EQY_CONSOLIDATED=Y","Sort=A","Dates=H","DateFormat=P","Fill=—","Direction=H","UseDPDF=Y")</f>
        <v>#NAME?</v>
      </c>
      <c r="BW406" s="2" t="e">
        <f ca="1">_xll.BDH($C$403,"BPS_SEQUENTIAL_GROWTH","FQ3 2014","FQ3 2014","Currency=INR","Period=FQ","BEST_FPERIOD_OVERRIDE=FQ","FILING_STATUS=OR","EQY_CONSOLIDATED=Y","Sort=A","Dates=H","DateFormat=P","Fill=—","Direction=H","UseDPDF=Y")</f>
        <v>#NAME?</v>
      </c>
      <c r="BX406" s="2" t="e">
        <f ca="1">_xll.BDH($C$403,"CFO_SEQUENTIAL_GROWTH","FQ3 2014","FQ3 2014","Currency=INR","Period=FQ","BEST_FPERIOD_OVERRIDE=FQ","FILING_STATUS=OR","EQY_CONSOLIDATED=Y","Sort=A","Dates=H","DateFormat=P","Fill=—","Direction=H","UseDPDF=Y")</f>
        <v>#NAME?</v>
      </c>
      <c r="BY406" s="3" t="e">
        <f ca="1">_xll.BDH($C$403,"SHORT_AND_LONG_TERM_DEBT","FQ3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06" s="3" t="e">
        <f ca="1">_xll.BDH($C$403,"BS_ST_BORROW","FQ3 2014","FQ3 2014","Currency=INR","Period=FQ","BEST_FPERIOD_OVERRIDE=FQ","FILING_STATUS=OR","EQY_CONSOLIDATED=Y","SCALING_FORMAT=MLN","Sort=A","Dates=H","DateFormat=P","Fill=—","Direction=H","UseDPDF=Y")</f>
        <v>#NAME?</v>
      </c>
      <c r="CA406" s="3" t="e">
        <f ca="1">_xll.BDH($C$403,"BS_LT_BORROW","FQ3 2014","FQ3 2014","Currency=INR","Period=FQ","BEST_FPERIOD_OVERRIDE=FQ","FILING_STATUS=OR","EQY_CONSOLIDATED=Y","SCALING_FORMAT=MLN","Sort=A","Dates=H","DateFormat=P","Fill=—","Direction=H","UseDPDF=Y")</f>
        <v>#NAME?</v>
      </c>
      <c r="CB406" s="2" t="e">
        <f ca="1">_xll.BDH($C$403,"TOT_DEBT_TO_EBITDA","FQ3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06" s="2" t="e">
        <f ca="1">_xll.BDH($C$403,"NET_DEBT_TO_EBITDA","FQ3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06" s="2" t="e">
        <f ca="1">_xll.BDH($C$403,"TOTAL_DEBT_TO_EBIT","FQ3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06" s="2" t="e">
        <f ca="1">_xll.BDH($C$403,"NET_DEBT_TO_EBIT","FQ3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06" s="2" t="e">
        <f ca="1">_xll.BDH($C$403,"EBITDA_TO_INTEREST_EXPN","FQ3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06" s="2" t="e">
        <f ca="1">_xll.BDH($C$403,"COM_EQY_TO_TOT_ASSET","FQ3 2014","FQ3 2014","Currency=INR","Period=FQ","BEST_FPERIOD_OVERRIDE=FQ","FILING_STATUS=OR","EQY_CONSOLIDATED=Y","Sort=A","Dates=H","DateFormat=P","Fill=—","Direction=H","UseDPDF=Y")</f>
        <v>#NAME?</v>
      </c>
      <c r="CH406" s="2" t="e">
        <f ca="1">_xll.BDH($C$403,"LT_DEBT_TO_TOT_EQY","FQ3 2014","FQ3 2014","Currency=INR","Period=FQ","BEST_FPERIOD_OVERRIDE=FQ","FILING_STATUS=OR","EQY_CONSOLIDATED=Y","Sort=A","Dates=H","DateFormat=P","Fill=—","Direction=H","UseDPDF=Y")</f>
        <v>#NAME?</v>
      </c>
      <c r="CI406" s="2" t="e">
        <f ca="1">_xll.BDH($C$403,"LT_DEBT_TO_TOT_CAP","FQ3 2014","FQ3 2014","Currency=INR","Period=FQ","BEST_FPERIOD_OVERRIDE=FQ","FILING_STATUS=OR","EQY_CONSOLIDATED=Y","Sort=A","Dates=H","DateFormat=P","Fill=—","Direction=H","UseDPDF=Y")</f>
        <v>#NAME?</v>
      </c>
      <c r="CJ406" s="2" t="e">
        <f ca="1">_xll.BDH($C$403,"LT_DEBT_TO_TOT_ASSET","FQ3 2014","FQ3 2014","Currency=INR","Period=FQ","BEST_FPERIOD_OVERRIDE=FQ","FILING_STATUS=OR","EQY_CONSOLIDATED=Y","Sort=A","Dates=H","DateFormat=P","Fill=—","Direction=H","UseDPDF=Y")</f>
        <v>#NAME?</v>
      </c>
      <c r="CK406" s="2" t="e">
        <f ca="1">_xll.BDH($C$403,"TOT_DEBT_TO_TOT_EQY","FQ3 2014","FQ3 2014","Currency=INR","Period=FQ","BEST_FPERIOD_OVERRIDE=FQ","FILING_STATUS=OR","EQY_CONSOLIDATED=Y","Sort=A","Dates=H","DateFormat=P","Fill=—","Direction=H","UseDPDF=Y")</f>
        <v>#NAME?</v>
      </c>
      <c r="CL406" s="2" t="e">
        <f ca="1">_xll.BDH($C$403,"TOT_DEBT_TO_TOT_CAP","FQ3 2014","FQ3 2014","Currency=INR","Period=FQ","BEST_FPERIOD_OVERRIDE=FQ","FILING_STATUS=OR","EQY_CONSOLIDATED=Y","Sort=A","Dates=H","DateFormat=P","Fill=—","Direction=H","UseDPDF=Y")</f>
        <v>#NAME?</v>
      </c>
      <c r="CM406" s="2" t="e">
        <f ca="1">_xll.BDH($C$403,"TOT_DEBT_TO_TOT_ASSET","FQ3 2014","FQ3 2014","Currency=INR","Period=FQ","BEST_FPERIOD_OVERRIDE=FQ","FILING_STATUS=OR","EQY_CONSOLIDATED=Y","Sort=A","Dates=H","DateFormat=P","Fill=—","Direction=H","UseDPDF=Y")</f>
        <v>#NAME?</v>
      </c>
      <c r="CN406" s="2" t="e">
        <f ca="1">_xll.BDH($C$403,"NET_DEBT_TO_SHRHLDR_EQTY","FQ3 2014","FQ3 2014","Currency=INR","Period=FQ","BEST_FPERIOD_OVERRIDE=FQ","FILING_STATUS=OR","EQY_CONSOLIDATED=Y","Sort=A","Dates=H","DateFormat=P","Fill=—","Direction=H","UseDPDF=Y")</f>
        <v>#NAME?</v>
      </c>
      <c r="CO406" s="2" t="e">
        <f ca="1">_xll.BDH($C$403,"NET_DEBT_%_CAPITAL","FQ3 2014","FQ3 2014","Currency=INR","Period=FQ","BEST_FPERIOD_OVERRIDE=FQ","FILING_STATUS=OR","EQY_CONSOLIDATED=Y","Sort=A","Dates=H","DateFormat=P","Fill=—","Direction=H","UseDPDF=Y")</f>
        <v>#NAME?</v>
      </c>
      <c r="CP406" s="3" t="e">
        <f ca="1">_xll.BDH($C$403,"EBITDA","FQ3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06" s="3" t="e">
        <f ca="1">_xll.BDH($C$403,"EBITDA_AFTER_CAPEX","FQ3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06" s="3" t="e">
        <f ca="1">_xll.BDH($C$403,"IS_OPER_INC","FQ3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06" s="2" t="e">
        <f ca="1">_xll.BDH($C$403,"CASH_RATIO","FQ3 2014","FQ3 2014","Currency=INR","Period=FQ","BEST_FPERIOD_OVERRIDE=FQ","FILING_STATUS=OR","EQY_CONSOLIDATED=Y","Sort=A","Dates=H","DateFormat=P","Fill=—","Direction=H","UseDPDF=Y")</f>
        <v>#NAME?</v>
      </c>
      <c r="CT406" s="2" t="e">
        <f ca="1">_xll.BDH($C$403,"CUR_RATIO","FQ3 2014","FQ3 2014","Currency=INR","Period=FQ","BEST_FPERIOD_OVERRIDE=FQ","FILING_STATUS=OR","EQY_CONSOLIDATED=Y","Sort=A","Dates=H","DateFormat=P","Fill=—","Direction=H","UseDPDF=Y")</f>
        <v>#NAME?</v>
      </c>
      <c r="CU406" s="2" t="e">
        <f ca="1">_xll.BDH($C$403,"QUICK_RATIO","FQ3 2014","FQ3 2014","Currency=INR","Period=FQ","BEST_FPERIOD_OVERRIDE=FQ","FILING_STATUS=OR","EQY_CONSOLIDATED=Y","Sort=A","Dates=H","DateFormat=P","Fill=—","Direction=H","UseDPDF=Y")</f>
        <v>#NAME?</v>
      </c>
      <c r="CV406" s="2" t="e">
        <f ca="1">_xll.BDH($C$403,"ALTMAN_Z_SCORE","FQ3 2014","FQ3 2014","Currency=INR","Period=FQ","BEST_FPERIOD_OVERRIDE=FQ","FILING_STATUS=OR","EQY_CONSOLIDATED=Y","Sort=A","Dates=H","DateFormat=P","Fill=—","Direction=H","UseDPDF=Y")</f>
        <v>#NAME?</v>
      </c>
      <c r="CW406" s="4" t="e">
        <f ca="1">_xll.BDH($C$403,"ACCT_RCV_TURN","FQ3 2014","FQ3 2014","Currency=INR","Period=FQ","BEST_FPERIOD_OVERRIDE=FQ","FILING_STATUS=OR","EQY_CONSOLIDATED=Y","FA_ADJUSTED=GAAP","Sort=A","Dates=H","DateFormat=P","Fill=—","Direction=H","UseDPDF=Y")</f>
        <v>#NAME?</v>
      </c>
      <c r="CX406" s="2" t="e">
        <f ca="1">_xll.BDH($C$403,"ACCT_RCV_DAYS","FQ3 2014","FQ3 2014","Currency=INR","Period=FQ","BEST_FPERIOD_OVERRIDE=FQ","FILING_STATUS=OR","EQY_CONSOLIDATED=Y","FA_ADJUSTED=GAAP","Sort=A","Dates=H","DateFormat=P","Fill=—","Direction=H","UseDPDF=Y")</f>
        <v>#NAME?</v>
      </c>
      <c r="CY406" s="4" t="e">
        <f ca="1">_xll.BDH($C$403,"INVENT_TURN","FQ3 2014","FQ3 2014","Currency=INR","Period=FQ","BEST_FPERIOD_OVERRIDE=FQ","FILING_STATUS=OR","EQY_CONSOLIDATED=Y","FA_ADJUSTED=GAAP","Sort=A","Dates=H","DateFormat=P","Fill=—","Direction=H","UseDPDF=Y")</f>
        <v>#NAME?</v>
      </c>
      <c r="CZ406" s="2" t="e">
        <f ca="1">_xll.BDH($C$403,"INVENT_DAYS","FQ3 2014","FQ3 2014","Currency=INR","Period=FQ","BEST_FPERIOD_OVERRIDE=FQ","FILING_STATUS=OR","EQY_CONSOLIDATED=Y","FA_ADJUSTED=GAAP","Sort=A","Dates=H","DateFormat=P","Fill=—","Direction=H","UseDPDF=Y")</f>
        <v>#NAME?</v>
      </c>
      <c r="DA406" s="4" t="e">
        <f ca="1">_xll.BDH($C$403,"ACCOUNTS_PAYABLE_TURNOVER","FQ3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06" s="2" t="e">
        <f ca="1">_xll.BDH($C$403,"ACCOUNTS_PAYABLE_TURNOVER_DAYS","FQ3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06" s="4" t="e">
        <f ca="1">_xll.BDH($C$403,"CASH_CONVERSION_CYCLE","FQ3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06" s="4" t="e">
        <f ca="1">_xll.BDH($C$403,"INV_TO_CASH_DAYS","FQ3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06" s="5" t="e">
        <f ca="1">_xll.BDH($C$403,"BS_INVENTORIES","FQ3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06" s="3" t="e">
        <f ca="1">_xll.BDH($C$403,"INVTRY_RAW_MATERIALS","FQ3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06" s="3" t="e">
        <f ca="1">_xll.BDH($C$403,"INVTRY_IN_PROGRESS","FQ3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06" s="3" t="e">
        <f ca="1">_xll.BDH($C$403,"INVTRY_FINISHED_GOODS","FQ3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06" s="3" t="e">
        <f ca="1">_xll.BDH($C$403,"BS_OTHER_INV","FQ3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07" spans="1:113" x14ac:dyDescent="0.3">
      <c r="A407" s="6"/>
      <c r="B407" s="6"/>
      <c r="C407" s="6"/>
      <c r="D407" s="6"/>
      <c r="E407" t="s">
        <v>81</v>
      </c>
      <c r="F407" t="e">
        <f ca="1">_xll.BDH($C$403,"RETURN_COM_EQY","FQ4 2014","FQ4 2014","Currency=INR","Period=FQ","BEST_FPERIOD_OVERRIDE=FQ","FILING_STATUS=OR","EQY_CONSOLIDATED=Y","FA_ADJUSTED=GAAP","Sort=A","Dates=H","DateFormat=P","Fill=—","Direction=H","UseDPDF=Y")</f>
        <v>#NAME?</v>
      </c>
      <c r="G407" t="e">
        <f ca="1">_xll.BDH($C$403,"RETURN_ON_ASSET","FQ4 2014","FQ4 2014","Currency=INR","Period=FQ","BEST_FPERIOD_OVERRIDE=FQ","FILING_STATUS=OR","EQY_CONSOLIDATED=Y","FA_ADJUSTED=GAAP","Sort=A","Dates=H","DateFormat=P","Fill=—","Direction=H","UseDPDF=Y")</f>
        <v>#NAME?</v>
      </c>
      <c r="H407" t="e">
        <f ca="1">_xll.BDH($C$403,"RETURN_ON_CAP","FQ4 2014","FQ4 2014","Currency=INR","Period=FQ","BEST_FPERIOD_OVERRIDE=FQ","FILING_STATUS=OR","EQY_CONSOLIDATED=Y","FA_ADJUSTED=GAAP","Sort=A","Dates=H","DateFormat=P","Fill=—","Direction=H","UseDPDF=Y")</f>
        <v>#NAME?</v>
      </c>
      <c r="I407" t="e">
        <f ca="1">_xll.BDH($C$403,"RETURN_ON_INV_CAPITAL","FQ4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07" t="e">
        <f ca="1">_xll.BDH($C$403,"EBITDA_TO_REVENUE","FQ4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07" t="e">
        <f ca="1">_xll.BDH($C$403,"OPER_MARGIN","FQ4 2014","FQ4 2014","Currency=INR","Period=FQ","BEST_FPERIOD_OVERRIDE=FQ","FILING_STATUS=OR","EQY_CONSOLIDATED=Y","FA_ADJUSTED=GAAP","Sort=A","Dates=H","DateFormat=P","Fill=—","Direction=H","UseDPDF=Y")</f>
        <v>#NAME?</v>
      </c>
      <c r="L407" t="e">
        <f ca="1">_xll.BDH($C$403,"INCREMENTAL_OPERATING_MARGIN","FQ4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07" t="e">
        <f ca="1">_xll.BDH($C$403,"PRETAX_INC_TO_NET_SALES","FQ4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07" t="e">
        <f ca="1">_xll.BDH($C$403,"INC_BEF_XO_ITEMS_TO_NET_SALES","FQ4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07" t="e">
        <f ca="1">_xll.BDH($C$403,"PROF_MARGIN","FQ4 2014","FQ4 2014","Currency=INR","Period=FQ","BEST_FPERIOD_OVERRIDE=FQ","FILING_STATUS=OR","EQY_CONSOLIDATED=Y","FA_ADJUSTED=GAAP","Sort=A","Dates=H","DateFormat=P","Fill=—","Direction=H","UseDPDF=Y")</f>
        <v>#NAME?</v>
      </c>
      <c r="P407" t="e">
        <f ca="1">_xll.BDH($C$403,"NET_INCOME_TO_COMMON_MARGIN","FQ4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07" t="e">
        <f ca="1">_xll.BDH($C$403,"EFF_TAX_RATE","FQ4 2014","FQ4 2014","Currency=INR","Period=FQ","BEST_FPERIOD_OVERRIDE=FQ","FILING_STATUS=OR","EQY_CONSOLIDATED=Y","FA_ADJUSTED=GAAP","Sort=A","Dates=H","DateFormat=P","Fill=—","Direction=H","UseDPDF=Y")</f>
        <v>#NAME?</v>
      </c>
      <c r="R407" t="e">
        <f ca="1">_xll.BDH($C$403,"DVD_PAYOUT_RATIO","FQ4 2014","FQ4 2014","Currency=INR","Period=FQ","BEST_FPERIOD_OVERRIDE=FQ","FILING_STATUS=OR","EQY_CONSOLIDATED=Y","FA_ADJUSTED=GAAP","Sort=A","Dates=H","DateFormat=P","Fill=—","Direction=H","UseDPDF=Y")</f>
        <v>#NAME?</v>
      </c>
      <c r="S407" t="e">
        <f ca="1">_xll.BDH($C$403,"SUSTAIN_GROWTH_RT","FQ4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07" s="2" t="e">
        <f ca="1">_xll.BDH($C$403,"SALES_GROWTH","FQ4 2014","FQ4 2014","Currency=INR","Period=FQ","BEST_FPERIOD_OVERRIDE=FQ","FILING_STATUS=OR","EQY_CONSOLIDATED=Y","FA_ADJUSTED=GAAP","Sort=A","Dates=H","DateFormat=P","Fill=—","Direction=H","UseDPDF=Y")</f>
        <v>#NAME?</v>
      </c>
      <c r="U407" s="2" t="e">
        <f ca="1">_xll.BDH($C$403,"EBITDA_GROWTH","FQ4 2014","FQ4 2014","Currency=INR","Period=FQ","BEST_FPERIOD_OVERRIDE=FQ","FILING_STATUS=OR","EQY_CONSOLIDATED=Y","FA_ADJUSTED=GAAP","Sort=A","Dates=H","DateFormat=P","Fill=—","Direction=H","UseDPDF=Y")</f>
        <v>#NAME?</v>
      </c>
      <c r="V407" s="2" t="e">
        <f ca="1">_xll.BDH($C$403,"OPER_INC_GROWTH","FQ4 2014","FQ4 2014","Currency=INR","Period=FQ","BEST_FPERIOD_OVERRIDE=FQ","FILING_STATUS=OR","EQY_CONSOLIDATED=Y","FA_ADJUSTED=GAAP","Sort=A","Dates=H","DateFormat=P","Fill=—","Direction=H","UseDPDF=Y")</f>
        <v>#NAME?</v>
      </c>
      <c r="W407" s="2" t="e">
        <f ca="1">_xll.BDH($C$403,"EARN_FOR_COM_GROWTH","FQ4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07" s="2" t="e">
        <f ca="1">_xll.BDH($C$403,"DILUTED_EPS_AFT_XO_ITEMS_GROWTH","FQ4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07" s="2" t="e">
        <f ca="1">_xll.BDH($C$403,"DIVIDEND_PER_SHARE_1_YEAR_GROWTH","FQ4 2014","FQ4 2014","Currency=INR","Period=FQ","BEST_FPERIOD_OVERRIDE=FQ","FILING_STATUS=OR","EQY_CONSOLIDATED=Y","Sort=A","Dates=H","DateFormat=P","Fill=—","Direction=H","UseDPDF=Y")</f>
        <v>#NAME?</v>
      </c>
      <c r="Z407" s="2" t="e">
        <f ca="1">_xll.BDH($C$403,"ACCOUNTS_RECEIVABLE_GROWTH","FQ4 2014","FQ4 2014","Currency=INR","Period=FQ","BEST_FPERIOD_OVERRIDE=FQ","FILING_STATUS=OR","EQY_CONSOLIDATED=Y","Sort=A","Dates=H","DateFormat=P","Fill=—","Direction=H","UseDPDF=Y")</f>
        <v>#NAME?</v>
      </c>
      <c r="AA407" s="2" t="e">
        <f ca="1">_xll.BDH($C$403,"INVENTORY_GROWTH","FQ4 2014","FQ4 2014","Currency=INR","Period=FQ","BEST_FPERIOD_OVERRIDE=FQ","FILING_STATUS=OR","EQY_CONSOLIDATED=Y","Sort=A","Dates=H","DateFormat=P","Fill=—","Direction=H","UseDPDF=Y")</f>
        <v>#NAME?</v>
      </c>
      <c r="AB407" s="2" t="e">
        <f ca="1">_xll.BDH($C$403,"NET_FIXED_ASSETS_1_YEAR_GROWTH","FQ4 2014","FQ4 2014","Currency=INR","Period=FQ","BEST_FPERIOD_OVERRIDE=FQ","FILING_STATUS=OR","EQY_CONSOLIDATED=Y","Sort=A","Dates=H","DateFormat=P","Fill=—","Direction=H","UseDPDF=Y")</f>
        <v>#NAME?</v>
      </c>
      <c r="AC407" s="2" t="e">
        <f ca="1">_xll.BDH($C$403,"ASSET_GROWTH","FQ4 2014","FQ4 2014","Currency=INR","Period=FQ","BEST_FPERIOD_OVERRIDE=FQ","FILING_STATUS=OR","EQY_CONSOLIDATED=Y","Sort=A","Dates=H","DateFormat=P","Fill=—","Direction=H","UseDPDF=Y")</f>
        <v>#NAME?</v>
      </c>
      <c r="AD407" s="2" t="e">
        <f ca="1">_xll.BDH($C$403,"MODIFIED_WORK_CAP_GROWTH","FQ4 2014","FQ4 2014","Currency=INR","Period=FQ","BEST_FPERIOD_OVERRIDE=FQ","FILING_STATUS=OR","EQY_CONSOLIDATED=Y","Sort=A","Dates=H","DateFormat=P","Fill=—","Direction=H","UseDPDF=Y")</f>
        <v>#NAME?</v>
      </c>
      <c r="AE407" s="2" t="e">
        <f ca="1">_xll.BDH($C$403,"WORK_CAP_GROWTH","FQ4 2014","FQ4 2014","Currency=INR","Period=FQ","BEST_FPERIOD_OVERRIDE=FQ","FILING_STATUS=OR","EQY_CONSOLIDATED=Y","Sort=A","Dates=H","DateFormat=P","Fill=—","Direction=H","UseDPDF=Y")</f>
        <v>#NAME?</v>
      </c>
      <c r="AF407" s="2" t="e">
        <f ca="1">_xll.BDH($C$403,"ACCOUNTS_PAYABLE_GROWTH_1YR","FQ4 2014","FQ4 2014","Currency=INR","Period=FQ","BEST_FPERIOD_OVERRIDE=FQ","FILING_STATUS=OR","EQY_CONSOLIDATED=Y","Sort=A","Dates=H","DateFormat=P","Fill=—","Direction=H","UseDPDF=Y")</f>
        <v>#NAME?</v>
      </c>
      <c r="AG407" s="2" t="e">
        <f ca="1">_xll.BDH($C$403,"SHORT_TERM_DEBT_1_YEAR_GROWTH","FQ4 2014","FQ4 2014","Currency=INR","Period=FQ","BEST_FPERIOD_OVERRIDE=FQ","FILING_STATUS=OR","EQY_CONSOLIDATED=Y","Sort=A","Dates=H","DateFormat=P","Fill=—","Direction=H","UseDPDF=Y")</f>
        <v>#NAME?</v>
      </c>
      <c r="AH407" s="2" t="e">
        <f ca="1">_xll.BDH($C$403,"TOTAL_DEBT_1_YEAR_GROWTH","FQ4 2014","FQ4 2014","Currency=INR","Period=FQ","BEST_FPERIOD_OVERRIDE=FQ","FILING_STATUS=OR","EQY_CONSOLIDATED=Y","Sort=A","Dates=H","DateFormat=P","Fill=—","Direction=H","UseDPDF=Y")</f>
        <v>#NAME?</v>
      </c>
      <c r="AI407" s="2" t="e">
        <f ca="1">_xll.BDH($C$403,"TOTAL_EQUITY_1_YEAR_GROWTH","FQ4 2014","FQ4 2014","Currency=INR","Period=FQ","BEST_FPERIOD_OVERRIDE=FQ","FILING_STATUS=OR","EQY_CONSOLIDATED=Y","Sort=A","Dates=H","DateFormat=P","Fill=—","Direction=H","UseDPDF=Y")</f>
        <v>#NAME?</v>
      </c>
      <c r="AJ407" s="2" t="e">
        <f ca="1">_xll.BDH($C$403,"GROWTH_IN_CAP","FQ4 2014","FQ4 2014","Currency=INR","Period=FQ","BEST_FPERIOD_OVERRIDE=FQ","FILING_STATUS=OR","EQY_CONSOLIDATED=Y","Sort=A","Dates=H","DateFormat=P","Fill=—","Direction=H","UseDPDF=Y")</f>
        <v>#NAME?</v>
      </c>
      <c r="AK407" s="2" t="e">
        <f ca="1">_xll.BDH($C$403,"BVPS_GROWTH","FQ4 2014","FQ4 2014","Currency=INR","Period=FQ","BEST_FPERIOD_OVERRIDE=FQ","FILING_STATUS=OR","EQY_CONSOLIDATED=Y","Sort=A","Dates=H","DateFormat=P","Fill=—","Direction=H","UseDPDF=Y")</f>
        <v>#NAME?</v>
      </c>
      <c r="AL407" s="2" t="e">
        <f ca="1">_xll.BDH($C$403,"CASH_FLOW_GROWTH","FQ4 2014","FQ4 2014","Currency=INR","Period=FQ","BEST_FPERIOD_OVERRIDE=FQ","FILING_STATUS=OR","EQY_CONSOLIDATED=Y","Sort=A","Dates=H","DateFormat=P","Fill=—","Direction=H","UseDPDF=Y")</f>
        <v>#NAME?</v>
      </c>
      <c r="AM407" s="2" t="e">
        <f ca="1">_xll.BDH($C$403,"GEO_GROW_NET_SALES","FQ4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07" s="2" t="e">
        <f ca="1">_xll.BDH($C$403,"GEO_GROW_EBITDA","FQ4 2014","FQ4 2014","Currency=INR","Period=FQ","BEST_FPERIOD_OVERRIDE=FQ","FILING_STATUS=OR","EQY_CONSOLIDATED=Y","FA_ADJUSTED=GAAP","Sort=A","Dates=H","DateFormat=P","Fill=—","Direction=H","UseDPDF=Y")</f>
        <v>#NAME?</v>
      </c>
      <c r="AO407" s="2" t="e">
        <f ca="1">_xll.BDH($C$403,"GEO_GROW_OPER_INC","FQ4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07" s="2" t="e">
        <f ca="1">_xll.BDH($C$403,"NET_INCOME_TO_COMMON_5_YR_GROWTH","FQ4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07" s="2" t="e">
        <f ca="1">_xll.BDH($C$403,"5Y_GEO_GROWTH_DILUTED_EPS","FQ4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07" s="2" t="e">
        <f ca="1">_xll.BDH($C$403,"GEO_GROW_DVD_PER_SH","FQ4 2014","FQ4 2014","Currency=INR","Period=FQ","BEST_FPERIOD_OVERRIDE=FQ","FILING_STATUS=OR","EQY_CONSOLIDATED=Y","Sort=A","Dates=H","DateFormat=P","Fill=—","Direction=H","UseDPDF=Y")</f>
        <v>#NAME?</v>
      </c>
      <c r="AS407" s="2" t="e">
        <f ca="1">_xll.BDH($C$403,"ACCOUNTS_RECEIVABLE_5_YR_GROWTH","FQ4 2014","FQ4 2014","Currency=INR","Period=FQ","BEST_FPERIOD_OVERRIDE=FQ","FILING_STATUS=OR","EQY_CONSOLIDATED=Y","Sort=A","Dates=H","DateFormat=P","Fill=—","Direction=H","UseDPDF=Y")</f>
        <v>#NAME?</v>
      </c>
      <c r="AT407" s="2" t="e">
        <f ca="1">_xll.BDH($C$403,"INVENTORY_5_YEAR_GROWTH","FQ4 2014","FQ4 2014","Currency=INR","Period=FQ","BEST_FPERIOD_OVERRIDE=FQ","FILING_STATUS=OR","EQY_CONSOLIDATED=Y","Sort=A","Dates=H","DateFormat=P","Fill=—","Direction=H","UseDPDF=Y")</f>
        <v>#NAME?</v>
      </c>
      <c r="AU407" s="2" t="e">
        <f ca="1">_xll.BDH($C$403,"NET_FIXED_ASSETS_5_YEAR_GROWTH","FQ4 2014","FQ4 2014","Currency=INR","Period=FQ","BEST_FPERIOD_OVERRIDE=FQ","FILING_STATUS=OR","EQY_CONSOLIDATED=Y","Sort=A","Dates=H","DateFormat=P","Fill=—","Direction=H","UseDPDF=Y")</f>
        <v>#NAME?</v>
      </c>
      <c r="AV407" s="2" t="e">
        <f ca="1">_xll.BDH($C$403,"GEO_GROW_TOT_ASSET","FQ4 2014","FQ4 2014","Currency=INR","Period=FQ","BEST_FPERIOD_OVERRIDE=FQ","FILING_STATUS=OR","EQY_CONSOLIDATED=Y","Sort=A","Dates=H","DateFormat=P","Fill=—","Direction=H","UseDPDF=Y")</f>
        <v>#NAME?</v>
      </c>
      <c r="AW407" s="2" t="e">
        <f ca="1">_xll.BDH($C$403,"MODIFIED_WORKING_CPTL_5YR_GRWTH","FQ4 2014","FQ4 2014","Currency=INR","Period=FQ","BEST_FPERIOD_OVERRIDE=FQ","FILING_STATUS=OR","EQY_CONSOLIDATED=Y","Sort=A","Dates=H","DateFormat=P","Fill=—","Direction=H","UseDPDF=Y")</f>
        <v>#NAME?</v>
      </c>
      <c r="AX407" s="2" t="e">
        <f ca="1">_xll.BDH($C$403,"WORKING_CAPITAL_5_YEAR_GROWTH","FQ4 2014","FQ4 2014","Currency=INR","Period=FQ","BEST_FPERIOD_OVERRIDE=FQ","FILING_STATUS=OR","EQY_CONSOLIDATED=Y","Sort=A","Dates=H","DateFormat=P","Fill=—","Direction=H","UseDPDF=Y")</f>
        <v>#NAME?</v>
      </c>
      <c r="AY407" s="2" t="e">
        <f ca="1">_xll.BDH($C$403,"ACCOUNTS_PAYABLE_5_YEAR_GROWTH","FQ4 2014","FQ4 2014","Currency=INR","Period=FQ","BEST_FPERIOD_OVERRIDE=FQ","FILING_STATUS=OR","EQY_CONSOLIDATED=Y","Sort=A","Dates=H","DateFormat=P","Fill=—","Direction=H","UseDPDF=Y")</f>
        <v>#NAME?</v>
      </c>
      <c r="AZ407" s="2" t="e">
        <f ca="1">_xll.BDH($C$403,"SHORT_TERM_DEBT_5_YEAR_GROWTH","FQ4 2014","FQ4 2014","Currency=INR","Period=FQ","BEST_FPERIOD_OVERRIDE=FQ","FILING_STATUS=OR","EQY_CONSOLIDATED=Y","Sort=A","Dates=H","DateFormat=P","Fill=—","Direction=H","UseDPDF=Y")</f>
        <v>#NAME?</v>
      </c>
      <c r="BA407" s="2" t="e">
        <f ca="1">_xll.BDH($C$403,"TOTAL_DEBT_5_YEAR_GROWTH","FQ4 2014","FQ4 2014","Currency=INR","Period=FQ","BEST_FPERIOD_OVERRIDE=FQ","FILING_STATUS=OR","EQY_CONSOLIDATED=Y","Sort=A","Dates=H","DateFormat=P","Fill=—","Direction=H","UseDPDF=Y")</f>
        <v>#NAME?</v>
      </c>
      <c r="BB407" s="2" t="e">
        <f ca="1">_xll.BDH($C$403,"GEO_GROW_TOT_SHRHLDR_EQY","FQ4 2014","FQ4 2014","Currency=INR","Period=FQ","BEST_FPERIOD_OVERRIDE=FQ","FILING_STATUS=OR","EQY_CONSOLIDATED=Y","Sort=A","Dates=H","DateFormat=P","Fill=—","Direction=H","UseDPDF=Y")</f>
        <v>#NAME?</v>
      </c>
      <c r="BC407" s="2" t="e">
        <f ca="1">_xll.BDH($C$403,"TOTAL_CAPITAL_5_YEAR_GROWTH","FQ4 2014","FQ4 2014","Currency=INR","Period=FQ","BEST_FPERIOD_OVERRIDE=FQ","FILING_STATUS=OR","EQY_CONSOLIDATED=Y","Sort=A","Dates=H","DateFormat=P","Fill=—","Direction=H","UseDPDF=Y")</f>
        <v>#NAME?</v>
      </c>
      <c r="BD407" s="2" t="e">
        <f ca="1">_xll.BDH($C$403,"GEO_GROW_BOOK_VAL","FQ4 2014","FQ4 2014","Currency=INR","Period=FQ","BEST_FPERIOD_OVERRIDE=FQ","FILING_STATUS=OR","EQY_CONSOLIDATED=Y","Sort=A","Dates=H","DateFormat=P","Fill=—","Direction=H","UseDPDF=Y")</f>
        <v>#NAME?</v>
      </c>
      <c r="BE407" s="2" t="e">
        <f ca="1">_xll.BDH($C$403,"GEO_GROW_CASH_OPER_ACT","FQ4 2014","FQ4 2014","Currency=INR","Period=FQ","BEST_FPERIOD_OVERRIDE=FQ","FILING_STATUS=OR","EQY_CONSOLIDATED=Y","Sort=A","Dates=H","DateFormat=P","Fill=—","Direction=H","UseDPDF=Y")</f>
        <v>#NAME?</v>
      </c>
      <c r="BF407" s="2" t="e">
        <f ca="1">_xll.BDH($C$403,"REVENUE_SEQUENTIAL_GROWTH","FQ4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07" s="2" t="e">
        <f ca="1">_xll.BDH($C$403,"EBITDA_SEQUENTIAL_GROWTH","FQ4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07" s="2" t="e">
        <f ca="1">_xll.BDH($C$403,"OPERATING_INCOME_SEQ_GROWTH","FQ4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07" s="2" t="e">
        <f ca="1">_xll.BDH($C$403,"NET_INCOME_TO_COMMON_SEQ_GROWTH","FQ4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07" s="2" t="e">
        <f ca="1">_xll.BDH($C$403,"EPS_DILUTED_SEQUENTIAL_GROWTH","FQ4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07" s="2" t="e">
        <f ca="1">_xll.BDH($C$403,"DPS_SEQUENTIAL_GROWTH","FQ4 2014","FQ4 2014","Currency=INR","Period=FQ","BEST_FPERIOD_OVERRIDE=FQ","FILING_STATUS=OR","EQY_CONSOLIDATED=Y","Sort=A","Dates=H","DateFormat=P","Fill=—","Direction=H","UseDPDF=Y")</f>
        <v>#NAME?</v>
      </c>
      <c r="BL407" s="2" t="e">
        <f ca="1">_xll.BDH($C$403,"ACCOUNTS_RECEIVABLE_SEQ_GROWTH","FQ4 2014","FQ4 2014","Currency=INR","Period=FQ","BEST_FPERIOD_OVERRIDE=FQ","FILING_STATUS=OR","EQY_CONSOLIDATED=Y","Sort=A","Dates=H","DateFormat=P","Fill=—","Direction=H","UseDPDF=Y")</f>
        <v>#NAME?</v>
      </c>
      <c r="BM407" s="2" t="e">
        <f ca="1">_xll.BDH($C$403,"INVENTORY_SEQUENTIAL_GROWTH","FQ4 2014","FQ4 2014","Currency=INR","Period=FQ","BEST_FPERIOD_OVERRIDE=FQ","FILING_STATUS=OR","EQY_CONSOLIDATED=Y","Sort=A","Dates=H","DateFormat=P","Fill=—","Direction=H","UseDPDF=Y")</f>
        <v>#NAME?</v>
      </c>
      <c r="BN407" s="2" t="e">
        <f ca="1">_xll.BDH($C$403,"FIXED_ASSETS_SEQUENTIAL_GROWTH","FQ4 2014","FQ4 2014","Currency=INR","Period=FQ","BEST_FPERIOD_OVERRIDE=FQ","FILING_STATUS=OR","EQY_CONSOLIDATED=Y","Sort=A","Dates=H","DateFormat=P","Fill=—","Direction=H","UseDPDF=Y")</f>
        <v>#NAME?</v>
      </c>
      <c r="BO407" s="2" t="e">
        <f ca="1">_xll.BDH($C$403,"TOTAL_ASSETS_SEQUENTIAL_GROWTH","FQ4 2014","FQ4 2014","Currency=INR","Period=FQ","BEST_FPERIOD_OVERRIDE=FQ","FILING_STATUS=OR","EQY_CONSOLIDATED=Y","Sort=A","Dates=H","DateFormat=P","Fill=—","Direction=H","UseDPDF=Y")</f>
        <v>#NAME?</v>
      </c>
      <c r="BP407" s="2" t="e">
        <f ca="1">_xll.BDH($C$403,"MODIFIED_WORKING_CPTL_SEQ_GRWTH","FQ4 2014","FQ4 2014","Currency=INR","Period=FQ","BEST_FPERIOD_OVERRIDE=FQ","FILING_STATUS=OR","EQY_CONSOLIDATED=Y","Sort=A","Dates=H","DateFormat=P","Fill=—","Direction=H","UseDPDF=Y")</f>
        <v>#NAME?</v>
      </c>
      <c r="BQ407" s="2" t="e">
        <f ca="1">_xll.BDH($C$403,"WORKING_CAPITAL_SEQ_GROWTH","FQ4 2014","FQ4 2014","Currency=INR","Period=FQ","BEST_FPERIOD_OVERRIDE=FQ","FILING_STATUS=OR","EQY_CONSOLIDATED=Y","Sort=A","Dates=H","DateFormat=P","Fill=—","Direction=H","UseDPDF=Y")</f>
        <v>#NAME?</v>
      </c>
      <c r="BR407" s="2" t="e">
        <f ca="1">_xll.BDH($C$403,"ACCOUNTS_PAYABLE_SEQ_GROWTH","FQ4 2014","FQ4 2014","Currency=INR","Period=FQ","BEST_FPERIOD_OVERRIDE=FQ","FILING_STATUS=OR","EQY_CONSOLIDATED=Y","Sort=A","Dates=H","DateFormat=P","Fill=—","Direction=H","UseDPDF=Y")</f>
        <v>#NAME?</v>
      </c>
      <c r="BS407" s="2" t="e">
        <f ca="1">_xll.BDH($C$403,"ST_DEBT_SEQUENTIAL_GROWTH","FQ4 2014","FQ4 2014","Currency=INR","Period=FQ","BEST_FPERIOD_OVERRIDE=FQ","FILING_STATUS=OR","EQY_CONSOLIDATED=Y","Sort=A","Dates=H","DateFormat=P","Fill=—","Direction=H","UseDPDF=Y")</f>
        <v>#NAME?</v>
      </c>
      <c r="BT407" s="2" t="e">
        <f ca="1">_xll.BDH($C$403,"TOTAL_DEBT_SEQUENTIAL_GROWTH","FQ4 2014","FQ4 2014","Currency=INR","Period=FQ","BEST_FPERIOD_OVERRIDE=FQ","FILING_STATUS=OR","EQY_CONSOLIDATED=Y","Sort=A","Dates=H","DateFormat=P","Fill=—","Direction=H","UseDPDF=Y")</f>
        <v>#NAME?</v>
      </c>
      <c r="BU407" s="2" t="e">
        <f ca="1">_xll.BDH($C$403,"TOTAL_EQUITY_SEQUENTIAL_GROWTH","FQ4 2014","FQ4 2014","Currency=INR","Period=FQ","BEST_FPERIOD_OVERRIDE=FQ","FILING_STATUS=OR","EQY_CONSOLIDATED=Y","Sort=A","Dates=H","DateFormat=P","Fill=—","Direction=H","UseDPDF=Y")</f>
        <v>#NAME?</v>
      </c>
      <c r="BV407" s="2" t="e">
        <f ca="1">_xll.BDH($C$403,"TOTAL_CAPITAL_SEQUENTIAL_GROWTH","FQ4 2014","FQ4 2014","Currency=INR","Period=FQ","BEST_FPERIOD_OVERRIDE=FQ","FILING_STATUS=OR","EQY_CONSOLIDATED=Y","Sort=A","Dates=H","DateFormat=P","Fill=—","Direction=H","UseDPDF=Y")</f>
        <v>#NAME?</v>
      </c>
      <c r="BW407" s="2" t="e">
        <f ca="1">_xll.BDH($C$403,"BPS_SEQUENTIAL_GROWTH","FQ4 2014","FQ4 2014","Currency=INR","Period=FQ","BEST_FPERIOD_OVERRIDE=FQ","FILING_STATUS=OR","EQY_CONSOLIDATED=Y","Sort=A","Dates=H","DateFormat=P","Fill=—","Direction=H","UseDPDF=Y")</f>
        <v>#NAME?</v>
      </c>
      <c r="BX407" s="2" t="e">
        <f ca="1">_xll.BDH($C$403,"CFO_SEQUENTIAL_GROWTH","FQ4 2014","FQ4 2014","Currency=INR","Period=FQ","BEST_FPERIOD_OVERRIDE=FQ","FILING_STATUS=OR","EQY_CONSOLIDATED=Y","Sort=A","Dates=H","DateFormat=P","Fill=—","Direction=H","UseDPDF=Y")</f>
        <v>#NAME?</v>
      </c>
      <c r="BY407" s="3" t="e">
        <f ca="1">_xll.BDH($C$403,"SHORT_AND_LONG_TERM_DEBT","FQ4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07" s="3" t="e">
        <f ca="1">_xll.BDH($C$403,"BS_ST_BORROW","FQ4 2014","FQ4 2014","Currency=INR","Period=FQ","BEST_FPERIOD_OVERRIDE=FQ","FILING_STATUS=OR","EQY_CONSOLIDATED=Y","SCALING_FORMAT=MLN","Sort=A","Dates=H","DateFormat=P","Fill=—","Direction=H","UseDPDF=Y")</f>
        <v>#NAME?</v>
      </c>
      <c r="CA407" s="3" t="e">
        <f ca="1">_xll.BDH($C$403,"BS_LT_BORROW","FQ4 2014","FQ4 2014","Currency=INR","Period=FQ","BEST_FPERIOD_OVERRIDE=FQ","FILING_STATUS=OR","EQY_CONSOLIDATED=Y","SCALING_FORMAT=MLN","Sort=A","Dates=H","DateFormat=P","Fill=—","Direction=H","UseDPDF=Y")</f>
        <v>#NAME?</v>
      </c>
      <c r="CB407" s="2" t="e">
        <f ca="1">_xll.BDH($C$403,"TOT_DEBT_TO_EBITDA","FQ4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07" s="2" t="e">
        <f ca="1">_xll.BDH($C$403,"NET_DEBT_TO_EBITDA","FQ4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07" s="2" t="e">
        <f ca="1">_xll.BDH($C$403,"TOTAL_DEBT_TO_EBIT","FQ4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07" s="2" t="e">
        <f ca="1">_xll.BDH($C$403,"NET_DEBT_TO_EBIT","FQ4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07" s="2" t="e">
        <f ca="1">_xll.BDH($C$403,"EBITDA_TO_INTEREST_EXPN","FQ4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07" s="2" t="e">
        <f ca="1">_xll.BDH($C$403,"COM_EQY_TO_TOT_ASSET","FQ4 2014","FQ4 2014","Currency=INR","Period=FQ","BEST_FPERIOD_OVERRIDE=FQ","FILING_STATUS=OR","EQY_CONSOLIDATED=Y","Sort=A","Dates=H","DateFormat=P","Fill=—","Direction=H","UseDPDF=Y")</f>
        <v>#NAME?</v>
      </c>
      <c r="CH407" s="2" t="e">
        <f ca="1">_xll.BDH($C$403,"LT_DEBT_TO_TOT_EQY","FQ4 2014","FQ4 2014","Currency=INR","Period=FQ","BEST_FPERIOD_OVERRIDE=FQ","FILING_STATUS=OR","EQY_CONSOLIDATED=Y","Sort=A","Dates=H","DateFormat=P","Fill=—","Direction=H","UseDPDF=Y")</f>
        <v>#NAME?</v>
      </c>
      <c r="CI407" s="2" t="e">
        <f ca="1">_xll.BDH($C$403,"LT_DEBT_TO_TOT_CAP","FQ4 2014","FQ4 2014","Currency=INR","Period=FQ","BEST_FPERIOD_OVERRIDE=FQ","FILING_STATUS=OR","EQY_CONSOLIDATED=Y","Sort=A","Dates=H","DateFormat=P","Fill=—","Direction=H","UseDPDF=Y")</f>
        <v>#NAME?</v>
      </c>
      <c r="CJ407" s="2" t="e">
        <f ca="1">_xll.BDH($C$403,"LT_DEBT_TO_TOT_ASSET","FQ4 2014","FQ4 2014","Currency=INR","Period=FQ","BEST_FPERIOD_OVERRIDE=FQ","FILING_STATUS=OR","EQY_CONSOLIDATED=Y","Sort=A","Dates=H","DateFormat=P","Fill=—","Direction=H","UseDPDF=Y")</f>
        <v>#NAME?</v>
      </c>
      <c r="CK407" s="2" t="e">
        <f ca="1">_xll.BDH($C$403,"TOT_DEBT_TO_TOT_EQY","FQ4 2014","FQ4 2014","Currency=INR","Period=FQ","BEST_FPERIOD_OVERRIDE=FQ","FILING_STATUS=OR","EQY_CONSOLIDATED=Y","Sort=A","Dates=H","DateFormat=P","Fill=—","Direction=H","UseDPDF=Y")</f>
        <v>#NAME?</v>
      </c>
      <c r="CL407" s="2" t="e">
        <f ca="1">_xll.BDH($C$403,"TOT_DEBT_TO_TOT_CAP","FQ4 2014","FQ4 2014","Currency=INR","Period=FQ","BEST_FPERIOD_OVERRIDE=FQ","FILING_STATUS=OR","EQY_CONSOLIDATED=Y","Sort=A","Dates=H","DateFormat=P","Fill=—","Direction=H","UseDPDF=Y")</f>
        <v>#NAME?</v>
      </c>
      <c r="CM407" s="2" t="e">
        <f ca="1">_xll.BDH($C$403,"TOT_DEBT_TO_TOT_ASSET","FQ4 2014","FQ4 2014","Currency=INR","Period=FQ","BEST_FPERIOD_OVERRIDE=FQ","FILING_STATUS=OR","EQY_CONSOLIDATED=Y","Sort=A","Dates=H","DateFormat=P","Fill=—","Direction=H","UseDPDF=Y")</f>
        <v>#NAME?</v>
      </c>
      <c r="CN407" s="2" t="e">
        <f ca="1">_xll.BDH($C$403,"NET_DEBT_TO_SHRHLDR_EQTY","FQ4 2014","FQ4 2014","Currency=INR","Period=FQ","BEST_FPERIOD_OVERRIDE=FQ","FILING_STATUS=OR","EQY_CONSOLIDATED=Y","Sort=A","Dates=H","DateFormat=P","Fill=—","Direction=H","UseDPDF=Y")</f>
        <v>#NAME?</v>
      </c>
      <c r="CO407" s="2" t="e">
        <f ca="1">_xll.BDH($C$403,"NET_DEBT_%_CAPITAL","FQ4 2014","FQ4 2014","Currency=INR","Period=FQ","BEST_FPERIOD_OVERRIDE=FQ","FILING_STATUS=OR","EQY_CONSOLIDATED=Y","Sort=A","Dates=H","DateFormat=P","Fill=—","Direction=H","UseDPDF=Y")</f>
        <v>#NAME?</v>
      </c>
      <c r="CP407" s="3" t="e">
        <f ca="1">_xll.BDH($C$403,"EBITDA","FQ4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07" s="3" t="e">
        <f ca="1">_xll.BDH($C$403,"EBITDA_AFTER_CAPEX","FQ4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07" s="3" t="e">
        <f ca="1">_xll.BDH($C$403,"IS_OPER_INC","FQ4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07" s="2" t="e">
        <f ca="1">_xll.BDH($C$403,"CASH_RATIO","FQ4 2014","FQ4 2014","Currency=INR","Period=FQ","BEST_FPERIOD_OVERRIDE=FQ","FILING_STATUS=OR","EQY_CONSOLIDATED=Y","Sort=A","Dates=H","DateFormat=P","Fill=—","Direction=H","UseDPDF=Y")</f>
        <v>#NAME?</v>
      </c>
      <c r="CT407" s="2" t="e">
        <f ca="1">_xll.BDH($C$403,"CUR_RATIO","FQ4 2014","FQ4 2014","Currency=INR","Period=FQ","BEST_FPERIOD_OVERRIDE=FQ","FILING_STATUS=OR","EQY_CONSOLIDATED=Y","Sort=A","Dates=H","DateFormat=P","Fill=—","Direction=H","UseDPDF=Y")</f>
        <v>#NAME?</v>
      </c>
      <c r="CU407" s="2" t="e">
        <f ca="1">_xll.BDH($C$403,"QUICK_RATIO","FQ4 2014","FQ4 2014","Currency=INR","Period=FQ","BEST_FPERIOD_OVERRIDE=FQ","FILING_STATUS=OR","EQY_CONSOLIDATED=Y","Sort=A","Dates=H","DateFormat=P","Fill=—","Direction=H","UseDPDF=Y")</f>
        <v>#NAME?</v>
      </c>
      <c r="CV407" s="2" t="e">
        <f ca="1">_xll.BDH($C$403,"ALTMAN_Z_SCORE","FQ4 2014","FQ4 2014","Currency=INR","Period=FQ","BEST_FPERIOD_OVERRIDE=FQ","FILING_STATUS=OR","EQY_CONSOLIDATED=Y","Sort=A","Dates=H","DateFormat=P","Fill=—","Direction=H","UseDPDF=Y")</f>
        <v>#NAME?</v>
      </c>
      <c r="CW407" s="4" t="e">
        <f ca="1">_xll.BDH($C$403,"ACCT_RCV_TURN","FQ4 2014","FQ4 2014","Currency=INR","Period=FQ","BEST_FPERIOD_OVERRIDE=FQ","FILING_STATUS=OR","EQY_CONSOLIDATED=Y","FA_ADJUSTED=GAAP","Sort=A","Dates=H","DateFormat=P","Fill=—","Direction=H","UseDPDF=Y")</f>
        <v>#NAME?</v>
      </c>
      <c r="CX407" s="2" t="e">
        <f ca="1">_xll.BDH($C$403,"ACCT_RCV_DAYS","FQ4 2014","FQ4 2014","Currency=INR","Period=FQ","BEST_FPERIOD_OVERRIDE=FQ","FILING_STATUS=OR","EQY_CONSOLIDATED=Y","FA_ADJUSTED=GAAP","Sort=A","Dates=H","DateFormat=P","Fill=—","Direction=H","UseDPDF=Y")</f>
        <v>#NAME?</v>
      </c>
      <c r="CY407" s="4" t="e">
        <f ca="1">_xll.BDH($C$403,"INVENT_TURN","FQ4 2014","FQ4 2014","Currency=INR","Period=FQ","BEST_FPERIOD_OVERRIDE=FQ","FILING_STATUS=OR","EQY_CONSOLIDATED=Y","FA_ADJUSTED=GAAP","Sort=A","Dates=H","DateFormat=P","Fill=—","Direction=H","UseDPDF=Y")</f>
        <v>#NAME?</v>
      </c>
      <c r="CZ407" s="2" t="e">
        <f ca="1">_xll.BDH($C$403,"INVENT_DAYS","FQ4 2014","FQ4 2014","Currency=INR","Period=FQ","BEST_FPERIOD_OVERRIDE=FQ","FILING_STATUS=OR","EQY_CONSOLIDATED=Y","FA_ADJUSTED=GAAP","Sort=A","Dates=H","DateFormat=P","Fill=—","Direction=H","UseDPDF=Y")</f>
        <v>#NAME?</v>
      </c>
      <c r="DA407" s="4" t="e">
        <f ca="1">_xll.BDH($C$403,"ACCOUNTS_PAYABLE_TURNOVER","FQ4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07" s="2" t="e">
        <f ca="1">_xll.BDH($C$403,"ACCOUNTS_PAYABLE_TURNOVER_DAYS","FQ4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07" s="4" t="e">
        <f ca="1">_xll.BDH($C$403,"CASH_CONVERSION_CYCLE","FQ4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07" s="4" t="e">
        <f ca="1">_xll.BDH($C$403,"INV_TO_CASH_DAYS","FQ4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07" s="5" t="e">
        <f ca="1">_xll.BDH($C$403,"BS_INVENTORIES","FQ4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07" s="3" t="e">
        <f ca="1">_xll.BDH($C$403,"INVTRY_RAW_MATERIALS","FQ4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07" s="3" t="e">
        <f ca="1">_xll.BDH($C$403,"INVTRY_IN_PROGRESS","FQ4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07" s="3" t="e">
        <f ca="1">_xll.BDH($C$403,"INVTRY_FINISHED_GOODS","FQ4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07" s="3" t="e">
        <f ca="1">_xll.BDH($C$403,"BS_OTHER_INV","FQ4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08" spans="1:113" x14ac:dyDescent="0.3">
      <c r="A408" s="6"/>
      <c r="B408" s="6"/>
      <c r="C408" s="6"/>
      <c r="D408" s="6" t="s">
        <v>82</v>
      </c>
      <c r="E408" t="s">
        <v>77</v>
      </c>
      <c r="F408" t="e">
        <f ca="1">_xll.BDH($C$403,"RETURN_COM_EQY","FY 2015","FY 2015","Currency=INR","Period=FY","BEST_FPERIOD_OVERRIDE=FY","FILING_STATUS=OR","EQY_CONSOLIDATED=Y","FA_ADJUSTED=GAAP","Sort=A","Dates=H","DateFormat=P","Fill=—","Direction=H","UseDPDF=Y")</f>
        <v>#NAME?</v>
      </c>
      <c r="G408" t="e">
        <f ca="1">_xll.BDH($C$403,"RETURN_ON_ASSET","FY 2015","FY 2015","Currency=INR","Period=FY","BEST_FPERIOD_OVERRIDE=FY","FILING_STATUS=OR","EQY_CONSOLIDATED=Y","FA_ADJUSTED=GAAP","Sort=A","Dates=H","DateFormat=P","Fill=—","Direction=H","UseDPDF=Y")</f>
        <v>#NAME?</v>
      </c>
      <c r="H408" t="e">
        <f ca="1">_xll.BDH($C$403,"RETURN_ON_CAP","FY 2015","FY 2015","Currency=INR","Period=FY","BEST_FPERIOD_OVERRIDE=FY","FILING_STATUS=OR","EQY_CONSOLIDATED=Y","FA_ADJUSTED=GAAP","Sort=A","Dates=H","DateFormat=P","Fill=—","Direction=H","UseDPDF=Y")</f>
        <v>#NAME?</v>
      </c>
      <c r="I408" t="e">
        <f ca="1">_xll.BDH($C$403,"RETURN_ON_INV_CAPITAL","FY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08" t="e">
        <f ca="1">_xll.BDH($C$403,"EBITDA_TO_REVENUE","FY 2015","FY 2015","Currency=INR","Period=FY","BEST_FPERIOD_OVERRIDE=FY","FILING_STATUS=OR","EQY_CONSOLIDATED=Y","FA_ADJUSTED=GAAP","Sort=A","Dates=H","DateFormat=P","Fill=—","Direction=H","UseDPDF=Y")</f>
        <v>#NAME?</v>
      </c>
      <c r="K408" t="e">
        <f ca="1">_xll.BDH($C$403,"OPER_MARGIN","FY 2015","FY 2015","Currency=INR","Period=FY","BEST_FPERIOD_OVERRIDE=FY","FILING_STATUS=OR","EQY_CONSOLIDATED=Y","FA_ADJUSTED=GAAP","Sort=A","Dates=H","DateFormat=P","Fill=—","Direction=H","UseDPDF=Y")</f>
        <v>#NAME?</v>
      </c>
      <c r="L408" t="e">
        <f ca="1">_xll.BDH($C$403,"INCREMENTAL_OPERATING_MARGIN","FY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08" t="e">
        <f ca="1">_xll.BDH($C$403,"PRETAX_INC_TO_NET_SALES","FY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08" t="e">
        <f ca="1">_xll.BDH($C$403,"INC_BEF_XO_ITEMS_TO_NET_SALES","FY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08" t="e">
        <f ca="1">_xll.BDH($C$403,"PROF_MARGIN","FY 2015","FY 2015","Currency=INR","Period=FY","BEST_FPERIOD_OVERRIDE=FY","FILING_STATUS=OR","EQY_CONSOLIDATED=Y","FA_ADJUSTED=GAAP","Sort=A","Dates=H","DateFormat=P","Fill=—","Direction=H","UseDPDF=Y")</f>
        <v>#NAME?</v>
      </c>
      <c r="P408" t="e">
        <f ca="1">_xll.BDH($C$403,"NET_INCOME_TO_COMMON_MARGIN","FY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08" t="e">
        <f ca="1">_xll.BDH($C$403,"EFF_TAX_RATE","FY 2015","FY 2015","Currency=INR","Period=FY","BEST_FPERIOD_OVERRIDE=FY","FILING_STATUS=OR","EQY_CONSOLIDATED=Y","FA_ADJUSTED=GAAP","Sort=A","Dates=H","DateFormat=P","Fill=—","Direction=H","UseDPDF=Y")</f>
        <v>#NAME?</v>
      </c>
      <c r="R408" t="e">
        <f ca="1">_xll.BDH($C$403,"DVD_PAYOUT_RATIO","FY 2015","FY 2015","Currency=INR","Period=FY","BEST_FPERIOD_OVERRIDE=FY","FILING_STATUS=OR","EQY_CONSOLIDATED=Y","FA_ADJUSTED=GAAP","Sort=A","Dates=H","DateFormat=P","Fill=—","Direction=H","UseDPDF=Y")</f>
        <v>#NAME?</v>
      </c>
      <c r="S408" t="e">
        <f ca="1">_xll.BDH($C$403,"SUSTAIN_GROWTH_RT","FY 2015","FY 2015","Currency=INR","Period=FY","BEST_FPERIOD_OVERRIDE=FY","FILING_STATUS=OR","EQY_CONSOLIDATED=Y","FA_ADJUSTED=GAAP","Sort=A","Dates=H","DateFormat=P","Fill=—","Direction=H","UseDPDF=Y")</f>
        <v>#NAME?</v>
      </c>
      <c r="T408" s="2" t="e">
        <f ca="1">_xll.BDH($C$403,"SALES_GROWTH","FY 2015","FY 2015","Currency=INR","Period=FY","BEST_FPERIOD_OVERRIDE=FY","FILING_STATUS=OR","EQY_CONSOLIDATED=Y","FA_ADJUSTED=GAAP","Sort=A","Dates=H","DateFormat=P","Fill=—","Direction=H","UseDPDF=Y")</f>
        <v>#NAME?</v>
      </c>
      <c r="U408" s="2" t="e">
        <f ca="1">_xll.BDH($C$403,"EBITDA_GROWTH","FY 2015","FY 2015","Currency=INR","Period=FY","BEST_FPERIOD_OVERRIDE=FY","FILING_STATUS=OR","EQY_CONSOLIDATED=Y","FA_ADJUSTED=GAAP","Sort=A","Dates=H","DateFormat=P","Fill=—","Direction=H","UseDPDF=Y")</f>
        <v>#NAME?</v>
      </c>
      <c r="V408" s="2" t="e">
        <f ca="1">_xll.BDH($C$403,"OPER_INC_GROWTH","FY 2015","FY 2015","Currency=INR","Period=FY","BEST_FPERIOD_OVERRIDE=FY","FILING_STATUS=OR","EQY_CONSOLIDATED=Y","FA_ADJUSTED=GAAP","Sort=A","Dates=H","DateFormat=P","Fill=—","Direction=H","UseDPDF=Y")</f>
        <v>#NAME?</v>
      </c>
      <c r="W408" s="2" t="e">
        <f ca="1">_xll.BDH($C$403,"EARN_FOR_COM_GROWTH","FY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08" s="2" t="e">
        <f ca="1">_xll.BDH($C$403,"DILUTED_EPS_AFT_XO_ITEMS_GROWTH","FY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08" s="2" t="e">
        <f ca="1">_xll.BDH($C$403,"DIVIDEND_PER_SHARE_1_YEAR_GROWTH","FY 2015","FY 2015","Currency=INR","Period=FY","BEST_FPERIOD_OVERRIDE=FY","FILING_STATUS=OR","EQY_CONSOLIDATED=Y","Sort=A","Dates=H","DateFormat=P","Fill=—","Direction=H","UseDPDF=Y")</f>
        <v>#NAME?</v>
      </c>
      <c r="Z408" s="2" t="e">
        <f ca="1">_xll.BDH($C$403,"ACCOUNTS_RECEIVABLE_GROWTH","FY 2015","FY 2015","Currency=INR","Period=FY","BEST_FPERIOD_OVERRIDE=FY","FILING_STATUS=OR","EQY_CONSOLIDATED=Y","Sort=A","Dates=H","DateFormat=P","Fill=—","Direction=H","UseDPDF=Y")</f>
        <v>#NAME?</v>
      </c>
      <c r="AA408" s="2" t="e">
        <f ca="1">_xll.BDH($C$403,"INVENTORY_GROWTH","FY 2015","FY 2015","Currency=INR","Period=FY","BEST_FPERIOD_OVERRIDE=FY","FILING_STATUS=OR","EQY_CONSOLIDATED=Y","Sort=A","Dates=H","DateFormat=P","Fill=—","Direction=H","UseDPDF=Y")</f>
        <v>#NAME?</v>
      </c>
      <c r="AB408" s="2" t="e">
        <f ca="1">_xll.BDH($C$403,"NET_FIXED_ASSETS_1_YEAR_GROWTH","FY 2015","FY 2015","Currency=INR","Period=FY","BEST_FPERIOD_OVERRIDE=FY","FILING_STATUS=OR","EQY_CONSOLIDATED=Y","Sort=A","Dates=H","DateFormat=P","Fill=—","Direction=H","UseDPDF=Y")</f>
        <v>#NAME?</v>
      </c>
      <c r="AC408" s="2" t="e">
        <f ca="1">_xll.BDH($C$403,"ASSET_GROWTH","FY 2015","FY 2015","Currency=INR","Period=FY","BEST_FPERIOD_OVERRIDE=FY","FILING_STATUS=OR","EQY_CONSOLIDATED=Y","Sort=A","Dates=H","DateFormat=P","Fill=—","Direction=H","UseDPDF=Y")</f>
        <v>#NAME?</v>
      </c>
      <c r="AD408" s="2" t="e">
        <f ca="1">_xll.BDH($C$403,"MODIFIED_WORK_CAP_GROWTH","FY 2015","FY 2015","Currency=INR","Period=FY","BEST_FPERIOD_OVERRIDE=FY","FILING_STATUS=OR","EQY_CONSOLIDATED=Y","Sort=A","Dates=H","DateFormat=P","Fill=—","Direction=H","UseDPDF=Y")</f>
        <v>#NAME?</v>
      </c>
      <c r="AE408" s="2" t="e">
        <f ca="1">_xll.BDH($C$403,"WORK_CAP_GROWTH","FY 2015","FY 2015","Currency=INR","Period=FY","BEST_FPERIOD_OVERRIDE=FY","FILING_STATUS=OR","EQY_CONSOLIDATED=Y","Sort=A","Dates=H","DateFormat=P","Fill=—","Direction=H","UseDPDF=Y")</f>
        <v>#NAME?</v>
      </c>
      <c r="AF408" s="2" t="e">
        <f ca="1">_xll.BDH($C$403,"ACCOUNTS_PAYABLE_GROWTH_1YR","FY 2015","FY 2015","Currency=INR","Period=FY","BEST_FPERIOD_OVERRIDE=FY","FILING_STATUS=OR","EQY_CONSOLIDATED=Y","Sort=A","Dates=H","DateFormat=P","Fill=—","Direction=H","UseDPDF=Y")</f>
        <v>#NAME?</v>
      </c>
      <c r="AG408" s="2" t="e">
        <f ca="1">_xll.BDH($C$403,"SHORT_TERM_DEBT_1_YEAR_GROWTH","FY 2015","FY 2015","Currency=INR","Period=FY","BEST_FPERIOD_OVERRIDE=FY","FILING_STATUS=OR","EQY_CONSOLIDATED=Y","Sort=A","Dates=H","DateFormat=P","Fill=—","Direction=H","UseDPDF=Y")</f>
        <v>#NAME?</v>
      </c>
      <c r="AH408" s="2" t="e">
        <f ca="1">_xll.BDH($C$403,"TOTAL_DEBT_1_YEAR_GROWTH","FY 2015","FY 2015","Currency=INR","Period=FY","BEST_FPERIOD_OVERRIDE=FY","FILING_STATUS=OR","EQY_CONSOLIDATED=Y","Sort=A","Dates=H","DateFormat=P","Fill=—","Direction=H","UseDPDF=Y")</f>
        <v>#NAME?</v>
      </c>
      <c r="AI408" s="2" t="e">
        <f ca="1">_xll.BDH($C$403,"TOTAL_EQUITY_1_YEAR_GROWTH","FY 2015","FY 2015","Currency=INR","Period=FY","BEST_FPERIOD_OVERRIDE=FY","FILING_STATUS=OR","EQY_CONSOLIDATED=Y","Sort=A","Dates=H","DateFormat=P","Fill=—","Direction=H","UseDPDF=Y")</f>
        <v>#NAME?</v>
      </c>
      <c r="AJ408" s="2" t="e">
        <f ca="1">_xll.BDH($C$403,"GROWTH_IN_CAP","FY 2015","FY 2015","Currency=INR","Period=FY","BEST_FPERIOD_OVERRIDE=FY","FILING_STATUS=OR","EQY_CONSOLIDATED=Y","Sort=A","Dates=H","DateFormat=P","Fill=—","Direction=H","UseDPDF=Y")</f>
        <v>#NAME?</v>
      </c>
      <c r="AK408" s="2" t="e">
        <f ca="1">_xll.BDH($C$403,"BVPS_GROWTH","FY 2015","FY 2015","Currency=INR","Period=FY","BEST_FPERIOD_OVERRIDE=FY","FILING_STATUS=OR","EQY_CONSOLIDATED=Y","Sort=A","Dates=H","DateFormat=P","Fill=—","Direction=H","UseDPDF=Y")</f>
        <v>#NAME?</v>
      </c>
      <c r="AL408" s="2" t="e">
        <f ca="1">_xll.BDH($C$403,"CASH_FLOW_GROWTH","FY 2015","FY 2015","Currency=INR","Period=FY","BEST_FPERIOD_OVERRIDE=FY","FILING_STATUS=OR","EQY_CONSOLIDATED=Y","Sort=A","Dates=H","DateFormat=P","Fill=—","Direction=H","UseDPDF=Y")</f>
        <v>#NAME?</v>
      </c>
      <c r="AM408" s="2" t="e">
        <f ca="1">_xll.BDH($C$403,"GEO_GROW_NET_SALES","FY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08" s="2" t="e">
        <f ca="1">_xll.BDH($C$403,"GEO_GROW_EBITDA","FY 2015","FY 2015","Currency=INR","Period=FY","BEST_FPERIOD_OVERRIDE=FY","FILING_STATUS=OR","EQY_CONSOLIDATED=Y","FA_ADJUSTED=GAAP","Sort=A","Dates=H","DateFormat=P","Fill=—","Direction=H","UseDPDF=Y")</f>
        <v>#NAME?</v>
      </c>
      <c r="AO408" s="2" t="e">
        <f ca="1">_xll.BDH($C$403,"GEO_GROW_OPER_INC","FY 2015","FY 2015","Currency=INR","Period=FY","BEST_FPERIOD_OVERRIDE=FY","FILING_STATUS=OR","EQY_CONSOLIDATED=Y","FA_ADJUSTED=GAAP","Sort=A","Dates=H","DateFormat=P","Fill=—","Direction=H","UseDPDF=Y")</f>
        <v>#NAME?</v>
      </c>
      <c r="AP408" s="2" t="e">
        <f ca="1">_xll.BDH($C$403,"NET_INCOME_TO_COMMON_5_YR_GROWTH","FY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08" s="2" t="e">
        <f ca="1">_xll.BDH($C$403,"5Y_GEO_GROWTH_DILUTED_EPS","FY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08" s="2" t="e">
        <f ca="1">_xll.BDH($C$403,"GEO_GROW_DVD_PER_SH","FY 2015","FY 2015","Currency=INR","Period=FY","BEST_FPERIOD_OVERRIDE=FY","FILING_STATUS=OR","EQY_CONSOLIDATED=Y","Sort=A","Dates=H","DateFormat=P","Fill=—","Direction=H","UseDPDF=Y")</f>
        <v>#NAME?</v>
      </c>
      <c r="AS408" s="2" t="e">
        <f ca="1">_xll.BDH($C$403,"ACCOUNTS_RECEIVABLE_5_YR_GROWTH","FY 2015","FY 2015","Currency=INR","Period=FY","BEST_FPERIOD_OVERRIDE=FY","FILING_STATUS=OR","EQY_CONSOLIDATED=Y","Sort=A","Dates=H","DateFormat=P","Fill=—","Direction=H","UseDPDF=Y")</f>
        <v>#NAME?</v>
      </c>
      <c r="AT408" s="2" t="e">
        <f ca="1">_xll.BDH($C$403,"INVENTORY_5_YEAR_GROWTH","FY 2015","FY 2015","Currency=INR","Period=FY","BEST_FPERIOD_OVERRIDE=FY","FILING_STATUS=OR","EQY_CONSOLIDATED=Y","Sort=A","Dates=H","DateFormat=P","Fill=—","Direction=H","UseDPDF=Y")</f>
        <v>#NAME?</v>
      </c>
      <c r="AU408" s="2" t="e">
        <f ca="1">_xll.BDH($C$403,"NET_FIXED_ASSETS_5_YEAR_GROWTH","FY 2015","FY 2015","Currency=INR","Period=FY","BEST_FPERIOD_OVERRIDE=FY","FILING_STATUS=OR","EQY_CONSOLIDATED=Y","Sort=A","Dates=H","DateFormat=P","Fill=—","Direction=H","UseDPDF=Y")</f>
        <v>#NAME?</v>
      </c>
      <c r="AV408" s="2" t="e">
        <f ca="1">_xll.BDH($C$403,"GEO_GROW_TOT_ASSET","FY 2015","FY 2015","Currency=INR","Period=FY","BEST_FPERIOD_OVERRIDE=FY","FILING_STATUS=OR","EQY_CONSOLIDATED=Y","Sort=A","Dates=H","DateFormat=P","Fill=—","Direction=H","UseDPDF=Y")</f>
        <v>#NAME?</v>
      </c>
      <c r="AW408" s="2" t="e">
        <f ca="1">_xll.BDH($C$403,"MODIFIED_WORKING_CPTL_5YR_GRWTH","FY 2015","FY 2015","Currency=INR","Period=FY","BEST_FPERIOD_OVERRIDE=FY","FILING_STATUS=OR","EQY_CONSOLIDATED=Y","Sort=A","Dates=H","DateFormat=P","Fill=—","Direction=H","UseDPDF=Y")</f>
        <v>#NAME?</v>
      </c>
      <c r="AX408" s="2" t="e">
        <f ca="1">_xll.BDH($C$403,"WORKING_CAPITAL_5_YEAR_GROWTH","FY 2015","FY 2015","Currency=INR","Period=FY","BEST_FPERIOD_OVERRIDE=FY","FILING_STATUS=OR","EQY_CONSOLIDATED=Y","Sort=A","Dates=H","DateFormat=P","Fill=—","Direction=H","UseDPDF=Y")</f>
        <v>#NAME?</v>
      </c>
      <c r="AY408" s="2" t="e">
        <f ca="1">_xll.BDH($C$403,"ACCOUNTS_PAYABLE_5_YEAR_GROWTH","FY 2015","FY 2015","Currency=INR","Period=FY","BEST_FPERIOD_OVERRIDE=FY","FILING_STATUS=OR","EQY_CONSOLIDATED=Y","Sort=A","Dates=H","DateFormat=P","Fill=—","Direction=H","UseDPDF=Y")</f>
        <v>#NAME?</v>
      </c>
      <c r="AZ408" s="2" t="e">
        <f ca="1">_xll.BDH($C$403,"SHORT_TERM_DEBT_5_YEAR_GROWTH","FY 2015","FY 2015","Currency=INR","Period=FY","BEST_FPERIOD_OVERRIDE=FY","FILING_STATUS=OR","EQY_CONSOLIDATED=Y","Sort=A","Dates=H","DateFormat=P","Fill=—","Direction=H","UseDPDF=Y")</f>
        <v>#NAME?</v>
      </c>
      <c r="BA408" s="2" t="e">
        <f ca="1">_xll.BDH($C$403,"TOTAL_DEBT_5_YEAR_GROWTH","FY 2015","FY 2015","Currency=INR","Period=FY","BEST_FPERIOD_OVERRIDE=FY","FILING_STATUS=OR","EQY_CONSOLIDATED=Y","Sort=A","Dates=H","DateFormat=P","Fill=—","Direction=H","UseDPDF=Y")</f>
        <v>#NAME?</v>
      </c>
      <c r="BB408" s="2" t="e">
        <f ca="1">_xll.BDH($C$403,"GEO_GROW_TOT_SHRHLDR_EQY","FY 2015","FY 2015","Currency=INR","Period=FY","BEST_FPERIOD_OVERRIDE=FY","FILING_STATUS=OR","EQY_CONSOLIDATED=Y","Sort=A","Dates=H","DateFormat=P","Fill=—","Direction=H","UseDPDF=Y")</f>
        <v>#NAME?</v>
      </c>
      <c r="BC408" s="2" t="e">
        <f ca="1">_xll.BDH($C$403,"TOTAL_CAPITAL_5_YEAR_GROWTH","FY 2015","FY 2015","Currency=INR","Period=FY","BEST_FPERIOD_OVERRIDE=FY","FILING_STATUS=OR","EQY_CONSOLIDATED=Y","Sort=A","Dates=H","DateFormat=P","Fill=—","Direction=H","UseDPDF=Y")</f>
        <v>#NAME?</v>
      </c>
      <c r="BD408" s="2" t="e">
        <f ca="1">_xll.BDH($C$403,"GEO_GROW_BOOK_VAL","FY 2015","FY 2015","Currency=INR","Period=FY","BEST_FPERIOD_OVERRIDE=FY","FILING_STATUS=OR","EQY_CONSOLIDATED=Y","Sort=A","Dates=H","DateFormat=P","Fill=—","Direction=H","UseDPDF=Y")</f>
        <v>#NAME?</v>
      </c>
      <c r="BE408" s="2" t="e">
        <f ca="1">_xll.BDH($C$403,"GEO_GROW_CASH_OPER_ACT","FY 2015","FY 2015","Currency=INR","Period=FY","BEST_FPERIOD_OVERRIDE=FY","FILING_STATUS=OR","EQY_CONSOLIDATED=Y","Sort=A","Dates=H","DateFormat=P","Fill=—","Direction=H","UseDPDF=Y")</f>
        <v>#NAME?</v>
      </c>
      <c r="BF408" s="2" t="e">
        <f ca="1">_xll.BDH($C$403,"REVENUE_SEQUENTIAL_GROWTH","FY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08" s="2" t="e">
        <f ca="1">_xll.BDH($C$403,"EBITDA_SEQUENTIAL_GROWTH","FY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08" s="2" t="e">
        <f ca="1">_xll.BDH($C$403,"OPERATING_INCOME_SEQ_GROWTH","FY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08" s="2" t="e">
        <f ca="1">_xll.BDH($C$403,"NET_INCOME_TO_COMMON_SEQ_GROWTH","FY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08" s="2" t="e">
        <f ca="1">_xll.BDH($C$403,"EPS_DILUTED_SEQUENTIAL_GROWTH","FY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08" s="2" t="e">
        <f ca="1">_xll.BDH($C$403,"DPS_SEQUENTIAL_GROWTH","FY 2015","FY 2015","Currency=INR","Period=FY","BEST_FPERIOD_OVERRIDE=FY","FILING_STATUS=OR","EQY_CONSOLIDATED=Y","Sort=A","Dates=H","DateFormat=P","Fill=—","Direction=H","UseDPDF=Y")</f>
        <v>#NAME?</v>
      </c>
      <c r="BL408" s="2" t="e">
        <f ca="1">_xll.BDH($C$403,"ACCOUNTS_RECEIVABLE_SEQ_GROWTH","FY 2015","FY 2015","Currency=INR","Period=FY","BEST_FPERIOD_OVERRIDE=FY","FILING_STATUS=OR","EQY_CONSOLIDATED=Y","Sort=A","Dates=H","DateFormat=P","Fill=—","Direction=H","UseDPDF=Y")</f>
        <v>#NAME?</v>
      </c>
      <c r="BM408" s="2" t="e">
        <f ca="1">_xll.BDH($C$403,"INVENTORY_SEQUENTIAL_GROWTH","FY 2015","FY 2015","Currency=INR","Period=FY","BEST_FPERIOD_OVERRIDE=FY","FILING_STATUS=OR","EQY_CONSOLIDATED=Y","Sort=A","Dates=H","DateFormat=P","Fill=—","Direction=H","UseDPDF=Y")</f>
        <v>#NAME?</v>
      </c>
      <c r="BN408" s="2" t="e">
        <f ca="1">_xll.BDH($C$403,"FIXED_ASSETS_SEQUENTIAL_GROWTH","FY 2015","FY 2015","Currency=INR","Period=FY","BEST_FPERIOD_OVERRIDE=FY","FILING_STATUS=OR","EQY_CONSOLIDATED=Y","Sort=A","Dates=H","DateFormat=P","Fill=—","Direction=H","UseDPDF=Y")</f>
        <v>#NAME?</v>
      </c>
      <c r="BO408" s="2" t="e">
        <f ca="1">_xll.BDH($C$403,"TOTAL_ASSETS_SEQUENTIAL_GROWTH","FY 2015","FY 2015","Currency=INR","Period=FY","BEST_FPERIOD_OVERRIDE=FY","FILING_STATUS=OR","EQY_CONSOLIDATED=Y","Sort=A","Dates=H","DateFormat=P","Fill=—","Direction=H","UseDPDF=Y")</f>
        <v>#NAME?</v>
      </c>
      <c r="BP408" s="2" t="e">
        <f ca="1">_xll.BDH($C$403,"MODIFIED_WORKING_CPTL_SEQ_GRWTH","FY 2015","FY 2015","Currency=INR","Period=FY","BEST_FPERIOD_OVERRIDE=FY","FILING_STATUS=OR","EQY_CONSOLIDATED=Y","Sort=A","Dates=H","DateFormat=P","Fill=—","Direction=H","UseDPDF=Y")</f>
        <v>#NAME?</v>
      </c>
      <c r="BQ408" s="2" t="e">
        <f ca="1">_xll.BDH($C$403,"WORKING_CAPITAL_SEQ_GROWTH","FY 2015","FY 2015","Currency=INR","Period=FY","BEST_FPERIOD_OVERRIDE=FY","FILING_STATUS=OR","EQY_CONSOLIDATED=Y","Sort=A","Dates=H","DateFormat=P","Fill=—","Direction=H","UseDPDF=Y")</f>
        <v>#NAME?</v>
      </c>
      <c r="BR408" s="2" t="e">
        <f ca="1">_xll.BDH($C$403,"ACCOUNTS_PAYABLE_SEQ_GROWTH","FY 2015","FY 2015","Currency=INR","Period=FY","BEST_FPERIOD_OVERRIDE=FY","FILING_STATUS=OR","EQY_CONSOLIDATED=Y","Sort=A","Dates=H","DateFormat=P","Fill=—","Direction=H","UseDPDF=Y")</f>
        <v>#NAME?</v>
      </c>
      <c r="BS408" s="2" t="e">
        <f ca="1">_xll.BDH($C$403,"ST_DEBT_SEQUENTIAL_GROWTH","FY 2015","FY 2015","Currency=INR","Period=FY","BEST_FPERIOD_OVERRIDE=FY","FILING_STATUS=OR","EQY_CONSOLIDATED=Y","Sort=A","Dates=H","DateFormat=P","Fill=—","Direction=H","UseDPDF=Y")</f>
        <v>#NAME?</v>
      </c>
      <c r="BT408" s="2" t="e">
        <f ca="1">_xll.BDH($C$403,"TOTAL_DEBT_SEQUENTIAL_GROWTH","FY 2015","FY 2015","Currency=INR","Period=FY","BEST_FPERIOD_OVERRIDE=FY","FILING_STATUS=OR","EQY_CONSOLIDATED=Y","Sort=A","Dates=H","DateFormat=P","Fill=—","Direction=H","UseDPDF=Y")</f>
        <v>#NAME?</v>
      </c>
      <c r="BU408" s="2" t="e">
        <f ca="1">_xll.BDH($C$403,"TOTAL_EQUITY_SEQUENTIAL_GROWTH","FY 2015","FY 2015","Currency=INR","Period=FY","BEST_FPERIOD_OVERRIDE=FY","FILING_STATUS=OR","EQY_CONSOLIDATED=Y","Sort=A","Dates=H","DateFormat=P","Fill=—","Direction=H","UseDPDF=Y")</f>
        <v>#NAME?</v>
      </c>
      <c r="BV408" s="2" t="e">
        <f ca="1">_xll.BDH($C$403,"TOTAL_CAPITAL_SEQUENTIAL_GROWTH","FY 2015","FY 2015","Currency=INR","Period=FY","BEST_FPERIOD_OVERRIDE=FY","FILING_STATUS=OR","EQY_CONSOLIDATED=Y","Sort=A","Dates=H","DateFormat=P","Fill=—","Direction=H","UseDPDF=Y")</f>
        <v>#NAME?</v>
      </c>
      <c r="BW408" s="2" t="e">
        <f ca="1">_xll.BDH($C$403,"BPS_SEQUENTIAL_GROWTH","FY 2015","FY 2015","Currency=INR","Period=FY","BEST_FPERIOD_OVERRIDE=FY","FILING_STATUS=OR","EQY_CONSOLIDATED=Y","Sort=A","Dates=H","DateFormat=P","Fill=—","Direction=H","UseDPDF=Y")</f>
        <v>#NAME?</v>
      </c>
      <c r="BX408" s="2" t="e">
        <f ca="1">_xll.BDH($C$403,"CFO_SEQUENTIAL_GROWTH","FY 2015","FY 2015","Currency=INR","Period=FY","BEST_FPERIOD_OVERRIDE=FY","FILING_STATUS=OR","EQY_CONSOLIDATED=Y","Sort=A","Dates=H","DateFormat=P","Fill=—","Direction=H","UseDPDF=Y")</f>
        <v>#NAME?</v>
      </c>
      <c r="BY408" s="3" t="e">
        <f ca="1">_xll.BDH($C$403,"SHORT_AND_LONG_TERM_DEBT","FY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08" s="3" t="e">
        <f ca="1">_xll.BDH($C$403,"BS_ST_BORROW","FY 2015","FY 2015","Currency=INR","Period=FY","BEST_FPERIOD_OVERRIDE=FY","FILING_STATUS=OR","EQY_CONSOLIDATED=Y","SCALING_FORMAT=MLN","Sort=A","Dates=H","DateFormat=P","Fill=—","Direction=H","UseDPDF=Y")</f>
        <v>#NAME?</v>
      </c>
      <c r="CA408" s="3" t="e">
        <f ca="1">_xll.BDH($C$403,"BS_LT_BORROW","FY 2015","FY 2015","Currency=INR","Period=FY","BEST_FPERIOD_OVERRIDE=FY","FILING_STATUS=OR","EQY_CONSOLIDATED=Y","SCALING_FORMAT=MLN","Sort=A","Dates=H","DateFormat=P","Fill=—","Direction=H","UseDPDF=Y")</f>
        <v>#NAME?</v>
      </c>
      <c r="CB408" s="2" t="e">
        <f ca="1">_xll.BDH($C$403,"TOT_DEBT_TO_EBITDA","FY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08" s="2" t="e">
        <f ca="1">_xll.BDH($C$403,"NET_DEBT_TO_EBITDA","FY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08" s="2" t="e">
        <f ca="1">_xll.BDH($C$403,"TOTAL_DEBT_TO_EBIT","FY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08" s="2" t="e">
        <f ca="1">_xll.BDH($C$403,"NET_DEBT_TO_EBIT","FY 2015","FY 2015","Currency=INR","Period=FY","BEST_FPERIOD_OVERRIDE=FY","FILING_STATUS=OR","EQY_CONSOLIDATED=Y","FA_ADJUSTED=GAAP","Sort=A","Dates=H","DateFormat=P","Fill=—","Direction=H","UseDPDF=Y")</f>
        <v>#NAME?</v>
      </c>
      <c r="CF408" s="2" t="e">
        <f ca="1">_xll.BDH($C$403,"EBITDA_TO_INTEREST_EXPN","FY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08" s="2" t="e">
        <f ca="1">_xll.BDH($C$403,"COM_EQY_TO_TOT_ASSET","FY 2015","FY 2015","Currency=INR","Period=FY","BEST_FPERIOD_OVERRIDE=FY","FILING_STATUS=OR","EQY_CONSOLIDATED=Y","Sort=A","Dates=H","DateFormat=P","Fill=—","Direction=H","UseDPDF=Y")</f>
        <v>#NAME?</v>
      </c>
      <c r="CH408" s="2" t="e">
        <f ca="1">_xll.BDH($C$403,"LT_DEBT_TO_TOT_EQY","FY 2015","FY 2015","Currency=INR","Period=FY","BEST_FPERIOD_OVERRIDE=FY","FILING_STATUS=OR","EQY_CONSOLIDATED=Y","Sort=A","Dates=H","DateFormat=P","Fill=—","Direction=H","UseDPDF=Y")</f>
        <v>#NAME?</v>
      </c>
      <c r="CI408" s="2" t="e">
        <f ca="1">_xll.BDH($C$403,"LT_DEBT_TO_TOT_CAP","FY 2015","FY 2015","Currency=INR","Period=FY","BEST_FPERIOD_OVERRIDE=FY","FILING_STATUS=OR","EQY_CONSOLIDATED=Y","Sort=A","Dates=H","DateFormat=P","Fill=—","Direction=H","UseDPDF=Y")</f>
        <v>#NAME?</v>
      </c>
      <c r="CJ408" s="2" t="e">
        <f ca="1">_xll.BDH($C$403,"LT_DEBT_TO_TOT_ASSET","FY 2015","FY 2015","Currency=INR","Period=FY","BEST_FPERIOD_OVERRIDE=FY","FILING_STATUS=OR","EQY_CONSOLIDATED=Y","Sort=A","Dates=H","DateFormat=P","Fill=—","Direction=H","UseDPDF=Y")</f>
        <v>#NAME?</v>
      </c>
      <c r="CK408" s="2" t="e">
        <f ca="1">_xll.BDH($C$403,"TOT_DEBT_TO_TOT_EQY","FY 2015","FY 2015","Currency=INR","Period=FY","BEST_FPERIOD_OVERRIDE=FY","FILING_STATUS=OR","EQY_CONSOLIDATED=Y","Sort=A","Dates=H","DateFormat=P","Fill=—","Direction=H","UseDPDF=Y")</f>
        <v>#NAME?</v>
      </c>
      <c r="CL408" s="2" t="e">
        <f ca="1">_xll.BDH($C$403,"TOT_DEBT_TO_TOT_CAP","FY 2015","FY 2015","Currency=INR","Period=FY","BEST_FPERIOD_OVERRIDE=FY","FILING_STATUS=OR","EQY_CONSOLIDATED=Y","Sort=A","Dates=H","DateFormat=P","Fill=—","Direction=H","UseDPDF=Y")</f>
        <v>#NAME?</v>
      </c>
      <c r="CM408" s="2" t="e">
        <f ca="1">_xll.BDH($C$403,"TOT_DEBT_TO_TOT_ASSET","FY 2015","FY 2015","Currency=INR","Period=FY","BEST_FPERIOD_OVERRIDE=FY","FILING_STATUS=OR","EQY_CONSOLIDATED=Y","Sort=A","Dates=H","DateFormat=P","Fill=—","Direction=H","UseDPDF=Y")</f>
        <v>#NAME?</v>
      </c>
      <c r="CN408" s="2" t="e">
        <f ca="1">_xll.BDH($C$403,"NET_DEBT_TO_SHRHLDR_EQTY","FY 2015","FY 2015","Currency=INR","Period=FY","BEST_FPERIOD_OVERRIDE=FY","FILING_STATUS=OR","EQY_CONSOLIDATED=Y","Sort=A","Dates=H","DateFormat=P","Fill=—","Direction=H","UseDPDF=Y")</f>
        <v>#NAME?</v>
      </c>
      <c r="CO408" s="2" t="e">
        <f ca="1">_xll.BDH($C$403,"NET_DEBT_%_CAPITAL","FY 2015","FY 2015","Currency=INR","Period=FY","BEST_FPERIOD_OVERRIDE=FY","FILING_STATUS=OR","EQY_CONSOLIDATED=Y","Sort=A","Dates=H","DateFormat=P","Fill=—","Direction=H","UseDPDF=Y")</f>
        <v>#NAME?</v>
      </c>
      <c r="CP408" s="3" t="e">
        <f ca="1">_xll.BDH($C$403,"EBITDA","FY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08" s="3" t="e">
        <f ca="1">_xll.BDH($C$403,"EBITDA_AFTER_CAPEX","FY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08" s="3" t="e">
        <f ca="1">_xll.BDH($C$403,"IS_OPER_INC","FY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08" s="2" t="e">
        <f ca="1">_xll.BDH($C$403,"CASH_RATIO","FY 2015","FY 2015","Currency=INR","Period=FY","BEST_FPERIOD_OVERRIDE=FY","FILING_STATUS=OR","EQY_CONSOLIDATED=Y","Sort=A","Dates=H","DateFormat=P","Fill=—","Direction=H","UseDPDF=Y")</f>
        <v>#NAME?</v>
      </c>
      <c r="CT408" s="2" t="e">
        <f ca="1">_xll.BDH($C$403,"CUR_RATIO","FY 2015","FY 2015","Currency=INR","Period=FY","BEST_FPERIOD_OVERRIDE=FY","FILING_STATUS=OR","EQY_CONSOLIDATED=Y","Sort=A","Dates=H","DateFormat=P","Fill=—","Direction=H","UseDPDF=Y")</f>
        <v>#NAME?</v>
      </c>
      <c r="CU408" s="2" t="e">
        <f ca="1">_xll.BDH($C$403,"QUICK_RATIO","FY 2015","FY 2015","Currency=INR","Period=FY","BEST_FPERIOD_OVERRIDE=FY","FILING_STATUS=OR","EQY_CONSOLIDATED=Y","Sort=A","Dates=H","DateFormat=P","Fill=—","Direction=H","UseDPDF=Y")</f>
        <v>#NAME?</v>
      </c>
      <c r="CV408" s="2" t="e">
        <f ca="1">_xll.BDH($C$403,"ALTMAN_Z_SCORE","FY 2015","FY 2015","Currency=INR","Period=FY","BEST_FPERIOD_OVERRIDE=FY","FILING_STATUS=OR","EQY_CONSOLIDATED=Y","Sort=A","Dates=H","DateFormat=P","Fill=—","Direction=H","UseDPDF=Y")</f>
        <v>#NAME?</v>
      </c>
      <c r="CW408" s="4" t="e">
        <f ca="1">_xll.BDH($C$403,"ACCT_RCV_TURN","FY 2015","FY 2015","Currency=INR","Period=FY","BEST_FPERIOD_OVERRIDE=FY","FILING_STATUS=OR","EQY_CONSOLIDATED=Y","FA_ADJUSTED=GAAP","Sort=A","Dates=H","DateFormat=P","Fill=—","Direction=H","UseDPDF=Y")</f>
        <v>#NAME?</v>
      </c>
      <c r="CX408" s="2" t="e">
        <f ca="1">_xll.BDH($C$403,"ACCT_RCV_DAYS","FY 2015","FY 2015","Currency=INR","Period=FY","BEST_FPERIOD_OVERRIDE=FY","FILING_STATUS=OR","EQY_CONSOLIDATED=Y","FA_ADJUSTED=GAAP","Sort=A","Dates=H","DateFormat=P","Fill=—","Direction=H","UseDPDF=Y")</f>
        <v>#NAME?</v>
      </c>
      <c r="CY408" s="4" t="e">
        <f ca="1">_xll.BDH($C$403,"INVENT_TURN","FY 2015","FY 2015","Currency=INR","Period=FY","BEST_FPERIOD_OVERRIDE=FY","FILING_STATUS=OR","EQY_CONSOLIDATED=Y","FA_ADJUSTED=GAAP","Sort=A","Dates=H","DateFormat=P","Fill=—","Direction=H","UseDPDF=Y")</f>
        <v>#NAME?</v>
      </c>
      <c r="CZ408" s="2" t="e">
        <f ca="1">_xll.BDH($C$403,"INVENT_DAYS","FY 2015","FY 2015","Currency=INR","Period=FY","BEST_FPERIOD_OVERRIDE=FY","FILING_STATUS=OR","EQY_CONSOLIDATED=Y","FA_ADJUSTED=GAAP","Sort=A","Dates=H","DateFormat=P","Fill=—","Direction=H","UseDPDF=Y")</f>
        <v>#NAME?</v>
      </c>
      <c r="DA408" s="4" t="e">
        <f ca="1">_xll.BDH($C$403,"ACCOUNTS_PAYABLE_TURNOVER","FY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08" s="2" t="e">
        <f ca="1">_xll.BDH($C$403,"ACCOUNTS_PAYABLE_TURNOVER_DAYS","FY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08" s="4" t="e">
        <f ca="1">_xll.BDH($C$403,"CASH_CONVERSION_CYCLE","FY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08" s="4" t="e">
        <f ca="1">_xll.BDH($C$403,"INV_TO_CASH_DAYS","FY 2015","FY 2015","Currency=INR","Period=FY","BEST_FPERIOD_OVERRIDE=FY","FILING_STATUS=OR","EQY_CONSOLIDATED=Y","FA_ADJUSTED=GAAP","Sort=A","Dates=H","DateFormat=P","Fill=—","Direction=H","UseDPDF=Y")</f>
        <v>#NAME?</v>
      </c>
      <c r="DE408" s="5" t="e">
        <f ca="1">_xll.BDH($C$403,"BS_INVENTORIES","FY 2015","FY 2015","Currency=INR","Period=FY","BEST_FPERIOD_OVERRIDE=FY","FILING_STATUS=OR","EQY_CONSOLIDATED=Y","SCALING_FORMAT=MLN","Sort=A","Dates=H","DateFormat=P","Fill=—","Direction=H","UseDPDF=Y")</f>
        <v>#NAME?</v>
      </c>
      <c r="DF408" s="3" t="e">
        <f ca="1">_xll.BDH($C$403,"INVTRY_RAW_MATERIALS","FY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08" s="3" t="e">
        <f ca="1">_xll.BDH($C$403,"INVTRY_IN_PROGRESS","FY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08" s="3" t="e">
        <f ca="1">_xll.BDH($C$403,"INVTRY_FINISHED_GOODS","FY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08" s="3" t="e">
        <f ca="1">_xll.BDH($C$403,"BS_OTHER_INV","FY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09" spans="1:113" x14ac:dyDescent="0.3">
      <c r="A409" s="6"/>
      <c r="B409" s="6"/>
      <c r="C409" s="6"/>
      <c r="D409" s="6"/>
      <c r="E409" t="s">
        <v>78</v>
      </c>
      <c r="F409" t="e">
        <f ca="1">_xll.BDH($C$403,"RETURN_COM_EQY","FQ1 2015","FQ1 2015","Currency=INR","Period=FQ","BEST_FPERIOD_OVERRIDE=FQ","FILING_STATUS=OR","EQY_CONSOLIDATED=Y","FA_ADJUSTED=GAAP","Sort=A","Dates=H","DateFormat=P","Fill=—","Direction=H","UseDPDF=Y")</f>
        <v>#NAME?</v>
      </c>
      <c r="G409" t="e">
        <f ca="1">_xll.BDH($C$403,"RETURN_ON_ASSET","FQ1 2015","FQ1 2015","Currency=INR","Period=FQ","BEST_FPERIOD_OVERRIDE=FQ","FILING_STATUS=OR","EQY_CONSOLIDATED=Y","FA_ADJUSTED=GAAP","Sort=A","Dates=H","DateFormat=P","Fill=—","Direction=H","UseDPDF=Y")</f>
        <v>#NAME?</v>
      </c>
      <c r="H409" t="e">
        <f ca="1">_xll.BDH($C$403,"RETURN_ON_CAP","FQ1 2015","FQ1 2015","Currency=INR","Period=FQ","BEST_FPERIOD_OVERRIDE=FQ","FILING_STATUS=OR","EQY_CONSOLIDATED=Y","FA_ADJUSTED=GAAP","Sort=A","Dates=H","DateFormat=P","Fill=—","Direction=H","UseDPDF=Y")</f>
        <v>#NAME?</v>
      </c>
      <c r="I409" t="e">
        <f ca="1">_xll.BDH($C$403,"RETURN_ON_INV_CAPITAL","FQ1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09" t="e">
        <f ca="1">_xll.BDH($C$403,"EBITDA_TO_REVENUE","FQ1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09" t="e">
        <f ca="1">_xll.BDH($C$403,"OPER_MARGIN","FQ1 2015","FQ1 2015","Currency=INR","Period=FQ","BEST_FPERIOD_OVERRIDE=FQ","FILING_STATUS=OR","EQY_CONSOLIDATED=Y","FA_ADJUSTED=GAAP","Sort=A","Dates=H","DateFormat=P","Fill=—","Direction=H","UseDPDF=Y")</f>
        <v>#NAME?</v>
      </c>
      <c r="L409" t="e">
        <f ca="1">_xll.BDH($C$403,"INCREMENTAL_OPERATING_MARGIN","FQ1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09" t="e">
        <f ca="1">_xll.BDH($C$403,"PRETAX_INC_TO_NET_SALES","FQ1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09" t="e">
        <f ca="1">_xll.BDH($C$403,"INC_BEF_XO_ITEMS_TO_NET_SALES","FQ1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09" t="e">
        <f ca="1">_xll.BDH($C$403,"PROF_MARGIN","FQ1 2015","FQ1 2015","Currency=INR","Period=FQ","BEST_FPERIOD_OVERRIDE=FQ","FILING_STATUS=OR","EQY_CONSOLIDATED=Y","FA_ADJUSTED=GAAP","Sort=A","Dates=H","DateFormat=P","Fill=—","Direction=H","UseDPDF=Y")</f>
        <v>#NAME?</v>
      </c>
      <c r="P409" t="e">
        <f ca="1">_xll.BDH($C$403,"NET_INCOME_TO_COMMON_MARGIN","FQ1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09" t="e">
        <f ca="1">_xll.BDH($C$403,"EFF_TAX_RATE","FQ1 2015","FQ1 2015","Currency=INR","Period=FQ","BEST_FPERIOD_OVERRIDE=FQ","FILING_STATUS=OR","EQY_CONSOLIDATED=Y","FA_ADJUSTED=GAAP","Sort=A","Dates=H","DateFormat=P","Fill=—","Direction=H","UseDPDF=Y")</f>
        <v>#NAME?</v>
      </c>
      <c r="R409" t="e">
        <f ca="1">_xll.BDH($C$403,"DVD_PAYOUT_RATIO","FQ1 2015","FQ1 2015","Currency=INR","Period=FQ","BEST_FPERIOD_OVERRIDE=FQ","FILING_STATUS=OR","EQY_CONSOLIDATED=Y","FA_ADJUSTED=GAAP","Sort=A","Dates=H","DateFormat=P","Fill=—","Direction=H","UseDPDF=Y")</f>
        <v>#NAME?</v>
      </c>
      <c r="S409" t="e">
        <f ca="1">_xll.BDH($C$403,"SUSTAIN_GROWTH_RT","FQ1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09" s="2" t="e">
        <f ca="1">_xll.BDH($C$403,"SALES_GROWTH","FQ1 2015","FQ1 2015","Currency=INR","Period=FQ","BEST_FPERIOD_OVERRIDE=FQ","FILING_STATUS=OR","EQY_CONSOLIDATED=Y","FA_ADJUSTED=GAAP","Sort=A","Dates=H","DateFormat=P","Fill=—","Direction=H","UseDPDF=Y")</f>
        <v>#NAME?</v>
      </c>
      <c r="U409" s="2" t="e">
        <f ca="1">_xll.BDH($C$403,"EBITDA_GROWTH","FQ1 2015","FQ1 2015","Currency=INR","Period=FQ","BEST_FPERIOD_OVERRIDE=FQ","FILING_STATUS=OR","EQY_CONSOLIDATED=Y","FA_ADJUSTED=GAAP","Sort=A","Dates=H","DateFormat=P","Fill=—","Direction=H","UseDPDF=Y")</f>
        <v>#NAME?</v>
      </c>
      <c r="V409" s="2" t="e">
        <f ca="1">_xll.BDH($C$403,"OPER_INC_GROWTH","FQ1 2015","FQ1 2015","Currency=INR","Period=FQ","BEST_FPERIOD_OVERRIDE=FQ","FILING_STATUS=OR","EQY_CONSOLIDATED=Y","FA_ADJUSTED=GAAP","Sort=A","Dates=H","DateFormat=P","Fill=—","Direction=H","UseDPDF=Y")</f>
        <v>#NAME?</v>
      </c>
      <c r="W409" s="2" t="e">
        <f ca="1">_xll.BDH($C$403,"EARN_FOR_COM_GROWTH","FQ1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09" s="2" t="e">
        <f ca="1">_xll.BDH($C$403,"DILUTED_EPS_AFT_XO_ITEMS_GROWTH","FQ1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09" s="2" t="e">
        <f ca="1">_xll.BDH($C$403,"DIVIDEND_PER_SHARE_1_YEAR_GROWTH","FQ1 2015","FQ1 2015","Currency=INR","Period=FQ","BEST_FPERIOD_OVERRIDE=FQ","FILING_STATUS=OR","EQY_CONSOLIDATED=Y","Sort=A","Dates=H","DateFormat=P","Fill=—","Direction=H","UseDPDF=Y")</f>
        <v>#NAME?</v>
      </c>
      <c r="Z409" s="2" t="e">
        <f ca="1">_xll.BDH($C$403,"ACCOUNTS_RECEIVABLE_GROWTH","FQ1 2015","FQ1 2015","Currency=INR","Period=FQ","BEST_FPERIOD_OVERRIDE=FQ","FILING_STATUS=OR","EQY_CONSOLIDATED=Y","Sort=A","Dates=H","DateFormat=P","Fill=—","Direction=H","UseDPDF=Y")</f>
        <v>#NAME?</v>
      </c>
      <c r="AA409" s="2" t="e">
        <f ca="1">_xll.BDH($C$403,"INVENTORY_GROWTH","FQ1 2015","FQ1 2015","Currency=INR","Period=FQ","BEST_FPERIOD_OVERRIDE=FQ","FILING_STATUS=OR","EQY_CONSOLIDATED=Y","Sort=A","Dates=H","DateFormat=P","Fill=—","Direction=H","UseDPDF=Y")</f>
        <v>#NAME?</v>
      </c>
      <c r="AB409" s="2" t="e">
        <f ca="1">_xll.BDH($C$403,"NET_FIXED_ASSETS_1_YEAR_GROWTH","FQ1 2015","FQ1 2015","Currency=INR","Period=FQ","BEST_FPERIOD_OVERRIDE=FQ","FILING_STATUS=OR","EQY_CONSOLIDATED=Y","Sort=A","Dates=H","DateFormat=P","Fill=—","Direction=H","UseDPDF=Y")</f>
        <v>#NAME?</v>
      </c>
      <c r="AC409" s="2" t="e">
        <f ca="1">_xll.BDH($C$403,"ASSET_GROWTH","FQ1 2015","FQ1 2015","Currency=INR","Period=FQ","BEST_FPERIOD_OVERRIDE=FQ","FILING_STATUS=OR","EQY_CONSOLIDATED=Y","Sort=A","Dates=H","DateFormat=P","Fill=—","Direction=H","UseDPDF=Y")</f>
        <v>#NAME?</v>
      </c>
      <c r="AD409" s="2" t="e">
        <f ca="1">_xll.BDH($C$403,"MODIFIED_WORK_CAP_GROWTH","FQ1 2015","FQ1 2015","Currency=INR","Period=FQ","BEST_FPERIOD_OVERRIDE=FQ","FILING_STATUS=OR","EQY_CONSOLIDATED=Y","Sort=A","Dates=H","DateFormat=P","Fill=—","Direction=H","UseDPDF=Y")</f>
        <v>#NAME?</v>
      </c>
      <c r="AE409" s="2" t="e">
        <f ca="1">_xll.BDH($C$403,"WORK_CAP_GROWTH","FQ1 2015","FQ1 2015","Currency=INR","Period=FQ","BEST_FPERIOD_OVERRIDE=FQ","FILING_STATUS=OR","EQY_CONSOLIDATED=Y","Sort=A","Dates=H","DateFormat=P","Fill=—","Direction=H","UseDPDF=Y")</f>
        <v>#NAME?</v>
      </c>
      <c r="AF409" s="2" t="e">
        <f ca="1">_xll.BDH($C$403,"ACCOUNTS_PAYABLE_GROWTH_1YR","FQ1 2015","FQ1 2015","Currency=INR","Period=FQ","BEST_FPERIOD_OVERRIDE=FQ","FILING_STATUS=OR","EQY_CONSOLIDATED=Y","Sort=A","Dates=H","DateFormat=P","Fill=—","Direction=H","UseDPDF=Y")</f>
        <v>#NAME?</v>
      </c>
      <c r="AG409" s="2" t="e">
        <f ca="1">_xll.BDH($C$403,"SHORT_TERM_DEBT_1_YEAR_GROWTH","FQ1 2015","FQ1 2015","Currency=INR","Period=FQ","BEST_FPERIOD_OVERRIDE=FQ","FILING_STATUS=OR","EQY_CONSOLIDATED=Y","Sort=A","Dates=H","DateFormat=P","Fill=—","Direction=H","UseDPDF=Y")</f>
        <v>#NAME?</v>
      </c>
      <c r="AH409" s="2" t="e">
        <f ca="1">_xll.BDH($C$403,"TOTAL_DEBT_1_YEAR_GROWTH","FQ1 2015","FQ1 2015","Currency=INR","Period=FQ","BEST_FPERIOD_OVERRIDE=FQ","FILING_STATUS=OR","EQY_CONSOLIDATED=Y","Sort=A","Dates=H","DateFormat=P","Fill=—","Direction=H","UseDPDF=Y")</f>
        <v>#NAME?</v>
      </c>
      <c r="AI409" s="2" t="e">
        <f ca="1">_xll.BDH($C$403,"TOTAL_EQUITY_1_YEAR_GROWTH","FQ1 2015","FQ1 2015","Currency=INR","Period=FQ","BEST_FPERIOD_OVERRIDE=FQ","FILING_STATUS=OR","EQY_CONSOLIDATED=Y","Sort=A","Dates=H","DateFormat=P","Fill=—","Direction=H","UseDPDF=Y")</f>
        <v>#NAME?</v>
      </c>
      <c r="AJ409" s="2" t="e">
        <f ca="1">_xll.BDH($C$403,"GROWTH_IN_CAP","FQ1 2015","FQ1 2015","Currency=INR","Period=FQ","BEST_FPERIOD_OVERRIDE=FQ","FILING_STATUS=OR","EQY_CONSOLIDATED=Y","Sort=A","Dates=H","DateFormat=P","Fill=—","Direction=H","UseDPDF=Y")</f>
        <v>#NAME?</v>
      </c>
      <c r="AK409" s="2" t="e">
        <f ca="1">_xll.BDH($C$403,"BVPS_GROWTH","FQ1 2015","FQ1 2015","Currency=INR","Period=FQ","BEST_FPERIOD_OVERRIDE=FQ","FILING_STATUS=OR","EQY_CONSOLIDATED=Y","Sort=A","Dates=H","DateFormat=P","Fill=—","Direction=H","UseDPDF=Y")</f>
        <v>#NAME?</v>
      </c>
      <c r="AL409" s="2" t="e">
        <f ca="1">_xll.BDH($C$403,"CASH_FLOW_GROWTH","FQ1 2015","FQ1 2015","Currency=INR","Period=FQ","BEST_FPERIOD_OVERRIDE=FQ","FILING_STATUS=OR","EQY_CONSOLIDATED=Y","Sort=A","Dates=H","DateFormat=P","Fill=—","Direction=H","UseDPDF=Y")</f>
        <v>#NAME?</v>
      </c>
      <c r="AM409" s="2" t="e">
        <f ca="1">_xll.BDH($C$403,"GEO_GROW_NET_SALES","FQ1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09" s="2" t="e">
        <f ca="1">_xll.BDH($C$403,"GEO_GROW_EBITDA","FQ1 2015","FQ1 2015","Currency=INR","Period=FQ","BEST_FPERIOD_OVERRIDE=FQ","FILING_STATUS=OR","EQY_CONSOLIDATED=Y","FA_ADJUSTED=GAAP","Sort=A","Dates=H","DateFormat=P","Fill=—","Direction=H","UseDPDF=Y")</f>
        <v>#NAME?</v>
      </c>
      <c r="AO409" s="2" t="e">
        <f ca="1">_xll.BDH($C$403,"GEO_GROW_OPER_INC","FQ1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09" s="2" t="e">
        <f ca="1">_xll.BDH($C$403,"NET_INCOME_TO_COMMON_5_YR_GROWTH","FQ1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09" s="2" t="e">
        <f ca="1">_xll.BDH($C$403,"5Y_GEO_GROWTH_DILUTED_EPS","FQ1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09" s="2" t="e">
        <f ca="1">_xll.BDH($C$403,"GEO_GROW_DVD_PER_SH","FQ1 2015","FQ1 2015","Currency=INR","Period=FQ","BEST_FPERIOD_OVERRIDE=FQ","FILING_STATUS=OR","EQY_CONSOLIDATED=Y","Sort=A","Dates=H","DateFormat=P","Fill=—","Direction=H","UseDPDF=Y")</f>
        <v>#NAME?</v>
      </c>
      <c r="AS409" s="2" t="e">
        <f ca="1">_xll.BDH($C$403,"ACCOUNTS_RECEIVABLE_5_YR_GROWTH","FQ1 2015","FQ1 2015","Currency=INR","Period=FQ","BEST_FPERIOD_OVERRIDE=FQ","FILING_STATUS=OR","EQY_CONSOLIDATED=Y","Sort=A","Dates=H","DateFormat=P","Fill=—","Direction=H","UseDPDF=Y")</f>
        <v>#NAME?</v>
      </c>
      <c r="AT409" s="2" t="e">
        <f ca="1">_xll.BDH($C$403,"INVENTORY_5_YEAR_GROWTH","FQ1 2015","FQ1 2015","Currency=INR","Period=FQ","BEST_FPERIOD_OVERRIDE=FQ","FILING_STATUS=OR","EQY_CONSOLIDATED=Y","Sort=A","Dates=H","DateFormat=P","Fill=—","Direction=H","UseDPDF=Y")</f>
        <v>#NAME?</v>
      </c>
      <c r="AU409" s="2" t="e">
        <f ca="1">_xll.BDH($C$403,"NET_FIXED_ASSETS_5_YEAR_GROWTH","FQ1 2015","FQ1 2015","Currency=INR","Period=FQ","BEST_FPERIOD_OVERRIDE=FQ","FILING_STATUS=OR","EQY_CONSOLIDATED=Y","Sort=A","Dates=H","DateFormat=P","Fill=—","Direction=H","UseDPDF=Y")</f>
        <v>#NAME?</v>
      </c>
      <c r="AV409" s="2" t="e">
        <f ca="1">_xll.BDH($C$403,"GEO_GROW_TOT_ASSET","FQ1 2015","FQ1 2015","Currency=INR","Period=FQ","BEST_FPERIOD_OVERRIDE=FQ","FILING_STATUS=OR","EQY_CONSOLIDATED=Y","Sort=A","Dates=H","DateFormat=P","Fill=—","Direction=H","UseDPDF=Y")</f>
        <v>#NAME?</v>
      </c>
      <c r="AW409" s="2" t="e">
        <f ca="1">_xll.BDH($C$403,"MODIFIED_WORKING_CPTL_5YR_GRWTH","FQ1 2015","FQ1 2015","Currency=INR","Period=FQ","BEST_FPERIOD_OVERRIDE=FQ","FILING_STATUS=OR","EQY_CONSOLIDATED=Y","Sort=A","Dates=H","DateFormat=P","Fill=—","Direction=H","UseDPDF=Y")</f>
        <v>#NAME?</v>
      </c>
      <c r="AX409" s="2" t="e">
        <f ca="1">_xll.BDH($C$403,"WORKING_CAPITAL_5_YEAR_GROWTH","FQ1 2015","FQ1 2015","Currency=INR","Period=FQ","BEST_FPERIOD_OVERRIDE=FQ","FILING_STATUS=OR","EQY_CONSOLIDATED=Y","Sort=A","Dates=H","DateFormat=P","Fill=—","Direction=H","UseDPDF=Y")</f>
        <v>#NAME?</v>
      </c>
      <c r="AY409" s="2" t="e">
        <f ca="1">_xll.BDH($C$403,"ACCOUNTS_PAYABLE_5_YEAR_GROWTH","FQ1 2015","FQ1 2015","Currency=INR","Period=FQ","BEST_FPERIOD_OVERRIDE=FQ","FILING_STATUS=OR","EQY_CONSOLIDATED=Y","Sort=A","Dates=H","DateFormat=P","Fill=—","Direction=H","UseDPDF=Y")</f>
        <v>#NAME?</v>
      </c>
      <c r="AZ409" s="2" t="e">
        <f ca="1">_xll.BDH($C$403,"SHORT_TERM_DEBT_5_YEAR_GROWTH","FQ1 2015","FQ1 2015","Currency=INR","Period=FQ","BEST_FPERIOD_OVERRIDE=FQ","FILING_STATUS=OR","EQY_CONSOLIDATED=Y","Sort=A","Dates=H","DateFormat=P","Fill=—","Direction=H","UseDPDF=Y")</f>
        <v>#NAME?</v>
      </c>
      <c r="BA409" s="2" t="e">
        <f ca="1">_xll.BDH($C$403,"TOTAL_DEBT_5_YEAR_GROWTH","FQ1 2015","FQ1 2015","Currency=INR","Period=FQ","BEST_FPERIOD_OVERRIDE=FQ","FILING_STATUS=OR","EQY_CONSOLIDATED=Y","Sort=A","Dates=H","DateFormat=P","Fill=—","Direction=H","UseDPDF=Y")</f>
        <v>#NAME?</v>
      </c>
      <c r="BB409" s="2" t="e">
        <f ca="1">_xll.BDH($C$403,"GEO_GROW_TOT_SHRHLDR_EQY","FQ1 2015","FQ1 2015","Currency=INR","Period=FQ","BEST_FPERIOD_OVERRIDE=FQ","FILING_STATUS=OR","EQY_CONSOLIDATED=Y","Sort=A","Dates=H","DateFormat=P","Fill=—","Direction=H","UseDPDF=Y")</f>
        <v>#NAME?</v>
      </c>
      <c r="BC409" s="2" t="e">
        <f ca="1">_xll.BDH($C$403,"TOTAL_CAPITAL_5_YEAR_GROWTH","FQ1 2015","FQ1 2015","Currency=INR","Period=FQ","BEST_FPERIOD_OVERRIDE=FQ","FILING_STATUS=OR","EQY_CONSOLIDATED=Y","Sort=A","Dates=H","DateFormat=P","Fill=—","Direction=H","UseDPDF=Y")</f>
        <v>#NAME?</v>
      </c>
      <c r="BD409" s="2" t="e">
        <f ca="1">_xll.BDH($C$403,"GEO_GROW_BOOK_VAL","FQ1 2015","FQ1 2015","Currency=INR","Period=FQ","BEST_FPERIOD_OVERRIDE=FQ","FILING_STATUS=OR","EQY_CONSOLIDATED=Y","Sort=A","Dates=H","DateFormat=P","Fill=—","Direction=H","UseDPDF=Y")</f>
        <v>#NAME?</v>
      </c>
      <c r="BE409" s="2" t="e">
        <f ca="1">_xll.BDH($C$403,"GEO_GROW_CASH_OPER_ACT","FQ1 2015","FQ1 2015","Currency=INR","Period=FQ","BEST_FPERIOD_OVERRIDE=FQ","FILING_STATUS=OR","EQY_CONSOLIDATED=Y","Sort=A","Dates=H","DateFormat=P","Fill=—","Direction=H","UseDPDF=Y")</f>
        <v>#NAME?</v>
      </c>
      <c r="BF409" s="2" t="e">
        <f ca="1">_xll.BDH($C$403,"REVENUE_SEQUENTIAL_GROWTH","FQ1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09" s="2" t="e">
        <f ca="1">_xll.BDH($C$403,"EBITDA_SEQUENTIAL_GROWTH","FQ1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09" s="2" t="e">
        <f ca="1">_xll.BDH($C$403,"OPERATING_INCOME_SEQ_GROWTH","FQ1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09" s="2" t="e">
        <f ca="1">_xll.BDH($C$403,"NET_INCOME_TO_COMMON_SEQ_GROWTH","FQ1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09" s="2" t="e">
        <f ca="1">_xll.BDH($C$403,"EPS_DILUTED_SEQUENTIAL_GROWTH","FQ1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09" s="2" t="e">
        <f ca="1">_xll.BDH($C$403,"DPS_SEQUENTIAL_GROWTH","FQ1 2015","FQ1 2015","Currency=INR","Period=FQ","BEST_FPERIOD_OVERRIDE=FQ","FILING_STATUS=OR","EQY_CONSOLIDATED=Y","Sort=A","Dates=H","DateFormat=P","Fill=—","Direction=H","UseDPDF=Y")</f>
        <v>#NAME?</v>
      </c>
      <c r="BL409" s="2" t="e">
        <f ca="1">_xll.BDH($C$403,"ACCOUNTS_RECEIVABLE_SEQ_GROWTH","FQ1 2015","FQ1 2015","Currency=INR","Period=FQ","BEST_FPERIOD_OVERRIDE=FQ","FILING_STATUS=OR","EQY_CONSOLIDATED=Y","Sort=A","Dates=H","DateFormat=P","Fill=—","Direction=H","UseDPDF=Y")</f>
        <v>#NAME?</v>
      </c>
      <c r="BM409" s="2" t="e">
        <f ca="1">_xll.BDH($C$403,"INVENTORY_SEQUENTIAL_GROWTH","FQ1 2015","FQ1 2015","Currency=INR","Period=FQ","BEST_FPERIOD_OVERRIDE=FQ","FILING_STATUS=OR","EQY_CONSOLIDATED=Y","Sort=A","Dates=H","DateFormat=P","Fill=—","Direction=H","UseDPDF=Y")</f>
        <v>#NAME?</v>
      </c>
      <c r="BN409" s="2" t="e">
        <f ca="1">_xll.BDH($C$403,"FIXED_ASSETS_SEQUENTIAL_GROWTH","FQ1 2015","FQ1 2015","Currency=INR","Period=FQ","BEST_FPERIOD_OVERRIDE=FQ","FILING_STATUS=OR","EQY_CONSOLIDATED=Y","Sort=A","Dates=H","DateFormat=P","Fill=—","Direction=H","UseDPDF=Y")</f>
        <v>#NAME?</v>
      </c>
      <c r="BO409" s="2" t="e">
        <f ca="1">_xll.BDH($C$403,"TOTAL_ASSETS_SEQUENTIAL_GROWTH","FQ1 2015","FQ1 2015","Currency=INR","Period=FQ","BEST_FPERIOD_OVERRIDE=FQ","FILING_STATUS=OR","EQY_CONSOLIDATED=Y","Sort=A","Dates=H","DateFormat=P","Fill=—","Direction=H","UseDPDF=Y")</f>
        <v>#NAME?</v>
      </c>
      <c r="BP409" s="2" t="e">
        <f ca="1">_xll.BDH($C$403,"MODIFIED_WORKING_CPTL_SEQ_GRWTH","FQ1 2015","FQ1 2015","Currency=INR","Period=FQ","BEST_FPERIOD_OVERRIDE=FQ","FILING_STATUS=OR","EQY_CONSOLIDATED=Y","Sort=A","Dates=H","DateFormat=P","Fill=—","Direction=H","UseDPDF=Y")</f>
        <v>#NAME?</v>
      </c>
      <c r="BQ409" s="2" t="e">
        <f ca="1">_xll.BDH($C$403,"WORKING_CAPITAL_SEQ_GROWTH","FQ1 2015","FQ1 2015","Currency=INR","Period=FQ","BEST_FPERIOD_OVERRIDE=FQ","FILING_STATUS=OR","EQY_CONSOLIDATED=Y","Sort=A","Dates=H","DateFormat=P","Fill=—","Direction=H","UseDPDF=Y")</f>
        <v>#NAME?</v>
      </c>
      <c r="BR409" s="2" t="e">
        <f ca="1">_xll.BDH($C$403,"ACCOUNTS_PAYABLE_SEQ_GROWTH","FQ1 2015","FQ1 2015","Currency=INR","Period=FQ","BEST_FPERIOD_OVERRIDE=FQ","FILING_STATUS=OR","EQY_CONSOLIDATED=Y","Sort=A","Dates=H","DateFormat=P","Fill=—","Direction=H","UseDPDF=Y")</f>
        <v>#NAME?</v>
      </c>
      <c r="BS409" s="2" t="e">
        <f ca="1">_xll.BDH($C$403,"ST_DEBT_SEQUENTIAL_GROWTH","FQ1 2015","FQ1 2015","Currency=INR","Period=FQ","BEST_FPERIOD_OVERRIDE=FQ","FILING_STATUS=OR","EQY_CONSOLIDATED=Y","Sort=A","Dates=H","DateFormat=P","Fill=—","Direction=H","UseDPDF=Y")</f>
        <v>#NAME?</v>
      </c>
      <c r="BT409" s="2" t="e">
        <f ca="1">_xll.BDH($C$403,"TOTAL_DEBT_SEQUENTIAL_GROWTH","FQ1 2015","FQ1 2015","Currency=INR","Period=FQ","BEST_FPERIOD_OVERRIDE=FQ","FILING_STATUS=OR","EQY_CONSOLIDATED=Y","Sort=A","Dates=H","DateFormat=P","Fill=—","Direction=H","UseDPDF=Y")</f>
        <v>#NAME?</v>
      </c>
      <c r="BU409" s="2" t="e">
        <f ca="1">_xll.BDH($C$403,"TOTAL_EQUITY_SEQUENTIAL_GROWTH","FQ1 2015","FQ1 2015","Currency=INR","Period=FQ","BEST_FPERIOD_OVERRIDE=FQ","FILING_STATUS=OR","EQY_CONSOLIDATED=Y","Sort=A","Dates=H","DateFormat=P","Fill=—","Direction=H","UseDPDF=Y")</f>
        <v>#NAME?</v>
      </c>
      <c r="BV409" s="2" t="e">
        <f ca="1">_xll.BDH($C$403,"TOTAL_CAPITAL_SEQUENTIAL_GROWTH","FQ1 2015","FQ1 2015","Currency=INR","Period=FQ","BEST_FPERIOD_OVERRIDE=FQ","FILING_STATUS=OR","EQY_CONSOLIDATED=Y","Sort=A","Dates=H","DateFormat=P","Fill=—","Direction=H","UseDPDF=Y")</f>
        <v>#NAME?</v>
      </c>
      <c r="BW409" s="2" t="e">
        <f ca="1">_xll.BDH($C$403,"BPS_SEQUENTIAL_GROWTH","FQ1 2015","FQ1 2015","Currency=INR","Period=FQ","BEST_FPERIOD_OVERRIDE=FQ","FILING_STATUS=OR","EQY_CONSOLIDATED=Y","Sort=A","Dates=H","DateFormat=P","Fill=—","Direction=H","UseDPDF=Y")</f>
        <v>#NAME?</v>
      </c>
      <c r="BX409" s="2" t="e">
        <f ca="1">_xll.BDH($C$403,"CFO_SEQUENTIAL_GROWTH","FQ1 2015","FQ1 2015","Currency=INR","Period=FQ","BEST_FPERIOD_OVERRIDE=FQ","FILING_STATUS=OR","EQY_CONSOLIDATED=Y","Sort=A","Dates=H","DateFormat=P","Fill=—","Direction=H","UseDPDF=Y")</f>
        <v>#NAME?</v>
      </c>
      <c r="BY409" s="3" t="e">
        <f ca="1">_xll.BDH($C$403,"SHORT_AND_LONG_TERM_DEBT","FQ1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09" s="3" t="e">
        <f ca="1">_xll.BDH($C$403,"BS_ST_BORROW","FQ1 2015","FQ1 2015","Currency=INR","Period=FQ","BEST_FPERIOD_OVERRIDE=FQ","FILING_STATUS=OR","EQY_CONSOLIDATED=Y","SCALING_FORMAT=MLN","Sort=A","Dates=H","DateFormat=P","Fill=—","Direction=H","UseDPDF=Y")</f>
        <v>#NAME?</v>
      </c>
      <c r="CA409" s="3" t="e">
        <f ca="1">_xll.BDH($C$403,"BS_LT_BORROW","FQ1 2015","FQ1 2015","Currency=INR","Period=FQ","BEST_FPERIOD_OVERRIDE=FQ","FILING_STATUS=OR","EQY_CONSOLIDATED=Y","SCALING_FORMAT=MLN","Sort=A","Dates=H","DateFormat=P","Fill=—","Direction=H","UseDPDF=Y")</f>
        <v>#NAME?</v>
      </c>
      <c r="CB409" s="2" t="e">
        <f ca="1">_xll.BDH($C$403,"TOT_DEBT_TO_EBITDA","FQ1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09" s="2" t="e">
        <f ca="1">_xll.BDH($C$403,"NET_DEBT_TO_EBITDA","FQ1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09" s="2" t="e">
        <f ca="1">_xll.BDH($C$403,"TOTAL_DEBT_TO_EBIT","FQ1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09" s="2" t="e">
        <f ca="1">_xll.BDH($C$403,"NET_DEBT_TO_EBIT","FQ1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09" s="2" t="e">
        <f ca="1">_xll.BDH($C$403,"EBITDA_TO_INTEREST_EXPN","FQ1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09" s="2" t="e">
        <f ca="1">_xll.BDH($C$403,"COM_EQY_TO_TOT_ASSET","FQ1 2015","FQ1 2015","Currency=INR","Period=FQ","BEST_FPERIOD_OVERRIDE=FQ","FILING_STATUS=OR","EQY_CONSOLIDATED=Y","Sort=A","Dates=H","DateFormat=P","Fill=—","Direction=H","UseDPDF=Y")</f>
        <v>#NAME?</v>
      </c>
      <c r="CH409" s="2" t="e">
        <f ca="1">_xll.BDH($C$403,"LT_DEBT_TO_TOT_EQY","FQ1 2015","FQ1 2015","Currency=INR","Period=FQ","BEST_FPERIOD_OVERRIDE=FQ","FILING_STATUS=OR","EQY_CONSOLIDATED=Y","Sort=A","Dates=H","DateFormat=P","Fill=—","Direction=H","UseDPDF=Y")</f>
        <v>#NAME?</v>
      </c>
      <c r="CI409" s="2" t="e">
        <f ca="1">_xll.BDH($C$403,"LT_DEBT_TO_TOT_CAP","FQ1 2015","FQ1 2015","Currency=INR","Period=FQ","BEST_FPERIOD_OVERRIDE=FQ","FILING_STATUS=OR","EQY_CONSOLIDATED=Y","Sort=A","Dates=H","DateFormat=P","Fill=—","Direction=H","UseDPDF=Y")</f>
        <v>#NAME?</v>
      </c>
      <c r="CJ409" s="2" t="e">
        <f ca="1">_xll.BDH($C$403,"LT_DEBT_TO_TOT_ASSET","FQ1 2015","FQ1 2015","Currency=INR","Period=FQ","BEST_FPERIOD_OVERRIDE=FQ","FILING_STATUS=OR","EQY_CONSOLIDATED=Y","Sort=A","Dates=H","DateFormat=P","Fill=—","Direction=H","UseDPDF=Y")</f>
        <v>#NAME?</v>
      </c>
      <c r="CK409" s="2" t="e">
        <f ca="1">_xll.BDH($C$403,"TOT_DEBT_TO_TOT_EQY","FQ1 2015","FQ1 2015","Currency=INR","Period=FQ","BEST_FPERIOD_OVERRIDE=FQ","FILING_STATUS=OR","EQY_CONSOLIDATED=Y","Sort=A","Dates=H","DateFormat=P","Fill=—","Direction=H","UseDPDF=Y")</f>
        <v>#NAME?</v>
      </c>
      <c r="CL409" s="2" t="e">
        <f ca="1">_xll.BDH($C$403,"TOT_DEBT_TO_TOT_CAP","FQ1 2015","FQ1 2015","Currency=INR","Period=FQ","BEST_FPERIOD_OVERRIDE=FQ","FILING_STATUS=OR","EQY_CONSOLIDATED=Y","Sort=A","Dates=H","DateFormat=P","Fill=—","Direction=H","UseDPDF=Y")</f>
        <v>#NAME?</v>
      </c>
      <c r="CM409" s="2" t="e">
        <f ca="1">_xll.BDH($C$403,"TOT_DEBT_TO_TOT_ASSET","FQ1 2015","FQ1 2015","Currency=INR","Period=FQ","BEST_FPERIOD_OVERRIDE=FQ","FILING_STATUS=OR","EQY_CONSOLIDATED=Y","Sort=A","Dates=H","DateFormat=P","Fill=—","Direction=H","UseDPDF=Y")</f>
        <v>#NAME?</v>
      </c>
      <c r="CN409" s="2" t="e">
        <f ca="1">_xll.BDH($C$403,"NET_DEBT_TO_SHRHLDR_EQTY","FQ1 2015","FQ1 2015","Currency=INR","Period=FQ","BEST_FPERIOD_OVERRIDE=FQ","FILING_STATUS=OR","EQY_CONSOLIDATED=Y","Sort=A","Dates=H","DateFormat=P","Fill=—","Direction=H","UseDPDF=Y")</f>
        <v>#NAME?</v>
      </c>
      <c r="CO409" s="2" t="e">
        <f ca="1">_xll.BDH($C$403,"NET_DEBT_%_CAPITAL","FQ1 2015","FQ1 2015","Currency=INR","Period=FQ","BEST_FPERIOD_OVERRIDE=FQ","FILING_STATUS=OR","EQY_CONSOLIDATED=Y","Sort=A","Dates=H","DateFormat=P","Fill=—","Direction=H","UseDPDF=Y")</f>
        <v>#NAME?</v>
      </c>
      <c r="CP409" s="3" t="e">
        <f ca="1">_xll.BDH($C$403,"EBITDA","FQ1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09" s="3" t="e">
        <f ca="1">_xll.BDH($C$403,"EBITDA_AFTER_CAPEX","FQ1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09" s="3" t="e">
        <f ca="1">_xll.BDH($C$403,"IS_OPER_INC","FQ1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09" s="2" t="e">
        <f ca="1">_xll.BDH($C$403,"CASH_RATIO","FQ1 2015","FQ1 2015","Currency=INR","Period=FQ","BEST_FPERIOD_OVERRIDE=FQ","FILING_STATUS=OR","EQY_CONSOLIDATED=Y","Sort=A","Dates=H","DateFormat=P","Fill=—","Direction=H","UseDPDF=Y")</f>
        <v>#NAME?</v>
      </c>
      <c r="CT409" s="2" t="e">
        <f ca="1">_xll.BDH($C$403,"CUR_RATIO","FQ1 2015","FQ1 2015","Currency=INR","Period=FQ","BEST_FPERIOD_OVERRIDE=FQ","FILING_STATUS=OR","EQY_CONSOLIDATED=Y","Sort=A","Dates=H","DateFormat=P","Fill=—","Direction=H","UseDPDF=Y")</f>
        <v>#NAME?</v>
      </c>
      <c r="CU409" s="2" t="e">
        <f ca="1">_xll.BDH($C$403,"QUICK_RATIO","FQ1 2015","FQ1 2015","Currency=INR","Period=FQ","BEST_FPERIOD_OVERRIDE=FQ","FILING_STATUS=OR","EQY_CONSOLIDATED=Y","Sort=A","Dates=H","DateFormat=P","Fill=—","Direction=H","UseDPDF=Y")</f>
        <v>#NAME?</v>
      </c>
      <c r="CV409" s="2" t="e">
        <f ca="1">_xll.BDH($C$403,"ALTMAN_Z_SCORE","FQ1 2015","FQ1 2015","Currency=INR","Period=FQ","BEST_FPERIOD_OVERRIDE=FQ","FILING_STATUS=OR","EQY_CONSOLIDATED=Y","Sort=A","Dates=H","DateFormat=P","Fill=—","Direction=H","UseDPDF=Y")</f>
        <v>#NAME?</v>
      </c>
      <c r="CW409" s="4" t="e">
        <f ca="1">_xll.BDH($C$403,"ACCT_RCV_TURN","FQ1 2015","FQ1 2015","Currency=INR","Period=FQ","BEST_FPERIOD_OVERRIDE=FQ","FILING_STATUS=OR","EQY_CONSOLIDATED=Y","FA_ADJUSTED=GAAP","Sort=A","Dates=H","DateFormat=P","Fill=—","Direction=H","UseDPDF=Y")</f>
        <v>#NAME?</v>
      </c>
      <c r="CX409" s="2" t="e">
        <f ca="1">_xll.BDH($C$403,"ACCT_RCV_DAYS","FQ1 2015","FQ1 2015","Currency=INR","Period=FQ","BEST_FPERIOD_OVERRIDE=FQ","FILING_STATUS=OR","EQY_CONSOLIDATED=Y","FA_ADJUSTED=GAAP","Sort=A","Dates=H","DateFormat=P","Fill=—","Direction=H","UseDPDF=Y")</f>
        <v>#NAME?</v>
      </c>
      <c r="CY409" s="4" t="e">
        <f ca="1">_xll.BDH($C$403,"INVENT_TURN","FQ1 2015","FQ1 2015","Currency=INR","Period=FQ","BEST_FPERIOD_OVERRIDE=FQ","FILING_STATUS=OR","EQY_CONSOLIDATED=Y","FA_ADJUSTED=GAAP","Sort=A","Dates=H","DateFormat=P","Fill=—","Direction=H","UseDPDF=Y")</f>
        <v>#NAME?</v>
      </c>
      <c r="CZ409" s="2" t="e">
        <f ca="1">_xll.BDH($C$403,"INVENT_DAYS","FQ1 2015","FQ1 2015","Currency=INR","Period=FQ","BEST_FPERIOD_OVERRIDE=FQ","FILING_STATUS=OR","EQY_CONSOLIDATED=Y","FA_ADJUSTED=GAAP","Sort=A","Dates=H","DateFormat=P","Fill=—","Direction=H","UseDPDF=Y")</f>
        <v>#NAME?</v>
      </c>
      <c r="DA409" s="4" t="e">
        <f ca="1">_xll.BDH($C$403,"ACCOUNTS_PAYABLE_TURNOVER","FQ1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09" s="2" t="e">
        <f ca="1">_xll.BDH($C$403,"ACCOUNTS_PAYABLE_TURNOVER_DAYS","FQ1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09" s="4" t="e">
        <f ca="1">_xll.BDH($C$403,"CASH_CONVERSION_CYCLE","FQ1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09" s="4" t="e">
        <f ca="1">_xll.BDH($C$403,"INV_TO_CASH_DAYS","FQ1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09" s="5" t="e">
        <f ca="1">_xll.BDH($C$403,"BS_INVENTORIES","FQ1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09" s="3" t="e">
        <f ca="1">_xll.BDH($C$403,"INVTRY_RAW_MATERIALS","FQ1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09" s="3" t="e">
        <f ca="1">_xll.BDH($C$403,"INVTRY_IN_PROGRESS","FQ1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09" s="3" t="e">
        <f ca="1">_xll.BDH($C$403,"INVTRY_FINISHED_GOODS","FQ1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09" s="3" t="e">
        <f ca="1">_xll.BDH($C$403,"BS_OTHER_INV","FQ1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10" spans="1:113" x14ac:dyDescent="0.3">
      <c r="A410" s="6"/>
      <c r="B410" s="6"/>
      <c r="C410" s="6"/>
      <c r="D410" s="6"/>
      <c r="E410" t="s">
        <v>79</v>
      </c>
      <c r="F410" t="e">
        <f ca="1">_xll.BDH($C$403,"RETURN_COM_EQY","FQ2 2015","FQ2 2015","Currency=INR","Period=FQ","BEST_FPERIOD_OVERRIDE=FQ","FILING_STATUS=OR","EQY_CONSOLIDATED=Y","FA_ADJUSTED=GAAP","Sort=A","Dates=H","DateFormat=P","Fill=—","Direction=H","UseDPDF=Y")</f>
        <v>#NAME?</v>
      </c>
      <c r="G410" t="e">
        <f ca="1">_xll.BDH($C$403,"RETURN_ON_ASSET","FQ2 2015","FQ2 2015","Currency=INR","Period=FQ","BEST_FPERIOD_OVERRIDE=FQ","FILING_STATUS=OR","EQY_CONSOLIDATED=Y","FA_ADJUSTED=GAAP","Sort=A","Dates=H","DateFormat=P","Fill=—","Direction=H","UseDPDF=Y")</f>
        <v>#NAME?</v>
      </c>
      <c r="H410" t="e">
        <f ca="1">_xll.BDH($C$403,"RETURN_ON_CAP","FQ2 2015","FQ2 2015","Currency=INR","Period=FQ","BEST_FPERIOD_OVERRIDE=FQ","FILING_STATUS=OR","EQY_CONSOLIDATED=Y","FA_ADJUSTED=GAAP","Sort=A","Dates=H","DateFormat=P","Fill=—","Direction=H","UseDPDF=Y")</f>
        <v>#NAME?</v>
      </c>
      <c r="I410" t="e">
        <f ca="1">_xll.BDH($C$403,"RETURN_ON_INV_CAPITAL","FQ2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10" t="e">
        <f ca="1">_xll.BDH($C$403,"EBITDA_TO_REVENUE","FQ2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10" t="e">
        <f ca="1">_xll.BDH($C$403,"OPER_MARGIN","FQ2 2015","FQ2 2015","Currency=INR","Period=FQ","BEST_FPERIOD_OVERRIDE=FQ","FILING_STATUS=OR","EQY_CONSOLIDATED=Y","FA_ADJUSTED=GAAP","Sort=A","Dates=H","DateFormat=P","Fill=—","Direction=H","UseDPDF=Y")</f>
        <v>#NAME?</v>
      </c>
      <c r="L410" t="e">
        <f ca="1">_xll.BDH($C$403,"INCREMENTAL_OPERATING_MARGIN","FQ2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10" t="e">
        <f ca="1">_xll.BDH($C$403,"PRETAX_INC_TO_NET_SALES","FQ2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10" t="e">
        <f ca="1">_xll.BDH($C$403,"INC_BEF_XO_ITEMS_TO_NET_SALES","FQ2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10" t="e">
        <f ca="1">_xll.BDH($C$403,"PROF_MARGIN","FQ2 2015","FQ2 2015","Currency=INR","Period=FQ","BEST_FPERIOD_OVERRIDE=FQ","FILING_STATUS=OR","EQY_CONSOLIDATED=Y","FA_ADJUSTED=GAAP","Sort=A","Dates=H","DateFormat=P","Fill=—","Direction=H","UseDPDF=Y")</f>
        <v>#NAME?</v>
      </c>
      <c r="P410" t="e">
        <f ca="1">_xll.BDH($C$403,"NET_INCOME_TO_COMMON_MARGIN","FQ2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10" t="e">
        <f ca="1">_xll.BDH($C$403,"EFF_TAX_RATE","FQ2 2015","FQ2 2015","Currency=INR","Period=FQ","BEST_FPERIOD_OVERRIDE=FQ","FILING_STATUS=OR","EQY_CONSOLIDATED=Y","FA_ADJUSTED=GAAP","Sort=A","Dates=H","DateFormat=P","Fill=—","Direction=H","UseDPDF=Y")</f>
        <v>#NAME?</v>
      </c>
      <c r="R410" t="e">
        <f ca="1">_xll.BDH($C$403,"DVD_PAYOUT_RATIO","FQ2 2015","FQ2 2015","Currency=INR","Period=FQ","BEST_FPERIOD_OVERRIDE=FQ","FILING_STATUS=OR","EQY_CONSOLIDATED=Y","FA_ADJUSTED=GAAP","Sort=A","Dates=H","DateFormat=P","Fill=—","Direction=H","UseDPDF=Y")</f>
        <v>#NAME?</v>
      </c>
      <c r="S410" t="e">
        <f ca="1">_xll.BDH($C$403,"SUSTAIN_GROWTH_RT","FQ2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10" s="2" t="e">
        <f ca="1">_xll.BDH($C$403,"SALES_GROWTH","FQ2 2015","FQ2 2015","Currency=INR","Period=FQ","BEST_FPERIOD_OVERRIDE=FQ","FILING_STATUS=OR","EQY_CONSOLIDATED=Y","FA_ADJUSTED=GAAP","Sort=A","Dates=H","DateFormat=P","Fill=—","Direction=H","UseDPDF=Y")</f>
        <v>#NAME?</v>
      </c>
      <c r="U410" s="2" t="e">
        <f ca="1">_xll.BDH($C$403,"EBITDA_GROWTH","FQ2 2015","FQ2 2015","Currency=INR","Period=FQ","BEST_FPERIOD_OVERRIDE=FQ","FILING_STATUS=OR","EQY_CONSOLIDATED=Y","FA_ADJUSTED=GAAP","Sort=A","Dates=H","DateFormat=P","Fill=—","Direction=H","UseDPDF=Y")</f>
        <v>#NAME?</v>
      </c>
      <c r="V410" s="2" t="e">
        <f ca="1">_xll.BDH($C$403,"OPER_INC_GROWTH","FQ2 2015","FQ2 2015","Currency=INR","Period=FQ","BEST_FPERIOD_OVERRIDE=FQ","FILING_STATUS=OR","EQY_CONSOLIDATED=Y","FA_ADJUSTED=GAAP","Sort=A","Dates=H","DateFormat=P","Fill=—","Direction=H","UseDPDF=Y")</f>
        <v>#NAME?</v>
      </c>
      <c r="W410" s="2" t="e">
        <f ca="1">_xll.BDH($C$403,"EARN_FOR_COM_GROWTH","FQ2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10" s="2" t="e">
        <f ca="1">_xll.BDH($C$403,"DILUTED_EPS_AFT_XO_ITEMS_GROWTH","FQ2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10" s="2" t="e">
        <f ca="1">_xll.BDH($C$403,"DIVIDEND_PER_SHARE_1_YEAR_GROWTH","FQ2 2015","FQ2 2015","Currency=INR","Period=FQ","BEST_FPERIOD_OVERRIDE=FQ","FILING_STATUS=OR","EQY_CONSOLIDATED=Y","Sort=A","Dates=H","DateFormat=P","Fill=—","Direction=H","UseDPDF=Y")</f>
        <v>#NAME?</v>
      </c>
      <c r="Z410" s="2" t="e">
        <f ca="1">_xll.BDH($C$403,"ACCOUNTS_RECEIVABLE_GROWTH","FQ2 2015","FQ2 2015","Currency=INR","Period=FQ","BEST_FPERIOD_OVERRIDE=FQ","FILING_STATUS=OR","EQY_CONSOLIDATED=Y","Sort=A","Dates=H","DateFormat=P","Fill=—","Direction=H","UseDPDF=Y")</f>
        <v>#NAME?</v>
      </c>
      <c r="AA410" s="2" t="e">
        <f ca="1">_xll.BDH($C$403,"INVENTORY_GROWTH","FQ2 2015","FQ2 2015","Currency=INR","Period=FQ","BEST_FPERIOD_OVERRIDE=FQ","FILING_STATUS=OR","EQY_CONSOLIDATED=Y","Sort=A","Dates=H","DateFormat=P","Fill=—","Direction=H","UseDPDF=Y")</f>
        <v>#NAME?</v>
      </c>
      <c r="AB410" s="2" t="e">
        <f ca="1">_xll.BDH($C$403,"NET_FIXED_ASSETS_1_YEAR_GROWTH","FQ2 2015","FQ2 2015","Currency=INR","Period=FQ","BEST_FPERIOD_OVERRIDE=FQ","FILING_STATUS=OR","EQY_CONSOLIDATED=Y","Sort=A","Dates=H","DateFormat=P","Fill=—","Direction=H","UseDPDF=Y")</f>
        <v>#NAME?</v>
      </c>
      <c r="AC410" s="2" t="e">
        <f ca="1">_xll.BDH($C$403,"ASSET_GROWTH","FQ2 2015","FQ2 2015","Currency=INR","Period=FQ","BEST_FPERIOD_OVERRIDE=FQ","FILING_STATUS=OR","EQY_CONSOLIDATED=Y","Sort=A","Dates=H","DateFormat=P","Fill=—","Direction=H","UseDPDF=Y")</f>
        <v>#NAME?</v>
      </c>
      <c r="AD410" s="2" t="e">
        <f ca="1">_xll.BDH($C$403,"MODIFIED_WORK_CAP_GROWTH","FQ2 2015","FQ2 2015","Currency=INR","Period=FQ","BEST_FPERIOD_OVERRIDE=FQ","FILING_STATUS=OR","EQY_CONSOLIDATED=Y","Sort=A","Dates=H","DateFormat=P","Fill=—","Direction=H","UseDPDF=Y")</f>
        <v>#NAME?</v>
      </c>
      <c r="AE410" s="2" t="e">
        <f ca="1">_xll.BDH($C$403,"WORK_CAP_GROWTH","FQ2 2015","FQ2 2015","Currency=INR","Period=FQ","BEST_FPERIOD_OVERRIDE=FQ","FILING_STATUS=OR","EQY_CONSOLIDATED=Y","Sort=A","Dates=H","DateFormat=P","Fill=—","Direction=H","UseDPDF=Y")</f>
        <v>#NAME?</v>
      </c>
      <c r="AF410" s="2" t="e">
        <f ca="1">_xll.BDH($C$403,"ACCOUNTS_PAYABLE_GROWTH_1YR","FQ2 2015","FQ2 2015","Currency=INR","Period=FQ","BEST_FPERIOD_OVERRIDE=FQ","FILING_STATUS=OR","EQY_CONSOLIDATED=Y","Sort=A","Dates=H","DateFormat=P","Fill=—","Direction=H","UseDPDF=Y")</f>
        <v>#NAME?</v>
      </c>
      <c r="AG410" s="2" t="e">
        <f ca="1">_xll.BDH($C$403,"SHORT_TERM_DEBT_1_YEAR_GROWTH","FQ2 2015","FQ2 2015","Currency=INR","Period=FQ","BEST_FPERIOD_OVERRIDE=FQ","FILING_STATUS=OR","EQY_CONSOLIDATED=Y","Sort=A","Dates=H","DateFormat=P","Fill=—","Direction=H","UseDPDF=Y")</f>
        <v>#NAME?</v>
      </c>
      <c r="AH410" s="2" t="e">
        <f ca="1">_xll.BDH($C$403,"TOTAL_DEBT_1_YEAR_GROWTH","FQ2 2015","FQ2 2015","Currency=INR","Period=FQ","BEST_FPERIOD_OVERRIDE=FQ","FILING_STATUS=OR","EQY_CONSOLIDATED=Y","Sort=A","Dates=H","DateFormat=P","Fill=—","Direction=H","UseDPDF=Y")</f>
        <v>#NAME?</v>
      </c>
      <c r="AI410" s="2" t="e">
        <f ca="1">_xll.BDH($C$403,"TOTAL_EQUITY_1_YEAR_GROWTH","FQ2 2015","FQ2 2015","Currency=INR","Period=FQ","BEST_FPERIOD_OVERRIDE=FQ","FILING_STATUS=OR","EQY_CONSOLIDATED=Y","Sort=A","Dates=H","DateFormat=P","Fill=—","Direction=H","UseDPDF=Y")</f>
        <v>#NAME?</v>
      </c>
      <c r="AJ410" s="2" t="e">
        <f ca="1">_xll.BDH($C$403,"GROWTH_IN_CAP","FQ2 2015","FQ2 2015","Currency=INR","Period=FQ","BEST_FPERIOD_OVERRIDE=FQ","FILING_STATUS=OR","EQY_CONSOLIDATED=Y","Sort=A","Dates=H","DateFormat=P","Fill=—","Direction=H","UseDPDF=Y")</f>
        <v>#NAME?</v>
      </c>
      <c r="AK410" s="2" t="e">
        <f ca="1">_xll.BDH($C$403,"BVPS_GROWTH","FQ2 2015","FQ2 2015","Currency=INR","Period=FQ","BEST_FPERIOD_OVERRIDE=FQ","FILING_STATUS=OR","EQY_CONSOLIDATED=Y","Sort=A","Dates=H","DateFormat=P","Fill=—","Direction=H","UseDPDF=Y")</f>
        <v>#NAME?</v>
      </c>
      <c r="AL410" s="2" t="e">
        <f ca="1">_xll.BDH($C$403,"CASH_FLOW_GROWTH","FQ2 2015","FQ2 2015","Currency=INR","Period=FQ","BEST_FPERIOD_OVERRIDE=FQ","FILING_STATUS=OR","EQY_CONSOLIDATED=Y","Sort=A","Dates=H","DateFormat=P","Fill=—","Direction=H","UseDPDF=Y")</f>
        <v>#NAME?</v>
      </c>
      <c r="AM410" s="2" t="e">
        <f ca="1">_xll.BDH($C$403,"GEO_GROW_NET_SALES","FQ2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10" s="2" t="e">
        <f ca="1">_xll.BDH($C$403,"GEO_GROW_EBITDA","FQ2 2015","FQ2 2015","Currency=INR","Period=FQ","BEST_FPERIOD_OVERRIDE=FQ","FILING_STATUS=OR","EQY_CONSOLIDATED=Y","FA_ADJUSTED=GAAP","Sort=A","Dates=H","DateFormat=P","Fill=—","Direction=H","UseDPDF=Y")</f>
        <v>#NAME?</v>
      </c>
      <c r="AO410" s="2" t="e">
        <f ca="1">_xll.BDH($C$403,"GEO_GROW_OPER_INC","FQ2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10" s="2" t="e">
        <f ca="1">_xll.BDH($C$403,"NET_INCOME_TO_COMMON_5_YR_GROWTH","FQ2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10" s="2" t="e">
        <f ca="1">_xll.BDH($C$403,"5Y_GEO_GROWTH_DILUTED_EPS","FQ2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10" s="2" t="e">
        <f ca="1">_xll.BDH($C$403,"GEO_GROW_DVD_PER_SH","FQ2 2015","FQ2 2015","Currency=INR","Period=FQ","BEST_FPERIOD_OVERRIDE=FQ","FILING_STATUS=OR","EQY_CONSOLIDATED=Y","Sort=A","Dates=H","DateFormat=P","Fill=—","Direction=H","UseDPDF=Y")</f>
        <v>#NAME?</v>
      </c>
      <c r="AS410" s="2" t="e">
        <f ca="1">_xll.BDH($C$403,"ACCOUNTS_RECEIVABLE_5_YR_GROWTH","FQ2 2015","FQ2 2015","Currency=INR","Period=FQ","BEST_FPERIOD_OVERRIDE=FQ","FILING_STATUS=OR","EQY_CONSOLIDATED=Y","Sort=A","Dates=H","DateFormat=P","Fill=—","Direction=H","UseDPDF=Y")</f>
        <v>#NAME?</v>
      </c>
      <c r="AT410" s="2" t="e">
        <f ca="1">_xll.BDH($C$403,"INVENTORY_5_YEAR_GROWTH","FQ2 2015","FQ2 2015","Currency=INR","Period=FQ","BEST_FPERIOD_OVERRIDE=FQ","FILING_STATUS=OR","EQY_CONSOLIDATED=Y","Sort=A","Dates=H","DateFormat=P","Fill=—","Direction=H","UseDPDF=Y")</f>
        <v>#NAME?</v>
      </c>
      <c r="AU410" s="2" t="e">
        <f ca="1">_xll.BDH($C$403,"NET_FIXED_ASSETS_5_YEAR_GROWTH","FQ2 2015","FQ2 2015","Currency=INR","Period=FQ","BEST_FPERIOD_OVERRIDE=FQ","FILING_STATUS=OR","EQY_CONSOLIDATED=Y","Sort=A","Dates=H","DateFormat=P","Fill=—","Direction=H","UseDPDF=Y")</f>
        <v>#NAME?</v>
      </c>
      <c r="AV410" s="2" t="e">
        <f ca="1">_xll.BDH($C$403,"GEO_GROW_TOT_ASSET","FQ2 2015","FQ2 2015","Currency=INR","Period=FQ","BEST_FPERIOD_OVERRIDE=FQ","FILING_STATUS=OR","EQY_CONSOLIDATED=Y","Sort=A","Dates=H","DateFormat=P","Fill=—","Direction=H","UseDPDF=Y")</f>
        <v>#NAME?</v>
      </c>
      <c r="AW410" s="2" t="e">
        <f ca="1">_xll.BDH($C$403,"MODIFIED_WORKING_CPTL_5YR_GRWTH","FQ2 2015","FQ2 2015","Currency=INR","Period=FQ","BEST_FPERIOD_OVERRIDE=FQ","FILING_STATUS=OR","EQY_CONSOLIDATED=Y","Sort=A","Dates=H","DateFormat=P","Fill=—","Direction=H","UseDPDF=Y")</f>
        <v>#NAME?</v>
      </c>
      <c r="AX410" s="2" t="e">
        <f ca="1">_xll.BDH($C$403,"WORKING_CAPITAL_5_YEAR_GROWTH","FQ2 2015","FQ2 2015","Currency=INR","Period=FQ","BEST_FPERIOD_OVERRIDE=FQ","FILING_STATUS=OR","EQY_CONSOLIDATED=Y","Sort=A","Dates=H","DateFormat=P","Fill=—","Direction=H","UseDPDF=Y")</f>
        <v>#NAME?</v>
      </c>
      <c r="AY410" s="2" t="e">
        <f ca="1">_xll.BDH($C$403,"ACCOUNTS_PAYABLE_5_YEAR_GROWTH","FQ2 2015","FQ2 2015","Currency=INR","Period=FQ","BEST_FPERIOD_OVERRIDE=FQ","FILING_STATUS=OR","EQY_CONSOLIDATED=Y","Sort=A","Dates=H","DateFormat=P","Fill=—","Direction=H","UseDPDF=Y")</f>
        <v>#NAME?</v>
      </c>
      <c r="AZ410" s="2" t="e">
        <f ca="1">_xll.BDH($C$403,"SHORT_TERM_DEBT_5_YEAR_GROWTH","FQ2 2015","FQ2 2015","Currency=INR","Period=FQ","BEST_FPERIOD_OVERRIDE=FQ","FILING_STATUS=OR","EQY_CONSOLIDATED=Y","Sort=A","Dates=H","DateFormat=P","Fill=—","Direction=H","UseDPDF=Y")</f>
        <v>#NAME?</v>
      </c>
      <c r="BA410" s="2" t="e">
        <f ca="1">_xll.BDH($C$403,"TOTAL_DEBT_5_YEAR_GROWTH","FQ2 2015","FQ2 2015","Currency=INR","Period=FQ","BEST_FPERIOD_OVERRIDE=FQ","FILING_STATUS=OR","EQY_CONSOLIDATED=Y","Sort=A","Dates=H","DateFormat=P","Fill=—","Direction=H","UseDPDF=Y")</f>
        <v>#NAME?</v>
      </c>
      <c r="BB410" s="2" t="e">
        <f ca="1">_xll.BDH($C$403,"GEO_GROW_TOT_SHRHLDR_EQY","FQ2 2015","FQ2 2015","Currency=INR","Period=FQ","BEST_FPERIOD_OVERRIDE=FQ","FILING_STATUS=OR","EQY_CONSOLIDATED=Y","Sort=A","Dates=H","DateFormat=P","Fill=—","Direction=H","UseDPDF=Y")</f>
        <v>#NAME?</v>
      </c>
      <c r="BC410" s="2" t="e">
        <f ca="1">_xll.BDH($C$403,"TOTAL_CAPITAL_5_YEAR_GROWTH","FQ2 2015","FQ2 2015","Currency=INR","Period=FQ","BEST_FPERIOD_OVERRIDE=FQ","FILING_STATUS=OR","EQY_CONSOLIDATED=Y","Sort=A","Dates=H","DateFormat=P","Fill=—","Direction=H","UseDPDF=Y")</f>
        <v>#NAME?</v>
      </c>
      <c r="BD410" s="2" t="e">
        <f ca="1">_xll.BDH($C$403,"GEO_GROW_BOOK_VAL","FQ2 2015","FQ2 2015","Currency=INR","Period=FQ","BEST_FPERIOD_OVERRIDE=FQ","FILING_STATUS=OR","EQY_CONSOLIDATED=Y","Sort=A","Dates=H","DateFormat=P","Fill=—","Direction=H","UseDPDF=Y")</f>
        <v>#NAME?</v>
      </c>
      <c r="BE410" s="2" t="e">
        <f ca="1">_xll.BDH($C$403,"GEO_GROW_CASH_OPER_ACT","FQ2 2015","FQ2 2015","Currency=INR","Period=FQ","BEST_FPERIOD_OVERRIDE=FQ","FILING_STATUS=OR","EQY_CONSOLIDATED=Y","Sort=A","Dates=H","DateFormat=P","Fill=—","Direction=H","UseDPDF=Y")</f>
        <v>#NAME?</v>
      </c>
      <c r="BF410" s="2" t="e">
        <f ca="1">_xll.BDH($C$403,"REVENUE_SEQUENTIAL_GROWTH","FQ2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10" s="2" t="e">
        <f ca="1">_xll.BDH($C$403,"EBITDA_SEQUENTIAL_GROWTH","FQ2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10" s="2" t="e">
        <f ca="1">_xll.BDH($C$403,"OPERATING_INCOME_SEQ_GROWTH","FQ2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10" s="2" t="e">
        <f ca="1">_xll.BDH($C$403,"NET_INCOME_TO_COMMON_SEQ_GROWTH","FQ2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10" s="2" t="e">
        <f ca="1">_xll.BDH($C$403,"EPS_DILUTED_SEQUENTIAL_GROWTH","FQ2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10" s="2" t="e">
        <f ca="1">_xll.BDH($C$403,"DPS_SEQUENTIAL_GROWTH","FQ2 2015","FQ2 2015","Currency=INR","Period=FQ","BEST_FPERIOD_OVERRIDE=FQ","FILING_STATUS=OR","EQY_CONSOLIDATED=Y","Sort=A","Dates=H","DateFormat=P","Fill=—","Direction=H","UseDPDF=Y")</f>
        <v>#NAME?</v>
      </c>
      <c r="BL410" s="2" t="e">
        <f ca="1">_xll.BDH($C$403,"ACCOUNTS_RECEIVABLE_SEQ_GROWTH","FQ2 2015","FQ2 2015","Currency=INR","Period=FQ","BEST_FPERIOD_OVERRIDE=FQ","FILING_STATUS=OR","EQY_CONSOLIDATED=Y","Sort=A","Dates=H","DateFormat=P","Fill=—","Direction=H","UseDPDF=Y")</f>
        <v>#NAME?</v>
      </c>
      <c r="BM410" s="2" t="e">
        <f ca="1">_xll.BDH($C$403,"INVENTORY_SEQUENTIAL_GROWTH","FQ2 2015","FQ2 2015","Currency=INR","Period=FQ","BEST_FPERIOD_OVERRIDE=FQ","FILING_STATUS=OR","EQY_CONSOLIDATED=Y","Sort=A","Dates=H","DateFormat=P","Fill=—","Direction=H","UseDPDF=Y")</f>
        <v>#NAME?</v>
      </c>
      <c r="BN410" s="2" t="e">
        <f ca="1">_xll.BDH($C$403,"FIXED_ASSETS_SEQUENTIAL_GROWTH","FQ2 2015","FQ2 2015","Currency=INR","Period=FQ","BEST_FPERIOD_OVERRIDE=FQ","FILING_STATUS=OR","EQY_CONSOLIDATED=Y","Sort=A","Dates=H","DateFormat=P","Fill=—","Direction=H","UseDPDF=Y")</f>
        <v>#NAME?</v>
      </c>
      <c r="BO410" s="2" t="e">
        <f ca="1">_xll.BDH($C$403,"TOTAL_ASSETS_SEQUENTIAL_GROWTH","FQ2 2015","FQ2 2015","Currency=INR","Period=FQ","BEST_FPERIOD_OVERRIDE=FQ","FILING_STATUS=OR","EQY_CONSOLIDATED=Y","Sort=A","Dates=H","DateFormat=P","Fill=—","Direction=H","UseDPDF=Y")</f>
        <v>#NAME?</v>
      </c>
      <c r="BP410" s="2" t="e">
        <f ca="1">_xll.BDH($C$403,"MODIFIED_WORKING_CPTL_SEQ_GRWTH","FQ2 2015","FQ2 2015","Currency=INR","Period=FQ","BEST_FPERIOD_OVERRIDE=FQ","FILING_STATUS=OR","EQY_CONSOLIDATED=Y","Sort=A","Dates=H","DateFormat=P","Fill=—","Direction=H","UseDPDF=Y")</f>
        <v>#NAME?</v>
      </c>
      <c r="BQ410" s="2" t="e">
        <f ca="1">_xll.BDH($C$403,"WORKING_CAPITAL_SEQ_GROWTH","FQ2 2015","FQ2 2015","Currency=INR","Period=FQ","BEST_FPERIOD_OVERRIDE=FQ","FILING_STATUS=OR","EQY_CONSOLIDATED=Y","Sort=A","Dates=H","DateFormat=P","Fill=—","Direction=H","UseDPDF=Y")</f>
        <v>#NAME?</v>
      </c>
      <c r="BR410" s="2" t="e">
        <f ca="1">_xll.BDH($C$403,"ACCOUNTS_PAYABLE_SEQ_GROWTH","FQ2 2015","FQ2 2015","Currency=INR","Period=FQ","BEST_FPERIOD_OVERRIDE=FQ","FILING_STATUS=OR","EQY_CONSOLIDATED=Y","Sort=A","Dates=H","DateFormat=P","Fill=—","Direction=H","UseDPDF=Y")</f>
        <v>#NAME?</v>
      </c>
      <c r="BS410" s="2" t="e">
        <f ca="1">_xll.BDH($C$403,"ST_DEBT_SEQUENTIAL_GROWTH","FQ2 2015","FQ2 2015","Currency=INR","Period=FQ","BEST_FPERIOD_OVERRIDE=FQ","FILING_STATUS=OR","EQY_CONSOLIDATED=Y","Sort=A","Dates=H","DateFormat=P","Fill=—","Direction=H","UseDPDF=Y")</f>
        <v>#NAME?</v>
      </c>
      <c r="BT410" s="2" t="e">
        <f ca="1">_xll.BDH($C$403,"TOTAL_DEBT_SEQUENTIAL_GROWTH","FQ2 2015","FQ2 2015","Currency=INR","Period=FQ","BEST_FPERIOD_OVERRIDE=FQ","FILING_STATUS=OR","EQY_CONSOLIDATED=Y","Sort=A","Dates=H","DateFormat=P","Fill=—","Direction=H","UseDPDF=Y")</f>
        <v>#NAME?</v>
      </c>
      <c r="BU410" s="2" t="e">
        <f ca="1">_xll.BDH($C$403,"TOTAL_EQUITY_SEQUENTIAL_GROWTH","FQ2 2015","FQ2 2015","Currency=INR","Period=FQ","BEST_FPERIOD_OVERRIDE=FQ","FILING_STATUS=OR","EQY_CONSOLIDATED=Y","Sort=A","Dates=H","DateFormat=P","Fill=—","Direction=H","UseDPDF=Y")</f>
        <v>#NAME?</v>
      </c>
      <c r="BV410" s="2" t="e">
        <f ca="1">_xll.BDH($C$403,"TOTAL_CAPITAL_SEQUENTIAL_GROWTH","FQ2 2015","FQ2 2015","Currency=INR","Period=FQ","BEST_FPERIOD_OVERRIDE=FQ","FILING_STATUS=OR","EQY_CONSOLIDATED=Y","Sort=A","Dates=H","DateFormat=P","Fill=—","Direction=H","UseDPDF=Y")</f>
        <v>#NAME?</v>
      </c>
      <c r="BW410" s="2" t="e">
        <f ca="1">_xll.BDH($C$403,"BPS_SEQUENTIAL_GROWTH","FQ2 2015","FQ2 2015","Currency=INR","Period=FQ","BEST_FPERIOD_OVERRIDE=FQ","FILING_STATUS=OR","EQY_CONSOLIDATED=Y","Sort=A","Dates=H","DateFormat=P","Fill=—","Direction=H","UseDPDF=Y")</f>
        <v>#NAME?</v>
      </c>
      <c r="BX410" s="2" t="e">
        <f ca="1">_xll.BDH($C$403,"CFO_SEQUENTIAL_GROWTH","FQ2 2015","FQ2 2015","Currency=INR","Period=FQ","BEST_FPERIOD_OVERRIDE=FQ","FILING_STATUS=OR","EQY_CONSOLIDATED=Y","Sort=A","Dates=H","DateFormat=P","Fill=—","Direction=H","UseDPDF=Y")</f>
        <v>#NAME?</v>
      </c>
      <c r="BY410" s="3" t="e">
        <f ca="1">_xll.BDH($C$403,"SHORT_AND_LONG_TERM_DEBT","FQ2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10" s="3" t="e">
        <f ca="1">_xll.BDH($C$403,"BS_ST_BORROW","FQ2 2015","FQ2 2015","Currency=INR","Period=FQ","BEST_FPERIOD_OVERRIDE=FQ","FILING_STATUS=OR","EQY_CONSOLIDATED=Y","SCALING_FORMAT=MLN","Sort=A","Dates=H","DateFormat=P","Fill=—","Direction=H","UseDPDF=Y")</f>
        <v>#NAME?</v>
      </c>
      <c r="CA410" s="3" t="e">
        <f ca="1">_xll.BDH($C$403,"BS_LT_BORROW","FQ2 2015","FQ2 2015","Currency=INR","Period=FQ","BEST_FPERIOD_OVERRIDE=FQ","FILING_STATUS=OR","EQY_CONSOLIDATED=Y","SCALING_FORMAT=MLN","Sort=A","Dates=H","DateFormat=P","Fill=—","Direction=H","UseDPDF=Y")</f>
        <v>#NAME?</v>
      </c>
      <c r="CB410" s="2" t="e">
        <f ca="1">_xll.BDH($C$403,"TOT_DEBT_TO_EBITDA","FQ2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10" s="2" t="e">
        <f ca="1">_xll.BDH($C$403,"NET_DEBT_TO_EBITDA","FQ2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10" s="2" t="e">
        <f ca="1">_xll.BDH($C$403,"TOTAL_DEBT_TO_EBIT","FQ2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10" s="2" t="e">
        <f ca="1">_xll.BDH($C$403,"NET_DEBT_TO_EBIT","FQ2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10" s="2" t="e">
        <f ca="1">_xll.BDH($C$403,"EBITDA_TO_INTEREST_EXPN","FQ2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10" s="2" t="e">
        <f ca="1">_xll.BDH($C$403,"COM_EQY_TO_TOT_ASSET","FQ2 2015","FQ2 2015","Currency=INR","Period=FQ","BEST_FPERIOD_OVERRIDE=FQ","FILING_STATUS=OR","EQY_CONSOLIDATED=Y","Sort=A","Dates=H","DateFormat=P","Fill=—","Direction=H","UseDPDF=Y")</f>
        <v>#NAME?</v>
      </c>
      <c r="CH410" s="2" t="e">
        <f ca="1">_xll.BDH($C$403,"LT_DEBT_TO_TOT_EQY","FQ2 2015","FQ2 2015","Currency=INR","Period=FQ","BEST_FPERIOD_OVERRIDE=FQ","FILING_STATUS=OR","EQY_CONSOLIDATED=Y","Sort=A","Dates=H","DateFormat=P","Fill=—","Direction=H","UseDPDF=Y")</f>
        <v>#NAME?</v>
      </c>
      <c r="CI410" s="2" t="e">
        <f ca="1">_xll.BDH($C$403,"LT_DEBT_TO_TOT_CAP","FQ2 2015","FQ2 2015","Currency=INR","Period=FQ","BEST_FPERIOD_OVERRIDE=FQ","FILING_STATUS=OR","EQY_CONSOLIDATED=Y","Sort=A","Dates=H","DateFormat=P","Fill=—","Direction=H","UseDPDF=Y")</f>
        <v>#NAME?</v>
      </c>
      <c r="CJ410" s="2" t="e">
        <f ca="1">_xll.BDH($C$403,"LT_DEBT_TO_TOT_ASSET","FQ2 2015","FQ2 2015","Currency=INR","Period=FQ","BEST_FPERIOD_OVERRIDE=FQ","FILING_STATUS=OR","EQY_CONSOLIDATED=Y","Sort=A","Dates=H","DateFormat=P","Fill=—","Direction=H","UseDPDF=Y")</f>
        <v>#NAME?</v>
      </c>
      <c r="CK410" s="2" t="e">
        <f ca="1">_xll.BDH($C$403,"TOT_DEBT_TO_TOT_EQY","FQ2 2015","FQ2 2015","Currency=INR","Period=FQ","BEST_FPERIOD_OVERRIDE=FQ","FILING_STATUS=OR","EQY_CONSOLIDATED=Y","Sort=A","Dates=H","DateFormat=P","Fill=—","Direction=H","UseDPDF=Y")</f>
        <v>#NAME?</v>
      </c>
      <c r="CL410" s="2" t="e">
        <f ca="1">_xll.BDH($C$403,"TOT_DEBT_TO_TOT_CAP","FQ2 2015","FQ2 2015","Currency=INR","Period=FQ","BEST_FPERIOD_OVERRIDE=FQ","FILING_STATUS=OR","EQY_CONSOLIDATED=Y","Sort=A","Dates=H","DateFormat=P","Fill=—","Direction=H","UseDPDF=Y")</f>
        <v>#NAME?</v>
      </c>
      <c r="CM410" s="2" t="e">
        <f ca="1">_xll.BDH($C$403,"TOT_DEBT_TO_TOT_ASSET","FQ2 2015","FQ2 2015","Currency=INR","Period=FQ","BEST_FPERIOD_OVERRIDE=FQ","FILING_STATUS=OR","EQY_CONSOLIDATED=Y","Sort=A","Dates=H","DateFormat=P","Fill=—","Direction=H","UseDPDF=Y")</f>
        <v>#NAME?</v>
      </c>
      <c r="CN410" s="2" t="e">
        <f ca="1">_xll.BDH($C$403,"NET_DEBT_TO_SHRHLDR_EQTY","FQ2 2015","FQ2 2015","Currency=INR","Period=FQ","BEST_FPERIOD_OVERRIDE=FQ","FILING_STATUS=OR","EQY_CONSOLIDATED=Y","Sort=A","Dates=H","DateFormat=P","Fill=—","Direction=H","UseDPDF=Y")</f>
        <v>#NAME?</v>
      </c>
      <c r="CO410" s="2" t="e">
        <f ca="1">_xll.BDH($C$403,"NET_DEBT_%_CAPITAL","FQ2 2015","FQ2 2015","Currency=INR","Period=FQ","BEST_FPERIOD_OVERRIDE=FQ","FILING_STATUS=OR","EQY_CONSOLIDATED=Y","Sort=A","Dates=H","DateFormat=P","Fill=—","Direction=H","UseDPDF=Y")</f>
        <v>#NAME?</v>
      </c>
      <c r="CP410" s="3" t="e">
        <f ca="1">_xll.BDH($C$403,"EBITDA","FQ2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10" s="3" t="e">
        <f ca="1">_xll.BDH($C$403,"EBITDA_AFTER_CAPEX","FQ2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10" s="3" t="e">
        <f ca="1">_xll.BDH($C$403,"IS_OPER_INC","FQ2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10" s="2" t="e">
        <f ca="1">_xll.BDH($C$403,"CASH_RATIO","FQ2 2015","FQ2 2015","Currency=INR","Period=FQ","BEST_FPERIOD_OVERRIDE=FQ","FILING_STATUS=OR","EQY_CONSOLIDATED=Y","Sort=A","Dates=H","DateFormat=P","Fill=—","Direction=H","UseDPDF=Y")</f>
        <v>#NAME?</v>
      </c>
      <c r="CT410" s="2" t="e">
        <f ca="1">_xll.BDH($C$403,"CUR_RATIO","FQ2 2015","FQ2 2015","Currency=INR","Period=FQ","BEST_FPERIOD_OVERRIDE=FQ","FILING_STATUS=OR","EQY_CONSOLIDATED=Y","Sort=A","Dates=H","DateFormat=P","Fill=—","Direction=H","UseDPDF=Y")</f>
        <v>#NAME?</v>
      </c>
      <c r="CU410" s="2" t="e">
        <f ca="1">_xll.BDH($C$403,"QUICK_RATIO","FQ2 2015","FQ2 2015","Currency=INR","Period=FQ","BEST_FPERIOD_OVERRIDE=FQ","FILING_STATUS=OR","EQY_CONSOLIDATED=Y","Sort=A","Dates=H","DateFormat=P","Fill=—","Direction=H","UseDPDF=Y")</f>
        <v>#NAME?</v>
      </c>
      <c r="CV410" s="2" t="e">
        <f ca="1">_xll.BDH($C$403,"ALTMAN_Z_SCORE","FQ2 2015","FQ2 2015","Currency=INR","Period=FQ","BEST_FPERIOD_OVERRIDE=FQ","FILING_STATUS=OR","EQY_CONSOLIDATED=Y","Sort=A","Dates=H","DateFormat=P","Fill=—","Direction=H","UseDPDF=Y")</f>
        <v>#NAME?</v>
      </c>
      <c r="CW410" s="4" t="e">
        <f ca="1">_xll.BDH($C$403,"ACCT_RCV_TURN","FQ2 2015","FQ2 2015","Currency=INR","Period=FQ","BEST_FPERIOD_OVERRIDE=FQ","FILING_STATUS=OR","EQY_CONSOLIDATED=Y","FA_ADJUSTED=GAAP","Sort=A","Dates=H","DateFormat=P","Fill=—","Direction=H","UseDPDF=Y")</f>
        <v>#NAME?</v>
      </c>
      <c r="CX410" s="2" t="e">
        <f ca="1">_xll.BDH($C$403,"ACCT_RCV_DAYS","FQ2 2015","FQ2 2015","Currency=INR","Period=FQ","BEST_FPERIOD_OVERRIDE=FQ","FILING_STATUS=OR","EQY_CONSOLIDATED=Y","FA_ADJUSTED=GAAP","Sort=A","Dates=H","DateFormat=P","Fill=—","Direction=H","UseDPDF=Y")</f>
        <v>#NAME?</v>
      </c>
      <c r="CY410" s="4" t="e">
        <f ca="1">_xll.BDH($C$403,"INVENT_TURN","FQ2 2015","FQ2 2015","Currency=INR","Period=FQ","BEST_FPERIOD_OVERRIDE=FQ","FILING_STATUS=OR","EQY_CONSOLIDATED=Y","FA_ADJUSTED=GAAP","Sort=A","Dates=H","DateFormat=P","Fill=—","Direction=H","UseDPDF=Y")</f>
        <v>#NAME?</v>
      </c>
      <c r="CZ410" s="2" t="e">
        <f ca="1">_xll.BDH($C$403,"INVENT_DAYS","FQ2 2015","FQ2 2015","Currency=INR","Period=FQ","BEST_FPERIOD_OVERRIDE=FQ","FILING_STATUS=OR","EQY_CONSOLIDATED=Y","FA_ADJUSTED=GAAP","Sort=A","Dates=H","DateFormat=P","Fill=—","Direction=H","UseDPDF=Y")</f>
        <v>#NAME?</v>
      </c>
      <c r="DA410" s="4" t="e">
        <f ca="1">_xll.BDH($C$403,"ACCOUNTS_PAYABLE_TURNOVER","FQ2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10" s="2" t="e">
        <f ca="1">_xll.BDH($C$403,"ACCOUNTS_PAYABLE_TURNOVER_DAYS","FQ2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10" s="4" t="e">
        <f ca="1">_xll.BDH($C$403,"CASH_CONVERSION_CYCLE","FQ2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10" s="4" t="e">
        <f ca="1">_xll.BDH($C$403,"INV_TO_CASH_DAYS","FQ2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10" s="5" t="e">
        <f ca="1">_xll.BDH($C$403,"BS_INVENTORIES","FQ2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10" s="3" t="e">
        <f ca="1">_xll.BDH($C$403,"INVTRY_RAW_MATERIALS","FQ2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10" s="3" t="e">
        <f ca="1">_xll.BDH($C$403,"INVTRY_IN_PROGRESS","FQ2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10" s="3" t="e">
        <f ca="1">_xll.BDH($C$403,"INVTRY_FINISHED_GOODS","FQ2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10" s="3" t="e">
        <f ca="1">_xll.BDH($C$403,"BS_OTHER_INV","FQ2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11" spans="1:113" x14ac:dyDescent="0.3">
      <c r="A411" s="6"/>
      <c r="B411" s="6"/>
      <c r="C411" s="6"/>
      <c r="D411" s="6"/>
      <c r="E411" t="s">
        <v>80</v>
      </c>
      <c r="F411" t="e">
        <f ca="1">_xll.BDH($C$403,"RETURN_COM_EQY","FQ3 2015","FQ3 2015","Currency=INR","Period=FQ","BEST_FPERIOD_OVERRIDE=FQ","FILING_STATUS=OR","EQY_CONSOLIDATED=Y","FA_ADJUSTED=GAAP","Sort=A","Dates=H","DateFormat=P","Fill=—","Direction=H","UseDPDF=Y")</f>
        <v>#NAME?</v>
      </c>
      <c r="G411" t="e">
        <f ca="1">_xll.BDH($C$403,"RETURN_ON_ASSET","FQ3 2015","FQ3 2015","Currency=INR","Period=FQ","BEST_FPERIOD_OVERRIDE=FQ","FILING_STATUS=OR","EQY_CONSOLIDATED=Y","FA_ADJUSTED=GAAP","Sort=A","Dates=H","DateFormat=P","Fill=—","Direction=H","UseDPDF=Y")</f>
        <v>#NAME?</v>
      </c>
      <c r="H411" t="e">
        <f ca="1">_xll.BDH($C$403,"RETURN_ON_CAP","FQ3 2015","FQ3 2015","Currency=INR","Period=FQ","BEST_FPERIOD_OVERRIDE=FQ","FILING_STATUS=OR","EQY_CONSOLIDATED=Y","FA_ADJUSTED=GAAP","Sort=A","Dates=H","DateFormat=P","Fill=—","Direction=H","UseDPDF=Y")</f>
        <v>#NAME?</v>
      </c>
      <c r="I411" t="e">
        <f ca="1">_xll.BDH($C$403,"RETURN_ON_INV_CAPITAL","FQ3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11" t="e">
        <f ca="1">_xll.BDH($C$403,"EBITDA_TO_REVENUE","FQ3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11" t="e">
        <f ca="1">_xll.BDH($C$403,"OPER_MARGIN","FQ3 2015","FQ3 2015","Currency=INR","Period=FQ","BEST_FPERIOD_OVERRIDE=FQ","FILING_STATUS=OR","EQY_CONSOLIDATED=Y","FA_ADJUSTED=GAAP","Sort=A","Dates=H","DateFormat=P","Fill=—","Direction=H","UseDPDF=Y")</f>
        <v>#NAME?</v>
      </c>
      <c r="L411" t="e">
        <f ca="1">_xll.BDH($C$403,"INCREMENTAL_OPERATING_MARGIN","FQ3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11" t="e">
        <f ca="1">_xll.BDH($C$403,"PRETAX_INC_TO_NET_SALES","FQ3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11" t="e">
        <f ca="1">_xll.BDH($C$403,"INC_BEF_XO_ITEMS_TO_NET_SALES","FQ3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11" t="e">
        <f ca="1">_xll.BDH($C$403,"PROF_MARGIN","FQ3 2015","FQ3 2015","Currency=INR","Period=FQ","BEST_FPERIOD_OVERRIDE=FQ","FILING_STATUS=OR","EQY_CONSOLIDATED=Y","FA_ADJUSTED=GAAP","Sort=A","Dates=H","DateFormat=P","Fill=—","Direction=H","UseDPDF=Y")</f>
        <v>#NAME?</v>
      </c>
      <c r="P411" t="e">
        <f ca="1">_xll.BDH($C$403,"NET_INCOME_TO_COMMON_MARGIN","FQ3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11" t="e">
        <f ca="1">_xll.BDH($C$403,"EFF_TAX_RATE","FQ3 2015","FQ3 2015","Currency=INR","Period=FQ","BEST_FPERIOD_OVERRIDE=FQ","FILING_STATUS=OR","EQY_CONSOLIDATED=Y","FA_ADJUSTED=GAAP","Sort=A","Dates=H","DateFormat=P","Fill=—","Direction=H","UseDPDF=Y")</f>
        <v>#NAME?</v>
      </c>
      <c r="R411" t="e">
        <f ca="1">_xll.BDH($C$403,"DVD_PAYOUT_RATIO","FQ3 2015","FQ3 2015","Currency=INR","Period=FQ","BEST_FPERIOD_OVERRIDE=FQ","FILING_STATUS=OR","EQY_CONSOLIDATED=Y","FA_ADJUSTED=GAAP","Sort=A","Dates=H","DateFormat=P","Fill=—","Direction=H","UseDPDF=Y")</f>
        <v>#NAME?</v>
      </c>
      <c r="S411" t="e">
        <f ca="1">_xll.BDH($C$403,"SUSTAIN_GROWTH_RT","FQ3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11" s="2" t="e">
        <f ca="1">_xll.BDH($C$403,"SALES_GROWTH","FQ3 2015","FQ3 2015","Currency=INR","Period=FQ","BEST_FPERIOD_OVERRIDE=FQ","FILING_STATUS=OR","EQY_CONSOLIDATED=Y","FA_ADJUSTED=GAAP","Sort=A","Dates=H","DateFormat=P","Fill=—","Direction=H","UseDPDF=Y")</f>
        <v>#NAME?</v>
      </c>
      <c r="U411" s="2" t="e">
        <f ca="1">_xll.BDH($C$403,"EBITDA_GROWTH","FQ3 2015","FQ3 2015","Currency=INR","Period=FQ","BEST_FPERIOD_OVERRIDE=FQ","FILING_STATUS=OR","EQY_CONSOLIDATED=Y","FA_ADJUSTED=GAAP","Sort=A","Dates=H","DateFormat=P","Fill=—","Direction=H","UseDPDF=Y")</f>
        <v>#NAME?</v>
      </c>
      <c r="V411" s="2" t="e">
        <f ca="1">_xll.BDH($C$403,"OPER_INC_GROWTH","FQ3 2015","FQ3 2015","Currency=INR","Period=FQ","BEST_FPERIOD_OVERRIDE=FQ","FILING_STATUS=OR","EQY_CONSOLIDATED=Y","FA_ADJUSTED=GAAP","Sort=A","Dates=H","DateFormat=P","Fill=—","Direction=H","UseDPDF=Y")</f>
        <v>#NAME?</v>
      </c>
      <c r="W411" s="2" t="e">
        <f ca="1">_xll.BDH($C$403,"EARN_FOR_COM_GROWTH","FQ3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11" s="2" t="e">
        <f ca="1">_xll.BDH($C$403,"DILUTED_EPS_AFT_XO_ITEMS_GROWTH","FQ3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11" s="2" t="e">
        <f ca="1">_xll.BDH($C$403,"DIVIDEND_PER_SHARE_1_YEAR_GROWTH","FQ3 2015","FQ3 2015","Currency=INR","Period=FQ","BEST_FPERIOD_OVERRIDE=FQ","FILING_STATUS=OR","EQY_CONSOLIDATED=Y","Sort=A","Dates=H","DateFormat=P","Fill=—","Direction=H","UseDPDF=Y")</f>
        <v>#NAME?</v>
      </c>
      <c r="Z411" s="2" t="e">
        <f ca="1">_xll.BDH($C$403,"ACCOUNTS_RECEIVABLE_GROWTH","FQ3 2015","FQ3 2015","Currency=INR","Period=FQ","BEST_FPERIOD_OVERRIDE=FQ","FILING_STATUS=OR","EQY_CONSOLIDATED=Y","Sort=A","Dates=H","DateFormat=P","Fill=—","Direction=H","UseDPDF=Y")</f>
        <v>#NAME?</v>
      </c>
      <c r="AA411" s="2" t="e">
        <f ca="1">_xll.BDH($C$403,"INVENTORY_GROWTH","FQ3 2015","FQ3 2015","Currency=INR","Period=FQ","BEST_FPERIOD_OVERRIDE=FQ","FILING_STATUS=OR","EQY_CONSOLIDATED=Y","Sort=A","Dates=H","DateFormat=P","Fill=—","Direction=H","UseDPDF=Y")</f>
        <v>#NAME?</v>
      </c>
      <c r="AB411" s="2" t="e">
        <f ca="1">_xll.BDH($C$403,"NET_FIXED_ASSETS_1_YEAR_GROWTH","FQ3 2015","FQ3 2015","Currency=INR","Period=FQ","BEST_FPERIOD_OVERRIDE=FQ","FILING_STATUS=OR","EQY_CONSOLIDATED=Y","Sort=A","Dates=H","DateFormat=P","Fill=—","Direction=H","UseDPDF=Y")</f>
        <v>#NAME?</v>
      </c>
      <c r="AC411" s="2" t="e">
        <f ca="1">_xll.BDH($C$403,"ASSET_GROWTH","FQ3 2015","FQ3 2015","Currency=INR","Period=FQ","BEST_FPERIOD_OVERRIDE=FQ","FILING_STATUS=OR","EQY_CONSOLIDATED=Y","Sort=A","Dates=H","DateFormat=P","Fill=—","Direction=H","UseDPDF=Y")</f>
        <v>#NAME?</v>
      </c>
      <c r="AD411" s="2" t="e">
        <f ca="1">_xll.BDH($C$403,"MODIFIED_WORK_CAP_GROWTH","FQ3 2015","FQ3 2015","Currency=INR","Period=FQ","BEST_FPERIOD_OVERRIDE=FQ","FILING_STATUS=OR","EQY_CONSOLIDATED=Y","Sort=A","Dates=H","DateFormat=P","Fill=—","Direction=H","UseDPDF=Y")</f>
        <v>#NAME?</v>
      </c>
      <c r="AE411" s="2" t="e">
        <f ca="1">_xll.BDH($C$403,"WORK_CAP_GROWTH","FQ3 2015","FQ3 2015","Currency=INR","Period=FQ","BEST_FPERIOD_OVERRIDE=FQ","FILING_STATUS=OR","EQY_CONSOLIDATED=Y","Sort=A","Dates=H","DateFormat=P","Fill=—","Direction=H","UseDPDF=Y")</f>
        <v>#NAME?</v>
      </c>
      <c r="AF411" s="2" t="e">
        <f ca="1">_xll.BDH($C$403,"ACCOUNTS_PAYABLE_GROWTH_1YR","FQ3 2015","FQ3 2015","Currency=INR","Period=FQ","BEST_FPERIOD_OVERRIDE=FQ","FILING_STATUS=OR","EQY_CONSOLIDATED=Y","Sort=A","Dates=H","DateFormat=P","Fill=—","Direction=H","UseDPDF=Y")</f>
        <v>#NAME?</v>
      </c>
      <c r="AG411" s="2" t="e">
        <f ca="1">_xll.BDH($C$403,"SHORT_TERM_DEBT_1_YEAR_GROWTH","FQ3 2015","FQ3 2015","Currency=INR","Period=FQ","BEST_FPERIOD_OVERRIDE=FQ","FILING_STATUS=OR","EQY_CONSOLIDATED=Y","Sort=A","Dates=H","DateFormat=P","Fill=—","Direction=H","UseDPDF=Y")</f>
        <v>#NAME?</v>
      </c>
      <c r="AH411" s="2" t="e">
        <f ca="1">_xll.BDH($C$403,"TOTAL_DEBT_1_YEAR_GROWTH","FQ3 2015","FQ3 2015","Currency=INR","Period=FQ","BEST_FPERIOD_OVERRIDE=FQ","FILING_STATUS=OR","EQY_CONSOLIDATED=Y","Sort=A","Dates=H","DateFormat=P","Fill=—","Direction=H","UseDPDF=Y")</f>
        <v>#NAME?</v>
      </c>
      <c r="AI411" s="2" t="e">
        <f ca="1">_xll.BDH($C$403,"TOTAL_EQUITY_1_YEAR_GROWTH","FQ3 2015","FQ3 2015","Currency=INR","Period=FQ","BEST_FPERIOD_OVERRIDE=FQ","FILING_STATUS=OR","EQY_CONSOLIDATED=Y","Sort=A","Dates=H","DateFormat=P","Fill=—","Direction=H","UseDPDF=Y")</f>
        <v>#NAME?</v>
      </c>
      <c r="AJ411" s="2" t="e">
        <f ca="1">_xll.BDH($C$403,"GROWTH_IN_CAP","FQ3 2015","FQ3 2015","Currency=INR","Period=FQ","BEST_FPERIOD_OVERRIDE=FQ","FILING_STATUS=OR","EQY_CONSOLIDATED=Y","Sort=A","Dates=H","DateFormat=P","Fill=—","Direction=H","UseDPDF=Y")</f>
        <v>#NAME?</v>
      </c>
      <c r="AK411" s="2" t="e">
        <f ca="1">_xll.BDH($C$403,"BVPS_GROWTH","FQ3 2015","FQ3 2015","Currency=INR","Period=FQ","BEST_FPERIOD_OVERRIDE=FQ","FILING_STATUS=OR","EQY_CONSOLIDATED=Y","Sort=A","Dates=H","DateFormat=P","Fill=—","Direction=H","UseDPDF=Y")</f>
        <v>#NAME?</v>
      </c>
      <c r="AL411" s="2" t="e">
        <f ca="1">_xll.BDH($C$403,"CASH_FLOW_GROWTH","FQ3 2015","FQ3 2015","Currency=INR","Period=FQ","BEST_FPERIOD_OVERRIDE=FQ","FILING_STATUS=OR","EQY_CONSOLIDATED=Y","Sort=A","Dates=H","DateFormat=P","Fill=—","Direction=H","UseDPDF=Y")</f>
        <v>#NAME?</v>
      </c>
      <c r="AM411" s="2" t="e">
        <f ca="1">_xll.BDH($C$403,"GEO_GROW_NET_SALES","FQ3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11" s="2" t="e">
        <f ca="1">_xll.BDH($C$403,"GEO_GROW_EBITDA","FQ3 2015","FQ3 2015","Currency=INR","Period=FQ","BEST_FPERIOD_OVERRIDE=FQ","FILING_STATUS=OR","EQY_CONSOLIDATED=Y","FA_ADJUSTED=GAAP","Sort=A","Dates=H","DateFormat=P","Fill=—","Direction=H","UseDPDF=Y")</f>
        <v>#NAME?</v>
      </c>
      <c r="AO411" s="2" t="e">
        <f ca="1">_xll.BDH($C$403,"GEO_GROW_OPER_INC","FQ3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11" s="2" t="e">
        <f ca="1">_xll.BDH($C$403,"NET_INCOME_TO_COMMON_5_YR_GROWTH","FQ3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11" s="2" t="e">
        <f ca="1">_xll.BDH($C$403,"5Y_GEO_GROWTH_DILUTED_EPS","FQ3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11" s="2" t="e">
        <f ca="1">_xll.BDH($C$403,"GEO_GROW_DVD_PER_SH","FQ3 2015","FQ3 2015","Currency=INR","Period=FQ","BEST_FPERIOD_OVERRIDE=FQ","FILING_STATUS=OR","EQY_CONSOLIDATED=Y","Sort=A","Dates=H","DateFormat=P","Fill=—","Direction=H","UseDPDF=Y")</f>
        <v>#NAME?</v>
      </c>
      <c r="AS411" s="2" t="e">
        <f ca="1">_xll.BDH($C$403,"ACCOUNTS_RECEIVABLE_5_YR_GROWTH","FQ3 2015","FQ3 2015","Currency=INR","Period=FQ","BEST_FPERIOD_OVERRIDE=FQ","FILING_STATUS=OR","EQY_CONSOLIDATED=Y","Sort=A","Dates=H","DateFormat=P","Fill=—","Direction=H","UseDPDF=Y")</f>
        <v>#NAME?</v>
      </c>
      <c r="AT411" s="2" t="e">
        <f ca="1">_xll.BDH($C$403,"INVENTORY_5_YEAR_GROWTH","FQ3 2015","FQ3 2015","Currency=INR","Period=FQ","BEST_FPERIOD_OVERRIDE=FQ","FILING_STATUS=OR","EQY_CONSOLIDATED=Y","Sort=A","Dates=H","DateFormat=P","Fill=—","Direction=H","UseDPDF=Y")</f>
        <v>#NAME?</v>
      </c>
      <c r="AU411" s="2" t="e">
        <f ca="1">_xll.BDH($C$403,"NET_FIXED_ASSETS_5_YEAR_GROWTH","FQ3 2015","FQ3 2015","Currency=INR","Period=FQ","BEST_FPERIOD_OVERRIDE=FQ","FILING_STATUS=OR","EQY_CONSOLIDATED=Y","Sort=A","Dates=H","DateFormat=P","Fill=—","Direction=H","UseDPDF=Y")</f>
        <v>#NAME?</v>
      </c>
      <c r="AV411" s="2" t="e">
        <f ca="1">_xll.BDH($C$403,"GEO_GROW_TOT_ASSET","FQ3 2015","FQ3 2015","Currency=INR","Period=FQ","BEST_FPERIOD_OVERRIDE=FQ","FILING_STATUS=OR","EQY_CONSOLIDATED=Y","Sort=A","Dates=H","DateFormat=P","Fill=—","Direction=H","UseDPDF=Y")</f>
        <v>#NAME?</v>
      </c>
      <c r="AW411" s="2" t="e">
        <f ca="1">_xll.BDH($C$403,"MODIFIED_WORKING_CPTL_5YR_GRWTH","FQ3 2015","FQ3 2015","Currency=INR","Period=FQ","BEST_FPERIOD_OVERRIDE=FQ","FILING_STATUS=OR","EQY_CONSOLIDATED=Y","Sort=A","Dates=H","DateFormat=P","Fill=—","Direction=H","UseDPDF=Y")</f>
        <v>#NAME?</v>
      </c>
      <c r="AX411" s="2" t="e">
        <f ca="1">_xll.BDH($C$403,"WORKING_CAPITAL_5_YEAR_GROWTH","FQ3 2015","FQ3 2015","Currency=INR","Period=FQ","BEST_FPERIOD_OVERRIDE=FQ","FILING_STATUS=OR","EQY_CONSOLIDATED=Y","Sort=A","Dates=H","DateFormat=P","Fill=—","Direction=H","UseDPDF=Y")</f>
        <v>#NAME?</v>
      </c>
      <c r="AY411" s="2" t="e">
        <f ca="1">_xll.BDH($C$403,"ACCOUNTS_PAYABLE_5_YEAR_GROWTH","FQ3 2015","FQ3 2015","Currency=INR","Period=FQ","BEST_FPERIOD_OVERRIDE=FQ","FILING_STATUS=OR","EQY_CONSOLIDATED=Y","Sort=A","Dates=H","DateFormat=P","Fill=—","Direction=H","UseDPDF=Y")</f>
        <v>#NAME?</v>
      </c>
      <c r="AZ411" s="2" t="e">
        <f ca="1">_xll.BDH($C$403,"SHORT_TERM_DEBT_5_YEAR_GROWTH","FQ3 2015","FQ3 2015","Currency=INR","Period=FQ","BEST_FPERIOD_OVERRIDE=FQ","FILING_STATUS=OR","EQY_CONSOLIDATED=Y","Sort=A","Dates=H","DateFormat=P","Fill=—","Direction=H","UseDPDF=Y")</f>
        <v>#NAME?</v>
      </c>
      <c r="BA411" s="2" t="e">
        <f ca="1">_xll.BDH($C$403,"TOTAL_DEBT_5_YEAR_GROWTH","FQ3 2015","FQ3 2015","Currency=INR","Period=FQ","BEST_FPERIOD_OVERRIDE=FQ","FILING_STATUS=OR","EQY_CONSOLIDATED=Y","Sort=A","Dates=H","DateFormat=P","Fill=—","Direction=H","UseDPDF=Y")</f>
        <v>#NAME?</v>
      </c>
      <c r="BB411" s="2" t="e">
        <f ca="1">_xll.BDH($C$403,"GEO_GROW_TOT_SHRHLDR_EQY","FQ3 2015","FQ3 2015","Currency=INR","Period=FQ","BEST_FPERIOD_OVERRIDE=FQ","FILING_STATUS=OR","EQY_CONSOLIDATED=Y","Sort=A","Dates=H","DateFormat=P","Fill=—","Direction=H","UseDPDF=Y")</f>
        <v>#NAME?</v>
      </c>
      <c r="BC411" s="2" t="e">
        <f ca="1">_xll.BDH($C$403,"TOTAL_CAPITAL_5_YEAR_GROWTH","FQ3 2015","FQ3 2015","Currency=INR","Period=FQ","BEST_FPERIOD_OVERRIDE=FQ","FILING_STATUS=OR","EQY_CONSOLIDATED=Y","Sort=A","Dates=H","DateFormat=P","Fill=—","Direction=H","UseDPDF=Y")</f>
        <v>#NAME?</v>
      </c>
      <c r="BD411" s="2" t="e">
        <f ca="1">_xll.BDH($C$403,"GEO_GROW_BOOK_VAL","FQ3 2015","FQ3 2015","Currency=INR","Period=FQ","BEST_FPERIOD_OVERRIDE=FQ","FILING_STATUS=OR","EQY_CONSOLIDATED=Y","Sort=A","Dates=H","DateFormat=P","Fill=—","Direction=H","UseDPDF=Y")</f>
        <v>#NAME?</v>
      </c>
      <c r="BE411" s="2" t="e">
        <f ca="1">_xll.BDH($C$403,"GEO_GROW_CASH_OPER_ACT","FQ3 2015","FQ3 2015","Currency=INR","Period=FQ","BEST_FPERIOD_OVERRIDE=FQ","FILING_STATUS=OR","EQY_CONSOLIDATED=Y","Sort=A","Dates=H","DateFormat=P","Fill=—","Direction=H","UseDPDF=Y")</f>
        <v>#NAME?</v>
      </c>
      <c r="BF411" s="2" t="e">
        <f ca="1">_xll.BDH($C$403,"REVENUE_SEQUENTIAL_GROWTH","FQ3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11" s="2" t="e">
        <f ca="1">_xll.BDH($C$403,"EBITDA_SEQUENTIAL_GROWTH","FQ3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11" s="2" t="e">
        <f ca="1">_xll.BDH($C$403,"OPERATING_INCOME_SEQ_GROWTH","FQ3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11" s="2" t="e">
        <f ca="1">_xll.BDH($C$403,"NET_INCOME_TO_COMMON_SEQ_GROWTH","FQ3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11" s="2" t="e">
        <f ca="1">_xll.BDH($C$403,"EPS_DILUTED_SEQUENTIAL_GROWTH","FQ3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11" s="2" t="e">
        <f ca="1">_xll.BDH($C$403,"DPS_SEQUENTIAL_GROWTH","FQ3 2015","FQ3 2015","Currency=INR","Period=FQ","BEST_FPERIOD_OVERRIDE=FQ","FILING_STATUS=OR","EQY_CONSOLIDATED=Y","Sort=A","Dates=H","DateFormat=P","Fill=—","Direction=H","UseDPDF=Y")</f>
        <v>#NAME?</v>
      </c>
      <c r="BL411" s="2" t="e">
        <f ca="1">_xll.BDH($C$403,"ACCOUNTS_RECEIVABLE_SEQ_GROWTH","FQ3 2015","FQ3 2015","Currency=INR","Period=FQ","BEST_FPERIOD_OVERRIDE=FQ","FILING_STATUS=OR","EQY_CONSOLIDATED=Y","Sort=A","Dates=H","DateFormat=P","Fill=—","Direction=H","UseDPDF=Y")</f>
        <v>#NAME?</v>
      </c>
      <c r="BM411" s="2" t="e">
        <f ca="1">_xll.BDH($C$403,"INVENTORY_SEQUENTIAL_GROWTH","FQ3 2015","FQ3 2015","Currency=INR","Period=FQ","BEST_FPERIOD_OVERRIDE=FQ","FILING_STATUS=OR","EQY_CONSOLIDATED=Y","Sort=A","Dates=H","DateFormat=P","Fill=—","Direction=H","UseDPDF=Y")</f>
        <v>#NAME?</v>
      </c>
      <c r="BN411" s="2" t="e">
        <f ca="1">_xll.BDH($C$403,"FIXED_ASSETS_SEQUENTIAL_GROWTH","FQ3 2015","FQ3 2015","Currency=INR","Period=FQ","BEST_FPERIOD_OVERRIDE=FQ","FILING_STATUS=OR","EQY_CONSOLIDATED=Y","Sort=A","Dates=H","DateFormat=P","Fill=—","Direction=H","UseDPDF=Y")</f>
        <v>#NAME?</v>
      </c>
      <c r="BO411" s="2" t="e">
        <f ca="1">_xll.BDH($C$403,"TOTAL_ASSETS_SEQUENTIAL_GROWTH","FQ3 2015","FQ3 2015","Currency=INR","Period=FQ","BEST_FPERIOD_OVERRIDE=FQ","FILING_STATUS=OR","EQY_CONSOLIDATED=Y","Sort=A","Dates=H","DateFormat=P","Fill=—","Direction=H","UseDPDF=Y")</f>
        <v>#NAME?</v>
      </c>
      <c r="BP411" s="2" t="e">
        <f ca="1">_xll.BDH($C$403,"MODIFIED_WORKING_CPTL_SEQ_GRWTH","FQ3 2015","FQ3 2015","Currency=INR","Period=FQ","BEST_FPERIOD_OVERRIDE=FQ","FILING_STATUS=OR","EQY_CONSOLIDATED=Y","Sort=A","Dates=H","DateFormat=P","Fill=—","Direction=H","UseDPDF=Y")</f>
        <v>#NAME?</v>
      </c>
      <c r="BQ411" s="2" t="e">
        <f ca="1">_xll.BDH($C$403,"WORKING_CAPITAL_SEQ_GROWTH","FQ3 2015","FQ3 2015","Currency=INR","Period=FQ","BEST_FPERIOD_OVERRIDE=FQ","FILING_STATUS=OR","EQY_CONSOLIDATED=Y","Sort=A","Dates=H","DateFormat=P","Fill=—","Direction=H","UseDPDF=Y")</f>
        <v>#NAME?</v>
      </c>
      <c r="BR411" s="2" t="e">
        <f ca="1">_xll.BDH($C$403,"ACCOUNTS_PAYABLE_SEQ_GROWTH","FQ3 2015","FQ3 2015","Currency=INR","Period=FQ","BEST_FPERIOD_OVERRIDE=FQ","FILING_STATUS=OR","EQY_CONSOLIDATED=Y","Sort=A","Dates=H","DateFormat=P","Fill=—","Direction=H","UseDPDF=Y")</f>
        <v>#NAME?</v>
      </c>
      <c r="BS411" s="2" t="e">
        <f ca="1">_xll.BDH($C$403,"ST_DEBT_SEQUENTIAL_GROWTH","FQ3 2015","FQ3 2015","Currency=INR","Period=FQ","BEST_FPERIOD_OVERRIDE=FQ","FILING_STATUS=OR","EQY_CONSOLIDATED=Y","Sort=A","Dates=H","DateFormat=P","Fill=—","Direction=H","UseDPDF=Y")</f>
        <v>#NAME?</v>
      </c>
      <c r="BT411" s="2" t="e">
        <f ca="1">_xll.BDH($C$403,"TOTAL_DEBT_SEQUENTIAL_GROWTH","FQ3 2015","FQ3 2015","Currency=INR","Period=FQ","BEST_FPERIOD_OVERRIDE=FQ","FILING_STATUS=OR","EQY_CONSOLIDATED=Y","Sort=A","Dates=H","DateFormat=P","Fill=—","Direction=H","UseDPDF=Y")</f>
        <v>#NAME?</v>
      </c>
      <c r="BU411" s="2" t="e">
        <f ca="1">_xll.BDH($C$403,"TOTAL_EQUITY_SEQUENTIAL_GROWTH","FQ3 2015","FQ3 2015","Currency=INR","Period=FQ","BEST_FPERIOD_OVERRIDE=FQ","FILING_STATUS=OR","EQY_CONSOLIDATED=Y","Sort=A","Dates=H","DateFormat=P","Fill=—","Direction=H","UseDPDF=Y")</f>
        <v>#NAME?</v>
      </c>
      <c r="BV411" s="2" t="e">
        <f ca="1">_xll.BDH($C$403,"TOTAL_CAPITAL_SEQUENTIAL_GROWTH","FQ3 2015","FQ3 2015","Currency=INR","Period=FQ","BEST_FPERIOD_OVERRIDE=FQ","FILING_STATUS=OR","EQY_CONSOLIDATED=Y","Sort=A","Dates=H","DateFormat=P","Fill=—","Direction=H","UseDPDF=Y")</f>
        <v>#NAME?</v>
      </c>
      <c r="BW411" s="2" t="e">
        <f ca="1">_xll.BDH($C$403,"BPS_SEQUENTIAL_GROWTH","FQ3 2015","FQ3 2015","Currency=INR","Period=FQ","BEST_FPERIOD_OVERRIDE=FQ","FILING_STATUS=OR","EQY_CONSOLIDATED=Y","Sort=A","Dates=H","DateFormat=P","Fill=—","Direction=H","UseDPDF=Y")</f>
        <v>#NAME?</v>
      </c>
      <c r="BX411" s="2" t="e">
        <f ca="1">_xll.BDH($C$403,"CFO_SEQUENTIAL_GROWTH","FQ3 2015","FQ3 2015","Currency=INR","Period=FQ","BEST_FPERIOD_OVERRIDE=FQ","FILING_STATUS=OR","EQY_CONSOLIDATED=Y","Sort=A","Dates=H","DateFormat=P","Fill=—","Direction=H","UseDPDF=Y")</f>
        <v>#NAME?</v>
      </c>
      <c r="BY411" s="3" t="e">
        <f ca="1">_xll.BDH($C$403,"SHORT_AND_LONG_TERM_DEBT","FQ3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11" s="3" t="e">
        <f ca="1">_xll.BDH($C$403,"BS_ST_BORROW","FQ3 2015","FQ3 2015","Currency=INR","Period=FQ","BEST_FPERIOD_OVERRIDE=FQ","FILING_STATUS=OR","EQY_CONSOLIDATED=Y","SCALING_FORMAT=MLN","Sort=A","Dates=H","DateFormat=P","Fill=—","Direction=H","UseDPDF=Y")</f>
        <v>#NAME?</v>
      </c>
      <c r="CA411" s="3" t="e">
        <f ca="1">_xll.BDH($C$403,"BS_LT_BORROW","FQ3 2015","FQ3 2015","Currency=INR","Period=FQ","BEST_FPERIOD_OVERRIDE=FQ","FILING_STATUS=OR","EQY_CONSOLIDATED=Y","SCALING_FORMAT=MLN","Sort=A","Dates=H","DateFormat=P","Fill=—","Direction=H","UseDPDF=Y")</f>
        <v>#NAME?</v>
      </c>
      <c r="CB411" s="2" t="e">
        <f ca="1">_xll.BDH($C$403,"TOT_DEBT_TO_EBITDA","FQ3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11" s="2" t="e">
        <f ca="1">_xll.BDH($C$403,"NET_DEBT_TO_EBITDA","FQ3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11" s="2" t="e">
        <f ca="1">_xll.BDH($C$403,"TOTAL_DEBT_TO_EBIT","FQ3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11" s="2" t="e">
        <f ca="1">_xll.BDH($C$403,"NET_DEBT_TO_EBIT","FQ3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11" s="2" t="e">
        <f ca="1">_xll.BDH($C$403,"EBITDA_TO_INTEREST_EXPN","FQ3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11" s="2" t="e">
        <f ca="1">_xll.BDH($C$403,"COM_EQY_TO_TOT_ASSET","FQ3 2015","FQ3 2015","Currency=INR","Period=FQ","BEST_FPERIOD_OVERRIDE=FQ","FILING_STATUS=OR","EQY_CONSOLIDATED=Y","Sort=A","Dates=H","DateFormat=P","Fill=—","Direction=H","UseDPDF=Y")</f>
        <v>#NAME?</v>
      </c>
      <c r="CH411" s="2" t="e">
        <f ca="1">_xll.BDH($C$403,"LT_DEBT_TO_TOT_EQY","FQ3 2015","FQ3 2015","Currency=INR","Period=FQ","BEST_FPERIOD_OVERRIDE=FQ","FILING_STATUS=OR","EQY_CONSOLIDATED=Y","Sort=A","Dates=H","DateFormat=P","Fill=—","Direction=H","UseDPDF=Y")</f>
        <v>#NAME?</v>
      </c>
      <c r="CI411" s="2" t="e">
        <f ca="1">_xll.BDH($C$403,"LT_DEBT_TO_TOT_CAP","FQ3 2015","FQ3 2015","Currency=INR","Period=FQ","BEST_FPERIOD_OVERRIDE=FQ","FILING_STATUS=OR","EQY_CONSOLIDATED=Y","Sort=A","Dates=H","DateFormat=P","Fill=—","Direction=H","UseDPDF=Y")</f>
        <v>#NAME?</v>
      </c>
      <c r="CJ411" s="2" t="e">
        <f ca="1">_xll.BDH($C$403,"LT_DEBT_TO_TOT_ASSET","FQ3 2015","FQ3 2015","Currency=INR","Period=FQ","BEST_FPERIOD_OVERRIDE=FQ","FILING_STATUS=OR","EQY_CONSOLIDATED=Y","Sort=A","Dates=H","DateFormat=P","Fill=—","Direction=H","UseDPDF=Y")</f>
        <v>#NAME?</v>
      </c>
      <c r="CK411" s="2" t="e">
        <f ca="1">_xll.BDH($C$403,"TOT_DEBT_TO_TOT_EQY","FQ3 2015","FQ3 2015","Currency=INR","Period=FQ","BEST_FPERIOD_OVERRIDE=FQ","FILING_STATUS=OR","EQY_CONSOLIDATED=Y","Sort=A","Dates=H","DateFormat=P","Fill=—","Direction=H","UseDPDF=Y")</f>
        <v>#NAME?</v>
      </c>
      <c r="CL411" s="2" t="e">
        <f ca="1">_xll.BDH($C$403,"TOT_DEBT_TO_TOT_CAP","FQ3 2015","FQ3 2015","Currency=INR","Period=FQ","BEST_FPERIOD_OVERRIDE=FQ","FILING_STATUS=OR","EQY_CONSOLIDATED=Y","Sort=A","Dates=H","DateFormat=P","Fill=—","Direction=H","UseDPDF=Y")</f>
        <v>#NAME?</v>
      </c>
      <c r="CM411" s="2" t="e">
        <f ca="1">_xll.BDH($C$403,"TOT_DEBT_TO_TOT_ASSET","FQ3 2015","FQ3 2015","Currency=INR","Period=FQ","BEST_FPERIOD_OVERRIDE=FQ","FILING_STATUS=OR","EQY_CONSOLIDATED=Y","Sort=A","Dates=H","DateFormat=P","Fill=—","Direction=H","UseDPDF=Y")</f>
        <v>#NAME?</v>
      </c>
      <c r="CN411" s="2" t="e">
        <f ca="1">_xll.BDH($C$403,"NET_DEBT_TO_SHRHLDR_EQTY","FQ3 2015","FQ3 2015","Currency=INR","Period=FQ","BEST_FPERIOD_OVERRIDE=FQ","FILING_STATUS=OR","EQY_CONSOLIDATED=Y","Sort=A","Dates=H","DateFormat=P","Fill=—","Direction=H","UseDPDF=Y")</f>
        <v>#NAME?</v>
      </c>
      <c r="CO411" s="2" t="e">
        <f ca="1">_xll.BDH($C$403,"NET_DEBT_%_CAPITAL","FQ3 2015","FQ3 2015","Currency=INR","Period=FQ","BEST_FPERIOD_OVERRIDE=FQ","FILING_STATUS=OR","EQY_CONSOLIDATED=Y","Sort=A","Dates=H","DateFormat=P","Fill=—","Direction=H","UseDPDF=Y")</f>
        <v>#NAME?</v>
      </c>
      <c r="CP411" s="3" t="e">
        <f ca="1">_xll.BDH($C$403,"EBITDA","FQ3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11" s="3" t="e">
        <f ca="1">_xll.BDH($C$403,"EBITDA_AFTER_CAPEX","FQ3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11" s="3" t="e">
        <f ca="1">_xll.BDH($C$403,"IS_OPER_INC","FQ3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11" s="2" t="e">
        <f ca="1">_xll.BDH($C$403,"CASH_RATIO","FQ3 2015","FQ3 2015","Currency=INR","Period=FQ","BEST_FPERIOD_OVERRIDE=FQ","FILING_STATUS=OR","EQY_CONSOLIDATED=Y","Sort=A","Dates=H","DateFormat=P","Fill=—","Direction=H","UseDPDF=Y")</f>
        <v>#NAME?</v>
      </c>
      <c r="CT411" s="2" t="e">
        <f ca="1">_xll.BDH($C$403,"CUR_RATIO","FQ3 2015","FQ3 2015","Currency=INR","Period=FQ","BEST_FPERIOD_OVERRIDE=FQ","FILING_STATUS=OR","EQY_CONSOLIDATED=Y","Sort=A","Dates=H","DateFormat=P","Fill=—","Direction=H","UseDPDF=Y")</f>
        <v>#NAME?</v>
      </c>
      <c r="CU411" s="2" t="e">
        <f ca="1">_xll.BDH($C$403,"QUICK_RATIO","FQ3 2015","FQ3 2015","Currency=INR","Period=FQ","BEST_FPERIOD_OVERRIDE=FQ","FILING_STATUS=OR","EQY_CONSOLIDATED=Y","Sort=A","Dates=H","DateFormat=P","Fill=—","Direction=H","UseDPDF=Y")</f>
        <v>#NAME?</v>
      </c>
      <c r="CV411" s="2" t="e">
        <f ca="1">_xll.BDH($C$403,"ALTMAN_Z_SCORE","FQ3 2015","FQ3 2015","Currency=INR","Period=FQ","BEST_FPERIOD_OVERRIDE=FQ","FILING_STATUS=OR","EQY_CONSOLIDATED=Y","Sort=A","Dates=H","DateFormat=P","Fill=—","Direction=H","UseDPDF=Y")</f>
        <v>#NAME?</v>
      </c>
      <c r="CW411" s="4" t="e">
        <f ca="1">_xll.BDH($C$403,"ACCT_RCV_TURN","FQ3 2015","FQ3 2015","Currency=INR","Period=FQ","BEST_FPERIOD_OVERRIDE=FQ","FILING_STATUS=OR","EQY_CONSOLIDATED=Y","FA_ADJUSTED=GAAP","Sort=A","Dates=H","DateFormat=P","Fill=—","Direction=H","UseDPDF=Y")</f>
        <v>#NAME?</v>
      </c>
      <c r="CX411" s="2" t="e">
        <f ca="1">_xll.BDH($C$403,"ACCT_RCV_DAYS","FQ3 2015","FQ3 2015","Currency=INR","Period=FQ","BEST_FPERIOD_OVERRIDE=FQ","FILING_STATUS=OR","EQY_CONSOLIDATED=Y","FA_ADJUSTED=GAAP","Sort=A","Dates=H","DateFormat=P","Fill=—","Direction=H","UseDPDF=Y")</f>
        <v>#NAME?</v>
      </c>
      <c r="CY411" s="4" t="e">
        <f ca="1">_xll.BDH($C$403,"INVENT_TURN","FQ3 2015","FQ3 2015","Currency=INR","Period=FQ","BEST_FPERIOD_OVERRIDE=FQ","FILING_STATUS=OR","EQY_CONSOLIDATED=Y","FA_ADJUSTED=GAAP","Sort=A","Dates=H","DateFormat=P","Fill=—","Direction=H","UseDPDF=Y")</f>
        <v>#NAME?</v>
      </c>
      <c r="CZ411" s="2" t="e">
        <f ca="1">_xll.BDH($C$403,"INVENT_DAYS","FQ3 2015","FQ3 2015","Currency=INR","Period=FQ","BEST_FPERIOD_OVERRIDE=FQ","FILING_STATUS=OR","EQY_CONSOLIDATED=Y","FA_ADJUSTED=GAAP","Sort=A","Dates=H","DateFormat=P","Fill=—","Direction=H","UseDPDF=Y")</f>
        <v>#NAME?</v>
      </c>
      <c r="DA411" s="4" t="e">
        <f ca="1">_xll.BDH($C$403,"ACCOUNTS_PAYABLE_TURNOVER","FQ3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11" s="2" t="e">
        <f ca="1">_xll.BDH($C$403,"ACCOUNTS_PAYABLE_TURNOVER_DAYS","FQ3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11" s="4" t="e">
        <f ca="1">_xll.BDH($C$403,"CASH_CONVERSION_CYCLE","FQ3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11" s="4" t="e">
        <f ca="1">_xll.BDH($C$403,"INV_TO_CASH_DAYS","FQ3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11" s="5" t="e">
        <f ca="1">_xll.BDH($C$403,"BS_INVENTORIES","FQ3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11" s="3" t="e">
        <f ca="1">_xll.BDH($C$403,"INVTRY_RAW_MATERIALS","FQ3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11" s="3" t="e">
        <f ca="1">_xll.BDH($C$403,"INVTRY_IN_PROGRESS","FQ3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11" s="3" t="e">
        <f ca="1">_xll.BDH($C$403,"INVTRY_FINISHED_GOODS","FQ3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11" s="3" t="e">
        <f ca="1">_xll.BDH($C$403,"BS_OTHER_INV","FQ3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12" spans="1:113" x14ac:dyDescent="0.3">
      <c r="A412" s="6"/>
      <c r="B412" s="6"/>
      <c r="C412" s="6"/>
      <c r="D412" s="6"/>
      <c r="E412" t="s">
        <v>81</v>
      </c>
      <c r="F412" t="e">
        <f ca="1">_xll.BDH($C$403,"RETURN_COM_EQY","FQ4 2015","FQ4 2015","Currency=INR","Period=FQ","BEST_FPERIOD_OVERRIDE=FQ","FILING_STATUS=OR","EQY_CONSOLIDATED=Y","FA_ADJUSTED=GAAP","Sort=A","Dates=H","DateFormat=P","Fill=—","Direction=H","UseDPDF=Y")</f>
        <v>#NAME?</v>
      </c>
      <c r="G412" t="e">
        <f ca="1">_xll.BDH($C$403,"RETURN_ON_ASSET","FQ4 2015","FQ4 2015","Currency=INR","Period=FQ","BEST_FPERIOD_OVERRIDE=FQ","FILING_STATUS=OR","EQY_CONSOLIDATED=Y","FA_ADJUSTED=GAAP","Sort=A","Dates=H","DateFormat=P","Fill=—","Direction=H","UseDPDF=Y")</f>
        <v>#NAME?</v>
      </c>
      <c r="H412" t="e">
        <f ca="1">_xll.BDH($C$403,"RETURN_ON_CAP","FQ4 2015","FQ4 2015","Currency=INR","Period=FQ","BEST_FPERIOD_OVERRIDE=FQ","FILING_STATUS=OR","EQY_CONSOLIDATED=Y","FA_ADJUSTED=GAAP","Sort=A","Dates=H","DateFormat=P","Fill=—","Direction=H","UseDPDF=Y")</f>
        <v>#NAME?</v>
      </c>
      <c r="I412" t="e">
        <f ca="1">_xll.BDH($C$403,"RETURN_ON_INV_CAPITAL","FQ4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12" t="e">
        <f ca="1">_xll.BDH($C$403,"EBITDA_TO_REVENUE","FQ4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12" t="e">
        <f ca="1">_xll.BDH($C$403,"OPER_MARGIN","FQ4 2015","FQ4 2015","Currency=INR","Period=FQ","BEST_FPERIOD_OVERRIDE=FQ","FILING_STATUS=OR","EQY_CONSOLIDATED=Y","FA_ADJUSTED=GAAP","Sort=A","Dates=H","DateFormat=P","Fill=—","Direction=H","UseDPDF=Y")</f>
        <v>#NAME?</v>
      </c>
      <c r="L412" t="e">
        <f ca="1">_xll.BDH($C$403,"INCREMENTAL_OPERATING_MARGIN","FQ4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12" t="e">
        <f ca="1">_xll.BDH($C$403,"PRETAX_INC_TO_NET_SALES","FQ4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12" t="e">
        <f ca="1">_xll.BDH($C$403,"INC_BEF_XO_ITEMS_TO_NET_SALES","FQ4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12" t="e">
        <f ca="1">_xll.BDH($C$403,"PROF_MARGIN","FQ4 2015","FQ4 2015","Currency=INR","Period=FQ","BEST_FPERIOD_OVERRIDE=FQ","FILING_STATUS=OR","EQY_CONSOLIDATED=Y","FA_ADJUSTED=GAAP","Sort=A","Dates=H","DateFormat=P","Fill=—","Direction=H","UseDPDF=Y")</f>
        <v>#NAME?</v>
      </c>
      <c r="P412" t="e">
        <f ca="1">_xll.BDH($C$403,"NET_INCOME_TO_COMMON_MARGIN","FQ4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12" t="e">
        <f ca="1">_xll.BDH($C$403,"EFF_TAX_RATE","FQ4 2015","FQ4 2015","Currency=INR","Period=FQ","BEST_FPERIOD_OVERRIDE=FQ","FILING_STATUS=OR","EQY_CONSOLIDATED=Y","FA_ADJUSTED=GAAP","Sort=A","Dates=H","DateFormat=P","Fill=—","Direction=H","UseDPDF=Y")</f>
        <v>#NAME?</v>
      </c>
      <c r="R412" t="e">
        <f ca="1">_xll.BDH($C$403,"DVD_PAYOUT_RATIO","FQ4 2015","FQ4 2015","Currency=INR","Period=FQ","BEST_FPERIOD_OVERRIDE=FQ","FILING_STATUS=OR","EQY_CONSOLIDATED=Y","FA_ADJUSTED=GAAP","Sort=A","Dates=H","DateFormat=P","Fill=—","Direction=H","UseDPDF=Y")</f>
        <v>#NAME?</v>
      </c>
      <c r="S412" t="e">
        <f ca="1">_xll.BDH($C$403,"SUSTAIN_GROWTH_RT","FQ4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12" s="2" t="e">
        <f ca="1">_xll.BDH($C$403,"SALES_GROWTH","FQ4 2015","FQ4 2015","Currency=INR","Period=FQ","BEST_FPERIOD_OVERRIDE=FQ","FILING_STATUS=OR","EQY_CONSOLIDATED=Y","FA_ADJUSTED=GAAP","Sort=A","Dates=H","DateFormat=P","Fill=—","Direction=H","UseDPDF=Y")</f>
        <v>#NAME?</v>
      </c>
      <c r="U412" s="2" t="e">
        <f ca="1">_xll.BDH($C$403,"EBITDA_GROWTH","FQ4 2015","FQ4 2015","Currency=INR","Period=FQ","BEST_FPERIOD_OVERRIDE=FQ","FILING_STATUS=OR","EQY_CONSOLIDATED=Y","FA_ADJUSTED=GAAP","Sort=A","Dates=H","DateFormat=P","Fill=—","Direction=H","UseDPDF=Y")</f>
        <v>#NAME?</v>
      </c>
      <c r="V412" s="2" t="e">
        <f ca="1">_xll.BDH($C$403,"OPER_INC_GROWTH","FQ4 2015","FQ4 2015","Currency=INR","Period=FQ","BEST_FPERIOD_OVERRIDE=FQ","FILING_STATUS=OR","EQY_CONSOLIDATED=Y","FA_ADJUSTED=GAAP","Sort=A","Dates=H","DateFormat=P","Fill=—","Direction=H","UseDPDF=Y")</f>
        <v>#NAME?</v>
      </c>
      <c r="W412" s="2" t="e">
        <f ca="1">_xll.BDH($C$403,"EARN_FOR_COM_GROWTH","FQ4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12" s="2" t="e">
        <f ca="1">_xll.BDH($C$403,"DILUTED_EPS_AFT_XO_ITEMS_GROWTH","FQ4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12" s="2" t="e">
        <f ca="1">_xll.BDH($C$403,"DIVIDEND_PER_SHARE_1_YEAR_GROWTH","FQ4 2015","FQ4 2015","Currency=INR","Period=FQ","BEST_FPERIOD_OVERRIDE=FQ","FILING_STATUS=OR","EQY_CONSOLIDATED=Y","Sort=A","Dates=H","DateFormat=P","Fill=—","Direction=H","UseDPDF=Y")</f>
        <v>#NAME?</v>
      </c>
      <c r="Z412" s="2" t="e">
        <f ca="1">_xll.BDH($C$403,"ACCOUNTS_RECEIVABLE_GROWTH","FQ4 2015","FQ4 2015","Currency=INR","Period=FQ","BEST_FPERIOD_OVERRIDE=FQ","FILING_STATUS=OR","EQY_CONSOLIDATED=Y","Sort=A","Dates=H","DateFormat=P","Fill=—","Direction=H","UseDPDF=Y")</f>
        <v>#NAME?</v>
      </c>
      <c r="AA412" s="2" t="e">
        <f ca="1">_xll.BDH($C$403,"INVENTORY_GROWTH","FQ4 2015","FQ4 2015","Currency=INR","Period=FQ","BEST_FPERIOD_OVERRIDE=FQ","FILING_STATUS=OR","EQY_CONSOLIDATED=Y","Sort=A","Dates=H","DateFormat=P","Fill=—","Direction=H","UseDPDF=Y")</f>
        <v>#NAME?</v>
      </c>
      <c r="AB412" s="2" t="e">
        <f ca="1">_xll.BDH($C$403,"NET_FIXED_ASSETS_1_YEAR_GROWTH","FQ4 2015","FQ4 2015","Currency=INR","Period=FQ","BEST_FPERIOD_OVERRIDE=FQ","FILING_STATUS=OR","EQY_CONSOLIDATED=Y","Sort=A","Dates=H","DateFormat=P","Fill=—","Direction=H","UseDPDF=Y")</f>
        <v>#NAME?</v>
      </c>
      <c r="AC412" s="2" t="e">
        <f ca="1">_xll.BDH($C$403,"ASSET_GROWTH","FQ4 2015","FQ4 2015","Currency=INR","Period=FQ","BEST_FPERIOD_OVERRIDE=FQ","FILING_STATUS=OR","EQY_CONSOLIDATED=Y","Sort=A","Dates=H","DateFormat=P","Fill=—","Direction=H","UseDPDF=Y")</f>
        <v>#NAME?</v>
      </c>
      <c r="AD412" s="2" t="e">
        <f ca="1">_xll.BDH($C$403,"MODIFIED_WORK_CAP_GROWTH","FQ4 2015","FQ4 2015","Currency=INR","Period=FQ","BEST_FPERIOD_OVERRIDE=FQ","FILING_STATUS=OR","EQY_CONSOLIDATED=Y","Sort=A","Dates=H","DateFormat=P","Fill=—","Direction=H","UseDPDF=Y")</f>
        <v>#NAME?</v>
      </c>
      <c r="AE412" s="2" t="e">
        <f ca="1">_xll.BDH($C$403,"WORK_CAP_GROWTH","FQ4 2015","FQ4 2015","Currency=INR","Period=FQ","BEST_FPERIOD_OVERRIDE=FQ","FILING_STATUS=OR","EQY_CONSOLIDATED=Y","Sort=A","Dates=H","DateFormat=P","Fill=—","Direction=H","UseDPDF=Y")</f>
        <v>#NAME?</v>
      </c>
      <c r="AF412" s="2" t="e">
        <f ca="1">_xll.BDH($C$403,"ACCOUNTS_PAYABLE_GROWTH_1YR","FQ4 2015","FQ4 2015","Currency=INR","Period=FQ","BEST_FPERIOD_OVERRIDE=FQ","FILING_STATUS=OR","EQY_CONSOLIDATED=Y","Sort=A","Dates=H","DateFormat=P","Fill=—","Direction=H","UseDPDF=Y")</f>
        <v>#NAME?</v>
      </c>
      <c r="AG412" s="2" t="e">
        <f ca="1">_xll.BDH($C$403,"SHORT_TERM_DEBT_1_YEAR_GROWTH","FQ4 2015","FQ4 2015","Currency=INR","Period=FQ","BEST_FPERIOD_OVERRIDE=FQ","FILING_STATUS=OR","EQY_CONSOLIDATED=Y","Sort=A","Dates=H","DateFormat=P","Fill=—","Direction=H","UseDPDF=Y")</f>
        <v>#NAME?</v>
      </c>
      <c r="AH412" s="2" t="e">
        <f ca="1">_xll.BDH($C$403,"TOTAL_DEBT_1_YEAR_GROWTH","FQ4 2015","FQ4 2015","Currency=INR","Period=FQ","BEST_FPERIOD_OVERRIDE=FQ","FILING_STATUS=OR","EQY_CONSOLIDATED=Y","Sort=A","Dates=H","DateFormat=P","Fill=—","Direction=H","UseDPDF=Y")</f>
        <v>#NAME?</v>
      </c>
      <c r="AI412" s="2" t="e">
        <f ca="1">_xll.BDH($C$403,"TOTAL_EQUITY_1_YEAR_GROWTH","FQ4 2015","FQ4 2015","Currency=INR","Period=FQ","BEST_FPERIOD_OVERRIDE=FQ","FILING_STATUS=OR","EQY_CONSOLIDATED=Y","Sort=A","Dates=H","DateFormat=P","Fill=—","Direction=H","UseDPDF=Y")</f>
        <v>#NAME?</v>
      </c>
      <c r="AJ412" s="2" t="e">
        <f ca="1">_xll.BDH($C$403,"GROWTH_IN_CAP","FQ4 2015","FQ4 2015","Currency=INR","Period=FQ","BEST_FPERIOD_OVERRIDE=FQ","FILING_STATUS=OR","EQY_CONSOLIDATED=Y","Sort=A","Dates=H","DateFormat=P","Fill=—","Direction=H","UseDPDF=Y")</f>
        <v>#NAME?</v>
      </c>
      <c r="AK412" s="2" t="e">
        <f ca="1">_xll.BDH($C$403,"BVPS_GROWTH","FQ4 2015","FQ4 2015","Currency=INR","Period=FQ","BEST_FPERIOD_OVERRIDE=FQ","FILING_STATUS=OR","EQY_CONSOLIDATED=Y","Sort=A","Dates=H","DateFormat=P","Fill=—","Direction=H","UseDPDF=Y")</f>
        <v>#NAME?</v>
      </c>
      <c r="AL412" s="2" t="e">
        <f ca="1">_xll.BDH($C$403,"CASH_FLOW_GROWTH","FQ4 2015","FQ4 2015","Currency=INR","Period=FQ","BEST_FPERIOD_OVERRIDE=FQ","FILING_STATUS=OR","EQY_CONSOLIDATED=Y","Sort=A","Dates=H","DateFormat=P","Fill=—","Direction=H","UseDPDF=Y")</f>
        <v>#NAME?</v>
      </c>
      <c r="AM412" s="2" t="e">
        <f ca="1">_xll.BDH($C$403,"GEO_GROW_NET_SALES","FQ4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12" s="2" t="e">
        <f ca="1">_xll.BDH($C$403,"GEO_GROW_EBITDA","FQ4 2015","FQ4 2015","Currency=INR","Period=FQ","BEST_FPERIOD_OVERRIDE=FQ","FILING_STATUS=OR","EQY_CONSOLIDATED=Y","FA_ADJUSTED=GAAP","Sort=A","Dates=H","DateFormat=P","Fill=—","Direction=H","UseDPDF=Y")</f>
        <v>#NAME?</v>
      </c>
      <c r="AO412" s="2" t="e">
        <f ca="1">_xll.BDH($C$403,"GEO_GROW_OPER_INC","FQ4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12" s="2" t="e">
        <f ca="1">_xll.BDH($C$403,"NET_INCOME_TO_COMMON_5_YR_GROWTH","FQ4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12" s="2" t="e">
        <f ca="1">_xll.BDH($C$403,"5Y_GEO_GROWTH_DILUTED_EPS","FQ4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12" s="2" t="e">
        <f ca="1">_xll.BDH($C$403,"GEO_GROW_DVD_PER_SH","FQ4 2015","FQ4 2015","Currency=INR","Period=FQ","BEST_FPERIOD_OVERRIDE=FQ","FILING_STATUS=OR","EQY_CONSOLIDATED=Y","Sort=A","Dates=H","DateFormat=P","Fill=—","Direction=H","UseDPDF=Y")</f>
        <v>#NAME?</v>
      </c>
      <c r="AS412" s="2" t="e">
        <f ca="1">_xll.BDH($C$403,"ACCOUNTS_RECEIVABLE_5_YR_GROWTH","FQ4 2015","FQ4 2015","Currency=INR","Period=FQ","BEST_FPERIOD_OVERRIDE=FQ","FILING_STATUS=OR","EQY_CONSOLIDATED=Y","Sort=A","Dates=H","DateFormat=P","Fill=—","Direction=H","UseDPDF=Y")</f>
        <v>#NAME?</v>
      </c>
      <c r="AT412" s="2" t="e">
        <f ca="1">_xll.BDH($C$403,"INVENTORY_5_YEAR_GROWTH","FQ4 2015","FQ4 2015","Currency=INR","Period=FQ","BEST_FPERIOD_OVERRIDE=FQ","FILING_STATUS=OR","EQY_CONSOLIDATED=Y","Sort=A","Dates=H","DateFormat=P","Fill=—","Direction=H","UseDPDF=Y")</f>
        <v>#NAME?</v>
      </c>
      <c r="AU412" s="2" t="e">
        <f ca="1">_xll.BDH($C$403,"NET_FIXED_ASSETS_5_YEAR_GROWTH","FQ4 2015","FQ4 2015","Currency=INR","Period=FQ","BEST_FPERIOD_OVERRIDE=FQ","FILING_STATUS=OR","EQY_CONSOLIDATED=Y","Sort=A","Dates=H","DateFormat=P","Fill=—","Direction=H","UseDPDF=Y")</f>
        <v>#NAME?</v>
      </c>
      <c r="AV412" s="2" t="e">
        <f ca="1">_xll.BDH($C$403,"GEO_GROW_TOT_ASSET","FQ4 2015","FQ4 2015","Currency=INR","Period=FQ","BEST_FPERIOD_OVERRIDE=FQ","FILING_STATUS=OR","EQY_CONSOLIDATED=Y","Sort=A","Dates=H","DateFormat=P","Fill=—","Direction=H","UseDPDF=Y")</f>
        <v>#NAME?</v>
      </c>
      <c r="AW412" s="2" t="e">
        <f ca="1">_xll.BDH($C$403,"MODIFIED_WORKING_CPTL_5YR_GRWTH","FQ4 2015","FQ4 2015","Currency=INR","Period=FQ","BEST_FPERIOD_OVERRIDE=FQ","FILING_STATUS=OR","EQY_CONSOLIDATED=Y","Sort=A","Dates=H","DateFormat=P","Fill=—","Direction=H","UseDPDF=Y")</f>
        <v>#NAME?</v>
      </c>
      <c r="AX412" s="2" t="e">
        <f ca="1">_xll.BDH($C$403,"WORKING_CAPITAL_5_YEAR_GROWTH","FQ4 2015","FQ4 2015","Currency=INR","Period=FQ","BEST_FPERIOD_OVERRIDE=FQ","FILING_STATUS=OR","EQY_CONSOLIDATED=Y","Sort=A","Dates=H","DateFormat=P","Fill=—","Direction=H","UseDPDF=Y")</f>
        <v>#NAME?</v>
      </c>
      <c r="AY412" s="2" t="e">
        <f ca="1">_xll.BDH($C$403,"ACCOUNTS_PAYABLE_5_YEAR_GROWTH","FQ4 2015","FQ4 2015","Currency=INR","Period=FQ","BEST_FPERIOD_OVERRIDE=FQ","FILING_STATUS=OR","EQY_CONSOLIDATED=Y","Sort=A","Dates=H","DateFormat=P","Fill=—","Direction=H","UseDPDF=Y")</f>
        <v>#NAME?</v>
      </c>
      <c r="AZ412" s="2" t="e">
        <f ca="1">_xll.BDH($C$403,"SHORT_TERM_DEBT_5_YEAR_GROWTH","FQ4 2015","FQ4 2015","Currency=INR","Period=FQ","BEST_FPERIOD_OVERRIDE=FQ","FILING_STATUS=OR","EQY_CONSOLIDATED=Y","Sort=A","Dates=H","DateFormat=P","Fill=—","Direction=H","UseDPDF=Y")</f>
        <v>#NAME?</v>
      </c>
      <c r="BA412" s="2" t="e">
        <f ca="1">_xll.BDH($C$403,"TOTAL_DEBT_5_YEAR_GROWTH","FQ4 2015","FQ4 2015","Currency=INR","Period=FQ","BEST_FPERIOD_OVERRIDE=FQ","FILING_STATUS=OR","EQY_CONSOLIDATED=Y","Sort=A","Dates=H","DateFormat=P","Fill=—","Direction=H","UseDPDF=Y")</f>
        <v>#NAME?</v>
      </c>
      <c r="BB412" s="2" t="e">
        <f ca="1">_xll.BDH($C$403,"GEO_GROW_TOT_SHRHLDR_EQY","FQ4 2015","FQ4 2015","Currency=INR","Period=FQ","BEST_FPERIOD_OVERRIDE=FQ","FILING_STATUS=OR","EQY_CONSOLIDATED=Y","Sort=A","Dates=H","DateFormat=P","Fill=—","Direction=H","UseDPDF=Y")</f>
        <v>#NAME?</v>
      </c>
      <c r="BC412" s="2" t="e">
        <f ca="1">_xll.BDH($C$403,"TOTAL_CAPITAL_5_YEAR_GROWTH","FQ4 2015","FQ4 2015","Currency=INR","Period=FQ","BEST_FPERIOD_OVERRIDE=FQ","FILING_STATUS=OR","EQY_CONSOLIDATED=Y","Sort=A","Dates=H","DateFormat=P","Fill=—","Direction=H","UseDPDF=Y")</f>
        <v>#NAME?</v>
      </c>
      <c r="BD412" s="2" t="e">
        <f ca="1">_xll.BDH($C$403,"GEO_GROW_BOOK_VAL","FQ4 2015","FQ4 2015","Currency=INR","Period=FQ","BEST_FPERIOD_OVERRIDE=FQ","FILING_STATUS=OR","EQY_CONSOLIDATED=Y","Sort=A","Dates=H","DateFormat=P","Fill=—","Direction=H","UseDPDF=Y")</f>
        <v>#NAME?</v>
      </c>
      <c r="BE412" s="2" t="e">
        <f ca="1">_xll.BDH($C$403,"GEO_GROW_CASH_OPER_ACT","FQ4 2015","FQ4 2015","Currency=INR","Period=FQ","BEST_FPERIOD_OVERRIDE=FQ","FILING_STATUS=OR","EQY_CONSOLIDATED=Y","Sort=A","Dates=H","DateFormat=P","Fill=—","Direction=H","UseDPDF=Y")</f>
        <v>#NAME?</v>
      </c>
      <c r="BF412" s="2" t="e">
        <f ca="1">_xll.BDH($C$403,"REVENUE_SEQUENTIAL_GROWTH","FQ4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12" s="2" t="e">
        <f ca="1">_xll.BDH($C$403,"EBITDA_SEQUENTIAL_GROWTH","FQ4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12" s="2" t="e">
        <f ca="1">_xll.BDH($C$403,"OPERATING_INCOME_SEQ_GROWTH","FQ4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12" s="2" t="e">
        <f ca="1">_xll.BDH($C$403,"NET_INCOME_TO_COMMON_SEQ_GROWTH","FQ4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12" s="2" t="e">
        <f ca="1">_xll.BDH($C$403,"EPS_DILUTED_SEQUENTIAL_GROWTH","FQ4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12" s="2" t="e">
        <f ca="1">_xll.BDH($C$403,"DPS_SEQUENTIAL_GROWTH","FQ4 2015","FQ4 2015","Currency=INR","Period=FQ","BEST_FPERIOD_OVERRIDE=FQ","FILING_STATUS=OR","EQY_CONSOLIDATED=Y","Sort=A","Dates=H","DateFormat=P","Fill=—","Direction=H","UseDPDF=Y")</f>
        <v>#NAME?</v>
      </c>
      <c r="BL412" s="2" t="e">
        <f ca="1">_xll.BDH($C$403,"ACCOUNTS_RECEIVABLE_SEQ_GROWTH","FQ4 2015","FQ4 2015","Currency=INR","Period=FQ","BEST_FPERIOD_OVERRIDE=FQ","FILING_STATUS=OR","EQY_CONSOLIDATED=Y","Sort=A","Dates=H","DateFormat=P","Fill=—","Direction=H","UseDPDF=Y")</f>
        <v>#NAME?</v>
      </c>
      <c r="BM412" s="2" t="e">
        <f ca="1">_xll.BDH($C$403,"INVENTORY_SEQUENTIAL_GROWTH","FQ4 2015","FQ4 2015","Currency=INR","Period=FQ","BEST_FPERIOD_OVERRIDE=FQ","FILING_STATUS=OR","EQY_CONSOLIDATED=Y","Sort=A","Dates=H","DateFormat=P","Fill=—","Direction=H","UseDPDF=Y")</f>
        <v>#NAME?</v>
      </c>
      <c r="BN412" s="2" t="e">
        <f ca="1">_xll.BDH($C$403,"FIXED_ASSETS_SEQUENTIAL_GROWTH","FQ4 2015","FQ4 2015","Currency=INR","Period=FQ","BEST_FPERIOD_OVERRIDE=FQ","FILING_STATUS=OR","EQY_CONSOLIDATED=Y","Sort=A","Dates=H","DateFormat=P","Fill=—","Direction=H","UseDPDF=Y")</f>
        <v>#NAME?</v>
      </c>
      <c r="BO412" s="2" t="e">
        <f ca="1">_xll.BDH($C$403,"TOTAL_ASSETS_SEQUENTIAL_GROWTH","FQ4 2015","FQ4 2015","Currency=INR","Period=FQ","BEST_FPERIOD_OVERRIDE=FQ","FILING_STATUS=OR","EQY_CONSOLIDATED=Y","Sort=A","Dates=H","DateFormat=P","Fill=—","Direction=H","UseDPDF=Y")</f>
        <v>#NAME?</v>
      </c>
      <c r="BP412" s="2" t="e">
        <f ca="1">_xll.BDH($C$403,"MODIFIED_WORKING_CPTL_SEQ_GRWTH","FQ4 2015","FQ4 2015","Currency=INR","Period=FQ","BEST_FPERIOD_OVERRIDE=FQ","FILING_STATUS=OR","EQY_CONSOLIDATED=Y","Sort=A","Dates=H","DateFormat=P","Fill=—","Direction=H","UseDPDF=Y")</f>
        <v>#NAME?</v>
      </c>
      <c r="BQ412" s="2" t="e">
        <f ca="1">_xll.BDH($C$403,"WORKING_CAPITAL_SEQ_GROWTH","FQ4 2015","FQ4 2015","Currency=INR","Period=FQ","BEST_FPERIOD_OVERRIDE=FQ","FILING_STATUS=OR","EQY_CONSOLIDATED=Y","Sort=A","Dates=H","DateFormat=P","Fill=—","Direction=H","UseDPDF=Y")</f>
        <v>#NAME?</v>
      </c>
      <c r="BR412" s="2" t="e">
        <f ca="1">_xll.BDH($C$403,"ACCOUNTS_PAYABLE_SEQ_GROWTH","FQ4 2015","FQ4 2015","Currency=INR","Period=FQ","BEST_FPERIOD_OVERRIDE=FQ","FILING_STATUS=OR","EQY_CONSOLIDATED=Y","Sort=A","Dates=H","DateFormat=P","Fill=—","Direction=H","UseDPDF=Y")</f>
        <v>#NAME?</v>
      </c>
      <c r="BS412" s="2" t="e">
        <f ca="1">_xll.BDH($C$403,"ST_DEBT_SEQUENTIAL_GROWTH","FQ4 2015","FQ4 2015","Currency=INR","Period=FQ","BEST_FPERIOD_OVERRIDE=FQ","FILING_STATUS=OR","EQY_CONSOLIDATED=Y","Sort=A","Dates=H","DateFormat=P","Fill=—","Direction=H","UseDPDF=Y")</f>
        <v>#NAME?</v>
      </c>
      <c r="BT412" s="2" t="e">
        <f ca="1">_xll.BDH($C$403,"TOTAL_DEBT_SEQUENTIAL_GROWTH","FQ4 2015","FQ4 2015","Currency=INR","Period=FQ","BEST_FPERIOD_OVERRIDE=FQ","FILING_STATUS=OR","EQY_CONSOLIDATED=Y","Sort=A","Dates=H","DateFormat=P","Fill=—","Direction=H","UseDPDF=Y")</f>
        <v>#NAME?</v>
      </c>
      <c r="BU412" s="2" t="e">
        <f ca="1">_xll.BDH($C$403,"TOTAL_EQUITY_SEQUENTIAL_GROWTH","FQ4 2015","FQ4 2015","Currency=INR","Period=FQ","BEST_FPERIOD_OVERRIDE=FQ","FILING_STATUS=OR","EQY_CONSOLIDATED=Y","Sort=A","Dates=H","DateFormat=P","Fill=—","Direction=H","UseDPDF=Y")</f>
        <v>#NAME?</v>
      </c>
      <c r="BV412" s="2" t="e">
        <f ca="1">_xll.BDH($C$403,"TOTAL_CAPITAL_SEQUENTIAL_GROWTH","FQ4 2015","FQ4 2015","Currency=INR","Period=FQ","BEST_FPERIOD_OVERRIDE=FQ","FILING_STATUS=OR","EQY_CONSOLIDATED=Y","Sort=A","Dates=H","DateFormat=P","Fill=—","Direction=H","UseDPDF=Y")</f>
        <v>#NAME?</v>
      </c>
      <c r="BW412" s="2" t="e">
        <f ca="1">_xll.BDH($C$403,"BPS_SEQUENTIAL_GROWTH","FQ4 2015","FQ4 2015","Currency=INR","Period=FQ","BEST_FPERIOD_OVERRIDE=FQ","FILING_STATUS=OR","EQY_CONSOLIDATED=Y","Sort=A","Dates=H","DateFormat=P","Fill=—","Direction=H","UseDPDF=Y")</f>
        <v>#NAME?</v>
      </c>
      <c r="BX412" s="2" t="e">
        <f ca="1">_xll.BDH($C$403,"CFO_SEQUENTIAL_GROWTH","FQ4 2015","FQ4 2015","Currency=INR","Period=FQ","BEST_FPERIOD_OVERRIDE=FQ","FILING_STATUS=OR","EQY_CONSOLIDATED=Y","Sort=A","Dates=H","DateFormat=P","Fill=—","Direction=H","UseDPDF=Y")</f>
        <v>#NAME?</v>
      </c>
      <c r="BY412" s="3" t="e">
        <f ca="1">_xll.BDH($C$403,"SHORT_AND_LONG_TERM_DEBT","FQ4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12" s="3" t="e">
        <f ca="1">_xll.BDH($C$403,"BS_ST_BORROW","FQ4 2015","FQ4 2015","Currency=INR","Period=FQ","BEST_FPERIOD_OVERRIDE=FQ","FILING_STATUS=OR","EQY_CONSOLIDATED=Y","SCALING_FORMAT=MLN","Sort=A","Dates=H","DateFormat=P","Fill=—","Direction=H","UseDPDF=Y")</f>
        <v>#NAME?</v>
      </c>
      <c r="CA412" s="3" t="e">
        <f ca="1">_xll.BDH($C$403,"BS_LT_BORROW","FQ4 2015","FQ4 2015","Currency=INR","Period=FQ","BEST_FPERIOD_OVERRIDE=FQ","FILING_STATUS=OR","EQY_CONSOLIDATED=Y","SCALING_FORMAT=MLN","Sort=A","Dates=H","DateFormat=P","Fill=—","Direction=H","UseDPDF=Y")</f>
        <v>#NAME?</v>
      </c>
      <c r="CB412" s="2" t="e">
        <f ca="1">_xll.BDH($C$403,"TOT_DEBT_TO_EBITDA","FQ4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12" s="2" t="e">
        <f ca="1">_xll.BDH($C$403,"NET_DEBT_TO_EBITDA","FQ4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12" s="2" t="e">
        <f ca="1">_xll.BDH($C$403,"TOTAL_DEBT_TO_EBIT","FQ4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12" s="2" t="e">
        <f ca="1">_xll.BDH($C$403,"NET_DEBT_TO_EBIT","FQ4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12" s="2" t="e">
        <f ca="1">_xll.BDH($C$403,"EBITDA_TO_INTEREST_EXPN","FQ4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12" s="2" t="e">
        <f ca="1">_xll.BDH($C$403,"COM_EQY_TO_TOT_ASSET","FQ4 2015","FQ4 2015","Currency=INR","Period=FQ","BEST_FPERIOD_OVERRIDE=FQ","FILING_STATUS=OR","EQY_CONSOLIDATED=Y","Sort=A","Dates=H","DateFormat=P","Fill=—","Direction=H","UseDPDF=Y")</f>
        <v>#NAME?</v>
      </c>
      <c r="CH412" s="2" t="e">
        <f ca="1">_xll.BDH($C$403,"LT_DEBT_TO_TOT_EQY","FQ4 2015","FQ4 2015","Currency=INR","Period=FQ","BEST_FPERIOD_OVERRIDE=FQ","FILING_STATUS=OR","EQY_CONSOLIDATED=Y","Sort=A","Dates=H","DateFormat=P","Fill=—","Direction=H","UseDPDF=Y")</f>
        <v>#NAME?</v>
      </c>
      <c r="CI412" s="2" t="e">
        <f ca="1">_xll.BDH($C$403,"LT_DEBT_TO_TOT_CAP","FQ4 2015","FQ4 2015","Currency=INR","Period=FQ","BEST_FPERIOD_OVERRIDE=FQ","FILING_STATUS=OR","EQY_CONSOLIDATED=Y","Sort=A","Dates=H","DateFormat=P","Fill=—","Direction=H","UseDPDF=Y")</f>
        <v>#NAME?</v>
      </c>
      <c r="CJ412" s="2" t="e">
        <f ca="1">_xll.BDH($C$403,"LT_DEBT_TO_TOT_ASSET","FQ4 2015","FQ4 2015","Currency=INR","Period=FQ","BEST_FPERIOD_OVERRIDE=FQ","FILING_STATUS=OR","EQY_CONSOLIDATED=Y","Sort=A","Dates=H","DateFormat=P","Fill=—","Direction=H","UseDPDF=Y")</f>
        <v>#NAME?</v>
      </c>
      <c r="CK412" s="2" t="e">
        <f ca="1">_xll.BDH($C$403,"TOT_DEBT_TO_TOT_EQY","FQ4 2015","FQ4 2015","Currency=INR","Period=FQ","BEST_FPERIOD_OVERRIDE=FQ","FILING_STATUS=OR","EQY_CONSOLIDATED=Y","Sort=A","Dates=H","DateFormat=P","Fill=—","Direction=H","UseDPDF=Y")</f>
        <v>#NAME?</v>
      </c>
      <c r="CL412" s="2" t="e">
        <f ca="1">_xll.BDH($C$403,"TOT_DEBT_TO_TOT_CAP","FQ4 2015","FQ4 2015","Currency=INR","Period=FQ","BEST_FPERIOD_OVERRIDE=FQ","FILING_STATUS=OR","EQY_CONSOLIDATED=Y","Sort=A","Dates=H","DateFormat=P","Fill=—","Direction=H","UseDPDF=Y")</f>
        <v>#NAME?</v>
      </c>
      <c r="CM412" s="2" t="e">
        <f ca="1">_xll.BDH($C$403,"TOT_DEBT_TO_TOT_ASSET","FQ4 2015","FQ4 2015","Currency=INR","Period=FQ","BEST_FPERIOD_OVERRIDE=FQ","FILING_STATUS=OR","EQY_CONSOLIDATED=Y","Sort=A","Dates=H","DateFormat=P","Fill=—","Direction=H","UseDPDF=Y")</f>
        <v>#NAME?</v>
      </c>
      <c r="CN412" s="2" t="e">
        <f ca="1">_xll.BDH($C$403,"NET_DEBT_TO_SHRHLDR_EQTY","FQ4 2015","FQ4 2015","Currency=INR","Period=FQ","BEST_FPERIOD_OVERRIDE=FQ","FILING_STATUS=OR","EQY_CONSOLIDATED=Y","Sort=A","Dates=H","DateFormat=P","Fill=—","Direction=H","UseDPDF=Y")</f>
        <v>#NAME?</v>
      </c>
      <c r="CO412" s="2" t="e">
        <f ca="1">_xll.BDH($C$403,"NET_DEBT_%_CAPITAL","FQ4 2015","FQ4 2015","Currency=INR","Period=FQ","BEST_FPERIOD_OVERRIDE=FQ","FILING_STATUS=OR","EQY_CONSOLIDATED=Y","Sort=A","Dates=H","DateFormat=P","Fill=—","Direction=H","UseDPDF=Y")</f>
        <v>#NAME?</v>
      </c>
      <c r="CP412" s="3" t="e">
        <f ca="1">_xll.BDH($C$403,"EBITDA","FQ4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12" s="3" t="e">
        <f ca="1">_xll.BDH($C$403,"EBITDA_AFTER_CAPEX","FQ4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12" s="3" t="e">
        <f ca="1">_xll.BDH($C$403,"IS_OPER_INC","FQ4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12" s="2" t="e">
        <f ca="1">_xll.BDH($C$403,"CASH_RATIO","FQ4 2015","FQ4 2015","Currency=INR","Period=FQ","BEST_FPERIOD_OVERRIDE=FQ","FILING_STATUS=OR","EQY_CONSOLIDATED=Y","Sort=A","Dates=H","DateFormat=P","Fill=—","Direction=H","UseDPDF=Y")</f>
        <v>#NAME?</v>
      </c>
      <c r="CT412" s="2" t="e">
        <f ca="1">_xll.BDH($C$403,"CUR_RATIO","FQ4 2015","FQ4 2015","Currency=INR","Period=FQ","BEST_FPERIOD_OVERRIDE=FQ","FILING_STATUS=OR","EQY_CONSOLIDATED=Y","Sort=A","Dates=H","DateFormat=P","Fill=—","Direction=H","UseDPDF=Y")</f>
        <v>#NAME?</v>
      </c>
      <c r="CU412" s="2" t="e">
        <f ca="1">_xll.BDH($C$403,"QUICK_RATIO","FQ4 2015","FQ4 2015","Currency=INR","Period=FQ","BEST_FPERIOD_OVERRIDE=FQ","FILING_STATUS=OR","EQY_CONSOLIDATED=Y","Sort=A","Dates=H","DateFormat=P","Fill=—","Direction=H","UseDPDF=Y")</f>
        <v>#NAME?</v>
      </c>
      <c r="CV412" s="2" t="e">
        <f ca="1">_xll.BDH($C$403,"ALTMAN_Z_SCORE","FQ4 2015","FQ4 2015","Currency=INR","Period=FQ","BEST_FPERIOD_OVERRIDE=FQ","FILING_STATUS=OR","EQY_CONSOLIDATED=Y","Sort=A","Dates=H","DateFormat=P","Fill=—","Direction=H","UseDPDF=Y")</f>
        <v>#NAME?</v>
      </c>
      <c r="CW412" s="4" t="e">
        <f ca="1">_xll.BDH($C$403,"ACCT_RCV_TURN","FQ4 2015","FQ4 2015","Currency=INR","Period=FQ","BEST_FPERIOD_OVERRIDE=FQ","FILING_STATUS=OR","EQY_CONSOLIDATED=Y","FA_ADJUSTED=GAAP","Sort=A","Dates=H","DateFormat=P","Fill=—","Direction=H","UseDPDF=Y")</f>
        <v>#NAME?</v>
      </c>
      <c r="CX412" s="2" t="e">
        <f ca="1">_xll.BDH($C$403,"ACCT_RCV_DAYS","FQ4 2015","FQ4 2015","Currency=INR","Period=FQ","BEST_FPERIOD_OVERRIDE=FQ","FILING_STATUS=OR","EQY_CONSOLIDATED=Y","FA_ADJUSTED=GAAP","Sort=A","Dates=H","DateFormat=P","Fill=—","Direction=H","UseDPDF=Y")</f>
        <v>#NAME?</v>
      </c>
      <c r="CY412" s="4" t="e">
        <f ca="1">_xll.BDH($C$403,"INVENT_TURN","FQ4 2015","FQ4 2015","Currency=INR","Period=FQ","BEST_FPERIOD_OVERRIDE=FQ","FILING_STATUS=OR","EQY_CONSOLIDATED=Y","FA_ADJUSTED=GAAP","Sort=A","Dates=H","DateFormat=P","Fill=—","Direction=H","UseDPDF=Y")</f>
        <v>#NAME?</v>
      </c>
      <c r="CZ412" s="2" t="e">
        <f ca="1">_xll.BDH($C$403,"INVENT_DAYS","FQ4 2015","FQ4 2015","Currency=INR","Period=FQ","BEST_FPERIOD_OVERRIDE=FQ","FILING_STATUS=OR","EQY_CONSOLIDATED=Y","FA_ADJUSTED=GAAP","Sort=A","Dates=H","DateFormat=P","Fill=—","Direction=H","UseDPDF=Y")</f>
        <v>#NAME?</v>
      </c>
      <c r="DA412" s="4" t="e">
        <f ca="1">_xll.BDH($C$403,"ACCOUNTS_PAYABLE_TURNOVER","FQ4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12" s="2" t="e">
        <f ca="1">_xll.BDH($C$403,"ACCOUNTS_PAYABLE_TURNOVER_DAYS","FQ4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12" s="4" t="e">
        <f ca="1">_xll.BDH($C$403,"CASH_CONVERSION_CYCLE","FQ4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12" s="4" t="e">
        <f ca="1">_xll.BDH($C$403,"INV_TO_CASH_DAYS","FQ4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12" s="5" t="e">
        <f ca="1">_xll.BDH($C$403,"BS_INVENTORIES","FQ4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12" s="3" t="e">
        <f ca="1">_xll.BDH($C$403,"INVTRY_RAW_MATERIALS","FQ4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12" s="3" t="e">
        <f ca="1">_xll.BDH($C$403,"INVTRY_IN_PROGRESS","FQ4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12" s="3" t="e">
        <f ca="1">_xll.BDH($C$403,"INVTRY_FINISHED_GOODS","FQ4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12" s="3" t="e">
        <f ca="1">_xll.BDH($C$403,"BS_OTHER_INV","FQ4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13" spans="1:113" x14ac:dyDescent="0.3">
      <c r="A413" s="6"/>
      <c r="B413" s="6"/>
      <c r="C413" s="6"/>
      <c r="D413" s="6" t="s">
        <v>83</v>
      </c>
      <c r="E413" t="s">
        <v>77</v>
      </c>
      <c r="F413" t="e">
        <f ca="1">_xll.BDH($C$403,"RETURN_COM_EQY","FY 2016","FY 2016","Currency=INR","Period=FY","BEST_FPERIOD_OVERRIDE=FY","FILING_STATUS=OR","EQY_CONSOLIDATED=Y","FA_ADJUSTED=GAAP","Sort=A","Dates=H","DateFormat=P","Fill=—","Direction=H","UseDPDF=Y")</f>
        <v>#NAME?</v>
      </c>
      <c r="G413" t="e">
        <f ca="1">_xll.BDH($C$403,"RETURN_ON_ASSET","FY 2016","FY 2016","Currency=INR","Period=FY","BEST_FPERIOD_OVERRIDE=FY","FILING_STATUS=OR","EQY_CONSOLIDATED=Y","FA_ADJUSTED=GAAP","Sort=A","Dates=H","DateFormat=P","Fill=—","Direction=H","UseDPDF=Y")</f>
        <v>#NAME?</v>
      </c>
      <c r="H413" t="e">
        <f ca="1">_xll.BDH($C$403,"RETURN_ON_CAP","FY 2016","FY 2016","Currency=INR","Period=FY","BEST_FPERIOD_OVERRIDE=FY","FILING_STATUS=OR","EQY_CONSOLIDATED=Y","FA_ADJUSTED=GAAP","Sort=A","Dates=H","DateFormat=P","Fill=—","Direction=H","UseDPDF=Y")</f>
        <v>#NAME?</v>
      </c>
      <c r="I413" t="e">
        <f ca="1">_xll.BDH($C$403,"RETURN_ON_INV_CAPITAL","FY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13" t="e">
        <f ca="1">_xll.BDH($C$403,"EBITDA_TO_REVENUE","FY 2016","FY 2016","Currency=INR","Period=FY","BEST_FPERIOD_OVERRIDE=FY","FILING_STATUS=OR","EQY_CONSOLIDATED=Y","FA_ADJUSTED=GAAP","Sort=A","Dates=H","DateFormat=P","Fill=—","Direction=H","UseDPDF=Y")</f>
        <v>#NAME?</v>
      </c>
      <c r="K413" t="e">
        <f ca="1">_xll.BDH($C$403,"OPER_MARGIN","FY 2016","FY 2016","Currency=INR","Period=FY","BEST_FPERIOD_OVERRIDE=FY","FILING_STATUS=OR","EQY_CONSOLIDATED=Y","FA_ADJUSTED=GAAP","Sort=A","Dates=H","DateFormat=P","Fill=—","Direction=H","UseDPDF=Y")</f>
        <v>#NAME?</v>
      </c>
      <c r="L413" t="e">
        <f ca="1">_xll.BDH($C$403,"INCREMENTAL_OPERATING_MARGIN","FY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13" t="e">
        <f ca="1">_xll.BDH($C$403,"PRETAX_INC_TO_NET_SALES","FY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13" t="e">
        <f ca="1">_xll.BDH($C$403,"INC_BEF_XO_ITEMS_TO_NET_SALES","FY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13" t="e">
        <f ca="1">_xll.BDH($C$403,"PROF_MARGIN","FY 2016","FY 2016","Currency=INR","Period=FY","BEST_FPERIOD_OVERRIDE=FY","FILING_STATUS=OR","EQY_CONSOLIDATED=Y","FA_ADJUSTED=GAAP","Sort=A","Dates=H","DateFormat=P","Fill=—","Direction=H","UseDPDF=Y")</f>
        <v>#NAME?</v>
      </c>
      <c r="P413" t="e">
        <f ca="1">_xll.BDH($C$403,"NET_INCOME_TO_COMMON_MARGIN","FY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13" t="e">
        <f ca="1">_xll.BDH($C$403,"EFF_TAX_RATE","FY 2016","FY 2016","Currency=INR","Period=FY","BEST_FPERIOD_OVERRIDE=FY","FILING_STATUS=OR","EQY_CONSOLIDATED=Y","FA_ADJUSTED=GAAP","Sort=A","Dates=H","DateFormat=P","Fill=—","Direction=H","UseDPDF=Y")</f>
        <v>#NAME?</v>
      </c>
      <c r="R413" t="e">
        <f ca="1">_xll.BDH($C$403,"DVD_PAYOUT_RATIO","FY 2016","FY 2016","Currency=INR","Period=FY","BEST_FPERIOD_OVERRIDE=FY","FILING_STATUS=OR","EQY_CONSOLIDATED=Y","FA_ADJUSTED=GAAP","Sort=A","Dates=H","DateFormat=P","Fill=—","Direction=H","UseDPDF=Y")</f>
        <v>#NAME?</v>
      </c>
      <c r="S413" t="e">
        <f ca="1">_xll.BDH($C$403,"SUSTAIN_GROWTH_RT","FY 2016","FY 2016","Currency=INR","Period=FY","BEST_FPERIOD_OVERRIDE=FY","FILING_STATUS=OR","EQY_CONSOLIDATED=Y","FA_ADJUSTED=GAAP","Sort=A","Dates=H","DateFormat=P","Fill=—","Direction=H","UseDPDF=Y")</f>
        <v>#NAME?</v>
      </c>
      <c r="T413" s="2" t="e">
        <f ca="1">_xll.BDH($C$403,"SALES_GROWTH","FY 2016","FY 2016","Currency=INR","Period=FY","BEST_FPERIOD_OVERRIDE=FY","FILING_STATUS=OR","EQY_CONSOLIDATED=Y","FA_ADJUSTED=GAAP","Sort=A","Dates=H","DateFormat=P","Fill=—","Direction=H","UseDPDF=Y")</f>
        <v>#NAME?</v>
      </c>
      <c r="U413" s="2" t="e">
        <f ca="1">_xll.BDH($C$403,"EBITDA_GROWTH","FY 2016","FY 2016","Currency=INR","Period=FY","BEST_FPERIOD_OVERRIDE=FY","FILING_STATUS=OR","EQY_CONSOLIDATED=Y","FA_ADJUSTED=GAAP","Sort=A","Dates=H","DateFormat=P","Fill=—","Direction=H","UseDPDF=Y")</f>
        <v>#NAME?</v>
      </c>
      <c r="V413" s="2" t="e">
        <f ca="1">_xll.BDH($C$403,"OPER_INC_GROWTH","FY 2016","FY 2016","Currency=INR","Period=FY","BEST_FPERIOD_OVERRIDE=FY","FILING_STATUS=OR","EQY_CONSOLIDATED=Y","FA_ADJUSTED=GAAP","Sort=A","Dates=H","DateFormat=P","Fill=—","Direction=H","UseDPDF=Y")</f>
        <v>#NAME?</v>
      </c>
      <c r="W413" s="2" t="e">
        <f ca="1">_xll.BDH($C$403,"EARN_FOR_COM_GROWTH","FY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13" s="2" t="e">
        <f ca="1">_xll.BDH($C$403,"DILUTED_EPS_AFT_XO_ITEMS_GROWTH","FY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13" s="2" t="e">
        <f ca="1">_xll.BDH($C$403,"DIVIDEND_PER_SHARE_1_YEAR_GROWTH","FY 2016","FY 2016","Currency=INR","Period=FY","BEST_FPERIOD_OVERRIDE=FY","FILING_STATUS=OR","EQY_CONSOLIDATED=Y","Sort=A","Dates=H","DateFormat=P","Fill=—","Direction=H","UseDPDF=Y")</f>
        <v>#NAME?</v>
      </c>
      <c r="Z413" s="2" t="e">
        <f ca="1">_xll.BDH($C$403,"ACCOUNTS_RECEIVABLE_GROWTH","FY 2016","FY 2016","Currency=INR","Period=FY","BEST_FPERIOD_OVERRIDE=FY","FILING_STATUS=OR","EQY_CONSOLIDATED=Y","Sort=A","Dates=H","DateFormat=P","Fill=—","Direction=H","UseDPDF=Y")</f>
        <v>#NAME?</v>
      </c>
      <c r="AA413" s="2" t="e">
        <f ca="1">_xll.BDH($C$403,"INVENTORY_GROWTH","FY 2016","FY 2016","Currency=INR","Period=FY","BEST_FPERIOD_OVERRIDE=FY","FILING_STATUS=OR","EQY_CONSOLIDATED=Y","Sort=A","Dates=H","DateFormat=P","Fill=—","Direction=H","UseDPDF=Y")</f>
        <v>#NAME?</v>
      </c>
      <c r="AB413" s="2" t="e">
        <f ca="1">_xll.BDH($C$403,"NET_FIXED_ASSETS_1_YEAR_GROWTH","FY 2016","FY 2016","Currency=INR","Period=FY","BEST_FPERIOD_OVERRIDE=FY","FILING_STATUS=OR","EQY_CONSOLIDATED=Y","Sort=A","Dates=H","DateFormat=P","Fill=—","Direction=H","UseDPDF=Y")</f>
        <v>#NAME?</v>
      </c>
      <c r="AC413" s="2" t="e">
        <f ca="1">_xll.BDH($C$403,"ASSET_GROWTH","FY 2016","FY 2016","Currency=INR","Period=FY","BEST_FPERIOD_OVERRIDE=FY","FILING_STATUS=OR","EQY_CONSOLIDATED=Y","Sort=A","Dates=H","DateFormat=P","Fill=—","Direction=H","UseDPDF=Y")</f>
        <v>#NAME?</v>
      </c>
      <c r="AD413" s="2" t="e">
        <f ca="1">_xll.BDH($C$403,"MODIFIED_WORK_CAP_GROWTH","FY 2016","FY 2016","Currency=INR","Period=FY","BEST_FPERIOD_OVERRIDE=FY","FILING_STATUS=OR","EQY_CONSOLIDATED=Y","Sort=A","Dates=H","DateFormat=P","Fill=—","Direction=H","UseDPDF=Y")</f>
        <v>#NAME?</v>
      </c>
      <c r="AE413" s="2" t="e">
        <f ca="1">_xll.BDH($C$403,"WORK_CAP_GROWTH","FY 2016","FY 2016","Currency=INR","Period=FY","BEST_FPERIOD_OVERRIDE=FY","FILING_STATUS=OR","EQY_CONSOLIDATED=Y","Sort=A","Dates=H","DateFormat=P","Fill=—","Direction=H","UseDPDF=Y")</f>
        <v>#NAME?</v>
      </c>
      <c r="AF413" s="2" t="e">
        <f ca="1">_xll.BDH($C$403,"ACCOUNTS_PAYABLE_GROWTH_1YR","FY 2016","FY 2016","Currency=INR","Period=FY","BEST_FPERIOD_OVERRIDE=FY","FILING_STATUS=OR","EQY_CONSOLIDATED=Y","Sort=A","Dates=H","DateFormat=P","Fill=—","Direction=H","UseDPDF=Y")</f>
        <v>#NAME?</v>
      </c>
      <c r="AG413" s="2" t="e">
        <f ca="1">_xll.BDH($C$403,"SHORT_TERM_DEBT_1_YEAR_GROWTH","FY 2016","FY 2016","Currency=INR","Period=FY","BEST_FPERIOD_OVERRIDE=FY","FILING_STATUS=OR","EQY_CONSOLIDATED=Y","Sort=A","Dates=H","DateFormat=P","Fill=—","Direction=H","UseDPDF=Y")</f>
        <v>#NAME?</v>
      </c>
      <c r="AH413" s="2" t="e">
        <f ca="1">_xll.BDH($C$403,"TOTAL_DEBT_1_YEAR_GROWTH","FY 2016","FY 2016","Currency=INR","Period=FY","BEST_FPERIOD_OVERRIDE=FY","FILING_STATUS=OR","EQY_CONSOLIDATED=Y","Sort=A","Dates=H","DateFormat=P","Fill=—","Direction=H","UseDPDF=Y")</f>
        <v>#NAME?</v>
      </c>
      <c r="AI413" s="2" t="e">
        <f ca="1">_xll.BDH($C$403,"TOTAL_EQUITY_1_YEAR_GROWTH","FY 2016","FY 2016","Currency=INR","Period=FY","BEST_FPERIOD_OVERRIDE=FY","FILING_STATUS=OR","EQY_CONSOLIDATED=Y","Sort=A","Dates=H","DateFormat=P","Fill=—","Direction=H","UseDPDF=Y")</f>
        <v>#NAME?</v>
      </c>
      <c r="AJ413" s="2" t="e">
        <f ca="1">_xll.BDH($C$403,"GROWTH_IN_CAP","FY 2016","FY 2016","Currency=INR","Period=FY","BEST_FPERIOD_OVERRIDE=FY","FILING_STATUS=OR","EQY_CONSOLIDATED=Y","Sort=A","Dates=H","DateFormat=P","Fill=—","Direction=H","UseDPDF=Y")</f>
        <v>#NAME?</v>
      </c>
      <c r="AK413" s="2" t="e">
        <f ca="1">_xll.BDH($C$403,"BVPS_GROWTH","FY 2016","FY 2016","Currency=INR","Period=FY","BEST_FPERIOD_OVERRIDE=FY","FILING_STATUS=OR","EQY_CONSOLIDATED=Y","Sort=A","Dates=H","DateFormat=P","Fill=—","Direction=H","UseDPDF=Y")</f>
        <v>#NAME?</v>
      </c>
      <c r="AL413" s="2" t="e">
        <f ca="1">_xll.BDH($C$403,"CASH_FLOW_GROWTH","FY 2016","FY 2016","Currency=INR","Period=FY","BEST_FPERIOD_OVERRIDE=FY","FILING_STATUS=OR","EQY_CONSOLIDATED=Y","Sort=A","Dates=H","DateFormat=P","Fill=—","Direction=H","UseDPDF=Y")</f>
        <v>#NAME?</v>
      </c>
      <c r="AM413" s="2" t="e">
        <f ca="1">_xll.BDH($C$403,"GEO_GROW_NET_SALES","FY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13" s="2" t="e">
        <f ca="1">_xll.BDH($C$403,"GEO_GROW_EBITDA","FY 2016","FY 2016","Currency=INR","Period=FY","BEST_FPERIOD_OVERRIDE=FY","FILING_STATUS=OR","EQY_CONSOLIDATED=Y","FA_ADJUSTED=GAAP","Sort=A","Dates=H","DateFormat=P","Fill=—","Direction=H","UseDPDF=Y")</f>
        <v>#NAME?</v>
      </c>
      <c r="AO413" s="2" t="e">
        <f ca="1">_xll.BDH($C$403,"GEO_GROW_OPER_INC","FY 2016","FY 2016","Currency=INR","Period=FY","BEST_FPERIOD_OVERRIDE=FY","FILING_STATUS=OR","EQY_CONSOLIDATED=Y","FA_ADJUSTED=GAAP","Sort=A","Dates=H","DateFormat=P","Fill=—","Direction=H","UseDPDF=Y")</f>
        <v>#NAME?</v>
      </c>
      <c r="AP413" s="2" t="e">
        <f ca="1">_xll.BDH($C$403,"NET_INCOME_TO_COMMON_5_YR_GROWTH","FY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13" s="2" t="e">
        <f ca="1">_xll.BDH($C$403,"5Y_GEO_GROWTH_DILUTED_EPS","FY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13" s="2" t="e">
        <f ca="1">_xll.BDH($C$403,"GEO_GROW_DVD_PER_SH","FY 2016","FY 2016","Currency=INR","Period=FY","BEST_FPERIOD_OVERRIDE=FY","FILING_STATUS=OR","EQY_CONSOLIDATED=Y","Sort=A","Dates=H","DateFormat=P","Fill=—","Direction=H","UseDPDF=Y")</f>
        <v>#NAME?</v>
      </c>
      <c r="AS413" s="2" t="e">
        <f ca="1">_xll.BDH($C$403,"ACCOUNTS_RECEIVABLE_5_YR_GROWTH","FY 2016","FY 2016","Currency=INR","Period=FY","BEST_FPERIOD_OVERRIDE=FY","FILING_STATUS=OR","EQY_CONSOLIDATED=Y","Sort=A","Dates=H","DateFormat=P","Fill=—","Direction=H","UseDPDF=Y")</f>
        <v>#NAME?</v>
      </c>
      <c r="AT413" s="2" t="e">
        <f ca="1">_xll.BDH($C$403,"INVENTORY_5_YEAR_GROWTH","FY 2016","FY 2016","Currency=INR","Period=FY","BEST_FPERIOD_OVERRIDE=FY","FILING_STATUS=OR","EQY_CONSOLIDATED=Y","Sort=A","Dates=H","DateFormat=P","Fill=—","Direction=H","UseDPDF=Y")</f>
        <v>#NAME?</v>
      </c>
      <c r="AU413" s="2" t="e">
        <f ca="1">_xll.BDH($C$403,"NET_FIXED_ASSETS_5_YEAR_GROWTH","FY 2016","FY 2016","Currency=INR","Period=FY","BEST_FPERIOD_OVERRIDE=FY","FILING_STATUS=OR","EQY_CONSOLIDATED=Y","Sort=A","Dates=H","DateFormat=P","Fill=—","Direction=H","UseDPDF=Y")</f>
        <v>#NAME?</v>
      </c>
      <c r="AV413" s="2" t="e">
        <f ca="1">_xll.BDH($C$403,"GEO_GROW_TOT_ASSET","FY 2016","FY 2016","Currency=INR","Period=FY","BEST_FPERIOD_OVERRIDE=FY","FILING_STATUS=OR","EQY_CONSOLIDATED=Y","Sort=A","Dates=H","DateFormat=P","Fill=—","Direction=H","UseDPDF=Y")</f>
        <v>#NAME?</v>
      </c>
      <c r="AW413" s="2" t="e">
        <f ca="1">_xll.BDH($C$403,"MODIFIED_WORKING_CPTL_5YR_GRWTH","FY 2016","FY 2016","Currency=INR","Period=FY","BEST_FPERIOD_OVERRIDE=FY","FILING_STATUS=OR","EQY_CONSOLIDATED=Y","Sort=A","Dates=H","DateFormat=P","Fill=—","Direction=H","UseDPDF=Y")</f>
        <v>#NAME?</v>
      </c>
      <c r="AX413" s="2" t="e">
        <f ca="1">_xll.BDH($C$403,"WORKING_CAPITAL_5_YEAR_GROWTH","FY 2016","FY 2016","Currency=INR","Period=FY","BEST_FPERIOD_OVERRIDE=FY","FILING_STATUS=OR","EQY_CONSOLIDATED=Y","Sort=A","Dates=H","DateFormat=P","Fill=—","Direction=H","UseDPDF=Y")</f>
        <v>#NAME?</v>
      </c>
      <c r="AY413" s="2" t="e">
        <f ca="1">_xll.BDH($C$403,"ACCOUNTS_PAYABLE_5_YEAR_GROWTH","FY 2016","FY 2016","Currency=INR","Period=FY","BEST_FPERIOD_OVERRIDE=FY","FILING_STATUS=OR","EQY_CONSOLIDATED=Y","Sort=A","Dates=H","DateFormat=P","Fill=—","Direction=H","UseDPDF=Y")</f>
        <v>#NAME?</v>
      </c>
      <c r="AZ413" s="2" t="e">
        <f ca="1">_xll.BDH($C$403,"SHORT_TERM_DEBT_5_YEAR_GROWTH","FY 2016","FY 2016","Currency=INR","Period=FY","BEST_FPERIOD_OVERRIDE=FY","FILING_STATUS=OR","EQY_CONSOLIDATED=Y","Sort=A","Dates=H","DateFormat=P","Fill=—","Direction=H","UseDPDF=Y")</f>
        <v>#NAME?</v>
      </c>
      <c r="BA413" s="2" t="e">
        <f ca="1">_xll.BDH($C$403,"TOTAL_DEBT_5_YEAR_GROWTH","FY 2016","FY 2016","Currency=INR","Period=FY","BEST_FPERIOD_OVERRIDE=FY","FILING_STATUS=OR","EQY_CONSOLIDATED=Y","Sort=A","Dates=H","DateFormat=P","Fill=—","Direction=H","UseDPDF=Y")</f>
        <v>#NAME?</v>
      </c>
      <c r="BB413" s="2" t="e">
        <f ca="1">_xll.BDH($C$403,"GEO_GROW_TOT_SHRHLDR_EQY","FY 2016","FY 2016","Currency=INR","Period=FY","BEST_FPERIOD_OVERRIDE=FY","FILING_STATUS=OR","EQY_CONSOLIDATED=Y","Sort=A","Dates=H","DateFormat=P","Fill=—","Direction=H","UseDPDF=Y")</f>
        <v>#NAME?</v>
      </c>
      <c r="BC413" s="2" t="e">
        <f ca="1">_xll.BDH($C$403,"TOTAL_CAPITAL_5_YEAR_GROWTH","FY 2016","FY 2016","Currency=INR","Period=FY","BEST_FPERIOD_OVERRIDE=FY","FILING_STATUS=OR","EQY_CONSOLIDATED=Y","Sort=A","Dates=H","DateFormat=P","Fill=—","Direction=H","UseDPDF=Y")</f>
        <v>#NAME?</v>
      </c>
      <c r="BD413" s="2" t="e">
        <f ca="1">_xll.BDH($C$403,"GEO_GROW_BOOK_VAL","FY 2016","FY 2016","Currency=INR","Period=FY","BEST_FPERIOD_OVERRIDE=FY","FILING_STATUS=OR","EQY_CONSOLIDATED=Y","Sort=A","Dates=H","DateFormat=P","Fill=—","Direction=H","UseDPDF=Y")</f>
        <v>#NAME?</v>
      </c>
      <c r="BE413" s="2" t="e">
        <f ca="1">_xll.BDH($C$403,"GEO_GROW_CASH_OPER_ACT","FY 2016","FY 2016","Currency=INR","Period=FY","BEST_FPERIOD_OVERRIDE=FY","FILING_STATUS=OR","EQY_CONSOLIDATED=Y","Sort=A","Dates=H","DateFormat=P","Fill=—","Direction=H","UseDPDF=Y")</f>
        <v>#NAME?</v>
      </c>
      <c r="BF413" s="2" t="e">
        <f ca="1">_xll.BDH($C$403,"REVENUE_SEQUENTIAL_GROWTH","FY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13" s="2" t="e">
        <f ca="1">_xll.BDH($C$403,"EBITDA_SEQUENTIAL_GROWTH","FY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13" s="2" t="e">
        <f ca="1">_xll.BDH($C$403,"OPERATING_INCOME_SEQ_GROWTH","FY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13" s="2" t="e">
        <f ca="1">_xll.BDH($C$403,"NET_INCOME_TO_COMMON_SEQ_GROWTH","FY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13" s="2" t="e">
        <f ca="1">_xll.BDH($C$403,"EPS_DILUTED_SEQUENTIAL_GROWTH","FY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13" s="2" t="e">
        <f ca="1">_xll.BDH($C$403,"DPS_SEQUENTIAL_GROWTH","FY 2016","FY 2016","Currency=INR","Period=FY","BEST_FPERIOD_OVERRIDE=FY","FILING_STATUS=OR","EQY_CONSOLIDATED=Y","Sort=A","Dates=H","DateFormat=P","Fill=—","Direction=H","UseDPDF=Y")</f>
        <v>#NAME?</v>
      </c>
      <c r="BL413" s="2" t="e">
        <f ca="1">_xll.BDH($C$403,"ACCOUNTS_RECEIVABLE_SEQ_GROWTH","FY 2016","FY 2016","Currency=INR","Period=FY","BEST_FPERIOD_OVERRIDE=FY","FILING_STATUS=OR","EQY_CONSOLIDATED=Y","Sort=A","Dates=H","DateFormat=P","Fill=—","Direction=H","UseDPDF=Y")</f>
        <v>#NAME?</v>
      </c>
      <c r="BM413" s="2" t="e">
        <f ca="1">_xll.BDH($C$403,"INVENTORY_SEQUENTIAL_GROWTH","FY 2016","FY 2016","Currency=INR","Period=FY","BEST_FPERIOD_OVERRIDE=FY","FILING_STATUS=OR","EQY_CONSOLIDATED=Y","Sort=A","Dates=H","DateFormat=P","Fill=—","Direction=H","UseDPDF=Y")</f>
        <v>#NAME?</v>
      </c>
      <c r="BN413" s="2" t="e">
        <f ca="1">_xll.BDH($C$403,"FIXED_ASSETS_SEQUENTIAL_GROWTH","FY 2016","FY 2016","Currency=INR","Period=FY","BEST_FPERIOD_OVERRIDE=FY","FILING_STATUS=OR","EQY_CONSOLIDATED=Y","Sort=A","Dates=H","DateFormat=P","Fill=—","Direction=H","UseDPDF=Y")</f>
        <v>#NAME?</v>
      </c>
      <c r="BO413" s="2" t="e">
        <f ca="1">_xll.BDH($C$403,"TOTAL_ASSETS_SEQUENTIAL_GROWTH","FY 2016","FY 2016","Currency=INR","Period=FY","BEST_FPERIOD_OVERRIDE=FY","FILING_STATUS=OR","EQY_CONSOLIDATED=Y","Sort=A","Dates=H","DateFormat=P","Fill=—","Direction=H","UseDPDF=Y")</f>
        <v>#NAME?</v>
      </c>
      <c r="BP413" s="2" t="e">
        <f ca="1">_xll.BDH($C$403,"MODIFIED_WORKING_CPTL_SEQ_GRWTH","FY 2016","FY 2016","Currency=INR","Period=FY","BEST_FPERIOD_OVERRIDE=FY","FILING_STATUS=OR","EQY_CONSOLIDATED=Y","Sort=A","Dates=H","DateFormat=P","Fill=—","Direction=H","UseDPDF=Y")</f>
        <v>#NAME?</v>
      </c>
      <c r="BQ413" s="2" t="e">
        <f ca="1">_xll.BDH($C$403,"WORKING_CAPITAL_SEQ_GROWTH","FY 2016","FY 2016","Currency=INR","Period=FY","BEST_FPERIOD_OVERRIDE=FY","FILING_STATUS=OR","EQY_CONSOLIDATED=Y","Sort=A","Dates=H","DateFormat=P","Fill=—","Direction=H","UseDPDF=Y")</f>
        <v>#NAME?</v>
      </c>
      <c r="BR413" s="2" t="e">
        <f ca="1">_xll.BDH($C$403,"ACCOUNTS_PAYABLE_SEQ_GROWTH","FY 2016","FY 2016","Currency=INR","Period=FY","BEST_FPERIOD_OVERRIDE=FY","FILING_STATUS=OR","EQY_CONSOLIDATED=Y","Sort=A","Dates=H","DateFormat=P","Fill=—","Direction=H","UseDPDF=Y")</f>
        <v>#NAME?</v>
      </c>
      <c r="BS413" s="2" t="e">
        <f ca="1">_xll.BDH($C$403,"ST_DEBT_SEQUENTIAL_GROWTH","FY 2016","FY 2016","Currency=INR","Period=FY","BEST_FPERIOD_OVERRIDE=FY","FILING_STATUS=OR","EQY_CONSOLIDATED=Y","Sort=A","Dates=H","DateFormat=P","Fill=—","Direction=H","UseDPDF=Y")</f>
        <v>#NAME?</v>
      </c>
      <c r="BT413" s="2" t="e">
        <f ca="1">_xll.BDH($C$403,"TOTAL_DEBT_SEQUENTIAL_GROWTH","FY 2016","FY 2016","Currency=INR","Period=FY","BEST_FPERIOD_OVERRIDE=FY","FILING_STATUS=OR","EQY_CONSOLIDATED=Y","Sort=A","Dates=H","DateFormat=P","Fill=—","Direction=H","UseDPDF=Y")</f>
        <v>#NAME?</v>
      </c>
      <c r="BU413" s="2" t="e">
        <f ca="1">_xll.BDH($C$403,"TOTAL_EQUITY_SEQUENTIAL_GROWTH","FY 2016","FY 2016","Currency=INR","Period=FY","BEST_FPERIOD_OVERRIDE=FY","FILING_STATUS=OR","EQY_CONSOLIDATED=Y","Sort=A","Dates=H","DateFormat=P","Fill=—","Direction=H","UseDPDF=Y")</f>
        <v>#NAME?</v>
      </c>
      <c r="BV413" s="2" t="e">
        <f ca="1">_xll.BDH($C$403,"TOTAL_CAPITAL_SEQUENTIAL_GROWTH","FY 2016","FY 2016","Currency=INR","Period=FY","BEST_FPERIOD_OVERRIDE=FY","FILING_STATUS=OR","EQY_CONSOLIDATED=Y","Sort=A","Dates=H","DateFormat=P","Fill=—","Direction=H","UseDPDF=Y")</f>
        <v>#NAME?</v>
      </c>
      <c r="BW413" s="2" t="e">
        <f ca="1">_xll.BDH($C$403,"BPS_SEQUENTIAL_GROWTH","FY 2016","FY 2016","Currency=INR","Period=FY","BEST_FPERIOD_OVERRIDE=FY","FILING_STATUS=OR","EQY_CONSOLIDATED=Y","Sort=A","Dates=H","DateFormat=P","Fill=—","Direction=H","UseDPDF=Y")</f>
        <v>#NAME?</v>
      </c>
      <c r="BX413" s="2" t="e">
        <f ca="1">_xll.BDH($C$403,"CFO_SEQUENTIAL_GROWTH","FY 2016","FY 2016","Currency=INR","Period=FY","BEST_FPERIOD_OVERRIDE=FY","FILING_STATUS=OR","EQY_CONSOLIDATED=Y","Sort=A","Dates=H","DateFormat=P","Fill=—","Direction=H","UseDPDF=Y")</f>
        <v>#NAME?</v>
      </c>
      <c r="BY413" s="3" t="e">
        <f ca="1">_xll.BDH($C$403,"SHORT_AND_LONG_TERM_DEBT","FY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13" s="3" t="e">
        <f ca="1">_xll.BDH($C$403,"BS_ST_BORROW","FY 2016","FY 2016","Currency=INR","Period=FY","BEST_FPERIOD_OVERRIDE=FY","FILING_STATUS=OR","EQY_CONSOLIDATED=Y","SCALING_FORMAT=MLN","Sort=A","Dates=H","DateFormat=P","Fill=—","Direction=H","UseDPDF=Y")</f>
        <v>#NAME?</v>
      </c>
      <c r="CA413" s="3" t="e">
        <f ca="1">_xll.BDH($C$403,"BS_LT_BORROW","FY 2016","FY 2016","Currency=INR","Period=FY","BEST_FPERIOD_OVERRIDE=FY","FILING_STATUS=OR","EQY_CONSOLIDATED=Y","SCALING_FORMAT=MLN","Sort=A","Dates=H","DateFormat=P","Fill=—","Direction=H","UseDPDF=Y")</f>
        <v>#NAME?</v>
      </c>
      <c r="CB413" s="2" t="e">
        <f ca="1">_xll.BDH($C$403,"TOT_DEBT_TO_EBITDA","FY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13" s="2" t="e">
        <f ca="1">_xll.BDH($C$403,"NET_DEBT_TO_EBITDA","FY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13" s="2" t="e">
        <f ca="1">_xll.BDH($C$403,"TOTAL_DEBT_TO_EBIT","FY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13" s="2" t="e">
        <f ca="1">_xll.BDH($C$403,"NET_DEBT_TO_EBIT","FY 2016","FY 2016","Currency=INR","Period=FY","BEST_FPERIOD_OVERRIDE=FY","FILING_STATUS=OR","EQY_CONSOLIDATED=Y","FA_ADJUSTED=GAAP","Sort=A","Dates=H","DateFormat=P","Fill=—","Direction=H","UseDPDF=Y")</f>
        <v>#NAME?</v>
      </c>
      <c r="CF413" s="2" t="e">
        <f ca="1">_xll.BDH($C$403,"EBITDA_TO_INTEREST_EXPN","FY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13" s="2" t="e">
        <f ca="1">_xll.BDH($C$403,"COM_EQY_TO_TOT_ASSET","FY 2016","FY 2016","Currency=INR","Period=FY","BEST_FPERIOD_OVERRIDE=FY","FILING_STATUS=OR","EQY_CONSOLIDATED=Y","Sort=A","Dates=H","DateFormat=P","Fill=—","Direction=H","UseDPDF=Y")</f>
        <v>#NAME?</v>
      </c>
      <c r="CH413" s="2" t="e">
        <f ca="1">_xll.BDH($C$403,"LT_DEBT_TO_TOT_EQY","FY 2016","FY 2016","Currency=INR","Period=FY","BEST_FPERIOD_OVERRIDE=FY","FILING_STATUS=OR","EQY_CONSOLIDATED=Y","Sort=A","Dates=H","DateFormat=P","Fill=—","Direction=H","UseDPDF=Y")</f>
        <v>#NAME?</v>
      </c>
      <c r="CI413" s="2" t="e">
        <f ca="1">_xll.BDH($C$403,"LT_DEBT_TO_TOT_CAP","FY 2016","FY 2016","Currency=INR","Period=FY","BEST_FPERIOD_OVERRIDE=FY","FILING_STATUS=OR","EQY_CONSOLIDATED=Y","Sort=A","Dates=H","DateFormat=P","Fill=—","Direction=H","UseDPDF=Y")</f>
        <v>#NAME?</v>
      </c>
      <c r="CJ413" s="2" t="e">
        <f ca="1">_xll.BDH($C$403,"LT_DEBT_TO_TOT_ASSET","FY 2016","FY 2016","Currency=INR","Period=FY","BEST_FPERIOD_OVERRIDE=FY","FILING_STATUS=OR","EQY_CONSOLIDATED=Y","Sort=A","Dates=H","DateFormat=P","Fill=—","Direction=H","UseDPDF=Y")</f>
        <v>#NAME?</v>
      </c>
      <c r="CK413" s="2" t="e">
        <f ca="1">_xll.BDH($C$403,"TOT_DEBT_TO_TOT_EQY","FY 2016","FY 2016","Currency=INR","Period=FY","BEST_FPERIOD_OVERRIDE=FY","FILING_STATUS=OR","EQY_CONSOLIDATED=Y","Sort=A","Dates=H","DateFormat=P","Fill=—","Direction=H","UseDPDF=Y")</f>
        <v>#NAME?</v>
      </c>
      <c r="CL413" s="2" t="e">
        <f ca="1">_xll.BDH($C$403,"TOT_DEBT_TO_TOT_CAP","FY 2016","FY 2016","Currency=INR","Period=FY","BEST_FPERIOD_OVERRIDE=FY","FILING_STATUS=OR","EQY_CONSOLIDATED=Y","Sort=A","Dates=H","DateFormat=P","Fill=—","Direction=H","UseDPDF=Y")</f>
        <v>#NAME?</v>
      </c>
      <c r="CM413" s="2" t="e">
        <f ca="1">_xll.BDH($C$403,"TOT_DEBT_TO_TOT_ASSET","FY 2016","FY 2016","Currency=INR","Period=FY","BEST_FPERIOD_OVERRIDE=FY","FILING_STATUS=OR","EQY_CONSOLIDATED=Y","Sort=A","Dates=H","DateFormat=P","Fill=—","Direction=H","UseDPDF=Y")</f>
        <v>#NAME?</v>
      </c>
      <c r="CN413" s="2" t="e">
        <f ca="1">_xll.BDH($C$403,"NET_DEBT_TO_SHRHLDR_EQTY","FY 2016","FY 2016","Currency=INR","Period=FY","BEST_FPERIOD_OVERRIDE=FY","FILING_STATUS=OR","EQY_CONSOLIDATED=Y","Sort=A","Dates=H","DateFormat=P","Fill=—","Direction=H","UseDPDF=Y")</f>
        <v>#NAME?</v>
      </c>
      <c r="CO413" s="2" t="e">
        <f ca="1">_xll.BDH($C$403,"NET_DEBT_%_CAPITAL","FY 2016","FY 2016","Currency=INR","Period=FY","BEST_FPERIOD_OVERRIDE=FY","FILING_STATUS=OR","EQY_CONSOLIDATED=Y","Sort=A","Dates=H","DateFormat=P","Fill=—","Direction=H","UseDPDF=Y")</f>
        <v>#NAME?</v>
      </c>
      <c r="CP413" s="3" t="e">
        <f ca="1">_xll.BDH($C$403,"EBITDA","FY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13" s="3" t="e">
        <f ca="1">_xll.BDH($C$403,"EBITDA_AFTER_CAPEX","FY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13" s="3" t="e">
        <f ca="1">_xll.BDH($C$403,"IS_OPER_INC","FY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13" s="2" t="e">
        <f ca="1">_xll.BDH($C$403,"CASH_RATIO","FY 2016","FY 2016","Currency=INR","Period=FY","BEST_FPERIOD_OVERRIDE=FY","FILING_STATUS=OR","EQY_CONSOLIDATED=Y","Sort=A","Dates=H","DateFormat=P","Fill=—","Direction=H","UseDPDF=Y")</f>
        <v>#NAME?</v>
      </c>
      <c r="CT413" s="2" t="e">
        <f ca="1">_xll.BDH($C$403,"CUR_RATIO","FY 2016","FY 2016","Currency=INR","Period=FY","BEST_FPERIOD_OVERRIDE=FY","FILING_STATUS=OR","EQY_CONSOLIDATED=Y","Sort=A","Dates=H","DateFormat=P","Fill=—","Direction=H","UseDPDF=Y")</f>
        <v>#NAME?</v>
      </c>
      <c r="CU413" s="2" t="e">
        <f ca="1">_xll.BDH($C$403,"QUICK_RATIO","FY 2016","FY 2016","Currency=INR","Period=FY","BEST_FPERIOD_OVERRIDE=FY","FILING_STATUS=OR","EQY_CONSOLIDATED=Y","Sort=A","Dates=H","DateFormat=P","Fill=—","Direction=H","UseDPDF=Y")</f>
        <v>#NAME?</v>
      </c>
      <c r="CV413" s="2" t="e">
        <f ca="1">_xll.BDH($C$403,"ALTMAN_Z_SCORE","FY 2016","FY 2016","Currency=INR","Period=FY","BEST_FPERIOD_OVERRIDE=FY","FILING_STATUS=OR","EQY_CONSOLIDATED=Y","Sort=A","Dates=H","DateFormat=P","Fill=—","Direction=H","UseDPDF=Y")</f>
        <v>#NAME?</v>
      </c>
      <c r="CW413" s="4" t="e">
        <f ca="1">_xll.BDH($C$403,"ACCT_RCV_TURN","FY 2016","FY 2016","Currency=INR","Period=FY","BEST_FPERIOD_OVERRIDE=FY","FILING_STATUS=OR","EQY_CONSOLIDATED=Y","FA_ADJUSTED=GAAP","Sort=A","Dates=H","DateFormat=P","Fill=—","Direction=H","UseDPDF=Y")</f>
        <v>#NAME?</v>
      </c>
      <c r="CX413" s="2" t="e">
        <f ca="1">_xll.BDH($C$403,"ACCT_RCV_DAYS","FY 2016","FY 2016","Currency=INR","Period=FY","BEST_FPERIOD_OVERRIDE=FY","FILING_STATUS=OR","EQY_CONSOLIDATED=Y","FA_ADJUSTED=GAAP","Sort=A","Dates=H","DateFormat=P","Fill=—","Direction=H","UseDPDF=Y")</f>
        <v>#NAME?</v>
      </c>
      <c r="CY413" s="4" t="e">
        <f ca="1">_xll.BDH($C$403,"INVENT_TURN","FY 2016","FY 2016","Currency=INR","Period=FY","BEST_FPERIOD_OVERRIDE=FY","FILING_STATUS=OR","EQY_CONSOLIDATED=Y","FA_ADJUSTED=GAAP","Sort=A","Dates=H","DateFormat=P","Fill=—","Direction=H","UseDPDF=Y")</f>
        <v>#NAME?</v>
      </c>
      <c r="CZ413" s="2" t="e">
        <f ca="1">_xll.BDH($C$403,"INVENT_DAYS","FY 2016","FY 2016","Currency=INR","Period=FY","BEST_FPERIOD_OVERRIDE=FY","FILING_STATUS=OR","EQY_CONSOLIDATED=Y","FA_ADJUSTED=GAAP","Sort=A","Dates=H","DateFormat=P","Fill=—","Direction=H","UseDPDF=Y")</f>
        <v>#NAME?</v>
      </c>
      <c r="DA413" s="4" t="e">
        <f ca="1">_xll.BDH($C$403,"ACCOUNTS_PAYABLE_TURNOVER","FY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13" s="2" t="e">
        <f ca="1">_xll.BDH($C$403,"ACCOUNTS_PAYABLE_TURNOVER_DAYS","FY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13" s="4" t="e">
        <f ca="1">_xll.BDH($C$403,"CASH_CONVERSION_CYCLE","FY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13" s="4" t="e">
        <f ca="1">_xll.BDH($C$403,"INV_TO_CASH_DAYS","FY 2016","FY 2016","Currency=INR","Period=FY","BEST_FPERIOD_OVERRIDE=FY","FILING_STATUS=OR","EQY_CONSOLIDATED=Y","FA_ADJUSTED=GAAP","Sort=A","Dates=H","DateFormat=P","Fill=—","Direction=H","UseDPDF=Y")</f>
        <v>#NAME?</v>
      </c>
      <c r="DE413" s="5" t="e">
        <f ca="1">_xll.BDH($C$403,"BS_INVENTORIES","FY 2016","FY 2016","Currency=INR","Period=FY","BEST_FPERIOD_OVERRIDE=FY","FILING_STATUS=OR","EQY_CONSOLIDATED=Y","SCALING_FORMAT=MLN","Sort=A","Dates=H","DateFormat=P","Fill=—","Direction=H","UseDPDF=Y")</f>
        <v>#NAME?</v>
      </c>
      <c r="DF413" s="3" t="e">
        <f ca="1">_xll.BDH($C$403,"INVTRY_RAW_MATERIALS","FY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13" s="3" t="e">
        <f ca="1">_xll.BDH($C$403,"INVTRY_IN_PROGRESS","FY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13" s="3" t="e">
        <f ca="1">_xll.BDH($C$403,"INVTRY_FINISHED_GOODS","FY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13" s="3" t="e">
        <f ca="1">_xll.BDH($C$403,"BS_OTHER_INV","FY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14" spans="1:113" x14ac:dyDescent="0.3">
      <c r="A414" s="6"/>
      <c r="B414" s="6"/>
      <c r="C414" s="6"/>
      <c r="D414" s="6"/>
      <c r="E414" t="s">
        <v>78</v>
      </c>
      <c r="F414" t="e">
        <f ca="1">_xll.BDH($C$403,"RETURN_COM_EQY","FQ1 2016","FQ1 2016","Currency=INR","Period=FQ","BEST_FPERIOD_OVERRIDE=FQ","FILING_STATUS=OR","EQY_CONSOLIDATED=Y","FA_ADJUSTED=GAAP","Sort=A","Dates=H","DateFormat=P","Fill=—","Direction=H","UseDPDF=Y")</f>
        <v>#NAME?</v>
      </c>
      <c r="G414" t="e">
        <f ca="1">_xll.BDH($C$403,"RETURN_ON_ASSET","FQ1 2016","FQ1 2016","Currency=INR","Period=FQ","BEST_FPERIOD_OVERRIDE=FQ","FILING_STATUS=OR","EQY_CONSOLIDATED=Y","FA_ADJUSTED=GAAP","Sort=A","Dates=H","DateFormat=P","Fill=—","Direction=H","UseDPDF=Y")</f>
        <v>#NAME?</v>
      </c>
      <c r="H414" t="e">
        <f ca="1">_xll.BDH($C$403,"RETURN_ON_CAP","FQ1 2016","FQ1 2016","Currency=INR","Period=FQ","BEST_FPERIOD_OVERRIDE=FQ","FILING_STATUS=OR","EQY_CONSOLIDATED=Y","FA_ADJUSTED=GAAP","Sort=A","Dates=H","DateFormat=P","Fill=—","Direction=H","UseDPDF=Y")</f>
        <v>#NAME?</v>
      </c>
      <c r="I414" t="e">
        <f ca="1">_xll.BDH($C$403,"RETURN_ON_INV_CAPITAL","FQ1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14" t="e">
        <f ca="1">_xll.BDH($C$403,"EBITDA_TO_REVENUE","FQ1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14" t="e">
        <f ca="1">_xll.BDH($C$403,"OPER_MARGIN","FQ1 2016","FQ1 2016","Currency=INR","Period=FQ","BEST_FPERIOD_OVERRIDE=FQ","FILING_STATUS=OR","EQY_CONSOLIDATED=Y","FA_ADJUSTED=GAAP","Sort=A","Dates=H","DateFormat=P","Fill=—","Direction=H","UseDPDF=Y")</f>
        <v>#NAME?</v>
      </c>
      <c r="L414" t="e">
        <f ca="1">_xll.BDH($C$403,"INCREMENTAL_OPERATING_MARGIN","FQ1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14" t="e">
        <f ca="1">_xll.BDH($C$403,"PRETAX_INC_TO_NET_SALES","FQ1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14" t="e">
        <f ca="1">_xll.BDH($C$403,"INC_BEF_XO_ITEMS_TO_NET_SALES","FQ1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14" t="e">
        <f ca="1">_xll.BDH($C$403,"PROF_MARGIN","FQ1 2016","FQ1 2016","Currency=INR","Period=FQ","BEST_FPERIOD_OVERRIDE=FQ","FILING_STATUS=OR","EQY_CONSOLIDATED=Y","FA_ADJUSTED=GAAP","Sort=A","Dates=H","DateFormat=P","Fill=—","Direction=H","UseDPDF=Y")</f>
        <v>#NAME?</v>
      </c>
      <c r="P414" t="e">
        <f ca="1">_xll.BDH($C$403,"NET_INCOME_TO_COMMON_MARGIN","FQ1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14" t="e">
        <f ca="1">_xll.BDH($C$403,"EFF_TAX_RATE","FQ1 2016","FQ1 2016","Currency=INR","Period=FQ","BEST_FPERIOD_OVERRIDE=FQ","FILING_STATUS=OR","EQY_CONSOLIDATED=Y","FA_ADJUSTED=GAAP","Sort=A","Dates=H","DateFormat=P","Fill=—","Direction=H","UseDPDF=Y")</f>
        <v>#NAME?</v>
      </c>
      <c r="R414" t="e">
        <f ca="1">_xll.BDH($C$403,"DVD_PAYOUT_RATIO","FQ1 2016","FQ1 2016","Currency=INR","Period=FQ","BEST_FPERIOD_OVERRIDE=FQ","FILING_STATUS=OR","EQY_CONSOLIDATED=Y","FA_ADJUSTED=GAAP","Sort=A","Dates=H","DateFormat=P","Fill=—","Direction=H","UseDPDF=Y")</f>
        <v>#NAME?</v>
      </c>
      <c r="S414" t="e">
        <f ca="1">_xll.BDH($C$403,"SUSTAIN_GROWTH_RT","FQ1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14" s="2" t="e">
        <f ca="1">_xll.BDH($C$403,"SALES_GROWTH","FQ1 2016","FQ1 2016","Currency=INR","Period=FQ","BEST_FPERIOD_OVERRIDE=FQ","FILING_STATUS=OR","EQY_CONSOLIDATED=Y","FA_ADJUSTED=GAAP","Sort=A","Dates=H","DateFormat=P","Fill=—","Direction=H","UseDPDF=Y")</f>
        <v>#NAME?</v>
      </c>
      <c r="U414" s="2" t="e">
        <f ca="1">_xll.BDH($C$403,"EBITDA_GROWTH","FQ1 2016","FQ1 2016","Currency=INR","Period=FQ","BEST_FPERIOD_OVERRIDE=FQ","FILING_STATUS=OR","EQY_CONSOLIDATED=Y","FA_ADJUSTED=GAAP","Sort=A","Dates=H","DateFormat=P","Fill=—","Direction=H","UseDPDF=Y")</f>
        <v>#NAME?</v>
      </c>
      <c r="V414" s="2" t="e">
        <f ca="1">_xll.BDH($C$403,"OPER_INC_GROWTH","FQ1 2016","FQ1 2016","Currency=INR","Period=FQ","BEST_FPERIOD_OVERRIDE=FQ","FILING_STATUS=OR","EQY_CONSOLIDATED=Y","FA_ADJUSTED=GAAP","Sort=A","Dates=H","DateFormat=P","Fill=—","Direction=H","UseDPDF=Y")</f>
        <v>#NAME?</v>
      </c>
      <c r="W414" s="2" t="e">
        <f ca="1">_xll.BDH($C$403,"EARN_FOR_COM_GROWTH","FQ1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14" s="2" t="e">
        <f ca="1">_xll.BDH($C$403,"DILUTED_EPS_AFT_XO_ITEMS_GROWTH","FQ1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14" s="2" t="e">
        <f ca="1">_xll.BDH($C$403,"DIVIDEND_PER_SHARE_1_YEAR_GROWTH","FQ1 2016","FQ1 2016","Currency=INR","Period=FQ","BEST_FPERIOD_OVERRIDE=FQ","FILING_STATUS=OR","EQY_CONSOLIDATED=Y","Sort=A","Dates=H","DateFormat=P","Fill=—","Direction=H","UseDPDF=Y")</f>
        <v>#NAME?</v>
      </c>
      <c r="Z414" s="2" t="e">
        <f ca="1">_xll.BDH($C$403,"ACCOUNTS_RECEIVABLE_GROWTH","FQ1 2016","FQ1 2016","Currency=INR","Period=FQ","BEST_FPERIOD_OVERRIDE=FQ","FILING_STATUS=OR","EQY_CONSOLIDATED=Y","Sort=A","Dates=H","DateFormat=P","Fill=—","Direction=H","UseDPDF=Y")</f>
        <v>#NAME?</v>
      </c>
      <c r="AA414" s="2" t="e">
        <f ca="1">_xll.BDH($C$403,"INVENTORY_GROWTH","FQ1 2016","FQ1 2016","Currency=INR","Period=FQ","BEST_FPERIOD_OVERRIDE=FQ","FILING_STATUS=OR","EQY_CONSOLIDATED=Y","Sort=A","Dates=H","DateFormat=P","Fill=—","Direction=H","UseDPDF=Y")</f>
        <v>#NAME?</v>
      </c>
      <c r="AB414" s="2" t="e">
        <f ca="1">_xll.BDH($C$403,"NET_FIXED_ASSETS_1_YEAR_GROWTH","FQ1 2016","FQ1 2016","Currency=INR","Period=FQ","BEST_FPERIOD_OVERRIDE=FQ","FILING_STATUS=OR","EQY_CONSOLIDATED=Y","Sort=A","Dates=H","DateFormat=P","Fill=—","Direction=H","UseDPDF=Y")</f>
        <v>#NAME?</v>
      </c>
      <c r="AC414" s="2" t="e">
        <f ca="1">_xll.BDH($C$403,"ASSET_GROWTH","FQ1 2016","FQ1 2016","Currency=INR","Period=FQ","BEST_FPERIOD_OVERRIDE=FQ","FILING_STATUS=OR","EQY_CONSOLIDATED=Y","Sort=A","Dates=H","DateFormat=P","Fill=—","Direction=H","UseDPDF=Y")</f>
        <v>#NAME?</v>
      </c>
      <c r="AD414" s="2" t="e">
        <f ca="1">_xll.BDH($C$403,"MODIFIED_WORK_CAP_GROWTH","FQ1 2016","FQ1 2016","Currency=INR","Period=FQ","BEST_FPERIOD_OVERRIDE=FQ","FILING_STATUS=OR","EQY_CONSOLIDATED=Y","Sort=A","Dates=H","DateFormat=P","Fill=—","Direction=H","UseDPDF=Y")</f>
        <v>#NAME?</v>
      </c>
      <c r="AE414" s="2" t="e">
        <f ca="1">_xll.BDH($C$403,"WORK_CAP_GROWTH","FQ1 2016","FQ1 2016","Currency=INR","Period=FQ","BEST_FPERIOD_OVERRIDE=FQ","FILING_STATUS=OR","EQY_CONSOLIDATED=Y","Sort=A","Dates=H","DateFormat=P","Fill=—","Direction=H","UseDPDF=Y")</f>
        <v>#NAME?</v>
      </c>
      <c r="AF414" s="2" t="e">
        <f ca="1">_xll.BDH($C$403,"ACCOUNTS_PAYABLE_GROWTH_1YR","FQ1 2016","FQ1 2016","Currency=INR","Period=FQ","BEST_FPERIOD_OVERRIDE=FQ","FILING_STATUS=OR","EQY_CONSOLIDATED=Y","Sort=A","Dates=H","DateFormat=P","Fill=—","Direction=H","UseDPDF=Y")</f>
        <v>#NAME?</v>
      </c>
      <c r="AG414" s="2" t="e">
        <f ca="1">_xll.BDH($C$403,"SHORT_TERM_DEBT_1_YEAR_GROWTH","FQ1 2016","FQ1 2016","Currency=INR","Period=FQ","BEST_FPERIOD_OVERRIDE=FQ","FILING_STATUS=OR","EQY_CONSOLIDATED=Y","Sort=A","Dates=H","DateFormat=P","Fill=—","Direction=H","UseDPDF=Y")</f>
        <v>#NAME?</v>
      </c>
      <c r="AH414" s="2" t="e">
        <f ca="1">_xll.BDH($C$403,"TOTAL_DEBT_1_YEAR_GROWTH","FQ1 2016","FQ1 2016","Currency=INR","Period=FQ","BEST_FPERIOD_OVERRIDE=FQ","FILING_STATUS=OR","EQY_CONSOLIDATED=Y","Sort=A","Dates=H","DateFormat=P","Fill=—","Direction=H","UseDPDF=Y")</f>
        <v>#NAME?</v>
      </c>
      <c r="AI414" s="2" t="e">
        <f ca="1">_xll.BDH($C$403,"TOTAL_EQUITY_1_YEAR_GROWTH","FQ1 2016","FQ1 2016","Currency=INR","Period=FQ","BEST_FPERIOD_OVERRIDE=FQ","FILING_STATUS=OR","EQY_CONSOLIDATED=Y","Sort=A","Dates=H","DateFormat=P","Fill=—","Direction=H","UseDPDF=Y")</f>
        <v>#NAME?</v>
      </c>
      <c r="AJ414" s="2" t="e">
        <f ca="1">_xll.BDH($C$403,"GROWTH_IN_CAP","FQ1 2016","FQ1 2016","Currency=INR","Period=FQ","BEST_FPERIOD_OVERRIDE=FQ","FILING_STATUS=OR","EQY_CONSOLIDATED=Y","Sort=A","Dates=H","DateFormat=P","Fill=—","Direction=H","UseDPDF=Y")</f>
        <v>#NAME?</v>
      </c>
      <c r="AK414" s="2" t="e">
        <f ca="1">_xll.BDH($C$403,"BVPS_GROWTH","FQ1 2016","FQ1 2016","Currency=INR","Period=FQ","BEST_FPERIOD_OVERRIDE=FQ","FILING_STATUS=OR","EQY_CONSOLIDATED=Y","Sort=A","Dates=H","DateFormat=P","Fill=—","Direction=H","UseDPDF=Y")</f>
        <v>#NAME?</v>
      </c>
      <c r="AL414" s="2" t="e">
        <f ca="1">_xll.BDH($C$403,"CASH_FLOW_GROWTH","FQ1 2016","FQ1 2016","Currency=INR","Period=FQ","BEST_FPERIOD_OVERRIDE=FQ","FILING_STATUS=OR","EQY_CONSOLIDATED=Y","Sort=A","Dates=H","DateFormat=P","Fill=—","Direction=H","UseDPDF=Y")</f>
        <v>#NAME?</v>
      </c>
      <c r="AM414" s="2" t="e">
        <f ca="1">_xll.BDH($C$403,"GEO_GROW_NET_SALES","FQ1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14" s="2" t="e">
        <f ca="1">_xll.BDH($C$403,"GEO_GROW_EBITDA","FQ1 2016","FQ1 2016","Currency=INR","Period=FQ","BEST_FPERIOD_OVERRIDE=FQ","FILING_STATUS=OR","EQY_CONSOLIDATED=Y","FA_ADJUSTED=GAAP","Sort=A","Dates=H","DateFormat=P","Fill=—","Direction=H","UseDPDF=Y")</f>
        <v>#NAME?</v>
      </c>
      <c r="AO414" s="2" t="e">
        <f ca="1">_xll.BDH($C$403,"GEO_GROW_OPER_INC","FQ1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14" s="2" t="e">
        <f ca="1">_xll.BDH($C$403,"NET_INCOME_TO_COMMON_5_YR_GROWTH","FQ1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14" s="2" t="e">
        <f ca="1">_xll.BDH($C$403,"5Y_GEO_GROWTH_DILUTED_EPS","FQ1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14" s="2" t="e">
        <f ca="1">_xll.BDH($C$403,"GEO_GROW_DVD_PER_SH","FQ1 2016","FQ1 2016","Currency=INR","Period=FQ","BEST_FPERIOD_OVERRIDE=FQ","FILING_STATUS=OR","EQY_CONSOLIDATED=Y","Sort=A","Dates=H","DateFormat=P","Fill=—","Direction=H","UseDPDF=Y")</f>
        <v>#NAME?</v>
      </c>
      <c r="AS414" s="2" t="e">
        <f ca="1">_xll.BDH($C$403,"ACCOUNTS_RECEIVABLE_5_YR_GROWTH","FQ1 2016","FQ1 2016","Currency=INR","Period=FQ","BEST_FPERIOD_OVERRIDE=FQ","FILING_STATUS=OR","EQY_CONSOLIDATED=Y","Sort=A","Dates=H","DateFormat=P","Fill=—","Direction=H","UseDPDF=Y")</f>
        <v>#NAME?</v>
      </c>
      <c r="AT414" s="2" t="e">
        <f ca="1">_xll.BDH($C$403,"INVENTORY_5_YEAR_GROWTH","FQ1 2016","FQ1 2016","Currency=INR","Period=FQ","BEST_FPERIOD_OVERRIDE=FQ","FILING_STATUS=OR","EQY_CONSOLIDATED=Y","Sort=A","Dates=H","DateFormat=P","Fill=—","Direction=H","UseDPDF=Y")</f>
        <v>#NAME?</v>
      </c>
      <c r="AU414" s="2" t="e">
        <f ca="1">_xll.BDH($C$403,"NET_FIXED_ASSETS_5_YEAR_GROWTH","FQ1 2016","FQ1 2016","Currency=INR","Period=FQ","BEST_FPERIOD_OVERRIDE=FQ","FILING_STATUS=OR","EQY_CONSOLIDATED=Y","Sort=A","Dates=H","DateFormat=P","Fill=—","Direction=H","UseDPDF=Y")</f>
        <v>#NAME?</v>
      </c>
      <c r="AV414" s="2" t="e">
        <f ca="1">_xll.BDH($C$403,"GEO_GROW_TOT_ASSET","FQ1 2016","FQ1 2016","Currency=INR","Period=FQ","BEST_FPERIOD_OVERRIDE=FQ","FILING_STATUS=OR","EQY_CONSOLIDATED=Y","Sort=A","Dates=H","DateFormat=P","Fill=—","Direction=H","UseDPDF=Y")</f>
        <v>#NAME?</v>
      </c>
      <c r="AW414" s="2" t="e">
        <f ca="1">_xll.BDH($C$403,"MODIFIED_WORKING_CPTL_5YR_GRWTH","FQ1 2016","FQ1 2016","Currency=INR","Period=FQ","BEST_FPERIOD_OVERRIDE=FQ","FILING_STATUS=OR","EQY_CONSOLIDATED=Y","Sort=A","Dates=H","DateFormat=P","Fill=—","Direction=H","UseDPDF=Y")</f>
        <v>#NAME?</v>
      </c>
      <c r="AX414" s="2" t="e">
        <f ca="1">_xll.BDH($C$403,"WORKING_CAPITAL_5_YEAR_GROWTH","FQ1 2016","FQ1 2016","Currency=INR","Period=FQ","BEST_FPERIOD_OVERRIDE=FQ","FILING_STATUS=OR","EQY_CONSOLIDATED=Y","Sort=A","Dates=H","DateFormat=P","Fill=—","Direction=H","UseDPDF=Y")</f>
        <v>#NAME?</v>
      </c>
      <c r="AY414" s="2" t="e">
        <f ca="1">_xll.BDH($C$403,"ACCOUNTS_PAYABLE_5_YEAR_GROWTH","FQ1 2016","FQ1 2016","Currency=INR","Period=FQ","BEST_FPERIOD_OVERRIDE=FQ","FILING_STATUS=OR","EQY_CONSOLIDATED=Y","Sort=A","Dates=H","DateFormat=P","Fill=—","Direction=H","UseDPDF=Y")</f>
        <v>#NAME?</v>
      </c>
      <c r="AZ414" s="2" t="e">
        <f ca="1">_xll.BDH($C$403,"SHORT_TERM_DEBT_5_YEAR_GROWTH","FQ1 2016","FQ1 2016","Currency=INR","Period=FQ","BEST_FPERIOD_OVERRIDE=FQ","FILING_STATUS=OR","EQY_CONSOLIDATED=Y","Sort=A","Dates=H","DateFormat=P","Fill=—","Direction=H","UseDPDF=Y")</f>
        <v>#NAME?</v>
      </c>
      <c r="BA414" s="2" t="e">
        <f ca="1">_xll.BDH($C$403,"TOTAL_DEBT_5_YEAR_GROWTH","FQ1 2016","FQ1 2016","Currency=INR","Period=FQ","BEST_FPERIOD_OVERRIDE=FQ","FILING_STATUS=OR","EQY_CONSOLIDATED=Y","Sort=A","Dates=H","DateFormat=P","Fill=—","Direction=H","UseDPDF=Y")</f>
        <v>#NAME?</v>
      </c>
      <c r="BB414" s="2" t="e">
        <f ca="1">_xll.BDH($C$403,"GEO_GROW_TOT_SHRHLDR_EQY","FQ1 2016","FQ1 2016","Currency=INR","Period=FQ","BEST_FPERIOD_OVERRIDE=FQ","FILING_STATUS=OR","EQY_CONSOLIDATED=Y","Sort=A","Dates=H","DateFormat=P","Fill=—","Direction=H","UseDPDF=Y")</f>
        <v>#NAME?</v>
      </c>
      <c r="BC414" s="2" t="e">
        <f ca="1">_xll.BDH($C$403,"TOTAL_CAPITAL_5_YEAR_GROWTH","FQ1 2016","FQ1 2016","Currency=INR","Period=FQ","BEST_FPERIOD_OVERRIDE=FQ","FILING_STATUS=OR","EQY_CONSOLIDATED=Y","Sort=A","Dates=H","DateFormat=P","Fill=—","Direction=H","UseDPDF=Y")</f>
        <v>#NAME?</v>
      </c>
      <c r="BD414" s="2" t="e">
        <f ca="1">_xll.BDH($C$403,"GEO_GROW_BOOK_VAL","FQ1 2016","FQ1 2016","Currency=INR","Period=FQ","BEST_FPERIOD_OVERRIDE=FQ","FILING_STATUS=OR","EQY_CONSOLIDATED=Y","Sort=A","Dates=H","DateFormat=P","Fill=—","Direction=H","UseDPDF=Y")</f>
        <v>#NAME?</v>
      </c>
      <c r="BE414" s="2" t="e">
        <f ca="1">_xll.BDH($C$403,"GEO_GROW_CASH_OPER_ACT","FQ1 2016","FQ1 2016","Currency=INR","Period=FQ","BEST_FPERIOD_OVERRIDE=FQ","FILING_STATUS=OR","EQY_CONSOLIDATED=Y","Sort=A","Dates=H","DateFormat=P","Fill=—","Direction=H","UseDPDF=Y")</f>
        <v>#NAME?</v>
      </c>
      <c r="BF414" s="2" t="e">
        <f ca="1">_xll.BDH($C$403,"REVENUE_SEQUENTIAL_GROWTH","FQ1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14" s="2" t="e">
        <f ca="1">_xll.BDH($C$403,"EBITDA_SEQUENTIAL_GROWTH","FQ1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14" s="2" t="e">
        <f ca="1">_xll.BDH($C$403,"OPERATING_INCOME_SEQ_GROWTH","FQ1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14" s="2" t="e">
        <f ca="1">_xll.BDH($C$403,"NET_INCOME_TO_COMMON_SEQ_GROWTH","FQ1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14" s="2" t="e">
        <f ca="1">_xll.BDH($C$403,"EPS_DILUTED_SEQUENTIAL_GROWTH","FQ1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14" s="2" t="e">
        <f ca="1">_xll.BDH($C$403,"DPS_SEQUENTIAL_GROWTH","FQ1 2016","FQ1 2016","Currency=INR","Period=FQ","BEST_FPERIOD_OVERRIDE=FQ","FILING_STATUS=OR","EQY_CONSOLIDATED=Y","Sort=A","Dates=H","DateFormat=P","Fill=—","Direction=H","UseDPDF=Y")</f>
        <v>#NAME?</v>
      </c>
      <c r="BL414" s="2" t="e">
        <f ca="1">_xll.BDH($C$403,"ACCOUNTS_RECEIVABLE_SEQ_GROWTH","FQ1 2016","FQ1 2016","Currency=INR","Period=FQ","BEST_FPERIOD_OVERRIDE=FQ","FILING_STATUS=OR","EQY_CONSOLIDATED=Y","Sort=A","Dates=H","DateFormat=P","Fill=—","Direction=H","UseDPDF=Y")</f>
        <v>#NAME?</v>
      </c>
      <c r="BM414" s="2" t="e">
        <f ca="1">_xll.BDH($C$403,"INVENTORY_SEQUENTIAL_GROWTH","FQ1 2016","FQ1 2016","Currency=INR","Period=FQ","BEST_FPERIOD_OVERRIDE=FQ","FILING_STATUS=OR","EQY_CONSOLIDATED=Y","Sort=A","Dates=H","DateFormat=P","Fill=—","Direction=H","UseDPDF=Y")</f>
        <v>#NAME?</v>
      </c>
      <c r="BN414" s="2" t="e">
        <f ca="1">_xll.BDH($C$403,"FIXED_ASSETS_SEQUENTIAL_GROWTH","FQ1 2016","FQ1 2016","Currency=INR","Period=FQ","BEST_FPERIOD_OVERRIDE=FQ","FILING_STATUS=OR","EQY_CONSOLIDATED=Y","Sort=A","Dates=H","DateFormat=P","Fill=—","Direction=H","UseDPDF=Y")</f>
        <v>#NAME?</v>
      </c>
      <c r="BO414" s="2" t="e">
        <f ca="1">_xll.BDH($C$403,"TOTAL_ASSETS_SEQUENTIAL_GROWTH","FQ1 2016","FQ1 2016","Currency=INR","Period=FQ","BEST_FPERIOD_OVERRIDE=FQ","FILING_STATUS=OR","EQY_CONSOLIDATED=Y","Sort=A","Dates=H","DateFormat=P","Fill=—","Direction=H","UseDPDF=Y")</f>
        <v>#NAME?</v>
      </c>
      <c r="BP414" s="2" t="e">
        <f ca="1">_xll.BDH($C$403,"MODIFIED_WORKING_CPTL_SEQ_GRWTH","FQ1 2016","FQ1 2016","Currency=INR","Period=FQ","BEST_FPERIOD_OVERRIDE=FQ","FILING_STATUS=OR","EQY_CONSOLIDATED=Y","Sort=A","Dates=H","DateFormat=P","Fill=—","Direction=H","UseDPDF=Y")</f>
        <v>#NAME?</v>
      </c>
      <c r="BQ414" s="2" t="e">
        <f ca="1">_xll.BDH($C$403,"WORKING_CAPITAL_SEQ_GROWTH","FQ1 2016","FQ1 2016","Currency=INR","Period=FQ","BEST_FPERIOD_OVERRIDE=FQ","FILING_STATUS=OR","EQY_CONSOLIDATED=Y","Sort=A","Dates=H","DateFormat=P","Fill=—","Direction=H","UseDPDF=Y")</f>
        <v>#NAME?</v>
      </c>
      <c r="BR414" s="2" t="e">
        <f ca="1">_xll.BDH($C$403,"ACCOUNTS_PAYABLE_SEQ_GROWTH","FQ1 2016","FQ1 2016","Currency=INR","Period=FQ","BEST_FPERIOD_OVERRIDE=FQ","FILING_STATUS=OR","EQY_CONSOLIDATED=Y","Sort=A","Dates=H","DateFormat=P","Fill=—","Direction=H","UseDPDF=Y")</f>
        <v>#NAME?</v>
      </c>
      <c r="BS414" s="2" t="e">
        <f ca="1">_xll.BDH($C$403,"ST_DEBT_SEQUENTIAL_GROWTH","FQ1 2016","FQ1 2016","Currency=INR","Period=FQ","BEST_FPERIOD_OVERRIDE=FQ","FILING_STATUS=OR","EQY_CONSOLIDATED=Y","Sort=A","Dates=H","DateFormat=P","Fill=—","Direction=H","UseDPDF=Y")</f>
        <v>#NAME?</v>
      </c>
      <c r="BT414" s="2" t="e">
        <f ca="1">_xll.BDH($C$403,"TOTAL_DEBT_SEQUENTIAL_GROWTH","FQ1 2016","FQ1 2016","Currency=INR","Period=FQ","BEST_FPERIOD_OVERRIDE=FQ","FILING_STATUS=OR","EQY_CONSOLIDATED=Y","Sort=A","Dates=H","DateFormat=P","Fill=—","Direction=H","UseDPDF=Y")</f>
        <v>#NAME?</v>
      </c>
      <c r="BU414" s="2" t="e">
        <f ca="1">_xll.BDH($C$403,"TOTAL_EQUITY_SEQUENTIAL_GROWTH","FQ1 2016","FQ1 2016","Currency=INR","Period=FQ","BEST_FPERIOD_OVERRIDE=FQ","FILING_STATUS=OR","EQY_CONSOLIDATED=Y","Sort=A","Dates=H","DateFormat=P","Fill=—","Direction=H","UseDPDF=Y")</f>
        <v>#NAME?</v>
      </c>
      <c r="BV414" s="2" t="e">
        <f ca="1">_xll.BDH($C$403,"TOTAL_CAPITAL_SEQUENTIAL_GROWTH","FQ1 2016","FQ1 2016","Currency=INR","Period=FQ","BEST_FPERIOD_OVERRIDE=FQ","FILING_STATUS=OR","EQY_CONSOLIDATED=Y","Sort=A","Dates=H","DateFormat=P","Fill=—","Direction=H","UseDPDF=Y")</f>
        <v>#NAME?</v>
      </c>
      <c r="BW414" s="2" t="e">
        <f ca="1">_xll.BDH($C$403,"BPS_SEQUENTIAL_GROWTH","FQ1 2016","FQ1 2016","Currency=INR","Period=FQ","BEST_FPERIOD_OVERRIDE=FQ","FILING_STATUS=OR","EQY_CONSOLIDATED=Y","Sort=A","Dates=H","DateFormat=P","Fill=—","Direction=H","UseDPDF=Y")</f>
        <v>#NAME?</v>
      </c>
      <c r="BX414" s="2" t="e">
        <f ca="1">_xll.BDH($C$403,"CFO_SEQUENTIAL_GROWTH","FQ1 2016","FQ1 2016","Currency=INR","Period=FQ","BEST_FPERIOD_OVERRIDE=FQ","FILING_STATUS=OR","EQY_CONSOLIDATED=Y","Sort=A","Dates=H","DateFormat=P","Fill=—","Direction=H","UseDPDF=Y")</f>
        <v>#NAME?</v>
      </c>
      <c r="BY414" s="3" t="e">
        <f ca="1">_xll.BDH($C$403,"SHORT_AND_LONG_TERM_DEBT","FQ1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14" s="3" t="e">
        <f ca="1">_xll.BDH($C$403,"BS_ST_BORROW","FQ1 2016","FQ1 2016","Currency=INR","Period=FQ","BEST_FPERIOD_OVERRIDE=FQ","FILING_STATUS=OR","EQY_CONSOLIDATED=Y","SCALING_FORMAT=MLN","Sort=A","Dates=H","DateFormat=P","Fill=—","Direction=H","UseDPDF=Y")</f>
        <v>#NAME?</v>
      </c>
      <c r="CA414" s="3" t="e">
        <f ca="1">_xll.BDH($C$403,"BS_LT_BORROW","FQ1 2016","FQ1 2016","Currency=INR","Period=FQ","BEST_FPERIOD_OVERRIDE=FQ","FILING_STATUS=OR","EQY_CONSOLIDATED=Y","SCALING_FORMAT=MLN","Sort=A","Dates=H","DateFormat=P","Fill=—","Direction=H","UseDPDF=Y")</f>
        <v>#NAME?</v>
      </c>
      <c r="CB414" s="2" t="e">
        <f ca="1">_xll.BDH($C$403,"TOT_DEBT_TO_EBITDA","FQ1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14" s="2" t="e">
        <f ca="1">_xll.BDH($C$403,"NET_DEBT_TO_EBITDA","FQ1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14" s="2" t="e">
        <f ca="1">_xll.BDH($C$403,"TOTAL_DEBT_TO_EBIT","FQ1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14" s="2" t="e">
        <f ca="1">_xll.BDH($C$403,"NET_DEBT_TO_EBIT","FQ1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14" s="2" t="e">
        <f ca="1">_xll.BDH($C$403,"EBITDA_TO_INTEREST_EXPN","FQ1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14" s="2" t="e">
        <f ca="1">_xll.BDH($C$403,"COM_EQY_TO_TOT_ASSET","FQ1 2016","FQ1 2016","Currency=INR","Period=FQ","BEST_FPERIOD_OVERRIDE=FQ","FILING_STATUS=OR","EQY_CONSOLIDATED=Y","Sort=A","Dates=H","DateFormat=P","Fill=—","Direction=H","UseDPDF=Y")</f>
        <v>#NAME?</v>
      </c>
      <c r="CH414" s="2" t="e">
        <f ca="1">_xll.BDH($C$403,"LT_DEBT_TO_TOT_EQY","FQ1 2016","FQ1 2016","Currency=INR","Period=FQ","BEST_FPERIOD_OVERRIDE=FQ","FILING_STATUS=OR","EQY_CONSOLIDATED=Y","Sort=A","Dates=H","DateFormat=P","Fill=—","Direction=H","UseDPDF=Y")</f>
        <v>#NAME?</v>
      </c>
      <c r="CI414" s="2" t="e">
        <f ca="1">_xll.BDH($C$403,"LT_DEBT_TO_TOT_CAP","FQ1 2016","FQ1 2016","Currency=INR","Period=FQ","BEST_FPERIOD_OVERRIDE=FQ","FILING_STATUS=OR","EQY_CONSOLIDATED=Y","Sort=A","Dates=H","DateFormat=P","Fill=—","Direction=H","UseDPDF=Y")</f>
        <v>#NAME?</v>
      </c>
      <c r="CJ414" s="2" t="e">
        <f ca="1">_xll.BDH($C$403,"LT_DEBT_TO_TOT_ASSET","FQ1 2016","FQ1 2016","Currency=INR","Period=FQ","BEST_FPERIOD_OVERRIDE=FQ","FILING_STATUS=OR","EQY_CONSOLIDATED=Y","Sort=A","Dates=H","DateFormat=P","Fill=—","Direction=H","UseDPDF=Y")</f>
        <v>#NAME?</v>
      </c>
      <c r="CK414" s="2" t="e">
        <f ca="1">_xll.BDH($C$403,"TOT_DEBT_TO_TOT_EQY","FQ1 2016","FQ1 2016","Currency=INR","Period=FQ","BEST_FPERIOD_OVERRIDE=FQ","FILING_STATUS=OR","EQY_CONSOLIDATED=Y","Sort=A","Dates=H","DateFormat=P","Fill=—","Direction=H","UseDPDF=Y")</f>
        <v>#NAME?</v>
      </c>
      <c r="CL414" s="2" t="e">
        <f ca="1">_xll.BDH($C$403,"TOT_DEBT_TO_TOT_CAP","FQ1 2016","FQ1 2016","Currency=INR","Period=FQ","BEST_FPERIOD_OVERRIDE=FQ","FILING_STATUS=OR","EQY_CONSOLIDATED=Y","Sort=A","Dates=H","DateFormat=P","Fill=—","Direction=H","UseDPDF=Y")</f>
        <v>#NAME?</v>
      </c>
      <c r="CM414" s="2" t="e">
        <f ca="1">_xll.BDH($C$403,"TOT_DEBT_TO_TOT_ASSET","FQ1 2016","FQ1 2016","Currency=INR","Period=FQ","BEST_FPERIOD_OVERRIDE=FQ","FILING_STATUS=OR","EQY_CONSOLIDATED=Y","Sort=A","Dates=H","DateFormat=P","Fill=—","Direction=H","UseDPDF=Y")</f>
        <v>#NAME?</v>
      </c>
      <c r="CN414" s="2" t="e">
        <f ca="1">_xll.BDH($C$403,"NET_DEBT_TO_SHRHLDR_EQTY","FQ1 2016","FQ1 2016","Currency=INR","Period=FQ","BEST_FPERIOD_OVERRIDE=FQ","FILING_STATUS=OR","EQY_CONSOLIDATED=Y","Sort=A","Dates=H","DateFormat=P","Fill=—","Direction=H","UseDPDF=Y")</f>
        <v>#NAME?</v>
      </c>
      <c r="CO414" s="2" t="e">
        <f ca="1">_xll.BDH($C$403,"NET_DEBT_%_CAPITAL","FQ1 2016","FQ1 2016","Currency=INR","Period=FQ","BEST_FPERIOD_OVERRIDE=FQ","FILING_STATUS=OR","EQY_CONSOLIDATED=Y","Sort=A","Dates=H","DateFormat=P","Fill=—","Direction=H","UseDPDF=Y")</f>
        <v>#NAME?</v>
      </c>
      <c r="CP414" s="3" t="e">
        <f ca="1">_xll.BDH($C$403,"EBITDA","FQ1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14" s="3" t="e">
        <f ca="1">_xll.BDH($C$403,"EBITDA_AFTER_CAPEX","FQ1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14" s="3" t="e">
        <f ca="1">_xll.BDH($C$403,"IS_OPER_INC","FQ1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14" s="2" t="e">
        <f ca="1">_xll.BDH($C$403,"CASH_RATIO","FQ1 2016","FQ1 2016","Currency=INR","Period=FQ","BEST_FPERIOD_OVERRIDE=FQ","FILING_STATUS=OR","EQY_CONSOLIDATED=Y","Sort=A","Dates=H","DateFormat=P","Fill=—","Direction=H","UseDPDF=Y")</f>
        <v>#NAME?</v>
      </c>
      <c r="CT414" s="2" t="e">
        <f ca="1">_xll.BDH($C$403,"CUR_RATIO","FQ1 2016","FQ1 2016","Currency=INR","Period=FQ","BEST_FPERIOD_OVERRIDE=FQ","FILING_STATUS=OR","EQY_CONSOLIDATED=Y","Sort=A","Dates=H","DateFormat=P","Fill=—","Direction=H","UseDPDF=Y")</f>
        <v>#NAME?</v>
      </c>
      <c r="CU414" s="2" t="e">
        <f ca="1">_xll.BDH($C$403,"QUICK_RATIO","FQ1 2016","FQ1 2016","Currency=INR","Period=FQ","BEST_FPERIOD_OVERRIDE=FQ","FILING_STATUS=OR","EQY_CONSOLIDATED=Y","Sort=A","Dates=H","DateFormat=P","Fill=—","Direction=H","UseDPDF=Y")</f>
        <v>#NAME?</v>
      </c>
      <c r="CV414" s="2" t="e">
        <f ca="1">_xll.BDH($C$403,"ALTMAN_Z_SCORE","FQ1 2016","FQ1 2016","Currency=INR","Period=FQ","BEST_FPERIOD_OVERRIDE=FQ","FILING_STATUS=OR","EQY_CONSOLIDATED=Y","Sort=A","Dates=H","DateFormat=P","Fill=—","Direction=H","UseDPDF=Y")</f>
        <v>#NAME?</v>
      </c>
      <c r="CW414" s="4" t="e">
        <f ca="1">_xll.BDH($C$403,"ACCT_RCV_TURN","FQ1 2016","FQ1 2016","Currency=INR","Period=FQ","BEST_FPERIOD_OVERRIDE=FQ","FILING_STATUS=OR","EQY_CONSOLIDATED=Y","FA_ADJUSTED=GAAP","Sort=A","Dates=H","DateFormat=P","Fill=—","Direction=H","UseDPDF=Y")</f>
        <v>#NAME?</v>
      </c>
      <c r="CX414" s="2" t="e">
        <f ca="1">_xll.BDH($C$403,"ACCT_RCV_DAYS","FQ1 2016","FQ1 2016","Currency=INR","Period=FQ","BEST_FPERIOD_OVERRIDE=FQ","FILING_STATUS=OR","EQY_CONSOLIDATED=Y","FA_ADJUSTED=GAAP","Sort=A","Dates=H","DateFormat=P","Fill=—","Direction=H","UseDPDF=Y")</f>
        <v>#NAME?</v>
      </c>
      <c r="CY414" s="4" t="e">
        <f ca="1">_xll.BDH($C$403,"INVENT_TURN","FQ1 2016","FQ1 2016","Currency=INR","Period=FQ","BEST_FPERIOD_OVERRIDE=FQ","FILING_STATUS=OR","EQY_CONSOLIDATED=Y","FA_ADJUSTED=GAAP","Sort=A","Dates=H","DateFormat=P","Fill=—","Direction=H","UseDPDF=Y")</f>
        <v>#NAME?</v>
      </c>
      <c r="CZ414" s="2" t="e">
        <f ca="1">_xll.BDH($C$403,"INVENT_DAYS","FQ1 2016","FQ1 2016","Currency=INR","Period=FQ","BEST_FPERIOD_OVERRIDE=FQ","FILING_STATUS=OR","EQY_CONSOLIDATED=Y","FA_ADJUSTED=GAAP","Sort=A","Dates=H","DateFormat=P","Fill=—","Direction=H","UseDPDF=Y")</f>
        <v>#NAME?</v>
      </c>
      <c r="DA414" s="4" t="e">
        <f ca="1">_xll.BDH($C$403,"ACCOUNTS_PAYABLE_TURNOVER","FQ1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14" s="2" t="e">
        <f ca="1">_xll.BDH($C$403,"ACCOUNTS_PAYABLE_TURNOVER_DAYS","FQ1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14" s="4" t="e">
        <f ca="1">_xll.BDH($C$403,"CASH_CONVERSION_CYCLE","FQ1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14" s="4" t="e">
        <f ca="1">_xll.BDH($C$403,"INV_TO_CASH_DAYS","FQ1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14" s="5" t="e">
        <f ca="1">_xll.BDH($C$403,"BS_INVENTORIES","FQ1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14" s="3" t="e">
        <f ca="1">_xll.BDH($C$403,"INVTRY_RAW_MATERIALS","FQ1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14" s="3" t="e">
        <f ca="1">_xll.BDH($C$403,"INVTRY_IN_PROGRESS","FQ1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14" s="3" t="e">
        <f ca="1">_xll.BDH($C$403,"INVTRY_FINISHED_GOODS","FQ1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14" s="3" t="e">
        <f ca="1">_xll.BDH($C$403,"BS_OTHER_INV","FQ1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15" spans="1:113" x14ac:dyDescent="0.3">
      <c r="A415" s="6"/>
      <c r="B415" s="6"/>
      <c r="C415" s="6"/>
      <c r="D415" s="6"/>
      <c r="E415" t="s">
        <v>79</v>
      </c>
      <c r="F415" t="e">
        <f ca="1">_xll.BDH($C$403,"RETURN_COM_EQY","FQ2 2016","FQ2 2016","Currency=INR","Period=FQ","BEST_FPERIOD_OVERRIDE=FQ","FILING_STATUS=OR","EQY_CONSOLIDATED=Y","FA_ADJUSTED=GAAP","Sort=A","Dates=H","DateFormat=P","Fill=—","Direction=H","UseDPDF=Y")</f>
        <v>#NAME?</v>
      </c>
      <c r="G415" t="e">
        <f ca="1">_xll.BDH($C$403,"RETURN_ON_ASSET","FQ2 2016","FQ2 2016","Currency=INR","Period=FQ","BEST_FPERIOD_OVERRIDE=FQ","FILING_STATUS=OR","EQY_CONSOLIDATED=Y","FA_ADJUSTED=GAAP","Sort=A","Dates=H","DateFormat=P","Fill=—","Direction=H","UseDPDF=Y")</f>
        <v>#NAME?</v>
      </c>
      <c r="H415" t="e">
        <f ca="1">_xll.BDH($C$403,"RETURN_ON_CAP","FQ2 2016","FQ2 2016","Currency=INR","Period=FQ","BEST_FPERIOD_OVERRIDE=FQ","FILING_STATUS=OR","EQY_CONSOLIDATED=Y","FA_ADJUSTED=GAAP","Sort=A","Dates=H","DateFormat=P","Fill=—","Direction=H","UseDPDF=Y")</f>
        <v>#NAME?</v>
      </c>
      <c r="I415" t="e">
        <f ca="1">_xll.BDH($C$403,"RETURN_ON_INV_CAPITAL","FQ2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15" t="e">
        <f ca="1">_xll.BDH($C$403,"EBITDA_TO_REVENUE","FQ2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15" t="e">
        <f ca="1">_xll.BDH($C$403,"OPER_MARGIN","FQ2 2016","FQ2 2016","Currency=INR","Period=FQ","BEST_FPERIOD_OVERRIDE=FQ","FILING_STATUS=OR","EQY_CONSOLIDATED=Y","FA_ADJUSTED=GAAP","Sort=A","Dates=H","DateFormat=P","Fill=—","Direction=H","UseDPDF=Y")</f>
        <v>#NAME?</v>
      </c>
      <c r="L415" t="e">
        <f ca="1">_xll.BDH($C$403,"INCREMENTAL_OPERATING_MARGIN","FQ2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15" t="e">
        <f ca="1">_xll.BDH($C$403,"PRETAX_INC_TO_NET_SALES","FQ2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15" t="e">
        <f ca="1">_xll.BDH($C$403,"INC_BEF_XO_ITEMS_TO_NET_SALES","FQ2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15" t="e">
        <f ca="1">_xll.BDH($C$403,"PROF_MARGIN","FQ2 2016","FQ2 2016","Currency=INR","Period=FQ","BEST_FPERIOD_OVERRIDE=FQ","FILING_STATUS=OR","EQY_CONSOLIDATED=Y","FA_ADJUSTED=GAAP","Sort=A","Dates=H","DateFormat=P","Fill=—","Direction=H","UseDPDF=Y")</f>
        <v>#NAME?</v>
      </c>
      <c r="P415" t="e">
        <f ca="1">_xll.BDH($C$403,"NET_INCOME_TO_COMMON_MARGIN","FQ2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15" t="e">
        <f ca="1">_xll.BDH($C$403,"EFF_TAX_RATE","FQ2 2016","FQ2 2016","Currency=INR","Period=FQ","BEST_FPERIOD_OVERRIDE=FQ","FILING_STATUS=OR","EQY_CONSOLIDATED=Y","FA_ADJUSTED=GAAP","Sort=A","Dates=H","DateFormat=P","Fill=—","Direction=H","UseDPDF=Y")</f>
        <v>#NAME?</v>
      </c>
      <c r="R415" t="e">
        <f ca="1">_xll.BDH($C$403,"DVD_PAYOUT_RATIO","FQ2 2016","FQ2 2016","Currency=INR","Period=FQ","BEST_FPERIOD_OVERRIDE=FQ","FILING_STATUS=OR","EQY_CONSOLIDATED=Y","FA_ADJUSTED=GAAP","Sort=A","Dates=H","DateFormat=P","Fill=—","Direction=H","UseDPDF=Y")</f>
        <v>#NAME?</v>
      </c>
      <c r="S415" t="e">
        <f ca="1">_xll.BDH($C$403,"SUSTAIN_GROWTH_RT","FQ2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15" s="2" t="e">
        <f ca="1">_xll.BDH($C$403,"SALES_GROWTH","FQ2 2016","FQ2 2016","Currency=INR","Period=FQ","BEST_FPERIOD_OVERRIDE=FQ","FILING_STATUS=OR","EQY_CONSOLIDATED=Y","FA_ADJUSTED=GAAP","Sort=A","Dates=H","DateFormat=P","Fill=—","Direction=H","UseDPDF=Y")</f>
        <v>#NAME?</v>
      </c>
      <c r="U415" s="2" t="e">
        <f ca="1">_xll.BDH($C$403,"EBITDA_GROWTH","FQ2 2016","FQ2 2016","Currency=INR","Period=FQ","BEST_FPERIOD_OVERRIDE=FQ","FILING_STATUS=OR","EQY_CONSOLIDATED=Y","FA_ADJUSTED=GAAP","Sort=A","Dates=H","DateFormat=P","Fill=—","Direction=H","UseDPDF=Y")</f>
        <v>#NAME?</v>
      </c>
      <c r="V415" s="2" t="e">
        <f ca="1">_xll.BDH($C$403,"OPER_INC_GROWTH","FQ2 2016","FQ2 2016","Currency=INR","Period=FQ","BEST_FPERIOD_OVERRIDE=FQ","FILING_STATUS=OR","EQY_CONSOLIDATED=Y","FA_ADJUSTED=GAAP","Sort=A","Dates=H","DateFormat=P","Fill=—","Direction=H","UseDPDF=Y")</f>
        <v>#NAME?</v>
      </c>
      <c r="W415" s="2" t="e">
        <f ca="1">_xll.BDH($C$403,"EARN_FOR_COM_GROWTH","FQ2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15" s="2" t="e">
        <f ca="1">_xll.BDH($C$403,"DILUTED_EPS_AFT_XO_ITEMS_GROWTH","FQ2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15" s="2" t="e">
        <f ca="1">_xll.BDH($C$403,"DIVIDEND_PER_SHARE_1_YEAR_GROWTH","FQ2 2016","FQ2 2016","Currency=INR","Period=FQ","BEST_FPERIOD_OVERRIDE=FQ","FILING_STATUS=OR","EQY_CONSOLIDATED=Y","Sort=A","Dates=H","DateFormat=P","Fill=—","Direction=H","UseDPDF=Y")</f>
        <v>#NAME?</v>
      </c>
      <c r="Z415" s="2" t="e">
        <f ca="1">_xll.BDH($C$403,"ACCOUNTS_RECEIVABLE_GROWTH","FQ2 2016","FQ2 2016","Currency=INR","Period=FQ","BEST_FPERIOD_OVERRIDE=FQ","FILING_STATUS=OR","EQY_CONSOLIDATED=Y","Sort=A","Dates=H","DateFormat=P","Fill=—","Direction=H","UseDPDF=Y")</f>
        <v>#NAME?</v>
      </c>
      <c r="AA415" s="2" t="e">
        <f ca="1">_xll.BDH($C$403,"INVENTORY_GROWTH","FQ2 2016","FQ2 2016","Currency=INR","Period=FQ","BEST_FPERIOD_OVERRIDE=FQ","FILING_STATUS=OR","EQY_CONSOLIDATED=Y","Sort=A","Dates=H","DateFormat=P","Fill=—","Direction=H","UseDPDF=Y")</f>
        <v>#NAME?</v>
      </c>
      <c r="AB415" s="2" t="e">
        <f ca="1">_xll.BDH($C$403,"NET_FIXED_ASSETS_1_YEAR_GROWTH","FQ2 2016","FQ2 2016","Currency=INR","Period=FQ","BEST_FPERIOD_OVERRIDE=FQ","FILING_STATUS=OR","EQY_CONSOLIDATED=Y","Sort=A","Dates=H","DateFormat=P","Fill=—","Direction=H","UseDPDF=Y")</f>
        <v>#NAME?</v>
      </c>
      <c r="AC415" s="2" t="e">
        <f ca="1">_xll.BDH($C$403,"ASSET_GROWTH","FQ2 2016","FQ2 2016","Currency=INR","Period=FQ","BEST_FPERIOD_OVERRIDE=FQ","FILING_STATUS=OR","EQY_CONSOLIDATED=Y","Sort=A","Dates=H","DateFormat=P","Fill=—","Direction=H","UseDPDF=Y")</f>
        <v>#NAME?</v>
      </c>
      <c r="AD415" s="2" t="e">
        <f ca="1">_xll.BDH($C$403,"MODIFIED_WORK_CAP_GROWTH","FQ2 2016","FQ2 2016","Currency=INR","Period=FQ","BEST_FPERIOD_OVERRIDE=FQ","FILING_STATUS=OR","EQY_CONSOLIDATED=Y","Sort=A","Dates=H","DateFormat=P","Fill=—","Direction=H","UseDPDF=Y")</f>
        <v>#NAME?</v>
      </c>
      <c r="AE415" s="2" t="e">
        <f ca="1">_xll.BDH($C$403,"WORK_CAP_GROWTH","FQ2 2016","FQ2 2016","Currency=INR","Period=FQ","BEST_FPERIOD_OVERRIDE=FQ","FILING_STATUS=OR","EQY_CONSOLIDATED=Y","Sort=A","Dates=H","DateFormat=P","Fill=—","Direction=H","UseDPDF=Y")</f>
        <v>#NAME?</v>
      </c>
      <c r="AF415" s="2" t="e">
        <f ca="1">_xll.BDH($C$403,"ACCOUNTS_PAYABLE_GROWTH_1YR","FQ2 2016","FQ2 2016","Currency=INR","Period=FQ","BEST_FPERIOD_OVERRIDE=FQ","FILING_STATUS=OR","EQY_CONSOLIDATED=Y","Sort=A","Dates=H","DateFormat=P","Fill=—","Direction=H","UseDPDF=Y")</f>
        <v>#NAME?</v>
      </c>
      <c r="AG415" s="2" t="e">
        <f ca="1">_xll.BDH($C$403,"SHORT_TERM_DEBT_1_YEAR_GROWTH","FQ2 2016","FQ2 2016","Currency=INR","Period=FQ","BEST_FPERIOD_OVERRIDE=FQ","FILING_STATUS=OR","EQY_CONSOLIDATED=Y","Sort=A","Dates=H","DateFormat=P","Fill=—","Direction=H","UseDPDF=Y")</f>
        <v>#NAME?</v>
      </c>
      <c r="AH415" s="2" t="e">
        <f ca="1">_xll.BDH($C$403,"TOTAL_DEBT_1_YEAR_GROWTH","FQ2 2016","FQ2 2016","Currency=INR","Period=FQ","BEST_FPERIOD_OVERRIDE=FQ","FILING_STATUS=OR","EQY_CONSOLIDATED=Y","Sort=A","Dates=H","DateFormat=P","Fill=—","Direction=H","UseDPDF=Y")</f>
        <v>#NAME?</v>
      </c>
      <c r="AI415" s="2" t="e">
        <f ca="1">_xll.BDH($C$403,"TOTAL_EQUITY_1_YEAR_GROWTH","FQ2 2016","FQ2 2016","Currency=INR","Period=FQ","BEST_FPERIOD_OVERRIDE=FQ","FILING_STATUS=OR","EQY_CONSOLIDATED=Y","Sort=A","Dates=H","DateFormat=P","Fill=—","Direction=H","UseDPDF=Y")</f>
        <v>#NAME?</v>
      </c>
      <c r="AJ415" s="2" t="e">
        <f ca="1">_xll.BDH($C$403,"GROWTH_IN_CAP","FQ2 2016","FQ2 2016","Currency=INR","Period=FQ","BEST_FPERIOD_OVERRIDE=FQ","FILING_STATUS=OR","EQY_CONSOLIDATED=Y","Sort=A","Dates=H","DateFormat=P","Fill=—","Direction=H","UseDPDF=Y")</f>
        <v>#NAME?</v>
      </c>
      <c r="AK415" s="2" t="e">
        <f ca="1">_xll.BDH($C$403,"BVPS_GROWTH","FQ2 2016","FQ2 2016","Currency=INR","Period=FQ","BEST_FPERIOD_OVERRIDE=FQ","FILING_STATUS=OR","EQY_CONSOLIDATED=Y","Sort=A","Dates=H","DateFormat=P","Fill=—","Direction=H","UseDPDF=Y")</f>
        <v>#NAME?</v>
      </c>
      <c r="AL415" s="2" t="e">
        <f ca="1">_xll.BDH($C$403,"CASH_FLOW_GROWTH","FQ2 2016","FQ2 2016","Currency=INR","Period=FQ","BEST_FPERIOD_OVERRIDE=FQ","FILING_STATUS=OR","EQY_CONSOLIDATED=Y","Sort=A","Dates=H","DateFormat=P","Fill=—","Direction=H","UseDPDF=Y")</f>
        <v>#NAME?</v>
      </c>
      <c r="AM415" s="2" t="e">
        <f ca="1">_xll.BDH($C$403,"GEO_GROW_NET_SALES","FQ2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15" s="2" t="e">
        <f ca="1">_xll.BDH($C$403,"GEO_GROW_EBITDA","FQ2 2016","FQ2 2016","Currency=INR","Period=FQ","BEST_FPERIOD_OVERRIDE=FQ","FILING_STATUS=OR","EQY_CONSOLIDATED=Y","FA_ADJUSTED=GAAP","Sort=A","Dates=H","DateFormat=P","Fill=—","Direction=H","UseDPDF=Y")</f>
        <v>#NAME?</v>
      </c>
      <c r="AO415" s="2" t="e">
        <f ca="1">_xll.BDH($C$403,"GEO_GROW_OPER_INC","FQ2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15" s="2" t="e">
        <f ca="1">_xll.BDH($C$403,"NET_INCOME_TO_COMMON_5_YR_GROWTH","FQ2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15" s="2" t="e">
        <f ca="1">_xll.BDH($C$403,"5Y_GEO_GROWTH_DILUTED_EPS","FQ2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15" s="2" t="e">
        <f ca="1">_xll.BDH($C$403,"GEO_GROW_DVD_PER_SH","FQ2 2016","FQ2 2016","Currency=INR","Period=FQ","BEST_FPERIOD_OVERRIDE=FQ","FILING_STATUS=OR","EQY_CONSOLIDATED=Y","Sort=A","Dates=H","DateFormat=P","Fill=—","Direction=H","UseDPDF=Y")</f>
        <v>#NAME?</v>
      </c>
      <c r="AS415" s="2" t="e">
        <f ca="1">_xll.BDH($C$403,"ACCOUNTS_RECEIVABLE_5_YR_GROWTH","FQ2 2016","FQ2 2016","Currency=INR","Period=FQ","BEST_FPERIOD_OVERRIDE=FQ","FILING_STATUS=OR","EQY_CONSOLIDATED=Y","Sort=A","Dates=H","DateFormat=P","Fill=—","Direction=H","UseDPDF=Y")</f>
        <v>#NAME?</v>
      </c>
      <c r="AT415" s="2" t="e">
        <f ca="1">_xll.BDH($C$403,"INVENTORY_5_YEAR_GROWTH","FQ2 2016","FQ2 2016","Currency=INR","Period=FQ","BEST_FPERIOD_OVERRIDE=FQ","FILING_STATUS=OR","EQY_CONSOLIDATED=Y","Sort=A","Dates=H","DateFormat=P","Fill=—","Direction=H","UseDPDF=Y")</f>
        <v>#NAME?</v>
      </c>
      <c r="AU415" s="2" t="e">
        <f ca="1">_xll.BDH($C$403,"NET_FIXED_ASSETS_5_YEAR_GROWTH","FQ2 2016","FQ2 2016","Currency=INR","Period=FQ","BEST_FPERIOD_OVERRIDE=FQ","FILING_STATUS=OR","EQY_CONSOLIDATED=Y","Sort=A","Dates=H","DateFormat=P","Fill=—","Direction=H","UseDPDF=Y")</f>
        <v>#NAME?</v>
      </c>
      <c r="AV415" s="2" t="e">
        <f ca="1">_xll.BDH($C$403,"GEO_GROW_TOT_ASSET","FQ2 2016","FQ2 2016","Currency=INR","Period=FQ","BEST_FPERIOD_OVERRIDE=FQ","FILING_STATUS=OR","EQY_CONSOLIDATED=Y","Sort=A","Dates=H","DateFormat=P","Fill=—","Direction=H","UseDPDF=Y")</f>
        <v>#NAME?</v>
      </c>
      <c r="AW415" s="2" t="e">
        <f ca="1">_xll.BDH($C$403,"MODIFIED_WORKING_CPTL_5YR_GRWTH","FQ2 2016","FQ2 2016","Currency=INR","Period=FQ","BEST_FPERIOD_OVERRIDE=FQ","FILING_STATUS=OR","EQY_CONSOLIDATED=Y","Sort=A","Dates=H","DateFormat=P","Fill=—","Direction=H","UseDPDF=Y")</f>
        <v>#NAME?</v>
      </c>
      <c r="AX415" s="2" t="e">
        <f ca="1">_xll.BDH($C$403,"WORKING_CAPITAL_5_YEAR_GROWTH","FQ2 2016","FQ2 2016","Currency=INR","Period=FQ","BEST_FPERIOD_OVERRIDE=FQ","FILING_STATUS=OR","EQY_CONSOLIDATED=Y","Sort=A","Dates=H","DateFormat=P","Fill=—","Direction=H","UseDPDF=Y")</f>
        <v>#NAME?</v>
      </c>
      <c r="AY415" s="2" t="e">
        <f ca="1">_xll.BDH($C$403,"ACCOUNTS_PAYABLE_5_YEAR_GROWTH","FQ2 2016","FQ2 2016","Currency=INR","Period=FQ","BEST_FPERIOD_OVERRIDE=FQ","FILING_STATUS=OR","EQY_CONSOLIDATED=Y","Sort=A","Dates=H","DateFormat=P","Fill=—","Direction=H","UseDPDF=Y")</f>
        <v>#NAME?</v>
      </c>
      <c r="AZ415" s="2" t="e">
        <f ca="1">_xll.BDH($C$403,"SHORT_TERM_DEBT_5_YEAR_GROWTH","FQ2 2016","FQ2 2016","Currency=INR","Period=FQ","BEST_FPERIOD_OVERRIDE=FQ","FILING_STATUS=OR","EQY_CONSOLIDATED=Y","Sort=A","Dates=H","DateFormat=P","Fill=—","Direction=H","UseDPDF=Y")</f>
        <v>#NAME?</v>
      </c>
      <c r="BA415" s="2" t="e">
        <f ca="1">_xll.BDH($C$403,"TOTAL_DEBT_5_YEAR_GROWTH","FQ2 2016","FQ2 2016","Currency=INR","Period=FQ","BEST_FPERIOD_OVERRIDE=FQ","FILING_STATUS=OR","EQY_CONSOLIDATED=Y","Sort=A","Dates=H","DateFormat=P","Fill=—","Direction=H","UseDPDF=Y")</f>
        <v>#NAME?</v>
      </c>
      <c r="BB415" s="2" t="e">
        <f ca="1">_xll.BDH($C$403,"GEO_GROW_TOT_SHRHLDR_EQY","FQ2 2016","FQ2 2016","Currency=INR","Period=FQ","BEST_FPERIOD_OVERRIDE=FQ","FILING_STATUS=OR","EQY_CONSOLIDATED=Y","Sort=A","Dates=H","DateFormat=P","Fill=—","Direction=H","UseDPDF=Y")</f>
        <v>#NAME?</v>
      </c>
      <c r="BC415" s="2" t="e">
        <f ca="1">_xll.BDH($C$403,"TOTAL_CAPITAL_5_YEAR_GROWTH","FQ2 2016","FQ2 2016","Currency=INR","Period=FQ","BEST_FPERIOD_OVERRIDE=FQ","FILING_STATUS=OR","EQY_CONSOLIDATED=Y","Sort=A","Dates=H","DateFormat=P","Fill=—","Direction=H","UseDPDF=Y")</f>
        <v>#NAME?</v>
      </c>
      <c r="BD415" s="2" t="e">
        <f ca="1">_xll.BDH($C$403,"GEO_GROW_BOOK_VAL","FQ2 2016","FQ2 2016","Currency=INR","Period=FQ","BEST_FPERIOD_OVERRIDE=FQ","FILING_STATUS=OR","EQY_CONSOLIDATED=Y","Sort=A","Dates=H","DateFormat=P","Fill=—","Direction=H","UseDPDF=Y")</f>
        <v>#NAME?</v>
      </c>
      <c r="BE415" s="2" t="e">
        <f ca="1">_xll.BDH($C$403,"GEO_GROW_CASH_OPER_ACT","FQ2 2016","FQ2 2016","Currency=INR","Period=FQ","BEST_FPERIOD_OVERRIDE=FQ","FILING_STATUS=OR","EQY_CONSOLIDATED=Y","Sort=A","Dates=H","DateFormat=P","Fill=—","Direction=H","UseDPDF=Y")</f>
        <v>#NAME?</v>
      </c>
      <c r="BF415" s="2" t="e">
        <f ca="1">_xll.BDH($C$403,"REVENUE_SEQUENTIAL_GROWTH","FQ2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15" s="2" t="e">
        <f ca="1">_xll.BDH($C$403,"EBITDA_SEQUENTIAL_GROWTH","FQ2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15" s="2" t="e">
        <f ca="1">_xll.BDH($C$403,"OPERATING_INCOME_SEQ_GROWTH","FQ2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15" s="2" t="e">
        <f ca="1">_xll.BDH($C$403,"NET_INCOME_TO_COMMON_SEQ_GROWTH","FQ2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15" s="2" t="e">
        <f ca="1">_xll.BDH($C$403,"EPS_DILUTED_SEQUENTIAL_GROWTH","FQ2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15" s="2" t="e">
        <f ca="1">_xll.BDH($C$403,"DPS_SEQUENTIAL_GROWTH","FQ2 2016","FQ2 2016","Currency=INR","Period=FQ","BEST_FPERIOD_OVERRIDE=FQ","FILING_STATUS=OR","EQY_CONSOLIDATED=Y","Sort=A","Dates=H","DateFormat=P","Fill=—","Direction=H","UseDPDF=Y")</f>
        <v>#NAME?</v>
      </c>
      <c r="BL415" s="2" t="e">
        <f ca="1">_xll.BDH($C$403,"ACCOUNTS_RECEIVABLE_SEQ_GROWTH","FQ2 2016","FQ2 2016","Currency=INR","Period=FQ","BEST_FPERIOD_OVERRIDE=FQ","FILING_STATUS=OR","EQY_CONSOLIDATED=Y","Sort=A","Dates=H","DateFormat=P","Fill=—","Direction=H","UseDPDF=Y")</f>
        <v>#NAME?</v>
      </c>
      <c r="BM415" s="2" t="e">
        <f ca="1">_xll.BDH($C$403,"INVENTORY_SEQUENTIAL_GROWTH","FQ2 2016","FQ2 2016","Currency=INR","Period=FQ","BEST_FPERIOD_OVERRIDE=FQ","FILING_STATUS=OR","EQY_CONSOLIDATED=Y","Sort=A","Dates=H","DateFormat=P","Fill=—","Direction=H","UseDPDF=Y")</f>
        <v>#NAME?</v>
      </c>
      <c r="BN415" s="2" t="e">
        <f ca="1">_xll.BDH($C$403,"FIXED_ASSETS_SEQUENTIAL_GROWTH","FQ2 2016","FQ2 2016","Currency=INR","Period=FQ","BEST_FPERIOD_OVERRIDE=FQ","FILING_STATUS=OR","EQY_CONSOLIDATED=Y","Sort=A","Dates=H","DateFormat=P","Fill=—","Direction=H","UseDPDF=Y")</f>
        <v>#NAME?</v>
      </c>
      <c r="BO415" s="2" t="e">
        <f ca="1">_xll.BDH($C$403,"TOTAL_ASSETS_SEQUENTIAL_GROWTH","FQ2 2016","FQ2 2016","Currency=INR","Period=FQ","BEST_FPERIOD_OVERRIDE=FQ","FILING_STATUS=OR","EQY_CONSOLIDATED=Y","Sort=A","Dates=H","DateFormat=P","Fill=—","Direction=H","UseDPDF=Y")</f>
        <v>#NAME?</v>
      </c>
      <c r="BP415" s="2" t="e">
        <f ca="1">_xll.BDH($C$403,"MODIFIED_WORKING_CPTL_SEQ_GRWTH","FQ2 2016","FQ2 2016","Currency=INR","Period=FQ","BEST_FPERIOD_OVERRIDE=FQ","FILING_STATUS=OR","EQY_CONSOLIDATED=Y","Sort=A","Dates=H","DateFormat=P","Fill=—","Direction=H","UseDPDF=Y")</f>
        <v>#NAME?</v>
      </c>
      <c r="BQ415" s="2" t="e">
        <f ca="1">_xll.BDH($C$403,"WORKING_CAPITAL_SEQ_GROWTH","FQ2 2016","FQ2 2016","Currency=INR","Period=FQ","BEST_FPERIOD_OVERRIDE=FQ","FILING_STATUS=OR","EQY_CONSOLIDATED=Y","Sort=A","Dates=H","DateFormat=P","Fill=—","Direction=H","UseDPDF=Y")</f>
        <v>#NAME?</v>
      </c>
      <c r="BR415" s="2" t="e">
        <f ca="1">_xll.BDH($C$403,"ACCOUNTS_PAYABLE_SEQ_GROWTH","FQ2 2016","FQ2 2016","Currency=INR","Period=FQ","BEST_FPERIOD_OVERRIDE=FQ","FILING_STATUS=OR","EQY_CONSOLIDATED=Y","Sort=A","Dates=H","DateFormat=P","Fill=—","Direction=H","UseDPDF=Y")</f>
        <v>#NAME?</v>
      </c>
      <c r="BS415" s="2" t="e">
        <f ca="1">_xll.BDH($C$403,"ST_DEBT_SEQUENTIAL_GROWTH","FQ2 2016","FQ2 2016","Currency=INR","Period=FQ","BEST_FPERIOD_OVERRIDE=FQ","FILING_STATUS=OR","EQY_CONSOLIDATED=Y","Sort=A","Dates=H","DateFormat=P","Fill=—","Direction=H","UseDPDF=Y")</f>
        <v>#NAME?</v>
      </c>
      <c r="BT415" s="2" t="e">
        <f ca="1">_xll.BDH($C$403,"TOTAL_DEBT_SEQUENTIAL_GROWTH","FQ2 2016","FQ2 2016","Currency=INR","Period=FQ","BEST_FPERIOD_OVERRIDE=FQ","FILING_STATUS=OR","EQY_CONSOLIDATED=Y","Sort=A","Dates=H","DateFormat=P","Fill=—","Direction=H","UseDPDF=Y")</f>
        <v>#NAME?</v>
      </c>
      <c r="BU415" s="2" t="e">
        <f ca="1">_xll.BDH($C$403,"TOTAL_EQUITY_SEQUENTIAL_GROWTH","FQ2 2016","FQ2 2016","Currency=INR","Period=FQ","BEST_FPERIOD_OVERRIDE=FQ","FILING_STATUS=OR","EQY_CONSOLIDATED=Y","Sort=A","Dates=H","DateFormat=P","Fill=—","Direction=H","UseDPDF=Y")</f>
        <v>#NAME?</v>
      </c>
      <c r="BV415" s="2" t="e">
        <f ca="1">_xll.BDH($C$403,"TOTAL_CAPITAL_SEQUENTIAL_GROWTH","FQ2 2016","FQ2 2016","Currency=INR","Period=FQ","BEST_FPERIOD_OVERRIDE=FQ","FILING_STATUS=OR","EQY_CONSOLIDATED=Y","Sort=A","Dates=H","DateFormat=P","Fill=—","Direction=H","UseDPDF=Y")</f>
        <v>#NAME?</v>
      </c>
      <c r="BW415" s="2" t="e">
        <f ca="1">_xll.BDH($C$403,"BPS_SEQUENTIAL_GROWTH","FQ2 2016","FQ2 2016","Currency=INR","Period=FQ","BEST_FPERIOD_OVERRIDE=FQ","FILING_STATUS=OR","EQY_CONSOLIDATED=Y","Sort=A","Dates=H","DateFormat=P","Fill=—","Direction=H","UseDPDF=Y")</f>
        <v>#NAME?</v>
      </c>
      <c r="BX415" s="2" t="e">
        <f ca="1">_xll.BDH($C$403,"CFO_SEQUENTIAL_GROWTH","FQ2 2016","FQ2 2016","Currency=INR","Period=FQ","BEST_FPERIOD_OVERRIDE=FQ","FILING_STATUS=OR","EQY_CONSOLIDATED=Y","Sort=A","Dates=H","DateFormat=P","Fill=—","Direction=H","UseDPDF=Y")</f>
        <v>#NAME?</v>
      </c>
      <c r="BY415" s="3" t="e">
        <f ca="1">_xll.BDH($C$403,"SHORT_AND_LONG_TERM_DEBT","FQ2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15" s="3" t="e">
        <f ca="1">_xll.BDH($C$403,"BS_ST_BORROW","FQ2 2016","FQ2 2016","Currency=INR","Period=FQ","BEST_FPERIOD_OVERRIDE=FQ","FILING_STATUS=OR","EQY_CONSOLIDATED=Y","SCALING_FORMAT=MLN","Sort=A","Dates=H","DateFormat=P","Fill=—","Direction=H","UseDPDF=Y")</f>
        <v>#NAME?</v>
      </c>
      <c r="CA415" s="3" t="e">
        <f ca="1">_xll.BDH($C$403,"BS_LT_BORROW","FQ2 2016","FQ2 2016","Currency=INR","Period=FQ","BEST_FPERIOD_OVERRIDE=FQ","FILING_STATUS=OR","EQY_CONSOLIDATED=Y","SCALING_FORMAT=MLN","Sort=A","Dates=H","DateFormat=P","Fill=—","Direction=H","UseDPDF=Y")</f>
        <v>#NAME?</v>
      </c>
      <c r="CB415" s="2" t="e">
        <f ca="1">_xll.BDH($C$403,"TOT_DEBT_TO_EBITDA","FQ2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15" s="2" t="e">
        <f ca="1">_xll.BDH($C$403,"NET_DEBT_TO_EBITDA","FQ2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15" s="2" t="e">
        <f ca="1">_xll.BDH($C$403,"TOTAL_DEBT_TO_EBIT","FQ2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15" s="2" t="e">
        <f ca="1">_xll.BDH($C$403,"NET_DEBT_TO_EBIT","FQ2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15" s="2" t="e">
        <f ca="1">_xll.BDH($C$403,"EBITDA_TO_INTEREST_EXPN","FQ2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15" s="2" t="e">
        <f ca="1">_xll.BDH($C$403,"COM_EQY_TO_TOT_ASSET","FQ2 2016","FQ2 2016","Currency=INR","Period=FQ","BEST_FPERIOD_OVERRIDE=FQ","FILING_STATUS=OR","EQY_CONSOLIDATED=Y","Sort=A","Dates=H","DateFormat=P","Fill=—","Direction=H","UseDPDF=Y")</f>
        <v>#NAME?</v>
      </c>
      <c r="CH415" s="2" t="e">
        <f ca="1">_xll.BDH($C$403,"LT_DEBT_TO_TOT_EQY","FQ2 2016","FQ2 2016","Currency=INR","Period=FQ","BEST_FPERIOD_OVERRIDE=FQ","FILING_STATUS=OR","EQY_CONSOLIDATED=Y","Sort=A","Dates=H","DateFormat=P","Fill=—","Direction=H","UseDPDF=Y")</f>
        <v>#NAME?</v>
      </c>
      <c r="CI415" s="2" t="e">
        <f ca="1">_xll.BDH($C$403,"LT_DEBT_TO_TOT_CAP","FQ2 2016","FQ2 2016","Currency=INR","Period=FQ","BEST_FPERIOD_OVERRIDE=FQ","FILING_STATUS=OR","EQY_CONSOLIDATED=Y","Sort=A","Dates=H","DateFormat=P","Fill=—","Direction=H","UseDPDF=Y")</f>
        <v>#NAME?</v>
      </c>
      <c r="CJ415" s="2" t="e">
        <f ca="1">_xll.BDH($C$403,"LT_DEBT_TO_TOT_ASSET","FQ2 2016","FQ2 2016","Currency=INR","Period=FQ","BEST_FPERIOD_OVERRIDE=FQ","FILING_STATUS=OR","EQY_CONSOLIDATED=Y","Sort=A","Dates=H","DateFormat=P","Fill=—","Direction=H","UseDPDF=Y")</f>
        <v>#NAME?</v>
      </c>
      <c r="CK415" s="2" t="e">
        <f ca="1">_xll.BDH($C$403,"TOT_DEBT_TO_TOT_EQY","FQ2 2016","FQ2 2016","Currency=INR","Period=FQ","BEST_FPERIOD_OVERRIDE=FQ","FILING_STATUS=OR","EQY_CONSOLIDATED=Y","Sort=A","Dates=H","DateFormat=P","Fill=—","Direction=H","UseDPDF=Y")</f>
        <v>#NAME?</v>
      </c>
      <c r="CL415" s="2" t="e">
        <f ca="1">_xll.BDH($C$403,"TOT_DEBT_TO_TOT_CAP","FQ2 2016","FQ2 2016","Currency=INR","Period=FQ","BEST_FPERIOD_OVERRIDE=FQ","FILING_STATUS=OR","EQY_CONSOLIDATED=Y","Sort=A","Dates=H","DateFormat=P","Fill=—","Direction=H","UseDPDF=Y")</f>
        <v>#NAME?</v>
      </c>
      <c r="CM415" s="2" t="e">
        <f ca="1">_xll.BDH($C$403,"TOT_DEBT_TO_TOT_ASSET","FQ2 2016","FQ2 2016","Currency=INR","Period=FQ","BEST_FPERIOD_OVERRIDE=FQ","FILING_STATUS=OR","EQY_CONSOLIDATED=Y","Sort=A","Dates=H","DateFormat=P","Fill=—","Direction=H","UseDPDF=Y")</f>
        <v>#NAME?</v>
      </c>
      <c r="CN415" s="2" t="e">
        <f ca="1">_xll.BDH($C$403,"NET_DEBT_TO_SHRHLDR_EQTY","FQ2 2016","FQ2 2016","Currency=INR","Period=FQ","BEST_FPERIOD_OVERRIDE=FQ","FILING_STATUS=OR","EQY_CONSOLIDATED=Y","Sort=A","Dates=H","DateFormat=P","Fill=—","Direction=H","UseDPDF=Y")</f>
        <v>#NAME?</v>
      </c>
      <c r="CO415" s="2" t="e">
        <f ca="1">_xll.BDH($C$403,"NET_DEBT_%_CAPITAL","FQ2 2016","FQ2 2016","Currency=INR","Period=FQ","BEST_FPERIOD_OVERRIDE=FQ","FILING_STATUS=OR","EQY_CONSOLIDATED=Y","Sort=A","Dates=H","DateFormat=P","Fill=—","Direction=H","UseDPDF=Y")</f>
        <v>#NAME?</v>
      </c>
      <c r="CP415" s="3" t="e">
        <f ca="1">_xll.BDH($C$403,"EBITDA","FQ2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15" s="3" t="e">
        <f ca="1">_xll.BDH($C$403,"EBITDA_AFTER_CAPEX","FQ2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15" s="3" t="e">
        <f ca="1">_xll.BDH($C$403,"IS_OPER_INC","FQ2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15" s="2" t="e">
        <f ca="1">_xll.BDH($C$403,"CASH_RATIO","FQ2 2016","FQ2 2016","Currency=INR","Period=FQ","BEST_FPERIOD_OVERRIDE=FQ","FILING_STATUS=OR","EQY_CONSOLIDATED=Y","Sort=A","Dates=H","DateFormat=P","Fill=—","Direction=H","UseDPDF=Y")</f>
        <v>#NAME?</v>
      </c>
      <c r="CT415" s="2" t="e">
        <f ca="1">_xll.BDH($C$403,"CUR_RATIO","FQ2 2016","FQ2 2016","Currency=INR","Period=FQ","BEST_FPERIOD_OVERRIDE=FQ","FILING_STATUS=OR","EQY_CONSOLIDATED=Y","Sort=A","Dates=H","DateFormat=P","Fill=—","Direction=H","UseDPDF=Y")</f>
        <v>#NAME?</v>
      </c>
      <c r="CU415" s="2" t="e">
        <f ca="1">_xll.BDH($C$403,"QUICK_RATIO","FQ2 2016","FQ2 2016","Currency=INR","Period=FQ","BEST_FPERIOD_OVERRIDE=FQ","FILING_STATUS=OR","EQY_CONSOLIDATED=Y","Sort=A","Dates=H","DateFormat=P","Fill=—","Direction=H","UseDPDF=Y")</f>
        <v>#NAME?</v>
      </c>
      <c r="CV415" s="2" t="e">
        <f ca="1">_xll.BDH($C$403,"ALTMAN_Z_SCORE","FQ2 2016","FQ2 2016","Currency=INR","Period=FQ","BEST_FPERIOD_OVERRIDE=FQ","FILING_STATUS=OR","EQY_CONSOLIDATED=Y","Sort=A","Dates=H","DateFormat=P","Fill=—","Direction=H","UseDPDF=Y")</f>
        <v>#NAME?</v>
      </c>
      <c r="CW415" s="4" t="e">
        <f ca="1">_xll.BDH($C$403,"ACCT_RCV_TURN","FQ2 2016","FQ2 2016","Currency=INR","Period=FQ","BEST_FPERIOD_OVERRIDE=FQ","FILING_STATUS=OR","EQY_CONSOLIDATED=Y","FA_ADJUSTED=GAAP","Sort=A","Dates=H","DateFormat=P","Fill=—","Direction=H","UseDPDF=Y")</f>
        <v>#NAME?</v>
      </c>
      <c r="CX415" s="2" t="e">
        <f ca="1">_xll.BDH($C$403,"ACCT_RCV_DAYS","FQ2 2016","FQ2 2016","Currency=INR","Period=FQ","BEST_FPERIOD_OVERRIDE=FQ","FILING_STATUS=OR","EQY_CONSOLIDATED=Y","FA_ADJUSTED=GAAP","Sort=A","Dates=H","DateFormat=P","Fill=—","Direction=H","UseDPDF=Y")</f>
        <v>#NAME?</v>
      </c>
      <c r="CY415" s="4" t="e">
        <f ca="1">_xll.BDH($C$403,"INVENT_TURN","FQ2 2016","FQ2 2016","Currency=INR","Period=FQ","BEST_FPERIOD_OVERRIDE=FQ","FILING_STATUS=OR","EQY_CONSOLIDATED=Y","FA_ADJUSTED=GAAP","Sort=A","Dates=H","DateFormat=P","Fill=—","Direction=H","UseDPDF=Y")</f>
        <v>#NAME?</v>
      </c>
      <c r="CZ415" s="2" t="e">
        <f ca="1">_xll.BDH($C$403,"INVENT_DAYS","FQ2 2016","FQ2 2016","Currency=INR","Period=FQ","BEST_FPERIOD_OVERRIDE=FQ","FILING_STATUS=OR","EQY_CONSOLIDATED=Y","FA_ADJUSTED=GAAP","Sort=A","Dates=H","DateFormat=P","Fill=—","Direction=H","UseDPDF=Y")</f>
        <v>#NAME?</v>
      </c>
      <c r="DA415" s="4" t="e">
        <f ca="1">_xll.BDH($C$403,"ACCOUNTS_PAYABLE_TURNOVER","FQ2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15" s="2" t="e">
        <f ca="1">_xll.BDH($C$403,"ACCOUNTS_PAYABLE_TURNOVER_DAYS","FQ2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15" s="4" t="e">
        <f ca="1">_xll.BDH($C$403,"CASH_CONVERSION_CYCLE","FQ2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15" s="4" t="e">
        <f ca="1">_xll.BDH($C$403,"INV_TO_CASH_DAYS","FQ2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15" s="5" t="e">
        <f ca="1">_xll.BDH($C$403,"BS_INVENTORIES","FQ2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15" s="3" t="e">
        <f ca="1">_xll.BDH($C$403,"INVTRY_RAW_MATERIALS","FQ2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15" s="3" t="e">
        <f ca="1">_xll.BDH($C$403,"INVTRY_IN_PROGRESS","FQ2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15" s="3" t="e">
        <f ca="1">_xll.BDH($C$403,"INVTRY_FINISHED_GOODS","FQ2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15" s="3" t="e">
        <f ca="1">_xll.BDH($C$403,"BS_OTHER_INV","FQ2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16" spans="1:113" x14ac:dyDescent="0.3">
      <c r="A416" s="6"/>
      <c r="B416" s="6"/>
      <c r="C416" s="6"/>
      <c r="D416" s="6"/>
      <c r="E416" t="s">
        <v>80</v>
      </c>
      <c r="F416" t="e">
        <f ca="1">_xll.BDH($C$403,"RETURN_COM_EQY","FQ3 2016","FQ3 2016","Currency=INR","Period=FQ","BEST_FPERIOD_OVERRIDE=FQ","FILING_STATUS=OR","EQY_CONSOLIDATED=Y","FA_ADJUSTED=GAAP","Sort=A","Dates=H","DateFormat=P","Fill=—","Direction=H","UseDPDF=Y")</f>
        <v>#NAME?</v>
      </c>
      <c r="G416" t="e">
        <f ca="1">_xll.BDH($C$403,"RETURN_ON_ASSET","FQ3 2016","FQ3 2016","Currency=INR","Period=FQ","BEST_FPERIOD_OVERRIDE=FQ","FILING_STATUS=OR","EQY_CONSOLIDATED=Y","FA_ADJUSTED=GAAP","Sort=A","Dates=H","DateFormat=P","Fill=—","Direction=H","UseDPDF=Y")</f>
        <v>#NAME?</v>
      </c>
      <c r="H416" t="e">
        <f ca="1">_xll.BDH($C$403,"RETURN_ON_CAP","FQ3 2016","FQ3 2016","Currency=INR","Period=FQ","BEST_FPERIOD_OVERRIDE=FQ","FILING_STATUS=OR","EQY_CONSOLIDATED=Y","FA_ADJUSTED=GAAP","Sort=A","Dates=H","DateFormat=P","Fill=—","Direction=H","UseDPDF=Y")</f>
        <v>#NAME?</v>
      </c>
      <c r="I416" t="e">
        <f ca="1">_xll.BDH($C$403,"RETURN_ON_INV_CAPITAL","FQ3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16" t="e">
        <f ca="1">_xll.BDH($C$403,"EBITDA_TO_REVENUE","FQ3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16" t="e">
        <f ca="1">_xll.BDH($C$403,"OPER_MARGIN","FQ3 2016","FQ3 2016","Currency=INR","Period=FQ","BEST_FPERIOD_OVERRIDE=FQ","FILING_STATUS=OR","EQY_CONSOLIDATED=Y","FA_ADJUSTED=GAAP","Sort=A","Dates=H","DateFormat=P","Fill=—","Direction=H","UseDPDF=Y")</f>
        <v>#NAME?</v>
      </c>
      <c r="L416" t="e">
        <f ca="1">_xll.BDH($C$403,"INCREMENTAL_OPERATING_MARGIN","FQ3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16" t="e">
        <f ca="1">_xll.BDH($C$403,"PRETAX_INC_TO_NET_SALES","FQ3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16" t="e">
        <f ca="1">_xll.BDH($C$403,"INC_BEF_XO_ITEMS_TO_NET_SALES","FQ3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16" t="e">
        <f ca="1">_xll.BDH($C$403,"PROF_MARGIN","FQ3 2016","FQ3 2016","Currency=INR","Period=FQ","BEST_FPERIOD_OVERRIDE=FQ","FILING_STATUS=OR","EQY_CONSOLIDATED=Y","FA_ADJUSTED=GAAP","Sort=A","Dates=H","DateFormat=P","Fill=—","Direction=H","UseDPDF=Y")</f>
        <v>#NAME?</v>
      </c>
      <c r="P416" t="e">
        <f ca="1">_xll.BDH($C$403,"NET_INCOME_TO_COMMON_MARGIN","FQ3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16" t="e">
        <f ca="1">_xll.BDH($C$403,"EFF_TAX_RATE","FQ3 2016","FQ3 2016","Currency=INR","Period=FQ","BEST_FPERIOD_OVERRIDE=FQ","FILING_STATUS=OR","EQY_CONSOLIDATED=Y","FA_ADJUSTED=GAAP","Sort=A","Dates=H","DateFormat=P","Fill=—","Direction=H","UseDPDF=Y")</f>
        <v>#NAME?</v>
      </c>
      <c r="R416" t="e">
        <f ca="1">_xll.BDH($C$403,"DVD_PAYOUT_RATIO","FQ3 2016","FQ3 2016","Currency=INR","Period=FQ","BEST_FPERIOD_OVERRIDE=FQ","FILING_STATUS=OR","EQY_CONSOLIDATED=Y","FA_ADJUSTED=GAAP","Sort=A","Dates=H","DateFormat=P","Fill=—","Direction=H","UseDPDF=Y")</f>
        <v>#NAME?</v>
      </c>
      <c r="S416" t="e">
        <f ca="1">_xll.BDH($C$403,"SUSTAIN_GROWTH_RT","FQ3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16" s="2" t="e">
        <f ca="1">_xll.BDH($C$403,"SALES_GROWTH","FQ3 2016","FQ3 2016","Currency=INR","Period=FQ","BEST_FPERIOD_OVERRIDE=FQ","FILING_STATUS=OR","EQY_CONSOLIDATED=Y","FA_ADJUSTED=GAAP","Sort=A","Dates=H","DateFormat=P","Fill=—","Direction=H","UseDPDF=Y")</f>
        <v>#NAME?</v>
      </c>
      <c r="U416" s="2" t="e">
        <f ca="1">_xll.BDH($C$403,"EBITDA_GROWTH","FQ3 2016","FQ3 2016","Currency=INR","Period=FQ","BEST_FPERIOD_OVERRIDE=FQ","FILING_STATUS=OR","EQY_CONSOLIDATED=Y","FA_ADJUSTED=GAAP","Sort=A","Dates=H","DateFormat=P","Fill=—","Direction=H","UseDPDF=Y")</f>
        <v>#NAME?</v>
      </c>
      <c r="V416" s="2" t="e">
        <f ca="1">_xll.BDH($C$403,"OPER_INC_GROWTH","FQ3 2016","FQ3 2016","Currency=INR","Period=FQ","BEST_FPERIOD_OVERRIDE=FQ","FILING_STATUS=OR","EQY_CONSOLIDATED=Y","FA_ADJUSTED=GAAP","Sort=A","Dates=H","DateFormat=P","Fill=—","Direction=H","UseDPDF=Y")</f>
        <v>#NAME?</v>
      </c>
      <c r="W416" s="2" t="e">
        <f ca="1">_xll.BDH($C$403,"EARN_FOR_COM_GROWTH","FQ3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16" s="2" t="e">
        <f ca="1">_xll.BDH($C$403,"DILUTED_EPS_AFT_XO_ITEMS_GROWTH","FQ3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16" s="2" t="e">
        <f ca="1">_xll.BDH($C$403,"DIVIDEND_PER_SHARE_1_YEAR_GROWTH","FQ3 2016","FQ3 2016","Currency=INR","Period=FQ","BEST_FPERIOD_OVERRIDE=FQ","FILING_STATUS=OR","EQY_CONSOLIDATED=Y","Sort=A","Dates=H","DateFormat=P","Fill=—","Direction=H","UseDPDF=Y")</f>
        <v>#NAME?</v>
      </c>
      <c r="Z416" s="2" t="e">
        <f ca="1">_xll.BDH($C$403,"ACCOUNTS_RECEIVABLE_GROWTH","FQ3 2016","FQ3 2016","Currency=INR","Period=FQ","BEST_FPERIOD_OVERRIDE=FQ","FILING_STATUS=OR","EQY_CONSOLIDATED=Y","Sort=A","Dates=H","DateFormat=P","Fill=—","Direction=H","UseDPDF=Y")</f>
        <v>#NAME?</v>
      </c>
      <c r="AA416" s="2" t="e">
        <f ca="1">_xll.BDH($C$403,"INVENTORY_GROWTH","FQ3 2016","FQ3 2016","Currency=INR","Period=FQ","BEST_FPERIOD_OVERRIDE=FQ","FILING_STATUS=OR","EQY_CONSOLIDATED=Y","Sort=A","Dates=H","DateFormat=P","Fill=—","Direction=H","UseDPDF=Y")</f>
        <v>#NAME?</v>
      </c>
      <c r="AB416" s="2" t="e">
        <f ca="1">_xll.BDH($C$403,"NET_FIXED_ASSETS_1_YEAR_GROWTH","FQ3 2016","FQ3 2016","Currency=INR","Period=FQ","BEST_FPERIOD_OVERRIDE=FQ","FILING_STATUS=OR","EQY_CONSOLIDATED=Y","Sort=A","Dates=H","DateFormat=P","Fill=—","Direction=H","UseDPDF=Y")</f>
        <v>#NAME?</v>
      </c>
      <c r="AC416" s="2" t="e">
        <f ca="1">_xll.BDH($C$403,"ASSET_GROWTH","FQ3 2016","FQ3 2016","Currency=INR","Period=FQ","BEST_FPERIOD_OVERRIDE=FQ","FILING_STATUS=OR","EQY_CONSOLIDATED=Y","Sort=A","Dates=H","DateFormat=P","Fill=—","Direction=H","UseDPDF=Y")</f>
        <v>#NAME?</v>
      </c>
      <c r="AD416" s="2" t="e">
        <f ca="1">_xll.BDH($C$403,"MODIFIED_WORK_CAP_GROWTH","FQ3 2016","FQ3 2016","Currency=INR","Period=FQ","BEST_FPERIOD_OVERRIDE=FQ","FILING_STATUS=OR","EQY_CONSOLIDATED=Y","Sort=A","Dates=H","DateFormat=P","Fill=—","Direction=H","UseDPDF=Y")</f>
        <v>#NAME?</v>
      </c>
      <c r="AE416" s="2" t="e">
        <f ca="1">_xll.BDH($C$403,"WORK_CAP_GROWTH","FQ3 2016","FQ3 2016","Currency=INR","Period=FQ","BEST_FPERIOD_OVERRIDE=FQ","FILING_STATUS=OR","EQY_CONSOLIDATED=Y","Sort=A","Dates=H","DateFormat=P","Fill=—","Direction=H","UseDPDF=Y")</f>
        <v>#NAME?</v>
      </c>
      <c r="AF416" s="2" t="e">
        <f ca="1">_xll.BDH($C$403,"ACCOUNTS_PAYABLE_GROWTH_1YR","FQ3 2016","FQ3 2016","Currency=INR","Period=FQ","BEST_FPERIOD_OVERRIDE=FQ","FILING_STATUS=OR","EQY_CONSOLIDATED=Y","Sort=A","Dates=H","DateFormat=P","Fill=—","Direction=H","UseDPDF=Y")</f>
        <v>#NAME?</v>
      </c>
      <c r="AG416" s="2" t="e">
        <f ca="1">_xll.BDH($C$403,"SHORT_TERM_DEBT_1_YEAR_GROWTH","FQ3 2016","FQ3 2016","Currency=INR","Period=FQ","BEST_FPERIOD_OVERRIDE=FQ","FILING_STATUS=OR","EQY_CONSOLIDATED=Y","Sort=A","Dates=H","DateFormat=P","Fill=—","Direction=H","UseDPDF=Y")</f>
        <v>#NAME?</v>
      </c>
      <c r="AH416" s="2" t="e">
        <f ca="1">_xll.BDH($C$403,"TOTAL_DEBT_1_YEAR_GROWTH","FQ3 2016","FQ3 2016","Currency=INR","Period=FQ","BEST_FPERIOD_OVERRIDE=FQ","FILING_STATUS=OR","EQY_CONSOLIDATED=Y","Sort=A","Dates=H","DateFormat=P","Fill=—","Direction=H","UseDPDF=Y")</f>
        <v>#NAME?</v>
      </c>
      <c r="AI416" s="2" t="e">
        <f ca="1">_xll.BDH($C$403,"TOTAL_EQUITY_1_YEAR_GROWTH","FQ3 2016","FQ3 2016","Currency=INR","Period=FQ","BEST_FPERIOD_OVERRIDE=FQ","FILING_STATUS=OR","EQY_CONSOLIDATED=Y","Sort=A","Dates=H","DateFormat=P","Fill=—","Direction=H","UseDPDF=Y")</f>
        <v>#NAME?</v>
      </c>
      <c r="AJ416" s="2" t="e">
        <f ca="1">_xll.BDH($C$403,"GROWTH_IN_CAP","FQ3 2016","FQ3 2016","Currency=INR","Period=FQ","BEST_FPERIOD_OVERRIDE=FQ","FILING_STATUS=OR","EQY_CONSOLIDATED=Y","Sort=A","Dates=H","DateFormat=P","Fill=—","Direction=H","UseDPDF=Y")</f>
        <v>#NAME?</v>
      </c>
      <c r="AK416" s="2" t="e">
        <f ca="1">_xll.BDH($C$403,"BVPS_GROWTH","FQ3 2016","FQ3 2016","Currency=INR","Period=FQ","BEST_FPERIOD_OVERRIDE=FQ","FILING_STATUS=OR","EQY_CONSOLIDATED=Y","Sort=A","Dates=H","DateFormat=P","Fill=—","Direction=H","UseDPDF=Y")</f>
        <v>#NAME?</v>
      </c>
      <c r="AL416" s="2" t="e">
        <f ca="1">_xll.BDH($C$403,"CASH_FLOW_GROWTH","FQ3 2016","FQ3 2016","Currency=INR","Period=FQ","BEST_FPERIOD_OVERRIDE=FQ","FILING_STATUS=OR","EQY_CONSOLIDATED=Y","Sort=A","Dates=H","DateFormat=P","Fill=—","Direction=H","UseDPDF=Y")</f>
        <v>#NAME?</v>
      </c>
      <c r="AM416" s="2" t="e">
        <f ca="1">_xll.BDH($C$403,"GEO_GROW_NET_SALES","FQ3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16" s="2" t="e">
        <f ca="1">_xll.BDH($C$403,"GEO_GROW_EBITDA","FQ3 2016","FQ3 2016","Currency=INR","Period=FQ","BEST_FPERIOD_OVERRIDE=FQ","FILING_STATUS=OR","EQY_CONSOLIDATED=Y","FA_ADJUSTED=GAAP","Sort=A","Dates=H","DateFormat=P","Fill=—","Direction=H","UseDPDF=Y")</f>
        <v>#NAME?</v>
      </c>
      <c r="AO416" s="2" t="e">
        <f ca="1">_xll.BDH($C$403,"GEO_GROW_OPER_INC","FQ3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16" s="2" t="e">
        <f ca="1">_xll.BDH($C$403,"NET_INCOME_TO_COMMON_5_YR_GROWTH","FQ3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16" s="2" t="e">
        <f ca="1">_xll.BDH($C$403,"5Y_GEO_GROWTH_DILUTED_EPS","FQ3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16" s="2" t="e">
        <f ca="1">_xll.BDH($C$403,"GEO_GROW_DVD_PER_SH","FQ3 2016","FQ3 2016","Currency=INR","Period=FQ","BEST_FPERIOD_OVERRIDE=FQ","FILING_STATUS=OR","EQY_CONSOLIDATED=Y","Sort=A","Dates=H","DateFormat=P","Fill=—","Direction=H","UseDPDF=Y")</f>
        <v>#NAME?</v>
      </c>
      <c r="AS416" s="2" t="e">
        <f ca="1">_xll.BDH($C$403,"ACCOUNTS_RECEIVABLE_5_YR_GROWTH","FQ3 2016","FQ3 2016","Currency=INR","Period=FQ","BEST_FPERIOD_OVERRIDE=FQ","FILING_STATUS=OR","EQY_CONSOLIDATED=Y","Sort=A","Dates=H","DateFormat=P","Fill=—","Direction=H","UseDPDF=Y")</f>
        <v>#NAME?</v>
      </c>
      <c r="AT416" s="2" t="e">
        <f ca="1">_xll.BDH($C$403,"INVENTORY_5_YEAR_GROWTH","FQ3 2016","FQ3 2016","Currency=INR","Period=FQ","BEST_FPERIOD_OVERRIDE=FQ","FILING_STATUS=OR","EQY_CONSOLIDATED=Y","Sort=A","Dates=H","DateFormat=P","Fill=—","Direction=H","UseDPDF=Y")</f>
        <v>#NAME?</v>
      </c>
      <c r="AU416" s="2" t="e">
        <f ca="1">_xll.BDH($C$403,"NET_FIXED_ASSETS_5_YEAR_GROWTH","FQ3 2016","FQ3 2016","Currency=INR","Period=FQ","BEST_FPERIOD_OVERRIDE=FQ","FILING_STATUS=OR","EQY_CONSOLIDATED=Y","Sort=A","Dates=H","DateFormat=P","Fill=—","Direction=H","UseDPDF=Y")</f>
        <v>#NAME?</v>
      </c>
      <c r="AV416" s="2" t="e">
        <f ca="1">_xll.BDH($C$403,"GEO_GROW_TOT_ASSET","FQ3 2016","FQ3 2016","Currency=INR","Period=FQ","BEST_FPERIOD_OVERRIDE=FQ","FILING_STATUS=OR","EQY_CONSOLIDATED=Y","Sort=A","Dates=H","DateFormat=P","Fill=—","Direction=H","UseDPDF=Y")</f>
        <v>#NAME?</v>
      </c>
      <c r="AW416" s="2" t="e">
        <f ca="1">_xll.BDH($C$403,"MODIFIED_WORKING_CPTL_5YR_GRWTH","FQ3 2016","FQ3 2016","Currency=INR","Period=FQ","BEST_FPERIOD_OVERRIDE=FQ","FILING_STATUS=OR","EQY_CONSOLIDATED=Y","Sort=A","Dates=H","DateFormat=P","Fill=—","Direction=H","UseDPDF=Y")</f>
        <v>#NAME?</v>
      </c>
      <c r="AX416" s="2" t="e">
        <f ca="1">_xll.BDH($C$403,"WORKING_CAPITAL_5_YEAR_GROWTH","FQ3 2016","FQ3 2016","Currency=INR","Period=FQ","BEST_FPERIOD_OVERRIDE=FQ","FILING_STATUS=OR","EQY_CONSOLIDATED=Y","Sort=A","Dates=H","DateFormat=P","Fill=—","Direction=H","UseDPDF=Y")</f>
        <v>#NAME?</v>
      </c>
      <c r="AY416" s="2" t="e">
        <f ca="1">_xll.BDH($C$403,"ACCOUNTS_PAYABLE_5_YEAR_GROWTH","FQ3 2016","FQ3 2016","Currency=INR","Period=FQ","BEST_FPERIOD_OVERRIDE=FQ","FILING_STATUS=OR","EQY_CONSOLIDATED=Y","Sort=A","Dates=H","DateFormat=P","Fill=—","Direction=H","UseDPDF=Y")</f>
        <v>#NAME?</v>
      </c>
      <c r="AZ416" s="2" t="e">
        <f ca="1">_xll.BDH($C$403,"SHORT_TERM_DEBT_5_YEAR_GROWTH","FQ3 2016","FQ3 2016","Currency=INR","Period=FQ","BEST_FPERIOD_OVERRIDE=FQ","FILING_STATUS=OR","EQY_CONSOLIDATED=Y","Sort=A","Dates=H","DateFormat=P","Fill=—","Direction=H","UseDPDF=Y")</f>
        <v>#NAME?</v>
      </c>
      <c r="BA416" s="2" t="e">
        <f ca="1">_xll.BDH($C$403,"TOTAL_DEBT_5_YEAR_GROWTH","FQ3 2016","FQ3 2016","Currency=INR","Period=FQ","BEST_FPERIOD_OVERRIDE=FQ","FILING_STATUS=OR","EQY_CONSOLIDATED=Y","Sort=A","Dates=H","DateFormat=P","Fill=—","Direction=H","UseDPDF=Y")</f>
        <v>#NAME?</v>
      </c>
      <c r="BB416" s="2" t="e">
        <f ca="1">_xll.BDH($C$403,"GEO_GROW_TOT_SHRHLDR_EQY","FQ3 2016","FQ3 2016","Currency=INR","Period=FQ","BEST_FPERIOD_OVERRIDE=FQ","FILING_STATUS=OR","EQY_CONSOLIDATED=Y","Sort=A","Dates=H","DateFormat=P","Fill=—","Direction=H","UseDPDF=Y")</f>
        <v>#NAME?</v>
      </c>
      <c r="BC416" s="2" t="e">
        <f ca="1">_xll.BDH($C$403,"TOTAL_CAPITAL_5_YEAR_GROWTH","FQ3 2016","FQ3 2016","Currency=INR","Period=FQ","BEST_FPERIOD_OVERRIDE=FQ","FILING_STATUS=OR","EQY_CONSOLIDATED=Y","Sort=A","Dates=H","DateFormat=P","Fill=—","Direction=H","UseDPDF=Y")</f>
        <v>#NAME?</v>
      </c>
      <c r="BD416" s="2" t="e">
        <f ca="1">_xll.BDH($C$403,"GEO_GROW_BOOK_VAL","FQ3 2016","FQ3 2016","Currency=INR","Period=FQ","BEST_FPERIOD_OVERRIDE=FQ","FILING_STATUS=OR","EQY_CONSOLIDATED=Y","Sort=A","Dates=H","DateFormat=P","Fill=—","Direction=H","UseDPDF=Y")</f>
        <v>#NAME?</v>
      </c>
      <c r="BE416" s="2" t="e">
        <f ca="1">_xll.BDH($C$403,"GEO_GROW_CASH_OPER_ACT","FQ3 2016","FQ3 2016","Currency=INR","Period=FQ","BEST_FPERIOD_OVERRIDE=FQ","FILING_STATUS=OR","EQY_CONSOLIDATED=Y","Sort=A","Dates=H","DateFormat=P","Fill=—","Direction=H","UseDPDF=Y")</f>
        <v>#NAME?</v>
      </c>
      <c r="BF416" s="2" t="e">
        <f ca="1">_xll.BDH($C$403,"REVENUE_SEQUENTIAL_GROWTH","FQ3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16" s="2" t="e">
        <f ca="1">_xll.BDH($C$403,"EBITDA_SEQUENTIAL_GROWTH","FQ3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16" s="2" t="e">
        <f ca="1">_xll.BDH($C$403,"OPERATING_INCOME_SEQ_GROWTH","FQ3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16" s="2" t="e">
        <f ca="1">_xll.BDH($C$403,"NET_INCOME_TO_COMMON_SEQ_GROWTH","FQ3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16" s="2" t="e">
        <f ca="1">_xll.BDH($C$403,"EPS_DILUTED_SEQUENTIAL_GROWTH","FQ3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16" s="2" t="e">
        <f ca="1">_xll.BDH($C$403,"DPS_SEQUENTIAL_GROWTH","FQ3 2016","FQ3 2016","Currency=INR","Period=FQ","BEST_FPERIOD_OVERRIDE=FQ","FILING_STATUS=OR","EQY_CONSOLIDATED=Y","Sort=A","Dates=H","DateFormat=P","Fill=—","Direction=H","UseDPDF=Y")</f>
        <v>#NAME?</v>
      </c>
      <c r="BL416" s="2" t="e">
        <f ca="1">_xll.BDH($C$403,"ACCOUNTS_RECEIVABLE_SEQ_GROWTH","FQ3 2016","FQ3 2016","Currency=INR","Period=FQ","BEST_FPERIOD_OVERRIDE=FQ","FILING_STATUS=OR","EQY_CONSOLIDATED=Y","Sort=A","Dates=H","DateFormat=P","Fill=—","Direction=H","UseDPDF=Y")</f>
        <v>#NAME?</v>
      </c>
      <c r="BM416" s="2" t="e">
        <f ca="1">_xll.BDH($C$403,"INVENTORY_SEQUENTIAL_GROWTH","FQ3 2016","FQ3 2016","Currency=INR","Period=FQ","BEST_FPERIOD_OVERRIDE=FQ","FILING_STATUS=OR","EQY_CONSOLIDATED=Y","Sort=A","Dates=H","DateFormat=P","Fill=—","Direction=H","UseDPDF=Y")</f>
        <v>#NAME?</v>
      </c>
      <c r="BN416" s="2" t="e">
        <f ca="1">_xll.BDH($C$403,"FIXED_ASSETS_SEQUENTIAL_GROWTH","FQ3 2016","FQ3 2016","Currency=INR","Period=FQ","BEST_FPERIOD_OVERRIDE=FQ","FILING_STATUS=OR","EQY_CONSOLIDATED=Y","Sort=A","Dates=H","DateFormat=P","Fill=—","Direction=H","UseDPDF=Y")</f>
        <v>#NAME?</v>
      </c>
      <c r="BO416" s="2" t="e">
        <f ca="1">_xll.BDH($C$403,"TOTAL_ASSETS_SEQUENTIAL_GROWTH","FQ3 2016","FQ3 2016","Currency=INR","Period=FQ","BEST_FPERIOD_OVERRIDE=FQ","FILING_STATUS=OR","EQY_CONSOLIDATED=Y","Sort=A","Dates=H","DateFormat=P","Fill=—","Direction=H","UseDPDF=Y")</f>
        <v>#NAME?</v>
      </c>
      <c r="BP416" s="2" t="e">
        <f ca="1">_xll.BDH($C$403,"MODIFIED_WORKING_CPTL_SEQ_GRWTH","FQ3 2016","FQ3 2016","Currency=INR","Period=FQ","BEST_FPERIOD_OVERRIDE=FQ","FILING_STATUS=OR","EQY_CONSOLIDATED=Y","Sort=A","Dates=H","DateFormat=P","Fill=—","Direction=H","UseDPDF=Y")</f>
        <v>#NAME?</v>
      </c>
      <c r="BQ416" s="2" t="e">
        <f ca="1">_xll.BDH($C$403,"WORKING_CAPITAL_SEQ_GROWTH","FQ3 2016","FQ3 2016","Currency=INR","Period=FQ","BEST_FPERIOD_OVERRIDE=FQ","FILING_STATUS=OR","EQY_CONSOLIDATED=Y","Sort=A","Dates=H","DateFormat=P","Fill=—","Direction=H","UseDPDF=Y")</f>
        <v>#NAME?</v>
      </c>
      <c r="BR416" s="2" t="e">
        <f ca="1">_xll.BDH($C$403,"ACCOUNTS_PAYABLE_SEQ_GROWTH","FQ3 2016","FQ3 2016","Currency=INR","Period=FQ","BEST_FPERIOD_OVERRIDE=FQ","FILING_STATUS=OR","EQY_CONSOLIDATED=Y","Sort=A","Dates=H","DateFormat=P","Fill=—","Direction=H","UseDPDF=Y")</f>
        <v>#NAME?</v>
      </c>
      <c r="BS416" s="2" t="e">
        <f ca="1">_xll.BDH($C$403,"ST_DEBT_SEQUENTIAL_GROWTH","FQ3 2016","FQ3 2016","Currency=INR","Period=FQ","BEST_FPERIOD_OVERRIDE=FQ","FILING_STATUS=OR","EQY_CONSOLIDATED=Y","Sort=A","Dates=H","DateFormat=P","Fill=—","Direction=H","UseDPDF=Y")</f>
        <v>#NAME?</v>
      </c>
      <c r="BT416" s="2" t="e">
        <f ca="1">_xll.BDH($C$403,"TOTAL_DEBT_SEQUENTIAL_GROWTH","FQ3 2016","FQ3 2016","Currency=INR","Period=FQ","BEST_FPERIOD_OVERRIDE=FQ","FILING_STATUS=OR","EQY_CONSOLIDATED=Y","Sort=A","Dates=H","DateFormat=P","Fill=—","Direction=H","UseDPDF=Y")</f>
        <v>#NAME?</v>
      </c>
      <c r="BU416" s="2" t="e">
        <f ca="1">_xll.BDH($C$403,"TOTAL_EQUITY_SEQUENTIAL_GROWTH","FQ3 2016","FQ3 2016","Currency=INR","Period=FQ","BEST_FPERIOD_OVERRIDE=FQ","FILING_STATUS=OR","EQY_CONSOLIDATED=Y","Sort=A","Dates=H","DateFormat=P","Fill=—","Direction=H","UseDPDF=Y")</f>
        <v>#NAME?</v>
      </c>
      <c r="BV416" s="2" t="e">
        <f ca="1">_xll.BDH($C$403,"TOTAL_CAPITAL_SEQUENTIAL_GROWTH","FQ3 2016","FQ3 2016","Currency=INR","Period=FQ","BEST_FPERIOD_OVERRIDE=FQ","FILING_STATUS=OR","EQY_CONSOLIDATED=Y","Sort=A","Dates=H","DateFormat=P","Fill=—","Direction=H","UseDPDF=Y")</f>
        <v>#NAME?</v>
      </c>
      <c r="BW416" s="2" t="e">
        <f ca="1">_xll.BDH($C$403,"BPS_SEQUENTIAL_GROWTH","FQ3 2016","FQ3 2016","Currency=INR","Period=FQ","BEST_FPERIOD_OVERRIDE=FQ","FILING_STATUS=OR","EQY_CONSOLIDATED=Y","Sort=A","Dates=H","DateFormat=P","Fill=—","Direction=H","UseDPDF=Y")</f>
        <v>#NAME?</v>
      </c>
      <c r="BX416" s="2" t="e">
        <f ca="1">_xll.BDH($C$403,"CFO_SEQUENTIAL_GROWTH","FQ3 2016","FQ3 2016","Currency=INR","Period=FQ","BEST_FPERIOD_OVERRIDE=FQ","FILING_STATUS=OR","EQY_CONSOLIDATED=Y","Sort=A","Dates=H","DateFormat=P","Fill=—","Direction=H","UseDPDF=Y")</f>
        <v>#NAME?</v>
      </c>
      <c r="BY416" s="3" t="e">
        <f ca="1">_xll.BDH($C$403,"SHORT_AND_LONG_TERM_DEBT","FQ3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16" s="3" t="e">
        <f ca="1">_xll.BDH($C$403,"BS_ST_BORROW","FQ3 2016","FQ3 2016","Currency=INR","Period=FQ","BEST_FPERIOD_OVERRIDE=FQ","FILING_STATUS=OR","EQY_CONSOLIDATED=Y","SCALING_FORMAT=MLN","Sort=A","Dates=H","DateFormat=P","Fill=—","Direction=H","UseDPDF=Y")</f>
        <v>#NAME?</v>
      </c>
      <c r="CA416" s="3" t="e">
        <f ca="1">_xll.BDH($C$403,"BS_LT_BORROW","FQ3 2016","FQ3 2016","Currency=INR","Period=FQ","BEST_FPERIOD_OVERRIDE=FQ","FILING_STATUS=OR","EQY_CONSOLIDATED=Y","SCALING_FORMAT=MLN","Sort=A","Dates=H","DateFormat=P","Fill=—","Direction=H","UseDPDF=Y")</f>
        <v>#NAME?</v>
      </c>
      <c r="CB416" s="2" t="e">
        <f ca="1">_xll.BDH($C$403,"TOT_DEBT_TO_EBITDA","FQ3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16" s="2" t="e">
        <f ca="1">_xll.BDH($C$403,"NET_DEBT_TO_EBITDA","FQ3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16" s="2" t="e">
        <f ca="1">_xll.BDH($C$403,"TOTAL_DEBT_TO_EBIT","FQ3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16" s="2" t="e">
        <f ca="1">_xll.BDH($C$403,"NET_DEBT_TO_EBIT","FQ3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16" s="2" t="e">
        <f ca="1">_xll.BDH($C$403,"EBITDA_TO_INTEREST_EXPN","FQ3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16" s="2" t="e">
        <f ca="1">_xll.BDH($C$403,"COM_EQY_TO_TOT_ASSET","FQ3 2016","FQ3 2016","Currency=INR","Period=FQ","BEST_FPERIOD_OVERRIDE=FQ","FILING_STATUS=OR","EQY_CONSOLIDATED=Y","Sort=A","Dates=H","DateFormat=P","Fill=—","Direction=H","UseDPDF=Y")</f>
        <v>#NAME?</v>
      </c>
      <c r="CH416" s="2" t="e">
        <f ca="1">_xll.BDH($C$403,"LT_DEBT_TO_TOT_EQY","FQ3 2016","FQ3 2016","Currency=INR","Period=FQ","BEST_FPERIOD_OVERRIDE=FQ","FILING_STATUS=OR","EQY_CONSOLIDATED=Y","Sort=A","Dates=H","DateFormat=P","Fill=—","Direction=H","UseDPDF=Y")</f>
        <v>#NAME?</v>
      </c>
      <c r="CI416" s="2" t="e">
        <f ca="1">_xll.BDH($C$403,"LT_DEBT_TO_TOT_CAP","FQ3 2016","FQ3 2016","Currency=INR","Period=FQ","BEST_FPERIOD_OVERRIDE=FQ","FILING_STATUS=OR","EQY_CONSOLIDATED=Y","Sort=A","Dates=H","DateFormat=P","Fill=—","Direction=H","UseDPDF=Y")</f>
        <v>#NAME?</v>
      </c>
      <c r="CJ416" s="2" t="e">
        <f ca="1">_xll.BDH($C$403,"LT_DEBT_TO_TOT_ASSET","FQ3 2016","FQ3 2016","Currency=INR","Period=FQ","BEST_FPERIOD_OVERRIDE=FQ","FILING_STATUS=OR","EQY_CONSOLIDATED=Y","Sort=A","Dates=H","DateFormat=P","Fill=—","Direction=H","UseDPDF=Y")</f>
        <v>#NAME?</v>
      </c>
      <c r="CK416" s="2" t="e">
        <f ca="1">_xll.BDH($C$403,"TOT_DEBT_TO_TOT_EQY","FQ3 2016","FQ3 2016","Currency=INR","Period=FQ","BEST_FPERIOD_OVERRIDE=FQ","FILING_STATUS=OR","EQY_CONSOLIDATED=Y","Sort=A","Dates=H","DateFormat=P","Fill=—","Direction=H","UseDPDF=Y")</f>
        <v>#NAME?</v>
      </c>
      <c r="CL416" s="2" t="e">
        <f ca="1">_xll.BDH($C$403,"TOT_DEBT_TO_TOT_CAP","FQ3 2016","FQ3 2016","Currency=INR","Period=FQ","BEST_FPERIOD_OVERRIDE=FQ","FILING_STATUS=OR","EQY_CONSOLIDATED=Y","Sort=A","Dates=H","DateFormat=P","Fill=—","Direction=H","UseDPDF=Y")</f>
        <v>#NAME?</v>
      </c>
      <c r="CM416" s="2" t="e">
        <f ca="1">_xll.BDH($C$403,"TOT_DEBT_TO_TOT_ASSET","FQ3 2016","FQ3 2016","Currency=INR","Period=FQ","BEST_FPERIOD_OVERRIDE=FQ","FILING_STATUS=OR","EQY_CONSOLIDATED=Y","Sort=A","Dates=H","DateFormat=P","Fill=—","Direction=H","UseDPDF=Y")</f>
        <v>#NAME?</v>
      </c>
      <c r="CN416" s="2" t="e">
        <f ca="1">_xll.BDH($C$403,"NET_DEBT_TO_SHRHLDR_EQTY","FQ3 2016","FQ3 2016","Currency=INR","Period=FQ","BEST_FPERIOD_OVERRIDE=FQ","FILING_STATUS=OR","EQY_CONSOLIDATED=Y","Sort=A","Dates=H","DateFormat=P","Fill=—","Direction=H","UseDPDF=Y")</f>
        <v>#NAME?</v>
      </c>
      <c r="CO416" s="2" t="e">
        <f ca="1">_xll.BDH($C$403,"NET_DEBT_%_CAPITAL","FQ3 2016","FQ3 2016","Currency=INR","Period=FQ","BEST_FPERIOD_OVERRIDE=FQ","FILING_STATUS=OR","EQY_CONSOLIDATED=Y","Sort=A","Dates=H","DateFormat=P","Fill=—","Direction=H","UseDPDF=Y")</f>
        <v>#NAME?</v>
      </c>
      <c r="CP416" s="3" t="e">
        <f ca="1">_xll.BDH($C$403,"EBITDA","FQ3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16" s="3" t="e">
        <f ca="1">_xll.BDH($C$403,"EBITDA_AFTER_CAPEX","FQ3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16" s="3" t="e">
        <f ca="1">_xll.BDH($C$403,"IS_OPER_INC","FQ3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16" s="2" t="e">
        <f ca="1">_xll.BDH($C$403,"CASH_RATIO","FQ3 2016","FQ3 2016","Currency=INR","Period=FQ","BEST_FPERIOD_OVERRIDE=FQ","FILING_STATUS=OR","EQY_CONSOLIDATED=Y","Sort=A","Dates=H","DateFormat=P","Fill=—","Direction=H","UseDPDF=Y")</f>
        <v>#NAME?</v>
      </c>
      <c r="CT416" s="2" t="e">
        <f ca="1">_xll.BDH($C$403,"CUR_RATIO","FQ3 2016","FQ3 2016","Currency=INR","Period=FQ","BEST_FPERIOD_OVERRIDE=FQ","FILING_STATUS=OR","EQY_CONSOLIDATED=Y","Sort=A","Dates=H","DateFormat=P","Fill=—","Direction=H","UseDPDF=Y")</f>
        <v>#NAME?</v>
      </c>
      <c r="CU416" s="2" t="e">
        <f ca="1">_xll.BDH($C$403,"QUICK_RATIO","FQ3 2016","FQ3 2016","Currency=INR","Period=FQ","BEST_FPERIOD_OVERRIDE=FQ","FILING_STATUS=OR","EQY_CONSOLIDATED=Y","Sort=A","Dates=H","DateFormat=P","Fill=—","Direction=H","UseDPDF=Y")</f>
        <v>#NAME?</v>
      </c>
      <c r="CV416" s="2" t="e">
        <f ca="1">_xll.BDH($C$403,"ALTMAN_Z_SCORE","FQ3 2016","FQ3 2016","Currency=INR","Period=FQ","BEST_FPERIOD_OVERRIDE=FQ","FILING_STATUS=OR","EQY_CONSOLIDATED=Y","Sort=A","Dates=H","DateFormat=P","Fill=—","Direction=H","UseDPDF=Y")</f>
        <v>#NAME?</v>
      </c>
      <c r="CW416" s="4" t="e">
        <f ca="1">_xll.BDH($C$403,"ACCT_RCV_TURN","FQ3 2016","FQ3 2016","Currency=INR","Period=FQ","BEST_FPERIOD_OVERRIDE=FQ","FILING_STATUS=OR","EQY_CONSOLIDATED=Y","FA_ADJUSTED=GAAP","Sort=A","Dates=H","DateFormat=P","Fill=—","Direction=H","UseDPDF=Y")</f>
        <v>#NAME?</v>
      </c>
      <c r="CX416" s="2" t="e">
        <f ca="1">_xll.BDH($C$403,"ACCT_RCV_DAYS","FQ3 2016","FQ3 2016","Currency=INR","Period=FQ","BEST_FPERIOD_OVERRIDE=FQ","FILING_STATUS=OR","EQY_CONSOLIDATED=Y","FA_ADJUSTED=GAAP","Sort=A","Dates=H","DateFormat=P","Fill=—","Direction=H","UseDPDF=Y")</f>
        <v>#NAME?</v>
      </c>
      <c r="CY416" s="4" t="e">
        <f ca="1">_xll.BDH($C$403,"INVENT_TURN","FQ3 2016","FQ3 2016","Currency=INR","Period=FQ","BEST_FPERIOD_OVERRIDE=FQ","FILING_STATUS=OR","EQY_CONSOLIDATED=Y","FA_ADJUSTED=GAAP","Sort=A","Dates=H","DateFormat=P","Fill=—","Direction=H","UseDPDF=Y")</f>
        <v>#NAME?</v>
      </c>
      <c r="CZ416" s="2" t="e">
        <f ca="1">_xll.BDH($C$403,"INVENT_DAYS","FQ3 2016","FQ3 2016","Currency=INR","Period=FQ","BEST_FPERIOD_OVERRIDE=FQ","FILING_STATUS=OR","EQY_CONSOLIDATED=Y","FA_ADJUSTED=GAAP","Sort=A","Dates=H","DateFormat=P","Fill=—","Direction=H","UseDPDF=Y")</f>
        <v>#NAME?</v>
      </c>
      <c r="DA416" s="4" t="e">
        <f ca="1">_xll.BDH($C$403,"ACCOUNTS_PAYABLE_TURNOVER","FQ3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16" s="2" t="e">
        <f ca="1">_xll.BDH($C$403,"ACCOUNTS_PAYABLE_TURNOVER_DAYS","FQ3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16" s="4" t="e">
        <f ca="1">_xll.BDH($C$403,"CASH_CONVERSION_CYCLE","FQ3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16" s="4" t="e">
        <f ca="1">_xll.BDH($C$403,"INV_TO_CASH_DAYS","FQ3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16" s="5" t="e">
        <f ca="1">_xll.BDH($C$403,"BS_INVENTORIES","FQ3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16" s="3" t="e">
        <f ca="1">_xll.BDH($C$403,"INVTRY_RAW_MATERIALS","FQ3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16" s="3" t="e">
        <f ca="1">_xll.BDH($C$403,"INVTRY_IN_PROGRESS","FQ3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16" s="3" t="e">
        <f ca="1">_xll.BDH($C$403,"INVTRY_FINISHED_GOODS","FQ3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16" s="3" t="e">
        <f ca="1">_xll.BDH($C$403,"BS_OTHER_INV","FQ3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17" spans="1:113" x14ac:dyDescent="0.3">
      <c r="A417" s="6"/>
      <c r="B417" s="6"/>
      <c r="C417" s="6"/>
      <c r="D417" s="6"/>
      <c r="E417" t="s">
        <v>81</v>
      </c>
      <c r="F417" t="e">
        <f ca="1">_xll.BDH($C$403,"RETURN_COM_EQY","FQ4 2016","FQ4 2016","Currency=INR","Period=FQ","BEST_FPERIOD_OVERRIDE=FQ","FILING_STATUS=OR","EQY_CONSOLIDATED=Y","FA_ADJUSTED=GAAP","Sort=A","Dates=H","DateFormat=P","Fill=—","Direction=H","UseDPDF=Y")</f>
        <v>#NAME?</v>
      </c>
      <c r="G417" t="e">
        <f ca="1">_xll.BDH($C$403,"RETURN_ON_ASSET","FQ4 2016","FQ4 2016","Currency=INR","Period=FQ","BEST_FPERIOD_OVERRIDE=FQ","FILING_STATUS=OR","EQY_CONSOLIDATED=Y","FA_ADJUSTED=GAAP","Sort=A","Dates=H","DateFormat=P","Fill=—","Direction=H","UseDPDF=Y")</f>
        <v>#NAME?</v>
      </c>
      <c r="H417" t="e">
        <f ca="1">_xll.BDH($C$403,"RETURN_ON_CAP","FQ4 2016","FQ4 2016","Currency=INR","Period=FQ","BEST_FPERIOD_OVERRIDE=FQ","FILING_STATUS=OR","EQY_CONSOLIDATED=Y","FA_ADJUSTED=GAAP","Sort=A","Dates=H","DateFormat=P","Fill=—","Direction=H","UseDPDF=Y")</f>
        <v>#NAME?</v>
      </c>
      <c r="I417" t="e">
        <f ca="1">_xll.BDH($C$403,"RETURN_ON_INV_CAPITAL","FQ4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17" t="e">
        <f ca="1">_xll.BDH($C$403,"EBITDA_TO_REVENUE","FQ4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17" t="e">
        <f ca="1">_xll.BDH($C$403,"OPER_MARGIN","FQ4 2016","FQ4 2016","Currency=INR","Period=FQ","BEST_FPERIOD_OVERRIDE=FQ","FILING_STATUS=OR","EQY_CONSOLIDATED=Y","FA_ADJUSTED=GAAP","Sort=A","Dates=H","DateFormat=P","Fill=—","Direction=H","UseDPDF=Y")</f>
        <v>#NAME?</v>
      </c>
      <c r="L417" t="e">
        <f ca="1">_xll.BDH($C$403,"INCREMENTAL_OPERATING_MARGIN","FQ4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17" t="e">
        <f ca="1">_xll.BDH($C$403,"PRETAX_INC_TO_NET_SALES","FQ4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17" t="e">
        <f ca="1">_xll.BDH($C$403,"INC_BEF_XO_ITEMS_TO_NET_SALES","FQ4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17" t="e">
        <f ca="1">_xll.BDH($C$403,"PROF_MARGIN","FQ4 2016","FQ4 2016","Currency=INR","Period=FQ","BEST_FPERIOD_OVERRIDE=FQ","FILING_STATUS=OR","EQY_CONSOLIDATED=Y","FA_ADJUSTED=GAAP","Sort=A","Dates=H","DateFormat=P","Fill=—","Direction=H","UseDPDF=Y")</f>
        <v>#NAME?</v>
      </c>
      <c r="P417" t="e">
        <f ca="1">_xll.BDH($C$403,"NET_INCOME_TO_COMMON_MARGIN","FQ4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17" t="e">
        <f ca="1">_xll.BDH($C$403,"EFF_TAX_RATE","FQ4 2016","FQ4 2016","Currency=INR","Period=FQ","BEST_FPERIOD_OVERRIDE=FQ","FILING_STATUS=OR","EQY_CONSOLIDATED=Y","FA_ADJUSTED=GAAP","Sort=A","Dates=H","DateFormat=P","Fill=—","Direction=H","UseDPDF=Y")</f>
        <v>#NAME?</v>
      </c>
      <c r="R417" t="e">
        <f ca="1">_xll.BDH($C$403,"DVD_PAYOUT_RATIO","FQ4 2016","FQ4 2016","Currency=INR","Period=FQ","BEST_FPERIOD_OVERRIDE=FQ","FILING_STATUS=OR","EQY_CONSOLIDATED=Y","FA_ADJUSTED=GAAP","Sort=A","Dates=H","DateFormat=P","Fill=—","Direction=H","UseDPDF=Y")</f>
        <v>#NAME?</v>
      </c>
      <c r="S417" t="e">
        <f ca="1">_xll.BDH($C$403,"SUSTAIN_GROWTH_RT","FQ4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17" s="2" t="e">
        <f ca="1">_xll.BDH($C$403,"SALES_GROWTH","FQ4 2016","FQ4 2016","Currency=INR","Period=FQ","BEST_FPERIOD_OVERRIDE=FQ","FILING_STATUS=OR","EQY_CONSOLIDATED=Y","FA_ADJUSTED=GAAP","Sort=A","Dates=H","DateFormat=P","Fill=—","Direction=H","UseDPDF=Y")</f>
        <v>#NAME?</v>
      </c>
      <c r="U417" s="2" t="e">
        <f ca="1">_xll.BDH($C$403,"EBITDA_GROWTH","FQ4 2016","FQ4 2016","Currency=INR","Period=FQ","BEST_FPERIOD_OVERRIDE=FQ","FILING_STATUS=OR","EQY_CONSOLIDATED=Y","FA_ADJUSTED=GAAP","Sort=A","Dates=H","DateFormat=P","Fill=—","Direction=H","UseDPDF=Y")</f>
        <v>#NAME?</v>
      </c>
      <c r="V417" s="2" t="e">
        <f ca="1">_xll.BDH($C$403,"OPER_INC_GROWTH","FQ4 2016","FQ4 2016","Currency=INR","Period=FQ","BEST_FPERIOD_OVERRIDE=FQ","FILING_STATUS=OR","EQY_CONSOLIDATED=Y","FA_ADJUSTED=GAAP","Sort=A","Dates=H","DateFormat=P","Fill=—","Direction=H","UseDPDF=Y")</f>
        <v>#NAME?</v>
      </c>
      <c r="W417" s="2" t="e">
        <f ca="1">_xll.BDH($C$403,"EARN_FOR_COM_GROWTH","FQ4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17" s="2" t="e">
        <f ca="1">_xll.BDH($C$403,"DILUTED_EPS_AFT_XO_ITEMS_GROWTH","FQ4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17" s="2" t="e">
        <f ca="1">_xll.BDH($C$403,"DIVIDEND_PER_SHARE_1_YEAR_GROWTH","FQ4 2016","FQ4 2016","Currency=INR","Period=FQ","BEST_FPERIOD_OVERRIDE=FQ","FILING_STATUS=OR","EQY_CONSOLIDATED=Y","Sort=A","Dates=H","DateFormat=P","Fill=—","Direction=H","UseDPDF=Y")</f>
        <v>#NAME?</v>
      </c>
      <c r="Z417" s="2" t="e">
        <f ca="1">_xll.BDH($C$403,"ACCOUNTS_RECEIVABLE_GROWTH","FQ4 2016","FQ4 2016","Currency=INR","Period=FQ","BEST_FPERIOD_OVERRIDE=FQ","FILING_STATUS=OR","EQY_CONSOLIDATED=Y","Sort=A","Dates=H","DateFormat=P","Fill=—","Direction=H","UseDPDF=Y")</f>
        <v>#NAME?</v>
      </c>
      <c r="AA417" s="2" t="e">
        <f ca="1">_xll.BDH($C$403,"INVENTORY_GROWTH","FQ4 2016","FQ4 2016","Currency=INR","Period=FQ","BEST_FPERIOD_OVERRIDE=FQ","FILING_STATUS=OR","EQY_CONSOLIDATED=Y","Sort=A","Dates=H","DateFormat=P","Fill=—","Direction=H","UseDPDF=Y")</f>
        <v>#NAME?</v>
      </c>
      <c r="AB417" s="2" t="e">
        <f ca="1">_xll.BDH($C$403,"NET_FIXED_ASSETS_1_YEAR_GROWTH","FQ4 2016","FQ4 2016","Currency=INR","Period=FQ","BEST_FPERIOD_OVERRIDE=FQ","FILING_STATUS=OR","EQY_CONSOLIDATED=Y","Sort=A","Dates=H","DateFormat=P","Fill=—","Direction=H","UseDPDF=Y")</f>
        <v>#NAME?</v>
      </c>
      <c r="AC417" s="2" t="e">
        <f ca="1">_xll.BDH($C$403,"ASSET_GROWTH","FQ4 2016","FQ4 2016","Currency=INR","Period=FQ","BEST_FPERIOD_OVERRIDE=FQ","FILING_STATUS=OR","EQY_CONSOLIDATED=Y","Sort=A","Dates=H","DateFormat=P","Fill=—","Direction=H","UseDPDF=Y")</f>
        <v>#NAME?</v>
      </c>
      <c r="AD417" s="2" t="e">
        <f ca="1">_xll.BDH($C$403,"MODIFIED_WORK_CAP_GROWTH","FQ4 2016","FQ4 2016","Currency=INR","Period=FQ","BEST_FPERIOD_OVERRIDE=FQ","FILING_STATUS=OR","EQY_CONSOLIDATED=Y","Sort=A","Dates=H","DateFormat=P","Fill=—","Direction=H","UseDPDF=Y")</f>
        <v>#NAME?</v>
      </c>
      <c r="AE417" s="2" t="e">
        <f ca="1">_xll.BDH($C$403,"WORK_CAP_GROWTH","FQ4 2016","FQ4 2016","Currency=INR","Period=FQ","BEST_FPERIOD_OVERRIDE=FQ","FILING_STATUS=OR","EQY_CONSOLIDATED=Y","Sort=A","Dates=H","DateFormat=P","Fill=—","Direction=H","UseDPDF=Y")</f>
        <v>#NAME?</v>
      </c>
      <c r="AF417" s="2" t="e">
        <f ca="1">_xll.BDH($C$403,"ACCOUNTS_PAYABLE_GROWTH_1YR","FQ4 2016","FQ4 2016","Currency=INR","Period=FQ","BEST_FPERIOD_OVERRIDE=FQ","FILING_STATUS=OR","EQY_CONSOLIDATED=Y","Sort=A","Dates=H","DateFormat=P","Fill=—","Direction=H","UseDPDF=Y")</f>
        <v>#NAME?</v>
      </c>
      <c r="AG417" s="2" t="e">
        <f ca="1">_xll.BDH($C$403,"SHORT_TERM_DEBT_1_YEAR_GROWTH","FQ4 2016","FQ4 2016","Currency=INR","Period=FQ","BEST_FPERIOD_OVERRIDE=FQ","FILING_STATUS=OR","EQY_CONSOLIDATED=Y","Sort=A","Dates=H","DateFormat=P","Fill=—","Direction=H","UseDPDF=Y")</f>
        <v>#NAME?</v>
      </c>
      <c r="AH417" s="2" t="e">
        <f ca="1">_xll.BDH($C$403,"TOTAL_DEBT_1_YEAR_GROWTH","FQ4 2016","FQ4 2016","Currency=INR","Period=FQ","BEST_FPERIOD_OVERRIDE=FQ","FILING_STATUS=OR","EQY_CONSOLIDATED=Y","Sort=A","Dates=H","DateFormat=P","Fill=—","Direction=H","UseDPDF=Y")</f>
        <v>#NAME?</v>
      </c>
      <c r="AI417" s="2" t="e">
        <f ca="1">_xll.BDH($C$403,"TOTAL_EQUITY_1_YEAR_GROWTH","FQ4 2016","FQ4 2016","Currency=INR","Period=FQ","BEST_FPERIOD_OVERRIDE=FQ","FILING_STATUS=OR","EQY_CONSOLIDATED=Y","Sort=A","Dates=H","DateFormat=P","Fill=—","Direction=H","UseDPDF=Y")</f>
        <v>#NAME?</v>
      </c>
      <c r="AJ417" s="2" t="e">
        <f ca="1">_xll.BDH($C$403,"GROWTH_IN_CAP","FQ4 2016","FQ4 2016","Currency=INR","Period=FQ","BEST_FPERIOD_OVERRIDE=FQ","FILING_STATUS=OR","EQY_CONSOLIDATED=Y","Sort=A","Dates=H","DateFormat=P","Fill=—","Direction=H","UseDPDF=Y")</f>
        <v>#NAME?</v>
      </c>
      <c r="AK417" s="2" t="e">
        <f ca="1">_xll.BDH($C$403,"BVPS_GROWTH","FQ4 2016","FQ4 2016","Currency=INR","Period=FQ","BEST_FPERIOD_OVERRIDE=FQ","FILING_STATUS=OR","EQY_CONSOLIDATED=Y","Sort=A","Dates=H","DateFormat=P","Fill=—","Direction=H","UseDPDF=Y")</f>
        <v>#NAME?</v>
      </c>
      <c r="AL417" s="2" t="e">
        <f ca="1">_xll.BDH($C$403,"CASH_FLOW_GROWTH","FQ4 2016","FQ4 2016","Currency=INR","Period=FQ","BEST_FPERIOD_OVERRIDE=FQ","FILING_STATUS=OR","EQY_CONSOLIDATED=Y","Sort=A","Dates=H","DateFormat=P","Fill=—","Direction=H","UseDPDF=Y")</f>
        <v>#NAME?</v>
      </c>
      <c r="AM417" s="2" t="e">
        <f ca="1">_xll.BDH($C$403,"GEO_GROW_NET_SALES","FQ4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17" s="2" t="e">
        <f ca="1">_xll.BDH($C$403,"GEO_GROW_EBITDA","FQ4 2016","FQ4 2016","Currency=INR","Period=FQ","BEST_FPERIOD_OVERRIDE=FQ","FILING_STATUS=OR","EQY_CONSOLIDATED=Y","FA_ADJUSTED=GAAP","Sort=A","Dates=H","DateFormat=P","Fill=—","Direction=H","UseDPDF=Y")</f>
        <v>#NAME?</v>
      </c>
      <c r="AO417" s="2" t="e">
        <f ca="1">_xll.BDH($C$403,"GEO_GROW_OPER_INC","FQ4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17" s="2" t="e">
        <f ca="1">_xll.BDH($C$403,"NET_INCOME_TO_COMMON_5_YR_GROWTH","FQ4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17" s="2" t="e">
        <f ca="1">_xll.BDH($C$403,"5Y_GEO_GROWTH_DILUTED_EPS","FQ4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17" s="2" t="e">
        <f ca="1">_xll.BDH($C$403,"GEO_GROW_DVD_PER_SH","FQ4 2016","FQ4 2016","Currency=INR","Period=FQ","BEST_FPERIOD_OVERRIDE=FQ","FILING_STATUS=OR","EQY_CONSOLIDATED=Y","Sort=A","Dates=H","DateFormat=P","Fill=—","Direction=H","UseDPDF=Y")</f>
        <v>#NAME?</v>
      </c>
      <c r="AS417" s="2" t="e">
        <f ca="1">_xll.BDH($C$403,"ACCOUNTS_RECEIVABLE_5_YR_GROWTH","FQ4 2016","FQ4 2016","Currency=INR","Period=FQ","BEST_FPERIOD_OVERRIDE=FQ","FILING_STATUS=OR","EQY_CONSOLIDATED=Y","Sort=A","Dates=H","DateFormat=P","Fill=—","Direction=H","UseDPDF=Y")</f>
        <v>#NAME?</v>
      </c>
      <c r="AT417" s="2" t="e">
        <f ca="1">_xll.BDH($C$403,"INVENTORY_5_YEAR_GROWTH","FQ4 2016","FQ4 2016","Currency=INR","Period=FQ","BEST_FPERIOD_OVERRIDE=FQ","FILING_STATUS=OR","EQY_CONSOLIDATED=Y","Sort=A","Dates=H","DateFormat=P","Fill=—","Direction=H","UseDPDF=Y")</f>
        <v>#NAME?</v>
      </c>
      <c r="AU417" s="2" t="e">
        <f ca="1">_xll.BDH($C$403,"NET_FIXED_ASSETS_5_YEAR_GROWTH","FQ4 2016","FQ4 2016","Currency=INR","Period=FQ","BEST_FPERIOD_OVERRIDE=FQ","FILING_STATUS=OR","EQY_CONSOLIDATED=Y","Sort=A","Dates=H","DateFormat=P","Fill=—","Direction=H","UseDPDF=Y")</f>
        <v>#NAME?</v>
      </c>
      <c r="AV417" s="2" t="e">
        <f ca="1">_xll.BDH($C$403,"GEO_GROW_TOT_ASSET","FQ4 2016","FQ4 2016","Currency=INR","Period=FQ","BEST_FPERIOD_OVERRIDE=FQ","FILING_STATUS=OR","EQY_CONSOLIDATED=Y","Sort=A","Dates=H","DateFormat=P","Fill=—","Direction=H","UseDPDF=Y")</f>
        <v>#NAME?</v>
      </c>
      <c r="AW417" s="2" t="e">
        <f ca="1">_xll.BDH($C$403,"MODIFIED_WORKING_CPTL_5YR_GRWTH","FQ4 2016","FQ4 2016","Currency=INR","Period=FQ","BEST_FPERIOD_OVERRIDE=FQ","FILING_STATUS=OR","EQY_CONSOLIDATED=Y","Sort=A","Dates=H","DateFormat=P","Fill=—","Direction=H","UseDPDF=Y")</f>
        <v>#NAME?</v>
      </c>
      <c r="AX417" s="2" t="e">
        <f ca="1">_xll.BDH($C$403,"WORKING_CAPITAL_5_YEAR_GROWTH","FQ4 2016","FQ4 2016","Currency=INR","Period=FQ","BEST_FPERIOD_OVERRIDE=FQ","FILING_STATUS=OR","EQY_CONSOLIDATED=Y","Sort=A","Dates=H","DateFormat=P","Fill=—","Direction=H","UseDPDF=Y")</f>
        <v>#NAME?</v>
      </c>
      <c r="AY417" s="2" t="e">
        <f ca="1">_xll.BDH($C$403,"ACCOUNTS_PAYABLE_5_YEAR_GROWTH","FQ4 2016","FQ4 2016","Currency=INR","Period=FQ","BEST_FPERIOD_OVERRIDE=FQ","FILING_STATUS=OR","EQY_CONSOLIDATED=Y","Sort=A","Dates=H","DateFormat=P","Fill=—","Direction=H","UseDPDF=Y")</f>
        <v>#NAME?</v>
      </c>
      <c r="AZ417" s="2" t="e">
        <f ca="1">_xll.BDH($C$403,"SHORT_TERM_DEBT_5_YEAR_GROWTH","FQ4 2016","FQ4 2016","Currency=INR","Period=FQ","BEST_FPERIOD_OVERRIDE=FQ","FILING_STATUS=OR","EQY_CONSOLIDATED=Y","Sort=A","Dates=H","DateFormat=P","Fill=—","Direction=H","UseDPDF=Y")</f>
        <v>#NAME?</v>
      </c>
      <c r="BA417" s="2" t="e">
        <f ca="1">_xll.BDH($C$403,"TOTAL_DEBT_5_YEAR_GROWTH","FQ4 2016","FQ4 2016","Currency=INR","Period=FQ","BEST_FPERIOD_OVERRIDE=FQ","FILING_STATUS=OR","EQY_CONSOLIDATED=Y","Sort=A","Dates=H","DateFormat=P","Fill=—","Direction=H","UseDPDF=Y")</f>
        <v>#NAME?</v>
      </c>
      <c r="BB417" s="2" t="e">
        <f ca="1">_xll.BDH($C$403,"GEO_GROW_TOT_SHRHLDR_EQY","FQ4 2016","FQ4 2016","Currency=INR","Period=FQ","BEST_FPERIOD_OVERRIDE=FQ","FILING_STATUS=OR","EQY_CONSOLIDATED=Y","Sort=A","Dates=H","DateFormat=P","Fill=—","Direction=H","UseDPDF=Y")</f>
        <v>#NAME?</v>
      </c>
      <c r="BC417" s="2" t="e">
        <f ca="1">_xll.BDH($C$403,"TOTAL_CAPITAL_5_YEAR_GROWTH","FQ4 2016","FQ4 2016","Currency=INR","Period=FQ","BEST_FPERIOD_OVERRIDE=FQ","FILING_STATUS=OR","EQY_CONSOLIDATED=Y","Sort=A","Dates=H","DateFormat=P","Fill=—","Direction=H","UseDPDF=Y")</f>
        <v>#NAME?</v>
      </c>
      <c r="BD417" s="2" t="e">
        <f ca="1">_xll.BDH($C$403,"GEO_GROW_BOOK_VAL","FQ4 2016","FQ4 2016","Currency=INR","Period=FQ","BEST_FPERIOD_OVERRIDE=FQ","FILING_STATUS=OR","EQY_CONSOLIDATED=Y","Sort=A","Dates=H","DateFormat=P","Fill=—","Direction=H","UseDPDF=Y")</f>
        <v>#NAME?</v>
      </c>
      <c r="BE417" s="2" t="e">
        <f ca="1">_xll.BDH($C$403,"GEO_GROW_CASH_OPER_ACT","FQ4 2016","FQ4 2016","Currency=INR","Period=FQ","BEST_FPERIOD_OVERRIDE=FQ","FILING_STATUS=OR","EQY_CONSOLIDATED=Y","Sort=A","Dates=H","DateFormat=P","Fill=—","Direction=H","UseDPDF=Y")</f>
        <v>#NAME?</v>
      </c>
      <c r="BF417" s="2" t="e">
        <f ca="1">_xll.BDH($C$403,"REVENUE_SEQUENTIAL_GROWTH","FQ4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17" s="2" t="e">
        <f ca="1">_xll.BDH($C$403,"EBITDA_SEQUENTIAL_GROWTH","FQ4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17" s="2" t="e">
        <f ca="1">_xll.BDH($C$403,"OPERATING_INCOME_SEQ_GROWTH","FQ4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17" s="2" t="e">
        <f ca="1">_xll.BDH($C$403,"NET_INCOME_TO_COMMON_SEQ_GROWTH","FQ4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17" s="2" t="e">
        <f ca="1">_xll.BDH($C$403,"EPS_DILUTED_SEQUENTIAL_GROWTH","FQ4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17" s="2" t="e">
        <f ca="1">_xll.BDH($C$403,"DPS_SEQUENTIAL_GROWTH","FQ4 2016","FQ4 2016","Currency=INR","Period=FQ","BEST_FPERIOD_OVERRIDE=FQ","FILING_STATUS=OR","EQY_CONSOLIDATED=Y","Sort=A","Dates=H","DateFormat=P","Fill=—","Direction=H","UseDPDF=Y")</f>
        <v>#NAME?</v>
      </c>
      <c r="BL417" s="2" t="e">
        <f ca="1">_xll.BDH($C$403,"ACCOUNTS_RECEIVABLE_SEQ_GROWTH","FQ4 2016","FQ4 2016","Currency=INR","Period=FQ","BEST_FPERIOD_OVERRIDE=FQ","FILING_STATUS=OR","EQY_CONSOLIDATED=Y","Sort=A","Dates=H","DateFormat=P","Fill=—","Direction=H","UseDPDF=Y")</f>
        <v>#NAME?</v>
      </c>
      <c r="BM417" s="2" t="e">
        <f ca="1">_xll.BDH($C$403,"INVENTORY_SEQUENTIAL_GROWTH","FQ4 2016","FQ4 2016","Currency=INR","Period=FQ","BEST_FPERIOD_OVERRIDE=FQ","FILING_STATUS=OR","EQY_CONSOLIDATED=Y","Sort=A","Dates=H","DateFormat=P","Fill=—","Direction=H","UseDPDF=Y")</f>
        <v>#NAME?</v>
      </c>
      <c r="BN417" s="2" t="e">
        <f ca="1">_xll.BDH($C$403,"FIXED_ASSETS_SEQUENTIAL_GROWTH","FQ4 2016","FQ4 2016","Currency=INR","Period=FQ","BEST_FPERIOD_OVERRIDE=FQ","FILING_STATUS=OR","EQY_CONSOLIDATED=Y","Sort=A","Dates=H","DateFormat=P","Fill=—","Direction=H","UseDPDF=Y")</f>
        <v>#NAME?</v>
      </c>
      <c r="BO417" s="2" t="e">
        <f ca="1">_xll.BDH($C$403,"TOTAL_ASSETS_SEQUENTIAL_GROWTH","FQ4 2016","FQ4 2016","Currency=INR","Period=FQ","BEST_FPERIOD_OVERRIDE=FQ","FILING_STATUS=OR","EQY_CONSOLIDATED=Y","Sort=A","Dates=H","DateFormat=P","Fill=—","Direction=H","UseDPDF=Y")</f>
        <v>#NAME?</v>
      </c>
      <c r="BP417" s="2" t="e">
        <f ca="1">_xll.BDH($C$403,"MODIFIED_WORKING_CPTL_SEQ_GRWTH","FQ4 2016","FQ4 2016","Currency=INR","Period=FQ","BEST_FPERIOD_OVERRIDE=FQ","FILING_STATUS=OR","EQY_CONSOLIDATED=Y","Sort=A","Dates=H","DateFormat=P","Fill=—","Direction=H","UseDPDF=Y")</f>
        <v>#NAME?</v>
      </c>
      <c r="BQ417" s="2" t="e">
        <f ca="1">_xll.BDH($C$403,"WORKING_CAPITAL_SEQ_GROWTH","FQ4 2016","FQ4 2016","Currency=INR","Period=FQ","BEST_FPERIOD_OVERRIDE=FQ","FILING_STATUS=OR","EQY_CONSOLIDATED=Y","Sort=A","Dates=H","DateFormat=P","Fill=—","Direction=H","UseDPDF=Y")</f>
        <v>#NAME?</v>
      </c>
      <c r="BR417" s="2" t="e">
        <f ca="1">_xll.BDH($C$403,"ACCOUNTS_PAYABLE_SEQ_GROWTH","FQ4 2016","FQ4 2016","Currency=INR","Period=FQ","BEST_FPERIOD_OVERRIDE=FQ","FILING_STATUS=OR","EQY_CONSOLIDATED=Y","Sort=A","Dates=H","DateFormat=P","Fill=—","Direction=H","UseDPDF=Y")</f>
        <v>#NAME?</v>
      </c>
      <c r="BS417" s="2" t="e">
        <f ca="1">_xll.BDH($C$403,"ST_DEBT_SEQUENTIAL_GROWTH","FQ4 2016","FQ4 2016","Currency=INR","Period=FQ","BEST_FPERIOD_OVERRIDE=FQ","FILING_STATUS=OR","EQY_CONSOLIDATED=Y","Sort=A","Dates=H","DateFormat=P","Fill=—","Direction=H","UseDPDF=Y")</f>
        <v>#NAME?</v>
      </c>
      <c r="BT417" s="2" t="e">
        <f ca="1">_xll.BDH($C$403,"TOTAL_DEBT_SEQUENTIAL_GROWTH","FQ4 2016","FQ4 2016","Currency=INR","Period=FQ","BEST_FPERIOD_OVERRIDE=FQ","FILING_STATUS=OR","EQY_CONSOLIDATED=Y","Sort=A","Dates=H","DateFormat=P","Fill=—","Direction=H","UseDPDF=Y")</f>
        <v>#NAME?</v>
      </c>
      <c r="BU417" s="2" t="e">
        <f ca="1">_xll.BDH($C$403,"TOTAL_EQUITY_SEQUENTIAL_GROWTH","FQ4 2016","FQ4 2016","Currency=INR","Period=FQ","BEST_FPERIOD_OVERRIDE=FQ","FILING_STATUS=OR","EQY_CONSOLIDATED=Y","Sort=A","Dates=H","DateFormat=P","Fill=—","Direction=H","UseDPDF=Y")</f>
        <v>#NAME?</v>
      </c>
      <c r="BV417" s="2" t="e">
        <f ca="1">_xll.BDH($C$403,"TOTAL_CAPITAL_SEQUENTIAL_GROWTH","FQ4 2016","FQ4 2016","Currency=INR","Period=FQ","BEST_FPERIOD_OVERRIDE=FQ","FILING_STATUS=OR","EQY_CONSOLIDATED=Y","Sort=A","Dates=H","DateFormat=P","Fill=—","Direction=H","UseDPDF=Y")</f>
        <v>#NAME?</v>
      </c>
      <c r="BW417" s="2" t="e">
        <f ca="1">_xll.BDH($C$403,"BPS_SEQUENTIAL_GROWTH","FQ4 2016","FQ4 2016","Currency=INR","Period=FQ","BEST_FPERIOD_OVERRIDE=FQ","FILING_STATUS=OR","EQY_CONSOLIDATED=Y","Sort=A","Dates=H","DateFormat=P","Fill=—","Direction=H","UseDPDF=Y")</f>
        <v>#NAME?</v>
      </c>
      <c r="BX417" s="2" t="e">
        <f ca="1">_xll.BDH($C$403,"CFO_SEQUENTIAL_GROWTH","FQ4 2016","FQ4 2016","Currency=INR","Period=FQ","BEST_FPERIOD_OVERRIDE=FQ","FILING_STATUS=OR","EQY_CONSOLIDATED=Y","Sort=A","Dates=H","DateFormat=P","Fill=—","Direction=H","UseDPDF=Y")</f>
        <v>#NAME?</v>
      </c>
      <c r="BY417" s="3" t="e">
        <f ca="1">_xll.BDH($C$403,"SHORT_AND_LONG_TERM_DEBT","FQ4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17" s="3" t="e">
        <f ca="1">_xll.BDH($C$403,"BS_ST_BORROW","FQ4 2016","FQ4 2016","Currency=INR","Period=FQ","BEST_FPERIOD_OVERRIDE=FQ","FILING_STATUS=OR","EQY_CONSOLIDATED=Y","SCALING_FORMAT=MLN","Sort=A","Dates=H","DateFormat=P","Fill=—","Direction=H","UseDPDF=Y")</f>
        <v>#NAME?</v>
      </c>
      <c r="CA417" s="3" t="e">
        <f ca="1">_xll.BDH($C$403,"BS_LT_BORROW","FQ4 2016","FQ4 2016","Currency=INR","Period=FQ","BEST_FPERIOD_OVERRIDE=FQ","FILING_STATUS=OR","EQY_CONSOLIDATED=Y","SCALING_FORMAT=MLN","Sort=A","Dates=H","DateFormat=P","Fill=—","Direction=H","UseDPDF=Y")</f>
        <v>#NAME?</v>
      </c>
      <c r="CB417" s="2" t="e">
        <f ca="1">_xll.BDH($C$403,"TOT_DEBT_TO_EBITDA","FQ4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17" s="2" t="e">
        <f ca="1">_xll.BDH($C$403,"NET_DEBT_TO_EBITDA","FQ4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17" s="2" t="e">
        <f ca="1">_xll.BDH($C$403,"TOTAL_DEBT_TO_EBIT","FQ4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17" s="2" t="e">
        <f ca="1">_xll.BDH($C$403,"NET_DEBT_TO_EBIT","FQ4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17" s="2" t="e">
        <f ca="1">_xll.BDH($C$403,"EBITDA_TO_INTEREST_EXPN","FQ4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17" s="2" t="e">
        <f ca="1">_xll.BDH($C$403,"COM_EQY_TO_TOT_ASSET","FQ4 2016","FQ4 2016","Currency=INR","Period=FQ","BEST_FPERIOD_OVERRIDE=FQ","FILING_STATUS=OR","EQY_CONSOLIDATED=Y","Sort=A","Dates=H","DateFormat=P","Fill=—","Direction=H","UseDPDF=Y")</f>
        <v>#NAME?</v>
      </c>
      <c r="CH417" s="2" t="e">
        <f ca="1">_xll.BDH($C$403,"LT_DEBT_TO_TOT_EQY","FQ4 2016","FQ4 2016","Currency=INR","Period=FQ","BEST_FPERIOD_OVERRIDE=FQ","FILING_STATUS=OR","EQY_CONSOLIDATED=Y","Sort=A","Dates=H","DateFormat=P","Fill=—","Direction=H","UseDPDF=Y")</f>
        <v>#NAME?</v>
      </c>
      <c r="CI417" s="2" t="e">
        <f ca="1">_xll.BDH($C$403,"LT_DEBT_TO_TOT_CAP","FQ4 2016","FQ4 2016","Currency=INR","Period=FQ","BEST_FPERIOD_OVERRIDE=FQ","FILING_STATUS=OR","EQY_CONSOLIDATED=Y","Sort=A","Dates=H","DateFormat=P","Fill=—","Direction=H","UseDPDF=Y")</f>
        <v>#NAME?</v>
      </c>
      <c r="CJ417" s="2" t="e">
        <f ca="1">_xll.BDH($C$403,"LT_DEBT_TO_TOT_ASSET","FQ4 2016","FQ4 2016","Currency=INR","Period=FQ","BEST_FPERIOD_OVERRIDE=FQ","FILING_STATUS=OR","EQY_CONSOLIDATED=Y","Sort=A","Dates=H","DateFormat=P","Fill=—","Direction=H","UseDPDF=Y")</f>
        <v>#NAME?</v>
      </c>
      <c r="CK417" s="2" t="e">
        <f ca="1">_xll.BDH($C$403,"TOT_DEBT_TO_TOT_EQY","FQ4 2016","FQ4 2016","Currency=INR","Period=FQ","BEST_FPERIOD_OVERRIDE=FQ","FILING_STATUS=OR","EQY_CONSOLIDATED=Y","Sort=A","Dates=H","DateFormat=P","Fill=—","Direction=H","UseDPDF=Y")</f>
        <v>#NAME?</v>
      </c>
      <c r="CL417" s="2" t="e">
        <f ca="1">_xll.BDH($C$403,"TOT_DEBT_TO_TOT_CAP","FQ4 2016","FQ4 2016","Currency=INR","Period=FQ","BEST_FPERIOD_OVERRIDE=FQ","FILING_STATUS=OR","EQY_CONSOLIDATED=Y","Sort=A","Dates=H","DateFormat=P","Fill=—","Direction=H","UseDPDF=Y")</f>
        <v>#NAME?</v>
      </c>
      <c r="CM417" s="2" t="e">
        <f ca="1">_xll.BDH($C$403,"TOT_DEBT_TO_TOT_ASSET","FQ4 2016","FQ4 2016","Currency=INR","Period=FQ","BEST_FPERIOD_OVERRIDE=FQ","FILING_STATUS=OR","EQY_CONSOLIDATED=Y","Sort=A","Dates=H","DateFormat=P","Fill=—","Direction=H","UseDPDF=Y")</f>
        <v>#NAME?</v>
      </c>
      <c r="CN417" s="2" t="e">
        <f ca="1">_xll.BDH($C$403,"NET_DEBT_TO_SHRHLDR_EQTY","FQ4 2016","FQ4 2016","Currency=INR","Period=FQ","BEST_FPERIOD_OVERRIDE=FQ","FILING_STATUS=OR","EQY_CONSOLIDATED=Y","Sort=A","Dates=H","DateFormat=P","Fill=—","Direction=H","UseDPDF=Y")</f>
        <v>#NAME?</v>
      </c>
      <c r="CO417" s="2" t="e">
        <f ca="1">_xll.BDH($C$403,"NET_DEBT_%_CAPITAL","FQ4 2016","FQ4 2016","Currency=INR","Period=FQ","BEST_FPERIOD_OVERRIDE=FQ","FILING_STATUS=OR","EQY_CONSOLIDATED=Y","Sort=A","Dates=H","DateFormat=P","Fill=—","Direction=H","UseDPDF=Y")</f>
        <v>#NAME?</v>
      </c>
      <c r="CP417" s="3" t="e">
        <f ca="1">_xll.BDH($C$403,"EBITDA","FQ4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17" s="3" t="e">
        <f ca="1">_xll.BDH($C$403,"EBITDA_AFTER_CAPEX","FQ4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17" s="3" t="e">
        <f ca="1">_xll.BDH($C$403,"IS_OPER_INC","FQ4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17" s="2" t="e">
        <f ca="1">_xll.BDH($C$403,"CASH_RATIO","FQ4 2016","FQ4 2016","Currency=INR","Period=FQ","BEST_FPERIOD_OVERRIDE=FQ","FILING_STATUS=OR","EQY_CONSOLIDATED=Y","Sort=A","Dates=H","DateFormat=P","Fill=—","Direction=H","UseDPDF=Y")</f>
        <v>#NAME?</v>
      </c>
      <c r="CT417" s="2" t="e">
        <f ca="1">_xll.BDH($C$403,"CUR_RATIO","FQ4 2016","FQ4 2016","Currency=INR","Period=FQ","BEST_FPERIOD_OVERRIDE=FQ","FILING_STATUS=OR","EQY_CONSOLIDATED=Y","Sort=A","Dates=H","DateFormat=P","Fill=—","Direction=H","UseDPDF=Y")</f>
        <v>#NAME?</v>
      </c>
      <c r="CU417" s="2" t="e">
        <f ca="1">_xll.BDH($C$403,"QUICK_RATIO","FQ4 2016","FQ4 2016","Currency=INR","Period=FQ","BEST_FPERIOD_OVERRIDE=FQ","FILING_STATUS=OR","EQY_CONSOLIDATED=Y","Sort=A","Dates=H","DateFormat=P","Fill=—","Direction=H","UseDPDF=Y")</f>
        <v>#NAME?</v>
      </c>
      <c r="CV417" s="2" t="e">
        <f ca="1">_xll.BDH($C$403,"ALTMAN_Z_SCORE","FQ4 2016","FQ4 2016","Currency=INR","Period=FQ","BEST_FPERIOD_OVERRIDE=FQ","FILING_STATUS=OR","EQY_CONSOLIDATED=Y","Sort=A","Dates=H","DateFormat=P","Fill=—","Direction=H","UseDPDF=Y")</f>
        <v>#NAME?</v>
      </c>
      <c r="CW417" s="4" t="e">
        <f ca="1">_xll.BDH($C$403,"ACCT_RCV_TURN","FQ4 2016","FQ4 2016","Currency=INR","Period=FQ","BEST_FPERIOD_OVERRIDE=FQ","FILING_STATUS=OR","EQY_CONSOLIDATED=Y","FA_ADJUSTED=GAAP","Sort=A","Dates=H","DateFormat=P","Fill=—","Direction=H","UseDPDF=Y")</f>
        <v>#NAME?</v>
      </c>
      <c r="CX417" s="2" t="e">
        <f ca="1">_xll.BDH($C$403,"ACCT_RCV_DAYS","FQ4 2016","FQ4 2016","Currency=INR","Period=FQ","BEST_FPERIOD_OVERRIDE=FQ","FILING_STATUS=OR","EQY_CONSOLIDATED=Y","FA_ADJUSTED=GAAP","Sort=A","Dates=H","DateFormat=P","Fill=—","Direction=H","UseDPDF=Y")</f>
        <v>#NAME?</v>
      </c>
      <c r="CY417" s="4" t="e">
        <f ca="1">_xll.BDH($C$403,"INVENT_TURN","FQ4 2016","FQ4 2016","Currency=INR","Period=FQ","BEST_FPERIOD_OVERRIDE=FQ","FILING_STATUS=OR","EQY_CONSOLIDATED=Y","FA_ADJUSTED=GAAP","Sort=A","Dates=H","DateFormat=P","Fill=—","Direction=H","UseDPDF=Y")</f>
        <v>#NAME?</v>
      </c>
      <c r="CZ417" s="2" t="e">
        <f ca="1">_xll.BDH($C$403,"INVENT_DAYS","FQ4 2016","FQ4 2016","Currency=INR","Period=FQ","BEST_FPERIOD_OVERRIDE=FQ","FILING_STATUS=OR","EQY_CONSOLIDATED=Y","FA_ADJUSTED=GAAP","Sort=A","Dates=H","DateFormat=P","Fill=—","Direction=H","UseDPDF=Y")</f>
        <v>#NAME?</v>
      </c>
      <c r="DA417" s="4" t="e">
        <f ca="1">_xll.BDH($C$403,"ACCOUNTS_PAYABLE_TURNOVER","FQ4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17" s="2" t="e">
        <f ca="1">_xll.BDH($C$403,"ACCOUNTS_PAYABLE_TURNOVER_DAYS","FQ4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17" s="4" t="e">
        <f ca="1">_xll.BDH($C$403,"CASH_CONVERSION_CYCLE","FQ4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17" s="4" t="e">
        <f ca="1">_xll.BDH($C$403,"INV_TO_CASH_DAYS","FQ4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17" s="5" t="e">
        <f ca="1">_xll.BDH($C$403,"BS_INVENTORIES","FQ4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17" s="3" t="e">
        <f ca="1">_xll.BDH($C$403,"INVTRY_RAW_MATERIALS","FQ4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17" s="3" t="e">
        <f ca="1">_xll.BDH($C$403,"INVTRY_IN_PROGRESS","FQ4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17" s="3" t="e">
        <f ca="1">_xll.BDH($C$403,"INVTRY_FINISHED_GOODS","FQ4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17" s="3" t="e">
        <f ca="1">_xll.BDH($C$403,"BS_OTHER_INV","FQ4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18" spans="1:113" x14ac:dyDescent="0.3">
      <c r="A418" s="6"/>
      <c r="B418" s="6"/>
      <c r="C418" s="6"/>
      <c r="D418" s="6" t="s">
        <v>84</v>
      </c>
      <c r="E418" t="s">
        <v>77</v>
      </c>
      <c r="F418" t="e">
        <f ca="1">_xll.BDH($C$403,"RETURN_COM_EQY","FY 2017","FY 2017","Currency=INR","Period=FY","BEST_FPERIOD_OVERRIDE=FY","FILING_STATUS=OR","EQY_CONSOLIDATED=Y","FA_ADJUSTED=GAAP","Sort=A","Dates=H","DateFormat=P","Fill=—","Direction=H","UseDPDF=Y")</f>
        <v>#NAME?</v>
      </c>
      <c r="G418" t="e">
        <f ca="1">_xll.BDH($C$403,"RETURN_ON_ASSET","FY 2017","FY 2017","Currency=INR","Period=FY","BEST_FPERIOD_OVERRIDE=FY","FILING_STATUS=OR","EQY_CONSOLIDATED=Y","FA_ADJUSTED=GAAP","Sort=A","Dates=H","DateFormat=P","Fill=—","Direction=H","UseDPDF=Y")</f>
        <v>#NAME?</v>
      </c>
      <c r="H418" t="e">
        <f ca="1">_xll.BDH($C$403,"RETURN_ON_CAP","FY 2017","FY 2017","Currency=INR","Period=FY","BEST_FPERIOD_OVERRIDE=FY","FILING_STATUS=OR","EQY_CONSOLIDATED=Y","FA_ADJUSTED=GAAP","Sort=A","Dates=H","DateFormat=P","Fill=—","Direction=H","UseDPDF=Y")</f>
        <v>#NAME?</v>
      </c>
      <c r="I418" t="e">
        <f ca="1">_xll.BDH($C$403,"RETURN_ON_INV_CAPITAL","FY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18" t="e">
        <f ca="1">_xll.BDH($C$403,"EBITDA_TO_REVENUE","FY 2017","FY 2017","Currency=INR","Period=FY","BEST_FPERIOD_OVERRIDE=FY","FILING_STATUS=OR","EQY_CONSOLIDATED=Y","FA_ADJUSTED=GAAP","Sort=A","Dates=H","DateFormat=P","Fill=—","Direction=H","UseDPDF=Y")</f>
        <v>#NAME?</v>
      </c>
      <c r="K418" t="e">
        <f ca="1">_xll.BDH($C$403,"OPER_MARGIN","FY 2017","FY 2017","Currency=INR","Period=FY","BEST_FPERIOD_OVERRIDE=FY","FILING_STATUS=OR","EQY_CONSOLIDATED=Y","FA_ADJUSTED=GAAP","Sort=A","Dates=H","DateFormat=P","Fill=—","Direction=H","UseDPDF=Y")</f>
        <v>#NAME?</v>
      </c>
      <c r="L418" t="e">
        <f ca="1">_xll.BDH($C$403,"INCREMENTAL_OPERATING_MARGIN","FY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18" t="e">
        <f ca="1">_xll.BDH($C$403,"PRETAX_INC_TO_NET_SALES","FY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18" t="e">
        <f ca="1">_xll.BDH($C$403,"INC_BEF_XO_ITEMS_TO_NET_SALES","FY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18" t="e">
        <f ca="1">_xll.BDH($C$403,"PROF_MARGIN","FY 2017","FY 2017","Currency=INR","Period=FY","BEST_FPERIOD_OVERRIDE=FY","FILING_STATUS=OR","EQY_CONSOLIDATED=Y","FA_ADJUSTED=GAAP","Sort=A","Dates=H","DateFormat=P","Fill=—","Direction=H","UseDPDF=Y")</f>
        <v>#NAME?</v>
      </c>
      <c r="P418" t="e">
        <f ca="1">_xll.BDH($C$403,"NET_INCOME_TO_COMMON_MARGIN","FY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18" t="e">
        <f ca="1">_xll.BDH($C$403,"EFF_TAX_RATE","FY 2017","FY 2017","Currency=INR","Period=FY","BEST_FPERIOD_OVERRIDE=FY","FILING_STATUS=OR","EQY_CONSOLIDATED=Y","FA_ADJUSTED=GAAP","Sort=A","Dates=H","DateFormat=P","Fill=—","Direction=H","UseDPDF=Y")</f>
        <v>#NAME?</v>
      </c>
      <c r="R418" t="e">
        <f ca="1">_xll.BDH($C$403,"DVD_PAYOUT_RATIO","FY 2017","FY 2017","Currency=INR","Period=FY","BEST_FPERIOD_OVERRIDE=FY","FILING_STATUS=OR","EQY_CONSOLIDATED=Y","FA_ADJUSTED=GAAP","Sort=A","Dates=H","DateFormat=P","Fill=—","Direction=H","UseDPDF=Y")</f>
        <v>#NAME?</v>
      </c>
      <c r="S418" t="e">
        <f ca="1">_xll.BDH($C$403,"SUSTAIN_GROWTH_RT","FY 2017","FY 2017","Currency=INR","Period=FY","BEST_FPERIOD_OVERRIDE=FY","FILING_STATUS=OR","EQY_CONSOLIDATED=Y","FA_ADJUSTED=GAAP","Sort=A","Dates=H","DateFormat=P","Fill=—","Direction=H","UseDPDF=Y")</f>
        <v>#NAME?</v>
      </c>
      <c r="T418" s="2" t="e">
        <f ca="1">_xll.BDH($C$403,"SALES_GROWTH","FY 2017","FY 2017","Currency=INR","Period=FY","BEST_FPERIOD_OVERRIDE=FY","FILING_STATUS=OR","EQY_CONSOLIDATED=Y","FA_ADJUSTED=GAAP","Sort=A","Dates=H","DateFormat=P","Fill=—","Direction=H","UseDPDF=Y")</f>
        <v>#NAME?</v>
      </c>
      <c r="U418" s="2" t="e">
        <f ca="1">_xll.BDH($C$403,"EBITDA_GROWTH","FY 2017","FY 2017","Currency=INR","Period=FY","BEST_FPERIOD_OVERRIDE=FY","FILING_STATUS=OR","EQY_CONSOLIDATED=Y","FA_ADJUSTED=GAAP","Sort=A","Dates=H","DateFormat=P","Fill=—","Direction=H","UseDPDF=Y")</f>
        <v>#NAME?</v>
      </c>
      <c r="V418" s="2" t="e">
        <f ca="1">_xll.BDH($C$403,"OPER_INC_GROWTH","FY 2017","FY 2017","Currency=INR","Period=FY","BEST_FPERIOD_OVERRIDE=FY","FILING_STATUS=OR","EQY_CONSOLIDATED=Y","FA_ADJUSTED=GAAP","Sort=A","Dates=H","DateFormat=P","Fill=—","Direction=H","UseDPDF=Y")</f>
        <v>#NAME?</v>
      </c>
      <c r="W418" s="2" t="e">
        <f ca="1">_xll.BDH($C$403,"EARN_FOR_COM_GROWTH","FY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18" s="2" t="e">
        <f ca="1">_xll.BDH($C$403,"DILUTED_EPS_AFT_XO_ITEMS_GROWTH","FY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18" s="2" t="e">
        <f ca="1">_xll.BDH($C$403,"DIVIDEND_PER_SHARE_1_YEAR_GROWTH","FY 2017","FY 2017","Currency=INR","Period=FY","BEST_FPERIOD_OVERRIDE=FY","FILING_STATUS=OR","EQY_CONSOLIDATED=Y","Sort=A","Dates=H","DateFormat=P","Fill=—","Direction=H","UseDPDF=Y")</f>
        <v>#NAME?</v>
      </c>
      <c r="Z418" s="2" t="e">
        <f ca="1">_xll.BDH($C$403,"ACCOUNTS_RECEIVABLE_GROWTH","FY 2017","FY 2017","Currency=INR","Period=FY","BEST_FPERIOD_OVERRIDE=FY","FILING_STATUS=OR","EQY_CONSOLIDATED=Y","Sort=A","Dates=H","DateFormat=P","Fill=—","Direction=H","UseDPDF=Y")</f>
        <v>#NAME?</v>
      </c>
      <c r="AA418" s="2" t="e">
        <f ca="1">_xll.BDH($C$403,"INVENTORY_GROWTH","FY 2017","FY 2017","Currency=INR","Period=FY","BEST_FPERIOD_OVERRIDE=FY","FILING_STATUS=OR","EQY_CONSOLIDATED=Y","Sort=A","Dates=H","DateFormat=P","Fill=—","Direction=H","UseDPDF=Y")</f>
        <v>#NAME?</v>
      </c>
      <c r="AB418" s="2" t="e">
        <f ca="1">_xll.BDH($C$403,"NET_FIXED_ASSETS_1_YEAR_GROWTH","FY 2017","FY 2017","Currency=INR","Period=FY","BEST_FPERIOD_OVERRIDE=FY","FILING_STATUS=OR","EQY_CONSOLIDATED=Y","Sort=A","Dates=H","DateFormat=P","Fill=—","Direction=H","UseDPDF=Y")</f>
        <v>#NAME?</v>
      </c>
      <c r="AC418" s="2" t="e">
        <f ca="1">_xll.BDH($C$403,"ASSET_GROWTH","FY 2017","FY 2017","Currency=INR","Period=FY","BEST_FPERIOD_OVERRIDE=FY","FILING_STATUS=OR","EQY_CONSOLIDATED=Y","Sort=A","Dates=H","DateFormat=P","Fill=—","Direction=H","UseDPDF=Y")</f>
        <v>#NAME?</v>
      </c>
      <c r="AD418" s="2" t="e">
        <f ca="1">_xll.BDH($C$403,"MODIFIED_WORK_CAP_GROWTH","FY 2017","FY 2017","Currency=INR","Period=FY","BEST_FPERIOD_OVERRIDE=FY","FILING_STATUS=OR","EQY_CONSOLIDATED=Y","Sort=A","Dates=H","DateFormat=P","Fill=—","Direction=H","UseDPDF=Y")</f>
        <v>#NAME?</v>
      </c>
      <c r="AE418" s="2" t="e">
        <f ca="1">_xll.BDH($C$403,"WORK_CAP_GROWTH","FY 2017","FY 2017","Currency=INR","Period=FY","BEST_FPERIOD_OVERRIDE=FY","FILING_STATUS=OR","EQY_CONSOLIDATED=Y","Sort=A","Dates=H","DateFormat=P","Fill=—","Direction=H","UseDPDF=Y")</f>
        <v>#NAME?</v>
      </c>
      <c r="AF418" s="2" t="e">
        <f ca="1">_xll.BDH($C$403,"ACCOUNTS_PAYABLE_GROWTH_1YR","FY 2017","FY 2017","Currency=INR","Period=FY","BEST_FPERIOD_OVERRIDE=FY","FILING_STATUS=OR","EQY_CONSOLIDATED=Y","Sort=A","Dates=H","DateFormat=P","Fill=—","Direction=H","UseDPDF=Y")</f>
        <v>#NAME?</v>
      </c>
      <c r="AG418" s="2" t="e">
        <f ca="1">_xll.BDH($C$403,"SHORT_TERM_DEBT_1_YEAR_GROWTH","FY 2017","FY 2017","Currency=INR","Period=FY","BEST_FPERIOD_OVERRIDE=FY","FILING_STATUS=OR","EQY_CONSOLIDATED=Y","Sort=A","Dates=H","DateFormat=P","Fill=—","Direction=H","UseDPDF=Y")</f>
        <v>#NAME?</v>
      </c>
      <c r="AH418" s="2" t="e">
        <f ca="1">_xll.BDH($C$403,"TOTAL_DEBT_1_YEAR_GROWTH","FY 2017","FY 2017","Currency=INR","Period=FY","BEST_FPERIOD_OVERRIDE=FY","FILING_STATUS=OR","EQY_CONSOLIDATED=Y","Sort=A","Dates=H","DateFormat=P","Fill=—","Direction=H","UseDPDF=Y")</f>
        <v>#NAME?</v>
      </c>
      <c r="AI418" s="2" t="e">
        <f ca="1">_xll.BDH($C$403,"TOTAL_EQUITY_1_YEAR_GROWTH","FY 2017","FY 2017","Currency=INR","Period=FY","BEST_FPERIOD_OVERRIDE=FY","FILING_STATUS=OR","EQY_CONSOLIDATED=Y","Sort=A","Dates=H","DateFormat=P","Fill=—","Direction=H","UseDPDF=Y")</f>
        <v>#NAME?</v>
      </c>
      <c r="AJ418" s="2" t="e">
        <f ca="1">_xll.BDH($C$403,"GROWTH_IN_CAP","FY 2017","FY 2017","Currency=INR","Period=FY","BEST_FPERIOD_OVERRIDE=FY","FILING_STATUS=OR","EQY_CONSOLIDATED=Y","Sort=A","Dates=H","DateFormat=P","Fill=—","Direction=H","UseDPDF=Y")</f>
        <v>#NAME?</v>
      </c>
      <c r="AK418" s="2" t="e">
        <f ca="1">_xll.BDH($C$403,"BVPS_GROWTH","FY 2017","FY 2017","Currency=INR","Period=FY","BEST_FPERIOD_OVERRIDE=FY","FILING_STATUS=OR","EQY_CONSOLIDATED=Y","Sort=A","Dates=H","DateFormat=P","Fill=—","Direction=H","UseDPDF=Y")</f>
        <v>#NAME?</v>
      </c>
      <c r="AL418" s="2" t="e">
        <f ca="1">_xll.BDH($C$403,"CASH_FLOW_GROWTH","FY 2017","FY 2017","Currency=INR","Period=FY","BEST_FPERIOD_OVERRIDE=FY","FILING_STATUS=OR","EQY_CONSOLIDATED=Y","Sort=A","Dates=H","DateFormat=P","Fill=—","Direction=H","UseDPDF=Y")</f>
        <v>#NAME?</v>
      </c>
      <c r="AM418" s="2" t="e">
        <f ca="1">_xll.BDH($C$403,"GEO_GROW_NET_SALES","FY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18" s="2" t="e">
        <f ca="1">_xll.BDH($C$403,"GEO_GROW_EBITDA","FY 2017","FY 2017","Currency=INR","Period=FY","BEST_FPERIOD_OVERRIDE=FY","FILING_STATUS=OR","EQY_CONSOLIDATED=Y","FA_ADJUSTED=GAAP","Sort=A","Dates=H","DateFormat=P","Fill=—","Direction=H","UseDPDF=Y")</f>
        <v>#NAME?</v>
      </c>
      <c r="AO418" s="2" t="e">
        <f ca="1">_xll.BDH($C$403,"GEO_GROW_OPER_INC","FY 2017","FY 2017","Currency=INR","Period=FY","BEST_FPERIOD_OVERRIDE=FY","FILING_STATUS=OR","EQY_CONSOLIDATED=Y","FA_ADJUSTED=GAAP","Sort=A","Dates=H","DateFormat=P","Fill=—","Direction=H","UseDPDF=Y")</f>
        <v>#NAME?</v>
      </c>
      <c r="AP418" s="2" t="e">
        <f ca="1">_xll.BDH($C$403,"NET_INCOME_TO_COMMON_5_YR_GROWTH","FY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18" s="2" t="e">
        <f ca="1">_xll.BDH($C$403,"5Y_GEO_GROWTH_DILUTED_EPS","FY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18" s="2" t="e">
        <f ca="1">_xll.BDH($C$403,"GEO_GROW_DVD_PER_SH","FY 2017","FY 2017","Currency=INR","Period=FY","BEST_FPERIOD_OVERRIDE=FY","FILING_STATUS=OR","EQY_CONSOLIDATED=Y","Sort=A","Dates=H","DateFormat=P","Fill=—","Direction=H","UseDPDF=Y")</f>
        <v>#NAME?</v>
      </c>
      <c r="AS418" s="2" t="e">
        <f ca="1">_xll.BDH($C$403,"ACCOUNTS_RECEIVABLE_5_YR_GROWTH","FY 2017","FY 2017","Currency=INR","Period=FY","BEST_FPERIOD_OVERRIDE=FY","FILING_STATUS=OR","EQY_CONSOLIDATED=Y","Sort=A","Dates=H","DateFormat=P","Fill=—","Direction=H","UseDPDF=Y")</f>
        <v>#NAME?</v>
      </c>
      <c r="AT418" s="2" t="e">
        <f ca="1">_xll.BDH($C$403,"INVENTORY_5_YEAR_GROWTH","FY 2017","FY 2017","Currency=INR","Period=FY","BEST_FPERIOD_OVERRIDE=FY","FILING_STATUS=OR","EQY_CONSOLIDATED=Y","Sort=A","Dates=H","DateFormat=P","Fill=—","Direction=H","UseDPDF=Y")</f>
        <v>#NAME?</v>
      </c>
      <c r="AU418" s="2" t="e">
        <f ca="1">_xll.BDH($C$403,"NET_FIXED_ASSETS_5_YEAR_GROWTH","FY 2017","FY 2017","Currency=INR","Period=FY","BEST_FPERIOD_OVERRIDE=FY","FILING_STATUS=OR","EQY_CONSOLIDATED=Y","Sort=A","Dates=H","DateFormat=P","Fill=—","Direction=H","UseDPDF=Y")</f>
        <v>#NAME?</v>
      </c>
      <c r="AV418" s="2" t="e">
        <f ca="1">_xll.BDH($C$403,"GEO_GROW_TOT_ASSET","FY 2017","FY 2017","Currency=INR","Period=FY","BEST_FPERIOD_OVERRIDE=FY","FILING_STATUS=OR","EQY_CONSOLIDATED=Y","Sort=A","Dates=H","DateFormat=P","Fill=—","Direction=H","UseDPDF=Y")</f>
        <v>#NAME?</v>
      </c>
      <c r="AW418" s="2" t="e">
        <f ca="1">_xll.BDH($C$403,"MODIFIED_WORKING_CPTL_5YR_GRWTH","FY 2017","FY 2017","Currency=INR","Period=FY","BEST_FPERIOD_OVERRIDE=FY","FILING_STATUS=OR","EQY_CONSOLIDATED=Y","Sort=A","Dates=H","DateFormat=P","Fill=—","Direction=H","UseDPDF=Y")</f>
        <v>#NAME?</v>
      </c>
      <c r="AX418" s="2" t="e">
        <f ca="1">_xll.BDH($C$403,"WORKING_CAPITAL_5_YEAR_GROWTH","FY 2017","FY 2017","Currency=INR","Period=FY","BEST_FPERIOD_OVERRIDE=FY","FILING_STATUS=OR","EQY_CONSOLIDATED=Y","Sort=A","Dates=H","DateFormat=P","Fill=—","Direction=H","UseDPDF=Y")</f>
        <v>#NAME?</v>
      </c>
      <c r="AY418" s="2" t="e">
        <f ca="1">_xll.BDH($C$403,"ACCOUNTS_PAYABLE_5_YEAR_GROWTH","FY 2017","FY 2017","Currency=INR","Period=FY","BEST_FPERIOD_OVERRIDE=FY","FILING_STATUS=OR","EQY_CONSOLIDATED=Y","Sort=A","Dates=H","DateFormat=P","Fill=—","Direction=H","UseDPDF=Y")</f>
        <v>#NAME?</v>
      </c>
      <c r="AZ418" s="2" t="e">
        <f ca="1">_xll.BDH($C$403,"SHORT_TERM_DEBT_5_YEAR_GROWTH","FY 2017","FY 2017","Currency=INR","Period=FY","BEST_FPERIOD_OVERRIDE=FY","FILING_STATUS=OR","EQY_CONSOLIDATED=Y","Sort=A","Dates=H","DateFormat=P","Fill=—","Direction=H","UseDPDF=Y")</f>
        <v>#NAME?</v>
      </c>
      <c r="BA418" s="2" t="e">
        <f ca="1">_xll.BDH($C$403,"TOTAL_DEBT_5_YEAR_GROWTH","FY 2017","FY 2017","Currency=INR","Period=FY","BEST_FPERIOD_OVERRIDE=FY","FILING_STATUS=OR","EQY_CONSOLIDATED=Y","Sort=A","Dates=H","DateFormat=P","Fill=—","Direction=H","UseDPDF=Y")</f>
        <v>#NAME?</v>
      </c>
      <c r="BB418" s="2" t="e">
        <f ca="1">_xll.BDH($C$403,"GEO_GROW_TOT_SHRHLDR_EQY","FY 2017","FY 2017","Currency=INR","Period=FY","BEST_FPERIOD_OVERRIDE=FY","FILING_STATUS=OR","EQY_CONSOLIDATED=Y","Sort=A","Dates=H","DateFormat=P","Fill=—","Direction=H","UseDPDF=Y")</f>
        <v>#NAME?</v>
      </c>
      <c r="BC418" s="2" t="e">
        <f ca="1">_xll.BDH($C$403,"TOTAL_CAPITAL_5_YEAR_GROWTH","FY 2017","FY 2017","Currency=INR","Period=FY","BEST_FPERIOD_OVERRIDE=FY","FILING_STATUS=OR","EQY_CONSOLIDATED=Y","Sort=A","Dates=H","DateFormat=P","Fill=—","Direction=H","UseDPDF=Y")</f>
        <v>#NAME?</v>
      </c>
      <c r="BD418" s="2" t="e">
        <f ca="1">_xll.BDH($C$403,"GEO_GROW_BOOK_VAL","FY 2017","FY 2017","Currency=INR","Period=FY","BEST_FPERIOD_OVERRIDE=FY","FILING_STATUS=OR","EQY_CONSOLIDATED=Y","Sort=A","Dates=H","DateFormat=P","Fill=—","Direction=H","UseDPDF=Y")</f>
        <v>#NAME?</v>
      </c>
      <c r="BE418" s="2" t="e">
        <f ca="1">_xll.BDH($C$403,"GEO_GROW_CASH_OPER_ACT","FY 2017","FY 2017","Currency=INR","Period=FY","BEST_FPERIOD_OVERRIDE=FY","FILING_STATUS=OR","EQY_CONSOLIDATED=Y","Sort=A","Dates=H","DateFormat=P","Fill=—","Direction=H","UseDPDF=Y")</f>
        <v>#NAME?</v>
      </c>
      <c r="BF418" s="2" t="e">
        <f ca="1">_xll.BDH($C$403,"REVENUE_SEQUENTIAL_GROWTH","FY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18" s="2" t="e">
        <f ca="1">_xll.BDH($C$403,"EBITDA_SEQUENTIAL_GROWTH","FY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18" s="2" t="e">
        <f ca="1">_xll.BDH($C$403,"OPERATING_INCOME_SEQ_GROWTH","FY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18" s="2" t="e">
        <f ca="1">_xll.BDH($C$403,"NET_INCOME_TO_COMMON_SEQ_GROWTH","FY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18" s="2" t="e">
        <f ca="1">_xll.BDH($C$403,"EPS_DILUTED_SEQUENTIAL_GROWTH","FY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18" s="2" t="e">
        <f ca="1">_xll.BDH($C$403,"DPS_SEQUENTIAL_GROWTH","FY 2017","FY 2017","Currency=INR","Period=FY","BEST_FPERIOD_OVERRIDE=FY","FILING_STATUS=OR","EQY_CONSOLIDATED=Y","Sort=A","Dates=H","DateFormat=P","Fill=—","Direction=H","UseDPDF=Y")</f>
        <v>#NAME?</v>
      </c>
      <c r="BL418" s="2" t="e">
        <f ca="1">_xll.BDH($C$403,"ACCOUNTS_RECEIVABLE_SEQ_GROWTH","FY 2017","FY 2017","Currency=INR","Period=FY","BEST_FPERIOD_OVERRIDE=FY","FILING_STATUS=OR","EQY_CONSOLIDATED=Y","Sort=A","Dates=H","DateFormat=P","Fill=—","Direction=H","UseDPDF=Y")</f>
        <v>#NAME?</v>
      </c>
      <c r="BM418" s="2" t="e">
        <f ca="1">_xll.BDH($C$403,"INVENTORY_SEQUENTIAL_GROWTH","FY 2017","FY 2017","Currency=INR","Period=FY","BEST_FPERIOD_OVERRIDE=FY","FILING_STATUS=OR","EQY_CONSOLIDATED=Y","Sort=A","Dates=H","DateFormat=P","Fill=—","Direction=H","UseDPDF=Y")</f>
        <v>#NAME?</v>
      </c>
      <c r="BN418" s="2" t="e">
        <f ca="1">_xll.BDH($C$403,"FIXED_ASSETS_SEQUENTIAL_GROWTH","FY 2017","FY 2017","Currency=INR","Period=FY","BEST_FPERIOD_OVERRIDE=FY","FILING_STATUS=OR","EQY_CONSOLIDATED=Y","Sort=A","Dates=H","DateFormat=P","Fill=—","Direction=H","UseDPDF=Y")</f>
        <v>#NAME?</v>
      </c>
      <c r="BO418" s="2" t="e">
        <f ca="1">_xll.BDH($C$403,"TOTAL_ASSETS_SEQUENTIAL_GROWTH","FY 2017","FY 2017","Currency=INR","Period=FY","BEST_FPERIOD_OVERRIDE=FY","FILING_STATUS=OR","EQY_CONSOLIDATED=Y","Sort=A","Dates=H","DateFormat=P","Fill=—","Direction=H","UseDPDF=Y")</f>
        <v>#NAME?</v>
      </c>
      <c r="BP418" s="2" t="e">
        <f ca="1">_xll.BDH($C$403,"MODIFIED_WORKING_CPTL_SEQ_GRWTH","FY 2017","FY 2017","Currency=INR","Period=FY","BEST_FPERIOD_OVERRIDE=FY","FILING_STATUS=OR","EQY_CONSOLIDATED=Y","Sort=A","Dates=H","DateFormat=P","Fill=—","Direction=H","UseDPDF=Y")</f>
        <v>#NAME?</v>
      </c>
      <c r="BQ418" s="2" t="e">
        <f ca="1">_xll.BDH($C$403,"WORKING_CAPITAL_SEQ_GROWTH","FY 2017","FY 2017","Currency=INR","Period=FY","BEST_FPERIOD_OVERRIDE=FY","FILING_STATUS=OR","EQY_CONSOLIDATED=Y","Sort=A","Dates=H","DateFormat=P","Fill=—","Direction=H","UseDPDF=Y")</f>
        <v>#NAME?</v>
      </c>
      <c r="BR418" s="2" t="e">
        <f ca="1">_xll.BDH($C$403,"ACCOUNTS_PAYABLE_SEQ_GROWTH","FY 2017","FY 2017","Currency=INR","Period=FY","BEST_FPERIOD_OVERRIDE=FY","FILING_STATUS=OR","EQY_CONSOLIDATED=Y","Sort=A","Dates=H","DateFormat=P","Fill=—","Direction=H","UseDPDF=Y")</f>
        <v>#NAME?</v>
      </c>
      <c r="BS418" s="2" t="e">
        <f ca="1">_xll.BDH($C$403,"ST_DEBT_SEQUENTIAL_GROWTH","FY 2017","FY 2017","Currency=INR","Period=FY","BEST_FPERIOD_OVERRIDE=FY","FILING_STATUS=OR","EQY_CONSOLIDATED=Y","Sort=A","Dates=H","DateFormat=P","Fill=—","Direction=H","UseDPDF=Y")</f>
        <v>#NAME?</v>
      </c>
      <c r="BT418" s="2" t="e">
        <f ca="1">_xll.BDH($C$403,"TOTAL_DEBT_SEQUENTIAL_GROWTH","FY 2017","FY 2017","Currency=INR","Period=FY","BEST_FPERIOD_OVERRIDE=FY","FILING_STATUS=OR","EQY_CONSOLIDATED=Y","Sort=A","Dates=H","DateFormat=P","Fill=—","Direction=H","UseDPDF=Y")</f>
        <v>#NAME?</v>
      </c>
      <c r="BU418" s="2" t="e">
        <f ca="1">_xll.BDH($C$403,"TOTAL_EQUITY_SEQUENTIAL_GROWTH","FY 2017","FY 2017","Currency=INR","Period=FY","BEST_FPERIOD_OVERRIDE=FY","FILING_STATUS=OR","EQY_CONSOLIDATED=Y","Sort=A","Dates=H","DateFormat=P","Fill=—","Direction=H","UseDPDF=Y")</f>
        <v>#NAME?</v>
      </c>
      <c r="BV418" s="2" t="e">
        <f ca="1">_xll.BDH($C$403,"TOTAL_CAPITAL_SEQUENTIAL_GROWTH","FY 2017","FY 2017","Currency=INR","Period=FY","BEST_FPERIOD_OVERRIDE=FY","FILING_STATUS=OR","EQY_CONSOLIDATED=Y","Sort=A","Dates=H","DateFormat=P","Fill=—","Direction=H","UseDPDF=Y")</f>
        <v>#NAME?</v>
      </c>
      <c r="BW418" s="2" t="e">
        <f ca="1">_xll.BDH($C$403,"BPS_SEQUENTIAL_GROWTH","FY 2017","FY 2017","Currency=INR","Period=FY","BEST_FPERIOD_OVERRIDE=FY","FILING_STATUS=OR","EQY_CONSOLIDATED=Y","Sort=A","Dates=H","DateFormat=P","Fill=—","Direction=H","UseDPDF=Y")</f>
        <v>#NAME?</v>
      </c>
      <c r="BX418" s="2" t="e">
        <f ca="1">_xll.BDH($C$403,"CFO_SEQUENTIAL_GROWTH","FY 2017","FY 2017","Currency=INR","Period=FY","BEST_FPERIOD_OVERRIDE=FY","FILING_STATUS=OR","EQY_CONSOLIDATED=Y","Sort=A","Dates=H","DateFormat=P","Fill=—","Direction=H","UseDPDF=Y")</f>
        <v>#NAME?</v>
      </c>
      <c r="BY418" s="3" t="e">
        <f ca="1">_xll.BDH($C$403,"SHORT_AND_LONG_TERM_DEBT","FY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18" s="3" t="e">
        <f ca="1">_xll.BDH($C$403,"BS_ST_BORROW","FY 2017","FY 2017","Currency=INR","Period=FY","BEST_FPERIOD_OVERRIDE=FY","FILING_STATUS=OR","EQY_CONSOLIDATED=Y","SCALING_FORMAT=MLN","Sort=A","Dates=H","DateFormat=P","Fill=—","Direction=H","UseDPDF=Y")</f>
        <v>#NAME?</v>
      </c>
      <c r="CA418" s="3" t="e">
        <f ca="1">_xll.BDH($C$403,"BS_LT_BORROW","FY 2017","FY 2017","Currency=INR","Period=FY","BEST_FPERIOD_OVERRIDE=FY","FILING_STATUS=OR","EQY_CONSOLIDATED=Y","SCALING_FORMAT=MLN","Sort=A","Dates=H","DateFormat=P","Fill=—","Direction=H","UseDPDF=Y")</f>
        <v>#NAME?</v>
      </c>
      <c r="CB418" s="2" t="e">
        <f ca="1">_xll.BDH($C$403,"TOT_DEBT_TO_EBITDA","FY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18" s="2" t="e">
        <f ca="1">_xll.BDH($C$403,"NET_DEBT_TO_EBITDA","FY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18" s="2" t="e">
        <f ca="1">_xll.BDH($C$403,"TOTAL_DEBT_TO_EBIT","FY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18" s="2" t="e">
        <f ca="1">_xll.BDH($C$403,"NET_DEBT_TO_EBIT","FY 2017","FY 2017","Currency=INR","Period=FY","BEST_FPERIOD_OVERRIDE=FY","FILING_STATUS=OR","EQY_CONSOLIDATED=Y","FA_ADJUSTED=GAAP","Sort=A","Dates=H","DateFormat=P","Fill=—","Direction=H","UseDPDF=Y")</f>
        <v>#NAME?</v>
      </c>
      <c r="CF418" s="2" t="e">
        <f ca="1">_xll.BDH($C$403,"EBITDA_TO_INTEREST_EXPN","FY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18" s="2" t="e">
        <f ca="1">_xll.BDH($C$403,"COM_EQY_TO_TOT_ASSET","FY 2017","FY 2017","Currency=INR","Period=FY","BEST_FPERIOD_OVERRIDE=FY","FILING_STATUS=OR","EQY_CONSOLIDATED=Y","Sort=A","Dates=H","DateFormat=P","Fill=—","Direction=H","UseDPDF=Y")</f>
        <v>#NAME?</v>
      </c>
      <c r="CH418" s="2" t="e">
        <f ca="1">_xll.BDH($C$403,"LT_DEBT_TO_TOT_EQY","FY 2017","FY 2017","Currency=INR","Period=FY","BEST_FPERIOD_OVERRIDE=FY","FILING_STATUS=OR","EQY_CONSOLIDATED=Y","Sort=A","Dates=H","DateFormat=P","Fill=—","Direction=H","UseDPDF=Y")</f>
        <v>#NAME?</v>
      </c>
      <c r="CI418" s="2" t="e">
        <f ca="1">_xll.BDH($C$403,"LT_DEBT_TO_TOT_CAP","FY 2017","FY 2017","Currency=INR","Period=FY","BEST_FPERIOD_OVERRIDE=FY","FILING_STATUS=OR","EQY_CONSOLIDATED=Y","Sort=A","Dates=H","DateFormat=P","Fill=—","Direction=H","UseDPDF=Y")</f>
        <v>#NAME?</v>
      </c>
      <c r="CJ418" s="2" t="e">
        <f ca="1">_xll.BDH($C$403,"LT_DEBT_TO_TOT_ASSET","FY 2017","FY 2017","Currency=INR","Period=FY","BEST_FPERIOD_OVERRIDE=FY","FILING_STATUS=OR","EQY_CONSOLIDATED=Y","Sort=A","Dates=H","DateFormat=P","Fill=—","Direction=H","UseDPDF=Y")</f>
        <v>#NAME?</v>
      </c>
      <c r="CK418" s="2" t="e">
        <f ca="1">_xll.BDH($C$403,"TOT_DEBT_TO_TOT_EQY","FY 2017","FY 2017","Currency=INR","Period=FY","BEST_FPERIOD_OVERRIDE=FY","FILING_STATUS=OR","EQY_CONSOLIDATED=Y","Sort=A","Dates=H","DateFormat=P","Fill=—","Direction=H","UseDPDF=Y")</f>
        <v>#NAME?</v>
      </c>
      <c r="CL418" s="2" t="e">
        <f ca="1">_xll.BDH($C$403,"TOT_DEBT_TO_TOT_CAP","FY 2017","FY 2017","Currency=INR","Period=FY","BEST_FPERIOD_OVERRIDE=FY","FILING_STATUS=OR","EQY_CONSOLIDATED=Y","Sort=A","Dates=H","DateFormat=P","Fill=—","Direction=H","UseDPDF=Y")</f>
        <v>#NAME?</v>
      </c>
      <c r="CM418" s="2" t="e">
        <f ca="1">_xll.BDH($C$403,"TOT_DEBT_TO_TOT_ASSET","FY 2017","FY 2017","Currency=INR","Period=FY","BEST_FPERIOD_OVERRIDE=FY","FILING_STATUS=OR","EQY_CONSOLIDATED=Y","Sort=A","Dates=H","DateFormat=P","Fill=—","Direction=H","UseDPDF=Y")</f>
        <v>#NAME?</v>
      </c>
      <c r="CN418" s="2" t="e">
        <f ca="1">_xll.BDH($C$403,"NET_DEBT_TO_SHRHLDR_EQTY","FY 2017","FY 2017","Currency=INR","Period=FY","BEST_FPERIOD_OVERRIDE=FY","FILING_STATUS=OR","EQY_CONSOLIDATED=Y","Sort=A","Dates=H","DateFormat=P","Fill=—","Direction=H","UseDPDF=Y")</f>
        <v>#NAME?</v>
      </c>
      <c r="CO418" s="2" t="e">
        <f ca="1">_xll.BDH($C$403,"NET_DEBT_%_CAPITAL","FY 2017","FY 2017","Currency=INR","Period=FY","BEST_FPERIOD_OVERRIDE=FY","FILING_STATUS=OR","EQY_CONSOLIDATED=Y","Sort=A","Dates=H","DateFormat=P","Fill=—","Direction=H","UseDPDF=Y")</f>
        <v>#NAME?</v>
      </c>
      <c r="CP418" s="3" t="e">
        <f ca="1">_xll.BDH($C$403,"EBITDA","FY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18" s="3" t="e">
        <f ca="1">_xll.BDH($C$403,"EBITDA_AFTER_CAPEX","FY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18" s="3" t="e">
        <f ca="1">_xll.BDH($C$403,"IS_OPER_INC","FY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18" s="2" t="e">
        <f ca="1">_xll.BDH($C$403,"CASH_RATIO","FY 2017","FY 2017","Currency=INR","Period=FY","BEST_FPERIOD_OVERRIDE=FY","FILING_STATUS=OR","EQY_CONSOLIDATED=Y","Sort=A","Dates=H","DateFormat=P","Fill=—","Direction=H","UseDPDF=Y")</f>
        <v>#NAME?</v>
      </c>
      <c r="CT418" s="2" t="e">
        <f ca="1">_xll.BDH($C$403,"CUR_RATIO","FY 2017","FY 2017","Currency=INR","Period=FY","BEST_FPERIOD_OVERRIDE=FY","FILING_STATUS=OR","EQY_CONSOLIDATED=Y","Sort=A","Dates=H","DateFormat=P","Fill=—","Direction=H","UseDPDF=Y")</f>
        <v>#NAME?</v>
      </c>
      <c r="CU418" s="2" t="e">
        <f ca="1">_xll.BDH($C$403,"QUICK_RATIO","FY 2017","FY 2017","Currency=INR","Period=FY","BEST_FPERIOD_OVERRIDE=FY","FILING_STATUS=OR","EQY_CONSOLIDATED=Y","Sort=A","Dates=H","DateFormat=P","Fill=—","Direction=H","UseDPDF=Y")</f>
        <v>#NAME?</v>
      </c>
      <c r="CV418" s="2" t="e">
        <f ca="1">_xll.BDH($C$403,"ALTMAN_Z_SCORE","FY 2017","FY 2017","Currency=INR","Period=FY","BEST_FPERIOD_OVERRIDE=FY","FILING_STATUS=OR","EQY_CONSOLIDATED=Y","Sort=A","Dates=H","DateFormat=P","Fill=—","Direction=H","UseDPDF=Y")</f>
        <v>#NAME?</v>
      </c>
      <c r="CW418" s="4" t="e">
        <f ca="1">_xll.BDH($C$403,"ACCT_RCV_TURN","FY 2017","FY 2017","Currency=INR","Period=FY","BEST_FPERIOD_OVERRIDE=FY","FILING_STATUS=OR","EQY_CONSOLIDATED=Y","FA_ADJUSTED=GAAP","Sort=A","Dates=H","DateFormat=P","Fill=—","Direction=H","UseDPDF=Y")</f>
        <v>#NAME?</v>
      </c>
      <c r="CX418" s="2" t="e">
        <f ca="1">_xll.BDH($C$403,"ACCT_RCV_DAYS","FY 2017","FY 2017","Currency=INR","Period=FY","BEST_FPERIOD_OVERRIDE=FY","FILING_STATUS=OR","EQY_CONSOLIDATED=Y","FA_ADJUSTED=GAAP","Sort=A","Dates=H","DateFormat=P","Fill=—","Direction=H","UseDPDF=Y")</f>
        <v>#NAME?</v>
      </c>
      <c r="CY418" s="4" t="e">
        <f ca="1">_xll.BDH($C$403,"INVENT_TURN","FY 2017","FY 2017","Currency=INR","Period=FY","BEST_FPERIOD_OVERRIDE=FY","FILING_STATUS=OR","EQY_CONSOLIDATED=Y","FA_ADJUSTED=GAAP","Sort=A","Dates=H","DateFormat=P","Fill=—","Direction=H","UseDPDF=Y")</f>
        <v>#NAME?</v>
      </c>
      <c r="CZ418" s="2" t="e">
        <f ca="1">_xll.BDH($C$403,"INVENT_DAYS","FY 2017","FY 2017","Currency=INR","Period=FY","BEST_FPERIOD_OVERRIDE=FY","FILING_STATUS=OR","EQY_CONSOLIDATED=Y","FA_ADJUSTED=GAAP","Sort=A","Dates=H","DateFormat=P","Fill=—","Direction=H","UseDPDF=Y")</f>
        <v>#NAME?</v>
      </c>
      <c r="DA418" s="4" t="e">
        <f ca="1">_xll.BDH($C$403,"ACCOUNTS_PAYABLE_TURNOVER","FY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18" s="2" t="e">
        <f ca="1">_xll.BDH($C$403,"ACCOUNTS_PAYABLE_TURNOVER_DAYS","FY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18" s="4" t="e">
        <f ca="1">_xll.BDH($C$403,"CASH_CONVERSION_CYCLE","FY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18" s="4" t="e">
        <f ca="1">_xll.BDH($C$403,"INV_TO_CASH_DAYS","FY 2017","FY 2017","Currency=INR","Period=FY","BEST_FPERIOD_OVERRIDE=FY","FILING_STATUS=OR","EQY_CONSOLIDATED=Y","FA_ADJUSTED=GAAP","Sort=A","Dates=H","DateFormat=P","Fill=—","Direction=H","UseDPDF=Y")</f>
        <v>#NAME?</v>
      </c>
      <c r="DE418" s="5" t="e">
        <f ca="1">_xll.BDH($C$403,"BS_INVENTORIES","FY 2017","FY 2017","Currency=INR","Period=FY","BEST_FPERIOD_OVERRIDE=FY","FILING_STATUS=OR","EQY_CONSOLIDATED=Y","SCALING_FORMAT=MLN","Sort=A","Dates=H","DateFormat=P","Fill=—","Direction=H","UseDPDF=Y")</f>
        <v>#NAME?</v>
      </c>
      <c r="DF418" s="3" t="e">
        <f ca="1">_xll.BDH($C$403,"INVTRY_RAW_MATERIALS","FY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18" s="3" t="e">
        <f ca="1">_xll.BDH($C$403,"INVTRY_IN_PROGRESS","FY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18" s="3" t="e">
        <f ca="1">_xll.BDH($C$403,"INVTRY_FINISHED_GOODS","FY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18" s="3" t="e">
        <f ca="1">_xll.BDH($C$403,"BS_OTHER_INV","FY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19" spans="1:113" x14ac:dyDescent="0.3">
      <c r="A419" s="6"/>
      <c r="B419" s="6"/>
      <c r="C419" s="6"/>
      <c r="D419" s="6"/>
      <c r="E419" t="s">
        <v>78</v>
      </c>
      <c r="F419" t="e">
        <f ca="1">_xll.BDH($C$403,"RETURN_COM_EQY","FQ1 2017","FQ1 2017","Currency=INR","Period=FQ","BEST_FPERIOD_OVERRIDE=FQ","FILING_STATUS=OR","EQY_CONSOLIDATED=Y","FA_ADJUSTED=GAAP","Sort=A","Dates=H","DateFormat=P","Fill=—","Direction=H","UseDPDF=Y")</f>
        <v>#NAME?</v>
      </c>
      <c r="G419" t="e">
        <f ca="1">_xll.BDH($C$403,"RETURN_ON_ASSET","FQ1 2017","FQ1 2017","Currency=INR","Period=FQ","BEST_FPERIOD_OVERRIDE=FQ","FILING_STATUS=OR","EQY_CONSOLIDATED=Y","FA_ADJUSTED=GAAP","Sort=A","Dates=H","DateFormat=P","Fill=—","Direction=H","UseDPDF=Y")</f>
        <v>#NAME?</v>
      </c>
      <c r="H419" t="e">
        <f ca="1">_xll.BDH($C$403,"RETURN_ON_CAP","FQ1 2017","FQ1 2017","Currency=INR","Period=FQ","BEST_FPERIOD_OVERRIDE=FQ","FILING_STATUS=OR","EQY_CONSOLIDATED=Y","FA_ADJUSTED=GAAP","Sort=A","Dates=H","DateFormat=P","Fill=—","Direction=H","UseDPDF=Y")</f>
        <v>#NAME?</v>
      </c>
      <c r="I419" t="e">
        <f ca="1">_xll.BDH($C$403,"RETURN_ON_INV_CAPITAL","FQ1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19" t="e">
        <f ca="1">_xll.BDH($C$403,"EBITDA_TO_REVENUE","FQ1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19" t="e">
        <f ca="1">_xll.BDH($C$403,"OPER_MARGIN","FQ1 2017","FQ1 2017","Currency=INR","Period=FQ","BEST_FPERIOD_OVERRIDE=FQ","FILING_STATUS=OR","EQY_CONSOLIDATED=Y","FA_ADJUSTED=GAAP","Sort=A","Dates=H","DateFormat=P","Fill=—","Direction=H","UseDPDF=Y")</f>
        <v>#NAME?</v>
      </c>
      <c r="L419" t="e">
        <f ca="1">_xll.BDH($C$403,"INCREMENTAL_OPERATING_MARGIN","FQ1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19" t="e">
        <f ca="1">_xll.BDH($C$403,"PRETAX_INC_TO_NET_SALES","FQ1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19" t="e">
        <f ca="1">_xll.BDH($C$403,"INC_BEF_XO_ITEMS_TO_NET_SALES","FQ1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19" t="e">
        <f ca="1">_xll.BDH($C$403,"PROF_MARGIN","FQ1 2017","FQ1 2017","Currency=INR","Period=FQ","BEST_FPERIOD_OVERRIDE=FQ","FILING_STATUS=OR","EQY_CONSOLIDATED=Y","FA_ADJUSTED=GAAP","Sort=A","Dates=H","DateFormat=P","Fill=—","Direction=H","UseDPDF=Y")</f>
        <v>#NAME?</v>
      </c>
      <c r="P419" t="e">
        <f ca="1">_xll.BDH($C$403,"NET_INCOME_TO_COMMON_MARGIN","FQ1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19" t="e">
        <f ca="1">_xll.BDH($C$403,"EFF_TAX_RATE","FQ1 2017","FQ1 2017","Currency=INR","Period=FQ","BEST_FPERIOD_OVERRIDE=FQ","FILING_STATUS=OR","EQY_CONSOLIDATED=Y","FA_ADJUSTED=GAAP","Sort=A","Dates=H","DateFormat=P","Fill=—","Direction=H","UseDPDF=Y")</f>
        <v>#NAME?</v>
      </c>
      <c r="R419" t="e">
        <f ca="1">_xll.BDH($C$403,"DVD_PAYOUT_RATIO","FQ1 2017","FQ1 2017","Currency=INR","Period=FQ","BEST_FPERIOD_OVERRIDE=FQ","FILING_STATUS=OR","EQY_CONSOLIDATED=Y","FA_ADJUSTED=GAAP","Sort=A","Dates=H","DateFormat=P","Fill=—","Direction=H","UseDPDF=Y")</f>
        <v>#NAME?</v>
      </c>
      <c r="S419" t="e">
        <f ca="1">_xll.BDH($C$403,"SUSTAIN_GROWTH_RT","FQ1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19" s="2" t="e">
        <f ca="1">_xll.BDH($C$403,"SALES_GROWTH","FQ1 2017","FQ1 2017","Currency=INR","Period=FQ","BEST_FPERIOD_OVERRIDE=FQ","FILING_STATUS=OR","EQY_CONSOLIDATED=Y","FA_ADJUSTED=GAAP","Sort=A","Dates=H","DateFormat=P","Fill=—","Direction=H","UseDPDF=Y")</f>
        <v>#NAME?</v>
      </c>
      <c r="U419" s="2" t="e">
        <f ca="1">_xll.BDH($C$403,"EBITDA_GROWTH","FQ1 2017","FQ1 2017","Currency=INR","Period=FQ","BEST_FPERIOD_OVERRIDE=FQ","FILING_STATUS=OR","EQY_CONSOLIDATED=Y","FA_ADJUSTED=GAAP","Sort=A","Dates=H","DateFormat=P","Fill=—","Direction=H","UseDPDF=Y")</f>
        <v>#NAME?</v>
      </c>
      <c r="V419" s="2" t="e">
        <f ca="1">_xll.BDH($C$403,"OPER_INC_GROWTH","FQ1 2017","FQ1 2017","Currency=INR","Period=FQ","BEST_FPERIOD_OVERRIDE=FQ","FILING_STATUS=OR","EQY_CONSOLIDATED=Y","FA_ADJUSTED=GAAP","Sort=A","Dates=H","DateFormat=P","Fill=—","Direction=H","UseDPDF=Y")</f>
        <v>#NAME?</v>
      </c>
      <c r="W419" s="2" t="e">
        <f ca="1">_xll.BDH($C$403,"EARN_FOR_COM_GROWTH","FQ1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19" s="2" t="e">
        <f ca="1">_xll.BDH($C$403,"DILUTED_EPS_AFT_XO_ITEMS_GROWTH","FQ1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19" s="2" t="e">
        <f ca="1">_xll.BDH($C$403,"DIVIDEND_PER_SHARE_1_YEAR_GROWTH","FQ1 2017","FQ1 2017","Currency=INR","Period=FQ","BEST_FPERIOD_OVERRIDE=FQ","FILING_STATUS=OR","EQY_CONSOLIDATED=Y","Sort=A","Dates=H","DateFormat=P","Fill=—","Direction=H","UseDPDF=Y")</f>
        <v>#NAME?</v>
      </c>
      <c r="Z419" s="2" t="e">
        <f ca="1">_xll.BDH($C$403,"ACCOUNTS_RECEIVABLE_GROWTH","FQ1 2017","FQ1 2017","Currency=INR","Period=FQ","BEST_FPERIOD_OVERRIDE=FQ","FILING_STATUS=OR","EQY_CONSOLIDATED=Y","Sort=A","Dates=H","DateFormat=P","Fill=—","Direction=H","UseDPDF=Y")</f>
        <v>#NAME?</v>
      </c>
      <c r="AA419" s="2" t="e">
        <f ca="1">_xll.BDH($C$403,"INVENTORY_GROWTH","FQ1 2017","FQ1 2017","Currency=INR","Period=FQ","BEST_FPERIOD_OVERRIDE=FQ","FILING_STATUS=OR","EQY_CONSOLIDATED=Y","Sort=A","Dates=H","DateFormat=P","Fill=—","Direction=H","UseDPDF=Y")</f>
        <v>#NAME?</v>
      </c>
      <c r="AB419" s="2" t="e">
        <f ca="1">_xll.BDH($C$403,"NET_FIXED_ASSETS_1_YEAR_GROWTH","FQ1 2017","FQ1 2017","Currency=INR","Period=FQ","BEST_FPERIOD_OVERRIDE=FQ","FILING_STATUS=OR","EQY_CONSOLIDATED=Y","Sort=A","Dates=H","DateFormat=P","Fill=—","Direction=H","UseDPDF=Y")</f>
        <v>#NAME?</v>
      </c>
      <c r="AC419" s="2" t="e">
        <f ca="1">_xll.BDH($C$403,"ASSET_GROWTH","FQ1 2017","FQ1 2017","Currency=INR","Period=FQ","BEST_FPERIOD_OVERRIDE=FQ","FILING_STATUS=OR","EQY_CONSOLIDATED=Y","Sort=A","Dates=H","DateFormat=P","Fill=—","Direction=H","UseDPDF=Y")</f>
        <v>#NAME?</v>
      </c>
      <c r="AD419" s="2" t="e">
        <f ca="1">_xll.BDH($C$403,"MODIFIED_WORK_CAP_GROWTH","FQ1 2017","FQ1 2017","Currency=INR","Period=FQ","BEST_FPERIOD_OVERRIDE=FQ","FILING_STATUS=OR","EQY_CONSOLIDATED=Y","Sort=A","Dates=H","DateFormat=P","Fill=—","Direction=H","UseDPDF=Y")</f>
        <v>#NAME?</v>
      </c>
      <c r="AE419" s="2" t="e">
        <f ca="1">_xll.BDH($C$403,"WORK_CAP_GROWTH","FQ1 2017","FQ1 2017","Currency=INR","Period=FQ","BEST_FPERIOD_OVERRIDE=FQ","FILING_STATUS=OR","EQY_CONSOLIDATED=Y","Sort=A","Dates=H","DateFormat=P","Fill=—","Direction=H","UseDPDF=Y")</f>
        <v>#NAME?</v>
      </c>
      <c r="AF419" s="2" t="e">
        <f ca="1">_xll.BDH($C$403,"ACCOUNTS_PAYABLE_GROWTH_1YR","FQ1 2017","FQ1 2017","Currency=INR","Period=FQ","BEST_FPERIOD_OVERRIDE=FQ","FILING_STATUS=OR","EQY_CONSOLIDATED=Y","Sort=A","Dates=H","DateFormat=P","Fill=—","Direction=H","UseDPDF=Y")</f>
        <v>#NAME?</v>
      </c>
      <c r="AG419" s="2" t="e">
        <f ca="1">_xll.BDH($C$403,"SHORT_TERM_DEBT_1_YEAR_GROWTH","FQ1 2017","FQ1 2017","Currency=INR","Period=FQ","BEST_FPERIOD_OVERRIDE=FQ","FILING_STATUS=OR","EQY_CONSOLIDATED=Y","Sort=A","Dates=H","DateFormat=P","Fill=—","Direction=H","UseDPDF=Y")</f>
        <v>#NAME?</v>
      </c>
      <c r="AH419" s="2" t="e">
        <f ca="1">_xll.BDH($C$403,"TOTAL_DEBT_1_YEAR_GROWTH","FQ1 2017","FQ1 2017","Currency=INR","Period=FQ","BEST_FPERIOD_OVERRIDE=FQ","FILING_STATUS=OR","EQY_CONSOLIDATED=Y","Sort=A","Dates=H","DateFormat=P","Fill=—","Direction=H","UseDPDF=Y")</f>
        <v>#NAME?</v>
      </c>
      <c r="AI419" s="2" t="e">
        <f ca="1">_xll.BDH($C$403,"TOTAL_EQUITY_1_YEAR_GROWTH","FQ1 2017","FQ1 2017","Currency=INR","Period=FQ","BEST_FPERIOD_OVERRIDE=FQ","FILING_STATUS=OR","EQY_CONSOLIDATED=Y","Sort=A","Dates=H","DateFormat=P","Fill=—","Direction=H","UseDPDF=Y")</f>
        <v>#NAME?</v>
      </c>
      <c r="AJ419" s="2" t="e">
        <f ca="1">_xll.BDH($C$403,"GROWTH_IN_CAP","FQ1 2017","FQ1 2017","Currency=INR","Period=FQ","BEST_FPERIOD_OVERRIDE=FQ","FILING_STATUS=OR","EQY_CONSOLIDATED=Y","Sort=A","Dates=H","DateFormat=P","Fill=—","Direction=H","UseDPDF=Y")</f>
        <v>#NAME?</v>
      </c>
      <c r="AK419" s="2" t="e">
        <f ca="1">_xll.BDH($C$403,"BVPS_GROWTH","FQ1 2017","FQ1 2017","Currency=INR","Period=FQ","BEST_FPERIOD_OVERRIDE=FQ","FILING_STATUS=OR","EQY_CONSOLIDATED=Y","Sort=A","Dates=H","DateFormat=P","Fill=—","Direction=H","UseDPDF=Y")</f>
        <v>#NAME?</v>
      </c>
      <c r="AL419" s="2" t="e">
        <f ca="1">_xll.BDH($C$403,"CASH_FLOW_GROWTH","FQ1 2017","FQ1 2017","Currency=INR","Period=FQ","BEST_FPERIOD_OVERRIDE=FQ","FILING_STATUS=OR","EQY_CONSOLIDATED=Y","Sort=A","Dates=H","DateFormat=P","Fill=—","Direction=H","UseDPDF=Y")</f>
        <v>#NAME?</v>
      </c>
      <c r="AM419" s="2" t="e">
        <f ca="1">_xll.BDH($C$403,"GEO_GROW_NET_SALES","FQ1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19" s="2" t="e">
        <f ca="1">_xll.BDH($C$403,"GEO_GROW_EBITDA","FQ1 2017","FQ1 2017","Currency=INR","Period=FQ","BEST_FPERIOD_OVERRIDE=FQ","FILING_STATUS=OR","EQY_CONSOLIDATED=Y","FA_ADJUSTED=GAAP","Sort=A","Dates=H","DateFormat=P","Fill=—","Direction=H","UseDPDF=Y")</f>
        <v>#NAME?</v>
      </c>
      <c r="AO419" s="2" t="e">
        <f ca="1">_xll.BDH($C$403,"GEO_GROW_OPER_INC","FQ1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19" s="2" t="e">
        <f ca="1">_xll.BDH($C$403,"NET_INCOME_TO_COMMON_5_YR_GROWTH","FQ1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19" s="2" t="e">
        <f ca="1">_xll.BDH($C$403,"5Y_GEO_GROWTH_DILUTED_EPS","FQ1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19" s="2" t="e">
        <f ca="1">_xll.BDH($C$403,"GEO_GROW_DVD_PER_SH","FQ1 2017","FQ1 2017","Currency=INR","Period=FQ","BEST_FPERIOD_OVERRIDE=FQ","FILING_STATUS=OR","EQY_CONSOLIDATED=Y","Sort=A","Dates=H","DateFormat=P","Fill=—","Direction=H","UseDPDF=Y")</f>
        <v>#NAME?</v>
      </c>
      <c r="AS419" s="2" t="e">
        <f ca="1">_xll.BDH($C$403,"ACCOUNTS_RECEIVABLE_5_YR_GROWTH","FQ1 2017","FQ1 2017","Currency=INR","Period=FQ","BEST_FPERIOD_OVERRIDE=FQ","FILING_STATUS=OR","EQY_CONSOLIDATED=Y","Sort=A","Dates=H","DateFormat=P","Fill=—","Direction=H","UseDPDF=Y")</f>
        <v>#NAME?</v>
      </c>
      <c r="AT419" s="2" t="e">
        <f ca="1">_xll.BDH($C$403,"INVENTORY_5_YEAR_GROWTH","FQ1 2017","FQ1 2017","Currency=INR","Period=FQ","BEST_FPERIOD_OVERRIDE=FQ","FILING_STATUS=OR","EQY_CONSOLIDATED=Y","Sort=A","Dates=H","DateFormat=P","Fill=—","Direction=H","UseDPDF=Y")</f>
        <v>#NAME?</v>
      </c>
      <c r="AU419" s="2" t="e">
        <f ca="1">_xll.BDH($C$403,"NET_FIXED_ASSETS_5_YEAR_GROWTH","FQ1 2017","FQ1 2017","Currency=INR","Period=FQ","BEST_FPERIOD_OVERRIDE=FQ","FILING_STATUS=OR","EQY_CONSOLIDATED=Y","Sort=A","Dates=H","DateFormat=P","Fill=—","Direction=H","UseDPDF=Y")</f>
        <v>#NAME?</v>
      </c>
      <c r="AV419" s="2" t="e">
        <f ca="1">_xll.BDH($C$403,"GEO_GROW_TOT_ASSET","FQ1 2017","FQ1 2017","Currency=INR","Period=FQ","BEST_FPERIOD_OVERRIDE=FQ","FILING_STATUS=OR","EQY_CONSOLIDATED=Y","Sort=A","Dates=H","DateFormat=P","Fill=—","Direction=H","UseDPDF=Y")</f>
        <v>#NAME?</v>
      </c>
      <c r="AW419" s="2" t="e">
        <f ca="1">_xll.BDH($C$403,"MODIFIED_WORKING_CPTL_5YR_GRWTH","FQ1 2017","FQ1 2017","Currency=INR","Period=FQ","BEST_FPERIOD_OVERRIDE=FQ","FILING_STATUS=OR","EQY_CONSOLIDATED=Y","Sort=A","Dates=H","DateFormat=P","Fill=—","Direction=H","UseDPDF=Y")</f>
        <v>#NAME?</v>
      </c>
      <c r="AX419" s="2" t="e">
        <f ca="1">_xll.BDH($C$403,"WORKING_CAPITAL_5_YEAR_GROWTH","FQ1 2017","FQ1 2017","Currency=INR","Period=FQ","BEST_FPERIOD_OVERRIDE=FQ","FILING_STATUS=OR","EQY_CONSOLIDATED=Y","Sort=A","Dates=H","DateFormat=P","Fill=—","Direction=H","UseDPDF=Y")</f>
        <v>#NAME?</v>
      </c>
      <c r="AY419" s="2" t="e">
        <f ca="1">_xll.BDH($C$403,"ACCOUNTS_PAYABLE_5_YEAR_GROWTH","FQ1 2017","FQ1 2017","Currency=INR","Period=FQ","BEST_FPERIOD_OVERRIDE=FQ","FILING_STATUS=OR","EQY_CONSOLIDATED=Y","Sort=A","Dates=H","DateFormat=P","Fill=—","Direction=H","UseDPDF=Y")</f>
        <v>#NAME?</v>
      </c>
      <c r="AZ419" s="2" t="e">
        <f ca="1">_xll.BDH($C$403,"SHORT_TERM_DEBT_5_YEAR_GROWTH","FQ1 2017","FQ1 2017","Currency=INR","Period=FQ","BEST_FPERIOD_OVERRIDE=FQ","FILING_STATUS=OR","EQY_CONSOLIDATED=Y","Sort=A","Dates=H","DateFormat=P","Fill=—","Direction=H","UseDPDF=Y")</f>
        <v>#NAME?</v>
      </c>
      <c r="BA419" s="2" t="e">
        <f ca="1">_xll.BDH($C$403,"TOTAL_DEBT_5_YEAR_GROWTH","FQ1 2017","FQ1 2017","Currency=INR","Period=FQ","BEST_FPERIOD_OVERRIDE=FQ","FILING_STATUS=OR","EQY_CONSOLIDATED=Y","Sort=A","Dates=H","DateFormat=P","Fill=—","Direction=H","UseDPDF=Y")</f>
        <v>#NAME?</v>
      </c>
      <c r="BB419" s="2" t="e">
        <f ca="1">_xll.BDH($C$403,"GEO_GROW_TOT_SHRHLDR_EQY","FQ1 2017","FQ1 2017","Currency=INR","Period=FQ","BEST_FPERIOD_OVERRIDE=FQ","FILING_STATUS=OR","EQY_CONSOLIDATED=Y","Sort=A","Dates=H","DateFormat=P","Fill=—","Direction=H","UseDPDF=Y")</f>
        <v>#NAME?</v>
      </c>
      <c r="BC419" s="2" t="e">
        <f ca="1">_xll.BDH($C$403,"TOTAL_CAPITAL_5_YEAR_GROWTH","FQ1 2017","FQ1 2017","Currency=INR","Period=FQ","BEST_FPERIOD_OVERRIDE=FQ","FILING_STATUS=OR","EQY_CONSOLIDATED=Y","Sort=A","Dates=H","DateFormat=P","Fill=—","Direction=H","UseDPDF=Y")</f>
        <v>#NAME?</v>
      </c>
      <c r="BD419" s="2" t="e">
        <f ca="1">_xll.BDH($C$403,"GEO_GROW_BOOK_VAL","FQ1 2017","FQ1 2017","Currency=INR","Period=FQ","BEST_FPERIOD_OVERRIDE=FQ","FILING_STATUS=OR","EQY_CONSOLIDATED=Y","Sort=A","Dates=H","DateFormat=P","Fill=—","Direction=H","UseDPDF=Y")</f>
        <v>#NAME?</v>
      </c>
      <c r="BE419" s="2" t="e">
        <f ca="1">_xll.BDH($C$403,"GEO_GROW_CASH_OPER_ACT","FQ1 2017","FQ1 2017","Currency=INR","Period=FQ","BEST_FPERIOD_OVERRIDE=FQ","FILING_STATUS=OR","EQY_CONSOLIDATED=Y","Sort=A","Dates=H","DateFormat=P","Fill=—","Direction=H","UseDPDF=Y")</f>
        <v>#NAME?</v>
      </c>
      <c r="BF419" s="2" t="e">
        <f ca="1">_xll.BDH($C$403,"REVENUE_SEQUENTIAL_GROWTH","FQ1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19" s="2" t="e">
        <f ca="1">_xll.BDH($C$403,"EBITDA_SEQUENTIAL_GROWTH","FQ1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19" s="2" t="e">
        <f ca="1">_xll.BDH($C$403,"OPERATING_INCOME_SEQ_GROWTH","FQ1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19" s="2" t="e">
        <f ca="1">_xll.BDH($C$403,"NET_INCOME_TO_COMMON_SEQ_GROWTH","FQ1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19" s="2" t="e">
        <f ca="1">_xll.BDH($C$403,"EPS_DILUTED_SEQUENTIAL_GROWTH","FQ1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19" s="2" t="e">
        <f ca="1">_xll.BDH($C$403,"DPS_SEQUENTIAL_GROWTH","FQ1 2017","FQ1 2017","Currency=INR","Period=FQ","BEST_FPERIOD_OVERRIDE=FQ","FILING_STATUS=OR","EQY_CONSOLIDATED=Y","Sort=A","Dates=H","DateFormat=P","Fill=—","Direction=H","UseDPDF=Y")</f>
        <v>#NAME?</v>
      </c>
      <c r="BL419" s="2" t="e">
        <f ca="1">_xll.BDH($C$403,"ACCOUNTS_RECEIVABLE_SEQ_GROWTH","FQ1 2017","FQ1 2017","Currency=INR","Period=FQ","BEST_FPERIOD_OVERRIDE=FQ","FILING_STATUS=OR","EQY_CONSOLIDATED=Y","Sort=A","Dates=H","DateFormat=P","Fill=—","Direction=H","UseDPDF=Y")</f>
        <v>#NAME?</v>
      </c>
      <c r="BM419" s="2" t="e">
        <f ca="1">_xll.BDH($C$403,"INVENTORY_SEQUENTIAL_GROWTH","FQ1 2017","FQ1 2017","Currency=INR","Period=FQ","BEST_FPERIOD_OVERRIDE=FQ","FILING_STATUS=OR","EQY_CONSOLIDATED=Y","Sort=A","Dates=H","DateFormat=P","Fill=—","Direction=H","UseDPDF=Y")</f>
        <v>#NAME?</v>
      </c>
      <c r="BN419" s="2" t="e">
        <f ca="1">_xll.BDH($C$403,"FIXED_ASSETS_SEQUENTIAL_GROWTH","FQ1 2017","FQ1 2017","Currency=INR","Period=FQ","BEST_FPERIOD_OVERRIDE=FQ","FILING_STATUS=OR","EQY_CONSOLIDATED=Y","Sort=A","Dates=H","DateFormat=P","Fill=—","Direction=H","UseDPDF=Y")</f>
        <v>#NAME?</v>
      </c>
      <c r="BO419" s="2" t="e">
        <f ca="1">_xll.BDH($C$403,"TOTAL_ASSETS_SEQUENTIAL_GROWTH","FQ1 2017","FQ1 2017","Currency=INR","Period=FQ","BEST_FPERIOD_OVERRIDE=FQ","FILING_STATUS=OR","EQY_CONSOLIDATED=Y","Sort=A","Dates=H","DateFormat=P","Fill=—","Direction=H","UseDPDF=Y")</f>
        <v>#NAME?</v>
      </c>
      <c r="BP419" s="2" t="e">
        <f ca="1">_xll.BDH($C$403,"MODIFIED_WORKING_CPTL_SEQ_GRWTH","FQ1 2017","FQ1 2017","Currency=INR","Period=FQ","BEST_FPERIOD_OVERRIDE=FQ","FILING_STATUS=OR","EQY_CONSOLIDATED=Y","Sort=A","Dates=H","DateFormat=P","Fill=—","Direction=H","UseDPDF=Y")</f>
        <v>#NAME?</v>
      </c>
      <c r="BQ419" s="2" t="e">
        <f ca="1">_xll.BDH($C$403,"WORKING_CAPITAL_SEQ_GROWTH","FQ1 2017","FQ1 2017","Currency=INR","Period=FQ","BEST_FPERIOD_OVERRIDE=FQ","FILING_STATUS=OR","EQY_CONSOLIDATED=Y","Sort=A","Dates=H","DateFormat=P","Fill=—","Direction=H","UseDPDF=Y")</f>
        <v>#NAME?</v>
      </c>
      <c r="BR419" s="2" t="e">
        <f ca="1">_xll.BDH($C$403,"ACCOUNTS_PAYABLE_SEQ_GROWTH","FQ1 2017","FQ1 2017","Currency=INR","Period=FQ","BEST_FPERIOD_OVERRIDE=FQ","FILING_STATUS=OR","EQY_CONSOLIDATED=Y","Sort=A","Dates=H","DateFormat=P","Fill=—","Direction=H","UseDPDF=Y")</f>
        <v>#NAME?</v>
      </c>
      <c r="BS419" s="2" t="e">
        <f ca="1">_xll.BDH($C$403,"ST_DEBT_SEQUENTIAL_GROWTH","FQ1 2017","FQ1 2017","Currency=INR","Period=FQ","BEST_FPERIOD_OVERRIDE=FQ","FILING_STATUS=OR","EQY_CONSOLIDATED=Y","Sort=A","Dates=H","DateFormat=P","Fill=—","Direction=H","UseDPDF=Y")</f>
        <v>#NAME?</v>
      </c>
      <c r="BT419" s="2" t="e">
        <f ca="1">_xll.BDH($C$403,"TOTAL_DEBT_SEQUENTIAL_GROWTH","FQ1 2017","FQ1 2017","Currency=INR","Period=FQ","BEST_FPERIOD_OVERRIDE=FQ","FILING_STATUS=OR","EQY_CONSOLIDATED=Y","Sort=A","Dates=H","DateFormat=P","Fill=—","Direction=H","UseDPDF=Y")</f>
        <v>#NAME?</v>
      </c>
      <c r="BU419" s="2" t="e">
        <f ca="1">_xll.BDH($C$403,"TOTAL_EQUITY_SEQUENTIAL_GROWTH","FQ1 2017","FQ1 2017","Currency=INR","Period=FQ","BEST_FPERIOD_OVERRIDE=FQ","FILING_STATUS=OR","EQY_CONSOLIDATED=Y","Sort=A","Dates=H","DateFormat=P","Fill=—","Direction=H","UseDPDF=Y")</f>
        <v>#NAME?</v>
      </c>
      <c r="BV419" s="2" t="e">
        <f ca="1">_xll.BDH($C$403,"TOTAL_CAPITAL_SEQUENTIAL_GROWTH","FQ1 2017","FQ1 2017","Currency=INR","Period=FQ","BEST_FPERIOD_OVERRIDE=FQ","FILING_STATUS=OR","EQY_CONSOLIDATED=Y","Sort=A","Dates=H","DateFormat=P","Fill=—","Direction=H","UseDPDF=Y")</f>
        <v>#NAME?</v>
      </c>
      <c r="BW419" s="2" t="e">
        <f ca="1">_xll.BDH($C$403,"BPS_SEQUENTIAL_GROWTH","FQ1 2017","FQ1 2017","Currency=INR","Period=FQ","BEST_FPERIOD_OVERRIDE=FQ","FILING_STATUS=OR","EQY_CONSOLIDATED=Y","Sort=A","Dates=H","DateFormat=P","Fill=—","Direction=H","UseDPDF=Y")</f>
        <v>#NAME?</v>
      </c>
      <c r="BX419" s="2" t="e">
        <f ca="1">_xll.BDH($C$403,"CFO_SEQUENTIAL_GROWTH","FQ1 2017","FQ1 2017","Currency=INR","Period=FQ","BEST_FPERIOD_OVERRIDE=FQ","FILING_STATUS=OR","EQY_CONSOLIDATED=Y","Sort=A","Dates=H","DateFormat=P","Fill=—","Direction=H","UseDPDF=Y")</f>
        <v>#NAME?</v>
      </c>
      <c r="BY419" s="3" t="e">
        <f ca="1">_xll.BDH($C$403,"SHORT_AND_LONG_TERM_DEBT","FQ1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19" s="3" t="e">
        <f ca="1">_xll.BDH($C$403,"BS_ST_BORROW","FQ1 2017","FQ1 2017","Currency=INR","Period=FQ","BEST_FPERIOD_OVERRIDE=FQ","FILING_STATUS=OR","EQY_CONSOLIDATED=Y","SCALING_FORMAT=MLN","Sort=A","Dates=H","DateFormat=P","Fill=—","Direction=H","UseDPDF=Y")</f>
        <v>#NAME?</v>
      </c>
      <c r="CA419" s="3" t="e">
        <f ca="1">_xll.BDH($C$403,"BS_LT_BORROW","FQ1 2017","FQ1 2017","Currency=INR","Period=FQ","BEST_FPERIOD_OVERRIDE=FQ","FILING_STATUS=OR","EQY_CONSOLIDATED=Y","SCALING_FORMAT=MLN","Sort=A","Dates=H","DateFormat=P","Fill=—","Direction=H","UseDPDF=Y")</f>
        <v>#NAME?</v>
      </c>
      <c r="CB419" s="2" t="e">
        <f ca="1">_xll.BDH($C$403,"TOT_DEBT_TO_EBITDA","FQ1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19" s="2" t="e">
        <f ca="1">_xll.BDH($C$403,"NET_DEBT_TO_EBITDA","FQ1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19" s="2" t="e">
        <f ca="1">_xll.BDH($C$403,"TOTAL_DEBT_TO_EBIT","FQ1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19" s="2" t="e">
        <f ca="1">_xll.BDH($C$403,"NET_DEBT_TO_EBIT","FQ1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19" s="2" t="e">
        <f ca="1">_xll.BDH($C$403,"EBITDA_TO_INTEREST_EXPN","FQ1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19" s="2" t="e">
        <f ca="1">_xll.BDH($C$403,"COM_EQY_TO_TOT_ASSET","FQ1 2017","FQ1 2017","Currency=INR","Period=FQ","BEST_FPERIOD_OVERRIDE=FQ","FILING_STATUS=OR","EQY_CONSOLIDATED=Y","Sort=A","Dates=H","DateFormat=P","Fill=—","Direction=H","UseDPDF=Y")</f>
        <v>#NAME?</v>
      </c>
      <c r="CH419" s="2" t="e">
        <f ca="1">_xll.BDH($C$403,"LT_DEBT_TO_TOT_EQY","FQ1 2017","FQ1 2017","Currency=INR","Period=FQ","BEST_FPERIOD_OVERRIDE=FQ","FILING_STATUS=OR","EQY_CONSOLIDATED=Y","Sort=A","Dates=H","DateFormat=P","Fill=—","Direction=H","UseDPDF=Y")</f>
        <v>#NAME?</v>
      </c>
      <c r="CI419" s="2" t="e">
        <f ca="1">_xll.BDH($C$403,"LT_DEBT_TO_TOT_CAP","FQ1 2017","FQ1 2017","Currency=INR","Period=FQ","BEST_FPERIOD_OVERRIDE=FQ","FILING_STATUS=OR","EQY_CONSOLIDATED=Y","Sort=A","Dates=H","DateFormat=P","Fill=—","Direction=H","UseDPDF=Y")</f>
        <v>#NAME?</v>
      </c>
      <c r="CJ419" s="2" t="e">
        <f ca="1">_xll.BDH($C$403,"LT_DEBT_TO_TOT_ASSET","FQ1 2017","FQ1 2017","Currency=INR","Period=FQ","BEST_FPERIOD_OVERRIDE=FQ","FILING_STATUS=OR","EQY_CONSOLIDATED=Y","Sort=A","Dates=H","DateFormat=P","Fill=—","Direction=H","UseDPDF=Y")</f>
        <v>#NAME?</v>
      </c>
      <c r="CK419" s="2" t="e">
        <f ca="1">_xll.BDH($C$403,"TOT_DEBT_TO_TOT_EQY","FQ1 2017","FQ1 2017","Currency=INR","Period=FQ","BEST_FPERIOD_OVERRIDE=FQ","FILING_STATUS=OR","EQY_CONSOLIDATED=Y","Sort=A","Dates=H","DateFormat=P","Fill=—","Direction=H","UseDPDF=Y")</f>
        <v>#NAME?</v>
      </c>
      <c r="CL419" s="2" t="e">
        <f ca="1">_xll.BDH($C$403,"TOT_DEBT_TO_TOT_CAP","FQ1 2017","FQ1 2017","Currency=INR","Period=FQ","BEST_FPERIOD_OVERRIDE=FQ","FILING_STATUS=OR","EQY_CONSOLIDATED=Y","Sort=A","Dates=H","DateFormat=P","Fill=—","Direction=H","UseDPDF=Y")</f>
        <v>#NAME?</v>
      </c>
      <c r="CM419" s="2" t="e">
        <f ca="1">_xll.BDH($C$403,"TOT_DEBT_TO_TOT_ASSET","FQ1 2017","FQ1 2017","Currency=INR","Period=FQ","BEST_FPERIOD_OVERRIDE=FQ","FILING_STATUS=OR","EQY_CONSOLIDATED=Y","Sort=A","Dates=H","DateFormat=P","Fill=—","Direction=H","UseDPDF=Y")</f>
        <v>#NAME?</v>
      </c>
      <c r="CN419" s="2" t="e">
        <f ca="1">_xll.BDH($C$403,"NET_DEBT_TO_SHRHLDR_EQTY","FQ1 2017","FQ1 2017","Currency=INR","Period=FQ","BEST_FPERIOD_OVERRIDE=FQ","FILING_STATUS=OR","EQY_CONSOLIDATED=Y","Sort=A","Dates=H","DateFormat=P","Fill=—","Direction=H","UseDPDF=Y")</f>
        <v>#NAME?</v>
      </c>
      <c r="CO419" s="2" t="e">
        <f ca="1">_xll.BDH($C$403,"NET_DEBT_%_CAPITAL","FQ1 2017","FQ1 2017","Currency=INR","Period=FQ","BEST_FPERIOD_OVERRIDE=FQ","FILING_STATUS=OR","EQY_CONSOLIDATED=Y","Sort=A","Dates=H","DateFormat=P","Fill=—","Direction=H","UseDPDF=Y")</f>
        <v>#NAME?</v>
      </c>
      <c r="CP419" s="3" t="e">
        <f ca="1">_xll.BDH($C$403,"EBITDA","FQ1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19" s="3" t="e">
        <f ca="1">_xll.BDH($C$403,"EBITDA_AFTER_CAPEX","FQ1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19" s="3" t="e">
        <f ca="1">_xll.BDH($C$403,"IS_OPER_INC","FQ1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19" s="2" t="e">
        <f ca="1">_xll.BDH($C$403,"CASH_RATIO","FQ1 2017","FQ1 2017","Currency=INR","Period=FQ","BEST_FPERIOD_OVERRIDE=FQ","FILING_STATUS=OR","EQY_CONSOLIDATED=Y","Sort=A","Dates=H","DateFormat=P","Fill=—","Direction=H","UseDPDF=Y")</f>
        <v>#NAME?</v>
      </c>
      <c r="CT419" s="2" t="e">
        <f ca="1">_xll.BDH($C$403,"CUR_RATIO","FQ1 2017","FQ1 2017","Currency=INR","Period=FQ","BEST_FPERIOD_OVERRIDE=FQ","FILING_STATUS=OR","EQY_CONSOLIDATED=Y","Sort=A","Dates=H","DateFormat=P","Fill=—","Direction=H","UseDPDF=Y")</f>
        <v>#NAME?</v>
      </c>
      <c r="CU419" s="2" t="e">
        <f ca="1">_xll.BDH($C$403,"QUICK_RATIO","FQ1 2017","FQ1 2017","Currency=INR","Period=FQ","BEST_FPERIOD_OVERRIDE=FQ","FILING_STATUS=OR","EQY_CONSOLIDATED=Y","Sort=A","Dates=H","DateFormat=P","Fill=—","Direction=H","UseDPDF=Y")</f>
        <v>#NAME?</v>
      </c>
      <c r="CV419" s="2" t="e">
        <f ca="1">_xll.BDH($C$403,"ALTMAN_Z_SCORE","FQ1 2017","FQ1 2017","Currency=INR","Period=FQ","BEST_FPERIOD_OVERRIDE=FQ","FILING_STATUS=OR","EQY_CONSOLIDATED=Y","Sort=A","Dates=H","DateFormat=P","Fill=—","Direction=H","UseDPDF=Y")</f>
        <v>#NAME?</v>
      </c>
      <c r="CW419" s="4" t="e">
        <f ca="1">_xll.BDH($C$403,"ACCT_RCV_TURN","FQ1 2017","FQ1 2017","Currency=INR","Period=FQ","BEST_FPERIOD_OVERRIDE=FQ","FILING_STATUS=OR","EQY_CONSOLIDATED=Y","FA_ADJUSTED=GAAP","Sort=A","Dates=H","DateFormat=P","Fill=—","Direction=H","UseDPDF=Y")</f>
        <v>#NAME?</v>
      </c>
      <c r="CX419" s="2" t="e">
        <f ca="1">_xll.BDH($C$403,"ACCT_RCV_DAYS","FQ1 2017","FQ1 2017","Currency=INR","Period=FQ","BEST_FPERIOD_OVERRIDE=FQ","FILING_STATUS=OR","EQY_CONSOLIDATED=Y","FA_ADJUSTED=GAAP","Sort=A","Dates=H","DateFormat=P","Fill=—","Direction=H","UseDPDF=Y")</f>
        <v>#NAME?</v>
      </c>
      <c r="CY419" s="4" t="e">
        <f ca="1">_xll.BDH($C$403,"INVENT_TURN","FQ1 2017","FQ1 2017","Currency=INR","Period=FQ","BEST_FPERIOD_OVERRIDE=FQ","FILING_STATUS=OR","EQY_CONSOLIDATED=Y","FA_ADJUSTED=GAAP","Sort=A","Dates=H","DateFormat=P","Fill=—","Direction=H","UseDPDF=Y")</f>
        <v>#NAME?</v>
      </c>
      <c r="CZ419" s="2" t="e">
        <f ca="1">_xll.BDH($C$403,"INVENT_DAYS","FQ1 2017","FQ1 2017","Currency=INR","Period=FQ","BEST_FPERIOD_OVERRIDE=FQ","FILING_STATUS=OR","EQY_CONSOLIDATED=Y","FA_ADJUSTED=GAAP","Sort=A","Dates=H","DateFormat=P","Fill=—","Direction=H","UseDPDF=Y")</f>
        <v>#NAME?</v>
      </c>
      <c r="DA419" s="4" t="e">
        <f ca="1">_xll.BDH($C$403,"ACCOUNTS_PAYABLE_TURNOVER","FQ1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19" s="2" t="e">
        <f ca="1">_xll.BDH($C$403,"ACCOUNTS_PAYABLE_TURNOVER_DAYS","FQ1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19" s="4" t="e">
        <f ca="1">_xll.BDH($C$403,"CASH_CONVERSION_CYCLE","FQ1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19" s="4" t="e">
        <f ca="1">_xll.BDH($C$403,"INV_TO_CASH_DAYS","FQ1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19" s="5" t="e">
        <f ca="1">_xll.BDH($C$403,"BS_INVENTORIES","FQ1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19" s="3" t="e">
        <f ca="1">_xll.BDH($C$403,"INVTRY_RAW_MATERIALS","FQ1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19" s="3" t="e">
        <f ca="1">_xll.BDH($C$403,"INVTRY_IN_PROGRESS","FQ1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19" s="3" t="e">
        <f ca="1">_xll.BDH($C$403,"INVTRY_FINISHED_GOODS","FQ1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19" s="3" t="e">
        <f ca="1">_xll.BDH($C$403,"BS_OTHER_INV","FQ1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20" spans="1:113" x14ac:dyDescent="0.3">
      <c r="A420" s="6"/>
      <c r="B420" s="6"/>
      <c r="C420" s="6"/>
      <c r="D420" s="6"/>
      <c r="E420" t="s">
        <v>79</v>
      </c>
      <c r="F420" t="e">
        <f ca="1">_xll.BDH($C$403,"RETURN_COM_EQY","FQ2 2017","FQ2 2017","Currency=INR","Period=FQ","BEST_FPERIOD_OVERRIDE=FQ","FILING_STATUS=OR","EQY_CONSOLIDATED=Y","FA_ADJUSTED=GAAP","Sort=A","Dates=H","DateFormat=P","Fill=—","Direction=H","UseDPDF=Y")</f>
        <v>#NAME?</v>
      </c>
      <c r="G420" t="e">
        <f ca="1">_xll.BDH($C$403,"RETURN_ON_ASSET","FQ2 2017","FQ2 2017","Currency=INR","Period=FQ","BEST_FPERIOD_OVERRIDE=FQ","FILING_STATUS=OR","EQY_CONSOLIDATED=Y","FA_ADJUSTED=GAAP","Sort=A","Dates=H","DateFormat=P","Fill=—","Direction=H","UseDPDF=Y")</f>
        <v>#NAME?</v>
      </c>
      <c r="H420" t="e">
        <f ca="1">_xll.BDH($C$403,"RETURN_ON_CAP","FQ2 2017","FQ2 2017","Currency=INR","Period=FQ","BEST_FPERIOD_OVERRIDE=FQ","FILING_STATUS=OR","EQY_CONSOLIDATED=Y","FA_ADJUSTED=GAAP","Sort=A","Dates=H","DateFormat=P","Fill=—","Direction=H","UseDPDF=Y")</f>
        <v>#NAME?</v>
      </c>
      <c r="I420" t="e">
        <f ca="1">_xll.BDH($C$403,"RETURN_ON_INV_CAPITAL","FQ2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20" t="e">
        <f ca="1">_xll.BDH($C$403,"EBITDA_TO_REVENUE","FQ2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20" t="e">
        <f ca="1">_xll.BDH($C$403,"OPER_MARGIN","FQ2 2017","FQ2 2017","Currency=INR","Period=FQ","BEST_FPERIOD_OVERRIDE=FQ","FILING_STATUS=OR","EQY_CONSOLIDATED=Y","FA_ADJUSTED=GAAP","Sort=A","Dates=H","DateFormat=P","Fill=—","Direction=H","UseDPDF=Y")</f>
        <v>#NAME?</v>
      </c>
      <c r="L420" t="e">
        <f ca="1">_xll.BDH($C$403,"INCREMENTAL_OPERATING_MARGIN","FQ2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20" t="e">
        <f ca="1">_xll.BDH($C$403,"PRETAX_INC_TO_NET_SALES","FQ2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20" t="e">
        <f ca="1">_xll.BDH($C$403,"INC_BEF_XO_ITEMS_TO_NET_SALES","FQ2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20" t="e">
        <f ca="1">_xll.BDH($C$403,"PROF_MARGIN","FQ2 2017","FQ2 2017","Currency=INR","Period=FQ","BEST_FPERIOD_OVERRIDE=FQ","FILING_STATUS=OR","EQY_CONSOLIDATED=Y","FA_ADJUSTED=GAAP","Sort=A","Dates=H","DateFormat=P","Fill=—","Direction=H","UseDPDF=Y")</f>
        <v>#NAME?</v>
      </c>
      <c r="P420" t="e">
        <f ca="1">_xll.BDH($C$403,"NET_INCOME_TO_COMMON_MARGIN","FQ2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20" t="e">
        <f ca="1">_xll.BDH($C$403,"EFF_TAX_RATE","FQ2 2017","FQ2 2017","Currency=INR","Period=FQ","BEST_FPERIOD_OVERRIDE=FQ","FILING_STATUS=OR","EQY_CONSOLIDATED=Y","FA_ADJUSTED=GAAP","Sort=A","Dates=H","DateFormat=P","Fill=—","Direction=H","UseDPDF=Y")</f>
        <v>#NAME?</v>
      </c>
      <c r="R420" t="e">
        <f ca="1">_xll.BDH($C$403,"DVD_PAYOUT_RATIO","FQ2 2017","FQ2 2017","Currency=INR","Period=FQ","BEST_FPERIOD_OVERRIDE=FQ","FILING_STATUS=OR","EQY_CONSOLIDATED=Y","FA_ADJUSTED=GAAP","Sort=A","Dates=H","DateFormat=P","Fill=—","Direction=H","UseDPDF=Y")</f>
        <v>#NAME?</v>
      </c>
      <c r="S420" t="e">
        <f ca="1">_xll.BDH($C$403,"SUSTAIN_GROWTH_RT","FQ2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20" s="2" t="e">
        <f ca="1">_xll.BDH($C$403,"SALES_GROWTH","FQ2 2017","FQ2 2017","Currency=INR","Period=FQ","BEST_FPERIOD_OVERRIDE=FQ","FILING_STATUS=OR","EQY_CONSOLIDATED=Y","FA_ADJUSTED=GAAP","Sort=A","Dates=H","DateFormat=P","Fill=—","Direction=H","UseDPDF=Y")</f>
        <v>#NAME?</v>
      </c>
      <c r="U420" s="2" t="e">
        <f ca="1">_xll.BDH($C$403,"EBITDA_GROWTH","FQ2 2017","FQ2 2017","Currency=INR","Period=FQ","BEST_FPERIOD_OVERRIDE=FQ","FILING_STATUS=OR","EQY_CONSOLIDATED=Y","FA_ADJUSTED=GAAP","Sort=A","Dates=H","DateFormat=P","Fill=—","Direction=H","UseDPDF=Y")</f>
        <v>#NAME?</v>
      </c>
      <c r="V420" s="2" t="e">
        <f ca="1">_xll.BDH($C$403,"OPER_INC_GROWTH","FQ2 2017","FQ2 2017","Currency=INR","Period=FQ","BEST_FPERIOD_OVERRIDE=FQ","FILING_STATUS=OR","EQY_CONSOLIDATED=Y","FA_ADJUSTED=GAAP","Sort=A","Dates=H","DateFormat=P","Fill=—","Direction=H","UseDPDF=Y")</f>
        <v>#NAME?</v>
      </c>
      <c r="W420" s="2" t="e">
        <f ca="1">_xll.BDH($C$403,"EARN_FOR_COM_GROWTH","FQ2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20" s="2" t="e">
        <f ca="1">_xll.BDH($C$403,"DILUTED_EPS_AFT_XO_ITEMS_GROWTH","FQ2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20" s="2" t="e">
        <f ca="1">_xll.BDH($C$403,"DIVIDEND_PER_SHARE_1_YEAR_GROWTH","FQ2 2017","FQ2 2017","Currency=INR","Period=FQ","BEST_FPERIOD_OVERRIDE=FQ","FILING_STATUS=OR","EQY_CONSOLIDATED=Y","Sort=A","Dates=H","DateFormat=P","Fill=—","Direction=H","UseDPDF=Y")</f>
        <v>#NAME?</v>
      </c>
      <c r="Z420" s="2" t="e">
        <f ca="1">_xll.BDH($C$403,"ACCOUNTS_RECEIVABLE_GROWTH","FQ2 2017","FQ2 2017","Currency=INR","Period=FQ","BEST_FPERIOD_OVERRIDE=FQ","FILING_STATUS=OR","EQY_CONSOLIDATED=Y","Sort=A","Dates=H","DateFormat=P","Fill=—","Direction=H","UseDPDF=Y")</f>
        <v>#NAME?</v>
      </c>
      <c r="AA420" s="2" t="e">
        <f ca="1">_xll.BDH($C$403,"INVENTORY_GROWTH","FQ2 2017","FQ2 2017","Currency=INR","Period=FQ","BEST_FPERIOD_OVERRIDE=FQ","FILING_STATUS=OR","EQY_CONSOLIDATED=Y","Sort=A","Dates=H","DateFormat=P","Fill=—","Direction=H","UseDPDF=Y")</f>
        <v>#NAME?</v>
      </c>
      <c r="AB420" s="2" t="e">
        <f ca="1">_xll.BDH($C$403,"NET_FIXED_ASSETS_1_YEAR_GROWTH","FQ2 2017","FQ2 2017","Currency=INR","Period=FQ","BEST_FPERIOD_OVERRIDE=FQ","FILING_STATUS=OR","EQY_CONSOLIDATED=Y","Sort=A","Dates=H","DateFormat=P","Fill=—","Direction=H","UseDPDF=Y")</f>
        <v>#NAME?</v>
      </c>
      <c r="AC420" s="2" t="e">
        <f ca="1">_xll.BDH($C$403,"ASSET_GROWTH","FQ2 2017","FQ2 2017","Currency=INR","Period=FQ","BEST_FPERIOD_OVERRIDE=FQ","FILING_STATUS=OR","EQY_CONSOLIDATED=Y","Sort=A","Dates=H","DateFormat=P","Fill=—","Direction=H","UseDPDF=Y")</f>
        <v>#NAME?</v>
      </c>
      <c r="AD420" s="2" t="e">
        <f ca="1">_xll.BDH($C$403,"MODIFIED_WORK_CAP_GROWTH","FQ2 2017","FQ2 2017","Currency=INR","Period=FQ","BEST_FPERIOD_OVERRIDE=FQ","FILING_STATUS=OR","EQY_CONSOLIDATED=Y","Sort=A","Dates=H","DateFormat=P","Fill=—","Direction=H","UseDPDF=Y")</f>
        <v>#NAME?</v>
      </c>
      <c r="AE420" s="2" t="e">
        <f ca="1">_xll.BDH($C$403,"WORK_CAP_GROWTH","FQ2 2017","FQ2 2017","Currency=INR","Period=FQ","BEST_FPERIOD_OVERRIDE=FQ","FILING_STATUS=OR","EQY_CONSOLIDATED=Y","Sort=A","Dates=H","DateFormat=P","Fill=—","Direction=H","UseDPDF=Y")</f>
        <v>#NAME?</v>
      </c>
      <c r="AF420" s="2" t="e">
        <f ca="1">_xll.BDH($C$403,"ACCOUNTS_PAYABLE_GROWTH_1YR","FQ2 2017","FQ2 2017","Currency=INR","Period=FQ","BEST_FPERIOD_OVERRIDE=FQ","FILING_STATUS=OR","EQY_CONSOLIDATED=Y","Sort=A","Dates=H","DateFormat=P","Fill=—","Direction=H","UseDPDF=Y")</f>
        <v>#NAME?</v>
      </c>
      <c r="AG420" s="2" t="e">
        <f ca="1">_xll.BDH($C$403,"SHORT_TERM_DEBT_1_YEAR_GROWTH","FQ2 2017","FQ2 2017","Currency=INR","Period=FQ","BEST_FPERIOD_OVERRIDE=FQ","FILING_STATUS=OR","EQY_CONSOLIDATED=Y","Sort=A","Dates=H","DateFormat=P","Fill=—","Direction=H","UseDPDF=Y")</f>
        <v>#NAME?</v>
      </c>
      <c r="AH420" s="2" t="e">
        <f ca="1">_xll.BDH($C$403,"TOTAL_DEBT_1_YEAR_GROWTH","FQ2 2017","FQ2 2017","Currency=INR","Period=FQ","BEST_FPERIOD_OVERRIDE=FQ","FILING_STATUS=OR","EQY_CONSOLIDATED=Y","Sort=A","Dates=H","DateFormat=P","Fill=—","Direction=H","UseDPDF=Y")</f>
        <v>#NAME?</v>
      </c>
      <c r="AI420" s="2" t="e">
        <f ca="1">_xll.BDH($C$403,"TOTAL_EQUITY_1_YEAR_GROWTH","FQ2 2017","FQ2 2017","Currency=INR","Period=FQ","BEST_FPERIOD_OVERRIDE=FQ","FILING_STATUS=OR","EQY_CONSOLIDATED=Y","Sort=A","Dates=H","DateFormat=P","Fill=—","Direction=H","UseDPDF=Y")</f>
        <v>#NAME?</v>
      </c>
      <c r="AJ420" s="2" t="e">
        <f ca="1">_xll.BDH($C$403,"GROWTH_IN_CAP","FQ2 2017","FQ2 2017","Currency=INR","Period=FQ","BEST_FPERIOD_OVERRIDE=FQ","FILING_STATUS=OR","EQY_CONSOLIDATED=Y","Sort=A","Dates=H","DateFormat=P","Fill=—","Direction=H","UseDPDF=Y")</f>
        <v>#NAME?</v>
      </c>
      <c r="AK420" s="2" t="e">
        <f ca="1">_xll.BDH($C$403,"BVPS_GROWTH","FQ2 2017","FQ2 2017","Currency=INR","Period=FQ","BEST_FPERIOD_OVERRIDE=FQ","FILING_STATUS=OR","EQY_CONSOLIDATED=Y","Sort=A","Dates=H","DateFormat=P","Fill=—","Direction=H","UseDPDF=Y")</f>
        <v>#NAME?</v>
      </c>
      <c r="AL420" s="2" t="e">
        <f ca="1">_xll.BDH($C$403,"CASH_FLOW_GROWTH","FQ2 2017","FQ2 2017","Currency=INR","Period=FQ","BEST_FPERIOD_OVERRIDE=FQ","FILING_STATUS=OR","EQY_CONSOLIDATED=Y","Sort=A","Dates=H","DateFormat=P","Fill=—","Direction=H","UseDPDF=Y")</f>
        <v>#NAME?</v>
      </c>
      <c r="AM420" s="2" t="e">
        <f ca="1">_xll.BDH($C$403,"GEO_GROW_NET_SALES","FQ2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20" s="2" t="e">
        <f ca="1">_xll.BDH($C$403,"GEO_GROW_EBITDA","FQ2 2017","FQ2 2017","Currency=INR","Period=FQ","BEST_FPERIOD_OVERRIDE=FQ","FILING_STATUS=OR","EQY_CONSOLIDATED=Y","FA_ADJUSTED=GAAP","Sort=A","Dates=H","DateFormat=P","Fill=—","Direction=H","UseDPDF=Y")</f>
        <v>#NAME?</v>
      </c>
      <c r="AO420" s="2" t="e">
        <f ca="1">_xll.BDH($C$403,"GEO_GROW_OPER_INC","FQ2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20" s="2" t="e">
        <f ca="1">_xll.BDH($C$403,"NET_INCOME_TO_COMMON_5_YR_GROWTH","FQ2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20" s="2" t="e">
        <f ca="1">_xll.BDH($C$403,"5Y_GEO_GROWTH_DILUTED_EPS","FQ2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20" s="2" t="e">
        <f ca="1">_xll.BDH($C$403,"GEO_GROW_DVD_PER_SH","FQ2 2017","FQ2 2017","Currency=INR","Period=FQ","BEST_FPERIOD_OVERRIDE=FQ","FILING_STATUS=OR","EQY_CONSOLIDATED=Y","Sort=A","Dates=H","DateFormat=P","Fill=—","Direction=H","UseDPDF=Y")</f>
        <v>#NAME?</v>
      </c>
      <c r="AS420" s="2" t="e">
        <f ca="1">_xll.BDH($C$403,"ACCOUNTS_RECEIVABLE_5_YR_GROWTH","FQ2 2017","FQ2 2017","Currency=INR","Period=FQ","BEST_FPERIOD_OVERRIDE=FQ","FILING_STATUS=OR","EQY_CONSOLIDATED=Y","Sort=A","Dates=H","DateFormat=P","Fill=—","Direction=H","UseDPDF=Y")</f>
        <v>#NAME?</v>
      </c>
      <c r="AT420" s="2" t="e">
        <f ca="1">_xll.BDH($C$403,"INVENTORY_5_YEAR_GROWTH","FQ2 2017","FQ2 2017","Currency=INR","Period=FQ","BEST_FPERIOD_OVERRIDE=FQ","FILING_STATUS=OR","EQY_CONSOLIDATED=Y","Sort=A","Dates=H","DateFormat=P","Fill=—","Direction=H","UseDPDF=Y")</f>
        <v>#NAME?</v>
      </c>
      <c r="AU420" s="2" t="e">
        <f ca="1">_xll.BDH($C$403,"NET_FIXED_ASSETS_5_YEAR_GROWTH","FQ2 2017","FQ2 2017","Currency=INR","Period=FQ","BEST_FPERIOD_OVERRIDE=FQ","FILING_STATUS=OR","EQY_CONSOLIDATED=Y","Sort=A","Dates=H","DateFormat=P","Fill=—","Direction=H","UseDPDF=Y")</f>
        <v>#NAME?</v>
      </c>
      <c r="AV420" s="2" t="e">
        <f ca="1">_xll.BDH($C$403,"GEO_GROW_TOT_ASSET","FQ2 2017","FQ2 2017","Currency=INR","Period=FQ","BEST_FPERIOD_OVERRIDE=FQ","FILING_STATUS=OR","EQY_CONSOLIDATED=Y","Sort=A","Dates=H","DateFormat=P","Fill=—","Direction=H","UseDPDF=Y")</f>
        <v>#NAME?</v>
      </c>
      <c r="AW420" s="2" t="e">
        <f ca="1">_xll.BDH($C$403,"MODIFIED_WORKING_CPTL_5YR_GRWTH","FQ2 2017","FQ2 2017","Currency=INR","Period=FQ","BEST_FPERIOD_OVERRIDE=FQ","FILING_STATUS=OR","EQY_CONSOLIDATED=Y","Sort=A","Dates=H","DateFormat=P","Fill=—","Direction=H","UseDPDF=Y")</f>
        <v>#NAME?</v>
      </c>
      <c r="AX420" s="2" t="e">
        <f ca="1">_xll.BDH($C$403,"WORKING_CAPITAL_5_YEAR_GROWTH","FQ2 2017","FQ2 2017","Currency=INR","Period=FQ","BEST_FPERIOD_OVERRIDE=FQ","FILING_STATUS=OR","EQY_CONSOLIDATED=Y","Sort=A","Dates=H","DateFormat=P","Fill=—","Direction=H","UseDPDF=Y")</f>
        <v>#NAME?</v>
      </c>
      <c r="AY420" s="2" t="e">
        <f ca="1">_xll.BDH($C$403,"ACCOUNTS_PAYABLE_5_YEAR_GROWTH","FQ2 2017","FQ2 2017","Currency=INR","Period=FQ","BEST_FPERIOD_OVERRIDE=FQ","FILING_STATUS=OR","EQY_CONSOLIDATED=Y","Sort=A","Dates=H","DateFormat=P","Fill=—","Direction=H","UseDPDF=Y")</f>
        <v>#NAME?</v>
      </c>
      <c r="AZ420" s="2" t="e">
        <f ca="1">_xll.BDH($C$403,"SHORT_TERM_DEBT_5_YEAR_GROWTH","FQ2 2017","FQ2 2017","Currency=INR","Period=FQ","BEST_FPERIOD_OVERRIDE=FQ","FILING_STATUS=OR","EQY_CONSOLIDATED=Y","Sort=A","Dates=H","DateFormat=P","Fill=—","Direction=H","UseDPDF=Y")</f>
        <v>#NAME?</v>
      </c>
      <c r="BA420" s="2" t="e">
        <f ca="1">_xll.BDH($C$403,"TOTAL_DEBT_5_YEAR_GROWTH","FQ2 2017","FQ2 2017","Currency=INR","Period=FQ","BEST_FPERIOD_OVERRIDE=FQ","FILING_STATUS=OR","EQY_CONSOLIDATED=Y","Sort=A","Dates=H","DateFormat=P","Fill=—","Direction=H","UseDPDF=Y")</f>
        <v>#NAME?</v>
      </c>
      <c r="BB420" s="2" t="e">
        <f ca="1">_xll.BDH($C$403,"GEO_GROW_TOT_SHRHLDR_EQY","FQ2 2017","FQ2 2017","Currency=INR","Period=FQ","BEST_FPERIOD_OVERRIDE=FQ","FILING_STATUS=OR","EQY_CONSOLIDATED=Y","Sort=A","Dates=H","DateFormat=P","Fill=—","Direction=H","UseDPDF=Y")</f>
        <v>#NAME?</v>
      </c>
      <c r="BC420" s="2" t="e">
        <f ca="1">_xll.BDH($C$403,"TOTAL_CAPITAL_5_YEAR_GROWTH","FQ2 2017","FQ2 2017","Currency=INR","Period=FQ","BEST_FPERIOD_OVERRIDE=FQ","FILING_STATUS=OR","EQY_CONSOLIDATED=Y","Sort=A","Dates=H","DateFormat=P","Fill=—","Direction=H","UseDPDF=Y")</f>
        <v>#NAME?</v>
      </c>
      <c r="BD420" s="2" t="e">
        <f ca="1">_xll.BDH($C$403,"GEO_GROW_BOOK_VAL","FQ2 2017","FQ2 2017","Currency=INR","Period=FQ","BEST_FPERIOD_OVERRIDE=FQ","FILING_STATUS=OR","EQY_CONSOLIDATED=Y","Sort=A","Dates=H","DateFormat=P","Fill=—","Direction=H","UseDPDF=Y")</f>
        <v>#NAME?</v>
      </c>
      <c r="BE420" s="2" t="e">
        <f ca="1">_xll.BDH($C$403,"GEO_GROW_CASH_OPER_ACT","FQ2 2017","FQ2 2017","Currency=INR","Period=FQ","BEST_FPERIOD_OVERRIDE=FQ","FILING_STATUS=OR","EQY_CONSOLIDATED=Y","Sort=A","Dates=H","DateFormat=P","Fill=—","Direction=H","UseDPDF=Y")</f>
        <v>#NAME?</v>
      </c>
      <c r="BF420" s="2" t="e">
        <f ca="1">_xll.BDH($C$403,"REVENUE_SEQUENTIAL_GROWTH","FQ2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20" s="2" t="e">
        <f ca="1">_xll.BDH($C$403,"EBITDA_SEQUENTIAL_GROWTH","FQ2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20" s="2" t="e">
        <f ca="1">_xll.BDH($C$403,"OPERATING_INCOME_SEQ_GROWTH","FQ2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20" s="2" t="e">
        <f ca="1">_xll.BDH($C$403,"NET_INCOME_TO_COMMON_SEQ_GROWTH","FQ2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20" s="2" t="e">
        <f ca="1">_xll.BDH($C$403,"EPS_DILUTED_SEQUENTIAL_GROWTH","FQ2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20" s="2" t="e">
        <f ca="1">_xll.BDH($C$403,"DPS_SEQUENTIAL_GROWTH","FQ2 2017","FQ2 2017","Currency=INR","Period=FQ","BEST_FPERIOD_OVERRIDE=FQ","FILING_STATUS=OR","EQY_CONSOLIDATED=Y","Sort=A","Dates=H","DateFormat=P","Fill=—","Direction=H","UseDPDF=Y")</f>
        <v>#NAME?</v>
      </c>
      <c r="BL420" s="2" t="e">
        <f ca="1">_xll.BDH($C$403,"ACCOUNTS_RECEIVABLE_SEQ_GROWTH","FQ2 2017","FQ2 2017","Currency=INR","Period=FQ","BEST_FPERIOD_OVERRIDE=FQ","FILING_STATUS=OR","EQY_CONSOLIDATED=Y","Sort=A","Dates=H","DateFormat=P","Fill=—","Direction=H","UseDPDF=Y")</f>
        <v>#NAME?</v>
      </c>
      <c r="BM420" s="2" t="e">
        <f ca="1">_xll.BDH($C$403,"INVENTORY_SEQUENTIAL_GROWTH","FQ2 2017","FQ2 2017","Currency=INR","Period=FQ","BEST_FPERIOD_OVERRIDE=FQ","FILING_STATUS=OR","EQY_CONSOLIDATED=Y","Sort=A","Dates=H","DateFormat=P","Fill=—","Direction=H","UseDPDF=Y")</f>
        <v>#NAME?</v>
      </c>
      <c r="BN420" s="2" t="e">
        <f ca="1">_xll.BDH($C$403,"FIXED_ASSETS_SEQUENTIAL_GROWTH","FQ2 2017","FQ2 2017","Currency=INR","Period=FQ","BEST_FPERIOD_OVERRIDE=FQ","FILING_STATUS=OR","EQY_CONSOLIDATED=Y","Sort=A","Dates=H","DateFormat=P","Fill=—","Direction=H","UseDPDF=Y")</f>
        <v>#NAME?</v>
      </c>
      <c r="BO420" s="2" t="e">
        <f ca="1">_xll.BDH($C$403,"TOTAL_ASSETS_SEQUENTIAL_GROWTH","FQ2 2017","FQ2 2017","Currency=INR","Period=FQ","BEST_FPERIOD_OVERRIDE=FQ","FILING_STATUS=OR","EQY_CONSOLIDATED=Y","Sort=A","Dates=H","DateFormat=P","Fill=—","Direction=H","UseDPDF=Y")</f>
        <v>#NAME?</v>
      </c>
      <c r="BP420" s="2" t="e">
        <f ca="1">_xll.BDH($C$403,"MODIFIED_WORKING_CPTL_SEQ_GRWTH","FQ2 2017","FQ2 2017","Currency=INR","Period=FQ","BEST_FPERIOD_OVERRIDE=FQ","FILING_STATUS=OR","EQY_CONSOLIDATED=Y","Sort=A","Dates=H","DateFormat=P","Fill=—","Direction=H","UseDPDF=Y")</f>
        <v>#NAME?</v>
      </c>
      <c r="BQ420" s="2" t="e">
        <f ca="1">_xll.BDH($C$403,"WORKING_CAPITAL_SEQ_GROWTH","FQ2 2017","FQ2 2017","Currency=INR","Period=FQ","BEST_FPERIOD_OVERRIDE=FQ","FILING_STATUS=OR","EQY_CONSOLIDATED=Y","Sort=A","Dates=H","DateFormat=P","Fill=—","Direction=H","UseDPDF=Y")</f>
        <v>#NAME?</v>
      </c>
      <c r="BR420" s="2" t="e">
        <f ca="1">_xll.BDH($C$403,"ACCOUNTS_PAYABLE_SEQ_GROWTH","FQ2 2017","FQ2 2017","Currency=INR","Period=FQ","BEST_FPERIOD_OVERRIDE=FQ","FILING_STATUS=OR","EQY_CONSOLIDATED=Y","Sort=A","Dates=H","DateFormat=P","Fill=—","Direction=H","UseDPDF=Y")</f>
        <v>#NAME?</v>
      </c>
      <c r="BS420" s="2" t="e">
        <f ca="1">_xll.BDH($C$403,"ST_DEBT_SEQUENTIAL_GROWTH","FQ2 2017","FQ2 2017","Currency=INR","Period=FQ","BEST_FPERIOD_OVERRIDE=FQ","FILING_STATUS=OR","EQY_CONSOLIDATED=Y","Sort=A","Dates=H","DateFormat=P","Fill=—","Direction=H","UseDPDF=Y")</f>
        <v>#NAME?</v>
      </c>
      <c r="BT420" s="2" t="e">
        <f ca="1">_xll.BDH($C$403,"TOTAL_DEBT_SEQUENTIAL_GROWTH","FQ2 2017","FQ2 2017","Currency=INR","Period=FQ","BEST_FPERIOD_OVERRIDE=FQ","FILING_STATUS=OR","EQY_CONSOLIDATED=Y","Sort=A","Dates=H","DateFormat=P","Fill=—","Direction=H","UseDPDF=Y")</f>
        <v>#NAME?</v>
      </c>
      <c r="BU420" s="2" t="e">
        <f ca="1">_xll.BDH($C$403,"TOTAL_EQUITY_SEQUENTIAL_GROWTH","FQ2 2017","FQ2 2017","Currency=INR","Period=FQ","BEST_FPERIOD_OVERRIDE=FQ","FILING_STATUS=OR","EQY_CONSOLIDATED=Y","Sort=A","Dates=H","DateFormat=P","Fill=—","Direction=H","UseDPDF=Y")</f>
        <v>#NAME?</v>
      </c>
      <c r="BV420" s="2" t="e">
        <f ca="1">_xll.BDH($C$403,"TOTAL_CAPITAL_SEQUENTIAL_GROWTH","FQ2 2017","FQ2 2017","Currency=INR","Period=FQ","BEST_FPERIOD_OVERRIDE=FQ","FILING_STATUS=OR","EQY_CONSOLIDATED=Y","Sort=A","Dates=H","DateFormat=P","Fill=—","Direction=H","UseDPDF=Y")</f>
        <v>#NAME?</v>
      </c>
      <c r="BW420" s="2" t="e">
        <f ca="1">_xll.BDH($C$403,"BPS_SEQUENTIAL_GROWTH","FQ2 2017","FQ2 2017","Currency=INR","Period=FQ","BEST_FPERIOD_OVERRIDE=FQ","FILING_STATUS=OR","EQY_CONSOLIDATED=Y","Sort=A","Dates=H","DateFormat=P","Fill=—","Direction=H","UseDPDF=Y")</f>
        <v>#NAME?</v>
      </c>
      <c r="BX420" s="2" t="e">
        <f ca="1">_xll.BDH($C$403,"CFO_SEQUENTIAL_GROWTH","FQ2 2017","FQ2 2017","Currency=INR","Period=FQ","BEST_FPERIOD_OVERRIDE=FQ","FILING_STATUS=OR","EQY_CONSOLIDATED=Y","Sort=A","Dates=H","DateFormat=P","Fill=—","Direction=H","UseDPDF=Y")</f>
        <v>#NAME?</v>
      </c>
      <c r="BY420" s="3" t="e">
        <f ca="1">_xll.BDH($C$403,"SHORT_AND_LONG_TERM_DEBT","FQ2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20" s="3" t="e">
        <f ca="1">_xll.BDH($C$403,"BS_ST_BORROW","FQ2 2017","FQ2 2017","Currency=INR","Period=FQ","BEST_FPERIOD_OVERRIDE=FQ","FILING_STATUS=OR","EQY_CONSOLIDATED=Y","SCALING_FORMAT=MLN","Sort=A","Dates=H","DateFormat=P","Fill=—","Direction=H","UseDPDF=Y")</f>
        <v>#NAME?</v>
      </c>
      <c r="CA420" s="3" t="e">
        <f ca="1">_xll.BDH($C$403,"BS_LT_BORROW","FQ2 2017","FQ2 2017","Currency=INR","Period=FQ","BEST_FPERIOD_OVERRIDE=FQ","FILING_STATUS=OR","EQY_CONSOLIDATED=Y","SCALING_FORMAT=MLN","Sort=A","Dates=H","DateFormat=P","Fill=—","Direction=H","UseDPDF=Y")</f>
        <v>#NAME?</v>
      </c>
      <c r="CB420" s="2" t="e">
        <f ca="1">_xll.BDH($C$403,"TOT_DEBT_TO_EBITDA","FQ2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20" s="2" t="e">
        <f ca="1">_xll.BDH($C$403,"NET_DEBT_TO_EBITDA","FQ2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20" s="2" t="e">
        <f ca="1">_xll.BDH($C$403,"TOTAL_DEBT_TO_EBIT","FQ2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20" s="2" t="e">
        <f ca="1">_xll.BDH($C$403,"NET_DEBT_TO_EBIT","FQ2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20" s="2" t="e">
        <f ca="1">_xll.BDH($C$403,"EBITDA_TO_INTEREST_EXPN","FQ2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20" s="2" t="e">
        <f ca="1">_xll.BDH($C$403,"COM_EQY_TO_TOT_ASSET","FQ2 2017","FQ2 2017","Currency=INR","Period=FQ","BEST_FPERIOD_OVERRIDE=FQ","FILING_STATUS=OR","EQY_CONSOLIDATED=Y","Sort=A","Dates=H","DateFormat=P","Fill=—","Direction=H","UseDPDF=Y")</f>
        <v>#NAME?</v>
      </c>
      <c r="CH420" s="2" t="e">
        <f ca="1">_xll.BDH($C$403,"LT_DEBT_TO_TOT_EQY","FQ2 2017","FQ2 2017","Currency=INR","Period=FQ","BEST_FPERIOD_OVERRIDE=FQ","FILING_STATUS=OR","EQY_CONSOLIDATED=Y","Sort=A","Dates=H","DateFormat=P","Fill=—","Direction=H","UseDPDF=Y")</f>
        <v>#NAME?</v>
      </c>
      <c r="CI420" s="2" t="e">
        <f ca="1">_xll.BDH($C$403,"LT_DEBT_TO_TOT_CAP","FQ2 2017","FQ2 2017","Currency=INR","Period=FQ","BEST_FPERIOD_OVERRIDE=FQ","FILING_STATUS=OR","EQY_CONSOLIDATED=Y","Sort=A","Dates=H","DateFormat=P","Fill=—","Direction=H","UseDPDF=Y")</f>
        <v>#NAME?</v>
      </c>
      <c r="CJ420" s="2" t="e">
        <f ca="1">_xll.BDH($C$403,"LT_DEBT_TO_TOT_ASSET","FQ2 2017","FQ2 2017","Currency=INR","Period=FQ","BEST_FPERIOD_OVERRIDE=FQ","FILING_STATUS=OR","EQY_CONSOLIDATED=Y","Sort=A","Dates=H","DateFormat=P","Fill=—","Direction=H","UseDPDF=Y")</f>
        <v>#NAME?</v>
      </c>
      <c r="CK420" s="2" t="e">
        <f ca="1">_xll.BDH($C$403,"TOT_DEBT_TO_TOT_EQY","FQ2 2017","FQ2 2017","Currency=INR","Period=FQ","BEST_FPERIOD_OVERRIDE=FQ","FILING_STATUS=OR","EQY_CONSOLIDATED=Y","Sort=A","Dates=H","DateFormat=P","Fill=—","Direction=H","UseDPDF=Y")</f>
        <v>#NAME?</v>
      </c>
      <c r="CL420" s="2" t="e">
        <f ca="1">_xll.BDH($C$403,"TOT_DEBT_TO_TOT_CAP","FQ2 2017","FQ2 2017","Currency=INR","Period=FQ","BEST_FPERIOD_OVERRIDE=FQ","FILING_STATUS=OR","EQY_CONSOLIDATED=Y","Sort=A","Dates=H","DateFormat=P","Fill=—","Direction=H","UseDPDF=Y")</f>
        <v>#NAME?</v>
      </c>
      <c r="CM420" s="2" t="e">
        <f ca="1">_xll.BDH($C$403,"TOT_DEBT_TO_TOT_ASSET","FQ2 2017","FQ2 2017","Currency=INR","Period=FQ","BEST_FPERIOD_OVERRIDE=FQ","FILING_STATUS=OR","EQY_CONSOLIDATED=Y","Sort=A","Dates=H","DateFormat=P","Fill=—","Direction=H","UseDPDF=Y")</f>
        <v>#NAME?</v>
      </c>
      <c r="CN420" s="2" t="e">
        <f ca="1">_xll.BDH($C$403,"NET_DEBT_TO_SHRHLDR_EQTY","FQ2 2017","FQ2 2017","Currency=INR","Period=FQ","BEST_FPERIOD_OVERRIDE=FQ","FILING_STATUS=OR","EQY_CONSOLIDATED=Y","Sort=A","Dates=H","DateFormat=P","Fill=—","Direction=H","UseDPDF=Y")</f>
        <v>#NAME?</v>
      </c>
      <c r="CO420" s="2" t="e">
        <f ca="1">_xll.BDH($C$403,"NET_DEBT_%_CAPITAL","FQ2 2017","FQ2 2017","Currency=INR","Period=FQ","BEST_FPERIOD_OVERRIDE=FQ","FILING_STATUS=OR","EQY_CONSOLIDATED=Y","Sort=A","Dates=H","DateFormat=P","Fill=—","Direction=H","UseDPDF=Y")</f>
        <v>#NAME?</v>
      </c>
      <c r="CP420" s="3" t="e">
        <f ca="1">_xll.BDH($C$403,"EBITDA","FQ2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20" s="3" t="e">
        <f ca="1">_xll.BDH($C$403,"EBITDA_AFTER_CAPEX","FQ2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20" s="3" t="e">
        <f ca="1">_xll.BDH($C$403,"IS_OPER_INC","FQ2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20" s="2" t="e">
        <f ca="1">_xll.BDH($C$403,"CASH_RATIO","FQ2 2017","FQ2 2017","Currency=INR","Period=FQ","BEST_FPERIOD_OVERRIDE=FQ","FILING_STATUS=OR","EQY_CONSOLIDATED=Y","Sort=A","Dates=H","DateFormat=P","Fill=—","Direction=H","UseDPDF=Y")</f>
        <v>#NAME?</v>
      </c>
      <c r="CT420" s="2" t="e">
        <f ca="1">_xll.BDH($C$403,"CUR_RATIO","FQ2 2017","FQ2 2017","Currency=INR","Period=FQ","BEST_FPERIOD_OVERRIDE=FQ","FILING_STATUS=OR","EQY_CONSOLIDATED=Y","Sort=A","Dates=H","DateFormat=P","Fill=—","Direction=H","UseDPDF=Y")</f>
        <v>#NAME?</v>
      </c>
      <c r="CU420" s="2" t="e">
        <f ca="1">_xll.BDH($C$403,"QUICK_RATIO","FQ2 2017","FQ2 2017","Currency=INR","Period=FQ","BEST_FPERIOD_OVERRIDE=FQ","FILING_STATUS=OR","EQY_CONSOLIDATED=Y","Sort=A","Dates=H","DateFormat=P","Fill=—","Direction=H","UseDPDF=Y")</f>
        <v>#NAME?</v>
      </c>
      <c r="CV420" s="2" t="e">
        <f ca="1">_xll.BDH($C$403,"ALTMAN_Z_SCORE","FQ2 2017","FQ2 2017","Currency=INR","Period=FQ","BEST_FPERIOD_OVERRIDE=FQ","FILING_STATUS=OR","EQY_CONSOLIDATED=Y","Sort=A","Dates=H","DateFormat=P","Fill=—","Direction=H","UseDPDF=Y")</f>
        <v>#NAME?</v>
      </c>
      <c r="CW420" s="4" t="e">
        <f ca="1">_xll.BDH($C$403,"ACCT_RCV_TURN","FQ2 2017","FQ2 2017","Currency=INR","Period=FQ","BEST_FPERIOD_OVERRIDE=FQ","FILING_STATUS=OR","EQY_CONSOLIDATED=Y","FA_ADJUSTED=GAAP","Sort=A","Dates=H","DateFormat=P","Fill=—","Direction=H","UseDPDF=Y")</f>
        <v>#NAME?</v>
      </c>
      <c r="CX420" s="2" t="e">
        <f ca="1">_xll.BDH($C$403,"ACCT_RCV_DAYS","FQ2 2017","FQ2 2017","Currency=INR","Period=FQ","BEST_FPERIOD_OVERRIDE=FQ","FILING_STATUS=OR","EQY_CONSOLIDATED=Y","FA_ADJUSTED=GAAP","Sort=A","Dates=H","DateFormat=P","Fill=—","Direction=H","UseDPDF=Y")</f>
        <v>#NAME?</v>
      </c>
      <c r="CY420" s="4" t="e">
        <f ca="1">_xll.BDH($C$403,"INVENT_TURN","FQ2 2017","FQ2 2017","Currency=INR","Period=FQ","BEST_FPERIOD_OVERRIDE=FQ","FILING_STATUS=OR","EQY_CONSOLIDATED=Y","FA_ADJUSTED=GAAP","Sort=A","Dates=H","DateFormat=P","Fill=—","Direction=H","UseDPDF=Y")</f>
        <v>#NAME?</v>
      </c>
      <c r="CZ420" s="2" t="e">
        <f ca="1">_xll.BDH($C$403,"INVENT_DAYS","FQ2 2017","FQ2 2017","Currency=INR","Period=FQ","BEST_FPERIOD_OVERRIDE=FQ","FILING_STATUS=OR","EQY_CONSOLIDATED=Y","FA_ADJUSTED=GAAP","Sort=A","Dates=H","DateFormat=P","Fill=—","Direction=H","UseDPDF=Y")</f>
        <v>#NAME?</v>
      </c>
      <c r="DA420" s="4" t="e">
        <f ca="1">_xll.BDH($C$403,"ACCOUNTS_PAYABLE_TURNOVER","FQ2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20" s="2" t="e">
        <f ca="1">_xll.BDH($C$403,"ACCOUNTS_PAYABLE_TURNOVER_DAYS","FQ2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20" s="4" t="e">
        <f ca="1">_xll.BDH($C$403,"CASH_CONVERSION_CYCLE","FQ2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20" s="4" t="e">
        <f ca="1">_xll.BDH($C$403,"INV_TO_CASH_DAYS","FQ2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20" s="5" t="e">
        <f ca="1">_xll.BDH($C$403,"BS_INVENTORIES","FQ2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20" s="3" t="e">
        <f ca="1">_xll.BDH($C$403,"INVTRY_RAW_MATERIALS","FQ2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20" s="3" t="e">
        <f ca="1">_xll.BDH($C$403,"INVTRY_IN_PROGRESS","FQ2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20" s="3" t="e">
        <f ca="1">_xll.BDH($C$403,"INVTRY_FINISHED_GOODS","FQ2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20" s="3" t="e">
        <f ca="1">_xll.BDH($C$403,"BS_OTHER_INV","FQ2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21" spans="1:113" x14ac:dyDescent="0.3">
      <c r="A421" s="6"/>
      <c r="B421" s="6"/>
      <c r="C421" s="6"/>
      <c r="D421" s="6"/>
      <c r="E421" t="s">
        <v>80</v>
      </c>
      <c r="F421" t="e">
        <f ca="1">_xll.BDH($C$403,"RETURN_COM_EQY","FQ3 2017","FQ3 2017","Currency=INR","Period=FQ","BEST_FPERIOD_OVERRIDE=FQ","FILING_STATUS=OR","EQY_CONSOLIDATED=Y","FA_ADJUSTED=GAAP","Sort=A","Dates=H","DateFormat=P","Fill=—","Direction=H","UseDPDF=Y")</f>
        <v>#NAME?</v>
      </c>
      <c r="G421" t="e">
        <f ca="1">_xll.BDH($C$403,"RETURN_ON_ASSET","FQ3 2017","FQ3 2017","Currency=INR","Period=FQ","BEST_FPERIOD_OVERRIDE=FQ","FILING_STATUS=OR","EQY_CONSOLIDATED=Y","FA_ADJUSTED=GAAP","Sort=A","Dates=H","DateFormat=P","Fill=—","Direction=H","UseDPDF=Y")</f>
        <v>#NAME?</v>
      </c>
      <c r="H421" t="e">
        <f ca="1">_xll.BDH($C$403,"RETURN_ON_CAP","FQ3 2017","FQ3 2017","Currency=INR","Period=FQ","BEST_FPERIOD_OVERRIDE=FQ","FILING_STATUS=OR","EQY_CONSOLIDATED=Y","FA_ADJUSTED=GAAP","Sort=A","Dates=H","DateFormat=P","Fill=—","Direction=H","UseDPDF=Y")</f>
        <v>#NAME?</v>
      </c>
      <c r="I421" t="e">
        <f ca="1">_xll.BDH($C$403,"RETURN_ON_INV_CAPITAL","FQ3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21" t="e">
        <f ca="1">_xll.BDH($C$403,"EBITDA_TO_REVENUE","FQ3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21" t="e">
        <f ca="1">_xll.BDH($C$403,"OPER_MARGIN","FQ3 2017","FQ3 2017","Currency=INR","Period=FQ","BEST_FPERIOD_OVERRIDE=FQ","FILING_STATUS=OR","EQY_CONSOLIDATED=Y","FA_ADJUSTED=GAAP","Sort=A","Dates=H","DateFormat=P","Fill=—","Direction=H","UseDPDF=Y")</f>
        <v>#NAME?</v>
      </c>
      <c r="L421" t="e">
        <f ca="1">_xll.BDH($C$403,"INCREMENTAL_OPERATING_MARGIN","FQ3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21" t="e">
        <f ca="1">_xll.BDH($C$403,"PRETAX_INC_TO_NET_SALES","FQ3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21" t="e">
        <f ca="1">_xll.BDH($C$403,"INC_BEF_XO_ITEMS_TO_NET_SALES","FQ3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21" t="e">
        <f ca="1">_xll.BDH($C$403,"PROF_MARGIN","FQ3 2017","FQ3 2017","Currency=INR","Period=FQ","BEST_FPERIOD_OVERRIDE=FQ","FILING_STATUS=OR","EQY_CONSOLIDATED=Y","FA_ADJUSTED=GAAP","Sort=A","Dates=H","DateFormat=P","Fill=—","Direction=H","UseDPDF=Y")</f>
        <v>#NAME?</v>
      </c>
      <c r="P421" t="e">
        <f ca="1">_xll.BDH($C$403,"NET_INCOME_TO_COMMON_MARGIN","FQ3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21" t="e">
        <f ca="1">_xll.BDH($C$403,"EFF_TAX_RATE","FQ3 2017","FQ3 2017","Currency=INR","Period=FQ","BEST_FPERIOD_OVERRIDE=FQ","FILING_STATUS=OR","EQY_CONSOLIDATED=Y","FA_ADJUSTED=GAAP","Sort=A","Dates=H","DateFormat=P","Fill=—","Direction=H","UseDPDF=Y")</f>
        <v>#NAME?</v>
      </c>
      <c r="R421" t="e">
        <f ca="1">_xll.BDH($C$403,"DVD_PAYOUT_RATIO","FQ3 2017","FQ3 2017","Currency=INR","Period=FQ","BEST_FPERIOD_OVERRIDE=FQ","FILING_STATUS=OR","EQY_CONSOLIDATED=Y","FA_ADJUSTED=GAAP","Sort=A","Dates=H","DateFormat=P","Fill=—","Direction=H","UseDPDF=Y")</f>
        <v>#NAME?</v>
      </c>
      <c r="S421" t="e">
        <f ca="1">_xll.BDH($C$403,"SUSTAIN_GROWTH_RT","FQ3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21" s="2" t="e">
        <f ca="1">_xll.BDH($C$403,"SALES_GROWTH","FQ3 2017","FQ3 2017","Currency=INR","Period=FQ","BEST_FPERIOD_OVERRIDE=FQ","FILING_STATUS=OR","EQY_CONSOLIDATED=Y","FA_ADJUSTED=GAAP","Sort=A","Dates=H","DateFormat=P","Fill=—","Direction=H","UseDPDF=Y")</f>
        <v>#NAME?</v>
      </c>
      <c r="U421" s="2" t="e">
        <f ca="1">_xll.BDH($C$403,"EBITDA_GROWTH","FQ3 2017","FQ3 2017","Currency=INR","Period=FQ","BEST_FPERIOD_OVERRIDE=FQ","FILING_STATUS=OR","EQY_CONSOLIDATED=Y","FA_ADJUSTED=GAAP","Sort=A","Dates=H","DateFormat=P","Fill=—","Direction=H","UseDPDF=Y")</f>
        <v>#NAME?</v>
      </c>
      <c r="V421" s="2" t="e">
        <f ca="1">_xll.BDH($C$403,"OPER_INC_GROWTH","FQ3 2017","FQ3 2017","Currency=INR","Period=FQ","BEST_FPERIOD_OVERRIDE=FQ","FILING_STATUS=OR","EQY_CONSOLIDATED=Y","FA_ADJUSTED=GAAP","Sort=A","Dates=H","DateFormat=P","Fill=—","Direction=H","UseDPDF=Y")</f>
        <v>#NAME?</v>
      </c>
      <c r="W421" s="2" t="e">
        <f ca="1">_xll.BDH($C$403,"EARN_FOR_COM_GROWTH","FQ3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21" s="2" t="e">
        <f ca="1">_xll.BDH($C$403,"DILUTED_EPS_AFT_XO_ITEMS_GROWTH","FQ3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21" s="2" t="e">
        <f ca="1">_xll.BDH($C$403,"DIVIDEND_PER_SHARE_1_YEAR_GROWTH","FQ3 2017","FQ3 2017","Currency=INR","Period=FQ","BEST_FPERIOD_OVERRIDE=FQ","FILING_STATUS=OR","EQY_CONSOLIDATED=Y","Sort=A","Dates=H","DateFormat=P","Fill=—","Direction=H","UseDPDF=Y")</f>
        <v>#NAME?</v>
      </c>
      <c r="Z421" s="2" t="e">
        <f ca="1">_xll.BDH($C$403,"ACCOUNTS_RECEIVABLE_GROWTH","FQ3 2017","FQ3 2017","Currency=INR","Period=FQ","BEST_FPERIOD_OVERRIDE=FQ","FILING_STATUS=OR","EQY_CONSOLIDATED=Y","Sort=A","Dates=H","DateFormat=P","Fill=—","Direction=H","UseDPDF=Y")</f>
        <v>#NAME?</v>
      </c>
      <c r="AA421" s="2" t="e">
        <f ca="1">_xll.BDH($C$403,"INVENTORY_GROWTH","FQ3 2017","FQ3 2017","Currency=INR","Period=FQ","BEST_FPERIOD_OVERRIDE=FQ","FILING_STATUS=OR","EQY_CONSOLIDATED=Y","Sort=A","Dates=H","DateFormat=P","Fill=—","Direction=H","UseDPDF=Y")</f>
        <v>#NAME?</v>
      </c>
      <c r="AB421" s="2" t="e">
        <f ca="1">_xll.BDH($C$403,"NET_FIXED_ASSETS_1_YEAR_GROWTH","FQ3 2017","FQ3 2017","Currency=INR","Period=FQ","BEST_FPERIOD_OVERRIDE=FQ","FILING_STATUS=OR","EQY_CONSOLIDATED=Y","Sort=A","Dates=H","DateFormat=P","Fill=—","Direction=H","UseDPDF=Y")</f>
        <v>#NAME?</v>
      </c>
      <c r="AC421" s="2" t="e">
        <f ca="1">_xll.BDH($C$403,"ASSET_GROWTH","FQ3 2017","FQ3 2017","Currency=INR","Period=FQ","BEST_FPERIOD_OVERRIDE=FQ","FILING_STATUS=OR","EQY_CONSOLIDATED=Y","Sort=A","Dates=H","DateFormat=P","Fill=—","Direction=H","UseDPDF=Y")</f>
        <v>#NAME?</v>
      </c>
      <c r="AD421" s="2" t="e">
        <f ca="1">_xll.BDH($C$403,"MODIFIED_WORK_CAP_GROWTH","FQ3 2017","FQ3 2017","Currency=INR","Period=FQ","BEST_FPERIOD_OVERRIDE=FQ","FILING_STATUS=OR","EQY_CONSOLIDATED=Y","Sort=A","Dates=H","DateFormat=P","Fill=—","Direction=H","UseDPDF=Y")</f>
        <v>#NAME?</v>
      </c>
      <c r="AE421" s="2" t="e">
        <f ca="1">_xll.BDH($C$403,"WORK_CAP_GROWTH","FQ3 2017","FQ3 2017","Currency=INR","Period=FQ","BEST_FPERIOD_OVERRIDE=FQ","FILING_STATUS=OR","EQY_CONSOLIDATED=Y","Sort=A","Dates=H","DateFormat=P","Fill=—","Direction=H","UseDPDF=Y")</f>
        <v>#NAME?</v>
      </c>
      <c r="AF421" s="2" t="e">
        <f ca="1">_xll.BDH($C$403,"ACCOUNTS_PAYABLE_GROWTH_1YR","FQ3 2017","FQ3 2017","Currency=INR","Period=FQ","BEST_FPERIOD_OVERRIDE=FQ","FILING_STATUS=OR","EQY_CONSOLIDATED=Y","Sort=A","Dates=H","DateFormat=P","Fill=—","Direction=H","UseDPDF=Y")</f>
        <v>#NAME?</v>
      </c>
      <c r="AG421" s="2" t="e">
        <f ca="1">_xll.BDH($C$403,"SHORT_TERM_DEBT_1_YEAR_GROWTH","FQ3 2017","FQ3 2017","Currency=INR","Period=FQ","BEST_FPERIOD_OVERRIDE=FQ","FILING_STATUS=OR","EQY_CONSOLIDATED=Y","Sort=A","Dates=H","DateFormat=P","Fill=—","Direction=H","UseDPDF=Y")</f>
        <v>#NAME?</v>
      </c>
      <c r="AH421" s="2" t="e">
        <f ca="1">_xll.BDH($C$403,"TOTAL_DEBT_1_YEAR_GROWTH","FQ3 2017","FQ3 2017","Currency=INR","Period=FQ","BEST_FPERIOD_OVERRIDE=FQ","FILING_STATUS=OR","EQY_CONSOLIDATED=Y","Sort=A","Dates=H","DateFormat=P","Fill=—","Direction=H","UseDPDF=Y")</f>
        <v>#NAME?</v>
      </c>
      <c r="AI421" s="2" t="e">
        <f ca="1">_xll.BDH($C$403,"TOTAL_EQUITY_1_YEAR_GROWTH","FQ3 2017","FQ3 2017","Currency=INR","Period=FQ","BEST_FPERIOD_OVERRIDE=FQ","FILING_STATUS=OR","EQY_CONSOLIDATED=Y","Sort=A","Dates=H","DateFormat=P","Fill=—","Direction=H","UseDPDF=Y")</f>
        <v>#NAME?</v>
      </c>
      <c r="AJ421" s="2" t="e">
        <f ca="1">_xll.BDH($C$403,"GROWTH_IN_CAP","FQ3 2017","FQ3 2017","Currency=INR","Period=FQ","BEST_FPERIOD_OVERRIDE=FQ","FILING_STATUS=OR","EQY_CONSOLIDATED=Y","Sort=A","Dates=H","DateFormat=P","Fill=—","Direction=H","UseDPDF=Y")</f>
        <v>#NAME?</v>
      </c>
      <c r="AK421" s="2" t="e">
        <f ca="1">_xll.BDH($C$403,"BVPS_GROWTH","FQ3 2017","FQ3 2017","Currency=INR","Period=FQ","BEST_FPERIOD_OVERRIDE=FQ","FILING_STATUS=OR","EQY_CONSOLIDATED=Y","Sort=A","Dates=H","DateFormat=P","Fill=—","Direction=H","UseDPDF=Y")</f>
        <v>#NAME?</v>
      </c>
      <c r="AL421" s="2" t="e">
        <f ca="1">_xll.BDH($C$403,"CASH_FLOW_GROWTH","FQ3 2017","FQ3 2017","Currency=INR","Period=FQ","BEST_FPERIOD_OVERRIDE=FQ","FILING_STATUS=OR","EQY_CONSOLIDATED=Y","Sort=A","Dates=H","DateFormat=P","Fill=—","Direction=H","UseDPDF=Y")</f>
        <v>#NAME?</v>
      </c>
      <c r="AM421" s="2" t="e">
        <f ca="1">_xll.BDH($C$403,"GEO_GROW_NET_SALES","FQ3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21" s="2" t="e">
        <f ca="1">_xll.BDH($C$403,"GEO_GROW_EBITDA","FQ3 2017","FQ3 2017","Currency=INR","Period=FQ","BEST_FPERIOD_OVERRIDE=FQ","FILING_STATUS=OR","EQY_CONSOLIDATED=Y","FA_ADJUSTED=GAAP","Sort=A","Dates=H","DateFormat=P","Fill=—","Direction=H","UseDPDF=Y")</f>
        <v>#NAME?</v>
      </c>
      <c r="AO421" s="2" t="e">
        <f ca="1">_xll.BDH($C$403,"GEO_GROW_OPER_INC","FQ3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21" s="2" t="e">
        <f ca="1">_xll.BDH($C$403,"NET_INCOME_TO_COMMON_5_YR_GROWTH","FQ3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21" s="2" t="e">
        <f ca="1">_xll.BDH($C$403,"5Y_GEO_GROWTH_DILUTED_EPS","FQ3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21" s="2" t="e">
        <f ca="1">_xll.BDH($C$403,"GEO_GROW_DVD_PER_SH","FQ3 2017","FQ3 2017","Currency=INR","Period=FQ","BEST_FPERIOD_OVERRIDE=FQ","FILING_STATUS=OR","EQY_CONSOLIDATED=Y","Sort=A","Dates=H","DateFormat=P","Fill=—","Direction=H","UseDPDF=Y")</f>
        <v>#NAME?</v>
      </c>
      <c r="AS421" s="2" t="e">
        <f ca="1">_xll.BDH($C$403,"ACCOUNTS_RECEIVABLE_5_YR_GROWTH","FQ3 2017","FQ3 2017","Currency=INR","Period=FQ","BEST_FPERIOD_OVERRIDE=FQ","FILING_STATUS=OR","EQY_CONSOLIDATED=Y","Sort=A","Dates=H","DateFormat=P","Fill=—","Direction=H","UseDPDF=Y")</f>
        <v>#NAME?</v>
      </c>
      <c r="AT421" s="2" t="e">
        <f ca="1">_xll.BDH($C$403,"INVENTORY_5_YEAR_GROWTH","FQ3 2017","FQ3 2017","Currency=INR","Period=FQ","BEST_FPERIOD_OVERRIDE=FQ","FILING_STATUS=OR","EQY_CONSOLIDATED=Y","Sort=A","Dates=H","DateFormat=P","Fill=—","Direction=H","UseDPDF=Y")</f>
        <v>#NAME?</v>
      </c>
      <c r="AU421" s="2" t="e">
        <f ca="1">_xll.BDH($C$403,"NET_FIXED_ASSETS_5_YEAR_GROWTH","FQ3 2017","FQ3 2017","Currency=INR","Period=FQ","BEST_FPERIOD_OVERRIDE=FQ","FILING_STATUS=OR","EQY_CONSOLIDATED=Y","Sort=A","Dates=H","DateFormat=P","Fill=—","Direction=H","UseDPDF=Y")</f>
        <v>#NAME?</v>
      </c>
      <c r="AV421" s="2" t="e">
        <f ca="1">_xll.BDH($C$403,"GEO_GROW_TOT_ASSET","FQ3 2017","FQ3 2017","Currency=INR","Period=FQ","BEST_FPERIOD_OVERRIDE=FQ","FILING_STATUS=OR","EQY_CONSOLIDATED=Y","Sort=A","Dates=H","DateFormat=P","Fill=—","Direction=H","UseDPDF=Y")</f>
        <v>#NAME?</v>
      </c>
      <c r="AW421" s="2" t="e">
        <f ca="1">_xll.BDH($C$403,"MODIFIED_WORKING_CPTL_5YR_GRWTH","FQ3 2017","FQ3 2017","Currency=INR","Period=FQ","BEST_FPERIOD_OVERRIDE=FQ","FILING_STATUS=OR","EQY_CONSOLIDATED=Y","Sort=A","Dates=H","DateFormat=P","Fill=—","Direction=H","UseDPDF=Y")</f>
        <v>#NAME?</v>
      </c>
      <c r="AX421" s="2" t="e">
        <f ca="1">_xll.BDH($C$403,"WORKING_CAPITAL_5_YEAR_GROWTH","FQ3 2017","FQ3 2017","Currency=INR","Period=FQ","BEST_FPERIOD_OVERRIDE=FQ","FILING_STATUS=OR","EQY_CONSOLIDATED=Y","Sort=A","Dates=H","DateFormat=P","Fill=—","Direction=H","UseDPDF=Y")</f>
        <v>#NAME?</v>
      </c>
      <c r="AY421" s="2" t="e">
        <f ca="1">_xll.BDH($C$403,"ACCOUNTS_PAYABLE_5_YEAR_GROWTH","FQ3 2017","FQ3 2017","Currency=INR","Period=FQ","BEST_FPERIOD_OVERRIDE=FQ","FILING_STATUS=OR","EQY_CONSOLIDATED=Y","Sort=A","Dates=H","DateFormat=P","Fill=—","Direction=H","UseDPDF=Y")</f>
        <v>#NAME?</v>
      </c>
      <c r="AZ421" s="2" t="e">
        <f ca="1">_xll.BDH($C$403,"SHORT_TERM_DEBT_5_YEAR_GROWTH","FQ3 2017","FQ3 2017","Currency=INR","Period=FQ","BEST_FPERIOD_OVERRIDE=FQ","FILING_STATUS=OR","EQY_CONSOLIDATED=Y","Sort=A","Dates=H","DateFormat=P","Fill=—","Direction=H","UseDPDF=Y")</f>
        <v>#NAME?</v>
      </c>
      <c r="BA421" s="2" t="e">
        <f ca="1">_xll.BDH($C$403,"TOTAL_DEBT_5_YEAR_GROWTH","FQ3 2017","FQ3 2017","Currency=INR","Period=FQ","BEST_FPERIOD_OVERRIDE=FQ","FILING_STATUS=OR","EQY_CONSOLIDATED=Y","Sort=A","Dates=H","DateFormat=P","Fill=—","Direction=H","UseDPDF=Y")</f>
        <v>#NAME?</v>
      </c>
      <c r="BB421" s="2" t="e">
        <f ca="1">_xll.BDH($C$403,"GEO_GROW_TOT_SHRHLDR_EQY","FQ3 2017","FQ3 2017","Currency=INR","Period=FQ","BEST_FPERIOD_OVERRIDE=FQ","FILING_STATUS=OR","EQY_CONSOLIDATED=Y","Sort=A","Dates=H","DateFormat=P","Fill=—","Direction=H","UseDPDF=Y")</f>
        <v>#NAME?</v>
      </c>
      <c r="BC421" s="2" t="e">
        <f ca="1">_xll.BDH($C$403,"TOTAL_CAPITAL_5_YEAR_GROWTH","FQ3 2017","FQ3 2017","Currency=INR","Period=FQ","BEST_FPERIOD_OVERRIDE=FQ","FILING_STATUS=OR","EQY_CONSOLIDATED=Y","Sort=A","Dates=H","DateFormat=P","Fill=—","Direction=H","UseDPDF=Y")</f>
        <v>#NAME?</v>
      </c>
      <c r="BD421" s="2" t="e">
        <f ca="1">_xll.BDH($C$403,"GEO_GROW_BOOK_VAL","FQ3 2017","FQ3 2017","Currency=INR","Period=FQ","BEST_FPERIOD_OVERRIDE=FQ","FILING_STATUS=OR","EQY_CONSOLIDATED=Y","Sort=A","Dates=H","DateFormat=P","Fill=—","Direction=H","UseDPDF=Y")</f>
        <v>#NAME?</v>
      </c>
      <c r="BE421" s="2" t="e">
        <f ca="1">_xll.BDH($C$403,"GEO_GROW_CASH_OPER_ACT","FQ3 2017","FQ3 2017","Currency=INR","Period=FQ","BEST_FPERIOD_OVERRIDE=FQ","FILING_STATUS=OR","EQY_CONSOLIDATED=Y","Sort=A","Dates=H","DateFormat=P","Fill=—","Direction=H","UseDPDF=Y")</f>
        <v>#NAME?</v>
      </c>
      <c r="BF421" s="2" t="e">
        <f ca="1">_xll.BDH($C$403,"REVENUE_SEQUENTIAL_GROWTH","FQ3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21" s="2" t="e">
        <f ca="1">_xll.BDH($C$403,"EBITDA_SEQUENTIAL_GROWTH","FQ3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21" s="2" t="e">
        <f ca="1">_xll.BDH($C$403,"OPERATING_INCOME_SEQ_GROWTH","FQ3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21" s="2" t="e">
        <f ca="1">_xll.BDH($C$403,"NET_INCOME_TO_COMMON_SEQ_GROWTH","FQ3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21" s="2" t="e">
        <f ca="1">_xll.BDH($C$403,"EPS_DILUTED_SEQUENTIAL_GROWTH","FQ3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21" s="2" t="e">
        <f ca="1">_xll.BDH($C$403,"DPS_SEQUENTIAL_GROWTH","FQ3 2017","FQ3 2017","Currency=INR","Period=FQ","BEST_FPERIOD_OVERRIDE=FQ","FILING_STATUS=OR","EQY_CONSOLIDATED=Y","Sort=A","Dates=H","DateFormat=P","Fill=—","Direction=H","UseDPDF=Y")</f>
        <v>#NAME?</v>
      </c>
      <c r="BL421" s="2" t="e">
        <f ca="1">_xll.BDH($C$403,"ACCOUNTS_RECEIVABLE_SEQ_GROWTH","FQ3 2017","FQ3 2017","Currency=INR","Period=FQ","BEST_FPERIOD_OVERRIDE=FQ","FILING_STATUS=OR","EQY_CONSOLIDATED=Y","Sort=A","Dates=H","DateFormat=P","Fill=—","Direction=H","UseDPDF=Y")</f>
        <v>#NAME?</v>
      </c>
      <c r="BM421" s="2" t="e">
        <f ca="1">_xll.BDH($C$403,"INVENTORY_SEQUENTIAL_GROWTH","FQ3 2017","FQ3 2017","Currency=INR","Period=FQ","BEST_FPERIOD_OVERRIDE=FQ","FILING_STATUS=OR","EQY_CONSOLIDATED=Y","Sort=A","Dates=H","DateFormat=P","Fill=—","Direction=H","UseDPDF=Y")</f>
        <v>#NAME?</v>
      </c>
      <c r="BN421" s="2" t="e">
        <f ca="1">_xll.BDH($C$403,"FIXED_ASSETS_SEQUENTIAL_GROWTH","FQ3 2017","FQ3 2017","Currency=INR","Period=FQ","BEST_FPERIOD_OVERRIDE=FQ","FILING_STATUS=OR","EQY_CONSOLIDATED=Y","Sort=A","Dates=H","DateFormat=P","Fill=—","Direction=H","UseDPDF=Y")</f>
        <v>#NAME?</v>
      </c>
      <c r="BO421" s="2" t="e">
        <f ca="1">_xll.BDH($C$403,"TOTAL_ASSETS_SEQUENTIAL_GROWTH","FQ3 2017","FQ3 2017","Currency=INR","Period=FQ","BEST_FPERIOD_OVERRIDE=FQ","FILING_STATUS=OR","EQY_CONSOLIDATED=Y","Sort=A","Dates=H","DateFormat=P","Fill=—","Direction=H","UseDPDF=Y")</f>
        <v>#NAME?</v>
      </c>
      <c r="BP421" s="2" t="e">
        <f ca="1">_xll.BDH($C$403,"MODIFIED_WORKING_CPTL_SEQ_GRWTH","FQ3 2017","FQ3 2017","Currency=INR","Period=FQ","BEST_FPERIOD_OVERRIDE=FQ","FILING_STATUS=OR","EQY_CONSOLIDATED=Y","Sort=A","Dates=H","DateFormat=P","Fill=—","Direction=H","UseDPDF=Y")</f>
        <v>#NAME?</v>
      </c>
      <c r="BQ421" s="2" t="e">
        <f ca="1">_xll.BDH($C$403,"WORKING_CAPITAL_SEQ_GROWTH","FQ3 2017","FQ3 2017","Currency=INR","Period=FQ","BEST_FPERIOD_OVERRIDE=FQ","FILING_STATUS=OR","EQY_CONSOLIDATED=Y","Sort=A","Dates=H","DateFormat=P","Fill=—","Direction=H","UseDPDF=Y")</f>
        <v>#NAME?</v>
      </c>
      <c r="BR421" s="2" t="e">
        <f ca="1">_xll.BDH($C$403,"ACCOUNTS_PAYABLE_SEQ_GROWTH","FQ3 2017","FQ3 2017","Currency=INR","Period=FQ","BEST_FPERIOD_OVERRIDE=FQ","FILING_STATUS=OR","EQY_CONSOLIDATED=Y","Sort=A","Dates=H","DateFormat=P","Fill=—","Direction=H","UseDPDF=Y")</f>
        <v>#NAME?</v>
      </c>
      <c r="BS421" s="2" t="e">
        <f ca="1">_xll.BDH($C$403,"ST_DEBT_SEQUENTIAL_GROWTH","FQ3 2017","FQ3 2017","Currency=INR","Period=FQ","BEST_FPERIOD_OVERRIDE=FQ","FILING_STATUS=OR","EQY_CONSOLIDATED=Y","Sort=A","Dates=H","DateFormat=P","Fill=—","Direction=H","UseDPDF=Y")</f>
        <v>#NAME?</v>
      </c>
      <c r="BT421" s="2" t="e">
        <f ca="1">_xll.BDH($C$403,"TOTAL_DEBT_SEQUENTIAL_GROWTH","FQ3 2017","FQ3 2017","Currency=INR","Period=FQ","BEST_FPERIOD_OVERRIDE=FQ","FILING_STATUS=OR","EQY_CONSOLIDATED=Y","Sort=A","Dates=H","DateFormat=P","Fill=—","Direction=H","UseDPDF=Y")</f>
        <v>#NAME?</v>
      </c>
      <c r="BU421" s="2" t="e">
        <f ca="1">_xll.BDH($C$403,"TOTAL_EQUITY_SEQUENTIAL_GROWTH","FQ3 2017","FQ3 2017","Currency=INR","Period=FQ","BEST_FPERIOD_OVERRIDE=FQ","FILING_STATUS=OR","EQY_CONSOLIDATED=Y","Sort=A","Dates=H","DateFormat=P","Fill=—","Direction=H","UseDPDF=Y")</f>
        <v>#NAME?</v>
      </c>
      <c r="BV421" s="2" t="e">
        <f ca="1">_xll.BDH($C$403,"TOTAL_CAPITAL_SEQUENTIAL_GROWTH","FQ3 2017","FQ3 2017","Currency=INR","Period=FQ","BEST_FPERIOD_OVERRIDE=FQ","FILING_STATUS=OR","EQY_CONSOLIDATED=Y","Sort=A","Dates=H","DateFormat=P","Fill=—","Direction=H","UseDPDF=Y")</f>
        <v>#NAME?</v>
      </c>
      <c r="BW421" s="2" t="e">
        <f ca="1">_xll.BDH($C$403,"BPS_SEQUENTIAL_GROWTH","FQ3 2017","FQ3 2017","Currency=INR","Period=FQ","BEST_FPERIOD_OVERRIDE=FQ","FILING_STATUS=OR","EQY_CONSOLIDATED=Y","Sort=A","Dates=H","DateFormat=P","Fill=—","Direction=H","UseDPDF=Y")</f>
        <v>#NAME?</v>
      </c>
      <c r="BX421" s="2" t="e">
        <f ca="1">_xll.BDH($C$403,"CFO_SEQUENTIAL_GROWTH","FQ3 2017","FQ3 2017","Currency=INR","Period=FQ","BEST_FPERIOD_OVERRIDE=FQ","FILING_STATUS=OR","EQY_CONSOLIDATED=Y","Sort=A","Dates=H","DateFormat=P","Fill=—","Direction=H","UseDPDF=Y")</f>
        <v>#NAME?</v>
      </c>
      <c r="BY421" s="3" t="e">
        <f ca="1">_xll.BDH($C$403,"SHORT_AND_LONG_TERM_DEBT","FQ3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21" s="3" t="e">
        <f ca="1">_xll.BDH($C$403,"BS_ST_BORROW","FQ3 2017","FQ3 2017","Currency=INR","Period=FQ","BEST_FPERIOD_OVERRIDE=FQ","FILING_STATUS=OR","EQY_CONSOLIDATED=Y","SCALING_FORMAT=MLN","Sort=A","Dates=H","DateFormat=P","Fill=—","Direction=H","UseDPDF=Y")</f>
        <v>#NAME?</v>
      </c>
      <c r="CA421" s="3" t="e">
        <f ca="1">_xll.BDH($C$403,"BS_LT_BORROW","FQ3 2017","FQ3 2017","Currency=INR","Period=FQ","BEST_FPERIOD_OVERRIDE=FQ","FILING_STATUS=OR","EQY_CONSOLIDATED=Y","SCALING_FORMAT=MLN","Sort=A","Dates=H","DateFormat=P","Fill=—","Direction=H","UseDPDF=Y")</f>
        <v>#NAME?</v>
      </c>
      <c r="CB421" s="2" t="e">
        <f ca="1">_xll.BDH($C$403,"TOT_DEBT_TO_EBITDA","FQ3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21" s="2" t="e">
        <f ca="1">_xll.BDH($C$403,"NET_DEBT_TO_EBITDA","FQ3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21" s="2" t="e">
        <f ca="1">_xll.BDH($C$403,"TOTAL_DEBT_TO_EBIT","FQ3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21" s="2" t="e">
        <f ca="1">_xll.BDH($C$403,"NET_DEBT_TO_EBIT","FQ3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21" s="2" t="e">
        <f ca="1">_xll.BDH($C$403,"EBITDA_TO_INTEREST_EXPN","FQ3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21" s="2" t="e">
        <f ca="1">_xll.BDH($C$403,"COM_EQY_TO_TOT_ASSET","FQ3 2017","FQ3 2017","Currency=INR","Period=FQ","BEST_FPERIOD_OVERRIDE=FQ","FILING_STATUS=OR","EQY_CONSOLIDATED=Y","Sort=A","Dates=H","DateFormat=P","Fill=—","Direction=H","UseDPDF=Y")</f>
        <v>#NAME?</v>
      </c>
      <c r="CH421" s="2" t="e">
        <f ca="1">_xll.BDH($C$403,"LT_DEBT_TO_TOT_EQY","FQ3 2017","FQ3 2017","Currency=INR","Period=FQ","BEST_FPERIOD_OVERRIDE=FQ","FILING_STATUS=OR","EQY_CONSOLIDATED=Y","Sort=A","Dates=H","DateFormat=P","Fill=—","Direction=H","UseDPDF=Y")</f>
        <v>#NAME?</v>
      </c>
      <c r="CI421" s="2" t="e">
        <f ca="1">_xll.BDH($C$403,"LT_DEBT_TO_TOT_CAP","FQ3 2017","FQ3 2017","Currency=INR","Period=FQ","BEST_FPERIOD_OVERRIDE=FQ","FILING_STATUS=OR","EQY_CONSOLIDATED=Y","Sort=A","Dates=H","DateFormat=P","Fill=—","Direction=H","UseDPDF=Y")</f>
        <v>#NAME?</v>
      </c>
      <c r="CJ421" s="2" t="e">
        <f ca="1">_xll.BDH($C$403,"LT_DEBT_TO_TOT_ASSET","FQ3 2017","FQ3 2017","Currency=INR","Period=FQ","BEST_FPERIOD_OVERRIDE=FQ","FILING_STATUS=OR","EQY_CONSOLIDATED=Y","Sort=A","Dates=H","DateFormat=P","Fill=—","Direction=H","UseDPDF=Y")</f>
        <v>#NAME?</v>
      </c>
      <c r="CK421" s="2" t="e">
        <f ca="1">_xll.BDH($C$403,"TOT_DEBT_TO_TOT_EQY","FQ3 2017","FQ3 2017","Currency=INR","Period=FQ","BEST_FPERIOD_OVERRIDE=FQ","FILING_STATUS=OR","EQY_CONSOLIDATED=Y","Sort=A","Dates=H","DateFormat=P","Fill=—","Direction=H","UseDPDF=Y")</f>
        <v>#NAME?</v>
      </c>
      <c r="CL421" s="2" t="e">
        <f ca="1">_xll.BDH($C$403,"TOT_DEBT_TO_TOT_CAP","FQ3 2017","FQ3 2017","Currency=INR","Period=FQ","BEST_FPERIOD_OVERRIDE=FQ","FILING_STATUS=OR","EQY_CONSOLIDATED=Y","Sort=A","Dates=H","DateFormat=P","Fill=—","Direction=H","UseDPDF=Y")</f>
        <v>#NAME?</v>
      </c>
      <c r="CM421" s="2" t="e">
        <f ca="1">_xll.BDH($C$403,"TOT_DEBT_TO_TOT_ASSET","FQ3 2017","FQ3 2017","Currency=INR","Period=FQ","BEST_FPERIOD_OVERRIDE=FQ","FILING_STATUS=OR","EQY_CONSOLIDATED=Y","Sort=A","Dates=H","DateFormat=P","Fill=—","Direction=H","UseDPDF=Y")</f>
        <v>#NAME?</v>
      </c>
      <c r="CN421" s="2" t="e">
        <f ca="1">_xll.BDH($C$403,"NET_DEBT_TO_SHRHLDR_EQTY","FQ3 2017","FQ3 2017","Currency=INR","Period=FQ","BEST_FPERIOD_OVERRIDE=FQ","FILING_STATUS=OR","EQY_CONSOLIDATED=Y","Sort=A","Dates=H","DateFormat=P","Fill=—","Direction=H","UseDPDF=Y")</f>
        <v>#NAME?</v>
      </c>
      <c r="CO421" s="2" t="e">
        <f ca="1">_xll.BDH($C$403,"NET_DEBT_%_CAPITAL","FQ3 2017","FQ3 2017","Currency=INR","Period=FQ","BEST_FPERIOD_OVERRIDE=FQ","FILING_STATUS=OR","EQY_CONSOLIDATED=Y","Sort=A","Dates=H","DateFormat=P","Fill=—","Direction=H","UseDPDF=Y")</f>
        <v>#NAME?</v>
      </c>
      <c r="CP421" s="3" t="e">
        <f ca="1">_xll.BDH($C$403,"EBITDA","FQ3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21" s="3" t="e">
        <f ca="1">_xll.BDH($C$403,"EBITDA_AFTER_CAPEX","FQ3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21" s="3" t="e">
        <f ca="1">_xll.BDH($C$403,"IS_OPER_INC","FQ3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21" s="2" t="e">
        <f ca="1">_xll.BDH($C$403,"CASH_RATIO","FQ3 2017","FQ3 2017","Currency=INR","Period=FQ","BEST_FPERIOD_OVERRIDE=FQ","FILING_STATUS=OR","EQY_CONSOLIDATED=Y","Sort=A","Dates=H","DateFormat=P","Fill=—","Direction=H","UseDPDF=Y")</f>
        <v>#NAME?</v>
      </c>
      <c r="CT421" s="2" t="e">
        <f ca="1">_xll.BDH($C$403,"CUR_RATIO","FQ3 2017","FQ3 2017","Currency=INR","Period=FQ","BEST_FPERIOD_OVERRIDE=FQ","FILING_STATUS=OR","EQY_CONSOLIDATED=Y","Sort=A","Dates=H","DateFormat=P","Fill=—","Direction=H","UseDPDF=Y")</f>
        <v>#NAME?</v>
      </c>
      <c r="CU421" s="2" t="e">
        <f ca="1">_xll.BDH($C$403,"QUICK_RATIO","FQ3 2017","FQ3 2017","Currency=INR","Period=FQ","BEST_FPERIOD_OVERRIDE=FQ","FILING_STATUS=OR","EQY_CONSOLIDATED=Y","Sort=A","Dates=H","DateFormat=P","Fill=—","Direction=H","UseDPDF=Y")</f>
        <v>#NAME?</v>
      </c>
      <c r="CV421" s="2" t="e">
        <f ca="1">_xll.BDH($C$403,"ALTMAN_Z_SCORE","FQ3 2017","FQ3 2017","Currency=INR","Period=FQ","BEST_FPERIOD_OVERRIDE=FQ","FILING_STATUS=OR","EQY_CONSOLIDATED=Y","Sort=A","Dates=H","DateFormat=P","Fill=—","Direction=H","UseDPDF=Y")</f>
        <v>#NAME?</v>
      </c>
      <c r="CW421" s="4" t="e">
        <f ca="1">_xll.BDH($C$403,"ACCT_RCV_TURN","FQ3 2017","FQ3 2017","Currency=INR","Period=FQ","BEST_FPERIOD_OVERRIDE=FQ","FILING_STATUS=OR","EQY_CONSOLIDATED=Y","FA_ADJUSTED=GAAP","Sort=A","Dates=H","DateFormat=P","Fill=—","Direction=H","UseDPDF=Y")</f>
        <v>#NAME?</v>
      </c>
      <c r="CX421" s="2" t="e">
        <f ca="1">_xll.BDH($C$403,"ACCT_RCV_DAYS","FQ3 2017","FQ3 2017","Currency=INR","Period=FQ","BEST_FPERIOD_OVERRIDE=FQ","FILING_STATUS=OR","EQY_CONSOLIDATED=Y","FA_ADJUSTED=GAAP","Sort=A","Dates=H","DateFormat=P","Fill=—","Direction=H","UseDPDF=Y")</f>
        <v>#NAME?</v>
      </c>
      <c r="CY421" s="4" t="e">
        <f ca="1">_xll.BDH($C$403,"INVENT_TURN","FQ3 2017","FQ3 2017","Currency=INR","Period=FQ","BEST_FPERIOD_OVERRIDE=FQ","FILING_STATUS=OR","EQY_CONSOLIDATED=Y","FA_ADJUSTED=GAAP","Sort=A","Dates=H","DateFormat=P","Fill=—","Direction=H","UseDPDF=Y")</f>
        <v>#NAME?</v>
      </c>
      <c r="CZ421" s="2" t="e">
        <f ca="1">_xll.BDH($C$403,"INVENT_DAYS","FQ3 2017","FQ3 2017","Currency=INR","Period=FQ","BEST_FPERIOD_OVERRIDE=FQ","FILING_STATUS=OR","EQY_CONSOLIDATED=Y","FA_ADJUSTED=GAAP","Sort=A","Dates=H","DateFormat=P","Fill=—","Direction=H","UseDPDF=Y")</f>
        <v>#NAME?</v>
      </c>
      <c r="DA421" s="4" t="e">
        <f ca="1">_xll.BDH($C$403,"ACCOUNTS_PAYABLE_TURNOVER","FQ3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21" s="2" t="e">
        <f ca="1">_xll.BDH($C$403,"ACCOUNTS_PAYABLE_TURNOVER_DAYS","FQ3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21" s="4" t="e">
        <f ca="1">_xll.BDH($C$403,"CASH_CONVERSION_CYCLE","FQ3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21" s="4" t="e">
        <f ca="1">_xll.BDH($C$403,"INV_TO_CASH_DAYS","FQ3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21" s="5" t="e">
        <f ca="1">_xll.BDH($C$403,"BS_INVENTORIES","FQ3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21" s="3" t="e">
        <f ca="1">_xll.BDH($C$403,"INVTRY_RAW_MATERIALS","FQ3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21" s="3" t="e">
        <f ca="1">_xll.BDH($C$403,"INVTRY_IN_PROGRESS","FQ3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21" s="3" t="e">
        <f ca="1">_xll.BDH($C$403,"INVTRY_FINISHED_GOODS","FQ3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21" s="3" t="e">
        <f ca="1">_xll.BDH($C$403,"BS_OTHER_INV","FQ3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22" spans="1:113" x14ac:dyDescent="0.3">
      <c r="A422" s="6"/>
      <c r="B422" s="6"/>
      <c r="C422" s="6"/>
      <c r="D422" s="6"/>
      <c r="E422" t="s">
        <v>81</v>
      </c>
      <c r="F422" t="e">
        <f ca="1">_xll.BDH($C$403,"RETURN_COM_EQY","FQ4 2017","FQ4 2017","Currency=INR","Period=FQ","BEST_FPERIOD_OVERRIDE=FQ","FILING_STATUS=OR","EQY_CONSOLIDATED=Y","FA_ADJUSTED=GAAP","Sort=A","Dates=H","DateFormat=P","Fill=—","Direction=H","UseDPDF=Y")</f>
        <v>#NAME?</v>
      </c>
      <c r="G422" t="e">
        <f ca="1">_xll.BDH($C$403,"RETURN_ON_ASSET","FQ4 2017","FQ4 2017","Currency=INR","Period=FQ","BEST_FPERIOD_OVERRIDE=FQ","FILING_STATUS=OR","EQY_CONSOLIDATED=Y","FA_ADJUSTED=GAAP","Sort=A","Dates=H","DateFormat=P","Fill=—","Direction=H","UseDPDF=Y")</f>
        <v>#NAME?</v>
      </c>
      <c r="H422" t="e">
        <f ca="1">_xll.BDH($C$403,"RETURN_ON_CAP","FQ4 2017","FQ4 2017","Currency=INR","Period=FQ","BEST_FPERIOD_OVERRIDE=FQ","FILING_STATUS=OR","EQY_CONSOLIDATED=Y","FA_ADJUSTED=GAAP","Sort=A","Dates=H","DateFormat=P","Fill=—","Direction=H","UseDPDF=Y")</f>
        <v>#NAME?</v>
      </c>
      <c r="I422" t="e">
        <f ca="1">_xll.BDH($C$403,"RETURN_ON_INV_CAPITAL","FQ4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22" t="e">
        <f ca="1">_xll.BDH($C$403,"EBITDA_TO_REVENUE","FQ4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22" t="e">
        <f ca="1">_xll.BDH($C$403,"OPER_MARGIN","FQ4 2017","FQ4 2017","Currency=INR","Period=FQ","BEST_FPERIOD_OVERRIDE=FQ","FILING_STATUS=OR","EQY_CONSOLIDATED=Y","FA_ADJUSTED=GAAP","Sort=A","Dates=H","DateFormat=P","Fill=—","Direction=H","UseDPDF=Y")</f>
        <v>#NAME?</v>
      </c>
      <c r="L422" t="e">
        <f ca="1">_xll.BDH($C$403,"INCREMENTAL_OPERATING_MARGIN","FQ4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22" t="e">
        <f ca="1">_xll.BDH($C$403,"PRETAX_INC_TO_NET_SALES","FQ4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22" t="e">
        <f ca="1">_xll.BDH($C$403,"INC_BEF_XO_ITEMS_TO_NET_SALES","FQ4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22" t="e">
        <f ca="1">_xll.BDH($C$403,"PROF_MARGIN","FQ4 2017","FQ4 2017","Currency=INR","Period=FQ","BEST_FPERIOD_OVERRIDE=FQ","FILING_STATUS=OR","EQY_CONSOLIDATED=Y","FA_ADJUSTED=GAAP","Sort=A","Dates=H","DateFormat=P","Fill=—","Direction=H","UseDPDF=Y")</f>
        <v>#NAME?</v>
      </c>
      <c r="P422" t="e">
        <f ca="1">_xll.BDH($C$403,"NET_INCOME_TO_COMMON_MARGIN","FQ4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22" t="e">
        <f ca="1">_xll.BDH($C$403,"EFF_TAX_RATE","FQ4 2017","FQ4 2017","Currency=INR","Period=FQ","BEST_FPERIOD_OVERRIDE=FQ","FILING_STATUS=OR","EQY_CONSOLIDATED=Y","FA_ADJUSTED=GAAP","Sort=A","Dates=H","DateFormat=P","Fill=—","Direction=H","UseDPDF=Y")</f>
        <v>#NAME?</v>
      </c>
      <c r="R422" t="e">
        <f ca="1">_xll.BDH($C$403,"DVD_PAYOUT_RATIO","FQ4 2017","FQ4 2017","Currency=INR","Period=FQ","BEST_FPERIOD_OVERRIDE=FQ","FILING_STATUS=OR","EQY_CONSOLIDATED=Y","FA_ADJUSTED=GAAP","Sort=A","Dates=H","DateFormat=P","Fill=—","Direction=H","UseDPDF=Y")</f>
        <v>#NAME?</v>
      </c>
      <c r="S422" t="e">
        <f ca="1">_xll.BDH($C$403,"SUSTAIN_GROWTH_RT","FQ4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22" s="2" t="e">
        <f ca="1">_xll.BDH($C$403,"SALES_GROWTH","FQ4 2017","FQ4 2017","Currency=INR","Period=FQ","BEST_FPERIOD_OVERRIDE=FQ","FILING_STATUS=OR","EQY_CONSOLIDATED=Y","FA_ADJUSTED=GAAP","Sort=A","Dates=H","DateFormat=P","Fill=—","Direction=H","UseDPDF=Y")</f>
        <v>#NAME?</v>
      </c>
      <c r="U422" s="2" t="e">
        <f ca="1">_xll.BDH($C$403,"EBITDA_GROWTH","FQ4 2017","FQ4 2017","Currency=INR","Period=FQ","BEST_FPERIOD_OVERRIDE=FQ","FILING_STATUS=OR","EQY_CONSOLIDATED=Y","FA_ADJUSTED=GAAP","Sort=A","Dates=H","DateFormat=P","Fill=—","Direction=H","UseDPDF=Y")</f>
        <v>#NAME?</v>
      </c>
      <c r="V422" s="2" t="e">
        <f ca="1">_xll.BDH($C$403,"OPER_INC_GROWTH","FQ4 2017","FQ4 2017","Currency=INR","Period=FQ","BEST_FPERIOD_OVERRIDE=FQ","FILING_STATUS=OR","EQY_CONSOLIDATED=Y","FA_ADJUSTED=GAAP","Sort=A","Dates=H","DateFormat=P","Fill=—","Direction=H","UseDPDF=Y")</f>
        <v>#NAME?</v>
      </c>
      <c r="W422" s="2" t="e">
        <f ca="1">_xll.BDH($C$403,"EARN_FOR_COM_GROWTH","FQ4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22" s="2" t="e">
        <f ca="1">_xll.BDH($C$403,"DILUTED_EPS_AFT_XO_ITEMS_GROWTH","FQ4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22" s="2" t="e">
        <f ca="1">_xll.BDH($C$403,"DIVIDEND_PER_SHARE_1_YEAR_GROWTH","FQ4 2017","FQ4 2017","Currency=INR","Period=FQ","BEST_FPERIOD_OVERRIDE=FQ","FILING_STATUS=OR","EQY_CONSOLIDATED=Y","Sort=A","Dates=H","DateFormat=P","Fill=—","Direction=H","UseDPDF=Y")</f>
        <v>#NAME?</v>
      </c>
      <c r="Z422" s="2" t="e">
        <f ca="1">_xll.BDH($C$403,"ACCOUNTS_RECEIVABLE_GROWTH","FQ4 2017","FQ4 2017","Currency=INR","Period=FQ","BEST_FPERIOD_OVERRIDE=FQ","FILING_STATUS=OR","EQY_CONSOLIDATED=Y","Sort=A","Dates=H","DateFormat=P","Fill=—","Direction=H","UseDPDF=Y")</f>
        <v>#NAME?</v>
      </c>
      <c r="AA422" s="2" t="e">
        <f ca="1">_xll.BDH($C$403,"INVENTORY_GROWTH","FQ4 2017","FQ4 2017","Currency=INR","Period=FQ","BEST_FPERIOD_OVERRIDE=FQ","FILING_STATUS=OR","EQY_CONSOLIDATED=Y","Sort=A","Dates=H","DateFormat=P","Fill=—","Direction=H","UseDPDF=Y")</f>
        <v>#NAME?</v>
      </c>
      <c r="AB422" s="2" t="e">
        <f ca="1">_xll.BDH($C$403,"NET_FIXED_ASSETS_1_YEAR_GROWTH","FQ4 2017","FQ4 2017","Currency=INR","Period=FQ","BEST_FPERIOD_OVERRIDE=FQ","FILING_STATUS=OR","EQY_CONSOLIDATED=Y","Sort=A","Dates=H","DateFormat=P","Fill=—","Direction=H","UseDPDF=Y")</f>
        <v>#NAME?</v>
      </c>
      <c r="AC422" s="2" t="e">
        <f ca="1">_xll.BDH($C$403,"ASSET_GROWTH","FQ4 2017","FQ4 2017","Currency=INR","Period=FQ","BEST_FPERIOD_OVERRIDE=FQ","FILING_STATUS=OR","EQY_CONSOLIDATED=Y","Sort=A","Dates=H","DateFormat=P","Fill=—","Direction=H","UseDPDF=Y")</f>
        <v>#NAME?</v>
      </c>
      <c r="AD422" s="2" t="e">
        <f ca="1">_xll.BDH($C$403,"MODIFIED_WORK_CAP_GROWTH","FQ4 2017","FQ4 2017","Currency=INR","Period=FQ","BEST_FPERIOD_OVERRIDE=FQ","FILING_STATUS=OR","EQY_CONSOLIDATED=Y","Sort=A","Dates=H","DateFormat=P","Fill=—","Direction=H","UseDPDF=Y")</f>
        <v>#NAME?</v>
      </c>
      <c r="AE422" s="2" t="e">
        <f ca="1">_xll.BDH($C$403,"WORK_CAP_GROWTH","FQ4 2017","FQ4 2017","Currency=INR","Period=FQ","BEST_FPERIOD_OVERRIDE=FQ","FILING_STATUS=OR","EQY_CONSOLIDATED=Y","Sort=A","Dates=H","DateFormat=P","Fill=—","Direction=H","UseDPDF=Y")</f>
        <v>#NAME?</v>
      </c>
      <c r="AF422" s="2" t="e">
        <f ca="1">_xll.BDH($C$403,"ACCOUNTS_PAYABLE_GROWTH_1YR","FQ4 2017","FQ4 2017","Currency=INR","Period=FQ","BEST_FPERIOD_OVERRIDE=FQ","FILING_STATUS=OR","EQY_CONSOLIDATED=Y","Sort=A","Dates=H","DateFormat=P","Fill=—","Direction=H","UseDPDF=Y")</f>
        <v>#NAME?</v>
      </c>
      <c r="AG422" s="2" t="e">
        <f ca="1">_xll.BDH($C$403,"SHORT_TERM_DEBT_1_YEAR_GROWTH","FQ4 2017","FQ4 2017","Currency=INR","Period=FQ","BEST_FPERIOD_OVERRIDE=FQ","FILING_STATUS=OR","EQY_CONSOLIDATED=Y","Sort=A","Dates=H","DateFormat=P","Fill=—","Direction=H","UseDPDF=Y")</f>
        <v>#NAME?</v>
      </c>
      <c r="AH422" s="2" t="e">
        <f ca="1">_xll.BDH($C$403,"TOTAL_DEBT_1_YEAR_GROWTH","FQ4 2017","FQ4 2017","Currency=INR","Period=FQ","BEST_FPERIOD_OVERRIDE=FQ","FILING_STATUS=OR","EQY_CONSOLIDATED=Y","Sort=A","Dates=H","DateFormat=P","Fill=—","Direction=H","UseDPDF=Y")</f>
        <v>#NAME?</v>
      </c>
      <c r="AI422" s="2" t="e">
        <f ca="1">_xll.BDH($C$403,"TOTAL_EQUITY_1_YEAR_GROWTH","FQ4 2017","FQ4 2017","Currency=INR","Period=FQ","BEST_FPERIOD_OVERRIDE=FQ","FILING_STATUS=OR","EQY_CONSOLIDATED=Y","Sort=A","Dates=H","DateFormat=P","Fill=—","Direction=H","UseDPDF=Y")</f>
        <v>#NAME?</v>
      </c>
      <c r="AJ422" s="2" t="e">
        <f ca="1">_xll.BDH($C$403,"GROWTH_IN_CAP","FQ4 2017","FQ4 2017","Currency=INR","Period=FQ","BEST_FPERIOD_OVERRIDE=FQ","FILING_STATUS=OR","EQY_CONSOLIDATED=Y","Sort=A","Dates=H","DateFormat=P","Fill=—","Direction=H","UseDPDF=Y")</f>
        <v>#NAME?</v>
      </c>
      <c r="AK422" s="2" t="e">
        <f ca="1">_xll.BDH($C$403,"BVPS_GROWTH","FQ4 2017","FQ4 2017","Currency=INR","Period=FQ","BEST_FPERIOD_OVERRIDE=FQ","FILING_STATUS=OR","EQY_CONSOLIDATED=Y","Sort=A","Dates=H","DateFormat=P","Fill=—","Direction=H","UseDPDF=Y")</f>
        <v>#NAME?</v>
      </c>
      <c r="AL422" s="2" t="e">
        <f ca="1">_xll.BDH($C$403,"CASH_FLOW_GROWTH","FQ4 2017","FQ4 2017","Currency=INR","Period=FQ","BEST_FPERIOD_OVERRIDE=FQ","FILING_STATUS=OR","EQY_CONSOLIDATED=Y","Sort=A","Dates=H","DateFormat=P","Fill=—","Direction=H","UseDPDF=Y")</f>
        <v>#NAME?</v>
      </c>
      <c r="AM422" s="2" t="e">
        <f ca="1">_xll.BDH($C$403,"GEO_GROW_NET_SALES","FQ4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22" s="2" t="e">
        <f ca="1">_xll.BDH($C$403,"GEO_GROW_EBITDA","FQ4 2017","FQ4 2017","Currency=INR","Period=FQ","BEST_FPERIOD_OVERRIDE=FQ","FILING_STATUS=OR","EQY_CONSOLIDATED=Y","FA_ADJUSTED=GAAP","Sort=A","Dates=H","DateFormat=P","Fill=—","Direction=H","UseDPDF=Y")</f>
        <v>#NAME?</v>
      </c>
      <c r="AO422" s="2" t="e">
        <f ca="1">_xll.BDH($C$403,"GEO_GROW_OPER_INC","FQ4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22" s="2" t="e">
        <f ca="1">_xll.BDH($C$403,"NET_INCOME_TO_COMMON_5_YR_GROWTH","FQ4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22" s="2" t="e">
        <f ca="1">_xll.BDH($C$403,"5Y_GEO_GROWTH_DILUTED_EPS","FQ4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22" s="2" t="e">
        <f ca="1">_xll.BDH($C$403,"GEO_GROW_DVD_PER_SH","FQ4 2017","FQ4 2017","Currency=INR","Period=FQ","BEST_FPERIOD_OVERRIDE=FQ","FILING_STATUS=OR","EQY_CONSOLIDATED=Y","Sort=A","Dates=H","DateFormat=P","Fill=—","Direction=H","UseDPDF=Y")</f>
        <v>#NAME?</v>
      </c>
      <c r="AS422" s="2" t="e">
        <f ca="1">_xll.BDH($C$403,"ACCOUNTS_RECEIVABLE_5_YR_GROWTH","FQ4 2017","FQ4 2017","Currency=INR","Period=FQ","BEST_FPERIOD_OVERRIDE=FQ","FILING_STATUS=OR","EQY_CONSOLIDATED=Y","Sort=A","Dates=H","DateFormat=P","Fill=—","Direction=H","UseDPDF=Y")</f>
        <v>#NAME?</v>
      </c>
      <c r="AT422" s="2" t="e">
        <f ca="1">_xll.BDH($C$403,"INVENTORY_5_YEAR_GROWTH","FQ4 2017","FQ4 2017","Currency=INR","Period=FQ","BEST_FPERIOD_OVERRIDE=FQ","FILING_STATUS=OR","EQY_CONSOLIDATED=Y","Sort=A","Dates=H","DateFormat=P","Fill=—","Direction=H","UseDPDF=Y")</f>
        <v>#NAME?</v>
      </c>
      <c r="AU422" s="2" t="e">
        <f ca="1">_xll.BDH($C$403,"NET_FIXED_ASSETS_5_YEAR_GROWTH","FQ4 2017","FQ4 2017","Currency=INR","Period=FQ","BEST_FPERIOD_OVERRIDE=FQ","FILING_STATUS=OR","EQY_CONSOLIDATED=Y","Sort=A","Dates=H","DateFormat=P","Fill=—","Direction=H","UseDPDF=Y")</f>
        <v>#NAME?</v>
      </c>
      <c r="AV422" s="2" t="e">
        <f ca="1">_xll.BDH($C$403,"GEO_GROW_TOT_ASSET","FQ4 2017","FQ4 2017","Currency=INR","Period=FQ","BEST_FPERIOD_OVERRIDE=FQ","FILING_STATUS=OR","EQY_CONSOLIDATED=Y","Sort=A","Dates=H","DateFormat=P","Fill=—","Direction=H","UseDPDF=Y")</f>
        <v>#NAME?</v>
      </c>
      <c r="AW422" s="2" t="e">
        <f ca="1">_xll.BDH($C$403,"MODIFIED_WORKING_CPTL_5YR_GRWTH","FQ4 2017","FQ4 2017","Currency=INR","Period=FQ","BEST_FPERIOD_OVERRIDE=FQ","FILING_STATUS=OR","EQY_CONSOLIDATED=Y","Sort=A","Dates=H","DateFormat=P","Fill=—","Direction=H","UseDPDF=Y")</f>
        <v>#NAME?</v>
      </c>
      <c r="AX422" s="2" t="e">
        <f ca="1">_xll.BDH($C$403,"WORKING_CAPITAL_5_YEAR_GROWTH","FQ4 2017","FQ4 2017","Currency=INR","Period=FQ","BEST_FPERIOD_OVERRIDE=FQ","FILING_STATUS=OR","EQY_CONSOLIDATED=Y","Sort=A","Dates=H","DateFormat=P","Fill=—","Direction=H","UseDPDF=Y")</f>
        <v>#NAME?</v>
      </c>
      <c r="AY422" s="2" t="e">
        <f ca="1">_xll.BDH($C$403,"ACCOUNTS_PAYABLE_5_YEAR_GROWTH","FQ4 2017","FQ4 2017","Currency=INR","Period=FQ","BEST_FPERIOD_OVERRIDE=FQ","FILING_STATUS=OR","EQY_CONSOLIDATED=Y","Sort=A","Dates=H","DateFormat=P","Fill=—","Direction=H","UseDPDF=Y")</f>
        <v>#NAME?</v>
      </c>
      <c r="AZ422" s="2" t="e">
        <f ca="1">_xll.BDH($C$403,"SHORT_TERM_DEBT_5_YEAR_GROWTH","FQ4 2017","FQ4 2017","Currency=INR","Period=FQ","BEST_FPERIOD_OVERRIDE=FQ","FILING_STATUS=OR","EQY_CONSOLIDATED=Y","Sort=A","Dates=H","DateFormat=P","Fill=—","Direction=H","UseDPDF=Y")</f>
        <v>#NAME?</v>
      </c>
      <c r="BA422" s="2" t="e">
        <f ca="1">_xll.BDH($C$403,"TOTAL_DEBT_5_YEAR_GROWTH","FQ4 2017","FQ4 2017","Currency=INR","Period=FQ","BEST_FPERIOD_OVERRIDE=FQ","FILING_STATUS=OR","EQY_CONSOLIDATED=Y","Sort=A","Dates=H","DateFormat=P","Fill=—","Direction=H","UseDPDF=Y")</f>
        <v>#NAME?</v>
      </c>
      <c r="BB422" s="2" t="e">
        <f ca="1">_xll.BDH($C$403,"GEO_GROW_TOT_SHRHLDR_EQY","FQ4 2017","FQ4 2017","Currency=INR","Period=FQ","BEST_FPERIOD_OVERRIDE=FQ","FILING_STATUS=OR","EQY_CONSOLIDATED=Y","Sort=A","Dates=H","DateFormat=P","Fill=—","Direction=H","UseDPDF=Y")</f>
        <v>#NAME?</v>
      </c>
      <c r="BC422" s="2" t="e">
        <f ca="1">_xll.BDH($C$403,"TOTAL_CAPITAL_5_YEAR_GROWTH","FQ4 2017","FQ4 2017","Currency=INR","Period=FQ","BEST_FPERIOD_OVERRIDE=FQ","FILING_STATUS=OR","EQY_CONSOLIDATED=Y","Sort=A","Dates=H","DateFormat=P","Fill=—","Direction=H","UseDPDF=Y")</f>
        <v>#NAME?</v>
      </c>
      <c r="BD422" s="2" t="e">
        <f ca="1">_xll.BDH($C$403,"GEO_GROW_BOOK_VAL","FQ4 2017","FQ4 2017","Currency=INR","Period=FQ","BEST_FPERIOD_OVERRIDE=FQ","FILING_STATUS=OR","EQY_CONSOLIDATED=Y","Sort=A","Dates=H","DateFormat=P","Fill=—","Direction=H","UseDPDF=Y")</f>
        <v>#NAME?</v>
      </c>
      <c r="BE422" s="2" t="e">
        <f ca="1">_xll.BDH($C$403,"GEO_GROW_CASH_OPER_ACT","FQ4 2017","FQ4 2017","Currency=INR","Period=FQ","BEST_FPERIOD_OVERRIDE=FQ","FILING_STATUS=OR","EQY_CONSOLIDATED=Y","Sort=A","Dates=H","DateFormat=P","Fill=—","Direction=H","UseDPDF=Y")</f>
        <v>#NAME?</v>
      </c>
      <c r="BF422" s="2" t="e">
        <f ca="1">_xll.BDH($C$403,"REVENUE_SEQUENTIAL_GROWTH","FQ4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22" s="2" t="e">
        <f ca="1">_xll.BDH($C$403,"EBITDA_SEQUENTIAL_GROWTH","FQ4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22" s="2" t="e">
        <f ca="1">_xll.BDH($C$403,"OPERATING_INCOME_SEQ_GROWTH","FQ4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22" s="2" t="e">
        <f ca="1">_xll.BDH($C$403,"NET_INCOME_TO_COMMON_SEQ_GROWTH","FQ4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22" s="2" t="e">
        <f ca="1">_xll.BDH($C$403,"EPS_DILUTED_SEQUENTIAL_GROWTH","FQ4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22" s="2" t="e">
        <f ca="1">_xll.BDH($C$403,"DPS_SEQUENTIAL_GROWTH","FQ4 2017","FQ4 2017","Currency=INR","Period=FQ","BEST_FPERIOD_OVERRIDE=FQ","FILING_STATUS=OR","EQY_CONSOLIDATED=Y","Sort=A","Dates=H","DateFormat=P","Fill=—","Direction=H","UseDPDF=Y")</f>
        <v>#NAME?</v>
      </c>
      <c r="BL422" s="2" t="e">
        <f ca="1">_xll.BDH($C$403,"ACCOUNTS_RECEIVABLE_SEQ_GROWTH","FQ4 2017","FQ4 2017","Currency=INR","Period=FQ","BEST_FPERIOD_OVERRIDE=FQ","FILING_STATUS=OR","EQY_CONSOLIDATED=Y","Sort=A","Dates=H","DateFormat=P","Fill=—","Direction=H","UseDPDF=Y")</f>
        <v>#NAME?</v>
      </c>
      <c r="BM422" s="2" t="e">
        <f ca="1">_xll.BDH($C$403,"INVENTORY_SEQUENTIAL_GROWTH","FQ4 2017","FQ4 2017","Currency=INR","Period=FQ","BEST_FPERIOD_OVERRIDE=FQ","FILING_STATUS=OR","EQY_CONSOLIDATED=Y","Sort=A","Dates=H","DateFormat=P","Fill=—","Direction=H","UseDPDF=Y")</f>
        <v>#NAME?</v>
      </c>
      <c r="BN422" s="2" t="e">
        <f ca="1">_xll.BDH($C$403,"FIXED_ASSETS_SEQUENTIAL_GROWTH","FQ4 2017","FQ4 2017","Currency=INR","Period=FQ","BEST_FPERIOD_OVERRIDE=FQ","FILING_STATUS=OR","EQY_CONSOLIDATED=Y","Sort=A","Dates=H","DateFormat=P","Fill=—","Direction=H","UseDPDF=Y")</f>
        <v>#NAME?</v>
      </c>
      <c r="BO422" s="2" t="e">
        <f ca="1">_xll.BDH($C$403,"TOTAL_ASSETS_SEQUENTIAL_GROWTH","FQ4 2017","FQ4 2017","Currency=INR","Period=FQ","BEST_FPERIOD_OVERRIDE=FQ","FILING_STATUS=OR","EQY_CONSOLIDATED=Y","Sort=A","Dates=H","DateFormat=P","Fill=—","Direction=H","UseDPDF=Y")</f>
        <v>#NAME?</v>
      </c>
      <c r="BP422" s="2" t="e">
        <f ca="1">_xll.BDH($C$403,"MODIFIED_WORKING_CPTL_SEQ_GRWTH","FQ4 2017","FQ4 2017","Currency=INR","Period=FQ","BEST_FPERIOD_OVERRIDE=FQ","FILING_STATUS=OR","EQY_CONSOLIDATED=Y","Sort=A","Dates=H","DateFormat=P","Fill=—","Direction=H","UseDPDF=Y")</f>
        <v>#NAME?</v>
      </c>
      <c r="BQ422" s="2" t="e">
        <f ca="1">_xll.BDH($C$403,"WORKING_CAPITAL_SEQ_GROWTH","FQ4 2017","FQ4 2017","Currency=INR","Period=FQ","BEST_FPERIOD_OVERRIDE=FQ","FILING_STATUS=OR","EQY_CONSOLIDATED=Y","Sort=A","Dates=H","DateFormat=P","Fill=—","Direction=H","UseDPDF=Y")</f>
        <v>#NAME?</v>
      </c>
      <c r="BR422" s="2" t="e">
        <f ca="1">_xll.BDH($C$403,"ACCOUNTS_PAYABLE_SEQ_GROWTH","FQ4 2017","FQ4 2017","Currency=INR","Period=FQ","BEST_FPERIOD_OVERRIDE=FQ","FILING_STATUS=OR","EQY_CONSOLIDATED=Y","Sort=A","Dates=H","DateFormat=P","Fill=—","Direction=H","UseDPDF=Y")</f>
        <v>#NAME?</v>
      </c>
      <c r="BS422" s="2" t="e">
        <f ca="1">_xll.BDH($C$403,"ST_DEBT_SEQUENTIAL_GROWTH","FQ4 2017","FQ4 2017","Currency=INR","Period=FQ","BEST_FPERIOD_OVERRIDE=FQ","FILING_STATUS=OR","EQY_CONSOLIDATED=Y","Sort=A","Dates=H","DateFormat=P","Fill=—","Direction=H","UseDPDF=Y")</f>
        <v>#NAME?</v>
      </c>
      <c r="BT422" s="2" t="e">
        <f ca="1">_xll.BDH($C$403,"TOTAL_DEBT_SEQUENTIAL_GROWTH","FQ4 2017","FQ4 2017","Currency=INR","Period=FQ","BEST_FPERIOD_OVERRIDE=FQ","FILING_STATUS=OR","EQY_CONSOLIDATED=Y","Sort=A","Dates=H","DateFormat=P","Fill=—","Direction=H","UseDPDF=Y")</f>
        <v>#NAME?</v>
      </c>
      <c r="BU422" s="2" t="e">
        <f ca="1">_xll.BDH($C$403,"TOTAL_EQUITY_SEQUENTIAL_GROWTH","FQ4 2017","FQ4 2017","Currency=INR","Period=FQ","BEST_FPERIOD_OVERRIDE=FQ","FILING_STATUS=OR","EQY_CONSOLIDATED=Y","Sort=A","Dates=H","DateFormat=P","Fill=—","Direction=H","UseDPDF=Y")</f>
        <v>#NAME?</v>
      </c>
      <c r="BV422" s="2" t="e">
        <f ca="1">_xll.BDH($C$403,"TOTAL_CAPITAL_SEQUENTIAL_GROWTH","FQ4 2017","FQ4 2017","Currency=INR","Period=FQ","BEST_FPERIOD_OVERRIDE=FQ","FILING_STATUS=OR","EQY_CONSOLIDATED=Y","Sort=A","Dates=H","DateFormat=P","Fill=—","Direction=H","UseDPDF=Y")</f>
        <v>#NAME?</v>
      </c>
      <c r="BW422" s="2" t="e">
        <f ca="1">_xll.BDH($C$403,"BPS_SEQUENTIAL_GROWTH","FQ4 2017","FQ4 2017","Currency=INR","Period=FQ","BEST_FPERIOD_OVERRIDE=FQ","FILING_STATUS=OR","EQY_CONSOLIDATED=Y","Sort=A","Dates=H","DateFormat=P","Fill=—","Direction=H","UseDPDF=Y")</f>
        <v>#NAME?</v>
      </c>
      <c r="BX422" s="2" t="e">
        <f ca="1">_xll.BDH($C$403,"CFO_SEQUENTIAL_GROWTH","FQ4 2017","FQ4 2017","Currency=INR","Period=FQ","BEST_FPERIOD_OVERRIDE=FQ","FILING_STATUS=OR","EQY_CONSOLIDATED=Y","Sort=A","Dates=H","DateFormat=P","Fill=—","Direction=H","UseDPDF=Y")</f>
        <v>#NAME?</v>
      </c>
      <c r="BY422" s="3" t="e">
        <f ca="1">_xll.BDH($C$403,"SHORT_AND_LONG_TERM_DEBT","FQ4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22" s="3" t="e">
        <f ca="1">_xll.BDH($C$403,"BS_ST_BORROW","FQ4 2017","FQ4 2017","Currency=INR","Period=FQ","BEST_FPERIOD_OVERRIDE=FQ","FILING_STATUS=OR","EQY_CONSOLIDATED=Y","SCALING_FORMAT=MLN","Sort=A","Dates=H","DateFormat=P","Fill=—","Direction=H","UseDPDF=Y")</f>
        <v>#NAME?</v>
      </c>
      <c r="CA422" s="3" t="e">
        <f ca="1">_xll.BDH($C$403,"BS_LT_BORROW","FQ4 2017","FQ4 2017","Currency=INR","Period=FQ","BEST_FPERIOD_OVERRIDE=FQ","FILING_STATUS=OR","EQY_CONSOLIDATED=Y","SCALING_FORMAT=MLN","Sort=A","Dates=H","DateFormat=P","Fill=—","Direction=H","UseDPDF=Y")</f>
        <v>#NAME?</v>
      </c>
      <c r="CB422" s="2" t="e">
        <f ca="1">_xll.BDH($C$403,"TOT_DEBT_TO_EBITDA","FQ4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22" s="2" t="e">
        <f ca="1">_xll.BDH($C$403,"NET_DEBT_TO_EBITDA","FQ4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22" s="2" t="e">
        <f ca="1">_xll.BDH($C$403,"TOTAL_DEBT_TO_EBIT","FQ4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22" s="2" t="e">
        <f ca="1">_xll.BDH($C$403,"NET_DEBT_TO_EBIT","FQ4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22" s="2" t="e">
        <f ca="1">_xll.BDH($C$403,"EBITDA_TO_INTEREST_EXPN","FQ4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22" s="2" t="e">
        <f ca="1">_xll.BDH($C$403,"COM_EQY_TO_TOT_ASSET","FQ4 2017","FQ4 2017","Currency=INR","Period=FQ","BEST_FPERIOD_OVERRIDE=FQ","FILING_STATUS=OR","EQY_CONSOLIDATED=Y","Sort=A","Dates=H","DateFormat=P","Fill=—","Direction=H","UseDPDF=Y")</f>
        <v>#NAME?</v>
      </c>
      <c r="CH422" s="2" t="e">
        <f ca="1">_xll.BDH($C$403,"LT_DEBT_TO_TOT_EQY","FQ4 2017","FQ4 2017","Currency=INR","Period=FQ","BEST_FPERIOD_OVERRIDE=FQ","FILING_STATUS=OR","EQY_CONSOLIDATED=Y","Sort=A","Dates=H","DateFormat=P","Fill=—","Direction=H","UseDPDF=Y")</f>
        <v>#NAME?</v>
      </c>
      <c r="CI422" s="2" t="e">
        <f ca="1">_xll.BDH($C$403,"LT_DEBT_TO_TOT_CAP","FQ4 2017","FQ4 2017","Currency=INR","Period=FQ","BEST_FPERIOD_OVERRIDE=FQ","FILING_STATUS=OR","EQY_CONSOLIDATED=Y","Sort=A","Dates=H","DateFormat=P","Fill=—","Direction=H","UseDPDF=Y")</f>
        <v>#NAME?</v>
      </c>
      <c r="CJ422" s="2" t="e">
        <f ca="1">_xll.BDH($C$403,"LT_DEBT_TO_TOT_ASSET","FQ4 2017","FQ4 2017","Currency=INR","Period=FQ","BEST_FPERIOD_OVERRIDE=FQ","FILING_STATUS=OR","EQY_CONSOLIDATED=Y","Sort=A","Dates=H","DateFormat=P","Fill=—","Direction=H","UseDPDF=Y")</f>
        <v>#NAME?</v>
      </c>
      <c r="CK422" s="2" t="e">
        <f ca="1">_xll.BDH($C$403,"TOT_DEBT_TO_TOT_EQY","FQ4 2017","FQ4 2017","Currency=INR","Period=FQ","BEST_FPERIOD_OVERRIDE=FQ","FILING_STATUS=OR","EQY_CONSOLIDATED=Y","Sort=A","Dates=H","DateFormat=P","Fill=—","Direction=H","UseDPDF=Y")</f>
        <v>#NAME?</v>
      </c>
      <c r="CL422" s="2" t="e">
        <f ca="1">_xll.BDH($C$403,"TOT_DEBT_TO_TOT_CAP","FQ4 2017","FQ4 2017","Currency=INR","Period=FQ","BEST_FPERIOD_OVERRIDE=FQ","FILING_STATUS=OR","EQY_CONSOLIDATED=Y","Sort=A","Dates=H","DateFormat=P","Fill=—","Direction=H","UseDPDF=Y")</f>
        <v>#NAME?</v>
      </c>
      <c r="CM422" s="2" t="e">
        <f ca="1">_xll.BDH($C$403,"TOT_DEBT_TO_TOT_ASSET","FQ4 2017","FQ4 2017","Currency=INR","Period=FQ","BEST_FPERIOD_OVERRIDE=FQ","FILING_STATUS=OR","EQY_CONSOLIDATED=Y","Sort=A","Dates=H","DateFormat=P","Fill=—","Direction=H","UseDPDF=Y")</f>
        <v>#NAME?</v>
      </c>
      <c r="CN422" s="2" t="e">
        <f ca="1">_xll.BDH($C$403,"NET_DEBT_TO_SHRHLDR_EQTY","FQ4 2017","FQ4 2017","Currency=INR","Period=FQ","BEST_FPERIOD_OVERRIDE=FQ","FILING_STATUS=OR","EQY_CONSOLIDATED=Y","Sort=A","Dates=H","DateFormat=P","Fill=—","Direction=H","UseDPDF=Y")</f>
        <v>#NAME?</v>
      </c>
      <c r="CO422" s="2" t="e">
        <f ca="1">_xll.BDH($C$403,"NET_DEBT_%_CAPITAL","FQ4 2017","FQ4 2017","Currency=INR","Period=FQ","BEST_FPERIOD_OVERRIDE=FQ","FILING_STATUS=OR","EQY_CONSOLIDATED=Y","Sort=A","Dates=H","DateFormat=P","Fill=—","Direction=H","UseDPDF=Y")</f>
        <v>#NAME?</v>
      </c>
      <c r="CP422" s="3" t="e">
        <f ca="1">_xll.BDH($C$403,"EBITDA","FQ4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22" s="3" t="e">
        <f ca="1">_xll.BDH($C$403,"EBITDA_AFTER_CAPEX","FQ4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22" s="3" t="e">
        <f ca="1">_xll.BDH($C$403,"IS_OPER_INC","FQ4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22" s="2" t="e">
        <f ca="1">_xll.BDH($C$403,"CASH_RATIO","FQ4 2017","FQ4 2017","Currency=INR","Period=FQ","BEST_FPERIOD_OVERRIDE=FQ","FILING_STATUS=OR","EQY_CONSOLIDATED=Y","Sort=A","Dates=H","DateFormat=P","Fill=—","Direction=H","UseDPDF=Y")</f>
        <v>#NAME?</v>
      </c>
      <c r="CT422" s="2" t="e">
        <f ca="1">_xll.BDH($C$403,"CUR_RATIO","FQ4 2017","FQ4 2017","Currency=INR","Period=FQ","BEST_FPERIOD_OVERRIDE=FQ","FILING_STATUS=OR","EQY_CONSOLIDATED=Y","Sort=A","Dates=H","DateFormat=P","Fill=—","Direction=H","UseDPDF=Y")</f>
        <v>#NAME?</v>
      </c>
      <c r="CU422" s="2" t="e">
        <f ca="1">_xll.BDH($C$403,"QUICK_RATIO","FQ4 2017","FQ4 2017","Currency=INR","Period=FQ","BEST_FPERIOD_OVERRIDE=FQ","FILING_STATUS=OR","EQY_CONSOLIDATED=Y","Sort=A","Dates=H","DateFormat=P","Fill=—","Direction=H","UseDPDF=Y")</f>
        <v>#NAME?</v>
      </c>
      <c r="CV422" s="2" t="e">
        <f ca="1">_xll.BDH($C$403,"ALTMAN_Z_SCORE","FQ4 2017","FQ4 2017","Currency=INR","Period=FQ","BEST_FPERIOD_OVERRIDE=FQ","FILING_STATUS=OR","EQY_CONSOLIDATED=Y","Sort=A","Dates=H","DateFormat=P","Fill=—","Direction=H","UseDPDF=Y")</f>
        <v>#NAME?</v>
      </c>
      <c r="CW422" s="4" t="e">
        <f ca="1">_xll.BDH($C$403,"ACCT_RCV_TURN","FQ4 2017","FQ4 2017","Currency=INR","Period=FQ","BEST_FPERIOD_OVERRIDE=FQ","FILING_STATUS=OR","EQY_CONSOLIDATED=Y","FA_ADJUSTED=GAAP","Sort=A","Dates=H","DateFormat=P","Fill=—","Direction=H","UseDPDF=Y")</f>
        <v>#NAME?</v>
      </c>
      <c r="CX422" s="2" t="e">
        <f ca="1">_xll.BDH($C$403,"ACCT_RCV_DAYS","FQ4 2017","FQ4 2017","Currency=INR","Period=FQ","BEST_FPERIOD_OVERRIDE=FQ","FILING_STATUS=OR","EQY_CONSOLIDATED=Y","FA_ADJUSTED=GAAP","Sort=A","Dates=H","DateFormat=P","Fill=—","Direction=H","UseDPDF=Y")</f>
        <v>#NAME?</v>
      </c>
      <c r="CY422" s="4" t="e">
        <f ca="1">_xll.BDH($C$403,"INVENT_TURN","FQ4 2017","FQ4 2017","Currency=INR","Period=FQ","BEST_FPERIOD_OVERRIDE=FQ","FILING_STATUS=OR","EQY_CONSOLIDATED=Y","FA_ADJUSTED=GAAP","Sort=A","Dates=H","DateFormat=P","Fill=—","Direction=H","UseDPDF=Y")</f>
        <v>#NAME?</v>
      </c>
      <c r="CZ422" s="2" t="e">
        <f ca="1">_xll.BDH($C$403,"INVENT_DAYS","FQ4 2017","FQ4 2017","Currency=INR","Period=FQ","BEST_FPERIOD_OVERRIDE=FQ","FILING_STATUS=OR","EQY_CONSOLIDATED=Y","FA_ADJUSTED=GAAP","Sort=A","Dates=H","DateFormat=P","Fill=—","Direction=H","UseDPDF=Y")</f>
        <v>#NAME?</v>
      </c>
      <c r="DA422" s="4" t="e">
        <f ca="1">_xll.BDH($C$403,"ACCOUNTS_PAYABLE_TURNOVER","FQ4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22" s="2" t="e">
        <f ca="1">_xll.BDH($C$403,"ACCOUNTS_PAYABLE_TURNOVER_DAYS","FQ4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22" s="4" t="e">
        <f ca="1">_xll.BDH($C$403,"CASH_CONVERSION_CYCLE","FQ4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22" s="4" t="e">
        <f ca="1">_xll.BDH($C$403,"INV_TO_CASH_DAYS","FQ4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22" s="5" t="e">
        <f ca="1">_xll.BDH($C$403,"BS_INVENTORIES","FQ4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22" s="3" t="e">
        <f ca="1">_xll.BDH($C$403,"INVTRY_RAW_MATERIALS","FQ4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22" s="3" t="e">
        <f ca="1">_xll.BDH($C$403,"INVTRY_IN_PROGRESS","FQ4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22" s="3" t="e">
        <f ca="1">_xll.BDH($C$403,"INVTRY_FINISHED_GOODS","FQ4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22" s="3" t="e">
        <f ca="1">_xll.BDH($C$403,"BS_OTHER_INV","FQ4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23" spans="1:113" x14ac:dyDescent="0.3">
      <c r="A423" s="6"/>
      <c r="B423" s="6"/>
      <c r="C423" s="6"/>
      <c r="D423" s="6" t="s">
        <v>85</v>
      </c>
      <c r="E423" t="s">
        <v>77</v>
      </c>
      <c r="F423" t="e">
        <f ca="1">_xll.BDH($C$403,"RETURN_COM_EQY","FY 2018","FY 2018","Currency=INR","Period=FY","BEST_FPERIOD_OVERRIDE=FY","FILING_STATUS=OR","EQY_CONSOLIDATED=Y","FA_ADJUSTED=GAAP","Sort=A","Dates=H","DateFormat=P","Fill=—","Direction=H","UseDPDF=Y")</f>
        <v>#NAME?</v>
      </c>
      <c r="G423" t="e">
        <f ca="1">_xll.BDH($C$403,"RETURN_ON_ASSET","FY 2018","FY 2018","Currency=INR","Period=FY","BEST_FPERIOD_OVERRIDE=FY","FILING_STATUS=OR","EQY_CONSOLIDATED=Y","FA_ADJUSTED=GAAP","Sort=A","Dates=H","DateFormat=P","Fill=—","Direction=H","UseDPDF=Y")</f>
        <v>#NAME?</v>
      </c>
      <c r="H423" t="e">
        <f ca="1">_xll.BDH($C$403,"RETURN_ON_CAP","FY 2018","FY 2018","Currency=INR","Period=FY","BEST_FPERIOD_OVERRIDE=FY","FILING_STATUS=OR","EQY_CONSOLIDATED=Y","FA_ADJUSTED=GAAP","Sort=A","Dates=H","DateFormat=P","Fill=—","Direction=H","UseDPDF=Y")</f>
        <v>#NAME?</v>
      </c>
      <c r="I423" t="e">
        <f ca="1">_xll.BDH($C$403,"RETURN_ON_INV_CAPITAL","FY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23" t="e">
        <f ca="1">_xll.BDH($C$403,"EBITDA_TO_REVENUE","FY 2018","FY 2018","Currency=INR","Period=FY","BEST_FPERIOD_OVERRIDE=FY","FILING_STATUS=OR","EQY_CONSOLIDATED=Y","FA_ADJUSTED=GAAP","Sort=A","Dates=H","DateFormat=P","Fill=—","Direction=H","UseDPDF=Y")</f>
        <v>#NAME?</v>
      </c>
      <c r="K423" t="e">
        <f ca="1">_xll.BDH($C$403,"OPER_MARGIN","FY 2018","FY 2018","Currency=INR","Period=FY","BEST_FPERIOD_OVERRIDE=FY","FILING_STATUS=OR","EQY_CONSOLIDATED=Y","FA_ADJUSTED=GAAP","Sort=A","Dates=H","DateFormat=P","Fill=—","Direction=H","UseDPDF=Y")</f>
        <v>#NAME?</v>
      </c>
      <c r="L423" t="e">
        <f ca="1">_xll.BDH($C$403,"INCREMENTAL_OPERATING_MARGIN","FY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23" t="e">
        <f ca="1">_xll.BDH($C$403,"PRETAX_INC_TO_NET_SALES","FY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23" t="e">
        <f ca="1">_xll.BDH($C$403,"INC_BEF_XO_ITEMS_TO_NET_SALES","FY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23" t="e">
        <f ca="1">_xll.BDH($C$403,"PROF_MARGIN","FY 2018","FY 2018","Currency=INR","Period=FY","BEST_FPERIOD_OVERRIDE=FY","FILING_STATUS=OR","EQY_CONSOLIDATED=Y","FA_ADJUSTED=GAAP","Sort=A","Dates=H","DateFormat=P","Fill=—","Direction=H","UseDPDF=Y")</f>
        <v>#NAME?</v>
      </c>
      <c r="P423" t="e">
        <f ca="1">_xll.BDH($C$403,"NET_INCOME_TO_COMMON_MARGIN","FY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23" t="e">
        <f ca="1">_xll.BDH($C$403,"EFF_TAX_RATE","FY 2018","FY 2018","Currency=INR","Period=FY","BEST_FPERIOD_OVERRIDE=FY","FILING_STATUS=OR","EQY_CONSOLIDATED=Y","FA_ADJUSTED=GAAP","Sort=A","Dates=H","DateFormat=P","Fill=—","Direction=H","UseDPDF=Y")</f>
        <v>#NAME?</v>
      </c>
      <c r="R423" t="e">
        <f ca="1">_xll.BDH($C$403,"DVD_PAYOUT_RATIO","FY 2018","FY 2018","Currency=INR","Period=FY","BEST_FPERIOD_OVERRIDE=FY","FILING_STATUS=OR","EQY_CONSOLIDATED=Y","FA_ADJUSTED=GAAP","Sort=A","Dates=H","DateFormat=P","Fill=—","Direction=H","UseDPDF=Y")</f>
        <v>#NAME?</v>
      </c>
      <c r="S423" t="e">
        <f ca="1">_xll.BDH($C$403,"SUSTAIN_GROWTH_RT","FY 2018","FY 2018","Currency=INR","Period=FY","BEST_FPERIOD_OVERRIDE=FY","FILING_STATUS=OR","EQY_CONSOLIDATED=Y","FA_ADJUSTED=GAAP","Sort=A","Dates=H","DateFormat=P","Fill=—","Direction=H","UseDPDF=Y")</f>
        <v>#NAME?</v>
      </c>
      <c r="T423" s="2" t="e">
        <f ca="1">_xll.BDH($C$403,"SALES_GROWTH","FY 2018","FY 2018","Currency=INR","Period=FY","BEST_FPERIOD_OVERRIDE=FY","FILING_STATUS=OR","EQY_CONSOLIDATED=Y","FA_ADJUSTED=GAAP","Sort=A","Dates=H","DateFormat=P","Fill=—","Direction=H","UseDPDF=Y")</f>
        <v>#NAME?</v>
      </c>
      <c r="U423" s="2" t="e">
        <f ca="1">_xll.BDH($C$403,"EBITDA_GROWTH","FY 2018","FY 2018","Currency=INR","Period=FY","BEST_FPERIOD_OVERRIDE=FY","FILING_STATUS=OR","EQY_CONSOLIDATED=Y","FA_ADJUSTED=GAAP","Sort=A","Dates=H","DateFormat=P","Fill=—","Direction=H","UseDPDF=Y")</f>
        <v>#NAME?</v>
      </c>
      <c r="V423" s="2" t="e">
        <f ca="1">_xll.BDH($C$403,"OPER_INC_GROWTH","FY 2018","FY 2018","Currency=INR","Period=FY","BEST_FPERIOD_OVERRIDE=FY","FILING_STATUS=OR","EQY_CONSOLIDATED=Y","FA_ADJUSTED=GAAP","Sort=A","Dates=H","DateFormat=P","Fill=—","Direction=H","UseDPDF=Y")</f>
        <v>#NAME?</v>
      </c>
      <c r="W423" s="2" t="e">
        <f ca="1">_xll.BDH($C$403,"EARN_FOR_COM_GROWTH","FY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23" s="2" t="e">
        <f ca="1">_xll.BDH($C$403,"DILUTED_EPS_AFT_XO_ITEMS_GROWTH","FY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23" s="2" t="e">
        <f ca="1">_xll.BDH($C$403,"DIVIDEND_PER_SHARE_1_YEAR_GROWTH","FY 2018","FY 2018","Currency=INR","Period=FY","BEST_FPERIOD_OVERRIDE=FY","FILING_STATUS=OR","EQY_CONSOLIDATED=Y","Sort=A","Dates=H","DateFormat=P","Fill=—","Direction=H","UseDPDF=Y")</f>
        <v>#NAME?</v>
      </c>
      <c r="Z423" s="2" t="e">
        <f ca="1">_xll.BDH($C$403,"ACCOUNTS_RECEIVABLE_GROWTH","FY 2018","FY 2018","Currency=INR","Period=FY","BEST_FPERIOD_OVERRIDE=FY","FILING_STATUS=OR","EQY_CONSOLIDATED=Y","Sort=A","Dates=H","DateFormat=P","Fill=—","Direction=H","UseDPDF=Y")</f>
        <v>#NAME?</v>
      </c>
      <c r="AA423" s="2" t="e">
        <f ca="1">_xll.BDH($C$403,"INVENTORY_GROWTH","FY 2018","FY 2018","Currency=INR","Period=FY","BEST_FPERIOD_OVERRIDE=FY","FILING_STATUS=OR","EQY_CONSOLIDATED=Y","Sort=A","Dates=H","DateFormat=P","Fill=—","Direction=H","UseDPDF=Y")</f>
        <v>#NAME?</v>
      </c>
      <c r="AB423" s="2" t="e">
        <f ca="1">_xll.BDH($C$403,"NET_FIXED_ASSETS_1_YEAR_GROWTH","FY 2018","FY 2018","Currency=INR","Period=FY","BEST_FPERIOD_OVERRIDE=FY","FILING_STATUS=OR","EQY_CONSOLIDATED=Y","Sort=A","Dates=H","DateFormat=P","Fill=—","Direction=H","UseDPDF=Y")</f>
        <v>#NAME?</v>
      </c>
      <c r="AC423" s="2" t="e">
        <f ca="1">_xll.BDH($C$403,"ASSET_GROWTH","FY 2018","FY 2018","Currency=INR","Period=FY","BEST_FPERIOD_OVERRIDE=FY","FILING_STATUS=OR","EQY_CONSOLIDATED=Y","Sort=A","Dates=H","DateFormat=P","Fill=—","Direction=H","UseDPDF=Y")</f>
        <v>#NAME?</v>
      </c>
      <c r="AD423" s="2" t="e">
        <f ca="1">_xll.BDH($C$403,"MODIFIED_WORK_CAP_GROWTH","FY 2018","FY 2018","Currency=INR","Period=FY","BEST_FPERIOD_OVERRIDE=FY","FILING_STATUS=OR","EQY_CONSOLIDATED=Y","Sort=A","Dates=H","DateFormat=P","Fill=—","Direction=H","UseDPDF=Y")</f>
        <v>#NAME?</v>
      </c>
      <c r="AE423" s="2" t="e">
        <f ca="1">_xll.BDH($C$403,"WORK_CAP_GROWTH","FY 2018","FY 2018","Currency=INR","Period=FY","BEST_FPERIOD_OVERRIDE=FY","FILING_STATUS=OR","EQY_CONSOLIDATED=Y","Sort=A","Dates=H","DateFormat=P","Fill=—","Direction=H","UseDPDF=Y")</f>
        <v>#NAME?</v>
      </c>
      <c r="AF423" s="2" t="e">
        <f ca="1">_xll.BDH($C$403,"ACCOUNTS_PAYABLE_GROWTH_1YR","FY 2018","FY 2018","Currency=INR","Period=FY","BEST_FPERIOD_OVERRIDE=FY","FILING_STATUS=OR","EQY_CONSOLIDATED=Y","Sort=A","Dates=H","DateFormat=P","Fill=—","Direction=H","UseDPDF=Y")</f>
        <v>#NAME?</v>
      </c>
      <c r="AG423" s="2" t="e">
        <f ca="1">_xll.BDH($C$403,"SHORT_TERM_DEBT_1_YEAR_GROWTH","FY 2018","FY 2018","Currency=INR","Period=FY","BEST_FPERIOD_OVERRIDE=FY","FILING_STATUS=OR","EQY_CONSOLIDATED=Y","Sort=A","Dates=H","DateFormat=P","Fill=—","Direction=H","UseDPDF=Y")</f>
        <v>#NAME?</v>
      </c>
      <c r="AH423" s="2" t="e">
        <f ca="1">_xll.BDH($C$403,"TOTAL_DEBT_1_YEAR_GROWTH","FY 2018","FY 2018","Currency=INR","Period=FY","BEST_FPERIOD_OVERRIDE=FY","FILING_STATUS=OR","EQY_CONSOLIDATED=Y","Sort=A","Dates=H","DateFormat=P","Fill=—","Direction=H","UseDPDF=Y")</f>
        <v>#NAME?</v>
      </c>
      <c r="AI423" s="2" t="e">
        <f ca="1">_xll.BDH($C$403,"TOTAL_EQUITY_1_YEAR_GROWTH","FY 2018","FY 2018","Currency=INR","Period=FY","BEST_FPERIOD_OVERRIDE=FY","FILING_STATUS=OR","EQY_CONSOLIDATED=Y","Sort=A","Dates=H","DateFormat=P","Fill=—","Direction=H","UseDPDF=Y")</f>
        <v>#NAME?</v>
      </c>
      <c r="AJ423" s="2" t="e">
        <f ca="1">_xll.BDH($C$403,"GROWTH_IN_CAP","FY 2018","FY 2018","Currency=INR","Period=FY","BEST_FPERIOD_OVERRIDE=FY","FILING_STATUS=OR","EQY_CONSOLIDATED=Y","Sort=A","Dates=H","DateFormat=P","Fill=—","Direction=H","UseDPDF=Y")</f>
        <v>#NAME?</v>
      </c>
      <c r="AK423" s="2" t="e">
        <f ca="1">_xll.BDH($C$403,"BVPS_GROWTH","FY 2018","FY 2018","Currency=INR","Period=FY","BEST_FPERIOD_OVERRIDE=FY","FILING_STATUS=OR","EQY_CONSOLIDATED=Y","Sort=A","Dates=H","DateFormat=P","Fill=—","Direction=H","UseDPDF=Y")</f>
        <v>#NAME?</v>
      </c>
      <c r="AL423" s="2" t="e">
        <f ca="1">_xll.BDH($C$403,"CASH_FLOW_GROWTH","FY 2018","FY 2018","Currency=INR","Period=FY","BEST_FPERIOD_OVERRIDE=FY","FILING_STATUS=OR","EQY_CONSOLIDATED=Y","Sort=A","Dates=H","DateFormat=P","Fill=—","Direction=H","UseDPDF=Y")</f>
        <v>#NAME?</v>
      </c>
      <c r="AM423" s="2" t="e">
        <f ca="1">_xll.BDH($C$403,"GEO_GROW_NET_SALES","FY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23" s="2" t="e">
        <f ca="1">_xll.BDH($C$403,"GEO_GROW_EBITDA","FY 2018","FY 2018","Currency=INR","Period=FY","BEST_FPERIOD_OVERRIDE=FY","FILING_STATUS=OR","EQY_CONSOLIDATED=Y","FA_ADJUSTED=GAAP","Sort=A","Dates=H","DateFormat=P","Fill=—","Direction=H","UseDPDF=Y")</f>
        <v>#NAME?</v>
      </c>
      <c r="AO423" s="2" t="e">
        <f ca="1">_xll.BDH($C$403,"GEO_GROW_OPER_INC","FY 2018","FY 2018","Currency=INR","Period=FY","BEST_FPERIOD_OVERRIDE=FY","FILING_STATUS=OR","EQY_CONSOLIDATED=Y","FA_ADJUSTED=GAAP","Sort=A","Dates=H","DateFormat=P","Fill=—","Direction=H","UseDPDF=Y")</f>
        <v>#NAME?</v>
      </c>
      <c r="AP423" s="2" t="e">
        <f ca="1">_xll.BDH($C$403,"NET_INCOME_TO_COMMON_5_YR_GROWTH","FY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23" s="2" t="e">
        <f ca="1">_xll.BDH($C$403,"5Y_GEO_GROWTH_DILUTED_EPS","FY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23" s="2" t="e">
        <f ca="1">_xll.BDH($C$403,"GEO_GROW_DVD_PER_SH","FY 2018","FY 2018","Currency=INR","Period=FY","BEST_FPERIOD_OVERRIDE=FY","FILING_STATUS=OR","EQY_CONSOLIDATED=Y","Sort=A","Dates=H","DateFormat=P","Fill=—","Direction=H","UseDPDF=Y")</f>
        <v>#NAME?</v>
      </c>
      <c r="AS423" s="2" t="e">
        <f ca="1">_xll.BDH($C$403,"ACCOUNTS_RECEIVABLE_5_YR_GROWTH","FY 2018","FY 2018","Currency=INR","Period=FY","BEST_FPERIOD_OVERRIDE=FY","FILING_STATUS=OR","EQY_CONSOLIDATED=Y","Sort=A","Dates=H","DateFormat=P","Fill=—","Direction=H","UseDPDF=Y")</f>
        <v>#NAME?</v>
      </c>
      <c r="AT423" s="2" t="e">
        <f ca="1">_xll.BDH($C$403,"INVENTORY_5_YEAR_GROWTH","FY 2018","FY 2018","Currency=INR","Period=FY","BEST_FPERIOD_OVERRIDE=FY","FILING_STATUS=OR","EQY_CONSOLIDATED=Y","Sort=A","Dates=H","DateFormat=P","Fill=—","Direction=H","UseDPDF=Y")</f>
        <v>#NAME?</v>
      </c>
      <c r="AU423" s="2" t="e">
        <f ca="1">_xll.BDH($C$403,"NET_FIXED_ASSETS_5_YEAR_GROWTH","FY 2018","FY 2018","Currency=INR","Period=FY","BEST_FPERIOD_OVERRIDE=FY","FILING_STATUS=OR","EQY_CONSOLIDATED=Y","Sort=A","Dates=H","DateFormat=P","Fill=—","Direction=H","UseDPDF=Y")</f>
        <v>#NAME?</v>
      </c>
      <c r="AV423" s="2" t="e">
        <f ca="1">_xll.BDH($C$403,"GEO_GROW_TOT_ASSET","FY 2018","FY 2018","Currency=INR","Period=FY","BEST_FPERIOD_OVERRIDE=FY","FILING_STATUS=OR","EQY_CONSOLIDATED=Y","Sort=A","Dates=H","DateFormat=P","Fill=—","Direction=H","UseDPDF=Y")</f>
        <v>#NAME?</v>
      </c>
      <c r="AW423" s="2" t="e">
        <f ca="1">_xll.BDH($C$403,"MODIFIED_WORKING_CPTL_5YR_GRWTH","FY 2018","FY 2018","Currency=INR","Period=FY","BEST_FPERIOD_OVERRIDE=FY","FILING_STATUS=OR","EQY_CONSOLIDATED=Y","Sort=A","Dates=H","DateFormat=P","Fill=—","Direction=H","UseDPDF=Y")</f>
        <v>#NAME?</v>
      </c>
      <c r="AX423" s="2" t="e">
        <f ca="1">_xll.BDH($C$403,"WORKING_CAPITAL_5_YEAR_GROWTH","FY 2018","FY 2018","Currency=INR","Period=FY","BEST_FPERIOD_OVERRIDE=FY","FILING_STATUS=OR","EQY_CONSOLIDATED=Y","Sort=A","Dates=H","DateFormat=P","Fill=—","Direction=H","UseDPDF=Y")</f>
        <v>#NAME?</v>
      </c>
      <c r="AY423" s="2" t="e">
        <f ca="1">_xll.BDH($C$403,"ACCOUNTS_PAYABLE_5_YEAR_GROWTH","FY 2018","FY 2018","Currency=INR","Period=FY","BEST_FPERIOD_OVERRIDE=FY","FILING_STATUS=OR","EQY_CONSOLIDATED=Y","Sort=A","Dates=H","DateFormat=P","Fill=—","Direction=H","UseDPDF=Y")</f>
        <v>#NAME?</v>
      </c>
      <c r="AZ423" s="2" t="e">
        <f ca="1">_xll.BDH($C$403,"SHORT_TERM_DEBT_5_YEAR_GROWTH","FY 2018","FY 2018","Currency=INR","Period=FY","BEST_FPERIOD_OVERRIDE=FY","FILING_STATUS=OR","EQY_CONSOLIDATED=Y","Sort=A","Dates=H","DateFormat=P","Fill=—","Direction=H","UseDPDF=Y")</f>
        <v>#NAME?</v>
      </c>
      <c r="BA423" s="2" t="e">
        <f ca="1">_xll.BDH($C$403,"TOTAL_DEBT_5_YEAR_GROWTH","FY 2018","FY 2018","Currency=INR","Period=FY","BEST_FPERIOD_OVERRIDE=FY","FILING_STATUS=OR","EQY_CONSOLIDATED=Y","Sort=A","Dates=H","DateFormat=P","Fill=—","Direction=H","UseDPDF=Y")</f>
        <v>#NAME?</v>
      </c>
      <c r="BB423" s="2" t="e">
        <f ca="1">_xll.BDH($C$403,"GEO_GROW_TOT_SHRHLDR_EQY","FY 2018","FY 2018","Currency=INR","Period=FY","BEST_FPERIOD_OVERRIDE=FY","FILING_STATUS=OR","EQY_CONSOLIDATED=Y","Sort=A","Dates=H","DateFormat=P","Fill=—","Direction=H","UseDPDF=Y")</f>
        <v>#NAME?</v>
      </c>
      <c r="BC423" s="2" t="e">
        <f ca="1">_xll.BDH($C$403,"TOTAL_CAPITAL_5_YEAR_GROWTH","FY 2018","FY 2018","Currency=INR","Period=FY","BEST_FPERIOD_OVERRIDE=FY","FILING_STATUS=OR","EQY_CONSOLIDATED=Y","Sort=A","Dates=H","DateFormat=P","Fill=—","Direction=H","UseDPDF=Y")</f>
        <v>#NAME?</v>
      </c>
      <c r="BD423" s="2" t="e">
        <f ca="1">_xll.BDH($C$403,"GEO_GROW_BOOK_VAL","FY 2018","FY 2018","Currency=INR","Period=FY","BEST_FPERIOD_OVERRIDE=FY","FILING_STATUS=OR","EQY_CONSOLIDATED=Y","Sort=A","Dates=H","DateFormat=P","Fill=—","Direction=H","UseDPDF=Y")</f>
        <v>#NAME?</v>
      </c>
      <c r="BE423" s="2" t="e">
        <f ca="1">_xll.BDH($C$403,"GEO_GROW_CASH_OPER_ACT","FY 2018","FY 2018","Currency=INR","Period=FY","BEST_FPERIOD_OVERRIDE=FY","FILING_STATUS=OR","EQY_CONSOLIDATED=Y","Sort=A","Dates=H","DateFormat=P","Fill=—","Direction=H","UseDPDF=Y")</f>
        <v>#NAME?</v>
      </c>
      <c r="BF423" s="2" t="e">
        <f ca="1">_xll.BDH($C$403,"REVENUE_SEQUENTIAL_GROWTH","FY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23" s="2" t="e">
        <f ca="1">_xll.BDH($C$403,"EBITDA_SEQUENTIAL_GROWTH","FY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23" s="2" t="e">
        <f ca="1">_xll.BDH($C$403,"OPERATING_INCOME_SEQ_GROWTH","FY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23" s="2" t="e">
        <f ca="1">_xll.BDH($C$403,"NET_INCOME_TO_COMMON_SEQ_GROWTH","FY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23" s="2" t="e">
        <f ca="1">_xll.BDH($C$403,"EPS_DILUTED_SEQUENTIAL_GROWTH","FY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23" s="2" t="e">
        <f ca="1">_xll.BDH($C$403,"DPS_SEQUENTIAL_GROWTH","FY 2018","FY 2018","Currency=INR","Period=FY","BEST_FPERIOD_OVERRIDE=FY","FILING_STATUS=OR","EQY_CONSOLIDATED=Y","Sort=A","Dates=H","DateFormat=P","Fill=—","Direction=H","UseDPDF=Y")</f>
        <v>#NAME?</v>
      </c>
      <c r="BL423" s="2" t="e">
        <f ca="1">_xll.BDH($C$403,"ACCOUNTS_RECEIVABLE_SEQ_GROWTH","FY 2018","FY 2018","Currency=INR","Period=FY","BEST_FPERIOD_OVERRIDE=FY","FILING_STATUS=OR","EQY_CONSOLIDATED=Y","Sort=A","Dates=H","DateFormat=P","Fill=—","Direction=H","UseDPDF=Y")</f>
        <v>#NAME?</v>
      </c>
      <c r="BM423" s="2" t="e">
        <f ca="1">_xll.BDH($C$403,"INVENTORY_SEQUENTIAL_GROWTH","FY 2018","FY 2018","Currency=INR","Period=FY","BEST_FPERIOD_OVERRIDE=FY","FILING_STATUS=OR","EQY_CONSOLIDATED=Y","Sort=A","Dates=H","DateFormat=P","Fill=—","Direction=H","UseDPDF=Y")</f>
        <v>#NAME?</v>
      </c>
      <c r="BN423" s="2" t="e">
        <f ca="1">_xll.BDH($C$403,"FIXED_ASSETS_SEQUENTIAL_GROWTH","FY 2018","FY 2018","Currency=INR","Period=FY","BEST_FPERIOD_OVERRIDE=FY","FILING_STATUS=OR","EQY_CONSOLIDATED=Y","Sort=A","Dates=H","DateFormat=P","Fill=—","Direction=H","UseDPDF=Y")</f>
        <v>#NAME?</v>
      </c>
      <c r="BO423" s="2" t="e">
        <f ca="1">_xll.BDH($C$403,"TOTAL_ASSETS_SEQUENTIAL_GROWTH","FY 2018","FY 2018","Currency=INR","Period=FY","BEST_FPERIOD_OVERRIDE=FY","FILING_STATUS=OR","EQY_CONSOLIDATED=Y","Sort=A","Dates=H","DateFormat=P","Fill=—","Direction=H","UseDPDF=Y")</f>
        <v>#NAME?</v>
      </c>
      <c r="BP423" s="2" t="e">
        <f ca="1">_xll.BDH($C$403,"MODIFIED_WORKING_CPTL_SEQ_GRWTH","FY 2018","FY 2018","Currency=INR","Period=FY","BEST_FPERIOD_OVERRIDE=FY","FILING_STATUS=OR","EQY_CONSOLIDATED=Y","Sort=A","Dates=H","DateFormat=P","Fill=—","Direction=H","UseDPDF=Y")</f>
        <v>#NAME?</v>
      </c>
      <c r="BQ423" s="2" t="e">
        <f ca="1">_xll.BDH($C$403,"WORKING_CAPITAL_SEQ_GROWTH","FY 2018","FY 2018","Currency=INR","Period=FY","BEST_FPERIOD_OVERRIDE=FY","FILING_STATUS=OR","EQY_CONSOLIDATED=Y","Sort=A","Dates=H","DateFormat=P","Fill=—","Direction=H","UseDPDF=Y")</f>
        <v>#NAME?</v>
      </c>
      <c r="BR423" s="2" t="e">
        <f ca="1">_xll.BDH($C$403,"ACCOUNTS_PAYABLE_SEQ_GROWTH","FY 2018","FY 2018","Currency=INR","Period=FY","BEST_FPERIOD_OVERRIDE=FY","FILING_STATUS=OR","EQY_CONSOLIDATED=Y","Sort=A","Dates=H","DateFormat=P","Fill=—","Direction=H","UseDPDF=Y")</f>
        <v>#NAME?</v>
      </c>
      <c r="BS423" s="2" t="e">
        <f ca="1">_xll.BDH($C$403,"ST_DEBT_SEQUENTIAL_GROWTH","FY 2018","FY 2018","Currency=INR","Period=FY","BEST_FPERIOD_OVERRIDE=FY","FILING_STATUS=OR","EQY_CONSOLIDATED=Y","Sort=A","Dates=H","DateFormat=P","Fill=—","Direction=H","UseDPDF=Y")</f>
        <v>#NAME?</v>
      </c>
      <c r="BT423" s="2" t="e">
        <f ca="1">_xll.BDH($C$403,"TOTAL_DEBT_SEQUENTIAL_GROWTH","FY 2018","FY 2018","Currency=INR","Period=FY","BEST_FPERIOD_OVERRIDE=FY","FILING_STATUS=OR","EQY_CONSOLIDATED=Y","Sort=A","Dates=H","DateFormat=P","Fill=—","Direction=H","UseDPDF=Y")</f>
        <v>#NAME?</v>
      </c>
      <c r="BU423" s="2" t="e">
        <f ca="1">_xll.BDH($C$403,"TOTAL_EQUITY_SEQUENTIAL_GROWTH","FY 2018","FY 2018","Currency=INR","Period=FY","BEST_FPERIOD_OVERRIDE=FY","FILING_STATUS=OR","EQY_CONSOLIDATED=Y","Sort=A","Dates=H","DateFormat=P","Fill=—","Direction=H","UseDPDF=Y")</f>
        <v>#NAME?</v>
      </c>
      <c r="BV423" s="2" t="e">
        <f ca="1">_xll.BDH($C$403,"TOTAL_CAPITAL_SEQUENTIAL_GROWTH","FY 2018","FY 2018","Currency=INR","Period=FY","BEST_FPERIOD_OVERRIDE=FY","FILING_STATUS=OR","EQY_CONSOLIDATED=Y","Sort=A","Dates=H","DateFormat=P","Fill=—","Direction=H","UseDPDF=Y")</f>
        <v>#NAME?</v>
      </c>
      <c r="BW423" s="2" t="e">
        <f ca="1">_xll.BDH($C$403,"BPS_SEQUENTIAL_GROWTH","FY 2018","FY 2018","Currency=INR","Period=FY","BEST_FPERIOD_OVERRIDE=FY","FILING_STATUS=OR","EQY_CONSOLIDATED=Y","Sort=A","Dates=H","DateFormat=P","Fill=—","Direction=H","UseDPDF=Y")</f>
        <v>#NAME?</v>
      </c>
      <c r="BX423" s="2" t="e">
        <f ca="1">_xll.BDH($C$403,"CFO_SEQUENTIAL_GROWTH","FY 2018","FY 2018","Currency=INR","Period=FY","BEST_FPERIOD_OVERRIDE=FY","FILING_STATUS=OR","EQY_CONSOLIDATED=Y","Sort=A","Dates=H","DateFormat=P","Fill=—","Direction=H","UseDPDF=Y")</f>
        <v>#NAME?</v>
      </c>
      <c r="BY423" s="3" t="e">
        <f ca="1">_xll.BDH($C$403,"SHORT_AND_LONG_TERM_DEBT","FY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23" s="3" t="e">
        <f ca="1">_xll.BDH($C$403,"BS_ST_BORROW","FY 2018","FY 2018","Currency=INR","Period=FY","BEST_FPERIOD_OVERRIDE=FY","FILING_STATUS=OR","EQY_CONSOLIDATED=Y","SCALING_FORMAT=MLN","Sort=A","Dates=H","DateFormat=P","Fill=—","Direction=H","UseDPDF=Y")</f>
        <v>#NAME?</v>
      </c>
      <c r="CA423" s="3" t="e">
        <f ca="1">_xll.BDH($C$403,"BS_LT_BORROW","FY 2018","FY 2018","Currency=INR","Period=FY","BEST_FPERIOD_OVERRIDE=FY","FILING_STATUS=OR","EQY_CONSOLIDATED=Y","SCALING_FORMAT=MLN","Sort=A","Dates=H","DateFormat=P","Fill=—","Direction=H","UseDPDF=Y")</f>
        <v>#NAME?</v>
      </c>
      <c r="CB423" s="2" t="e">
        <f ca="1">_xll.BDH($C$403,"TOT_DEBT_TO_EBITDA","FY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23" s="2" t="e">
        <f ca="1">_xll.BDH($C$403,"NET_DEBT_TO_EBITDA","FY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23" s="2" t="e">
        <f ca="1">_xll.BDH($C$403,"TOTAL_DEBT_TO_EBIT","FY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23" s="2" t="e">
        <f ca="1">_xll.BDH($C$403,"NET_DEBT_TO_EBIT","FY 2018","FY 2018","Currency=INR","Period=FY","BEST_FPERIOD_OVERRIDE=FY","FILING_STATUS=OR","EQY_CONSOLIDATED=Y","FA_ADJUSTED=GAAP","Sort=A","Dates=H","DateFormat=P","Fill=—","Direction=H","UseDPDF=Y")</f>
        <v>#NAME?</v>
      </c>
      <c r="CF423" s="2" t="e">
        <f ca="1">_xll.BDH($C$403,"EBITDA_TO_INTEREST_EXPN","FY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23" s="2" t="e">
        <f ca="1">_xll.BDH($C$403,"COM_EQY_TO_TOT_ASSET","FY 2018","FY 2018","Currency=INR","Period=FY","BEST_FPERIOD_OVERRIDE=FY","FILING_STATUS=OR","EQY_CONSOLIDATED=Y","Sort=A","Dates=H","DateFormat=P","Fill=—","Direction=H","UseDPDF=Y")</f>
        <v>#NAME?</v>
      </c>
      <c r="CH423" s="2" t="e">
        <f ca="1">_xll.BDH($C$403,"LT_DEBT_TO_TOT_EQY","FY 2018","FY 2018","Currency=INR","Period=FY","BEST_FPERIOD_OVERRIDE=FY","FILING_STATUS=OR","EQY_CONSOLIDATED=Y","Sort=A","Dates=H","DateFormat=P","Fill=—","Direction=H","UseDPDF=Y")</f>
        <v>#NAME?</v>
      </c>
      <c r="CI423" s="2" t="e">
        <f ca="1">_xll.BDH($C$403,"LT_DEBT_TO_TOT_CAP","FY 2018","FY 2018","Currency=INR","Period=FY","BEST_FPERIOD_OVERRIDE=FY","FILING_STATUS=OR","EQY_CONSOLIDATED=Y","Sort=A","Dates=H","DateFormat=P","Fill=—","Direction=H","UseDPDF=Y")</f>
        <v>#NAME?</v>
      </c>
      <c r="CJ423" s="2" t="e">
        <f ca="1">_xll.BDH($C$403,"LT_DEBT_TO_TOT_ASSET","FY 2018","FY 2018","Currency=INR","Period=FY","BEST_FPERIOD_OVERRIDE=FY","FILING_STATUS=OR","EQY_CONSOLIDATED=Y","Sort=A","Dates=H","DateFormat=P","Fill=—","Direction=H","UseDPDF=Y")</f>
        <v>#NAME?</v>
      </c>
      <c r="CK423" s="2" t="e">
        <f ca="1">_xll.BDH($C$403,"TOT_DEBT_TO_TOT_EQY","FY 2018","FY 2018","Currency=INR","Period=FY","BEST_FPERIOD_OVERRIDE=FY","FILING_STATUS=OR","EQY_CONSOLIDATED=Y","Sort=A","Dates=H","DateFormat=P","Fill=—","Direction=H","UseDPDF=Y")</f>
        <v>#NAME?</v>
      </c>
      <c r="CL423" s="2" t="e">
        <f ca="1">_xll.BDH($C$403,"TOT_DEBT_TO_TOT_CAP","FY 2018","FY 2018","Currency=INR","Period=FY","BEST_FPERIOD_OVERRIDE=FY","FILING_STATUS=OR","EQY_CONSOLIDATED=Y","Sort=A","Dates=H","DateFormat=P","Fill=—","Direction=H","UseDPDF=Y")</f>
        <v>#NAME?</v>
      </c>
      <c r="CM423" s="2" t="e">
        <f ca="1">_xll.BDH($C$403,"TOT_DEBT_TO_TOT_ASSET","FY 2018","FY 2018","Currency=INR","Period=FY","BEST_FPERIOD_OVERRIDE=FY","FILING_STATUS=OR","EQY_CONSOLIDATED=Y","Sort=A","Dates=H","DateFormat=P","Fill=—","Direction=H","UseDPDF=Y")</f>
        <v>#NAME?</v>
      </c>
      <c r="CN423" s="2" t="e">
        <f ca="1">_xll.BDH($C$403,"NET_DEBT_TO_SHRHLDR_EQTY","FY 2018","FY 2018","Currency=INR","Period=FY","BEST_FPERIOD_OVERRIDE=FY","FILING_STATUS=OR","EQY_CONSOLIDATED=Y","Sort=A","Dates=H","DateFormat=P","Fill=—","Direction=H","UseDPDF=Y")</f>
        <v>#NAME?</v>
      </c>
      <c r="CO423" s="2" t="e">
        <f ca="1">_xll.BDH($C$403,"NET_DEBT_%_CAPITAL","FY 2018","FY 2018","Currency=INR","Period=FY","BEST_FPERIOD_OVERRIDE=FY","FILING_STATUS=OR","EQY_CONSOLIDATED=Y","Sort=A","Dates=H","DateFormat=P","Fill=—","Direction=H","UseDPDF=Y")</f>
        <v>#NAME?</v>
      </c>
      <c r="CP423" s="3" t="e">
        <f ca="1">_xll.BDH($C$403,"EBITDA","FY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23" s="3" t="e">
        <f ca="1">_xll.BDH($C$403,"EBITDA_AFTER_CAPEX","FY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23" s="3" t="e">
        <f ca="1">_xll.BDH($C$403,"IS_OPER_INC","FY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23" s="2" t="e">
        <f ca="1">_xll.BDH($C$403,"CASH_RATIO","FY 2018","FY 2018","Currency=INR","Period=FY","BEST_FPERIOD_OVERRIDE=FY","FILING_STATUS=OR","EQY_CONSOLIDATED=Y","Sort=A","Dates=H","DateFormat=P","Fill=—","Direction=H","UseDPDF=Y")</f>
        <v>#NAME?</v>
      </c>
      <c r="CT423" s="2" t="e">
        <f ca="1">_xll.BDH($C$403,"CUR_RATIO","FY 2018","FY 2018","Currency=INR","Period=FY","BEST_FPERIOD_OVERRIDE=FY","FILING_STATUS=OR","EQY_CONSOLIDATED=Y","Sort=A","Dates=H","DateFormat=P","Fill=—","Direction=H","UseDPDF=Y")</f>
        <v>#NAME?</v>
      </c>
      <c r="CU423" s="2" t="e">
        <f ca="1">_xll.BDH($C$403,"QUICK_RATIO","FY 2018","FY 2018","Currency=INR","Period=FY","BEST_FPERIOD_OVERRIDE=FY","FILING_STATUS=OR","EQY_CONSOLIDATED=Y","Sort=A","Dates=H","DateFormat=P","Fill=—","Direction=H","UseDPDF=Y")</f>
        <v>#NAME?</v>
      </c>
      <c r="CV423" s="2" t="e">
        <f ca="1">_xll.BDH($C$403,"ALTMAN_Z_SCORE","FY 2018","FY 2018","Currency=INR","Period=FY","BEST_FPERIOD_OVERRIDE=FY","FILING_STATUS=OR","EQY_CONSOLIDATED=Y","Sort=A","Dates=H","DateFormat=P","Fill=—","Direction=H","UseDPDF=Y")</f>
        <v>#NAME?</v>
      </c>
      <c r="CW423" s="4" t="e">
        <f ca="1">_xll.BDH($C$403,"ACCT_RCV_TURN","FY 2018","FY 2018","Currency=INR","Period=FY","BEST_FPERIOD_OVERRIDE=FY","FILING_STATUS=OR","EQY_CONSOLIDATED=Y","FA_ADJUSTED=GAAP","Sort=A","Dates=H","DateFormat=P","Fill=—","Direction=H","UseDPDF=Y")</f>
        <v>#NAME?</v>
      </c>
      <c r="CX423" s="2" t="e">
        <f ca="1">_xll.BDH($C$403,"ACCT_RCV_DAYS","FY 2018","FY 2018","Currency=INR","Period=FY","BEST_FPERIOD_OVERRIDE=FY","FILING_STATUS=OR","EQY_CONSOLIDATED=Y","FA_ADJUSTED=GAAP","Sort=A","Dates=H","DateFormat=P","Fill=—","Direction=H","UseDPDF=Y")</f>
        <v>#NAME?</v>
      </c>
      <c r="CY423" s="4" t="e">
        <f ca="1">_xll.BDH($C$403,"INVENT_TURN","FY 2018","FY 2018","Currency=INR","Period=FY","BEST_FPERIOD_OVERRIDE=FY","FILING_STATUS=OR","EQY_CONSOLIDATED=Y","FA_ADJUSTED=GAAP","Sort=A","Dates=H","DateFormat=P","Fill=—","Direction=H","UseDPDF=Y")</f>
        <v>#NAME?</v>
      </c>
      <c r="CZ423" s="2" t="e">
        <f ca="1">_xll.BDH($C$403,"INVENT_DAYS","FY 2018","FY 2018","Currency=INR","Period=FY","BEST_FPERIOD_OVERRIDE=FY","FILING_STATUS=OR","EQY_CONSOLIDATED=Y","FA_ADJUSTED=GAAP","Sort=A","Dates=H","DateFormat=P","Fill=—","Direction=H","UseDPDF=Y")</f>
        <v>#NAME?</v>
      </c>
      <c r="DA423" s="4" t="e">
        <f ca="1">_xll.BDH($C$403,"ACCOUNTS_PAYABLE_TURNOVER","FY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23" s="2" t="e">
        <f ca="1">_xll.BDH($C$403,"ACCOUNTS_PAYABLE_TURNOVER_DAYS","FY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23" s="4" t="e">
        <f ca="1">_xll.BDH($C$403,"CASH_CONVERSION_CYCLE","FY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23" s="4" t="e">
        <f ca="1">_xll.BDH($C$403,"INV_TO_CASH_DAYS","FY 2018","FY 2018","Currency=INR","Period=FY","BEST_FPERIOD_OVERRIDE=FY","FILING_STATUS=OR","EQY_CONSOLIDATED=Y","FA_ADJUSTED=GAAP","Sort=A","Dates=H","DateFormat=P","Fill=—","Direction=H","UseDPDF=Y")</f>
        <v>#NAME?</v>
      </c>
      <c r="DE423" s="5" t="e">
        <f ca="1">_xll.BDH($C$403,"BS_INVENTORIES","FY 2018","FY 2018","Currency=INR","Period=FY","BEST_FPERIOD_OVERRIDE=FY","FILING_STATUS=OR","EQY_CONSOLIDATED=Y","SCALING_FORMAT=MLN","Sort=A","Dates=H","DateFormat=P","Fill=—","Direction=H","UseDPDF=Y")</f>
        <v>#NAME?</v>
      </c>
      <c r="DF423" s="3" t="e">
        <f ca="1">_xll.BDH($C$403,"INVTRY_RAW_MATERIALS","FY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23" s="3" t="e">
        <f ca="1">_xll.BDH($C$403,"INVTRY_IN_PROGRESS","FY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23" s="3" t="e">
        <f ca="1">_xll.BDH($C$403,"INVTRY_FINISHED_GOODS","FY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23" s="3" t="e">
        <f ca="1">_xll.BDH($C$403,"BS_OTHER_INV","FY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24" spans="1:113" x14ac:dyDescent="0.3">
      <c r="A424" s="6"/>
      <c r="B424" s="6"/>
      <c r="C424" s="6"/>
      <c r="D424" s="6"/>
      <c r="E424" t="s">
        <v>78</v>
      </c>
      <c r="F424" t="e">
        <f ca="1">_xll.BDH($C$403,"RETURN_COM_EQY","FQ1 2018","FQ1 2018","Currency=INR","Period=FQ","BEST_FPERIOD_OVERRIDE=FQ","FILING_STATUS=OR","EQY_CONSOLIDATED=Y","FA_ADJUSTED=GAAP","Sort=A","Dates=H","DateFormat=P","Fill=—","Direction=H","UseDPDF=Y")</f>
        <v>#NAME?</v>
      </c>
      <c r="G424" t="e">
        <f ca="1">_xll.BDH($C$403,"RETURN_ON_ASSET","FQ1 2018","FQ1 2018","Currency=INR","Period=FQ","BEST_FPERIOD_OVERRIDE=FQ","FILING_STATUS=OR","EQY_CONSOLIDATED=Y","FA_ADJUSTED=GAAP","Sort=A","Dates=H","DateFormat=P","Fill=—","Direction=H","UseDPDF=Y")</f>
        <v>#NAME?</v>
      </c>
      <c r="H424" t="e">
        <f ca="1">_xll.BDH($C$403,"RETURN_ON_CAP","FQ1 2018","FQ1 2018","Currency=INR","Period=FQ","BEST_FPERIOD_OVERRIDE=FQ","FILING_STATUS=OR","EQY_CONSOLIDATED=Y","FA_ADJUSTED=GAAP","Sort=A","Dates=H","DateFormat=P","Fill=—","Direction=H","UseDPDF=Y")</f>
        <v>#NAME?</v>
      </c>
      <c r="I424" t="e">
        <f ca="1">_xll.BDH($C$403,"RETURN_ON_INV_CAPITAL","FQ1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24" t="e">
        <f ca="1">_xll.BDH($C$403,"EBITDA_TO_REVENUE","FQ1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24" t="e">
        <f ca="1">_xll.BDH($C$403,"OPER_MARGIN","FQ1 2018","FQ1 2018","Currency=INR","Period=FQ","BEST_FPERIOD_OVERRIDE=FQ","FILING_STATUS=OR","EQY_CONSOLIDATED=Y","FA_ADJUSTED=GAAP","Sort=A","Dates=H","DateFormat=P","Fill=—","Direction=H","UseDPDF=Y")</f>
        <v>#NAME?</v>
      </c>
      <c r="L424" t="e">
        <f ca="1">_xll.BDH($C$403,"INCREMENTAL_OPERATING_MARGIN","FQ1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24" t="e">
        <f ca="1">_xll.BDH($C$403,"PRETAX_INC_TO_NET_SALES","FQ1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24" t="e">
        <f ca="1">_xll.BDH($C$403,"INC_BEF_XO_ITEMS_TO_NET_SALES","FQ1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24" t="e">
        <f ca="1">_xll.BDH($C$403,"PROF_MARGIN","FQ1 2018","FQ1 2018","Currency=INR","Period=FQ","BEST_FPERIOD_OVERRIDE=FQ","FILING_STATUS=OR","EQY_CONSOLIDATED=Y","FA_ADJUSTED=GAAP","Sort=A","Dates=H","DateFormat=P","Fill=—","Direction=H","UseDPDF=Y")</f>
        <v>#NAME?</v>
      </c>
      <c r="P424" t="e">
        <f ca="1">_xll.BDH($C$403,"NET_INCOME_TO_COMMON_MARGIN","FQ1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24" t="e">
        <f ca="1">_xll.BDH($C$403,"EFF_TAX_RATE","FQ1 2018","FQ1 2018","Currency=INR","Period=FQ","BEST_FPERIOD_OVERRIDE=FQ","FILING_STATUS=OR","EQY_CONSOLIDATED=Y","FA_ADJUSTED=GAAP","Sort=A","Dates=H","DateFormat=P","Fill=—","Direction=H","UseDPDF=Y")</f>
        <v>#NAME?</v>
      </c>
      <c r="R424" t="e">
        <f ca="1">_xll.BDH($C$403,"DVD_PAYOUT_RATIO","FQ1 2018","FQ1 2018","Currency=INR","Period=FQ","BEST_FPERIOD_OVERRIDE=FQ","FILING_STATUS=OR","EQY_CONSOLIDATED=Y","FA_ADJUSTED=GAAP","Sort=A","Dates=H","DateFormat=P","Fill=—","Direction=H","UseDPDF=Y")</f>
        <v>#NAME?</v>
      </c>
      <c r="S424" t="e">
        <f ca="1">_xll.BDH($C$403,"SUSTAIN_GROWTH_RT","FQ1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24" s="2" t="e">
        <f ca="1">_xll.BDH($C$403,"SALES_GROWTH","FQ1 2018","FQ1 2018","Currency=INR","Period=FQ","BEST_FPERIOD_OVERRIDE=FQ","FILING_STATUS=OR","EQY_CONSOLIDATED=Y","FA_ADJUSTED=GAAP","Sort=A","Dates=H","DateFormat=P","Fill=—","Direction=H","UseDPDF=Y")</f>
        <v>#NAME?</v>
      </c>
      <c r="U424" s="2" t="e">
        <f ca="1">_xll.BDH($C$403,"EBITDA_GROWTH","FQ1 2018","FQ1 2018","Currency=INR","Period=FQ","BEST_FPERIOD_OVERRIDE=FQ","FILING_STATUS=OR","EQY_CONSOLIDATED=Y","FA_ADJUSTED=GAAP","Sort=A","Dates=H","DateFormat=P","Fill=—","Direction=H","UseDPDF=Y")</f>
        <v>#NAME?</v>
      </c>
      <c r="V424" s="2" t="e">
        <f ca="1">_xll.BDH($C$403,"OPER_INC_GROWTH","FQ1 2018","FQ1 2018","Currency=INR","Period=FQ","BEST_FPERIOD_OVERRIDE=FQ","FILING_STATUS=OR","EQY_CONSOLIDATED=Y","FA_ADJUSTED=GAAP","Sort=A","Dates=H","DateFormat=P","Fill=—","Direction=H","UseDPDF=Y")</f>
        <v>#NAME?</v>
      </c>
      <c r="W424" s="2" t="e">
        <f ca="1">_xll.BDH($C$403,"EARN_FOR_COM_GROWTH","FQ1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24" s="2" t="e">
        <f ca="1">_xll.BDH($C$403,"DILUTED_EPS_AFT_XO_ITEMS_GROWTH","FQ1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24" s="2" t="e">
        <f ca="1">_xll.BDH($C$403,"DIVIDEND_PER_SHARE_1_YEAR_GROWTH","FQ1 2018","FQ1 2018","Currency=INR","Period=FQ","BEST_FPERIOD_OVERRIDE=FQ","FILING_STATUS=OR","EQY_CONSOLIDATED=Y","Sort=A","Dates=H","DateFormat=P","Fill=—","Direction=H","UseDPDF=Y")</f>
        <v>#NAME?</v>
      </c>
      <c r="Z424" s="2" t="e">
        <f ca="1">_xll.BDH($C$403,"ACCOUNTS_RECEIVABLE_GROWTH","FQ1 2018","FQ1 2018","Currency=INR","Period=FQ","BEST_FPERIOD_OVERRIDE=FQ","FILING_STATUS=OR","EQY_CONSOLIDATED=Y","Sort=A","Dates=H","DateFormat=P","Fill=—","Direction=H","UseDPDF=Y")</f>
        <v>#NAME?</v>
      </c>
      <c r="AA424" s="2" t="e">
        <f ca="1">_xll.BDH($C$403,"INVENTORY_GROWTH","FQ1 2018","FQ1 2018","Currency=INR","Period=FQ","BEST_FPERIOD_OVERRIDE=FQ","FILING_STATUS=OR","EQY_CONSOLIDATED=Y","Sort=A","Dates=H","DateFormat=P","Fill=—","Direction=H","UseDPDF=Y")</f>
        <v>#NAME?</v>
      </c>
      <c r="AB424" s="2" t="e">
        <f ca="1">_xll.BDH($C$403,"NET_FIXED_ASSETS_1_YEAR_GROWTH","FQ1 2018","FQ1 2018","Currency=INR","Period=FQ","BEST_FPERIOD_OVERRIDE=FQ","FILING_STATUS=OR","EQY_CONSOLIDATED=Y","Sort=A","Dates=H","DateFormat=P","Fill=—","Direction=H","UseDPDF=Y")</f>
        <v>#NAME?</v>
      </c>
      <c r="AC424" s="2" t="e">
        <f ca="1">_xll.BDH($C$403,"ASSET_GROWTH","FQ1 2018","FQ1 2018","Currency=INR","Period=FQ","BEST_FPERIOD_OVERRIDE=FQ","FILING_STATUS=OR","EQY_CONSOLIDATED=Y","Sort=A","Dates=H","DateFormat=P","Fill=—","Direction=H","UseDPDF=Y")</f>
        <v>#NAME?</v>
      </c>
      <c r="AD424" s="2" t="e">
        <f ca="1">_xll.BDH($C$403,"MODIFIED_WORK_CAP_GROWTH","FQ1 2018","FQ1 2018","Currency=INR","Period=FQ","BEST_FPERIOD_OVERRIDE=FQ","FILING_STATUS=OR","EQY_CONSOLIDATED=Y","Sort=A","Dates=H","DateFormat=P","Fill=—","Direction=H","UseDPDF=Y")</f>
        <v>#NAME?</v>
      </c>
      <c r="AE424" s="2" t="e">
        <f ca="1">_xll.BDH($C$403,"WORK_CAP_GROWTH","FQ1 2018","FQ1 2018","Currency=INR","Period=FQ","BEST_FPERIOD_OVERRIDE=FQ","FILING_STATUS=OR","EQY_CONSOLIDATED=Y","Sort=A","Dates=H","DateFormat=P","Fill=—","Direction=H","UseDPDF=Y")</f>
        <v>#NAME?</v>
      </c>
      <c r="AF424" s="2" t="e">
        <f ca="1">_xll.BDH($C$403,"ACCOUNTS_PAYABLE_GROWTH_1YR","FQ1 2018","FQ1 2018","Currency=INR","Period=FQ","BEST_FPERIOD_OVERRIDE=FQ","FILING_STATUS=OR","EQY_CONSOLIDATED=Y","Sort=A","Dates=H","DateFormat=P","Fill=—","Direction=H","UseDPDF=Y")</f>
        <v>#NAME?</v>
      </c>
      <c r="AG424" s="2" t="e">
        <f ca="1">_xll.BDH($C$403,"SHORT_TERM_DEBT_1_YEAR_GROWTH","FQ1 2018","FQ1 2018","Currency=INR","Period=FQ","BEST_FPERIOD_OVERRIDE=FQ","FILING_STATUS=OR","EQY_CONSOLIDATED=Y","Sort=A","Dates=H","DateFormat=P","Fill=—","Direction=H","UseDPDF=Y")</f>
        <v>#NAME?</v>
      </c>
      <c r="AH424" s="2" t="e">
        <f ca="1">_xll.BDH($C$403,"TOTAL_DEBT_1_YEAR_GROWTH","FQ1 2018","FQ1 2018","Currency=INR","Period=FQ","BEST_FPERIOD_OVERRIDE=FQ","FILING_STATUS=OR","EQY_CONSOLIDATED=Y","Sort=A","Dates=H","DateFormat=P","Fill=—","Direction=H","UseDPDF=Y")</f>
        <v>#NAME?</v>
      </c>
      <c r="AI424" s="2" t="e">
        <f ca="1">_xll.BDH($C$403,"TOTAL_EQUITY_1_YEAR_GROWTH","FQ1 2018","FQ1 2018","Currency=INR","Period=FQ","BEST_FPERIOD_OVERRIDE=FQ","FILING_STATUS=OR","EQY_CONSOLIDATED=Y","Sort=A","Dates=H","DateFormat=P","Fill=—","Direction=H","UseDPDF=Y")</f>
        <v>#NAME?</v>
      </c>
      <c r="AJ424" s="2" t="e">
        <f ca="1">_xll.BDH($C$403,"GROWTH_IN_CAP","FQ1 2018","FQ1 2018","Currency=INR","Period=FQ","BEST_FPERIOD_OVERRIDE=FQ","FILING_STATUS=OR","EQY_CONSOLIDATED=Y","Sort=A","Dates=H","DateFormat=P","Fill=—","Direction=H","UseDPDF=Y")</f>
        <v>#NAME?</v>
      </c>
      <c r="AK424" s="2" t="e">
        <f ca="1">_xll.BDH($C$403,"BVPS_GROWTH","FQ1 2018","FQ1 2018","Currency=INR","Period=FQ","BEST_FPERIOD_OVERRIDE=FQ","FILING_STATUS=OR","EQY_CONSOLIDATED=Y","Sort=A","Dates=H","DateFormat=P","Fill=—","Direction=H","UseDPDF=Y")</f>
        <v>#NAME?</v>
      </c>
      <c r="AL424" s="2" t="e">
        <f ca="1">_xll.BDH($C$403,"CASH_FLOW_GROWTH","FQ1 2018","FQ1 2018","Currency=INR","Period=FQ","BEST_FPERIOD_OVERRIDE=FQ","FILING_STATUS=OR","EQY_CONSOLIDATED=Y","Sort=A","Dates=H","DateFormat=P","Fill=—","Direction=H","UseDPDF=Y")</f>
        <v>#NAME?</v>
      </c>
      <c r="AM424" s="2" t="e">
        <f ca="1">_xll.BDH($C$403,"GEO_GROW_NET_SALES","FQ1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24" s="2" t="e">
        <f ca="1">_xll.BDH($C$403,"GEO_GROW_EBITDA","FQ1 2018","FQ1 2018","Currency=INR","Period=FQ","BEST_FPERIOD_OVERRIDE=FQ","FILING_STATUS=OR","EQY_CONSOLIDATED=Y","FA_ADJUSTED=GAAP","Sort=A","Dates=H","DateFormat=P","Fill=—","Direction=H","UseDPDF=Y")</f>
        <v>#NAME?</v>
      </c>
      <c r="AO424" s="2" t="e">
        <f ca="1">_xll.BDH($C$403,"GEO_GROW_OPER_INC","FQ1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24" s="2" t="e">
        <f ca="1">_xll.BDH($C$403,"NET_INCOME_TO_COMMON_5_YR_GROWTH","FQ1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24" s="2" t="e">
        <f ca="1">_xll.BDH($C$403,"5Y_GEO_GROWTH_DILUTED_EPS","FQ1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24" s="2" t="e">
        <f ca="1">_xll.BDH($C$403,"GEO_GROW_DVD_PER_SH","FQ1 2018","FQ1 2018","Currency=INR","Period=FQ","BEST_FPERIOD_OVERRIDE=FQ","FILING_STATUS=OR","EQY_CONSOLIDATED=Y","Sort=A","Dates=H","DateFormat=P","Fill=—","Direction=H","UseDPDF=Y")</f>
        <v>#NAME?</v>
      </c>
      <c r="AS424" s="2" t="e">
        <f ca="1">_xll.BDH($C$403,"ACCOUNTS_RECEIVABLE_5_YR_GROWTH","FQ1 2018","FQ1 2018","Currency=INR","Period=FQ","BEST_FPERIOD_OVERRIDE=FQ","FILING_STATUS=OR","EQY_CONSOLIDATED=Y","Sort=A","Dates=H","DateFormat=P","Fill=—","Direction=H","UseDPDF=Y")</f>
        <v>#NAME?</v>
      </c>
      <c r="AT424" s="2" t="e">
        <f ca="1">_xll.BDH($C$403,"INVENTORY_5_YEAR_GROWTH","FQ1 2018","FQ1 2018","Currency=INR","Period=FQ","BEST_FPERIOD_OVERRIDE=FQ","FILING_STATUS=OR","EQY_CONSOLIDATED=Y","Sort=A","Dates=H","DateFormat=P","Fill=—","Direction=H","UseDPDF=Y")</f>
        <v>#NAME?</v>
      </c>
      <c r="AU424" s="2" t="e">
        <f ca="1">_xll.BDH($C$403,"NET_FIXED_ASSETS_5_YEAR_GROWTH","FQ1 2018","FQ1 2018","Currency=INR","Period=FQ","BEST_FPERIOD_OVERRIDE=FQ","FILING_STATUS=OR","EQY_CONSOLIDATED=Y","Sort=A","Dates=H","DateFormat=P","Fill=—","Direction=H","UseDPDF=Y")</f>
        <v>#NAME?</v>
      </c>
      <c r="AV424" s="2" t="e">
        <f ca="1">_xll.BDH($C$403,"GEO_GROW_TOT_ASSET","FQ1 2018","FQ1 2018","Currency=INR","Period=FQ","BEST_FPERIOD_OVERRIDE=FQ","FILING_STATUS=OR","EQY_CONSOLIDATED=Y","Sort=A","Dates=H","DateFormat=P","Fill=—","Direction=H","UseDPDF=Y")</f>
        <v>#NAME?</v>
      </c>
      <c r="AW424" s="2" t="e">
        <f ca="1">_xll.BDH($C$403,"MODIFIED_WORKING_CPTL_5YR_GRWTH","FQ1 2018","FQ1 2018","Currency=INR","Period=FQ","BEST_FPERIOD_OVERRIDE=FQ","FILING_STATUS=OR","EQY_CONSOLIDATED=Y","Sort=A","Dates=H","DateFormat=P","Fill=—","Direction=H","UseDPDF=Y")</f>
        <v>#NAME?</v>
      </c>
      <c r="AX424" s="2" t="e">
        <f ca="1">_xll.BDH($C$403,"WORKING_CAPITAL_5_YEAR_GROWTH","FQ1 2018","FQ1 2018","Currency=INR","Period=FQ","BEST_FPERIOD_OVERRIDE=FQ","FILING_STATUS=OR","EQY_CONSOLIDATED=Y","Sort=A","Dates=H","DateFormat=P","Fill=—","Direction=H","UseDPDF=Y")</f>
        <v>#NAME?</v>
      </c>
      <c r="AY424" s="2" t="e">
        <f ca="1">_xll.BDH($C$403,"ACCOUNTS_PAYABLE_5_YEAR_GROWTH","FQ1 2018","FQ1 2018","Currency=INR","Period=FQ","BEST_FPERIOD_OVERRIDE=FQ","FILING_STATUS=OR","EQY_CONSOLIDATED=Y","Sort=A","Dates=H","DateFormat=P","Fill=—","Direction=H","UseDPDF=Y")</f>
        <v>#NAME?</v>
      </c>
      <c r="AZ424" s="2" t="e">
        <f ca="1">_xll.BDH($C$403,"SHORT_TERM_DEBT_5_YEAR_GROWTH","FQ1 2018","FQ1 2018","Currency=INR","Period=FQ","BEST_FPERIOD_OVERRIDE=FQ","FILING_STATUS=OR","EQY_CONSOLIDATED=Y","Sort=A","Dates=H","DateFormat=P","Fill=—","Direction=H","UseDPDF=Y")</f>
        <v>#NAME?</v>
      </c>
      <c r="BA424" s="2" t="e">
        <f ca="1">_xll.BDH($C$403,"TOTAL_DEBT_5_YEAR_GROWTH","FQ1 2018","FQ1 2018","Currency=INR","Period=FQ","BEST_FPERIOD_OVERRIDE=FQ","FILING_STATUS=OR","EQY_CONSOLIDATED=Y","Sort=A","Dates=H","DateFormat=P","Fill=—","Direction=H","UseDPDF=Y")</f>
        <v>#NAME?</v>
      </c>
      <c r="BB424" s="2" t="e">
        <f ca="1">_xll.BDH($C$403,"GEO_GROW_TOT_SHRHLDR_EQY","FQ1 2018","FQ1 2018","Currency=INR","Period=FQ","BEST_FPERIOD_OVERRIDE=FQ","FILING_STATUS=OR","EQY_CONSOLIDATED=Y","Sort=A","Dates=H","DateFormat=P","Fill=—","Direction=H","UseDPDF=Y")</f>
        <v>#NAME?</v>
      </c>
      <c r="BC424" s="2" t="e">
        <f ca="1">_xll.BDH($C$403,"TOTAL_CAPITAL_5_YEAR_GROWTH","FQ1 2018","FQ1 2018","Currency=INR","Period=FQ","BEST_FPERIOD_OVERRIDE=FQ","FILING_STATUS=OR","EQY_CONSOLIDATED=Y","Sort=A","Dates=H","DateFormat=P","Fill=—","Direction=H","UseDPDF=Y")</f>
        <v>#NAME?</v>
      </c>
      <c r="BD424" s="2" t="e">
        <f ca="1">_xll.BDH($C$403,"GEO_GROW_BOOK_VAL","FQ1 2018","FQ1 2018","Currency=INR","Period=FQ","BEST_FPERIOD_OVERRIDE=FQ","FILING_STATUS=OR","EQY_CONSOLIDATED=Y","Sort=A","Dates=H","DateFormat=P","Fill=—","Direction=H","UseDPDF=Y")</f>
        <v>#NAME?</v>
      </c>
      <c r="BE424" s="2" t="e">
        <f ca="1">_xll.BDH($C$403,"GEO_GROW_CASH_OPER_ACT","FQ1 2018","FQ1 2018","Currency=INR","Period=FQ","BEST_FPERIOD_OVERRIDE=FQ","FILING_STATUS=OR","EQY_CONSOLIDATED=Y","Sort=A","Dates=H","DateFormat=P","Fill=—","Direction=H","UseDPDF=Y")</f>
        <v>#NAME?</v>
      </c>
      <c r="BF424" s="2" t="e">
        <f ca="1">_xll.BDH($C$403,"REVENUE_SEQUENTIAL_GROWTH","FQ1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24" s="2" t="e">
        <f ca="1">_xll.BDH($C$403,"EBITDA_SEQUENTIAL_GROWTH","FQ1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24" s="2" t="e">
        <f ca="1">_xll.BDH($C$403,"OPERATING_INCOME_SEQ_GROWTH","FQ1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24" s="2" t="e">
        <f ca="1">_xll.BDH($C$403,"NET_INCOME_TO_COMMON_SEQ_GROWTH","FQ1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24" s="2" t="e">
        <f ca="1">_xll.BDH($C$403,"EPS_DILUTED_SEQUENTIAL_GROWTH","FQ1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24" s="2" t="e">
        <f ca="1">_xll.BDH($C$403,"DPS_SEQUENTIAL_GROWTH","FQ1 2018","FQ1 2018","Currency=INR","Period=FQ","BEST_FPERIOD_OVERRIDE=FQ","FILING_STATUS=OR","EQY_CONSOLIDATED=Y","Sort=A","Dates=H","DateFormat=P","Fill=—","Direction=H","UseDPDF=Y")</f>
        <v>#NAME?</v>
      </c>
      <c r="BL424" s="2" t="e">
        <f ca="1">_xll.BDH($C$403,"ACCOUNTS_RECEIVABLE_SEQ_GROWTH","FQ1 2018","FQ1 2018","Currency=INR","Period=FQ","BEST_FPERIOD_OVERRIDE=FQ","FILING_STATUS=OR","EQY_CONSOLIDATED=Y","Sort=A","Dates=H","DateFormat=P","Fill=—","Direction=H","UseDPDF=Y")</f>
        <v>#NAME?</v>
      </c>
      <c r="BM424" s="2" t="e">
        <f ca="1">_xll.BDH($C$403,"INVENTORY_SEQUENTIAL_GROWTH","FQ1 2018","FQ1 2018","Currency=INR","Period=FQ","BEST_FPERIOD_OVERRIDE=FQ","FILING_STATUS=OR","EQY_CONSOLIDATED=Y","Sort=A","Dates=H","DateFormat=P","Fill=—","Direction=H","UseDPDF=Y")</f>
        <v>#NAME?</v>
      </c>
      <c r="BN424" s="2" t="e">
        <f ca="1">_xll.BDH($C$403,"FIXED_ASSETS_SEQUENTIAL_GROWTH","FQ1 2018","FQ1 2018","Currency=INR","Period=FQ","BEST_FPERIOD_OVERRIDE=FQ","FILING_STATUS=OR","EQY_CONSOLIDATED=Y","Sort=A","Dates=H","DateFormat=P","Fill=—","Direction=H","UseDPDF=Y")</f>
        <v>#NAME?</v>
      </c>
      <c r="BO424" s="2" t="e">
        <f ca="1">_xll.BDH($C$403,"TOTAL_ASSETS_SEQUENTIAL_GROWTH","FQ1 2018","FQ1 2018","Currency=INR","Period=FQ","BEST_FPERIOD_OVERRIDE=FQ","FILING_STATUS=OR","EQY_CONSOLIDATED=Y","Sort=A","Dates=H","DateFormat=P","Fill=—","Direction=H","UseDPDF=Y")</f>
        <v>#NAME?</v>
      </c>
      <c r="BP424" s="2" t="e">
        <f ca="1">_xll.BDH($C$403,"MODIFIED_WORKING_CPTL_SEQ_GRWTH","FQ1 2018","FQ1 2018","Currency=INR","Period=FQ","BEST_FPERIOD_OVERRIDE=FQ","FILING_STATUS=OR","EQY_CONSOLIDATED=Y","Sort=A","Dates=H","DateFormat=P","Fill=—","Direction=H","UseDPDF=Y")</f>
        <v>#NAME?</v>
      </c>
      <c r="BQ424" s="2" t="e">
        <f ca="1">_xll.BDH($C$403,"WORKING_CAPITAL_SEQ_GROWTH","FQ1 2018","FQ1 2018","Currency=INR","Period=FQ","BEST_FPERIOD_OVERRIDE=FQ","FILING_STATUS=OR","EQY_CONSOLIDATED=Y","Sort=A","Dates=H","DateFormat=P","Fill=—","Direction=H","UseDPDF=Y")</f>
        <v>#NAME?</v>
      </c>
      <c r="BR424" s="2" t="e">
        <f ca="1">_xll.BDH($C$403,"ACCOUNTS_PAYABLE_SEQ_GROWTH","FQ1 2018","FQ1 2018","Currency=INR","Period=FQ","BEST_FPERIOD_OVERRIDE=FQ","FILING_STATUS=OR","EQY_CONSOLIDATED=Y","Sort=A","Dates=H","DateFormat=P","Fill=—","Direction=H","UseDPDF=Y")</f>
        <v>#NAME?</v>
      </c>
      <c r="BS424" s="2" t="e">
        <f ca="1">_xll.BDH($C$403,"ST_DEBT_SEQUENTIAL_GROWTH","FQ1 2018","FQ1 2018","Currency=INR","Period=FQ","BEST_FPERIOD_OVERRIDE=FQ","FILING_STATUS=OR","EQY_CONSOLIDATED=Y","Sort=A","Dates=H","DateFormat=P","Fill=—","Direction=H","UseDPDF=Y")</f>
        <v>#NAME?</v>
      </c>
      <c r="BT424" s="2" t="e">
        <f ca="1">_xll.BDH($C$403,"TOTAL_DEBT_SEQUENTIAL_GROWTH","FQ1 2018","FQ1 2018","Currency=INR","Period=FQ","BEST_FPERIOD_OVERRIDE=FQ","FILING_STATUS=OR","EQY_CONSOLIDATED=Y","Sort=A","Dates=H","DateFormat=P","Fill=—","Direction=H","UseDPDF=Y")</f>
        <v>#NAME?</v>
      </c>
      <c r="BU424" s="2" t="e">
        <f ca="1">_xll.BDH($C$403,"TOTAL_EQUITY_SEQUENTIAL_GROWTH","FQ1 2018","FQ1 2018","Currency=INR","Period=FQ","BEST_FPERIOD_OVERRIDE=FQ","FILING_STATUS=OR","EQY_CONSOLIDATED=Y","Sort=A","Dates=H","DateFormat=P","Fill=—","Direction=H","UseDPDF=Y")</f>
        <v>#NAME?</v>
      </c>
      <c r="BV424" s="2" t="e">
        <f ca="1">_xll.BDH($C$403,"TOTAL_CAPITAL_SEQUENTIAL_GROWTH","FQ1 2018","FQ1 2018","Currency=INR","Period=FQ","BEST_FPERIOD_OVERRIDE=FQ","FILING_STATUS=OR","EQY_CONSOLIDATED=Y","Sort=A","Dates=H","DateFormat=P","Fill=—","Direction=H","UseDPDF=Y")</f>
        <v>#NAME?</v>
      </c>
      <c r="BW424" s="2" t="e">
        <f ca="1">_xll.BDH($C$403,"BPS_SEQUENTIAL_GROWTH","FQ1 2018","FQ1 2018","Currency=INR","Period=FQ","BEST_FPERIOD_OVERRIDE=FQ","FILING_STATUS=OR","EQY_CONSOLIDATED=Y","Sort=A","Dates=H","DateFormat=P","Fill=—","Direction=H","UseDPDF=Y")</f>
        <v>#NAME?</v>
      </c>
      <c r="BX424" s="2" t="e">
        <f ca="1">_xll.BDH($C$403,"CFO_SEQUENTIAL_GROWTH","FQ1 2018","FQ1 2018","Currency=INR","Period=FQ","BEST_FPERIOD_OVERRIDE=FQ","FILING_STATUS=OR","EQY_CONSOLIDATED=Y","Sort=A","Dates=H","DateFormat=P","Fill=—","Direction=H","UseDPDF=Y")</f>
        <v>#NAME?</v>
      </c>
      <c r="BY424" s="3" t="e">
        <f ca="1">_xll.BDH($C$403,"SHORT_AND_LONG_TERM_DEBT","FQ1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24" s="3" t="e">
        <f ca="1">_xll.BDH($C$403,"BS_ST_BORROW","FQ1 2018","FQ1 2018","Currency=INR","Period=FQ","BEST_FPERIOD_OVERRIDE=FQ","FILING_STATUS=OR","EQY_CONSOLIDATED=Y","SCALING_FORMAT=MLN","Sort=A","Dates=H","DateFormat=P","Fill=—","Direction=H","UseDPDF=Y")</f>
        <v>#NAME?</v>
      </c>
      <c r="CA424" s="3" t="e">
        <f ca="1">_xll.BDH($C$403,"BS_LT_BORROW","FQ1 2018","FQ1 2018","Currency=INR","Period=FQ","BEST_FPERIOD_OVERRIDE=FQ","FILING_STATUS=OR","EQY_CONSOLIDATED=Y","SCALING_FORMAT=MLN","Sort=A","Dates=H","DateFormat=P","Fill=—","Direction=H","UseDPDF=Y")</f>
        <v>#NAME?</v>
      </c>
      <c r="CB424" s="2" t="e">
        <f ca="1">_xll.BDH($C$403,"TOT_DEBT_TO_EBITDA","FQ1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24" s="2" t="e">
        <f ca="1">_xll.BDH($C$403,"NET_DEBT_TO_EBITDA","FQ1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24" s="2" t="e">
        <f ca="1">_xll.BDH($C$403,"TOTAL_DEBT_TO_EBIT","FQ1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24" s="2" t="e">
        <f ca="1">_xll.BDH($C$403,"NET_DEBT_TO_EBIT","FQ1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24" s="2" t="e">
        <f ca="1">_xll.BDH($C$403,"EBITDA_TO_INTEREST_EXPN","FQ1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24" s="2" t="e">
        <f ca="1">_xll.BDH($C$403,"COM_EQY_TO_TOT_ASSET","FQ1 2018","FQ1 2018","Currency=INR","Period=FQ","BEST_FPERIOD_OVERRIDE=FQ","FILING_STATUS=OR","EQY_CONSOLIDATED=Y","Sort=A","Dates=H","DateFormat=P","Fill=—","Direction=H","UseDPDF=Y")</f>
        <v>#NAME?</v>
      </c>
      <c r="CH424" s="2" t="e">
        <f ca="1">_xll.BDH($C$403,"LT_DEBT_TO_TOT_EQY","FQ1 2018","FQ1 2018","Currency=INR","Period=FQ","BEST_FPERIOD_OVERRIDE=FQ","FILING_STATUS=OR","EQY_CONSOLIDATED=Y","Sort=A","Dates=H","DateFormat=P","Fill=—","Direction=H","UseDPDF=Y")</f>
        <v>#NAME?</v>
      </c>
      <c r="CI424" s="2" t="e">
        <f ca="1">_xll.BDH($C$403,"LT_DEBT_TO_TOT_CAP","FQ1 2018","FQ1 2018","Currency=INR","Period=FQ","BEST_FPERIOD_OVERRIDE=FQ","FILING_STATUS=OR","EQY_CONSOLIDATED=Y","Sort=A","Dates=H","DateFormat=P","Fill=—","Direction=H","UseDPDF=Y")</f>
        <v>#NAME?</v>
      </c>
      <c r="CJ424" s="2" t="e">
        <f ca="1">_xll.BDH($C$403,"LT_DEBT_TO_TOT_ASSET","FQ1 2018","FQ1 2018","Currency=INR","Period=FQ","BEST_FPERIOD_OVERRIDE=FQ","FILING_STATUS=OR","EQY_CONSOLIDATED=Y","Sort=A","Dates=H","DateFormat=P","Fill=—","Direction=H","UseDPDF=Y")</f>
        <v>#NAME?</v>
      </c>
      <c r="CK424" s="2" t="e">
        <f ca="1">_xll.BDH($C$403,"TOT_DEBT_TO_TOT_EQY","FQ1 2018","FQ1 2018","Currency=INR","Period=FQ","BEST_FPERIOD_OVERRIDE=FQ","FILING_STATUS=OR","EQY_CONSOLIDATED=Y","Sort=A","Dates=H","DateFormat=P","Fill=—","Direction=H","UseDPDF=Y")</f>
        <v>#NAME?</v>
      </c>
      <c r="CL424" s="2" t="e">
        <f ca="1">_xll.BDH($C$403,"TOT_DEBT_TO_TOT_CAP","FQ1 2018","FQ1 2018","Currency=INR","Period=FQ","BEST_FPERIOD_OVERRIDE=FQ","FILING_STATUS=OR","EQY_CONSOLIDATED=Y","Sort=A","Dates=H","DateFormat=P","Fill=—","Direction=H","UseDPDF=Y")</f>
        <v>#NAME?</v>
      </c>
      <c r="CM424" s="2" t="e">
        <f ca="1">_xll.BDH($C$403,"TOT_DEBT_TO_TOT_ASSET","FQ1 2018","FQ1 2018","Currency=INR","Period=FQ","BEST_FPERIOD_OVERRIDE=FQ","FILING_STATUS=OR","EQY_CONSOLIDATED=Y","Sort=A","Dates=H","DateFormat=P","Fill=—","Direction=H","UseDPDF=Y")</f>
        <v>#NAME?</v>
      </c>
      <c r="CN424" s="2" t="e">
        <f ca="1">_xll.BDH($C$403,"NET_DEBT_TO_SHRHLDR_EQTY","FQ1 2018","FQ1 2018","Currency=INR","Period=FQ","BEST_FPERIOD_OVERRIDE=FQ","FILING_STATUS=OR","EQY_CONSOLIDATED=Y","Sort=A","Dates=H","DateFormat=P","Fill=—","Direction=H","UseDPDF=Y")</f>
        <v>#NAME?</v>
      </c>
      <c r="CO424" s="2" t="e">
        <f ca="1">_xll.BDH($C$403,"NET_DEBT_%_CAPITAL","FQ1 2018","FQ1 2018","Currency=INR","Period=FQ","BEST_FPERIOD_OVERRIDE=FQ","FILING_STATUS=OR","EQY_CONSOLIDATED=Y","Sort=A","Dates=H","DateFormat=P","Fill=—","Direction=H","UseDPDF=Y")</f>
        <v>#NAME?</v>
      </c>
      <c r="CP424" s="3" t="e">
        <f ca="1">_xll.BDH($C$403,"EBITDA","FQ1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24" s="3" t="e">
        <f ca="1">_xll.BDH($C$403,"EBITDA_AFTER_CAPEX","FQ1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24" s="3" t="e">
        <f ca="1">_xll.BDH($C$403,"IS_OPER_INC","FQ1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24" s="2" t="e">
        <f ca="1">_xll.BDH($C$403,"CASH_RATIO","FQ1 2018","FQ1 2018","Currency=INR","Period=FQ","BEST_FPERIOD_OVERRIDE=FQ","FILING_STATUS=OR","EQY_CONSOLIDATED=Y","Sort=A","Dates=H","DateFormat=P","Fill=—","Direction=H","UseDPDF=Y")</f>
        <v>#NAME?</v>
      </c>
      <c r="CT424" s="2" t="e">
        <f ca="1">_xll.BDH($C$403,"CUR_RATIO","FQ1 2018","FQ1 2018","Currency=INR","Period=FQ","BEST_FPERIOD_OVERRIDE=FQ","FILING_STATUS=OR","EQY_CONSOLIDATED=Y","Sort=A","Dates=H","DateFormat=P","Fill=—","Direction=H","UseDPDF=Y")</f>
        <v>#NAME?</v>
      </c>
      <c r="CU424" s="2" t="e">
        <f ca="1">_xll.BDH($C$403,"QUICK_RATIO","FQ1 2018","FQ1 2018","Currency=INR","Period=FQ","BEST_FPERIOD_OVERRIDE=FQ","FILING_STATUS=OR","EQY_CONSOLIDATED=Y","Sort=A","Dates=H","DateFormat=P","Fill=—","Direction=H","UseDPDF=Y")</f>
        <v>#NAME?</v>
      </c>
      <c r="CV424" s="2" t="e">
        <f ca="1">_xll.BDH($C$403,"ALTMAN_Z_SCORE","FQ1 2018","FQ1 2018","Currency=INR","Period=FQ","BEST_FPERIOD_OVERRIDE=FQ","FILING_STATUS=OR","EQY_CONSOLIDATED=Y","Sort=A","Dates=H","DateFormat=P","Fill=—","Direction=H","UseDPDF=Y")</f>
        <v>#NAME?</v>
      </c>
      <c r="CW424" s="4" t="e">
        <f ca="1">_xll.BDH($C$403,"ACCT_RCV_TURN","FQ1 2018","FQ1 2018","Currency=INR","Period=FQ","BEST_FPERIOD_OVERRIDE=FQ","FILING_STATUS=OR","EQY_CONSOLIDATED=Y","FA_ADJUSTED=GAAP","Sort=A","Dates=H","DateFormat=P","Fill=—","Direction=H","UseDPDF=Y")</f>
        <v>#NAME?</v>
      </c>
      <c r="CX424" s="2" t="e">
        <f ca="1">_xll.BDH($C$403,"ACCT_RCV_DAYS","FQ1 2018","FQ1 2018","Currency=INR","Period=FQ","BEST_FPERIOD_OVERRIDE=FQ","FILING_STATUS=OR","EQY_CONSOLIDATED=Y","FA_ADJUSTED=GAAP","Sort=A","Dates=H","DateFormat=P","Fill=—","Direction=H","UseDPDF=Y")</f>
        <v>#NAME?</v>
      </c>
      <c r="CY424" s="4" t="e">
        <f ca="1">_xll.BDH($C$403,"INVENT_TURN","FQ1 2018","FQ1 2018","Currency=INR","Period=FQ","BEST_FPERIOD_OVERRIDE=FQ","FILING_STATUS=OR","EQY_CONSOLIDATED=Y","FA_ADJUSTED=GAAP","Sort=A","Dates=H","DateFormat=P","Fill=—","Direction=H","UseDPDF=Y")</f>
        <v>#NAME?</v>
      </c>
      <c r="CZ424" s="2" t="e">
        <f ca="1">_xll.BDH($C$403,"INVENT_DAYS","FQ1 2018","FQ1 2018","Currency=INR","Period=FQ","BEST_FPERIOD_OVERRIDE=FQ","FILING_STATUS=OR","EQY_CONSOLIDATED=Y","FA_ADJUSTED=GAAP","Sort=A","Dates=H","DateFormat=P","Fill=—","Direction=H","UseDPDF=Y")</f>
        <v>#NAME?</v>
      </c>
      <c r="DA424" s="4" t="e">
        <f ca="1">_xll.BDH($C$403,"ACCOUNTS_PAYABLE_TURNOVER","FQ1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24" s="2" t="e">
        <f ca="1">_xll.BDH($C$403,"ACCOUNTS_PAYABLE_TURNOVER_DAYS","FQ1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24" s="4" t="e">
        <f ca="1">_xll.BDH($C$403,"CASH_CONVERSION_CYCLE","FQ1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24" s="4" t="e">
        <f ca="1">_xll.BDH($C$403,"INV_TO_CASH_DAYS","FQ1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24" s="5" t="e">
        <f ca="1">_xll.BDH($C$403,"BS_INVENTORIES","FQ1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24" s="3" t="e">
        <f ca="1">_xll.BDH($C$403,"INVTRY_RAW_MATERIALS","FQ1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24" s="3" t="e">
        <f ca="1">_xll.BDH($C$403,"INVTRY_IN_PROGRESS","FQ1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24" s="3" t="e">
        <f ca="1">_xll.BDH($C$403,"INVTRY_FINISHED_GOODS","FQ1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24" s="3" t="e">
        <f ca="1">_xll.BDH($C$403,"BS_OTHER_INV","FQ1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25" spans="1:113" x14ac:dyDescent="0.3">
      <c r="A425" s="6"/>
      <c r="B425" s="6"/>
      <c r="C425" s="6"/>
      <c r="D425" s="6"/>
      <c r="E425" t="s">
        <v>79</v>
      </c>
      <c r="F425" t="e">
        <f ca="1">_xll.BDH($C$403,"RETURN_COM_EQY","FQ2 2018","FQ2 2018","Currency=INR","Period=FQ","BEST_FPERIOD_OVERRIDE=FQ","FILING_STATUS=OR","EQY_CONSOLIDATED=Y","FA_ADJUSTED=GAAP","Sort=A","Dates=H","DateFormat=P","Fill=—","Direction=H","UseDPDF=Y")</f>
        <v>#NAME?</v>
      </c>
      <c r="G425" t="e">
        <f ca="1">_xll.BDH($C$403,"RETURN_ON_ASSET","FQ2 2018","FQ2 2018","Currency=INR","Period=FQ","BEST_FPERIOD_OVERRIDE=FQ","FILING_STATUS=OR","EQY_CONSOLIDATED=Y","FA_ADJUSTED=GAAP","Sort=A","Dates=H","DateFormat=P","Fill=—","Direction=H","UseDPDF=Y")</f>
        <v>#NAME?</v>
      </c>
      <c r="H425" t="e">
        <f ca="1">_xll.BDH($C$403,"RETURN_ON_CAP","FQ2 2018","FQ2 2018","Currency=INR","Period=FQ","BEST_FPERIOD_OVERRIDE=FQ","FILING_STATUS=OR","EQY_CONSOLIDATED=Y","FA_ADJUSTED=GAAP","Sort=A","Dates=H","DateFormat=P","Fill=—","Direction=H","UseDPDF=Y")</f>
        <v>#NAME?</v>
      </c>
      <c r="I425" t="e">
        <f ca="1">_xll.BDH($C$403,"RETURN_ON_INV_CAPITAL","FQ2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25" t="e">
        <f ca="1">_xll.BDH($C$403,"EBITDA_TO_REVENUE","FQ2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25" t="e">
        <f ca="1">_xll.BDH($C$403,"OPER_MARGIN","FQ2 2018","FQ2 2018","Currency=INR","Period=FQ","BEST_FPERIOD_OVERRIDE=FQ","FILING_STATUS=OR","EQY_CONSOLIDATED=Y","FA_ADJUSTED=GAAP","Sort=A","Dates=H","DateFormat=P","Fill=—","Direction=H","UseDPDF=Y")</f>
        <v>#NAME?</v>
      </c>
      <c r="L425" t="e">
        <f ca="1">_xll.BDH($C$403,"INCREMENTAL_OPERATING_MARGIN","FQ2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25" t="e">
        <f ca="1">_xll.BDH($C$403,"PRETAX_INC_TO_NET_SALES","FQ2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25" t="e">
        <f ca="1">_xll.BDH($C$403,"INC_BEF_XO_ITEMS_TO_NET_SALES","FQ2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25" t="e">
        <f ca="1">_xll.BDH($C$403,"PROF_MARGIN","FQ2 2018","FQ2 2018","Currency=INR","Period=FQ","BEST_FPERIOD_OVERRIDE=FQ","FILING_STATUS=OR","EQY_CONSOLIDATED=Y","FA_ADJUSTED=GAAP","Sort=A","Dates=H","DateFormat=P","Fill=—","Direction=H","UseDPDF=Y")</f>
        <v>#NAME?</v>
      </c>
      <c r="P425" t="e">
        <f ca="1">_xll.BDH($C$403,"NET_INCOME_TO_COMMON_MARGIN","FQ2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25" t="e">
        <f ca="1">_xll.BDH($C$403,"EFF_TAX_RATE","FQ2 2018","FQ2 2018","Currency=INR","Period=FQ","BEST_FPERIOD_OVERRIDE=FQ","FILING_STATUS=OR","EQY_CONSOLIDATED=Y","FA_ADJUSTED=GAAP","Sort=A","Dates=H","DateFormat=P","Fill=—","Direction=H","UseDPDF=Y")</f>
        <v>#NAME?</v>
      </c>
      <c r="R425" t="e">
        <f ca="1">_xll.BDH($C$403,"DVD_PAYOUT_RATIO","FQ2 2018","FQ2 2018","Currency=INR","Period=FQ","BEST_FPERIOD_OVERRIDE=FQ","FILING_STATUS=OR","EQY_CONSOLIDATED=Y","FA_ADJUSTED=GAAP","Sort=A","Dates=H","DateFormat=P","Fill=—","Direction=H","UseDPDF=Y")</f>
        <v>#NAME?</v>
      </c>
      <c r="S425" t="e">
        <f ca="1">_xll.BDH($C$403,"SUSTAIN_GROWTH_RT","FQ2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25" s="2" t="e">
        <f ca="1">_xll.BDH($C$403,"SALES_GROWTH","FQ2 2018","FQ2 2018","Currency=INR","Period=FQ","BEST_FPERIOD_OVERRIDE=FQ","FILING_STATUS=OR","EQY_CONSOLIDATED=Y","FA_ADJUSTED=GAAP","Sort=A","Dates=H","DateFormat=P","Fill=—","Direction=H","UseDPDF=Y")</f>
        <v>#NAME?</v>
      </c>
      <c r="U425" s="2" t="e">
        <f ca="1">_xll.BDH($C$403,"EBITDA_GROWTH","FQ2 2018","FQ2 2018","Currency=INR","Period=FQ","BEST_FPERIOD_OVERRIDE=FQ","FILING_STATUS=OR","EQY_CONSOLIDATED=Y","FA_ADJUSTED=GAAP","Sort=A","Dates=H","DateFormat=P","Fill=—","Direction=H","UseDPDF=Y")</f>
        <v>#NAME?</v>
      </c>
      <c r="V425" s="2" t="e">
        <f ca="1">_xll.BDH($C$403,"OPER_INC_GROWTH","FQ2 2018","FQ2 2018","Currency=INR","Period=FQ","BEST_FPERIOD_OVERRIDE=FQ","FILING_STATUS=OR","EQY_CONSOLIDATED=Y","FA_ADJUSTED=GAAP","Sort=A","Dates=H","DateFormat=P","Fill=—","Direction=H","UseDPDF=Y")</f>
        <v>#NAME?</v>
      </c>
      <c r="W425" s="2" t="e">
        <f ca="1">_xll.BDH($C$403,"EARN_FOR_COM_GROWTH","FQ2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25" s="2" t="e">
        <f ca="1">_xll.BDH($C$403,"DILUTED_EPS_AFT_XO_ITEMS_GROWTH","FQ2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25" s="2" t="e">
        <f ca="1">_xll.BDH($C$403,"DIVIDEND_PER_SHARE_1_YEAR_GROWTH","FQ2 2018","FQ2 2018","Currency=INR","Period=FQ","BEST_FPERIOD_OVERRIDE=FQ","FILING_STATUS=OR","EQY_CONSOLIDATED=Y","Sort=A","Dates=H","DateFormat=P","Fill=—","Direction=H","UseDPDF=Y")</f>
        <v>#NAME?</v>
      </c>
      <c r="Z425" s="2" t="e">
        <f ca="1">_xll.BDH($C$403,"ACCOUNTS_RECEIVABLE_GROWTH","FQ2 2018","FQ2 2018","Currency=INR","Period=FQ","BEST_FPERIOD_OVERRIDE=FQ","FILING_STATUS=OR","EQY_CONSOLIDATED=Y","Sort=A","Dates=H","DateFormat=P","Fill=—","Direction=H","UseDPDF=Y")</f>
        <v>#NAME?</v>
      </c>
      <c r="AA425" s="2" t="e">
        <f ca="1">_xll.BDH($C$403,"INVENTORY_GROWTH","FQ2 2018","FQ2 2018","Currency=INR","Period=FQ","BEST_FPERIOD_OVERRIDE=FQ","FILING_STATUS=OR","EQY_CONSOLIDATED=Y","Sort=A","Dates=H","DateFormat=P","Fill=—","Direction=H","UseDPDF=Y")</f>
        <v>#NAME?</v>
      </c>
      <c r="AB425" s="2" t="e">
        <f ca="1">_xll.BDH($C$403,"NET_FIXED_ASSETS_1_YEAR_GROWTH","FQ2 2018","FQ2 2018","Currency=INR","Period=FQ","BEST_FPERIOD_OVERRIDE=FQ","FILING_STATUS=OR","EQY_CONSOLIDATED=Y","Sort=A","Dates=H","DateFormat=P","Fill=—","Direction=H","UseDPDF=Y")</f>
        <v>#NAME?</v>
      </c>
      <c r="AC425" s="2" t="e">
        <f ca="1">_xll.BDH($C$403,"ASSET_GROWTH","FQ2 2018","FQ2 2018","Currency=INR","Period=FQ","BEST_FPERIOD_OVERRIDE=FQ","FILING_STATUS=OR","EQY_CONSOLIDATED=Y","Sort=A","Dates=H","DateFormat=P","Fill=—","Direction=H","UseDPDF=Y")</f>
        <v>#NAME?</v>
      </c>
      <c r="AD425" s="2" t="e">
        <f ca="1">_xll.BDH($C$403,"MODIFIED_WORK_CAP_GROWTH","FQ2 2018","FQ2 2018","Currency=INR","Period=FQ","BEST_FPERIOD_OVERRIDE=FQ","FILING_STATUS=OR","EQY_CONSOLIDATED=Y","Sort=A","Dates=H","DateFormat=P","Fill=—","Direction=H","UseDPDF=Y")</f>
        <v>#NAME?</v>
      </c>
      <c r="AE425" s="2" t="e">
        <f ca="1">_xll.BDH($C$403,"WORK_CAP_GROWTH","FQ2 2018","FQ2 2018","Currency=INR","Period=FQ","BEST_FPERIOD_OVERRIDE=FQ","FILING_STATUS=OR","EQY_CONSOLIDATED=Y","Sort=A","Dates=H","DateFormat=P","Fill=—","Direction=H","UseDPDF=Y")</f>
        <v>#NAME?</v>
      </c>
      <c r="AF425" s="2" t="e">
        <f ca="1">_xll.BDH($C$403,"ACCOUNTS_PAYABLE_GROWTH_1YR","FQ2 2018","FQ2 2018","Currency=INR","Period=FQ","BEST_FPERIOD_OVERRIDE=FQ","FILING_STATUS=OR","EQY_CONSOLIDATED=Y","Sort=A","Dates=H","DateFormat=P","Fill=—","Direction=H","UseDPDF=Y")</f>
        <v>#NAME?</v>
      </c>
      <c r="AG425" s="2" t="e">
        <f ca="1">_xll.BDH($C$403,"SHORT_TERM_DEBT_1_YEAR_GROWTH","FQ2 2018","FQ2 2018","Currency=INR","Period=FQ","BEST_FPERIOD_OVERRIDE=FQ","FILING_STATUS=OR","EQY_CONSOLIDATED=Y","Sort=A","Dates=H","DateFormat=P","Fill=—","Direction=H","UseDPDF=Y")</f>
        <v>#NAME?</v>
      </c>
      <c r="AH425" s="2" t="e">
        <f ca="1">_xll.BDH($C$403,"TOTAL_DEBT_1_YEAR_GROWTH","FQ2 2018","FQ2 2018","Currency=INR","Period=FQ","BEST_FPERIOD_OVERRIDE=FQ","FILING_STATUS=OR","EQY_CONSOLIDATED=Y","Sort=A","Dates=H","DateFormat=P","Fill=—","Direction=H","UseDPDF=Y")</f>
        <v>#NAME?</v>
      </c>
      <c r="AI425" s="2" t="e">
        <f ca="1">_xll.BDH($C$403,"TOTAL_EQUITY_1_YEAR_GROWTH","FQ2 2018","FQ2 2018","Currency=INR","Period=FQ","BEST_FPERIOD_OVERRIDE=FQ","FILING_STATUS=OR","EQY_CONSOLIDATED=Y","Sort=A","Dates=H","DateFormat=P","Fill=—","Direction=H","UseDPDF=Y")</f>
        <v>#NAME?</v>
      </c>
      <c r="AJ425" s="2" t="e">
        <f ca="1">_xll.BDH($C$403,"GROWTH_IN_CAP","FQ2 2018","FQ2 2018","Currency=INR","Period=FQ","BEST_FPERIOD_OVERRIDE=FQ","FILING_STATUS=OR","EQY_CONSOLIDATED=Y","Sort=A","Dates=H","DateFormat=P","Fill=—","Direction=H","UseDPDF=Y")</f>
        <v>#NAME?</v>
      </c>
      <c r="AK425" s="2" t="e">
        <f ca="1">_xll.BDH($C$403,"BVPS_GROWTH","FQ2 2018","FQ2 2018","Currency=INR","Period=FQ","BEST_FPERIOD_OVERRIDE=FQ","FILING_STATUS=OR","EQY_CONSOLIDATED=Y","Sort=A","Dates=H","DateFormat=P","Fill=—","Direction=H","UseDPDF=Y")</f>
        <v>#NAME?</v>
      </c>
      <c r="AL425" s="2" t="e">
        <f ca="1">_xll.BDH($C$403,"CASH_FLOW_GROWTH","FQ2 2018","FQ2 2018","Currency=INR","Period=FQ","BEST_FPERIOD_OVERRIDE=FQ","FILING_STATUS=OR","EQY_CONSOLIDATED=Y","Sort=A","Dates=H","DateFormat=P","Fill=—","Direction=H","UseDPDF=Y")</f>
        <v>#NAME?</v>
      </c>
      <c r="AM425" s="2" t="e">
        <f ca="1">_xll.BDH($C$403,"GEO_GROW_NET_SALES","FQ2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25" s="2" t="e">
        <f ca="1">_xll.BDH($C$403,"GEO_GROW_EBITDA","FQ2 2018","FQ2 2018","Currency=INR","Period=FQ","BEST_FPERIOD_OVERRIDE=FQ","FILING_STATUS=OR","EQY_CONSOLIDATED=Y","FA_ADJUSTED=GAAP","Sort=A","Dates=H","DateFormat=P","Fill=—","Direction=H","UseDPDF=Y")</f>
        <v>#NAME?</v>
      </c>
      <c r="AO425" s="2" t="e">
        <f ca="1">_xll.BDH($C$403,"GEO_GROW_OPER_INC","FQ2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25" s="2" t="e">
        <f ca="1">_xll.BDH($C$403,"NET_INCOME_TO_COMMON_5_YR_GROWTH","FQ2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25" s="2" t="e">
        <f ca="1">_xll.BDH($C$403,"5Y_GEO_GROWTH_DILUTED_EPS","FQ2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25" s="2" t="e">
        <f ca="1">_xll.BDH($C$403,"GEO_GROW_DVD_PER_SH","FQ2 2018","FQ2 2018","Currency=INR","Period=FQ","BEST_FPERIOD_OVERRIDE=FQ","FILING_STATUS=OR","EQY_CONSOLIDATED=Y","Sort=A","Dates=H","DateFormat=P","Fill=—","Direction=H","UseDPDF=Y")</f>
        <v>#NAME?</v>
      </c>
      <c r="AS425" s="2" t="e">
        <f ca="1">_xll.BDH($C$403,"ACCOUNTS_RECEIVABLE_5_YR_GROWTH","FQ2 2018","FQ2 2018","Currency=INR","Period=FQ","BEST_FPERIOD_OVERRIDE=FQ","FILING_STATUS=OR","EQY_CONSOLIDATED=Y","Sort=A","Dates=H","DateFormat=P","Fill=—","Direction=H","UseDPDF=Y")</f>
        <v>#NAME?</v>
      </c>
      <c r="AT425" s="2" t="e">
        <f ca="1">_xll.BDH($C$403,"INVENTORY_5_YEAR_GROWTH","FQ2 2018","FQ2 2018","Currency=INR","Period=FQ","BEST_FPERIOD_OVERRIDE=FQ","FILING_STATUS=OR","EQY_CONSOLIDATED=Y","Sort=A","Dates=H","DateFormat=P","Fill=—","Direction=H","UseDPDF=Y")</f>
        <v>#NAME?</v>
      </c>
      <c r="AU425" s="2" t="e">
        <f ca="1">_xll.BDH($C$403,"NET_FIXED_ASSETS_5_YEAR_GROWTH","FQ2 2018","FQ2 2018","Currency=INR","Period=FQ","BEST_FPERIOD_OVERRIDE=FQ","FILING_STATUS=OR","EQY_CONSOLIDATED=Y","Sort=A","Dates=H","DateFormat=P","Fill=—","Direction=H","UseDPDF=Y")</f>
        <v>#NAME?</v>
      </c>
      <c r="AV425" s="2" t="e">
        <f ca="1">_xll.BDH($C$403,"GEO_GROW_TOT_ASSET","FQ2 2018","FQ2 2018","Currency=INR","Period=FQ","BEST_FPERIOD_OVERRIDE=FQ","FILING_STATUS=OR","EQY_CONSOLIDATED=Y","Sort=A","Dates=H","DateFormat=P","Fill=—","Direction=H","UseDPDF=Y")</f>
        <v>#NAME?</v>
      </c>
      <c r="AW425" s="2" t="e">
        <f ca="1">_xll.BDH($C$403,"MODIFIED_WORKING_CPTL_5YR_GRWTH","FQ2 2018","FQ2 2018","Currency=INR","Period=FQ","BEST_FPERIOD_OVERRIDE=FQ","FILING_STATUS=OR","EQY_CONSOLIDATED=Y","Sort=A","Dates=H","DateFormat=P","Fill=—","Direction=H","UseDPDF=Y")</f>
        <v>#NAME?</v>
      </c>
      <c r="AX425" s="2" t="e">
        <f ca="1">_xll.BDH($C$403,"WORKING_CAPITAL_5_YEAR_GROWTH","FQ2 2018","FQ2 2018","Currency=INR","Period=FQ","BEST_FPERIOD_OVERRIDE=FQ","FILING_STATUS=OR","EQY_CONSOLIDATED=Y","Sort=A","Dates=H","DateFormat=P","Fill=—","Direction=H","UseDPDF=Y")</f>
        <v>#NAME?</v>
      </c>
      <c r="AY425" s="2" t="e">
        <f ca="1">_xll.BDH($C$403,"ACCOUNTS_PAYABLE_5_YEAR_GROWTH","FQ2 2018","FQ2 2018","Currency=INR","Period=FQ","BEST_FPERIOD_OVERRIDE=FQ","FILING_STATUS=OR","EQY_CONSOLIDATED=Y","Sort=A","Dates=H","DateFormat=P","Fill=—","Direction=H","UseDPDF=Y")</f>
        <v>#NAME?</v>
      </c>
      <c r="AZ425" s="2" t="e">
        <f ca="1">_xll.BDH($C$403,"SHORT_TERM_DEBT_5_YEAR_GROWTH","FQ2 2018","FQ2 2018","Currency=INR","Period=FQ","BEST_FPERIOD_OVERRIDE=FQ","FILING_STATUS=OR","EQY_CONSOLIDATED=Y","Sort=A","Dates=H","DateFormat=P","Fill=—","Direction=H","UseDPDF=Y")</f>
        <v>#NAME?</v>
      </c>
      <c r="BA425" s="2" t="e">
        <f ca="1">_xll.BDH($C$403,"TOTAL_DEBT_5_YEAR_GROWTH","FQ2 2018","FQ2 2018","Currency=INR","Period=FQ","BEST_FPERIOD_OVERRIDE=FQ","FILING_STATUS=OR","EQY_CONSOLIDATED=Y","Sort=A","Dates=H","DateFormat=P","Fill=—","Direction=H","UseDPDF=Y")</f>
        <v>#NAME?</v>
      </c>
      <c r="BB425" s="2" t="e">
        <f ca="1">_xll.BDH($C$403,"GEO_GROW_TOT_SHRHLDR_EQY","FQ2 2018","FQ2 2018","Currency=INR","Period=FQ","BEST_FPERIOD_OVERRIDE=FQ","FILING_STATUS=OR","EQY_CONSOLIDATED=Y","Sort=A","Dates=H","DateFormat=P","Fill=—","Direction=H","UseDPDF=Y")</f>
        <v>#NAME?</v>
      </c>
      <c r="BC425" s="2" t="e">
        <f ca="1">_xll.BDH($C$403,"TOTAL_CAPITAL_5_YEAR_GROWTH","FQ2 2018","FQ2 2018","Currency=INR","Period=FQ","BEST_FPERIOD_OVERRIDE=FQ","FILING_STATUS=OR","EQY_CONSOLIDATED=Y","Sort=A","Dates=H","DateFormat=P","Fill=—","Direction=H","UseDPDF=Y")</f>
        <v>#NAME?</v>
      </c>
      <c r="BD425" s="2" t="e">
        <f ca="1">_xll.BDH($C$403,"GEO_GROW_BOOK_VAL","FQ2 2018","FQ2 2018","Currency=INR","Period=FQ","BEST_FPERIOD_OVERRIDE=FQ","FILING_STATUS=OR","EQY_CONSOLIDATED=Y","Sort=A","Dates=H","DateFormat=P","Fill=—","Direction=H","UseDPDF=Y")</f>
        <v>#NAME?</v>
      </c>
      <c r="BE425" s="2" t="e">
        <f ca="1">_xll.BDH($C$403,"GEO_GROW_CASH_OPER_ACT","FQ2 2018","FQ2 2018","Currency=INR","Period=FQ","BEST_FPERIOD_OVERRIDE=FQ","FILING_STATUS=OR","EQY_CONSOLIDATED=Y","Sort=A","Dates=H","DateFormat=P","Fill=—","Direction=H","UseDPDF=Y")</f>
        <v>#NAME?</v>
      </c>
      <c r="BF425" s="2" t="e">
        <f ca="1">_xll.BDH($C$403,"REVENUE_SEQUENTIAL_GROWTH","FQ2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25" s="2" t="e">
        <f ca="1">_xll.BDH($C$403,"EBITDA_SEQUENTIAL_GROWTH","FQ2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25" s="2" t="e">
        <f ca="1">_xll.BDH($C$403,"OPERATING_INCOME_SEQ_GROWTH","FQ2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25" s="2" t="e">
        <f ca="1">_xll.BDH($C$403,"NET_INCOME_TO_COMMON_SEQ_GROWTH","FQ2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25" s="2" t="e">
        <f ca="1">_xll.BDH($C$403,"EPS_DILUTED_SEQUENTIAL_GROWTH","FQ2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25" s="2" t="e">
        <f ca="1">_xll.BDH($C$403,"DPS_SEQUENTIAL_GROWTH","FQ2 2018","FQ2 2018","Currency=INR","Period=FQ","BEST_FPERIOD_OVERRIDE=FQ","FILING_STATUS=OR","EQY_CONSOLIDATED=Y","Sort=A","Dates=H","DateFormat=P","Fill=—","Direction=H","UseDPDF=Y")</f>
        <v>#NAME?</v>
      </c>
      <c r="BL425" s="2" t="e">
        <f ca="1">_xll.BDH($C$403,"ACCOUNTS_RECEIVABLE_SEQ_GROWTH","FQ2 2018","FQ2 2018","Currency=INR","Period=FQ","BEST_FPERIOD_OVERRIDE=FQ","FILING_STATUS=OR","EQY_CONSOLIDATED=Y","Sort=A","Dates=H","DateFormat=P","Fill=—","Direction=H","UseDPDF=Y")</f>
        <v>#NAME?</v>
      </c>
      <c r="BM425" s="2" t="e">
        <f ca="1">_xll.BDH($C$403,"INVENTORY_SEQUENTIAL_GROWTH","FQ2 2018","FQ2 2018","Currency=INR","Period=FQ","BEST_FPERIOD_OVERRIDE=FQ","FILING_STATUS=OR","EQY_CONSOLIDATED=Y","Sort=A","Dates=H","DateFormat=P","Fill=—","Direction=H","UseDPDF=Y")</f>
        <v>#NAME?</v>
      </c>
      <c r="BN425" s="2" t="e">
        <f ca="1">_xll.BDH($C$403,"FIXED_ASSETS_SEQUENTIAL_GROWTH","FQ2 2018","FQ2 2018","Currency=INR","Period=FQ","BEST_FPERIOD_OVERRIDE=FQ","FILING_STATUS=OR","EQY_CONSOLIDATED=Y","Sort=A","Dates=H","DateFormat=P","Fill=—","Direction=H","UseDPDF=Y")</f>
        <v>#NAME?</v>
      </c>
      <c r="BO425" s="2" t="e">
        <f ca="1">_xll.BDH($C$403,"TOTAL_ASSETS_SEQUENTIAL_GROWTH","FQ2 2018","FQ2 2018","Currency=INR","Period=FQ","BEST_FPERIOD_OVERRIDE=FQ","FILING_STATUS=OR","EQY_CONSOLIDATED=Y","Sort=A","Dates=H","DateFormat=P","Fill=—","Direction=H","UseDPDF=Y")</f>
        <v>#NAME?</v>
      </c>
      <c r="BP425" s="2" t="e">
        <f ca="1">_xll.BDH($C$403,"MODIFIED_WORKING_CPTL_SEQ_GRWTH","FQ2 2018","FQ2 2018","Currency=INR","Period=FQ","BEST_FPERIOD_OVERRIDE=FQ","FILING_STATUS=OR","EQY_CONSOLIDATED=Y","Sort=A","Dates=H","DateFormat=P","Fill=—","Direction=H","UseDPDF=Y")</f>
        <v>#NAME?</v>
      </c>
      <c r="BQ425" s="2" t="e">
        <f ca="1">_xll.BDH($C$403,"WORKING_CAPITAL_SEQ_GROWTH","FQ2 2018","FQ2 2018","Currency=INR","Period=FQ","BEST_FPERIOD_OVERRIDE=FQ","FILING_STATUS=OR","EQY_CONSOLIDATED=Y","Sort=A","Dates=H","DateFormat=P","Fill=—","Direction=H","UseDPDF=Y")</f>
        <v>#NAME?</v>
      </c>
      <c r="BR425" s="2" t="e">
        <f ca="1">_xll.BDH($C$403,"ACCOUNTS_PAYABLE_SEQ_GROWTH","FQ2 2018","FQ2 2018","Currency=INR","Period=FQ","BEST_FPERIOD_OVERRIDE=FQ","FILING_STATUS=OR","EQY_CONSOLIDATED=Y","Sort=A","Dates=H","DateFormat=P","Fill=—","Direction=H","UseDPDF=Y")</f>
        <v>#NAME?</v>
      </c>
      <c r="BS425" s="2" t="e">
        <f ca="1">_xll.BDH($C$403,"ST_DEBT_SEQUENTIAL_GROWTH","FQ2 2018","FQ2 2018","Currency=INR","Period=FQ","BEST_FPERIOD_OVERRIDE=FQ","FILING_STATUS=OR","EQY_CONSOLIDATED=Y","Sort=A","Dates=H","DateFormat=P","Fill=—","Direction=H","UseDPDF=Y")</f>
        <v>#NAME?</v>
      </c>
      <c r="BT425" s="2" t="e">
        <f ca="1">_xll.BDH($C$403,"TOTAL_DEBT_SEQUENTIAL_GROWTH","FQ2 2018","FQ2 2018","Currency=INR","Period=FQ","BEST_FPERIOD_OVERRIDE=FQ","FILING_STATUS=OR","EQY_CONSOLIDATED=Y","Sort=A","Dates=H","DateFormat=P","Fill=—","Direction=H","UseDPDF=Y")</f>
        <v>#NAME?</v>
      </c>
      <c r="BU425" s="2" t="e">
        <f ca="1">_xll.BDH($C$403,"TOTAL_EQUITY_SEQUENTIAL_GROWTH","FQ2 2018","FQ2 2018","Currency=INR","Period=FQ","BEST_FPERIOD_OVERRIDE=FQ","FILING_STATUS=OR","EQY_CONSOLIDATED=Y","Sort=A","Dates=H","DateFormat=P","Fill=—","Direction=H","UseDPDF=Y")</f>
        <v>#NAME?</v>
      </c>
      <c r="BV425" s="2" t="e">
        <f ca="1">_xll.BDH($C$403,"TOTAL_CAPITAL_SEQUENTIAL_GROWTH","FQ2 2018","FQ2 2018","Currency=INR","Period=FQ","BEST_FPERIOD_OVERRIDE=FQ","FILING_STATUS=OR","EQY_CONSOLIDATED=Y","Sort=A","Dates=H","DateFormat=P","Fill=—","Direction=H","UseDPDF=Y")</f>
        <v>#NAME?</v>
      </c>
      <c r="BW425" s="2" t="e">
        <f ca="1">_xll.BDH($C$403,"BPS_SEQUENTIAL_GROWTH","FQ2 2018","FQ2 2018","Currency=INR","Period=FQ","BEST_FPERIOD_OVERRIDE=FQ","FILING_STATUS=OR","EQY_CONSOLIDATED=Y","Sort=A","Dates=H","DateFormat=P","Fill=—","Direction=H","UseDPDF=Y")</f>
        <v>#NAME?</v>
      </c>
      <c r="BX425" s="2" t="e">
        <f ca="1">_xll.BDH($C$403,"CFO_SEQUENTIAL_GROWTH","FQ2 2018","FQ2 2018","Currency=INR","Period=FQ","BEST_FPERIOD_OVERRIDE=FQ","FILING_STATUS=OR","EQY_CONSOLIDATED=Y","Sort=A","Dates=H","DateFormat=P","Fill=—","Direction=H","UseDPDF=Y")</f>
        <v>#NAME?</v>
      </c>
      <c r="BY425" s="3" t="e">
        <f ca="1">_xll.BDH($C$403,"SHORT_AND_LONG_TERM_DEBT","FQ2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25" s="3" t="e">
        <f ca="1">_xll.BDH($C$403,"BS_ST_BORROW","FQ2 2018","FQ2 2018","Currency=INR","Period=FQ","BEST_FPERIOD_OVERRIDE=FQ","FILING_STATUS=OR","EQY_CONSOLIDATED=Y","SCALING_FORMAT=MLN","Sort=A","Dates=H","DateFormat=P","Fill=—","Direction=H","UseDPDF=Y")</f>
        <v>#NAME?</v>
      </c>
      <c r="CA425" s="3" t="e">
        <f ca="1">_xll.BDH($C$403,"BS_LT_BORROW","FQ2 2018","FQ2 2018","Currency=INR","Period=FQ","BEST_FPERIOD_OVERRIDE=FQ","FILING_STATUS=OR","EQY_CONSOLIDATED=Y","SCALING_FORMAT=MLN","Sort=A","Dates=H","DateFormat=P","Fill=—","Direction=H","UseDPDF=Y")</f>
        <v>#NAME?</v>
      </c>
      <c r="CB425" s="2" t="e">
        <f ca="1">_xll.BDH($C$403,"TOT_DEBT_TO_EBITDA","FQ2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25" s="2" t="e">
        <f ca="1">_xll.BDH($C$403,"NET_DEBT_TO_EBITDA","FQ2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25" s="2" t="e">
        <f ca="1">_xll.BDH($C$403,"TOTAL_DEBT_TO_EBIT","FQ2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25" s="2" t="e">
        <f ca="1">_xll.BDH($C$403,"NET_DEBT_TO_EBIT","FQ2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25" s="2" t="e">
        <f ca="1">_xll.BDH($C$403,"EBITDA_TO_INTEREST_EXPN","FQ2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25" s="2" t="e">
        <f ca="1">_xll.BDH($C$403,"COM_EQY_TO_TOT_ASSET","FQ2 2018","FQ2 2018","Currency=INR","Period=FQ","BEST_FPERIOD_OVERRIDE=FQ","FILING_STATUS=OR","EQY_CONSOLIDATED=Y","Sort=A","Dates=H","DateFormat=P","Fill=—","Direction=H","UseDPDF=Y")</f>
        <v>#NAME?</v>
      </c>
      <c r="CH425" s="2" t="e">
        <f ca="1">_xll.BDH($C$403,"LT_DEBT_TO_TOT_EQY","FQ2 2018","FQ2 2018","Currency=INR","Period=FQ","BEST_FPERIOD_OVERRIDE=FQ","FILING_STATUS=OR","EQY_CONSOLIDATED=Y","Sort=A","Dates=H","DateFormat=P","Fill=—","Direction=H","UseDPDF=Y")</f>
        <v>#NAME?</v>
      </c>
      <c r="CI425" s="2" t="e">
        <f ca="1">_xll.BDH($C$403,"LT_DEBT_TO_TOT_CAP","FQ2 2018","FQ2 2018","Currency=INR","Period=FQ","BEST_FPERIOD_OVERRIDE=FQ","FILING_STATUS=OR","EQY_CONSOLIDATED=Y","Sort=A","Dates=H","DateFormat=P","Fill=—","Direction=H","UseDPDF=Y")</f>
        <v>#NAME?</v>
      </c>
      <c r="CJ425" s="2" t="e">
        <f ca="1">_xll.BDH($C$403,"LT_DEBT_TO_TOT_ASSET","FQ2 2018","FQ2 2018","Currency=INR","Period=FQ","BEST_FPERIOD_OVERRIDE=FQ","FILING_STATUS=OR","EQY_CONSOLIDATED=Y","Sort=A","Dates=H","DateFormat=P","Fill=—","Direction=H","UseDPDF=Y")</f>
        <v>#NAME?</v>
      </c>
      <c r="CK425" s="2" t="e">
        <f ca="1">_xll.BDH($C$403,"TOT_DEBT_TO_TOT_EQY","FQ2 2018","FQ2 2018","Currency=INR","Period=FQ","BEST_FPERIOD_OVERRIDE=FQ","FILING_STATUS=OR","EQY_CONSOLIDATED=Y","Sort=A","Dates=H","DateFormat=P","Fill=—","Direction=H","UseDPDF=Y")</f>
        <v>#NAME?</v>
      </c>
      <c r="CL425" s="2" t="e">
        <f ca="1">_xll.BDH($C$403,"TOT_DEBT_TO_TOT_CAP","FQ2 2018","FQ2 2018","Currency=INR","Period=FQ","BEST_FPERIOD_OVERRIDE=FQ","FILING_STATUS=OR","EQY_CONSOLIDATED=Y","Sort=A","Dates=H","DateFormat=P","Fill=—","Direction=H","UseDPDF=Y")</f>
        <v>#NAME?</v>
      </c>
      <c r="CM425" s="2" t="e">
        <f ca="1">_xll.BDH($C$403,"TOT_DEBT_TO_TOT_ASSET","FQ2 2018","FQ2 2018","Currency=INR","Period=FQ","BEST_FPERIOD_OVERRIDE=FQ","FILING_STATUS=OR","EQY_CONSOLIDATED=Y","Sort=A","Dates=H","DateFormat=P","Fill=—","Direction=H","UseDPDF=Y")</f>
        <v>#NAME?</v>
      </c>
      <c r="CN425" s="2" t="e">
        <f ca="1">_xll.BDH($C$403,"NET_DEBT_TO_SHRHLDR_EQTY","FQ2 2018","FQ2 2018","Currency=INR","Period=FQ","BEST_FPERIOD_OVERRIDE=FQ","FILING_STATUS=OR","EQY_CONSOLIDATED=Y","Sort=A","Dates=H","DateFormat=P","Fill=—","Direction=H","UseDPDF=Y")</f>
        <v>#NAME?</v>
      </c>
      <c r="CO425" s="2" t="e">
        <f ca="1">_xll.BDH($C$403,"NET_DEBT_%_CAPITAL","FQ2 2018","FQ2 2018","Currency=INR","Period=FQ","BEST_FPERIOD_OVERRIDE=FQ","FILING_STATUS=OR","EQY_CONSOLIDATED=Y","Sort=A","Dates=H","DateFormat=P","Fill=—","Direction=H","UseDPDF=Y")</f>
        <v>#NAME?</v>
      </c>
      <c r="CP425" s="3" t="e">
        <f ca="1">_xll.BDH($C$403,"EBITDA","FQ2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25" s="3" t="e">
        <f ca="1">_xll.BDH($C$403,"EBITDA_AFTER_CAPEX","FQ2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25" s="3" t="e">
        <f ca="1">_xll.BDH($C$403,"IS_OPER_INC","FQ2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25" s="2" t="e">
        <f ca="1">_xll.BDH($C$403,"CASH_RATIO","FQ2 2018","FQ2 2018","Currency=INR","Period=FQ","BEST_FPERIOD_OVERRIDE=FQ","FILING_STATUS=OR","EQY_CONSOLIDATED=Y","Sort=A","Dates=H","DateFormat=P","Fill=—","Direction=H","UseDPDF=Y")</f>
        <v>#NAME?</v>
      </c>
      <c r="CT425" s="2" t="e">
        <f ca="1">_xll.BDH($C$403,"CUR_RATIO","FQ2 2018","FQ2 2018","Currency=INR","Period=FQ","BEST_FPERIOD_OVERRIDE=FQ","FILING_STATUS=OR","EQY_CONSOLIDATED=Y","Sort=A","Dates=H","DateFormat=P","Fill=—","Direction=H","UseDPDF=Y")</f>
        <v>#NAME?</v>
      </c>
      <c r="CU425" s="2" t="e">
        <f ca="1">_xll.BDH($C$403,"QUICK_RATIO","FQ2 2018","FQ2 2018","Currency=INR","Period=FQ","BEST_FPERIOD_OVERRIDE=FQ","FILING_STATUS=OR","EQY_CONSOLIDATED=Y","Sort=A","Dates=H","DateFormat=P","Fill=—","Direction=H","UseDPDF=Y")</f>
        <v>#NAME?</v>
      </c>
      <c r="CV425" s="2" t="e">
        <f ca="1">_xll.BDH($C$403,"ALTMAN_Z_SCORE","FQ2 2018","FQ2 2018","Currency=INR","Period=FQ","BEST_FPERIOD_OVERRIDE=FQ","FILING_STATUS=OR","EQY_CONSOLIDATED=Y","Sort=A","Dates=H","DateFormat=P","Fill=—","Direction=H","UseDPDF=Y")</f>
        <v>#NAME?</v>
      </c>
      <c r="CW425" s="4" t="e">
        <f ca="1">_xll.BDH($C$403,"ACCT_RCV_TURN","FQ2 2018","FQ2 2018","Currency=INR","Period=FQ","BEST_FPERIOD_OVERRIDE=FQ","FILING_STATUS=OR","EQY_CONSOLIDATED=Y","FA_ADJUSTED=GAAP","Sort=A","Dates=H","DateFormat=P","Fill=—","Direction=H","UseDPDF=Y")</f>
        <v>#NAME?</v>
      </c>
      <c r="CX425" s="2" t="e">
        <f ca="1">_xll.BDH($C$403,"ACCT_RCV_DAYS","FQ2 2018","FQ2 2018","Currency=INR","Period=FQ","BEST_FPERIOD_OVERRIDE=FQ","FILING_STATUS=OR","EQY_CONSOLIDATED=Y","FA_ADJUSTED=GAAP","Sort=A","Dates=H","DateFormat=P","Fill=—","Direction=H","UseDPDF=Y")</f>
        <v>#NAME?</v>
      </c>
      <c r="CY425" s="4" t="e">
        <f ca="1">_xll.BDH($C$403,"INVENT_TURN","FQ2 2018","FQ2 2018","Currency=INR","Period=FQ","BEST_FPERIOD_OVERRIDE=FQ","FILING_STATUS=OR","EQY_CONSOLIDATED=Y","FA_ADJUSTED=GAAP","Sort=A","Dates=H","DateFormat=P","Fill=—","Direction=H","UseDPDF=Y")</f>
        <v>#NAME?</v>
      </c>
      <c r="CZ425" s="2" t="e">
        <f ca="1">_xll.BDH($C$403,"INVENT_DAYS","FQ2 2018","FQ2 2018","Currency=INR","Period=FQ","BEST_FPERIOD_OVERRIDE=FQ","FILING_STATUS=OR","EQY_CONSOLIDATED=Y","FA_ADJUSTED=GAAP","Sort=A","Dates=H","DateFormat=P","Fill=—","Direction=H","UseDPDF=Y")</f>
        <v>#NAME?</v>
      </c>
      <c r="DA425" s="4" t="e">
        <f ca="1">_xll.BDH($C$403,"ACCOUNTS_PAYABLE_TURNOVER","FQ2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25" s="2" t="e">
        <f ca="1">_xll.BDH($C$403,"ACCOUNTS_PAYABLE_TURNOVER_DAYS","FQ2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25" s="4" t="e">
        <f ca="1">_xll.BDH($C$403,"CASH_CONVERSION_CYCLE","FQ2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25" s="4" t="e">
        <f ca="1">_xll.BDH($C$403,"INV_TO_CASH_DAYS","FQ2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25" s="5" t="e">
        <f ca="1">_xll.BDH($C$403,"BS_INVENTORIES","FQ2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25" s="3" t="e">
        <f ca="1">_xll.BDH($C$403,"INVTRY_RAW_MATERIALS","FQ2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25" s="3" t="e">
        <f ca="1">_xll.BDH($C$403,"INVTRY_IN_PROGRESS","FQ2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25" s="3" t="e">
        <f ca="1">_xll.BDH($C$403,"INVTRY_FINISHED_GOODS","FQ2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25" s="3" t="e">
        <f ca="1">_xll.BDH($C$403,"BS_OTHER_INV","FQ2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26" spans="1:113" x14ac:dyDescent="0.3">
      <c r="A426" s="6"/>
      <c r="B426" s="6"/>
      <c r="C426" s="6"/>
      <c r="D426" s="6"/>
      <c r="E426" t="s">
        <v>80</v>
      </c>
      <c r="F426" t="e">
        <f ca="1">_xll.BDH($C$403,"RETURN_COM_EQY","FQ3 2018","FQ3 2018","Currency=INR","Period=FQ","BEST_FPERIOD_OVERRIDE=FQ","FILING_STATUS=OR","EQY_CONSOLIDATED=Y","FA_ADJUSTED=GAAP","Sort=A","Dates=H","DateFormat=P","Fill=—","Direction=H","UseDPDF=Y")</f>
        <v>#NAME?</v>
      </c>
      <c r="G426" t="e">
        <f ca="1">_xll.BDH($C$403,"RETURN_ON_ASSET","FQ3 2018","FQ3 2018","Currency=INR","Period=FQ","BEST_FPERIOD_OVERRIDE=FQ","FILING_STATUS=OR","EQY_CONSOLIDATED=Y","FA_ADJUSTED=GAAP","Sort=A","Dates=H","DateFormat=P","Fill=—","Direction=H","UseDPDF=Y")</f>
        <v>#NAME?</v>
      </c>
      <c r="H426" t="e">
        <f ca="1">_xll.BDH($C$403,"RETURN_ON_CAP","FQ3 2018","FQ3 2018","Currency=INR","Period=FQ","BEST_FPERIOD_OVERRIDE=FQ","FILING_STATUS=OR","EQY_CONSOLIDATED=Y","FA_ADJUSTED=GAAP","Sort=A","Dates=H","DateFormat=P","Fill=—","Direction=H","UseDPDF=Y")</f>
        <v>#NAME?</v>
      </c>
      <c r="I426" t="e">
        <f ca="1">_xll.BDH($C$403,"RETURN_ON_INV_CAPITAL","FQ3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26" t="e">
        <f ca="1">_xll.BDH($C$403,"EBITDA_TO_REVENUE","FQ3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26" t="e">
        <f ca="1">_xll.BDH($C$403,"OPER_MARGIN","FQ3 2018","FQ3 2018","Currency=INR","Period=FQ","BEST_FPERIOD_OVERRIDE=FQ","FILING_STATUS=OR","EQY_CONSOLIDATED=Y","FA_ADJUSTED=GAAP","Sort=A","Dates=H","DateFormat=P","Fill=—","Direction=H","UseDPDF=Y")</f>
        <v>#NAME?</v>
      </c>
      <c r="L426" t="e">
        <f ca="1">_xll.BDH($C$403,"INCREMENTAL_OPERATING_MARGIN","FQ3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26" t="e">
        <f ca="1">_xll.BDH($C$403,"PRETAX_INC_TO_NET_SALES","FQ3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26" t="e">
        <f ca="1">_xll.BDH($C$403,"INC_BEF_XO_ITEMS_TO_NET_SALES","FQ3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26" t="e">
        <f ca="1">_xll.BDH($C$403,"PROF_MARGIN","FQ3 2018","FQ3 2018","Currency=INR","Period=FQ","BEST_FPERIOD_OVERRIDE=FQ","FILING_STATUS=OR","EQY_CONSOLIDATED=Y","FA_ADJUSTED=GAAP","Sort=A","Dates=H","DateFormat=P","Fill=—","Direction=H","UseDPDF=Y")</f>
        <v>#NAME?</v>
      </c>
      <c r="P426" t="e">
        <f ca="1">_xll.BDH($C$403,"NET_INCOME_TO_COMMON_MARGIN","FQ3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26" t="e">
        <f ca="1">_xll.BDH($C$403,"EFF_TAX_RATE","FQ3 2018","FQ3 2018","Currency=INR","Period=FQ","BEST_FPERIOD_OVERRIDE=FQ","FILING_STATUS=OR","EQY_CONSOLIDATED=Y","FA_ADJUSTED=GAAP","Sort=A","Dates=H","DateFormat=P","Fill=—","Direction=H","UseDPDF=Y")</f>
        <v>#NAME?</v>
      </c>
      <c r="R426" t="e">
        <f ca="1">_xll.BDH($C$403,"DVD_PAYOUT_RATIO","FQ3 2018","FQ3 2018","Currency=INR","Period=FQ","BEST_FPERIOD_OVERRIDE=FQ","FILING_STATUS=OR","EQY_CONSOLIDATED=Y","FA_ADJUSTED=GAAP","Sort=A","Dates=H","DateFormat=P","Fill=—","Direction=H","UseDPDF=Y")</f>
        <v>#NAME?</v>
      </c>
      <c r="S426" t="e">
        <f ca="1">_xll.BDH($C$403,"SUSTAIN_GROWTH_RT","FQ3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26" s="2" t="e">
        <f ca="1">_xll.BDH($C$403,"SALES_GROWTH","FQ3 2018","FQ3 2018","Currency=INR","Period=FQ","BEST_FPERIOD_OVERRIDE=FQ","FILING_STATUS=OR","EQY_CONSOLIDATED=Y","FA_ADJUSTED=GAAP","Sort=A","Dates=H","DateFormat=P","Fill=—","Direction=H","UseDPDF=Y")</f>
        <v>#NAME?</v>
      </c>
      <c r="U426" s="2" t="e">
        <f ca="1">_xll.BDH($C$403,"EBITDA_GROWTH","FQ3 2018","FQ3 2018","Currency=INR","Period=FQ","BEST_FPERIOD_OVERRIDE=FQ","FILING_STATUS=OR","EQY_CONSOLIDATED=Y","FA_ADJUSTED=GAAP","Sort=A","Dates=H","DateFormat=P","Fill=—","Direction=H","UseDPDF=Y")</f>
        <v>#NAME?</v>
      </c>
      <c r="V426" s="2" t="e">
        <f ca="1">_xll.BDH($C$403,"OPER_INC_GROWTH","FQ3 2018","FQ3 2018","Currency=INR","Period=FQ","BEST_FPERIOD_OVERRIDE=FQ","FILING_STATUS=OR","EQY_CONSOLIDATED=Y","FA_ADJUSTED=GAAP","Sort=A","Dates=H","DateFormat=P","Fill=—","Direction=H","UseDPDF=Y")</f>
        <v>#NAME?</v>
      </c>
      <c r="W426" s="2" t="e">
        <f ca="1">_xll.BDH($C$403,"EARN_FOR_COM_GROWTH","FQ3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26" s="2" t="e">
        <f ca="1">_xll.BDH($C$403,"DILUTED_EPS_AFT_XO_ITEMS_GROWTH","FQ3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26" s="2" t="e">
        <f ca="1">_xll.BDH($C$403,"DIVIDEND_PER_SHARE_1_YEAR_GROWTH","FQ3 2018","FQ3 2018","Currency=INR","Period=FQ","BEST_FPERIOD_OVERRIDE=FQ","FILING_STATUS=OR","EQY_CONSOLIDATED=Y","Sort=A","Dates=H","DateFormat=P","Fill=—","Direction=H","UseDPDF=Y")</f>
        <v>#NAME?</v>
      </c>
      <c r="Z426" s="2" t="e">
        <f ca="1">_xll.BDH($C$403,"ACCOUNTS_RECEIVABLE_GROWTH","FQ3 2018","FQ3 2018","Currency=INR","Period=FQ","BEST_FPERIOD_OVERRIDE=FQ","FILING_STATUS=OR","EQY_CONSOLIDATED=Y","Sort=A","Dates=H","DateFormat=P","Fill=—","Direction=H","UseDPDF=Y")</f>
        <v>#NAME?</v>
      </c>
      <c r="AA426" s="2" t="e">
        <f ca="1">_xll.BDH($C$403,"INVENTORY_GROWTH","FQ3 2018","FQ3 2018","Currency=INR","Period=FQ","BEST_FPERIOD_OVERRIDE=FQ","FILING_STATUS=OR","EQY_CONSOLIDATED=Y","Sort=A","Dates=H","DateFormat=P","Fill=—","Direction=H","UseDPDF=Y")</f>
        <v>#NAME?</v>
      </c>
      <c r="AB426" s="2" t="e">
        <f ca="1">_xll.BDH($C$403,"NET_FIXED_ASSETS_1_YEAR_GROWTH","FQ3 2018","FQ3 2018","Currency=INR","Period=FQ","BEST_FPERIOD_OVERRIDE=FQ","FILING_STATUS=OR","EQY_CONSOLIDATED=Y","Sort=A","Dates=H","DateFormat=P","Fill=—","Direction=H","UseDPDF=Y")</f>
        <v>#NAME?</v>
      </c>
      <c r="AC426" s="2" t="e">
        <f ca="1">_xll.BDH($C$403,"ASSET_GROWTH","FQ3 2018","FQ3 2018","Currency=INR","Period=FQ","BEST_FPERIOD_OVERRIDE=FQ","FILING_STATUS=OR","EQY_CONSOLIDATED=Y","Sort=A","Dates=H","DateFormat=P","Fill=—","Direction=H","UseDPDF=Y")</f>
        <v>#NAME?</v>
      </c>
      <c r="AD426" s="2" t="e">
        <f ca="1">_xll.BDH($C$403,"MODIFIED_WORK_CAP_GROWTH","FQ3 2018","FQ3 2018","Currency=INR","Period=FQ","BEST_FPERIOD_OVERRIDE=FQ","FILING_STATUS=OR","EQY_CONSOLIDATED=Y","Sort=A","Dates=H","DateFormat=P","Fill=—","Direction=H","UseDPDF=Y")</f>
        <v>#NAME?</v>
      </c>
      <c r="AE426" s="2" t="e">
        <f ca="1">_xll.BDH($C$403,"WORK_CAP_GROWTH","FQ3 2018","FQ3 2018","Currency=INR","Period=FQ","BEST_FPERIOD_OVERRIDE=FQ","FILING_STATUS=OR","EQY_CONSOLIDATED=Y","Sort=A","Dates=H","DateFormat=P","Fill=—","Direction=H","UseDPDF=Y")</f>
        <v>#NAME?</v>
      </c>
      <c r="AF426" s="2" t="e">
        <f ca="1">_xll.BDH($C$403,"ACCOUNTS_PAYABLE_GROWTH_1YR","FQ3 2018","FQ3 2018","Currency=INR","Period=FQ","BEST_FPERIOD_OVERRIDE=FQ","FILING_STATUS=OR","EQY_CONSOLIDATED=Y","Sort=A","Dates=H","DateFormat=P","Fill=—","Direction=H","UseDPDF=Y")</f>
        <v>#NAME?</v>
      </c>
      <c r="AG426" s="2" t="e">
        <f ca="1">_xll.BDH($C$403,"SHORT_TERM_DEBT_1_YEAR_GROWTH","FQ3 2018","FQ3 2018","Currency=INR","Period=FQ","BEST_FPERIOD_OVERRIDE=FQ","FILING_STATUS=OR","EQY_CONSOLIDATED=Y","Sort=A","Dates=H","DateFormat=P","Fill=—","Direction=H","UseDPDF=Y")</f>
        <v>#NAME?</v>
      </c>
      <c r="AH426" s="2" t="e">
        <f ca="1">_xll.BDH($C$403,"TOTAL_DEBT_1_YEAR_GROWTH","FQ3 2018","FQ3 2018","Currency=INR","Period=FQ","BEST_FPERIOD_OVERRIDE=FQ","FILING_STATUS=OR","EQY_CONSOLIDATED=Y","Sort=A","Dates=H","DateFormat=P","Fill=—","Direction=H","UseDPDF=Y")</f>
        <v>#NAME?</v>
      </c>
      <c r="AI426" s="2" t="e">
        <f ca="1">_xll.BDH($C$403,"TOTAL_EQUITY_1_YEAR_GROWTH","FQ3 2018","FQ3 2018","Currency=INR","Period=FQ","BEST_FPERIOD_OVERRIDE=FQ","FILING_STATUS=OR","EQY_CONSOLIDATED=Y","Sort=A","Dates=H","DateFormat=P","Fill=—","Direction=H","UseDPDF=Y")</f>
        <v>#NAME?</v>
      </c>
      <c r="AJ426" s="2" t="e">
        <f ca="1">_xll.BDH($C$403,"GROWTH_IN_CAP","FQ3 2018","FQ3 2018","Currency=INR","Period=FQ","BEST_FPERIOD_OVERRIDE=FQ","FILING_STATUS=OR","EQY_CONSOLIDATED=Y","Sort=A","Dates=H","DateFormat=P","Fill=—","Direction=H","UseDPDF=Y")</f>
        <v>#NAME?</v>
      </c>
      <c r="AK426" s="2" t="e">
        <f ca="1">_xll.BDH($C$403,"BVPS_GROWTH","FQ3 2018","FQ3 2018","Currency=INR","Period=FQ","BEST_FPERIOD_OVERRIDE=FQ","FILING_STATUS=OR","EQY_CONSOLIDATED=Y","Sort=A","Dates=H","DateFormat=P","Fill=—","Direction=H","UseDPDF=Y")</f>
        <v>#NAME?</v>
      </c>
      <c r="AL426" s="2" t="e">
        <f ca="1">_xll.BDH($C$403,"CASH_FLOW_GROWTH","FQ3 2018","FQ3 2018","Currency=INR","Period=FQ","BEST_FPERIOD_OVERRIDE=FQ","FILING_STATUS=OR","EQY_CONSOLIDATED=Y","Sort=A","Dates=H","DateFormat=P","Fill=—","Direction=H","UseDPDF=Y")</f>
        <v>#NAME?</v>
      </c>
      <c r="AM426" s="2" t="e">
        <f ca="1">_xll.BDH($C$403,"GEO_GROW_NET_SALES","FQ3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26" s="2" t="e">
        <f ca="1">_xll.BDH($C$403,"GEO_GROW_EBITDA","FQ3 2018","FQ3 2018","Currency=INR","Period=FQ","BEST_FPERIOD_OVERRIDE=FQ","FILING_STATUS=OR","EQY_CONSOLIDATED=Y","FA_ADJUSTED=GAAP","Sort=A","Dates=H","DateFormat=P","Fill=—","Direction=H","UseDPDF=Y")</f>
        <v>#NAME?</v>
      </c>
      <c r="AO426" s="2" t="e">
        <f ca="1">_xll.BDH($C$403,"GEO_GROW_OPER_INC","FQ3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26" s="2" t="e">
        <f ca="1">_xll.BDH($C$403,"NET_INCOME_TO_COMMON_5_YR_GROWTH","FQ3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26" s="2" t="e">
        <f ca="1">_xll.BDH($C$403,"5Y_GEO_GROWTH_DILUTED_EPS","FQ3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26" s="2" t="e">
        <f ca="1">_xll.BDH($C$403,"GEO_GROW_DVD_PER_SH","FQ3 2018","FQ3 2018","Currency=INR","Period=FQ","BEST_FPERIOD_OVERRIDE=FQ","FILING_STATUS=OR","EQY_CONSOLIDATED=Y","Sort=A","Dates=H","DateFormat=P","Fill=—","Direction=H","UseDPDF=Y")</f>
        <v>#NAME?</v>
      </c>
      <c r="AS426" s="2" t="e">
        <f ca="1">_xll.BDH($C$403,"ACCOUNTS_RECEIVABLE_5_YR_GROWTH","FQ3 2018","FQ3 2018","Currency=INR","Period=FQ","BEST_FPERIOD_OVERRIDE=FQ","FILING_STATUS=OR","EQY_CONSOLIDATED=Y","Sort=A","Dates=H","DateFormat=P","Fill=—","Direction=H","UseDPDF=Y")</f>
        <v>#NAME?</v>
      </c>
      <c r="AT426" s="2" t="e">
        <f ca="1">_xll.BDH($C$403,"INVENTORY_5_YEAR_GROWTH","FQ3 2018","FQ3 2018","Currency=INR","Period=FQ","BEST_FPERIOD_OVERRIDE=FQ","FILING_STATUS=OR","EQY_CONSOLIDATED=Y","Sort=A","Dates=H","DateFormat=P","Fill=—","Direction=H","UseDPDF=Y")</f>
        <v>#NAME?</v>
      </c>
      <c r="AU426" s="2" t="e">
        <f ca="1">_xll.BDH($C$403,"NET_FIXED_ASSETS_5_YEAR_GROWTH","FQ3 2018","FQ3 2018","Currency=INR","Period=FQ","BEST_FPERIOD_OVERRIDE=FQ","FILING_STATUS=OR","EQY_CONSOLIDATED=Y","Sort=A","Dates=H","DateFormat=P","Fill=—","Direction=H","UseDPDF=Y")</f>
        <v>#NAME?</v>
      </c>
      <c r="AV426" s="2" t="e">
        <f ca="1">_xll.BDH($C$403,"GEO_GROW_TOT_ASSET","FQ3 2018","FQ3 2018","Currency=INR","Period=FQ","BEST_FPERIOD_OVERRIDE=FQ","FILING_STATUS=OR","EQY_CONSOLIDATED=Y","Sort=A","Dates=H","DateFormat=P","Fill=—","Direction=H","UseDPDF=Y")</f>
        <v>#NAME?</v>
      </c>
      <c r="AW426" s="2" t="e">
        <f ca="1">_xll.BDH($C$403,"MODIFIED_WORKING_CPTL_5YR_GRWTH","FQ3 2018","FQ3 2018","Currency=INR","Period=FQ","BEST_FPERIOD_OVERRIDE=FQ","FILING_STATUS=OR","EQY_CONSOLIDATED=Y","Sort=A","Dates=H","DateFormat=P","Fill=—","Direction=H","UseDPDF=Y")</f>
        <v>#NAME?</v>
      </c>
      <c r="AX426" s="2" t="e">
        <f ca="1">_xll.BDH($C$403,"WORKING_CAPITAL_5_YEAR_GROWTH","FQ3 2018","FQ3 2018","Currency=INR","Period=FQ","BEST_FPERIOD_OVERRIDE=FQ","FILING_STATUS=OR","EQY_CONSOLIDATED=Y","Sort=A","Dates=H","DateFormat=P","Fill=—","Direction=H","UseDPDF=Y")</f>
        <v>#NAME?</v>
      </c>
      <c r="AY426" s="2" t="e">
        <f ca="1">_xll.BDH($C$403,"ACCOUNTS_PAYABLE_5_YEAR_GROWTH","FQ3 2018","FQ3 2018","Currency=INR","Period=FQ","BEST_FPERIOD_OVERRIDE=FQ","FILING_STATUS=OR","EQY_CONSOLIDATED=Y","Sort=A","Dates=H","DateFormat=P","Fill=—","Direction=H","UseDPDF=Y")</f>
        <v>#NAME?</v>
      </c>
      <c r="AZ426" s="2" t="e">
        <f ca="1">_xll.BDH($C$403,"SHORT_TERM_DEBT_5_YEAR_GROWTH","FQ3 2018","FQ3 2018","Currency=INR","Period=FQ","BEST_FPERIOD_OVERRIDE=FQ","FILING_STATUS=OR","EQY_CONSOLIDATED=Y","Sort=A","Dates=H","DateFormat=P","Fill=—","Direction=H","UseDPDF=Y")</f>
        <v>#NAME?</v>
      </c>
      <c r="BA426" s="2" t="e">
        <f ca="1">_xll.BDH($C$403,"TOTAL_DEBT_5_YEAR_GROWTH","FQ3 2018","FQ3 2018","Currency=INR","Period=FQ","BEST_FPERIOD_OVERRIDE=FQ","FILING_STATUS=OR","EQY_CONSOLIDATED=Y","Sort=A","Dates=H","DateFormat=P","Fill=—","Direction=H","UseDPDF=Y")</f>
        <v>#NAME?</v>
      </c>
      <c r="BB426" s="2" t="e">
        <f ca="1">_xll.BDH($C$403,"GEO_GROW_TOT_SHRHLDR_EQY","FQ3 2018","FQ3 2018","Currency=INR","Period=FQ","BEST_FPERIOD_OVERRIDE=FQ","FILING_STATUS=OR","EQY_CONSOLIDATED=Y","Sort=A","Dates=H","DateFormat=P","Fill=—","Direction=H","UseDPDF=Y")</f>
        <v>#NAME?</v>
      </c>
      <c r="BC426" s="2" t="e">
        <f ca="1">_xll.BDH($C$403,"TOTAL_CAPITAL_5_YEAR_GROWTH","FQ3 2018","FQ3 2018","Currency=INR","Period=FQ","BEST_FPERIOD_OVERRIDE=FQ","FILING_STATUS=OR","EQY_CONSOLIDATED=Y","Sort=A","Dates=H","DateFormat=P","Fill=—","Direction=H","UseDPDF=Y")</f>
        <v>#NAME?</v>
      </c>
      <c r="BD426" s="2" t="e">
        <f ca="1">_xll.BDH($C$403,"GEO_GROW_BOOK_VAL","FQ3 2018","FQ3 2018","Currency=INR","Period=FQ","BEST_FPERIOD_OVERRIDE=FQ","FILING_STATUS=OR","EQY_CONSOLIDATED=Y","Sort=A","Dates=H","DateFormat=P","Fill=—","Direction=H","UseDPDF=Y")</f>
        <v>#NAME?</v>
      </c>
      <c r="BE426" s="2" t="e">
        <f ca="1">_xll.BDH($C$403,"GEO_GROW_CASH_OPER_ACT","FQ3 2018","FQ3 2018","Currency=INR","Period=FQ","BEST_FPERIOD_OVERRIDE=FQ","FILING_STATUS=OR","EQY_CONSOLIDATED=Y","Sort=A","Dates=H","DateFormat=P","Fill=—","Direction=H","UseDPDF=Y")</f>
        <v>#NAME?</v>
      </c>
      <c r="BF426" s="2" t="e">
        <f ca="1">_xll.BDH($C$403,"REVENUE_SEQUENTIAL_GROWTH","FQ3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26" s="2" t="e">
        <f ca="1">_xll.BDH($C$403,"EBITDA_SEQUENTIAL_GROWTH","FQ3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26" s="2" t="e">
        <f ca="1">_xll.BDH($C$403,"OPERATING_INCOME_SEQ_GROWTH","FQ3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26" s="2" t="e">
        <f ca="1">_xll.BDH($C$403,"NET_INCOME_TO_COMMON_SEQ_GROWTH","FQ3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26" s="2" t="e">
        <f ca="1">_xll.BDH($C$403,"EPS_DILUTED_SEQUENTIAL_GROWTH","FQ3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26" s="2" t="e">
        <f ca="1">_xll.BDH($C$403,"DPS_SEQUENTIAL_GROWTH","FQ3 2018","FQ3 2018","Currency=INR","Period=FQ","BEST_FPERIOD_OVERRIDE=FQ","FILING_STATUS=OR","EQY_CONSOLIDATED=Y","Sort=A","Dates=H","DateFormat=P","Fill=—","Direction=H","UseDPDF=Y")</f>
        <v>#NAME?</v>
      </c>
      <c r="BL426" s="2" t="e">
        <f ca="1">_xll.BDH($C$403,"ACCOUNTS_RECEIVABLE_SEQ_GROWTH","FQ3 2018","FQ3 2018","Currency=INR","Period=FQ","BEST_FPERIOD_OVERRIDE=FQ","FILING_STATUS=OR","EQY_CONSOLIDATED=Y","Sort=A","Dates=H","DateFormat=P","Fill=—","Direction=H","UseDPDF=Y")</f>
        <v>#NAME?</v>
      </c>
      <c r="BM426" s="2" t="e">
        <f ca="1">_xll.BDH($C$403,"INVENTORY_SEQUENTIAL_GROWTH","FQ3 2018","FQ3 2018","Currency=INR","Period=FQ","BEST_FPERIOD_OVERRIDE=FQ","FILING_STATUS=OR","EQY_CONSOLIDATED=Y","Sort=A","Dates=H","DateFormat=P","Fill=—","Direction=H","UseDPDF=Y")</f>
        <v>#NAME?</v>
      </c>
      <c r="BN426" s="2" t="e">
        <f ca="1">_xll.BDH($C$403,"FIXED_ASSETS_SEQUENTIAL_GROWTH","FQ3 2018","FQ3 2018","Currency=INR","Period=FQ","BEST_FPERIOD_OVERRIDE=FQ","FILING_STATUS=OR","EQY_CONSOLIDATED=Y","Sort=A","Dates=H","DateFormat=P","Fill=—","Direction=H","UseDPDF=Y")</f>
        <v>#NAME?</v>
      </c>
      <c r="BO426" s="2" t="e">
        <f ca="1">_xll.BDH($C$403,"TOTAL_ASSETS_SEQUENTIAL_GROWTH","FQ3 2018","FQ3 2018","Currency=INR","Period=FQ","BEST_FPERIOD_OVERRIDE=FQ","FILING_STATUS=OR","EQY_CONSOLIDATED=Y","Sort=A","Dates=H","DateFormat=P","Fill=—","Direction=H","UseDPDF=Y")</f>
        <v>#NAME?</v>
      </c>
      <c r="BP426" s="2" t="e">
        <f ca="1">_xll.BDH($C$403,"MODIFIED_WORKING_CPTL_SEQ_GRWTH","FQ3 2018","FQ3 2018","Currency=INR","Period=FQ","BEST_FPERIOD_OVERRIDE=FQ","FILING_STATUS=OR","EQY_CONSOLIDATED=Y","Sort=A","Dates=H","DateFormat=P","Fill=—","Direction=H","UseDPDF=Y")</f>
        <v>#NAME?</v>
      </c>
      <c r="BQ426" s="2" t="e">
        <f ca="1">_xll.BDH($C$403,"WORKING_CAPITAL_SEQ_GROWTH","FQ3 2018","FQ3 2018","Currency=INR","Period=FQ","BEST_FPERIOD_OVERRIDE=FQ","FILING_STATUS=OR","EQY_CONSOLIDATED=Y","Sort=A","Dates=H","DateFormat=P","Fill=—","Direction=H","UseDPDF=Y")</f>
        <v>#NAME?</v>
      </c>
      <c r="BR426" s="2" t="e">
        <f ca="1">_xll.BDH($C$403,"ACCOUNTS_PAYABLE_SEQ_GROWTH","FQ3 2018","FQ3 2018","Currency=INR","Period=FQ","BEST_FPERIOD_OVERRIDE=FQ","FILING_STATUS=OR","EQY_CONSOLIDATED=Y","Sort=A","Dates=H","DateFormat=P","Fill=—","Direction=H","UseDPDF=Y")</f>
        <v>#NAME?</v>
      </c>
      <c r="BS426" s="2" t="e">
        <f ca="1">_xll.BDH($C$403,"ST_DEBT_SEQUENTIAL_GROWTH","FQ3 2018","FQ3 2018","Currency=INR","Period=FQ","BEST_FPERIOD_OVERRIDE=FQ","FILING_STATUS=OR","EQY_CONSOLIDATED=Y","Sort=A","Dates=H","DateFormat=P","Fill=—","Direction=H","UseDPDF=Y")</f>
        <v>#NAME?</v>
      </c>
      <c r="BT426" s="2" t="e">
        <f ca="1">_xll.BDH($C$403,"TOTAL_DEBT_SEQUENTIAL_GROWTH","FQ3 2018","FQ3 2018","Currency=INR","Period=FQ","BEST_FPERIOD_OVERRIDE=FQ","FILING_STATUS=OR","EQY_CONSOLIDATED=Y","Sort=A","Dates=H","DateFormat=P","Fill=—","Direction=H","UseDPDF=Y")</f>
        <v>#NAME?</v>
      </c>
      <c r="BU426" s="2" t="e">
        <f ca="1">_xll.BDH($C$403,"TOTAL_EQUITY_SEQUENTIAL_GROWTH","FQ3 2018","FQ3 2018","Currency=INR","Period=FQ","BEST_FPERIOD_OVERRIDE=FQ","FILING_STATUS=OR","EQY_CONSOLIDATED=Y","Sort=A","Dates=H","DateFormat=P","Fill=—","Direction=H","UseDPDF=Y")</f>
        <v>#NAME?</v>
      </c>
      <c r="BV426" s="2" t="e">
        <f ca="1">_xll.BDH($C$403,"TOTAL_CAPITAL_SEQUENTIAL_GROWTH","FQ3 2018","FQ3 2018","Currency=INR","Period=FQ","BEST_FPERIOD_OVERRIDE=FQ","FILING_STATUS=OR","EQY_CONSOLIDATED=Y","Sort=A","Dates=H","DateFormat=P","Fill=—","Direction=H","UseDPDF=Y")</f>
        <v>#NAME?</v>
      </c>
      <c r="BW426" s="2" t="e">
        <f ca="1">_xll.BDH($C$403,"BPS_SEQUENTIAL_GROWTH","FQ3 2018","FQ3 2018","Currency=INR","Period=FQ","BEST_FPERIOD_OVERRIDE=FQ","FILING_STATUS=OR","EQY_CONSOLIDATED=Y","Sort=A","Dates=H","DateFormat=P","Fill=—","Direction=H","UseDPDF=Y")</f>
        <v>#NAME?</v>
      </c>
      <c r="BX426" s="2" t="e">
        <f ca="1">_xll.BDH($C$403,"CFO_SEQUENTIAL_GROWTH","FQ3 2018","FQ3 2018","Currency=INR","Period=FQ","BEST_FPERIOD_OVERRIDE=FQ","FILING_STATUS=OR","EQY_CONSOLIDATED=Y","Sort=A","Dates=H","DateFormat=P","Fill=—","Direction=H","UseDPDF=Y")</f>
        <v>#NAME?</v>
      </c>
      <c r="BY426" s="3" t="e">
        <f ca="1">_xll.BDH($C$403,"SHORT_AND_LONG_TERM_DEBT","FQ3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26" s="3" t="e">
        <f ca="1">_xll.BDH($C$403,"BS_ST_BORROW","FQ3 2018","FQ3 2018","Currency=INR","Period=FQ","BEST_FPERIOD_OVERRIDE=FQ","FILING_STATUS=OR","EQY_CONSOLIDATED=Y","SCALING_FORMAT=MLN","Sort=A","Dates=H","DateFormat=P","Fill=—","Direction=H","UseDPDF=Y")</f>
        <v>#NAME?</v>
      </c>
      <c r="CA426" s="3" t="e">
        <f ca="1">_xll.BDH($C$403,"BS_LT_BORROW","FQ3 2018","FQ3 2018","Currency=INR","Period=FQ","BEST_FPERIOD_OVERRIDE=FQ","FILING_STATUS=OR","EQY_CONSOLIDATED=Y","SCALING_FORMAT=MLN","Sort=A","Dates=H","DateFormat=P","Fill=—","Direction=H","UseDPDF=Y")</f>
        <v>#NAME?</v>
      </c>
      <c r="CB426" s="2" t="e">
        <f ca="1">_xll.BDH($C$403,"TOT_DEBT_TO_EBITDA","FQ3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26" s="2" t="e">
        <f ca="1">_xll.BDH($C$403,"NET_DEBT_TO_EBITDA","FQ3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26" s="2" t="e">
        <f ca="1">_xll.BDH($C$403,"TOTAL_DEBT_TO_EBIT","FQ3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26" s="2" t="e">
        <f ca="1">_xll.BDH($C$403,"NET_DEBT_TO_EBIT","FQ3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26" s="2" t="e">
        <f ca="1">_xll.BDH($C$403,"EBITDA_TO_INTEREST_EXPN","FQ3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26" s="2" t="e">
        <f ca="1">_xll.BDH($C$403,"COM_EQY_TO_TOT_ASSET","FQ3 2018","FQ3 2018","Currency=INR","Period=FQ","BEST_FPERIOD_OVERRIDE=FQ","FILING_STATUS=OR","EQY_CONSOLIDATED=Y","Sort=A","Dates=H","DateFormat=P","Fill=—","Direction=H","UseDPDF=Y")</f>
        <v>#NAME?</v>
      </c>
      <c r="CH426" s="2" t="e">
        <f ca="1">_xll.BDH($C$403,"LT_DEBT_TO_TOT_EQY","FQ3 2018","FQ3 2018","Currency=INR","Period=FQ","BEST_FPERIOD_OVERRIDE=FQ","FILING_STATUS=OR","EQY_CONSOLIDATED=Y","Sort=A","Dates=H","DateFormat=P","Fill=—","Direction=H","UseDPDF=Y")</f>
        <v>#NAME?</v>
      </c>
      <c r="CI426" s="2" t="e">
        <f ca="1">_xll.BDH($C$403,"LT_DEBT_TO_TOT_CAP","FQ3 2018","FQ3 2018","Currency=INR","Period=FQ","BEST_FPERIOD_OVERRIDE=FQ","FILING_STATUS=OR","EQY_CONSOLIDATED=Y","Sort=A","Dates=H","DateFormat=P","Fill=—","Direction=H","UseDPDF=Y")</f>
        <v>#NAME?</v>
      </c>
      <c r="CJ426" s="2" t="e">
        <f ca="1">_xll.BDH($C$403,"LT_DEBT_TO_TOT_ASSET","FQ3 2018","FQ3 2018","Currency=INR","Period=FQ","BEST_FPERIOD_OVERRIDE=FQ","FILING_STATUS=OR","EQY_CONSOLIDATED=Y","Sort=A","Dates=H","DateFormat=P","Fill=—","Direction=H","UseDPDF=Y")</f>
        <v>#NAME?</v>
      </c>
      <c r="CK426" s="2" t="e">
        <f ca="1">_xll.BDH($C$403,"TOT_DEBT_TO_TOT_EQY","FQ3 2018","FQ3 2018","Currency=INR","Period=FQ","BEST_FPERIOD_OVERRIDE=FQ","FILING_STATUS=OR","EQY_CONSOLIDATED=Y","Sort=A","Dates=H","DateFormat=P","Fill=—","Direction=H","UseDPDF=Y")</f>
        <v>#NAME?</v>
      </c>
      <c r="CL426" s="2" t="e">
        <f ca="1">_xll.BDH($C$403,"TOT_DEBT_TO_TOT_CAP","FQ3 2018","FQ3 2018","Currency=INR","Period=FQ","BEST_FPERIOD_OVERRIDE=FQ","FILING_STATUS=OR","EQY_CONSOLIDATED=Y","Sort=A","Dates=H","DateFormat=P","Fill=—","Direction=H","UseDPDF=Y")</f>
        <v>#NAME?</v>
      </c>
      <c r="CM426" s="2" t="e">
        <f ca="1">_xll.BDH($C$403,"TOT_DEBT_TO_TOT_ASSET","FQ3 2018","FQ3 2018","Currency=INR","Period=FQ","BEST_FPERIOD_OVERRIDE=FQ","FILING_STATUS=OR","EQY_CONSOLIDATED=Y","Sort=A","Dates=H","DateFormat=P","Fill=—","Direction=H","UseDPDF=Y")</f>
        <v>#NAME?</v>
      </c>
      <c r="CN426" s="2" t="e">
        <f ca="1">_xll.BDH($C$403,"NET_DEBT_TO_SHRHLDR_EQTY","FQ3 2018","FQ3 2018","Currency=INR","Period=FQ","BEST_FPERIOD_OVERRIDE=FQ","FILING_STATUS=OR","EQY_CONSOLIDATED=Y","Sort=A","Dates=H","DateFormat=P","Fill=—","Direction=H","UseDPDF=Y")</f>
        <v>#NAME?</v>
      </c>
      <c r="CO426" s="2" t="e">
        <f ca="1">_xll.BDH($C$403,"NET_DEBT_%_CAPITAL","FQ3 2018","FQ3 2018","Currency=INR","Period=FQ","BEST_FPERIOD_OVERRIDE=FQ","FILING_STATUS=OR","EQY_CONSOLIDATED=Y","Sort=A","Dates=H","DateFormat=P","Fill=—","Direction=H","UseDPDF=Y")</f>
        <v>#NAME?</v>
      </c>
      <c r="CP426" s="3" t="e">
        <f ca="1">_xll.BDH($C$403,"EBITDA","FQ3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26" s="3" t="e">
        <f ca="1">_xll.BDH($C$403,"EBITDA_AFTER_CAPEX","FQ3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26" s="3" t="e">
        <f ca="1">_xll.BDH($C$403,"IS_OPER_INC","FQ3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26" s="2" t="e">
        <f ca="1">_xll.BDH($C$403,"CASH_RATIO","FQ3 2018","FQ3 2018","Currency=INR","Period=FQ","BEST_FPERIOD_OVERRIDE=FQ","FILING_STATUS=OR","EQY_CONSOLIDATED=Y","Sort=A","Dates=H","DateFormat=P","Fill=—","Direction=H","UseDPDF=Y")</f>
        <v>#NAME?</v>
      </c>
      <c r="CT426" s="2" t="e">
        <f ca="1">_xll.BDH($C$403,"CUR_RATIO","FQ3 2018","FQ3 2018","Currency=INR","Period=FQ","BEST_FPERIOD_OVERRIDE=FQ","FILING_STATUS=OR","EQY_CONSOLIDATED=Y","Sort=A","Dates=H","DateFormat=P","Fill=—","Direction=H","UseDPDF=Y")</f>
        <v>#NAME?</v>
      </c>
      <c r="CU426" s="2" t="e">
        <f ca="1">_xll.BDH($C$403,"QUICK_RATIO","FQ3 2018","FQ3 2018","Currency=INR","Period=FQ","BEST_FPERIOD_OVERRIDE=FQ","FILING_STATUS=OR","EQY_CONSOLIDATED=Y","Sort=A","Dates=H","DateFormat=P","Fill=—","Direction=H","UseDPDF=Y")</f>
        <v>#NAME?</v>
      </c>
      <c r="CV426" s="2" t="e">
        <f ca="1">_xll.BDH($C$403,"ALTMAN_Z_SCORE","FQ3 2018","FQ3 2018","Currency=INR","Period=FQ","BEST_FPERIOD_OVERRIDE=FQ","FILING_STATUS=OR","EQY_CONSOLIDATED=Y","Sort=A","Dates=H","DateFormat=P","Fill=—","Direction=H","UseDPDF=Y")</f>
        <v>#NAME?</v>
      </c>
      <c r="CW426" s="4" t="e">
        <f ca="1">_xll.BDH($C$403,"ACCT_RCV_TURN","FQ3 2018","FQ3 2018","Currency=INR","Period=FQ","BEST_FPERIOD_OVERRIDE=FQ","FILING_STATUS=OR","EQY_CONSOLIDATED=Y","FA_ADJUSTED=GAAP","Sort=A","Dates=H","DateFormat=P","Fill=—","Direction=H","UseDPDF=Y")</f>
        <v>#NAME?</v>
      </c>
      <c r="CX426" s="2" t="e">
        <f ca="1">_xll.BDH($C$403,"ACCT_RCV_DAYS","FQ3 2018","FQ3 2018","Currency=INR","Period=FQ","BEST_FPERIOD_OVERRIDE=FQ","FILING_STATUS=OR","EQY_CONSOLIDATED=Y","FA_ADJUSTED=GAAP","Sort=A","Dates=H","DateFormat=P","Fill=—","Direction=H","UseDPDF=Y")</f>
        <v>#NAME?</v>
      </c>
      <c r="CY426" s="4" t="e">
        <f ca="1">_xll.BDH($C$403,"INVENT_TURN","FQ3 2018","FQ3 2018","Currency=INR","Period=FQ","BEST_FPERIOD_OVERRIDE=FQ","FILING_STATUS=OR","EQY_CONSOLIDATED=Y","FA_ADJUSTED=GAAP","Sort=A","Dates=H","DateFormat=P","Fill=—","Direction=H","UseDPDF=Y")</f>
        <v>#NAME?</v>
      </c>
      <c r="CZ426" s="2" t="e">
        <f ca="1">_xll.BDH($C$403,"INVENT_DAYS","FQ3 2018","FQ3 2018","Currency=INR","Period=FQ","BEST_FPERIOD_OVERRIDE=FQ","FILING_STATUS=OR","EQY_CONSOLIDATED=Y","FA_ADJUSTED=GAAP","Sort=A","Dates=H","DateFormat=P","Fill=—","Direction=H","UseDPDF=Y")</f>
        <v>#NAME?</v>
      </c>
      <c r="DA426" s="4" t="e">
        <f ca="1">_xll.BDH($C$403,"ACCOUNTS_PAYABLE_TURNOVER","FQ3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26" s="2" t="e">
        <f ca="1">_xll.BDH($C$403,"ACCOUNTS_PAYABLE_TURNOVER_DAYS","FQ3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26" s="4" t="e">
        <f ca="1">_xll.BDH($C$403,"CASH_CONVERSION_CYCLE","FQ3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26" s="4" t="e">
        <f ca="1">_xll.BDH($C$403,"INV_TO_CASH_DAYS","FQ3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26" s="5" t="e">
        <f ca="1">_xll.BDH($C$403,"BS_INVENTORIES","FQ3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26" s="3" t="e">
        <f ca="1">_xll.BDH($C$403,"INVTRY_RAW_MATERIALS","FQ3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26" s="3" t="e">
        <f ca="1">_xll.BDH($C$403,"INVTRY_IN_PROGRESS","FQ3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26" s="3" t="e">
        <f ca="1">_xll.BDH($C$403,"INVTRY_FINISHED_GOODS","FQ3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26" s="3" t="e">
        <f ca="1">_xll.BDH($C$403,"BS_OTHER_INV","FQ3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27" spans="1:113" x14ac:dyDescent="0.3">
      <c r="A427" s="6"/>
      <c r="B427" s="6"/>
      <c r="C427" s="6"/>
      <c r="D427" s="6"/>
      <c r="E427" t="s">
        <v>81</v>
      </c>
      <c r="F427" t="e">
        <f ca="1">_xll.BDH($C$403,"RETURN_COM_EQY","FQ4 2018","FQ4 2018","Currency=INR","Period=FQ","BEST_FPERIOD_OVERRIDE=FQ","FILING_STATUS=OR","EQY_CONSOLIDATED=Y","FA_ADJUSTED=GAAP","Sort=A","Dates=H","DateFormat=P","Fill=—","Direction=H","UseDPDF=Y")</f>
        <v>#NAME?</v>
      </c>
      <c r="G427" t="e">
        <f ca="1">_xll.BDH($C$403,"RETURN_ON_ASSET","FQ4 2018","FQ4 2018","Currency=INR","Period=FQ","BEST_FPERIOD_OVERRIDE=FQ","FILING_STATUS=OR","EQY_CONSOLIDATED=Y","FA_ADJUSTED=GAAP","Sort=A","Dates=H","DateFormat=P","Fill=—","Direction=H","UseDPDF=Y")</f>
        <v>#NAME?</v>
      </c>
      <c r="H427" t="e">
        <f ca="1">_xll.BDH($C$403,"RETURN_ON_CAP","FQ4 2018","FQ4 2018","Currency=INR","Period=FQ","BEST_FPERIOD_OVERRIDE=FQ","FILING_STATUS=OR","EQY_CONSOLIDATED=Y","FA_ADJUSTED=GAAP","Sort=A","Dates=H","DateFormat=P","Fill=—","Direction=H","UseDPDF=Y")</f>
        <v>#NAME?</v>
      </c>
      <c r="I427" t="e">
        <f ca="1">_xll.BDH($C$403,"RETURN_ON_INV_CAPITAL","FQ4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27" t="e">
        <f ca="1">_xll.BDH($C$403,"EBITDA_TO_REVENUE","FQ4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27" t="e">
        <f ca="1">_xll.BDH($C$403,"OPER_MARGIN","FQ4 2018","FQ4 2018","Currency=INR","Period=FQ","BEST_FPERIOD_OVERRIDE=FQ","FILING_STATUS=OR","EQY_CONSOLIDATED=Y","FA_ADJUSTED=GAAP","Sort=A","Dates=H","DateFormat=P","Fill=—","Direction=H","UseDPDF=Y")</f>
        <v>#NAME?</v>
      </c>
      <c r="L427" t="e">
        <f ca="1">_xll.BDH($C$403,"INCREMENTAL_OPERATING_MARGIN","FQ4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27" t="e">
        <f ca="1">_xll.BDH($C$403,"PRETAX_INC_TO_NET_SALES","FQ4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27" t="e">
        <f ca="1">_xll.BDH($C$403,"INC_BEF_XO_ITEMS_TO_NET_SALES","FQ4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27" t="e">
        <f ca="1">_xll.BDH($C$403,"PROF_MARGIN","FQ4 2018","FQ4 2018","Currency=INR","Period=FQ","BEST_FPERIOD_OVERRIDE=FQ","FILING_STATUS=OR","EQY_CONSOLIDATED=Y","FA_ADJUSTED=GAAP","Sort=A","Dates=H","DateFormat=P","Fill=—","Direction=H","UseDPDF=Y")</f>
        <v>#NAME?</v>
      </c>
      <c r="P427" t="e">
        <f ca="1">_xll.BDH($C$403,"NET_INCOME_TO_COMMON_MARGIN","FQ4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27" t="e">
        <f ca="1">_xll.BDH($C$403,"EFF_TAX_RATE","FQ4 2018","FQ4 2018","Currency=INR","Period=FQ","BEST_FPERIOD_OVERRIDE=FQ","FILING_STATUS=OR","EQY_CONSOLIDATED=Y","FA_ADJUSTED=GAAP","Sort=A","Dates=H","DateFormat=P","Fill=—","Direction=H","UseDPDF=Y")</f>
        <v>#NAME?</v>
      </c>
      <c r="R427" t="e">
        <f ca="1">_xll.BDH($C$403,"DVD_PAYOUT_RATIO","FQ4 2018","FQ4 2018","Currency=INR","Period=FQ","BEST_FPERIOD_OVERRIDE=FQ","FILING_STATUS=OR","EQY_CONSOLIDATED=Y","FA_ADJUSTED=GAAP","Sort=A","Dates=H","DateFormat=P","Fill=—","Direction=H","UseDPDF=Y")</f>
        <v>#NAME?</v>
      </c>
      <c r="S427" t="e">
        <f ca="1">_xll.BDH($C$403,"SUSTAIN_GROWTH_RT","FQ4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27" s="2" t="e">
        <f ca="1">_xll.BDH($C$403,"SALES_GROWTH","FQ4 2018","FQ4 2018","Currency=INR","Period=FQ","BEST_FPERIOD_OVERRIDE=FQ","FILING_STATUS=OR","EQY_CONSOLIDATED=Y","FA_ADJUSTED=GAAP","Sort=A","Dates=H","DateFormat=P","Fill=—","Direction=H","UseDPDF=Y")</f>
        <v>#NAME?</v>
      </c>
      <c r="U427" s="2" t="e">
        <f ca="1">_xll.BDH($C$403,"EBITDA_GROWTH","FQ4 2018","FQ4 2018","Currency=INR","Period=FQ","BEST_FPERIOD_OVERRIDE=FQ","FILING_STATUS=OR","EQY_CONSOLIDATED=Y","FA_ADJUSTED=GAAP","Sort=A","Dates=H","DateFormat=P","Fill=—","Direction=H","UseDPDF=Y")</f>
        <v>#NAME?</v>
      </c>
      <c r="V427" s="2" t="e">
        <f ca="1">_xll.BDH($C$403,"OPER_INC_GROWTH","FQ4 2018","FQ4 2018","Currency=INR","Period=FQ","BEST_FPERIOD_OVERRIDE=FQ","FILING_STATUS=OR","EQY_CONSOLIDATED=Y","FA_ADJUSTED=GAAP","Sort=A","Dates=H","DateFormat=P","Fill=—","Direction=H","UseDPDF=Y")</f>
        <v>#NAME?</v>
      </c>
      <c r="W427" s="2" t="e">
        <f ca="1">_xll.BDH($C$403,"EARN_FOR_COM_GROWTH","FQ4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27" s="2" t="e">
        <f ca="1">_xll.BDH($C$403,"DILUTED_EPS_AFT_XO_ITEMS_GROWTH","FQ4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27" s="2" t="e">
        <f ca="1">_xll.BDH($C$403,"DIVIDEND_PER_SHARE_1_YEAR_GROWTH","FQ4 2018","FQ4 2018","Currency=INR","Period=FQ","BEST_FPERIOD_OVERRIDE=FQ","FILING_STATUS=OR","EQY_CONSOLIDATED=Y","Sort=A","Dates=H","DateFormat=P","Fill=—","Direction=H","UseDPDF=Y")</f>
        <v>#NAME?</v>
      </c>
      <c r="Z427" s="2" t="e">
        <f ca="1">_xll.BDH($C$403,"ACCOUNTS_RECEIVABLE_GROWTH","FQ4 2018","FQ4 2018","Currency=INR","Period=FQ","BEST_FPERIOD_OVERRIDE=FQ","FILING_STATUS=OR","EQY_CONSOLIDATED=Y","Sort=A","Dates=H","DateFormat=P","Fill=—","Direction=H","UseDPDF=Y")</f>
        <v>#NAME?</v>
      </c>
      <c r="AA427" s="2" t="e">
        <f ca="1">_xll.BDH($C$403,"INVENTORY_GROWTH","FQ4 2018","FQ4 2018","Currency=INR","Period=FQ","BEST_FPERIOD_OVERRIDE=FQ","FILING_STATUS=OR","EQY_CONSOLIDATED=Y","Sort=A","Dates=H","DateFormat=P","Fill=—","Direction=H","UseDPDF=Y")</f>
        <v>#NAME?</v>
      </c>
      <c r="AB427" s="2" t="e">
        <f ca="1">_xll.BDH($C$403,"NET_FIXED_ASSETS_1_YEAR_GROWTH","FQ4 2018","FQ4 2018","Currency=INR","Period=FQ","BEST_FPERIOD_OVERRIDE=FQ","FILING_STATUS=OR","EQY_CONSOLIDATED=Y","Sort=A","Dates=H","DateFormat=P","Fill=—","Direction=H","UseDPDF=Y")</f>
        <v>#NAME?</v>
      </c>
      <c r="AC427" s="2" t="e">
        <f ca="1">_xll.BDH($C$403,"ASSET_GROWTH","FQ4 2018","FQ4 2018","Currency=INR","Period=FQ","BEST_FPERIOD_OVERRIDE=FQ","FILING_STATUS=OR","EQY_CONSOLIDATED=Y","Sort=A","Dates=H","DateFormat=P","Fill=—","Direction=H","UseDPDF=Y")</f>
        <v>#NAME?</v>
      </c>
      <c r="AD427" s="2" t="e">
        <f ca="1">_xll.BDH($C$403,"MODIFIED_WORK_CAP_GROWTH","FQ4 2018","FQ4 2018","Currency=INR","Period=FQ","BEST_FPERIOD_OVERRIDE=FQ","FILING_STATUS=OR","EQY_CONSOLIDATED=Y","Sort=A","Dates=H","DateFormat=P","Fill=—","Direction=H","UseDPDF=Y")</f>
        <v>#NAME?</v>
      </c>
      <c r="AE427" s="2" t="e">
        <f ca="1">_xll.BDH($C$403,"WORK_CAP_GROWTH","FQ4 2018","FQ4 2018","Currency=INR","Period=FQ","BEST_FPERIOD_OVERRIDE=FQ","FILING_STATUS=OR","EQY_CONSOLIDATED=Y","Sort=A","Dates=H","DateFormat=P","Fill=—","Direction=H","UseDPDF=Y")</f>
        <v>#NAME?</v>
      </c>
      <c r="AF427" s="2" t="e">
        <f ca="1">_xll.BDH($C$403,"ACCOUNTS_PAYABLE_GROWTH_1YR","FQ4 2018","FQ4 2018","Currency=INR","Period=FQ","BEST_FPERIOD_OVERRIDE=FQ","FILING_STATUS=OR","EQY_CONSOLIDATED=Y","Sort=A","Dates=H","DateFormat=P","Fill=—","Direction=H","UseDPDF=Y")</f>
        <v>#NAME?</v>
      </c>
      <c r="AG427" s="2" t="e">
        <f ca="1">_xll.BDH($C$403,"SHORT_TERM_DEBT_1_YEAR_GROWTH","FQ4 2018","FQ4 2018","Currency=INR","Period=FQ","BEST_FPERIOD_OVERRIDE=FQ","FILING_STATUS=OR","EQY_CONSOLIDATED=Y","Sort=A","Dates=H","DateFormat=P","Fill=—","Direction=H","UseDPDF=Y")</f>
        <v>#NAME?</v>
      </c>
      <c r="AH427" s="2" t="e">
        <f ca="1">_xll.BDH($C$403,"TOTAL_DEBT_1_YEAR_GROWTH","FQ4 2018","FQ4 2018","Currency=INR","Period=FQ","BEST_FPERIOD_OVERRIDE=FQ","FILING_STATUS=OR","EQY_CONSOLIDATED=Y","Sort=A","Dates=H","DateFormat=P","Fill=—","Direction=H","UseDPDF=Y")</f>
        <v>#NAME?</v>
      </c>
      <c r="AI427" s="2" t="e">
        <f ca="1">_xll.BDH($C$403,"TOTAL_EQUITY_1_YEAR_GROWTH","FQ4 2018","FQ4 2018","Currency=INR","Period=FQ","BEST_FPERIOD_OVERRIDE=FQ","FILING_STATUS=OR","EQY_CONSOLIDATED=Y","Sort=A","Dates=H","DateFormat=P","Fill=—","Direction=H","UseDPDF=Y")</f>
        <v>#NAME?</v>
      </c>
      <c r="AJ427" s="2" t="e">
        <f ca="1">_xll.BDH($C$403,"GROWTH_IN_CAP","FQ4 2018","FQ4 2018","Currency=INR","Period=FQ","BEST_FPERIOD_OVERRIDE=FQ","FILING_STATUS=OR","EQY_CONSOLIDATED=Y","Sort=A","Dates=H","DateFormat=P","Fill=—","Direction=H","UseDPDF=Y")</f>
        <v>#NAME?</v>
      </c>
      <c r="AK427" s="2" t="e">
        <f ca="1">_xll.BDH($C$403,"BVPS_GROWTH","FQ4 2018","FQ4 2018","Currency=INR","Period=FQ","BEST_FPERIOD_OVERRIDE=FQ","FILING_STATUS=OR","EQY_CONSOLIDATED=Y","Sort=A","Dates=H","DateFormat=P","Fill=—","Direction=H","UseDPDF=Y")</f>
        <v>#NAME?</v>
      </c>
      <c r="AL427" s="2" t="e">
        <f ca="1">_xll.BDH($C$403,"CASH_FLOW_GROWTH","FQ4 2018","FQ4 2018","Currency=INR","Period=FQ","BEST_FPERIOD_OVERRIDE=FQ","FILING_STATUS=OR","EQY_CONSOLIDATED=Y","Sort=A","Dates=H","DateFormat=P","Fill=—","Direction=H","UseDPDF=Y")</f>
        <v>#NAME?</v>
      </c>
      <c r="AM427" s="2" t="e">
        <f ca="1">_xll.BDH($C$403,"GEO_GROW_NET_SALES","FQ4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27" s="2" t="e">
        <f ca="1">_xll.BDH($C$403,"GEO_GROW_EBITDA","FQ4 2018","FQ4 2018","Currency=INR","Period=FQ","BEST_FPERIOD_OVERRIDE=FQ","FILING_STATUS=OR","EQY_CONSOLIDATED=Y","FA_ADJUSTED=GAAP","Sort=A","Dates=H","DateFormat=P","Fill=—","Direction=H","UseDPDF=Y")</f>
        <v>#NAME?</v>
      </c>
      <c r="AO427" s="2" t="e">
        <f ca="1">_xll.BDH($C$403,"GEO_GROW_OPER_INC","FQ4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27" s="2" t="e">
        <f ca="1">_xll.BDH($C$403,"NET_INCOME_TO_COMMON_5_YR_GROWTH","FQ4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27" s="2" t="e">
        <f ca="1">_xll.BDH($C$403,"5Y_GEO_GROWTH_DILUTED_EPS","FQ4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27" s="2" t="e">
        <f ca="1">_xll.BDH($C$403,"GEO_GROW_DVD_PER_SH","FQ4 2018","FQ4 2018","Currency=INR","Period=FQ","BEST_FPERIOD_OVERRIDE=FQ","FILING_STATUS=OR","EQY_CONSOLIDATED=Y","Sort=A","Dates=H","DateFormat=P","Fill=—","Direction=H","UseDPDF=Y")</f>
        <v>#NAME?</v>
      </c>
      <c r="AS427" s="2" t="e">
        <f ca="1">_xll.BDH($C$403,"ACCOUNTS_RECEIVABLE_5_YR_GROWTH","FQ4 2018","FQ4 2018","Currency=INR","Period=FQ","BEST_FPERIOD_OVERRIDE=FQ","FILING_STATUS=OR","EQY_CONSOLIDATED=Y","Sort=A","Dates=H","DateFormat=P","Fill=—","Direction=H","UseDPDF=Y")</f>
        <v>#NAME?</v>
      </c>
      <c r="AT427" s="2" t="e">
        <f ca="1">_xll.BDH($C$403,"INVENTORY_5_YEAR_GROWTH","FQ4 2018","FQ4 2018","Currency=INR","Period=FQ","BEST_FPERIOD_OVERRIDE=FQ","FILING_STATUS=OR","EQY_CONSOLIDATED=Y","Sort=A","Dates=H","DateFormat=P","Fill=—","Direction=H","UseDPDF=Y")</f>
        <v>#NAME?</v>
      </c>
      <c r="AU427" s="2" t="e">
        <f ca="1">_xll.BDH($C$403,"NET_FIXED_ASSETS_5_YEAR_GROWTH","FQ4 2018","FQ4 2018","Currency=INR","Period=FQ","BEST_FPERIOD_OVERRIDE=FQ","FILING_STATUS=OR","EQY_CONSOLIDATED=Y","Sort=A","Dates=H","DateFormat=P","Fill=—","Direction=H","UseDPDF=Y")</f>
        <v>#NAME?</v>
      </c>
      <c r="AV427" s="2" t="e">
        <f ca="1">_xll.BDH($C$403,"GEO_GROW_TOT_ASSET","FQ4 2018","FQ4 2018","Currency=INR","Period=FQ","BEST_FPERIOD_OVERRIDE=FQ","FILING_STATUS=OR","EQY_CONSOLIDATED=Y","Sort=A","Dates=H","DateFormat=P","Fill=—","Direction=H","UseDPDF=Y")</f>
        <v>#NAME?</v>
      </c>
      <c r="AW427" s="2" t="e">
        <f ca="1">_xll.BDH($C$403,"MODIFIED_WORKING_CPTL_5YR_GRWTH","FQ4 2018","FQ4 2018","Currency=INR","Period=FQ","BEST_FPERIOD_OVERRIDE=FQ","FILING_STATUS=OR","EQY_CONSOLIDATED=Y","Sort=A","Dates=H","DateFormat=P","Fill=—","Direction=H","UseDPDF=Y")</f>
        <v>#NAME?</v>
      </c>
      <c r="AX427" s="2" t="e">
        <f ca="1">_xll.BDH($C$403,"WORKING_CAPITAL_5_YEAR_GROWTH","FQ4 2018","FQ4 2018","Currency=INR","Period=FQ","BEST_FPERIOD_OVERRIDE=FQ","FILING_STATUS=OR","EQY_CONSOLIDATED=Y","Sort=A","Dates=H","DateFormat=P","Fill=—","Direction=H","UseDPDF=Y")</f>
        <v>#NAME?</v>
      </c>
      <c r="AY427" s="2" t="e">
        <f ca="1">_xll.BDH($C$403,"ACCOUNTS_PAYABLE_5_YEAR_GROWTH","FQ4 2018","FQ4 2018","Currency=INR","Period=FQ","BEST_FPERIOD_OVERRIDE=FQ","FILING_STATUS=OR","EQY_CONSOLIDATED=Y","Sort=A","Dates=H","DateFormat=P","Fill=—","Direction=H","UseDPDF=Y")</f>
        <v>#NAME?</v>
      </c>
      <c r="AZ427" s="2" t="e">
        <f ca="1">_xll.BDH($C$403,"SHORT_TERM_DEBT_5_YEAR_GROWTH","FQ4 2018","FQ4 2018","Currency=INR","Period=FQ","BEST_FPERIOD_OVERRIDE=FQ","FILING_STATUS=OR","EQY_CONSOLIDATED=Y","Sort=A","Dates=H","DateFormat=P","Fill=—","Direction=H","UseDPDF=Y")</f>
        <v>#NAME?</v>
      </c>
      <c r="BA427" s="2" t="e">
        <f ca="1">_xll.BDH($C$403,"TOTAL_DEBT_5_YEAR_GROWTH","FQ4 2018","FQ4 2018","Currency=INR","Period=FQ","BEST_FPERIOD_OVERRIDE=FQ","FILING_STATUS=OR","EQY_CONSOLIDATED=Y","Sort=A","Dates=H","DateFormat=P","Fill=—","Direction=H","UseDPDF=Y")</f>
        <v>#NAME?</v>
      </c>
      <c r="BB427" s="2" t="e">
        <f ca="1">_xll.BDH($C$403,"GEO_GROW_TOT_SHRHLDR_EQY","FQ4 2018","FQ4 2018","Currency=INR","Period=FQ","BEST_FPERIOD_OVERRIDE=FQ","FILING_STATUS=OR","EQY_CONSOLIDATED=Y","Sort=A","Dates=H","DateFormat=P","Fill=—","Direction=H","UseDPDF=Y")</f>
        <v>#NAME?</v>
      </c>
      <c r="BC427" s="2" t="e">
        <f ca="1">_xll.BDH($C$403,"TOTAL_CAPITAL_5_YEAR_GROWTH","FQ4 2018","FQ4 2018","Currency=INR","Period=FQ","BEST_FPERIOD_OVERRIDE=FQ","FILING_STATUS=OR","EQY_CONSOLIDATED=Y","Sort=A","Dates=H","DateFormat=P","Fill=—","Direction=H","UseDPDF=Y")</f>
        <v>#NAME?</v>
      </c>
      <c r="BD427" s="2" t="e">
        <f ca="1">_xll.BDH($C$403,"GEO_GROW_BOOK_VAL","FQ4 2018","FQ4 2018","Currency=INR","Period=FQ","BEST_FPERIOD_OVERRIDE=FQ","FILING_STATUS=OR","EQY_CONSOLIDATED=Y","Sort=A","Dates=H","DateFormat=P","Fill=—","Direction=H","UseDPDF=Y")</f>
        <v>#NAME?</v>
      </c>
      <c r="BE427" s="2" t="e">
        <f ca="1">_xll.BDH($C$403,"GEO_GROW_CASH_OPER_ACT","FQ4 2018","FQ4 2018","Currency=INR","Period=FQ","BEST_FPERIOD_OVERRIDE=FQ","FILING_STATUS=OR","EQY_CONSOLIDATED=Y","Sort=A","Dates=H","DateFormat=P","Fill=—","Direction=H","UseDPDF=Y")</f>
        <v>#NAME?</v>
      </c>
      <c r="BF427" s="2" t="e">
        <f ca="1">_xll.BDH($C$403,"REVENUE_SEQUENTIAL_GROWTH","FQ4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27" s="2" t="e">
        <f ca="1">_xll.BDH($C$403,"EBITDA_SEQUENTIAL_GROWTH","FQ4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27" s="2" t="e">
        <f ca="1">_xll.BDH($C$403,"OPERATING_INCOME_SEQ_GROWTH","FQ4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27" s="2" t="e">
        <f ca="1">_xll.BDH($C$403,"NET_INCOME_TO_COMMON_SEQ_GROWTH","FQ4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27" s="2" t="e">
        <f ca="1">_xll.BDH($C$403,"EPS_DILUTED_SEQUENTIAL_GROWTH","FQ4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27" s="2" t="e">
        <f ca="1">_xll.BDH($C$403,"DPS_SEQUENTIAL_GROWTH","FQ4 2018","FQ4 2018","Currency=INR","Period=FQ","BEST_FPERIOD_OVERRIDE=FQ","FILING_STATUS=OR","EQY_CONSOLIDATED=Y","Sort=A","Dates=H","DateFormat=P","Fill=—","Direction=H","UseDPDF=Y")</f>
        <v>#NAME?</v>
      </c>
      <c r="BL427" s="2" t="e">
        <f ca="1">_xll.BDH($C$403,"ACCOUNTS_RECEIVABLE_SEQ_GROWTH","FQ4 2018","FQ4 2018","Currency=INR","Period=FQ","BEST_FPERIOD_OVERRIDE=FQ","FILING_STATUS=OR","EQY_CONSOLIDATED=Y","Sort=A","Dates=H","DateFormat=P","Fill=—","Direction=H","UseDPDF=Y")</f>
        <v>#NAME?</v>
      </c>
      <c r="BM427" s="2" t="e">
        <f ca="1">_xll.BDH($C$403,"INVENTORY_SEQUENTIAL_GROWTH","FQ4 2018","FQ4 2018","Currency=INR","Period=FQ","BEST_FPERIOD_OVERRIDE=FQ","FILING_STATUS=OR","EQY_CONSOLIDATED=Y","Sort=A","Dates=H","DateFormat=P","Fill=—","Direction=H","UseDPDF=Y")</f>
        <v>#NAME?</v>
      </c>
      <c r="BN427" s="2" t="e">
        <f ca="1">_xll.BDH($C$403,"FIXED_ASSETS_SEQUENTIAL_GROWTH","FQ4 2018","FQ4 2018","Currency=INR","Period=FQ","BEST_FPERIOD_OVERRIDE=FQ","FILING_STATUS=OR","EQY_CONSOLIDATED=Y","Sort=A","Dates=H","DateFormat=P","Fill=—","Direction=H","UseDPDF=Y")</f>
        <v>#NAME?</v>
      </c>
      <c r="BO427" s="2" t="e">
        <f ca="1">_xll.BDH($C$403,"TOTAL_ASSETS_SEQUENTIAL_GROWTH","FQ4 2018","FQ4 2018","Currency=INR","Period=FQ","BEST_FPERIOD_OVERRIDE=FQ","FILING_STATUS=OR","EQY_CONSOLIDATED=Y","Sort=A","Dates=H","DateFormat=P","Fill=—","Direction=H","UseDPDF=Y")</f>
        <v>#NAME?</v>
      </c>
      <c r="BP427" s="2" t="e">
        <f ca="1">_xll.BDH($C$403,"MODIFIED_WORKING_CPTL_SEQ_GRWTH","FQ4 2018","FQ4 2018","Currency=INR","Period=FQ","BEST_FPERIOD_OVERRIDE=FQ","FILING_STATUS=OR","EQY_CONSOLIDATED=Y","Sort=A","Dates=H","DateFormat=P","Fill=—","Direction=H","UseDPDF=Y")</f>
        <v>#NAME?</v>
      </c>
      <c r="BQ427" s="2" t="e">
        <f ca="1">_xll.BDH($C$403,"WORKING_CAPITAL_SEQ_GROWTH","FQ4 2018","FQ4 2018","Currency=INR","Period=FQ","BEST_FPERIOD_OVERRIDE=FQ","FILING_STATUS=OR","EQY_CONSOLIDATED=Y","Sort=A","Dates=H","DateFormat=P","Fill=—","Direction=H","UseDPDF=Y")</f>
        <v>#NAME?</v>
      </c>
      <c r="BR427" s="2" t="e">
        <f ca="1">_xll.BDH($C$403,"ACCOUNTS_PAYABLE_SEQ_GROWTH","FQ4 2018","FQ4 2018","Currency=INR","Period=FQ","BEST_FPERIOD_OVERRIDE=FQ","FILING_STATUS=OR","EQY_CONSOLIDATED=Y","Sort=A","Dates=H","DateFormat=P","Fill=—","Direction=H","UseDPDF=Y")</f>
        <v>#NAME?</v>
      </c>
      <c r="BS427" s="2" t="e">
        <f ca="1">_xll.BDH($C$403,"ST_DEBT_SEQUENTIAL_GROWTH","FQ4 2018","FQ4 2018","Currency=INR","Period=FQ","BEST_FPERIOD_OVERRIDE=FQ","FILING_STATUS=OR","EQY_CONSOLIDATED=Y","Sort=A","Dates=H","DateFormat=P","Fill=—","Direction=H","UseDPDF=Y")</f>
        <v>#NAME?</v>
      </c>
      <c r="BT427" s="2" t="e">
        <f ca="1">_xll.BDH($C$403,"TOTAL_DEBT_SEQUENTIAL_GROWTH","FQ4 2018","FQ4 2018","Currency=INR","Period=FQ","BEST_FPERIOD_OVERRIDE=FQ","FILING_STATUS=OR","EQY_CONSOLIDATED=Y","Sort=A","Dates=H","DateFormat=P","Fill=—","Direction=H","UseDPDF=Y")</f>
        <v>#NAME?</v>
      </c>
      <c r="BU427" s="2" t="e">
        <f ca="1">_xll.BDH($C$403,"TOTAL_EQUITY_SEQUENTIAL_GROWTH","FQ4 2018","FQ4 2018","Currency=INR","Period=FQ","BEST_FPERIOD_OVERRIDE=FQ","FILING_STATUS=OR","EQY_CONSOLIDATED=Y","Sort=A","Dates=H","DateFormat=P","Fill=—","Direction=H","UseDPDF=Y")</f>
        <v>#NAME?</v>
      </c>
      <c r="BV427" s="2" t="e">
        <f ca="1">_xll.BDH($C$403,"TOTAL_CAPITAL_SEQUENTIAL_GROWTH","FQ4 2018","FQ4 2018","Currency=INR","Period=FQ","BEST_FPERIOD_OVERRIDE=FQ","FILING_STATUS=OR","EQY_CONSOLIDATED=Y","Sort=A","Dates=H","DateFormat=P","Fill=—","Direction=H","UseDPDF=Y")</f>
        <v>#NAME?</v>
      </c>
      <c r="BW427" s="2" t="e">
        <f ca="1">_xll.BDH($C$403,"BPS_SEQUENTIAL_GROWTH","FQ4 2018","FQ4 2018","Currency=INR","Period=FQ","BEST_FPERIOD_OVERRIDE=FQ","FILING_STATUS=OR","EQY_CONSOLIDATED=Y","Sort=A","Dates=H","DateFormat=P","Fill=—","Direction=H","UseDPDF=Y")</f>
        <v>#NAME?</v>
      </c>
      <c r="BX427" s="2" t="e">
        <f ca="1">_xll.BDH($C$403,"CFO_SEQUENTIAL_GROWTH","FQ4 2018","FQ4 2018","Currency=INR","Period=FQ","BEST_FPERIOD_OVERRIDE=FQ","FILING_STATUS=OR","EQY_CONSOLIDATED=Y","Sort=A","Dates=H","DateFormat=P","Fill=—","Direction=H","UseDPDF=Y")</f>
        <v>#NAME?</v>
      </c>
      <c r="BY427" s="3" t="e">
        <f ca="1">_xll.BDH($C$403,"SHORT_AND_LONG_TERM_DEBT","FQ4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27" s="3" t="e">
        <f ca="1">_xll.BDH($C$403,"BS_ST_BORROW","FQ4 2018","FQ4 2018","Currency=INR","Period=FQ","BEST_FPERIOD_OVERRIDE=FQ","FILING_STATUS=OR","EQY_CONSOLIDATED=Y","SCALING_FORMAT=MLN","Sort=A","Dates=H","DateFormat=P","Fill=—","Direction=H","UseDPDF=Y")</f>
        <v>#NAME?</v>
      </c>
      <c r="CA427" s="3" t="e">
        <f ca="1">_xll.BDH($C$403,"BS_LT_BORROW","FQ4 2018","FQ4 2018","Currency=INR","Period=FQ","BEST_FPERIOD_OVERRIDE=FQ","FILING_STATUS=OR","EQY_CONSOLIDATED=Y","SCALING_FORMAT=MLN","Sort=A","Dates=H","DateFormat=P","Fill=—","Direction=H","UseDPDF=Y")</f>
        <v>#NAME?</v>
      </c>
      <c r="CB427" s="2" t="e">
        <f ca="1">_xll.BDH($C$403,"TOT_DEBT_TO_EBITDA","FQ4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27" s="2" t="e">
        <f ca="1">_xll.BDH($C$403,"NET_DEBT_TO_EBITDA","FQ4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27" s="2" t="e">
        <f ca="1">_xll.BDH($C$403,"TOTAL_DEBT_TO_EBIT","FQ4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27" s="2" t="e">
        <f ca="1">_xll.BDH($C$403,"NET_DEBT_TO_EBIT","FQ4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27" s="2" t="e">
        <f ca="1">_xll.BDH($C$403,"EBITDA_TO_INTEREST_EXPN","FQ4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27" s="2" t="e">
        <f ca="1">_xll.BDH($C$403,"COM_EQY_TO_TOT_ASSET","FQ4 2018","FQ4 2018","Currency=INR","Period=FQ","BEST_FPERIOD_OVERRIDE=FQ","FILING_STATUS=OR","EQY_CONSOLIDATED=Y","Sort=A","Dates=H","DateFormat=P","Fill=—","Direction=H","UseDPDF=Y")</f>
        <v>#NAME?</v>
      </c>
      <c r="CH427" s="2" t="e">
        <f ca="1">_xll.BDH($C$403,"LT_DEBT_TO_TOT_EQY","FQ4 2018","FQ4 2018","Currency=INR","Period=FQ","BEST_FPERIOD_OVERRIDE=FQ","FILING_STATUS=OR","EQY_CONSOLIDATED=Y","Sort=A","Dates=H","DateFormat=P","Fill=—","Direction=H","UseDPDF=Y")</f>
        <v>#NAME?</v>
      </c>
      <c r="CI427" s="2" t="e">
        <f ca="1">_xll.BDH($C$403,"LT_DEBT_TO_TOT_CAP","FQ4 2018","FQ4 2018","Currency=INR","Period=FQ","BEST_FPERIOD_OVERRIDE=FQ","FILING_STATUS=OR","EQY_CONSOLIDATED=Y","Sort=A","Dates=H","DateFormat=P","Fill=—","Direction=H","UseDPDF=Y")</f>
        <v>#NAME?</v>
      </c>
      <c r="CJ427" s="2" t="e">
        <f ca="1">_xll.BDH($C$403,"LT_DEBT_TO_TOT_ASSET","FQ4 2018","FQ4 2018","Currency=INR","Period=FQ","BEST_FPERIOD_OVERRIDE=FQ","FILING_STATUS=OR","EQY_CONSOLIDATED=Y","Sort=A","Dates=H","DateFormat=P","Fill=—","Direction=H","UseDPDF=Y")</f>
        <v>#NAME?</v>
      </c>
      <c r="CK427" s="2" t="e">
        <f ca="1">_xll.BDH($C$403,"TOT_DEBT_TO_TOT_EQY","FQ4 2018","FQ4 2018","Currency=INR","Period=FQ","BEST_FPERIOD_OVERRIDE=FQ","FILING_STATUS=OR","EQY_CONSOLIDATED=Y","Sort=A","Dates=H","DateFormat=P","Fill=—","Direction=H","UseDPDF=Y")</f>
        <v>#NAME?</v>
      </c>
      <c r="CL427" s="2" t="e">
        <f ca="1">_xll.BDH($C$403,"TOT_DEBT_TO_TOT_CAP","FQ4 2018","FQ4 2018","Currency=INR","Period=FQ","BEST_FPERIOD_OVERRIDE=FQ","FILING_STATUS=OR","EQY_CONSOLIDATED=Y","Sort=A","Dates=H","DateFormat=P","Fill=—","Direction=H","UseDPDF=Y")</f>
        <v>#NAME?</v>
      </c>
      <c r="CM427" s="2" t="e">
        <f ca="1">_xll.BDH($C$403,"TOT_DEBT_TO_TOT_ASSET","FQ4 2018","FQ4 2018","Currency=INR","Period=FQ","BEST_FPERIOD_OVERRIDE=FQ","FILING_STATUS=OR","EQY_CONSOLIDATED=Y","Sort=A","Dates=H","DateFormat=P","Fill=—","Direction=H","UseDPDF=Y")</f>
        <v>#NAME?</v>
      </c>
      <c r="CN427" s="2" t="e">
        <f ca="1">_xll.BDH($C$403,"NET_DEBT_TO_SHRHLDR_EQTY","FQ4 2018","FQ4 2018","Currency=INR","Period=FQ","BEST_FPERIOD_OVERRIDE=FQ","FILING_STATUS=OR","EQY_CONSOLIDATED=Y","Sort=A","Dates=H","DateFormat=P","Fill=—","Direction=H","UseDPDF=Y")</f>
        <v>#NAME?</v>
      </c>
      <c r="CO427" s="2" t="e">
        <f ca="1">_xll.BDH($C$403,"NET_DEBT_%_CAPITAL","FQ4 2018","FQ4 2018","Currency=INR","Period=FQ","BEST_FPERIOD_OVERRIDE=FQ","FILING_STATUS=OR","EQY_CONSOLIDATED=Y","Sort=A","Dates=H","DateFormat=P","Fill=—","Direction=H","UseDPDF=Y")</f>
        <v>#NAME?</v>
      </c>
      <c r="CP427" s="3" t="e">
        <f ca="1">_xll.BDH($C$403,"EBITDA","FQ4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27" s="3" t="e">
        <f ca="1">_xll.BDH($C$403,"EBITDA_AFTER_CAPEX","FQ4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27" s="3" t="e">
        <f ca="1">_xll.BDH($C$403,"IS_OPER_INC","FQ4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27" s="2" t="e">
        <f ca="1">_xll.BDH($C$403,"CASH_RATIO","FQ4 2018","FQ4 2018","Currency=INR","Period=FQ","BEST_FPERIOD_OVERRIDE=FQ","FILING_STATUS=OR","EQY_CONSOLIDATED=Y","Sort=A","Dates=H","DateFormat=P","Fill=—","Direction=H","UseDPDF=Y")</f>
        <v>#NAME?</v>
      </c>
      <c r="CT427" s="2" t="e">
        <f ca="1">_xll.BDH($C$403,"CUR_RATIO","FQ4 2018","FQ4 2018","Currency=INR","Period=FQ","BEST_FPERIOD_OVERRIDE=FQ","FILING_STATUS=OR","EQY_CONSOLIDATED=Y","Sort=A","Dates=H","DateFormat=P","Fill=—","Direction=H","UseDPDF=Y")</f>
        <v>#NAME?</v>
      </c>
      <c r="CU427" s="2" t="e">
        <f ca="1">_xll.BDH($C$403,"QUICK_RATIO","FQ4 2018","FQ4 2018","Currency=INR","Period=FQ","BEST_FPERIOD_OVERRIDE=FQ","FILING_STATUS=OR","EQY_CONSOLIDATED=Y","Sort=A","Dates=H","DateFormat=P","Fill=—","Direction=H","UseDPDF=Y")</f>
        <v>#NAME?</v>
      </c>
      <c r="CV427" s="2" t="e">
        <f ca="1">_xll.BDH($C$403,"ALTMAN_Z_SCORE","FQ4 2018","FQ4 2018","Currency=INR","Period=FQ","BEST_FPERIOD_OVERRIDE=FQ","FILING_STATUS=OR","EQY_CONSOLIDATED=Y","Sort=A","Dates=H","DateFormat=P","Fill=—","Direction=H","UseDPDF=Y")</f>
        <v>#NAME?</v>
      </c>
      <c r="CW427" s="4" t="e">
        <f ca="1">_xll.BDH($C$403,"ACCT_RCV_TURN","FQ4 2018","FQ4 2018","Currency=INR","Period=FQ","BEST_FPERIOD_OVERRIDE=FQ","FILING_STATUS=OR","EQY_CONSOLIDATED=Y","FA_ADJUSTED=GAAP","Sort=A","Dates=H","DateFormat=P","Fill=—","Direction=H","UseDPDF=Y")</f>
        <v>#NAME?</v>
      </c>
      <c r="CX427" s="2" t="e">
        <f ca="1">_xll.BDH($C$403,"ACCT_RCV_DAYS","FQ4 2018","FQ4 2018","Currency=INR","Period=FQ","BEST_FPERIOD_OVERRIDE=FQ","FILING_STATUS=OR","EQY_CONSOLIDATED=Y","FA_ADJUSTED=GAAP","Sort=A","Dates=H","DateFormat=P","Fill=—","Direction=H","UseDPDF=Y")</f>
        <v>#NAME?</v>
      </c>
      <c r="CY427" s="4" t="e">
        <f ca="1">_xll.BDH($C$403,"INVENT_TURN","FQ4 2018","FQ4 2018","Currency=INR","Period=FQ","BEST_FPERIOD_OVERRIDE=FQ","FILING_STATUS=OR","EQY_CONSOLIDATED=Y","FA_ADJUSTED=GAAP","Sort=A","Dates=H","DateFormat=P","Fill=—","Direction=H","UseDPDF=Y")</f>
        <v>#NAME?</v>
      </c>
      <c r="CZ427" s="2" t="e">
        <f ca="1">_xll.BDH($C$403,"INVENT_DAYS","FQ4 2018","FQ4 2018","Currency=INR","Period=FQ","BEST_FPERIOD_OVERRIDE=FQ","FILING_STATUS=OR","EQY_CONSOLIDATED=Y","FA_ADJUSTED=GAAP","Sort=A","Dates=H","DateFormat=P","Fill=—","Direction=H","UseDPDF=Y")</f>
        <v>#NAME?</v>
      </c>
      <c r="DA427" s="4" t="e">
        <f ca="1">_xll.BDH($C$403,"ACCOUNTS_PAYABLE_TURNOVER","FQ4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27" s="2" t="e">
        <f ca="1">_xll.BDH($C$403,"ACCOUNTS_PAYABLE_TURNOVER_DAYS","FQ4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27" s="4" t="e">
        <f ca="1">_xll.BDH($C$403,"CASH_CONVERSION_CYCLE","FQ4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27" s="4" t="e">
        <f ca="1">_xll.BDH($C$403,"INV_TO_CASH_DAYS","FQ4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27" s="5" t="e">
        <f ca="1">_xll.BDH($C$403,"BS_INVENTORIES","FQ4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27" s="3" t="e">
        <f ca="1">_xll.BDH($C$403,"INVTRY_RAW_MATERIALS","FQ4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27" s="3" t="e">
        <f ca="1">_xll.BDH($C$403,"INVTRY_IN_PROGRESS","FQ4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27" s="3" t="e">
        <f ca="1">_xll.BDH($C$403,"INVTRY_FINISHED_GOODS","FQ4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27" s="3" t="e">
        <f ca="1">_xll.BDH($C$403,"BS_OTHER_INV","FQ4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28" spans="1:113" x14ac:dyDescent="0.3">
      <c r="A428" s="6">
        <v>93</v>
      </c>
      <c r="B428" s="6" t="s">
        <v>117</v>
      </c>
      <c r="C428" s="6" t="s">
        <v>118</v>
      </c>
      <c r="D428" s="6" t="s">
        <v>76</v>
      </c>
      <c r="E428" t="s">
        <v>77</v>
      </c>
      <c r="F428" t="e">
        <f ca="1">_xll.BDH($C$428,"RETURN_COM_EQY","FY 2014","FY 2014","Currency=INR","Period=FY","BEST_FPERIOD_OVERRIDE=FY","FILING_STATUS=OR","EQY_CONSOLIDATED=Y","FA_ADJUSTED=GAAP","Sort=A","Dates=H","DateFormat=P","Fill=—","Direction=H","UseDPDF=Y")</f>
        <v>#NAME?</v>
      </c>
      <c r="G428" t="e">
        <f ca="1">_xll.BDH($C$428,"RETURN_ON_ASSET","FY 2014","FY 2014","Currency=INR","Period=FY","BEST_FPERIOD_OVERRIDE=FY","FILING_STATUS=OR","EQY_CONSOLIDATED=Y","FA_ADJUSTED=GAAP","Sort=A","Dates=H","DateFormat=P","Fill=—","Direction=H","UseDPDF=Y")</f>
        <v>#NAME?</v>
      </c>
      <c r="H428" t="e">
        <f ca="1">_xll.BDH($C$428,"RETURN_ON_CAP","FY 2014","FY 2014","Currency=INR","Period=FY","BEST_FPERIOD_OVERRIDE=FY","FILING_STATUS=OR","EQY_CONSOLIDATED=Y","FA_ADJUSTED=GAAP","Sort=A","Dates=H","DateFormat=P","Fill=—","Direction=H","UseDPDF=Y")</f>
        <v>#NAME?</v>
      </c>
      <c r="I428" t="e">
        <f ca="1">_xll.BDH($C$428,"RETURN_ON_INV_CAPITAL","FY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28" t="e">
        <f ca="1">_xll.BDH($C$428,"EBITDA_TO_REVENUE","FY 2014","FY 2014","Currency=INR","Period=FY","BEST_FPERIOD_OVERRIDE=FY","FILING_STATUS=OR","EQY_CONSOLIDATED=Y","FA_ADJUSTED=GAAP","Sort=A","Dates=H","DateFormat=P","Fill=—","Direction=H","UseDPDF=Y")</f>
        <v>#NAME?</v>
      </c>
      <c r="K428" t="e">
        <f ca="1">_xll.BDH($C$428,"OPER_MARGIN","FY 2014","FY 2014","Currency=INR","Period=FY","BEST_FPERIOD_OVERRIDE=FY","FILING_STATUS=OR","EQY_CONSOLIDATED=Y","FA_ADJUSTED=GAAP","Sort=A","Dates=H","DateFormat=P","Fill=—","Direction=H","UseDPDF=Y")</f>
        <v>#NAME?</v>
      </c>
      <c r="L428" t="e">
        <f ca="1">_xll.BDH($C$428,"INCREMENTAL_OPERATING_MARGIN","FY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28" t="e">
        <f ca="1">_xll.BDH($C$428,"PRETAX_INC_TO_NET_SALES","FY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28" t="e">
        <f ca="1">_xll.BDH($C$428,"INC_BEF_XO_ITEMS_TO_NET_SALES","FY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28" t="e">
        <f ca="1">_xll.BDH($C$428,"PROF_MARGIN","FY 2014","FY 2014","Currency=INR","Period=FY","BEST_FPERIOD_OVERRIDE=FY","FILING_STATUS=OR","EQY_CONSOLIDATED=Y","FA_ADJUSTED=GAAP","Sort=A","Dates=H","DateFormat=P","Fill=—","Direction=H","UseDPDF=Y")</f>
        <v>#NAME?</v>
      </c>
      <c r="P428" t="e">
        <f ca="1">_xll.BDH($C$428,"NET_INCOME_TO_COMMON_MARGIN","FY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28" t="e">
        <f ca="1">_xll.BDH($C$428,"EFF_TAX_RATE","FY 2014","FY 2014","Currency=INR","Period=FY","BEST_FPERIOD_OVERRIDE=FY","FILING_STATUS=OR","EQY_CONSOLIDATED=Y","FA_ADJUSTED=GAAP","Sort=A","Dates=H","DateFormat=P","Fill=—","Direction=H","UseDPDF=Y")</f>
        <v>#NAME?</v>
      </c>
      <c r="R428" t="e">
        <f ca="1">_xll.BDH($C$428,"DVD_PAYOUT_RATIO","FY 2014","FY 2014","Currency=INR","Period=FY","BEST_FPERIOD_OVERRIDE=FY","FILING_STATUS=OR","EQY_CONSOLIDATED=Y","FA_ADJUSTED=GAAP","Sort=A","Dates=H","DateFormat=P","Fill=—","Direction=H","UseDPDF=Y")</f>
        <v>#NAME?</v>
      </c>
      <c r="S428" t="e">
        <f ca="1">_xll.BDH($C$428,"SUSTAIN_GROWTH_RT","FY 2014","FY 2014","Currency=INR","Period=FY","BEST_FPERIOD_OVERRIDE=FY","FILING_STATUS=OR","EQY_CONSOLIDATED=Y","FA_ADJUSTED=GAAP","Sort=A","Dates=H","DateFormat=P","Fill=—","Direction=H","UseDPDF=Y")</f>
        <v>#NAME?</v>
      </c>
      <c r="T428" s="2" t="e">
        <f ca="1">_xll.BDH($C$428,"SALES_GROWTH","FY 2014","FY 2014","Currency=INR","Period=FY","BEST_FPERIOD_OVERRIDE=FY","FILING_STATUS=OR","EQY_CONSOLIDATED=Y","FA_ADJUSTED=GAAP","Sort=A","Dates=H","DateFormat=P","Fill=—","Direction=H","UseDPDF=Y")</f>
        <v>#NAME?</v>
      </c>
      <c r="U428" s="2" t="e">
        <f ca="1">_xll.BDH($C$428,"EBITDA_GROWTH","FY 2014","FY 2014","Currency=INR","Period=FY","BEST_FPERIOD_OVERRIDE=FY","FILING_STATUS=OR","EQY_CONSOLIDATED=Y","FA_ADJUSTED=GAAP","Sort=A","Dates=H","DateFormat=P","Fill=—","Direction=H","UseDPDF=Y")</f>
        <v>#NAME?</v>
      </c>
      <c r="V428" s="2" t="e">
        <f ca="1">_xll.BDH($C$428,"OPER_INC_GROWTH","FY 2014","FY 2014","Currency=INR","Period=FY","BEST_FPERIOD_OVERRIDE=FY","FILING_STATUS=OR","EQY_CONSOLIDATED=Y","FA_ADJUSTED=GAAP","Sort=A","Dates=H","DateFormat=P","Fill=—","Direction=H","UseDPDF=Y")</f>
        <v>#NAME?</v>
      </c>
      <c r="W428" s="2" t="e">
        <f ca="1">_xll.BDH($C$428,"EARN_FOR_COM_GROWTH","FY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28" s="2" t="e">
        <f ca="1">_xll.BDH($C$428,"DILUTED_EPS_AFT_XO_ITEMS_GROWTH","FY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28" s="2" t="e">
        <f ca="1">_xll.BDH($C$428,"DIVIDEND_PER_SHARE_1_YEAR_GROWTH","FY 2014","FY 2014","Currency=INR","Period=FY","BEST_FPERIOD_OVERRIDE=FY","FILING_STATUS=OR","EQY_CONSOLIDATED=Y","Sort=A","Dates=H","DateFormat=P","Fill=—","Direction=H","UseDPDF=Y")</f>
        <v>#NAME?</v>
      </c>
      <c r="Z428" s="2" t="e">
        <f ca="1">_xll.BDH($C$428,"ACCOUNTS_RECEIVABLE_GROWTH","FY 2014","FY 2014","Currency=INR","Period=FY","BEST_FPERIOD_OVERRIDE=FY","FILING_STATUS=OR","EQY_CONSOLIDATED=Y","Sort=A","Dates=H","DateFormat=P","Fill=—","Direction=H","UseDPDF=Y")</f>
        <v>#NAME?</v>
      </c>
      <c r="AA428" s="2" t="e">
        <f ca="1">_xll.BDH($C$428,"INVENTORY_GROWTH","FY 2014","FY 2014","Currency=INR","Period=FY","BEST_FPERIOD_OVERRIDE=FY","FILING_STATUS=OR","EQY_CONSOLIDATED=Y","Sort=A","Dates=H","DateFormat=P","Fill=—","Direction=H","UseDPDF=Y")</f>
        <v>#NAME?</v>
      </c>
      <c r="AB428" s="2" t="e">
        <f ca="1">_xll.BDH($C$428,"NET_FIXED_ASSETS_1_YEAR_GROWTH","FY 2014","FY 2014","Currency=INR","Period=FY","BEST_FPERIOD_OVERRIDE=FY","FILING_STATUS=OR","EQY_CONSOLIDATED=Y","Sort=A","Dates=H","DateFormat=P","Fill=—","Direction=H","UseDPDF=Y")</f>
        <v>#NAME?</v>
      </c>
      <c r="AC428" s="2" t="e">
        <f ca="1">_xll.BDH($C$428,"ASSET_GROWTH","FY 2014","FY 2014","Currency=INR","Period=FY","BEST_FPERIOD_OVERRIDE=FY","FILING_STATUS=OR","EQY_CONSOLIDATED=Y","Sort=A","Dates=H","DateFormat=P","Fill=—","Direction=H","UseDPDF=Y")</f>
        <v>#NAME?</v>
      </c>
      <c r="AD428" s="2" t="e">
        <f ca="1">_xll.BDH($C$428,"MODIFIED_WORK_CAP_GROWTH","FY 2014","FY 2014","Currency=INR","Period=FY","BEST_FPERIOD_OVERRIDE=FY","FILING_STATUS=OR","EQY_CONSOLIDATED=Y","Sort=A","Dates=H","DateFormat=P","Fill=—","Direction=H","UseDPDF=Y")</f>
        <v>#NAME?</v>
      </c>
      <c r="AE428" s="2" t="e">
        <f ca="1">_xll.BDH($C$428,"WORK_CAP_GROWTH","FY 2014","FY 2014","Currency=INR","Period=FY","BEST_FPERIOD_OVERRIDE=FY","FILING_STATUS=OR","EQY_CONSOLIDATED=Y","Sort=A","Dates=H","DateFormat=P","Fill=—","Direction=H","UseDPDF=Y")</f>
        <v>#NAME?</v>
      </c>
      <c r="AF428" s="2" t="e">
        <f ca="1">_xll.BDH($C$428,"ACCOUNTS_PAYABLE_GROWTH_1YR","FY 2014","FY 2014","Currency=INR","Period=FY","BEST_FPERIOD_OVERRIDE=FY","FILING_STATUS=OR","EQY_CONSOLIDATED=Y","Sort=A","Dates=H","DateFormat=P","Fill=—","Direction=H","UseDPDF=Y")</f>
        <v>#NAME?</v>
      </c>
      <c r="AG428" s="2" t="e">
        <f ca="1">_xll.BDH($C$428,"SHORT_TERM_DEBT_1_YEAR_GROWTH","FY 2014","FY 2014","Currency=INR","Period=FY","BEST_FPERIOD_OVERRIDE=FY","FILING_STATUS=OR","EQY_CONSOLIDATED=Y","Sort=A","Dates=H","DateFormat=P","Fill=—","Direction=H","UseDPDF=Y")</f>
        <v>#NAME?</v>
      </c>
      <c r="AH428" s="2" t="e">
        <f ca="1">_xll.BDH($C$428,"TOTAL_DEBT_1_YEAR_GROWTH","FY 2014","FY 2014","Currency=INR","Period=FY","BEST_FPERIOD_OVERRIDE=FY","FILING_STATUS=OR","EQY_CONSOLIDATED=Y","Sort=A","Dates=H","DateFormat=P","Fill=—","Direction=H","UseDPDF=Y")</f>
        <v>#NAME?</v>
      </c>
      <c r="AI428" s="2" t="e">
        <f ca="1">_xll.BDH($C$428,"TOTAL_EQUITY_1_YEAR_GROWTH","FY 2014","FY 2014","Currency=INR","Period=FY","BEST_FPERIOD_OVERRIDE=FY","FILING_STATUS=OR","EQY_CONSOLIDATED=Y","Sort=A","Dates=H","DateFormat=P","Fill=—","Direction=H","UseDPDF=Y")</f>
        <v>#NAME?</v>
      </c>
      <c r="AJ428" s="2" t="e">
        <f ca="1">_xll.BDH($C$428,"GROWTH_IN_CAP","FY 2014","FY 2014","Currency=INR","Period=FY","BEST_FPERIOD_OVERRIDE=FY","FILING_STATUS=OR","EQY_CONSOLIDATED=Y","Sort=A","Dates=H","DateFormat=P","Fill=—","Direction=H","UseDPDF=Y")</f>
        <v>#NAME?</v>
      </c>
      <c r="AK428" s="2" t="e">
        <f ca="1">_xll.BDH($C$428,"BVPS_GROWTH","FY 2014","FY 2014","Currency=INR","Period=FY","BEST_FPERIOD_OVERRIDE=FY","FILING_STATUS=OR","EQY_CONSOLIDATED=Y","Sort=A","Dates=H","DateFormat=P","Fill=—","Direction=H","UseDPDF=Y")</f>
        <v>#NAME?</v>
      </c>
      <c r="AL428" s="2" t="e">
        <f ca="1">_xll.BDH($C$428,"CASH_FLOW_GROWTH","FY 2014","FY 2014","Currency=INR","Period=FY","BEST_FPERIOD_OVERRIDE=FY","FILING_STATUS=OR","EQY_CONSOLIDATED=Y","Sort=A","Dates=H","DateFormat=P","Fill=—","Direction=H","UseDPDF=Y")</f>
        <v>#NAME?</v>
      </c>
      <c r="AM428" s="2" t="e">
        <f ca="1">_xll.BDH($C$428,"GEO_GROW_NET_SALES","FY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28" s="2" t="e">
        <f ca="1">_xll.BDH($C$428,"GEO_GROW_EBITDA","FY 2014","FY 2014","Currency=INR","Period=FY","BEST_FPERIOD_OVERRIDE=FY","FILING_STATUS=OR","EQY_CONSOLIDATED=Y","FA_ADJUSTED=GAAP","Sort=A","Dates=H","DateFormat=P","Fill=—","Direction=H","UseDPDF=Y")</f>
        <v>#NAME?</v>
      </c>
      <c r="AO428" s="2" t="e">
        <f ca="1">_xll.BDH($C$428,"GEO_GROW_OPER_INC","FY 2014","FY 2014","Currency=INR","Period=FY","BEST_FPERIOD_OVERRIDE=FY","FILING_STATUS=OR","EQY_CONSOLIDATED=Y","FA_ADJUSTED=GAAP","Sort=A","Dates=H","DateFormat=P","Fill=—","Direction=H","UseDPDF=Y")</f>
        <v>#NAME?</v>
      </c>
      <c r="AP428" s="2" t="e">
        <f ca="1">_xll.BDH($C$428,"NET_INCOME_TO_COMMON_5_YR_GROWTH","FY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28" s="2" t="e">
        <f ca="1">_xll.BDH($C$428,"5Y_GEO_GROWTH_DILUTED_EPS","FY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28" s="2" t="e">
        <f ca="1">_xll.BDH($C$428,"GEO_GROW_DVD_PER_SH","FY 2014","FY 2014","Currency=INR","Period=FY","BEST_FPERIOD_OVERRIDE=FY","FILING_STATUS=OR","EQY_CONSOLIDATED=Y","Sort=A","Dates=H","DateFormat=P","Fill=—","Direction=H","UseDPDF=Y")</f>
        <v>#NAME?</v>
      </c>
      <c r="AS428" s="2" t="e">
        <f ca="1">_xll.BDH($C$428,"ACCOUNTS_RECEIVABLE_5_YR_GROWTH","FY 2014","FY 2014","Currency=INR","Period=FY","BEST_FPERIOD_OVERRIDE=FY","FILING_STATUS=OR","EQY_CONSOLIDATED=Y","Sort=A","Dates=H","DateFormat=P","Fill=—","Direction=H","UseDPDF=Y")</f>
        <v>#NAME?</v>
      </c>
      <c r="AT428" s="2" t="e">
        <f ca="1">_xll.BDH($C$428,"INVENTORY_5_YEAR_GROWTH","FY 2014","FY 2014","Currency=INR","Period=FY","BEST_FPERIOD_OVERRIDE=FY","FILING_STATUS=OR","EQY_CONSOLIDATED=Y","Sort=A","Dates=H","DateFormat=P","Fill=—","Direction=H","UseDPDF=Y")</f>
        <v>#NAME?</v>
      </c>
      <c r="AU428" s="2" t="e">
        <f ca="1">_xll.BDH($C$428,"NET_FIXED_ASSETS_5_YEAR_GROWTH","FY 2014","FY 2014","Currency=INR","Period=FY","BEST_FPERIOD_OVERRIDE=FY","FILING_STATUS=OR","EQY_CONSOLIDATED=Y","Sort=A","Dates=H","DateFormat=P","Fill=—","Direction=H","UseDPDF=Y")</f>
        <v>#NAME?</v>
      </c>
      <c r="AV428" s="2" t="e">
        <f ca="1">_xll.BDH($C$428,"GEO_GROW_TOT_ASSET","FY 2014","FY 2014","Currency=INR","Period=FY","BEST_FPERIOD_OVERRIDE=FY","FILING_STATUS=OR","EQY_CONSOLIDATED=Y","Sort=A","Dates=H","DateFormat=P","Fill=—","Direction=H","UseDPDF=Y")</f>
        <v>#NAME?</v>
      </c>
      <c r="AW428" s="2" t="e">
        <f ca="1">_xll.BDH($C$428,"MODIFIED_WORKING_CPTL_5YR_GRWTH","FY 2014","FY 2014","Currency=INR","Period=FY","BEST_FPERIOD_OVERRIDE=FY","FILING_STATUS=OR","EQY_CONSOLIDATED=Y","Sort=A","Dates=H","DateFormat=P","Fill=—","Direction=H","UseDPDF=Y")</f>
        <v>#NAME?</v>
      </c>
      <c r="AX428" s="2" t="e">
        <f ca="1">_xll.BDH($C$428,"WORKING_CAPITAL_5_YEAR_GROWTH","FY 2014","FY 2014","Currency=INR","Period=FY","BEST_FPERIOD_OVERRIDE=FY","FILING_STATUS=OR","EQY_CONSOLIDATED=Y","Sort=A","Dates=H","DateFormat=P","Fill=—","Direction=H","UseDPDF=Y")</f>
        <v>#NAME?</v>
      </c>
      <c r="AY428" s="2" t="e">
        <f ca="1">_xll.BDH($C$428,"ACCOUNTS_PAYABLE_5_YEAR_GROWTH","FY 2014","FY 2014","Currency=INR","Period=FY","BEST_FPERIOD_OVERRIDE=FY","FILING_STATUS=OR","EQY_CONSOLIDATED=Y","Sort=A","Dates=H","DateFormat=P","Fill=—","Direction=H","UseDPDF=Y")</f>
        <v>#NAME?</v>
      </c>
      <c r="AZ428" s="2" t="e">
        <f ca="1">_xll.BDH($C$428,"SHORT_TERM_DEBT_5_YEAR_GROWTH","FY 2014","FY 2014","Currency=INR","Period=FY","BEST_FPERIOD_OVERRIDE=FY","FILING_STATUS=OR","EQY_CONSOLIDATED=Y","Sort=A","Dates=H","DateFormat=P","Fill=—","Direction=H","UseDPDF=Y")</f>
        <v>#NAME?</v>
      </c>
      <c r="BA428" s="2" t="e">
        <f ca="1">_xll.BDH($C$428,"TOTAL_DEBT_5_YEAR_GROWTH","FY 2014","FY 2014","Currency=INR","Period=FY","BEST_FPERIOD_OVERRIDE=FY","FILING_STATUS=OR","EQY_CONSOLIDATED=Y","Sort=A","Dates=H","DateFormat=P","Fill=—","Direction=H","UseDPDF=Y")</f>
        <v>#NAME?</v>
      </c>
      <c r="BB428" s="2" t="e">
        <f ca="1">_xll.BDH($C$428,"GEO_GROW_TOT_SHRHLDR_EQY","FY 2014","FY 2014","Currency=INR","Period=FY","BEST_FPERIOD_OVERRIDE=FY","FILING_STATUS=OR","EQY_CONSOLIDATED=Y","Sort=A","Dates=H","DateFormat=P","Fill=—","Direction=H","UseDPDF=Y")</f>
        <v>#NAME?</v>
      </c>
      <c r="BC428" s="2" t="e">
        <f ca="1">_xll.BDH($C$428,"TOTAL_CAPITAL_5_YEAR_GROWTH","FY 2014","FY 2014","Currency=INR","Period=FY","BEST_FPERIOD_OVERRIDE=FY","FILING_STATUS=OR","EQY_CONSOLIDATED=Y","Sort=A","Dates=H","DateFormat=P","Fill=—","Direction=H","UseDPDF=Y")</f>
        <v>#NAME?</v>
      </c>
      <c r="BD428" s="2" t="e">
        <f ca="1">_xll.BDH($C$428,"GEO_GROW_BOOK_VAL","FY 2014","FY 2014","Currency=INR","Period=FY","BEST_FPERIOD_OVERRIDE=FY","FILING_STATUS=OR","EQY_CONSOLIDATED=Y","Sort=A","Dates=H","DateFormat=P","Fill=—","Direction=H","UseDPDF=Y")</f>
        <v>#NAME?</v>
      </c>
      <c r="BE428" s="2" t="e">
        <f ca="1">_xll.BDH($C$428,"GEO_GROW_CASH_OPER_ACT","FY 2014","FY 2014","Currency=INR","Period=FY","BEST_FPERIOD_OVERRIDE=FY","FILING_STATUS=OR","EQY_CONSOLIDATED=Y","Sort=A","Dates=H","DateFormat=P","Fill=—","Direction=H","UseDPDF=Y")</f>
        <v>#NAME?</v>
      </c>
      <c r="BF428" s="2" t="e">
        <f ca="1">_xll.BDH($C$428,"REVENUE_SEQUENTIAL_GROWTH","FY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28" s="2" t="e">
        <f ca="1">_xll.BDH($C$428,"EBITDA_SEQUENTIAL_GROWTH","FY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28" s="2" t="e">
        <f ca="1">_xll.BDH($C$428,"OPERATING_INCOME_SEQ_GROWTH","FY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28" s="2" t="e">
        <f ca="1">_xll.BDH($C$428,"NET_INCOME_TO_COMMON_SEQ_GROWTH","FY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28" s="2" t="e">
        <f ca="1">_xll.BDH($C$428,"EPS_DILUTED_SEQUENTIAL_GROWTH","FY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28" s="2" t="e">
        <f ca="1">_xll.BDH($C$428,"DPS_SEQUENTIAL_GROWTH","FY 2014","FY 2014","Currency=INR","Period=FY","BEST_FPERIOD_OVERRIDE=FY","FILING_STATUS=OR","EQY_CONSOLIDATED=Y","Sort=A","Dates=H","DateFormat=P","Fill=—","Direction=H","UseDPDF=Y")</f>
        <v>#NAME?</v>
      </c>
      <c r="BL428" s="2" t="e">
        <f ca="1">_xll.BDH($C$428,"ACCOUNTS_RECEIVABLE_SEQ_GROWTH","FY 2014","FY 2014","Currency=INR","Period=FY","BEST_FPERIOD_OVERRIDE=FY","FILING_STATUS=OR","EQY_CONSOLIDATED=Y","Sort=A","Dates=H","DateFormat=P","Fill=—","Direction=H","UseDPDF=Y")</f>
        <v>#NAME?</v>
      </c>
      <c r="BM428" s="2" t="e">
        <f ca="1">_xll.BDH($C$428,"INVENTORY_SEQUENTIAL_GROWTH","FY 2014","FY 2014","Currency=INR","Period=FY","BEST_FPERIOD_OVERRIDE=FY","FILING_STATUS=OR","EQY_CONSOLIDATED=Y","Sort=A","Dates=H","DateFormat=P","Fill=—","Direction=H","UseDPDF=Y")</f>
        <v>#NAME?</v>
      </c>
      <c r="BN428" s="2" t="e">
        <f ca="1">_xll.BDH($C$428,"FIXED_ASSETS_SEQUENTIAL_GROWTH","FY 2014","FY 2014","Currency=INR","Period=FY","BEST_FPERIOD_OVERRIDE=FY","FILING_STATUS=OR","EQY_CONSOLIDATED=Y","Sort=A","Dates=H","DateFormat=P","Fill=—","Direction=H","UseDPDF=Y")</f>
        <v>#NAME?</v>
      </c>
      <c r="BO428" s="2" t="e">
        <f ca="1">_xll.BDH($C$428,"TOTAL_ASSETS_SEQUENTIAL_GROWTH","FY 2014","FY 2014","Currency=INR","Period=FY","BEST_FPERIOD_OVERRIDE=FY","FILING_STATUS=OR","EQY_CONSOLIDATED=Y","Sort=A","Dates=H","DateFormat=P","Fill=—","Direction=H","UseDPDF=Y")</f>
        <v>#NAME?</v>
      </c>
      <c r="BP428" s="2" t="e">
        <f ca="1">_xll.BDH($C$428,"MODIFIED_WORKING_CPTL_SEQ_GRWTH","FY 2014","FY 2014","Currency=INR","Period=FY","BEST_FPERIOD_OVERRIDE=FY","FILING_STATUS=OR","EQY_CONSOLIDATED=Y","Sort=A","Dates=H","DateFormat=P","Fill=—","Direction=H","UseDPDF=Y")</f>
        <v>#NAME?</v>
      </c>
      <c r="BQ428" s="2" t="e">
        <f ca="1">_xll.BDH($C$428,"WORKING_CAPITAL_SEQ_GROWTH","FY 2014","FY 2014","Currency=INR","Period=FY","BEST_FPERIOD_OVERRIDE=FY","FILING_STATUS=OR","EQY_CONSOLIDATED=Y","Sort=A","Dates=H","DateFormat=P","Fill=—","Direction=H","UseDPDF=Y")</f>
        <v>#NAME?</v>
      </c>
      <c r="BR428" s="2" t="e">
        <f ca="1">_xll.BDH($C$428,"ACCOUNTS_PAYABLE_SEQ_GROWTH","FY 2014","FY 2014","Currency=INR","Period=FY","BEST_FPERIOD_OVERRIDE=FY","FILING_STATUS=OR","EQY_CONSOLIDATED=Y","Sort=A","Dates=H","DateFormat=P","Fill=—","Direction=H","UseDPDF=Y")</f>
        <v>#NAME?</v>
      </c>
      <c r="BS428" s="2" t="e">
        <f ca="1">_xll.BDH($C$428,"ST_DEBT_SEQUENTIAL_GROWTH","FY 2014","FY 2014","Currency=INR","Period=FY","BEST_FPERIOD_OVERRIDE=FY","FILING_STATUS=OR","EQY_CONSOLIDATED=Y","Sort=A","Dates=H","DateFormat=P","Fill=—","Direction=H","UseDPDF=Y")</f>
        <v>#NAME?</v>
      </c>
      <c r="BT428" s="2" t="e">
        <f ca="1">_xll.BDH($C$428,"TOTAL_DEBT_SEQUENTIAL_GROWTH","FY 2014","FY 2014","Currency=INR","Period=FY","BEST_FPERIOD_OVERRIDE=FY","FILING_STATUS=OR","EQY_CONSOLIDATED=Y","Sort=A","Dates=H","DateFormat=P","Fill=—","Direction=H","UseDPDF=Y")</f>
        <v>#NAME?</v>
      </c>
      <c r="BU428" s="2" t="e">
        <f ca="1">_xll.BDH($C$428,"TOTAL_EQUITY_SEQUENTIAL_GROWTH","FY 2014","FY 2014","Currency=INR","Period=FY","BEST_FPERIOD_OVERRIDE=FY","FILING_STATUS=OR","EQY_CONSOLIDATED=Y","Sort=A","Dates=H","DateFormat=P","Fill=—","Direction=H","UseDPDF=Y")</f>
        <v>#NAME?</v>
      </c>
      <c r="BV428" s="2" t="e">
        <f ca="1">_xll.BDH($C$428,"TOTAL_CAPITAL_SEQUENTIAL_GROWTH","FY 2014","FY 2014","Currency=INR","Period=FY","BEST_FPERIOD_OVERRIDE=FY","FILING_STATUS=OR","EQY_CONSOLIDATED=Y","Sort=A","Dates=H","DateFormat=P","Fill=—","Direction=H","UseDPDF=Y")</f>
        <v>#NAME?</v>
      </c>
      <c r="BW428" s="2" t="e">
        <f ca="1">_xll.BDH($C$428,"BPS_SEQUENTIAL_GROWTH","FY 2014","FY 2014","Currency=INR","Period=FY","BEST_FPERIOD_OVERRIDE=FY","FILING_STATUS=OR","EQY_CONSOLIDATED=Y","Sort=A","Dates=H","DateFormat=P","Fill=—","Direction=H","UseDPDF=Y")</f>
        <v>#NAME?</v>
      </c>
      <c r="BX428" s="2" t="e">
        <f ca="1">_xll.BDH($C$428,"CFO_SEQUENTIAL_GROWTH","FY 2014","FY 2014","Currency=INR","Period=FY","BEST_FPERIOD_OVERRIDE=FY","FILING_STATUS=OR","EQY_CONSOLIDATED=Y","Sort=A","Dates=H","DateFormat=P","Fill=—","Direction=H","UseDPDF=Y")</f>
        <v>#NAME?</v>
      </c>
      <c r="BY428" s="3" t="e">
        <f ca="1">_xll.BDH($C$428,"SHORT_AND_LONG_TERM_DEBT","FY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28" s="3" t="e">
        <f ca="1">_xll.BDH($C$428,"BS_ST_BORROW","FY 2014","FY 2014","Currency=INR","Period=FY","BEST_FPERIOD_OVERRIDE=FY","FILING_STATUS=OR","EQY_CONSOLIDATED=Y","SCALING_FORMAT=MLN","Sort=A","Dates=H","DateFormat=P","Fill=—","Direction=H","UseDPDF=Y")</f>
        <v>#NAME?</v>
      </c>
      <c r="CA428" s="3" t="e">
        <f ca="1">_xll.BDH($C$428,"BS_LT_BORROW","FY 2014","FY 2014","Currency=INR","Period=FY","BEST_FPERIOD_OVERRIDE=FY","FILING_STATUS=OR","EQY_CONSOLIDATED=Y","SCALING_FORMAT=MLN","Sort=A","Dates=H","DateFormat=P","Fill=—","Direction=H","UseDPDF=Y")</f>
        <v>#NAME?</v>
      </c>
      <c r="CB428" s="2" t="e">
        <f ca="1">_xll.BDH($C$428,"TOT_DEBT_TO_EBITDA","FY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28" s="2" t="e">
        <f ca="1">_xll.BDH($C$428,"NET_DEBT_TO_EBITDA","FY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28" s="2" t="e">
        <f ca="1">_xll.BDH($C$428,"TOTAL_DEBT_TO_EBIT","FY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28" s="2" t="e">
        <f ca="1">_xll.BDH($C$428,"NET_DEBT_TO_EBIT","FY 2014","FY 2014","Currency=INR","Period=FY","BEST_FPERIOD_OVERRIDE=FY","FILING_STATUS=OR","EQY_CONSOLIDATED=Y","FA_ADJUSTED=GAAP","Sort=A","Dates=H","DateFormat=P","Fill=—","Direction=H","UseDPDF=Y")</f>
        <v>#NAME?</v>
      </c>
      <c r="CF428" s="2" t="e">
        <f ca="1">_xll.BDH($C$428,"EBITDA_TO_INTEREST_EXPN","FY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28" s="2" t="e">
        <f ca="1">_xll.BDH($C$428,"COM_EQY_TO_TOT_ASSET","FY 2014","FY 2014","Currency=INR","Period=FY","BEST_FPERIOD_OVERRIDE=FY","FILING_STATUS=OR","EQY_CONSOLIDATED=Y","Sort=A","Dates=H","DateFormat=P","Fill=—","Direction=H","UseDPDF=Y")</f>
        <v>#NAME?</v>
      </c>
      <c r="CH428" s="2" t="e">
        <f ca="1">_xll.BDH($C$428,"LT_DEBT_TO_TOT_EQY","FY 2014","FY 2014","Currency=INR","Period=FY","BEST_FPERIOD_OVERRIDE=FY","FILING_STATUS=OR","EQY_CONSOLIDATED=Y","Sort=A","Dates=H","DateFormat=P","Fill=—","Direction=H","UseDPDF=Y")</f>
        <v>#NAME?</v>
      </c>
      <c r="CI428" s="2" t="e">
        <f ca="1">_xll.BDH($C$428,"LT_DEBT_TO_TOT_CAP","FY 2014","FY 2014","Currency=INR","Period=FY","BEST_FPERIOD_OVERRIDE=FY","FILING_STATUS=OR","EQY_CONSOLIDATED=Y","Sort=A","Dates=H","DateFormat=P","Fill=—","Direction=H","UseDPDF=Y")</f>
        <v>#NAME?</v>
      </c>
      <c r="CJ428" s="2" t="e">
        <f ca="1">_xll.BDH($C$428,"LT_DEBT_TO_TOT_ASSET","FY 2014","FY 2014","Currency=INR","Period=FY","BEST_FPERIOD_OVERRIDE=FY","FILING_STATUS=OR","EQY_CONSOLIDATED=Y","Sort=A","Dates=H","DateFormat=P","Fill=—","Direction=H","UseDPDF=Y")</f>
        <v>#NAME?</v>
      </c>
      <c r="CK428" s="2" t="e">
        <f ca="1">_xll.BDH($C$428,"TOT_DEBT_TO_TOT_EQY","FY 2014","FY 2014","Currency=INR","Period=FY","BEST_FPERIOD_OVERRIDE=FY","FILING_STATUS=OR","EQY_CONSOLIDATED=Y","Sort=A","Dates=H","DateFormat=P","Fill=—","Direction=H","UseDPDF=Y")</f>
        <v>#NAME?</v>
      </c>
      <c r="CL428" s="2" t="e">
        <f ca="1">_xll.BDH($C$428,"TOT_DEBT_TO_TOT_CAP","FY 2014","FY 2014","Currency=INR","Period=FY","BEST_FPERIOD_OVERRIDE=FY","FILING_STATUS=OR","EQY_CONSOLIDATED=Y","Sort=A","Dates=H","DateFormat=P","Fill=—","Direction=H","UseDPDF=Y")</f>
        <v>#NAME?</v>
      </c>
      <c r="CM428" s="2" t="e">
        <f ca="1">_xll.BDH($C$428,"TOT_DEBT_TO_TOT_ASSET","FY 2014","FY 2014","Currency=INR","Period=FY","BEST_FPERIOD_OVERRIDE=FY","FILING_STATUS=OR","EQY_CONSOLIDATED=Y","Sort=A","Dates=H","DateFormat=P","Fill=—","Direction=H","UseDPDF=Y")</f>
        <v>#NAME?</v>
      </c>
      <c r="CN428" s="2" t="e">
        <f ca="1">_xll.BDH($C$428,"NET_DEBT_TO_SHRHLDR_EQTY","FY 2014","FY 2014","Currency=INR","Period=FY","BEST_FPERIOD_OVERRIDE=FY","FILING_STATUS=OR","EQY_CONSOLIDATED=Y","Sort=A","Dates=H","DateFormat=P","Fill=—","Direction=H","UseDPDF=Y")</f>
        <v>#NAME?</v>
      </c>
      <c r="CO428" s="2" t="e">
        <f ca="1">_xll.BDH($C$428,"NET_DEBT_%_CAPITAL","FY 2014","FY 2014","Currency=INR","Period=FY","BEST_FPERIOD_OVERRIDE=FY","FILING_STATUS=OR","EQY_CONSOLIDATED=Y","Sort=A","Dates=H","DateFormat=P","Fill=—","Direction=H","UseDPDF=Y")</f>
        <v>#NAME?</v>
      </c>
      <c r="CP428" s="3" t="e">
        <f ca="1">_xll.BDH($C$428,"EBITDA","FY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28" s="3" t="e">
        <f ca="1">_xll.BDH($C$428,"EBITDA_AFTER_CAPEX","FY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28" s="3" t="e">
        <f ca="1">_xll.BDH($C$428,"IS_OPER_INC","FY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28" s="2" t="e">
        <f ca="1">_xll.BDH($C$428,"CASH_RATIO","FY 2014","FY 2014","Currency=INR","Period=FY","BEST_FPERIOD_OVERRIDE=FY","FILING_STATUS=OR","EQY_CONSOLIDATED=Y","Sort=A","Dates=H","DateFormat=P","Fill=—","Direction=H","UseDPDF=Y")</f>
        <v>#NAME?</v>
      </c>
      <c r="CT428" s="2" t="e">
        <f ca="1">_xll.BDH($C$428,"CUR_RATIO","FY 2014","FY 2014","Currency=INR","Period=FY","BEST_FPERIOD_OVERRIDE=FY","FILING_STATUS=OR","EQY_CONSOLIDATED=Y","Sort=A","Dates=H","DateFormat=P","Fill=—","Direction=H","UseDPDF=Y")</f>
        <v>#NAME?</v>
      </c>
      <c r="CU428" s="2" t="e">
        <f ca="1">_xll.BDH($C$428,"QUICK_RATIO","FY 2014","FY 2014","Currency=INR","Period=FY","BEST_FPERIOD_OVERRIDE=FY","FILING_STATUS=OR","EQY_CONSOLIDATED=Y","Sort=A","Dates=H","DateFormat=P","Fill=—","Direction=H","UseDPDF=Y")</f>
        <v>#NAME?</v>
      </c>
      <c r="CV428" s="2" t="e">
        <f ca="1">_xll.BDH($C$428,"ALTMAN_Z_SCORE","FY 2014","FY 2014","Currency=INR","Period=FY","BEST_FPERIOD_OVERRIDE=FY","FILING_STATUS=OR","EQY_CONSOLIDATED=Y","Sort=A","Dates=H","DateFormat=P","Fill=—","Direction=H","UseDPDF=Y")</f>
        <v>#NAME?</v>
      </c>
      <c r="CW428" s="4" t="e">
        <f ca="1">_xll.BDH($C$428,"ACCT_RCV_TURN","FY 2014","FY 2014","Currency=INR","Period=FY","BEST_FPERIOD_OVERRIDE=FY","FILING_STATUS=OR","EQY_CONSOLIDATED=Y","FA_ADJUSTED=GAAP","Sort=A","Dates=H","DateFormat=P","Fill=—","Direction=H","UseDPDF=Y")</f>
        <v>#NAME?</v>
      </c>
      <c r="CX428" s="2" t="e">
        <f ca="1">_xll.BDH($C$428,"ACCT_RCV_DAYS","FY 2014","FY 2014","Currency=INR","Period=FY","BEST_FPERIOD_OVERRIDE=FY","FILING_STATUS=OR","EQY_CONSOLIDATED=Y","FA_ADJUSTED=GAAP","Sort=A","Dates=H","DateFormat=P","Fill=—","Direction=H","UseDPDF=Y")</f>
        <v>#NAME?</v>
      </c>
      <c r="CY428" s="4" t="e">
        <f ca="1">_xll.BDH($C$428,"INVENT_TURN","FY 2014","FY 2014","Currency=INR","Period=FY","BEST_FPERIOD_OVERRIDE=FY","FILING_STATUS=OR","EQY_CONSOLIDATED=Y","FA_ADJUSTED=GAAP","Sort=A","Dates=H","DateFormat=P","Fill=—","Direction=H","UseDPDF=Y")</f>
        <v>#NAME?</v>
      </c>
      <c r="CZ428" s="2" t="e">
        <f ca="1">_xll.BDH($C$428,"INVENT_DAYS","FY 2014","FY 2014","Currency=INR","Period=FY","BEST_FPERIOD_OVERRIDE=FY","FILING_STATUS=OR","EQY_CONSOLIDATED=Y","FA_ADJUSTED=GAAP","Sort=A","Dates=H","DateFormat=P","Fill=—","Direction=H","UseDPDF=Y")</f>
        <v>#NAME?</v>
      </c>
      <c r="DA428" s="4" t="e">
        <f ca="1">_xll.BDH($C$428,"ACCOUNTS_PAYABLE_TURNOVER","FY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28" s="2" t="e">
        <f ca="1">_xll.BDH($C$428,"ACCOUNTS_PAYABLE_TURNOVER_DAYS","FY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28" s="4" t="e">
        <f ca="1">_xll.BDH($C$428,"CASH_CONVERSION_CYCLE","FY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28" s="4" t="e">
        <f ca="1">_xll.BDH($C$428,"INV_TO_CASH_DAYS","FY 2014","FY 2014","Currency=INR","Period=FY","BEST_FPERIOD_OVERRIDE=FY","FILING_STATUS=OR","EQY_CONSOLIDATED=Y","FA_ADJUSTED=GAAP","Sort=A","Dates=H","DateFormat=P","Fill=—","Direction=H","UseDPDF=Y")</f>
        <v>#NAME?</v>
      </c>
      <c r="DE428" s="5" t="e">
        <f ca="1">_xll.BDH($C$428,"BS_INVENTORIES","FY 2014","FY 2014","Currency=INR","Period=FY","BEST_FPERIOD_OVERRIDE=FY","FILING_STATUS=OR","EQY_CONSOLIDATED=Y","SCALING_FORMAT=MLN","Sort=A","Dates=H","DateFormat=P","Fill=—","Direction=H","UseDPDF=Y")</f>
        <v>#NAME?</v>
      </c>
      <c r="DF428" s="3" t="e">
        <f ca="1">_xll.BDH($C$428,"INVTRY_RAW_MATERIALS","FY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28" s="3" t="e">
        <f ca="1">_xll.BDH($C$428,"INVTRY_IN_PROGRESS","FY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28" s="3" t="e">
        <f ca="1">_xll.BDH($C$428,"INVTRY_FINISHED_GOODS","FY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28" s="3" t="e">
        <f ca="1">_xll.BDH($C$428,"BS_OTHER_INV","FY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29" spans="1:113" x14ac:dyDescent="0.3">
      <c r="A429" s="6"/>
      <c r="B429" s="6"/>
      <c r="C429" s="6"/>
      <c r="D429" s="6"/>
      <c r="E429" t="s">
        <v>78</v>
      </c>
      <c r="F429" t="e">
        <f ca="1">_xll.BDH($C$428,"RETURN_COM_EQY","FQ1 2014","FQ1 2014","Currency=INR","Period=FQ","BEST_FPERIOD_OVERRIDE=FQ","FILING_STATUS=OR","EQY_CONSOLIDATED=Y","FA_ADJUSTED=GAAP","Sort=A","Dates=H","DateFormat=P","Fill=—","Direction=H","UseDPDF=Y")</f>
        <v>#NAME?</v>
      </c>
      <c r="G429" t="e">
        <f ca="1">_xll.BDH($C$428,"RETURN_ON_ASSET","FQ1 2014","FQ1 2014","Currency=INR","Period=FQ","BEST_FPERIOD_OVERRIDE=FQ","FILING_STATUS=OR","EQY_CONSOLIDATED=Y","FA_ADJUSTED=GAAP","Sort=A","Dates=H","DateFormat=P","Fill=—","Direction=H","UseDPDF=Y")</f>
        <v>#NAME?</v>
      </c>
      <c r="H429" t="e">
        <f ca="1">_xll.BDH($C$428,"RETURN_ON_CAP","FQ1 2014","FQ1 2014","Currency=INR","Period=FQ","BEST_FPERIOD_OVERRIDE=FQ","FILING_STATUS=OR","EQY_CONSOLIDATED=Y","FA_ADJUSTED=GAAP","Sort=A","Dates=H","DateFormat=P","Fill=—","Direction=H","UseDPDF=Y")</f>
        <v>#NAME?</v>
      </c>
      <c r="I429" t="e">
        <f ca="1">_xll.BDH($C$428,"RETURN_ON_INV_CAPITAL","FQ1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29" t="e">
        <f ca="1">_xll.BDH($C$428,"EBITDA_TO_REVENUE","FQ1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29" t="e">
        <f ca="1">_xll.BDH($C$428,"OPER_MARGIN","FQ1 2014","FQ1 2014","Currency=INR","Period=FQ","BEST_FPERIOD_OVERRIDE=FQ","FILING_STATUS=OR","EQY_CONSOLIDATED=Y","FA_ADJUSTED=GAAP","Sort=A","Dates=H","DateFormat=P","Fill=—","Direction=H","UseDPDF=Y")</f>
        <v>#NAME?</v>
      </c>
      <c r="L429" t="e">
        <f ca="1">_xll.BDH($C$428,"INCREMENTAL_OPERATING_MARGIN","FQ1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29" t="e">
        <f ca="1">_xll.BDH($C$428,"PRETAX_INC_TO_NET_SALES","FQ1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29" t="e">
        <f ca="1">_xll.BDH($C$428,"INC_BEF_XO_ITEMS_TO_NET_SALES","FQ1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29" t="e">
        <f ca="1">_xll.BDH($C$428,"PROF_MARGIN","FQ1 2014","FQ1 2014","Currency=INR","Period=FQ","BEST_FPERIOD_OVERRIDE=FQ","FILING_STATUS=OR","EQY_CONSOLIDATED=Y","FA_ADJUSTED=GAAP","Sort=A","Dates=H","DateFormat=P","Fill=—","Direction=H","UseDPDF=Y")</f>
        <v>#NAME?</v>
      </c>
      <c r="P429" t="e">
        <f ca="1">_xll.BDH($C$428,"NET_INCOME_TO_COMMON_MARGIN","FQ1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29" t="e">
        <f ca="1">_xll.BDH($C$428,"EFF_TAX_RATE","FQ1 2014","FQ1 2014","Currency=INR","Period=FQ","BEST_FPERIOD_OVERRIDE=FQ","FILING_STATUS=OR","EQY_CONSOLIDATED=Y","FA_ADJUSTED=GAAP","Sort=A","Dates=H","DateFormat=P","Fill=—","Direction=H","UseDPDF=Y")</f>
        <v>#NAME?</v>
      </c>
      <c r="R429" t="e">
        <f ca="1">_xll.BDH($C$428,"DVD_PAYOUT_RATIO","FQ1 2014","FQ1 2014","Currency=INR","Period=FQ","BEST_FPERIOD_OVERRIDE=FQ","FILING_STATUS=OR","EQY_CONSOLIDATED=Y","FA_ADJUSTED=GAAP","Sort=A","Dates=H","DateFormat=P","Fill=—","Direction=H","UseDPDF=Y")</f>
        <v>#NAME?</v>
      </c>
      <c r="S429" t="e">
        <f ca="1">_xll.BDH($C$428,"SUSTAIN_GROWTH_RT","FQ1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29" s="2" t="e">
        <f ca="1">_xll.BDH($C$428,"SALES_GROWTH","FQ1 2014","FQ1 2014","Currency=INR","Period=FQ","BEST_FPERIOD_OVERRIDE=FQ","FILING_STATUS=OR","EQY_CONSOLIDATED=Y","FA_ADJUSTED=GAAP","Sort=A","Dates=H","DateFormat=P","Fill=—","Direction=H","UseDPDF=Y")</f>
        <v>#NAME?</v>
      </c>
      <c r="U429" s="2" t="e">
        <f ca="1">_xll.BDH($C$428,"EBITDA_GROWTH","FQ1 2014","FQ1 2014","Currency=INR","Period=FQ","BEST_FPERIOD_OVERRIDE=FQ","FILING_STATUS=OR","EQY_CONSOLIDATED=Y","FA_ADJUSTED=GAAP","Sort=A","Dates=H","DateFormat=P","Fill=—","Direction=H","UseDPDF=Y")</f>
        <v>#NAME?</v>
      </c>
      <c r="V429" s="2" t="e">
        <f ca="1">_xll.BDH($C$428,"OPER_INC_GROWTH","FQ1 2014","FQ1 2014","Currency=INR","Period=FQ","BEST_FPERIOD_OVERRIDE=FQ","FILING_STATUS=OR","EQY_CONSOLIDATED=Y","FA_ADJUSTED=GAAP","Sort=A","Dates=H","DateFormat=P","Fill=—","Direction=H","UseDPDF=Y")</f>
        <v>#NAME?</v>
      </c>
      <c r="W429" s="2" t="e">
        <f ca="1">_xll.BDH($C$428,"EARN_FOR_COM_GROWTH","FQ1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29" s="2" t="e">
        <f ca="1">_xll.BDH($C$428,"DILUTED_EPS_AFT_XO_ITEMS_GROWTH","FQ1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29" s="2" t="e">
        <f ca="1">_xll.BDH($C$428,"DIVIDEND_PER_SHARE_1_YEAR_GROWTH","FQ1 2014","FQ1 2014","Currency=INR","Period=FQ","BEST_FPERIOD_OVERRIDE=FQ","FILING_STATUS=OR","EQY_CONSOLIDATED=Y","Sort=A","Dates=H","DateFormat=P","Fill=—","Direction=H","UseDPDF=Y")</f>
        <v>#NAME?</v>
      </c>
      <c r="Z429" s="2" t="e">
        <f ca="1">_xll.BDH($C$428,"ACCOUNTS_RECEIVABLE_GROWTH","FQ1 2014","FQ1 2014","Currency=INR","Period=FQ","BEST_FPERIOD_OVERRIDE=FQ","FILING_STATUS=OR","EQY_CONSOLIDATED=Y","Sort=A","Dates=H","DateFormat=P","Fill=—","Direction=H","UseDPDF=Y")</f>
        <v>#NAME?</v>
      </c>
      <c r="AA429" s="2" t="e">
        <f ca="1">_xll.BDH($C$428,"INVENTORY_GROWTH","FQ1 2014","FQ1 2014","Currency=INR","Period=FQ","BEST_FPERIOD_OVERRIDE=FQ","FILING_STATUS=OR","EQY_CONSOLIDATED=Y","Sort=A","Dates=H","DateFormat=P","Fill=—","Direction=H","UseDPDF=Y")</f>
        <v>#NAME?</v>
      </c>
      <c r="AB429" s="2" t="e">
        <f ca="1">_xll.BDH($C$428,"NET_FIXED_ASSETS_1_YEAR_GROWTH","FQ1 2014","FQ1 2014","Currency=INR","Period=FQ","BEST_FPERIOD_OVERRIDE=FQ","FILING_STATUS=OR","EQY_CONSOLIDATED=Y","Sort=A","Dates=H","DateFormat=P","Fill=—","Direction=H","UseDPDF=Y")</f>
        <v>#NAME?</v>
      </c>
      <c r="AC429" s="2" t="e">
        <f ca="1">_xll.BDH($C$428,"ASSET_GROWTH","FQ1 2014","FQ1 2014","Currency=INR","Period=FQ","BEST_FPERIOD_OVERRIDE=FQ","FILING_STATUS=OR","EQY_CONSOLIDATED=Y","Sort=A","Dates=H","DateFormat=P","Fill=—","Direction=H","UseDPDF=Y")</f>
        <v>#NAME?</v>
      </c>
      <c r="AD429" s="2" t="e">
        <f ca="1">_xll.BDH($C$428,"MODIFIED_WORK_CAP_GROWTH","FQ1 2014","FQ1 2014","Currency=INR","Period=FQ","BEST_FPERIOD_OVERRIDE=FQ","FILING_STATUS=OR","EQY_CONSOLIDATED=Y","Sort=A","Dates=H","DateFormat=P","Fill=—","Direction=H","UseDPDF=Y")</f>
        <v>#NAME?</v>
      </c>
      <c r="AE429" s="2" t="e">
        <f ca="1">_xll.BDH($C$428,"WORK_CAP_GROWTH","FQ1 2014","FQ1 2014","Currency=INR","Period=FQ","BEST_FPERIOD_OVERRIDE=FQ","FILING_STATUS=OR","EQY_CONSOLIDATED=Y","Sort=A","Dates=H","DateFormat=P","Fill=—","Direction=H","UseDPDF=Y")</f>
        <v>#NAME?</v>
      </c>
      <c r="AF429" s="2" t="e">
        <f ca="1">_xll.BDH($C$428,"ACCOUNTS_PAYABLE_GROWTH_1YR","FQ1 2014","FQ1 2014","Currency=INR","Period=FQ","BEST_FPERIOD_OVERRIDE=FQ","FILING_STATUS=OR","EQY_CONSOLIDATED=Y","Sort=A","Dates=H","DateFormat=P","Fill=—","Direction=H","UseDPDF=Y")</f>
        <v>#NAME?</v>
      </c>
      <c r="AG429" s="2" t="e">
        <f ca="1">_xll.BDH($C$428,"SHORT_TERM_DEBT_1_YEAR_GROWTH","FQ1 2014","FQ1 2014","Currency=INR","Period=FQ","BEST_FPERIOD_OVERRIDE=FQ","FILING_STATUS=OR","EQY_CONSOLIDATED=Y","Sort=A","Dates=H","DateFormat=P","Fill=—","Direction=H","UseDPDF=Y")</f>
        <v>#NAME?</v>
      </c>
      <c r="AH429" s="2" t="e">
        <f ca="1">_xll.BDH($C$428,"TOTAL_DEBT_1_YEAR_GROWTH","FQ1 2014","FQ1 2014","Currency=INR","Period=FQ","BEST_FPERIOD_OVERRIDE=FQ","FILING_STATUS=OR","EQY_CONSOLIDATED=Y","Sort=A","Dates=H","DateFormat=P","Fill=—","Direction=H","UseDPDF=Y")</f>
        <v>#NAME?</v>
      </c>
      <c r="AI429" s="2" t="e">
        <f ca="1">_xll.BDH($C$428,"TOTAL_EQUITY_1_YEAR_GROWTH","FQ1 2014","FQ1 2014","Currency=INR","Period=FQ","BEST_FPERIOD_OVERRIDE=FQ","FILING_STATUS=OR","EQY_CONSOLIDATED=Y","Sort=A","Dates=H","DateFormat=P","Fill=—","Direction=H","UseDPDF=Y")</f>
        <v>#NAME?</v>
      </c>
      <c r="AJ429" s="2" t="e">
        <f ca="1">_xll.BDH($C$428,"GROWTH_IN_CAP","FQ1 2014","FQ1 2014","Currency=INR","Period=FQ","BEST_FPERIOD_OVERRIDE=FQ","FILING_STATUS=OR","EQY_CONSOLIDATED=Y","Sort=A","Dates=H","DateFormat=P","Fill=—","Direction=H","UseDPDF=Y")</f>
        <v>#NAME?</v>
      </c>
      <c r="AK429" s="2" t="e">
        <f ca="1">_xll.BDH($C$428,"BVPS_GROWTH","FQ1 2014","FQ1 2014","Currency=INR","Period=FQ","BEST_FPERIOD_OVERRIDE=FQ","FILING_STATUS=OR","EQY_CONSOLIDATED=Y","Sort=A","Dates=H","DateFormat=P","Fill=—","Direction=H","UseDPDF=Y")</f>
        <v>#NAME?</v>
      </c>
      <c r="AL429" s="2" t="e">
        <f ca="1">_xll.BDH($C$428,"CASH_FLOW_GROWTH","FQ1 2014","FQ1 2014","Currency=INR","Period=FQ","BEST_FPERIOD_OVERRIDE=FQ","FILING_STATUS=OR","EQY_CONSOLIDATED=Y","Sort=A","Dates=H","DateFormat=P","Fill=—","Direction=H","UseDPDF=Y")</f>
        <v>#NAME?</v>
      </c>
      <c r="AM429" s="2" t="e">
        <f ca="1">_xll.BDH($C$428,"GEO_GROW_NET_SALES","FQ1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29" s="2" t="e">
        <f ca="1">_xll.BDH($C$428,"GEO_GROW_EBITDA","FQ1 2014","FQ1 2014","Currency=INR","Period=FQ","BEST_FPERIOD_OVERRIDE=FQ","FILING_STATUS=OR","EQY_CONSOLIDATED=Y","FA_ADJUSTED=GAAP","Sort=A","Dates=H","DateFormat=P","Fill=—","Direction=H","UseDPDF=Y")</f>
        <v>#NAME?</v>
      </c>
      <c r="AO429" s="2" t="e">
        <f ca="1">_xll.BDH($C$428,"GEO_GROW_OPER_INC","FQ1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29" s="2" t="e">
        <f ca="1">_xll.BDH($C$428,"NET_INCOME_TO_COMMON_5_YR_GROWTH","FQ1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29" s="2" t="e">
        <f ca="1">_xll.BDH($C$428,"5Y_GEO_GROWTH_DILUTED_EPS","FQ1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29" s="2" t="e">
        <f ca="1">_xll.BDH($C$428,"GEO_GROW_DVD_PER_SH","FQ1 2014","FQ1 2014","Currency=INR","Period=FQ","BEST_FPERIOD_OVERRIDE=FQ","FILING_STATUS=OR","EQY_CONSOLIDATED=Y","Sort=A","Dates=H","DateFormat=P","Fill=—","Direction=H","UseDPDF=Y")</f>
        <v>#NAME?</v>
      </c>
      <c r="AS429" s="2" t="e">
        <f ca="1">_xll.BDH($C$428,"ACCOUNTS_RECEIVABLE_5_YR_GROWTH","FQ1 2014","FQ1 2014","Currency=INR","Period=FQ","BEST_FPERIOD_OVERRIDE=FQ","FILING_STATUS=OR","EQY_CONSOLIDATED=Y","Sort=A","Dates=H","DateFormat=P","Fill=—","Direction=H","UseDPDF=Y")</f>
        <v>#NAME?</v>
      </c>
      <c r="AT429" s="2" t="e">
        <f ca="1">_xll.BDH($C$428,"INVENTORY_5_YEAR_GROWTH","FQ1 2014","FQ1 2014","Currency=INR","Period=FQ","BEST_FPERIOD_OVERRIDE=FQ","FILING_STATUS=OR","EQY_CONSOLIDATED=Y","Sort=A","Dates=H","DateFormat=P","Fill=—","Direction=H","UseDPDF=Y")</f>
        <v>#NAME?</v>
      </c>
      <c r="AU429" s="2" t="e">
        <f ca="1">_xll.BDH($C$428,"NET_FIXED_ASSETS_5_YEAR_GROWTH","FQ1 2014","FQ1 2014","Currency=INR","Period=FQ","BEST_FPERIOD_OVERRIDE=FQ","FILING_STATUS=OR","EQY_CONSOLIDATED=Y","Sort=A","Dates=H","DateFormat=P","Fill=—","Direction=H","UseDPDF=Y")</f>
        <v>#NAME?</v>
      </c>
      <c r="AV429" s="2" t="e">
        <f ca="1">_xll.BDH($C$428,"GEO_GROW_TOT_ASSET","FQ1 2014","FQ1 2014","Currency=INR","Period=FQ","BEST_FPERIOD_OVERRIDE=FQ","FILING_STATUS=OR","EQY_CONSOLIDATED=Y","Sort=A","Dates=H","DateFormat=P","Fill=—","Direction=H","UseDPDF=Y")</f>
        <v>#NAME?</v>
      </c>
      <c r="AW429" s="2" t="e">
        <f ca="1">_xll.BDH($C$428,"MODIFIED_WORKING_CPTL_5YR_GRWTH","FQ1 2014","FQ1 2014","Currency=INR","Period=FQ","BEST_FPERIOD_OVERRIDE=FQ","FILING_STATUS=OR","EQY_CONSOLIDATED=Y","Sort=A","Dates=H","DateFormat=P","Fill=—","Direction=H","UseDPDF=Y")</f>
        <v>#NAME?</v>
      </c>
      <c r="AX429" s="2" t="e">
        <f ca="1">_xll.BDH($C$428,"WORKING_CAPITAL_5_YEAR_GROWTH","FQ1 2014","FQ1 2014","Currency=INR","Period=FQ","BEST_FPERIOD_OVERRIDE=FQ","FILING_STATUS=OR","EQY_CONSOLIDATED=Y","Sort=A","Dates=H","DateFormat=P","Fill=—","Direction=H","UseDPDF=Y")</f>
        <v>#NAME?</v>
      </c>
      <c r="AY429" s="2" t="e">
        <f ca="1">_xll.BDH($C$428,"ACCOUNTS_PAYABLE_5_YEAR_GROWTH","FQ1 2014","FQ1 2014","Currency=INR","Period=FQ","BEST_FPERIOD_OVERRIDE=FQ","FILING_STATUS=OR","EQY_CONSOLIDATED=Y","Sort=A","Dates=H","DateFormat=P","Fill=—","Direction=H","UseDPDF=Y")</f>
        <v>#NAME?</v>
      </c>
      <c r="AZ429" s="2" t="e">
        <f ca="1">_xll.BDH($C$428,"SHORT_TERM_DEBT_5_YEAR_GROWTH","FQ1 2014","FQ1 2014","Currency=INR","Period=FQ","BEST_FPERIOD_OVERRIDE=FQ","FILING_STATUS=OR","EQY_CONSOLIDATED=Y","Sort=A","Dates=H","DateFormat=P","Fill=—","Direction=H","UseDPDF=Y")</f>
        <v>#NAME?</v>
      </c>
      <c r="BA429" s="2" t="e">
        <f ca="1">_xll.BDH($C$428,"TOTAL_DEBT_5_YEAR_GROWTH","FQ1 2014","FQ1 2014","Currency=INR","Period=FQ","BEST_FPERIOD_OVERRIDE=FQ","FILING_STATUS=OR","EQY_CONSOLIDATED=Y","Sort=A","Dates=H","DateFormat=P","Fill=—","Direction=H","UseDPDF=Y")</f>
        <v>#NAME?</v>
      </c>
      <c r="BB429" s="2" t="e">
        <f ca="1">_xll.BDH($C$428,"GEO_GROW_TOT_SHRHLDR_EQY","FQ1 2014","FQ1 2014","Currency=INR","Period=FQ","BEST_FPERIOD_OVERRIDE=FQ","FILING_STATUS=OR","EQY_CONSOLIDATED=Y","Sort=A","Dates=H","DateFormat=P","Fill=—","Direction=H","UseDPDF=Y")</f>
        <v>#NAME?</v>
      </c>
      <c r="BC429" s="2" t="e">
        <f ca="1">_xll.BDH($C$428,"TOTAL_CAPITAL_5_YEAR_GROWTH","FQ1 2014","FQ1 2014","Currency=INR","Period=FQ","BEST_FPERIOD_OVERRIDE=FQ","FILING_STATUS=OR","EQY_CONSOLIDATED=Y","Sort=A","Dates=H","DateFormat=P","Fill=—","Direction=H","UseDPDF=Y")</f>
        <v>#NAME?</v>
      </c>
      <c r="BD429" s="2" t="e">
        <f ca="1">_xll.BDH($C$428,"GEO_GROW_BOOK_VAL","FQ1 2014","FQ1 2014","Currency=INR","Period=FQ","BEST_FPERIOD_OVERRIDE=FQ","FILING_STATUS=OR","EQY_CONSOLIDATED=Y","Sort=A","Dates=H","DateFormat=P","Fill=—","Direction=H","UseDPDF=Y")</f>
        <v>#NAME?</v>
      </c>
      <c r="BE429" s="2" t="e">
        <f ca="1">_xll.BDH($C$428,"GEO_GROW_CASH_OPER_ACT","FQ1 2014","FQ1 2014","Currency=INR","Period=FQ","BEST_FPERIOD_OVERRIDE=FQ","FILING_STATUS=OR","EQY_CONSOLIDATED=Y","Sort=A","Dates=H","DateFormat=P","Fill=—","Direction=H","UseDPDF=Y")</f>
        <v>#NAME?</v>
      </c>
      <c r="BF429" s="2" t="e">
        <f ca="1">_xll.BDH($C$428,"REVENUE_SEQUENTIAL_GROWTH","FQ1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29" s="2" t="e">
        <f ca="1">_xll.BDH($C$428,"EBITDA_SEQUENTIAL_GROWTH","FQ1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29" s="2" t="e">
        <f ca="1">_xll.BDH($C$428,"OPERATING_INCOME_SEQ_GROWTH","FQ1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29" s="2" t="e">
        <f ca="1">_xll.BDH($C$428,"NET_INCOME_TO_COMMON_SEQ_GROWTH","FQ1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29" s="2" t="e">
        <f ca="1">_xll.BDH($C$428,"EPS_DILUTED_SEQUENTIAL_GROWTH","FQ1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29" s="2" t="e">
        <f ca="1">_xll.BDH($C$428,"DPS_SEQUENTIAL_GROWTH","FQ1 2014","FQ1 2014","Currency=INR","Period=FQ","BEST_FPERIOD_OVERRIDE=FQ","FILING_STATUS=OR","EQY_CONSOLIDATED=Y","Sort=A","Dates=H","DateFormat=P","Fill=—","Direction=H","UseDPDF=Y")</f>
        <v>#NAME?</v>
      </c>
      <c r="BL429" s="2" t="e">
        <f ca="1">_xll.BDH($C$428,"ACCOUNTS_RECEIVABLE_SEQ_GROWTH","FQ1 2014","FQ1 2014","Currency=INR","Period=FQ","BEST_FPERIOD_OVERRIDE=FQ","FILING_STATUS=OR","EQY_CONSOLIDATED=Y","Sort=A","Dates=H","DateFormat=P","Fill=—","Direction=H","UseDPDF=Y")</f>
        <v>#NAME?</v>
      </c>
      <c r="BM429" s="2" t="e">
        <f ca="1">_xll.BDH($C$428,"INVENTORY_SEQUENTIAL_GROWTH","FQ1 2014","FQ1 2014","Currency=INR","Period=FQ","BEST_FPERIOD_OVERRIDE=FQ","FILING_STATUS=OR","EQY_CONSOLIDATED=Y","Sort=A","Dates=H","DateFormat=P","Fill=—","Direction=H","UseDPDF=Y")</f>
        <v>#NAME?</v>
      </c>
      <c r="BN429" s="2" t="e">
        <f ca="1">_xll.BDH($C$428,"FIXED_ASSETS_SEQUENTIAL_GROWTH","FQ1 2014","FQ1 2014","Currency=INR","Period=FQ","BEST_FPERIOD_OVERRIDE=FQ","FILING_STATUS=OR","EQY_CONSOLIDATED=Y","Sort=A","Dates=H","DateFormat=P","Fill=—","Direction=H","UseDPDF=Y")</f>
        <v>#NAME?</v>
      </c>
      <c r="BO429" s="2" t="e">
        <f ca="1">_xll.BDH($C$428,"TOTAL_ASSETS_SEQUENTIAL_GROWTH","FQ1 2014","FQ1 2014","Currency=INR","Period=FQ","BEST_FPERIOD_OVERRIDE=FQ","FILING_STATUS=OR","EQY_CONSOLIDATED=Y","Sort=A","Dates=H","DateFormat=P","Fill=—","Direction=H","UseDPDF=Y")</f>
        <v>#NAME?</v>
      </c>
      <c r="BP429" s="2" t="e">
        <f ca="1">_xll.BDH($C$428,"MODIFIED_WORKING_CPTL_SEQ_GRWTH","FQ1 2014","FQ1 2014","Currency=INR","Period=FQ","BEST_FPERIOD_OVERRIDE=FQ","FILING_STATUS=OR","EQY_CONSOLIDATED=Y","Sort=A","Dates=H","DateFormat=P","Fill=—","Direction=H","UseDPDF=Y")</f>
        <v>#NAME?</v>
      </c>
      <c r="BQ429" s="2" t="e">
        <f ca="1">_xll.BDH($C$428,"WORKING_CAPITAL_SEQ_GROWTH","FQ1 2014","FQ1 2014","Currency=INR","Period=FQ","BEST_FPERIOD_OVERRIDE=FQ","FILING_STATUS=OR","EQY_CONSOLIDATED=Y","Sort=A","Dates=H","DateFormat=P","Fill=—","Direction=H","UseDPDF=Y")</f>
        <v>#NAME?</v>
      </c>
      <c r="BR429" s="2" t="e">
        <f ca="1">_xll.BDH($C$428,"ACCOUNTS_PAYABLE_SEQ_GROWTH","FQ1 2014","FQ1 2014","Currency=INR","Period=FQ","BEST_FPERIOD_OVERRIDE=FQ","FILING_STATUS=OR","EQY_CONSOLIDATED=Y","Sort=A","Dates=H","DateFormat=P","Fill=—","Direction=H","UseDPDF=Y")</f>
        <v>#NAME?</v>
      </c>
      <c r="BS429" s="2" t="e">
        <f ca="1">_xll.BDH($C$428,"ST_DEBT_SEQUENTIAL_GROWTH","FQ1 2014","FQ1 2014","Currency=INR","Period=FQ","BEST_FPERIOD_OVERRIDE=FQ","FILING_STATUS=OR","EQY_CONSOLIDATED=Y","Sort=A","Dates=H","DateFormat=P","Fill=—","Direction=H","UseDPDF=Y")</f>
        <v>#NAME?</v>
      </c>
      <c r="BT429" s="2" t="e">
        <f ca="1">_xll.BDH($C$428,"TOTAL_DEBT_SEQUENTIAL_GROWTH","FQ1 2014","FQ1 2014","Currency=INR","Period=FQ","BEST_FPERIOD_OVERRIDE=FQ","FILING_STATUS=OR","EQY_CONSOLIDATED=Y","Sort=A","Dates=H","DateFormat=P","Fill=—","Direction=H","UseDPDF=Y")</f>
        <v>#NAME?</v>
      </c>
      <c r="BU429" s="2" t="e">
        <f ca="1">_xll.BDH($C$428,"TOTAL_EQUITY_SEQUENTIAL_GROWTH","FQ1 2014","FQ1 2014","Currency=INR","Period=FQ","BEST_FPERIOD_OVERRIDE=FQ","FILING_STATUS=OR","EQY_CONSOLIDATED=Y","Sort=A","Dates=H","DateFormat=P","Fill=—","Direction=H","UseDPDF=Y")</f>
        <v>#NAME?</v>
      </c>
      <c r="BV429" s="2" t="e">
        <f ca="1">_xll.BDH($C$428,"TOTAL_CAPITAL_SEQUENTIAL_GROWTH","FQ1 2014","FQ1 2014","Currency=INR","Period=FQ","BEST_FPERIOD_OVERRIDE=FQ","FILING_STATUS=OR","EQY_CONSOLIDATED=Y","Sort=A","Dates=H","DateFormat=P","Fill=—","Direction=H","UseDPDF=Y")</f>
        <v>#NAME?</v>
      </c>
      <c r="BW429" s="2" t="e">
        <f ca="1">_xll.BDH($C$428,"BPS_SEQUENTIAL_GROWTH","FQ1 2014","FQ1 2014","Currency=INR","Period=FQ","BEST_FPERIOD_OVERRIDE=FQ","FILING_STATUS=OR","EQY_CONSOLIDATED=Y","Sort=A","Dates=H","DateFormat=P","Fill=—","Direction=H","UseDPDF=Y")</f>
        <v>#NAME?</v>
      </c>
      <c r="BX429" s="2" t="e">
        <f ca="1">_xll.BDH($C$428,"CFO_SEQUENTIAL_GROWTH","FQ1 2014","FQ1 2014","Currency=INR","Period=FQ","BEST_FPERIOD_OVERRIDE=FQ","FILING_STATUS=OR","EQY_CONSOLIDATED=Y","Sort=A","Dates=H","DateFormat=P","Fill=—","Direction=H","UseDPDF=Y")</f>
        <v>#NAME?</v>
      </c>
      <c r="BY429" s="3" t="e">
        <f ca="1">_xll.BDH($C$428,"SHORT_AND_LONG_TERM_DEBT","FQ1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29" s="3" t="e">
        <f ca="1">_xll.BDH($C$428,"BS_ST_BORROW","FQ1 2014","FQ1 2014","Currency=INR","Period=FQ","BEST_FPERIOD_OVERRIDE=FQ","FILING_STATUS=OR","EQY_CONSOLIDATED=Y","SCALING_FORMAT=MLN","Sort=A","Dates=H","DateFormat=P","Fill=—","Direction=H","UseDPDF=Y")</f>
        <v>#NAME?</v>
      </c>
      <c r="CA429" s="3" t="e">
        <f ca="1">_xll.BDH($C$428,"BS_LT_BORROW","FQ1 2014","FQ1 2014","Currency=INR","Period=FQ","BEST_FPERIOD_OVERRIDE=FQ","FILING_STATUS=OR","EQY_CONSOLIDATED=Y","SCALING_FORMAT=MLN","Sort=A","Dates=H","DateFormat=P","Fill=—","Direction=H","UseDPDF=Y")</f>
        <v>#NAME?</v>
      </c>
      <c r="CB429" s="2" t="e">
        <f ca="1">_xll.BDH($C$428,"TOT_DEBT_TO_EBITDA","FQ1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29" s="2" t="e">
        <f ca="1">_xll.BDH($C$428,"NET_DEBT_TO_EBITDA","FQ1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29" s="2" t="e">
        <f ca="1">_xll.BDH($C$428,"TOTAL_DEBT_TO_EBIT","FQ1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29" s="2" t="e">
        <f ca="1">_xll.BDH($C$428,"NET_DEBT_TO_EBIT","FQ1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29" s="2" t="e">
        <f ca="1">_xll.BDH($C$428,"EBITDA_TO_INTEREST_EXPN","FQ1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29" s="2" t="e">
        <f ca="1">_xll.BDH($C$428,"COM_EQY_TO_TOT_ASSET","FQ1 2014","FQ1 2014","Currency=INR","Period=FQ","BEST_FPERIOD_OVERRIDE=FQ","FILING_STATUS=OR","EQY_CONSOLIDATED=Y","Sort=A","Dates=H","DateFormat=P","Fill=—","Direction=H","UseDPDF=Y")</f>
        <v>#NAME?</v>
      </c>
      <c r="CH429" s="2" t="e">
        <f ca="1">_xll.BDH($C$428,"LT_DEBT_TO_TOT_EQY","FQ1 2014","FQ1 2014","Currency=INR","Period=FQ","BEST_FPERIOD_OVERRIDE=FQ","FILING_STATUS=OR","EQY_CONSOLIDATED=Y","Sort=A","Dates=H","DateFormat=P","Fill=—","Direction=H","UseDPDF=Y")</f>
        <v>#NAME?</v>
      </c>
      <c r="CI429" s="2" t="e">
        <f ca="1">_xll.BDH($C$428,"LT_DEBT_TO_TOT_CAP","FQ1 2014","FQ1 2014","Currency=INR","Period=FQ","BEST_FPERIOD_OVERRIDE=FQ","FILING_STATUS=OR","EQY_CONSOLIDATED=Y","Sort=A","Dates=H","DateFormat=P","Fill=—","Direction=H","UseDPDF=Y")</f>
        <v>#NAME?</v>
      </c>
      <c r="CJ429" s="2" t="e">
        <f ca="1">_xll.BDH($C$428,"LT_DEBT_TO_TOT_ASSET","FQ1 2014","FQ1 2014","Currency=INR","Period=FQ","BEST_FPERIOD_OVERRIDE=FQ","FILING_STATUS=OR","EQY_CONSOLIDATED=Y","Sort=A","Dates=H","DateFormat=P","Fill=—","Direction=H","UseDPDF=Y")</f>
        <v>#NAME?</v>
      </c>
      <c r="CK429" s="2" t="e">
        <f ca="1">_xll.BDH($C$428,"TOT_DEBT_TO_TOT_EQY","FQ1 2014","FQ1 2014","Currency=INR","Period=FQ","BEST_FPERIOD_OVERRIDE=FQ","FILING_STATUS=OR","EQY_CONSOLIDATED=Y","Sort=A","Dates=H","DateFormat=P","Fill=—","Direction=H","UseDPDF=Y")</f>
        <v>#NAME?</v>
      </c>
      <c r="CL429" s="2" t="e">
        <f ca="1">_xll.BDH($C$428,"TOT_DEBT_TO_TOT_CAP","FQ1 2014","FQ1 2014","Currency=INR","Period=FQ","BEST_FPERIOD_OVERRIDE=FQ","FILING_STATUS=OR","EQY_CONSOLIDATED=Y","Sort=A","Dates=H","DateFormat=P","Fill=—","Direction=H","UseDPDF=Y")</f>
        <v>#NAME?</v>
      </c>
      <c r="CM429" s="2" t="e">
        <f ca="1">_xll.BDH($C$428,"TOT_DEBT_TO_TOT_ASSET","FQ1 2014","FQ1 2014","Currency=INR","Period=FQ","BEST_FPERIOD_OVERRIDE=FQ","FILING_STATUS=OR","EQY_CONSOLIDATED=Y","Sort=A","Dates=H","DateFormat=P","Fill=—","Direction=H","UseDPDF=Y")</f>
        <v>#NAME?</v>
      </c>
      <c r="CN429" s="2" t="e">
        <f ca="1">_xll.BDH($C$428,"NET_DEBT_TO_SHRHLDR_EQTY","FQ1 2014","FQ1 2014","Currency=INR","Period=FQ","BEST_FPERIOD_OVERRIDE=FQ","FILING_STATUS=OR","EQY_CONSOLIDATED=Y","Sort=A","Dates=H","DateFormat=P","Fill=—","Direction=H","UseDPDF=Y")</f>
        <v>#NAME?</v>
      </c>
      <c r="CO429" s="2" t="e">
        <f ca="1">_xll.BDH($C$428,"NET_DEBT_%_CAPITAL","FQ1 2014","FQ1 2014","Currency=INR","Period=FQ","BEST_FPERIOD_OVERRIDE=FQ","FILING_STATUS=OR","EQY_CONSOLIDATED=Y","Sort=A","Dates=H","DateFormat=P","Fill=—","Direction=H","UseDPDF=Y")</f>
        <v>#NAME?</v>
      </c>
      <c r="CP429" s="3" t="e">
        <f ca="1">_xll.BDH($C$428,"EBITDA","FQ1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29" s="3" t="e">
        <f ca="1">_xll.BDH($C$428,"EBITDA_AFTER_CAPEX","FQ1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29" s="3" t="e">
        <f ca="1">_xll.BDH($C$428,"IS_OPER_INC","FQ1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29" s="2" t="e">
        <f ca="1">_xll.BDH($C$428,"CASH_RATIO","FQ1 2014","FQ1 2014","Currency=INR","Period=FQ","BEST_FPERIOD_OVERRIDE=FQ","FILING_STATUS=OR","EQY_CONSOLIDATED=Y","Sort=A","Dates=H","DateFormat=P","Fill=—","Direction=H","UseDPDF=Y")</f>
        <v>#NAME?</v>
      </c>
      <c r="CT429" s="2" t="e">
        <f ca="1">_xll.BDH($C$428,"CUR_RATIO","FQ1 2014","FQ1 2014","Currency=INR","Period=FQ","BEST_FPERIOD_OVERRIDE=FQ","FILING_STATUS=OR","EQY_CONSOLIDATED=Y","Sort=A","Dates=H","DateFormat=P","Fill=—","Direction=H","UseDPDF=Y")</f>
        <v>#NAME?</v>
      </c>
      <c r="CU429" s="2" t="e">
        <f ca="1">_xll.BDH($C$428,"QUICK_RATIO","FQ1 2014","FQ1 2014","Currency=INR","Period=FQ","BEST_FPERIOD_OVERRIDE=FQ","FILING_STATUS=OR","EQY_CONSOLIDATED=Y","Sort=A","Dates=H","DateFormat=P","Fill=—","Direction=H","UseDPDF=Y")</f>
        <v>#NAME?</v>
      </c>
      <c r="CV429" s="2" t="e">
        <f ca="1">_xll.BDH($C$428,"ALTMAN_Z_SCORE","FQ1 2014","FQ1 2014","Currency=INR","Period=FQ","BEST_FPERIOD_OVERRIDE=FQ","FILING_STATUS=OR","EQY_CONSOLIDATED=Y","Sort=A","Dates=H","DateFormat=P","Fill=—","Direction=H","UseDPDF=Y")</f>
        <v>#NAME?</v>
      </c>
      <c r="CW429" s="4" t="e">
        <f ca="1">_xll.BDH($C$428,"ACCT_RCV_TURN","FQ1 2014","FQ1 2014","Currency=INR","Period=FQ","BEST_FPERIOD_OVERRIDE=FQ","FILING_STATUS=OR","EQY_CONSOLIDATED=Y","FA_ADJUSTED=GAAP","Sort=A","Dates=H","DateFormat=P","Fill=—","Direction=H","UseDPDF=Y")</f>
        <v>#NAME?</v>
      </c>
      <c r="CX429" s="2" t="e">
        <f ca="1">_xll.BDH($C$428,"ACCT_RCV_DAYS","FQ1 2014","FQ1 2014","Currency=INR","Period=FQ","BEST_FPERIOD_OVERRIDE=FQ","FILING_STATUS=OR","EQY_CONSOLIDATED=Y","FA_ADJUSTED=GAAP","Sort=A","Dates=H","DateFormat=P","Fill=—","Direction=H","UseDPDF=Y")</f>
        <v>#NAME?</v>
      </c>
      <c r="CY429" s="4" t="e">
        <f ca="1">_xll.BDH($C$428,"INVENT_TURN","FQ1 2014","FQ1 2014","Currency=INR","Period=FQ","BEST_FPERIOD_OVERRIDE=FQ","FILING_STATUS=OR","EQY_CONSOLIDATED=Y","FA_ADJUSTED=GAAP","Sort=A","Dates=H","DateFormat=P","Fill=—","Direction=H","UseDPDF=Y")</f>
        <v>#NAME?</v>
      </c>
      <c r="CZ429" s="2" t="e">
        <f ca="1">_xll.BDH($C$428,"INVENT_DAYS","FQ1 2014","FQ1 2014","Currency=INR","Period=FQ","BEST_FPERIOD_OVERRIDE=FQ","FILING_STATUS=OR","EQY_CONSOLIDATED=Y","FA_ADJUSTED=GAAP","Sort=A","Dates=H","DateFormat=P","Fill=—","Direction=H","UseDPDF=Y")</f>
        <v>#NAME?</v>
      </c>
      <c r="DA429" s="4" t="e">
        <f ca="1">_xll.BDH($C$428,"ACCOUNTS_PAYABLE_TURNOVER","FQ1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29" s="2" t="e">
        <f ca="1">_xll.BDH($C$428,"ACCOUNTS_PAYABLE_TURNOVER_DAYS","FQ1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29" s="4" t="e">
        <f ca="1">_xll.BDH($C$428,"CASH_CONVERSION_CYCLE","FQ1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29" s="4" t="e">
        <f ca="1">_xll.BDH($C$428,"INV_TO_CASH_DAYS","FQ1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29" s="5" t="e">
        <f ca="1">_xll.BDH($C$428,"BS_INVENTORIES","FQ1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29" s="3" t="e">
        <f ca="1">_xll.BDH($C$428,"INVTRY_RAW_MATERIALS","FQ1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29" s="3" t="e">
        <f ca="1">_xll.BDH($C$428,"INVTRY_IN_PROGRESS","FQ1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29" s="3" t="e">
        <f ca="1">_xll.BDH($C$428,"INVTRY_FINISHED_GOODS","FQ1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29" s="3" t="e">
        <f ca="1">_xll.BDH($C$428,"BS_OTHER_INV","FQ1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30" spans="1:113" x14ac:dyDescent="0.3">
      <c r="A430" s="6"/>
      <c r="B430" s="6"/>
      <c r="C430" s="6"/>
      <c r="D430" s="6"/>
      <c r="E430" t="s">
        <v>79</v>
      </c>
      <c r="F430" t="e">
        <f ca="1">_xll.BDH($C$428,"RETURN_COM_EQY","FQ2 2014","FQ2 2014","Currency=INR","Period=FQ","BEST_FPERIOD_OVERRIDE=FQ","FILING_STATUS=OR","EQY_CONSOLIDATED=Y","FA_ADJUSTED=GAAP","Sort=A","Dates=H","DateFormat=P","Fill=—","Direction=H","UseDPDF=Y")</f>
        <v>#NAME?</v>
      </c>
      <c r="G430" t="e">
        <f ca="1">_xll.BDH($C$428,"RETURN_ON_ASSET","FQ2 2014","FQ2 2014","Currency=INR","Period=FQ","BEST_FPERIOD_OVERRIDE=FQ","FILING_STATUS=OR","EQY_CONSOLIDATED=Y","FA_ADJUSTED=GAAP","Sort=A","Dates=H","DateFormat=P","Fill=—","Direction=H","UseDPDF=Y")</f>
        <v>#NAME?</v>
      </c>
      <c r="H430" t="e">
        <f ca="1">_xll.BDH($C$428,"RETURN_ON_CAP","FQ2 2014","FQ2 2014","Currency=INR","Period=FQ","BEST_FPERIOD_OVERRIDE=FQ","FILING_STATUS=OR","EQY_CONSOLIDATED=Y","FA_ADJUSTED=GAAP","Sort=A","Dates=H","DateFormat=P","Fill=—","Direction=H","UseDPDF=Y")</f>
        <v>#NAME?</v>
      </c>
      <c r="I430" t="e">
        <f ca="1">_xll.BDH($C$428,"RETURN_ON_INV_CAPITAL","FQ2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30" t="e">
        <f ca="1">_xll.BDH($C$428,"EBITDA_TO_REVENUE","FQ2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30" t="e">
        <f ca="1">_xll.BDH($C$428,"OPER_MARGIN","FQ2 2014","FQ2 2014","Currency=INR","Period=FQ","BEST_FPERIOD_OVERRIDE=FQ","FILING_STATUS=OR","EQY_CONSOLIDATED=Y","FA_ADJUSTED=GAAP","Sort=A","Dates=H","DateFormat=P","Fill=—","Direction=H","UseDPDF=Y")</f>
        <v>#NAME?</v>
      </c>
      <c r="L430" t="e">
        <f ca="1">_xll.BDH($C$428,"INCREMENTAL_OPERATING_MARGIN","FQ2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30" t="e">
        <f ca="1">_xll.BDH($C$428,"PRETAX_INC_TO_NET_SALES","FQ2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30" t="e">
        <f ca="1">_xll.BDH($C$428,"INC_BEF_XO_ITEMS_TO_NET_SALES","FQ2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30" t="e">
        <f ca="1">_xll.BDH($C$428,"PROF_MARGIN","FQ2 2014","FQ2 2014","Currency=INR","Period=FQ","BEST_FPERIOD_OVERRIDE=FQ","FILING_STATUS=OR","EQY_CONSOLIDATED=Y","FA_ADJUSTED=GAAP","Sort=A","Dates=H","DateFormat=P","Fill=—","Direction=H","UseDPDF=Y")</f>
        <v>#NAME?</v>
      </c>
      <c r="P430" t="e">
        <f ca="1">_xll.BDH($C$428,"NET_INCOME_TO_COMMON_MARGIN","FQ2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30" t="e">
        <f ca="1">_xll.BDH($C$428,"EFF_TAX_RATE","FQ2 2014","FQ2 2014","Currency=INR","Period=FQ","BEST_FPERIOD_OVERRIDE=FQ","FILING_STATUS=OR","EQY_CONSOLIDATED=Y","FA_ADJUSTED=GAAP","Sort=A","Dates=H","DateFormat=P","Fill=—","Direction=H","UseDPDF=Y")</f>
        <v>#NAME?</v>
      </c>
      <c r="R430" t="e">
        <f ca="1">_xll.BDH($C$428,"DVD_PAYOUT_RATIO","FQ2 2014","FQ2 2014","Currency=INR","Period=FQ","BEST_FPERIOD_OVERRIDE=FQ","FILING_STATUS=OR","EQY_CONSOLIDATED=Y","FA_ADJUSTED=GAAP","Sort=A","Dates=H","DateFormat=P","Fill=—","Direction=H","UseDPDF=Y")</f>
        <v>#NAME?</v>
      </c>
      <c r="S430" t="e">
        <f ca="1">_xll.BDH($C$428,"SUSTAIN_GROWTH_RT","FQ2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30" s="2" t="e">
        <f ca="1">_xll.BDH($C$428,"SALES_GROWTH","FQ2 2014","FQ2 2014","Currency=INR","Period=FQ","BEST_FPERIOD_OVERRIDE=FQ","FILING_STATUS=OR","EQY_CONSOLIDATED=Y","FA_ADJUSTED=GAAP","Sort=A","Dates=H","DateFormat=P","Fill=—","Direction=H","UseDPDF=Y")</f>
        <v>#NAME?</v>
      </c>
      <c r="U430" s="2" t="e">
        <f ca="1">_xll.BDH($C$428,"EBITDA_GROWTH","FQ2 2014","FQ2 2014","Currency=INR","Period=FQ","BEST_FPERIOD_OVERRIDE=FQ","FILING_STATUS=OR","EQY_CONSOLIDATED=Y","FA_ADJUSTED=GAAP","Sort=A","Dates=H","DateFormat=P","Fill=—","Direction=H","UseDPDF=Y")</f>
        <v>#NAME?</v>
      </c>
      <c r="V430" s="2" t="e">
        <f ca="1">_xll.BDH($C$428,"OPER_INC_GROWTH","FQ2 2014","FQ2 2014","Currency=INR","Period=FQ","BEST_FPERIOD_OVERRIDE=FQ","FILING_STATUS=OR","EQY_CONSOLIDATED=Y","FA_ADJUSTED=GAAP","Sort=A","Dates=H","DateFormat=P","Fill=—","Direction=H","UseDPDF=Y")</f>
        <v>#NAME?</v>
      </c>
      <c r="W430" s="2" t="e">
        <f ca="1">_xll.BDH($C$428,"EARN_FOR_COM_GROWTH","FQ2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30" s="2" t="e">
        <f ca="1">_xll.BDH($C$428,"DILUTED_EPS_AFT_XO_ITEMS_GROWTH","FQ2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30" s="2" t="e">
        <f ca="1">_xll.BDH($C$428,"DIVIDEND_PER_SHARE_1_YEAR_GROWTH","FQ2 2014","FQ2 2014","Currency=INR","Period=FQ","BEST_FPERIOD_OVERRIDE=FQ","FILING_STATUS=OR","EQY_CONSOLIDATED=Y","Sort=A","Dates=H","DateFormat=P","Fill=—","Direction=H","UseDPDF=Y")</f>
        <v>#NAME?</v>
      </c>
      <c r="Z430" s="2" t="e">
        <f ca="1">_xll.BDH($C$428,"ACCOUNTS_RECEIVABLE_GROWTH","FQ2 2014","FQ2 2014","Currency=INR","Period=FQ","BEST_FPERIOD_OVERRIDE=FQ","FILING_STATUS=OR","EQY_CONSOLIDATED=Y","Sort=A","Dates=H","DateFormat=P","Fill=—","Direction=H","UseDPDF=Y")</f>
        <v>#NAME?</v>
      </c>
      <c r="AA430" s="2" t="e">
        <f ca="1">_xll.BDH($C$428,"INVENTORY_GROWTH","FQ2 2014","FQ2 2014","Currency=INR","Period=FQ","BEST_FPERIOD_OVERRIDE=FQ","FILING_STATUS=OR","EQY_CONSOLIDATED=Y","Sort=A","Dates=H","DateFormat=P","Fill=—","Direction=H","UseDPDF=Y")</f>
        <v>#NAME?</v>
      </c>
      <c r="AB430" s="2" t="e">
        <f ca="1">_xll.BDH($C$428,"NET_FIXED_ASSETS_1_YEAR_GROWTH","FQ2 2014","FQ2 2014","Currency=INR","Period=FQ","BEST_FPERIOD_OVERRIDE=FQ","FILING_STATUS=OR","EQY_CONSOLIDATED=Y","Sort=A","Dates=H","DateFormat=P","Fill=—","Direction=H","UseDPDF=Y")</f>
        <v>#NAME?</v>
      </c>
      <c r="AC430" s="2" t="e">
        <f ca="1">_xll.BDH($C$428,"ASSET_GROWTH","FQ2 2014","FQ2 2014","Currency=INR","Period=FQ","BEST_FPERIOD_OVERRIDE=FQ","FILING_STATUS=OR","EQY_CONSOLIDATED=Y","Sort=A","Dates=H","DateFormat=P","Fill=—","Direction=H","UseDPDF=Y")</f>
        <v>#NAME?</v>
      </c>
      <c r="AD430" s="2" t="e">
        <f ca="1">_xll.BDH($C$428,"MODIFIED_WORK_CAP_GROWTH","FQ2 2014","FQ2 2014","Currency=INR","Period=FQ","BEST_FPERIOD_OVERRIDE=FQ","FILING_STATUS=OR","EQY_CONSOLIDATED=Y","Sort=A","Dates=H","DateFormat=P","Fill=—","Direction=H","UseDPDF=Y")</f>
        <v>#NAME?</v>
      </c>
      <c r="AE430" s="2" t="e">
        <f ca="1">_xll.BDH($C$428,"WORK_CAP_GROWTH","FQ2 2014","FQ2 2014","Currency=INR","Period=FQ","BEST_FPERIOD_OVERRIDE=FQ","FILING_STATUS=OR","EQY_CONSOLIDATED=Y","Sort=A","Dates=H","DateFormat=P","Fill=—","Direction=H","UseDPDF=Y")</f>
        <v>#NAME?</v>
      </c>
      <c r="AF430" s="2" t="e">
        <f ca="1">_xll.BDH($C$428,"ACCOUNTS_PAYABLE_GROWTH_1YR","FQ2 2014","FQ2 2014","Currency=INR","Period=FQ","BEST_FPERIOD_OVERRIDE=FQ","FILING_STATUS=OR","EQY_CONSOLIDATED=Y","Sort=A","Dates=H","DateFormat=P","Fill=—","Direction=H","UseDPDF=Y")</f>
        <v>#NAME?</v>
      </c>
      <c r="AG430" s="2" t="e">
        <f ca="1">_xll.BDH($C$428,"SHORT_TERM_DEBT_1_YEAR_GROWTH","FQ2 2014","FQ2 2014","Currency=INR","Period=FQ","BEST_FPERIOD_OVERRIDE=FQ","FILING_STATUS=OR","EQY_CONSOLIDATED=Y","Sort=A","Dates=H","DateFormat=P","Fill=—","Direction=H","UseDPDF=Y")</f>
        <v>#NAME?</v>
      </c>
      <c r="AH430" s="2" t="e">
        <f ca="1">_xll.BDH($C$428,"TOTAL_DEBT_1_YEAR_GROWTH","FQ2 2014","FQ2 2014","Currency=INR","Period=FQ","BEST_FPERIOD_OVERRIDE=FQ","FILING_STATUS=OR","EQY_CONSOLIDATED=Y","Sort=A","Dates=H","DateFormat=P","Fill=—","Direction=H","UseDPDF=Y")</f>
        <v>#NAME?</v>
      </c>
      <c r="AI430" s="2" t="e">
        <f ca="1">_xll.BDH($C$428,"TOTAL_EQUITY_1_YEAR_GROWTH","FQ2 2014","FQ2 2014","Currency=INR","Period=FQ","BEST_FPERIOD_OVERRIDE=FQ","FILING_STATUS=OR","EQY_CONSOLIDATED=Y","Sort=A","Dates=H","DateFormat=P","Fill=—","Direction=H","UseDPDF=Y")</f>
        <v>#NAME?</v>
      </c>
      <c r="AJ430" s="2" t="e">
        <f ca="1">_xll.BDH($C$428,"GROWTH_IN_CAP","FQ2 2014","FQ2 2014","Currency=INR","Period=FQ","BEST_FPERIOD_OVERRIDE=FQ","FILING_STATUS=OR","EQY_CONSOLIDATED=Y","Sort=A","Dates=H","DateFormat=P","Fill=—","Direction=H","UseDPDF=Y")</f>
        <v>#NAME?</v>
      </c>
      <c r="AK430" s="2" t="e">
        <f ca="1">_xll.BDH($C$428,"BVPS_GROWTH","FQ2 2014","FQ2 2014","Currency=INR","Period=FQ","BEST_FPERIOD_OVERRIDE=FQ","FILING_STATUS=OR","EQY_CONSOLIDATED=Y","Sort=A","Dates=H","DateFormat=P","Fill=—","Direction=H","UseDPDF=Y")</f>
        <v>#NAME?</v>
      </c>
      <c r="AL430" s="2" t="e">
        <f ca="1">_xll.BDH($C$428,"CASH_FLOW_GROWTH","FQ2 2014","FQ2 2014","Currency=INR","Period=FQ","BEST_FPERIOD_OVERRIDE=FQ","FILING_STATUS=OR","EQY_CONSOLIDATED=Y","Sort=A","Dates=H","DateFormat=P","Fill=—","Direction=H","UseDPDF=Y")</f>
        <v>#NAME?</v>
      </c>
      <c r="AM430" s="2" t="e">
        <f ca="1">_xll.BDH($C$428,"GEO_GROW_NET_SALES","FQ2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30" s="2" t="e">
        <f ca="1">_xll.BDH($C$428,"GEO_GROW_EBITDA","FQ2 2014","FQ2 2014","Currency=INR","Period=FQ","BEST_FPERIOD_OVERRIDE=FQ","FILING_STATUS=OR","EQY_CONSOLIDATED=Y","FA_ADJUSTED=GAAP","Sort=A","Dates=H","DateFormat=P","Fill=—","Direction=H","UseDPDF=Y")</f>
        <v>#NAME?</v>
      </c>
      <c r="AO430" s="2" t="e">
        <f ca="1">_xll.BDH($C$428,"GEO_GROW_OPER_INC","FQ2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30" s="2" t="e">
        <f ca="1">_xll.BDH($C$428,"NET_INCOME_TO_COMMON_5_YR_GROWTH","FQ2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30" s="2" t="e">
        <f ca="1">_xll.BDH($C$428,"5Y_GEO_GROWTH_DILUTED_EPS","FQ2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30" s="2" t="e">
        <f ca="1">_xll.BDH($C$428,"GEO_GROW_DVD_PER_SH","FQ2 2014","FQ2 2014","Currency=INR","Period=FQ","BEST_FPERIOD_OVERRIDE=FQ","FILING_STATUS=OR","EQY_CONSOLIDATED=Y","Sort=A","Dates=H","DateFormat=P","Fill=—","Direction=H","UseDPDF=Y")</f>
        <v>#NAME?</v>
      </c>
      <c r="AS430" s="2" t="e">
        <f ca="1">_xll.BDH($C$428,"ACCOUNTS_RECEIVABLE_5_YR_GROWTH","FQ2 2014","FQ2 2014","Currency=INR","Period=FQ","BEST_FPERIOD_OVERRIDE=FQ","FILING_STATUS=OR","EQY_CONSOLIDATED=Y","Sort=A","Dates=H","DateFormat=P","Fill=—","Direction=H","UseDPDF=Y")</f>
        <v>#NAME?</v>
      </c>
      <c r="AT430" s="2" t="e">
        <f ca="1">_xll.BDH($C$428,"INVENTORY_5_YEAR_GROWTH","FQ2 2014","FQ2 2014","Currency=INR","Period=FQ","BEST_FPERIOD_OVERRIDE=FQ","FILING_STATUS=OR","EQY_CONSOLIDATED=Y","Sort=A","Dates=H","DateFormat=P","Fill=—","Direction=H","UseDPDF=Y")</f>
        <v>#NAME?</v>
      </c>
      <c r="AU430" s="2" t="e">
        <f ca="1">_xll.BDH($C$428,"NET_FIXED_ASSETS_5_YEAR_GROWTH","FQ2 2014","FQ2 2014","Currency=INR","Period=FQ","BEST_FPERIOD_OVERRIDE=FQ","FILING_STATUS=OR","EQY_CONSOLIDATED=Y","Sort=A","Dates=H","DateFormat=P","Fill=—","Direction=H","UseDPDF=Y")</f>
        <v>#NAME?</v>
      </c>
      <c r="AV430" s="2" t="e">
        <f ca="1">_xll.BDH($C$428,"GEO_GROW_TOT_ASSET","FQ2 2014","FQ2 2014","Currency=INR","Period=FQ","BEST_FPERIOD_OVERRIDE=FQ","FILING_STATUS=OR","EQY_CONSOLIDATED=Y","Sort=A","Dates=H","DateFormat=P","Fill=—","Direction=H","UseDPDF=Y")</f>
        <v>#NAME?</v>
      </c>
      <c r="AW430" s="2" t="e">
        <f ca="1">_xll.BDH($C$428,"MODIFIED_WORKING_CPTL_5YR_GRWTH","FQ2 2014","FQ2 2014","Currency=INR","Period=FQ","BEST_FPERIOD_OVERRIDE=FQ","FILING_STATUS=OR","EQY_CONSOLIDATED=Y","Sort=A","Dates=H","DateFormat=P","Fill=—","Direction=H","UseDPDF=Y")</f>
        <v>#NAME?</v>
      </c>
      <c r="AX430" s="2" t="e">
        <f ca="1">_xll.BDH($C$428,"WORKING_CAPITAL_5_YEAR_GROWTH","FQ2 2014","FQ2 2014","Currency=INR","Period=FQ","BEST_FPERIOD_OVERRIDE=FQ","FILING_STATUS=OR","EQY_CONSOLIDATED=Y","Sort=A","Dates=H","DateFormat=P","Fill=—","Direction=H","UseDPDF=Y")</f>
        <v>#NAME?</v>
      </c>
      <c r="AY430" s="2" t="e">
        <f ca="1">_xll.BDH($C$428,"ACCOUNTS_PAYABLE_5_YEAR_GROWTH","FQ2 2014","FQ2 2014","Currency=INR","Period=FQ","BEST_FPERIOD_OVERRIDE=FQ","FILING_STATUS=OR","EQY_CONSOLIDATED=Y","Sort=A","Dates=H","DateFormat=P","Fill=—","Direction=H","UseDPDF=Y")</f>
        <v>#NAME?</v>
      </c>
      <c r="AZ430" s="2" t="e">
        <f ca="1">_xll.BDH($C$428,"SHORT_TERM_DEBT_5_YEAR_GROWTH","FQ2 2014","FQ2 2014","Currency=INR","Period=FQ","BEST_FPERIOD_OVERRIDE=FQ","FILING_STATUS=OR","EQY_CONSOLIDATED=Y","Sort=A","Dates=H","DateFormat=P","Fill=—","Direction=H","UseDPDF=Y")</f>
        <v>#NAME?</v>
      </c>
      <c r="BA430" s="2" t="e">
        <f ca="1">_xll.BDH($C$428,"TOTAL_DEBT_5_YEAR_GROWTH","FQ2 2014","FQ2 2014","Currency=INR","Period=FQ","BEST_FPERIOD_OVERRIDE=FQ","FILING_STATUS=OR","EQY_CONSOLIDATED=Y","Sort=A","Dates=H","DateFormat=P","Fill=—","Direction=H","UseDPDF=Y")</f>
        <v>#NAME?</v>
      </c>
      <c r="BB430" s="2" t="e">
        <f ca="1">_xll.BDH($C$428,"GEO_GROW_TOT_SHRHLDR_EQY","FQ2 2014","FQ2 2014","Currency=INR","Period=FQ","BEST_FPERIOD_OVERRIDE=FQ","FILING_STATUS=OR","EQY_CONSOLIDATED=Y","Sort=A","Dates=H","DateFormat=P","Fill=—","Direction=H","UseDPDF=Y")</f>
        <v>#NAME?</v>
      </c>
      <c r="BC430" s="2" t="e">
        <f ca="1">_xll.BDH($C$428,"TOTAL_CAPITAL_5_YEAR_GROWTH","FQ2 2014","FQ2 2014","Currency=INR","Period=FQ","BEST_FPERIOD_OVERRIDE=FQ","FILING_STATUS=OR","EQY_CONSOLIDATED=Y","Sort=A","Dates=H","DateFormat=P","Fill=—","Direction=H","UseDPDF=Y")</f>
        <v>#NAME?</v>
      </c>
      <c r="BD430" s="2" t="e">
        <f ca="1">_xll.BDH($C$428,"GEO_GROW_BOOK_VAL","FQ2 2014","FQ2 2014","Currency=INR","Period=FQ","BEST_FPERIOD_OVERRIDE=FQ","FILING_STATUS=OR","EQY_CONSOLIDATED=Y","Sort=A","Dates=H","DateFormat=P","Fill=—","Direction=H","UseDPDF=Y")</f>
        <v>#NAME?</v>
      </c>
      <c r="BE430" s="2" t="e">
        <f ca="1">_xll.BDH($C$428,"GEO_GROW_CASH_OPER_ACT","FQ2 2014","FQ2 2014","Currency=INR","Period=FQ","BEST_FPERIOD_OVERRIDE=FQ","FILING_STATUS=OR","EQY_CONSOLIDATED=Y","Sort=A","Dates=H","DateFormat=P","Fill=—","Direction=H","UseDPDF=Y")</f>
        <v>#NAME?</v>
      </c>
      <c r="BF430" s="2" t="e">
        <f ca="1">_xll.BDH($C$428,"REVENUE_SEQUENTIAL_GROWTH","FQ2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30" s="2" t="e">
        <f ca="1">_xll.BDH($C$428,"EBITDA_SEQUENTIAL_GROWTH","FQ2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30" s="2" t="e">
        <f ca="1">_xll.BDH($C$428,"OPERATING_INCOME_SEQ_GROWTH","FQ2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30" s="2" t="e">
        <f ca="1">_xll.BDH($C$428,"NET_INCOME_TO_COMMON_SEQ_GROWTH","FQ2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30" s="2" t="e">
        <f ca="1">_xll.BDH($C$428,"EPS_DILUTED_SEQUENTIAL_GROWTH","FQ2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30" s="2" t="e">
        <f ca="1">_xll.BDH($C$428,"DPS_SEQUENTIAL_GROWTH","FQ2 2014","FQ2 2014","Currency=INR","Period=FQ","BEST_FPERIOD_OVERRIDE=FQ","FILING_STATUS=OR","EQY_CONSOLIDATED=Y","Sort=A","Dates=H","DateFormat=P","Fill=—","Direction=H","UseDPDF=Y")</f>
        <v>#NAME?</v>
      </c>
      <c r="BL430" s="2" t="e">
        <f ca="1">_xll.BDH($C$428,"ACCOUNTS_RECEIVABLE_SEQ_GROWTH","FQ2 2014","FQ2 2014","Currency=INR","Period=FQ","BEST_FPERIOD_OVERRIDE=FQ","FILING_STATUS=OR","EQY_CONSOLIDATED=Y","Sort=A","Dates=H","DateFormat=P","Fill=—","Direction=H","UseDPDF=Y")</f>
        <v>#NAME?</v>
      </c>
      <c r="BM430" s="2" t="e">
        <f ca="1">_xll.BDH($C$428,"INVENTORY_SEQUENTIAL_GROWTH","FQ2 2014","FQ2 2014","Currency=INR","Period=FQ","BEST_FPERIOD_OVERRIDE=FQ","FILING_STATUS=OR","EQY_CONSOLIDATED=Y","Sort=A","Dates=H","DateFormat=P","Fill=—","Direction=H","UseDPDF=Y")</f>
        <v>#NAME?</v>
      </c>
      <c r="BN430" s="2" t="e">
        <f ca="1">_xll.BDH($C$428,"FIXED_ASSETS_SEQUENTIAL_GROWTH","FQ2 2014","FQ2 2014","Currency=INR","Period=FQ","BEST_FPERIOD_OVERRIDE=FQ","FILING_STATUS=OR","EQY_CONSOLIDATED=Y","Sort=A","Dates=H","DateFormat=P","Fill=—","Direction=H","UseDPDF=Y")</f>
        <v>#NAME?</v>
      </c>
      <c r="BO430" s="2" t="e">
        <f ca="1">_xll.BDH($C$428,"TOTAL_ASSETS_SEQUENTIAL_GROWTH","FQ2 2014","FQ2 2014","Currency=INR","Period=FQ","BEST_FPERIOD_OVERRIDE=FQ","FILING_STATUS=OR","EQY_CONSOLIDATED=Y","Sort=A","Dates=H","DateFormat=P","Fill=—","Direction=H","UseDPDF=Y")</f>
        <v>#NAME?</v>
      </c>
      <c r="BP430" s="2" t="e">
        <f ca="1">_xll.BDH($C$428,"MODIFIED_WORKING_CPTL_SEQ_GRWTH","FQ2 2014","FQ2 2014","Currency=INR","Period=FQ","BEST_FPERIOD_OVERRIDE=FQ","FILING_STATUS=OR","EQY_CONSOLIDATED=Y","Sort=A","Dates=H","DateFormat=P","Fill=—","Direction=H","UseDPDF=Y")</f>
        <v>#NAME?</v>
      </c>
      <c r="BQ430" s="2" t="e">
        <f ca="1">_xll.BDH($C$428,"WORKING_CAPITAL_SEQ_GROWTH","FQ2 2014","FQ2 2014","Currency=INR","Period=FQ","BEST_FPERIOD_OVERRIDE=FQ","FILING_STATUS=OR","EQY_CONSOLIDATED=Y","Sort=A","Dates=H","DateFormat=P","Fill=—","Direction=H","UseDPDF=Y")</f>
        <v>#NAME?</v>
      </c>
      <c r="BR430" s="2" t="e">
        <f ca="1">_xll.BDH($C$428,"ACCOUNTS_PAYABLE_SEQ_GROWTH","FQ2 2014","FQ2 2014","Currency=INR","Period=FQ","BEST_FPERIOD_OVERRIDE=FQ","FILING_STATUS=OR","EQY_CONSOLIDATED=Y","Sort=A","Dates=H","DateFormat=P","Fill=—","Direction=H","UseDPDF=Y")</f>
        <v>#NAME?</v>
      </c>
      <c r="BS430" s="2" t="e">
        <f ca="1">_xll.BDH($C$428,"ST_DEBT_SEQUENTIAL_GROWTH","FQ2 2014","FQ2 2014","Currency=INR","Period=FQ","BEST_FPERIOD_OVERRIDE=FQ","FILING_STATUS=OR","EQY_CONSOLIDATED=Y","Sort=A","Dates=H","DateFormat=P","Fill=—","Direction=H","UseDPDF=Y")</f>
        <v>#NAME?</v>
      </c>
      <c r="BT430" s="2" t="e">
        <f ca="1">_xll.BDH($C$428,"TOTAL_DEBT_SEQUENTIAL_GROWTH","FQ2 2014","FQ2 2014","Currency=INR","Period=FQ","BEST_FPERIOD_OVERRIDE=FQ","FILING_STATUS=OR","EQY_CONSOLIDATED=Y","Sort=A","Dates=H","DateFormat=P","Fill=—","Direction=H","UseDPDF=Y")</f>
        <v>#NAME?</v>
      </c>
      <c r="BU430" s="2" t="e">
        <f ca="1">_xll.BDH($C$428,"TOTAL_EQUITY_SEQUENTIAL_GROWTH","FQ2 2014","FQ2 2014","Currency=INR","Period=FQ","BEST_FPERIOD_OVERRIDE=FQ","FILING_STATUS=OR","EQY_CONSOLIDATED=Y","Sort=A","Dates=H","DateFormat=P","Fill=—","Direction=H","UseDPDF=Y")</f>
        <v>#NAME?</v>
      </c>
      <c r="BV430" s="2" t="e">
        <f ca="1">_xll.BDH($C$428,"TOTAL_CAPITAL_SEQUENTIAL_GROWTH","FQ2 2014","FQ2 2014","Currency=INR","Period=FQ","BEST_FPERIOD_OVERRIDE=FQ","FILING_STATUS=OR","EQY_CONSOLIDATED=Y","Sort=A","Dates=H","DateFormat=P","Fill=—","Direction=H","UseDPDF=Y")</f>
        <v>#NAME?</v>
      </c>
      <c r="BW430" s="2" t="e">
        <f ca="1">_xll.BDH($C$428,"BPS_SEQUENTIAL_GROWTH","FQ2 2014","FQ2 2014","Currency=INR","Period=FQ","BEST_FPERIOD_OVERRIDE=FQ","FILING_STATUS=OR","EQY_CONSOLIDATED=Y","Sort=A","Dates=H","DateFormat=P","Fill=—","Direction=H","UseDPDF=Y")</f>
        <v>#NAME?</v>
      </c>
      <c r="BX430" s="2" t="e">
        <f ca="1">_xll.BDH($C$428,"CFO_SEQUENTIAL_GROWTH","FQ2 2014","FQ2 2014","Currency=INR","Period=FQ","BEST_FPERIOD_OVERRIDE=FQ","FILING_STATUS=OR","EQY_CONSOLIDATED=Y","Sort=A","Dates=H","DateFormat=P","Fill=—","Direction=H","UseDPDF=Y")</f>
        <v>#NAME?</v>
      </c>
      <c r="BY430" s="3" t="e">
        <f ca="1">_xll.BDH($C$428,"SHORT_AND_LONG_TERM_DEBT","FQ2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30" s="3" t="e">
        <f ca="1">_xll.BDH($C$428,"BS_ST_BORROW","FQ2 2014","FQ2 2014","Currency=INR","Period=FQ","BEST_FPERIOD_OVERRIDE=FQ","FILING_STATUS=OR","EQY_CONSOLIDATED=Y","SCALING_FORMAT=MLN","Sort=A","Dates=H","DateFormat=P","Fill=—","Direction=H","UseDPDF=Y")</f>
        <v>#NAME?</v>
      </c>
      <c r="CA430" s="3" t="e">
        <f ca="1">_xll.BDH($C$428,"BS_LT_BORROW","FQ2 2014","FQ2 2014","Currency=INR","Period=FQ","BEST_FPERIOD_OVERRIDE=FQ","FILING_STATUS=OR","EQY_CONSOLIDATED=Y","SCALING_FORMAT=MLN","Sort=A","Dates=H","DateFormat=P","Fill=—","Direction=H","UseDPDF=Y")</f>
        <v>#NAME?</v>
      </c>
      <c r="CB430" s="2" t="e">
        <f ca="1">_xll.BDH($C$428,"TOT_DEBT_TO_EBITDA","FQ2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30" s="2" t="e">
        <f ca="1">_xll.BDH($C$428,"NET_DEBT_TO_EBITDA","FQ2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30" s="2" t="e">
        <f ca="1">_xll.BDH($C$428,"TOTAL_DEBT_TO_EBIT","FQ2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30" s="2" t="e">
        <f ca="1">_xll.BDH($C$428,"NET_DEBT_TO_EBIT","FQ2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30" s="2" t="e">
        <f ca="1">_xll.BDH($C$428,"EBITDA_TO_INTEREST_EXPN","FQ2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30" s="2" t="e">
        <f ca="1">_xll.BDH($C$428,"COM_EQY_TO_TOT_ASSET","FQ2 2014","FQ2 2014","Currency=INR","Period=FQ","BEST_FPERIOD_OVERRIDE=FQ","FILING_STATUS=OR","EQY_CONSOLIDATED=Y","Sort=A","Dates=H","DateFormat=P","Fill=—","Direction=H","UseDPDF=Y")</f>
        <v>#NAME?</v>
      </c>
      <c r="CH430" s="2" t="e">
        <f ca="1">_xll.BDH($C$428,"LT_DEBT_TO_TOT_EQY","FQ2 2014","FQ2 2014","Currency=INR","Period=FQ","BEST_FPERIOD_OVERRIDE=FQ","FILING_STATUS=OR","EQY_CONSOLIDATED=Y","Sort=A","Dates=H","DateFormat=P","Fill=—","Direction=H","UseDPDF=Y")</f>
        <v>#NAME?</v>
      </c>
      <c r="CI430" s="2" t="e">
        <f ca="1">_xll.BDH($C$428,"LT_DEBT_TO_TOT_CAP","FQ2 2014","FQ2 2014","Currency=INR","Period=FQ","BEST_FPERIOD_OVERRIDE=FQ","FILING_STATUS=OR","EQY_CONSOLIDATED=Y","Sort=A","Dates=H","DateFormat=P","Fill=—","Direction=H","UseDPDF=Y")</f>
        <v>#NAME?</v>
      </c>
      <c r="CJ430" s="2" t="e">
        <f ca="1">_xll.BDH($C$428,"LT_DEBT_TO_TOT_ASSET","FQ2 2014","FQ2 2014","Currency=INR","Period=FQ","BEST_FPERIOD_OVERRIDE=FQ","FILING_STATUS=OR","EQY_CONSOLIDATED=Y","Sort=A","Dates=H","DateFormat=P","Fill=—","Direction=H","UseDPDF=Y")</f>
        <v>#NAME?</v>
      </c>
      <c r="CK430" s="2" t="e">
        <f ca="1">_xll.BDH($C$428,"TOT_DEBT_TO_TOT_EQY","FQ2 2014","FQ2 2014","Currency=INR","Period=FQ","BEST_FPERIOD_OVERRIDE=FQ","FILING_STATUS=OR","EQY_CONSOLIDATED=Y","Sort=A","Dates=H","DateFormat=P","Fill=—","Direction=H","UseDPDF=Y")</f>
        <v>#NAME?</v>
      </c>
      <c r="CL430" s="2" t="e">
        <f ca="1">_xll.BDH($C$428,"TOT_DEBT_TO_TOT_CAP","FQ2 2014","FQ2 2014","Currency=INR","Period=FQ","BEST_FPERIOD_OVERRIDE=FQ","FILING_STATUS=OR","EQY_CONSOLIDATED=Y","Sort=A","Dates=H","DateFormat=P","Fill=—","Direction=H","UseDPDF=Y")</f>
        <v>#NAME?</v>
      </c>
      <c r="CM430" s="2" t="e">
        <f ca="1">_xll.BDH($C$428,"TOT_DEBT_TO_TOT_ASSET","FQ2 2014","FQ2 2014","Currency=INR","Period=FQ","BEST_FPERIOD_OVERRIDE=FQ","FILING_STATUS=OR","EQY_CONSOLIDATED=Y","Sort=A","Dates=H","DateFormat=P","Fill=—","Direction=H","UseDPDF=Y")</f>
        <v>#NAME?</v>
      </c>
      <c r="CN430" s="2" t="e">
        <f ca="1">_xll.BDH($C$428,"NET_DEBT_TO_SHRHLDR_EQTY","FQ2 2014","FQ2 2014","Currency=INR","Period=FQ","BEST_FPERIOD_OVERRIDE=FQ","FILING_STATUS=OR","EQY_CONSOLIDATED=Y","Sort=A","Dates=H","DateFormat=P","Fill=—","Direction=H","UseDPDF=Y")</f>
        <v>#NAME?</v>
      </c>
      <c r="CO430" s="2" t="e">
        <f ca="1">_xll.BDH($C$428,"NET_DEBT_%_CAPITAL","FQ2 2014","FQ2 2014","Currency=INR","Period=FQ","BEST_FPERIOD_OVERRIDE=FQ","FILING_STATUS=OR","EQY_CONSOLIDATED=Y","Sort=A","Dates=H","DateFormat=P","Fill=—","Direction=H","UseDPDF=Y")</f>
        <v>#NAME?</v>
      </c>
      <c r="CP430" s="3" t="e">
        <f ca="1">_xll.BDH($C$428,"EBITDA","FQ2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30" s="3" t="e">
        <f ca="1">_xll.BDH($C$428,"EBITDA_AFTER_CAPEX","FQ2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30" s="3" t="e">
        <f ca="1">_xll.BDH($C$428,"IS_OPER_INC","FQ2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30" s="2" t="e">
        <f ca="1">_xll.BDH($C$428,"CASH_RATIO","FQ2 2014","FQ2 2014","Currency=INR","Period=FQ","BEST_FPERIOD_OVERRIDE=FQ","FILING_STATUS=OR","EQY_CONSOLIDATED=Y","Sort=A","Dates=H","DateFormat=P","Fill=—","Direction=H","UseDPDF=Y")</f>
        <v>#NAME?</v>
      </c>
      <c r="CT430" s="2" t="e">
        <f ca="1">_xll.BDH($C$428,"CUR_RATIO","FQ2 2014","FQ2 2014","Currency=INR","Period=FQ","BEST_FPERIOD_OVERRIDE=FQ","FILING_STATUS=OR","EQY_CONSOLIDATED=Y","Sort=A","Dates=H","DateFormat=P","Fill=—","Direction=H","UseDPDF=Y")</f>
        <v>#NAME?</v>
      </c>
      <c r="CU430" s="2" t="e">
        <f ca="1">_xll.BDH($C$428,"QUICK_RATIO","FQ2 2014","FQ2 2014","Currency=INR","Period=FQ","BEST_FPERIOD_OVERRIDE=FQ","FILING_STATUS=OR","EQY_CONSOLIDATED=Y","Sort=A","Dates=H","DateFormat=P","Fill=—","Direction=H","UseDPDF=Y")</f>
        <v>#NAME?</v>
      </c>
      <c r="CV430" s="2" t="e">
        <f ca="1">_xll.BDH($C$428,"ALTMAN_Z_SCORE","FQ2 2014","FQ2 2014","Currency=INR","Period=FQ","BEST_FPERIOD_OVERRIDE=FQ","FILING_STATUS=OR","EQY_CONSOLIDATED=Y","Sort=A","Dates=H","DateFormat=P","Fill=—","Direction=H","UseDPDF=Y")</f>
        <v>#NAME?</v>
      </c>
      <c r="CW430" s="4" t="e">
        <f ca="1">_xll.BDH($C$428,"ACCT_RCV_TURN","FQ2 2014","FQ2 2014","Currency=INR","Period=FQ","BEST_FPERIOD_OVERRIDE=FQ","FILING_STATUS=OR","EQY_CONSOLIDATED=Y","FA_ADJUSTED=GAAP","Sort=A","Dates=H","DateFormat=P","Fill=—","Direction=H","UseDPDF=Y")</f>
        <v>#NAME?</v>
      </c>
      <c r="CX430" s="2" t="e">
        <f ca="1">_xll.BDH($C$428,"ACCT_RCV_DAYS","FQ2 2014","FQ2 2014","Currency=INR","Period=FQ","BEST_FPERIOD_OVERRIDE=FQ","FILING_STATUS=OR","EQY_CONSOLIDATED=Y","FA_ADJUSTED=GAAP","Sort=A","Dates=H","DateFormat=P","Fill=—","Direction=H","UseDPDF=Y")</f>
        <v>#NAME?</v>
      </c>
      <c r="CY430" s="4" t="e">
        <f ca="1">_xll.BDH($C$428,"INVENT_TURN","FQ2 2014","FQ2 2014","Currency=INR","Period=FQ","BEST_FPERIOD_OVERRIDE=FQ","FILING_STATUS=OR","EQY_CONSOLIDATED=Y","FA_ADJUSTED=GAAP","Sort=A","Dates=H","DateFormat=P","Fill=—","Direction=H","UseDPDF=Y")</f>
        <v>#NAME?</v>
      </c>
      <c r="CZ430" s="2" t="e">
        <f ca="1">_xll.BDH($C$428,"INVENT_DAYS","FQ2 2014","FQ2 2014","Currency=INR","Period=FQ","BEST_FPERIOD_OVERRIDE=FQ","FILING_STATUS=OR","EQY_CONSOLIDATED=Y","FA_ADJUSTED=GAAP","Sort=A","Dates=H","DateFormat=P","Fill=—","Direction=H","UseDPDF=Y")</f>
        <v>#NAME?</v>
      </c>
      <c r="DA430" s="4" t="e">
        <f ca="1">_xll.BDH($C$428,"ACCOUNTS_PAYABLE_TURNOVER","FQ2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30" s="2" t="e">
        <f ca="1">_xll.BDH($C$428,"ACCOUNTS_PAYABLE_TURNOVER_DAYS","FQ2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30" s="4" t="e">
        <f ca="1">_xll.BDH($C$428,"CASH_CONVERSION_CYCLE","FQ2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30" s="4" t="e">
        <f ca="1">_xll.BDH($C$428,"INV_TO_CASH_DAYS","FQ2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30" s="5" t="e">
        <f ca="1">_xll.BDH($C$428,"BS_INVENTORIES","FQ2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30" s="3" t="e">
        <f ca="1">_xll.BDH($C$428,"INVTRY_RAW_MATERIALS","FQ2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30" s="3" t="e">
        <f ca="1">_xll.BDH($C$428,"INVTRY_IN_PROGRESS","FQ2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30" s="3" t="e">
        <f ca="1">_xll.BDH($C$428,"INVTRY_FINISHED_GOODS","FQ2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30" s="3" t="e">
        <f ca="1">_xll.BDH($C$428,"BS_OTHER_INV","FQ2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31" spans="1:113" x14ac:dyDescent="0.3">
      <c r="A431" s="6"/>
      <c r="B431" s="6"/>
      <c r="C431" s="6"/>
      <c r="D431" s="6"/>
      <c r="E431" t="s">
        <v>80</v>
      </c>
      <c r="F431" t="e">
        <f ca="1">_xll.BDH($C$428,"RETURN_COM_EQY","FQ3 2014","FQ3 2014","Currency=INR","Period=FQ","BEST_FPERIOD_OVERRIDE=FQ","FILING_STATUS=OR","EQY_CONSOLIDATED=Y","FA_ADJUSTED=GAAP","Sort=A","Dates=H","DateFormat=P","Fill=—","Direction=H","UseDPDF=Y")</f>
        <v>#NAME?</v>
      </c>
      <c r="G431" t="e">
        <f ca="1">_xll.BDH($C$428,"RETURN_ON_ASSET","FQ3 2014","FQ3 2014","Currency=INR","Period=FQ","BEST_FPERIOD_OVERRIDE=FQ","FILING_STATUS=OR","EQY_CONSOLIDATED=Y","FA_ADJUSTED=GAAP","Sort=A","Dates=H","DateFormat=P","Fill=—","Direction=H","UseDPDF=Y")</f>
        <v>#NAME?</v>
      </c>
      <c r="H431" t="e">
        <f ca="1">_xll.BDH($C$428,"RETURN_ON_CAP","FQ3 2014","FQ3 2014","Currency=INR","Period=FQ","BEST_FPERIOD_OVERRIDE=FQ","FILING_STATUS=OR","EQY_CONSOLIDATED=Y","FA_ADJUSTED=GAAP","Sort=A","Dates=H","DateFormat=P","Fill=—","Direction=H","UseDPDF=Y")</f>
        <v>#NAME?</v>
      </c>
      <c r="I431" t="e">
        <f ca="1">_xll.BDH($C$428,"RETURN_ON_INV_CAPITAL","FQ3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31" t="e">
        <f ca="1">_xll.BDH($C$428,"EBITDA_TO_REVENUE","FQ3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31" t="e">
        <f ca="1">_xll.BDH($C$428,"OPER_MARGIN","FQ3 2014","FQ3 2014","Currency=INR","Period=FQ","BEST_FPERIOD_OVERRIDE=FQ","FILING_STATUS=OR","EQY_CONSOLIDATED=Y","FA_ADJUSTED=GAAP","Sort=A","Dates=H","DateFormat=P","Fill=—","Direction=H","UseDPDF=Y")</f>
        <v>#NAME?</v>
      </c>
      <c r="L431" t="e">
        <f ca="1">_xll.BDH($C$428,"INCREMENTAL_OPERATING_MARGIN","FQ3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31" t="e">
        <f ca="1">_xll.BDH($C$428,"PRETAX_INC_TO_NET_SALES","FQ3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31" t="e">
        <f ca="1">_xll.BDH($C$428,"INC_BEF_XO_ITEMS_TO_NET_SALES","FQ3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31" t="e">
        <f ca="1">_xll.BDH($C$428,"PROF_MARGIN","FQ3 2014","FQ3 2014","Currency=INR","Period=FQ","BEST_FPERIOD_OVERRIDE=FQ","FILING_STATUS=OR","EQY_CONSOLIDATED=Y","FA_ADJUSTED=GAAP","Sort=A","Dates=H","DateFormat=P","Fill=—","Direction=H","UseDPDF=Y")</f>
        <v>#NAME?</v>
      </c>
      <c r="P431" t="e">
        <f ca="1">_xll.BDH($C$428,"NET_INCOME_TO_COMMON_MARGIN","FQ3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31" t="e">
        <f ca="1">_xll.BDH($C$428,"EFF_TAX_RATE","FQ3 2014","FQ3 2014","Currency=INR","Period=FQ","BEST_FPERIOD_OVERRIDE=FQ","FILING_STATUS=OR","EQY_CONSOLIDATED=Y","FA_ADJUSTED=GAAP","Sort=A","Dates=H","DateFormat=P","Fill=—","Direction=H","UseDPDF=Y")</f>
        <v>#NAME?</v>
      </c>
      <c r="R431" t="e">
        <f ca="1">_xll.BDH($C$428,"DVD_PAYOUT_RATIO","FQ3 2014","FQ3 2014","Currency=INR","Period=FQ","BEST_FPERIOD_OVERRIDE=FQ","FILING_STATUS=OR","EQY_CONSOLIDATED=Y","FA_ADJUSTED=GAAP","Sort=A","Dates=H","DateFormat=P","Fill=—","Direction=H","UseDPDF=Y")</f>
        <v>#NAME?</v>
      </c>
      <c r="S431" t="e">
        <f ca="1">_xll.BDH($C$428,"SUSTAIN_GROWTH_RT","FQ3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31" s="2" t="e">
        <f ca="1">_xll.BDH($C$428,"SALES_GROWTH","FQ3 2014","FQ3 2014","Currency=INR","Period=FQ","BEST_FPERIOD_OVERRIDE=FQ","FILING_STATUS=OR","EQY_CONSOLIDATED=Y","FA_ADJUSTED=GAAP","Sort=A","Dates=H","DateFormat=P","Fill=—","Direction=H","UseDPDF=Y")</f>
        <v>#NAME?</v>
      </c>
      <c r="U431" s="2" t="e">
        <f ca="1">_xll.BDH($C$428,"EBITDA_GROWTH","FQ3 2014","FQ3 2014","Currency=INR","Period=FQ","BEST_FPERIOD_OVERRIDE=FQ","FILING_STATUS=OR","EQY_CONSOLIDATED=Y","FA_ADJUSTED=GAAP","Sort=A","Dates=H","DateFormat=P","Fill=—","Direction=H","UseDPDF=Y")</f>
        <v>#NAME?</v>
      </c>
      <c r="V431" s="2" t="e">
        <f ca="1">_xll.BDH($C$428,"OPER_INC_GROWTH","FQ3 2014","FQ3 2014","Currency=INR","Period=FQ","BEST_FPERIOD_OVERRIDE=FQ","FILING_STATUS=OR","EQY_CONSOLIDATED=Y","FA_ADJUSTED=GAAP","Sort=A","Dates=H","DateFormat=P","Fill=—","Direction=H","UseDPDF=Y")</f>
        <v>#NAME?</v>
      </c>
      <c r="W431" s="2" t="e">
        <f ca="1">_xll.BDH($C$428,"EARN_FOR_COM_GROWTH","FQ3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31" s="2" t="e">
        <f ca="1">_xll.BDH($C$428,"DILUTED_EPS_AFT_XO_ITEMS_GROWTH","FQ3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31" s="2" t="e">
        <f ca="1">_xll.BDH($C$428,"DIVIDEND_PER_SHARE_1_YEAR_GROWTH","FQ3 2014","FQ3 2014","Currency=INR","Period=FQ","BEST_FPERIOD_OVERRIDE=FQ","FILING_STATUS=OR","EQY_CONSOLIDATED=Y","Sort=A","Dates=H","DateFormat=P","Fill=—","Direction=H","UseDPDF=Y")</f>
        <v>#NAME?</v>
      </c>
      <c r="Z431" s="2" t="e">
        <f ca="1">_xll.BDH($C$428,"ACCOUNTS_RECEIVABLE_GROWTH","FQ3 2014","FQ3 2014","Currency=INR","Period=FQ","BEST_FPERIOD_OVERRIDE=FQ","FILING_STATUS=OR","EQY_CONSOLIDATED=Y","Sort=A","Dates=H","DateFormat=P","Fill=—","Direction=H","UseDPDF=Y")</f>
        <v>#NAME?</v>
      </c>
      <c r="AA431" s="2" t="e">
        <f ca="1">_xll.BDH($C$428,"INVENTORY_GROWTH","FQ3 2014","FQ3 2014","Currency=INR","Period=FQ","BEST_FPERIOD_OVERRIDE=FQ","FILING_STATUS=OR","EQY_CONSOLIDATED=Y","Sort=A","Dates=H","DateFormat=P","Fill=—","Direction=H","UseDPDF=Y")</f>
        <v>#NAME?</v>
      </c>
      <c r="AB431" s="2" t="e">
        <f ca="1">_xll.BDH($C$428,"NET_FIXED_ASSETS_1_YEAR_GROWTH","FQ3 2014","FQ3 2014","Currency=INR","Period=FQ","BEST_FPERIOD_OVERRIDE=FQ","FILING_STATUS=OR","EQY_CONSOLIDATED=Y","Sort=A","Dates=H","DateFormat=P","Fill=—","Direction=H","UseDPDF=Y")</f>
        <v>#NAME?</v>
      </c>
      <c r="AC431" s="2" t="e">
        <f ca="1">_xll.BDH($C$428,"ASSET_GROWTH","FQ3 2014","FQ3 2014","Currency=INR","Period=FQ","BEST_FPERIOD_OVERRIDE=FQ","FILING_STATUS=OR","EQY_CONSOLIDATED=Y","Sort=A","Dates=H","DateFormat=P","Fill=—","Direction=H","UseDPDF=Y")</f>
        <v>#NAME?</v>
      </c>
      <c r="AD431" s="2" t="e">
        <f ca="1">_xll.BDH($C$428,"MODIFIED_WORK_CAP_GROWTH","FQ3 2014","FQ3 2014","Currency=INR","Period=FQ","BEST_FPERIOD_OVERRIDE=FQ","FILING_STATUS=OR","EQY_CONSOLIDATED=Y","Sort=A","Dates=H","DateFormat=P","Fill=—","Direction=H","UseDPDF=Y")</f>
        <v>#NAME?</v>
      </c>
      <c r="AE431" s="2" t="e">
        <f ca="1">_xll.BDH($C$428,"WORK_CAP_GROWTH","FQ3 2014","FQ3 2014","Currency=INR","Period=FQ","BEST_FPERIOD_OVERRIDE=FQ","FILING_STATUS=OR","EQY_CONSOLIDATED=Y","Sort=A","Dates=H","DateFormat=P","Fill=—","Direction=H","UseDPDF=Y")</f>
        <v>#NAME?</v>
      </c>
      <c r="AF431" s="2" t="e">
        <f ca="1">_xll.BDH($C$428,"ACCOUNTS_PAYABLE_GROWTH_1YR","FQ3 2014","FQ3 2014","Currency=INR","Period=FQ","BEST_FPERIOD_OVERRIDE=FQ","FILING_STATUS=OR","EQY_CONSOLIDATED=Y","Sort=A","Dates=H","DateFormat=P","Fill=—","Direction=H","UseDPDF=Y")</f>
        <v>#NAME?</v>
      </c>
      <c r="AG431" s="2" t="e">
        <f ca="1">_xll.BDH($C$428,"SHORT_TERM_DEBT_1_YEAR_GROWTH","FQ3 2014","FQ3 2014","Currency=INR","Period=FQ","BEST_FPERIOD_OVERRIDE=FQ","FILING_STATUS=OR","EQY_CONSOLIDATED=Y","Sort=A","Dates=H","DateFormat=P","Fill=—","Direction=H","UseDPDF=Y")</f>
        <v>#NAME?</v>
      </c>
      <c r="AH431" s="2" t="e">
        <f ca="1">_xll.BDH($C$428,"TOTAL_DEBT_1_YEAR_GROWTH","FQ3 2014","FQ3 2014","Currency=INR","Period=FQ","BEST_FPERIOD_OVERRIDE=FQ","FILING_STATUS=OR","EQY_CONSOLIDATED=Y","Sort=A","Dates=H","DateFormat=P","Fill=—","Direction=H","UseDPDF=Y")</f>
        <v>#NAME?</v>
      </c>
      <c r="AI431" s="2" t="e">
        <f ca="1">_xll.BDH($C$428,"TOTAL_EQUITY_1_YEAR_GROWTH","FQ3 2014","FQ3 2014","Currency=INR","Period=FQ","BEST_FPERIOD_OVERRIDE=FQ","FILING_STATUS=OR","EQY_CONSOLIDATED=Y","Sort=A","Dates=H","DateFormat=P","Fill=—","Direction=H","UseDPDF=Y")</f>
        <v>#NAME?</v>
      </c>
      <c r="AJ431" s="2" t="e">
        <f ca="1">_xll.BDH($C$428,"GROWTH_IN_CAP","FQ3 2014","FQ3 2014","Currency=INR","Period=FQ","BEST_FPERIOD_OVERRIDE=FQ","FILING_STATUS=OR","EQY_CONSOLIDATED=Y","Sort=A","Dates=H","DateFormat=P","Fill=—","Direction=H","UseDPDF=Y")</f>
        <v>#NAME?</v>
      </c>
      <c r="AK431" s="2" t="e">
        <f ca="1">_xll.BDH($C$428,"BVPS_GROWTH","FQ3 2014","FQ3 2014","Currency=INR","Period=FQ","BEST_FPERIOD_OVERRIDE=FQ","FILING_STATUS=OR","EQY_CONSOLIDATED=Y","Sort=A","Dates=H","DateFormat=P","Fill=—","Direction=H","UseDPDF=Y")</f>
        <v>#NAME?</v>
      </c>
      <c r="AL431" s="2" t="e">
        <f ca="1">_xll.BDH($C$428,"CASH_FLOW_GROWTH","FQ3 2014","FQ3 2014","Currency=INR","Period=FQ","BEST_FPERIOD_OVERRIDE=FQ","FILING_STATUS=OR","EQY_CONSOLIDATED=Y","Sort=A","Dates=H","DateFormat=P","Fill=—","Direction=H","UseDPDF=Y")</f>
        <v>#NAME?</v>
      </c>
      <c r="AM431" s="2" t="e">
        <f ca="1">_xll.BDH($C$428,"GEO_GROW_NET_SALES","FQ3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31" s="2" t="e">
        <f ca="1">_xll.BDH($C$428,"GEO_GROW_EBITDA","FQ3 2014","FQ3 2014","Currency=INR","Period=FQ","BEST_FPERIOD_OVERRIDE=FQ","FILING_STATUS=OR","EQY_CONSOLIDATED=Y","FA_ADJUSTED=GAAP","Sort=A","Dates=H","DateFormat=P","Fill=—","Direction=H","UseDPDF=Y")</f>
        <v>#NAME?</v>
      </c>
      <c r="AO431" s="2" t="e">
        <f ca="1">_xll.BDH($C$428,"GEO_GROW_OPER_INC","FQ3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31" s="2" t="e">
        <f ca="1">_xll.BDH($C$428,"NET_INCOME_TO_COMMON_5_YR_GROWTH","FQ3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31" s="2" t="e">
        <f ca="1">_xll.BDH($C$428,"5Y_GEO_GROWTH_DILUTED_EPS","FQ3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31" s="2" t="e">
        <f ca="1">_xll.BDH($C$428,"GEO_GROW_DVD_PER_SH","FQ3 2014","FQ3 2014","Currency=INR","Period=FQ","BEST_FPERIOD_OVERRIDE=FQ","FILING_STATUS=OR","EQY_CONSOLIDATED=Y","Sort=A","Dates=H","DateFormat=P","Fill=—","Direction=H","UseDPDF=Y")</f>
        <v>#NAME?</v>
      </c>
      <c r="AS431" s="2" t="e">
        <f ca="1">_xll.BDH($C$428,"ACCOUNTS_RECEIVABLE_5_YR_GROWTH","FQ3 2014","FQ3 2014","Currency=INR","Period=FQ","BEST_FPERIOD_OVERRIDE=FQ","FILING_STATUS=OR","EQY_CONSOLIDATED=Y","Sort=A","Dates=H","DateFormat=P","Fill=—","Direction=H","UseDPDF=Y")</f>
        <v>#NAME?</v>
      </c>
      <c r="AT431" s="2" t="e">
        <f ca="1">_xll.BDH($C$428,"INVENTORY_5_YEAR_GROWTH","FQ3 2014","FQ3 2014","Currency=INR","Period=FQ","BEST_FPERIOD_OVERRIDE=FQ","FILING_STATUS=OR","EQY_CONSOLIDATED=Y","Sort=A","Dates=H","DateFormat=P","Fill=—","Direction=H","UseDPDF=Y")</f>
        <v>#NAME?</v>
      </c>
      <c r="AU431" s="2" t="e">
        <f ca="1">_xll.BDH($C$428,"NET_FIXED_ASSETS_5_YEAR_GROWTH","FQ3 2014","FQ3 2014","Currency=INR","Period=FQ","BEST_FPERIOD_OVERRIDE=FQ","FILING_STATUS=OR","EQY_CONSOLIDATED=Y","Sort=A","Dates=H","DateFormat=P","Fill=—","Direction=H","UseDPDF=Y")</f>
        <v>#NAME?</v>
      </c>
      <c r="AV431" s="2" t="e">
        <f ca="1">_xll.BDH($C$428,"GEO_GROW_TOT_ASSET","FQ3 2014","FQ3 2014","Currency=INR","Period=FQ","BEST_FPERIOD_OVERRIDE=FQ","FILING_STATUS=OR","EQY_CONSOLIDATED=Y","Sort=A","Dates=H","DateFormat=P","Fill=—","Direction=H","UseDPDF=Y")</f>
        <v>#NAME?</v>
      </c>
      <c r="AW431" s="2" t="e">
        <f ca="1">_xll.BDH($C$428,"MODIFIED_WORKING_CPTL_5YR_GRWTH","FQ3 2014","FQ3 2014","Currency=INR","Period=FQ","BEST_FPERIOD_OVERRIDE=FQ","FILING_STATUS=OR","EQY_CONSOLIDATED=Y","Sort=A","Dates=H","DateFormat=P","Fill=—","Direction=H","UseDPDF=Y")</f>
        <v>#NAME?</v>
      </c>
      <c r="AX431" s="2" t="e">
        <f ca="1">_xll.BDH($C$428,"WORKING_CAPITAL_5_YEAR_GROWTH","FQ3 2014","FQ3 2014","Currency=INR","Period=FQ","BEST_FPERIOD_OVERRIDE=FQ","FILING_STATUS=OR","EQY_CONSOLIDATED=Y","Sort=A","Dates=H","DateFormat=P","Fill=—","Direction=H","UseDPDF=Y")</f>
        <v>#NAME?</v>
      </c>
      <c r="AY431" s="2" t="e">
        <f ca="1">_xll.BDH($C$428,"ACCOUNTS_PAYABLE_5_YEAR_GROWTH","FQ3 2014","FQ3 2014","Currency=INR","Period=FQ","BEST_FPERIOD_OVERRIDE=FQ","FILING_STATUS=OR","EQY_CONSOLIDATED=Y","Sort=A","Dates=H","DateFormat=P","Fill=—","Direction=H","UseDPDF=Y")</f>
        <v>#NAME?</v>
      </c>
      <c r="AZ431" s="2" t="e">
        <f ca="1">_xll.BDH($C$428,"SHORT_TERM_DEBT_5_YEAR_GROWTH","FQ3 2014","FQ3 2014","Currency=INR","Period=FQ","BEST_FPERIOD_OVERRIDE=FQ","FILING_STATUS=OR","EQY_CONSOLIDATED=Y","Sort=A","Dates=H","DateFormat=P","Fill=—","Direction=H","UseDPDF=Y")</f>
        <v>#NAME?</v>
      </c>
      <c r="BA431" s="2" t="e">
        <f ca="1">_xll.BDH($C$428,"TOTAL_DEBT_5_YEAR_GROWTH","FQ3 2014","FQ3 2014","Currency=INR","Period=FQ","BEST_FPERIOD_OVERRIDE=FQ","FILING_STATUS=OR","EQY_CONSOLIDATED=Y","Sort=A","Dates=H","DateFormat=P","Fill=—","Direction=H","UseDPDF=Y")</f>
        <v>#NAME?</v>
      </c>
      <c r="BB431" s="2" t="e">
        <f ca="1">_xll.BDH($C$428,"GEO_GROW_TOT_SHRHLDR_EQY","FQ3 2014","FQ3 2014","Currency=INR","Period=FQ","BEST_FPERIOD_OVERRIDE=FQ","FILING_STATUS=OR","EQY_CONSOLIDATED=Y","Sort=A","Dates=H","DateFormat=P","Fill=—","Direction=H","UseDPDF=Y")</f>
        <v>#NAME?</v>
      </c>
      <c r="BC431" s="2" t="e">
        <f ca="1">_xll.BDH($C$428,"TOTAL_CAPITAL_5_YEAR_GROWTH","FQ3 2014","FQ3 2014","Currency=INR","Period=FQ","BEST_FPERIOD_OVERRIDE=FQ","FILING_STATUS=OR","EQY_CONSOLIDATED=Y","Sort=A","Dates=H","DateFormat=P","Fill=—","Direction=H","UseDPDF=Y")</f>
        <v>#NAME?</v>
      </c>
      <c r="BD431" s="2" t="e">
        <f ca="1">_xll.BDH($C$428,"GEO_GROW_BOOK_VAL","FQ3 2014","FQ3 2014","Currency=INR","Period=FQ","BEST_FPERIOD_OVERRIDE=FQ","FILING_STATUS=OR","EQY_CONSOLIDATED=Y","Sort=A","Dates=H","DateFormat=P","Fill=—","Direction=H","UseDPDF=Y")</f>
        <v>#NAME?</v>
      </c>
      <c r="BE431" s="2" t="e">
        <f ca="1">_xll.BDH($C$428,"GEO_GROW_CASH_OPER_ACT","FQ3 2014","FQ3 2014","Currency=INR","Period=FQ","BEST_FPERIOD_OVERRIDE=FQ","FILING_STATUS=OR","EQY_CONSOLIDATED=Y","Sort=A","Dates=H","DateFormat=P","Fill=—","Direction=H","UseDPDF=Y")</f>
        <v>#NAME?</v>
      </c>
      <c r="BF431" s="2" t="e">
        <f ca="1">_xll.BDH($C$428,"REVENUE_SEQUENTIAL_GROWTH","FQ3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31" s="2" t="e">
        <f ca="1">_xll.BDH($C$428,"EBITDA_SEQUENTIAL_GROWTH","FQ3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31" s="2" t="e">
        <f ca="1">_xll.BDH($C$428,"OPERATING_INCOME_SEQ_GROWTH","FQ3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31" s="2" t="e">
        <f ca="1">_xll.BDH($C$428,"NET_INCOME_TO_COMMON_SEQ_GROWTH","FQ3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31" s="2" t="e">
        <f ca="1">_xll.BDH($C$428,"EPS_DILUTED_SEQUENTIAL_GROWTH","FQ3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31" s="2" t="e">
        <f ca="1">_xll.BDH($C$428,"DPS_SEQUENTIAL_GROWTH","FQ3 2014","FQ3 2014","Currency=INR","Period=FQ","BEST_FPERIOD_OVERRIDE=FQ","FILING_STATUS=OR","EQY_CONSOLIDATED=Y","Sort=A","Dates=H","DateFormat=P","Fill=—","Direction=H","UseDPDF=Y")</f>
        <v>#NAME?</v>
      </c>
      <c r="BL431" s="2" t="e">
        <f ca="1">_xll.BDH($C$428,"ACCOUNTS_RECEIVABLE_SEQ_GROWTH","FQ3 2014","FQ3 2014","Currency=INR","Period=FQ","BEST_FPERIOD_OVERRIDE=FQ","FILING_STATUS=OR","EQY_CONSOLIDATED=Y","Sort=A","Dates=H","DateFormat=P","Fill=—","Direction=H","UseDPDF=Y")</f>
        <v>#NAME?</v>
      </c>
      <c r="BM431" s="2" t="e">
        <f ca="1">_xll.BDH($C$428,"INVENTORY_SEQUENTIAL_GROWTH","FQ3 2014","FQ3 2014","Currency=INR","Period=FQ","BEST_FPERIOD_OVERRIDE=FQ","FILING_STATUS=OR","EQY_CONSOLIDATED=Y","Sort=A","Dates=H","DateFormat=P","Fill=—","Direction=H","UseDPDF=Y")</f>
        <v>#NAME?</v>
      </c>
      <c r="BN431" s="2" t="e">
        <f ca="1">_xll.BDH($C$428,"FIXED_ASSETS_SEQUENTIAL_GROWTH","FQ3 2014","FQ3 2014","Currency=INR","Period=FQ","BEST_FPERIOD_OVERRIDE=FQ","FILING_STATUS=OR","EQY_CONSOLIDATED=Y","Sort=A","Dates=H","DateFormat=P","Fill=—","Direction=H","UseDPDF=Y")</f>
        <v>#NAME?</v>
      </c>
      <c r="BO431" s="2" t="e">
        <f ca="1">_xll.BDH($C$428,"TOTAL_ASSETS_SEQUENTIAL_GROWTH","FQ3 2014","FQ3 2014","Currency=INR","Period=FQ","BEST_FPERIOD_OVERRIDE=FQ","FILING_STATUS=OR","EQY_CONSOLIDATED=Y","Sort=A","Dates=H","DateFormat=P","Fill=—","Direction=H","UseDPDF=Y")</f>
        <v>#NAME?</v>
      </c>
      <c r="BP431" s="2" t="e">
        <f ca="1">_xll.BDH($C$428,"MODIFIED_WORKING_CPTL_SEQ_GRWTH","FQ3 2014","FQ3 2014","Currency=INR","Period=FQ","BEST_FPERIOD_OVERRIDE=FQ","FILING_STATUS=OR","EQY_CONSOLIDATED=Y","Sort=A","Dates=H","DateFormat=P","Fill=—","Direction=H","UseDPDF=Y")</f>
        <v>#NAME?</v>
      </c>
      <c r="BQ431" s="2" t="e">
        <f ca="1">_xll.BDH($C$428,"WORKING_CAPITAL_SEQ_GROWTH","FQ3 2014","FQ3 2014","Currency=INR","Period=FQ","BEST_FPERIOD_OVERRIDE=FQ","FILING_STATUS=OR","EQY_CONSOLIDATED=Y","Sort=A","Dates=H","DateFormat=P","Fill=—","Direction=H","UseDPDF=Y")</f>
        <v>#NAME?</v>
      </c>
      <c r="BR431" s="2" t="e">
        <f ca="1">_xll.BDH($C$428,"ACCOUNTS_PAYABLE_SEQ_GROWTH","FQ3 2014","FQ3 2014","Currency=INR","Period=FQ","BEST_FPERIOD_OVERRIDE=FQ","FILING_STATUS=OR","EQY_CONSOLIDATED=Y","Sort=A","Dates=H","DateFormat=P","Fill=—","Direction=H","UseDPDF=Y")</f>
        <v>#NAME?</v>
      </c>
      <c r="BS431" s="2" t="e">
        <f ca="1">_xll.BDH($C$428,"ST_DEBT_SEQUENTIAL_GROWTH","FQ3 2014","FQ3 2014","Currency=INR","Period=FQ","BEST_FPERIOD_OVERRIDE=FQ","FILING_STATUS=OR","EQY_CONSOLIDATED=Y","Sort=A","Dates=H","DateFormat=P","Fill=—","Direction=H","UseDPDF=Y")</f>
        <v>#NAME?</v>
      </c>
      <c r="BT431" s="2" t="e">
        <f ca="1">_xll.BDH($C$428,"TOTAL_DEBT_SEQUENTIAL_GROWTH","FQ3 2014","FQ3 2014","Currency=INR","Period=FQ","BEST_FPERIOD_OVERRIDE=FQ","FILING_STATUS=OR","EQY_CONSOLIDATED=Y","Sort=A","Dates=H","DateFormat=P","Fill=—","Direction=H","UseDPDF=Y")</f>
        <v>#NAME?</v>
      </c>
      <c r="BU431" s="2" t="e">
        <f ca="1">_xll.BDH($C$428,"TOTAL_EQUITY_SEQUENTIAL_GROWTH","FQ3 2014","FQ3 2014","Currency=INR","Period=FQ","BEST_FPERIOD_OVERRIDE=FQ","FILING_STATUS=OR","EQY_CONSOLIDATED=Y","Sort=A","Dates=H","DateFormat=P","Fill=—","Direction=H","UseDPDF=Y")</f>
        <v>#NAME?</v>
      </c>
      <c r="BV431" s="2" t="e">
        <f ca="1">_xll.BDH($C$428,"TOTAL_CAPITAL_SEQUENTIAL_GROWTH","FQ3 2014","FQ3 2014","Currency=INR","Period=FQ","BEST_FPERIOD_OVERRIDE=FQ","FILING_STATUS=OR","EQY_CONSOLIDATED=Y","Sort=A","Dates=H","DateFormat=P","Fill=—","Direction=H","UseDPDF=Y")</f>
        <v>#NAME?</v>
      </c>
      <c r="BW431" s="2" t="e">
        <f ca="1">_xll.BDH($C$428,"BPS_SEQUENTIAL_GROWTH","FQ3 2014","FQ3 2014","Currency=INR","Period=FQ","BEST_FPERIOD_OVERRIDE=FQ","FILING_STATUS=OR","EQY_CONSOLIDATED=Y","Sort=A","Dates=H","DateFormat=P","Fill=—","Direction=H","UseDPDF=Y")</f>
        <v>#NAME?</v>
      </c>
      <c r="BX431" s="2" t="e">
        <f ca="1">_xll.BDH($C$428,"CFO_SEQUENTIAL_GROWTH","FQ3 2014","FQ3 2014","Currency=INR","Period=FQ","BEST_FPERIOD_OVERRIDE=FQ","FILING_STATUS=OR","EQY_CONSOLIDATED=Y","Sort=A","Dates=H","DateFormat=P","Fill=—","Direction=H","UseDPDF=Y")</f>
        <v>#NAME?</v>
      </c>
      <c r="BY431" s="3" t="e">
        <f ca="1">_xll.BDH($C$428,"SHORT_AND_LONG_TERM_DEBT","FQ3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31" s="3" t="e">
        <f ca="1">_xll.BDH($C$428,"BS_ST_BORROW","FQ3 2014","FQ3 2014","Currency=INR","Period=FQ","BEST_FPERIOD_OVERRIDE=FQ","FILING_STATUS=OR","EQY_CONSOLIDATED=Y","SCALING_FORMAT=MLN","Sort=A","Dates=H","DateFormat=P","Fill=—","Direction=H","UseDPDF=Y")</f>
        <v>#NAME?</v>
      </c>
      <c r="CA431" s="3" t="e">
        <f ca="1">_xll.BDH($C$428,"BS_LT_BORROW","FQ3 2014","FQ3 2014","Currency=INR","Period=FQ","BEST_FPERIOD_OVERRIDE=FQ","FILING_STATUS=OR","EQY_CONSOLIDATED=Y","SCALING_FORMAT=MLN","Sort=A","Dates=H","DateFormat=P","Fill=—","Direction=H","UseDPDF=Y")</f>
        <v>#NAME?</v>
      </c>
      <c r="CB431" s="2" t="e">
        <f ca="1">_xll.BDH($C$428,"TOT_DEBT_TO_EBITDA","FQ3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31" s="2" t="e">
        <f ca="1">_xll.BDH($C$428,"NET_DEBT_TO_EBITDA","FQ3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31" s="2" t="e">
        <f ca="1">_xll.BDH($C$428,"TOTAL_DEBT_TO_EBIT","FQ3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31" s="2" t="e">
        <f ca="1">_xll.BDH($C$428,"NET_DEBT_TO_EBIT","FQ3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31" s="2" t="e">
        <f ca="1">_xll.BDH($C$428,"EBITDA_TO_INTEREST_EXPN","FQ3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31" s="2" t="e">
        <f ca="1">_xll.BDH($C$428,"COM_EQY_TO_TOT_ASSET","FQ3 2014","FQ3 2014","Currency=INR","Period=FQ","BEST_FPERIOD_OVERRIDE=FQ","FILING_STATUS=OR","EQY_CONSOLIDATED=Y","Sort=A","Dates=H","DateFormat=P","Fill=—","Direction=H","UseDPDF=Y")</f>
        <v>#NAME?</v>
      </c>
      <c r="CH431" s="2" t="e">
        <f ca="1">_xll.BDH($C$428,"LT_DEBT_TO_TOT_EQY","FQ3 2014","FQ3 2014","Currency=INR","Period=FQ","BEST_FPERIOD_OVERRIDE=FQ","FILING_STATUS=OR","EQY_CONSOLIDATED=Y","Sort=A","Dates=H","DateFormat=P","Fill=—","Direction=H","UseDPDF=Y")</f>
        <v>#NAME?</v>
      </c>
      <c r="CI431" s="2" t="e">
        <f ca="1">_xll.BDH($C$428,"LT_DEBT_TO_TOT_CAP","FQ3 2014","FQ3 2014","Currency=INR","Period=FQ","BEST_FPERIOD_OVERRIDE=FQ","FILING_STATUS=OR","EQY_CONSOLIDATED=Y","Sort=A","Dates=H","DateFormat=P","Fill=—","Direction=H","UseDPDF=Y")</f>
        <v>#NAME?</v>
      </c>
      <c r="CJ431" s="2" t="e">
        <f ca="1">_xll.BDH($C$428,"LT_DEBT_TO_TOT_ASSET","FQ3 2014","FQ3 2014","Currency=INR","Period=FQ","BEST_FPERIOD_OVERRIDE=FQ","FILING_STATUS=OR","EQY_CONSOLIDATED=Y","Sort=A","Dates=H","DateFormat=P","Fill=—","Direction=H","UseDPDF=Y")</f>
        <v>#NAME?</v>
      </c>
      <c r="CK431" s="2" t="e">
        <f ca="1">_xll.BDH($C$428,"TOT_DEBT_TO_TOT_EQY","FQ3 2014","FQ3 2014","Currency=INR","Period=FQ","BEST_FPERIOD_OVERRIDE=FQ","FILING_STATUS=OR","EQY_CONSOLIDATED=Y","Sort=A","Dates=H","DateFormat=P","Fill=—","Direction=H","UseDPDF=Y")</f>
        <v>#NAME?</v>
      </c>
      <c r="CL431" s="2" t="e">
        <f ca="1">_xll.BDH($C$428,"TOT_DEBT_TO_TOT_CAP","FQ3 2014","FQ3 2014","Currency=INR","Period=FQ","BEST_FPERIOD_OVERRIDE=FQ","FILING_STATUS=OR","EQY_CONSOLIDATED=Y","Sort=A","Dates=H","DateFormat=P","Fill=—","Direction=H","UseDPDF=Y")</f>
        <v>#NAME?</v>
      </c>
      <c r="CM431" s="2" t="e">
        <f ca="1">_xll.BDH($C$428,"TOT_DEBT_TO_TOT_ASSET","FQ3 2014","FQ3 2014","Currency=INR","Period=FQ","BEST_FPERIOD_OVERRIDE=FQ","FILING_STATUS=OR","EQY_CONSOLIDATED=Y","Sort=A","Dates=H","DateFormat=P","Fill=—","Direction=H","UseDPDF=Y")</f>
        <v>#NAME?</v>
      </c>
      <c r="CN431" s="2" t="e">
        <f ca="1">_xll.BDH($C$428,"NET_DEBT_TO_SHRHLDR_EQTY","FQ3 2014","FQ3 2014","Currency=INR","Period=FQ","BEST_FPERIOD_OVERRIDE=FQ","FILING_STATUS=OR","EQY_CONSOLIDATED=Y","Sort=A","Dates=H","DateFormat=P","Fill=—","Direction=H","UseDPDF=Y")</f>
        <v>#NAME?</v>
      </c>
      <c r="CO431" s="2" t="e">
        <f ca="1">_xll.BDH($C$428,"NET_DEBT_%_CAPITAL","FQ3 2014","FQ3 2014","Currency=INR","Period=FQ","BEST_FPERIOD_OVERRIDE=FQ","FILING_STATUS=OR","EQY_CONSOLIDATED=Y","Sort=A","Dates=H","DateFormat=P","Fill=—","Direction=H","UseDPDF=Y")</f>
        <v>#NAME?</v>
      </c>
      <c r="CP431" s="3" t="e">
        <f ca="1">_xll.BDH($C$428,"EBITDA","FQ3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31" s="3" t="e">
        <f ca="1">_xll.BDH($C$428,"EBITDA_AFTER_CAPEX","FQ3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31" s="3" t="e">
        <f ca="1">_xll.BDH($C$428,"IS_OPER_INC","FQ3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31" s="2" t="e">
        <f ca="1">_xll.BDH($C$428,"CASH_RATIO","FQ3 2014","FQ3 2014","Currency=INR","Period=FQ","BEST_FPERIOD_OVERRIDE=FQ","FILING_STATUS=OR","EQY_CONSOLIDATED=Y","Sort=A","Dates=H","DateFormat=P","Fill=—","Direction=H","UseDPDF=Y")</f>
        <v>#NAME?</v>
      </c>
      <c r="CT431" s="2" t="e">
        <f ca="1">_xll.BDH($C$428,"CUR_RATIO","FQ3 2014","FQ3 2014","Currency=INR","Period=FQ","BEST_FPERIOD_OVERRIDE=FQ","FILING_STATUS=OR","EQY_CONSOLIDATED=Y","Sort=A","Dates=H","DateFormat=P","Fill=—","Direction=H","UseDPDF=Y")</f>
        <v>#NAME?</v>
      </c>
      <c r="CU431" s="2" t="e">
        <f ca="1">_xll.BDH($C$428,"QUICK_RATIO","FQ3 2014","FQ3 2014","Currency=INR","Period=FQ","BEST_FPERIOD_OVERRIDE=FQ","FILING_STATUS=OR","EQY_CONSOLIDATED=Y","Sort=A","Dates=H","DateFormat=P","Fill=—","Direction=H","UseDPDF=Y")</f>
        <v>#NAME?</v>
      </c>
      <c r="CV431" s="2" t="e">
        <f ca="1">_xll.BDH($C$428,"ALTMAN_Z_SCORE","FQ3 2014","FQ3 2014","Currency=INR","Period=FQ","BEST_FPERIOD_OVERRIDE=FQ","FILING_STATUS=OR","EQY_CONSOLIDATED=Y","Sort=A","Dates=H","DateFormat=P","Fill=—","Direction=H","UseDPDF=Y")</f>
        <v>#NAME?</v>
      </c>
      <c r="CW431" s="4" t="e">
        <f ca="1">_xll.BDH($C$428,"ACCT_RCV_TURN","FQ3 2014","FQ3 2014","Currency=INR","Period=FQ","BEST_FPERIOD_OVERRIDE=FQ","FILING_STATUS=OR","EQY_CONSOLIDATED=Y","FA_ADJUSTED=GAAP","Sort=A","Dates=H","DateFormat=P","Fill=—","Direction=H","UseDPDF=Y")</f>
        <v>#NAME?</v>
      </c>
      <c r="CX431" s="2" t="e">
        <f ca="1">_xll.BDH($C$428,"ACCT_RCV_DAYS","FQ3 2014","FQ3 2014","Currency=INR","Period=FQ","BEST_FPERIOD_OVERRIDE=FQ","FILING_STATUS=OR","EQY_CONSOLIDATED=Y","FA_ADJUSTED=GAAP","Sort=A","Dates=H","DateFormat=P","Fill=—","Direction=H","UseDPDF=Y")</f>
        <v>#NAME?</v>
      </c>
      <c r="CY431" s="4" t="e">
        <f ca="1">_xll.BDH($C$428,"INVENT_TURN","FQ3 2014","FQ3 2014","Currency=INR","Period=FQ","BEST_FPERIOD_OVERRIDE=FQ","FILING_STATUS=OR","EQY_CONSOLIDATED=Y","FA_ADJUSTED=GAAP","Sort=A","Dates=H","DateFormat=P","Fill=—","Direction=H","UseDPDF=Y")</f>
        <v>#NAME?</v>
      </c>
      <c r="CZ431" s="2" t="e">
        <f ca="1">_xll.BDH($C$428,"INVENT_DAYS","FQ3 2014","FQ3 2014","Currency=INR","Period=FQ","BEST_FPERIOD_OVERRIDE=FQ","FILING_STATUS=OR","EQY_CONSOLIDATED=Y","FA_ADJUSTED=GAAP","Sort=A","Dates=H","DateFormat=P","Fill=—","Direction=H","UseDPDF=Y")</f>
        <v>#NAME?</v>
      </c>
      <c r="DA431" s="4" t="e">
        <f ca="1">_xll.BDH($C$428,"ACCOUNTS_PAYABLE_TURNOVER","FQ3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31" s="2" t="e">
        <f ca="1">_xll.BDH($C$428,"ACCOUNTS_PAYABLE_TURNOVER_DAYS","FQ3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31" s="4" t="e">
        <f ca="1">_xll.BDH($C$428,"CASH_CONVERSION_CYCLE","FQ3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31" s="4" t="e">
        <f ca="1">_xll.BDH($C$428,"INV_TO_CASH_DAYS","FQ3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31" s="5" t="e">
        <f ca="1">_xll.BDH($C$428,"BS_INVENTORIES","FQ3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31" s="3" t="e">
        <f ca="1">_xll.BDH($C$428,"INVTRY_RAW_MATERIALS","FQ3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31" s="3" t="e">
        <f ca="1">_xll.BDH($C$428,"INVTRY_IN_PROGRESS","FQ3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31" s="3" t="e">
        <f ca="1">_xll.BDH($C$428,"INVTRY_FINISHED_GOODS","FQ3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31" s="3" t="e">
        <f ca="1">_xll.BDH($C$428,"BS_OTHER_INV","FQ3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32" spans="1:113" x14ac:dyDescent="0.3">
      <c r="A432" s="6"/>
      <c r="B432" s="6"/>
      <c r="C432" s="6"/>
      <c r="D432" s="6"/>
      <c r="E432" t="s">
        <v>81</v>
      </c>
      <c r="F432" t="e">
        <f ca="1">_xll.BDH($C$428,"RETURN_COM_EQY","FQ4 2014","FQ4 2014","Currency=INR","Period=FQ","BEST_FPERIOD_OVERRIDE=FQ","FILING_STATUS=OR","EQY_CONSOLIDATED=Y","FA_ADJUSTED=GAAP","Sort=A","Dates=H","DateFormat=P","Fill=—","Direction=H","UseDPDF=Y")</f>
        <v>#NAME?</v>
      </c>
      <c r="G432" t="e">
        <f ca="1">_xll.BDH($C$428,"RETURN_ON_ASSET","FQ4 2014","FQ4 2014","Currency=INR","Period=FQ","BEST_FPERIOD_OVERRIDE=FQ","FILING_STATUS=OR","EQY_CONSOLIDATED=Y","FA_ADJUSTED=GAAP","Sort=A","Dates=H","DateFormat=P","Fill=—","Direction=H","UseDPDF=Y")</f>
        <v>#NAME?</v>
      </c>
      <c r="H432" t="e">
        <f ca="1">_xll.BDH($C$428,"RETURN_ON_CAP","FQ4 2014","FQ4 2014","Currency=INR","Period=FQ","BEST_FPERIOD_OVERRIDE=FQ","FILING_STATUS=OR","EQY_CONSOLIDATED=Y","FA_ADJUSTED=GAAP","Sort=A","Dates=H","DateFormat=P","Fill=—","Direction=H","UseDPDF=Y")</f>
        <v>#NAME?</v>
      </c>
      <c r="I432" t="e">
        <f ca="1">_xll.BDH($C$428,"RETURN_ON_INV_CAPITAL","FQ4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32" t="e">
        <f ca="1">_xll.BDH($C$428,"EBITDA_TO_REVENUE","FQ4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32" t="e">
        <f ca="1">_xll.BDH($C$428,"OPER_MARGIN","FQ4 2014","FQ4 2014","Currency=INR","Period=FQ","BEST_FPERIOD_OVERRIDE=FQ","FILING_STATUS=OR","EQY_CONSOLIDATED=Y","FA_ADJUSTED=GAAP","Sort=A","Dates=H","DateFormat=P","Fill=—","Direction=H","UseDPDF=Y")</f>
        <v>#NAME?</v>
      </c>
      <c r="L432" t="e">
        <f ca="1">_xll.BDH($C$428,"INCREMENTAL_OPERATING_MARGIN","FQ4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32" t="e">
        <f ca="1">_xll.BDH($C$428,"PRETAX_INC_TO_NET_SALES","FQ4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32" t="e">
        <f ca="1">_xll.BDH($C$428,"INC_BEF_XO_ITEMS_TO_NET_SALES","FQ4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32" t="e">
        <f ca="1">_xll.BDH($C$428,"PROF_MARGIN","FQ4 2014","FQ4 2014","Currency=INR","Period=FQ","BEST_FPERIOD_OVERRIDE=FQ","FILING_STATUS=OR","EQY_CONSOLIDATED=Y","FA_ADJUSTED=GAAP","Sort=A","Dates=H","DateFormat=P","Fill=—","Direction=H","UseDPDF=Y")</f>
        <v>#NAME?</v>
      </c>
      <c r="P432" t="e">
        <f ca="1">_xll.BDH($C$428,"NET_INCOME_TO_COMMON_MARGIN","FQ4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32" t="e">
        <f ca="1">_xll.BDH($C$428,"EFF_TAX_RATE","FQ4 2014","FQ4 2014","Currency=INR","Period=FQ","BEST_FPERIOD_OVERRIDE=FQ","FILING_STATUS=OR","EQY_CONSOLIDATED=Y","FA_ADJUSTED=GAAP","Sort=A","Dates=H","DateFormat=P","Fill=—","Direction=H","UseDPDF=Y")</f>
        <v>#NAME?</v>
      </c>
      <c r="R432" t="e">
        <f ca="1">_xll.BDH($C$428,"DVD_PAYOUT_RATIO","FQ4 2014","FQ4 2014","Currency=INR","Period=FQ","BEST_FPERIOD_OVERRIDE=FQ","FILING_STATUS=OR","EQY_CONSOLIDATED=Y","FA_ADJUSTED=GAAP","Sort=A","Dates=H","DateFormat=P","Fill=—","Direction=H","UseDPDF=Y")</f>
        <v>#NAME?</v>
      </c>
      <c r="S432" t="e">
        <f ca="1">_xll.BDH($C$428,"SUSTAIN_GROWTH_RT","FQ4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32" s="2" t="e">
        <f ca="1">_xll.BDH($C$428,"SALES_GROWTH","FQ4 2014","FQ4 2014","Currency=INR","Period=FQ","BEST_FPERIOD_OVERRIDE=FQ","FILING_STATUS=OR","EQY_CONSOLIDATED=Y","FA_ADJUSTED=GAAP","Sort=A","Dates=H","DateFormat=P","Fill=—","Direction=H","UseDPDF=Y")</f>
        <v>#NAME?</v>
      </c>
      <c r="U432" s="2" t="e">
        <f ca="1">_xll.BDH($C$428,"EBITDA_GROWTH","FQ4 2014","FQ4 2014","Currency=INR","Period=FQ","BEST_FPERIOD_OVERRIDE=FQ","FILING_STATUS=OR","EQY_CONSOLIDATED=Y","FA_ADJUSTED=GAAP","Sort=A","Dates=H","DateFormat=P","Fill=—","Direction=H","UseDPDF=Y")</f>
        <v>#NAME?</v>
      </c>
      <c r="V432" s="2" t="e">
        <f ca="1">_xll.BDH($C$428,"OPER_INC_GROWTH","FQ4 2014","FQ4 2014","Currency=INR","Period=FQ","BEST_FPERIOD_OVERRIDE=FQ","FILING_STATUS=OR","EQY_CONSOLIDATED=Y","FA_ADJUSTED=GAAP","Sort=A","Dates=H","DateFormat=P","Fill=—","Direction=H","UseDPDF=Y")</f>
        <v>#NAME?</v>
      </c>
      <c r="W432" s="2" t="e">
        <f ca="1">_xll.BDH($C$428,"EARN_FOR_COM_GROWTH","FQ4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32" s="2" t="e">
        <f ca="1">_xll.BDH($C$428,"DILUTED_EPS_AFT_XO_ITEMS_GROWTH","FQ4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32" s="2" t="e">
        <f ca="1">_xll.BDH($C$428,"DIVIDEND_PER_SHARE_1_YEAR_GROWTH","FQ4 2014","FQ4 2014","Currency=INR","Period=FQ","BEST_FPERIOD_OVERRIDE=FQ","FILING_STATUS=OR","EQY_CONSOLIDATED=Y","Sort=A","Dates=H","DateFormat=P","Fill=—","Direction=H","UseDPDF=Y")</f>
        <v>#NAME?</v>
      </c>
      <c r="Z432" s="2" t="e">
        <f ca="1">_xll.BDH($C$428,"ACCOUNTS_RECEIVABLE_GROWTH","FQ4 2014","FQ4 2014","Currency=INR","Period=FQ","BEST_FPERIOD_OVERRIDE=FQ","FILING_STATUS=OR","EQY_CONSOLIDATED=Y","Sort=A","Dates=H","DateFormat=P","Fill=—","Direction=H","UseDPDF=Y")</f>
        <v>#NAME?</v>
      </c>
      <c r="AA432" s="2" t="e">
        <f ca="1">_xll.BDH($C$428,"INVENTORY_GROWTH","FQ4 2014","FQ4 2014","Currency=INR","Period=FQ","BEST_FPERIOD_OVERRIDE=FQ","FILING_STATUS=OR","EQY_CONSOLIDATED=Y","Sort=A","Dates=H","DateFormat=P","Fill=—","Direction=H","UseDPDF=Y")</f>
        <v>#NAME?</v>
      </c>
      <c r="AB432" s="2" t="e">
        <f ca="1">_xll.BDH($C$428,"NET_FIXED_ASSETS_1_YEAR_GROWTH","FQ4 2014","FQ4 2014","Currency=INR","Period=FQ","BEST_FPERIOD_OVERRIDE=FQ","FILING_STATUS=OR","EQY_CONSOLIDATED=Y","Sort=A","Dates=H","DateFormat=P","Fill=—","Direction=H","UseDPDF=Y")</f>
        <v>#NAME?</v>
      </c>
      <c r="AC432" s="2" t="e">
        <f ca="1">_xll.BDH($C$428,"ASSET_GROWTH","FQ4 2014","FQ4 2014","Currency=INR","Period=FQ","BEST_FPERIOD_OVERRIDE=FQ","FILING_STATUS=OR","EQY_CONSOLIDATED=Y","Sort=A","Dates=H","DateFormat=P","Fill=—","Direction=H","UseDPDF=Y")</f>
        <v>#NAME?</v>
      </c>
      <c r="AD432" s="2" t="e">
        <f ca="1">_xll.BDH($C$428,"MODIFIED_WORK_CAP_GROWTH","FQ4 2014","FQ4 2014","Currency=INR","Period=FQ","BEST_FPERIOD_OVERRIDE=FQ","FILING_STATUS=OR","EQY_CONSOLIDATED=Y","Sort=A","Dates=H","DateFormat=P","Fill=—","Direction=H","UseDPDF=Y")</f>
        <v>#NAME?</v>
      </c>
      <c r="AE432" s="2" t="e">
        <f ca="1">_xll.BDH($C$428,"WORK_CAP_GROWTH","FQ4 2014","FQ4 2014","Currency=INR","Period=FQ","BEST_FPERIOD_OVERRIDE=FQ","FILING_STATUS=OR","EQY_CONSOLIDATED=Y","Sort=A","Dates=H","DateFormat=P","Fill=—","Direction=H","UseDPDF=Y")</f>
        <v>#NAME?</v>
      </c>
      <c r="AF432" s="2" t="e">
        <f ca="1">_xll.BDH($C$428,"ACCOUNTS_PAYABLE_GROWTH_1YR","FQ4 2014","FQ4 2014","Currency=INR","Period=FQ","BEST_FPERIOD_OVERRIDE=FQ","FILING_STATUS=OR","EQY_CONSOLIDATED=Y","Sort=A","Dates=H","DateFormat=P","Fill=—","Direction=H","UseDPDF=Y")</f>
        <v>#NAME?</v>
      </c>
      <c r="AG432" s="2" t="e">
        <f ca="1">_xll.BDH($C$428,"SHORT_TERM_DEBT_1_YEAR_GROWTH","FQ4 2014","FQ4 2014","Currency=INR","Period=FQ","BEST_FPERIOD_OVERRIDE=FQ","FILING_STATUS=OR","EQY_CONSOLIDATED=Y","Sort=A","Dates=H","DateFormat=P","Fill=—","Direction=H","UseDPDF=Y")</f>
        <v>#NAME?</v>
      </c>
      <c r="AH432" s="2" t="e">
        <f ca="1">_xll.BDH($C$428,"TOTAL_DEBT_1_YEAR_GROWTH","FQ4 2014","FQ4 2014","Currency=INR","Period=FQ","BEST_FPERIOD_OVERRIDE=FQ","FILING_STATUS=OR","EQY_CONSOLIDATED=Y","Sort=A","Dates=H","DateFormat=P","Fill=—","Direction=H","UseDPDF=Y")</f>
        <v>#NAME?</v>
      </c>
      <c r="AI432" s="2" t="e">
        <f ca="1">_xll.BDH($C$428,"TOTAL_EQUITY_1_YEAR_GROWTH","FQ4 2014","FQ4 2014","Currency=INR","Period=FQ","BEST_FPERIOD_OVERRIDE=FQ","FILING_STATUS=OR","EQY_CONSOLIDATED=Y","Sort=A","Dates=H","DateFormat=P","Fill=—","Direction=H","UseDPDF=Y")</f>
        <v>#NAME?</v>
      </c>
      <c r="AJ432" s="2" t="e">
        <f ca="1">_xll.BDH($C$428,"GROWTH_IN_CAP","FQ4 2014","FQ4 2014","Currency=INR","Period=FQ","BEST_FPERIOD_OVERRIDE=FQ","FILING_STATUS=OR","EQY_CONSOLIDATED=Y","Sort=A","Dates=H","DateFormat=P","Fill=—","Direction=H","UseDPDF=Y")</f>
        <v>#NAME?</v>
      </c>
      <c r="AK432" s="2" t="e">
        <f ca="1">_xll.BDH($C$428,"BVPS_GROWTH","FQ4 2014","FQ4 2014","Currency=INR","Period=FQ","BEST_FPERIOD_OVERRIDE=FQ","FILING_STATUS=OR","EQY_CONSOLIDATED=Y","Sort=A","Dates=H","DateFormat=P","Fill=—","Direction=H","UseDPDF=Y")</f>
        <v>#NAME?</v>
      </c>
      <c r="AL432" s="2" t="e">
        <f ca="1">_xll.BDH($C$428,"CASH_FLOW_GROWTH","FQ4 2014","FQ4 2014","Currency=INR","Period=FQ","BEST_FPERIOD_OVERRIDE=FQ","FILING_STATUS=OR","EQY_CONSOLIDATED=Y","Sort=A","Dates=H","DateFormat=P","Fill=—","Direction=H","UseDPDF=Y")</f>
        <v>#NAME?</v>
      </c>
      <c r="AM432" s="2" t="e">
        <f ca="1">_xll.BDH($C$428,"GEO_GROW_NET_SALES","FQ4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32" s="2" t="e">
        <f ca="1">_xll.BDH($C$428,"GEO_GROW_EBITDA","FQ4 2014","FQ4 2014","Currency=INR","Period=FQ","BEST_FPERIOD_OVERRIDE=FQ","FILING_STATUS=OR","EQY_CONSOLIDATED=Y","FA_ADJUSTED=GAAP","Sort=A","Dates=H","DateFormat=P","Fill=—","Direction=H","UseDPDF=Y")</f>
        <v>#NAME?</v>
      </c>
      <c r="AO432" s="2" t="e">
        <f ca="1">_xll.BDH($C$428,"GEO_GROW_OPER_INC","FQ4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32" s="2" t="e">
        <f ca="1">_xll.BDH($C$428,"NET_INCOME_TO_COMMON_5_YR_GROWTH","FQ4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32" s="2" t="e">
        <f ca="1">_xll.BDH($C$428,"5Y_GEO_GROWTH_DILUTED_EPS","FQ4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32" s="2" t="e">
        <f ca="1">_xll.BDH($C$428,"GEO_GROW_DVD_PER_SH","FQ4 2014","FQ4 2014","Currency=INR","Period=FQ","BEST_FPERIOD_OVERRIDE=FQ","FILING_STATUS=OR","EQY_CONSOLIDATED=Y","Sort=A","Dates=H","DateFormat=P","Fill=—","Direction=H","UseDPDF=Y")</f>
        <v>#NAME?</v>
      </c>
      <c r="AS432" s="2" t="e">
        <f ca="1">_xll.BDH($C$428,"ACCOUNTS_RECEIVABLE_5_YR_GROWTH","FQ4 2014","FQ4 2014","Currency=INR","Period=FQ","BEST_FPERIOD_OVERRIDE=FQ","FILING_STATUS=OR","EQY_CONSOLIDATED=Y","Sort=A","Dates=H","DateFormat=P","Fill=—","Direction=H","UseDPDF=Y")</f>
        <v>#NAME?</v>
      </c>
      <c r="AT432" s="2" t="e">
        <f ca="1">_xll.BDH($C$428,"INVENTORY_5_YEAR_GROWTH","FQ4 2014","FQ4 2014","Currency=INR","Period=FQ","BEST_FPERIOD_OVERRIDE=FQ","FILING_STATUS=OR","EQY_CONSOLIDATED=Y","Sort=A","Dates=H","DateFormat=P","Fill=—","Direction=H","UseDPDF=Y")</f>
        <v>#NAME?</v>
      </c>
      <c r="AU432" s="2" t="e">
        <f ca="1">_xll.BDH($C$428,"NET_FIXED_ASSETS_5_YEAR_GROWTH","FQ4 2014","FQ4 2014","Currency=INR","Period=FQ","BEST_FPERIOD_OVERRIDE=FQ","FILING_STATUS=OR","EQY_CONSOLIDATED=Y","Sort=A","Dates=H","DateFormat=P","Fill=—","Direction=H","UseDPDF=Y")</f>
        <v>#NAME?</v>
      </c>
      <c r="AV432" s="2" t="e">
        <f ca="1">_xll.BDH($C$428,"GEO_GROW_TOT_ASSET","FQ4 2014","FQ4 2014","Currency=INR","Period=FQ","BEST_FPERIOD_OVERRIDE=FQ","FILING_STATUS=OR","EQY_CONSOLIDATED=Y","Sort=A","Dates=H","DateFormat=P","Fill=—","Direction=H","UseDPDF=Y")</f>
        <v>#NAME?</v>
      </c>
      <c r="AW432" s="2" t="e">
        <f ca="1">_xll.BDH($C$428,"MODIFIED_WORKING_CPTL_5YR_GRWTH","FQ4 2014","FQ4 2014","Currency=INR","Period=FQ","BEST_FPERIOD_OVERRIDE=FQ","FILING_STATUS=OR","EQY_CONSOLIDATED=Y","Sort=A","Dates=H","DateFormat=P","Fill=—","Direction=H","UseDPDF=Y")</f>
        <v>#NAME?</v>
      </c>
      <c r="AX432" s="2" t="e">
        <f ca="1">_xll.BDH($C$428,"WORKING_CAPITAL_5_YEAR_GROWTH","FQ4 2014","FQ4 2014","Currency=INR","Period=FQ","BEST_FPERIOD_OVERRIDE=FQ","FILING_STATUS=OR","EQY_CONSOLIDATED=Y","Sort=A","Dates=H","DateFormat=P","Fill=—","Direction=H","UseDPDF=Y")</f>
        <v>#NAME?</v>
      </c>
      <c r="AY432" s="2" t="e">
        <f ca="1">_xll.BDH($C$428,"ACCOUNTS_PAYABLE_5_YEAR_GROWTH","FQ4 2014","FQ4 2014","Currency=INR","Period=FQ","BEST_FPERIOD_OVERRIDE=FQ","FILING_STATUS=OR","EQY_CONSOLIDATED=Y","Sort=A","Dates=H","DateFormat=P","Fill=—","Direction=H","UseDPDF=Y")</f>
        <v>#NAME?</v>
      </c>
      <c r="AZ432" s="2" t="e">
        <f ca="1">_xll.BDH($C$428,"SHORT_TERM_DEBT_5_YEAR_GROWTH","FQ4 2014","FQ4 2014","Currency=INR","Period=FQ","BEST_FPERIOD_OVERRIDE=FQ","FILING_STATUS=OR","EQY_CONSOLIDATED=Y","Sort=A","Dates=H","DateFormat=P","Fill=—","Direction=H","UseDPDF=Y")</f>
        <v>#NAME?</v>
      </c>
      <c r="BA432" s="2" t="e">
        <f ca="1">_xll.BDH($C$428,"TOTAL_DEBT_5_YEAR_GROWTH","FQ4 2014","FQ4 2014","Currency=INR","Period=FQ","BEST_FPERIOD_OVERRIDE=FQ","FILING_STATUS=OR","EQY_CONSOLIDATED=Y","Sort=A","Dates=H","DateFormat=P","Fill=—","Direction=H","UseDPDF=Y")</f>
        <v>#NAME?</v>
      </c>
      <c r="BB432" s="2" t="e">
        <f ca="1">_xll.BDH($C$428,"GEO_GROW_TOT_SHRHLDR_EQY","FQ4 2014","FQ4 2014","Currency=INR","Period=FQ","BEST_FPERIOD_OVERRIDE=FQ","FILING_STATUS=OR","EQY_CONSOLIDATED=Y","Sort=A","Dates=H","DateFormat=P","Fill=—","Direction=H","UseDPDF=Y")</f>
        <v>#NAME?</v>
      </c>
      <c r="BC432" s="2" t="e">
        <f ca="1">_xll.BDH($C$428,"TOTAL_CAPITAL_5_YEAR_GROWTH","FQ4 2014","FQ4 2014","Currency=INR","Period=FQ","BEST_FPERIOD_OVERRIDE=FQ","FILING_STATUS=OR","EQY_CONSOLIDATED=Y","Sort=A","Dates=H","DateFormat=P","Fill=—","Direction=H","UseDPDF=Y")</f>
        <v>#NAME?</v>
      </c>
      <c r="BD432" s="2" t="e">
        <f ca="1">_xll.BDH($C$428,"GEO_GROW_BOOK_VAL","FQ4 2014","FQ4 2014","Currency=INR","Period=FQ","BEST_FPERIOD_OVERRIDE=FQ","FILING_STATUS=OR","EQY_CONSOLIDATED=Y","Sort=A","Dates=H","DateFormat=P","Fill=—","Direction=H","UseDPDF=Y")</f>
        <v>#NAME?</v>
      </c>
      <c r="BE432" s="2" t="e">
        <f ca="1">_xll.BDH($C$428,"GEO_GROW_CASH_OPER_ACT","FQ4 2014","FQ4 2014","Currency=INR","Period=FQ","BEST_FPERIOD_OVERRIDE=FQ","FILING_STATUS=OR","EQY_CONSOLIDATED=Y","Sort=A","Dates=H","DateFormat=P","Fill=—","Direction=H","UseDPDF=Y")</f>
        <v>#NAME?</v>
      </c>
      <c r="BF432" s="2" t="e">
        <f ca="1">_xll.BDH($C$428,"REVENUE_SEQUENTIAL_GROWTH","FQ4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32" s="2" t="e">
        <f ca="1">_xll.BDH($C$428,"EBITDA_SEQUENTIAL_GROWTH","FQ4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32" s="2" t="e">
        <f ca="1">_xll.BDH($C$428,"OPERATING_INCOME_SEQ_GROWTH","FQ4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32" s="2" t="e">
        <f ca="1">_xll.BDH($C$428,"NET_INCOME_TO_COMMON_SEQ_GROWTH","FQ4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32" s="2" t="e">
        <f ca="1">_xll.BDH($C$428,"EPS_DILUTED_SEQUENTIAL_GROWTH","FQ4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32" s="2" t="e">
        <f ca="1">_xll.BDH($C$428,"DPS_SEQUENTIAL_GROWTH","FQ4 2014","FQ4 2014","Currency=INR","Period=FQ","BEST_FPERIOD_OVERRIDE=FQ","FILING_STATUS=OR","EQY_CONSOLIDATED=Y","Sort=A","Dates=H","DateFormat=P","Fill=—","Direction=H","UseDPDF=Y")</f>
        <v>#NAME?</v>
      </c>
      <c r="BL432" s="2" t="e">
        <f ca="1">_xll.BDH($C$428,"ACCOUNTS_RECEIVABLE_SEQ_GROWTH","FQ4 2014","FQ4 2014","Currency=INR","Period=FQ","BEST_FPERIOD_OVERRIDE=FQ","FILING_STATUS=OR","EQY_CONSOLIDATED=Y","Sort=A","Dates=H","DateFormat=P","Fill=—","Direction=H","UseDPDF=Y")</f>
        <v>#NAME?</v>
      </c>
      <c r="BM432" s="2" t="e">
        <f ca="1">_xll.BDH($C$428,"INVENTORY_SEQUENTIAL_GROWTH","FQ4 2014","FQ4 2014","Currency=INR","Period=FQ","BEST_FPERIOD_OVERRIDE=FQ","FILING_STATUS=OR","EQY_CONSOLIDATED=Y","Sort=A","Dates=H","DateFormat=P","Fill=—","Direction=H","UseDPDF=Y")</f>
        <v>#NAME?</v>
      </c>
      <c r="BN432" s="2" t="e">
        <f ca="1">_xll.BDH($C$428,"FIXED_ASSETS_SEQUENTIAL_GROWTH","FQ4 2014","FQ4 2014","Currency=INR","Period=FQ","BEST_FPERIOD_OVERRIDE=FQ","FILING_STATUS=OR","EQY_CONSOLIDATED=Y","Sort=A","Dates=H","DateFormat=P","Fill=—","Direction=H","UseDPDF=Y")</f>
        <v>#NAME?</v>
      </c>
      <c r="BO432" s="2" t="e">
        <f ca="1">_xll.BDH($C$428,"TOTAL_ASSETS_SEQUENTIAL_GROWTH","FQ4 2014","FQ4 2014","Currency=INR","Period=FQ","BEST_FPERIOD_OVERRIDE=FQ","FILING_STATUS=OR","EQY_CONSOLIDATED=Y","Sort=A","Dates=H","DateFormat=P","Fill=—","Direction=H","UseDPDF=Y")</f>
        <v>#NAME?</v>
      </c>
      <c r="BP432" s="2" t="e">
        <f ca="1">_xll.BDH($C$428,"MODIFIED_WORKING_CPTL_SEQ_GRWTH","FQ4 2014","FQ4 2014","Currency=INR","Period=FQ","BEST_FPERIOD_OVERRIDE=FQ","FILING_STATUS=OR","EQY_CONSOLIDATED=Y","Sort=A","Dates=H","DateFormat=P","Fill=—","Direction=H","UseDPDF=Y")</f>
        <v>#NAME?</v>
      </c>
      <c r="BQ432" s="2" t="e">
        <f ca="1">_xll.BDH($C$428,"WORKING_CAPITAL_SEQ_GROWTH","FQ4 2014","FQ4 2014","Currency=INR","Period=FQ","BEST_FPERIOD_OVERRIDE=FQ","FILING_STATUS=OR","EQY_CONSOLIDATED=Y","Sort=A","Dates=H","DateFormat=P","Fill=—","Direction=H","UseDPDF=Y")</f>
        <v>#NAME?</v>
      </c>
      <c r="BR432" s="2" t="e">
        <f ca="1">_xll.BDH($C$428,"ACCOUNTS_PAYABLE_SEQ_GROWTH","FQ4 2014","FQ4 2014","Currency=INR","Period=FQ","BEST_FPERIOD_OVERRIDE=FQ","FILING_STATUS=OR","EQY_CONSOLIDATED=Y","Sort=A","Dates=H","DateFormat=P","Fill=—","Direction=H","UseDPDF=Y")</f>
        <v>#NAME?</v>
      </c>
      <c r="BS432" s="2" t="e">
        <f ca="1">_xll.BDH($C$428,"ST_DEBT_SEQUENTIAL_GROWTH","FQ4 2014","FQ4 2014","Currency=INR","Period=FQ","BEST_FPERIOD_OVERRIDE=FQ","FILING_STATUS=OR","EQY_CONSOLIDATED=Y","Sort=A","Dates=H","DateFormat=P","Fill=—","Direction=H","UseDPDF=Y")</f>
        <v>#NAME?</v>
      </c>
      <c r="BT432" s="2" t="e">
        <f ca="1">_xll.BDH($C$428,"TOTAL_DEBT_SEQUENTIAL_GROWTH","FQ4 2014","FQ4 2014","Currency=INR","Period=FQ","BEST_FPERIOD_OVERRIDE=FQ","FILING_STATUS=OR","EQY_CONSOLIDATED=Y","Sort=A","Dates=H","DateFormat=P","Fill=—","Direction=H","UseDPDF=Y")</f>
        <v>#NAME?</v>
      </c>
      <c r="BU432" s="2" t="e">
        <f ca="1">_xll.BDH($C$428,"TOTAL_EQUITY_SEQUENTIAL_GROWTH","FQ4 2014","FQ4 2014","Currency=INR","Period=FQ","BEST_FPERIOD_OVERRIDE=FQ","FILING_STATUS=OR","EQY_CONSOLIDATED=Y","Sort=A","Dates=H","DateFormat=P","Fill=—","Direction=H","UseDPDF=Y")</f>
        <v>#NAME?</v>
      </c>
      <c r="BV432" s="2" t="e">
        <f ca="1">_xll.BDH($C$428,"TOTAL_CAPITAL_SEQUENTIAL_GROWTH","FQ4 2014","FQ4 2014","Currency=INR","Period=FQ","BEST_FPERIOD_OVERRIDE=FQ","FILING_STATUS=OR","EQY_CONSOLIDATED=Y","Sort=A","Dates=H","DateFormat=P","Fill=—","Direction=H","UseDPDF=Y")</f>
        <v>#NAME?</v>
      </c>
      <c r="BW432" s="2" t="e">
        <f ca="1">_xll.BDH($C$428,"BPS_SEQUENTIAL_GROWTH","FQ4 2014","FQ4 2014","Currency=INR","Period=FQ","BEST_FPERIOD_OVERRIDE=FQ","FILING_STATUS=OR","EQY_CONSOLIDATED=Y","Sort=A","Dates=H","DateFormat=P","Fill=—","Direction=H","UseDPDF=Y")</f>
        <v>#NAME?</v>
      </c>
      <c r="BX432" s="2" t="e">
        <f ca="1">_xll.BDH($C$428,"CFO_SEQUENTIAL_GROWTH","FQ4 2014","FQ4 2014","Currency=INR","Period=FQ","BEST_FPERIOD_OVERRIDE=FQ","FILING_STATUS=OR","EQY_CONSOLIDATED=Y","Sort=A","Dates=H","DateFormat=P","Fill=—","Direction=H","UseDPDF=Y")</f>
        <v>#NAME?</v>
      </c>
      <c r="BY432" s="3" t="e">
        <f ca="1">_xll.BDH($C$428,"SHORT_AND_LONG_TERM_DEBT","FQ4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32" s="3" t="e">
        <f ca="1">_xll.BDH($C$428,"BS_ST_BORROW","FQ4 2014","FQ4 2014","Currency=INR","Period=FQ","BEST_FPERIOD_OVERRIDE=FQ","FILING_STATUS=OR","EQY_CONSOLIDATED=Y","SCALING_FORMAT=MLN","Sort=A","Dates=H","DateFormat=P","Fill=—","Direction=H","UseDPDF=Y")</f>
        <v>#NAME?</v>
      </c>
      <c r="CA432" s="3" t="e">
        <f ca="1">_xll.BDH($C$428,"BS_LT_BORROW","FQ4 2014","FQ4 2014","Currency=INR","Period=FQ","BEST_FPERIOD_OVERRIDE=FQ","FILING_STATUS=OR","EQY_CONSOLIDATED=Y","SCALING_FORMAT=MLN","Sort=A","Dates=H","DateFormat=P","Fill=—","Direction=H","UseDPDF=Y")</f>
        <v>#NAME?</v>
      </c>
      <c r="CB432" s="2" t="e">
        <f ca="1">_xll.BDH($C$428,"TOT_DEBT_TO_EBITDA","FQ4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32" s="2" t="e">
        <f ca="1">_xll.BDH($C$428,"NET_DEBT_TO_EBITDA","FQ4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32" s="2" t="e">
        <f ca="1">_xll.BDH($C$428,"TOTAL_DEBT_TO_EBIT","FQ4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32" s="2" t="e">
        <f ca="1">_xll.BDH($C$428,"NET_DEBT_TO_EBIT","FQ4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32" s="2" t="e">
        <f ca="1">_xll.BDH($C$428,"EBITDA_TO_INTEREST_EXPN","FQ4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32" s="2" t="e">
        <f ca="1">_xll.BDH($C$428,"COM_EQY_TO_TOT_ASSET","FQ4 2014","FQ4 2014","Currency=INR","Period=FQ","BEST_FPERIOD_OVERRIDE=FQ","FILING_STATUS=OR","EQY_CONSOLIDATED=Y","Sort=A","Dates=H","DateFormat=P","Fill=—","Direction=H","UseDPDF=Y")</f>
        <v>#NAME?</v>
      </c>
      <c r="CH432" s="2" t="e">
        <f ca="1">_xll.BDH($C$428,"LT_DEBT_TO_TOT_EQY","FQ4 2014","FQ4 2014","Currency=INR","Period=FQ","BEST_FPERIOD_OVERRIDE=FQ","FILING_STATUS=OR","EQY_CONSOLIDATED=Y","Sort=A","Dates=H","DateFormat=P","Fill=—","Direction=H","UseDPDF=Y")</f>
        <v>#NAME?</v>
      </c>
      <c r="CI432" s="2" t="e">
        <f ca="1">_xll.BDH($C$428,"LT_DEBT_TO_TOT_CAP","FQ4 2014","FQ4 2014","Currency=INR","Period=FQ","BEST_FPERIOD_OVERRIDE=FQ","FILING_STATUS=OR","EQY_CONSOLIDATED=Y","Sort=A","Dates=H","DateFormat=P","Fill=—","Direction=H","UseDPDF=Y")</f>
        <v>#NAME?</v>
      </c>
      <c r="CJ432" s="2" t="e">
        <f ca="1">_xll.BDH($C$428,"LT_DEBT_TO_TOT_ASSET","FQ4 2014","FQ4 2014","Currency=INR","Period=FQ","BEST_FPERIOD_OVERRIDE=FQ","FILING_STATUS=OR","EQY_CONSOLIDATED=Y","Sort=A","Dates=H","DateFormat=P","Fill=—","Direction=H","UseDPDF=Y")</f>
        <v>#NAME?</v>
      </c>
      <c r="CK432" s="2" t="e">
        <f ca="1">_xll.BDH($C$428,"TOT_DEBT_TO_TOT_EQY","FQ4 2014","FQ4 2014","Currency=INR","Period=FQ","BEST_FPERIOD_OVERRIDE=FQ","FILING_STATUS=OR","EQY_CONSOLIDATED=Y","Sort=A","Dates=H","DateFormat=P","Fill=—","Direction=H","UseDPDF=Y")</f>
        <v>#NAME?</v>
      </c>
      <c r="CL432" s="2" t="e">
        <f ca="1">_xll.BDH($C$428,"TOT_DEBT_TO_TOT_CAP","FQ4 2014","FQ4 2014","Currency=INR","Period=FQ","BEST_FPERIOD_OVERRIDE=FQ","FILING_STATUS=OR","EQY_CONSOLIDATED=Y","Sort=A","Dates=H","DateFormat=P","Fill=—","Direction=H","UseDPDF=Y")</f>
        <v>#NAME?</v>
      </c>
      <c r="CM432" s="2" t="e">
        <f ca="1">_xll.BDH($C$428,"TOT_DEBT_TO_TOT_ASSET","FQ4 2014","FQ4 2014","Currency=INR","Period=FQ","BEST_FPERIOD_OVERRIDE=FQ","FILING_STATUS=OR","EQY_CONSOLIDATED=Y","Sort=A","Dates=H","DateFormat=P","Fill=—","Direction=H","UseDPDF=Y")</f>
        <v>#NAME?</v>
      </c>
      <c r="CN432" s="2" t="e">
        <f ca="1">_xll.BDH($C$428,"NET_DEBT_TO_SHRHLDR_EQTY","FQ4 2014","FQ4 2014","Currency=INR","Period=FQ","BEST_FPERIOD_OVERRIDE=FQ","FILING_STATUS=OR","EQY_CONSOLIDATED=Y","Sort=A","Dates=H","DateFormat=P","Fill=—","Direction=H","UseDPDF=Y")</f>
        <v>#NAME?</v>
      </c>
      <c r="CO432" s="2" t="e">
        <f ca="1">_xll.BDH($C$428,"NET_DEBT_%_CAPITAL","FQ4 2014","FQ4 2014","Currency=INR","Period=FQ","BEST_FPERIOD_OVERRIDE=FQ","FILING_STATUS=OR","EQY_CONSOLIDATED=Y","Sort=A","Dates=H","DateFormat=P","Fill=—","Direction=H","UseDPDF=Y")</f>
        <v>#NAME?</v>
      </c>
      <c r="CP432" s="3" t="e">
        <f ca="1">_xll.BDH($C$428,"EBITDA","FQ4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32" s="3" t="e">
        <f ca="1">_xll.BDH($C$428,"EBITDA_AFTER_CAPEX","FQ4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32" s="3" t="e">
        <f ca="1">_xll.BDH($C$428,"IS_OPER_INC","FQ4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32" s="2" t="e">
        <f ca="1">_xll.BDH($C$428,"CASH_RATIO","FQ4 2014","FQ4 2014","Currency=INR","Period=FQ","BEST_FPERIOD_OVERRIDE=FQ","FILING_STATUS=OR","EQY_CONSOLIDATED=Y","Sort=A","Dates=H","DateFormat=P","Fill=—","Direction=H","UseDPDF=Y")</f>
        <v>#NAME?</v>
      </c>
      <c r="CT432" s="2" t="e">
        <f ca="1">_xll.BDH($C$428,"CUR_RATIO","FQ4 2014","FQ4 2014","Currency=INR","Period=FQ","BEST_FPERIOD_OVERRIDE=FQ","FILING_STATUS=OR","EQY_CONSOLIDATED=Y","Sort=A","Dates=H","DateFormat=P","Fill=—","Direction=H","UseDPDF=Y")</f>
        <v>#NAME?</v>
      </c>
      <c r="CU432" s="2" t="e">
        <f ca="1">_xll.BDH($C$428,"QUICK_RATIO","FQ4 2014","FQ4 2014","Currency=INR","Period=FQ","BEST_FPERIOD_OVERRIDE=FQ","FILING_STATUS=OR","EQY_CONSOLIDATED=Y","Sort=A","Dates=H","DateFormat=P","Fill=—","Direction=H","UseDPDF=Y")</f>
        <v>#NAME?</v>
      </c>
      <c r="CV432" s="2" t="e">
        <f ca="1">_xll.BDH($C$428,"ALTMAN_Z_SCORE","FQ4 2014","FQ4 2014","Currency=INR","Period=FQ","BEST_FPERIOD_OVERRIDE=FQ","FILING_STATUS=OR","EQY_CONSOLIDATED=Y","Sort=A","Dates=H","DateFormat=P","Fill=—","Direction=H","UseDPDF=Y")</f>
        <v>#NAME?</v>
      </c>
      <c r="CW432" s="4" t="e">
        <f ca="1">_xll.BDH($C$428,"ACCT_RCV_TURN","FQ4 2014","FQ4 2014","Currency=INR","Period=FQ","BEST_FPERIOD_OVERRIDE=FQ","FILING_STATUS=OR","EQY_CONSOLIDATED=Y","FA_ADJUSTED=GAAP","Sort=A","Dates=H","DateFormat=P","Fill=—","Direction=H","UseDPDF=Y")</f>
        <v>#NAME?</v>
      </c>
      <c r="CX432" s="2" t="e">
        <f ca="1">_xll.BDH($C$428,"ACCT_RCV_DAYS","FQ4 2014","FQ4 2014","Currency=INR","Period=FQ","BEST_FPERIOD_OVERRIDE=FQ","FILING_STATUS=OR","EQY_CONSOLIDATED=Y","FA_ADJUSTED=GAAP","Sort=A","Dates=H","DateFormat=P","Fill=—","Direction=H","UseDPDF=Y")</f>
        <v>#NAME?</v>
      </c>
      <c r="CY432" s="4" t="e">
        <f ca="1">_xll.BDH($C$428,"INVENT_TURN","FQ4 2014","FQ4 2014","Currency=INR","Period=FQ","BEST_FPERIOD_OVERRIDE=FQ","FILING_STATUS=OR","EQY_CONSOLIDATED=Y","FA_ADJUSTED=GAAP","Sort=A","Dates=H","DateFormat=P","Fill=—","Direction=H","UseDPDF=Y")</f>
        <v>#NAME?</v>
      </c>
      <c r="CZ432" s="2" t="e">
        <f ca="1">_xll.BDH($C$428,"INVENT_DAYS","FQ4 2014","FQ4 2014","Currency=INR","Period=FQ","BEST_FPERIOD_OVERRIDE=FQ","FILING_STATUS=OR","EQY_CONSOLIDATED=Y","FA_ADJUSTED=GAAP","Sort=A","Dates=H","DateFormat=P","Fill=—","Direction=H","UseDPDF=Y")</f>
        <v>#NAME?</v>
      </c>
      <c r="DA432" s="4" t="e">
        <f ca="1">_xll.BDH($C$428,"ACCOUNTS_PAYABLE_TURNOVER","FQ4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32" s="2" t="e">
        <f ca="1">_xll.BDH($C$428,"ACCOUNTS_PAYABLE_TURNOVER_DAYS","FQ4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32" s="4" t="e">
        <f ca="1">_xll.BDH($C$428,"CASH_CONVERSION_CYCLE","FQ4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32" s="4" t="e">
        <f ca="1">_xll.BDH($C$428,"INV_TO_CASH_DAYS","FQ4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32" s="5" t="e">
        <f ca="1">_xll.BDH($C$428,"BS_INVENTORIES","FQ4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32" s="3" t="e">
        <f ca="1">_xll.BDH($C$428,"INVTRY_RAW_MATERIALS","FQ4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32" s="3" t="e">
        <f ca="1">_xll.BDH($C$428,"INVTRY_IN_PROGRESS","FQ4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32" s="3" t="e">
        <f ca="1">_xll.BDH($C$428,"INVTRY_FINISHED_GOODS","FQ4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32" s="3" t="e">
        <f ca="1">_xll.BDH($C$428,"BS_OTHER_INV","FQ4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33" spans="1:113" x14ac:dyDescent="0.3">
      <c r="A433" s="6"/>
      <c r="B433" s="6"/>
      <c r="C433" s="6"/>
      <c r="D433" s="6" t="s">
        <v>82</v>
      </c>
      <c r="E433" t="s">
        <v>77</v>
      </c>
      <c r="F433" t="e">
        <f ca="1">_xll.BDH($C$428,"RETURN_COM_EQY","FY 2015","FY 2015","Currency=INR","Period=FY","BEST_FPERIOD_OVERRIDE=FY","FILING_STATUS=OR","EQY_CONSOLIDATED=Y","FA_ADJUSTED=GAAP","Sort=A","Dates=H","DateFormat=P","Fill=—","Direction=H","UseDPDF=Y")</f>
        <v>#NAME?</v>
      </c>
      <c r="G433" t="e">
        <f ca="1">_xll.BDH($C$428,"RETURN_ON_ASSET","FY 2015","FY 2015","Currency=INR","Period=FY","BEST_FPERIOD_OVERRIDE=FY","FILING_STATUS=OR","EQY_CONSOLIDATED=Y","FA_ADJUSTED=GAAP","Sort=A","Dates=H","DateFormat=P","Fill=—","Direction=H","UseDPDF=Y")</f>
        <v>#NAME?</v>
      </c>
      <c r="H433" t="e">
        <f ca="1">_xll.BDH($C$428,"RETURN_ON_CAP","FY 2015","FY 2015","Currency=INR","Period=FY","BEST_FPERIOD_OVERRIDE=FY","FILING_STATUS=OR","EQY_CONSOLIDATED=Y","FA_ADJUSTED=GAAP","Sort=A","Dates=H","DateFormat=P","Fill=—","Direction=H","UseDPDF=Y")</f>
        <v>#NAME?</v>
      </c>
      <c r="I433" t="e">
        <f ca="1">_xll.BDH($C$428,"RETURN_ON_INV_CAPITAL","FY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33" t="e">
        <f ca="1">_xll.BDH($C$428,"EBITDA_TO_REVENUE","FY 2015","FY 2015","Currency=INR","Period=FY","BEST_FPERIOD_OVERRIDE=FY","FILING_STATUS=OR","EQY_CONSOLIDATED=Y","FA_ADJUSTED=GAAP","Sort=A","Dates=H","DateFormat=P","Fill=—","Direction=H","UseDPDF=Y")</f>
        <v>#NAME?</v>
      </c>
      <c r="K433" t="e">
        <f ca="1">_xll.BDH($C$428,"OPER_MARGIN","FY 2015","FY 2015","Currency=INR","Period=FY","BEST_FPERIOD_OVERRIDE=FY","FILING_STATUS=OR","EQY_CONSOLIDATED=Y","FA_ADJUSTED=GAAP","Sort=A","Dates=H","DateFormat=P","Fill=—","Direction=H","UseDPDF=Y")</f>
        <v>#NAME?</v>
      </c>
      <c r="L433" t="e">
        <f ca="1">_xll.BDH($C$428,"INCREMENTAL_OPERATING_MARGIN","FY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33" t="e">
        <f ca="1">_xll.BDH($C$428,"PRETAX_INC_TO_NET_SALES","FY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33" t="e">
        <f ca="1">_xll.BDH($C$428,"INC_BEF_XO_ITEMS_TO_NET_SALES","FY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33" t="e">
        <f ca="1">_xll.BDH($C$428,"PROF_MARGIN","FY 2015","FY 2015","Currency=INR","Period=FY","BEST_FPERIOD_OVERRIDE=FY","FILING_STATUS=OR","EQY_CONSOLIDATED=Y","FA_ADJUSTED=GAAP","Sort=A","Dates=H","DateFormat=P","Fill=—","Direction=H","UseDPDF=Y")</f>
        <v>#NAME?</v>
      </c>
      <c r="P433" t="e">
        <f ca="1">_xll.BDH($C$428,"NET_INCOME_TO_COMMON_MARGIN","FY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33" t="e">
        <f ca="1">_xll.BDH($C$428,"EFF_TAX_RATE","FY 2015","FY 2015","Currency=INR","Period=FY","BEST_FPERIOD_OVERRIDE=FY","FILING_STATUS=OR","EQY_CONSOLIDATED=Y","FA_ADJUSTED=GAAP","Sort=A","Dates=H","DateFormat=P","Fill=—","Direction=H","UseDPDF=Y")</f>
        <v>#NAME?</v>
      </c>
      <c r="R433" t="e">
        <f ca="1">_xll.BDH($C$428,"DVD_PAYOUT_RATIO","FY 2015","FY 2015","Currency=INR","Period=FY","BEST_FPERIOD_OVERRIDE=FY","FILING_STATUS=OR","EQY_CONSOLIDATED=Y","FA_ADJUSTED=GAAP","Sort=A","Dates=H","DateFormat=P","Fill=—","Direction=H","UseDPDF=Y")</f>
        <v>#NAME?</v>
      </c>
      <c r="S433" t="e">
        <f ca="1">_xll.BDH($C$428,"SUSTAIN_GROWTH_RT","FY 2015","FY 2015","Currency=INR","Period=FY","BEST_FPERIOD_OVERRIDE=FY","FILING_STATUS=OR","EQY_CONSOLIDATED=Y","FA_ADJUSTED=GAAP","Sort=A","Dates=H","DateFormat=P","Fill=—","Direction=H","UseDPDF=Y")</f>
        <v>#NAME?</v>
      </c>
      <c r="T433" s="2" t="e">
        <f ca="1">_xll.BDH($C$428,"SALES_GROWTH","FY 2015","FY 2015","Currency=INR","Period=FY","BEST_FPERIOD_OVERRIDE=FY","FILING_STATUS=OR","EQY_CONSOLIDATED=Y","FA_ADJUSTED=GAAP","Sort=A","Dates=H","DateFormat=P","Fill=—","Direction=H","UseDPDF=Y")</f>
        <v>#NAME?</v>
      </c>
      <c r="U433" s="2" t="e">
        <f ca="1">_xll.BDH($C$428,"EBITDA_GROWTH","FY 2015","FY 2015","Currency=INR","Period=FY","BEST_FPERIOD_OVERRIDE=FY","FILING_STATUS=OR","EQY_CONSOLIDATED=Y","FA_ADJUSTED=GAAP","Sort=A","Dates=H","DateFormat=P","Fill=—","Direction=H","UseDPDF=Y")</f>
        <v>#NAME?</v>
      </c>
      <c r="V433" s="2" t="e">
        <f ca="1">_xll.BDH($C$428,"OPER_INC_GROWTH","FY 2015","FY 2015","Currency=INR","Period=FY","BEST_FPERIOD_OVERRIDE=FY","FILING_STATUS=OR","EQY_CONSOLIDATED=Y","FA_ADJUSTED=GAAP","Sort=A","Dates=H","DateFormat=P","Fill=—","Direction=H","UseDPDF=Y")</f>
        <v>#NAME?</v>
      </c>
      <c r="W433" s="2" t="e">
        <f ca="1">_xll.BDH($C$428,"EARN_FOR_COM_GROWTH","FY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33" s="2" t="e">
        <f ca="1">_xll.BDH($C$428,"DILUTED_EPS_AFT_XO_ITEMS_GROWTH","FY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33" s="2" t="e">
        <f ca="1">_xll.BDH($C$428,"DIVIDEND_PER_SHARE_1_YEAR_GROWTH","FY 2015","FY 2015","Currency=INR","Period=FY","BEST_FPERIOD_OVERRIDE=FY","FILING_STATUS=OR","EQY_CONSOLIDATED=Y","Sort=A","Dates=H","DateFormat=P","Fill=—","Direction=H","UseDPDF=Y")</f>
        <v>#NAME?</v>
      </c>
      <c r="Z433" s="2" t="e">
        <f ca="1">_xll.BDH($C$428,"ACCOUNTS_RECEIVABLE_GROWTH","FY 2015","FY 2015","Currency=INR","Period=FY","BEST_FPERIOD_OVERRIDE=FY","FILING_STATUS=OR","EQY_CONSOLIDATED=Y","Sort=A","Dates=H","DateFormat=P","Fill=—","Direction=H","UseDPDF=Y")</f>
        <v>#NAME?</v>
      </c>
      <c r="AA433" s="2" t="e">
        <f ca="1">_xll.BDH($C$428,"INVENTORY_GROWTH","FY 2015","FY 2015","Currency=INR","Period=FY","BEST_FPERIOD_OVERRIDE=FY","FILING_STATUS=OR","EQY_CONSOLIDATED=Y","Sort=A","Dates=H","DateFormat=P","Fill=—","Direction=H","UseDPDF=Y")</f>
        <v>#NAME?</v>
      </c>
      <c r="AB433" s="2" t="e">
        <f ca="1">_xll.BDH($C$428,"NET_FIXED_ASSETS_1_YEAR_GROWTH","FY 2015","FY 2015","Currency=INR","Period=FY","BEST_FPERIOD_OVERRIDE=FY","FILING_STATUS=OR","EQY_CONSOLIDATED=Y","Sort=A","Dates=H","DateFormat=P","Fill=—","Direction=H","UseDPDF=Y")</f>
        <v>#NAME?</v>
      </c>
      <c r="AC433" s="2" t="e">
        <f ca="1">_xll.BDH($C$428,"ASSET_GROWTH","FY 2015","FY 2015","Currency=INR","Period=FY","BEST_FPERIOD_OVERRIDE=FY","FILING_STATUS=OR","EQY_CONSOLIDATED=Y","Sort=A","Dates=H","DateFormat=P","Fill=—","Direction=H","UseDPDF=Y")</f>
        <v>#NAME?</v>
      </c>
      <c r="AD433" s="2" t="e">
        <f ca="1">_xll.BDH($C$428,"MODIFIED_WORK_CAP_GROWTH","FY 2015","FY 2015","Currency=INR","Period=FY","BEST_FPERIOD_OVERRIDE=FY","FILING_STATUS=OR","EQY_CONSOLIDATED=Y","Sort=A","Dates=H","DateFormat=P","Fill=—","Direction=H","UseDPDF=Y")</f>
        <v>#NAME?</v>
      </c>
      <c r="AE433" s="2" t="e">
        <f ca="1">_xll.BDH($C$428,"WORK_CAP_GROWTH","FY 2015","FY 2015","Currency=INR","Period=FY","BEST_FPERIOD_OVERRIDE=FY","FILING_STATUS=OR","EQY_CONSOLIDATED=Y","Sort=A","Dates=H","DateFormat=P","Fill=—","Direction=H","UseDPDF=Y")</f>
        <v>#NAME?</v>
      </c>
      <c r="AF433" s="2" t="e">
        <f ca="1">_xll.BDH($C$428,"ACCOUNTS_PAYABLE_GROWTH_1YR","FY 2015","FY 2015","Currency=INR","Period=FY","BEST_FPERIOD_OVERRIDE=FY","FILING_STATUS=OR","EQY_CONSOLIDATED=Y","Sort=A","Dates=H","DateFormat=P","Fill=—","Direction=H","UseDPDF=Y")</f>
        <v>#NAME?</v>
      </c>
      <c r="AG433" s="2" t="e">
        <f ca="1">_xll.BDH($C$428,"SHORT_TERM_DEBT_1_YEAR_GROWTH","FY 2015","FY 2015","Currency=INR","Period=FY","BEST_FPERIOD_OVERRIDE=FY","FILING_STATUS=OR","EQY_CONSOLIDATED=Y","Sort=A","Dates=H","DateFormat=P","Fill=—","Direction=H","UseDPDF=Y")</f>
        <v>#NAME?</v>
      </c>
      <c r="AH433" s="2" t="e">
        <f ca="1">_xll.BDH($C$428,"TOTAL_DEBT_1_YEAR_GROWTH","FY 2015","FY 2015","Currency=INR","Period=FY","BEST_FPERIOD_OVERRIDE=FY","FILING_STATUS=OR","EQY_CONSOLIDATED=Y","Sort=A","Dates=H","DateFormat=P","Fill=—","Direction=H","UseDPDF=Y")</f>
        <v>#NAME?</v>
      </c>
      <c r="AI433" s="2" t="e">
        <f ca="1">_xll.BDH($C$428,"TOTAL_EQUITY_1_YEAR_GROWTH","FY 2015","FY 2015","Currency=INR","Period=FY","BEST_FPERIOD_OVERRIDE=FY","FILING_STATUS=OR","EQY_CONSOLIDATED=Y","Sort=A","Dates=H","DateFormat=P","Fill=—","Direction=H","UseDPDF=Y")</f>
        <v>#NAME?</v>
      </c>
      <c r="AJ433" s="2" t="e">
        <f ca="1">_xll.BDH($C$428,"GROWTH_IN_CAP","FY 2015","FY 2015","Currency=INR","Period=FY","BEST_FPERIOD_OVERRIDE=FY","FILING_STATUS=OR","EQY_CONSOLIDATED=Y","Sort=A","Dates=H","DateFormat=P","Fill=—","Direction=H","UseDPDF=Y")</f>
        <v>#NAME?</v>
      </c>
      <c r="AK433" s="2" t="e">
        <f ca="1">_xll.BDH($C$428,"BVPS_GROWTH","FY 2015","FY 2015","Currency=INR","Period=FY","BEST_FPERIOD_OVERRIDE=FY","FILING_STATUS=OR","EQY_CONSOLIDATED=Y","Sort=A","Dates=H","DateFormat=P","Fill=—","Direction=H","UseDPDF=Y")</f>
        <v>#NAME?</v>
      </c>
      <c r="AL433" s="2" t="e">
        <f ca="1">_xll.BDH($C$428,"CASH_FLOW_GROWTH","FY 2015","FY 2015","Currency=INR","Period=FY","BEST_FPERIOD_OVERRIDE=FY","FILING_STATUS=OR","EQY_CONSOLIDATED=Y","Sort=A","Dates=H","DateFormat=P","Fill=—","Direction=H","UseDPDF=Y")</f>
        <v>#NAME?</v>
      </c>
      <c r="AM433" s="2" t="e">
        <f ca="1">_xll.BDH($C$428,"GEO_GROW_NET_SALES","FY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33" s="2" t="e">
        <f ca="1">_xll.BDH($C$428,"GEO_GROW_EBITDA","FY 2015","FY 2015","Currency=INR","Period=FY","BEST_FPERIOD_OVERRIDE=FY","FILING_STATUS=OR","EQY_CONSOLIDATED=Y","FA_ADJUSTED=GAAP","Sort=A","Dates=H","DateFormat=P","Fill=—","Direction=H","UseDPDF=Y")</f>
        <v>#NAME?</v>
      </c>
      <c r="AO433" s="2" t="e">
        <f ca="1">_xll.BDH($C$428,"GEO_GROW_OPER_INC","FY 2015","FY 2015","Currency=INR","Period=FY","BEST_FPERIOD_OVERRIDE=FY","FILING_STATUS=OR","EQY_CONSOLIDATED=Y","FA_ADJUSTED=GAAP","Sort=A","Dates=H","DateFormat=P","Fill=—","Direction=H","UseDPDF=Y")</f>
        <v>#NAME?</v>
      </c>
      <c r="AP433" s="2" t="e">
        <f ca="1">_xll.BDH($C$428,"NET_INCOME_TO_COMMON_5_YR_GROWTH","FY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33" s="2" t="e">
        <f ca="1">_xll.BDH($C$428,"5Y_GEO_GROWTH_DILUTED_EPS","FY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33" s="2" t="e">
        <f ca="1">_xll.BDH($C$428,"GEO_GROW_DVD_PER_SH","FY 2015","FY 2015","Currency=INR","Period=FY","BEST_FPERIOD_OVERRIDE=FY","FILING_STATUS=OR","EQY_CONSOLIDATED=Y","Sort=A","Dates=H","DateFormat=P","Fill=—","Direction=H","UseDPDF=Y")</f>
        <v>#NAME?</v>
      </c>
      <c r="AS433" s="2" t="e">
        <f ca="1">_xll.BDH($C$428,"ACCOUNTS_RECEIVABLE_5_YR_GROWTH","FY 2015","FY 2015","Currency=INR","Period=FY","BEST_FPERIOD_OVERRIDE=FY","FILING_STATUS=OR","EQY_CONSOLIDATED=Y","Sort=A","Dates=H","DateFormat=P","Fill=—","Direction=H","UseDPDF=Y")</f>
        <v>#NAME?</v>
      </c>
      <c r="AT433" s="2" t="e">
        <f ca="1">_xll.BDH($C$428,"INVENTORY_5_YEAR_GROWTH","FY 2015","FY 2015","Currency=INR","Period=FY","BEST_FPERIOD_OVERRIDE=FY","FILING_STATUS=OR","EQY_CONSOLIDATED=Y","Sort=A","Dates=H","DateFormat=P","Fill=—","Direction=H","UseDPDF=Y")</f>
        <v>#NAME?</v>
      </c>
      <c r="AU433" s="2" t="e">
        <f ca="1">_xll.BDH($C$428,"NET_FIXED_ASSETS_5_YEAR_GROWTH","FY 2015","FY 2015","Currency=INR","Period=FY","BEST_FPERIOD_OVERRIDE=FY","FILING_STATUS=OR","EQY_CONSOLIDATED=Y","Sort=A","Dates=H","DateFormat=P","Fill=—","Direction=H","UseDPDF=Y")</f>
        <v>#NAME?</v>
      </c>
      <c r="AV433" s="2" t="e">
        <f ca="1">_xll.BDH($C$428,"GEO_GROW_TOT_ASSET","FY 2015","FY 2015","Currency=INR","Period=FY","BEST_FPERIOD_OVERRIDE=FY","FILING_STATUS=OR","EQY_CONSOLIDATED=Y","Sort=A","Dates=H","DateFormat=P","Fill=—","Direction=H","UseDPDF=Y")</f>
        <v>#NAME?</v>
      </c>
      <c r="AW433" s="2" t="e">
        <f ca="1">_xll.BDH($C$428,"MODIFIED_WORKING_CPTL_5YR_GRWTH","FY 2015","FY 2015","Currency=INR","Period=FY","BEST_FPERIOD_OVERRIDE=FY","FILING_STATUS=OR","EQY_CONSOLIDATED=Y","Sort=A","Dates=H","DateFormat=P","Fill=—","Direction=H","UseDPDF=Y")</f>
        <v>#NAME?</v>
      </c>
      <c r="AX433" s="2" t="e">
        <f ca="1">_xll.BDH($C$428,"WORKING_CAPITAL_5_YEAR_GROWTH","FY 2015","FY 2015","Currency=INR","Period=FY","BEST_FPERIOD_OVERRIDE=FY","FILING_STATUS=OR","EQY_CONSOLIDATED=Y","Sort=A","Dates=H","DateFormat=P","Fill=—","Direction=H","UseDPDF=Y")</f>
        <v>#NAME?</v>
      </c>
      <c r="AY433" s="2" t="e">
        <f ca="1">_xll.BDH($C$428,"ACCOUNTS_PAYABLE_5_YEAR_GROWTH","FY 2015","FY 2015","Currency=INR","Period=FY","BEST_FPERIOD_OVERRIDE=FY","FILING_STATUS=OR","EQY_CONSOLIDATED=Y","Sort=A","Dates=H","DateFormat=P","Fill=—","Direction=H","UseDPDF=Y")</f>
        <v>#NAME?</v>
      </c>
      <c r="AZ433" s="2" t="e">
        <f ca="1">_xll.BDH($C$428,"SHORT_TERM_DEBT_5_YEAR_GROWTH","FY 2015","FY 2015","Currency=INR","Period=FY","BEST_FPERIOD_OVERRIDE=FY","FILING_STATUS=OR","EQY_CONSOLIDATED=Y","Sort=A","Dates=H","DateFormat=P","Fill=—","Direction=H","UseDPDF=Y")</f>
        <v>#NAME?</v>
      </c>
      <c r="BA433" s="2" t="e">
        <f ca="1">_xll.BDH($C$428,"TOTAL_DEBT_5_YEAR_GROWTH","FY 2015","FY 2015","Currency=INR","Period=FY","BEST_FPERIOD_OVERRIDE=FY","FILING_STATUS=OR","EQY_CONSOLIDATED=Y","Sort=A","Dates=H","DateFormat=P","Fill=—","Direction=H","UseDPDF=Y")</f>
        <v>#NAME?</v>
      </c>
      <c r="BB433" s="2" t="e">
        <f ca="1">_xll.BDH($C$428,"GEO_GROW_TOT_SHRHLDR_EQY","FY 2015","FY 2015","Currency=INR","Period=FY","BEST_FPERIOD_OVERRIDE=FY","FILING_STATUS=OR","EQY_CONSOLIDATED=Y","Sort=A","Dates=H","DateFormat=P","Fill=—","Direction=H","UseDPDF=Y")</f>
        <v>#NAME?</v>
      </c>
      <c r="BC433" s="2" t="e">
        <f ca="1">_xll.BDH($C$428,"TOTAL_CAPITAL_5_YEAR_GROWTH","FY 2015","FY 2015","Currency=INR","Period=FY","BEST_FPERIOD_OVERRIDE=FY","FILING_STATUS=OR","EQY_CONSOLIDATED=Y","Sort=A","Dates=H","DateFormat=P","Fill=—","Direction=H","UseDPDF=Y")</f>
        <v>#NAME?</v>
      </c>
      <c r="BD433" s="2" t="e">
        <f ca="1">_xll.BDH($C$428,"GEO_GROW_BOOK_VAL","FY 2015","FY 2015","Currency=INR","Period=FY","BEST_FPERIOD_OVERRIDE=FY","FILING_STATUS=OR","EQY_CONSOLIDATED=Y","Sort=A","Dates=H","DateFormat=P","Fill=—","Direction=H","UseDPDF=Y")</f>
        <v>#NAME?</v>
      </c>
      <c r="BE433" s="2" t="e">
        <f ca="1">_xll.BDH($C$428,"GEO_GROW_CASH_OPER_ACT","FY 2015","FY 2015","Currency=INR","Period=FY","BEST_FPERIOD_OVERRIDE=FY","FILING_STATUS=OR","EQY_CONSOLIDATED=Y","Sort=A","Dates=H","DateFormat=P","Fill=—","Direction=H","UseDPDF=Y")</f>
        <v>#NAME?</v>
      </c>
      <c r="BF433" s="2" t="e">
        <f ca="1">_xll.BDH($C$428,"REVENUE_SEQUENTIAL_GROWTH","FY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33" s="2" t="e">
        <f ca="1">_xll.BDH($C$428,"EBITDA_SEQUENTIAL_GROWTH","FY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33" s="2" t="e">
        <f ca="1">_xll.BDH($C$428,"OPERATING_INCOME_SEQ_GROWTH","FY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33" s="2" t="e">
        <f ca="1">_xll.BDH($C$428,"NET_INCOME_TO_COMMON_SEQ_GROWTH","FY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33" s="2" t="e">
        <f ca="1">_xll.BDH($C$428,"EPS_DILUTED_SEQUENTIAL_GROWTH","FY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33" s="2" t="e">
        <f ca="1">_xll.BDH($C$428,"DPS_SEQUENTIAL_GROWTH","FY 2015","FY 2015","Currency=INR","Period=FY","BEST_FPERIOD_OVERRIDE=FY","FILING_STATUS=OR","EQY_CONSOLIDATED=Y","Sort=A","Dates=H","DateFormat=P","Fill=—","Direction=H","UseDPDF=Y")</f>
        <v>#NAME?</v>
      </c>
      <c r="BL433" s="2" t="e">
        <f ca="1">_xll.BDH($C$428,"ACCOUNTS_RECEIVABLE_SEQ_GROWTH","FY 2015","FY 2015","Currency=INR","Period=FY","BEST_FPERIOD_OVERRIDE=FY","FILING_STATUS=OR","EQY_CONSOLIDATED=Y","Sort=A","Dates=H","DateFormat=P","Fill=—","Direction=H","UseDPDF=Y")</f>
        <v>#NAME?</v>
      </c>
      <c r="BM433" s="2" t="e">
        <f ca="1">_xll.BDH($C$428,"INVENTORY_SEQUENTIAL_GROWTH","FY 2015","FY 2015","Currency=INR","Period=FY","BEST_FPERIOD_OVERRIDE=FY","FILING_STATUS=OR","EQY_CONSOLIDATED=Y","Sort=A","Dates=H","DateFormat=P","Fill=—","Direction=H","UseDPDF=Y")</f>
        <v>#NAME?</v>
      </c>
      <c r="BN433" s="2" t="e">
        <f ca="1">_xll.BDH($C$428,"FIXED_ASSETS_SEQUENTIAL_GROWTH","FY 2015","FY 2015","Currency=INR","Period=FY","BEST_FPERIOD_OVERRIDE=FY","FILING_STATUS=OR","EQY_CONSOLIDATED=Y","Sort=A","Dates=H","DateFormat=P","Fill=—","Direction=H","UseDPDF=Y")</f>
        <v>#NAME?</v>
      </c>
      <c r="BO433" s="2" t="e">
        <f ca="1">_xll.BDH($C$428,"TOTAL_ASSETS_SEQUENTIAL_GROWTH","FY 2015","FY 2015","Currency=INR","Period=FY","BEST_FPERIOD_OVERRIDE=FY","FILING_STATUS=OR","EQY_CONSOLIDATED=Y","Sort=A","Dates=H","DateFormat=P","Fill=—","Direction=H","UseDPDF=Y")</f>
        <v>#NAME?</v>
      </c>
      <c r="BP433" s="2" t="e">
        <f ca="1">_xll.BDH($C$428,"MODIFIED_WORKING_CPTL_SEQ_GRWTH","FY 2015","FY 2015","Currency=INR","Period=FY","BEST_FPERIOD_OVERRIDE=FY","FILING_STATUS=OR","EQY_CONSOLIDATED=Y","Sort=A","Dates=H","DateFormat=P","Fill=—","Direction=H","UseDPDF=Y")</f>
        <v>#NAME?</v>
      </c>
      <c r="BQ433" s="2" t="e">
        <f ca="1">_xll.BDH($C$428,"WORKING_CAPITAL_SEQ_GROWTH","FY 2015","FY 2015","Currency=INR","Period=FY","BEST_FPERIOD_OVERRIDE=FY","FILING_STATUS=OR","EQY_CONSOLIDATED=Y","Sort=A","Dates=H","DateFormat=P","Fill=—","Direction=H","UseDPDF=Y")</f>
        <v>#NAME?</v>
      </c>
      <c r="BR433" s="2" t="e">
        <f ca="1">_xll.BDH($C$428,"ACCOUNTS_PAYABLE_SEQ_GROWTH","FY 2015","FY 2015","Currency=INR","Period=FY","BEST_FPERIOD_OVERRIDE=FY","FILING_STATUS=OR","EQY_CONSOLIDATED=Y","Sort=A","Dates=H","DateFormat=P","Fill=—","Direction=H","UseDPDF=Y")</f>
        <v>#NAME?</v>
      </c>
      <c r="BS433" s="2" t="e">
        <f ca="1">_xll.BDH($C$428,"ST_DEBT_SEQUENTIAL_GROWTH","FY 2015","FY 2015","Currency=INR","Period=FY","BEST_FPERIOD_OVERRIDE=FY","FILING_STATUS=OR","EQY_CONSOLIDATED=Y","Sort=A","Dates=H","DateFormat=P","Fill=—","Direction=H","UseDPDF=Y")</f>
        <v>#NAME?</v>
      </c>
      <c r="BT433" s="2" t="e">
        <f ca="1">_xll.BDH($C$428,"TOTAL_DEBT_SEQUENTIAL_GROWTH","FY 2015","FY 2015","Currency=INR","Period=FY","BEST_FPERIOD_OVERRIDE=FY","FILING_STATUS=OR","EQY_CONSOLIDATED=Y","Sort=A","Dates=H","DateFormat=P","Fill=—","Direction=H","UseDPDF=Y")</f>
        <v>#NAME?</v>
      </c>
      <c r="BU433" s="2" t="e">
        <f ca="1">_xll.BDH($C$428,"TOTAL_EQUITY_SEQUENTIAL_GROWTH","FY 2015","FY 2015","Currency=INR","Period=FY","BEST_FPERIOD_OVERRIDE=FY","FILING_STATUS=OR","EQY_CONSOLIDATED=Y","Sort=A","Dates=H","DateFormat=P","Fill=—","Direction=H","UseDPDF=Y")</f>
        <v>#NAME?</v>
      </c>
      <c r="BV433" s="2" t="e">
        <f ca="1">_xll.BDH($C$428,"TOTAL_CAPITAL_SEQUENTIAL_GROWTH","FY 2015","FY 2015","Currency=INR","Period=FY","BEST_FPERIOD_OVERRIDE=FY","FILING_STATUS=OR","EQY_CONSOLIDATED=Y","Sort=A","Dates=H","DateFormat=P","Fill=—","Direction=H","UseDPDF=Y")</f>
        <v>#NAME?</v>
      </c>
      <c r="BW433" s="2" t="e">
        <f ca="1">_xll.BDH($C$428,"BPS_SEQUENTIAL_GROWTH","FY 2015","FY 2015","Currency=INR","Period=FY","BEST_FPERIOD_OVERRIDE=FY","FILING_STATUS=OR","EQY_CONSOLIDATED=Y","Sort=A","Dates=H","DateFormat=P","Fill=—","Direction=H","UseDPDF=Y")</f>
        <v>#NAME?</v>
      </c>
      <c r="BX433" s="2" t="e">
        <f ca="1">_xll.BDH($C$428,"CFO_SEQUENTIAL_GROWTH","FY 2015","FY 2015","Currency=INR","Period=FY","BEST_FPERIOD_OVERRIDE=FY","FILING_STATUS=OR","EQY_CONSOLIDATED=Y","Sort=A","Dates=H","DateFormat=P","Fill=—","Direction=H","UseDPDF=Y")</f>
        <v>#NAME?</v>
      </c>
      <c r="BY433" s="3" t="e">
        <f ca="1">_xll.BDH($C$428,"SHORT_AND_LONG_TERM_DEBT","FY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33" s="3" t="e">
        <f ca="1">_xll.BDH($C$428,"BS_ST_BORROW","FY 2015","FY 2015","Currency=INR","Period=FY","BEST_FPERIOD_OVERRIDE=FY","FILING_STATUS=OR","EQY_CONSOLIDATED=Y","SCALING_FORMAT=MLN","Sort=A","Dates=H","DateFormat=P","Fill=—","Direction=H","UseDPDF=Y")</f>
        <v>#NAME?</v>
      </c>
      <c r="CA433" s="3" t="e">
        <f ca="1">_xll.BDH($C$428,"BS_LT_BORROW","FY 2015","FY 2015","Currency=INR","Period=FY","BEST_FPERIOD_OVERRIDE=FY","FILING_STATUS=OR","EQY_CONSOLIDATED=Y","SCALING_FORMAT=MLN","Sort=A","Dates=H","DateFormat=P","Fill=—","Direction=H","UseDPDF=Y")</f>
        <v>#NAME?</v>
      </c>
      <c r="CB433" s="2" t="e">
        <f ca="1">_xll.BDH($C$428,"TOT_DEBT_TO_EBITDA","FY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33" s="2" t="e">
        <f ca="1">_xll.BDH($C$428,"NET_DEBT_TO_EBITDA","FY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33" s="2" t="e">
        <f ca="1">_xll.BDH($C$428,"TOTAL_DEBT_TO_EBIT","FY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33" s="2" t="e">
        <f ca="1">_xll.BDH($C$428,"NET_DEBT_TO_EBIT","FY 2015","FY 2015","Currency=INR","Period=FY","BEST_FPERIOD_OVERRIDE=FY","FILING_STATUS=OR","EQY_CONSOLIDATED=Y","FA_ADJUSTED=GAAP","Sort=A","Dates=H","DateFormat=P","Fill=—","Direction=H","UseDPDF=Y")</f>
        <v>#NAME?</v>
      </c>
      <c r="CF433" s="2" t="e">
        <f ca="1">_xll.BDH($C$428,"EBITDA_TO_INTEREST_EXPN","FY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33" s="2" t="e">
        <f ca="1">_xll.BDH($C$428,"COM_EQY_TO_TOT_ASSET","FY 2015","FY 2015","Currency=INR","Period=FY","BEST_FPERIOD_OVERRIDE=FY","FILING_STATUS=OR","EQY_CONSOLIDATED=Y","Sort=A","Dates=H","DateFormat=P","Fill=—","Direction=H","UseDPDF=Y")</f>
        <v>#NAME?</v>
      </c>
      <c r="CH433" s="2" t="e">
        <f ca="1">_xll.BDH($C$428,"LT_DEBT_TO_TOT_EQY","FY 2015","FY 2015","Currency=INR","Period=FY","BEST_FPERIOD_OVERRIDE=FY","FILING_STATUS=OR","EQY_CONSOLIDATED=Y","Sort=A","Dates=H","DateFormat=P","Fill=—","Direction=H","UseDPDF=Y")</f>
        <v>#NAME?</v>
      </c>
      <c r="CI433" s="2" t="e">
        <f ca="1">_xll.BDH($C$428,"LT_DEBT_TO_TOT_CAP","FY 2015","FY 2015","Currency=INR","Period=FY","BEST_FPERIOD_OVERRIDE=FY","FILING_STATUS=OR","EQY_CONSOLIDATED=Y","Sort=A","Dates=H","DateFormat=P","Fill=—","Direction=H","UseDPDF=Y")</f>
        <v>#NAME?</v>
      </c>
      <c r="CJ433" s="2" t="e">
        <f ca="1">_xll.BDH($C$428,"LT_DEBT_TO_TOT_ASSET","FY 2015","FY 2015","Currency=INR","Period=FY","BEST_FPERIOD_OVERRIDE=FY","FILING_STATUS=OR","EQY_CONSOLIDATED=Y","Sort=A","Dates=H","DateFormat=P","Fill=—","Direction=H","UseDPDF=Y")</f>
        <v>#NAME?</v>
      </c>
      <c r="CK433" s="2" t="e">
        <f ca="1">_xll.BDH($C$428,"TOT_DEBT_TO_TOT_EQY","FY 2015","FY 2015","Currency=INR","Period=FY","BEST_FPERIOD_OVERRIDE=FY","FILING_STATUS=OR","EQY_CONSOLIDATED=Y","Sort=A","Dates=H","DateFormat=P","Fill=—","Direction=H","UseDPDF=Y")</f>
        <v>#NAME?</v>
      </c>
      <c r="CL433" s="2" t="e">
        <f ca="1">_xll.BDH($C$428,"TOT_DEBT_TO_TOT_CAP","FY 2015","FY 2015","Currency=INR","Period=FY","BEST_FPERIOD_OVERRIDE=FY","FILING_STATUS=OR","EQY_CONSOLIDATED=Y","Sort=A","Dates=H","DateFormat=P","Fill=—","Direction=H","UseDPDF=Y")</f>
        <v>#NAME?</v>
      </c>
      <c r="CM433" s="2" t="e">
        <f ca="1">_xll.BDH($C$428,"TOT_DEBT_TO_TOT_ASSET","FY 2015","FY 2015","Currency=INR","Period=FY","BEST_FPERIOD_OVERRIDE=FY","FILING_STATUS=OR","EQY_CONSOLIDATED=Y","Sort=A","Dates=H","DateFormat=P","Fill=—","Direction=H","UseDPDF=Y")</f>
        <v>#NAME?</v>
      </c>
      <c r="CN433" s="2" t="e">
        <f ca="1">_xll.BDH($C$428,"NET_DEBT_TO_SHRHLDR_EQTY","FY 2015","FY 2015","Currency=INR","Period=FY","BEST_FPERIOD_OVERRIDE=FY","FILING_STATUS=OR","EQY_CONSOLIDATED=Y","Sort=A","Dates=H","DateFormat=P","Fill=—","Direction=H","UseDPDF=Y")</f>
        <v>#NAME?</v>
      </c>
      <c r="CO433" s="2" t="e">
        <f ca="1">_xll.BDH($C$428,"NET_DEBT_%_CAPITAL","FY 2015","FY 2015","Currency=INR","Period=FY","BEST_FPERIOD_OVERRIDE=FY","FILING_STATUS=OR","EQY_CONSOLIDATED=Y","Sort=A","Dates=H","DateFormat=P","Fill=—","Direction=H","UseDPDF=Y")</f>
        <v>#NAME?</v>
      </c>
      <c r="CP433" s="3" t="e">
        <f ca="1">_xll.BDH($C$428,"EBITDA","FY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33" s="3" t="e">
        <f ca="1">_xll.BDH($C$428,"EBITDA_AFTER_CAPEX","FY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33" s="3" t="e">
        <f ca="1">_xll.BDH($C$428,"IS_OPER_INC","FY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33" s="2" t="e">
        <f ca="1">_xll.BDH($C$428,"CASH_RATIO","FY 2015","FY 2015","Currency=INR","Period=FY","BEST_FPERIOD_OVERRIDE=FY","FILING_STATUS=OR","EQY_CONSOLIDATED=Y","Sort=A","Dates=H","DateFormat=P","Fill=—","Direction=H","UseDPDF=Y")</f>
        <v>#NAME?</v>
      </c>
      <c r="CT433" s="2" t="e">
        <f ca="1">_xll.BDH($C$428,"CUR_RATIO","FY 2015","FY 2015","Currency=INR","Period=FY","BEST_FPERIOD_OVERRIDE=FY","FILING_STATUS=OR","EQY_CONSOLIDATED=Y","Sort=A","Dates=H","DateFormat=P","Fill=—","Direction=H","UseDPDF=Y")</f>
        <v>#NAME?</v>
      </c>
      <c r="CU433" s="2" t="e">
        <f ca="1">_xll.BDH($C$428,"QUICK_RATIO","FY 2015","FY 2015","Currency=INR","Period=FY","BEST_FPERIOD_OVERRIDE=FY","FILING_STATUS=OR","EQY_CONSOLIDATED=Y","Sort=A","Dates=H","DateFormat=P","Fill=—","Direction=H","UseDPDF=Y")</f>
        <v>#NAME?</v>
      </c>
      <c r="CV433" s="2" t="e">
        <f ca="1">_xll.BDH($C$428,"ALTMAN_Z_SCORE","FY 2015","FY 2015","Currency=INR","Period=FY","BEST_FPERIOD_OVERRIDE=FY","FILING_STATUS=OR","EQY_CONSOLIDATED=Y","Sort=A","Dates=H","DateFormat=P","Fill=—","Direction=H","UseDPDF=Y")</f>
        <v>#NAME?</v>
      </c>
      <c r="CW433" s="4" t="e">
        <f ca="1">_xll.BDH($C$428,"ACCT_RCV_TURN","FY 2015","FY 2015","Currency=INR","Period=FY","BEST_FPERIOD_OVERRIDE=FY","FILING_STATUS=OR","EQY_CONSOLIDATED=Y","FA_ADJUSTED=GAAP","Sort=A","Dates=H","DateFormat=P","Fill=—","Direction=H","UseDPDF=Y")</f>
        <v>#NAME?</v>
      </c>
      <c r="CX433" s="2" t="e">
        <f ca="1">_xll.BDH($C$428,"ACCT_RCV_DAYS","FY 2015","FY 2015","Currency=INR","Period=FY","BEST_FPERIOD_OVERRIDE=FY","FILING_STATUS=OR","EQY_CONSOLIDATED=Y","FA_ADJUSTED=GAAP","Sort=A","Dates=H","DateFormat=P","Fill=—","Direction=H","UseDPDF=Y")</f>
        <v>#NAME?</v>
      </c>
      <c r="CY433" s="4" t="e">
        <f ca="1">_xll.BDH($C$428,"INVENT_TURN","FY 2015","FY 2015","Currency=INR","Period=FY","BEST_FPERIOD_OVERRIDE=FY","FILING_STATUS=OR","EQY_CONSOLIDATED=Y","FA_ADJUSTED=GAAP","Sort=A","Dates=H","DateFormat=P","Fill=—","Direction=H","UseDPDF=Y")</f>
        <v>#NAME?</v>
      </c>
      <c r="CZ433" s="2" t="e">
        <f ca="1">_xll.BDH($C$428,"INVENT_DAYS","FY 2015","FY 2015","Currency=INR","Period=FY","BEST_FPERIOD_OVERRIDE=FY","FILING_STATUS=OR","EQY_CONSOLIDATED=Y","FA_ADJUSTED=GAAP","Sort=A","Dates=H","DateFormat=P","Fill=—","Direction=H","UseDPDF=Y")</f>
        <v>#NAME?</v>
      </c>
      <c r="DA433" s="4" t="e">
        <f ca="1">_xll.BDH($C$428,"ACCOUNTS_PAYABLE_TURNOVER","FY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33" s="2" t="e">
        <f ca="1">_xll.BDH($C$428,"ACCOUNTS_PAYABLE_TURNOVER_DAYS","FY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33" s="4" t="e">
        <f ca="1">_xll.BDH($C$428,"CASH_CONVERSION_CYCLE","FY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33" s="4" t="e">
        <f ca="1">_xll.BDH($C$428,"INV_TO_CASH_DAYS","FY 2015","FY 2015","Currency=INR","Period=FY","BEST_FPERIOD_OVERRIDE=FY","FILING_STATUS=OR","EQY_CONSOLIDATED=Y","FA_ADJUSTED=GAAP","Sort=A","Dates=H","DateFormat=P","Fill=—","Direction=H","UseDPDF=Y")</f>
        <v>#NAME?</v>
      </c>
      <c r="DE433" s="5" t="e">
        <f ca="1">_xll.BDH($C$428,"BS_INVENTORIES","FY 2015","FY 2015","Currency=INR","Period=FY","BEST_FPERIOD_OVERRIDE=FY","FILING_STATUS=OR","EQY_CONSOLIDATED=Y","SCALING_FORMAT=MLN","Sort=A","Dates=H","DateFormat=P","Fill=—","Direction=H","UseDPDF=Y")</f>
        <v>#NAME?</v>
      </c>
      <c r="DF433" s="3" t="e">
        <f ca="1">_xll.BDH($C$428,"INVTRY_RAW_MATERIALS","FY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33" s="3" t="e">
        <f ca="1">_xll.BDH($C$428,"INVTRY_IN_PROGRESS","FY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33" s="3" t="e">
        <f ca="1">_xll.BDH($C$428,"INVTRY_FINISHED_GOODS","FY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33" s="3" t="e">
        <f ca="1">_xll.BDH($C$428,"BS_OTHER_INV","FY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34" spans="1:113" x14ac:dyDescent="0.3">
      <c r="A434" s="6"/>
      <c r="B434" s="6"/>
      <c r="C434" s="6"/>
      <c r="D434" s="6"/>
      <c r="E434" t="s">
        <v>78</v>
      </c>
      <c r="F434" t="e">
        <f ca="1">_xll.BDH($C$428,"RETURN_COM_EQY","FQ1 2015","FQ1 2015","Currency=INR","Period=FQ","BEST_FPERIOD_OVERRIDE=FQ","FILING_STATUS=OR","EQY_CONSOLIDATED=Y","FA_ADJUSTED=GAAP","Sort=A","Dates=H","DateFormat=P","Fill=—","Direction=H","UseDPDF=Y")</f>
        <v>#NAME?</v>
      </c>
      <c r="G434" t="e">
        <f ca="1">_xll.BDH($C$428,"RETURN_ON_ASSET","FQ1 2015","FQ1 2015","Currency=INR","Period=FQ","BEST_FPERIOD_OVERRIDE=FQ","FILING_STATUS=OR","EQY_CONSOLIDATED=Y","FA_ADJUSTED=GAAP","Sort=A","Dates=H","DateFormat=P","Fill=—","Direction=H","UseDPDF=Y")</f>
        <v>#NAME?</v>
      </c>
      <c r="H434" t="e">
        <f ca="1">_xll.BDH($C$428,"RETURN_ON_CAP","FQ1 2015","FQ1 2015","Currency=INR","Period=FQ","BEST_FPERIOD_OVERRIDE=FQ","FILING_STATUS=OR","EQY_CONSOLIDATED=Y","FA_ADJUSTED=GAAP","Sort=A","Dates=H","DateFormat=P","Fill=—","Direction=H","UseDPDF=Y")</f>
        <v>#NAME?</v>
      </c>
      <c r="I434" t="e">
        <f ca="1">_xll.BDH($C$428,"RETURN_ON_INV_CAPITAL","FQ1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34" t="e">
        <f ca="1">_xll.BDH($C$428,"EBITDA_TO_REVENUE","FQ1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34" t="e">
        <f ca="1">_xll.BDH($C$428,"OPER_MARGIN","FQ1 2015","FQ1 2015","Currency=INR","Period=FQ","BEST_FPERIOD_OVERRIDE=FQ","FILING_STATUS=OR","EQY_CONSOLIDATED=Y","FA_ADJUSTED=GAAP","Sort=A","Dates=H","DateFormat=P","Fill=—","Direction=H","UseDPDF=Y")</f>
        <v>#NAME?</v>
      </c>
      <c r="L434" t="e">
        <f ca="1">_xll.BDH($C$428,"INCREMENTAL_OPERATING_MARGIN","FQ1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34" t="e">
        <f ca="1">_xll.BDH($C$428,"PRETAX_INC_TO_NET_SALES","FQ1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34" t="e">
        <f ca="1">_xll.BDH($C$428,"INC_BEF_XO_ITEMS_TO_NET_SALES","FQ1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34" t="e">
        <f ca="1">_xll.BDH($C$428,"PROF_MARGIN","FQ1 2015","FQ1 2015","Currency=INR","Period=FQ","BEST_FPERIOD_OVERRIDE=FQ","FILING_STATUS=OR","EQY_CONSOLIDATED=Y","FA_ADJUSTED=GAAP","Sort=A","Dates=H","DateFormat=P","Fill=—","Direction=H","UseDPDF=Y")</f>
        <v>#NAME?</v>
      </c>
      <c r="P434" t="e">
        <f ca="1">_xll.BDH($C$428,"NET_INCOME_TO_COMMON_MARGIN","FQ1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34" t="e">
        <f ca="1">_xll.BDH($C$428,"EFF_TAX_RATE","FQ1 2015","FQ1 2015","Currency=INR","Period=FQ","BEST_FPERIOD_OVERRIDE=FQ","FILING_STATUS=OR","EQY_CONSOLIDATED=Y","FA_ADJUSTED=GAAP","Sort=A","Dates=H","DateFormat=P","Fill=—","Direction=H","UseDPDF=Y")</f>
        <v>#NAME?</v>
      </c>
      <c r="R434" t="e">
        <f ca="1">_xll.BDH($C$428,"DVD_PAYOUT_RATIO","FQ1 2015","FQ1 2015","Currency=INR","Period=FQ","BEST_FPERIOD_OVERRIDE=FQ","FILING_STATUS=OR","EQY_CONSOLIDATED=Y","FA_ADJUSTED=GAAP","Sort=A","Dates=H","DateFormat=P","Fill=—","Direction=H","UseDPDF=Y")</f>
        <v>#NAME?</v>
      </c>
      <c r="S434" t="e">
        <f ca="1">_xll.BDH($C$428,"SUSTAIN_GROWTH_RT","FQ1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34" s="2" t="e">
        <f ca="1">_xll.BDH($C$428,"SALES_GROWTH","FQ1 2015","FQ1 2015","Currency=INR","Period=FQ","BEST_FPERIOD_OVERRIDE=FQ","FILING_STATUS=OR","EQY_CONSOLIDATED=Y","FA_ADJUSTED=GAAP","Sort=A","Dates=H","DateFormat=P","Fill=—","Direction=H","UseDPDF=Y")</f>
        <v>#NAME?</v>
      </c>
      <c r="U434" s="2" t="e">
        <f ca="1">_xll.BDH($C$428,"EBITDA_GROWTH","FQ1 2015","FQ1 2015","Currency=INR","Period=FQ","BEST_FPERIOD_OVERRIDE=FQ","FILING_STATUS=OR","EQY_CONSOLIDATED=Y","FA_ADJUSTED=GAAP","Sort=A","Dates=H","DateFormat=P","Fill=—","Direction=H","UseDPDF=Y")</f>
        <v>#NAME?</v>
      </c>
      <c r="V434" s="2" t="e">
        <f ca="1">_xll.BDH($C$428,"OPER_INC_GROWTH","FQ1 2015","FQ1 2015","Currency=INR","Period=FQ","BEST_FPERIOD_OVERRIDE=FQ","FILING_STATUS=OR","EQY_CONSOLIDATED=Y","FA_ADJUSTED=GAAP","Sort=A","Dates=H","DateFormat=P","Fill=—","Direction=H","UseDPDF=Y")</f>
        <v>#NAME?</v>
      </c>
      <c r="W434" s="2" t="e">
        <f ca="1">_xll.BDH($C$428,"EARN_FOR_COM_GROWTH","FQ1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34" s="2" t="e">
        <f ca="1">_xll.BDH($C$428,"DILUTED_EPS_AFT_XO_ITEMS_GROWTH","FQ1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34" s="2" t="e">
        <f ca="1">_xll.BDH($C$428,"DIVIDEND_PER_SHARE_1_YEAR_GROWTH","FQ1 2015","FQ1 2015","Currency=INR","Period=FQ","BEST_FPERIOD_OVERRIDE=FQ","FILING_STATUS=OR","EQY_CONSOLIDATED=Y","Sort=A","Dates=H","DateFormat=P","Fill=—","Direction=H","UseDPDF=Y")</f>
        <v>#NAME?</v>
      </c>
      <c r="Z434" s="2" t="e">
        <f ca="1">_xll.BDH($C$428,"ACCOUNTS_RECEIVABLE_GROWTH","FQ1 2015","FQ1 2015","Currency=INR","Period=FQ","BEST_FPERIOD_OVERRIDE=FQ","FILING_STATUS=OR","EQY_CONSOLIDATED=Y","Sort=A","Dates=H","DateFormat=P","Fill=—","Direction=H","UseDPDF=Y")</f>
        <v>#NAME?</v>
      </c>
      <c r="AA434" s="2" t="e">
        <f ca="1">_xll.BDH($C$428,"INVENTORY_GROWTH","FQ1 2015","FQ1 2015","Currency=INR","Period=FQ","BEST_FPERIOD_OVERRIDE=FQ","FILING_STATUS=OR","EQY_CONSOLIDATED=Y","Sort=A","Dates=H","DateFormat=P","Fill=—","Direction=H","UseDPDF=Y")</f>
        <v>#NAME?</v>
      </c>
      <c r="AB434" s="2" t="e">
        <f ca="1">_xll.BDH($C$428,"NET_FIXED_ASSETS_1_YEAR_GROWTH","FQ1 2015","FQ1 2015","Currency=INR","Period=FQ","BEST_FPERIOD_OVERRIDE=FQ","FILING_STATUS=OR","EQY_CONSOLIDATED=Y","Sort=A","Dates=H","DateFormat=P","Fill=—","Direction=H","UseDPDF=Y")</f>
        <v>#NAME?</v>
      </c>
      <c r="AC434" s="2" t="e">
        <f ca="1">_xll.BDH($C$428,"ASSET_GROWTH","FQ1 2015","FQ1 2015","Currency=INR","Period=FQ","BEST_FPERIOD_OVERRIDE=FQ","FILING_STATUS=OR","EQY_CONSOLIDATED=Y","Sort=A","Dates=H","DateFormat=P","Fill=—","Direction=H","UseDPDF=Y")</f>
        <v>#NAME?</v>
      </c>
      <c r="AD434" s="2" t="e">
        <f ca="1">_xll.BDH($C$428,"MODIFIED_WORK_CAP_GROWTH","FQ1 2015","FQ1 2015","Currency=INR","Period=FQ","BEST_FPERIOD_OVERRIDE=FQ","FILING_STATUS=OR","EQY_CONSOLIDATED=Y","Sort=A","Dates=H","DateFormat=P","Fill=—","Direction=H","UseDPDF=Y")</f>
        <v>#NAME?</v>
      </c>
      <c r="AE434" s="2" t="e">
        <f ca="1">_xll.BDH($C$428,"WORK_CAP_GROWTH","FQ1 2015","FQ1 2015","Currency=INR","Period=FQ","BEST_FPERIOD_OVERRIDE=FQ","FILING_STATUS=OR","EQY_CONSOLIDATED=Y","Sort=A","Dates=H","DateFormat=P","Fill=—","Direction=H","UseDPDF=Y")</f>
        <v>#NAME?</v>
      </c>
      <c r="AF434" s="2" t="e">
        <f ca="1">_xll.BDH($C$428,"ACCOUNTS_PAYABLE_GROWTH_1YR","FQ1 2015","FQ1 2015","Currency=INR","Period=FQ","BEST_FPERIOD_OVERRIDE=FQ","FILING_STATUS=OR","EQY_CONSOLIDATED=Y","Sort=A","Dates=H","DateFormat=P","Fill=—","Direction=H","UseDPDF=Y")</f>
        <v>#NAME?</v>
      </c>
      <c r="AG434" s="2" t="e">
        <f ca="1">_xll.BDH($C$428,"SHORT_TERM_DEBT_1_YEAR_GROWTH","FQ1 2015","FQ1 2015","Currency=INR","Period=FQ","BEST_FPERIOD_OVERRIDE=FQ","FILING_STATUS=OR","EQY_CONSOLIDATED=Y","Sort=A","Dates=H","DateFormat=P","Fill=—","Direction=H","UseDPDF=Y")</f>
        <v>#NAME?</v>
      </c>
      <c r="AH434" s="2" t="e">
        <f ca="1">_xll.BDH($C$428,"TOTAL_DEBT_1_YEAR_GROWTH","FQ1 2015","FQ1 2015","Currency=INR","Period=FQ","BEST_FPERIOD_OVERRIDE=FQ","FILING_STATUS=OR","EQY_CONSOLIDATED=Y","Sort=A","Dates=H","DateFormat=P","Fill=—","Direction=H","UseDPDF=Y")</f>
        <v>#NAME?</v>
      </c>
      <c r="AI434" s="2" t="e">
        <f ca="1">_xll.BDH($C$428,"TOTAL_EQUITY_1_YEAR_GROWTH","FQ1 2015","FQ1 2015","Currency=INR","Period=FQ","BEST_FPERIOD_OVERRIDE=FQ","FILING_STATUS=OR","EQY_CONSOLIDATED=Y","Sort=A","Dates=H","DateFormat=P","Fill=—","Direction=H","UseDPDF=Y")</f>
        <v>#NAME?</v>
      </c>
      <c r="AJ434" s="2" t="e">
        <f ca="1">_xll.BDH($C$428,"GROWTH_IN_CAP","FQ1 2015","FQ1 2015","Currency=INR","Period=FQ","BEST_FPERIOD_OVERRIDE=FQ","FILING_STATUS=OR","EQY_CONSOLIDATED=Y","Sort=A","Dates=H","DateFormat=P","Fill=—","Direction=H","UseDPDF=Y")</f>
        <v>#NAME?</v>
      </c>
      <c r="AK434" s="2" t="e">
        <f ca="1">_xll.BDH($C$428,"BVPS_GROWTH","FQ1 2015","FQ1 2015","Currency=INR","Period=FQ","BEST_FPERIOD_OVERRIDE=FQ","FILING_STATUS=OR","EQY_CONSOLIDATED=Y","Sort=A","Dates=H","DateFormat=P","Fill=—","Direction=H","UseDPDF=Y")</f>
        <v>#NAME?</v>
      </c>
      <c r="AL434" s="2" t="e">
        <f ca="1">_xll.BDH($C$428,"CASH_FLOW_GROWTH","FQ1 2015","FQ1 2015","Currency=INR","Period=FQ","BEST_FPERIOD_OVERRIDE=FQ","FILING_STATUS=OR","EQY_CONSOLIDATED=Y","Sort=A","Dates=H","DateFormat=P","Fill=—","Direction=H","UseDPDF=Y")</f>
        <v>#NAME?</v>
      </c>
      <c r="AM434" s="2" t="e">
        <f ca="1">_xll.BDH($C$428,"GEO_GROW_NET_SALES","FQ1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34" s="2" t="e">
        <f ca="1">_xll.BDH($C$428,"GEO_GROW_EBITDA","FQ1 2015","FQ1 2015","Currency=INR","Period=FQ","BEST_FPERIOD_OVERRIDE=FQ","FILING_STATUS=OR","EQY_CONSOLIDATED=Y","FA_ADJUSTED=GAAP","Sort=A","Dates=H","DateFormat=P","Fill=—","Direction=H","UseDPDF=Y")</f>
        <v>#NAME?</v>
      </c>
      <c r="AO434" s="2" t="e">
        <f ca="1">_xll.BDH($C$428,"GEO_GROW_OPER_INC","FQ1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34" s="2" t="e">
        <f ca="1">_xll.BDH($C$428,"NET_INCOME_TO_COMMON_5_YR_GROWTH","FQ1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34" s="2" t="e">
        <f ca="1">_xll.BDH($C$428,"5Y_GEO_GROWTH_DILUTED_EPS","FQ1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34" s="2" t="e">
        <f ca="1">_xll.BDH($C$428,"GEO_GROW_DVD_PER_SH","FQ1 2015","FQ1 2015","Currency=INR","Period=FQ","BEST_FPERIOD_OVERRIDE=FQ","FILING_STATUS=OR","EQY_CONSOLIDATED=Y","Sort=A","Dates=H","DateFormat=P","Fill=—","Direction=H","UseDPDF=Y")</f>
        <v>#NAME?</v>
      </c>
      <c r="AS434" s="2" t="e">
        <f ca="1">_xll.BDH($C$428,"ACCOUNTS_RECEIVABLE_5_YR_GROWTH","FQ1 2015","FQ1 2015","Currency=INR","Period=FQ","BEST_FPERIOD_OVERRIDE=FQ","FILING_STATUS=OR","EQY_CONSOLIDATED=Y","Sort=A","Dates=H","DateFormat=P","Fill=—","Direction=H","UseDPDF=Y")</f>
        <v>#NAME?</v>
      </c>
      <c r="AT434" s="2" t="e">
        <f ca="1">_xll.BDH($C$428,"INVENTORY_5_YEAR_GROWTH","FQ1 2015","FQ1 2015","Currency=INR","Period=FQ","BEST_FPERIOD_OVERRIDE=FQ","FILING_STATUS=OR","EQY_CONSOLIDATED=Y","Sort=A","Dates=H","DateFormat=P","Fill=—","Direction=H","UseDPDF=Y")</f>
        <v>#NAME?</v>
      </c>
      <c r="AU434" s="2" t="e">
        <f ca="1">_xll.BDH($C$428,"NET_FIXED_ASSETS_5_YEAR_GROWTH","FQ1 2015","FQ1 2015","Currency=INR","Period=FQ","BEST_FPERIOD_OVERRIDE=FQ","FILING_STATUS=OR","EQY_CONSOLIDATED=Y","Sort=A","Dates=H","DateFormat=P","Fill=—","Direction=H","UseDPDF=Y")</f>
        <v>#NAME?</v>
      </c>
      <c r="AV434" s="2" t="e">
        <f ca="1">_xll.BDH($C$428,"GEO_GROW_TOT_ASSET","FQ1 2015","FQ1 2015","Currency=INR","Period=FQ","BEST_FPERIOD_OVERRIDE=FQ","FILING_STATUS=OR","EQY_CONSOLIDATED=Y","Sort=A","Dates=H","DateFormat=P","Fill=—","Direction=H","UseDPDF=Y")</f>
        <v>#NAME?</v>
      </c>
      <c r="AW434" s="2" t="e">
        <f ca="1">_xll.BDH($C$428,"MODIFIED_WORKING_CPTL_5YR_GRWTH","FQ1 2015","FQ1 2015","Currency=INR","Period=FQ","BEST_FPERIOD_OVERRIDE=FQ","FILING_STATUS=OR","EQY_CONSOLIDATED=Y","Sort=A","Dates=H","DateFormat=P","Fill=—","Direction=H","UseDPDF=Y")</f>
        <v>#NAME?</v>
      </c>
      <c r="AX434" s="2" t="e">
        <f ca="1">_xll.BDH($C$428,"WORKING_CAPITAL_5_YEAR_GROWTH","FQ1 2015","FQ1 2015","Currency=INR","Period=FQ","BEST_FPERIOD_OVERRIDE=FQ","FILING_STATUS=OR","EQY_CONSOLIDATED=Y","Sort=A","Dates=H","DateFormat=P","Fill=—","Direction=H","UseDPDF=Y")</f>
        <v>#NAME?</v>
      </c>
      <c r="AY434" s="2" t="e">
        <f ca="1">_xll.BDH($C$428,"ACCOUNTS_PAYABLE_5_YEAR_GROWTH","FQ1 2015","FQ1 2015","Currency=INR","Period=FQ","BEST_FPERIOD_OVERRIDE=FQ","FILING_STATUS=OR","EQY_CONSOLIDATED=Y","Sort=A","Dates=H","DateFormat=P","Fill=—","Direction=H","UseDPDF=Y")</f>
        <v>#NAME?</v>
      </c>
      <c r="AZ434" s="2" t="e">
        <f ca="1">_xll.BDH($C$428,"SHORT_TERM_DEBT_5_YEAR_GROWTH","FQ1 2015","FQ1 2015","Currency=INR","Period=FQ","BEST_FPERIOD_OVERRIDE=FQ","FILING_STATUS=OR","EQY_CONSOLIDATED=Y","Sort=A","Dates=H","DateFormat=P","Fill=—","Direction=H","UseDPDF=Y")</f>
        <v>#NAME?</v>
      </c>
      <c r="BA434" s="2" t="e">
        <f ca="1">_xll.BDH($C$428,"TOTAL_DEBT_5_YEAR_GROWTH","FQ1 2015","FQ1 2015","Currency=INR","Period=FQ","BEST_FPERIOD_OVERRIDE=FQ","FILING_STATUS=OR","EQY_CONSOLIDATED=Y","Sort=A","Dates=H","DateFormat=P","Fill=—","Direction=H","UseDPDF=Y")</f>
        <v>#NAME?</v>
      </c>
      <c r="BB434" s="2" t="e">
        <f ca="1">_xll.BDH($C$428,"GEO_GROW_TOT_SHRHLDR_EQY","FQ1 2015","FQ1 2015","Currency=INR","Period=FQ","BEST_FPERIOD_OVERRIDE=FQ","FILING_STATUS=OR","EQY_CONSOLIDATED=Y","Sort=A","Dates=H","DateFormat=P","Fill=—","Direction=H","UseDPDF=Y")</f>
        <v>#NAME?</v>
      </c>
      <c r="BC434" s="2" t="e">
        <f ca="1">_xll.BDH($C$428,"TOTAL_CAPITAL_5_YEAR_GROWTH","FQ1 2015","FQ1 2015","Currency=INR","Period=FQ","BEST_FPERIOD_OVERRIDE=FQ","FILING_STATUS=OR","EQY_CONSOLIDATED=Y","Sort=A","Dates=H","DateFormat=P","Fill=—","Direction=H","UseDPDF=Y")</f>
        <v>#NAME?</v>
      </c>
      <c r="BD434" s="2" t="e">
        <f ca="1">_xll.BDH($C$428,"GEO_GROW_BOOK_VAL","FQ1 2015","FQ1 2015","Currency=INR","Period=FQ","BEST_FPERIOD_OVERRIDE=FQ","FILING_STATUS=OR","EQY_CONSOLIDATED=Y","Sort=A","Dates=H","DateFormat=P","Fill=—","Direction=H","UseDPDF=Y")</f>
        <v>#NAME?</v>
      </c>
      <c r="BE434" s="2" t="e">
        <f ca="1">_xll.BDH($C$428,"GEO_GROW_CASH_OPER_ACT","FQ1 2015","FQ1 2015","Currency=INR","Period=FQ","BEST_FPERIOD_OVERRIDE=FQ","FILING_STATUS=OR","EQY_CONSOLIDATED=Y","Sort=A","Dates=H","DateFormat=P","Fill=—","Direction=H","UseDPDF=Y")</f>
        <v>#NAME?</v>
      </c>
      <c r="BF434" s="2" t="e">
        <f ca="1">_xll.BDH($C$428,"REVENUE_SEQUENTIAL_GROWTH","FQ1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34" s="2" t="e">
        <f ca="1">_xll.BDH($C$428,"EBITDA_SEQUENTIAL_GROWTH","FQ1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34" s="2" t="e">
        <f ca="1">_xll.BDH($C$428,"OPERATING_INCOME_SEQ_GROWTH","FQ1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34" s="2" t="e">
        <f ca="1">_xll.BDH($C$428,"NET_INCOME_TO_COMMON_SEQ_GROWTH","FQ1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34" s="2" t="e">
        <f ca="1">_xll.BDH($C$428,"EPS_DILUTED_SEQUENTIAL_GROWTH","FQ1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34" s="2" t="e">
        <f ca="1">_xll.BDH($C$428,"DPS_SEQUENTIAL_GROWTH","FQ1 2015","FQ1 2015","Currency=INR","Period=FQ","BEST_FPERIOD_OVERRIDE=FQ","FILING_STATUS=OR","EQY_CONSOLIDATED=Y","Sort=A","Dates=H","DateFormat=P","Fill=—","Direction=H","UseDPDF=Y")</f>
        <v>#NAME?</v>
      </c>
      <c r="BL434" s="2" t="e">
        <f ca="1">_xll.BDH($C$428,"ACCOUNTS_RECEIVABLE_SEQ_GROWTH","FQ1 2015","FQ1 2015","Currency=INR","Period=FQ","BEST_FPERIOD_OVERRIDE=FQ","FILING_STATUS=OR","EQY_CONSOLIDATED=Y","Sort=A","Dates=H","DateFormat=P","Fill=—","Direction=H","UseDPDF=Y")</f>
        <v>#NAME?</v>
      </c>
      <c r="BM434" s="2" t="e">
        <f ca="1">_xll.BDH($C$428,"INVENTORY_SEQUENTIAL_GROWTH","FQ1 2015","FQ1 2015","Currency=INR","Period=FQ","BEST_FPERIOD_OVERRIDE=FQ","FILING_STATUS=OR","EQY_CONSOLIDATED=Y","Sort=A","Dates=H","DateFormat=P","Fill=—","Direction=H","UseDPDF=Y")</f>
        <v>#NAME?</v>
      </c>
      <c r="BN434" s="2" t="e">
        <f ca="1">_xll.BDH($C$428,"FIXED_ASSETS_SEQUENTIAL_GROWTH","FQ1 2015","FQ1 2015","Currency=INR","Period=FQ","BEST_FPERIOD_OVERRIDE=FQ","FILING_STATUS=OR","EQY_CONSOLIDATED=Y","Sort=A","Dates=H","DateFormat=P","Fill=—","Direction=H","UseDPDF=Y")</f>
        <v>#NAME?</v>
      </c>
      <c r="BO434" s="2" t="e">
        <f ca="1">_xll.BDH($C$428,"TOTAL_ASSETS_SEQUENTIAL_GROWTH","FQ1 2015","FQ1 2015","Currency=INR","Period=FQ","BEST_FPERIOD_OVERRIDE=FQ","FILING_STATUS=OR","EQY_CONSOLIDATED=Y","Sort=A","Dates=H","DateFormat=P","Fill=—","Direction=H","UseDPDF=Y")</f>
        <v>#NAME?</v>
      </c>
      <c r="BP434" s="2" t="e">
        <f ca="1">_xll.BDH($C$428,"MODIFIED_WORKING_CPTL_SEQ_GRWTH","FQ1 2015","FQ1 2015","Currency=INR","Period=FQ","BEST_FPERIOD_OVERRIDE=FQ","FILING_STATUS=OR","EQY_CONSOLIDATED=Y","Sort=A","Dates=H","DateFormat=P","Fill=—","Direction=H","UseDPDF=Y")</f>
        <v>#NAME?</v>
      </c>
      <c r="BQ434" s="2" t="e">
        <f ca="1">_xll.BDH($C$428,"WORKING_CAPITAL_SEQ_GROWTH","FQ1 2015","FQ1 2015","Currency=INR","Period=FQ","BEST_FPERIOD_OVERRIDE=FQ","FILING_STATUS=OR","EQY_CONSOLIDATED=Y","Sort=A","Dates=H","DateFormat=P","Fill=—","Direction=H","UseDPDF=Y")</f>
        <v>#NAME?</v>
      </c>
      <c r="BR434" s="2" t="e">
        <f ca="1">_xll.BDH($C$428,"ACCOUNTS_PAYABLE_SEQ_GROWTH","FQ1 2015","FQ1 2015","Currency=INR","Period=FQ","BEST_FPERIOD_OVERRIDE=FQ","FILING_STATUS=OR","EQY_CONSOLIDATED=Y","Sort=A","Dates=H","DateFormat=P","Fill=—","Direction=H","UseDPDF=Y")</f>
        <v>#NAME?</v>
      </c>
      <c r="BS434" s="2" t="e">
        <f ca="1">_xll.BDH($C$428,"ST_DEBT_SEQUENTIAL_GROWTH","FQ1 2015","FQ1 2015","Currency=INR","Period=FQ","BEST_FPERIOD_OVERRIDE=FQ","FILING_STATUS=OR","EQY_CONSOLIDATED=Y","Sort=A","Dates=H","DateFormat=P","Fill=—","Direction=H","UseDPDF=Y")</f>
        <v>#NAME?</v>
      </c>
      <c r="BT434" s="2" t="e">
        <f ca="1">_xll.BDH($C$428,"TOTAL_DEBT_SEQUENTIAL_GROWTH","FQ1 2015","FQ1 2015","Currency=INR","Period=FQ","BEST_FPERIOD_OVERRIDE=FQ","FILING_STATUS=OR","EQY_CONSOLIDATED=Y","Sort=A","Dates=H","DateFormat=P","Fill=—","Direction=H","UseDPDF=Y")</f>
        <v>#NAME?</v>
      </c>
      <c r="BU434" s="2" t="e">
        <f ca="1">_xll.BDH($C$428,"TOTAL_EQUITY_SEQUENTIAL_GROWTH","FQ1 2015","FQ1 2015","Currency=INR","Period=FQ","BEST_FPERIOD_OVERRIDE=FQ","FILING_STATUS=OR","EQY_CONSOLIDATED=Y","Sort=A","Dates=H","DateFormat=P","Fill=—","Direction=H","UseDPDF=Y")</f>
        <v>#NAME?</v>
      </c>
      <c r="BV434" s="2" t="e">
        <f ca="1">_xll.BDH($C$428,"TOTAL_CAPITAL_SEQUENTIAL_GROWTH","FQ1 2015","FQ1 2015","Currency=INR","Period=FQ","BEST_FPERIOD_OVERRIDE=FQ","FILING_STATUS=OR","EQY_CONSOLIDATED=Y","Sort=A","Dates=H","DateFormat=P","Fill=—","Direction=H","UseDPDF=Y")</f>
        <v>#NAME?</v>
      </c>
      <c r="BW434" s="2" t="e">
        <f ca="1">_xll.BDH($C$428,"BPS_SEQUENTIAL_GROWTH","FQ1 2015","FQ1 2015","Currency=INR","Period=FQ","BEST_FPERIOD_OVERRIDE=FQ","FILING_STATUS=OR","EQY_CONSOLIDATED=Y","Sort=A","Dates=H","DateFormat=P","Fill=—","Direction=H","UseDPDF=Y")</f>
        <v>#NAME?</v>
      </c>
      <c r="BX434" s="2" t="e">
        <f ca="1">_xll.BDH($C$428,"CFO_SEQUENTIAL_GROWTH","FQ1 2015","FQ1 2015","Currency=INR","Period=FQ","BEST_FPERIOD_OVERRIDE=FQ","FILING_STATUS=OR","EQY_CONSOLIDATED=Y","Sort=A","Dates=H","DateFormat=P","Fill=—","Direction=H","UseDPDF=Y")</f>
        <v>#NAME?</v>
      </c>
      <c r="BY434" s="3" t="e">
        <f ca="1">_xll.BDH($C$428,"SHORT_AND_LONG_TERM_DEBT","FQ1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34" s="3" t="e">
        <f ca="1">_xll.BDH($C$428,"BS_ST_BORROW","FQ1 2015","FQ1 2015","Currency=INR","Period=FQ","BEST_FPERIOD_OVERRIDE=FQ","FILING_STATUS=OR","EQY_CONSOLIDATED=Y","SCALING_FORMAT=MLN","Sort=A","Dates=H","DateFormat=P","Fill=—","Direction=H","UseDPDF=Y")</f>
        <v>#NAME?</v>
      </c>
      <c r="CA434" s="3" t="e">
        <f ca="1">_xll.BDH($C$428,"BS_LT_BORROW","FQ1 2015","FQ1 2015","Currency=INR","Period=FQ","BEST_FPERIOD_OVERRIDE=FQ","FILING_STATUS=OR","EQY_CONSOLIDATED=Y","SCALING_FORMAT=MLN","Sort=A","Dates=H","DateFormat=P","Fill=—","Direction=H","UseDPDF=Y")</f>
        <v>#NAME?</v>
      </c>
      <c r="CB434" s="2" t="e">
        <f ca="1">_xll.BDH($C$428,"TOT_DEBT_TO_EBITDA","FQ1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34" s="2" t="e">
        <f ca="1">_xll.BDH($C$428,"NET_DEBT_TO_EBITDA","FQ1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34" s="2" t="e">
        <f ca="1">_xll.BDH($C$428,"TOTAL_DEBT_TO_EBIT","FQ1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34" s="2" t="e">
        <f ca="1">_xll.BDH($C$428,"NET_DEBT_TO_EBIT","FQ1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34" s="2" t="e">
        <f ca="1">_xll.BDH($C$428,"EBITDA_TO_INTEREST_EXPN","FQ1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34" s="2" t="e">
        <f ca="1">_xll.BDH($C$428,"COM_EQY_TO_TOT_ASSET","FQ1 2015","FQ1 2015","Currency=INR","Period=FQ","BEST_FPERIOD_OVERRIDE=FQ","FILING_STATUS=OR","EQY_CONSOLIDATED=Y","Sort=A","Dates=H","DateFormat=P","Fill=—","Direction=H","UseDPDF=Y")</f>
        <v>#NAME?</v>
      </c>
      <c r="CH434" s="2" t="e">
        <f ca="1">_xll.BDH($C$428,"LT_DEBT_TO_TOT_EQY","FQ1 2015","FQ1 2015","Currency=INR","Period=FQ","BEST_FPERIOD_OVERRIDE=FQ","FILING_STATUS=OR","EQY_CONSOLIDATED=Y","Sort=A","Dates=H","DateFormat=P","Fill=—","Direction=H","UseDPDF=Y")</f>
        <v>#NAME?</v>
      </c>
      <c r="CI434" s="2" t="e">
        <f ca="1">_xll.BDH($C$428,"LT_DEBT_TO_TOT_CAP","FQ1 2015","FQ1 2015","Currency=INR","Period=FQ","BEST_FPERIOD_OVERRIDE=FQ","FILING_STATUS=OR","EQY_CONSOLIDATED=Y","Sort=A","Dates=H","DateFormat=P","Fill=—","Direction=H","UseDPDF=Y")</f>
        <v>#NAME?</v>
      </c>
      <c r="CJ434" s="2" t="e">
        <f ca="1">_xll.BDH($C$428,"LT_DEBT_TO_TOT_ASSET","FQ1 2015","FQ1 2015","Currency=INR","Period=FQ","BEST_FPERIOD_OVERRIDE=FQ","FILING_STATUS=OR","EQY_CONSOLIDATED=Y","Sort=A","Dates=H","DateFormat=P","Fill=—","Direction=H","UseDPDF=Y")</f>
        <v>#NAME?</v>
      </c>
      <c r="CK434" s="2" t="e">
        <f ca="1">_xll.BDH($C$428,"TOT_DEBT_TO_TOT_EQY","FQ1 2015","FQ1 2015","Currency=INR","Period=FQ","BEST_FPERIOD_OVERRIDE=FQ","FILING_STATUS=OR","EQY_CONSOLIDATED=Y","Sort=A","Dates=H","DateFormat=P","Fill=—","Direction=H","UseDPDF=Y")</f>
        <v>#NAME?</v>
      </c>
      <c r="CL434" s="2" t="e">
        <f ca="1">_xll.BDH($C$428,"TOT_DEBT_TO_TOT_CAP","FQ1 2015","FQ1 2015","Currency=INR","Period=FQ","BEST_FPERIOD_OVERRIDE=FQ","FILING_STATUS=OR","EQY_CONSOLIDATED=Y","Sort=A","Dates=H","DateFormat=P","Fill=—","Direction=H","UseDPDF=Y")</f>
        <v>#NAME?</v>
      </c>
      <c r="CM434" s="2" t="e">
        <f ca="1">_xll.BDH($C$428,"TOT_DEBT_TO_TOT_ASSET","FQ1 2015","FQ1 2015","Currency=INR","Period=FQ","BEST_FPERIOD_OVERRIDE=FQ","FILING_STATUS=OR","EQY_CONSOLIDATED=Y","Sort=A","Dates=H","DateFormat=P","Fill=—","Direction=H","UseDPDF=Y")</f>
        <v>#NAME?</v>
      </c>
      <c r="CN434" s="2" t="e">
        <f ca="1">_xll.BDH($C$428,"NET_DEBT_TO_SHRHLDR_EQTY","FQ1 2015","FQ1 2015","Currency=INR","Period=FQ","BEST_FPERIOD_OVERRIDE=FQ","FILING_STATUS=OR","EQY_CONSOLIDATED=Y","Sort=A","Dates=H","DateFormat=P","Fill=—","Direction=H","UseDPDF=Y")</f>
        <v>#NAME?</v>
      </c>
      <c r="CO434" s="2" t="e">
        <f ca="1">_xll.BDH($C$428,"NET_DEBT_%_CAPITAL","FQ1 2015","FQ1 2015","Currency=INR","Period=FQ","BEST_FPERIOD_OVERRIDE=FQ","FILING_STATUS=OR","EQY_CONSOLIDATED=Y","Sort=A","Dates=H","DateFormat=P","Fill=—","Direction=H","UseDPDF=Y")</f>
        <v>#NAME?</v>
      </c>
      <c r="CP434" s="3" t="e">
        <f ca="1">_xll.BDH($C$428,"EBITDA","FQ1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34" s="3" t="e">
        <f ca="1">_xll.BDH($C$428,"EBITDA_AFTER_CAPEX","FQ1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34" s="3" t="e">
        <f ca="1">_xll.BDH($C$428,"IS_OPER_INC","FQ1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34" s="2" t="e">
        <f ca="1">_xll.BDH($C$428,"CASH_RATIO","FQ1 2015","FQ1 2015","Currency=INR","Period=FQ","BEST_FPERIOD_OVERRIDE=FQ","FILING_STATUS=OR","EQY_CONSOLIDATED=Y","Sort=A","Dates=H","DateFormat=P","Fill=—","Direction=H","UseDPDF=Y")</f>
        <v>#NAME?</v>
      </c>
      <c r="CT434" s="2" t="e">
        <f ca="1">_xll.BDH($C$428,"CUR_RATIO","FQ1 2015","FQ1 2015","Currency=INR","Period=FQ","BEST_FPERIOD_OVERRIDE=FQ","FILING_STATUS=OR","EQY_CONSOLIDATED=Y","Sort=A","Dates=H","DateFormat=P","Fill=—","Direction=H","UseDPDF=Y")</f>
        <v>#NAME?</v>
      </c>
      <c r="CU434" s="2" t="e">
        <f ca="1">_xll.BDH($C$428,"QUICK_RATIO","FQ1 2015","FQ1 2015","Currency=INR","Period=FQ","BEST_FPERIOD_OVERRIDE=FQ","FILING_STATUS=OR","EQY_CONSOLIDATED=Y","Sort=A","Dates=H","DateFormat=P","Fill=—","Direction=H","UseDPDF=Y")</f>
        <v>#NAME?</v>
      </c>
      <c r="CV434" s="2" t="e">
        <f ca="1">_xll.BDH($C$428,"ALTMAN_Z_SCORE","FQ1 2015","FQ1 2015","Currency=INR","Period=FQ","BEST_FPERIOD_OVERRIDE=FQ","FILING_STATUS=OR","EQY_CONSOLIDATED=Y","Sort=A","Dates=H","DateFormat=P","Fill=—","Direction=H","UseDPDF=Y")</f>
        <v>#NAME?</v>
      </c>
      <c r="CW434" s="4" t="e">
        <f ca="1">_xll.BDH($C$428,"ACCT_RCV_TURN","FQ1 2015","FQ1 2015","Currency=INR","Period=FQ","BEST_FPERIOD_OVERRIDE=FQ","FILING_STATUS=OR","EQY_CONSOLIDATED=Y","FA_ADJUSTED=GAAP","Sort=A","Dates=H","DateFormat=P","Fill=—","Direction=H","UseDPDF=Y")</f>
        <v>#NAME?</v>
      </c>
      <c r="CX434" s="2" t="e">
        <f ca="1">_xll.BDH($C$428,"ACCT_RCV_DAYS","FQ1 2015","FQ1 2015","Currency=INR","Period=FQ","BEST_FPERIOD_OVERRIDE=FQ","FILING_STATUS=OR","EQY_CONSOLIDATED=Y","FA_ADJUSTED=GAAP","Sort=A","Dates=H","DateFormat=P","Fill=—","Direction=H","UseDPDF=Y")</f>
        <v>#NAME?</v>
      </c>
      <c r="CY434" s="4" t="e">
        <f ca="1">_xll.BDH($C$428,"INVENT_TURN","FQ1 2015","FQ1 2015","Currency=INR","Period=FQ","BEST_FPERIOD_OVERRIDE=FQ","FILING_STATUS=OR","EQY_CONSOLIDATED=Y","FA_ADJUSTED=GAAP","Sort=A","Dates=H","DateFormat=P","Fill=—","Direction=H","UseDPDF=Y")</f>
        <v>#NAME?</v>
      </c>
      <c r="CZ434" s="2" t="e">
        <f ca="1">_xll.BDH($C$428,"INVENT_DAYS","FQ1 2015","FQ1 2015","Currency=INR","Period=FQ","BEST_FPERIOD_OVERRIDE=FQ","FILING_STATUS=OR","EQY_CONSOLIDATED=Y","FA_ADJUSTED=GAAP","Sort=A","Dates=H","DateFormat=P","Fill=—","Direction=H","UseDPDF=Y")</f>
        <v>#NAME?</v>
      </c>
      <c r="DA434" s="4" t="e">
        <f ca="1">_xll.BDH($C$428,"ACCOUNTS_PAYABLE_TURNOVER","FQ1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34" s="2" t="e">
        <f ca="1">_xll.BDH($C$428,"ACCOUNTS_PAYABLE_TURNOVER_DAYS","FQ1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34" s="4" t="e">
        <f ca="1">_xll.BDH($C$428,"CASH_CONVERSION_CYCLE","FQ1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34" s="4" t="e">
        <f ca="1">_xll.BDH($C$428,"INV_TO_CASH_DAYS","FQ1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34" s="5" t="e">
        <f ca="1">_xll.BDH($C$428,"BS_INVENTORIES","FQ1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34" s="3" t="e">
        <f ca="1">_xll.BDH($C$428,"INVTRY_RAW_MATERIALS","FQ1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34" s="3" t="e">
        <f ca="1">_xll.BDH($C$428,"INVTRY_IN_PROGRESS","FQ1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34" s="3" t="e">
        <f ca="1">_xll.BDH($C$428,"INVTRY_FINISHED_GOODS","FQ1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34" s="3" t="e">
        <f ca="1">_xll.BDH($C$428,"BS_OTHER_INV","FQ1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35" spans="1:113" x14ac:dyDescent="0.3">
      <c r="A435" s="6"/>
      <c r="B435" s="6"/>
      <c r="C435" s="6"/>
      <c r="D435" s="6"/>
      <c r="E435" t="s">
        <v>79</v>
      </c>
      <c r="F435" t="e">
        <f ca="1">_xll.BDH($C$428,"RETURN_COM_EQY","FQ2 2015","FQ2 2015","Currency=INR","Period=FQ","BEST_FPERIOD_OVERRIDE=FQ","FILING_STATUS=OR","EQY_CONSOLIDATED=Y","FA_ADJUSTED=GAAP","Sort=A","Dates=H","DateFormat=P","Fill=—","Direction=H","UseDPDF=Y")</f>
        <v>#NAME?</v>
      </c>
      <c r="G435" t="e">
        <f ca="1">_xll.BDH($C$428,"RETURN_ON_ASSET","FQ2 2015","FQ2 2015","Currency=INR","Period=FQ","BEST_FPERIOD_OVERRIDE=FQ","FILING_STATUS=OR","EQY_CONSOLIDATED=Y","FA_ADJUSTED=GAAP","Sort=A","Dates=H","DateFormat=P","Fill=—","Direction=H","UseDPDF=Y")</f>
        <v>#NAME?</v>
      </c>
      <c r="H435" t="e">
        <f ca="1">_xll.BDH($C$428,"RETURN_ON_CAP","FQ2 2015","FQ2 2015","Currency=INR","Period=FQ","BEST_FPERIOD_OVERRIDE=FQ","FILING_STATUS=OR","EQY_CONSOLIDATED=Y","FA_ADJUSTED=GAAP","Sort=A","Dates=H","DateFormat=P","Fill=—","Direction=H","UseDPDF=Y")</f>
        <v>#NAME?</v>
      </c>
      <c r="I435" t="e">
        <f ca="1">_xll.BDH($C$428,"RETURN_ON_INV_CAPITAL","FQ2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35" t="e">
        <f ca="1">_xll.BDH($C$428,"EBITDA_TO_REVENUE","FQ2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35" t="e">
        <f ca="1">_xll.BDH($C$428,"OPER_MARGIN","FQ2 2015","FQ2 2015","Currency=INR","Period=FQ","BEST_FPERIOD_OVERRIDE=FQ","FILING_STATUS=OR","EQY_CONSOLIDATED=Y","FA_ADJUSTED=GAAP","Sort=A","Dates=H","DateFormat=P","Fill=—","Direction=H","UseDPDF=Y")</f>
        <v>#NAME?</v>
      </c>
      <c r="L435" t="e">
        <f ca="1">_xll.BDH($C$428,"INCREMENTAL_OPERATING_MARGIN","FQ2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35" t="e">
        <f ca="1">_xll.BDH($C$428,"PRETAX_INC_TO_NET_SALES","FQ2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35" t="e">
        <f ca="1">_xll.BDH($C$428,"INC_BEF_XO_ITEMS_TO_NET_SALES","FQ2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35" t="e">
        <f ca="1">_xll.BDH($C$428,"PROF_MARGIN","FQ2 2015","FQ2 2015","Currency=INR","Period=FQ","BEST_FPERIOD_OVERRIDE=FQ","FILING_STATUS=OR","EQY_CONSOLIDATED=Y","FA_ADJUSTED=GAAP","Sort=A","Dates=H","DateFormat=P","Fill=—","Direction=H","UseDPDF=Y")</f>
        <v>#NAME?</v>
      </c>
      <c r="P435" t="e">
        <f ca="1">_xll.BDH($C$428,"NET_INCOME_TO_COMMON_MARGIN","FQ2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35" t="e">
        <f ca="1">_xll.BDH($C$428,"EFF_TAX_RATE","FQ2 2015","FQ2 2015","Currency=INR","Period=FQ","BEST_FPERIOD_OVERRIDE=FQ","FILING_STATUS=OR","EQY_CONSOLIDATED=Y","FA_ADJUSTED=GAAP","Sort=A","Dates=H","DateFormat=P","Fill=—","Direction=H","UseDPDF=Y")</f>
        <v>#NAME?</v>
      </c>
      <c r="R435" t="e">
        <f ca="1">_xll.BDH($C$428,"DVD_PAYOUT_RATIO","FQ2 2015","FQ2 2015","Currency=INR","Period=FQ","BEST_FPERIOD_OVERRIDE=FQ","FILING_STATUS=OR","EQY_CONSOLIDATED=Y","FA_ADJUSTED=GAAP","Sort=A","Dates=H","DateFormat=P","Fill=—","Direction=H","UseDPDF=Y")</f>
        <v>#NAME?</v>
      </c>
      <c r="S435" t="e">
        <f ca="1">_xll.BDH($C$428,"SUSTAIN_GROWTH_RT","FQ2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35" s="2" t="e">
        <f ca="1">_xll.BDH($C$428,"SALES_GROWTH","FQ2 2015","FQ2 2015","Currency=INR","Period=FQ","BEST_FPERIOD_OVERRIDE=FQ","FILING_STATUS=OR","EQY_CONSOLIDATED=Y","FA_ADJUSTED=GAAP","Sort=A","Dates=H","DateFormat=P","Fill=—","Direction=H","UseDPDF=Y")</f>
        <v>#NAME?</v>
      </c>
      <c r="U435" s="2" t="e">
        <f ca="1">_xll.BDH($C$428,"EBITDA_GROWTH","FQ2 2015","FQ2 2015","Currency=INR","Period=FQ","BEST_FPERIOD_OVERRIDE=FQ","FILING_STATUS=OR","EQY_CONSOLIDATED=Y","FA_ADJUSTED=GAAP","Sort=A","Dates=H","DateFormat=P","Fill=—","Direction=H","UseDPDF=Y")</f>
        <v>#NAME?</v>
      </c>
      <c r="V435" s="2" t="e">
        <f ca="1">_xll.BDH($C$428,"OPER_INC_GROWTH","FQ2 2015","FQ2 2015","Currency=INR","Period=FQ","BEST_FPERIOD_OVERRIDE=FQ","FILING_STATUS=OR","EQY_CONSOLIDATED=Y","FA_ADJUSTED=GAAP","Sort=A","Dates=H","DateFormat=P","Fill=—","Direction=H","UseDPDF=Y")</f>
        <v>#NAME?</v>
      </c>
      <c r="W435" s="2" t="e">
        <f ca="1">_xll.BDH($C$428,"EARN_FOR_COM_GROWTH","FQ2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35" s="2" t="e">
        <f ca="1">_xll.BDH($C$428,"DILUTED_EPS_AFT_XO_ITEMS_GROWTH","FQ2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35" s="2" t="e">
        <f ca="1">_xll.BDH($C$428,"DIVIDEND_PER_SHARE_1_YEAR_GROWTH","FQ2 2015","FQ2 2015","Currency=INR","Period=FQ","BEST_FPERIOD_OVERRIDE=FQ","FILING_STATUS=OR","EQY_CONSOLIDATED=Y","Sort=A","Dates=H","DateFormat=P","Fill=—","Direction=H","UseDPDF=Y")</f>
        <v>#NAME?</v>
      </c>
      <c r="Z435" s="2" t="e">
        <f ca="1">_xll.BDH($C$428,"ACCOUNTS_RECEIVABLE_GROWTH","FQ2 2015","FQ2 2015","Currency=INR","Period=FQ","BEST_FPERIOD_OVERRIDE=FQ","FILING_STATUS=OR","EQY_CONSOLIDATED=Y","Sort=A","Dates=H","DateFormat=P","Fill=—","Direction=H","UseDPDF=Y")</f>
        <v>#NAME?</v>
      </c>
      <c r="AA435" s="2" t="e">
        <f ca="1">_xll.BDH($C$428,"INVENTORY_GROWTH","FQ2 2015","FQ2 2015","Currency=INR","Period=FQ","BEST_FPERIOD_OVERRIDE=FQ","FILING_STATUS=OR","EQY_CONSOLIDATED=Y","Sort=A","Dates=H","DateFormat=P","Fill=—","Direction=H","UseDPDF=Y")</f>
        <v>#NAME?</v>
      </c>
      <c r="AB435" s="2" t="e">
        <f ca="1">_xll.BDH($C$428,"NET_FIXED_ASSETS_1_YEAR_GROWTH","FQ2 2015","FQ2 2015","Currency=INR","Period=FQ","BEST_FPERIOD_OVERRIDE=FQ","FILING_STATUS=OR","EQY_CONSOLIDATED=Y","Sort=A","Dates=H","DateFormat=P","Fill=—","Direction=H","UseDPDF=Y")</f>
        <v>#NAME?</v>
      </c>
      <c r="AC435" s="2" t="e">
        <f ca="1">_xll.BDH($C$428,"ASSET_GROWTH","FQ2 2015","FQ2 2015","Currency=INR","Period=FQ","BEST_FPERIOD_OVERRIDE=FQ","FILING_STATUS=OR","EQY_CONSOLIDATED=Y","Sort=A","Dates=H","DateFormat=P","Fill=—","Direction=H","UseDPDF=Y")</f>
        <v>#NAME?</v>
      </c>
      <c r="AD435" s="2" t="e">
        <f ca="1">_xll.BDH($C$428,"MODIFIED_WORK_CAP_GROWTH","FQ2 2015","FQ2 2015","Currency=INR","Period=FQ","BEST_FPERIOD_OVERRIDE=FQ","FILING_STATUS=OR","EQY_CONSOLIDATED=Y","Sort=A","Dates=H","DateFormat=P","Fill=—","Direction=H","UseDPDF=Y")</f>
        <v>#NAME?</v>
      </c>
      <c r="AE435" s="2" t="e">
        <f ca="1">_xll.BDH($C$428,"WORK_CAP_GROWTH","FQ2 2015","FQ2 2015","Currency=INR","Period=FQ","BEST_FPERIOD_OVERRIDE=FQ","FILING_STATUS=OR","EQY_CONSOLIDATED=Y","Sort=A","Dates=H","DateFormat=P","Fill=—","Direction=H","UseDPDF=Y")</f>
        <v>#NAME?</v>
      </c>
      <c r="AF435" s="2" t="e">
        <f ca="1">_xll.BDH($C$428,"ACCOUNTS_PAYABLE_GROWTH_1YR","FQ2 2015","FQ2 2015","Currency=INR","Period=FQ","BEST_FPERIOD_OVERRIDE=FQ","FILING_STATUS=OR","EQY_CONSOLIDATED=Y","Sort=A","Dates=H","DateFormat=P","Fill=—","Direction=H","UseDPDF=Y")</f>
        <v>#NAME?</v>
      </c>
      <c r="AG435" s="2" t="e">
        <f ca="1">_xll.BDH($C$428,"SHORT_TERM_DEBT_1_YEAR_GROWTH","FQ2 2015","FQ2 2015","Currency=INR","Period=FQ","BEST_FPERIOD_OVERRIDE=FQ","FILING_STATUS=OR","EQY_CONSOLIDATED=Y","Sort=A","Dates=H","DateFormat=P","Fill=—","Direction=H","UseDPDF=Y")</f>
        <v>#NAME?</v>
      </c>
      <c r="AH435" s="2" t="e">
        <f ca="1">_xll.BDH($C$428,"TOTAL_DEBT_1_YEAR_GROWTH","FQ2 2015","FQ2 2015","Currency=INR","Period=FQ","BEST_FPERIOD_OVERRIDE=FQ","FILING_STATUS=OR","EQY_CONSOLIDATED=Y","Sort=A","Dates=H","DateFormat=P","Fill=—","Direction=H","UseDPDF=Y")</f>
        <v>#NAME?</v>
      </c>
      <c r="AI435" s="2" t="e">
        <f ca="1">_xll.BDH($C$428,"TOTAL_EQUITY_1_YEAR_GROWTH","FQ2 2015","FQ2 2015","Currency=INR","Period=FQ","BEST_FPERIOD_OVERRIDE=FQ","FILING_STATUS=OR","EQY_CONSOLIDATED=Y","Sort=A","Dates=H","DateFormat=P","Fill=—","Direction=H","UseDPDF=Y")</f>
        <v>#NAME?</v>
      </c>
      <c r="AJ435" s="2" t="e">
        <f ca="1">_xll.BDH($C$428,"GROWTH_IN_CAP","FQ2 2015","FQ2 2015","Currency=INR","Period=FQ","BEST_FPERIOD_OVERRIDE=FQ","FILING_STATUS=OR","EQY_CONSOLIDATED=Y","Sort=A","Dates=H","DateFormat=P","Fill=—","Direction=H","UseDPDF=Y")</f>
        <v>#NAME?</v>
      </c>
      <c r="AK435" s="2" t="e">
        <f ca="1">_xll.BDH($C$428,"BVPS_GROWTH","FQ2 2015","FQ2 2015","Currency=INR","Period=FQ","BEST_FPERIOD_OVERRIDE=FQ","FILING_STATUS=OR","EQY_CONSOLIDATED=Y","Sort=A","Dates=H","DateFormat=P","Fill=—","Direction=H","UseDPDF=Y")</f>
        <v>#NAME?</v>
      </c>
      <c r="AL435" s="2" t="e">
        <f ca="1">_xll.BDH($C$428,"CASH_FLOW_GROWTH","FQ2 2015","FQ2 2015","Currency=INR","Period=FQ","BEST_FPERIOD_OVERRIDE=FQ","FILING_STATUS=OR","EQY_CONSOLIDATED=Y","Sort=A","Dates=H","DateFormat=P","Fill=—","Direction=H","UseDPDF=Y")</f>
        <v>#NAME?</v>
      </c>
      <c r="AM435" s="2" t="e">
        <f ca="1">_xll.BDH($C$428,"GEO_GROW_NET_SALES","FQ2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35" s="2" t="e">
        <f ca="1">_xll.BDH($C$428,"GEO_GROW_EBITDA","FQ2 2015","FQ2 2015","Currency=INR","Period=FQ","BEST_FPERIOD_OVERRIDE=FQ","FILING_STATUS=OR","EQY_CONSOLIDATED=Y","FA_ADJUSTED=GAAP","Sort=A","Dates=H","DateFormat=P","Fill=—","Direction=H","UseDPDF=Y")</f>
        <v>#NAME?</v>
      </c>
      <c r="AO435" s="2" t="e">
        <f ca="1">_xll.BDH($C$428,"GEO_GROW_OPER_INC","FQ2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35" s="2" t="e">
        <f ca="1">_xll.BDH($C$428,"NET_INCOME_TO_COMMON_5_YR_GROWTH","FQ2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35" s="2" t="e">
        <f ca="1">_xll.BDH($C$428,"5Y_GEO_GROWTH_DILUTED_EPS","FQ2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35" s="2" t="e">
        <f ca="1">_xll.BDH($C$428,"GEO_GROW_DVD_PER_SH","FQ2 2015","FQ2 2015","Currency=INR","Period=FQ","BEST_FPERIOD_OVERRIDE=FQ","FILING_STATUS=OR","EQY_CONSOLIDATED=Y","Sort=A","Dates=H","DateFormat=P","Fill=—","Direction=H","UseDPDF=Y")</f>
        <v>#NAME?</v>
      </c>
      <c r="AS435" s="2" t="e">
        <f ca="1">_xll.BDH($C$428,"ACCOUNTS_RECEIVABLE_5_YR_GROWTH","FQ2 2015","FQ2 2015","Currency=INR","Period=FQ","BEST_FPERIOD_OVERRIDE=FQ","FILING_STATUS=OR","EQY_CONSOLIDATED=Y","Sort=A","Dates=H","DateFormat=P","Fill=—","Direction=H","UseDPDF=Y")</f>
        <v>#NAME?</v>
      </c>
      <c r="AT435" s="2" t="e">
        <f ca="1">_xll.BDH($C$428,"INVENTORY_5_YEAR_GROWTH","FQ2 2015","FQ2 2015","Currency=INR","Period=FQ","BEST_FPERIOD_OVERRIDE=FQ","FILING_STATUS=OR","EQY_CONSOLIDATED=Y","Sort=A","Dates=H","DateFormat=P","Fill=—","Direction=H","UseDPDF=Y")</f>
        <v>#NAME?</v>
      </c>
      <c r="AU435" s="2" t="e">
        <f ca="1">_xll.BDH($C$428,"NET_FIXED_ASSETS_5_YEAR_GROWTH","FQ2 2015","FQ2 2015","Currency=INR","Period=FQ","BEST_FPERIOD_OVERRIDE=FQ","FILING_STATUS=OR","EQY_CONSOLIDATED=Y","Sort=A","Dates=H","DateFormat=P","Fill=—","Direction=H","UseDPDF=Y")</f>
        <v>#NAME?</v>
      </c>
      <c r="AV435" s="2" t="e">
        <f ca="1">_xll.BDH($C$428,"GEO_GROW_TOT_ASSET","FQ2 2015","FQ2 2015","Currency=INR","Period=FQ","BEST_FPERIOD_OVERRIDE=FQ","FILING_STATUS=OR","EQY_CONSOLIDATED=Y","Sort=A","Dates=H","DateFormat=P","Fill=—","Direction=H","UseDPDF=Y")</f>
        <v>#NAME?</v>
      </c>
      <c r="AW435" s="2" t="e">
        <f ca="1">_xll.BDH($C$428,"MODIFIED_WORKING_CPTL_5YR_GRWTH","FQ2 2015","FQ2 2015","Currency=INR","Period=FQ","BEST_FPERIOD_OVERRIDE=FQ","FILING_STATUS=OR","EQY_CONSOLIDATED=Y","Sort=A","Dates=H","DateFormat=P","Fill=—","Direction=H","UseDPDF=Y")</f>
        <v>#NAME?</v>
      </c>
      <c r="AX435" s="2" t="e">
        <f ca="1">_xll.BDH($C$428,"WORKING_CAPITAL_5_YEAR_GROWTH","FQ2 2015","FQ2 2015","Currency=INR","Period=FQ","BEST_FPERIOD_OVERRIDE=FQ","FILING_STATUS=OR","EQY_CONSOLIDATED=Y","Sort=A","Dates=H","DateFormat=P","Fill=—","Direction=H","UseDPDF=Y")</f>
        <v>#NAME?</v>
      </c>
      <c r="AY435" s="2" t="e">
        <f ca="1">_xll.BDH($C$428,"ACCOUNTS_PAYABLE_5_YEAR_GROWTH","FQ2 2015","FQ2 2015","Currency=INR","Period=FQ","BEST_FPERIOD_OVERRIDE=FQ","FILING_STATUS=OR","EQY_CONSOLIDATED=Y","Sort=A","Dates=H","DateFormat=P","Fill=—","Direction=H","UseDPDF=Y")</f>
        <v>#NAME?</v>
      </c>
      <c r="AZ435" s="2" t="e">
        <f ca="1">_xll.BDH($C$428,"SHORT_TERM_DEBT_5_YEAR_GROWTH","FQ2 2015","FQ2 2015","Currency=INR","Period=FQ","BEST_FPERIOD_OVERRIDE=FQ","FILING_STATUS=OR","EQY_CONSOLIDATED=Y","Sort=A","Dates=H","DateFormat=P","Fill=—","Direction=H","UseDPDF=Y")</f>
        <v>#NAME?</v>
      </c>
      <c r="BA435" s="2" t="e">
        <f ca="1">_xll.BDH($C$428,"TOTAL_DEBT_5_YEAR_GROWTH","FQ2 2015","FQ2 2015","Currency=INR","Period=FQ","BEST_FPERIOD_OVERRIDE=FQ","FILING_STATUS=OR","EQY_CONSOLIDATED=Y","Sort=A","Dates=H","DateFormat=P","Fill=—","Direction=H","UseDPDF=Y")</f>
        <v>#NAME?</v>
      </c>
      <c r="BB435" s="2" t="e">
        <f ca="1">_xll.BDH($C$428,"GEO_GROW_TOT_SHRHLDR_EQY","FQ2 2015","FQ2 2015","Currency=INR","Period=FQ","BEST_FPERIOD_OVERRIDE=FQ","FILING_STATUS=OR","EQY_CONSOLIDATED=Y","Sort=A","Dates=H","DateFormat=P","Fill=—","Direction=H","UseDPDF=Y")</f>
        <v>#NAME?</v>
      </c>
      <c r="BC435" s="2" t="e">
        <f ca="1">_xll.BDH($C$428,"TOTAL_CAPITAL_5_YEAR_GROWTH","FQ2 2015","FQ2 2015","Currency=INR","Period=FQ","BEST_FPERIOD_OVERRIDE=FQ","FILING_STATUS=OR","EQY_CONSOLIDATED=Y","Sort=A","Dates=H","DateFormat=P","Fill=—","Direction=H","UseDPDF=Y")</f>
        <v>#NAME?</v>
      </c>
      <c r="BD435" s="2" t="e">
        <f ca="1">_xll.BDH($C$428,"GEO_GROW_BOOK_VAL","FQ2 2015","FQ2 2015","Currency=INR","Period=FQ","BEST_FPERIOD_OVERRIDE=FQ","FILING_STATUS=OR","EQY_CONSOLIDATED=Y","Sort=A","Dates=H","DateFormat=P","Fill=—","Direction=H","UseDPDF=Y")</f>
        <v>#NAME?</v>
      </c>
      <c r="BE435" s="2" t="e">
        <f ca="1">_xll.BDH($C$428,"GEO_GROW_CASH_OPER_ACT","FQ2 2015","FQ2 2015","Currency=INR","Period=FQ","BEST_FPERIOD_OVERRIDE=FQ","FILING_STATUS=OR","EQY_CONSOLIDATED=Y","Sort=A","Dates=H","DateFormat=P","Fill=—","Direction=H","UseDPDF=Y")</f>
        <v>#NAME?</v>
      </c>
      <c r="BF435" s="2" t="e">
        <f ca="1">_xll.BDH($C$428,"REVENUE_SEQUENTIAL_GROWTH","FQ2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35" s="2" t="e">
        <f ca="1">_xll.BDH($C$428,"EBITDA_SEQUENTIAL_GROWTH","FQ2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35" s="2" t="e">
        <f ca="1">_xll.BDH($C$428,"OPERATING_INCOME_SEQ_GROWTH","FQ2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35" s="2" t="e">
        <f ca="1">_xll.BDH($C$428,"NET_INCOME_TO_COMMON_SEQ_GROWTH","FQ2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35" s="2" t="e">
        <f ca="1">_xll.BDH($C$428,"EPS_DILUTED_SEQUENTIAL_GROWTH","FQ2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35" s="2" t="e">
        <f ca="1">_xll.BDH($C$428,"DPS_SEQUENTIAL_GROWTH","FQ2 2015","FQ2 2015","Currency=INR","Period=FQ","BEST_FPERIOD_OVERRIDE=FQ","FILING_STATUS=OR","EQY_CONSOLIDATED=Y","Sort=A","Dates=H","DateFormat=P","Fill=—","Direction=H","UseDPDF=Y")</f>
        <v>#NAME?</v>
      </c>
      <c r="BL435" s="2" t="e">
        <f ca="1">_xll.BDH($C$428,"ACCOUNTS_RECEIVABLE_SEQ_GROWTH","FQ2 2015","FQ2 2015","Currency=INR","Period=FQ","BEST_FPERIOD_OVERRIDE=FQ","FILING_STATUS=OR","EQY_CONSOLIDATED=Y","Sort=A","Dates=H","DateFormat=P","Fill=—","Direction=H","UseDPDF=Y")</f>
        <v>#NAME?</v>
      </c>
      <c r="BM435" s="2" t="e">
        <f ca="1">_xll.BDH($C$428,"INVENTORY_SEQUENTIAL_GROWTH","FQ2 2015","FQ2 2015","Currency=INR","Period=FQ","BEST_FPERIOD_OVERRIDE=FQ","FILING_STATUS=OR","EQY_CONSOLIDATED=Y","Sort=A","Dates=H","DateFormat=P","Fill=—","Direction=H","UseDPDF=Y")</f>
        <v>#NAME?</v>
      </c>
      <c r="BN435" s="2" t="e">
        <f ca="1">_xll.BDH($C$428,"FIXED_ASSETS_SEQUENTIAL_GROWTH","FQ2 2015","FQ2 2015","Currency=INR","Period=FQ","BEST_FPERIOD_OVERRIDE=FQ","FILING_STATUS=OR","EQY_CONSOLIDATED=Y","Sort=A","Dates=H","DateFormat=P","Fill=—","Direction=H","UseDPDF=Y")</f>
        <v>#NAME?</v>
      </c>
      <c r="BO435" s="2" t="e">
        <f ca="1">_xll.BDH($C$428,"TOTAL_ASSETS_SEQUENTIAL_GROWTH","FQ2 2015","FQ2 2015","Currency=INR","Period=FQ","BEST_FPERIOD_OVERRIDE=FQ","FILING_STATUS=OR","EQY_CONSOLIDATED=Y","Sort=A","Dates=H","DateFormat=P","Fill=—","Direction=H","UseDPDF=Y")</f>
        <v>#NAME?</v>
      </c>
      <c r="BP435" s="2" t="e">
        <f ca="1">_xll.BDH($C$428,"MODIFIED_WORKING_CPTL_SEQ_GRWTH","FQ2 2015","FQ2 2015","Currency=INR","Period=FQ","BEST_FPERIOD_OVERRIDE=FQ","FILING_STATUS=OR","EQY_CONSOLIDATED=Y","Sort=A","Dates=H","DateFormat=P","Fill=—","Direction=H","UseDPDF=Y")</f>
        <v>#NAME?</v>
      </c>
      <c r="BQ435" s="2" t="e">
        <f ca="1">_xll.BDH($C$428,"WORKING_CAPITAL_SEQ_GROWTH","FQ2 2015","FQ2 2015","Currency=INR","Period=FQ","BEST_FPERIOD_OVERRIDE=FQ","FILING_STATUS=OR","EQY_CONSOLIDATED=Y","Sort=A","Dates=H","DateFormat=P","Fill=—","Direction=H","UseDPDF=Y")</f>
        <v>#NAME?</v>
      </c>
      <c r="BR435" s="2" t="e">
        <f ca="1">_xll.BDH($C$428,"ACCOUNTS_PAYABLE_SEQ_GROWTH","FQ2 2015","FQ2 2015","Currency=INR","Period=FQ","BEST_FPERIOD_OVERRIDE=FQ","FILING_STATUS=OR","EQY_CONSOLIDATED=Y","Sort=A","Dates=H","DateFormat=P","Fill=—","Direction=H","UseDPDF=Y")</f>
        <v>#NAME?</v>
      </c>
      <c r="BS435" s="2" t="e">
        <f ca="1">_xll.BDH($C$428,"ST_DEBT_SEQUENTIAL_GROWTH","FQ2 2015","FQ2 2015","Currency=INR","Period=FQ","BEST_FPERIOD_OVERRIDE=FQ","FILING_STATUS=OR","EQY_CONSOLIDATED=Y","Sort=A","Dates=H","DateFormat=P","Fill=—","Direction=H","UseDPDF=Y")</f>
        <v>#NAME?</v>
      </c>
      <c r="BT435" s="2" t="e">
        <f ca="1">_xll.BDH($C$428,"TOTAL_DEBT_SEQUENTIAL_GROWTH","FQ2 2015","FQ2 2015","Currency=INR","Period=FQ","BEST_FPERIOD_OVERRIDE=FQ","FILING_STATUS=OR","EQY_CONSOLIDATED=Y","Sort=A","Dates=H","DateFormat=P","Fill=—","Direction=H","UseDPDF=Y")</f>
        <v>#NAME?</v>
      </c>
      <c r="BU435" s="2" t="e">
        <f ca="1">_xll.BDH($C$428,"TOTAL_EQUITY_SEQUENTIAL_GROWTH","FQ2 2015","FQ2 2015","Currency=INR","Period=FQ","BEST_FPERIOD_OVERRIDE=FQ","FILING_STATUS=OR","EQY_CONSOLIDATED=Y","Sort=A","Dates=H","DateFormat=P","Fill=—","Direction=H","UseDPDF=Y")</f>
        <v>#NAME?</v>
      </c>
      <c r="BV435" s="2" t="e">
        <f ca="1">_xll.BDH($C$428,"TOTAL_CAPITAL_SEQUENTIAL_GROWTH","FQ2 2015","FQ2 2015","Currency=INR","Period=FQ","BEST_FPERIOD_OVERRIDE=FQ","FILING_STATUS=OR","EQY_CONSOLIDATED=Y","Sort=A","Dates=H","DateFormat=P","Fill=—","Direction=H","UseDPDF=Y")</f>
        <v>#NAME?</v>
      </c>
      <c r="BW435" s="2" t="e">
        <f ca="1">_xll.BDH($C$428,"BPS_SEQUENTIAL_GROWTH","FQ2 2015","FQ2 2015","Currency=INR","Period=FQ","BEST_FPERIOD_OVERRIDE=FQ","FILING_STATUS=OR","EQY_CONSOLIDATED=Y","Sort=A","Dates=H","DateFormat=P","Fill=—","Direction=H","UseDPDF=Y")</f>
        <v>#NAME?</v>
      </c>
      <c r="BX435" s="2" t="e">
        <f ca="1">_xll.BDH($C$428,"CFO_SEQUENTIAL_GROWTH","FQ2 2015","FQ2 2015","Currency=INR","Period=FQ","BEST_FPERIOD_OVERRIDE=FQ","FILING_STATUS=OR","EQY_CONSOLIDATED=Y","Sort=A","Dates=H","DateFormat=P","Fill=—","Direction=H","UseDPDF=Y")</f>
        <v>#NAME?</v>
      </c>
      <c r="BY435" s="3" t="e">
        <f ca="1">_xll.BDH($C$428,"SHORT_AND_LONG_TERM_DEBT","FQ2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35" s="3" t="e">
        <f ca="1">_xll.BDH($C$428,"BS_ST_BORROW","FQ2 2015","FQ2 2015","Currency=INR","Period=FQ","BEST_FPERIOD_OVERRIDE=FQ","FILING_STATUS=OR","EQY_CONSOLIDATED=Y","SCALING_FORMAT=MLN","Sort=A","Dates=H","DateFormat=P","Fill=—","Direction=H","UseDPDF=Y")</f>
        <v>#NAME?</v>
      </c>
      <c r="CA435" s="3" t="e">
        <f ca="1">_xll.BDH($C$428,"BS_LT_BORROW","FQ2 2015","FQ2 2015","Currency=INR","Period=FQ","BEST_FPERIOD_OVERRIDE=FQ","FILING_STATUS=OR","EQY_CONSOLIDATED=Y","SCALING_FORMAT=MLN","Sort=A","Dates=H","DateFormat=P","Fill=—","Direction=H","UseDPDF=Y")</f>
        <v>#NAME?</v>
      </c>
      <c r="CB435" s="2" t="e">
        <f ca="1">_xll.BDH($C$428,"TOT_DEBT_TO_EBITDA","FQ2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35" s="2" t="e">
        <f ca="1">_xll.BDH($C$428,"NET_DEBT_TO_EBITDA","FQ2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35" s="2" t="e">
        <f ca="1">_xll.BDH($C$428,"TOTAL_DEBT_TO_EBIT","FQ2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35" s="2" t="e">
        <f ca="1">_xll.BDH($C$428,"NET_DEBT_TO_EBIT","FQ2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35" s="2" t="e">
        <f ca="1">_xll.BDH($C$428,"EBITDA_TO_INTEREST_EXPN","FQ2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35" s="2" t="e">
        <f ca="1">_xll.BDH($C$428,"COM_EQY_TO_TOT_ASSET","FQ2 2015","FQ2 2015","Currency=INR","Period=FQ","BEST_FPERIOD_OVERRIDE=FQ","FILING_STATUS=OR","EQY_CONSOLIDATED=Y","Sort=A","Dates=H","DateFormat=P","Fill=—","Direction=H","UseDPDF=Y")</f>
        <v>#NAME?</v>
      </c>
      <c r="CH435" s="2" t="e">
        <f ca="1">_xll.BDH($C$428,"LT_DEBT_TO_TOT_EQY","FQ2 2015","FQ2 2015","Currency=INR","Period=FQ","BEST_FPERIOD_OVERRIDE=FQ","FILING_STATUS=OR","EQY_CONSOLIDATED=Y","Sort=A","Dates=H","DateFormat=P","Fill=—","Direction=H","UseDPDF=Y")</f>
        <v>#NAME?</v>
      </c>
      <c r="CI435" s="2" t="e">
        <f ca="1">_xll.BDH($C$428,"LT_DEBT_TO_TOT_CAP","FQ2 2015","FQ2 2015","Currency=INR","Period=FQ","BEST_FPERIOD_OVERRIDE=FQ","FILING_STATUS=OR","EQY_CONSOLIDATED=Y","Sort=A","Dates=H","DateFormat=P","Fill=—","Direction=H","UseDPDF=Y")</f>
        <v>#NAME?</v>
      </c>
      <c r="CJ435" s="2" t="e">
        <f ca="1">_xll.BDH($C$428,"LT_DEBT_TO_TOT_ASSET","FQ2 2015","FQ2 2015","Currency=INR","Period=FQ","BEST_FPERIOD_OVERRIDE=FQ","FILING_STATUS=OR","EQY_CONSOLIDATED=Y","Sort=A","Dates=H","DateFormat=P","Fill=—","Direction=H","UseDPDF=Y")</f>
        <v>#NAME?</v>
      </c>
      <c r="CK435" s="2" t="e">
        <f ca="1">_xll.BDH($C$428,"TOT_DEBT_TO_TOT_EQY","FQ2 2015","FQ2 2015","Currency=INR","Period=FQ","BEST_FPERIOD_OVERRIDE=FQ","FILING_STATUS=OR","EQY_CONSOLIDATED=Y","Sort=A","Dates=H","DateFormat=P","Fill=—","Direction=H","UseDPDF=Y")</f>
        <v>#NAME?</v>
      </c>
      <c r="CL435" s="2" t="e">
        <f ca="1">_xll.BDH($C$428,"TOT_DEBT_TO_TOT_CAP","FQ2 2015","FQ2 2015","Currency=INR","Period=FQ","BEST_FPERIOD_OVERRIDE=FQ","FILING_STATUS=OR","EQY_CONSOLIDATED=Y","Sort=A","Dates=H","DateFormat=P","Fill=—","Direction=H","UseDPDF=Y")</f>
        <v>#NAME?</v>
      </c>
      <c r="CM435" s="2" t="e">
        <f ca="1">_xll.BDH($C$428,"TOT_DEBT_TO_TOT_ASSET","FQ2 2015","FQ2 2015","Currency=INR","Period=FQ","BEST_FPERIOD_OVERRIDE=FQ","FILING_STATUS=OR","EQY_CONSOLIDATED=Y","Sort=A","Dates=H","DateFormat=P","Fill=—","Direction=H","UseDPDF=Y")</f>
        <v>#NAME?</v>
      </c>
      <c r="CN435" s="2" t="e">
        <f ca="1">_xll.BDH($C$428,"NET_DEBT_TO_SHRHLDR_EQTY","FQ2 2015","FQ2 2015","Currency=INR","Period=FQ","BEST_FPERIOD_OVERRIDE=FQ","FILING_STATUS=OR","EQY_CONSOLIDATED=Y","Sort=A","Dates=H","DateFormat=P","Fill=—","Direction=H","UseDPDF=Y")</f>
        <v>#NAME?</v>
      </c>
      <c r="CO435" s="2" t="e">
        <f ca="1">_xll.BDH($C$428,"NET_DEBT_%_CAPITAL","FQ2 2015","FQ2 2015","Currency=INR","Period=FQ","BEST_FPERIOD_OVERRIDE=FQ","FILING_STATUS=OR","EQY_CONSOLIDATED=Y","Sort=A","Dates=H","DateFormat=P","Fill=—","Direction=H","UseDPDF=Y")</f>
        <v>#NAME?</v>
      </c>
      <c r="CP435" s="3" t="e">
        <f ca="1">_xll.BDH($C$428,"EBITDA","FQ2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35" s="3" t="e">
        <f ca="1">_xll.BDH($C$428,"EBITDA_AFTER_CAPEX","FQ2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35" s="3" t="e">
        <f ca="1">_xll.BDH($C$428,"IS_OPER_INC","FQ2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35" s="2" t="e">
        <f ca="1">_xll.BDH($C$428,"CASH_RATIO","FQ2 2015","FQ2 2015","Currency=INR","Period=FQ","BEST_FPERIOD_OVERRIDE=FQ","FILING_STATUS=OR","EQY_CONSOLIDATED=Y","Sort=A","Dates=H","DateFormat=P","Fill=—","Direction=H","UseDPDF=Y")</f>
        <v>#NAME?</v>
      </c>
      <c r="CT435" s="2" t="e">
        <f ca="1">_xll.BDH($C$428,"CUR_RATIO","FQ2 2015","FQ2 2015","Currency=INR","Period=FQ","BEST_FPERIOD_OVERRIDE=FQ","FILING_STATUS=OR","EQY_CONSOLIDATED=Y","Sort=A","Dates=H","DateFormat=P","Fill=—","Direction=H","UseDPDF=Y")</f>
        <v>#NAME?</v>
      </c>
      <c r="CU435" s="2" t="e">
        <f ca="1">_xll.BDH($C$428,"QUICK_RATIO","FQ2 2015","FQ2 2015","Currency=INR","Period=FQ","BEST_FPERIOD_OVERRIDE=FQ","FILING_STATUS=OR","EQY_CONSOLIDATED=Y","Sort=A","Dates=H","DateFormat=P","Fill=—","Direction=H","UseDPDF=Y")</f>
        <v>#NAME?</v>
      </c>
      <c r="CV435" s="2" t="e">
        <f ca="1">_xll.BDH($C$428,"ALTMAN_Z_SCORE","FQ2 2015","FQ2 2015","Currency=INR","Period=FQ","BEST_FPERIOD_OVERRIDE=FQ","FILING_STATUS=OR","EQY_CONSOLIDATED=Y","Sort=A","Dates=H","DateFormat=P","Fill=—","Direction=H","UseDPDF=Y")</f>
        <v>#NAME?</v>
      </c>
      <c r="CW435" s="4" t="e">
        <f ca="1">_xll.BDH($C$428,"ACCT_RCV_TURN","FQ2 2015","FQ2 2015","Currency=INR","Period=FQ","BEST_FPERIOD_OVERRIDE=FQ","FILING_STATUS=OR","EQY_CONSOLIDATED=Y","FA_ADJUSTED=GAAP","Sort=A","Dates=H","DateFormat=P","Fill=—","Direction=H","UseDPDF=Y")</f>
        <v>#NAME?</v>
      </c>
      <c r="CX435" s="2" t="e">
        <f ca="1">_xll.BDH($C$428,"ACCT_RCV_DAYS","FQ2 2015","FQ2 2015","Currency=INR","Period=FQ","BEST_FPERIOD_OVERRIDE=FQ","FILING_STATUS=OR","EQY_CONSOLIDATED=Y","FA_ADJUSTED=GAAP","Sort=A","Dates=H","DateFormat=P","Fill=—","Direction=H","UseDPDF=Y")</f>
        <v>#NAME?</v>
      </c>
      <c r="CY435" s="4" t="e">
        <f ca="1">_xll.BDH($C$428,"INVENT_TURN","FQ2 2015","FQ2 2015","Currency=INR","Period=FQ","BEST_FPERIOD_OVERRIDE=FQ","FILING_STATUS=OR","EQY_CONSOLIDATED=Y","FA_ADJUSTED=GAAP","Sort=A","Dates=H","DateFormat=P","Fill=—","Direction=H","UseDPDF=Y")</f>
        <v>#NAME?</v>
      </c>
      <c r="CZ435" s="2" t="e">
        <f ca="1">_xll.BDH($C$428,"INVENT_DAYS","FQ2 2015","FQ2 2015","Currency=INR","Period=FQ","BEST_FPERIOD_OVERRIDE=FQ","FILING_STATUS=OR","EQY_CONSOLIDATED=Y","FA_ADJUSTED=GAAP","Sort=A","Dates=H","DateFormat=P","Fill=—","Direction=H","UseDPDF=Y")</f>
        <v>#NAME?</v>
      </c>
      <c r="DA435" s="4" t="e">
        <f ca="1">_xll.BDH($C$428,"ACCOUNTS_PAYABLE_TURNOVER","FQ2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35" s="2" t="e">
        <f ca="1">_xll.BDH($C$428,"ACCOUNTS_PAYABLE_TURNOVER_DAYS","FQ2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35" s="4" t="e">
        <f ca="1">_xll.BDH($C$428,"CASH_CONVERSION_CYCLE","FQ2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35" s="4" t="e">
        <f ca="1">_xll.BDH($C$428,"INV_TO_CASH_DAYS","FQ2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35" s="5" t="e">
        <f ca="1">_xll.BDH($C$428,"BS_INVENTORIES","FQ2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35" s="3" t="e">
        <f ca="1">_xll.BDH($C$428,"INVTRY_RAW_MATERIALS","FQ2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35" s="3" t="e">
        <f ca="1">_xll.BDH($C$428,"INVTRY_IN_PROGRESS","FQ2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35" s="3" t="e">
        <f ca="1">_xll.BDH($C$428,"INVTRY_FINISHED_GOODS","FQ2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35" s="3" t="e">
        <f ca="1">_xll.BDH($C$428,"BS_OTHER_INV","FQ2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36" spans="1:113" x14ac:dyDescent="0.3">
      <c r="A436" s="6"/>
      <c r="B436" s="6"/>
      <c r="C436" s="6"/>
      <c r="D436" s="6"/>
      <c r="E436" t="s">
        <v>80</v>
      </c>
      <c r="F436" t="e">
        <f ca="1">_xll.BDH($C$428,"RETURN_COM_EQY","FQ3 2015","FQ3 2015","Currency=INR","Period=FQ","BEST_FPERIOD_OVERRIDE=FQ","FILING_STATUS=OR","EQY_CONSOLIDATED=Y","FA_ADJUSTED=GAAP","Sort=A","Dates=H","DateFormat=P","Fill=—","Direction=H","UseDPDF=Y")</f>
        <v>#NAME?</v>
      </c>
      <c r="G436" t="e">
        <f ca="1">_xll.BDH($C$428,"RETURN_ON_ASSET","FQ3 2015","FQ3 2015","Currency=INR","Period=FQ","BEST_FPERIOD_OVERRIDE=FQ","FILING_STATUS=OR","EQY_CONSOLIDATED=Y","FA_ADJUSTED=GAAP","Sort=A","Dates=H","DateFormat=P","Fill=—","Direction=H","UseDPDF=Y")</f>
        <v>#NAME?</v>
      </c>
      <c r="H436" t="e">
        <f ca="1">_xll.BDH($C$428,"RETURN_ON_CAP","FQ3 2015","FQ3 2015","Currency=INR","Period=FQ","BEST_FPERIOD_OVERRIDE=FQ","FILING_STATUS=OR","EQY_CONSOLIDATED=Y","FA_ADJUSTED=GAAP","Sort=A","Dates=H","DateFormat=P","Fill=—","Direction=H","UseDPDF=Y")</f>
        <v>#NAME?</v>
      </c>
      <c r="I436" t="e">
        <f ca="1">_xll.BDH($C$428,"RETURN_ON_INV_CAPITAL","FQ3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36" t="e">
        <f ca="1">_xll.BDH($C$428,"EBITDA_TO_REVENUE","FQ3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36" t="e">
        <f ca="1">_xll.BDH($C$428,"OPER_MARGIN","FQ3 2015","FQ3 2015","Currency=INR","Period=FQ","BEST_FPERIOD_OVERRIDE=FQ","FILING_STATUS=OR","EQY_CONSOLIDATED=Y","FA_ADJUSTED=GAAP","Sort=A","Dates=H","DateFormat=P","Fill=—","Direction=H","UseDPDF=Y")</f>
        <v>#NAME?</v>
      </c>
      <c r="L436" t="e">
        <f ca="1">_xll.BDH($C$428,"INCREMENTAL_OPERATING_MARGIN","FQ3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36" t="e">
        <f ca="1">_xll.BDH($C$428,"PRETAX_INC_TO_NET_SALES","FQ3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36" t="e">
        <f ca="1">_xll.BDH($C$428,"INC_BEF_XO_ITEMS_TO_NET_SALES","FQ3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36" t="e">
        <f ca="1">_xll.BDH($C$428,"PROF_MARGIN","FQ3 2015","FQ3 2015","Currency=INR","Period=FQ","BEST_FPERIOD_OVERRIDE=FQ","FILING_STATUS=OR","EQY_CONSOLIDATED=Y","FA_ADJUSTED=GAAP","Sort=A","Dates=H","DateFormat=P","Fill=—","Direction=H","UseDPDF=Y")</f>
        <v>#NAME?</v>
      </c>
      <c r="P436" t="e">
        <f ca="1">_xll.BDH($C$428,"NET_INCOME_TO_COMMON_MARGIN","FQ3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36" t="e">
        <f ca="1">_xll.BDH($C$428,"EFF_TAX_RATE","FQ3 2015","FQ3 2015","Currency=INR","Period=FQ","BEST_FPERIOD_OVERRIDE=FQ","FILING_STATUS=OR","EQY_CONSOLIDATED=Y","FA_ADJUSTED=GAAP","Sort=A","Dates=H","DateFormat=P","Fill=—","Direction=H","UseDPDF=Y")</f>
        <v>#NAME?</v>
      </c>
      <c r="R436" t="e">
        <f ca="1">_xll.BDH($C$428,"DVD_PAYOUT_RATIO","FQ3 2015","FQ3 2015","Currency=INR","Period=FQ","BEST_FPERIOD_OVERRIDE=FQ","FILING_STATUS=OR","EQY_CONSOLIDATED=Y","FA_ADJUSTED=GAAP","Sort=A","Dates=H","DateFormat=P","Fill=—","Direction=H","UseDPDF=Y")</f>
        <v>#NAME?</v>
      </c>
      <c r="S436" t="e">
        <f ca="1">_xll.BDH($C$428,"SUSTAIN_GROWTH_RT","FQ3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36" s="2" t="e">
        <f ca="1">_xll.BDH($C$428,"SALES_GROWTH","FQ3 2015","FQ3 2015","Currency=INR","Period=FQ","BEST_FPERIOD_OVERRIDE=FQ","FILING_STATUS=OR","EQY_CONSOLIDATED=Y","FA_ADJUSTED=GAAP","Sort=A","Dates=H","DateFormat=P","Fill=—","Direction=H","UseDPDF=Y")</f>
        <v>#NAME?</v>
      </c>
      <c r="U436" s="2" t="e">
        <f ca="1">_xll.BDH($C$428,"EBITDA_GROWTH","FQ3 2015","FQ3 2015","Currency=INR","Period=FQ","BEST_FPERIOD_OVERRIDE=FQ","FILING_STATUS=OR","EQY_CONSOLIDATED=Y","FA_ADJUSTED=GAAP","Sort=A","Dates=H","DateFormat=P","Fill=—","Direction=H","UseDPDF=Y")</f>
        <v>#NAME?</v>
      </c>
      <c r="V436" s="2" t="e">
        <f ca="1">_xll.BDH($C$428,"OPER_INC_GROWTH","FQ3 2015","FQ3 2015","Currency=INR","Period=FQ","BEST_FPERIOD_OVERRIDE=FQ","FILING_STATUS=OR","EQY_CONSOLIDATED=Y","FA_ADJUSTED=GAAP","Sort=A","Dates=H","DateFormat=P","Fill=—","Direction=H","UseDPDF=Y")</f>
        <v>#NAME?</v>
      </c>
      <c r="W436" s="2" t="e">
        <f ca="1">_xll.BDH($C$428,"EARN_FOR_COM_GROWTH","FQ3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36" s="2" t="e">
        <f ca="1">_xll.BDH($C$428,"DILUTED_EPS_AFT_XO_ITEMS_GROWTH","FQ3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36" s="2" t="e">
        <f ca="1">_xll.BDH($C$428,"DIVIDEND_PER_SHARE_1_YEAR_GROWTH","FQ3 2015","FQ3 2015","Currency=INR","Period=FQ","BEST_FPERIOD_OVERRIDE=FQ","FILING_STATUS=OR","EQY_CONSOLIDATED=Y","Sort=A","Dates=H","DateFormat=P","Fill=—","Direction=H","UseDPDF=Y")</f>
        <v>#NAME?</v>
      </c>
      <c r="Z436" s="2" t="e">
        <f ca="1">_xll.BDH($C$428,"ACCOUNTS_RECEIVABLE_GROWTH","FQ3 2015","FQ3 2015","Currency=INR","Period=FQ","BEST_FPERIOD_OVERRIDE=FQ","FILING_STATUS=OR","EQY_CONSOLIDATED=Y","Sort=A","Dates=H","DateFormat=P","Fill=—","Direction=H","UseDPDF=Y")</f>
        <v>#NAME?</v>
      </c>
      <c r="AA436" s="2" t="e">
        <f ca="1">_xll.BDH($C$428,"INVENTORY_GROWTH","FQ3 2015","FQ3 2015","Currency=INR","Period=FQ","BEST_FPERIOD_OVERRIDE=FQ","FILING_STATUS=OR","EQY_CONSOLIDATED=Y","Sort=A","Dates=H","DateFormat=P","Fill=—","Direction=H","UseDPDF=Y")</f>
        <v>#NAME?</v>
      </c>
      <c r="AB436" s="2" t="e">
        <f ca="1">_xll.BDH($C$428,"NET_FIXED_ASSETS_1_YEAR_GROWTH","FQ3 2015","FQ3 2015","Currency=INR","Period=FQ","BEST_FPERIOD_OVERRIDE=FQ","FILING_STATUS=OR","EQY_CONSOLIDATED=Y","Sort=A","Dates=H","DateFormat=P","Fill=—","Direction=H","UseDPDF=Y")</f>
        <v>#NAME?</v>
      </c>
      <c r="AC436" s="2" t="e">
        <f ca="1">_xll.BDH($C$428,"ASSET_GROWTH","FQ3 2015","FQ3 2015","Currency=INR","Period=FQ","BEST_FPERIOD_OVERRIDE=FQ","FILING_STATUS=OR","EQY_CONSOLIDATED=Y","Sort=A","Dates=H","DateFormat=P","Fill=—","Direction=H","UseDPDF=Y")</f>
        <v>#NAME?</v>
      </c>
      <c r="AD436" s="2" t="e">
        <f ca="1">_xll.BDH($C$428,"MODIFIED_WORK_CAP_GROWTH","FQ3 2015","FQ3 2015","Currency=INR","Period=FQ","BEST_FPERIOD_OVERRIDE=FQ","FILING_STATUS=OR","EQY_CONSOLIDATED=Y","Sort=A","Dates=H","DateFormat=P","Fill=—","Direction=H","UseDPDF=Y")</f>
        <v>#NAME?</v>
      </c>
      <c r="AE436" s="2" t="e">
        <f ca="1">_xll.BDH($C$428,"WORK_CAP_GROWTH","FQ3 2015","FQ3 2015","Currency=INR","Period=FQ","BEST_FPERIOD_OVERRIDE=FQ","FILING_STATUS=OR","EQY_CONSOLIDATED=Y","Sort=A","Dates=H","DateFormat=P","Fill=—","Direction=H","UseDPDF=Y")</f>
        <v>#NAME?</v>
      </c>
      <c r="AF436" s="2" t="e">
        <f ca="1">_xll.BDH($C$428,"ACCOUNTS_PAYABLE_GROWTH_1YR","FQ3 2015","FQ3 2015","Currency=INR","Period=FQ","BEST_FPERIOD_OVERRIDE=FQ","FILING_STATUS=OR","EQY_CONSOLIDATED=Y","Sort=A","Dates=H","DateFormat=P","Fill=—","Direction=H","UseDPDF=Y")</f>
        <v>#NAME?</v>
      </c>
      <c r="AG436" s="2" t="e">
        <f ca="1">_xll.BDH($C$428,"SHORT_TERM_DEBT_1_YEAR_GROWTH","FQ3 2015","FQ3 2015","Currency=INR","Period=FQ","BEST_FPERIOD_OVERRIDE=FQ","FILING_STATUS=OR","EQY_CONSOLIDATED=Y","Sort=A","Dates=H","DateFormat=P","Fill=—","Direction=H","UseDPDF=Y")</f>
        <v>#NAME?</v>
      </c>
      <c r="AH436" s="2" t="e">
        <f ca="1">_xll.BDH($C$428,"TOTAL_DEBT_1_YEAR_GROWTH","FQ3 2015","FQ3 2015","Currency=INR","Period=FQ","BEST_FPERIOD_OVERRIDE=FQ","FILING_STATUS=OR","EQY_CONSOLIDATED=Y","Sort=A","Dates=H","DateFormat=P","Fill=—","Direction=H","UseDPDF=Y")</f>
        <v>#NAME?</v>
      </c>
      <c r="AI436" s="2" t="e">
        <f ca="1">_xll.BDH($C$428,"TOTAL_EQUITY_1_YEAR_GROWTH","FQ3 2015","FQ3 2015","Currency=INR","Period=FQ","BEST_FPERIOD_OVERRIDE=FQ","FILING_STATUS=OR","EQY_CONSOLIDATED=Y","Sort=A","Dates=H","DateFormat=P","Fill=—","Direction=H","UseDPDF=Y")</f>
        <v>#NAME?</v>
      </c>
      <c r="AJ436" s="2" t="e">
        <f ca="1">_xll.BDH($C$428,"GROWTH_IN_CAP","FQ3 2015","FQ3 2015","Currency=INR","Period=FQ","BEST_FPERIOD_OVERRIDE=FQ","FILING_STATUS=OR","EQY_CONSOLIDATED=Y","Sort=A","Dates=H","DateFormat=P","Fill=—","Direction=H","UseDPDF=Y")</f>
        <v>#NAME?</v>
      </c>
      <c r="AK436" s="2" t="e">
        <f ca="1">_xll.BDH($C$428,"BVPS_GROWTH","FQ3 2015","FQ3 2015","Currency=INR","Period=FQ","BEST_FPERIOD_OVERRIDE=FQ","FILING_STATUS=OR","EQY_CONSOLIDATED=Y","Sort=A","Dates=H","DateFormat=P","Fill=—","Direction=H","UseDPDF=Y")</f>
        <v>#NAME?</v>
      </c>
      <c r="AL436" s="2" t="e">
        <f ca="1">_xll.BDH($C$428,"CASH_FLOW_GROWTH","FQ3 2015","FQ3 2015","Currency=INR","Period=FQ","BEST_FPERIOD_OVERRIDE=FQ","FILING_STATUS=OR","EQY_CONSOLIDATED=Y","Sort=A","Dates=H","DateFormat=P","Fill=—","Direction=H","UseDPDF=Y")</f>
        <v>#NAME?</v>
      </c>
      <c r="AM436" s="2" t="e">
        <f ca="1">_xll.BDH($C$428,"GEO_GROW_NET_SALES","FQ3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36" s="2" t="e">
        <f ca="1">_xll.BDH($C$428,"GEO_GROW_EBITDA","FQ3 2015","FQ3 2015","Currency=INR","Period=FQ","BEST_FPERIOD_OVERRIDE=FQ","FILING_STATUS=OR","EQY_CONSOLIDATED=Y","FA_ADJUSTED=GAAP","Sort=A","Dates=H","DateFormat=P","Fill=—","Direction=H","UseDPDF=Y")</f>
        <v>#NAME?</v>
      </c>
      <c r="AO436" s="2" t="e">
        <f ca="1">_xll.BDH($C$428,"GEO_GROW_OPER_INC","FQ3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36" s="2" t="e">
        <f ca="1">_xll.BDH($C$428,"NET_INCOME_TO_COMMON_5_YR_GROWTH","FQ3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36" s="2" t="e">
        <f ca="1">_xll.BDH($C$428,"5Y_GEO_GROWTH_DILUTED_EPS","FQ3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36" s="2" t="e">
        <f ca="1">_xll.BDH($C$428,"GEO_GROW_DVD_PER_SH","FQ3 2015","FQ3 2015","Currency=INR","Period=FQ","BEST_FPERIOD_OVERRIDE=FQ","FILING_STATUS=OR","EQY_CONSOLIDATED=Y","Sort=A","Dates=H","DateFormat=P","Fill=—","Direction=H","UseDPDF=Y")</f>
        <v>#NAME?</v>
      </c>
      <c r="AS436" s="2" t="e">
        <f ca="1">_xll.BDH($C$428,"ACCOUNTS_RECEIVABLE_5_YR_GROWTH","FQ3 2015","FQ3 2015","Currency=INR","Period=FQ","BEST_FPERIOD_OVERRIDE=FQ","FILING_STATUS=OR","EQY_CONSOLIDATED=Y","Sort=A","Dates=H","DateFormat=P","Fill=—","Direction=H","UseDPDF=Y")</f>
        <v>#NAME?</v>
      </c>
      <c r="AT436" s="2" t="e">
        <f ca="1">_xll.BDH($C$428,"INVENTORY_5_YEAR_GROWTH","FQ3 2015","FQ3 2015","Currency=INR","Period=FQ","BEST_FPERIOD_OVERRIDE=FQ","FILING_STATUS=OR","EQY_CONSOLIDATED=Y","Sort=A","Dates=H","DateFormat=P","Fill=—","Direction=H","UseDPDF=Y")</f>
        <v>#NAME?</v>
      </c>
      <c r="AU436" s="2" t="e">
        <f ca="1">_xll.BDH($C$428,"NET_FIXED_ASSETS_5_YEAR_GROWTH","FQ3 2015","FQ3 2015","Currency=INR","Period=FQ","BEST_FPERIOD_OVERRIDE=FQ","FILING_STATUS=OR","EQY_CONSOLIDATED=Y","Sort=A","Dates=H","DateFormat=P","Fill=—","Direction=H","UseDPDF=Y")</f>
        <v>#NAME?</v>
      </c>
      <c r="AV436" s="2" t="e">
        <f ca="1">_xll.BDH($C$428,"GEO_GROW_TOT_ASSET","FQ3 2015","FQ3 2015","Currency=INR","Period=FQ","BEST_FPERIOD_OVERRIDE=FQ","FILING_STATUS=OR","EQY_CONSOLIDATED=Y","Sort=A","Dates=H","DateFormat=P","Fill=—","Direction=H","UseDPDF=Y")</f>
        <v>#NAME?</v>
      </c>
      <c r="AW436" s="2" t="e">
        <f ca="1">_xll.BDH($C$428,"MODIFIED_WORKING_CPTL_5YR_GRWTH","FQ3 2015","FQ3 2015","Currency=INR","Period=FQ","BEST_FPERIOD_OVERRIDE=FQ","FILING_STATUS=OR","EQY_CONSOLIDATED=Y","Sort=A","Dates=H","DateFormat=P","Fill=—","Direction=H","UseDPDF=Y")</f>
        <v>#NAME?</v>
      </c>
      <c r="AX436" s="2" t="e">
        <f ca="1">_xll.BDH($C$428,"WORKING_CAPITAL_5_YEAR_GROWTH","FQ3 2015","FQ3 2015","Currency=INR","Period=FQ","BEST_FPERIOD_OVERRIDE=FQ","FILING_STATUS=OR","EQY_CONSOLIDATED=Y","Sort=A","Dates=H","DateFormat=P","Fill=—","Direction=H","UseDPDF=Y")</f>
        <v>#NAME?</v>
      </c>
      <c r="AY436" s="2" t="e">
        <f ca="1">_xll.BDH($C$428,"ACCOUNTS_PAYABLE_5_YEAR_GROWTH","FQ3 2015","FQ3 2015","Currency=INR","Period=FQ","BEST_FPERIOD_OVERRIDE=FQ","FILING_STATUS=OR","EQY_CONSOLIDATED=Y","Sort=A","Dates=H","DateFormat=P","Fill=—","Direction=H","UseDPDF=Y")</f>
        <v>#NAME?</v>
      </c>
      <c r="AZ436" s="2" t="e">
        <f ca="1">_xll.BDH($C$428,"SHORT_TERM_DEBT_5_YEAR_GROWTH","FQ3 2015","FQ3 2015","Currency=INR","Period=FQ","BEST_FPERIOD_OVERRIDE=FQ","FILING_STATUS=OR","EQY_CONSOLIDATED=Y","Sort=A","Dates=H","DateFormat=P","Fill=—","Direction=H","UseDPDF=Y")</f>
        <v>#NAME?</v>
      </c>
      <c r="BA436" s="2" t="e">
        <f ca="1">_xll.BDH($C$428,"TOTAL_DEBT_5_YEAR_GROWTH","FQ3 2015","FQ3 2015","Currency=INR","Period=FQ","BEST_FPERIOD_OVERRIDE=FQ","FILING_STATUS=OR","EQY_CONSOLIDATED=Y","Sort=A","Dates=H","DateFormat=P","Fill=—","Direction=H","UseDPDF=Y")</f>
        <v>#NAME?</v>
      </c>
      <c r="BB436" s="2" t="e">
        <f ca="1">_xll.BDH($C$428,"GEO_GROW_TOT_SHRHLDR_EQY","FQ3 2015","FQ3 2015","Currency=INR","Period=FQ","BEST_FPERIOD_OVERRIDE=FQ","FILING_STATUS=OR","EQY_CONSOLIDATED=Y","Sort=A","Dates=H","DateFormat=P","Fill=—","Direction=H","UseDPDF=Y")</f>
        <v>#NAME?</v>
      </c>
      <c r="BC436" s="2" t="e">
        <f ca="1">_xll.BDH($C$428,"TOTAL_CAPITAL_5_YEAR_GROWTH","FQ3 2015","FQ3 2015","Currency=INR","Period=FQ","BEST_FPERIOD_OVERRIDE=FQ","FILING_STATUS=OR","EQY_CONSOLIDATED=Y","Sort=A","Dates=H","DateFormat=P","Fill=—","Direction=H","UseDPDF=Y")</f>
        <v>#NAME?</v>
      </c>
      <c r="BD436" s="2" t="e">
        <f ca="1">_xll.BDH($C$428,"GEO_GROW_BOOK_VAL","FQ3 2015","FQ3 2015","Currency=INR","Period=FQ","BEST_FPERIOD_OVERRIDE=FQ","FILING_STATUS=OR","EQY_CONSOLIDATED=Y","Sort=A","Dates=H","DateFormat=P","Fill=—","Direction=H","UseDPDF=Y")</f>
        <v>#NAME?</v>
      </c>
      <c r="BE436" s="2" t="e">
        <f ca="1">_xll.BDH($C$428,"GEO_GROW_CASH_OPER_ACT","FQ3 2015","FQ3 2015","Currency=INR","Period=FQ","BEST_FPERIOD_OVERRIDE=FQ","FILING_STATUS=OR","EQY_CONSOLIDATED=Y","Sort=A","Dates=H","DateFormat=P","Fill=—","Direction=H","UseDPDF=Y")</f>
        <v>#NAME?</v>
      </c>
      <c r="BF436" s="2" t="e">
        <f ca="1">_xll.BDH($C$428,"REVENUE_SEQUENTIAL_GROWTH","FQ3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36" s="2" t="e">
        <f ca="1">_xll.BDH($C$428,"EBITDA_SEQUENTIAL_GROWTH","FQ3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36" s="2" t="e">
        <f ca="1">_xll.BDH($C$428,"OPERATING_INCOME_SEQ_GROWTH","FQ3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36" s="2" t="e">
        <f ca="1">_xll.BDH($C$428,"NET_INCOME_TO_COMMON_SEQ_GROWTH","FQ3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36" s="2" t="e">
        <f ca="1">_xll.BDH($C$428,"EPS_DILUTED_SEQUENTIAL_GROWTH","FQ3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36" s="2" t="e">
        <f ca="1">_xll.BDH($C$428,"DPS_SEQUENTIAL_GROWTH","FQ3 2015","FQ3 2015","Currency=INR","Period=FQ","BEST_FPERIOD_OVERRIDE=FQ","FILING_STATUS=OR","EQY_CONSOLIDATED=Y","Sort=A","Dates=H","DateFormat=P","Fill=—","Direction=H","UseDPDF=Y")</f>
        <v>#NAME?</v>
      </c>
      <c r="BL436" s="2" t="e">
        <f ca="1">_xll.BDH($C$428,"ACCOUNTS_RECEIVABLE_SEQ_GROWTH","FQ3 2015","FQ3 2015","Currency=INR","Period=FQ","BEST_FPERIOD_OVERRIDE=FQ","FILING_STATUS=OR","EQY_CONSOLIDATED=Y","Sort=A","Dates=H","DateFormat=P","Fill=—","Direction=H","UseDPDF=Y")</f>
        <v>#NAME?</v>
      </c>
      <c r="BM436" s="2" t="e">
        <f ca="1">_xll.BDH($C$428,"INVENTORY_SEQUENTIAL_GROWTH","FQ3 2015","FQ3 2015","Currency=INR","Period=FQ","BEST_FPERIOD_OVERRIDE=FQ","FILING_STATUS=OR","EQY_CONSOLIDATED=Y","Sort=A","Dates=H","DateFormat=P","Fill=—","Direction=H","UseDPDF=Y")</f>
        <v>#NAME?</v>
      </c>
      <c r="BN436" s="2" t="e">
        <f ca="1">_xll.BDH($C$428,"FIXED_ASSETS_SEQUENTIAL_GROWTH","FQ3 2015","FQ3 2015","Currency=INR","Period=FQ","BEST_FPERIOD_OVERRIDE=FQ","FILING_STATUS=OR","EQY_CONSOLIDATED=Y","Sort=A","Dates=H","DateFormat=P","Fill=—","Direction=H","UseDPDF=Y")</f>
        <v>#NAME?</v>
      </c>
      <c r="BO436" s="2" t="e">
        <f ca="1">_xll.BDH($C$428,"TOTAL_ASSETS_SEQUENTIAL_GROWTH","FQ3 2015","FQ3 2015","Currency=INR","Period=FQ","BEST_FPERIOD_OVERRIDE=FQ","FILING_STATUS=OR","EQY_CONSOLIDATED=Y","Sort=A","Dates=H","DateFormat=P","Fill=—","Direction=H","UseDPDF=Y")</f>
        <v>#NAME?</v>
      </c>
      <c r="BP436" s="2" t="e">
        <f ca="1">_xll.BDH($C$428,"MODIFIED_WORKING_CPTL_SEQ_GRWTH","FQ3 2015","FQ3 2015","Currency=INR","Period=FQ","BEST_FPERIOD_OVERRIDE=FQ","FILING_STATUS=OR","EQY_CONSOLIDATED=Y","Sort=A","Dates=H","DateFormat=P","Fill=—","Direction=H","UseDPDF=Y")</f>
        <v>#NAME?</v>
      </c>
      <c r="BQ436" s="2" t="e">
        <f ca="1">_xll.BDH($C$428,"WORKING_CAPITAL_SEQ_GROWTH","FQ3 2015","FQ3 2015","Currency=INR","Period=FQ","BEST_FPERIOD_OVERRIDE=FQ","FILING_STATUS=OR","EQY_CONSOLIDATED=Y","Sort=A","Dates=H","DateFormat=P","Fill=—","Direction=H","UseDPDF=Y")</f>
        <v>#NAME?</v>
      </c>
      <c r="BR436" s="2" t="e">
        <f ca="1">_xll.BDH($C$428,"ACCOUNTS_PAYABLE_SEQ_GROWTH","FQ3 2015","FQ3 2015","Currency=INR","Period=FQ","BEST_FPERIOD_OVERRIDE=FQ","FILING_STATUS=OR","EQY_CONSOLIDATED=Y","Sort=A","Dates=H","DateFormat=P","Fill=—","Direction=H","UseDPDF=Y")</f>
        <v>#NAME?</v>
      </c>
      <c r="BS436" s="2" t="e">
        <f ca="1">_xll.BDH($C$428,"ST_DEBT_SEQUENTIAL_GROWTH","FQ3 2015","FQ3 2015","Currency=INR","Period=FQ","BEST_FPERIOD_OVERRIDE=FQ","FILING_STATUS=OR","EQY_CONSOLIDATED=Y","Sort=A","Dates=H","DateFormat=P","Fill=—","Direction=H","UseDPDF=Y")</f>
        <v>#NAME?</v>
      </c>
      <c r="BT436" s="2" t="e">
        <f ca="1">_xll.BDH($C$428,"TOTAL_DEBT_SEQUENTIAL_GROWTH","FQ3 2015","FQ3 2015","Currency=INR","Period=FQ","BEST_FPERIOD_OVERRIDE=FQ","FILING_STATUS=OR","EQY_CONSOLIDATED=Y","Sort=A","Dates=H","DateFormat=P","Fill=—","Direction=H","UseDPDF=Y")</f>
        <v>#NAME?</v>
      </c>
      <c r="BU436" s="2" t="e">
        <f ca="1">_xll.BDH($C$428,"TOTAL_EQUITY_SEQUENTIAL_GROWTH","FQ3 2015","FQ3 2015","Currency=INR","Period=FQ","BEST_FPERIOD_OVERRIDE=FQ","FILING_STATUS=OR","EQY_CONSOLIDATED=Y","Sort=A","Dates=H","DateFormat=P","Fill=—","Direction=H","UseDPDF=Y")</f>
        <v>#NAME?</v>
      </c>
      <c r="BV436" s="2" t="e">
        <f ca="1">_xll.BDH($C$428,"TOTAL_CAPITAL_SEQUENTIAL_GROWTH","FQ3 2015","FQ3 2015","Currency=INR","Period=FQ","BEST_FPERIOD_OVERRIDE=FQ","FILING_STATUS=OR","EQY_CONSOLIDATED=Y","Sort=A","Dates=H","DateFormat=P","Fill=—","Direction=H","UseDPDF=Y")</f>
        <v>#NAME?</v>
      </c>
      <c r="BW436" s="2" t="e">
        <f ca="1">_xll.BDH($C$428,"BPS_SEQUENTIAL_GROWTH","FQ3 2015","FQ3 2015","Currency=INR","Period=FQ","BEST_FPERIOD_OVERRIDE=FQ","FILING_STATUS=OR","EQY_CONSOLIDATED=Y","Sort=A","Dates=H","DateFormat=P","Fill=—","Direction=H","UseDPDF=Y")</f>
        <v>#NAME?</v>
      </c>
      <c r="BX436" s="2" t="e">
        <f ca="1">_xll.BDH($C$428,"CFO_SEQUENTIAL_GROWTH","FQ3 2015","FQ3 2015","Currency=INR","Period=FQ","BEST_FPERIOD_OVERRIDE=FQ","FILING_STATUS=OR","EQY_CONSOLIDATED=Y","Sort=A","Dates=H","DateFormat=P","Fill=—","Direction=H","UseDPDF=Y")</f>
        <v>#NAME?</v>
      </c>
      <c r="BY436" s="3" t="e">
        <f ca="1">_xll.BDH($C$428,"SHORT_AND_LONG_TERM_DEBT","FQ3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36" s="3" t="e">
        <f ca="1">_xll.BDH($C$428,"BS_ST_BORROW","FQ3 2015","FQ3 2015","Currency=INR","Period=FQ","BEST_FPERIOD_OVERRIDE=FQ","FILING_STATUS=OR","EQY_CONSOLIDATED=Y","SCALING_FORMAT=MLN","Sort=A","Dates=H","DateFormat=P","Fill=—","Direction=H","UseDPDF=Y")</f>
        <v>#NAME?</v>
      </c>
      <c r="CA436" s="3" t="e">
        <f ca="1">_xll.BDH($C$428,"BS_LT_BORROW","FQ3 2015","FQ3 2015","Currency=INR","Period=FQ","BEST_FPERIOD_OVERRIDE=FQ","FILING_STATUS=OR","EQY_CONSOLIDATED=Y","SCALING_FORMAT=MLN","Sort=A","Dates=H","DateFormat=P","Fill=—","Direction=H","UseDPDF=Y")</f>
        <v>#NAME?</v>
      </c>
      <c r="CB436" s="2" t="e">
        <f ca="1">_xll.BDH($C$428,"TOT_DEBT_TO_EBITDA","FQ3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36" s="2" t="e">
        <f ca="1">_xll.BDH($C$428,"NET_DEBT_TO_EBITDA","FQ3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36" s="2" t="e">
        <f ca="1">_xll.BDH($C$428,"TOTAL_DEBT_TO_EBIT","FQ3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36" s="2" t="e">
        <f ca="1">_xll.BDH($C$428,"NET_DEBT_TO_EBIT","FQ3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36" s="2" t="e">
        <f ca="1">_xll.BDH($C$428,"EBITDA_TO_INTEREST_EXPN","FQ3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36" s="2" t="e">
        <f ca="1">_xll.BDH($C$428,"COM_EQY_TO_TOT_ASSET","FQ3 2015","FQ3 2015","Currency=INR","Period=FQ","BEST_FPERIOD_OVERRIDE=FQ","FILING_STATUS=OR","EQY_CONSOLIDATED=Y","Sort=A","Dates=H","DateFormat=P","Fill=—","Direction=H","UseDPDF=Y")</f>
        <v>#NAME?</v>
      </c>
      <c r="CH436" s="2" t="e">
        <f ca="1">_xll.BDH($C$428,"LT_DEBT_TO_TOT_EQY","FQ3 2015","FQ3 2015","Currency=INR","Period=FQ","BEST_FPERIOD_OVERRIDE=FQ","FILING_STATUS=OR","EQY_CONSOLIDATED=Y","Sort=A","Dates=H","DateFormat=P","Fill=—","Direction=H","UseDPDF=Y")</f>
        <v>#NAME?</v>
      </c>
      <c r="CI436" s="2" t="e">
        <f ca="1">_xll.BDH($C$428,"LT_DEBT_TO_TOT_CAP","FQ3 2015","FQ3 2015","Currency=INR","Period=FQ","BEST_FPERIOD_OVERRIDE=FQ","FILING_STATUS=OR","EQY_CONSOLIDATED=Y","Sort=A","Dates=H","DateFormat=P","Fill=—","Direction=H","UseDPDF=Y")</f>
        <v>#NAME?</v>
      </c>
      <c r="CJ436" s="2" t="e">
        <f ca="1">_xll.BDH($C$428,"LT_DEBT_TO_TOT_ASSET","FQ3 2015","FQ3 2015","Currency=INR","Period=FQ","BEST_FPERIOD_OVERRIDE=FQ","FILING_STATUS=OR","EQY_CONSOLIDATED=Y","Sort=A","Dates=H","DateFormat=P","Fill=—","Direction=H","UseDPDF=Y")</f>
        <v>#NAME?</v>
      </c>
      <c r="CK436" s="2" t="e">
        <f ca="1">_xll.BDH($C$428,"TOT_DEBT_TO_TOT_EQY","FQ3 2015","FQ3 2015","Currency=INR","Period=FQ","BEST_FPERIOD_OVERRIDE=FQ","FILING_STATUS=OR","EQY_CONSOLIDATED=Y","Sort=A","Dates=H","DateFormat=P","Fill=—","Direction=H","UseDPDF=Y")</f>
        <v>#NAME?</v>
      </c>
      <c r="CL436" s="2" t="e">
        <f ca="1">_xll.BDH($C$428,"TOT_DEBT_TO_TOT_CAP","FQ3 2015","FQ3 2015","Currency=INR","Period=FQ","BEST_FPERIOD_OVERRIDE=FQ","FILING_STATUS=OR","EQY_CONSOLIDATED=Y","Sort=A","Dates=H","DateFormat=P","Fill=—","Direction=H","UseDPDF=Y")</f>
        <v>#NAME?</v>
      </c>
      <c r="CM436" s="2" t="e">
        <f ca="1">_xll.BDH($C$428,"TOT_DEBT_TO_TOT_ASSET","FQ3 2015","FQ3 2015","Currency=INR","Period=FQ","BEST_FPERIOD_OVERRIDE=FQ","FILING_STATUS=OR","EQY_CONSOLIDATED=Y","Sort=A","Dates=H","DateFormat=P","Fill=—","Direction=H","UseDPDF=Y")</f>
        <v>#NAME?</v>
      </c>
      <c r="CN436" s="2" t="e">
        <f ca="1">_xll.BDH($C$428,"NET_DEBT_TO_SHRHLDR_EQTY","FQ3 2015","FQ3 2015","Currency=INR","Period=FQ","BEST_FPERIOD_OVERRIDE=FQ","FILING_STATUS=OR","EQY_CONSOLIDATED=Y","Sort=A","Dates=H","DateFormat=P","Fill=—","Direction=H","UseDPDF=Y")</f>
        <v>#NAME?</v>
      </c>
      <c r="CO436" s="2" t="e">
        <f ca="1">_xll.BDH($C$428,"NET_DEBT_%_CAPITAL","FQ3 2015","FQ3 2015","Currency=INR","Period=FQ","BEST_FPERIOD_OVERRIDE=FQ","FILING_STATUS=OR","EQY_CONSOLIDATED=Y","Sort=A","Dates=H","DateFormat=P","Fill=—","Direction=H","UseDPDF=Y")</f>
        <v>#NAME?</v>
      </c>
      <c r="CP436" s="3" t="e">
        <f ca="1">_xll.BDH($C$428,"EBITDA","FQ3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36" s="3" t="e">
        <f ca="1">_xll.BDH($C$428,"EBITDA_AFTER_CAPEX","FQ3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36" s="3" t="e">
        <f ca="1">_xll.BDH($C$428,"IS_OPER_INC","FQ3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36" s="2" t="e">
        <f ca="1">_xll.BDH($C$428,"CASH_RATIO","FQ3 2015","FQ3 2015","Currency=INR","Period=FQ","BEST_FPERIOD_OVERRIDE=FQ","FILING_STATUS=OR","EQY_CONSOLIDATED=Y","Sort=A","Dates=H","DateFormat=P","Fill=—","Direction=H","UseDPDF=Y")</f>
        <v>#NAME?</v>
      </c>
      <c r="CT436" s="2" t="e">
        <f ca="1">_xll.BDH($C$428,"CUR_RATIO","FQ3 2015","FQ3 2015","Currency=INR","Period=FQ","BEST_FPERIOD_OVERRIDE=FQ","FILING_STATUS=OR","EQY_CONSOLIDATED=Y","Sort=A","Dates=H","DateFormat=P","Fill=—","Direction=H","UseDPDF=Y")</f>
        <v>#NAME?</v>
      </c>
      <c r="CU436" s="2" t="e">
        <f ca="1">_xll.BDH($C$428,"QUICK_RATIO","FQ3 2015","FQ3 2015","Currency=INR","Period=FQ","BEST_FPERIOD_OVERRIDE=FQ","FILING_STATUS=OR","EQY_CONSOLIDATED=Y","Sort=A","Dates=H","DateFormat=P","Fill=—","Direction=H","UseDPDF=Y")</f>
        <v>#NAME?</v>
      </c>
      <c r="CV436" s="2" t="e">
        <f ca="1">_xll.BDH($C$428,"ALTMAN_Z_SCORE","FQ3 2015","FQ3 2015","Currency=INR","Period=FQ","BEST_FPERIOD_OVERRIDE=FQ","FILING_STATUS=OR","EQY_CONSOLIDATED=Y","Sort=A","Dates=H","DateFormat=P","Fill=—","Direction=H","UseDPDF=Y")</f>
        <v>#NAME?</v>
      </c>
      <c r="CW436" s="4" t="e">
        <f ca="1">_xll.BDH($C$428,"ACCT_RCV_TURN","FQ3 2015","FQ3 2015","Currency=INR","Period=FQ","BEST_FPERIOD_OVERRIDE=FQ","FILING_STATUS=OR","EQY_CONSOLIDATED=Y","FA_ADJUSTED=GAAP","Sort=A","Dates=H","DateFormat=P","Fill=—","Direction=H","UseDPDF=Y")</f>
        <v>#NAME?</v>
      </c>
      <c r="CX436" s="2" t="e">
        <f ca="1">_xll.BDH($C$428,"ACCT_RCV_DAYS","FQ3 2015","FQ3 2015","Currency=INR","Period=FQ","BEST_FPERIOD_OVERRIDE=FQ","FILING_STATUS=OR","EQY_CONSOLIDATED=Y","FA_ADJUSTED=GAAP","Sort=A","Dates=H","DateFormat=P","Fill=—","Direction=H","UseDPDF=Y")</f>
        <v>#NAME?</v>
      </c>
      <c r="CY436" s="4" t="e">
        <f ca="1">_xll.BDH($C$428,"INVENT_TURN","FQ3 2015","FQ3 2015","Currency=INR","Period=FQ","BEST_FPERIOD_OVERRIDE=FQ","FILING_STATUS=OR","EQY_CONSOLIDATED=Y","FA_ADJUSTED=GAAP","Sort=A","Dates=H","DateFormat=P","Fill=—","Direction=H","UseDPDF=Y")</f>
        <v>#NAME?</v>
      </c>
      <c r="CZ436" s="2" t="e">
        <f ca="1">_xll.BDH($C$428,"INVENT_DAYS","FQ3 2015","FQ3 2015","Currency=INR","Period=FQ","BEST_FPERIOD_OVERRIDE=FQ","FILING_STATUS=OR","EQY_CONSOLIDATED=Y","FA_ADJUSTED=GAAP","Sort=A","Dates=H","DateFormat=P","Fill=—","Direction=H","UseDPDF=Y")</f>
        <v>#NAME?</v>
      </c>
      <c r="DA436" s="4" t="e">
        <f ca="1">_xll.BDH($C$428,"ACCOUNTS_PAYABLE_TURNOVER","FQ3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36" s="2" t="e">
        <f ca="1">_xll.BDH($C$428,"ACCOUNTS_PAYABLE_TURNOVER_DAYS","FQ3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36" s="4" t="e">
        <f ca="1">_xll.BDH($C$428,"CASH_CONVERSION_CYCLE","FQ3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36" s="4" t="e">
        <f ca="1">_xll.BDH($C$428,"INV_TO_CASH_DAYS","FQ3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36" s="5" t="e">
        <f ca="1">_xll.BDH($C$428,"BS_INVENTORIES","FQ3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36" s="3" t="e">
        <f ca="1">_xll.BDH($C$428,"INVTRY_RAW_MATERIALS","FQ3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36" s="3" t="e">
        <f ca="1">_xll.BDH($C$428,"INVTRY_IN_PROGRESS","FQ3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36" s="3" t="e">
        <f ca="1">_xll.BDH($C$428,"INVTRY_FINISHED_GOODS","FQ3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36" s="3" t="e">
        <f ca="1">_xll.BDH($C$428,"BS_OTHER_INV","FQ3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37" spans="1:113" x14ac:dyDescent="0.3">
      <c r="A437" s="6"/>
      <c r="B437" s="6"/>
      <c r="C437" s="6"/>
      <c r="D437" s="6"/>
      <c r="E437" t="s">
        <v>81</v>
      </c>
      <c r="F437" t="e">
        <f ca="1">_xll.BDH($C$428,"RETURN_COM_EQY","FQ4 2015","FQ4 2015","Currency=INR","Period=FQ","BEST_FPERIOD_OVERRIDE=FQ","FILING_STATUS=OR","EQY_CONSOLIDATED=Y","FA_ADJUSTED=GAAP","Sort=A","Dates=H","DateFormat=P","Fill=—","Direction=H","UseDPDF=Y")</f>
        <v>#NAME?</v>
      </c>
      <c r="G437" t="e">
        <f ca="1">_xll.BDH($C$428,"RETURN_ON_ASSET","FQ4 2015","FQ4 2015","Currency=INR","Period=FQ","BEST_FPERIOD_OVERRIDE=FQ","FILING_STATUS=OR","EQY_CONSOLIDATED=Y","FA_ADJUSTED=GAAP","Sort=A","Dates=H","DateFormat=P","Fill=—","Direction=H","UseDPDF=Y")</f>
        <v>#NAME?</v>
      </c>
      <c r="H437" t="e">
        <f ca="1">_xll.BDH($C$428,"RETURN_ON_CAP","FQ4 2015","FQ4 2015","Currency=INR","Period=FQ","BEST_FPERIOD_OVERRIDE=FQ","FILING_STATUS=OR","EQY_CONSOLIDATED=Y","FA_ADJUSTED=GAAP","Sort=A","Dates=H","DateFormat=P","Fill=—","Direction=H","UseDPDF=Y")</f>
        <v>#NAME?</v>
      </c>
      <c r="I437" t="e">
        <f ca="1">_xll.BDH($C$428,"RETURN_ON_INV_CAPITAL","FQ4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37" t="e">
        <f ca="1">_xll.BDH($C$428,"EBITDA_TO_REVENUE","FQ4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37" t="e">
        <f ca="1">_xll.BDH($C$428,"OPER_MARGIN","FQ4 2015","FQ4 2015","Currency=INR","Period=FQ","BEST_FPERIOD_OVERRIDE=FQ","FILING_STATUS=OR","EQY_CONSOLIDATED=Y","FA_ADJUSTED=GAAP","Sort=A","Dates=H","DateFormat=P","Fill=—","Direction=H","UseDPDF=Y")</f>
        <v>#NAME?</v>
      </c>
      <c r="L437" t="e">
        <f ca="1">_xll.BDH($C$428,"INCREMENTAL_OPERATING_MARGIN","FQ4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37" t="e">
        <f ca="1">_xll.BDH($C$428,"PRETAX_INC_TO_NET_SALES","FQ4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37" t="e">
        <f ca="1">_xll.BDH($C$428,"INC_BEF_XO_ITEMS_TO_NET_SALES","FQ4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37" t="e">
        <f ca="1">_xll.BDH($C$428,"PROF_MARGIN","FQ4 2015","FQ4 2015","Currency=INR","Period=FQ","BEST_FPERIOD_OVERRIDE=FQ","FILING_STATUS=OR","EQY_CONSOLIDATED=Y","FA_ADJUSTED=GAAP","Sort=A","Dates=H","DateFormat=P","Fill=—","Direction=H","UseDPDF=Y")</f>
        <v>#NAME?</v>
      </c>
      <c r="P437" t="e">
        <f ca="1">_xll.BDH($C$428,"NET_INCOME_TO_COMMON_MARGIN","FQ4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37" t="e">
        <f ca="1">_xll.BDH($C$428,"EFF_TAX_RATE","FQ4 2015","FQ4 2015","Currency=INR","Period=FQ","BEST_FPERIOD_OVERRIDE=FQ","FILING_STATUS=OR","EQY_CONSOLIDATED=Y","FA_ADJUSTED=GAAP","Sort=A","Dates=H","DateFormat=P","Fill=—","Direction=H","UseDPDF=Y")</f>
        <v>#NAME?</v>
      </c>
      <c r="R437" t="e">
        <f ca="1">_xll.BDH($C$428,"DVD_PAYOUT_RATIO","FQ4 2015","FQ4 2015","Currency=INR","Period=FQ","BEST_FPERIOD_OVERRIDE=FQ","FILING_STATUS=OR","EQY_CONSOLIDATED=Y","FA_ADJUSTED=GAAP","Sort=A","Dates=H","DateFormat=P","Fill=—","Direction=H","UseDPDF=Y")</f>
        <v>#NAME?</v>
      </c>
      <c r="S437" t="e">
        <f ca="1">_xll.BDH($C$428,"SUSTAIN_GROWTH_RT","FQ4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37" s="2" t="e">
        <f ca="1">_xll.BDH($C$428,"SALES_GROWTH","FQ4 2015","FQ4 2015","Currency=INR","Period=FQ","BEST_FPERIOD_OVERRIDE=FQ","FILING_STATUS=OR","EQY_CONSOLIDATED=Y","FA_ADJUSTED=GAAP","Sort=A","Dates=H","DateFormat=P","Fill=—","Direction=H","UseDPDF=Y")</f>
        <v>#NAME?</v>
      </c>
      <c r="U437" s="2" t="e">
        <f ca="1">_xll.BDH($C$428,"EBITDA_GROWTH","FQ4 2015","FQ4 2015","Currency=INR","Period=FQ","BEST_FPERIOD_OVERRIDE=FQ","FILING_STATUS=OR","EQY_CONSOLIDATED=Y","FA_ADJUSTED=GAAP","Sort=A","Dates=H","DateFormat=P","Fill=—","Direction=H","UseDPDF=Y")</f>
        <v>#NAME?</v>
      </c>
      <c r="V437" s="2" t="e">
        <f ca="1">_xll.BDH($C$428,"OPER_INC_GROWTH","FQ4 2015","FQ4 2015","Currency=INR","Period=FQ","BEST_FPERIOD_OVERRIDE=FQ","FILING_STATUS=OR","EQY_CONSOLIDATED=Y","FA_ADJUSTED=GAAP","Sort=A","Dates=H","DateFormat=P","Fill=—","Direction=H","UseDPDF=Y")</f>
        <v>#NAME?</v>
      </c>
      <c r="W437" s="2" t="e">
        <f ca="1">_xll.BDH($C$428,"EARN_FOR_COM_GROWTH","FQ4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37" s="2" t="e">
        <f ca="1">_xll.BDH($C$428,"DILUTED_EPS_AFT_XO_ITEMS_GROWTH","FQ4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37" s="2" t="e">
        <f ca="1">_xll.BDH($C$428,"DIVIDEND_PER_SHARE_1_YEAR_GROWTH","FQ4 2015","FQ4 2015","Currency=INR","Period=FQ","BEST_FPERIOD_OVERRIDE=FQ","FILING_STATUS=OR","EQY_CONSOLIDATED=Y","Sort=A","Dates=H","DateFormat=P","Fill=—","Direction=H","UseDPDF=Y")</f>
        <v>#NAME?</v>
      </c>
      <c r="Z437" s="2" t="e">
        <f ca="1">_xll.BDH($C$428,"ACCOUNTS_RECEIVABLE_GROWTH","FQ4 2015","FQ4 2015","Currency=INR","Period=FQ","BEST_FPERIOD_OVERRIDE=FQ","FILING_STATUS=OR","EQY_CONSOLIDATED=Y","Sort=A","Dates=H","DateFormat=P","Fill=—","Direction=H","UseDPDF=Y")</f>
        <v>#NAME?</v>
      </c>
      <c r="AA437" s="2" t="e">
        <f ca="1">_xll.BDH($C$428,"INVENTORY_GROWTH","FQ4 2015","FQ4 2015","Currency=INR","Period=FQ","BEST_FPERIOD_OVERRIDE=FQ","FILING_STATUS=OR","EQY_CONSOLIDATED=Y","Sort=A","Dates=H","DateFormat=P","Fill=—","Direction=H","UseDPDF=Y")</f>
        <v>#NAME?</v>
      </c>
      <c r="AB437" s="2" t="e">
        <f ca="1">_xll.BDH($C$428,"NET_FIXED_ASSETS_1_YEAR_GROWTH","FQ4 2015","FQ4 2015","Currency=INR","Period=FQ","BEST_FPERIOD_OVERRIDE=FQ","FILING_STATUS=OR","EQY_CONSOLIDATED=Y","Sort=A","Dates=H","DateFormat=P","Fill=—","Direction=H","UseDPDF=Y")</f>
        <v>#NAME?</v>
      </c>
      <c r="AC437" s="2" t="e">
        <f ca="1">_xll.BDH($C$428,"ASSET_GROWTH","FQ4 2015","FQ4 2015","Currency=INR","Period=FQ","BEST_FPERIOD_OVERRIDE=FQ","FILING_STATUS=OR","EQY_CONSOLIDATED=Y","Sort=A","Dates=H","DateFormat=P","Fill=—","Direction=H","UseDPDF=Y")</f>
        <v>#NAME?</v>
      </c>
      <c r="AD437" s="2" t="e">
        <f ca="1">_xll.BDH($C$428,"MODIFIED_WORK_CAP_GROWTH","FQ4 2015","FQ4 2015","Currency=INR","Period=FQ","BEST_FPERIOD_OVERRIDE=FQ","FILING_STATUS=OR","EQY_CONSOLIDATED=Y","Sort=A","Dates=H","DateFormat=P","Fill=—","Direction=H","UseDPDF=Y")</f>
        <v>#NAME?</v>
      </c>
      <c r="AE437" s="2" t="e">
        <f ca="1">_xll.BDH($C$428,"WORK_CAP_GROWTH","FQ4 2015","FQ4 2015","Currency=INR","Period=FQ","BEST_FPERIOD_OVERRIDE=FQ","FILING_STATUS=OR","EQY_CONSOLIDATED=Y","Sort=A","Dates=H","DateFormat=P","Fill=—","Direction=H","UseDPDF=Y")</f>
        <v>#NAME?</v>
      </c>
      <c r="AF437" s="2" t="e">
        <f ca="1">_xll.BDH($C$428,"ACCOUNTS_PAYABLE_GROWTH_1YR","FQ4 2015","FQ4 2015","Currency=INR","Period=FQ","BEST_FPERIOD_OVERRIDE=FQ","FILING_STATUS=OR","EQY_CONSOLIDATED=Y","Sort=A","Dates=H","DateFormat=P","Fill=—","Direction=H","UseDPDF=Y")</f>
        <v>#NAME?</v>
      </c>
      <c r="AG437" s="2" t="e">
        <f ca="1">_xll.BDH($C$428,"SHORT_TERM_DEBT_1_YEAR_GROWTH","FQ4 2015","FQ4 2015","Currency=INR","Period=FQ","BEST_FPERIOD_OVERRIDE=FQ","FILING_STATUS=OR","EQY_CONSOLIDATED=Y","Sort=A","Dates=H","DateFormat=P","Fill=—","Direction=H","UseDPDF=Y")</f>
        <v>#NAME?</v>
      </c>
      <c r="AH437" s="2" t="e">
        <f ca="1">_xll.BDH($C$428,"TOTAL_DEBT_1_YEAR_GROWTH","FQ4 2015","FQ4 2015","Currency=INR","Period=FQ","BEST_FPERIOD_OVERRIDE=FQ","FILING_STATUS=OR","EQY_CONSOLIDATED=Y","Sort=A","Dates=H","DateFormat=P","Fill=—","Direction=H","UseDPDF=Y")</f>
        <v>#NAME?</v>
      </c>
      <c r="AI437" s="2" t="e">
        <f ca="1">_xll.BDH($C$428,"TOTAL_EQUITY_1_YEAR_GROWTH","FQ4 2015","FQ4 2015","Currency=INR","Period=FQ","BEST_FPERIOD_OVERRIDE=FQ","FILING_STATUS=OR","EQY_CONSOLIDATED=Y","Sort=A","Dates=H","DateFormat=P","Fill=—","Direction=H","UseDPDF=Y")</f>
        <v>#NAME?</v>
      </c>
      <c r="AJ437" s="2" t="e">
        <f ca="1">_xll.BDH($C$428,"GROWTH_IN_CAP","FQ4 2015","FQ4 2015","Currency=INR","Period=FQ","BEST_FPERIOD_OVERRIDE=FQ","FILING_STATUS=OR","EQY_CONSOLIDATED=Y","Sort=A","Dates=H","DateFormat=P","Fill=—","Direction=H","UseDPDF=Y")</f>
        <v>#NAME?</v>
      </c>
      <c r="AK437" s="2" t="e">
        <f ca="1">_xll.BDH($C$428,"BVPS_GROWTH","FQ4 2015","FQ4 2015","Currency=INR","Period=FQ","BEST_FPERIOD_OVERRIDE=FQ","FILING_STATUS=OR","EQY_CONSOLIDATED=Y","Sort=A","Dates=H","DateFormat=P","Fill=—","Direction=H","UseDPDF=Y")</f>
        <v>#NAME?</v>
      </c>
      <c r="AL437" s="2" t="e">
        <f ca="1">_xll.BDH($C$428,"CASH_FLOW_GROWTH","FQ4 2015","FQ4 2015","Currency=INR","Period=FQ","BEST_FPERIOD_OVERRIDE=FQ","FILING_STATUS=OR","EQY_CONSOLIDATED=Y","Sort=A","Dates=H","DateFormat=P","Fill=—","Direction=H","UseDPDF=Y")</f>
        <v>#NAME?</v>
      </c>
      <c r="AM437" s="2" t="e">
        <f ca="1">_xll.BDH($C$428,"GEO_GROW_NET_SALES","FQ4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37" s="2" t="e">
        <f ca="1">_xll.BDH($C$428,"GEO_GROW_EBITDA","FQ4 2015","FQ4 2015","Currency=INR","Period=FQ","BEST_FPERIOD_OVERRIDE=FQ","FILING_STATUS=OR","EQY_CONSOLIDATED=Y","FA_ADJUSTED=GAAP","Sort=A","Dates=H","DateFormat=P","Fill=—","Direction=H","UseDPDF=Y")</f>
        <v>#NAME?</v>
      </c>
      <c r="AO437" s="2" t="e">
        <f ca="1">_xll.BDH($C$428,"GEO_GROW_OPER_INC","FQ4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37" s="2" t="e">
        <f ca="1">_xll.BDH($C$428,"NET_INCOME_TO_COMMON_5_YR_GROWTH","FQ4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37" s="2" t="e">
        <f ca="1">_xll.BDH($C$428,"5Y_GEO_GROWTH_DILUTED_EPS","FQ4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37" s="2" t="e">
        <f ca="1">_xll.BDH($C$428,"GEO_GROW_DVD_PER_SH","FQ4 2015","FQ4 2015","Currency=INR","Period=FQ","BEST_FPERIOD_OVERRIDE=FQ","FILING_STATUS=OR","EQY_CONSOLIDATED=Y","Sort=A","Dates=H","DateFormat=P","Fill=—","Direction=H","UseDPDF=Y")</f>
        <v>#NAME?</v>
      </c>
      <c r="AS437" s="2" t="e">
        <f ca="1">_xll.BDH($C$428,"ACCOUNTS_RECEIVABLE_5_YR_GROWTH","FQ4 2015","FQ4 2015","Currency=INR","Period=FQ","BEST_FPERIOD_OVERRIDE=FQ","FILING_STATUS=OR","EQY_CONSOLIDATED=Y","Sort=A","Dates=H","DateFormat=P","Fill=—","Direction=H","UseDPDF=Y")</f>
        <v>#NAME?</v>
      </c>
      <c r="AT437" s="2" t="e">
        <f ca="1">_xll.BDH($C$428,"INVENTORY_5_YEAR_GROWTH","FQ4 2015","FQ4 2015","Currency=INR","Period=FQ","BEST_FPERIOD_OVERRIDE=FQ","FILING_STATUS=OR","EQY_CONSOLIDATED=Y","Sort=A","Dates=H","DateFormat=P","Fill=—","Direction=H","UseDPDF=Y")</f>
        <v>#NAME?</v>
      </c>
      <c r="AU437" s="2" t="e">
        <f ca="1">_xll.BDH($C$428,"NET_FIXED_ASSETS_5_YEAR_GROWTH","FQ4 2015","FQ4 2015","Currency=INR","Period=FQ","BEST_FPERIOD_OVERRIDE=FQ","FILING_STATUS=OR","EQY_CONSOLIDATED=Y","Sort=A","Dates=H","DateFormat=P","Fill=—","Direction=H","UseDPDF=Y")</f>
        <v>#NAME?</v>
      </c>
      <c r="AV437" s="2" t="e">
        <f ca="1">_xll.BDH($C$428,"GEO_GROW_TOT_ASSET","FQ4 2015","FQ4 2015","Currency=INR","Period=FQ","BEST_FPERIOD_OVERRIDE=FQ","FILING_STATUS=OR","EQY_CONSOLIDATED=Y","Sort=A","Dates=H","DateFormat=P","Fill=—","Direction=H","UseDPDF=Y")</f>
        <v>#NAME?</v>
      </c>
      <c r="AW437" s="2" t="e">
        <f ca="1">_xll.BDH($C$428,"MODIFIED_WORKING_CPTL_5YR_GRWTH","FQ4 2015","FQ4 2015","Currency=INR","Period=FQ","BEST_FPERIOD_OVERRIDE=FQ","FILING_STATUS=OR","EQY_CONSOLIDATED=Y","Sort=A","Dates=H","DateFormat=P","Fill=—","Direction=H","UseDPDF=Y")</f>
        <v>#NAME?</v>
      </c>
      <c r="AX437" s="2" t="e">
        <f ca="1">_xll.BDH($C$428,"WORKING_CAPITAL_5_YEAR_GROWTH","FQ4 2015","FQ4 2015","Currency=INR","Period=FQ","BEST_FPERIOD_OVERRIDE=FQ","FILING_STATUS=OR","EQY_CONSOLIDATED=Y","Sort=A","Dates=H","DateFormat=P","Fill=—","Direction=H","UseDPDF=Y")</f>
        <v>#NAME?</v>
      </c>
      <c r="AY437" s="2" t="e">
        <f ca="1">_xll.BDH($C$428,"ACCOUNTS_PAYABLE_5_YEAR_GROWTH","FQ4 2015","FQ4 2015","Currency=INR","Period=FQ","BEST_FPERIOD_OVERRIDE=FQ","FILING_STATUS=OR","EQY_CONSOLIDATED=Y","Sort=A","Dates=H","DateFormat=P","Fill=—","Direction=H","UseDPDF=Y")</f>
        <v>#NAME?</v>
      </c>
      <c r="AZ437" s="2" t="e">
        <f ca="1">_xll.BDH($C$428,"SHORT_TERM_DEBT_5_YEAR_GROWTH","FQ4 2015","FQ4 2015","Currency=INR","Period=FQ","BEST_FPERIOD_OVERRIDE=FQ","FILING_STATUS=OR","EQY_CONSOLIDATED=Y","Sort=A","Dates=H","DateFormat=P","Fill=—","Direction=H","UseDPDF=Y")</f>
        <v>#NAME?</v>
      </c>
      <c r="BA437" s="2" t="e">
        <f ca="1">_xll.BDH($C$428,"TOTAL_DEBT_5_YEAR_GROWTH","FQ4 2015","FQ4 2015","Currency=INR","Period=FQ","BEST_FPERIOD_OVERRIDE=FQ","FILING_STATUS=OR","EQY_CONSOLIDATED=Y","Sort=A","Dates=H","DateFormat=P","Fill=—","Direction=H","UseDPDF=Y")</f>
        <v>#NAME?</v>
      </c>
      <c r="BB437" s="2" t="e">
        <f ca="1">_xll.BDH($C$428,"GEO_GROW_TOT_SHRHLDR_EQY","FQ4 2015","FQ4 2015","Currency=INR","Period=FQ","BEST_FPERIOD_OVERRIDE=FQ","FILING_STATUS=OR","EQY_CONSOLIDATED=Y","Sort=A","Dates=H","DateFormat=P","Fill=—","Direction=H","UseDPDF=Y")</f>
        <v>#NAME?</v>
      </c>
      <c r="BC437" s="2" t="e">
        <f ca="1">_xll.BDH($C$428,"TOTAL_CAPITAL_5_YEAR_GROWTH","FQ4 2015","FQ4 2015","Currency=INR","Period=FQ","BEST_FPERIOD_OVERRIDE=FQ","FILING_STATUS=OR","EQY_CONSOLIDATED=Y","Sort=A","Dates=H","DateFormat=P","Fill=—","Direction=H","UseDPDF=Y")</f>
        <v>#NAME?</v>
      </c>
      <c r="BD437" s="2" t="e">
        <f ca="1">_xll.BDH($C$428,"GEO_GROW_BOOK_VAL","FQ4 2015","FQ4 2015","Currency=INR","Period=FQ","BEST_FPERIOD_OVERRIDE=FQ","FILING_STATUS=OR","EQY_CONSOLIDATED=Y","Sort=A","Dates=H","DateFormat=P","Fill=—","Direction=H","UseDPDF=Y")</f>
        <v>#NAME?</v>
      </c>
      <c r="BE437" s="2" t="e">
        <f ca="1">_xll.BDH($C$428,"GEO_GROW_CASH_OPER_ACT","FQ4 2015","FQ4 2015","Currency=INR","Period=FQ","BEST_FPERIOD_OVERRIDE=FQ","FILING_STATUS=OR","EQY_CONSOLIDATED=Y","Sort=A","Dates=H","DateFormat=P","Fill=—","Direction=H","UseDPDF=Y")</f>
        <v>#NAME?</v>
      </c>
      <c r="BF437" s="2" t="e">
        <f ca="1">_xll.BDH($C$428,"REVENUE_SEQUENTIAL_GROWTH","FQ4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37" s="2" t="e">
        <f ca="1">_xll.BDH($C$428,"EBITDA_SEQUENTIAL_GROWTH","FQ4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37" s="2" t="e">
        <f ca="1">_xll.BDH($C$428,"OPERATING_INCOME_SEQ_GROWTH","FQ4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37" s="2" t="e">
        <f ca="1">_xll.BDH($C$428,"NET_INCOME_TO_COMMON_SEQ_GROWTH","FQ4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37" s="2" t="e">
        <f ca="1">_xll.BDH($C$428,"EPS_DILUTED_SEQUENTIAL_GROWTH","FQ4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37" s="2" t="e">
        <f ca="1">_xll.BDH($C$428,"DPS_SEQUENTIAL_GROWTH","FQ4 2015","FQ4 2015","Currency=INR","Period=FQ","BEST_FPERIOD_OVERRIDE=FQ","FILING_STATUS=OR","EQY_CONSOLIDATED=Y","Sort=A","Dates=H","DateFormat=P","Fill=—","Direction=H","UseDPDF=Y")</f>
        <v>#NAME?</v>
      </c>
      <c r="BL437" s="2" t="e">
        <f ca="1">_xll.BDH($C$428,"ACCOUNTS_RECEIVABLE_SEQ_GROWTH","FQ4 2015","FQ4 2015","Currency=INR","Period=FQ","BEST_FPERIOD_OVERRIDE=FQ","FILING_STATUS=OR","EQY_CONSOLIDATED=Y","Sort=A","Dates=H","DateFormat=P","Fill=—","Direction=H","UseDPDF=Y")</f>
        <v>#NAME?</v>
      </c>
      <c r="BM437" s="2" t="e">
        <f ca="1">_xll.BDH($C$428,"INVENTORY_SEQUENTIAL_GROWTH","FQ4 2015","FQ4 2015","Currency=INR","Period=FQ","BEST_FPERIOD_OVERRIDE=FQ","FILING_STATUS=OR","EQY_CONSOLIDATED=Y","Sort=A","Dates=H","DateFormat=P","Fill=—","Direction=H","UseDPDF=Y")</f>
        <v>#NAME?</v>
      </c>
      <c r="BN437" s="2" t="e">
        <f ca="1">_xll.BDH($C$428,"FIXED_ASSETS_SEQUENTIAL_GROWTH","FQ4 2015","FQ4 2015","Currency=INR","Period=FQ","BEST_FPERIOD_OVERRIDE=FQ","FILING_STATUS=OR","EQY_CONSOLIDATED=Y","Sort=A","Dates=H","DateFormat=P","Fill=—","Direction=H","UseDPDF=Y")</f>
        <v>#NAME?</v>
      </c>
      <c r="BO437" s="2" t="e">
        <f ca="1">_xll.BDH($C$428,"TOTAL_ASSETS_SEQUENTIAL_GROWTH","FQ4 2015","FQ4 2015","Currency=INR","Period=FQ","BEST_FPERIOD_OVERRIDE=FQ","FILING_STATUS=OR","EQY_CONSOLIDATED=Y","Sort=A","Dates=H","DateFormat=P","Fill=—","Direction=H","UseDPDF=Y")</f>
        <v>#NAME?</v>
      </c>
      <c r="BP437" s="2" t="e">
        <f ca="1">_xll.BDH($C$428,"MODIFIED_WORKING_CPTL_SEQ_GRWTH","FQ4 2015","FQ4 2015","Currency=INR","Period=FQ","BEST_FPERIOD_OVERRIDE=FQ","FILING_STATUS=OR","EQY_CONSOLIDATED=Y","Sort=A","Dates=H","DateFormat=P","Fill=—","Direction=H","UseDPDF=Y")</f>
        <v>#NAME?</v>
      </c>
      <c r="BQ437" s="2" t="e">
        <f ca="1">_xll.BDH($C$428,"WORKING_CAPITAL_SEQ_GROWTH","FQ4 2015","FQ4 2015","Currency=INR","Period=FQ","BEST_FPERIOD_OVERRIDE=FQ","FILING_STATUS=OR","EQY_CONSOLIDATED=Y","Sort=A","Dates=H","DateFormat=P","Fill=—","Direction=H","UseDPDF=Y")</f>
        <v>#NAME?</v>
      </c>
      <c r="BR437" s="2" t="e">
        <f ca="1">_xll.BDH($C$428,"ACCOUNTS_PAYABLE_SEQ_GROWTH","FQ4 2015","FQ4 2015","Currency=INR","Period=FQ","BEST_FPERIOD_OVERRIDE=FQ","FILING_STATUS=OR","EQY_CONSOLIDATED=Y","Sort=A","Dates=H","DateFormat=P","Fill=—","Direction=H","UseDPDF=Y")</f>
        <v>#NAME?</v>
      </c>
      <c r="BS437" s="2" t="e">
        <f ca="1">_xll.BDH($C$428,"ST_DEBT_SEQUENTIAL_GROWTH","FQ4 2015","FQ4 2015","Currency=INR","Period=FQ","BEST_FPERIOD_OVERRIDE=FQ","FILING_STATUS=OR","EQY_CONSOLIDATED=Y","Sort=A","Dates=H","DateFormat=P","Fill=—","Direction=H","UseDPDF=Y")</f>
        <v>#NAME?</v>
      </c>
      <c r="BT437" s="2" t="e">
        <f ca="1">_xll.BDH($C$428,"TOTAL_DEBT_SEQUENTIAL_GROWTH","FQ4 2015","FQ4 2015","Currency=INR","Period=FQ","BEST_FPERIOD_OVERRIDE=FQ","FILING_STATUS=OR","EQY_CONSOLIDATED=Y","Sort=A","Dates=H","DateFormat=P","Fill=—","Direction=H","UseDPDF=Y")</f>
        <v>#NAME?</v>
      </c>
      <c r="BU437" s="2" t="e">
        <f ca="1">_xll.BDH($C$428,"TOTAL_EQUITY_SEQUENTIAL_GROWTH","FQ4 2015","FQ4 2015","Currency=INR","Period=FQ","BEST_FPERIOD_OVERRIDE=FQ","FILING_STATUS=OR","EQY_CONSOLIDATED=Y","Sort=A","Dates=H","DateFormat=P","Fill=—","Direction=H","UseDPDF=Y")</f>
        <v>#NAME?</v>
      </c>
      <c r="BV437" s="2" t="e">
        <f ca="1">_xll.BDH($C$428,"TOTAL_CAPITAL_SEQUENTIAL_GROWTH","FQ4 2015","FQ4 2015","Currency=INR","Period=FQ","BEST_FPERIOD_OVERRIDE=FQ","FILING_STATUS=OR","EQY_CONSOLIDATED=Y","Sort=A","Dates=H","DateFormat=P","Fill=—","Direction=H","UseDPDF=Y")</f>
        <v>#NAME?</v>
      </c>
      <c r="BW437" s="2" t="e">
        <f ca="1">_xll.BDH($C$428,"BPS_SEQUENTIAL_GROWTH","FQ4 2015","FQ4 2015","Currency=INR","Period=FQ","BEST_FPERIOD_OVERRIDE=FQ","FILING_STATUS=OR","EQY_CONSOLIDATED=Y","Sort=A","Dates=H","DateFormat=P","Fill=—","Direction=H","UseDPDF=Y")</f>
        <v>#NAME?</v>
      </c>
      <c r="BX437" s="2" t="e">
        <f ca="1">_xll.BDH($C$428,"CFO_SEQUENTIAL_GROWTH","FQ4 2015","FQ4 2015","Currency=INR","Period=FQ","BEST_FPERIOD_OVERRIDE=FQ","FILING_STATUS=OR","EQY_CONSOLIDATED=Y","Sort=A","Dates=H","DateFormat=P","Fill=—","Direction=H","UseDPDF=Y")</f>
        <v>#NAME?</v>
      </c>
      <c r="BY437" s="3" t="e">
        <f ca="1">_xll.BDH($C$428,"SHORT_AND_LONG_TERM_DEBT","FQ4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37" s="3" t="e">
        <f ca="1">_xll.BDH($C$428,"BS_ST_BORROW","FQ4 2015","FQ4 2015","Currency=INR","Period=FQ","BEST_FPERIOD_OVERRIDE=FQ","FILING_STATUS=OR","EQY_CONSOLIDATED=Y","SCALING_FORMAT=MLN","Sort=A","Dates=H","DateFormat=P","Fill=—","Direction=H","UseDPDF=Y")</f>
        <v>#NAME?</v>
      </c>
      <c r="CA437" s="3" t="e">
        <f ca="1">_xll.BDH($C$428,"BS_LT_BORROW","FQ4 2015","FQ4 2015","Currency=INR","Period=FQ","BEST_FPERIOD_OVERRIDE=FQ","FILING_STATUS=OR","EQY_CONSOLIDATED=Y","SCALING_FORMAT=MLN","Sort=A","Dates=H","DateFormat=P","Fill=—","Direction=H","UseDPDF=Y")</f>
        <v>#NAME?</v>
      </c>
      <c r="CB437" s="2" t="e">
        <f ca="1">_xll.BDH($C$428,"TOT_DEBT_TO_EBITDA","FQ4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37" s="2" t="e">
        <f ca="1">_xll.BDH($C$428,"NET_DEBT_TO_EBITDA","FQ4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37" s="2" t="e">
        <f ca="1">_xll.BDH($C$428,"TOTAL_DEBT_TO_EBIT","FQ4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37" s="2" t="e">
        <f ca="1">_xll.BDH($C$428,"NET_DEBT_TO_EBIT","FQ4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37" s="2" t="e">
        <f ca="1">_xll.BDH($C$428,"EBITDA_TO_INTEREST_EXPN","FQ4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37" s="2" t="e">
        <f ca="1">_xll.BDH($C$428,"COM_EQY_TO_TOT_ASSET","FQ4 2015","FQ4 2015","Currency=INR","Period=FQ","BEST_FPERIOD_OVERRIDE=FQ","FILING_STATUS=OR","EQY_CONSOLIDATED=Y","Sort=A","Dates=H","DateFormat=P","Fill=—","Direction=H","UseDPDF=Y")</f>
        <v>#NAME?</v>
      </c>
      <c r="CH437" s="2" t="e">
        <f ca="1">_xll.BDH($C$428,"LT_DEBT_TO_TOT_EQY","FQ4 2015","FQ4 2015","Currency=INR","Period=FQ","BEST_FPERIOD_OVERRIDE=FQ","FILING_STATUS=OR","EQY_CONSOLIDATED=Y","Sort=A","Dates=H","DateFormat=P","Fill=—","Direction=H","UseDPDF=Y")</f>
        <v>#NAME?</v>
      </c>
      <c r="CI437" s="2" t="e">
        <f ca="1">_xll.BDH($C$428,"LT_DEBT_TO_TOT_CAP","FQ4 2015","FQ4 2015","Currency=INR","Period=FQ","BEST_FPERIOD_OVERRIDE=FQ","FILING_STATUS=OR","EQY_CONSOLIDATED=Y","Sort=A","Dates=H","DateFormat=P","Fill=—","Direction=H","UseDPDF=Y")</f>
        <v>#NAME?</v>
      </c>
      <c r="CJ437" s="2" t="e">
        <f ca="1">_xll.BDH($C$428,"LT_DEBT_TO_TOT_ASSET","FQ4 2015","FQ4 2015","Currency=INR","Period=FQ","BEST_FPERIOD_OVERRIDE=FQ","FILING_STATUS=OR","EQY_CONSOLIDATED=Y","Sort=A","Dates=H","DateFormat=P","Fill=—","Direction=H","UseDPDF=Y")</f>
        <v>#NAME?</v>
      </c>
      <c r="CK437" s="2" t="e">
        <f ca="1">_xll.BDH($C$428,"TOT_DEBT_TO_TOT_EQY","FQ4 2015","FQ4 2015","Currency=INR","Period=FQ","BEST_FPERIOD_OVERRIDE=FQ","FILING_STATUS=OR","EQY_CONSOLIDATED=Y","Sort=A","Dates=H","DateFormat=P","Fill=—","Direction=H","UseDPDF=Y")</f>
        <v>#NAME?</v>
      </c>
      <c r="CL437" s="2" t="e">
        <f ca="1">_xll.BDH($C$428,"TOT_DEBT_TO_TOT_CAP","FQ4 2015","FQ4 2015","Currency=INR","Period=FQ","BEST_FPERIOD_OVERRIDE=FQ","FILING_STATUS=OR","EQY_CONSOLIDATED=Y","Sort=A","Dates=H","DateFormat=P","Fill=—","Direction=H","UseDPDF=Y")</f>
        <v>#NAME?</v>
      </c>
      <c r="CM437" s="2" t="e">
        <f ca="1">_xll.BDH($C$428,"TOT_DEBT_TO_TOT_ASSET","FQ4 2015","FQ4 2015","Currency=INR","Period=FQ","BEST_FPERIOD_OVERRIDE=FQ","FILING_STATUS=OR","EQY_CONSOLIDATED=Y","Sort=A","Dates=H","DateFormat=P","Fill=—","Direction=H","UseDPDF=Y")</f>
        <v>#NAME?</v>
      </c>
      <c r="CN437" s="2" t="e">
        <f ca="1">_xll.BDH($C$428,"NET_DEBT_TO_SHRHLDR_EQTY","FQ4 2015","FQ4 2015","Currency=INR","Period=FQ","BEST_FPERIOD_OVERRIDE=FQ","FILING_STATUS=OR","EQY_CONSOLIDATED=Y","Sort=A","Dates=H","DateFormat=P","Fill=—","Direction=H","UseDPDF=Y")</f>
        <v>#NAME?</v>
      </c>
      <c r="CO437" s="2" t="e">
        <f ca="1">_xll.BDH($C$428,"NET_DEBT_%_CAPITAL","FQ4 2015","FQ4 2015","Currency=INR","Period=FQ","BEST_FPERIOD_OVERRIDE=FQ","FILING_STATUS=OR","EQY_CONSOLIDATED=Y","Sort=A","Dates=H","DateFormat=P","Fill=—","Direction=H","UseDPDF=Y")</f>
        <v>#NAME?</v>
      </c>
      <c r="CP437" s="3" t="e">
        <f ca="1">_xll.BDH($C$428,"EBITDA","FQ4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37" s="3" t="e">
        <f ca="1">_xll.BDH($C$428,"EBITDA_AFTER_CAPEX","FQ4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37" s="3" t="e">
        <f ca="1">_xll.BDH($C$428,"IS_OPER_INC","FQ4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37" s="2" t="e">
        <f ca="1">_xll.BDH($C$428,"CASH_RATIO","FQ4 2015","FQ4 2015","Currency=INR","Period=FQ","BEST_FPERIOD_OVERRIDE=FQ","FILING_STATUS=OR","EQY_CONSOLIDATED=Y","Sort=A","Dates=H","DateFormat=P","Fill=—","Direction=H","UseDPDF=Y")</f>
        <v>#NAME?</v>
      </c>
      <c r="CT437" s="2" t="e">
        <f ca="1">_xll.BDH($C$428,"CUR_RATIO","FQ4 2015","FQ4 2015","Currency=INR","Period=FQ","BEST_FPERIOD_OVERRIDE=FQ","FILING_STATUS=OR","EQY_CONSOLIDATED=Y","Sort=A","Dates=H","DateFormat=P","Fill=—","Direction=H","UseDPDF=Y")</f>
        <v>#NAME?</v>
      </c>
      <c r="CU437" s="2" t="e">
        <f ca="1">_xll.BDH($C$428,"QUICK_RATIO","FQ4 2015","FQ4 2015","Currency=INR","Period=FQ","BEST_FPERIOD_OVERRIDE=FQ","FILING_STATUS=OR","EQY_CONSOLIDATED=Y","Sort=A","Dates=H","DateFormat=P","Fill=—","Direction=H","UseDPDF=Y")</f>
        <v>#NAME?</v>
      </c>
      <c r="CV437" s="2" t="e">
        <f ca="1">_xll.BDH($C$428,"ALTMAN_Z_SCORE","FQ4 2015","FQ4 2015","Currency=INR","Period=FQ","BEST_FPERIOD_OVERRIDE=FQ","FILING_STATUS=OR","EQY_CONSOLIDATED=Y","Sort=A","Dates=H","DateFormat=P","Fill=—","Direction=H","UseDPDF=Y")</f>
        <v>#NAME?</v>
      </c>
      <c r="CW437" s="4" t="e">
        <f ca="1">_xll.BDH($C$428,"ACCT_RCV_TURN","FQ4 2015","FQ4 2015","Currency=INR","Period=FQ","BEST_FPERIOD_OVERRIDE=FQ","FILING_STATUS=OR","EQY_CONSOLIDATED=Y","FA_ADJUSTED=GAAP","Sort=A","Dates=H","DateFormat=P","Fill=—","Direction=H","UseDPDF=Y")</f>
        <v>#NAME?</v>
      </c>
      <c r="CX437" s="2" t="e">
        <f ca="1">_xll.BDH($C$428,"ACCT_RCV_DAYS","FQ4 2015","FQ4 2015","Currency=INR","Period=FQ","BEST_FPERIOD_OVERRIDE=FQ","FILING_STATUS=OR","EQY_CONSOLIDATED=Y","FA_ADJUSTED=GAAP","Sort=A","Dates=H","DateFormat=P","Fill=—","Direction=H","UseDPDF=Y")</f>
        <v>#NAME?</v>
      </c>
      <c r="CY437" s="4" t="e">
        <f ca="1">_xll.BDH($C$428,"INVENT_TURN","FQ4 2015","FQ4 2015","Currency=INR","Period=FQ","BEST_FPERIOD_OVERRIDE=FQ","FILING_STATUS=OR","EQY_CONSOLIDATED=Y","FA_ADJUSTED=GAAP","Sort=A","Dates=H","DateFormat=P","Fill=—","Direction=H","UseDPDF=Y")</f>
        <v>#NAME?</v>
      </c>
      <c r="CZ437" s="2" t="e">
        <f ca="1">_xll.BDH($C$428,"INVENT_DAYS","FQ4 2015","FQ4 2015","Currency=INR","Period=FQ","BEST_FPERIOD_OVERRIDE=FQ","FILING_STATUS=OR","EQY_CONSOLIDATED=Y","FA_ADJUSTED=GAAP","Sort=A","Dates=H","DateFormat=P","Fill=—","Direction=H","UseDPDF=Y")</f>
        <v>#NAME?</v>
      </c>
      <c r="DA437" s="4" t="e">
        <f ca="1">_xll.BDH($C$428,"ACCOUNTS_PAYABLE_TURNOVER","FQ4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37" s="2" t="e">
        <f ca="1">_xll.BDH($C$428,"ACCOUNTS_PAYABLE_TURNOVER_DAYS","FQ4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37" s="4" t="e">
        <f ca="1">_xll.BDH($C$428,"CASH_CONVERSION_CYCLE","FQ4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37" s="4" t="e">
        <f ca="1">_xll.BDH($C$428,"INV_TO_CASH_DAYS","FQ4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37" s="5" t="e">
        <f ca="1">_xll.BDH($C$428,"BS_INVENTORIES","FQ4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37" s="3" t="e">
        <f ca="1">_xll.BDH($C$428,"INVTRY_RAW_MATERIALS","FQ4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37" s="3" t="e">
        <f ca="1">_xll.BDH($C$428,"INVTRY_IN_PROGRESS","FQ4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37" s="3" t="e">
        <f ca="1">_xll.BDH($C$428,"INVTRY_FINISHED_GOODS","FQ4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37" s="3" t="e">
        <f ca="1">_xll.BDH($C$428,"BS_OTHER_INV","FQ4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38" spans="1:113" x14ac:dyDescent="0.3">
      <c r="A438" s="6"/>
      <c r="B438" s="6"/>
      <c r="C438" s="6"/>
      <c r="D438" s="6" t="s">
        <v>83</v>
      </c>
      <c r="E438" t="s">
        <v>77</v>
      </c>
      <c r="F438" t="e">
        <f ca="1">_xll.BDH($C$428,"RETURN_COM_EQY","FY 2016","FY 2016","Currency=INR","Period=FY","BEST_FPERIOD_OVERRIDE=FY","FILING_STATUS=OR","EQY_CONSOLIDATED=Y","FA_ADJUSTED=GAAP","Sort=A","Dates=H","DateFormat=P","Fill=—","Direction=H","UseDPDF=Y")</f>
        <v>#NAME?</v>
      </c>
      <c r="G438" t="e">
        <f ca="1">_xll.BDH($C$428,"RETURN_ON_ASSET","FY 2016","FY 2016","Currency=INR","Period=FY","BEST_FPERIOD_OVERRIDE=FY","FILING_STATUS=OR","EQY_CONSOLIDATED=Y","FA_ADJUSTED=GAAP","Sort=A","Dates=H","DateFormat=P","Fill=—","Direction=H","UseDPDF=Y")</f>
        <v>#NAME?</v>
      </c>
      <c r="H438" t="e">
        <f ca="1">_xll.BDH($C$428,"RETURN_ON_CAP","FY 2016","FY 2016","Currency=INR","Period=FY","BEST_FPERIOD_OVERRIDE=FY","FILING_STATUS=OR","EQY_CONSOLIDATED=Y","FA_ADJUSTED=GAAP","Sort=A","Dates=H","DateFormat=P","Fill=—","Direction=H","UseDPDF=Y")</f>
        <v>#NAME?</v>
      </c>
      <c r="I438" t="e">
        <f ca="1">_xll.BDH($C$428,"RETURN_ON_INV_CAPITAL","FY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38" t="e">
        <f ca="1">_xll.BDH($C$428,"EBITDA_TO_REVENUE","FY 2016","FY 2016","Currency=INR","Period=FY","BEST_FPERIOD_OVERRIDE=FY","FILING_STATUS=OR","EQY_CONSOLIDATED=Y","FA_ADJUSTED=GAAP","Sort=A","Dates=H","DateFormat=P","Fill=—","Direction=H","UseDPDF=Y")</f>
        <v>#NAME?</v>
      </c>
      <c r="K438" t="e">
        <f ca="1">_xll.BDH($C$428,"OPER_MARGIN","FY 2016","FY 2016","Currency=INR","Period=FY","BEST_FPERIOD_OVERRIDE=FY","FILING_STATUS=OR","EQY_CONSOLIDATED=Y","FA_ADJUSTED=GAAP","Sort=A","Dates=H","DateFormat=P","Fill=—","Direction=H","UseDPDF=Y")</f>
        <v>#NAME?</v>
      </c>
      <c r="L438" t="e">
        <f ca="1">_xll.BDH($C$428,"INCREMENTAL_OPERATING_MARGIN","FY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38" t="e">
        <f ca="1">_xll.BDH($C$428,"PRETAX_INC_TO_NET_SALES","FY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38" t="e">
        <f ca="1">_xll.BDH($C$428,"INC_BEF_XO_ITEMS_TO_NET_SALES","FY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38" t="e">
        <f ca="1">_xll.BDH($C$428,"PROF_MARGIN","FY 2016","FY 2016","Currency=INR","Period=FY","BEST_FPERIOD_OVERRIDE=FY","FILING_STATUS=OR","EQY_CONSOLIDATED=Y","FA_ADJUSTED=GAAP","Sort=A","Dates=H","DateFormat=P","Fill=—","Direction=H","UseDPDF=Y")</f>
        <v>#NAME?</v>
      </c>
      <c r="P438" t="e">
        <f ca="1">_xll.BDH($C$428,"NET_INCOME_TO_COMMON_MARGIN","FY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38" t="e">
        <f ca="1">_xll.BDH($C$428,"EFF_TAX_RATE","FY 2016","FY 2016","Currency=INR","Period=FY","BEST_FPERIOD_OVERRIDE=FY","FILING_STATUS=OR","EQY_CONSOLIDATED=Y","FA_ADJUSTED=GAAP","Sort=A","Dates=H","DateFormat=P","Fill=—","Direction=H","UseDPDF=Y")</f>
        <v>#NAME?</v>
      </c>
      <c r="R438" t="e">
        <f ca="1">_xll.BDH($C$428,"DVD_PAYOUT_RATIO","FY 2016","FY 2016","Currency=INR","Period=FY","BEST_FPERIOD_OVERRIDE=FY","FILING_STATUS=OR","EQY_CONSOLIDATED=Y","FA_ADJUSTED=GAAP","Sort=A","Dates=H","DateFormat=P","Fill=—","Direction=H","UseDPDF=Y")</f>
        <v>#NAME?</v>
      </c>
      <c r="S438" t="e">
        <f ca="1">_xll.BDH($C$428,"SUSTAIN_GROWTH_RT","FY 2016","FY 2016","Currency=INR","Period=FY","BEST_FPERIOD_OVERRIDE=FY","FILING_STATUS=OR","EQY_CONSOLIDATED=Y","FA_ADJUSTED=GAAP","Sort=A","Dates=H","DateFormat=P","Fill=—","Direction=H","UseDPDF=Y")</f>
        <v>#NAME?</v>
      </c>
      <c r="T438" s="2" t="e">
        <f ca="1">_xll.BDH($C$428,"SALES_GROWTH","FY 2016","FY 2016","Currency=INR","Period=FY","BEST_FPERIOD_OVERRIDE=FY","FILING_STATUS=OR","EQY_CONSOLIDATED=Y","FA_ADJUSTED=GAAP","Sort=A","Dates=H","DateFormat=P","Fill=—","Direction=H","UseDPDF=Y")</f>
        <v>#NAME?</v>
      </c>
      <c r="U438" s="2" t="e">
        <f ca="1">_xll.BDH($C$428,"EBITDA_GROWTH","FY 2016","FY 2016","Currency=INR","Period=FY","BEST_FPERIOD_OVERRIDE=FY","FILING_STATUS=OR","EQY_CONSOLIDATED=Y","FA_ADJUSTED=GAAP","Sort=A","Dates=H","DateFormat=P","Fill=—","Direction=H","UseDPDF=Y")</f>
        <v>#NAME?</v>
      </c>
      <c r="V438" s="2" t="e">
        <f ca="1">_xll.BDH($C$428,"OPER_INC_GROWTH","FY 2016","FY 2016","Currency=INR","Period=FY","BEST_FPERIOD_OVERRIDE=FY","FILING_STATUS=OR","EQY_CONSOLIDATED=Y","FA_ADJUSTED=GAAP","Sort=A","Dates=H","DateFormat=P","Fill=—","Direction=H","UseDPDF=Y")</f>
        <v>#NAME?</v>
      </c>
      <c r="W438" s="2" t="e">
        <f ca="1">_xll.BDH($C$428,"EARN_FOR_COM_GROWTH","FY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38" s="2" t="e">
        <f ca="1">_xll.BDH($C$428,"DILUTED_EPS_AFT_XO_ITEMS_GROWTH","FY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38" s="2" t="e">
        <f ca="1">_xll.BDH($C$428,"DIVIDEND_PER_SHARE_1_YEAR_GROWTH","FY 2016","FY 2016","Currency=INR","Period=FY","BEST_FPERIOD_OVERRIDE=FY","FILING_STATUS=OR","EQY_CONSOLIDATED=Y","Sort=A","Dates=H","DateFormat=P","Fill=—","Direction=H","UseDPDF=Y")</f>
        <v>#NAME?</v>
      </c>
      <c r="Z438" s="2" t="e">
        <f ca="1">_xll.BDH($C$428,"ACCOUNTS_RECEIVABLE_GROWTH","FY 2016","FY 2016","Currency=INR","Period=FY","BEST_FPERIOD_OVERRIDE=FY","FILING_STATUS=OR","EQY_CONSOLIDATED=Y","Sort=A","Dates=H","DateFormat=P","Fill=—","Direction=H","UseDPDF=Y")</f>
        <v>#NAME?</v>
      </c>
      <c r="AA438" s="2" t="e">
        <f ca="1">_xll.BDH($C$428,"INVENTORY_GROWTH","FY 2016","FY 2016","Currency=INR","Period=FY","BEST_FPERIOD_OVERRIDE=FY","FILING_STATUS=OR","EQY_CONSOLIDATED=Y","Sort=A","Dates=H","DateFormat=P","Fill=—","Direction=H","UseDPDF=Y")</f>
        <v>#NAME?</v>
      </c>
      <c r="AB438" s="2" t="e">
        <f ca="1">_xll.BDH($C$428,"NET_FIXED_ASSETS_1_YEAR_GROWTH","FY 2016","FY 2016","Currency=INR","Period=FY","BEST_FPERIOD_OVERRIDE=FY","FILING_STATUS=OR","EQY_CONSOLIDATED=Y","Sort=A","Dates=H","DateFormat=P","Fill=—","Direction=H","UseDPDF=Y")</f>
        <v>#NAME?</v>
      </c>
      <c r="AC438" s="2" t="e">
        <f ca="1">_xll.BDH($C$428,"ASSET_GROWTH","FY 2016","FY 2016","Currency=INR","Period=FY","BEST_FPERIOD_OVERRIDE=FY","FILING_STATUS=OR","EQY_CONSOLIDATED=Y","Sort=A","Dates=H","DateFormat=P","Fill=—","Direction=H","UseDPDF=Y")</f>
        <v>#NAME?</v>
      </c>
      <c r="AD438" s="2" t="e">
        <f ca="1">_xll.BDH($C$428,"MODIFIED_WORK_CAP_GROWTH","FY 2016","FY 2016","Currency=INR","Period=FY","BEST_FPERIOD_OVERRIDE=FY","FILING_STATUS=OR","EQY_CONSOLIDATED=Y","Sort=A","Dates=H","DateFormat=P","Fill=—","Direction=H","UseDPDF=Y")</f>
        <v>#NAME?</v>
      </c>
      <c r="AE438" s="2" t="e">
        <f ca="1">_xll.BDH($C$428,"WORK_CAP_GROWTH","FY 2016","FY 2016","Currency=INR","Period=FY","BEST_FPERIOD_OVERRIDE=FY","FILING_STATUS=OR","EQY_CONSOLIDATED=Y","Sort=A","Dates=H","DateFormat=P","Fill=—","Direction=H","UseDPDF=Y")</f>
        <v>#NAME?</v>
      </c>
      <c r="AF438" s="2" t="e">
        <f ca="1">_xll.BDH($C$428,"ACCOUNTS_PAYABLE_GROWTH_1YR","FY 2016","FY 2016","Currency=INR","Period=FY","BEST_FPERIOD_OVERRIDE=FY","FILING_STATUS=OR","EQY_CONSOLIDATED=Y","Sort=A","Dates=H","DateFormat=P","Fill=—","Direction=H","UseDPDF=Y")</f>
        <v>#NAME?</v>
      </c>
      <c r="AG438" s="2" t="e">
        <f ca="1">_xll.BDH($C$428,"SHORT_TERM_DEBT_1_YEAR_GROWTH","FY 2016","FY 2016","Currency=INR","Period=FY","BEST_FPERIOD_OVERRIDE=FY","FILING_STATUS=OR","EQY_CONSOLIDATED=Y","Sort=A","Dates=H","DateFormat=P","Fill=—","Direction=H","UseDPDF=Y")</f>
        <v>#NAME?</v>
      </c>
      <c r="AH438" s="2" t="e">
        <f ca="1">_xll.BDH($C$428,"TOTAL_DEBT_1_YEAR_GROWTH","FY 2016","FY 2016","Currency=INR","Period=FY","BEST_FPERIOD_OVERRIDE=FY","FILING_STATUS=OR","EQY_CONSOLIDATED=Y","Sort=A","Dates=H","DateFormat=P","Fill=—","Direction=H","UseDPDF=Y")</f>
        <v>#NAME?</v>
      </c>
      <c r="AI438" s="2" t="e">
        <f ca="1">_xll.BDH($C$428,"TOTAL_EQUITY_1_YEAR_GROWTH","FY 2016","FY 2016","Currency=INR","Period=FY","BEST_FPERIOD_OVERRIDE=FY","FILING_STATUS=OR","EQY_CONSOLIDATED=Y","Sort=A","Dates=H","DateFormat=P","Fill=—","Direction=H","UseDPDF=Y")</f>
        <v>#NAME?</v>
      </c>
      <c r="AJ438" s="2" t="e">
        <f ca="1">_xll.BDH($C$428,"GROWTH_IN_CAP","FY 2016","FY 2016","Currency=INR","Period=FY","BEST_FPERIOD_OVERRIDE=FY","FILING_STATUS=OR","EQY_CONSOLIDATED=Y","Sort=A","Dates=H","DateFormat=P","Fill=—","Direction=H","UseDPDF=Y")</f>
        <v>#NAME?</v>
      </c>
      <c r="AK438" s="2" t="e">
        <f ca="1">_xll.BDH($C$428,"BVPS_GROWTH","FY 2016","FY 2016","Currency=INR","Period=FY","BEST_FPERIOD_OVERRIDE=FY","FILING_STATUS=OR","EQY_CONSOLIDATED=Y","Sort=A","Dates=H","DateFormat=P","Fill=—","Direction=H","UseDPDF=Y")</f>
        <v>#NAME?</v>
      </c>
      <c r="AL438" s="2" t="e">
        <f ca="1">_xll.BDH($C$428,"CASH_FLOW_GROWTH","FY 2016","FY 2016","Currency=INR","Period=FY","BEST_FPERIOD_OVERRIDE=FY","FILING_STATUS=OR","EQY_CONSOLIDATED=Y","Sort=A","Dates=H","DateFormat=P","Fill=—","Direction=H","UseDPDF=Y")</f>
        <v>#NAME?</v>
      </c>
      <c r="AM438" s="2" t="e">
        <f ca="1">_xll.BDH($C$428,"GEO_GROW_NET_SALES","FY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38" s="2" t="e">
        <f ca="1">_xll.BDH($C$428,"GEO_GROW_EBITDA","FY 2016","FY 2016","Currency=INR","Period=FY","BEST_FPERIOD_OVERRIDE=FY","FILING_STATUS=OR","EQY_CONSOLIDATED=Y","FA_ADJUSTED=GAAP","Sort=A","Dates=H","DateFormat=P","Fill=—","Direction=H","UseDPDF=Y")</f>
        <v>#NAME?</v>
      </c>
      <c r="AO438" s="2" t="e">
        <f ca="1">_xll.BDH($C$428,"GEO_GROW_OPER_INC","FY 2016","FY 2016","Currency=INR","Period=FY","BEST_FPERIOD_OVERRIDE=FY","FILING_STATUS=OR","EQY_CONSOLIDATED=Y","FA_ADJUSTED=GAAP","Sort=A","Dates=H","DateFormat=P","Fill=—","Direction=H","UseDPDF=Y")</f>
        <v>#NAME?</v>
      </c>
      <c r="AP438" s="2" t="e">
        <f ca="1">_xll.BDH($C$428,"NET_INCOME_TO_COMMON_5_YR_GROWTH","FY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38" s="2" t="e">
        <f ca="1">_xll.BDH($C$428,"5Y_GEO_GROWTH_DILUTED_EPS","FY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38" s="2" t="e">
        <f ca="1">_xll.BDH($C$428,"GEO_GROW_DVD_PER_SH","FY 2016","FY 2016","Currency=INR","Period=FY","BEST_FPERIOD_OVERRIDE=FY","FILING_STATUS=OR","EQY_CONSOLIDATED=Y","Sort=A","Dates=H","DateFormat=P","Fill=—","Direction=H","UseDPDF=Y")</f>
        <v>#NAME?</v>
      </c>
      <c r="AS438" s="2" t="e">
        <f ca="1">_xll.BDH($C$428,"ACCOUNTS_RECEIVABLE_5_YR_GROWTH","FY 2016","FY 2016","Currency=INR","Period=FY","BEST_FPERIOD_OVERRIDE=FY","FILING_STATUS=OR","EQY_CONSOLIDATED=Y","Sort=A","Dates=H","DateFormat=P","Fill=—","Direction=H","UseDPDF=Y")</f>
        <v>#NAME?</v>
      </c>
      <c r="AT438" s="2" t="e">
        <f ca="1">_xll.BDH($C$428,"INVENTORY_5_YEAR_GROWTH","FY 2016","FY 2016","Currency=INR","Period=FY","BEST_FPERIOD_OVERRIDE=FY","FILING_STATUS=OR","EQY_CONSOLIDATED=Y","Sort=A","Dates=H","DateFormat=P","Fill=—","Direction=H","UseDPDF=Y")</f>
        <v>#NAME?</v>
      </c>
      <c r="AU438" s="2" t="e">
        <f ca="1">_xll.BDH($C$428,"NET_FIXED_ASSETS_5_YEAR_GROWTH","FY 2016","FY 2016","Currency=INR","Period=FY","BEST_FPERIOD_OVERRIDE=FY","FILING_STATUS=OR","EQY_CONSOLIDATED=Y","Sort=A","Dates=H","DateFormat=P","Fill=—","Direction=H","UseDPDF=Y")</f>
        <v>#NAME?</v>
      </c>
      <c r="AV438" s="2" t="e">
        <f ca="1">_xll.BDH($C$428,"GEO_GROW_TOT_ASSET","FY 2016","FY 2016","Currency=INR","Period=FY","BEST_FPERIOD_OVERRIDE=FY","FILING_STATUS=OR","EQY_CONSOLIDATED=Y","Sort=A","Dates=H","DateFormat=P","Fill=—","Direction=H","UseDPDF=Y")</f>
        <v>#NAME?</v>
      </c>
      <c r="AW438" s="2" t="e">
        <f ca="1">_xll.BDH($C$428,"MODIFIED_WORKING_CPTL_5YR_GRWTH","FY 2016","FY 2016","Currency=INR","Period=FY","BEST_FPERIOD_OVERRIDE=FY","FILING_STATUS=OR","EQY_CONSOLIDATED=Y","Sort=A","Dates=H","DateFormat=P","Fill=—","Direction=H","UseDPDF=Y")</f>
        <v>#NAME?</v>
      </c>
      <c r="AX438" s="2" t="e">
        <f ca="1">_xll.BDH($C$428,"WORKING_CAPITAL_5_YEAR_GROWTH","FY 2016","FY 2016","Currency=INR","Period=FY","BEST_FPERIOD_OVERRIDE=FY","FILING_STATUS=OR","EQY_CONSOLIDATED=Y","Sort=A","Dates=H","DateFormat=P","Fill=—","Direction=H","UseDPDF=Y")</f>
        <v>#NAME?</v>
      </c>
      <c r="AY438" s="2" t="e">
        <f ca="1">_xll.BDH($C$428,"ACCOUNTS_PAYABLE_5_YEAR_GROWTH","FY 2016","FY 2016","Currency=INR","Period=FY","BEST_FPERIOD_OVERRIDE=FY","FILING_STATUS=OR","EQY_CONSOLIDATED=Y","Sort=A","Dates=H","DateFormat=P","Fill=—","Direction=H","UseDPDF=Y")</f>
        <v>#NAME?</v>
      </c>
      <c r="AZ438" s="2" t="e">
        <f ca="1">_xll.BDH($C$428,"SHORT_TERM_DEBT_5_YEAR_GROWTH","FY 2016","FY 2016","Currency=INR","Period=FY","BEST_FPERIOD_OVERRIDE=FY","FILING_STATUS=OR","EQY_CONSOLIDATED=Y","Sort=A","Dates=H","DateFormat=P","Fill=—","Direction=H","UseDPDF=Y")</f>
        <v>#NAME?</v>
      </c>
      <c r="BA438" s="2" t="e">
        <f ca="1">_xll.BDH($C$428,"TOTAL_DEBT_5_YEAR_GROWTH","FY 2016","FY 2016","Currency=INR","Period=FY","BEST_FPERIOD_OVERRIDE=FY","FILING_STATUS=OR","EQY_CONSOLIDATED=Y","Sort=A","Dates=H","DateFormat=P","Fill=—","Direction=H","UseDPDF=Y")</f>
        <v>#NAME?</v>
      </c>
      <c r="BB438" s="2" t="e">
        <f ca="1">_xll.BDH($C$428,"GEO_GROW_TOT_SHRHLDR_EQY","FY 2016","FY 2016","Currency=INR","Period=FY","BEST_FPERIOD_OVERRIDE=FY","FILING_STATUS=OR","EQY_CONSOLIDATED=Y","Sort=A","Dates=H","DateFormat=P","Fill=—","Direction=H","UseDPDF=Y")</f>
        <v>#NAME?</v>
      </c>
      <c r="BC438" s="2" t="e">
        <f ca="1">_xll.BDH($C$428,"TOTAL_CAPITAL_5_YEAR_GROWTH","FY 2016","FY 2016","Currency=INR","Period=FY","BEST_FPERIOD_OVERRIDE=FY","FILING_STATUS=OR","EQY_CONSOLIDATED=Y","Sort=A","Dates=H","DateFormat=P","Fill=—","Direction=H","UseDPDF=Y")</f>
        <v>#NAME?</v>
      </c>
      <c r="BD438" s="2" t="e">
        <f ca="1">_xll.BDH($C$428,"GEO_GROW_BOOK_VAL","FY 2016","FY 2016","Currency=INR","Period=FY","BEST_FPERIOD_OVERRIDE=FY","FILING_STATUS=OR","EQY_CONSOLIDATED=Y","Sort=A","Dates=H","DateFormat=P","Fill=—","Direction=H","UseDPDF=Y")</f>
        <v>#NAME?</v>
      </c>
      <c r="BE438" s="2" t="e">
        <f ca="1">_xll.BDH($C$428,"GEO_GROW_CASH_OPER_ACT","FY 2016","FY 2016","Currency=INR","Period=FY","BEST_FPERIOD_OVERRIDE=FY","FILING_STATUS=OR","EQY_CONSOLIDATED=Y","Sort=A","Dates=H","DateFormat=P","Fill=—","Direction=H","UseDPDF=Y")</f>
        <v>#NAME?</v>
      </c>
      <c r="BF438" s="2" t="e">
        <f ca="1">_xll.BDH($C$428,"REVENUE_SEQUENTIAL_GROWTH","FY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38" s="2" t="e">
        <f ca="1">_xll.BDH($C$428,"EBITDA_SEQUENTIAL_GROWTH","FY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38" s="2" t="e">
        <f ca="1">_xll.BDH($C$428,"OPERATING_INCOME_SEQ_GROWTH","FY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38" s="2" t="e">
        <f ca="1">_xll.BDH($C$428,"NET_INCOME_TO_COMMON_SEQ_GROWTH","FY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38" s="2" t="e">
        <f ca="1">_xll.BDH($C$428,"EPS_DILUTED_SEQUENTIAL_GROWTH","FY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38" s="2" t="e">
        <f ca="1">_xll.BDH($C$428,"DPS_SEQUENTIAL_GROWTH","FY 2016","FY 2016","Currency=INR","Period=FY","BEST_FPERIOD_OVERRIDE=FY","FILING_STATUS=OR","EQY_CONSOLIDATED=Y","Sort=A","Dates=H","DateFormat=P","Fill=—","Direction=H","UseDPDF=Y")</f>
        <v>#NAME?</v>
      </c>
      <c r="BL438" s="2" t="e">
        <f ca="1">_xll.BDH($C$428,"ACCOUNTS_RECEIVABLE_SEQ_GROWTH","FY 2016","FY 2016","Currency=INR","Period=FY","BEST_FPERIOD_OVERRIDE=FY","FILING_STATUS=OR","EQY_CONSOLIDATED=Y","Sort=A","Dates=H","DateFormat=P","Fill=—","Direction=H","UseDPDF=Y")</f>
        <v>#NAME?</v>
      </c>
      <c r="BM438" s="2" t="e">
        <f ca="1">_xll.BDH($C$428,"INVENTORY_SEQUENTIAL_GROWTH","FY 2016","FY 2016","Currency=INR","Period=FY","BEST_FPERIOD_OVERRIDE=FY","FILING_STATUS=OR","EQY_CONSOLIDATED=Y","Sort=A","Dates=H","DateFormat=P","Fill=—","Direction=H","UseDPDF=Y")</f>
        <v>#NAME?</v>
      </c>
      <c r="BN438" s="2" t="e">
        <f ca="1">_xll.BDH($C$428,"FIXED_ASSETS_SEQUENTIAL_GROWTH","FY 2016","FY 2016","Currency=INR","Period=FY","BEST_FPERIOD_OVERRIDE=FY","FILING_STATUS=OR","EQY_CONSOLIDATED=Y","Sort=A","Dates=H","DateFormat=P","Fill=—","Direction=H","UseDPDF=Y")</f>
        <v>#NAME?</v>
      </c>
      <c r="BO438" s="2" t="e">
        <f ca="1">_xll.BDH($C$428,"TOTAL_ASSETS_SEQUENTIAL_GROWTH","FY 2016","FY 2016","Currency=INR","Period=FY","BEST_FPERIOD_OVERRIDE=FY","FILING_STATUS=OR","EQY_CONSOLIDATED=Y","Sort=A","Dates=H","DateFormat=P","Fill=—","Direction=H","UseDPDF=Y")</f>
        <v>#NAME?</v>
      </c>
      <c r="BP438" s="2" t="e">
        <f ca="1">_xll.BDH($C$428,"MODIFIED_WORKING_CPTL_SEQ_GRWTH","FY 2016","FY 2016","Currency=INR","Period=FY","BEST_FPERIOD_OVERRIDE=FY","FILING_STATUS=OR","EQY_CONSOLIDATED=Y","Sort=A","Dates=H","DateFormat=P","Fill=—","Direction=H","UseDPDF=Y")</f>
        <v>#NAME?</v>
      </c>
      <c r="BQ438" s="2" t="e">
        <f ca="1">_xll.BDH($C$428,"WORKING_CAPITAL_SEQ_GROWTH","FY 2016","FY 2016","Currency=INR","Period=FY","BEST_FPERIOD_OVERRIDE=FY","FILING_STATUS=OR","EQY_CONSOLIDATED=Y","Sort=A","Dates=H","DateFormat=P","Fill=—","Direction=H","UseDPDF=Y")</f>
        <v>#NAME?</v>
      </c>
      <c r="BR438" s="2" t="e">
        <f ca="1">_xll.BDH($C$428,"ACCOUNTS_PAYABLE_SEQ_GROWTH","FY 2016","FY 2016","Currency=INR","Period=FY","BEST_FPERIOD_OVERRIDE=FY","FILING_STATUS=OR","EQY_CONSOLIDATED=Y","Sort=A","Dates=H","DateFormat=P","Fill=—","Direction=H","UseDPDF=Y")</f>
        <v>#NAME?</v>
      </c>
      <c r="BS438" s="2" t="e">
        <f ca="1">_xll.BDH($C$428,"ST_DEBT_SEQUENTIAL_GROWTH","FY 2016","FY 2016","Currency=INR","Period=FY","BEST_FPERIOD_OVERRIDE=FY","FILING_STATUS=OR","EQY_CONSOLIDATED=Y","Sort=A","Dates=H","DateFormat=P","Fill=—","Direction=H","UseDPDF=Y")</f>
        <v>#NAME?</v>
      </c>
      <c r="BT438" s="2" t="e">
        <f ca="1">_xll.BDH($C$428,"TOTAL_DEBT_SEQUENTIAL_GROWTH","FY 2016","FY 2016","Currency=INR","Period=FY","BEST_FPERIOD_OVERRIDE=FY","FILING_STATUS=OR","EQY_CONSOLIDATED=Y","Sort=A","Dates=H","DateFormat=P","Fill=—","Direction=H","UseDPDF=Y")</f>
        <v>#NAME?</v>
      </c>
      <c r="BU438" s="2" t="e">
        <f ca="1">_xll.BDH($C$428,"TOTAL_EQUITY_SEQUENTIAL_GROWTH","FY 2016","FY 2016","Currency=INR","Period=FY","BEST_FPERIOD_OVERRIDE=FY","FILING_STATUS=OR","EQY_CONSOLIDATED=Y","Sort=A","Dates=H","DateFormat=P","Fill=—","Direction=H","UseDPDF=Y")</f>
        <v>#NAME?</v>
      </c>
      <c r="BV438" s="2" t="e">
        <f ca="1">_xll.BDH($C$428,"TOTAL_CAPITAL_SEQUENTIAL_GROWTH","FY 2016","FY 2016","Currency=INR","Period=FY","BEST_FPERIOD_OVERRIDE=FY","FILING_STATUS=OR","EQY_CONSOLIDATED=Y","Sort=A","Dates=H","DateFormat=P","Fill=—","Direction=H","UseDPDF=Y")</f>
        <v>#NAME?</v>
      </c>
      <c r="BW438" s="2" t="e">
        <f ca="1">_xll.BDH($C$428,"BPS_SEQUENTIAL_GROWTH","FY 2016","FY 2016","Currency=INR","Period=FY","BEST_FPERIOD_OVERRIDE=FY","FILING_STATUS=OR","EQY_CONSOLIDATED=Y","Sort=A","Dates=H","DateFormat=P","Fill=—","Direction=H","UseDPDF=Y")</f>
        <v>#NAME?</v>
      </c>
      <c r="BX438" s="2" t="e">
        <f ca="1">_xll.BDH($C$428,"CFO_SEQUENTIAL_GROWTH","FY 2016","FY 2016","Currency=INR","Period=FY","BEST_FPERIOD_OVERRIDE=FY","FILING_STATUS=OR","EQY_CONSOLIDATED=Y","Sort=A","Dates=H","DateFormat=P","Fill=—","Direction=H","UseDPDF=Y")</f>
        <v>#NAME?</v>
      </c>
      <c r="BY438" s="3" t="e">
        <f ca="1">_xll.BDH($C$428,"SHORT_AND_LONG_TERM_DEBT","FY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38" s="3" t="e">
        <f ca="1">_xll.BDH($C$428,"BS_ST_BORROW","FY 2016","FY 2016","Currency=INR","Period=FY","BEST_FPERIOD_OVERRIDE=FY","FILING_STATUS=OR","EQY_CONSOLIDATED=Y","SCALING_FORMAT=MLN","Sort=A","Dates=H","DateFormat=P","Fill=—","Direction=H","UseDPDF=Y")</f>
        <v>#NAME?</v>
      </c>
      <c r="CA438" s="3" t="e">
        <f ca="1">_xll.BDH($C$428,"BS_LT_BORROW","FY 2016","FY 2016","Currency=INR","Period=FY","BEST_FPERIOD_OVERRIDE=FY","FILING_STATUS=OR","EQY_CONSOLIDATED=Y","SCALING_FORMAT=MLN","Sort=A","Dates=H","DateFormat=P","Fill=—","Direction=H","UseDPDF=Y")</f>
        <v>#NAME?</v>
      </c>
      <c r="CB438" s="2" t="e">
        <f ca="1">_xll.BDH($C$428,"TOT_DEBT_TO_EBITDA","FY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38" s="2" t="e">
        <f ca="1">_xll.BDH($C$428,"NET_DEBT_TO_EBITDA","FY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38" s="2" t="e">
        <f ca="1">_xll.BDH($C$428,"TOTAL_DEBT_TO_EBIT","FY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38" s="2" t="e">
        <f ca="1">_xll.BDH($C$428,"NET_DEBT_TO_EBIT","FY 2016","FY 2016","Currency=INR","Period=FY","BEST_FPERIOD_OVERRIDE=FY","FILING_STATUS=OR","EQY_CONSOLIDATED=Y","FA_ADJUSTED=GAAP","Sort=A","Dates=H","DateFormat=P","Fill=—","Direction=H","UseDPDF=Y")</f>
        <v>#NAME?</v>
      </c>
      <c r="CF438" s="2" t="e">
        <f ca="1">_xll.BDH($C$428,"EBITDA_TO_INTEREST_EXPN","FY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38" s="2" t="e">
        <f ca="1">_xll.BDH($C$428,"COM_EQY_TO_TOT_ASSET","FY 2016","FY 2016","Currency=INR","Period=FY","BEST_FPERIOD_OVERRIDE=FY","FILING_STATUS=OR","EQY_CONSOLIDATED=Y","Sort=A","Dates=H","DateFormat=P","Fill=—","Direction=H","UseDPDF=Y")</f>
        <v>#NAME?</v>
      </c>
      <c r="CH438" s="2" t="e">
        <f ca="1">_xll.BDH($C$428,"LT_DEBT_TO_TOT_EQY","FY 2016","FY 2016","Currency=INR","Period=FY","BEST_FPERIOD_OVERRIDE=FY","FILING_STATUS=OR","EQY_CONSOLIDATED=Y","Sort=A","Dates=H","DateFormat=P","Fill=—","Direction=H","UseDPDF=Y")</f>
        <v>#NAME?</v>
      </c>
      <c r="CI438" s="2" t="e">
        <f ca="1">_xll.BDH($C$428,"LT_DEBT_TO_TOT_CAP","FY 2016","FY 2016","Currency=INR","Period=FY","BEST_FPERIOD_OVERRIDE=FY","FILING_STATUS=OR","EQY_CONSOLIDATED=Y","Sort=A","Dates=H","DateFormat=P","Fill=—","Direction=H","UseDPDF=Y")</f>
        <v>#NAME?</v>
      </c>
      <c r="CJ438" s="2" t="e">
        <f ca="1">_xll.BDH($C$428,"LT_DEBT_TO_TOT_ASSET","FY 2016","FY 2016","Currency=INR","Period=FY","BEST_FPERIOD_OVERRIDE=FY","FILING_STATUS=OR","EQY_CONSOLIDATED=Y","Sort=A","Dates=H","DateFormat=P","Fill=—","Direction=H","UseDPDF=Y")</f>
        <v>#NAME?</v>
      </c>
      <c r="CK438" s="2" t="e">
        <f ca="1">_xll.BDH($C$428,"TOT_DEBT_TO_TOT_EQY","FY 2016","FY 2016","Currency=INR","Period=FY","BEST_FPERIOD_OVERRIDE=FY","FILING_STATUS=OR","EQY_CONSOLIDATED=Y","Sort=A","Dates=H","DateFormat=P","Fill=—","Direction=H","UseDPDF=Y")</f>
        <v>#NAME?</v>
      </c>
      <c r="CL438" s="2" t="e">
        <f ca="1">_xll.BDH($C$428,"TOT_DEBT_TO_TOT_CAP","FY 2016","FY 2016","Currency=INR","Period=FY","BEST_FPERIOD_OVERRIDE=FY","FILING_STATUS=OR","EQY_CONSOLIDATED=Y","Sort=A","Dates=H","DateFormat=P","Fill=—","Direction=H","UseDPDF=Y")</f>
        <v>#NAME?</v>
      </c>
      <c r="CM438" s="2" t="e">
        <f ca="1">_xll.BDH($C$428,"TOT_DEBT_TO_TOT_ASSET","FY 2016","FY 2016","Currency=INR","Period=FY","BEST_FPERIOD_OVERRIDE=FY","FILING_STATUS=OR","EQY_CONSOLIDATED=Y","Sort=A","Dates=H","DateFormat=P","Fill=—","Direction=H","UseDPDF=Y")</f>
        <v>#NAME?</v>
      </c>
      <c r="CN438" s="2" t="e">
        <f ca="1">_xll.BDH($C$428,"NET_DEBT_TO_SHRHLDR_EQTY","FY 2016","FY 2016","Currency=INR","Period=FY","BEST_FPERIOD_OVERRIDE=FY","FILING_STATUS=OR","EQY_CONSOLIDATED=Y","Sort=A","Dates=H","DateFormat=P","Fill=—","Direction=H","UseDPDF=Y")</f>
        <v>#NAME?</v>
      </c>
      <c r="CO438" s="2" t="e">
        <f ca="1">_xll.BDH($C$428,"NET_DEBT_%_CAPITAL","FY 2016","FY 2016","Currency=INR","Period=FY","BEST_FPERIOD_OVERRIDE=FY","FILING_STATUS=OR","EQY_CONSOLIDATED=Y","Sort=A","Dates=H","DateFormat=P","Fill=—","Direction=H","UseDPDF=Y")</f>
        <v>#NAME?</v>
      </c>
      <c r="CP438" s="3" t="e">
        <f ca="1">_xll.BDH($C$428,"EBITDA","FY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38" s="3" t="e">
        <f ca="1">_xll.BDH($C$428,"EBITDA_AFTER_CAPEX","FY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38" s="3" t="e">
        <f ca="1">_xll.BDH($C$428,"IS_OPER_INC","FY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38" s="2" t="e">
        <f ca="1">_xll.BDH($C$428,"CASH_RATIO","FY 2016","FY 2016","Currency=INR","Period=FY","BEST_FPERIOD_OVERRIDE=FY","FILING_STATUS=OR","EQY_CONSOLIDATED=Y","Sort=A","Dates=H","DateFormat=P","Fill=—","Direction=H","UseDPDF=Y")</f>
        <v>#NAME?</v>
      </c>
      <c r="CT438" s="2" t="e">
        <f ca="1">_xll.BDH($C$428,"CUR_RATIO","FY 2016","FY 2016","Currency=INR","Period=FY","BEST_FPERIOD_OVERRIDE=FY","FILING_STATUS=OR","EQY_CONSOLIDATED=Y","Sort=A","Dates=H","DateFormat=P","Fill=—","Direction=H","UseDPDF=Y")</f>
        <v>#NAME?</v>
      </c>
      <c r="CU438" s="2" t="e">
        <f ca="1">_xll.BDH($C$428,"QUICK_RATIO","FY 2016","FY 2016","Currency=INR","Period=FY","BEST_FPERIOD_OVERRIDE=FY","FILING_STATUS=OR","EQY_CONSOLIDATED=Y","Sort=A","Dates=H","DateFormat=P","Fill=—","Direction=H","UseDPDF=Y")</f>
        <v>#NAME?</v>
      </c>
      <c r="CV438" s="2" t="e">
        <f ca="1">_xll.BDH($C$428,"ALTMAN_Z_SCORE","FY 2016","FY 2016","Currency=INR","Period=FY","BEST_FPERIOD_OVERRIDE=FY","FILING_STATUS=OR","EQY_CONSOLIDATED=Y","Sort=A","Dates=H","DateFormat=P","Fill=—","Direction=H","UseDPDF=Y")</f>
        <v>#NAME?</v>
      </c>
      <c r="CW438" s="4" t="e">
        <f ca="1">_xll.BDH($C$428,"ACCT_RCV_TURN","FY 2016","FY 2016","Currency=INR","Period=FY","BEST_FPERIOD_OVERRIDE=FY","FILING_STATUS=OR","EQY_CONSOLIDATED=Y","FA_ADJUSTED=GAAP","Sort=A","Dates=H","DateFormat=P","Fill=—","Direction=H","UseDPDF=Y")</f>
        <v>#NAME?</v>
      </c>
      <c r="CX438" s="2" t="e">
        <f ca="1">_xll.BDH($C$428,"ACCT_RCV_DAYS","FY 2016","FY 2016","Currency=INR","Period=FY","BEST_FPERIOD_OVERRIDE=FY","FILING_STATUS=OR","EQY_CONSOLIDATED=Y","FA_ADJUSTED=GAAP","Sort=A","Dates=H","DateFormat=P","Fill=—","Direction=H","UseDPDF=Y")</f>
        <v>#NAME?</v>
      </c>
      <c r="CY438" s="4" t="e">
        <f ca="1">_xll.BDH($C$428,"INVENT_TURN","FY 2016","FY 2016","Currency=INR","Period=FY","BEST_FPERIOD_OVERRIDE=FY","FILING_STATUS=OR","EQY_CONSOLIDATED=Y","FA_ADJUSTED=GAAP","Sort=A","Dates=H","DateFormat=P","Fill=—","Direction=H","UseDPDF=Y")</f>
        <v>#NAME?</v>
      </c>
      <c r="CZ438" s="2" t="e">
        <f ca="1">_xll.BDH($C$428,"INVENT_DAYS","FY 2016","FY 2016","Currency=INR","Period=FY","BEST_FPERIOD_OVERRIDE=FY","FILING_STATUS=OR","EQY_CONSOLIDATED=Y","FA_ADJUSTED=GAAP","Sort=A","Dates=H","DateFormat=P","Fill=—","Direction=H","UseDPDF=Y")</f>
        <v>#NAME?</v>
      </c>
      <c r="DA438" s="4" t="e">
        <f ca="1">_xll.BDH($C$428,"ACCOUNTS_PAYABLE_TURNOVER","FY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38" s="2" t="e">
        <f ca="1">_xll.BDH($C$428,"ACCOUNTS_PAYABLE_TURNOVER_DAYS","FY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38" s="4" t="e">
        <f ca="1">_xll.BDH($C$428,"CASH_CONVERSION_CYCLE","FY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38" s="4" t="e">
        <f ca="1">_xll.BDH($C$428,"INV_TO_CASH_DAYS","FY 2016","FY 2016","Currency=INR","Period=FY","BEST_FPERIOD_OVERRIDE=FY","FILING_STATUS=OR","EQY_CONSOLIDATED=Y","FA_ADJUSTED=GAAP","Sort=A","Dates=H","DateFormat=P","Fill=—","Direction=H","UseDPDF=Y")</f>
        <v>#NAME?</v>
      </c>
      <c r="DE438" s="5" t="e">
        <f ca="1">_xll.BDH($C$428,"BS_INVENTORIES","FY 2016","FY 2016","Currency=INR","Period=FY","BEST_FPERIOD_OVERRIDE=FY","FILING_STATUS=OR","EQY_CONSOLIDATED=Y","SCALING_FORMAT=MLN","Sort=A","Dates=H","DateFormat=P","Fill=—","Direction=H","UseDPDF=Y")</f>
        <v>#NAME?</v>
      </c>
      <c r="DF438" s="3" t="e">
        <f ca="1">_xll.BDH($C$428,"INVTRY_RAW_MATERIALS","FY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38" s="3" t="e">
        <f ca="1">_xll.BDH($C$428,"INVTRY_IN_PROGRESS","FY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38" s="3" t="e">
        <f ca="1">_xll.BDH($C$428,"INVTRY_FINISHED_GOODS","FY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38" s="3" t="e">
        <f ca="1">_xll.BDH($C$428,"BS_OTHER_INV","FY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39" spans="1:113" x14ac:dyDescent="0.3">
      <c r="A439" s="6"/>
      <c r="B439" s="6"/>
      <c r="C439" s="6"/>
      <c r="D439" s="6"/>
      <c r="E439" t="s">
        <v>78</v>
      </c>
      <c r="F439" t="e">
        <f ca="1">_xll.BDH($C$428,"RETURN_COM_EQY","FQ1 2016","FQ1 2016","Currency=INR","Period=FQ","BEST_FPERIOD_OVERRIDE=FQ","FILING_STATUS=OR","EQY_CONSOLIDATED=Y","FA_ADJUSTED=GAAP","Sort=A","Dates=H","DateFormat=P","Fill=—","Direction=H","UseDPDF=Y")</f>
        <v>#NAME?</v>
      </c>
      <c r="G439" t="e">
        <f ca="1">_xll.BDH($C$428,"RETURN_ON_ASSET","FQ1 2016","FQ1 2016","Currency=INR","Period=FQ","BEST_FPERIOD_OVERRIDE=FQ","FILING_STATUS=OR","EQY_CONSOLIDATED=Y","FA_ADJUSTED=GAAP","Sort=A","Dates=H","DateFormat=P","Fill=—","Direction=H","UseDPDF=Y")</f>
        <v>#NAME?</v>
      </c>
      <c r="H439" t="e">
        <f ca="1">_xll.BDH($C$428,"RETURN_ON_CAP","FQ1 2016","FQ1 2016","Currency=INR","Period=FQ","BEST_FPERIOD_OVERRIDE=FQ","FILING_STATUS=OR","EQY_CONSOLIDATED=Y","FA_ADJUSTED=GAAP","Sort=A","Dates=H","DateFormat=P","Fill=—","Direction=H","UseDPDF=Y")</f>
        <v>#NAME?</v>
      </c>
      <c r="I439" t="e">
        <f ca="1">_xll.BDH($C$428,"RETURN_ON_INV_CAPITAL","FQ1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39" t="e">
        <f ca="1">_xll.BDH($C$428,"EBITDA_TO_REVENUE","FQ1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39" t="e">
        <f ca="1">_xll.BDH($C$428,"OPER_MARGIN","FQ1 2016","FQ1 2016","Currency=INR","Period=FQ","BEST_FPERIOD_OVERRIDE=FQ","FILING_STATUS=OR","EQY_CONSOLIDATED=Y","FA_ADJUSTED=GAAP","Sort=A","Dates=H","DateFormat=P","Fill=—","Direction=H","UseDPDF=Y")</f>
        <v>#NAME?</v>
      </c>
      <c r="L439" t="e">
        <f ca="1">_xll.BDH($C$428,"INCREMENTAL_OPERATING_MARGIN","FQ1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39" t="e">
        <f ca="1">_xll.BDH($C$428,"PRETAX_INC_TO_NET_SALES","FQ1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39" t="e">
        <f ca="1">_xll.BDH($C$428,"INC_BEF_XO_ITEMS_TO_NET_SALES","FQ1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39" t="e">
        <f ca="1">_xll.BDH($C$428,"PROF_MARGIN","FQ1 2016","FQ1 2016","Currency=INR","Period=FQ","BEST_FPERIOD_OVERRIDE=FQ","FILING_STATUS=OR","EQY_CONSOLIDATED=Y","FA_ADJUSTED=GAAP","Sort=A","Dates=H","DateFormat=P","Fill=—","Direction=H","UseDPDF=Y")</f>
        <v>#NAME?</v>
      </c>
      <c r="P439" t="e">
        <f ca="1">_xll.BDH($C$428,"NET_INCOME_TO_COMMON_MARGIN","FQ1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39" t="e">
        <f ca="1">_xll.BDH($C$428,"EFF_TAX_RATE","FQ1 2016","FQ1 2016","Currency=INR","Period=FQ","BEST_FPERIOD_OVERRIDE=FQ","FILING_STATUS=OR","EQY_CONSOLIDATED=Y","FA_ADJUSTED=GAAP","Sort=A","Dates=H","DateFormat=P","Fill=—","Direction=H","UseDPDF=Y")</f>
        <v>#NAME?</v>
      </c>
      <c r="R439" t="e">
        <f ca="1">_xll.BDH($C$428,"DVD_PAYOUT_RATIO","FQ1 2016","FQ1 2016","Currency=INR","Period=FQ","BEST_FPERIOD_OVERRIDE=FQ","FILING_STATUS=OR","EQY_CONSOLIDATED=Y","FA_ADJUSTED=GAAP","Sort=A","Dates=H","DateFormat=P","Fill=—","Direction=H","UseDPDF=Y")</f>
        <v>#NAME?</v>
      </c>
      <c r="S439" t="e">
        <f ca="1">_xll.BDH($C$428,"SUSTAIN_GROWTH_RT","FQ1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39" s="2" t="e">
        <f ca="1">_xll.BDH($C$428,"SALES_GROWTH","FQ1 2016","FQ1 2016","Currency=INR","Period=FQ","BEST_FPERIOD_OVERRIDE=FQ","FILING_STATUS=OR","EQY_CONSOLIDATED=Y","FA_ADJUSTED=GAAP","Sort=A","Dates=H","DateFormat=P","Fill=—","Direction=H","UseDPDF=Y")</f>
        <v>#NAME?</v>
      </c>
      <c r="U439" s="2" t="e">
        <f ca="1">_xll.BDH($C$428,"EBITDA_GROWTH","FQ1 2016","FQ1 2016","Currency=INR","Period=FQ","BEST_FPERIOD_OVERRIDE=FQ","FILING_STATUS=OR","EQY_CONSOLIDATED=Y","FA_ADJUSTED=GAAP","Sort=A","Dates=H","DateFormat=P","Fill=—","Direction=H","UseDPDF=Y")</f>
        <v>#NAME?</v>
      </c>
      <c r="V439" s="2" t="e">
        <f ca="1">_xll.BDH($C$428,"OPER_INC_GROWTH","FQ1 2016","FQ1 2016","Currency=INR","Period=FQ","BEST_FPERIOD_OVERRIDE=FQ","FILING_STATUS=OR","EQY_CONSOLIDATED=Y","FA_ADJUSTED=GAAP","Sort=A","Dates=H","DateFormat=P","Fill=—","Direction=H","UseDPDF=Y")</f>
        <v>#NAME?</v>
      </c>
      <c r="W439" s="2" t="e">
        <f ca="1">_xll.BDH($C$428,"EARN_FOR_COM_GROWTH","FQ1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39" s="2" t="e">
        <f ca="1">_xll.BDH($C$428,"DILUTED_EPS_AFT_XO_ITEMS_GROWTH","FQ1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39" s="2" t="e">
        <f ca="1">_xll.BDH($C$428,"DIVIDEND_PER_SHARE_1_YEAR_GROWTH","FQ1 2016","FQ1 2016","Currency=INR","Period=FQ","BEST_FPERIOD_OVERRIDE=FQ","FILING_STATUS=OR","EQY_CONSOLIDATED=Y","Sort=A","Dates=H","DateFormat=P","Fill=—","Direction=H","UseDPDF=Y")</f>
        <v>#NAME?</v>
      </c>
      <c r="Z439" s="2" t="e">
        <f ca="1">_xll.BDH($C$428,"ACCOUNTS_RECEIVABLE_GROWTH","FQ1 2016","FQ1 2016","Currency=INR","Period=FQ","BEST_FPERIOD_OVERRIDE=FQ","FILING_STATUS=OR","EQY_CONSOLIDATED=Y","Sort=A","Dates=H","DateFormat=P","Fill=—","Direction=H","UseDPDF=Y")</f>
        <v>#NAME?</v>
      </c>
      <c r="AA439" s="2" t="e">
        <f ca="1">_xll.BDH($C$428,"INVENTORY_GROWTH","FQ1 2016","FQ1 2016","Currency=INR","Period=FQ","BEST_FPERIOD_OVERRIDE=FQ","FILING_STATUS=OR","EQY_CONSOLIDATED=Y","Sort=A","Dates=H","DateFormat=P","Fill=—","Direction=H","UseDPDF=Y")</f>
        <v>#NAME?</v>
      </c>
      <c r="AB439" s="2" t="e">
        <f ca="1">_xll.BDH($C$428,"NET_FIXED_ASSETS_1_YEAR_GROWTH","FQ1 2016","FQ1 2016","Currency=INR","Period=FQ","BEST_FPERIOD_OVERRIDE=FQ","FILING_STATUS=OR","EQY_CONSOLIDATED=Y","Sort=A","Dates=H","DateFormat=P","Fill=—","Direction=H","UseDPDF=Y")</f>
        <v>#NAME?</v>
      </c>
      <c r="AC439" s="2" t="e">
        <f ca="1">_xll.BDH($C$428,"ASSET_GROWTH","FQ1 2016","FQ1 2016","Currency=INR","Period=FQ","BEST_FPERIOD_OVERRIDE=FQ","FILING_STATUS=OR","EQY_CONSOLIDATED=Y","Sort=A","Dates=H","DateFormat=P","Fill=—","Direction=H","UseDPDF=Y")</f>
        <v>#NAME?</v>
      </c>
      <c r="AD439" s="2" t="e">
        <f ca="1">_xll.BDH($C$428,"MODIFIED_WORK_CAP_GROWTH","FQ1 2016","FQ1 2016","Currency=INR","Period=FQ","BEST_FPERIOD_OVERRIDE=FQ","FILING_STATUS=OR","EQY_CONSOLIDATED=Y","Sort=A","Dates=H","DateFormat=P","Fill=—","Direction=H","UseDPDF=Y")</f>
        <v>#NAME?</v>
      </c>
      <c r="AE439" s="2" t="e">
        <f ca="1">_xll.BDH($C$428,"WORK_CAP_GROWTH","FQ1 2016","FQ1 2016","Currency=INR","Period=FQ","BEST_FPERIOD_OVERRIDE=FQ","FILING_STATUS=OR","EQY_CONSOLIDATED=Y","Sort=A","Dates=H","DateFormat=P","Fill=—","Direction=H","UseDPDF=Y")</f>
        <v>#NAME?</v>
      </c>
      <c r="AF439" s="2" t="e">
        <f ca="1">_xll.BDH($C$428,"ACCOUNTS_PAYABLE_GROWTH_1YR","FQ1 2016","FQ1 2016","Currency=INR","Period=FQ","BEST_FPERIOD_OVERRIDE=FQ","FILING_STATUS=OR","EQY_CONSOLIDATED=Y","Sort=A","Dates=H","DateFormat=P","Fill=—","Direction=H","UseDPDF=Y")</f>
        <v>#NAME?</v>
      </c>
      <c r="AG439" s="2" t="e">
        <f ca="1">_xll.BDH($C$428,"SHORT_TERM_DEBT_1_YEAR_GROWTH","FQ1 2016","FQ1 2016","Currency=INR","Period=FQ","BEST_FPERIOD_OVERRIDE=FQ","FILING_STATUS=OR","EQY_CONSOLIDATED=Y","Sort=A","Dates=H","DateFormat=P","Fill=—","Direction=H","UseDPDF=Y")</f>
        <v>#NAME?</v>
      </c>
      <c r="AH439" s="2" t="e">
        <f ca="1">_xll.BDH($C$428,"TOTAL_DEBT_1_YEAR_GROWTH","FQ1 2016","FQ1 2016","Currency=INR","Period=FQ","BEST_FPERIOD_OVERRIDE=FQ","FILING_STATUS=OR","EQY_CONSOLIDATED=Y","Sort=A","Dates=H","DateFormat=P","Fill=—","Direction=H","UseDPDF=Y")</f>
        <v>#NAME?</v>
      </c>
      <c r="AI439" s="2" t="e">
        <f ca="1">_xll.BDH($C$428,"TOTAL_EQUITY_1_YEAR_GROWTH","FQ1 2016","FQ1 2016","Currency=INR","Period=FQ","BEST_FPERIOD_OVERRIDE=FQ","FILING_STATUS=OR","EQY_CONSOLIDATED=Y","Sort=A","Dates=H","DateFormat=P","Fill=—","Direction=H","UseDPDF=Y")</f>
        <v>#NAME?</v>
      </c>
      <c r="AJ439" s="2" t="e">
        <f ca="1">_xll.BDH($C$428,"GROWTH_IN_CAP","FQ1 2016","FQ1 2016","Currency=INR","Period=FQ","BEST_FPERIOD_OVERRIDE=FQ","FILING_STATUS=OR","EQY_CONSOLIDATED=Y","Sort=A","Dates=H","DateFormat=P","Fill=—","Direction=H","UseDPDF=Y")</f>
        <v>#NAME?</v>
      </c>
      <c r="AK439" s="2" t="e">
        <f ca="1">_xll.BDH($C$428,"BVPS_GROWTH","FQ1 2016","FQ1 2016","Currency=INR","Period=FQ","BEST_FPERIOD_OVERRIDE=FQ","FILING_STATUS=OR","EQY_CONSOLIDATED=Y","Sort=A","Dates=H","DateFormat=P","Fill=—","Direction=H","UseDPDF=Y")</f>
        <v>#NAME?</v>
      </c>
      <c r="AL439" s="2" t="e">
        <f ca="1">_xll.BDH($C$428,"CASH_FLOW_GROWTH","FQ1 2016","FQ1 2016","Currency=INR","Period=FQ","BEST_FPERIOD_OVERRIDE=FQ","FILING_STATUS=OR","EQY_CONSOLIDATED=Y","Sort=A","Dates=H","DateFormat=P","Fill=—","Direction=H","UseDPDF=Y")</f>
        <v>#NAME?</v>
      </c>
      <c r="AM439" s="2" t="e">
        <f ca="1">_xll.BDH($C$428,"GEO_GROW_NET_SALES","FQ1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39" s="2" t="e">
        <f ca="1">_xll.BDH($C$428,"GEO_GROW_EBITDA","FQ1 2016","FQ1 2016","Currency=INR","Period=FQ","BEST_FPERIOD_OVERRIDE=FQ","FILING_STATUS=OR","EQY_CONSOLIDATED=Y","FA_ADJUSTED=GAAP","Sort=A","Dates=H","DateFormat=P","Fill=—","Direction=H","UseDPDF=Y")</f>
        <v>#NAME?</v>
      </c>
      <c r="AO439" s="2" t="e">
        <f ca="1">_xll.BDH($C$428,"GEO_GROW_OPER_INC","FQ1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39" s="2" t="e">
        <f ca="1">_xll.BDH($C$428,"NET_INCOME_TO_COMMON_5_YR_GROWTH","FQ1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39" s="2" t="e">
        <f ca="1">_xll.BDH($C$428,"5Y_GEO_GROWTH_DILUTED_EPS","FQ1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39" s="2" t="e">
        <f ca="1">_xll.BDH($C$428,"GEO_GROW_DVD_PER_SH","FQ1 2016","FQ1 2016","Currency=INR","Period=FQ","BEST_FPERIOD_OVERRIDE=FQ","FILING_STATUS=OR","EQY_CONSOLIDATED=Y","Sort=A","Dates=H","DateFormat=P","Fill=—","Direction=H","UseDPDF=Y")</f>
        <v>#NAME?</v>
      </c>
      <c r="AS439" s="2" t="e">
        <f ca="1">_xll.BDH($C$428,"ACCOUNTS_RECEIVABLE_5_YR_GROWTH","FQ1 2016","FQ1 2016","Currency=INR","Period=FQ","BEST_FPERIOD_OVERRIDE=FQ","FILING_STATUS=OR","EQY_CONSOLIDATED=Y","Sort=A","Dates=H","DateFormat=P","Fill=—","Direction=H","UseDPDF=Y")</f>
        <v>#NAME?</v>
      </c>
      <c r="AT439" s="2" t="e">
        <f ca="1">_xll.BDH($C$428,"INVENTORY_5_YEAR_GROWTH","FQ1 2016","FQ1 2016","Currency=INR","Period=FQ","BEST_FPERIOD_OVERRIDE=FQ","FILING_STATUS=OR","EQY_CONSOLIDATED=Y","Sort=A","Dates=H","DateFormat=P","Fill=—","Direction=H","UseDPDF=Y")</f>
        <v>#NAME?</v>
      </c>
      <c r="AU439" s="2" t="e">
        <f ca="1">_xll.BDH($C$428,"NET_FIXED_ASSETS_5_YEAR_GROWTH","FQ1 2016","FQ1 2016","Currency=INR","Period=FQ","BEST_FPERIOD_OVERRIDE=FQ","FILING_STATUS=OR","EQY_CONSOLIDATED=Y","Sort=A","Dates=H","DateFormat=P","Fill=—","Direction=H","UseDPDF=Y")</f>
        <v>#NAME?</v>
      </c>
      <c r="AV439" s="2" t="e">
        <f ca="1">_xll.BDH($C$428,"GEO_GROW_TOT_ASSET","FQ1 2016","FQ1 2016","Currency=INR","Period=FQ","BEST_FPERIOD_OVERRIDE=FQ","FILING_STATUS=OR","EQY_CONSOLIDATED=Y","Sort=A","Dates=H","DateFormat=P","Fill=—","Direction=H","UseDPDF=Y")</f>
        <v>#NAME?</v>
      </c>
      <c r="AW439" s="2" t="e">
        <f ca="1">_xll.BDH($C$428,"MODIFIED_WORKING_CPTL_5YR_GRWTH","FQ1 2016","FQ1 2016","Currency=INR","Period=FQ","BEST_FPERIOD_OVERRIDE=FQ","FILING_STATUS=OR","EQY_CONSOLIDATED=Y","Sort=A","Dates=H","DateFormat=P","Fill=—","Direction=H","UseDPDF=Y")</f>
        <v>#NAME?</v>
      </c>
      <c r="AX439" s="2" t="e">
        <f ca="1">_xll.BDH($C$428,"WORKING_CAPITAL_5_YEAR_GROWTH","FQ1 2016","FQ1 2016","Currency=INR","Period=FQ","BEST_FPERIOD_OVERRIDE=FQ","FILING_STATUS=OR","EQY_CONSOLIDATED=Y","Sort=A","Dates=H","DateFormat=P","Fill=—","Direction=H","UseDPDF=Y")</f>
        <v>#NAME?</v>
      </c>
      <c r="AY439" s="2" t="e">
        <f ca="1">_xll.BDH($C$428,"ACCOUNTS_PAYABLE_5_YEAR_GROWTH","FQ1 2016","FQ1 2016","Currency=INR","Period=FQ","BEST_FPERIOD_OVERRIDE=FQ","FILING_STATUS=OR","EQY_CONSOLIDATED=Y","Sort=A","Dates=H","DateFormat=P","Fill=—","Direction=H","UseDPDF=Y")</f>
        <v>#NAME?</v>
      </c>
      <c r="AZ439" s="2" t="e">
        <f ca="1">_xll.BDH($C$428,"SHORT_TERM_DEBT_5_YEAR_GROWTH","FQ1 2016","FQ1 2016","Currency=INR","Period=FQ","BEST_FPERIOD_OVERRIDE=FQ","FILING_STATUS=OR","EQY_CONSOLIDATED=Y","Sort=A","Dates=H","DateFormat=P","Fill=—","Direction=H","UseDPDF=Y")</f>
        <v>#NAME?</v>
      </c>
      <c r="BA439" s="2" t="e">
        <f ca="1">_xll.BDH($C$428,"TOTAL_DEBT_5_YEAR_GROWTH","FQ1 2016","FQ1 2016","Currency=INR","Period=FQ","BEST_FPERIOD_OVERRIDE=FQ","FILING_STATUS=OR","EQY_CONSOLIDATED=Y","Sort=A","Dates=H","DateFormat=P","Fill=—","Direction=H","UseDPDF=Y")</f>
        <v>#NAME?</v>
      </c>
      <c r="BB439" s="2" t="e">
        <f ca="1">_xll.BDH($C$428,"GEO_GROW_TOT_SHRHLDR_EQY","FQ1 2016","FQ1 2016","Currency=INR","Period=FQ","BEST_FPERIOD_OVERRIDE=FQ","FILING_STATUS=OR","EQY_CONSOLIDATED=Y","Sort=A","Dates=H","DateFormat=P","Fill=—","Direction=H","UseDPDF=Y")</f>
        <v>#NAME?</v>
      </c>
      <c r="BC439" s="2" t="e">
        <f ca="1">_xll.BDH($C$428,"TOTAL_CAPITAL_5_YEAR_GROWTH","FQ1 2016","FQ1 2016","Currency=INR","Period=FQ","BEST_FPERIOD_OVERRIDE=FQ","FILING_STATUS=OR","EQY_CONSOLIDATED=Y","Sort=A","Dates=H","DateFormat=P","Fill=—","Direction=H","UseDPDF=Y")</f>
        <v>#NAME?</v>
      </c>
      <c r="BD439" s="2" t="e">
        <f ca="1">_xll.BDH($C$428,"GEO_GROW_BOOK_VAL","FQ1 2016","FQ1 2016","Currency=INR","Period=FQ","BEST_FPERIOD_OVERRIDE=FQ","FILING_STATUS=OR","EQY_CONSOLIDATED=Y","Sort=A","Dates=H","DateFormat=P","Fill=—","Direction=H","UseDPDF=Y")</f>
        <v>#NAME?</v>
      </c>
      <c r="BE439" s="2" t="e">
        <f ca="1">_xll.BDH($C$428,"GEO_GROW_CASH_OPER_ACT","FQ1 2016","FQ1 2016","Currency=INR","Period=FQ","BEST_FPERIOD_OVERRIDE=FQ","FILING_STATUS=OR","EQY_CONSOLIDATED=Y","Sort=A","Dates=H","DateFormat=P","Fill=—","Direction=H","UseDPDF=Y")</f>
        <v>#NAME?</v>
      </c>
      <c r="BF439" s="2" t="e">
        <f ca="1">_xll.BDH($C$428,"REVENUE_SEQUENTIAL_GROWTH","FQ1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39" s="2" t="e">
        <f ca="1">_xll.BDH($C$428,"EBITDA_SEQUENTIAL_GROWTH","FQ1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39" s="2" t="e">
        <f ca="1">_xll.BDH($C$428,"OPERATING_INCOME_SEQ_GROWTH","FQ1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39" s="2" t="e">
        <f ca="1">_xll.BDH($C$428,"NET_INCOME_TO_COMMON_SEQ_GROWTH","FQ1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39" s="2" t="e">
        <f ca="1">_xll.BDH($C$428,"EPS_DILUTED_SEQUENTIAL_GROWTH","FQ1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39" s="2" t="e">
        <f ca="1">_xll.BDH($C$428,"DPS_SEQUENTIAL_GROWTH","FQ1 2016","FQ1 2016","Currency=INR","Period=FQ","BEST_FPERIOD_OVERRIDE=FQ","FILING_STATUS=OR","EQY_CONSOLIDATED=Y","Sort=A","Dates=H","DateFormat=P","Fill=—","Direction=H","UseDPDF=Y")</f>
        <v>#NAME?</v>
      </c>
      <c r="BL439" s="2" t="e">
        <f ca="1">_xll.BDH($C$428,"ACCOUNTS_RECEIVABLE_SEQ_GROWTH","FQ1 2016","FQ1 2016","Currency=INR","Period=FQ","BEST_FPERIOD_OVERRIDE=FQ","FILING_STATUS=OR","EQY_CONSOLIDATED=Y","Sort=A","Dates=H","DateFormat=P","Fill=—","Direction=H","UseDPDF=Y")</f>
        <v>#NAME?</v>
      </c>
      <c r="BM439" s="2" t="e">
        <f ca="1">_xll.BDH($C$428,"INVENTORY_SEQUENTIAL_GROWTH","FQ1 2016","FQ1 2016","Currency=INR","Period=FQ","BEST_FPERIOD_OVERRIDE=FQ","FILING_STATUS=OR","EQY_CONSOLIDATED=Y","Sort=A","Dates=H","DateFormat=P","Fill=—","Direction=H","UseDPDF=Y")</f>
        <v>#NAME?</v>
      </c>
      <c r="BN439" s="2" t="e">
        <f ca="1">_xll.BDH($C$428,"FIXED_ASSETS_SEQUENTIAL_GROWTH","FQ1 2016","FQ1 2016","Currency=INR","Period=FQ","BEST_FPERIOD_OVERRIDE=FQ","FILING_STATUS=OR","EQY_CONSOLIDATED=Y","Sort=A","Dates=H","DateFormat=P","Fill=—","Direction=H","UseDPDF=Y")</f>
        <v>#NAME?</v>
      </c>
      <c r="BO439" s="2" t="e">
        <f ca="1">_xll.BDH($C$428,"TOTAL_ASSETS_SEQUENTIAL_GROWTH","FQ1 2016","FQ1 2016","Currency=INR","Period=FQ","BEST_FPERIOD_OVERRIDE=FQ","FILING_STATUS=OR","EQY_CONSOLIDATED=Y","Sort=A","Dates=H","DateFormat=P","Fill=—","Direction=H","UseDPDF=Y")</f>
        <v>#NAME?</v>
      </c>
      <c r="BP439" s="2" t="e">
        <f ca="1">_xll.BDH($C$428,"MODIFIED_WORKING_CPTL_SEQ_GRWTH","FQ1 2016","FQ1 2016","Currency=INR","Period=FQ","BEST_FPERIOD_OVERRIDE=FQ","FILING_STATUS=OR","EQY_CONSOLIDATED=Y","Sort=A","Dates=H","DateFormat=P","Fill=—","Direction=H","UseDPDF=Y")</f>
        <v>#NAME?</v>
      </c>
      <c r="BQ439" s="2" t="e">
        <f ca="1">_xll.BDH($C$428,"WORKING_CAPITAL_SEQ_GROWTH","FQ1 2016","FQ1 2016","Currency=INR","Period=FQ","BEST_FPERIOD_OVERRIDE=FQ","FILING_STATUS=OR","EQY_CONSOLIDATED=Y","Sort=A","Dates=H","DateFormat=P","Fill=—","Direction=H","UseDPDF=Y")</f>
        <v>#NAME?</v>
      </c>
      <c r="BR439" s="2" t="e">
        <f ca="1">_xll.BDH($C$428,"ACCOUNTS_PAYABLE_SEQ_GROWTH","FQ1 2016","FQ1 2016","Currency=INR","Period=FQ","BEST_FPERIOD_OVERRIDE=FQ","FILING_STATUS=OR","EQY_CONSOLIDATED=Y","Sort=A","Dates=H","DateFormat=P","Fill=—","Direction=H","UseDPDF=Y")</f>
        <v>#NAME?</v>
      </c>
      <c r="BS439" s="2" t="e">
        <f ca="1">_xll.BDH($C$428,"ST_DEBT_SEQUENTIAL_GROWTH","FQ1 2016","FQ1 2016","Currency=INR","Period=FQ","BEST_FPERIOD_OVERRIDE=FQ","FILING_STATUS=OR","EQY_CONSOLIDATED=Y","Sort=A","Dates=H","DateFormat=P","Fill=—","Direction=H","UseDPDF=Y")</f>
        <v>#NAME?</v>
      </c>
      <c r="BT439" s="2" t="e">
        <f ca="1">_xll.BDH($C$428,"TOTAL_DEBT_SEQUENTIAL_GROWTH","FQ1 2016","FQ1 2016","Currency=INR","Period=FQ","BEST_FPERIOD_OVERRIDE=FQ","FILING_STATUS=OR","EQY_CONSOLIDATED=Y","Sort=A","Dates=H","DateFormat=P","Fill=—","Direction=H","UseDPDF=Y")</f>
        <v>#NAME?</v>
      </c>
      <c r="BU439" s="2" t="e">
        <f ca="1">_xll.BDH($C$428,"TOTAL_EQUITY_SEQUENTIAL_GROWTH","FQ1 2016","FQ1 2016","Currency=INR","Period=FQ","BEST_FPERIOD_OVERRIDE=FQ","FILING_STATUS=OR","EQY_CONSOLIDATED=Y","Sort=A","Dates=H","DateFormat=P","Fill=—","Direction=H","UseDPDF=Y")</f>
        <v>#NAME?</v>
      </c>
      <c r="BV439" s="2" t="e">
        <f ca="1">_xll.BDH($C$428,"TOTAL_CAPITAL_SEQUENTIAL_GROWTH","FQ1 2016","FQ1 2016","Currency=INR","Period=FQ","BEST_FPERIOD_OVERRIDE=FQ","FILING_STATUS=OR","EQY_CONSOLIDATED=Y","Sort=A","Dates=H","DateFormat=P","Fill=—","Direction=H","UseDPDF=Y")</f>
        <v>#NAME?</v>
      </c>
      <c r="BW439" s="2" t="e">
        <f ca="1">_xll.BDH($C$428,"BPS_SEQUENTIAL_GROWTH","FQ1 2016","FQ1 2016","Currency=INR","Period=FQ","BEST_FPERIOD_OVERRIDE=FQ","FILING_STATUS=OR","EQY_CONSOLIDATED=Y","Sort=A","Dates=H","DateFormat=P","Fill=—","Direction=H","UseDPDF=Y")</f>
        <v>#NAME?</v>
      </c>
      <c r="BX439" s="2" t="e">
        <f ca="1">_xll.BDH($C$428,"CFO_SEQUENTIAL_GROWTH","FQ1 2016","FQ1 2016","Currency=INR","Period=FQ","BEST_FPERIOD_OVERRIDE=FQ","FILING_STATUS=OR","EQY_CONSOLIDATED=Y","Sort=A","Dates=H","DateFormat=P","Fill=—","Direction=H","UseDPDF=Y")</f>
        <v>#NAME?</v>
      </c>
      <c r="BY439" s="3" t="e">
        <f ca="1">_xll.BDH($C$428,"SHORT_AND_LONG_TERM_DEBT","FQ1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39" s="3" t="e">
        <f ca="1">_xll.BDH($C$428,"BS_ST_BORROW","FQ1 2016","FQ1 2016","Currency=INR","Period=FQ","BEST_FPERIOD_OVERRIDE=FQ","FILING_STATUS=OR","EQY_CONSOLIDATED=Y","SCALING_FORMAT=MLN","Sort=A","Dates=H","DateFormat=P","Fill=—","Direction=H","UseDPDF=Y")</f>
        <v>#NAME?</v>
      </c>
      <c r="CA439" s="3" t="e">
        <f ca="1">_xll.BDH($C$428,"BS_LT_BORROW","FQ1 2016","FQ1 2016","Currency=INR","Period=FQ","BEST_FPERIOD_OVERRIDE=FQ","FILING_STATUS=OR","EQY_CONSOLIDATED=Y","SCALING_FORMAT=MLN","Sort=A","Dates=H","DateFormat=P","Fill=—","Direction=H","UseDPDF=Y")</f>
        <v>#NAME?</v>
      </c>
      <c r="CB439" s="2" t="e">
        <f ca="1">_xll.BDH($C$428,"TOT_DEBT_TO_EBITDA","FQ1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39" s="2" t="e">
        <f ca="1">_xll.BDH($C$428,"NET_DEBT_TO_EBITDA","FQ1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39" s="2" t="e">
        <f ca="1">_xll.BDH($C$428,"TOTAL_DEBT_TO_EBIT","FQ1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39" s="2" t="e">
        <f ca="1">_xll.BDH($C$428,"NET_DEBT_TO_EBIT","FQ1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39" s="2" t="e">
        <f ca="1">_xll.BDH($C$428,"EBITDA_TO_INTEREST_EXPN","FQ1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39" s="2" t="e">
        <f ca="1">_xll.BDH($C$428,"COM_EQY_TO_TOT_ASSET","FQ1 2016","FQ1 2016","Currency=INR","Period=FQ","BEST_FPERIOD_OVERRIDE=FQ","FILING_STATUS=OR","EQY_CONSOLIDATED=Y","Sort=A","Dates=H","DateFormat=P","Fill=—","Direction=H","UseDPDF=Y")</f>
        <v>#NAME?</v>
      </c>
      <c r="CH439" s="2" t="e">
        <f ca="1">_xll.BDH($C$428,"LT_DEBT_TO_TOT_EQY","FQ1 2016","FQ1 2016","Currency=INR","Period=FQ","BEST_FPERIOD_OVERRIDE=FQ","FILING_STATUS=OR","EQY_CONSOLIDATED=Y","Sort=A","Dates=H","DateFormat=P","Fill=—","Direction=H","UseDPDF=Y")</f>
        <v>#NAME?</v>
      </c>
      <c r="CI439" s="2" t="e">
        <f ca="1">_xll.BDH($C$428,"LT_DEBT_TO_TOT_CAP","FQ1 2016","FQ1 2016","Currency=INR","Period=FQ","BEST_FPERIOD_OVERRIDE=FQ","FILING_STATUS=OR","EQY_CONSOLIDATED=Y","Sort=A","Dates=H","DateFormat=P","Fill=—","Direction=H","UseDPDF=Y")</f>
        <v>#NAME?</v>
      </c>
      <c r="CJ439" s="2" t="e">
        <f ca="1">_xll.BDH($C$428,"LT_DEBT_TO_TOT_ASSET","FQ1 2016","FQ1 2016","Currency=INR","Period=FQ","BEST_FPERIOD_OVERRIDE=FQ","FILING_STATUS=OR","EQY_CONSOLIDATED=Y","Sort=A","Dates=H","DateFormat=P","Fill=—","Direction=H","UseDPDF=Y")</f>
        <v>#NAME?</v>
      </c>
      <c r="CK439" s="2" t="e">
        <f ca="1">_xll.BDH($C$428,"TOT_DEBT_TO_TOT_EQY","FQ1 2016","FQ1 2016","Currency=INR","Period=FQ","BEST_FPERIOD_OVERRIDE=FQ","FILING_STATUS=OR","EQY_CONSOLIDATED=Y","Sort=A","Dates=H","DateFormat=P","Fill=—","Direction=H","UseDPDF=Y")</f>
        <v>#NAME?</v>
      </c>
      <c r="CL439" s="2" t="e">
        <f ca="1">_xll.BDH($C$428,"TOT_DEBT_TO_TOT_CAP","FQ1 2016","FQ1 2016","Currency=INR","Period=FQ","BEST_FPERIOD_OVERRIDE=FQ","FILING_STATUS=OR","EQY_CONSOLIDATED=Y","Sort=A","Dates=H","DateFormat=P","Fill=—","Direction=H","UseDPDF=Y")</f>
        <v>#NAME?</v>
      </c>
      <c r="CM439" s="2" t="e">
        <f ca="1">_xll.BDH($C$428,"TOT_DEBT_TO_TOT_ASSET","FQ1 2016","FQ1 2016","Currency=INR","Period=FQ","BEST_FPERIOD_OVERRIDE=FQ","FILING_STATUS=OR","EQY_CONSOLIDATED=Y","Sort=A","Dates=H","DateFormat=P","Fill=—","Direction=H","UseDPDF=Y")</f>
        <v>#NAME?</v>
      </c>
      <c r="CN439" s="2" t="e">
        <f ca="1">_xll.BDH($C$428,"NET_DEBT_TO_SHRHLDR_EQTY","FQ1 2016","FQ1 2016","Currency=INR","Period=FQ","BEST_FPERIOD_OVERRIDE=FQ","FILING_STATUS=OR","EQY_CONSOLIDATED=Y","Sort=A","Dates=H","DateFormat=P","Fill=—","Direction=H","UseDPDF=Y")</f>
        <v>#NAME?</v>
      </c>
      <c r="CO439" s="2" t="e">
        <f ca="1">_xll.BDH($C$428,"NET_DEBT_%_CAPITAL","FQ1 2016","FQ1 2016","Currency=INR","Period=FQ","BEST_FPERIOD_OVERRIDE=FQ","FILING_STATUS=OR","EQY_CONSOLIDATED=Y","Sort=A","Dates=H","DateFormat=P","Fill=—","Direction=H","UseDPDF=Y")</f>
        <v>#NAME?</v>
      </c>
      <c r="CP439" s="3" t="e">
        <f ca="1">_xll.BDH($C$428,"EBITDA","FQ1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39" s="3" t="e">
        <f ca="1">_xll.BDH($C$428,"EBITDA_AFTER_CAPEX","FQ1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39" s="3" t="e">
        <f ca="1">_xll.BDH($C$428,"IS_OPER_INC","FQ1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39" s="2" t="e">
        <f ca="1">_xll.BDH($C$428,"CASH_RATIO","FQ1 2016","FQ1 2016","Currency=INR","Period=FQ","BEST_FPERIOD_OVERRIDE=FQ","FILING_STATUS=OR","EQY_CONSOLIDATED=Y","Sort=A","Dates=H","DateFormat=P","Fill=—","Direction=H","UseDPDF=Y")</f>
        <v>#NAME?</v>
      </c>
      <c r="CT439" s="2" t="e">
        <f ca="1">_xll.BDH($C$428,"CUR_RATIO","FQ1 2016","FQ1 2016","Currency=INR","Period=FQ","BEST_FPERIOD_OVERRIDE=FQ","FILING_STATUS=OR","EQY_CONSOLIDATED=Y","Sort=A","Dates=H","DateFormat=P","Fill=—","Direction=H","UseDPDF=Y")</f>
        <v>#NAME?</v>
      </c>
      <c r="CU439" s="2" t="e">
        <f ca="1">_xll.BDH($C$428,"QUICK_RATIO","FQ1 2016","FQ1 2016","Currency=INR","Period=FQ","BEST_FPERIOD_OVERRIDE=FQ","FILING_STATUS=OR","EQY_CONSOLIDATED=Y","Sort=A","Dates=H","DateFormat=P","Fill=—","Direction=H","UseDPDF=Y")</f>
        <v>#NAME?</v>
      </c>
      <c r="CV439" s="2" t="e">
        <f ca="1">_xll.BDH($C$428,"ALTMAN_Z_SCORE","FQ1 2016","FQ1 2016","Currency=INR","Period=FQ","BEST_FPERIOD_OVERRIDE=FQ","FILING_STATUS=OR","EQY_CONSOLIDATED=Y","Sort=A","Dates=H","DateFormat=P","Fill=—","Direction=H","UseDPDF=Y")</f>
        <v>#NAME?</v>
      </c>
      <c r="CW439" s="4" t="e">
        <f ca="1">_xll.BDH($C$428,"ACCT_RCV_TURN","FQ1 2016","FQ1 2016","Currency=INR","Period=FQ","BEST_FPERIOD_OVERRIDE=FQ","FILING_STATUS=OR","EQY_CONSOLIDATED=Y","FA_ADJUSTED=GAAP","Sort=A","Dates=H","DateFormat=P","Fill=—","Direction=H","UseDPDF=Y")</f>
        <v>#NAME?</v>
      </c>
      <c r="CX439" s="2" t="e">
        <f ca="1">_xll.BDH($C$428,"ACCT_RCV_DAYS","FQ1 2016","FQ1 2016","Currency=INR","Period=FQ","BEST_FPERIOD_OVERRIDE=FQ","FILING_STATUS=OR","EQY_CONSOLIDATED=Y","FA_ADJUSTED=GAAP","Sort=A","Dates=H","DateFormat=P","Fill=—","Direction=H","UseDPDF=Y")</f>
        <v>#NAME?</v>
      </c>
      <c r="CY439" s="4" t="e">
        <f ca="1">_xll.BDH($C$428,"INVENT_TURN","FQ1 2016","FQ1 2016","Currency=INR","Period=FQ","BEST_FPERIOD_OVERRIDE=FQ","FILING_STATUS=OR","EQY_CONSOLIDATED=Y","FA_ADJUSTED=GAAP","Sort=A","Dates=H","DateFormat=P","Fill=—","Direction=H","UseDPDF=Y")</f>
        <v>#NAME?</v>
      </c>
      <c r="CZ439" s="2" t="e">
        <f ca="1">_xll.BDH($C$428,"INVENT_DAYS","FQ1 2016","FQ1 2016","Currency=INR","Period=FQ","BEST_FPERIOD_OVERRIDE=FQ","FILING_STATUS=OR","EQY_CONSOLIDATED=Y","FA_ADJUSTED=GAAP","Sort=A","Dates=H","DateFormat=P","Fill=—","Direction=H","UseDPDF=Y")</f>
        <v>#NAME?</v>
      </c>
      <c r="DA439" s="4" t="e">
        <f ca="1">_xll.BDH($C$428,"ACCOUNTS_PAYABLE_TURNOVER","FQ1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39" s="2" t="e">
        <f ca="1">_xll.BDH($C$428,"ACCOUNTS_PAYABLE_TURNOVER_DAYS","FQ1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39" s="4" t="e">
        <f ca="1">_xll.BDH($C$428,"CASH_CONVERSION_CYCLE","FQ1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39" s="4" t="e">
        <f ca="1">_xll.BDH($C$428,"INV_TO_CASH_DAYS","FQ1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39" s="5" t="e">
        <f ca="1">_xll.BDH($C$428,"BS_INVENTORIES","FQ1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39" s="3" t="e">
        <f ca="1">_xll.BDH($C$428,"INVTRY_RAW_MATERIALS","FQ1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39" s="3" t="e">
        <f ca="1">_xll.BDH($C$428,"INVTRY_IN_PROGRESS","FQ1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39" s="3" t="e">
        <f ca="1">_xll.BDH($C$428,"INVTRY_FINISHED_GOODS","FQ1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39" s="3" t="e">
        <f ca="1">_xll.BDH($C$428,"BS_OTHER_INV","FQ1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40" spans="1:113" x14ac:dyDescent="0.3">
      <c r="A440" s="6"/>
      <c r="B440" s="6"/>
      <c r="C440" s="6"/>
      <c r="D440" s="6"/>
      <c r="E440" t="s">
        <v>79</v>
      </c>
      <c r="F440" t="e">
        <f ca="1">_xll.BDH($C$428,"RETURN_COM_EQY","FQ2 2016","FQ2 2016","Currency=INR","Period=FQ","BEST_FPERIOD_OVERRIDE=FQ","FILING_STATUS=OR","EQY_CONSOLIDATED=Y","FA_ADJUSTED=GAAP","Sort=A","Dates=H","DateFormat=P","Fill=—","Direction=H","UseDPDF=Y")</f>
        <v>#NAME?</v>
      </c>
      <c r="G440" t="e">
        <f ca="1">_xll.BDH($C$428,"RETURN_ON_ASSET","FQ2 2016","FQ2 2016","Currency=INR","Period=FQ","BEST_FPERIOD_OVERRIDE=FQ","FILING_STATUS=OR","EQY_CONSOLIDATED=Y","FA_ADJUSTED=GAAP","Sort=A","Dates=H","DateFormat=P","Fill=—","Direction=H","UseDPDF=Y")</f>
        <v>#NAME?</v>
      </c>
      <c r="H440" t="e">
        <f ca="1">_xll.BDH($C$428,"RETURN_ON_CAP","FQ2 2016","FQ2 2016","Currency=INR","Period=FQ","BEST_FPERIOD_OVERRIDE=FQ","FILING_STATUS=OR","EQY_CONSOLIDATED=Y","FA_ADJUSTED=GAAP","Sort=A","Dates=H","DateFormat=P","Fill=—","Direction=H","UseDPDF=Y")</f>
        <v>#NAME?</v>
      </c>
      <c r="I440" t="e">
        <f ca="1">_xll.BDH($C$428,"RETURN_ON_INV_CAPITAL","FQ2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40" t="e">
        <f ca="1">_xll.BDH($C$428,"EBITDA_TO_REVENUE","FQ2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40" t="e">
        <f ca="1">_xll.BDH($C$428,"OPER_MARGIN","FQ2 2016","FQ2 2016","Currency=INR","Period=FQ","BEST_FPERIOD_OVERRIDE=FQ","FILING_STATUS=OR","EQY_CONSOLIDATED=Y","FA_ADJUSTED=GAAP","Sort=A","Dates=H","DateFormat=P","Fill=—","Direction=H","UseDPDF=Y")</f>
        <v>#NAME?</v>
      </c>
      <c r="L440" t="e">
        <f ca="1">_xll.BDH($C$428,"INCREMENTAL_OPERATING_MARGIN","FQ2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40" t="e">
        <f ca="1">_xll.BDH($C$428,"PRETAX_INC_TO_NET_SALES","FQ2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40" t="e">
        <f ca="1">_xll.BDH($C$428,"INC_BEF_XO_ITEMS_TO_NET_SALES","FQ2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40" t="e">
        <f ca="1">_xll.BDH($C$428,"PROF_MARGIN","FQ2 2016","FQ2 2016","Currency=INR","Period=FQ","BEST_FPERIOD_OVERRIDE=FQ","FILING_STATUS=OR","EQY_CONSOLIDATED=Y","FA_ADJUSTED=GAAP","Sort=A","Dates=H","DateFormat=P","Fill=—","Direction=H","UseDPDF=Y")</f>
        <v>#NAME?</v>
      </c>
      <c r="P440" t="e">
        <f ca="1">_xll.BDH($C$428,"NET_INCOME_TO_COMMON_MARGIN","FQ2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40" t="e">
        <f ca="1">_xll.BDH($C$428,"EFF_TAX_RATE","FQ2 2016","FQ2 2016","Currency=INR","Period=FQ","BEST_FPERIOD_OVERRIDE=FQ","FILING_STATUS=OR","EQY_CONSOLIDATED=Y","FA_ADJUSTED=GAAP","Sort=A","Dates=H","DateFormat=P","Fill=—","Direction=H","UseDPDF=Y")</f>
        <v>#NAME?</v>
      </c>
      <c r="R440" t="e">
        <f ca="1">_xll.BDH($C$428,"DVD_PAYOUT_RATIO","FQ2 2016","FQ2 2016","Currency=INR","Period=FQ","BEST_FPERIOD_OVERRIDE=FQ","FILING_STATUS=OR","EQY_CONSOLIDATED=Y","FA_ADJUSTED=GAAP","Sort=A","Dates=H","DateFormat=P","Fill=—","Direction=H","UseDPDF=Y")</f>
        <v>#NAME?</v>
      </c>
      <c r="S440" t="e">
        <f ca="1">_xll.BDH($C$428,"SUSTAIN_GROWTH_RT","FQ2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40" s="2" t="e">
        <f ca="1">_xll.BDH($C$428,"SALES_GROWTH","FQ2 2016","FQ2 2016","Currency=INR","Period=FQ","BEST_FPERIOD_OVERRIDE=FQ","FILING_STATUS=OR","EQY_CONSOLIDATED=Y","FA_ADJUSTED=GAAP","Sort=A","Dates=H","DateFormat=P","Fill=—","Direction=H","UseDPDF=Y")</f>
        <v>#NAME?</v>
      </c>
      <c r="U440" s="2" t="e">
        <f ca="1">_xll.BDH($C$428,"EBITDA_GROWTH","FQ2 2016","FQ2 2016","Currency=INR","Period=FQ","BEST_FPERIOD_OVERRIDE=FQ","FILING_STATUS=OR","EQY_CONSOLIDATED=Y","FA_ADJUSTED=GAAP","Sort=A","Dates=H","DateFormat=P","Fill=—","Direction=H","UseDPDF=Y")</f>
        <v>#NAME?</v>
      </c>
      <c r="V440" s="2" t="e">
        <f ca="1">_xll.BDH($C$428,"OPER_INC_GROWTH","FQ2 2016","FQ2 2016","Currency=INR","Period=FQ","BEST_FPERIOD_OVERRIDE=FQ","FILING_STATUS=OR","EQY_CONSOLIDATED=Y","FA_ADJUSTED=GAAP","Sort=A","Dates=H","DateFormat=P","Fill=—","Direction=H","UseDPDF=Y")</f>
        <v>#NAME?</v>
      </c>
      <c r="W440" s="2" t="e">
        <f ca="1">_xll.BDH($C$428,"EARN_FOR_COM_GROWTH","FQ2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40" s="2" t="e">
        <f ca="1">_xll.BDH($C$428,"DILUTED_EPS_AFT_XO_ITEMS_GROWTH","FQ2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40" s="2" t="e">
        <f ca="1">_xll.BDH($C$428,"DIVIDEND_PER_SHARE_1_YEAR_GROWTH","FQ2 2016","FQ2 2016","Currency=INR","Period=FQ","BEST_FPERIOD_OVERRIDE=FQ","FILING_STATUS=OR","EQY_CONSOLIDATED=Y","Sort=A","Dates=H","DateFormat=P","Fill=—","Direction=H","UseDPDF=Y")</f>
        <v>#NAME?</v>
      </c>
      <c r="Z440" s="2" t="e">
        <f ca="1">_xll.BDH($C$428,"ACCOUNTS_RECEIVABLE_GROWTH","FQ2 2016","FQ2 2016","Currency=INR","Period=FQ","BEST_FPERIOD_OVERRIDE=FQ","FILING_STATUS=OR","EQY_CONSOLIDATED=Y","Sort=A","Dates=H","DateFormat=P","Fill=—","Direction=H","UseDPDF=Y")</f>
        <v>#NAME?</v>
      </c>
      <c r="AA440" s="2" t="e">
        <f ca="1">_xll.BDH($C$428,"INVENTORY_GROWTH","FQ2 2016","FQ2 2016","Currency=INR","Period=FQ","BEST_FPERIOD_OVERRIDE=FQ","FILING_STATUS=OR","EQY_CONSOLIDATED=Y","Sort=A","Dates=H","DateFormat=P","Fill=—","Direction=H","UseDPDF=Y")</f>
        <v>#NAME?</v>
      </c>
      <c r="AB440" s="2" t="e">
        <f ca="1">_xll.BDH($C$428,"NET_FIXED_ASSETS_1_YEAR_GROWTH","FQ2 2016","FQ2 2016","Currency=INR","Period=FQ","BEST_FPERIOD_OVERRIDE=FQ","FILING_STATUS=OR","EQY_CONSOLIDATED=Y","Sort=A","Dates=H","DateFormat=P","Fill=—","Direction=H","UseDPDF=Y")</f>
        <v>#NAME?</v>
      </c>
      <c r="AC440" s="2" t="e">
        <f ca="1">_xll.BDH($C$428,"ASSET_GROWTH","FQ2 2016","FQ2 2016","Currency=INR","Period=FQ","BEST_FPERIOD_OVERRIDE=FQ","FILING_STATUS=OR","EQY_CONSOLIDATED=Y","Sort=A","Dates=H","DateFormat=P","Fill=—","Direction=H","UseDPDF=Y")</f>
        <v>#NAME?</v>
      </c>
      <c r="AD440" s="2" t="e">
        <f ca="1">_xll.BDH($C$428,"MODIFIED_WORK_CAP_GROWTH","FQ2 2016","FQ2 2016","Currency=INR","Period=FQ","BEST_FPERIOD_OVERRIDE=FQ","FILING_STATUS=OR","EQY_CONSOLIDATED=Y","Sort=A","Dates=H","DateFormat=P","Fill=—","Direction=H","UseDPDF=Y")</f>
        <v>#NAME?</v>
      </c>
      <c r="AE440" s="2" t="e">
        <f ca="1">_xll.BDH($C$428,"WORK_CAP_GROWTH","FQ2 2016","FQ2 2016","Currency=INR","Period=FQ","BEST_FPERIOD_OVERRIDE=FQ","FILING_STATUS=OR","EQY_CONSOLIDATED=Y","Sort=A","Dates=H","DateFormat=P","Fill=—","Direction=H","UseDPDF=Y")</f>
        <v>#NAME?</v>
      </c>
      <c r="AF440" s="2" t="e">
        <f ca="1">_xll.BDH($C$428,"ACCOUNTS_PAYABLE_GROWTH_1YR","FQ2 2016","FQ2 2016","Currency=INR","Period=FQ","BEST_FPERIOD_OVERRIDE=FQ","FILING_STATUS=OR","EQY_CONSOLIDATED=Y","Sort=A","Dates=H","DateFormat=P","Fill=—","Direction=H","UseDPDF=Y")</f>
        <v>#NAME?</v>
      </c>
      <c r="AG440" s="2" t="e">
        <f ca="1">_xll.BDH($C$428,"SHORT_TERM_DEBT_1_YEAR_GROWTH","FQ2 2016","FQ2 2016","Currency=INR","Period=FQ","BEST_FPERIOD_OVERRIDE=FQ","FILING_STATUS=OR","EQY_CONSOLIDATED=Y","Sort=A","Dates=H","DateFormat=P","Fill=—","Direction=H","UseDPDF=Y")</f>
        <v>#NAME?</v>
      </c>
      <c r="AH440" s="2" t="e">
        <f ca="1">_xll.BDH($C$428,"TOTAL_DEBT_1_YEAR_GROWTH","FQ2 2016","FQ2 2016","Currency=INR","Period=FQ","BEST_FPERIOD_OVERRIDE=FQ","FILING_STATUS=OR","EQY_CONSOLIDATED=Y","Sort=A","Dates=H","DateFormat=P","Fill=—","Direction=H","UseDPDF=Y")</f>
        <v>#NAME?</v>
      </c>
      <c r="AI440" s="2" t="e">
        <f ca="1">_xll.BDH($C$428,"TOTAL_EQUITY_1_YEAR_GROWTH","FQ2 2016","FQ2 2016","Currency=INR","Period=FQ","BEST_FPERIOD_OVERRIDE=FQ","FILING_STATUS=OR","EQY_CONSOLIDATED=Y","Sort=A","Dates=H","DateFormat=P","Fill=—","Direction=H","UseDPDF=Y")</f>
        <v>#NAME?</v>
      </c>
      <c r="AJ440" s="2" t="e">
        <f ca="1">_xll.BDH($C$428,"GROWTH_IN_CAP","FQ2 2016","FQ2 2016","Currency=INR","Period=FQ","BEST_FPERIOD_OVERRIDE=FQ","FILING_STATUS=OR","EQY_CONSOLIDATED=Y","Sort=A","Dates=H","DateFormat=P","Fill=—","Direction=H","UseDPDF=Y")</f>
        <v>#NAME?</v>
      </c>
      <c r="AK440" s="2" t="e">
        <f ca="1">_xll.BDH($C$428,"BVPS_GROWTH","FQ2 2016","FQ2 2016","Currency=INR","Period=FQ","BEST_FPERIOD_OVERRIDE=FQ","FILING_STATUS=OR","EQY_CONSOLIDATED=Y","Sort=A","Dates=H","DateFormat=P","Fill=—","Direction=H","UseDPDF=Y")</f>
        <v>#NAME?</v>
      </c>
      <c r="AL440" s="2" t="e">
        <f ca="1">_xll.BDH($C$428,"CASH_FLOW_GROWTH","FQ2 2016","FQ2 2016","Currency=INR","Period=FQ","BEST_FPERIOD_OVERRIDE=FQ","FILING_STATUS=OR","EQY_CONSOLIDATED=Y","Sort=A","Dates=H","DateFormat=P","Fill=—","Direction=H","UseDPDF=Y")</f>
        <v>#NAME?</v>
      </c>
      <c r="AM440" s="2" t="e">
        <f ca="1">_xll.BDH($C$428,"GEO_GROW_NET_SALES","FQ2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40" s="2" t="e">
        <f ca="1">_xll.BDH($C$428,"GEO_GROW_EBITDA","FQ2 2016","FQ2 2016","Currency=INR","Period=FQ","BEST_FPERIOD_OVERRIDE=FQ","FILING_STATUS=OR","EQY_CONSOLIDATED=Y","FA_ADJUSTED=GAAP","Sort=A","Dates=H","DateFormat=P","Fill=—","Direction=H","UseDPDF=Y")</f>
        <v>#NAME?</v>
      </c>
      <c r="AO440" s="2" t="e">
        <f ca="1">_xll.BDH($C$428,"GEO_GROW_OPER_INC","FQ2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40" s="2" t="e">
        <f ca="1">_xll.BDH($C$428,"NET_INCOME_TO_COMMON_5_YR_GROWTH","FQ2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40" s="2" t="e">
        <f ca="1">_xll.BDH($C$428,"5Y_GEO_GROWTH_DILUTED_EPS","FQ2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40" s="2" t="e">
        <f ca="1">_xll.BDH($C$428,"GEO_GROW_DVD_PER_SH","FQ2 2016","FQ2 2016","Currency=INR","Period=FQ","BEST_FPERIOD_OVERRIDE=FQ","FILING_STATUS=OR","EQY_CONSOLIDATED=Y","Sort=A","Dates=H","DateFormat=P","Fill=—","Direction=H","UseDPDF=Y")</f>
        <v>#NAME?</v>
      </c>
      <c r="AS440" s="2" t="e">
        <f ca="1">_xll.BDH($C$428,"ACCOUNTS_RECEIVABLE_5_YR_GROWTH","FQ2 2016","FQ2 2016","Currency=INR","Period=FQ","BEST_FPERIOD_OVERRIDE=FQ","FILING_STATUS=OR","EQY_CONSOLIDATED=Y","Sort=A","Dates=H","DateFormat=P","Fill=—","Direction=H","UseDPDF=Y")</f>
        <v>#NAME?</v>
      </c>
      <c r="AT440" s="2" t="e">
        <f ca="1">_xll.BDH($C$428,"INVENTORY_5_YEAR_GROWTH","FQ2 2016","FQ2 2016","Currency=INR","Period=FQ","BEST_FPERIOD_OVERRIDE=FQ","FILING_STATUS=OR","EQY_CONSOLIDATED=Y","Sort=A","Dates=H","DateFormat=P","Fill=—","Direction=H","UseDPDF=Y")</f>
        <v>#NAME?</v>
      </c>
      <c r="AU440" s="2" t="e">
        <f ca="1">_xll.BDH($C$428,"NET_FIXED_ASSETS_5_YEAR_GROWTH","FQ2 2016","FQ2 2016","Currency=INR","Period=FQ","BEST_FPERIOD_OVERRIDE=FQ","FILING_STATUS=OR","EQY_CONSOLIDATED=Y","Sort=A","Dates=H","DateFormat=P","Fill=—","Direction=H","UseDPDF=Y")</f>
        <v>#NAME?</v>
      </c>
      <c r="AV440" s="2" t="e">
        <f ca="1">_xll.BDH($C$428,"GEO_GROW_TOT_ASSET","FQ2 2016","FQ2 2016","Currency=INR","Period=FQ","BEST_FPERIOD_OVERRIDE=FQ","FILING_STATUS=OR","EQY_CONSOLIDATED=Y","Sort=A","Dates=H","DateFormat=P","Fill=—","Direction=H","UseDPDF=Y")</f>
        <v>#NAME?</v>
      </c>
      <c r="AW440" s="2" t="e">
        <f ca="1">_xll.BDH($C$428,"MODIFIED_WORKING_CPTL_5YR_GRWTH","FQ2 2016","FQ2 2016","Currency=INR","Period=FQ","BEST_FPERIOD_OVERRIDE=FQ","FILING_STATUS=OR","EQY_CONSOLIDATED=Y","Sort=A","Dates=H","DateFormat=P","Fill=—","Direction=H","UseDPDF=Y")</f>
        <v>#NAME?</v>
      </c>
      <c r="AX440" s="2" t="e">
        <f ca="1">_xll.BDH($C$428,"WORKING_CAPITAL_5_YEAR_GROWTH","FQ2 2016","FQ2 2016","Currency=INR","Period=FQ","BEST_FPERIOD_OVERRIDE=FQ","FILING_STATUS=OR","EQY_CONSOLIDATED=Y","Sort=A","Dates=H","DateFormat=P","Fill=—","Direction=H","UseDPDF=Y")</f>
        <v>#NAME?</v>
      </c>
      <c r="AY440" s="2" t="e">
        <f ca="1">_xll.BDH($C$428,"ACCOUNTS_PAYABLE_5_YEAR_GROWTH","FQ2 2016","FQ2 2016","Currency=INR","Period=FQ","BEST_FPERIOD_OVERRIDE=FQ","FILING_STATUS=OR","EQY_CONSOLIDATED=Y","Sort=A","Dates=H","DateFormat=P","Fill=—","Direction=H","UseDPDF=Y")</f>
        <v>#NAME?</v>
      </c>
      <c r="AZ440" s="2" t="e">
        <f ca="1">_xll.BDH($C$428,"SHORT_TERM_DEBT_5_YEAR_GROWTH","FQ2 2016","FQ2 2016","Currency=INR","Period=FQ","BEST_FPERIOD_OVERRIDE=FQ","FILING_STATUS=OR","EQY_CONSOLIDATED=Y","Sort=A","Dates=H","DateFormat=P","Fill=—","Direction=H","UseDPDF=Y")</f>
        <v>#NAME?</v>
      </c>
      <c r="BA440" s="2" t="e">
        <f ca="1">_xll.BDH($C$428,"TOTAL_DEBT_5_YEAR_GROWTH","FQ2 2016","FQ2 2016","Currency=INR","Period=FQ","BEST_FPERIOD_OVERRIDE=FQ","FILING_STATUS=OR","EQY_CONSOLIDATED=Y","Sort=A","Dates=H","DateFormat=P","Fill=—","Direction=H","UseDPDF=Y")</f>
        <v>#NAME?</v>
      </c>
      <c r="BB440" s="2" t="e">
        <f ca="1">_xll.BDH($C$428,"GEO_GROW_TOT_SHRHLDR_EQY","FQ2 2016","FQ2 2016","Currency=INR","Period=FQ","BEST_FPERIOD_OVERRIDE=FQ","FILING_STATUS=OR","EQY_CONSOLIDATED=Y","Sort=A","Dates=H","DateFormat=P","Fill=—","Direction=H","UseDPDF=Y")</f>
        <v>#NAME?</v>
      </c>
      <c r="BC440" s="2" t="e">
        <f ca="1">_xll.BDH($C$428,"TOTAL_CAPITAL_5_YEAR_GROWTH","FQ2 2016","FQ2 2016","Currency=INR","Period=FQ","BEST_FPERIOD_OVERRIDE=FQ","FILING_STATUS=OR","EQY_CONSOLIDATED=Y","Sort=A","Dates=H","DateFormat=P","Fill=—","Direction=H","UseDPDF=Y")</f>
        <v>#NAME?</v>
      </c>
      <c r="BD440" s="2" t="e">
        <f ca="1">_xll.BDH($C$428,"GEO_GROW_BOOK_VAL","FQ2 2016","FQ2 2016","Currency=INR","Period=FQ","BEST_FPERIOD_OVERRIDE=FQ","FILING_STATUS=OR","EQY_CONSOLIDATED=Y","Sort=A","Dates=H","DateFormat=P","Fill=—","Direction=H","UseDPDF=Y")</f>
        <v>#NAME?</v>
      </c>
      <c r="BE440" s="2" t="e">
        <f ca="1">_xll.BDH($C$428,"GEO_GROW_CASH_OPER_ACT","FQ2 2016","FQ2 2016","Currency=INR","Period=FQ","BEST_FPERIOD_OVERRIDE=FQ","FILING_STATUS=OR","EQY_CONSOLIDATED=Y","Sort=A","Dates=H","DateFormat=P","Fill=—","Direction=H","UseDPDF=Y")</f>
        <v>#NAME?</v>
      </c>
      <c r="BF440" s="2" t="e">
        <f ca="1">_xll.BDH($C$428,"REVENUE_SEQUENTIAL_GROWTH","FQ2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40" s="2" t="e">
        <f ca="1">_xll.BDH($C$428,"EBITDA_SEQUENTIAL_GROWTH","FQ2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40" s="2" t="e">
        <f ca="1">_xll.BDH($C$428,"OPERATING_INCOME_SEQ_GROWTH","FQ2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40" s="2" t="e">
        <f ca="1">_xll.BDH($C$428,"NET_INCOME_TO_COMMON_SEQ_GROWTH","FQ2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40" s="2" t="e">
        <f ca="1">_xll.BDH($C$428,"EPS_DILUTED_SEQUENTIAL_GROWTH","FQ2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40" s="2" t="e">
        <f ca="1">_xll.BDH($C$428,"DPS_SEQUENTIAL_GROWTH","FQ2 2016","FQ2 2016","Currency=INR","Period=FQ","BEST_FPERIOD_OVERRIDE=FQ","FILING_STATUS=OR","EQY_CONSOLIDATED=Y","Sort=A","Dates=H","DateFormat=P","Fill=—","Direction=H","UseDPDF=Y")</f>
        <v>#NAME?</v>
      </c>
      <c r="BL440" s="2" t="e">
        <f ca="1">_xll.BDH($C$428,"ACCOUNTS_RECEIVABLE_SEQ_GROWTH","FQ2 2016","FQ2 2016","Currency=INR","Period=FQ","BEST_FPERIOD_OVERRIDE=FQ","FILING_STATUS=OR","EQY_CONSOLIDATED=Y","Sort=A","Dates=H","DateFormat=P","Fill=—","Direction=H","UseDPDF=Y")</f>
        <v>#NAME?</v>
      </c>
      <c r="BM440" s="2" t="e">
        <f ca="1">_xll.BDH($C$428,"INVENTORY_SEQUENTIAL_GROWTH","FQ2 2016","FQ2 2016","Currency=INR","Period=FQ","BEST_FPERIOD_OVERRIDE=FQ","FILING_STATUS=OR","EQY_CONSOLIDATED=Y","Sort=A","Dates=H","DateFormat=P","Fill=—","Direction=H","UseDPDF=Y")</f>
        <v>#NAME?</v>
      </c>
      <c r="BN440" s="2" t="e">
        <f ca="1">_xll.BDH($C$428,"FIXED_ASSETS_SEQUENTIAL_GROWTH","FQ2 2016","FQ2 2016","Currency=INR","Period=FQ","BEST_FPERIOD_OVERRIDE=FQ","FILING_STATUS=OR","EQY_CONSOLIDATED=Y","Sort=A","Dates=H","DateFormat=P","Fill=—","Direction=H","UseDPDF=Y")</f>
        <v>#NAME?</v>
      </c>
      <c r="BO440" s="2" t="e">
        <f ca="1">_xll.BDH($C$428,"TOTAL_ASSETS_SEQUENTIAL_GROWTH","FQ2 2016","FQ2 2016","Currency=INR","Period=FQ","BEST_FPERIOD_OVERRIDE=FQ","FILING_STATUS=OR","EQY_CONSOLIDATED=Y","Sort=A","Dates=H","DateFormat=P","Fill=—","Direction=H","UseDPDF=Y")</f>
        <v>#NAME?</v>
      </c>
      <c r="BP440" s="2" t="e">
        <f ca="1">_xll.BDH($C$428,"MODIFIED_WORKING_CPTL_SEQ_GRWTH","FQ2 2016","FQ2 2016","Currency=INR","Period=FQ","BEST_FPERIOD_OVERRIDE=FQ","FILING_STATUS=OR","EQY_CONSOLIDATED=Y","Sort=A","Dates=H","DateFormat=P","Fill=—","Direction=H","UseDPDF=Y")</f>
        <v>#NAME?</v>
      </c>
      <c r="BQ440" s="2" t="e">
        <f ca="1">_xll.BDH($C$428,"WORKING_CAPITAL_SEQ_GROWTH","FQ2 2016","FQ2 2016","Currency=INR","Period=FQ","BEST_FPERIOD_OVERRIDE=FQ","FILING_STATUS=OR","EQY_CONSOLIDATED=Y","Sort=A","Dates=H","DateFormat=P","Fill=—","Direction=H","UseDPDF=Y")</f>
        <v>#NAME?</v>
      </c>
      <c r="BR440" s="2" t="e">
        <f ca="1">_xll.BDH($C$428,"ACCOUNTS_PAYABLE_SEQ_GROWTH","FQ2 2016","FQ2 2016","Currency=INR","Period=FQ","BEST_FPERIOD_OVERRIDE=FQ","FILING_STATUS=OR","EQY_CONSOLIDATED=Y","Sort=A","Dates=H","DateFormat=P","Fill=—","Direction=H","UseDPDF=Y")</f>
        <v>#NAME?</v>
      </c>
      <c r="BS440" s="2" t="e">
        <f ca="1">_xll.BDH($C$428,"ST_DEBT_SEQUENTIAL_GROWTH","FQ2 2016","FQ2 2016","Currency=INR","Period=FQ","BEST_FPERIOD_OVERRIDE=FQ","FILING_STATUS=OR","EQY_CONSOLIDATED=Y","Sort=A","Dates=H","DateFormat=P","Fill=—","Direction=H","UseDPDF=Y")</f>
        <v>#NAME?</v>
      </c>
      <c r="BT440" s="2" t="e">
        <f ca="1">_xll.BDH($C$428,"TOTAL_DEBT_SEQUENTIAL_GROWTH","FQ2 2016","FQ2 2016","Currency=INR","Period=FQ","BEST_FPERIOD_OVERRIDE=FQ","FILING_STATUS=OR","EQY_CONSOLIDATED=Y","Sort=A","Dates=H","DateFormat=P","Fill=—","Direction=H","UseDPDF=Y")</f>
        <v>#NAME?</v>
      </c>
      <c r="BU440" s="2" t="e">
        <f ca="1">_xll.BDH($C$428,"TOTAL_EQUITY_SEQUENTIAL_GROWTH","FQ2 2016","FQ2 2016","Currency=INR","Period=FQ","BEST_FPERIOD_OVERRIDE=FQ","FILING_STATUS=OR","EQY_CONSOLIDATED=Y","Sort=A","Dates=H","DateFormat=P","Fill=—","Direction=H","UseDPDF=Y")</f>
        <v>#NAME?</v>
      </c>
      <c r="BV440" s="2" t="e">
        <f ca="1">_xll.BDH($C$428,"TOTAL_CAPITAL_SEQUENTIAL_GROWTH","FQ2 2016","FQ2 2016","Currency=INR","Period=FQ","BEST_FPERIOD_OVERRIDE=FQ","FILING_STATUS=OR","EQY_CONSOLIDATED=Y","Sort=A","Dates=H","DateFormat=P","Fill=—","Direction=H","UseDPDF=Y")</f>
        <v>#NAME?</v>
      </c>
      <c r="BW440" s="2" t="e">
        <f ca="1">_xll.BDH($C$428,"BPS_SEQUENTIAL_GROWTH","FQ2 2016","FQ2 2016","Currency=INR","Period=FQ","BEST_FPERIOD_OVERRIDE=FQ","FILING_STATUS=OR","EQY_CONSOLIDATED=Y","Sort=A","Dates=H","DateFormat=P","Fill=—","Direction=H","UseDPDF=Y")</f>
        <v>#NAME?</v>
      </c>
      <c r="BX440" s="2" t="e">
        <f ca="1">_xll.BDH($C$428,"CFO_SEQUENTIAL_GROWTH","FQ2 2016","FQ2 2016","Currency=INR","Period=FQ","BEST_FPERIOD_OVERRIDE=FQ","FILING_STATUS=OR","EQY_CONSOLIDATED=Y","Sort=A","Dates=H","DateFormat=P","Fill=—","Direction=H","UseDPDF=Y")</f>
        <v>#NAME?</v>
      </c>
      <c r="BY440" s="3" t="e">
        <f ca="1">_xll.BDH($C$428,"SHORT_AND_LONG_TERM_DEBT","FQ2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40" s="3" t="e">
        <f ca="1">_xll.BDH($C$428,"BS_ST_BORROW","FQ2 2016","FQ2 2016","Currency=INR","Period=FQ","BEST_FPERIOD_OVERRIDE=FQ","FILING_STATUS=OR","EQY_CONSOLIDATED=Y","SCALING_FORMAT=MLN","Sort=A","Dates=H","DateFormat=P","Fill=—","Direction=H","UseDPDF=Y")</f>
        <v>#NAME?</v>
      </c>
      <c r="CA440" s="3" t="e">
        <f ca="1">_xll.BDH($C$428,"BS_LT_BORROW","FQ2 2016","FQ2 2016","Currency=INR","Period=FQ","BEST_FPERIOD_OVERRIDE=FQ","FILING_STATUS=OR","EQY_CONSOLIDATED=Y","SCALING_FORMAT=MLN","Sort=A","Dates=H","DateFormat=P","Fill=—","Direction=H","UseDPDF=Y")</f>
        <v>#NAME?</v>
      </c>
      <c r="CB440" s="2" t="e">
        <f ca="1">_xll.BDH($C$428,"TOT_DEBT_TO_EBITDA","FQ2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40" s="2" t="e">
        <f ca="1">_xll.BDH($C$428,"NET_DEBT_TO_EBITDA","FQ2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40" s="2" t="e">
        <f ca="1">_xll.BDH($C$428,"TOTAL_DEBT_TO_EBIT","FQ2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40" s="2" t="e">
        <f ca="1">_xll.BDH($C$428,"NET_DEBT_TO_EBIT","FQ2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40" s="2" t="e">
        <f ca="1">_xll.BDH($C$428,"EBITDA_TO_INTEREST_EXPN","FQ2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40" s="2" t="e">
        <f ca="1">_xll.BDH($C$428,"COM_EQY_TO_TOT_ASSET","FQ2 2016","FQ2 2016","Currency=INR","Period=FQ","BEST_FPERIOD_OVERRIDE=FQ","FILING_STATUS=OR","EQY_CONSOLIDATED=Y","Sort=A","Dates=H","DateFormat=P","Fill=—","Direction=H","UseDPDF=Y")</f>
        <v>#NAME?</v>
      </c>
      <c r="CH440" s="2" t="e">
        <f ca="1">_xll.BDH($C$428,"LT_DEBT_TO_TOT_EQY","FQ2 2016","FQ2 2016","Currency=INR","Period=FQ","BEST_FPERIOD_OVERRIDE=FQ","FILING_STATUS=OR","EQY_CONSOLIDATED=Y","Sort=A","Dates=H","DateFormat=P","Fill=—","Direction=H","UseDPDF=Y")</f>
        <v>#NAME?</v>
      </c>
      <c r="CI440" s="2" t="e">
        <f ca="1">_xll.BDH($C$428,"LT_DEBT_TO_TOT_CAP","FQ2 2016","FQ2 2016","Currency=INR","Period=FQ","BEST_FPERIOD_OVERRIDE=FQ","FILING_STATUS=OR","EQY_CONSOLIDATED=Y","Sort=A","Dates=H","DateFormat=P","Fill=—","Direction=H","UseDPDF=Y")</f>
        <v>#NAME?</v>
      </c>
      <c r="CJ440" s="2" t="e">
        <f ca="1">_xll.BDH($C$428,"LT_DEBT_TO_TOT_ASSET","FQ2 2016","FQ2 2016","Currency=INR","Period=FQ","BEST_FPERIOD_OVERRIDE=FQ","FILING_STATUS=OR","EQY_CONSOLIDATED=Y","Sort=A","Dates=H","DateFormat=P","Fill=—","Direction=H","UseDPDF=Y")</f>
        <v>#NAME?</v>
      </c>
      <c r="CK440" s="2" t="e">
        <f ca="1">_xll.BDH($C$428,"TOT_DEBT_TO_TOT_EQY","FQ2 2016","FQ2 2016","Currency=INR","Period=FQ","BEST_FPERIOD_OVERRIDE=FQ","FILING_STATUS=OR","EQY_CONSOLIDATED=Y","Sort=A","Dates=H","DateFormat=P","Fill=—","Direction=H","UseDPDF=Y")</f>
        <v>#NAME?</v>
      </c>
      <c r="CL440" s="2" t="e">
        <f ca="1">_xll.BDH($C$428,"TOT_DEBT_TO_TOT_CAP","FQ2 2016","FQ2 2016","Currency=INR","Period=FQ","BEST_FPERIOD_OVERRIDE=FQ","FILING_STATUS=OR","EQY_CONSOLIDATED=Y","Sort=A","Dates=H","DateFormat=P","Fill=—","Direction=H","UseDPDF=Y")</f>
        <v>#NAME?</v>
      </c>
      <c r="CM440" s="2" t="e">
        <f ca="1">_xll.BDH($C$428,"TOT_DEBT_TO_TOT_ASSET","FQ2 2016","FQ2 2016","Currency=INR","Period=FQ","BEST_FPERIOD_OVERRIDE=FQ","FILING_STATUS=OR","EQY_CONSOLIDATED=Y","Sort=A","Dates=H","DateFormat=P","Fill=—","Direction=H","UseDPDF=Y")</f>
        <v>#NAME?</v>
      </c>
      <c r="CN440" s="2" t="e">
        <f ca="1">_xll.BDH($C$428,"NET_DEBT_TO_SHRHLDR_EQTY","FQ2 2016","FQ2 2016","Currency=INR","Period=FQ","BEST_FPERIOD_OVERRIDE=FQ","FILING_STATUS=OR","EQY_CONSOLIDATED=Y","Sort=A","Dates=H","DateFormat=P","Fill=—","Direction=H","UseDPDF=Y")</f>
        <v>#NAME?</v>
      </c>
      <c r="CO440" s="2" t="e">
        <f ca="1">_xll.BDH($C$428,"NET_DEBT_%_CAPITAL","FQ2 2016","FQ2 2016","Currency=INR","Period=FQ","BEST_FPERIOD_OVERRIDE=FQ","FILING_STATUS=OR","EQY_CONSOLIDATED=Y","Sort=A","Dates=H","DateFormat=P","Fill=—","Direction=H","UseDPDF=Y")</f>
        <v>#NAME?</v>
      </c>
      <c r="CP440" s="3" t="e">
        <f ca="1">_xll.BDH($C$428,"EBITDA","FQ2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40" s="3" t="e">
        <f ca="1">_xll.BDH($C$428,"EBITDA_AFTER_CAPEX","FQ2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40" s="3" t="e">
        <f ca="1">_xll.BDH($C$428,"IS_OPER_INC","FQ2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40" s="2" t="e">
        <f ca="1">_xll.BDH($C$428,"CASH_RATIO","FQ2 2016","FQ2 2016","Currency=INR","Period=FQ","BEST_FPERIOD_OVERRIDE=FQ","FILING_STATUS=OR","EQY_CONSOLIDATED=Y","Sort=A","Dates=H","DateFormat=P","Fill=—","Direction=H","UseDPDF=Y")</f>
        <v>#NAME?</v>
      </c>
      <c r="CT440" s="2" t="e">
        <f ca="1">_xll.BDH($C$428,"CUR_RATIO","FQ2 2016","FQ2 2016","Currency=INR","Period=FQ","BEST_FPERIOD_OVERRIDE=FQ","FILING_STATUS=OR","EQY_CONSOLIDATED=Y","Sort=A","Dates=H","DateFormat=P","Fill=—","Direction=H","UseDPDF=Y")</f>
        <v>#NAME?</v>
      </c>
      <c r="CU440" s="2" t="e">
        <f ca="1">_xll.BDH($C$428,"QUICK_RATIO","FQ2 2016","FQ2 2016","Currency=INR","Period=FQ","BEST_FPERIOD_OVERRIDE=FQ","FILING_STATUS=OR","EQY_CONSOLIDATED=Y","Sort=A","Dates=H","DateFormat=P","Fill=—","Direction=H","UseDPDF=Y")</f>
        <v>#NAME?</v>
      </c>
      <c r="CV440" s="2" t="e">
        <f ca="1">_xll.BDH($C$428,"ALTMAN_Z_SCORE","FQ2 2016","FQ2 2016","Currency=INR","Period=FQ","BEST_FPERIOD_OVERRIDE=FQ","FILING_STATUS=OR","EQY_CONSOLIDATED=Y","Sort=A","Dates=H","DateFormat=P","Fill=—","Direction=H","UseDPDF=Y")</f>
        <v>#NAME?</v>
      </c>
      <c r="CW440" s="4" t="e">
        <f ca="1">_xll.BDH($C$428,"ACCT_RCV_TURN","FQ2 2016","FQ2 2016","Currency=INR","Period=FQ","BEST_FPERIOD_OVERRIDE=FQ","FILING_STATUS=OR","EQY_CONSOLIDATED=Y","FA_ADJUSTED=GAAP","Sort=A","Dates=H","DateFormat=P","Fill=—","Direction=H","UseDPDF=Y")</f>
        <v>#NAME?</v>
      </c>
      <c r="CX440" s="2" t="e">
        <f ca="1">_xll.BDH($C$428,"ACCT_RCV_DAYS","FQ2 2016","FQ2 2016","Currency=INR","Period=FQ","BEST_FPERIOD_OVERRIDE=FQ","FILING_STATUS=OR","EQY_CONSOLIDATED=Y","FA_ADJUSTED=GAAP","Sort=A","Dates=H","DateFormat=P","Fill=—","Direction=H","UseDPDF=Y")</f>
        <v>#NAME?</v>
      </c>
      <c r="CY440" s="4" t="e">
        <f ca="1">_xll.BDH($C$428,"INVENT_TURN","FQ2 2016","FQ2 2016","Currency=INR","Period=FQ","BEST_FPERIOD_OVERRIDE=FQ","FILING_STATUS=OR","EQY_CONSOLIDATED=Y","FA_ADJUSTED=GAAP","Sort=A","Dates=H","DateFormat=P","Fill=—","Direction=H","UseDPDF=Y")</f>
        <v>#NAME?</v>
      </c>
      <c r="CZ440" s="2" t="e">
        <f ca="1">_xll.BDH($C$428,"INVENT_DAYS","FQ2 2016","FQ2 2016","Currency=INR","Period=FQ","BEST_FPERIOD_OVERRIDE=FQ","FILING_STATUS=OR","EQY_CONSOLIDATED=Y","FA_ADJUSTED=GAAP","Sort=A","Dates=H","DateFormat=P","Fill=—","Direction=H","UseDPDF=Y")</f>
        <v>#NAME?</v>
      </c>
      <c r="DA440" s="4" t="e">
        <f ca="1">_xll.BDH($C$428,"ACCOUNTS_PAYABLE_TURNOVER","FQ2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40" s="2" t="e">
        <f ca="1">_xll.BDH($C$428,"ACCOUNTS_PAYABLE_TURNOVER_DAYS","FQ2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40" s="4" t="e">
        <f ca="1">_xll.BDH($C$428,"CASH_CONVERSION_CYCLE","FQ2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40" s="4" t="e">
        <f ca="1">_xll.BDH($C$428,"INV_TO_CASH_DAYS","FQ2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40" s="5" t="e">
        <f ca="1">_xll.BDH($C$428,"BS_INVENTORIES","FQ2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40" s="3" t="e">
        <f ca="1">_xll.BDH($C$428,"INVTRY_RAW_MATERIALS","FQ2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40" s="3" t="e">
        <f ca="1">_xll.BDH($C$428,"INVTRY_IN_PROGRESS","FQ2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40" s="3" t="e">
        <f ca="1">_xll.BDH($C$428,"INVTRY_FINISHED_GOODS","FQ2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40" s="3" t="e">
        <f ca="1">_xll.BDH($C$428,"BS_OTHER_INV","FQ2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41" spans="1:113" x14ac:dyDescent="0.3">
      <c r="A441" s="6"/>
      <c r="B441" s="6"/>
      <c r="C441" s="6"/>
      <c r="D441" s="6"/>
      <c r="E441" t="s">
        <v>80</v>
      </c>
      <c r="F441" t="e">
        <f ca="1">_xll.BDH($C$428,"RETURN_COM_EQY","FQ3 2016","FQ3 2016","Currency=INR","Period=FQ","BEST_FPERIOD_OVERRIDE=FQ","FILING_STATUS=OR","EQY_CONSOLIDATED=Y","FA_ADJUSTED=GAAP","Sort=A","Dates=H","DateFormat=P","Fill=—","Direction=H","UseDPDF=Y")</f>
        <v>#NAME?</v>
      </c>
      <c r="G441" t="e">
        <f ca="1">_xll.BDH($C$428,"RETURN_ON_ASSET","FQ3 2016","FQ3 2016","Currency=INR","Period=FQ","BEST_FPERIOD_OVERRIDE=FQ","FILING_STATUS=OR","EQY_CONSOLIDATED=Y","FA_ADJUSTED=GAAP","Sort=A","Dates=H","DateFormat=P","Fill=—","Direction=H","UseDPDF=Y")</f>
        <v>#NAME?</v>
      </c>
      <c r="H441" t="e">
        <f ca="1">_xll.BDH($C$428,"RETURN_ON_CAP","FQ3 2016","FQ3 2016","Currency=INR","Period=FQ","BEST_FPERIOD_OVERRIDE=FQ","FILING_STATUS=OR","EQY_CONSOLIDATED=Y","FA_ADJUSTED=GAAP","Sort=A","Dates=H","DateFormat=P","Fill=—","Direction=H","UseDPDF=Y")</f>
        <v>#NAME?</v>
      </c>
      <c r="I441" t="e">
        <f ca="1">_xll.BDH($C$428,"RETURN_ON_INV_CAPITAL","FQ3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41" t="e">
        <f ca="1">_xll.BDH($C$428,"EBITDA_TO_REVENUE","FQ3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41" t="e">
        <f ca="1">_xll.BDH($C$428,"OPER_MARGIN","FQ3 2016","FQ3 2016","Currency=INR","Period=FQ","BEST_FPERIOD_OVERRIDE=FQ","FILING_STATUS=OR","EQY_CONSOLIDATED=Y","FA_ADJUSTED=GAAP","Sort=A","Dates=H","DateFormat=P","Fill=—","Direction=H","UseDPDF=Y")</f>
        <v>#NAME?</v>
      </c>
      <c r="L441" t="e">
        <f ca="1">_xll.BDH($C$428,"INCREMENTAL_OPERATING_MARGIN","FQ3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41" t="e">
        <f ca="1">_xll.BDH($C$428,"PRETAX_INC_TO_NET_SALES","FQ3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41" t="e">
        <f ca="1">_xll.BDH($C$428,"INC_BEF_XO_ITEMS_TO_NET_SALES","FQ3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41" t="e">
        <f ca="1">_xll.BDH($C$428,"PROF_MARGIN","FQ3 2016","FQ3 2016","Currency=INR","Period=FQ","BEST_FPERIOD_OVERRIDE=FQ","FILING_STATUS=OR","EQY_CONSOLIDATED=Y","FA_ADJUSTED=GAAP","Sort=A","Dates=H","DateFormat=P","Fill=—","Direction=H","UseDPDF=Y")</f>
        <v>#NAME?</v>
      </c>
      <c r="P441" t="e">
        <f ca="1">_xll.BDH($C$428,"NET_INCOME_TO_COMMON_MARGIN","FQ3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41" t="e">
        <f ca="1">_xll.BDH($C$428,"EFF_TAX_RATE","FQ3 2016","FQ3 2016","Currency=INR","Period=FQ","BEST_FPERIOD_OVERRIDE=FQ","FILING_STATUS=OR","EQY_CONSOLIDATED=Y","FA_ADJUSTED=GAAP","Sort=A","Dates=H","DateFormat=P","Fill=—","Direction=H","UseDPDF=Y")</f>
        <v>#NAME?</v>
      </c>
      <c r="R441" t="e">
        <f ca="1">_xll.BDH($C$428,"DVD_PAYOUT_RATIO","FQ3 2016","FQ3 2016","Currency=INR","Period=FQ","BEST_FPERIOD_OVERRIDE=FQ","FILING_STATUS=OR","EQY_CONSOLIDATED=Y","FA_ADJUSTED=GAAP","Sort=A","Dates=H","DateFormat=P","Fill=—","Direction=H","UseDPDF=Y")</f>
        <v>#NAME?</v>
      </c>
      <c r="S441" t="e">
        <f ca="1">_xll.BDH($C$428,"SUSTAIN_GROWTH_RT","FQ3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41" s="2" t="e">
        <f ca="1">_xll.BDH($C$428,"SALES_GROWTH","FQ3 2016","FQ3 2016","Currency=INR","Period=FQ","BEST_FPERIOD_OVERRIDE=FQ","FILING_STATUS=OR","EQY_CONSOLIDATED=Y","FA_ADJUSTED=GAAP","Sort=A","Dates=H","DateFormat=P","Fill=—","Direction=H","UseDPDF=Y")</f>
        <v>#NAME?</v>
      </c>
      <c r="U441" s="2" t="e">
        <f ca="1">_xll.BDH($C$428,"EBITDA_GROWTH","FQ3 2016","FQ3 2016","Currency=INR","Period=FQ","BEST_FPERIOD_OVERRIDE=FQ","FILING_STATUS=OR","EQY_CONSOLIDATED=Y","FA_ADJUSTED=GAAP","Sort=A","Dates=H","DateFormat=P","Fill=—","Direction=H","UseDPDF=Y")</f>
        <v>#NAME?</v>
      </c>
      <c r="V441" s="2" t="e">
        <f ca="1">_xll.BDH($C$428,"OPER_INC_GROWTH","FQ3 2016","FQ3 2016","Currency=INR","Period=FQ","BEST_FPERIOD_OVERRIDE=FQ","FILING_STATUS=OR","EQY_CONSOLIDATED=Y","FA_ADJUSTED=GAAP","Sort=A","Dates=H","DateFormat=P","Fill=—","Direction=H","UseDPDF=Y")</f>
        <v>#NAME?</v>
      </c>
      <c r="W441" s="2" t="e">
        <f ca="1">_xll.BDH($C$428,"EARN_FOR_COM_GROWTH","FQ3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41" s="2" t="e">
        <f ca="1">_xll.BDH($C$428,"DILUTED_EPS_AFT_XO_ITEMS_GROWTH","FQ3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41" s="2" t="e">
        <f ca="1">_xll.BDH($C$428,"DIVIDEND_PER_SHARE_1_YEAR_GROWTH","FQ3 2016","FQ3 2016","Currency=INR","Period=FQ","BEST_FPERIOD_OVERRIDE=FQ","FILING_STATUS=OR","EQY_CONSOLIDATED=Y","Sort=A","Dates=H","DateFormat=P","Fill=—","Direction=H","UseDPDF=Y")</f>
        <v>#NAME?</v>
      </c>
      <c r="Z441" s="2" t="e">
        <f ca="1">_xll.BDH($C$428,"ACCOUNTS_RECEIVABLE_GROWTH","FQ3 2016","FQ3 2016","Currency=INR","Period=FQ","BEST_FPERIOD_OVERRIDE=FQ","FILING_STATUS=OR","EQY_CONSOLIDATED=Y","Sort=A","Dates=H","DateFormat=P","Fill=—","Direction=H","UseDPDF=Y")</f>
        <v>#NAME?</v>
      </c>
      <c r="AA441" s="2" t="e">
        <f ca="1">_xll.BDH($C$428,"INVENTORY_GROWTH","FQ3 2016","FQ3 2016","Currency=INR","Period=FQ","BEST_FPERIOD_OVERRIDE=FQ","FILING_STATUS=OR","EQY_CONSOLIDATED=Y","Sort=A","Dates=H","DateFormat=P","Fill=—","Direction=H","UseDPDF=Y")</f>
        <v>#NAME?</v>
      </c>
      <c r="AB441" s="2" t="e">
        <f ca="1">_xll.BDH($C$428,"NET_FIXED_ASSETS_1_YEAR_GROWTH","FQ3 2016","FQ3 2016","Currency=INR","Period=FQ","BEST_FPERIOD_OVERRIDE=FQ","FILING_STATUS=OR","EQY_CONSOLIDATED=Y","Sort=A","Dates=H","DateFormat=P","Fill=—","Direction=H","UseDPDF=Y")</f>
        <v>#NAME?</v>
      </c>
      <c r="AC441" s="2" t="e">
        <f ca="1">_xll.BDH($C$428,"ASSET_GROWTH","FQ3 2016","FQ3 2016","Currency=INR","Period=FQ","BEST_FPERIOD_OVERRIDE=FQ","FILING_STATUS=OR","EQY_CONSOLIDATED=Y","Sort=A","Dates=H","DateFormat=P","Fill=—","Direction=H","UseDPDF=Y")</f>
        <v>#NAME?</v>
      </c>
      <c r="AD441" s="2" t="e">
        <f ca="1">_xll.BDH($C$428,"MODIFIED_WORK_CAP_GROWTH","FQ3 2016","FQ3 2016","Currency=INR","Period=FQ","BEST_FPERIOD_OVERRIDE=FQ","FILING_STATUS=OR","EQY_CONSOLIDATED=Y","Sort=A","Dates=H","DateFormat=P","Fill=—","Direction=H","UseDPDF=Y")</f>
        <v>#NAME?</v>
      </c>
      <c r="AE441" s="2" t="e">
        <f ca="1">_xll.BDH($C$428,"WORK_CAP_GROWTH","FQ3 2016","FQ3 2016","Currency=INR","Period=FQ","BEST_FPERIOD_OVERRIDE=FQ","FILING_STATUS=OR","EQY_CONSOLIDATED=Y","Sort=A","Dates=H","DateFormat=P","Fill=—","Direction=H","UseDPDF=Y")</f>
        <v>#NAME?</v>
      </c>
      <c r="AF441" s="2" t="e">
        <f ca="1">_xll.BDH($C$428,"ACCOUNTS_PAYABLE_GROWTH_1YR","FQ3 2016","FQ3 2016","Currency=INR","Period=FQ","BEST_FPERIOD_OVERRIDE=FQ","FILING_STATUS=OR","EQY_CONSOLIDATED=Y","Sort=A","Dates=H","DateFormat=P","Fill=—","Direction=H","UseDPDF=Y")</f>
        <v>#NAME?</v>
      </c>
      <c r="AG441" s="2" t="e">
        <f ca="1">_xll.BDH($C$428,"SHORT_TERM_DEBT_1_YEAR_GROWTH","FQ3 2016","FQ3 2016","Currency=INR","Period=FQ","BEST_FPERIOD_OVERRIDE=FQ","FILING_STATUS=OR","EQY_CONSOLIDATED=Y","Sort=A","Dates=H","DateFormat=P","Fill=—","Direction=H","UseDPDF=Y")</f>
        <v>#NAME?</v>
      </c>
      <c r="AH441" s="2" t="e">
        <f ca="1">_xll.BDH($C$428,"TOTAL_DEBT_1_YEAR_GROWTH","FQ3 2016","FQ3 2016","Currency=INR","Period=FQ","BEST_FPERIOD_OVERRIDE=FQ","FILING_STATUS=OR","EQY_CONSOLIDATED=Y","Sort=A","Dates=H","DateFormat=P","Fill=—","Direction=H","UseDPDF=Y")</f>
        <v>#NAME?</v>
      </c>
      <c r="AI441" s="2" t="e">
        <f ca="1">_xll.BDH($C$428,"TOTAL_EQUITY_1_YEAR_GROWTH","FQ3 2016","FQ3 2016","Currency=INR","Period=FQ","BEST_FPERIOD_OVERRIDE=FQ","FILING_STATUS=OR","EQY_CONSOLIDATED=Y","Sort=A","Dates=H","DateFormat=P","Fill=—","Direction=H","UseDPDF=Y")</f>
        <v>#NAME?</v>
      </c>
      <c r="AJ441" s="2" t="e">
        <f ca="1">_xll.BDH($C$428,"GROWTH_IN_CAP","FQ3 2016","FQ3 2016","Currency=INR","Period=FQ","BEST_FPERIOD_OVERRIDE=FQ","FILING_STATUS=OR","EQY_CONSOLIDATED=Y","Sort=A","Dates=H","DateFormat=P","Fill=—","Direction=H","UseDPDF=Y")</f>
        <v>#NAME?</v>
      </c>
      <c r="AK441" s="2" t="e">
        <f ca="1">_xll.BDH($C$428,"BVPS_GROWTH","FQ3 2016","FQ3 2016","Currency=INR","Period=FQ","BEST_FPERIOD_OVERRIDE=FQ","FILING_STATUS=OR","EQY_CONSOLIDATED=Y","Sort=A","Dates=H","DateFormat=P","Fill=—","Direction=H","UseDPDF=Y")</f>
        <v>#NAME?</v>
      </c>
      <c r="AL441" s="2" t="e">
        <f ca="1">_xll.BDH($C$428,"CASH_FLOW_GROWTH","FQ3 2016","FQ3 2016","Currency=INR","Period=FQ","BEST_FPERIOD_OVERRIDE=FQ","FILING_STATUS=OR","EQY_CONSOLIDATED=Y","Sort=A","Dates=H","DateFormat=P","Fill=—","Direction=H","UseDPDF=Y")</f>
        <v>#NAME?</v>
      </c>
      <c r="AM441" s="2" t="e">
        <f ca="1">_xll.BDH($C$428,"GEO_GROW_NET_SALES","FQ3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41" s="2" t="e">
        <f ca="1">_xll.BDH($C$428,"GEO_GROW_EBITDA","FQ3 2016","FQ3 2016","Currency=INR","Period=FQ","BEST_FPERIOD_OVERRIDE=FQ","FILING_STATUS=OR","EQY_CONSOLIDATED=Y","FA_ADJUSTED=GAAP","Sort=A","Dates=H","DateFormat=P","Fill=—","Direction=H","UseDPDF=Y")</f>
        <v>#NAME?</v>
      </c>
      <c r="AO441" s="2" t="e">
        <f ca="1">_xll.BDH($C$428,"GEO_GROW_OPER_INC","FQ3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41" s="2" t="e">
        <f ca="1">_xll.BDH($C$428,"NET_INCOME_TO_COMMON_5_YR_GROWTH","FQ3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41" s="2" t="e">
        <f ca="1">_xll.BDH($C$428,"5Y_GEO_GROWTH_DILUTED_EPS","FQ3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41" s="2" t="e">
        <f ca="1">_xll.BDH($C$428,"GEO_GROW_DVD_PER_SH","FQ3 2016","FQ3 2016","Currency=INR","Period=FQ","BEST_FPERIOD_OVERRIDE=FQ","FILING_STATUS=OR","EQY_CONSOLIDATED=Y","Sort=A","Dates=H","DateFormat=P","Fill=—","Direction=H","UseDPDF=Y")</f>
        <v>#NAME?</v>
      </c>
      <c r="AS441" s="2" t="e">
        <f ca="1">_xll.BDH($C$428,"ACCOUNTS_RECEIVABLE_5_YR_GROWTH","FQ3 2016","FQ3 2016","Currency=INR","Period=FQ","BEST_FPERIOD_OVERRIDE=FQ","FILING_STATUS=OR","EQY_CONSOLIDATED=Y","Sort=A","Dates=H","DateFormat=P","Fill=—","Direction=H","UseDPDF=Y")</f>
        <v>#NAME?</v>
      </c>
      <c r="AT441" s="2" t="e">
        <f ca="1">_xll.BDH($C$428,"INVENTORY_5_YEAR_GROWTH","FQ3 2016","FQ3 2016","Currency=INR","Period=FQ","BEST_FPERIOD_OVERRIDE=FQ","FILING_STATUS=OR","EQY_CONSOLIDATED=Y","Sort=A","Dates=H","DateFormat=P","Fill=—","Direction=H","UseDPDF=Y")</f>
        <v>#NAME?</v>
      </c>
      <c r="AU441" s="2" t="e">
        <f ca="1">_xll.BDH($C$428,"NET_FIXED_ASSETS_5_YEAR_GROWTH","FQ3 2016","FQ3 2016","Currency=INR","Period=FQ","BEST_FPERIOD_OVERRIDE=FQ","FILING_STATUS=OR","EQY_CONSOLIDATED=Y","Sort=A","Dates=H","DateFormat=P","Fill=—","Direction=H","UseDPDF=Y")</f>
        <v>#NAME?</v>
      </c>
      <c r="AV441" s="2" t="e">
        <f ca="1">_xll.BDH($C$428,"GEO_GROW_TOT_ASSET","FQ3 2016","FQ3 2016","Currency=INR","Period=FQ","BEST_FPERIOD_OVERRIDE=FQ","FILING_STATUS=OR","EQY_CONSOLIDATED=Y","Sort=A","Dates=H","DateFormat=P","Fill=—","Direction=H","UseDPDF=Y")</f>
        <v>#NAME?</v>
      </c>
      <c r="AW441" s="2" t="e">
        <f ca="1">_xll.BDH($C$428,"MODIFIED_WORKING_CPTL_5YR_GRWTH","FQ3 2016","FQ3 2016","Currency=INR","Period=FQ","BEST_FPERIOD_OVERRIDE=FQ","FILING_STATUS=OR","EQY_CONSOLIDATED=Y","Sort=A","Dates=H","DateFormat=P","Fill=—","Direction=H","UseDPDF=Y")</f>
        <v>#NAME?</v>
      </c>
      <c r="AX441" s="2" t="e">
        <f ca="1">_xll.BDH($C$428,"WORKING_CAPITAL_5_YEAR_GROWTH","FQ3 2016","FQ3 2016","Currency=INR","Period=FQ","BEST_FPERIOD_OVERRIDE=FQ","FILING_STATUS=OR","EQY_CONSOLIDATED=Y","Sort=A","Dates=H","DateFormat=P","Fill=—","Direction=H","UseDPDF=Y")</f>
        <v>#NAME?</v>
      </c>
      <c r="AY441" s="2" t="e">
        <f ca="1">_xll.BDH($C$428,"ACCOUNTS_PAYABLE_5_YEAR_GROWTH","FQ3 2016","FQ3 2016","Currency=INR","Period=FQ","BEST_FPERIOD_OVERRIDE=FQ","FILING_STATUS=OR","EQY_CONSOLIDATED=Y","Sort=A","Dates=H","DateFormat=P","Fill=—","Direction=H","UseDPDF=Y")</f>
        <v>#NAME?</v>
      </c>
      <c r="AZ441" s="2" t="e">
        <f ca="1">_xll.BDH($C$428,"SHORT_TERM_DEBT_5_YEAR_GROWTH","FQ3 2016","FQ3 2016","Currency=INR","Period=FQ","BEST_FPERIOD_OVERRIDE=FQ","FILING_STATUS=OR","EQY_CONSOLIDATED=Y","Sort=A","Dates=H","DateFormat=P","Fill=—","Direction=H","UseDPDF=Y")</f>
        <v>#NAME?</v>
      </c>
      <c r="BA441" s="2" t="e">
        <f ca="1">_xll.BDH($C$428,"TOTAL_DEBT_5_YEAR_GROWTH","FQ3 2016","FQ3 2016","Currency=INR","Period=FQ","BEST_FPERIOD_OVERRIDE=FQ","FILING_STATUS=OR","EQY_CONSOLIDATED=Y","Sort=A","Dates=H","DateFormat=P","Fill=—","Direction=H","UseDPDF=Y")</f>
        <v>#NAME?</v>
      </c>
      <c r="BB441" s="2" t="e">
        <f ca="1">_xll.BDH($C$428,"GEO_GROW_TOT_SHRHLDR_EQY","FQ3 2016","FQ3 2016","Currency=INR","Period=FQ","BEST_FPERIOD_OVERRIDE=FQ","FILING_STATUS=OR","EQY_CONSOLIDATED=Y","Sort=A","Dates=H","DateFormat=P","Fill=—","Direction=H","UseDPDF=Y")</f>
        <v>#NAME?</v>
      </c>
      <c r="BC441" s="2" t="e">
        <f ca="1">_xll.BDH($C$428,"TOTAL_CAPITAL_5_YEAR_GROWTH","FQ3 2016","FQ3 2016","Currency=INR","Period=FQ","BEST_FPERIOD_OVERRIDE=FQ","FILING_STATUS=OR","EQY_CONSOLIDATED=Y","Sort=A","Dates=H","DateFormat=P","Fill=—","Direction=H","UseDPDF=Y")</f>
        <v>#NAME?</v>
      </c>
      <c r="BD441" s="2" t="e">
        <f ca="1">_xll.BDH($C$428,"GEO_GROW_BOOK_VAL","FQ3 2016","FQ3 2016","Currency=INR","Period=FQ","BEST_FPERIOD_OVERRIDE=FQ","FILING_STATUS=OR","EQY_CONSOLIDATED=Y","Sort=A","Dates=H","DateFormat=P","Fill=—","Direction=H","UseDPDF=Y")</f>
        <v>#NAME?</v>
      </c>
      <c r="BE441" s="2" t="e">
        <f ca="1">_xll.BDH($C$428,"GEO_GROW_CASH_OPER_ACT","FQ3 2016","FQ3 2016","Currency=INR","Period=FQ","BEST_FPERIOD_OVERRIDE=FQ","FILING_STATUS=OR","EQY_CONSOLIDATED=Y","Sort=A","Dates=H","DateFormat=P","Fill=—","Direction=H","UseDPDF=Y")</f>
        <v>#NAME?</v>
      </c>
      <c r="BF441" s="2" t="e">
        <f ca="1">_xll.BDH($C$428,"REVENUE_SEQUENTIAL_GROWTH","FQ3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41" s="2" t="e">
        <f ca="1">_xll.BDH($C$428,"EBITDA_SEQUENTIAL_GROWTH","FQ3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41" s="2" t="e">
        <f ca="1">_xll.BDH($C$428,"OPERATING_INCOME_SEQ_GROWTH","FQ3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41" s="2" t="e">
        <f ca="1">_xll.BDH($C$428,"NET_INCOME_TO_COMMON_SEQ_GROWTH","FQ3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41" s="2" t="e">
        <f ca="1">_xll.BDH($C$428,"EPS_DILUTED_SEQUENTIAL_GROWTH","FQ3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41" s="2" t="e">
        <f ca="1">_xll.BDH($C$428,"DPS_SEQUENTIAL_GROWTH","FQ3 2016","FQ3 2016","Currency=INR","Period=FQ","BEST_FPERIOD_OVERRIDE=FQ","FILING_STATUS=OR","EQY_CONSOLIDATED=Y","Sort=A","Dates=H","DateFormat=P","Fill=—","Direction=H","UseDPDF=Y")</f>
        <v>#NAME?</v>
      </c>
      <c r="BL441" s="2" t="e">
        <f ca="1">_xll.BDH($C$428,"ACCOUNTS_RECEIVABLE_SEQ_GROWTH","FQ3 2016","FQ3 2016","Currency=INR","Period=FQ","BEST_FPERIOD_OVERRIDE=FQ","FILING_STATUS=OR","EQY_CONSOLIDATED=Y","Sort=A","Dates=H","DateFormat=P","Fill=—","Direction=H","UseDPDF=Y")</f>
        <v>#NAME?</v>
      </c>
      <c r="BM441" s="2" t="e">
        <f ca="1">_xll.BDH($C$428,"INVENTORY_SEQUENTIAL_GROWTH","FQ3 2016","FQ3 2016","Currency=INR","Period=FQ","BEST_FPERIOD_OVERRIDE=FQ","FILING_STATUS=OR","EQY_CONSOLIDATED=Y","Sort=A","Dates=H","DateFormat=P","Fill=—","Direction=H","UseDPDF=Y")</f>
        <v>#NAME?</v>
      </c>
      <c r="BN441" s="2" t="e">
        <f ca="1">_xll.BDH($C$428,"FIXED_ASSETS_SEQUENTIAL_GROWTH","FQ3 2016","FQ3 2016","Currency=INR","Period=FQ","BEST_FPERIOD_OVERRIDE=FQ","FILING_STATUS=OR","EQY_CONSOLIDATED=Y","Sort=A","Dates=H","DateFormat=P","Fill=—","Direction=H","UseDPDF=Y")</f>
        <v>#NAME?</v>
      </c>
      <c r="BO441" s="2" t="e">
        <f ca="1">_xll.BDH($C$428,"TOTAL_ASSETS_SEQUENTIAL_GROWTH","FQ3 2016","FQ3 2016","Currency=INR","Period=FQ","BEST_FPERIOD_OVERRIDE=FQ","FILING_STATUS=OR","EQY_CONSOLIDATED=Y","Sort=A","Dates=H","DateFormat=P","Fill=—","Direction=H","UseDPDF=Y")</f>
        <v>#NAME?</v>
      </c>
      <c r="BP441" s="2" t="e">
        <f ca="1">_xll.BDH($C$428,"MODIFIED_WORKING_CPTL_SEQ_GRWTH","FQ3 2016","FQ3 2016","Currency=INR","Period=FQ","BEST_FPERIOD_OVERRIDE=FQ","FILING_STATUS=OR","EQY_CONSOLIDATED=Y","Sort=A","Dates=H","DateFormat=P","Fill=—","Direction=H","UseDPDF=Y")</f>
        <v>#NAME?</v>
      </c>
      <c r="BQ441" s="2" t="e">
        <f ca="1">_xll.BDH($C$428,"WORKING_CAPITAL_SEQ_GROWTH","FQ3 2016","FQ3 2016","Currency=INR","Period=FQ","BEST_FPERIOD_OVERRIDE=FQ","FILING_STATUS=OR","EQY_CONSOLIDATED=Y","Sort=A","Dates=H","DateFormat=P","Fill=—","Direction=H","UseDPDF=Y")</f>
        <v>#NAME?</v>
      </c>
      <c r="BR441" s="2" t="e">
        <f ca="1">_xll.BDH($C$428,"ACCOUNTS_PAYABLE_SEQ_GROWTH","FQ3 2016","FQ3 2016","Currency=INR","Period=FQ","BEST_FPERIOD_OVERRIDE=FQ","FILING_STATUS=OR","EQY_CONSOLIDATED=Y","Sort=A","Dates=H","DateFormat=P","Fill=—","Direction=H","UseDPDF=Y")</f>
        <v>#NAME?</v>
      </c>
      <c r="BS441" s="2" t="e">
        <f ca="1">_xll.BDH($C$428,"ST_DEBT_SEQUENTIAL_GROWTH","FQ3 2016","FQ3 2016","Currency=INR","Period=FQ","BEST_FPERIOD_OVERRIDE=FQ","FILING_STATUS=OR","EQY_CONSOLIDATED=Y","Sort=A","Dates=H","DateFormat=P","Fill=—","Direction=H","UseDPDF=Y")</f>
        <v>#NAME?</v>
      </c>
      <c r="BT441" s="2" t="e">
        <f ca="1">_xll.BDH($C$428,"TOTAL_DEBT_SEQUENTIAL_GROWTH","FQ3 2016","FQ3 2016","Currency=INR","Period=FQ","BEST_FPERIOD_OVERRIDE=FQ","FILING_STATUS=OR","EQY_CONSOLIDATED=Y","Sort=A","Dates=H","DateFormat=P","Fill=—","Direction=H","UseDPDF=Y")</f>
        <v>#NAME?</v>
      </c>
      <c r="BU441" s="2" t="e">
        <f ca="1">_xll.BDH($C$428,"TOTAL_EQUITY_SEQUENTIAL_GROWTH","FQ3 2016","FQ3 2016","Currency=INR","Period=FQ","BEST_FPERIOD_OVERRIDE=FQ","FILING_STATUS=OR","EQY_CONSOLIDATED=Y","Sort=A","Dates=H","DateFormat=P","Fill=—","Direction=H","UseDPDF=Y")</f>
        <v>#NAME?</v>
      </c>
      <c r="BV441" s="2" t="e">
        <f ca="1">_xll.BDH($C$428,"TOTAL_CAPITAL_SEQUENTIAL_GROWTH","FQ3 2016","FQ3 2016","Currency=INR","Period=FQ","BEST_FPERIOD_OVERRIDE=FQ","FILING_STATUS=OR","EQY_CONSOLIDATED=Y","Sort=A","Dates=H","DateFormat=P","Fill=—","Direction=H","UseDPDF=Y")</f>
        <v>#NAME?</v>
      </c>
      <c r="BW441" s="2" t="e">
        <f ca="1">_xll.BDH($C$428,"BPS_SEQUENTIAL_GROWTH","FQ3 2016","FQ3 2016","Currency=INR","Period=FQ","BEST_FPERIOD_OVERRIDE=FQ","FILING_STATUS=OR","EQY_CONSOLIDATED=Y","Sort=A","Dates=H","DateFormat=P","Fill=—","Direction=H","UseDPDF=Y")</f>
        <v>#NAME?</v>
      </c>
      <c r="BX441" s="2" t="e">
        <f ca="1">_xll.BDH($C$428,"CFO_SEQUENTIAL_GROWTH","FQ3 2016","FQ3 2016","Currency=INR","Period=FQ","BEST_FPERIOD_OVERRIDE=FQ","FILING_STATUS=OR","EQY_CONSOLIDATED=Y","Sort=A","Dates=H","DateFormat=P","Fill=—","Direction=H","UseDPDF=Y")</f>
        <v>#NAME?</v>
      </c>
      <c r="BY441" s="3" t="e">
        <f ca="1">_xll.BDH($C$428,"SHORT_AND_LONG_TERM_DEBT","FQ3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41" s="3" t="e">
        <f ca="1">_xll.BDH($C$428,"BS_ST_BORROW","FQ3 2016","FQ3 2016","Currency=INR","Period=FQ","BEST_FPERIOD_OVERRIDE=FQ","FILING_STATUS=OR","EQY_CONSOLIDATED=Y","SCALING_FORMAT=MLN","Sort=A","Dates=H","DateFormat=P","Fill=—","Direction=H","UseDPDF=Y")</f>
        <v>#NAME?</v>
      </c>
      <c r="CA441" s="3" t="e">
        <f ca="1">_xll.BDH($C$428,"BS_LT_BORROW","FQ3 2016","FQ3 2016","Currency=INR","Period=FQ","BEST_FPERIOD_OVERRIDE=FQ","FILING_STATUS=OR","EQY_CONSOLIDATED=Y","SCALING_FORMAT=MLN","Sort=A","Dates=H","DateFormat=P","Fill=—","Direction=H","UseDPDF=Y")</f>
        <v>#NAME?</v>
      </c>
      <c r="CB441" s="2" t="e">
        <f ca="1">_xll.BDH($C$428,"TOT_DEBT_TO_EBITDA","FQ3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41" s="2" t="e">
        <f ca="1">_xll.BDH($C$428,"NET_DEBT_TO_EBITDA","FQ3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41" s="2" t="e">
        <f ca="1">_xll.BDH($C$428,"TOTAL_DEBT_TO_EBIT","FQ3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41" s="2" t="e">
        <f ca="1">_xll.BDH($C$428,"NET_DEBT_TO_EBIT","FQ3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41" s="2" t="e">
        <f ca="1">_xll.BDH($C$428,"EBITDA_TO_INTEREST_EXPN","FQ3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41" s="2" t="e">
        <f ca="1">_xll.BDH($C$428,"COM_EQY_TO_TOT_ASSET","FQ3 2016","FQ3 2016","Currency=INR","Period=FQ","BEST_FPERIOD_OVERRIDE=FQ","FILING_STATUS=OR","EQY_CONSOLIDATED=Y","Sort=A","Dates=H","DateFormat=P","Fill=—","Direction=H","UseDPDF=Y")</f>
        <v>#NAME?</v>
      </c>
      <c r="CH441" s="2" t="e">
        <f ca="1">_xll.BDH($C$428,"LT_DEBT_TO_TOT_EQY","FQ3 2016","FQ3 2016","Currency=INR","Period=FQ","BEST_FPERIOD_OVERRIDE=FQ","FILING_STATUS=OR","EQY_CONSOLIDATED=Y","Sort=A","Dates=H","DateFormat=P","Fill=—","Direction=H","UseDPDF=Y")</f>
        <v>#NAME?</v>
      </c>
      <c r="CI441" s="2" t="e">
        <f ca="1">_xll.BDH($C$428,"LT_DEBT_TO_TOT_CAP","FQ3 2016","FQ3 2016","Currency=INR","Period=FQ","BEST_FPERIOD_OVERRIDE=FQ","FILING_STATUS=OR","EQY_CONSOLIDATED=Y","Sort=A","Dates=H","DateFormat=P","Fill=—","Direction=H","UseDPDF=Y")</f>
        <v>#NAME?</v>
      </c>
      <c r="CJ441" s="2" t="e">
        <f ca="1">_xll.BDH($C$428,"LT_DEBT_TO_TOT_ASSET","FQ3 2016","FQ3 2016","Currency=INR","Period=FQ","BEST_FPERIOD_OVERRIDE=FQ","FILING_STATUS=OR","EQY_CONSOLIDATED=Y","Sort=A","Dates=H","DateFormat=P","Fill=—","Direction=H","UseDPDF=Y")</f>
        <v>#NAME?</v>
      </c>
      <c r="CK441" s="2" t="e">
        <f ca="1">_xll.BDH($C$428,"TOT_DEBT_TO_TOT_EQY","FQ3 2016","FQ3 2016","Currency=INR","Period=FQ","BEST_FPERIOD_OVERRIDE=FQ","FILING_STATUS=OR","EQY_CONSOLIDATED=Y","Sort=A","Dates=H","DateFormat=P","Fill=—","Direction=H","UseDPDF=Y")</f>
        <v>#NAME?</v>
      </c>
      <c r="CL441" s="2" t="e">
        <f ca="1">_xll.BDH($C$428,"TOT_DEBT_TO_TOT_CAP","FQ3 2016","FQ3 2016","Currency=INR","Period=FQ","BEST_FPERIOD_OVERRIDE=FQ","FILING_STATUS=OR","EQY_CONSOLIDATED=Y","Sort=A","Dates=H","DateFormat=P","Fill=—","Direction=H","UseDPDF=Y")</f>
        <v>#NAME?</v>
      </c>
      <c r="CM441" s="2" t="e">
        <f ca="1">_xll.BDH($C$428,"TOT_DEBT_TO_TOT_ASSET","FQ3 2016","FQ3 2016","Currency=INR","Period=FQ","BEST_FPERIOD_OVERRIDE=FQ","FILING_STATUS=OR","EQY_CONSOLIDATED=Y","Sort=A","Dates=H","DateFormat=P","Fill=—","Direction=H","UseDPDF=Y")</f>
        <v>#NAME?</v>
      </c>
      <c r="CN441" s="2" t="e">
        <f ca="1">_xll.BDH($C$428,"NET_DEBT_TO_SHRHLDR_EQTY","FQ3 2016","FQ3 2016","Currency=INR","Period=FQ","BEST_FPERIOD_OVERRIDE=FQ","FILING_STATUS=OR","EQY_CONSOLIDATED=Y","Sort=A","Dates=H","DateFormat=P","Fill=—","Direction=H","UseDPDF=Y")</f>
        <v>#NAME?</v>
      </c>
      <c r="CO441" s="2" t="e">
        <f ca="1">_xll.BDH($C$428,"NET_DEBT_%_CAPITAL","FQ3 2016","FQ3 2016","Currency=INR","Period=FQ","BEST_FPERIOD_OVERRIDE=FQ","FILING_STATUS=OR","EQY_CONSOLIDATED=Y","Sort=A","Dates=H","DateFormat=P","Fill=—","Direction=H","UseDPDF=Y")</f>
        <v>#NAME?</v>
      </c>
      <c r="CP441" s="3" t="e">
        <f ca="1">_xll.BDH($C$428,"EBITDA","FQ3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41" s="3" t="e">
        <f ca="1">_xll.BDH($C$428,"EBITDA_AFTER_CAPEX","FQ3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41" s="3" t="e">
        <f ca="1">_xll.BDH($C$428,"IS_OPER_INC","FQ3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41" s="2" t="e">
        <f ca="1">_xll.BDH($C$428,"CASH_RATIO","FQ3 2016","FQ3 2016","Currency=INR","Period=FQ","BEST_FPERIOD_OVERRIDE=FQ","FILING_STATUS=OR","EQY_CONSOLIDATED=Y","Sort=A","Dates=H","DateFormat=P","Fill=—","Direction=H","UseDPDF=Y")</f>
        <v>#NAME?</v>
      </c>
      <c r="CT441" s="2" t="e">
        <f ca="1">_xll.BDH($C$428,"CUR_RATIO","FQ3 2016","FQ3 2016","Currency=INR","Period=FQ","BEST_FPERIOD_OVERRIDE=FQ","FILING_STATUS=OR","EQY_CONSOLIDATED=Y","Sort=A","Dates=H","DateFormat=P","Fill=—","Direction=H","UseDPDF=Y")</f>
        <v>#NAME?</v>
      </c>
      <c r="CU441" s="2" t="e">
        <f ca="1">_xll.BDH($C$428,"QUICK_RATIO","FQ3 2016","FQ3 2016","Currency=INR","Period=FQ","BEST_FPERIOD_OVERRIDE=FQ","FILING_STATUS=OR","EQY_CONSOLIDATED=Y","Sort=A","Dates=H","DateFormat=P","Fill=—","Direction=H","UseDPDF=Y")</f>
        <v>#NAME?</v>
      </c>
      <c r="CV441" s="2" t="e">
        <f ca="1">_xll.BDH($C$428,"ALTMAN_Z_SCORE","FQ3 2016","FQ3 2016","Currency=INR","Period=FQ","BEST_FPERIOD_OVERRIDE=FQ","FILING_STATUS=OR","EQY_CONSOLIDATED=Y","Sort=A","Dates=H","DateFormat=P","Fill=—","Direction=H","UseDPDF=Y")</f>
        <v>#NAME?</v>
      </c>
      <c r="CW441" s="4" t="e">
        <f ca="1">_xll.BDH($C$428,"ACCT_RCV_TURN","FQ3 2016","FQ3 2016","Currency=INR","Period=FQ","BEST_FPERIOD_OVERRIDE=FQ","FILING_STATUS=OR","EQY_CONSOLIDATED=Y","FA_ADJUSTED=GAAP","Sort=A","Dates=H","DateFormat=P","Fill=—","Direction=H","UseDPDF=Y")</f>
        <v>#NAME?</v>
      </c>
      <c r="CX441" s="2" t="e">
        <f ca="1">_xll.BDH($C$428,"ACCT_RCV_DAYS","FQ3 2016","FQ3 2016","Currency=INR","Period=FQ","BEST_FPERIOD_OVERRIDE=FQ","FILING_STATUS=OR","EQY_CONSOLIDATED=Y","FA_ADJUSTED=GAAP","Sort=A","Dates=H","DateFormat=P","Fill=—","Direction=H","UseDPDF=Y")</f>
        <v>#NAME?</v>
      </c>
      <c r="CY441" s="4" t="e">
        <f ca="1">_xll.BDH($C$428,"INVENT_TURN","FQ3 2016","FQ3 2016","Currency=INR","Period=FQ","BEST_FPERIOD_OVERRIDE=FQ","FILING_STATUS=OR","EQY_CONSOLIDATED=Y","FA_ADJUSTED=GAAP","Sort=A","Dates=H","DateFormat=P","Fill=—","Direction=H","UseDPDF=Y")</f>
        <v>#NAME?</v>
      </c>
      <c r="CZ441" s="2" t="e">
        <f ca="1">_xll.BDH($C$428,"INVENT_DAYS","FQ3 2016","FQ3 2016","Currency=INR","Period=FQ","BEST_FPERIOD_OVERRIDE=FQ","FILING_STATUS=OR","EQY_CONSOLIDATED=Y","FA_ADJUSTED=GAAP","Sort=A","Dates=H","DateFormat=P","Fill=—","Direction=H","UseDPDF=Y")</f>
        <v>#NAME?</v>
      </c>
      <c r="DA441" s="4" t="e">
        <f ca="1">_xll.BDH($C$428,"ACCOUNTS_PAYABLE_TURNOVER","FQ3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41" s="2" t="e">
        <f ca="1">_xll.BDH($C$428,"ACCOUNTS_PAYABLE_TURNOVER_DAYS","FQ3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41" s="4" t="e">
        <f ca="1">_xll.BDH($C$428,"CASH_CONVERSION_CYCLE","FQ3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41" s="4" t="e">
        <f ca="1">_xll.BDH($C$428,"INV_TO_CASH_DAYS","FQ3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41" s="5" t="e">
        <f ca="1">_xll.BDH($C$428,"BS_INVENTORIES","FQ3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41" s="3" t="e">
        <f ca="1">_xll.BDH($C$428,"INVTRY_RAW_MATERIALS","FQ3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41" s="3" t="e">
        <f ca="1">_xll.BDH($C$428,"INVTRY_IN_PROGRESS","FQ3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41" s="3" t="e">
        <f ca="1">_xll.BDH($C$428,"INVTRY_FINISHED_GOODS","FQ3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41" s="3" t="e">
        <f ca="1">_xll.BDH($C$428,"BS_OTHER_INV","FQ3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42" spans="1:113" x14ac:dyDescent="0.3">
      <c r="A442" s="6"/>
      <c r="B442" s="6"/>
      <c r="C442" s="6"/>
      <c r="D442" s="6"/>
      <c r="E442" t="s">
        <v>81</v>
      </c>
      <c r="F442" t="e">
        <f ca="1">_xll.BDH($C$428,"RETURN_COM_EQY","FQ4 2016","FQ4 2016","Currency=INR","Period=FQ","BEST_FPERIOD_OVERRIDE=FQ","FILING_STATUS=OR","EQY_CONSOLIDATED=Y","FA_ADJUSTED=GAAP","Sort=A","Dates=H","DateFormat=P","Fill=—","Direction=H","UseDPDF=Y")</f>
        <v>#NAME?</v>
      </c>
      <c r="G442" t="e">
        <f ca="1">_xll.BDH($C$428,"RETURN_ON_ASSET","FQ4 2016","FQ4 2016","Currency=INR","Period=FQ","BEST_FPERIOD_OVERRIDE=FQ","FILING_STATUS=OR","EQY_CONSOLIDATED=Y","FA_ADJUSTED=GAAP","Sort=A","Dates=H","DateFormat=P","Fill=—","Direction=H","UseDPDF=Y")</f>
        <v>#NAME?</v>
      </c>
      <c r="H442" t="e">
        <f ca="1">_xll.BDH($C$428,"RETURN_ON_CAP","FQ4 2016","FQ4 2016","Currency=INR","Period=FQ","BEST_FPERIOD_OVERRIDE=FQ","FILING_STATUS=OR","EQY_CONSOLIDATED=Y","FA_ADJUSTED=GAAP","Sort=A","Dates=H","DateFormat=P","Fill=—","Direction=H","UseDPDF=Y")</f>
        <v>#NAME?</v>
      </c>
      <c r="I442" t="e">
        <f ca="1">_xll.BDH($C$428,"RETURN_ON_INV_CAPITAL","FQ4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42" t="e">
        <f ca="1">_xll.BDH($C$428,"EBITDA_TO_REVENUE","FQ4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42" t="e">
        <f ca="1">_xll.BDH($C$428,"OPER_MARGIN","FQ4 2016","FQ4 2016","Currency=INR","Period=FQ","BEST_FPERIOD_OVERRIDE=FQ","FILING_STATUS=OR","EQY_CONSOLIDATED=Y","FA_ADJUSTED=GAAP","Sort=A","Dates=H","DateFormat=P","Fill=—","Direction=H","UseDPDF=Y")</f>
        <v>#NAME?</v>
      </c>
      <c r="L442" t="e">
        <f ca="1">_xll.BDH($C$428,"INCREMENTAL_OPERATING_MARGIN","FQ4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42" t="e">
        <f ca="1">_xll.BDH($C$428,"PRETAX_INC_TO_NET_SALES","FQ4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42" t="e">
        <f ca="1">_xll.BDH($C$428,"INC_BEF_XO_ITEMS_TO_NET_SALES","FQ4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42" t="e">
        <f ca="1">_xll.BDH($C$428,"PROF_MARGIN","FQ4 2016","FQ4 2016","Currency=INR","Period=FQ","BEST_FPERIOD_OVERRIDE=FQ","FILING_STATUS=OR","EQY_CONSOLIDATED=Y","FA_ADJUSTED=GAAP","Sort=A","Dates=H","DateFormat=P","Fill=—","Direction=H","UseDPDF=Y")</f>
        <v>#NAME?</v>
      </c>
      <c r="P442" t="e">
        <f ca="1">_xll.BDH($C$428,"NET_INCOME_TO_COMMON_MARGIN","FQ4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42" t="e">
        <f ca="1">_xll.BDH($C$428,"EFF_TAX_RATE","FQ4 2016","FQ4 2016","Currency=INR","Period=FQ","BEST_FPERIOD_OVERRIDE=FQ","FILING_STATUS=OR","EQY_CONSOLIDATED=Y","FA_ADJUSTED=GAAP","Sort=A","Dates=H","DateFormat=P","Fill=—","Direction=H","UseDPDF=Y")</f>
        <v>#NAME?</v>
      </c>
      <c r="R442" t="e">
        <f ca="1">_xll.BDH($C$428,"DVD_PAYOUT_RATIO","FQ4 2016","FQ4 2016","Currency=INR","Period=FQ","BEST_FPERIOD_OVERRIDE=FQ","FILING_STATUS=OR","EQY_CONSOLIDATED=Y","FA_ADJUSTED=GAAP","Sort=A","Dates=H","DateFormat=P","Fill=—","Direction=H","UseDPDF=Y")</f>
        <v>#NAME?</v>
      </c>
      <c r="S442" t="e">
        <f ca="1">_xll.BDH($C$428,"SUSTAIN_GROWTH_RT","FQ4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42" s="2" t="e">
        <f ca="1">_xll.BDH($C$428,"SALES_GROWTH","FQ4 2016","FQ4 2016","Currency=INR","Period=FQ","BEST_FPERIOD_OVERRIDE=FQ","FILING_STATUS=OR","EQY_CONSOLIDATED=Y","FA_ADJUSTED=GAAP","Sort=A","Dates=H","DateFormat=P","Fill=—","Direction=H","UseDPDF=Y")</f>
        <v>#NAME?</v>
      </c>
      <c r="U442" s="2" t="e">
        <f ca="1">_xll.BDH($C$428,"EBITDA_GROWTH","FQ4 2016","FQ4 2016","Currency=INR","Period=FQ","BEST_FPERIOD_OVERRIDE=FQ","FILING_STATUS=OR","EQY_CONSOLIDATED=Y","FA_ADJUSTED=GAAP","Sort=A","Dates=H","DateFormat=P","Fill=—","Direction=H","UseDPDF=Y")</f>
        <v>#NAME?</v>
      </c>
      <c r="V442" s="2" t="e">
        <f ca="1">_xll.BDH($C$428,"OPER_INC_GROWTH","FQ4 2016","FQ4 2016","Currency=INR","Period=FQ","BEST_FPERIOD_OVERRIDE=FQ","FILING_STATUS=OR","EQY_CONSOLIDATED=Y","FA_ADJUSTED=GAAP","Sort=A","Dates=H","DateFormat=P","Fill=—","Direction=H","UseDPDF=Y")</f>
        <v>#NAME?</v>
      </c>
      <c r="W442" s="2" t="e">
        <f ca="1">_xll.BDH($C$428,"EARN_FOR_COM_GROWTH","FQ4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42" s="2" t="e">
        <f ca="1">_xll.BDH($C$428,"DILUTED_EPS_AFT_XO_ITEMS_GROWTH","FQ4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42" s="2" t="e">
        <f ca="1">_xll.BDH($C$428,"DIVIDEND_PER_SHARE_1_YEAR_GROWTH","FQ4 2016","FQ4 2016","Currency=INR","Period=FQ","BEST_FPERIOD_OVERRIDE=FQ","FILING_STATUS=OR","EQY_CONSOLIDATED=Y","Sort=A","Dates=H","DateFormat=P","Fill=—","Direction=H","UseDPDF=Y")</f>
        <v>#NAME?</v>
      </c>
      <c r="Z442" s="2" t="e">
        <f ca="1">_xll.BDH($C$428,"ACCOUNTS_RECEIVABLE_GROWTH","FQ4 2016","FQ4 2016","Currency=INR","Period=FQ","BEST_FPERIOD_OVERRIDE=FQ","FILING_STATUS=OR","EQY_CONSOLIDATED=Y","Sort=A","Dates=H","DateFormat=P","Fill=—","Direction=H","UseDPDF=Y")</f>
        <v>#NAME?</v>
      </c>
      <c r="AA442" s="2" t="e">
        <f ca="1">_xll.BDH($C$428,"INVENTORY_GROWTH","FQ4 2016","FQ4 2016","Currency=INR","Period=FQ","BEST_FPERIOD_OVERRIDE=FQ","FILING_STATUS=OR","EQY_CONSOLIDATED=Y","Sort=A","Dates=H","DateFormat=P","Fill=—","Direction=H","UseDPDF=Y")</f>
        <v>#NAME?</v>
      </c>
      <c r="AB442" s="2" t="e">
        <f ca="1">_xll.BDH($C$428,"NET_FIXED_ASSETS_1_YEAR_GROWTH","FQ4 2016","FQ4 2016","Currency=INR","Period=FQ","BEST_FPERIOD_OVERRIDE=FQ","FILING_STATUS=OR","EQY_CONSOLIDATED=Y","Sort=A","Dates=H","DateFormat=P","Fill=—","Direction=H","UseDPDF=Y")</f>
        <v>#NAME?</v>
      </c>
      <c r="AC442" s="2" t="e">
        <f ca="1">_xll.BDH($C$428,"ASSET_GROWTH","FQ4 2016","FQ4 2016","Currency=INR","Period=FQ","BEST_FPERIOD_OVERRIDE=FQ","FILING_STATUS=OR","EQY_CONSOLIDATED=Y","Sort=A","Dates=H","DateFormat=P","Fill=—","Direction=H","UseDPDF=Y")</f>
        <v>#NAME?</v>
      </c>
      <c r="AD442" s="2" t="e">
        <f ca="1">_xll.BDH($C$428,"MODIFIED_WORK_CAP_GROWTH","FQ4 2016","FQ4 2016","Currency=INR","Period=FQ","BEST_FPERIOD_OVERRIDE=FQ","FILING_STATUS=OR","EQY_CONSOLIDATED=Y","Sort=A","Dates=H","DateFormat=P","Fill=—","Direction=H","UseDPDF=Y")</f>
        <v>#NAME?</v>
      </c>
      <c r="AE442" s="2" t="e">
        <f ca="1">_xll.BDH($C$428,"WORK_CAP_GROWTH","FQ4 2016","FQ4 2016","Currency=INR","Period=FQ","BEST_FPERIOD_OVERRIDE=FQ","FILING_STATUS=OR","EQY_CONSOLIDATED=Y","Sort=A","Dates=H","DateFormat=P","Fill=—","Direction=H","UseDPDF=Y")</f>
        <v>#NAME?</v>
      </c>
      <c r="AF442" s="2" t="e">
        <f ca="1">_xll.BDH($C$428,"ACCOUNTS_PAYABLE_GROWTH_1YR","FQ4 2016","FQ4 2016","Currency=INR","Period=FQ","BEST_FPERIOD_OVERRIDE=FQ","FILING_STATUS=OR","EQY_CONSOLIDATED=Y","Sort=A","Dates=H","DateFormat=P","Fill=—","Direction=H","UseDPDF=Y")</f>
        <v>#NAME?</v>
      </c>
      <c r="AG442" s="2" t="e">
        <f ca="1">_xll.BDH($C$428,"SHORT_TERM_DEBT_1_YEAR_GROWTH","FQ4 2016","FQ4 2016","Currency=INR","Period=FQ","BEST_FPERIOD_OVERRIDE=FQ","FILING_STATUS=OR","EQY_CONSOLIDATED=Y","Sort=A","Dates=H","DateFormat=P","Fill=—","Direction=H","UseDPDF=Y")</f>
        <v>#NAME?</v>
      </c>
      <c r="AH442" s="2" t="e">
        <f ca="1">_xll.BDH($C$428,"TOTAL_DEBT_1_YEAR_GROWTH","FQ4 2016","FQ4 2016","Currency=INR","Period=FQ","BEST_FPERIOD_OVERRIDE=FQ","FILING_STATUS=OR","EQY_CONSOLIDATED=Y","Sort=A","Dates=H","DateFormat=P","Fill=—","Direction=H","UseDPDF=Y")</f>
        <v>#NAME?</v>
      </c>
      <c r="AI442" s="2" t="e">
        <f ca="1">_xll.BDH($C$428,"TOTAL_EQUITY_1_YEAR_GROWTH","FQ4 2016","FQ4 2016","Currency=INR","Period=FQ","BEST_FPERIOD_OVERRIDE=FQ","FILING_STATUS=OR","EQY_CONSOLIDATED=Y","Sort=A","Dates=H","DateFormat=P","Fill=—","Direction=H","UseDPDF=Y")</f>
        <v>#NAME?</v>
      </c>
      <c r="AJ442" s="2" t="e">
        <f ca="1">_xll.BDH($C$428,"GROWTH_IN_CAP","FQ4 2016","FQ4 2016","Currency=INR","Period=FQ","BEST_FPERIOD_OVERRIDE=FQ","FILING_STATUS=OR","EQY_CONSOLIDATED=Y","Sort=A","Dates=H","DateFormat=P","Fill=—","Direction=H","UseDPDF=Y")</f>
        <v>#NAME?</v>
      </c>
      <c r="AK442" s="2" t="e">
        <f ca="1">_xll.BDH($C$428,"BVPS_GROWTH","FQ4 2016","FQ4 2016","Currency=INR","Period=FQ","BEST_FPERIOD_OVERRIDE=FQ","FILING_STATUS=OR","EQY_CONSOLIDATED=Y","Sort=A","Dates=H","DateFormat=P","Fill=—","Direction=H","UseDPDF=Y")</f>
        <v>#NAME?</v>
      </c>
      <c r="AL442" s="2" t="e">
        <f ca="1">_xll.BDH($C$428,"CASH_FLOW_GROWTH","FQ4 2016","FQ4 2016","Currency=INR","Period=FQ","BEST_FPERIOD_OVERRIDE=FQ","FILING_STATUS=OR","EQY_CONSOLIDATED=Y","Sort=A","Dates=H","DateFormat=P","Fill=—","Direction=H","UseDPDF=Y")</f>
        <v>#NAME?</v>
      </c>
      <c r="AM442" s="2" t="e">
        <f ca="1">_xll.BDH($C$428,"GEO_GROW_NET_SALES","FQ4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42" s="2" t="e">
        <f ca="1">_xll.BDH($C$428,"GEO_GROW_EBITDA","FQ4 2016","FQ4 2016","Currency=INR","Period=FQ","BEST_FPERIOD_OVERRIDE=FQ","FILING_STATUS=OR","EQY_CONSOLIDATED=Y","FA_ADJUSTED=GAAP","Sort=A","Dates=H","DateFormat=P","Fill=—","Direction=H","UseDPDF=Y")</f>
        <v>#NAME?</v>
      </c>
      <c r="AO442" s="2" t="e">
        <f ca="1">_xll.BDH($C$428,"GEO_GROW_OPER_INC","FQ4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42" s="2" t="e">
        <f ca="1">_xll.BDH($C$428,"NET_INCOME_TO_COMMON_5_YR_GROWTH","FQ4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42" s="2" t="e">
        <f ca="1">_xll.BDH($C$428,"5Y_GEO_GROWTH_DILUTED_EPS","FQ4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42" s="2" t="e">
        <f ca="1">_xll.BDH($C$428,"GEO_GROW_DVD_PER_SH","FQ4 2016","FQ4 2016","Currency=INR","Period=FQ","BEST_FPERIOD_OVERRIDE=FQ","FILING_STATUS=OR","EQY_CONSOLIDATED=Y","Sort=A","Dates=H","DateFormat=P","Fill=—","Direction=H","UseDPDF=Y")</f>
        <v>#NAME?</v>
      </c>
      <c r="AS442" s="2" t="e">
        <f ca="1">_xll.BDH($C$428,"ACCOUNTS_RECEIVABLE_5_YR_GROWTH","FQ4 2016","FQ4 2016","Currency=INR","Period=FQ","BEST_FPERIOD_OVERRIDE=FQ","FILING_STATUS=OR","EQY_CONSOLIDATED=Y","Sort=A","Dates=H","DateFormat=P","Fill=—","Direction=H","UseDPDF=Y")</f>
        <v>#NAME?</v>
      </c>
      <c r="AT442" s="2" t="e">
        <f ca="1">_xll.BDH($C$428,"INVENTORY_5_YEAR_GROWTH","FQ4 2016","FQ4 2016","Currency=INR","Period=FQ","BEST_FPERIOD_OVERRIDE=FQ","FILING_STATUS=OR","EQY_CONSOLIDATED=Y","Sort=A","Dates=H","DateFormat=P","Fill=—","Direction=H","UseDPDF=Y")</f>
        <v>#NAME?</v>
      </c>
      <c r="AU442" s="2" t="e">
        <f ca="1">_xll.BDH($C$428,"NET_FIXED_ASSETS_5_YEAR_GROWTH","FQ4 2016","FQ4 2016","Currency=INR","Period=FQ","BEST_FPERIOD_OVERRIDE=FQ","FILING_STATUS=OR","EQY_CONSOLIDATED=Y","Sort=A","Dates=H","DateFormat=P","Fill=—","Direction=H","UseDPDF=Y")</f>
        <v>#NAME?</v>
      </c>
      <c r="AV442" s="2" t="e">
        <f ca="1">_xll.BDH($C$428,"GEO_GROW_TOT_ASSET","FQ4 2016","FQ4 2016","Currency=INR","Period=FQ","BEST_FPERIOD_OVERRIDE=FQ","FILING_STATUS=OR","EQY_CONSOLIDATED=Y","Sort=A","Dates=H","DateFormat=P","Fill=—","Direction=H","UseDPDF=Y")</f>
        <v>#NAME?</v>
      </c>
      <c r="AW442" s="2" t="e">
        <f ca="1">_xll.BDH($C$428,"MODIFIED_WORKING_CPTL_5YR_GRWTH","FQ4 2016","FQ4 2016","Currency=INR","Period=FQ","BEST_FPERIOD_OVERRIDE=FQ","FILING_STATUS=OR","EQY_CONSOLIDATED=Y","Sort=A","Dates=H","DateFormat=P","Fill=—","Direction=H","UseDPDF=Y")</f>
        <v>#NAME?</v>
      </c>
      <c r="AX442" s="2" t="e">
        <f ca="1">_xll.BDH($C$428,"WORKING_CAPITAL_5_YEAR_GROWTH","FQ4 2016","FQ4 2016","Currency=INR","Period=FQ","BEST_FPERIOD_OVERRIDE=FQ","FILING_STATUS=OR","EQY_CONSOLIDATED=Y","Sort=A","Dates=H","DateFormat=P","Fill=—","Direction=H","UseDPDF=Y")</f>
        <v>#NAME?</v>
      </c>
      <c r="AY442" s="2" t="e">
        <f ca="1">_xll.BDH($C$428,"ACCOUNTS_PAYABLE_5_YEAR_GROWTH","FQ4 2016","FQ4 2016","Currency=INR","Period=FQ","BEST_FPERIOD_OVERRIDE=FQ","FILING_STATUS=OR","EQY_CONSOLIDATED=Y","Sort=A","Dates=H","DateFormat=P","Fill=—","Direction=H","UseDPDF=Y")</f>
        <v>#NAME?</v>
      </c>
      <c r="AZ442" s="2" t="e">
        <f ca="1">_xll.BDH($C$428,"SHORT_TERM_DEBT_5_YEAR_GROWTH","FQ4 2016","FQ4 2016","Currency=INR","Period=FQ","BEST_FPERIOD_OVERRIDE=FQ","FILING_STATUS=OR","EQY_CONSOLIDATED=Y","Sort=A","Dates=H","DateFormat=P","Fill=—","Direction=H","UseDPDF=Y")</f>
        <v>#NAME?</v>
      </c>
      <c r="BA442" s="2" t="e">
        <f ca="1">_xll.BDH($C$428,"TOTAL_DEBT_5_YEAR_GROWTH","FQ4 2016","FQ4 2016","Currency=INR","Period=FQ","BEST_FPERIOD_OVERRIDE=FQ","FILING_STATUS=OR","EQY_CONSOLIDATED=Y","Sort=A","Dates=H","DateFormat=P","Fill=—","Direction=H","UseDPDF=Y")</f>
        <v>#NAME?</v>
      </c>
      <c r="BB442" s="2" t="e">
        <f ca="1">_xll.BDH($C$428,"GEO_GROW_TOT_SHRHLDR_EQY","FQ4 2016","FQ4 2016","Currency=INR","Period=FQ","BEST_FPERIOD_OVERRIDE=FQ","FILING_STATUS=OR","EQY_CONSOLIDATED=Y","Sort=A","Dates=H","DateFormat=P","Fill=—","Direction=H","UseDPDF=Y")</f>
        <v>#NAME?</v>
      </c>
      <c r="BC442" s="2" t="e">
        <f ca="1">_xll.BDH($C$428,"TOTAL_CAPITAL_5_YEAR_GROWTH","FQ4 2016","FQ4 2016","Currency=INR","Period=FQ","BEST_FPERIOD_OVERRIDE=FQ","FILING_STATUS=OR","EQY_CONSOLIDATED=Y","Sort=A","Dates=H","DateFormat=P","Fill=—","Direction=H","UseDPDF=Y")</f>
        <v>#NAME?</v>
      </c>
      <c r="BD442" s="2" t="e">
        <f ca="1">_xll.BDH($C$428,"GEO_GROW_BOOK_VAL","FQ4 2016","FQ4 2016","Currency=INR","Period=FQ","BEST_FPERIOD_OVERRIDE=FQ","FILING_STATUS=OR","EQY_CONSOLIDATED=Y","Sort=A","Dates=H","DateFormat=P","Fill=—","Direction=H","UseDPDF=Y")</f>
        <v>#NAME?</v>
      </c>
      <c r="BE442" s="2" t="e">
        <f ca="1">_xll.BDH($C$428,"GEO_GROW_CASH_OPER_ACT","FQ4 2016","FQ4 2016","Currency=INR","Period=FQ","BEST_FPERIOD_OVERRIDE=FQ","FILING_STATUS=OR","EQY_CONSOLIDATED=Y","Sort=A","Dates=H","DateFormat=P","Fill=—","Direction=H","UseDPDF=Y")</f>
        <v>#NAME?</v>
      </c>
      <c r="BF442" s="2" t="e">
        <f ca="1">_xll.BDH($C$428,"REVENUE_SEQUENTIAL_GROWTH","FQ4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42" s="2" t="e">
        <f ca="1">_xll.BDH($C$428,"EBITDA_SEQUENTIAL_GROWTH","FQ4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42" s="2" t="e">
        <f ca="1">_xll.BDH($C$428,"OPERATING_INCOME_SEQ_GROWTH","FQ4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42" s="2" t="e">
        <f ca="1">_xll.BDH($C$428,"NET_INCOME_TO_COMMON_SEQ_GROWTH","FQ4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42" s="2" t="e">
        <f ca="1">_xll.BDH($C$428,"EPS_DILUTED_SEQUENTIAL_GROWTH","FQ4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42" s="2" t="e">
        <f ca="1">_xll.BDH($C$428,"DPS_SEQUENTIAL_GROWTH","FQ4 2016","FQ4 2016","Currency=INR","Period=FQ","BEST_FPERIOD_OVERRIDE=FQ","FILING_STATUS=OR","EQY_CONSOLIDATED=Y","Sort=A","Dates=H","DateFormat=P","Fill=—","Direction=H","UseDPDF=Y")</f>
        <v>#NAME?</v>
      </c>
      <c r="BL442" s="2" t="e">
        <f ca="1">_xll.BDH($C$428,"ACCOUNTS_RECEIVABLE_SEQ_GROWTH","FQ4 2016","FQ4 2016","Currency=INR","Period=FQ","BEST_FPERIOD_OVERRIDE=FQ","FILING_STATUS=OR","EQY_CONSOLIDATED=Y","Sort=A","Dates=H","DateFormat=P","Fill=—","Direction=H","UseDPDF=Y")</f>
        <v>#NAME?</v>
      </c>
      <c r="BM442" s="2" t="e">
        <f ca="1">_xll.BDH($C$428,"INVENTORY_SEQUENTIAL_GROWTH","FQ4 2016","FQ4 2016","Currency=INR","Period=FQ","BEST_FPERIOD_OVERRIDE=FQ","FILING_STATUS=OR","EQY_CONSOLIDATED=Y","Sort=A","Dates=H","DateFormat=P","Fill=—","Direction=H","UseDPDF=Y")</f>
        <v>#NAME?</v>
      </c>
      <c r="BN442" s="2" t="e">
        <f ca="1">_xll.BDH($C$428,"FIXED_ASSETS_SEQUENTIAL_GROWTH","FQ4 2016","FQ4 2016","Currency=INR","Period=FQ","BEST_FPERIOD_OVERRIDE=FQ","FILING_STATUS=OR","EQY_CONSOLIDATED=Y","Sort=A","Dates=H","DateFormat=P","Fill=—","Direction=H","UseDPDF=Y")</f>
        <v>#NAME?</v>
      </c>
      <c r="BO442" s="2" t="e">
        <f ca="1">_xll.BDH($C$428,"TOTAL_ASSETS_SEQUENTIAL_GROWTH","FQ4 2016","FQ4 2016","Currency=INR","Period=FQ","BEST_FPERIOD_OVERRIDE=FQ","FILING_STATUS=OR","EQY_CONSOLIDATED=Y","Sort=A","Dates=H","DateFormat=P","Fill=—","Direction=H","UseDPDF=Y")</f>
        <v>#NAME?</v>
      </c>
      <c r="BP442" s="2" t="e">
        <f ca="1">_xll.BDH($C$428,"MODIFIED_WORKING_CPTL_SEQ_GRWTH","FQ4 2016","FQ4 2016","Currency=INR","Period=FQ","BEST_FPERIOD_OVERRIDE=FQ","FILING_STATUS=OR","EQY_CONSOLIDATED=Y","Sort=A","Dates=H","DateFormat=P","Fill=—","Direction=H","UseDPDF=Y")</f>
        <v>#NAME?</v>
      </c>
      <c r="BQ442" s="2" t="e">
        <f ca="1">_xll.BDH($C$428,"WORKING_CAPITAL_SEQ_GROWTH","FQ4 2016","FQ4 2016","Currency=INR","Period=FQ","BEST_FPERIOD_OVERRIDE=FQ","FILING_STATUS=OR","EQY_CONSOLIDATED=Y","Sort=A","Dates=H","DateFormat=P","Fill=—","Direction=H","UseDPDF=Y")</f>
        <v>#NAME?</v>
      </c>
      <c r="BR442" s="2" t="e">
        <f ca="1">_xll.BDH($C$428,"ACCOUNTS_PAYABLE_SEQ_GROWTH","FQ4 2016","FQ4 2016","Currency=INR","Period=FQ","BEST_FPERIOD_OVERRIDE=FQ","FILING_STATUS=OR","EQY_CONSOLIDATED=Y","Sort=A","Dates=H","DateFormat=P","Fill=—","Direction=H","UseDPDF=Y")</f>
        <v>#NAME?</v>
      </c>
      <c r="BS442" s="2" t="e">
        <f ca="1">_xll.BDH($C$428,"ST_DEBT_SEQUENTIAL_GROWTH","FQ4 2016","FQ4 2016","Currency=INR","Period=FQ","BEST_FPERIOD_OVERRIDE=FQ","FILING_STATUS=OR","EQY_CONSOLIDATED=Y","Sort=A","Dates=H","DateFormat=P","Fill=—","Direction=H","UseDPDF=Y")</f>
        <v>#NAME?</v>
      </c>
      <c r="BT442" s="2" t="e">
        <f ca="1">_xll.BDH($C$428,"TOTAL_DEBT_SEQUENTIAL_GROWTH","FQ4 2016","FQ4 2016","Currency=INR","Period=FQ","BEST_FPERIOD_OVERRIDE=FQ","FILING_STATUS=OR","EQY_CONSOLIDATED=Y","Sort=A","Dates=H","DateFormat=P","Fill=—","Direction=H","UseDPDF=Y")</f>
        <v>#NAME?</v>
      </c>
      <c r="BU442" s="2" t="e">
        <f ca="1">_xll.BDH($C$428,"TOTAL_EQUITY_SEQUENTIAL_GROWTH","FQ4 2016","FQ4 2016","Currency=INR","Period=FQ","BEST_FPERIOD_OVERRIDE=FQ","FILING_STATUS=OR","EQY_CONSOLIDATED=Y","Sort=A","Dates=H","DateFormat=P","Fill=—","Direction=H","UseDPDF=Y")</f>
        <v>#NAME?</v>
      </c>
      <c r="BV442" s="2" t="e">
        <f ca="1">_xll.BDH($C$428,"TOTAL_CAPITAL_SEQUENTIAL_GROWTH","FQ4 2016","FQ4 2016","Currency=INR","Period=FQ","BEST_FPERIOD_OVERRIDE=FQ","FILING_STATUS=OR","EQY_CONSOLIDATED=Y","Sort=A","Dates=H","DateFormat=P","Fill=—","Direction=H","UseDPDF=Y")</f>
        <v>#NAME?</v>
      </c>
      <c r="BW442" s="2" t="e">
        <f ca="1">_xll.BDH($C$428,"BPS_SEQUENTIAL_GROWTH","FQ4 2016","FQ4 2016","Currency=INR","Period=FQ","BEST_FPERIOD_OVERRIDE=FQ","FILING_STATUS=OR","EQY_CONSOLIDATED=Y","Sort=A","Dates=H","DateFormat=P","Fill=—","Direction=H","UseDPDF=Y")</f>
        <v>#NAME?</v>
      </c>
      <c r="BX442" s="2" t="e">
        <f ca="1">_xll.BDH($C$428,"CFO_SEQUENTIAL_GROWTH","FQ4 2016","FQ4 2016","Currency=INR","Period=FQ","BEST_FPERIOD_OVERRIDE=FQ","FILING_STATUS=OR","EQY_CONSOLIDATED=Y","Sort=A","Dates=H","DateFormat=P","Fill=—","Direction=H","UseDPDF=Y")</f>
        <v>#NAME?</v>
      </c>
      <c r="BY442" s="3" t="e">
        <f ca="1">_xll.BDH($C$428,"SHORT_AND_LONG_TERM_DEBT","FQ4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42" s="3" t="e">
        <f ca="1">_xll.BDH($C$428,"BS_ST_BORROW","FQ4 2016","FQ4 2016","Currency=INR","Period=FQ","BEST_FPERIOD_OVERRIDE=FQ","FILING_STATUS=OR","EQY_CONSOLIDATED=Y","SCALING_FORMAT=MLN","Sort=A","Dates=H","DateFormat=P","Fill=—","Direction=H","UseDPDF=Y")</f>
        <v>#NAME?</v>
      </c>
      <c r="CA442" s="3" t="e">
        <f ca="1">_xll.BDH($C$428,"BS_LT_BORROW","FQ4 2016","FQ4 2016","Currency=INR","Period=FQ","BEST_FPERIOD_OVERRIDE=FQ","FILING_STATUS=OR","EQY_CONSOLIDATED=Y","SCALING_FORMAT=MLN","Sort=A","Dates=H","DateFormat=P","Fill=—","Direction=H","UseDPDF=Y")</f>
        <v>#NAME?</v>
      </c>
      <c r="CB442" s="2" t="e">
        <f ca="1">_xll.BDH($C$428,"TOT_DEBT_TO_EBITDA","FQ4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42" s="2" t="e">
        <f ca="1">_xll.BDH($C$428,"NET_DEBT_TO_EBITDA","FQ4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42" s="2" t="e">
        <f ca="1">_xll.BDH($C$428,"TOTAL_DEBT_TO_EBIT","FQ4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42" s="2" t="e">
        <f ca="1">_xll.BDH($C$428,"NET_DEBT_TO_EBIT","FQ4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42" s="2" t="e">
        <f ca="1">_xll.BDH($C$428,"EBITDA_TO_INTEREST_EXPN","FQ4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42" s="2" t="e">
        <f ca="1">_xll.BDH($C$428,"COM_EQY_TO_TOT_ASSET","FQ4 2016","FQ4 2016","Currency=INR","Period=FQ","BEST_FPERIOD_OVERRIDE=FQ","FILING_STATUS=OR","EQY_CONSOLIDATED=Y","Sort=A","Dates=H","DateFormat=P","Fill=—","Direction=H","UseDPDF=Y")</f>
        <v>#NAME?</v>
      </c>
      <c r="CH442" s="2" t="e">
        <f ca="1">_xll.BDH($C$428,"LT_DEBT_TO_TOT_EQY","FQ4 2016","FQ4 2016","Currency=INR","Period=FQ","BEST_FPERIOD_OVERRIDE=FQ","FILING_STATUS=OR","EQY_CONSOLIDATED=Y","Sort=A","Dates=H","DateFormat=P","Fill=—","Direction=H","UseDPDF=Y")</f>
        <v>#NAME?</v>
      </c>
      <c r="CI442" s="2" t="e">
        <f ca="1">_xll.BDH($C$428,"LT_DEBT_TO_TOT_CAP","FQ4 2016","FQ4 2016","Currency=INR","Period=FQ","BEST_FPERIOD_OVERRIDE=FQ","FILING_STATUS=OR","EQY_CONSOLIDATED=Y","Sort=A","Dates=H","DateFormat=P","Fill=—","Direction=H","UseDPDF=Y")</f>
        <v>#NAME?</v>
      </c>
      <c r="CJ442" s="2" t="e">
        <f ca="1">_xll.BDH($C$428,"LT_DEBT_TO_TOT_ASSET","FQ4 2016","FQ4 2016","Currency=INR","Period=FQ","BEST_FPERIOD_OVERRIDE=FQ","FILING_STATUS=OR","EQY_CONSOLIDATED=Y","Sort=A","Dates=H","DateFormat=P","Fill=—","Direction=H","UseDPDF=Y")</f>
        <v>#NAME?</v>
      </c>
      <c r="CK442" s="2" t="e">
        <f ca="1">_xll.BDH($C$428,"TOT_DEBT_TO_TOT_EQY","FQ4 2016","FQ4 2016","Currency=INR","Period=FQ","BEST_FPERIOD_OVERRIDE=FQ","FILING_STATUS=OR","EQY_CONSOLIDATED=Y","Sort=A","Dates=H","DateFormat=P","Fill=—","Direction=H","UseDPDF=Y")</f>
        <v>#NAME?</v>
      </c>
      <c r="CL442" s="2" t="e">
        <f ca="1">_xll.BDH($C$428,"TOT_DEBT_TO_TOT_CAP","FQ4 2016","FQ4 2016","Currency=INR","Period=FQ","BEST_FPERIOD_OVERRIDE=FQ","FILING_STATUS=OR","EQY_CONSOLIDATED=Y","Sort=A","Dates=H","DateFormat=P","Fill=—","Direction=H","UseDPDF=Y")</f>
        <v>#NAME?</v>
      </c>
      <c r="CM442" s="2" t="e">
        <f ca="1">_xll.BDH($C$428,"TOT_DEBT_TO_TOT_ASSET","FQ4 2016","FQ4 2016","Currency=INR","Period=FQ","BEST_FPERIOD_OVERRIDE=FQ","FILING_STATUS=OR","EQY_CONSOLIDATED=Y","Sort=A","Dates=H","DateFormat=P","Fill=—","Direction=H","UseDPDF=Y")</f>
        <v>#NAME?</v>
      </c>
      <c r="CN442" s="2" t="e">
        <f ca="1">_xll.BDH($C$428,"NET_DEBT_TO_SHRHLDR_EQTY","FQ4 2016","FQ4 2016","Currency=INR","Period=FQ","BEST_FPERIOD_OVERRIDE=FQ","FILING_STATUS=OR","EQY_CONSOLIDATED=Y","Sort=A","Dates=H","DateFormat=P","Fill=—","Direction=H","UseDPDF=Y")</f>
        <v>#NAME?</v>
      </c>
      <c r="CO442" s="2" t="e">
        <f ca="1">_xll.BDH($C$428,"NET_DEBT_%_CAPITAL","FQ4 2016","FQ4 2016","Currency=INR","Period=FQ","BEST_FPERIOD_OVERRIDE=FQ","FILING_STATUS=OR","EQY_CONSOLIDATED=Y","Sort=A","Dates=H","DateFormat=P","Fill=—","Direction=H","UseDPDF=Y")</f>
        <v>#NAME?</v>
      </c>
      <c r="CP442" s="3" t="e">
        <f ca="1">_xll.BDH($C$428,"EBITDA","FQ4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42" s="3" t="e">
        <f ca="1">_xll.BDH($C$428,"EBITDA_AFTER_CAPEX","FQ4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42" s="3" t="e">
        <f ca="1">_xll.BDH($C$428,"IS_OPER_INC","FQ4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42" s="2" t="e">
        <f ca="1">_xll.BDH($C$428,"CASH_RATIO","FQ4 2016","FQ4 2016","Currency=INR","Period=FQ","BEST_FPERIOD_OVERRIDE=FQ","FILING_STATUS=OR","EQY_CONSOLIDATED=Y","Sort=A","Dates=H","DateFormat=P","Fill=—","Direction=H","UseDPDF=Y")</f>
        <v>#NAME?</v>
      </c>
      <c r="CT442" s="2" t="e">
        <f ca="1">_xll.BDH($C$428,"CUR_RATIO","FQ4 2016","FQ4 2016","Currency=INR","Period=FQ","BEST_FPERIOD_OVERRIDE=FQ","FILING_STATUS=OR","EQY_CONSOLIDATED=Y","Sort=A","Dates=H","DateFormat=P","Fill=—","Direction=H","UseDPDF=Y")</f>
        <v>#NAME?</v>
      </c>
      <c r="CU442" s="2" t="e">
        <f ca="1">_xll.BDH($C$428,"QUICK_RATIO","FQ4 2016","FQ4 2016","Currency=INR","Period=FQ","BEST_FPERIOD_OVERRIDE=FQ","FILING_STATUS=OR","EQY_CONSOLIDATED=Y","Sort=A","Dates=H","DateFormat=P","Fill=—","Direction=H","UseDPDF=Y")</f>
        <v>#NAME?</v>
      </c>
      <c r="CV442" s="2" t="e">
        <f ca="1">_xll.BDH($C$428,"ALTMAN_Z_SCORE","FQ4 2016","FQ4 2016","Currency=INR","Period=FQ","BEST_FPERIOD_OVERRIDE=FQ","FILING_STATUS=OR","EQY_CONSOLIDATED=Y","Sort=A","Dates=H","DateFormat=P","Fill=—","Direction=H","UseDPDF=Y")</f>
        <v>#NAME?</v>
      </c>
      <c r="CW442" s="4" t="e">
        <f ca="1">_xll.BDH($C$428,"ACCT_RCV_TURN","FQ4 2016","FQ4 2016","Currency=INR","Period=FQ","BEST_FPERIOD_OVERRIDE=FQ","FILING_STATUS=OR","EQY_CONSOLIDATED=Y","FA_ADJUSTED=GAAP","Sort=A","Dates=H","DateFormat=P","Fill=—","Direction=H","UseDPDF=Y")</f>
        <v>#NAME?</v>
      </c>
      <c r="CX442" s="2" t="e">
        <f ca="1">_xll.BDH($C$428,"ACCT_RCV_DAYS","FQ4 2016","FQ4 2016","Currency=INR","Period=FQ","BEST_FPERIOD_OVERRIDE=FQ","FILING_STATUS=OR","EQY_CONSOLIDATED=Y","FA_ADJUSTED=GAAP","Sort=A","Dates=H","DateFormat=P","Fill=—","Direction=H","UseDPDF=Y")</f>
        <v>#NAME?</v>
      </c>
      <c r="CY442" s="4" t="e">
        <f ca="1">_xll.BDH($C$428,"INVENT_TURN","FQ4 2016","FQ4 2016","Currency=INR","Period=FQ","BEST_FPERIOD_OVERRIDE=FQ","FILING_STATUS=OR","EQY_CONSOLIDATED=Y","FA_ADJUSTED=GAAP","Sort=A","Dates=H","DateFormat=P","Fill=—","Direction=H","UseDPDF=Y")</f>
        <v>#NAME?</v>
      </c>
      <c r="CZ442" s="2" t="e">
        <f ca="1">_xll.BDH($C$428,"INVENT_DAYS","FQ4 2016","FQ4 2016","Currency=INR","Period=FQ","BEST_FPERIOD_OVERRIDE=FQ","FILING_STATUS=OR","EQY_CONSOLIDATED=Y","FA_ADJUSTED=GAAP","Sort=A","Dates=H","DateFormat=P","Fill=—","Direction=H","UseDPDF=Y")</f>
        <v>#NAME?</v>
      </c>
      <c r="DA442" s="4" t="e">
        <f ca="1">_xll.BDH($C$428,"ACCOUNTS_PAYABLE_TURNOVER","FQ4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42" s="2" t="e">
        <f ca="1">_xll.BDH($C$428,"ACCOUNTS_PAYABLE_TURNOVER_DAYS","FQ4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42" s="4" t="e">
        <f ca="1">_xll.BDH($C$428,"CASH_CONVERSION_CYCLE","FQ4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42" s="4" t="e">
        <f ca="1">_xll.BDH($C$428,"INV_TO_CASH_DAYS","FQ4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42" s="5" t="e">
        <f ca="1">_xll.BDH($C$428,"BS_INVENTORIES","FQ4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42" s="3" t="e">
        <f ca="1">_xll.BDH($C$428,"INVTRY_RAW_MATERIALS","FQ4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42" s="3" t="e">
        <f ca="1">_xll.BDH($C$428,"INVTRY_IN_PROGRESS","FQ4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42" s="3" t="e">
        <f ca="1">_xll.BDH($C$428,"INVTRY_FINISHED_GOODS","FQ4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42" s="3" t="e">
        <f ca="1">_xll.BDH($C$428,"BS_OTHER_INV","FQ4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43" spans="1:113" x14ac:dyDescent="0.3">
      <c r="A443" s="6"/>
      <c r="B443" s="6"/>
      <c r="C443" s="6"/>
      <c r="D443" s="6" t="s">
        <v>84</v>
      </c>
      <c r="E443" t="s">
        <v>77</v>
      </c>
      <c r="F443" t="e">
        <f ca="1">_xll.BDH($C$428,"RETURN_COM_EQY","FY 2017","FY 2017","Currency=INR","Period=FY","BEST_FPERIOD_OVERRIDE=FY","FILING_STATUS=OR","EQY_CONSOLIDATED=Y","FA_ADJUSTED=GAAP","Sort=A","Dates=H","DateFormat=P","Fill=—","Direction=H","UseDPDF=Y")</f>
        <v>#NAME?</v>
      </c>
      <c r="G443" t="e">
        <f ca="1">_xll.BDH($C$428,"RETURN_ON_ASSET","FY 2017","FY 2017","Currency=INR","Period=FY","BEST_FPERIOD_OVERRIDE=FY","FILING_STATUS=OR","EQY_CONSOLIDATED=Y","FA_ADJUSTED=GAAP","Sort=A","Dates=H","DateFormat=P","Fill=—","Direction=H","UseDPDF=Y")</f>
        <v>#NAME?</v>
      </c>
      <c r="H443" t="e">
        <f ca="1">_xll.BDH($C$428,"RETURN_ON_CAP","FY 2017","FY 2017","Currency=INR","Period=FY","BEST_FPERIOD_OVERRIDE=FY","FILING_STATUS=OR","EQY_CONSOLIDATED=Y","FA_ADJUSTED=GAAP","Sort=A","Dates=H","DateFormat=P","Fill=—","Direction=H","UseDPDF=Y")</f>
        <v>#NAME?</v>
      </c>
      <c r="I443" t="e">
        <f ca="1">_xll.BDH($C$428,"RETURN_ON_INV_CAPITAL","FY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43" t="e">
        <f ca="1">_xll.BDH($C$428,"EBITDA_TO_REVENUE","FY 2017","FY 2017","Currency=INR","Period=FY","BEST_FPERIOD_OVERRIDE=FY","FILING_STATUS=OR","EQY_CONSOLIDATED=Y","FA_ADJUSTED=GAAP","Sort=A","Dates=H","DateFormat=P","Fill=—","Direction=H","UseDPDF=Y")</f>
        <v>#NAME?</v>
      </c>
      <c r="K443" t="e">
        <f ca="1">_xll.BDH($C$428,"OPER_MARGIN","FY 2017","FY 2017","Currency=INR","Period=FY","BEST_FPERIOD_OVERRIDE=FY","FILING_STATUS=OR","EQY_CONSOLIDATED=Y","FA_ADJUSTED=GAAP","Sort=A","Dates=H","DateFormat=P","Fill=—","Direction=H","UseDPDF=Y")</f>
        <v>#NAME?</v>
      </c>
      <c r="L443" t="e">
        <f ca="1">_xll.BDH($C$428,"INCREMENTAL_OPERATING_MARGIN","FY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43" t="e">
        <f ca="1">_xll.BDH($C$428,"PRETAX_INC_TO_NET_SALES","FY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43" t="e">
        <f ca="1">_xll.BDH($C$428,"INC_BEF_XO_ITEMS_TO_NET_SALES","FY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43" t="e">
        <f ca="1">_xll.BDH($C$428,"PROF_MARGIN","FY 2017","FY 2017","Currency=INR","Period=FY","BEST_FPERIOD_OVERRIDE=FY","FILING_STATUS=OR","EQY_CONSOLIDATED=Y","FA_ADJUSTED=GAAP","Sort=A","Dates=H","DateFormat=P","Fill=—","Direction=H","UseDPDF=Y")</f>
        <v>#NAME?</v>
      </c>
      <c r="P443" t="e">
        <f ca="1">_xll.BDH($C$428,"NET_INCOME_TO_COMMON_MARGIN","FY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43" t="e">
        <f ca="1">_xll.BDH($C$428,"EFF_TAX_RATE","FY 2017","FY 2017","Currency=INR","Period=FY","BEST_FPERIOD_OVERRIDE=FY","FILING_STATUS=OR","EQY_CONSOLIDATED=Y","FA_ADJUSTED=GAAP","Sort=A","Dates=H","DateFormat=P","Fill=—","Direction=H","UseDPDF=Y")</f>
        <v>#NAME?</v>
      </c>
      <c r="R443" t="e">
        <f ca="1">_xll.BDH($C$428,"DVD_PAYOUT_RATIO","FY 2017","FY 2017","Currency=INR","Period=FY","BEST_FPERIOD_OVERRIDE=FY","FILING_STATUS=OR","EQY_CONSOLIDATED=Y","FA_ADJUSTED=GAAP","Sort=A","Dates=H","DateFormat=P","Fill=—","Direction=H","UseDPDF=Y")</f>
        <v>#NAME?</v>
      </c>
      <c r="S443" t="e">
        <f ca="1">_xll.BDH($C$428,"SUSTAIN_GROWTH_RT","FY 2017","FY 2017","Currency=INR","Period=FY","BEST_FPERIOD_OVERRIDE=FY","FILING_STATUS=OR","EQY_CONSOLIDATED=Y","FA_ADJUSTED=GAAP","Sort=A","Dates=H","DateFormat=P","Fill=—","Direction=H","UseDPDF=Y")</f>
        <v>#NAME?</v>
      </c>
      <c r="T443" s="2" t="e">
        <f ca="1">_xll.BDH($C$428,"SALES_GROWTH","FY 2017","FY 2017","Currency=INR","Period=FY","BEST_FPERIOD_OVERRIDE=FY","FILING_STATUS=OR","EQY_CONSOLIDATED=Y","FA_ADJUSTED=GAAP","Sort=A","Dates=H","DateFormat=P","Fill=—","Direction=H","UseDPDF=Y")</f>
        <v>#NAME?</v>
      </c>
      <c r="U443" s="2" t="e">
        <f ca="1">_xll.BDH($C$428,"EBITDA_GROWTH","FY 2017","FY 2017","Currency=INR","Period=FY","BEST_FPERIOD_OVERRIDE=FY","FILING_STATUS=OR","EQY_CONSOLIDATED=Y","FA_ADJUSTED=GAAP","Sort=A","Dates=H","DateFormat=P","Fill=—","Direction=H","UseDPDF=Y")</f>
        <v>#NAME?</v>
      </c>
      <c r="V443" s="2" t="e">
        <f ca="1">_xll.BDH($C$428,"OPER_INC_GROWTH","FY 2017","FY 2017","Currency=INR","Period=FY","BEST_FPERIOD_OVERRIDE=FY","FILING_STATUS=OR","EQY_CONSOLIDATED=Y","FA_ADJUSTED=GAAP","Sort=A","Dates=H","DateFormat=P","Fill=—","Direction=H","UseDPDF=Y")</f>
        <v>#NAME?</v>
      </c>
      <c r="W443" s="2" t="e">
        <f ca="1">_xll.BDH($C$428,"EARN_FOR_COM_GROWTH","FY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43" s="2" t="e">
        <f ca="1">_xll.BDH($C$428,"DILUTED_EPS_AFT_XO_ITEMS_GROWTH","FY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43" s="2" t="e">
        <f ca="1">_xll.BDH($C$428,"DIVIDEND_PER_SHARE_1_YEAR_GROWTH","FY 2017","FY 2017","Currency=INR","Period=FY","BEST_FPERIOD_OVERRIDE=FY","FILING_STATUS=OR","EQY_CONSOLIDATED=Y","Sort=A","Dates=H","DateFormat=P","Fill=—","Direction=H","UseDPDF=Y")</f>
        <v>#NAME?</v>
      </c>
      <c r="Z443" s="2" t="e">
        <f ca="1">_xll.BDH($C$428,"ACCOUNTS_RECEIVABLE_GROWTH","FY 2017","FY 2017","Currency=INR","Period=FY","BEST_FPERIOD_OVERRIDE=FY","FILING_STATUS=OR","EQY_CONSOLIDATED=Y","Sort=A","Dates=H","DateFormat=P","Fill=—","Direction=H","UseDPDF=Y")</f>
        <v>#NAME?</v>
      </c>
      <c r="AA443" s="2" t="e">
        <f ca="1">_xll.BDH($C$428,"INVENTORY_GROWTH","FY 2017","FY 2017","Currency=INR","Period=FY","BEST_FPERIOD_OVERRIDE=FY","FILING_STATUS=OR","EQY_CONSOLIDATED=Y","Sort=A","Dates=H","DateFormat=P","Fill=—","Direction=H","UseDPDF=Y")</f>
        <v>#NAME?</v>
      </c>
      <c r="AB443" s="2" t="e">
        <f ca="1">_xll.BDH($C$428,"NET_FIXED_ASSETS_1_YEAR_GROWTH","FY 2017","FY 2017","Currency=INR","Period=FY","BEST_FPERIOD_OVERRIDE=FY","FILING_STATUS=OR","EQY_CONSOLIDATED=Y","Sort=A","Dates=H","DateFormat=P","Fill=—","Direction=H","UseDPDF=Y")</f>
        <v>#NAME?</v>
      </c>
      <c r="AC443" s="2" t="e">
        <f ca="1">_xll.BDH($C$428,"ASSET_GROWTH","FY 2017","FY 2017","Currency=INR","Period=FY","BEST_FPERIOD_OVERRIDE=FY","FILING_STATUS=OR","EQY_CONSOLIDATED=Y","Sort=A","Dates=H","DateFormat=P","Fill=—","Direction=H","UseDPDF=Y")</f>
        <v>#NAME?</v>
      </c>
      <c r="AD443" s="2" t="e">
        <f ca="1">_xll.BDH($C$428,"MODIFIED_WORK_CAP_GROWTH","FY 2017","FY 2017","Currency=INR","Period=FY","BEST_FPERIOD_OVERRIDE=FY","FILING_STATUS=OR","EQY_CONSOLIDATED=Y","Sort=A","Dates=H","DateFormat=P","Fill=—","Direction=H","UseDPDF=Y")</f>
        <v>#NAME?</v>
      </c>
      <c r="AE443" s="2" t="e">
        <f ca="1">_xll.BDH($C$428,"WORK_CAP_GROWTH","FY 2017","FY 2017","Currency=INR","Period=FY","BEST_FPERIOD_OVERRIDE=FY","FILING_STATUS=OR","EQY_CONSOLIDATED=Y","Sort=A","Dates=H","DateFormat=P","Fill=—","Direction=H","UseDPDF=Y")</f>
        <v>#NAME?</v>
      </c>
      <c r="AF443" s="2" t="e">
        <f ca="1">_xll.BDH($C$428,"ACCOUNTS_PAYABLE_GROWTH_1YR","FY 2017","FY 2017","Currency=INR","Period=FY","BEST_FPERIOD_OVERRIDE=FY","FILING_STATUS=OR","EQY_CONSOLIDATED=Y","Sort=A","Dates=H","DateFormat=P","Fill=—","Direction=H","UseDPDF=Y")</f>
        <v>#NAME?</v>
      </c>
      <c r="AG443" s="2" t="e">
        <f ca="1">_xll.BDH($C$428,"SHORT_TERM_DEBT_1_YEAR_GROWTH","FY 2017","FY 2017","Currency=INR","Period=FY","BEST_FPERIOD_OVERRIDE=FY","FILING_STATUS=OR","EQY_CONSOLIDATED=Y","Sort=A","Dates=H","DateFormat=P","Fill=—","Direction=H","UseDPDF=Y")</f>
        <v>#NAME?</v>
      </c>
      <c r="AH443" s="2" t="e">
        <f ca="1">_xll.BDH($C$428,"TOTAL_DEBT_1_YEAR_GROWTH","FY 2017","FY 2017","Currency=INR","Period=FY","BEST_FPERIOD_OVERRIDE=FY","FILING_STATUS=OR","EQY_CONSOLIDATED=Y","Sort=A","Dates=H","DateFormat=P","Fill=—","Direction=H","UseDPDF=Y")</f>
        <v>#NAME?</v>
      </c>
      <c r="AI443" s="2" t="e">
        <f ca="1">_xll.BDH($C$428,"TOTAL_EQUITY_1_YEAR_GROWTH","FY 2017","FY 2017","Currency=INR","Period=FY","BEST_FPERIOD_OVERRIDE=FY","FILING_STATUS=OR","EQY_CONSOLIDATED=Y","Sort=A","Dates=H","DateFormat=P","Fill=—","Direction=H","UseDPDF=Y")</f>
        <v>#NAME?</v>
      </c>
      <c r="AJ443" s="2" t="e">
        <f ca="1">_xll.BDH($C$428,"GROWTH_IN_CAP","FY 2017","FY 2017","Currency=INR","Period=FY","BEST_FPERIOD_OVERRIDE=FY","FILING_STATUS=OR","EQY_CONSOLIDATED=Y","Sort=A","Dates=H","DateFormat=P","Fill=—","Direction=H","UseDPDF=Y")</f>
        <v>#NAME?</v>
      </c>
      <c r="AK443" s="2" t="e">
        <f ca="1">_xll.BDH($C$428,"BVPS_GROWTH","FY 2017","FY 2017","Currency=INR","Period=FY","BEST_FPERIOD_OVERRIDE=FY","FILING_STATUS=OR","EQY_CONSOLIDATED=Y","Sort=A","Dates=H","DateFormat=P","Fill=—","Direction=H","UseDPDF=Y")</f>
        <v>#NAME?</v>
      </c>
      <c r="AL443" s="2" t="e">
        <f ca="1">_xll.BDH($C$428,"CASH_FLOW_GROWTH","FY 2017","FY 2017","Currency=INR","Period=FY","BEST_FPERIOD_OVERRIDE=FY","FILING_STATUS=OR","EQY_CONSOLIDATED=Y","Sort=A","Dates=H","DateFormat=P","Fill=—","Direction=H","UseDPDF=Y")</f>
        <v>#NAME?</v>
      </c>
      <c r="AM443" s="2" t="e">
        <f ca="1">_xll.BDH($C$428,"GEO_GROW_NET_SALES","FY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43" s="2" t="e">
        <f ca="1">_xll.BDH($C$428,"GEO_GROW_EBITDA","FY 2017","FY 2017","Currency=INR","Period=FY","BEST_FPERIOD_OVERRIDE=FY","FILING_STATUS=OR","EQY_CONSOLIDATED=Y","FA_ADJUSTED=GAAP","Sort=A","Dates=H","DateFormat=P","Fill=—","Direction=H","UseDPDF=Y")</f>
        <v>#NAME?</v>
      </c>
      <c r="AO443" s="2" t="e">
        <f ca="1">_xll.BDH($C$428,"GEO_GROW_OPER_INC","FY 2017","FY 2017","Currency=INR","Period=FY","BEST_FPERIOD_OVERRIDE=FY","FILING_STATUS=OR","EQY_CONSOLIDATED=Y","FA_ADJUSTED=GAAP","Sort=A","Dates=H","DateFormat=P","Fill=—","Direction=H","UseDPDF=Y")</f>
        <v>#NAME?</v>
      </c>
      <c r="AP443" s="2" t="e">
        <f ca="1">_xll.BDH($C$428,"NET_INCOME_TO_COMMON_5_YR_GROWTH","FY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43" s="2" t="e">
        <f ca="1">_xll.BDH($C$428,"5Y_GEO_GROWTH_DILUTED_EPS","FY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43" s="2" t="e">
        <f ca="1">_xll.BDH($C$428,"GEO_GROW_DVD_PER_SH","FY 2017","FY 2017","Currency=INR","Period=FY","BEST_FPERIOD_OVERRIDE=FY","FILING_STATUS=OR","EQY_CONSOLIDATED=Y","Sort=A","Dates=H","DateFormat=P","Fill=—","Direction=H","UseDPDF=Y")</f>
        <v>#NAME?</v>
      </c>
      <c r="AS443" s="2" t="e">
        <f ca="1">_xll.BDH($C$428,"ACCOUNTS_RECEIVABLE_5_YR_GROWTH","FY 2017","FY 2017","Currency=INR","Period=FY","BEST_FPERIOD_OVERRIDE=FY","FILING_STATUS=OR","EQY_CONSOLIDATED=Y","Sort=A","Dates=H","DateFormat=P","Fill=—","Direction=H","UseDPDF=Y")</f>
        <v>#NAME?</v>
      </c>
      <c r="AT443" s="2" t="e">
        <f ca="1">_xll.BDH($C$428,"INVENTORY_5_YEAR_GROWTH","FY 2017","FY 2017","Currency=INR","Period=FY","BEST_FPERIOD_OVERRIDE=FY","FILING_STATUS=OR","EQY_CONSOLIDATED=Y","Sort=A","Dates=H","DateFormat=P","Fill=—","Direction=H","UseDPDF=Y")</f>
        <v>#NAME?</v>
      </c>
      <c r="AU443" s="2" t="e">
        <f ca="1">_xll.BDH($C$428,"NET_FIXED_ASSETS_5_YEAR_GROWTH","FY 2017","FY 2017","Currency=INR","Period=FY","BEST_FPERIOD_OVERRIDE=FY","FILING_STATUS=OR","EQY_CONSOLIDATED=Y","Sort=A","Dates=H","DateFormat=P","Fill=—","Direction=H","UseDPDF=Y")</f>
        <v>#NAME?</v>
      </c>
      <c r="AV443" s="2" t="e">
        <f ca="1">_xll.BDH($C$428,"GEO_GROW_TOT_ASSET","FY 2017","FY 2017","Currency=INR","Period=FY","BEST_FPERIOD_OVERRIDE=FY","FILING_STATUS=OR","EQY_CONSOLIDATED=Y","Sort=A","Dates=H","DateFormat=P","Fill=—","Direction=H","UseDPDF=Y")</f>
        <v>#NAME?</v>
      </c>
      <c r="AW443" s="2" t="e">
        <f ca="1">_xll.BDH($C$428,"MODIFIED_WORKING_CPTL_5YR_GRWTH","FY 2017","FY 2017","Currency=INR","Period=FY","BEST_FPERIOD_OVERRIDE=FY","FILING_STATUS=OR","EQY_CONSOLIDATED=Y","Sort=A","Dates=H","DateFormat=P","Fill=—","Direction=H","UseDPDF=Y")</f>
        <v>#NAME?</v>
      </c>
      <c r="AX443" s="2" t="e">
        <f ca="1">_xll.BDH($C$428,"WORKING_CAPITAL_5_YEAR_GROWTH","FY 2017","FY 2017","Currency=INR","Period=FY","BEST_FPERIOD_OVERRIDE=FY","FILING_STATUS=OR","EQY_CONSOLIDATED=Y","Sort=A","Dates=H","DateFormat=P","Fill=—","Direction=H","UseDPDF=Y")</f>
        <v>#NAME?</v>
      </c>
      <c r="AY443" s="2" t="e">
        <f ca="1">_xll.BDH($C$428,"ACCOUNTS_PAYABLE_5_YEAR_GROWTH","FY 2017","FY 2017","Currency=INR","Period=FY","BEST_FPERIOD_OVERRIDE=FY","FILING_STATUS=OR","EQY_CONSOLIDATED=Y","Sort=A","Dates=H","DateFormat=P","Fill=—","Direction=H","UseDPDF=Y")</f>
        <v>#NAME?</v>
      </c>
      <c r="AZ443" s="2" t="e">
        <f ca="1">_xll.BDH($C$428,"SHORT_TERM_DEBT_5_YEAR_GROWTH","FY 2017","FY 2017","Currency=INR","Period=FY","BEST_FPERIOD_OVERRIDE=FY","FILING_STATUS=OR","EQY_CONSOLIDATED=Y","Sort=A","Dates=H","DateFormat=P","Fill=—","Direction=H","UseDPDF=Y")</f>
        <v>#NAME?</v>
      </c>
      <c r="BA443" s="2" t="e">
        <f ca="1">_xll.BDH($C$428,"TOTAL_DEBT_5_YEAR_GROWTH","FY 2017","FY 2017","Currency=INR","Period=FY","BEST_FPERIOD_OVERRIDE=FY","FILING_STATUS=OR","EQY_CONSOLIDATED=Y","Sort=A","Dates=H","DateFormat=P","Fill=—","Direction=H","UseDPDF=Y")</f>
        <v>#NAME?</v>
      </c>
      <c r="BB443" s="2" t="e">
        <f ca="1">_xll.BDH($C$428,"GEO_GROW_TOT_SHRHLDR_EQY","FY 2017","FY 2017","Currency=INR","Period=FY","BEST_FPERIOD_OVERRIDE=FY","FILING_STATUS=OR","EQY_CONSOLIDATED=Y","Sort=A","Dates=H","DateFormat=P","Fill=—","Direction=H","UseDPDF=Y")</f>
        <v>#NAME?</v>
      </c>
      <c r="BC443" s="2" t="e">
        <f ca="1">_xll.BDH($C$428,"TOTAL_CAPITAL_5_YEAR_GROWTH","FY 2017","FY 2017","Currency=INR","Period=FY","BEST_FPERIOD_OVERRIDE=FY","FILING_STATUS=OR","EQY_CONSOLIDATED=Y","Sort=A","Dates=H","DateFormat=P","Fill=—","Direction=H","UseDPDF=Y")</f>
        <v>#NAME?</v>
      </c>
      <c r="BD443" s="2" t="e">
        <f ca="1">_xll.BDH($C$428,"GEO_GROW_BOOK_VAL","FY 2017","FY 2017","Currency=INR","Period=FY","BEST_FPERIOD_OVERRIDE=FY","FILING_STATUS=OR","EQY_CONSOLIDATED=Y","Sort=A","Dates=H","DateFormat=P","Fill=—","Direction=H","UseDPDF=Y")</f>
        <v>#NAME?</v>
      </c>
      <c r="BE443" s="2" t="e">
        <f ca="1">_xll.BDH($C$428,"GEO_GROW_CASH_OPER_ACT","FY 2017","FY 2017","Currency=INR","Period=FY","BEST_FPERIOD_OVERRIDE=FY","FILING_STATUS=OR","EQY_CONSOLIDATED=Y","Sort=A","Dates=H","DateFormat=P","Fill=—","Direction=H","UseDPDF=Y")</f>
        <v>#NAME?</v>
      </c>
      <c r="BF443" s="2" t="e">
        <f ca="1">_xll.BDH($C$428,"REVENUE_SEQUENTIAL_GROWTH","FY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43" s="2" t="e">
        <f ca="1">_xll.BDH($C$428,"EBITDA_SEQUENTIAL_GROWTH","FY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43" s="2" t="e">
        <f ca="1">_xll.BDH($C$428,"OPERATING_INCOME_SEQ_GROWTH","FY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43" s="2" t="e">
        <f ca="1">_xll.BDH($C$428,"NET_INCOME_TO_COMMON_SEQ_GROWTH","FY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43" s="2" t="e">
        <f ca="1">_xll.BDH($C$428,"EPS_DILUTED_SEQUENTIAL_GROWTH","FY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43" s="2" t="e">
        <f ca="1">_xll.BDH($C$428,"DPS_SEQUENTIAL_GROWTH","FY 2017","FY 2017","Currency=INR","Period=FY","BEST_FPERIOD_OVERRIDE=FY","FILING_STATUS=OR","EQY_CONSOLIDATED=Y","Sort=A","Dates=H","DateFormat=P","Fill=—","Direction=H","UseDPDF=Y")</f>
        <v>#NAME?</v>
      </c>
      <c r="BL443" s="2" t="e">
        <f ca="1">_xll.BDH($C$428,"ACCOUNTS_RECEIVABLE_SEQ_GROWTH","FY 2017","FY 2017","Currency=INR","Period=FY","BEST_FPERIOD_OVERRIDE=FY","FILING_STATUS=OR","EQY_CONSOLIDATED=Y","Sort=A","Dates=H","DateFormat=P","Fill=—","Direction=H","UseDPDF=Y")</f>
        <v>#NAME?</v>
      </c>
      <c r="BM443" s="2" t="e">
        <f ca="1">_xll.BDH($C$428,"INVENTORY_SEQUENTIAL_GROWTH","FY 2017","FY 2017","Currency=INR","Period=FY","BEST_FPERIOD_OVERRIDE=FY","FILING_STATUS=OR","EQY_CONSOLIDATED=Y","Sort=A","Dates=H","DateFormat=P","Fill=—","Direction=H","UseDPDF=Y")</f>
        <v>#NAME?</v>
      </c>
      <c r="BN443" s="2" t="e">
        <f ca="1">_xll.BDH($C$428,"FIXED_ASSETS_SEQUENTIAL_GROWTH","FY 2017","FY 2017","Currency=INR","Period=FY","BEST_FPERIOD_OVERRIDE=FY","FILING_STATUS=OR","EQY_CONSOLIDATED=Y","Sort=A","Dates=H","DateFormat=P","Fill=—","Direction=H","UseDPDF=Y")</f>
        <v>#NAME?</v>
      </c>
      <c r="BO443" s="2" t="e">
        <f ca="1">_xll.BDH($C$428,"TOTAL_ASSETS_SEQUENTIAL_GROWTH","FY 2017","FY 2017","Currency=INR","Period=FY","BEST_FPERIOD_OVERRIDE=FY","FILING_STATUS=OR","EQY_CONSOLIDATED=Y","Sort=A","Dates=H","DateFormat=P","Fill=—","Direction=H","UseDPDF=Y")</f>
        <v>#NAME?</v>
      </c>
      <c r="BP443" s="2" t="e">
        <f ca="1">_xll.BDH($C$428,"MODIFIED_WORKING_CPTL_SEQ_GRWTH","FY 2017","FY 2017","Currency=INR","Period=FY","BEST_FPERIOD_OVERRIDE=FY","FILING_STATUS=OR","EQY_CONSOLIDATED=Y","Sort=A","Dates=H","DateFormat=P","Fill=—","Direction=H","UseDPDF=Y")</f>
        <v>#NAME?</v>
      </c>
      <c r="BQ443" s="2" t="e">
        <f ca="1">_xll.BDH($C$428,"WORKING_CAPITAL_SEQ_GROWTH","FY 2017","FY 2017","Currency=INR","Period=FY","BEST_FPERIOD_OVERRIDE=FY","FILING_STATUS=OR","EQY_CONSOLIDATED=Y","Sort=A","Dates=H","DateFormat=P","Fill=—","Direction=H","UseDPDF=Y")</f>
        <v>#NAME?</v>
      </c>
      <c r="BR443" s="2" t="e">
        <f ca="1">_xll.BDH($C$428,"ACCOUNTS_PAYABLE_SEQ_GROWTH","FY 2017","FY 2017","Currency=INR","Period=FY","BEST_FPERIOD_OVERRIDE=FY","FILING_STATUS=OR","EQY_CONSOLIDATED=Y","Sort=A","Dates=H","DateFormat=P","Fill=—","Direction=H","UseDPDF=Y")</f>
        <v>#NAME?</v>
      </c>
      <c r="BS443" s="2" t="e">
        <f ca="1">_xll.BDH($C$428,"ST_DEBT_SEQUENTIAL_GROWTH","FY 2017","FY 2017","Currency=INR","Period=FY","BEST_FPERIOD_OVERRIDE=FY","FILING_STATUS=OR","EQY_CONSOLIDATED=Y","Sort=A","Dates=H","DateFormat=P","Fill=—","Direction=H","UseDPDF=Y")</f>
        <v>#NAME?</v>
      </c>
      <c r="BT443" s="2" t="e">
        <f ca="1">_xll.BDH($C$428,"TOTAL_DEBT_SEQUENTIAL_GROWTH","FY 2017","FY 2017","Currency=INR","Period=FY","BEST_FPERIOD_OVERRIDE=FY","FILING_STATUS=OR","EQY_CONSOLIDATED=Y","Sort=A","Dates=H","DateFormat=P","Fill=—","Direction=H","UseDPDF=Y")</f>
        <v>#NAME?</v>
      </c>
      <c r="BU443" s="2" t="e">
        <f ca="1">_xll.BDH($C$428,"TOTAL_EQUITY_SEQUENTIAL_GROWTH","FY 2017","FY 2017","Currency=INR","Period=FY","BEST_FPERIOD_OVERRIDE=FY","FILING_STATUS=OR","EQY_CONSOLIDATED=Y","Sort=A","Dates=H","DateFormat=P","Fill=—","Direction=H","UseDPDF=Y")</f>
        <v>#NAME?</v>
      </c>
      <c r="BV443" s="2" t="e">
        <f ca="1">_xll.BDH($C$428,"TOTAL_CAPITAL_SEQUENTIAL_GROWTH","FY 2017","FY 2017","Currency=INR","Period=FY","BEST_FPERIOD_OVERRIDE=FY","FILING_STATUS=OR","EQY_CONSOLIDATED=Y","Sort=A","Dates=H","DateFormat=P","Fill=—","Direction=H","UseDPDF=Y")</f>
        <v>#NAME?</v>
      </c>
      <c r="BW443" s="2" t="e">
        <f ca="1">_xll.BDH($C$428,"BPS_SEQUENTIAL_GROWTH","FY 2017","FY 2017","Currency=INR","Period=FY","BEST_FPERIOD_OVERRIDE=FY","FILING_STATUS=OR","EQY_CONSOLIDATED=Y","Sort=A","Dates=H","DateFormat=P","Fill=—","Direction=H","UseDPDF=Y")</f>
        <v>#NAME?</v>
      </c>
      <c r="BX443" s="2" t="e">
        <f ca="1">_xll.BDH($C$428,"CFO_SEQUENTIAL_GROWTH","FY 2017","FY 2017","Currency=INR","Period=FY","BEST_FPERIOD_OVERRIDE=FY","FILING_STATUS=OR","EQY_CONSOLIDATED=Y","Sort=A","Dates=H","DateFormat=P","Fill=—","Direction=H","UseDPDF=Y")</f>
        <v>#NAME?</v>
      </c>
      <c r="BY443" s="3" t="e">
        <f ca="1">_xll.BDH($C$428,"SHORT_AND_LONG_TERM_DEBT","FY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43" s="3" t="e">
        <f ca="1">_xll.BDH($C$428,"BS_ST_BORROW","FY 2017","FY 2017","Currency=INR","Period=FY","BEST_FPERIOD_OVERRIDE=FY","FILING_STATUS=OR","EQY_CONSOLIDATED=Y","SCALING_FORMAT=MLN","Sort=A","Dates=H","DateFormat=P","Fill=—","Direction=H","UseDPDF=Y")</f>
        <v>#NAME?</v>
      </c>
      <c r="CA443" s="3" t="e">
        <f ca="1">_xll.BDH($C$428,"BS_LT_BORROW","FY 2017","FY 2017","Currency=INR","Period=FY","BEST_FPERIOD_OVERRIDE=FY","FILING_STATUS=OR","EQY_CONSOLIDATED=Y","SCALING_FORMAT=MLN","Sort=A","Dates=H","DateFormat=P","Fill=—","Direction=H","UseDPDF=Y")</f>
        <v>#NAME?</v>
      </c>
      <c r="CB443" s="2" t="e">
        <f ca="1">_xll.BDH($C$428,"TOT_DEBT_TO_EBITDA","FY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43" s="2" t="e">
        <f ca="1">_xll.BDH($C$428,"NET_DEBT_TO_EBITDA","FY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43" s="2" t="e">
        <f ca="1">_xll.BDH($C$428,"TOTAL_DEBT_TO_EBIT","FY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43" s="2" t="e">
        <f ca="1">_xll.BDH($C$428,"NET_DEBT_TO_EBIT","FY 2017","FY 2017","Currency=INR","Period=FY","BEST_FPERIOD_OVERRIDE=FY","FILING_STATUS=OR","EQY_CONSOLIDATED=Y","FA_ADJUSTED=GAAP","Sort=A","Dates=H","DateFormat=P","Fill=—","Direction=H","UseDPDF=Y")</f>
        <v>#NAME?</v>
      </c>
      <c r="CF443" s="2" t="e">
        <f ca="1">_xll.BDH($C$428,"EBITDA_TO_INTEREST_EXPN","FY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43" s="2" t="e">
        <f ca="1">_xll.BDH($C$428,"COM_EQY_TO_TOT_ASSET","FY 2017","FY 2017","Currency=INR","Period=FY","BEST_FPERIOD_OVERRIDE=FY","FILING_STATUS=OR","EQY_CONSOLIDATED=Y","Sort=A","Dates=H","DateFormat=P","Fill=—","Direction=H","UseDPDF=Y")</f>
        <v>#NAME?</v>
      </c>
      <c r="CH443" s="2" t="e">
        <f ca="1">_xll.BDH($C$428,"LT_DEBT_TO_TOT_EQY","FY 2017","FY 2017","Currency=INR","Period=FY","BEST_FPERIOD_OVERRIDE=FY","FILING_STATUS=OR","EQY_CONSOLIDATED=Y","Sort=A","Dates=H","DateFormat=P","Fill=—","Direction=H","UseDPDF=Y")</f>
        <v>#NAME?</v>
      </c>
      <c r="CI443" s="2" t="e">
        <f ca="1">_xll.BDH($C$428,"LT_DEBT_TO_TOT_CAP","FY 2017","FY 2017","Currency=INR","Period=FY","BEST_FPERIOD_OVERRIDE=FY","FILING_STATUS=OR","EQY_CONSOLIDATED=Y","Sort=A","Dates=H","DateFormat=P","Fill=—","Direction=H","UseDPDF=Y")</f>
        <v>#NAME?</v>
      </c>
      <c r="CJ443" s="2" t="e">
        <f ca="1">_xll.BDH($C$428,"LT_DEBT_TO_TOT_ASSET","FY 2017","FY 2017","Currency=INR","Period=FY","BEST_FPERIOD_OVERRIDE=FY","FILING_STATUS=OR","EQY_CONSOLIDATED=Y","Sort=A","Dates=H","DateFormat=P","Fill=—","Direction=H","UseDPDF=Y")</f>
        <v>#NAME?</v>
      </c>
      <c r="CK443" s="2" t="e">
        <f ca="1">_xll.BDH($C$428,"TOT_DEBT_TO_TOT_EQY","FY 2017","FY 2017","Currency=INR","Period=FY","BEST_FPERIOD_OVERRIDE=FY","FILING_STATUS=OR","EQY_CONSOLIDATED=Y","Sort=A","Dates=H","DateFormat=P","Fill=—","Direction=H","UseDPDF=Y")</f>
        <v>#NAME?</v>
      </c>
      <c r="CL443" s="2" t="e">
        <f ca="1">_xll.BDH($C$428,"TOT_DEBT_TO_TOT_CAP","FY 2017","FY 2017","Currency=INR","Period=FY","BEST_FPERIOD_OVERRIDE=FY","FILING_STATUS=OR","EQY_CONSOLIDATED=Y","Sort=A","Dates=H","DateFormat=P","Fill=—","Direction=H","UseDPDF=Y")</f>
        <v>#NAME?</v>
      </c>
      <c r="CM443" s="2" t="e">
        <f ca="1">_xll.BDH($C$428,"TOT_DEBT_TO_TOT_ASSET","FY 2017","FY 2017","Currency=INR","Period=FY","BEST_FPERIOD_OVERRIDE=FY","FILING_STATUS=OR","EQY_CONSOLIDATED=Y","Sort=A","Dates=H","DateFormat=P","Fill=—","Direction=H","UseDPDF=Y")</f>
        <v>#NAME?</v>
      </c>
      <c r="CN443" s="2" t="e">
        <f ca="1">_xll.BDH($C$428,"NET_DEBT_TO_SHRHLDR_EQTY","FY 2017","FY 2017","Currency=INR","Period=FY","BEST_FPERIOD_OVERRIDE=FY","FILING_STATUS=OR","EQY_CONSOLIDATED=Y","Sort=A","Dates=H","DateFormat=P","Fill=—","Direction=H","UseDPDF=Y")</f>
        <v>#NAME?</v>
      </c>
      <c r="CO443" s="2" t="e">
        <f ca="1">_xll.BDH($C$428,"NET_DEBT_%_CAPITAL","FY 2017","FY 2017","Currency=INR","Period=FY","BEST_FPERIOD_OVERRIDE=FY","FILING_STATUS=OR","EQY_CONSOLIDATED=Y","Sort=A","Dates=H","DateFormat=P","Fill=—","Direction=H","UseDPDF=Y")</f>
        <v>#NAME?</v>
      </c>
      <c r="CP443" s="3" t="e">
        <f ca="1">_xll.BDH($C$428,"EBITDA","FY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43" s="3" t="e">
        <f ca="1">_xll.BDH($C$428,"EBITDA_AFTER_CAPEX","FY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43" s="3" t="e">
        <f ca="1">_xll.BDH($C$428,"IS_OPER_INC","FY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43" s="2" t="e">
        <f ca="1">_xll.BDH($C$428,"CASH_RATIO","FY 2017","FY 2017","Currency=INR","Period=FY","BEST_FPERIOD_OVERRIDE=FY","FILING_STATUS=OR","EQY_CONSOLIDATED=Y","Sort=A","Dates=H","DateFormat=P","Fill=—","Direction=H","UseDPDF=Y")</f>
        <v>#NAME?</v>
      </c>
      <c r="CT443" s="2" t="e">
        <f ca="1">_xll.BDH($C$428,"CUR_RATIO","FY 2017","FY 2017","Currency=INR","Period=FY","BEST_FPERIOD_OVERRIDE=FY","FILING_STATUS=OR","EQY_CONSOLIDATED=Y","Sort=A","Dates=H","DateFormat=P","Fill=—","Direction=H","UseDPDF=Y")</f>
        <v>#NAME?</v>
      </c>
      <c r="CU443" s="2" t="e">
        <f ca="1">_xll.BDH($C$428,"QUICK_RATIO","FY 2017","FY 2017","Currency=INR","Period=FY","BEST_FPERIOD_OVERRIDE=FY","FILING_STATUS=OR","EQY_CONSOLIDATED=Y","Sort=A","Dates=H","DateFormat=P","Fill=—","Direction=H","UseDPDF=Y")</f>
        <v>#NAME?</v>
      </c>
      <c r="CV443" s="2" t="e">
        <f ca="1">_xll.BDH($C$428,"ALTMAN_Z_SCORE","FY 2017","FY 2017","Currency=INR","Period=FY","BEST_FPERIOD_OVERRIDE=FY","FILING_STATUS=OR","EQY_CONSOLIDATED=Y","Sort=A","Dates=H","DateFormat=P","Fill=—","Direction=H","UseDPDF=Y")</f>
        <v>#NAME?</v>
      </c>
      <c r="CW443" s="4" t="e">
        <f ca="1">_xll.BDH($C$428,"ACCT_RCV_TURN","FY 2017","FY 2017","Currency=INR","Period=FY","BEST_FPERIOD_OVERRIDE=FY","FILING_STATUS=OR","EQY_CONSOLIDATED=Y","FA_ADJUSTED=GAAP","Sort=A","Dates=H","DateFormat=P","Fill=—","Direction=H","UseDPDF=Y")</f>
        <v>#NAME?</v>
      </c>
      <c r="CX443" s="2" t="e">
        <f ca="1">_xll.BDH($C$428,"ACCT_RCV_DAYS","FY 2017","FY 2017","Currency=INR","Period=FY","BEST_FPERIOD_OVERRIDE=FY","FILING_STATUS=OR","EQY_CONSOLIDATED=Y","FA_ADJUSTED=GAAP","Sort=A","Dates=H","DateFormat=P","Fill=—","Direction=H","UseDPDF=Y")</f>
        <v>#NAME?</v>
      </c>
      <c r="CY443" s="4" t="e">
        <f ca="1">_xll.BDH($C$428,"INVENT_TURN","FY 2017","FY 2017","Currency=INR","Period=FY","BEST_FPERIOD_OVERRIDE=FY","FILING_STATUS=OR","EQY_CONSOLIDATED=Y","FA_ADJUSTED=GAAP","Sort=A","Dates=H","DateFormat=P","Fill=—","Direction=H","UseDPDF=Y")</f>
        <v>#NAME?</v>
      </c>
      <c r="CZ443" s="2" t="e">
        <f ca="1">_xll.BDH($C$428,"INVENT_DAYS","FY 2017","FY 2017","Currency=INR","Period=FY","BEST_FPERIOD_OVERRIDE=FY","FILING_STATUS=OR","EQY_CONSOLIDATED=Y","FA_ADJUSTED=GAAP","Sort=A","Dates=H","DateFormat=P","Fill=—","Direction=H","UseDPDF=Y")</f>
        <v>#NAME?</v>
      </c>
      <c r="DA443" s="4" t="e">
        <f ca="1">_xll.BDH($C$428,"ACCOUNTS_PAYABLE_TURNOVER","FY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43" s="2" t="e">
        <f ca="1">_xll.BDH($C$428,"ACCOUNTS_PAYABLE_TURNOVER_DAYS","FY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43" s="4" t="e">
        <f ca="1">_xll.BDH($C$428,"CASH_CONVERSION_CYCLE","FY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43" s="4" t="e">
        <f ca="1">_xll.BDH($C$428,"INV_TO_CASH_DAYS","FY 2017","FY 2017","Currency=INR","Period=FY","BEST_FPERIOD_OVERRIDE=FY","FILING_STATUS=OR","EQY_CONSOLIDATED=Y","FA_ADJUSTED=GAAP","Sort=A","Dates=H","DateFormat=P","Fill=—","Direction=H","UseDPDF=Y")</f>
        <v>#NAME?</v>
      </c>
      <c r="DE443" s="5" t="e">
        <f ca="1">_xll.BDH($C$428,"BS_INVENTORIES","FY 2017","FY 2017","Currency=INR","Period=FY","BEST_FPERIOD_OVERRIDE=FY","FILING_STATUS=OR","EQY_CONSOLIDATED=Y","SCALING_FORMAT=MLN","Sort=A","Dates=H","DateFormat=P","Fill=—","Direction=H","UseDPDF=Y")</f>
        <v>#NAME?</v>
      </c>
      <c r="DF443" s="3" t="e">
        <f ca="1">_xll.BDH($C$428,"INVTRY_RAW_MATERIALS","FY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43" s="3" t="e">
        <f ca="1">_xll.BDH($C$428,"INVTRY_IN_PROGRESS","FY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43" s="3" t="e">
        <f ca="1">_xll.BDH($C$428,"INVTRY_FINISHED_GOODS","FY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43" s="3" t="e">
        <f ca="1">_xll.BDH($C$428,"BS_OTHER_INV","FY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44" spans="1:113" x14ac:dyDescent="0.3">
      <c r="A444" s="6"/>
      <c r="B444" s="6"/>
      <c r="C444" s="6"/>
      <c r="D444" s="6"/>
      <c r="E444" t="s">
        <v>78</v>
      </c>
      <c r="F444" t="e">
        <f ca="1">_xll.BDH($C$428,"RETURN_COM_EQY","FQ1 2017","FQ1 2017","Currency=INR","Period=FQ","BEST_FPERIOD_OVERRIDE=FQ","FILING_STATUS=OR","EQY_CONSOLIDATED=Y","FA_ADJUSTED=GAAP","Sort=A","Dates=H","DateFormat=P","Fill=—","Direction=H","UseDPDF=Y")</f>
        <v>#NAME?</v>
      </c>
      <c r="G444" t="e">
        <f ca="1">_xll.BDH($C$428,"RETURN_ON_ASSET","FQ1 2017","FQ1 2017","Currency=INR","Period=FQ","BEST_FPERIOD_OVERRIDE=FQ","FILING_STATUS=OR","EQY_CONSOLIDATED=Y","FA_ADJUSTED=GAAP","Sort=A","Dates=H","DateFormat=P","Fill=—","Direction=H","UseDPDF=Y")</f>
        <v>#NAME?</v>
      </c>
      <c r="H444" t="e">
        <f ca="1">_xll.BDH($C$428,"RETURN_ON_CAP","FQ1 2017","FQ1 2017","Currency=INR","Period=FQ","BEST_FPERIOD_OVERRIDE=FQ","FILING_STATUS=OR","EQY_CONSOLIDATED=Y","FA_ADJUSTED=GAAP","Sort=A","Dates=H","DateFormat=P","Fill=—","Direction=H","UseDPDF=Y")</f>
        <v>#NAME?</v>
      </c>
      <c r="I444" t="e">
        <f ca="1">_xll.BDH($C$428,"RETURN_ON_INV_CAPITAL","FQ1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44" t="e">
        <f ca="1">_xll.BDH($C$428,"EBITDA_TO_REVENUE","FQ1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44" t="e">
        <f ca="1">_xll.BDH($C$428,"OPER_MARGIN","FQ1 2017","FQ1 2017","Currency=INR","Period=FQ","BEST_FPERIOD_OVERRIDE=FQ","FILING_STATUS=OR","EQY_CONSOLIDATED=Y","FA_ADJUSTED=GAAP","Sort=A","Dates=H","DateFormat=P","Fill=—","Direction=H","UseDPDF=Y")</f>
        <v>#NAME?</v>
      </c>
      <c r="L444" t="e">
        <f ca="1">_xll.BDH($C$428,"INCREMENTAL_OPERATING_MARGIN","FQ1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44" t="e">
        <f ca="1">_xll.BDH($C$428,"PRETAX_INC_TO_NET_SALES","FQ1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44" t="e">
        <f ca="1">_xll.BDH($C$428,"INC_BEF_XO_ITEMS_TO_NET_SALES","FQ1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44" t="e">
        <f ca="1">_xll.BDH($C$428,"PROF_MARGIN","FQ1 2017","FQ1 2017","Currency=INR","Period=FQ","BEST_FPERIOD_OVERRIDE=FQ","FILING_STATUS=OR","EQY_CONSOLIDATED=Y","FA_ADJUSTED=GAAP","Sort=A","Dates=H","DateFormat=P","Fill=—","Direction=H","UseDPDF=Y")</f>
        <v>#NAME?</v>
      </c>
      <c r="P444" t="e">
        <f ca="1">_xll.BDH($C$428,"NET_INCOME_TO_COMMON_MARGIN","FQ1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44" t="e">
        <f ca="1">_xll.BDH($C$428,"EFF_TAX_RATE","FQ1 2017","FQ1 2017","Currency=INR","Period=FQ","BEST_FPERIOD_OVERRIDE=FQ","FILING_STATUS=OR","EQY_CONSOLIDATED=Y","FA_ADJUSTED=GAAP","Sort=A","Dates=H","DateFormat=P","Fill=—","Direction=H","UseDPDF=Y")</f>
        <v>#NAME?</v>
      </c>
      <c r="R444" t="e">
        <f ca="1">_xll.BDH($C$428,"DVD_PAYOUT_RATIO","FQ1 2017","FQ1 2017","Currency=INR","Period=FQ","BEST_FPERIOD_OVERRIDE=FQ","FILING_STATUS=OR","EQY_CONSOLIDATED=Y","FA_ADJUSTED=GAAP","Sort=A","Dates=H","DateFormat=P","Fill=—","Direction=H","UseDPDF=Y")</f>
        <v>#NAME?</v>
      </c>
      <c r="S444" t="e">
        <f ca="1">_xll.BDH($C$428,"SUSTAIN_GROWTH_RT","FQ1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44" s="2" t="e">
        <f ca="1">_xll.BDH($C$428,"SALES_GROWTH","FQ1 2017","FQ1 2017","Currency=INR","Period=FQ","BEST_FPERIOD_OVERRIDE=FQ","FILING_STATUS=OR","EQY_CONSOLIDATED=Y","FA_ADJUSTED=GAAP","Sort=A","Dates=H","DateFormat=P","Fill=—","Direction=H","UseDPDF=Y")</f>
        <v>#NAME?</v>
      </c>
      <c r="U444" s="2" t="e">
        <f ca="1">_xll.BDH($C$428,"EBITDA_GROWTH","FQ1 2017","FQ1 2017","Currency=INR","Period=FQ","BEST_FPERIOD_OVERRIDE=FQ","FILING_STATUS=OR","EQY_CONSOLIDATED=Y","FA_ADJUSTED=GAAP","Sort=A","Dates=H","DateFormat=P","Fill=—","Direction=H","UseDPDF=Y")</f>
        <v>#NAME?</v>
      </c>
      <c r="V444" s="2" t="e">
        <f ca="1">_xll.BDH($C$428,"OPER_INC_GROWTH","FQ1 2017","FQ1 2017","Currency=INR","Period=FQ","BEST_FPERIOD_OVERRIDE=FQ","FILING_STATUS=OR","EQY_CONSOLIDATED=Y","FA_ADJUSTED=GAAP","Sort=A","Dates=H","DateFormat=P","Fill=—","Direction=H","UseDPDF=Y")</f>
        <v>#NAME?</v>
      </c>
      <c r="W444" s="2" t="e">
        <f ca="1">_xll.BDH($C$428,"EARN_FOR_COM_GROWTH","FQ1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44" s="2" t="e">
        <f ca="1">_xll.BDH($C$428,"DILUTED_EPS_AFT_XO_ITEMS_GROWTH","FQ1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44" s="2" t="e">
        <f ca="1">_xll.BDH($C$428,"DIVIDEND_PER_SHARE_1_YEAR_GROWTH","FQ1 2017","FQ1 2017","Currency=INR","Period=FQ","BEST_FPERIOD_OVERRIDE=FQ","FILING_STATUS=OR","EQY_CONSOLIDATED=Y","Sort=A","Dates=H","DateFormat=P","Fill=—","Direction=H","UseDPDF=Y")</f>
        <v>#NAME?</v>
      </c>
      <c r="Z444" s="2" t="e">
        <f ca="1">_xll.BDH($C$428,"ACCOUNTS_RECEIVABLE_GROWTH","FQ1 2017","FQ1 2017","Currency=INR","Period=FQ","BEST_FPERIOD_OVERRIDE=FQ","FILING_STATUS=OR","EQY_CONSOLIDATED=Y","Sort=A","Dates=H","DateFormat=P","Fill=—","Direction=H","UseDPDF=Y")</f>
        <v>#NAME?</v>
      </c>
      <c r="AA444" s="2" t="e">
        <f ca="1">_xll.BDH($C$428,"INVENTORY_GROWTH","FQ1 2017","FQ1 2017","Currency=INR","Period=FQ","BEST_FPERIOD_OVERRIDE=FQ","FILING_STATUS=OR","EQY_CONSOLIDATED=Y","Sort=A","Dates=H","DateFormat=P","Fill=—","Direction=H","UseDPDF=Y")</f>
        <v>#NAME?</v>
      </c>
      <c r="AB444" s="2" t="e">
        <f ca="1">_xll.BDH($C$428,"NET_FIXED_ASSETS_1_YEAR_GROWTH","FQ1 2017","FQ1 2017","Currency=INR","Period=FQ","BEST_FPERIOD_OVERRIDE=FQ","FILING_STATUS=OR","EQY_CONSOLIDATED=Y","Sort=A","Dates=H","DateFormat=P","Fill=—","Direction=H","UseDPDF=Y")</f>
        <v>#NAME?</v>
      </c>
      <c r="AC444" s="2" t="e">
        <f ca="1">_xll.BDH($C$428,"ASSET_GROWTH","FQ1 2017","FQ1 2017","Currency=INR","Period=FQ","BEST_FPERIOD_OVERRIDE=FQ","FILING_STATUS=OR","EQY_CONSOLIDATED=Y","Sort=A","Dates=H","DateFormat=P","Fill=—","Direction=H","UseDPDF=Y")</f>
        <v>#NAME?</v>
      </c>
      <c r="AD444" s="2" t="e">
        <f ca="1">_xll.BDH($C$428,"MODIFIED_WORK_CAP_GROWTH","FQ1 2017","FQ1 2017","Currency=INR","Period=FQ","BEST_FPERIOD_OVERRIDE=FQ","FILING_STATUS=OR","EQY_CONSOLIDATED=Y","Sort=A","Dates=H","DateFormat=P","Fill=—","Direction=H","UseDPDF=Y")</f>
        <v>#NAME?</v>
      </c>
      <c r="AE444" s="2" t="e">
        <f ca="1">_xll.BDH($C$428,"WORK_CAP_GROWTH","FQ1 2017","FQ1 2017","Currency=INR","Period=FQ","BEST_FPERIOD_OVERRIDE=FQ","FILING_STATUS=OR","EQY_CONSOLIDATED=Y","Sort=A","Dates=H","DateFormat=P","Fill=—","Direction=H","UseDPDF=Y")</f>
        <v>#NAME?</v>
      </c>
      <c r="AF444" s="2" t="e">
        <f ca="1">_xll.BDH($C$428,"ACCOUNTS_PAYABLE_GROWTH_1YR","FQ1 2017","FQ1 2017","Currency=INR","Period=FQ","BEST_FPERIOD_OVERRIDE=FQ","FILING_STATUS=OR","EQY_CONSOLIDATED=Y","Sort=A","Dates=H","DateFormat=P","Fill=—","Direction=H","UseDPDF=Y")</f>
        <v>#NAME?</v>
      </c>
      <c r="AG444" s="2" t="e">
        <f ca="1">_xll.BDH($C$428,"SHORT_TERM_DEBT_1_YEAR_GROWTH","FQ1 2017","FQ1 2017","Currency=INR","Period=FQ","BEST_FPERIOD_OVERRIDE=FQ","FILING_STATUS=OR","EQY_CONSOLIDATED=Y","Sort=A","Dates=H","DateFormat=P","Fill=—","Direction=H","UseDPDF=Y")</f>
        <v>#NAME?</v>
      </c>
      <c r="AH444" s="2" t="e">
        <f ca="1">_xll.BDH($C$428,"TOTAL_DEBT_1_YEAR_GROWTH","FQ1 2017","FQ1 2017","Currency=INR","Period=FQ","BEST_FPERIOD_OVERRIDE=FQ","FILING_STATUS=OR","EQY_CONSOLIDATED=Y","Sort=A","Dates=H","DateFormat=P","Fill=—","Direction=H","UseDPDF=Y")</f>
        <v>#NAME?</v>
      </c>
      <c r="AI444" s="2" t="e">
        <f ca="1">_xll.BDH($C$428,"TOTAL_EQUITY_1_YEAR_GROWTH","FQ1 2017","FQ1 2017","Currency=INR","Period=FQ","BEST_FPERIOD_OVERRIDE=FQ","FILING_STATUS=OR","EQY_CONSOLIDATED=Y","Sort=A","Dates=H","DateFormat=P","Fill=—","Direction=H","UseDPDF=Y")</f>
        <v>#NAME?</v>
      </c>
      <c r="AJ444" s="2" t="e">
        <f ca="1">_xll.BDH($C$428,"GROWTH_IN_CAP","FQ1 2017","FQ1 2017","Currency=INR","Period=FQ","BEST_FPERIOD_OVERRIDE=FQ","FILING_STATUS=OR","EQY_CONSOLIDATED=Y","Sort=A","Dates=H","DateFormat=P","Fill=—","Direction=H","UseDPDF=Y")</f>
        <v>#NAME?</v>
      </c>
      <c r="AK444" s="2" t="e">
        <f ca="1">_xll.BDH($C$428,"BVPS_GROWTH","FQ1 2017","FQ1 2017","Currency=INR","Period=FQ","BEST_FPERIOD_OVERRIDE=FQ","FILING_STATUS=OR","EQY_CONSOLIDATED=Y","Sort=A","Dates=H","DateFormat=P","Fill=—","Direction=H","UseDPDF=Y")</f>
        <v>#NAME?</v>
      </c>
      <c r="AL444" s="2" t="e">
        <f ca="1">_xll.BDH($C$428,"CASH_FLOW_GROWTH","FQ1 2017","FQ1 2017","Currency=INR","Period=FQ","BEST_FPERIOD_OVERRIDE=FQ","FILING_STATUS=OR","EQY_CONSOLIDATED=Y","Sort=A","Dates=H","DateFormat=P","Fill=—","Direction=H","UseDPDF=Y")</f>
        <v>#NAME?</v>
      </c>
      <c r="AM444" s="2" t="e">
        <f ca="1">_xll.BDH($C$428,"GEO_GROW_NET_SALES","FQ1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44" s="2" t="e">
        <f ca="1">_xll.BDH($C$428,"GEO_GROW_EBITDA","FQ1 2017","FQ1 2017","Currency=INR","Period=FQ","BEST_FPERIOD_OVERRIDE=FQ","FILING_STATUS=OR","EQY_CONSOLIDATED=Y","FA_ADJUSTED=GAAP","Sort=A","Dates=H","DateFormat=P","Fill=—","Direction=H","UseDPDF=Y")</f>
        <v>#NAME?</v>
      </c>
      <c r="AO444" s="2" t="e">
        <f ca="1">_xll.BDH($C$428,"GEO_GROW_OPER_INC","FQ1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44" s="2" t="e">
        <f ca="1">_xll.BDH($C$428,"NET_INCOME_TO_COMMON_5_YR_GROWTH","FQ1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44" s="2" t="e">
        <f ca="1">_xll.BDH($C$428,"5Y_GEO_GROWTH_DILUTED_EPS","FQ1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44" s="2" t="e">
        <f ca="1">_xll.BDH($C$428,"GEO_GROW_DVD_PER_SH","FQ1 2017","FQ1 2017","Currency=INR","Period=FQ","BEST_FPERIOD_OVERRIDE=FQ","FILING_STATUS=OR","EQY_CONSOLIDATED=Y","Sort=A","Dates=H","DateFormat=P","Fill=—","Direction=H","UseDPDF=Y")</f>
        <v>#NAME?</v>
      </c>
      <c r="AS444" s="2" t="e">
        <f ca="1">_xll.BDH($C$428,"ACCOUNTS_RECEIVABLE_5_YR_GROWTH","FQ1 2017","FQ1 2017","Currency=INR","Period=FQ","BEST_FPERIOD_OVERRIDE=FQ","FILING_STATUS=OR","EQY_CONSOLIDATED=Y","Sort=A","Dates=H","DateFormat=P","Fill=—","Direction=H","UseDPDF=Y")</f>
        <v>#NAME?</v>
      </c>
      <c r="AT444" s="2" t="e">
        <f ca="1">_xll.BDH($C$428,"INVENTORY_5_YEAR_GROWTH","FQ1 2017","FQ1 2017","Currency=INR","Period=FQ","BEST_FPERIOD_OVERRIDE=FQ","FILING_STATUS=OR","EQY_CONSOLIDATED=Y","Sort=A","Dates=H","DateFormat=P","Fill=—","Direction=H","UseDPDF=Y")</f>
        <v>#NAME?</v>
      </c>
      <c r="AU444" s="2" t="e">
        <f ca="1">_xll.BDH($C$428,"NET_FIXED_ASSETS_5_YEAR_GROWTH","FQ1 2017","FQ1 2017","Currency=INR","Period=FQ","BEST_FPERIOD_OVERRIDE=FQ","FILING_STATUS=OR","EQY_CONSOLIDATED=Y","Sort=A","Dates=H","DateFormat=P","Fill=—","Direction=H","UseDPDF=Y")</f>
        <v>#NAME?</v>
      </c>
      <c r="AV444" s="2" t="e">
        <f ca="1">_xll.BDH($C$428,"GEO_GROW_TOT_ASSET","FQ1 2017","FQ1 2017","Currency=INR","Period=FQ","BEST_FPERIOD_OVERRIDE=FQ","FILING_STATUS=OR","EQY_CONSOLIDATED=Y","Sort=A","Dates=H","DateFormat=P","Fill=—","Direction=H","UseDPDF=Y")</f>
        <v>#NAME?</v>
      </c>
      <c r="AW444" s="2" t="e">
        <f ca="1">_xll.BDH($C$428,"MODIFIED_WORKING_CPTL_5YR_GRWTH","FQ1 2017","FQ1 2017","Currency=INR","Period=FQ","BEST_FPERIOD_OVERRIDE=FQ","FILING_STATUS=OR","EQY_CONSOLIDATED=Y","Sort=A","Dates=H","DateFormat=P","Fill=—","Direction=H","UseDPDF=Y")</f>
        <v>#NAME?</v>
      </c>
      <c r="AX444" s="2" t="e">
        <f ca="1">_xll.BDH($C$428,"WORKING_CAPITAL_5_YEAR_GROWTH","FQ1 2017","FQ1 2017","Currency=INR","Period=FQ","BEST_FPERIOD_OVERRIDE=FQ","FILING_STATUS=OR","EQY_CONSOLIDATED=Y","Sort=A","Dates=H","DateFormat=P","Fill=—","Direction=H","UseDPDF=Y")</f>
        <v>#NAME?</v>
      </c>
      <c r="AY444" s="2" t="e">
        <f ca="1">_xll.BDH($C$428,"ACCOUNTS_PAYABLE_5_YEAR_GROWTH","FQ1 2017","FQ1 2017","Currency=INR","Period=FQ","BEST_FPERIOD_OVERRIDE=FQ","FILING_STATUS=OR","EQY_CONSOLIDATED=Y","Sort=A","Dates=H","DateFormat=P","Fill=—","Direction=H","UseDPDF=Y")</f>
        <v>#NAME?</v>
      </c>
      <c r="AZ444" s="2" t="e">
        <f ca="1">_xll.BDH($C$428,"SHORT_TERM_DEBT_5_YEAR_GROWTH","FQ1 2017","FQ1 2017","Currency=INR","Period=FQ","BEST_FPERIOD_OVERRIDE=FQ","FILING_STATUS=OR","EQY_CONSOLIDATED=Y","Sort=A","Dates=H","DateFormat=P","Fill=—","Direction=H","UseDPDF=Y")</f>
        <v>#NAME?</v>
      </c>
      <c r="BA444" s="2" t="e">
        <f ca="1">_xll.BDH($C$428,"TOTAL_DEBT_5_YEAR_GROWTH","FQ1 2017","FQ1 2017","Currency=INR","Period=FQ","BEST_FPERIOD_OVERRIDE=FQ","FILING_STATUS=OR","EQY_CONSOLIDATED=Y","Sort=A","Dates=H","DateFormat=P","Fill=—","Direction=H","UseDPDF=Y")</f>
        <v>#NAME?</v>
      </c>
      <c r="BB444" s="2" t="e">
        <f ca="1">_xll.BDH($C$428,"GEO_GROW_TOT_SHRHLDR_EQY","FQ1 2017","FQ1 2017","Currency=INR","Period=FQ","BEST_FPERIOD_OVERRIDE=FQ","FILING_STATUS=OR","EQY_CONSOLIDATED=Y","Sort=A","Dates=H","DateFormat=P","Fill=—","Direction=H","UseDPDF=Y")</f>
        <v>#NAME?</v>
      </c>
      <c r="BC444" s="2" t="e">
        <f ca="1">_xll.BDH($C$428,"TOTAL_CAPITAL_5_YEAR_GROWTH","FQ1 2017","FQ1 2017","Currency=INR","Period=FQ","BEST_FPERIOD_OVERRIDE=FQ","FILING_STATUS=OR","EQY_CONSOLIDATED=Y","Sort=A","Dates=H","DateFormat=P","Fill=—","Direction=H","UseDPDF=Y")</f>
        <v>#NAME?</v>
      </c>
      <c r="BD444" s="2" t="e">
        <f ca="1">_xll.BDH($C$428,"GEO_GROW_BOOK_VAL","FQ1 2017","FQ1 2017","Currency=INR","Period=FQ","BEST_FPERIOD_OVERRIDE=FQ","FILING_STATUS=OR","EQY_CONSOLIDATED=Y","Sort=A","Dates=H","DateFormat=P","Fill=—","Direction=H","UseDPDF=Y")</f>
        <v>#NAME?</v>
      </c>
      <c r="BE444" s="2" t="e">
        <f ca="1">_xll.BDH($C$428,"GEO_GROW_CASH_OPER_ACT","FQ1 2017","FQ1 2017","Currency=INR","Period=FQ","BEST_FPERIOD_OVERRIDE=FQ","FILING_STATUS=OR","EQY_CONSOLIDATED=Y","Sort=A","Dates=H","DateFormat=P","Fill=—","Direction=H","UseDPDF=Y")</f>
        <v>#NAME?</v>
      </c>
      <c r="BF444" s="2" t="e">
        <f ca="1">_xll.BDH($C$428,"REVENUE_SEQUENTIAL_GROWTH","FQ1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44" s="2" t="e">
        <f ca="1">_xll.BDH($C$428,"EBITDA_SEQUENTIAL_GROWTH","FQ1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44" s="2" t="e">
        <f ca="1">_xll.BDH($C$428,"OPERATING_INCOME_SEQ_GROWTH","FQ1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44" s="2" t="e">
        <f ca="1">_xll.BDH($C$428,"NET_INCOME_TO_COMMON_SEQ_GROWTH","FQ1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44" s="2" t="e">
        <f ca="1">_xll.BDH($C$428,"EPS_DILUTED_SEQUENTIAL_GROWTH","FQ1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44" s="2" t="e">
        <f ca="1">_xll.BDH($C$428,"DPS_SEQUENTIAL_GROWTH","FQ1 2017","FQ1 2017","Currency=INR","Period=FQ","BEST_FPERIOD_OVERRIDE=FQ","FILING_STATUS=OR","EQY_CONSOLIDATED=Y","Sort=A","Dates=H","DateFormat=P","Fill=—","Direction=H","UseDPDF=Y")</f>
        <v>#NAME?</v>
      </c>
      <c r="BL444" s="2" t="e">
        <f ca="1">_xll.BDH($C$428,"ACCOUNTS_RECEIVABLE_SEQ_GROWTH","FQ1 2017","FQ1 2017","Currency=INR","Period=FQ","BEST_FPERIOD_OVERRIDE=FQ","FILING_STATUS=OR","EQY_CONSOLIDATED=Y","Sort=A","Dates=H","DateFormat=P","Fill=—","Direction=H","UseDPDF=Y")</f>
        <v>#NAME?</v>
      </c>
      <c r="BM444" s="2" t="e">
        <f ca="1">_xll.BDH($C$428,"INVENTORY_SEQUENTIAL_GROWTH","FQ1 2017","FQ1 2017","Currency=INR","Period=FQ","BEST_FPERIOD_OVERRIDE=FQ","FILING_STATUS=OR","EQY_CONSOLIDATED=Y","Sort=A","Dates=H","DateFormat=P","Fill=—","Direction=H","UseDPDF=Y")</f>
        <v>#NAME?</v>
      </c>
      <c r="BN444" s="2" t="e">
        <f ca="1">_xll.BDH($C$428,"FIXED_ASSETS_SEQUENTIAL_GROWTH","FQ1 2017","FQ1 2017","Currency=INR","Period=FQ","BEST_FPERIOD_OVERRIDE=FQ","FILING_STATUS=OR","EQY_CONSOLIDATED=Y","Sort=A","Dates=H","DateFormat=P","Fill=—","Direction=H","UseDPDF=Y")</f>
        <v>#NAME?</v>
      </c>
      <c r="BO444" s="2" t="e">
        <f ca="1">_xll.BDH($C$428,"TOTAL_ASSETS_SEQUENTIAL_GROWTH","FQ1 2017","FQ1 2017","Currency=INR","Period=FQ","BEST_FPERIOD_OVERRIDE=FQ","FILING_STATUS=OR","EQY_CONSOLIDATED=Y","Sort=A","Dates=H","DateFormat=P","Fill=—","Direction=H","UseDPDF=Y")</f>
        <v>#NAME?</v>
      </c>
      <c r="BP444" s="2" t="e">
        <f ca="1">_xll.BDH($C$428,"MODIFIED_WORKING_CPTL_SEQ_GRWTH","FQ1 2017","FQ1 2017","Currency=INR","Period=FQ","BEST_FPERIOD_OVERRIDE=FQ","FILING_STATUS=OR","EQY_CONSOLIDATED=Y","Sort=A","Dates=H","DateFormat=P","Fill=—","Direction=H","UseDPDF=Y")</f>
        <v>#NAME?</v>
      </c>
      <c r="BQ444" s="2" t="e">
        <f ca="1">_xll.BDH($C$428,"WORKING_CAPITAL_SEQ_GROWTH","FQ1 2017","FQ1 2017","Currency=INR","Period=FQ","BEST_FPERIOD_OVERRIDE=FQ","FILING_STATUS=OR","EQY_CONSOLIDATED=Y","Sort=A","Dates=H","DateFormat=P","Fill=—","Direction=H","UseDPDF=Y")</f>
        <v>#NAME?</v>
      </c>
      <c r="BR444" s="2" t="e">
        <f ca="1">_xll.BDH($C$428,"ACCOUNTS_PAYABLE_SEQ_GROWTH","FQ1 2017","FQ1 2017","Currency=INR","Period=FQ","BEST_FPERIOD_OVERRIDE=FQ","FILING_STATUS=OR","EQY_CONSOLIDATED=Y","Sort=A","Dates=H","DateFormat=P","Fill=—","Direction=H","UseDPDF=Y")</f>
        <v>#NAME?</v>
      </c>
      <c r="BS444" s="2" t="e">
        <f ca="1">_xll.BDH($C$428,"ST_DEBT_SEQUENTIAL_GROWTH","FQ1 2017","FQ1 2017","Currency=INR","Period=FQ","BEST_FPERIOD_OVERRIDE=FQ","FILING_STATUS=OR","EQY_CONSOLIDATED=Y","Sort=A","Dates=H","DateFormat=P","Fill=—","Direction=H","UseDPDF=Y")</f>
        <v>#NAME?</v>
      </c>
      <c r="BT444" s="2" t="e">
        <f ca="1">_xll.BDH($C$428,"TOTAL_DEBT_SEQUENTIAL_GROWTH","FQ1 2017","FQ1 2017","Currency=INR","Period=FQ","BEST_FPERIOD_OVERRIDE=FQ","FILING_STATUS=OR","EQY_CONSOLIDATED=Y","Sort=A","Dates=H","DateFormat=P","Fill=—","Direction=H","UseDPDF=Y")</f>
        <v>#NAME?</v>
      </c>
      <c r="BU444" s="2" t="e">
        <f ca="1">_xll.BDH($C$428,"TOTAL_EQUITY_SEQUENTIAL_GROWTH","FQ1 2017","FQ1 2017","Currency=INR","Period=FQ","BEST_FPERIOD_OVERRIDE=FQ","FILING_STATUS=OR","EQY_CONSOLIDATED=Y","Sort=A","Dates=H","DateFormat=P","Fill=—","Direction=H","UseDPDF=Y")</f>
        <v>#NAME?</v>
      </c>
      <c r="BV444" s="2" t="e">
        <f ca="1">_xll.BDH($C$428,"TOTAL_CAPITAL_SEQUENTIAL_GROWTH","FQ1 2017","FQ1 2017","Currency=INR","Period=FQ","BEST_FPERIOD_OVERRIDE=FQ","FILING_STATUS=OR","EQY_CONSOLIDATED=Y","Sort=A","Dates=H","DateFormat=P","Fill=—","Direction=H","UseDPDF=Y")</f>
        <v>#NAME?</v>
      </c>
      <c r="BW444" s="2" t="e">
        <f ca="1">_xll.BDH($C$428,"BPS_SEQUENTIAL_GROWTH","FQ1 2017","FQ1 2017","Currency=INR","Period=FQ","BEST_FPERIOD_OVERRIDE=FQ","FILING_STATUS=OR","EQY_CONSOLIDATED=Y","Sort=A","Dates=H","DateFormat=P","Fill=—","Direction=H","UseDPDF=Y")</f>
        <v>#NAME?</v>
      </c>
      <c r="BX444" s="2" t="e">
        <f ca="1">_xll.BDH($C$428,"CFO_SEQUENTIAL_GROWTH","FQ1 2017","FQ1 2017","Currency=INR","Period=FQ","BEST_FPERIOD_OVERRIDE=FQ","FILING_STATUS=OR","EQY_CONSOLIDATED=Y","Sort=A","Dates=H","DateFormat=P","Fill=—","Direction=H","UseDPDF=Y")</f>
        <v>#NAME?</v>
      </c>
      <c r="BY444" s="3" t="e">
        <f ca="1">_xll.BDH($C$428,"SHORT_AND_LONG_TERM_DEBT","FQ1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44" s="3" t="e">
        <f ca="1">_xll.BDH($C$428,"BS_ST_BORROW","FQ1 2017","FQ1 2017","Currency=INR","Period=FQ","BEST_FPERIOD_OVERRIDE=FQ","FILING_STATUS=OR","EQY_CONSOLIDATED=Y","SCALING_FORMAT=MLN","Sort=A","Dates=H","DateFormat=P","Fill=—","Direction=H","UseDPDF=Y")</f>
        <v>#NAME?</v>
      </c>
      <c r="CA444" s="3" t="e">
        <f ca="1">_xll.BDH($C$428,"BS_LT_BORROW","FQ1 2017","FQ1 2017","Currency=INR","Period=FQ","BEST_FPERIOD_OVERRIDE=FQ","FILING_STATUS=OR","EQY_CONSOLIDATED=Y","SCALING_FORMAT=MLN","Sort=A","Dates=H","DateFormat=P","Fill=—","Direction=H","UseDPDF=Y")</f>
        <v>#NAME?</v>
      </c>
      <c r="CB444" s="2" t="e">
        <f ca="1">_xll.BDH($C$428,"TOT_DEBT_TO_EBITDA","FQ1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44" s="2" t="e">
        <f ca="1">_xll.BDH($C$428,"NET_DEBT_TO_EBITDA","FQ1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44" s="2" t="e">
        <f ca="1">_xll.BDH($C$428,"TOTAL_DEBT_TO_EBIT","FQ1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44" s="2" t="e">
        <f ca="1">_xll.BDH($C$428,"NET_DEBT_TO_EBIT","FQ1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44" s="2" t="e">
        <f ca="1">_xll.BDH($C$428,"EBITDA_TO_INTEREST_EXPN","FQ1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44" s="2" t="e">
        <f ca="1">_xll.BDH($C$428,"COM_EQY_TO_TOT_ASSET","FQ1 2017","FQ1 2017","Currency=INR","Period=FQ","BEST_FPERIOD_OVERRIDE=FQ","FILING_STATUS=OR","EQY_CONSOLIDATED=Y","Sort=A","Dates=H","DateFormat=P","Fill=—","Direction=H","UseDPDF=Y")</f>
        <v>#NAME?</v>
      </c>
      <c r="CH444" s="2" t="e">
        <f ca="1">_xll.BDH($C$428,"LT_DEBT_TO_TOT_EQY","FQ1 2017","FQ1 2017","Currency=INR","Period=FQ","BEST_FPERIOD_OVERRIDE=FQ","FILING_STATUS=OR","EQY_CONSOLIDATED=Y","Sort=A","Dates=H","DateFormat=P","Fill=—","Direction=H","UseDPDF=Y")</f>
        <v>#NAME?</v>
      </c>
      <c r="CI444" s="2" t="e">
        <f ca="1">_xll.BDH($C$428,"LT_DEBT_TO_TOT_CAP","FQ1 2017","FQ1 2017","Currency=INR","Period=FQ","BEST_FPERIOD_OVERRIDE=FQ","FILING_STATUS=OR","EQY_CONSOLIDATED=Y","Sort=A","Dates=H","DateFormat=P","Fill=—","Direction=H","UseDPDF=Y")</f>
        <v>#NAME?</v>
      </c>
      <c r="CJ444" s="2" t="e">
        <f ca="1">_xll.BDH($C$428,"LT_DEBT_TO_TOT_ASSET","FQ1 2017","FQ1 2017","Currency=INR","Period=FQ","BEST_FPERIOD_OVERRIDE=FQ","FILING_STATUS=OR","EQY_CONSOLIDATED=Y","Sort=A","Dates=H","DateFormat=P","Fill=—","Direction=H","UseDPDF=Y")</f>
        <v>#NAME?</v>
      </c>
      <c r="CK444" s="2" t="e">
        <f ca="1">_xll.BDH($C$428,"TOT_DEBT_TO_TOT_EQY","FQ1 2017","FQ1 2017","Currency=INR","Period=FQ","BEST_FPERIOD_OVERRIDE=FQ","FILING_STATUS=OR","EQY_CONSOLIDATED=Y","Sort=A","Dates=H","DateFormat=P","Fill=—","Direction=H","UseDPDF=Y")</f>
        <v>#NAME?</v>
      </c>
      <c r="CL444" s="2" t="e">
        <f ca="1">_xll.BDH($C$428,"TOT_DEBT_TO_TOT_CAP","FQ1 2017","FQ1 2017","Currency=INR","Period=FQ","BEST_FPERIOD_OVERRIDE=FQ","FILING_STATUS=OR","EQY_CONSOLIDATED=Y","Sort=A","Dates=H","DateFormat=P","Fill=—","Direction=H","UseDPDF=Y")</f>
        <v>#NAME?</v>
      </c>
      <c r="CM444" s="2" t="e">
        <f ca="1">_xll.BDH($C$428,"TOT_DEBT_TO_TOT_ASSET","FQ1 2017","FQ1 2017","Currency=INR","Period=FQ","BEST_FPERIOD_OVERRIDE=FQ","FILING_STATUS=OR","EQY_CONSOLIDATED=Y","Sort=A","Dates=H","DateFormat=P","Fill=—","Direction=H","UseDPDF=Y")</f>
        <v>#NAME?</v>
      </c>
      <c r="CN444" s="2" t="e">
        <f ca="1">_xll.BDH($C$428,"NET_DEBT_TO_SHRHLDR_EQTY","FQ1 2017","FQ1 2017","Currency=INR","Period=FQ","BEST_FPERIOD_OVERRIDE=FQ","FILING_STATUS=OR","EQY_CONSOLIDATED=Y","Sort=A","Dates=H","DateFormat=P","Fill=—","Direction=H","UseDPDF=Y")</f>
        <v>#NAME?</v>
      </c>
      <c r="CO444" s="2" t="e">
        <f ca="1">_xll.BDH($C$428,"NET_DEBT_%_CAPITAL","FQ1 2017","FQ1 2017","Currency=INR","Period=FQ","BEST_FPERIOD_OVERRIDE=FQ","FILING_STATUS=OR","EQY_CONSOLIDATED=Y","Sort=A","Dates=H","DateFormat=P","Fill=—","Direction=H","UseDPDF=Y")</f>
        <v>#NAME?</v>
      </c>
      <c r="CP444" s="3" t="e">
        <f ca="1">_xll.BDH($C$428,"EBITDA","FQ1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44" s="3" t="e">
        <f ca="1">_xll.BDH($C$428,"EBITDA_AFTER_CAPEX","FQ1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44" s="3" t="e">
        <f ca="1">_xll.BDH($C$428,"IS_OPER_INC","FQ1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44" s="2" t="e">
        <f ca="1">_xll.BDH($C$428,"CASH_RATIO","FQ1 2017","FQ1 2017","Currency=INR","Period=FQ","BEST_FPERIOD_OVERRIDE=FQ","FILING_STATUS=OR","EQY_CONSOLIDATED=Y","Sort=A","Dates=H","DateFormat=P","Fill=—","Direction=H","UseDPDF=Y")</f>
        <v>#NAME?</v>
      </c>
      <c r="CT444" s="2" t="e">
        <f ca="1">_xll.BDH($C$428,"CUR_RATIO","FQ1 2017","FQ1 2017","Currency=INR","Period=FQ","BEST_FPERIOD_OVERRIDE=FQ","FILING_STATUS=OR","EQY_CONSOLIDATED=Y","Sort=A","Dates=H","DateFormat=P","Fill=—","Direction=H","UseDPDF=Y")</f>
        <v>#NAME?</v>
      </c>
      <c r="CU444" s="2" t="e">
        <f ca="1">_xll.BDH($C$428,"QUICK_RATIO","FQ1 2017","FQ1 2017","Currency=INR","Period=FQ","BEST_FPERIOD_OVERRIDE=FQ","FILING_STATUS=OR","EQY_CONSOLIDATED=Y","Sort=A","Dates=H","DateFormat=P","Fill=—","Direction=H","UseDPDF=Y")</f>
        <v>#NAME?</v>
      </c>
      <c r="CV444" s="2" t="e">
        <f ca="1">_xll.BDH($C$428,"ALTMAN_Z_SCORE","FQ1 2017","FQ1 2017","Currency=INR","Period=FQ","BEST_FPERIOD_OVERRIDE=FQ","FILING_STATUS=OR","EQY_CONSOLIDATED=Y","Sort=A","Dates=H","DateFormat=P","Fill=—","Direction=H","UseDPDF=Y")</f>
        <v>#NAME?</v>
      </c>
      <c r="CW444" s="4" t="e">
        <f ca="1">_xll.BDH($C$428,"ACCT_RCV_TURN","FQ1 2017","FQ1 2017","Currency=INR","Period=FQ","BEST_FPERIOD_OVERRIDE=FQ","FILING_STATUS=OR","EQY_CONSOLIDATED=Y","FA_ADJUSTED=GAAP","Sort=A","Dates=H","DateFormat=P","Fill=—","Direction=H","UseDPDF=Y")</f>
        <v>#NAME?</v>
      </c>
      <c r="CX444" s="2" t="e">
        <f ca="1">_xll.BDH($C$428,"ACCT_RCV_DAYS","FQ1 2017","FQ1 2017","Currency=INR","Period=FQ","BEST_FPERIOD_OVERRIDE=FQ","FILING_STATUS=OR","EQY_CONSOLIDATED=Y","FA_ADJUSTED=GAAP","Sort=A","Dates=H","DateFormat=P","Fill=—","Direction=H","UseDPDF=Y")</f>
        <v>#NAME?</v>
      </c>
      <c r="CY444" s="4" t="e">
        <f ca="1">_xll.BDH($C$428,"INVENT_TURN","FQ1 2017","FQ1 2017","Currency=INR","Period=FQ","BEST_FPERIOD_OVERRIDE=FQ","FILING_STATUS=OR","EQY_CONSOLIDATED=Y","FA_ADJUSTED=GAAP","Sort=A","Dates=H","DateFormat=P","Fill=—","Direction=H","UseDPDF=Y")</f>
        <v>#NAME?</v>
      </c>
      <c r="CZ444" s="2" t="e">
        <f ca="1">_xll.BDH($C$428,"INVENT_DAYS","FQ1 2017","FQ1 2017","Currency=INR","Period=FQ","BEST_FPERIOD_OVERRIDE=FQ","FILING_STATUS=OR","EQY_CONSOLIDATED=Y","FA_ADJUSTED=GAAP","Sort=A","Dates=H","DateFormat=P","Fill=—","Direction=H","UseDPDF=Y")</f>
        <v>#NAME?</v>
      </c>
      <c r="DA444" s="4" t="e">
        <f ca="1">_xll.BDH($C$428,"ACCOUNTS_PAYABLE_TURNOVER","FQ1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44" s="2" t="e">
        <f ca="1">_xll.BDH($C$428,"ACCOUNTS_PAYABLE_TURNOVER_DAYS","FQ1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44" s="4" t="e">
        <f ca="1">_xll.BDH($C$428,"CASH_CONVERSION_CYCLE","FQ1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44" s="4" t="e">
        <f ca="1">_xll.BDH($C$428,"INV_TO_CASH_DAYS","FQ1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44" s="5" t="e">
        <f ca="1">_xll.BDH($C$428,"BS_INVENTORIES","FQ1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44" s="3" t="e">
        <f ca="1">_xll.BDH($C$428,"INVTRY_RAW_MATERIALS","FQ1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44" s="3" t="e">
        <f ca="1">_xll.BDH($C$428,"INVTRY_IN_PROGRESS","FQ1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44" s="3" t="e">
        <f ca="1">_xll.BDH($C$428,"INVTRY_FINISHED_GOODS","FQ1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44" s="3" t="e">
        <f ca="1">_xll.BDH($C$428,"BS_OTHER_INV","FQ1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45" spans="1:113" x14ac:dyDescent="0.3">
      <c r="A445" s="6"/>
      <c r="B445" s="6"/>
      <c r="C445" s="6"/>
      <c r="D445" s="6"/>
      <c r="E445" t="s">
        <v>79</v>
      </c>
      <c r="F445" t="e">
        <f ca="1">_xll.BDH($C$428,"RETURN_COM_EQY","FQ2 2017","FQ2 2017","Currency=INR","Period=FQ","BEST_FPERIOD_OVERRIDE=FQ","FILING_STATUS=OR","EQY_CONSOLIDATED=Y","FA_ADJUSTED=GAAP","Sort=A","Dates=H","DateFormat=P","Fill=—","Direction=H","UseDPDF=Y")</f>
        <v>#NAME?</v>
      </c>
      <c r="G445" t="e">
        <f ca="1">_xll.BDH($C$428,"RETURN_ON_ASSET","FQ2 2017","FQ2 2017","Currency=INR","Period=FQ","BEST_FPERIOD_OVERRIDE=FQ","FILING_STATUS=OR","EQY_CONSOLIDATED=Y","FA_ADJUSTED=GAAP","Sort=A","Dates=H","DateFormat=P","Fill=—","Direction=H","UseDPDF=Y")</f>
        <v>#NAME?</v>
      </c>
      <c r="H445" t="e">
        <f ca="1">_xll.BDH($C$428,"RETURN_ON_CAP","FQ2 2017","FQ2 2017","Currency=INR","Period=FQ","BEST_FPERIOD_OVERRIDE=FQ","FILING_STATUS=OR","EQY_CONSOLIDATED=Y","FA_ADJUSTED=GAAP","Sort=A","Dates=H","DateFormat=P","Fill=—","Direction=H","UseDPDF=Y")</f>
        <v>#NAME?</v>
      </c>
      <c r="I445" t="e">
        <f ca="1">_xll.BDH($C$428,"RETURN_ON_INV_CAPITAL","FQ2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45" t="e">
        <f ca="1">_xll.BDH($C$428,"EBITDA_TO_REVENUE","FQ2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45" t="e">
        <f ca="1">_xll.BDH($C$428,"OPER_MARGIN","FQ2 2017","FQ2 2017","Currency=INR","Period=FQ","BEST_FPERIOD_OVERRIDE=FQ","FILING_STATUS=OR","EQY_CONSOLIDATED=Y","FA_ADJUSTED=GAAP","Sort=A","Dates=H","DateFormat=P","Fill=—","Direction=H","UseDPDF=Y")</f>
        <v>#NAME?</v>
      </c>
      <c r="L445" t="e">
        <f ca="1">_xll.BDH($C$428,"INCREMENTAL_OPERATING_MARGIN","FQ2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45" t="e">
        <f ca="1">_xll.BDH($C$428,"PRETAX_INC_TO_NET_SALES","FQ2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45" t="e">
        <f ca="1">_xll.BDH($C$428,"INC_BEF_XO_ITEMS_TO_NET_SALES","FQ2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45" t="e">
        <f ca="1">_xll.BDH($C$428,"PROF_MARGIN","FQ2 2017","FQ2 2017","Currency=INR","Period=FQ","BEST_FPERIOD_OVERRIDE=FQ","FILING_STATUS=OR","EQY_CONSOLIDATED=Y","FA_ADJUSTED=GAAP","Sort=A","Dates=H","DateFormat=P","Fill=—","Direction=H","UseDPDF=Y")</f>
        <v>#NAME?</v>
      </c>
      <c r="P445" t="e">
        <f ca="1">_xll.BDH($C$428,"NET_INCOME_TO_COMMON_MARGIN","FQ2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45" t="e">
        <f ca="1">_xll.BDH($C$428,"EFF_TAX_RATE","FQ2 2017","FQ2 2017","Currency=INR","Period=FQ","BEST_FPERIOD_OVERRIDE=FQ","FILING_STATUS=OR","EQY_CONSOLIDATED=Y","FA_ADJUSTED=GAAP","Sort=A","Dates=H","DateFormat=P","Fill=—","Direction=H","UseDPDF=Y")</f>
        <v>#NAME?</v>
      </c>
      <c r="R445" t="e">
        <f ca="1">_xll.BDH($C$428,"DVD_PAYOUT_RATIO","FQ2 2017","FQ2 2017","Currency=INR","Period=FQ","BEST_FPERIOD_OVERRIDE=FQ","FILING_STATUS=OR","EQY_CONSOLIDATED=Y","FA_ADJUSTED=GAAP","Sort=A","Dates=H","DateFormat=P","Fill=—","Direction=H","UseDPDF=Y")</f>
        <v>#NAME?</v>
      </c>
      <c r="S445" t="e">
        <f ca="1">_xll.BDH($C$428,"SUSTAIN_GROWTH_RT","FQ2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45" s="2" t="e">
        <f ca="1">_xll.BDH($C$428,"SALES_GROWTH","FQ2 2017","FQ2 2017","Currency=INR","Period=FQ","BEST_FPERIOD_OVERRIDE=FQ","FILING_STATUS=OR","EQY_CONSOLIDATED=Y","FA_ADJUSTED=GAAP","Sort=A","Dates=H","DateFormat=P","Fill=—","Direction=H","UseDPDF=Y")</f>
        <v>#NAME?</v>
      </c>
      <c r="U445" s="2" t="e">
        <f ca="1">_xll.BDH($C$428,"EBITDA_GROWTH","FQ2 2017","FQ2 2017","Currency=INR","Period=FQ","BEST_FPERIOD_OVERRIDE=FQ","FILING_STATUS=OR","EQY_CONSOLIDATED=Y","FA_ADJUSTED=GAAP","Sort=A","Dates=H","DateFormat=P","Fill=—","Direction=H","UseDPDF=Y")</f>
        <v>#NAME?</v>
      </c>
      <c r="V445" s="2" t="e">
        <f ca="1">_xll.BDH($C$428,"OPER_INC_GROWTH","FQ2 2017","FQ2 2017","Currency=INR","Period=FQ","BEST_FPERIOD_OVERRIDE=FQ","FILING_STATUS=OR","EQY_CONSOLIDATED=Y","FA_ADJUSTED=GAAP","Sort=A","Dates=H","DateFormat=P","Fill=—","Direction=H","UseDPDF=Y")</f>
        <v>#NAME?</v>
      </c>
      <c r="W445" s="2" t="e">
        <f ca="1">_xll.BDH($C$428,"EARN_FOR_COM_GROWTH","FQ2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45" s="2" t="e">
        <f ca="1">_xll.BDH($C$428,"DILUTED_EPS_AFT_XO_ITEMS_GROWTH","FQ2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45" s="2" t="e">
        <f ca="1">_xll.BDH($C$428,"DIVIDEND_PER_SHARE_1_YEAR_GROWTH","FQ2 2017","FQ2 2017","Currency=INR","Period=FQ","BEST_FPERIOD_OVERRIDE=FQ","FILING_STATUS=OR","EQY_CONSOLIDATED=Y","Sort=A","Dates=H","DateFormat=P","Fill=—","Direction=H","UseDPDF=Y")</f>
        <v>#NAME?</v>
      </c>
      <c r="Z445" s="2" t="e">
        <f ca="1">_xll.BDH($C$428,"ACCOUNTS_RECEIVABLE_GROWTH","FQ2 2017","FQ2 2017","Currency=INR","Period=FQ","BEST_FPERIOD_OVERRIDE=FQ","FILING_STATUS=OR","EQY_CONSOLIDATED=Y","Sort=A","Dates=H","DateFormat=P","Fill=—","Direction=H","UseDPDF=Y")</f>
        <v>#NAME?</v>
      </c>
      <c r="AA445" s="2" t="e">
        <f ca="1">_xll.BDH($C$428,"INVENTORY_GROWTH","FQ2 2017","FQ2 2017","Currency=INR","Period=FQ","BEST_FPERIOD_OVERRIDE=FQ","FILING_STATUS=OR","EQY_CONSOLIDATED=Y","Sort=A","Dates=H","DateFormat=P","Fill=—","Direction=H","UseDPDF=Y")</f>
        <v>#NAME?</v>
      </c>
      <c r="AB445" s="2" t="e">
        <f ca="1">_xll.BDH($C$428,"NET_FIXED_ASSETS_1_YEAR_GROWTH","FQ2 2017","FQ2 2017","Currency=INR","Period=FQ","BEST_FPERIOD_OVERRIDE=FQ","FILING_STATUS=OR","EQY_CONSOLIDATED=Y","Sort=A","Dates=H","DateFormat=P","Fill=—","Direction=H","UseDPDF=Y")</f>
        <v>#NAME?</v>
      </c>
      <c r="AC445" s="2" t="e">
        <f ca="1">_xll.BDH($C$428,"ASSET_GROWTH","FQ2 2017","FQ2 2017","Currency=INR","Period=FQ","BEST_FPERIOD_OVERRIDE=FQ","FILING_STATUS=OR","EQY_CONSOLIDATED=Y","Sort=A","Dates=H","DateFormat=P","Fill=—","Direction=H","UseDPDF=Y")</f>
        <v>#NAME?</v>
      </c>
      <c r="AD445" s="2" t="e">
        <f ca="1">_xll.BDH($C$428,"MODIFIED_WORK_CAP_GROWTH","FQ2 2017","FQ2 2017","Currency=INR","Period=FQ","BEST_FPERIOD_OVERRIDE=FQ","FILING_STATUS=OR","EQY_CONSOLIDATED=Y","Sort=A","Dates=H","DateFormat=P","Fill=—","Direction=H","UseDPDF=Y")</f>
        <v>#NAME?</v>
      </c>
      <c r="AE445" s="2" t="e">
        <f ca="1">_xll.BDH($C$428,"WORK_CAP_GROWTH","FQ2 2017","FQ2 2017","Currency=INR","Period=FQ","BEST_FPERIOD_OVERRIDE=FQ","FILING_STATUS=OR","EQY_CONSOLIDATED=Y","Sort=A","Dates=H","DateFormat=P","Fill=—","Direction=H","UseDPDF=Y")</f>
        <v>#NAME?</v>
      </c>
      <c r="AF445" s="2" t="e">
        <f ca="1">_xll.BDH($C$428,"ACCOUNTS_PAYABLE_GROWTH_1YR","FQ2 2017","FQ2 2017","Currency=INR","Period=FQ","BEST_FPERIOD_OVERRIDE=FQ","FILING_STATUS=OR","EQY_CONSOLIDATED=Y","Sort=A","Dates=H","DateFormat=P","Fill=—","Direction=H","UseDPDF=Y")</f>
        <v>#NAME?</v>
      </c>
      <c r="AG445" s="2" t="e">
        <f ca="1">_xll.BDH($C$428,"SHORT_TERM_DEBT_1_YEAR_GROWTH","FQ2 2017","FQ2 2017","Currency=INR","Period=FQ","BEST_FPERIOD_OVERRIDE=FQ","FILING_STATUS=OR","EQY_CONSOLIDATED=Y","Sort=A","Dates=H","DateFormat=P","Fill=—","Direction=H","UseDPDF=Y")</f>
        <v>#NAME?</v>
      </c>
      <c r="AH445" s="2" t="e">
        <f ca="1">_xll.BDH($C$428,"TOTAL_DEBT_1_YEAR_GROWTH","FQ2 2017","FQ2 2017","Currency=INR","Period=FQ","BEST_FPERIOD_OVERRIDE=FQ","FILING_STATUS=OR","EQY_CONSOLIDATED=Y","Sort=A","Dates=H","DateFormat=P","Fill=—","Direction=H","UseDPDF=Y")</f>
        <v>#NAME?</v>
      </c>
      <c r="AI445" s="2" t="e">
        <f ca="1">_xll.BDH($C$428,"TOTAL_EQUITY_1_YEAR_GROWTH","FQ2 2017","FQ2 2017","Currency=INR","Period=FQ","BEST_FPERIOD_OVERRIDE=FQ","FILING_STATUS=OR","EQY_CONSOLIDATED=Y","Sort=A","Dates=H","DateFormat=P","Fill=—","Direction=H","UseDPDF=Y")</f>
        <v>#NAME?</v>
      </c>
      <c r="AJ445" s="2" t="e">
        <f ca="1">_xll.BDH($C$428,"GROWTH_IN_CAP","FQ2 2017","FQ2 2017","Currency=INR","Period=FQ","BEST_FPERIOD_OVERRIDE=FQ","FILING_STATUS=OR","EQY_CONSOLIDATED=Y","Sort=A","Dates=H","DateFormat=P","Fill=—","Direction=H","UseDPDF=Y")</f>
        <v>#NAME?</v>
      </c>
      <c r="AK445" s="2" t="e">
        <f ca="1">_xll.BDH($C$428,"BVPS_GROWTH","FQ2 2017","FQ2 2017","Currency=INR","Period=FQ","BEST_FPERIOD_OVERRIDE=FQ","FILING_STATUS=OR","EQY_CONSOLIDATED=Y","Sort=A","Dates=H","DateFormat=P","Fill=—","Direction=H","UseDPDF=Y")</f>
        <v>#NAME?</v>
      </c>
      <c r="AL445" s="2" t="e">
        <f ca="1">_xll.BDH($C$428,"CASH_FLOW_GROWTH","FQ2 2017","FQ2 2017","Currency=INR","Period=FQ","BEST_FPERIOD_OVERRIDE=FQ","FILING_STATUS=OR","EQY_CONSOLIDATED=Y","Sort=A","Dates=H","DateFormat=P","Fill=—","Direction=H","UseDPDF=Y")</f>
        <v>#NAME?</v>
      </c>
      <c r="AM445" s="2" t="e">
        <f ca="1">_xll.BDH($C$428,"GEO_GROW_NET_SALES","FQ2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45" s="2" t="e">
        <f ca="1">_xll.BDH($C$428,"GEO_GROW_EBITDA","FQ2 2017","FQ2 2017","Currency=INR","Period=FQ","BEST_FPERIOD_OVERRIDE=FQ","FILING_STATUS=OR","EQY_CONSOLIDATED=Y","FA_ADJUSTED=GAAP","Sort=A","Dates=H","DateFormat=P","Fill=—","Direction=H","UseDPDF=Y")</f>
        <v>#NAME?</v>
      </c>
      <c r="AO445" s="2" t="e">
        <f ca="1">_xll.BDH($C$428,"GEO_GROW_OPER_INC","FQ2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45" s="2" t="e">
        <f ca="1">_xll.BDH($C$428,"NET_INCOME_TO_COMMON_5_YR_GROWTH","FQ2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45" s="2" t="e">
        <f ca="1">_xll.BDH($C$428,"5Y_GEO_GROWTH_DILUTED_EPS","FQ2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45" s="2" t="e">
        <f ca="1">_xll.BDH($C$428,"GEO_GROW_DVD_PER_SH","FQ2 2017","FQ2 2017","Currency=INR","Period=FQ","BEST_FPERIOD_OVERRIDE=FQ","FILING_STATUS=OR","EQY_CONSOLIDATED=Y","Sort=A","Dates=H","DateFormat=P","Fill=—","Direction=H","UseDPDF=Y")</f>
        <v>#NAME?</v>
      </c>
      <c r="AS445" s="2" t="e">
        <f ca="1">_xll.BDH($C$428,"ACCOUNTS_RECEIVABLE_5_YR_GROWTH","FQ2 2017","FQ2 2017","Currency=INR","Period=FQ","BEST_FPERIOD_OVERRIDE=FQ","FILING_STATUS=OR","EQY_CONSOLIDATED=Y","Sort=A","Dates=H","DateFormat=P","Fill=—","Direction=H","UseDPDF=Y")</f>
        <v>#NAME?</v>
      </c>
      <c r="AT445" s="2" t="e">
        <f ca="1">_xll.BDH($C$428,"INVENTORY_5_YEAR_GROWTH","FQ2 2017","FQ2 2017","Currency=INR","Period=FQ","BEST_FPERIOD_OVERRIDE=FQ","FILING_STATUS=OR","EQY_CONSOLIDATED=Y","Sort=A","Dates=H","DateFormat=P","Fill=—","Direction=H","UseDPDF=Y")</f>
        <v>#NAME?</v>
      </c>
      <c r="AU445" s="2" t="e">
        <f ca="1">_xll.BDH($C$428,"NET_FIXED_ASSETS_5_YEAR_GROWTH","FQ2 2017","FQ2 2017","Currency=INR","Period=FQ","BEST_FPERIOD_OVERRIDE=FQ","FILING_STATUS=OR","EQY_CONSOLIDATED=Y","Sort=A","Dates=H","DateFormat=P","Fill=—","Direction=H","UseDPDF=Y")</f>
        <v>#NAME?</v>
      </c>
      <c r="AV445" s="2" t="e">
        <f ca="1">_xll.BDH($C$428,"GEO_GROW_TOT_ASSET","FQ2 2017","FQ2 2017","Currency=INR","Period=FQ","BEST_FPERIOD_OVERRIDE=FQ","FILING_STATUS=OR","EQY_CONSOLIDATED=Y","Sort=A","Dates=H","DateFormat=P","Fill=—","Direction=H","UseDPDF=Y")</f>
        <v>#NAME?</v>
      </c>
      <c r="AW445" s="2" t="e">
        <f ca="1">_xll.BDH($C$428,"MODIFIED_WORKING_CPTL_5YR_GRWTH","FQ2 2017","FQ2 2017","Currency=INR","Period=FQ","BEST_FPERIOD_OVERRIDE=FQ","FILING_STATUS=OR","EQY_CONSOLIDATED=Y","Sort=A","Dates=H","DateFormat=P","Fill=—","Direction=H","UseDPDF=Y")</f>
        <v>#NAME?</v>
      </c>
      <c r="AX445" s="2" t="e">
        <f ca="1">_xll.BDH($C$428,"WORKING_CAPITAL_5_YEAR_GROWTH","FQ2 2017","FQ2 2017","Currency=INR","Period=FQ","BEST_FPERIOD_OVERRIDE=FQ","FILING_STATUS=OR","EQY_CONSOLIDATED=Y","Sort=A","Dates=H","DateFormat=P","Fill=—","Direction=H","UseDPDF=Y")</f>
        <v>#NAME?</v>
      </c>
      <c r="AY445" s="2" t="e">
        <f ca="1">_xll.BDH($C$428,"ACCOUNTS_PAYABLE_5_YEAR_GROWTH","FQ2 2017","FQ2 2017","Currency=INR","Period=FQ","BEST_FPERIOD_OVERRIDE=FQ","FILING_STATUS=OR","EQY_CONSOLIDATED=Y","Sort=A","Dates=H","DateFormat=P","Fill=—","Direction=H","UseDPDF=Y")</f>
        <v>#NAME?</v>
      </c>
      <c r="AZ445" s="2" t="e">
        <f ca="1">_xll.BDH($C$428,"SHORT_TERM_DEBT_5_YEAR_GROWTH","FQ2 2017","FQ2 2017","Currency=INR","Period=FQ","BEST_FPERIOD_OVERRIDE=FQ","FILING_STATUS=OR","EQY_CONSOLIDATED=Y","Sort=A","Dates=H","DateFormat=P","Fill=—","Direction=H","UseDPDF=Y")</f>
        <v>#NAME?</v>
      </c>
      <c r="BA445" s="2" t="e">
        <f ca="1">_xll.BDH($C$428,"TOTAL_DEBT_5_YEAR_GROWTH","FQ2 2017","FQ2 2017","Currency=INR","Period=FQ","BEST_FPERIOD_OVERRIDE=FQ","FILING_STATUS=OR","EQY_CONSOLIDATED=Y","Sort=A","Dates=H","DateFormat=P","Fill=—","Direction=H","UseDPDF=Y")</f>
        <v>#NAME?</v>
      </c>
      <c r="BB445" s="2" t="e">
        <f ca="1">_xll.BDH($C$428,"GEO_GROW_TOT_SHRHLDR_EQY","FQ2 2017","FQ2 2017","Currency=INR","Period=FQ","BEST_FPERIOD_OVERRIDE=FQ","FILING_STATUS=OR","EQY_CONSOLIDATED=Y","Sort=A","Dates=H","DateFormat=P","Fill=—","Direction=H","UseDPDF=Y")</f>
        <v>#NAME?</v>
      </c>
      <c r="BC445" s="2" t="e">
        <f ca="1">_xll.BDH($C$428,"TOTAL_CAPITAL_5_YEAR_GROWTH","FQ2 2017","FQ2 2017","Currency=INR","Period=FQ","BEST_FPERIOD_OVERRIDE=FQ","FILING_STATUS=OR","EQY_CONSOLIDATED=Y","Sort=A","Dates=H","DateFormat=P","Fill=—","Direction=H","UseDPDF=Y")</f>
        <v>#NAME?</v>
      </c>
      <c r="BD445" s="2" t="e">
        <f ca="1">_xll.BDH($C$428,"GEO_GROW_BOOK_VAL","FQ2 2017","FQ2 2017","Currency=INR","Period=FQ","BEST_FPERIOD_OVERRIDE=FQ","FILING_STATUS=OR","EQY_CONSOLIDATED=Y","Sort=A","Dates=H","DateFormat=P","Fill=—","Direction=H","UseDPDF=Y")</f>
        <v>#NAME?</v>
      </c>
      <c r="BE445" s="2" t="e">
        <f ca="1">_xll.BDH($C$428,"GEO_GROW_CASH_OPER_ACT","FQ2 2017","FQ2 2017","Currency=INR","Period=FQ","BEST_FPERIOD_OVERRIDE=FQ","FILING_STATUS=OR","EQY_CONSOLIDATED=Y","Sort=A","Dates=H","DateFormat=P","Fill=—","Direction=H","UseDPDF=Y")</f>
        <v>#NAME?</v>
      </c>
      <c r="BF445" s="2" t="e">
        <f ca="1">_xll.BDH($C$428,"REVENUE_SEQUENTIAL_GROWTH","FQ2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45" s="2" t="e">
        <f ca="1">_xll.BDH($C$428,"EBITDA_SEQUENTIAL_GROWTH","FQ2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45" s="2" t="e">
        <f ca="1">_xll.BDH($C$428,"OPERATING_INCOME_SEQ_GROWTH","FQ2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45" s="2" t="e">
        <f ca="1">_xll.BDH($C$428,"NET_INCOME_TO_COMMON_SEQ_GROWTH","FQ2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45" s="2" t="e">
        <f ca="1">_xll.BDH($C$428,"EPS_DILUTED_SEQUENTIAL_GROWTH","FQ2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45" s="2" t="e">
        <f ca="1">_xll.BDH($C$428,"DPS_SEQUENTIAL_GROWTH","FQ2 2017","FQ2 2017","Currency=INR","Period=FQ","BEST_FPERIOD_OVERRIDE=FQ","FILING_STATUS=OR","EQY_CONSOLIDATED=Y","Sort=A","Dates=H","DateFormat=P","Fill=—","Direction=H","UseDPDF=Y")</f>
        <v>#NAME?</v>
      </c>
      <c r="BL445" s="2" t="e">
        <f ca="1">_xll.BDH($C$428,"ACCOUNTS_RECEIVABLE_SEQ_GROWTH","FQ2 2017","FQ2 2017","Currency=INR","Period=FQ","BEST_FPERIOD_OVERRIDE=FQ","FILING_STATUS=OR","EQY_CONSOLIDATED=Y","Sort=A","Dates=H","DateFormat=P","Fill=—","Direction=H","UseDPDF=Y")</f>
        <v>#NAME?</v>
      </c>
      <c r="BM445" s="2" t="e">
        <f ca="1">_xll.BDH($C$428,"INVENTORY_SEQUENTIAL_GROWTH","FQ2 2017","FQ2 2017","Currency=INR","Period=FQ","BEST_FPERIOD_OVERRIDE=FQ","FILING_STATUS=OR","EQY_CONSOLIDATED=Y","Sort=A","Dates=H","DateFormat=P","Fill=—","Direction=H","UseDPDF=Y")</f>
        <v>#NAME?</v>
      </c>
      <c r="BN445" s="2" t="e">
        <f ca="1">_xll.BDH($C$428,"FIXED_ASSETS_SEQUENTIAL_GROWTH","FQ2 2017","FQ2 2017","Currency=INR","Period=FQ","BEST_FPERIOD_OVERRIDE=FQ","FILING_STATUS=OR","EQY_CONSOLIDATED=Y","Sort=A","Dates=H","DateFormat=P","Fill=—","Direction=H","UseDPDF=Y")</f>
        <v>#NAME?</v>
      </c>
      <c r="BO445" s="2" t="e">
        <f ca="1">_xll.BDH($C$428,"TOTAL_ASSETS_SEQUENTIAL_GROWTH","FQ2 2017","FQ2 2017","Currency=INR","Period=FQ","BEST_FPERIOD_OVERRIDE=FQ","FILING_STATUS=OR","EQY_CONSOLIDATED=Y","Sort=A","Dates=H","DateFormat=P","Fill=—","Direction=H","UseDPDF=Y")</f>
        <v>#NAME?</v>
      </c>
      <c r="BP445" s="2" t="e">
        <f ca="1">_xll.BDH($C$428,"MODIFIED_WORKING_CPTL_SEQ_GRWTH","FQ2 2017","FQ2 2017","Currency=INR","Period=FQ","BEST_FPERIOD_OVERRIDE=FQ","FILING_STATUS=OR","EQY_CONSOLIDATED=Y","Sort=A","Dates=H","DateFormat=P","Fill=—","Direction=H","UseDPDF=Y")</f>
        <v>#NAME?</v>
      </c>
      <c r="BQ445" s="2" t="e">
        <f ca="1">_xll.BDH($C$428,"WORKING_CAPITAL_SEQ_GROWTH","FQ2 2017","FQ2 2017","Currency=INR","Period=FQ","BEST_FPERIOD_OVERRIDE=FQ","FILING_STATUS=OR","EQY_CONSOLIDATED=Y","Sort=A","Dates=H","DateFormat=P","Fill=—","Direction=H","UseDPDF=Y")</f>
        <v>#NAME?</v>
      </c>
      <c r="BR445" s="2" t="e">
        <f ca="1">_xll.BDH($C$428,"ACCOUNTS_PAYABLE_SEQ_GROWTH","FQ2 2017","FQ2 2017","Currency=INR","Period=FQ","BEST_FPERIOD_OVERRIDE=FQ","FILING_STATUS=OR","EQY_CONSOLIDATED=Y","Sort=A","Dates=H","DateFormat=P","Fill=—","Direction=H","UseDPDF=Y")</f>
        <v>#NAME?</v>
      </c>
      <c r="BS445" s="2" t="e">
        <f ca="1">_xll.BDH($C$428,"ST_DEBT_SEQUENTIAL_GROWTH","FQ2 2017","FQ2 2017","Currency=INR","Period=FQ","BEST_FPERIOD_OVERRIDE=FQ","FILING_STATUS=OR","EQY_CONSOLIDATED=Y","Sort=A","Dates=H","DateFormat=P","Fill=—","Direction=H","UseDPDF=Y")</f>
        <v>#NAME?</v>
      </c>
      <c r="BT445" s="2" t="e">
        <f ca="1">_xll.BDH($C$428,"TOTAL_DEBT_SEQUENTIAL_GROWTH","FQ2 2017","FQ2 2017","Currency=INR","Period=FQ","BEST_FPERIOD_OVERRIDE=FQ","FILING_STATUS=OR","EQY_CONSOLIDATED=Y","Sort=A","Dates=H","DateFormat=P","Fill=—","Direction=H","UseDPDF=Y")</f>
        <v>#NAME?</v>
      </c>
      <c r="BU445" s="2" t="e">
        <f ca="1">_xll.BDH($C$428,"TOTAL_EQUITY_SEQUENTIAL_GROWTH","FQ2 2017","FQ2 2017","Currency=INR","Period=FQ","BEST_FPERIOD_OVERRIDE=FQ","FILING_STATUS=OR","EQY_CONSOLIDATED=Y","Sort=A","Dates=H","DateFormat=P","Fill=—","Direction=H","UseDPDF=Y")</f>
        <v>#NAME?</v>
      </c>
      <c r="BV445" s="2" t="e">
        <f ca="1">_xll.BDH($C$428,"TOTAL_CAPITAL_SEQUENTIAL_GROWTH","FQ2 2017","FQ2 2017","Currency=INR","Period=FQ","BEST_FPERIOD_OVERRIDE=FQ","FILING_STATUS=OR","EQY_CONSOLIDATED=Y","Sort=A","Dates=H","DateFormat=P","Fill=—","Direction=H","UseDPDF=Y")</f>
        <v>#NAME?</v>
      </c>
      <c r="BW445" s="2" t="e">
        <f ca="1">_xll.BDH($C$428,"BPS_SEQUENTIAL_GROWTH","FQ2 2017","FQ2 2017","Currency=INR","Period=FQ","BEST_FPERIOD_OVERRIDE=FQ","FILING_STATUS=OR","EQY_CONSOLIDATED=Y","Sort=A","Dates=H","DateFormat=P","Fill=—","Direction=H","UseDPDF=Y")</f>
        <v>#NAME?</v>
      </c>
      <c r="BX445" s="2" t="e">
        <f ca="1">_xll.BDH($C$428,"CFO_SEQUENTIAL_GROWTH","FQ2 2017","FQ2 2017","Currency=INR","Period=FQ","BEST_FPERIOD_OVERRIDE=FQ","FILING_STATUS=OR","EQY_CONSOLIDATED=Y","Sort=A","Dates=H","DateFormat=P","Fill=—","Direction=H","UseDPDF=Y")</f>
        <v>#NAME?</v>
      </c>
      <c r="BY445" s="3" t="e">
        <f ca="1">_xll.BDH($C$428,"SHORT_AND_LONG_TERM_DEBT","FQ2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45" s="3" t="e">
        <f ca="1">_xll.BDH($C$428,"BS_ST_BORROW","FQ2 2017","FQ2 2017","Currency=INR","Period=FQ","BEST_FPERIOD_OVERRIDE=FQ","FILING_STATUS=OR","EQY_CONSOLIDATED=Y","SCALING_FORMAT=MLN","Sort=A","Dates=H","DateFormat=P","Fill=—","Direction=H","UseDPDF=Y")</f>
        <v>#NAME?</v>
      </c>
      <c r="CA445" s="3" t="e">
        <f ca="1">_xll.BDH($C$428,"BS_LT_BORROW","FQ2 2017","FQ2 2017","Currency=INR","Period=FQ","BEST_FPERIOD_OVERRIDE=FQ","FILING_STATUS=OR","EQY_CONSOLIDATED=Y","SCALING_FORMAT=MLN","Sort=A","Dates=H","DateFormat=P","Fill=—","Direction=H","UseDPDF=Y")</f>
        <v>#NAME?</v>
      </c>
      <c r="CB445" s="2" t="e">
        <f ca="1">_xll.BDH($C$428,"TOT_DEBT_TO_EBITDA","FQ2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45" s="2" t="e">
        <f ca="1">_xll.BDH($C$428,"NET_DEBT_TO_EBITDA","FQ2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45" s="2" t="e">
        <f ca="1">_xll.BDH($C$428,"TOTAL_DEBT_TO_EBIT","FQ2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45" s="2" t="e">
        <f ca="1">_xll.BDH($C$428,"NET_DEBT_TO_EBIT","FQ2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45" s="2" t="e">
        <f ca="1">_xll.BDH($C$428,"EBITDA_TO_INTEREST_EXPN","FQ2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45" s="2" t="e">
        <f ca="1">_xll.BDH($C$428,"COM_EQY_TO_TOT_ASSET","FQ2 2017","FQ2 2017","Currency=INR","Period=FQ","BEST_FPERIOD_OVERRIDE=FQ","FILING_STATUS=OR","EQY_CONSOLIDATED=Y","Sort=A","Dates=H","DateFormat=P","Fill=—","Direction=H","UseDPDF=Y")</f>
        <v>#NAME?</v>
      </c>
      <c r="CH445" s="2" t="e">
        <f ca="1">_xll.BDH($C$428,"LT_DEBT_TO_TOT_EQY","FQ2 2017","FQ2 2017","Currency=INR","Period=FQ","BEST_FPERIOD_OVERRIDE=FQ","FILING_STATUS=OR","EQY_CONSOLIDATED=Y","Sort=A","Dates=H","DateFormat=P","Fill=—","Direction=H","UseDPDF=Y")</f>
        <v>#NAME?</v>
      </c>
      <c r="CI445" s="2" t="e">
        <f ca="1">_xll.BDH($C$428,"LT_DEBT_TO_TOT_CAP","FQ2 2017","FQ2 2017","Currency=INR","Period=FQ","BEST_FPERIOD_OVERRIDE=FQ","FILING_STATUS=OR","EQY_CONSOLIDATED=Y","Sort=A","Dates=H","DateFormat=P","Fill=—","Direction=H","UseDPDF=Y")</f>
        <v>#NAME?</v>
      </c>
      <c r="CJ445" s="2" t="e">
        <f ca="1">_xll.BDH($C$428,"LT_DEBT_TO_TOT_ASSET","FQ2 2017","FQ2 2017","Currency=INR","Period=FQ","BEST_FPERIOD_OVERRIDE=FQ","FILING_STATUS=OR","EQY_CONSOLIDATED=Y","Sort=A","Dates=H","DateFormat=P","Fill=—","Direction=H","UseDPDF=Y")</f>
        <v>#NAME?</v>
      </c>
      <c r="CK445" s="2" t="e">
        <f ca="1">_xll.BDH($C$428,"TOT_DEBT_TO_TOT_EQY","FQ2 2017","FQ2 2017","Currency=INR","Period=FQ","BEST_FPERIOD_OVERRIDE=FQ","FILING_STATUS=OR","EQY_CONSOLIDATED=Y","Sort=A","Dates=H","DateFormat=P","Fill=—","Direction=H","UseDPDF=Y")</f>
        <v>#NAME?</v>
      </c>
      <c r="CL445" s="2" t="e">
        <f ca="1">_xll.BDH($C$428,"TOT_DEBT_TO_TOT_CAP","FQ2 2017","FQ2 2017","Currency=INR","Period=FQ","BEST_FPERIOD_OVERRIDE=FQ","FILING_STATUS=OR","EQY_CONSOLIDATED=Y","Sort=A","Dates=H","DateFormat=P","Fill=—","Direction=H","UseDPDF=Y")</f>
        <v>#NAME?</v>
      </c>
      <c r="CM445" s="2" t="e">
        <f ca="1">_xll.BDH($C$428,"TOT_DEBT_TO_TOT_ASSET","FQ2 2017","FQ2 2017","Currency=INR","Period=FQ","BEST_FPERIOD_OVERRIDE=FQ","FILING_STATUS=OR","EQY_CONSOLIDATED=Y","Sort=A","Dates=H","DateFormat=P","Fill=—","Direction=H","UseDPDF=Y")</f>
        <v>#NAME?</v>
      </c>
      <c r="CN445" s="2" t="e">
        <f ca="1">_xll.BDH($C$428,"NET_DEBT_TO_SHRHLDR_EQTY","FQ2 2017","FQ2 2017","Currency=INR","Period=FQ","BEST_FPERIOD_OVERRIDE=FQ","FILING_STATUS=OR","EQY_CONSOLIDATED=Y","Sort=A","Dates=H","DateFormat=P","Fill=—","Direction=H","UseDPDF=Y")</f>
        <v>#NAME?</v>
      </c>
      <c r="CO445" s="2" t="e">
        <f ca="1">_xll.BDH($C$428,"NET_DEBT_%_CAPITAL","FQ2 2017","FQ2 2017","Currency=INR","Period=FQ","BEST_FPERIOD_OVERRIDE=FQ","FILING_STATUS=OR","EQY_CONSOLIDATED=Y","Sort=A","Dates=H","DateFormat=P","Fill=—","Direction=H","UseDPDF=Y")</f>
        <v>#NAME?</v>
      </c>
      <c r="CP445" s="3" t="e">
        <f ca="1">_xll.BDH($C$428,"EBITDA","FQ2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45" s="3" t="e">
        <f ca="1">_xll.BDH($C$428,"EBITDA_AFTER_CAPEX","FQ2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45" s="3" t="e">
        <f ca="1">_xll.BDH($C$428,"IS_OPER_INC","FQ2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45" s="2" t="e">
        <f ca="1">_xll.BDH($C$428,"CASH_RATIO","FQ2 2017","FQ2 2017","Currency=INR","Period=FQ","BEST_FPERIOD_OVERRIDE=FQ","FILING_STATUS=OR","EQY_CONSOLIDATED=Y","Sort=A","Dates=H","DateFormat=P","Fill=—","Direction=H","UseDPDF=Y")</f>
        <v>#NAME?</v>
      </c>
      <c r="CT445" s="2" t="e">
        <f ca="1">_xll.BDH($C$428,"CUR_RATIO","FQ2 2017","FQ2 2017","Currency=INR","Period=FQ","BEST_FPERIOD_OVERRIDE=FQ","FILING_STATUS=OR","EQY_CONSOLIDATED=Y","Sort=A","Dates=H","DateFormat=P","Fill=—","Direction=H","UseDPDF=Y")</f>
        <v>#NAME?</v>
      </c>
      <c r="CU445" s="2" t="e">
        <f ca="1">_xll.BDH($C$428,"QUICK_RATIO","FQ2 2017","FQ2 2017","Currency=INR","Period=FQ","BEST_FPERIOD_OVERRIDE=FQ","FILING_STATUS=OR","EQY_CONSOLIDATED=Y","Sort=A","Dates=H","DateFormat=P","Fill=—","Direction=H","UseDPDF=Y")</f>
        <v>#NAME?</v>
      </c>
      <c r="CV445" s="2" t="e">
        <f ca="1">_xll.BDH($C$428,"ALTMAN_Z_SCORE","FQ2 2017","FQ2 2017","Currency=INR","Period=FQ","BEST_FPERIOD_OVERRIDE=FQ","FILING_STATUS=OR","EQY_CONSOLIDATED=Y","Sort=A","Dates=H","DateFormat=P","Fill=—","Direction=H","UseDPDF=Y")</f>
        <v>#NAME?</v>
      </c>
      <c r="CW445" s="4" t="e">
        <f ca="1">_xll.BDH($C$428,"ACCT_RCV_TURN","FQ2 2017","FQ2 2017","Currency=INR","Period=FQ","BEST_FPERIOD_OVERRIDE=FQ","FILING_STATUS=OR","EQY_CONSOLIDATED=Y","FA_ADJUSTED=GAAP","Sort=A","Dates=H","DateFormat=P","Fill=—","Direction=H","UseDPDF=Y")</f>
        <v>#NAME?</v>
      </c>
      <c r="CX445" s="2" t="e">
        <f ca="1">_xll.BDH($C$428,"ACCT_RCV_DAYS","FQ2 2017","FQ2 2017","Currency=INR","Period=FQ","BEST_FPERIOD_OVERRIDE=FQ","FILING_STATUS=OR","EQY_CONSOLIDATED=Y","FA_ADJUSTED=GAAP","Sort=A","Dates=H","DateFormat=P","Fill=—","Direction=H","UseDPDF=Y")</f>
        <v>#NAME?</v>
      </c>
      <c r="CY445" s="4" t="e">
        <f ca="1">_xll.BDH($C$428,"INVENT_TURN","FQ2 2017","FQ2 2017","Currency=INR","Period=FQ","BEST_FPERIOD_OVERRIDE=FQ","FILING_STATUS=OR","EQY_CONSOLIDATED=Y","FA_ADJUSTED=GAAP","Sort=A","Dates=H","DateFormat=P","Fill=—","Direction=H","UseDPDF=Y")</f>
        <v>#NAME?</v>
      </c>
      <c r="CZ445" s="2" t="e">
        <f ca="1">_xll.BDH($C$428,"INVENT_DAYS","FQ2 2017","FQ2 2017","Currency=INR","Period=FQ","BEST_FPERIOD_OVERRIDE=FQ","FILING_STATUS=OR","EQY_CONSOLIDATED=Y","FA_ADJUSTED=GAAP","Sort=A","Dates=H","DateFormat=P","Fill=—","Direction=H","UseDPDF=Y")</f>
        <v>#NAME?</v>
      </c>
      <c r="DA445" s="4" t="e">
        <f ca="1">_xll.BDH($C$428,"ACCOUNTS_PAYABLE_TURNOVER","FQ2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45" s="2" t="e">
        <f ca="1">_xll.BDH($C$428,"ACCOUNTS_PAYABLE_TURNOVER_DAYS","FQ2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45" s="4" t="e">
        <f ca="1">_xll.BDH($C$428,"CASH_CONVERSION_CYCLE","FQ2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45" s="4" t="e">
        <f ca="1">_xll.BDH($C$428,"INV_TO_CASH_DAYS","FQ2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45" s="5" t="e">
        <f ca="1">_xll.BDH($C$428,"BS_INVENTORIES","FQ2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45" s="3" t="e">
        <f ca="1">_xll.BDH($C$428,"INVTRY_RAW_MATERIALS","FQ2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45" s="3" t="e">
        <f ca="1">_xll.BDH($C$428,"INVTRY_IN_PROGRESS","FQ2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45" s="3" t="e">
        <f ca="1">_xll.BDH($C$428,"INVTRY_FINISHED_GOODS","FQ2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45" s="3" t="e">
        <f ca="1">_xll.BDH($C$428,"BS_OTHER_INV","FQ2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46" spans="1:113" x14ac:dyDescent="0.3">
      <c r="A446" s="6"/>
      <c r="B446" s="6"/>
      <c r="C446" s="6"/>
      <c r="D446" s="6"/>
      <c r="E446" t="s">
        <v>80</v>
      </c>
      <c r="F446" t="e">
        <f ca="1">_xll.BDH($C$428,"RETURN_COM_EQY","FQ3 2017","FQ3 2017","Currency=INR","Period=FQ","BEST_FPERIOD_OVERRIDE=FQ","FILING_STATUS=OR","EQY_CONSOLIDATED=Y","FA_ADJUSTED=GAAP","Sort=A","Dates=H","DateFormat=P","Fill=—","Direction=H","UseDPDF=Y")</f>
        <v>#NAME?</v>
      </c>
      <c r="G446" t="e">
        <f ca="1">_xll.BDH($C$428,"RETURN_ON_ASSET","FQ3 2017","FQ3 2017","Currency=INR","Period=FQ","BEST_FPERIOD_OVERRIDE=FQ","FILING_STATUS=OR","EQY_CONSOLIDATED=Y","FA_ADJUSTED=GAAP","Sort=A","Dates=H","DateFormat=P","Fill=—","Direction=H","UseDPDF=Y")</f>
        <v>#NAME?</v>
      </c>
      <c r="H446" t="e">
        <f ca="1">_xll.BDH($C$428,"RETURN_ON_CAP","FQ3 2017","FQ3 2017","Currency=INR","Period=FQ","BEST_FPERIOD_OVERRIDE=FQ","FILING_STATUS=OR","EQY_CONSOLIDATED=Y","FA_ADJUSTED=GAAP","Sort=A","Dates=H","DateFormat=P","Fill=—","Direction=H","UseDPDF=Y")</f>
        <v>#NAME?</v>
      </c>
      <c r="I446" t="e">
        <f ca="1">_xll.BDH($C$428,"RETURN_ON_INV_CAPITAL","FQ3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46" t="e">
        <f ca="1">_xll.BDH($C$428,"EBITDA_TO_REVENUE","FQ3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46" t="e">
        <f ca="1">_xll.BDH($C$428,"OPER_MARGIN","FQ3 2017","FQ3 2017","Currency=INR","Period=FQ","BEST_FPERIOD_OVERRIDE=FQ","FILING_STATUS=OR","EQY_CONSOLIDATED=Y","FA_ADJUSTED=GAAP","Sort=A","Dates=H","DateFormat=P","Fill=—","Direction=H","UseDPDF=Y")</f>
        <v>#NAME?</v>
      </c>
      <c r="L446" t="e">
        <f ca="1">_xll.BDH($C$428,"INCREMENTAL_OPERATING_MARGIN","FQ3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46" t="e">
        <f ca="1">_xll.BDH($C$428,"PRETAX_INC_TO_NET_SALES","FQ3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46" t="e">
        <f ca="1">_xll.BDH($C$428,"INC_BEF_XO_ITEMS_TO_NET_SALES","FQ3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46" t="e">
        <f ca="1">_xll.BDH($C$428,"PROF_MARGIN","FQ3 2017","FQ3 2017","Currency=INR","Period=FQ","BEST_FPERIOD_OVERRIDE=FQ","FILING_STATUS=OR","EQY_CONSOLIDATED=Y","FA_ADJUSTED=GAAP","Sort=A","Dates=H","DateFormat=P","Fill=—","Direction=H","UseDPDF=Y")</f>
        <v>#NAME?</v>
      </c>
      <c r="P446" t="e">
        <f ca="1">_xll.BDH($C$428,"NET_INCOME_TO_COMMON_MARGIN","FQ3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46" t="e">
        <f ca="1">_xll.BDH($C$428,"EFF_TAX_RATE","FQ3 2017","FQ3 2017","Currency=INR","Period=FQ","BEST_FPERIOD_OVERRIDE=FQ","FILING_STATUS=OR","EQY_CONSOLIDATED=Y","FA_ADJUSTED=GAAP","Sort=A","Dates=H","DateFormat=P","Fill=—","Direction=H","UseDPDF=Y")</f>
        <v>#NAME?</v>
      </c>
      <c r="R446" t="e">
        <f ca="1">_xll.BDH($C$428,"DVD_PAYOUT_RATIO","FQ3 2017","FQ3 2017","Currency=INR","Period=FQ","BEST_FPERIOD_OVERRIDE=FQ","FILING_STATUS=OR","EQY_CONSOLIDATED=Y","FA_ADJUSTED=GAAP","Sort=A","Dates=H","DateFormat=P","Fill=—","Direction=H","UseDPDF=Y")</f>
        <v>#NAME?</v>
      </c>
      <c r="S446" t="e">
        <f ca="1">_xll.BDH($C$428,"SUSTAIN_GROWTH_RT","FQ3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46" s="2" t="e">
        <f ca="1">_xll.BDH($C$428,"SALES_GROWTH","FQ3 2017","FQ3 2017","Currency=INR","Period=FQ","BEST_FPERIOD_OVERRIDE=FQ","FILING_STATUS=OR","EQY_CONSOLIDATED=Y","FA_ADJUSTED=GAAP","Sort=A","Dates=H","DateFormat=P","Fill=—","Direction=H","UseDPDF=Y")</f>
        <v>#NAME?</v>
      </c>
      <c r="U446" s="2" t="e">
        <f ca="1">_xll.BDH($C$428,"EBITDA_GROWTH","FQ3 2017","FQ3 2017","Currency=INR","Period=FQ","BEST_FPERIOD_OVERRIDE=FQ","FILING_STATUS=OR","EQY_CONSOLIDATED=Y","FA_ADJUSTED=GAAP","Sort=A","Dates=H","DateFormat=P","Fill=—","Direction=H","UseDPDF=Y")</f>
        <v>#NAME?</v>
      </c>
      <c r="V446" s="2" t="e">
        <f ca="1">_xll.BDH($C$428,"OPER_INC_GROWTH","FQ3 2017","FQ3 2017","Currency=INR","Period=FQ","BEST_FPERIOD_OVERRIDE=FQ","FILING_STATUS=OR","EQY_CONSOLIDATED=Y","FA_ADJUSTED=GAAP","Sort=A","Dates=H","DateFormat=P","Fill=—","Direction=H","UseDPDF=Y")</f>
        <v>#NAME?</v>
      </c>
      <c r="W446" s="2" t="e">
        <f ca="1">_xll.BDH($C$428,"EARN_FOR_COM_GROWTH","FQ3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46" s="2" t="e">
        <f ca="1">_xll.BDH($C$428,"DILUTED_EPS_AFT_XO_ITEMS_GROWTH","FQ3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46" s="2" t="e">
        <f ca="1">_xll.BDH($C$428,"DIVIDEND_PER_SHARE_1_YEAR_GROWTH","FQ3 2017","FQ3 2017","Currency=INR","Period=FQ","BEST_FPERIOD_OVERRIDE=FQ","FILING_STATUS=OR","EQY_CONSOLIDATED=Y","Sort=A","Dates=H","DateFormat=P","Fill=—","Direction=H","UseDPDF=Y")</f>
        <v>#NAME?</v>
      </c>
      <c r="Z446" s="2" t="e">
        <f ca="1">_xll.BDH($C$428,"ACCOUNTS_RECEIVABLE_GROWTH","FQ3 2017","FQ3 2017","Currency=INR","Period=FQ","BEST_FPERIOD_OVERRIDE=FQ","FILING_STATUS=OR","EQY_CONSOLIDATED=Y","Sort=A","Dates=H","DateFormat=P","Fill=—","Direction=H","UseDPDF=Y")</f>
        <v>#NAME?</v>
      </c>
      <c r="AA446" s="2" t="e">
        <f ca="1">_xll.BDH($C$428,"INVENTORY_GROWTH","FQ3 2017","FQ3 2017","Currency=INR","Period=FQ","BEST_FPERIOD_OVERRIDE=FQ","FILING_STATUS=OR","EQY_CONSOLIDATED=Y","Sort=A","Dates=H","DateFormat=P","Fill=—","Direction=H","UseDPDF=Y")</f>
        <v>#NAME?</v>
      </c>
      <c r="AB446" s="2" t="e">
        <f ca="1">_xll.BDH($C$428,"NET_FIXED_ASSETS_1_YEAR_GROWTH","FQ3 2017","FQ3 2017","Currency=INR","Period=FQ","BEST_FPERIOD_OVERRIDE=FQ","FILING_STATUS=OR","EQY_CONSOLIDATED=Y","Sort=A","Dates=H","DateFormat=P","Fill=—","Direction=H","UseDPDF=Y")</f>
        <v>#NAME?</v>
      </c>
      <c r="AC446" s="2" t="e">
        <f ca="1">_xll.BDH($C$428,"ASSET_GROWTH","FQ3 2017","FQ3 2017","Currency=INR","Period=FQ","BEST_FPERIOD_OVERRIDE=FQ","FILING_STATUS=OR","EQY_CONSOLIDATED=Y","Sort=A","Dates=H","DateFormat=P","Fill=—","Direction=H","UseDPDF=Y")</f>
        <v>#NAME?</v>
      </c>
      <c r="AD446" s="2" t="e">
        <f ca="1">_xll.BDH($C$428,"MODIFIED_WORK_CAP_GROWTH","FQ3 2017","FQ3 2017","Currency=INR","Period=FQ","BEST_FPERIOD_OVERRIDE=FQ","FILING_STATUS=OR","EQY_CONSOLIDATED=Y","Sort=A","Dates=H","DateFormat=P","Fill=—","Direction=H","UseDPDF=Y")</f>
        <v>#NAME?</v>
      </c>
      <c r="AE446" s="2" t="e">
        <f ca="1">_xll.BDH($C$428,"WORK_CAP_GROWTH","FQ3 2017","FQ3 2017","Currency=INR","Period=FQ","BEST_FPERIOD_OVERRIDE=FQ","FILING_STATUS=OR","EQY_CONSOLIDATED=Y","Sort=A","Dates=H","DateFormat=P","Fill=—","Direction=H","UseDPDF=Y")</f>
        <v>#NAME?</v>
      </c>
      <c r="AF446" s="2" t="e">
        <f ca="1">_xll.BDH($C$428,"ACCOUNTS_PAYABLE_GROWTH_1YR","FQ3 2017","FQ3 2017","Currency=INR","Period=FQ","BEST_FPERIOD_OVERRIDE=FQ","FILING_STATUS=OR","EQY_CONSOLIDATED=Y","Sort=A","Dates=H","DateFormat=P","Fill=—","Direction=H","UseDPDF=Y")</f>
        <v>#NAME?</v>
      </c>
      <c r="AG446" s="2" t="e">
        <f ca="1">_xll.BDH($C$428,"SHORT_TERM_DEBT_1_YEAR_GROWTH","FQ3 2017","FQ3 2017","Currency=INR","Period=FQ","BEST_FPERIOD_OVERRIDE=FQ","FILING_STATUS=OR","EQY_CONSOLIDATED=Y","Sort=A","Dates=H","DateFormat=P","Fill=—","Direction=H","UseDPDF=Y")</f>
        <v>#NAME?</v>
      </c>
      <c r="AH446" s="2" t="e">
        <f ca="1">_xll.BDH($C$428,"TOTAL_DEBT_1_YEAR_GROWTH","FQ3 2017","FQ3 2017","Currency=INR","Period=FQ","BEST_FPERIOD_OVERRIDE=FQ","FILING_STATUS=OR","EQY_CONSOLIDATED=Y","Sort=A","Dates=H","DateFormat=P","Fill=—","Direction=H","UseDPDF=Y")</f>
        <v>#NAME?</v>
      </c>
      <c r="AI446" s="2" t="e">
        <f ca="1">_xll.BDH($C$428,"TOTAL_EQUITY_1_YEAR_GROWTH","FQ3 2017","FQ3 2017","Currency=INR","Period=FQ","BEST_FPERIOD_OVERRIDE=FQ","FILING_STATUS=OR","EQY_CONSOLIDATED=Y","Sort=A","Dates=H","DateFormat=P","Fill=—","Direction=H","UseDPDF=Y")</f>
        <v>#NAME?</v>
      </c>
      <c r="AJ446" s="2" t="e">
        <f ca="1">_xll.BDH($C$428,"GROWTH_IN_CAP","FQ3 2017","FQ3 2017","Currency=INR","Period=FQ","BEST_FPERIOD_OVERRIDE=FQ","FILING_STATUS=OR","EQY_CONSOLIDATED=Y","Sort=A","Dates=H","DateFormat=P","Fill=—","Direction=H","UseDPDF=Y")</f>
        <v>#NAME?</v>
      </c>
      <c r="AK446" s="2" t="e">
        <f ca="1">_xll.BDH($C$428,"BVPS_GROWTH","FQ3 2017","FQ3 2017","Currency=INR","Period=FQ","BEST_FPERIOD_OVERRIDE=FQ","FILING_STATUS=OR","EQY_CONSOLIDATED=Y","Sort=A","Dates=H","DateFormat=P","Fill=—","Direction=H","UseDPDF=Y")</f>
        <v>#NAME?</v>
      </c>
      <c r="AL446" s="2" t="e">
        <f ca="1">_xll.BDH($C$428,"CASH_FLOW_GROWTH","FQ3 2017","FQ3 2017","Currency=INR","Period=FQ","BEST_FPERIOD_OVERRIDE=FQ","FILING_STATUS=OR","EQY_CONSOLIDATED=Y","Sort=A","Dates=H","DateFormat=P","Fill=—","Direction=H","UseDPDF=Y")</f>
        <v>#NAME?</v>
      </c>
      <c r="AM446" s="2" t="e">
        <f ca="1">_xll.BDH($C$428,"GEO_GROW_NET_SALES","FQ3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46" s="2" t="e">
        <f ca="1">_xll.BDH($C$428,"GEO_GROW_EBITDA","FQ3 2017","FQ3 2017","Currency=INR","Period=FQ","BEST_FPERIOD_OVERRIDE=FQ","FILING_STATUS=OR","EQY_CONSOLIDATED=Y","FA_ADJUSTED=GAAP","Sort=A","Dates=H","DateFormat=P","Fill=—","Direction=H","UseDPDF=Y")</f>
        <v>#NAME?</v>
      </c>
      <c r="AO446" s="2" t="e">
        <f ca="1">_xll.BDH($C$428,"GEO_GROW_OPER_INC","FQ3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46" s="2" t="e">
        <f ca="1">_xll.BDH($C$428,"NET_INCOME_TO_COMMON_5_YR_GROWTH","FQ3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46" s="2" t="e">
        <f ca="1">_xll.BDH($C$428,"5Y_GEO_GROWTH_DILUTED_EPS","FQ3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46" s="2" t="e">
        <f ca="1">_xll.BDH($C$428,"GEO_GROW_DVD_PER_SH","FQ3 2017","FQ3 2017","Currency=INR","Period=FQ","BEST_FPERIOD_OVERRIDE=FQ","FILING_STATUS=OR","EQY_CONSOLIDATED=Y","Sort=A","Dates=H","DateFormat=P","Fill=—","Direction=H","UseDPDF=Y")</f>
        <v>#NAME?</v>
      </c>
      <c r="AS446" s="2" t="e">
        <f ca="1">_xll.BDH($C$428,"ACCOUNTS_RECEIVABLE_5_YR_GROWTH","FQ3 2017","FQ3 2017","Currency=INR","Period=FQ","BEST_FPERIOD_OVERRIDE=FQ","FILING_STATUS=OR","EQY_CONSOLIDATED=Y","Sort=A","Dates=H","DateFormat=P","Fill=—","Direction=H","UseDPDF=Y")</f>
        <v>#NAME?</v>
      </c>
      <c r="AT446" s="2" t="e">
        <f ca="1">_xll.BDH($C$428,"INVENTORY_5_YEAR_GROWTH","FQ3 2017","FQ3 2017","Currency=INR","Period=FQ","BEST_FPERIOD_OVERRIDE=FQ","FILING_STATUS=OR","EQY_CONSOLIDATED=Y","Sort=A","Dates=H","DateFormat=P","Fill=—","Direction=H","UseDPDF=Y")</f>
        <v>#NAME?</v>
      </c>
      <c r="AU446" s="2" t="e">
        <f ca="1">_xll.BDH($C$428,"NET_FIXED_ASSETS_5_YEAR_GROWTH","FQ3 2017","FQ3 2017","Currency=INR","Period=FQ","BEST_FPERIOD_OVERRIDE=FQ","FILING_STATUS=OR","EQY_CONSOLIDATED=Y","Sort=A","Dates=H","DateFormat=P","Fill=—","Direction=H","UseDPDF=Y")</f>
        <v>#NAME?</v>
      </c>
      <c r="AV446" s="2" t="e">
        <f ca="1">_xll.BDH($C$428,"GEO_GROW_TOT_ASSET","FQ3 2017","FQ3 2017","Currency=INR","Period=FQ","BEST_FPERIOD_OVERRIDE=FQ","FILING_STATUS=OR","EQY_CONSOLIDATED=Y","Sort=A","Dates=H","DateFormat=P","Fill=—","Direction=H","UseDPDF=Y")</f>
        <v>#NAME?</v>
      </c>
      <c r="AW446" s="2" t="e">
        <f ca="1">_xll.BDH($C$428,"MODIFIED_WORKING_CPTL_5YR_GRWTH","FQ3 2017","FQ3 2017","Currency=INR","Period=FQ","BEST_FPERIOD_OVERRIDE=FQ","FILING_STATUS=OR","EQY_CONSOLIDATED=Y","Sort=A","Dates=H","DateFormat=P","Fill=—","Direction=H","UseDPDF=Y")</f>
        <v>#NAME?</v>
      </c>
      <c r="AX446" s="2" t="e">
        <f ca="1">_xll.BDH($C$428,"WORKING_CAPITAL_5_YEAR_GROWTH","FQ3 2017","FQ3 2017","Currency=INR","Period=FQ","BEST_FPERIOD_OVERRIDE=FQ","FILING_STATUS=OR","EQY_CONSOLIDATED=Y","Sort=A","Dates=H","DateFormat=P","Fill=—","Direction=H","UseDPDF=Y")</f>
        <v>#NAME?</v>
      </c>
      <c r="AY446" s="2" t="e">
        <f ca="1">_xll.BDH($C$428,"ACCOUNTS_PAYABLE_5_YEAR_GROWTH","FQ3 2017","FQ3 2017","Currency=INR","Period=FQ","BEST_FPERIOD_OVERRIDE=FQ","FILING_STATUS=OR","EQY_CONSOLIDATED=Y","Sort=A","Dates=H","DateFormat=P","Fill=—","Direction=H","UseDPDF=Y")</f>
        <v>#NAME?</v>
      </c>
      <c r="AZ446" s="2" t="e">
        <f ca="1">_xll.BDH($C$428,"SHORT_TERM_DEBT_5_YEAR_GROWTH","FQ3 2017","FQ3 2017","Currency=INR","Period=FQ","BEST_FPERIOD_OVERRIDE=FQ","FILING_STATUS=OR","EQY_CONSOLIDATED=Y","Sort=A","Dates=H","DateFormat=P","Fill=—","Direction=H","UseDPDF=Y")</f>
        <v>#NAME?</v>
      </c>
      <c r="BA446" s="2" t="e">
        <f ca="1">_xll.BDH($C$428,"TOTAL_DEBT_5_YEAR_GROWTH","FQ3 2017","FQ3 2017","Currency=INR","Period=FQ","BEST_FPERIOD_OVERRIDE=FQ","FILING_STATUS=OR","EQY_CONSOLIDATED=Y","Sort=A","Dates=H","DateFormat=P","Fill=—","Direction=H","UseDPDF=Y")</f>
        <v>#NAME?</v>
      </c>
      <c r="BB446" s="2" t="e">
        <f ca="1">_xll.BDH($C$428,"GEO_GROW_TOT_SHRHLDR_EQY","FQ3 2017","FQ3 2017","Currency=INR","Period=FQ","BEST_FPERIOD_OVERRIDE=FQ","FILING_STATUS=OR","EQY_CONSOLIDATED=Y","Sort=A","Dates=H","DateFormat=P","Fill=—","Direction=H","UseDPDF=Y")</f>
        <v>#NAME?</v>
      </c>
      <c r="BC446" s="2" t="e">
        <f ca="1">_xll.BDH($C$428,"TOTAL_CAPITAL_5_YEAR_GROWTH","FQ3 2017","FQ3 2017","Currency=INR","Period=FQ","BEST_FPERIOD_OVERRIDE=FQ","FILING_STATUS=OR","EQY_CONSOLIDATED=Y","Sort=A","Dates=H","DateFormat=P","Fill=—","Direction=H","UseDPDF=Y")</f>
        <v>#NAME?</v>
      </c>
      <c r="BD446" s="2" t="e">
        <f ca="1">_xll.BDH($C$428,"GEO_GROW_BOOK_VAL","FQ3 2017","FQ3 2017","Currency=INR","Period=FQ","BEST_FPERIOD_OVERRIDE=FQ","FILING_STATUS=OR","EQY_CONSOLIDATED=Y","Sort=A","Dates=H","DateFormat=P","Fill=—","Direction=H","UseDPDF=Y")</f>
        <v>#NAME?</v>
      </c>
      <c r="BE446" s="2" t="e">
        <f ca="1">_xll.BDH($C$428,"GEO_GROW_CASH_OPER_ACT","FQ3 2017","FQ3 2017","Currency=INR","Period=FQ","BEST_FPERIOD_OVERRIDE=FQ","FILING_STATUS=OR","EQY_CONSOLIDATED=Y","Sort=A","Dates=H","DateFormat=P","Fill=—","Direction=H","UseDPDF=Y")</f>
        <v>#NAME?</v>
      </c>
      <c r="BF446" s="2" t="e">
        <f ca="1">_xll.BDH($C$428,"REVENUE_SEQUENTIAL_GROWTH","FQ3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46" s="2" t="e">
        <f ca="1">_xll.BDH($C$428,"EBITDA_SEQUENTIAL_GROWTH","FQ3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46" s="2" t="e">
        <f ca="1">_xll.BDH($C$428,"OPERATING_INCOME_SEQ_GROWTH","FQ3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46" s="2" t="e">
        <f ca="1">_xll.BDH($C$428,"NET_INCOME_TO_COMMON_SEQ_GROWTH","FQ3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46" s="2" t="e">
        <f ca="1">_xll.BDH($C$428,"EPS_DILUTED_SEQUENTIAL_GROWTH","FQ3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46" s="2" t="e">
        <f ca="1">_xll.BDH($C$428,"DPS_SEQUENTIAL_GROWTH","FQ3 2017","FQ3 2017","Currency=INR","Period=FQ","BEST_FPERIOD_OVERRIDE=FQ","FILING_STATUS=OR","EQY_CONSOLIDATED=Y","Sort=A","Dates=H","DateFormat=P","Fill=—","Direction=H","UseDPDF=Y")</f>
        <v>#NAME?</v>
      </c>
      <c r="BL446" s="2" t="e">
        <f ca="1">_xll.BDH($C$428,"ACCOUNTS_RECEIVABLE_SEQ_GROWTH","FQ3 2017","FQ3 2017","Currency=INR","Period=FQ","BEST_FPERIOD_OVERRIDE=FQ","FILING_STATUS=OR","EQY_CONSOLIDATED=Y","Sort=A","Dates=H","DateFormat=P","Fill=—","Direction=H","UseDPDF=Y")</f>
        <v>#NAME?</v>
      </c>
      <c r="BM446" s="2" t="e">
        <f ca="1">_xll.BDH($C$428,"INVENTORY_SEQUENTIAL_GROWTH","FQ3 2017","FQ3 2017","Currency=INR","Period=FQ","BEST_FPERIOD_OVERRIDE=FQ","FILING_STATUS=OR","EQY_CONSOLIDATED=Y","Sort=A","Dates=H","DateFormat=P","Fill=—","Direction=H","UseDPDF=Y")</f>
        <v>#NAME?</v>
      </c>
      <c r="BN446" s="2" t="e">
        <f ca="1">_xll.BDH($C$428,"FIXED_ASSETS_SEQUENTIAL_GROWTH","FQ3 2017","FQ3 2017","Currency=INR","Period=FQ","BEST_FPERIOD_OVERRIDE=FQ","FILING_STATUS=OR","EQY_CONSOLIDATED=Y","Sort=A","Dates=H","DateFormat=P","Fill=—","Direction=H","UseDPDF=Y")</f>
        <v>#NAME?</v>
      </c>
      <c r="BO446" s="2" t="e">
        <f ca="1">_xll.BDH($C$428,"TOTAL_ASSETS_SEQUENTIAL_GROWTH","FQ3 2017","FQ3 2017","Currency=INR","Period=FQ","BEST_FPERIOD_OVERRIDE=FQ","FILING_STATUS=OR","EQY_CONSOLIDATED=Y","Sort=A","Dates=H","DateFormat=P","Fill=—","Direction=H","UseDPDF=Y")</f>
        <v>#NAME?</v>
      </c>
      <c r="BP446" s="2" t="e">
        <f ca="1">_xll.BDH($C$428,"MODIFIED_WORKING_CPTL_SEQ_GRWTH","FQ3 2017","FQ3 2017","Currency=INR","Period=FQ","BEST_FPERIOD_OVERRIDE=FQ","FILING_STATUS=OR","EQY_CONSOLIDATED=Y","Sort=A","Dates=H","DateFormat=P","Fill=—","Direction=H","UseDPDF=Y")</f>
        <v>#NAME?</v>
      </c>
      <c r="BQ446" s="2" t="e">
        <f ca="1">_xll.BDH($C$428,"WORKING_CAPITAL_SEQ_GROWTH","FQ3 2017","FQ3 2017","Currency=INR","Period=FQ","BEST_FPERIOD_OVERRIDE=FQ","FILING_STATUS=OR","EQY_CONSOLIDATED=Y","Sort=A","Dates=H","DateFormat=P","Fill=—","Direction=H","UseDPDF=Y")</f>
        <v>#NAME?</v>
      </c>
      <c r="BR446" s="2" t="e">
        <f ca="1">_xll.BDH($C$428,"ACCOUNTS_PAYABLE_SEQ_GROWTH","FQ3 2017","FQ3 2017","Currency=INR","Period=FQ","BEST_FPERIOD_OVERRIDE=FQ","FILING_STATUS=OR","EQY_CONSOLIDATED=Y","Sort=A","Dates=H","DateFormat=P","Fill=—","Direction=H","UseDPDF=Y")</f>
        <v>#NAME?</v>
      </c>
      <c r="BS446" s="2" t="e">
        <f ca="1">_xll.BDH($C$428,"ST_DEBT_SEQUENTIAL_GROWTH","FQ3 2017","FQ3 2017","Currency=INR","Period=FQ","BEST_FPERIOD_OVERRIDE=FQ","FILING_STATUS=OR","EQY_CONSOLIDATED=Y","Sort=A","Dates=H","DateFormat=P","Fill=—","Direction=H","UseDPDF=Y")</f>
        <v>#NAME?</v>
      </c>
      <c r="BT446" s="2" t="e">
        <f ca="1">_xll.BDH($C$428,"TOTAL_DEBT_SEQUENTIAL_GROWTH","FQ3 2017","FQ3 2017","Currency=INR","Period=FQ","BEST_FPERIOD_OVERRIDE=FQ","FILING_STATUS=OR","EQY_CONSOLIDATED=Y","Sort=A","Dates=H","DateFormat=P","Fill=—","Direction=H","UseDPDF=Y")</f>
        <v>#NAME?</v>
      </c>
      <c r="BU446" s="2" t="e">
        <f ca="1">_xll.BDH($C$428,"TOTAL_EQUITY_SEQUENTIAL_GROWTH","FQ3 2017","FQ3 2017","Currency=INR","Period=FQ","BEST_FPERIOD_OVERRIDE=FQ","FILING_STATUS=OR","EQY_CONSOLIDATED=Y","Sort=A","Dates=H","DateFormat=P","Fill=—","Direction=H","UseDPDF=Y")</f>
        <v>#NAME?</v>
      </c>
      <c r="BV446" s="2" t="e">
        <f ca="1">_xll.BDH($C$428,"TOTAL_CAPITAL_SEQUENTIAL_GROWTH","FQ3 2017","FQ3 2017","Currency=INR","Period=FQ","BEST_FPERIOD_OVERRIDE=FQ","FILING_STATUS=OR","EQY_CONSOLIDATED=Y","Sort=A","Dates=H","DateFormat=P","Fill=—","Direction=H","UseDPDF=Y")</f>
        <v>#NAME?</v>
      </c>
      <c r="BW446" s="2" t="e">
        <f ca="1">_xll.BDH($C$428,"BPS_SEQUENTIAL_GROWTH","FQ3 2017","FQ3 2017","Currency=INR","Period=FQ","BEST_FPERIOD_OVERRIDE=FQ","FILING_STATUS=OR","EQY_CONSOLIDATED=Y","Sort=A","Dates=H","DateFormat=P","Fill=—","Direction=H","UseDPDF=Y")</f>
        <v>#NAME?</v>
      </c>
      <c r="BX446" s="2" t="e">
        <f ca="1">_xll.BDH($C$428,"CFO_SEQUENTIAL_GROWTH","FQ3 2017","FQ3 2017","Currency=INR","Period=FQ","BEST_FPERIOD_OVERRIDE=FQ","FILING_STATUS=OR","EQY_CONSOLIDATED=Y","Sort=A","Dates=H","DateFormat=P","Fill=—","Direction=H","UseDPDF=Y")</f>
        <v>#NAME?</v>
      </c>
      <c r="BY446" s="3" t="e">
        <f ca="1">_xll.BDH($C$428,"SHORT_AND_LONG_TERM_DEBT","FQ3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46" s="3" t="e">
        <f ca="1">_xll.BDH($C$428,"BS_ST_BORROW","FQ3 2017","FQ3 2017","Currency=INR","Period=FQ","BEST_FPERIOD_OVERRIDE=FQ","FILING_STATUS=OR","EQY_CONSOLIDATED=Y","SCALING_FORMAT=MLN","Sort=A","Dates=H","DateFormat=P","Fill=—","Direction=H","UseDPDF=Y")</f>
        <v>#NAME?</v>
      </c>
      <c r="CA446" s="3" t="e">
        <f ca="1">_xll.BDH($C$428,"BS_LT_BORROW","FQ3 2017","FQ3 2017","Currency=INR","Period=FQ","BEST_FPERIOD_OVERRIDE=FQ","FILING_STATUS=OR","EQY_CONSOLIDATED=Y","SCALING_FORMAT=MLN","Sort=A","Dates=H","DateFormat=P","Fill=—","Direction=H","UseDPDF=Y")</f>
        <v>#NAME?</v>
      </c>
      <c r="CB446" s="2" t="e">
        <f ca="1">_xll.BDH($C$428,"TOT_DEBT_TO_EBITDA","FQ3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46" s="2" t="e">
        <f ca="1">_xll.BDH($C$428,"NET_DEBT_TO_EBITDA","FQ3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46" s="2" t="e">
        <f ca="1">_xll.BDH($C$428,"TOTAL_DEBT_TO_EBIT","FQ3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46" s="2" t="e">
        <f ca="1">_xll.BDH($C$428,"NET_DEBT_TO_EBIT","FQ3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46" s="2" t="e">
        <f ca="1">_xll.BDH($C$428,"EBITDA_TO_INTEREST_EXPN","FQ3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46" s="2" t="e">
        <f ca="1">_xll.BDH($C$428,"COM_EQY_TO_TOT_ASSET","FQ3 2017","FQ3 2017","Currency=INR","Period=FQ","BEST_FPERIOD_OVERRIDE=FQ","FILING_STATUS=OR","EQY_CONSOLIDATED=Y","Sort=A","Dates=H","DateFormat=P","Fill=—","Direction=H","UseDPDF=Y")</f>
        <v>#NAME?</v>
      </c>
      <c r="CH446" s="2" t="e">
        <f ca="1">_xll.BDH($C$428,"LT_DEBT_TO_TOT_EQY","FQ3 2017","FQ3 2017","Currency=INR","Period=FQ","BEST_FPERIOD_OVERRIDE=FQ","FILING_STATUS=OR","EQY_CONSOLIDATED=Y","Sort=A","Dates=H","DateFormat=P","Fill=—","Direction=H","UseDPDF=Y")</f>
        <v>#NAME?</v>
      </c>
      <c r="CI446" s="2" t="e">
        <f ca="1">_xll.BDH($C$428,"LT_DEBT_TO_TOT_CAP","FQ3 2017","FQ3 2017","Currency=INR","Period=FQ","BEST_FPERIOD_OVERRIDE=FQ","FILING_STATUS=OR","EQY_CONSOLIDATED=Y","Sort=A","Dates=H","DateFormat=P","Fill=—","Direction=H","UseDPDF=Y")</f>
        <v>#NAME?</v>
      </c>
      <c r="CJ446" s="2" t="e">
        <f ca="1">_xll.BDH($C$428,"LT_DEBT_TO_TOT_ASSET","FQ3 2017","FQ3 2017","Currency=INR","Period=FQ","BEST_FPERIOD_OVERRIDE=FQ","FILING_STATUS=OR","EQY_CONSOLIDATED=Y","Sort=A","Dates=H","DateFormat=P","Fill=—","Direction=H","UseDPDF=Y")</f>
        <v>#NAME?</v>
      </c>
      <c r="CK446" s="2" t="e">
        <f ca="1">_xll.BDH($C$428,"TOT_DEBT_TO_TOT_EQY","FQ3 2017","FQ3 2017","Currency=INR","Period=FQ","BEST_FPERIOD_OVERRIDE=FQ","FILING_STATUS=OR","EQY_CONSOLIDATED=Y","Sort=A","Dates=H","DateFormat=P","Fill=—","Direction=H","UseDPDF=Y")</f>
        <v>#NAME?</v>
      </c>
      <c r="CL446" s="2" t="e">
        <f ca="1">_xll.BDH($C$428,"TOT_DEBT_TO_TOT_CAP","FQ3 2017","FQ3 2017","Currency=INR","Period=FQ","BEST_FPERIOD_OVERRIDE=FQ","FILING_STATUS=OR","EQY_CONSOLIDATED=Y","Sort=A","Dates=H","DateFormat=P","Fill=—","Direction=H","UseDPDF=Y")</f>
        <v>#NAME?</v>
      </c>
      <c r="CM446" s="2" t="e">
        <f ca="1">_xll.BDH($C$428,"TOT_DEBT_TO_TOT_ASSET","FQ3 2017","FQ3 2017","Currency=INR","Period=FQ","BEST_FPERIOD_OVERRIDE=FQ","FILING_STATUS=OR","EQY_CONSOLIDATED=Y","Sort=A","Dates=H","DateFormat=P","Fill=—","Direction=H","UseDPDF=Y")</f>
        <v>#NAME?</v>
      </c>
      <c r="CN446" s="2" t="e">
        <f ca="1">_xll.BDH($C$428,"NET_DEBT_TO_SHRHLDR_EQTY","FQ3 2017","FQ3 2017","Currency=INR","Period=FQ","BEST_FPERIOD_OVERRIDE=FQ","FILING_STATUS=OR","EQY_CONSOLIDATED=Y","Sort=A","Dates=H","DateFormat=P","Fill=—","Direction=H","UseDPDF=Y")</f>
        <v>#NAME?</v>
      </c>
      <c r="CO446" s="2" t="e">
        <f ca="1">_xll.BDH($C$428,"NET_DEBT_%_CAPITAL","FQ3 2017","FQ3 2017","Currency=INR","Period=FQ","BEST_FPERIOD_OVERRIDE=FQ","FILING_STATUS=OR","EQY_CONSOLIDATED=Y","Sort=A","Dates=H","DateFormat=P","Fill=—","Direction=H","UseDPDF=Y")</f>
        <v>#NAME?</v>
      </c>
      <c r="CP446" s="3" t="e">
        <f ca="1">_xll.BDH($C$428,"EBITDA","FQ3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46" s="3" t="e">
        <f ca="1">_xll.BDH($C$428,"EBITDA_AFTER_CAPEX","FQ3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46" s="3" t="e">
        <f ca="1">_xll.BDH($C$428,"IS_OPER_INC","FQ3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46" s="2" t="e">
        <f ca="1">_xll.BDH($C$428,"CASH_RATIO","FQ3 2017","FQ3 2017","Currency=INR","Period=FQ","BEST_FPERIOD_OVERRIDE=FQ","FILING_STATUS=OR","EQY_CONSOLIDATED=Y","Sort=A","Dates=H","DateFormat=P","Fill=—","Direction=H","UseDPDF=Y")</f>
        <v>#NAME?</v>
      </c>
      <c r="CT446" s="2" t="e">
        <f ca="1">_xll.BDH($C$428,"CUR_RATIO","FQ3 2017","FQ3 2017","Currency=INR","Period=FQ","BEST_FPERIOD_OVERRIDE=FQ","FILING_STATUS=OR","EQY_CONSOLIDATED=Y","Sort=A","Dates=H","DateFormat=P","Fill=—","Direction=H","UseDPDF=Y")</f>
        <v>#NAME?</v>
      </c>
      <c r="CU446" s="2" t="e">
        <f ca="1">_xll.BDH($C$428,"QUICK_RATIO","FQ3 2017","FQ3 2017","Currency=INR","Period=FQ","BEST_FPERIOD_OVERRIDE=FQ","FILING_STATUS=OR","EQY_CONSOLIDATED=Y","Sort=A","Dates=H","DateFormat=P","Fill=—","Direction=H","UseDPDF=Y")</f>
        <v>#NAME?</v>
      </c>
      <c r="CV446" s="2" t="e">
        <f ca="1">_xll.BDH($C$428,"ALTMAN_Z_SCORE","FQ3 2017","FQ3 2017","Currency=INR","Period=FQ","BEST_FPERIOD_OVERRIDE=FQ","FILING_STATUS=OR","EQY_CONSOLIDATED=Y","Sort=A","Dates=H","DateFormat=P","Fill=—","Direction=H","UseDPDF=Y")</f>
        <v>#NAME?</v>
      </c>
      <c r="CW446" s="4" t="e">
        <f ca="1">_xll.BDH($C$428,"ACCT_RCV_TURN","FQ3 2017","FQ3 2017","Currency=INR","Period=FQ","BEST_FPERIOD_OVERRIDE=FQ","FILING_STATUS=OR","EQY_CONSOLIDATED=Y","FA_ADJUSTED=GAAP","Sort=A","Dates=H","DateFormat=P","Fill=—","Direction=H","UseDPDF=Y")</f>
        <v>#NAME?</v>
      </c>
      <c r="CX446" s="2" t="e">
        <f ca="1">_xll.BDH($C$428,"ACCT_RCV_DAYS","FQ3 2017","FQ3 2017","Currency=INR","Period=FQ","BEST_FPERIOD_OVERRIDE=FQ","FILING_STATUS=OR","EQY_CONSOLIDATED=Y","FA_ADJUSTED=GAAP","Sort=A","Dates=H","DateFormat=P","Fill=—","Direction=H","UseDPDF=Y")</f>
        <v>#NAME?</v>
      </c>
      <c r="CY446" s="4" t="e">
        <f ca="1">_xll.BDH($C$428,"INVENT_TURN","FQ3 2017","FQ3 2017","Currency=INR","Period=FQ","BEST_FPERIOD_OVERRIDE=FQ","FILING_STATUS=OR","EQY_CONSOLIDATED=Y","FA_ADJUSTED=GAAP","Sort=A","Dates=H","DateFormat=P","Fill=—","Direction=H","UseDPDF=Y")</f>
        <v>#NAME?</v>
      </c>
      <c r="CZ446" s="2" t="e">
        <f ca="1">_xll.BDH($C$428,"INVENT_DAYS","FQ3 2017","FQ3 2017","Currency=INR","Period=FQ","BEST_FPERIOD_OVERRIDE=FQ","FILING_STATUS=OR","EQY_CONSOLIDATED=Y","FA_ADJUSTED=GAAP","Sort=A","Dates=H","DateFormat=P","Fill=—","Direction=H","UseDPDF=Y")</f>
        <v>#NAME?</v>
      </c>
      <c r="DA446" s="4" t="e">
        <f ca="1">_xll.BDH($C$428,"ACCOUNTS_PAYABLE_TURNOVER","FQ3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46" s="2" t="e">
        <f ca="1">_xll.BDH($C$428,"ACCOUNTS_PAYABLE_TURNOVER_DAYS","FQ3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46" s="4" t="e">
        <f ca="1">_xll.BDH($C$428,"CASH_CONVERSION_CYCLE","FQ3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46" s="4" t="e">
        <f ca="1">_xll.BDH($C$428,"INV_TO_CASH_DAYS","FQ3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46" s="5" t="e">
        <f ca="1">_xll.BDH($C$428,"BS_INVENTORIES","FQ3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46" s="3" t="e">
        <f ca="1">_xll.BDH($C$428,"INVTRY_RAW_MATERIALS","FQ3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46" s="3" t="e">
        <f ca="1">_xll.BDH($C$428,"INVTRY_IN_PROGRESS","FQ3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46" s="3" t="e">
        <f ca="1">_xll.BDH($C$428,"INVTRY_FINISHED_GOODS","FQ3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46" s="3" t="e">
        <f ca="1">_xll.BDH($C$428,"BS_OTHER_INV","FQ3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47" spans="1:113" x14ac:dyDescent="0.3">
      <c r="A447" s="6"/>
      <c r="B447" s="6"/>
      <c r="C447" s="6"/>
      <c r="D447" s="6"/>
      <c r="E447" t="s">
        <v>81</v>
      </c>
      <c r="F447" t="e">
        <f ca="1">_xll.BDH($C$428,"RETURN_COM_EQY","FQ4 2017","FQ4 2017","Currency=INR","Period=FQ","BEST_FPERIOD_OVERRIDE=FQ","FILING_STATUS=OR","EQY_CONSOLIDATED=Y","FA_ADJUSTED=GAAP","Sort=A","Dates=H","DateFormat=P","Fill=—","Direction=H","UseDPDF=Y")</f>
        <v>#NAME?</v>
      </c>
      <c r="G447" t="e">
        <f ca="1">_xll.BDH($C$428,"RETURN_ON_ASSET","FQ4 2017","FQ4 2017","Currency=INR","Period=FQ","BEST_FPERIOD_OVERRIDE=FQ","FILING_STATUS=OR","EQY_CONSOLIDATED=Y","FA_ADJUSTED=GAAP","Sort=A","Dates=H","DateFormat=P","Fill=—","Direction=H","UseDPDF=Y")</f>
        <v>#NAME?</v>
      </c>
      <c r="H447" t="e">
        <f ca="1">_xll.BDH($C$428,"RETURN_ON_CAP","FQ4 2017","FQ4 2017","Currency=INR","Period=FQ","BEST_FPERIOD_OVERRIDE=FQ","FILING_STATUS=OR","EQY_CONSOLIDATED=Y","FA_ADJUSTED=GAAP","Sort=A","Dates=H","DateFormat=P","Fill=—","Direction=H","UseDPDF=Y")</f>
        <v>#NAME?</v>
      </c>
      <c r="I447" t="e">
        <f ca="1">_xll.BDH($C$428,"RETURN_ON_INV_CAPITAL","FQ4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47" t="e">
        <f ca="1">_xll.BDH($C$428,"EBITDA_TO_REVENUE","FQ4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47" t="e">
        <f ca="1">_xll.BDH($C$428,"OPER_MARGIN","FQ4 2017","FQ4 2017","Currency=INR","Period=FQ","BEST_FPERIOD_OVERRIDE=FQ","FILING_STATUS=OR","EQY_CONSOLIDATED=Y","FA_ADJUSTED=GAAP","Sort=A","Dates=H","DateFormat=P","Fill=—","Direction=H","UseDPDF=Y")</f>
        <v>#NAME?</v>
      </c>
      <c r="L447" t="e">
        <f ca="1">_xll.BDH($C$428,"INCREMENTAL_OPERATING_MARGIN","FQ4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47" t="e">
        <f ca="1">_xll.BDH($C$428,"PRETAX_INC_TO_NET_SALES","FQ4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47" t="e">
        <f ca="1">_xll.BDH($C$428,"INC_BEF_XO_ITEMS_TO_NET_SALES","FQ4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47" t="e">
        <f ca="1">_xll.BDH($C$428,"PROF_MARGIN","FQ4 2017","FQ4 2017","Currency=INR","Period=FQ","BEST_FPERIOD_OVERRIDE=FQ","FILING_STATUS=OR","EQY_CONSOLIDATED=Y","FA_ADJUSTED=GAAP","Sort=A","Dates=H","DateFormat=P","Fill=—","Direction=H","UseDPDF=Y")</f>
        <v>#NAME?</v>
      </c>
      <c r="P447" t="e">
        <f ca="1">_xll.BDH($C$428,"NET_INCOME_TO_COMMON_MARGIN","FQ4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47" t="e">
        <f ca="1">_xll.BDH($C$428,"EFF_TAX_RATE","FQ4 2017","FQ4 2017","Currency=INR","Period=FQ","BEST_FPERIOD_OVERRIDE=FQ","FILING_STATUS=OR","EQY_CONSOLIDATED=Y","FA_ADJUSTED=GAAP","Sort=A","Dates=H","DateFormat=P","Fill=—","Direction=H","UseDPDF=Y")</f>
        <v>#NAME?</v>
      </c>
      <c r="R447" t="e">
        <f ca="1">_xll.BDH($C$428,"DVD_PAYOUT_RATIO","FQ4 2017","FQ4 2017","Currency=INR","Period=FQ","BEST_FPERIOD_OVERRIDE=FQ","FILING_STATUS=OR","EQY_CONSOLIDATED=Y","FA_ADJUSTED=GAAP","Sort=A","Dates=H","DateFormat=P","Fill=—","Direction=H","UseDPDF=Y")</f>
        <v>#NAME?</v>
      </c>
      <c r="S447" t="e">
        <f ca="1">_xll.BDH($C$428,"SUSTAIN_GROWTH_RT","FQ4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47" s="2" t="e">
        <f ca="1">_xll.BDH($C$428,"SALES_GROWTH","FQ4 2017","FQ4 2017","Currency=INR","Period=FQ","BEST_FPERIOD_OVERRIDE=FQ","FILING_STATUS=OR","EQY_CONSOLIDATED=Y","FA_ADJUSTED=GAAP","Sort=A","Dates=H","DateFormat=P","Fill=—","Direction=H","UseDPDF=Y")</f>
        <v>#NAME?</v>
      </c>
      <c r="U447" s="2" t="e">
        <f ca="1">_xll.BDH($C$428,"EBITDA_GROWTH","FQ4 2017","FQ4 2017","Currency=INR","Period=FQ","BEST_FPERIOD_OVERRIDE=FQ","FILING_STATUS=OR","EQY_CONSOLIDATED=Y","FA_ADJUSTED=GAAP","Sort=A","Dates=H","DateFormat=P","Fill=—","Direction=H","UseDPDF=Y")</f>
        <v>#NAME?</v>
      </c>
      <c r="V447" s="2" t="e">
        <f ca="1">_xll.BDH($C$428,"OPER_INC_GROWTH","FQ4 2017","FQ4 2017","Currency=INR","Period=FQ","BEST_FPERIOD_OVERRIDE=FQ","FILING_STATUS=OR","EQY_CONSOLIDATED=Y","FA_ADJUSTED=GAAP","Sort=A","Dates=H","DateFormat=P","Fill=—","Direction=H","UseDPDF=Y")</f>
        <v>#NAME?</v>
      </c>
      <c r="W447" s="2" t="e">
        <f ca="1">_xll.BDH($C$428,"EARN_FOR_COM_GROWTH","FQ4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47" s="2" t="e">
        <f ca="1">_xll.BDH($C$428,"DILUTED_EPS_AFT_XO_ITEMS_GROWTH","FQ4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47" s="2" t="e">
        <f ca="1">_xll.BDH($C$428,"DIVIDEND_PER_SHARE_1_YEAR_GROWTH","FQ4 2017","FQ4 2017","Currency=INR","Period=FQ","BEST_FPERIOD_OVERRIDE=FQ","FILING_STATUS=OR","EQY_CONSOLIDATED=Y","Sort=A","Dates=H","DateFormat=P","Fill=—","Direction=H","UseDPDF=Y")</f>
        <v>#NAME?</v>
      </c>
      <c r="Z447" s="2" t="e">
        <f ca="1">_xll.BDH($C$428,"ACCOUNTS_RECEIVABLE_GROWTH","FQ4 2017","FQ4 2017","Currency=INR","Period=FQ","BEST_FPERIOD_OVERRIDE=FQ","FILING_STATUS=OR","EQY_CONSOLIDATED=Y","Sort=A","Dates=H","DateFormat=P","Fill=—","Direction=H","UseDPDF=Y")</f>
        <v>#NAME?</v>
      </c>
      <c r="AA447" s="2" t="e">
        <f ca="1">_xll.BDH($C$428,"INVENTORY_GROWTH","FQ4 2017","FQ4 2017","Currency=INR","Period=FQ","BEST_FPERIOD_OVERRIDE=FQ","FILING_STATUS=OR","EQY_CONSOLIDATED=Y","Sort=A","Dates=H","DateFormat=P","Fill=—","Direction=H","UseDPDF=Y")</f>
        <v>#NAME?</v>
      </c>
      <c r="AB447" s="2" t="e">
        <f ca="1">_xll.BDH($C$428,"NET_FIXED_ASSETS_1_YEAR_GROWTH","FQ4 2017","FQ4 2017","Currency=INR","Period=FQ","BEST_FPERIOD_OVERRIDE=FQ","FILING_STATUS=OR","EQY_CONSOLIDATED=Y","Sort=A","Dates=H","DateFormat=P","Fill=—","Direction=H","UseDPDF=Y")</f>
        <v>#NAME?</v>
      </c>
      <c r="AC447" s="2" t="e">
        <f ca="1">_xll.BDH($C$428,"ASSET_GROWTH","FQ4 2017","FQ4 2017","Currency=INR","Period=FQ","BEST_FPERIOD_OVERRIDE=FQ","FILING_STATUS=OR","EQY_CONSOLIDATED=Y","Sort=A","Dates=H","DateFormat=P","Fill=—","Direction=H","UseDPDF=Y")</f>
        <v>#NAME?</v>
      </c>
      <c r="AD447" s="2" t="e">
        <f ca="1">_xll.BDH($C$428,"MODIFIED_WORK_CAP_GROWTH","FQ4 2017","FQ4 2017","Currency=INR","Period=FQ","BEST_FPERIOD_OVERRIDE=FQ","FILING_STATUS=OR","EQY_CONSOLIDATED=Y","Sort=A","Dates=H","DateFormat=P","Fill=—","Direction=H","UseDPDF=Y")</f>
        <v>#NAME?</v>
      </c>
      <c r="AE447" s="2" t="e">
        <f ca="1">_xll.BDH($C$428,"WORK_CAP_GROWTH","FQ4 2017","FQ4 2017","Currency=INR","Period=FQ","BEST_FPERIOD_OVERRIDE=FQ","FILING_STATUS=OR","EQY_CONSOLIDATED=Y","Sort=A","Dates=H","DateFormat=P","Fill=—","Direction=H","UseDPDF=Y")</f>
        <v>#NAME?</v>
      </c>
      <c r="AF447" s="2" t="e">
        <f ca="1">_xll.BDH($C$428,"ACCOUNTS_PAYABLE_GROWTH_1YR","FQ4 2017","FQ4 2017","Currency=INR","Period=FQ","BEST_FPERIOD_OVERRIDE=FQ","FILING_STATUS=OR","EQY_CONSOLIDATED=Y","Sort=A","Dates=H","DateFormat=P","Fill=—","Direction=H","UseDPDF=Y")</f>
        <v>#NAME?</v>
      </c>
      <c r="AG447" s="2" t="e">
        <f ca="1">_xll.BDH($C$428,"SHORT_TERM_DEBT_1_YEAR_GROWTH","FQ4 2017","FQ4 2017","Currency=INR","Period=FQ","BEST_FPERIOD_OVERRIDE=FQ","FILING_STATUS=OR","EQY_CONSOLIDATED=Y","Sort=A","Dates=H","DateFormat=P","Fill=—","Direction=H","UseDPDF=Y")</f>
        <v>#NAME?</v>
      </c>
      <c r="AH447" s="2" t="e">
        <f ca="1">_xll.BDH($C$428,"TOTAL_DEBT_1_YEAR_GROWTH","FQ4 2017","FQ4 2017","Currency=INR","Period=FQ","BEST_FPERIOD_OVERRIDE=FQ","FILING_STATUS=OR","EQY_CONSOLIDATED=Y","Sort=A","Dates=H","DateFormat=P","Fill=—","Direction=H","UseDPDF=Y")</f>
        <v>#NAME?</v>
      </c>
      <c r="AI447" s="2" t="e">
        <f ca="1">_xll.BDH($C$428,"TOTAL_EQUITY_1_YEAR_GROWTH","FQ4 2017","FQ4 2017","Currency=INR","Period=FQ","BEST_FPERIOD_OVERRIDE=FQ","FILING_STATUS=OR","EQY_CONSOLIDATED=Y","Sort=A","Dates=H","DateFormat=P","Fill=—","Direction=H","UseDPDF=Y")</f>
        <v>#NAME?</v>
      </c>
      <c r="AJ447" s="2" t="e">
        <f ca="1">_xll.BDH($C$428,"GROWTH_IN_CAP","FQ4 2017","FQ4 2017","Currency=INR","Period=FQ","BEST_FPERIOD_OVERRIDE=FQ","FILING_STATUS=OR","EQY_CONSOLIDATED=Y","Sort=A","Dates=H","DateFormat=P","Fill=—","Direction=H","UseDPDF=Y")</f>
        <v>#NAME?</v>
      </c>
      <c r="AK447" s="2" t="e">
        <f ca="1">_xll.BDH($C$428,"BVPS_GROWTH","FQ4 2017","FQ4 2017","Currency=INR","Period=FQ","BEST_FPERIOD_OVERRIDE=FQ","FILING_STATUS=OR","EQY_CONSOLIDATED=Y","Sort=A","Dates=H","DateFormat=P","Fill=—","Direction=H","UseDPDF=Y")</f>
        <v>#NAME?</v>
      </c>
      <c r="AL447" s="2" t="e">
        <f ca="1">_xll.BDH($C$428,"CASH_FLOW_GROWTH","FQ4 2017","FQ4 2017","Currency=INR","Period=FQ","BEST_FPERIOD_OVERRIDE=FQ","FILING_STATUS=OR","EQY_CONSOLIDATED=Y","Sort=A","Dates=H","DateFormat=P","Fill=—","Direction=H","UseDPDF=Y")</f>
        <v>#NAME?</v>
      </c>
      <c r="AM447" s="2" t="e">
        <f ca="1">_xll.BDH($C$428,"GEO_GROW_NET_SALES","FQ4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47" s="2" t="e">
        <f ca="1">_xll.BDH($C$428,"GEO_GROW_EBITDA","FQ4 2017","FQ4 2017","Currency=INR","Period=FQ","BEST_FPERIOD_OVERRIDE=FQ","FILING_STATUS=OR","EQY_CONSOLIDATED=Y","FA_ADJUSTED=GAAP","Sort=A","Dates=H","DateFormat=P","Fill=—","Direction=H","UseDPDF=Y")</f>
        <v>#NAME?</v>
      </c>
      <c r="AO447" s="2" t="e">
        <f ca="1">_xll.BDH($C$428,"GEO_GROW_OPER_INC","FQ4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47" s="2" t="e">
        <f ca="1">_xll.BDH($C$428,"NET_INCOME_TO_COMMON_5_YR_GROWTH","FQ4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47" s="2" t="e">
        <f ca="1">_xll.BDH($C$428,"5Y_GEO_GROWTH_DILUTED_EPS","FQ4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47" s="2" t="e">
        <f ca="1">_xll.BDH($C$428,"GEO_GROW_DVD_PER_SH","FQ4 2017","FQ4 2017","Currency=INR","Period=FQ","BEST_FPERIOD_OVERRIDE=FQ","FILING_STATUS=OR","EQY_CONSOLIDATED=Y","Sort=A","Dates=H","DateFormat=P","Fill=—","Direction=H","UseDPDF=Y")</f>
        <v>#NAME?</v>
      </c>
      <c r="AS447" s="2" t="e">
        <f ca="1">_xll.BDH($C$428,"ACCOUNTS_RECEIVABLE_5_YR_GROWTH","FQ4 2017","FQ4 2017","Currency=INR","Period=FQ","BEST_FPERIOD_OVERRIDE=FQ","FILING_STATUS=OR","EQY_CONSOLIDATED=Y","Sort=A","Dates=H","DateFormat=P","Fill=—","Direction=H","UseDPDF=Y")</f>
        <v>#NAME?</v>
      </c>
      <c r="AT447" s="2" t="e">
        <f ca="1">_xll.BDH($C$428,"INVENTORY_5_YEAR_GROWTH","FQ4 2017","FQ4 2017","Currency=INR","Period=FQ","BEST_FPERIOD_OVERRIDE=FQ","FILING_STATUS=OR","EQY_CONSOLIDATED=Y","Sort=A","Dates=H","DateFormat=P","Fill=—","Direction=H","UseDPDF=Y")</f>
        <v>#NAME?</v>
      </c>
      <c r="AU447" s="2" t="e">
        <f ca="1">_xll.BDH($C$428,"NET_FIXED_ASSETS_5_YEAR_GROWTH","FQ4 2017","FQ4 2017","Currency=INR","Period=FQ","BEST_FPERIOD_OVERRIDE=FQ","FILING_STATUS=OR","EQY_CONSOLIDATED=Y","Sort=A","Dates=H","DateFormat=P","Fill=—","Direction=H","UseDPDF=Y")</f>
        <v>#NAME?</v>
      </c>
      <c r="AV447" s="2" t="e">
        <f ca="1">_xll.BDH($C$428,"GEO_GROW_TOT_ASSET","FQ4 2017","FQ4 2017","Currency=INR","Period=FQ","BEST_FPERIOD_OVERRIDE=FQ","FILING_STATUS=OR","EQY_CONSOLIDATED=Y","Sort=A","Dates=H","DateFormat=P","Fill=—","Direction=H","UseDPDF=Y")</f>
        <v>#NAME?</v>
      </c>
      <c r="AW447" s="2" t="e">
        <f ca="1">_xll.BDH($C$428,"MODIFIED_WORKING_CPTL_5YR_GRWTH","FQ4 2017","FQ4 2017","Currency=INR","Period=FQ","BEST_FPERIOD_OVERRIDE=FQ","FILING_STATUS=OR","EQY_CONSOLIDATED=Y","Sort=A","Dates=H","DateFormat=P","Fill=—","Direction=H","UseDPDF=Y")</f>
        <v>#NAME?</v>
      </c>
      <c r="AX447" s="2" t="e">
        <f ca="1">_xll.BDH($C$428,"WORKING_CAPITAL_5_YEAR_GROWTH","FQ4 2017","FQ4 2017","Currency=INR","Period=FQ","BEST_FPERIOD_OVERRIDE=FQ","FILING_STATUS=OR","EQY_CONSOLIDATED=Y","Sort=A","Dates=H","DateFormat=P","Fill=—","Direction=H","UseDPDF=Y")</f>
        <v>#NAME?</v>
      </c>
      <c r="AY447" s="2" t="e">
        <f ca="1">_xll.BDH($C$428,"ACCOUNTS_PAYABLE_5_YEAR_GROWTH","FQ4 2017","FQ4 2017","Currency=INR","Period=FQ","BEST_FPERIOD_OVERRIDE=FQ","FILING_STATUS=OR","EQY_CONSOLIDATED=Y","Sort=A","Dates=H","DateFormat=P","Fill=—","Direction=H","UseDPDF=Y")</f>
        <v>#NAME?</v>
      </c>
      <c r="AZ447" s="2" t="e">
        <f ca="1">_xll.BDH($C$428,"SHORT_TERM_DEBT_5_YEAR_GROWTH","FQ4 2017","FQ4 2017","Currency=INR","Period=FQ","BEST_FPERIOD_OVERRIDE=FQ","FILING_STATUS=OR","EQY_CONSOLIDATED=Y","Sort=A","Dates=H","DateFormat=P","Fill=—","Direction=H","UseDPDF=Y")</f>
        <v>#NAME?</v>
      </c>
      <c r="BA447" s="2" t="e">
        <f ca="1">_xll.BDH($C$428,"TOTAL_DEBT_5_YEAR_GROWTH","FQ4 2017","FQ4 2017","Currency=INR","Period=FQ","BEST_FPERIOD_OVERRIDE=FQ","FILING_STATUS=OR","EQY_CONSOLIDATED=Y","Sort=A","Dates=H","DateFormat=P","Fill=—","Direction=H","UseDPDF=Y")</f>
        <v>#NAME?</v>
      </c>
      <c r="BB447" s="2" t="e">
        <f ca="1">_xll.BDH($C$428,"GEO_GROW_TOT_SHRHLDR_EQY","FQ4 2017","FQ4 2017","Currency=INR","Period=FQ","BEST_FPERIOD_OVERRIDE=FQ","FILING_STATUS=OR","EQY_CONSOLIDATED=Y","Sort=A","Dates=H","DateFormat=P","Fill=—","Direction=H","UseDPDF=Y")</f>
        <v>#NAME?</v>
      </c>
      <c r="BC447" s="2" t="e">
        <f ca="1">_xll.BDH($C$428,"TOTAL_CAPITAL_5_YEAR_GROWTH","FQ4 2017","FQ4 2017","Currency=INR","Period=FQ","BEST_FPERIOD_OVERRIDE=FQ","FILING_STATUS=OR","EQY_CONSOLIDATED=Y","Sort=A","Dates=H","DateFormat=P","Fill=—","Direction=H","UseDPDF=Y")</f>
        <v>#NAME?</v>
      </c>
      <c r="BD447" s="2" t="e">
        <f ca="1">_xll.BDH($C$428,"GEO_GROW_BOOK_VAL","FQ4 2017","FQ4 2017","Currency=INR","Period=FQ","BEST_FPERIOD_OVERRIDE=FQ","FILING_STATUS=OR","EQY_CONSOLIDATED=Y","Sort=A","Dates=H","DateFormat=P","Fill=—","Direction=H","UseDPDF=Y")</f>
        <v>#NAME?</v>
      </c>
      <c r="BE447" s="2" t="e">
        <f ca="1">_xll.BDH($C$428,"GEO_GROW_CASH_OPER_ACT","FQ4 2017","FQ4 2017","Currency=INR","Period=FQ","BEST_FPERIOD_OVERRIDE=FQ","FILING_STATUS=OR","EQY_CONSOLIDATED=Y","Sort=A","Dates=H","DateFormat=P","Fill=—","Direction=H","UseDPDF=Y")</f>
        <v>#NAME?</v>
      </c>
      <c r="BF447" s="2" t="e">
        <f ca="1">_xll.BDH($C$428,"REVENUE_SEQUENTIAL_GROWTH","FQ4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47" s="2" t="e">
        <f ca="1">_xll.BDH($C$428,"EBITDA_SEQUENTIAL_GROWTH","FQ4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47" s="2" t="e">
        <f ca="1">_xll.BDH($C$428,"OPERATING_INCOME_SEQ_GROWTH","FQ4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47" s="2" t="e">
        <f ca="1">_xll.BDH($C$428,"NET_INCOME_TO_COMMON_SEQ_GROWTH","FQ4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47" s="2" t="e">
        <f ca="1">_xll.BDH($C$428,"EPS_DILUTED_SEQUENTIAL_GROWTH","FQ4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47" s="2" t="e">
        <f ca="1">_xll.BDH($C$428,"DPS_SEQUENTIAL_GROWTH","FQ4 2017","FQ4 2017","Currency=INR","Period=FQ","BEST_FPERIOD_OVERRIDE=FQ","FILING_STATUS=OR","EQY_CONSOLIDATED=Y","Sort=A","Dates=H","DateFormat=P","Fill=—","Direction=H","UseDPDF=Y")</f>
        <v>#NAME?</v>
      </c>
      <c r="BL447" s="2" t="e">
        <f ca="1">_xll.BDH($C$428,"ACCOUNTS_RECEIVABLE_SEQ_GROWTH","FQ4 2017","FQ4 2017","Currency=INR","Period=FQ","BEST_FPERIOD_OVERRIDE=FQ","FILING_STATUS=OR","EQY_CONSOLIDATED=Y","Sort=A","Dates=H","DateFormat=P","Fill=—","Direction=H","UseDPDF=Y")</f>
        <v>#NAME?</v>
      </c>
      <c r="BM447" s="2" t="e">
        <f ca="1">_xll.BDH($C$428,"INVENTORY_SEQUENTIAL_GROWTH","FQ4 2017","FQ4 2017","Currency=INR","Period=FQ","BEST_FPERIOD_OVERRIDE=FQ","FILING_STATUS=OR","EQY_CONSOLIDATED=Y","Sort=A","Dates=H","DateFormat=P","Fill=—","Direction=H","UseDPDF=Y")</f>
        <v>#NAME?</v>
      </c>
      <c r="BN447" s="2" t="e">
        <f ca="1">_xll.BDH($C$428,"FIXED_ASSETS_SEQUENTIAL_GROWTH","FQ4 2017","FQ4 2017","Currency=INR","Period=FQ","BEST_FPERIOD_OVERRIDE=FQ","FILING_STATUS=OR","EQY_CONSOLIDATED=Y","Sort=A","Dates=H","DateFormat=P","Fill=—","Direction=H","UseDPDF=Y")</f>
        <v>#NAME?</v>
      </c>
      <c r="BO447" s="2" t="e">
        <f ca="1">_xll.BDH($C$428,"TOTAL_ASSETS_SEQUENTIAL_GROWTH","FQ4 2017","FQ4 2017","Currency=INR","Period=FQ","BEST_FPERIOD_OVERRIDE=FQ","FILING_STATUS=OR","EQY_CONSOLIDATED=Y","Sort=A","Dates=H","DateFormat=P","Fill=—","Direction=H","UseDPDF=Y")</f>
        <v>#NAME?</v>
      </c>
      <c r="BP447" s="2" t="e">
        <f ca="1">_xll.BDH($C$428,"MODIFIED_WORKING_CPTL_SEQ_GRWTH","FQ4 2017","FQ4 2017","Currency=INR","Period=FQ","BEST_FPERIOD_OVERRIDE=FQ","FILING_STATUS=OR","EQY_CONSOLIDATED=Y","Sort=A","Dates=H","DateFormat=P","Fill=—","Direction=H","UseDPDF=Y")</f>
        <v>#NAME?</v>
      </c>
      <c r="BQ447" s="2" t="e">
        <f ca="1">_xll.BDH($C$428,"WORKING_CAPITAL_SEQ_GROWTH","FQ4 2017","FQ4 2017","Currency=INR","Period=FQ","BEST_FPERIOD_OVERRIDE=FQ","FILING_STATUS=OR","EQY_CONSOLIDATED=Y","Sort=A","Dates=H","DateFormat=P","Fill=—","Direction=H","UseDPDF=Y")</f>
        <v>#NAME?</v>
      </c>
      <c r="BR447" s="2" t="e">
        <f ca="1">_xll.BDH($C$428,"ACCOUNTS_PAYABLE_SEQ_GROWTH","FQ4 2017","FQ4 2017","Currency=INR","Period=FQ","BEST_FPERIOD_OVERRIDE=FQ","FILING_STATUS=OR","EQY_CONSOLIDATED=Y","Sort=A","Dates=H","DateFormat=P","Fill=—","Direction=H","UseDPDF=Y")</f>
        <v>#NAME?</v>
      </c>
      <c r="BS447" s="2" t="e">
        <f ca="1">_xll.BDH($C$428,"ST_DEBT_SEQUENTIAL_GROWTH","FQ4 2017","FQ4 2017","Currency=INR","Period=FQ","BEST_FPERIOD_OVERRIDE=FQ","FILING_STATUS=OR","EQY_CONSOLIDATED=Y","Sort=A","Dates=H","DateFormat=P","Fill=—","Direction=H","UseDPDF=Y")</f>
        <v>#NAME?</v>
      </c>
      <c r="BT447" s="2" t="e">
        <f ca="1">_xll.BDH($C$428,"TOTAL_DEBT_SEQUENTIAL_GROWTH","FQ4 2017","FQ4 2017","Currency=INR","Period=FQ","BEST_FPERIOD_OVERRIDE=FQ","FILING_STATUS=OR","EQY_CONSOLIDATED=Y","Sort=A","Dates=H","DateFormat=P","Fill=—","Direction=H","UseDPDF=Y")</f>
        <v>#NAME?</v>
      </c>
      <c r="BU447" s="2" t="e">
        <f ca="1">_xll.BDH($C$428,"TOTAL_EQUITY_SEQUENTIAL_GROWTH","FQ4 2017","FQ4 2017","Currency=INR","Period=FQ","BEST_FPERIOD_OVERRIDE=FQ","FILING_STATUS=OR","EQY_CONSOLIDATED=Y","Sort=A","Dates=H","DateFormat=P","Fill=—","Direction=H","UseDPDF=Y")</f>
        <v>#NAME?</v>
      </c>
      <c r="BV447" s="2" t="e">
        <f ca="1">_xll.BDH($C$428,"TOTAL_CAPITAL_SEQUENTIAL_GROWTH","FQ4 2017","FQ4 2017","Currency=INR","Period=FQ","BEST_FPERIOD_OVERRIDE=FQ","FILING_STATUS=OR","EQY_CONSOLIDATED=Y","Sort=A","Dates=H","DateFormat=P","Fill=—","Direction=H","UseDPDF=Y")</f>
        <v>#NAME?</v>
      </c>
      <c r="BW447" s="2" t="e">
        <f ca="1">_xll.BDH($C$428,"BPS_SEQUENTIAL_GROWTH","FQ4 2017","FQ4 2017","Currency=INR","Period=FQ","BEST_FPERIOD_OVERRIDE=FQ","FILING_STATUS=OR","EQY_CONSOLIDATED=Y","Sort=A","Dates=H","DateFormat=P","Fill=—","Direction=H","UseDPDF=Y")</f>
        <v>#NAME?</v>
      </c>
      <c r="BX447" s="2" t="e">
        <f ca="1">_xll.BDH($C$428,"CFO_SEQUENTIAL_GROWTH","FQ4 2017","FQ4 2017","Currency=INR","Period=FQ","BEST_FPERIOD_OVERRIDE=FQ","FILING_STATUS=OR","EQY_CONSOLIDATED=Y","Sort=A","Dates=H","DateFormat=P","Fill=—","Direction=H","UseDPDF=Y")</f>
        <v>#NAME?</v>
      </c>
      <c r="BY447" s="3" t="e">
        <f ca="1">_xll.BDH($C$428,"SHORT_AND_LONG_TERM_DEBT","FQ4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47" s="3" t="e">
        <f ca="1">_xll.BDH($C$428,"BS_ST_BORROW","FQ4 2017","FQ4 2017","Currency=INR","Period=FQ","BEST_FPERIOD_OVERRIDE=FQ","FILING_STATUS=OR","EQY_CONSOLIDATED=Y","SCALING_FORMAT=MLN","Sort=A","Dates=H","DateFormat=P","Fill=—","Direction=H","UseDPDF=Y")</f>
        <v>#NAME?</v>
      </c>
      <c r="CA447" s="3" t="e">
        <f ca="1">_xll.BDH($C$428,"BS_LT_BORROW","FQ4 2017","FQ4 2017","Currency=INR","Period=FQ","BEST_FPERIOD_OVERRIDE=FQ","FILING_STATUS=OR","EQY_CONSOLIDATED=Y","SCALING_FORMAT=MLN","Sort=A","Dates=H","DateFormat=P","Fill=—","Direction=H","UseDPDF=Y")</f>
        <v>#NAME?</v>
      </c>
      <c r="CB447" s="2" t="e">
        <f ca="1">_xll.BDH($C$428,"TOT_DEBT_TO_EBITDA","FQ4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47" s="2" t="e">
        <f ca="1">_xll.BDH($C$428,"NET_DEBT_TO_EBITDA","FQ4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47" s="2" t="e">
        <f ca="1">_xll.BDH($C$428,"TOTAL_DEBT_TO_EBIT","FQ4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47" s="2" t="e">
        <f ca="1">_xll.BDH($C$428,"NET_DEBT_TO_EBIT","FQ4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47" s="2" t="e">
        <f ca="1">_xll.BDH($C$428,"EBITDA_TO_INTEREST_EXPN","FQ4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47" s="2" t="e">
        <f ca="1">_xll.BDH($C$428,"COM_EQY_TO_TOT_ASSET","FQ4 2017","FQ4 2017","Currency=INR","Period=FQ","BEST_FPERIOD_OVERRIDE=FQ","FILING_STATUS=OR","EQY_CONSOLIDATED=Y","Sort=A","Dates=H","DateFormat=P","Fill=—","Direction=H","UseDPDF=Y")</f>
        <v>#NAME?</v>
      </c>
      <c r="CH447" s="2" t="e">
        <f ca="1">_xll.BDH($C$428,"LT_DEBT_TO_TOT_EQY","FQ4 2017","FQ4 2017","Currency=INR","Period=FQ","BEST_FPERIOD_OVERRIDE=FQ","FILING_STATUS=OR","EQY_CONSOLIDATED=Y","Sort=A","Dates=H","DateFormat=P","Fill=—","Direction=H","UseDPDF=Y")</f>
        <v>#NAME?</v>
      </c>
      <c r="CI447" s="2" t="e">
        <f ca="1">_xll.BDH($C$428,"LT_DEBT_TO_TOT_CAP","FQ4 2017","FQ4 2017","Currency=INR","Period=FQ","BEST_FPERIOD_OVERRIDE=FQ","FILING_STATUS=OR","EQY_CONSOLIDATED=Y","Sort=A","Dates=H","DateFormat=P","Fill=—","Direction=H","UseDPDF=Y")</f>
        <v>#NAME?</v>
      </c>
      <c r="CJ447" s="2" t="e">
        <f ca="1">_xll.BDH($C$428,"LT_DEBT_TO_TOT_ASSET","FQ4 2017","FQ4 2017","Currency=INR","Period=FQ","BEST_FPERIOD_OVERRIDE=FQ","FILING_STATUS=OR","EQY_CONSOLIDATED=Y","Sort=A","Dates=H","DateFormat=P","Fill=—","Direction=H","UseDPDF=Y")</f>
        <v>#NAME?</v>
      </c>
      <c r="CK447" s="2" t="e">
        <f ca="1">_xll.BDH($C$428,"TOT_DEBT_TO_TOT_EQY","FQ4 2017","FQ4 2017","Currency=INR","Period=FQ","BEST_FPERIOD_OVERRIDE=FQ","FILING_STATUS=OR","EQY_CONSOLIDATED=Y","Sort=A","Dates=H","DateFormat=P","Fill=—","Direction=H","UseDPDF=Y")</f>
        <v>#NAME?</v>
      </c>
      <c r="CL447" s="2" t="e">
        <f ca="1">_xll.BDH($C$428,"TOT_DEBT_TO_TOT_CAP","FQ4 2017","FQ4 2017","Currency=INR","Period=FQ","BEST_FPERIOD_OVERRIDE=FQ","FILING_STATUS=OR","EQY_CONSOLIDATED=Y","Sort=A","Dates=H","DateFormat=P","Fill=—","Direction=H","UseDPDF=Y")</f>
        <v>#NAME?</v>
      </c>
      <c r="CM447" s="2" t="e">
        <f ca="1">_xll.BDH($C$428,"TOT_DEBT_TO_TOT_ASSET","FQ4 2017","FQ4 2017","Currency=INR","Period=FQ","BEST_FPERIOD_OVERRIDE=FQ","FILING_STATUS=OR","EQY_CONSOLIDATED=Y","Sort=A","Dates=H","DateFormat=P","Fill=—","Direction=H","UseDPDF=Y")</f>
        <v>#NAME?</v>
      </c>
      <c r="CN447" s="2" t="e">
        <f ca="1">_xll.BDH($C$428,"NET_DEBT_TO_SHRHLDR_EQTY","FQ4 2017","FQ4 2017","Currency=INR","Period=FQ","BEST_FPERIOD_OVERRIDE=FQ","FILING_STATUS=OR","EQY_CONSOLIDATED=Y","Sort=A","Dates=H","DateFormat=P","Fill=—","Direction=H","UseDPDF=Y")</f>
        <v>#NAME?</v>
      </c>
      <c r="CO447" s="2" t="e">
        <f ca="1">_xll.BDH($C$428,"NET_DEBT_%_CAPITAL","FQ4 2017","FQ4 2017","Currency=INR","Period=FQ","BEST_FPERIOD_OVERRIDE=FQ","FILING_STATUS=OR","EQY_CONSOLIDATED=Y","Sort=A","Dates=H","DateFormat=P","Fill=—","Direction=H","UseDPDF=Y")</f>
        <v>#NAME?</v>
      </c>
      <c r="CP447" s="3" t="e">
        <f ca="1">_xll.BDH($C$428,"EBITDA","FQ4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47" s="3" t="e">
        <f ca="1">_xll.BDH($C$428,"EBITDA_AFTER_CAPEX","FQ4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47" s="3" t="e">
        <f ca="1">_xll.BDH($C$428,"IS_OPER_INC","FQ4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47" s="2" t="e">
        <f ca="1">_xll.BDH($C$428,"CASH_RATIO","FQ4 2017","FQ4 2017","Currency=INR","Period=FQ","BEST_FPERIOD_OVERRIDE=FQ","FILING_STATUS=OR","EQY_CONSOLIDATED=Y","Sort=A","Dates=H","DateFormat=P","Fill=—","Direction=H","UseDPDF=Y")</f>
        <v>#NAME?</v>
      </c>
      <c r="CT447" s="2" t="e">
        <f ca="1">_xll.BDH($C$428,"CUR_RATIO","FQ4 2017","FQ4 2017","Currency=INR","Period=FQ","BEST_FPERIOD_OVERRIDE=FQ","FILING_STATUS=OR","EQY_CONSOLIDATED=Y","Sort=A","Dates=H","DateFormat=P","Fill=—","Direction=H","UseDPDF=Y")</f>
        <v>#NAME?</v>
      </c>
      <c r="CU447" s="2" t="e">
        <f ca="1">_xll.BDH($C$428,"QUICK_RATIO","FQ4 2017","FQ4 2017","Currency=INR","Period=FQ","BEST_FPERIOD_OVERRIDE=FQ","FILING_STATUS=OR","EQY_CONSOLIDATED=Y","Sort=A","Dates=H","DateFormat=P","Fill=—","Direction=H","UseDPDF=Y")</f>
        <v>#NAME?</v>
      </c>
      <c r="CV447" s="2" t="e">
        <f ca="1">_xll.BDH($C$428,"ALTMAN_Z_SCORE","FQ4 2017","FQ4 2017","Currency=INR","Period=FQ","BEST_FPERIOD_OVERRIDE=FQ","FILING_STATUS=OR","EQY_CONSOLIDATED=Y","Sort=A","Dates=H","DateFormat=P","Fill=—","Direction=H","UseDPDF=Y")</f>
        <v>#NAME?</v>
      </c>
      <c r="CW447" s="4" t="e">
        <f ca="1">_xll.BDH($C$428,"ACCT_RCV_TURN","FQ4 2017","FQ4 2017","Currency=INR","Period=FQ","BEST_FPERIOD_OVERRIDE=FQ","FILING_STATUS=OR","EQY_CONSOLIDATED=Y","FA_ADJUSTED=GAAP","Sort=A","Dates=H","DateFormat=P","Fill=—","Direction=H","UseDPDF=Y")</f>
        <v>#NAME?</v>
      </c>
      <c r="CX447" s="2" t="e">
        <f ca="1">_xll.BDH($C$428,"ACCT_RCV_DAYS","FQ4 2017","FQ4 2017","Currency=INR","Period=FQ","BEST_FPERIOD_OVERRIDE=FQ","FILING_STATUS=OR","EQY_CONSOLIDATED=Y","FA_ADJUSTED=GAAP","Sort=A","Dates=H","DateFormat=P","Fill=—","Direction=H","UseDPDF=Y")</f>
        <v>#NAME?</v>
      </c>
      <c r="CY447" s="4" t="e">
        <f ca="1">_xll.BDH($C$428,"INVENT_TURN","FQ4 2017","FQ4 2017","Currency=INR","Period=FQ","BEST_FPERIOD_OVERRIDE=FQ","FILING_STATUS=OR","EQY_CONSOLIDATED=Y","FA_ADJUSTED=GAAP","Sort=A","Dates=H","DateFormat=P","Fill=—","Direction=H","UseDPDF=Y")</f>
        <v>#NAME?</v>
      </c>
      <c r="CZ447" s="2" t="e">
        <f ca="1">_xll.BDH($C$428,"INVENT_DAYS","FQ4 2017","FQ4 2017","Currency=INR","Period=FQ","BEST_FPERIOD_OVERRIDE=FQ","FILING_STATUS=OR","EQY_CONSOLIDATED=Y","FA_ADJUSTED=GAAP","Sort=A","Dates=H","DateFormat=P","Fill=—","Direction=H","UseDPDF=Y")</f>
        <v>#NAME?</v>
      </c>
      <c r="DA447" s="4" t="e">
        <f ca="1">_xll.BDH($C$428,"ACCOUNTS_PAYABLE_TURNOVER","FQ4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47" s="2" t="e">
        <f ca="1">_xll.BDH($C$428,"ACCOUNTS_PAYABLE_TURNOVER_DAYS","FQ4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47" s="4" t="e">
        <f ca="1">_xll.BDH($C$428,"CASH_CONVERSION_CYCLE","FQ4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47" s="4" t="e">
        <f ca="1">_xll.BDH($C$428,"INV_TO_CASH_DAYS","FQ4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47" s="5" t="e">
        <f ca="1">_xll.BDH($C$428,"BS_INVENTORIES","FQ4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47" s="3" t="e">
        <f ca="1">_xll.BDH($C$428,"INVTRY_RAW_MATERIALS","FQ4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47" s="3" t="e">
        <f ca="1">_xll.BDH($C$428,"INVTRY_IN_PROGRESS","FQ4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47" s="3" t="e">
        <f ca="1">_xll.BDH($C$428,"INVTRY_FINISHED_GOODS","FQ4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47" s="3" t="e">
        <f ca="1">_xll.BDH($C$428,"BS_OTHER_INV","FQ4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48" spans="1:113" x14ac:dyDescent="0.3">
      <c r="A448" s="6"/>
      <c r="B448" s="6"/>
      <c r="C448" s="6"/>
      <c r="D448" s="6" t="s">
        <v>85</v>
      </c>
      <c r="E448" t="s">
        <v>77</v>
      </c>
      <c r="F448" t="e">
        <f ca="1">_xll.BDH($C$428,"RETURN_COM_EQY","FY 2018","FY 2018","Currency=INR","Period=FY","BEST_FPERIOD_OVERRIDE=FY","FILING_STATUS=OR","EQY_CONSOLIDATED=Y","FA_ADJUSTED=GAAP","Sort=A","Dates=H","DateFormat=P","Fill=—","Direction=H","UseDPDF=Y")</f>
        <v>#NAME?</v>
      </c>
      <c r="G448" t="e">
        <f ca="1">_xll.BDH($C$428,"RETURN_ON_ASSET","FY 2018","FY 2018","Currency=INR","Period=FY","BEST_FPERIOD_OVERRIDE=FY","FILING_STATUS=OR","EQY_CONSOLIDATED=Y","FA_ADJUSTED=GAAP","Sort=A","Dates=H","DateFormat=P","Fill=—","Direction=H","UseDPDF=Y")</f>
        <v>#NAME?</v>
      </c>
      <c r="H448" t="e">
        <f ca="1">_xll.BDH($C$428,"RETURN_ON_CAP","FY 2018","FY 2018","Currency=INR","Period=FY","BEST_FPERIOD_OVERRIDE=FY","FILING_STATUS=OR","EQY_CONSOLIDATED=Y","FA_ADJUSTED=GAAP","Sort=A","Dates=H","DateFormat=P","Fill=—","Direction=H","UseDPDF=Y")</f>
        <v>#NAME?</v>
      </c>
      <c r="I448" t="e">
        <f ca="1">_xll.BDH($C$428,"RETURN_ON_INV_CAPITAL","FY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48" t="e">
        <f ca="1">_xll.BDH($C$428,"EBITDA_TO_REVENUE","FY 2018","FY 2018","Currency=INR","Period=FY","BEST_FPERIOD_OVERRIDE=FY","FILING_STATUS=OR","EQY_CONSOLIDATED=Y","FA_ADJUSTED=GAAP","Sort=A","Dates=H","DateFormat=P","Fill=—","Direction=H","UseDPDF=Y")</f>
        <v>#NAME?</v>
      </c>
      <c r="K448" t="e">
        <f ca="1">_xll.BDH($C$428,"OPER_MARGIN","FY 2018","FY 2018","Currency=INR","Period=FY","BEST_FPERIOD_OVERRIDE=FY","FILING_STATUS=OR","EQY_CONSOLIDATED=Y","FA_ADJUSTED=GAAP","Sort=A","Dates=H","DateFormat=P","Fill=—","Direction=H","UseDPDF=Y")</f>
        <v>#NAME?</v>
      </c>
      <c r="L448" t="e">
        <f ca="1">_xll.BDH($C$428,"INCREMENTAL_OPERATING_MARGIN","FY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48" t="e">
        <f ca="1">_xll.BDH($C$428,"PRETAX_INC_TO_NET_SALES","FY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48" t="e">
        <f ca="1">_xll.BDH($C$428,"INC_BEF_XO_ITEMS_TO_NET_SALES","FY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48" t="e">
        <f ca="1">_xll.BDH($C$428,"PROF_MARGIN","FY 2018","FY 2018","Currency=INR","Period=FY","BEST_FPERIOD_OVERRIDE=FY","FILING_STATUS=OR","EQY_CONSOLIDATED=Y","FA_ADJUSTED=GAAP","Sort=A","Dates=H","DateFormat=P","Fill=—","Direction=H","UseDPDF=Y")</f>
        <v>#NAME?</v>
      </c>
      <c r="P448" t="e">
        <f ca="1">_xll.BDH($C$428,"NET_INCOME_TO_COMMON_MARGIN","FY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48" t="e">
        <f ca="1">_xll.BDH($C$428,"EFF_TAX_RATE","FY 2018","FY 2018","Currency=INR","Period=FY","BEST_FPERIOD_OVERRIDE=FY","FILING_STATUS=OR","EQY_CONSOLIDATED=Y","FA_ADJUSTED=GAAP","Sort=A","Dates=H","DateFormat=P","Fill=—","Direction=H","UseDPDF=Y")</f>
        <v>#NAME?</v>
      </c>
      <c r="R448" t="e">
        <f ca="1">_xll.BDH($C$428,"DVD_PAYOUT_RATIO","FY 2018","FY 2018","Currency=INR","Period=FY","BEST_FPERIOD_OVERRIDE=FY","FILING_STATUS=OR","EQY_CONSOLIDATED=Y","FA_ADJUSTED=GAAP","Sort=A","Dates=H","DateFormat=P","Fill=—","Direction=H","UseDPDF=Y")</f>
        <v>#NAME?</v>
      </c>
      <c r="S448" t="e">
        <f ca="1">_xll.BDH($C$428,"SUSTAIN_GROWTH_RT","FY 2018","FY 2018","Currency=INR","Period=FY","BEST_FPERIOD_OVERRIDE=FY","FILING_STATUS=OR","EQY_CONSOLIDATED=Y","FA_ADJUSTED=GAAP","Sort=A","Dates=H","DateFormat=P","Fill=—","Direction=H","UseDPDF=Y")</f>
        <v>#NAME?</v>
      </c>
      <c r="T448" s="2" t="e">
        <f ca="1">_xll.BDH($C$428,"SALES_GROWTH","FY 2018","FY 2018","Currency=INR","Period=FY","BEST_FPERIOD_OVERRIDE=FY","FILING_STATUS=OR","EQY_CONSOLIDATED=Y","FA_ADJUSTED=GAAP","Sort=A","Dates=H","DateFormat=P","Fill=—","Direction=H","UseDPDF=Y")</f>
        <v>#NAME?</v>
      </c>
      <c r="U448" s="2" t="e">
        <f ca="1">_xll.BDH($C$428,"EBITDA_GROWTH","FY 2018","FY 2018","Currency=INR","Period=FY","BEST_FPERIOD_OVERRIDE=FY","FILING_STATUS=OR","EQY_CONSOLIDATED=Y","FA_ADJUSTED=GAAP","Sort=A","Dates=H","DateFormat=P","Fill=—","Direction=H","UseDPDF=Y")</f>
        <v>#NAME?</v>
      </c>
      <c r="V448" s="2" t="e">
        <f ca="1">_xll.BDH($C$428,"OPER_INC_GROWTH","FY 2018","FY 2018","Currency=INR","Period=FY","BEST_FPERIOD_OVERRIDE=FY","FILING_STATUS=OR","EQY_CONSOLIDATED=Y","FA_ADJUSTED=GAAP","Sort=A","Dates=H","DateFormat=P","Fill=—","Direction=H","UseDPDF=Y")</f>
        <v>#NAME?</v>
      </c>
      <c r="W448" s="2" t="e">
        <f ca="1">_xll.BDH($C$428,"EARN_FOR_COM_GROWTH","FY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48" s="2" t="e">
        <f ca="1">_xll.BDH($C$428,"DILUTED_EPS_AFT_XO_ITEMS_GROWTH","FY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48" s="2" t="e">
        <f ca="1">_xll.BDH($C$428,"DIVIDEND_PER_SHARE_1_YEAR_GROWTH","FY 2018","FY 2018","Currency=INR","Period=FY","BEST_FPERIOD_OVERRIDE=FY","FILING_STATUS=OR","EQY_CONSOLIDATED=Y","Sort=A","Dates=H","DateFormat=P","Fill=—","Direction=H","UseDPDF=Y")</f>
        <v>#NAME?</v>
      </c>
      <c r="Z448" s="2" t="e">
        <f ca="1">_xll.BDH($C$428,"ACCOUNTS_RECEIVABLE_GROWTH","FY 2018","FY 2018","Currency=INR","Period=FY","BEST_FPERIOD_OVERRIDE=FY","FILING_STATUS=OR","EQY_CONSOLIDATED=Y","Sort=A","Dates=H","DateFormat=P","Fill=—","Direction=H","UseDPDF=Y")</f>
        <v>#NAME?</v>
      </c>
      <c r="AA448" s="2" t="e">
        <f ca="1">_xll.BDH($C$428,"INVENTORY_GROWTH","FY 2018","FY 2018","Currency=INR","Period=FY","BEST_FPERIOD_OVERRIDE=FY","FILING_STATUS=OR","EQY_CONSOLIDATED=Y","Sort=A","Dates=H","DateFormat=P","Fill=—","Direction=H","UseDPDF=Y")</f>
        <v>#NAME?</v>
      </c>
      <c r="AB448" s="2" t="e">
        <f ca="1">_xll.BDH($C$428,"NET_FIXED_ASSETS_1_YEAR_GROWTH","FY 2018","FY 2018","Currency=INR","Period=FY","BEST_FPERIOD_OVERRIDE=FY","FILING_STATUS=OR","EQY_CONSOLIDATED=Y","Sort=A","Dates=H","DateFormat=P","Fill=—","Direction=H","UseDPDF=Y")</f>
        <v>#NAME?</v>
      </c>
      <c r="AC448" s="2" t="e">
        <f ca="1">_xll.BDH($C$428,"ASSET_GROWTH","FY 2018","FY 2018","Currency=INR","Period=FY","BEST_FPERIOD_OVERRIDE=FY","FILING_STATUS=OR","EQY_CONSOLIDATED=Y","Sort=A","Dates=H","DateFormat=P","Fill=—","Direction=H","UseDPDF=Y")</f>
        <v>#NAME?</v>
      </c>
      <c r="AD448" s="2" t="e">
        <f ca="1">_xll.BDH($C$428,"MODIFIED_WORK_CAP_GROWTH","FY 2018","FY 2018","Currency=INR","Period=FY","BEST_FPERIOD_OVERRIDE=FY","FILING_STATUS=OR","EQY_CONSOLIDATED=Y","Sort=A","Dates=H","DateFormat=P","Fill=—","Direction=H","UseDPDF=Y")</f>
        <v>#NAME?</v>
      </c>
      <c r="AE448" s="2" t="e">
        <f ca="1">_xll.BDH($C$428,"WORK_CAP_GROWTH","FY 2018","FY 2018","Currency=INR","Period=FY","BEST_FPERIOD_OVERRIDE=FY","FILING_STATUS=OR","EQY_CONSOLIDATED=Y","Sort=A","Dates=H","DateFormat=P","Fill=—","Direction=H","UseDPDF=Y")</f>
        <v>#NAME?</v>
      </c>
      <c r="AF448" s="2" t="e">
        <f ca="1">_xll.BDH($C$428,"ACCOUNTS_PAYABLE_GROWTH_1YR","FY 2018","FY 2018","Currency=INR","Period=FY","BEST_FPERIOD_OVERRIDE=FY","FILING_STATUS=OR","EQY_CONSOLIDATED=Y","Sort=A","Dates=H","DateFormat=P","Fill=—","Direction=H","UseDPDF=Y")</f>
        <v>#NAME?</v>
      </c>
      <c r="AG448" s="2" t="e">
        <f ca="1">_xll.BDH($C$428,"SHORT_TERM_DEBT_1_YEAR_GROWTH","FY 2018","FY 2018","Currency=INR","Period=FY","BEST_FPERIOD_OVERRIDE=FY","FILING_STATUS=OR","EQY_CONSOLIDATED=Y","Sort=A","Dates=H","DateFormat=P","Fill=—","Direction=H","UseDPDF=Y")</f>
        <v>#NAME?</v>
      </c>
      <c r="AH448" s="2" t="e">
        <f ca="1">_xll.BDH($C$428,"TOTAL_DEBT_1_YEAR_GROWTH","FY 2018","FY 2018","Currency=INR","Period=FY","BEST_FPERIOD_OVERRIDE=FY","FILING_STATUS=OR","EQY_CONSOLIDATED=Y","Sort=A","Dates=H","DateFormat=P","Fill=—","Direction=H","UseDPDF=Y")</f>
        <v>#NAME?</v>
      </c>
      <c r="AI448" s="2" t="e">
        <f ca="1">_xll.BDH($C$428,"TOTAL_EQUITY_1_YEAR_GROWTH","FY 2018","FY 2018","Currency=INR","Period=FY","BEST_FPERIOD_OVERRIDE=FY","FILING_STATUS=OR","EQY_CONSOLIDATED=Y","Sort=A","Dates=H","DateFormat=P","Fill=—","Direction=H","UseDPDF=Y")</f>
        <v>#NAME?</v>
      </c>
      <c r="AJ448" s="2" t="e">
        <f ca="1">_xll.BDH($C$428,"GROWTH_IN_CAP","FY 2018","FY 2018","Currency=INR","Period=FY","BEST_FPERIOD_OVERRIDE=FY","FILING_STATUS=OR","EQY_CONSOLIDATED=Y","Sort=A","Dates=H","DateFormat=P","Fill=—","Direction=H","UseDPDF=Y")</f>
        <v>#NAME?</v>
      </c>
      <c r="AK448" s="2" t="e">
        <f ca="1">_xll.BDH($C$428,"BVPS_GROWTH","FY 2018","FY 2018","Currency=INR","Period=FY","BEST_FPERIOD_OVERRIDE=FY","FILING_STATUS=OR","EQY_CONSOLIDATED=Y","Sort=A","Dates=H","DateFormat=P","Fill=—","Direction=H","UseDPDF=Y")</f>
        <v>#NAME?</v>
      </c>
      <c r="AL448" s="2" t="e">
        <f ca="1">_xll.BDH($C$428,"CASH_FLOW_GROWTH","FY 2018","FY 2018","Currency=INR","Period=FY","BEST_FPERIOD_OVERRIDE=FY","FILING_STATUS=OR","EQY_CONSOLIDATED=Y","Sort=A","Dates=H","DateFormat=P","Fill=—","Direction=H","UseDPDF=Y")</f>
        <v>#NAME?</v>
      </c>
      <c r="AM448" s="2" t="e">
        <f ca="1">_xll.BDH($C$428,"GEO_GROW_NET_SALES","FY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48" s="2" t="e">
        <f ca="1">_xll.BDH($C$428,"GEO_GROW_EBITDA","FY 2018","FY 2018","Currency=INR","Period=FY","BEST_FPERIOD_OVERRIDE=FY","FILING_STATUS=OR","EQY_CONSOLIDATED=Y","FA_ADJUSTED=GAAP","Sort=A","Dates=H","DateFormat=P","Fill=—","Direction=H","UseDPDF=Y")</f>
        <v>#NAME?</v>
      </c>
      <c r="AO448" s="2" t="e">
        <f ca="1">_xll.BDH($C$428,"GEO_GROW_OPER_INC","FY 2018","FY 2018","Currency=INR","Period=FY","BEST_FPERIOD_OVERRIDE=FY","FILING_STATUS=OR","EQY_CONSOLIDATED=Y","FA_ADJUSTED=GAAP","Sort=A","Dates=H","DateFormat=P","Fill=—","Direction=H","UseDPDF=Y")</f>
        <v>#NAME?</v>
      </c>
      <c r="AP448" s="2" t="e">
        <f ca="1">_xll.BDH($C$428,"NET_INCOME_TO_COMMON_5_YR_GROWTH","FY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48" s="2" t="e">
        <f ca="1">_xll.BDH($C$428,"5Y_GEO_GROWTH_DILUTED_EPS","FY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48" s="2" t="e">
        <f ca="1">_xll.BDH($C$428,"GEO_GROW_DVD_PER_SH","FY 2018","FY 2018","Currency=INR","Period=FY","BEST_FPERIOD_OVERRIDE=FY","FILING_STATUS=OR","EQY_CONSOLIDATED=Y","Sort=A","Dates=H","DateFormat=P","Fill=—","Direction=H","UseDPDF=Y")</f>
        <v>#NAME?</v>
      </c>
      <c r="AS448" s="2" t="e">
        <f ca="1">_xll.BDH($C$428,"ACCOUNTS_RECEIVABLE_5_YR_GROWTH","FY 2018","FY 2018","Currency=INR","Period=FY","BEST_FPERIOD_OVERRIDE=FY","FILING_STATUS=OR","EQY_CONSOLIDATED=Y","Sort=A","Dates=H","DateFormat=P","Fill=—","Direction=H","UseDPDF=Y")</f>
        <v>#NAME?</v>
      </c>
      <c r="AT448" s="2" t="e">
        <f ca="1">_xll.BDH($C$428,"INVENTORY_5_YEAR_GROWTH","FY 2018","FY 2018","Currency=INR","Period=FY","BEST_FPERIOD_OVERRIDE=FY","FILING_STATUS=OR","EQY_CONSOLIDATED=Y","Sort=A","Dates=H","DateFormat=P","Fill=—","Direction=H","UseDPDF=Y")</f>
        <v>#NAME?</v>
      </c>
      <c r="AU448" s="2" t="e">
        <f ca="1">_xll.BDH($C$428,"NET_FIXED_ASSETS_5_YEAR_GROWTH","FY 2018","FY 2018","Currency=INR","Period=FY","BEST_FPERIOD_OVERRIDE=FY","FILING_STATUS=OR","EQY_CONSOLIDATED=Y","Sort=A","Dates=H","DateFormat=P","Fill=—","Direction=H","UseDPDF=Y")</f>
        <v>#NAME?</v>
      </c>
      <c r="AV448" s="2" t="e">
        <f ca="1">_xll.BDH($C$428,"GEO_GROW_TOT_ASSET","FY 2018","FY 2018","Currency=INR","Period=FY","BEST_FPERIOD_OVERRIDE=FY","FILING_STATUS=OR","EQY_CONSOLIDATED=Y","Sort=A","Dates=H","DateFormat=P","Fill=—","Direction=H","UseDPDF=Y")</f>
        <v>#NAME?</v>
      </c>
      <c r="AW448" s="2" t="e">
        <f ca="1">_xll.BDH($C$428,"MODIFIED_WORKING_CPTL_5YR_GRWTH","FY 2018","FY 2018","Currency=INR","Period=FY","BEST_FPERIOD_OVERRIDE=FY","FILING_STATUS=OR","EQY_CONSOLIDATED=Y","Sort=A","Dates=H","DateFormat=P","Fill=—","Direction=H","UseDPDF=Y")</f>
        <v>#NAME?</v>
      </c>
      <c r="AX448" s="2" t="e">
        <f ca="1">_xll.BDH($C$428,"WORKING_CAPITAL_5_YEAR_GROWTH","FY 2018","FY 2018","Currency=INR","Period=FY","BEST_FPERIOD_OVERRIDE=FY","FILING_STATUS=OR","EQY_CONSOLIDATED=Y","Sort=A","Dates=H","DateFormat=P","Fill=—","Direction=H","UseDPDF=Y")</f>
        <v>#NAME?</v>
      </c>
      <c r="AY448" s="2" t="e">
        <f ca="1">_xll.BDH($C$428,"ACCOUNTS_PAYABLE_5_YEAR_GROWTH","FY 2018","FY 2018","Currency=INR","Period=FY","BEST_FPERIOD_OVERRIDE=FY","FILING_STATUS=OR","EQY_CONSOLIDATED=Y","Sort=A","Dates=H","DateFormat=P","Fill=—","Direction=H","UseDPDF=Y")</f>
        <v>#NAME?</v>
      </c>
      <c r="AZ448" s="2" t="e">
        <f ca="1">_xll.BDH($C$428,"SHORT_TERM_DEBT_5_YEAR_GROWTH","FY 2018","FY 2018","Currency=INR","Period=FY","BEST_FPERIOD_OVERRIDE=FY","FILING_STATUS=OR","EQY_CONSOLIDATED=Y","Sort=A","Dates=H","DateFormat=P","Fill=—","Direction=H","UseDPDF=Y")</f>
        <v>#NAME?</v>
      </c>
      <c r="BA448" s="2" t="e">
        <f ca="1">_xll.BDH($C$428,"TOTAL_DEBT_5_YEAR_GROWTH","FY 2018","FY 2018","Currency=INR","Period=FY","BEST_FPERIOD_OVERRIDE=FY","FILING_STATUS=OR","EQY_CONSOLIDATED=Y","Sort=A","Dates=H","DateFormat=P","Fill=—","Direction=H","UseDPDF=Y")</f>
        <v>#NAME?</v>
      </c>
      <c r="BB448" s="2" t="e">
        <f ca="1">_xll.BDH($C$428,"GEO_GROW_TOT_SHRHLDR_EQY","FY 2018","FY 2018","Currency=INR","Period=FY","BEST_FPERIOD_OVERRIDE=FY","FILING_STATUS=OR","EQY_CONSOLIDATED=Y","Sort=A","Dates=H","DateFormat=P","Fill=—","Direction=H","UseDPDF=Y")</f>
        <v>#NAME?</v>
      </c>
      <c r="BC448" s="2" t="e">
        <f ca="1">_xll.BDH($C$428,"TOTAL_CAPITAL_5_YEAR_GROWTH","FY 2018","FY 2018","Currency=INR","Period=FY","BEST_FPERIOD_OVERRIDE=FY","FILING_STATUS=OR","EQY_CONSOLIDATED=Y","Sort=A","Dates=H","DateFormat=P","Fill=—","Direction=H","UseDPDF=Y")</f>
        <v>#NAME?</v>
      </c>
      <c r="BD448" s="2" t="e">
        <f ca="1">_xll.BDH($C$428,"GEO_GROW_BOOK_VAL","FY 2018","FY 2018","Currency=INR","Period=FY","BEST_FPERIOD_OVERRIDE=FY","FILING_STATUS=OR","EQY_CONSOLIDATED=Y","Sort=A","Dates=H","DateFormat=P","Fill=—","Direction=H","UseDPDF=Y")</f>
        <v>#NAME?</v>
      </c>
      <c r="BE448" s="2" t="e">
        <f ca="1">_xll.BDH($C$428,"GEO_GROW_CASH_OPER_ACT","FY 2018","FY 2018","Currency=INR","Period=FY","BEST_FPERIOD_OVERRIDE=FY","FILING_STATUS=OR","EQY_CONSOLIDATED=Y","Sort=A","Dates=H","DateFormat=P","Fill=—","Direction=H","UseDPDF=Y")</f>
        <v>#NAME?</v>
      </c>
      <c r="BF448" s="2" t="e">
        <f ca="1">_xll.BDH($C$428,"REVENUE_SEQUENTIAL_GROWTH","FY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48" s="2" t="e">
        <f ca="1">_xll.BDH($C$428,"EBITDA_SEQUENTIAL_GROWTH","FY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48" s="2" t="e">
        <f ca="1">_xll.BDH($C$428,"OPERATING_INCOME_SEQ_GROWTH","FY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48" s="2" t="e">
        <f ca="1">_xll.BDH($C$428,"NET_INCOME_TO_COMMON_SEQ_GROWTH","FY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48" s="2" t="e">
        <f ca="1">_xll.BDH($C$428,"EPS_DILUTED_SEQUENTIAL_GROWTH","FY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48" s="2" t="e">
        <f ca="1">_xll.BDH($C$428,"DPS_SEQUENTIAL_GROWTH","FY 2018","FY 2018","Currency=INR","Period=FY","BEST_FPERIOD_OVERRIDE=FY","FILING_STATUS=OR","EQY_CONSOLIDATED=Y","Sort=A","Dates=H","DateFormat=P","Fill=—","Direction=H","UseDPDF=Y")</f>
        <v>#NAME?</v>
      </c>
      <c r="BL448" s="2" t="e">
        <f ca="1">_xll.BDH($C$428,"ACCOUNTS_RECEIVABLE_SEQ_GROWTH","FY 2018","FY 2018","Currency=INR","Period=FY","BEST_FPERIOD_OVERRIDE=FY","FILING_STATUS=OR","EQY_CONSOLIDATED=Y","Sort=A","Dates=H","DateFormat=P","Fill=—","Direction=H","UseDPDF=Y")</f>
        <v>#NAME?</v>
      </c>
      <c r="BM448" s="2" t="e">
        <f ca="1">_xll.BDH($C$428,"INVENTORY_SEQUENTIAL_GROWTH","FY 2018","FY 2018","Currency=INR","Period=FY","BEST_FPERIOD_OVERRIDE=FY","FILING_STATUS=OR","EQY_CONSOLIDATED=Y","Sort=A","Dates=H","DateFormat=P","Fill=—","Direction=H","UseDPDF=Y")</f>
        <v>#NAME?</v>
      </c>
      <c r="BN448" s="2" t="e">
        <f ca="1">_xll.BDH($C$428,"FIXED_ASSETS_SEQUENTIAL_GROWTH","FY 2018","FY 2018","Currency=INR","Period=FY","BEST_FPERIOD_OVERRIDE=FY","FILING_STATUS=OR","EQY_CONSOLIDATED=Y","Sort=A","Dates=H","DateFormat=P","Fill=—","Direction=H","UseDPDF=Y")</f>
        <v>#NAME?</v>
      </c>
      <c r="BO448" s="2" t="e">
        <f ca="1">_xll.BDH($C$428,"TOTAL_ASSETS_SEQUENTIAL_GROWTH","FY 2018","FY 2018","Currency=INR","Period=FY","BEST_FPERIOD_OVERRIDE=FY","FILING_STATUS=OR","EQY_CONSOLIDATED=Y","Sort=A","Dates=H","DateFormat=P","Fill=—","Direction=H","UseDPDF=Y")</f>
        <v>#NAME?</v>
      </c>
      <c r="BP448" s="2" t="e">
        <f ca="1">_xll.BDH($C$428,"MODIFIED_WORKING_CPTL_SEQ_GRWTH","FY 2018","FY 2018","Currency=INR","Period=FY","BEST_FPERIOD_OVERRIDE=FY","FILING_STATUS=OR","EQY_CONSOLIDATED=Y","Sort=A","Dates=H","DateFormat=P","Fill=—","Direction=H","UseDPDF=Y")</f>
        <v>#NAME?</v>
      </c>
      <c r="BQ448" s="2" t="e">
        <f ca="1">_xll.BDH($C$428,"WORKING_CAPITAL_SEQ_GROWTH","FY 2018","FY 2018","Currency=INR","Period=FY","BEST_FPERIOD_OVERRIDE=FY","FILING_STATUS=OR","EQY_CONSOLIDATED=Y","Sort=A","Dates=H","DateFormat=P","Fill=—","Direction=H","UseDPDF=Y")</f>
        <v>#NAME?</v>
      </c>
      <c r="BR448" s="2" t="e">
        <f ca="1">_xll.BDH($C$428,"ACCOUNTS_PAYABLE_SEQ_GROWTH","FY 2018","FY 2018","Currency=INR","Period=FY","BEST_FPERIOD_OVERRIDE=FY","FILING_STATUS=OR","EQY_CONSOLIDATED=Y","Sort=A","Dates=H","DateFormat=P","Fill=—","Direction=H","UseDPDF=Y")</f>
        <v>#NAME?</v>
      </c>
      <c r="BS448" s="2" t="e">
        <f ca="1">_xll.BDH($C$428,"ST_DEBT_SEQUENTIAL_GROWTH","FY 2018","FY 2018","Currency=INR","Period=FY","BEST_FPERIOD_OVERRIDE=FY","FILING_STATUS=OR","EQY_CONSOLIDATED=Y","Sort=A","Dates=H","DateFormat=P","Fill=—","Direction=H","UseDPDF=Y")</f>
        <v>#NAME?</v>
      </c>
      <c r="BT448" s="2" t="e">
        <f ca="1">_xll.BDH($C$428,"TOTAL_DEBT_SEQUENTIAL_GROWTH","FY 2018","FY 2018","Currency=INR","Period=FY","BEST_FPERIOD_OVERRIDE=FY","FILING_STATUS=OR","EQY_CONSOLIDATED=Y","Sort=A","Dates=H","DateFormat=P","Fill=—","Direction=H","UseDPDF=Y")</f>
        <v>#NAME?</v>
      </c>
      <c r="BU448" s="2" t="e">
        <f ca="1">_xll.BDH($C$428,"TOTAL_EQUITY_SEQUENTIAL_GROWTH","FY 2018","FY 2018","Currency=INR","Period=FY","BEST_FPERIOD_OVERRIDE=FY","FILING_STATUS=OR","EQY_CONSOLIDATED=Y","Sort=A","Dates=H","DateFormat=P","Fill=—","Direction=H","UseDPDF=Y")</f>
        <v>#NAME?</v>
      </c>
      <c r="BV448" s="2" t="e">
        <f ca="1">_xll.BDH($C$428,"TOTAL_CAPITAL_SEQUENTIAL_GROWTH","FY 2018","FY 2018","Currency=INR","Period=FY","BEST_FPERIOD_OVERRIDE=FY","FILING_STATUS=OR","EQY_CONSOLIDATED=Y","Sort=A","Dates=H","DateFormat=P","Fill=—","Direction=H","UseDPDF=Y")</f>
        <v>#NAME?</v>
      </c>
      <c r="BW448" s="2" t="e">
        <f ca="1">_xll.BDH($C$428,"BPS_SEQUENTIAL_GROWTH","FY 2018","FY 2018","Currency=INR","Period=FY","BEST_FPERIOD_OVERRIDE=FY","FILING_STATUS=OR","EQY_CONSOLIDATED=Y","Sort=A","Dates=H","DateFormat=P","Fill=—","Direction=H","UseDPDF=Y")</f>
        <v>#NAME?</v>
      </c>
      <c r="BX448" s="2" t="e">
        <f ca="1">_xll.BDH($C$428,"CFO_SEQUENTIAL_GROWTH","FY 2018","FY 2018","Currency=INR","Period=FY","BEST_FPERIOD_OVERRIDE=FY","FILING_STATUS=OR","EQY_CONSOLIDATED=Y","Sort=A","Dates=H","DateFormat=P","Fill=—","Direction=H","UseDPDF=Y")</f>
        <v>#NAME?</v>
      </c>
      <c r="BY448" s="3" t="e">
        <f ca="1">_xll.BDH($C$428,"SHORT_AND_LONG_TERM_DEBT","FY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48" s="3" t="e">
        <f ca="1">_xll.BDH($C$428,"BS_ST_BORROW","FY 2018","FY 2018","Currency=INR","Period=FY","BEST_FPERIOD_OVERRIDE=FY","FILING_STATUS=OR","EQY_CONSOLIDATED=Y","SCALING_FORMAT=MLN","Sort=A","Dates=H","DateFormat=P","Fill=—","Direction=H","UseDPDF=Y")</f>
        <v>#NAME?</v>
      </c>
      <c r="CA448" s="3" t="e">
        <f ca="1">_xll.BDH($C$428,"BS_LT_BORROW","FY 2018","FY 2018","Currency=INR","Period=FY","BEST_FPERIOD_OVERRIDE=FY","FILING_STATUS=OR","EQY_CONSOLIDATED=Y","SCALING_FORMAT=MLN","Sort=A","Dates=H","DateFormat=P","Fill=—","Direction=H","UseDPDF=Y")</f>
        <v>#NAME?</v>
      </c>
      <c r="CB448" s="2" t="e">
        <f ca="1">_xll.BDH($C$428,"TOT_DEBT_TO_EBITDA","FY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48" s="2" t="e">
        <f ca="1">_xll.BDH($C$428,"NET_DEBT_TO_EBITDA","FY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48" s="2" t="e">
        <f ca="1">_xll.BDH($C$428,"TOTAL_DEBT_TO_EBIT","FY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48" s="2" t="e">
        <f ca="1">_xll.BDH($C$428,"NET_DEBT_TO_EBIT","FY 2018","FY 2018","Currency=INR","Period=FY","BEST_FPERIOD_OVERRIDE=FY","FILING_STATUS=OR","EQY_CONSOLIDATED=Y","FA_ADJUSTED=GAAP","Sort=A","Dates=H","DateFormat=P","Fill=—","Direction=H","UseDPDF=Y")</f>
        <v>#NAME?</v>
      </c>
      <c r="CF448" s="2" t="e">
        <f ca="1">_xll.BDH($C$428,"EBITDA_TO_INTEREST_EXPN","FY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48" s="2" t="e">
        <f ca="1">_xll.BDH($C$428,"COM_EQY_TO_TOT_ASSET","FY 2018","FY 2018","Currency=INR","Period=FY","BEST_FPERIOD_OVERRIDE=FY","FILING_STATUS=OR","EQY_CONSOLIDATED=Y","Sort=A","Dates=H","DateFormat=P","Fill=—","Direction=H","UseDPDF=Y")</f>
        <v>#NAME?</v>
      </c>
      <c r="CH448" s="2" t="e">
        <f ca="1">_xll.BDH($C$428,"LT_DEBT_TO_TOT_EQY","FY 2018","FY 2018","Currency=INR","Period=FY","BEST_FPERIOD_OVERRIDE=FY","FILING_STATUS=OR","EQY_CONSOLIDATED=Y","Sort=A","Dates=H","DateFormat=P","Fill=—","Direction=H","UseDPDF=Y")</f>
        <v>#NAME?</v>
      </c>
      <c r="CI448" s="2" t="e">
        <f ca="1">_xll.BDH($C$428,"LT_DEBT_TO_TOT_CAP","FY 2018","FY 2018","Currency=INR","Period=FY","BEST_FPERIOD_OVERRIDE=FY","FILING_STATUS=OR","EQY_CONSOLIDATED=Y","Sort=A","Dates=H","DateFormat=P","Fill=—","Direction=H","UseDPDF=Y")</f>
        <v>#NAME?</v>
      </c>
      <c r="CJ448" s="2" t="e">
        <f ca="1">_xll.BDH($C$428,"LT_DEBT_TO_TOT_ASSET","FY 2018","FY 2018","Currency=INR","Period=FY","BEST_FPERIOD_OVERRIDE=FY","FILING_STATUS=OR","EQY_CONSOLIDATED=Y","Sort=A","Dates=H","DateFormat=P","Fill=—","Direction=H","UseDPDF=Y")</f>
        <v>#NAME?</v>
      </c>
      <c r="CK448" s="2" t="e">
        <f ca="1">_xll.BDH($C$428,"TOT_DEBT_TO_TOT_EQY","FY 2018","FY 2018","Currency=INR","Period=FY","BEST_FPERIOD_OVERRIDE=FY","FILING_STATUS=OR","EQY_CONSOLIDATED=Y","Sort=A","Dates=H","DateFormat=P","Fill=—","Direction=H","UseDPDF=Y")</f>
        <v>#NAME?</v>
      </c>
      <c r="CL448" s="2" t="e">
        <f ca="1">_xll.BDH($C$428,"TOT_DEBT_TO_TOT_CAP","FY 2018","FY 2018","Currency=INR","Period=FY","BEST_FPERIOD_OVERRIDE=FY","FILING_STATUS=OR","EQY_CONSOLIDATED=Y","Sort=A","Dates=H","DateFormat=P","Fill=—","Direction=H","UseDPDF=Y")</f>
        <v>#NAME?</v>
      </c>
      <c r="CM448" s="2" t="e">
        <f ca="1">_xll.BDH($C$428,"TOT_DEBT_TO_TOT_ASSET","FY 2018","FY 2018","Currency=INR","Period=FY","BEST_FPERIOD_OVERRIDE=FY","FILING_STATUS=OR","EQY_CONSOLIDATED=Y","Sort=A","Dates=H","DateFormat=P","Fill=—","Direction=H","UseDPDF=Y")</f>
        <v>#NAME?</v>
      </c>
      <c r="CN448" s="2" t="e">
        <f ca="1">_xll.BDH($C$428,"NET_DEBT_TO_SHRHLDR_EQTY","FY 2018","FY 2018","Currency=INR","Period=FY","BEST_FPERIOD_OVERRIDE=FY","FILING_STATUS=OR","EQY_CONSOLIDATED=Y","Sort=A","Dates=H","DateFormat=P","Fill=—","Direction=H","UseDPDF=Y")</f>
        <v>#NAME?</v>
      </c>
      <c r="CO448" s="2" t="e">
        <f ca="1">_xll.BDH($C$428,"NET_DEBT_%_CAPITAL","FY 2018","FY 2018","Currency=INR","Period=FY","BEST_FPERIOD_OVERRIDE=FY","FILING_STATUS=OR","EQY_CONSOLIDATED=Y","Sort=A","Dates=H","DateFormat=P","Fill=—","Direction=H","UseDPDF=Y")</f>
        <v>#NAME?</v>
      </c>
      <c r="CP448" s="3" t="e">
        <f ca="1">_xll.BDH($C$428,"EBITDA","FY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48" s="3" t="e">
        <f ca="1">_xll.BDH($C$428,"EBITDA_AFTER_CAPEX","FY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48" s="3" t="e">
        <f ca="1">_xll.BDH($C$428,"IS_OPER_INC","FY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48" s="2" t="e">
        <f ca="1">_xll.BDH($C$428,"CASH_RATIO","FY 2018","FY 2018","Currency=INR","Period=FY","BEST_FPERIOD_OVERRIDE=FY","FILING_STATUS=OR","EQY_CONSOLIDATED=Y","Sort=A","Dates=H","DateFormat=P","Fill=—","Direction=H","UseDPDF=Y")</f>
        <v>#NAME?</v>
      </c>
      <c r="CT448" s="2" t="e">
        <f ca="1">_xll.BDH($C$428,"CUR_RATIO","FY 2018","FY 2018","Currency=INR","Period=FY","BEST_FPERIOD_OVERRIDE=FY","FILING_STATUS=OR","EQY_CONSOLIDATED=Y","Sort=A","Dates=H","DateFormat=P","Fill=—","Direction=H","UseDPDF=Y")</f>
        <v>#NAME?</v>
      </c>
      <c r="CU448" s="2" t="e">
        <f ca="1">_xll.BDH($C$428,"QUICK_RATIO","FY 2018","FY 2018","Currency=INR","Period=FY","BEST_FPERIOD_OVERRIDE=FY","FILING_STATUS=OR","EQY_CONSOLIDATED=Y","Sort=A","Dates=H","DateFormat=P","Fill=—","Direction=H","UseDPDF=Y")</f>
        <v>#NAME?</v>
      </c>
      <c r="CV448" s="2" t="e">
        <f ca="1">_xll.BDH($C$428,"ALTMAN_Z_SCORE","FY 2018","FY 2018","Currency=INR","Period=FY","BEST_FPERIOD_OVERRIDE=FY","FILING_STATUS=OR","EQY_CONSOLIDATED=Y","Sort=A","Dates=H","DateFormat=P","Fill=—","Direction=H","UseDPDF=Y")</f>
        <v>#NAME?</v>
      </c>
      <c r="CW448" s="4" t="e">
        <f ca="1">_xll.BDH($C$428,"ACCT_RCV_TURN","FY 2018","FY 2018","Currency=INR","Period=FY","BEST_FPERIOD_OVERRIDE=FY","FILING_STATUS=OR","EQY_CONSOLIDATED=Y","FA_ADJUSTED=GAAP","Sort=A","Dates=H","DateFormat=P","Fill=—","Direction=H","UseDPDF=Y")</f>
        <v>#NAME?</v>
      </c>
      <c r="CX448" s="2" t="e">
        <f ca="1">_xll.BDH($C$428,"ACCT_RCV_DAYS","FY 2018","FY 2018","Currency=INR","Period=FY","BEST_FPERIOD_OVERRIDE=FY","FILING_STATUS=OR","EQY_CONSOLIDATED=Y","FA_ADJUSTED=GAAP","Sort=A","Dates=H","DateFormat=P","Fill=—","Direction=H","UseDPDF=Y")</f>
        <v>#NAME?</v>
      </c>
      <c r="CY448" s="4" t="e">
        <f ca="1">_xll.BDH($C$428,"INVENT_TURN","FY 2018","FY 2018","Currency=INR","Period=FY","BEST_FPERIOD_OVERRIDE=FY","FILING_STATUS=OR","EQY_CONSOLIDATED=Y","FA_ADJUSTED=GAAP","Sort=A","Dates=H","DateFormat=P","Fill=—","Direction=H","UseDPDF=Y")</f>
        <v>#NAME?</v>
      </c>
      <c r="CZ448" s="2" t="e">
        <f ca="1">_xll.BDH($C$428,"INVENT_DAYS","FY 2018","FY 2018","Currency=INR","Period=FY","BEST_FPERIOD_OVERRIDE=FY","FILING_STATUS=OR","EQY_CONSOLIDATED=Y","FA_ADJUSTED=GAAP","Sort=A","Dates=H","DateFormat=P","Fill=—","Direction=H","UseDPDF=Y")</f>
        <v>#NAME?</v>
      </c>
      <c r="DA448" s="4" t="e">
        <f ca="1">_xll.BDH($C$428,"ACCOUNTS_PAYABLE_TURNOVER","FY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48" s="2" t="e">
        <f ca="1">_xll.BDH($C$428,"ACCOUNTS_PAYABLE_TURNOVER_DAYS","FY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48" s="4" t="e">
        <f ca="1">_xll.BDH($C$428,"CASH_CONVERSION_CYCLE","FY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48" s="4" t="e">
        <f ca="1">_xll.BDH($C$428,"INV_TO_CASH_DAYS","FY 2018","FY 2018","Currency=INR","Period=FY","BEST_FPERIOD_OVERRIDE=FY","FILING_STATUS=OR","EQY_CONSOLIDATED=Y","FA_ADJUSTED=GAAP","Sort=A","Dates=H","DateFormat=P","Fill=—","Direction=H","UseDPDF=Y")</f>
        <v>#NAME?</v>
      </c>
      <c r="DE448" s="5" t="e">
        <f ca="1">_xll.BDH($C$428,"BS_INVENTORIES","FY 2018","FY 2018","Currency=INR","Period=FY","BEST_FPERIOD_OVERRIDE=FY","FILING_STATUS=OR","EQY_CONSOLIDATED=Y","SCALING_FORMAT=MLN","Sort=A","Dates=H","DateFormat=P","Fill=—","Direction=H","UseDPDF=Y")</f>
        <v>#NAME?</v>
      </c>
      <c r="DF448" s="3" t="e">
        <f ca="1">_xll.BDH($C$428,"INVTRY_RAW_MATERIALS","FY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48" s="3" t="e">
        <f ca="1">_xll.BDH($C$428,"INVTRY_IN_PROGRESS","FY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48" s="3" t="e">
        <f ca="1">_xll.BDH($C$428,"INVTRY_FINISHED_GOODS","FY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48" s="3" t="e">
        <f ca="1">_xll.BDH($C$428,"BS_OTHER_INV","FY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49" spans="1:113" x14ac:dyDescent="0.3">
      <c r="A449" s="6"/>
      <c r="B449" s="6"/>
      <c r="C449" s="6"/>
      <c r="D449" s="6"/>
      <c r="E449" t="s">
        <v>78</v>
      </c>
      <c r="F449" t="e">
        <f ca="1">_xll.BDH($C$428,"RETURN_COM_EQY","FQ1 2018","FQ1 2018","Currency=INR","Period=FQ","BEST_FPERIOD_OVERRIDE=FQ","FILING_STATUS=OR","EQY_CONSOLIDATED=Y","FA_ADJUSTED=GAAP","Sort=A","Dates=H","DateFormat=P","Fill=—","Direction=H","UseDPDF=Y")</f>
        <v>#NAME?</v>
      </c>
      <c r="G449" t="e">
        <f ca="1">_xll.BDH($C$428,"RETURN_ON_ASSET","FQ1 2018","FQ1 2018","Currency=INR","Period=FQ","BEST_FPERIOD_OVERRIDE=FQ","FILING_STATUS=OR","EQY_CONSOLIDATED=Y","FA_ADJUSTED=GAAP","Sort=A","Dates=H","DateFormat=P","Fill=—","Direction=H","UseDPDF=Y")</f>
        <v>#NAME?</v>
      </c>
      <c r="H449" t="e">
        <f ca="1">_xll.BDH($C$428,"RETURN_ON_CAP","FQ1 2018","FQ1 2018","Currency=INR","Period=FQ","BEST_FPERIOD_OVERRIDE=FQ","FILING_STATUS=OR","EQY_CONSOLIDATED=Y","FA_ADJUSTED=GAAP","Sort=A","Dates=H","DateFormat=P","Fill=—","Direction=H","UseDPDF=Y")</f>
        <v>#NAME?</v>
      </c>
      <c r="I449" t="e">
        <f ca="1">_xll.BDH($C$428,"RETURN_ON_INV_CAPITAL","FQ1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49" t="e">
        <f ca="1">_xll.BDH($C$428,"EBITDA_TO_REVENUE","FQ1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49" t="e">
        <f ca="1">_xll.BDH($C$428,"OPER_MARGIN","FQ1 2018","FQ1 2018","Currency=INR","Period=FQ","BEST_FPERIOD_OVERRIDE=FQ","FILING_STATUS=OR","EQY_CONSOLIDATED=Y","FA_ADJUSTED=GAAP","Sort=A","Dates=H","DateFormat=P","Fill=—","Direction=H","UseDPDF=Y")</f>
        <v>#NAME?</v>
      </c>
      <c r="L449" t="e">
        <f ca="1">_xll.BDH($C$428,"INCREMENTAL_OPERATING_MARGIN","FQ1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49" t="e">
        <f ca="1">_xll.BDH($C$428,"PRETAX_INC_TO_NET_SALES","FQ1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49" t="e">
        <f ca="1">_xll.BDH($C$428,"INC_BEF_XO_ITEMS_TO_NET_SALES","FQ1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49" t="e">
        <f ca="1">_xll.BDH($C$428,"PROF_MARGIN","FQ1 2018","FQ1 2018","Currency=INR","Period=FQ","BEST_FPERIOD_OVERRIDE=FQ","FILING_STATUS=OR","EQY_CONSOLIDATED=Y","FA_ADJUSTED=GAAP","Sort=A","Dates=H","DateFormat=P","Fill=—","Direction=H","UseDPDF=Y")</f>
        <v>#NAME?</v>
      </c>
      <c r="P449" t="e">
        <f ca="1">_xll.BDH($C$428,"NET_INCOME_TO_COMMON_MARGIN","FQ1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49" t="e">
        <f ca="1">_xll.BDH($C$428,"EFF_TAX_RATE","FQ1 2018","FQ1 2018","Currency=INR","Period=FQ","BEST_FPERIOD_OVERRIDE=FQ","FILING_STATUS=OR","EQY_CONSOLIDATED=Y","FA_ADJUSTED=GAAP","Sort=A","Dates=H","DateFormat=P","Fill=—","Direction=H","UseDPDF=Y")</f>
        <v>#NAME?</v>
      </c>
      <c r="R449" t="e">
        <f ca="1">_xll.BDH($C$428,"DVD_PAYOUT_RATIO","FQ1 2018","FQ1 2018","Currency=INR","Period=FQ","BEST_FPERIOD_OVERRIDE=FQ","FILING_STATUS=OR","EQY_CONSOLIDATED=Y","FA_ADJUSTED=GAAP","Sort=A","Dates=H","DateFormat=P","Fill=—","Direction=H","UseDPDF=Y")</f>
        <v>#NAME?</v>
      </c>
      <c r="S449" t="e">
        <f ca="1">_xll.BDH($C$428,"SUSTAIN_GROWTH_RT","FQ1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49" s="2" t="e">
        <f ca="1">_xll.BDH($C$428,"SALES_GROWTH","FQ1 2018","FQ1 2018","Currency=INR","Period=FQ","BEST_FPERIOD_OVERRIDE=FQ","FILING_STATUS=OR","EQY_CONSOLIDATED=Y","FA_ADJUSTED=GAAP","Sort=A","Dates=H","DateFormat=P","Fill=—","Direction=H","UseDPDF=Y")</f>
        <v>#NAME?</v>
      </c>
      <c r="U449" s="2" t="e">
        <f ca="1">_xll.BDH($C$428,"EBITDA_GROWTH","FQ1 2018","FQ1 2018","Currency=INR","Period=FQ","BEST_FPERIOD_OVERRIDE=FQ","FILING_STATUS=OR","EQY_CONSOLIDATED=Y","FA_ADJUSTED=GAAP","Sort=A","Dates=H","DateFormat=P","Fill=—","Direction=H","UseDPDF=Y")</f>
        <v>#NAME?</v>
      </c>
      <c r="V449" s="2" t="e">
        <f ca="1">_xll.BDH($C$428,"OPER_INC_GROWTH","FQ1 2018","FQ1 2018","Currency=INR","Period=FQ","BEST_FPERIOD_OVERRIDE=FQ","FILING_STATUS=OR","EQY_CONSOLIDATED=Y","FA_ADJUSTED=GAAP","Sort=A","Dates=H","DateFormat=P","Fill=—","Direction=H","UseDPDF=Y")</f>
        <v>#NAME?</v>
      </c>
      <c r="W449" s="2" t="e">
        <f ca="1">_xll.BDH($C$428,"EARN_FOR_COM_GROWTH","FQ1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49" s="2" t="e">
        <f ca="1">_xll.BDH($C$428,"DILUTED_EPS_AFT_XO_ITEMS_GROWTH","FQ1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49" s="2" t="e">
        <f ca="1">_xll.BDH($C$428,"DIVIDEND_PER_SHARE_1_YEAR_GROWTH","FQ1 2018","FQ1 2018","Currency=INR","Period=FQ","BEST_FPERIOD_OVERRIDE=FQ","FILING_STATUS=OR","EQY_CONSOLIDATED=Y","Sort=A","Dates=H","DateFormat=P","Fill=—","Direction=H","UseDPDF=Y")</f>
        <v>#NAME?</v>
      </c>
      <c r="Z449" s="2" t="e">
        <f ca="1">_xll.BDH($C$428,"ACCOUNTS_RECEIVABLE_GROWTH","FQ1 2018","FQ1 2018","Currency=INR","Period=FQ","BEST_FPERIOD_OVERRIDE=FQ","FILING_STATUS=OR","EQY_CONSOLIDATED=Y","Sort=A","Dates=H","DateFormat=P","Fill=—","Direction=H","UseDPDF=Y")</f>
        <v>#NAME?</v>
      </c>
      <c r="AA449" s="2" t="e">
        <f ca="1">_xll.BDH($C$428,"INVENTORY_GROWTH","FQ1 2018","FQ1 2018","Currency=INR","Period=FQ","BEST_FPERIOD_OVERRIDE=FQ","FILING_STATUS=OR","EQY_CONSOLIDATED=Y","Sort=A","Dates=H","DateFormat=P","Fill=—","Direction=H","UseDPDF=Y")</f>
        <v>#NAME?</v>
      </c>
      <c r="AB449" s="2" t="e">
        <f ca="1">_xll.BDH($C$428,"NET_FIXED_ASSETS_1_YEAR_GROWTH","FQ1 2018","FQ1 2018","Currency=INR","Period=FQ","BEST_FPERIOD_OVERRIDE=FQ","FILING_STATUS=OR","EQY_CONSOLIDATED=Y","Sort=A","Dates=H","DateFormat=P","Fill=—","Direction=H","UseDPDF=Y")</f>
        <v>#NAME?</v>
      </c>
      <c r="AC449" s="2" t="e">
        <f ca="1">_xll.BDH($C$428,"ASSET_GROWTH","FQ1 2018","FQ1 2018","Currency=INR","Period=FQ","BEST_FPERIOD_OVERRIDE=FQ","FILING_STATUS=OR","EQY_CONSOLIDATED=Y","Sort=A","Dates=H","DateFormat=P","Fill=—","Direction=H","UseDPDF=Y")</f>
        <v>#NAME?</v>
      </c>
      <c r="AD449" s="2" t="e">
        <f ca="1">_xll.BDH($C$428,"MODIFIED_WORK_CAP_GROWTH","FQ1 2018","FQ1 2018","Currency=INR","Period=FQ","BEST_FPERIOD_OVERRIDE=FQ","FILING_STATUS=OR","EQY_CONSOLIDATED=Y","Sort=A","Dates=H","DateFormat=P","Fill=—","Direction=H","UseDPDF=Y")</f>
        <v>#NAME?</v>
      </c>
      <c r="AE449" s="2" t="e">
        <f ca="1">_xll.BDH($C$428,"WORK_CAP_GROWTH","FQ1 2018","FQ1 2018","Currency=INR","Period=FQ","BEST_FPERIOD_OVERRIDE=FQ","FILING_STATUS=OR","EQY_CONSOLIDATED=Y","Sort=A","Dates=H","DateFormat=P","Fill=—","Direction=H","UseDPDF=Y")</f>
        <v>#NAME?</v>
      </c>
      <c r="AF449" s="2" t="e">
        <f ca="1">_xll.BDH($C$428,"ACCOUNTS_PAYABLE_GROWTH_1YR","FQ1 2018","FQ1 2018","Currency=INR","Period=FQ","BEST_FPERIOD_OVERRIDE=FQ","FILING_STATUS=OR","EQY_CONSOLIDATED=Y","Sort=A","Dates=H","DateFormat=P","Fill=—","Direction=H","UseDPDF=Y")</f>
        <v>#NAME?</v>
      </c>
      <c r="AG449" s="2" t="e">
        <f ca="1">_xll.BDH($C$428,"SHORT_TERM_DEBT_1_YEAR_GROWTH","FQ1 2018","FQ1 2018","Currency=INR","Period=FQ","BEST_FPERIOD_OVERRIDE=FQ","FILING_STATUS=OR","EQY_CONSOLIDATED=Y","Sort=A","Dates=H","DateFormat=P","Fill=—","Direction=H","UseDPDF=Y")</f>
        <v>#NAME?</v>
      </c>
      <c r="AH449" s="2" t="e">
        <f ca="1">_xll.BDH($C$428,"TOTAL_DEBT_1_YEAR_GROWTH","FQ1 2018","FQ1 2018","Currency=INR","Period=FQ","BEST_FPERIOD_OVERRIDE=FQ","FILING_STATUS=OR","EQY_CONSOLIDATED=Y","Sort=A","Dates=H","DateFormat=P","Fill=—","Direction=H","UseDPDF=Y")</f>
        <v>#NAME?</v>
      </c>
      <c r="AI449" s="2" t="e">
        <f ca="1">_xll.BDH($C$428,"TOTAL_EQUITY_1_YEAR_GROWTH","FQ1 2018","FQ1 2018","Currency=INR","Period=FQ","BEST_FPERIOD_OVERRIDE=FQ","FILING_STATUS=OR","EQY_CONSOLIDATED=Y","Sort=A","Dates=H","DateFormat=P","Fill=—","Direction=H","UseDPDF=Y")</f>
        <v>#NAME?</v>
      </c>
      <c r="AJ449" s="2" t="e">
        <f ca="1">_xll.BDH($C$428,"GROWTH_IN_CAP","FQ1 2018","FQ1 2018","Currency=INR","Period=FQ","BEST_FPERIOD_OVERRIDE=FQ","FILING_STATUS=OR","EQY_CONSOLIDATED=Y","Sort=A","Dates=H","DateFormat=P","Fill=—","Direction=H","UseDPDF=Y")</f>
        <v>#NAME?</v>
      </c>
      <c r="AK449" s="2" t="e">
        <f ca="1">_xll.BDH($C$428,"BVPS_GROWTH","FQ1 2018","FQ1 2018","Currency=INR","Period=FQ","BEST_FPERIOD_OVERRIDE=FQ","FILING_STATUS=OR","EQY_CONSOLIDATED=Y","Sort=A","Dates=H","DateFormat=P","Fill=—","Direction=H","UseDPDF=Y")</f>
        <v>#NAME?</v>
      </c>
      <c r="AL449" s="2" t="e">
        <f ca="1">_xll.BDH($C$428,"CASH_FLOW_GROWTH","FQ1 2018","FQ1 2018","Currency=INR","Period=FQ","BEST_FPERIOD_OVERRIDE=FQ","FILING_STATUS=OR","EQY_CONSOLIDATED=Y","Sort=A","Dates=H","DateFormat=P","Fill=—","Direction=H","UseDPDF=Y")</f>
        <v>#NAME?</v>
      </c>
      <c r="AM449" s="2" t="e">
        <f ca="1">_xll.BDH($C$428,"GEO_GROW_NET_SALES","FQ1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49" s="2" t="e">
        <f ca="1">_xll.BDH($C$428,"GEO_GROW_EBITDA","FQ1 2018","FQ1 2018","Currency=INR","Period=FQ","BEST_FPERIOD_OVERRIDE=FQ","FILING_STATUS=OR","EQY_CONSOLIDATED=Y","FA_ADJUSTED=GAAP","Sort=A","Dates=H","DateFormat=P","Fill=—","Direction=H","UseDPDF=Y")</f>
        <v>#NAME?</v>
      </c>
      <c r="AO449" s="2" t="e">
        <f ca="1">_xll.BDH($C$428,"GEO_GROW_OPER_INC","FQ1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49" s="2" t="e">
        <f ca="1">_xll.BDH($C$428,"NET_INCOME_TO_COMMON_5_YR_GROWTH","FQ1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49" s="2" t="e">
        <f ca="1">_xll.BDH($C$428,"5Y_GEO_GROWTH_DILUTED_EPS","FQ1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49" s="2" t="e">
        <f ca="1">_xll.BDH($C$428,"GEO_GROW_DVD_PER_SH","FQ1 2018","FQ1 2018","Currency=INR","Period=FQ","BEST_FPERIOD_OVERRIDE=FQ","FILING_STATUS=OR","EQY_CONSOLIDATED=Y","Sort=A","Dates=H","DateFormat=P","Fill=—","Direction=H","UseDPDF=Y")</f>
        <v>#NAME?</v>
      </c>
      <c r="AS449" s="2" t="e">
        <f ca="1">_xll.BDH($C$428,"ACCOUNTS_RECEIVABLE_5_YR_GROWTH","FQ1 2018","FQ1 2018","Currency=INR","Period=FQ","BEST_FPERIOD_OVERRIDE=FQ","FILING_STATUS=OR","EQY_CONSOLIDATED=Y","Sort=A","Dates=H","DateFormat=P","Fill=—","Direction=H","UseDPDF=Y")</f>
        <v>#NAME?</v>
      </c>
      <c r="AT449" s="2" t="e">
        <f ca="1">_xll.BDH($C$428,"INVENTORY_5_YEAR_GROWTH","FQ1 2018","FQ1 2018","Currency=INR","Period=FQ","BEST_FPERIOD_OVERRIDE=FQ","FILING_STATUS=OR","EQY_CONSOLIDATED=Y","Sort=A","Dates=H","DateFormat=P","Fill=—","Direction=H","UseDPDF=Y")</f>
        <v>#NAME?</v>
      </c>
      <c r="AU449" s="2" t="e">
        <f ca="1">_xll.BDH($C$428,"NET_FIXED_ASSETS_5_YEAR_GROWTH","FQ1 2018","FQ1 2018","Currency=INR","Period=FQ","BEST_FPERIOD_OVERRIDE=FQ","FILING_STATUS=OR","EQY_CONSOLIDATED=Y","Sort=A","Dates=H","DateFormat=P","Fill=—","Direction=H","UseDPDF=Y")</f>
        <v>#NAME?</v>
      </c>
      <c r="AV449" s="2" t="e">
        <f ca="1">_xll.BDH($C$428,"GEO_GROW_TOT_ASSET","FQ1 2018","FQ1 2018","Currency=INR","Period=FQ","BEST_FPERIOD_OVERRIDE=FQ","FILING_STATUS=OR","EQY_CONSOLIDATED=Y","Sort=A","Dates=H","DateFormat=P","Fill=—","Direction=H","UseDPDF=Y")</f>
        <v>#NAME?</v>
      </c>
      <c r="AW449" s="2" t="e">
        <f ca="1">_xll.BDH($C$428,"MODIFIED_WORKING_CPTL_5YR_GRWTH","FQ1 2018","FQ1 2018","Currency=INR","Period=FQ","BEST_FPERIOD_OVERRIDE=FQ","FILING_STATUS=OR","EQY_CONSOLIDATED=Y","Sort=A","Dates=H","DateFormat=P","Fill=—","Direction=H","UseDPDF=Y")</f>
        <v>#NAME?</v>
      </c>
      <c r="AX449" s="2" t="e">
        <f ca="1">_xll.BDH($C$428,"WORKING_CAPITAL_5_YEAR_GROWTH","FQ1 2018","FQ1 2018","Currency=INR","Period=FQ","BEST_FPERIOD_OVERRIDE=FQ","FILING_STATUS=OR","EQY_CONSOLIDATED=Y","Sort=A","Dates=H","DateFormat=P","Fill=—","Direction=H","UseDPDF=Y")</f>
        <v>#NAME?</v>
      </c>
      <c r="AY449" s="2" t="e">
        <f ca="1">_xll.BDH($C$428,"ACCOUNTS_PAYABLE_5_YEAR_GROWTH","FQ1 2018","FQ1 2018","Currency=INR","Period=FQ","BEST_FPERIOD_OVERRIDE=FQ","FILING_STATUS=OR","EQY_CONSOLIDATED=Y","Sort=A","Dates=H","DateFormat=P","Fill=—","Direction=H","UseDPDF=Y")</f>
        <v>#NAME?</v>
      </c>
      <c r="AZ449" s="2" t="e">
        <f ca="1">_xll.BDH($C$428,"SHORT_TERM_DEBT_5_YEAR_GROWTH","FQ1 2018","FQ1 2018","Currency=INR","Period=FQ","BEST_FPERIOD_OVERRIDE=FQ","FILING_STATUS=OR","EQY_CONSOLIDATED=Y","Sort=A","Dates=H","DateFormat=P","Fill=—","Direction=H","UseDPDF=Y")</f>
        <v>#NAME?</v>
      </c>
      <c r="BA449" s="2" t="e">
        <f ca="1">_xll.BDH($C$428,"TOTAL_DEBT_5_YEAR_GROWTH","FQ1 2018","FQ1 2018","Currency=INR","Period=FQ","BEST_FPERIOD_OVERRIDE=FQ","FILING_STATUS=OR","EQY_CONSOLIDATED=Y","Sort=A","Dates=H","DateFormat=P","Fill=—","Direction=H","UseDPDF=Y")</f>
        <v>#NAME?</v>
      </c>
      <c r="BB449" s="2" t="e">
        <f ca="1">_xll.BDH($C$428,"GEO_GROW_TOT_SHRHLDR_EQY","FQ1 2018","FQ1 2018","Currency=INR","Period=FQ","BEST_FPERIOD_OVERRIDE=FQ","FILING_STATUS=OR","EQY_CONSOLIDATED=Y","Sort=A","Dates=H","DateFormat=P","Fill=—","Direction=H","UseDPDF=Y")</f>
        <v>#NAME?</v>
      </c>
      <c r="BC449" s="2" t="e">
        <f ca="1">_xll.BDH($C$428,"TOTAL_CAPITAL_5_YEAR_GROWTH","FQ1 2018","FQ1 2018","Currency=INR","Period=FQ","BEST_FPERIOD_OVERRIDE=FQ","FILING_STATUS=OR","EQY_CONSOLIDATED=Y","Sort=A","Dates=H","DateFormat=P","Fill=—","Direction=H","UseDPDF=Y")</f>
        <v>#NAME?</v>
      </c>
      <c r="BD449" s="2" t="e">
        <f ca="1">_xll.BDH($C$428,"GEO_GROW_BOOK_VAL","FQ1 2018","FQ1 2018","Currency=INR","Period=FQ","BEST_FPERIOD_OVERRIDE=FQ","FILING_STATUS=OR","EQY_CONSOLIDATED=Y","Sort=A","Dates=H","DateFormat=P","Fill=—","Direction=H","UseDPDF=Y")</f>
        <v>#NAME?</v>
      </c>
      <c r="BE449" s="2" t="e">
        <f ca="1">_xll.BDH($C$428,"GEO_GROW_CASH_OPER_ACT","FQ1 2018","FQ1 2018","Currency=INR","Period=FQ","BEST_FPERIOD_OVERRIDE=FQ","FILING_STATUS=OR","EQY_CONSOLIDATED=Y","Sort=A","Dates=H","DateFormat=P","Fill=—","Direction=H","UseDPDF=Y")</f>
        <v>#NAME?</v>
      </c>
      <c r="BF449" s="2" t="e">
        <f ca="1">_xll.BDH($C$428,"REVENUE_SEQUENTIAL_GROWTH","FQ1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49" s="2" t="e">
        <f ca="1">_xll.BDH($C$428,"EBITDA_SEQUENTIAL_GROWTH","FQ1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49" s="2" t="e">
        <f ca="1">_xll.BDH($C$428,"OPERATING_INCOME_SEQ_GROWTH","FQ1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49" s="2" t="e">
        <f ca="1">_xll.BDH($C$428,"NET_INCOME_TO_COMMON_SEQ_GROWTH","FQ1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49" s="2" t="e">
        <f ca="1">_xll.BDH($C$428,"EPS_DILUTED_SEQUENTIAL_GROWTH","FQ1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49" s="2" t="e">
        <f ca="1">_xll.BDH($C$428,"DPS_SEQUENTIAL_GROWTH","FQ1 2018","FQ1 2018","Currency=INR","Period=FQ","BEST_FPERIOD_OVERRIDE=FQ","FILING_STATUS=OR","EQY_CONSOLIDATED=Y","Sort=A","Dates=H","DateFormat=P","Fill=—","Direction=H","UseDPDF=Y")</f>
        <v>#NAME?</v>
      </c>
      <c r="BL449" s="2" t="e">
        <f ca="1">_xll.BDH($C$428,"ACCOUNTS_RECEIVABLE_SEQ_GROWTH","FQ1 2018","FQ1 2018","Currency=INR","Period=FQ","BEST_FPERIOD_OVERRIDE=FQ","FILING_STATUS=OR","EQY_CONSOLIDATED=Y","Sort=A","Dates=H","DateFormat=P","Fill=—","Direction=H","UseDPDF=Y")</f>
        <v>#NAME?</v>
      </c>
      <c r="BM449" s="2" t="e">
        <f ca="1">_xll.BDH($C$428,"INVENTORY_SEQUENTIAL_GROWTH","FQ1 2018","FQ1 2018","Currency=INR","Period=FQ","BEST_FPERIOD_OVERRIDE=FQ","FILING_STATUS=OR","EQY_CONSOLIDATED=Y","Sort=A","Dates=H","DateFormat=P","Fill=—","Direction=H","UseDPDF=Y")</f>
        <v>#NAME?</v>
      </c>
      <c r="BN449" s="2" t="e">
        <f ca="1">_xll.BDH($C$428,"FIXED_ASSETS_SEQUENTIAL_GROWTH","FQ1 2018","FQ1 2018","Currency=INR","Period=FQ","BEST_FPERIOD_OVERRIDE=FQ","FILING_STATUS=OR","EQY_CONSOLIDATED=Y","Sort=A","Dates=H","DateFormat=P","Fill=—","Direction=H","UseDPDF=Y")</f>
        <v>#NAME?</v>
      </c>
      <c r="BO449" s="2" t="e">
        <f ca="1">_xll.BDH($C$428,"TOTAL_ASSETS_SEQUENTIAL_GROWTH","FQ1 2018","FQ1 2018","Currency=INR","Period=FQ","BEST_FPERIOD_OVERRIDE=FQ","FILING_STATUS=OR","EQY_CONSOLIDATED=Y","Sort=A","Dates=H","DateFormat=P","Fill=—","Direction=H","UseDPDF=Y")</f>
        <v>#NAME?</v>
      </c>
      <c r="BP449" s="2" t="e">
        <f ca="1">_xll.BDH($C$428,"MODIFIED_WORKING_CPTL_SEQ_GRWTH","FQ1 2018","FQ1 2018","Currency=INR","Period=FQ","BEST_FPERIOD_OVERRIDE=FQ","FILING_STATUS=OR","EQY_CONSOLIDATED=Y","Sort=A","Dates=H","DateFormat=P","Fill=—","Direction=H","UseDPDF=Y")</f>
        <v>#NAME?</v>
      </c>
      <c r="BQ449" s="2" t="e">
        <f ca="1">_xll.BDH($C$428,"WORKING_CAPITAL_SEQ_GROWTH","FQ1 2018","FQ1 2018","Currency=INR","Period=FQ","BEST_FPERIOD_OVERRIDE=FQ","FILING_STATUS=OR","EQY_CONSOLIDATED=Y","Sort=A","Dates=H","DateFormat=P","Fill=—","Direction=H","UseDPDF=Y")</f>
        <v>#NAME?</v>
      </c>
      <c r="BR449" s="2" t="e">
        <f ca="1">_xll.BDH($C$428,"ACCOUNTS_PAYABLE_SEQ_GROWTH","FQ1 2018","FQ1 2018","Currency=INR","Period=FQ","BEST_FPERIOD_OVERRIDE=FQ","FILING_STATUS=OR","EQY_CONSOLIDATED=Y","Sort=A","Dates=H","DateFormat=P","Fill=—","Direction=H","UseDPDF=Y")</f>
        <v>#NAME?</v>
      </c>
      <c r="BS449" s="2" t="e">
        <f ca="1">_xll.BDH($C$428,"ST_DEBT_SEQUENTIAL_GROWTH","FQ1 2018","FQ1 2018","Currency=INR","Period=FQ","BEST_FPERIOD_OVERRIDE=FQ","FILING_STATUS=OR","EQY_CONSOLIDATED=Y","Sort=A","Dates=H","DateFormat=P","Fill=—","Direction=H","UseDPDF=Y")</f>
        <v>#NAME?</v>
      </c>
      <c r="BT449" s="2" t="e">
        <f ca="1">_xll.BDH($C$428,"TOTAL_DEBT_SEQUENTIAL_GROWTH","FQ1 2018","FQ1 2018","Currency=INR","Period=FQ","BEST_FPERIOD_OVERRIDE=FQ","FILING_STATUS=OR","EQY_CONSOLIDATED=Y","Sort=A","Dates=H","DateFormat=P","Fill=—","Direction=H","UseDPDF=Y")</f>
        <v>#NAME?</v>
      </c>
      <c r="BU449" s="2" t="e">
        <f ca="1">_xll.BDH($C$428,"TOTAL_EQUITY_SEQUENTIAL_GROWTH","FQ1 2018","FQ1 2018","Currency=INR","Period=FQ","BEST_FPERIOD_OVERRIDE=FQ","FILING_STATUS=OR","EQY_CONSOLIDATED=Y","Sort=A","Dates=H","DateFormat=P","Fill=—","Direction=H","UseDPDF=Y")</f>
        <v>#NAME?</v>
      </c>
      <c r="BV449" s="2" t="e">
        <f ca="1">_xll.BDH($C$428,"TOTAL_CAPITAL_SEQUENTIAL_GROWTH","FQ1 2018","FQ1 2018","Currency=INR","Period=FQ","BEST_FPERIOD_OVERRIDE=FQ","FILING_STATUS=OR","EQY_CONSOLIDATED=Y","Sort=A","Dates=H","DateFormat=P","Fill=—","Direction=H","UseDPDF=Y")</f>
        <v>#NAME?</v>
      </c>
      <c r="BW449" s="2" t="e">
        <f ca="1">_xll.BDH($C$428,"BPS_SEQUENTIAL_GROWTH","FQ1 2018","FQ1 2018","Currency=INR","Period=FQ","BEST_FPERIOD_OVERRIDE=FQ","FILING_STATUS=OR","EQY_CONSOLIDATED=Y","Sort=A","Dates=H","DateFormat=P","Fill=—","Direction=H","UseDPDF=Y")</f>
        <v>#NAME?</v>
      </c>
      <c r="BX449" s="2" t="e">
        <f ca="1">_xll.BDH($C$428,"CFO_SEQUENTIAL_GROWTH","FQ1 2018","FQ1 2018","Currency=INR","Period=FQ","BEST_FPERIOD_OVERRIDE=FQ","FILING_STATUS=OR","EQY_CONSOLIDATED=Y","Sort=A","Dates=H","DateFormat=P","Fill=—","Direction=H","UseDPDF=Y")</f>
        <v>#NAME?</v>
      </c>
      <c r="BY449" s="3" t="e">
        <f ca="1">_xll.BDH($C$428,"SHORT_AND_LONG_TERM_DEBT","FQ1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49" s="3" t="e">
        <f ca="1">_xll.BDH($C$428,"BS_ST_BORROW","FQ1 2018","FQ1 2018","Currency=INR","Period=FQ","BEST_FPERIOD_OVERRIDE=FQ","FILING_STATUS=OR","EQY_CONSOLIDATED=Y","SCALING_FORMAT=MLN","Sort=A","Dates=H","DateFormat=P","Fill=—","Direction=H","UseDPDF=Y")</f>
        <v>#NAME?</v>
      </c>
      <c r="CA449" s="3" t="e">
        <f ca="1">_xll.BDH($C$428,"BS_LT_BORROW","FQ1 2018","FQ1 2018","Currency=INR","Period=FQ","BEST_FPERIOD_OVERRIDE=FQ","FILING_STATUS=OR","EQY_CONSOLIDATED=Y","SCALING_FORMAT=MLN","Sort=A","Dates=H","DateFormat=P","Fill=—","Direction=H","UseDPDF=Y")</f>
        <v>#NAME?</v>
      </c>
      <c r="CB449" s="2" t="e">
        <f ca="1">_xll.BDH($C$428,"TOT_DEBT_TO_EBITDA","FQ1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49" s="2" t="e">
        <f ca="1">_xll.BDH($C$428,"NET_DEBT_TO_EBITDA","FQ1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49" s="2" t="e">
        <f ca="1">_xll.BDH($C$428,"TOTAL_DEBT_TO_EBIT","FQ1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49" s="2" t="e">
        <f ca="1">_xll.BDH($C$428,"NET_DEBT_TO_EBIT","FQ1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49" s="2" t="e">
        <f ca="1">_xll.BDH($C$428,"EBITDA_TO_INTEREST_EXPN","FQ1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49" s="2" t="e">
        <f ca="1">_xll.BDH($C$428,"COM_EQY_TO_TOT_ASSET","FQ1 2018","FQ1 2018","Currency=INR","Period=FQ","BEST_FPERIOD_OVERRIDE=FQ","FILING_STATUS=OR","EQY_CONSOLIDATED=Y","Sort=A","Dates=H","DateFormat=P","Fill=—","Direction=H","UseDPDF=Y")</f>
        <v>#NAME?</v>
      </c>
      <c r="CH449" s="2" t="e">
        <f ca="1">_xll.BDH($C$428,"LT_DEBT_TO_TOT_EQY","FQ1 2018","FQ1 2018","Currency=INR","Period=FQ","BEST_FPERIOD_OVERRIDE=FQ","FILING_STATUS=OR","EQY_CONSOLIDATED=Y","Sort=A","Dates=H","DateFormat=P","Fill=—","Direction=H","UseDPDF=Y")</f>
        <v>#NAME?</v>
      </c>
      <c r="CI449" s="2" t="e">
        <f ca="1">_xll.BDH($C$428,"LT_DEBT_TO_TOT_CAP","FQ1 2018","FQ1 2018","Currency=INR","Period=FQ","BEST_FPERIOD_OVERRIDE=FQ","FILING_STATUS=OR","EQY_CONSOLIDATED=Y","Sort=A","Dates=H","DateFormat=P","Fill=—","Direction=H","UseDPDF=Y")</f>
        <v>#NAME?</v>
      </c>
      <c r="CJ449" s="2" t="e">
        <f ca="1">_xll.BDH($C$428,"LT_DEBT_TO_TOT_ASSET","FQ1 2018","FQ1 2018","Currency=INR","Period=FQ","BEST_FPERIOD_OVERRIDE=FQ","FILING_STATUS=OR","EQY_CONSOLIDATED=Y","Sort=A","Dates=H","DateFormat=P","Fill=—","Direction=H","UseDPDF=Y")</f>
        <v>#NAME?</v>
      </c>
      <c r="CK449" s="2" t="e">
        <f ca="1">_xll.BDH($C$428,"TOT_DEBT_TO_TOT_EQY","FQ1 2018","FQ1 2018","Currency=INR","Period=FQ","BEST_FPERIOD_OVERRIDE=FQ","FILING_STATUS=OR","EQY_CONSOLIDATED=Y","Sort=A","Dates=H","DateFormat=P","Fill=—","Direction=H","UseDPDF=Y")</f>
        <v>#NAME?</v>
      </c>
      <c r="CL449" s="2" t="e">
        <f ca="1">_xll.BDH($C$428,"TOT_DEBT_TO_TOT_CAP","FQ1 2018","FQ1 2018","Currency=INR","Period=FQ","BEST_FPERIOD_OVERRIDE=FQ","FILING_STATUS=OR","EQY_CONSOLIDATED=Y","Sort=A","Dates=H","DateFormat=P","Fill=—","Direction=H","UseDPDF=Y")</f>
        <v>#NAME?</v>
      </c>
      <c r="CM449" s="2" t="e">
        <f ca="1">_xll.BDH($C$428,"TOT_DEBT_TO_TOT_ASSET","FQ1 2018","FQ1 2018","Currency=INR","Period=FQ","BEST_FPERIOD_OVERRIDE=FQ","FILING_STATUS=OR","EQY_CONSOLIDATED=Y","Sort=A","Dates=H","DateFormat=P","Fill=—","Direction=H","UseDPDF=Y")</f>
        <v>#NAME?</v>
      </c>
      <c r="CN449" s="2" t="e">
        <f ca="1">_xll.BDH($C$428,"NET_DEBT_TO_SHRHLDR_EQTY","FQ1 2018","FQ1 2018","Currency=INR","Period=FQ","BEST_FPERIOD_OVERRIDE=FQ","FILING_STATUS=OR","EQY_CONSOLIDATED=Y","Sort=A","Dates=H","DateFormat=P","Fill=—","Direction=H","UseDPDF=Y")</f>
        <v>#NAME?</v>
      </c>
      <c r="CO449" s="2" t="e">
        <f ca="1">_xll.BDH($C$428,"NET_DEBT_%_CAPITAL","FQ1 2018","FQ1 2018","Currency=INR","Period=FQ","BEST_FPERIOD_OVERRIDE=FQ","FILING_STATUS=OR","EQY_CONSOLIDATED=Y","Sort=A","Dates=H","DateFormat=P","Fill=—","Direction=H","UseDPDF=Y")</f>
        <v>#NAME?</v>
      </c>
      <c r="CP449" s="3" t="e">
        <f ca="1">_xll.BDH($C$428,"EBITDA","FQ1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49" s="3" t="e">
        <f ca="1">_xll.BDH($C$428,"EBITDA_AFTER_CAPEX","FQ1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49" s="3" t="e">
        <f ca="1">_xll.BDH($C$428,"IS_OPER_INC","FQ1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49" s="2" t="e">
        <f ca="1">_xll.BDH($C$428,"CASH_RATIO","FQ1 2018","FQ1 2018","Currency=INR","Period=FQ","BEST_FPERIOD_OVERRIDE=FQ","FILING_STATUS=OR","EQY_CONSOLIDATED=Y","Sort=A","Dates=H","DateFormat=P","Fill=—","Direction=H","UseDPDF=Y")</f>
        <v>#NAME?</v>
      </c>
      <c r="CT449" s="2" t="e">
        <f ca="1">_xll.BDH($C$428,"CUR_RATIO","FQ1 2018","FQ1 2018","Currency=INR","Period=FQ","BEST_FPERIOD_OVERRIDE=FQ","FILING_STATUS=OR","EQY_CONSOLIDATED=Y","Sort=A","Dates=H","DateFormat=P","Fill=—","Direction=H","UseDPDF=Y")</f>
        <v>#NAME?</v>
      </c>
      <c r="CU449" s="2" t="e">
        <f ca="1">_xll.BDH($C$428,"QUICK_RATIO","FQ1 2018","FQ1 2018","Currency=INR","Period=FQ","BEST_FPERIOD_OVERRIDE=FQ","FILING_STATUS=OR","EQY_CONSOLIDATED=Y","Sort=A","Dates=H","DateFormat=P","Fill=—","Direction=H","UseDPDF=Y")</f>
        <v>#NAME?</v>
      </c>
      <c r="CV449" s="2" t="e">
        <f ca="1">_xll.BDH($C$428,"ALTMAN_Z_SCORE","FQ1 2018","FQ1 2018","Currency=INR","Period=FQ","BEST_FPERIOD_OVERRIDE=FQ","FILING_STATUS=OR","EQY_CONSOLIDATED=Y","Sort=A","Dates=H","DateFormat=P","Fill=—","Direction=H","UseDPDF=Y")</f>
        <v>#NAME?</v>
      </c>
      <c r="CW449" s="4" t="e">
        <f ca="1">_xll.BDH($C$428,"ACCT_RCV_TURN","FQ1 2018","FQ1 2018","Currency=INR","Period=FQ","BEST_FPERIOD_OVERRIDE=FQ","FILING_STATUS=OR","EQY_CONSOLIDATED=Y","FA_ADJUSTED=GAAP","Sort=A","Dates=H","DateFormat=P","Fill=—","Direction=H","UseDPDF=Y")</f>
        <v>#NAME?</v>
      </c>
      <c r="CX449" s="2" t="e">
        <f ca="1">_xll.BDH($C$428,"ACCT_RCV_DAYS","FQ1 2018","FQ1 2018","Currency=INR","Period=FQ","BEST_FPERIOD_OVERRIDE=FQ","FILING_STATUS=OR","EQY_CONSOLIDATED=Y","FA_ADJUSTED=GAAP","Sort=A","Dates=H","DateFormat=P","Fill=—","Direction=H","UseDPDF=Y")</f>
        <v>#NAME?</v>
      </c>
      <c r="CY449" s="4" t="e">
        <f ca="1">_xll.BDH($C$428,"INVENT_TURN","FQ1 2018","FQ1 2018","Currency=INR","Period=FQ","BEST_FPERIOD_OVERRIDE=FQ","FILING_STATUS=OR","EQY_CONSOLIDATED=Y","FA_ADJUSTED=GAAP","Sort=A","Dates=H","DateFormat=P","Fill=—","Direction=H","UseDPDF=Y")</f>
        <v>#NAME?</v>
      </c>
      <c r="CZ449" s="2" t="e">
        <f ca="1">_xll.BDH($C$428,"INVENT_DAYS","FQ1 2018","FQ1 2018","Currency=INR","Period=FQ","BEST_FPERIOD_OVERRIDE=FQ","FILING_STATUS=OR","EQY_CONSOLIDATED=Y","FA_ADJUSTED=GAAP","Sort=A","Dates=H","DateFormat=P","Fill=—","Direction=H","UseDPDF=Y")</f>
        <v>#NAME?</v>
      </c>
      <c r="DA449" s="4" t="e">
        <f ca="1">_xll.BDH($C$428,"ACCOUNTS_PAYABLE_TURNOVER","FQ1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49" s="2" t="e">
        <f ca="1">_xll.BDH($C$428,"ACCOUNTS_PAYABLE_TURNOVER_DAYS","FQ1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49" s="4" t="e">
        <f ca="1">_xll.BDH($C$428,"CASH_CONVERSION_CYCLE","FQ1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49" s="4" t="e">
        <f ca="1">_xll.BDH($C$428,"INV_TO_CASH_DAYS","FQ1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49" s="5" t="e">
        <f ca="1">_xll.BDH($C$428,"BS_INVENTORIES","FQ1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49" s="3" t="e">
        <f ca="1">_xll.BDH($C$428,"INVTRY_RAW_MATERIALS","FQ1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49" s="3" t="e">
        <f ca="1">_xll.BDH($C$428,"INVTRY_IN_PROGRESS","FQ1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49" s="3" t="e">
        <f ca="1">_xll.BDH($C$428,"INVTRY_FINISHED_GOODS","FQ1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49" s="3" t="e">
        <f ca="1">_xll.BDH($C$428,"BS_OTHER_INV","FQ1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50" spans="1:113" x14ac:dyDescent="0.3">
      <c r="A450" s="6"/>
      <c r="B450" s="6"/>
      <c r="C450" s="6"/>
      <c r="D450" s="6"/>
      <c r="E450" t="s">
        <v>79</v>
      </c>
      <c r="F450" t="e">
        <f ca="1">_xll.BDH($C$428,"RETURN_COM_EQY","FQ2 2018","FQ2 2018","Currency=INR","Period=FQ","BEST_FPERIOD_OVERRIDE=FQ","FILING_STATUS=OR","EQY_CONSOLIDATED=Y","FA_ADJUSTED=GAAP","Sort=A","Dates=H","DateFormat=P","Fill=—","Direction=H","UseDPDF=Y")</f>
        <v>#NAME?</v>
      </c>
      <c r="G450" t="e">
        <f ca="1">_xll.BDH($C$428,"RETURN_ON_ASSET","FQ2 2018","FQ2 2018","Currency=INR","Period=FQ","BEST_FPERIOD_OVERRIDE=FQ","FILING_STATUS=OR","EQY_CONSOLIDATED=Y","FA_ADJUSTED=GAAP","Sort=A","Dates=H","DateFormat=P","Fill=—","Direction=H","UseDPDF=Y")</f>
        <v>#NAME?</v>
      </c>
      <c r="H450" t="e">
        <f ca="1">_xll.BDH($C$428,"RETURN_ON_CAP","FQ2 2018","FQ2 2018","Currency=INR","Period=FQ","BEST_FPERIOD_OVERRIDE=FQ","FILING_STATUS=OR","EQY_CONSOLIDATED=Y","FA_ADJUSTED=GAAP","Sort=A","Dates=H","DateFormat=P","Fill=—","Direction=H","UseDPDF=Y")</f>
        <v>#NAME?</v>
      </c>
      <c r="I450" t="e">
        <f ca="1">_xll.BDH($C$428,"RETURN_ON_INV_CAPITAL","FQ2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50" t="e">
        <f ca="1">_xll.BDH($C$428,"EBITDA_TO_REVENUE","FQ2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450" t="e">
        <f ca="1">_xll.BDH($C$428,"OPER_MARGIN","FQ2 2018","FQ2 2018","Currency=INR","Period=FQ","BEST_FPERIOD_OVERRIDE=FQ","FILING_STATUS=OR","EQY_CONSOLIDATED=Y","FA_ADJUSTED=GAAP","Sort=A","Dates=H","DateFormat=P","Fill=—","Direction=H","UseDPDF=Y")</f>
        <v>#NAME?</v>
      </c>
      <c r="L450" t="e">
        <f ca="1">_xll.BDH($C$428,"INCREMENTAL_OPERATING_MARGIN","FQ2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50" t="e">
        <f ca="1">_xll.BDH($C$428,"PRETAX_INC_TO_NET_SALES","FQ2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50" t="e">
        <f ca="1">_xll.BDH($C$428,"INC_BEF_XO_ITEMS_TO_NET_SALES","FQ2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50" t="e">
        <f ca="1">_xll.BDH($C$428,"PROF_MARGIN","FQ2 2018","FQ2 2018","Currency=INR","Period=FQ","BEST_FPERIOD_OVERRIDE=FQ","FILING_STATUS=OR","EQY_CONSOLIDATED=Y","FA_ADJUSTED=GAAP","Sort=A","Dates=H","DateFormat=P","Fill=—","Direction=H","UseDPDF=Y")</f>
        <v>#NAME?</v>
      </c>
      <c r="P450" t="e">
        <f ca="1">_xll.BDH($C$428,"NET_INCOME_TO_COMMON_MARGIN","FQ2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50" t="e">
        <f ca="1">_xll.BDH($C$428,"EFF_TAX_RATE","FQ2 2018","FQ2 2018","Currency=INR","Period=FQ","BEST_FPERIOD_OVERRIDE=FQ","FILING_STATUS=OR","EQY_CONSOLIDATED=Y","FA_ADJUSTED=GAAP","Sort=A","Dates=H","DateFormat=P","Fill=—","Direction=H","UseDPDF=Y")</f>
        <v>#NAME?</v>
      </c>
      <c r="R450" t="e">
        <f ca="1">_xll.BDH($C$428,"DVD_PAYOUT_RATIO","FQ2 2018","FQ2 2018","Currency=INR","Period=FQ","BEST_FPERIOD_OVERRIDE=FQ","FILING_STATUS=OR","EQY_CONSOLIDATED=Y","FA_ADJUSTED=GAAP","Sort=A","Dates=H","DateFormat=P","Fill=—","Direction=H","UseDPDF=Y")</f>
        <v>#NAME?</v>
      </c>
      <c r="S450" t="e">
        <f ca="1">_xll.BDH($C$428,"SUSTAIN_GROWTH_RT","FQ2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450" s="2" t="e">
        <f ca="1">_xll.BDH($C$428,"SALES_GROWTH","FQ2 2018","FQ2 2018","Currency=INR","Period=FQ","BEST_FPERIOD_OVERRIDE=FQ","FILING_STATUS=OR","EQY_CONSOLIDATED=Y","FA_ADJUSTED=GAAP","Sort=A","Dates=H","DateFormat=P","Fill=—","Direction=H","UseDPDF=Y")</f>
        <v>#NAME?</v>
      </c>
      <c r="U450" s="2" t="e">
        <f ca="1">_xll.BDH($C$428,"EBITDA_GROWTH","FQ2 2018","FQ2 2018","Currency=INR","Period=FQ","BEST_FPERIOD_OVERRIDE=FQ","FILING_STATUS=OR","EQY_CONSOLIDATED=Y","FA_ADJUSTED=GAAP","Sort=A","Dates=H","DateFormat=P","Fill=—","Direction=H","UseDPDF=Y")</f>
        <v>#NAME?</v>
      </c>
      <c r="V450" s="2" t="e">
        <f ca="1">_xll.BDH($C$428,"OPER_INC_GROWTH","FQ2 2018","FQ2 2018","Currency=INR","Period=FQ","BEST_FPERIOD_OVERRIDE=FQ","FILING_STATUS=OR","EQY_CONSOLIDATED=Y","FA_ADJUSTED=GAAP","Sort=A","Dates=H","DateFormat=P","Fill=—","Direction=H","UseDPDF=Y")</f>
        <v>#NAME?</v>
      </c>
      <c r="W450" s="2" t="e">
        <f ca="1">_xll.BDH($C$428,"EARN_FOR_COM_GROWTH","FQ2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50" s="2" t="e">
        <f ca="1">_xll.BDH($C$428,"DILUTED_EPS_AFT_XO_ITEMS_GROWTH","FQ2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50" s="2" t="e">
        <f ca="1">_xll.BDH($C$428,"DIVIDEND_PER_SHARE_1_YEAR_GROWTH","FQ2 2018","FQ2 2018","Currency=INR","Period=FQ","BEST_FPERIOD_OVERRIDE=FQ","FILING_STATUS=OR","EQY_CONSOLIDATED=Y","Sort=A","Dates=H","DateFormat=P","Fill=—","Direction=H","UseDPDF=Y")</f>
        <v>#NAME?</v>
      </c>
      <c r="Z450" s="2" t="e">
        <f ca="1">_xll.BDH($C$428,"ACCOUNTS_RECEIVABLE_GROWTH","FQ2 2018","FQ2 2018","Currency=INR","Period=FQ","BEST_FPERIOD_OVERRIDE=FQ","FILING_STATUS=OR","EQY_CONSOLIDATED=Y","Sort=A","Dates=H","DateFormat=P","Fill=—","Direction=H","UseDPDF=Y")</f>
        <v>#NAME?</v>
      </c>
      <c r="AA450" s="2" t="e">
        <f ca="1">_xll.BDH($C$428,"INVENTORY_GROWTH","FQ2 2018","FQ2 2018","Currency=INR","Period=FQ","BEST_FPERIOD_OVERRIDE=FQ","FILING_STATUS=OR","EQY_CONSOLIDATED=Y","Sort=A","Dates=H","DateFormat=P","Fill=—","Direction=H","UseDPDF=Y")</f>
        <v>#NAME?</v>
      </c>
      <c r="AB450" s="2" t="e">
        <f ca="1">_xll.BDH($C$428,"NET_FIXED_ASSETS_1_YEAR_GROWTH","FQ2 2018","FQ2 2018","Currency=INR","Period=FQ","BEST_FPERIOD_OVERRIDE=FQ","FILING_STATUS=OR","EQY_CONSOLIDATED=Y","Sort=A","Dates=H","DateFormat=P","Fill=—","Direction=H","UseDPDF=Y")</f>
        <v>#NAME?</v>
      </c>
      <c r="AC450" s="2" t="e">
        <f ca="1">_xll.BDH($C$428,"ASSET_GROWTH","FQ2 2018","FQ2 2018","Currency=INR","Period=FQ","BEST_FPERIOD_OVERRIDE=FQ","FILING_STATUS=OR","EQY_CONSOLIDATED=Y","Sort=A","Dates=H","DateFormat=P","Fill=—","Direction=H","UseDPDF=Y")</f>
        <v>#NAME?</v>
      </c>
      <c r="AD450" s="2" t="e">
        <f ca="1">_xll.BDH($C$428,"MODIFIED_WORK_CAP_GROWTH","FQ2 2018","FQ2 2018","Currency=INR","Period=FQ","BEST_FPERIOD_OVERRIDE=FQ","FILING_STATUS=OR","EQY_CONSOLIDATED=Y","Sort=A","Dates=H","DateFormat=P","Fill=—","Direction=H","UseDPDF=Y")</f>
        <v>#NAME?</v>
      </c>
      <c r="AE450" s="2" t="e">
        <f ca="1">_xll.BDH($C$428,"WORK_CAP_GROWTH","FQ2 2018","FQ2 2018","Currency=INR","Period=FQ","BEST_FPERIOD_OVERRIDE=FQ","FILING_STATUS=OR","EQY_CONSOLIDATED=Y","Sort=A","Dates=H","DateFormat=P","Fill=—","Direction=H","UseDPDF=Y")</f>
        <v>#NAME?</v>
      </c>
      <c r="AF450" s="2" t="e">
        <f ca="1">_xll.BDH($C$428,"ACCOUNTS_PAYABLE_GROWTH_1YR","FQ2 2018","FQ2 2018","Currency=INR","Period=FQ","BEST_FPERIOD_OVERRIDE=FQ","FILING_STATUS=OR","EQY_CONSOLIDATED=Y","Sort=A","Dates=H","DateFormat=P","Fill=—","Direction=H","UseDPDF=Y")</f>
        <v>#NAME?</v>
      </c>
      <c r="AG450" s="2" t="e">
        <f ca="1">_xll.BDH($C$428,"SHORT_TERM_DEBT_1_YEAR_GROWTH","FQ2 2018","FQ2 2018","Currency=INR","Period=FQ","BEST_FPERIOD_OVERRIDE=FQ","FILING_STATUS=OR","EQY_CONSOLIDATED=Y","Sort=A","Dates=H","DateFormat=P","Fill=—","Direction=H","UseDPDF=Y")</f>
        <v>#NAME?</v>
      </c>
      <c r="AH450" s="2" t="e">
        <f ca="1">_xll.BDH($C$428,"TOTAL_DEBT_1_YEAR_GROWTH","FQ2 2018","FQ2 2018","Currency=INR","Period=FQ","BEST_FPERIOD_OVERRIDE=FQ","FILING_STATUS=OR","EQY_CONSOLIDATED=Y","Sort=A","Dates=H","DateFormat=P","Fill=—","Direction=H","UseDPDF=Y")</f>
        <v>#NAME?</v>
      </c>
      <c r="AI450" s="2" t="e">
        <f ca="1">_xll.BDH($C$428,"TOTAL_EQUITY_1_YEAR_GROWTH","FQ2 2018","FQ2 2018","Currency=INR","Period=FQ","BEST_FPERIOD_OVERRIDE=FQ","FILING_STATUS=OR","EQY_CONSOLIDATED=Y","Sort=A","Dates=H","DateFormat=P","Fill=—","Direction=H","UseDPDF=Y")</f>
        <v>#NAME?</v>
      </c>
      <c r="AJ450" s="2" t="e">
        <f ca="1">_xll.BDH($C$428,"GROWTH_IN_CAP","FQ2 2018","FQ2 2018","Currency=INR","Period=FQ","BEST_FPERIOD_OVERRIDE=FQ","FILING_STATUS=OR","EQY_CONSOLIDATED=Y","Sort=A","Dates=H","DateFormat=P","Fill=—","Direction=H","UseDPDF=Y")</f>
        <v>#NAME?</v>
      </c>
      <c r="AK450" s="2" t="e">
        <f ca="1">_xll.BDH($C$428,"BVPS_GROWTH","FQ2 2018","FQ2 2018","Currency=INR","Period=FQ","BEST_FPERIOD_OVERRIDE=FQ","FILING_STATUS=OR","EQY_CONSOLIDATED=Y","Sort=A","Dates=H","DateFormat=P","Fill=—","Direction=H","UseDPDF=Y")</f>
        <v>#NAME?</v>
      </c>
      <c r="AL450" s="2" t="e">
        <f ca="1">_xll.BDH($C$428,"CASH_FLOW_GROWTH","FQ2 2018","FQ2 2018","Currency=INR","Period=FQ","BEST_FPERIOD_OVERRIDE=FQ","FILING_STATUS=OR","EQY_CONSOLIDATED=Y","Sort=A","Dates=H","DateFormat=P","Fill=—","Direction=H","UseDPDF=Y")</f>
        <v>#NAME?</v>
      </c>
      <c r="AM450" s="2" t="e">
        <f ca="1">_xll.BDH($C$428,"GEO_GROW_NET_SALES","FQ2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50" s="2" t="e">
        <f ca="1">_xll.BDH($C$428,"GEO_GROW_EBITDA","FQ2 2018","FQ2 2018","Currency=INR","Period=FQ","BEST_FPERIOD_OVERRIDE=FQ","FILING_STATUS=OR","EQY_CONSOLIDATED=Y","FA_ADJUSTED=GAAP","Sort=A","Dates=H","DateFormat=P","Fill=—","Direction=H","UseDPDF=Y")</f>
        <v>#NAME?</v>
      </c>
      <c r="AO450" s="2" t="e">
        <f ca="1">_xll.BDH($C$428,"GEO_GROW_OPER_INC","FQ2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50" s="2" t="e">
        <f ca="1">_xll.BDH($C$428,"NET_INCOME_TO_COMMON_5_YR_GROWTH","FQ2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50" s="2" t="e">
        <f ca="1">_xll.BDH($C$428,"5Y_GEO_GROWTH_DILUTED_EPS","FQ2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50" s="2" t="e">
        <f ca="1">_xll.BDH($C$428,"GEO_GROW_DVD_PER_SH","FQ2 2018","FQ2 2018","Currency=INR","Period=FQ","BEST_FPERIOD_OVERRIDE=FQ","FILING_STATUS=OR","EQY_CONSOLIDATED=Y","Sort=A","Dates=H","DateFormat=P","Fill=—","Direction=H","UseDPDF=Y")</f>
        <v>#NAME?</v>
      </c>
      <c r="AS450" s="2" t="e">
        <f ca="1">_xll.BDH($C$428,"ACCOUNTS_RECEIVABLE_5_YR_GROWTH","FQ2 2018","FQ2 2018","Currency=INR","Period=FQ","BEST_FPERIOD_OVERRIDE=FQ","FILING_STATUS=OR","EQY_CONSOLIDATED=Y","Sort=A","Dates=H","DateFormat=P","Fill=—","Direction=H","UseDPDF=Y")</f>
        <v>#NAME?</v>
      </c>
      <c r="AT450" s="2" t="e">
        <f ca="1">_xll.BDH($C$428,"INVENTORY_5_YEAR_GROWTH","FQ2 2018","FQ2 2018","Currency=INR","Period=FQ","BEST_FPERIOD_OVERRIDE=FQ","FILING_STATUS=OR","EQY_CONSOLIDATED=Y","Sort=A","Dates=H","DateFormat=P","Fill=—","Direction=H","UseDPDF=Y")</f>
        <v>#NAME?</v>
      </c>
      <c r="AU450" s="2" t="e">
        <f ca="1">_xll.BDH($C$428,"NET_FIXED_ASSETS_5_YEAR_GROWTH","FQ2 2018","FQ2 2018","Currency=INR","Period=FQ","BEST_FPERIOD_OVERRIDE=FQ","FILING_STATUS=OR","EQY_CONSOLIDATED=Y","Sort=A","Dates=H","DateFormat=P","Fill=—","Direction=H","UseDPDF=Y")</f>
        <v>#NAME?</v>
      </c>
      <c r="AV450" s="2" t="e">
        <f ca="1">_xll.BDH($C$428,"GEO_GROW_TOT_ASSET","FQ2 2018","FQ2 2018","Currency=INR","Period=FQ","BEST_FPERIOD_OVERRIDE=FQ","FILING_STATUS=OR","EQY_CONSOLIDATED=Y","Sort=A","Dates=H","DateFormat=P","Fill=—","Direction=H","UseDPDF=Y")</f>
        <v>#NAME?</v>
      </c>
      <c r="AW450" s="2" t="e">
        <f ca="1">_xll.BDH($C$428,"MODIFIED_WORKING_CPTL_5YR_GRWTH","FQ2 2018","FQ2 2018","Currency=INR","Period=FQ","BEST_FPERIOD_OVERRIDE=FQ","FILING_STATUS=OR","EQY_CONSOLIDATED=Y","Sort=A","Dates=H","DateFormat=P","Fill=—","Direction=H","UseDPDF=Y")</f>
        <v>#NAME?</v>
      </c>
      <c r="AX450" s="2" t="e">
        <f ca="1">_xll.BDH($C$428,"WORKING_CAPITAL_5_YEAR_GROWTH","FQ2 2018","FQ2 2018","Currency=INR","Period=FQ","BEST_FPERIOD_OVERRIDE=FQ","FILING_STATUS=OR","EQY_CONSOLIDATED=Y","Sort=A","Dates=H","DateFormat=P","Fill=—","Direction=H","UseDPDF=Y")</f>
        <v>#NAME?</v>
      </c>
      <c r="AY450" s="2" t="e">
        <f ca="1">_xll.BDH($C$428,"ACCOUNTS_PAYABLE_5_YEAR_GROWTH","FQ2 2018","FQ2 2018","Currency=INR","Period=FQ","BEST_FPERIOD_OVERRIDE=FQ","FILING_STATUS=OR","EQY_CONSOLIDATED=Y","Sort=A","Dates=H","DateFormat=P","Fill=—","Direction=H","UseDPDF=Y")</f>
        <v>#NAME?</v>
      </c>
      <c r="AZ450" s="2" t="e">
        <f ca="1">_xll.BDH($C$428,"SHORT_TERM_DEBT_5_YEAR_GROWTH","FQ2 2018","FQ2 2018","Currency=INR","Period=FQ","BEST_FPERIOD_OVERRIDE=FQ","FILING_STATUS=OR","EQY_CONSOLIDATED=Y","Sort=A","Dates=H","DateFormat=P","Fill=—","Direction=H","UseDPDF=Y")</f>
        <v>#NAME?</v>
      </c>
      <c r="BA450" s="2" t="e">
        <f ca="1">_xll.BDH($C$428,"TOTAL_DEBT_5_YEAR_GROWTH","FQ2 2018","FQ2 2018","Currency=INR","Period=FQ","BEST_FPERIOD_OVERRIDE=FQ","FILING_STATUS=OR","EQY_CONSOLIDATED=Y","Sort=A","Dates=H","DateFormat=P","Fill=—","Direction=H","UseDPDF=Y")</f>
        <v>#NAME?</v>
      </c>
      <c r="BB450" s="2" t="e">
        <f ca="1">_xll.BDH($C$428,"GEO_GROW_TOT_SHRHLDR_EQY","FQ2 2018","FQ2 2018","Currency=INR","Period=FQ","BEST_FPERIOD_OVERRIDE=FQ","FILING_STATUS=OR","EQY_CONSOLIDATED=Y","Sort=A","Dates=H","DateFormat=P","Fill=—","Direction=H","UseDPDF=Y")</f>
        <v>#NAME?</v>
      </c>
      <c r="BC450" s="2" t="e">
        <f ca="1">_xll.BDH($C$428,"TOTAL_CAPITAL_5_YEAR_GROWTH","FQ2 2018","FQ2 2018","Currency=INR","Period=FQ","BEST_FPERIOD_OVERRIDE=FQ","FILING_STATUS=OR","EQY_CONSOLIDATED=Y","Sort=A","Dates=H","DateFormat=P","Fill=—","Direction=H","UseDPDF=Y")</f>
        <v>#NAME?</v>
      </c>
      <c r="BD450" s="2" t="e">
        <f ca="1">_xll.BDH($C$428,"GEO_GROW_BOOK_VAL","FQ2 2018","FQ2 2018","Currency=INR","Period=FQ","BEST_FPERIOD_OVERRIDE=FQ","FILING_STATUS=OR","EQY_CONSOLIDATED=Y","Sort=A","Dates=H","DateFormat=P","Fill=—","Direction=H","UseDPDF=Y")</f>
        <v>#NAME?</v>
      </c>
      <c r="BE450" s="2" t="e">
        <f ca="1">_xll.BDH($C$428,"GEO_GROW_CASH_OPER_ACT","FQ2 2018","FQ2 2018","Currency=INR","Period=FQ","BEST_FPERIOD_OVERRIDE=FQ","FILING_STATUS=OR","EQY_CONSOLIDATED=Y","Sort=A","Dates=H","DateFormat=P","Fill=—","Direction=H","UseDPDF=Y")</f>
        <v>#NAME?</v>
      </c>
      <c r="BF450" s="2" t="e">
        <f ca="1">_xll.BDH($C$428,"REVENUE_SEQUENTIAL_GROWTH","FQ2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50" s="2" t="e">
        <f ca="1">_xll.BDH($C$428,"EBITDA_SEQUENTIAL_GROWTH","FQ2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50" s="2" t="e">
        <f ca="1">_xll.BDH($C$428,"OPERATING_INCOME_SEQ_GROWTH","FQ2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50" s="2" t="e">
        <f ca="1">_xll.BDH($C$428,"NET_INCOME_TO_COMMON_SEQ_GROWTH","FQ2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50" s="2" t="e">
        <f ca="1">_xll.BDH($C$428,"EPS_DILUTED_SEQUENTIAL_GROWTH","FQ2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50" s="2" t="e">
        <f ca="1">_xll.BDH($C$428,"DPS_SEQUENTIAL_GROWTH","FQ2 2018","FQ2 2018","Currency=INR","Period=FQ","BEST_FPERIOD_OVERRIDE=FQ","FILING_STATUS=OR","EQY_CONSOLIDATED=Y","Sort=A","Dates=H","DateFormat=P","Fill=—","Direction=H","UseDPDF=Y")</f>
        <v>#NAME?</v>
      </c>
      <c r="BL450" s="2" t="e">
        <f ca="1">_xll.BDH($C$428,"ACCOUNTS_RECEIVABLE_SEQ_GROWTH","FQ2 2018","FQ2 2018","Currency=INR","Period=FQ","BEST_FPERIOD_OVERRIDE=FQ","FILING_STATUS=OR","EQY_CONSOLIDATED=Y","Sort=A","Dates=H","DateFormat=P","Fill=—","Direction=H","UseDPDF=Y")</f>
        <v>#NAME?</v>
      </c>
      <c r="BM450" s="2" t="e">
        <f ca="1">_xll.BDH($C$428,"INVENTORY_SEQUENTIAL_GROWTH","FQ2 2018","FQ2 2018","Currency=INR","Period=FQ","BEST_FPERIOD_OVERRIDE=FQ","FILING_STATUS=OR","EQY_CONSOLIDATED=Y","Sort=A","Dates=H","DateFormat=P","Fill=—","Direction=H","UseDPDF=Y")</f>
        <v>#NAME?</v>
      </c>
      <c r="BN450" s="2" t="e">
        <f ca="1">_xll.BDH($C$428,"FIXED_ASSETS_SEQUENTIAL_GROWTH","FQ2 2018","FQ2 2018","Currency=INR","Period=FQ","BEST_FPERIOD_OVERRIDE=FQ","FILING_STATUS=OR","EQY_CONSOLIDATED=Y","Sort=A","Dates=H","DateFormat=P","Fill=—","Direction=H","UseDPDF=Y")</f>
        <v>#NAME?</v>
      </c>
      <c r="BO450" s="2" t="e">
        <f ca="1">_xll.BDH($C$428,"TOTAL_ASSETS_SEQUENTIAL_GROWTH","FQ2 2018","FQ2 2018","Currency=INR","Period=FQ","BEST_FPERIOD_OVERRIDE=FQ","FILING_STATUS=OR","EQY_CONSOLIDATED=Y","Sort=A","Dates=H","DateFormat=P","Fill=—","Direction=H","UseDPDF=Y")</f>
        <v>#NAME?</v>
      </c>
      <c r="BP450" s="2" t="e">
        <f ca="1">_xll.BDH($C$428,"MODIFIED_WORKING_CPTL_SEQ_GRWTH","FQ2 2018","FQ2 2018","Currency=INR","Period=FQ","BEST_FPERIOD_OVERRIDE=FQ","FILING_STATUS=OR","EQY_CONSOLIDATED=Y","Sort=A","Dates=H","DateFormat=P","Fill=—","Direction=H","UseDPDF=Y")</f>
        <v>#NAME?</v>
      </c>
      <c r="BQ450" s="2" t="e">
        <f ca="1">_xll.BDH($C$428,"WORKING_CAPITAL_SEQ_GROWTH","FQ2 2018","FQ2 2018","Currency=INR","Period=FQ","BEST_FPERIOD_OVERRIDE=FQ","FILING_STATUS=OR","EQY_CONSOLIDATED=Y","Sort=A","Dates=H","DateFormat=P","Fill=—","Direction=H","UseDPDF=Y")</f>
        <v>#NAME?</v>
      </c>
      <c r="BR450" s="2" t="e">
        <f ca="1">_xll.BDH($C$428,"ACCOUNTS_PAYABLE_SEQ_GROWTH","FQ2 2018","FQ2 2018","Currency=INR","Period=FQ","BEST_FPERIOD_OVERRIDE=FQ","FILING_STATUS=OR","EQY_CONSOLIDATED=Y","Sort=A","Dates=H","DateFormat=P","Fill=—","Direction=H","UseDPDF=Y")</f>
        <v>#NAME?</v>
      </c>
      <c r="BS450" s="2" t="e">
        <f ca="1">_xll.BDH($C$428,"ST_DEBT_SEQUENTIAL_GROWTH","FQ2 2018","FQ2 2018","Currency=INR","Period=FQ","BEST_FPERIOD_OVERRIDE=FQ","FILING_STATUS=OR","EQY_CONSOLIDATED=Y","Sort=A","Dates=H","DateFormat=P","Fill=—","Direction=H","UseDPDF=Y")</f>
        <v>#NAME?</v>
      </c>
      <c r="BT450" s="2" t="e">
        <f ca="1">_xll.BDH($C$428,"TOTAL_DEBT_SEQUENTIAL_GROWTH","FQ2 2018","FQ2 2018","Currency=INR","Period=FQ","BEST_FPERIOD_OVERRIDE=FQ","FILING_STATUS=OR","EQY_CONSOLIDATED=Y","Sort=A","Dates=H","DateFormat=P","Fill=—","Direction=H","UseDPDF=Y")</f>
        <v>#NAME?</v>
      </c>
      <c r="BU450" s="2" t="e">
        <f ca="1">_xll.BDH($C$428,"TOTAL_EQUITY_SEQUENTIAL_GROWTH","FQ2 2018","FQ2 2018","Currency=INR","Period=FQ","BEST_FPERIOD_OVERRIDE=FQ","FILING_STATUS=OR","EQY_CONSOLIDATED=Y","Sort=A","Dates=H","DateFormat=P","Fill=—","Direction=H","UseDPDF=Y")</f>
        <v>#NAME?</v>
      </c>
      <c r="BV450" s="2" t="e">
        <f ca="1">_xll.BDH($C$428,"TOTAL_CAPITAL_SEQUENTIAL_GROWTH","FQ2 2018","FQ2 2018","Currency=INR","Period=FQ","BEST_FPERIOD_OVERRIDE=FQ","FILING_STATUS=OR","EQY_CONSOLIDATED=Y","Sort=A","Dates=H","DateFormat=P","Fill=—","Direction=H","UseDPDF=Y")</f>
        <v>#NAME?</v>
      </c>
      <c r="BW450" s="2" t="e">
        <f ca="1">_xll.BDH($C$428,"BPS_SEQUENTIAL_GROWTH","FQ2 2018","FQ2 2018","Currency=INR","Period=FQ","BEST_FPERIOD_OVERRIDE=FQ","FILING_STATUS=OR","EQY_CONSOLIDATED=Y","Sort=A","Dates=H","DateFormat=P","Fill=—","Direction=H","UseDPDF=Y")</f>
        <v>#NAME?</v>
      </c>
      <c r="BX450" s="2" t="e">
        <f ca="1">_xll.BDH($C$428,"CFO_SEQUENTIAL_GROWTH","FQ2 2018","FQ2 2018","Currency=INR","Period=FQ","BEST_FPERIOD_OVERRIDE=FQ","FILING_STATUS=OR","EQY_CONSOLIDATED=Y","Sort=A","Dates=H","DateFormat=P","Fill=—","Direction=H","UseDPDF=Y")</f>
        <v>#NAME?</v>
      </c>
      <c r="BY450" s="3" t="e">
        <f ca="1">_xll.BDH($C$428,"SHORT_AND_LONG_TERM_DEBT","FQ2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50" s="3" t="e">
        <f ca="1">_xll.BDH($C$428,"BS_ST_BORROW","FQ2 2018","FQ2 2018","Currency=INR","Period=FQ","BEST_FPERIOD_OVERRIDE=FQ","FILING_STATUS=OR","EQY_CONSOLIDATED=Y","SCALING_FORMAT=MLN","Sort=A","Dates=H","DateFormat=P","Fill=—","Direction=H","UseDPDF=Y")</f>
        <v>#NAME?</v>
      </c>
      <c r="CA450" s="3" t="e">
        <f ca="1">_xll.BDH($C$428,"BS_LT_BORROW","FQ2 2018","FQ2 2018","Currency=INR","Period=FQ","BEST_FPERIOD_OVERRIDE=FQ","FILING_STATUS=OR","EQY_CONSOLIDATED=Y","SCALING_FORMAT=MLN","Sort=A","Dates=H","DateFormat=P","Fill=—","Direction=H","UseDPDF=Y")</f>
        <v>#NAME?</v>
      </c>
      <c r="CB450" s="2" t="e">
        <f ca="1">_xll.BDH($C$428,"TOT_DEBT_TO_EBITDA","FQ2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50" s="2" t="e">
        <f ca="1">_xll.BDH($C$428,"NET_DEBT_TO_EBITDA","FQ2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50" s="2" t="e">
        <f ca="1">_xll.BDH($C$428,"TOTAL_DEBT_TO_EBIT","FQ2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50" s="2" t="e">
        <f ca="1">_xll.BDH($C$428,"NET_DEBT_TO_EBIT","FQ2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450" s="2" t="e">
        <f ca="1">_xll.BDH($C$428,"EBITDA_TO_INTEREST_EXPN","FQ2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50" s="2" t="e">
        <f ca="1">_xll.BDH($C$428,"COM_EQY_TO_TOT_ASSET","FQ2 2018","FQ2 2018","Currency=INR","Period=FQ","BEST_FPERIOD_OVERRIDE=FQ","FILING_STATUS=OR","EQY_CONSOLIDATED=Y","Sort=A","Dates=H","DateFormat=P","Fill=—","Direction=H","UseDPDF=Y")</f>
        <v>#NAME?</v>
      </c>
      <c r="CH450" s="2" t="e">
        <f ca="1">_xll.BDH($C$428,"LT_DEBT_TO_TOT_EQY","FQ2 2018","FQ2 2018","Currency=INR","Period=FQ","BEST_FPERIOD_OVERRIDE=FQ","FILING_STATUS=OR","EQY_CONSOLIDATED=Y","Sort=A","Dates=H","DateFormat=P","Fill=—","Direction=H","UseDPDF=Y")</f>
        <v>#NAME?</v>
      </c>
      <c r="CI450" s="2" t="e">
        <f ca="1">_xll.BDH($C$428,"LT_DEBT_TO_TOT_CAP","FQ2 2018","FQ2 2018","Currency=INR","Period=FQ","BEST_FPERIOD_OVERRIDE=FQ","FILING_STATUS=OR","EQY_CONSOLIDATED=Y","Sort=A","Dates=H","DateFormat=P","Fill=—","Direction=H","UseDPDF=Y")</f>
        <v>#NAME?</v>
      </c>
      <c r="CJ450" s="2" t="e">
        <f ca="1">_xll.BDH($C$428,"LT_DEBT_TO_TOT_ASSET","FQ2 2018","FQ2 2018","Currency=INR","Period=FQ","BEST_FPERIOD_OVERRIDE=FQ","FILING_STATUS=OR","EQY_CONSOLIDATED=Y","Sort=A","Dates=H","DateFormat=P","Fill=—","Direction=H","UseDPDF=Y")</f>
        <v>#NAME?</v>
      </c>
      <c r="CK450" s="2" t="e">
        <f ca="1">_xll.BDH($C$428,"TOT_DEBT_TO_TOT_EQY","FQ2 2018","FQ2 2018","Currency=INR","Period=FQ","BEST_FPERIOD_OVERRIDE=FQ","FILING_STATUS=OR","EQY_CONSOLIDATED=Y","Sort=A","Dates=H","DateFormat=P","Fill=—","Direction=H","UseDPDF=Y")</f>
        <v>#NAME?</v>
      </c>
      <c r="CL450" s="2" t="e">
        <f ca="1">_xll.BDH($C$428,"TOT_DEBT_TO_TOT_CAP","FQ2 2018","FQ2 2018","Currency=INR","Period=FQ","BEST_FPERIOD_OVERRIDE=FQ","FILING_STATUS=OR","EQY_CONSOLIDATED=Y","Sort=A","Dates=H","DateFormat=P","Fill=—","Direction=H","UseDPDF=Y")</f>
        <v>#NAME?</v>
      </c>
      <c r="CM450" s="2" t="e">
        <f ca="1">_xll.BDH($C$428,"TOT_DEBT_TO_TOT_ASSET","FQ2 2018","FQ2 2018","Currency=INR","Period=FQ","BEST_FPERIOD_OVERRIDE=FQ","FILING_STATUS=OR","EQY_CONSOLIDATED=Y","Sort=A","Dates=H","DateFormat=P","Fill=—","Direction=H","UseDPDF=Y")</f>
        <v>#NAME?</v>
      </c>
      <c r="CN450" s="2" t="e">
        <f ca="1">_xll.BDH($C$428,"NET_DEBT_TO_SHRHLDR_EQTY","FQ2 2018","FQ2 2018","Currency=INR","Period=FQ","BEST_FPERIOD_OVERRIDE=FQ","FILING_STATUS=OR","EQY_CONSOLIDATED=Y","Sort=A","Dates=H","DateFormat=P","Fill=—","Direction=H","UseDPDF=Y")</f>
        <v>#NAME?</v>
      </c>
      <c r="CO450" s="2" t="e">
        <f ca="1">_xll.BDH($C$428,"NET_DEBT_%_CAPITAL","FQ2 2018","FQ2 2018","Currency=INR","Period=FQ","BEST_FPERIOD_OVERRIDE=FQ","FILING_STATUS=OR","EQY_CONSOLIDATED=Y","Sort=A","Dates=H","DateFormat=P","Fill=—","Direction=H","UseDPDF=Y")</f>
        <v>#NAME?</v>
      </c>
      <c r="CP450" s="3" t="e">
        <f ca="1">_xll.BDH($C$428,"EBITDA","FQ2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50" s="3" t="e">
        <f ca="1">_xll.BDH($C$428,"EBITDA_AFTER_CAPEX","FQ2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50" s="3" t="e">
        <f ca="1">_xll.BDH($C$428,"IS_OPER_INC","FQ2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50" s="2" t="e">
        <f ca="1">_xll.BDH($C$428,"CASH_RATIO","FQ2 2018","FQ2 2018","Currency=INR","Period=FQ","BEST_FPERIOD_OVERRIDE=FQ","FILING_STATUS=OR","EQY_CONSOLIDATED=Y","Sort=A","Dates=H","DateFormat=P","Fill=—","Direction=H","UseDPDF=Y")</f>
        <v>#NAME?</v>
      </c>
      <c r="CT450" s="2" t="e">
        <f ca="1">_xll.BDH($C$428,"CUR_RATIO","FQ2 2018","FQ2 2018","Currency=INR","Period=FQ","BEST_FPERIOD_OVERRIDE=FQ","FILING_STATUS=OR","EQY_CONSOLIDATED=Y","Sort=A","Dates=H","DateFormat=P","Fill=—","Direction=H","UseDPDF=Y")</f>
        <v>#NAME?</v>
      </c>
      <c r="CU450" s="2" t="e">
        <f ca="1">_xll.BDH($C$428,"QUICK_RATIO","FQ2 2018","FQ2 2018","Currency=INR","Period=FQ","BEST_FPERIOD_OVERRIDE=FQ","FILING_STATUS=OR","EQY_CONSOLIDATED=Y","Sort=A","Dates=H","DateFormat=P","Fill=—","Direction=H","UseDPDF=Y")</f>
        <v>#NAME?</v>
      </c>
      <c r="CV450" s="2" t="e">
        <f ca="1">_xll.BDH($C$428,"ALTMAN_Z_SCORE","FQ2 2018","FQ2 2018","Currency=INR","Period=FQ","BEST_FPERIOD_OVERRIDE=FQ","FILING_STATUS=OR","EQY_CONSOLIDATED=Y","Sort=A","Dates=H","DateFormat=P","Fill=—","Direction=H","UseDPDF=Y")</f>
        <v>#NAME?</v>
      </c>
      <c r="CW450" s="4" t="e">
        <f ca="1">_xll.BDH($C$428,"ACCT_RCV_TURN","FQ2 2018","FQ2 2018","Currency=INR","Period=FQ","BEST_FPERIOD_OVERRIDE=FQ","FILING_STATUS=OR","EQY_CONSOLIDATED=Y","FA_ADJUSTED=GAAP","Sort=A","Dates=H","DateFormat=P","Fill=—","Direction=H","UseDPDF=Y")</f>
        <v>#NAME?</v>
      </c>
      <c r="CX450" s="2" t="e">
        <f ca="1">_xll.BDH($C$428,"ACCT_RCV_DAYS","FQ2 2018","FQ2 2018","Currency=INR","Period=FQ","BEST_FPERIOD_OVERRIDE=FQ","FILING_STATUS=OR","EQY_CONSOLIDATED=Y","FA_ADJUSTED=GAAP","Sort=A","Dates=H","DateFormat=P","Fill=—","Direction=H","UseDPDF=Y")</f>
        <v>#NAME?</v>
      </c>
      <c r="CY450" s="4" t="e">
        <f ca="1">_xll.BDH($C$428,"INVENT_TURN","FQ2 2018","FQ2 2018","Currency=INR","Period=FQ","BEST_FPERIOD_OVERRIDE=FQ","FILING_STATUS=OR","EQY_CONSOLIDATED=Y","FA_ADJUSTED=GAAP","Sort=A","Dates=H","DateFormat=P","Fill=—","Direction=H","UseDPDF=Y")</f>
        <v>#NAME?</v>
      </c>
      <c r="CZ450" s="2" t="e">
        <f ca="1">_xll.BDH($C$428,"INVENT_DAYS","FQ2 2018","FQ2 2018","Currency=INR","Period=FQ","BEST_FPERIOD_OVERRIDE=FQ","FILING_STATUS=OR","EQY_CONSOLIDATED=Y","FA_ADJUSTED=GAAP","Sort=A","Dates=H","DateFormat=P","Fill=—","Direction=H","UseDPDF=Y")</f>
        <v>#NAME?</v>
      </c>
      <c r="DA450" s="4" t="e">
        <f ca="1">_xll.BDH($C$428,"ACCOUNTS_PAYABLE_TURNOVER","FQ2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50" s="2" t="e">
        <f ca="1">_xll.BDH($C$428,"ACCOUNTS_PAYABLE_TURNOVER_DAYS","FQ2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50" s="4" t="e">
        <f ca="1">_xll.BDH($C$428,"CASH_CONVERSION_CYCLE","FQ2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50" s="4" t="e">
        <f ca="1">_xll.BDH($C$428,"INV_TO_CASH_DAYS","FQ2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450" s="5" t="e">
        <f ca="1">_xll.BDH($C$428,"BS_INVENTORIES","FQ2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450" s="3" t="e">
        <f ca="1">_xll.BDH($C$428,"INVTRY_RAW_MATERIALS","FQ2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50" s="3" t="e">
        <f ca="1">_xll.BDH($C$428,"INVTRY_IN_PROGRESS","FQ2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50" s="3" t="e">
        <f ca="1">_xll.BDH($C$428,"INVTRY_FINISHED_GOODS","FQ2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50" s="3" t="e">
        <f ca="1">_xll.BDH($C$428,"BS_OTHER_INV","FQ2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51" spans="1:113" x14ac:dyDescent="0.3">
      <c r="A451" s="6"/>
      <c r="B451" s="6"/>
      <c r="C451" s="6"/>
      <c r="D451" s="6"/>
      <c r="E451" t="s">
        <v>80</v>
      </c>
      <c r="F451" t="e">
        <f ca="1">_xll.BDH($C$428,"RETURN_COM_EQY","FQ3 2018","FQ3 2018","Currency=INR","Period=FQ","BEST_FPERIOD_OVERRIDE=FQ","FILING_STATUS=OR","EQY_CONSOLIDATED=Y","FA_ADJUSTED=GAAP","Sort=A","Dates=H","DateFormat=P","Fill=—","Direction=H","UseDPDF=Y")</f>
        <v>#NAME?</v>
      </c>
      <c r="G451" t="e">
        <f ca="1">_xll.BDH($C$428,"RETURN_ON_ASSET","FQ3 2018","FQ3 2018","Currency=INR","Period=FQ","BEST_FPERIOD_OVERRIDE=FQ","FILING_STATUS=OR","EQY_CONSOLIDATED=Y","FA_ADJUSTED=GAAP","Sort=A","Dates=H","DateFormat=P","Fill=—","Direction=H","UseDPDF=Y")</f>
        <v>#NAME?</v>
      </c>
      <c r="H451" t="e">
        <f ca="1">_xll.BDH($C$428,"RETURN_ON_CAP","FQ3 2018","FQ3 2018","Currency=INR","Period=FQ","BEST_FPERIOD_OVERRIDE=FQ","FILING_STATUS=OR","EQY_CONSOLIDATED=Y","FA_ADJUSTED=GAAP","Sort=A","Dates=H","DateFormat=P","Fill=—","Direction=H","UseDPDF=Y")</f>
        <v>#NAME?</v>
      </c>
      <c r="I451" t="e">
        <f ca="1">_xll.BDH($C$428,"RETURN_ON_INV_CAPITAL","FQ3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51" t="e">
        <f ca="1">_xll.BDH($C$428,"EBITDA_TO_REVENUE","FQ3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451" t="e">
        <f ca="1">_xll.BDH($C$428,"OPER_MARGIN","FQ3 2018","FQ3 2018","Currency=INR","Period=FQ","BEST_FPERIOD_OVERRIDE=FQ","FILING_STATUS=OR","EQY_CONSOLIDATED=Y","FA_ADJUSTED=GAAP","Sort=A","Dates=H","DateFormat=P","Fill=—","Direction=H","UseDPDF=Y")</f>
        <v>#NAME?</v>
      </c>
      <c r="L451" t="e">
        <f ca="1">_xll.BDH($C$428,"INCREMENTAL_OPERATING_MARGIN","FQ3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51" t="e">
        <f ca="1">_xll.BDH($C$428,"PRETAX_INC_TO_NET_SALES","FQ3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51" t="e">
        <f ca="1">_xll.BDH($C$428,"INC_BEF_XO_ITEMS_TO_NET_SALES","FQ3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51" t="e">
        <f ca="1">_xll.BDH($C$428,"PROF_MARGIN","FQ3 2018","FQ3 2018","Currency=INR","Period=FQ","BEST_FPERIOD_OVERRIDE=FQ","FILING_STATUS=OR","EQY_CONSOLIDATED=Y","FA_ADJUSTED=GAAP","Sort=A","Dates=H","DateFormat=P","Fill=—","Direction=H","UseDPDF=Y")</f>
        <v>#NAME?</v>
      </c>
      <c r="P451" t="e">
        <f ca="1">_xll.BDH($C$428,"NET_INCOME_TO_COMMON_MARGIN","FQ3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51" t="e">
        <f ca="1">_xll.BDH($C$428,"EFF_TAX_RATE","FQ3 2018","FQ3 2018","Currency=INR","Period=FQ","BEST_FPERIOD_OVERRIDE=FQ","FILING_STATUS=OR","EQY_CONSOLIDATED=Y","FA_ADJUSTED=GAAP","Sort=A","Dates=H","DateFormat=P","Fill=—","Direction=H","UseDPDF=Y")</f>
        <v>#NAME?</v>
      </c>
      <c r="R451" t="e">
        <f ca="1">_xll.BDH($C$428,"DVD_PAYOUT_RATIO","FQ3 2018","FQ3 2018","Currency=INR","Period=FQ","BEST_FPERIOD_OVERRIDE=FQ","FILING_STATUS=OR","EQY_CONSOLIDATED=Y","FA_ADJUSTED=GAAP","Sort=A","Dates=H","DateFormat=P","Fill=—","Direction=H","UseDPDF=Y")</f>
        <v>#NAME?</v>
      </c>
      <c r="S451" t="e">
        <f ca="1">_xll.BDH($C$428,"SUSTAIN_GROWTH_RT","FQ3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451" s="2" t="e">
        <f ca="1">_xll.BDH($C$428,"SALES_GROWTH","FQ3 2018","FQ3 2018","Currency=INR","Period=FQ","BEST_FPERIOD_OVERRIDE=FQ","FILING_STATUS=OR","EQY_CONSOLIDATED=Y","FA_ADJUSTED=GAAP","Sort=A","Dates=H","DateFormat=P","Fill=—","Direction=H","UseDPDF=Y")</f>
        <v>#NAME?</v>
      </c>
      <c r="U451" s="2" t="e">
        <f ca="1">_xll.BDH($C$428,"EBITDA_GROWTH","FQ3 2018","FQ3 2018","Currency=INR","Period=FQ","BEST_FPERIOD_OVERRIDE=FQ","FILING_STATUS=OR","EQY_CONSOLIDATED=Y","FA_ADJUSTED=GAAP","Sort=A","Dates=H","DateFormat=P","Fill=—","Direction=H","UseDPDF=Y")</f>
        <v>#NAME?</v>
      </c>
      <c r="V451" s="2" t="e">
        <f ca="1">_xll.BDH($C$428,"OPER_INC_GROWTH","FQ3 2018","FQ3 2018","Currency=INR","Period=FQ","BEST_FPERIOD_OVERRIDE=FQ","FILING_STATUS=OR","EQY_CONSOLIDATED=Y","FA_ADJUSTED=GAAP","Sort=A","Dates=H","DateFormat=P","Fill=—","Direction=H","UseDPDF=Y")</f>
        <v>#NAME?</v>
      </c>
      <c r="W451" s="2" t="e">
        <f ca="1">_xll.BDH($C$428,"EARN_FOR_COM_GROWTH","FQ3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51" s="2" t="e">
        <f ca="1">_xll.BDH($C$428,"DILUTED_EPS_AFT_XO_ITEMS_GROWTH","FQ3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51" s="2" t="e">
        <f ca="1">_xll.BDH($C$428,"DIVIDEND_PER_SHARE_1_YEAR_GROWTH","FQ3 2018","FQ3 2018","Currency=INR","Period=FQ","BEST_FPERIOD_OVERRIDE=FQ","FILING_STATUS=OR","EQY_CONSOLIDATED=Y","Sort=A","Dates=H","DateFormat=P","Fill=—","Direction=H","UseDPDF=Y")</f>
        <v>#NAME?</v>
      </c>
      <c r="Z451" s="2" t="e">
        <f ca="1">_xll.BDH($C$428,"ACCOUNTS_RECEIVABLE_GROWTH","FQ3 2018","FQ3 2018","Currency=INR","Period=FQ","BEST_FPERIOD_OVERRIDE=FQ","FILING_STATUS=OR","EQY_CONSOLIDATED=Y","Sort=A","Dates=H","DateFormat=P","Fill=—","Direction=H","UseDPDF=Y")</f>
        <v>#NAME?</v>
      </c>
      <c r="AA451" s="2" t="e">
        <f ca="1">_xll.BDH($C$428,"INVENTORY_GROWTH","FQ3 2018","FQ3 2018","Currency=INR","Period=FQ","BEST_FPERIOD_OVERRIDE=FQ","FILING_STATUS=OR","EQY_CONSOLIDATED=Y","Sort=A","Dates=H","DateFormat=P","Fill=—","Direction=H","UseDPDF=Y")</f>
        <v>#NAME?</v>
      </c>
      <c r="AB451" s="2" t="e">
        <f ca="1">_xll.BDH($C$428,"NET_FIXED_ASSETS_1_YEAR_GROWTH","FQ3 2018","FQ3 2018","Currency=INR","Period=FQ","BEST_FPERIOD_OVERRIDE=FQ","FILING_STATUS=OR","EQY_CONSOLIDATED=Y","Sort=A","Dates=H","DateFormat=P","Fill=—","Direction=H","UseDPDF=Y")</f>
        <v>#NAME?</v>
      </c>
      <c r="AC451" s="2" t="e">
        <f ca="1">_xll.BDH($C$428,"ASSET_GROWTH","FQ3 2018","FQ3 2018","Currency=INR","Period=FQ","BEST_FPERIOD_OVERRIDE=FQ","FILING_STATUS=OR","EQY_CONSOLIDATED=Y","Sort=A","Dates=H","DateFormat=P","Fill=—","Direction=H","UseDPDF=Y")</f>
        <v>#NAME?</v>
      </c>
      <c r="AD451" s="2" t="e">
        <f ca="1">_xll.BDH($C$428,"MODIFIED_WORK_CAP_GROWTH","FQ3 2018","FQ3 2018","Currency=INR","Period=FQ","BEST_FPERIOD_OVERRIDE=FQ","FILING_STATUS=OR","EQY_CONSOLIDATED=Y","Sort=A","Dates=H","DateFormat=P","Fill=—","Direction=H","UseDPDF=Y")</f>
        <v>#NAME?</v>
      </c>
      <c r="AE451" s="2" t="e">
        <f ca="1">_xll.BDH($C$428,"WORK_CAP_GROWTH","FQ3 2018","FQ3 2018","Currency=INR","Period=FQ","BEST_FPERIOD_OVERRIDE=FQ","FILING_STATUS=OR","EQY_CONSOLIDATED=Y","Sort=A","Dates=H","DateFormat=P","Fill=—","Direction=H","UseDPDF=Y")</f>
        <v>#NAME?</v>
      </c>
      <c r="AF451" s="2" t="e">
        <f ca="1">_xll.BDH($C$428,"ACCOUNTS_PAYABLE_GROWTH_1YR","FQ3 2018","FQ3 2018","Currency=INR","Period=FQ","BEST_FPERIOD_OVERRIDE=FQ","FILING_STATUS=OR","EQY_CONSOLIDATED=Y","Sort=A","Dates=H","DateFormat=P","Fill=—","Direction=H","UseDPDF=Y")</f>
        <v>#NAME?</v>
      </c>
      <c r="AG451" s="2" t="e">
        <f ca="1">_xll.BDH($C$428,"SHORT_TERM_DEBT_1_YEAR_GROWTH","FQ3 2018","FQ3 2018","Currency=INR","Period=FQ","BEST_FPERIOD_OVERRIDE=FQ","FILING_STATUS=OR","EQY_CONSOLIDATED=Y","Sort=A","Dates=H","DateFormat=P","Fill=—","Direction=H","UseDPDF=Y")</f>
        <v>#NAME?</v>
      </c>
      <c r="AH451" s="2" t="e">
        <f ca="1">_xll.BDH($C$428,"TOTAL_DEBT_1_YEAR_GROWTH","FQ3 2018","FQ3 2018","Currency=INR","Period=FQ","BEST_FPERIOD_OVERRIDE=FQ","FILING_STATUS=OR","EQY_CONSOLIDATED=Y","Sort=A","Dates=H","DateFormat=P","Fill=—","Direction=H","UseDPDF=Y")</f>
        <v>#NAME?</v>
      </c>
      <c r="AI451" s="2" t="e">
        <f ca="1">_xll.BDH($C$428,"TOTAL_EQUITY_1_YEAR_GROWTH","FQ3 2018","FQ3 2018","Currency=INR","Period=FQ","BEST_FPERIOD_OVERRIDE=FQ","FILING_STATUS=OR","EQY_CONSOLIDATED=Y","Sort=A","Dates=H","DateFormat=P","Fill=—","Direction=H","UseDPDF=Y")</f>
        <v>#NAME?</v>
      </c>
      <c r="AJ451" s="2" t="e">
        <f ca="1">_xll.BDH($C$428,"GROWTH_IN_CAP","FQ3 2018","FQ3 2018","Currency=INR","Period=FQ","BEST_FPERIOD_OVERRIDE=FQ","FILING_STATUS=OR","EQY_CONSOLIDATED=Y","Sort=A","Dates=H","DateFormat=P","Fill=—","Direction=H","UseDPDF=Y")</f>
        <v>#NAME?</v>
      </c>
      <c r="AK451" s="2" t="e">
        <f ca="1">_xll.BDH($C$428,"BVPS_GROWTH","FQ3 2018","FQ3 2018","Currency=INR","Period=FQ","BEST_FPERIOD_OVERRIDE=FQ","FILING_STATUS=OR","EQY_CONSOLIDATED=Y","Sort=A","Dates=H","DateFormat=P","Fill=—","Direction=H","UseDPDF=Y")</f>
        <v>#NAME?</v>
      </c>
      <c r="AL451" s="2" t="e">
        <f ca="1">_xll.BDH($C$428,"CASH_FLOW_GROWTH","FQ3 2018","FQ3 2018","Currency=INR","Period=FQ","BEST_FPERIOD_OVERRIDE=FQ","FILING_STATUS=OR","EQY_CONSOLIDATED=Y","Sort=A","Dates=H","DateFormat=P","Fill=—","Direction=H","UseDPDF=Y")</f>
        <v>#NAME?</v>
      </c>
      <c r="AM451" s="2" t="e">
        <f ca="1">_xll.BDH($C$428,"GEO_GROW_NET_SALES","FQ3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51" s="2" t="e">
        <f ca="1">_xll.BDH($C$428,"GEO_GROW_EBITDA","FQ3 2018","FQ3 2018","Currency=INR","Period=FQ","BEST_FPERIOD_OVERRIDE=FQ","FILING_STATUS=OR","EQY_CONSOLIDATED=Y","FA_ADJUSTED=GAAP","Sort=A","Dates=H","DateFormat=P","Fill=—","Direction=H","UseDPDF=Y")</f>
        <v>#NAME?</v>
      </c>
      <c r="AO451" s="2" t="e">
        <f ca="1">_xll.BDH($C$428,"GEO_GROW_OPER_INC","FQ3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51" s="2" t="e">
        <f ca="1">_xll.BDH($C$428,"NET_INCOME_TO_COMMON_5_YR_GROWTH","FQ3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51" s="2" t="e">
        <f ca="1">_xll.BDH($C$428,"5Y_GEO_GROWTH_DILUTED_EPS","FQ3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51" s="2" t="e">
        <f ca="1">_xll.BDH($C$428,"GEO_GROW_DVD_PER_SH","FQ3 2018","FQ3 2018","Currency=INR","Period=FQ","BEST_FPERIOD_OVERRIDE=FQ","FILING_STATUS=OR","EQY_CONSOLIDATED=Y","Sort=A","Dates=H","DateFormat=P","Fill=—","Direction=H","UseDPDF=Y")</f>
        <v>#NAME?</v>
      </c>
      <c r="AS451" s="2" t="e">
        <f ca="1">_xll.BDH($C$428,"ACCOUNTS_RECEIVABLE_5_YR_GROWTH","FQ3 2018","FQ3 2018","Currency=INR","Period=FQ","BEST_FPERIOD_OVERRIDE=FQ","FILING_STATUS=OR","EQY_CONSOLIDATED=Y","Sort=A","Dates=H","DateFormat=P","Fill=—","Direction=H","UseDPDF=Y")</f>
        <v>#NAME?</v>
      </c>
      <c r="AT451" s="2" t="e">
        <f ca="1">_xll.BDH($C$428,"INVENTORY_5_YEAR_GROWTH","FQ3 2018","FQ3 2018","Currency=INR","Period=FQ","BEST_FPERIOD_OVERRIDE=FQ","FILING_STATUS=OR","EQY_CONSOLIDATED=Y","Sort=A","Dates=H","DateFormat=P","Fill=—","Direction=H","UseDPDF=Y")</f>
        <v>#NAME?</v>
      </c>
      <c r="AU451" s="2" t="e">
        <f ca="1">_xll.BDH($C$428,"NET_FIXED_ASSETS_5_YEAR_GROWTH","FQ3 2018","FQ3 2018","Currency=INR","Period=FQ","BEST_FPERIOD_OVERRIDE=FQ","FILING_STATUS=OR","EQY_CONSOLIDATED=Y","Sort=A","Dates=H","DateFormat=P","Fill=—","Direction=H","UseDPDF=Y")</f>
        <v>#NAME?</v>
      </c>
      <c r="AV451" s="2" t="e">
        <f ca="1">_xll.BDH($C$428,"GEO_GROW_TOT_ASSET","FQ3 2018","FQ3 2018","Currency=INR","Period=FQ","BEST_FPERIOD_OVERRIDE=FQ","FILING_STATUS=OR","EQY_CONSOLIDATED=Y","Sort=A","Dates=H","DateFormat=P","Fill=—","Direction=H","UseDPDF=Y")</f>
        <v>#NAME?</v>
      </c>
      <c r="AW451" s="2" t="e">
        <f ca="1">_xll.BDH($C$428,"MODIFIED_WORKING_CPTL_5YR_GRWTH","FQ3 2018","FQ3 2018","Currency=INR","Period=FQ","BEST_FPERIOD_OVERRIDE=FQ","FILING_STATUS=OR","EQY_CONSOLIDATED=Y","Sort=A","Dates=H","DateFormat=P","Fill=—","Direction=H","UseDPDF=Y")</f>
        <v>#NAME?</v>
      </c>
      <c r="AX451" s="2" t="e">
        <f ca="1">_xll.BDH($C$428,"WORKING_CAPITAL_5_YEAR_GROWTH","FQ3 2018","FQ3 2018","Currency=INR","Period=FQ","BEST_FPERIOD_OVERRIDE=FQ","FILING_STATUS=OR","EQY_CONSOLIDATED=Y","Sort=A","Dates=H","DateFormat=P","Fill=—","Direction=H","UseDPDF=Y")</f>
        <v>#NAME?</v>
      </c>
      <c r="AY451" s="2" t="e">
        <f ca="1">_xll.BDH($C$428,"ACCOUNTS_PAYABLE_5_YEAR_GROWTH","FQ3 2018","FQ3 2018","Currency=INR","Period=FQ","BEST_FPERIOD_OVERRIDE=FQ","FILING_STATUS=OR","EQY_CONSOLIDATED=Y","Sort=A","Dates=H","DateFormat=P","Fill=—","Direction=H","UseDPDF=Y")</f>
        <v>#NAME?</v>
      </c>
      <c r="AZ451" s="2" t="e">
        <f ca="1">_xll.BDH($C$428,"SHORT_TERM_DEBT_5_YEAR_GROWTH","FQ3 2018","FQ3 2018","Currency=INR","Period=FQ","BEST_FPERIOD_OVERRIDE=FQ","FILING_STATUS=OR","EQY_CONSOLIDATED=Y","Sort=A","Dates=H","DateFormat=P","Fill=—","Direction=H","UseDPDF=Y")</f>
        <v>#NAME?</v>
      </c>
      <c r="BA451" s="2" t="e">
        <f ca="1">_xll.BDH($C$428,"TOTAL_DEBT_5_YEAR_GROWTH","FQ3 2018","FQ3 2018","Currency=INR","Period=FQ","BEST_FPERIOD_OVERRIDE=FQ","FILING_STATUS=OR","EQY_CONSOLIDATED=Y","Sort=A","Dates=H","DateFormat=P","Fill=—","Direction=H","UseDPDF=Y")</f>
        <v>#NAME?</v>
      </c>
      <c r="BB451" s="2" t="e">
        <f ca="1">_xll.BDH($C$428,"GEO_GROW_TOT_SHRHLDR_EQY","FQ3 2018","FQ3 2018","Currency=INR","Period=FQ","BEST_FPERIOD_OVERRIDE=FQ","FILING_STATUS=OR","EQY_CONSOLIDATED=Y","Sort=A","Dates=H","DateFormat=P","Fill=—","Direction=H","UseDPDF=Y")</f>
        <v>#NAME?</v>
      </c>
      <c r="BC451" s="2" t="e">
        <f ca="1">_xll.BDH($C$428,"TOTAL_CAPITAL_5_YEAR_GROWTH","FQ3 2018","FQ3 2018","Currency=INR","Period=FQ","BEST_FPERIOD_OVERRIDE=FQ","FILING_STATUS=OR","EQY_CONSOLIDATED=Y","Sort=A","Dates=H","DateFormat=P","Fill=—","Direction=H","UseDPDF=Y")</f>
        <v>#NAME?</v>
      </c>
      <c r="BD451" s="2" t="e">
        <f ca="1">_xll.BDH($C$428,"GEO_GROW_BOOK_VAL","FQ3 2018","FQ3 2018","Currency=INR","Period=FQ","BEST_FPERIOD_OVERRIDE=FQ","FILING_STATUS=OR","EQY_CONSOLIDATED=Y","Sort=A","Dates=H","DateFormat=P","Fill=—","Direction=H","UseDPDF=Y")</f>
        <v>#NAME?</v>
      </c>
      <c r="BE451" s="2" t="e">
        <f ca="1">_xll.BDH($C$428,"GEO_GROW_CASH_OPER_ACT","FQ3 2018","FQ3 2018","Currency=INR","Period=FQ","BEST_FPERIOD_OVERRIDE=FQ","FILING_STATUS=OR","EQY_CONSOLIDATED=Y","Sort=A","Dates=H","DateFormat=P","Fill=—","Direction=H","UseDPDF=Y")</f>
        <v>#NAME?</v>
      </c>
      <c r="BF451" s="2" t="e">
        <f ca="1">_xll.BDH($C$428,"REVENUE_SEQUENTIAL_GROWTH","FQ3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51" s="2" t="e">
        <f ca="1">_xll.BDH($C$428,"EBITDA_SEQUENTIAL_GROWTH","FQ3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51" s="2" t="e">
        <f ca="1">_xll.BDH($C$428,"OPERATING_INCOME_SEQ_GROWTH","FQ3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51" s="2" t="e">
        <f ca="1">_xll.BDH($C$428,"NET_INCOME_TO_COMMON_SEQ_GROWTH","FQ3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51" s="2" t="e">
        <f ca="1">_xll.BDH($C$428,"EPS_DILUTED_SEQUENTIAL_GROWTH","FQ3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51" s="2" t="e">
        <f ca="1">_xll.BDH($C$428,"DPS_SEQUENTIAL_GROWTH","FQ3 2018","FQ3 2018","Currency=INR","Period=FQ","BEST_FPERIOD_OVERRIDE=FQ","FILING_STATUS=OR","EQY_CONSOLIDATED=Y","Sort=A","Dates=H","DateFormat=P","Fill=—","Direction=H","UseDPDF=Y")</f>
        <v>#NAME?</v>
      </c>
      <c r="BL451" s="2" t="e">
        <f ca="1">_xll.BDH($C$428,"ACCOUNTS_RECEIVABLE_SEQ_GROWTH","FQ3 2018","FQ3 2018","Currency=INR","Period=FQ","BEST_FPERIOD_OVERRIDE=FQ","FILING_STATUS=OR","EQY_CONSOLIDATED=Y","Sort=A","Dates=H","DateFormat=P","Fill=—","Direction=H","UseDPDF=Y")</f>
        <v>#NAME?</v>
      </c>
      <c r="BM451" s="2" t="e">
        <f ca="1">_xll.BDH($C$428,"INVENTORY_SEQUENTIAL_GROWTH","FQ3 2018","FQ3 2018","Currency=INR","Period=FQ","BEST_FPERIOD_OVERRIDE=FQ","FILING_STATUS=OR","EQY_CONSOLIDATED=Y","Sort=A","Dates=H","DateFormat=P","Fill=—","Direction=H","UseDPDF=Y")</f>
        <v>#NAME?</v>
      </c>
      <c r="BN451" s="2" t="e">
        <f ca="1">_xll.BDH($C$428,"FIXED_ASSETS_SEQUENTIAL_GROWTH","FQ3 2018","FQ3 2018","Currency=INR","Period=FQ","BEST_FPERIOD_OVERRIDE=FQ","FILING_STATUS=OR","EQY_CONSOLIDATED=Y","Sort=A","Dates=H","DateFormat=P","Fill=—","Direction=H","UseDPDF=Y")</f>
        <v>#NAME?</v>
      </c>
      <c r="BO451" s="2" t="e">
        <f ca="1">_xll.BDH($C$428,"TOTAL_ASSETS_SEQUENTIAL_GROWTH","FQ3 2018","FQ3 2018","Currency=INR","Period=FQ","BEST_FPERIOD_OVERRIDE=FQ","FILING_STATUS=OR","EQY_CONSOLIDATED=Y","Sort=A","Dates=H","DateFormat=P","Fill=—","Direction=H","UseDPDF=Y")</f>
        <v>#NAME?</v>
      </c>
      <c r="BP451" s="2" t="e">
        <f ca="1">_xll.BDH($C$428,"MODIFIED_WORKING_CPTL_SEQ_GRWTH","FQ3 2018","FQ3 2018","Currency=INR","Period=FQ","BEST_FPERIOD_OVERRIDE=FQ","FILING_STATUS=OR","EQY_CONSOLIDATED=Y","Sort=A","Dates=H","DateFormat=P","Fill=—","Direction=H","UseDPDF=Y")</f>
        <v>#NAME?</v>
      </c>
      <c r="BQ451" s="2" t="e">
        <f ca="1">_xll.BDH($C$428,"WORKING_CAPITAL_SEQ_GROWTH","FQ3 2018","FQ3 2018","Currency=INR","Period=FQ","BEST_FPERIOD_OVERRIDE=FQ","FILING_STATUS=OR","EQY_CONSOLIDATED=Y","Sort=A","Dates=H","DateFormat=P","Fill=—","Direction=H","UseDPDF=Y")</f>
        <v>#NAME?</v>
      </c>
      <c r="BR451" s="2" t="e">
        <f ca="1">_xll.BDH($C$428,"ACCOUNTS_PAYABLE_SEQ_GROWTH","FQ3 2018","FQ3 2018","Currency=INR","Period=FQ","BEST_FPERIOD_OVERRIDE=FQ","FILING_STATUS=OR","EQY_CONSOLIDATED=Y","Sort=A","Dates=H","DateFormat=P","Fill=—","Direction=H","UseDPDF=Y")</f>
        <v>#NAME?</v>
      </c>
      <c r="BS451" s="2" t="e">
        <f ca="1">_xll.BDH($C$428,"ST_DEBT_SEQUENTIAL_GROWTH","FQ3 2018","FQ3 2018","Currency=INR","Period=FQ","BEST_FPERIOD_OVERRIDE=FQ","FILING_STATUS=OR","EQY_CONSOLIDATED=Y","Sort=A","Dates=H","DateFormat=P","Fill=—","Direction=H","UseDPDF=Y")</f>
        <v>#NAME?</v>
      </c>
      <c r="BT451" s="2" t="e">
        <f ca="1">_xll.BDH($C$428,"TOTAL_DEBT_SEQUENTIAL_GROWTH","FQ3 2018","FQ3 2018","Currency=INR","Period=FQ","BEST_FPERIOD_OVERRIDE=FQ","FILING_STATUS=OR","EQY_CONSOLIDATED=Y","Sort=A","Dates=H","DateFormat=P","Fill=—","Direction=H","UseDPDF=Y")</f>
        <v>#NAME?</v>
      </c>
      <c r="BU451" s="2" t="e">
        <f ca="1">_xll.BDH($C$428,"TOTAL_EQUITY_SEQUENTIAL_GROWTH","FQ3 2018","FQ3 2018","Currency=INR","Period=FQ","BEST_FPERIOD_OVERRIDE=FQ","FILING_STATUS=OR","EQY_CONSOLIDATED=Y","Sort=A","Dates=H","DateFormat=P","Fill=—","Direction=H","UseDPDF=Y")</f>
        <v>#NAME?</v>
      </c>
      <c r="BV451" s="2" t="e">
        <f ca="1">_xll.BDH($C$428,"TOTAL_CAPITAL_SEQUENTIAL_GROWTH","FQ3 2018","FQ3 2018","Currency=INR","Period=FQ","BEST_FPERIOD_OVERRIDE=FQ","FILING_STATUS=OR","EQY_CONSOLIDATED=Y","Sort=A","Dates=H","DateFormat=P","Fill=—","Direction=H","UseDPDF=Y")</f>
        <v>#NAME?</v>
      </c>
      <c r="BW451" s="2" t="e">
        <f ca="1">_xll.BDH($C$428,"BPS_SEQUENTIAL_GROWTH","FQ3 2018","FQ3 2018","Currency=INR","Period=FQ","BEST_FPERIOD_OVERRIDE=FQ","FILING_STATUS=OR","EQY_CONSOLIDATED=Y","Sort=A","Dates=H","DateFormat=P","Fill=—","Direction=H","UseDPDF=Y")</f>
        <v>#NAME?</v>
      </c>
      <c r="BX451" s="2" t="e">
        <f ca="1">_xll.BDH($C$428,"CFO_SEQUENTIAL_GROWTH","FQ3 2018","FQ3 2018","Currency=INR","Period=FQ","BEST_FPERIOD_OVERRIDE=FQ","FILING_STATUS=OR","EQY_CONSOLIDATED=Y","Sort=A","Dates=H","DateFormat=P","Fill=—","Direction=H","UseDPDF=Y")</f>
        <v>#NAME?</v>
      </c>
      <c r="BY451" s="3" t="e">
        <f ca="1">_xll.BDH($C$428,"SHORT_AND_LONG_TERM_DEBT","FQ3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51" s="3" t="e">
        <f ca="1">_xll.BDH($C$428,"BS_ST_BORROW","FQ3 2018","FQ3 2018","Currency=INR","Period=FQ","BEST_FPERIOD_OVERRIDE=FQ","FILING_STATUS=OR","EQY_CONSOLIDATED=Y","SCALING_FORMAT=MLN","Sort=A","Dates=H","DateFormat=P","Fill=—","Direction=H","UseDPDF=Y")</f>
        <v>#NAME?</v>
      </c>
      <c r="CA451" s="3" t="e">
        <f ca="1">_xll.BDH($C$428,"BS_LT_BORROW","FQ3 2018","FQ3 2018","Currency=INR","Period=FQ","BEST_FPERIOD_OVERRIDE=FQ","FILING_STATUS=OR","EQY_CONSOLIDATED=Y","SCALING_FORMAT=MLN","Sort=A","Dates=H","DateFormat=P","Fill=—","Direction=H","UseDPDF=Y")</f>
        <v>#NAME?</v>
      </c>
      <c r="CB451" s="2" t="e">
        <f ca="1">_xll.BDH($C$428,"TOT_DEBT_TO_EBITDA","FQ3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51" s="2" t="e">
        <f ca="1">_xll.BDH($C$428,"NET_DEBT_TO_EBITDA","FQ3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51" s="2" t="e">
        <f ca="1">_xll.BDH($C$428,"TOTAL_DEBT_TO_EBIT","FQ3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51" s="2" t="e">
        <f ca="1">_xll.BDH($C$428,"NET_DEBT_TO_EBIT","FQ3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451" s="2" t="e">
        <f ca="1">_xll.BDH($C$428,"EBITDA_TO_INTEREST_EXPN","FQ3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51" s="2" t="e">
        <f ca="1">_xll.BDH($C$428,"COM_EQY_TO_TOT_ASSET","FQ3 2018","FQ3 2018","Currency=INR","Period=FQ","BEST_FPERIOD_OVERRIDE=FQ","FILING_STATUS=OR","EQY_CONSOLIDATED=Y","Sort=A","Dates=H","DateFormat=P","Fill=—","Direction=H","UseDPDF=Y")</f>
        <v>#NAME?</v>
      </c>
      <c r="CH451" s="2" t="e">
        <f ca="1">_xll.BDH($C$428,"LT_DEBT_TO_TOT_EQY","FQ3 2018","FQ3 2018","Currency=INR","Period=FQ","BEST_FPERIOD_OVERRIDE=FQ","FILING_STATUS=OR","EQY_CONSOLIDATED=Y","Sort=A","Dates=H","DateFormat=P","Fill=—","Direction=H","UseDPDF=Y")</f>
        <v>#NAME?</v>
      </c>
      <c r="CI451" s="2" t="e">
        <f ca="1">_xll.BDH($C$428,"LT_DEBT_TO_TOT_CAP","FQ3 2018","FQ3 2018","Currency=INR","Period=FQ","BEST_FPERIOD_OVERRIDE=FQ","FILING_STATUS=OR","EQY_CONSOLIDATED=Y","Sort=A","Dates=H","DateFormat=P","Fill=—","Direction=H","UseDPDF=Y")</f>
        <v>#NAME?</v>
      </c>
      <c r="CJ451" s="2" t="e">
        <f ca="1">_xll.BDH($C$428,"LT_DEBT_TO_TOT_ASSET","FQ3 2018","FQ3 2018","Currency=INR","Period=FQ","BEST_FPERIOD_OVERRIDE=FQ","FILING_STATUS=OR","EQY_CONSOLIDATED=Y","Sort=A","Dates=H","DateFormat=P","Fill=—","Direction=H","UseDPDF=Y")</f>
        <v>#NAME?</v>
      </c>
      <c r="CK451" s="2" t="e">
        <f ca="1">_xll.BDH($C$428,"TOT_DEBT_TO_TOT_EQY","FQ3 2018","FQ3 2018","Currency=INR","Period=FQ","BEST_FPERIOD_OVERRIDE=FQ","FILING_STATUS=OR","EQY_CONSOLIDATED=Y","Sort=A","Dates=H","DateFormat=P","Fill=—","Direction=H","UseDPDF=Y")</f>
        <v>#NAME?</v>
      </c>
      <c r="CL451" s="2" t="e">
        <f ca="1">_xll.BDH($C$428,"TOT_DEBT_TO_TOT_CAP","FQ3 2018","FQ3 2018","Currency=INR","Period=FQ","BEST_FPERIOD_OVERRIDE=FQ","FILING_STATUS=OR","EQY_CONSOLIDATED=Y","Sort=A","Dates=H","DateFormat=P","Fill=—","Direction=H","UseDPDF=Y")</f>
        <v>#NAME?</v>
      </c>
      <c r="CM451" s="2" t="e">
        <f ca="1">_xll.BDH($C$428,"TOT_DEBT_TO_TOT_ASSET","FQ3 2018","FQ3 2018","Currency=INR","Period=FQ","BEST_FPERIOD_OVERRIDE=FQ","FILING_STATUS=OR","EQY_CONSOLIDATED=Y","Sort=A","Dates=H","DateFormat=P","Fill=—","Direction=H","UseDPDF=Y")</f>
        <v>#NAME?</v>
      </c>
      <c r="CN451" s="2" t="e">
        <f ca="1">_xll.BDH($C$428,"NET_DEBT_TO_SHRHLDR_EQTY","FQ3 2018","FQ3 2018","Currency=INR","Period=FQ","BEST_FPERIOD_OVERRIDE=FQ","FILING_STATUS=OR","EQY_CONSOLIDATED=Y","Sort=A","Dates=H","DateFormat=P","Fill=—","Direction=H","UseDPDF=Y")</f>
        <v>#NAME?</v>
      </c>
      <c r="CO451" s="2" t="e">
        <f ca="1">_xll.BDH($C$428,"NET_DEBT_%_CAPITAL","FQ3 2018","FQ3 2018","Currency=INR","Period=FQ","BEST_FPERIOD_OVERRIDE=FQ","FILING_STATUS=OR","EQY_CONSOLIDATED=Y","Sort=A","Dates=H","DateFormat=P","Fill=—","Direction=H","UseDPDF=Y")</f>
        <v>#NAME?</v>
      </c>
      <c r="CP451" s="3" t="e">
        <f ca="1">_xll.BDH($C$428,"EBITDA","FQ3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51" s="3" t="e">
        <f ca="1">_xll.BDH($C$428,"EBITDA_AFTER_CAPEX","FQ3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51" s="3" t="e">
        <f ca="1">_xll.BDH($C$428,"IS_OPER_INC","FQ3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51" s="2" t="e">
        <f ca="1">_xll.BDH($C$428,"CASH_RATIO","FQ3 2018","FQ3 2018","Currency=INR","Period=FQ","BEST_FPERIOD_OVERRIDE=FQ","FILING_STATUS=OR","EQY_CONSOLIDATED=Y","Sort=A","Dates=H","DateFormat=P","Fill=—","Direction=H","UseDPDF=Y")</f>
        <v>#NAME?</v>
      </c>
      <c r="CT451" s="2" t="e">
        <f ca="1">_xll.BDH($C$428,"CUR_RATIO","FQ3 2018","FQ3 2018","Currency=INR","Period=FQ","BEST_FPERIOD_OVERRIDE=FQ","FILING_STATUS=OR","EQY_CONSOLIDATED=Y","Sort=A","Dates=H","DateFormat=P","Fill=—","Direction=H","UseDPDF=Y")</f>
        <v>#NAME?</v>
      </c>
      <c r="CU451" s="2" t="e">
        <f ca="1">_xll.BDH($C$428,"QUICK_RATIO","FQ3 2018","FQ3 2018","Currency=INR","Period=FQ","BEST_FPERIOD_OVERRIDE=FQ","FILING_STATUS=OR","EQY_CONSOLIDATED=Y","Sort=A","Dates=H","DateFormat=P","Fill=—","Direction=H","UseDPDF=Y")</f>
        <v>#NAME?</v>
      </c>
      <c r="CV451" s="2" t="e">
        <f ca="1">_xll.BDH($C$428,"ALTMAN_Z_SCORE","FQ3 2018","FQ3 2018","Currency=INR","Period=FQ","BEST_FPERIOD_OVERRIDE=FQ","FILING_STATUS=OR","EQY_CONSOLIDATED=Y","Sort=A","Dates=H","DateFormat=P","Fill=—","Direction=H","UseDPDF=Y")</f>
        <v>#NAME?</v>
      </c>
      <c r="CW451" s="4" t="e">
        <f ca="1">_xll.BDH($C$428,"ACCT_RCV_TURN","FQ3 2018","FQ3 2018","Currency=INR","Period=FQ","BEST_FPERIOD_OVERRIDE=FQ","FILING_STATUS=OR","EQY_CONSOLIDATED=Y","FA_ADJUSTED=GAAP","Sort=A","Dates=H","DateFormat=P","Fill=—","Direction=H","UseDPDF=Y")</f>
        <v>#NAME?</v>
      </c>
      <c r="CX451" s="2" t="e">
        <f ca="1">_xll.BDH($C$428,"ACCT_RCV_DAYS","FQ3 2018","FQ3 2018","Currency=INR","Period=FQ","BEST_FPERIOD_OVERRIDE=FQ","FILING_STATUS=OR","EQY_CONSOLIDATED=Y","FA_ADJUSTED=GAAP","Sort=A","Dates=H","DateFormat=P","Fill=—","Direction=H","UseDPDF=Y")</f>
        <v>#NAME?</v>
      </c>
      <c r="CY451" s="4" t="e">
        <f ca="1">_xll.BDH($C$428,"INVENT_TURN","FQ3 2018","FQ3 2018","Currency=INR","Period=FQ","BEST_FPERIOD_OVERRIDE=FQ","FILING_STATUS=OR","EQY_CONSOLIDATED=Y","FA_ADJUSTED=GAAP","Sort=A","Dates=H","DateFormat=P","Fill=—","Direction=H","UseDPDF=Y")</f>
        <v>#NAME?</v>
      </c>
      <c r="CZ451" s="2" t="e">
        <f ca="1">_xll.BDH($C$428,"INVENT_DAYS","FQ3 2018","FQ3 2018","Currency=INR","Period=FQ","BEST_FPERIOD_OVERRIDE=FQ","FILING_STATUS=OR","EQY_CONSOLIDATED=Y","FA_ADJUSTED=GAAP","Sort=A","Dates=H","DateFormat=P","Fill=—","Direction=H","UseDPDF=Y")</f>
        <v>#NAME?</v>
      </c>
      <c r="DA451" s="4" t="e">
        <f ca="1">_xll.BDH($C$428,"ACCOUNTS_PAYABLE_TURNOVER","FQ3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51" s="2" t="e">
        <f ca="1">_xll.BDH($C$428,"ACCOUNTS_PAYABLE_TURNOVER_DAYS","FQ3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51" s="4" t="e">
        <f ca="1">_xll.BDH($C$428,"CASH_CONVERSION_CYCLE","FQ3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51" s="4" t="e">
        <f ca="1">_xll.BDH($C$428,"INV_TO_CASH_DAYS","FQ3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451" s="5" t="e">
        <f ca="1">_xll.BDH($C$428,"BS_INVENTORIES","FQ3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451" s="3" t="e">
        <f ca="1">_xll.BDH($C$428,"INVTRY_RAW_MATERIALS","FQ3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51" s="3" t="e">
        <f ca="1">_xll.BDH($C$428,"INVTRY_IN_PROGRESS","FQ3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51" s="3" t="e">
        <f ca="1">_xll.BDH($C$428,"INVTRY_FINISHED_GOODS","FQ3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51" s="3" t="e">
        <f ca="1">_xll.BDH($C$428,"BS_OTHER_INV","FQ3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52" spans="1:113" x14ac:dyDescent="0.3">
      <c r="A452" s="6"/>
      <c r="B452" s="6"/>
      <c r="C452" s="6"/>
      <c r="D452" s="6"/>
      <c r="E452" t="s">
        <v>81</v>
      </c>
      <c r="F452" t="e">
        <f ca="1">_xll.BDH($C$428,"RETURN_COM_EQY","FQ4 2018","FQ4 2018","Currency=INR","Period=FQ","BEST_FPERIOD_OVERRIDE=FQ","FILING_STATUS=OR","EQY_CONSOLIDATED=Y","FA_ADJUSTED=GAAP","Sort=A","Dates=H","DateFormat=P","Fill=—","Direction=H","UseDPDF=Y")</f>
        <v>#NAME?</v>
      </c>
      <c r="G452" t="e">
        <f ca="1">_xll.BDH($C$428,"RETURN_ON_ASSET","FQ4 2018","FQ4 2018","Currency=INR","Period=FQ","BEST_FPERIOD_OVERRIDE=FQ","FILING_STATUS=OR","EQY_CONSOLIDATED=Y","FA_ADJUSTED=GAAP","Sort=A","Dates=H","DateFormat=P","Fill=—","Direction=H","UseDPDF=Y")</f>
        <v>#NAME?</v>
      </c>
      <c r="H452" t="e">
        <f ca="1">_xll.BDH($C$428,"RETURN_ON_CAP","FQ4 2018","FQ4 2018","Currency=INR","Period=FQ","BEST_FPERIOD_OVERRIDE=FQ","FILING_STATUS=OR","EQY_CONSOLIDATED=Y","FA_ADJUSTED=GAAP","Sort=A","Dates=H","DateFormat=P","Fill=—","Direction=H","UseDPDF=Y")</f>
        <v>#NAME?</v>
      </c>
      <c r="I452" t="e">
        <f ca="1">_xll.BDH($C$428,"RETURN_ON_INV_CAPITAL","FQ4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52" t="e">
        <f ca="1">_xll.BDH($C$428,"EBITDA_TO_REVENUE","FQ4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452" t="e">
        <f ca="1">_xll.BDH($C$428,"OPER_MARGIN","FQ4 2018","FQ4 2018","Currency=INR","Period=FQ","BEST_FPERIOD_OVERRIDE=FQ","FILING_STATUS=OR","EQY_CONSOLIDATED=Y","FA_ADJUSTED=GAAP","Sort=A","Dates=H","DateFormat=P","Fill=—","Direction=H","UseDPDF=Y")</f>
        <v>#NAME?</v>
      </c>
      <c r="L452" t="e">
        <f ca="1">_xll.BDH($C$428,"INCREMENTAL_OPERATING_MARGIN","FQ4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52" t="e">
        <f ca="1">_xll.BDH($C$428,"PRETAX_INC_TO_NET_SALES","FQ4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52" t="e">
        <f ca="1">_xll.BDH($C$428,"INC_BEF_XO_ITEMS_TO_NET_SALES","FQ4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52" t="e">
        <f ca="1">_xll.BDH($C$428,"PROF_MARGIN","FQ4 2018","FQ4 2018","Currency=INR","Period=FQ","BEST_FPERIOD_OVERRIDE=FQ","FILING_STATUS=OR","EQY_CONSOLIDATED=Y","FA_ADJUSTED=GAAP","Sort=A","Dates=H","DateFormat=P","Fill=—","Direction=H","UseDPDF=Y")</f>
        <v>#NAME?</v>
      </c>
      <c r="P452" t="e">
        <f ca="1">_xll.BDH($C$428,"NET_INCOME_TO_COMMON_MARGIN","FQ4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52" t="e">
        <f ca="1">_xll.BDH($C$428,"EFF_TAX_RATE","FQ4 2018","FQ4 2018","Currency=INR","Period=FQ","BEST_FPERIOD_OVERRIDE=FQ","FILING_STATUS=OR","EQY_CONSOLIDATED=Y","FA_ADJUSTED=GAAP","Sort=A","Dates=H","DateFormat=P","Fill=—","Direction=H","UseDPDF=Y")</f>
        <v>#NAME?</v>
      </c>
      <c r="R452" t="e">
        <f ca="1">_xll.BDH($C$428,"DVD_PAYOUT_RATIO","FQ4 2018","FQ4 2018","Currency=INR","Period=FQ","BEST_FPERIOD_OVERRIDE=FQ","FILING_STATUS=OR","EQY_CONSOLIDATED=Y","FA_ADJUSTED=GAAP","Sort=A","Dates=H","DateFormat=P","Fill=—","Direction=H","UseDPDF=Y")</f>
        <v>#NAME?</v>
      </c>
      <c r="S452" t="e">
        <f ca="1">_xll.BDH($C$428,"SUSTAIN_GROWTH_RT","FQ4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452" s="2" t="e">
        <f ca="1">_xll.BDH($C$428,"SALES_GROWTH","FQ4 2018","FQ4 2018","Currency=INR","Period=FQ","BEST_FPERIOD_OVERRIDE=FQ","FILING_STATUS=OR","EQY_CONSOLIDATED=Y","FA_ADJUSTED=GAAP","Sort=A","Dates=H","DateFormat=P","Fill=—","Direction=H","UseDPDF=Y")</f>
        <v>#NAME?</v>
      </c>
      <c r="U452" s="2" t="e">
        <f ca="1">_xll.BDH($C$428,"EBITDA_GROWTH","FQ4 2018","FQ4 2018","Currency=INR","Period=FQ","BEST_FPERIOD_OVERRIDE=FQ","FILING_STATUS=OR","EQY_CONSOLIDATED=Y","FA_ADJUSTED=GAAP","Sort=A","Dates=H","DateFormat=P","Fill=—","Direction=H","UseDPDF=Y")</f>
        <v>#NAME?</v>
      </c>
      <c r="V452" s="2" t="e">
        <f ca="1">_xll.BDH($C$428,"OPER_INC_GROWTH","FQ4 2018","FQ4 2018","Currency=INR","Period=FQ","BEST_FPERIOD_OVERRIDE=FQ","FILING_STATUS=OR","EQY_CONSOLIDATED=Y","FA_ADJUSTED=GAAP","Sort=A","Dates=H","DateFormat=P","Fill=—","Direction=H","UseDPDF=Y")</f>
        <v>#NAME?</v>
      </c>
      <c r="W452" s="2" t="e">
        <f ca="1">_xll.BDH($C$428,"EARN_FOR_COM_GROWTH","FQ4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52" s="2" t="e">
        <f ca="1">_xll.BDH($C$428,"DILUTED_EPS_AFT_XO_ITEMS_GROWTH","FQ4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52" s="2" t="e">
        <f ca="1">_xll.BDH($C$428,"DIVIDEND_PER_SHARE_1_YEAR_GROWTH","FQ4 2018","FQ4 2018","Currency=INR","Period=FQ","BEST_FPERIOD_OVERRIDE=FQ","FILING_STATUS=OR","EQY_CONSOLIDATED=Y","Sort=A","Dates=H","DateFormat=P","Fill=—","Direction=H","UseDPDF=Y")</f>
        <v>#NAME?</v>
      </c>
      <c r="Z452" s="2" t="e">
        <f ca="1">_xll.BDH($C$428,"ACCOUNTS_RECEIVABLE_GROWTH","FQ4 2018","FQ4 2018","Currency=INR","Period=FQ","BEST_FPERIOD_OVERRIDE=FQ","FILING_STATUS=OR","EQY_CONSOLIDATED=Y","Sort=A","Dates=H","DateFormat=P","Fill=—","Direction=H","UseDPDF=Y")</f>
        <v>#NAME?</v>
      </c>
      <c r="AA452" s="2" t="e">
        <f ca="1">_xll.BDH($C$428,"INVENTORY_GROWTH","FQ4 2018","FQ4 2018","Currency=INR","Period=FQ","BEST_FPERIOD_OVERRIDE=FQ","FILING_STATUS=OR","EQY_CONSOLIDATED=Y","Sort=A","Dates=H","DateFormat=P","Fill=—","Direction=H","UseDPDF=Y")</f>
        <v>#NAME?</v>
      </c>
      <c r="AB452" s="2" t="e">
        <f ca="1">_xll.BDH($C$428,"NET_FIXED_ASSETS_1_YEAR_GROWTH","FQ4 2018","FQ4 2018","Currency=INR","Period=FQ","BEST_FPERIOD_OVERRIDE=FQ","FILING_STATUS=OR","EQY_CONSOLIDATED=Y","Sort=A","Dates=H","DateFormat=P","Fill=—","Direction=H","UseDPDF=Y")</f>
        <v>#NAME?</v>
      </c>
      <c r="AC452" s="2" t="e">
        <f ca="1">_xll.BDH($C$428,"ASSET_GROWTH","FQ4 2018","FQ4 2018","Currency=INR","Period=FQ","BEST_FPERIOD_OVERRIDE=FQ","FILING_STATUS=OR","EQY_CONSOLIDATED=Y","Sort=A","Dates=H","DateFormat=P","Fill=—","Direction=H","UseDPDF=Y")</f>
        <v>#NAME?</v>
      </c>
      <c r="AD452" s="2" t="e">
        <f ca="1">_xll.BDH($C$428,"MODIFIED_WORK_CAP_GROWTH","FQ4 2018","FQ4 2018","Currency=INR","Period=FQ","BEST_FPERIOD_OVERRIDE=FQ","FILING_STATUS=OR","EQY_CONSOLIDATED=Y","Sort=A","Dates=H","DateFormat=P","Fill=—","Direction=H","UseDPDF=Y")</f>
        <v>#NAME?</v>
      </c>
      <c r="AE452" s="2" t="e">
        <f ca="1">_xll.BDH($C$428,"WORK_CAP_GROWTH","FQ4 2018","FQ4 2018","Currency=INR","Period=FQ","BEST_FPERIOD_OVERRIDE=FQ","FILING_STATUS=OR","EQY_CONSOLIDATED=Y","Sort=A","Dates=H","DateFormat=P","Fill=—","Direction=H","UseDPDF=Y")</f>
        <v>#NAME?</v>
      </c>
      <c r="AF452" s="2" t="e">
        <f ca="1">_xll.BDH($C$428,"ACCOUNTS_PAYABLE_GROWTH_1YR","FQ4 2018","FQ4 2018","Currency=INR","Period=FQ","BEST_FPERIOD_OVERRIDE=FQ","FILING_STATUS=OR","EQY_CONSOLIDATED=Y","Sort=A","Dates=H","DateFormat=P","Fill=—","Direction=H","UseDPDF=Y")</f>
        <v>#NAME?</v>
      </c>
      <c r="AG452" s="2" t="e">
        <f ca="1">_xll.BDH($C$428,"SHORT_TERM_DEBT_1_YEAR_GROWTH","FQ4 2018","FQ4 2018","Currency=INR","Period=FQ","BEST_FPERIOD_OVERRIDE=FQ","FILING_STATUS=OR","EQY_CONSOLIDATED=Y","Sort=A","Dates=H","DateFormat=P","Fill=—","Direction=H","UseDPDF=Y")</f>
        <v>#NAME?</v>
      </c>
      <c r="AH452" s="2" t="e">
        <f ca="1">_xll.BDH($C$428,"TOTAL_DEBT_1_YEAR_GROWTH","FQ4 2018","FQ4 2018","Currency=INR","Period=FQ","BEST_FPERIOD_OVERRIDE=FQ","FILING_STATUS=OR","EQY_CONSOLIDATED=Y","Sort=A","Dates=H","DateFormat=P","Fill=—","Direction=H","UseDPDF=Y")</f>
        <v>#NAME?</v>
      </c>
      <c r="AI452" s="2" t="e">
        <f ca="1">_xll.BDH($C$428,"TOTAL_EQUITY_1_YEAR_GROWTH","FQ4 2018","FQ4 2018","Currency=INR","Period=FQ","BEST_FPERIOD_OVERRIDE=FQ","FILING_STATUS=OR","EQY_CONSOLIDATED=Y","Sort=A","Dates=H","DateFormat=P","Fill=—","Direction=H","UseDPDF=Y")</f>
        <v>#NAME?</v>
      </c>
      <c r="AJ452" s="2" t="e">
        <f ca="1">_xll.BDH($C$428,"GROWTH_IN_CAP","FQ4 2018","FQ4 2018","Currency=INR","Period=FQ","BEST_FPERIOD_OVERRIDE=FQ","FILING_STATUS=OR","EQY_CONSOLIDATED=Y","Sort=A","Dates=H","DateFormat=P","Fill=—","Direction=H","UseDPDF=Y")</f>
        <v>#NAME?</v>
      </c>
      <c r="AK452" s="2" t="e">
        <f ca="1">_xll.BDH($C$428,"BVPS_GROWTH","FQ4 2018","FQ4 2018","Currency=INR","Period=FQ","BEST_FPERIOD_OVERRIDE=FQ","FILING_STATUS=OR","EQY_CONSOLIDATED=Y","Sort=A","Dates=H","DateFormat=P","Fill=—","Direction=H","UseDPDF=Y")</f>
        <v>#NAME?</v>
      </c>
      <c r="AL452" s="2" t="e">
        <f ca="1">_xll.BDH($C$428,"CASH_FLOW_GROWTH","FQ4 2018","FQ4 2018","Currency=INR","Period=FQ","BEST_FPERIOD_OVERRIDE=FQ","FILING_STATUS=OR","EQY_CONSOLIDATED=Y","Sort=A","Dates=H","DateFormat=P","Fill=—","Direction=H","UseDPDF=Y")</f>
        <v>#NAME?</v>
      </c>
      <c r="AM452" s="2" t="e">
        <f ca="1">_xll.BDH($C$428,"GEO_GROW_NET_SALES","FQ4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52" s="2" t="e">
        <f ca="1">_xll.BDH($C$428,"GEO_GROW_EBITDA","FQ4 2018","FQ4 2018","Currency=INR","Period=FQ","BEST_FPERIOD_OVERRIDE=FQ","FILING_STATUS=OR","EQY_CONSOLIDATED=Y","FA_ADJUSTED=GAAP","Sort=A","Dates=H","DateFormat=P","Fill=—","Direction=H","UseDPDF=Y")</f>
        <v>#NAME?</v>
      </c>
      <c r="AO452" s="2" t="e">
        <f ca="1">_xll.BDH($C$428,"GEO_GROW_OPER_INC","FQ4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52" s="2" t="e">
        <f ca="1">_xll.BDH($C$428,"NET_INCOME_TO_COMMON_5_YR_GROWTH","FQ4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52" s="2" t="e">
        <f ca="1">_xll.BDH($C$428,"5Y_GEO_GROWTH_DILUTED_EPS","FQ4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52" s="2" t="e">
        <f ca="1">_xll.BDH($C$428,"GEO_GROW_DVD_PER_SH","FQ4 2018","FQ4 2018","Currency=INR","Period=FQ","BEST_FPERIOD_OVERRIDE=FQ","FILING_STATUS=OR","EQY_CONSOLIDATED=Y","Sort=A","Dates=H","DateFormat=P","Fill=—","Direction=H","UseDPDF=Y")</f>
        <v>#NAME?</v>
      </c>
      <c r="AS452" s="2" t="e">
        <f ca="1">_xll.BDH($C$428,"ACCOUNTS_RECEIVABLE_5_YR_GROWTH","FQ4 2018","FQ4 2018","Currency=INR","Period=FQ","BEST_FPERIOD_OVERRIDE=FQ","FILING_STATUS=OR","EQY_CONSOLIDATED=Y","Sort=A","Dates=H","DateFormat=P","Fill=—","Direction=H","UseDPDF=Y")</f>
        <v>#NAME?</v>
      </c>
      <c r="AT452" s="2" t="e">
        <f ca="1">_xll.BDH($C$428,"INVENTORY_5_YEAR_GROWTH","FQ4 2018","FQ4 2018","Currency=INR","Period=FQ","BEST_FPERIOD_OVERRIDE=FQ","FILING_STATUS=OR","EQY_CONSOLIDATED=Y","Sort=A","Dates=H","DateFormat=P","Fill=—","Direction=H","UseDPDF=Y")</f>
        <v>#NAME?</v>
      </c>
      <c r="AU452" s="2" t="e">
        <f ca="1">_xll.BDH($C$428,"NET_FIXED_ASSETS_5_YEAR_GROWTH","FQ4 2018","FQ4 2018","Currency=INR","Period=FQ","BEST_FPERIOD_OVERRIDE=FQ","FILING_STATUS=OR","EQY_CONSOLIDATED=Y","Sort=A","Dates=H","DateFormat=P","Fill=—","Direction=H","UseDPDF=Y")</f>
        <v>#NAME?</v>
      </c>
      <c r="AV452" s="2" t="e">
        <f ca="1">_xll.BDH($C$428,"GEO_GROW_TOT_ASSET","FQ4 2018","FQ4 2018","Currency=INR","Period=FQ","BEST_FPERIOD_OVERRIDE=FQ","FILING_STATUS=OR","EQY_CONSOLIDATED=Y","Sort=A","Dates=H","DateFormat=P","Fill=—","Direction=H","UseDPDF=Y")</f>
        <v>#NAME?</v>
      </c>
      <c r="AW452" s="2" t="e">
        <f ca="1">_xll.BDH($C$428,"MODIFIED_WORKING_CPTL_5YR_GRWTH","FQ4 2018","FQ4 2018","Currency=INR","Period=FQ","BEST_FPERIOD_OVERRIDE=FQ","FILING_STATUS=OR","EQY_CONSOLIDATED=Y","Sort=A","Dates=H","DateFormat=P","Fill=—","Direction=H","UseDPDF=Y")</f>
        <v>#NAME?</v>
      </c>
      <c r="AX452" s="2" t="e">
        <f ca="1">_xll.BDH($C$428,"WORKING_CAPITAL_5_YEAR_GROWTH","FQ4 2018","FQ4 2018","Currency=INR","Period=FQ","BEST_FPERIOD_OVERRIDE=FQ","FILING_STATUS=OR","EQY_CONSOLIDATED=Y","Sort=A","Dates=H","DateFormat=P","Fill=—","Direction=H","UseDPDF=Y")</f>
        <v>#NAME?</v>
      </c>
      <c r="AY452" s="2" t="e">
        <f ca="1">_xll.BDH($C$428,"ACCOUNTS_PAYABLE_5_YEAR_GROWTH","FQ4 2018","FQ4 2018","Currency=INR","Period=FQ","BEST_FPERIOD_OVERRIDE=FQ","FILING_STATUS=OR","EQY_CONSOLIDATED=Y","Sort=A","Dates=H","DateFormat=P","Fill=—","Direction=H","UseDPDF=Y")</f>
        <v>#NAME?</v>
      </c>
      <c r="AZ452" s="2" t="e">
        <f ca="1">_xll.BDH($C$428,"SHORT_TERM_DEBT_5_YEAR_GROWTH","FQ4 2018","FQ4 2018","Currency=INR","Period=FQ","BEST_FPERIOD_OVERRIDE=FQ","FILING_STATUS=OR","EQY_CONSOLIDATED=Y","Sort=A","Dates=H","DateFormat=P","Fill=—","Direction=H","UseDPDF=Y")</f>
        <v>#NAME?</v>
      </c>
      <c r="BA452" s="2" t="e">
        <f ca="1">_xll.BDH($C$428,"TOTAL_DEBT_5_YEAR_GROWTH","FQ4 2018","FQ4 2018","Currency=INR","Period=FQ","BEST_FPERIOD_OVERRIDE=FQ","FILING_STATUS=OR","EQY_CONSOLIDATED=Y","Sort=A","Dates=H","DateFormat=P","Fill=—","Direction=H","UseDPDF=Y")</f>
        <v>#NAME?</v>
      </c>
      <c r="BB452" s="2" t="e">
        <f ca="1">_xll.BDH($C$428,"GEO_GROW_TOT_SHRHLDR_EQY","FQ4 2018","FQ4 2018","Currency=INR","Period=FQ","BEST_FPERIOD_OVERRIDE=FQ","FILING_STATUS=OR","EQY_CONSOLIDATED=Y","Sort=A","Dates=H","DateFormat=P","Fill=—","Direction=H","UseDPDF=Y")</f>
        <v>#NAME?</v>
      </c>
      <c r="BC452" s="2" t="e">
        <f ca="1">_xll.BDH($C$428,"TOTAL_CAPITAL_5_YEAR_GROWTH","FQ4 2018","FQ4 2018","Currency=INR","Period=FQ","BEST_FPERIOD_OVERRIDE=FQ","FILING_STATUS=OR","EQY_CONSOLIDATED=Y","Sort=A","Dates=H","DateFormat=P","Fill=—","Direction=H","UseDPDF=Y")</f>
        <v>#NAME?</v>
      </c>
      <c r="BD452" s="2" t="e">
        <f ca="1">_xll.BDH($C$428,"GEO_GROW_BOOK_VAL","FQ4 2018","FQ4 2018","Currency=INR","Period=FQ","BEST_FPERIOD_OVERRIDE=FQ","FILING_STATUS=OR","EQY_CONSOLIDATED=Y","Sort=A","Dates=H","DateFormat=P","Fill=—","Direction=H","UseDPDF=Y")</f>
        <v>#NAME?</v>
      </c>
      <c r="BE452" s="2" t="e">
        <f ca="1">_xll.BDH($C$428,"GEO_GROW_CASH_OPER_ACT","FQ4 2018","FQ4 2018","Currency=INR","Period=FQ","BEST_FPERIOD_OVERRIDE=FQ","FILING_STATUS=OR","EQY_CONSOLIDATED=Y","Sort=A","Dates=H","DateFormat=P","Fill=—","Direction=H","UseDPDF=Y")</f>
        <v>#NAME?</v>
      </c>
      <c r="BF452" s="2" t="e">
        <f ca="1">_xll.BDH($C$428,"REVENUE_SEQUENTIAL_GROWTH","FQ4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52" s="2" t="e">
        <f ca="1">_xll.BDH($C$428,"EBITDA_SEQUENTIAL_GROWTH","FQ4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52" s="2" t="e">
        <f ca="1">_xll.BDH($C$428,"OPERATING_INCOME_SEQ_GROWTH","FQ4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52" s="2" t="e">
        <f ca="1">_xll.BDH($C$428,"NET_INCOME_TO_COMMON_SEQ_GROWTH","FQ4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52" s="2" t="e">
        <f ca="1">_xll.BDH($C$428,"EPS_DILUTED_SEQUENTIAL_GROWTH","FQ4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52" s="2" t="e">
        <f ca="1">_xll.BDH($C$428,"DPS_SEQUENTIAL_GROWTH","FQ4 2018","FQ4 2018","Currency=INR","Period=FQ","BEST_FPERIOD_OVERRIDE=FQ","FILING_STATUS=OR","EQY_CONSOLIDATED=Y","Sort=A","Dates=H","DateFormat=P","Fill=—","Direction=H","UseDPDF=Y")</f>
        <v>#NAME?</v>
      </c>
      <c r="BL452" s="2" t="e">
        <f ca="1">_xll.BDH($C$428,"ACCOUNTS_RECEIVABLE_SEQ_GROWTH","FQ4 2018","FQ4 2018","Currency=INR","Period=FQ","BEST_FPERIOD_OVERRIDE=FQ","FILING_STATUS=OR","EQY_CONSOLIDATED=Y","Sort=A","Dates=H","DateFormat=P","Fill=—","Direction=H","UseDPDF=Y")</f>
        <v>#NAME?</v>
      </c>
      <c r="BM452" s="2" t="e">
        <f ca="1">_xll.BDH($C$428,"INVENTORY_SEQUENTIAL_GROWTH","FQ4 2018","FQ4 2018","Currency=INR","Period=FQ","BEST_FPERIOD_OVERRIDE=FQ","FILING_STATUS=OR","EQY_CONSOLIDATED=Y","Sort=A","Dates=H","DateFormat=P","Fill=—","Direction=H","UseDPDF=Y")</f>
        <v>#NAME?</v>
      </c>
      <c r="BN452" s="2" t="e">
        <f ca="1">_xll.BDH($C$428,"FIXED_ASSETS_SEQUENTIAL_GROWTH","FQ4 2018","FQ4 2018","Currency=INR","Period=FQ","BEST_FPERIOD_OVERRIDE=FQ","FILING_STATUS=OR","EQY_CONSOLIDATED=Y","Sort=A","Dates=H","DateFormat=P","Fill=—","Direction=H","UseDPDF=Y")</f>
        <v>#NAME?</v>
      </c>
      <c r="BO452" s="2" t="e">
        <f ca="1">_xll.BDH($C$428,"TOTAL_ASSETS_SEQUENTIAL_GROWTH","FQ4 2018","FQ4 2018","Currency=INR","Period=FQ","BEST_FPERIOD_OVERRIDE=FQ","FILING_STATUS=OR","EQY_CONSOLIDATED=Y","Sort=A","Dates=H","DateFormat=P","Fill=—","Direction=H","UseDPDF=Y")</f>
        <v>#NAME?</v>
      </c>
      <c r="BP452" s="2" t="e">
        <f ca="1">_xll.BDH($C$428,"MODIFIED_WORKING_CPTL_SEQ_GRWTH","FQ4 2018","FQ4 2018","Currency=INR","Period=FQ","BEST_FPERIOD_OVERRIDE=FQ","FILING_STATUS=OR","EQY_CONSOLIDATED=Y","Sort=A","Dates=H","DateFormat=P","Fill=—","Direction=H","UseDPDF=Y")</f>
        <v>#NAME?</v>
      </c>
      <c r="BQ452" s="2" t="e">
        <f ca="1">_xll.BDH($C$428,"WORKING_CAPITAL_SEQ_GROWTH","FQ4 2018","FQ4 2018","Currency=INR","Period=FQ","BEST_FPERIOD_OVERRIDE=FQ","FILING_STATUS=OR","EQY_CONSOLIDATED=Y","Sort=A","Dates=H","DateFormat=P","Fill=—","Direction=H","UseDPDF=Y")</f>
        <v>#NAME?</v>
      </c>
      <c r="BR452" s="2" t="e">
        <f ca="1">_xll.BDH($C$428,"ACCOUNTS_PAYABLE_SEQ_GROWTH","FQ4 2018","FQ4 2018","Currency=INR","Period=FQ","BEST_FPERIOD_OVERRIDE=FQ","FILING_STATUS=OR","EQY_CONSOLIDATED=Y","Sort=A","Dates=H","DateFormat=P","Fill=—","Direction=H","UseDPDF=Y")</f>
        <v>#NAME?</v>
      </c>
      <c r="BS452" s="2" t="e">
        <f ca="1">_xll.BDH($C$428,"ST_DEBT_SEQUENTIAL_GROWTH","FQ4 2018","FQ4 2018","Currency=INR","Period=FQ","BEST_FPERIOD_OVERRIDE=FQ","FILING_STATUS=OR","EQY_CONSOLIDATED=Y","Sort=A","Dates=H","DateFormat=P","Fill=—","Direction=H","UseDPDF=Y")</f>
        <v>#NAME?</v>
      </c>
      <c r="BT452" s="2" t="e">
        <f ca="1">_xll.BDH($C$428,"TOTAL_DEBT_SEQUENTIAL_GROWTH","FQ4 2018","FQ4 2018","Currency=INR","Period=FQ","BEST_FPERIOD_OVERRIDE=FQ","FILING_STATUS=OR","EQY_CONSOLIDATED=Y","Sort=A","Dates=H","DateFormat=P","Fill=—","Direction=H","UseDPDF=Y")</f>
        <v>#NAME?</v>
      </c>
      <c r="BU452" s="2" t="e">
        <f ca="1">_xll.BDH($C$428,"TOTAL_EQUITY_SEQUENTIAL_GROWTH","FQ4 2018","FQ4 2018","Currency=INR","Period=FQ","BEST_FPERIOD_OVERRIDE=FQ","FILING_STATUS=OR","EQY_CONSOLIDATED=Y","Sort=A","Dates=H","DateFormat=P","Fill=—","Direction=H","UseDPDF=Y")</f>
        <v>#NAME?</v>
      </c>
      <c r="BV452" s="2" t="e">
        <f ca="1">_xll.BDH($C$428,"TOTAL_CAPITAL_SEQUENTIAL_GROWTH","FQ4 2018","FQ4 2018","Currency=INR","Period=FQ","BEST_FPERIOD_OVERRIDE=FQ","FILING_STATUS=OR","EQY_CONSOLIDATED=Y","Sort=A","Dates=H","DateFormat=P","Fill=—","Direction=H","UseDPDF=Y")</f>
        <v>#NAME?</v>
      </c>
      <c r="BW452" s="2" t="e">
        <f ca="1">_xll.BDH($C$428,"BPS_SEQUENTIAL_GROWTH","FQ4 2018","FQ4 2018","Currency=INR","Period=FQ","BEST_FPERIOD_OVERRIDE=FQ","FILING_STATUS=OR","EQY_CONSOLIDATED=Y","Sort=A","Dates=H","DateFormat=P","Fill=—","Direction=H","UseDPDF=Y")</f>
        <v>#NAME?</v>
      </c>
      <c r="BX452" s="2" t="e">
        <f ca="1">_xll.BDH($C$428,"CFO_SEQUENTIAL_GROWTH","FQ4 2018","FQ4 2018","Currency=INR","Period=FQ","BEST_FPERIOD_OVERRIDE=FQ","FILING_STATUS=OR","EQY_CONSOLIDATED=Y","Sort=A","Dates=H","DateFormat=P","Fill=—","Direction=H","UseDPDF=Y")</f>
        <v>#NAME?</v>
      </c>
      <c r="BY452" s="3" t="e">
        <f ca="1">_xll.BDH($C$428,"SHORT_AND_LONG_TERM_DEBT","FQ4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52" s="3" t="e">
        <f ca="1">_xll.BDH($C$428,"BS_ST_BORROW","FQ4 2018","FQ4 2018","Currency=INR","Period=FQ","BEST_FPERIOD_OVERRIDE=FQ","FILING_STATUS=OR","EQY_CONSOLIDATED=Y","SCALING_FORMAT=MLN","Sort=A","Dates=H","DateFormat=P","Fill=—","Direction=H","UseDPDF=Y")</f>
        <v>#NAME?</v>
      </c>
      <c r="CA452" s="3" t="e">
        <f ca="1">_xll.BDH($C$428,"BS_LT_BORROW","FQ4 2018","FQ4 2018","Currency=INR","Period=FQ","BEST_FPERIOD_OVERRIDE=FQ","FILING_STATUS=OR","EQY_CONSOLIDATED=Y","SCALING_FORMAT=MLN","Sort=A","Dates=H","DateFormat=P","Fill=—","Direction=H","UseDPDF=Y")</f>
        <v>#NAME?</v>
      </c>
      <c r="CB452" s="2" t="e">
        <f ca="1">_xll.BDH($C$428,"TOT_DEBT_TO_EBITDA","FQ4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52" s="2" t="e">
        <f ca="1">_xll.BDH($C$428,"NET_DEBT_TO_EBITDA","FQ4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52" s="2" t="e">
        <f ca="1">_xll.BDH($C$428,"TOTAL_DEBT_TO_EBIT","FQ4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52" s="2" t="e">
        <f ca="1">_xll.BDH($C$428,"NET_DEBT_TO_EBIT","FQ4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452" s="2" t="e">
        <f ca="1">_xll.BDH($C$428,"EBITDA_TO_INTEREST_EXPN","FQ4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52" s="2" t="e">
        <f ca="1">_xll.BDH($C$428,"COM_EQY_TO_TOT_ASSET","FQ4 2018","FQ4 2018","Currency=INR","Period=FQ","BEST_FPERIOD_OVERRIDE=FQ","FILING_STATUS=OR","EQY_CONSOLIDATED=Y","Sort=A","Dates=H","DateFormat=P","Fill=—","Direction=H","UseDPDF=Y")</f>
        <v>#NAME?</v>
      </c>
      <c r="CH452" s="2" t="e">
        <f ca="1">_xll.BDH($C$428,"LT_DEBT_TO_TOT_EQY","FQ4 2018","FQ4 2018","Currency=INR","Period=FQ","BEST_FPERIOD_OVERRIDE=FQ","FILING_STATUS=OR","EQY_CONSOLIDATED=Y","Sort=A","Dates=H","DateFormat=P","Fill=—","Direction=H","UseDPDF=Y")</f>
        <v>#NAME?</v>
      </c>
      <c r="CI452" s="2" t="e">
        <f ca="1">_xll.BDH($C$428,"LT_DEBT_TO_TOT_CAP","FQ4 2018","FQ4 2018","Currency=INR","Period=FQ","BEST_FPERIOD_OVERRIDE=FQ","FILING_STATUS=OR","EQY_CONSOLIDATED=Y","Sort=A","Dates=H","DateFormat=P","Fill=—","Direction=H","UseDPDF=Y")</f>
        <v>#NAME?</v>
      </c>
      <c r="CJ452" s="2" t="e">
        <f ca="1">_xll.BDH($C$428,"LT_DEBT_TO_TOT_ASSET","FQ4 2018","FQ4 2018","Currency=INR","Period=FQ","BEST_FPERIOD_OVERRIDE=FQ","FILING_STATUS=OR","EQY_CONSOLIDATED=Y","Sort=A","Dates=H","DateFormat=P","Fill=—","Direction=H","UseDPDF=Y")</f>
        <v>#NAME?</v>
      </c>
      <c r="CK452" s="2" t="e">
        <f ca="1">_xll.BDH($C$428,"TOT_DEBT_TO_TOT_EQY","FQ4 2018","FQ4 2018","Currency=INR","Period=FQ","BEST_FPERIOD_OVERRIDE=FQ","FILING_STATUS=OR","EQY_CONSOLIDATED=Y","Sort=A","Dates=H","DateFormat=P","Fill=—","Direction=H","UseDPDF=Y")</f>
        <v>#NAME?</v>
      </c>
      <c r="CL452" s="2" t="e">
        <f ca="1">_xll.BDH($C$428,"TOT_DEBT_TO_TOT_CAP","FQ4 2018","FQ4 2018","Currency=INR","Period=FQ","BEST_FPERIOD_OVERRIDE=FQ","FILING_STATUS=OR","EQY_CONSOLIDATED=Y","Sort=A","Dates=H","DateFormat=P","Fill=—","Direction=H","UseDPDF=Y")</f>
        <v>#NAME?</v>
      </c>
      <c r="CM452" s="2" t="e">
        <f ca="1">_xll.BDH($C$428,"TOT_DEBT_TO_TOT_ASSET","FQ4 2018","FQ4 2018","Currency=INR","Period=FQ","BEST_FPERIOD_OVERRIDE=FQ","FILING_STATUS=OR","EQY_CONSOLIDATED=Y","Sort=A","Dates=H","DateFormat=P","Fill=—","Direction=H","UseDPDF=Y")</f>
        <v>#NAME?</v>
      </c>
      <c r="CN452" s="2" t="e">
        <f ca="1">_xll.BDH($C$428,"NET_DEBT_TO_SHRHLDR_EQTY","FQ4 2018","FQ4 2018","Currency=INR","Period=FQ","BEST_FPERIOD_OVERRIDE=FQ","FILING_STATUS=OR","EQY_CONSOLIDATED=Y","Sort=A","Dates=H","DateFormat=P","Fill=—","Direction=H","UseDPDF=Y")</f>
        <v>#NAME?</v>
      </c>
      <c r="CO452" s="2" t="e">
        <f ca="1">_xll.BDH($C$428,"NET_DEBT_%_CAPITAL","FQ4 2018","FQ4 2018","Currency=INR","Period=FQ","BEST_FPERIOD_OVERRIDE=FQ","FILING_STATUS=OR","EQY_CONSOLIDATED=Y","Sort=A","Dates=H","DateFormat=P","Fill=—","Direction=H","UseDPDF=Y")</f>
        <v>#NAME?</v>
      </c>
      <c r="CP452" s="3" t="e">
        <f ca="1">_xll.BDH($C$428,"EBITDA","FQ4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52" s="3" t="e">
        <f ca="1">_xll.BDH($C$428,"EBITDA_AFTER_CAPEX","FQ4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52" s="3" t="e">
        <f ca="1">_xll.BDH($C$428,"IS_OPER_INC","FQ4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52" s="2" t="e">
        <f ca="1">_xll.BDH($C$428,"CASH_RATIO","FQ4 2018","FQ4 2018","Currency=INR","Period=FQ","BEST_FPERIOD_OVERRIDE=FQ","FILING_STATUS=OR","EQY_CONSOLIDATED=Y","Sort=A","Dates=H","DateFormat=P","Fill=—","Direction=H","UseDPDF=Y")</f>
        <v>#NAME?</v>
      </c>
      <c r="CT452" s="2" t="e">
        <f ca="1">_xll.BDH($C$428,"CUR_RATIO","FQ4 2018","FQ4 2018","Currency=INR","Period=FQ","BEST_FPERIOD_OVERRIDE=FQ","FILING_STATUS=OR","EQY_CONSOLIDATED=Y","Sort=A","Dates=H","DateFormat=P","Fill=—","Direction=H","UseDPDF=Y")</f>
        <v>#NAME?</v>
      </c>
      <c r="CU452" s="2" t="e">
        <f ca="1">_xll.BDH($C$428,"QUICK_RATIO","FQ4 2018","FQ4 2018","Currency=INR","Period=FQ","BEST_FPERIOD_OVERRIDE=FQ","FILING_STATUS=OR","EQY_CONSOLIDATED=Y","Sort=A","Dates=H","DateFormat=P","Fill=—","Direction=H","UseDPDF=Y")</f>
        <v>#NAME?</v>
      </c>
      <c r="CV452" s="2" t="e">
        <f ca="1">_xll.BDH($C$428,"ALTMAN_Z_SCORE","FQ4 2018","FQ4 2018","Currency=INR","Period=FQ","BEST_FPERIOD_OVERRIDE=FQ","FILING_STATUS=OR","EQY_CONSOLIDATED=Y","Sort=A","Dates=H","DateFormat=P","Fill=—","Direction=H","UseDPDF=Y")</f>
        <v>#NAME?</v>
      </c>
      <c r="CW452" s="4" t="e">
        <f ca="1">_xll.BDH($C$428,"ACCT_RCV_TURN","FQ4 2018","FQ4 2018","Currency=INR","Period=FQ","BEST_FPERIOD_OVERRIDE=FQ","FILING_STATUS=OR","EQY_CONSOLIDATED=Y","FA_ADJUSTED=GAAP","Sort=A","Dates=H","DateFormat=P","Fill=—","Direction=H","UseDPDF=Y")</f>
        <v>#NAME?</v>
      </c>
      <c r="CX452" s="2" t="e">
        <f ca="1">_xll.BDH($C$428,"ACCT_RCV_DAYS","FQ4 2018","FQ4 2018","Currency=INR","Period=FQ","BEST_FPERIOD_OVERRIDE=FQ","FILING_STATUS=OR","EQY_CONSOLIDATED=Y","FA_ADJUSTED=GAAP","Sort=A","Dates=H","DateFormat=P","Fill=—","Direction=H","UseDPDF=Y")</f>
        <v>#NAME?</v>
      </c>
      <c r="CY452" s="4" t="e">
        <f ca="1">_xll.BDH($C$428,"INVENT_TURN","FQ4 2018","FQ4 2018","Currency=INR","Period=FQ","BEST_FPERIOD_OVERRIDE=FQ","FILING_STATUS=OR","EQY_CONSOLIDATED=Y","FA_ADJUSTED=GAAP","Sort=A","Dates=H","DateFormat=P","Fill=—","Direction=H","UseDPDF=Y")</f>
        <v>#NAME?</v>
      </c>
      <c r="CZ452" s="2" t="e">
        <f ca="1">_xll.BDH($C$428,"INVENT_DAYS","FQ4 2018","FQ4 2018","Currency=INR","Period=FQ","BEST_FPERIOD_OVERRIDE=FQ","FILING_STATUS=OR","EQY_CONSOLIDATED=Y","FA_ADJUSTED=GAAP","Sort=A","Dates=H","DateFormat=P","Fill=—","Direction=H","UseDPDF=Y")</f>
        <v>#NAME?</v>
      </c>
      <c r="DA452" s="4" t="e">
        <f ca="1">_xll.BDH($C$428,"ACCOUNTS_PAYABLE_TURNOVER","FQ4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52" s="2" t="e">
        <f ca="1">_xll.BDH($C$428,"ACCOUNTS_PAYABLE_TURNOVER_DAYS","FQ4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52" s="4" t="e">
        <f ca="1">_xll.BDH($C$428,"CASH_CONVERSION_CYCLE","FQ4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52" s="4" t="e">
        <f ca="1">_xll.BDH($C$428,"INV_TO_CASH_DAYS","FQ4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452" s="5" t="e">
        <f ca="1">_xll.BDH($C$428,"BS_INVENTORIES","FQ4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452" s="3" t="e">
        <f ca="1">_xll.BDH($C$428,"INVTRY_RAW_MATERIALS","FQ4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52" s="3" t="e">
        <f ca="1">_xll.BDH($C$428,"INVTRY_IN_PROGRESS","FQ4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52" s="3" t="e">
        <f ca="1">_xll.BDH($C$428,"INVTRY_FINISHED_GOODS","FQ4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52" s="3" t="e">
        <f ca="1">_xll.BDH($C$428,"BS_OTHER_INV","FQ4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53" spans="1:113" x14ac:dyDescent="0.3">
      <c r="A453" s="6">
        <v>94</v>
      </c>
      <c r="B453" s="6" t="s">
        <v>119</v>
      </c>
      <c r="C453" s="6" t="s">
        <v>120</v>
      </c>
      <c r="D453" s="6" t="s">
        <v>76</v>
      </c>
      <c r="E453" t="s">
        <v>77</v>
      </c>
      <c r="F453" t="e">
        <f ca="1">_xll.BDH($C$453,"RETURN_COM_EQY","FY 2014","FY 2014","Currency=INR","Period=FY","BEST_FPERIOD_OVERRIDE=FY","FILING_STATUS=OR","EQY_CONSOLIDATED=Y","FA_ADJUSTED=GAAP","Sort=A","Dates=H","DateFormat=P","Fill=—","Direction=H","UseDPDF=Y")</f>
        <v>#NAME?</v>
      </c>
      <c r="G453" t="e">
        <f ca="1">_xll.BDH($C$453,"RETURN_ON_ASSET","FY 2014","FY 2014","Currency=INR","Period=FY","BEST_FPERIOD_OVERRIDE=FY","FILING_STATUS=OR","EQY_CONSOLIDATED=Y","FA_ADJUSTED=GAAP","Sort=A","Dates=H","DateFormat=P","Fill=—","Direction=H","UseDPDF=Y")</f>
        <v>#NAME?</v>
      </c>
      <c r="H453" t="e">
        <f ca="1">_xll.BDH($C$453,"RETURN_ON_CAP","FY 2014","FY 2014","Currency=INR","Period=FY","BEST_FPERIOD_OVERRIDE=FY","FILING_STATUS=OR","EQY_CONSOLIDATED=Y","FA_ADJUSTED=GAAP","Sort=A","Dates=H","DateFormat=P","Fill=—","Direction=H","UseDPDF=Y")</f>
        <v>#NAME?</v>
      </c>
      <c r="I453" t="e">
        <f ca="1">_xll.BDH($C$453,"RETURN_ON_INV_CAPITAL","FY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53" t="e">
        <f ca="1">_xll.BDH($C$453,"EBITDA_TO_REVENUE","FY 2014","FY 2014","Currency=INR","Period=FY","BEST_FPERIOD_OVERRIDE=FY","FILING_STATUS=OR","EQY_CONSOLIDATED=Y","FA_ADJUSTED=GAAP","Sort=A","Dates=H","DateFormat=P","Fill=—","Direction=H","UseDPDF=Y")</f>
        <v>#NAME?</v>
      </c>
      <c r="K453" t="e">
        <f ca="1">_xll.BDH($C$453,"OPER_MARGIN","FY 2014","FY 2014","Currency=INR","Period=FY","BEST_FPERIOD_OVERRIDE=FY","FILING_STATUS=OR","EQY_CONSOLIDATED=Y","FA_ADJUSTED=GAAP","Sort=A","Dates=H","DateFormat=P","Fill=—","Direction=H","UseDPDF=Y")</f>
        <v>#NAME?</v>
      </c>
      <c r="L453" t="e">
        <f ca="1">_xll.BDH($C$453,"INCREMENTAL_OPERATING_MARGIN","FY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53" t="e">
        <f ca="1">_xll.BDH($C$453,"PRETAX_INC_TO_NET_SALES","FY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53" t="e">
        <f ca="1">_xll.BDH($C$453,"INC_BEF_XO_ITEMS_TO_NET_SALES","FY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53" t="e">
        <f ca="1">_xll.BDH($C$453,"PROF_MARGIN","FY 2014","FY 2014","Currency=INR","Period=FY","BEST_FPERIOD_OVERRIDE=FY","FILING_STATUS=OR","EQY_CONSOLIDATED=Y","FA_ADJUSTED=GAAP","Sort=A","Dates=H","DateFormat=P","Fill=—","Direction=H","UseDPDF=Y")</f>
        <v>#NAME?</v>
      </c>
      <c r="P453" t="e">
        <f ca="1">_xll.BDH($C$453,"NET_INCOME_TO_COMMON_MARGIN","FY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53" t="e">
        <f ca="1">_xll.BDH($C$453,"EFF_TAX_RATE","FY 2014","FY 2014","Currency=INR","Period=FY","BEST_FPERIOD_OVERRIDE=FY","FILING_STATUS=OR","EQY_CONSOLIDATED=Y","FA_ADJUSTED=GAAP","Sort=A","Dates=H","DateFormat=P","Fill=—","Direction=H","UseDPDF=Y")</f>
        <v>#NAME?</v>
      </c>
      <c r="R453" t="e">
        <f ca="1">_xll.BDH($C$453,"DVD_PAYOUT_RATIO","FY 2014","FY 2014","Currency=INR","Period=FY","BEST_FPERIOD_OVERRIDE=FY","FILING_STATUS=OR","EQY_CONSOLIDATED=Y","FA_ADJUSTED=GAAP","Sort=A","Dates=H","DateFormat=P","Fill=—","Direction=H","UseDPDF=Y")</f>
        <v>#NAME?</v>
      </c>
      <c r="S453" t="e">
        <f ca="1">_xll.BDH($C$453,"SUSTAIN_GROWTH_RT","FY 2014","FY 2014","Currency=INR","Period=FY","BEST_FPERIOD_OVERRIDE=FY","FILING_STATUS=OR","EQY_CONSOLIDATED=Y","FA_ADJUSTED=GAAP","Sort=A","Dates=H","DateFormat=P","Fill=—","Direction=H","UseDPDF=Y")</f>
        <v>#NAME?</v>
      </c>
      <c r="T453" s="2" t="e">
        <f ca="1">_xll.BDH($C$453,"SALES_GROWTH","FY 2014","FY 2014","Currency=INR","Period=FY","BEST_FPERIOD_OVERRIDE=FY","FILING_STATUS=OR","EQY_CONSOLIDATED=Y","FA_ADJUSTED=GAAP","Sort=A","Dates=H","DateFormat=P","Fill=—","Direction=H","UseDPDF=Y")</f>
        <v>#NAME?</v>
      </c>
      <c r="U453" s="2" t="e">
        <f ca="1">_xll.BDH($C$453,"EBITDA_GROWTH","FY 2014","FY 2014","Currency=INR","Period=FY","BEST_FPERIOD_OVERRIDE=FY","FILING_STATUS=OR","EQY_CONSOLIDATED=Y","FA_ADJUSTED=GAAP","Sort=A","Dates=H","DateFormat=P","Fill=—","Direction=H","UseDPDF=Y")</f>
        <v>#NAME?</v>
      </c>
      <c r="V453" s="2" t="e">
        <f ca="1">_xll.BDH($C$453,"OPER_INC_GROWTH","FY 2014","FY 2014","Currency=INR","Period=FY","BEST_FPERIOD_OVERRIDE=FY","FILING_STATUS=OR","EQY_CONSOLIDATED=Y","FA_ADJUSTED=GAAP","Sort=A","Dates=H","DateFormat=P","Fill=—","Direction=H","UseDPDF=Y")</f>
        <v>#NAME?</v>
      </c>
      <c r="W453" s="2" t="e">
        <f ca="1">_xll.BDH($C$453,"EARN_FOR_COM_GROWTH","FY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453" s="2" t="e">
        <f ca="1">_xll.BDH($C$453,"DILUTED_EPS_AFT_XO_ITEMS_GROWTH","FY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53" s="2" t="e">
        <f ca="1">_xll.BDH($C$453,"DIVIDEND_PER_SHARE_1_YEAR_GROWTH","FY 2014","FY 2014","Currency=INR","Period=FY","BEST_FPERIOD_OVERRIDE=FY","FILING_STATUS=OR","EQY_CONSOLIDATED=Y","Sort=A","Dates=H","DateFormat=P","Fill=—","Direction=H","UseDPDF=Y")</f>
        <v>#NAME?</v>
      </c>
      <c r="Z453" s="2" t="e">
        <f ca="1">_xll.BDH($C$453,"ACCOUNTS_RECEIVABLE_GROWTH","FY 2014","FY 2014","Currency=INR","Period=FY","BEST_FPERIOD_OVERRIDE=FY","FILING_STATUS=OR","EQY_CONSOLIDATED=Y","Sort=A","Dates=H","DateFormat=P","Fill=—","Direction=H","UseDPDF=Y")</f>
        <v>#NAME?</v>
      </c>
      <c r="AA453" s="2" t="e">
        <f ca="1">_xll.BDH($C$453,"INVENTORY_GROWTH","FY 2014","FY 2014","Currency=INR","Period=FY","BEST_FPERIOD_OVERRIDE=FY","FILING_STATUS=OR","EQY_CONSOLIDATED=Y","Sort=A","Dates=H","DateFormat=P","Fill=—","Direction=H","UseDPDF=Y")</f>
        <v>#NAME?</v>
      </c>
      <c r="AB453" s="2" t="e">
        <f ca="1">_xll.BDH($C$453,"NET_FIXED_ASSETS_1_YEAR_GROWTH","FY 2014","FY 2014","Currency=INR","Period=FY","BEST_FPERIOD_OVERRIDE=FY","FILING_STATUS=OR","EQY_CONSOLIDATED=Y","Sort=A","Dates=H","DateFormat=P","Fill=—","Direction=H","UseDPDF=Y")</f>
        <v>#NAME?</v>
      </c>
      <c r="AC453" s="2" t="e">
        <f ca="1">_xll.BDH($C$453,"ASSET_GROWTH","FY 2014","FY 2014","Currency=INR","Period=FY","BEST_FPERIOD_OVERRIDE=FY","FILING_STATUS=OR","EQY_CONSOLIDATED=Y","Sort=A","Dates=H","DateFormat=P","Fill=—","Direction=H","UseDPDF=Y")</f>
        <v>#NAME?</v>
      </c>
      <c r="AD453" s="2" t="e">
        <f ca="1">_xll.BDH($C$453,"MODIFIED_WORK_CAP_GROWTH","FY 2014","FY 2014","Currency=INR","Period=FY","BEST_FPERIOD_OVERRIDE=FY","FILING_STATUS=OR","EQY_CONSOLIDATED=Y","Sort=A","Dates=H","DateFormat=P","Fill=—","Direction=H","UseDPDF=Y")</f>
        <v>#NAME?</v>
      </c>
      <c r="AE453" s="2" t="e">
        <f ca="1">_xll.BDH($C$453,"WORK_CAP_GROWTH","FY 2014","FY 2014","Currency=INR","Period=FY","BEST_FPERIOD_OVERRIDE=FY","FILING_STATUS=OR","EQY_CONSOLIDATED=Y","Sort=A","Dates=H","DateFormat=P","Fill=—","Direction=H","UseDPDF=Y")</f>
        <v>#NAME?</v>
      </c>
      <c r="AF453" s="2" t="e">
        <f ca="1">_xll.BDH($C$453,"ACCOUNTS_PAYABLE_GROWTH_1YR","FY 2014","FY 2014","Currency=INR","Period=FY","BEST_FPERIOD_OVERRIDE=FY","FILING_STATUS=OR","EQY_CONSOLIDATED=Y","Sort=A","Dates=H","DateFormat=P","Fill=—","Direction=H","UseDPDF=Y")</f>
        <v>#NAME?</v>
      </c>
      <c r="AG453" s="2" t="e">
        <f ca="1">_xll.BDH($C$453,"SHORT_TERM_DEBT_1_YEAR_GROWTH","FY 2014","FY 2014","Currency=INR","Period=FY","BEST_FPERIOD_OVERRIDE=FY","FILING_STATUS=OR","EQY_CONSOLIDATED=Y","Sort=A","Dates=H","DateFormat=P","Fill=—","Direction=H","UseDPDF=Y")</f>
        <v>#NAME?</v>
      </c>
      <c r="AH453" s="2" t="e">
        <f ca="1">_xll.BDH($C$453,"TOTAL_DEBT_1_YEAR_GROWTH","FY 2014","FY 2014","Currency=INR","Period=FY","BEST_FPERIOD_OVERRIDE=FY","FILING_STATUS=OR","EQY_CONSOLIDATED=Y","Sort=A","Dates=H","DateFormat=P","Fill=—","Direction=H","UseDPDF=Y")</f>
        <v>#NAME?</v>
      </c>
      <c r="AI453" s="2" t="e">
        <f ca="1">_xll.BDH($C$453,"TOTAL_EQUITY_1_YEAR_GROWTH","FY 2014","FY 2014","Currency=INR","Period=FY","BEST_FPERIOD_OVERRIDE=FY","FILING_STATUS=OR","EQY_CONSOLIDATED=Y","Sort=A","Dates=H","DateFormat=P","Fill=—","Direction=H","UseDPDF=Y")</f>
        <v>#NAME?</v>
      </c>
      <c r="AJ453" s="2" t="e">
        <f ca="1">_xll.BDH($C$453,"GROWTH_IN_CAP","FY 2014","FY 2014","Currency=INR","Period=FY","BEST_FPERIOD_OVERRIDE=FY","FILING_STATUS=OR","EQY_CONSOLIDATED=Y","Sort=A","Dates=H","DateFormat=P","Fill=—","Direction=H","UseDPDF=Y")</f>
        <v>#NAME?</v>
      </c>
      <c r="AK453" s="2" t="e">
        <f ca="1">_xll.BDH($C$453,"BVPS_GROWTH","FY 2014","FY 2014","Currency=INR","Period=FY","BEST_FPERIOD_OVERRIDE=FY","FILING_STATUS=OR","EQY_CONSOLIDATED=Y","Sort=A","Dates=H","DateFormat=P","Fill=—","Direction=H","UseDPDF=Y")</f>
        <v>#NAME?</v>
      </c>
      <c r="AL453" s="2" t="e">
        <f ca="1">_xll.BDH($C$453,"CASH_FLOW_GROWTH","FY 2014","FY 2014","Currency=INR","Period=FY","BEST_FPERIOD_OVERRIDE=FY","FILING_STATUS=OR","EQY_CONSOLIDATED=Y","Sort=A","Dates=H","DateFormat=P","Fill=—","Direction=H","UseDPDF=Y")</f>
        <v>#NAME?</v>
      </c>
      <c r="AM453" s="2" t="e">
        <f ca="1">_xll.BDH($C$453,"GEO_GROW_NET_SALES","FY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453" s="2" t="e">
        <f ca="1">_xll.BDH($C$453,"GEO_GROW_EBITDA","FY 2014","FY 2014","Currency=INR","Period=FY","BEST_FPERIOD_OVERRIDE=FY","FILING_STATUS=OR","EQY_CONSOLIDATED=Y","FA_ADJUSTED=GAAP","Sort=A","Dates=H","DateFormat=P","Fill=—","Direction=H","UseDPDF=Y")</f>
        <v>#NAME?</v>
      </c>
      <c r="AO453" s="2" t="e">
        <f ca="1">_xll.BDH($C$453,"GEO_GROW_OPER_INC","FY 2014","FY 2014","Currency=INR","Period=FY","BEST_FPERIOD_OVERRIDE=FY","FILING_STATUS=OR","EQY_CONSOLIDATED=Y","FA_ADJUSTED=GAAP","Sort=A","Dates=H","DateFormat=P","Fill=—","Direction=H","UseDPDF=Y")</f>
        <v>#NAME?</v>
      </c>
      <c r="AP453" s="2" t="e">
        <f ca="1">_xll.BDH($C$453,"NET_INCOME_TO_COMMON_5_YR_GROWTH","FY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53" s="2" t="e">
        <f ca="1">_xll.BDH($C$453,"5Y_GEO_GROWTH_DILUTED_EPS","FY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53" s="2" t="e">
        <f ca="1">_xll.BDH($C$453,"GEO_GROW_DVD_PER_SH","FY 2014","FY 2014","Currency=INR","Period=FY","BEST_FPERIOD_OVERRIDE=FY","FILING_STATUS=OR","EQY_CONSOLIDATED=Y","Sort=A","Dates=H","DateFormat=P","Fill=—","Direction=H","UseDPDF=Y")</f>
        <v>#NAME?</v>
      </c>
      <c r="AS453" s="2" t="e">
        <f ca="1">_xll.BDH($C$453,"ACCOUNTS_RECEIVABLE_5_YR_GROWTH","FY 2014","FY 2014","Currency=INR","Period=FY","BEST_FPERIOD_OVERRIDE=FY","FILING_STATUS=OR","EQY_CONSOLIDATED=Y","Sort=A","Dates=H","DateFormat=P","Fill=—","Direction=H","UseDPDF=Y")</f>
        <v>#NAME?</v>
      </c>
      <c r="AT453" s="2" t="e">
        <f ca="1">_xll.BDH($C$453,"INVENTORY_5_YEAR_GROWTH","FY 2014","FY 2014","Currency=INR","Period=FY","BEST_FPERIOD_OVERRIDE=FY","FILING_STATUS=OR","EQY_CONSOLIDATED=Y","Sort=A","Dates=H","DateFormat=P","Fill=—","Direction=H","UseDPDF=Y")</f>
        <v>#NAME?</v>
      </c>
      <c r="AU453" s="2" t="e">
        <f ca="1">_xll.BDH($C$453,"NET_FIXED_ASSETS_5_YEAR_GROWTH","FY 2014","FY 2014","Currency=INR","Period=FY","BEST_FPERIOD_OVERRIDE=FY","FILING_STATUS=OR","EQY_CONSOLIDATED=Y","Sort=A","Dates=H","DateFormat=P","Fill=—","Direction=H","UseDPDF=Y")</f>
        <v>#NAME?</v>
      </c>
      <c r="AV453" s="2" t="e">
        <f ca="1">_xll.BDH($C$453,"GEO_GROW_TOT_ASSET","FY 2014","FY 2014","Currency=INR","Period=FY","BEST_FPERIOD_OVERRIDE=FY","FILING_STATUS=OR","EQY_CONSOLIDATED=Y","Sort=A","Dates=H","DateFormat=P","Fill=—","Direction=H","UseDPDF=Y")</f>
        <v>#NAME?</v>
      </c>
      <c r="AW453" s="2" t="e">
        <f ca="1">_xll.BDH($C$453,"MODIFIED_WORKING_CPTL_5YR_GRWTH","FY 2014","FY 2014","Currency=INR","Period=FY","BEST_FPERIOD_OVERRIDE=FY","FILING_STATUS=OR","EQY_CONSOLIDATED=Y","Sort=A","Dates=H","DateFormat=P","Fill=—","Direction=H","UseDPDF=Y")</f>
        <v>#NAME?</v>
      </c>
      <c r="AX453" s="2" t="e">
        <f ca="1">_xll.BDH($C$453,"WORKING_CAPITAL_5_YEAR_GROWTH","FY 2014","FY 2014","Currency=INR","Period=FY","BEST_FPERIOD_OVERRIDE=FY","FILING_STATUS=OR","EQY_CONSOLIDATED=Y","Sort=A","Dates=H","DateFormat=P","Fill=—","Direction=H","UseDPDF=Y")</f>
        <v>#NAME?</v>
      </c>
      <c r="AY453" s="2" t="e">
        <f ca="1">_xll.BDH($C$453,"ACCOUNTS_PAYABLE_5_YEAR_GROWTH","FY 2014","FY 2014","Currency=INR","Period=FY","BEST_FPERIOD_OVERRIDE=FY","FILING_STATUS=OR","EQY_CONSOLIDATED=Y","Sort=A","Dates=H","DateFormat=P","Fill=—","Direction=H","UseDPDF=Y")</f>
        <v>#NAME?</v>
      </c>
      <c r="AZ453" s="2" t="e">
        <f ca="1">_xll.BDH($C$453,"SHORT_TERM_DEBT_5_YEAR_GROWTH","FY 2014","FY 2014","Currency=INR","Period=FY","BEST_FPERIOD_OVERRIDE=FY","FILING_STATUS=OR","EQY_CONSOLIDATED=Y","Sort=A","Dates=H","DateFormat=P","Fill=—","Direction=H","UseDPDF=Y")</f>
        <v>#NAME?</v>
      </c>
      <c r="BA453" s="2" t="e">
        <f ca="1">_xll.BDH($C$453,"TOTAL_DEBT_5_YEAR_GROWTH","FY 2014","FY 2014","Currency=INR","Period=FY","BEST_FPERIOD_OVERRIDE=FY","FILING_STATUS=OR","EQY_CONSOLIDATED=Y","Sort=A","Dates=H","DateFormat=P","Fill=—","Direction=H","UseDPDF=Y")</f>
        <v>#NAME?</v>
      </c>
      <c r="BB453" s="2" t="e">
        <f ca="1">_xll.BDH($C$453,"GEO_GROW_TOT_SHRHLDR_EQY","FY 2014","FY 2014","Currency=INR","Period=FY","BEST_FPERIOD_OVERRIDE=FY","FILING_STATUS=OR","EQY_CONSOLIDATED=Y","Sort=A","Dates=H","DateFormat=P","Fill=—","Direction=H","UseDPDF=Y")</f>
        <v>#NAME?</v>
      </c>
      <c r="BC453" s="2" t="e">
        <f ca="1">_xll.BDH($C$453,"TOTAL_CAPITAL_5_YEAR_GROWTH","FY 2014","FY 2014","Currency=INR","Period=FY","BEST_FPERIOD_OVERRIDE=FY","FILING_STATUS=OR","EQY_CONSOLIDATED=Y","Sort=A","Dates=H","DateFormat=P","Fill=—","Direction=H","UseDPDF=Y")</f>
        <v>#NAME?</v>
      </c>
      <c r="BD453" s="2" t="e">
        <f ca="1">_xll.BDH($C$453,"GEO_GROW_BOOK_VAL","FY 2014","FY 2014","Currency=INR","Period=FY","BEST_FPERIOD_OVERRIDE=FY","FILING_STATUS=OR","EQY_CONSOLIDATED=Y","Sort=A","Dates=H","DateFormat=P","Fill=—","Direction=H","UseDPDF=Y")</f>
        <v>#NAME?</v>
      </c>
      <c r="BE453" s="2" t="e">
        <f ca="1">_xll.BDH($C$453,"GEO_GROW_CASH_OPER_ACT","FY 2014","FY 2014","Currency=INR","Period=FY","BEST_FPERIOD_OVERRIDE=FY","FILING_STATUS=OR","EQY_CONSOLIDATED=Y","Sort=A","Dates=H","DateFormat=P","Fill=—","Direction=H","UseDPDF=Y")</f>
        <v>#NAME?</v>
      </c>
      <c r="BF453" s="2" t="e">
        <f ca="1">_xll.BDH($C$453,"REVENUE_SEQUENTIAL_GROWTH","FY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53" s="2" t="e">
        <f ca="1">_xll.BDH($C$453,"EBITDA_SEQUENTIAL_GROWTH","FY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53" s="2" t="e">
        <f ca="1">_xll.BDH($C$453,"OPERATING_INCOME_SEQ_GROWTH","FY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53" s="2" t="e">
        <f ca="1">_xll.BDH($C$453,"NET_INCOME_TO_COMMON_SEQ_GROWTH","FY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53" s="2" t="e">
        <f ca="1">_xll.BDH($C$453,"EPS_DILUTED_SEQUENTIAL_GROWTH","FY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53" s="2" t="e">
        <f ca="1">_xll.BDH($C$453,"DPS_SEQUENTIAL_GROWTH","FY 2014","FY 2014","Currency=INR","Period=FY","BEST_FPERIOD_OVERRIDE=FY","FILING_STATUS=OR","EQY_CONSOLIDATED=Y","Sort=A","Dates=H","DateFormat=P","Fill=—","Direction=H","UseDPDF=Y")</f>
        <v>#NAME?</v>
      </c>
      <c r="BL453" s="2" t="e">
        <f ca="1">_xll.BDH($C$453,"ACCOUNTS_RECEIVABLE_SEQ_GROWTH","FY 2014","FY 2014","Currency=INR","Period=FY","BEST_FPERIOD_OVERRIDE=FY","FILING_STATUS=OR","EQY_CONSOLIDATED=Y","Sort=A","Dates=H","DateFormat=P","Fill=—","Direction=H","UseDPDF=Y")</f>
        <v>#NAME?</v>
      </c>
      <c r="BM453" s="2" t="e">
        <f ca="1">_xll.BDH($C$453,"INVENTORY_SEQUENTIAL_GROWTH","FY 2014","FY 2014","Currency=INR","Period=FY","BEST_FPERIOD_OVERRIDE=FY","FILING_STATUS=OR","EQY_CONSOLIDATED=Y","Sort=A","Dates=H","DateFormat=P","Fill=—","Direction=H","UseDPDF=Y")</f>
        <v>#NAME?</v>
      </c>
      <c r="BN453" s="2" t="e">
        <f ca="1">_xll.BDH($C$453,"FIXED_ASSETS_SEQUENTIAL_GROWTH","FY 2014","FY 2014","Currency=INR","Period=FY","BEST_FPERIOD_OVERRIDE=FY","FILING_STATUS=OR","EQY_CONSOLIDATED=Y","Sort=A","Dates=H","DateFormat=P","Fill=—","Direction=H","UseDPDF=Y")</f>
        <v>#NAME?</v>
      </c>
      <c r="BO453" s="2" t="e">
        <f ca="1">_xll.BDH($C$453,"TOTAL_ASSETS_SEQUENTIAL_GROWTH","FY 2014","FY 2014","Currency=INR","Period=FY","BEST_FPERIOD_OVERRIDE=FY","FILING_STATUS=OR","EQY_CONSOLIDATED=Y","Sort=A","Dates=H","DateFormat=P","Fill=—","Direction=H","UseDPDF=Y")</f>
        <v>#NAME?</v>
      </c>
      <c r="BP453" s="2" t="e">
        <f ca="1">_xll.BDH($C$453,"MODIFIED_WORKING_CPTL_SEQ_GRWTH","FY 2014","FY 2014","Currency=INR","Period=FY","BEST_FPERIOD_OVERRIDE=FY","FILING_STATUS=OR","EQY_CONSOLIDATED=Y","Sort=A","Dates=H","DateFormat=P","Fill=—","Direction=H","UseDPDF=Y")</f>
        <v>#NAME?</v>
      </c>
      <c r="BQ453" s="2" t="e">
        <f ca="1">_xll.BDH($C$453,"WORKING_CAPITAL_SEQ_GROWTH","FY 2014","FY 2014","Currency=INR","Period=FY","BEST_FPERIOD_OVERRIDE=FY","FILING_STATUS=OR","EQY_CONSOLIDATED=Y","Sort=A","Dates=H","DateFormat=P","Fill=—","Direction=H","UseDPDF=Y")</f>
        <v>#NAME?</v>
      </c>
      <c r="BR453" s="2" t="e">
        <f ca="1">_xll.BDH($C$453,"ACCOUNTS_PAYABLE_SEQ_GROWTH","FY 2014","FY 2014","Currency=INR","Period=FY","BEST_FPERIOD_OVERRIDE=FY","FILING_STATUS=OR","EQY_CONSOLIDATED=Y","Sort=A","Dates=H","DateFormat=P","Fill=—","Direction=H","UseDPDF=Y")</f>
        <v>#NAME?</v>
      </c>
      <c r="BS453" s="2" t="e">
        <f ca="1">_xll.BDH($C$453,"ST_DEBT_SEQUENTIAL_GROWTH","FY 2014","FY 2014","Currency=INR","Period=FY","BEST_FPERIOD_OVERRIDE=FY","FILING_STATUS=OR","EQY_CONSOLIDATED=Y","Sort=A","Dates=H","DateFormat=P","Fill=—","Direction=H","UseDPDF=Y")</f>
        <v>#NAME?</v>
      </c>
      <c r="BT453" s="2" t="e">
        <f ca="1">_xll.BDH($C$453,"TOTAL_DEBT_SEQUENTIAL_GROWTH","FY 2014","FY 2014","Currency=INR","Period=FY","BEST_FPERIOD_OVERRIDE=FY","FILING_STATUS=OR","EQY_CONSOLIDATED=Y","Sort=A","Dates=H","DateFormat=P","Fill=—","Direction=H","UseDPDF=Y")</f>
        <v>#NAME?</v>
      </c>
      <c r="BU453" s="2" t="e">
        <f ca="1">_xll.BDH($C$453,"TOTAL_EQUITY_SEQUENTIAL_GROWTH","FY 2014","FY 2014","Currency=INR","Period=FY","BEST_FPERIOD_OVERRIDE=FY","FILING_STATUS=OR","EQY_CONSOLIDATED=Y","Sort=A","Dates=H","DateFormat=P","Fill=—","Direction=H","UseDPDF=Y")</f>
        <v>#NAME?</v>
      </c>
      <c r="BV453" s="2" t="e">
        <f ca="1">_xll.BDH($C$453,"TOTAL_CAPITAL_SEQUENTIAL_GROWTH","FY 2014","FY 2014","Currency=INR","Period=FY","BEST_FPERIOD_OVERRIDE=FY","FILING_STATUS=OR","EQY_CONSOLIDATED=Y","Sort=A","Dates=H","DateFormat=P","Fill=—","Direction=H","UseDPDF=Y")</f>
        <v>#NAME?</v>
      </c>
      <c r="BW453" s="2" t="e">
        <f ca="1">_xll.BDH($C$453,"BPS_SEQUENTIAL_GROWTH","FY 2014","FY 2014","Currency=INR","Period=FY","BEST_FPERIOD_OVERRIDE=FY","FILING_STATUS=OR","EQY_CONSOLIDATED=Y","Sort=A","Dates=H","DateFormat=P","Fill=—","Direction=H","UseDPDF=Y")</f>
        <v>#NAME?</v>
      </c>
      <c r="BX453" s="2" t="e">
        <f ca="1">_xll.BDH($C$453,"CFO_SEQUENTIAL_GROWTH","FY 2014","FY 2014","Currency=INR","Period=FY","BEST_FPERIOD_OVERRIDE=FY","FILING_STATUS=OR","EQY_CONSOLIDATED=Y","Sort=A","Dates=H","DateFormat=P","Fill=—","Direction=H","UseDPDF=Y")</f>
        <v>#NAME?</v>
      </c>
      <c r="BY453" s="3" t="e">
        <f ca="1">_xll.BDH($C$453,"SHORT_AND_LONG_TERM_DEBT","FY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53" s="3" t="e">
        <f ca="1">_xll.BDH($C$453,"BS_ST_BORROW","FY 2014","FY 2014","Currency=INR","Period=FY","BEST_FPERIOD_OVERRIDE=FY","FILING_STATUS=OR","EQY_CONSOLIDATED=Y","SCALING_FORMAT=MLN","Sort=A","Dates=H","DateFormat=P","Fill=—","Direction=H","UseDPDF=Y")</f>
        <v>#NAME?</v>
      </c>
      <c r="CA453" s="3" t="e">
        <f ca="1">_xll.BDH($C$453,"BS_LT_BORROW","FY 2014","FY 2014","Currency=INR","Period=FY","BEST_FPERIOD_OVERRIDE=FY","FILING_STATUS=OR","EQY_CONSOLIDATED=Y","SCALING_FORMAT=MLN","Sort=A","Dates=H","DateFormat=P","Fill=—","Direction=H","UseDPDF=Y")</f>
        <v>#NAME?</v>
      </c>
      <c r="CB453" s="2" t="e">
        <f ca="1">_xll.BDH($C$453,"TOT_DEBT_TO_EBITDA","FY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453" s="2" t="e">
        <f ca="1">_xll.BDH($C$453,"NET_DEBT_TO_EBITDA","FY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453" s="2" t="e">
        <f ca="1">_xll.BDH($C$453,"TOTAL_DEBT_TO_EBIT","FY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453" s="2" t="e">
        <f ca="1">_xll.BDH($C$453,"NET_DEBT_TO_EBIT","FY 2014","FY 2014","Currency=INR","Period=FY","BEST_FPERIOD_OVERRIDE=FY","FILING_STATUS=OR","EQY_CONSOLIDATED=Y","FA_ADJUSTED=GAAP","Sort=A","Dates=H","DateFormat=P","Fill=—","Direction=H","UseDPDF=Y")</f>
        <v>#NAME?</v>
      </c>
      <c r="CF453" s="2" t="e">
        <f ca="1">_xll.BDH($C$453,"EBITDA_TO_INTEREST_EXPN","FY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53" s="2" t="e">
        <f ca="1">_xll.BDH($C$453,"COM_EQY_TO_TOT_ASSET","FY 2014","FY 2014","Currency=INR","Period=FY","BEST_FPERIOD_OVERRIDE=FY","FILING_STATUS=OR","EQY_CONSOLIDATED=Y","Sort=A","Dates=H","DateFormat=P","Fill=—","Direction=H","UseDPDF=Y")</f>
        <v>#NAME?</v>
      </c>
      <c r="CH453" s="2" t="e">
        <f ca="1">_xll.BDH($C$453,"LT_DEBT_TO_TOT_EQY","FY 2014","FY 2014","Currency=INR","Period=FY","BEST_FPERIOD_OVERRIDE=FY","FILING_STATUS=OR","EQY_CONSOLIDATED=Y","Sort=A","Dates=H","DateFormat=P","Fill=—","Direction=H","UseDPDF=Y")</f>
        <v>#NAME?</v>
      </c>
      <c r="CI453" s="2" t="e">
        <f ca="1">_xll.BDH($C$453,"LT_DEBT_TO_TOT_CAP","FY 2014","FY 2014","Currency=INR","Period=FY","BEST_FPERIOD_OVERRIDE=FY","FILING_STATUS=OR","EQY_CONSOLIDATED=Y","Sort=A","Dates=H","DateFormat=P","Fill=—","Direction=H","UseDPDF=Y")</f>
        <v>#NAME?</v>
      </c>
      <c r="CJ453" s="2" t="e">
        <f ca="1">_xll.BDH($C$453,"LT_DEBT_TO_TOT_ASSET","FY 2014","FY 2014","Currency=INR","Period=FY","BEST_FPERIOD_OVERRIDE=FY","FILING_STATUS=OR","EQY_CONSOLIDATED=Y","Sort=A","Dates=H","DateFormat=P","Fill=—","Direction=H","UseDPDF=Y")</f>
        <v>#NAME?</v>
      </c>
      <c r="CK453" s="2" t="e">
        <f ca="1">_xll.BDH($C$453,"TOT_DEBT_TO_TOT_EQY","FY 2014","FY 2014","Currency=INR","Period=FY","BEST_FPERIOD_OVERRIDE=FY","FILING_STATUS=OR","EQY_CONSOLIDATED=Y","Sort=A","Dates=H","DateFormat=P","Fill=—","Direction=H","UseDPDF=Y")</f>
        <v>#NAME?</v>
      </c>
      <c r="CL453" s="2" t="e">
        <f ca="1">_xll.BDH($C$453,"TOT_DEBT_TO_TOT_CAP","FY 2014","FY 2014","Currency=INR","Period=FY","BEST_FPERIOD_OVERRIDE=FY","FILING_STATUS=OR","EQY_CONSOLIDATED=Y","Sort=A","Dates=H","DateFormat=P","Fill=—","Direction=H","UseDPDF=Y")</f>
        <v>#NAME?</v>
      </c>
      <c r="CM453" s="2" t="e">
        <f ca="1">_xll.BDH($C$453,"TOT_DEBT_TO_TOT_ASSET","FY 2014","FY 2014","Currency=INR","Period=FY","BEST_FPERIOD_OVERRIDE=FY","FILING_STATUS=OR","EQY_CONSOLIDATED=Y","Sort=A","Dates=H","DateFormat=P","Fill=—","Direction=H","UseDPDF=Y")</f>
        <v>#NAME?</v>
      </c>
      <c r="CN453" s="2" t="e">
        <f ca="1">_xll.BDH($C$453,"NET_DEBT_TO_SHRHLDR_EQTY","FY 2014","FY 2014","Currency=INR","Period=FY","BEST_FPERIOD_OVERRIDE=FY","FILING_STATUS=OR","EQY_CONSOLIDATED=Y","Sort=A","Dates=H","DateFormat=P","Fill=—","Direction=H","UseDPDF=Y")</f>
        <v>#NAME?</v>
      </c>
      <c r="CO453" s="2" t="e">
        <f ca="1">_xll.BDH($C$453,"NET_DEBT_%_CAPITAL","FY 2014","FY 2014","Currency=INR","Period=FY","BEST_FPERIOD_OVERRIDE=FY","FILING_STATUS=OR","EQY_CONSOLIDATED=Y","Sort=A","Dates=H","DateFormat=P","Fill=—","Direction=H","UseDPDF=Y")</f>
        <v>#NAME?</v>
      </c>
      <c r="CP453" s="3" t="e">
        <f ca="1">_xll.BDH($C$453,"EBITDA","FY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53" s="3" t="e">
        <f ca="1">_xll.BDH($C$453,"EBITDA_AFTER_CAPEX","FY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53" s="3" t="e">
        <f ca="1">_xll.BDH($C$453,"IS_OPER_INC","FY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53" s="2" t="e">
        <f ca="1">_xll.BDH($C$453,"CASH_RATIO","FY 2014","FY 2014","Currency=INR","Period=FY","BEST_FPERIOD_OVERRIDE=FY","FILING_STATUS=OR","EQY_CONSOLIDATED=Y","Sort=A","Dates=H","DateFormat=P","Fill=—","Direction=H","UseDPDF=Y")</f>
        <v>#NAME?</v>
      </c>
      <c r="CT453" s="2" t="e">
        <f ca="1">_xll.BDH($C$453,"CUR_RATIO","FY 2014","FY 2014","Currency=INR","Period=FY","BEST_FPERIOD_OVERRIDE=FY","FILING_STATUS=OR","EQY_CONSOLIDATED=Y","Sort=A","Dates=H","DateFormat=P","Fill=—","Direction=H","UseDPDF=Y")</f>
        <v>#NAME?</v>
      </c>
      <c r="CU453" s="2" t="e">
        <f ca="1">_xll.BDH($C$453,"QUICK_RATIO","FY 2014","FY 2014","Currency=INR","Period=FY","BEST_FPERIOD_OVERRIDE=FY","FILING_STATUS=OR","EQY_CONSOLIDATED=Y","Sort=A","Dates=H","DateFormat=P","Fill=—","Direction=H","UseDPDF=Y")</f>
        <v>#NAME?</v>
      </c>
      <c r="CV453" s="2" t="e">
        <f ca="1">_xll.BDH($C$453,"ALTMAN_Z_SCORE","FY 2014","FY 2014","Currency=INR","Period=FY","BEST_FPERIOD_OVERRIDE=FY","FILING_STATUS=OR","EQY_CONSOLIDATED=Y","Sort=A","Dates=H","DateFormat=P","Fill=—","Direction=H","UseDPDF=Y")</f>
        <v>#NAME?</v>
      </c>
      <c r="CW453" s="4" t="e">
        <f ca="1">_xll.BDH($C$453,"ACCT_RCV_TURN","FY 2014","FY 2014","Currency=INR","Period=FY","BEST_FPERIOD_OVERRIDE=FY","FILING_STATUS=OR","EQY_CONSOLIDATED=Y","FA_ADJUSTED=GAAP","Sort=A","Dates=H","DateFormat=P","Fill=—","Direction=H","UseDPDF=Y")</f>
        <v>#NAME?</v>
      </c>
      <c r="CX453" s="2" t="e">
        <f ca="1">_xll.BDH($C$453,"ACCT_RCV_DAYS","FY 2014","FY 2014","Currency=INR","Period=FY","BEST_FPERIOD_OVERRIDE=FY","FILING_STATUS=OR","EQY_CONSOLIDATED=Y","FA_ADJUSTED=GAAP","Sort=A","Dates=H","DateFormat=P","Fill=—","Direction=H","UseDPDF=Y")</f>
        <v>#NAME?</v>
      </c>
      <c r="CY453" s="4" t="e">
        <f ca="1">_xll.BDH($C$453,"INVENT_TURN","FY 2014","FY 2014","Currency=INR","Period=FY","BEST_FPERIOD_OVERRIDE=FY","FILING_STATUS=OR","EQY_CONSOLIDATED=Y","FA_ADJUSTED=GAAP","Sort=A","Dates=H","DateFormat=P","Fill=—","Direction=H","UseDPDF=Y")</f>
        <v>#NAME?</v>
      </c>
      <c r="CZ453" s="2" t="e">
        <f ca="1">_xll.BDH($C$453,"INVENT_DAYS","FY 2014","FY 2014","Currency=INR","Period=FY","BEST_FPERIOD_OVERRIDE=FY","FILING_STATUS=OR","EQY_CONSOLIDATED=Y","FA_ADJUSTED=GAAP","Sort=A","Dates=H","DateFormat=P","Fill=—","Direction=H","UseDPDF=Y")</f>
        <v>#NAME?</v>
      </c>
      <c r="DA453" s="4" t="e">
        <f ca="1">_xll.BDH($C$453,"ACCOUNTS_PAYABLE_TURNOVER","FY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53" s="2" t="e">
        <f ca="1">_xll.BDH($C$453,"ACCOUNTS_PAYABLE_TURNOVER_DAYS","FY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53" s="4" t="e">
        <f ca="1">_xll.BDH($C$453,"CASH_CONVERSION_CYCLE","FY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53" s="4" t="e">
        <f ca="1">_xll.BDH($C$453,"INV_TO_CASH_DAYS","FY 2014","FY 2014","Currency=INR","Period=FY","BEST_FPERIOD_OVERRIDE=FY","FILING_STATUS=OR","EQY_CONSOLIDATED=Y","FA_ADJUSTED=GAAP","Sort=A","Dates=H","DateFormat=P","Fill=—","Direction=H","UseDPDF=Y")</f>
        <v>#NAME?</v>
      </c>
      <c r="DE453" s="5" t="e">
        <f ca="1">_xll.BDH($C$453,"BS_INVENTORIES","FY 2014","FY 2014","Currency=INR","Period=FY","BEST_FPERIOD_OVERRIDE=FY","FILING_STATUS=OR","EQY_CONSOLIDATED=Y","SCALING_FORMAT=MLN","Sort=A","Dates=H","DateFormat=P","Fill=—","Direction=H","UseDPDF=Y")</f>
        <v>#NAME?</v>
      </c>
      <c r="DF453" s="3" t="e">
        <f ca="1">_xll.BDH($C$453,"INVTRY_RAW_MATERIALS","FY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53" s="3" t="e">
        <f ca="1">_xll.BDH($C$453,"INVTRY_IN_PROGRESS","FY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53" s="3" t="e">
        <f ca="1">_xll.BDH($C$453,"INVTRY_FINISHED_GOODS","FY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53" s="3" t="e">
        <f ca="1">_xll.BDH($C$453,"BS_OTHER_INV","FY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54" spans="1:113" x14ac:dyDescent="0.3">
      <c r="A454" s="6"/>
      <c r="B454" s="6"/>
      <c r="C454" s="6"/>
      <c r="D454" s="6"/>
      <c r="E454" t="s">
        <v>78</v>
      </c>
      <c r="F454" t="e">
        <f ca="1">_xll.BDH($C$453,"RETURN_COM_EQY","FQ1 2014","FQ1 2014","Currency=INR","Period=FQ","BEST_FPERIOD_OVERRIDE=FQ","FILING_STATUS=OR","EQY_CONSOLIDATED=Y","FA_ADJUSTED=GAAP","Sort=A","Dates=H","DateFormat=P","Fill=—","Direction=H","UseDPDF=Y")</f>
        <v>#NAME?</v>
      </c>
      <c r="G454" t="e">
        <f ca="1">_xll.BDH($C$453,"RETURN_ON_ASSET","FQ1 2014","FQ1 2014","Currency=INR","Period=FQ","BEST_FPERIOD_OVERRIDE=FQ","FILING_STATUS=OR","EQY_CONSOLIDATED=Y","FA_ADJUSTED=GAAP","Sort=A","Dates=H","DateFormat=P","Fill=—","Direction=H","UseDPDF=Y")</f>
        <v>#NAME?</v>
      </c>
      <c r="H454" t="e">
        <f ca="1">_xll.BDH($C$453,"RETURN_ON_CAP","FQ1 2014","FQ1 2014","Currency=INR","Period=FQ","BEST_FPERIOD_OVERRIDE=FQ","FILING_STATUS=OR","EQY_CONSOLIDATED=Y","FA_ADJUSTED=GAAP","Sort=A","Dates=H","DateFormat=P","Fill=—","Direction=H","UseDPDF=Y")</f>
        <v>#NAME?</v>
      </c>
      <c r="I454" t="e">
        <f ca="1">_xll.BDH($C$453,"RETURN_ON_INV_CAPITAL","FQ1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54" t="e">
        <f ca="1">_xll.BDH($C$453,"EBITDA_TO_REVENUE","FQ1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454" t="e">
        <f ca="1">_xll.BDH($C$453,"OPER_MARGIN","FQ1 2014","FQ1 2014","Currency=INR","Period=FQ","BEST_FPERIOD_OVERRIDE=FQ","FILING_STATUS=OR","EQY_CONSOLIDATED=Y","FA_ADJUSTED=GAAP","Sort=A","Dates=H","DateFormat=P","Fill=—","Direction=H","UseDPDF=Y")</f>
        <v>#NAME?</v>
      </c>
      <c r="L454" t="e">
        <f ca="1">_xll.BDH($C$453,"INCREMENTAL_OPERATING_MARGIN","FQ1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54" t="e">
        <f ca="1">_xll.BDH($C$453,"PRETAX_INC_TO_NET_SALES","FQ1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54" t="e">
        <f ca="1">_xll.BDH($C$453,"INC_BEF_XO_ITEMS_TO_NET_SALES","FQ1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54" t="e">
        <f ca="1">_xll.BDH($C$453,"PROF_MARGIN","FQ1 2014","FQ1 2014","Currency=INR","Period=FQ","BEST_FPERIOD_OVERRIDE=FQ","FILING_STATUS=OR","EQY_CONSOLIDATED=Y","FA_ADJUSTED=GAAP","Sort=A","Dates=H","DateFormat=P","Fill=—","Direction=H","UseDPDF=Y")</f>
        <v>#NAME?</v>
      </c>
      <c r="P454" t="e">
        <f ca="1">_xll.BDH($C$453,"NET_INCOME_TO_COMMON_MARGIN","FQ1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54" t="e">
        <f ca="1">_xll.BDH($C$453,"EFF_TAX_RATE","FQ1 2014","FQ1 2014","Currency=INR","Period=FQ","BEST_FPERIOD_OVERRIDE=FQ","FILING_STATUS=OR","EQY_CONSOLIDATED=Y","FA_ADJUSTED=GAAP","Sort=A","Dates=H","DateFormat=P","Fill=—","Direction=H","UseDPDF=Y")</f>
        <v>#NAME?</v>
      </c>
      <c r="R454" t="e">
        <f ca="1">_xll.BDH($C$453,"DVD_PAYOUT_RATIO","FQ1 2014","FQ1 2014","Currency=INR","Period=FQ","BEST_FPERIOD_OVERRIDE=FQ","FILING_STATUS=OR","EQY_CONSOLIDATED=Y","FA_ADJUSTED=GAAP","Sort=A","Dates=H","DateFormat=P","Fill=—","Direction=H","UseDPDF=Y")</f>
        <v>#NAME?</v>
      </c>
      <c r="S454" t="e">
        <f ca="1">_xll.BDH($C$453,"SUSTAIN_GROWTH_RT","FQ1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454" s="2" t="e">
        <f ca="1">_xll.BDH($C$453,"SALES_GROWTH","FQ1 2014","FQ1 2014","Currency=INR","Period=FQ","BEST_FPERIOD_OVERRIDE=FQ","FILING_STATUS=OR","EQY_CONSOLIDATED=Y","FA_ADJUSTED=GAAP","Sort=A","Dates=H","DateFormat=P","Fill=—","Direction=H","UseDPDF=Y")</f>
        <v>#NAME?</v>
      </c>
      <c r="U454" s="2" t="e">
        <f ca="1">_xll.BDH($C$453,"EBITDA_GROWTH","FQ1 2014","FQ1 2014","Currency=INR","Period=FQ","BEST_FPERIOD_OVERRIDE=FQ","FILING_STATUS=OR","EQY_CONSOLIDATED=Y","FA_ADJUSTED=GAAP","Sort=A","Dates=H","DateFormat=P","Fill=—","Direction=H","UseDPDF=Y")</f>
        <v>#NAME?</v>
      </c>
      <c r="V454" s="2" t="e">
        <f ca="1">_xll.BDH($C$453,"OPER_INC_GROWTH","FQ1 2014","FQ1 2014","Currency=INR","Period=FQ","BEST_FPERIOD_OVERRIDE=FQ","FILING_STATUS=OR","EQY_CONSOLIDATED=Y","FA_ADJUSTED=GAAP","Sort=A","Dates=H","DateFormat=P","Fill=—","Direction=H","UseDPDF=Y")</f>
        <v>#NAME?</v>
      </c>
      <c r="W454" s="2" t="e">
        <f ca="1">_xll.BDH($C$453,"EARN_FOR_COM_GROWTH","FQ1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54" s="2" t="e">
        <f ca="1">_xll.BDH($C$453,"DILUTED_EPS_AFT_XO_ITEMS_GROWTH","FQ1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54" s="2" t="e">
        <f ca="1">_xll.BDH($C$453,"DIVIDEND_PER_SHARE_1_YEAR_GROWTH","FQ1 2014","FQ1 2014","Currency=INR","Period=FQ","BEST_FPERIOD_OVERRIDE=FQ","FILING_STATUS=OR","EQY_CONSOLIDATED=Y","Sort=A","Dates=H","DateFormat=P","Fill=—","Direction=H","UseDPDF=Y")</f>
        <v>#NAME?</v>
      </c>
      <c r="Z454" s="2" t="e">
        <f ca="1">_xll.BDH($C$453,"ACCOUNTS_RECEIVABLE_GROWTH","FQ1 2014","FQ1 2014","Currency=INR","Period=FQ","BEST_FPERIOD_OVERRIDE=FQ","FILING_STATUS=OR","EQY_CONSOLIDATED=Y","Sort=A","Dates=H","DateFormat=P","Fill=—","Direction=H","UseDPDF=Y")</f>
        <v>#NAME?</v>
      </c>
      <c r="AA454" s="2" t="e">
        <f ca="1">_xll.BDH($C$453,"INVENTORY_GROWTH","FQ1 2014","FQ1 2014","Currency=INR","Period=FQ","BEST_FPERIOD_OVERRIDE=FQ","FILING_STATUS=OR","EQY_CONSOLIDATED=Y","Sort=A","Dates=H","DateFormat=P","Fill=—","Direction=H","UseDPDF=Y")</f>
        <v>#NAME?</v>
      </c>
      <c r="AB454" s="2" t="e">
        <f ca="1">_xll.BDH($C$453,"NET_FIXED_ASSETS_1_YEAR_GROWTH","FQ1 2014","FQ1 2014","Currency=INR","Period=FQ","BEST_FPERIOD_OVERRIDE=FQ","FILING_STATUS=OR","EQY_CONSOLIDATED=Y","Sort=A","Dates=H","DateFormat=P","Fill=—","Direction=H","UseDPDF=Y")</f>
        <v>#NAME?</v>
      </c>
      <c r="AC454" s="2" t="e">
        <f ca="1">_xll.BDH($C$453,"ASSET_GROWTH","FQ1 2014","FQ1 2014","Currency=INR","Period=FQ","BEST_FPERIOD_OVERRIDE=FQ","FILING_STATUS=OR","EQY_CONSOLIDATED=Y","Sort=A","Dates=H","DateFormat=P","Fill=—","Direction=H","UseDPDF=Y")</f>
        <v>#NAME?</v>
      </c>
      <c r="AD454" s="2" t="e">
        <f ca="1">_xll.BDH($C$453,"MODIFIED_WORK_CAP_GROWTH","FQ1 2014","FQ1 2014","Currency=INR","Period=FQ","BEST_FPERIOD_OVERRIDE=FQ","FILING_STATUS=OR","EQY_CONSOLIDATED=Y","Sort=A","Dates=H","DateFormat=P","Fill=—","Direction=H","UseDPDF=Y")</f>
        <v>#NAME?</v>
      </c>
      <c r="AE454" s="2" t="e">
        <f ca="1">_xll.BDH($C$453,"WORK_CAP_GROWTH","FQ1 2014","FQ1 2014","Currency=INR","Period=FQ","BEST_FPERIOD_OVERRIDE=FQ","FILING_STATUS=OR","EQY_CONSOLIDATED=Y","Sort=A","Dates=H","DateFormat=P","Fill=—","Direction=H","UseDPDF=Y")</f>
        <v>#NAME?</v>
      </c>
      <c r="AF454" s="2" t="e">
        <f ca="1">_xll.BDH($C$453,"ACCOUNTS_PAYABLE_GROWTH_1YR","FQ1 2014","FQ1 2014","Currency=INR","Period=FQ","BEST_FPERIOD_OVERRIDE=FQ","FILING_STATUS=OR","EQY_CONSOLIDATED=Y","Sort=A","Dates=H","DateFormat=P","Fill=—","Direction=H","UseDPDF=Y")</f>
        <v>#NAME?</v>
      </c>
      <c r="AG454" s="2" t="e">
        <f ca="1">_xll.BDH($C$453,"SHORT_TERM_DEBT_1_YEAR_GROWTH","FQ1 2014","FQ1 2014","Currency=INR","Period=FQ","BEST_FPERIOD_OVERRIDE=FQ","FILING_STATUS=OR","EQY_CONSOLIDATED=Y","Sort=A","Dates=H","DateFormat=P","Fill=—","Direction=H","UseDPDF=Y")</f>
        <v>#NAME?</v>
      </c>
      <c r="AH454" s="2" t="e">
        <f ca="1">_xll.BDH($C$453,"TOTAL_DEBT_1_YEAR_GROWTH","FQ1 2014","FQ1 2014","Currency=INR","Period=FQ","BEST_FPERIOD_OVERRIDE=FQ","FILING_STATUS=OR","EQY_CONSOLIDATED=Y","Sort=A","Dates=H","DateFormat=P","Fill=—","Direction=H","UseDPDF=Y")</f>
        <v>#NAME?</v>
      </c>
      <c r="AI454" s="2" t="e">
        <f ca="1">_xll.BDH($C$453,"TOTAL_EQUITY_1_YEAR_GROWTH","FQ1 2014","FQ1 2014","Currency=INR","Period=FQ","BEST_FPERIOD_OVERRIDE=FQ","FILING_STATUS=OR","EQY_CONSOLIDATED=Y","Sort=A","Dates=H","DateFormat=P","Fill=—","Direction=H","UseDPDF=Y")</f>
        <v>#NAME?</v>
      </c>
      <c r="AJ454" s="2" t="e">
        <f ca="1">_xll.BDH($C$453,"GROWTH_IN_CAP","FQ1 2014","FQ1 2014","Currency=INR","Period=FQ","BEST_FPERIOD_OVERRIDE=FQ","FILING_STATUS=OR","EQY_CONSOLIDATED=Y","Sort=A","Dates=H","DateFormat=P","Fill=—","Direction=H","UseDPDF=Y")</f>
        <v>#NAME?</v>
      </c>
      <c r="AK454" s="2" t="e">
        <f ca="1">_xll.BDH($C$453,"BVPS_GROWTH","FQ1 2014","FQ1 2014","Currency=INR","Period=FQ","BEST_FPERIOD_OVERRIDE=FQ","FILING_STATUS=OR","EQY_CONSOLIDATED=Y","Sort=A","Dates=H","DateFormat=P","Fill=—","Direction=H","UseDPDF=Y")</f>
        <v>#NAME?</v>
      </c>
      <c r="AL454" s="2" t="e">
        <f ca="1">_xll.BDH($C$453,"CASH_FLOW_GROWTH","FQ1 2014","FQ1 2014","Currency=INR","Period=FQ","BEST_FPERIOD_OVERRIDE=FQ","FILING_STATUS=OR","EQY_CONSOLIDATED=Y","Sort=A","Dates=H","DateFormat=P","Fill=—","Direction=H","UseDPDF=Y")</f>
        <v>#NAME?</v>
      </c>
      <c r="AM454" s="2" t="e">
        <f ca="1">_xll.BDH($C$453,"GEO_GROW_NET_SALES","FQ1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54" s="2" t="e">
        <f ca="1">_xll.BDH($C$453,"GEO_GROW_EBITDA","FQ1 2014","FQ1 2014","Currency=INR","Period=FQ","BEST_FPERIOD_OVERRIDE=FQ","FILING_STATUS=OR","EQY_CONSOLIDATED=Y","FA_ADJUSTED=GAAP","Sort=A","Dates=H","DateFormat=P","Fill=—","Direction=H","UseDPDF=Y")</f>
        <v>#NAME?</v>
      </c>
      <c r="AO454" s="2" t="e">
        <f ca="1">_xll.BDH($C$453,"GEO_GROW_OPER_INC","FQ1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54" s="2" t="e">
        <f ca="1">_xll.BDH($C$453,"NET_INCOME_TO_COMMON_5_YR_GROWTH","FQ1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54" s="2" t="e">
        <f ca="1">_xll.BDH($C$453,"5Y_GEO_GROWTH_DILUTED_EPS","FQ1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54" s="2" t="e">
        <f ca="1">_xll.BDH($C$453,"GEO_GROW_DVD_PER_SH","FQ1 2014","FQ1 2014","Currency=INR","Period=FQ","BEST_FPERIOD_OVERRIDE=FQ","FILING_STATUS=OR","EQY_CONSOLIDATED=Y","Sort=A","Dates=H","DateFormat=P","Fill=—","Direction=H","UseDPDF=Y")</f>
        <v>#NAME?</v>
      </c>
      <c r="AS454" s="2" t="e">
        <f ca="1">_xll.BDH($C$453,"ACCOUNTS_RECEIVABLE_5_YR_GROWTH","FQ1 2014","FQ1 2014","Currency=INR","Period=FQ","BEST_FPERIOD_OVERRIDE=FQ","FILING_STATUS=OR","EQY_CONSOLIDATED=Y","Sort=A","Dates=H","DateFormat=P","Fill=—","Direction=H","UseDPDF=Y")</f>
        <v>#NAME?</v>
      </c>
      <c r="AT454" s="2" t="e">
        <f ca="1">_xll.BDH($C$453,"INVENTORY_5_YEAR_GROWTH","FQ1 2014","FQ1 2014","Currency=INR","Period=FQ","BEST_FPERIOD_OVERRIDE=FQ","FILING_STATUS=OR","EQY_CONSOLIDATED=Y","Sort=A","Dates=H","DateFormat=P","Fill=—","Direction=H","UseDPDF=Y")</f>
        <v>#NAME?</v>
      </c>
      <c r="AU454" s="2" t="e">
        <f ca="1">_xll.BDH($C$453,"NET_FIXED_ASSETS_5_YEAR_GROWTH","FQ1 2014","FQ1 2014","Currency=INR","Period=FQ","BEST_FPERIOD_OVERRIDE=FQ","FILING_STATUS=OR","EQY_CONSOLIDATED=Y","Sort=A","Dates=H","DateFormat=P","Fill=—","Direction=H","UseDPDF=Y")</f>
        <v>#NAME?</v>
      </c>
      <c r="AV454" s="2" t="e">
        <f ca="1">_xll.BDH($C$453,"GEO_GROW_TOT_ASSET","FQ1 2014","FQ1 2014","Currency=INR","Period=FQ","BEST_FPERIOD_OVERRIDE=FQ","FILING_STATUS=OR","EQY_CONSOLIDATED=Y","Sort=A","Dates=H","DateFormat=P","Fill=—","Direction=H","UseDPDF=Y")</f>
        <v>#NAME?</v>
      </c>
      <c r="AW454" s="2" t="e">
        <f ca="1">_xll.BDH($C$453,"MODIFIED_WORKING_CPTL_5YR_GRWTH","FQ1 2014","FQ1 2014","Currency=INR","Period=FQ","BEST_FPERIOD_OVERRIDE=FQ","FILING_STATUS=OR","EQY_CONSOLIDATED=Y","Sort=A","Dates=H","DateFormat=P","Fill=—","Direction=H","UseDPDF=Y")</f>
        <v>#NAME?</v>
      </c>
      <c r="AX454" s="2" t="e">
        <f ca="1">_xll.BDH($C$453,"WORKING_CAPITAL_5_YEAR_GROWTH","FQ1 2014","FQ1 2014","Currency=INR","Period=FQ","BEST_FPERIOD_OVERRIDE=FQ","FILING_STATUS=OR","EQY_CONSOLIDATED=Y","Sort=A","Dates=H","DateFormat=P","Fill=—","Direction=H","UseDPDF=Y")</f>
        <v>#NAME?</v>
      </c>
      <c r="AY454" s="2" t="e">
        <f ca="1">_xll.BDH($C$453,"ACCOUNTS_PAYABLE_5_YEAR_GROWTH","FQ1 2014","FQ1 2014","Currency=INR","Period=FQ","BEST_FPERIOD_OVERRIDE=FQ","FILING_STATUS=OR","EQY_CONSOLIDATED=Y","Sort=A","Dates=H","DateFormat=P","Fill=—","Direction=H","UseDPDF=Y")</f>
        <v>#NAME?</v>
      </c>
      <c r="AZ454" s="2" t="e">
        <f ca="1">_xll.BDH($C$453,"SHORT_TERM_DEBT_5_YEAR_GROWTH","FQ1 2014","FQ1 2014","Currency=INR","Period=FQ","BEST_FPERIOD_OVERRIDE=FQ","FILING_STATUS=OR","EQY_CONSOLIDATED=Y","Sort=A","Dates=H","DateFormat=P","Fill=—","Direction=H","UseDPDF=Y")</f>
        <v>#NAME?</v>
      </c>
      <c r="BA454" s="2" t="e">
        <f ca="1">_xll.BDH($C$453,"TOTAL_DEBT_5_YEAR_GROWTH","FQ1 2014","FQ1 2014","Currency=INR","Period=FQ","BEST_FPERIOD_OVERRIDE=FQ","FILING_STATUS=OR","EQY_CONSOLIDATED=Y","Sort=A","Dates=H","DateFormat=P","Fill=—","Direction=H","UseDPDF=Y")</f>
        <v>#NAME?</v>
      </c>
      <c r="BB454" s="2" t="e">
        <f ca="1">_xll.BDH($C$453,"GEO_GROW_TOT_SHRHLDR_EQY","FQ1 2014","FQ1 2014","Currency=INR","Period=FQ","BEST_FPERIOD_OVERRIDE=FQ","FILING_STATUS=OR","EQY_CONSOLIDATED=Y","Sort=A","Dates=H","DateFormat=P","Fill=—","Direction=H","UseDPDF=Y")</f>
        <v>#NAME?</v>
      </c>
      <c r="BC454" s="2" t="e">
        <f ca="1">_xll.BDH($C$453,"TOTAL_CAPITAL_5_YEAR_GROWTH","FQ1 2014","FQ1 2014","Currency=INR","Period=FQ","BEST_FPERIOD_OVERRIDE=FQ","FILING_STATUS=OR","EQY_CONSOLIDATED=Y","Sort=A","Dates=H","DateFormat=P","Fill=—","Direction=H","UseDPDF=Y")</f>
        <v>#NAME?</v>
      </c>
      <c r="BD454" s="2" t="e">
        <f ca="1">_xll.BDH($C$453,"GEO_GROW_BOOK_VAL","FQ1 2014","FQ1 2014","Currency=INR","Period=FQ","BEST_FPERIOD_OVERRIDE=FQ","FILING_STATUS=OR","EQY_CONSOLIDATED=Y","Sort=A","Dates=H","DateFormat=P","Fill=—","Direction=H","UseDPDF=Y")</f>
        <v>#NAME?</v>
      </c>
      <c r="BE454" s="2" t="e">
        <f ca="1">_xll.BDH($C$453,"GEO_GROW_CASH_OPER_ACT","FQ1 2014","FQ1 2014","Currency=INR","Period=FQ","BEST_FPERIOD_OVERRIDE=FQ","FILING_STATUS=OR","EQY_CONSOLIDATED=Y","Sort=A","Dates=H","DateFormat=P","Fill=—","Direction=H","UseDPDF=Y")</f>
        <v>#NAME?</v>
      </c>
      <c r="BF454" s="2" t="e">
        <f ca="1">_xll.BDH($C$453,"REVENUE_SEQUENTIAL_GROWTH","FQ1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54" s="2" t="e">
        <f ca="1">_xll.BDH($C$453,"EBITDA_SEQUENTIAL_GROWTH","FQ1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54" s="2" t="e">
        <f ca="1">_xll.BDH($C$453,"OPERATING_INCOME_SEQ_GROWTH","FQ1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54" s="2" t="e">
        <f ca="1">_xll.BDH($C$453,"NET_INCOME_TO_COMMON_SEQ_GROWTH","FQ1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54" s="2" t="e">
        <f ca="1">_xll.BDH($C$453,"EPS_DILUTED_SEQUENTIAL_GROWTH","FQ1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54" s="2" t="e">
        <f ca="1">_xll.BDH($C$453,"DPS_SEQUENTIAL_GROWTH","FQ1 2014","FQ1 2014","Currency=INR","Period=FQ","BEST_FPERIOD_OVERRIDE=FQ","FILING_STATUS=OR","EQY_CONSOLIDATED=Y","Sort=A","Dates=H","DateFormat=P","Fill=—","Direction=H","UseDPDF=Y")</f>
        <v>#NAME?</v>
      </c>
      <c r="BL454" s="2" t="e">
        <f ca="1">_xll.BDH($C$453,"ACCOUNTS_RECEIVABLE_SEQ_GROWTH","FQ1 2014","FQ1 2014","Currency=INR","Period=FQ","BEST_FPERIOD_OVERRIDE=FQ","FILING_STATUS=OR","EQY_CONSOLIDATED=Y","Sort=A","Dates=H","DateFormat=P","Fill=—","Direction=H","UseDPDF=Y")</f>
        <v>#NAME?</v>
      </c>
      <c r="BM454" s="2" t="e">
        <f ca="1">_xll.BDH($C$453,"INVENTORY_SEQUENTIAL_GROWTH","FQ1 2014","FQ1 2014","Currency=INR","Period=FQ","BEST_FPERIOD_OVERRIDE=FQ","FILING_STATUS=OR","EQY_CONSOLIDATED=Y","Sort=A","Dates=H","DateFormat=P","Fill=—","Direction=H","UseDPDF=Y")</f>
        <v>#NAME?</v>
      </c>
      <c r="BN454" s="2" t="e">
        <f ca="1">_xll.BDH($C$453,"FIXED_ASSETS_SEQUENTIAL_GROWTH","FQ1 2014","FQ1 2014","Currency=INR","Period=FQ","BEST_FPERIOD_OVERRIDE=FQ","FILING_STATUS=OR","EQY_CONSOLIDATED=Y","Sort=A","Dates=H","DateFormat=P","Fill=—","Direction=H","UseDPDF=Y")</f>
        <v>#NAME?</v>
      </c>
      <c r="BO454" s="2" t="e">
        <f ca="1">_xll.BDH($C$453,"TOTAL_ASSETS_SEQUENTIAL_GROWTH","FQ1 2014","FQ1 2014","Currency=INR","Period=FQ","BEST_FPERIOD_OVERRIDE=FQ","FILING_STATUS=OR","EQY_CONSOLIDATED=Y","Sort=A","Dates=H","DateFormat=P","Fill=—","Direction=H","UseDPDF=Y")</f>
        <v>#NAME?</v>
      </c>
      <c r="BP454" s="2" t="e">
        <f ca="1">_xll.BDH($C$453,"MODIFIED_WORKING_CPTL_SEQ_GRWTH","FQ1 2014","FQ1 2014","Currency=INR","Period=FQ","BEST_FPERIOD_OVERRIDE=FQ","FILING_STATUS=OR","EQY_CONSOLIDATED=Y","Sort=A","Dates=H","DateFormat=P","Fill=—","Direction=H","UseDPDF=Y")</f>
        <v>#NAME?</v>
      </c>
      <c r="BQ454" s="2" t="e">
        <f ca="1">_xll.BDH($C$453,"WORKING_CAPITAL_SEQ_GROWTH","FQ1 2014","FQ1 2014","Currency=INR","Period=FQ","BEST_FPERIOD_OVERRIDE=FQ","FILING_STATUS=OR","EQY_CONSOLIDATED=Y","Sort=A","Dates=H","DateFormat=P","Fill=—","Direction=H","UseDPDF=Y")</f>
        <v>#NAME?</v>
      </c>
      <c r="BR454" s="2" t="e">
        <f ca="1">_xll.BDH($C$453,"ACCOUNTS_PAYABLE_SEQ_GROWTH","FQ1 2014","FQ1 2014","Currency=INR","Period=FQ","BEST_FPERIOD_OVERRIDE=FQ","FILING_STATUS=OR","EQY_CONSOLIDATED=Y","Sort=A","Dates=H","DateFormat=P","Fill=—","Direction=H","UseDPDF=Y")</f>
        <v>#NAME?</v>
      </c>
      <c r="BS454" s="2" t="e">
        <f ca="1">_xll.BDH($C$453,"ST_DEBT_SEQUENTIAL_GROWTH","FQ1 2014","FQ1 2014","Currency=INR","Period=FQ","BEST_FPERIOD_OVERRIDE=FQ","FILING_STATUS=OR","EQY_CONSOLIDATED=Y","Sort=A","Dates=H","DateFormat=P","Fill=—","Direction=H","UseDPDF=Y")</f>
        <v>#NAME?</v>
      </c>
      <c r="BT454" s="2" t="e">
        <f ca="1">_xll.BDH($C$453,"TOTAL_DEBT_SEQUENTIAL_GROWTH","FQ1 2014","FQ1 2014","Currency=INR","Period=FQ","BEST_FPERIOD_OVERRIDE=FQ","FILING_STATUS=OR","EQY_CONSOLIDATED=Y","Sort=A","Dates=H","DateFormat=P","Fill=—","Direction=H","UseDPDF=Y")</f>
        <v>#NAME?</v>
      </c>
      <c r="BU454" s="2" t="e">
        <f ca="1">_xll.BDH($C$453,"TOTAL_EQUITY_SEQUENTIAL_GROWTH","FQ1 2014","FQ1 2014","Currency=INR","Period=FQ","BEST_FPERIOD_OVERRIDE=FQ","FILING_STATUS=OR","EQY_CONSOLIDATED=Y","Sort=A","Dates=H","DateFormat=P","Fill=—","Direction=H","UseDPDF=Y")</f>
        <v>#NAME?</v>
      </c>
      <c r="BV454" s="2" t="e">
        <f ca="1">_xll.BDH($C$453,"TOTAL_CAPITAL_SEQUENTIAL_GROWTH","FQ1 2014","FQ1 2014","Currency=INR","Period=FQ","BEST_FPERIOD_OVERRIDE=FQ","FILING_STATUS=OR","EQY_CONSOLIDATED=Y","Sort=A","Dates=H","DateFormat=P","Fill=—","Direction=H","UseDPDF=Y")</f>
        <v>#NAME?</v>
      </c>
      <c r="BW454" s="2" t="e">
        <f ca="1">_xll.BDH($C$453,"BPS_SEQUENTIAL_GROWTH","FQ1 2014","FQ1 2014","Currency=INR","Period=FQ","BEST_FPERIOD_OVERRIDE=FQ","FILING_STATUS=OR","EQY_CONSOLIDATED=Y","Sort=A","Dates=H","DateFormat=P","Fill=—","Direction=H","UseDPDF=Y")</f>
        <v>#NAME?</v>
      </c>
      <c r="BX454" s="2" t="e">
        <f ca="1">_xll.BDH($C$453,"CFO_SEQUENTIAL_GROWTH","FQ1 2014","FQ1 2014","Currency=INR","Period=FQ","BEST_FPERIOD_OVERRIDE=FQ","FILING_STATUS=OR","EQY_CONSOLIDATED=Y","Sort=A","Dates=H","DateFormat=P","Fill=—","Direction=H","UseDPDF=Y")</f>
        <v>#NAME?</v>
      </c>
      <c r="BY454" s="3" t="e">
        <f ca="1">_xll.BDH($C$453,"SHORT_AND_LONG_TERM_DEBT","FQ1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54" s="3" t="e">
        <f ca="1">_xll.BDH($C$453,"BS_ST_BORROW","FQ1 2014","FQ1 2014","Currency=INR","Period=FQ","BEST_FPERIOD_OVERRIDE=FQ","FILING_STATUS=OR","EQY_CONSOLIDATED=Y","SCALING_FORMAT=MLN","Sort=A","Dates=H","DateFormat=P","Fill=—","Direction=H","UseDPDF=Y")</f>
        <v>#NAME?</v>
      </c>
      <c r="CA454" s="3" t="e">
        <f ca="1">_xll.BDH($C$453,"BS_LT_BORROW","FQ1 2014","FQ1 2014","Currency=INR","Period=FQ","BEST_FPERIOD_OVERRIDE=FQ","FILING_STATUS=OR","EQY_CONSOLIDATED=Y","SCALING_FORMAT=MLN","Sort=A","Dates=H","DateFormat=P","Fill=—","Direction=H","UseDPDF=Y")</f>
        <v>#NAME?</v>
      </c>
      <c r="CB454" s="2" t="e">
        <f ca="1">_xll.BDH($C$453,"TOT_DEBT_TO_EBITDA","FQ1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54" s="2" t="e">
        <f ca="1">_xll.BDH($C$453,"NET_DEBT_TO_EBITDA","FQ1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54" s="2" t="e">
        <f ca="1">_xll.BDH($C$453,"TOTAL_DEBT_TO_EBIT","FQ1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54" s="2" t="e">
        <f ca="1">_xll.BDH($C$453,"NET_DEBT_TO_EBIT","FQ1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454" s="2" t="e">
        <f ca="1">_xll.BDH($C$453,"EBITDA_TO_INTEREST_EXPN","FQ1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54" s="2" t="e">
        <f ca="1">_xll.BDH($C$453,"COM_EQY_TO_TOT_ASSET","FQ1 2014","FQ1 2014","Currency=INR","Period=FQ","BEST_FPERIOD_OVERRIDE=FQ","FILING_STATUS=OR","EQY_CONSOLIDATED=Y","Sort=A","Dates=H","DateFormat=P","Fill=—","Direction=H","UseDPDF=Y")</f>
        <v>#NAME?</v>
      </c>
      <c r="CH454" s="2" t="e">
        <f ca="1">_xll.BDH($C$453,"LT_DEBT_TO_TOT_EQY","FQ1 2014","FQ1 2014","Currency=INR","Period=FQ","BEST_FPERIOD_OVERRIDE=FQ","FILING_STATUS=OR","EQY_CONSOLIDATED=Y","Sort=A","Dates=H","DateFormat=P","Fill=—","Direction=H","UseDPDF=Y")</f>
        <v>#NAME?</v>
      </c>
      <c r="CI454" s="2" t="e">
        <f ca="1">_xll.BDH($C$453,"LT_DEBT_TO_TOT_CAP","FQ1 2014","FQ1 2014","Currency=INR","Period=FQ","BEST_FPERIOD_OVERRIDE=FQ","FILING_STATUS=OR","EQY_CONSOLIDATED=Y","Sort=A","Dates=H","DateFormat=P","Fill=—","Direction=H","UseDPDF=Y")</f>
        <v>#NAME?</v>
      </c>
      <c r="CJ454" s="2" t="e">
        <f ca="1">_xll.BDH($C$453,"LT_DEBT_TO_TOT_ASSET","FQ1 2014","FQ1 2014","Currency=INR","Period=FQ","BEST_FPERIOD_OVERRIDE=FQ","FILING_STATUS=OR","EQY_CONSOLIDATED=Y","Sort=A","Dates=H","DateFormat=P","Fill=—","Direction=H","UseDPDF=Y")</f>
        <v>#NAME?</v>
      </c>
      <c r="CK454" s="2" t="e">
        <f ca="1">_xll.BDH($C$453,"TOT_DEBT_TO_TOT_EQY","FQ1 2014","FQ1 2014","Currency=INR","Period=FQ","BEST_FPERIOD_OVERRIDE=FQ","FILING_STATUS=OR","EQY_CONSOLIDATED=Y","Sort=A","Dates=H","DateFormat=P","Fill=—","Direction=H","UseDPDF=Y")</f>
        <v>#NAME?</v>
      </c>
      <c r="CL454" s="2" t="e">
        <f ca="1">_xll.BDH($C$453,"TOT_DEBT_TO_TOT_CAP","FQ1 2014","FQ1 2014","Currency=INR","Period=FQ","BEST_FPERIOD_OVERRIDE=FQ","FILING_STATUS=OR","EQY_CONSOLIDATED=Y","Sort=A","Dates=H","DateFormat=P","Fill=—","Direction=H","UseDPDF=Y")</f>
        <v>#NAME?</v>
      </c>
      <c r="CM454" s="2" t="e">
        <f ca="1">_xll.BDH($C$453,"TOT_DEBT_TO_TOT_ASSET","FQ1 2014","FQ1 2014","Currency=INR","Period=FQ","BEST_FPERIOD_OVERRIDE=FQ","FILING_STATUS=OR","EQY_CONSOLIDATED=Y","Sort=A","Dates=H","DateFormat=P","Fill=—","Direction=H","UseDPDF=Y")</f>
        <v>#NAME?</v>
      </c>
      <c r="CN454" s="2" t="e">
        <f ca="1">_xll.BDH($C$453,"NET_DEBT_TO_SHRHLDR_EQTY","FQ1 2014","FQ1 2014","Currency=INR","Period=FQ","BEST_FPERIOD_OVERRIDE=FQ","FILING_STATUS=OR","EQY_CONSOLIDATED=Y","Sort=A","Dates=H","DateFormat=P","Fill=—","Direction=H","UseDPDF=Y")</f>
        <v>#NAME?</v>
      </c>
      <c r="CO454" s="2" t="e">
        <f ca="1">_xll.BDH($C$453,"NET_DEBT_%_CAPITAL","FQ1 2014","FQ1 2014","Currency=INR","Period=FQ","BEST_FPERIOD_OVERRIDE=FQ","FILING_STATUS=OR","EQY_CONSOLIDATED=Y","Sort=A","Dates=H","DateFormat=P","Fill=—","Direction=H","UseDPDF=Y")</f>
        <v>#NAME?</v>
      </c>
      <c r="CP454" s="3" t="e">
        <f ca="1">_xll.BDH($C$453,"EBITDA","FQ1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54" s="3" t="e">
        <f ca="1">_xll.BDH($C$453,"EBITDA_AFTER_CAPEX","FQ1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54" s="3" t="e">
        <f ca="1">_xll.BDH($C$453,"IS_OPER_INC","FQ1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54" s="2" t="e">
        <f ca="1">_xll.BDH($C$453,"CASH_RATIO","FQ1 2014","FQ1 2014","Currency=INR","Period=FQ","BEST_FPERIOD_OVERRIDE=FQ","FILING_STATUS=OR","EQY_CONSOLIDATED=Y","Sort=A","Dates=H","DateFormat=P","Fill=—","Direction=H","UseDPDF=Y")</f>
        <v>#NAME?</v>
      </c>
      <c r="CT454" s="2" t="e">
        <f ca="1">_xll.BDH($C$453,"CUR_RATIO","FQ1 2014","FQ1 2014","Currency=INR","Period=FQ","BEST_FPERIOD_OVERRIDE=FQ","FILING_STATUS=OR","EQY_CONSOLIDATED=Y","Sort=A","Dates=H","DateFormat=P","Fill=—","Direction=H","UseDPDF=Y")</f>
        <v>#NAME?</v>
      </c>
      <c r="CU454" s="2" t="e">
        <f ca="1">_xll.BDH($C$453,"QUICK_RATIO","FQ1 2014","FQ1 2014","Currency=INR","Period=FQ","BEST_FPERIOD_OVERRIDE=FQ","FILING_STATUS=OR","EQY_CONSOLIDATED=Y","Sort=A","Dates=H","DateFormat=P","Fill=—","Direction=H","UseDPDF=Y")</f>
        <v>#NAME?</v>
      </c>
      <c r="CV454" s="2" t="e">
        <f ca="1">_xll.BDH($C$453,"ALTMAN_Z_SCORE","FQ1 2014","FQ1 2014","Currency=INR","Period=FQ","BEST_FPERIOD_OVERRIDE=FQ","FILING_STATUS=OR","EQY_CONSOLIDATED=Y","Sort=A","Dates=H","DateFormat=P","Fill=—","Direction=H","UseDPDF=Y")</f>
        <v>#NAME?</v>
      </c>
      <c r="CW454" s="4" t="e">
        <f ca="1">_xll.BDH($C$453,"ACCT_RCV_TURN","FQ1 2014","FQ1 2014","Currency=INR","Period=FQ","BEST_FPERIOD_OVERRIDE=FQ","FILING_STATUS=OR","EQY_CONSOLIDATED=Y","FA_ADJUSTED=GAAP","Sort=A","Dates=H","DateFormat=P","Fill=—","Direction=H","UseDPDF=Y")</f>
        <v>#NAME?</v>
      </c>
      <c r="CX454" s="2" t="e">
        <f ca="1">_xll.BDH($C$453,"ACCT_RCV_DAYS","FQ1 2014","FQ1 2014","Currency=INR","Period=FQ","BEST_FPERIOD_OVERRIDE=FQ","FILING_STATUS=OR","EQY_CONSOLIDATED=Y","FA_ADJUSTED=GAAP","Sort=A","Dates=H","DateFormat=P","Fill=—","Direction=H","UseDPDF=Y")</f>
        <v>#NAME?</v>
      </c>
      <c r="CY454" s="4" t="e">
        <f ca="1">_xll.BDH($C$453,"INVENT_TURN","FQ1 2014","FQ1 2014","Currency=INR","Period=FQ","BEST_FPERIOD_OVERRIDE=FQ","FILING_STATUS=OR","EQY_CONSOLIDATED=Y","FA_ADJUSTED=GAAP","Sort=A","Dates=H","DateFormat=P","Fill=—","Direction=H","UseDPDF=Y")</f>
        <v>#NAME?</v>
      </c>
      <c r="CZ454" s="2" t="e">
        <f ca="1">_xll.BDH($C$453,"INVENT_DAYS","FQ1 2014","FQ1 2014","Currency=INR","Period=FQ","BEST_FPERIOD_OVERRIDE=FQ","FILING_STATUS=OR","EQY_CONSOLIDATED=Y","FA_ADJUSTED=GAAP","Sort=A","Dates=H","DateFormat=P","Fill=—","Direction=H","UseDPDF=Y")</f>
        <v>#NAME?</v>
      </c>
      <c r="DA454" s="4" t="e">
        <f ca="1">_xll.BDH($C$453,"ACCOUNTS_PAYABLE_TURNOVER","FQ1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54" s="2" t="e">
        <f ca="1">_xll.BDH($C$453,"ACCOUNTS_PAYABLE_TURNOVER_DAYS","FQ1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54" s="4" t="e">
        <f ca="1">_xll.BDH($C$453,"CASH_CONVERSION_CYCLE","FQ1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54" s="4" t="e">
        <f ca="1">_xll.BDH($C$453,"INV_TO_CASH_DAYS","FQ1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454" s="5" t="e">
        <f ca="1">_xll.BDH($C$453,"BS_INVENTORIES","FQ1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454" s="3" t="e">
        <f ca="1">_xll.BDH($C$453,"INVTRY_RAW_MATERIALS","FQ1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54" s="3" t="e">
        <f ca="1">_xll.BDH($C$453,"INVTRY_IN_PROGRESS","FQ1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54" s="3" t="e">
        <f ca="1">_xll.BDH($C$453,"INVTRY_FINISHED_GOODS","FQ1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54" s="3" t="e">
        <f ca="1">_xll.BDH($C$453,"BS_OTHER_INV","FQ1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55" spans="1:113" x14ac:dyDescent="0.3">
      <c r="A455" s="6"/>
      <c r="B455" s="6"/>
      <c r="C455" s="6"/>
      <c r="D455" s="6"/>
      <c r="E455" t="s">
        <v>79</v>
      </c>
      <c r="F455" t="e">
        <f ca="1">_xll.BDH($C$453,"RETURN_COM_EQY","FQ2 2014","FQ2 2014","Currency=INR","Period=FQ","BEST_FPERIOD_OVERRIDE=FQ","FILING_STATUS=OR","EQY_CONSOLIDATED=Y","FA_ADJUSTED=GAAP","Sort=A","Dates=H","DateFormat=P","Fill=—","Direction=H","UseDPDF=Y")</f>
        <v>#NAME?</v>
      </c>
      <c r="G455" t="e">
        <f ca="1">_xll.BDH($C$453,"RETURN_ON_ASSET","FQ2 2014","FQ2 2014","Currency=INR","Period=FQ","BEST_FPERIOD_OVERRIDE=FQ","FILING_STATUS=OR","EQY_CONSOLIDATED=Y","FA_ADJUSTED=GAAP","Sort=A","Dates=H","DateFormat=P","Fill=—","Direction=H","UseDPDF=Y")</f>
        <v>#NAME?</v>
      </c>
      <c r="H455" t="e">
        <f ca="1">_xll.BDH($C$453,"RETURN_ON_CAP","FQ2 2014","FQ2 2014","Currency=INR","Period=FQ","BEST_FPERIOD_OVERRIDE=FQ","FILING_STATUS=OR","EQY_CONSOLIDATED=Y","FA_ADJUSTED=GAAP","Sort=A","Dates=H","DateFormat=P","Fill=—","Direction=H","UseDPDF=Y")</f>
        <v>#NAME?</v>
      </c>
      <c r="I455" t="e">
        <f ca="1">_xll.BDH($C$453,"RETURN_ON_INV_CAPITAL","FQ2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55" t="e">
        <f ca="1">_xll.BDH($C$453,"EBITDA_TO_REVENUE","FQ2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455" t="e">
        <f ca="1">_xll.BDH($C$453,"OPER_MARGIN","FQ2 2014","FQ2 2014","Currency=INR","Period=FQ","BEST_FPERIOD_OVERRIDE=FQ","FILING_STATUS=OR","EQY_CONSOLIDATED=Y","FA_ADJUSTED=GAAP","Sort=A","Dates=H","DateFormat=P","Fill=—","Direction=H","UseDPDF=Y")</f>
        <v>#NAME?</v>
      </c>
      <c r="L455" t="e">
        <f ca="1">_xll.BDH($C$453,"INCREMENTAL_OPERATING_MARGIN","FQ2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55" t="e">
        <f ca="1">_xll.BDH($C$453,"PRETAX_INC_TO_NET_SALES","FQ2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55" t="e">
        <f ca="1">_xll.BDH($C$453,"INC_BEF_XO_ITEMS_TO_NET_SALES","FQ2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55" t="e">
        <f ca="1">_xll.BDH($C$453,"PROF_MARGIN","FQ2 2014","FQ2 2014","Currency=INR","Period=FQ","BEST_FPERIOD_OVERRIDE=FQ","FILING_STATUS=OR","EQY_CONSOLIDATED=Y","FA_ADJUSTED=GAAP","Sort=A","Dates=H","DateFormat=P","Fill=—","Direction=H","UseDPDF=Y")</f>
        <v>#NAME?</v>
      </c>
      <c r="P455" t="e">
        <f ca="1">_xll.BDH($C$453,"NET_INCOME_TO_COMMON_MARGIN","FQ2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55" t="e">
        <f ca="1">_xll.BDH($C$453,"EFF_TAX_RATE","FQ2 2014","FQ2 2014","Currency=INR","Period=FQ","BEST_FPERIOD_OVERRIDE=FQ","FILING_STATUS=OR","EQY_CONSOLIDATED=Y","FA_ADJUSTED=GAAP","Sort=A","Dates=H","DateFormat=P","Fill=—","Direction=H","UseDPDF=Y")</f>
        <v>#NAME?</v>
      </c>
      <c r="R455" t="e">
        <f ca="1">_xll.BDH($C$453,"DVD_PAYOUT_RATIO","FQ2 2014","FQ2 2014","Currency=INR","Period=FQ","BEST_FPERIOD_OVERRIDE=FQ","FILING_STATUS=OR","EQY_CONSOLIDATED=Y","FA_ADJUSTED=GAAP","Sort=A","Dates=H","DateFormat=P","Fill=—","Direction=H","UseDPDF=Y")</f>
        <v>#NAME?</v>
      </c>
      <c r="S455" t="e">
        <f ca="1">_xll.BDH($C$453,"SUSTAIN_GROWTH_RT","FQ2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455" s="2" t="e">
        <f ca="1">_xll.BDH($C$453,"SALES_GROWTH","FQ2 2014","FQ2 2014","Currency=INR","Period=FQ","BEST_FPERIOD_OVERRIDE=FQ","FILING_STATUS=OR","EQY_CONSOLIDATED=Y","FA_ADJUSTED=GAAP","Sort=A","Dates=H","DateFormat=P","Fill=—","Direction=H","UseDPDF=Y")</f>
        <v>#NAME?</v>
      </c>
      <c r="U455" s="2" t="e">
        <f ca="1">_xll.BDH($C$453,"EBITDA_GROWTH","FQ2 2014","FQ2 2014","Currency=INR","Period=FQ","BEST_FPERIOD_OVERRIDE=FQ","FILING_STATUS=OR","EQY_CONSOLIDATED=Y","FA_ADJUSTED=GAAP","Sort=A","Dates=H","DateFormat=P","Fill=—","Direction=H","UseDPDF=Y")</f>
        <v>#NAME?</v>
      </c>
      <c r="V455" s="2" t="e">
        <f ca="1">_xll.BDH($C$453,"OPER_INC_GROWTH","FQ2 2014","FQ2 2014","Currency=INR","Period=FQ","BEST_FPERIOD_OVERRIDE=FQ","FILING_STATUS=OR","EQY_CONSOLIDATED=Y","FA_ADJUSTED=GAAP","Sort=A","Dates=H","DateFormat=P","Fill=—","Direction=H","UseDPDF=Y")</f>
        <v>#NAME?</v>
      </c>
      <c r="W455" s="2" t="e">
        <f ca="1">_xll.BDH($C$453,"EARN_FOR_COM_GROWTH","FQ2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55" s="2" t="e">
        <f ca="1">_xll.BDH($C$453,"DILUTED_EPS_AFT_XO_ITEMS_GROWTH","FQ2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55" s="2" t="e">
        <f ca="1">_xll.BDH($C$453,"DIVIDEND_PER_SHARE_1_YEAR_GROWTH","FQ2 2014","FQ2 2014","Currency=INR","Period=FQ","BEST_FPERIOD_OVERRIDE=FQ","FILING_STATUS=OR","EQY_CONSOLIDATED=Y","Sort=A","Dates=H","DateFormat=P","Fill=—","Direction=H","UseDPDF=Y")</f>
        <v>#NAME?</v>
      </c>
      <c r="Z455" s="2" t="e">
        <f ca="1">_xll.BDH($C$453,"ACCOUNTS_RECEIVABLE_GROWTH","FQ2 2014","FQ2 2014","Currency=INR","Period=FQ","BEST_FPERIOD_OVERRIDE=FQ","FILING_STATUS=OR","EQY_CONSOLIDATED=Y","Sort=A","Dates=H","DateFormat=P","Fill=—","Direction=H","UseDPDF=Y")</f>
        <v>#NAME?</v>
      </c>
      <c r="AA455" s="2" t="e">
        <f ca="1">_xll.BDH($C$453,"INVENTORY_GROWTH","FQ2 2014","FQ2 2014","Currency=INR","Period=FQ","BEST_FPERIOD_OVERRIDE=FQ","FILING_STATUS=OR","EQY_CONSOLIDATED=Y","Sort=A","Dates=H","DateFormat=P","Fill=—","Direction=H","UseDPDF=Y")</f>
        <v>#NAME?</v>
      </c>
      <c r="AB455" s="2" t="e">
        <f ca="1">_xll.BDH($C$453,"NET_FIXED_ASSETS_1_YEAR_GROWTH","FQ2 2014","FQ2 2014","Currency=INR","Period=FQ","BEST_FPERIOD_OVERRIDE=FQ","FILING_STATUS=OR","EQY_CONSOLIDATED=Y","Sort=A","Dates=H","DateFormat=P","Fill=—","Direction=H","UseDPDF=Y")</f>
        <v>#NAME?</v>
      </c>
      <c r="AC455" s="2" t="e">
        <f ca="1">_xll.BDH($C$453,"ASSET_GROWTH","FQ2 2014","FQ2 2014","Currency=INR","Period=FQ","BEST_FPERIOD_OVERRIDE=FQ","FILING_STATUS=OR","EQY_CONSOLIDATED=Y","Sort=A","Dates=H","DateFormat=P","Fill=—","Direction=H","UseDPDF=Y")</f>
        <v>#NAME?</v>
      </c>
      <c r="AD455" s="2" t="e">
        <f ca="1">_xll.BDH($C$453,"MODIFIED_WORK_CAP_GROWTH","FQ2 2014","FQ2 2014","Currency=INR","Period=FQ","BEST_FPERIOD_OVERRIDE=FQ","FILING_STATUS=OR","EQY_CONSOLIDATED=Y","Sort=A","Dates=H","DateFormat=P","Fill=—","Direction=H","UseDPDF=Y")</f>
        <v>#NAME?</v>
      </c>
      <c r="AE455" s="2" t="e">
        <f ca="1">_xll.BDH($C$453,"WORK_CAP_GROWTH","FQ2 2014","FQ2 2014","Currency=INR","Period=FQ","BEST_FPERIOD_OVERRIDE=FQ","FILING_STATUS=OR","EQY_CONSOLIDATED=Y","Sort=A","Dates=H","DateFormat=P","Fill=—","Direction=H","UseDPDF=Y")</f>
        <v>#NAME?</v>
      </c>
      <c r="AF455" s="2" t="e">
        <f ca="1">_xll.BDH($C$453,"ACCOUNTS_PAYABLE_GROWTH_1YR","FQ2 2014","FQ2 2014","Currency=INR","Period=FQ","BEST_FPERIOD_OVERRIDE=FQ","FILING_STATUS=OR","EQY_CONSOLIDATED=Y","Sort=A","Dates=H","DateFormat=P","Fill=—","Direction=H","UseDPDF=Y")</f>
        <v>#NAME?</v>
      </c>
      <c r="AG455" s="2" t="e">
        <f ca="1">_xll.BDH($C$453,"SHORT_TERM_DEBT_1_YEAR_GROWTH","FQ2 2014","FQ2 2014","Currency=INR","Period=FQ","BEST_FPERIOD_OVERRIDE=FQ","FILING_STATUS=OR","EQY_CONSOLIDATED=Y","Sort=A","Dates=H","DateFormat=P","Fill=—","Direction=H","UseDPDF=Y")</f>
        <v>#NAME?</v>
      </c>
      <c r="AH455" s="2" t="e">
        <f ca="1">_xll.BDH($C$453,"TOTAL_DEBT_1_YEAR_GROWTH","FQ2 2014","FQ2 2014","Currency=INR","Period=FQ","BEST_FPERIOD_OVERRIDE=FQ","FILING_STATUS=OR","EQY_CONSOLIDATED=Y","Sort=A","Dates=H","DateFormat=P","Fill=—","Direction=H","UseDPDF=Y")</f>
        <v>#NAME?</v>
      </c>
      <c r="AI455" s="2" t="e">
        <f ca="1">_xll.BDH($C$453,"TOTAL_EQUITY_1_YEAR_GROWTH","FQ2 2014","FQ2 2014","Currency=INR","Period=FQ","BEST_FPERIOD_OVERRIDE=FQ","FILING_STATUS=OR","EQY_CONSOLIDATED=Y","Sort=A","Dates=H","DateFormat=P","Fill=—","Direction=H","UseDPDF=Y")</f>
        <v>#NAME?</v>
      </c>
      <c r="AJ455" s="2" t="e">
        <f ca="1">_xll.BDH($C$453,"GROWTH_IN_CAP","FQ2 2014","FQ2 2014","Currency=INR","Period=FQ","BEST_FPERIOD_OVERRIDE=FQ","FILING_STATUS=OR","EQY_CONSOLIDATED=Y","Sort=A","Dates=H","DateFormat=P","Fill=—","Direction=H","UseDPDF=Y")</f>
        <v>#NAME?</v>
      </c>
      <c r="AK455" s="2" t="e">
        <f ca="1">_xll.BDH($C$453,"BVPS_GROWTH","FQ2 2014","FQ2 2014","Currency=INR","Period=FQ","BEST_FPERIOD_OVERRIDE=FQ","FILING_STATUS=OR","EQY_CONSOLIDATED=Y","Sort=A","Dates=H","DateFormat=P","Fill=—","Direction=H","UseDPDF=Y")</f>
        <v>#NAME?</v>
      </c>
      <c r="AL455" s="2" t="e">
        <f ca="1">_xll.BDH($C$453,"CASH_FLOW_GROWTH","FQ2 2014","FQ2 2014","Currency=INR","Period=FQ","BEST_FPERIOD_OVERRIDE=FQ","FILING_STATUS=OR","EQY_CONSOLIDATED=Y","Sort=A","Dates=H","DateFormat=P","Fill=—","Direction=H","UseDPDF=Y")</f>
        <v>#NAME?</v>
      </c>
      <c r="AM455" s="2" t="e">
        <f ca="1">_xll.BDH($C$453,"GEO_GROW_NET_SALES","FQ2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55" s="2" t="e">
        <f ca="1">_xll.BDH($C$453,"GEO_GROW_EBITDA","FQ2 2014","FQ2 2014","Currency=INR","Period=FQ","BEST_FPERIOD_OVERRIDE=FQ","FILING_STATUS=OR","EQY_CONSOLIDATED=Y","FA_ADJUSTED=GAAP","Sort=A","Dates=H","DateFormat=P","Fill=—","Direction=H","UseDPDF=Y")</f>
        <v>#NAME?</v>
      </c>
      <c r="AO455" s="2" t="e">
        <f ca="1">_xll.BDH($C$453,"GEO_GROW_OPER_INC","FQ2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55" s="2" t="e">
        <f ca="1">_xll.BDH($C$453,"NET_INCOME_TO_COMMON_5_YR_GROWTH","FQ2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55" s="2" t="e">
        <f ca="1">_xll.BDH($C$453,"5Y_GEO_GROWTH_DILUTED_EPS","FQ2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55" s="2" t="e">
        <f ca="1">_xll.BDH($C$453,"GEO_GROW_DVD_PER_SH","FQ2 2014","FQ2 2014","Currency=INR","Period=FQ","BEST_FPERIOD_OVERRIDE=FQ","FILING_STATUS=OR","EQY_CONSOLIDATED=Y","Sort=A","Dates=H","DateFormat=P","Fill=—","Direction=H","UseDPDF=Y")</f>
        <v>#NAME?</v>
      </c>
      <c r="AS455" s="2" t="e">
        <f ca="1">_xll.BDH($C$453,"ACCOUNTS_RECEIVABLE_5_YR_GROWTH","FQ2 2014","FQ2 2014","Currency=INR","Period=FQ","BEST_FPERIOD_OVERRIDE=FQ","FILING_STATUS=OR","EQY_CONSOLIDATED=Y","Sort=A","Dates=H","DateFormat=P","Fill=—","Direction=H","UseDPDF=Y")</f>
        <v>#NAME?</v>
      </c>
      <c r="AT455" s="2" t="e">
        <f ca="1">_xll.BDH($C$453,"INVENTORY_5_YEAR_GROWTH","FQ2 2014","FQ2 2014","Currency=INR","Period=FQ","BEST_FPERIOD_OVERRIDE=FQ","FILING_STATUS=OR","EQY_CONSOLIDATED=Y","Sort=A","Dates=H","DateFormat=P","Fill=—","Direction=H","UseDPDF=Y")</f>
        <v>#NAME?</v>
      </c>
      <c r="AU455" s="2" t="e">
        <f ca="1">_xll.BDH($C$453,"NET_FIXED_ASSETS_5_YEAR_GROWTH","FQ2 2014","FQ2 2014","Currency=INR","Period=FQ","BEST_FPERIOD_OVERRIDE=FQ","FILING_STATUS=OR","EQY_CONSOLIDATED=Y","Sort=A","Dates=H","DateFormat=P","Fill=—","Direction=H","UseDPDF=Y")</f>
        <v>#NAME?</v>
      </c>
      <c r="AV455" s="2" t="e">
        <f ca="1">_xll.BDH($C$453,"GEO_GROW_TOT_ASSET","FQ2 2014","FQ2 2014","Currency=INR","Period=FQ","BEST_FPERIOD_OVERRIDE=FQ","FILING_STATUS=OR","EQY_CONSOLIDATED=Y","Sort=A","Dates=H","DateFormat=P","Fill=—","Direction=H","UseDPDF=Y")</f>
        <v>#NAME?</v>
      </c>
      <c r="AW455" s="2" t="e">
        <f ca="1">_xll.BDH($C$453,"MODIFIED_WORKING_CPTL_5YR_GRWTH","FQ2 2014","FQ2 2014","Currency=INR","Period=FQ","BEST_FPERIOD_OVERRIDE=FQ","FILING_STATUS=OR","EQY_CONSOLIDATED=Y","Sort=A","Dates=H","DateFormat=P","Fill=—","Direction=H","UseDPDF=Y")</f>
        <v>#NAME?</v>
      </c>
      <c r="AX455" s="2" t="e">
        <f ca="1">_xll.BDH($C$453,"WORKING_CAPITAL_5_YEAR_GROWTH","FQ2 2014","FQ2 2014","Currency=INR","Period=FQ","BEST_FPERIOD_OVERRIDE=FQ","FILING_STATUS=OR","EQY_CONSOLIDATED=Y","Sort=A","Dates=H","DateFormat=P","Fill=—","Direction=H","UseDPDF=Y")</f>
        <v>#NAME?</v>
      </c>
      <c r="AY455" s="2" t="e">
        <f ca="1">_xll.BDH($C$453,"ACCOUNTS_PAYABLE_5_YEAR_GROWTH","FQ2 2014","FQ2 2014","Currency=INR","Period=FQ","BEST_FPERIOD_OVERRIDE=FQ","FILING_STATUS=OR","EQY_CONSOLIDATED=Y","Sort=A","Dates=H","DateFormat=P","Fill=—","Direction=H","UseDPDF=Y")</f>
        <v>#NAME?</v>
      </c>
      <c r="AZ455" s="2" t="e">
        <f ca="1">_xll.BDH($C$453,"SHORT_TERM_DEBT_5_YEAR_GROWTH","FQ2 2014","FQ2 2014","Currency=INR","Period=FQ","BEST_FPERIOD_OVERRIDE=FQ","FILING_STATUS=OR","EQY_CONSOLIDATED=Y","Sort=A","Dates=H","DateFormat=P","Fill=—","Direction=H","UseDPDF=Y")</f>
        <v>#NAME?</v>
      </c>
      <c r="BA455" s="2" t="e">
        <f ca="1">_xll.BDH($C$453,"TOTAL_DEBT_5_YEAR_GROWTH","FQ2 2014","FQ2 2014","Currency=INR","Period=FQ","BEST_FPERIOD_OVERRIDE=FQ","FILING_STATUS=OR","EQY_CONSOLIDATED=Y","Sort=A","Dates=H","DateFormat=P","Fill=—","Direction=H","UseDPDF=Y")</f>
        <v>#NAME?</v>
      </c>
      <c r="BB455" s="2" t="e">
        <f ca="1">_xll.BDH($C$453,"GEO_GROW_TOT_SHRHLDR_EQY","FQ2 2014","FQ2 2014","Currency=INR","Period=FQ","BEST_FPERIOD_OVERRIDE=FQ","FILING_STATUS=OR","EQY_CONSOLIDATED=Y","Sort=A","Dates=H","DateFormat=P","Fill=—","Direction=H","UseDPDF=Y")</f>
        <v>#NAME?</v>
      </c>
      <c r="BC455" s="2" t="e">
        <f ca="1">_xll.BDH($C$453,"TOTAL_CAPITAL_5_YEAR_GROWTH","FQ2 2014","FQ2 2014","Currency=INR","Period=FQ","BEST_FPERIOD_OVERRIDE=FQ","FILING_STATUS=OR","EQY_CONSOLIDATED=Y","Sort=A","Dates=H","DateFormat=P","Fill=—","Direction=H","UseDPDF=Y")</f>
        <v>#NAME?</v>
      </c>
      <c r="BD455" s="2" t="e">
        <f ca="1">_xll.BDH($C$453,"GEO_GROW_BOOK_VAL","FQ2 2014","FQ2 2014","Currency=INR","Period=FQ","BEST_FPERIOD_OVERRIDE=FQ","FILING_STATUS=OR","EQY_CONSOLIDATED=Y","Sort=A","Dates=H","DateFormat=P","Fill=—","Direction=H","UseDPDF=Y")</f>
        <v>#NAME?</v>
      </c>
      <c r="BE455" s="2" t="e">
        <f ca="1">_xll.BDH($C$453,"GEO_GROW_CASH_OPER_ACT","FQ2 2014","FQ2 2014","Currency=INR","Period=FQ","BEST_FPERIOD_OVERRIDE=FQ","FILING_STATUS=OR","EQY_CONSOLIDATED=Y","Sort=A","Dates=H","DateFormat=P","Fill=—","Direction=H","UseDPDF=Y")</f>
        <v>#NAME?</v>
      </c>
      <c r="BF455" s="2" t="e">
        <f ca="1">_xll.BDH($C$453,"REVENUE_SEQUENTIAL_GROWTH","FQ2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55" s="2" t="e">
        <f ca="1">_xll.BDH($C$453,"EBITDA_SEQUENTIAL_GROWTH","FQ2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55" s="2" t="e">
        <f ca="1">_xll.BDH($C$453,"OPERATING_INCOME_SEQ_GROWTH","FQ2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55" s="2" t="e">
        <f ca="1">_xll.BDH($C$453,"NET_INCOME_TO_COMMON_SEQ_GROWTH","FQ2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55" s="2" t="e">
        <f ca="1">_xll.BDH($C$453,"EPS_DILUTED_SEQUENTIAL_GROWTH","FQ2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55" s="2" t="e">
        <f ca="1">_xll.BDH($C$453,"DPS_SEQUENTIAL_GROWTH","FQ2 2014","FQ2 2014","Currency=INR","Period=FQ","BEST_FPERIOD_OVERRIDE=FQ","FILING_STATUS=OR","EQY_CONSOLIDATED=Y","Sort=A","Dates=H","DateFormat=P","Fill=—","Direction=H","UseDPDF=Y")</f>
        <v>#NAME?</v>
      </c>
      <c r="BL455" s="2" t="e">
        <f ca="1">_xll.BDH($C$453,"ACCOUNTS_RECEIVABLE_SEQ_GROWTH","FQ2 2014","FQ2 2014","Currency=INR","Period=FQ","BEST_FPERIOD_OVERRIDE=FQ","FILING_STATUS=OR","EQY_CONSOLIDATED=Y","Sort=A","Dates=H","DateFormat=P","Fill=—","Direction=H","UseDPDF=Y")</f>
        <v>#NAME?</v>
      </c>
      <c r="BM455" s="2" t="e">
        <f ca="1">_xll.BDH($C$453,"INVENTORY_SEQUENTIAL_GROWTH","FQ2 2014","FQ2 2014","Currency=INR","Period=FQ","BEST_FPERIOD_OVERRIDE=FQ","FILING_STATUS=OR","EQY_CONSOLIDATED=Y","Sort=A","Dates=H","DateFormat=P","Fill=—","Direction=H","UseDPDF=Y")</f>
        <v>#NAME?</v>
      </c>
      <c r="BN455" s="2" t="e">
        <f ca="1">_xll.BDH($C$453,"FIXED_ASSETS_SEQUENTIAL_GROWTH","FQ2 2014","FQ2 2014","Currency=INR","Period=FQ","BEST_FPERIOD_OVERRIDE=FQ","FILING_STATUS=OR","EQY_CONSOLIDATED=Y","Sort=A","Dates=H","DateFormat=P","Fill=—","Direction=H","UseDPDF=Y")</f>
        <v>#NAME?</v>
      </c>
      <c r="BO455" s="2" t="e">
        <f ca="1">_xll.BDH($C$453,"TOTAL_ASSETS_SEQUENTIAL_GROWTH","FQ2 2014","FQ2 2014","Currency=INR","Period=FQ","BEST_FPERIOD_OVERRIDE=FQ","FILING_STATUS=OR","EQY_CONSOLIDATED=Y","Sort=A","Dates=H","DateFormat=P","Fill=—","Direction=H","UseDPDF=Y")</f>
        <v>#NAME?</v>
      </c>
      <c r="BP455" s="2" t="e">
        <f ca="1">_xll.BDH($C$453,"MODIFIED_WORKING_CPTL_SEQ_GRWTH","FQ2 2014","FQ2 2014","Currency=INR","Period=FQ","BEST_FPERIOD_OVERRIDE=FQ","FILING_STATUS=OR","EQY_CONSOLIDATED=Y","Sort=A","Dates=H","DateFormat=P","Fill=—","Direction=H","UseDPDF=Y")</f>
        <v>#NAME?</v>
      </c>
      <c r="BQ455" s="2" t="e">
        <f ca="1">_xll.BDH($C$453,"WORKING_CAPITAL_SEQ_GROWTH","FQ2 2014","FQ2 2014","Currency=INR","Period=FQ","BEST_FPERIOD_OVERRIDE=FQ","FILING_STATUS=OR","EQY_CONSOLIDATED=Y","Sort=A","Dates=H","DateFormat=P","Fill=—","Direction=H","UseDPDF=Y")</f>
        <v>#NAME?</v>
      </c>
      <c r="BR455" s="2" t="e">
        <f ca="1">_xll.BDH($C$453,"ACCOUNTS_PAYABLE_SEQ_GROWTH","FQ2 2014","FQ2 2014","Currency=INR","Period=FQ","BEST_FPERIOD_OVERRIDE=FQ","FILING_STATUS=OR","EQY_CONSOLIDATED=Y","Sort=A","Dates=H","DateFormat=P","Fill=—","Direction=H","UseDPDF=Y")</f>
        <v>#NAME?</v>
      </c>
      <c r="BS455" s="2" t="e">
        <f ca="1">_xll.BDH($C$453,"ST_DEBT_SEQUENTIAL_GROWTH","FQ2 2014","FQ2 2014","Currency=INR","Period=FQ","BEST_FPERIOD_OVERRIDE=FQ","FILING_STATUS=OR","EQY_CONSOLIDATED=Y","Sort=A","Dates=H","DateFormat=P","Fill=—","Direction=H","UseDPDF=Y")</f>
        <v>#NAME?</v>
      </c>
      <c r="BT455" s="2" t="e">
        <f ca="1">_xll.BDH($C$453,"TOTAL_DEBT_SEQUENTIAL_GROWTH","FQ2 2014","FQ2 2014","Currency=INR","Period=FQ","BEST_FPERIOD_OVERRIDE=FQ","FILING_STATUS=OR","EQY_CONSOLIDATED=Y","Sort=A","Dates=H","DateFormat=P","Fill=—","Direction=H","UseDPDF=Y")</f>
        <v>#NAME?</v>
      </c>
      <c r="BU455" s="2" t="e">
        <f ca="1">_xll.BDH($C$453,"TOTAL_EQUITY_SEQUENTIAL_GROWTH","FQ2 2014","FQ2 2014","Currency=INR","Period=FQ","BEST_FPERIOD_OVERRIDE=FQ","FILING_STATUS=OR","EQY_CONSOLIDATED=Y","Sort=A","Dates=H","DateFormat=P","Fill=—","Direction=H","UseDPDF=Y")</f>
        <v>#NAME?</v>
      </c>
      <c r="BV455" s="2" t="e">
        <f ca="1">_xll.BDH($C$453,"TOTAL_CAPITAL_SEQUENTIAL_GROWTH","FQ2 2014","FQ2 2014","Currency=INR","Period=FQ","BEST_FPERIOD_OVERRIDE=FQ","FILING_STATUS=OR","EQY_CONSOLIDATED=Y","Sort=A","Dates=H","DateFormat=P","Fill=—","Direction=H","UseDPDF=Y")</f>
        <v>#NAME?</v>
      </c>
      <c r="BW455" s="2" t="e">
        <f ca="1">_xll.BDH($C$453,"BPS_SEQUENTIAL_GROWTH","FQ2 2014","FQ2 2014","Currency=INR","Period=FQ","BEST_FPERIOD_OVERRIDE=FQ","FILING_STATUS=OR","EQY_CONSOLIDATED=Y","Sort=A","Dates=H","DateFormat=P","Fill=—","Direction=H","UseDPDF=Y")</f>
        <v>#NAME?</v>
      </c>
      <c r="BX455" s="2" t="e">
        <f ca="1">_xll.BDH($C$453,"CFO_SEQUENTIAL_GROWTH","FQ2 2014","FQ2 2014","Currency=INR","Period=FQ","BEST_FPERIOD_OVERRIDE=FQ","FILING_STATUS=OR","EQY_CONSOLIDATED=Y","Sort=A","Dates=H","DateFormat=P","Fill=—","Direction=H","UseDPDF=Y")</f>
        <v>#NAME?</v>
      </c>
      <c r="BY455" s="3" t="e">
        <f ca="1">_xll.BDH($C$453,"SHORT_AND_LONG_TERM_DEBT","FQ2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55" s="3" t="e">
        <f ca="1">_xll.BDH($C$453,"BS_ST_BORROW","FQ2 2014","FQ2 2014","Currency=INR","Period=FQ","BEST_FPERIOD_OVERRIDE=FQ","FILING_STATUS=OR","EQY_CONSOLIDATED=Y","SCALING_FORMAT=MLN","Sort=A","Dates=H","DateFormat=P","Fill=—","Direction=H","UseDPDF=Y")</f>
        <v>#NAME?</v>
      </c>
      <c r="CA455" s="3" t="e">
        <f ca="1">_xll.BDH($C$453,"BS_LT_BORROW","FQ2 2014","FQ2 2014","Currency=INR","Period=FQ","BEST_FPERIOD_OVERRIDE=FQ","FILING_STATUS=OR","EQY_CONSOLIDATED=Y","SCALING_FORMAT=MLN","Sort=A","Dates=H","DateFormat=P","Fill=—","Direction=H","UseDPDF=Y")</f>
        <v>#NAME?</v>
      </c>
      <c r="CB455" s="2" t="e">
        <f ca="1">_xll.BDH($C$453,"TOT_DEBT_TO_EBITDA","FQ2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55" s="2" t="e">
        <f ca="1">_xll.BDH($C$453,"NET_DEBT_TO_EBITDA","FQ2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55" s="2" t="e">
        <f ca="1">_xll.BDH($C$453,"TOTAL_DEBT_TO_EBIT","FQ2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55" s="2" t="e">
        <f ca="1">_xll.BDH($C$453,"NET_DEBT_TO_EBIT","FQ2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455" s="2" t="e">
        <f ca="1">_xll.BDH($C$453,"EBITDA_TO_INTEREST_EXPN","FQ2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55" s="2" t="e">
        <f ca="1">_xll.BDH($C$453,"COM_EQY_TO_TOT_ASSET","FQ2 2014","FQ2 2014","Currency=INR","Period=FQ","BEST_FPERIOD_OVERRIDE=FQ","FILING_STATUS=OR","EQY_CONSOLIDATED=Y","Sort=A","Dates=H","DateFormat=P","Fill=—","Direction=H","UseDPDF=Y")</f>
        <v>#NAME?</v>
      </c>
      <c r="CH455" s="2" t="e">
        <f ca="1">_xll.BDH($C$453,"LT_DEBT_TO_TOT_EQY","FQ2 2014","FQ2 2014","Currency=INR","Period=FQ","BEST_FPERIOD_OVERRIDE=FQ","FILING_STATUS=OR","EQY_CONSOLIDATED=Y","Sort=A","Dates=H","DateFormat=P","Fill=—","Direction=H","UseDPDF=Y")</f>
        <v>#NAME?</v>
      </c>
      <c r="CI455" s="2" t="e">
        <f ca="1">_xll.BDH($C$453,"LT_DEBT_TO_TOT_CAP","FQ2 2014","FQ2 2014","Currency=INR","Period=FQ","BEST_FPERIOD_OVERRIDE=FQ","FILING_STATUS=OR","EQY_CONSOLIDATED=Y","Sort=A","Dates=H","DateFormat=P","Fill=—","Direction=H","UseDPDF=Y")</f>
        <v>#NAME?</v>
      </c>
      <c r="CJ455" s="2" t="e">
        <f ca="1">_xll.BDH($C$453,"LT_DEBT_TO_TOT_ASSET","FQ2 2014","FQ2 2014","Currency=INR","Period=FQ","BEST_FPERIOD_OVERRIDE=FQ","FILING_STATUS=OR","EQY_CONSOLIDATED=Y","Sort=A","Dates=H","DateFormat=P","Fill=—","Direction=H","UseDPDF=Y")</f>
        <v>#NAME?</v>
      </c>
      <c r="CK455" s="2" t="e">
        <f ca="1">_xll.BDH($C$453,"TOT_DEBT_TO_TOT_EQY","FQ2 2014","FQ2 2014","Currency=INR","Period=FQ","BEST_FPERIOD_OVERRIDE=FQ","FILING_STATUS=OR","EQY_CONSOLIDATED=Y","Sort=A","Dates=H","DateFormat=P","Fill=—","Direction=H","UseDPDF=Y")</f>
        <v>#NAME?</v>
      </c>
      <c r="CL455" s="2" t="e">
        <f ca="1">_xll.BDH($C$453,"TOT_DEBT_TO_TOT_CAP","FQ2 2014","FQ2 2014","Currency=INR","Period=FQ","BEST_FPERIOD_OVERRIDE=FQ","FILING_STATUS=OR","EQY_CONSOLIDATED=Y","Sort=A","Dates=H","DateFormat=P","Fill=—","Direction=H","UseDPDF=Y")</f>
        <v>#NAME?</v>
      </c>
      <c r="CM455" s="2" t="e">
        <f ca="1">_xll.BDH($C$453,"TOT_DEBT_TO_TOT_ASSET","FQ2 2014","FQ2 2014","Currency=INR","Period=FQ","BEST_FPERIOD_OVERRIDE=FQ","FILING_STATUS=OR","EQY_CONSOLIDATED=Y","Sort=A","Dates=H","DateFormat=P","Fill=—","Direction=H","UseDPDF=Y")</f>
        <v>#NAME?</v>
      </c>
      <c r="CN455" s="2" t="e">
        <f ca="1">_xll.BDH($C$453,"NET_DEBT_TO_SHRHLDR_EQTY","FQ2 2014","FQ2 2014","Currency=INR","Period=FQ","BEST_FPERIOD_OVERRIDE=FQ","FILING_STATUS=OR","EQY_CONSOLIDATED=Y","Sort=A","Dates=H","DateFormat=P","Fill=—","Direction=H","UseDPDF=Y")</f>
        <v>#NAME?</v>
      </c>
      <c r="CO455" s="2" t="e">
        <f ca="1">_xll.BDH($C$453,"NET_DEBT_%_CAPITAL","FQ2 2014","FQ2 2014","Currency=INR","Period=FQ","BEST_FPERIOD_OVERRIDE=FQ","FILING_STATUS=OR","EQY_CONSOLIDATED=Y","Sort=A","Dates=H","DateFormat=P","Fill=—","Direction=H","UseDPDF=Y")</f>
        <v>#NAME?</v>
      </c>
      <c r="CP455" s="3" t="e">
        <f ca="1">_xll.BDH($C$453,"EBITDA","FQ2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55" s="3" t="e">
        <f ca="1">_xll.BDH($C$453,"EBITDA_AFTER_CAPEX","FQ2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55" s="3" t="e">
        <f ca="1">_xll.BDH($C$453,"IS_OPER_INC","FQ2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55" s="2" t="e">
        <f ca="1">_xll.BDH($C$453,"CASH_RATIO","FQ2 2014","FQ2 2014","Currency=INR","Period=FQ","BEST_FPERIOD_OVERRIDE=FQ","FILING_STATUS=OR","EQY_CONSOLIDATED=Y","Sort=A","Dates=H","DateFormat=P","Fill=—","Direction=H","UseDPDF=Y")</f>
        <v>#NAME?</v>
      </c>
      <c r="CT455" s="2" t="e">
        <f ca="1">_xll.BDH($C$453,"CUR_RATIO","FQ2 2014","FQ2 2014","Currency=INR","Period=FQ","BEST_FPERIOD_OVERRIDE=FQ","FILING_STATUS=OR","EQY_CONSOLIDATED=Y","Sort=A","Dates=H","DateFormat=P","Fill=—","Direction=H","UseDPDF=Y")</f>
        <v>#NAME?</v>
      </c>
      <c r="CU455" s="2" t="e">
        <f ca="1">_xll.BDH($C$453,"QUICK_RATIO","FQ2 2014","FQ2 2014","Currency=INR","Period=FQ","BEST_FPERIOD_OVERRIDE=FQ","FILING_STATUS=OR","EQY_CONSOLIDATED=Y","Sort=A","Dates=H","DateFormat=P","Fill=—","Direction=H","UseDPDF=Y")</f>
        <v>#NAME?</v>
      </c>
      <c r="CV455" s="2" t="e">
        <f ca="1">_xll.BDH($C$453,"ALTMAN_Z_SCORE","FQ2 2014","FQ2 2014","Currency=INR","Period=FQ","BEST_FPERIOD_OVERRIDE=FQ","FILING_STATUS=OR","EQY_CONSOLIDATED=Y","Sort=A","Dates=H","DateFormat=P","Fill=—","Direction=H","UseDPDF=Y")</f>
        <v>#NAME?</v>
      </c>
      <c r="CW455" s="4" t="e">
        <f ca="1">_xll.BDH($C$453,"ACCT_RCV_TURN","FQ2 2014","FQ2 2014","Currency=INR","Period=FQ","BEST_FPERIOD_OVERRIDE=FQ","FILING_STATUS=OR","EQY_CONSOLIDATED=Y","FA_ADJUSTED=GAAP","Sort=A","Dates=H","DateFormat=P","Fill=—","Direction=H","UseDPDF=Y")</f>
        <v>#NAME?</v>
      </c>
      <c r="CX455" s="2" t="e">
        <f ca="1">_xll.BDH($C$453,"ACCT_RCV_DAYS","FQ2 2014","FQ2 2014","Currency=INR","Period=FQ","BEST_FPERIOD_OVERRIDE=FQ","FILING_STATUS=OR","EQY_CONSOLIDATED=Y","FA_ADJUSTED=GAAP","Sort=A","Dates=H","DateFormat=P","Fill=—","Direction=H","UseDPDF=Y")</f>
        <v>#NAME?</v>
      </c>
      <c r="CY455" s="4" t="e">
        <f ca="1">_xll.BDH($C$453,"INVENT_TURN","FQ2 2014","FQ2 2014","Currency=INR","Period=FQ","BEST_FPERIOD_OVERRIDE=FQ","FILING_STATUS=OR","EQY_CONSOLIDATED=Y","FA_ADJUSTED=GAAP","Sort=A","Dates=H","DateFormat=P","Fill=—","Direction=H","UseDPDF=Y")</f>
        <v>#NAME?</v>
      </c>
      <c r="CZ455" s="2" t="e">
        <f ca="1">_xll.BDH($C$453,"INVENT_DAYS","FQ2 2014","FQ2 2014","Currency=INR","Period=FQ","BEST_FPERIOD_OVERRIDE=FQ","FILING_STATUS=OR","EQY_CONSOLIDATED=Y","FA_ADJUSTED=GAAP","Sort=A","Dates=H","DateFormat=P","Fill=—","Direction=H","UseDPDF=Y")</f>
        <v>#NAME?</v>
      </c>
      <c r="DA455" s="4" t="e">
        <f ca="1">_xll.BDH($C$453,"ACCOUNTS_PAYABLE_TURNOVER","FQ2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55" s="2" t="e">
        <f ca="1">_xll.BDH($C$453,"ACCOUNTS_PAYABLE_TURNOVER_DAYS","FQ2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55" s="4" t="e">
        <f ca="1">_xll.BDH($C$453,"CASH_CONVERSION_CYCLE","FQ2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55" s="4" t="e">
        <f ca="1">_xll.BDH($C$453,"INV_TO_CASH_DAYS","FQ2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455" s="5" t="e">
        <f ca="1">_xll.BDH($C$453,"BS_INVENTORIES","FQ2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455" s="3" t="e">
        <f ca="1">_xll.BDH($C$453,"INVTRY_RAW_MATERIALS","FQ2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55" s="3" t="e">
        <f ca="1">_xll.BDH($C$453,"INVTRY_IN_PROGRESS","FQ2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55" s="3" t="e">
        <f ca="1">_xll.BDH($C$453,"INVTRY_FINISHED_GOODS","FQ2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55" s="3" t="e">
        <f ca="1">_xll.BDH($C$453,"BS_OTHER_INV","FQ2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56" spans="1:113" x14ac:dyDescent="0.3">
      <c r="A456" s="6"/>
      <c r="B456" s="6"/>
      <c r="C456" s="6"/>
      <c r="D456" s="6"/>
      <c r="E456" t="s">
        <v>80</v>
      </c>
      <c r="F456" t="e">
        <f ca="1">_xll.BDH($C$453,"RETURN_COM_EQY","FQ3 2014","FQ3 2014","Currency=INR","Period=FQ","BEST_FPERIOD_OVERRIDE=FQ","FILING_STATUS=OR","EQY_CONSOLIDATED=Y","FA_ADJUSTED=GAAP","Sort=A","Dates=H","DateFormat=P","Fill=—","Direction=H","UseDPDF=Y")</f>
        <v>#NAME?</v>
      </c>
      <c r="G456" t="e">
        <f ca="1">_xll.BDH($C$453,"RETURN_ON_ASSET","FQ3 2014","FQ3 2014","Currency=INR","Period=FQ","BEST_FPERIOD_OVERRIDE=FQ","FILING_STATUS=OR","EQY_CONSOLIDATED=Y","FA_ADJUSTED=GAAP","Sort=A","Dates=H","DateFormat=P","Fill=—","Direction=H","UseDPDF=Y")</f>
        <v>#NAME?</v>
      </c>
      <c r="H456" t="e">
        <f ca="1">_xll.BDH($C$453,"RETURN_ON_CAP","FQ3 2014","FQ3 2014","Currency=INR","Period=FQ","BEST_FPERIOD_OVERRIDE=FQ","FILING_STATUS=OR","EQY_CONSOLIDATED=Y","FA_ADJUSTED=GAAP","Sort=A","Dates=H","DateFormat=P","Fill=—","Direction=H","UseDPDF=Y")</f>
        <v>#NAME?</v>
      </c>
      <c r="I456" t="e">
        <f ca="1">_xll.BDH($C$453,"RETURN_ON_INV_CAPITAL","FQ3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56" t="e">
        <f ca="1">_xll.BDH($C$453,"EBITDA_TO_REVENUE","FQ3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456" t="e">
        <f ca="1">_xll.BDH($C$453,"OPER_MARGIN","FQ3 2014","FQ3 2014","Currency=INR","Period=FQ","BEST_FPERIOD_OVERRIDE=FQ","FILING_STATUS=OR","EQY_CONSOLIDATED=Y","FA_ADJUSTED=GAAP","Sort=A","Dates=H","DateFormat=P","Fill=—","Direction=H","UseDPDF=Y")</f>
        <v>#NAME?</v>
      </c>
      <c r="L456" t="e">
        <f ca="1">_xll.BDH($C$453,"INCREMENTAL_OPERATING_MARGIN","FQ3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56" t="e">
        <f ca="1">_xll.BDH($C$453,"PRETAX_INC_TO_NET_SALES","FQ3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56" t="e">
        <f ca="1">_xll.BDH($C$453,"INC_BEF_XO_ITEMS_TO_NET_SALES","FQ3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56" t="e">
        <f ca="1">_xll.BDH($C$453,"PROF_MARGIN","FQ3 2014","FQ3 2014","Currency=INR","Period=FQ","BEST_FPERIOD_OVERRIDE=FQ","FILING_STATUS=OR","EQY_CONSOLIDATED=Y","FA_ADJUSTED=GAAP","Sort=A","Dates=H","DateFormat=P","Fill=—","Direction=H","UseDPDF=Y")</f>
        <v>#NAME?</v>
      </c>
      <c r="P456" t="e">
        <f ca="1">_xll.BDH($C$453,"NET_INCOME_TO_COMMON_MARGIN","FQ3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56" t="e">
        <f ca="1">_xll.BDH($C$453,"EFF_TAX_RATE","FQ3 2014","FQ3 2014","Currency=INR","Period=FQ","BEST_FPERIOD_OVERRIDE=FQ","FILING_STATUS=OR","EQY_CONSOLIDATED=Y","FA_ADJUSTED=GAAP","Sort=A","Dates=H","DateFormat=P","Fill=—","Direction=H","UseDPDF=Y")</f>
        <v>#NAME?</v>
      </c>
      <c r="R456" t="e">
        <f ca="1">_xll.BDH($C$453,"DVD_PAYOUT_RATIO","FQ3 2014","FQ3 2014","Currency=INR","Period=FQ","BEST_FPERIOD_OVERRIDE=FQ","FILING_STATUS=OR","EQY_CONSOLIDATED=Y","FA_ADJUSTED=GAAP","Sort=A","Dates=H","DateFormat=P","Fill=—","Direction=H","UseDPDF=Y")</f>
        <v>#NAME?</v>
      </c>
      <c r="S456" t="e">
        <f ca="1">_xll.BDH($C$453,"SUSTAIN_GROWTH_RT","FQ3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456" s="2" t="e">
        <f ca="1">_xll.BDH($C$453,"SALES_GROWTH","FQ3 2014","FQ3 2014","Currency=INR","Period=FQ","BEST_FPERIOD_OVERRIDE=FQ","FILING_STATUS=OR","EQY_CONSOLIDATED=Y","FA_ADJUSTED=GAAP","Sort=A","Dates=H","DateFormat=P","Fill=—","Direction=H","UseDPDF=Y")</f>
        <v>#NAME?</v>
      </c>
      <c r="U456" s="2" t="e">
        <f ca="1">_xll.BDH($C$453,"EBITDA_GROWTH","FQ3 2014","FQ3 2014","Currency=INR","Period=FQ","BEST_FPERIOD_OVERRIDE=FQ","FILING_STATUS=OR","EQY_CONSOLIDATED=Y","FA_ADJUSTED=GAAP","Sort=A","Dates=H","DateFormat=P","Fill=—","Direction=H","UseDPDF=Y")</f>
        <v>#NAME?</v>
      </c>
      <c r="V456" s="2" t="e">
        <f ca="1">_xll.BDH($C$453,"OPER_INC_GROWTH","FQ3 2014","FQ3 2014","Currency=INR","Period=FQ","BEST_FPERIOD_OVERRIDE=FQ","FILING_STATUS=OR","EQY_CONSOLIDATED=Y","FA_ADJUSTED=GAAP","Sort=A","Dates=H","DateFormat=P","Fill=—","Direction=H","UseDPDF=Y")</f>
        <v>#NAME?</v>
      </c>
      <c r="W456" s="2" t="e">
        <f ca="1">_xll.BDH($C$453,"EARN_FOR_COM_GROWTH","FQ3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56" s="2" t="e">
        <f ca="1">_xll.BDH($C$453,"DILUTED_EPS_AFT_XO_ITEMS_GROWTH","FQ3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56" s="2" t="e">
        <f ca="1">_xll.BDH($C$453,"DIVIDEND_PER_SHARE_1_YEAR_GROWTH","FQ3 2014","FQ3 2014","Currency=INR","Period=FQ","BEST_FPERIOD_OVERRIDE=FQ","FILING_STATUS=OR","EQY_CONSOLIDATED=Y","Sort=A","Dates=H","DateFormat=P","Fill=—","Direction=H","UseDPDF=Y")</f>
        <v>#NAME?</v>
      </c>
      <c r="Z456" s="2" t="e">
        <f ca="1">_xll.BDH($C$453,"ACCOUNTS_RECEIVABLE_GROWTH","FQ3 2014","FQ3 2014","Currency=INR","Period=FQ","BEST_FPERIOD_OVERRIDE=FQ","FILING_STATUS=OR","EQY_CONSOLIDATED=Y","Sort=A","Dates=H","DateFormat=P","Fill=—","Direction=H","UseDPDF=Y")</f>
        <v>#NAME?</v>
      </c>
      <c r="AA456" s="2" t="e">
        <f ca="1">_xll.BDH($C$453,"INVENTORY_GROWTH","FQ3 2014","FQ3 2014","Currency=INR","Period=FQ","BEST_FPERIOD_OVERRIDE=FQ","FILING_STATUS=OR","EQY_CONSOLIDATED=Y","Sort=A","Dates=H","DateFormat=P","Fill=—","Direction=H","UseDPDF=Y")</f>
        <v>#NAME?</v>
      </c>
      <c r="AB456" s="2" t="e">
        <f ca="1">_xll.BDH($C$453,"NET_FIXED_ASSETS_1_YEAR_GROWTH","FQ3 2014","FQ3 2014","Currency=INR","Period=FQ","BEST_FPERIOD_OVERRIDE=FQ","FILING_STATUS=OR","EQY_CONSOLIDATED=Y","Sort=A","Dates=H","DateFormat=P","Fill=—","Direction=H","UseDPDF=Y")</f>
        <v>#NAME?</v>
      </c>
      <c r="AC456" s="2" t="e">
        <f ca="1">_xll.BDH($C$453,"ASSET_GROWTH","FQ3 2014","FQ3 2014","Currency=INR","Period=FQ","BEST_FPERIOD_OVERRIDE=FQ","FILING_STATUS=OR","EQY_CONSOLIDATED=Y","Sort=A","Dates=H","DateFormat=P","Fill=—","Direction=H","UseDPDF=Y")</f>
        <v>#NAME?</v>
      </c>
      <c r="AD456" s="2" t="e">
        <f ca="1">_xll.BDH($C$453,"MODIFIED_WORK_CAP_GROWTH","FQ3 2014","FQ3 2014","Currency=INR","Period=FQ","BEST_FPERIOD_OVERRIDE=FQ","FILING_STATUS=OR","EQY_CONSOLIDATED=Y","Sort=A","Dates=H","DateFormat=P","Fill=—","Direction=H","UseDPDF=Y")</f>
        <v>#NAME?</v>
      </c>
      <c r="AE456" s="2" t="e">
        <f ca="1">_xll.BDH($C$453,"WORK_CAP_GROWTH","FQ3 2014","FQ3 2014","Currency=INR","Period=FQ","BEST_FPERIOD_OVERRIDE=FQ","FILING_STATUS=OR","EQY_CONSOLIDATED=Y","Sort=A","Dates=H","DateFormat=P","Fill=—","Direction=H","UseDPDF=Y")</f>
        <v>#NAME?</v>
      </c>
      <c r="AF456" s="2" t="e">
        <f ca="1">_xll.BDH($C$453,"ACCOUNTS_PAYABLE_GROWTH_1YR","FQ3 2014","FQ3 2014","Currency=INR","Period=FQ","BEST_FPERIOD_OVERRIDE=FQ","FILING_STATUS=OR","EQY_CONSOLIDATED=Y","Sort=A","Dates=H","DateFormat=P","Fill=—","Direction=H","UseDPDF=Y")</f>
        <v>#NAME?</v>
      </c>
      <c r="AG456" s="2" t="e">
        <f ca="1">_xll.BDH($C$453,"SHORT_TERM_DEBT_1_YEAR_GROWTH","FQ3 2014","FQ3 2014","Currency=INR","Period=FQ","BEST_FPERIOD_OVERRIDE=FQ","FILING_STATUS=OR","EQY_CONSOLIDATED=Y","Sort=A","Dates=H","DateFormat=P","Fill=—","Direction=H","UseDPDF=Y")</f>
        <v>#NAME?</v>
      </c>
      <c r="AH456" s="2" t="e">
        <f ca="1">_xll.BDH($C$453,"TOTAL_DEBT_1_YEAR_GROWTH","FQ3 2014","FQ3 2014","Currency=INR","Period=FQ","BEST_FPERIOD_OVERRIDE=FQ","FILING_STATUS=OR","EQY_CONSOLIDATED=Y","Sort=A","Dates=H","DateFormat=P","Fill=—","Direction=H","UseDPDF=Y")</f>
        <v>#NAME?</v>
      </c>
      <c r="AI456" s="2" t="e">
        <f ca="1">_xll.BDH($C$453,"TOTAL_EQUITY_1_YEAR_GROWTH","FQ3 2014","FQ3 2014","Currency=INR","Period=FQ","BEST_FPERIOD_OVERRIDE=FQ","FILING_STATUS=OR","EQY_CONSOLIDATED=Y","Sort=A","Dates=H","DateFormat=P","Fill=—","Direction=H","UseDPDF=Y")</f>
        <v>#NAME?</v>
      </c>
      <c r="AJ456" s="2" t="e">
        <f ca="1">_xll.BDH($C$453,"GROWTH_IN_CAP","FQ3 2014","FQ3 2014","Currency=INR","Period=FQ","BEST_FPERIOD_OVERRIDE=FQ","FILING_STATUS=OR","EQY_CONSOLIDATED=Y","Sort=A","Dates=H","DateFormat=P","Fill=—","Direction=H","UseDPDF=Y")</f>
        <v>#NAME?</v>
      </c>
      <c r="AK456" s="2" t="e">
        <f ca="1">_xll.BDH($C$453,"BVPS_GROWTH","FQ3 2014","FQ3 2014","Currency=INR","Period=FQ","BEST_FPERIOD_OVERRIDE=FQ","FILING_STATUS=OR","EQY_CONSOLIDATED=Y","Sort=A","Dates=H","DateFormat=P","Fill=—","Direction=H","UseDPDF=Y")</f>
        <v>#NAME?</v>
      </c>
      <c r="AL456" s="2" t="e">
        <f ca="1">_xll.BDH($C$453,"CASH_FLOW_GROWTH","FQ3 2014","FQ3 2014","Currency=INR","Period=FQ","BEST_FPERIOD_OVERRIDE=FQ","FILING_STATUS=OR","EQY_CONSOLIDATED=Y","Sort=A","Dates=H","DateFormat=P","Fill=—","Direction=H","UseDPDF=Y")</f>
        <v>#NAME?</v>
      </c>
      <c r="AM456" s="2" t="e">
        <f ca="1">_xll.BDH($C$453,"GEO_GROW_NET_SALES","FQ3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56" s="2" t="e">
        <f ca="1">_xll.BDH($C$453,"GEO_GROW_EBITDA","FQ3 2014","FQ3 2014","Currency=INR","Period=FQ","BEST_FPERIOD_OVERRIDE=FQ","FILING_STATUS=OR","EQY_CONSOLIDATED=Y","FA_ADJUSTED=GAAP","Sort=A","Dates=H","DateFormat=P","Fill=—","Direction=H","UseDPDF=Y")</f>
        <v>#NAME?</v>
      </c>
      <c r="AO456" s="2" t="e">
        <f ca="1">_xll.BDH($C$453,"GEO_GROW_OPER_INC","FQ3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56" s="2" t="e">
        <f ca="1">_xll.BDH($C$453,"NET_INCOME_TO_COMMON_5_YR_GROWTH","FQ3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56" s="2" t="e">
        <f ca="1">_xll.BDH($C$453,"5Y_GEO_GROWTH_DILUTED_EPS","FQ3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56" s="2" t="e">
        <f ca="1">_xll.BDH($C$453,"GEO_GROW_DVD_PER_SH","FQ3 2014","FQ3 2014","Currency=INR","Period=FQ","BEST_FPERIOD_OVERRIDE=FQ","FILING_STATUS=OR","EQY_CONSOLIDATED=Y","Sort=A","Dates=H","DateFormat=P","Fill=—","Direction=H","UseDPDF=Y")</f>
        <v>#NAME?</v>
      </c>
      <c r="AS456" s="2" t="e">
        <f ca="1">_xll.BDH($C$453,"ACCOUNTS_RECEIVABLE_5_YR_GROWTH","FQ3 2014","FQ3 2014","Currency=INR","Period=FQ","BEST_FPERIOD_OVERRIDE=FQ","FILING_STATUS=OR","EQY_CONSOLIDATED=Y","Sort=A","Dates=H","DateFormat=P","Fill=—","Direction=H","UseDPDF=Y")</f>
        <v>#NAME?</v>
      </c>
      <c r="AT456" s="2" t="e">
        <f ca="1">_xll.BDH($C$453,"INVENTORY_5_YEAR_GROWTH","FQ3 2014","FQ3 2014","Currency=INR","Period=FQ","BEST_FPERIOD_OVERRIDE=FQ","FILING_STATUS=OR","EQY_CONSOLIDATED=Y","Sort=A","Dates=H","DateFormat=P","Fill=—","Direction=H","UseDPDF=Y")</f>
        <v>#NAME?</v>
      </c>
      <c r="AU456" s="2" t="e">
        <f ca="1">_xll.BDH($C$453,"NET_FIXED_ASSETS_5_YEAR_GROWTH","FQ3 2014","FQ3 2014","Currency=INR","Period=FQ","BEST_FPERIOD_OVERRIDE=FQ","FILING_STATUS=OR","EQY_CONSOLIDATED=Y","Sort=A","Dates=H","DateFormat=P","Fill=—","Direction=H","UseDPDF=Y")</f>
        <v>#NAME?</v>
      </c>
      <c r="AV456" s="2" t="e">
        <f ca="1">_xll.BDH($C$453,"GEO_GROW_TOT_ASSET","FQ3 2014","FQ3 2014","Currency=INR","Period=FQ","BEST_FPERIOD_OVERRIDE=FQ","FILING_STATUS=OR","EQY_CONSOLIDATED=Y","Sort=A","Dates=H","DateFormat=P","Fill=—","Direction=H","UseDPDF=Y")</f>
        <v>#NAME?</v>
      </c>
      <c r="AW456" s="2" t="e">
        <f ca="1">_xll.BDH($C$453,"MODIFIED_WORKING_CPTL_5YR_GRWTH","FQ3 2014","FQ3 2014","Currency=INR","Period=FQ","BEST_FPERIOD_OVERRIDE=FQ","FILING_STATUS=OR","EQY_CONSOLIDATED=Y","Sort=A","Dates=H","DateFormat=P","Fill=—","Direction=H","UseDPDF=Y")</f>
        <v>#NAME?</v>
      </c>
      <c r="AX456" s="2" t="e">
        <f ca="1">_xll.BDH($C$453,"WORKING_CAPITAL_5_YEAR_GROWTH","FQ3 2014","FQ3 2014","Currency=INR","Period=FQ","BEST_FPERIOD_OVERRIDE=FQ","FILING_STATUS=OR","EQY_CONSOLIDATED=Y","Sort=A","Dates=H","DateFormat=P","Fill=—","Direction=H","UseDPDF=Y")</f>
        <v>#NAME?</v>
      </c>
      <c r="AY456" s="2" t="e">
        <f ca="1">_xll.BDH($C$453,"ACCOUNTS_PAYABLE_5_YEAR_GROWTH","FQ3 2014","FQ3 2014","Currency=INR","Period=FQ","BEST_FPERIOD_OVERRIDE=FQ","FILING_STATUS=OR","EQY_CONSOLIDATED=Y","Sort=A","Dates=H","DateFormat=P","Fill=—","Direction=H","UseDPDF=Y")</f>
        <v>#NAME?</v>
      </c>
      <c r="AZ456" s="2" t="e">
        <f ca="1">_xll.BDH($C$453,"SHORT_TERM_DEBT_5_YEAR_GROWTH","FQ3 2014","FQ3 2014","Currency=INR","Period=FQ","BEST_FPERIOD_OVERRIDE=FQ","FILING_STATUS=OR","EQY_CONSOLIDATED=Y","Sort=A","Dates=H","DateFormat=P","Fill=—","Direction=H","UseDPDF=Y")</f>
        <v>#NAME?</v>
      </c>
      <c r="BA456" s="2" t="e">
        <f ca="1">_xll.BDH($C$453,"TOTAL_DEBT_5_YEAR_GROWTH","FQ3 2014","FQ3 2014","Currency=INR","Period=FQ","BEST_FPERIOD_OVERRIDE=FQ","FILING_STATUS=OR","EQY_CONSOLIDATED=Y","Sort=A","Dates=H","DateFormat=P","Fill=—","Direction=H","UseDPDF=Y")</f>
        <v>#NAME?</v>
      </c>
      <c r="BB456" s="2" t="e">
        <f ca="1">_xll.BDH($C$453,"GEO_GROW_TOT_SHRHLDR_EQY","FQ3 2014","FQ3 2014","Currency=INR","Period=FQ","BEST_FPERIOD_OVERRIDE=FQ","FILING_STATUS=OR","EQY_CONSOLIDATED=Y","Sort=A","Dates=H","DateFormat=P","Fill=—","Direction=H","UseDPDF=Y")</f>
        <v>#NAME?</v>
      </c>
      <c r="BC456" s="2" t="e">
        <f ca="1">_xll.BDH($C$453,"TOTAL_CAPITAL_5_YEAR_GROWTH","FQ3 2014","FQ3 2014","Currency=INR","Period=FQ","BEST_FPERIOD_OVERRIDE=FQ","FILING_STATUS=OR","EQY_CONSOLIDATED=Y","Sort=A","Dates=H","DateFormat=P","Fill=—","Direction=H","UseDPDF=Y")</f>
        <v>#NAME?</v>
      </c>
      <c r="BD456" s="2" t="e">
        <f ca="1">_xll.BDH($C$453,"GEO_GROW_BOOK_VAL","FQ3 2014","FQ3 2014","Currency=INR","Period=FQ","BEST_FPERIOD_OVERRIDE=FQ","FILING_STATUS=OR","EQY_CONSOLIDATED=Y","Sort=A","Dates=H","DateFormat=P","Fill=—","Direction=H","UseDPDF=Y")</f>
        <v>#NAME?</v>
      </c>
      <c r="BE456" s="2" t="e">
        <f ca="1">_xll.BDH($C$453,"GEO_GROW_CASH_OPER_ACT","FQ3 2014","FQ3 2014","Currency=INR","Period=FQ","BEST_FPERIOD_OVERRIDE=FQ","FILING_STATUS=OR","EQY_CONSOLIDATED=Y","Sort=A","Dates=H","DateFormat=P","Fill=—","Direction=H","UseDPDF=Y")</f>
        <v>#NAME?</v>
      </c>
      <c r="BF456" s="2" t="e">
        <f ca="1">_xll.BDH($C$453,"REVENUE_SEQUENTIAL_GROWTH","FQ3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56" s="2" t="e">
        <f ca="1">_xll.BDH($C$453,"EBITDA_SEQUENTIAL_GROWTH","FQ3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56" s="2" t="e">
        <f ca="1">_xll.BDH($C$453,"OPERATING_INCOME_SEQ_GROWTH","FQ3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56" s="2" t="e">
        <f ca="1">_xll.BDH($C$453,"NET_INCOME_TO_COMMON_SEQ_GROWTH","FQ3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56" s="2" t="e">
        <f ca="1">_xll.BDH($C$453,"EPS_DILUTED_SEQUENTIAL_GROWTH","FQ3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56" s="2" t="e">
        <f ca="1">_xll.BDH($C$453,"DPS_SEQUENTIAL_GROWTH","FQ3 2014","FQ3 2014","Currency=INR","Period=FQ","BEST_FPERIOD_OVERRIDE=FQ","FILING_STATUS=OR","EQY_CONSOLIDATED=Y","Sort=A","Dates=H","DateFormat=P","Fill=—","Direction=H","UseDPDF=Y")</f>
        <v>#NAME?</v>
      </c>
      <c r="BL456" s="2" t="e">
        <f ca="1">_xll.BDH($C$453,"ACCOUNTS_RECEIVABLE_SEQ_GROWTH","FQ3 2014","FQ3 2014","Currency=INR","Period=FQ","BEST_FPERIOD_OVERRIDE=FQ","FILING_STATUS=OR","EQY_CONSOLIDATED=Y","Sort=A","Dates=H","DateFormat=P","Fill=—","Direction=H","UseDPDF=Y")</f>
        <v>#NAME?</v>
      </c>
      <c r="BM456" s="2" t="e">
        <f ca="1">_xll.BDH($C$453,"INVENTORY_SEQUENTIAL_GROWTH","FQ3 2014","FQ3 2014","Currency=INR","Period=FQ","BEST_FPERIOD_OVERRIDE=FQ","FILING_STATUS=OR","EQY_CONSOLIDATED=Y","Sort=A","Dates=H","DateFormat=P","Fill=—","Direction=H","UseDPDF=Y")</f>
        <v>#NAME?</v>
      </c>
      <c r="BN456" s="2" t="e">
        <f ca="1">_xll.BDH($C$453,"FIXED_ASSETS_SEQUENTIAL_GROWTH","FQ3 2014","FQ3 2014","Currency=INR","Period=FQ","BEST_FPERIOD_OVERRIDE=FQ","FILING_STATUS=OR","EQY_CONSOLIDATED=Y","Sort=A","Dates=H","DateFormat=P","Fill=—","Direction=H","UseDPDF=Y")</f>
        <v>#NAME?</v>
      </c>
      <c r="BO456" s="2" t="e">
        <f ca="1">_xll.BDH($C$453,"TOTAL_ASSETS_SEQUENTIAL_GROWTH","FQ3 2014","FQ3 2014","Currency=INR","Period=FQ","BEST_FPERIOD_OVERRIDE=FQ","FILING_STATUS=OR","EQY_CONSOLIDATED=Y","Sort=A","Dates=H","DateFormat=P","Fill=—","Direction=H","UseDPDF=Y")</f>
        <v>#NAME?</v>
      </c>
      <c r="BP456" s="2" t="e">
        <f ca="1">_xll.BDH($C$453,"MODIFIED_WORKING_CPTL_SEQ_GRWTH","FQ3 2014","FQ3 2014","Currency=INR","Period=FQ","BEST_FPERIOD_OVERRIDE=FQ","FILING_STATUS=OR","EQY_CONSOLIDATED=Y","Sort=A","Dates=H","DateFormat=P","Fill=—","Direction=H","UseDPDF=Y")</f>
        <v>#NAME?</v>
      </c>
      <c r="BQ456" s="2" t="e">
        <f ca="1">_xll.BDH($C$453,"WORKING_CAPITAL_SEQ_GROWTH","FQ3 2014","FQ3 2014","Currency=INR","Period=FQ","BEST_FPERIOD_OVERRIDE=FQ","FILING_STATUS=OR","EQY_CONSOLIDATED=Y","Sort=A","Dates=H","DateFormat=P","Fill=—","Direction=H","UseDPDF=Y")</f>
        <v>#NAME?</v>
      </c>
      <c r="BR456" s="2" t="e">
        <f ca="1">_xll.BDH($C$453,"ACCOUNTS_PAYABLE_SEQ_GROWTH","FQ3 2014","FQ3 2014","Currency=INR","Period=FQ","BEST_FPERIOD_OVERRIDE=FQ","FILING_STATUS=OR","EQY_CONSOLIDATED=Y","Sort=A","Dates=H","DateFormat=P","Fill=—","Direction=H","UseDPDF=Y")</f>
        <v>#NAME?</v>
      </c>
      <c r="BS456" s="2" t="e">
        <f ca="1">_xll.BDH($C$453,"ST_DEBT_SEQUENTIAL_GROWTH","FQ3 2014","FQ3 2014","Currency=INR","Period=FQ","BEST_FPERIOD_OVERRIDE=FQ","FILING_STATUS=OR","EQY_CONSOLIDATED=Y","Sort=A","Dates=H","DateFormat=P","Fill=—","Direction=H","UseDPDF=Y")</f>
        <v>#NAME?</v>
      </c>
      <c r="BT456" s="2" t="e">
        <f ca="1">_xll.BDH($C$453,"TOTAL_DEBT_SEQUENTIAL_GROWTH","FQ3 2014","FQ3 2014","Currency=INR","Period=FQ","BEST_FPERIOD_OVERRIDE=FQ","FILING_STATUS=OR","EQY_CONSOLIDATED=Y","Sort=A","Dates=H","DateFormat=P","Fill=—","Direction=H","UseDPDF=Y")</f>
        <v>#NAME?</v>
      </c>
      <c r="BU456" s="2" t="e">
        <f ca="1">_xll.BDH($C$453,"TOTAL_EQUITY_SEQUENTIAL_GROWTH","FQ3 2014","FQ3 2014","Currency=INR","Period=FQ","BEST_FPERIOD_OVERRIDE=FQ","FILING_STATUS=OR","EQY_CONSOLIDATED=Y","Sort=A","Dates=H","DateFormat=P","Fill=—","Direction=H","UseDPDF=Y")</f>
        <v>#NAME?</v>
      </c>
      <c r="BV456" s="2" t="e">
        <f ca="1">_xll.BDH($C$453,"TOTAL_CAPITAL_SEQUENTIAL_GROWTH","FQ3 2014","FQ3 2014","Currency=INR","Period=FQ","BEST_FPERIOD_OVERRIDE=FQ","FILING_STATUS=OR","EQY_CONSOLIDATED=Y","Sort=A","Dates=H","DateFormat=P","Fill=—","Direction=H","UseDPDF=Y")</f>
        <v>#NAME?</v>
      </c>
      <c r="BW456" s="2" t="e">
        <f ca="1">_xll.BDH($C$453,"BPS_SEQUENTIAL_GROWTH","FQ3 2014","FQ3 2014","Currency=INR","Period=FQ","BEST_FPERIOD_OVERRIDE=FQ","FILING_STATUS=OR","EQY_CONSOLIDATED=Y","Sort=A","Dates=H","DateFormat=P","Fill=—","Direction=H","UseDPDF=Y")</f>
        <v>#NAME?</v>
      </c>
      <c r="BX456" s="2" t="e">
        <f ca="1">_xll.BDH($C$453,"CFO_SEQUENTIAL_GROWTH","FQ3 2014","FQ3 2014","Currency=INR","Period=FQ","BEST_FPERIOD_OVERRIDE=FQ","FILING_STATUS=OR","EQY_CONSOLIDATED=Y","Sort=A","Dates=H","DateFormat=P","Fill=—","Direction=H","UseDPDF=Y")</f>
        <v>#NAME?</v>
      </c>
      <c r="BY456" s="3" t="e">
        <f ca="1">_xll.BDH($C$453,"SHORT_AND_LONG_TERM_DEBT","FQ3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56" s="3" t="e">
        <f ca="1">_xll.BDH($C$453,"BS_ST_BORROW","FQ3 2014","FQ3 2014","Currency=INR","Period=FQ","BEST_FPERIOD_OVERRIDE=FQ","FILING_STATUS=OR","EQY_CONSOLIDATED=Y","SCALING_FORMAT=MLN","Sort=A","Dates=H","DateFormat=P","Fill=—","Direction=H","UseDPDF=Y")</f>
        <v>#NAME?</v>
      </c>
      <c r="CA456" s="3" t="e">
        <f ca="1">_xll.BDH($C$453,"BS_LT_BORROW","FQ3 2014","FQ3 2014","Currency=INR","Period=FQ","BEST_FPERIOD_OVERRIDE=FQ","FILING_STATUS=OR","EQY_CONSOLIDATED=Y","SCALING_FORMAT=MLN","Sort=A","Dates=H","DateFormat=P","Fill=—","Direction=H","UseDPDF=Y")</f>
        <v>#NAME?</v>
      </c>
      <c r="CB456" s="2" t="e">
        <f ca="1">_xll.BDH($C$453,"TOT_DEBT_TO_EBITDA","FQ3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56" s="2" t="e">
        <f ca="1">_xll.BDH($C$453,"NET_DEBT_TO_EBITDA","FQ3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56" s="2" t="e">
        <f ca="1">_xll.BDH($C$453,"TOTAL_DEBT_TO_EBIT","FQ3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56" s="2" t="e">
        <f ca="1">_xll.BDH($C$453,"NET_DEBT_TO_EBIT","FQ3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456" s="2" t="e">
        <f ca="1">_xll.BDH($C$453,"EBITDA_TO_INTEREST_EXPN","FQ3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56" s="2" t="e">
        <f ca="1">_xll.BDH($C$453,"COM_EQY_TO_TOT_ASSET","FQ3 2014","FQ3 2014","Currency=INR","Period=FQ","BEST_FPERIOD_OVERRIDE=FQ","FILING_STATUS=OR","EQY_CONSOLIDATED=Y","Sort=A","Dates=H","DateFormat=P","Fill=—","Direction=H","UseDPDF=Y")</f>
        <v>#NAME?</v>
      </c>
      <c r="CH456" s="2" t="e">
        <f ca="1">_xll.BDH($C$453,"LT_DEBT_TO_TOT_EQY","FQ3 2014","FQ3 2014","Currency=INR","Period=FQ","BEST_FPERIOD_OVERRIDE=FQ","FILING_STATUS=OR","EQY_CONSOLIDATED=Y","Sort=A","Dates=H","DateFormat=P","Fill=—","Direction=H","UseDPDF=Y")</f>
        <v>#NAME?</v>
      </c>
      <c r="CI456" s="2" t="e">
        <f ca="1">_xll.BDH($C$453,"LT_DEBT_TO_TOT_CAP","FQ3 2014","FQ3 2014","Currency=INR","Period=FQ","BEST_FPERIOD_OVERRIDE=FQ","FILING_STATUS=OR","EQY_CONSOLIDATED=Y","Sort=A","Dates=H","DateFormat=P","Fill=—","Direction=H","UseDPDF=Y")</f>
        <v>#NAME?</v>
      </c>
      <c r="CJ456" s="2" t="e">
        <f ca="1">_xll.BDH($C$453,"LT_DEBT_TO_TOT_ASSET","FQ3 2014","FQ3 2014","Currency=INR","Period=FQ","BEST_FPERIOD_OVERRIDE=FQ","FILING_STATUS=OR","EQY_CONSOLIDATED=Y","Sort=A","Dates=H","DateFormat=P","Fill=—","Direction=H","UseDPDF=Y")</f>
        <v>#NAME?</v>
      </c>
      <c r="CK456" s="2" t="e">
        <f ca="1">_xll.BDH($C$453,"TOT_DEBT_TO_TOT_EQY","FQ3 2014","FQ3 2014","Currency=INR","Period=FQ","BEST_FPERIOD_OVERRIDE=FQ","FILING_STATUS=OR","EQY_CONSOLIDATED=Y","Sort=A","Dates=H","DateFormat=P","Fill=—","Direction=H","UseDPDF=Y")</f>
        <v>#NAME?</v>
      </c>
      <c r="CL456" s="2" t="e">
        <f ca="1">_xll.BDH($C$453,"TOT_DEBT_TO_TOT_CAP","FQ3 2014","FQ3 2014","Currency=INR","Period=FQ","BEST_FPERIOD_OVERRIDE=FQ","FILING_STATUS=OR","EQY_CONSOLIDATED=Y","Sort=A","Dates=H","DateFormat=P","Fill=—","Direction=H","UseDPDF=Y")</f>
        <v>#NAME?</v>
      </c>
      <c r="CM456" s="2" t="e">
        <f ca="1">_xll.BDH($C$453,"TOT_DEBT_TO_TOT_ASSET","FQ3 2014","FQ3 2014","Currency=INR","Period=FQ","BEST_FPERIOD_OVERRIDE=FQ","FILING_STATUS=OR","EQY_CONSOLIDATED=Y","Sort=A","Dates=H","DateFormat=P","Fill=—","Direction=H","UseDPDF=Y")</f>
        <v>#NAME?</v>
      </c>
      <c r="CN456" s="2" t="e">
        <f ca="1">_xll.BDH($C$453,"NET_DEBT_TO_SHRHLDR_EQTY","FQ3 2014","FQ3 2014","Currency=INR","Period=FQ","BEST_FPERIOD_OVERRIDE=FQ","FILING_STATUS=OR","EQY_CONSOLIDATED=Y","Sort=A","Dates=H","DateFormat=P","Fill=—","Direction=H","UseDPDF=Y")</f>
        <v>#NAME?</v>
      </c>
      <c r="CO456" s="2" t="e">
        <f ca="1">_xll.BDH($C$453,"NET_DEBT_%_CAPITAL","FQ3 2014","FQ3 2014","Currency=INR","Period=FQ","BEST_FPERIOD_OVERRIDE=FQ","FILING_STATUS=OR","EQY_CONSOLIDATED=Y","Sort=A","Dates=H","DateFormat=P","Fill=—","Direction=H","UseDPDF=Y")</f>
        <v>#NAME?</v>
      </c>
      <c r="CP456" s="3" t="e">
        <f ca="1">_xll.BDH($C$453,"EBITDA","FQ3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56" s="3" t="e">
        <f ca="1">_xll.BDH($C$453,"EBITDA_AFTER_CAPEX","FQ3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56" s="3" t="e">
        <f ca="1">_xll.BDH($C$453,"IS_OPER_INC","FQ3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56" s="2" t="e">
        <f ca="1">_xll.BDH($C$453,"CASH_RATIO","FQ3 2014","FQ3 2014","Currency=INR","Period=FQ","BEST_FPERIOD_OVERRIDE=FQ","FILING_STATUS=OR","EQY_CONSOLIDATED=Y","Sort=A","Dates=H","DateFormat=P","Fill=—","Direction=H","UseDPDF=Y")</f>
        <v>#NAME?</v>
      </c>
      <c r="CT456" s="2" t="e">
        <f ca="1">_xll.BDH($C$453,"CUR_RATIO","FQ3 2014","FQ3 2014","Currency=INR","Period=FQ","BEST_FPERIOD_OVERRIDE=FQ","FILING_STATUS=OR","EQY_CONSOLIDATED=Y","Sort=A","Dates=H","DateFormat=P","Fill=—","Direction=H","UseDPDF=Y")</f>
        <v>#NAME?</v>
      </c>
      <c r="CU456" s="2" t="e">
        <f ca="1">_xll.BDH($C$453,"QUICK_RATIO","FQ3 2014","FQ3 2014","Currency=INR","Period=FQ","BEST_FPERIOD_OVERRIDE=FQ","FILING_STATUS=OR","EQY_CONSOLIDATED=Y","Sort=A","Dates=H","DateFormat=P","Fill=—","Direction=H","UseDPDF=Y")</f>
        <v>#NAME?</v>
      </c>
      <c r="CV456" s="2" t="e">
        <f ca="1">_xll.BDH($C$453,"ALTMAN_Z_SCORE","FQ3 2014","FQ3 2014","Currency=INR","Period=FQ","BEST_FPERIOD_OVERRIDE=FQ","FILING_STATUS=OR","EQY_CONSOLIDATED=Y","Sort=A","Dates=H","DateFormat=P","Fill=—","Direction=H","UseDPDF=Y")</f>
        <v>#NAME?</v>
      </c>
      <c r="CW456" s="4" t="e">
        <f ca="1">_xll.BDH($C$453,"ACCT_RCV_TURN","FQ3 2014","FQ3 2014","Currency=INR","Period=FQ","BEST_FPERIOD_OVERRIDE=FQ","FILING_STATUS=OR","EQY_CONSOLIDATED=Y","FA_ADJUSTED=GAAP","Sort=A","Dates=H","DateFormat=P","Fill=—","Direction=H","UseDPDF=Y")</f>
        <v>#NAME?</v>
      </c>
      <c r="CX456" s="2" t="e">
        <f ca="1">_xll.BDH($C$453,"ACCT_RCV_DAYS","FQ3 2014","FQ3 2014","Currency=INR","Period=FQ","BEST_FPERIOD_OVERRIDE=FQ","FILING_STATUS=OR","EQY_CONSOLIDATED=Y","FA_ADJUSTED=GAAP","Sort=A","Dates=H","DateFormat=P","Fill=—","Direction=H","UseDPDF=Y")</f>
        <v>#NAME?</v>
      </c>
      <c r="CY456" s="4" t="e">
        <f ca="1">_xll.BDH($C$453,"INVENT_TURN","FQ3 2014","FQ3 2014","Currency=INR","Period=FQ","BEST_FPERIOD_OVERRIDE=FQ","FILING_STATUS=OR","EQY_CONSOLIDATED=Y","FA_ADJUSTED=GAAP","Sort=A","Dates=H","DateFormat=P","Fill=—","Direction=H","UseDPDF=Y")</f>
        <v>#NAME?</v>
      </c>
      <c r="CZ456" s="2" t="e">
        <f ca="1">_xll.BDH($C$453,"INVENT_DAYS","FQ3 2014","FQ3 2014","Currency=INR","Period=FQ","BEST_FPERIOD_OVERRIDE=FQ","FILING_STATUS=OR","EQY_CONSOLIDATED=Y","FA_ADJUSTED=GAAP","Sort=A","Dates=H","DateFormat=P","Fill=—","Direction=H","UseDPDF=Y")</f>
        <v>#NAME?</v>
      </c>
      <c r="DA456" s="4" t="e">
        <f ca="1">_xll.BDH($C$453,"ACCOUNTS_PAYABLE_TURNOVER","FQ3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56" s="2" t="e">
        <f ca="1">_xll.BDH($C$453,"ACCOUNTS_PAYABLE_TURNOVER_DAYS","FQ3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56" s="4" t="e">
        <f ca="1">_xll.BDH($C$453,"CASH_CONVERSION_CYCLE","FQ3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56" s="4" t="e">
        <f ca="1">_xll.BDH($C$453,"INV_TO_CASH_DAYS","FQ3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456" s="5" t="e">
        <f ca="1">_xll.BDH($C$453,"BS_INVENTORIES","FQ3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456" s="3" t="e">
        <f ca="1">_xll.BDH($C$453,"INVTRY_RAW_MATERIALS","FQ3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56" s="3" t="e">
        <f ca="1">_xll.BDH($C$453,"INVTRY_IN_PROGRESS","FQ3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56" s="3" t="e">
        <f ca="1">_xll.BDH($C$453,"INVTRY_FINISHED_GOODS","FQ3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56" s="3" t="e">
        <f ca="1">_xll.BDH($C$453,"BS_OTHER_INV","FQ3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57" spans="1:113" x14ac:dyDescent="0.3">
      <c r="A457" s="6"/>
      <c r="B457" s="6"/>
      <c r="C457" s="6"/>
      <c r="D457" s="6"/>
      <c r="E457" t="s">
        <v>81</v>
      </c>
      <c r="F457" t="e">
        <f ca="1">_xll.BDH($C$453,"RETURN_COM_EQY","FQ4 2014","FQ4 2014","Currency=INR","Period=FQ","BEST_FPERIOD_OVERRIDE=FQ","FILING_STATUS=OR","EQY_CONSOLIDATED=Y","FA_ADJUSTED=GAAP","Sort=A","Dates=H","DateFormat=P","Fill=—","Direction=H","UseDPDF=Y")</f>
        <v>#NAME?</v>
      </c>
      <c r="G457" t="e">
        <f ca="1">_xll.BDH($C$453,"RETURN_ON_ASSET","FQ4 2014","FQ4 2014","Currency=INR","Period=FQ","BEST_FPERIOD_OVERRIDE=FQ","FILING_STATUS=OR","EQY_CONSOLIDATED=Y","FA_ADJUSTED=GAAP","Sort=A","Dates=H","DateFormat=P","Fill=—","Direction=H","UseDPDF=Y")</f>
        <v>#NAME?</v>
      </c>
      <c r="H457" t="e">
        <f ca="1">_xll.BDH($C$453,"RETURN_ON_CAP","FQ4 2014","FQ4 2014","Currency=INR","Period=FQ","BEST_FPERIOD_OVERRIDE=FQ","FILING_STATUS=OR","EQY_CONSOLIDATED=Y","FA_ADJUSTED=GAAP","Sort=A","Dates=H","DateFormat=P","Fill=—","Direction=H","UseDPDF=Y")</f>
        <v>#NAME?</v>
      </c>
      <c r="I457" t="e">
        <f ca="1">_xll.BDH($C$453,"RETURN_ON_INV_CAPITAL","FQ4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57" t="e">
        <f ca="1">_xll.BDH($C$453,"EBITDA_TO_REVENUE","FQ4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457" t="e">
        <f ca="1">_xll.BDH($C$453,"OPER_MARGIN","FQ4 2014","FQ4 2014","Currency=INR","Period=FQ","BEST_FPERIOD_OVERRIDE=FQ","FILING_STATUS=OR","EQY_CONSOLIDATED=Y","FA_ADJUSTED=GAAP","Sort=A","Dates=H","DateFormat=P","Fill=—","Direction=H","UseDPDF=Y")</f>
        <v>#NAME?</v>
      </c>
      <c r="L457" t="e">
        <f ca="1">_xll.BDH($C$453,"INCREMENTAL_OPERATING_MARGIN","FQ4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57" t="e">
        <f ca="1">_xll.BDH($C$453,"PRETAX_INC_TO_NET_SALES","FQ4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57" t="e">
        <f ca="1">_xll.BDH($C$453,"INC_BEF_XO_ITEMS_TO_NET_SALES","FQ4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57" t="e">
        <f ca="1">_xll.BDH($C$453,"PROF_MARGIN","FQ4 2014","FQ4 2014","Currency=INR","Period=FQ","BEST_FPERIOD_OVERRIDE=FQ","FILING_STATUS=OR","EQY_CONSOLIDATED=Y","FA_ADJUSTED=GAAP","Sort=A","Dates=H","DateFormat=P","Fill=—","Direction=H","UseDPDF=Y")</f>
        <v>#NAME?</v>
      </c>
      <c r="P457" t="e">
        <f ca="1">_xll.BDH($C$453,"NET_INCOME_TO_COMMON_MARGIN","FQ4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57" t="e">
        <f ca="1">_xll.BDH($C$453,"EFF_TAX_RATE","FQ4 2014","FQ4 2014","Currency=INR","Period=FQ","BEST_FPERIOD_OVERRIDE=FQ","FILING_STATUS=OR","EQY_CONSOLIDATED=Y","FA_ADJUSTED=GAAP","Sort=A","Dates=H","DateFormat=P","Fill=—","Direction=H","UseDPDF=Y")</f>
        <v>#NAME?</v>
      </c>
      <c r="R457" t="e">
        <f ca="1">_xll.BDH($C$453,"DVD_PAYOUT_RATIO","FQ4 2014","FQ4 2014","Currency=INR","Period=FQ","BEST_FPERIOD_OVERRIDE=FQ","FILING_STATUS=OR","EQY_CONSOLIDATED=Y","FA_ADJUSTED=GAAP","Sort=A","Dates=H","DateFormat=P","Fill=—","Direction=H","UseDPDF=Y")</f>
        <v>#NAME?</v>
      </c>
      <c r="S457" t="e">
        <f ca="1">_xll.BDH($C$453,"SUSTAIN_GROWTH_RT","FQ4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457" s="2" t="e">
        <f ca="1">_xll.BDH($C$453,"SALES_GROWTH","FQ4 2014","FQ4 2014","Currency=INR","Period=FQ","BEST_FPERIOD_OVERRIDE=FQ","FILING_STATUS=OR","EQY_CONSOLIDATED=Y","FA_ADJUSTED=GAAP","Sort=A","Dates=H","DateFormat=P","Fill=—","Direction=H","UseDPDF=Y")</f>
        <v>#NAME?</v>
      </c>
      <c r="U457" s="2" t="e">
        <f ca="1">_xll.BDH($C$453,"EBITDA_GROWTH","FQ4 2014","FQ4 2014","Currency=INR","Period=FQ","BEST_FPERIOD_OVERRIDE=FQ","FILING_STATUS=OR","EQY_CONSOLIDATED=Y","FA_ADJUSTED=GAAP","Sort=A","Dates=H","DateFormat=P","Fill=—","Direction=H","UseDPDF=Y")</f>
        <v>#NAME?</v>
      </c>
      <c r="V457" s="2" t="e">
        <f ca="1">_xll.BDH($C$453,"OPER_INC_GROWTH","FQ4 2014","FQ4 2014","Currency=INR","Period=FQ","BEST_FPERIOD_OVERRIDE=FQ","FILING_STATUS=OR","EQY_CONSOLIDATED=Y","FA_ADJUSTED=GAAP","Sort=A","Dates=H","DateFormat=P","Fill=—","Direction=H","UseDPDF=Y")</f>
        <v>#NAME?</v>
      </c>
      <c r="W457" s="2" t="e">
        <f ca="1">_xll.BDH($C$453,"EARN_FOR_COM_GROWTH","FQ4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57" s="2" t="e">
        <f ca="1">_xll.BDH($C$453,"DILUTED_EPS_AFT_XO_ITEMS_GROWTH","FQ4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57" s="2" t="e">
        <f ca="1">_xll.BDH($C$453,"DIVIDEND_PER_SHARE_1_YEAR_GROWTH","FQ4 2014","FQ4 2014","Currency=INR","Period=FQ","BEST_FPERIOD_OVERRIDE=FQ","FILING_STATUS=OR","EQY_CONSOLIDATED=Y","Sort=A","Dates=H","DateFormat=P","Fill=—","Direction=H","UseDPDF=Y")</f>
        <v>#NAME?</v>
      </c>
      <c r="Z457" s="2" t="e">
        <f ca="1">_xll.BDH($C$453,"ACCOUNTS_RECEIVABLE_GROWTH","FQ4 2014","FQ4 2014","Currency=INR","Period=FQ","BEST_FPERIOD_OVERRIDE=FQ","FILING_STATUS=OR","EQY_CONSOLIDATED=Y","Sort=A","Dates=H","DateFormat=P","Fill=—","Direction=H","UseDPDF=Y")</f>
        <v>#NAME?</v>
      </c>
      <c r="AA457" s="2" t="e">
        <f ca="1">_xll.BDH($C$453,"INVENTORY_GROWTH","FQ4 2014","FQ4 2014","Currency=INR","Period=FQ","BEST_FPERIOD_OVERRIDE=FQ","FILING_STATUS=OR","EQY_CONSOLIDATED=Y","Sort=A","Dates=H","DateFormat=P","Fill=—","Direction=H","UseDPDF=Y")</f>
        <v>#NAME?</v>
      </c>
      <c r="AB457" s="2" t="e">
        <f ca="1">_xll.BDH($C$453,"NET_FIXED_ASSETS_1_YEAR_GROWTH","FQ4 2014","FQ4 2014","Currency=INR","Period=FQ","BEST_FPERIOD_OVERRIDE=FQ","FILING_STATUS=OR","EQY_CONSOLIDATED=Y","Sort=A","Dates=H","DateFormat=P","Fill=—","Direction=H","UseDPDF=Y")</f>
        <v>#NAME?</v>
      </c>
      <c r="AC457" s="2" t="e">
        <f ca="1">_xll.BDH($C$453,"ASSET_GROWTH","FQ4 2014","FQ4 2014","Currency=INR","Period=FQ","BEST_FPERIOD_OVERRIDE=FQ","FILING_STATUS=OR","EQY_CONSOLIDATED=Y","Sort=A","Dates=H","DateFormat=P","Fill=—","Direction=H","UseDPDF=Y")</f>
        <v>#NAME?</v>
      </c>
      <c r="AD457" s="2" t="e">
        <f ca="1">_xll.BDH($C$453,"MODIFIED_WORK_CAP_GROWTH","FQ4 2014","FQ4 2014","Currency=INR","Period=FQ","BEST_FPERIOD_OVERRIDE=FQ","FILING_STATUS=OR","EQY_CONSOLIDATED=Y","Sort=A","Dates=H","DateFormat=P","Fill=—","Direction=H","UseDPDF=Y")</f>
        <v>#NAME?</v>
      </c>
      <c r="AE457" s="2" t="e">
        <f ca="1">_xll.BDH($C$453,"WORK_CAP_GROWTH","FQ4 2014","FQ4 2014","Currency=INR","Period=FQ","BEST_FPERIOD_OVERRIDE=FQ","FILING_STATUS=OR","EQY_CONSOLIDATED=Y","Sort=A","Dates=H","DateFormat=P","Fill=—","Direction=H","UseDPDF=Y")</f>
        <v>#NAME?</v>
      </c>
      <c r="AF457" s="2" t="e">
        <f ca="1">_xll.BDH($C$453,"ACCOUNTS_PAYABLE_GROWTH_1YR","FQ4 2014","FQ4 2014","Currency=INR","Period=FQ","BEST_FPERIOD_OVERRIDE=FQ","FILING_STATUS=OR","EQY_CONSOLIDATED=Y","Sort=A","Dates=H","DateFormat=P","Fill=—","Direction=H","UseDPDF=Y")</f>
        <v>#NAME?</v>
      </c>
      <c r="AG457" s="2" t="e">
        <f ca="1">_xll.BDH($C$453,"SHORT_TERM_DEBT_1_YEAR_GROWTH","FQ4 2014","FQ4 2014","Currency=INR","Period=FQ","BEST_FPERIOD_OVERRIDE=FQ","FILING_STATUS=OR","EQY_CONSOLIDATED=Y","Sort=A","Dates=H","DateFormat=P","Fill=—","Direction=H","UseDPDF=Y")</f>
        <v>#NAME?</v>
      </c>
      <c r="AH457" s="2" t="e">
        <f ca="1">_xll.BDH($C$453,"TOTAL_DEBT_1_YEAR_GROWTH","FQ4 2014","FQ4 2014","Currency=INR","Period=FQ","BEST_FPERIOD_OVERRIDE=FQ","FILING_STATUS=OR","EQY_CONSOLIDATED=Y","Sort=A","Dates=H","DateFormat=P","Fill=—","Direction=H","UseDPDF=Y")</f>
        <v>#NAME?</v>
      </c>
      <c r="AI457" s="2" t="e">
        <f ca="1">_xll.BDH($C$453,"TOTAL_EQUITY_1_YEAR_GROWTH","FQ4 2014","FQ4 2014","Currency=INR","Period=FQ","BEST_FPERIOD_OVERRIDE=FQ","FILING_STATUS=OR","EQY_CONSOLIDATED=Y","Sort=A","Dates=H","DateFormat=P","Fill=—","Direction=H","UseDPDF=Y")</f>
        <v>#NAME?</v>
      </c>
      <c r="AJ457" s="2" t="e">
        <f ca="1">_xll.BDH($C$453,"GROWTH_IN_CAP","FQ4 2014","FQ4 2014","Currency=INR","Period=FQ","BEST_FPERIOD_OVERRIDE=FQ","FILING_STATUS=OR","EQY_CONSOLIDATED=Y","Sort=A","Dates=H","DateFormat=P","Fill=—","Direction=H","UseDPDF=Y")</f>
        <v>#NAME?</v>
      </c>
      <c r="AK457" s="2" t="e">
        <f ca="1">_xll.BDH($C$453,"BVPS_GROWTH","FQ4 2014","FQ4 2014","Currency=INR","Period=FQ","BEST_FPERIOD_OVERRIDE=FQ","FILING_STATUS=OR","EQY_CONSOLIDATED=Y","Sort=A","Dates=H","DateFormat=P","Fill=—","Direction=H","UseDPDF=Y")</f>
        <v>#NAME?</v>
      </c>
      <c r="AL457" s="2" t="e">
        <f ca="1">_xll.BDH($C$453,"CASH_FLOW_GROWTH","FQ4 2014","FQ4 2014","Currency=INR","Period=FQ","BEST_FPERIOD_OVERRIDE=FQ","FILING_STATUS=OR","EQY_CONSOLIDATED=Y","Sort=A","Dates=H","DateFormat=P","Fill=—","Direction=H","UseDPDF=Y")</f>
        <v>#NAME?</v>
      </c>
      <c r="AM457" s="2" t="e">
        <f ca="1">_xll.BDH($C$453,"GEO_GROW_NET_SALES","FQ4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57" s="2" t="e">
        <f ca="1">_xll.BDH($C$453,"GEO_GROW_EBITDA","FQ4 2014","FQ4 2014","Currency=INR","Period=FQ","BEST_FPERIOD_OVERRIDE=FQ","FILING_STATUS=OR","EQY_CONSOLIDATED=Y","FA_ADJUSTED=GAAP","Sort=A","Dates=H","DateFormat=P","Fill=—","Direction=H","UseDPDF=Y")</f>
        <v>#NAME?</v>
      </c>
      <c r="AO457" s="2" t="e">
        <f ca="1">_xll.BDH($C$453,"GEO_GROW_OPER_INC","FQ4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57" s="2" t="e">
        <f ca="1">_xll.BDH($C$453,"NET_INCOME_TO_COMMON_5_YR_GROWTH","FQ4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57" s="2" t="e">
        <f ca="1">_xll.BDH($C$453,"5Y_GEO_GROWTH_DILUTED_EPS","FQ4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57" s="2" t="e">
        <f ca="1">_xll.BDH($C$453,"GEO_GROW_DVD_PER_SH","FQ4 2014","FQ4 2014","Currency=INR","Period=FQ","BEST_FPERIOD_OVERRIDE=FQ","FILING_STATUS=OR","EQY_CONSOLIDATED=Y","Sort=A","Dates=H","DateFormat=P","Fill=—","Direction=H","UseDPDF=Y")</f>
        <v>#NAME?</v>
      </c>
      <c r="AS457" s="2" t="e">
        <f ca="1">_xll.BDH($C$453,"ACCOUNTS_RECEIVABLE_5_YR_GROWTH","FQ4 2014","FQ4 2014","Currency=INR","Period=FQ","BEST_FPERIOD_OVERRIDE=FQ","FILING_STATUS=OR","EQY_CONSOLIDATED=Y","Sort=A","Dates=H","DateFormat=P","Fill=—","Direction=H","UseDPDF=Y")</f>
        <v>#NAME?</v>
      </c>
      <c r="AT457" s="2" t="e">
        <f ca="1">_xll.BDH($C$453,"INVENTORY_5_YEAR_GROWTH","FQ4 2014","FQ4 2014","Currency=INR","Period=FQ","BEST_FPERIOD_OVERRIDE=FQ","FILING_STATUS=OR","EQY_CONSOLIDATED=Y","Sort=A","Dates=H","DateFormat=P","Fill=—","Direction=H","UseDPDF=Y")</f>
        <v>#NAME?</v>
      </c>
      <c r="AU457" s="2" t="e">
        <f ca="1">_xll.BDH($C$453,"NET_FIXED_ASSETS_5_YEAR_GROWTH","FQ4 2014","FQ4 2014","Currency=INR","Period=FQ","BEST_FPERIOD_OVERRIDE=FQ","FILING_STATUS=OR","EQY_CONSOLIDATED=Y","Sort=A","Dates=H","DateFormat=P","Fill=—","Direction=H","UseDPDF=Y")</f>
        <v>#NAME?</v>
      </c>
      <c r="AV457" s="2" t="e">
        <f ca="1">_xll.BDH($C$453,"GEO_GROW_TOT_ASSET","FQ4 2014","FQ4 2014","Currency=INR","Period=FQ","BEST_FPERIOD_OVERRIDE=FQ","FILING_STATUS=OR","EQY_CONSOLIDATED=Y","Sort=A","Dates=H","DateFormat=P","Fill=—","Direction=H","UseDPDF=Y")</f>
        <v>#NAME?</v>
      </c>
      <c r="AW457" s="2" t="e">
        <f ca="1">_xll.BDH($C$453,"MODIFIED_WORKING_CPTL_5YR_GRWTH","FQ4 2014","FQ4 2014","Currency=INR","Period=FQ","BEST_FPERIOD_OVERRIDE=FQ","FILING_STATUS=OR","EQY_CONSOLIDATED=Y","Sort=A","Dates=H","DateFormat=P","Fill=—","Direction=H","UseDPDF=Y")</f>
        <v>#NAME?</v>
      </c>
      <c r="AX457" s="2" t="e">
        <f ca="1">_xll.BDH($C$453,"WORKING_CAPITAL_5_YEAR_GROWTH","FQ4 2014","FQ4 2014","Currency=INR","Period=FQ","BEST_FPERIOD_OVERRIDE=FQ","FILING_STATUS=OR","EQY_CONSOLIDATED=Y","Sort=A","Dates=H","DateFormat=P","Fill=—","Direction=H","UseDPDF=Y")</f>
        <v>#NAME?</v>
      </c>
      <c r="AY457" s="2" t="e">
        <f ca="1">_xll.BDH($C$453,"ACCOUNTS_PAYABLE_5_YEAR_GROWTH","FQ4 2014","FQ4 2014","Currency=INR","Period=FQ","BEST_FPERIOD_OVERRIDE=FQ","FILING_STATUS=OR","EQY_CONSOLIDATED=Y","Sort=A","Dates=H","DateFormat=P","Fill=—","Direction=H","UseDPDF=Y")</f>
        <v>#NAME?</v>
      </c>
      <c r="AZ457" s="2" t="e">
        <f ca="1">_xll.BDH($C$453,"SHORT_TERM_DEBT_5_YEAR_GROWTH","FQ4 2014","FQ4 2014","Currency=INR","Period=FQ","BEST_FPERIOD_OVERRIDE=FQ","FILING_STATUS=OR","EQY_CONSOLIDATED=Y","Sort=A","Dates=H","DateFormat=P","Fill=—","Direction=H","UseDPDF=Y")</f>
        <v>#NAME?</v>
      </c>
      <c r="BA457" s="2" t="e">
        <f ca="1">_xll.BDH($C$453,"TOTAL_DEBT_5_YEAR_GROWTH","FQ4 2014","FQ4 2014","Currency=INR","Period=FQ","BEST_FPERIOD_OVERRIDE=FQ","FILING_STATUS=OR","EQY_CONSOLIDATED=Y","Sort=A","Dates=H","DateFormat=P","Fill=—","Direction=H","UseDPDF=Y")</f>
        <v>#NAME?</v>
      </c>
      <c r="BB457" s="2" t="e">
        <f ca="1">_xll.BDH($C$453,"GEO_GROW_TOT_SHRHLDR_EQY","FQ4 2014","FQ4 2014","Currency=INR","Period=FQ","BEST_FPERIOD_OVERRIDE=FQ","FILING_STATUS=OR","EQY_CONSOLIDATED=Y","Sort=A","Dates=H","DateFormat=P","Fill=—","Direction=H","UseDPDF=Y")</f>
        <v>#NAME?</v>
      </c>
      <c r="BC457" s="2" t="e">
        <f ca="1">_xll.BDH($C$453,"TOTAL_CAPITAL_5_YEAR_GROWTH","FQ4 2014","FQ4 2014","Currency=INR","Period=FQ","BEST_FPERIOD_OVERRIDE=FQ","FILING_STATUS=OR","EQY_CONSOLIDATED=Y","Sort=A","Dates=H","DateFormat=P","Fill=—","Direction=H","UseDPDF=Y")</f>
        <v>#NAME?</v>
      </c>
      <c r="BD457" s="2" t="e">
        <f ca="1">_xll.BDH($C$453,"GEO_GROW_BOOK_VAL","FQ4 2014","FQ4 2014","Currency=INR","Period=FQ","BEST_FPERIOD_OVERRIDE=FQ","FILING_STATUS=OR","EQY_CONSOLIDATED=Y","Sort=A","Dates=H","DateFormat=P","Fill=—","Direction=H","UseDPDF=Y")</f>
        <v>#NAME?</v>
      </c>
      <c r="BE457" s="2" t="e">
        <f ca="1">_xll.BDH($C$453,"GEO_GROW_CASH_OPER_ACT","FQ4 2014","FQ4 2014","Currency=INR","Period=FQ","BEST_FPERIOD_OVERRIDE=FQ","FILING_STATUS=OR","EQY_CONSOLIDATED=Y","Sort=A","Dates=H","DateFormat=P","Fill=—","Direction=H","UseDPDF=Y")</f>
        <v>#NAME?</v>
      </c>
      <c r="BF457" s="2" t="e">
        <f ca="1">_xll.BDH($C$453,"REVENUE_SEQUENTIAL_GROWTH","FQ4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57" s="2" t="e">
        <f ca="1">_xll.BDH($C$453,"EBITDA_SEQUENTIAL_GROWTH","FQ4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57" s="2" t="e">
        <f ca="1">_xll.BDH($C$453,"OPERATING_INCOME_SEQ_GROWTH","FQ4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57" s="2" t="e">
        <f ca="1">_xll.BDH($C$453,"NET_INCOME_TO_COMMON_SEQ_GROWTH","FQ4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57" s="2" t="e">
        <f ca="1">_xll.BDH($C$453,"EPS_DILUTED_SEQUENTIAL_GROWTH","FQ4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57" s="2" t="e">
        <f ca="1">_xll.BDH($C$453,"DPS_SEQUENTIAL_GROWTH","FQ4 2014","FQ4 2014","Currency=INR","Period=FQ","BEST_FPERIOD_OVERRIDE=FQ","FILING_STATUS=OR","EQY_CONSOLIDATED=Y","Sort=A","Dates=H","DateFormat=P","Fill=—","Direction=H","UseDPDF=Y")</f>
        <v>#NAME?</v>
      </c>
      <c r="BL457" s="2" t="e">
        <f ca="1">_xll.BDH($C$453,"ACCOUNTS_RECEIVABLE_SEQ_GROWTH","FQ4 2014","FQ4 2014","Currency=INR","Period=FQ","BEST_FPERIOD_OVERRIDE=FQ","FILING_STATUS=OR","EQY_CONSOLIDATED=Y","Sort=A","Dates=H","DateFormat=P","Fill=—","Direction=H","UseDPDF=Y")</f>
        <v>#NAME?</v>
      </c>
      <c r="BM457" s="2" t="e">
        <f ca="1">_xll.BDH($C$453,"INVENTORY_SEQUENTIAL_GROWTH","FQ4 2014","FQ4 2014","Currency=INR","Period=FQ","BEST_FPERIOD_OVERRIDE=FQ","FILING_STATUS=OR","EQY_CONSOLIDATED=Y","Sort=A","Dates=H","DateFormat=P","Fill=—","Direction=H","UseDPDF=Y")</f>
        <v>#NAME?</v>
      </c>
      <c r="BN457" s="2" t="e">
        <f ca="1">_xll.BDH($C$453,"FIXED_ASSETS_SEQUENTIAL_GROWTH","FQ4 2014","FQ4 2014","Currency=INR","Period=FQ","BEST_FPERIOD_OVERRIDE=FQ","FILING_STATUS=OR","EQY_CONSOLIDATED=Y","Sort=A","Dates=H","DateFormat=P","Fill=—","Direction=H","UseDPDF=Y")</f>
        <v>#NAME?</v>
      </c>
      <c r="BO457" s="2" t="e">
        <f ca="1">_xll.BDH($C$453,"TOTAL_ASSETS_SEQUENTIAL_GROWTH","FQ4 2014","FQ4 2014","Currency=INR","Period=FQ","BEST_FPERIOD_OVERRIDE=FQ","FILING_STATUS=OR","EQY_CONSOLIDATED=Y","Sort=A","Dates=H","DateFormat=P","Fill=—","Direction=H","UseDPDF=Y")</f>
        <v>#NAME?</v>
      </c>
      <c r="BP457" s="2" t="e">
        <f ca="1">_xll.BDH($C$453,"MODIFIED_WORKING_CPTL_SEQ_GRWTH","FQ4 2014","FQ4 2014","Currency=INR","Period=FQ","BEST_FPERIOD_OVERRIDE=FQ","FILING_STATUS=OR","EQY_CONSOLIDATED=Y","Sort=A","Dates=H","DateFormat=P","Fill=—","Direction=H","UseDPDF=Y")</f>
        <v>#NAME?</v>
      </c>
      <c r="BQ457" s="2" t="e">
        <f ca="1">_xll.BDH($C$453,"WORKING_CAPITAL_SEQ_GROWTH","FQ4 2014","FQ4 2014","Currency=INR","Period=FQ","BEST_FPERIOD_OVERRIDE=FQ","FILING_STATUS=OR","EQY_CONSOLIDATED=Y","Sort=A","Dates=H","DateFormat=P","Fill=—","Direction=H","UseDPDF=Y")</f>
        <v>#NAME?</v>
      </c>
      <c r="BR457" s="2" t="e">
        <f ca="1">_xll.BDH($C$453,"ACCOUNTS_PAYABLE_SEQ_GROWTH","FQ4 2014","FQ4 2014","Currency=INR","Period=FQ","BEST_FPERIOD_OVERRIDE=FQ","FILING_STATUS=OR","EQY_CONSOLIDATED=Y","Sort=A","Dates=H","DateFormat=P","Fill=—","Direction=H","UseDPDF=Y")</f>
        <v>#NAME?</v>
      </c>
      <c r="BS457" s="2" t="e">
        <f ca="1">_xll.BDH($C$453,"ST_DEBT_SEQUENTIAL_GROWTH","FQ4 2014","FQ4 2014","Currency=INR","Period=FQ","BEST_FPERIOD_OVERRIDE=FQ","FILING_STATUS=OR","EQY_CONSOLIDATED=Y","Sort=A","Dates=H","DateFormat=P","Fill=—","Direction=H","UseDPDF=Y")</f>
        <v>#NAME?</v>
      </c>
      <c r="BT457" s="2" t="e">
        <f ca="1">_xll.BDH($C$453,"TOTAL_DEBT_SEQUENTIAL_GROWTH","FQ4 2014","FQ4 2014","Currency=INR","Period=FQ","BEST_FPERIOD_OVERRIDE=FQ","FILING_STATUS=OR","EQY_CONSOLIDATED=Y","Sort=A","Dates=H","DateFormat=P","Fill=—","Direction=H","UseDPDF=Y")</f>
        <v>#NAME?</v>
      </c>
      <c r="BU457" s="2" t="e">
        <f ca="1">_xll.BDH($C$453,"TOTAL_EQUITY_SEQUENTIAL_GROWTH","FQ4 2014","FQ4 2014","Currency=INR","Period=FQ","BEST_FPERIOD_OVERRIDE=FQ","FILING_STATUS=OR","EQY_CONSOLIDATED=Y","Sort=A","Dates=H","DateFormat=P","Fill=—","Direction=H","UseDPDF=Y")</f>
        <v>#NAME?</v>
      </c>
      <c r="BV457" s="2" t="e">
        <f ca="1">_xll.BDH($C$453,"TOTAL_CAPITAL_SEQUENTIAL_GROWTH","FQ4 2014","FQ4 2014","Currency=INR","Period=FQ","BEST_FPERIOD_OVERRIDE=FQ","FILING_STATUS=OR","EQY_CONSOLIDATED=Y","Sort=A","Dates=H","DateFormat=P","Fill=—","Direction=H","UseDPDF=Y")</f>
        <v>#NAME?</v>
      </c>
      <c r="BW457" s="2" t="e">
        <f ca="1">_xll.BDH($C$453,"BPS_SEQUENTIAL_GROWTH","FQ4 2014","FQ4 2014","Currency=INR","Period=FQ","BEST_FPERIOD_OVERRIDE=FQ","FILING_STATUS=OR","EQY_CONSOLIDATED=Y","Sort=A","Dates=H","DateFormat=P","Fill=—","Direction=H","UseDPDF=Y")</f>
        <v>#NAME?</v>
      </c>
      <c r="BX457" s="2" t="e">
        <f ca="1">_xll.BDH($C$453,"CFO_SEQUENTIAL_GROWTH","FQ4 2014","FQ4 2014","Currency=INR","Period=FQ","BEST_FPERIOD_OVERRIDE=FQ","FILING_STATUS=OR","EQY_CONSOLIDATED=Y","Sort=A","Dates=H","DateFormat=P","Fill=—","Direction=H","UseDPDF=Y")</f>
        <v>#NAME?</v>
      </c>
      <c r="BY457" s="3" t="e">
        <f ca="1">_xll.BDH($C$453,"SHORT_AND_LONG_TERM_DEBT","FQ4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57" s="3" t="e">
        <f ca="1">_xll.BDH($C$453,"BS_ST_BORROW","FQ4 2014","FQ4 2014","Currency=INR","Period=FQ","BEST_FPERIOD_OVERRIDE=FQ","FILING_STATUS=OR","EQY_CONSOLIDATED=Y","SCALING_FORMAT=MLN","Sort=A","Dates=H","DateFormat=P","Fill=—","Direction=H","UseDPDF=Y")</f>
        <v>#NAME?</v>
      </c>
      <c r="CA457" s="3" t="e">
        <f ca="1">_xll.BDH($C$453,"BS_LT_BORROW","FQ4 2014","FQ4 2014","Currency=INR","Period=FQ","BEST_FPERIOD_OVERRIDE=FQ","FILING_STATUS=OR","EQY_CONSOLIDATED=Y","SCALING_FORMAT=MLN","Sort=A","Dates=H","DateFormat=P","Fill=—","Direction=H","UseDPDF=Y")</f>
        <v>#NAME?</v>
      </c>
      <c r="CB457" s="2" t="e">
        <f ca="1">_xll.BDH($C$453,"TOT_DEBT_TO_EBITDA","FQ4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57" s="2" t="e">
        <f ca="1">_xll.BDH($C$453,"NET_DEBT_TO_EBITDA","FQ4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57" s="2" t="e">
        <f ca="1">_xll.BDH($C$453,"TOTAL_DEBT_TO_EBIT","FQ4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57" s="2" t="e">
        <f ca="1">_xll.BDH($C$453,"NET_DEBT_TO_EBIT","FQ4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457" s="2" t="e">
        <f ca="1">_xll.BDH($C$453,"EBITDA_TO_INTEREST_EXPN","FQ4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57" s="2" t="e">
        <f ca="1">_xll.BDH($C$453,"COM_EQY_TO_TOT_ASSET","FQ4 2014","FQ4 2014","Currency=INR","Period=FQ","BEST_FPERIOD_OVERRIDE=FQ","FILING_STATUS=OR","EQY_CONSOLIDATED=Y","Sort=A","Dates=H","DateFormat=P","Fill=—","Direction=H","UseDPDF=Y")</f>
        <v>#NAME?</v>
      </c>
      <c r="CH457" s="2" t="e">
        <f ca="1">_xll.BDH($C$453,"LT_DEBT_TO_TOT_EQY","FQ4 2014","FQ4 2014","Currency=INR","Period=FQ","BEST_FPERIOD_OVERRIDE=FQ","FILING_STATUS=OR","EQY_CONSOLIDATED=Y","Sort=A","Dates=H","DateFormat=P","Fill=—","Direction=H","UseDPDF=Y")</f>
        <v>#NAME?</v>
      </c>
      <c r="CI457" s="2" t="e">
        <f ca="1">_xll.BDH($C$453,"LT_DEBT_TO_TOT_CAP","FQ4 2014","FQ4 2014","Currency=INR","Period=FQ","BEST_FPERIOD_OVERRIDE=FQ","FILING_STATUS=OR","EQY_CONSOLIDATED=Y","Sort=A","Dates=H","DateFormat=P","Fill=—","Direction=H","UseDPDF=Y")</f>
        <v>#NAME?</v>
      </c>
      <c r="CJ457" s="2" t="e">
        <f ca="1">_xll.BDH($C$453,"LT_DEBT_TO_TOT_ASSET","FQ4 2014","FQ4 2014","Currency=INR","Period=FQ","BEST_FPERIOD_OVERRIDE=FQ","FILING_STATUS=OR","EQY_CONSOLIDATED=Y","Sort=A","Dates=H","DateFormat=P","Fill=—","Direction=H","UseDPDF=Y")</f>
        <v>#NAME?</v>
      </c>
      <c r="CK457" s="2" t="e">
        <f ca="1">_xll.BDH($C$453,"TOT_DEBT_TO_TOT_EQY","FQ4 2014","FQ4 2014","Currency=INR","Period=FQ","BEST_FPERIOD_OVERRIDE=FQ","FILING_STATUS=OR","EQY_CONSOLIDATED=Y","Sort=A","Dates=H","DateFormat=P","Fill=—","Direction=H","UseDPDF=Y")</f>
        <v>#NAME?</v>
      </c>
      <c r="CL457" s="2" t="e">
        <f ca="1">_xll.BDH($C$453,"TOT_DEBT_TO_TOT_CAP","FQ4 2014","FQ4 2014","Currency=INR","Period=FQ","BEST_FPERIOD_OVERRIDE=FQ","FILING_STATUS=OR","EQY_CONSOLIDATED=Y","Sort=A","Dates=H","DateFormat=P","Fill=—","Direction=H","UseDPDF=Y")</f>
        <v>#NAME?</v>
      </c>
      <c r="CM457" s="2" t="e">
        <f ca="1">_xll.BDH($C$453,"TOT_DEBT_TO_TOT_ASSET","FQ4 2014","FQ4 2014","Currency=INR","Period=FQ","BEST_FPERIOD_OVERRIDE=FQ","FILING_STATUS=OR","EQY_CONSOLIDATED=Y","Sort=A","Dates=H","DateFormat=P","Fill=—","Direction=H","UseDPDF=Y")</f>
        <v>#NAME?</v>
      </c>
      <c r="CN457" s="2" t="e">
        <f ca="1">_xll.BDH($C$453,"NET_DEBT_TO_SHRHLDR_EQTY","FQ4 2014","FQ4 2014","Currency=INR","Period=FQ","BEST_FPERIOD_OVERRIDE=FQ","FILING_STATUS=OR","EQY_CONSOLIDATED=Y","Sort=A","Dates=H","DateFormat=P","Fill=—","Direction=H","UseDPDF=Y")</f>
        <v>#NAME?</v>
      </c>
      <c r="CO457" s="2" t="e">
        <f ca="1">_xll.BDH($C$453,"NET_DEBT_%_CAPITAL","FQ4 2014","FQ4 2014","Currency=INR","Period=FQ","BEST_FPERIOD_OVERRIDE=FQ","FILING_STATUS=OR","EQY_CONSOLIDATED=Y","Sort=A","Dates=H","DateFormat=P","Fill=—","Direction=H","UseDPDF=Y")</f>
        <v>#NAME?</v>
      </c>
      <c r="CP457" s="3" t="e">
        <f ca="1">_xll.BDH($C$453,"EBITDA","FQ4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57" s="3" t="e">
        <f ca="1">_xll.BDH($C$453,"EBITDA_AFTER_CAPEX","FQ4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57" s="3" t="e">
        <f ca="1">_xll.BDH($C$453,"IS_OPER_INC","FQ4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57" s="2" t="e">
        <f ca="1">_xll.BDH($C$453,"CASH_RATIO","FQ4 2014","FQ4 2014","Currency=INR","Period=FQ","BEST_FPERIOD_OVERRIDE=FQ","FILING_STATUS=OR","EQY_CONSOLIDATED=Y","Sort=A","Dates=H","DateFormat=P","Fill=—","Direction=H","UseDPDF=Y")</f>
        <v>#NAME?</v>
      </c>
      <c r="CT457" s="2" t="e">
        <f ca="1">_xll.BDH($C$453,"CUR_RATIO","FQ4 2014","FQ4 2014","Currency=INR","Period=FQ","BEST_FPERIOD_OVERRIDE=FQ","FILING_STATUS=OR","EQY_CONSOLIDATED=Y","Sort=A","Dates=H","DateFormat=P","Fill=—","Direction=H","UseDPDF=Y")</f>
        <v>#NAME?</v>
      </c>
      <c r="CU457" s="2" t="e">
        <f ca="1">_xll.BDH($C$453,"QUICK_RATIO","FQ4 2014","FQ4 2014","Currency=INR","Period=FQ","BEST_FPERIOD_OVERRIDE=FQ","FILING_STATUS=OR","EQY_CONSOLIDATED=Y","Sort=A","Dates=H","DateFormat=P","Fill=—","Direction=H","UseDPDF=Y")</f>
        <v>#NAME?</v>
      </c>
      <c r="CV457" s="2" t="e">
        <f ca="1">_xll.BDH($C$453,"ALTMAN_Z_SCORE","FQ4 2014","FQ4 2014","Currency=INR","Period=FQ","BEST_FPERIOD_OVERRIDE=FQ","FILING_STATUS=OR","EQY_CONSOLIDATED=Y","Sort=A","Dates=H","DateFormat=P","Fill=—","Direction=H","UseDPDF=Y")</f>
        <v>#NAME?</v>
      </c>
      <c r="CW457" s="4" t="e">
        <f ca="1">_xll.BDH($C$453,"ACCT_RCV_TURN","FQ4 2014","FQ4 2014","Currency=INR","Period=FQ","BEST_FPERIOD_OVERRIDE=FQ","FILING_STATUS=OR","EQY_CONSOLIDATED=Y","FA_ADJUSTED=GAAP","Sort=A","Dates=H","DateFormat=P","Fill=—","Direction=H","UseDPDF=Y")</f>
        <v>#NAME?</v>
      </c>
      <c r="CX457" s="2" t="e">
        <f ca="1">_xll.BDH($C$453,"ACCT_RCV_DAYS","FQ4 2014","FQ4 2014","Currency=INR","Period=FQ","BEST_FPERIOD_OVERRIDE=FQ","FILING_STATUS=OR","EQY_CONSOLIDATED=Y","FA_ADJUSTED=GAAP","Sort=A","Dates=H","DateFormat=P","Fill=—","Direction=H","UseDPDF=Y")</f>
        <v>#NAME?</v>
      </c>
      <c r="CY457" s="4" t="e">
        <f ca="1">_xll.BDH($C$453,"INVENT_TURN","FQ4 2014","FQ4 2014","Currency=INR","Period=FQ","BEST_FPERIOD_OVERRIDE=FQ","FILING_STATUS=OR","EQY_CONSOLIDATED=Y","FA_ADJUSTED=GAAP","Sort=A","Dates=H","DateFormat=P","Fill=—","Direction=H","UseDPDF=Y")</f>
        <v>#NAME?</v>
      </c>
      <c r="CZ457" s="2" t="e">
        <f ca="1">_xll.BDH($C$453,"INVENT_DAYS","FQ4 2014","FQ4 2014","Currency=INR","Period=FQ","BEST_FPERIOD_OVERRIDE=FQ","FILING_STATUS=OR","EQY_CONSOLIDATED=Y","FA_ADJUSTED=GAAP","Sort=A","Dates=H","DateFormat=P","Fill=—","Direction=H","UseDPDF=Y")</f>
        <v>#NAME?</v>
      </c>
      <c r="DA457" s="4" t="e">
        <f ca="1">_xll.BDH($C$453,"ACCOUNTS_PAYABLE_TURNOVER","FQ4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57" s="2" t="e">
        <f ca="1">_xll.BDH($C$453,"ACCOUNTS_PAYABLE_TURNOVER_DAYS","FQ4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57" s="4" t="e">
        <f ca="1">_xll.BDH($C$453,"CASH_CONVERSION_CYCLE","FQ4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57" s="4" t="e">
        <f ca="1">_xll.BDH($C$453,"INV_TO_CASH_DAYS","FQ4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457" s="5" t="e">
        <f ca="1">_xll.BDH($C$453,"BS_INVENTORIES","FQ4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457" s="3" t="e">
        <f ca="1">_xll.BDH($C$453,"INVTRY_RAW_MATERIALS","FQ4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57" s="3" t="e">
        <f ca="1">_xll.BDH($C$453,"INVTRY_IN_PROGRESS","FQ4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57" s="3" t="e">
        <f ca="1">_xll.BDH($C$453,"INVTRY_FINISHED_GOODS","FQ4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57" s="3" t="e">
        <f ca="1">_xll.BDH($C$453,"BS_OTHER_INV","FQ4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58" spans="1:113" x14ac:dyDescent="0.3">
      <c r="A458" s="6"/>
      <c r="B458" s="6"/>
      <c r="C458" s="6"/>
      <c r="D458" s="6" t="s">
        <v>82</v>
      </c>
      <c r="E458" t="s">
        <v>77</v>
      </c>
      <c r="F458" t="e">
        <f ca="1">_xll.BDH($C$453,"RETURN_COM_EQY","FY 2015","FY 2015","Currency=INR","Period=FY","BEST_FPERIOD_OVERRIDE=FY","FILING_STATUS=OR","EQY_CONSOLIDATED=Y","FA_ADJUSTED=GAAP","Sort=A","Dates=H","DateFormat=P","Fill=—","Direction=H","UseDPDF=Y")</f>
        <v>#NAME?</v>
      </c>
      <c r="G458" t="e">
        <f ca="1">_xll.BDH($C$453,"RETURN_ON_ASSET","FY 2015","FY 2015","Currency=INR","Period=FY","BEST_FPERIOD_OVERRIDE=FY","FILING_STATUS=OR","EQY_CONSOLIDATED=Y","FA_ADJUSTED=GAAP","Sort=A","Dates=H","DateFormat=P","Fill=—","Direction=H","UseDPDF=Y")</f>
        <v>#NAME?</v>
      </c>
      <c r="H458" t="e">
        <f ca="1">_xll.BDH($C$453,"RETURN_ON_CAP","FY 2015","FY 2015","Currency=INR","Period=FY","BEST_FPERIOD_OVERRIDE=FY","FILING_STATUS=OR","EQY_CONSOLIDATED=Y","FA_ADJUSTED=GAAP","Sort=A","Dates=H","DateFormat=P","Fill=—","Direction=H","UseDPDF=Y")</f>
        <v>#NAME?</v>
      </c>
      <c r="I458" t="e">
        <f ca="1">_xll.BDH($C$453,"RETURN_ON_INV_CAPITAL","FY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58" t="e">
        <f ca="1">_xll.BDH($C$453,"EBITDA_TO_REVENUE","FY 2015","FY 2015","Currency=INR","Period=FY","BEST_FPERIOD_OVERRIDE=FY","FILING_STATUS=OR","EQY_CONSOLIDATED=Y","FA_ADJUSTED=GAAP","Sort=A","Dates=H","DateFormat=P","Fill=—","Direction=H","UseDPDF=Y")</f>
        <v>#NAME?</v>
      </c>
      <c r="K458" t="e">
        <f ca="1">_xll.BDH($C$453,"OPER_MARGIN","FY 2015","FY 2015","Currency=INR","Period=FY","BEST_FPERIOD_OVERRIDE=FY","FILING_STATUS=OR","EQY_CONSOLIDATED=Y","FA_ADJUSTED=GAAP","Sort=A","Dates=H","DateFormat=P","Fill=—","Direction=H","UseDPDF=Y")</f>
        <v>#NAME?</v>
      </c>
      <c r="L458" t="e">
        <f ca="1">_xll.BDH($C$453,"INCREMENTAL_OPERATING_MARGIN","FY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58" t="e">
        <f ca="1">_xll.BDH($C$453,"PRETAX_INC_TO_NET_SALES","FY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58" t="e">
        <f ca="1">_xll.BDH($C$453,"INC_BEF_XO_ITEMS_TO_NET_SALES","FY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58" t="e">
        <f ca="1">_xll.BDH($C$453,"PROF_MARGIN","FY 2015","FY 2015","Currency=INR","Period=FY","BEST_FPERIOD_OVERRIDE=FY","FILING_STATUS=OR","EQY_CONSOLIDATED=Y","FA_ADJUSTED=GAAP","Sort=A","Dates=H","DateFormat=P","Fill=—","Direction=H","UseDPDF=Y")</f>
        <v>#NAME?</v>
      </c>
      <c r="P458" t="e">
        <f ca="1">_xll.BDH($C$453,"NET_INCOME_TO_COMMON_MARGIN","FY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58" t="e">
        <f ca="1">_xll.BDH($C$453,"EFF_TAX_RATE","FY 2015","FY 2015","Currency=INR","Period=FY","BEST_FPERIOD_OVERRIDE=FY","FILING_STATUS=OR","EQY_CONSOLIDATED=Y","FA_ADJUSTED=GAAP","Sort=A","Dates=H","DateFormat=P","Fill=—","Direction=H","UseDPDF=Y")</f>
        <v>#NAME?</v>
      </c>
      <c r="R458" t="e">
        <f ca="1">_xll.BDH($C$453,"DVD_PAYOUT_RATIO","FY 2015","FY 2015","Currency=INR","Period=FY","BEST_FPERIOD_OVERRIDE=FY","FILING_STATUS=OR","EQY_CONSOLIDATED=Y","FA_ADJUSTED=GAAP","Sort=A","Dates=H","DateFormat=P","Fill=—","Direction=H","UseDPDF=Y")</f>
        <v>#NAME?</v>
      </c>
      <c r="S458" t="e">
        <f ca="1">_xll.BDH($C$453,"SUSTAIN_GROWTH_RT","FY 2015","FY 2015","Currency=INR","Period=FY","BEST_FPERIOD_OVERRIDE=FY","FILING_STATUS=OR","EQY_CONSOLIDATED=Y","FA_ADJUSTED=GAAP","Sort=A","Dates=H","DateFormat=P","Fill=—","Direction=H","UseDPDF=Y")</f>
        <v>#NAME?</v>
      </c>
      <c r="T458" s="2" t="e">
        <f ca="1">_xll.BDH($C$453,"SALES_GROWTH","FY 2015","FY 2015","Currency=INR","Period=FY","BEST_FPERIOD_OVERRIDE=FY","FILING_STATUS=OR","EQY_CONSOLIDATED=Y","FA_ADJUSTED=GAAP","Sort=A","Dates=H","DateFormat=P","Fill=—","Direction=H","UseDPDF=Y")</f>
        <v>#NAME?</v>
      </c>
      <c r="U458" s="2" t="e">
        <f ca="1">_xll.BDH($C$453,"EBITDA_GROWTH","FY 2015","FY 2015","Currency=INR","Period=FY","BEST_FPERIOD_OVERRIDE=FY","FILING_STATUS=OR","EQY_CONSOLIDATED=Y","FA_ADJUSTED=GAAP","Sort=A","Dates=H","DateFormat=P","Fill=—","Direction=H","UseDPDF=Y")</f>
        <v>#NAME?</v>
      </c>
      <c r="V458" s="2" t="e">
        <f ca="1">_xll.BDH($C$453,"OPER_INC_GROWTH","FY 2015","FY 2015","Currency=INR","Period=FY","BEST_FPERIOD_OVERRIDE=FY","FILING_STATUS=OR","EQY_CONSOLIDATED=Y","FA_ADJUSTED=GAAP","Sort=A","Dates=H","DateFormat=P","Fill=—","Direction=H","UseDPDF=Y")</f>
        <v>#NAME?</v>
      </c>
      <c r="W458" s="2" t="e">
        <f ca="1">_xll.BDH($C$453,"EARN_FOR_COM_GROWTH","FY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458" s="2" t="e">
        <f ca="1">_xll.BDH($C$453,"DILUTED_EPS_AFT_XO_ITEMS_GROWTH","FY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58" s="2" t="e">
        <f ca="1">_xll.BDH($C$453,"DIVIDEND_PER_SHARE_1_YEAR_GROWTH","FY 2015","FY 2015","Currency=INR","Period=FY","BEST_FPERIOD_OVERRIDE=FY","FILING_STATUS=OR","EQY_CONSOLIDATED=Y","Sort=A","Dates=H","DateFormat=P","Fill=—","Direction=H","UseDPDF=Y")</f>
        <v>#NAME?</v>
      </c>
      <c r="Z458" s="2" t="e">
        <f ca="1">_xll.BDH($C$453,"ACCOUNTS_RECEIVABLE_GROWTH","FY 2015","FY 2015","Currency=INR","Period=FY","BEST_FPERIOD_OVERRIDE=FY","FILING_STATUS=OR","EQY_CONSOLIDATED=Y","Sort=A","Dates=H","DateFormat=P","Fill=—","Direction=H","UseDPDF=Y")</f>
        <v>#NAME?</v>
      </c>
      <c r="AA458" s="2" t="e">
        <f ca="1">_xll.BDH($C$453,"INVENTORY_GROWTH","FY 2015","FY 2015","Currency=INR","Period=FY","BEST_FPERIOD_OVERRIDE=FY","FILING_STATUS=OR","EQY_CONSOLIDATED=Y","Sort=A","Dates=H","DateFormat=P","Fill=—","Direction=H","UseDPDF=Y")</f>
        <v>#NAME?</v>
      </c>
      <c r="AB458" s="2" t="e">
        <f ca="1">_xll.BDH($C$453,"NET_FIXED_ASSETS_1_YEAR_GROWTH","FY 2015","FY 2015","Currency=INR","Period=FY","BEST_FPERIOD_OVERRIDE=FY","FILING_STATUS=OR","EQY_CONSOLIDATED=Y","Sort=A","Dates=H","DateFormat=P","Fill=—","Direction=H","UseDPDF=Y")</f>
        <v>#NAME?</v>
      </c>
      <c r="AC458" s="2" t="e">
        <f ca="1">_xll.BDH($C$453,"ASSET_GROWTH","FY 2015","FY 2015","Currency=INR","Period=FY","BEST_FPERIOD_OVERRIDE=FY","FILING_STATUS=OR","EQY_CONSOLIDATED=Y","Sort=A","Dates=H","DateFormat=P","Fill=—","Direction=H","UseDPDF=Y")</f>
        <v>#NAME?</v>
      </c>
      <c r="AD458" s="2" t="e">
        <f ca="1">_xll.BDH($C$453,"MODIFIED_WORK_CAP_GROWTH","FY 2015","FY 2015","Currency=INR","Period=FY","BEST_FPERIOD_OVERRIDE=FY","FILING_STATUS=OR","EQY_CONSOLIDATED=Y","Sort=A","Dates=H","DateFormat=P","Fill=—","Direction=H","UseDPDF=Y")</f>
        <v>#NAME?</v>
      </c>
      <c r="AE458" s="2" t="e">
        <f ca="1">_xll.BDH($C$453,"WORK_CAP_GROWTH","FY 2015","FY 2015","Currency=INR","Period=FY","BEST_FPERIOD_OVERRIDE=FY","FILING_STATUS=OR","EQY_CONSOLIDATED=Y","Sort=A","Dates=H","DateFormat=P","Fill=—","Direction=H","UseDPDF=Y")</f>
        <v>#NAME?</v>
      </c>
      <c r="AF458" s="2" t="e">
        <f ca="1">_xll.BDH($C$453,"ACCOUNTS_PAYABLE_GROWTH_1YR","FY 2015","FY 2015","Currency=INR","Period=FY","BEST_FPERIOD_OVERRIDE=FY","FILING_STATUS=OR","EQY_CONSOLIDATED=Y","Sort=A","Dates=H","DateFormat=P","Fill=—","Direction=H","UseDPDF=Y")</f>
        <v>#NAME?</v>
      </c>
      <c r="AG458" s="2" t="e">
        <f ca="1">_xll.BDH($C$453,"SHORT_TERM_DEBT_1_YEAR_GROWTH","FY 2015","FY 2015","Currency=INR","Period=FY","BEST_FPERIOD_OVERRIDE=FY","FILING_STATUS=OR","EQY_CONSOLIDATED=Y","Sort=A","Dates=H","DateFormat=P","Fill=—","Direction=H","UseDPDF=Y")</f>
        <v>#NAME?</v>
      </c>
      <c r="AH458" s="2" t="e">
        <f ca="1">_xll.BDH($C$453,"TOTAL_DEBT_1_YEAR_GROWTH","FY 2015","FY 2015","Currency=INR","Period=FY","BEST_FPERIOD_OVERRIDE=FY","FILING_STATUS=OR","EQY_CONSOLIDATED=Y","Sort=A","Dates=H","DateFormat=P","Fill=—","Direction=H","UseDPDF=Y")</f>
        <v>#NAME?</v>
      </c>
      <c r="AI458" s="2" t="e">
        <f ca="1">_xll.BDH($C$453,"TOTAL_EQUITY_1_YEAR_GROWTH","FY 2015","FY 2015","Currency=INR","Period=FY","BEST_FPERIOD_OVERRIDE=FY","FILING_STATUS=OR","EQY_CONSOLIDATED=Y","Sort=A","Dates=H","DateFormat=P","Fill=—","Direction=H","UseDPDF=Y")</f>
        <v>#NAME?</v>
      </c>
      <c r="AJ458" s="2" t="e">
        <f ca="1">_xll.BDH($C$453,"GROWTH_IN_CAP","FY 2015","FY 2015","Currency=INR","Period=FY","BEST_FPERIOD_OVERRIDE=FY","FILING_STATUS=OR","EQY_CONSOLIDATED=Y","Sort=A","Dates=H","DateFormat=P","Fill=—","Direction=H","UseDPDF=Y")</f>
        <v>#NAME?</v>
      </c>
      <c r="AK458" s="2" t="e">
        <f ca="1">_xll.BDH($C$453,"BVPS_GROWTH","FY 2015","FY 2015","Currency=INR","Period=FY","BEST_FPERIOD_OVERRIDE=FY","FILING_STATUS=OR","EQY_CONSOLIDATED=Y","Sort=A","Dates=H","DateFormat=P","Fill=—","Direction=H","UseDPDF=Y")</f>
        <v>#NAME?</v>
      </c>
      <c r="AL458" s="2" t="e">
        <f ca="1">_xll.BDH($C$453,"CASH_FLOW_GROWTH","FY 2015","FY 2015","Currency=INR","Period=FY","BEST_FPERIOD_OVERRIDE=FY","FILING_STATUS=OR","EQY_CONSOLIDATED=Y","Sort=A","Dates=H","DateFormat=P","Fill=—","Direction=H","UseDPDF=Y")</f>
        <v>#NAME?</v>
      </c>
      <c r="AM458" s="2" t="e">
        <f ca="1">_xll.BDH($C$453,"GEO_GROW_NET_SALES","FY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458" s="2" t="e">
        <f ca="1">_xll.BDH($C$453,"GEO_GROW_EBITDA","FY 2015","FY 2015","Currency=INR","Period=FY","BEST_FPERIOD_OVERRIDE=FY","FILING_STATUS=OR","EQY_CONSOLIDATED=Y","FA_ADJUSTED=GAAP","Sort=A","Dates=H","DateFormat=P","Fill=—","Direction=H","UseDPDF=Y")</f>
        <v>#NAME?</v>
      </c>
      <c r="AO458" s="2" t="e">
        <f ca="1">_xll.BDH($C$453,"GEO_GROW_OPER_INC","FY 2015","FY 2015","Currency=INR","Period=FY","BEST_FPERIOD_OVERRIDE=FY","FILING_STATUS=OR","EQY_CONSOLIDATED=Y","FA_ADJUSTED=GAAP","Sort=A","Dates=H","DateFormat=P","Fill=—","Direction=H","UseDPDF=Y")</f>
        <v>#NAME?</v>
      </c>
      <c r="AP458" s="2" t="e">
        <f ca="1">_xll.BDH($C$453,"NET_INCOME_TO_COMMON_5_YR_GROWTH","FY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58" s="2" t="e">
        <f ca="1">_xll.BDH($C$453,"5Y_GEO_GROWTH_DILUTED_EPS","FY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58" s="2" t="e">
        <f ca="1">_xll.BDH($C$453,"GEO_GROW_DVD_PER_SH","FY 2015","FY 2015","Currency=INR","Period=FY","BEST_FPERIOD_OVERRIDE=FY","FILING_STATUS=OR","EQY_CONSOLIDATED=Y","Sort=A","Dates=H","DateFormat=P","Fill=—","Direction=H","UseDPDF=Y")</f>
        <v>#NAME?</v>
      </c>
      <c r="AS458" s="2" t="e">
        <f ca="1">_xll.BDH($C$453,"ACCOUNTS_RECEIVABLE_5_YR_GROWTH","FY 2015","FY 2015","Currency=INR","Period=FY","BEST_FPERIOD_OVERRIDE=FY","FILING_STATUS=OR","EQY_CONSOLIDATED=Y","Sort=A","Dates=H","DateFormat=P","Fill=—","Direction=H","UseDPDF=Y")</f>
        <v>#NAME?</v>
      </c>
      <c r="AT458" s="2" t="e">
        <f ca="1">_xll.BDH($C$453,"INVENTORY_5_YEAR_GROWTH","FY 2015","FY 2015","Currency=INR","Period=FY","BEST_FPERIOD_OVERRIDE=FY","FILING_STATUS=OR","EQY_CONSOLIDATED=Y","Sort=A","Dates=H","DateFormat=P","Fill=—","Direction=H","UseDPDF=Y")</f>
        <v>#NAME?</v>
      </c>
      <c r="AU458" s="2" t="e">
        <f ca="1">_xll.BDH($C$453,"NET_FIXED_ASSETS_5_YEAR_GROWTH","FY 2015","FY 2015","Currency=INR","Period=FY","BEST_FPERIOD_OVERRIDE=FY","FILING_STATUS=OR","EQY_CONSOLIDATED=Y","Sort=A","Dates=H","DateFormat=P","Fill=—","Direction=H","UseDPDF=Y")</f>
        <v>#NAME?</v>
      </c>
      <c r="AV458" s="2" t="e">
        <f ca="1">_xll.BDH($C$453,"GEO_GROW_TOT_ASSET","FY 2015","FY 2015","Currency=INR","Period=FY","BEST_FPERIOD_OVERRIDE=FY","FILING_STATUS=OR","EQY_CONSOLIDATED=Y","Sort=A","Dates=H","DateFormat=P","Fill=—","Direction=H","UseDPDF=Y")</f>
        <v>#NAME?</v>
      </c>
      <c r="AW458" s="2" t="e">
        <f ca="1">_xll.BDH($C$453,"MODIFIED_WORKING_CPTL_5YR_GRWTH","FY 2015","FY 2015","Currency=INR","Period=FY","BEST_FPERIOD_OVERRIDE=FY","FILING_STATUS=OR","EQY_CONSOLIDATED=Y","Sort=A","Dates=H","DateFormat=P","Fill=—","Direction=H","UseDPDF=Y")</f>
        <v>#NAME?</v>
      </c>
      <c r="AX458" s="2" t="e">
        <f ca="1">_xll.BDH($C$453,"WORKING_CAPITAL_5_YEAR_GROWTH","FY 2015","FY 2015","Currency=INR","Period=FY","BEST_FPERIOD_OVERRIDE=FY","FILING_STATUS=OR","EQY_CONSOLIDATED=Y","Sort=A","Dates=H","DateFormat=P","Fill=—","Direction=H","UseDPDF=Y")</f>
        <v>#NAME?</v>
      </c>
      <c r="AY458" s="2" t="e">
        <f ca="1">_xll.BDH($C$453,"ACCOUNTS_PAYABLE_5_YEAR_GROWTH","FY 2015","FY 2015","Currency=INR","Period=FY","BEST_FPERIOD_OVERRIDE=FY","FILING_STATUS=OR","EQY_CONSOLIDATED=Y","Sort=A","Dates=H","DateFormat=P","Fill=—","Direction=H","UseDPDF=Y")</f>
        <v>#NAME?</v>
      </c>
      <c r="AZ458" s="2" t="e">
        <f ca="1">_xll.BDH($C$453,"SHORT_TERM_DEBT_5_YEAR_GROWTH","FY 2015","FY 2015","Currency=INR","Period=FY","BEST_FPERIOD_OVERRIDE=FY","FILING_STATUS=OR","EQY_CONSOLIDATED=Y","Sort=A","Dates=H","DateFormat=P","Fill=—","Direction=H","UseDPDF=Y")</f>
        <v>#NAME?</v>
      </c>
      <c r="BA458" s="2" t="e">
        <f ca="1">_xll.BDH($C$453,"TOTAL_DEBT_5_YEAR_GROWTH","FY 2015","FY 2015","Currency=INR","Period=FY","BEST_FPERIOD_OVERRIDE=FY","FILING_STATUS=OR","EQY_CONSOLIDATED=Y","Sort=A","Dates=H","DateFormat=P","Fill=—","Direction=H","UseDPDF=Y")</f>
        <v>#NAME?</v>
      </c>
      <c r="BB458" s="2" t="e">
        <f ca="1">_xll.BDH($C$453,"GEO_GROW_TOT_SHRHLDR_EQY","FY 2015","FY 2015","Currency=INR","Period=FY","BEST_FPERIOD_OVERRIDE=FY","FILING_STATUS=OR","EQY_CONSOLIDATED=Y","Sort=A","Dates=H","DateFormat=P","Fill=—","Direction=H","UseDPDF=Y")</f>
        <v>#NAME?</v>
      </c>
      <c r="BC458" s="2" t="e">
        <f ca="1">_xll.BDH($C$453,"TOTAL_CAPITAL_5_YEAR_GROWTH","FY 2015","FY 2015","Currency=INR","Period=FY","BEST_FPERIOD_OVERRIDE=FY","FILING_STATUS=OR","EQY_CONSOLIDATED=Y","Sort=A","Dates=H","DateFormat=P","Fill=—","Direction=H","UseDPDF=Y")</f>
        <v>#NAME?</v>
      </c>
      <c r="BD458" s="2" t="e">
        <f ca="1">_xll.BDH($C$453,"GEO_GROW_BOOK_VAL","FY 2015","FY 2015","Currency=INR","Period=FY","BEST_FPERIOD_OVERRIDE=FY","FILING_STATUS=OR","EQY_CONSOLIDATED=Y","Sort=A","Dates=H","DateFormat=P","Fill=—","Direction=H","UseDPDF=Y")</f>
        <v>#NAME?</v>
      </c>
      <c r="BE458" s="2" t="e">
        <f ca="1">_xll.BDH($C$453,"GEO_GROW_CASH_OPER_ACT","FY 2015","FY 2015","Currency=INR","Period=FY","BEST_FPERIOD_OVERRIDE=FY","FILING_STATUS=OR","EQY_CONSOLIDATED=Y","Sort=A","Dates=H","DateFormat=P","Fill=—","Direction=H","UseDPDF=Y")</f>
        <v>#NAME?</v>
      </c>
      <c r="BF458" s="2" t="e">
        <f ca="1">_xll.BDH($C$453,"REVENUE_SEQUENTIAL_GROWTH","FY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58" s="2" t="e">
        <f ca="1">_xll.BDH($C$453,"EBITDA_SEQUENTIAL_GROWTH","FY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58" s="2" t="e">
        <f ca="1">_xll.BDH($C$453,"OPERATING_INCOME_SEQ_GROWTH","FY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58" s="2" t="e">
        <f ca="1">_xll.BDH($C$453,"NET_INCOME_TO_COMMON_SEQ_GROWTH","FY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58" s="2" t="e">
        <f ca="1">_xll.BDH($C$453,"EPS_DILUTED_SEQUENTIAL_GROWTH","FY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58" s="2" t="e">
        <f ca="1">_xll.BDH($C$453,"DPS_SEQUENTIAL_GROWTH","FY 2015","FY 2015","Currency=INR","Period=FY","BEST_FPERIOD_OVERRIDE=FY","FILING_STATUS=OR","EQY_CONSOLIDATED=Y","Sort=A","Dates=H","DateFormat=P","Fill=—","Direction=H","UseDPDF=Y")</f>
        <v>#NAME?</v>
      </c>
      <c r="BL458" s="2" t="e">
        <f ca="1">_xll.BDH($C$453,"ACCOUNTS_RECEIVABLE_SEQ_GROWTH","FY 2015","FY 2015","Currency=INR","Period=FY","BEST_FPERIOD_OVERRIDE=FY","FILING_STATUS=OR","EQY_CONSOLIDATED=Y","Sort=A","Dates=H","DateFormat=P","Fill=—","Direction=H","UseDPDF=Y")</f>
        <v>#NAME?</v>
      </c>
      <c r="BM458" s="2" t="e">
        <f ca="1">_xll.BDH($C$453,"INVENTORY_SEQUENTIAL_GROWTH","FY 2015","FY 2015","Currency=INR","Period=FY","BEST_FPERIOD_OVERRIDE=FY","FILING_STATUS=OR","EQY_CONSOLIDATED=Y","Sort=A","Dates=H","DateFormat=P","Fill=—","Direction=H","UseDPDF=Y")</f>
        <v>#NAME?</v>
      </c>
      <c r="BN458" s="2" t="e">
        <f ca="1">_xll.BDH($C$453,"FIXED_ASSETS_SEQUENTIAL_GROWTH","FY 2015","FY 2015","Currency=INR","Period=FY","BEST_FPERIOD_OVERRIDE=FY","FILING_STATUS=OR","EQY_CONSOLIDATED=Y","Sort=A","Dates=H","DateFormat=P","Fill=—","Direction=H","UseDPDF=Y")</f>
        <v>#NAME?</v>
      </c>
      <c r="BO458" s="2" t="e">
        <f ca="1">_xll.BDH($C$453,"TOTAL_ASSETS_SEQUENTIAL_GROWTH","FY 2015","FY 2015","Currency=INR","Period=FY","BEST_FPERIOD_OVERRIDE=FY","FILING_STATUS=OR","EQY_CONSOLIDATED=Y","Sort=A","Dates=H","DateFormat=P","Fill=—","Direction=H","UseDPDF=Y")</f>
        <v>#NAME?</v>
      </c>
      <c r="BP458" s="2" t="e">
        <f ca="1">_xll.BDH($C$453,"MODIFIED_WORKING_CPTL_SEQ_GRWTH","FY 2015","FY 2015","Currency=INR","Period=FY","BEST_FPERIOD_OVERRIDE=FY","FILING_STATUS=OR","EQY_CONSOLIDATED=Y","Sort=A","Dates=H","DateFormat=P","Fill=—","Direction=H","UseDPDF=Y")</f>
        <v>#NAME?</v>
      </c>
      <c r="BQ458" s="2" t="e">
        <f ca="1">_xll.BDH($C$453,"WORKING_CAPITAL_SEQ_GROWTH","FY 2015","FY 2015","Currency=INR","Period=FY","BEST_FPERIOD_OVERRIDE=FY","FILING_STATUS=OR","EQY_CONSOLIDATED=Y","Sort=A","Dates=H","DateFormat=P","Fill=—","Direction=H","UseDPDF=Y")</f>
        <v>#NAME?</v>
      </c>
      <c r="BR458" s="2" t="e">
        <f ca="1">_xll.BDH($C$453,"ACCOUNTS_PAYABLE_SEQ_GROWTH","FY 2015","FY 2015","Currency=INR","Period=FY","BEST_FPERIOD_OVERRIDE=FY","FILING_STATUS=OR","EQY_CONSOLIDATED=Y","Sort=A","Dates=H","DateFormat=P","Fill=—","Direction=H","UseDPDF=Y")</f>
        <v>#NAME?</v>
      </c>
      <c r="BS458" s="2" t="e">
        <f ca="1">_xll.BDH($C$453,"ST_DEBT_SEQUENTIAL_GROWTH","FY 2015","FY 2015","Currency=INR","Period=FY","BEST_FPERIOD_OVERRIDE=FY","FILING_STATUS=OR","EQY_CONSOLIDATED=Y","Sort=A","Dates=H","DateFormat=P","Fill=—","Direction=H","UseDPDF=Y")</f>
        <v>#NAME?</v>
      </c>
      <c r="BT458" s="2" t="e">
        <f ca="1">_xll.BDH($C$453,"TOTAL_DEBT_SEQUENTIAL_GROWTH","FY 2015","FY 2015","Currency=INR","Period=FY","BEST_FPERIOD_OVERRIDE=FY","FILING_STATUS=OR","EQY_CONSOLIDATED=Y","Sort=A","Dates=H","DateFormat=P","Fill=—","Direction=H","UseDPDF=Y")</f>
        <v>#NAME?</v>
      </c>
      <c r="BU458" s="2" t="e">
        <f ca="1">_xll.BDH($C$453,"TOTAL_EQUITY_SEQUENTIAL_GROWTH","FY 2015","FY 2015","Currency=INR","Period=FY","BEST_FPERIOD_OVERRIDE=FY","FILING_STATUS=OR","EQY_CONSOLIDATED=Y","Sort=A","Dates=H","DateFormat=P","Fill=—","Direction=H","UseDPDF=Y")</f>
        <v>#NAME?</v>
      </c>
      <c r="BV458" s="2" t="e">
        <f ca="1">_xll.BDH($C$453,"TOTAL_CAPITAL_SEQUENTIAL_GROWTH","FY 2015","FY 2015","Currency=INR","Period=FY","BEST_FPERIOD_OVERRIDE=FY","FILING_STATUS=OR","EQY_CONSOLIDATED=Y","Sort=A","Dates=H","DateFormat=P","Fill=—","Direction=H","UseDPDF=Y")</f>
        <v>#NAME?</v>
      </c>
      <c r="BW458" s="2" t="e">
        <f ca="1">_xll.BDH($C$453,"BPS_SEQUENTIAL_GROWTH","FY 2015","FY 2015","Currency=INR","Period=FY","BEST_FPERIOD_OVERRIDE=FY","FILING_STATUS=OR","EQY_CONSOLIDATED=Y","Sort=A","Dates=H","DateFormat=P","Fill=—","Direction=H","UseDPDF=Y")</f>
        <v>#NAME?</v>
      </c>
      <c r="BX458" s="2" t="e">
        <f ca="1">_xll.BDH($C$453,"CFO_SEQUENTIAL_GROWTH","FY 2015","FY 2015","Currency=INR","Period=FY","BEST_FPERIOD_OVERRIDE=FY","FILING_STATUS=OR","EQY_CONSOLIDATED=Y","Sort=A","Dates=H","DateFormat=P","Fill=—","Direction=H","UseDPDF=Y")</f>
        <v>#NAME?</v>
      </c>
      <c r="BY458" s="3" t="e">
        <f ca="1">_xll.BDH($C$453,"SHORT_AND_LONG_TERM_DEBT","FY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58" s="3" t="e">
        <f ca="1">_xll.BDH($C$453,"BS_ST_BORROW","FY 2015","FY 2015","Currency=INR","Period=FY","BEST_FPERIOD_OVERRIDE=FY","FILING_STATUS=OR","EQY_CONSOLIDATED=Y","SCALING_FORMAT=MLN","Sort=A","Dates=H","DateFormat=P","Fill=—","Direction=H","UseDPDF=Y")</f>
        <v>#NAME?</v>
      </c>
      <c r="CA458" s="3" t="e">
        <f ca="1">_xll.BDH($C$453,"BS_LT_BORROW","FY 2015","FY 2015","Currency=INR","Period=FY","BEST_FPERIOD_OVERRIDE=FY","FILING_STATUS=OR","EQY_CONSOLIDATED=Y","SCALING_FORMAT=MLN","Sort=A","Dates=H","DateFormat=P","Fill=—","Direction=H","UseDPDF=Y")</f>
        <v>#NAME?</v>
      </c>
      <c r="CB458" s="2" t="e">
        <f ca="1">_xll.BDH($C$453,"TOT_DEBT_TO_EBITDA","FY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458" s="2" t="e">
        <f ca="1">_xll.BDH($C$453,"NET_DEBT_TO_EBITDA","FY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458" s="2" t="e">
        <f ca="1">_xll.BDH($C$453,"TOTAL_DEBT_TO_EBIT","FY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458" s="2" t="e">
        <f ca="1">_xll.BDH($C$453,"NET_DEBT_TO_EBIT","FY 2015","FY 2015","Currency=INR","Period=FY","BEST_FPERIOD_OVERRIDE=FY","FILING_STATUS=OR","EQY_CONSOLIDATED=Y","FA_ADJUSTED=GAAP","Sort=A","Dates=H","DateFormat=P","Fill=—","Direction=H","UseDPDF=Y")</f>
        <v>#NAME?</v>
      </c>
      <c r="CF458" s="2" t="e">
        <f ca="1">_xll.BDH($C$453,"EBITDA_TO_INTEREST_EXPN","FY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58" s="2" t="e">
        <f ca="1">_xll.BDH($C$453,"COM_EQY_TO_TOT_ASSET","FY 2015","FY 2015","Currency=INR","Period=FY","BEST_FPERIOD_OVERRIDE=FY","FILING_STATUS=OR","EQY_CONSOLIDATED=Y","Sort=A","Dates=H","DateFormat=P","Fill=—","Direction=H","UseDPDF=Y")</f>
        <v>#NAME?</v>
      </c>
      <c r="CH458" s="2" t="e">
        <f ca="1">_xll.BDH($C$453,"LT_DEBT_TO_TOT_EQY","FY 2015","FY 2015","Currency=INR","Period=FY","BEST_FPERIOD_OVERRIDE=FY","FILING_STATUS=OR","EQY_CONSOLIDATED=Y","Sort=A","Dates=H","DateFormat=P","Fill=—","Direction=H","UseDPDF=Y")</f>
        <v>#NAME?</v>
      </c>
      <c r="CI458" s="2" t="e">
        <f ca="1">_xll.BDH($C$453,"LT_DEBT_TO_TOT_CAP","FY 2015","FY 2015","Currency=INR","Period=FY","BEST_FPERIOD_OVERRIDE=FY","FILING_STATUS=OR","EQY_CONSOLIDATED=Y","Sort=A","Dates=H","DateFormat=P","Fill=—","Direction=H","UseDPDF=Y")</f>
        <v>#NAME?</v>
      </c>
      <c r="CJ458" s="2" t="e">
        <f ca="1">_xll.BDH($C$453,"LT_DEBT_TO_TOT_ASSET","FY 2015","FY 2015","Currency=INR","Period=FY","BEST_FPERIOD_OVERRIDE=FY","FILING_STATUS=OR","EQY_CONSOLIDATED=Y","Sort=A","Dates=H","DateFormat=P","Fill=—","Direction=H","UseDPDF=Y")</f>
        <v>#NAME?</v>
      </c>
      <c r="CK458" s="2" t="e">
        <f ca="1">_xll.BDH($C$453,"TOT_DEBT_TO_TOT_EQY","FY 2015","FY 2015","Currency=INR","Period=FY","BEST_FPERIOD_OVERRIDE=FY","FILING_STATUS=OR","EQY_CONSOLIDATED=Y","Sort=A","Dates=H","DateFormat=P","Fill=—","Direction=H","UseDPDF=Y")</f>
        <v>#NAME?</v>
      </c>
      <c r="CL458" s="2" t="e">
        <f ca="1">_xll.BDH($C$453,"TOT_DEBT_TO_TOT_CAP","FY 2015","FY 2015","Currency=INR","Period=FY","BEST_FPERIOD_OVERRIDE=FY","FILING_STATUS=OR","EQY_CONSOLIDATED=Y","Sort=A","Dates=H","DateFormat=P","Fill=—","Direction=H","UseDPDF=Y")</f>
        <v>#NAME?</v>
      </c>
      <c r="CM458" s="2" t="e">
        <f ca="1">_xll.BDH($C$453,"TOT_DEBT_TO_TOT_ASSET","FY 2015","FY 2015","Currency=INR","Period=FY","BEST_FPERIOD_OVERRIDE=FY","FILING_STATUS=OR","EQY_CONSOLIDATED=Y","Sort=A","Dates=H","DateFormat=P","Fill=—","Direction=H","UseDPDF=Y")</f>
        <v>#NAME?</v>
      </c>
      <c r="CN458" s="2" t="e">
        <f ca="1">_xll.BDH($C$453,"NET_DEBT_TO_SHRHLDR_EQTY","FY 2015","FY 2015","Currency=INR","Period=FY","BEST_FPERIOD_OVERRIDE=FY","FILING_STATUS=OR","EQY_CONSOLIDATED=Y","Sort=A","Dates=H","DateFormat=P","Fill=—","Direction=H","UseDPDF=Y")</f>
        <v>#NAME?</v>
      </c>
      <c r="CO458" s="2" t="e">
        <f ca="1">_xll.BDH($C$453,"NET_DEBT_%_CAPITAL","FY 2015","FY 2015","Currency=INR","Period=FY","BEST_FPERIOD_OVERRIDE=FY","FILING_STATUS=OR","EQY_CONSOLIDATED=Y","Sort=A","Dates=H","DateFormat=P","Fill=—","Direction=H","UseDPDF=Y")</f>
        <v>#NAME?</v>
      </c>
      <c r="CP458" s="3" t="e">
        <f ca="1">_xll.BDH($C$453,"EBITDA","FY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58" s="3" t="e">
        <f ca="1">_xll.BDH($C$453,"EBITDA_AFTER_CAPEX","FY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58" s="3" t="e">
        <f ca="1">_xll.BDH($C$453,"IS_OPER_INC","FY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58" s="2" t="e">
        <f ca="1">_xll.BDH($C$453,"CASH_RATIO","FY 2015","FY 2015","Currency=INR","Period=FY","BEST_FPERIOD_OVERRIDE=FY","FILING_STATUS=OR","EQY_CONSOLIDATED=Y","Sort=A","Dates=H","DateFormat=P","Fill=—","Direction=H","UseDPDF=Y")</f>
        <v>#NAME?</v>
      </c>
      <c r="CT458" s="2" t="e">
        <f ca="1">_xll.BDH($C$453,"CUR_RATIO","FY 2015","FY 2015","Currency=INR","Period=FY","BEST_FPERIOD_OVERRIDE=FY","FILING_STATUS=OR","EQY_CONSOLIDATED=Y","Sort=A","Dates=H","DateFormat=P","Fill=—","Direction=H","UseDPDF=Y")</f>
        <v>#NAME?</v>
      </c>
      <c r="CU458" s="2" t="e">
        <f ca="1">_xll.BDH($C$453,"QUICK_RATIO","FY 2015","FY 2015","Currency=INR","Period=FY","BEST_FPERIOD_OVERRIDE=FY","FILING_STATUS=OR","EQY_CONSOLIDATED=Y","Sort=A","Dates=H","DateFormat=P","Fill=—","Direction=H","UseDPDF=Y")</f>
        <v>#NAME?</v>
      </c>
      <c r="CV458" s="2" t="e">
        <f ca="1">_xll.BDH($C$453,"ALTMAN_Z_SCORE","FY 2015","FY 2015","Currency=INR","Period=FY","BEST_FPERIOD_OVERRIDE=FY","FILING_STATUS=OR","EQY_CONSOLIDATED=Y","Sort=A","Dates=H","DateFormat=P","Fill=—","Direction=H","UseDPDF=Y")</f>
        <v>#NAME?</v>
      </c>
      <c r="CW458" s="4" t="e">
        <f ca="1">_xll.BDH($C$453,"ACCT_RCV_TURN","FY 2015","FY 2015","Currency=INR","Period=FY","BEST_FPERIOD_OVERRIDE=FY","FILING_STATUS=OR","EQY_CONSOLIDATED=Y","FA_ADJUSTED=GAAP","Sort=A","Dates=H","DateFormat=P","Fill=—","Direction=H","UseDPDF=Y")</f>
        <v>#NAME?</v>
      </c>
      <c r="CX458" s="2" t="e">
        <f ca="1">_xll.BDH($C$453,"ACCT_RCV_DAYS","FY 2015","FY 2015","Currency=INR","Period=FY","BEST_FPERIOD_OVERRIDE=FY","FILING_STATUS=OR","EQY_CONSOLIDATED=Y","FA_ADJUSTED=GAAP","Sort=A","Dates=H","DateFormat=P","Fill=—","Direction=H","UseDPDF=Y")</f>
        <v>#NAME?</v>
      </c>
      <c r="CY458" s="4" t="e">
        <f ca="1">_xll.BDH($C$453,"INVENT_TURN","FY 2015","FY 2015","Currency=INR","Period=FY","BEST_FPERIOD_OVERRIDE=FY","FILING_STATUS=OR","EQY_CONSOLIDATED=Y","FA_ADJUSTED=GAAP","Sort=A","Dates=H","DateFormat=P","Fill=—","Direction=H","UseDPDF=Y")</f>
        <v>#NAME?</v>
      </c>
      <c r="CZ458" s="2" t="e">
        <f ca="1">_xll.BDH($C$453,"INVENT_DAYS","FY 2015","FY 2015","Currency=INR","Period=FY","BEST_FPERIOD_OVERRIDE=FY","FILING_STATUS=OR","EQY_CONSOLIDATED=Y","FA_ADJUSTED=GAAP","Sort=A","Dates=H","DateFormat=P","Fill=—","Direction=H","UseDPDF=Y")</f>
        <v>#NAME?</v>
      </c>
      <c r="DA458" s="4" t="e">
        <f ca="1">_xll.BDH($C$453,"ACCOUNTS_PAYABLE_TURNOVER","FY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58" s="2" t="e">
        <f ca="1">_xll.BDH($C$453,"ACCOUNTS_PAYABLE_TURNOVER_DAYS","FY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58" s="4" t="e">
        <f ca="1">_xll.BDH($C$453,"CASH_CONVERSION_CYCLE","FY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58" s="4" t="e">
        <f ca="1">_xll.BDH($C$453,"INV_TO_CASH_DAYS","FY 2015","FY 2015","Currency=INR","Period=FY","BEST_FPERIOD_OVERRIDE=FY","FILING_STATUS=OR","EQY_CONSOLIDATED=Y","FA_ADJUSTED=GAAP","Sort=A","Dates=H","DateFormat=P","Fill=—","Direction=H","UseDPDF=Y")</f>
        <v>#NAME?</v>
      </c>
      <c r="DE458" s="5" t="e">
        <f ca="1">_xll.BDH($C$453,"BS_INVENTORIES","FY 2015","FY 2015","Currency=INR","Period=FY","BEST_FPERIOD_OVERRIDE=FY","FILING_STATUS=OR","EQY_CONSOLIDATED=Y","SCALING_FORMAT=MLN","Sort=A","Dates=H","DateFormat=P","Fill=—","Direction=H","UseDPDF=Y")</f>
        <v>#NAME?</v>
      </c>
      <c r="DF458" s="3" t="e">
        <f ca="1">_xll.BDH($C$453,"INVTRY_RAW_MATERIALS","FY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58" s="3" t="e">
        <f ca="1">_xll.BDH($C$453,"INVTRY_IN_PROGRESS","FY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58" s="3" t="e">
        <f ca="1">_xll.BDH($C$453,"INVTRY_FINISHED_GOODS","FY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58" s="3" t="e">
        <f ca="1">_xll.BDH($C$453,"BS_OTHER_INV","FY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59" spans="1:113" x14ac:dyDescent="0.3">
      <c r="A459" s="6"/>
      <c r="B459" s="6"/>
      <c r="C459" s="6"/>
      <c r="D459" s="6"/>
      <c r="E459" t="s">
        <v>78</v>
      </c>
      <c r="F459" t="e">
        <f ca="1">_xll.BDH($C$453,"RETURN_COM_EQY","FQ1 2015","FQ1 2015","Currency=INR","Period=FQ","BEST_FPERIOD_OVERRIDE=FQ","FILING_STATUS=OR","EQY_CONSOLIDATED=Y","FA_ADJUSTED=GAAP","Sort=A","Dates=H","DateFormat=P","Fill=—","Direction=H","UseDPDF=Y")</f>
        <v>#NAME?</v>
      </c>
      <c r="G459" t="e">
        <f ca="1">_xll.BDH($C$453,"RETURN_ON_ASSET","FQ1 2015","FQ1 2015","Currency=INR","Period=FQ","BEST_FPERIOD_OVERRIDE=FQ","FILING_STATUS=OR","EQY_CONSOLIDATED=Y","FA_ADJUSTED=GAAP","Sort=A","Dates=H","DateFormat=P","Fill=—","Direction=H","UseDPDF=Y")</f>
        <v>#NAME?</v>
      </c>
      <c r="H459" t="e">
        <f ca="1">_xll.BDH($C$453,"RETURN_ON_CAP","FQ1 2015","FQ1 2015","Currency=INR","Period=FQ","BEST_FPERIOD_OVERRIDE=FQ","FILING_STATUS=OR","EQY_CONSOLIDATED=Y","FA_ADJUSTED=GAAP","Sort=A","Dates=H","DateFormat=P","Fill=—","Direction=H","UseDPDF=Y")</f>
        <v>#NAME?</v>
      </c>
      <c r="I459" t="e">
        <f ca="1">_xll.BDH($C$453,"RETURN_ON_INV_CAPITAL","FQ1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59" t="e">
        <f ca="1">_xll.BDH($C$453,"EBITDA_TO_REVENUE","FQ1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459" t="e">
        <f ca="1">_xll.BDH($C$453,"OPER_MARGIN","FQ1 2015","FQ1 2015","Currency=INR","Period=FQ","BEST_FPERIOD_OVERRIDE=FQ","FILING_STATUS=OR","EQY_CONSOLIDATED=Y","FA_ADJUSTED=GAAP","Sort=A","Dates=H","DateFormat=P","Fill=—","Direction=H","UseDPDF=Y")</f>
        <v>#NAME?</v>
      </c>
      <c r="L459" t="e">
        <f ca="1">_xll.BDH($C$453,"INCREMENTAL_OPERATING_MARGIN","FQ1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59" t="e">
        <f ca="1">_xll.BDH($C$453,"PRETAX_INC_TO_NET_SALES","FQ1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59" t="e">
        <f ca="1">_xll.BDH($C$453,"INC_BEF_XO_ITEMS_TO_NET_SALES","FQ1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59" t="e">
        <f ca="1">_xll.BDH($C$453,"PROF_MARGIN","FQ1 2015","FQ1 2015","Currency=INR","Period=FQ","BEST_FPERIOD_OVERRIDE=FQ","FILING_STATUS=OR","EQY_CONSOLIDATED=Y","FA_ADJUSTED=GAAP","Sort=A","Dates=H","DateFormat=P","Fill=—","Direction=H","UseDPDF=Y")</f>
        <v>#NAME?</v>
      </c>
      <c r="P459" t="e">
        <f ca="1">_xll.BDH($C$453,"NET_INCOME_TO_COMMON_MARGIN","FQ1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59" t="e">
        <f ca="1">_xll.BDH($C$453,"EFF_TAX_RATE","FQ1 2015","FQ1 2015","Currency=INR","Period=FQ","BEST_FPERIOD_OVERRIDE=FQ","FILING_STATUS=OR","EQY_CONSOLIDATED=Y","FA_ADJUSTED=GAAP","Sort=A","Dates=H","DateFormat=P","Fill=—","Direction=H","UseDPDF=Y")</f>
        <v>#NAME?</v>
      </c>
      <c r="R459" t="e">
        <f ca="1">_xll.BDH($C$453,"DVD_PAYOUT_RATIO","FQ1 2015","FQ1 2015","Currency=INR","Period=FQ","BEST_FPERIOD_OVERRIDE=FQ","FILING_STATUS=OR","EQY_CONSOLIDATED=Y","FA_ADJUSTED=GAAP","Sort=A","Dates=H","DateFormat=P","Fill=—","Direction=H","UseDPDF=Y")</f>
        <v>#NAME?</v>
      </c>
      <c r="S459" t="e">
        <f ca="1">_xll.BDH($C$453,"SUSTAIN_GROWTH_RT","FQ1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459" s="2" t="e">
        <f ca="1">_xll.BDH($C$453,"SALES_GROWTH","FQ1 2015","FQ1 2015","Currency=INR","Period=FQ","BEST_FPERIOD_OVERRIDE=FQ","FILING_STATUS=OR","EQY_CONSOLIDATED=Y","FA_ADJUSTED=GAAP","Sort=A","Dates=H","DateFormat=P","Fill=—","Direction=H","UseDPDF=Y")</f>
        <v>#NAME?</v>
      </c>
      <c r="U459" s="2" t="e">
        <f ca="1">_xll.BDH($C$453,"EBITDA_GROWTH","FQ1 2015","FQ1 2015","Currency=INR","Period=FQ","BEST_FPERIOD_OVERRIDE=FQ","FILING_STATUS=OR","EQY_CONSOLIDATED=Y","FA_ADJUSTED=GAAP","Sort=A","Dates=H","DateFormat=P","Fill=—","Direction=H","UseDPDF=Y")</f>
        <v>#NAME?</v>
      </c>
      <c r="V459" s="2" t="e">
        <f ca="1">_xll.BDH($C$453,"OPER_INC_GROWTH","FQ1 2015","FQ1 2015","Currency=INR","Period=FQ","BEST_FPERIOD_OVERRIDE=FQ","FILING_STATUS=OR","EQY_CONSOLIDATED=Y","FA_ADJUSTED=GAAP","Sort=A","Dates=H","DateFormat=P","Fill=—","Direction=H","UseDPDF=Y")</f>
        <v>#NAME?</v>
      </c>
      <c r="W459" s="2" t="e">
        <f ca="1">_xll.BDH($C$453,"EARN_FOR_COM_GROWTH","FQ1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59" s="2" t="e">
        <f ca="1">_xll.BDH($C$453,"DILUTED_EPS_AFT_XO_ITEMS_GROWTH","FQ1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59" s="2" t="e">
        <f ca="1">_xll.BDH($C$453,"DIVIDEND_PER_SHARE_1_YEAR_GROWTH","FQ1 2015","FQ1 2015","Currency=INR","Period=FQ","BEST_FPERIOD_OVERRIDE=FQ","FILING_STATUS=OR","EQY_CONSOLIDATED=Y","Sort=A","Dates=H","DateFormat=P","Fill=—","Direction=H","UseDPDF=Y")</f>
        <v>#NAME?</v>
      </c>
      <c r="Z459" s="2" t="e">
        <f ca="1">_xll.BDH($C$453,"ACCOUNTS_RECEIVABLE_GROWTH","FQ1 2015","FQ1 2015","Currency=INR","Period=FQ","BEST_FPERIOD_OVERRIDE=FQ","FILING_STATUS=OR","EQY_CONSOLIDATED=Y","Sort=A","Dates=H","DateFormat=P","Fill=—","Direction=H","UseDPDF=Y")</f>
        <v>#NAME?</v>
      </c>
      <c r="AA459" s="2" t="e">
        <f ca="1">_xll.BDH($C$453,"INVENTORY_GROWTH","FQ1 2015","FQ1 2015","Currency=INR","Period=FQ","BEST_FPERIOD_OVERRIDE=FQ","FILING_STATUS=OR","EQY_CONSOLIDATED=Y","Sort=A","Dates=H","DateFormat=P","Fill=—","Direction=H","UseDPDF=Y")</f>
        <v>#NAME?</v>
      </c>
      <c r="AB459" s="2" t="e">
        <f ca="1">_xll.BDH($C$453,"NET_FIXED_ASSETS_1_YEAR_GROWTH","FQ1 2015","FQ1 2015","Currency=INR","Period=FQ","BEST_FPERIOD_OVERRIDE=FQ","FILING_STATUS=OR","EQY_CONSOLIDATED=Y","Sort=A","Dates=H","DateFormat=P","Fill=—","Direction=H","UseDPDF=Y")</f>
        <v>#NAME?</v>
      </c>
      <c r="AC459" s="2" t="e">
        <f ca="1">_xll.BDH($C$453,"ASSET_GROWTH","FQ1 2015","FQ1 2015","Currency=INR","Period=FQ","BEST_FPERIOD_OVERRIDE=FQ","FILING_STATUS=OR","EQY_CONSOLIDATED=Y","Sort=A","Dates=H","DateFormat=P","Fill=—","Direction=H","UseDPDF=Y")</f>
        <v>#NAME?</v>
      </c>
      <c r="AD459" s="2" t="e">
        <f ca="1">_xll.BDH($C$453,"MODIFIED_WORK_CAP_GROWTH","FQ1 2015","FQ1 2015","Currency=INR","Period=FQ","BEST_FPERIOD_OVERRIDE=FQ","FILING_STATUS=OR","EQY_CONSOLIDATED=Y","Sort=A","Dates=H","DateFormat=P","Fill=—","Direction=H","UseDPDF=Y")</f>
        <v>#NAME?</v>
      </c>
      <c r="AE459" s="2" t="e">
        <f ca="1">_xll.BDH($C$453,"WORK_CAP_GROWTH","FQ1 2015","FQ1 2015","Currency=INR","Period=FQ","BEST_FPERIOD_OVERRIDE=FQ","FILING_STATUS=OR","EQY_CONSOLIDATED=Y","Sort=A","Dates=H","DateFormat=P","Fill=—","Direction=H","UseDPDF=Y")</f>
        <v>#NAME?</v>
      </c>
      <c r="AF459" s="2" t="e">
        <f ca="1">_xll.BDH($C$453,"ACCOUNTS_PAYABLE_GROWTH_1YR","FQ1 2015","FQ1 2015","Currency=INR","Period=FQ","BEST_FPERIOD_OVERRIDE=FQ","FILING_STATUS=OR","EQY_CONSOLIDATED=Y","Sort=A","Dates=H","DateFormat=P","Fill=—","Direction=H","UseDPDF=Y")</f>
        <v>#NAME?</v>
      </c>
      <c r="AG459" s="2" t="e">
        <f ca="1">_xll.BDH($C$453,"SHORT_TERM_DEBT_1_YEAR_GROWTH","FQ1 2015","FQ1 2015","Currency=INR","Period=FQ","BEST_FPERIOD_OVERRIDE=FQ","FILING_STATUS=OR","EQY_CONSOLIDATED=Y","Sort=A","Dates=H","DateFormat=P","Fill=—","Direction=H","UseDPDF=Y")</f>
        <v>#NAME?</v>
      </c>
      <c r="AH459" s="2" t="e">
        <f ca="1">_xll.BDH($C$453,"TOTAL_DEBT_1_YEAR_GROWTH","FQ1 2015","FQ1 2015","Currency=INR","Period=FQ","BEST_FPERIOD_OVERRIDE=FQ","FILING_STATUS=OR","EQY_CONSOLIDATED=Y","Sort=A","Dates=H","DateFormat=P","Fill=—","Direction=H","UseDPDF=Y")</f>
        <v>#NAME?</v>
      </c>
      <c r="AI459" s="2" t="e">
        <f ca="1">_xll.BDH($C$453,"TOTAL_EQUITY_1_YEAR_GROWTH","FQ1 2015","FQ1 2015","Currency=INR","Period=FQ","BEST_FPERIOD_OVERRIDE=FQ","FILING_STATUS=OR","EQY_CONSOLIDATED=Y","Sort=A","Dates=H","DateFormat=P","Fill=—","Direction=H","UseDPDF=Y")</f>
        <v>#NAME?</v>
      </c>
      <c r="AJ459" s="2" t="e">
        <f ca="1">_xll.BDH($C$453,"GROWTH_IN_CAP","FQ1 2015","FQ1 2015","Currency=INR","Period=FQ","BEST_FPERIOD_OVERRIDE=FQ","FILING_STATUS=OR","EQY_CONSOLIDATED=Y","Sort=A","Dates=H","DateFormat=P","Fill=—","Direction=H","UseDPDF=Y")</f>
        <v>#NAME?</v>
      </c>
      <c r="AK459" s="2" t="e">
        <f ca="1">_xll.BDH($C$453,"BVPS_GROWTH","FQ1 2015","FQ1 2015","Currency=INR","Period=FQ","BEST_FPERIOD_OVERRIDE=FQ","FILING_STATUS=OR","EQY_CONSOLIDATED=Y","Sort=A","Dates=H","DateFormat=P","Fill=—","Direction=H","UseDPDF=Y")</f>
        <v>#NAME?</v>
      </c>
      <c r="AL459" s="2" t="e">
        <f ca="1">_xll.BDH($C$453,"CASH_FLOW_GROWTH","FQ1 2015","FQ1 2015","Currency=INR","Period=FQ","BEST_FPERIOD_OVERRIDE=FQ","FILING_STATUS=OR","EQY_CONSOLIDATED=Y","Sort=A","Dates=H","DateFormat=P","Fill=—","Direction=H","UseDPDF=Y")</f>
        <v>#NAME?</v>
      </c>
      <c r="AM459" s="2" t="e">
        <f ca="1">_xll.BDH($C$453,"GEO_GROW_NET_SALES","FQ1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59" s="2" t="e">
        <f ca="1">_xll.BDH($C$453,"GEO_GROW_EBITDA","FQ1 2015","FQ1 2015","Currency=INR","Period=FQ","BEST_FPERIOD_OVERRIDE=FQ","FILING_STATUS=OR","EQY_CONSOLIDATED=Y","FA_ADJUSTED=GAAP","Sort=A","Dates=H","DateFormat=P","Fill=—","Direction=H","UseDPDF=Y")</f>
        <v>#NAME?</v>
      </c>
      <c r="AO459" s="2" t="e">
        <f ca="1">_xll.BDH($C$453,"GEO_GROW_OPER_INC","FQ1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59" s="2" t="e">
        <f ca="1">_xll.BDH($C$453,"NET_INCOME_TO_COMMON_5_YR_GROWTH","FQ1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59" s="2" t="e">
        <f ca="1">_xll.BDH($C$453,"5Y_GEO_GROWTH_DILUTED_EPS","FQ1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59" s="2" t="e">
        <f ca="1">_xll.BDH($C$453,"GEO_GROW_DVD_PER_SH","FQ1 2015","FQ1 2015","Currency=INR","Period=FQ","BEST_FPERIOD_OVERRIDE=FQ","FILING_STATUS=OR","EQY_CONSOLIDATED=Y","Sort=A","Dates=H","DateFormat=P","Fill=—","Direction=H","UseDPDF=Y")</f>
        <v>#NAME?</v>
      </c>
      <c r="AS459" s="2" t="e">
        <f ca="1">_xll.BDH($C$453,"ACCOUNTS_RECEIVABLE_5_YR_GROWTH","FQ1 2015","FQ1 2015","Currency=INR","Period=FQ","BEST_FPERIOD_OVERRIDE=FQ","FILING_STATUS=OR","EQY_CONSOLIDATED=Y","Sort=A","Dates=H","DateFormat=P","Fill=—","Direction=H","UseDPDF=Y")</f>
        <v>#NAME?</v>
      </c>
      <c r="AT459" s="2" t="e">
        <f ca="1">_xll.BDH($C$453,"INVENTORY_5_YEAR_GROWTH","FQ1 2015","FQ1 2015","Currency=INR","Period=FQ","BEST_FPERIOD_OVERRIDE=FQ","FILING_STATUS=OR","EQY_CONSOLIDATED=Y","Sort=A","Dates=H","DateFormat=P","Fill=—","Direction=H","UseDPDF=Y")</f>
        <v>#NAME?</v>
      </c>
      <c r="AU459" s="2" t="e">
        <f ca="1">_xll.BDH($C$453,"NET_FIXED_ASSETS_5_YEAR_GROWTH","FQ1 2015","FQ1 2015","Currency=INR","Period=FQ","BEST_FPERIOD_OVERRIDE=FQ","FILING_STATUS=OR","EQY_CONSOLIDATED=Y","Sort=A","Dates=H","DateFormat=P","Fill=—","Direction=H","UseDPDF=Y")</f>
        <v>#NAME?</v>
      </c>
      <c r="AV459" s="2" t="e">
        <f ca="1">_xll.BDH($C$453,"GEO_GROW_TOT_ASSET","FQ1 2015","FQ1 2015","Currency=INR","Period=FQ","BEST_FPERIOD_OVERRIDE=FQ","FILING_STATUS=OR","EQY_CONSOLIDATED=Y","Sort=A","Dates=H","DateFormat=P","Fill=—","Direction=H","UseDPDF=Y")</f>
        <v>#NAME?</v>
      </c>
      <c r="AW459" s="2" t="e">
        <f ca="1">_xll.BDH($C$453,"MODIFIED_WORKING_CPTL_5YR_GRWTH","FQ1 2015","FQ1 2015","Currency=INR","Period=FQ","BEST_FPERIOD_OVERRIDE=FQ","FILING_STATUS=OR","EQY_CONSOLIDATED=Y","Sort=A","Dates=H","DateFormat=P","Fill=—","Direction=H","UseDPDF=Y")</f>
        <v>#NAME?</v>
      </c>
      <c r="AX459" s="2" t="e">
        <f ca="1">_xll.BDH($C$453,"WORKING_CAPITAL_5_YEAR_GROWTH","FQ1 2015","FQ1 2015","Currency=INR","Period=FQ","BEST_FPERIOD_OVERRIDE=FQ","FILING_STATUS=OR","EQY_CONSOLIDATED=Y","Sort=A","Dates=H","DateFormat=P","Fill=—","Direction=H","UseDPDF=Y")</f>
        <v>#NAME?</v>
      </c>
      <c r="AY459" s="2" t="e">
        <f ca="1">_xll.BDH($C$453,"ACCOUNTS_PAYABLE_5_YEAR_GROWTH","FQ1 2015","FQ1 2015","Currency=INR","Period=FQ","BEST_FPERIOD_OVERRIDE=FQ","FILING_STATUS=OR","EQY_CONSOLIDATED=Y","Sort=A","Dates=H","DateFormat=P","Fill=—","Direction=H","UseDPDF=Y")</f>
        <v>#NAME?</v>
      </c>
      <c r="AZ459" s="2" t="e">
        <f ca="1">_xll.BDH($C$453,"SHORT_TERM_DEBT_5_YEAR_GROWTH","FQ1 2015","FQ1 2015","Currency=INR","Period=FQ","BEST_FPERIOD_OVERRIDE=FQ","FILING_STATUS=OR","EQY_CONSOLIDATED=Y","Sort=A","Dates=H","DateFormat=P","Fill=—","Direction=H","UseDPDF=Y")</f>
        <v>#NAME?</v>
      </c>
      <c r="BA459" s="2" t="e">
        <f ca="1">_xll.BDH($C$453,"TOTAL_DEBT_5_YEAR_GROWTH","FQ1 2015","FQ1 2015","Currency=INR","Period=FQ","BEST_FPERIOD_OVERRIDE=FQ","FILING_STATUS=OR","EQY_CONSOLIDATED=Y","Sort=A","Dates=H","DateFormat=P","Fill=—","Direction=H","UseDPDF=Y")</f>
        <v>#NAME?</v>
      </c>
      <c r="BB459" s="2" t="e">
        <f ca="1">_xll.BDH($C$453,"GEO_GROW_TOT_SHRHLDR_EQY","FQ1 2015","FQ1 2015","Currency=INR","Period=FQ","BEST_FPERIOD_OVERRIDE=FQ","FILING_STATUS=OR","EQY_CONSOLIDATED=Y","Sort=A","Dates=H","DateFormat=P","Fill=—","Direction=H","UseDPDF=Y")</f>
        <v>#NAME?</v>
      </c>
      <c r="BC459" s="2" t="e">
        <f ca="1">_xll.BDH($C$453,"TOTAL_CAPITAL_5_YEAR_GROWTH","FQ1 2015","FQ1 2015","Currency=INR","Period=FQ","BEST_FPERIOD_OVERRIDE=FQ","FILING_STATUS=OR","EQY_CONSOLIDATED=Y","Sort=A","Dates=H","DateFormat=P","Fill=—","Direction=H","UseDPDF=Y")</f>
        <v>#NAME?</v>
      </c>
      <c r="BD459" s="2" t="e">
        <f ca="1">_xll.BDH($C$453,"GEO_GROW_BOOK_VAL","FQ1 2015","FQ1 2015","Currency=INR","Period=FQ","BEST_FPERIOD_OVERRIDE=FQ","FILING_STATUS=OR","EQY_CONSOLIDATED=Y","Sort=A","Dates=H","DateFormat=P","Fill=—","Direction=H","UseDPDF=Y")</f>
        <v>#NAME?</v>
      </c>
      <c r="BE459" s="2" t="e">
        <f ca="1">_xll.BDH($C$453,"GEO_GROW_CASH_OPER_ACT","FQ1 2015","FQ1 2015","Currency=INR","Period=FQ","BEST_FPERIOD_OVERRIDE=FQ","FILING_STATUS=OR","EQY_CONSOLIDATED=Y","Sort=A","Dates=H","DateFormat=P","Fill=—","Direction=H","UseDPDF=Y")</f>
        <v>#NAME?</v>
      </c>
      <c r="BF459" s="2" t="e">
        <f ca="1">_xll.BDH($C$453,"REVENUE_SEQUENTIAL_GROWTH","FQ1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59" s="2" t="e">
        <f ca="1">_xll.BDH($C$453,"EBITDA_SEQUENTIAL_GROWTH","FQ1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59" s="2" t="e">
        <f ca="1">_xll.BDH($C$453,"OPERATING_INCOME_SEQ_GROWTH","FQ1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59" s="2" t="e">
        <f ca="1">_xll.BDH($C$453,"NET_INCOME_TO_COMMON_SEQ_GROWTH","FQ1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59" s="2" t="e">
        <f ca="1">_xll.BDH($C$453,"EPS_DILUTED_SEQUENTIAL_GROWTH","FQ1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59" s="2" t="e">
        <f ca="1">_xll.BDH($C$453,"DPS_SEQUENTIAL_GROWTH","FQ1 2015","FQ1 2015","Currency=INR","Period=FQ","BEST_FPERIOD_OVERRIDE=FQ","FILING_STATUS=OR","EQY_CONSOLIDATED=Y","Sort=A","Dates=H","DateFormat=P","Fill=—","Direction=H","UseDPDF=Y")</f>
        <v>#NAME?</v>
      </c>
      <c r="BL459" s="2" t="e">
        <f ca="1">_xll.BDH($C$453,"ACCOUNTS_RECEIVABLE_SEQ_GROWTH","FQ1 2015","FQ1 2015","Currency=INR","Period=FQ","BEST_FPERIOD_OVERRIDE=FQ","FILING_STATUS=OR","EQY_CONSOLIDATED=Y","Sort=A","Dates=H","DateFormat=P","Fill=—","Direction=H","UseDPDF=Y")</f>
        <v>#NAME?</v>
      </c>
      <c r="BM459" s="2" t="e">
        <f ca="1">_xll.BDH($C$453,"INVENTORY_SEQUENTIAL_GROWTH","FQ1 2015","FQ1 2015","Currency=INR","Period=FQ","BEST_FPERIOD_OVERRIDE=FQ","FILING_STATUS=OR","EQY_CONSOLIDATED=Y","Sort=A","Dates=H","DateFormat=P","Fill=—","Direction=H","UseDPDF=Y")</f>
        <v>#NAME?</v>
      </c>
      <c r="BN459" s="2" t="e">
        <f ca="1">_xll.BDH($C$453,"FIXED_ASSETS_SEQUENTIAL_GROWTH","FQ1 2015","FQ1 2015","Currency=INR","Period=FQ","BEST_FPERIOD_OVERRIDE=FQ","FILING_STATUS=OR","EQY_CONSOLIDATED=Y","Sort=A","Dates=H","DateFormat=P","Fill=—","Direction=H","UseDPDF=Y")</f>
        <v>#NAME?</v>
      </c>
      <c r="BO459" s="2" t="e">
        <f ca="1">_xll.BDH($C$453,"TOTAL_ASSETS_SEQUENTIAL_GROWTH","FQ1 2015","FQ1 2015","Currency=INR","Period=FQ","BEST_FPERIOD_OVERRIDE=FQ","FILING_STATUS=OR","EQY_CONSOLIDATED=Y","Sort=A","Dates=H","DateFormat=P","Fill=—","Direction=H","UseDPDF=Y")</f>
        <v>#NAME?</v>
      </c>
      <c r="BP459" s="2" t="e">
        <f ca="1">_xll.BDH($C$453,"MODIFIED_WORKING_CPTL_SEQ_GRWTH","FQ1 2015","FQ1 2015","Currency=INR","Period=FQ","BEST_FPERIOD_OVERRIDE=FQ","FILING_STATUS=OR","EQY_CONSOLIDATED=Y","Sort=A","Dates=H","DateFormat=P","Fill=—","Direction=H","UseDPDF=Y")</f>
        <v>#NAME?</v>
      </c>
      <c r="BQ459" s="2" t="e">
        <f ca="1">_xll.BDH($C$453,"WORKING_CAPITAL_SEQ_GROWTH","FQ1 2015","FQ1 2015","Currency=INR","Period=FQ","BEST_FPERIOD_OVERRIDE=FQ","FILING_STATUS=OR","EQY_CONSOLIDATED=Y","Sort=A","Dates=H","DateFormat=P","Fill=—","Direction=H","UseDPDF=Y")</f>
        <v>#NAME?</v>
      </c>
      <c r="BR459" s="2" t="e">
        <f ca="1">_xll.BDH($C$453,"ACCOUNTS_PAYABLE_SEQ_GROWTH","FQ1 2015","FQ1 2015","Currency=INR","Period=FQ","BEST_FPERIOD_OVERRIDE=FQ","FILING_STATUS=OR","EQY_CONSOLIDATED=Y","Sort=A","Dates=H","DateFormat=P","Fill=—","Direction=H","UseDPDF=Y")</f>
        <v>#NAME?</v>
      </c>
      <c r="BS459" s="2" t="e">
        <f ca="1">_xll.BDH($C$453,"ST_DEBT_SEQUENTIAL_GROWTH","FQ1 2015","FQ1 2015","Currency=INR","Period=FQ","BEST_FPERIOD_OVERRIDE=FQ","FILING_STATUS=OR","EQY_CONSOLIDATED=Y","Sort=A","Dates=H","DateFormat=P","Fill=—","Direction=H","UseDPDF=Y")</f>
        <v>#NAME?</v>
      </c>
      <c r="BT459" s="2" t="e">
        <f ca="1">_xll.BDH($C$453,"TOTAL_DEBT_SEQUENTIAL_GROWTH","FQ1 2015","FQ1 2015","Currency=INR","Period=FQ","BEST_FPERIOD_OVERRIDE=FQ","FILING_STATUS=OR","EQY_CONSOLIDATED=Y","Sort=A","Dates=H","DateFormat=P","Fill=—","Direction=H","UseDPDF=Y")</f>
        <v>#NAME?</v>
      </c>
      <c r="BU459" s="2" t="e">
        <f ca="1">_xll.BDH($C$453,"TOTAL_EQUITY_SEQUENTIAL_GROWTH","FQ1 2015","FQ1 2015","Currency=INR","Period=FQ","BEST_FPERIOD_OVERRIDE=FQ","FILING_STATUS=OR","EQY_CONSOLIDATED=Y","Sort=A","Dates=H","DateFormat=P","Fill=—","Direction=H","UseDPDF=Y")</f>
        <v>#NAME?</v>
      </c>
      <c r="BV459" s="2" t="e">
        <f ca="1">_xll.BDH($C$453,"TOTAL_CAPITAL_SEQUENTIAL_GROWTH","FQ1 2015","FQ1 2015","Currency=INR","Period=FQ","BEST_FPERIOD_OVERRIDE=FQ","FILING_STATUS=OR","EQY_CONSOLIDATED=Y","Sort=A","Dates=H","DateFormat=P","Fill=—","Direction=H","UseDPDF=Y")</f>
        <v>#NAME?</v>
      </c>
      <c r="BW459" s="2" t="e">
        <f ca="1">_xll.BDH($C$453,"BPS_SEQUENTIAL_GROWTH","FQ1 2015","FQ1 2015","Currency=INR","Period=FQ","BEST_FPERIOD_OVERRIDE=FQ","FILING_STATUS=OR","EQY_CONSOLIDATED=Y","Sort=A","Dates=H","DateFormat=P","Fill=—","Direction=H","UseDPDF=Y")</f>
        <v>#NAME?</v>
      </c>
      <c r="BX459" s="2" t="e">
        <f ca="1">_xll.BDH($C$453,"CFO_SEQUENTIAL_GROWTH","FQ1 2015","FQ1 2015","Currency=INR","Period=FQ","BEST_FPERIOD_OVERRIDE=FQ","FILING_STATUS=OR","EQY_CONSOLIDATED=Y","Sort=A","Dates=H","DateFormat=P","Fill=—","Direction=H","UseDPDF=Y")</f>
        <v>#NAME?</v>
      </c>
      <c r="BY459" s="3" t="e">
        <f ca="1">_xll.BDH($C$453,"SHORT_AND_LONG_TERM_DEBT","FQ1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59" s="3" t="e">
        <f ca="1">_xll.BDH($C$453,"BS_ST_BORROW","FQ1 2015","FQ1 2015","Currency=INR","Period=FQ","BEST_FPERIOD_OVERRIDE=FQ","FILING_STATUS=OR","EQY_CONSOLIDATED=Y","SCALING_FORMAT=MLN","Sort=A","Dates=H","DateFormat=P","Fill=—","Direction=H","UseDPDF=Y")</f>
        <v>#NAME?</v>
      </c>
      <c r="CA459" s="3" t="e">
        <f ca="1">_xll.BDH($C$453,"BS_LT_BORROW","FQ1 2015","FQ1 2015","Currency=INR","Period=FQ","BEST_FPERIOD_OVERRIDE=FQ","FILING_STATUS=OR","EQY_CONSOLIDATED=Y","SCALING_FORMAT=MLN","Sort=A","Dates=H","DateFormat=P","Fill=—","Direction=H","UseDPDF=Y")</f>
        <v>#NAME?</v>
      </c>
      <c r="CB459" s="2" t="e">
        <f ca="1">_xll.BDH($C$453,"TOT_DEBT_TO_EBITDA","FQ1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59" s="2" t="e">
        <f ca="1">_xll.BDH($C$453,"NET_DEBT_TO_EBITDA","FQ1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59" s="2" t="e">
        <f ca="1">_xll.BDH($C$453,"TOTAL_DEBT_TO_EBIT","FQ1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59" s="2" t="e">
        <f ca="1">_xll.BDH($C$453,"NET_DEBT_TO_EBIT","FQ1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459" s="2" t="e">
        <f ca="1">_xll.BDH($C$453,"EBITDA_TO_INTEREST_EXPN","FQ1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59" s="2" t="e">
        <f ca="1">_xll.BDH($C$453,"COM_EQY_TO_TOT_ASSET","FQ1 2015","FQ1 2015","Currency=INR","Period=FQ","BEST_FPERIOD_OVERRIDE=FQ","FILING_STATUS=OR","EQY_CONSOLIDATED=Y","Sort=A","Dates=H","DateFormat=P","Fill=—","Direction=H","UseDPDF=Y")</f>
        <v>#NAME?</v>
      </c>
      <c r="CH459" s="2" t="e">
        <f ca="1">_xll.BDH($C$453,"LT_DEBT_TO_TOT_EQY","FQ1 2015","FQ1 2015","Currency=INR","Period=FQ","BEST_FPERIOD_OVERRIDE=FQ","FILING_STATUS=OR","EQY_CONSOLIDATED=Y","Sort=A","Dates=H","DateFormat=P","Fill=—","Direction=H","UseDPDF=Y")</f>
        <v>#NAME?</v>
      </c>
      <c r="CI459" s="2" t="e">
        <f ca="1">_xll.BDH($C$453,"LT_DEBT_TO_TOT_CAP","FQ1 2015","FQ1 2015","Currency=INR","Period=FQ","BEST_FPERIOD_OVERRIDE=FQ","FILING_STATUS=OR","EQY_CONSOLIDATED=Y","Sort=A","Dates=H","DateFormat=P","Fill=—","Direction=H","UseDPDF=Y")</f>
        <v>#NAME?</v>
      </c>
      <c r="CJ459" s="2" t="e">
        <f ca="1">_xll.BDH($C$453,"LT_DEBT_TO_TOT_ASSET","FQ1 2015","FQ1 2015","Currency=INR","Period=FQ","BEST_FPERIOD_OVERRIDE=FQ","FILING_STATUS=OR","EQY_CONSOLIDATED=Y","Sort=A","Dates=H","DateFormat=P","Fill=—","Direction=H","UseDPDF=Y")</f>
        <v>#NAME?</v>
      </c>
      <c r="CK459" s="2" t="e">
        <f ca="1">_xll.BDH($C$453,"TOT_DEBT_TO_TOT_EQY","FQ1 2015","FQ1 2015","Currency=INR","Period=FQ","BEST_FPERIOD_OVERRIDE=FQ","FILING_STATUS=OR","EQY_CONSOLIDATED=Y","Sort=A","Dates=H","DateFormat=P","Fill=—","Direction=H","UseDPDF=Y")</f>
        <v>#NAME?</v>
      </c>
      <c r="CL459" s="2" t="e">
        <f ca="1">_xll.BDH($C$453,"TOT_DEBT_TO_TOT_CAP","FQ1 2015","FQ1 2015","Currency=INR","Period=FQ","BEST_FPERIOD_OVERRIDE=FQ","FILING_STATUS=OR","EQY_CONSOLIDATED=Y","Sort=A","Dates=H","DateFormat=P","Fill=—","Direction=H","UseDPDF=Y")</f>
        <v>#NAME?</v>
      </c>
      <c r="CM459" s="2" t="e">
        <f ca="1">_xll.BDH($C$453,"TOT_DEBT_TO_TOT_ASSET","FQ1 2015","FQ1 2015","Currency=INR","Period=FQ","BEST_FPERIOD_OVERRIDE=FQ","FILING_STATUS=OR","EQY_CONSOLIDATED=Y","Sort=A","Dates=H","DateFormat=P","Fill=—","Direction=H","UseDPDF=Y")</f>
        <v>#NAME?</v>
      </c>
      <c r="CN459" s="2" t="e">
        <f ca="1">_xll.BDH($C$453,"NET_DEBT_TO_SHRHLDR_EQTY","FQ1 2015","FQ1 2015","Currency=INR","Period=FQ","BEST_FPERIOD_OVERRIDE=FQ","FILING_STATUS=OR","EQY_CONSOLIDATED=Y","Sort=A","Dates=H","DateFormat=P","Fill=—","Direction=H","UseDPDF=Y")</f>
        <v>#NAME?</v>
      </c>
      <c r="CO459" s="2" t="e">
        <f ca="1">_xll.BDH($C$453,"NET_DEBT_%_CAPITAL","FQ1 2015","FQ1 2015","Currency=INR","Period=FQ","BEST_FPERIOD_OVERRIDE=FQ","FILING_STATUS=OR","EQY_CONSOLIDATED=Y","Sort=A","Dates=H","DateFormat=P","Fill=—","Direction=H","UseDPDF=Y")</f>
        <v>#NAME?</v>
      </c>
      <c r="CP459" s="3" t="e">
        <f ca="1">_xll.BDH($C$453,"EBITDA","FQ1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59" s="3" t="e">
        <f ca="1">_xll.BDH($C$453,"EBITDA_AFTER_CAPEX","FQ1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59" s="3" t="e">
        <f ca="1">_xll.BDH($C$453,"IS_OPER_INC","FQ1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59" s="2" t="e">
        <f ca="1">_xll.BDH($C$453,"CASH_RATIO","FQ1 2015","FQ1 2015","Currency=INR","Period=FQ","BEST_FPERIOD_OVERRIDE=FQ","FILING_STATUS=OR","EQY_CONSOLIDATED=Y","Sort=A","Dates=H","DateFormat=P","Fill=—","Direction=H","UseDPDF=Y")</f>
        <v>#NAME?</v>
      </c>
      <c r="CT459" s="2" t="e">
        <f ca="1">_xll.BDH($C$453,"CUR_RATIO","FQ1 2015","FQ1 2015","Currency=INR","Period=FQ","BEST_FPERIOD_OVERRIDE=FQ","FILING_STATUS=OR","EQY_CONSOLIDATED=Y","Sort=A","Dates=H","DateFormat=P","Fill=—","Direction=H","UseDPDF=Y")</f>
        <v>#NAME?</v>
      </c>
      <c r="CU459" s="2" t="e">
        <f ca="1">_xll.BDH($C$453,"QUICK_RATIO","FQ1 2015","FQ1 2015","Currency=INR","Period=FQ","BEST_FPERIOD_OVERRIDE=FQ","FILING_STATUS=OR","EQY_CONSOLIDATED=Y","Sort=A","Dates=H","DateFormat=P","Fill=—","Direction=H","UseDPDF=Y")</f>
        <v>#NAME?</v>
      </c>
      <c r="CV459" s="2" t="e">
        <f ca="1">_xll.BDH($C$453,"ALTMAN_Z_SCORE","FQ1 2015","FQ1 2015","Currency=INR","Period=FQ","BEST_FPERIOD_OVERRIDE=FQ","FILING_STATUS=OR","EQY_CONSOLIDATED=Y","Sort=A","Dates=H","DateFormat=P","Fill=—","Direction=H","UseDPDF=Y")</f>
        <v>#NAME?</v>
      </c>
      <c r="CW459" s="4" t="e">
        <f ca="1">_xll.BDH($C$453,"ACCT_RCV_TURN","FQ1 2015","FQ1 2015","Currency=INR","Period=FQ","BEST_FPERIOD_OVERRIDE=FQ","FILING_STATUS=OR","EQY_CONSOLIDATED=Y","FA_ADJUSTED=GAAP","Sort=A","Dates=H","DateFormat=P","Fill=—","Direction=H","UseDPDF=Y")</f>
        <v>#NAME?</v>
      </c>
      <c r="CX459" s="2" t="e">
        <f ca="1">_xll.BDH($C$453,"ACCT_RCV_DAYS","FQ1 2015","FQ1 2015","Currency=INR","Period=FQ","BEST_FPERIOD_OVERRIDE=FQ","FILING_STATUS=OR","EQY_CONSOLIDATED=Y","FA_ADJUSTED=GAAP","Sort=A","Dates=H","DateFormat=P","Fill=—","Direction=H","UseDPDF=Y")</f>
        <v>#NAME?</v>
      </c>
      <c r="CY459" s="4" t="e">
        <f ca="1">_xll.BDH($C$453,"INVENT_TURN","FQ1 2015","FQ1 2015","Currency=INR","Period=FQ","BEST_FPERIOD_OVERRIDE=FQ","FILING_STATUS=OR","EQY_CONSOLIDATED=Y","FA_ADJUSTED=GAAP","Sort=A","Dates=H","DateFormat=P","Fill=—","Direction=H","UseDPDF=Y")</f>
        <v>#NAME?</v>
      </c>
      <c r="CZ459" s="2" t="e">
        <f ca="1">_xll.BDH($C$453,"INVENT_DAYS","FQ1 2015","FQ1 2015","Currency=INR","Period=FQ","BEST_FPERIOD_OVERRIDE=FQ","FILING_STATUS=OR","EQY_CONSOLIDATED=Y","FA_ADJUSTED=GAAP","Sort=A","Dates=H","DateFormat=P","Fill=—","Direction=H","UseDPDF=Y")</f>
        <v>#NAME?</v>
      </c>
      <c r="DA459" s="4" t="e">
        <f ca="1">_xll.BDH($C$453,"ACCOUNTS_PAYABLE_TURNOVER","FQ1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59" s="2" t="e">
        <f ca="1">_xll.BDH($C$453,"ACCOUNTS_PAYABLE_TURNOVER_DAYS","FQ1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59" s="4" t="e">
        <f ca="1">_xll.BDH($C$453,"CASH_CONVERSION_CYCLE","FQ1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59" s="4" t="e">
        <f ca="1">_xll.BDH($C$453,"INV_TO_CASH_DAYS","FQ1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459" s="5" t="e">
        <f ca="1">_xll.BDH($C$453,"BS_INVENTORIES","FQ1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459" s="3" t="e">
        <f ca="1">_xll.BDH($C$453,"INVTRY_RAW_MATERIALS","FQ1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59" s="3" t="e">
        <f ca="1">_xll.BDH($C$453,"INVTRY_IN_PROGRESS","FQ1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59" s="3" t="e">
        <f ca="1">_xll.BDH($C$453,"INVTRY_FINISHED_GOODS","FQ1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59" s="3" t="e">
        <f ca="1">_xll.BDH($C$453,"BS_OTHER_INV","FQ1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60" spans="1:113" x14ac:dyDescent="0.3">
      <c r="A460" s="6"/>
      <c r="B460" s="6"/>
      <c r="C460" s="6"/>
      <c r="D460" s="6"/>
      <c r="E460" t="s">
        <v>79</v>
      </c>
      <c r="F460" t="e">
        <f ca="1">_xll.BDH($C$453,"RETURN_COM_EQY","FQ2 2015","FQ2 2015","Currency=INR","Period=FQ","BEST_FPERIOD_OVERRIDE=FQ","FILING_STATUS=OR","EQY_CONSOLIDATED=Y","FA_ADJUSTED=GAAP","Sort=A","Dates=H","DateFormat=P","Fill=—","Direction=H","UseDPDF=Y")</f>
        <v>#NAME?</v>
      </c>
      <c r="G460" t="e">
        <f ca="1">_xll.BDH($C$453,"RETURN_ON_ASSET","FQ2 2015","FQ2 2015","Currency=INR","Period=FQ","BEST_FPERIOD_OVERRIDE=FQ","FILING_STATUS=OR","EQY_CONSOLIDATED=Y","FA_ADJUSTED=GAAP","Sort=A","Dates=H","DateFormat=P","Fill=—","Direction=H","UseDPDF=Y")</f>
        <v>#NAME?</v>
      </c>
      <c r="H460" t="e">
        <f ca="1">_xll.BDH($C$453,"RETURN_ON_CAP","FQ2 2015","FQ2 2015","Currency=INR","Period=FQ","BEST_FPERIOD_OVERRIDE=FQ","FILING_STATUS=OR","EQY_CONSOLIDATED=Y","FA_ADJUSTED=GAAP","Sort=A","Dates=H","DateFormat=P","Fill=—","Direction=H","UseDPDF=Y")</f>
        <v>#NAME?</v>
      </c>
      <c r="I460" t="e">
        <f ca="1">_xll.BDH($C$453,"RETURN_ON_INV_CAPITAL","FQ2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60" t="e">
        <f ca="1">_xll.BDH($C$453,"EBITDA_TO_REVENUE","FQ2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460" t="e">
        <f ca="1">_xll.BDH($C$453,"OPER_MARGIN","FQ2 2015","FQ2 2015","Currency=INR","Period=FQ","BEST_FPERIOD_OVERRIDE=FQ","FILING_STATUS=OR","EQY_CONSOLIDATED=Y","FA_ADJUSTED=GAAP","Sort=A","Dates=H","DateFormat=P","Fill=—","Direction=H","UseDPDF=Y")</f>
        <v>#NAME?</v>
      </c>
      <c r="L460" t="e">
        <f ca="1">_xll.BDH($C$453,"INCREMENTAL_OPERATING_MARGIN","FQ2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60" t="e">
        <f ca="1">_xll.BDH($C$453,"PRETAX_INC_TO_NET_SALES","FQ2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60" t="e">
        <f ca="1">_xll.BDH($C$453,"INC_BEF_XO_ITEMS_TO_NET_SALES","FQ2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60" t="e">
        <f ca="1">_xll.BDH($C$453,"PROF_MARGIN","FQ2 2015","FQ2 2015","Currency=INR","Period=FQ","BEST_FPERIOD_OVERRIDE=FQ","FILING_STATUS=OR","EQY_CONSOLIDATED=Y","FA_ADJUSTED=GAAP","Sort=A","Dates=H","DateFormat=P","Fill=—","Direction=H","UseDPDF=Y")</f>
        <v>#NAME?</v>
      </c>
      <c r="P460" t="e">
        <f ca="1">_xll.BDH($C$453,"NET_INCOME_TO_COMMON_MARGIN","FQ2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60" t="e">
        <f ca="1">_xll.BDH($C$453,"EFF_TAX_RATE","FQ2 2015","FQ2 2015","Currency=INR","Period=FQ","BEST_FPERIOD_OVERRIDE=FQ","FILING_STATUS=OR","EQY_CONSOLIDATED=Y","FA_ADJUSTED=GAAP","Sort=A","Dates=H","DateFormat=P","Fill=—","Direction=H","UseDPDF=Y")</f>
        <v>#NAME?</v>
      </c>
      <c r="R460" t="e">
        <f ca="1">_xll.BDH($C$453,"DVD_PAYOUT_RATIO","FQ2 2015","FQ2 2015","Currency=INR","Period=FQ","BEST_FPERIOD_OVERRIDE=FQ","FILING_STATUS=OR","EQY_CONSOLIDATED=Y","FA_ADJUSTED=GAAP","Sort=A","Dates=H","DateFormat=P","Fill=—","Direction=H","UseDPDF=Y")</f>
        <v>#NAME?</v>
      </c>
      <c r="S460" t="e">
        <f ca="1">_xll.BDH($C$453,"SUSTAIN_GROWTH_RT","FQ2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460" s="2" t="e">
        <f ca="1">_xll.BDH($C$453,"SALES_GROWTH","FQ2 2015","FQ2 2015","Currency=INR","Period=FQ","BEST_FPERIOD_OVERRIDE=FQ","FILING_STATUS=OR","EQY_CONSOLIDATED=Y","FA_ADJUSTED=GAAP","Sort=A","Dates=H","DateFormat=P","Fill=—","Direction=H","UseDPDF=Y")</f>
        <v>#NAME?</v>
      </c>
      <c r="U460" s="2" t="e">
        <f ca="1">_xll.BDH($C$453,"EBITDA_GROWTH","FQ2 2015","FQ2 2015","Currency=INR","Period=FQ","BEST_FPERIOD_OVERRIDE=FQ","FILING_STATUS=OR","EQY_CONSOLIDATED=Y","FA_ADJUSTED=GAAP","Sort=A","Dates=H","DateFormat=P","Fill=—","Direction=H","UseDPDF=Y")</f>
        <v>#NAME?</v>
      </c>
      <c r="V460" s="2" t="e">
        <f ca="1">_xll.BDH($C$453,"OPER_INC_GROWTH","FQ2 2015","FQ2 2015","Currency=INR","Period=FQ","BEST_FPERIOD_OVERRIDE=FQ","FILING_STATUS=OR","EQY_CONSOLIDATED=Y","FA_ADJUSTED=GAAP","Sort=A","Dates=H","DateFormat=P","Fill=—","Direction=H","UseDPDF=Y")</f>
        <v>#NAME?</v>
      </c>
      <c r="W460" s="2" t="e">
        <f ca="1">_xll.BDH($C$453,"EARN_FOR_COM_GROWTH","FQ2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60" s="2" t="e">
        <f ca="1">_xll.BDH($C$453,"DILUTED_EPS_AFT_XO_ITEMS_GROWTH","FQ2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60" s="2" t="e">
        <f ca="1">_xll.BDH($C$453,"DIVIDEND_PER_SHARE_1_YEAR_GROWTH","FQ2 2015","FQ2 2015","Currency=INR","Period=FQ","BEST_FPERIOD_OVERRIDE=FQ","FILING_STATUS=OR","EQY_CONSOLIDATED=Y","Sort=A","Dates=H","DateFormat=P","Fill=—","Direction=H","UseDPDF=Y")</f>
        <v>#NAME?</v>
      </c>
      <c r="Z460" s="2" t="e">
        <f ca="1">_xll.BDH($C$453,"ACCOUNTS_RECEIVABLE_GROWTH","FQ2 2015","FQ2 2015","Currency=INR","Period=FQ","BEST_FPERIOD_OVERRIDE=FQ","FILING_STATUS=OR","EQY_CONSOLIDATED=Y","Sort=A","Dates=H","DateFormat=P","Fill=—","Direction=H","UseDPDF=Y")</f>
        <v>#NAME?</v>
      </c>
      <c r="AA460" s="2" t="e">
        <f ca="1">_xll.BDH($C$453,"INVENTORY_GROWTH","FQ2 2015","FQ2 2015","Currency=INR","Period=FQ","BEST_FPERIOD_OVERRIDE=FQ","FILING_STATUS=OR","EQY_CONSOLIDATED=Y","Sort=A","Dates=H","DateFormat=P","Fill=—","Direction=H","UseDPDF=Y")</f>
        <v>#NAME?</v>
      </c>
      <c r="AB460" s="2" t="e">
        <f ca="1">_xll.BDH($C$453,"NET_FIXED_ASSETS_1_YEAR_GROWTH","FQ2 2015","FQ2 2015","Currency=INR","Period=FQ","BEST_FPERIOD_OVERRIDE=FQ","FILING_STATUS=OR","EQY_CONSOLIDATED=Y","Sort=A","Dates=H","DateFormat=P","Fill=—","Direction=H","UseDPDF=Y")</f>
        <v>#NAME?</v>
      </c>
      <c r="AC460" s="2" t="e">
        <f ca="1">_xll.BDH($C$453,"ASSET_GROWTH","FQ2 2015","FQ2 2015","Currency=INR","Period=FQ","BEST_FPERIOD_OVERRIDE=FQ","FILING_STATUS=OR","EQY_CONSOLIDATED=Y","Sort=A","Dates=H","DateFormat=P","Fill=—","Direction=H","UseDPDF=Y")</f>
        <v>#NAME?</v>
      </c>
      <c r="AD460" s="2" t="e">
        <f ca="1">_xll.BDH($C$453,"MODIFIED_WORK_CAP_GROWTH","FQ2 2015","FQ2 2015","Currency=INR","Period=FQ","BEST_FPERIOD_OVERRIDE=FQ","FILING_STATUS=OR","EQY_CONSOLIDATED=Y","Sort=A","Dates=H","DateFormat=P","Fill=—","Direction=H","UseDPDF=Y")</f>
        <v>#NAME?</v>
      </c>
      <c r="AE460" s="2" t="e">
        <f ca="1">_xll.BDH($C$453,"WORK_CAP_GROWTH","FQ2 2015","FQ2 2015","Currency=INR","Period=FQ","BEST_FPERIOD_OVERRIDE=FQ","FILING_STATUS=OR","EQY_CONSOLIDATED=Y","Sort=A","Dates=H","DateFormat=P","Fill=—","Direction=H","UseDPDF=Y")</f>
        <v>#NAME?</v>
      </c>
      <c r="AF460" s="2" t="e">
        <f ca="1">_xll.BDH($C$453,"ACCOUNTS_PAYABLE_GROWTH_1YR","FQ2 2015","FQ2 2015","Currency=INR","Period=FQ","BEST_FPERIOD_OVERRIDE=FQ","FILING_STATUS=OR","EQY_CONSOLIDATED=Y","Sort=A","Dates=H","DateFormat=P","Fill=—","Direction=H","UseDPDF=Y")</f>
        <v>#NAME?</v>
      </c>
      <c r="AG460" s="2" t="e">
        <f ca="1">_xll.BDH($C$453,"SHORT_TERM_DEBT_1_YEAR_GROWTH","FQ2 2015","FQ2 2015","Currency=INR","Period=FQ","BEST_FPERIOD_OVERRIDE=FQ","FILING_STATUS=OR","EQY_CONSOLIDATED=Y","Sort=A","Dates=H","DateFormat=P","Fill=—","Direction=H","UseDPDF=Y")</f>
        <v>#NAME?</v>
      </c>
      <c r="AH460" s="2" t="e">
        <f ca="1">_xll.BDH($C$453,"TOTAL_DEBT_1_YEAR_GROWTH","FQ2 2015","FQ2 2015","Currency=INR","Period=FQ","BEST_FPERIOD_OVERRIDE=FQ","FILING_STATUS=OR","EQY_CONSOLIDATED=Y","Sort=A","Dates=H","DateFormat=P","Fill=—","Direction=H","UseDPDF=Y")</f>
        <v>#NAME?</v>
      </c>
      <c r="AI460" s="2" t="e">
        <f ca="1">_xll.BDH($C$453,"TOTAL_EQUITY_1_YEAR_GROWTH","FQ2 2015","FQ2 2015","Currency=INR","Period=FQ","BEST_FPERIOD_OVERRIDE=FQ","FILING_STATUS=OR","EQY_CONSOLIDATED=Y","Sort=A","Dates=H","DateFormat=P","Fill=—","Direction=H","UseDPDF=Y")</f>
        <v>#NAME?</v>
      </c>
      <c r="AJ460" s="2" t="e">
        <f ca="1">_xll.BDH($C$453,"GROWTH_IN_CAP","FQ2 2015","FQ2 2015","Currency=INR","Period=FQ","BEST_FPERIOD_OVERRIDE=FQ","FILING_STATUS=OR","EQY_CONSOLIDATED=Y","Sort=A","Dates=H","DateFormat=P","Fill=—","Direction=H","UseDPDF=Y")</f>
        <v>#NAME?</v>
      </c>
      <c r="AK460" s="2" t="e">
        <f ca="1">_xll.BDH($C$453,"BVPS_GROWTH","FQ2 2015","FQ2 2015","Currency=INR","Period=FQ","BEST_FPERIOD_OVERRIDE=FQ","FILING_STATUS=OR","EQY_CONSOLIDATED=Y","Sort=A","Dates=H","DateFormat=P","Fill=—","Direction=H","UseDPDF=Y")</f>
        <v>#NAME?</v>
      </c>
      <c r="AL460" s="2" t="e">
        <f ca="1">_xll.BDH($C$453,"CASH_FLOW_GROWTH","FQ2 2015","FQ2 2015","Currency=INR","Period=FQ","BEST_FPERIOD_OVERRIDE=FQ","FILING_STATUS=OR","EQY_CONSOLIDATED=Y","Sort=A","Dates=H","DateFormat=P","Fill=—","Direction=H","UseDPDF=Y")</f>
        <v>#NAME?</v>
      </c>
      <c r="AM460" s="2" t="e">
        <f ca="1">_xll.BDH($C$453,"GEO_GROW_NET_SALES","FQ2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60" s="2" t="e">
        <f ca="1">_xll.BDH($C$453,"GEO_GROW_EBITDA","FQ2 2015","FQ2 2015","Currency=INR","Period=FQ","BEST_FPERIOD_OVERRIDE=FQ","FILING_STATUS=OR","EQY_CONSOLIDATED=Y","FA_ADJUSTED=GAAP","Sort=A","Dates=H","DateFormat=P","Fill=—","Direction=H","UseDPDF=Y")</f>
        <v>#NAME?</v>
      </c>
      <c r="AO460" s="2" t="e">
        <f ca="1">_xll.BDH($C$453,"GEO_GROW_OPER_INC","FQ2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60" s="2" t="e">
        <f ca="1">_xll.BDH($C$453,"NET_INCOME_TO_COMMON_5_YR_GROWTH","FQ2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60" s="2" t="e">
        <f ca="1">_xll.BDH($C$453,"5Y_GEO_GROWTH_DILUTED_EPS","FQ2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60" s="2" t="e">
        <f ca="1">_xll.BDH($C$453,"GEO_GROW_DVD_PER_SH","FQ2 2015","FQ2 2015","Currency=INR","Period=FQ","BEST_FPERIOD_OVERRIDE=FQ","FILING_STATUS=OR","EQY_CONSOLIDATED=Y","Sort=A","Dates=H","DateFormat=P","Fill=—","Direction=H","UseDPDF=Y")</f>
        <v>#NAME?</v>
      </c>
      <c r="AS460" s="2" t="e">
        <f ca="1">_xll.BDH($C$453,"ACCOUNTS_RECEIVABLE_5_YR_GROWTH","FQ2 2015","FQ2 2015","Currency=INR","Period=FQ","BEST_FPERIOD_OVERRIDE=FQ","FILING_STATUS=OR","EQY_CONSOLIDATED=Y","Sort=A","Dates=H","DateFormat=P","Fill=—","Direction=H","UseDPDF=Y")</f>
        <v>#NAME?</v>
      </c>
      <c r="AT460" s="2" t="e">
        <f ca="1">_xll.BDH($C$453,"INVENTORY_5_YEAR_GROWTH","FQ2 2015","FQ2 2015","Currency=INR","Period=FQ","BEST_FPERIOD_OVERRIDE=FQ","FILING_STATUS=OR","EQY_CONSOLIDATED=Y","Sort=A","Dates=H","DateFormat=P","Fill=—","Direction=H","UseDPDF=Y")</f>
        <v>#NAME?</v>
      </c>
      <c r="AU460" s="2" t="e">
        <f ca="1">_xll.BDH($C$453,"NET_FIXED_ASSETS_5_YEAR_GROWTH","FQ2 2015","FQ2 2015","Currency=INR","Period=FQ","BEST_FPERIOD_OVERRIDE=FQ","FILING_STATUS=OR","EQY_CONSOLIDATED=Y","Sort=A","Dates=H","DateFormat=P","Fill=—","Direction=H","UseDPDF=Y")</f>
        <v>#NAME?</v>
      </c>
      <c r="AV460" s="2" t="e">
        <f ca="1">_xll.BDH($C$453,"GEO_GROW_TOT_ASSET","FQ2 2015","FQ2 2015","Currency=INR","Period=FQ","BEST_FPERIOD_OVERRIDE=FQ","FILING_STATUS=OR","EQY_CONSOLIDATED=Y","Sort=A","Dates=H","DateFormat=P","Fill=—","Direction=H","UseDPDF=Y")</f>
        <v>#NAME?</v>
      </c>
      <c r="AW460" s="2" t="e">
        <f ca="1">_xll.BDH($C$453,"MODIFIED_WORKING_CPTL_5YR_GRWTH","FQ2 2015","FQ2 2015","Currency=INR","Period=FQ","BEST_FPERIOD_OVERRIDE=FQ","FILING_STATUS=OR","EQY_CONSOLIDATED=Y","Sort=A","Dates=H","DateFormat=P","Fill=—","Direction=H","UseDPDF=Y")</f>
        <v>#NAME?</v>
      </c>
      <c r="AX460" s="2" t="e">
        <f ca="1">_xll.BDH($C$453,"WORKING_CAPITAL_5_YEAR_GROWTH","FQ2 2015","FQ2 2015","Currency=INR","Period=FQ","BEST_FPERIOD_OVERRIDE=FQ","FILING_STATUS=OR","EQY_CONSOLIDATED=Y","Sort=A","Dates=H","DateFormat=P","Fill=—","Direction=H","UseDPDF=Y")</f>
        <v>#NAME?</v>
      </c>
      <c r="AY460" s="2" t="e">
        <f ca="1">_xll.BDH($C$453,"ACCOUNTS_PAYABLE_5_YEAR_GROWTH","FQ2 2015","FQ2 2015","Currency=INR","Period=FQ","BEST_FPERIOD_OVERRIDE=FQ","FILING_STATUS=OR","EQY_CONSOLIDATED=Y","Sort=A","Dates=H","DateFormat=P","Fill=—","Direction=H","UseDPDF=Y")</f>
        <v>#NAME?</v>
      </c>
      <c r="AZ460" s="2" t="e">
        <f ca="1">_xll.BDH($C$453,"SHORT_TERM_DEBT_5_YEAR_GROWTH","FQ2 2015","FQ2 2015","Currency=INR","Period=FQ","BEST_FPERIOD_OVERRIDE=FQ","FILING_STATUS=OR","EQY_CONSOLIDATED=Y","Sort=A","Dates=H","DateFormat=P","Fill=—","Direction=H","UseDPDF=Y")</f>
        <v>#NAME?</v>
      </c>
      <c r="BA460" s="2" t="e">
        <f ca="1">_xll.BDH($C$453,"TOTAL_DEBT_5_YEAR_GROWTH","FQ2 2015","FQ2 2015","Currency=INR","Period=FQ","BEST_FPERIOD_OVERRIDE=FQ","FILING_STATUS=OR","EQY_CONSOLIDATED=Y","Sort=A","Dates=H","DateFormat=P","Fill=—","Direction=H","UseDPDF=Y")</f>
        <v>#NAME?</v>
      </c>
      <c r="BB460" s="2" t="e">
        <f ca="1">_xll.BDH($C$453,"GEO_GROW_TOT_SHRHLDR_EQY","FQ2 2015","FQ2 2015","Currency=INR","Period=FQ","BEST_FPERIOD_OVERRIDE=FQ","FILING_STATUS=OR","EQY_CONSOLIDATED=Y","Sort=A","Dates=H","DateFormat=P","Fill=—","Direction=H","UseDPDF=Y")</f>
        <v>#NAME?</v>
      </c>
      <c r="BC460" s="2" t="e">
        <f ca="1">_xll.BDH($C$453,"TOTAL_CAPITAL_5_YEAR_GROWTH","FQ2 2015","FQ2 2015","Currency=INR","Period=FQ","BEST_FPERIOD_OVERRIDE=FQ","FILING_STATUS=OR","EQY_CONSOLIDATED=Y","Sort=A","Dates=H","DateFormat=P","Fill=—","Direction=H","UseDPDF=Y")</f>
        <v>#NAME?</v>
      </c>
      <c r="BD460" s="2" t="e">
        <f ca="1">_xll.BDH($C$453,"GEO_GROW_BOOK_VAL","FQ2 2015","FQ2 2015","Currency=INR","Period=FQ","BEST_FPERIOD_OVERRIDE=FQ","FILING_STATUS=OR","EQY_CONSOLIDATED=Y","Sort=A","Dates=H","DateFormat=P","Fill=—","Direction=H","UseDPDF=Y")</f>
        <v>#NAME?</v>
      </c>
      <c r="BE460" s="2" t="e">
        <f ca="1">_xll.BDH($C$453,"GEO_GROW_CASH_OPER_ACT","FQ2 2015","FQ2 2015","Currency=INR","Period=FQ","BEST_FPERIOD_OVERRIDE=FQ","FILING_STATUS=OR","EQY_CONSOLIDATED=Y","Sort=A","Dates=H","DateFormat=P","Fill=—","Direction=H","UseDPDF=Y")</f>
        <v>#NAME?</v>
      </c>
      <c r="BF460" s="2" t="e">
        <f ca="1">_xll.BDH($C$453,"REVENUE_SEQUENTIAL_GROWTH","FQ2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60" s="2" t="e">
        <f ca="1">_xll.BDH($C$453,"EBITDA_SEQUENTIAL_GROWTH","FQ2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60" s="2" t="e">
        <f ca="1">_xll.BDH($C$453,"OPERATING_INCOME_SEQ_GROWTH","FQ2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60" s="2" t="e">
        <f ca="1">_xll.BDH($C$453,"NET_INCOME_TO_COMMON_SEQ_GROWTH","FQ2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60" s="2" t="e">
        <f ca="1">_xll.BDH($C$453,"EPS_DILUTED_SEQUENTIAL_GROWTH","FQ2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60" s="2" t="e">
        <f ca="1">_xll.BDH($C$453,"DPS_SEQUENTIAL_GROWTH","FQ2 2015","FQ2 2015","Currency=INR","Period=FQ","BEST_FPERIOD_OVERRIDE=FQ","FILING_STATUS=OR","EQY_CONSOLIDATED=Y","Sort=A","Dates=H","DateFormat=P","Fill=—","Direction=H","UseDPDF=Y")</f>
        <v>#NAME?</v>
      </c>
      <c r="BL460" s="2" t="e">
        <f ca="1">_xll.BDH($C$453,"ACCOUNTS_RECEIVABLE_SEQ_GROWTH","FQ2 2015","FQ2 2015","Currency=INR","Period=FQ","BEST_FPERIOD_OVERRIDE=FQ","FILING_STATUS=OR","EQY_CONSOLIDATED=Y","Sort=A","Dates=H","DateFormat=P","Fill=—","Direction=H","UseDPDF=Y")</f>
        <v>#NAME?</v>
      </c>
      <c r="BM460" s="2" t="e">
        <f ca="1">_xll.BDH($C$453,"INVENTORY_SEQUENTIAL_GROWTH","FQ2 2015","FQ2 2015","Currency=INR","Period=FQ","BEST_FPERIOD_OVERRIDE=FQ","FILING_STATUS=OR","EQY_CONSOLIDATED=Y","Sort=A","Dates=H","DateFormat=P","Fill=—","Direction=H","UseDPDF=Y")</f>
        <v>#NAME?</v>
      </c>
      <c r="BN460" s="2" t="e">
        <f ca="1">_xll.BDH($C$453,"FIXED_ASSETS_SEQUENTIAL_GROWTH","FQ2 2015","FQ2 2015","Currency=INR","Period=FQ","BEST_FPERIOD_OVERRIDE=FQ","FILING_STATUS=OR","EQY_CONSOLIDATED=Y","Sort=A","Dates=H","DateFormat=P","Fill=—","Direction=H","UseDPDF=Y")</f>
        <v>#NAME?</v>
      </c>
      <c r="BO460" s="2" t="e">
        <f ca="1">_xll.BDH($C$453,"TOTAL_ASSETS_SEQUENTIAL_GROWTH","FQ2 2015","FQ2 2015","Currency=INR","Period=FQ","BEST_FPERIOD_OVERRIDE=FQ","FILING_STATUS=OR","EQY_CONSOLIDATED=Y","Sort=A","Dates=H","DateFormat=P","Fill=—","Direction=H","UseDPDF=Y")</f>
        <v>#NAME?</v>
      </c>
      <c r="BP460" s="2" t="e">
        <f ca="1">_xll.BDH($C$453,"MODIFIED_WORKING_CPTL_SEQ_GRWTH","FQ2 2015","FQ2 2015","Currency=INR","Period=FQ","BEST_FPERIOD_OVERRIDE=FQ","FILING_STATUS=OR","EQY_CONSOLIDATED=Y","Sort=A","Dates=H","DateFormat=P","Fill=—","Direction=H","UseDPDF=Y")</f>
        <v>#NAME?</v>
      </c>
      <c r="BQ460" s="2" t="e">
        <f ca="1">_xll.BDH($C$453,"WORKING_CAPITAL_SEQ_GROWTH","FQ2 2015","FQ2 2015","Currency=INR","Period=FQ","BEST_FPERIOD_OVERRIDE=FQ","FILING_STATUS=OR","EQY_CONSOLIDATED=Y","Sort=A","Dates=H","DateFormat=P","Fill=—","Direction=H","UseDPDF=Y")</f>
        <v>#NAME?</v>
      </c>
      <c r="BR460" s="2" t="e">
        <f ca="1">_xll.BDH($C$453,"ACCOUNTS_PAYABLE_SEQ_GROWTH","FQ2 2015","FQ2 2015","Currency=INR","Period=FQ","BEST_FPERIOD_OVERRIDE=FQ","FILING_STATUS=OR","EQY_CONSOLIDATED=Y","Sort=A","Dates=H","DateFormat=P","Fill=—","Direction=H","UseDPDF=Y")</f>
        <v>#NAME?</v>
      </c>
      <c r="BS460" s="2" t="e">
        <f ca="1">_xll.BDH($C$453,"ST_DEBT_SEQUENTIAL_GROWTH","FQ2 2015","FQ2 2015","Currency=INR","Period=FQ","BEST_FPERIOD_OVERRIDE=FQ","FILING_STATUS=OR","EQY_CONSOLIDATED=Y","Sort=A","Dates=H","DateFormat=P","Fill=—","Direction=H","UseDPDF=Y")</f>
        <v>#NAME?</v>
      </c>
      <c r="BT460" s="2" t="e">
        <f ca="1">_xll.BDH($C$453,"TOTAL_DEBT_SEQUENTIAL_GROWTH","FQ2 2015","FQ2 2015","Currency=INR","Period=FQ","BEST_FPERIOD_OVERRIDE=FQ","FILING_STATUS=OR","EQY_CONSOLIDATED=Y","Sort=A","Dates=H","DateFormat=P","Fill=—","Direction=H","UseDPDF=Y")</f>
        <v>#NAME?</v>
      </c>
      <c r="BU460" s="2" t="e">
        <f ca="1">_xll.BDH($C$453,"TOTAL_EQUITY_SEQUENTIAL_GROWTH","FQ2 2015","FQ2 2015","Currency=INR","Period=FQ","BEST_FPERIOD_OVERRIDE=FQ","FILING_STATUS=OR","EQY_CONSOLIDATED=Y","Sort=A","Dates=H","DateFormat=P","Fill=—","Direction=H","UseDPDF=Y")</f>
        <v>#NAME?</v>
      </c>
      <c r="BV460" s="2" t="e">
        <f ca="1">_xll.BDH($C$453,"TOTAL_CAPITAL_SEQUENTIAL_GROWTH","FQ2 2015","FQ2 2015","Currency=INR","Period=FQ","BEST_FPERIOD_OVERRIDE=FQ","FILING_STATUS=OR","EQY_CONSOLIDATED=Y","Sort=A","Dates=H","DateFormat=P","Fill=—","Direction=H","UseDPDF=Y")</f>
        <v>#NAME?</v>
      </c>
      <c r="BW460" s="2" t="e">
        <f ca="1">_xll.BDH($C$453,"BPS_SEQUENTIAL_GROWTH","FQ2 2015","FQ2 2015","Currency=INR","Period=FQ","BEST_FPERIOD_OVERRIDE=FQ","FILING_STATUS=OR","EQY_CONSOLIDATED=Y","Sort=A","Dates=H","DateFormat=P","Fill=—","Direction=H","UseDPDF=Y")</f>
        <v>#NAME?</v>
      </c>
      <c r="BX460" s="2" t="e">
        <f ca="1">_xll.BDH($C$453,"CFO_SEQUENTIAL_GROWTH","FQ2 2015","FQ2 2015","Currency=INR","Period=FQ","BEST_FPERIOD_OVERRIDE=FQ","FILING_STATUS=OR","EQY_CONSOLIDATED=Y","Sort=A","Dates=H","DateFormat=P","Fill=—","Direction=H","UseDPDF=Y")</f>
        <v>#NAME?</v>
      </c>
      <c r="BY460" s="3" t="e">
        <f ca="1">_xll.BDH($C$453,"SHORT_AND_LONG_TERM_DEBT","FQ2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60" s="3" t="e">
        <f ca="1">_xll.BDH($C$453,"BS_ST_BORROW","FQ2 2015","FQ2 2015","Currency=INR","Period=FQ","BEST_FPERIOD_OVERRIDE=FQ","FILING_STATUS=OR","EQY_CONSOLIDATED=Y","SCALING_FORMAT=MLN","Sort=A","Dates=H","DateFormat=P","Fill=—","Direction=H","UseDPDF=Y")</f>
        <v>#NAME?</v>
      </c>
      <c r="CA460" s="3" t="e">
        <f ca="1">_xll.BDH($C$453,"BS_LT_BORROW","FQ2 2015","FQ2 2015","Currency=INR","Period=FQ","BEST_FPERIOD_OVERRIDE=FQ","FILING_STATUS=OR","EQY_CONSOLIDATED=Y","SCALING_FORMAT=MLN","Sort=A","Dates=H","DateFormat=P","Fill=—","Direction=H","UseDPDF=Y")</f>
        <v>#NAME?</v>
      </c>
      <c r="CB460" s="2" t="e">
        <f ca="1">_xll.BDH($C$453,"TOT_DEBT_TO_EBITDA","FQ2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60" s="2" t="e">
        <f ca="1">_xll.BDH($C$453,"NET_DEBT_TO_EBITDA","FQ2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60" s="2" t="e">
        <f ca="1">_xll.BDH($C$453,"TOTAL_DEBT_TO_EBIT","FQ2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60" s="2" t="e">
        <f ca="1">_xll.BDH($C$453,"NET_DEBT_TO_EBIT","FQ2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460" s="2" t="e">
        <f ca="1">_xll.BDH($C$453,"EBITDA_TO_INTEREST_EXPN","FQ2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60" s="2" t="e">
        <f ca="1">_xll.BDH($C$453,"COM_EQY_TO_TOT_ASSET","FQ2 2015","FQ2 2015","Currency=INR","Period=FQ","BEST_FPERIOD_OVERRIDE=FQ","FILING_STATUS=OR","EQY_CONSOLIDATED=Y","Sort=A","Dates=H","DateFormat=P","Fill=—","Direction=H","UseDPDF=Y")</f>
        <v>#NAME?</v>
      </c>
      <c r="CH460" s="2" t="e">
        <f ca="1">_xll.BDH($C$453,"LT_DEBT_TO_TOT_EQY","FQ2 2015","FQ2 2015","Currency=INR","Period=FQ","BEST_FPERIOD_OVERRIDE=FQ","FILING_STATUS=OR","EQY_CONSOLIDATED=Y","Sort=A","Dates=H","DateFormat=P","Fill=—","Direction=H","UseDPDF=Y")</f>
        <v>#NAME?</v>
      </c>
      <c r="CI460" s="2" t="e">
        <f ca="1">_xll.BDH($C$453,"LT_DEBT_TO_TOT_CAP","FQ2 2015","FQ2 2015","Currency=INR","Period=FQ","BEST_FPERIOD_OVERRIDE=FQ","FILING_STATUS=OR","EQY_CONSOLIDATED=Y","Sort=A","Dates=H","DateFormat=P","Fill=—","Direction=H","UseDPDF=Y")</f>
        <v>#NAME?</v>
      </c>
      <c r="CJ460" s="2" t="e">
        <f ca="1">_xll.BDH($C$453,"LT_DEBT_TO_TOT_ASSET","FQ2 2015","FQ2 2015","Currency=INR","Period=FQ","BEST_FPERIOD_OVERRIDE=FQ","FILING_STATUS=OR","EQY_CONSOLIDATED=Y","Sort=A","Dates=H","DateFormat=P","Fill=—","Direction=H","UseDPDF=Y")</f>
        <v>#NAME?</v>
      </c>
      <c r="CK460" s="2" t="e">
        <f ca="1">_xll.BDH($C$453,"TOT_DEBT_TO_TOT_EQY","FQ2 2015","FQ2 2015","Currency=INR","Period=FQ","BEST_FPERIOD_OVERRIDE=FQ","FILING_STATUS=OR","EQY_CONSOLIDATED=Y","Sort=A","Dates=H","DateFormat=P","Fill=—","Direction=H","UseDPDF=Y")</f>
        <v>#NAME?</v>
      </c>
      <c r="CL460" s="2" t="e">
        <f ca="1">_xll.BDH($C$453,"TOT_DEBT_TO_TOT_CAP","FQ2 2015","FQ2 2015","Currency=INR","Period=FQ","BEST_FPERIOD_OVERRIDE=FQ","FILING_STATUS=OR","EQY_CONSOLIDATED=Y","Sort=A","Dates=H","DateFormat=P","Fill=—","Direction=H","UseDPDF=Y")</f>
        <v>#NAME?</v>
      </c>
      <c r="CM460" s="2" t="e">
        <f ca="1">_xll.BDH($C$453,"TOT_DEBT_TO_TOT_ASSET","FQ2 2015","FQ2 2015","Currency=INR","Period=FQ","BEST_FPERIOD_OVERRIDE=FQ","FILING_STATUS=OR","EQY_CONSOLIDATED=Y","Sort=A","Dates=H","DateFormat=P","Fill=—","Direction=H","UseDPDF=Y")</f>
        <v>#NAME?</v>
      </c>
      <c r="CN460" s="2" t="e">
        <f ca="1">_xll.BDH($C$453,"NET_DEBT_TO_SHRHLDR_EQTY","FQ2 2015","FQ2 2015","Currency=INR","Period=FQ","BEST_FPERIOD_OVERRIDE=FQ","FILING_STATUS=OR","EQY_CONSOLIDATED=Y","Sort=A","Dates=H","DateFormat=P","Fill=—","Direction=H","UseDPDF=Y")</f>
        <v>#NAME?</v>
      </c>
      <c r="CO460" s="2" t="e">
        <f ca="1">_xll.BDH($C$453,"NET_DEBT_%_CAPITAL","FQ2 2015","FQ2 2015","Currency=INR","Period=FQ","BEST_FPERIOD_OVERRIDE=FQ","FILING_STATUS=OR","EQY_CONSOLIDATED=Y","Sort=A","Dates=H","DateFormat=P","Fill=—","Direction=H","UseDPDF=Y")</f>
        <v>#NAME?</v>
      </c>
      <c r="CP460" s="3" t="e">
        <f ca="1">_xll.BDH($C$453,"EBITDA","FQ2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60" s="3" t="e">
        <f ca="1">_xll.BDH($C$453,"EBITDA_AFTER_CAPEX","FQ2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60" s="3" t="e">
        <f ca="1">_xll.BDH($C$453,"IS_OPER_INC","FQ2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60" s="2" t="e">
        <f ca="1">_xll.BDH($C$453,"CASH_RATIO","FQ2 2015","FQ2 2015","Currency=INR","Period=FQ","BEST_FPERIOD_OVERRIDE=FQ","FILING_STATUS=OR","EQY_CONSOLIDATED=Y","Sort=A","Dates=H","DateFormat=P","Fill=—","Direction=H","UseDPDF=Y")</f>
        <v>#NAME?</v>
      </c>
      <c r="CT460" s="2" t="e">
        <f ca="1">_xll.BDH($C$453,"CUR_RATIO","FQ2 2015","FQ2 2015","Currency=INR","Period=FQ","BEST_FPERIOD_OVERRIDE=FQ","FILING_STATUS=OR","EQY_CONSOLIDATED=Y","Sort=A","Dates=H","DateFormat=P","Fill=—","Direction=H","UseDPDF=Y")</f>
        <v>#NAME?</v>
      </c>
      <c r="CU460" s="2" t="e">
        <f ca="1">_xll.BDH($C$453,"QUICK_RATIO","FQ2 2015","FQ2 2015","Currency=INR","Period=FQ","BEST_FPERIOD_OVERRIDE=FQ","FILING_STATUS=OR","EQY_CONSOLIDATED=Y","Sort=A","Dates=H","DateFormat=P","Fill=—","Direction=H","UseDPDF=Y")</f>
        <v>#NAME?</v>
      </c>
      <c r="CV460" s="2" t="e">
        <f ca="1">_xll.BDH($C$453,"ALTMAN_Z_SCORE","FQ2 2015","FQ2 2015","Currency=INR","Period=FQ","BEST_FPERIOD_OVERRIDE=FQ","FILING_STATUS=OR","EQY_CONSOLIDATED=Y","Sort=A","Dates=H","DateFormat=P","Fill=—","Direction=H","UseDPDF=Y")</f>
        <v>#NAME?</v>
      </c>
      <c r="CW460" s="4" t="e">
        <f ca="1">_xll.BDH($C$453,"ACCT_RCV_TURN","FQ2 2015","FQ2 2015","Currency=INR","Period=FQ","BEST_FPERIOD_OVERRIDE=FQ","FILING_STATUS=OR","EQY_CONSOLIDATED=Y","FA_ADJUSTED=GAAP","Sort=A","Dates=H","DateFormat=P","Fill=—","Direction=H","UseDPDF=Y")</f>
        <v>#NAME?</v>
      </c>
      <c r="CX460" s="2" t="e">
        <f ca="1">_xll.BDH($C$453,"ACCT_RCV_DAYS","FQ2 2015","FQ2 2015","Currency=INR","Period=FQ","BEST_FPERIOD_OVERRIDE=FQ","FILING_STATUS=OR","EQY_CONSOLIDATED=Y","FA_ADJUSTED=GAAP","Sort=A","Dates=H","DateFormat=P","Fill=—","Direction=H","UseDPDF=Y")</f>
        <v>#NAME?</v>
      </c>
      <c r="CY460" s="4" t="e">
        <f ca="1">_xll.BDH($C$453,"INVENT_TURN","FQ2 2015","FQ2 2015","Currency=INR","Period=FQ","BEST_FPERIOD_OVERRIDE=FQ","FILING_STATUS=OR","EQY_CONSOLIDATED=Y","FA_ADJUSTED=GAAP","Sort=A","Dates=H","DateFormat=P","Fill=—","Direction=H","UseDPDF=Y")</f>
        <v>#NAME?</v>
      </c>
      <c r="CZ460" s="2" t="e">
        <f ca="1">_xll.BDH($C$453,"INVENT_DAYS","FQ2 2015","FQ2 2015","Currency=INR","Period=FQ","BEST_FPERIOD_OVERRIDE=FQ","FILING_STATUS=OR","EQY_CONSOLIDATED=Y","FA_ADJUSTED=GAAP","Sort=A","Dates=H","DateFormat=P","Fill=—","Direction=H","UseDPDF=Y")</f>
        <v>#NAME?</v>
      </c>
      <c r="DA460" s="4" t="e">
        <f ca="1">_xll.BDH($C$453,"ACCOUNTS_PAYABLE_TURNOVER","FQ2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60" s="2" t="e">
        <f ca="1">_xll.BDH($C$453,"ACCOUNTS_PAYABLE_TURNOVER_DAYS","FQ2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60" s="4" t="e">
        <f ca="1">_xll.BDH($C$453,"CASH_CONVERSION_CYCLE","FQ2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60" s="4" t="e">
        <f ca="1">_xll.BDH($C$453,"INV_TO_CASH_DAYS","FQ2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460" s="5" t="e">
        <f ca="1">_xll.BDH($C$453,"BS_INVENTORIES","FQ2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460" s="3" t="e">
        <f ca="1">_xll.BDH($C$453,"INVTRY_RAW_MATERIALS","FQ2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60" s="3" t="e">
        <f ca="1">_xll.BDH($C$453,"INVTRY_IN_PROGRESS","FQ2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60" s="3" t="e">
        <f ca="1">_xll.BDH($C$453,"INVTRY_FINISHED_GOODS","FQ2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60" s="3" t="e">
        <f ca="1">_xll.BDH($C$453,"BS_OTHER_INV","FQ2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61" spans="1:113" x14ac:dyDescent="0.3">
      <c r="A461" s="6"/>
      <c r="B461" s="6"/>
      <c r="C461" s="6"/>
      <c r="D461" s="6"/>
      <c r="E461" t="s">
        <v>80</v>
      </c>
      <c r="F461" t="e">
        <f ca="1">_xll.BDH($C$453,"RETURN_COM_EQY","FQ3 2015","FQ3 2015","Currency=INR","Period=FQ","BEST_FPERIOD_OVERRIDE=FQ","FILING_STATUS=OR","EQY_CONSOLIDATED=Y","FA_ADJUSTED=GAAP","Sort=A","Dates=H","DateFormat=P","Fill=—","Direction=H","UseDPDF=Y")</f>
        <v>#NAME?</v>
      </c>
      <c r="G461" t="e">
        <f ca="1">_xll.BDH($C$453,"RETURN_ON_ASSET","FQ3 2015","FQ3 2015","Currency=INR","Period=FQ","BEST_FPERIOD_OVERRIDE=FQ","FILING_STATUS=OR","EQY_CONSOLIDATED=Y","FA_ADJUSTED=GAAP","Sort=A","Dates=H","DateFormat=P","Fill=—","Direction=H","UseDPDF=Y")</f>
        <v>#NAME?</v>
      </c>
      <c r="H461" t="e">
        <f ca="1">_xll.BDH($C$453,"RETURN_ON_CAP","FQ3 2015","FQ3 2015","Currency=INR","Period=FQ","BEST_FPERIOD_OVERRIDE=FQ","FILING_STATUS=OR","EQY_CONSOLIDATED=Y","FA_ADJUSTED=GAAP","Sort=A","Dates=H","DateFormat=P","Fill=—","Direction=H","UseDPDF=Y")</f>
        <v>#NAME?</v>
      </c>
      <c r="I461" t="e">
        <f ca="1">_xll.BDH($C$453,"RETURN_ON_INV_CAPITAL","FQ3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61" t="e">
        <f ca="1">_xll.BDH($C$453,"EBITDA_TO_REVENUE","FQ3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461" t="e">
        <f ca="1">_xll.BDH($C$453,"OPER_MARGIN","FQ3 2015","FQ3 2015","Currency=INR","Period=FQ","BEST_FPERIOD_OVERRIDE=FQ","FILING_STATUS=OR","EQY_CONSOLIDATED=Y","FA_ADJUSTED=GAAP","Sort=A","Dates=H","DateFormat=P","Fill=—","Direction=H","UseDPDF=Y")</f>
        <v>#NAME?</v>
      </c>
      <c r="L461" t="e">
        <f ca="1">_xll.BDH($C$453,"INCREMENTAL_OPERATING_MARGIN","FQ3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61" t="e">
        <f ca="1">_xll.BDH($C$453,"PRETAX_INC_TO_NET_SALES","FQ3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61" t="e">
        <f ca="1">_xll.BDH($C$453,"INC_BEF_XO_ITEMS_TO_NET_SALES","FQ3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61" t="e">
        <f ca="1">_xll.BDH($C$453,"PROF_MARGIN","FQ3 2015","FQ3 2015","Currency=INR","Period=FQ","BEST_FPERIOD_OVERRIDE=FQ","FILING_STATUS=OR","EQY_CONSOLIDATED=Y","FA_ADJUSTED=GAAP","Sort=A","Dates=H","DateFormat=P","Fill=—","Direction=H","UseDPDF=Y")</f>
        <v>#NAME?</v>
      </c>
      <c r="P461" t="e">
        <f ca="1">_xll.BDH($C$453,"NET_INCOME_TO_COMMON_MARGIN","FQ3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61" t="e">
        <f ca="1">_xll.BDH($C$453,"EFF_TAX_RATE","FQ3 2015","FQ3 2015","Currency=INR","Period=FQ","BEST_FPERIOD_OVERRIDE=FQ","FILING_STATUS=OR","EQY_CONSOLIDATED=Y","FA_ADJUSTED=GAAP","Sort=A","Dates=H","DateFormat=P","Fill=—","Direction=H","UseDPDF=Y")</f>
        <v>#NAME?</v>
      </c>
      <c r="R461" t="e">
        <f ca="1">_xll.BDH($C$453,"DVD_PAYOUT_RATIO","FQ3 2015","FQ3 2015","Currency=INR","Period=FQ","BEST_FPERIOD_OVERRIDE=FQ","FILING_STATUS=OR","EQY_CONSOLIDATED=Y","FA_ADJUSTED=GAAP","Sort=A","Dates=H","DateFormat=P","Fill=—","Direction=H","UseDPDF=Y")</f>
        <v>#NAME?</v>
      </c>
      <c r="S461" t="e">
        <f ca="1">_xll.BDH($C$453,"SUSTAIN_GROWTH_RT","FQ3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461" s="2" t="e">
        <f ca="1">_xll.BDH($C$453,"SALES_GROWTH","FQ3 2015","FQ3 2015","Currency=INR","Period=FQ","BEST_FPERIOD_OVERRIDE=FQ","FILING_STATUS=OR","EQY_CONSOLIDATED=Y","FA_ADJUSTED=GAAP","Sort=A","Dates=H","DateFormat=P","Fill=—","Direction=H","UseDPDF=Y")</f>
        <v>#NAME?</v>
      </c>
      <c r="U461" s="2" t="e">
        <f ca="1">_xll.BDH($C$453,"EBITDA_GROWTH","FQ3 2015","FQ3 2015","Currency=INR","Period=FQ","BEST_FPERIOD_OVERRIDE=FQ","FILING_STATUS=OR","EQY_CONSOLIDATED=Y","FA_ADJUSTED=GAAP","Sort=A","Dates=H","DateFormat=P","Fill=—","Direction=H","UseDPDF=Y")</f>
        <v>#NAME?</v>
      </c>
      <c r="V461" s="2" t="e">
        <f ca="1">_xll.BDH($C$453,"OPER_INC_GROWTH","FQ3 2015","FQ3 2015","Currency=INR","Period=FQ","BEST_FPERIOD_OVERRIDE=FQ","FILING_STATUS=OR","EQY_CONSOLIDATED=Y","FA_ADJUSTED=GAAP","Sort=A","Dates=H","DateFormat=P","Fill=—","Direction=H","UseDPDF=Y")</f>
        <v>#NAME?</v>
      </c>
      <c r="W461" s="2" t="e">
        <f ca="1">_xll.BDH($C$453,"EARN_FOR_COM_GROWTH","FQ3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61" s="2" t="e">
        <f ca="1">_xll.BDH($C$453,"DILUTED_EPS_AFT_XO_ITEMS_GROWTH","FQ3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61" s="2" t="e">
        <f ca="1">_xll.BDH($C$453,"DIVIDEND_PER_SHARE_1_YEAR_GROWTH","FQ3 2015","FQ3 2015","Currency=INR","Period=FQ","BEST_FPERIOD_OVERRIDE=FQ","FILING_STATUS=OR","EQY_CONSOLIDATED=Y","Sort=A","Dates=H","DateFormat=P","Fill=—","Direction=H","UseDPDF=Y")</f>
        <v>#NAME?</v>
      </c>
      <c r="Z461" s="2" t="e">
        <f ca="1">_xll.BDH($C$453,"ACCOUNTS_RECEIVABLE_GROWTH","FQ3 2015","FQ3 2015","Currency=INR","Period=FQ","BEST_FPERIOD_OVERRIDE=FQ","FILING_STATUS=OR","EQY_CONSOLIDATED=Y","Sort=A","Dates=H","DateFormat=P","Fill=—","Direction=H","UseDPDF=Y")</f>
        <v>#NAME?</v>
      </c>
      <c r="AA461" s="2" t="e">
        <f ca="1">_xll.BDH($C$453,"INVENTORY_GROWTH","FQ3 2015","FQ3 2015","Currency=INR","Period=FQ","BEST_FPERIOD_OVERRIDE=FQ","FILING_STATUS=OR","EQY_CONSOLIDATED=Y","Sort=A","Dates=H","DateFormat=P","Fill=—","Direction=H","UseDPDF=Y")</f>
        <v>#NAME?</v>
      </c>
      <c r="AB461" s="2" t="e">
        <f ca="1">_xll.BDH($C$453,"NET_FIXED_ASSETS_1_YEAR_GROWTH","FQ3 2015","FQ3 2015","Currency=INR","Period=FQ","BEST_FPERIOD_OVERRIDE=FQ","FILING_STATUS=OR","EQY_CONSOLIDATED=Y","Sort=A","Dates=H","DateFormat=P","Fill=—","Direction=H","UseDPDF=Y")</f>
        <v>#NAME?</v>
      </c>
      <c r="AC461" s="2" t="e">
        <f ca="1">_xll.BDH($C$453,"ASSET_GROWTH","FQ3 2015","FQ3 2015","Currency=INR","Period=FQ","BEST_FPERIOD_OVERRIDE=FQ","FILING_STATUS=OR","EQY_CONSOLIDATED=Y","Sort=A","Dates=H","DateFormat=P","Fill=—","Direction=H","UseDPDF=Y")</f>
        <v>#NAME?</v>
      </c>
      <c r="AD461" s="2" t="e">
        <f ca="1">_xll.BDH($C$453,"MODIFIED_WORK_CAP_GROWTH","FQ3 2015","FQ3 2015","Currency=INR","Period=FQ","BEST_FPERIOD_OVERRIDE=FQ","FILING_STATUS=OR","EQY_CONSOLIDATED=Y","Sort=A","Dates=H","DateFormat=P","Fill=—","Direction=H","UseDPDF=Y")</f>
        <v>#NAME?</v>
      </c>
      <c r="AE461" s="2" t="e">
        <f ca="1">_xll.BDH($C$453,"WORK_CAP_GROWTH","FQ3 2015","FQ3 2015","Currency=INR","Period=FQ","BEST_FPERIOD_OVERRIDE=FQ","FILING_STATUS=OR","EQY_CONSOLIDATED=Y","Sort=A","Dates=H","DateFormat=P","Fill=—","Direction=H","UseDPDF=Y")</f>
        <v>#NAME?</v>
      </c>
      <c r="AF461" s="2" t="e">
        <f ca="1">_xll.BDH($C$453,"ACCOUNTS_PAYABLE_GROWTH_1YR","FQ3 2015","FQ3 2015","Currency=INR","Period=FQ","BEST_FPERIOD_OVERRIDE=FQ","FILING_STATUS=OR","EQY_CONSOLIDATED=Y","Sort=A","Dates=H","DateFormat=P","Fill=—","Direction=H","UseDPDF=Y")</f>
        <v>#NAME?</v>
      </c>
      <c r="AG461" s="2" t="e">
        <f ca="1">_xll.BDH($C$453,"SHORT_TERM_DEBT_1_YEAR_GROWTH","FQ3 2015","FQ3 2015","Currency=INR","Period=FQ","BEST_FPERIOD_OVERRIDE=FQ","FILING_STATUS=OR","EQY_CONSOLIDATED=Y","Sort=A","Dates=H","DateFormat=P","Fill=—","Direction=H","UseDPDF=Y")</f>
        <v>#NAME?</v>
      </c>
      <c r="AH461" s="2" t="e">
        <f ca="1">_xll.BDH($C$453,"TOTAL_DEBT_1_YEAR_GROWTH","FQ3 2015","FQ3 2015","Currency=INR","Period=FQ","BEST_FPERIOD_OVERRIDE=FQ","FILING_STATUS=OR","EQY_CONSOLIDATED=Y","Sort=A","Dates=H","DateFormat=P","Fill=—","Direction=H","UseDPDF=Y")</f>
        <v>#NAME?</v>
      </c>
      <c r="AI461" s="2" t="e">
        <f ca="1">_xll.BDH($C$453,"TOTAL_EQUITY_1_YEAR_GROWTH","FQ3 2015","FQ3 2015","Currency=INR","Period=FQ","BEST_FPERIOD_OVERRIDE=FQ","FILING_STATUS=OR","EQY_CONSOLIDATED=Y","Sort=A","Dates=H","DateFormat=P","Fill=—","Direction=H","UseDPDF=Y")</f>
        <v>#NAME?</v>
      </c>
      <c r="AJ461" s="2" t="e">
        <f ca="1">_xll.BDH($C$453,"GROWTH_IN_CAP","FQ3 2015","FQ3 2015","Currency=INR","Period=FQ","BEST_FPERIOD_OVERRIDE=FQ","FILING_STATUS=OR","EQY_CONSOLIDATED=Y","Sort=A","Dates=H","DateFormat=P","Fill=—","Direction=H","UseDPDF=Y")</f>
        <v>#NAME?</v>
      </c>
      <c r="AK461" s="2" t="e">
        <f ca="1">_xll.BDH($C$453,"BVPS_GROWTH","FQ3 2015","FQ3 2015","Currency=INR","Period=FQ","BEST_FPERIOD_OVERRIDE=FQ","FILING_STATUS=OR","EQY_CONSOLIDATED=Y","Sort=A","Dates=H","DateFormat=P","Fill=—","Direction=H","UseDPDF=Y")</f>
        <v>#NAME?</v>
      </c>
      <c r="AL461" s="2" t="e">
        <f ca="1">_xll.BDH($C$453,"CASH_FLOW_GROWTH","FQ3 2015","FQ3 2015","Currency=INR","Period=FQ","BEST_FPERIOD_OVERRIDE=FQ","FILING_STATUS=OR","EQY_CONSOLIDATED=Y","Sort=A","Dates=H","DateFormat=P","Fill=—","Direction=H","UseDPDF=Y")</f>
        <v>#NAME?</v>
      </c>
      <c r="AM461" s="2" t="e">
        <f ca="1">_xll.BDH($C$453,"GEO_GROW_NET_SALES","FQ3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61" s="2" t="e">
        <f ca="1">_xll.BDH($C$453,"GEO_GROW_EBITDA","FQ3 2015","FQ3 2015","Currency=INR","Period=FQ","BEST_FPERIOD_OVERRIDE=FQ","FILING_STATUS=OR","EQY_CONSOLIDATED=Y","FA_ADJUSTED=GAAP","Sort=A","Dates=H","DateFormat=P","Fill=—","Direction=H","UseDPDF=Y")</f>
        <v>#NAME?</v>
      </c>
      <c r="AO461" s="2" t="e">
        <f ca="1">_xll.BDH($C$453,"GEO_GROW_OPER_INC","FQ3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61" s="2" t="e">
        <f ca="1">_xll.BDH($C$453,"NET_INCOME_TO_COMMON_5_YR_GROWTH","FQ3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61" s="2" t="e">
        <f ca="1">_xll.BDH($C$453,"5Y_GEO_GROWTH_DILUTED_EPS","FQ3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61" s="2" t="e">
        <f ca="1">_xll.BDH($C$453,"GEO_GROW_DVD_PER_SH","FQ3 2015","FQ3 2015","Currency=INR","Period=FQ","BEST_FPERIOD_OVERRIDE=FQ","FILING_STATUS=OR","EQY_CONSOLIDATED=Y","Sort=A","Dates=H","DateFormat=P","Fill=—","Direction=H","UseDPDF=Y")</f>
        <v>#NAME?</v>
      </c>
      <c r="AS461" s="2" t="e">
        <f ca="1">_xll.BDH($C$453,"ACCOUNTS_RECEIVABLE_5_YR_GROWTH","FQ3 2015","FQ3 2015","Currency=INR","Period=FQ","BEST_FPERIOD_OVERRIDE=FQ","FILING_STATUS=OR","EQY_CONSOLIDATED=Y","Sort=A","Dates=H","DateFormat=P","Fill=—","Direction=H","UseDPDF=Y")</f>
        <v>#NAME?</v>
      </c>
      <c r="AT461" s="2" t="e">
        <f ca="1">_xll.BDH($C$453,"INVENTORY_5_YEAR_GROWTH","FQ3 2015","FQ3 2015","Currency=INR","Period=FQ","BEST_FPERIOD_OVERRIDE=FQ","FILING_STATUS=OR","EQY_CONSOLIDATED=Y","Sort=A","Dates=H","DateFormat=P","Fill=—","Direction=H","UseDPDF=Y")</f>
        <v>#NAME?</v>
      </c>
      <c r="AU461" s="2" t="e">
        <f ca="1">_xll.BDH($C$453,"NET_FIXED_ASSETS_5_YEAR_GROWTH","FQ3 2015","FQ3 2015","Currency=INR","Period=FQ","BEST_FPERIOD_OVERRIDE=FQ","FILING_STATUS=OR","EQY_CONSOLIDATED=Y","Sort=A","Dates=H","DateFormat=P","Fill=—","Direction=H","UseDPDF=Y")</f>
        <v>#NAME?</v>
      </c>
      <c r="AV461" s="2" t="e">
        <f ca="1">_xll.BDH($C$453,"GEO_GROW_TOT_ASSET","FQ3 2015","FQ3 2015","Currency=INR","Period=FQ","BEST_FPERIOD_OVERRIDE=FQ","FILING_STATUS=OR","EQY_CONSOLIDATED=Y","Sort=A","Dates=H","DateFormat=P","Fill=—","Direction=H","UseDPDF=Y")</f>
        <v>#NAME?</v>
      </c>
      <c r="AW461" s="2" t="e">
        <f ca="1">_xll.BDH($C$453,"MODIFIED_WORKING_CPTL_5YR_GRWTH","FQ3 2015","FQ3 2015","Currency=INR","Period=FQ","BEST_FPERIOD_OVERRIDE=FQ","FILING_STATUS=OR","EQY_CONSOLIDATED=Y","Sort=A","Dates=H","DateFormat=P","Fill=—","Direction=H","UseDPDF=Y")</f>
        <v>#NAME?</v>
      </c>
      <c r="AX461" s="2" t="e">
        <f ca="1">_xll.BDH($C$453,"WORKING_CAPITAL_5_YEAR_GROWTH","FQ3 2015","FQ3 2015","Currency=INR","Period=FQ","BEST_FPERIOD_OVERRIDE=FQ","FILING_STATUS=OR","EQY_CONSOLIDATED=Y","Sort=A","Dates=H","DateFormat=P","Fill=—","Direction=H","UseDPDF=Y")</f>
        <v>#NAME?</v>
      </c>
      <c r="AY461" s="2" t="e">
        <f ca="1">_xll.BDH($C$453,"ACCOUNTS_PAYABLE_5_YEAR_GROWTH","FQ3 2015","FQ3 2015","Currency=INR","Period=FQ","BEST_FPERIOD_OVERRIDE=FQ","FILING_STATUS=OR","EQY_CONSOLIDATED=Y","Sort=A","Dates=H","DateFormat=P","Fill=—","Direction=H","UseDPDF=Y")</f>
        <v>#NAME?</v>
      </c>
      <c r="AZ461" s="2" t="e">
        <f ca="1">_xll.BDH($C$453,"SHORT_TERM_DEBT_5_YEAR_GROWTH","FQ3 2015","FQ3 2015","Currency=INR","Period=FQ","BEST_FPERIOD_OVERRIDE=FQ","FILING_STATUS=OR","EQY_CONSOLIDATED=Y","Sort=A","Dates=H","DateFormat=P","Fill=—","Direction=H","UseDPDF=Y")</f>
        <v>#NAME?</v>
      </c>
      <c r="BA461" s="2" t="e">
        <f ca="1">_xll.BDH($C$453,"TOTAL_DEBT_5_YEAR_GROWTH","FQ3 2015","FQ3 2015","Currency=INR","Period=FQ","BEST_FPERIOD_OVERRIDE=FQ","FILING_STATUS=OR","EQY_CONSOLIDATED=Y","Sort=A","Dates=H","DateFormat=P","Fill=—","Direction=H","UseDPDF=Y")</f>
        <v>#NAME?</v>
      </c>
      <c r="BB461" s="2" t="e">
        <f ca="1">_xll.BDH($C$453,"GEO_GROW_TOT_SHRHLDR_EQY","FQ3 2015","FQ3 2015","Currency=INR","Period=FQ","BEST_FPERIOD_OVERRIDE=FQ","FILING_STATUS=OR","EQY_CONSOLIDATED=Y","Sort=A","Dates=H","DateFormat=P","Fill=—","Direction=H","UseDPDF=Y")</f>
        <v>#NAME?</v>
      </c>
      <c r="BC461" s="2" t="e">
        <f ca="1">_xll.BDH($C$453,"TOTAL_CAPITAL_5_YEAR_GROWTH","FQ3 2015","FQ3 2015","Currency=INR","Period=FQ","BEST_FPERIOD_OVERRIDE=FQ","FILING_STATUS=OR","EQY_CONSOLIDATED=Y","Sort=A","Dates=H","DateFormat=P","Fill=—","Direction=H","UseDPDF=Y")</f>
        <v>#NAME?</v>
      </c>
      <c r="BD461" s="2" t="e">
        <f ca="1">_xll.BDH($C$453,"GEO_GROW_BOOK_VAL","FQ3 2015","FQ3 2015","Currency=INR","Period=FQ","BEST_FPERIOD_OVERRIDE=FQ","FILING_STATUS=OR","EQY_CONSOLIDATED=Y","Sort=A","Dates=H","DateFormat=P","Fill=—","Direction=H","UseDPDF=Y")</f>
        <v>#NAME?</v>
      </c>
      <c r="BE461" s="2" t="e">
        <f ca="1">_xll.BDH($C$453,"GEO_GROW_CASH_OPER_ACT","FQ3 2015","FQ3 2015","Currency=INR","Period=FQ","BEST_FPERIOD_OVERRIDE=FQ","FILING_STATUS=OR","EQY_CONSOLIDATED=Y","Sort=A","Dates=H","DateFormat=P","Fill=—","Direction=H","UseDPDF=Y")</f>
        <v>#NAME?</v>
      </c>
      <c r="BF461" s="2" t="e">
        <f ca="1">_xll.BDH($C$453,"REVENUE_SEQUENTIAL_GROWTH","FQ3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61" s="2" t="e">
        <f ca="1">_xll.BDH($C$453,"EBITDA_SEQUENTIAL_GROWTH","FQ3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61" s="2" t="e">
        <f ca="1">_xll.BDH($C$453,"OPERATING_INCOME_SEQ_GROWTH","FQ3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61" s="2" t="e">
        <f ca="1">_xll.BDH($C$453,"NET_INCOME_TO_COMMON_SEQ_GROWTH","FQ3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61" s="2" t="e">
        <f ca="1">_xll.BDH($C$453,"EPS_DILUTED_SEQUENTIAL_GROWTH","FQ3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61" s="2" t="e">
        <f ca="1">_xll.BDH($C$453,"DPS_SEQUENTIAL_GROWTH","FQ3 2015","FQ3 2015","Currency=INR","Period=FQ","BEST_FPERIOD_OVERRIDE=FQ","FILING_STATUS=OR","EQY_CONSOLIDATED=Y","Sort=A","Dates=H","DateFormat=P","Fill=—","Direction=H","UseDPDF=Y")</f>
        <v>#NAME?</v>
      </c>
      <c r="BL461" s="2" t="e">
        <f ca="1">_xll.BDH($C$453,"ACCOUNTS_RECEIVABLE_SEQ_GROWTH","FQ3 2015","FQ3 2015","Currency=INR","Period=FQ","BEST_FPERIOD_OVERRIDE=FQ","FILING_STATUS=OR","EQY_CONSOLIDATED=Y","Sort=A","Dates=H","DateFormat=P","Fill=—","Direction=H","UseDPDF=Y")</f>
        <v>#NAME?</v>
      </c>
      <c r="BM461" s="2" t="e">
        <f ca="1">_xll.BDH($C$453,"INVENTORY_SEQUENTIAL_GROWTH","FQ3 2015","FQ3 2015","Currency=INR","Period=FQ","BEST_FPERIOD_OVERRIDE=FQ","FILING_STATUS=OR","EQY_CONSOLIDATED=Y","Sort=A","Dates=H","DateFormat=P","Fill=—","Direction=H","UseDPDF=Y")</f>
        <v>#NAME?</v>
      </c>
      <c r="BN461" s="2" t="e">
        <f ca="1">_xll.BDH($C$453,"FIXED_ASSETS_SEQUENTIAL_GROWTH","FQ3 2015","FQ3 2015","Currency=INR","Period=FQ","BEST_FPERIOD_OVERRIDE=FQ","FILING_STATUS=OR","EQY_CONSOLIDATED=Y","Sort=A","Dates=H","DateFormat=P","Fill=—","Direction=H","UseDPDF=Y")</f>
        <v>#NAME?</v>
      </c>
      <c r="BO461" s="2" t="e">
        <f ca="1">_xll.BDH($C$453,"TOTAL_ASSETS_SEQUENTIAL_GROWTH","FQ3 2015","FQ3 2015","Currency=INR","Period=FQ","BEST_FPERIOD_OVERRIDE=FQ","FILING_STATUS=OR","EQY_CONSOLIDATED=Y","Sort=A","Dates=H","DateFormat=P","Fill=—","Direction=H","UseDPDF=Y")</f>
        <v>#NAME?</v>
      </c>
      <c r="BP461" s="2" t="e">
        <f ca="1">_xll.BDH($C$453,"MODIFIED_WORKING_CPTL_SEQ_GRWTH","FQ3 2015","FQ3 2015","Currency=INR","Period=FQ","BEST_FPERIOD_OVERRIDE=FQ","FILING_STATUS=OR","EQY_CONSOLIDATED=Y","Sort=A","Dates=H","DateFormat=P","Fill=—","Direction=H","UseDPDF=Y")</f>
        <v>#NAME?</v>
      </c>
      <c r="BQ461" s="2" t="e">
        <f ca="1">_xll.BDH($C$453,"WORKING_CAPITAL_SEQ_GROWTH","FQ3 2015","FQ3 2015","Currency=INR","Period=FQ","BEST_FPERIOD_OVERRIDE=FQ","FILING_STATUS=OR","EQY_CONSOLIDATED=Y","Sort=A","Dates=H","DateFormat=P","Fill=—","Direction=H","UseDPDF=Y")</f>
        <v>#NAME?</v>
      </c>
      <c r="BR461" s="2" t="e">
        <f ca="1">_xll.BDH($C$453,"ACCOUNTS_PAYABLE_SEQ_GROWTH","FQ3 2015","FQ3 2015","Currency=INR","Period=FQ","BEST_FPERIOD_OVERRIDE=FQ","FILING_STATUS=OR","EQY_CONSOLIDATED=Y","Sort=A","Dates=H","DateFormat=P","Fill=—","Direction=H","UseDPDF=Y")</f>
        <v>#NAME?</v>
      </c>
      <c r="BS461" s="2" t="e">
        <f ca="1">_xll.BDH($C$453,"ST_DEBT_SEQUENTIAL_GROWTH","FQ3 2015","FQ3 2015","Currency=INR","Period=FQ","BEST_FPERIOD_OVERRIDE=FQ","FILING_STATUS=OR","EQY_CONSOLIDATED=Y","Sort=A","Dates=H","DateFormat=P","Fill=—","Direction=H","UseDPDF=Y")</f>
        <v>#NAME?</v>
      </c>
      <c r="BT461" s="2" t="e">
        <f ca="1">_xll.BDH($C$453,"TOTAL_DEBT_SEQUENTIAL_GROWTH","FQ3 2015","FQ3 2015","Currency=INR","Period=FQ","BEST_FPERIOD_OVERRIDE=FQ","FILING_STATUS=OR","EQY_CONSOLIDATED=Y","Sort=A","Dates=H","DateFormat=P","Fill=—","Direction=H","UseDPDF=Y")</f>
        <v>#NAME?</v>
      </c>
      <c r="BU461" s="2" t="e">
        <f ca="1">_xll.BDH($C$453,"TOTAL_EQUITY_SEQUENTIAL_GROWTH","FQ3 2015","FQ3 2015","Currency=INR","Period=FQ","BEST_FPERIOD_OVERRIDE=FQ","FILING_STATUS=OR","EQY_CONSOLIDATED=Y","Sort=A","Dates=H","DateFormat=P","Fill=—","Direction=H","UseDPDF=Y")</f>
        <v>#NAME?</v>
      </c>
      <c r="BV461" s="2" t="e">
        <f ca="1">_xll.BDH($C$453,"TOTAL_CAPITAL_SEQUENTIAL_GROWTH","FQ3 2015","FQ3 2015","Currency=INR","Period=FQ","BEST_FPERIOD_OVERRIDE=FQ","FILING_STATUS=OR","EQY_CONSOLIDATED=Y","Sort=A","Dates=H","DateFormat=P","Fill=—","Direction=H","UseDPDF=Y")</f>
        <v>#NAME?</v>
      </c>
      <c r="BW461" s="2" t="e">
        <f ca="1">_xll.BDH($C$453,"BPS_SEQUENTIAL_GROWTH","FQ3 2015","FQ3 2015","Currency=INR","Period=FQ","BEST_FPERIOD_OVERRIDE=FQ","FILING_STATUS=OR","EQY_CONSOLIDATED=Y","Sort=A","Dates=H","DateFormat=P","Fill=—","Direction=H","UseDPDF=Y")</f>
        <v>#NAME?</v>
      </c>
      <c r="BX461" s="2" t="e">
        <f ca="1">_xll.BDH($C$453,"CFO_SEQUENTIAL_GROWTH","FQ3 2015","FQ3 2015","Currency=INR","Period=FQ","BEST_FPERIOD_OVERRIDE=FQ","FILING_STATUS=OR","EQY_CONSOLIDATED=Y","Sort=A","Dates=H","DateFormat=P","Fill=—","Direction=H","UseDPDF=Y")</f>
        <v>#NAME?</v>
      </c>
      <c r="BY461" s="3" t="e">
        <f ca="1">_xll.BDH($C$453,"SHORT_AND_LONG_TERM_DEBT","FQ3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61" s="3" t="e">
        <f ca="1">_xll.BDH($C$453,"BS_ST_BORROW","FQ3 2015","FQ3 2015","Currency=INR","Period=FQ","BEST_FPERIOD_OVERRIDE=FQ","FILING_STATUS=OR","EQY_CONSOLIDATED=Y","SCALING_FORMAT=MLN","Sort=A","Dates=H","DateFormat=P","Fill=—","Direction=H","UseDPDF=Y")</f>
        <v>#NAME?</v>
      </c>
      <c r="CA461" s="3" t="e">
        <f ca="1">_xll.BDH($C$453,"BS_LT_BORROW","FQ3 2015","FQ3 2015","Currency=INR","Period=FQ","BEST_FPERIOD_OVERRIDE=FQ","FILING_STATUS=OR","EQY_CONSOLIDATED=Y","SCALING_FORMAT=MLN","Sort=A","Dates=H","DateFormat=P","Fill=—","Direction=H","UseDPDF=Y")</f>
        <v>#NAME?</v>
      </c>
      <c r="CB461" s="2" t="e">
        <f ca="1">_xll.BDH($C$453,"TOT_DEBT_TO_EBITDA","FQ3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61" s="2" t="e">
        <f ca="1">_xll.BDH($C$453,"NET_DEBT_TO_EBITDA","FQ3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61" s="2" t="e">
        <f ca="1">_xll.BDH($C$453,"TOTAL_DEBT_TO_EBIT","FQ3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61" s="2" t="e">
        <f ca="1">_xll.BDH($C$453,"NET_DEBT_TO_EBIT","FQ3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461" s="2" t="e">
        <f ca="1">_xll.BDH($C$453,"EBITDA_TO_INTEREST_EXPN","FQ3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61" s="2" t="e">
        <f ca="1">_xll.BDH($C$453,"COM_EQY_TO_TOT_ASSET","FQ3 2015","FQ3 2015","Currency=INR","Period=FQ","BEST_FPERIOD_OVERRIDE=FQ","FILING_STATUS=OR","EQY_CONSOLIDATED=Y","Sort=A","Dates=H","DateFormat=P","Fill=—","Direction=H","UseDPDF=Y")</f>
        <v>#NAME?</v>
      </c>
      <c r="CH461" s="2" t="e">
        <f ca="1">_xll.BDH($C$453,"LT_DEBT_TO_TOT_EQY","FQ3 2015","FQ3 2015","Currency=INR","Period=FQ","BEST_FPERIOD_OVERRIDE=FQ","FILING_STATUS=OR","EQY_CONSOLIDATED=Y","Sort=A","Dates=H","DateFormat=P","Fill=—","Direction=H","UseDPDF=Y")</f>
        <v>#NAME?</v>
      </c>
      <c r="CI461" s="2" t="e">
        <f ca="1">_xll.BDH($C$453,"LT_DEBT_TO_TOT_CAP","FQ3 2015","FQ3 2015","Currency=INR","Period=FQ","BEST_FPERIOD_OVERRIDE=FQ","FILING_STATUS=OR","EQY_CONSOLIDATED=Y","Sort=A","Dates=H","DateFormat=P","Fill=—","Direction=H","UseDPDF=Y")</f>
        <v>#NAME?</v>
      </c>
      <c r="CJ461" s="2" t="e">
        <f ca="1">_xll.BDH($C$453,"LT_DEBT_TO_TOT_ASSET","FQ3 2015","FQ3 2015","Currency=INR","Period=FQ","BEST_FPERIOD_OVERRIDE=FQ","FILING_STATUS=OR","EQY_CONSOLIDATED=Y","Sort=A","Dates=H","DateFormat=P","Fill=—","Direction=H","UseDPDF=Y")</f>
        <v>#NAME?</v>
      </c>
      <c r="CK461" s="2" t="e">
        <f ca="1">_xll.BDH($C$453,"TOT_DEBT_TO_TOT_EQY","FQ3 2015","FQ3 2015","Currency=INR","Period=FQ","BEST_FPERIOD_OVERRIDE=FQ","FILING_STATUS=OR","EQY_CONSOLIDATED=Y","Sort=A","Dates=H","DateFormat=P","Fill=—","Direction=H","UseDPDF=Y")</f>
        <v>#NAME?</v>
      </c>
      <c r="CL461" s="2" t="e">
        <f ca="1">_xll.BDH($C$453,"TOT_DEBT_TO_TOT_CAP","FQ3 2015","FQ3 2015","Currency=INR","Period=FQ","BEST_FPERIOD_OVERRIDE=FQ","FILING_STATUS=OR","EQY_CONSOLIDATED=Y","Sort=A","Dates=H","DateFormat=P","Fill=—","Direction=H","UseDPDF=Y")</f>
        <v>#NAME?</v>
      </c>
      <c r="CM461" s="2" t="e">
        <f ca="1">_xll.BDH($C$453,"TOT_DEBT_TO_TOT_ASSET","FQ3 2015","FQ3 2015","Currency=INR","Period=FQ","BEST_FPERIOD_OVERRIDE=FQ","FILING_STATUS=OR","EQY_CONSOLIDATED=Y","Sort=A","Dates=H","DateFormat=P","Fill=—","Direction=H","UseDPDF=Y")</f>
        <v>#NAME?</v>
      </c>
      <c r="CN461" s="2" t="e">
        <f ca="1">_xll.BDH($C$453,"NET_DEBT_TO_SHRHLDR_EQTY","FQ3 2015","FQ3 2015","Currency=INR","Period=FQ","BEST_FPERIOD_OVERRIDE=FQ","FILING_STATUS=OR","EQY_CONSOLIDATED=Y","Sort=A","Dates=H","DateFormat=P","Fill=—","Direction=H","UseDPDF=Y")</f>
        <v>#NAME?</v>
      </c>
      <c r="CO461" s="2" t="e">
        <f ca="1">_xll.BDH($C$453,"NET_DEBT_%_CAPITAL","FQ3 2015","FQ3 2015","Currency=INR","Period=FQ","BEST_FPERIOD_OVERRIDE=FQ","FILING_STATUS=OR","EQY_CONSOLIDATED=Y","Sort=A","Dates=H","DateFormat=P","Fill=—","Direction=H","UseDPDF=Y")</f>
        <v>#NAME?</v>
      </c>
      <c r="CP461" s="3" t="e">
        <f ca="1">_xll.BDH($C$453,"EBITDA","FQ3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61" s="3" t="e">
        <f ca="1">_xll.BDH($C$453,"EBITDA_AFTER_CAPEX","FQ3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61" s="3" t="e">
        <f ca="1">_xll.BDH($C$453,"IS_OPER_INC","FQ3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61" s="2" t="e">
        <f ca="1">_xll.BDH($C$453,"CASH_RATIO","FQ3 2015","FQ3 2015","Currency=INR","Period=FQ","BEST_FPERIOD_OVERRIDE=FQ","FILING_STATUS=OR","EQY_CONSOLIDATED=Y","Sort=A","Dates=H","DateFormat=P","Fill=—","Direction=H","UseDPDF=Y")</f>
        <v>#NAME?</v>
      </c>
      <c r="CT461" s="2" t="e">
        <f ca="1">_xll.BDH($C$453,"CUR_RATIO","FQ3 2015","FQ3 2015","Currency=INR","Period=FQ","BEST_FPERIOD_OVERRIDE=FQ","FILING_STATUS=OR","EQY_CONSOLIDATED=Y","Sort=A","Dates=H","DateFormat=P","Fill=—","Direction=H","UseDPDF=Y")</f>
        <v>#NAME?</v>
      </c>
      <c r="CU461" s="2" t="e">
        <f ca="1">_xll.BDH($C$453,"QUICK_RATIO","FQ3 2015","FQ3 2015","Currency=INR","Period=FQ","BEST_FPERIOD_OVERRIDE=FQ","FILING_STATUS=OR","EQY_CONSOLIDATED=Y","Sort=A","Dates=H","DateFormat=P","Fill=—","Direction=H","UseDPDF=Y")</f>
        <v>#NAME?</v>
      </c>
      <c r="CV461" s="2" t="e">
        <f ca="1">_xll.BDH($C$453,"ALTMAN_Z_SCORE","FQ3 2015","FQ3 2015","Currency=INR","Period=FQ","BEST_FPERIOD_OVERRIDE=FQ","FILING_STATUS=OR","EQY_CONSOLIDATED=Y","Sort=A","Dates=H","DateFormat=P","Fill=—","Direction=H","UseDPDF=Y")</f>
        <v>#NAME?</v>
      </c>
      <c r="CW461" s="4" t="e">
        <f ca="1">_xll.BDH($C$453,"ACCT_RCV_TURN","FQ3 2015","FQ3 2015","Currency=INR","Period=FQ","BEST_FPERIOD_OVERRIDE=FQ","FILING_STATUS=OR","EQY_CONSOLIDATED=Y","FA_ADJUSTED=GAAP","Sort=A","Dates=H","DateFormat=P","Fill=—","Direction=H","UseDPDF=Y")</f>
        <v>#NAME?</v>
      </c>
      <c r="CX461" s="2" t="e">
        <f ca="1">_xll.BDH($C$453,"ACCT_RCV_DAYS","FQ3 2015","FQ3 2015","Currency=INR","Period=FQ","BEST_FPERIOD_OVERRIDE=FQ","FILING_STATUS=OR","EQY_CONSOLIDATED=Y","FA_ADJUSTED=GAAP","Sort=A","Dates=H","DateFormat=P","Fill=—","Direction=H","UseDPDF=Y")</f>
        <v>#NAME?</v>
      </c>
      <c r="CY461" s="4" t="e">
        <f ca="1">_xll.BDH($C$453,"INVENT_TURN","FQ3 2015","FQ3 2015","Currency=INR","Period=FQ","BEST_FPERIOD_OVERRIDE=FQ","FILING_STATUS=OR","EQY_CONSOLIDATED=Y","FA_ADJUSTED=GAAP","Sort=A","Dates=H","DateFormat=P","Fill=—","Direction=H","UseDPDF=Y")</f>
        <v>#NAME?</v>
      </c>
      <c r="CZ461" s="2" t="e">
        <f ca="1">_xll.BDH($C$453,"INVENT_DAYS","FQ3 2015","FQ3 2015","Currency=INR","Period=FQ","BEST_FPERIOD_OVERRIDE=FQ","FILING_STATUS=OR","EQY_CONSOLIDATED=Y","FA_ADJUSTED=GAAP","Sort=A","Dates=H","DateFormat=P","Fill=—","Direction=H","UseDPDF=Y")</f>
        <v>#NAME?</v>
      </c>
      <c r="DA461" s="4" t="e">
        <f ca="1">_xll.BDH($C$453,"ACCOUNTS_PAYABLE_TURNOVER","FQ3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61" s="2" t="e">
        <f ca="1">_xll.BDH($C$453,"ACCOUNTS_PAYABLE_TURNOVER_DAYS","FQ3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61" s="4" t="e">
        <f ca="1">_xll.BDH($C$453,"CASH_CONVERSION_CYCLE","FQ3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61" s="4" t="e">
        <f ca="1">_xll.BDH($C$453,"INV_TO_CASH_DAYS","FQ3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461" s="5" t="e">
        <f ca="1">_xll.BDH($C$453,"BS_INVENTORIES","FQ3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461" s="3" t="e">
        <f ca="1">_xll.BDH($C$453,"INVTRY_RAW_MATERIALS","FQ3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61" s="3" t="e">
        <f ca="1">_xll.BDH($C$453,"INVTRY_IN_PROGRESS","FQ3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61" s="3" t="e">
        <f ca="1">_xll.BDH($C$453,"INVTRY_FINISHED_GOODS","FQ3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61" s="3" t="e">
        <f ca="1">_xll.BDH($C$453,"BS_OTHER_INV","FQ3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62" spans="1:113" x14ac:dyDescent="0.3">
      <c r="A462" s="6"/>
      <c r="B462" s="6"/>
      <c r="C462" s="6"/>
      <c r="D462" s="6"/>
      <c r="E462" t="s">
        <v>81</v>
      </c>
      <c r="F462" t="e">
        <f ca="1">_xll.BDH($C$453,"RETURN_COM_EQY","FQ4 2015","FQ4 2015","Currency=INR","Period=FQ","BEST_FPERIOD_OVERRIDE=FQ","FILING_STATUS=OR","EQY_CONSOLIDATED=Y","FA_ADJUSTED=GAAP","Sort=A","Dates=H","DateFormat=P","Fill=—","Direction=H","UseDPDF=Y")</f>
        <v>#NAME?</v>
      </c>
      <c r="G462" t="e">
        <f ca="1">_xll.BDH($C$453,"RETURN_ON_ASSET","FQ4 2015","FQ4 2015","Currency=INR","Period=FQ","BEST_FPERIOD_OVERRIDE=FQ","FILING_STATUS=OR","EQY_CONSOLIDATED=Y","FA_ADJUSTED=GAAP","Sort=A","Dates=H","DateFormat=P","Fill=—","Direction=H","UseDPDF=Y")</f>
        <v>#NAME?</v>
      </c>
      <c r="H462" t="e">
        <f ca="1">_xll.BDH($C$453,"RETURN_ON_CAP","FQ4 2015","FQ4 2015","Currency=INR","Period=FQ","BEST_FPERIOD_OVERRIDE=FQ","FILING_STATUS=OR","EQY_CONSOLIDATED=Y","FA_ADJUSTED=GAAP","Sort=A","Dates=H","DateFormat=P","Fill=—","Direction=H","UseDPDF=Y")</f>
        <v>#NAME?</v>
      </c>
      <c r="I462" t="e">
        <f ca="1">_xll.BDH($C$453,"RETURN_ON_INV_CAPITAL","FQ4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62" t="e">
        <f ca="1">_xll.BDH($C$453,"EBITDA_TO_REVENUE","FQ4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462" t="e">
        <f ca="1">_xll.BDH($C$453,"OPER_MARGIN","FQ4 2015","FQ4 2015","Currency=INR","Period=FQ","BEST_FPERIOD_OVERRIDE=FQ","FILING_STATUS=OR","EQY_CONSOLIDATED=Y","FA_ADJUSTED=GAAP","Sort=A","Dates=H","DateFormat=P","Fill=—","Direction=H","UseDPDF=Y")</f>
        <v>#NAME?</v>
      </c>
      <c r="L462" t="e">
        <f ca="1">_xll.BDH($C$453,"INCREMENTAL_OPERATING_MARGIN","FQ4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62" t="e">
        <f ca="1">_xll.BDH($C$453,"PRETAX_INC_TO_NET_SALES","FQ4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62" t="e">
        <f ca="1">_xll.BDH($C$453,"INC_BEF_XO_ITEMS_TO_NET_SALES","FQ4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62" t="e">
        <f ca="1">_xll.BDH($C$453,"PROF_MARGIN","FQ4 2015","FQ4 2015","Currency=INR","Period=FQ","BEST_FPERIOD_OVERRIDE=FQ","FILING_STATUS=OR","EQY_CONSOLIDATED=Y","FA_ADJUSTED=GAAP","Sort=A","Dates=H","DateFormat=P","Fill=—","Direction=H","UseDPDF=Y")</f>
        <v>#NAME?</v>
      </c>
      <c r="P462" t="e">
        <f ca="1">_xll.BDH($C$453,"NET_INCOME_TO_COMMON_MARGIN","FQ4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62" t="e">
        <f ca="1">_xll.BDH($C$453,"EFF_TAX_RATE","FQ4 2015","FQ4 2015","Currency=INR","Period=FQ","BEST_FPERIOD_OVERRIDE=FQ","FILING_STATUS=OR","EQY_CONSOLIDATED=Y","FA_ADJUSTED=GAAP","Sort=A","Dates=H","DateFormat=P","Fill=—","Direction=H","UseDPDF=Y")</f>
        <v>#NAME?</v>
      </c>
      <c r="R462" t="e">
        <f ca="1">_xll.BDH($C$453,"DVD_PAYOUT_RATIO","FQ4 2015","FQ4 2015","Currency=INR","Period=FQ","BEST_FPERIOD_OVERRIDE=FQ","FILING_STATUS=OR","EQY_CONSOLIDATED=Y","FA_ADJUSTED=GAAP","Sort=A","Dates=H","DateFormat=P","Fill=—","Direction=H","UseDPDF=Y")</f>
        <v>#NAME?</v>
      </c>
      <c r="S462" t="e">
        <f ca="1">_xll.BDH($C$453,"SUSTAIN_GROWTH_RT","FQ4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462" s="2" t="e">
        <f ca="1">_xll.BDH($C$453,"SALES_GROWTH","FQ4 2015","FQ4 2015","Currency=INR","Period=FQ","BEST_FPERIOD_OVERRIDE=FQ","FILING_STATUS=OR","EQY_CONSOLIDATED=Y","FA_ADJUSTED=GAAP","Sort=A","Dates=H","DateFormat=P","Fill=—","Direction=H","UseDPDF=Y")</f>
        <v>#NAME?</v>
      </c>
      <c r="U462" s="2" t="e">
        <f ca="1">_xll.BDH($C$453,"EBITDA_GROWTH","FQ4 2015","FQ4 2015","Currency=INR","Period=FQ","BEST_FPERIOD_OVERRIDE=FQ","FILING_STATUS=OR","EQY_CONSOLIDATED=Y","FA_ADJUSTED=GAAP","Sort=A","Dates=H","DateFormat=P","Fill=—","Direction=H","UseDPDF=Y")</f>
        <v>#NAME?</v>
      </c>
      <c r="V462" s="2" t="e">
        <f ca="1">_xll.BDH($C$453,"OPER_INC_GROWTH","FQ4 2015","FQ4 2015","Currency=INR","Period=FQ","BEST_FPERIOD_OVERRIDE=FQ","FILING_STATUS=OR","EQY_CONSOLIDATED=Y","FA_ADJUSTED=GAAP","Sort=A","Dates=H","DateFormat=P","Fill=—","Direction=H","UseDPDF=Y")</f>
        <v>#NAME?</v>
      </c>
      <c r="W462" s="2" t="e">
        <f ca="1">_xll.BDH($C$453,"EARN_FOR_COM_GROWTH","FQ4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62" s="2" t="e">
        <f ca="1">_xll.BDH($C$453,"DILUTED_EPS_AFT_XO_ITEMS_GROWTH","FQ4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62" s="2" t="e">
        <f ca="1">_xll.BDH($C$453,"DIVIDEND_PER_SHARE_1_YEAR_GROWTH","FQ4 2015","FQ4 2015","Currency=INR","Period=FQ","BEST_FPERIOD_OVERRIDE=FQ","FILING_STATUS=OR","EQY_CONSOLIDATED=Y","Sort=A","Dates=H","DateFormat=P","Fill=—","Direction=H","UseDPDF=Y")</f>
        <v>#NAME?</v>
      </c>
      <c r="Z462" s="2" t="e">
        <f ca="1">_xll.BDH($C$453,"ACCOUNTS_RECEIVABLE_GROWTH","FQ4 2015","FQ4 2015","Currency=INR","Period=FQ","BEST_FPERIOD_OVERRIDE=FQ","FILING_STATUS=OR","EQY_CONSOLIDATED=Y","Sort=A","Dates=H","DateFormat=P","Fill=—","Direction=H","UseDPDF=Y")</f>
        <v>#NAME?</v>
      </c>
      <c r="AA462" s="2" t="e">
        <f ca="1">_xll.BDH($C$453,"INVENTORY_GROWTH","FQ4 2015","FQ4 2015","Currency=INR","Period=FQ","BEST_FPERIOD_OVERRIDE=FQ","FILING_STATUS=OR","EQY_CONSOLIDATED=Y","Sort=A","Dates=H","DateFormat=P","Fill=—","Direction=H","UseDPDF=Y")</f>
        <v>#NAME?</v>
      </c>
      <c r="AB462" s="2" t="e">
        <f ca="1">_xll.BDH($C$453,"NET_FIXED_ASSETS_1_YEAR_GROWTH","FQ4 2015","FQ4 2015","Currency=INR","Period=FQ","BEST_FPERIOD_OVERRIDE=FQ","FILING_STATUS=OR","EQY_CONSOLIDATED=Y","Sort=A","Dates=H","DateFormat=P","Fill=—","Direction=H","UseDPDF=Y")</f>
        <v>#NAME?</v>
      </c>
      <c r="AC462" s="2" t="e">
        <f ca="1">_xll.BDH($C$453,"ASSET_GROWTH","FQ4 2015","FQ4 2015","Currency=INR","Period=FQ","BEST_FPERIOD_OVERRIDE=FQ","FILING_STATUS=OR","EQY_CONSOLIDATED=Y","Sort=A","Dates=H","DateFormat=P","Fill=—","Direction=H","UseDPDF=Y")</f>
        <v>#NAME?</v>
      </c>
      <c r="AD462" s="2" t="e">
        <f ca="1">_xll.BDH($C$453,"MODIFIED_WORK_CAP_GROWTH","FQ4 2015","FQ4 2015","Currency=INR","Period=FQ","BEST_FPERIOD_OVERRIDE=FQ","FILING_STATUS=OR","EQY_CONSOLIDATED=Y","Sort=A","Dates=H","DateFormat=P","Fill=—","Direction=H","UseDPDF=Y")</f>
        <v>#NAME?</v>
      </c>
      <c r="AE462" s="2" t="e">
        <f ca="1">_xll.BDH($C$453,"WORK_CAP_GROWTH","FQ4 2015","FQ4 2015","Currency=INR","Period=FQ","BEST_FPERIOD_OVERRIDE=FQ","FILING_STATUS=OR","EQY_CONSOLIDATED=Y","Sort=A","Dates=H","DateFormat=P","Fill=—","Direction=H","UseDPDF=Y")</f>
        <v>#NAME?</v>
      </c>
      <c r="AF462" s="2" t="e">
        <f ca="1">_xll.BDH($C$453,"ACCOUNTS_PAYABLE_GROWTH_1YR","FQ4 2015","FQ4 2015","Currency=INR","Period=FQ","BEST_FPERIOD_OVERRIDE=FQ","FILING_STATUS=OR","EQY_CONSOLIDATED=Y","Sort=A","Dates=H","DateFormat=P","Fill=—","Direction=H","UseDPDF=Y")</f>
        <v>#NAME?</v>
      </c>
      <c r="AG462" s="2" t="e">
        <f ca="1">_xll.BDH($C$453,"SHORT_TERM_DEBT_1_YEAR_GROWTH","FQ4 2015","FQ4 2015","Currency=INR","Period=FQ","BEST_FPERIOD_OVERRIDE=FQ","FILING_STATUS=OR","EQY_CONSOLIDATED=Y","Sort=A","Dates=H","DateFormat=P","Fill=—","Direction=H","UseDPDF=Y")</f>
        <v>#NAME?</v>
      </c>
      <c r="AH462" s="2" t="e">
        <f ca="1">_xll.BDH($C$453,"TOTAL_DEBT_1_YEAR_GROWTH","FQ4 2015","FQ4 2015","Currency=INR","Period=FQ","BEST_FPERIOD_OVERRIDE=FQ","FILING_STATUS=OR","EQY_CONSOLIDATED=Y","Sort=A","Dates=H","DateFormat=P","Fill=—","Direction=H","UseDPDF=Y")</f>
        <v>#NAME?</v>
      </c>
      <c r="AI462" s="2" t="e">
        <f ca="1">_xll.BDH($C$453,"TOTAL_EQUITY_1_YEAR_GROWTH","FQ4 2015","FQ4 2015","Currency=INR","Period=FQ","BEST_FPERIOD_OVERRIDE=FQ","FILING_STATUS=OR","EQY_CONSOLIDATED=Y","Sort=A","Dates=H","DateFormat=P","Fill=—","Direction=H","UseDPDF=Y")</f>
        <v>#NAME?</v>
      </c>
      <c r="AJ462" s="2" t="e">
        <f ca="1">_xll.BDH($C$453,"GROWTH_IN_CAP","FQ4 2015","FQ4 2015","Currency=INR","Period=FQ","BEST_FPERIOD_OVERRIDE=FQ","FILING_STATUS=OR","EQY_CONSOLIDATED=Y","Sort=A","Dates=H","DateFormat=P","Fill=—","Direction=H","UseDPDF=Y")</f>
        <v>#NAME?</v>
      </c>
      <c r="AK462" s="2" t="e">
        <f ca="1">_xll.BDH($C$453,"BVPS_GROWTH","FQ4 2015","FQ4 2015","Currency=INR","Period=FQ","BEST_FPERIOD_OVERRIDE=FQ","FILING_STATUS=OR","EQY_CONSOLIDATED=Y","Sort=A","Dates=H","DateFormat=P","Fill=—","Direction=H","UseDPDF=Y")</f>
        <v>#NAME?</v>
      </c>
      <c r="AL462" s="2" t="e">
        <f ca="1">_xll.BDH($C$453,"CASH_FLOW_GROWTH","FQ4 2015","FQ4 2015","Currency=INR","Period=FQ","BEST_FPERIOD_OVERRIDE=FQ","FILING_STATUS=OR","EQY_CONSOLIDATED=Y","Sort=A","Dates=H","DateFormat=P","Fill=—","Direction=H","UseDPDF=Y")</f>
        <v>#NAME?</v>
      </c>
      <c r="AM462" s="2" t="e">
        <f ca="1">_xll.BDH($C$453,"GEO_GROW_NET_SALES","FQ4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62" s="2" t="e">
        <f ca="1">_xll.BDH($C$453,"GEO_GROW_EBITDA","FQ4 2015","FQ4 2015","Currency=INR","Period=FQ","BEST_FPERIOD_OVERRIDE=FQ","FILING_STATUS=OR","EQY_CONSOLIDATED=Y","FA_ADJUSTED=GAAP","Sort=A","Dates=H","DateFormat=P","Fill=—","Direction=H","UseDPDF=Y")</f>
        <v>#NAME?</v>
      </c>
      <c r="AO462" s="2" t="e">
        <f ca="1">_xll.BDH($C$453,"GEO_GROW_OPER_INC","FQ4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62" s="2" t="e">
        <f ca="1">_xll.BDH($C$453,"NET_INCOME_TO_COMMON_5_YR_GROWTH","FQ4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62" s="2" t="e">
        <f ca="1">_xll.BDH($C$453,"5Y_GEO_GROWTH_DILUTED_EPS","FQ4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62" s="2" t="e">
        <f ca="1">_xll.BDH($C$453,"GEO_GROW_DVD_PER_SH","FQ4 2015","FQ4 2015","Currency=INR","Period=FQ","BEST_FPERIOD_OVERRIDE=FQ","FILING_STATUS=OR","EQY_CONSOLIDATED=Y","Sort=A","Dates=H","DateFormat=P","Fill=—","Direction=H","UseDPDF=Y")</f>
        <v>#NAME?</v>
      </c>
      <c r="AS462" s="2" t="e">
        <f ca="1">_xll.BDH($C$453,"ACCOUNTS_RECEIVABLE_5_YR_GROWTH","FQ4 2015","FQ4 2015","Currency=INR","Period=FQ","BEST_FPERIOD_OVERRIDE=FQ","FILING_STATUS=OR","EQY_CONSOLIDATED=Y","Sort=A","Dates=H","DateFormat=P","Fill=—","Direction=H","UseDPDF=Y")</f>
        <v>#NAME?</v>
      </c>
      <c r="AT462" s="2" t="e">
        <f ca="1">_xll.BDH($C$453,"INVENTORY_5_YEAR_GROWTH","FQ4 2015","FQ4 2015","Currency=INR","Period=FQ","BEST_FPERIOD_OVERRIDE=FQ","FILING_STATUS=OR","EQY_CONSOLIDATED=Y","Sort=A","Dates=H","DateFormat=P","Fill=—","Direction=H","UseDPDF=Y")</f>
        <v>#NAME?</v>
      </c>
      <c r="AU462" s="2" t="e">
        <f ca="1">_xll.BDH($C$453,"NET_FIXED_ASSETS_5_YEAR_GROWTH","FQ4 2015","FQ4 2015","Currency=INR","Period=FQ","BEST_FPERIOD_OVERRIDE=FQ","FILING_STATUS=OR","EQY_CONSOLIDATED=Y","Sort=A","Dates=H","DateFormat=P","Fill=—","Direction=H","UseDPDF=Y")</f>
        <v>#NAME?</v>
      </c>
      <c r="AV462" s="2" t="e">
        <f ca="1">_xll.BDH($C$453,"GEO_GROW_TOT_ASSET","FQ4 2015","FQ4 2015","Currency=INR","Period=FQ","BEST_FPERIOD_OVERRIDE=FQ","FILING_STATUS=OR","EQY_CONSOLIDATED=Y","Sort=A","Dates=H","DateFormat=P","Fill=—","Direction=H","UseDPDF=Y")</f>
        <v>#NAME?</v>
      </c>
      <c r="AW462" s="2" t="e">
        <f ca="1">_xll.BDH($C$453,"MODIFIED_WORKING_CPTL_5YR_GRWTH","FQ4 2015","FQ4 2015","Currency=INR","Period=FQ","BEST_FPERIOD_OVERRIDE=FQ","FILING_STATUS=OR","EQY_CONSOLIDATED=Y","Sort=A","Dates=H","DateFormat=P","Fill=—","Direction=H","UseDPDF=Y")</f>
        <v>#NAME?</v>
      </c>
      <c r="AX462" s="2" t="e">
        <f ca="1">_xll.BDH($C$453,"WORKING_CAPITAL_5_YEAR_GROWTH","FQ4 2015","FQ4 2015","Currency=INR","Period=FQ","BEST_FPERIOD_OVERRIDE=FQ","FILING_STATUS=OR","EQY_CONSOLIDATED=Y","Sort=A","Dates=H","DateFormat=P","Fill=—","Direction=H","UseDPDF=Y")</f>
        <v>#NAME?</v>
      </c>
      <c r="AY462" s="2" t="e">
        <f ca="1">_xll.BDH($C$453,"ACCOUNTS_PAYABLE_5_YEAR_GROWTH","FQ4 2015","FQ4 2015","Currency=INR","Period=FQ","BEST_FPERIOD_OVERRIDE=FQ","FILING_STATUS=OR","EQY_CONSOLIDATED=Y","Sort=A","Dates=H","DateFormat=P","Fill=—","Direction=H","UseDPDF=Y")</f>
        <v>#NAME?</v>
      </c>
      <c r="AZ462" s="2" t="e">
        <f ca="1">_xll.BDH($C$453,"SHORT_TERM_DEBT_5_YEAR_GROWTH","FQ4 2015","FQ4 2015","Currency=INR","Period=FQ","BEST_FPERIOD_OVERRIDE=FQ","FILING_STATUS=OR","EQY_CONSOLIDATED=Y","Sort=A","Dates=H","DateFormat=P","Fill=—","Direction=H","UseDPDF=Y")</f>
        <v>#NAME?</v>
      </c>
      <c r="BA462" s="2" t="e">
        <f ca="1">_xll.BDH($C$453,"TOTAL_DEBT_5_YEAR_GROWTH","FQ4 2015","FQ4 2015","Currency=INR","Period=FQ","BEST_FPERIOD_OVERRIDE=FQ","FILING_STATUS=OR","EQY_CONSOLIDATED=Y","Sort=A","Dates=H","DateFormat=P","Fill=—","Direction=H","UseDPDF=Y")</f>
        <v>#NAME?</v>
      </c>
      <c r="BB462" s="2" t="e">
        <f ca="1">_xll.BDH($C$453,"GEO_GROW_TOT_SHRHLDR_EQY","FQ4 2015","FQ4 2015","Currency=INR","Period=FQ","BEST_FPERIOD_OVERRIDE=FQ","FILING_STATUS=OR","EQY_CONSOLIDATED=Y","Sort=A","Dates=H","DateFormat=P","Fill=—","Direction=H","UseDPDF=Y")</f>
        <v>#NAME?</v>
      </c>
      <c r="BC462" s="2" t="e">
        <f ca="1">_xll.BDH($C$453,"TOTAL_CAPITAL_5_YEAR_GROWTH","FQ4 2015","FQ4 2015","Currency=INR","Period=FQ","BEST_FPERIOD_OVERRIDE=FQ","FILING_STATUS=OR","EQY_CONSOLIDATED=Y","Sort=A","Dates=H","DateFormat=P","Fill=—","Direction=H","UseDPDF=Y")</f>
        <v>#NAME?</v>
      </c>
      <c r="BD462" s="2" t="e">
        <f ca="1">_xll.BDH($C$453,"GEO_GROW_BOOK_VAL","FQ4 2015","FQ4 2015","Currency=INR","Period=FQ","BEST_FPERIOD_OVERRIDE=FQ","FILING_STATUS=OR","EQY_CONSOLIDATED=Y","Sort=A","Dates=H","DateFormat=P","Fill=—","Direction=H","UseDPDF=Y")</f>
        <v>#NAME?</v>
      </c>
      <c r="BE462" s="2" t="e">
        <f ca="1">_xll.BDH($C$453,"GEO_GROW_CASH_OPER_ACT","FQ4 2015","FQ4 2015","Currency=INR","Period=FQ","BEST_FPERIOD_OVERRIDE=FQ","FILING_STATUS=OR","EQY_CONSOLIDATED=Y","Sort=A","Dates=H","DateFormat=P","Fill=—","Direction=H","UseDPDF=Y")</f>
        <v>#NAME?</v>
      </c>
      <c r="BF462" s="2" t="e">
        <f ca="1">_xll.BDH($C$453,"REVENUE_SEQUENTIAL_GROWTH","FQ4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62" s="2" t="e">
        <f ca="1">_xll.BDH($C$453,"EBITDA_SEQUENTIAL_GROWTH","FQ4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62" s="2" t="e">
        <f ca="1">_xll.BDH($C$453,"OPERATING_INCOME_SEQ_GROWTH","FQ4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62" s="2" t="e">
        <f ca="1">_xll.BDH($C$453,"NET_INCOME_TO_COMMON_SEQ_GROWTH","FQ4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62" s="2" t="e">
        <f ca="1">_xll.BDH($C$453,"EPS_DILUTED_SEQUENTIAL_GROWTH","FQ4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62" s="2" t="e">
        <f ca="1">_xll.BDH($C$453,"DPS_SEQUENTIAL_GROWTH","FQ4 2015","FQ4 2015","Currency=INR","Period=FQ","BEST_FPERIOD_OVERRIDE=FQ","FILING_STATUS=OR","EQY_CONSOLIDATED=Y","Sort=A","Dates=H","DateFormat=P","Fill=—","Direction=H","UseDPDF=Y")</f>
        <v>#NAME?</v>
      </c>
      <c r="BL462" s="2" t="e">
        <f ca="1">_xll.BDH($C$453,"ACCOUNTS_RECEIVABLE_SEQ_GROWTH","FQ4 2015","FQ4 2015","Currency=INR","Period=FQ","BEST_FPERIOD_OVERRIDE=FQ","FILING_STATUS=OR","EQY_CONSOLIDATED=Y","Sort=A","Dates=H","DateFormat=P","Fill=—","Direction=H","UseDPDF=Y")</f>
        <v>#NAME?</v>
      </c>
      <c r="BM462" s="2" t="e">
        <f ca="1">_xll.BDH($C$453,"INVENTORY_SEQUENTIAL_GROWTH","FQ4 2015","FQ4 2015","Currency=INR","Period=FQ","BEST_FPERIOD_OVERRIDE=FQ","FILING_STATUS=OR","EQY_CONSOLIDATED=Y","Sort=A","Dates=H","DateFormat=P","Fill=—","Direction=H","UseDPDF=Y")</f>
        <v>#NAME?</v>
      </c>
      <c r="BN462" s="2" t="e">
        <f ca="1">_xll.BDH($C$453,"FIXED_ASSETS_SEQUENTIAL_GROWTH","FQ4 2015","FQ4 2015","Currency=INR","Period=FQ","BEST_FPERIOD_OVERRIDE=FQ","FILING_STATUS=OR","EQY_CONSOLIDATED=Y","Sort=A","Dates=H","DateFormat=P","Fill=—","Direction=H","UseDPDF=Y")</f>
        <v>#NAME?</v>
      </c>
      <c r="BO462" s="2" t="e">
        <f ca="1">_xll.BDH($C$453,"TOTAL_ASSETS_SEQUENTIAL_GROWTH","FQ4 2015","FQ4 2015","Currency=INR","Period=FQ","BEST_FPERIOD_OVERRIDE=FQ","FILING_STATUS=OR","EQY_CONSOLIDATED=Y","Sort=A","Dates=H","DateFormat=P","Fill=—","Direction=H","UseDPDF=Y")</f>
        <v>#NAME?</v>
      </c>
      <c r="BP462" s="2" t="e">
        <f ca="1">_xll.BDH($C$453,"MODIFIED_WORKING_CPTL_SEQ_GRWTH","FQ4 2015","FQ4 2015","Currency=INR","Period=FQ","BEST_FPERIOD_OVERRIDE=FQ","FILING_STATUS=OR","EQY_CONSOLIDATED=Y","Sort=A","Dates=H","DateFormat=P","Fill=—","Direction=H","UseDPDF=Y")</f>
        <v>#NAME?</v>
      </c>
      <c r="BQ462" s="2" t="e">
        <f ca="1">_xll.BDH($C$453,"WORKING_CAPITAL_SEQ_GROWTH","FQ4 2015","FQ4 2015","Currency=INR","Period=FQ","BEST_FPERIOD_OVERRIDE=FQ","FILING_STATUS=OR","EQY_CONSOLIDATED=Y","Sort=A","Dates=H","DateFormat=P","Fill=—","Direction=H","UseDPDF=Y")</f>
        <v>#NAME?</v>
      </c>
      <c r="BR462" s="2" t="e">
        <f ca="1">_xll.BDH($C$453,"ACCOUNTS_PAYABLE_SEQ_GROWTH","FQ4 2015","FQ4 2015","Currency=INR","Period=FQ","BEST_FPERIOD_OVERRIDE=FQ","FILING_STATUS=OR","EQY_CONSOLIDATED=Y","Sort=A","Dates=H","DateFormat=P","Fill=—","Direction=H","UseDPDF=Y")</f>
        <v>#NAME?</v>
      </c>
      <c r="BS462" s="2" t="e">
        <f ca="1">_xll.BDH($C$453,"ST_DEBT_SEQUENTIAL_GROWTH","FQ4 2015","FQ4 2015","Currency=INR","Period=FQ","BEST_FPERIOD_OVERRIDE=FQ","FILING_STATUS=OR","EQY_CONSOLIDATED=Y","Sort=A","Dates=H","DateFormat=P","Fill=—","Direction=H","UseDPDF=Y")</f>
        <v>#NAME?</v>
      </c>
      <c r="BT462" s="2" t="e">
        <f ca="1">_xll.BDH($C$453,"TOTAL_DEBT_SEQUENTIAL_GROWTH","FQ4 2015","FQ4 2015","Currency=INR","Period=FQ","BEST_FPERIOD_OVERRIDE=FQ","FILING_STATUS=OR","EQY_CONSOLIDATED=Y","Sort=A","Dates=H","DateFormat=P","Fill=—","Direction=H","UseDPDF=Y")</f>
        <v>#NAME?</v>
      </c>
      <c r="BU462" s="2" t="e">
        <f ca="1">_xll.BDH($C$453,"TOTAL_EQUITY_SEQUENTIAL_GROWTH","FQ4 2015","FQ4 2015","Currency=INR","Period=FQ","BEST_FPERIOD_OVERRIDE=FQ","FILING_STATUS=OR","EQY_CONSOLIDATED=Y","Sort=A","Dates=H","DateFormat=P","Fill=—","Direction=H","UseDPDF=Y")</f>
        <v>#NAME?</v>
      </c>
      <c r="BV462" s="2" t="e">
        <f ca="1">_xll.BDH($C$453,"TOTAL_CAPITAL_SEQUENTIAL_GROWTH","FQ4 2015","FQ4 2015","Currency=INR","Period=FQ","BEST_FPERIOD_OVERRIDE=FQ","FILING_STATUS=OR","EQY_CONSOLIDATED=Y","Sort=A","Dates=H","DateFormat=P","Fill=—","Direction=H","UseDPDF=Y")</f>
        <v>#NAME?</v>
      </c>
      <c r="BW462" s="2" t="e">
        <f ca="1">_xll.BDH($C$453,"BPS_SEQUENTIAL_GROWTH","FQ4 2015","FQ4 2015","Currency=INR","Period=FQ","BEST_FPERIOD_OVERRIDE=FQ","FILING_STATUS=OR","EQY_CONSOLIDATED=Y","Sort=A","Dates=H","DateFormat=P","Fill=—","Direction=H","UseDPDF=Y")</f>
        <v>#NAME?</v>
      </c>
      <c r="BX462" s="2" t="e">
        <f ca="1">_xll.BDH($C$453,"CFO_SEQUENTIAL_GROWTH","FQ4 2015","FQ4 2015","Currency=INR","Period=FQ","BEST_FPERIOD_OVERRIDE=FQ","FILING_STATUS=OR","EQY_CONSOLIDATED=Y","Sort=A","Dates=H","DateFormat=P","Fill=—","Direction=H","UseDPDF=Y")</f>
        <v>#NAME?</v>
      </c>
      <c r="BY462" s="3" t="e">
        <f ca="1">_xll.BDH($C$453,"SHORT_AND_LONG_TERM_DEBT","FQ4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62" s="3" t="e">
        <f ca="1">_xll.BDH($C$453,"BS_ST_BORROW","FQ4 2015","FQ4 2015","Currency=INR","Period=FQ","BEST_FPERIOD_OVERRIDE=FQ","FILING_STATUS=OR","EQY_CONSOLIDATED=Y","SCALING_FORMAT=MLN","Sort=A","Dates=H","DateFormat=P","Fill=—","Direction=H","UseDPDF=Y")</f>
        <v>#NAME?</v>
      </c>
      <c r="CA462" s="3" t="e">
        <f ca="1">_xll.BDH($C$453,"BS_LT_BORROW","FQ4 2015","FQ4 2015","Currency=INR","Period=FQ","BEST_FPERIOD_OVERRIDE=FQ","FILING_STATUS=OR","EQY_CONSOLIDATED=Y","SCALING_FORMAT=MLN","Sort=A","Dates=H","DateFormat=P","Fill=—","Direction=H","UseDPDF=Y")</f>
        <v>#NAME?</v>
      </c>
      <c r="CB462" s="2" t="e">
        <f ca="1">_xll.BDH($C$453,"TOT_DEBT_TO_EBITDA","FQ4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62" s="2" t="e">
        <f ca="1">_xll.BDH($C$453,"NET_DEBT_TO_EBITDA","FQ4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62" s="2" t="e">
        <f ca="1">_xll.BDH($C$453,"TOTAL_DEBT_TO_EBIT","FQ4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62" s="2" t="e">
        <f ca="1">_xll.BDH($C$453,"NET_DEBT_TO_EBIT","FQ4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462" s="2" t="e">
        <f ca="1">_xll.BDH($C$453,"EBITDA_TO_INTEREST_EXPN","FQ4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62" s="2" t="e">
        <f ca="1">_xll.BDH($C$453,"COM_EQY_TO_TOT_ASSET","FQ4 2015","FQ4 2015","Currency=INR","Period=FQ","BEST_FPERIOD_OVERRIDE=FQ","FILING_STATUS=OR","EQY_CONSOLIDATED=Y","Sort=A","Dates=H","DateFormat=P","Fill=—","Direction=H","UseDPDF=Y")</f>
        <v>#NAME?</v>
      </c>
      <c r="CH462" s="2" t="e">
        <f ca="1">_xll.BDH($C$453,"LT_DEBT_TO_TOT_EQY","FQ4 2015","FQ4 2015","Currency=INR","Period=FQ","BEST_FPERIOD_OVERRIDE=FQ","FILING_STATUS=OR","EQY_CONSOLIDATED=Y","Sort=A","Dates=H","DateFormat=P","Fill=—","Direction=H","UseDPDF=Y")</f>
        <v>#NAME?</v>
      </c>
      <c r="CI462" s="2" t="e">
        <f ca="1">_xll.BDH($C$453,"LT_DEBT_TO_TOT_CAP","FQ4 2015","FQ4 2015","Currency=INR","Period=FQ","BEST_FPERIOD_OVERRIDE=FQ","FILING_STATUS=OR","EQY_CONSOLIDATED=Y","Sort=A","Dates=H","DateFormat=P","Fill=—","Direction=H","UseDPDF=Y")</f>
        <v>#NAME?</v>
      </c>
      <c r="CJ462" s="2" t="e">
        <f ca="1">_xll.BDH($C$453,"LT_DEBT_TO_TOT_ASSET","FQ4 2015","FQ4 2015","Currency=INR","Period=FQ","BEST_FPERIOD_OVERRIDE=FQ","FILING_STATUS=OR","EQY_CONSOLIDATED=Y","Sort=A","Dates=H","DateFormat=P","Fill=—","Direction=H","UseDPDF=Y")</f>
        <v>#NAME?</v>
      </c>
      <c r="CK462" s="2" t="e">
        <f ca="1">_xll.BDH($C$453,"TOT_DEBT_TO_TOT_EQY","FQ4 2015","FQ4 2015","Currency=INR","Period=FQ","BEST_FPERIOD_OVERRIDE=FQ","FILING_STATUS=OR","EQY_CONSOLIDATED=Y","Sort=A","Dates=H","DateFormat=P","Fill=—","Direction=H","UseDPDF=Y")</f>
        <v>#NAME?</v>
      </c>
      <c r="CL462" s="2" t="e">
        <f ca="1">_xll.BDH($C$453,"TOT_DEBT_TO_TOT_CAP","FQ4 2015","FQ4 2015","Currency=INR","Period=FQ","BEST_FPERIOD_OVERRIDE=FQ","FILING_STATUS=OR","EQY_CONSOLIDATED=Y","Sort=A","Dates=H","DateFormat=P","Fill=—","Direction=H","UseDPDF=Y")</f>
        <v>#NAME?</v>
      </c>
      <c r="CM462" s="2" t="e">
        <f ca="1">_xll.BDH($C$453,"TOT_DEBT_TO_TOT_ASSET","FQ4 2015","FQ4 2015","Currency=INR","Period=FQ","BEST_FPERIOD_OVERRIDE=FQ","FILING_STATUS=OR","EQY_CONSOLIDATED=Y","Sort=A","Dates=H","DateFormat=P","Fill=—","Direction=H","UseDPDF=Y")</f>
        <v>#NAME?</v>
      </c>
      <c r="CN462" s="2" t="e">
        <f ca="1">_xll.BDH($C$453,"NET_DEBT_TO_SHRHLDR_EQTY","FQ4 2015","FQ4 2015","Currency=INR","Period=FQ","BEST_FPERIOD_OVERRIDE=FQ","FILING_STATUS=OR","EQY_CONSOLIDATED=Y","Sort=A","Dates=H","DateFormat=P","Fill=—","Direction=H","UseDPDF=Y")</f>
        <v>#NAME?</v>
      </c>
      <c r="CO462" s="2" t="e">
        <f ca="1">_xll.BDH($C$453,"NET_DEBT_%_CAPITAL","FQ4 2015","FQ4 2015","Currency=INR","Period=FQ","BEST_FPERIOD_OVERRIDE=FQ","FILING_STATUS=OR","EQY_CONSOLIDATED=Y","Sort=A","Dates=H","DateFormat=P","Fill=—","Direction=H","UseDPDF=Y")</f>
        <v>#NAME?</v>
      </c>
      <c r="CP462" s="3" t="e">
        <f ca="1">_xll.BDH($C$453,"EBITDA","FQ4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62" s="3" t="e">
        <f ca="1">_xll.BDH($C$453,"EBITDA_AFTER_CAPEX","FQ4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62" s="3" t="e">
        <f ca="1">_xll.BDH($C$453,"IS_OPER_INC","FQ4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62" s="2" t="e">
        <f ca="1">_xll.BDH($C$453,"CASH_RATIO","FQ4 2015","FQ4 2015","Currency=INR","Period=FQ","BEST_FPERIOD_OVERRIDE=FQ","FILING_STATUS=OR","EQY_CONSOLIDATED=Y","Sort=A","Dates=H","DateFormat=P","Fill=—","Direction=H","UseDPDF=Y")</f>
        <v>#NAME?</v>
      </c>
      <c r="CT462" s="2" t="e">
        <f ca="1">_xll.BDH($C$453,"CUR_RATIO","FQ4 2015","FQ4 2015","Currency=INR","Period=FQ","BEST_FPERIOD_OVERRIDE=FQ","FILING_STATUS=OR","EQY_CONSOLIDATED=Y","Sort=A","Dates=H","DateFormat=P","Fill=—","Direction=H","UseDPDF=Y")</f>
        <v>#NAME?</v>
      </c>
      <c r="CU462" s="2" t="e">
        <f ca="1">_xll.BDH($C$453,"QUICK_RATIO","FQ4 2015","FQ4 2015","Currency=INR","Period=FQ","BEST_FPERIOD_OVERRIDE=FQ","FILING_STATUS=OR","EQY_CONSOLIDATED=Y","Sort=A","Dates=H","DateFormat=P","Fill=—","Direction=H","UseDPDF=Y")</f>
        <v>#NAME?</v>
      </c>
      <c r="CV462" s="2" t="e">
        <f ca="1">_xll.BDH($C$453,"ALTMAN_Z_SCORE","FQ4 2015","FQ4 2015","Currency=INR","Period=FQ","BEST_FPERIOD_OVERRIDE=FQ","FILING_STATUS=OR","EQY_CONSOLIDATED=Y","Sort=A","Dates=H","DateFormat=P","Fill=—","Direction=H","UseDPDF=Y")</f>
        <v>#NAME?</v>
      </c>
      <c r="CW462" s="4" t="e">
        <f ca="1">_xll.BDH($C$453,"ACCT_RCV_TURN","FQ4 2015","FQ4 2015","Currency=INR","Period=FQ","BEST_FPERIOD_OVERRIDE=FQ","FILING_STATUS=OR","EQY_CONSOLIDATED=Y","FA_ADJUSTED=GAAP","Sort=A","Dates=H","DateFormat=P","Fill=—","Direction=H","UseDPDF=Y")</f>
        <v>#NAME?</v>
      </c>
      <c r="CX462" s="2" t="e">
        <f ca="1">_xll.BDH($C$453,"ACCT_RCV_DAYS","FQ4 2015","FQ4 2015","Currency=INR","Period=FQ","BEST_FPERIOD_OVERRIDE=FQ","FILING_STATUS=OR","EQY_CONSOLIDATED=Y","FA_ADJUSTED=GAAP","Sort=A","Dates=H","DateFormat=P","Fill=—","Direction=H","UseDPDF=Y")</f>
        <v>#NAME?</v>
      </c>
      <c r="CY462" s="4" t="e">
        <f ca="1">_xll.BDH($C$453,"INVENT_TURN","FQ4 2015","FQ4 2015","Currency=INR","Period=FQ","BEST_FPERIOD_OVERRIDE=FQ","FILING_STATUS=OR","EQY_CONSOLIDATED=Y","FA_ADJUSTED=GAAP","Sort=A","Dates=H","DateFormat=P","Fill=—","Direction=H","UseDPDF=Y")</f>
        <v>#NAME?</v>
      </c>
      <c r="CZ462" s="2" t="e">
        <f ca="1">_xll.BDH($C$453,"INVENT_DAYS","FQ4 2015","FQ4 2015","Currency=INR","Period=FQ","BEST_FPERIOD_OVERRIDE=FQ","FILING_STATUS=OR","EQY_CONSOLIDATED=Y","FA_ADJUSTED=GAAP","Sort=A","Dates=H","DateFormat=P","Fill=—","Direction=H","UseDPDF=Y")</f>
        <v>#NAME?</v>
      </c>
      <c r="DA462" s="4" t="e">
        <f ca="1">_xll.BDH($C$453,"ACCOUNTS_PAYABLE_TURNOVER","FQ4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62" s="2" t="e">
        <f ca="1">_xll.BDH($C$453,"ACCOUNTS_PAYABLE_TURNOVER_DAYS","FQ4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62" s="4" t="e">
        <f ca="1">_xll.BDH($C$453,"CASH_CONVERSION_CYCLE","FQ4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62" s="4" t="e">
        <f ca="1">_xll.BDH($C$453,"INV_TO_CASH_DAYS","FQ4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462" s="5" t="e">
        <f ca="1">_xll.BDH($C$453,"BS_INVENTORIES","FQ4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462" s="3" t="e">
        <f ca="1">_xll.BDH($C$453,"INVTRY_RAW_MATERIALS","FQ4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62" s="3" t="e">
        <f ca="1">_xll.BDH($C$453,"INVTRY_IN_PROGRESS","FQ4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62" s="3" t="e">
        <f ca="1">_xll.BDH($C$453,"INVTRY_FINISHED_GOODS","FQ4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62" s="3" t="e">
        <f ca="1">_xll.BDH($C$453,"BS_OTHER_INV","FQ4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63" spans="1:113" x14ac:dyDescent="0.3">
      <c r="A463" s="6"/>
      <c r="B463" s="6"/>
      <c r="C463" s="6"/>
      <c r="D463" s="6" t="s">
        <v>83</v>
      </c>
      <c r="E463" t="s">
        <v>77</v>
      </c>
      <c r="F463" t="e">
        <f ca="1">_xll.BDH($C$453,"RETURN_COM_EQY","FY 2016","FY 2016","Currency=INR","Period=FY","BEST_FPERIOD_OVERRIDE=FY","FILING_STATUS=OR","EQY_CONSOLIDATED=Y","FA_ADJUSTED=GAAP","Sort=A","Dates=H","DateFormat=P","Fill=—","Direction=H","UseDPDF=Y")</f>
        <v>#NAME?</v>
      </c>
      <c r="G463" t="e">
        <f ca="1">_xll.BDH($C$453,"RETURN_ON_ASSET","FY 2016","FY 2016","Currency=INR","Period=FY","BEST_FPERIOD_OVERRIDE=FY","FILING_STATUS=OR","EQY_CONSOLIDATED=Y","FA_ADJUSTED=GAAP","Sort=A","Dates=H","DateFormat=P","Fill=—","Direction=H","UseDPDF=Y")</f>
        <v>#NAME?</v>
      </c>
      <c r="H463" t="e">
        <f ca="1">_xll.BDH($C$453,"RETURN_ON_CAP","FY 2016","FY 2016","Currency=INR","Period=FY","BEST_FPERIOD_OVERRIDE=FY","FILING_STATUS=OR","EQY_CONSOLIDATED=Y","FA_ADJUSTED=GAAP","Sort=A","Dates=H","DateFormat=P","Fill=—","Direction=H","UseDPDF=Y")</f>
        <v>#NAME?</v>
      </c>
      <c r="I463" t="e">
        <f ca="1">_xll.BDH($C$453,"RETURN_ON_INV_CAPITAL","FY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63" t="e">
        <f ca="1">_xll.BDH($C$453,"EBITDA_TO_REVENUE","FY 2016","FY 2016","Currency=INR","Period=FY","BEST_FPERIOD_OVERRIDE=FY","FILING_STATUS=OR","EQY_CONSOLIDATED=Y","FA_ADJUSTED=GAAP","Sort=A","Dates=H","DateFormat=P","Fill=—","Direction=H","UseDPDF=Y")</f>
        <v>#NAME?</v>
      </c>
      <c r="K463" t="e">
        <f ca="1">_xll.BDH($C$453,"OPER_MARGIN","FY 2016","FY 2016","Currency=INR","Period=FY","BEST_FPERIOD_OVERRIDE=FY","FILING_STATUS=OR","EQY_CONSOLIDATED=Y","FA_ADJUSTED=GAAP","Sort=A","Dates=H","DateFormat=P","Fill=—","Direction=H","UseDPDF=Y")</f>
        <v>#NAME?</v>
      </c>
      <c r="L463" t="e">
        <f ca="1">_xll.BDH($C$453,"INCREMENTAL_OPERATING_MARGIN","FY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63" t="e">
        <f ca="1">_xll.BDH($C$453,"PRETAX_INC_TO_NET_SALES","FY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63" t="e">
        <f ca="1">_xll.BDH($C$453,"INC_BEF_XO_ITEMS_TO_NET_SALES","FY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63" t="e">
        <f ca="1">_xll.BDH($C$453,"PROF_MARGIN","FY 2016","FY 2016","Currency=INR","Period=FY","BEST_FPERIOD_OVERRIDE=FY","FILING_STATUS=OR","EQY_CONSOLIDATED=Y","FA_ADJUSTED=GAAP","Sort=A","Dates=H","DateFormat=P","Fill=—","Direction=H","UseDPDF=Y")</f>
        <v>#NAME?</v>
      </c>
      <c r="P463" t="e">
        <f ca="1">_xll.BDH($C$453,"NET_INCOME_TO_COMMON_MARGIN","FY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63" t="e">
        <f ca="1">_xll.BDH($C$453,"EFF_TAX_RATE","FY 2016","FY 2016","Currency=INR","Period=FY","BEST_FPERIOD_OVERRIDE=FY","FILING_STATUS=OR","EQY_CONSOLIDATED=Y","FA_ADJUSTED=GAAP","Sort=A","Dates=H","DateFormat=P","Fill=—","Direction=H","UseDPDF=Y")</f>
        <v>#NAME?</v>
      </c>
      <c r="R463" t="e">
        <f ca="1">_xll.BDH($C$453,"DVD_PAYOUT_RATIO","FY 2016","FY 2016","Currency=INR","Period=FY","BEST_FPERIOD_OVERRIDE=FY","FILING_STATUS=OR","EQY_CONSOLIDATED=Y","FA_ADJUSTED=GAAP","Sort=A","Dates=H","DateFormat=P","Fill=—","Direction=H","UseDPDF=Y")</f>
        <v>#NAME?</v>
      </c>
      <c r="S463" t="e">
        <f ca="1">_xll.BDH($C$453,"SUSTAIN_GROWTH_RT","FY 2016","FY 2016","Currency=INR","Period=FY","BEST_FPERIOD_OVERRIDE=FY","FILING_STATUS=OR","EQY_CONSOLIDATED=Y","FA_ADJUSTED=GAAP","Sort=A","Dates=H","DateFormat=P","Fill=—","Direction=H","UseDPDF=Y")</f>
        <v>#NAME?</v>
      </c>
      <c r="T463" s="2" t="e">
        <f ca="1">_xll.BDH($C$453,"SALES_GROWTH","FY 2016","FY 2016","Currency=INR","Period=FY","BEST_FPERIOD_OVERRIDE=FY","FILING_STATUS=OR","EQY_CONSOLIDATED=Y","FA_ADJUSTED=GAAP","Sort=A","Dates=H","DateFormat=P","Fill=—","Direction=H","UseDPDF=Y")</f>
        <v>#NAME?</v>
      </c>
      <c r="U463" s="2" t="e">
        <f ca="1">_xll.BDH($C$453,"EBITDA_GROWTH","FY 2016","FY 2016","Currency=INR","Period=FY","BEST_FPERIOD_OVERRIDE=FY","FILING_STATUS=OR","EQY_CONSOLIDATED=Y","FA_ADJUSTED=GAAP","Sort=A","Dates=H","DateFormat=P","Fill=—","Direction=H","UseDPDF=Y")</f>
        <v>#NAME?</v>
      </c>
      <c r="V463" s="2" t="e">
        <f ca="1">_xll.BDH($C$453,"OPER_INC_GROWTH","FY 2016","FY 2016","Currency=INR","Period=FY","BEST_FPERIOD_OVERRIDE=FY","FILING_STATUS=OR","EQY_CONSOLIDATED=Y","FA_ADJUSTED=GAAP","Sort=A","Dates=H","DateFormat=P","Fill=—","Direction=H","UseDPDF=Y")</f>
        <v>#NAME?</v>
      </c>
      <c r="W463" s="2" t="e">
        <f ca="1">_xll.BDH($C$453,"EARN_FOR_COM_GROWTH","FY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463" s="2" t="e">
        <f ca="1">_xll.BDH($C$453,"DILUTED_EPS_AFT_XO_ITEMS_GROWTH","FY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63" s="2" t="e">
        <f ca="1">_xll.BDH($C$453,"DIVIDEND_PER_SHARE_1_YEAR_GROWTH","FY 2016","FY 2016","Currency=INR","Period=FY","BEST_FPERIOD_OVERRIDE=FY","FILING_STATUS=OR","EQY_CONSOLIDATED=Y","Sort=A","Dates=H","DateFormat=P","Fill=—","Direction=H","UseDPDF=Y")</f>
        <v>#NAME?</v>
      </c>
      <c r="Z463" s="2" t="e">
        <f ca="1">_xll.BDH($C$453,"ACCOUNTS_RECEIVABLE_GROWTH","FY 2016","FY 2016","Currency=INR","Period=FY","BEST_FPERIOD_OVERRIDE=FY","FILING_STATUS=OR","EQY_CONSOLIDATED=Y","Sort=A","Dates=H","DateFormat=P","Fill=—","Direction=H","UseDPDF=Y")</f>
        <v>#NAME?</v>
      </c>
      <c r="AA463" s="2" t="e">
        <f ca="1">_xll.BDH($C$453,"INVENTORY_GROWTH","FY 2016","FY 2016","Currency=INR","Period=FY","BEST_FPERIOD_OVERRIDE=FY","FILING_STATUS=OR","EQY_CONSOLIDATED=Y","Sort=A","Dates=H","DateFormat=P","Fill=—","Direction=H","UseDPDF=Y")</f>
        <v>#NAME?</v>
      </c>
      <c r="AB463" s="2" t="e">
        <f ca="1">_xll.BDH($C$453,"NET_FIXED_ASSETS_1_YEAR_GROWTH","FY 2016","FY 2016","Currency=INR","Period=FY","BEST_FPERIOD_OVERRIDE=FY","FILING_STATUS=OR","EQY_CONSOLIDATED=Y","Sort=A","Dates=H","DateFormat=P","Fill=—","Direction=H","UseDPDF=Y")</f>
        <v>#NAME?</v>
      </c>
      <c r="AC463" s="2" t="e">
        <f ca="1">_xll.BDH($C$453,"ASSET_GROWTH","FY 2016","FY 2016","Currency=INR","Period=FY","BEST_FPERIOD_OVERRIDE=FY","FILING_STATUS=OR","EQY_CONSOLIDATED=Y","Sort=A","Dates=H","DateFormat=P","Fill=—","Direction=H","UseDPDF=Y")</f>
        <v>#NAME?</v>
      </c>
      <c r="AD463" s="2" t="e">
        <f ca="1">_xll.BDH($C$453,"MODIFIED_WORK_CAP_GROWTH","FY 2016","FY 2016","Currency=INR","Period=FY","BEST_FPERIOD_OVERRIDE=FY","FILING_STATUS=OR","EQY_CONSOLIDATED=Y","Sort=A","Dates=H","DateFormat=P","Fill=—","Direction=H","UseDPDF=Y")</f>
        <v>#NAME?</v>
      </c>
      <c r="AE463" s="2" t="e">
        <f ca="1">_xll.BDH($C$453,"WORK_CAP_GROWTH","FY 2016","FY 2016","Currency=INR","Period=FY","BEST_FPERIOD_OVERRIDE=FY","FILING_STATUS=OR","EQY_CONSOLIDATED=Y","Sort=A","Dates=H","DateFormat=P","Fill=—","Direction=H","UseDPDF=Y")</f>
        <v>#NAME?</v>
      </c>
      <c r="AF463" s="2" t="e">
        <f ca="1">_xll.BDH($C$453,"ACCOUNTS_PAYABLE_GROWTH_1YR","FY 2016","FY 2016","Currency=INR","Period=FY","BEST_FPERIOD_OVERRIDE=FY","FILING_STATUS=OR","EQY_CONSOLIDATED=Y","Sort=A","Dates=H","DateFormat=P","Fill=—","Direction=H","UseDPDF=Y")</f>
        <v>#NAME?</v>
      </c>
      <c r="AG463" s="2" t="e">
        <f ca="1">_xll.BDH($C$453,"SHORT_TERM_DEBT_1_YEAR_GROWTH","FY 2016","FY 2016","Currency=INR","Period=FY","BEST_FPERIOD_OVERRIDE=FY","FILING_STATUS=OR","EQY_CONSOLIDATED=Y","Sort=A","Dates=H","DateFormat=P","Fill=—","Direction=H","UseDPDF=Y")</f>
        <v>#NAME?</v>
      </c>
      <c r="AH463" s="2" t="e">
        <f ca="1">_xll.BDH($C$453,"TOTAL_DEBT_1_YEAR_GROWTH","FY 2016","FY 2016","Currency=INR","Period=FY","BEST_FPERIOD_OVERRIDE=FY","FILING_STATUS=OR","EQY_CONSOLIDATED=Y","Sort=A","Dates=H","DateFormat=P","Fill=—","Direction=H","UseDPDF=Y")</f>
        <v>#NAME?</v>
      </c>
      <c r="AI463" s="2" t="e">
        <f ca="1">_xll.BDH($C$453,"TOTAL_EQUITY_1_YEAR_GROWTH","FY 2016","FY 2016","Currency=INR","Period=FY","BEST_FPERIOD_OVERRIDE=FY","FILING_STATUS=OR","EQY_CONSOLIDATED=Y","Sort=A","Dates=H","DateFormat=P","Fill=—","Direction=H","UseDPDF=Y")</f>
        <v>#NAME?</v>
      </c>
      <c r="AJ463" s="2" t="e">
        <f ca="1">_xll.BDH($C$453,"GROWTH_IN_CAP","FY 2016","FY 2016","Currency=INR","Period=FY","BEST_FPERIOD_OVERRIDE=FY","FILING_STATUS=OR","EQY_CONSOLIDATED=Y","Sort=A","Dates=H","DateFormat=P","Fill=—","Direction=H","UseDPDF=Y")</f>
        <v>#NAME?</v>
      </c>
      <c r="AK463" s="2" t="e">
        <f ca="1">_xll.BDH($C$453,"BVPS_GROWTH","FY 2016","FY 2016","Currency=INR","Period=FY","BEST_FPERIOD_OVERRIDE=FY","FILING_STATUS=OR","EQY_CONSOLIDATED=Y","Sort=A","Dates=H","DateFormat=P","Fill=—","Direction=H","UseDPDF=Y")</f>
        <v>#NAME?</v>
      </c>
      <c r="AL463" s="2" t="e">
        <f ca="1">_xll.BDH($C$453,"CASH_FLOW_GROWTH","FY 2016","FY 2016","Currency=INR","Period=FY","BEST_FPERIOD_OVERRIDE=FY","FILING_STATUS=OR","EQY_CONSOLIDATED=Y","Sort=A","Dates=H","DateFormat=P","Fill=—","Direction=H","UseDPDF=Y")</f>
        <v>#NAME?</v>
      </c>
      <c r="AM463" s="2" t="e">
        <f ca="1">_xll.BDH($C$453,"GEO_GROW_NET_SALES","FY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463" s="2" t="e">
        <f ca="1">_xll.BDH($C$453,"GEO_GROW_EBITDA","FY 2016","FY 2016","Currency=INR","Period=FY","BEST_FPERIOD_OVERRIDE=FY","FILING_STATUS=OR","EQY_CONSOLIDATED=Y","FA_ADJUSTED=GAAP","Sort=A","Dates=H","DateFormat=P","Fill=—","Direction=H","UseDPDF=Y")</f>
        <v>#NAME?</v>
      </c>
      <c r="AO463" s="2" t="e">
        <f ca="1">_xll.BDH($C$453,"GEO_GROW_OPER_INC","FY 2016","FY 2016","Currency=INR","Period=FY","BEST_FPERIOD_OVERRIDE=FY","FILING_STATUS=OR","EQY_CONSOLIDATED=Y","FA_ADJUSTED=GAAP","Sort=A","Dates=H","DateFormat=P","Fill=—","Direction=H","UseDPDF=Y")</f>
        <v>#NAME?</v>
      </c>
      <c r="AP463" s="2" t="e">
        <f ca="1">_xll.BDH($C$453,"NET_INCOME_TO_COMMON_5_YR_GROWTH","FY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63" s="2" t="e">
        <f ca="1">_xll.BDH($C$453,"5Y_GEO_GROWTH_DILUTED_EPS","FY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63" s="2" t="e">
        <f ca="1">_xll.BDH($C$453,"GEO_GROW_DVD_PER_SH","FY 2016","FY 2016","Currency=INR","Period=FY","BEST_FPERIOD_OVERRIDE=FY","FILING_STATUS=OR","EQY_CONSOLIDATED=Y","Sort=A","Dates=H","DateFormat=P","Fill=—","Direction=H","UseDPDF=Y")</f>
        <v>#NAME?</v>
      </c>
      <c r="AS463" s="2" t="e">
        <f ca="1">_xll.BDH($C$453,"ACCOUNTS_RECEIVABLE_5_YR_GROWTH","FY 2016","FY 2016","Currency=INR","Period=FY","BEST_FPERIOD_OVERRIDE=FY","FILING_STATUS=OR","EQY_CONSOLIDATED=Y","Sort=A","Dates=H","DateFormat=P","Fill=—","Direction=H","UseDPDF=Y")</f>
        <v>#NAME?</v>
      </c>
      <c r="AT463" s="2" t="e">
        <f ca="1">_xll.BDH($C$453,"INVENTORY_5_YEAR_GROWTH","FY 2016","FY 2016","Currency=INR","Period=FY","BEST_FPERIOD_OVERRIDE=FY","FILING_STATUS=OR","EQY_CONSOLIDATED=Y","Sort=A","Dates=H","DateFormat=P","Fill=—","Direction=H","UseDPDF=Y")</f>
        <v>#NAME?</v>
      </c>
      <c r="AU463" s="2" t="e">
        <f ca="1">_xll.BDH($C$453,"NET_FIXED_ASSETS_5_YEAR_GROWTH","FY 2016","FY 2016","Currency=INR","Period=FY","BEST_FPERIOD_OVERRIDE=FY","FILING_STATUS=OR","EQY_CONSOLIDATED=Y","Sort=A","Dates=H","DateFormat=P","Fill=—","Direction=H","UseDPDF=Y")</f>
        <v>#NAME?</v>
      </c>
      <c r="AV463" s="2" t="e">
        <f ca="1">_xll.BDH($C$453,"GEO_GROW_TOT_ASSET","FY 2016","FY 2016","Currency=INR","Period=FY","BEST_FPERIOD_OVERRIDE=FY","FILING_STATUS=OR","EQY_CONSOLIDATED=Y","Sort=A","Dates=H","DateFormat=P","Fill=—","Direction=H","UseDPDF=Y")</f>
        <v>#NAME?</v>
      </c>
      <c r="AW463" s="2" t="e">
        <f ca="1">_xll.BDH($C$453,"MODIFIED_WORKING_CPTL_5YR_GRWTH","FY 2016","FY 2016","Currency=INR","Period=FY","BEST_FPERIOD_OVERRIDE=FY","FILING_STATUS=OR","EQY_CONSOLIDATED=Y","Sort=A","Dates=H","DateFormat=P","Fill=—","Direction=H","UseDPDF=Y")</f>
        <v>#NAME?</v>
      </c>
      <c r="AX463" s="2" t="e">
        <f ca="1">_xll.BDH($C$453,"WORKING_CAPITAL_5_YEAR_GROWTH","FY 2016","FY 2016","Currency=INR","Period=FY","BEST_FPERIOD_OVERRIDE=FY","FILING_STATUS=OR","EQY_CONSOLIDATED=Y","Sort=A","Dates=H","DateFormat=P","Fill=—","Direction=H","UseDPDF=Y")</f>
        <v>#NAME?</v>
      </c>
      <c r="AY463" s="2" t="e">
        <f ca="1">_xll.BDH($C$453,"ACCOUNTS_PAYABLE_5_YEAR_GROWTH","FY 2016","FY 2016","Currency=INR","Period=FY","BEST_FPERIOD_OVERRIDE=FY","FILING_STATUS=OR","EQY_CONSOLIDATED=Y","Sort=A","Dates=H","DateFormat=P","Fill=—","Direction=H","UseDPDF=Y")</f>
        <v>#NAME?</v>
      </c>
      <c r="AZ463" s="2" t="e">
        <f ca="1">_xll.BDH($C$453,"SHORT_TERM_DEBT_5_YEAR_GROWTH","FY 2016","FY 2016","Currency=INR","Period=FY","BEST_FPERIOD_OVERRIDE=FY","FILING_STATUS=OR","EQY_CONSOLIDATED=Y","Sort=A","Dates=H","DateFormat=P","Fill=—","Direction=H","UseDPDF=Y")</f>
        <v>#NAME?</v>
      </c>
      <c r="BA463" s="2" t="e">
        <f ca="1">_xll.BDH($C$453,"TOTAL_DEBT_5_YEAR_GROWTH","FY 2016","FY 2016","Currency=INR","Period=FY","BEST_FPERIOD_OVERRIDE=FY","FILING_STATUS=OR","EQY_CONSOLIDATED=Y","Sort=A","Dates=H","DateFormat=P","Fill=—","Direction=H","UseDPDF=Y")</f>
        <v>#NAME?</v>
      </c>
      <c r="BB463" s="2" t="e">
        <f ca="1">_xll.BDH($C$453,"GEO_GROW_TOT_SHRHLDR_EQY","FY 2016","FY 2016","Currency=INR","Period=FY","BEST_FPERIOD_OVERRIDE=FY","FILING_STATUS=OR","EQY_CONSOLIDATED=Y","Sort=A","Dates=H","DateFormat=P","Fill=—","Direction=H","UseDPDF=Y")</f>
        <v>#NAME?</v>
      </c>
      <c r="BC463" s="2" t="e">
        <f ca="1">_xll.BDH($C$453,"TOTAL_CAPITAL_5_YEAR_GROWTH","FY 2016","FY 2016","Currency=INR","Period=FY","BEST_FPERIOD_OVERRIDE=FY","FILING_STATUS=OR","EQY_CONSOLIDATED=Y","Sort=A","Dates=H","DateFormat=P","Fill=—","Direction=H","UseDPDF=Y")</f>
        <v>#NAME?</v>
      </c>
      <c r="BD463" s="2" t="e">
        <f ca="1">_xll.BDH($C$453,"GEO_GROW_BOOK_VAL","FY 2016","FY 2016","Currency=INR","Period=FY","BEST_FPERIOD_OVERRIDE=FY","FILING_STATUS=OR","EQY_CONSOLIDATED=Y","Sort=A","Dates=H","DateFormat=P","Fill=—","Direction=H","UseDPDF=Y")</f>
        <v>#NAME?</v>
      </c>
      <c r="BE463" s="2" t="e">
        <f ca="1">_xll.BDH($C$453,"GEO_GROW_CASH_OPER_ACT","FY 2016","FY 2016","Currency=INR","Period=FY","BEST_FPERIOD_OVERRIDE=FY","FILING_STATUS=OR","EQY_CONSOLIDATED=Y","Sort=A","Dates=H","DateFormat=P","Fill=—","Direction=H","UseDPDF=Y")</f>
        <v>#NAME?</v>
      </c>
      <c r="BF463" s="2" t="e">
        <f ca="1">_xll.BDH($C$453,"REVENUE_SEQUENTIAL_GROWTH","FY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63" s="2" t="e">
        <f ca="1">_xll.BDH($C$453,"EBITDA_SEQUENTIAL_GROWTH","FY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63" s="2" t="e">
        <f ca="1">_xll.BDH($C$453,"OPERATING_INCOME_SEQ_GROWTH","FY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63" s="2" t="e">
        <f ca="1">_xll.BDH($C$453,"NET_INCOME_TO_COMMON_SEQ_GROWTH","FY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63" s="2" t="e">
        <f ca="1">_xll.BDH($C$453,"EPS_DILUTED_SEQUENTIAL_GROWTH","FY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63" s="2" t="e">
        <f ca="1">_xll.BDH($C$453,"DPS_SEQUENTIAL_GROWTH","FY 2016","FY 2016","Currency=INR","Period=FY","BEST_FPERIOD_OVERRIDE=FY","FILING_STATUS=OR","EQY_CONSOLIDATED=Y","Sort=A","Dates=H","DateFormat=P","Fill=—","Direction=H","UseDPDF=Y")</f>
        <v>#NAME?</v>
      </c>
      <c r="BL463" s="2" t="e">
        <f ca="1">_xll.BDH($C$453,"ACCOUNTS_RECEIVABLE_SEQ_GROWTH","FY 2016","FY 2016","Currency=INR","Period=FY","BEST_FPERIOD_OVERRIDE=FY","FILING_STATUS=OR","EQY_CONSOLIDATED=Y","Sort=A","Dates=H","DateFormat=P","Fill=—","Direction=H","UseDPDF=Y")</f>
        <v>#NAME?</v>
      </c>
      <c r="BM463" s="2" t="e">
        <f ca="1">_xll.BDH($C$453,"INVENTORY_SEQUENTIAL_GROWTH","FY 2016","FY 2016","Currency=INR","Period=FY","BEST_FPERIOD_OVERRIDE=FY","FILING_STATUS=OR","EQY_CONSOLIDATED=Y","Sort=A","Dates=H","DateFormat=P","Fill=—","Direction=H","UseDPDF=Y")</f>
        <v>#NAME?</v>
      </c>
      <c r="BN463" s="2" t="e">
        <f ca="1">_xll.BDH($C$453,"FIXED_ASSETS_SEQUENTIAL_GROWTH","FY 2016","FY 2016","Currency=INR","Period=FY","BEST_FPERIOD_OVERRIDE=FY","FILING_STATUS=OR","EQY_CONSOLIDATED=Y","Sort=A","Dates=H","DateFormat=P","Fill=—","Direction=H","UseDPDF=Y")</f>
        <v>#NAME?</v>
      </c>
      <c r="BO463" s="2" t="e">
        <f ca="1">_xll.BDH($C$453,"TOTAL_ASSETS_SEQUENTIAL_GROWTH","FY 2016","FY 2016","Currency=INR","Period=FY","BEST_FPERIOD_OVERRIDE=FY","FILING_STATUS=OR","EQY_CONSOLIDATED=Y","Sort=A","Dates=H","DateFormat=P","Fill=—","Direction=H","UseDPDF=Y")</f>
        <v>#NAME?</v>
      </c>
      <c r="BP463" s="2" t="e">
        <f ca="1">_xll.BDH($C$453,"MODIFIED_WORKING_CPTL_SEQ_GRWTH","FY 2016","FY 2016","Currency=INR","Period=FY","BEST_FPERIOD_OVERRIDE=FY","FILING_STATUS=OR","EQY_CONSOLIDATED=Y","Sort=A","Dates=H","DateFormat=P","Fill=—","Direction=H","UseDPDF=Y")</f>
        <v>#NAME?</v>
      </c>
      <c r="BQ463" s="2" t="e">
        <f ca="1">_xll.BDH($C$453,"WORKING_CAPITAL_SEQ_GROWTH","FY 2016","FY 2016","Currency=INR","Period=FY","BEST_FPERIOD_OVERRIDE=FY","FILING_STATUS=OR","EQY_CONSOLIDATED=Y","Sort=A","Dates=H","DateFormat=P","Fill=—","Direction=H","UseDPDF=Y")</f>
        <v>#NAME?</v>
      </c>
      <c r="BR463" s="2" t="e">
        <f ca="1">_xll.BDH($C$453,"ACCOUNTS_PAYABLE_SEQ_GROWTH","FY 2016","FY 2016","Currency=INR","Period=FY","BEST_FPERIOD_OVERRIDE=FY","FILING_STATUS=OR","EQY_CONSOLIDATED=Y","Sort=A","Dates=H","DateFormat=P","Fill=—","Direction=H","UseDPDF=Y")</f>
        <v>#NAME?</v>
      </c>
      <c r="BS463" s="2" t="e">
        <f ca="1">_xll.BDH($C$453,"ST_DEBT_SEQUENTIAL_GROWTH","FY 2016","FY 2016","Currency=INR","Period=FY","BEST_FPERIOD_OVERRIDE=FY","FILING_STATUS=OR","EQY_CONSOLIDATED=Y","Sort=A","Dates=H","DateFormat=P","Fill=—","Direction=H","UseDPDF=Y")</f>
        <v>#NAME?</v>
      </c>
      <c r="BT463" s="2" t="e">
        <f ca="1">_xll.BDH($C$453,"TOTAL_DEBT_SEQUENTIAL_GROWTH","FY 2016","FY 2016","Currency=INR","Period=FY","BEST_FPERIOD_OVERRIDE=FY","FILING_STATUS=OR","EQY_CONSOLIDATED=Y","Sort=A","Dates=H","DateFormat=P","Fill=—","Direction=H","UseDPDF=Y")</f>
        <v>#NAME?</v>
      </c>
      <c r="BU463" s="2" t="e">
        <f ca="1">_xll.BDH($C$453,"TOTAL_EQUITY_SEQUENTIAL_GROWTH","FY 2016","FY 2016","Currency=INR","Period=FY","BEST_FPERIOD_OVERRIDE=FY","FILING_STATUS=OR","EQY_CONSOLIDATED=Y","Sort=A","Dates=H","DateFormat=P","Fill=—","Direction=H","UseDPDF=Y")</f>
        <v>#NAME?</v>
      </c>
      <c r="BV463" s="2" t="e">
        <f ca="1">_xll.BDH($C$453,"TOTAL_CAPITAL_SEQUENTIAL_GROWTH","FY 2016","FY 2016","Currency=INR","Period=FY","BEST_FPERIOD_OVERRIDE=FY","FILING_STATUS=OR","EQY_CONSOLIDATED=Y","Sort=A","Dates=H","DateFormat=P","Fill=—","Direction=H","UseDPDF=Y")</f>
        <v>#NAME?</v>
      </c>
      <c r="BW463" s="2" t="e">
        <f ca="1">_xll.BDH($C$453,"BPS_SEQUENTIAL_GROWTH","FY 2016","FY 2016","Currency=INR","Period=FY","BEST_FPERIOD_OVERRIDE=FY","FILING_STATUS=OR","EQY_CONSOLIDATED=Y","Sort=A","Dates=H","DateFormat=P","Fill=—","Direction=H","UseDPDF=Y")</f>
        <v>#NAME?</v>
      </c>
      <c r="BX463" s="2" t="e">
        <f ca="1">_xll.BDH($C$453,"CFO_SEQUENTIAL_GROWTH","FY 2016","FY 2016","Currency=INR","Period=FY","BEST_FPERIOD_OVERRIDE=FY","FILING_STATUS=OR","EQY_CONSOLIDATED=Y","Sort=A","Dates=H","DateFormat=P","Fill=—","Direction=H","UseDPDF=Y")</f>
        <v>#NAME?</v>
      </c>
      <c r="BY463" s="3" t="e">
        <f ca="1">_xll.BDH($C$453,"SHORT_AND_LONG_TERM_DEBT","FY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63" s="3" t="e">
        <f ca="1">_xll.BDH($C$453,"BS_ST_BORROW","FY 2016","FY 2016","Currency=INR","Period=FY","BEST_FPERIOD_OVERRIDE=FY","FILING_STATUS=OR","EQY_CONSOLIDATED=Y","SCALING_FORMAT=MLN","Sort=A","Dates=H","DateFormat=P","Fill=—","Direction=H","UseDPDF=Y")</f>
        <v>#NAME?</v>
      </c>
      <c r="CA463" s="3" t="e">
        <f ca="1">_xll.BDH($C$453,"BS_LT_BORROW","FY 2016","FY 2016","Currency=INR","Period=FY","BEST_FPERIOD_OVERRIDE=FY","FILING_STATUS=OR","EQY_CONSOLIDATED=Y","SCALING_FORMAT=MLN","Sort=A","Dates=H","DateFormat=P","Fill=—","Direction=H","UseDPDF=Y")</f>
        <v>#NAME?</v>
      </c>
      <c r="CB463" s="2" t="e">
        <f ca="1">_xll.BDH($C$453,"TOT_DEBT_TO_EBITDA","FY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463" s="2" t="e">
        <f ca="1">_xll.BDH($C$453,"NET_DEBT_TO_EBITDA","FY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463" s="2" t="e">
        <f ca="1">_xll.BDH($C$453,"TOTAL_DEBT_TO_EBIT","FY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463" s="2" t="e">
        <f ca="1">_xll.BDH($C$453,"NET_DEBT_TO_EBIT","FY 2016","FY 2016","Currency=INR","Period=FY","BEST_FPERIOD_OVERRIDE=FY","FILING_STATUS=OR","EQY_CONSOLIDATED=Y","FA_ADJUSTED=GAAP","Sort=A","Dates=H","DateFormat=P","Fill=—","Direction=H","UseDPDF=Y")</f>
        <v>#NAME?</v>
      </c>
      <c r="CF463" s="2" t="e">
        <f ca="1">_xll.BDH($C$453,"EBITDA_TO_INTEREST_EXPN","FY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63" s="2" t="e">
        <f ca="1">_xll.BDH($C$453,"COM_EQY_TO_TOT_ASSET","FY 2016","FY 2016","Currency=INR","Period=FY","BEST_FPERIOD_OVERRIDE=FY","FILING_STATUS=OR","EQY_CONSOLIDATED=Y","Sort=A","Dates=H","DateFormat=P","Fill=—","Direction=H","UseDPDF=Y")</f>
        <v>#NAME?</v>
      </c>
      <c r="CH463" s="2" t="e">
        <f ca="1">_xll.BDH($C$453,"LT_DEBT_TO_TOT_EQY","FY 2016","FY 2016","Currency=INR","Period=FY","BEST_FPERIOD_OVERRIDE=FY","FILING_STATUS=OR","EQY_CONSOLIDATED=Y","Sort=A","Dates=H","DateFormat=P","Fill=—","Direction=H","UseDPDF=Y")</f>
        <v>#NAME?</v>
      </c>
      <c r="CI463" s="2" t="e">
        <f ca="1">_xll.BDH($C$453,"LT_DEBT_TO_TOT_CAP","FY 2016","FY 2016","Currency=INR","Period=FY","BEST_FPERIOD_OVERRIDE=FY","FILING_STATUS=OR","EQY_CONSOLIDATED=Y","Sort=A","Dates=H","DateFormat=P","Fill=—","Direction=H","UseDPDF=Y")</f>
        <v>#NAME?</v>
      </c>
      <c r="CJ463" s="2" t="e">
        <f ca="1">_xll.BDH($C$453,"LT_DEBT_TO_TOT_ASSET","FY 2016","FY 2016","Currency=INR","Period=FY","BEST_FPERIOD_OVERRIDE=FY","FILING_STATUS=OR","EQY_CONSOLIDATED=Y","Sort=A","Dates=H","DateFormat=P","Fill=—","Direction=H","UseDPDF=Y")</f>
        <v>#NAME?</v>
      </c>
      <c r="CK463" s="2" t="e">
        <f ca="1">_xll.BDH($C$453,"TOT_DEBT_TO_TOT_EQY","FY 2016","FY 2016","Currency=INR","Period=FY","BEST_FPERIOD_OVERRIDE=FY","FILING_STATUS=OR","EQY_CONSOLIDATED=Y","Sort=A","Dates=H","DateFormat=P","Fill=—","Direction=H","UseDPDF=Y")</f>
        <v>#NAME?</v>
      </c>
      <c r="CL463" s="2" t="e">
        <f ca="1">_xll.BDH($C$453,"TOT_DEBT_TO_TOT_CAP","FY 2016","FY 2016","Currency=INR","Period=FY","BEST_FPERIOD_OVERRIDE=FY","FILING_STATUS=OR","EQY_CONSOLIDATED=Y","Sort=A","Dates=H","DateFormat=P","Fill=—","Direction=H","UseDPDF=Y")</f>
        <v>#NAME?</v>
      </c>
      <c r="CM463" s="2" t="e">
        <f ca="1">_xll.BDH($C$453,"TOT_DEBT_TO_TOT_ASSET","FY 2016","FY 2016","Currency=INR","Period=FY","BEST_FPERIOD_OVERRIDE=FY","FILING_STATUS=OR","EQY_CONSOLIDATED=Y","Sort=A","Dates=H","DateFormat=P","Fill=—","Direction=H","UseDPDF=Y")</f>
        <v>#NAME?</v>
      </c>
      <c r="CN463" s="2" t="e">
        <f ca="1">_xll.BDH($C$453,"NET_DEBT_TO_SHRHLDR_EQTY","FY 2016","FY 2016","Currency=INR","Period=FY","BEST_FPERIOD_OVERRIDE=FY","FILING_STATUS=OR","EQY_CONSOLIDATED=Y","Sort=A","Dates=H","DateFormat=P","Fill=—","Direction=H","UseDPDF=Y")</f>
        <v>#NAME?</v>
      </c>
      <c r="CO463" s="2" t="e">
        <f ca="1">_xll.BDH($C$453,"NET_DEBT_%_CAPITAL","FY 2016","FY 2016","Currency=INR","Period=FY","BEST_FPERIOD_OVERRIDE=FY","FILING_STATUS=OR","EQY_CONSOLIDATED=Y","Sort=A","Dates=H","DateFormat=P","Fill=—","Direction=H","UseDPDF=Y")</f>
        <v>#NAME?</v>
      </c>
      <c r="CP463" s="3" t="e">
        <f ca="1">_xll.BDH($C$453,"EBITDA","FY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63" s="3" t="e">
        <f ca="1">_xll.BDH($C$453,"EBITDA_AFTER_CAPEX","FY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63" s="3" t="e">
        <f ca="1">_xll.BDH($C$453,"IS_OPER_INC","FY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63" s="2" t="e">
        <f ca="1">_xll.BDH($C$453,"CASH_RATIO","FY 2016","FY 2016","Currency=INR","Period=FY","BEST_FPERIOD_OVERRIDE=FY","FILING_STATUS=OR","EQY_CONSOLIDATED=Y","Sort=A","Dates=H","DateFormat=P","Fill=—","Direction=H","UseDPDF=Y")</f>
        <v>#NAME?</v>
      </c>
      <c r="CT463" s="2" t="e">
        <f ca="1">_xll.BDH($C$453,"CUR_RATIO","FY 2016","FY 2016","Currency=INR","Period=FY","BEST_FPERIOD_OVERRIDE=FY","FILING_STATUS=OR","EQY_CONSOLIDATED=Y","Sort=A","Dates=H","DateFormat=P","Fill=—","Direction=H","UseDPDF=Y")</f>
        <v>#NAME?</v>
      </c>
      <c r="CU463" s="2" t="e">
        <f ca="1">_xll.BDH($C$453,"QUICK_RATIO","FY 2016","FY 2016","Currency=INR","Period=FY","BEST_FPERIOD_OVERRIDE=FY","FILING_STATUS=OR","EQY_CONSOLIDATED=Y","Sort=A","Dates=H","DateFormat=P","Fill=—","Direction=H","UseDPDF=Y")</f>
        <v>#NAME?</v>
      </c>
      <c r="CV463" s="2" t="e">
        <f ca="1">_xll.BDH($C$453,"ALTMAN_Z_SCORE","FY 2016","FY 2016","Currency=INR","Period=FY","BEST_FPERIOD_OVERRIDE=FY","FILING_STATUS=OR","EQY_CONSOLIDATED=Y","Sort=A","Dates=H","DateFormat=P","Fill=—","Direction=H","UseDPDF=Y")</f>
        <v>#NAME?</v>
      </c>
      <c r="CW463" s="4" t="e">
        <f ca="1">_xll.BDH($C$453,"ACCT_RCV_TURN","FY 2016","FY 2016","Currency=INR","Period=FY","BEST_FPERIOD_OVERRIDE=FY","FILING_STATUS=OR","EQY_CONSOLIDATED=Y","FA_ADJUSTED=GAAP","Sort=A","Dates=H","DateFormat=P","Fill=—","Direction=H","UseDPDF=Y")</f>
        <v>#NAME?</v>
      </c>
      <c r="CX463" s="2" t="e">
        <f ca="1">_xll.BDH($C$453,"ACCT_RCV_DAYS","FY 2016","FY 2016","Currency=INR","Period=FY","BEST_FPERIOD_OVERRIDE=FY","FILING_STATUS=OR","EQY_CONSOLIDATED=Y","FA_ADJUSTED=GAAP","Sort=A","Dates=H","DateFormat=P","Fill=—","Direction=H","UseDPDF=Y")</f>
        <v>#NAME?</v>
      </c>
      <c r="CY463" s="4" t="e">
        <f ca="1">_xll.BDH($C$453,"INVENT_TURN","FY 2016","FY 2016","Currency=INR","Period=FY","BEST_FPERIOD_OVERRIDE=FY","FILING_STATUS=OR","EQY_CONSOLIDATED=Y","FA_ADJUSTED=GAAP","Sort=A","Dates=H","DateFormat=P","Fill=—","Direction=H","UseDPDF=Y")</f>
        <v>#NAME?</v>
      </c>
      <c r="CZ463" s="2" t="e">
        <f ca="1">_xll.BDH($C$453,"INVENT_DAYS","FY 2016","FY 2016","Currency=INR","Period=FY","BEST_FPERIOD_OVERRIDE=FY","FILING_STATUS=OR","EQY_CONSOLIDATED=Y","FA_ADJUSTED=GAAP","Sort=A","Dates=H","DateFormat=P","Fill=—","Direction=H","UseDPDF=Y")</f>
        <v>#NAME?</v>
      </c>
      <c r="DA463" s="4" t="e">
        <f ca="1">_xll.BDH($C$453,"ACCOUNTS_PAYABLE_TURNOVER","FY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63" s="2" t="e">
        <f ca="1">_xll.BDH($C$453,"ACCOUNTS_PAYABLE_TURNOVER_DAYS","FY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63" s="4" t="e">
        <f ca="1">_xll.BDH($C$453,"CASH_CONVERSION_CYCLE","FY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63" s="4" t="e">
        <f ca="1">_xll.BDH($C$453,"INV_TO_CASH_DAYS","FY 2016","FY 2016","Currency=INR","Period=FY","BEST_FPERIOD_OVERRIDE=FY","FILING_STATUS=OR","EQY_CONSOLIDATED=Y","FA_ADJUSTED=GAAP","Sort=A","Dates=H","DateFormat=P","Fill=—","Direction=H","UseDPDF=Y")</f>
        <v>#NAME?</v>
      </c>
      <c r="DE463" s="5" t="e">
        <f ca="1">_xll.BDH($C$453,"BS_INVENTORIES","FY 2016","FY 2016","Currency=INR","Period=FY","BEST_FPERIOD_OVERRIDE=FY","FILING_STATUS=OR","EQY_CONSOLIDATED=Y","SCALING_FORMAT=MLN","Sort=A","Dates=H","DateFormat=P","Fill=—","Direction=H","UseDPDF=Y")</f>
        <v>#NAME?</v>
      </c>
      <c r="DF463" s="3" t="e">
        <f ca="1">_xll.BDH($C$453,"INVTRY_RAW_MATERIALS","FY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63" s="3" t="e">
        <f ca="1">_xll.BDH($C$453,"INVTRY_IN_PROGRESS","FY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63" s="3" t="e">
        <f ca="1">_xll.BDH($C$453,"INVTRY_FINISHED_GOODS","FY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63" s="3" t="e">
        <f ca="1">_xll.BDH($C$453,"BS_OTHER_INV","FY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64" spans="1:113" x14ac:dyDescent="0.3">
      <c r="A464" s="6"/>
      <c r="B464" s="6"/>
      <c r="C464" s="6"/>
      <c r="D464" s="6"/>
      <c r="E464" t="s">
        <v>78</v>
      </c>
      <c r="F464" t="e">
        <f ca="1">_xll.BDH($C$453,"RETURN_COM_EQY","FQ1 2016","FQ1 2016","Currency=INR","Period=FQ","BEST_FPERIOD_OVERRIDE=FQ","FILING_STATUS=OR","EQY_CONSOLIDATED=Y","FA_ADJUSTED=GAAP","Sort=A","Dates=H","DateFormat=P","Fill=—","Direction=H","UseDPDF=Y")</f>
        <v>#NAME?</v>
      </c>
      <c r="G464" t="e">
        <f ca="1">_xll.BDH($C$453,"RETURN_ON_ASSET","FQ1 2016","FQ1 2016","Currency=INR","Period=FQ","BEST_FPERIOD_OVERRIDE=FQ","FILING_STATUS=OR","EQY_CONSOLIDATED=Y","FA_ADJUSTED=GAAP","Sort=A","Dates=H","DateFormat=P","Fill=—","Direction=H","UseDPDF=Y")</f>
        <v>#NAME?</v>
      </c>
      <c r="H464" t="e">
        <f ca="1">_xll.BDH($C$453,"RETURN_ON_CAP","FQ1 2016","FQ1 2016","Currency=INR","Period=FQ","BEST_FPERIOD_OVERRIDE=FQ","FILING_STATUS=OR","EQY_CONSOLIDATED=Y","FA_ADJUSTED=GAAP","Sort=A","Dates=H","DateFormat=P","Fill=—","Direction=H","UseDPDF=Y")</f>
        <v>#NAME?</v>
      </c>
      <c r="I464" t="e">
        <f ca="1">_xll.BDH($C$453,"RETURN_ON_INV_CAPITAL","FQ1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64" t="e">
        <f ca="1">_xll.BDH($C$453,"EBITDA_TO_REVENUE","FQ1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464" t="e">
        <f ca="1">_xll.BDH($C$453,"OPER_MARGIN","FQ1 2016","FQ1 2016","Currency=INR","Period=FQ","BEST_FPERIOD_OVERRIDE=FQ","FILING_STATUS=OR","EQY_CONSOLIDATED=Y","FA_ADJUSTED=GAAP","Sort=A","Dates=H","DateFormat=P","Fill=—","Direction=H","UseDPDF=Y")</f>
        <v>#NAME?</v>
      </c>
      <c r="L464" t="e">
        <f ca="1">_xll.BDH($C$453,"INCREMENTAL_OPERATING_MARGIN","FQ1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64" t="e">
        <f ca="1">_xll.BDH($C$453,"PRETAX_INC_TO_NET_SALES","FQ1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64" t="e">
        <f ca="1">_xll.BDH($C$453,"INC_BEF_XO_ITEMS_TO_NET_SALES","FQ1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64" t="e">
        <f ca="1">_xll.BDH($C$453,"PROF_MARGIN","FQ1 2016","FQ1 2016","Currency=INR","Period=FQ","BEST_FPERIOD_OVERRIDE=FQ","FILING_STATUS=OR","EQY_CONSOLIDATED=Y","FA_ADJUSTED=GAAP","Sort=A","Dates=H","DateFormat=P","Fill=—","Direction=H","UseDPDF=Y")</f>
        <v>#NAME?</v>
      </c>
      <c r="P464" t="e">
        <f ca="1">_xll.BDH($C$453,"NET_INCOME_TO_COMMON_MARGIN","FQ1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64" t="e">
        <f ca="1">_xll.BDH($C$453,"EFF_TAX_RATE","FQ1 2016","FQ1 2016","Currency=INR","Period=FQ","BEST_FPERIOD_OVERRIDE=FQ","FILING_STATUS=OR","EQY_CONSOLIDATED=Y","FA_ADJUSTED=GAAP","Sort=A","Dates=H","DateFormat=P","Fill=—","Direction=H","UseDPDF=Y")</f>
        <v>#NAME?</v>
      </c>
      <c r="R464" t="e">
        <f ca="1">_xll.BDH($C$453,"DVD_PAYOUT_RATIO","FQ1 2016","FQ1 2016","Currency=INR","Period=FQ","BEST_FPERIOD_OVERRIDE=FQ","FILING_STATUS=OR","EQY_CONSOLIDATED=Y","FA_ADJUSTED=GAAP","Sort=A","Dates=H","DateFormat=P","Fill=—","Direction=H","UseDPDF=Y")</f>
        <v>#NAME?</v>
      </c>
      <c r="S464" t="e">
        <f ca="1">_xll.BDH($C$453,"SUSTAIN_GROWTH_RT","FQ1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464" s="2" t="e">
        <f ca="1">_xll.BDH($C$453,"SALES_GROWTH","FQ1 2016","FQ1 2016","Currency=INR","Period=FQ","BEST_FPERIOD_OVERRIDE=FQ","FILING_STATUS=OR","EQY_CONSOLIDATED=Y","FA_ADJUSTED=GAAP","Sort=A","Dates=H","DateFormat=P","Fill=—","Direction=H","UseDPDF=Y")</f>
        <v>#NAME?</v>
      </c>
      <c r="U464" s="2" t="e">
        <f ca="1">_xll.BDH($C$453,"EBITDA_GROWTH","FQ1 2016","FQ1 2016","Currency=INR","Period=FQ","BEST_FPERIOD_OVERRIDE=FQ","FILING_STATUS=OR","EQY_CONSOLIDATED=Y","FA_ADJUSTED=GAAP","Sort=A","Dates=H","DateFormat=P","Fill=—","Direction=H","UseDPDF=Y")</f>
        <v>#NAME?</v>
      </c>
      <c r="V464" s="2" t="e">
        <f ca="1">_xll.BDH($C$453,"OPER_INC_GROWTH","FQ1 2016","FQ1 2016","Currency=INR","Period=FQ","BEST_FPERIOD_OVERRIDE=FQ","FILING_STATUS=OR","EQY_CONSOLIDATED=Y","FA_ADJUSTED=GAAP","Sort=A","Dates=H","DateFormat=P","Fill=—","Direction=H","UseDPDF=Y")</f>
        <v>#NAME?</v>
      </c>
      <c r="W464" s="2" t="e">
        <f ca="1">_xll.BDH($C$453,"EARN_FOR_COM_GROWTH","FQ1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64" s="2" t="e">
        <f ca="1">_xll.BDH($C$453,"DILUTED_EPS_AFT_XO_ITEMS_GROWTH","FQ1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64" s="2" t="e">
        <f ca="1">_xll.BDH($C$453,"DIVIDEND_PER_SHARE_1_YEAR_GROWTH","FQ1 2016","FQ1 2016","Currency=INR","Period=FQ","BEST_FPERIOD_OVERRIDE=FQ","FILING_STATUS=OR","EQY_CONSOLIDATED=Y","Sort=A","Dates=H","DateFormat=P","Fill=—","Direction=H","UseDPDF=Y")</f>
        <v>#NAME?</v>
      </c>
      <c r="Z464" s="2" t="e">
        <f ca="1">_xll.BDH($C$453,"ACCOUNTS_RECEIVABLE_GROWTH","FQ1 2016","FQ1 2016","Currency=INR","Period=FQ","BEST_FPERIOD_OVERRIDE=FQ","FILING_STATUS=OR","EQY_CONSOLIDATED=Y","Sort=A","Dates=H","DateFormat=P","Fill=—","Direction=H","UseDPDF=Y")</f>
        <v>#NAME?</v>
      </c>
      <c r="AA464" s="2" t="e">
        <f ca="1">_xll.BDH($C$453,"INVENTORY_GROWTH","FQ1 2016","FQ1 2016","Currency=INR","Period=FQ","BEST_FPERIOD_OVERRIDE=FQ","FILING_STATUS=OR","EQY_CONSOLIDATED=Y","Sort=A","Dates=H","DateFormat=P","Fill=—","Direction=H","UseDPDF=Y")</f>
        <v>#NAME?</v>
      </c>
      <c r="AB464" s="2" t="e">
        <f ca="1">_xll.BDH($C$453,"NET_FIXED_ASSETS_1_YEAR_GROWTH","FQ1 2016","FQ1 2016","Currency=INR","Period=FQ","BEST_FPERIOD_OVERRIDE=FQ","FILING_STATUS=OR","EQY_CONSOLIDATED=Y","Sort=A","Dates=H","DateFormat=P","Fill=—","Direction=H","UseDPDF=Y")</f>
        <v>#NAME?</v>
      </c>
      <c r="AC464" s="2" t="e">
        <f ca="1">_xll.BDH($C$453,"ASSET_GROWTH","FQ1 2016","FQ1 2016","Currency=INR","Period=FQ","BEST_FPERIOD_OVERRIDE=FQ","FILING_STATUS=OR","EQY_CONSOLIDATED=Y","Sort=A","Dates=H","DateFormat=P","Fill=—","Direction=H","UseDPDF=Y")</f>
        <v>#NAME?</v>
      </c>
      <c r="AD464" s="2" t="e">
        <f ca="1">_xll.BDH($C$453,"MODIFIED_WORK_CAP_GROWTH","FQ1 2016","FQ1 2016","Currency=INR","Period=FQ","BEST_FPERIOD_OVERRIDE=FQ","FILING_STATUS=OR","EQY_CONSOLIDATED=Y","Sort=A","Dates=H","DateFormat=P","Fill=—","Direction=H","UseDPDF=Y")</f>
        <v>#NAME?</v>
      </c>
      <c r="AE464" s="2" t="e">
        <f ca="1">_xll.BDH($C$453,"WORK_CAP_GROWTH","FQ1 2016","FQ1 2016","Currency=INR","Period=FQ","BEST_FPERIOD_OVERRIDE=FQ","FILING_STATUS=OR","EQY_CONSOLIDATED=Y","Sort=A","Dates=H","DateFormat=P","Fill=—","Direction=H","UseDPDF=Y")</f>
        <v>#NAME?</v>
      </c>
      <c r="AF464" s="2" t="e">
        <f ca="1">_xll.BDH($C$453,"ACCOUNTS_PAYABLE_GROWTH_1YR","FQ1 2016","FQ1 2016","Currency=INR","Period=FQ","BEST_FPERIOD_OVERRIDE=FQ","FILING_STATUS=OR","EQY_CONSOLIDATED=Y","Sort=A","Dates=H","DateFormat=P","Fill=—","Direction=H","UseDPDF=Y")</f>
        <v>#NAME?</v>
      </c>
      <c r="AG464" s="2" t="e">
        <f ca="1">_xll.BDH($C$453,"SHORT_TERM_DEBT_1_YEAR_GROWTH","FQ1 2016","FQ1 2016","Currency=INR","Period=FQ","BEST_FPERIOD_OVERRIDE=FQ","FILING_STATUS=OR","EQY_CONSOLIDATED=Y","Sort=A","Dates=H","DateFormat=P","Fill=—","Direction=H","UseDPDF=Y")</f>
        <v>#NAME?</v>
      </c>
      <c r="AH464" s="2" t="e">
        <f ca="1">_xll.BDH($C$453,"TOTAL_DEBT_1_YEAR_GROWTH","FQ1 2016","FQ1 2016","Currency=INR","Period=FQ","BEST_FPERIOD_OVERRIDE=FQ","FILING_STATUS=OR","EQY_CONSOLIDATED=Y","Sort=A","Dates=H","DateFormat=P","Fill=—","Direction=H","UseDPDF=Y")</f>
        <v>#NAME?</v>
      </c>
      <c r="AI464" s="2" t="e">
        <f ca="1">_xll.BDH($C$453,"TOTAL_EQUITY_1_YEAR_GROWTH","FQ1 2016","FQ1 2016","Currency=INR","Period=FQ","BEST_FPERIOD_OVERRIDE=FQ","FILING_STATUS=OR","EQY_CONSOLIDATED=Y","Sort=A","Dates=H","DateFormat=P","Fill=—","Direction=H","UseDPDF=Y")</f>
        <v>#NAME?</v>
      </c>
      <c r="AJ464" s="2" t="e">
        <f ca="1">_xll.BDH($C$453,"GROWTH_IN_CAP","FQ1 2016","FQ1 2016","Currency=INR","Period=FQ","BEST_FPERIOD_OVERRIDE=FQ","FILING_STATUS=OR","EQY_CONSOLIDATED=Y","Sort=A","Dates=H","DateFormat=P","Fill=—","Direction=H","UseDPDF=Y")</f>
        <v>#NAME?</v>
      </c>
      <c r="AK464" s="2" t="e">
        <f ca="1">_xll.BDH($C$453,"BVPS_GROWTH","FQ1 2016","FQ1 2016","Currency=INR","Period=FQ","BEST_FPERIOD_OVERRIDE=FQ","FILING_STATUS=OR","EQY_CONSOLIDATED=Y","Sort=A","Dates=H","DateFormat=P","Fill=—","Direction=H","UseDPDF=Y")</f>
        <v>#NAME?</v>
      </c>
      <c r="AL464" s="2" t="e">
        <f ca="1">_xll.BDH($C$453,"CASH_FLOW_GROWTH","FQ1 2016","FQ1 2016","Currency=INR","Period=FQ","BEST_FPERIOD_OVERRIDE=FQ","FILING_STATUS=OR","EQY_CONSOLIDATED=Y","Sort=A","Dates=H","DateFormat=P","Fill=—","Direction=H","UseDPDF=Y")</f>
        <v>#NAME?</v>
      </c>
      <c r="AM464" s="2" t="e">
        <f ca="1">_xll.BDH($C$453,"GEO_GROW_NET_SALES","FQ1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64" s="2" t="e">
        <f ca="1">_xll.BDH($C$453,"GEO_GROW_EBITDA","FQ1 2016","FQ1 2016","Currency=INR","Period=FQ","BEST_FPERIOD_OVERRIDE=FQ","FILING_STATUS=OR","EQY_CONSOLIDATED=Y","FA_ADJUSTED=GAAP","Sort=A","Dates=H","DateFormat=P","Fill=—","Direction=H","UseDPDF=Y")</f>
        <v>#NAME?</v>
      </c>
      <c r="AO464" s="2" t="e">
        <f ca="1">_xll.BDH($C$453,"GEO_GROW_OPER_INC","FQ1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64" s="2" t="e">
        <f ca="1">_xll.BDH($C$453,"NET_INCOME_TO_COMMON_5_YR_GROWTH","FQ1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64" s="2" t="e">
        <f ca="1">_xll.BDH($C$453,"5Y_GEO_GROWTH_DILUTED_EPS","FQ1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64" s="2" t="e">
        <f ca="1">_xll.BDH($C$453,"GEO_GROW_DVD_PER_SH","FQ1 2016","FQ1 2016","Currency=INR","Period=FQ","BEST_FPERIOD_OVERRIDE=FQ","FILING_STATUS=OR","EQY_CONSOLIDATED=Y","Sort=A","Dates=H","DateFormat=P","Fill=—","Direction=H","UseDPDF=Y")</f>
        <v>#NAME?</v>
      </c>
      <c r="AS464" s="2" t="e">
        <f ca="1">_xll.BDH($C$453,"ACCOUNTS_RECEIVABLE_5_YR_GROWTH","FQ1 2016","FQ1 2016","Currency=INR","Period=FQ","BEST_FPERIOD_OVERRIDE=FQ","FILING_STATUS=OR","EQY_CONSOLIDATED=Y","Sort=A","Dates=H","DateFormat=P","Fill=—","Direction=H","UseDPDF=Y")</f>
        <v>#NAME?</v>
      </c>
      <c r="AT464" s="2" t="e">
        <f ca="1">_xll.BDH($C$453,"INVENTORY_5_YEAR_GROWTH","FQ1 2016","FQ1 2016","Currency=INR","Period=FQ","BEST_FPERIOD_OVERRIDE=FQ","FILING_STATUS=OR","EQY_CONSOLIDATED=Y","Sort=A","Dates=H","DateFormat=P","Fill=—","Direction=H","UseDPDF=Y")</f>
        <v>#NAME?</v>
      </c>
      <c r="AU464" s="2" t="e">
        <f ca="1">_xll.BDH($C$453,"NET_FIXED_ASSETS_5_YEAR_GROWTH","FQ1 2016","FQ1 2016","Currency=INR","Period=FQ","BEST_FPERIOD_OVERRIDE=FQ","FILING_STATUS=OR","EQY_CONSOLIDATED=Y","Sort=A","Dates=H","DateFormat=P","Fill=—","Direction=H","UseDPDF=Y")</f>
        <v>#NAME?</v>
      </c>
      <c r="AV464" s="2" t="e">
        <f ca="1">_xll.BDH($C$453,"GEO_GROW_TOT_ASSET","FQ1 2016","FQ1 2016","Currency=INR","Period=FQ","BEST_FPERIOD_OVERRIDE=FQ","FILING_STATUS=OR","EQY_CONSOLIDATED=Y","Sort=A","Dates=H","DateFormat=P","Fill=—","Direction=H","UseDPDF=Y")</f>
        <v>#NAME?</v>
      </c>
      <c r="AW464" s="2" t="e">
        <f ca="1">_xll.BDH($C$453,"MODIFIED_WORKING_CPTL_5YR_GRWTH","FQ1 2016","FQ1 2016","Currency=INR","Period=FQ","BEST_FPERIOD_OVERRIDE=FQ","FILING_STATUS=OR","EQY_CONSOLIDATED=Y","Sort=A","Dates=H","DateFormat=P","Fill=—","Direction=H","UseDPDF=Y")</f>
        <v>#NAME?</v>
      </c>
      <c r="AX464" s="2" t="e">
        <f ca="1">_xll.BDH($C$453,"WORKING_CAPITAL_5_YEAR_GROWTH","FQ1 2016","FQ1 2016","Currency=INR","Period=FQ","BEST_FPERIOD_OVERRIDE=FQ","FILING_STATUS=OR","EQY_CONSOLIDATED=Y","Sort=A","Dates=H","DateFormat=P","Fill=—","Direction=H","UseDPDF=Y")</f>
        <v>#NAME?</v>
      </c>
      <c r="AY464" s="2" t="e">
        <f ca="1">_xll.BDH($C$453,"ACCOUNTS_PAYABLE_5_YEAR_GROWTH","FQ1 2016","FQ1 2016","Currency=INR","Period=FQ","BEST_FPERIOD_OVERRIDE=FQ","FILING_STATUS=OR","EQY_CONSOLIDATED=Y","Sort=A","Dates=H","DateFormat=P","Fill=—","Direction=H","UseDPDF=Y")</f>
        <v>#NAME?</v>
      </c>
      <c r="AZ464" s="2" t="e">
        <f ca="1">_xll.BDH($C$453,"SHORT_TERM_DEBT_5_YEAR_GROWTH","FQ1 2016","FQ1 2016","Currency=INR","Period=FQ","BEST_FPERIOD_OVERRIDE=FQ","FILING_STATUS=OR","EQY_CONSOLIDATED=Y","Sort=A","Dates=H","DateFormat=P","Fill=—","Direction=H","UseDPDF=Y")</f>
        <v>#NAME?</v>
      </c>
      <c r="BA464" s="2" t="e">
        <f ca="1">_xll.BDH($C$453,"TOTAL_DEBT_5_YEAR_GROWTH","FQ1 2016","FQ1 2016","Currency=INR","Period=FQ","BEST_FPERIOD_OVERRIDE=FQ","FILING_STATUS=OR","EQY_CONSOLIDATED=Y","Sort=A","Dates=H","DateFormat=P","Fill=—","Direction=H","UseDPDF=Y")</f>
        <v>#NAME?</v>
      </c>
      <c r="BB464" s="2" t="e">
        <f ca="1">_xll.BDH($C$453,"GEO_GROW_TOT_SHRHLDR_EQY","FQ1 2016","FQ1 2016","Currency=INR","Period=FQ","BEST_FPERIOD_OVERRIDE=FQ","FILING_STATUS=OR","EQY_CONSOLIDATED=Y","Sort=A","Dates=H","DateFormat=P","Fill=—","Direction=H","UseDPDF=Y")</f>
        <v>#NAME?</v>
      </c>
      <c r="BC464" s="2" t="e">
        <f ca="1">_xll.BDH($C$453,"TOTAL_CAPITAL_5_YEAR_GROWTH","FQ1 2016","FQ1 2016","Currency=INR","Period=FQ","BEST_FPERIOD_OVERRIDE=FQ","FILING_STATUS=OR","EQY_CONSOLIDATED=Y","Sort=A","Dates=H","DateFormat=P","Fill=—","Direction=H","UseDPDF=Y")</f>
        <v>#NAME?</v>
      </c>
      <c r="BD464" s="2" t="e">
        <f ca="1">_xll.BDH($C$453,"GEO_GROW_BOOK_VAL","FQ1 2016","FQ1 2016","Currency=INR","Period=FQ","BEST_FPERIOD_OVERRIDE=FQ","FILING_STATUS=OR","EQY_CONSOLIDATED=Y","Sort=A","Dates=H","DateFormat=P","Fill=—","Direction=H","UseDPDF=Y")</f>
        <v>#NAME?</v>
      </c>
      <c r="BE464" s="2" t="e">
        <f ca="1">_xll.BDH($C$453,"GEO_GROW_CASH_OPER_ACT","FQ1 2016","FQ1 2016","Currency=INR","Period=FQ","BEST_FPERIOD_OVERRIDE=FQ","FILING_STATUS=OR","EQY_CONSOLIDATED=Y","Sort=A","Dates=H","DateFormat=P","Fill=—","Direction=H","UseDPDF=Y")</f>
        <v>#NAME?</v>
      </c>
      <c r="BF464" s="2" t="e">
        <f ca="1">_xll.BDH($C$453,"REVENUE_SEQUENTIAL_GROWTH","FQ1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64" s="2" t="e">
        <f ca="1">_xll.BDH($C$453,"EBITDA_SEQUENTIAL_GROWTH","FQ1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64" s="2" t="e">
        <f ca="1">_xll.BDH($C$453,"OPERATING_INCOME_SEQ_GROWTH","FQ1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64" s="2" t="e">
        <f ca="1">_xll.BDH($C$453,"NET_INCOME_TO_COMMON_SEQ_GROWTH","FQ1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64" s="2" t="e">
        <f ca="1">_xll.BDH($C$453,"EPS_DILUTED_SEQUENTIAL_GROWTH","FQ1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64" s="2" t="e">
        <f ca="1">_xll.BDH($C$453,"DPS_SEQUENTIAL_GROWTH","FQ1 2016","FQ1 2016","Currency=INR","Period=FQ","BEST_FPERIOD_OVERRIDE=FQ","FILING_STATUS=OR","EQY_CONSOLIDATED=Y","Sort=A","Dates=H","DateFormat=P","Fill=—","Direction=H","UseDPDF=Y")</f>
        <v>#NAME?</v>
      </c>
      <c r="BL464" s="2" t="e">
        <f ca="1">_xll.BDH($C$453,"ACCOUNTS_RECEIVABLE_SEQ_GROWTH","FQ1 2016","FQ1 2016","Currency=INR","Period=FQ","BEST_FPERIOD_OVERRIDE=FQ","FILING_STATUS=OR","EQY_CONSOLIDATED=Y","Sort=A","Dates=H","DateFormat=P","Fill=—","Direction=H","UseDPDF=Y")</f>
        <v>#NAME?</v>
      </c>
      <c r="BM464" s="2" t="e">
        <f ca="1">_xll.BDH($C$453,"INVENTORY_SEQUENTIAL_GROWTH","FQ1 2016","FQ1 2016","Currency=INR","Period=FQ","BEST_FPERIOD_OVERRIDE=FQ","FILING_STATUS=OR","EQY_CONSOLIDATED=Y","Sort=A","Dates=H","DateFormat=P","Fill=—","Direction=H","UseDPDF=Y")</f>
        <v>#NAME?</v>
      </c>
      <c r="BN464" s="2" t="e">
        <f ca="1">_xll.BDH($C$453,"FIXED_ASSETS_SEQUENTIAL_GROWTH","FQ1 2016","FQ1 2016","Currency=INR","Period=FQ","BEST_FPERIOD_OVERRIDE=FQ","FILING_STATUS=OR","EQY_CONSOLIDATED=Y","Sort=A","Dates=H","DateFormat=P","Fill=—","Direction=H","UseDPDF=Y")</f>
        <v>#NAME?</v>
      </c>
      <c r="BO464" s="2" t="e">
        <f ca="1">_xll.BDH($C$453,"TOTAL_ASSETS_SEQUENTIAL_GROWTH","FQ1 2016","FQ1 2016","Currency=INR","Period=FQ","BEST_FPERIOD_OVERRIDE=FQ","FILING_STATUS=OR","EQY_CONSOLIDATED=Y","Sort=A","Dates=H","DateFormat=P","Fill=—","Direction=H","UseDPDF=Y")</f>
        <v>#NAME?</v>
      </c>
      <c r="BP464" s="2" t="e">
        <f ca="1">_xll.BDH($C$453,"MODIFIED_WORKING_CPTL_SEQ_GRWTH","FQ1 2016","FQ1 2016","Currency=INR","Period=FQ","BEST_FPERIOD_OVERRIDE=FQ","FILING_STATUS=OR","EQY_CONSOLIDATED=Y","Sort=A","Dates=H","DateFormat=P","Fill=—","Direction=H","UseDPDF=Y")</f>
        <v>#NAME?</v>
      </c>
      <c r="BQ464" s="2" t="e">
        <f ca="1">_xll.BDH($C$453,"WORKING_CAPITAL_SEQ_GROWTH","FQ1 2016","FQ1 2016","Currency=INR","Period=FQ","BEST_FPERIOD_OVERRIDE=FQ","FILING_STATUS=OR","EQY_CONSOLIDATED=Y","Sort=A","Dates=H","DateFormat=P","Fill=—","Direction=H","UseDPDF=Y")</f>
        <v>#NAME?</v>
      </c>
      <c r="BR464" s="2" t="e">
        <f ca="1">_xll.BDH($C$453,"ACCOUNTS_PAYABLE_SEQ_GROWTH","FQ1 2016","FQ1 2016","Currency=INR","Period=FQ","BEST_FPERIOD_OVERRIDE=FQ","FILING_STATUS=OR","EQY_CONSOLIDATED=Y","Sort=A","Dates=H","DateFormat=P","Fill=—","Direction=H","UseDPDF=Y")</f>
        <v>#NAME?</v>
      </c>
      <c r="BS464" s="2" t="e">
        <f ca="1">_xll.BDH($C$453,"ST_DEBT_SEQUENTIAL_GROWTH","FQ1 2016","FQ1 2016","Currency=INR","Period=FQ","BEST_FPERIOD_OVERRIDE=FQ","FILING_STATUS=OR","EQY_CONSOLIDATED=Y","Sort=A","Dates=H","DateFormat=P","Fill=—","Direction=H","UseDPDF=Y")</f>
        <v>#NAME?</v>
      </c>
      <c r="BT464" s="2" t="e">
        <f ca="1">_xll.BDH($C$453,"TOTAL_DEBT_SEQUENTIAL_GROWTH","FQ1 2016","FQ1 2016","Currency=INR","Period=FQ","BEST_FPERIOD_OVERRIDE=FQ","FILING_STATUS=OR","EQY_CONSOLIDATED=Y","Sort=A","Dates=H","DateFormat=P","Fill=—","Direction=H","UseDPDF=Y")</f>
        <v>#NAME?</v>
      </c>
      <c r="BU464" s="2" t="e">
        <f ca="1">_xll.BDH($C$453,"TOTAL_EQUITY_SEQUENTIAL_GROWTH","FQ1 2016","FQ1 2016","Currency=INR","Period=FQ","BEST_FPERIOD_OVERRIDE=FQ","FILING_STATUS=OR","EQY_CONSOLIDATED=Y","Sort=A","Dates=H","DateFormat=P","Fill=—","Direction=H","UseDPDF=Y")</f>
        <v>#NAME?</v>
      </c>
      <c r="BV464" s="2" t="e">
        <f ca="1">_xll.BDH($C$453,"TOTAL_CAPITAL_SEQUENTIAL_GROWTH","FQ1 2016","FQ1 2016","Currency=INR","Period=FQ","BEST_FPERIOD_OVERRIDE=FQ","FILING_STATUS=OR","EQY_CONSOLIDATED=Y","Sort=A","Dates=H","DateFormat=P","Fill=—","Direction=H","UseDPDF=Y")</f>
        <v>#NAME?</v>
      </c>
      <c r="BW464" s="2" t="e">
        <f ca="1">_xll.BDH($C$453,"BPS_SEQUENTIAL_GROWTH","FQ1 2016","FQ1 2016","Currency=INR","Period=FQ","BEST_FPERIOD_OVERRIDE=FQ","FILING_STATUS=OR","EQY_CONSOLIDATED=Y","Sort=A","Dates=H","DateFormat=P","Fill=—","Direction=H","UseDPDF=Y")</f>
        <v>#NAME?</v>
      </c>
      <c r="BX464" s="2" t="e">
        <f ca="1">_xll.BDH($C$453,"CFO_SEQUENTIAL_GROWTH","FQ1 2016","FQ1 2016","Currency=INR","Period=FQ","BEST_FPERIOD_OVERRIDE=FQ","FILING_STATUS=OR","EQY_CONSOLIDATED=Y","Sort=A","Dates=H","DateFormat=P","Fill=—","Direction=H","UseDPDF=Y")</f>
        <v>#NAME?</v>
      </c>
      <c r="BY464" s="3" t="e">
        <f ca="1">_xll.BDH($C$453,"SHORT_AND_LONG_TERM_DEBT","FQ1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64" s="3" t="e">
        <f ca="1">_xll.BDH($C$453,"BS_ST_BORROW","FQ1 2016","FQ1 2016","Currency=INR","Period=FQ","BEST_FPERIOD_OVERRIDE=FQ","FILING_STATUS=OR","EQY_CONSOLIDATED=Y","SCALING_FORMAT=MLN","Sort=A","Dates=H","DateFormat=P","Fill=—","Direction=H","UseDPDF=Y")</f>
        <v>#NAME?</v>
      </c>
      <c r="CA464" s="3" t="e">
        <f ca="1">_xll.BDH($C$453,"BS_LT_BORROW","FQ1 2016","FQ1 2016","Currency=INR","Period=FQ","BEST_FPERIOD_OVERRIDE=FQ","FILING_STATUS=OR","EQY_CONSOLIDATED=Y","SCALING_FORMAT=MLN","Sort=A","Dates=H","DateFormat=P","Fill=—","Direction=H","UseDPDF=Y")</f>
        <v>#NAME?</v>
      </c>
      <c r="CB464" s="2" t="e">
        <f ca="1">_xll.BDH($C$453,"TOT_DEBT_TO_EBITDA","FQ1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64" s="2" t="e">
        <f ca="1">_xll.BDH($C$453,"NET_DEBT_TO_EBITDA","FQ1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64" s="2" t="e">
        <f ca="1">_xll.BDH($C$453,"TOTAL_DEBT_TO_EBIT","FQ1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64" s="2" t="e">
        <f ca="1">_xll.BDH($C$453,"NET_DEBT_TO_EBIT","FQ1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464" s="2" t="e">
        <f ca="1">_xll.BDH($C$453,"EBITDA_TO_INTEREST_EXPN","FQ1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64" s="2" t="e">
        <f ca="1">_xll.BDH($C$453,"COM_EQY_TO_TOT_ASSET","FQ1 2016","FQ1 2016","Currency=INR","Period=FQ","BEST_FPERIOD_OVERRIDE=FQ","FILING_STATUS=OR","EQY_CONSOLIDATED=Y","Sort=A","Dates=H","DateFormat=P","Fill=—","Direction=H","UseDPDF=Y")</f>
        <v>#NAME?</v>
      </c>
      <c r="CH464" s="2" t="e">
        <f ca="1">_xll.BDH($C$453,"LT_DEBT_TO_TOT_EQY","FQ1 2016","FQ1 2016","Currency=INR","Period=FQ","BEST_FPERIOD_OVERRIDE=FQ","FILING_STATUS=OR","EQY_CONSOLIDATED=Y","Sort=A","Dates=H","DateFormat=P","Fill=—","Direction=H","UseDPDF=Y")</f>
        <v>#NAME?</v>
      </c>
      <c r="CI464" s="2" t="e">
        <f ca="1">_xll.BDH($C$453,"LT_DEBT_TO_TOT_CAP","FQ1 2016","FQ1 2016","Currency=INR","Period=FQ","BEST_FPERIOD_OVERRIDE=FQ","FILING_STATUS=OR","EQY_CONSOLIDATED=Y","Sort=A","Dates=H","DateFormat=P","Fill=—","Direction=H","UseDPDF=Y")</f>
        <v>#NAME?</v>
      </c>
      <c r="CJ464" s="2" t="e">
        <f ca="1">_xll.BDH($C$453,"LT_DEBT_TO_TOT_ASSET","FQ1 2016","FQ1 2016","Currency=INR","Period=FQ","BEST_FPERIOD_OVERRIDE=FQ","FILING_STATUS=OR","EQY_CONSOLIDATED=Y","Sort=A","Dates=H","DateFormat=P","Fill=—","Direction=H","UseDPDF=Y")</f>
        <v>#NAME?</v>
      </c>
      <c r="CK464" s="2" t="e">
        <f ca="1">_xll.BDH($C$453,"TOT_DEBT_TO_TOT_EQY","FQ1 2016","FQ1 2016","Currency=INR","Period=FQ","BEST_FPERIOD_OVERRIDE=FQ","FILING_STATUS=OR","EQY_CONSOLIDATED=Y","Sort=A","Dates=H","DateFormat=P","Fill=—","Direction=H","UseDPDF=Y")</f>
        <v>#NAME?</v>
      </c>
      <c r="CL464" s="2" t="e">
        <f ca="1">_xll.BDH($C$453,"TOT_DEBT_TO_TOT_CAP","FQ1 2016","FQ1 2016","Currency=INR","Period=FQ","BEST_FPERIOD_OVERRIDE=FQ","FILING_STATUS=OR","EQY_CONSOLIDATED=Y","Sort=A","Dates=H","DateFormat=P","Fill=—","Direction=H","UseDPDF=Y")</f>
        <v>#NAME?</v>
      </c>
      <c r="CM464" s="2" t="e">
        <f ca="1">_xll.BDH($C$453,"TOT_DEBT_TO_TOT_ASSET","FQ1 2016","FQ1 2016","Currency=INR","Period=FQ","BEST_FPERIOD_OVERRIDE=FQ","FILING_STATUS=OR","EQY_CONSOLIDATED=Y","Sort=A","Dates=H","DateFormat=P","Fill=—","Direction=H","UseDPDF=Y")</f>
        <v>#NAME?</v>
      </c>
      <c r="CN464" s="2" t="e">
        <f ca="1">_xll.BDH($C$453,"NET_DEBT_TO_SHRHLDR_EQTY","FQ1 2016","FQ1 2016","Currency=INR","Period=FQ","BEST_FPERIOD_OVERRIDE=FQ","FILING_STATUS=OR","EQY_CONSOLIDATED=Y","Sort=A","Dates=H","DateFormat=P","Fill=—","Direction=H","UseDPDF=Y")</f>
        <v>#NAME?</v>
      </c>
      <c r="CO464" s="2" t="e">
        <f ca="1">_xll.BDH($C$453,"NET_DEBT_%_CAPITAL","FQ1 2016","FQ1 2016","Currency=INR","Period=FQ","BEST_FPERIOD_OVERRIDE=FQ","FILING_STATUS=OR","EQY_CONSOLIDATED=Y","Sort=A","Dates=H","DateFormat=P","Fill=—","Direction=H","UseDPDF=Y")</f>
        <v>#NAME?</v>
      </c>
      <c r="CP464" s="3" t="e">
        <f ca="1">_xll.BDH($C$453,"EBITDA","FQ1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64" s="3" t="e">
        <f ca="1">_xll.BDH($C$453,"EBITDA_AFTER_CAPEX","FQ1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64" s="3" t="e">
        <f ca="1">_xll.BDH($C$453,"IS_OPER_INC","FQ1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64" s="2" t="e">
        <f ca="1">_xll.BDH($C$453,"CASH_RATIO","FQ1 2016","FQ1 2016","Currency=INR","Period=FQ","BEST_FPERIOD_OVERRIDE=FQ","FILING_STATUS=OR","EQY_CONSOLIDATED=Y","Sort=A","Dates=H","DateFormat=P","Fill=—","Direction=H","UseDPDF=Y")</f>
        <v>#NAME?</v>
      </c>
      <c r="CT464" s="2" t="e">
        <f ca="1">_xll.BDH($C$453,"CUR_RATIO","FQ1 2016","FQ1 2016","Currency=INR","Period=FQ","BEST_FPERIOD_OVERRIDE=FQ","FILING_STATUS=OR","EQY_CONSOLIDATED=Y","Sort=A","Dates=H","DateFormat=P","Fill=—","Direction=H","UseDPDF=Y")</f>
        <v>#NAME?</v>
      </c>
      <c r="CU464" s="2" t="e">
        <f ca="1">_xll.BDH($C$453,"QUICK_RATIO","FQ1 2016","FQ1 2016","Currency=INR","Period=FQ","BEST_FPERIOD_OVERRIDE=FQ","FILING_STATUS=OR","EQY_CONSOLIDATED=Y","Sort=A","Dates=H","DateFormat=P","Fill=—","Direction=H","UseDPDF=Y")</f>
        <v>#NAME?</v>
      </c>
      <c r="CV464" s="2" t="e">
        <f ca="1">_xll.BDH($C$453,"ALTMAN_Z_SCORE","FQ1 2016","FQ1 2016","Currency=INR","Period=FQ","BEST_FPERIOD_OVERRIDE=FQ","FILING_STATUS=OR","EQY_CONSOLIDATED=Y","Sort=A","Dates=H","DateFormat=P","Fill=—","Direction=H","UseDPDF=Y")</f>
        <v>#NAME?</v>
      </c>
      <c r="CW464" s="4" t="e">
        <f ca="1">_xll.BDH($C$453,"ACCT_RCV_TURN","FQ1 2016","FQ1 2016","Currency=INR","Period=FQ","BEST_FPERIOD_OVERRIDE=FQ","FILING_STATUS=OR","EQY_CONSOLIDATED=Y","FA_ADJUSTED=GAAP","Sort=A","Dates=H","DateFormat=P","Fill=—","Direction=H","UseDPDF=Y")</f>
        <v>#NAME?</v>
      </c>
      <c r="CX464" s="2" t="e">
        <f ca="1">_xll.BDH($C$453,"ACCT_RCV_DAYS","FQ1 2016","FQ1 2016","Currency=INR","Period=FQ","BEST_FPERIOD_OVERRIDE=FQ","FILING_STATUS=OR","EQY_CONSOLIDATED=Y","FA_ADJUSTED=GAAP","Sort=A","Dates=H","DateFormat=P","Fill=—","Direction=H","UseDPDF=Y")</f>
        <v>#NAME?</v>
      </c>
      <c r="CY464" s="4" t="e">
        <f ca="1">_xll.BDH($C$453,"INVENT_TURN","FQ1 2016","FQ1 2016","Currency=INR","Period=FQ","BEST_FPERIOD_OVERRIDE=FQ","FILING_STATUS=OR","EQY_CONSOLIDATED=Y","FA_ADJUSTED=GAAP","Sort=A","Dates=H","DateFormat=P","Fill=—","Direction=H","UseDPDF=Y")</f>
        <v>#NAME?</v>
      </c>
      <c r="CZ464" s="2" t="e">
        <f ca="1">_xll.BDH($C$453,"INVENT_DAYS","FQ1 2016","FQ1 2016","Currency=INR","Period=FQ","BEST_FPERIOD_OVERRIDE=FQ","FILING_STATUS=OR","EQY_CONSOLIDATED=Y","FA_ADJUSTED=GAAP","Sort=A","Dates=H","DateFormat=P","Fill=—","Direction=H","UseDPDF=Y")</f>
        <v>#NAME?</v>
      </c>
      <c r="DA464" s="4" t="e">
        <f ca="1">_xll.BDH($C$453,"ACCOUNTS_PAYABLE_TURNOVER","FQ1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64" s="2" t="e">
        <f ca="1">_xll.BDH($C$453,"ACCOUNTS_PAYABLE_TURNOVER_DAYS","FQ1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64" s="4" t="e">
        <f ca="1">_xll.BDH($C$453,"CASH_CONVERSION_CYCLE","FQ1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64" s="4" t="e">
        <f ca="1">_xll.BDH($C$453,"INV_TO_CASH_DAYS","FQ1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464" s="5" t="e">
        <f ca="1">_xll.BDH($C$453,"BS_INVENTORIES","FQ1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464" s="3" t="e">
        <f ca="1">_xll.BDH($C$453,"INVTRY_RAW_MATERIALS","FQ1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64" s="3" t="e">
        <f ca="1">_xll.BDH($C$453,"INVTRY_IN_PROGRESS","FQ1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64" s="3" t="e">
        <f ca="1">_xll.BDH($C$453,"INVTRY_FINISHED_GOODS","FQ1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64" s="3" t="e">
        <f ca="1">_xll.BDH($C$453,"BS_OTHER_INV","FQ1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65" spans="1:113" x14ac:dyDescent="0.3">
      <c r="A465" s="6"/>
      <c r="B465" s="6"/>
      <c r="C465" s="6"/>
      <c r="D465" s="6"/>
      <c r="E465" t="s">
        <v>79</v>
      </c>
      <c r="F465" t="e">
        <f ca="1">_xll.BDH($C$453,"RETURN_COM_EQY","FQ2 2016","FQ2 2016","Currency=INR","Period=FQ","BEST_FPERIOD_OVERRIDE=FQ","FILING_STATUS=OR","EQY_CONSOLIDATED=Y","FA_ADJUSTED=GAAP","Sort=A","Dates=H","DateFormat=P","Fill=—","Direction=H","UseDPDF=Y")</f>
        <v>#NAME?</v>
      </c>
      <c r="G465" t="e">
        <f ca="1">_xll.BDH($C$453,"RETURN_ON_ASSET","FQ2 2016","FQ2 2016","Currency=INR","Period=FQ","BEST_FPERIOD_OVERRIDE=FQ","FILING_STATUS=OR","EQY_CONSOLIDATED=Y","FA_ADJUSTED=GAAP","Sort=A","Dates=H","DateFormat=P","Fill=—","Direction=H","UseDPDF=Y")</f>
        <v>#NAME?</v>
      </c>
      <c r="H465" t="e">
        <f ca="1">_xll.BDH($C$453,"RETURN_ON_CAP","FQ2 2016","FQ2 2016","Currency=INR","Period=FQ","BEST_FPERIOD_OVERRIDE=FQ","FILING_STATUS=OR","EQY_CONSOLIDATED=Y","FA_ADJUSTED=GAAP","Sort=A","Dates=H","DateFormat=P","Fill=—","Direction=H","UseDPDF=Y")</f>
        <v>#NAME?</v>
      </c>
      <c r="I465" t="e">
        <f ca="1">_xll.BDH($C$453,"RETURN_ON_INV_CAPITAL","FQ2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65" t="e">
        <f ca="1">_xll.BDH($C$453,"EBITDA_TO_REVENUE","FQ2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465" t="e">
        <f ca="1">_xll.BDH($C$453,"OPER_MARGIN","FQ2 2016","FQ2 2016","Currency=INR","Period=FQ","BEST_FPERIOD_OVERRIDE=FQ","FILING_STATUS=OR","EQY_CONSOLIDATED=Y","FA_ADJUSTED=GAAP","Sort=A","Dates=H","DateFormat=P","Fill=—","Direction=H","UseDPDF=Y")</f>
        <v>#NAME?</v>
      </c>
      <c r="L465" t="e">
        <f ca="1">_xll.BDH($C$453,"INCREMENTAL_OPERATING_MARGIN","FQ2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65" t="e">
        <f ca="1">_xll.BDH($C$453,"PRETAX_INC_TO_NET_SALES","FQ2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65" t="e">
        <f ca="1">_xll.BDH($C$453,"INC_BEF_XO_ITEMS_TO_NET_SALES","FQ2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65" t="e">
        <f ca="1">_xll.BDH($C$453,"PROF_MARGIN","FQ2 2016","FQ2 2016","Currency=INR","Period=FQ","BEST_FPERIOD_OVERRIDE=FQ","FILING_STATUS=OR","EQY_CONSOLIDATED=Y","FA_ADJUSTED=GAAP","Sort=A","Dates=H","DateFormat=P","Fill=—","Direction=H","UseDPDF=Y")</f>
        <v>#NAME?</v>
      </c>
      <c r="P465" t="e">
        <f ca="1">_xll.BDH($C$453,"NET_INCOME_TO_COMMON_MARGIN","FQ2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65" t="e">
        <f ca="1">_xll.BDH($C$453,"EFF_TAX_RATE","FQ2 2016","FQ2 2016","Currency=INR","Period=FQ","BEST_FPERIOD_OVERRIDE=FQ","FILING_STATUS=OR","EQY_CONSOLIDATED=Y","FA_ADJUSTED=GAAP","Sort=A","Dates=H","DateFormat=P","Fill=—","Direction=H","UseDPDF=Y")</f>
        <v>#NAME?</v>
      </c>
      <c r="R465" t="e">
        <f ca="1">_xll.BDH($C$453,"DVD_PAYOUT_RATIO","FQ2 2016","FQ2 2016","Currency=INR","Period=FQ","BEST_FPERIOD_OVERRIDE=FQ","FILING_STATUS=OR","EQY_CONSOLIDATED=Y","FA_ADJUSTED=GAAP","Sort=A","Dates=H","DateFormat=P","Fill=—","Direction=H","UseDPDF=Y")</f>
        <v>#NAME?</v>
      </c>
      <c r="S465" t="e">
        <f ca="1">_xll.BDH($C$453,"SUSTAIN_GROWTH_RT","FQ2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465" s="2" t="e">
        <f ca="1">_xll.BDH($C$453,"SALES_GROWTH","FQ2 2016","FQ2 2016","Currency=INR","Period=FQ","BEST_FPERIOD_OVERRIDE=FQ","FILING_STATUS=OR","EQY_CONSOLIDATED=Y","FA_ADJUSTED=GAAP","Sort=A","Dates=H","DateFormat=P","Fill=—","Direction=H","UseDPDF=Y")</f>
        <v>#NAME?</v>
      </c>
      <c r="U465" s="2" t="e">
        <f ca="1">_xll.BDH($C$453,"EBITDA_GROWTH","FQ2 2016","FQ2 2016","Currency=INR","Period=FQ","BEST_FPERIOD_OVERRIDE=FQ","FILING_STATUS=OR","EQY_CONSOLIDATED=Y","FA_ADJUSTED=GAAP","Sort=A","Dates=H","DateFormat=P","Fill=—","Direction=H","UseDPDF=Y")</f>
        <v>#NAME?</v>
      </c>
      <c r="V465" s="2" t="e">
        <f ca="1">_xll.BDH($C$453,"OPER_INC_GROWTH","FQ2 2016","FQ2 2016","Currency=INR","Period=FQ","BEST_FPERIOD_OVERRIDE=FQ","FILING_STATUS=OR","EQY_CONSOLIDATED=Y","FA_ADJUSTED=GAAP","Sort=A","Dates=H","DateFormat=P","Fill=—","Direction=H","UseDPDF=Y")</f>
        <v>#NAME?</v>
      </c>
      <c r="W465" s="2" t="e">
        <f ca="1">_xll.BDH($C$453,"EARN_FOR_COM_GROWTH","FQ2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65" s="2" t="e">
        <f ca="1">_xll.BDH($C$453,"DILUTED_EPS_AFT_XO_ITEMS_GROWTH","FQ2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65" s="2" t="e">
        <f ca="1">_xll.BDH($C$453,"DIVIDEND_PER_SHARE_1_YEAR_GROWTH","FQ2 2016","FQ2 2016","Currency=INR","Period=FQ","BEST_FPERIOD_OVERRIDE=FQ","FILING_STATUS=OR","EQY_CONSOLIDATED=Y","Sort=A","Dates=H","DateFormat=P","Fill=—","Direction=H","UseDPDF=Y")</f>
        <v>#NAME?</v>
      </c>
      <c r="Z465" s="2" t="e">
        <f ca="1">_xll.BDH($C$453,"ACCOUNTS_RECEIVABLE_GROWTH","FQ2 2016","FQ2 2016","Currency=INR","Period=FQ","BEST_FPERIOD_OVERRIDE=FQ","FILING_STATUS=OR","EQY_CONSOLIDATED=Y","Sort=A","Dates=H","DateFormat=P","Fill=—","Direction=H","UseDPDF=Y")</f>
        <v>#NAME?</v>
      </c>
      <c r="AA465" s="2" t="e">
        <f ca="1">_xll.BDH($C$453,"INVENTORY_GROWTH","FQ2 2016","FQ2 2016","Currency=INR","Period=FQ","BEST_FPERIOD_OVERRIDE=FQ","FILING_STATUS=OR","EQY_CONSOLIDATED=Y","Sort=A","Dates=H","DateFormat=P","Fill=—","Direction=H","UseDPDF=Y")</f>
        <v>#NAME?</v>
      </c>
      <c r="AB465" s="2" t="e">
        <f ca="1">_xll.BDH($C$453,"NET_FIXED_ASSETS_1_YEAR_GROWTH","FQ2 2016","FQ2 2016","Currency=INR","Period=FQ","BEST_FPERIOD_OVERRIDE=FQ","FILING_STATUS=OR","EQY_CONSOLIDATED=Y","Sort=A","Dates=H","DateFormat=P","Fill=—","Direction=H","UseDPDF=Y")</f>
        <v>#NAME?</v>
      </c>
      <c r="AC465" s="2" t="e">
        <f ca="1">_xll.BDH($C$453,"ASSET_GROWTH","FQ2 2016","FQ2 2016","Currency=INR","Period=FQ","BEST_FPERIOD_OVERRIDE=FQ","FILING_STATUS=OR","EQY_CONSOLIDATED=Y","Sort=A","Dates=H","DateFormat=P","Fill=—","Direction=H","UseDPDF=Y")</f>
        <v>#NAME?</v>
      </c>
      <c r="AD465" s="2" t="e">
        <f ca="1">_xll.BDH($C$453,"MODIFIED_WORK_CAP_GROWTH","FQ2 2016","FQ2 2016","Currency=INR","Period=FQ","BEST_FPERIOD_OVERRIDE=FQ","FILING_STATUS=OR","EQY_CONSOLIDATED=Y","Sort=A","Dates=H","DateFormat=P","Fill=—","Direction=H","UseDPDF=Y")</f>
        <v>#NAME?</v>
      </c>
      <c r="AE465" s="2" t="e">
        <f ca="1">_xll.BDH($C$453,"WORK_CAP_GROWTH","FQ2 2016","FQ2 2016","Currency=INR","Period=FQ","BEST_FPERIOD_OVERRIDE=FQ","FILING_STATUS=OR","EQY_CONSOLIDATED=Y","Sort=A","Dates=H","DateFormat=P","Fill=—","Direction=H","UseDPDF=Y")</f>
        <v>#NAME?</v>
      </c>
      <c r="AF465" s="2" t="e">
        <f ca="1">_xll.BDH($C$453,"ACCOUNTS_PAYABLE_GROWTH_1YR","FQ2 2016","FQ2 2016","Currency=INR","Period=FQ","BEST_FPERIOD_OVERRIDE=FQ","FILING_STATUS=OR","EQY_CONSOLIDATED=Y","Sort=A","Dates=H","DateFormat=P","Fill=—","Direction=H","UseDPDF=Y")</f>
        <v>#NAME?</v>
      </c>
      <c r="AG465" s="2" t="e">
        <f ca="1">_xll.BDH($C$453,"SHORT_TERM_DEBT_1_YEAR_GROWTH","FQ2 2016","FQ2 2016","Currency=INR","Period=FQ","BEST_FPERIOD_OVERRIDE=FQ","FILING_STATUS=OR","EQY_CONSOLIDATED=Y","Sort=A","Dates=H","DateFormat=P","Fill=—","Direction=H","UseDPDF=Y")</f>
        <v>#NAME?</v>
      </c>
      <c r="AH465" s="2" t="e">
        <f ca="1">_xll.BDH($C$453,"TOTAL_DEBT_1_YEAR_GROWTH","FQ2 2016","FQ2 2016","Currency=INR","Period=FQ","BEST_FPERIOD_OVERRIDE=FQ","FILING_STATUS=OR","EQY_CONSOLIDATED=Y","Sort=A","Dates=H","DateFormat=P","Fill=—","Direction=H","UseDPDF=Y")</f>
        <v>#NAME?</v>
      </c>
      <c r="AI465" s="2" t="e">
        <f ca="1">_xll.BDH($C$453,"TOTAL_EQUITY_1_YEAR_GROWTH","FQ2 2016","FQ2 2016","Currency=INR","Period=FQ","BEST_FPERIOD_OVERRIDE=FQ","FILING_STATUS=OR","EQY_CONSOLIDATED=Y","Sort=A","Dates=H","DateFormat=P","Fill=—","Direction=H","UseDPDF=Y")</f>
        <v>#NAME?</v>
      </c>
      <c r="AJ465" s="2" t="e">
        <f ca="1">_xll.BDH($C$453,"GROWTH_IN_CAP","FQ2 2016","FQ2 2016","Currency=INR","Period=FQ","BEST_FPERIOD_OVERRIDE=FQ","FILING_STATUS=OR","EQY_CONSOLIDATED=Y","Sort=A","Dates=H","DateFormat=P","Fill=—","Direction=H","UseDPDF=Y")</f>
        <v>#NAME?</v>
      </c>
      <c r="AK465" s="2" t="e">
        <f ca="1">_xll.BDH($C$453,"BVPS_GROWTH","FQ2 2016","FQ2 2016","Currency=INR","Period=FQ","BEST_FPERIOD_OVERRIDE=FQ","FILING_STATUS=OR","EQY_CONSOLIDATED=Y","Sort=A","Dates=H","DateFormat=P","Fill=—","Direction=H","UseDPDF=Y")</f>
        <v>#NAME?</v>
      </c>
      <c r="AL465" s="2" t="e">
        <f ca="1">_xll.BDH($C$453,"CASH_FLOW_GROWTH","FQ2 2016","FQ2 2016","Currency=INR","Period=FQ","BEST_FPERIOD_OVERRIDE=FQ","FILING_STATUS=OR","EQY_CONSOLIDATED=Y","Sort=A","Dates=H","DateFormat=P","Fill=—","Direction=H","UseDPDF=Y")</f>
        <v>#NAME?</v>
      </c>
      <c r="AM465" s="2" t="e">
        <f ca="1">_xll.BDH($C$453,"GEO_GROW_NET_SALES","FQ2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65" s="2" t="e">
        <f ca="1">_xll.BDH($C$453,"GEO_GROW_EBITDA","FQ2 2016","FQ2 2016","Currency=INR","Period=FQ","BEST_FPERIOD_OVERRIDE=FQ","FILING_STATUS=OR","EQY_CONSOLIDATED=Y","FA_ADJUSTED=GAAP","Sort=A","Dates=H","DateFormat=P","Fill=—","Direction=H","UseDPDF=Y")</f>
        <v>#NAME?</v>
      </c>
      <c r="AO465" s="2" t="e">
        <f ca="1">_xll.BDH($C$453,"GEO_GROW_OPER_INC","FQ2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65" s="2" t="e">
        <f ca="1">_xll.BDH($C$453,"NET_INCOME_TO_COMMON_5_YR_GROWTH","FQ2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65" s="2" t="e">
        <f ca="1">_xll.BDH($C$453,"5Y_GEO_GROWTH_DILUTED_EPS","FQ2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65" s="2" t="e">
        <f ca="1">_xll.BDH($C$453,"GEO_GROW_DVD_PER_SH","FQ2 2016","FQ2 2016","Currency=INR","Period=FQ","BEST_FPERIOD_OVERRIDE=FQ","FILING_STATUS=OR","EQY_CONSOLIDATED=Y","Sort=A","Dates=H","DateFormat=P","Fill=—","Direction=H","UseDPDF=Y")</f>
        <v>#NAME?</v>
      </c>
      <c r="AS465" s="2" t="e">
        <f ca="1">_xll.BDH($C$453,"ACCOUNTS_RECEIVABLE_5_YR_GROWTH","FQ2 2016","FQ2 2016","Currency=INR","Period=FQ","BEST_FPERIOD_OVERRIDE=FQ","FILING_STATUS=OR","EQY_CONSOLIDATED=Y","Sort=A","Dates=H","DateFormat=P","Fill=—","Direction=H","UseDPDF=Y")</f>
        <v>#NAME?</v>
      </c>
      <c r="AT465" s="2" t="e">
        <f ca="1">_xll.BDH($C$453,"INVENTORY_5_YEAR_GROWTH","FQ2 2016","FQ2 2016","Currency=INR","Period=FQ","BEST_FPERIOD_OVERRIDE=FQ","FILING_STATUS=OR","EQY_CONSOLIDATED=Y","Sort=A","Dates=H","DateFormat=P","Fill=—","Direction=H","UseDPDF=Y")</f>
        <v>#NAME?</v>
      </c>
      <c r="AU465" s="2" t="e">
        <f ca="1">_xll.BDH($C$453,"NET_FIXED_ASSETS_5_YEAR_GROWTH","FQ2 2016","FQ2 2016","Currency=INR","Period=FQ","BEST_FPERIOD_OVERRIDE=FQ","FILING_STATUS=OR","EQY_CONSOLIDATED=Y","Sort=A","Dates=H","DateFormat=P","Fill=—","Direction=H","UseDPDF=Y")</f>
        <v>#NAME?</v>
      </c>
      <c r="AV465" s="2" t="e">
        <f ca="1">_xll.BDH($C$453,"GEO_GROW_TOT_ASSET","FQ2 2016","FQ2 2016","Currency=INR","Period=FQ","BEST_FPERIOD_OVERRIDE=FQ","FILING_STATUS=OR","EQY_CONSOLIDATED=Y","Sort=A","Dates=H","DateFormat=P","Fill=—","Direction=H","UseDPDF=Y")</f>
        <v>#NAME?</v>
      </c>
      <c r="AW465" s="2" t="e">
        <f ca="1">_xll.BDH($C$453,"MODIFIED_WORKING_CPTL_5YR_GRWTH","FQ2 2016","FQ2 2016","Currency=INR","Period=FQ","BEST_FPERIOD_OVERRIDE=FQ","FILING_STATUS=OR","EQY_CONSOLIDATED=Y","Sort=A","Dates=H","DateFormat=P","Fill=—","Direction=H","UseDPDF=Y")</f>
        <v>#NAME?</v>
      </c>
      <c r="AX465" s="2" t="e">
        <f ca="1">_xll.BDH($C$453,"WORKING_CAPITAL_5_YEAR_GROWTH","FQ2 2016","FQ2 2016","Currency=INR","Period=FQ","BEST_FPERIOD_OVERRIDE=FQ","FILING_STATUS=OR","EQY_CONSOLIDATED=Y","Sort=A","Dates=H","DateFormat=P","Fill=—","Direction=H","UseDPDF=Y")</f>
        <v>#NAME?</v>
      </c>
      <c r="AY465" s="2" t="e">
        <f ca="1">_xll.BDH($C$453,"ACCOUNTS_PAYABLE_5_YEAR_GROWTH","FQ2 2016","FQ2 2016","Currency=INR","Period=FQ","BEST_FPERIOD_OVERRIDE=FQ","FILING_STATUS=OR","EQY_CONSOLIDATED=Y","Sort=A","Dates=H","DateFormat=P","Fill=—","Direction=H","UseDPDF=Y")</f>
        <v>#NAME?</v>
      </c>
      <c r="AZ465" s="2" t="e">
        <f ca="1">_xll.BDH($C$453,"SHORT_TERM_DEBT_5_YEAR_GROWTH","FQ2 2016","FQ2 2016","Currency=INR","Period=FQ","BEST_FPERIOD_OVERRIDE=FQ","FILING_STATUS=OR","EQY_CONSOLIDATED=Y","Sort=A","Dates=H","DateFormat=P","Fill=—","Direction=H","UseDPDF=Y")</f>
        <v>#NAME?</v>
      </c>
      <c r="BA465" s="2" t="e">
        <f ca="1">_xll.BDH($C$453,"TOTAL_DEBT_5_YEAR_GROWTH","FQ2 2016","FQ2 2016","Currency=INR","Period=FQ","BEST_FPERIOD_OVERRIDE=FQ","FILING_STATUS=OR","EQY_CONSOLIDATED=Y","Sort=A","Dates=H","DateFormat=P","Fill=—","Direction=H","UseDPDF=Y")</f>
        <v>#NAME?</v>
      </c>
      <c r="BB465" s="2" t="e">
        <f ca="1">_xll.BDH($C$453,"GEO_GROW_TOT_SHRHLDR_EQY","FQ2 2016","FQ2 2016","Currency=INR","Period=FQ","BEST_FPERIOD_OVERRIDE=FQ","FILING_STATUS=OR","EQY_CONSOLIDATED=Y","Sort=A","Dates=H","DateFormat=P","Fill=—","Direction=H","UseDPDF=Y")</f>
        <v>#NAME?</v>
      </c>
      <c r="BC465" s="2" t="e">
        <f ca="1">_xll.BDH($C$453,"TOTAL_CAPITAL_5_YEAR_GROWTH","FQ2 2016","FQ2 2016","Currency=INR","Period=FQ","BEST_FPERIOD_OVERRIDE=FQ","FILING_STATUS=OR","EQY_CONSOLIDATED=Y","Sort=A","Dates=H","DateFormat=P","Fill=—","Direction=H","UseDPDF=Y")</f>
        <v>#NAME?</v>
      </c>
      <c r="BD465" s="2" t="e">
        <f ca="1">_xll.BDH($C$453,"GEO_GROW_BOOK_VAL","FQ2 2016","FQ2 2016","Currency=INR","Period=FQ","BEST_FPERIOD_OVERRIDE=FQ","FILING_STATUS=OR","EQY_CONSOLIDATED=Y","Sort=A","Dates=H","DateFormat=P","Fill=—","Direction=H","UseDPDF=Y")</f>
        <v>#NAME?</v>
      </c>
      <c r="BE465" s="2" t="e">
        <f ca="1">_xll.BDH($C$453,"GEO_GROW_CASH_OPER_ACT","FQ2 2016","FQ2 2016","Currency=INR","Period=FQ","BEST_FPERIOD_OVERRIDE=FQ","FILING_STATUS=OR","EQY_CONSOLIDATED=Y","Sort=A","Dates=H","DateFormat=P","Fill=—","Direction=H","UseDPDF=Y")</f>
        <v>#NAME?</v>
      </c>
      <c r="BF465" s="2" t="e">
        <f ca="1">_xll.BDH($C$453,"REVENUE_SEQUENTIAL_GROWTH","FQ2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65" s="2" t="e">
        <f ca="1">_xll.BDH($C$453,"EBITDA_SEQUENTIAL_GROWTH","FQ2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65" s="2" t="e">
        <f ca="1">_xll.BDH($C$453,"OPERATING_INCOME_SEQ_GROWTH","FQ2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65" s="2" t="e">
        <f ca="1">_xll.BDH($C$453,"NET_INCOME_TO_COMMON_SEQ_GROWTH","FQ2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65" s="2" t="e">
        <f ca="1">_xll.BDH($C$453,"EPS_DILUTED_SEQUENTIAL_GROWTH","FQ2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65" s="2" t="e">
        <f ca="1">_xll.BDH($C$453,"DPS_SEQUENTIAL_GROWTH","FQ2 2016","FQ2 2016","Currency=INR","Period=FQ","BEST_FPERIOD_OVERRIDE=FQ","FILING_STATUS=OR","EQY_CONSOLIDATED=Y","Sort=A","Dates=H","DateFormat=P","Fill=—","Direction=H","UseDPDF=Y")</f>
        <v>#NAME?</v>
      </c>
      <c r="BL465" s="2" t="e">
        <f ca="1">_xll.BDH($C$453,"ACCOUNTS_RECEIVABLE_SEQ_GROWTH","FQ2 2016","FQ2 2016","Currency=INR","Period=FQ","BEST_FPERIOD_OVERRIDE=FQ","FILING_STATUS=OR","EQY_CONSOLIDATED=Y","Sort=A","Dates=H","DateFormat=P","Fill=—","Direction=H","UseDPDF=Y")</f>
        <v>#NAME?</v>
      </c>
      <c r="BM465" s="2" t="e">
        <f ca="1">_xll.BDH($C$453,"INVENTORY_SEQUENTIAL_GROWTH","FQ2 2016","FQ2 2016","Currency=INR","Period=FQ","BEST_FPERIOD_OVERRIDE=FQ","FILING_STATUS=OR","EQY_CONSOLIDATED=Y","Sort=A","Dates=H","DateFormat=P","Fill=—","Direction=H","UseDPDF=Y")</f>
        <v>#NAME?</v>
      </c>
      <c r="BN465" s="2" t="e">
        <f ca="1">_xll.BDH($C$453,"FIXED_ASSETS_SEQUENTIAL_GROWTH","FQ2 2016","FQ2 2016","Currency=INR","Period=FQ","BEST_FPERIOD_OVERRIDE=FQ","FILING_STATUS=OR","EQY_CONSOLIDATED=Y","Sort=A","Dates=H","DateFormat=P","Fill=—","Direction=H","UseDPDF=Y")</f>
        <v>#NAME?</v>
      </c>
      <c r="BO465" s="2" t="e">
        <f ca="1">_xll.BDH($C$453,"TOTAL_ASSETS_SEQUENTIAL_GROWTH","FQ2 2016","FQ2 2016","Currency=INR","Period=FQ","BEST_FPERIOD_OVERRIDE=FQ","FILING_STATUS=OR","EQY_CONSOLIDATED=Y","Sort=A","Dates=H","DateFormat=P","Fill=—","Direction=H","UseDPDF=Y")</f>
        <v>#NAME?</v>
      </c>
      <c r="BP465" s="2" t="e">
        <f ca="1">_xll.BDH($C$453,"MODIFIED_WORKING_CPTL_SEQ_GRWTH","FQ2 2016","FQ2 2016","Currency=INR","Period=FQ","BEST_FPERIOD_OVERRIDE=FQ","FILING_STATUS=OR","EQY_CONSOLIDATED=Y","Sort=A","Dates=H","DateFormat=P","Fill=—","Direction=H","UseDPDF=Y")</f>
        <v>#NAME?</v>
      </c>
      <c r="BQ465" s="2" t="e">
        <f ca="1">_xll.BDH($C$453,"WORKING_CAPITAL_SEQ_GROWTH","FQ2 2016","FQ2 2016","Currency=INR","Period=FQ","BEST_FPERIOD_OVERRIDE=FQ","FILING_STATUS=OR","EQY_CONSOLIDATED=Y","Sort=A","Dates=H","DateFormat=P","Fill=—","Direction=H","UseDPDF=Y")</f>
        <v>#NAME?</v>
      </c>
      <c r="BR465" s="2" t="e">
        <f ca="1">_xll.BDH($C$453,"ACCOUNTS_PAYABLE_SEQ_GROWTH","FQ2 2016","FQ2 2016","Currency=INR","Period=FQ","BEST_FPERIOD_OVERRIDE=FQ","FILING_STATUS=OR","EQY_CONSOLIDATED=Y","Sort=A","Dates=H","DateFormat=P","Fill=—","Direction=H","UseDPDF=Y")</f>
        <v>#NAME?</v>
      </c>
      <c r="BS465" s="2" t="e">
        <f ca="1">_xll.BDH($C$453,"ST_DEBT_SEQUENTIAL_GROWTH","FQ2 2016","FQ2 2016","Currency=INR","Period=FQ","BEST_FPERIOD_OVERRIDE=FQ","FILING_STATUS=OR","EQY_CONSOLIDATED=Y","Sort=A","Dates=H","DateFormat=P","Fill=—","Direction=H","UseDPDF=Y")</f>
        <v>#NAME?</v>
      </c>
      <c r="BT465" s="2" t="e">
        <f ca="1">_xll.BDH($C$453,"TOTAL_DEBT_SEQUENTIAL_GROWTH","FQ2 2016","FQ2 2016","Currency=INR","Period=FQ","BEST_FPERIOD_OVERRIDE=FQ","FILING_STATUS=OR","EQY_CONSOLIDATED=Y","Sort=A","Dates=H","DateFormat=P","Fill=—","Direction=H","UseDPDF=Y")</f>
        <v>#NAME?</v>
      </c>
      <c r="BU465" s="2" t="e">
        <f ca="1">_xll.BDH($C$453,"TOTAL_EQUITY_SEQUENTIAL_GROWTH","FQ2 2016","FQ2 2016","Currency=INR","Period=FQ","BEST_FPERIOD_OVERRIDE=FQ","FILING_STATUS=OR","EQY_CONSOLIDATED=Y","Sort=A","Dates=H","DateFormat=P","Fill=—","Direction=H","UseDPDF=Y")</f>
        <v>#NAME?</v>
      </c>
      <c r="BV465" s="2" t="e">
        <f ca="1">_xll.BDH($C$453,"TOTAL_CAPITAL_SEQUENTIAL_GROWTH","FQ2 2016","FQ2 2016","Currency=INR","Period=FQ","BEST_FPERIOD_OVERRIDE=FQ","FILING_STATUS=OR","EQY_CONSOLIDATED=Y","Sort=A","Dates=H","DateFormat=P","Fill=—","Direction=H","UseDPDF=Y")</f>
        <v>#NAME?</v>
      </c>
      <c r="BW465" s="2" t="e">
        <f ca="1">_xll.BDH($C$453,"BPS_SEQUENTIAL_GROWTH","FQ2 2016","FQ2 2016","Currency=INR","Period=FQ","BEST_FPERIOD_OVERRIDE=FQ","FILING_STATUS=OR","EQY_CONSOLIDATED=Y","Sort=A","Dates=H","DateFormat=P","Fill=—","Direction=H","UseDPDF=Y")</f>
        <v>#NAME?</v>
      </c>
      <c r="BX465" s="2" t="e">
        <f ca="1">_xll.BDH($C$453,"CFO_SEQUENTIAL_GROWTH","FQ2 2016","FQ2 2016","Currency=INR","Period=FQ","BEST_FPERIOD_OVERRIDE=FQ","FILING_STATUS=OR","EQY_CONSOLIDATED=Y","Sort=A","Dates=H","DateFormat=P","Fill=—","Direction=H","UseDPDF=Y")</f>
        <v>#NAME?</v>
      </c>
      <c r="BY465" s="3" t="e">
        <f ca="1">_xll.BDH($C$453,"SHORT_AND_LONG_TERM_DEBT","FQ2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65" s="3" t="e">
        <f ca="1">_xll.BDH($C$453,"BS_ST_BORROW","FQ2 2016","FQ2 2016","Currency=INR","Period=FQ","BEST_FPERIOD_OVERRIDE=FQ","FILING_STATUS=OR","EQY_CONSOLIDATED=Y","SCALING_FORMAT=MLN","Sort=A","Dates=H","DateFormat=P","Fill=—","Direction=H","UseDPDF=Y")</f>
        <v>#NAME?</v>
      </c>
      <c r="CA465" s="3" t="e">
        <f ca="1">_xll.BDH($C$453,"BS_LT_BORROW","FQ2 2016","FQ2 2016","Currency=INR","Period=FQ","BEST_FPERIOD_OVERRIDE=FQ","FILING_STATUS=OR","EQY_CONSOLIDATED=Y","SCALING_FORMAT=MLN","Sort=A","Dates=H","DateFormat=P","Fill=—","Direction=H","UseDPDF=Y")</f>
        <v>#NAME?</v>
      </c>
      <c r="CB465" s="2" t="e">
        <f ca="1">_xll.BDH($C$453,"TOT_DEBT_TO_EBITDA","FQ2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65" s="2" t="e">
        <f ca="1">_xll.BDH($C$453,"NET_DEBT_TO_EBITDA","FQ2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65" s="2" t="e">
        <f ca="1">_xll.BDH($C$453,"TOTAL_DEBT_TO_EBIT","FQ2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65" s="2" t="e">
        <f ca="1">_xll.BDH($C$453,"NET_DEBT_TO_EBIT","FQ2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465" s="2" t="e">
        <f ca="1">_xll.BDH($C$453,"EBITDA_TO_INTEREST_EXPN","FQ2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65" s="2" t="e">
        <f ca="1">_xll.BDH($C$453,"COM_EQY_TO_TOT_ASSET","FQ2 2016","FQ2 2016","Currency=INR","Period=FQ","BEST_FPERIOD_OVERRIDE=FQ","FILING_STATUS=OR","EQY_CONSOLIDATED=Y","Sort=A","Dates=H","DateFormat=P","Fill=—","Direction=H","UseDPDF=Y")</f>
        <v>#NAME?</v>
      </c>
      <c r="CH465" s="2" t="e">
        <f ca="1">_xll.BDH($C$453,"LT_DEBT_TO_TOT_EQY","FQ2 2016","FQ2 2016","Currency=INR","Period=FQ","BEST_FPERIOD_OVERRIDE=FQ","FILING_STATUS=OR","EQY_CONSOLIDATED=Y","Sort=A","Dates=H","DateFormat=P","Fill=—","Direction=H","UseDPDF=Y")</f>
        <v>#NAME?</v>
      </c>
      <c r="CI465" s="2" t="e">
        <f ca="1">_xll.BDH($C$453,"LT_DEBT_TO_TOT_CAP","FQ2 2016","FQ2 2016","Currency=INR","Period=FQ","BEST_FPERIOD_OVERRIDE=FQ","FILING_STATUS=OR","EQY_CONSOLIDATED=Y","Sort=A","Dates=H","DateFormat=P","Fill=—","Direction=H","UseDPDF=Y")</f>
        <v>#NAME?</v>
      </c>
      <c r="CJ465" s="2" t="e">
        <f ca="1">_xll.BDH($C$453,"LT_DEBT_TO_TOT_ASSET","FQ2 2016","FQ2 2016","Currency=INR","Period=FQ","BEST_FPERIOD_OVERRIDE=FQ","FILING_STATUS=OR","EQY_CONSOLIDATED=Y","Sort=A","Dates=H","DateFormat=P","Fill=—","Direction=H","UseDPDF=Y")</f>
        <v>#NAME?</v>
      </c>
      <c r="CK465" s="2" t="e">
        <f ca="1">_xll.BDH($C$453,"TOT_DEBT_TO_TOT_EQY","FQ2 2016","FQ2 2016","Currency=INR","Period=FQ","BEST_FPERIOD_OVERRIDE=FQ","FILING_STATUS=OR","EQY_CONSOLIDATED=Y","Sort=A","Dates=H","DateFormat=P","Fill=—","Direction=H","UseDPDF=Y")</f>
        <v>#NAME?</v>
      </c>
      <c r="CL465" s="2" t="e">
        <f ca="1">_xll.BDH($C$453,"TOT_DEBT_TO_TOT_CAP","FQ2 2016","FQ2 2016","Currency=INR","Period=FQ","BEST_FPERIOD_OVERRIDE=FQ","FILING_STATUS=OR","EQY_CONSOLIDATED=Y","Sort=A","Dates=H","DateFormat=P","Fill=—","Direction=H","UseDPDF=Y")</f>
        <v>#NAME?</v>
      </c>
      <c r="CM465" s="2" t="e">
        <f ca="1">_xll.BDH($C$453,"TOT_DEBT_TO_TOT_ASSET","FQ2 2016","FQ2 2016","Currency=INR","Period=FQ","BEST_FPERIOD_OVERRIDE=FQ","FILING_STATUS=OR","EQY_CONSOLIDATED=Y","Sort=A","Dates=H","DateFormat=P","Fill=—","Direction=H","UseDPDF=Y")</f>
        <v>#NAME?</v>
      </c>
      <c r="CN465" s="2" t="e">
        <f ca="1">_xll.BDH($C$453,"NET_DEBT_TO_SHRHLDR_EQTY","FQ2 2016","FQ2 2016","Currency=INR","Period=FQ","BEST_FPERIOD_OVERRIDE=FQ","FILING_STATUS=OR","EQY_CONSOLIDATED=Y","Sort=A","Dates=H","DateFormat=P","Fill=—","Direction=H","UseDPDF=Y")</f>
        <v>#NAME?</v>
      </c>
      <c r="CO465" s="2" t="e">
        <f ca="1">_xll.BDH($C$453,"NET_DEBT_%_CAPITAL","FQ2 2016","FQ2 2016","Currency=INR","Period=FQ","BEST_FPERIOD_OVERRIDE=FQ","FILING_STATUS=OR","EQY_CONSOLIDATED=Y","Sort=A","Dates=H","DateFormat=P","Fill=—","Direction=H","UseDPDF=Y")</f>
        <v>#NAME?</v>
      </c>
      <c r="CP465" s="3" t="e">
        <f ca="1">_xll.BDH($C$453,"EBITDA","FQ2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65" s="3" t="e">
        <f ca="1">_xll.BDH($C$453,"EBITDA_AFTER_CAPEX","FQ2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65" s="3" t="e">
        <f ca="1">_xll.BDH($C$453,"IS_OPER_INC","FQ2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65" s="2" t="e">
        <f ca="1">_xll.BDH($C$453,"CASH_RATIO","FQ2 2016","FQ2 2016","Currency=INR","Period=FQ","BEST_FPERIOD_OVERRIDE=FQ","FILING_STATUS=OR","EQY_CONSOLIDATED=Y","Sort=A","Dates=H","DateFormat=P","Fill=—","Direction=H","UseDPDF=Y")</f>
        <v>#NAME?</v>
      </c>
      <c r="CT465" s="2" t="e">
        <f ca="1">_xll.BDH($C$453,"CUR_RATIO","FQ2 2016","FQ2 2016","Currency=INR","Period=FQ","BEST_FPERIOD_OVERRIDE=FQ","FILING_STATUS=OR","EQY_CONSOLIDATED=Y","Sort=A","Dates=H","DateFormat=P","Fill=—","Direction=H","UseDPDF=Y")</f>
        <v>#NAME?</v>
      </c>
      <c r="CU465" s="2" t="e">
        <f ca="1">_xll.BDH($C$453,"QUICK_RATIO","FQ2 2016","FQ2 2016","Currency=INR","Period=FQ","BEST_FPERIOD_OVERRIDE=FQ","FILING_STATUS=OR","EQY_CONSOLIDATED=Y","Sort=A","Dates=H","DateFormat=P","Fill=—","Direction=H","UseDPDF=Y")</f>
        <v>#NAME?</v>
      </c>
      <c r="CV465" s="2" t="e">
        <f ca="1">_xll.BDH($C$453,"ALTMAN_Z_SCORE","FQ2 2016","FQ2 2016","Currency=INR","Period=FQ","BEST_FPERIOD_OVERRIDE=FQ","FILING_STATUS=OR","EQY_CONSOLIDATED=Y","Sort=A","Dates=H","DateFormat=P","Fill=—","Direction=H","UseDPDF=Y")</f>
        <v>#NAME?</v>
      </c>
      <c r="CW465" s="4" t="e">
        <f ca="1">_xll.BDH($C$453,"ACCT_RCV_TURN","FQ2 2016","FQ2 2016","Currency=INR","Period=FQ","BEST_FPERIOD_OVERRIDE=FQ","FILING_STATUS=OR","EQY_CONSOLIDATED=Y","FA_ADJUSTED=GAAP","Sort=A","Dates=H","DateFormat=P","Fill=—","Direction=H","UseDPDF=Y")</f>
        <v>#NAME?</v>
      </c>
      <c r="CX465" s="2" t="e">
        <f ca="1">_xll.BDH($C$453,"ACCT_RCV_DAYS","FQ2 2016","FQ2 2016","Currency=INR","Period=FQ","BEST_FPERIOD_OVERRIDE=FQ","FILING_STATUS=OR","EQY_CONSOLIDATED=Y","FA_ADJUSTED=GAAP","Sort=A","Dates=H","DateFormat=P","Fill=—","Direction=H","UseDPDF=Y")</f>
        <v>#NAME?</v>
      </c>
      <c r="CY465" s="4" t="e">
        <f ca="1">_xll.BDH($C$453,"INVENT_TURN","FQ2 2016","FQ2 2016","Currency=INR","Period=FQ","BEST_FPERIOD_OVERRIDE=FQ","FILING_STATUS=OR","EQY_CONSOLIDATED=Y","FA_ADJUSTED=GAAP","Sort=A","Dates=H","DateFormat=P","Fill=—","Direction=H","UseDPDF=Y")</f>
        <v>#NAME?</v>
      </c>
      <c r="CZ465" s="2" t="e">
        <f ca="1">_xll.BDH($C$453,"INVENT_DAYS","FQ2 2016","FQ2 2016","Currency=INR","Period=FQ","BEST_FPERIOD_OVERRIDE=FQ","FILING_STATUS=OR","EQY_CONSOLIDATED=Y","FA_ADJUSTED=GAAP","Sort=A","Dates=H","DateFormat=P","Fill=—","Direction=H","UseDPDF=Y")</f>
        <v>#NAME?</v>
      </c>
      <c r="DA465" s="4" t="e">
        <f ca="1">_xll.BDH($C$453,"ACCOUNTS_PAYABLE_TURNOVER","FQ2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65" s="2" t="e">
        <f ca="1">_xll.BDH($C$453,"ACCOUNTS_PAYABLE_TURNOVER_DAYS","FQ2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65" s="4" t="e">
        <f ca="1">_xll.BDH($C$453,"CASH_CONVERSION_CYCLE","FQ2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65" s="4" t="e">
        <f ca="1">_xll.BDH($C$453,"INV_TO_CASH_DAYS","FQ2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465" s="5" t="e">
        <f ca="1">_xll.BDH($C$453,"BS_INVENTORIES","FQ2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465" s="3" t="e">
        <f ca="1">_xll.BDH($C$453,"INVTRY_RAW_MATERIALS","FQ2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65" s="3" t="e">
        <f ca="1">_xll.BDH($C$453,"INVTRY_IN_PROGRESS","FQ2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65" s="3" t="e">
        <f ca="1">_xll.BDH($C$453,"INVTRY_FINISHED_GOODS","FQ2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65" s="3" t="e">
        <f ca="1">_xll.BDH($C$453,"BS_OTHER_INV","FQ2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66" spans="1:113" x14ac:dyDescent="0.3">
      <c r="A466" s="6"/>
      <c r="B466" s="6"/>
      <c r="C466" s="6"/>
      <c r="D466" s="6"/>
      <c r="E466" t="s">
        <v>80</v>
      </c>
      <c r="F466" t="e">
        <f ca="1">_xll.BDH($C$453,"RETURN_COM_EQY","FQ3 2016","FQ3 2016","Currency=INR","Period=FQ","BEST_FPERIOD_OVERRIDE=FQ","FILING_STATUS=OR","EQY_CONSOLIDATED=Y","FA_ADJUSTED=GAAP","Sort=A","Dates=H","DateFormat=P","Fill=—","Direction=H","UseDPDF=Y")</f>
        <v>#NAME?</v>
      </c>
      <c r="G466" t="e">
        <f ca="1">_xll.BDH($C$453,"RETURN_ON_ASSET","FQ3 2016","FQ3 2016","Currency=INR","Period=FQ","BEST_FPERIOD_OVERRIDE=FQ","FILING_STATUS=OR","EQY_CONSOLIDATED=Y","FA_ADJUSTED=GAAP","Sort=A","Dates=H","DateFormat=P","Fill=—","Direction=H","UseDPDF=Y")</f>
        <v>#NAME?</v>
      </c>
      <c r="H466" t="e">
        <f ca="1">_xll.BDH($C$453,"RETURN_ON_CAP","FQ3 2016","FQ3 2016","Currency=INR","Period=FQ","BEST_FPERIOD_OVERRIDE=FQ","FILING_STATUS=OR","EQY_CONSOLIDATED=Y","FA_ADJUSTED=GAAP","Sort=A","Dates=H","DateFormat=P","Fill=—","Direction=H","UseDPDF=Y")</f>
        <v>#NAME?</v>
      </c>
      <c r="I466" t="e">
        <f ca="1">_xll.BDH($C$453,"RETURN_ON_INV_CAPITAL","FQ3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66" t="e">
        <f ca="1">_xll.BDH($C$453,"EBITDA_TO_REVENUE","FQ3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466" t="e">
        <f ca="1">_xll.BDH($C$453,"OPER_MARGIN","FQ3 2016","FQ3 2016","Currency=INR","Period=FQ","BEST_FPERIOD_OVERRIDE=FQ","FILING_STATUS=OR","EQY_CONSOLIDATED=Y","FA_ADJUSTED=GAAP","Sort=A","Dates=H","DateFormat=P","Fill=—","Direction=H","UseDPDF=Y")</f>
        <v>#NAME?</v>
      </c>
      <c r="L466" t="e">
        <f ca="1">_xll.BDH($C$453,"INCREMENTAL_OPERATING_MARGIN","FQ3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66" t="e">
        <f ca="1">_xll.BDH($C$453,"PRETAX_INC_TO_NET_SALES","FQ3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66" t="e">
        <f ca="1">_xll.BDH($C$453,"INC_BEF_XO_ITEMS_TO_NET_SALES","FQ3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66" t="e">
        <f ca="1">_xll.BDH($C$453,"PROF_MARGIN","FQ3 2016","FQ3 2016","Currency=INR","Period=FQ","BEST_FPERIOD_OVERRIDE=FQ","FILING_STATUS=OR","EQY_CONSOLIDATED=Y","FA_ADJUSTED=GAAP","Sort=A","Dates=H","DateFormat=P","Fill=—","Direction=H","UseDPDF=Y")</f>
        <v>#NAME?</v>
      </c>
      <c r="P466" t="e">
        <f ca="1">_xll.BDH($C$453,"NET_INCOME_TO_COMMON_MARGIN","FQ3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66" t="e">
        <f ca="1">_xll.BDH($C$453,"EFF_TAX_RATE","FQ3 2016","FQ3 2016","Currency=INR","Period=FQ","BEST_FPERIOD_OVERRIDE=FQ","FILING_STATUS=OR","EQY_CONSOLIDATED=Y","FA_ADJUSTED=GAAP","Sort=A","Dates=H","DateFormat=P","Fill=—","Direction=H","UseDPDF=Y")</f>
        <v>#NAME?</v>
      </c>
      <c r="R466" t="e">
        <f ca="1">_xll.BDH($C$453,"DVD_PAYOUT_RATIO","FQ3 2016","FQ3 2016","Currency=INR","Period=FQ","BEST_FPERIOD_OVERRIDE=FQ","FILING_STATUS=OR","EQY_CONSOLIDATED=Y","FA_ADJUSTED=GAAP","Sort=A","Dates=H","DateFormat=P","Fill=—","Direction=H","UseDPDF=Y")</f>
        <v>#NAME?</v>
      </c>
      <c r="S466" t="e">
        <f ca="1">_xll.BDH($C$453,"SUSTAIN_GROWTH_RT","FQ3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466" s="2" t="e">
        <f ca="1">_xll.BDH($C$453,"SALES_GROWTH","FQ3 2016","FQ3 2016","Currency=INR","Period=FQ","BEST_FPERIOD_OVERRIDE=FQ","FILING_STATUS=OR","EQY_CONSOLIDATED=Y","FA_ADJUSTED=GAAP","Sort=A","Dates=H","DateFormat=P","Fill=—","Direction=H","UseDPDF=Y")</f>
        <v>#NAME?</v>
      </c>
      <c r="U466" s="2" t="e">
        <f ca="1">_xll.BDH($C$453,"EBITDA_GROWTH","FQ3 2016","FQ3 2016","Currency=INR","Period=FQ","BEST_FPERIOD_OVERRIDE=FQ","FILING_STATUS=OR","EQY_CONSOLIDATED=Y","FA_ADJUSTED=GAAP","Sort=A","Dates=H","DateFormat=P","Fill=—","Direction=H","UseDPDF=Y")</f>
        <v>#NAME?</v>
      </c>
      <c r="V466" s="2" t="e">
        <f ca="1">_xll.BDH($C$453,"OPER_INC_GROWTH","FQ3 2016","FQ3 2016","Currency=INR","Period=FQ","BEST_FPERIOD_OVERRIDE=FQ","FILING_STATUS=OR","EQY_CONSOLIDATED=Y","FA_ADJUSTED=GAAP","Sort=A","Dates=H","DateFormat=P","Fill=—","Direction=H","UseDPDF=Y")</f>
        <v>#NAME?</v>
      </c>
      <c r="W466" s="2" t="e">
        <f ca="1">_xll.BDH($C$453,"EARN_FOR_COM_GROWTH","FQ3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66" s="2" t="e">
        <f ca="1">_xll.BDH($C$453,"DILUTED_EPS_AFT_XO_ITEMS_GROWTH","FQ3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66" s="2" t="e">
        <f ca="1">_xll.BDH($C$453,"DIVIDEND_PER_SHARE_1_YEAR_GROWTH","FQ3 2016","FQ3 2016","Currency=INR","Period=FQ","BEST_FPERIOD_OVERRIDE=FQ","FILING_STATUS=OR","EQY_CONSOLIDATED=Y","Sort=A","Dates=H","DateFormat=P","Fill=—","Direction=H","UseDPDF=Y")</f>
        <v>#NAME?</v>
      </c>
      <c r="Z466" s="2" t="e">
        <f ca="1">_xll.BDH($C$453,"ACCOUNTS_RECEIVABLE_GROWTH","FQ3 2016","FQ3 2016","Currency=INR","Period=FQ","BEST_FPERIOD_OVERRIDE=FQ","FILING_STATUS=OR","EQY_CONSOLIDATED=Y","Sort=A","Dates=H","DateFormat=P","Fill=—","Direction=H","UseDPDF=Y")</f>
        <v>#NAME?</v>
      </c>
      <c r="AA466" s="2" t="e">
        <f ca="1">_xll.BDH($C$453,"INVENTORY_GROWTH","FQ3 2016","FQ3 2016","Currency=INR","Period=FQ","BEST_FPERIOD_OVERRIDE=FQ","FILING_STATUS=OR","EQY_CONSOLIDATED=Y","Sort=A","Dates=H","DateFormat=P","Fill=—","Direction=H","UseDPDF=Y")</f>
        <v>#NAME?</v>
      </c>
      <c r="AB466" s="2" t="e">
        <f ca="1">_xll.BDH($C$453,"NET_FIXED_ASSETS_1_YEAR_GROWTH","FQ3 2016","FQ3 2016","Currency=INR","Period=FQ","BEST_FPERIOD_OVERRIDE=FQ","FILING_STATUS=OR","EQY_CONSOLIDATED=Y","Sort=A","Dates=H","DateFormat=P","Fill=—","Direction=H","UseDPDF=Y")</f>
        <v>#NAME?</v>
      </c>
      <c r="AC466" s="2" t="e">
        <f ca="1">_xll.BDH($C$453,"ASSET_GROWTH","FQ3 2016","FQ3 2016","Currency=INR","Period=FQ","BEST_FPERIOD_OVERRIDE=FQ","FILING_STATUS=OR","EQY_CONSOLIDATED=Y","Sort=A","Dates=H","DateFormat=P","Fill=—","Direction=H","UseDPDF=Y")</f>
        <v>#NAME?</v>
      </c>
      <c r="AD466" s="2" t="e">
        <f ca="1">_xll.BDH($C$453,"MODIFIED_WORK_CAP_GROWTH","FQ3 2016","FQ3 2016","Currency=INR","Period=FQ","BEST_FPERIOD_OVERRIDE=FQ","FILING_STATUS=OR","EQY_CONSOLIDATED=Y","Sort=A","Dates=H","DateFormat=P","Fill=—","Direction=H","UseDPDF=Y")</f>
        <v>#NAME?</v>
      </c>
      <c r="AE466" s="2" t="e">
        <f ca="1">_xll.BDH($C$453,"WORK_CAP_GROWTH","FQ3 2016","FQ3 2016","Currency=INR","Period=FQ","BEST_FPERIOD_OVERRIDE=FQ","FILING_STATUS=OR","EQY_CONSOLIDATED=Y","Sort=A","Dates=H","DateFormat=P","Fill=—","Direction=H","UseDPDF=Y")</f>
        <v>#NAME?</v>
      </c>
      <c r="AF466" s="2" t="e">
        <f ca="1">_xll.BDH($C$453,"ACCOUNTS_PAYABLE_GROWTH_1YR","FQ3 2016","FQ3 2016","Currency=INR","Period=FQ","BEST_FPERIOD_OVERRIDE=FQ","FILING_STATUS=OR","EQY_CONSOLIDATED=Y","Sort=A","Dates=H","DateFormat=P","Fill=—","Direction=H","UseDPDF=Y")</f>
        <v>#NAME?</v>
      </c>
      <c r="AG466" s="2" t="e">
        <f ca="1">_xll.BDH($C$453,"SHORT_TERM_DEBT_1_YEAR_GROWTH","FQ3 2016","FQ3 2016","Currency=INR","Period=FQ","BEST_FPERIOD_OVERRIDE=FQ","FILING_STATUS=OR","EQY_CONSOLIDATED=Y","Sort=A","Dates=H","DateFormat=P","Fill=—","Direction=H","UseDPDF=Y")</f>
        <v>#NAME?</v>
      </c>
      <c r="AH466" s="2" t="e">
        <f ca="1">_xll.BDH($C$453,"TOTAL_DEBT_1_YEAR_GROWTH","FQ3 2016","FQ3 2016","Currency=INR","Period=FQ","BEST_FPERIOD_OVERRIDE=FQ","FILING_STATUS=OR","EQY_CONSOLIDATED=Y","Sort=A","Dates=H","DateFormat=P","Fill=—","Direction=H","UseDPDF=Y")</f>
        <v>#NAME?</v>
      </c>
      <c r="AI466" s="2" t="e">
        <f ca="1">_xll.BDH($C$453,"TOTAL_EQUITY_1_YEAR_GROWTH","FQ3 2016","FQ3 2016","Currency=INR","Period=FQ","BEST_FPERIOD_OVERRIDE=FQ","FILING_STATUS=OR","EQY_CONSOLIDATED=Y","Sort=A","Dates=H","DateFormat=P","Fill=—","Direction=H","UseDPDF=Y")</f>
        <v>#NAME?</v>
      </c>
      <c r="AJ466" s="2" t="e">
        <f ca="1">_xll.BDH($C$453,"GROWTH_IN_CAP","FQ3 2016","FQ3 2016","Currency=INR","Period=FQ","BEST_FPERIOD_OVERRIDE=FQ","FILING_STATUS=OR","EQY_CONSOLIDATED=Y","Sort=A","Dates=H","DateFormat=P","Fill=—","Direction=H","UseDPDF=Y")</f>
        <v>#NAME?</v>
      </c>
      <c r="AK466" s="2" t="e">
        <f ca="1">_xll.BDH($C$453,"BVPS_GROWTH","FQ3 2016","FQ3 2016","Currency=INR","Period=FQ","BEST_FPERIOD_OVERRIDE=FQ","FILING_STATUS=OR","EQY_CONSOLIDATED=Y","Sort=A","Dates=H","DateFormat=P","Fill=—","Direction=H","UseDPDF=Y")</f>
        <v>#NAME?</v>
      </c>
      <c r="AL466" s="2" t="e">
        <f ca="1">_xll.BDH($C$453,"CASH_FLOW_GROWTH","FQ3 2016","FQ3 2016","Currency=INR","Period=FQ","BEST_FPERIOD_OVERRIDE=FQ","FILING_STATUS=OR","EQY_CONSOLIDATED=Y","Sort=A","Dates=H","DateFormat=P","Fill=—","Direction=H","UseDPDF=Y")</f>
        <v>#NAME?</v>
      </c>
      <c r="AM466" s="2" t="e">
        <f ca="1">_xll.BDH($C$453,"GEO_GROW_NET_SALES","FQ3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66" s="2" t="e">
        <f ca="1">_xll.BDH($C$453,"GEO_GROW_EBITDA","FQ3 2016","FQ3 2016","Currency=INR","Period=FQ","BEST_FPERIOD_OVERRIDE=FQ","FILING_STATUS=OR","EQY_CONSOLIDATED=Y","FA_ADJUSTED=GAAP","Sort=A","Dates=H","DateFormat=P","Fill=—","Direction=H","UseDPDF=Y")</f>
        <v>#NAME?</v>
      </c>
      <c r="AO466" s="2" t="e">
        <f ca="1">_xll.BDH($C$453,"GEO_GROW_OPER_INC","FQ3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66" s="2" t="e">
        <f ca="1">_xll.BDH($C$453,"NET_INCOME_TO_COMMON_5_YR_GROWTH","FQ3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66" s="2" t="e">
        <f ca="1">_xll.BDH($C$453,"5Y_GEO_GROWTH_DILUTED_EPS","FQ3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66" s="2" t="e">
        <f ca="1">_xll.BDH($C$453,"GEO_GROW_DVD_PER_SH","FQ3 2016","FQ3 2016","Currency=INR","Period=FQ","BEST_FPERIOD_OVERRIDE=FQ","FILING_STATUS=OR","EQY_CONSOLIDATED=Y","Sort=A","Dates=H","DateFormat=P","Fill=—","Direction=H","UseDPDF=Y")</f>
        <v>#NAME?</v>
      </c>
      <c r="AS466" s="2" t="e">
        <f ca="1">_xll.BDH($C$453,"ACCOUNTS_RECEIVABLE_5_YR_GROWTH","FQ3 2016","FQ3 2016","Currency=INR","Period=FQ","BEST_FPERIOD_OVERRIDE=FQ","FILING_STATUS=OR","EQY_CONSOLIDATED=Y","Sort=A","Dates=H","DateFormat=P","Fill=—","Direction=H","UseDPDF=Y")</f>
        <v>#NAME?</v>
      </c>
      <c r="AT466" s="2" t="e">
        <f ca="1">_xll.BDH($C$453,"INVENTORY_5_YEAR_GROWTH","FQ3 2016","FQ3 2016","Currency=INR","Period=FQ","BEST_FPERIOD_OVERRIDE=FQ","FILING_STATUS=OR","EQY_CONSOLIDATED=Y","Sort=A","Dates=H","DateFormat=P","Fill=—","Direction=H","UseDPDF=Y")</f>
        <v>#NAME?</v>
      </c>
      <c r="AU466" s="2" t="e">
        <f ca="1">_xll.BDH($C$453,"NET_FIXED_ASSETS_5_YEAR_GROWTH","FQ3 2016","FQ3 2016","Currency=INR","Period=FQ","BEST_FPERIOD_OVERRIDE=FQ","FILING_STATUS=OR","EQY_CONSOLIDATED=Y","Sort=A","Dates=H","DateFormat=P","Fill=—","Direction=H","UseDPDF=Y")</f>
        <v>#NAME?</v>
      </c>
      <c r="AV466" s="2" t="e">
        <f ca="1">_xll.BDH($C$453,"GEO_GROW_TOT_ASSET","FQ3 2016","FQ3 2016","Currency=INR","Period=FQ","BEST_FPERIOD_OVERRIDE=FQ","FILING_STATUS=OR","EQY_CONSOLIDATED=Y","Sort=A","Dates=H","DateFormat=P","Fill=—","Direction=H","UseDPDF=Y")</f>
        <v>#NAME?</v>
      </c>
      <c r="AW466" s="2" t="e">
        <f ca="1">_xll.BDH($C$453,"MODIFIED_WORKING_CPTL_5YR_GRWTH","FQ3 2016","FQ3 2016","Currency=INR","Period=FQ","BEST_FPERIOD_OVERRIDE=FQ","FILING_STATUS=OR","EQY_CONSOLIDATED=Y","Sort=A","Dates=H","DateFormat=P","Fill=—","Direction=H","UseDPDF=Y")</f>
        <v>#NAME?</v>
      </c>
      <c r="AX466" s="2" t="e">
        <f ca="1">_xll.BDH($C$453,"WORKING_CAPITAL_5_YEAR_GROWTH","FQ3 2016","FQ3 2016","Currency=INR","Period=FQ","BEST_FPERIOD_OVERRIDE=FQ","FILING_STATUS=OR","EQY_CONSOLIDATED=Y","Sort=A","Dates=H","DateFormat=P","Fill=—","Direction=H","UseDPDF=Y")</f>
        <v>#NAME?</v>
      </c>
      <c r="AY466" s="2" t="e">
        <f ca="1">_xll.BDH($C$453,"ACCOUNTS_PAYABLE_5_YEAR_GROWTH","FQ3 2016","FQ3 2016","Currency=INR","Period=FQ","BEST_FPERIOD_OVERRIDE=FQ","FILING_STATUS=OR","EQY_CONSOLIDATED=Y","Sort=A","Dates=H","DateFormat=P","Fill=—","Direction=H","UseDPDF=Y")</f>
        <v>#NAME?</v>
      </c>
      <c r="AZ466" s="2" t="e">
        <f ca="1">_xll.BDH($C$453,"SHORT_TERM_DEBT_5_YEAR_GROWTH","FQ3 2016","FQ3 2016","Currency=INR","Period=FQ","BEST_FPERIOD_OVERRIDE=FQ","FILING_STATUS=OR","EQY_CONSOLIDATED=Y","Sort=A","Dates=H","DateFormat=P","Fill=—","Direction=H","UseDPDF=Y")</f>
        <v>#NAME?</v>
      </c>
      <c r="BA466" s="2" t="e">
        <f ca="1">_xll.BDH($C$453,"TOTAL_DEBT_5_YEAR_GROWTH","FQ3 2016","FQ3 2016","Currency=INR","Period=FQ","BEST_FPERIOD_OVERRIDE=FQ","FILING_STATUS=OR","EQY_CONSOLIDATED=Y","Sort=A","Dates=H","DateFormat=P","Fill=—","Direction=H","UseDPDF=Y")</f>
        <v>#NAME?</v>
      </c>
      <c r="BB466" s="2" t="e">
        <f ca="1">_xll.BDH($C$453,"GEO_GROW_TOT_SHRHLDR_EQY","FQ3 2016","FQ3 2016","Currency=INR","Period=FQ","BEST_FPERIOD_OVERRIDE=FQ","FILING_STATUS=OR","EQY_CONSOLIDATED=Y","Sort=A","Dates=H","DateFormat=P","Fill=—","Direction=H","UseDPDF=Y")</f>
        <v>#NAME?</v>
      </c>
      <c r="BC466" s="2" t="e">
        <f ca="1">_xll.BDH($C$453,"TOTAL_CAPITAL_5_YEAR_GROWTH","FQ3 2016","FQ3 2016","Currency=INR","Period=FQ","BEST_FPERIOD_OVERRIDE=FQ","FILING_STATUS=OR","EQY_CONSOLIDATED=Y","Sort=A","Dates=H","DateFormat=P","Fill=—","Direction=H","UseDPDF=Y")</f>
        <v>#NAME?</v>
      </c>
      <c r="BD466" s="2" t="e">
        <f ca="1">_xll.BDH($C$453,"GEO_GROW_BOOK_VAL","FQ3 2016","FQ3 2016","Currency=INR","Period=FQ","BEST_FPERIOD_OVERRIDE=FQ","FILING_STATUS=OR","EQY_CONSOLIDATED=Y","Sort=A","Dates=H","DateFormat=P","Fill=—","Direction=H","UseDPDF=Y")</f>
        <v>#NAME?</v>
      </c>
      <c r="BE466" s="2" t="e">
        <f ca="1">_xll.BDH($C$453,"GEO_GROW_CASH_OPER_ACT","FQ3 2016","FQ3 2016","Currency=INR","Period=FQ","BEST_FPERIOD_OVERRIDE=FQ","FILING_STATUS=OR","EQY_CONSOLIDATED=Y","Sort=A","Dates=H","DateFormat=P","Fill=—","Direction=H","UseDPDF=Y")</f>
        <v>#NAME?</v>
      </c>
      <c r="BF466" s="2" t="e">
        <f ca="1">_xll.BDH($C$453,"REVENUE_SEQUENTIAL_GROWTH","FQ3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66" s="2" t="e">
        <f ca="1">_xll.BDH($C$453,"EBITDA_SEQUENTIAL_GROWTH","FQ3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66" s="2" t="e">
        <f ca="1">_xll.BDH($C$453,"OPERATING_INCOME_SEQ_GROWTH","FQ3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66" s="2" t="e">
        <f ca="1">_xll.BDH($C$453,"NET_INCOME_TO_COMMON_SEQ_GROWTH","FQ3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66" s="2" t="e">
        <f ca="1">_xll.BDH($C$453,"EPS_DILUTED_SEQUENTIAL_GROWTH","FQ3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66" s="2" t="e">
        <f ca="1">_xll.BDH($C$453,"DPS_SEQUENTIAL_GROWTH","FQ3 2016","FQ3 2016","Currency=INR","Period=FQ","BEST_FPERIOD_OVERRIDE=FQ","FILING_STATUS=OR","EQY_CONSOLIDATED=Y","Sort=A","Dates=H","DateFormat=P","Fill=—","Direction=H","UseDPDF=Y")</f>
        <v>#NAME?</v>
      </c>
      <c r="BL466" s="2" t="e">
        <f ca="1">_xll.BDH($C$453,"ACCOUNTS_RECEIVABLE_SEQ_GROWTH","FQ3 2016","FQ3 2016","Currency=INR","Period=FQ","BEST_FPERIOD_OVERRIDE=FQ","FILING_STATUS=OR","EQY_CONSOLIDATED=Y","Sort=A","Dates=H","DateFormat=P","Fill=—","Direction=H","UseDPDF=Y")</f>
        <v>#NAME?</v>
      </c>
      <c r="BM466" s="2" t="e">
        <f ca="1">_xll.BDH($C$453,"INVENTORY_SEQUENTIAL_GROWTH","FQ3 2016","FQ3 2016","Currency=INR","Period=FQ","BEST_FPERIOD_OVERRIDE=FQ","FILING_STATUS=OR","EQY_CONSOLIDATED=Y","Sort=A","Dates=H","DateFormat=P","Fill=—","Direction=H","UseDPDF=Y")</f>
        <v>#NAME?</v>
      </c>
      <c r="BN466" s="2" t="e">
        <f ca="1">_xll.BDH($C$453,"FIXED_ASSETS_SEQUENTIAL_GROWTH","FQ3 2016","FQ3 2016","Currency=INR","Period=FQ","BEST_FPERIOD_OVERRIDE=FQ","FILING_STATUS=OR","EQY_CONSOLIDATED=Y","Sort=A","Dates=H","DateFormat=P","Fill=—","Direction=H","UseDPDF=Y")</f>
        <v>#NAME?</v>
      </c>
      <c r="BO466" s="2" t="e">
        <f ca="1">_xll.BDH($C$453,"TOTAL_ASSETS_SEQUENTIAL_GROWTH","FQ3 2016","FQ3 2016","Currency=INR","Period=FQ","BEST_FPERIOD_OVERRIDE=FQ","FILING_STATUS=OR","EQY_CONSOLIDATED=Y","Sort=A","Dates=H","DateFormat=P","Fill=—","Direction=H","UseDPDF=Y")</f>
        <v>#NAME?</v>
      </c>
      <c r="BP466" s="2" t="e">
        <f ca="1">_xll.BDH($C$453,"MODIFIED_WORKING_CPTL_SEQ_GRWTH","FQ3 2016","FQ3 2016","Currency=INR","Period=FQ","BEST_FPERIOD_OVERRIDE=FQ","FILING_STATUS=OR","EQY_CONSOLIDATED=Y","Sort=A","Dates=H","DateFormat=P","Fill=—","Direction=H","UseDPDF=Y")</f>
        <v>#NAME?</v>
      </c>
      <c r="BQ466" s="2" t="e">
        <f ca="1">_xll.BDH($C$453,"WORKING_CAPITAL_SEQ_GROWTH","FQ3 2016","FQ3 2016","Currency=INR","Period=FQ","BEST_FPERIOD_OVERRIDE=FQ","FILING_STATUS=OR","EQY_CONSOLIDATED=Y","Sort=A","Dates=H","DateFormat=P","Fill=—","Direction=H","UseDPDF=Y")</f>
        <v>#NAME?</v>
      </c>
      <c r="BR466" s="2" t="e">
        <f ca="1">_xll.BDH($C$453,"ACCOUNTS_PAYABLE_SEQ_GROWTH","FQ3 2016","FQ3 2016","Currency=INR","Period=FQ","BEST_FPERIOD_OVERRIDE=FQ","FILING_STATUS=OR","EQY_CONSOLIDATED=Y","Sort=A","Dates=H","DateFormat=P","Fill=—","Direction=H","UseDPDF=Y")</f>
        <v>#NAME?</v>
      </c>
      <c r="BS466" s="2" t="e">
        <f ca="1">_xll.BDH($C$453,"ST_DEBT_SEQUENTIAL_GROWTH","FQ3 2016","FQ3 2016","Currency=INR","Period=FQ","BEST_FPERIOD_OVERRIDE=FQ","FILING_STATUS=OR","EQY_CONSOLIDATED=Y","Sort=A","Dates=H","DateFormat=P","Fill=—","Direction=H","UseDPDF=Y")</f>
        <v>#NAME?</v>
      </c>
      <c r="BT466" s="2" t="e">
        <f ca="1">_xll.BDH($C$453,"TOTAL_DEBT_SEQUENTIAL_GROWTH","FQ3 2016","FQ3 2016","Currency=INR","Period=FQ","BEST_FPERIOD_OVERRIDE=FQ","FILING_STATUS=OR","EQY_CONSOLIDATED=Y","Sort=A","Dates=H","DateFormat=P","Fill=—","Direction=H","UseDPDF=Y")</f>
        <v>#NAME?</v>
      </c>
      <c r="BU466" s="2" t="e">
        <f ca="1">_xll.BDH($C$453,"TOTAL_EQUITY_SEQUENTIAL_GROWTH","FQ3 2016","FQ3 2016","Currency=INR","Period=FQ","BEST_FPERIOD_OVERRIDE=FQ","FILING_STATUS=OR","EQY_CONSOLIDATED=Y","Sort=A","Dates=H","DateFormat=P","Fill=—","Direction=H","UseDPDF=Y")</f>
        <v>#NAME?</v>
      </c>
      <c r="BV466" s="2" t="e">
        <f ca="1">_xll.BDH($C$453,"TOTAL_CAPITAL_SEQUENTIAL_GROWTH","FQ3 2016","FQ3 2016","Currency=INR","Period=FQ","BEST_FPERIOD_OVERRIDE=FQ","FILING_STATUS=OR","EQY_CONSOLIDATED=Y","Sort=A","Dates=H","DateFormat=P","Fill=—","Direction=H","UseDPDF=Y")</f>
        <v>#NAME?</v>
      </c>
      <c r="BW466" s="2" t="e">
        <f ca="1">_xll.BDH($C$453,"BPS_SEQUENTIAL_GROWTH","FQ3 2016","FQ3 2016","Currency=INR","Period=FQ","BEST_FPERIOD_OVERRIDE=FQ","FILING_STATUS=OR","EQY_CONSOLIDATED=Y","Sort=A","Dates=H","DateFormat=P","Fill=—","Direction=H","UseDPDF=Y")</f>
        <v>#NAME?</v>
      </c>
      <c r="BX466" s="2" t="e">
        <f ca="1">_xll.BDH($C$453,"CFO_SEQUENTIAL_GROWTH","FQ3 2016","FQ3 2016","Currency=INR","Period=FQ","BEST_FPERIOD_OVERRIDE=FQ","FILING_STATUS=OR","EQY_CONSOLIDATED=Y","Sort=A","Dates=H","DateFormat=P","Fill=—","Direction=H","UseDPDF=Y")</f>
        <v>#NAME?</v>
      </c>
      <c r="BY466" s="3" t="e">
        <f ca="1">_xll.BDH($C$453,"SHORT_AND_LONG_TERM_DEBT","FQ3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66" s="3" t="e">
        <f ca="1">_xll.BDH($C$453,"BS_ST_BORROW","FQ3 2016","FQ3 2016","Currency=INR","Period=FQ","BEST_FPERIOD_OVERRIDE=FQ","FILING_STATUS=OR","EQY_CONSOLIDATED=Y","SCALING_FORMAT=MLN","Sort=A","Dates=H","DateFormat=P","Fill=—","Direction=H","UseDPDF=Y")</f>
        <v>#NAME?</v>
      </c>
      <c r="CA466" s="3" t="e">
        <f ca="1">_xll.BDH($C$453,"BS_LT_BORROW","FQ3 2016","FQ3 2016","Currency=INR","Period=FQ","BEST_FPERIOD_OVERRIDE=FQ","FILING_STATUS=OR","EQY_CONSOLIDATED=Y","SCALING_FORMAT=MLN","Sort=A","Dates=H","DateFormat=P","Fill=—","Direction=H","UseDPDF=Y")</f>
        <v>#NAME?</v>
      </c>
      <c r="CB466" s="2" t="e">
        <f ca="1">_xll.BDH($C$453,"TOT_DEBT_TO_EBITDA","FQ3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66" s="2" t="e">
        <f ca="1">_xll.BDH($C$453,"NET_DEBT_TO_EBITDA","FQ3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66" s="2" t="e">
        <f ca="1">_xll.BDH($C$453,"TOTAL_DEBT_TO_EBIT","FQ3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66" s="2" t="e">
        <f ca="1">_xll.BDH($C$453,"NET_DEBT_TO_EBIT","FQ3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466" s="2" t="e">
        <f ca="1">_xll.BDH($C$453,"EBITDA_TO_INTEREST_EXPN","FQ3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66" s="2" t="e">
        <f ca="1">_xll.BDH($C$453,"COM_EQY_TO_TOT_ASSET","FQ3 2016","FQ3 2016","Currency=INR","Period=FQ","BEST_FPERIOD_OVERRIDE=FQ","FILING_STATUS=OR","EQY_CONSOLIDATED=Y","Sort=A","Dates=H","DateFormat=P","Fill=—","Direction=H","UseDPDF=Y")</f>
        <v>#NAME?</v>
      </c>
      <c r="CH466" s="2" t="e">
        <f ca="1">_xll.BDH($C$453,"LT_DEBT_TO_TOT_EQY","FQ3 2016","FQ3 2016","Currency=INR","Period=FQ","BEST_FPERIOD_OVERRIDE=FQ","FILING_STATUS=OR","EQY_CONSOLIDATED=Y","Sort=A","Dates=H","DateFormat=P","Fill=—","Direction=H","UseDPDF=Y")</f>
        <v>#NAME?</v>
      </c>
      <c r="CI466" s="2" t="e">
        <f ca="1">_xll.BDH($C$453,"LT_DEBT_TO_TOT_CAP","FQ3 2016","FQ3 2016","Currency=INR","Period=FQ","BEST_FPERIOD_OVERRIDE=FQ","FILING_STATUS=OR","EQY_CONSOLIDATED=Y","Sort=A","Dates=H","DateFormat=P","Fill=—","Direction=H","UseDPDF=Y")</f>
        <v>#NAME?</v>
      </c>
      <c r="CJ466" s="2" t="e">
        <f ca="1">_xll.BDH($C$453,"LT_DEBT_TO_TOT_ASSET","FQ3 2016","FQ3 2016","Currency=INR","Period=FQ","BEST_FPERIOD_OVERRIDE=FQ","FILING_STATUS=OR","EQY_CONSOLIDATED=Y","Sort=A","Dates=H","DateFormat=P","Fill=—","Direction=H","UseDPDF=Y")</f>
        <v>#NAME?</v>
      </c>
      <c r="CK466" s="2" t="e">
        <f ca="1">_xll.BDH($C$453,"TOT_DEBT_TO_TOT_EQY","FQ3 2016","FQ3 2016","Currency=INR","Period=FQ","BEST_FPERIOD_OVERRIDE=FQ","FILING_STATUS=OR","EQY_CONSOLIDATED=Y","Sort=A","Dates=H","DateFormat=P","Fill=—","Direction=H","UseDPDF=Y")</f>
        <v>#NAME?</v>
      </c>
      <c r="CL466" s="2" t="e">
        <f ca="1">_xll.BDH($C$453,"TOT_DEBT_TO_TOT_CAP","FQ3 2016","FQ3 2016","Currency=INR","Period=FQ","BEST_FPERIOD_OVERRIDE=FQ","FILING_STATUS=OR","EQY_CONSOLIDATED=Y","Sort=A","Dates=H","DateFormat=P","Fill=—","Direction=H","UseDPDF=Y")</f>
        <v>#NAME?</v>
      </c>
      <c r="CM466" s="2" t="e">
        <f ca="1">_xll.BDH($C$453,"TOT_DEBT_TO_TOT_ASSET","FQ3 2016","FQ3 2016","Currency=INR","Period=FQ","BEST_FPERIOD_OVERRIDE=FQ","FILING_STATUS=OR","EQY_CONSOLIDATED=Y","Sort=A","Dates=H","DateFormat=P","Fill=—","Direction=H","UseDPDF=Y")</f>
        <v>#NAME?</v>
      </c>
      <c r="CN466" s="2" t="e">
        <f ca="1">_xll.BDH($C$453,"NET_DEBT_TO_SHRHLDR_EQTY","FQ3 2016","FQ3 2016","Currency=INR","Period=FQ","BEST_FPERIOD_OVERRIDE=FQ","FILING_STATUS=OR","EQY_CONSOLIDATED=Y","Sort=A","Dates=H","DateFormat=P","Fill=—","Direction=H","UseDPDF=Y")</f>
        <v>#NAME?</v>
      </c>
      <c r="CO466" s="2" t="e">
        <f ca="1">_xll.BDH($C$453,"NET_DEBT_%_CAPITAL","FQ3 2016","FQ3 2016","Currency=INR","Period=FQ","BEST_FPERIOD_OVERRIDE=FQ","FILING_STATUS=OR","EQY_CONSOLIDATED=Y","Sort=A","Dates=H","DateFormat=P","Fill=—","Direction=H","UseDPDF=Y")</f>
        <v>#NAME?</v>
      </c>
      <c r="CP466" s="3" t="e">
        <f ca="1">_xll.BDH($C$453,"EBITDA","FQ3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66" s="3" t="e">
        <f ca="1">_xll.BDH($C$453,"EBITDA_AFTER_CAPEX","FQ3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66" s="3" t="e">
        <f ca="1">_xll.BDH($C$453,"IS_OPER_INC","FQ3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66" s="2" t="e">
        <f ca="1">_xll.BDH($C$453,"CASH_RATIO","FQ3 2016","FQ3 2016","Currency=INR","Period=FQ","BEST_FPERIOD_OVERRIDE=FQ","FILING_STATUS=OR","EQY_CONSOLIDATED=Y","Sort=A","Dates=H","DateFormat=P","Fill=—","Direction=H","UseDPDF=Y")</f>
        <v>#NAME?</v>
      </c>
      <c r="CT466" s="2" t="e">
        <f ca="1">_xll.BDH($C$453,"CUR_RATIO","FQ3 2016","FQ3 2016","Currency=INR","Period=FQ","BEST_FPERIOD_OVERRIDE=FQ","FILING_STATUS=OR","EQY_CONSOLIDATED=Y","Sort=A","Dates=H","DateFormat=P","Fill=—","Direction=H","UseDPDF=Y")</f>
        <v>#NAME?</v>
      </c>
      <c r="CU466" s="2" t="e">
        <f ca="1">_xll.BDH($C$453,"QUICK_RATIO","FQ3 2016","FQ3 2016","Currency=INR","Period=FQ","BEST_FPERIOD_OVERRIDE=FQ","FILING_STATUS=OR","EQY_CONSOLIDATED=Y","Sort=A","Dates=H","DateFormat=P","Fill=—","Direction=H","UseDPDF=Y")</f>
        <v>#NAME?</v>
      </c>
      <c r="CV466" s="2" t="e">
        <f ca="1">_xll.BDH($C$453,"ALTMAN_Z_SCORE","FQ3 2016","FQ3 2016","Currency=INR","Period=FQ","BEST_FPERIOD_OVERRIDE=FQ","FILING_STATUS=OR","EQY_CONSOLIDATED=Y","Sort=A","Dates=H","DateFormat=P","Fill=—","Direction=H","UseDPDF=Y")</f>
        <v>#NAME?</v>
      </c>
      <c r="CW466" s="4" t="e">
        <f ca="1">_xll.BDH($C$453,"ACCT_RCV_TURN","FQ3 2016","FQ3 2016","Currency=INR","Period=FQ","BEST_FPERIOD_OVERRIDE=FQ","FILING_STATUS=OR","EQY_CONSOLIDATED=Y","FA_ADJUSTED=GAAP","Sort=A","Dates=H","DateFormat=P","Fill=—","Direction=H","UseDPDF=Y")</f>
        <v>#NAME?</v>
      </c>
      <c r="CX466" s="2" t="e">
        <f ca="1">_xll.BDH($C$453,"ACCT_RCV_DAYS","FQ3 2016","FQ3 2016","Currency=INR","Period=FQ","BEST_FPERIOD_OVERRIDE=FQ","FILING_STATUS=OR","EQY_CONSOLIDATED=Y","FA_ADJUSTED=GAAP","Sort=A","Dates=H","DateFormat=P","Fill=—","Direction=H","UseDPDF=Y")</f>
        <v>#NAME?</v>
      </c>
      <c r="CY466" s="4" t="e">
        <f ca="1">_xll.BDH($C$453,"INVENT_TURN","FQ3 2016","FQ3 2016","Currency=INR","Period=FQ","BEST_FPERIOD_OVERRIDE=FQ","FILING_STATUS=OR","EQY_CONSOLIDATED=Y","FA_ADJUSTED=GAAP","Sort=A","Dates=H","DateFormat=P","Fill=—","Direction=H","UseDPDF=Y")</f>
        <v>#NAME?</v>
      </c>
      <c r="CZ466" s="2" t="e">
        <f ca="1">_xll.BDH($C$453,"INVENT_DAYS","FQ3 2016","FQ3 2016","Currency=INR","Period=FQ","BEST_FPERIOD_OVERRIDE=FQ","FILING_STATUS=OR","EQY_CONSOLIDATED=Y","FA_ADJUSTED=GAAP","Sort=A","Dates=H","DateFormat=P","Fill=—","Direction=H","UseDPDF=Y")</f>
        <v>#NAME?</v>
      </c>
      <c r="DA466" s="4" t="e">
        <f ca="1">_xll.BDH($C$453,"ACCOUNTS_PAYABLE_TURNOVER","FQ3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66" s="2" t="e">
        <f ca="1">_xll.BDH($C$453,"ACCOUNTS_PAYABLE_TURNOVER_DAYS","FQ3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66" s="4" t="e">
        <f ca="1">_xll.BDH($C$453,"CASH_CONVERSION_CYCLE","FQ3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66" s="4" t="e">
        <f ca="1">_xll.BDH($C$453,"INV_TO_CASH_DAYS","FQ3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466" s="5" t="e">
        <f ca="1">_xll.BDH($C$453,"BS_INVENTORIES","FQ3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466" s="3" t="e">
        <f ca="1">_xll.BDH($C$453,"INVTRY_RAW_MATERIALS","FQ3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66" s="3" t="e">
        <f ca="1">_xll.BDH($C$453,"INVTRY_IN_PROGRESS","FQ3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66" s="3" t="e">
        <f ca="1">_xll.BDH($C$453,"INVTRY_FINISHED_GOODS","FQ3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66" s="3" t="e">
        <f ca="1">_xll.BDH($C$453,"BS_OTHER_INV","FQ3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67" spans="1:113" x14ac:dyDescent="0.3">
      <c r="A467" s="6"/>
      <c r="B467" s="6"/>
      <c r="C467" s="6"/>
      <c r="D467" s="6"/>
      <c r="E467" t="s">
        <v>81</v>
      </c>
      <c r="F467" t="e">
        <f ca="1">_xll.BDH($C$453,"RETURN_COM_EQY","FQ4 2016","FQ4 2016","Currency=INR","Period=FQ","BEST_FPERIOD_OVERRIDE=FQ","FILING_STATUS=OR","EQY_CONSOLIDATED=Y","FA_ADJUSTED=GAAP","Sort=A","Dates=H","DateFormat=P","Fill=—","Direction=H","UseDPDF=Y")</f>
        <v>#NAME?</v>
      </c>
      <c r="G467" t="e">
        <f ca="1">_xll.BDH($C$453,"RETURN_ON_ASSET","FQ4 2016","FQ4 2016","Currency=INR","Period=FQ","BEST_FPERIOD_OVERRIDE=FQ","FILING_STATUS=OR","EQY_CONSOLIDATED=Y","FA_ADJUSTED=GAAP","Sort=A","Dates=H","DateFormat=P","Fill=—","Direction=H","UseDPDF=Y")</f>
        <v>#NAME?</v>
      </c>
      <c r="H467" t="e">
        <f ca="1">_xll.BDH($C$453,"RETURN_ON_CAP","FQ4 2016","FQ4 2016","Currency=INR","Period=FQ","BEST_FPERIOD_OVERRIDE=FQ","FILING_STATUS=OR","EQY_CONSOLIDATED=Y","FA_ADJUSTED=GAAP","Sort=A","Dates=H","DateFormat=P","Fill=—","Direction=H","UseDPDF=Y")</f>
        <v>#NAME?</v>
      </c>
      <c r="I467" t="e">
        <f ca="1">_xll.BDH($C$453,"RETURN_ON_INV_CAPITAL","FQ4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67" t="e">
        <f ca="1">_xll.BDH($C$453,"EBITDA_TO_REVENUE","FQ4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467" t="e">
        <f ca="1">_xll.BDH($C$453,"OPER_MARGIN","FQ4 2016","FQ4 2016","Currency=INR","Period=FQ","BEST_FPERIOD_OVERRIDE=FQ","FILING_STATUS=OR","EQY_CONSOLIDATED=Y","FA_ADJUSTED=GAAP","Sort=A","Dates=H","DateFormat=P","Fill=—","Direction=H","UseDPDF=Y")</f>
        <v>#NAME?</v>
      </c>
      <c r="L467" t="e">
        <f ca="1">_xll.BDH($C$453,"INCREMENTAL_OPERATING_MARGIN","FQ4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67" t="e">
        <f ca="1">_xll.BDH($C$453,"PRETAX_INC_TO_NET_SALES","FQ4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67" t="e">
        <f ca="1">_xll.BDH($C$453,"INC_BEF_XO_ITEMS_TO_NET_SALES","FQ4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67" t="e">
        <f ca="1">_xll.BDH($C$453,"PROF_MARGIN","FQ4 2016","FQ4 2016","Currency=INR","Period=FQ","BEST_FPERIOD_OVERRIDE=FQ","FILING_STATUS=OR","EQY_CONSOLIDATED=Y","FA_ADJUSTED=GAAP","Sort=A","Dates=H","DateFormat=P","Fill=—","Direction=H","UseDPDF=Y")</f>
        <v>#NAME?</v>
      </c>
      <c r="P467" t="e">
        <f ca="1">_xll.BDH($C$453,"NET_INCOME_TO_COMMON_MARGIN","FQ4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67" t="e">
        <f ca="1">_xll.BDH($C$453,"EFF_TAX_RATE","FQ4 2016","FQ4 2016","Currency=INR","Period=FQ","BEST_FPERIOD_OVERRIDE=FQ","FILING_STATUS=OR","EQY_CONSOLIDATED=Y","FA_ADJUSTED=GAAP","Sort=A","Dates=H","DateFormat=P","Fill=—","Direction=H","UseDPDF=Y")</f>
        <v>#NAME?</v>
      </c>
      <c r="R467" t="e">
        <f ca="1">_xll.BDH($C$453,"DVD_PAYOUT_RATIO","FQ4 2016","FQ4 2016","Currency=INR","Period=FQ","BEST_FPERIOD_OVERRIDE=FQ","FILING_STATUS=OR","EQY_CONSOLIDATED=Y","FA_ADJUSTED=GAAP","Sort=A","Dates=H","DateFormat=P","Fill=—","Direction=H","UseDPDF=Y")</f>
        <v>#NAME?</v>
      </c>
      <c r="S467" t="e">
        <f ca="1">_xll.BDH($C$453,"SUSTAIN_GROWTH_RT","FQ4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467" s="2" t="e">
        <f ca="1">_xll.BDH($C$453,"SALES_GROWTH","FQ4 2016","FQ4 2016","Currency=INR","Period=FQ","BEST_FPERIOD_OVERRIDE=FQ","FILING_STATUS=OR","EQY_CONSOLIDATED=Y","FA_ADJUSTED=GAAP","Sort=A","Dates=H","DateFormat=P","Fill=—","Direction=H","UseDPDF=Y")</f>
        <v>#NAME?</v>
      </c>
      <c r="U467" s="2" t="e">
        <f ca="1">_xll.BDH($C$453,"EBITDA_GROWTH","FQ4 2016","FQ4 2016","Currency=INR","Period=FQ","BEST_FPERIOD_OVERRIDE=FQ","FILING_STATUS=OR","EQY_CONSOLIDATED=Y","FA_ADJUSTED=GAAP","Sort=A","Dates=H","DateFormat=P","Fill=—","Direction=H","UseDPDF=Y")</f>
        <v>#NAME?</v>
      </c>
      <c r="V467" s="2" t="e">
        <f ca="1">_xll.BDH($C$453,"OPER_INC_GROWTH","FQ4 2016","FQ4 2016","Currency=INR","Period=FQ","BEST_FPERIOD_OVERRIDE=FQ","FILING_STATUS=OR","EQY_CONSOLIDATED=Y","FA_ADJUSTED=GAAP","Sort=A","Dates=H","DateFormat=P","Fill=—","Direction=H","UseDPDF=Y")</f>
        <v>#NAME?</v>
      </c>
      <c r="W467" s="2" t="e">
        <f ca="1">_xll.BDH($C$453,"EARN_FOR_COM_GROWTH","FQ4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67" s="2" t="e">
        <f ca="1">_xll.BDH($C$453,"DILUTED_EPS_AFT_XO_ITEMS_GROWTH","FQ4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67" s="2" t="e">
        <f ca="1">_xll.BDH($C$453,"DIVIDEND_PER_SHARE_1_YEAR_GROWTH","FQ4 2016","FQ4 2016","Currency=INR","Period=FQ","BEST_FPERIOD_OVERRIDE=FQ","FILING_STATUS=OR","EQY_CONSOLIDATED=Y","Sort=A","Dates=H","DateFormat=P","Fill=—","Direction=H","UseDPDF=Y")</f>
        <v>#NAME?</v>
      </c>
      <c r="Z467" s="2" t="e">
        <f ca="1">_xll.BDH($C$453,"ACCOUNTS_RECEIVABLE_GROWTH","FQ4 2016","FQ4 2016","Currency=INR","Period=FQ","BEST_FPERIOD_OVERRIDE=FQ","FILING_STATUS=OR","EQY_CONSOLIDATED=Y","Sort=A","Dates=H","DateFormat=P","Fill=—","Direction=H","UseDPDF=Y")</f>
        <v>#NAME?</v>
      </c>
      <c r="AA467" s="2" t="e">
        <f ca="1">_xll.BDH($C$453,"INVENTORY_GROWTH","FQ4 2016","FQ4 2016","Currency=INR","Period=FQ","BEST_FPERIOD_OVERRIDE=FQ","FILING_STATUS=OR","EQY_CONSOLIDATED=Y","Sort=A","Dates=H","DateFormat=P","Fill=—","Direction=H","UseDPDF=Y")</f>
        <v>#NAME?</v>
      </c>
      <c r="AB467" s="2" t="e">
        <f ca="1">_xll.BDH($C$453,"NET_FIXED_ASSETS_1_YEAR_GROWTH","FQ4 2016","FQ4 2016","Currency=INR","Period=FQ","BEST_FPERIOD_OVERRIDE=FQ","FILING_STATUS=OR","EQY_CONSOLIDATED=Y","Sort=A","Dates=H","DateFormat=P","Fill=—","Direction=H","UseDPDF=Y")</f>
        <v>#NAME?</v>
      </c>
      <c r="AC467" s="2" t="e">
        <f ca="1">_xll.BDH($C$453,"ASSET_GROWTH","FQ4 2016","FQ4 2016","Currency=INR","Period=FQ","BEST_FPERIOD_OVERRIDE=FQ","FILING_STATUS=OR","EQY_CONSOLIDATED=Y","Sort=A","Dates=H","DateFormat=P","Fill=—","Direction=H","UseDPDF=Y")</f>
        <v>#NAME?</v>
      </c>
      <c r="AD467" s="2" t="e">
        <f ca="1">_xll.BDH($C$453,"MODIFIED_WORK_CAP_GROWTH","FQ4 2016","FQ4 2016","Currency=INR","Period=FQ","BEST_FPERIOD_OVERRIDE=FQ","FILING_STATUS=OR","EQY_CONSOLIDATED=Y","Sort=A","Dates=H","DateFormat=P","Fill=—","Direction=H","UseDPDF=Y")</f>
        <v>#NAME?</v>
      </c>
      <c r="AE467" s="2" t="e">
        <f ca="1">_xll.BDH($C$453,"WORK_CAP_GROWTH","FQ4 2016","FQ4 2016","Currency=INR","Period=FQ","BEST_FPERIOD_OVERRIDE=FQ","FILING_STATUS=OR","EQY_CONSOLIDATED=Y","Sort=A","Dates=H","DateFormat=P","Fill=—","Direction=H","UseDPDF=Y")</f>
        <v>#NAME?</v>
      </c>
      <c r="AF467" s="2" t="e">
        <f ca="1">_xll.BDH($C$453,"ACCOUNTS_PAYABLE_GROWTH_1YR","FQ4 2016","FQ4 2016","Currency=INR","Period=FQ","BEST_FPERIOD_OVERRIDE=FQ","FILING_STATUS=OR","EQY_CONSOLIDATED=Y","Sort=A","Dates=H","DateFormat=P","Fill=—","Direction=H","UseDPDF=Y")</f>
        <v>#NAME?</v>
      </c>
      <c r="AG467" s="2" t="e">
        <f ca="1">_xll.BDH($C$453,"SHORT_TERM_DEBT_1_YEAR_GROWTH","FQ4 2016","FQ4 2016","Currency=INR","Period=FQ","BEST_FPERIOD_OVERRIDE=FQ","FILING_STATUS=OR","EQY_CONSOLIDATED=Y","Sort=A","Dates=H","DateFormat=P","Fill=—","Direction=H","UseDPDF=Y")</f>
        <v>#NAME?</v>
      </c>
      <c r="AH467" s="2" t="e">
        <f ca="1">_xll.BDH($C$453,"TOTAL_DEBT_1_YEAR_GROWTH","FQ4 2016","FQ4 2016","Currency=INR","Period=FQ","BEST_FPERIOD_OVERRIDE=FQ","FILING_STATUS=OR","EQY_CONSOLIDATED=Y","Sort=A","Dates=H","DateFormat=P","Fill=—","Direction=H","UseDPDF=Y")</f>
        <v>#NAME?</v>
      </c>
      <c r="AI467" s="2" t="e">
        <f ca="1">_xll.BDH($C$453,"TOTAL_EQUITY_1_YEAR_GROWTH","FQ4 2016","FQ4 2016","Currency=INR","Period=FQ","BEST_FPERIOD_OVERRIDE=FQ","FILING_STATUS=OR","EQY_CONSOLIDATED=Y","Sort=A","Dates=H","DateFormat=P","Fill=—","Direction=H","UseDPDF=Y")</f>
        <v>#NAME?</v>
      </c>
      <c r="AJ467" s="2" t="e">
        <f ca="1">_xll.BDH($C$453,"GROWTH_IN_CAP","FQ4 2016","FQ4 2016","Currency=INR","Period=FQ","BEST_FPERIOD_OVERRIDE=FQ","FILING_STATUS=OR","EQY_CONSOLIDATED=Y","Sort=A","Dates=H","DateFormat=P","Fill=—","Direction=H","UseDPDF=Y")</f>
        <v>#NAME?</v>
      </c>
      <c r="AK467" s="2" t="e">
        <f ca="1">_xll.BDH($C$453,"BVPS_GROWTH","FQ4 2016","FQ4 2016","Currency=INR","Period=FQ","BEST_FPERIOD_OVERRIDE=FQ","FILING_STATUS=OR","EQY_CONSOLIDATED=Y","Sort=A","Dates=H","DateFormat=P","Fill=—","Direction=H","UseDPDF=Y")</f>
        <v>#NAME?</v>
      </c>
      <c r="AL467" s="2" t="e">
        <f ca="1">_xll.BDH($C$453,"CASH_FLOW_GROWTH","FQ4 2016","FQ4 2016","Currency=INR","Period=FQ","BEST_FPERIOD_OVERRIDE=FQ","FILING_STATUS=OR","EQY_CONSOLIDATED=Y","Sort=A","Dates=H","DateFormat=P","Fill=—","Direction=H","UseDPDF=Y")</f>
        <v>#NAME?</v>
      </c>
      <c r="AM467" s="2" t="e">
        <f ca="1">_xll.BDH($C$453,"GEO_GROW_NET_SALES","FQ4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67" s="2" t="e">
        <f ca="1">_xll.BDH($C$453,"GEO_GROW_EBITDA","FQ4 2016","FQ4 2016","Currency=INR","Period=FQ","BEST_FPERIOD_OVERRIDE=FQ","FILING_STATUS=OR","EQY_CONSOLIDATED=Y","FA_ADJUSTED=GAAP","Sort=A","Dates=H","DateFormat=P","Fill=—","Direction=H","UseDPDF=Y")</f>
        <v>#NAME?</v>
      </c>
      <c r="AO467" s="2" t="e">
        <f ca="1">_xll.BDH($C$453,"GEO_GROW_OPER_INC","FQ4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67" s="2" t="e">
        <f ca="1">_xll.BDH($C$453,"NET_INCOME_TO_COMMON_5_YR_GROWTH","FQ4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67" s="2" t="e">
        <f ca="1">_xll.BDH($C$453,"5Y_GEO_GROWTH_DILUTED_EPS","FQ4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67" s="2" t="e">
        <f ca="1">_xll.BDH($C$453,"GEO_GROW_DVD_PER_SH","FQ4 2016","FQ4 2016","Currency=INR","Period=FQ","BEST_FPERIOD_OVERRIDE=FQ","FILING_STATUS=OR","EQY_CONSOLIDATED=Y","Sort=A","Dates=H","DateFormat=P","Fill=—","Direction=H","UseDPDF=Y")</f>
        <v>#NAME?</v>
      </c>
      <c r="AS467" s="2" t="e">
        <f ca="1">_xll.BDH($C$453,"ACCOUNTS_RECEIVABLE_5_YR_GROWTH","FQ4 2016","FQ4 2016","Currency=INR","Period=FQ","BEST_FPERIOD_OVERRIDE=FQ","FILING_STATUS=OR","EQY_CONSOLIDATED=Y","Sort=A","Dates=H","DateFormat=P","Fill=—","Direction=H","UseDPDF=Y")</f>
        <v>#NAME?</v>
      </c>
      <c r="AT467" s="2" t="e">
        <f ca="1">_xll.BDH($C$453,"INVENTORY_5_YEAR_GROWTH","FQ4 2016","FQ4 2016","Currency=INR","Period=FQ","BEST_FPERIOD_OVERRIDE=FQ","FILING_STATUS=OR","EQY_CONSOLIDATED=Y","Sort=A","Dates=H","DateFormat=P","Fill=—","Direction=H","UseDPDF=Y")</f>
        <v>#NAME?</v>
      </c>
      <c r="AU467" s="2" t="e">
        <f ca="1">_xll.BDH($C$453,"NET_FIXED_ASSETS_5_YEAR_GROWTH","FQ4 2016","FQ4 2016","Currency=INR","Period=FQ","BEST_FPERIOD_OVERRIDE=FQ","FILING_STATUS=OR","EQY_CONSOLIDATED=Y","Sort=A","Dates=H","DateFormat=P","Fill=—","Direction=H","UseDPDF=Y")</f>
        <v>#NAME?</v>
      </c>
      <c r="AV467" s="2" t="e">
        <f ca="1">_xll.BDH($C$453,"GEO_GROW_TOT_ASSET","FQ4 2016","FQ4 2016","Currency=INR","Period=FQ","BEST_FPERIOD_OVERRIDE=FQ","FILING_STATUS=OR","EQY_CONSOLIDATED=Y","Sort=A","Dates=H","DateFormat=P","Fill=—","Direction=H","UseDPDF=Y")</f>
        <v>#NAME?</v>
      </c>
      <c r="AW467" s="2" t="e">
        <f ca="1">_xll.BDH($C$453,"MODIFIED_WORKING_CPTL_5YR_GRWTH","FQ4 2016","FQ4 2016","Currency=INR","Period=FQ","BEST_FPERIOD_OVERRIDE=FQ","FILING_STATUS=OR","EQY_CONSOLIDATED=Y","Sort=A","Dates=H","DateFormat=P","Fill=—","Direction=H","UseDPDF=Y")</f>
        <v>#NAME?</v>
      </c>
      <c r="AX467" s="2" t="e">
        <f ca="1">_xll.BDH($C$453,"WORKING_CAPITAL_5_YEAR_GROWTH","FQ4 2016","FQ4 2016","Currency=INR","Period=FQ","BEST_FPERIOD_OVERRIDE=FQ","FILING_STATUS=OR","EQY_CONSOLIDATED=Y","Sort=A","Dates=H","DateFormat=P","Fill=—","Direction=H","UseDPDF=Y")</f>
        <v>#NAME?</v>
      </c>
      <c r="AY467" s="2" t="e">
        <f ca="1">_xll.BDH($C$453,"ACCOUNTS_PAYABLE_5_YEAR_GROWTH","FQ4 2016","FQ4 2016","Currency=INR","Period=FQ","BEST_FPERIOD_OVERRIDE=FQ","FILING_STATUS=OR","EQY_CONSOLIDATED=Y","Sort=A","Dates=H","DateFormat=P","Fill=—","Direction=H","UseDPDF=Y")</f>
        <v>#NAME?</v>
      </c>
      <c r="AZ467" s="2" t="e">
        <f ca="1">_xll.BDH($C$453,"SHORT_TERM_DEBT_5_YEAR_GROWTH","FQ4 2016","FQ4 2016","Currency=INR","Period=FQ","BEST_FPERIOD_OVERRIDE=FQ","FILING_STATUS=OR","EQY_CONSOLIDATED=Y","Sort=A","Dates=H","DateFormat=P","Fill=—","Direction=H","UseDPDF=Y")</f>
        <v>#NAME?</v>
      </c>
      <c r="BA467" s="2" t="e">
        <f ca="1">_xll.BDH($C$453,"TOTAL_DEBT_5_YEAR_GROWTH","FQ4 2016","FQ4 2016","Currency=INR","Period=FQ","BEST_FPERIOD_OVERRIDE=FQ","FILING_STATUS=OR","EQY_CONSOLIDATED=Y","Sort=A","Dates=H","DateFormat=P","Fill=—","Direction=H","UseDPDF=Y")</f>
        <v>#NAME?</v>
      </c>
      <c r="BB467" s="2" t="e">
        <f ca="1">_xll.BDH($C$453,"GEO_GROW_TOT_SHRHLDR_EQY","FQ4 2016","FQ4 2016","Currency=INR","Period=FQ","BEST_FPERIOD_OVERRIDE=FQ","FILING_STATUS=OR","EQY_CONSOLIDATED=Y","Sort=A","Dates=H","DateFormat=P","Fill=—","Direction=H","UseDPDF=Y")</f>
        <v>#NAME?</v>
      </c>
      <c r="BC467" s="2" t="e">
        <f ca="1">_xll.BDH($C$453,"TOTAL_CAPITAL_5_YEAR_GROWTH","FQ4 2016","FQ4 2016","Currency=INR","Period=FQ","BEST_FPERIOD_OVERRIDE=FQ","FILING_STATUS=OR","EQY_CONSOLIDATED=Y","Sort=A","Dates=H","DateFormat=P","Fill=—","Direction=H","UseDPDF=Y")</f>
        <v>#NAME?</v>
      </c>
      <c r="BD467" s="2" t="e">
        <f ca="1">_xll.BDH($C$453,"GEO_GROW_BOOK_VAL","FQ4 2016","FQ4 2016","Currency=INR","Period=FQ","BEST_FPERIOD_OVERRIDE=FQ","FILING_STATUS=OR","EQY_CONSOLIDATED=Y","Sort=A","Dates=H","DateFormat=P","Fill=—","Direction=H","UseDPDF=Y")</f>
        <v>#NAME?</v>
      </c>
      <c r="BE467" s="2" t="e">
        <f ca="1">_xll.BDH($C$453,"GEO_GROW_CASH_OPER_ACT","FQ4 2016","FQ4 2016","Currency=INR","Period=FQ","BEST_FPERIOD_OVERRIDE=FQ","FILING_STATUS=OR","EQY_CONSOLIDATED=Y","Sort=A","Dates=H","DateFormat=P","Fill=—","Direction=H","UseDPDF=Y")</f>
        <v>#NAME?</v>
      </c>
      <c r="BF467" s="2" t="e">
        <f ca="1">_xll.BDH($C$453,"REVENUE_SEQUENTIAL_GROWTH","FQ4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67" s="2" t="e">
        <f ca="1">_xll.BDH($C$453,"EBITDA_SEQUENTIAL_GROWTH","FQ4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67" s="2" t="e">
        <f ca="1">_xll.BDH($C$453,"OPERATING_INCOME_SEQ_GROWTH","FQ4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67" s="2" t="e">
        <f ca="1">_xll.BDH($C$453,"NET_INCOME_TO_COMMON_SEQ_GROWTH","FQ4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67" s="2" t="e">
        <f ca="1">_xll.BDH($C$453,"EPS_DILUTED_SEQUENTIAL_GROWTH","FQ4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67" s="2" t="e">
        <f ca="1">_xll.BDH($C$453,"DPS_SEQUENTIAL_GROWTH","FQ4 2016","FQ4 2016","Currency=INR","Period=FQ","BEST_FPERIOD_OVERRIDE=FQ","FILING_STATUS=OR","EQY_CONSOLIDATED=Y","Sort=A","Dates=H","DateFormat=P","Fill=—","Direction=H","UseDPDF=Y")</f>
        <v>#NAME?</v>
      </c>
      <c r="BL467" s="2" t="e">
        <f ca="1">_xll.BDH($C$453,"ACCOUNTS_RECEIVABLE_SEQ_GROWTH","FQ4 2016","FQ4 2016","Currency=INR","Period=FQ","BEST_FPERIOD_OVERRIDE=FQ","FILING_STATUS=OR","EQY_CONSOLIDATED=Y","Sort=A","Dates=H","DateFormat=P","Fill=—","Direction=H","UseDPDF=Y")</f>
        <v>#NAME?</v>
      </c>
      <c r="BM467" s="2" t="e">
        <f ca="1">_xll.BDH($C$453,"INVENTORY_SEQUENTIAL_GROWTH","FQ4 2016","FQ4 2016","Currency=INR","Period=FQ","BEST_FPERIOD_OVERRIDE=FQ","FILING_STATUS=OR","EQY_CONSOLIDATED=Y","Sort=A","Dates=H","DateFormat=P","Fill=—","Direction=H","UseDPDF=Y")</f>
        <v>#NAME?</v>
      </c>
      <c r="BN467" s="2" t="e">
        <f ca="1">_xll.BDH($C$453,"FIXED_ASSETS_SEQUENTIAL_GROWTH","FQ4 2016","FQ4 2016","Currency=INR","Period=FQ","BEST_FPERIOD_OVERRIDE=FQ","FILING_STATUS=OR","EQY_CONSOLIDATED=Y","Sort=A","Dates=H","DateFormat=P","Fill=—","Direction=H","UseDPDF=Y")</f>
        <v>#NAME?</v>
      </c>
      <c r="BO467" s="2" t="e">
        <f ca="1">_xll.BDH($C$453,"TOTAL_ASSETS_SEQUENTIAL_GROWTH","FQ4 2016","FQ4 2016","Currency=INR","Period=FQ","BEST_FPERIOD_OVERRIDE=FQ","FILING_STATUS=OR","EQY_CONSOLIDATED=Y","Sort=A","Dates=H","DateFormat=P","Fill=—","Direction=H","UseDPDF=Y")</f>
        <v>#NAME?</v>
      </c>
      <c r="BP467" s="2" t="e">
        <f ca="1">_xll.BDH($C$453,"MODIFIED_WORKING_CPTL_SEQ_GRWTH","FQ4 2016","FQ4 2016","Currency=INR","Period=FQ","BEST_FPERIOD_OVERRIDE=FQ","FILING_STATUS=OR","EQY_CONSOLIDATED=Y","Sort=A","Dates=H","DateFormat=P","Fill=—","Direction=H","UseDPDF=Y")</f>
        <v>#NAME?</v>
      </c>
      <c r="BQ467" s="2" t="e">
        <f ca="1">_xll.BDH($C$453,"WORKING_CAPITAL_SEQ_GROWTH","FQ4 2016","FQ4 2016","Currency=INR","Period=FQ","BEST_FPERIOD_OVERRIDE=FQ","FILING_STATUS=OR","EQY_CONSOLIDATED=Y","Sort=A","Dates=H","DateFormat=P","Fill=—","Direction=H","UseDPDF=Y")</f>
        <v>#NAME?</v>
      </c>
      <c r="BR467" s="2" t="e">
        <f ca="1">_xll.BDH($C$453,"ACCOUNTS_PAYABLE_SEQ_GROWTH","FQ4 2016","FQ4 2016","Currency=INR","Period=FQ","BEST_FPERIOD_OVERRIDE=FQ","FILING_STATUS=OR","EQY_CONSOLIDATED=Y","Sort=A","Dates=H","DateFormat=P","Fill=—","Direction=H","UseDPDF=Y")</f>
        <v>#NAME?</v>
      </c>
      <c r="BS467" s="2" t="e">
        <f ca="1">_xll.BDH($C$453,"ST_DEBT_SEQUENTIAL_GROWTH","FQ4 2016","FQ4 2016","Currency=INR","Period=FQ","BEST_FPERIOD_OVERRIDE=FQ","FILING_STATUS=OR","EQY_CONSOLIDATED=Y","Sort=A","Dates=H","DateFormat=P","Fill=—","Direction=H","UseDPDF=Y")</f>
        <v>#NAME?</v>
      </c>
      <c r="BT467" s="2" t="e">
        <f ca="1">_xll.BDH($C$453,"TOTAL_DEBT_SEQUENTIAL_GROWTH","FQ4 2016","FQ4 2016","Currency=INR","Period=FQ","BEST_FPERIOD_OVERRIDE=FQ","FILING_STATUS=OR","EQY_CONSOLIDATED=Y","Sort=A","Dates=H","DateFormat=P","Fill=—","Direction=H","UseDPDF=Y")</f>
        <v>#NAME?</v>
      </c>
      <c r="BU467" s="2" t="e">
        <f ca="1">_xll.BDH($C$453,"TOTAL_EQUITY_SEQUENTIAL_GROWTH","FQ4 2016","FQ4 2016","Currency=INR","Period=FQ","BEST_FPERIOD_OVERRIDE=FQ","FILING_STATUS=OR","EQY_CONSOLIDATED=Y","Sort=A","Dates=H","DateFormat=P","Fill=—","Direction=H","UseDPDF=Y")</f>
        <v>#NAME?</v>
      </c>
      <c r="BV467" s="2" t="e">
        <f ca="1">_xll.BDH($C$453,"TOTAL_CAPITAL_SEQUENTIAL_GROWTH","FQ4 2016","FQ4 2016","Currency=INR","Period=FQ","BEST_FPERIOD_OVERRIDE=FQ","FILING_STATUS=OR","EQY_CONSOLIDATED=Y","Sort=A","Dates=H","DateFormat=P","Fill=—","Direction=H","UseDPDF=Y")</f>
        <v>#NAME?</v>
      </c>
      <c r="BW467" s="2" t="e">
        <f ca="1">_xll.BDH($C$453,"BPS_SEQUENTIAL_GROWTH","FQ4 2016","FQ4 2016","Currency=INR","Period=FQ","BEST_FPERIOD_OVERRIDE=FQ","FILING_STATUS=OR","EQY_CONSOLIDATED=Y","Sort=A","Dates=H","DateFormat=P","Fill=—","Direction=H","UseDPDF=Y")</f>
        <v>#NAME?</v>
      </c>
      <c r="BX467" s="2" t="e">
        <f ca="1">_xll.BDH($C$453,"CFO_SEQUENTIAL_GROWTH","FQ4 2016","FQ4 2016","Currency=INR","Period=FQ","BEST_FPERIOD_OVERRIDE=FQ","FILING_STATUS=OR","EQY_CONSOLIDATED=Y","Sort=A","Dates=H","DateFormat=P","Fill=—","Direction=H","UseDPDF=Y")</f>
        <v>#NAME?</v>
      </c>
      <c r="BY467" s="3" t="e">
        <f ca="1">_xll.BDH($C$453,"SHORT_AND_LONG_TERM_DEBT","FQ4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67" s="3" t="e">
        <f ca="1">_xll.BDH($C$453,"BS_ST_BORROW","FQ4 2016","FQ4 2016","Currency=INR","Period=FQ","BEST_FPERIOD_OVERRIDE=FQ","FILING_STATUS=OR","EQY_CONSOLIDATED=Y","SCALING_FORMAT=MLN","Sort=A","Dates=H","DateFormat=P","Fill=—","Direction=H","UseDPDF=Y")</f>
        <v>#NAME?</v>
      </c>
      <c r="CA467" s="3" t="e">
        <f ca="1">_xll.BDH($C$453,"BS_LT_BORROW","FQ4 2016","FQ4 2016","Currency=INR","Period=FQ","BEST_FPERIOD_OVERRIDE=FQ","FILING_STATUS=OR","EQY_CONSOLIDATED=Y","SCALING_FORMAT=MLN","Sort=A","Dates=H","DateFormat=P","Fill=—","Direction=H","UseDPDF=Y")</f>
        <v>#NAME?</v>
      </c>
      <c r="CB467" s="2" t="e">
        <f ca="1">_xll.BDH($C$453,"TOT_DEBT_TO_EBITDA","FQ4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67" s="2" t="e">
        <f ca="1">_xll.BDH($C$453,"NET_DEBT_TO_EBITDA","FQ4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67" s="2" t="e">
        <f ca="1">_xll.BDH($C$453,"TOTAL_DEBT_TO_EBIT","FQ4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67" s="2" t="e">
        <f ca="1">_xll.BDH($C$453,"NET_DEBT_TO_EBIT","FQ4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467" s="2" t="e">
        <f ca="1">_xll.BDH($C$453,"EBITDA_TO_INTEREST_EXPN","FQ4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67" s="2" t="e">
        <f ca="1">_xll.BDH($C$453,"COM_EQY_TO_TOT_ASSET","FQ4 2016","FQ4 2016","Currency=INR","Period=FQ","BEST_FPERIOD_OVERRIDE=FQ","FILING_STATUS=OR","EQY_CONSOLIDATED=Y","Sort=A","Dates=H","DateFormat=P","Fill=—","Direction=H","UseDPDF=Y")</f>
        <v>#NAME?</v>
      </c>
      <c r="CH467" s="2" t="e">
        <f ca="1">_xll.BDH($C$453,"LT_DEBT_TO_TOT_EQY","FQ4 2016","FQ4 2016","Currency=INR","Period=FQ","BEST_FPERIOD_OVERRIDE=FQ","FILING_STATUS=OR","EQY_CONSOLIDATED=Y","Sort=A","Dates=H","DateFormat=P","Fill=—","Direction=H","UseDPDF=Y")</f>
        <v>#NAME?</v>
      </c>
      <c r="CI467" s="2" t="e">
        <f ca="1">_xll.BDH($C$453,"LT_DEBT_TO_TOT_CAP","FQ4 2016","FQ4 2016","Currency=INR","Period=FQ","BEST_FPERIOD_OVERRIDE=FQ","FILING_STATUS=OR","EQY_CONSOLIDATED=Y","Sort=A","Dates=H","DateFormat=P","Fill=—","Direction=H","UseDPDF=Y")</f>
        <v>#NAME?</v>
      </c>
      <c r="CJ467" s="2" t="e">
        <f ca="1">_xll.BDH($C$453,"LT_DEBT_TO_TOT_ASSET","FQ4 2016","FQ4 2016","Currency=INR","Period=FQ","BEST_FPERIOD_OVERRIDE=FQ","FILING_STATUS=OR","EQY_CONSOLIDATED=Y","Sort=A","Dates=H","DateFormat=P","Fill=—","Direction=H","UseDPDF=Y")</f>
        <v>#NAME?</v>
      </c>
      <c r="CK467" s="2" t="e">
        <f ca="1">_xll.BDH($C$453,"TOT_DEBT_TO_TOT_EQY","FQ4 2016","FQ4 2016","Currency=INR","Period=FQ","BEST_FPERIOD_OVERRIDE=FQ","FILING_STATUS=OR","EQY_CONSOLIDATED=Y","Sort=A","Dates=H","DateFormat=P","Fill=—","Direction=H","UseDPDF=Y")</f>
        <v>#NAME?</v>
      </c>
      <c r="CL467" s="2" t="e">
        <f ca="1">_xll.BDH($C$453,"TOT_DEBT_TO_TOT_CAP","FQ4 2016","FQ4 2016","Currency=INR","Period=FQ","BEST_FPERIOD_OVERRIDE=FQ","FILING_STATUS=OR","EQY_CONSOLIDATED=Y","Sort=A","Dates=H","DateFormat=P","Fill=—","Direction=H","UseDPDF=Y")</f>
        <v>#NAME?</v>
      </c>
      <c r="CM467" s="2" t="e">
        <f ca="1">_xll.BDH($C$453,"TOT_DEBT_TO_TOT_ASSET","FQ4 2016","FQ4 2016","Currency=INR","Period=FQ","BEST_FPERIOD_OVERRIDE=FQ","FILING_STATUS=OR","EQY_CONSOLIDATED=Y","Sort=A","Dates=H","DateFormat=P","Fill=—","Direction=H","UseDPDF=Y")</f>
        <v>#NAME?</v>
      </c>
      <c r="CN467" s="2" t="e">
        <f ca="1">_xll.BDH($C$453,"NET_DEBT_TO_SHRHLDR_EQTY","FQ4 2016","FQ4 2016","Currency=INR","Period=FQ","BEST_FPERIOD_OVERRIDE=FQ","FILING_STATUS=OR","EQY_CONSOLIDATED=Y","Sort=A","Dates=H","DateFormat=P","Fill=—","Direction=H","UseDPDF=Y")</f>
        <v>#NAME?</v>
      </c>
      <c r="CO467" s="2" t="e">
        <f ca="1">_xll.BDH($C$453,"NET_DEBT_%_CAPITAL","FQ4 2016","FQ4 2016","Currency=INR","Period=FQ","BEST_FPERIOD_OVERRIDE=FQ","FILING_STATUS=OR","EQY_CONSOLIDATED=Y","Sort=A","Dates=H","DateFormat=P","Fill=—","Direction=H","UseDPDF=Y")</f>
        <v>#NAME?</v>
      </c>
      <c r="CP467" s="3" t="e">
        <f ca="1">_xll.BDH($C$453,"EBITDA","FQ4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67" s="3" t="e">
        <f ca="1">_xll.BDH($C$453,"EBITDA_AFTER_CAPEX","FQ4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67" s="3" t="e">
        <f ca="1">_xll.BDH($C$453,"IS_OPER_INC","FQ4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67" s="2" t="e">
        <f ca="1">_xll.BDH($C$453,"CASH_RATIO","FQ4 2016","FQ4 2016","Currency=INR","Period=FQ","BEST_FPERIOD_OVERRIDE=FQ","FILING_STATUS=OR","EQY_CONSOLIDATED=Y","Sort=A","Dates=H","DateFormat=P","Fill=—","Direction=H","UseDPDF=Y")</f>
        <v>#NAME?</v>
      </c>
      <c r="CT467" s="2" t="e">
        <f ca="1">_xll.BDH($C$453,"CUR_RATIO","FQ4 2016","FQ4 2016","Currency=INR","Period=FQ","BEST_FPERIOD_OVERRIDE=FQ","FILING_STATUS=OR","EQY_CONSOLIDATED=Y","Sort=A","Dates=H","DateFormat=P","Fill=—","Direction=H","UseDPDF=Y")</f>
        <v>#NAME?</v>
      </c>
      <c r="CU467" s="2" t="e">
        <f ca="1">_xll.BDH($C$453,"QUICK_RATIO","FQ4 2016","FQ4 2016","Currency=INR","Period=FQ","BEST_FPERIOD_OVERRIDE=FQ","FILING_STATUS=OR","EQY_CONSOLIDATED=Y","Sort=A","Dates=H","DateFormat=P","Fill=—","Direction=H","UseDPDF=Y")</f>
        <v>#NAME?</v>
      </c>
      <c r="CV467" s="2" t="e">
        <f ca="1">_xll.BDH($C$453,"ALTMAN_Z_SCORE","FQ4 2016","FQ4 2016","Currency=INR","Period=FQ","BEST_FPERIOD_OVERRIDE=FQ","FILING_STATUS=OR","EQY_CONSOLIDATED=Y","Sort=A","Dates=H","DateFormat=P","Fill=—","Direction=H","UseDPDF=Y")</f>
        <v>#NAME?</v>
      </c>
      <c r="CW467" s="4" t="e">
        <f ca="1">_xll.BDH($C$453,"ACCT_RCV_TURN","FQ4 2016","FQ4 2016","Currency=INR","Period=FQ","BEST_FPERIOD_OVERRIDE=FQ","FILING_STATUS=OR","EQY_CONSOLIDATED=Y","FA_ADJUSTED=GAAP","Sort=A","Dates=H","DateFormat=P","Fill=—","Direction=H","UseDPDF=Y")</f>
        <v>#NAME?</v>
      </c>
      <c r="CX467" s="2" t="e">
        <f ca="1">_xll.BDH($C$453,"ACCT_RCV_DAYS","FQ4 2016","FQ4 2016","Currency=INR","Period=FQ","BEST_FPERIOD_OVERRIDE=FQ","FILING_STATUS=OR","EQY_CONSOLIDATED=Y","FA_ADJUSTED=GAAP","Sort=A","Dates=H","DateFormat=P","Fill=—","Direction=H","UseDPDF=Y")</f>
        <v>#NAME?</v>
      </c>
      <c r="CY467" s="4" t="e">
        <f ca="1">_xll.BDH($C$453,"INVENT_TURN","FQ4 2016","FQ4 2016","Currency=INR","Period=FQ","BEST_FPERIOD_OVERRIDE=FQ","FILING_STATUS=OR","EQY_CONSOLIDATED=Y","FA_ADJUSTED=GAAP","Sort=A","Dates=H","DateFormat=P","Fill=—","Direction=H","UseDPDF=Y")</f>
        <v>#NAME?</v>
      </c>
      <c r="CZ467" s="2" t="e">
        <f ca="1">_xll.BDH($C$453,"INVENT_DAYS","FQ4 2016","FQ4 2016","Currency=INR","Period=FQ","BEST_FPERIOD_OVERRIDE=FQ","FILING_STATUS=OR","EQY_CONSOLIDATED=Y","FA_ADJUSTED=GAAP","Sort=A","Dates=H","DateFormat=P","Fill=—","Direction=H","UseDPDF=Y")</f>
        <v>#NAME?</v>
      </c>
      <c r="DA467" s="4" t="e">
        <f ca="1">_xll.BDH($C$453,"ACCOUNTS_PAYABLE_TURNOVER","FQ4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67" s="2" t="e">
        <f ca="1">_xll.BDH($C$453,"ACCOUNTS_PAYABLE_TURNOVER_DAYS","FQ4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67" s="4" t="e">
        <f ca="1">_xll.BDH($C$453,"CASH_CONVERSION_CYCLE","FQ4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67" s="4" t="e">
        <f ca="1">_xll.BDH($C$453,"INV_TO_CASH_DAYS","FQ4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467" s="5" t="e">
        <f ca="1">_xll.BDH($C$453,"BS_INVENTORIES","FQ4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467" s="3" t="e">
        <f ca="1">_xll.BDH($C$453,"INVTRY_RAW_MATERIALS","FQ4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67" s="3" t="e">
        <f ca="1">_xll.BDH($C$453,"INVTRY_IN_PROGRESS","FQ4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67" s="3" t="e">
        <f ca="1">_xll.BDH($C$453,"INVTRY_FINISHED_GOODS","FQ4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67" s="3" t="e">
        <f ca="1">_xll.BDH($C$453,"BS_OTHER_INV","FQ4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68" spans="1:113" x14ac:dyDescent="0.3">
      <c r="A468" s="6"/>
      <c r="B468" s="6"/>
      <c r="C468" s="6"/>
      <c r="D468" s="6" t="s">
        <v>84</v>
      </c>
      <c r="E468" t="s">
        <v>77</v>
      </c>
      <c r="F468" t="e">
        <f ca="1">_xll.BDH($C$453,"RETURN_COM_EQY","FY 2017","FY 2017","Currency=INR","Period=FY","BEST_FPERIOD_OVERRIDE=FY","FILING_STATUS=OR","EQY_CONSOLIDATED=Y","FA_ADJUSTED=GAAP","Sort=A","Dates=H","DateFormat=P","Fill=—","Direction=H","UseDPDF=Y")</f>
        <v>#NAME?</v>
      </c>
      <c r="G468" t="e">
        <f ca="1">_xll.BDH($C$453,"RETURN_ON_ASSET","FY 2017","FY 2017","Currency=INR","Period=FY","BEST_FPERIOD_OVERRIDE=FY","FILING_STATUS=OR","EQY_CONSOLIDATED=Y","FA_ADJUSTED=GAAP","Sort=A","Dates=H","DateFormat=P","Fill=—","Direction=H","UseDPDF=Y")</f>
        <v>#NAME?</v>
      </c>
      <c r="H468" t="e">
        <f ca="1">_xll.BDH($C$453,"RETURN_ON_CAP","FY 2017","FY 2017","Currency=INR","Period=FY","BEST_FPERIOD_OVERRIDE=FY","FILING_STATUS=OR","EQY_CONSOLIDATED=Y","FA_ADJUSTED=GAAP","Sort=A","Dates=H","DateFormat=P","Fill=—","Direction=H","UseDPDF=Y")</f>
        <v>#NAME?</v>
      </c>
      <c r="I468" t="e">
        <f ca="1">_xll.BDH($C$453,"RETURN_ON_INV_CAPITAL","FY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68" t="e">
        <f ca="1">_xll.BDH($C$453,"EBITDA_TO_REVENUE","FY 2017","FY 2017","Currency=INR","Period=FY","BEST_FPERIOD_OVERRIDE=FY","FILING_STATUS=OR","EQY_CONSOLIDATED=Y","FA_ADJUSTED=GAAP","Sort=A","Dates=H","DateFormat=P","Fill=—","Direction=H","UseDPDF=Y")</f>
        <v>#NAME?</v>
      </c>
      <c r="K468" t="e">
        <f ca="1">_xll.BDH($C$453,"OPER_MARGIN","FY 2017","FY 2017","Currency=INR","Period=FY","BEST_FPERIOD_OVERRIDE=FY","FILING_STATUS=OR","EQY_CONSOLIDATED=Y","FA_ADJUSTED=GAAP","Sort=A","Dates=H","DateFormat=P","Fill=—","Direction=H","UseDPDF=Y")</f>
        <v>#NAME?</v>
      </c>
      <c r="L468" t="e">
        <f ca="1">_xll.BDH($C$453,"INCREMENTAL_OPERATING_MARGIN","FY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68" t="e">
        <f ca="1">_xll.BDH($C$453,"PRETAX_INC_TO_NET_SALES","FY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68" t="e">
        <f ca="1">_xll.BDH($C$453,"INC_BEF_XO_ITEMS_TO_NET_SALES","FY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68" t="e">
        <f ca="1">_xll.BDH($C$453,"PROF_MARGIN","FY 2017","FY 2017","Currency=INR","Period=FY","BEST_FPERIOD_OVERRIDE=FY","FILING_STATUS=OR","EQY_CONSOLIDATED=Y","FA_ADJUSTED=GAAP","Sort=A","Dates=H","DateFormat=P","Fill=—","Direction=H","UseDPDF=Y")</f>
        <v>#NAME?</v>
      </c>
      <c r="P468" t="e">
        <f ca="1">_xll.BDH($C$453,"NET_INCOME_TO_COMMON_MARGIN","FY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68" t="e">
        <f ca="1">_xll.BDH($C$453,"EFF_TAX_RATE","FY 2017","FY 2017","Currency=INR","Period=FY","BEST_FPERIOD_OVERRIDE=FY","FILING_STATUS=OR","EQY_CONSOLIDATED=Y","FA_ADJUSTED=GAAP","Sort=A","Dates=H","DateFormat=P","Fill=—","Direction=H","UseDPDF=Y")</f>
        <v>#NAME?</v>
      </c>
      <c r="R468" t="e">
        <f ca="1">_xll.BDH($C$453,"DVD_PAYOUT_RATIO","FY 2017","FY 2017","Currency=INR","Period=FY","BEST_FPERIOD_OVERRIDE=FY","FILING_STATUS=OR","EQY_CONSOLIDATED=Y","FA_ADJUSTED=GAAP","Sort=A","Dates=H","DateFormat=P","Fill=—","Direction=H","UseDPDF=Y")</f>
        <v>#NAME?</v>
      </c>
      <c r="S468" t="e">
        <f ca="1">_xll.BDH($C$453,"SUSTAIN_GROWTH_RT","FY 2017","FY 2017","Currency=INR","Period=FY","BEST_FPERIOD_OVERRIDE=FY","FILING_STATUS=OR","EQY_CONSOLIDATED=Y","FA_ADJUSTED=GAAP","Sort=A","Dates=H","DateFormat=P","Fill=—","Direction=H","UseDPDF=Y")</f>
        <v>#NAME?</v>
      </c>
      <c r="T468" s="2" t="e">
        <f ca="1">_xll.BDH($C$453,"SALES_GROWTH","FY 2017","FY 2017","Currency=INR","Period=FY","BEST_FPERIOD_OVERRIDE=FY","FILING_STATUS=OR","EQY_CONSOLIDATED=Y","FA_ADJUSTED=GAAP","Sort=A","Dates=H","DateFormat=P","Fill=—","Direction=H","UseDPDF=Y")</f>
        <v>#NAME?</v>
      </c>
      <c r="U468" s="2" t="e">
        <f ca="1">_xll.BDH($C$453,"EBITDA_GROWTH","FY 2017","FY 2017","Currency=INR","Period=FY","BEST_FPERIOD_OVERRIDE=FY","FILING_STATUS=OR","EQY_CONSOLIDATED=Y","FA_ADJUSTED=GAAP","Sort=A","Dates=H","DateFormat=P","Fill=—","Direction=H","UseDPDF=Y")</f>
        <v>#NAME?</v>
      </c>
      <c r="V468" s="2" t="e">
        <f ca="1">_xll.BDH($C$453,"OPER_INC_GROWTH","FY 2017","FY 2017","Currency=INR","Period=FY","BEST_FPERIOD_OVERRIDE=FY","FILING_STATUS=OR","EQY_CONSOLIDATED=Y","FA_ADJUSTED=GAAP","Sort=A","Dates=H","DateFormat=P","Fill=—","Direction=H","UseDPDF=Y")</f>
        <v>#NAME?</v>
      </c>
      <c r="W468" s="2" t="e">
        <f ca="1">_xll.BDH($C$453,"EARN_FOR_COM_GROWTH","FY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468" s="2" t="e">
        <f ca="1">_xll.BDH($C$453,"DILUTED_EPS_AFT_XO_ITEMS_GROWTH","FY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68" s="2" t="e">
        <f ca="1">_xll.BDH($C$453,"DIVIDEND_PER_SHARE_1_YEAR_GROWTH","FY 2017","FY 2017","Currency=INR","Period=FY","BEST_FPERIOD_OVERRIDE=FY","FILING_STATUS=OR","EQY_CONSOLIDATED=Y","Sort=A","Dates=H","DateFormat=P","Fill=—","Direction=H","UseDPDF=Y")</f>
        <v>#NAME?</v>
      </c>
      <c r="Z468" s="2" t="e">
        <f ca="1">_xll.BDH($C$453,"ACCOUNTS_RECEIVABLE_GROWTH","FY 2017","FY 2017","Currency=INR","Period=FY","BEST_FPERIOD_OVERRIDE=FY","FILING_STATUS=OR","EQY_CONSOLIDATED=Y","Sort=A","Dates=H","DateFormat=P","Fill=—","Direction=H","UseDPDF=Y")</f>
        <v>#NAME?</v>
      </c>
      <c r="AA468" s="2" t="e">
        <f ca="1">_xll.BDH($C$453,"INVENTORY_GROWTH","FY 2017","FY 2017","Currency=INR","Period=FY","BEST_FPERIOD_OVERRIDE=FY","FILING_STATUS=OR","EQY_CONSOLIDATED=Y","Sort=A","Dates=H","DateFormat=P","Fill=—","Direction=H","UseDPDF=Y")</f>
        <v>#NAME?</v>
      </c>
      <c r="AB468" s="2" t="e">
        <f ca="1">_xll.BDH($C$453,"NET_FIXED_ASSETS_1_YEAR_GROWTH","FY 2017","FY 2017","Currency=INR","Period=FY","BEST_FPERIOD_OVERRIDE=FY","FILING_STATUS=OR","EQY_CONSOLIDATED=Y","Sort=A","Dates=H","DateFormat=P","Fill=—","Direction=H","UseDPDF=Y")</f>
        <v>#NAME?</v>
      </c>
      <c r="AC468" s="2" t="e">
        <f ca="1">_xll.BDH($C$453,"ASSET_GROWTH","FY 2017","FY 2017","Currency=INR","Period=FY","BEST_FPERIOD_OVERRIDE=FY","FILING_STATUS=OR","EQY_CONSOLIDATED=Y","Sort=A","Dates=H","DateFormat=P","Fill=—","Direction=H","UseDPDF=Y")</f>
        <v>#NAME?</v>
      </c>
      <c r="AD468" s="2" t="e">
        <f ca="1">_xll.BDH($C$453,"MODIFIED_WORK_CAP_GROWTH","FY 2017","FY 2017","Currency=INR","Period=FY","BEST_FPERIOD_OVERRIDE=FY","FILING_STATUS=OR","EQY_CONSOLIDATED=Y","Sort=A","Dates=H","DateFormat=P","Fill=—","Direction=H","UseDPDF=Y")</f>
        <v>#NAME?</v>
      </c>
      <c r="AE468" s="2" t="e">
        <f ca="1">_xll.BDH($C$453,"WORK_CAP_GROWTH","FY 2017","FY 2017","Currency=INR","Period=FY","BEST_FPERIOD_OVERRIDE=FY","FILING_STATUS=OR","EQY_CONSOLIDATED=Y","Sort=A","Dates=H","DateFormat=P","Fill=—","Direction=H","UseDPDF=Y")</f>
        <v>#NAME?</v>
      </c>
      <c r="AF468" s="2" t="e">
        <f ca="1">_xll.BDH($C$453,"ACCOUNTS_PAYABLE_GROWTH_1YR","FY 2017","FY 2017","Currency=INR","Period=FY","BEST_FPERIOD_OVERRIDE=FY","FILING_STATUS=OR","EQY_CONSOLIDATED=Y","Sort=A","Dates=H","DateFormat=P","Fill=—","Direction=H","UseDPDF=Y")</f>
        <v>#NAME?</v>
      </c>
      <c r="AG468" s="2" t="e">
        <f ca="1">_xll.BDH($C$453,"SHORT_TERM_DEBT_1_YEAR_GROWTH","FY 2017","FY 2017","Currency=INR","Period=FY","BEST_FPERIOD_OVERRIDE=FY","FILING_STATUS=OR","EQY_CONSOLIDATED=Y","Sort=A","Dates=H","DateFormat=P","Fill=—","Direction=H","UseDPDF=Y")</f>
        <v>#NAME?</v>
      </c>
      <c r="AH468" s="2" t="e">
        <f ca="1">_xll.BDH($C$453,"TOTAL_DEBT_1_YEAR_GROWTH","FY 2017","FY 2017","Currency=INR","Period=FY","BEST_FPERIOD_OVERRIDE=FY","FILING_STATUS=OR","EQY_CONSOLIDATED=Y","Sort=A","Dates=H","DateFormat=P","Fill=—","Direction=H","UseDPDF=Y")</f>
        <v>#NAME?</v>
      </c>
      <c r="AI468" s="2" t="e">
        <f ca="1">_xll.BDH($C$453,"TOTAL_EQUITY_1_YEAR_GROWTH","FY 2017","FY 2017","Currency=INR","Period=FY","BEST_FPERIOD_OVERRIDE=FY","FILING_STATUS=OR","EQY_CONSOLIDATED=Y","Sort=A","Dates=H","DateFormat=P","Fill=—","Direction=H","UseDPDF=Y")</f>
        <v>#NAME?</v>
      </c>
      <c r="AJ468" s="2" t="e">
        <f ca="1">_xll.BDH($C$453,"GROWTH_IN_CAP","FY 2017","FY 2017","Currency=INR","Period=FY","BEST_FPERIOD_OVERRIDE=FY","FILING_STATUS=OR","EQY_CONSOLIDATED=Y","Sort=A","Dates=H","DateFormat=P","Fill=—","Direction=H","UseDPDF=Y")</f>
        <v>#NAME?</v>
      </c>
      <c r="AK468" s="2" t="e">
        <f ca="1">_xll.BDH($C$453,"BVPS_GROWTH","FY 2017","FY 2017","Currency=INR","Period=FY","BEST_FPERIOD_OVERRIDE=FY","FILING_STATUS=OR","EQY_CONSOLIDATED=Y","Sort=A","Dates=H","DateFormat=P","Fill=—","Direction=H","UseDPDF=Y")</f>
        <v>#NAME?</v>
      </c>
      <c r="AL468" s="2" t="e">
        <f ca="1">_xll.BDH($C$453,"CASH_FLOW_GROWTH","FY 2017","FY 2017","Currency=INR","Period=FY","BEST_FPERIOD_OVERRIDE=FY","FILING_STATUS=OR","EQY_CONSOLIDATED=Y","Sort=A","Dates=H","DateFormat=P","Fill=—","Direction=H","UseDPDF=Y")</f>
        <v>#NAME?</v>
      </c>
      <c r="AM468" s="2" t="e">
        <f ca="1">_xll.BDH($C$453,"GEO_GROW_NET_SALES","FY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468" s="2" t="e">
        <f ca="1">_xll.BDH($C$453,"GEO_GROW_EBITDA","FY 2017","FY 2017","Currency=INR","Period=FY","BEST_FPERIOD_OVERRIDE=FY","FILING_STATUS=OR","EQY_CONSOLIDATED=Y","FA_ADJUSTED=GAAP","Sort=A","Dates=H","DateFormat=P","Fill=—","Direction=H","UseDPDF=Y")</f>
        <v>#NAME?</v>
      </c>
      <c r="AO468" s="2" t="e">
        <f ca="1">_xll.BDH($C$453,"GEO_GROW_OPER_INC","FY 2017","FY 2017","Currency=INR","Period=FY","BEST_FPERIOD_OVERRIDE=FY","FILING_STATUS=OR","EQY_CONSOLIDATED=Y","FA_ADJUSTED=GAAP","Sort=A","Dates=H","DateFormat=P","Fill=—","Direction=H","UseDPDF=Y")</f>
        <v>#NAME?</v>
      </c>
      <c r="AP468" s="2" t="e">
        <f ca="1">_xll.BDH($C$453,"NET_INCOME_TO_COMMON_5_YR_GROWTH","FY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68" s="2" t="e">
        <f ca="1">_xll.BDH($C$453,"5Y_GEO_GROWTH_DILUTED_EPS","FY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68" s="2" t="e">
        <f ca="1">_xll.BDH($C$453,"GEO_GROW_DVD_PER_SH","FY 2017","FY 2017","Currency=INR","Period=FY","BEST_FPERIOD_OVERRIDE=FY","FILING_STATUS=OR","EQY_CONSOLIDATED=Y","Sort=A","Dates=H","DateFormat=P","Fill=—","Direction=H","UseDPDF=Y")</f>
        <v>#NAME?</v>
      </c>
      <c r="AS468" s="2" t="e">
        <f ca="1">_xll.BDH($C$453,"ACCOUNTS_RECEIVABLE_5_YR_GROWTH","FY 2017","FY 2017","Currency=INR","Period=FY","BEST_FPERIOD_OVERRIDE=FY","FILING_STATUS=OR","EQY_CONSOLIDATED=Y","Sort=A","Dates=H","DateFormat=P","Fill=—","Direction=H","UseDPDF=Y")</f>
        <v>#NAME?</v>
      </c>
      <c r="AT468" s="2" t="e">
        <f ca="1">_xll.BDH($C$453,"INVENTORY_5_YEAR_GROWTH","FY 2017","FY 2017","Currency=INR","Period=FY","BEST_FPERIOD_OVERRIDE=FY","FILING_STATUS=OR","EQY_CONSOLIDATED=Y","Sort=A","Dates=H","DateFormat=P","Fill=—","Direction=H","UseDPDF=Y")</f>
        <v>#NAME?</v>
      </c>
      <c r="AU468" s="2" t="e">
        <f ca="1">_xll.BDH($C$453,"NET_FIXED_ASSETS_5_YEAR_GROWTH","FY 2017","FY 2017","Currency=INR","Period=FY","BEST_FPERIOD_OVERRIDE=FY","FILING_STATUS=OR","EQY_CONSOLIDATED=Y","Sort=A","Dates=H","DateFormat=P","Fill=—","Direction=H","UseDPDF=Y")</f>
        <v>#NAME?</v>
      </c>
      <c r="AV468" s="2" t="e">
        <f ca="1">_xll.BDH($C$453,"GEO_GROW_TOT_ASSET","FY 2017","FY 2017","Currency=INR","Period=FY","BEST_FPERIOD_OVERRIDE=FY","FILING_STATUS=OR","EQY_CONSOLIDATED=Y","Sort=A","Dates=H","DateFormat=P","Fill=—","Direction=H","UseDPDF=Y")</f>
        <v>#NAME?</v>
      </c>
      <c r="AW468" s="2" t="e">
        <f ca="1">_xll.BDH($C$453,"MODIFIED_WORKING_CPTL_5YR_GRWTH","FY 2017","FY 2017","Currency=INR","Period=FY","BEST_FPERIOD_OVERRIDE=FY","FILING_STATUS=OR","EQY_CONSOLIDATED=Y","Sort=A","Dates=H","DateFormat=P","Fill=—","Direction=H","UseDPDF=Y")</f>
        <v>#NAME?</v>
      </c>
      <c r="AX468" s="2" t="e">
        <f ca="1">_xll.BDH($C$453,"WORKING_CAPITAL_5_YEAR_GROWTH","FY 2017","FY 2017","Currency=INR","Period=FY","BEST_FPERIOD_OVERRIDE=FY","FILING_STATUS=OR","EQY_CONSOLIDATED=Y","Sort=A","Dates=H","DateFormat=P","Fill=—","Direction=H","UseDPDF=Y")</f>
        <v>#NAME?</v>
      </c>
      <c r="AY468" s="2" t="e">
        <f ca="1">_xll.BDH($C$453,"ACCOUNTS_PAYABLE_5_YEAR_GROWTH","FY 2017","FY 2017","Currency=INR","Period=FY","BEST_FPERIOD_OVERRIDE=FY","FILING_STATUS=OR","EQY_CONSOLIDATED=Y","Sort=A","Dates=H","DateFormat=P","Fill=—","Direction=H","UseDPDF=Y")</f>
        <v>#NAME?</v>
      </c>
      <c r="AZ468" s="2" t="e">
        <f ca="1">_xll.BDH($C$453,"SHORT_TERM_DEBT_5_YEAR_GROWTH","FY 2017","FY 2017","Currency=INR","Period=FY","BEST_FPERIOD_OVERRIDE=FY","FILING_STATUS=OR","EQY_CONSOLIDATED=Y","Sort=A","Dates=H","DateFormat=P","Fill=—","Direction=H","UseDPDF=Y")</f>
        <v>#NAME?</v>
      </c>
      <c r="BA468" s="2" t="e">
        <f ca="1">_xll.BDH($C$453,"TOTAL_DEBT_5_YEAR_GROWTH","FY 2017","FY 2017","Currency=INR","Period=FY","BEST_FPERIOD_OVERRIDE=FY","FILING_STATUS=OR","EQY_CONSOLIDATED=Y","Sort=A","Dates=H","DateFormat=P","Fill=—","Direction=H","UseDPDF=Y")</f>
        <v>#NAME?</v>
      </c>
      <c r="BB468" s="2" t="e">
        <f ca="1">_xll.BDH($C$453,"GEO_GROW_TOT_SHRHLDR_EQY","FY 2017","FY 2017","Currency=INR","Period=FY","BEST_FPERIOD_OVERRIDE=FY","FILING_STATUS=OR","EQY_CONSOLIDATED=Y","Sort=A","Dates=H","DateFormat=P","Fill=—","Direction=H","UseDPDF=Y")</f>
        <v>#NAME?</v>
      </c>
      <c r="BC468" s="2" t="e">
        <f ca="1">_xll.BDH($C$453,"TOTAL_CAPITAL_5_YEAR_GROWTH","FY 2017","FY 2017","Currency=INR","Period=FY","BEST_FPERIOD_OVERRIDE=FY","FILING_STATUS=OR","EQY_CONSOLIDATED=Y","Sort=A","Dates=H","DateFormat=P","Fill=—","Direction=H","UseDPDF=Y")</f>
        <v>#NAME?</v>
      </c>
      <c r="BD468" s="2" t="e">
        <f ca="1">_xll.BDH($C$453,"GEO_GROW_BOOK_VAL","FY 2017","FY 2017","Currency=INR","Period=FY","BEST_FPERIOD_OVERRIDE=FY","FILING_STATUS=OR","EQY_CONSOLIDATED=Y","Sort=A","Dates=H","DateFormat=P","Fill=—","Direction=H","UseDPDF=Y")</f>
        <v>#NAME?</v>
      </c>
      <c r="BE468" s="2" t="e">
        <f ca="1">_xll.BDH($C$453,"GEO_GROW_CASH_OPER_ACT","FY 2017","FY 2017","Currency=INR","Period=FY","BEST_FPERIOD_OVERRIDE=FY","FILING_STATUS=OR","EQY_CONSOLIDATED=Y","Sort=A","Dates=H","DateFormat=P","Fill=—","Direction=H","UseDPDF=Y")</f>
        <v>#NAME?</v>
      </c>
      <c r="BF468" s="2" t="e">
        <f ca="1">_xll.BDH($C$453,"REVENUE_SEQUENTIAL_GROWTH","FY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68" s="2" t="e">
        <f ca="1">_xll.BDH($C$453,"EBITDA_SEQUENTIAL_GROWTH","FY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68" s="2" t="e">
        <f ca="1">_xll.BDH($C$453,"OPERATING_INCOME_SEQ_GROWTH","FY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68" s="2" t="e">
        <f ca="1">_xll.BDH($C$453,"NET_INCOME_TO_COMMON_SEQ_GROWTH","FY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68" s="2" t="e">
        <f ca="1">_xll.BDH($C$453,"EPS_DILUTED_SEQUENTIAL_GROWTH","FY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68" s="2" t="e">
        <f ca="1">_xll.BDH($C$453,"DPS_SEQUENTIAL_GROWTH","FY 2017","FY 2017","Currency=INR","Period=FY","BEST_FPERIOD_OVERRIDE=FY","FILING_STATUS=OR","EQY_CONSOLIDATED=Y","Sort=A","Dates=H","DateFormat=P","Fill=—","Direction=H","UseDPDF=Y")</f>
        <v>#NAME?</v>
      </c>
      <c r="BL468" s="2" t="e">
        <f ca="1">_xll.BDH($C$453,"ACCOUNTS_RECEIVABLE_SEQ_GROWTH","FY 2017","FY 2017","Currency=INR","Period=FY","BEST_FPERIOD_OVERRIDE=FY","FILING_STATUS=OR","EQY_CONSOLIDATED=Y","Sort=A","Dates=H","DateFormat=P","Fill=—","Direction=H","UseDPDF=Y")</f>
        <v>#NAME?</v>
      </c>
      <c r="BM468" s="2" t="e">
        <f ca="1">_xll.BDH($C$453,"INVENTORY_SEQUENTIAL_GROWTH","FY 2017","FY 2017","Currency=INR","Period=FY","BEST_FPERIOD_OVERRIDE=FY","FILING_STATUS=OR","EQY_CONSOLIDATED=Y","Sort=A","Dates=H","DateFormat=P","Fill=—","Direction=H","UseDPDF=Y")</f>
        <v>#NAME?</v>
      </c>
      <c r="BN468" s="2" t="e">
        <f ca="1">_xll.BDH($C$453,"FIXED_ASSETS_SEQUENTIAL_GROWTH","FY 2017","FY 2017","Currency=INR","Period=FY","BEST_FPERIOD_OVERRIDE=FY","FILING_STATUS=OR","EQY_CONSOLIDATED=Y","Sort=A","Dates=H","DateFormat=P","Fill=—","Direction=H","UseDPDF=Y")</f>
        <v>#NAME?</v>
      </c>
      <c r="BO468" s="2" t="e">
        <f ca="1">_xll.BDH($C$453,"TOTAL_ASSETS_SEQUENTIAL_GROWTH","FY 2017","FY 2017","Currency=INR","Period=FY","BEST_FPERIOD_OVERRIDE=FY","FILING_STATUS=OR","EQY_CONSOLIDATED=Y","Sort=A","Dates=H","DateFormat=P","Fill=—","Direction=H","UseDPDF=Y")</f>
        <v>#NAME?</v>
      </c>
      <c r="BP468" s="2" t="e">
        <f ca="1">_xll.BDH($C$453,"MODIFIED_WORKING_CPTL_SEQ_GRWTH","FY 2017","FY 2017","Currency=INR","Period=FY","BEST_FPERIOD_OVERRIDE=FY","FILING_STATUS=OR","EQY_CONSOLIDATED=Y","Sort=A","Dates=H","DateFormat=P","Fill=—","Direction=H","UseDPDF=Y")</f>
        <v>#NAME?</v>
      </c>
      <c r="BQ468" s="2" t="e">
        <f ca="1">_xll.BDH($C$453,"WORKING_CAPITAL_SEQ_GROWTH","FY 2017","FY 2017","Currency=INR","Period=FY","BEST_FPERIOD_OVERRIDE=FY","FILING_STATUS=OR","EQY_CONSOLIDATED=Y","Sort=A","Dates=H","DateFormat=P","Fill=—","Direction=H","UseDPDF=Y")</f>
        <v>#NAME?</v>
      </c>
      <c r="BR468" s="2" t="e">
        <f ca="1">_xll.BDH($C$453,"ACCOUNTS_PAYABLE_SEQ_GROWTH","FY 2017","FY 2017","Currency=INR","Period=FY","BEST_FPERIOD_OVERRIDE=FY","FILING_STATUS=OR","EQY_CONSOLIDATED=Y","Sort=A","Dates=H","DateFormat=P","Fill=—","Direction=H","UseDPDF=Y")</f>
        <v>#NAME?</v>
      </c>
      <c r="BS468" s="2" t="e">
        <f ca="1">_xll.BDH($C$453,"ST_DEBT_SEQUENTIAL_GROWTH","FY 2017","FY 2017","Currency=INR","Period=FY","BEST_FPERIOD_OVERRIDE=FY","FILING_STATUS=OR","EQY_CONSOLIDATED=Y","Sort=A","Dates=H","DateFormat=P","Fill=—","Direction=H","UseDPDF=Y")</f>
        <v>#NAME?</v>
      </c>
      <c r="BT468" s="2" t="e">
        <f ca="1">_xll.BDH($C$453,"TOTAL_DEBT_SEQUENTIAL_GROWTH","FY 2017","FY 2017","Currency=INR","Period=FY","BEST_FPERIOD_OVERRIDE=FY","FILING_STATUS=OR","EQY_CONSOLIDATED=Y","Sort=A","Dates=H","DateFormat=P","Fill=—","Direction=H","UseDPDF=Y")</f>
        <v>#NAME?</v>
      </c>
      <c r="BU468" s="2" t="e">
        <f ca="1">_xll.BDH($C$453,"TOTAL_EQUITY_SEQUENTIAL_GROWTH","FY 2017","FY 2017","Currency=INR","Period=FY","BEST_FPERIOD_OVERRIDE=FY","FILING_STATUS=OR","EQY_CONSOLIDATED=Y","Sort=A","Dates=H","DateFormat=P","Fill=—","Direction=H","UseDPDF=Y")</f>
        <v>#NAME?</v>
      </c>
      <c r="BV468" s="2" t="e">
        <f ca="1">_xll.BDH($C$453,"TOTAL_CAPITAL_SEQUENTIAL_GROWTH","FY 2017","FY 2017","Currency=INR","Period=FY","BEST_FPERIOD_OVERRIDE=FY","FILING_STATUS=OR","EQY_CONSOLIDATED=Y","Sort=A","Dates=H","DateFormat=P","Fill=—","Direction=H","UseDPDF=Y")</f>
        <v>#NAME?</v>
      </c>
      <c r="BW468" s="2" t="e">
        <f ca="1">_xll.BDH($C$453,"BPS_SEQUENTIAL_GROWTH","FY 2017","FY 2017","Currency=INR","Period=FY","BEST_FPERIOD_OVERRIDE=FY","FILING_STATUS=OR","EQY_CONSOLIDATED=Y","Sort=A","Dates=H","DateFormat=P","Fill=—","Direction=H","UseDPDF=Y")</f>
        <v>#NAME?</v>
      </c>
      <c r="BX468" s="2" t="e">
        <f ca="1">_xll.BDH($C$453,"CFO_SEQUENTIAL_GROWTH","FY 2017","FY 2017","Currency=INR","Period=FY","BEST_FPERIOD_OVERRIDE=FY","FILING_STATUS=OR","EQY_CONSOLIDATED=Y","Sort=A","Dates=H","DateFormat=P","Fill=—","Direction=H","UseDPDF=Y")</f>
        <v>#NAME?</v>
      </c>
      <c r="BY468" s="3" t="e">
        <f ca="1">_xll.BDH($C$453,"SHORT_AND_LONG_TERM_DEBT","FY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68" s="3" t="e">
        <f ca="1">_xll.BDH($C$453,"BS_ST_BORROW","FY 2017","FY 2017","Currency=INR","Period=FY","BEST_FPERIOD_OVERRIDE=FY","FILING_STATUS=OR","EQY_CONSOLIDATED=Y","SCALING_FORMAT=MLN","Sort=A","Dates=H","DateFormat=P","Fill=—","Direction=H","UseDPDF=Y")</f>
        <v>#NAME?</v>
      </c>
      <c r="CA468" s="3" t="e">
        <f ca="1">_xll.BDH($C$453,"BS_LT_BORROW","FY 2017","FY 2017","Currency=INR","Period=FY","BEST_FPERIOD_OVERRIDE=FY","FILING_STATUS=OR","EQY_CONSOLIDATED=Y","SCALING_FORMAT=MLN","Sort=A","Dates=H","DateFormat=P","Fill=—","Direction=H","UseDPDF=Y")</f>
        <v>#NAME?</v>
      </c>
      <c r="CB468" s="2" t="e">
        <f ca="1">_xll.BDH($C$453,"TOT_DEBT_TO_EBITDA","FY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468" s="2" t="e">
        <f ca="1">_xll.BDH($C$453,"NET_DEBT_TO_EBITDA","FY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468" s="2" t="e">
        <f ca="1">_xll.BDH($C$453,"TOTAL_DEBT_TO_EBIT","FY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468" s="2" t="e">
        <f ca="1">_xll.BDH($C$453,"NET_DEBT_TO_EBIT","FY 2017","FY 2017","Currency=INR","Period=FY","BEST_FPERIOD_OVERRIDE=FY","FILING_STATUS=OR","EQY_CONSOLIDATED=Y","FA_ADJUSTED=GAAP","Sort=A","Dates=H","DateFormat=P","Fill=—","Direction=H","UseDPDF=Y")</f>
        <v>#NAME?</v>
      </c>
      <c r="CF468" s="2" t="e">
        <f ca="1">_xll.BDH($C$453,"EBITDA_TO_INTEREST_EXPN","FY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68" s="2" t="e">
        <f ca="1">_xll.BDH($C$453,"COM_EQY_TO_TOT_ASSET","FY 2017","FY 2017","Currency=INR","Period=FY","BEST_FPERIOD_OVERRIDE=FY","FILING_STATUS=OR","EQY_CONSOLIDATED=Y","Sort=A","Dates=H","DateFormat=P","Fill=—","Direction=H","UseDPDF=Y")</f>
        <v>#NAME?</v>
      </c>
      <c r="CH468" s="2" t="e">
        <f ca="1">_xll.BDH($C$453,"LT_DEBT_TO_TOT_EQY","FY 2017","FY 2017","Currency=INR","Period=FY","BEST_FPERIOD_OVERRIDE=FY","FILING_STATUS=OR","EQY_CONSOLIDATED=Y","Sort=A","Dates=H","DateFormat=P","Fill=—","Direction=H","UseDPDF=Y")</f>
        <v>#NAME?</v>
      </c>
      <c r="CI468" s="2" t="e">
        <f ca="1">_xll.BDH($C$453,"LT_DEBT_TO_TOT_CAP","FY 2017","FY 2017","Currency=INR","Period=FY","BEST_FPERIOD_OVERRIDE=FY","FILING_STATUS=OR","EQY_CONSOLIDATED=Y","Sort=A","Dates=H","DateFormat=P","Fill=—","Direction=H","UseDPDF=Y")</f>
        <v>#NAME?</v>
      </c>
      <c r="CJ468" s="2" t="e">
        <f ca="1">_xll.BDH($C$453,"LT_DEBT_TO_TOT_ASSET","FY 2017","FY 2017","Currency=INR","Period=FY","BEST_FPERIOD_OVERRIDE=FY","FILING_STATUS=OR","EQY_CONSOLIDATED=Y","Sort=A","Dates=H","DateFormat=P","Fill=—","Direction=H","UseDPDF=Y")</f>
        <v>#NAME?</v>
      </c>
      <c r="CK468" s="2" t="e">
        <f ca="1">_xll.BDH($C$453,"TOT_DEBT_TO_TOT_EQY","FY 2017","FY 2017","Currency=INR","Period=FY","BEST_FPERIOD_OVERRIDE=FY","FILING_STATUS=OR","EQY_CONSOLIDATED=Y","Sort=A","Dates=H","DateFormat=P","Fill=—","Direction=H","UseDPDF=Y")</f>
        <v>#NAME?</v>
      </c>
      <c r="CL468" s="2" t="e">
        <f ca="1">_xll.BDH($C$453,"TOT_DEBT_TO_TOT_CAP","FY 2017","FY 2017","Currency=INR","Period=FY","BEST_FPERIOD_OVERRIDE=FY","FILING_STATUS=OR","EQY_CONSOLIDATED=Y","Sort=A","Dates=H","DateFormat=P","Fill=—","Direction=H","UseDPDF=Y")</f>
        <v>#NAME?</v>
      </c>
      <c r="CM468" s="2" t="e">
        <f ca="1">_xll.BDH($C$453,"TOT_DEBT_TO_TOT_ASSET","FY 2017","FY 2017","Currency=INR","Period=FY","BEST_FPERIOD_OVERRIDE=FY","FILING_STATUS=OR","EQY_CONSOLIDATED=Y","Sort=A","Dates=H","DateFormat=P","Fill=—","Direction=H","UseDPDF=Y")</f>
        <v>#NAME?</v>
      </c>
      <c r="CN468" s="2" t="e">
        <f ca="1">_xll.BDH($C$453,"NET_DEBT_TO_SHRHLDR_EQTY","FY 2017","FY 2017","Currency=INR","Period=FY","BEST_FPERIOD_OVERRIDE=FY","FILING_STATUS=OR","EQY_CONSOLIDATED=Y","Sort=A","Dates=H","DateFormat=P","Fill=—","Direction=H","UseDPDF=Y")</f>
        <v>#NAME?</v>
      </c>
      <c r="CO468" s="2" t="e">
        <f ca="1">_xll.BDH($C$453,"NET_DEBT_%_CAPITAL","FY 2017","FY 2017","Currency=INR","Period=FY","BEST_FPERIOD_OVERRIDE=FY","FILING_STATUS=OR","EQY_CONSOLIDATED=Y","Sort=A","Dates=H","DateFormat=P","Fill=—","Direction=H","UseDPDF=Y")</f>
        <v>#NAME?</v>
      </c>
      <c r="CP468" s="3" t="e">
        <f ca="1">_xll.BDH($C$453,"EBITDA","FY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68" s="3" t="e">
        <f ca="1">_xll.BDH($C$453,"EBITDA_AFTER_CAPEX","FY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68" s="3" t="e">
        <f ca="1">_xll.BDH($C$453,"IS_OPER_INC","FY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68" s="2" t="e">
        <f ca="1">_xll.BDH($C$453,"CASH_RATIO","FY 2017","FY 2017","Currency=INR","Period=FY","BEST_FPERIOD_OVERRIDE=FY","FILING_STATUS=OR","EQY_CONSOLIDATED=Y","Sort=A","Dates=H","DateFormat=P","Fill=—","Direction=H","UseDPDF=Y")</f>
        <v>#NAME?</v>
      </c>
      <c r="CT468" s="2" t="e">
        <f ca="1">_xll.BDH($C$453,"CUR_RATIO","FY 2017","FY 2017","Currency=INR","Period=FY","BEST_FPERIOD_OVERRIDE=FY","FILING_STATUS=OR","EQY_CONSOLIDATED=Y","Sort=A","Dates=H","DateFormat=P","Fill=—","Direction=H","UseDPDF=Y")</f>
        <v>#NAME?</v>
      </c>
      <c r="CU468" s="2" t="e">
        <f ca="1">_xll.BDH($C$453,"QUICK_RATIO","FY 2017","FY 2017","Currency=INR","Period=FY","BEST_FPERIOD_OVERRIDE=FY","FILING_STATUS=OR","EQY_CONSOLIDATED=Y","Sort=A","Dates=H","DateFormat=P","Fill=—","Direction=H","UseDPDF=Y")</f>
        <v>#NAME?</v>
      </c>
      <c r="CV468" s="2" t="e">
        <f ca="1">_xll.BDH($C$453,"ALTMAN_Z_SCORE","FY 2017","FY 2017","Currency=INR","Period=FY","BEST_FPERIOD_OVERRIDE=FY","FILING_STATUS=OR","EQY_CONSOLIDATED=Y","Sort=A","Dates=H","DateFormat=P","Fill=—","Direction=H","UseDPDF=Y")</f>
        <v>#NAME?</v>
      </c>
      <c r="CW468" s="4" t="e">
        <f ca="1">_xll.BDH($C$453,"ACCT_RCV_TURN","FY 2017","FY 2017","Currency=INR","Period=FY","BEST_FPERIOD_OVERRIDE=FY","FILING_STATUS=OR","EQY_CONSOLIDATED=Y","FA_ADJUSTED=GAAP","Sort=A","Dates=H","DateFormat=P","Fill=—","Direction=H","UseDPDF=Y")</f>
        <v>#NAME?</v>
      </c>
      <c r="CX468" s="2" t="e">
        <f ca="1">_xll.BDH($C$453,"ACCT_RCV_DAYS","FY 2017","FY 2017","Currency=INR","Period=FY","BEST_FPERIOD_OVERRIDE=FY","FILING_STATUS=OR","EQY_CONSOLIDATED=Y","FA_ADJUSTED=GAAP","Sort=A","Dates=H","DateFormat=P","Fill=—","Direction=H","UseDPDF=Y")</f>
        <v>#NAME?</v>
      </c>
      <c r="CY468" s="4" t="e">
        <f ca="1">_xll.BDH($C$453,"INVENT_TURN","FY 2017","FY 2017","Currency=INR","Period=FY","BEST_FPERIOD_OVERRIDE=FY","FILING_STATUS=OR","EQY_CONSOLIDATED=Y","FA_ADJUSTED=GAAP","Sort=A","Dates=H","DateFormat=P","Fill=—","Direction=H","UseDPDF=Y")</f>
        <v>#NAME?</v>
      </c>
      <c r="CZ468" s="2" t="e">
        <f ca="1">_xll.BDH($C$453,"INVENT_DAYS","FY 2017","FY 2017","Currency=INR","Period=FY","BEST_FPERIOD_OVERRIDE=FY","FILING_STATUS=OR","EQY_CONSOLIDATED=Y","FA_ADJUSTED=GAAP","Sort=A","Dates=H","DateFormat=P","Fill=—","Direction=H","UseDPDF=Y")</f>
        <v>#NAME?</v>
      </c>
      <c r="DA468" s="4" t="e">
        <f ca="1">_xll.BDH($C$453,"ACCOUNTS_PAYABLE_TURNOVER","FY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68" s="2" t="e">
        <f ca="1">_xll.BDH($C$453,"ACCOUNTS_PAYABLE_TURNOVER_DAYS","FY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68" s="4" t="e">
        <f ca="1">_xll.BDH($C$453,"CASH_CONVERSION_CYCLE","FY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68" s="4" t="e">
        <f ca="1">_xll.BDH($C$453,"INV_TO_CASH_DAYS","FY 2017","FY 2017","Currency=INR","Period=FY","BEST_FPERIOD_OVERRIDE=FY","FILING_STATUS=OR","EQY_CONSOLIDATED=Y","FA_ADJUSTED=GAAP","Sort=A","Dates=H","DateFormat=P","Fill=—","Direction=H","UseDPDF=Y")</f>
        <v>#NAME?</v>
      </c>
      <c r="DE468" s="5" t="e">
        <f ca="1">_xll.BDH($C$453,"BS_INVENTORIES","FY 2017","FY 2017","Currency=INR","Period=FY","BEST_FPERIOD_OVERRIDE=FY","FILING_STATUS=OR","EQY_CONSOLIDATED=Y","SCALING_FORMAT=MLN","Sort=A","Dates=H","DateFormat=P","Fill=—","Direction=H","UseDPDF=Y")</f>
        <v>#NAME?</v>
      </c>
      <c r="DF468" s="3" t="e">
        <f ca="1">_xll.BDH($C$453,"INVTRY_RAW_MATERIALS","FY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68" s="3" t="e">
        <f ca="1">_xll.BDH($C$453,"INVTRY_IN_PROGRESS","FY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68" s="3" t="e">
        <f ca="1">_xll.BDH($C$453,"INVTRY_FINISHED_GOODS","FY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68" s="3" t="e">
        <f ca="1">_xll.BDH($C$453,"BS_OTHER_INV","FY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69" spans="1:113" x14ac:dyDescent="0.3">
      <c r="A469" s="6"/>
      <c r="B469" s="6"/>
      <c r="C469" s="6"/>
      <c r="D469" s="6"/>
      <c r="E469" t="s">
        <v>78</v>
      </c>
      <c r="F469" t="e">
        <f ca="1">_xll.BDH($C$453,"RETURN_COM_EQY","FQ1 2017","FQ1 2017","Currency=INR","Period=FQ","BEST_FPERIOD_OVERRIDE=FQ","FILING_STATUS=OR","EQY_CONSOLIDATED=Y","FA_ADJUSTED=GAAP","Sort=A","Dates=H","DateFormat=P","Fill=—","Direction=H","UseDPDF=Y")</f>
        <v>#NAME?</v>
      </c>
      <c r="G469" t="e">
        <f ca="1">_xll.BDH($C$453,"RETURN_ON_ASSET","FQ1 2017","FQ1 2017","Currency=INR","Period=FQ","BEST_FPERIOD_OVERRIDE=FQ","FILING_STATUS=OR","EQY_CONSOLIDATED=Y","FA_ADJUSTED=GAAP","Sort=A","Dates=H","DateFormat=P","Fill=—","Direction=H","UseDPDF=Y")</f>
        <v>#NAME?</v>
      </c>
      <c r="H469" t="e">
        <f ca="1">_xll.BDH($C$453,"RETURN_ON_CAP","FQ1 2017","FQ1 2017","Currency=INR","Period=FQ","BEST_FPERIOD_OVERRIDE=FQ","FILING_STATUS=OR","EQY_CONSOLIDATED=Y","FA_ADJUSTED=GAAP","Sort=A","Dates=H","DateFormat=P","Fill=—","Direction=H","UseDPDF=Y")</f>
        <v>#NAME?</v>
      </c>
      <c r="I469" t="e">
        <f ca="1">_xll.BDH($C$453,"RETURN_ON_INV_CAPITAL","FQ1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69" t="e">
        <f ca="1">_xll.BDH($C$453,"EBITDA_TO_REVENUE","FQ1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469" t="e">
        <f ca="1">_xll.BDH($C$453,"OPER_MARGIN","FQ1 2017","FQ1 2017","Currency=INR","Period=FQ","BEST_FPERIOD_OVERRIDE=FQ","FILING_STATUS=OR","EQY_CONSOLIDATED=Y","FA_ADJUSTED=GAAP","Sort=A","Dates=H","DateFormat=P","Fill=—","Direction=H","UseDPDF=Y")</f>
        <v>#NAME?</v>
      </c>
      <c r="L469" t="e">
        <f ca="1">_xll.BDH($C$453,"INCREMENTAL_OPERATING_MARGIN","FQ1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69" t="e">
        <f ca="1">_xll.BDH($C$453,"PRETAX_INC_TO_NET_SALES","FQ1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69" t="e">
        <f ca="1">_xll.BDH($C$453,"INC_BEF_XO_ITEMS_TO_NET_SALES","FQ1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69" t="e">
        <f ca="1">_xll.BDH($C$453,"PROF_MARGIN","FQ1 2017","FQ1 2017","Currency=INR","Period=FQ","BEST_FPERIOD_OVERRIDE=FQ","FILING_STATUS=OR","EQY_CONSOLIDATED=Y","FA_ADJUSTED=GAAP","Sort=A","Dates=H","DateFormat=P","Fill=—","Direction=H","UseDPDF=Y")</f>
        <v>#NAME?</v>
      </c>
      <c r="P469" t="e">
        <f ca="1">_xll.BDH($C$453,"NET_INCOME_TO_COMMON_MARGIN","FQ1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69" t="e">
        <f ca="1">_xll.BDH($C$453,"EFF_TAX_RATE","FQ1 2017","FQ1 2017","Currency=INR","Period=FQ","BEST_FPERIOD_OVERRIDE=FQ","FILING_STATUS=OR","EQY_CONSOLIDATED=Y","FA_ADJUSTED=GAAP","Sort=A","Dates=H","DateFormat=P","Fill=—","Direction=H","UseDPDF=Y")</f>
        <v>#NAME?</v>
      </c>
      <c r="R469" t="e">
        <f ca="1">_xll.BDH($C$453,"DVD_PAYOUT_RATIO","FQ1 2017","FQ1 2017","Currency=INR","Period=FQ","BEST_FPERIOD_OVERRIDE=FQ","FILING_STATUS=OR","EQY_CONSOLIDATED=Y","FA_ADJUSTED=GAAP","Sort=A","Dates=H","DateFormat=P","Fill=—","Direction=H","UseDPDF=Y")</f>
        <v>#NAME?</v>
      </c>
      <c r="S469" t="e">
        <f ca="1">_xll.BDH($C$453,"SUSTAIN_GROWTH_RT","FQ1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469" s="2" t="e">
        <f ca="1">_xll.BDH($C$453,"SALES_GROWTH","FQ1 2017","FQ1 2017","Currency=INR","Period=FQ","BEST_FPERIOD_OVERRIDE=FQ","FILING_STATUS=OR","EQY_CONSOLIDATED=Y","FA_ADJUSTED=GAAP","Sort=A","Dates=H","DateFormat=P","Fill=—","Direction=H","UseDPDF=Y")</f>
        <v>#NAME?</v>
      </c>
      <c r="U469" s="2" t="e">
        <f ca="1">_xll.BDH($C$453,"EBITDA_GROWTH","FQ1 2017","FQ1 2017","Currency=INR","Period=FQ","BEST_FPERIOD_OVERRIDE=FQ","FILING_STATUS=OR","EQY_CONSOLIDATED=Y","FA_ADJUSTED=GAAP","Sort=A","Dates=H","DateFormat=P","Fill=—","Direction=H","UseDPDF=Y")</f>
        <v>#NAME?</v>
      </c>
      <c r="V469" s="2" t="e">
        <f ca="1">_xll.BDH($C$453,"OPER_INC_GROWTH","FQ1 2017","FQ1 2017","Currency=INR","Period=FQ","BEST_FPERIOD_OVERRIDE=FQ","FILING_STATUS=OR","EQY_CONSOLIDATED=Y","FA_ADJUSTED=GAAP","Sort=A","Dates=H","DateFormat=P","Fill=—","Direction=H","UseDPDF=Y")</f>
        <v>#NAME?</v>
      </c>
      <c r="W469" s="2" t="e">
        <f ca="1">_xll.BDH($C$453,"EARN_FOR_COM_GROWTH","FQ1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69" s="2" t="e">
        <f ca="1">_xll.BDH($C$453,"DILUTED_EPS_AFT_XO_ITEMS_GROWTH","FQ1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69" s="2" t="e">
        <f ca="1">_xll.BDH($C$453,"DIVIDEND_PER_SHARE_1_YEAR_GROWTH","FQ1 2017","FQ1 2017","Currency=INR","Period=FQ","BEST_FPERIOD_OVERRIDE=FQ","FILING_STATUS=OR","EQY_CONSOLIDATED=Y","Sort=A","Dates=H","DateFormat=P","Fill=—","Direction=H","UseDPDF=Y")</f>
        <v>#NAME?</v>
      </c>
      <c r="Z469" s="2" t="e">
        <f ca="1">_xll.BDH($C$453,"ACCOUNTS_RECEIVABLE_GROWTH","FQ1 2017","FQ1 2017","Currency=INR","Period=FQ","BEST_FPERIOD_OVERRIDE=FQ","FILING_STATUS=OR","EQY_CONSOLIDATED=Y","Sort=A","Dates=H","DateFormat=P","Fill=—","Direction=H","UseDPDF=Y")</f>
        <v>#NAME?</v>
      </c>
      <c r="AA469" s="2" t="e">
        <f ca="1">_xll.BDH($C$453,"INVENTORY_GROWTH","FQ1 2017","FQ1 2017","Currency=INR","Period=FQ","BEST_FPERIOD_OVERRIDE=FQ","FILING_STATUS=OR","EQY_CONSOLIDATED=Y","Sort=A","Dates=H","DateFormat=P","Fill=—","Direction=H","UseDPDF=Y")</f>
        <v>#NAME?</v>
      </c>
      <c r="AB469" s="2" t="e">
        <f ca="1">_xll.BDH($C$453,"NET_FIXED_ASSETS_1_YEAR_GROWTH","FQ1 2017","FQ1 2017","Currency=INR","Period=FQ","BEST_FPERIOD_OVERRIDE=FQ","FILING_STATUS=OR","EQY_CONSOLIDATED=Y","Sort=A","Dates=H","DateFormat=P","Fill=—","Direction=H","UseDPDF=Y")</f>
        <v>#NAME?</v>
      </c>
      <c r="AC469" s="2" t="e">
        <f ca="1">_xll.BDH($C$453,"ASSET_GROWTH","FQ1 2017","FQ1 2017","Currency=INR","Period=FQ","BEST_FPERIOD_OVERRIDE=FQ","FILING_STATUS=OR","EQY_CONSOLIDATED=Y","Sort=A","Dates=H","DateFormat=P","Fill=—","Direction=H","UseDPDF=Y")</f>
        <v>#NAME?</v>
      </c>
      <c r="AD469" s="2" t="e">
        <f ca="1">_xll.BDH($C$453,"MODIFIED_WORK_CAP_GROWTH","FQ1 2017","FQ1 2017","Currency=INR","Period=FQ","BEST_FPERIOD_OVERRIDE=FQ","FILING_STATUS=OR","EQY_CONSOLIDATED=Y","Sort=A","Dates=H","DateFormat=P","Fill=—","Direction=H","UseDPDF=Y")</f>
        <v>#NAME?</v>
      </c>
      <c r="AE469" s="2" t="e">
        <f ca="1">_xll.BDH($C$453,"WORK_CAP_GROWTH","FQ1 2017","FQ1 2017","Currency=INR","Period=FQ","BEST_FPERIOD_OVERRIDE=FQ","FILING_STATUS=OR","EQY_CONSOLIDATED=Y","Sort=A","Dates=H","DateFormat=P","Fill=—","Direction=H","UseDPDF=Y")</f>
        <v>#NAME?</v>
      </c>
      <c r="AF469" s="2" t="e">
        <f ca="1">_xll.BDH($C$453,"ACCOUNTS_PAYABLE_GROWTH_1YR","FQ1 2017","FQ1 2017","Currency=INR","Period=FQ","BEST_FPERIOD_OVERRIDE=FQ","FILING_STATUS=OR","EQY_CONSOLIDATED=Y","Sort=A","Dates=H","DateFormat=P","Fill=—","Direction=H","UseDPDF=Y")</f>
        <v>#NAME?</v>
      </c>
      <c r="AG469" s="2" t="e">
        <f ca="1">_xll.BDH($C$453,"SHORT_TERM_DEBT_1_YEAR_GROWTH","FQ1 2017","FQ1 2017","Currency=INR","Period=FQ","BEST_FPERIOD_OVERRIDE=FQ","FILING_STATUS=OR","EQY_CONSOLIDATED=Y","Sort=A","Dates=H","DateFormat=P","Fill=—","Direction=H","UseDPDF=Y")</f>
        <v>#NAME?</v>
      </c>
      <c r="AH469" s="2" t="e">
        <f ca="1">_xll.BDH($C$453,"TOTAL_DEBT_1_YEAR_GROWTH","FQ1 2017","FQ1 2017","Currency=INR","Period=FQ","BEST_FPERIOD_OVERRIDE=FQ","FILING_STATUS=OR","EQY_CONSOLIDATED=Y","Sort=A","Dates=H","DateFormat=P","Fill=—","Direction=H","UseDPDF=Y")</f>
        <v>#NAME?</v>
      </c>
      <c r="AI469" s="2" t="e">
        <f ca="1">_xll.BDH($C$453,"TOTAL_EQUITY_1_YEAR_GROWTH","FQ1 2017","FQ1 2017","Currency=INR","Period=FQ","BEST_FPERIOD_OVERRIDE=FQ","FILING_STATUS=OR","EQY_CONSOLIDATED=Y","Sort=A","Dates=H","DateFormat=P","Fill=—","Direction=H","UseDPDF=Y")</f>
        <v>#NAME?</v>
      </c>
      <c r="AJ469" s="2" t="e">
        <f ca="1">_xll.BDH($C$453,"GROWTH_IN_CAP","FQ1 2017","FQ1 2017","Currency=INR","Period=FQ","BEST_FPERIOD_OVERRIDE=FQ","FILING_STATUS=OR","EQY_CONSOLIDATED=Y","Sort=A","Dates=H","DateFormat=P","Fill=—","Direction=H","UseDPDF=Y")</f>
        <v>#NAME?</v>
      </c>
      <c r="AK469" s="2" t="e">
        <f ca="1">_xll.BDH($C$453,"BVPS_GROWTH","FQ1 2017","FQ1 2017","Currency=INR","Period=FQ","BEST_FPERIOD_OVERRIDE=FQ","FILING_STATUS=OR","EQY_CONSOLIDATED=Y","Sort=A","Dates=H","DateFormat=P","Fill=—","Direction=H","UseDPDF=Y")</f>
        <v>#NAME?</v>
      </c>
      <c r="AL469" s="2" t="e">
        <f ca="1">_xll.BDH($C$453,"CASH_FLOW_GROWTH","FQ1 2017","FQ1 2017","Currency=INR","Period=FQ","BEST_FPERIOD_OVERRIDE=FQ","FILING_STATUS=OR","EQY_CONSOLIDATED=Y","Sort=A","Dates=H","DateFormat=P","Fill=—","Direction=H","UseDPDF=Y")</f>
        <v>#NAME?</v>
      </c>
      <c r="AM469" s="2" t="e">
        <f ca="1">_xll.BDH($C$453,"GEO_GROW_NET_SALES","FQ1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69" s="2" t="e">
        <f ca="1">_xll.BDH($C$453,"GEO_GROW_EBITDA","FQ1 2017","FQ1 2017","Currency=INR","Period=FQ","BEST_FPERIOD_OVERRIDE=FQ","FILING_STATUS=OR","EQY_CONSOLIDATED=Y","FA_ADJUSTED=GAAP","Sort=A","Dates=H","DateFormat=P","Fill=—","Direction=H","UseDPDF=Y")</f>
        <v>#NAME?</v>
      </c>
      <c r="AO469" s="2" t="e">
        <f ca="1">_xll.BDH($C$453,"GEO_GROW_OPER_INC","FQ1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69" s="2" t="e">
        <f ca="1">_xll.BDH($C$453,"NET_INCOME_TO_COMMON_5_YR_GROWTH","FQ1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69" s="2" t="e">
        <f ca="1">_xll.BDH($C$453,"5Y_GEO_GROWTH_DILUTED_EPS","FQ1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69" s="2" t="e">
        <f ca="1">_xll.BDH($C$453,"GEO_GROW_DVD_PER_SH","FQ1 2017","FQ1 2017","Currency=INR","Period=FQ","BEST_FPERIOD_OVERRIDE=FQ","FILING_STATUS=OR","EQY_CONSOLIDATED=Y","Sort=A","Dates=H","DateFormat=P","Fill=—","Direction=H","UseDPDF=Y")</f>
        <v>#NAME?</v>
      </c>
      <c r="AS469" s="2" t="e">
        <f ca="1">_xll.BDH($C$453,"ACCOUNTS_RECEIVABLE_5_YR_GROWTH","FQ1 2017","FQ1 2017","Currency=INR","Period=FQ","BEST_FPERIOD_OVERRIDE=FQ","FILING_STATUS=OR","EQY_CONSOLIDATED=Y","Sort=A","Dates=H","DateFormat=P","Fill=—","Direction=H","UseDPDF=Y")</f>
        <v>#NAME?</v>
      </c>
      <c r="AT469" s="2" t="e">
        <f ca="1">_xll.BDH($C$453,"INVENTORY_5_YEAR_GROWTH","FQ1 2017","FQ1 2017","Currency=INR","Period=FQ","BEST_FPERIOD_OVERRIDE=FQ","FILING_STATUS=OR","EQY_CONSOLIDATED=Y","Sort=A","Dates=H","DateFormat=P","Fill=—","Direction=H","UseDPDF=Y")</f>
        <v>#NAME?</v>
      </c>
      <c r="AU469" s="2" t="e">
        <f ca="1">_xll.BDH($C$453,"NET_FIXED_ASSETS_5_YEAR_GROWTH","FQ1 2017","FQ1 2017","Currency=INR","Period=FQ","BEST_FPERIOD_OVERRIDE=FQ","FILING_STATUS=OR","EQY_CONSOLIDATED=Y","Sort=A","Dates=H","DateFormat=P","Fill=—","Direction=H","UseDPDF=Y")</f>
        <v>#NAME?</v>
      </c>
      <c r="AV469" s="2" t="e">
        <f ca="1">_xll.BDH($C$453,"GEO_GROW_TOT_ASSET","FQ1 2017","FQ1 2017","Currency=INR","Period=FQ","BEST_FPERIOD_OVERRIDE=FQ","FILING_STATUS=OR","EQY_CONSOLIDATED=Y","Sort=A","Dates=H","DateFormat=P","Fill=—","Direction=H","UseDPDF=Y")</f>
        <v>#NAME?</v>
      </c>
      <c r="AW469" s="2" t="e">
        <f ca="1">_xll.BDH($C$453,"MODIFIED_WORKING_CPTL_5YR_GRWTH","FQ1 2017","FQ1 2017","Currency=INR","Period=FQ","BEST_FPERIOD_OVERRIDE=FQ","FILING_STATUS=OR","EQY_CONSOLIDATED=Y","Sort=A","Dates=H","DateFormat=P","Fill=—","Direction=H","UseDPDF=Y")</f>
        <v>#NAME?</v>
      </c>
      <c r="AX469" s="2" t="e">
        <f ca="1">_xll.BDH($C$453,"WORKING_CAPITAL_5_YEAR_GROWTH","FQ1 2017","FQ1 2017","Currency=INR","Period=FQ","BEST_FPERIOD_OVERRIDE=FQ","FILING_STATUS=OR","EQY_CONSOLIDATED=Y","Sort=A","Dates=H","DateFormat=P","Fill=—","Direction=H","UseDPDF=Y")</f>
        <v>#NAME?</v>
      </c>
      <c r="AY469" s="2" t="e">
        <f ca="1">_xll.BDH($C$453,"ACCOUNTS_PAYABLE_5_YEAR_GROWTH","FQ1 2017","FQ1 2017","Currency=INR","Period=FQ","BEST_FPERIOD_OVERRIDE=FQ","FILING_STATUS=OR","EQY_CONSOLIDATED=Y","Sort=A","Dates=H","DateFormat=P","Fill=—","Direction=H","UseDPDF=Y")</f>
        <v>#NAME?</v>
      </c>
      <c r="AZ469" s="2" t="e">
        <f ca="1">_xll.BDH($C$453,"SHORT_TERM_DEBT_5_YEAR_GROWTH","FQ1 2017","FQ1 2017","Currency=INR","Period=FQ","BEST_FPERIOD_OVERRIDE=FQ","FILING_STATUS=OR","EQY_CONSOLIDATED=Y","Sort=A","Dates=H","DateFormat=P","Fill=—","Direction=H","UseDPDF=Y")</f>
        <v>#NAME?</v>
      </c>
      <c r="BA469" s="2" t="e">
        <f ca="1">_xll.BDH($C$453,"TOTAL_DEBT_5_YEAR_GROWTH","FQ1 2017","FQ1 2017","Currency=INR","Period=FQ","BEST_FPERIOD_OVERRIDE=FQ","FILING_STATUS=OR","EQY_CONSOLIDATED=Y","Sort=A","Dates=H","DateFormat=P","Fill=—","Direction=H","UseDPDF=Y")</f>
        <v>#NAME?</v>
      </c>
      <c r="BB469" s="2" t="e">
        <f ca="1">_xll.BDH($C$453,"GEO_GROW_TOT_SHRHLDR_EQY","FQ1 2017","FQ1 2017","Currency=INR","Period=FQ","BEST_FPERIOD_OVERRIDE=FQ","FILING_STATUS=OR","EQY_CONSOLIDATED=Y","Sort=A","Dates=H","DateFormat=P","Fill=—","Direction=H","UseDPDF=Y")</f>
        <v>#NAME?</v>
      </c>
      <c r="BC469" s="2" t="e">
        <f ca="1">_xll.BDH($C$453,"TOTAL_CAPITAL_5_YEAR_GROWTH","FQ1 2017","FQ1 2017","Currency=INR","Period=FQ","BEST_FPERIOD_OVERRIDE=FQ","FILING_STATUS=OR","EQY_CONSOLIDATED=Y","Sort=A","Dates=H","DateFormat=P","Fill=—","Direction=H","UseDPDF=Y")</f>
        <v>#NAME?</v>
      </c>
      <c r="BD469" s="2" t="e">
        <f ca="1">_xll.BDH($C$453,"GEO_GROW_BOOK_VAL","FQ1 2017","FQ1 2017","Currency=INR","Period=FQ","BEST_FPERIOD_OVERRIDE=FQ","FILING_STATUS=OR","EQY_CONSOLIDATED=Y","Sort=A","Dates=H","DateFormat=P","Fill=—","Direction=H","UseDPDF=Y")</f>
        <v>#NAME?</v>
      </c>
      <c r="BE469" s="2" t="e">
        <f ca="1">_xll.BDH($C$453,"GEO_GROW_CASH_OPER_ACT","FQ1 2017","FQ1 2017","Currency=INR","Period=FQ","BEST_FPERIOD_OVERRIDE=FQ","FILING_STATUS=OR","EQY_CONSOLIDATED=Y","Sort=A","Dates=H","DateFormat=P","Fill=—","Direction=H","UseDPDF=Y")</f>
        <v>#NAME?</v>
      </c>
      <c r="BF469" s="2" t="e">
        <f ca="1">_xll.BDH($C$453,"REVENUE_SEQUENTIAL_GROWTH","FQ1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69" s="2" t="e">
        <f ca="1">_xll.BDH($C$453,"EBITDA_SEQUENTIAL_GROWTH","FQ1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69" s="2" t="e">
        <f ca="1">_xll.BDH($C$453,"OPERATING_INCOME_SEQ_GROWTH","FQ1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69" s="2" t="e">
        <f ca="1">_xll.BDH($C$453,"NET_INCOME_TO_COMMON_SEQ_GROWTH","FQ1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69" s="2" t="e">
        <f ca="1">_xll.BDH($C$453,"EPS_DILUTED_SEQUENTIAL_GROWTH","FQ1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69" s="2" t="e">
        <f ca="1">_xll.BDH($C$453,"DPS_SEQUENTIAL_GROWTH","FQ1 2017","FQ1 2017","Currency=INR","Period=FQ","BEST_FPERIOD_OVERRIDE=FQ","FILING_STATUS=OR","EQY_CONSOLIDATED=Y","Sort=A","Dates=H","DateFormat=P","Fill=—","Direction=H","UseDPDF=Y")</f>
        <v>#NAME?</v>
      </c>
      <c r="BL469" s="2" t="e">
        <f ca="1">_xll.BDH($C$453,"ACCOUNTS_RECEIVABLE_SEQ_GROWTH","FQ1 2017","FQ1 2017","Currency=INR","Period=FQ","BEST_FPERIOD_OVERRIDE=FQ","FILING_STATUS=OR","EQY_CONSOLIDATED=Y","Sort=A","Dates=H","DateFormat=P","Fill=—","Direction=H","UseDPDF=Y")</f>
        <v>#NAME?</v>
      </c>
      <c r="BM469" s="2" t="e">
        <f ca="1">_xll.BDH($C$453,"INVENTORY_SEQUENTIAL_GROWTH","FQ1 2017","FQ1 2017","Currency=INR","Period=FQ","BEST_FPERIOD_OVERRIDE=FQ","FILING_STATUS=OR","EQY_CONSOLIDATED=Y","Sort=A","Dates=H","DateFormat=P","Fill=—","Direction=H","UseDPDF=Y")</f>
        <v>#NAME?</v>
      </c>
      <c r="BN469" s="2" t="e">
        <f ca="1">_xll.BDH($C$453,"FIXED_ASSETS_SEQUENTIAL_GROWTH","FQ1 2017","FQ1 2017","Currency=INR","Period=FQ","BEST_FPERIOD_OVERRIDE=FQ","FILING_STATUS=OR","EQY_CONSOLIDATED=Y","Sort=A","Dates=H","DateFormat=P","Fill=—","Direction=H","UseDPDF=Y")</f>
        <v>#NAME?</v>
      </c>
      <c r="BO469" s="2" t="e">
        <f ca="1">_xll.BDH($C$453,"TOTAL_ASSETS_SEQUENTIAL_GROWTH","FQ1 2017","FQ1 2017","Currency=INR","Period=FQ","BEST_FPERIOD_OVERRIDE=FQ","FILING_STATUS=OR","EQY_CONSOLIDATED=Y","Sort=A","Dates=H","DateFormat=P","Fill=—","Direction=H","UseDPDF=Y")</f>
        <v>#NAME?</v>
      </c>
      <c r="BP469" s="2" t="e">
        <f ca="1">_xll.BDH($C$453,"MODIFIED_WORKING_CPTL_SEQ_GRWTH","FQ1 2017","FQ1 2017","Currency=INR","Period=FQ","BEST_FPERIOD_OVERRIDE=FQ","FILING_STATUS=OR","EQY_CONSOLIDATED=Y","Sort=A","Dates=H","DateFormat=P","Fill=—","Direction=H","UseDPDF=Y")</f>
        <v>#NAME?</v>
      </c>
      <c r="BQ469" s="2" t="e">
        <f ca="1">_xll.BDH($C$453,"WORKING_CAPITAL_SEQ_GROWTH","FQ1 2017","FQ1 2017","Currency=INR","Period=FQ","BEST_FPERIOD_OVERRIDE=FQ","FILING_STATUS=OR","EQY_CONSOLIDATED=Y","Sort=A","Dates=H","DateFormat=P","Fill=—","Direction=H","UseDPDF=Y")</f>
        <v>#NAME?</v>
      </c>
      <c r="BR469" s="2" t="e">
        <f ca="1">_xll.BDH($C$453,"ACCOUNTS_PAYABLE_SEQ_GROWTH","FQ1 2017","FQ1 2017","Currency=INR","Period=FQ","BEST_FPERIOD_OVERRIDE=FQ","FILING_STATUS=OR","EQY_CONSOLIDATED=Y","Sort=A","Dates=H","DateFormat=P","Fill=—","Direction=H","UseDPDF=Y")</f>
        <v>#NAME?</v>
      </c>
      <c r="BS469" s="2" t="e">
        <f ca="1">_xll.BDH($C$453,"ST_DEBT_SEQUENTIAL_GROWTH","FQ1 2017","FQ1 2017","Currency=INR","Period=FQ","BEST_FPERIOD_OVERRIDE=FQ","FILING_STATUS=OR","EQY_CONSOLIDATED=Y","Sort=A","Dates=H","DateFormat=P","Fill=—","Direction=H","UseDPDF=Y")</f>
        <v>#NAME?</v>
      </c>
      <c r="BT469" s="2" t="e">
        <f ca="1">_xll.BDH($C$453,"TOTAL_DEBT_SEQUENTIAL_GROWTH","FQ1 2017","FQ1 2017","Currency=INR","Period=FQ","BEST_FPERIOD_OVERRIDE=FQ","FILING_STATUS=OR","EQY_CONSOLIDATED=Y","Sort=A","Dates=H","DateFormat=P","Fill=—","Direction=H","UseDPDF=Y")</f>
        <v>#NAME?</v>
      </c>
      <c r="BU469" s="2" t="e">
        <f ca="1">_xll.BDH($C$453,"TOTAL_EQUITY_SEQUENTIAL_GROWTH","FQ1 2017","FQ1 2017","Currency=INR","Period=FQ","BEST_FPERIOD_OVERRIDE=FQ","FILING_STATUS=OR","EQY_CONSOLIDATED=Y","Sort=A","Dates=H","DateFormat=P","Fill=—","Direction=H","UseDPDF=Y")</f>
        <v>#NAME?</v>
      </c>
      <c r="BV469" s="2" t="e">
        <f ca="1">_xll.BDH($C$453,"TOTAL_CAPITAL_SEQUENTIAL_GROWTH","FQ1 2017","FQ1 2017","Currency=INR","Period=FQ","BEST_FPERIOD_OVERRIDE=FQ","FILING_STATUS=OR","EQY_CONSOLIDATED=Y","Sort=A","Dates=H","DateFormat=P","Fill=—","Direction=H","UseDPDF=Y")</f>
        <v>#NAME?</v>
      </c>
      <c r="BW469" s="2" t="e">
        <f ca="1">_xll.BDH($C$453,"BPS_SEQUENTIAL_GROWTH","FQ1 2017","FQ1 2017","Currency=INR","Period=FQ","BEST_FPERIOD_OVERRIDE=FQ","FILING_STATUS=OR","EQY_CONSOLIDATED=Y","Sort=A","Dates=H","DateFormat=P","Fill=—","Direction=H","UseDPDF=Y")</f>
        <v>#NAME?</v>
      </c>
      <c r="BX469" s="2" t="e">
        <f ca="1">_xll.BDH($C$453,"CFO_SEQUENTIAL_GROWTH","FQ1 2017","FQ1 2017","Currency=INR","Period=FQ","BEST_FPERIOD_OVERRIDE=FQ","FILING_STATUS=OR","EQY_CONSOLIDATED=Y","Sort=A","Dates=H","DateFormat=P","Fill=—","Direction=H","UseDPDF=Y")</f>
        <v>#NAME?</v>
      </c>
      <c r="BY469" s="3" t="e">
        <f ca="1">_xll.BDH($C$453,"SHORT_AND_LONG_TERM_DEBT","FQ1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69" s="3" t="e">
        <f ca="1">_xll.BDH($C$453,"BS_ST_BORROW","FQ1 2017","FQ1 2017","Currency=INR","Period=FQ","BEST_FPERIOD_OVERRIDE=FQ","FILING_STATUS=OR","EQY_CONSOLIDATED=Y","SCALING_FORMAT=MLN","Sort=A","Dates=H","DateFormat=P","Fill=—","Direction=H","UseDPDF=Y")</f>
        <v>#NAME?</v>
      </c>
      <c r="CA469" s="3" t="e">
        <f ca="1">_xll.BDH($C$453,"BS_LT_BORROW","FQ1 2017","FQ1 2017","Currency=INR","Period=FQ","BEST_FPERIOD_OVERRIDE=FQ","FILING_STATUS=OR","EQY_CONSOLIDATED=Y","SCALING_FORMAT=MLN","Sort=A","Dates=H","DateFormat=P","Fill=—","Direction=H","UseDPDF=Y")</f>
        <v>#NAME?</v>
      </c>
      <c r="CB469" s="2" t="e">
        <f ca="1">_xll.BDH($C$453,"TOT_DEBT_TO_EBITDA","FQ1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69" s="2" t="e">
        <f ca="1">_xll.BDH($C$453,"NET_DEBT_TO_EBITDA","FQ1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69" s="2" t="e">
        <f ca="1">_xll.BDH($C$453,"TOTAL_DEBT_TO_EBIT","FQ1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69" s="2" t="e">
        <f ca="1">_xll.BDH($C$453,"NET_DEBT_TO_EBIT","FQ1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469" s="2" t="e">
        <f ca="1">_xll.BDH($C$453,"EBITDA_TO_INTEREST_EXPN","FQ1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69" s="2" t="e">
        <f ca="1">_xll.BDH($C$453,"COM_EQY_TO_TOT_ASSET","FQ1 2017","FQ1 2017","Currency=INR","Period=FQ","BEST_FPERIOD_OVERRIDE=FQ","FILING_STATUS=OR","EQY_CONSOLIDATED=Y","Sort=A","Dates=H","DateFormat=P","Fill=—","Direction=H","UseDPDF=Y")</f>
        <v>#NAME?</v>
      </c>
      <c r="CH469" s="2" t="e">
        <f ca="1">_xll.BDH($C$453,"LT_DEBT_TO_TOT_EQY","FQ1 2017","FQ1 2017","Currency=INR","Period=FQ","BEST_FPERIOD_OVERRIDE=FQ","FILING_STATUS=OR","EQY_CONSOLIDATED=Y","Sort=A","Dates=H","DateFormat=P","Fill=—","Direction=H","UseDPDF=Y")</f>
        <v>#NAME?</v>
      </c>
      <c r="CI469" s="2" t="e">
        <f ca="1">_xll.BDH($C$453,"LT_DEBT_TO_TOT_CAP","FQ1 2017","FQ1 2017","Currency=INR","Period=FQ","BEST_FPERIOD_OVERRIDE=FQ","FILING_STATUS=OR","EQY_CONSOLIDATED=Y","Sort=A","Dates=H","DateFormat=P","Fill=—","Direction=H","UseDPDF=Y")</f>
        <v>#NAME?</v>
      </c>
      <c r="CJ469" s="2" t="e">
        <f ca="1">_xll.BDH($C$453,"LT_DEBT_TO_TOT_ASSET","FQ1 2017","FQ1 2017","Currency=INR","Period=FQ","BEST_FPERIOD_OVERRIDE=FQ","FILING_STATUS=OR","EQY_CONSOLIDATED=Y","Sort=A","Dates=H","DateFormat=P","Fill=—","Direction=H","UseDPDF=Y")</f>
        <v>#NAME?</v>
      </c>
      <c r="CK469" s="2" t="e">
        <f ca="1">_xll.BDH($C$453,"TOT_DEBT_TO_TOT_EQY","FQ1 2017","FQ1 2017","Currency=INR","Period=FQ","BEST_FPERIOD_OVERRIDE=FQ","FILING_STATUS=OR","EQY_CONSOLIDATED=Y","Sort=A","Dates=H","DateFormat=P","Fill=—","Direction=H","UseDPDF=Y")</f>
        <v>#NAME?</v>
      </c>
      <c r="CL469" s="2" t="e">
        <f ca="1">_xll.BDH($C$453,"TOT_DEBT_TO_TOT_CAP","FQ1 2017","FQ1 2017","Currency=INR","Period=FQ","BEST_FPERIOD_OVERRIDE=FQ","FILING_STATUS=OR","EQY_CONSOLIDATED=Y","Sort=A","Dates=H","DateFormat=P","Fill=—","Direction=H","UseDPDF=Y")</f>
        <v>#NAME?</v>
      </c>
      <c r="CM469" s="2" t="e">
        <f ca="1">_xll.BDH($C$453,"TOT_DEBT_TO_TOT_ASSET","FQ1 2017","FQ1 2017","Currency=INR","Period=FQ","BEST_FPERIOD_OVERRIDE=FQ","FILING_STATUS=OR","EQY_CONSOLIDATED=Y","Sort=A","Dates=H","DateFormat=P","Fill=—","Direction=H","UseDPDF=Y")</f>
        <v>#NAME?</v>
      </c>
      <c r="CN469" s="2" t="e">
        <f ca="1">_xll.BDH($C$453,"NET_DEBT_TO_SHRHLDR_EQTY","FQ1 2017","FQ1 2017","Currency=INR","Period=FQ","BEST_FPERIOD_OVERRIDE=FQ","FILING_STATUS=OR","EQY_CONSOLIDATED=Y","Sort=A","Dates=H","DateFormat=P","Fill=—","Direction=H","UseDPDF=Y")</f>
        <v>#NAME?</v>
      </c>
      <c r="CO469" s="2" t="e">
        <f ca="1">_xll.BDH($C$453,"NET_DEBT_%_CAPITAL","FQ1 2017","FQ1 2017","Currency=INR","Period=FQ","BEST_FPERIOD_OVERRIDE=FQ","FILING_STATUS=OR","EQY_CONSOLIDATED=Y","Sort=A","Dates=H","DateFormat=P","Fill=—","Direction=H","UseDPDF=Y")</f>
        <v>#NAME?</v>
      </c>
      <c r="CP469" s="3" t="e">
        <f ca="1">_xll.BDH($C$453,"EBITDA","FQ1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69" s="3" t="e">
        <f ca="1">_xll.BDH($C$453,"EBITDA_AFTER_CAPEX","FQ1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69" s="3" t="e">
        <f ca="1">_xll.BDH($C$453,"IS_OPER_INC","FQ1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69" s="2" t="e">
        <f ca="1">_xll.BDH($C$453,"CASH_RATIO","FQ1 2017","FQ1 2017","Currency=INR","Period=FQ","BEST_FPERIOD_OVERRIDE=FQ","FILING_STATUS=OR","EQY_CONSOLIDATED=Y","Sort=A","Dates=H","DateFormat=P","Fill=—","Direction=H","UseDPDF=Y")</f>
        <v>#NAME?</v>
      </c>
      <c r="CT469" s="2" t="e">
        <f ca="1">_xll.BDH($C$453,"CUR_RATIO","FQ1 2017","FQ1 2017","Currency=INR","Period=FQ","BEST_FPERIOD_OVERRIDE=FQ","FILING_STATUS=OR","EQY_CONSOLIDATED=Y","Sort=A","Dates=H","DateFormat=P","Fill=—","Direction=H","UseDPDF=Y")</f>
        <v>#NAME?</v>
      </c>
      <c r="CU469" s="2" t="e">
        <f ca="1">_xll.BDH($C$453,"QUICK_RATIO","FQ1 2017","FQ1 2017","Currency=INR","Period=FQ","BEST_FPERIOD_OVERRIDE=FQ","FILING_STATUS=OR","EQY_CONSOLIDATED=Y","Sort=A","Dates=H","DateFormat=P","Fill=—","Direction=H","UseDPDF=Y")</f>
        <v>#NAME?</v>
      </c>
      <c r="CV469" s="2" t="e">
        <f ca="1">_xll.BDH($C$453,"ALTMAN_Z_SCORE","FQ1 2017","FQ1 2017","Currency=INR","Period=FQ","BEST_FPERIOD_OVERRIDE=FQ","FILING_STATUS=OR","EQY_CONSOLIDATED=Y","Sort=A","Dates=H","DateFormat=P","Fill=—","Direction=H","UseDPDF=Y")</f>
        <v>#NAME?</v>
      </c>
      <c r="CW469" s="4" t="e">
        <f ca="1">_xll.BDH($C$453,"ACCT_RCV_TURN","FQ1 2017","FQ1 2017","Currency=INR","Period=FQ","BEST_FPERIOD_OVERRIDE=FQ","FILING_STATUS=OR","EQY_CONSOLIDATED=Y","FA_ADJUSTED=GAAP","Sort=A","Dates=H","DateFormat=P","Fill=—","Direction=H","UseDPDF=Y")</f>
        <v>#NAME?</v>
      </c>
      <c r="CX469" s="2" t="e">
        <f ca="1">_xll.BDH($C$453,"ACCT_RCV_DAYS","FQ1 2017","FQ1 2017","Currency=INR","Period=FQ","BEST_FPERIOD_OVERRIDE=FQ","FILING_STATUS=OR","EQY_CONSOLIDATED=Y","FA_ADJUSTED=GAAP","Sort=A","Dates=H","DateFormat=P","Fill=—","Direction=H","UseDPDF=Y")</f>
        <v>#NAME?</v>
      </c>
      <c r="CY469" s="4" t="e">
        <f ca="1">_xll.BDH($C$453,"INVENT_TURN","FQ1 2017","FQ1 2017","Currency=INR","Period=FQ","BEST_FPERIOD_OVERRIDE=FQ","FILING_STATUS=OR","EQY_CONSOLIDATED=Y","FA_ADJUSTED=GAAP","Sort=A","Dates=H","DateFormat=P","Fill=—","Direction=H","UseDPDF=Y")</f>
        <v>#NAME?</v>
      </c>
      <c r="CZ469" s="2" t="e">
        <f ca="1">_xll.BDH($C$453,"INVENT_DAYS","FQ1 2017","FQ1 2017","Currency=INR","Period=FQ","BEST_FPERIOD_OVERRIDE=FQ","FILING_STATUS=OR","EQY_CONSOLIDATED=Y","FA_ADJUSTED=GAAP","Sort=A","Dates=H","DateFormat=P","Fill=—","Direction=H","UseDPDF=Y")</f>
        <v>#NAME?</v>
      </c>
      <c r="DA469" s="4" t="e">
        <f ca="1">_xll.BDH($C$453,"ACCOUNTS_PAYABLE_TURNOVER","FQ1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69" s="2" t="e">
        <f ca="1">_xll.BDH($C$453,"ACCOUNTS_PAYABLE_TURNOVER_DAYS","FQ1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69" s="4" t="e">
        <f ca="1">_xll.BDH($C$453,"CASH_CONVERSION_CYCLE","FQ1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69" s="4" t="e">
        <f ca="1">_xll.BDH($C$453,"INV_TO_CASH_DAYS","FQ1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469" s="5" t="e">
        <f ca="1">_xll.BDH($C$453,"BS_INVENTORIES","FQ1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469" s="3" t="e">
        <f ca="1">_xll.BDH($C$453,"INVTRY_RAW_MATERIALS","FQ1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69" s="3" t="e">
        <f ca="1">_xll.BDH($C$453,"INVTRY_IN_PROGRESS","FQ1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69" s="3" t="e">
        <f ca="1">_xll.BDH($C$453,"INVTRY_FINISHED_GOODS","FQ1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69" s="3" t="e">
        <f ca="1">_xll.BDH($C$453,"BS_OTHER_INV","FQ1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70" spans="1:113" x14ac:dyDescent="0.3">
      <c r="A470" s="6"/>
      <c r="B470" s="6"/>
      <c r="C470" s="6"/>
      <c r="D470" s="6"/>
      <c r="E470" t="s">
        <v>79</v>
      </c>
      <c r="F470" t="e">
        <f ca="1">_xll.BDH($C$453,"RETURN_COM_EQY","FQ2 2017","FQ2 2017","Currency=INR","Period=FQ","BEST_FPERIOD_OVERRIDE=FQ","FILING_STATUS=OR","EQY_CONSOLIDATED=Y","FA_ADJUSTED=GAAP","Sort=A","Dates=H","DateFormat=P","Fill=—","Direction=H","UseDPDF=Y")</f>
        <v>#NAME?</v>
      </c>
      <c r="G470" t="e">
        <f ca="1">_xll.BDH($C$453,"RETURN_ON_ASSET","FQ2 2017","FQ2 2017","Currency=INR","Period=FQ","BEST_FPERIOD_OVERRIDE=FQ","FILING_STATUS=OR","EQY_CONSOLIDATED=Y","FA_ADJUSTED=GAAP","Sort=A","Dates=H","DateFormat=P","Fill=—","Direction=H","UseDPDF=Y")</f>
        <v>#NAME?</v>
      </c>
      <c r="H470" t="e">
        <f ca="1">_xll.BDH($C$453,"RETURN_ON_CAP","FQ2 2017","FQ2 2017","Currency=INR","Period=FQ","BEST_FPERIOD_OVERRIDE=FQ","FILING_STATUS=OR","EQY_CONSOLIDATED=Y","FA_ADJUSTED=GAAP","Sort=A","Dates=H","DateFormat=P","Fill=—","Direction=H","UseDPDF=Y")</f>
        <v>#NAME?</v>
      </c>
      <c r="I470" t="e">
        <f ca="1">_xll.BDH($C$453,"RETURN_ON_INV_CAPITAL","FQ2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70" t="e">
        <f ca="1">_xll.BDH($C$453,"EBITDA_TO_REVENUE","FQ2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470" t="e">
        <f ca="1">_xll.BDH($C$453,"OPER_MARGIN","FQ2 2017","FQ2 2017","Currency=INR","Period=FQ","BEST_FPERIOD_OVERRIDE=FQ","FILING_STATUS=OR","EQY_CONSOLIDATED=Y","FA_ADJUSTED=GAAP","Sort=A","Dates=H","DateFormat=P","Fill=—","Direction=H","UseDPDF=Y")</f>
        <v>#NAME?</v>
      </c>
      <c r="L470" t="e">
        <f ca="1">_xll.BDH($C$453,"INCREMENTAL_OPERATING_MARGIN","FQ2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70" t="e">
        <f ca="1">_xll.BDH($C$453,"PRETAX_INC_TO_NET_SALES","FQ2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70" t="e">
        <f ca="1">_xll.BDH($C$453,"INC_BEF_XO_ITEMS_TO_NET_SALES","FQ2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70" t="e">
        <f ca="1">_xll.BDH($C$453,"PROF_MARGIN","FQ2 2017","FQ2 2017","Currency=INR","Period=FQ","BEST_FPERIOD_OVERRIDE=FQ","FILING_STATUS=OR","EQY_CONSOLIDATED=Y","FA_ADJUSTED=GAAP","Sort=A","Dates=H","DateFormat=P","Fill=—","Direction=H","UseDPDF=Y")</f>
        <v>#NAME?</v>
      </c>
      <c r="P470" t="e">
        <f ca="1">_xll.BDH($C$453,"NET_INCOME_TO_COMMON_MARGIN","FQ2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70" t="e">
        <f ca="1">_xll.BDH($C$453,"EFF_TAX_RATE","FQ2 2017","FQ2 2017","Currency=INR","Period=FQ","BEST_FPERIOD_OVERRIDE=FQ","FILING_STATUS=OR","EQY_CONSOLIDATED=Y","FA_ADJUSTED=GAAP","Sort=A","Dates=H","DateFormat=P","Fill=—","Direction=H","UseDPDF=Y")</f>
        <v>#NAME?</v>
      </c>
      <c r="R470" t="e">
        <f ca="1">_xll.BDH($C$453,"DVD_PAYOUT_RATIO","FQ2 2017","FQ2 2017","Currency=INR","Period=FQ","BEST_FPERIOD_OVERRIDE=FQ","FILING_STATUS=OR","EQY_CONSOLIDATED=Y","FA_ADJUSTED=GAAP","Sort=A","Dates=H","DateFormat=P","Fill=—","Direction=H","UseDPDF=Y")</f>
        <v>#NAME?</v>
      </c>
      <c r="S470" t="e">
        <f ca="1">_xll.BDH($C$453,"SUSTAIN_GROWTH_RT","FQ2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470" s="2" t="e">
        <f ca="1">_xll.BDH($C$453,"SALES_GROWTH","FQ2 2017","FQ2 2017","Currency=INR","Period=FQ","BEST_FPERIOD_OVERRIDE=FQ","FILING_STATUS=OR","EQY_CONSOLIDATED=Y","FA_ADJUSTED=GAAP","Sort=A","Dates=H","DateFormat=P","Fill=—","Direction=H","UseDPDF=Y")</f>
        <v>#NAME?</v>
      </c>
      <c r="U470" s="2" t="e">
        <f ca="1">_xll.BDH($C$453,"EBITDA_GROWTH","FQ2 2017","FQ2 2017","Currency=INR","Period=FQ","BEST_FPERIOD_OVERRIDE=FQ","FILING_STATUS=OR","EQY_CONSOLIDATED=Y","FA_ADJUSTED=GAAP","Sort=A","Dates=H","DateFormat=P","Fill=—","Direction=H","UseDPDF=Y")</f>
        <v>#NAME?</v>
      </c>
      <c r="V470" s="2" t="e">
        <f ca="1">_xll.BDH($C$453,"OPER_INC_GROWTH","FQ2 2017","FQ2 2017","Currency=INR","Period=FQ","BEST_FPERIOD_OVERRIDE=FQ","FILING_STATUS=OR","EQY_CONSOLIDATED=Y","FA_ADJUSTED=GAAP","Sort=A","Dates=H","DateFormat=P","Fill=—","Direction=H","UseDPDF=Y")</f>
        <v>#NAME?</v>
      </c>
      <c r="W470" s="2" t="e">
        <f ca="1">_xll.BDH($C$453,"EARN_FOR_COM_GROWTH","FQ2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70" s="2" t="e">
        <f ca="1">_xll.BDH($C$453,"DILUTED_EPS_AFT_XO_ITEMS_GROWTH","FQ2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70" s="2" t="e">
        <f ca="1">_xll.BDH($C$453,"DIVIDEND_PER_SHARE_1_YEAR_GROWTH","FQ2 2017","FQ2 2017","Currency=INR","Period=FQ","BEST_FPERIOD_OVERRIDE=FQ","FILING_STATUS=OR","EQY_CONSOLIDATED=Y","Sort=A","Dates=H","DateFormat=P","Fill=—","Direction=H","UseDPDF=Y")</f>
        <v>#NAME?</v>
      </c>
      <c r="Z470" s="2" t="e">
        <f ca="1">_xll.BDH($C$453,"ACCOUNTS_RECEIVABLE_GROWTH","FQ2 2017","FQ2 2017","Currency=INR","Period=FQ","BEST_FPERIOD_OVERRIDE=FQ","FILING_STATUS=OR","EQY_CONSOLIDATED=Y","Sort=A","Dates=H","DateFormat=P","Fill=—","Direction=H","UseDPDF=Y")</f>
        <v>#NAME?</v>
      </c>
      <c r="AA470" s="2" t="e">
        <f ca="1">_xll.BDH($C$453,"INVENTORY_GROWTH","FQ2 2017","FQ2 2017","Currency=INR","Period=FQ","BEST_FPERIOD_OVERRIDE=FQ","FILING_STATUS=OR","EQY_CONSOLIDATED=Y","Sort=A","Dates=H","DateFormat=P","Fill=—","Direction=H","UseDPDF=Y")</f>
        <v>#NAME?</v>
      </c>
      <c r="AB470" s="2" t="e">
        <f ca="1">_xll.BDH($C$453,"NET_FIXED_ASSETS_1_YEAR_GROWTH","FQ2 2017","FQ2 2017","Currency=INR","Period=FQ","BEST_FPERIOD_OVERRIDE=FQ","FILING_STATUS=OR","EQY_CONSOLIDATED=Y","Sort=A","Dates=H","DateFormat=P","Fill=—","Direction=H","UseDPDF=Y")</f>
        <v>#NAME?</v>
      </c>
      <c r="AC470" s="2" t="e">
        <f ca="1">_xll.BDH($C$453,"ASSET_GROWTH","FQ2 2017","FQ2 2017","Currency=INR","Period=FQ","BEST_FPERIOD_OVERRIDE=FQ","FILING_STATUS=OR","EQY_CONSOLIDATED=Y","Sort=A","Dates=H","DateFormat=P","Fill=—","Direction=H","UseDPDF=Y")</f>
        <v>#NAME?</v>
      </c>
      <c r="AD470" s="2" t="e">
        <f ca="1">_xll.BDH($C$453,"MODIFIED_WORK_CAP_GROWTH","FQ2 2017","FQ2 2017","Currency=INR","Period=FQ","BEST_FPERIOD_OVERRIDE=FQ","FILING_STATUS=OR","EQY_CONSOLIDATED=Y","Sort=A","Dates=H","DateFormat=P","Fill=—","Direction=H","UseDPDF=Y")</f>
        <v>#NAME?</v>
      </c>
      <c r="AE470" s="2" t="e">
        <f ca="1">_xll.BDH($C$453,"WORK_CAP_GROWTH","FQ2 2017","FQ2 2017","Currency=INR","Period=FQ","BEST_FPERIOD_OVERRIDE=FQ","FILING_STATUS=OR","EQY_CONSOLIDATED=Y","Sort=A","Dates=H","DateFormat=P","Fill=—","Direction=H","UseDPDF=Y")</f>
        <v>#NAME?</v>
      </c>
      <c r="AF470" s="2" t="e">
        <f ca="1">_xll.BDH($C$453,"ACCOUNTS_PAYABLE_GROWTH_1YR","FQ2 2017","FQ2 2017","Currency=INR","Period=FQ","BEST_FPERIOD_OVERRIDE=FQ","FILING_STATUS=OR","EQY_CONSOLIDATED=Y","Sort=A","Dates=H","DateFormat=P","Fill=—","Direction=H","UseDPDF=Y")</f>
        <v>#NAME?</v>
      </c>
      <c r="AG470" s="2" t="e">
        <f ca="1">_xll.BDH($C$453,"SHORT_TERM_DEBT_1_YEAR_GROWTH","FQ2 2017","FQ2 2017","Currency=INR","Period=FQ","BEST_FPERIOD_OVERRIDE=FQ","FILING_STATUS=OR","EQY_CONSOLIDATED=Y","Sort=A","Dates=H","DateFormat=P","Fill=—","Direction=H","UseDPDF=Y")</f>
        <v>#NAME?</v>
      </c>
      <c r="AH470" s="2" t="e">
        <f ca="1">_xll.BDH($C$453,"TOTAL_DEBT_1_YEAR_GROWTH","FQ2 2017","FQ2 2017","Currency=INR","Period=FQ","BEST_FPERIOD_OVERRIDE=FQ","FILING_STATUS=OR","EQY_CONSOLIDATED=Y","Sort=A","Dates=H","DateFormat=P","Fill=—","Direction=H","UseDPDF=Y")</f>
        <v>#NAME?</v>
      </c>
      <c r="AI470" s="2" t="e">
        <f ca="1">_xll.BDH($C$453,"TOTAL_EQUITY_1_YEAR_GROWTH","FQ2 2017","FQ2 2017","Currency=INR","Period=FQ","BEST_FPERIOD_OVERRIDE=FQ","FILING_STATUS=OR","EQY_CONSOLIDATED=Y","Sort=A","Dates=H","DateFormat=P","Fill=—","Direction=H","UseDPDF=Y")</f>
        <v>#NAME?</v>
      </c>
      <c r="AJ470" s="2" t="e">
        <f ca="1">_xll.BDH($C$453,"GROWTH_IN_CAP","FQ2 2017","FQ2 2017","Currency=INR","Period=FQ","BEST_FPERIOD_OVERRIDE=FQ","FILING_STATUS=OR","EQY_CONSOLIDATED=Y","Sort=A","Dates=H","DateFormat=P","Fill=—","Direction=H","UseDPDF=Y")</f>
        <v>#NAME?</v>
      </c>
      <c r="AK470" s="2" t="e">
        <f ca="1">_xll.BDH($C$453,"BVPS_GROWTH","FQ2 2017","FQ2 2017","Currency=INR","Period=FQ","BEST_FPERIOD_OVERRIDE=FQ","FILING_STATUS=OR","EQY_CONSOLIDATED=Y","Sort=A","Dates=H","DateFormat=P","Fill=—","Direction=H","UseDPDF=Y")</f>
        <v>#NAME?</v>
      </c>
      <c r="AL470" s="2" t="e">
        <f ca="1">_xll.BDH($C$453,"CASH_FLOW_GROWTH","FQ2 2017","FQ2 2017","Currency=INR","Period=FQ","BEST_FPERIOD_OVERRIDE=FQ","FILING_STATUS=OR","EQY_CONSOLIDATED=Y","Sort=A","Dates=H","DateFormat=P","Fill=—","Direction=H","UseDPDF=Y")</f>
        <v>#NAME?</v>
      </c>
      <c r="AM470" s="2" t="e">
        <f ca="1">_xll.BDH($C$453,"GEO_GROW_NET_SALES","FQ2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70" s="2" t="e">
        <f ca="1">_xll.BDH($C$453,"GEO_GROW_EBITDA","FQ2 2017","FQ2 2017","Currency=INR","Period=FQ","BEST_FPERIOD_OVERRIDE=FQ","FILING_STATUS=OR","EQY_CONSOLIDATED=Y","FA_ADJUSTED=GAAP","Sort=A","Dates=H","DateFormat=P","Fill=—","Direction=H","UseDPDF=Y")</f>
        <v>#NAME?</v>
      </c>
      <c r="AO470" s="2" t="e">
        <f ca="1">_xll.BDH($C$453,"GEO_GROW_OPER_INC","FQ2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70" s="2" t="e">
        <f ca="1">_xll.BDH($C$453,"NET_INCOME_TO_COMMON_5_YR_GROWTH","FQ2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70" s="2" t="e">
        <f ca="1">_xll.BDH($C$453,"5Y_GEO_GROWTH_DILUTED_EPS","FQ2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70" s="2" t="e">
        <f ca="1">_xll.BDH($C$453,"GEO_GROW_DVD_PER_SH","FQ2 2017","FQ2 2017","Currency=INR","Period=FQ","BEST_FPERIOD_OVERRIDE=FQ","FILING_STATUS=OR","EQY_CONSOLIDATED=Y","Sort=A","Dates=H","DateFormat=P","Fill=—","Direction=H","UseDPDF=Y")</f>
        <v>#NAME?</v>
      </c>
      <c r="AS470" s="2" t="e">
        <f ca="1">_xll.BDH($C$453,"ACCOUNTS_RECEIVABLE_5_YR_GROWTH","FQ2 2017","FQ2 2017","Currency=INR","Period=FQ","BEST_FPERIOD_OVERRIDE=FQ","FILING_STATUS=OR","EQY_CONSOLIDATED=Y","Sort=A","Dates=H","DateFormat=P","Fill=—","Direction=H","UseDPDF=Y")</f>
        <v>#NAME?</v>
      </c>
      <c r="AT470" s="2" t="e">
        <f ca="1">_xll.BDH($C$453,"INVENTORY_5_YEAR_GROWTH","FQ2 2017","FQ2 2017","Currency=INR","Period=FQ","BEST_FPERIOD_OVERRIDE=FQ","FILING_STATUS=OR","EQY_CONSOLIDATED=Y","Sort=A","Dates=H","DateFormat=P","Fill=—","Direction=H","UseDPDF=Y")</f>
        <v>#NAME?</v>
      </c>
      <c r="AU470" s="2" t="e">
        <f ca="1">_xll.BDH($C$453,"NET_FIXED_ASSETS_5_YEAR_GROWTH","FQ2 2017","FQ2 2017","Currency=INR","Period=FQ","BEST_FPERIOD_OVERRIDE=FQ","FILING_STATUS=OR","EQY_CONSOLIDATED=Y","Sort=A","Dates=H","DateFormat=P","Fill=—","Direction=H","UseDPDF=Y")</f>
        <v>#NAME?</v>
      </c>
      <c r="AV470" s="2" t="e">
        <f ca="1">_xll.BDH($C$453,"GEO_GROW_TOT_ASSET","FQ2 2017","FQ2 2017","Currency=INR","Period=FQ","BEST_FPERIOD_OVERRIDE=FQ","FILING_STATUS=OR","EQY_CONSOLIDATED=Y","Sort=A","Dates=H","DateFormat=P","Fill=—","Direction=H","UseDPDF=Y")</f>
        <v>#NAME?</v>
      </c>
      <c r="AW470" s="2" t="e">
        <f ca="1">_xll.BDH($C$453,"MODIFIED_WORKING_CPTL_5YR_GRWTH","FQ2 2017","FQ2 2017","Currency=INR","Period=FQ","BEST_FPERIOD_OVERRIDE=FQ","FILING_STATUS=OR","EQY_CONSOLIDATED=Y","Sort=A","Dates=H","DateFormat=P","Fill=—","Direction=H","UseDPDF=Y")</f>
        <v>#NAME?</v>
      </c>
      <c r="AX470" s="2" t="e">
        <f ca="1">_xll.BDH($C$453,"WORKING_CAPITAL_5_YEAR_GROWTH","FQ2 2017","FQ2 2017","Currency=INR","Period=FQ","BEST_FPERIOD_OVERRIDE=FQ","FILING_STATUS=OR","EQY_CONSOLIDATED=Y","Sort=A","Dates=H","DateFormat=P","Fill=—","Direction=H","UseDPDF=Y")</f>
        <v>#NAME?</v>
      </c>
      <c r="AY470" s="2" t="e">
        <f ca="1">_xll.BDH($C$453,"ACCOUNTS_PAYABLE_5_YEAR_GROWTH","FQ2 2017","FQ2 2017","Currency=INR","Period=FQ","BEST_FPERIOD_OVERRIDE=FQ","FILING_STATUS=OR","EQY_CONSOLIDATED=Y","Sort=A","Dates=H","DateFormat=P","Fill=—","Direction=H","UseDPDF=Y")</f>
        <v>#NAME?</v>
      </c>
      <c r="AZ470" s="2" t="e">
        <f ca="1">_xll.BDH($C$453,"SHORT_TERM_DEBT_5_YEAR_GROWTH","FQ2 2017","FQ2 2017","Currency=INR","Period=FQ","BEST_FPERIOD_OVERRIDE=FQ","FILING_STATUS=OR","EQY_CONSOLIDATED=Y","Sort=A","Dates=H","DateFormat=P","Fill=—","Direction=H","UseDPDF=Y")</f>
        <v>#NAME?</v>
      </c>
      <c r="BA470" s="2" t="e">
        <f ca="1">_xll.BDH($C$453,"TOTAL_DEBT_5_YEAR_GROWTH","FQ2 2017","FQ2 2017","Currency=INR","Period=FQ","BEST_FPERIOD_OVERRIDE=FQ","FILING_STATUS=OR","EQY_CONSOLIDATED=Y","Sort=A","Dates=H","DateFormat=P","Fill=—","Direction=H","UseDPDF=Y")</f>
        <v>#NAME?</v>
      </c>
      <c r="BB470" s="2" t="e">
        <f ca="1">_xll.BDH($C$453,"GEO_GROW_TOT_SHRHLDR_EQY","FQ2 2017","FQ2 2017","Currency=INR","Period=FQ","BEST_FPERIOD_OVERRIDE=FQ","FILING_STATUS=OR","EQY_CONSOLIDATED=Y","Sort=A","Dates=H","DateFormat=P","Fill=—","Direction=H","UseDPDF=Y")</f>
        <v>#NAME?</v>
      </c>
      <c r="BC470" s="2" t="e">
        <f ca="1">_xll.BDH($C$453,"TOTAL_CAPITAL_5_YEAR_GROWTH","FQ2 2017","FQ2 2017","Currency=INR","Period=FQ","BEST_FPERIOD_OVERRIDE=FQ","FILING_STATUS=OR","EQY_CONSOLIDATED=Y","Sort=A","Dates=H","DateFormat=P","Fill=—","Direction=H","UseDPDF=Y")</f>
        <v>#NAME?</v>
      </c>
      <c r="BD470" s="2" t="e">
        <f ca="1">_xll.BDH($C$453,"GEO_GROW_BOOK_VAL","FQ2 2017","FQ2 2017","Currency=INR","Period=FQ","BEST_FPERIOD_OVERRIDE=FQ","FILING_STATUS=OR","EQY_CONSOLIDATED=Y","Sort=A","Dates=H","DateFormat=P","Fill=—","Direction=H","UseDPDF=Y")</f>
        <v>#NAME?</v>
      </c>
      <c r="BE470" s="2" t="e">
        <f ca="1">_xll.BDH($C$453,"GEO_GROW_CASH_OPER_ACT","FQ2 2017","FQ2 2017","Currency=INR","Period=FQ","BEST_FPERIOD_OVERRIDE=FQ","FILING_STATUS=OR","EQY_CONSOLIDATED=Y","Sort=A","Dates=H","DateFormat=P","Fill=—","Direction=H","UseDPDF=Y")</f>
        <v>#NAME?</v>
      </c>
      <c r="BF470" s="2" t="e">
        <f ca="1">_xll.BDH($C$453,"REVENUE_SEQUENTIAL_GROWTH","FQ2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70" s="2" t="e">
        <f ca="1">_xll.BDH($C$453,"EBITDA_SEQUENTIAL_GROWTH","FQ2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70" s="2" t="e">
        <f ca="1">_xll.BDH($C$453,"OPERATING_INCOME_SEQ_GROWTH","FQ2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70" s="2" t="e">
        <f ca="1">_xll.BDH($C$453,"NET_INCOME_TO_COMMON_SEQ_GROWTH","FQ2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70" s="2" t="e">
        <f ca="1">_xll.BDH($C$453,"EPS_DILUTED_SEQUENTIAL_GROWTH","FQ2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70" s="2" t="e">
        <f ca="1">_xll.BDH($C$453,"DPS_SEQUENTIAL_GROWTH","FQ2 2017","FQ2 2017","Currency=INR","Period=FQ","BEST_FPERIOD_OVERRIDE=FQ","FILING_STATUS=OR","EQY_CONSOLIDATED=Y","Sort=A","Dates=H","DateFormat=P","Fill=—","Direction=H","UseDPDF=Y")</f>
        <v>#NAME?</v>
      </c>
      <c r="BL470" s="2" t="e">
        <f ca="1">_xll.BDH($C$453,"ACCOUNTS_RECEIVABLE_SEQ_GROWTH","FQ2 2017","FQ2 2017","Currency=INR","Period=FQ","BEST_FPERIOD_OVERRIDE=FQ","FILING_STATUS=OR","EQY_CONSOLIDATED=Y","Sort=A","Dates=H","DateFormat=P","Fill=—","Direction=H","UseDPDF=Y")</f>
        <v>#NAME?</v>
      </c>
      <c r="BM470" s="2" t="e">
        <f ca="1">_xll.BDH($C$453,"INVENTORY_SEQUENTIAL_GROWTH","FQ2 2017","FQ2 2017","Currency=INR","Period=FQ","BEST_FPERIOD_OVERRIDE=FQ","FILING_STATUS=OR","EQY_CONSOLIDATED=Y","Sort=A","Dates=H","DateFormat=P","Fill=—","Direction=H","UseDPDF=Y")</f>
        <v>#NAME?</v>
      </c>
      <c r="BN470" s="2" t="e">
        <f ca="1">_xll.BDH($C$453,"FIXED_ASSETS_SEQUENTIAL_GROWTH","FQ2 2017","FQ2 2017","Currency=INR","Period=FQ","BEST_FPERIOD_OVERRIDE=FQ","FILING_STATUS=OR","EQY_CONSOLIDATED=Y","Sort=A","Dates=H","DateFormat=P","Fill=—","Direction=H","UseDPDF=Y")</f>
        <v>#NAME?</v>
      </c>
      <c r="BO470" s="2" t="e">
        <f ca="1">_xll.BDH($C$453,"TOTAL_ASSETS_SEQUENTIAL_GROWTH","FQ2 2017","FQ2 2017","Currency=INR","Period=FQ","BEST_FPERIOD_OVERRIDE=FQ","FILING_STATUS=OR","EQY_CONSOLIDATED=Y","Sort=A","Dates=H","DateFormat=P","Fill=—","Direction=H","UseDPDF=Y")</f>
        <v>#NAME?</v>
      </c>
      <c r="BP470" s="2" t="e">
        <f ca="1">_xll.BDH($C$453,"MODIFIED_WORKING_CPTL_SEQ_GRWTH","FQ2 2017","FQ2 2017","Currency=INR","Period=FQ","BEST_FPERIOD_OVERRIDE=FQ","FILING_STATUS=OR","EQY_CONSOLIDATED=Y","Sort=A","Dates=H","DateFormat=P","Fill=—","Direction=H","UseDPDF=Y")</f>
        <v>#NAME?</v>
      </c>
      <c r="BQ470" s="2" t="e">
        <f ca="1">_xll.BDH($C$453,"WORKING_CAPITAL_SEQ_GROWTH","FQ2 2017","FQ2 2017","Currency=INR","Period=FQ","BEST_FPERIOD_OVERRIDE=FQ","FILING_STATUS=OR","EQY_CONSOLIDATED=Y","Sort=A","Dates=H","DateFormat=P","Fill=—","Direction=H","UseDPDF=Y")</f>
        <v>#NAME?</v>
      </c>
      <c r="BR470" s="2" t="e">
        <f ca="1">_xll.BDH($C$453,"ACCOUNTS_PAYABLE_SEQ_GROWTH","FQ2 2017","FQ2 2017","Currency=INR","Period=FQ","BEST_FPERIOD_OVERRIDE=FQ","FILING_STATUS=OR","EQY_CONSOLIDATED=Y","Sort=A","Dates=H","DateFormat=P","Fill=—","Direction=H","UseDPDF=Y")</f>
        <v>#NAME?</v>
      </c>
      <c r="BS470" s="2" t="e">
        <f ca="1">_xll.BDH($C$453,"ST_DEBT_SEQUENTIAL_GROWTH","FQ2 2017","FQ2 2017","Currency=INR","Period=FQ","BEST_FPERIOD_OVERRIDE=FQ","FILING_STATUS=OR","EQY_CONSOLIDATED=Y","Sort=A","Dates=H","DateFormat=P","Fill=—","Direction=H","UseDPDF=Y")</f>
        <v>#NAME?</v>
      </c>
      <c r="BT470" s="2" t="e">
        <f ca="1">_xll.BDH($C$453,"TOTAL_DEBT_SEQUENTIAL_GROWTH","FQ2 2017","FQ2 2017","Currency=INR","Period=FQ","BEST_FPERIOD_OVERRIDE=FQ","FILING_STATUS=OR","EQY_CONSOLIDATED=Y","Sort=A","Dates=H","DateFormat=P","Fill=—","Direction=H","UseDPDF=Y")</f>
        <v>#NAME?</v>
      </c>
      <c r="BU470" s="2" t="e">
        <f ca="1">_xll.BDH($C$453,"TOTAL_EQUITY_SEQUENTIAL_GROWTH","FQ2 2017","FQ2 2017","Currency=INR","Period=FQ","BEST_FPERIOD_OVERRIDE=FQ","FILING_STATUS=OR","EQY_CONSOLIDATED=Y","Sort=A","Dates=H","DateFormat=P","Fill=—","Direction=H","UseDPDF=Y")</f>
        <v>#NAME?</v>
      </c>
      <c r="BV470" s="2" t="e">
        <f ca="1">_xll.BDH($C$453,"TOTAL_CAPITAL_SEQUENTIAL_GROWTH","FQ2 2017","FQ2 2017","Currency=INR","Period=FQ","BEST_FPERIOD_OVERRIDE=FQ","FILING_STATUS=OR","EQY_CONSOLIDATED=Y","Sort=A","Dates=H","DateFormat=P","Fill=—","Direction=H","UseDPDF=Y")</f>
        <v>#NAME?</v>
      </c>
      <c r="BW470" s="2" t="e">
        <f ca="1">_xll.BDH($C$453,"BPS_SEQUENTIAL_GROWTH","FQ2 2017","FQ2 2017","Currency=INR","Period=FQ","BEST_FPERIOD_OVERRIDE=FQ","FILING_STATUS=OR","EQY_CONSOLIDATED=Y","Sort=A","Dates=H","DateFormat=P","Fill=—","Direction=H","UseDPDF=Y")</f>
        <v>#NAME?</v>
      </c>
      <c r="BX470" s="2" t="e">
        <f ca="1">_xll.BDH($C$453,"CFO_SEQUENTIAL_GROWTH","FQ2 2017","FQ2 2017","Currency=INR","Period=FQ","BEST_FPERIOD_OVERRIDE=FQ","FILING_STATUS=OR","EQY_CONSOLIDATED=Y","Sort=A","Dates=H","DateFormat=P","Fill=—","Direction=H","UseDPDF=Y")</f>
        <v>#NAME?</v>
      </c>
      <c r="BY470" s="3" t="e">
        <f ca="1">_xll.BDH($C$453,"SHORT_AND_LONG_TERM_DEBT","FQ2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70" s="3" t="e">
        <f ca="1">_xll.BDH($C$453,"BS_ST_BORROW","FQ2 2017","FQ2 2017","Currency=INR","Period=FQ","BEST_FPERIOD_OVERRIDE=FQ","FILING_STATUS=OR","EQY_CONSOLIDATED=Y","SCALING_FORMAT=MLN","Sort=A","Dates=H","DateFormat=P","Fill=—","Direction=H","UseDPDF=Y")</f>
        <v>#NAME?</v>
      </c>
      <c r="CA470" s="3" t="e">
        <f ca="1">_xll.BDH($C$453,"BS_LT_BORROW","FQ2 2017","FQ2 2017","Currency=INR","Period=FQ","BEST_FPERIOD_OVERRIDE=FQ","FILING_STATUS=OR","EQY_CONSOLIDATED=Y","SCALING_FORMAT=MLN","Sort=A","Dates=H","DateFormat=P","Fill=—","Direction=H","UseDPDF=Y")</f>
        <v>#NAME?</v>
      </c>
      <c r="CB470" s="2" t="e">
        <f ca="1">_xll.BDH($C$453,"TOT_DEBT_TO_EBITDA","FQ2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70" s="2" t="e">
        <f ca="1">_xll.BDH($C$453,"NET_DEBT_TO_EBITDA","FQ2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70" s="2" t="e">
        <f ca="1">_xll.BDH($C$453,"TOTAL_DEBT_TO_EBIT","FQ2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70" s="2" t="e">
        <f ca="1">_xll.BDH($C$453,"NET_DEBT_TO_EBIT","FQ2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470" s="2" t="e">
        <f ca="1">_xll.BDH($C$453,"EBITDA_TO_INTEREST_EXPN","FQ2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70" s="2" t="e">
        <f ca="1">_xll.BDH($C$453,"COM_EQY_TO_TOT_ASSET","FQ2 2017","FQ2 2017","Currency=INR","Period=FQ","BEST_FPERIOD_OVERRIDE=FQ","FILING_STATUS=OR","EQY_CONSOLIDATED=Y","Sort=A","Dates=H","DateFormat=P","Fill=—","Direction=H","UseDPDF=Y")</f>
        <v>#NAME?</v>
      </c>
      <c r="CH470" s="2" t="e">
        <f ca="1">_xll.BDH($C$453,"LT_DEBT_TO_TOT_EQY","FQ2 2017","FQ2 2017","Currency=INR","Period=FQ","BEST_FPERIOD_OVERRIDE=FQ","FILING_STATUS=OR","EQY_CONSOLIDATED=Y","Sort=A","Dates=H","DateFormat=P","Fill=—","Direction=H","UseDPDF=Y")</f>
        <v>#NAME?</v>
      </c>
      <c r="CI470" s="2" t="e">
        <f ca="1">_xll.BDH($C$453,"LT_DEBT_TO_TOT_CAP","FQ2 2017","FQ2 2017","Currency=INR","Period=FQ","BEST_FPERIOD_OVERRIDE=FQ","FILING_STATUS=OR","EQY_CONSOLIDATED=Y","Sort=A","Dates=H","DateFormat=P","Fill=—","Direction=H","UseDPDF=Y")</f>
        <v>#NAME?</v>
      </c>
      <c r="CJ470" s="2" t="e">
        <f ca="1">_xll.BDH($C$453,"LT_DEBT_TO_TOT_ASSET","FQ2 2017","FQ2 2017","Currency=INR","Period=FQ","BEST_FPERIOD_OVERRIDE=FQ","FILING_STATUS=OR","EQY_CONSOLIDATED=Y","Sort=A","Dates=H","DateFormat=P","Fill=—","Direction=H","UseDPDF=Y")</f>
        <v>#NAME?</v>
      </c>
      <c r="CK470" s="2" t="e">
        <f ca="1">_xll.BDH($C$453,"TOT_DEBT_TO_TOT_EQY","FQ2 2017","FQ2 2017","Currency=INR","Period=FQ","BEST_FPERIOD_OVERRIDE=FQ","FILING_STATUS=OR","EQY_CONSOLIDATED=Y","Sort=A","Dates=H","DateFormat=P","Fill=—","Direction=H","UseDPDF=Y")</f>
        <v>#NAME?</v>
      </c>
      <c r="CL470" s="2" t="e">
        <f ca="1">_xll.BDH($C$453,"TOT_DEBT_TO_TOT_CAP","FQ2 2017","FQ2 2017","Currency=INR","Period=FQ","BEST_FPERIOD_OVERRIDE=FQ","FILING_STATUS=OR","EQY_CONSOLIDATED=Y","Sort=A","Dates=H","DateFormat=P","Fill=—","Direction=H","UseDPDF=Y")</f>
        <v>#NAME?</v>
      </c>
      <c r="CM470" s="2" t="e">
        <f ca="1">_xll.BDH($C$453,"TOT_DEBT_TO_TOT_ASSET","FQ2 2017","FQ2 2017","Currency=INR","Period=FQ","BEST_FPERIOD_OVERRIDE=FQ","FILING_STATUS=OR","EQY_CONSOLIDATED=Y","Sort=A","Dates=H","DateFormat=P","Fill=—","Direction=H","UseDPDF=Y")</f>
        <v>#NAME?</v>
      </c>
      <c r="CN470" s="2" t="e">
        <f ca="1">_xll.BDH($C$453,"NET_DEBT_TO_SHRHLDR_EQTY","FQ2 2017","FQ2 2017","Currency=INR","Period=FQ","BEST_FPERIOD_OVERRIDE=FQ","FILING_STATUS=OR","EQY_CONSOLIDATED=Y","Sort=A","Dates=H","DateFormat=P","Fill=—","Direction=H","UseDPDF=Y")</f>
        <v>#NAME?</v>
      </c>
      <c r="CO470" s="2" t="e">
        <f ca="1">_xll.BDH($C$453,"NET_DEBT_%_CAPITAL","FQ2 2017","FQ2 2017","Currency=INR","Period=FQ","BEST_FPERIOD_OVERRIDE=FQ","FILING_STATUS=OR","EQY_CONSOLIDATED=Y","Sort=A","Dates=H","DateFormat=P","Fill=—","Direction=H","UseDPDF=Y")</f>
        <v>#NAME?</v>
      </c>
      <c r="CP470" s="3" t="e">
        <f ca="1">_xll.BDH($C$453,"EBITDA","FQ2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70" s="3" t="e">
        <f ca="1">_xll.BDH($C$453,"EBITDA_AFTER_CAPEX","FQ2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70" s="3" t="e">
        <f ca="1">_xll.BDH($C$453,"IS_OPER_INC","FQ2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70" s="2" t="e">
        <f ca="1">_xll.BDH($C$453,"CASH_RATIO","FQ2 2017","FQ2 2017","Currency=INR","Period=FQ","BEST_FPERIOD_OVERRIDE=FQ","FILING_STATUS=OR","EQY_CONSOLIDATED=Y","Sort=A","Dates=H","DateFormat=P","Fill=—","Direction=H","UseDPDF=Y")</f>
        <v>#NAME?</v>
      </c>
      <c r="CT470" s="2" t="e">
        <f ca="1">_xll.BDH($C$453,"CUR_RATIO","FQ2 2017","FQ2 2017","Currency=INR","Period=FQ","BEST_FPERIOD_OVERRIDE=FQ","FILING_STATUS=OR","EQY_CONSOLIDATED=Y","Sort=A","Dates=H","DateFormat=P","Fill=—","Direction=H","UseDPDF=Y")</f>
        <v>#NAME?</v>
      </c>
      <c r="CU470" s="2" t="e">
        <f ca="1">_xll.BDH($C$453,"QUICK_RATIO","FQ2 2017","FQ2 2017","Currency=INR","Period=FQ","BEST_FPERIOD_OVERRIDE=FQ","FILING_STATUS=OR","EQY_CONSOLIDATED=Y","Sort=A","Dates=H","DateFormat=P","Fill=—","Direction=H","UseDPDF=Y")</f>
        <v>#NAME?</v>
      </c>
      <c r="CV470" s="2" t="e">
        <f ca="1">_xll.BDH($C$453,"ALTMAN_Z_SCORE","FQ2 2017","FQ2 2017","Currency=INR","Period=FQ","BEST_FPERIOD_OVERRIDE=FQ","FILING_STATUS=OR","EQY_CONSOLIDATED=Y","Sort=A","Dates=H","DateFormat=P","Fill=—","Direction=H","UseDPDF=Y")</f>
        <v>#NAME?</v>
      </c>
      <c r="CW470" s="4" t="e">
        <f ca="1">_xll.BDH($C$453,"ACCT_RCV_TURN","FQ2 2017","FQ2 2017","Currency=INR","Period=FQ","BEST_FPERIOD_OVERRIDE=FQ","FILING_STATUS=OR","EQY_CONSOLIDATED=Y","FA_ADJUSTED=GAAP","Sort=A","Dates=H","DateFormat=P","Fill=—","Direction=H","UseDPDF=Y")</f>
        <v>#NAME?</v>
      </c>
      <c r="CX470" s="2" t="e">
        <f ca="1">_xll.BDH($C$453,"ACCT_RCV_DAYS","FQ2 2017","FQ2 2017","Currency=INR","Period=FQ","BEST_FPERIOD_OVERRIDE=FQ","FILING_STATUS=OR","EQY_CONSOLIDATED=Y","FA_ADJUSTED=GAAP","Sort=A","Dates=H","DateFormat=P","Fill=—","Direction=H","UseDPDF=Y")</f>
        <v>#NAME?</v>
      </c>
      <c r="CY470" s="4" t="e">
        <f ca="1">_xll.BDH($C$453,"INVENT_TURN","FQ2 2017","FQ2 2017","Currency=INR","Period=FQ","BEST_FPERIOD_OVERRIDE=FQ","FILING_STATUS=OR","EQY_CONSOLIDATED=Y","FA_ADJUSTED=GAAP","Sort=A","Dates=H","DateFormat=P","Fill=—","Direction=H","UseDPDF=Y")</f>
        <v>#NAME?</v>
      </c>
      <c r="CZ470" s="2" t="e">
        <f ca="1">_xll.BDH($C$453,"INVENT_DAYS","FQ2 2017","FQ2 2017","Currency=INR","Period=FQ","BEST_FPERIOD_OVERRIDE=FQ","FILING_STATUS=OR","EQY_CONSOLIDATED=Y","FA_ADJUSTED=GAAP","Sort=A","Dates=H","DateFormat=P","Fill=—","Direction=H","UseDPDF=Y")</f>
        <v>#NAME?</v>
      </c>
      <c r="DA470" s="4" t="e">
        <f ca="1">_xll.BDH($C$453,"ACCOUNTS_PAYABLE_TURNOVER","FQ2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70" s="2" t="e">
        <f ca="1">_xll.BDH($C$453,"ACCOUNTS_PAYABLE_TURNOVER_DAYS","FQ2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70" s="4" t="e">
        <f ca="1">_xll.BDH($C$453,"CASH_CONVERSION_CYCLE","FQ2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70" s="4" t="e">
        <f ca="1">_xll.BDH($C$453,"INV_TO_CASH_DAYS","FQ2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470" s="5" t="e">
        <f ca="1">_xll.BDH($C$453,"BS_INVENTORIES","FQ2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470" s="3" t="e">
        <f ca="1">_xll.BDH($C$453,"INVTRY_RAW_MATERIALS","FQ2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70" s="3" t="e">
        <f ca="1">_xll.BDH($C$453,"INVTRY_IN_PROGRESS","FQ2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70" s="3" t="e">
        <f ca="1">_xll.BDH($C$453,"INVTRY_FINISHED_GOODS","FQ2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70" s="3" t="e">
        <f ca="1">_xll.BDH($C$453,"BS_OTHER_INV","FQ2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71" spans="1:113" x14ac:dyDescent="0.3">
      <c r="A471" s="6"/>
      <c r="B471" s="6"/>
      <c r="C471" s="6"/>
      <c r="D471" s="6"/>
      <c r="E471" t="s">
        <v>80</v>
      </c>
      <c r="F471" t="e">
        <f ca="1">_xll.BDH($C$453,"RETURN_COM_EQY","FQ3 2017","FQ3 2017","Currency=INR","Period=FQ","BEST_FPERIOD_OVERRIDE=FQ","FILING_STATUS=OR","EQY_CONSOLIDATED=Y","FA_ADJUSTED=GAAP","Sort=A","Dates=H","DateFormat=P","Fill=—","Direction=H","UseDPDF=Y")</f>
        <v>#NAME?</v>
      </c>
      <c r="G471" t="e">
        <f ca="1">_xll.BDH($C$453,"RETURN_ON_ASSET","FQ3 2017","FQ3 2017","Currency=INR","Period=FQ","BEST_FPERIOD_OVERRIDE=FQ","FILING_STATUS=OR","EQY_CONSOLIDATED=Y","FA_ADJUSTED=GAAP","Sort=A","Dates=H","DateFormat=P","Fill=—","Direction=H","UseDPDF=Y")</f>
        <v>#NAME?</v>
      </c>
      <c r="H471" t="e">
        <f ca="1">_xll.BDH($C$453,"RETURN_ON_CAP","FQ3 2017","FQ3 2017","Currency=INR","Period=FQ","BEST_FPERIOD_OVERRIDE=FQ","FILING_STATUS=OR","EQY_CONSOLIDATED=Y","FA_ADJUSTED=GAAP","Sort=A","Dates=H","DateFormat=P","Fill=—","Direction=H","UseDPDF=Y")</f>
        <v>#NAME?</v>
      </c>
      <c r="I471" t="e">
        <f ca="1">_xll.BDH($C$453,"RETURN_ON_INV_CAPITAL","FQ3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71" t="e">
        <f ca="1">_xll.BDH($C$453,"EBITDA_TO_REVENUE","FQ3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471" t="e">
        <f ca="1">_xll.BDH($C$453,"OPER_MARGIN","FQ3 2017","FQ3 2017","Currency=INR","Period=FQ","BEST_FPERIOD_OVERRIDE=FQ","FILING_STATUS=OR","EQY_CONSOLIDATED=Y","FA_ADJUSTED=GAAP","Sort=A","Dates=H","DateFormat=P","Fill=—","Direction=H","UseDPDF=Y")</f>
        <v>#NAME?</v>
      </c>
      <c r="L471" t="e">
        <f ca="1">_xll.BDH($C$453,"INCREMENTAL_OPERATING_MARGIN","FQ3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71" t="e">
        <f ca="1">_xll.BDH($C$453,"PRETAX_INC_TO_NET_SALES","FQ3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71" t="e">
        <f ca="1">_xll.BDH($C$453,"INC_BEF_XO_ITEMS_TO_NET_SALES","FQ3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71" t="e">
        <f ca="1">_xll.BDH($C$453,"PROF_MARGIN","FQ3 2017","FQ3 2017","Currency=INR","Period=FQ","BEST_FPERIOD_OVERRIDE=FQ","FILING_STATUS=OR","EQY_CONSOLIDATED=Y","FA_ADJUSTED=GAAP","Sort=A","Dates=H","DateFormat=P","Fill=—","Direction=H","UseDPDF=Y")</f>
        <v>#NAME?</v>
      </c>
      <c r="P471" t="e">
        <f ca="1">_xll.BDH($C$453,"NET_INCOME_TO_COMMON_MARGIN","FQ3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71" t="e">
        <f ca="1">_xll.BDH($C$453,"EFF_TAX_RATE","FQ3 2017","FQ3 2017","Currency=INR","Period=FQ","BEST_FPERIOD_OVERRIDE=FQ","FILING_STATUS=OR","EQY_CONSOLIDATED=Y","FA_ADJUSTED=GAAP","Sort=A","Dates=H","DateFormat=P","Fill=—","Direction=H","UseDPDF=Y")</f>
        <v>#NAME?</v>
      </c>
      <c r="R471" t="e">
        <f ca="1">_xll.BDH($C$453,"DVD_PAYOUT_RATIO","FQ3 2017","FQ3 2017","Currency=INR","Period=FQ","BEST_FPERIOD_OVERRIDE=FQ","FILING_STATUS=OR","EQY_CONSOLIDATED=Y","FA_ADJUSTED=GAAP","Sort=A","Dates=H","DateFormat=P","Fill=—","Direction=H","UseDPDF=Y")</f>
        <v>#NAME?</v>
      </c>
      <c r="S471" t="e">
        <f ca="1">_xll.BDH($C$453,"SUSTAIN_GROWTH_RT","FQ3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471" s="2" t="e">
        <f ca="1">_xll.BDH($C$453,"SALES_GROWTH","FQ3 2017","FQ3 2017","Currency=INR","Period=FQ","BEST_FPERIOD_OVERRIDE=FQ","FILING_STATUS=OR","EQY_CONSOLIDATED=Y","FA_ADJUSTED=GAAP","Sort=A","Dates=H","DateFormat=P","Fill=—","Direction=H","UseDPDF=Y")</f>
        <v>#NAME?</v>
      </c>
      <c r="U471" s="2" t="e">
        <f ca="1">_xll.BDH($C$453,"EBITDA_GROWTH","FQ3 2017","FQ3 2017","Currency=INR","Period=FQ","BEST_FPERIOD_OVERRIDE=FQ","FILING_STATUS=OR","EQY_CONSOLIDATED=Y","FA_ADJUSTED=GAAP","Sort=A","Dates=H","DateFormat=P","Fill=—","Direction=H","UseDPDF=Y")</f>
        <v>#NAME?</v>
      </c>
      <c r="V471" s="2" t="e">
        <f ca="1">_xll.BDH($C$453,"OPER_INC_GROWTH","FQ3 2017","FQ3 2017","Currency=INR","Period=FQ","BEST_FPERIOD_OVERRIDE=FQ","FILING_STATUS=OR","EQY_CONSOLIDATED=Y","FA_ADJUSTED=GAAP","Sort=A","Dates=H","DateFormat=P","Fill=—","Direction=H","UseDPDF=Y")</f>
        <v>#NAME?</v>
      </c>
      <c r="W471" s="2" t="e">
        <f ca="1">_xll.BDH($C$453,"EARN_FOR_COM_GROWTH","FQ3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71" s="2" t="e">
        <f ca="1">_xll.BDH($C$453,"DILUTED_EPS_AFT_XO_ITEMS_GROWTH","FQ3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71" s="2" t="e">
        <f ca="1">_xll.BDH($C$453,"DIVIDEND_PER_SHARE_1_YEAR_GROWTH","FQ3 2017","FQ3 2017","Currency=INR","Period=FQ","BEST_FPERIOD_OVERRIDE=FQ","FILING_STATUS=OR","EQY_CONSOLIDATED=Y","Sort=A","Dates=H","DateFormat=P","Fill=—","Direction=H","UseDPDF=Y")</f>
        <v>#NAME?</v>
      </c>
      <c r="Z471" s="2" t="e">
        <f ca="1">_xll.BDH($C$453,"ACCOUNTS_RECEIVABLE_GROWTH","FQ3 2017","FQ3 2017","Currency=INR","Period=FQ","BEST_FPERIOD_OVERRIDE=FQ","FILING_STATUS=OR","EQY_CONSOLIDATED=Y","Sort=A","Dates=H","DateFormat=P","Fill=—","Direction=H","UseDPDF=Y")</f>
        <v>#NAME?</v>
      </c>
      <c r="AA471" s="2" t="e">
        <f ca="1">_xll.BDH($C$453,"INVENTORY_GROWTH","FQ3 2017","FQ3 2017","Currency=INR","Period=FQ","BEST_FPERIOD_OVERRIDE=FQ","FILING_STATUS=OR","EQY_CONSOLIDATED=Y","Sort=A","Dates=H","DateFormat=P","Fill=—","Direction=H","UseDPDF=Y")</f>
        <v>#NAME?</v>
      </c>
      <c r="AB471" s="2" t="e">
        <f ca="1">_xll.BDH($C$453,"NET_FIXED_ASSETS_1_YEAR_GROWTH","FQ3 2017","FQ3 2017","Currency=INR","Period=FQ","BEST_FPERIOD_OVERRIDE=FQ","FILING_STATUS=OR","EQY_CONSOLIDATED=Y","Sort=A","Dates=H","DateFormat=P","Fill=—","Direction=H","UseDPDF=Y")</f>
        <v>#NAME?</v>
      </c>
      <c r="AC471" s="2" t="e">
        <f ca="1">_xll.BDH($C$453,"ASSET_GROWTH","FQ3 2017","FQ3 2017","Currency=INR","Period=FQ","BEST_FPERIOD_OVERRIDE=FQ","FILING_STATUS=OR","EQY_CONSOLIDATED=Y","Sort=A","Dates=H","DateFormat=P","Fill=—","Direction=H","UseDPDF=Y")</f>
        <v>#NAME?</v>
      </c>
      <c r="AD471" s="2" t="e">
        <f ca="1">_xll.BDH($C$453,"MODIFIED_WORK_CAP_GROWTH","FQ3 2017","FQ3 2017","Currency=INR","Period=FQ","BEST_FPERIOD_OVERRIDE=FQ","FILING_STATUS=OR","EQY_CONSOLIDATED=Y","Sort=A","Dates=H","DateFormat=P","Fill=—","Direction=H","UseDPDF=Y")</f>
        <v>#NAME?</v>
      </c>
      <c r="AE471" s="2" t="e">
        <f ca="1">_xll.BDH($C$453,"WORK_CAP_GROWTH","FQ3 2017","FQ3 2017","Currency=INR","Period=FQ","BEST_FPERIOD_OVERRIDE=FQ","FILING_STATUS=OR","EQY_CONSOLIDATED=Y","Sort=A","Dates=H","DateFormat=P","Fill=—","Direction=H","UseDPDF=Y")</f>
        <v>#NAME?</v>
      </c>
      <c r="AF471" s="2" t="e">
        <f ca="1">_xll.BDH($C$453,"ACCOUNTS_PAYABLE_GROWTH_1YR","FQ3 2017","FQ3 2017","Currency=INR","Period=FQ","BEST_FPERIOD_OVERRIDE=FQ","FILING_STATUS=OR","EQY_CONSOLIDATED=Y","Sort=A","Dates=H","DateFormat=P","Fill=—","Direction=H","UseDPDF=Y")</f>
        <v>#NAME?</v>
      </c>
      <c r="AG471" s="2" t="e">
        <f ca="1">_xll.BDH($C$453,"SHORT_TERM_DEBT_1_YEAR_GROWTH","FQ3 2017","FQ3 2017","Currency=INR","Period=FQ","BEST_FPERIOD_OVERRIDE=FQ","FILING_STATUS=OR","EQY_CONSOLIDATED=Y","Sort=A","Dates=H","DateFormat=P","Fill=—","Direction=H","UseDPDF=Y")</f>
        <v>#NAME?</v>
      </c>
      <c r="AH471" s="2" t="e">
        <f ca="1">_xll.BDH($C$453,"TOTAL_DEBT_1_YEAR_GROWTH","FQ3 2017","FQ3 2017","Currency=INR","Period=FQ","BEST_FPERIOD_OVERRIDE=FQ","FILING_STATUS=OR","EQY_CONSOLIDATED=Y","Sort=A","Dates=H","DateFormat=P","Fill=—","Direction=H","UseDPDF=Y")</f>
        <v>#NAME?</v>
      </c>
      <c r="AI471" s="2" t="e">
        <f ca="1">_xll.BDH($C$453,"TOTAL_EQUITY_1_YEAR_GROWTH","FQ3 2017","FQ3 2017","Currency=INR","Period=FQ","BEST_FPERIOD_OVERRIDE=FQ","FILING_STATUS=OR","EQY_CONSOLIDATED=Y","Sort=A","Dates=H","DateFormat=P","Fill=—","Direction=H","UseDPDF=Y")</f>
        <v>#NAME?</v>
      </c>
      <c r="AJ471" s="2" t="e">
        <f ca="1">_xll.BDH($C$453,"GROWTH_IN_CAP","FQ3 2017","FQ3 2017","Currency=INR","Period=FQ","BEST_FPERIOD_OVERRIDE=FQ","FILING_STATUS=OR","EQY_CONSOLIDATED=Y","Sort=A","Dates=H","DateFormat=P","Fill=—","Direction=H","UseDPDF=Y")</f>
        <v>#NAME?</v>
      </c>
      <c r="AK471" s="2" t="e">
        <f ca="1">_xll.BDH($C$453,"BVPS_GROWTH","FQ3 2017","FQ3 2017","Currency=INR","Period=FQ","BEST_FPERIOD_OVERRIDE=FQ","FILING_STATUS=OR","EQY_CONSOLIDATED=Y","Sort=A","Dates=H","DateFormat=P","Fill=—","Direction=H","UseDPDF=Y")</f>
        <v>#NAME?</v>
      </c>
      <c r="AL471" s="2" t="e">
        <f ca="1">_xll.BDH($C$453,"CASH_FLOW_GROWTH","FQ3 2017","FQ3 2017","Currency=INR","Period=FQ","BEST_FPERIOD_OVERRIDE=FQ","FILING_STATUS=OR","EQY_CONSOLIDATED=Y","Sort=A","Dates=H","DateFormat=P","Fill=—","Direction=H","UseDPDF=Y")</f>
        <v>#NAME?</v>
      </c>
      <c r="AM471" s="2" t="e">
        <f ca="1">_xll.BDH($C$453,"GEO_GROW_NET_SALES","FQ3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71" s="2" t="e">
        <f ca="1">_xll.BDH($C$453,"GEO_GROW_EBITDA","FQ3 2017","FQ3 2017","Currency=INR","Period=FQ","BEST_FPERIOD_OVERRIDE=FQ","FILING_STATUS=OR","EQY_CONSOLIDATED=Y","FA_ADJUSTED=GAAP","Sort=A","Dates=H","DateFormat=P","Fill=—","Direction=H","UseDPDF=Y")</f>
        <v>#NAME?</v>
      </c>
      <c r="AO471" s="2" t="e">
        <f ca="1">_xll.BDH($C$453,"GEO_GROW_OPER_INC","FQ3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71" s="2" t="e">
        <f ca="1">_xll.BDH($C$453,"NET_INCOME_TO_COMMON_5_YR_GROWTH","FQ3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71" s="2" t="e">
        <f ca="1">_xll.BDH($C$453,"5Y_GEO_GROWTH_DILUTED_EPS","FQ3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71" s="2" t="e">
        <f ca="1">_xll.BDH($C$453,"GEO_GROW_DVD_PER_SH","FQ3 2017","FQ3 2017","Currency=INR","Period=FQ","BEST_FPERIOD_OVERRIDE=FQ","FILING_STATUS=OR","EQY_CONSOLIDATED=Y","Sort=A","Dates=H","DateFormat=P","Fill=—","Direction=H","UseDPDF=Y")</f>
        <v>#NAME?</v>
      </c>
      <c r="AS471" s="2" t="e">
        <f ca="1">_xll.BDH($C$453,"ACCOUNTS_RECEIVABLE_5_YR_GROWTH","FQ3 2017","FQ3 2017","Currency=INR","Period=FQ","BEST_FPERIOD_OVERRIDE=FQ","FILING_STATUS=OR","EQY_CONSOLIDATED=Y","Sort=A","Dates=H","DateFormat=P","Fill=—","Direction=H","UseDPDF=Y")</f>
        <v>#NAME?</v>
      </c>
      <c r="AT471" s="2" t="e">
        <f ca="1">_xll.BDH($C$453,"INVENTORY_5_YEAR_GROWTH","FQ3 2017","FQ3 2017","Currency=INR","Period=FQ","BEST_FPERIOD_OVERRIDE=FQ","FILING_STATUS=OR","EQY_CONSOLIDATED=Y","Sort=A","Dates=H","DateFormat=P","Fill=—","Direction=H","UseDPDF=Y")</f>
        <v>#NAME?</v>
      </c>
      <c r="AU471" s="2" t="e">
        <f ca="1">_xll.BDH($C$453,"NET_FIXED_ASSETS_5_YEAR_GROWTH","FQ3 2017","FQ3 2017","Currency=INR","Period=FQ","BEST_FPERIOD_OVERRIDE=FQ","FILING_STATUS=OR","EQY_CONSOLIDATED=Y","Sort=A","Dates=H","DateFormat=P","Fill=—","Direction=H","UseDPDF=Y")</f>
        <v>#NAME?</v>
      </c>
      <c r="AV471" s="2" t="e">
        <f ca="1">_xll.BDH($C$453,"GEO_GROW_TOT_ASSET","FQ3 2017","FQ3 2017","Currency=INR","Period=FQ","BEST_FPERIOD_OVERRIDE=FQ","FILING_STATUS=OR","EQY_CONSOLIDATED=Y","Sort=A","Dates=H","DateFormat=P","Fill=—","Direction=H","UseDPDF=Y")</f>
        <v>#NAME?</v>
      </c>
      <c r="AW471" s="2" t="e">
        <f ca="1">_xll.BDH($C$453,"MODIFIED_WORKING_CPTL_5YR_GRWTH","FQ3 2017","FQ3 2017","Currency=INR","Period=FQ","BEST_FPERIOD_OVERRIDE=FQ","FILING_STATUS=OR","EQY_CONSOLIDATED=Y","Sort=A","Dates=H","DateFormat=P","Fill=—","Direction=H","UseDPDF=Y")</f>
        <v>#NAME?</v>
      </c>
      <c r="AX471" s="2" t="e">
        <f ca="1">_xll.BDH($C$453,"WORKING_CAPITAL_5_YEAR_GROWTH","FQ3 2017","FQ3 2017","Currency=INR","Period=FQ","BEST_FPERIOD_OVERRIDE=FQ","FILING_STATUS=OR","EQY_CONSOLIDATED=Y","Sort=A","Dates=H","DateFormat=P","Fill=—","Direction=H","UseDPDF=Y")</f>
        <v>#NAME?</v>
      </c>
      <c r="AY471" s="2" t="e">
        <f ca="1">_xll.BDH($C$453,"ACCOUNTS_PAYABLE_5_YEAR_GROWTH","FQ3 2017","FQ3 2017","Currency=INR","Period=FQ","BEST_FPERIOD_OVERRIDE=FQ","FILING_STATUS=OR","EQY_CONSOLIDATED=Y","Sort=A","Dates=H","DateFormat=P","Fill=—","Direction=H","UseDPDF=Y")</f>
        <v>#NAME?</v>
      </c>
      <c r="AZ471" s="2" t="e">
        <f ca="1">_xll.BDH($C$453,"SHORT_TERM_DEBT_5_YEAR_GROWTH","FQ3 2017","FQ3 2017","Currency=INR","Period=FQ","BEST_FPERIOD_OVERRIDE=FQ","FILING_STATUS=OR","EQY_CONSOLIDATED=Y","Sort=A","Dates=H","DateFormat=P","Fill=—","Direction=H","UseDPDF=Y")</f>
        <v>#NAME?</v>
      </c>
      <c r="BA471" s="2" t="e">
        <f ca="1">_xll.BDH($C$453,"TOTAL_DEBT_5_YEAR_GROWTH","FQ3 2017","FQ3 2017","Currency=INR","Period=FQ","BEST_FPERIOD_OVERRIDE=FQ","FILING_STATUS=OR","EQY_CONSOLIDATED=Y","Sort=A","Dates=H","DateFormat=P","Fill=—","Direction=H","UseDPDF=Y")</f>
        <v>#NAME?</v>
      </c>
      <c r="BB471" s="2" t="e">
        <f ca="1">_xll.BDH($C$453,"GEO_GROW_TOT_SHRHLDR_EQY","FQ3 2017","FQ3 2017","Currency=INR","Period=FQ","BEST_FPERIOD_OVERRIDE=FQ","FILING_STATUS=OR","EQY_CONSOLIDATED=Y","Sort=A","Dates=H","DateFormat=P","Fill=—","Direction=H","UseDPDF=Y")</f>
        <v>#NAME?</v>
      </c>
      <c r="BC471" s="2" t="e">
        <f ca="1">_xll.BDH($C$453,"TOTAL_CAPITAL_5_YEAR_GROWTH","FQ3 2017","FQ3 2017","Currency=INR","Period=FQ","BEST_FPERIOD_OVERRIDE=FQ","FILING_STATUS=OR","EQY_CONSOLIDATED=Y","Sort=A","Dates=H","DateFormat=P","Fill=—","Direction=H","UseDPDF=Y")</f>
        <v>#NAME?</v>
      </c>
      <c r="BD471" s="2" t="e">
        <f ca="1">_xll.BDH($C$453,"GEO_GROW_BOOK_VAL","FQ3 2017","FQ3 2017","Currency=INR","Period=FQ","BEST_FPERIOD_OVERRIDE=FQ","FILING_STATUS=OR","EQY_CONSOLIDATED=Y","Sort=A","Dates=H","DateFormat=P","Fill=—","Direction=H","UseDPDF=Y")</f>
        <v>#NAME?</v>
      </c>
      <c r="BE471" s="2" t="e">
        <f ca="1">_xll.BDH($C$453,"GEO_GROW_CASH_OPER_ACT","FQ3 2017","FQ3 2017","Currency=INR","Period=FQ","BEST_FPERIOD_OVERRIDE=FQ","FILING_STATUS=OR","EQY_CONSOLIDATED=Y","Sort=A","Dates=H","DateFormat=P","Fill=—","Direction=H","UseDPDF=Y")</f>
        <v>#NAME?</v>
      </c>
      <c r="BF471" s="2" t="e">
        <f ca="1">_xll.BDH($C$453,"REVENUE_SEQUENTIAL_GROWTH","FQ3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71" s="2" t="e">
        <f ca="1">_xll.BDH($C$453,"EBITDA_SEQUENTIAL_GROWTH","FQ3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71" s="2" t="e">
        <f ca="1">_xll.BDH($C$453,"OPERATING_INCOME_SEQ_GROWTH","FQ3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71" s="2" t="e">
        <f ca="1">_xll.BDH($C$453,"NET_INCOME_TO_COMMON_SEQ_GROWTH","FQ3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71" s="2" t="e">
        <f ca="1">_xll.BDH($C$453,"EPS_DILUTED_SEQUENTIAL_GROWTH","FQ3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71" s="2" t="e">
        <f ca="1">_xll.BDH($C$453,"DPS_SEQUENTIAL_GROWTH","FQ3 2017","FQ3 2017","Currency=INR","Period=FQ","BEST_FPERIOD_OVERRIDE=FQ","FILING_STATUS=OR","EQY_CONSOLIDATED=Y","Sort=A","Dates=H","DateFormat=P","Fill=—","Direction=H","UseDPDF=Y")</f>
        <v>#NAME?</v>
      </c>
      <c r="BL471" s="2" t="e">
        <f ca="1">_xll.BDH($C$453,"ACCOUNTS_RECEIVABLE_SEQ_GROWTH","FQ3 2017","FQ3 2017","Currency=INR","Period=FQ","BEST_FPERIOD_OVERRIDE=FQ","FILING_STATUS=OR","EQY_CONSOLIDATED=Y","Sort=A","Dates=H","DateFormat=P","Fill=—","Direction=H","UseDPDF=Y")</f>
        <v>#NAME?</v>
      </c>
      <c r="BM471" s="2" t="e">
        <f ca="1">_xll.BDH($C$453,"INVENTORY_SEQUENTIAL_GROWTH","FQ3 2017","FQ3 2017","Currency=INR","Period=FQ","BEST_FPERIOD_OVERRIDE=FQ","FILING_STATUS=OR","EQY_CONSOLIDATED=Y","Sort=A","Dates=H","DateFormat=P","Fill=—","Direction=H","UseDPDF=Y")</f>
        <v>#NAME?</v>
      </c>
      <c r="BN471" s="2" t="e">
        <f ca="1">_xll.BDH($C$453,"FIXED_ASSETS_SEQUENTIAL_GROWTH","FQ3 2017","FQ3 2017","Currency=INR","Period=FQ","BEST_FPERIOD_OVERRIDE=FQ","FILING_STATUS=OR","EQY_CONSOLIDATED=Y","Sort=A","Dates=H","DateFormat=P","Fill=—","Direction=H","UseDPDF=Y")</f>
        <v>#NAME?</v>
      </c>
      <c r="BO471" s="2" t="e">
        <f ca="1">_xll.BDH($C$453,"TOTAL_ASSETS_SEQUENTIAL_GROWTH","FQ3 2017","FQ3 2017","Currency=INR","Period=FQ","BEST_FPERIOD_OVERRIDE=FQ","FILING_STATUS=OR","EQY_CONSOLIDATED=Y","Sort=A","Dates=H","DateFormat=P","Fill=—","Direction=H","UseDPDF=Y")</f>
        <v>#NAME?</v>
      </c>
      <c r="BP471" s="2" t="e">
        <f ca="1">_xll.BDH($C$453,"MODIFIED_WORKING_CPTL_SEQ_GRWTH","FQ3 2017","FQ3 2017","Currency=INR","Period=FQ","BEST_FPERIOD_OVERRIDE=FQ","FILING_STATUS=OR","EQY_CONSOLIDATED=Y","Sort=A","Dates=H","DateFormat=P","Fill=—","Direction=H","UseDPDF=Y")</f>
        <v>#NAME?</v>
      </c>
      <c r="BQ471" s="2" t="e">
        <f ca="1">_xll.BDH($C$453,"WORKING_CAPITAL_SEQ_GROWTH","FQ3 2017","FQ3 2017","Currency=INR","Period=FQ","BEST_FPERIOD_OVERRIDE=FQ","FILING_STATUS=OR","EQY_CONSOLIDATED=Y","Sort=A","Dates=H","DateFormat=P","Fill=—","Direction=H","UseDPDF=Y")</f>
        <v>#NAME?</v>
      </c>
      <c r="BR471" s="2" t="e">
        <f ca="1">_xll.BDH($C$453,"ACCOUNTS_PAYABLE_SEQ_GROWTH","FQ3 2017","FQ3 2017","Currency=INR","Period=FQ","BEST_FPERIOD_OVERRIDE=FQ","FILING_STATUS=OR","EQY_CONSOLIDATED=Y","Sort=A","Dates=H","DateFormat=P","Fill=—","Direction=H","UseDPDF=Y")</f>
        <v>#NAME?</v>
      </c>
      <c r="BS471" s="2" t="e">
        <f ca="1">_xll.BDH($C$453,"ST_DEBT_SEQUENTIAL_GROWTH","FQ3 2017","FQ3 2017","Currency=INR","Period=FQ","BEST_FPERIOD_OVERRIDE=FQ","FILING_STATUS=OR","EQY_CONSOLIDATED=Y","Sort=A","Dates=H","DateFormat=P","Fill=—","Direction=H","UseDPDF=Y")</f>
        <v>#NAME?</v>
      </c>
      <c r="BT471" s="2" t="e">
        <f ca="1">_xll.BDH($C$453,"TOTAL_DEBT_SEQUENTIAL_GROWTH","FQ3 2017","FQ3 2017","Currency=INR","Period=FQ","BEST_FPERIOD_OVERRIDE=FQ","FILING_STATUS=OR","EQY_CONSOLIDATED=Y","Sort=A","Dates=H","DateFormat=P","Fill=—","Direction=H","UseDPDF=Y")</f>
        <v>#NAME?</v>
      </c>
      <c r="BU471" s="2" t="e">
        <f ca="1">_xll.BDH($C$453,"TOTAL_EQUITY_SEQUENTIAL_GROWTH","FQ3 2017","FQ3 2017","Currency=INR","Period=FQ","BEST_FPERIOD_OVERRIDE=FQ","FILING_STATUS=OR","EQY_CONSOLIDATED=Y","Sort=A","Dates=H","DateFormat=P","Fill=—","Direction=H","UseDPDF=Y")</f>
        <v>#NAME?</v>
      </c>
      <c r="BV471" s="2" t="e">
        <f ca="1">_xll.BDH($C$453,"TOTAL_CAPITAL_SEQUENTIAL_GROWTH","FQ3 2017","FQ3 2017","Currency=INR","Period=FQ","BEST_FPERIOD_OVERRIDE=FQ","FILING_STATUS=OR","EQY_CONSOLIDATED=Y","Sort=A","Dates=H","DateFormat=P","Fill=—","Direction=H","UseDPDF=Y")</f>
        <v>#NAME?</v>
      </c>
      <c r="BW471" s="2" t="e">
        <f ca="1">_xll.BDH($C$453,"BPS_SEQUENTIAL_GROWTH","FQ3 2017","FQ3 2017","Currency=INR","Period=FQ","BEST_FPERIOD_OVERRIDE=FQ","FILING_STATUS=OR","EQY_CONSOLIDATED=Y","Sort=A","Dates=H","DateFormat=P","Fill=—","Direction=H","UseDPDF=Y")</f>
        <v>#NAME?</v>
      </c>
      <c r="BX471" s="2" t="e">
        <f ca="1">_xll.BDH($C$453,"CFO_SEQUENTIAL_GROWTH","FQ3 2017","FQ3 2017","Currency=INR","Period=FQ","BEST_FPERIOD_OVERRIDE=FQ","FILING_STATUS=OR","EQY_CONSOLIDATED=Y","Sort=A","Dates=H","DateFormat=P","Fill=—","Direction=H","UseDPDF=Y")</f>
        <v>#NAME?</v>
      </c>
      <c r="BY471" s="3" t="e">
        <f ca="1">_xll.BDH($C$453,"SHORT_AND_LONG_TERM_DEBT","FQ3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71" s="3" t="e">
        <f ca="1">_xll.BDH($C$453,"BS_ST_BORROW","FQ3 2017","FQ3 2017","Currency=INR","Period=FQ","BEST_FPERIOD_OVERRIDE=FQ","FILING_STATUS=OR","EQY_CONSOLIDATED=Y","SCALING_FORMAT=MLN","Sort=A","Dates=H","DateFormat=P","Fill=—","Direction=H","UseDPDF=Y")</f>
        <v>#NAME?</v>
      </c>
      <c r="CA471" s="3" t="e">
        <f ca="1">_xll.BDH($C$453,"BS_LT_BORROW","FQ3 2017","FQ3 2017","Currency=INR","Period=FQ","BEST_FPERIOD_OVERRIDE=FQ","FILING_STATUS=OR","EQY_CONSOLIDATED=Y","SCALING_FORMAT=MLN","Sort=A","Dates=H","DateFormat=P","Fill=—","Direction=H","UseDPDF=Y")</f>
        <v>#NAME?</v>
      </c>
      <c r="CB471" s="2" t="e">
        <f ca="1">_xll.BDH($C$453,"TOT_DEBT_TO_EBITDA","FQ3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71" s="2" t="e">
        <f ca="1">_xll.BDH($C$453,"NET_DEBT_TO_EBITDA","FQ3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71" s="2" t="e">
        <f ca="1">_xll.BDH($C$453,"TOTAL_DEBT_TO_EBIT","FQ3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71" s="2" t="e">
        <f ca="1">_xll.BDH($C$453,"NET_DEBT_TO_EBIT","FQ3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471" s="2" t="e">
        <f ca="1">_xll.BDH($C$453,"EBITDA_TO_INTEREST_EXPN","FQ3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71" s="2" t="e">
        <f ca="1">_xll.BDH($C$453,"COM_EQY_TO_TOT_ASSET","FQ3 2017","FQ3 2017","Currency=INR","Period=FQ","BEST_FPERIOD_OVERRIDE=FQ","FILING_STATUS=OR","EQY_CONSOLIDATED=Y","Sort=A","Dates=H","DateFormat=P","Fill=—","Direction=H","UseDPDF=Y")</f>
        <v>#NAME?</v>
      </c>
      <c r="CH471" s="2" t="e">
        <f ca="1">_xll.BDH($C$453,"LT_DEBT_TO_TOT_EQY","FQ3 2017","FQ3 2017","Currency=INR","Period=FQ","BEST_FPERIOD_OVERRIDE=FQ","FILING_STATUS=OR","EQY_CONSOLIDATED=Y","Sort=A","Dates=H","DateFormat=P","Fill=—","Direction=H","UseDPDF=Y")</f>
        <v>#NAME?</v>
      </c>
      <c r="CI471" s="2" t="e">
        <f ca="1">_xll.BDH($C$453,"LT_DEBT_TO_TOT_CAP","FQ3 2017","FQ3 2017","Currency=INR","Period=FQ","BEST_FPERIOD_OVERRIDE=FQ","FILING_STATUS=OR","EQY_CONSOLIDATED=Y","Sort=A","Dates=H","DateFormat=P","Fill=—","Direction=H","UseDPDF=Y")</f>
        <v>#NAME?</v>
      </c>
      <c r="CJ471" s="2" t="e">
        <f ca="1">_xll.BDH($C$453,"LT_DEBT_TO_TOT_ASSET","FQ3 2017","FQ3 2017","Currency=INR","Period=FQ","BEST_FPERIOD_OVERRIDE=FQ","FILING_STATUS=OR","EQY_CONSOLIDATED=Y","Sort=A","Dates=H","DateFormat=P","Fill=—","Direction=H","UseDPDF=Y")</f>
        <v>#NAME?</v>
      </c>
      <c r="CK471" s="2" t="e">
        <f ca="1">_xll.BDH($C$453,"TOT_DEBT_TO_TOT_EQY","FQ3 2017","FQ3 2017","Currency=INR","Period=FQ","BEST_FPERIOD_OVERRIDE=FQ","FILING_STATUS=OR","EQY_CONSOLIDATED=Y","Sort=A","Dates=H","DateFormat=P","Fill=—","Direction=H","UseDPDF=Y")</f>
        <v>#NAME?</v>
      </c>
      <c r="CL471" s="2" t="e">
        <f ca="1">_xll.BDH($C$453,"TOT_DEBT_TO_TOT_CAP","FQ3 2017","FQ3 2017","Currency=INR","Period=FQ","BEST_FPERIOD_OVERRIDE=FQ","FILING_STATUS=OR","EQY_CONSOLIDATED=Y","Sort=A","Dates=H","DateFormat=P","Fill=—","Direction=H","UseDPDF=Y")</f>
        <v>#NAME?</v>
      </c>
      <c r="CM471" s="2" t="e">
        <f ca="1">_xll.BDH($C$453,"TOT_DEBT_TO_TOT_ASSET","FQ3 2017","FQ3 2017","Currency=INR","Period=FQ","BEST_FPERIOD_OVERRIDE=FQ","FILING_STATUS=OR","EQY_CONSOLIDATED=Y","Sort=A","Dates=H","DateFormat=P","Fill=—","Direction=H","UseDPDF=Y")</f>
        <v>#NAME?</v>
      </c>
      <c r="CN471" s="2" t="e">
        <f ca="1">_xll.BDH($C$453,"NET_DEBT_TO_SHRHLDR_EQTY","FQ3 2017","FQ3 2017","Currency=INR","Period=FQ","BEST_FPERIOD_OVERRIDE=FQ","FILING_STATUS=OR","EQY_CONSOLIDATED=Y","Sort=A","Dates=H","DateFormat=P","Fill=—","Direction=H","UseDPDF=Y")</f>
        <v>#NAME?</v>
      </c>
      <c r="CO471" s="2" t="e">
        <f ca="1">_xll.BDH($C$453,"NET_DEBT_%_CAPITAL","FQ3 2017","FQ3 2017","Currency=INR","Period=FQ","BEST_FPERIOD_OVERRIDE=FQ","FILING_STATUS=OR","EQY_CONSOLIDATED=Y","Sort=A","Dates=H","DateFormat=P","Fill=—","Direction=H","UseDPDF=Y")</f>
        <v>#NAME?</v>
      </c>
      <c r="CP471" s="3" t="e">
        <f ca="1">_xll.BDH($C$453,"EBITDA","FQ3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71" s="3" t="e">
        <f ca="1">_xll.BDH($C$453,"EBITDA_AFTER_CAPEX","FQ3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71" s="3" t="e">
        <f ca="1">_xll.BDH($C$453,"IS_OPER_INC","FQ3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71" s="2" t="e">
        <f ca="1">_xll.BDH($C$453,"CASH_RATIO","FQ3 2017","FQ3 2017","Currency=INR","Period=FQ","BEST_FPERIOD_OVERRIDE=FQ","FILING_STATUS=OR","EQY_CONSOLIDATED=Y","Sort=A","Dates=H","DateFormat=P","Fill=—","Direction=H","UseDPDF=Y")</f>
        <v>#NAME?</v>
      </c>
      <c r="CT471" s="2" t="e">
        <f ca="1">_xll.BDH($C$453,"CUR_RATIO","FQ3 2017","FQ3 2017","Currency=INR","Period=FQ","BEST_FPERIOD_OVERRIDE=FQ","FILING_STATUS=OR","EQY_CONSOLIDATED=Y","Sort=A","Dates=H","DateFormat=P","Fill=—","Direction=H","UseDPDF=Y")</f>
        <v>#NAME?</v>
      </c>
      <c r="CU471" s="2" t="e">
        <f ca="1">_xll.BDH($C$453,"QUICK_RATIO","FQ3 2017","FQ3 2017","Currency=INR","Period=FQ","BEST_FPERIOD_OVERRIDE=FQ","FILING_STATUS=OR","EQY_CONSOLIDATED=Y","Sort=A","Dates=H","DateFormat=P","Fill=—","Direction=H","UseDPDF=Y")</f>
        <v>#NAME?</v>
      </c>
      <c r="CV471" s="2" t="e">
        <f ca="1">_xll.BDH($C$453,"ALTMAN_Z_SCORE","FQ3 2017","FQ3 2017","Currency=INR","Period=FQ","BEST_FPERIOD_OVERRIDE=FQ","FILING_STATUS=OR","EQY_CONSOLIDATED=Y","Sort=A","Dates=H","DateFormat=P","Fill=—","Direction=H","UseDPDF=Y")</f>
        <v>#NAME?</v>
      </c>
      <c r="CW471" s="4" t="e">
        <f ca="1">_xll.BDH($C$453,"ACCT_RCV_TURN","FQ3 2017","FQ3 2017","Currency=INR","Period=FQ","BEST_FPERIOD_OVERRIDE=FQ","FILING_STATUS=OR","EQY_CONSOLIDATED=Y","FA_ADJUSTED=GAAP","Sort=A","Dates=H","DateFormat=P","Fill=—","Direction=H","UseDPDF=Y")</f>
        <v>#NAME?</v>
      </c>
      <c r="CX471" s="2" t="e">
        <f ca="1">_xll.BDH($C$453,"ACCT_RCV_DAYS","FQ3 2017","FQ3 2017","Currency=INR","Period=FQ","BEST_FPERIOD_OVERRIDE=FQ","FILING_STATUS=OR","EQY_CONSOLIDATED=Y","FA_ADJUSTED=GAAP","Sort=A","Dates=H","DateFormat=P","Fill=—","Direction=H","UseDPDF=Y")</f>
        <v>#NAME?</v>
      </c>
      <c r="CY471" s="4" t="e">
        <f ca="1">_xll.BDH($C$453,"INVENT_TURN","FQ3 2017","FQ3 2017","Currency=INR","Period=FQ","BEST_FPERIOD_OVERRIDE=FQ","FILING_STATUS=OR","EQY_CONSOLIDATED=Y","FA_ADJUSTED=GAAP","Sort=A","Dates=H","DateFormat=P","Fill=—","Direction=H","UseDPDF=Y")</f>
        <v>#NAME?</v>
      </c>
      <c r="CZ471" s="2" t="e">
        <f ca="1">_xll.BDH($C$453,"INVENT_DAYS","FQ3 2017","FQ3 2017","Currency=INR","Period=FQ","BEST_FPERIOD_OVERRIDE=FQ","FILING_STATUS=OR","EQY_CONSOLIDATED=Y","FA_ADJUSTED=GAAP","Sort=A","Dates=H","DateFormat=P","Fill=—","Direction=H","UseDPDF=Y")</f>
        <v>#NAME?</v>
      </c>
      <c r="DA471" s="4" t="e">
        <f ca="1">_xll.BDH($C$453,"ACCOUNTS_PAYABLE_TURNOVER","FQ3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71" s="2" t="e">
        <f ca="1">_xll.BDH($C$453,"ACCOUNTS_PAYABLE_TURNOVER_DAYS","FQ3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71" s="4" t="e">
        <f ca="1">_xll.BDH($C$453,"CASH_CONVERSION_CYCLE","FQ3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71" s="4" t="e">
        <f ca="1">_xll.BDH($C$453,"INV_TO_CASH_DAYS","FQ3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471" s="5" t="e">
        <f ca="1">_xll.BDH($C$453,"BS_INVENTORIES","FQ3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471" s="3" t="e">
        <f ca="1">_xll.BDH($C$453,"INVTRY_RAW_MATERIALS","FQ3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71" s="3" t="e">
        <f ca="1">_xll.BDH($C$453,"INVTRY_IN_PROGRESS","FQ3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71" s="3" t="e">
        <f ca="1">_xll.BDH($C$453,"INVTRY_FINISHED_GOODS","FQ3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71" s="3" t="e">
        <f ca="1">_xll.BDH($C$453,"BS_OTHER_INV","FQ3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72" spans="1:113" x14ac:dyDescent="0.3">
      <c r="A472" s="6"/>
      <c r="B472" s="6"/>
      <c r="C472" s="6"/>
      <c r="D472" s="6"/>
      <c r="E472" t="s">
        <v>81</v>
      </c>
      <c r="F472" t="e">
        <f ca="1">_xll.BDH($C$453,"RETURN_COM_EQY","FQ4 2017","FQ4 2017","Currency=INR","Period=FQ","BEST_FPERIOD_OVERRIDE=FQ","FILING_STATUS=OR","EQY_CONSOLIDATED=Y","FA_ADJUSTED=GAAP","Sort=A","Dates=H","DateFormat=P","Fill=—","Direction=H","UseDPDF=Y")</f>
        <v>#NAME?</v>
      </c>
      <c r="G472" t="e">
        <f ca="1">_xll.BDH($C$453,"RETURN_ON_ASSET","FQ4 2017","FQ4 2017","Currency=INR","Period=FQ","BEST_FPERIOD_OVERRIDE=FQ","FILING_STATUS=OR","EQY_CONSOLIDATED=Y","FA_ADJUSTED=GAAP","Sort=A","Dates=H","DateFormat=P","Fill=—","Direction=H","UseDPDF=Y")</f>
        <v>#NAME?</v>
      </c>
      <c r="H472" t="e">
        <f ca="1">_xll.BDH($C$453,"RETURN_ON_CAP","FQ4 2017","FQ4 2017","Currency=INR","Period=FQ","BEST_FPERIOD_OVERRIDE=FQ","FILING_STATUS=OR","EQY_CONSOLIDATED=Y","FA_ADJUSTED=GAAP","Sort=A","Dates=H","DateFormat=P","Fill=—","Direction=H","UseDPDF=Y")</f>
        <v>#NAME?</v>
      </c>
      <c r="I472" t="e">
        <f ca="1">_xll.BDH($C$453,"RETURN_ON_INV_CAPITAL","FQ4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72" t="e">
        <f ca="1">_xll.BDH($C$453,"EBITDA_TO_REVENUE","FQ4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472" t="e">
        <f ca="1">_xll.BDH($C$453,"OPER_MARGIN","FQ4 2017","FQ4 2017","Currency=INR","Period=FQ","BEST_FPERIOD_OVERRIDE=FQ","FILING_STATUS=OR","EQY_CONSOLIDATED=Y","FA_ADJUSTED=GAAP","Sort=A","Dates=H","DateFormat=P","Fill=—","Direction=H","UseDPDF=Y")</f>
        <v>#NAME?</v>
      </c>
      <c r="L472" t="e">
        <f ca="1">_xll.BDH($C$453,"INCREMENTAL_OPERATING_MARGIN","FQ4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72" t="e">
        <f ca="1">_xll.BDH($C$453,"PRETAX_INC_TO_NET_SALES","FQ4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72" t="e">
        <f ca="1">_xll.BDH($C$453,"INC_BEF_XO_ITEMS_TO_NET_SALES","FQ4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72" t="e">
        <f ca="1">_xll.BDH($C$453,"PROF_MARGIN","FQ4 2017","FQ4 2017","Currency=INR","Period=FQ","BEST_FPERIOD_OVERRIDE=FQ","FILING_STATUS=OR","EQY_CONSOLIDATED=Y","FA_ADJUSTED=GAAP","Sort=A","Dates=H","DateFormat=P","Fill=—","Direction=H","UseDPDF=Y")</f>
        <v>#NAME?</v>
      </c>
      <c r="P472" t="e">
        <f ca="1">_xll.BDH($C$453,"NET_INCOME_TO_COMMON_MARGIN","FQ4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72" t="e">
        <f ca="1">_xll.BDH($C$453,"EFF_TAX_RATE","FQ4 2017","FQ4 2017","Currency=INR","Period=FQ","BEST_FPERIOD_OVERRIDE=FQ","FILING_STATUS=OR","EQY_CONSOLIDATED=Y","FA_ADJUSTED=GAAP","Sort=A","Dates=H","DateFormat=P","Fill=—","Direction=H","UseDPDF=Y")</f>
        <v>#NAME?</v>
      </c>
      <c r="R472" t="e">
        <f ca="1">_xll.BDH($C$453,"DVD_PAYOUT_RATIO","FQ4 2017","FQ4 2017","Currency=INR","Period=FQ","BEST_FPERIOD_OVERRIDE=FQ","FILING_STATUS=OR","EQY_CONSOLIDATED=Y","FA_ADJUSTED=GAAP","Sort=A","Dates=H","DateFormat=P","Fill=—","Direction=H","UseDPDF=Y")</f>
        <v>#NAME?</v>
      </c>
      <c r="S472" t="e">
        <f ca="1">_xll.BDH($C$453,"SUSTAIN_GROWTH_RT","FQ4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472" s="2" t="e">
        <f ca="1">_xll.BDH($C$453,"SALES_GROWTH","FQ4 2017","FQ4 2017","Currency=INR","Period=FQ","BEST_FPERIOD_OVERRIDE=FQ","FILING_STATUS=OR","EQY_CONSOLIDATED=Y","FA_ADJUSTED=GAAP","Sort=A","Dates=H","DateFormat=P","Fill=—","Direction=H","UseDPDF=Y")</f>
        <v>#NAME?</v>
      </c>
      <c r="U472" s="2" t="e">
        <f ca="1">_xll.BDH($C$453,"EBITDA_GROWTH","FQ4 2017","FQ4 2017","Currency=INR","Period=FQ","BEST_FPERIOD_OVERRIDE=FQ","FILING_STATUS=OR","EQY_CONSOLIDATED=Y","FA_ADJUSTED=GAAP","Sort=A","Dates=H","DateFormat=P","Fill=—","Direction=H","UseDPDF=Y")</f>
        <v>#NAME?</v>
      </c>
      <c r="V472" s="2" t="e">
        <f ca="1">_xll.BDH($C$453,"OPER_INC_GROWTH","FQ4 2017","FQ4 2017","Currency=INR","Period=FQ","BEST_FPERIOD_OVERRIDE=FQ","FILING_STATUS=OR","EQY_CONSOLIDATED=Y","FA_ADJUSTED=GAAP","Sort=A","Dates=H","DateFormat=P","Fill=—","Direction=H","UseDPDF=Y")</f>
        <v>#NAME?</v>
      </c>
      <c r="W472" s="2" t="e">
        <f ca="1">_xll.BDH($C$453,"EARN_FOR_COM_GROWTH","FQ4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72" s="2" t="e">
        <f ca="1">_xll.BDH($C$453,"DILUTED_EPS_AFT_XO_ITEMS_GROWTH","FQ4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72" s="2" t="e">
        <f ca="1">_xll.BDH($C$453,"DIVIDEND_PER_SHARE_1_YEAR_GROWTH","FQ4 2017","FQ4 2017","Currency=INR","Period=FQ","BEST_FPERIOD_OVERRIDE=FQ","FILING_STATUS=OR","EQY_CONSOLIDATED=Y","Sort=A","Dates=H","DateFormat=P","Fill=—","Direction=H","UseDPDF=Y")</f>
        <v>#NAME?</v>
      </c>
      <c r="Z472" s="2" t="e">
        <f ca="1">_xll.BDH($C$453,"ACCOUNTS_RECEIVABLE_GROWTH","FQ4 2017","FQ4 2017","Currency=INR","Period=FQ","BEST_FPERIOD_OVERRIDE=FQ","FILING_STATUS=OR","EQY_CONSOLIDATED=Y","Sort=A","Dates=H","DateFormat=P","Fill=—","Direction=H","UseDPDF=Y")</f>
        <v>#NAME?</v>
      </c>
      <c r="AA472" s="2" t="e">
        <f ca="1">_xll.BDH($C$453,"INVENTORY_GROWTH","FQ4 2017","FQ4 2017","Currency=INR","Period=FQ","BEST_FPERIOD_OVERRIDE=FQ","FILING_STATUS=OR","EQY_CONSOLIDATED=Y","Sort=A","Dates=H","DateFormat=P","Fill=—","Direction=H","UseDPDF=Y")</f>
        <v>#NAME?</v>
      </c>
      <c r="AB472" s="2" t="e">
        <f ca="1">_xll.BDH($C$453,"NET_FIXED_ASSETS_1_YEAR_GROWTH","FQ4 2017","FQ4 2017","Currency=INR","Period=FQ","BEST_FPERIOD_OVERRIDE=FQ","FILING_STATUS=OR","EQY_CONSOLIDATED=Y","Sort=A","Dates=H","DateFormat=P","Fill=—","Direction=H","UseDPDF=Y")</f>
        <v>#NAME?</v>
      </c>
      <c r="AC472" s="2" t="e">
        <f ca="1">_xll.BDH($C$453,"ASSET_GROWTH","FQ4 2017","FQ4 2017","Currency=INR","Period=FQ","BEST_FPERIOD_OVERRIDE=FQ","FILING_STATUS=OR","EQY_CONSOLIDATED=Y","Sort=A","Dates=H","DateFormat=P","Fill=—","Direction=H","UseDPDF=Y")</f>
        <v>#NAME?</v>
      </c>
      <c r="AD472" s="2" t="e">
        <f ca="1">_xll.BDH($C$453,"MODIFIED_WORK_CAP_GROWTH","FQ4 2017","FQ4 2017","Currency=INR","Period=FQ","BEST_FPERIOD_OVERRIDE=FQ","FILING_STATUS=OR","EQY_CONSOLIDATED=Y","Sort=A","Dates=H","DateFormat=P","Fill=—","Direction=H","UseDPDF=Y")</f>
        <v>#NAME?</v>
      </c>
      <c r="AE472" s="2" t="e">
        <f ca="1">_xll.BDH($C$453,"WORK_CAP_GROWTH","FQ4 2017","FQ4 2017","Currency=INR","Period=FQ","BEST_FPERIOD_OVERRIDE=FQ","FILING_STATUS=OR","EQY_CONSOLIDATED=Y","Sort=A","Dates=H","DateFormat=P","Fill=—","Direction=H","UseDPDF=Y")</f>
        <v>#NAME?</v>
      </c>
      <c r="AF472" s="2" t="e">
        <f ca="1">_xll.BDH($C$453,"ACCOUNTS_PAYABLE_GROWTH_1YR","FQ4 2017","FQ4 2017","Currency=INR","Period=FQ","BEST_FPERIOD_OVERRIDE=FQ","FILING_STATUS=OR","EQY_CONSOLIDATED=Y","Sort=A","Dates=H","DateFormat=P","Fill=—","Direction=H","UseDPDF=Y")</f>
        <v>#NAME?</v>
      </c>
      <c r="AG472" s="2" t="e">
        <f ca="1">_xll.BDH($C$453,"SHORT_TERM_DEBT_1_YEAR_GROWTH","FQ4 2017","FQ4 2017","Currency=INR","Period=FQ","BEST_FPERIOD_OVERRIDE=FQ","FILING_STATUS=OR","EQY_CONSOLIDATED=Y","Sort=A","Dates=H","DateFormat=P","Fill=—","Direction=H","UseDPDF=Y")</f>
        <v>#NAME?</v>
      </c>
      <c r="AH472" s="2" t="e">
        <f ca="1">_xll.BDH($C$453,"TOTAL_DEBT_1_YEAR_GROWTH","FQ4 2017","FQ4 2017","Currency=INR","Period=FQ","BEST_FPERIOD_OVERRIDE=FQ","FILING_STATUS=OR","EQY_CONSOLIDATED=Y","Sort=A","Dates=H","DateFormat=P","Fill=—","Direction=H","UseDPDF=Y")</f>
        <v>#NAME?</v>
      </c>
      <c r="AI472" s="2" t="e">
        <f ca="1">_xll.BDH($C$453,"TOTAL_EQUITY_1_YEAR_GROWTH","FQ4 2017","FQ4 2017","Currency=INR","Period=FQ","BEST_FPERIOD_OVERRIDE=FQ","FILING_STATUS=OR","EQY_CONSOLIDATED=Y","Sort=A","Dates=H","DateFormat=P","Fill=—","Direction=H","UseDPDF=Y")</f>
        <v>#NAME?</v>
      </c>
      <c r="AJ472" s="2" t="e">
        <f ca="1">_xll.BDH($C$453,"GROWTH_IN_CAP","FQ4 2017","FQ4 2017","Currency=INR","Period=FQ","BEST_FPERIOD_OVERRIDE=FQ","FILING_STATUS=OR","EQY_CONSOLIDATED=Y","Sort=A","Dates=H","DateFormat=P","Fill=—","Direction=H","UseDPDF=Y")</f>
        <v>#NAME?</v>
      </c>
      <c r="AK472" s="2" t="e">
        <f ca="1">_xll.BDH($C$453,"BVPS_GROWTH","FQ4 2017","FQ4 2017","Currency=INR","Period=FQ","BEST_FPERIOD_OVERRIDE=FQ","FILING_STATUS=OR","EQY_CONSOLIDATED=Y","Sort=A","Dates=H","DateFormat=P","Fill=—","Direction=H","UseDPDF=Y")</f>
        <v>#NAME?</v>
      </c>
      <c r="AL472" s="2" t="e">
        <f ca="1">_xll.BDH($C$453,"CASH_FLOW_GROWTH","FQ4 2017","FQ4 2017","Currency=INR","Period=FQ","BEST_FPERIOD_OVERRIDE=FQ","FILING_STATUS=OR","EQY_CONSOLIDATED=Y","Sort=A","Dates=H","DateFormat=P","Fill=—","Direction=H","UseDPDF=Y")</f>
        <v>#NAME?</v>
      </c>
      <c r="AM472" s="2" t="e">
        <f ca="1">_xll.BDH($C$453,"GEO_GROW_NET_SALES","FQ4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72" s="2" t="e">
        <f ca="1">_xll.BDH($C$453,"GEO_GROW_EBITDA","FQ4 2017","FQ4 2017","Currency=INR","Period=FQ","BEST_FPERIOD_OVERRIDE=FQ","FILING_STATUS=OR","EQY_CONSOLIDATED=Y","FA_ADJUSTED=GAAP","Sort=A","Dates=H","DateFormat=P","Fill=—","Direction=H","UseDPDF=Y")</f>
        <v>#NAME?</v>
      </c>
      <c r="AO472" s="2" t="e">
        <f ca="1">_xll.BDH($C$453,"GEO_GROW_OPER_INC","FQ4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72" s="2" t="e">
        <f ca="1">_xll.BDH($C$453,"NET_INCOME_TO_COMMON_5_YR_GROWTH","FQ4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72" s="2" t="e">
        <f ca="1">_xll.BDH($C$453,"5Y_GEO_GROWTH_DILUTED_EPS","FQ4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72" s="2" t="e">
        <f ca="1">_xll.BDH($C$453,"GEO_GROW_DVD_PER_SH","FQ4 2017","FQ4 2017","Currency=INR","Period=FQ","BEST_FPERIOD_OVERRIDE=FQ","FILING_STATUS=OR","EQY_CONSOLIDATED=Y","Sort=A","Dates=H","DateFormat=P","Fill=—","Direction=H","UseDPDF=Y")</f>
        <v>#NAME?</v>
      </c>
      <c r="AS472" s="2" t="e">
        <f ca="1">_xll.BDH($C$453,"ACCOUNTS_RECEIVABLE_5_YR_GROWTH","FQ4 2017","FQ4 2017","Currency=INR","Period=FQ","BEST_FPERIOD_OVERRIDE=FQ","FILING_STATUS=OR","EQY_CONSOLIDATED=Y","Sort=A","Dates=H","DateFormat=P","Fill=—","Direction=H","UseDPDF=Y")</f>
        <v>#NAME?</v>
      </c>
      <c r="AT472" s="2" t="e">
        <f ca="1">_xll.BDH($C$453,"INVENTORY_5_YEAR_GROWTH","FQ4 2017","FQ4 2017","Currency=INR","Period=FQ","BEST_FPERIOD_OVERRIDE=FQ","FILING_STATUS=OR","EQY_CONSOLIDATED=Y","Sort=A","Dates=H","DateFormat=P","Fill=—","Direction=H","UseDPDF=Y")</f>
        <v>#NAME?</v>
      </c>
      <c r="AU472" s="2" t="e">
        <f ca="1">_xll.BDH($C$453,"NET_FIXED_ASSETS_5_YEAR_GROWTH","FQ4 2017","FQ4 2017","Currency=INR","Period=FQ","BEST_FPERIOD_OVERRIDE=FQ","FILING_STATUS=OR","EQY_CONSOLIDATED=Y","Sort=A","Dates=H","DateFormat=P","Fill=—","Direction=H","UseDPDF=Y")</f>
        <v>#NAME?</v>
      </c>
      <c r="AV472" s="2" t="e">
        <f ca="1">_xll.BDH($C$453,"GEO_GROW_TOT_ASSET","FQ4 2017","FQ4 2017","Currency=INR","Period=FQ","BEST_FPERIOD_OVERRIDE=FQ","FILING_STATUS=OR","EQY_CONSOLIDATED=Y","Sort=A","Dates=H","DateFormat=P","Fill=—","Direction=H","UseDPDF=Y")</f>
        <v>#NAME?</v>
      </c>
      <c r="AW472" s="2" t="e">
        <f ca="1">_xll.BDH($C$453,"MODIFIED_WORKING_CPTL_5YR_GRWTH","FQ4 2017","FQ4 2017","Currency=INR","Period=FQ","BEST_FPERIOD_OVERRIDE=FQ","FILING_STATUS=OR","EQY_CONSOLIDATED=Y","Sort=A","Dates=H","DateFormat=P","Fill=—","Direction=H","UseDPDF=Y")</f>
        <v>#NAME?</v>
      </c>
      <c r="AX472" s="2" t="e">
        <f ca="1">_xll.BDH($C$453,"WORKING_CAPITAL_5_YEAR_GROWTH","FQ4 2017","FQ4 2017","Currency=INR","Period=FQ","BEST_FPERIOD_OVERRIDE=FQ","FILING_STATUS=OR","EQY_CONSOLIDATED=Y","Sort=A","Dates=H","DateFormat=P","Fill=—","Direction=H","UseDPDF=Y")</f>
        <v>#NAME?</v>
      </c>
      <c r="AY472" s="2" t="e">
        <f ca="1">_xll.BDH($C$453,"ACCOUNTS_PAYABLE_5_YEAR_GROWTH","FQ4 2017","FQ4 2017","Currency=INR","Period=FQ","BEST_FPERIOD_OVERRIDE=FQ","FILING_STATUS=OR","EQY_CONSOLIDATED=Y","Sort=A","Dates=H","DateFormat=P","Fill=—","Direction=H","UseDPDF=Y")</f>
        <v>#NAME?</v>
      </c>
      <c r="AZ472" s="2" t="e">
        <f ca="1">_xll.BDH($C$453,"SHORT_TERM_DEBT_5_YEAR_GROWTH","FQ4 2017","FQ4 2017","Currency=INR","Period=FQ","BEST_FPERIOD_OVERRIDE=FQ","FILING_STATUS=OR","EQY_CONSOLIDATED=Y","Sort=A","Dates=H","DateFormat=P","Fill=—","Direction=H","UseDPDF=Y")</f>
        <v>#NAME?</v>
      </c>
      <c r="BA472" s="2" t="e">
        <f ca="1">_xll.BDH($C$453,"TOTAL_DEBT_5_YEAR_GROWTH","FQ4 2017","FQ4 2017","Currency=INR","Period=FQ","BEST_FPERIOD_OVERRIDE=FQ","FILING_STATUS=OR","EQY_CONSOLIDATED=Y","Sort=A","Dates=H","DateFormat=P","Fill=—","Direction=H","UseDPDF=Y")</f>
        <v>#NAME?</v>
      </c>
      <c r="BB472" s="2" t="e">
        <f ca="1">_xll.BDH($C$453,"GEO_GROW_TOT_SHRHLDR_EQY","FQ4 2017","FQ4 2017","Currency=INR","Period=FQ","BEST_FPERIOD_OVERRIDE=FQ","FILING_STATUS=OR","EQY_CONSOLIDATED=Y","Sort=A","Dates=H","DateFormat=P","Fill=—","Direction=H","UseDPDF=Y")</f>
        <v>#NAME?</v>
      </c>
      <c r="BC472" s="2" t="e">
        <f ca="1">_xll.BDH($C$453,"TOTAL_CAPITAL_5_YEAR_GROWTH","FQ4 2017","FQ4 2017","Currency=INR","Period=FQ","BEST_FPERIOD_OVERRIDE=FQ","FILING_STATUS=OR","EQY_CONSOLIDATED=Y","Sort=A","Dates=H","DateFormat=P","Fill=—","Direction=H","UseDPDF=Y")</f>
        <v>#NAME?</v>
      </c>
      <c r="BD472" s="2" t="e">
        <f ca="1">_xll.BDH($C$453,"GEO_GROW_BOOK_VAL","FQ4 2017","FQ4 2017","Currency=INR","Period=FQ","BEST_FPERIOD_OVERRIDE=FQ","FILING_STATUS=OR","EQY_CONSOLIDATED=Y","Sort=A","Dates=H","DateFormat=P","Fill=—","Direction=H","UseDPDF=Y")</f>
        <v>#NAME?</v>
      </c>
      <c r="BE472" s="2" t="e">
        <f ca="1">_xll.BDH($C$453,"GEO_GROW_CASH_OPER_ACT","FQ4 2017","FQ4 2017","Currency=INR","Period=FQ","BEST_FPERIOD_OVERRIDE=FQ","FILING_STATUS=OR","EQY_CONSOLIDATED=Y","Sort=A","Dates=H","DateFormat=P","Fill=—","Direction=H","UseDPDF=Y")</f>
        <v>#NAME?</v>
      </c>
      <c r="BF472" s="2" t="e">
        <f ca="1">_xll.BDH($C$453,"REVENUE_SEQUENTIAL_GROWTH","FQ4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72" s="2" t="e">
        <f ca="1">_xll.BDH($C$453,"EBITDA_SEQUENTIAL_GROWTH","FQ4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72" s="2" t="e">
        <f ca="1">_xll.BDH($C$453,"OPERATING_INCOME_SEQ_GROWTH","FQ4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72" s="2" t="e">
        <f ca="1">_xll.BDH($C$453,"NET_INCOME_TO_COMMON_SEQ_GROWTH","FQ4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72" s="2" t="e">
        <f ca="1">_xll.BDH($C$453,"EPS_DILUTED_SEQUENTIAL_GROWTH","FQ4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72" s="2" t="e">
        <f ca="1">_xll.BDH($C$453,"DPS_SEQUENTIAL_GROWTH","FQ4 2017","FQ4 2017","Currency=INR","Period=FQ","BEST_FPERIOD_OVERRIDE=FQ","FILING_STATUS=OR","EQY_CONSOLIDATED=Y","Sort=A","Dates=H","DateFormat=P","Fill=—","Direction=H","UseDPDF=Y")</f>
        <v>#NAME?</v>
      </c>
      <c r="BL472" s="2" t="e">
        <f ca="1">_xll.BDH($C$453,"ACCOUNTS_RECEIVABLE_SEQ_GROWTH","FQ4 2017","FQ4 2017","Currency=INR","Period=FQ","BEST_FPERIOD_OVERRIDE=FQ","FILING_STATUS=OR","EQY_CONSOLIDATED=Y","Sort=A","Dates=H","DateFormat=P","Fill=—","Direction=H","UseDPDF=Y")</f>
        <v>#NAME?</v>
      </c>
      <c r="BM472" s="2" t="e">
        <f ca="1">_xll.BDH($C$453,"INVENTORY_SEQUENTIAL_GROWTH","FQ4 2017","FQ4 2017","Currency=INR","Period=FQ","BEST_FPERIOD_OVERRIDE=FQ","FILING_STATUS=OR","EQY_CONSOLIDATED=Y","Sort=A","Dates=H","DateFormat=P","Fill=—","Direction=H","UseDPDF=Y")</f>
        <v>#NAME?</v>
      </c>
      <c r="BN472" s="2" t="e">
        <f ca="1">_xll.BDH($C$453,"FIXED_ASSETS_SEQUENTIAL_GROWTH","FQ4 2017","FQ4 2017","Currency=INR","Period=FQ","BEST_FPERIOD_OVERRIDE=FQ","FILING_STATUS=OR","EQY_CONSOLIDATED=Y","Sort=A","Dates=H","DateFormat=P","Fill=—","Direction=H","UseDPDF=Y")</f>
        <v>#NAME?</v>
      </c>
      <c r="BO472" s="2" t="e">
        <f ca="1">_xll.BDH($C$453,"TOTAL_ASSETS_SEQUENTIAL_GROWTH","FQ4 2017","FQ4 2017","Currency=INR","Period=FQ","BEST_FPERIOD_OVERRIDE=FQ","FILING_STATUS=OR","EQY_CONSOLIDATED=Y","Sort=A","Dates=H","DateFormat=P","Fill=—","Direction=H","UseDPDF=Y")</f>
        <v>#NAME?</v>
      </c>
      <c r="BP472" s="2" t="e">
        <f ca="1">_xll.BDH($C$453,"MODIFIED_WORKING_CPTL_SEQ_GRWTH","FQ4 2017","FQ4 2017","Currency=INR","Period=FQ","BEST_FPERIOD_OVERRIDE=FQ","FILING_STATUS=OR","EQY_CONSOLIDATED=Y","Sort=A","Dates=H","DateFormat=P","Fill=—","Direction=H","UseDPDF=Y")</f>
        <v>#NAME?</v>
      </c>
      <c r="BQ472" s="2" t="e">
        <f ca="1">_xll.BDH($C$453,"WORKING_CAPITAL_SEQ_GROWTH","FQ4 2017","FQ4 2017","Currency=INR","Period=FQ","BEST_FPERIOD_OVERRIDE=FQ","FILING_STATUS=OR","EQY_CONSOLIDATED=Y","Sort=A","Dates=H","DateFormat=P","Fill=—","Direction=H","UseDPDF=Y")</f>
        <v>#NAME?</v>
      </c>
      <c r="BR472" s="2" t="e">
        <f ca="1">_xll.BDH($C$453,"ACCOUNTS_PAYABLE_SEQ_GROWTH","FQ4 2017","FQ4 2017","Currency=INR","Period=FQ","BEST_FPERIOD_OVERRIDE=FQ","FILING_STATUS=OR","EQY_CONSOLIDATED=Y","Sort=A","Dates=H","DateFormat=P","Fill=—","Direction=H","UseDPDF=Y")</f>
        <v>#NAME?</v>
      </c>
      <c r="BS472" s="2" t="e">
        <f ca="1">_xll.BDH($C$453,"ST_DEBT_SEQUENTIAL_GROWTH","FQ4 2017","FQ4 2017","Currency=INR","Period=FQ","BEST_FPERIOD_OVERRIDE=FQ","FILING_STATUS=OR","EQY_CONSOLIDATED=Y","Sort=A","Dates=H","DateFormat=P","Fill=—","Direction=H","UseDPDF=Y")</f>
        <v>#NAME?</v>
      </c>
      <c r="BT472" s="2" t="e">
        <f ca="1">_xll.BDH($C$453,"TOTAL_DEBT_SEQUENTIAL_GROWTH","FQ4 2017","FQ4 2017","Currency=INR","Period=FQ","BEST_FPERIOD_OVERRIDE=FQ","FILING_STATUS=OR","EQY_CONSOLIDATED=Y","Sort=A","Dates=H","DateFormat=P","Fill=—","Direction=H","UseDPDF=Y")</f>
        <v>#NAME?</v>
      </c>
      <c r="BU472" s="2" t="e">
        <f ca="1">_xll.BDH($C$453,"TOTAL_EQUITY_SEQUENTIAL_GROWTH","FQ4 2017","FQ4 2017","Currency=INR","Period=FQ","BEST_FPERIOD_OVERRIDE=FQ","FILING_STATUS=OR","EQY_CONSOLIDATED=Y","Sort=A","Dates=H","DateFormat=P","Fill=—","Direction=H","UseDPDF=Y")</f>
        <v>#NAME?</v>
      </c>
      <c r="BV472" s="2" t="e">
        <f ca="1">_xll.BDH($C$453,"TOTAL_CAPITAL_SEQUENTIAL_GROWTH","FQ4 2017","FQ4 2017","Currency=INR","Period=FQ","BEST_FPERIOD_OVERRIDE=FQ","FILING_STATUS=OR","EQY_CONSOLIDATED=Y","Sort=A","Dates=H","DateFormat=P","Fill=—","Direction=H","UseDPDF=Y")</f>
        <v>#NAME?</v>
      </c>
      <c r="BW472" s="2" t="e">
        <f ca="1">_xll.BDH($C$453,"BPS_SEQUENTIAL_GROWTH","FQ4 2017","FQ4 2017","Currency=INR","Period=FQ","BEST_FPERIOD_OVERRIDE=FQ","FILING_STATUS=OR","EQY_CONSOLIDATED=Y","Sort=A","Dates=H","DateFormat=P","Fill=—","Direction=H","UseDPDF=Y")</f>
        <v>#NAME?</v>
      </c>
      <c r="BX472" s="2" t="e">
        <f ca="1">_xll.BDH($C$453,"CFO_SEQUENTIAL_GROWTH","FQ4 2017","FQ4 2017","Currency=INR","Period=FQ","BEST_FPERIOD_OVERRIDE=FQ","FILING_STATUS=OR","EQY_CONSOLIDATED=Y","Sort=A","Dates=H","DateFormat=P","Fill=—","Direction=H","UseDPDF=Y")</f>
        <v>#NAME?</v>
      </c>
      <c r="BY472" s="3" t="e">
        <f ca="1">_xll.BDH($C$453,"SHORT_AND_LONG_TERM_DEBT","FQ4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72" s="3" t="e">
        <f ca="1">_xll.BDH($C$453,"BS_ST_BORROW","FQ4 2017","FQ4 2017","Currency=INR","Period=FQ","BEST_FPERIOD_OVERRIDE=FQ","FILING_STATUS=OR","EQY_CONSOLIDATED=Y","SCALING_FORMAT=MLN","Sort=A","Dates=H","DateFormat=P","Fill=—","Direction=H","UseDPDF=Y")</f>
        <v>#NAME?</v>
      </c>
      <c r="CA472" s="3" t="e">
        <f ca="1">_xll.BDH($C$453,"BS_LT_BORROW","FQ4 2017","FQ4 2017","Currency=INR","Period=FQ","BEST_FPERIOD_OVERRIDE=FQ","FILING_STATUS=OR","EQY_CONSOLIDATED=Y","SCALING_FORMAT=MLN","Sort=A","Dates=H","DateFormat=P","Fill=—","Direction=H","UseDPDF=Y")</f>
        <v>#NAME?</v>
      </c>
      <c r="CB472" s="2" t="e">
        <f ca="1">_xll.BDH($C$453,"TOT_DEBT_TO_EBITDA","FQ4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72" s="2" t="e">
        <f ca="1">_xll.BDH($C$453,"NET_DEBT_TO_EBITDA","FQ4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72" s="2" t="e">
        <f ca="1">_xll.BDH($C$453,"TOTAL_DEBT_TO_EBIT","FQ4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72" s="2" t="e">
        <f ca="1">_xll.BDH($C$453,"NET_DEBT_TO_EBIT","FQ4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472" s="2" t="e">
        <f ca="1">_xll.BDH($C$453,"EBITDA_TO_INTEREST_EXPN","FQ4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72" s="2" t="e">
        <f ca="1">_xll.BDH($C$453,"COM_EQY_TO_TOT_ASSET","FQ4 2017","FQ4 2017","Currency=INR","Period=FQ","BEST_FPERIOD_OVERRIDE=FQ","FILING_STATUS=OR","EQY_CONSOLIDATED=Y","Sort=A","Dates=H","DateFormat=P","Fill=—","Direction=H","UseDPDF=Y")</f>
        <v>#NAME?</v>
      </c>
      <c r="CH472" s="2" t="e">
        <f ca="1">_xll.BDH($C$453,"LT_DEBT_TO_TOT_EQY","FQ4 2017","FQ4 2017","Currency=INR","Period=FQ","BEST_FPERIOD_OVERRIDE=FQ","FILING_STATUS=OR","EQY_CONSOLIDATED=Y","Sort=A","Dates=H","DateFormat=P","Fill=—","Direction=H","UseDPDF=Y")</f>
        <v>#NAME?</v>
      </c>
      <c r="CI472" s="2" t="e">
        <f ca="1">_xll.BDH($C$453,"LT_DEBT_TO_TOT_CAP","FQ4 2017","FQ4 2017","Currency=INR","Period=FQ","BEST_FPERIOD_OVERRIDE=FQ","FILING_STATUS=OR","EQY_CONSOLIDATED=Y","Sort=A","Dates=H","DateFormat=P","Fill=—","Direction=H","UseDPDF=Y")</f>
        <v>#NAME?</v>
      </c>
      <c r="CJ472" s="2" t="e">
        <f ca="1">_xll.BDH($C$453,"LT_DEBT_TO_TOT_ASSET","FQ4 2017","FQ4 2017","Currency=INR","Period=FQ","BEST_FPERIOD_OVERRIDE=FQ","FILING_STATUS=OR","EQY_CONSOLIDATED=Y","Sort=A","Dates=H","DateFormat=P","Fill=—","Direction=H","UseDPDF=Y")</f>
        <v>#NAME?</v>
      </c>
      <c r="CK472" s="2" t="e">
        <f ca="1">_xll.BDH($C$453,"TOT_DEBT_TO_TOT_EQY","FQ4 2017","FQ4 2017","Currency=INR","Period=FQ","BEST_FPERIOD_OVERRIDE=FQ","FILING_STATUS=OR","EQY_CONSOLIDATED=Y","Sort=A","Dates=H","DateFormat=P","Fill=—","Direction=H","UseDPDF=Y")</f>
        <v>#NAME?</v>
      </c>
      <c r="CL472" s="2" t="e">
        <f ca="1">_xll.BDH($C$453,"TOT_DEBT_TO_TOT_CAP","FQ4 2017","FQ4 2017","Currency=INR","Period=FQ","BEST_FPERIOD_OVERRIDE=FQ","FILING_STATUS=OR","EQY_CONSOLIDATED=Y","Sort=A","Dates=H","DateFormat=P","Fill=—","Direction=H","UseDPDF=Y")</f>
        <v>#NAME?</v>
      </c>
      <c r="CM472" s="2" t="e">
        <f ca="1">_xll.BDH($C$453,"TOT_DEBT_TO_TOT_ASSET","FQ4 2017","FQ4 2017","Currency=INR","Period=FQ","BEST_FPERIOD_OVERRIDE=FQ","FILING_STATUS=OR","EQY_CONSOLIDATED=Y","Sort=A","Dates=H","DateFormat=P","Fill=—","Direction=H","UseDPDF=Y")</f>
        <v>#NAME?</v>
      </c>
      <c r="CN472" s="2" t="e">
        <f ca="1">_xll.BDH($C$453,"NET_DEBT_TO_SHRHLDR_EQTY","FQ4 2017","FQ4 2017","Currency=INR","Period=FQ","BEST_FPERIOD_OVERRIDE=FQ","FILING_STATUS=OR","EQY_CONSOLIDATED=Y","Sort=A","Dates=H","DateFormat=P","Fill=—","Direction=H","UseDPDF=Y")</f>
        <v>#NAME?</v>
      </c>
      <c r="CO472" s="2" t="e">
        <f ca="1">_xll.BDH($C$453,"NET_DEBT_%_CAPITAL","FQ4 2017","FQ4 2017","Currency=INR","Period=FQ","BEST_FPERIOD_OVERRIDE=FQ","FILING_STATUS=OR","EQY_CONSOLIDATED=Y","Sort=A","Dates=H","DateFormat=P","Fill=—","Direction=H","UseDPDF=Y")</f>
        <v>#NAME?</v>
      </c>
      <c r="CP472" s="3" t="e">
        <f ca="1">_xll.BDH($C$453,"EBITDA","FQ4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72" s="3" t="e">
        <f ca="1">_xll.BDH($C$453,"EBITDA_AFTER_CAPEX","FQ4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72" s="3" t="e">
        <f ca="1">_xll.BDH($C$453,"IS_OPER_INC","FQ4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72" s="2" t="e">
        <f ca="1">_xll.BDH($C$453,"CASH_RATIO","FQ4 2017","FQ4 2017","Currency=INR","Period=FQ","BEST_FPERIOD_OVERRIDE=FQ","FILING_STATUS=OR","EQY_CONSOLIDATED=Y","Sort=A","Dates=H","DateFormat=P","Fill=—","Direction=H","UseDPDF=Y")</f>
        <v>#NAME?</v>
      </c>
      <c r="CT472" s="2" t="e">
        <f ca="1">_xll.BDH($C$453,"CUR_RATIO","FQ4 2017","FQ4 2017","Currency=INR","Period=FQ","BEST_FPERIOD_OVERRIDE=FQ","FILING_STATUS=OR","EQY_CONSOLIDATED=Y","Sort=A","Dates=H","DateFormat=P","Fill=—","Direction=H","UseDPDF=Y")</f>
        <v>#NAME?</v>
      </c>
      <c r="CU472" s="2" t="e">
        <f ca="1">_xll.BDH($C$453,"QUICK_RATIO","FQ4 2017","FQ4 2017","Currency=INR","Period=FQ","BEST_FPERIOD_OVERRIDE=FQ","FILING_STATUS=OR","EQY_CONSOLIDATED=Y","Sort=A","Dates=H","DateFormat=P","Fill=—","Direction=H","UseDPDF=Y")</f>
        <v>#NAME?</v>
      </c>
      <c r="CV472" s="2" t="e">
        <f ca="1">_xll.BDH($C$453,"ALTMAN_Z_SCORE","FQ4 2017","FQ4 2017","Currency=INR","Period=FQ","BEST_FPERIOD_OVERRIDE=FQ","FILING_STATUS=OR","EQY_CONSOLIDATED=Y","Sort=A","Dates=H","DateFormat=P","Fill=—","Direction=H","UseDPDF=Y")</f>
        <v>#NAME?</v>
      </c>
      <c r="CW472" s="4" t="e">
        <f ca="1">_xll.BDH($C$453,"ACCT_RCV_TURN","FQ4 2017","FQ4 2017","Currency=INR","Period=FQ","BEST_FPERIOD_OVERRIDE=FQ","FILING_STATUS=OR","EQY_CONSOLIDATED=Y","FA_ADJUSTED=GAAP","Sort=A","Dates=H","DateFormat=P","Fill=—","Direction=H","UseDPDF=Y")</f>
        <v>#NAME?</v>
      </c>
      <c r="CX472" s="2" t="e">
        <f ca="1">_xll.BDH($C$453,"ACCT_RCV_DAYS","FQ4 2017","FQ4 2017","Currency=INR","Period=FQ","BEST_FPERIOD_OVERRIDE=FQ","FILING_STATUS=OR","EQY_CONSOLIDATED=Y","FA_ADJUSTED=GAAP","Sort=A","Dates=H","DateFormat=P","Fill=—","Direction=H","UseDPDF=Y")</f>
        <v>#NAME?</v>
      </c>
      <c r="CY472" s="4" t="e">
        <f ca="1">_xll.BDH($C$453,"INVENT_TURN","FQ4 2017","FQ4 2017","Currency=INR","Period=FQ","BEST_FPERIOD_OVERRIDE=FQ","FILING_STATUS=OR","EQY_CONSOLIDATED=Y","FA_ADJUSTED=GAAP","Sort=A","Dates=H","DateFormat=P","Fill=—","Direction=H","UseDPDF=Y")</f>
        <v>#NAME?</v>
      </c>
      <c r="CZ472" s="2" t="e">
        <f ca="1">_xll.BDH($C$453,"INVENT_DAYS","FQ4 2017","FQ4 2017","Currency=INR","Period=FQ","BEST_FPERIOD_OVERRIDE=FQ","FILING_STATUS=OR","EQY_CONSOLIDATED=Y","FA_ADJUSTED=GAAP","Sort=A","Dates=H","DateFormat=P","Fill=—","Direction=H","UseDPDF=Y")</f>
        <v>#NAME?</v>
      </c>
      <c r="DA472" s="4" t="e">
        <f ca="1">_xll.BDH($C$453,"ACCOUNTS_PAYABLE_TURNOVER","FQ4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72" s="2" t="e">
        <f ca="1">_xll.BDH($C$453,"ACCOUNTS_PAYABLE_TURNOVER_DAYS","FQ4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72" s="4" t="e">
        <f ca="1">_xll.BDH($C$453,"CASH_CONVERSION_CYCLE","FQ4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72" s="4" t="e">
        <f ca="1">_xll.BDH($C$453,"INV_TO_CASH_DAYS","FQ4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472" s="5" t="e">
        <f ca="1">_xll.BDH($C$453,"BS_INVENTORIES","FQ4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472" s="3" t="e">
        <f ca="1">_xll.BDH($C$453,"INVTRY_RAW_MATERIALS","FQ4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72" s="3" t="e">
        <f ca="1">_xll.BDH($C$453,"INVTRY_IN_PROGRESS","FQ4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72" s="3" t="e">
        <f ca="1">_xll.BDH($C$453,"INVTRY_FINISHED_GOODS","FQ4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72" s="3" t="e">
        <f ca="1">_xll.BDH($C$453,"BS_OTHER_INV","FQ4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73" spans="1:113" x14ac:dyDescent="0.3">
      <c r="A473" s="6"/>
      <c r="B473" s="6"/>
      <c r="C473" s="6"/>
      <c r="D473" s="6" t="s">
        <v>85</v>
      </c>
      <c r="E473" t="s">
        <v>77</v>
      </c>
      <c r="F473" t="e">
        <f ca="1">_xll.BDH($C$453,"RETURN_COM_EQY","FY 2018","FY 2018","Currency=INR","Period=FY","BEST_FPERIOD_OVERRIDE=FY","FILING_STATUS=OR","EQY_CONSOLIDATED=Y","FA_ADJUSTED=GAAP","Sort=A","Dates=H","DateFormat=P","Fill=—","Direction=H","UseDPDF=Y")</f>
        <v>#NAME?</v>
      </c>
      <c r="G473" t="e">
        <f ca="1">_xll.BDH($C$453,"RETURN_ON_ASSET","FY 2018","FY 2018","Currency=INR","Period=FY","BEST_FPERIOD_OVERRIDE=FY","FILING_STATUS=OR","EQY_CONSOLIDATED=Y","FA_ADJUSTED=GAAP","Sort=A","Dates=H","DateFormat=P","Fill=—","Direction=H","UseDPDF=Y")</f>
        <v>#NAME?</v>
      </c>
      <c r="H473" t="e">
        <f ca="1">_xll.BDH($C$453,"RETURN_ON_CAP","FY 2018","FY 2018","Currency=INR","Period=FY","BEST_FPERIOD_OVERRIDE=FY","FILING_STATUS=OR","EQY_CONSOLIDATED=Y","FA_ADJUSTED=GAAP","Sort=A","Dates=H","DateFormat=P","Fill=—","Direction=H","UseDPDF=Y")</f>
        <v>#NAME?</v>
      </c>
      <c r="I473" t="e">
        <f ca="1">_xll.BDH($C$453,"RETURN_ON_INV_CAPITAL","FY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73" t="e">
        <f ca="1">_xll.BDH($C$453,"EBITDA_TO_REVENUE","FY 2018","FY 2018","Currency=INR","Period=FY","BEST_FPERIOD_OVERRIDE=FY","FILING_STATUS=OR","EQY_CONSOLIDATED=Y","FA_ADJUSTED=GAAP","Sort=A","Dates=H","DateFormat=P","Fill=—","Direction=H","UseDPDF=Y")</f>
        <v>#NAME?</v>
      </c>
      <c r="K473" t="e">
        <f ca="1">_xll.BDH($C$453,"OPER_MARGIN","FY 2018","FY 2018","Currency=INR","Period=FY","BEST_FPERIOD_OVERRIDE=FY","FILING_STATUS=OR","EQY_CONSOLIDATED=Y","FA_ADJUSTED=GAAP","Sort=A","Dates=H","DateFormat=P","Fill=—","Direction=H","UseDPDF=Y")</f>
        <v>#NAME?</v>
      </c>
      <c r="L473" t="e">
        <f ca="1">_xll.BDH($C$453,"INCREMENTAL_OPERATING_MARGIN","FY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73" t="e">
        <f ca="1">_xll.BDH($C$453,"PRETAX_INC_TO_NET_SALES","FY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73" t="e">
        <f ca="1">_xll.BDH($C$453,"INC_BEF_XO_ITEMS_TO_NET_SALES","FY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73" t="e">
        <f ca="1">_xll.BDH($C$453,"PROF_MARGIN","FY 2018","FY 2018","Currency=INR","Period=FY","BEST_FPERIOD_OVERRIDE=FY","FILING_STATUS=OR","EQY_CONSOLIDATED=Y","FA_ADJUSTED=GAAP","Sort=A","Dates=H","DateFormat=P","Fill=—","Direction=H","UseDPDF=Y")</f>
        <v>#NAME?</v>
      </c>
      <c r="P473" t="e">
        <f ca="1">_xll.BDH($C$453,"NET_INCOME_TO_COMMON_MARGIN","FY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73" t="e">
        <f ca="1">_xll.BDH($C$453,"EFF_TAX_RATE","FY 2018","FY 2018","Currency=INR","Period=FY","BEST_FPERIOD_OVERRIDE=FY","FILING_STATUS=OR","EQY_CONSOLIDATED=Y","FA_ADJUSTED=GAAP","Sort=A","Dates=H","DateFormat=P","Fill=—","Direction=H","UseDPDF=Y")</f>
        <v>#NAME?</v>
      </c>
      <c r="R473" t="e">
        <f ca="1">_xll.BDH($C$453,"DVD_PAYOUT_RATIO","FY 2018","FY 2018","Currency=INR","Period=FY","BEST_FPERIOD_OVERRIDE=FY","FILING_STATUS=OR","EQY_CONSOLIDATED=Y","FA_ADJUSTED=GAAP","Sort=A","Dates=H","DateFormat=P","Fill=—","Direction=H","UseDPDF=Y")</f>
        <v>#NAME?</v>
      </c>
      <c r="S473" t="e">
        <f ca="1">_xll.BDH($C$453,"SUSTAIN_GROWTH_RT","FY 2018","FY 2018","Currency=INR","Period=FY","BEST_FPERIOD_OVERRIDE=FY","FILING_STATUS=OR","EQY_CONSOLIDATED=Y","FA_ADJUSTED=GAAP","Sort=A","Dates=H","DateFormat=P","Fill=—","Direction=H","UseDPDF=Y")</f>
        <v>#NAME?</v>
      </c>
      <c r="T473" s="2" t="e">
        <f ca="1">_xll.BDH($C$453,"SALES_GROWTH","FY 2018","FY 2018","Currency=INR","Period=FY","BEST_FPERIOD_OVERRIDE=FY","FILING_STATUS=OR","EQY_CONSOLIDATED=Y","FA_ADJUSTED=GAAP","Sort=A","Dates=H","DateFormat=P","Fill=—","Direction=H","UseDPDF=Y")</f>
        <v>#NAME?</v>
      </c>
      <c r="U473" s="2" t="e">
        <f ca="1">_xll.BDH($C$453,"EBITDA_GROWTH","FY 2018","FY 2018","Currency=INR","Period=FY","BEST_FPERIOD_OVERRIDE=FY","FILING_STATUS=OR","EQY_CONSOLIDATED=Y","FA_ADJUSTED=GAAP","Sort=A","Dates=H","DateFormat=P","Fill=—","Direction=H","UseDPDF=Y")</f>
        <v>#NAME?</v>
      </c>
      <c r="V473" s="2" t="e">
        <f ca="1">_xll.BDH($C$453,"OPER_INC_GROWTH","FY 2018","FY 2018","Currency=INR","Period=FY","BEST_FPERIOD_OVERRIDE=FY","FILING_STATUS=OR","EQY_CONSOLIDATED=Y","FA_ADJUSTED=GAAP","Sort=A","Dates=H","DateFormat=P","Fill=—","Direction=H","UseDPDF=Y")</f>
        <v>#NAME?</v>
      </c>
      <c r="W473" s="2" t="e">
        <f ca="1">_xll.BDH($C$453,"EARN_FOR_COM_GROWTH","FY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473" s="2" t="e">
        <f ca="1">_xll.BDH($C$453,"DILUTED_EPS_AFT_XO_ITEMS_GROWTH","FY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73" s="2" t="e">
        <f ca="1">_xll.BDH($C$453,"DIVIDEND_PER_SHARE_1_YEAR_GROWTH","FY 2018","FY 2018","Currency=INR","Period=FY","BEST_FPERIOD_OVERRIDE=FY","FILING_STATUS=OR","EQY_CONSOLIDATED=Y","Sort=A","Dates=H","DateFormat=P","Fill=—","Direction=H","UseDPDF=Y")</f>
        <v>#NAME?</v>
      </c>
      <c r="Z473" s="2" t="e">
        <f ca="1">_xll.BDH($C$453,"ACCOUNTS_RECEIVABLE_GROWTH","FY 2018","FY 2018","Currency=INR","Period=FY","BEST_FPERIOD_OVERRIDE=FY","FILING_STATUS=OR","EQY_CONSOLIDATED=Y","Sort=A","Dates=H","DateFormat=P","Fill=—","Direction=H","UseDPDF=Y")</f>
        <v>#NAME?</v>
      </c>
      <c r="AA473" s="2" t="e">
        <f ca="1">_xll.BDH($C$453,"INVENTORY_GROWTH","FY 2018","FY 2018","Currency=INR","Period=FY","BEST_FPERIOD_OVERRIDE=FY","FILING_STATUS=OR","EQY_CONSOLIDATED=Y","Sort=A","Dates=H","DateFormat=P","Fill=—","Direction=H","UseDPDF=Y")</f>
        <v>#NAME?</v>
      </c>
      <c r="AB473" s="2" t="e">
        <f ca="1">_xll.BDH($C$453,"NET_FIXED_ASSETS_1_YEAR_GROWTH","FY 2018","FY 2018","Currency=INR","Period=FY","BEST_FPERIOD_OVERRIDE=FY","FILING_STATUS=OR","EQY_CONSOLIDATED=Y","Sort=A","Dates=H","DateFormat=P","Fill=—","Direction=H","UseDPDF=Y")</f>
        <v>#NAME?</v>
      </c>
      <c r="AC473" s="2" t="e">
        <f ca="1">_xll.BDH($C$453,"ASSET_GROWTH","FY 2018","FY 2018","Currency=INR","Period=FY","BEST_FPERIOD_OVERRIDE=FY","FILING_STATUS=OR","EQY_CONSOLIDATED=Y","Sort=A","Dates=H","DateFormat=P","Fill=—","Direction=H","UseDPDF=Y")</f>
        <v>#NAME?</v>
      </c>
      <c r="AD473" s="2" t="e">
        <f ca="1">_xll.BDH($C$453,"MODIFIED_WORK_CAP_GROWTH","FY 2018","FY 2018","Currency=INR","Period=FY","BEST_FPERIOD_OVERRIDE=FY","FILING_STATUS=OR","EQY_CONSOLIDATED=Y","Sort=A","Dates=H","DateFormat=P","Fill=—","Direction=H","UseDPDF=Y")</f>
        <v>#NAME?</v>
      </c>
      <c r="AE473" s="2" t="e">
        <f ca="1">_xll.BDH($C$453,"WORK_CAP_GROWTH","FY 2018","FY 2018","Currency=INR","Period=FY","BEST_FPERIOD_OVERRIDE=FY","FILING_STATUS=OR","EQY_CONSOLIDATED=Y","Sort=A","Dates=H","DateFormat=P","Fill=—","Direction=H","UseDPDF=Y")</f>
        <v>#NAME?</v>
      </c>
      <c r="AF473" s="2" t="e">
        <f ca="1">_xll.BDH($C$453,"ACCOUNTS_PAYABLE_GROWTH_1YR","FY 2018","FY 2018","Currency=INR","Period=FY","BEST_FPERIOD_OVERRIDE=FY","FILING_STATUS=OR","EQY_CONSOLIDATED=Y","Sort=A","Dates=H","DateFormat=P","Fill=—","Direction=H","UseDPDF=Y")</f>
        <v>#NAME?</v>
      </c>
      <c r="AG473" s="2" t="e">
        <f ca="1">_xll.BDH($C$453,"SHORT_TERM_DEBT_1_YEAR_GROWTH","FY 2018","FY 2018","Currency=INR","Period=FY","BEST_FPERIOD_OVERRIDE=FY","FILING_STATUS=OR","EQY_CONSOLIDATED=Y","Sort=A","Dates=H","DateFormat=P","Fill=—","Direction=H","UseDPDF=Y")</f>
        <v>#NAME?</v>
      </c>
      <c r="AH473" s="2" t="e">
        <f ca="1">_xll.BDH($C$453,"TOTAL_DEBT_1_YEAR_GROWTH","FY 2018","FY 2018","Currency=INR","Period=FY","BEST_FPERIOD_OVERRIDE=FY","FILING_STATUS=OR","EQY_CONSOLIDATED=Y","Sort=A","Dates=H","DateFormat=P","Fill=—","Direction=H","UseDPDF=Y")</f>
        <v>#NAME?</v>
      </c>
      <c r="AI473" s="2" t="e">
        <f ca="1">_xll.BDH($C$453,"TOTAL_EQUITY_1_YEAR_GROWTH","FY 2018","FY 2018","Currency=INR","Period=FY","BEST_FPERIOD_OVERRIDE=FY","FILING_STATUS=OR","EQY_CONSOLIDATED=Y","Sort=A","Dates=H","DateFormat=P","Fill=—","Direction=H","UseDPDF=Y")</f>
        <v>#NAME?</v>
      </c>
      <c r="AJ473" s="2" t="e">
        <f ca="1">_xll.BDH($C$453,"GROWTH_IN_CAP","FY 2018","FY 2018","Currency=INR","Period=FY","BEST_FPERIOD_OVERRIDE=FY","FILING_STATUS=OR","EQY_CONSOLIDATED=Y","Sort=A","Dates=H","DateFormat=P","Fill=—","Direction=H","UseDPDF=Y")</f>
        <v>#NAME?</v>
      </c>
      <c r="AK473" s="2" t="e">
        <f ca="1">_xll.BDH($C$453,"BVPS_GROWTH","FY 2018","FY 2018","Currency=INR","Period=FY","BEST_FPERIOD_OVERRIDE=FY","FILING_STATUS=OR","EQY_CONSOLIDATED=Y","Sort=A","Dates=H","DateFormat=P","Fill=—","Direction=H","UseDPDF=Y")</f>
        <v>#NAME?</v>
      </c>
      <c r="AL473" s="2" t="e">
        <f ca="1">_xll.BDH($C$453,"CASH_FLOW_GROWTH","FY 2018","FY 2018","Currency=INR","Period=FY","BEST_FPERIOD_OVERRIDE=FY","FILING_STATUS=OR","EQY_CONSOLIDATED=Y","Sort=A","Dates=H","DateFormat=P","Fill=—","Direction=H","UseDPDF=Y")</f>
        <v>#NAME?</v>
      </c>
      <c r="AM473" s="2" t="e">
        <f ca="1">_xll.BDH($C$453,"GEO_GROW_NET_SALES","FY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473" s="2" t="e">
        <f ca="1">_xll.BDH($C$453,"GEO_GROW_EBITDA","FY 2018","FY 2018","Currency=INR","Period=FY","BEST_FPERIOD_OVERRIDE=FY","FILING_STATUS=OR","EQY_CONSOLIDATED=Y","FA_ADJUSTED=GAAP","Sort=A","Dates=H","DateFormat=P","Fill=—","Direction=H","UseDPDF=Y")</f>
        <v>#NAME?</v>
      </c>
      <c r="AO473" s="2" t="e">
        <f ca="1">_xll.BDH($C$453,"GEO_GROW_OPER_INC","FY 2018","FY 2018","Currency=INR","Period=FY","BEST_FPERIOD_OVERRIDE=FY","FILING_STATUS=OR","EQY_CONSOLIDATED=Y","FA_ADJUSTED=GAAP","Sort=A","Dates=H","DateFormat=P","Fill=—","Direction=H","UseDPDF=Y")</f>
        <v>#NAME?</v>
      </c>
      <c r="AP473" s="2" t="e">
        <f ca="1">_xll.BDH($C$453,"NET_INCOME_TO_COMMON_5_YR_GROWTH","FY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73" s="2" t="e">
        <f ca="1">_xll.BDH($C$453,"5Y_GEO_GROWTH_DILUTED_EPS","FY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73" s="2" t="e">
        <f ca="1">_xll.BDH($C$453,"GEO_GROW_DVD_PER_SH","FY 2018","FY 2018","Currency=INR","Period=FY","BEST_FPERIOD_OVERRIDE=FY","FILING_STATUS=OR","EQY_CONSOLIDATED=Y","Sort=A","Dates=H","DateFormat=P","Fill=—","Direction=H","UseDPDF=Y")</f>
        <v>#NAME?</v>
      </c>
      <c r="AS473" s="2" t="e">
        <f ca="1">_xll.BDH($C$453,"ACCOUNTS_RECEIVABLE_5_YR_GROWTH","FY 2018","FY 2018","Currency=INR","Period=FY","BEST_FPERIOD_OVERRIDE=FY","FILING_STATUS=OR","EQY_CONSOLIDATED=Y","Sort=A","Dates=H","DateFormat=P","Fill=—","Direction=H","UseDPDF=Y")</f>
        <v>#NAME?</v>
      </c>
      <c r="AT473" s="2" t="e">
        <f ca="1">_xll.BDH($C$453,"INVENTORY_5_YEAR_GROWTH","FY 2018","FY 2018","Currency=INR","Period=FY","BEST_FPERIOD_OVERRIDE=FY","FILING_STATUS=OR","EQY_CONSOLIDATED=Y","Sort=A","Dates=H","DateFormat=P","Fill=—","Direction=H","UseDPDF=Y")</f>
        <v>#NAME?</v>
      </c>
      <c r="AU473" s="2" t="e">
        <f ca="1">_xll.BDH($C$453,"NET_FIXED_ASSETS_5_YEAR_GROWTH","FY 2018","FY 2018","Currency=INR","Period=FY","BEST_FPERIOD_OVERRIDE=FY","FILING_STATUS=OR","EQY_CONSOLIDATED=Y","Sort=A","Dates=H","DateFormat=P","Fill=—","Direction=H","UseDPDF=Y")</f>
        <v>#NAME?</v>
      </c>
      <c r="AV473" s="2" t="e">
        <f ca="1">_xll.BDH($C$453,"GEO_GROW_TOT_ASSET","FY 2018","FY 2018","Currency=INR","Period=FY","BEST_FPERIOD_OVERRIDE=FY","FILING_STATUS=OR","EQY_CONSOLIDATED=Y","Sort=A","Dates=H","DateFormat=P","Fill=—","Direction=H","UseDPDF=Y")</f>
        <v>#NAME?</v>
      </c>
      <c r="AW473" s="2" t="e">
        <f ca="1">_xll.BDH($C$453,"MODIFIED_WORKING_CPTL_5YR_GRWTH","FY 2018","FY 2018","Currency=INR","Period=FY","BEST_FPERIOD_OVERRIDE=FY","FILING_STATUS=OR","EQY_CONSOLIDATED=Y","Sort=A","Dates=H","DateFormat=P","Fill=—","Direction=H","UseDPDF=Y")</f>
        <v>#NAME?</v>
      </c>
      <c r="AX473" s="2" t="e">
        <f ca="1">_xll.BDH($C$453,"WORKING_CAPITAL_5_YEAR_GROWTH","FY 2018","FY 2018","Currency=INR","Period=FY","BEST_FPERIOD_OVERRIDE=FY","FILING_STATUS=OR","EQY_CONSOLIDATED=Y","Sort=A","Dates=H","DateFormat=P","Fill=—","Direction=H","UseDPDF=Y")</f>
        <v>#NAME?</v>
      </c>
      <c r="AY473" s="2" t="e">
        <f ca="1">_xll.BDH($C$453,"ACCOUNTS_PAYABLE_5_YEAR_GROWTH","FY 2018","FY 2018","Currency=INR","Period=FY","BEST_FPERIOD_OVERRIDE=FY","FILING_STATUS=OR","EQY_CONSOLIDATED=Y","Sort=A","Dates=H","DateFormat=P","Fill=—","Direction=H","UseDPDF=Y")</f>
        <v>#NAME?</v>
      </c>
      <c r="AZ473" s="2" t="e">
        <f ca="1">_xll.BDH($C$453,"SHORT_TERM_DEBT_5_YEAR_GROWTH","FY 2018","FY 2018","Currency=INR","Period=FY","BEST_FPERIOD_OVERRIDE=FY","FILING_STATUS=OR","EQY_CONSOLIDATED=Y","Sort=A","Dates=H","DateFormat=P","Fill=—","Direction=H","UseDPDF=Y")</f>
        <v>#NAME?</v>
      </c>
      <c r="BA473" s="2" t="e">
        <f ca="1">_xll.BDH($C$453,"TOTAL_DEBT_5_YEAR_GROWTH","FY 2018","FY 2018","Currency=INR","Period=FY","BEST_FPERIOD_OVERRIDE=FY","FILING_STATUS=OR","EQY_CONSOLIDATED=Y","Sort=A","Dates=H","DateFormat=P","Fill=—","Direction=H","UseDPDF=Y")</f>
        <v>#NAME?</v>
      </c>
      <c r="BB473" s="2" t="e">
        <f ca="1">_xll.BDH($C$453,"GEO_GROW_TOT_SHRHLDR_EQY","FY 2018","FY 2018","Currency=INR","Period=FY","BEST_FPERIOD_OVERRIDE=FY","FILING_STATUS=OR","EQY_CONSOLIDATED=Y","Sort=A","Dates=H","DateFormat=P","Fill=—","Direction=H","UseDPDF=Y")</f>
        <v>#NAME?</v>
      </c>
      <c r="BC473" s="2" t="e">
        <f ca="1">_xll.BDH($C$453,"TOTAL_CAPITAL_5_YEAR_GROWTH","FY 2018","FY 2018","Currency=INR","Period=FY","BEST_FPERIOD_OVERRIDE=FY","FILING_STATUS=OR","EQY_CONSOLIDATED=Y","Sort=A","Dates=H","DateFormat=P","Fill=—","Direction=H","UseDPDF=Y")</f>
        <v>#NAME?</v>
      </c>
      <c r="BD473" s="2" t="e">
        <f ca="1">_xll.BDH($C$453,"GEO_GROW_BOOK_VAL","FY 2018","FY 2018","Currency=INR","Period=FY","BEST_FPERIOD_OVERRIDE=FY","FILING_STATUS=OR","EQY_CONSOLIDATED=Y","Sort=A","Dates=H","DateFormat=P","Fill=—","Direction=H","UseDPDF=Y")</f>
        <v>#NAME?</v>
      </c>
      <c r="BE473" s="2" t="e">
        <f ca="1">_xll.BDH($C$453,"GEO_GROW_CASH_OPER_ACT","FY 2018","FY 2018","Currency=INR","Period=FY","BEST_FPERIOD_OVERRIDE=FY","FILING_STATUS=OR","EQY_CONSOLIDATED=Y","Sort=A","Dates=H","DateFormat=P","Fill=—","Direction=H","UseDPDF=Y")</f>
        <v>#NAME?</v>
      </c>
      <c r="BF473" s="2" t="e">
        <f ca="1">_xll.BDH($C$453,"REVENUE_SEQUENTIAL_GROWTH","FY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73" s="2" t="e">
        <f ca="1">_xll.BDH($C$453,"EBITDA_SEQUENTIAL_GROWTH","FY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73" s="2" t="e">
        <f ca="1">_xll.BDH($C$453,"OPERATING_INCOME_SEQ_GROWTH","FY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73" s="2" t="e">
        <f ca="1">_xll.BDH($C$453,"NET_INCOME_TO_COMMON_SEQ_GROWTH","FY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73" s="2" t="e">
        <f ca="1">_xll.BDH($C$453,"EPS_DILUTED_SEQUENTIAL_GROWTH","FY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73" s="2" t="e">
        <f ca="1">_xll.BDH($C$453,"DPS_SEQUENTIAL_GROWTH","FY 2018","FY 2018","Currency=INR","Period=FY","BEST_FPERIOD_OVERRIDE=FY","FILING_STATUS=OR","EQY_CONSOLIDATED=Y","Sort=A","Dates=H","DateFormat=P","Fill=—","Direction=H","UseDPDF=Y")</f>
        <v>#NAME?</v>
      </c>
      <c r="BL473" s="2" t="e">
        <f ca="1">_xll.BDH($C$453,"ACCOUNTS_RECEIVABLE_SEQ_GROWTH","FY 2018","FY 2018","Currency=INR","Period=FY","BEST_FPERIOD_OVERRIDE=FY","FILING_STATUS=OR","EQY_CONSOLIDATED=Y","Sort=A","Dates=H","DateFormat=P","Fill=—","Direction=H","UseDPDF=Y")</f>
        <v>#NAME?</v>
      </c>
      <c r="BM473" s="2" t="e">
        <f ca="1">_xll.BDH($C$453,"INVENTORY_SEQUENTIAL_GROWTH","FY 2018","FY 2018","Currency=INR","Period=FY","BEST_FPERIOD_OVERRIDE=FY","FILING_STATUS=OR","EQY_CONSOLIDATED=Y","Sort=A","Dates=H","DateFormat=P","Fill=—","Direction=H","UseDPDF=Y")</f>
        <v>#NAME?</v>
      </c>
      <c r="BN473" s="2" t="e">
        <f ca="1">_xll.BDH($C$453,"FIXED_ASSETS_SEQUENTIAL_GROWTH","FY 2018","FY 2018","Currency=INR","Period=FY","BEST_FPERIOD_OVERRIDE=FY","FILING_STATUS=OR","EQY_CONSOLIDATED=Y","Sort=A","Dates=H","DateFormat=P","Fill=—","Direction=H","UseDPDF=Y")</f>
        <v>#NAME?</v>
      </c>
      <c r="BO473" s="2" t="e">
        <f ca="1">_xll.BDH($C$453,"TOTAL_ASSETS_SEQUENTIAL_GROWTH","FY 2018","FY 2018","Currency=INR","Period=FY","BEST_FPERIOD_OVERRIDE=FY","FILING_STATUS=OR","EQY_CONSOLIDATED=Y","Sort=A","Dates=H","DateFormat=P","Fill=—","Direction=H","UseDPDF=Y")</f>
        <v>#NAME?</v>
      </c>
      <c r="BP473" s="2" t="e">
        <f ca="1">_xll.BDH($C$453,"MODIFIED_WORKING_CPTL_SEQ_GRWTH","FY 2018","FY 2018","Currency=INR","Period=FY","BEST_FPERIOD_OVERRIDE=FY","FILING_STATUS=OR","EQY_CONSOLIDATED=Y","Sort=A","Dates=H","DateFormat=P","Fill=—","Direction=H","UseDPDF=Y")</f>
        <v>#NAME?</v>
      </c>
      <c r="BQ473" s="2" t="e">
        <f ca="1">_xll.BDH($C$453,"WORKING_CAPITAL_SEQ_GROWTH","FY 2018","FY 2018","Currency=INR","Period=FY","BEST_FPERIOD_OVERRIDE=FY","FILING_STATUS=OR","EQY_CONSOLIDATED=Y","Sort=A","Dates=H","DateFormat=P","Fill=—","Direction=H","UseDPDF=Y")</f>
        <v>#NAME?</v>
      </c>
      <c r="BR473" s="2" t="e">
        <f ca="1">_xll.BDH($C$453,"ACCOUNTS_PAYABLE_SEQ_GROWTH","FY 2018","FY 2018","Currency=INR","Period=FY","BEST_FPERIOD_OVERRIDE=FY","FILING_STATUS=OR","EQY_CONSOLIDATED=Y","Sort=A","Dates=H","DateFormat=P","Fill=—","Direction=H","UseDPDF=Y")</f>
        <v>#NAME?</v>
      </c>
      <c r="BS473" s="2" t="e">
        <f ca="1">_xll.BDH($C$453,"ST_DEBT_SEQUENTIAL_GROWTH","FY 2018","FY 2018","Currency=INR","Period=FY","BEST_FPERIOD_OVERRIDE=FY","FILING_STATUS=OR","EQY_CONSOLIDATED=Y","Sort=A","Dates=H","DateFormat=P","Fill=—","Direction=H","UseDPDF=Y")</f>
        <v>#NAME?</v>
      </c>
      <c r="BT473" s="2" t="e">
        <f ca="1">_xll.BDH($C$453,"TOTAL_DEBT_SEQUENTIAL_GROWTH","FY 2018","FY 2018","Currency=INR","Period=FY","BEST_FPERIOD_OVERRIDE=FY","FILING_STATUS=OR","EQY_CONSOLIDATED=Y","Sort=A","Dates=H","DateFormat=P","Fill=—","Direction=H","UseDPDF=Y")</f>
        <v>#NAME?</v>
      </c>
      <c r="BU473" s="2" t="e">
        <f ca="1">_xll.BDH($C$453,"TOTAL_EQUITY_SEQUENTIAL_GROWTH","FY 2018","FY 2018","Currency=INR","Period=FY","BEST_FPERIOD_OVERRIDE=FY","FILING_STATUS=OR","EQY_CONSOLIDATED=Y","Sort=A","Dates=H","DateFormat=P","Fill=—","Direction=H","UseDPDF=Y")</f>
        <v>#NAME?</v>
      </c>
      <c r="BV473" s="2" t="e">
        <f ca="1">_xll.BDH($C$453,"TOTAL_CAPITAL_SEQUENTIAL_GROWTH","FY 2018","FY 2018","Currency=INR","Period=FY","BEST_FPERIOD_OVERRIDE=FY","FILING_STATUS=OR","EQY_CONSOLIDATED=Y","Sort=A","Dates=H","DateFormat=P","Fill=—","Direction=H","UseDPDF=Y")</f>
        <v>#NAME?</v>
      </c>
      <c r="BW473" s="2" t="e">
        <f ca="1">_xll.BDH($C$453,"BPS_SEQUENTIAL_GROWTH","FY 2018","FY 2018","Currency=INR","Period=FY","BEST_FPERIOD_OVERRIDE=FY","FILING_STATUS=OR","EQY_CONSOLIDATED=Y","Sort=A","Dates=H","DateFormat=P","Fill=—","Direction=H","UseDPDF=Y")</f>
        <v>#NAME?</v>
      </c>
      <c r="BX473" s="2" t="e">
        <f ca="1">_xll.BDH($C$453,"CFO_SEQUENTIAL_GROWTH","FY 2018","FY 2018","Currency=INR","Period=FY","BEST_FPERIOD_OVERRIDE=FY","FILING_STATUS=OR","EQY_CONSOLIDATED=Y","Sort=A","Dates=H","DateFormat=P","Fill=—","Direction=H","UseDPDF=Y")</f>
        <v>#NAME?</v>
      </c>
      <c r="BY473" s="3" t="e">
        <f ca="1">_xll.BDH($C$453,"SHORT_AND_LONG_TERM_DEBT","FY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73" s="3" t="e">
        <f ca="1">_xll.BDH($C$453,"BS_ST_BORROW","FY 2018","FY 2018","Currency=INR","Period=FY","BEST_FPERIOD_OVERRIDE=FY","FILING_STATUS=OR","EQY_CONSOLIDATED=Y","SCALING_FORMAT=MLN","Sort=A","Dates=H","DateFormat=P","Fill=—","Direction=H","UseDPDF=Y")</f>
        <v>#NAME?</v>
      </c>
      <c r="CA473" s="3" t="e">
        <f ca="1">_xll.BDH($C$453,"BS_LT_BORROW","FY 2018","FY 2018","Currency=INR","Period=FY","BEST_FPERIOD_OVERRIDE=FY","FILING_STATUS=OR","EQY_CONSOLIDATED=Y","SCALING_FORMAT=MLN","Sort=A","Dates=H","DateFormat=P","Fill=—","Direction=H","UseDPDF=Y")</f>
        <v>#NAME?</v>
      </c>
      <c r="CB473" s="2" t="e">
        <f ca="1">_xll.BDH($C$453,"TOT_DEBT_TO_EBITDA","FY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473" s="2" t="e">
        <f ca="1">_xll.BDH($C$453,"NET_DEBT_TO_EBITDA","FY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473" s="2" t="e">
        <f ca="1">_xll.BDH($C$453,"TOTAL_DEBT_TO_EBIT","FY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473" s="2" t="e">
        <f ca="1">_xll.BDH($C$453,"NET_DEBT_TO_EBIT","FY 2018","FY 2018","Currency=INR","Period=FY","BEST_FPERIOD_OVERRIDE=FY","FILING_STATUS=OR","EQY_CONSOLIDATED=Y","FA_ADJUSTED=GAAP","Sort=A","Dates=H","DateFormat=P","Fill=—","Direction=H","UseDPDF=Y")</f>
        <v>#NAME?</v>
      </c>
      <c r="CF473" s="2" t="e">
        <f ca="1">_xll.BDH($C$453,"EBITDA_TO_INTEREST_EXPN","FY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73" s="2" t="e">
        <f ca="1">_xll.BDH($C$453,"COM_EQY_TO_TOT_ASSET","FY 2018","FY 2018","Currency=INR","Period=FY","BEST_FPERIOD_OVERRIDE=FY","FILING_STATUS=OR","EQY_CONSOLIDATED=Y","Sort=A","Dates=H","DateFormat=P","Fill=—","Direction=H","UseDPDF=Y")</f>
        <v>#NAME?</v>
      </c>
      <c r="CH473" s="2" t="e">
        <f ca="1">_xll.BDH($C$453,"LT_DEBT_TO_TOT_EQY","FY 2018","FY 2018","Currency=INR","Period=FY","BEST_FPERIOD_OVERRIDE=FY","FILING_STATUS=OR","EQY_CONSOLIDATED=Y","Sort=A","Dates=H","DateFormat=P","Fill=—","Direction=H","UseDPDF=Y")</f>
        <v>#NAME?</v>
      </c>
      <c r="CI473" s="2" t="e">
        <f ca="1">_xll.BDH($C$453,"LT_DEBT_TO_TOT_CAP","FY 2018","FY 2018","Currency=INR","Period=FY","BEST_FPERIOD_OVERRIDE=FY","FILING_STATUS=OR","EQY_CONSOLIDATED=Y","Sort=A","Dates=H","DateFormat=P","Fill=—","Direction=H","UseDPDF=Y")</f>
        <v>#NAME?</v>
      </c>
      <c r="CJ473" s="2" t="e">
        <f ca="1">_xll.BDH($C$453,"LT_DEBT_TO_TOT_ASSET","FY 2018","FY 2018","Currency=INR","Period=FY","BEST_FPERIOD_OVERRIDE=FY","FILING_STATUS=OR","EQY_CONSOLIDATED=Y","Sort=A","Dates=H","DateFormat=P","Fill=—","Direction=H","UseDPDF=Y")</f>
        <v>#NAME?</v>
      </c>
      <c r="CK473" s="2" t="e">
        <f ca="1">_xll.BDH($C$453,"TOT_DEBT_TO_TOT_EQY","FY 2018","FY 2018","Currency=INR","Period=FY","BEST_FPERIOD_OVERRIDE=FY","FILING_STATUS=OR","EQY_CONSOLIDATED=Y","Sort=A","Dates=H","DateFormat=P","Fill=—","Direction=H","UseDPDF=Y")</f>
        <v>#NAME?</v>
      </c>
      <c r="CL473" s="2" t="e">
        <f ca="1">_xll.BDH($C$453,"TOT_DEBT_TO_TOT_CAP","FY 2018","FY 2018","Currency=INR","Period=FY","BEST_FPERIOD_OVERRIDE=FY","FILING_STATUS=OR","EQY_CONSOLIDATED=Y","Sort=A","Dates=H","DateFormat=P","Fill=—","Direction=H","UseDPDF=Y")</f>
        <v>#NAME?</v>
      </c>
      <c r="CM473" s="2" t="e">
        <f ca="1">_xll.BDH($C$453,"TOT_DEBT_TO_TOT_ASSET","FY 2018","FY 2018","Currency=INR","Period=FY","BEST_FPERIOD_OVERRIDE=FY","FILING_STATUS=OR","EQY_CONSOLIDATED=Y","Sort=A","Dates=H","DateFormat=P","Fill=—","Direction=H","UseDPDF=Y")</f>
        <v>#NAME?</v>
      </c>
      <c r="CN473" s="2" t="e">
        <f ca="1">_xll.BDH($C$453,"NET_DEBT_TO_SHRHLDR_EQTY","FY 2018","FY 2018","Currency=INR","Period=FY","BEST_FPERIOD_OVERRIDE=FY","FILING_STATUS=OR","EQY_CONSOLIDATED=Y","Sort=A","Dates=H","DateFormat=P","Fill=—","Direction=H","UseDPDF=Y")</f>
        <v>#NAME?</v>
      </c>
      <c r="CO473" s="2" t="e">
        <f ca="1">_xll.BDH($C$453,"NET_DEBT_%_CAPITAL","FY 2018","FY 2018","Currency=INR","Period=FY","BEST_FPERIOD_OVERRIDE=FY","FILING_STATUS=OR","EQY_CONSOLIDATED=Y","Sort=A","Dates=H","DateFormat=P","Fill=—","Direction=H","UseDPDF=Y")</f>
        <v>#NAME?</v>
      </c>
      <c r="CP473" s="3" t="e">
        <f ca="1">_xll.BDH($C$453,"EBITDA","FY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73" s="3" t="e">
        <f ca="1">_xll.BDH($C$453,"EBITDA_AFTER_CAPEX","FY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73" s="3" t="e">
        <f ca="1">_xll.BDH($C$453,"IS_OPER_INC","FY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73" s="2" t="e">
        <f ca="1">_xll.BDH($C$453,"CASH_RATIO","FY 2018","FY 2018","Currency=INR","Period=FY","BEST_FPERIOD_OVERRIDE=FY","FILING_STATUS=OR","EQY_CONSOLIDATED=Y","Sort=A","Dates=H","DateFormat=P","Fill=—","Direction=H","UseDPDF=Y")</f>
        <v>#NAME?</v>
      </c>
      <c r="CT473" s="2" t="e">
        <f ca="1">_xll.BDH($C$453,"CUR_RATIO","FY 2018","FY 2018","Currency=INR","Period=FY","BEST_FPERIOD_OVERRIDE=FY","FILING_STATUS=OR","EQY_CONSOLIDATED=Y","Sort=A","Dates=H","DateFormat=P","Fill=—","Direction=H","UseDPDF=Y")</f>
        <v>#NAME?</v>
      </c>
      <c r="CU473" s="2" t="e">
        <f ca="1">_xll.BDH($C$453,"QUICK_RATIO","FY 2018","FY 2018","Currency=INR","Period=FY","BEST_FPERIOD_OVERRIDE=FY","FILING_STATUS=OR","EQY_CONSOLIDATED=Y","Sort=A","Dates=H","DateFormat=P","Fill=—","Direction=H","UseDPDF=Y")</f>
        <v>#NAME?</v>
      </c>
      <c r="CV473" s="2" t="e">
        <f ca="1">_xll.BDH($C$453,"ALTMAN_Z_SCORE","FY 2018","FY 2018","Currency=INR","Period=FY","BEST_FPERIOD_OVERRIDE=FY","FILING_STATUS=OR","EQY_CONSOLIDATED=Y","Sort=A","Dates=H","DateFormat=P","Fill=—","Direction=H","UseDPDF=Y")</f>
        <v>#NAME?</v>
      </c>
      <c r="CW473" s="4" t="e">
        <f ca="1">_xll.BDH($C$453,"ACCT_RCV_TURN","FY 2018","FY 2018","Currency=INR","Period=FY","BEST_FPERIOD_OVERRIDE=FY","FILING_STATUS=OR","EQY_CONSOLIDATED=Y","FA_ADJUSTED=GAAP","Sort=A","Dates=H","DateFormat=P","Fill=—","Direction=H","UseDPDF=Y")</f>
        <v>#NAME?</v>
      </c>
      <c r="CX473" s="2" t="e">
        <f ca="1">_xll.BDH($C$453,"ACCT_RCV_DAYS","FY 2018","FY 2018","Currency=INR","Period=FY","BEST_FPERIOD_OVERRIDE=FY","FILING_STATUS=OR","EQY_CONSOLIDATED=Y","FA_ADJUSTED=GAAP","Sort=A","Dates=H","DateFormat=P","Fill=—","Direction=H","UseDPDF=Y")</f>
        <v>#NAME?</v>
      </c>
      <c r="CY473" s="4" t="e">
        <f ca="1">_xll.BDH($C$453,"INVENT_TURN","FY 2018","FY 2018","Currency=INR","Period=FY","BEST_FPERIOD_OVERRIDE=FY","FILING_STATUS=OR","EQY_CONSOLIDATED=Y","FA_ADJUSTED=GAAP","Sort=A","Dates=H","DateFormat=P","Fill=—","Direction=H","UseDPDF=Y")</f>
        <v>#NAME?</v>
      </c>
      <c r="CZ473" s="2" t="e">
        <f ca="1">_xll.BDH($C$453,"INVENT_DAYS","FY 2018","FY 2018","Currency=INR","Period=FY","BEST_FPERIOD_OVERRIDE=FY","FILING_STATUS=OR","EQY_CONSOLIDATED=Y","FA_ADJUSTED=GAAP","Sort=A","Dates=H","DateFormat=P","Fill=—","Direction=H","UseDPDF=Y")</f>
        <v>#NAME?</v>
      </c>
      <c r="DA473" s="4" t="e">
        <f ca="1">_xll.BDH($C$453,"ACCOUNTS_PAYABLE_TURNOVER","FY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73" s="2" t="e">
        <f ca="1">_xll.BDH($C$453,"ACCOUNTS_PAYABLE_TURNOVER_DAYS","FY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73" s="4" t="e">
        <f ca="1">_xll.BDH($C$453,"CASH_CONVERSION_CYCLE","FY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73" s="4" t="e">
        <f ca="1">_xll.BDH($C$453,"INV_TO_CASH_DAYS","FY 2018","FY 2018","Currency=INR","Period=FY","BEST_FPERIOD_OVERRIDE=FY","FILING_STATUS=OR","EQY_CONSOLIDATED=Y","FA_ADJUSTED=GAAP","Sort=A","Dates=H","DateFormat=P","Fill=—","Direction=H","UseDPDF=Y")</f>
        <v>#NAME?</v>
      </c>
      <c r="DE473" s="5" t="e">
        <f ca="1">_xll.BDH($C$453,"BS_INVENTORIES","FY 2018","FY 2018","Currency=INR","Period=FY","BEST_FPERIOD_OVERRIDE=FY","FILING_STATUS=OR","EQY_CONSOLIDATED=Y","SCALING_FORMAT=MLN","Sort=A","Dates=H","DateFormat=P","Fill=—","Direction=H","UseDPDF=Y")</f>
        <v>#NAME?</v>
      </c>
      <c r="DF473" s="3" t="e">
        <f ca="1">_xll.BDH($C$453,"INVTRY_RAW_MATERIALS","FY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73" s="3" t="e">
        <f ca="1">_xll.BDH($C$453,"INVTRY_IN_PROGRESS","FY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73" s="3" t="e">
        <f ca="1">_xll.BDH($C$453,"INVTRY_FINISHED_GOODS","FY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73" s="3" t="e">
        <f ca="1">_xll.BDH($C$453,"BS_OTHER_INV","FY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74" spans="1:113" x14ac:dyDescent="0.3">
      <c r="A474" s="6"/>
      <c r="B474" s="6"/>
      <c r="C474" s="6"/>
      <c r="D474" s="6"/>
      <c r="E474" t="s">
        <v>78</v>
      </c>
      <c r="F474" t="e">
        <f ca="1">_xll.BDH($C$453,"RETURN_COM_EQY","FQ1 2018","FQ1 2018","Currency=INR","Period=FQ","BEST_FPERIOD_OVERRIDE=FQ","FILING_STATUS=OR","EQY_CONSOLIDATED=Y","FA_ADJUSTED=GAAP","Sort=A","Dates=H","DateFormat=P","Fill=—","Direction=H","UseDPDF=Y")</f>
        <v>#NAME?</v>
      </c>
      <c r="G474" t="e">
        <f ca="1">_xll.BDH($C$453,"RETURN_ON_ASSET","FQ1 2018","FQ1 2018","Currency=INR","Period=FQ","BEST_FPERIOD_OVERRIDE=FQ","FILING_STATUS=OR","EQY_CONSOLIDATED=Y","FA_ADJUSTED=GAAP","Sort=A","Dates=H","DateFormat=P","Fill=—","Direction=H","UseDPDF=Y")</f>
        <v>#NAME?</v>
      </c>
      <c r="H474" t="e">
        <f ca="1">_xll.BDH($C$453,"RETURN_ON_CAP","FQ1 2018","FQ1 2018","Currency=INR","Period=FQ","BEST_FPERIOD_OVERRIDE=FQ","FILING_STATUS=OR","EQY_CONSOLIDATED=Y","FA_ADJUSTED=GAAP","Sort=A","Dates=H","DateFormat=P","Fill=—","Direction=H","UseDPDF=Y")</f>
        <v>#NAME?</v>
      </c>
      <c r="I474" t="e">
        <f ca="1">_xll.BDH($C$453,"RETURN_ON_INV_CAPITAL","FQ1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74" t="e">
        <f ca="1">_xll.BDH($C$453,"EBITDA_TO_REVENUE","FQ1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474" t="e">
        <f ca="1">_xll.BDH($C$453,"OPER_MARGIN","FQ1 2018","FQ1 2018","Currency=INR","Period=FQ","BEST_FPERIOD_OVERRIDE=FQ","FILING_STATUS=OR","EQY_CONSOLIDATED=Y","FA_ADJUSTED=GAAP","Sort=A","Dates=H","DateFormat=P","Fill=—","Direction=H","UseDPDF=Y")</f>
        <v>#NAME?</v>
      </c>
      <c r="L474" t="e">
        <f ca="1">_xll.BDH($C$453,"INCREMENTAL_OPERATING_MARGIN","FQ1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74" t="e">
        <f ca="1">_xll.BDH($C$453,"PRETAX_INC_TO_NET_SALES","FQ1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74" t="e">
        <f ca="1">_xll.BDH($C$453,"INC_BEF_XO_ITEMS_TO_NET_SALES","FQ1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74" t="e">
        <f ca="1">_xll.BDH($C$453,"PROF_MARGIN","FQ1 2018","FQ1 2018","Currency=INR","Period=FQ","BEST_FPERIOD_OVERRIDE=FQ","FILING_STATUS=OR","EQY_CONSOLIDATED=Y","FA_ADJUSTED=GAAP","Sort=A","Dates=H","DateFormat=P","Fill=—","Direction=H","UseDPDF=Y")</f>
        <v>#NAME?</v>
      </c>
      <c r="P474" t="e">
        <f ca="1">_xll.BDH($C$453,"NET_INCOME_TO_COMMON_MARGIN","FQ1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74" t="e">
        <f ca="1">_xll.BDH($C$453,"EFF_TAX_RATE","FQ1 2018","FQ1 2018","Currency=INR","Period=FQ","BEST_FPERIOD_OVERRIDE=FQ","FILING_STATUS=OR","EQY_CONSOLIDATED=Y","FA_ADJUSTED=GAAP","Sort=A","Dates=H","DateFormat=P","Fill=—","Direction=H","UseDPDF=Y")</f>
        <v>#NAME?</v>
      </c>
      <c r="R474" t="e">
        <f ca="1">_xll.BDH($C$453,"DVD_PAYOUT_RATIO","FQ1 2018","FQ1 2018","Currency=INR","Period=FQ","BEST_FPERIOD_OVERRIDE=FQ","FILING_STATUS=OR","EQY_CONSOLIDATED=Y","FA_ADJUSTED=GAAP","Sort=A","Dates=H","DateFormat=P","Fill=—","Direction=H","UseDPDF=Y")</f>
        <v>#NAME?</v>
      </c>
      <c r="S474" t="e">
        <f ca="1">_xll.BDH($C$453,"SUSTAIN_GROWTH_RT","FQ1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474" s="2" t="e">
        <f ca="1">_xll.BDH($C$453,"SALES_GROWTH","FQ1 2018","FQ1 2018","Currency=INR","Period=FQ","BEST_FPERIOD_OVERRIDE=FQ","FILING_STATUS=OR","EQY_CONSOLIDATED=Y","FA_ADJUSTED=GAAP","Sort=A","Dates=H","DateFormat=P","Fill=—","Direction=H","UseDPDF=Y")</f>
        <v>#NAME?</v>
      </c>
      <c r="U474" s="2" t="e">
        <f ca="1">_xll.BDH($C$453,"EBITDA_GROWTH","FQ1 2018","FQ1 2018","Currency=INR","Period=FQ","BEST_FPERIOD_OVERRIDE=FQ","FILING_STATUS=OR","EQY_CONSOLIDATED=Y","FA_ADJUSTED=GAAP","Sort=A","Dates=H","DateFormat=P","Fill=—","Direction=H","UseDPDF=Y")</f>
        <v>#NAME?</v>
      </c>
      <c r="V474" s="2" t="e">
        <f ca="1">_xll.BDH($C$453,"OPER_INC_GROWTH","FQ1 2018","FQ1 2018","Currency=INR","Period=FQ","BEST_FPERIOD_OVERRIDE=FQ","FILING_STATUS=OR","EQY_CONSOLIDATED=Y","FA_ADJUSTED=GAAP","Sort=A","Dates=H","DateFormat=P","Fill=—","Direction=H","UseDPDF=Y")</f>
        <v>#NAME?</v>
      </c>
      <c r="W474" s="2" t="e">
        <f ca="1">_xll.BDH($C$453,"EARN_FOR_COM_GROWTH","FQ1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74" s="2" t="e">
        <f ca="1">_xll.BDH($C$453,"DILUTED_EPS_AFT_XO_ITEMS_GROWTH","FQ1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74" s="2" t="e">
        <f ca="1">_xll.BDH($C$453,"DIVIDEND_PER_SHARE_1_YEAR_GROWTH","FQ1 2018","FQ1 2018","Currency=INR","Period=FQ","BEST_FPERIOD_OVERRIDE=FQ","FILING_STATUS=OR","EQY_CONSOLIDATED=Y","Sort=A","Dates=H","DateFormat=P","Fill=—","Direction=H","UseDPDF=Y")</f>
        <v>#NAME?</v>
      </c>
      <c r="Z474" s="2" t="e">
        <f ca="1">_xll.BDH($C$453,"ACCOUNTS_RECEIVABLE_GROWTH","FQ1 2018","FQ1 2018","Currency=INR","Period=FQ","BEST_FPERIOD_OVERRIDE=FQ","FILING_STATUS=OR","EQY_CONSOLIDATED=Y","Sort=A","Dates=H","DateFormat=P","Fill=—","Direction=H","UseDPDF=Y")</f>
        <v>#NAME?</v>
      </c>
      <c r="AA474" s="2" t="e">
        <f ca="1">_xll.BDH($C$453,"INVENTORY_GROWTH","FQ1 2018","FQ1 2018","Currency=INR","Period=FQ","BEST_FPERIOD_OVERRIDE=FQ","FILING_STATUS=OR","EQY_CONSOLIDATED=Y","Sort=A","Dates=H","DateFormat=P","Fill=—","Direction=H","UseDPDF=Y")</f>
        <v>#NAME?</v>
      </c>
      <c r="AB474" s="2" t="e">
        <f ca="1">_xll.BDH($C$453,"NET_FIXED_ASSETS_1_YEAR_GROWTH","FQ1 2018","FQ1 2018","Currency=INR","Period=FQ","BEST_FPERIOD_OVERRIDE=FQ","FILING_STATUS=OR","EQY_CONSOLIDATED=Y","Sort=A","Dates=H","DateFormat=P","Fill=—","Direction=H","UseDPDF=Y")</f>
        <v>#NAME?</v>
      </c>
      <c r="AC474" s="2" t="e">
        <f ca="1">_xll.BDH($C$453,"ASSET_GROWTH","FQ1 2018","FQ1 2018","Currency=INR","Period=FQ","BEST_FPERIOD_OVERRIDE=FQ","FILING_STATUS=OR","EQY_CONSOLIDATED=Y","Sort=A","Dates=H","DateFormat=P","Fill=—","Direction=H","UseDPDF=Y")</f>
        <v>#NAME?</v>
      </c>
      <c r="AD474" s="2" t="e">
        <f ca="1">_xll.BDH($C$453,"MODIFIED_WORK_CAP_GROWTH","FQ1 2018","FQ1 2018","Currency=INR","Period=FQ","BEST_FPERIOD_OVERRIDE=FQ","FILING_STATUS=OR","EQY_CONSOLIDATED=Y","Sort=A","Dates=H","DateFormat=P","Fill=—","Direction=H","UseDPDF=Y")</f>
        <v>#NAME?</v>
      </c>
      <c r="AE474" s="2" t="e">
        <f ca="1">_xll.BDH($C$453,"WORK_CAP_GROWTH","FQ1 2018","FQ1 2018","Currency=INR","Period=FQ","BEST_FPERIOD_OVERRIDE=FQ","FILING_STATUS=OR","EQY_CONSOLIDATED=Y","Sort=A","Dates=H","DateFormat=P","Fill=—","Direction=H","UseDPDF=Y")</f>
        <v>#NAME?</v>
      </c>
      <c r="AF474" s="2" t="e">
        <f ca="1">_xll.BDH($C$453,"ACCOUNTS_PAYABLE_GROWTH_1YR","FQ1 2018","FQ1 2018","Currency=INR","Period=FQ","BEST_FPERIOD_OVERRIDE=FQ","FILING_STATUS=OR","EQY_CONSOLIDATED=Y","Sort=A","Dates=H","DateFormat=P","Fill=—","Direction=H","UseDPDF=Y")</f>
        <v>#NAME?</v>
      </c>
      <c r="AG474" s="2" t="e">
        <f ca="1">_xll.BDH($C$453,"SHORT_TERM_DEBT_1_YEAR_GROWTH","FQ1 2018","FQ1 2018","Currency=INR","Period=FQ","BEST_FPERIOD_OVERRIDE=FQ","FILING_STATUS=OR","EQY_CONSOLIDATED=Y","Sort=A","Dates=H","DateFormat=P","Fill=—","Direction=H","UseDPDF=Y")</f>
        <v>#NAME?</v>
      </c>
      <c r="AH474" s="2" t="e">
        <f ca="1">_xll.BDH($C$453,"TOTAL_DEBT_1_YEAR_GROWTH","FQ1 2018","FQ1 2018","Currency=INR","Period=FQ","BEST_FPERIOD_OVERRIDE=FQ","FILING_STATUS=OR","EQY_CONSOLIDATED=Y","Sort=A","Dates=H","DateFormat=P","Fill=—","Direction=H","UseDPDF=Y")</f>
        <v>#NAME?</v>
      </c>
      <c r="AI474" s="2" t="e">
        <f ca="1">_xll.BDH($C$453,"TOTAL_EQUITY_1_YEAR_GROWTH","FQ1 2018","FQ1 2018","Currency=INR","Period=FQ","BEST_FPERIOD_OVERRIDE=FQ","FILING_STATUS=OR","EQY_CONSOLIDATED=Y","Sort=A","Dates=H","DateFormat=P","Fill=—","Direction=H","UseDPDF=Y")</f>
        <v>#NAME?</v>
      </c>
      <c r="AJ474" s="2" t="e">
        <f ca="1">_xll.BDH($C$453,"GROWTH_IN_CAP","FQ1 2018","FQ1 2018","Currency=INR","Period=FQ","BEST_FPERIOD_OVERRIDE=FQ","FILING_STATUS=OR","EQY_CONSOLIDATED=Y","Sort=A","Dates=H","DateFormat=P","Fill=—","Direction=H","UseDPDF=Y")</f>
        <v>#NAME?</v>
      </c>
      <c r="AK474" s="2" t="e">
        <f ca="1">_xll.BDH($C$453,"BVPS_GROWTH","FQ1 2018","FQ1 2018","Currency=INR","Period=FQ","BEST_FPERIOD_OVERRIDE=FQ","FILING_STATUS=OR","EQY_CONSOLIDATED=Y","Sort=A","Dates=H","DateFormat=P","Fill=—","Direction=H","UseDPDF=Y")</f>
        <v>#NAME?</v>
      </c>
      <c r="AL474" s="2" t="e">
        <f ca="1">_xll.BDH($C$453,"CASH_FLOW_GROWTH","FQ1 2018","FQ1 2018","Currency=INR","Period=FQ","BEST_FPERIOD_OVERRIDE=FQ","FILING_STATUS=OR","EQY_CONSOLIDATED=Y","Sort=A","Dates=H","DateFormat=P","Fill=—","Direction=H","UseDPDF=Y")</f>
        <v>#NAME?</v>
      </c>
      <c r="AM474" s="2" t="e">
        <f ca="1">_xll.BDH($C$453,"GEO_GROW_NET_SALES","FQ1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74" s="2" t="e">
        <f ca="1">_xll.BDH($C$453,"GEO_GROW_EBITDA","FQ1 2018","FQ1 2018","Currency=INR","Period=FQ","BEST_FPERIOD_OVERRIDE=FQ","FILING_STATUS=OR","EQY_CONSOLIDATED=Y","FA_ADJUSTED=GAAP","Sort=A","Dates=H","DateFormat=P","Fill=—","Direction=H","UseDPDF=Y")</f>
        <v>#NAME?</v>
      </c>
      <c r="AO474" s="2" t="e">
        <f ca="1">_xll.BDH($C$453,"GEO_GROW_OPER_INC","FQ1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74" s="2" t="e">
        <f ca="1">_xll.BDH($C$453,"NET_INCOME_TO_COMMON_5_YR_GROWTH","FQ1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74" s="2" t="e">
        <f ca="1">_xll.BDH($C$453,"5Y_GEO_GROWTH_DILUTED_EPS","FQ1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74" s="2" t="e">
        <f ca="1">_xll.BDH($C$453,"GEO_GROW_DVD_PER_SH","FQ1 2018","FQ1 2018","Currency=INR","Period=FQ","BEST_FPERIOD_OVERRIDE=FQ","FILING_STATUS=OR","EQY_CONSOLIDATED=Y","Sort=A","Dates=H","DateFormat=P","Fill=—","Direction=H","UseDPDF=Y")</f>
        <v>#NAME?</v>
      </c>
      <c r="AS474" s="2" t="e">
        <f ca="1">_xll.BDH($C$453,"ACCOUNTS_RECEIVABLE_5_YR_GROWTH","FQ1 2018","FQ1 2018","Currency=INR","Period=FQ","BEST_FPERIOD_OVERRIDE=FQ","FILING_STATUS=OR","EQY_CONSOLIDATED=Y","Sort=A","Dates=H","DateFormat=P","Fill=—","Direction=H","UseDPDF=Y")</f>
        <v>#NAME?</v>
      </c>
      <c r="AT474" s="2" t="e">
        <f ca="1">_xll.BDH($C$453,"INVENTORY_5_YEAR_GROWTH","FQ1 2018","FQ1 2018","Currency=INR","Period=FQ","BEST_FPERIOD_OVERRIDE=FQ","FILING_STATUS=OR","EQY_CONSOLIDATED=Y","Sort=A","Dates=H","DateFormat=P","Fill=—","Direction=H","UseDPDF=Y")</f>
        <v>#NAME?</v>
      </c>
      <c r="AU474" s="2" t="e">
        <f ca="1">_xll.BDH($C$453,"NET_FIXED_ASSETS_5_YEAR_GROWTH","FQ1 2018","FQ1 2018","Currency=INR","Period=FQ","BEST_FPERIOD_OVERRIDE=FQ","FILING_STATUS=OR","EQY_CONSOLIDATED=Y","Sort=A","Dates=H","DateFormat=P","Fill=—","Direction=H","UseDPDF=Y")</f>
        <v>#NAME?</v>
      </c>
      <c r="AV474" s="2" t="e">
        <f ca="1">_xll.BDH($C$453,"GEO_GROW_TOT_ASSET","FQ1 2018","FQ1 2018","Currency=INR","Period=FQ","BEST_FPERIOD_OVERRIDE=FQ","FILING_STATUS=OR","EQY_CONSOLIDATED=Y","Sort=A","Dates=H","DateFormat=P","Fill=—","Direction=H","UseDPDF=Y")</f>
        <v>#NAME?</v>
      </c>
      <c r="AW474" s="2" t="e">
        <f ca="1">_xll.BDH($C$453,"MODIFIED_WORKING_CPTL_5YR_GRWTH","FQ1 2018","FQ1 2018","Currency=INR","Period=FQ","BEST_FPERIOD_OVERRIDE=FQ","FILING_STATUS=OR","EQY_CONSOLIDATED=Y","Sort=A","Dates=H","DateFormat=P","Fill=—","Direction=H","UseDPDF=Y")</f>
        <v>#NAME?</v>
      </c>
      <c r="AX474" s="2" t="e">
        <f ca="1">_xll.BDH($C$453,"WORKING_CAPITAL_5_YEAR_GROWTH","FQ1 2018","FQ1 2018","Currency=INR","Period=FQ","BEST_FPERIOD_OVERRIDE=FQ","FILING_STATUS=OR","EQY_CONSOLIDATED=Y","Sort=A","Dates=H","DateFormat=P","Fill=—","Direction=H","UseDPDF=Y")</f>
        <v>#NAME?</v>
      </c>
      <c r="AY474" s="2" t="e">
        <f ca="1">_xll.BDH($C$453,"ACCOUNTS_PAYABLE_5_YEAR_GROWTH","FQ1 2018","FQ1 2018","Currency=INR","Period=FQ","BEST_FPERIOD_OVERRIDE=FQ","FILING_STATUS=OR","EQY_CONSOLIDATED=Y","Sort=A","Dates=H","DateFormat=P","Fill=—","Direction=H","UseDPDF=Y")</f>
        <v>#NAME?</v>
      </c>
      <c r="AZ474" s="2" t="e">
        <f ca="1">_xll.BDH($C$453,"SHORT_TERM_DEBT_5_YEAR_GROWTH","FQ1 2018","FQ1 2018","Currency=INR","Period=FQ","BEST_FPERIOD_OVERRIDE=FQ","FILING_STATUS=OR","EQY_CONSOLIDATED=Y","Sort=A","Dates=H","DateFormat=P","Fill=—","Direction=H","UseDPDF=Y")</f>
        <v>#NAME?</v>
      </c>
      <c r="BA474" s="2" t="e">
        <f ca="1">_xll.BDH($C$453,"TOTAL_DEBT_5_YEAR_GROWTH","FQ1 2018","FQ1 2018","Currency=INR","Period=FQ","BEST_FPERIOD_OVERRIDE=FQ","FILING_STATUS=OR","EQY_CONSOLIDATED=Y","Sort=A","Dates=H","DateFormat=P","Fill=—","Direction=H","UseDPDF=Y")</f>
        <v>#NAME?</v>
      </c>
      <c r="BB474" s="2" t="e">
        <f ca="1">_xll.BDH($C$453,"GEO_GROW_TOT_SHRHLDR_EQY","FQ1 2018","FQ1 2018","Currency=INR","Period=FQ","BEST_FPERIOD_OVERRIDE=FQ","FILING_STATUS=OR","EQY_CONSOLIDATED=Y","Sort=A","Dates=H","DateFormat=P","Fill=—","Direction=H","UseDPDF=Y")</f>
        <v>#NAME?</v>
      </c>
      <c r="BC474" s="2" t="e">
        <f ca="1">_xll.BDH($C$453,"TOTAL_CAPITAL_5_YEAR_GROWTH","FQ1 2018","FQ1 2018","Currency=INR","Period=FQ","BEST_FPERIOD_OVERRIDE=FQ","FILING_STATUS=OR","EQY_CONSOLIDATED=Y","Sort=A","Dates=H","DateFormat=P","Fill=—","Direction=H","UseDPDF=Y")</f>
        <v>#NAME?</v>
      </c>
      <c r="BD474" s="2" t="e">
        <f ca="1">_xll.BDH($C$453,"GEO_GROW_BOOK_VAL","FQ1 2018","FQ1 2018","Currency=INR","Period=FQ","BEST_FPERIOD_OVERRIDE=FQ","FILING_STATUS=OR","EQY_CONSOLIDATED=Y","Sort=A","Dates=H","DateFormat=P","Fill=—","Direction=H","UseDPDF=Y")</f>
        <v>#NAME?</v>
      </c>
      <c r="BE474" s="2" t="e">
        <f ca="1">_xll.BDH($C$453,"GEO_GROW_CASH_OPER_ACT","FQ1 2018","FQ1 2018","Currency=INR","Period=FQ","BEST_FPERIOD_OVERRIDE=FQ","FILING_STATUS=OR","EQY_CONSOLIDATED=Y","Sort=A","Dates=H","DateFormat=P","Fill=—","Direction=H","UseDPDF=Y")</f>
        <v>#NAME?</v>
      </c>
      <c r="BF474" s="2" t="e">
        <f ca="1">_xll.BDH($C$453,"REVENUE_SEQUENTIAL_GROWTH","FQ1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74" s="2" t="e">
        <f ca="1">_xll.BDH($C$453,"EBITDA_SEQUENTIAL_GROWTH","FQ1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74" s="2" t="e">
        <f ca="1">_xll.BDH($C$453,"OPERATING_INCOME_SEQ_GROWTH","FQ1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74" s="2" t="e">
        <f ca="1">_xll.BDH($C$453,"NET_INCOME_TO_COMMON_SEQ_GROWTH","FQ1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74" s="2" t="e">
        <f ca="1">_xll.BDH($C$453,"EPS_DILUTED_SEQUENTIAL_GROWTH","FQ1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74" s="2" t="e">
        <f ca="1">_xll.BDH($C$453,"DPS_SEQUENTIAL_GROWTH","FQ1 2018","FQ1 2018","Currency=INR","Period=FQ","BEST_FPERIOD_OVERRIDE=FQ","FILING_STATUS=OR","EQY_CONSOLIDATED=Y","Sort=A","Dates=H","DateFormat=P","Fill=—","Direction=H","UseDPDF=Y")</f>
        <v>#NAME?</v>
      </c>
      <c r="BL474" s="2" t="e">
        <f ca="1">_xll.BDH($C$453,"ACCOUNTS_RECEIVABLE_SEQ_GROWTH","FQ1 2018","FQ1 2018","Currency=INR","Period=FQ","BEST_FPERIOD_OVERRIDE=FQ","FILING_STATUS=OR","EQY_CONSOLIDATED=Y","Sort=A","Dates=H","DateFormat=P","Fill=—","Direction=H","UseDPDF=Y")</f>
        <v>#NAME?</v>
      </c>
      <c r="BM474" s="2" t="e">
        <f ca="1">_xll.BDH($C$453,"INVENTORY_SEQUENTIAL_GROWTH","FQ1 2018","FQ1 2018","Currency=INR","Period=FQ","BEST_FPERIOD_OVERRIDE=FQ","FILING_STATUS=OR","EQY_CONSOLIDATED=Y","Sort=A","Dates=H","DateFormat=P","Fill=—","Direction=H","UseDPDF=Y")</f>
        <v>#NAME?</v>
      </c>
      <c r="BN474" s="2" t="e">
        <f ca="1">_xll.BDH($C$453,"FIXED_ASSETS_SEQUENTIAL_GROWTH","FQ1 2018","FQ1 2018","Currency=INR","Period=FQ","BEST_FPERIOD_OVERRIDE=FQ","FILING_STATUS=OR","EQY_CONSOLIDATED=Y","Sort=A","Dates=H","DateFormat=P","Fill=—","Direction=H","UseDPDF=Y")</f>
        <v>#NAME?</v>
      </c>
      <c r="BO474" s="2" t="e">
        <f ca="1">_xll.BDH($C$453,"TOTAL_ASSETS_SEQUENTIAL_GROWTH","FQ1 2018","FQ1 2018","Currency=INR","Period=FQ","BEST_FPERIOD_OVERRIDE=FQ","FILING_STATUS=OR","EQY_CONSOLIDATED=Y","Sort=A","Dates=H","DateFormat=P","Fill=—","Direction=H","UseDPDF=Y")</f>
        <v>#NAME?</v>
      </c>
      <c r="BP474" s="2" t="e">
        <f ca="1">_xll.BDH($C$453,"MODIFIED_WORKING_CPTL_SEQ_GRWTH","FQ1 2018","FQ1 2018","Currency=INR","Period=FQ","BEST_FPERIOD_OVERRIDE=FQ","FILING_STATUS=OR","EQY_CONSOLIDATED=Y","Sort=A","Dates=H","DateFormat=P","Fill=—","Direction=H","UseDPDF=Y")</f>
        <v>#NAME?</v>
      </c>
      <c r="BQ474" s="2" t="e">
        <f ca="1">_xll.BDH($C$453,"WORKING_CAPITAL_SEQ_GROWTH","FQ1 2018","FQ1 2018","Currency=INR","Period=FQ","BEST_FPERIOD_OVERRIDE=FQ","FILING_STATUS=OR","EQY_CONSOLIDATED=Y","Sort=A","Dates=H","DateFormat=P","Fill=—","Direction=H","UseDPDF=Y")</f>
        <v>#NAME?</v>
      </c>
      <c r="BR474" s="2" t="e">
        <f ca="1">_xll.BDH($C$453,"ACCOUNTS_PAYABLE_SEQ_GROWTH","FQ1 2018","FQ1 2018","Currency=INR","Period=FQ","BEST_FPERIOD_OVERRIDE=FQ","FILING_STATUS=OR","EQY_CONSOLIDATED=Y","Sort=A","Dates=H","DateFormat=P","Fill=—","Direction=H","UseDPDF=Y")</f>
        <v>#NAME?</v>
      </c>
      <c r="BS474" s="2" t="e">
        <f ca="1">_xll.BDH($C$453,"ST_DEBT_SEQUENTIAL_GROWTH","FQ1 2018","FQ1 2018","Currency=INR","Period=FQ","BEST_FPERIOD_OVERRIDE=FQ","FILING_STATUS=OR","EQY_CONSOLIDATED=Y","Sort=A","Dates=H","DateFormat=P","Fill=—","Direction=H","UseDPDF=Y")</f>
        <v>#NAME?</v>
      </c>
      <c r="BT474" s="2" t="e">
        <f ca="1">_xll.BDH($C$453,"TOTAL_DEBT_SEQUENTIAL_GROWTH","FQ1 2018","FQ1 2018","Currency=INR","Period=FQ","BEST_FPERIOD_OVERRIDE=FQ","FILING_STATUS=OR","EQY_CONSOLIDATED=Y","Sort=A","Dates=H","DateFormat=P","Fill=—","Direction=H","UseDPDF=Y")</f>
        <v>#NAME?</v>
      </c>
      <c r="BU474" s="2" t="e">
        <f ca="1">_xll.BDH($C$453,"TOTAL_EQUITY_SEQUENTIAL_GROWTH","FQ1 2018","FQ1 2018","Currency=INR","Period=FQ","BEST_FPERIOD_OVERRIDE=FQ","FILING_STATUS=OR","EQY_CONSOLIDATED=Y","Sort=A","Dates=H","DateFormat=P","Fill=—","Direction=H","UseDPDF=Y")</f>
        <v>#NAME?</v>
      </c>
      <c r="BV474" s="2" t="e">
        <f ca="1">_xll.BDH($C$453,"TOTAL_CAPITAL_SEQUENTIAL_GROWTH","FQ1 2018","FQ1 2018","Currency=INR","Period=FQ","BEST_FPERIOD_OVERRIDE=FQ","FILING_STATUS=OR","EQY_CONSOLIDATED=Y","Sort=A","Dates=H","DateFormat=P","Fill=—","Direction=H","UseDPDF=Y")</f>
        <v>#NAME?</v>
      </c>
      <c r="BW474" s="2" t="e">
        <f ca="1">_xll.BDH($C$453,"BPS_SEQUENTIAL_GROWTH","FQ1 2018","FQ1 2018","Currency=INR","Period=FQ","BEST_FPERIOD_OVERRIDE=FQ","FILING_STATUS=OR","EQY_CONSOLIDATED=Y","Sort=A","Dates=H","DateFormat=P","Fill=—","Direction=H","UseDPDF=Y")</f>
        <v>#NAME?</v>
      </c>
      <c r="BX474" s="2" t="e">
        <f ca="1">_xll.BDH($C$453,"CFO_SEQUENTIAL_GROWTH","FQ1 2018","FQ1 2018","Currency=INR","Period=FQ","BEST_FPERIOD_OVERRIDE=FQ","FILING_STATUS=OR","EQY_CONSOLIDATED=Y","Sort=A","Dates=H","DateFormat=P","Fill=—","Direction=H","UseDPDF=Y")</f>
        <v>#NAME?</v>
      </c>
      <c r="BY474" s="3" t="e">
        <f ca="1">_xll.BDH($C$453,"SHORT_AND_LONG_TERM_DEBT","FQ1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74" s="3" t="e">
        <f ca="1">_xll.BDH($C$453,"BS_ST_BORROW","FQ1 2018","FQ1 2018","Currency=INR","Period=FQ","BEST_FPERIOD_OVERRIDE=FQ","FILING_STATUS=OR","EQY_CONSOLIDATED=Y","SCALING_FORMAT=MLN","Sort=A","Dates=H","DateFormat=P","Fill=—","Direction=H","UseDPDF=Y")</f>
        <v>#NAME?</v>
      </c>
      <c r="CA474" s="3" t="e">
        <f ca="1">_xll.BDH($C$453,"BS_LT_BORROW","FQ1 2018","FQ1 2018","Currency=INR","Period=FQ","BEST_FPERIOD_OVERRIDE=FQ","FILING_STATUS=OR","EQY_CONSOLIDATED=Y","SCALING_FORMAT=MLN","Sort=A","Dates=H","DateFormat=P","Fill=—","Direction=H","UseDPDF=Y")</f>
        <v>#NAME?</v>
      </c>
      <c r="CB474" s="2" t="e">
        <f ca="1">_xll.BDH($C$453,"TOT_DEBT_TO_EBITDA","FQ1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74" s="2" t="e">
        <f ca="1">_xll.BDH($C$453,"NET_DEBT_TO_EBITDA","FQ1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74" s="2" t="e">
        <f ca="1">_xll.BDH($C$453,"TOTAL_DEBT_TO_EBIT","FQ1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74" s="2" t="e">
        <f ca="1">_xll.BDH($C$453,"NET_DEBT_TO_EBIT","FQ1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474" s="2" t="e">
        <f ca="1">_xll.BDH($C$453,"EBITDA_TO_INTEREST_EXPN","FQ1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74" s="2" t="e">
        <f ca="1">_xll.BDH($C$453,"COM_EQY_TO_TOT_ASSET","FQ1 2018","FQ1 2018","Currency=INR","Period=FQ","BEST_FPERIOD_OVERRIDE=FQ","FILING_STATUS=OR","EQY_CONSOLIDATED=Y","Sort=A","Dates=H","DateFormat=P","Fill=—","Direction=H","UseDPDF=Y")</f>
        <v>#NAME?</v>
      </c>
      <c r="CH474" s="2" t="e">
        <f ca="1">_xll.BDH($C$453,"LT_DEBT_TO_TOT_EQY","FQ1 2018","FQ1 2018","Currency=INR","Period=FQ","BEST_FPERIOD_OVERRIDE=FQ","FILING_STATUS=OR","EQY_CONSOLIDATED=Y","Sort=A","Dates=H","DateFormat=P","Fill=—","Direction=H","UseDPDF=Y")</f>
        <v>#NAME?</v>
      </c>
      <c r="CI474" s="2" t="e">
        <f ca="1">_xll.BDH($C$453,"LT_DEBT_TO_TOT_CAP","FQ1 2018","FQ1 2018","Currency=INR","Period=FQ","BEST_FPERIOD_OVERRIDE=FQ","FILING_STATUS=OR","EQY_CONSOLIDATED=Y","Sort=A","Dates=H","DateFormat=P","Fill=—","Direction=H","UseDPDF=Y")</f>
        <v>#NAME?</v>
      </c>
      <c r="CJ474" s="2" t="e">
        <f ca="1">_xll.BDH($C$453,"LT_DEBT_TO_TOT_ASSET","FQ1 2018","FQ1 2018","Currency=INR","Period=FQ","BEST_FPERIOD_OVERRIDE=FQ","FILING_STATUS=OR","EQY_CONSOLIDATED=Y","Sort=A","Dates=H","DateFormat=P","Fill=—","Direction=H","UseDPDF=Y")</f>
        <v>#NAME?</v>
      </c>
      <c r="CK474" s="2" t="e">
        <f ca="1">_xll.BDH($C$453,"TOT_DEBT_TO_TOT_EQY","FQ1 2018","FQ1 2018","Currency=INR","Period=FQ","BEST_FPERIOD_OVERRIDE=FQ","FILING_STATUS=OR","EQY_CONSOLIDATED=Y","Sort=A","Dates=H","DateFormat=P","Fill=—","Direction=H","UseDPDF=Y")</f>
        <v>#NAME?</v>
      </c>
      <c r="CL474" s="2" t="e">
        <f ca="1">_xll.BDH($C$453,"TOT_DEBT_TO_TOT_CAP","FQ1 2018","FQ1 2018","Currency=INR","Period=FQ","BEST_FPERIOD_OVERRIDE=FQ","FILING_STATUS=OR","EQY_CONSOLIDATED=Y","Sort=A","Dates=H","DateFormat=P","Fill=—","Direction=H","UseDPDF=Y")</f>
        <v>#NAME?</v>
      </c>
      <c r="CM474" s="2" t="e">
        <f ca="1">_xll.BDH($C$453,"TOT_DEBT_TO_TOT_ASSET","FQ1 2018","FQ1 2018","Currency=INR","Period=FQ","BEST_FPERIOD_OVERRIDE=FQ","FILING_STATUS=OR","EQY_CONSOLIDATED=Y","Sort=A","Dates=H","DateFormat=P","Fill=—","Direction=H","UseDPDF=Y")</f>
        <v>#NAME?</v>
      </c>
      <c r="CN474" s="2" t="e">
        <f ca="1">_xll.BDH($C$453,"NET_DEBT_TO_SHRHLDR_EQTY","FQ1 2018","FQ1 2018","Currency=INR","Period=FQ","BEST_FPERIOD_OVERRIDE=FQ","FILING_STATUS=OR","EQY_CONSOLIDATED=Y","Sort=A","Dates=H","DateFormat=P","Fill=—","Direction=H","UseDPDF=Y")</f>
        <v>#NAME?</v>
      </c>
      <c r="CO474" s="2" t="e">
        <f ca="1">_xll.BDH($C$453,"NET_DEBT_%_CAPITAL","FQ1 2018","FQ1 2018","Currency=INR","Period=FQ","BEST_FPERIOD_OVERRIDE=FQ","FILING_STATUS=OR","EQY_CONSOLIDATED=Y","Sort=A","Dates=H","DateFormat=P","Fill=—","Direction=H","UseDPDF=Y")</f>
        <v>#NAME?</v>
      </c>
      <c r="CP474" s="3" t="e">
        <f ca="1">_xll.BDH($C$453,"EBITDA","FQ1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74" s="3" t="e">
        <f ca="1">_xll.BDH($C$453,"EBITDA_AFTER_CAPEX","FQ1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74" s="3" t="e">
        <f ca="1">_xll.BDH($C$453,"IS_OPER_INC","FQ1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74" s="2" t="e">
        <f ca="1">_xll.BDH($C$453,"CASH_RATIO","FQ1 2018","FQ1 2018","Currency=INR","Period=FQ","BEST_FPERIOD_OVERRIDE=FQ","FILING_STATUS=OR","EQY_CONSOLIDATED=Y","Sort=A","Dates=H","DateFormat=P","Fill=—","Direction=H","UseDPDF=Y")</f>
        <v>#NAME?</v>
      </c>
      <c r="CT474" s="2" t="e">
        <f ca="1">_xll.BDH($C$453,"CUR_RATIO","FQ1 2018","FQ1 2018","Currency=INR","Period=FQ","BEST_FPERIOD_OVERRIDE=FQ","FILING_STATUS=OR","EQY_CONSOLIDATED=Y","Sort=A","Dates=H","DateFormat=P","Fill=—","Direction=H","UseDPDF=Y")</f>
        <v>#NAME?</v>
      </c>
      <c r="CU474" s="2" t="e">
        <f ca="1">_xll.BDH($C$453,"QUICK_RATIO","FQ1 2018","FQ1 2018","Currency=INR","Period=FQ","BEST_FPERIOD_OVERRIDE=FQ","FILING_STATUS=OR","EQY_CONSOLIDATED=Y","Sort=A","Dates=H","DateFormat=P","Fill=—","Direction=H","UseDPDF=Y")</f>
        <v>#NAME?</v>
      </c>
      <c r="CV474" s="2" t="e">
        <f ca="1">_xll.BDH($C$453,"ALTMAN_Z_SCORE","FQ1 2018","FQ1 2018","Currency=INR","Period=FQ","BEST_FPERIOD_OVERRIDE=FQ","FILING_STATUS=OR","EQY_CONSOLIDATED=Y","Sort=A","Dates=H","DateFormat=P","Fill=—","Direction=H","UseDPDF=Y")</f>
        <v>#NAME?</v>
      </c>
      <c r="CW474" s="4" t="e">
        <f ca="1">_xll.BDH($C$453,"ACCT_RCV_TURN","FQ1 2018","FQ1 2018","Currency=INR","Period=FQ","BEST_FPERIOD_OVERRIDE=FQ","FILING_STATUS=OR","EQY_CONSOLIDATED=Y","FA_ADJUSTED=GAAP","Sort=A","Dates=H","DateFormat=P","Fill=—","Direction=H","UseDPDF=Y")</f>
        <v>#NAME?</v>
      </c>
      <c r="CX474" s="2" t="e">
        <f ca="1">_xll.BDH($C$453,"ACCT_RCV_DAYS","FQ1 2018","FQ1 2018","Currency=INR","Period=FQ","BEST_FPERIOD_OVERRIDE=FQ","FILING_STATUS=OR","EQY_CONSOLIDATED=Y","FA_ADJUSTED=GAAP","Sort=A","Dates=H","DateFormat=P","Fill=—","Direction=H","UseDPDF=Y")</f>
        <v>#NAME?</v>
      </c>
      <c r="CY474" s="4" t="e">
        <f ca="1">_xll.BDH($C$453,"INVENT_TURN","FQ1 2018","FQ1 2018","Currency=INR","Period=FQ","BEST_FPERIOD_OVERRIDE=FQ","FILING_STATUS=OR","EQY_CONSOLIDATED=Y","FA_ADJUSTED=GAAP","Sort=A","Dates=H","DateFormat=P","Fill=—","Direction=H","UseDPDF=Y")</f>
        <v>#NAME?</v>
      </c>
      <c r="CZ474" s="2" t="e">
        <f ca="1">_xll.BDH($C$453,"INVENT_DAYS","FQ1 2018","FQ1 2018","Currency=INR","Period=FQ","BEST_FPERIOD_OVERRIDE=FQ","FILING_STATUS=OR","EQY_CONSOLIDATED=Y","FA_ADJUSTED=GAAP","Sort=A","Dates=H","DateFormat=P","Fill=—","Direction=H","UseDPDF=Y")</f>
        <v>#NAME?</v>
      </c>
      <c r="DA474" s="4" t="e">
        <f ca="1">_xll.BDH($C$453,"ACCOUNTS_PAYABLE_TURNOVER","FQ1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74" s="2" t="e">
        <f ca="1">_xll.BDH($C$453,"ACCOUNTS_PAYABLE_TURNOVER_DAYS","FQ1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74" s="4" t="e">
        <f ca="1">_xll.BDH($C$453,"CASH_CONVERSION_CYCLE","FQ1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74" s="4" t="e">
        <f ca="1">_xll.BDH($C$453,"INV_TO_CASH_DAYS","FQ1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474" s="5" t="e">
        <f ca="1">_xll.BDH($C$453,"BS_INVENTORIES","FQ1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474" s="3" t="e">
        <f ca="1">_xll.BDH($C$453,"INVTRY_RAW_MATERIALS","FQ1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74" s="3" t="e">
        <f ca="1">_xll.BDH($C$453,"INVTRY_IN_PROGRESS","FQ1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74" s="3" t="e">
        <f ca="1">_xll.BDH($C$453,"INVTRY_FINISHED_GOODS","FQ1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74" s="3" t="e">
        <f ca="1">_xll.BDH($C$453,"BS_OTHER_INV","FQ1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475" spans="1:113" x14ac:dyDescent="0.3">
      <c r="A475" s="6"/>
      <c r="B475" s="6"/>
      <c r="C475" s="6"/>
      <c r="D475" s="6"/>
      <c r="E475" t="s">
        <v>79</v>
      </c>
      <c r="F475" t="e">
        <f ca="1">_xll.BDH($C$453,"RETURN_COM_EQY","FQ2 2018","FQ2 2018","Currency=INR","Period=FQ","BEST_FPERIOD_OVERRIDE=FQ","FILING_STATUS=OR","EQY_CONSOLIDATED=Y","FA_ADJUSTED=GAAP","Sort=A","Dates=H","DateFormat=P","Fill=—","Direction=H","UseDPDF=Y")</f>
        <v>#NAME?</v>
      </c>
      <c r="G475" t="e">
        <f ca="1">_xll.BDH($C$453,"RETURN_ON_ASSET","FQ2 2018","FQ2 2018","Currency=INR","Period=FQ","BEST_FPERIOD_OVERRIDE=FQ","FILING_STATUS=OR","EQY_CONSOLIDATED=Y","FA_ADJUSTED=GAAP","Sort=A","Dates=H","DateFormat=P","Fill=—","Direction=H","UseDPDF=Y")</f>
        <v>#NAME?</v>
      </c>
      <c r="H475" t="e">
        <f ca="1">_xll.BDH($C$453,"RETURN_ON_CAP","FQ2 2018","FQ2 2018","Currency=INR","Period=FQ","BEST_FPERIOD_OVERRIDE=FQ","FILING_STATUS=OR","EQY_CONSOLIDATED=Y","FA_ADJUSTED=GAAP","Sort=A","Dates=H","DateFormat=P","Fill=—","Direction=H","UseDPDF=Y")</f>
        <v>#NAME?</v>
      </c>
      <c r="I475" t="e">
        <f ca="1">_xll.BDH($C$453,"RETURN_ON_INV_CAPITAL","FQ2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475" t="e">
        <f ca="1">_xll.BDH($C$453,"EBITDA_TO_REVENUE","FQ2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475" t="e">
        <f ca="1">_xll.BDH($C$453,"OPER_MARGIN","FQ2 2018","FQ2 2018","Currency=INR","Period=FQ","BEST_FPERIOD_OVERRIDE=FQ","FILING_STATUS=OR","EQY_CONSOLIDATED=Y","FA_ADJUSTED=GAAP","Sort=A","Dates=H","DateFormat=P","Fill=—","Direction=H","UseDPDF=Y")</f>
        <v>#NAME?</v>
      </c>
      <c r="L475" t="e">
        <f ca="1">_xll.BDH($C$453,"INCREMENTAL_OPERATING_MARGIN","FQ2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475" t="e">
        <f ca="1">_xll.BDH($C$453,"PRETAX_INC_TO_NET_SALES","FQ2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475" t="e">
        <f ca="1">_xll.BDH($C$453,"INC_BEF_XO_ITEMS_TO_NET_SALES","FQ2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475" t="e">
        <f ca="1">_xll.BDH($C$453,"PROF_MARGIN","FQ2 2018","FQ2 2018","Currency=INR","Period=FQ","BEST_FPERIOD_OVERRIDE=FQ","FILING_STATUS=OR","EQY_CONSOLIDATED=Y","FA_ADJUSTED=GAAP","Sort=A","Dates=H","DateFormat=P","Fill=—","Direction=H","UseDPDF=Y")</f>
        <v>#NAME?</v>
      </c>
      <c r="P475" t="e">
        <f ca="1">_xll.BDH($C$453,"NET_INCOME_TO_COMMON_MARGIN","FQ2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475" t="e">
        <f ca="1">_xll.BDH($C$453,"EFF_TAX_RATE","FQ2 2018","FQ2 2018","Currency=INR","Period=FQ","BEST_FPERIOD_OVERRIDE=FQ","FILING_STATUS=OR","EQY_CONSOLIDATED=Y","FA_ADJUSTED=GAAP","Sort=A","Dates=H","DateFormat=P","Fill=—","Direction=H","UseDPDF=Y")</f>
        <v>#NAME?</v>
      </c>
      <c r="R475" t="e">
        <f ca="1">_xll.BDH($C$453,"DVD_PAYOUT_RATIO","FQ2 2018","FQ2 2018","Currency=INR","Period=FQ","BEST_FPERIOD_OVERRIDE=FQ","FILING_STATUS=OR","EQY_CONSOLIDATED=Y","FA_ADJUSTED=GAAP","Sort=A","Dates=H","DateFormat=P","Fill=—","Direction=H","UseDPDF=Y")</f>
        <v>#NAME?</v>
      </c>
      <c r="S475" t="e">
        <f ca="1">_xll.BDH($C$453,"SUSTAIN_GROWTH_RT","FQ2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475" s="2" t="e">
        <f ca="1">_xll.BDH($C$453,"SALES_GROWTH","FQ2 2018","FQ2 2018","Currency=INR","Period=FQ","BEST_FPERIOD_OVERRIDE=FQ","FILING_STATUS=OR","EQY_CONSOLIDATED=Y","FA_ADJUSTED=GAAP","Sort=A","Dates=H","DateFormat=P","Fill=—","Direction=H","UseDPDF=Y")</f>
        <v>#NAME?</v>
      </c>
      <c r="U475" s="2" t="e">
        <f ca="1">_xll.BDH($C$453,"EBITDA_GROWTH","FQ2 2018","FQ2 2018","Currency=INR","Period=FQ","BEST_FPERIOD_OVERRIDE=FQ","FILING_STATUS=OR","EQY_CONSOLIDATED=Y","FA_ADJUSTED=GAAP","Sort=A","Dates=H","DateFormat=P","Fill=—","Direction=H","UseDPDF=Y")</f>
        <v>#NAME?</v>
      </c>
      <c r="V475" s="2" t="e">
        <f ca="1">_xll.BDH($C$453,"OPER_INC_GROWTH","FQ2 2018","FQ2 2018","Currency=INR","Period=FQ","BEST_FPERIOD_OVERRIDE=FQ","FILING_STATUS=OR","EQY_CONSOLIDATED=Y","FA_ADJUSTED=GAAP","Sort=A","Dates=H","DateFormat=P","Fill=—","Direction=H","UseDPDF=Y")</f>
        <v>#NAME?</v>
      </c>
      <c r="W475" s="2" t="e">
        <f ca="1">_xll.BDH($C$453,"EARN_FOR_COM_GROWTH","FQ2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475" s="2" t="e">
        <f ca="1">_xll.BDH($C$453,"DILUTED_EPS_AFT_XO_ITEMS_GROWTH","FQ2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475" s="2" t="e">
        <f ca="1">_xll.BDH($C$453,"DIVIDEND_PER_SHARE_1_YEAR_GROWTH","FQ2 2018","FQ2 2018","Currency=INR","Period=FQ","BEST_FPERIOD_OVERRIDE=FQ","FILING_STATUS=OR","EQY_CONSOLIDATED=Y","Sort=A","Dates=H","DateFormat=P","Fill=—","Direction=H","UseDPDF=Y")</f>
        <v>#NAME?</v>
      </c>
      <c r="Z475" s="2" t="e">
        <f ca="1">_xll.BDH($C$453,"ACCOUNTS_RECEIVABLE_GROWTH","FQ2 2018","FQ2 2018","Currency=INR","Period=FQ","BEST_FPERIOD_OVERRIDE=FQ","FILING_STATUS=OR","EQY_CONSOLIDATED=Y","Sort=A","Dates=H","DateFormat=P","Fill=—","Direction=H","UseDPDF=Y")</f>
        <v>#NAME?</v>
      </c>
      <c r="AA475" s="2" t="e">
        <f ca="1">_xll.BDH($C$453,"INVENTORY_GROWTH","FQ2 2018","FQ2 2018","Currency=INR","Period=FQ","BEST_FPERIOD_OVERRIDE=FQ","FILING_STATUS=OR","EQY_CONSOLIDATED=Y","Sort=A","Dates=H","DateFormat=P","Fill=—","Direction=H","UseDPDF=Y")</f>
        <v>#NAME?</v>
      </c>
      <c r="AB475" s="2" t="e">
        <f ca="1">_xll.BDH($C$453,"NET_FIXED_ASSETS_1_YEAR_GROWTH","FQ2 2018","FQ2 2018","Currency=INR","Period=FQ","BEST_FPERIOD_OVERRIDE=FQ","FILING_STATUS=OR","EQY_CONSOLIDATED=Y","Sort=A","Dates=H","DateFormat=P","Fill=—","Direction=H","UseDPDF=Y")</f>
        <v>#NAME?</v>
      </c>
      <c r="AC475" s="2" t="e">
        <f ca="1">_xll.BDH($C$453,"ASSET_GROWTH","FQ2 2018","FQ2 2018","Currency=INR","Period=FQ","BEST_FPERIOD_OVERRIDE=FQ","FILING_STATUS=OR","EQY_CONSOLIDATED=Y","Sort=A","Dates=H","DateFormat=P","Fill=—","Direction=H","UseDPDF=Y")</f>
        <v>#NAME?</v>
      </c>
      <c r="AD475" s="2" t="e">
        <f ca="1">_xll.BDH($C$453,"MODIFIED_WORK_CAP_GROWTH","FQ2 2018","FQ2 2018","Currency=INR","Period=FQ","BEST_FPERIOD_OVERRIDE=FQ","FILING_STATUS=OR","EQY_CONSOLIDATED=Y","Sort=A","Dates=H","DateFormat=P","Fill=—","Direction=H","UseDPDF=Y")</f>
        <v>#NAME?</v>
      </c>
      <c r="AE475" s="2" t="e">
        <f ca="1">_xll.BDH($C$453,"WORK_CAP_GROWTH","FQ2 2018","FQ2 2018","Currency=INR","Period=FQ","BEST_FPERIOD_OVERRIDE=FQ","FILING_STATUS=OR","EQY_CONSOLIDATED=Y","Sort=A","Dates=H","DateFormat=P","Fill=—","Direction=H","UseDPDF=Y")</f>
        <v>#NAME?</v>
      </c>
      <c r="AF475" s="2" t="e">
        <f ca="1">_xll.BDH($C$453,"ACCOUNTS_PAYABLE_GROWTH_1YR","FQ2 2018","FQ2 2018","Currency=INR","Period=FQ","BEST_FPERIOD_OVERRIDE=FQ","FILING_STATUS=OR","EQY_CONSOLIDATED=Y","Sort=A","Dates=H","DateFormat=P","Fill=—","Direction=H","UseDPDF=Y")</f>
        <v>#NAME?</v>
      </c>
      <c r="AG475" s="2" t="e">
        <f ca="1">_xll.BDH($C$453,"SHORT_TERM_DEBT_1_YEAR_GROWTH","FQ2 2018","FQ2 2018","Currency=INR","Period=FQ","BEST_FPERIOD_OVERRIDE=FQ","FILING_STATUS=OR","EQY_CONSOLIDATED=Y","Sort=A","Dates=H","DateFormat=P","Fill=—","Direction=H","UseDPDF=Y")</f>
        <v>#NAME?</v>
      </c>
      <c r="AH475" s="2" t="e">
        <f ca="1">_xll.BDH($C$453,"TOTAL_DEBT_1_YEAR_GROWTH","FQ2 2018","FQ2 2018","Currency=INR","Period=FQ","BEST_FPERIOD_OVERRIDE=FQ","FILING_STATUS=OR","EQY_CONSOLIDATED=Y","Sort=A","Dates=H","DateFormat=P","Fill=—","Direction=H","UseDPDF=Y")</f>
        <v>#NAME?</v>
      </c>
      <c r="AI475" s="2" t="e">
        <f ca="1">_xll.BDH($C$453,"TOTAL_EQUITY_1_YEAR_GROWTH","FQ2 2018","FQ2 2018","Currency=INR","Period=FQ","BEST_FPERIOD_OVERRIDE=FQ","FILING_STATUS=OR","EQY_CONSOLIDATED=Y","Sort=A","Dates=H","DateFormat=P","Fill=—","Direction=H","UseDPDF=Y")</f>
        <v>#NAME?</v>
      </c>
      <c r="AJ475" s="2" t="e">
        <f ca="1">_xll.BDH($C$453,"GROWTH_IN_CAP","FQ2 2018","FQ2 2018","Currency=INR","Period=FQ","BEST_FPERIOD_OVERRIDE=FQ","FILING_STATUS=OR","EQY_CONSOLIDATED=Y","Sort=A","Dates=H","DateFormat=P","Fill=—","Direction=H","UseDPDF=Y")</f>
        <v>#NAME?</v>
      </c>
      <c r="AK475" s="2" t="e">
        <f ca="1">_xll.BDH($C$453,"BVPS_GROWTH","FQ2 2018","FQ2 2018","Currency=INR","Period=FQ","BEST_FPERIOD_OVERRIDE=FQ","FILING_STATUS=OR","EQY_CONSOLIDATED=Y","Sort=A","Dates=H","DateFormat=P","Fill=—","Direction=H","UseDPDF=Y")</f>
        <v>#NAME?</v>
      </c>
      <c r="AL475" s="2" t="e">
        <f ca="1">_xll.BDH($C$453,"CASH_FLOW_GROWTH","FQ2 2018","FQ2 2018","Currency=INR","Period=FQ","BEST_FPERIOD_OVERRIDE=FQ","FILING_STATUS=OR","EQY_CONSOLIDATED=Y","Sort=A","Dates=H","DateFormat=P","Fill=—","Direction=H","UseDPDF=Y")</f>
        <v>#NAME?</v>
      </c>
      <c r="AM475" s="2" t="e">
        <f ca="1">_xll.BDH($C$453,"GEO_GROW_NET_SALES","FQ2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475" s="2" t="e">
        <f ca="1">_xll.BDH($C$453,"GEO_GROW_EBITDA","FQ2 2018","FQ2 2018","Currency=INR","Period=FQ","BEST_FPERIOD_OVERRIDE=FQ","FILING_STATUS=OR","EQY_CONSOLIDATED=Y","FA_ADJUSTED=GAAP","Sort=A","Dates=H","DateFormat=P","Fill=—","Direction=H","UseDPDF=Y")</f>
        <v>#NAME?</v>
      </c>
      <c r="AO475" s="2" t="e">
        <f ca="1">_xll.BDH($C$453,"GEO_GROW_OPER_INC","FQ2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475" s="2" t="e">
        <f ca="1">_xll.BDH($C$453,"NET_INCOME_TO_COMMON_5_YR_GROWTH","FQ2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475" s="2" t="e">
        <f ca="1">_xll.BDH($C$453,"5Y_GEO_GROWTH_DILUTED_EPS","FQ2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475" s="2" t="e">
        <f ca="1">_xll.BDH($C$453,"GEO_GROW_DVD_PER_SH","FQ2 2018","FQ2 2018","Currency=INR","Period=FQ","BEST_FPERIOD_OVERRIDE=FQ","FILING_STATUS=OR","EQY_CONSOLIDATED=Y","Sort=A","Dates=H","DateFormat=P","Fill=—","Direction=H","UseDPDF=Y")</f>
        <v>#NAME?</v>
      </c>
      <c r="AS475" s="2" t="e">
        <f ca="1">_xll.BDH($C$453,"ACCOUNTS_RECEIVABLE_5_YR_GROWTH","FQ2 2018","FQ2 2018","Currency=INR","Period=FQ","BEST_FPERIOD_OVERRIDE=FQ","FILING_STATUS=OR","EQY_CONSOLIDATED=Y","Sort=A","Dates=H","DateFormat=P","Fill=—","Direction=H","UseDPDF=Y")</f>
        <v>#NAME?</v>
      </c>
      <c r="AT475" s="2" t="e">
        <f ca="1">_xll.BDH($C$453,"INVENTORY_5_YEAR_GROWTH","FQ2 2018","FQ2 2018","Currency=INR","Period=FQ","BEST_FPERIOD_OVERRIDE=FQ","FILING_STATUS=OR","EQY_CONSOLIDATED=Y","Sort=A","Dates=H","DateFormat=P","Fill=—","Direction=H","UseDPDF=Y")</f>
        <v>#NAME?</v>
      </c>
      <c r="AU475" s="2" t="e">
        <f ca="1">_xll.BDH($C$453,"NET_FIXED_ASSETS_5_YEAR_GROWTH","FQ2 2018","FQ2 2018","Currency=INR","Period=FQ","BEST_FPERIOD_OVERRIDE=FQ","FILING_STATUS=OR","EQY_CONSOLIDATED=Y","Sort=A","Dates=H","DateFormat=P","Fill=—","Direction=H","UseDPDF=Y")</f>
        <v>#NAME?</v>
      </c>
      <c r="AV475" s="2" t="e">
        <f ca="1">_xll.BDH($C$453,"GEO_GROW_TOT_ASSET","FQ2 2018","FQ2 2018","Currency=INR","Period=FQ","BEST_FPERIOD_OVERRIDE=FQ","FILING_STATUS=OR","EQY_CONSOLIDATED=Y","Sort=A","Dates=H","DateFormat=P","Fill=—","Direction=H","UseDPDF=Y")</f>
        <v>#NAME?</v>
      </c>
      <c r="AW475" s="2" t="e">
        <f ca="1">_xll.BDH($C$453,"MODIFIED_WORKING_CPTL_5YR_GRWTH","FQ2 2018","FQ2 2018","Currency=INR","Period=FQ","BEST_FPERIOD_OVERRIDE=FQ","FILING_STATUS=OR","EQY_CONSOLIDATED=Y","Sort=A","Dates=H","DateFormat=P","Fill=—","Direction=H","UseDPDF=Y")</f>
        <v>#NAME?</v>
      </c>
      <c r="AX475" s="2" t="e">
        <f ca="1">_xll.BDH($C$453,"WORKING_CAPITAL_5_YEAR_GROWTH","FQ2 2018","FQ2 2018","Currency=INR","Period=FQ","BEST_FPERIOD_OVERRIDE=FQ","FILING_STATUS=OR","EQY_CONSOLIDATED=Y","Sort=A","Dates=H","DateFormat=P","Fill=—","Direction=H","UseDPDF=Y")</f>
        <v>#NAME?</v>
      </c>
      <c r="AY475" s="2" t="e">
        <f ca="1">_xll.BDH($C$453,"ACCOUNTS_PAYABLE_5_YEAR_GROWTH","FQ2 2018","FQ2 2018","Currency=INR","Period=FQ","BEST_FPERIOD_OVERRIDE=FQ","FILING_STATUS=OR","EQY_CONSOLIDATED=Y","Sort=A","Dates=H","DateFormat=P","Fill=—","Direction=H","UseDPDF=Y")</f>
        <v>#NAME?</v>
      </c>
      <c r="AZ475" s="2" t="e">
        <f ca="1">_xll.BDH($C$453,"SHORT_TERM_DEBT_5_YEAR_GROWTH","FQ2 2018","FQ2 2018","Currency=INR","Period=FQ","BEST_FPERIOD_OVERRIDE=FQ","FILING_STATUS=OR","EQY_CONSOLIDATED=Y","Sort=A","Dates=H","DateFormat=P","Fill=—","Direction=H","UseDPDF=Y")</f>
        <v>#NAME?</v>
      </c>
      <c r="BA475" s="2" t="e">
        <f ca="1">_xll.BDH($C$453,"TOTAL_DEBT_5_YEAR_GROWTH","FQ2 2018","FQ2 2018","Currency=INR","Period=FQ","BEST_FPERIOD_OVERRIDE=FQ","FILING_STATUS=OR","EQY_CONSOLIDATED=Y","Sort=A","Dates=H","DateFormat=P","Fill=—","Direction=H","UseDPDF=Y")</f>
        <v>#NAME?</v>
      </c>
      <c r="BB475" s="2" t="e">
        <f ca="1">_xll.BDH($C$453,"GEO_GROW_TOT_SHRHLDR_EQY","FQ2 2018","FQ2 2018","Currency=INR","Period=FQ","BEST_FPERIOD_OVERRIDE=FQ","FILING_STATUS=OR","EQY_CONSOLIDATED=Y","Sort=A","Dates=H","DateFormat=P","Fill=—","Direction=H","UseDPDF=Y")</f>
        <v>#NAME?</v>
      </c>
      <c r="BC475" s="2" t="e">
        <f ca="1">_xll.BDH($C$453,"TOTAL_CAPITAL_5_YEAR_GROWTH","FQ2 2018","FQ2 2018","Currency=INR","Period=FQ","BEST_FPERIOD_OVERRIDE=FQ","FILING_STATUS=OR","EQY_CONSOLIDATED=Y","Sort=A","Dates=H","DateFormat=P","Fill=—","Direction=H","UseDPDF=Y")</f>
        <v>#NAME?</v>
      </c>
      <c r="BD475" s="2" t="e">
        <f ca="1">_xll.BDH($C$453,"GEO_GROW_BOOK_VAL","FQ2 2018","FQ2 2018","Currency=INR","Period=FQ","BEST_FPERIOD_OVERRIDE=FQ","FILING_STATUS=OR","EQY_CONSOLIDATED=Y","Sort=A","Dates=H","DateFormat=P","Fill=—","Direction=H","UseDPDF=Y")</f>
        <v>#NAME?</v>
      </c>
      <c r="BE475" s="2" t="e">
        <f ca="1">_xll.BDH($C$453,"GEO_GROW_CASH_OPER_ACT","FQ2 2018","FQ2 2018","Currency=INR","Period=FQ","BEST_FPERIOD_OVERRIDE=FQ","FILING_STATUS=OR","EQY_CONSOLIDATED=Y","Sort=A","Dates=H","DateFormat=P","Fill=—","Direction=H","UseDPDF=Y")</f>
        <v>#NAME?</v>
      </c>
      <c r="BF475" s="2" t="e">
        <f ca="1">_xll.BDH($C$453,"REVENUE_SEQUENTIAL_GROWTH","FQ2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475" s="2" t="e">
        <f ca="1">_xll.BDH($C$453,"EBITDA_SEQUENTIAL_GROWTH","FQ2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475" s="2" t="e">
        <f ca="1">_xll.BDH($C$453,"OPERATING_INCOME_SEQ_GROWTH","FQ2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475" s="2" t="e">
        <f ca="1">_xll.BDH($C$453,"NET_INCOME_TO_COMMON_SEQ_GROWTH","FQ2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475" s="2" t="e">
        <f ca="1">_xll.BDH($C$453,"EPS_DILUTED_SEQUENTIAL_GROWTH","FQ2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475" s="2" t="e">
        <f ca="1">_xll.BDH($C$453,"DPS_SEQUENTIAL_GROWTH","FQ2 2018","FQ2 2018","Currency=INR","Period=FQ","BEST_FPERIOD_OVERRIDE=FQ","FILING_STATUS=OR","EQY_CONSOLIDATED=Y","Sort=A","Dates=H","DateFormat=P","Fill=—","Direction=H","UseDPDF=Y")</f>
        <v>#NAME?</v>
      </c>
      <c r="BL475" s="2" t="e">
        <f ca="1">_xll.BDH($C$453,"ACCOUNTS_RECEIVABLE_SEQ_GROWTH","FQ2 2018","FQ2 2018","Currency=INR","Period=FQ","BEST_FPERIOD_OVERRIDE=FQ","FILING_STATUS=OR","EQY_CONSOLIDATED=Y","Sort=A","Dates=H","DateFormat=P","Fill=—","Direction=H","UseDPDF=Y")</f>
        <v>#NAME?</v>
      </c>
      <c r="BM475" s="2" t="e">
        <f ca="1">_xll.BDH($C$453,"INVENTORY_SEQUENTIAL_GROWTH","FQ2 2018","FQ2 2018","Currency=INR","Period=FQ","BEST_FPERIOD_OVERRIDE=FQ","FILING_STATUS=OR","EQY_CONSOLIDATED=Y","Sort=A","Dates=H","DateFormat=P","Fill=—","Direction=H","UseDPDF=Y")</f>
        <v>#NAME?</v>
      </c>
      <c r="BN475" s="2" t="e">
        <f ca="1">_xll.BDH($C$453,"FIXED_ASSETS_SEQUENTIAL_GROWTH","FQ2 2018","FQ2 2018","Currency=INR","Period=FQ","BEST_FPERIOD_OVERRIDE=FQ","FILING_STATUS=OR","EQY_CONSOLIDATED=Y","Sort=A","Dates=H","DateFormat=P","Fill=—","Direction=H","UseDPDF=Y")</f>
        <v>#NAME?</v>
      </c>
      <c r="BO475" s="2" t="e">
        <f ca="1">_xll.BDH($C$453,"TOTAL_ASSETS_SEQUENTIAL_GROWTH","FQ2 2018","FQ2 2018","Currency=INR","Period=FQ","BEST_FPERIOD_OVERRIDE=FQ","FILING_STATUS=OR","EQY_CONSOLIDATED=Y","Sort=A","Dates=H","DateFormat=P","Fill=—","Direction=H","UseDPDF=Y")</f>
        <v>#NAME?</v>
      </c>
      <c r="BP475" s="2" t="e">
        <f ca="1">_xll.BDH($C$453,"MODIFIED_WORKING_CPTL_SEQ_GRWTH","FQ2 2018","FQ2 2018","Currency=INR","Period=FQ","BEST_FPERIOD_OVERRIDE=FQ","FILING_STATUS=OR","EQY_CONSOLIDATED=Y","Sort=A","Dates=H","DateFormat=P","Fill=—","Direction=H","UseDPDF=Y")</f>
        <v>#NAME?</v>
      </c>
      <c r="BQ475" s="2" t="e">
        <f ca="1">_xll.BDH($C$453,"WORKING_CAPITAL_SEQ_GROWTH","FQ2 2018","FQ2 2018","Currency=INR","Period=FQ","BEST_FPERIOD_OVERRIDE=FQ","FILING_STATUS=OR","EQY_CONSOLIDATED=Y","Sort=A","Dates=H","DateFormat=P","Fill=—","Direction=H","UseDPDF=Y")</f>
        <v>#NAME?</v>
      </c>
      <c r="BR475" s="2" t="e">
        <f ca="1">_xll.BDH($C$453,"ACCOUNTS_PAYABLE_SEQ_GROWTH","FQ2 2018","FQ2 2018","Currency=INR","Period=FQ","BEST_FPERIOD_OVERRIDE=FQ","FILING_STATUS=OR","EQY_CONSOLIDATED=Y","Sort=A","Dates=H","DateFormat=P","Fill=—","Direction=H","UseDPDF=Y")</f>
        <v>#NAME?</v>
      </c>
      <c r="BS475" s="2" t="e">
        <f ca="1">_xll.BDH($C$453,"ST_DEBT_SEQUENTIAL_GROWTH","FQ2 2018","FQ2 2018","Currency=INR","Period=FQ","BEST_FPERIOD_OVERRIDE=FQ","FILING_STATUS=OR","EQY_CONSOLIDATED=Y","Sort=A","Dates=H","DateFormat=P","Fill=—","Direction=H","UseDPDF=Y")</f>
        <v>#NAME?</v>
      </c>
      <c r="BT475" s="2" t="e">
        <f ca="1">_xll.BDH($C$453,"TOTAL_DEBT_SEQUENTIAL_GROWTH","FQ2 2018","FQ2 2018","Currency=INR","Period=FQ","BEST_FPERIOD_OVERRIDE=FQ","FILING_STATUS=OR","EQY_CONSOLIDATED=Y","Sort=A","Dates=H","DateFormat=P","Fill=—","Direction=H","UseDPDF=Y")</f>
        <v>#NAME?</v>
      </c>
      <c r="BU475" s="2" t="e">
        <f ca="1">_xll.BDH($C$453,"TOTAL_EQUITY_SEQUENTIAL_GROWTH","FQ2 2018","FQ2 2018","Currency=INR","Period=FQ","BEST_FPERIOD_OVERRIDE=FQ","FILING_STATUS=OR","EQY_CONSOLIDATED=Y","Sort=A","Dates=H","DateFormat=P","Fill=—","Direction=H","UseDPDF=Y")</f>
        <v>#NAME?</v>
      </c>
      <c r="BV475" s="2" t="e">
        <f ca="1">_xll.BDH($C$453,"TOTAL_CAPITAL_SEQUENTIAL_GROWTH","FQ2 2018","FQ2 2018","Currency=INR","Period=FQ","BEST_FPERIOD_OVERRIDE=FQ","FILING_STATUS=OR","EQY_CONSOLIDATED=Y","Sort=A","Dates=H","DateFormat=P","Fill=—","Direction=H","UseDPDF=Y")</f>
        <v>#NAME?</v>
      </c>
      <c r="BW475" s="2" t="e">
        <f ca="1">_xll.BDH($C$453,"BPS_SEQUENTIAL_GROWTH","FQ2 2018","FQ2 2018","Currency=INR","Period=FQ","BEST_FPERIOD_OVERRIDE=FQ","FILING_STATUS=OR","EQY_CONSOLIDATED=Y","Sort=A","Dates=H","DateFormat=P","Fill=—","Direction=H","UseDPDF=Y")</f>
        <v>#NAME?</v>
      </c>
      <c r="BX475" s="2" t="e">
        <f ca="1">_xll.BDH($C$453,"CFO_SEQUENTIAL_GROWTH","FQ2 2018","FQ2 2018","Currency=INR","Period=FQ","BEST_FPERIOD_OVERRIDE=FQ","FILING_STATUS=OR","EQY_CONSOLIDATED=Y","Sort=A","Dates=H","DateFormat=P","Fill=—","Direction=H","UseDPDF=Y")</f>
        <v>#NAME?</v>
      </c>
      <c r="BY475" s="3" t="e">
        <f ca="1">_xll.BDH($C$453,"SHORT_AND_LONG_TERM_DEBT","FQ2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475" s="3" t="e">
        <f ca="1">_xll.BDH($C$453,"BS_ST_BORROW","FQ2 2018","FQ2 2018","Currency=INR","Period=FQ","BEST_FPERIOD_OVERRIDE=FQ","FILING_STATUS=OR","EQY_CONSOLIDATED=Y","SCALING_FORMAT=MLN","Sort=A","Dates=H","DateFormat=P","Fill=—","Direction=H","UseDPDF=Y")</f>
        <v>#NAME?</v>
      </c>
      <c r="CA475" s="3" t="e">
        <f ca="1">_xll.BDH($C$453,"BS_LT_BORROW","FQ2 2018","FQ2 2018","Currency=INR","Period=FQ","BEST_FPERIOD_OVERRIDE=FQ","FILING_STATUS=OR","EQY_CONSOLIDATED=Y","SCALING_FORMAT=MLN","Sort=A","Dates=H","DateFormat=P","Fill=—","Direction=H","UseDPDF=Y")</f>
        <v>#NAME?</v>
      </c>
      <c r="CB475" s="2" t="e">
        <f ca="1">_xll.BDH($C$453,"TOT_DEBT_TO_EBITDA","FQ2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475" s="2" t="e">
        <f ca="1">_xll.BDH($C$453,"NET_DEBT_TO_EBITDA","FQ2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475" s="2" t="e">
        <f ca="1">_xll.BDH($C$453,"TOTAL_DEBT_TO_EBIT","FQ2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475" s="2" t="e">
        <f ca="1">_xll.BDH($C$453,"NET_DEBT_TO_EBIT","FQ2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475" s="2" t="e">
        <f ca="1">_xll.BDH($C$453,"EBITDA_TO_INTEREST_EXPN","FQ2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475" s="2" t="e">
        <f ca="1">_xll.BDH($C$453,"COM_EQY_TO_TOT_ASSET","FQ2 2018","FQ2 2018","Currency=INR","Period=FQ","BEST_FPERIOD_OVERRIDE=FQ","FILING_STATUS=OR","EQY_CONSOLIDATED=Y","Sort=A","Dates=H","DateFormat=P","Fill=—","Direction=H","UseDPDF=Y")</f>
        <v>#NAME?</v>
      </c>
      <c r="CH475" s="2" t="e">
        <f ca="1">_xll.BDH($C$453,"LT_DEBT_TO_TOT_EQY","FQ2 2018","FQ2 2018","Currency=INR","Period=FQ","BEST_FPERIOD_OVERRIDE=FQ","FILING_STATUS=OR","EQY_CONSOLIDATED=Y","Sort=A","Dates=H","DateFormat=P","Fill=—","Direction=H","UseDPDF=Y")</f>
        <v>#NAME?</v>
      </c>
      <c r="CI475" s="2" t="e">
        <f ca="1">_xll.BDH($C$453,"LT_DEBT_TO_TOT_CAP","FQ2 2018","FQ2 2018","Currency=INR","Period=FQ","BEST_FPERIOD_OVERRIDE=FQ","FILING_STATUS=OR","EQY_CONSOLIDATED=Y","Sort=A","Dates=H","DateFormat=P","Fill=—","Direction=H","UseDPDF=Y")</f>
        <v>#NAME?</v>
      </c>
      <c r="CJ475" s="2" t="e">
        <f ca="1">_xll.BDH($C$453,"LT_DEBT_TO_TOT_ASSET","FQ2 2018","FQ2 2018","Currency=INR","Period=FQ","BEST_FPERIOD_OVERRIDE=FQ","FILING_STATUS=OR","EQY_CONSOLIDATED=Y","Sort=A","Dates=H","DateFormat=P","Fill=—","Direction=H","UseDPDF=Y")</f>
        <v>#NAME?</v>
      </c>
      <c r="CK475" s="2" t="e">
        <f ca="1">_xll.BDH($C$453,"TOT_DEBT_TO_TOT_EQY","FQ2 2018","FQ2 2018","Currency=INR","Period=FQ","BEST_FPERIOD_OVERRIDE=FQ","FILING_STATUS=OR","EQY_CONSOLIDATED=Y","Sort=A","Dates=H","DateFormat=P","Fill=—","Direction=H","UseDPDF=Y")</f>
        <v>#NAME?</v>
      </c>
      <c r="CL475" s="2" t="e">
        <f ca="1">_xll.BDH($C$453,"TOT_DEBT_TO_TOT_CAP","FQ2 2018","FQ2 2018","Currency=INR","Period=FQ","BEST_FPERIOD_OVERRIDE=FQ","FILING_STATUS=OR","EQY_CONSOLIDATED=Y","Sort=A","Dates=H","DateFormat=P","Fill=—","Direction=H","UseDPDF=Y")</f>
        <v>#NAME?</v>
      </c>
      <c r="CM475" s="2" t="e">
        <f ca="1">_xll.BDH($C$453,"TOT_DEBT_TO_TOT_ASSET","FQ2 2018","FQ2 2018","Currency=INR","Period=FQ","BEST_FPERIOD_OVERRIDE=FQ","FILING_STATUS=OR","EQY_CONSOLIDATED=Y","Sort=A","Dates=H","DateFormat=P","Fill=—","Direction=H","UseDPDF=Y")</f>
        <v>#NAME?</v>
      </c>
      <c r="CN475" s="2" t="e">
        <f ca="1">_xll.BDH($C$453,"NET_DEBT_TO_SHRHLDR_EQTY","FQ2 2018","FQ2 2018","Currency=INR","Period=FQ","BEST_FPERIOD_OVERRIDE=FQ","FILING_STATUS=OR","EQY_CONSOLIDATED=Y","Sort=A","Dates=H","DateFormat=P","Fill=—","Direction=H","UseDPDF=Y")</f>
        <v>#NAME?</v>
      </c>
      <c r="CO475" s="2" t="e">
        <f ca="1">_xll.BDH($C$453,"NET_DEBT_%_CAPITAL","FQ2 2018","FQ2 2018","Currency=INR","Period=FQ","BEST_FPERIOD_OVERRIDE=FQ","FILING_STATUS=OR","EQY_CONSOLIDATED=Y","Sort=A","Dates=H","DateFormat=P","Fill=—","Direction=H","UseDPDF=Y")</f>
        <v>#NAME?</v>
      </c>
      <c r="CP475" s="3" t="e">
        <f ca="1">_xll.BDH($C$453,"EBITDA","FQ2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475" s="3" t="e">
        <f ca="1">_xll.BDH($C$453,"EBITDA_AFTER_CAPEX","FQ2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475" s="3" t="e">
        <f ca="1">_xll.BDH($C$453,"IS_OPER_INC","FQ2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475" s="2" t="e">
        <f ca="1">_xll.BDH($C$453,"CASH_RATIO","FQ2 2018","FQ2 2018","Currency=INR","Period=FQ","BEST_FPERIOD_OVERRIDE=FQ","FILING_STATUS=OR","EQY_CONSOLIDATED=Y","Sort=A","Dates=H","DateFormat=P","Fill=—","Direction=H","UseDPDF=Y")</f>
        <v>#NAME?</v>
      </c>
      <c r="CT475" s="2" t="e">
        <f ca="1">_xll.BDH($C$453,"CUR_RATIO","FQ2 2018","FQ2 2018","Currency=INR","Period=FQ","BEST_FPERIOD_OVERRIDE=FQ","FILING_STATUS=OR","EQY_CONSOLIDATED=Y","Sort=A","Dates=H","DateFormat=P","Fill=—","Direction=H","UseDPDF=Y")</f>
        <v>#NAME?</v>
      </c>
      <c r="CU475" s="2" t="e">
        <f ca="1">_xll.BDH($C$453,"QUICK_RATIO","FQ2 2018","FQ2 2018","Currency=INR","Period=FQ","BEST_FPERIOD_OVERRIDE=FQ","FILING_STATUS=OR","EQY_CONSOLIDATED=Y","Sort=A","Dates=H","DateFormat=P","Fill=—","Direction=H","UseDPDF=Y")</f>
        <v>#NAME?</v>
      </c>
      <c r="CV475" s="2" t="e">
        <f ca="1">_xll.BDH($C$453,"ALTMAN_Z_SCORE","FQ2 2018","FQ2 2018","Currency=INR","Period=FQ","BEST_FPERIOD_OVERRIDE=FQ","FILING_STATUS=OR","EQY_CONSOLIDATED=Y","Sort=A","Dates=H","DateFormat=P","Fill=—","Direction=H","UseDPDF=Y")</f>
        <v>#NAME?</v>
      </c>
      <c r="CW475" s="4" t="e">
        <f ca="1">_xll.BDH($C$453,"ACCT_RCV_TURN","FQ2 2018","FQ2 2018","Currency=INR","Period=FQ","BEST_FPERIOD_OVERRIDE=FQ","FILING_STATUS=OR","EQY_CONSOLIDATED=Y","FA_ADJUSTED=GAAP","Sort=A","Dates=H","DateFormat=P","Fill=—","Direction=H","UseDPDF=Y")</f>
        <v>#NAME?</v>
      </c>
      <c r="CX475" s="2" t="e">
        <f ca="1">_xll.BDH($C$453,"ACCT_RCV_DAYS","FQ2 2018","FQ2 2018","Currency=INR","Period=FQ","BEST_FPERIOD_OVERRIDE=FQ","FILING_STATUS=OR","EQY_CONSOLIDATED=Y","FA_ADJUSTED=GAAP","Sort=A","Dates=H","DateFormat=P","Fill=—","Direction=H","UseDPDF=Y")</f>
        <v>#NAME?</v>
      </c>
      <c r="CY475" s="4" t="e">
        <f ca="1">_xll.BDH($C$453,"INVENT_TURN","FQ2 2018","FQ2 2018","Currency=INR","Period=FQ","BEST_FPERIOD_OVERRIDE=FQ","FILING_STATUS=OR","EQY_CONSOLIDATED=Y","FA_ADJUSTED=GAAP","Sort=A","Dates=H","DateFormat=P","Fill=—","Direction=H","UseDPDF=Y")</f>
        <v>#NAME?</v>
      </c>
      <c r="CZ475" s="2" t="e">
        <f ca="1">_xll.BDH($C$453,"INVENT_DAYS","FQ2 2018","FQ2 2018","Currency=INR","Period=FQ","BEST_FPERIOD_OVERRIDE=FQ","FILING_STATUS=OR","EQY_CONSOLIDATED=Y","FA_ADJUSTED=GAAP","Sort=A","Dates=H","DateFormat=P","Fill=—","Direction=H","UseDPDF=Y")</f>
        <v>#NAME?</v>
      </c>
      <c r="DA475" s="4" t="e">
        <f ca="1">_xll.BDH($C$453,"ACCOUNTS_PAYABLE_TURNOVER","FQ2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475" s="2" t="e">
        <f ca="1">_xll.BDH($C$453,"ACCOUNTS_PAYABLE_TURNOVER_DAYS","FQ2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475" s="4" t="e">
        <f ca="1">_xll.BDH($C$453,"CASH_CONVERSION_CYCLE","FQ2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475" s="4" t="e">
        <f ca="1">_xll.BDH($C$453,"INV_TO_CASH_DAYS","FQ2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475" s="5" t="e">
        <f ca="1">_xll.BDH($C$453,"BS_INVENTORIES","FQ2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475" s="3" t="e">
        <f ca="1">_xll.BDH($C$453,"INVTRY_RAW_MATERIALS","FQ2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475" s="3" t="e">
        <f ca="1">_xll.BDH($C$453,"INVTRY_IN_PROGRESS","FQ2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475" s="3" t="e">
        <f ca="1">_xll.BDH($C$453,"INVTRY_FINISHED_GOODS","FQ2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475" s="3" t="e">
        <f ca="1">_xll.BDH($C$453,"BS_OTHER_INV","FQ2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476" spans="1:113" x14ac:dyDescent="0.3">
      <c r="A476" s="6"/>
      <c r="B476" s="6"/>
      <c r="C476" s="6"/>
      <c r="D476" s="6"/>
      <c r="E476" t="s">
        <v>80</v>
      </c>
      <c r="F476" t="e">
        <f ca="1">_xll.BDH($C$453,"RETURN_COM_EQY","FQ3 2018","FQ3 2018","Currency=INR","Period=FQ","BEST_FPERIOD_OVERRIDE=FQ","FILING_STATUS=OR","EQY_CONSOLIDATED=Y","FA_ADJUSTED=GAAP","Sort=A","Dates=H","DateFormat=P","Fill=—","Direction=H","UseDPDF=Y")</f>
        <v>#NAME?</v>
      </c>
      <c r="G476" t="e">
        <f ca="1">_xll.BDH($C$453,"RETURN_ON_ASSET","FQ3 2018","FQ3 2018","Currency=INR","Period=FQ","BEST_FPERIOD_OVERRIDE=FQ","FILING_STATUS=OR","EQY_CONSOLIDATED=Y","FA_ADJUSTED=GAAP","Sort=A","Dates=H","DateFormat=P","Fill=—","Direction=H","UseDPDF=Y")</f>
        <v>#NAME?</v>
      </c>
      <c r="H476" t="e">
        <f ca="1">_xll.BDH($C$453,"RETURN_ON_CAP","FQ3 2018","FQ3 2018","Currency=INR","Period=FQ","BEST_FPERIOD_OVERRIDE=FQ","FILING_STATUS=OR","EQY_CONSOLIDATED=Y","FA_ADJUSTED=GAAP","Sort=A","Dates=H","DateFormat=P","Fill=—","Direction=H","UseDPDF=Y")</f>
        <v>#NAME?</v>
      </c>
      <c r="I476" t="e">
        <f ca="1">_xll.BDH($C$453,"RETURN_ON_INV_CAPITAL","FQ3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476" t="e">
        <f ca="1">_xll.BDH($C$453,"EBITDA_TO_REVENUE","FQ3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476" t="e">
        <f ca="1">_xll.BDH($C$453,"OPER_MARGIN","FQ3 2018","FQ3 2018","Currency=INR","Period=FQ","BEST_FPERIOD_OVERRIDE=FQ","FILING_STATUS=OR","EQY_CONSOLIDATED=Y","FA_ADJUSTED=GAAP","Sort=A","Dates=H","DateFormat=P","Fill=—","Direction=H","UseDPDF=Y")</f>
        <v>#NAME?</v>
      </c>
      <c r="L476" t="e">
        <f ca="1">_xll.BDH($C$453,"INCREMENTAL_OPERATING_MARGIN","FQ3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476" t="e">
        <f ca="1">_xll.BDH($C$453,"PRETAX_INC_TO_NET_SALES","FQ3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476" t="e">
        <f ca="1">_xll.BDH($C$453,"INC_BEF_XO_ITEMS_TO_NET_SALES","FQ3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476" t="e">
        <f ca="1">_xll.BDH($C$453,"PROF_MARGIN","FQ3 2018","FQ3 2018","Currency=INR","Period=FQ","BEST_FPERIOD_OVERRIDE=FQ","FILING_STATUS=OR","EQY_CONSOLIDATED=Y","FA_ADJUSTED=GAAP","Sort=A","Dates=H","DateFormat=P","Fill=—","Direction=H","UseDPDF=Y")</f>
        <v>#NAME?</v>
      </c>
      <c r="P476" t="e">
        <f ca="1">_xll.BDH($C$453,"NET_INCOME_TO_COMMON_MARGIN","FQ3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476" t="e">
        <f ca="1">_xll.BDH($C$453,"EFF_TAX_RATE","FQ3 2018","FQ3 2018","Currency=INR","Period=FQ","BEST_FPERIOD_OVERRIDE=FQ","FILING_STATUS=OR","EQY_CONSOLIDATED=Y","FA_ADJUSTED=GAAP","Sort=A","Dates=H","DateFormat=P","Fill=—","Direction=H","UseDPDF=Y")</f>
        <v>#NAME?</v>
      </c>
      <c r="R476" t="e">
        <f ca="1">_xll.BDH($C$453,"DVD_PAYOUT_RATIO","FQ3 2018","FQ3 2018","Currency=INR","Period=FQ","BEST_FPERIOD_OVERRIDE=FQ","FILING_STATUS=OR","EQY_CONSOLIDATED=Y","FA_ADJUSTED=GAAP","Sort=A","Dates=H","DateFormat=P","Fill=—","Direction=H","UseDPDF=Y")</f>
        <v>#NAME?</v>
      </c>
      <c r="S476" t="e">
        <f ca="1">_xll.BDH($C$453,"SUSTAIN_GROWTH_RT","FQ3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476" s="2" t="e">
        <f ca="1">_xll.BDH($C$453,"SALES_GROWTH","FQ3 2018","FQ3 2018","Currency=INR","Period=FQ","BEST_FPERIOD_OVERRIDE=FQ","FILING_STATUS=OR","EQY_CONSOLIDATED=Y","FA_ADJUSTED=GAAP","Sort=A","Dates=H","DateFormat=P","Fill=—","Direction=H","UseDPDF=Y")</f>
        <v>#NAME?</v>
      </c>
      <c r="U476" s="2" t="e">
        <f ca="1">_xll.BDH($C$453,"EBITDA_GROWTH","FQ3 2018","FQ3 2018","Currency=INR","Period=FQ","BEST_FPERIOD_OVERRIDE=FQ","FILING_STATUS=OR","EQY_CONSOLIDATED=Y","FA_ADJUSTED=GAAP","Sort=A","Dates=H","DateFormat=P","Fill=—","Direction=H","UseDPDF=Y")</f>
        <v>#NAME?</v>
      </c>
      <c r="V476" s="2" t="e">
        <f ca="1">_xll.BDH($C$453,"OPER_INC_GROWTH","FQ3 2018","FQ3 2018","Currency=INR","Period=FQ","BEST_FPERIOD_OVERRIDE=FQ","FILING_STATUS=OR","EQY_CONSOLIDATED=Y","FA_ADJUSTED=GAAP","Sort=A","Dates=H","DateFormat=P","Fill=—","Direction=H","UseDPDF=Y")</f>
        <v>#NAME?</v>
      </c>
      <c r="W476" s="2" t="e">
        <f ca="1">_xll.BDH($C$453,"EARN_FOR_COM_GROWTH","FQ3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476" s="2" t="e">
        <f ca="1">_xll.BDH($C$453,"DILUTED_EPS_AFT_XO_ITEMS_GROWTH","FQ3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476" s="2" t="e">
        <f ca="1">_xll.BDH($C$453,"DIVIDEND_PER_SHARE_1_YEAR_GROWTH","FQ3 2018","FQ3 2018","Currency=INR","Period=FQ","BEST_FPERIOD_OVERRIDE=FQ","FILING_STATUS=OR","EQY_CONSOLIDATED=Y","Sort=A","Dates=H","DateFormat=P","Fill=—","Direction=H","UseDPDF=Y")</f>
        <v>#NAME?</v>
      </c>
      <c r="Z476" s="2" t="e">
        <f ca="1">_xll.BDH($C$453,"ACCOUNTS_RECEIVABLE_GROWTH","FQ3 2018","FQ3 2018","Currency=INR","Period=FQ","BEST_FPERIOD_OVERRIDE=FQ","FILING_STATUS=OR","EQY_CONSOLIDATED=Y","Sort=A","Dates=H","DateFormat=P","Fill=—","Direction=H","UseDPDF=Y")</f>
        <v>#NAME?</v>
      </c>
      <c r="AA476" s="2" t="e">
        <f ca="1">_xll.BDH($C$453,"INVENTORY_GROWTH","FQ3 2018","FQ3 2018","Currency=INR","Period=FQ","BEST_FPERIOD_OVERRIDE=FQ","FILING_STATUS=OR","EQY_CONSOLIDATED=Y","Sort=A","Dates=H","DateFormat=P","Fill=—","Direction=H","UseDPDF=Y")</f>
        <v>#NAME?</v>
      </c>
      <c r="AB476" s="2" t="e">
        <f ca="1">_xll.BDH($C$453,"NET_FIXED_ASSETS_1_YEAR_GROWTH","FQ3 2018","FQ3 2018","Currency=INR","Period=FQ","BEST_FPERIOD_OVERRIDE=FQ","FILING_STATUS=OR","EQY_CONSOLIDATED=Y","Sort=A","Dates=H","DateFormat=P","Fill=—","Direction=H","UseDPDF=Y")</f>
        <v>#NAME?</v>
      </c>
      <c r="AC476" s="2" t="e">
        <f ca="1">_xll.BDH($C$453,"ASSET_GROWTH","FQ3 2018","FQ3 2018","Currency=INR","Period=FQ","BEST_FPERIOD_OVERRIDE=FQ","FILING_STATUS=OR","EQY_CONSOLIDATED=Y","Sort=A","Dates=H","DateFormat=P","Fill=—","Direction=H","UseDPDF=Y")</f>
        <v>#NAME?</v>
      </c>
      <c r="AD476" s="2" t="e">
        <f ca="1">_xll.BDH($C$453,"MODIFIED_WORK_CAP_GROWTH","FQ3 2018","FQ3 2018","Currency=INR","Period=FQ","BEST_FPERIOD_OVERRIDE=FQ","FILING_STATUS=OR","EQY_CONSOLIDATED=Y","Sort=A","Dates=H","DateFormat=P","Fill=—","Direction=H","UseDPDF=Y")</f>
        <v>#NAME?</v>
      </c>
      <c r="AE476" s="2" t="e">
        <f ca="1">_xll.BDH($C$453,"WORK_CAP_GROWTH","FQ3 2018","FQ3 2018","Currency=INR","Period=FQ","BEST_FPERIOD_OVERRIDE=FQ","FILING_STATUS=OR","EQY_CONSOLIDATED=Y","Sort=A","Dates=H","DateFormat=P","Fill=—","Direction=H","UseDPDF=Y")</f>
        <v>#NAME?</v>
      </c>
      <c r="AF476" s="2" t="e">
        <f ca="1">_xll.BDH($C$453,"ACCOUNTS_PAYABLE_GROWTH_1YR","FQ3 2018","FQ3 2018","Currency=INR","Period=FQ","BEST_FPERIOD_OVERRIDE=FQ","FILING_STATUS=OR","EQY_CONSOLIDATED=Y","Sort=A","Dates=H","DateFormat=P","Fill=—","Direction=H","UseDPDF=Y")</f>
        <v>#NAME?</v>
      </c>
      <c r="AG476" s="2" t="e">
        <f ca="1">_xll.BDH($C$453,"SHORT_TERM_DEBT_1_YEAR_GROWTH","FQ3 2018","FQ3 2018","Currency=INR","Period=FQ","BEST_FPERIOD_OVERRIDE=FQ","FILING_STATUS=OR","EQY_CONSOLIDATED=Y","Sort=A","Dates=H","DateFormat=P","Fill=—","Direction=H","UseDPDF=Y")</f>
        <v>#NAME?</v>
      </c>
      <c r="AH476" s="2" t="e">
        <f ca="1">_xll.BDH($C$453,"TOTAL_DEBT_1_YEAR_GROWTH","FQ3 2018","FQ3 2018","Currency=INR","Period=FQ","BEST_FPERIOD_OVERRIDE=FQ","FILING_STATUS=OR","EQY_CONSOLIDATED=Y","Sort=A","Dates=H","DateFormat=P","Fill=—","Direction=H","UseDPDF=Y")</f>
        <v>#NAME?</v>
      </c>
      <c r="AI476" s="2" t="e">
        <f ca="1">_xll.BDH($C$453,"TOTAL_EQUITY_1_YEAR_GROWTH","FQ3 2018","FQ3 2018","Currency=INR","Period=FQ","BEST_FPERIOD_OVERRIDE=FQ","FILING_STATUS=OR","EQY_CONSOLIDATED=Y","Sort=A","Dates=H","DateFormat=P","Fill=—","Direction=H","UseDPDF=Y")</f>
        <v>#NAME?</v>
      </c>
      <c r="AJ476" s="2" t="e">
        <f ca="1">_xll.BDH($C$453,"GROWTH_IN_CAP","FQ3 2018","FQ3 2018","Currency=INR","Period=FQ","BEST_FPERIOD_OVERRIDE=FQ","FILING_STATUS=OR","EQY_CONSOLIDATED=Y","Sort=A","Dates=H","DateFormat=P","Fill=—","Direction=H","UseDPDF=Y")</f>
        <v>#NAME?</v>
      </c>
      <c r="AK476" s="2" t="e">
        <f ca="1">_xll.BDH($C$453,"BVPS_GROWTH","FQ3 2018","FQ3 2018","Currency=INR","Period=FQ","BEST_FPERIOD_OVERRIDE=FQ","FILING_STATUS=OR","EQY_CONSOLIDATED=Y","Sort=A","Dates=H","DateFormat=P","Fill=—","Direction=H","UseDPDF=Y")</f>
        <v>#NAME?</v>
      </c>
      <c r="AL476" s="2" t="e">
        <f ca="1">_xll.BDH($C$453,"CASH_FLOW_GROWTH","FQ3 2018","FQ3 2018","Currency=INR","Period=FQ","BEST_FPERIOD_OVERRIDE=FQ","FILING_STATUS=OR","EQY_CONSOLIDATED=Y","Sort=A","Dates=H","DateFormat=P","Fill=—","Direction=H","UseDPDF=Y")</f>
        <v>#NAME?</v>
      </c>
      <c r="AM476" s="2" t="e">
        <f ca="1">_xll.BDH($C$453,"GEO_GROW_NET_SALES","FQ3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476" s="2" t="e">
        <f ca="1">_xll.BDH($C$453,"GEO_GROW_EBITDA","FQ3 2018","FQ3 2018","Currency=INR","Period=FQ","BEST_FPERIOD_OVERRIDE=FQ","FILING_STATUS=OR","EQY_CONSOLIDATED=Y","FA_ADJUSTED=GAAP","Sort=A","Dates=H","DateFormat=P","Fill=—","Direction=H","UseDPDF=Y")</f>
        <v>#NAME?</v>
      </c>
      <c r="AO476" s="2" t="e">
        <f ca="1">_xll.BDH($C$453,"GEO_GROW_OPER_INC","FQ3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476" s="2" t="e">
        <f ca="1">_xll.BDH($C$453,"NET_INCOME_TO_COMMON_5_YR_GROWTH","FQ3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476" s="2" t="e">
        <f ca="1">_xll.BDH($C$453,"5Y_GEO_GROWTH_DILUTED_EPS","FQ3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476" s="2" t="e">
        <f ca="1">_xll.BDH($C$453,"GEO_GROW_DVD_PER_SH","FQ3 2018","FQ3 2018","Currency=INR","Period=FQ","BEST_FPERIOD_OVERRIDE=FQ","FILING_STATUS=OR","EQY_CONSOLIDATED=Y","Sort=A","Dates=H","DateFormat=P","Fill=—","Direction=H","UseDPDF=Y")</f>
        <v>#NAME?</v>
      </c>
      <c r="AS476" s="2" t="e">
        <f ca="1">_xll.BDH($C$453,"ACCOUNTS_RECEIVABLE_5_YR_GROWTH","FQ3 2018","FQ3 2018","Currency=INR","Period=FQ","BEST_FPERIOD_OVERRIDE=FQ","FILING_STATUS=OR","EQY_CONSOLIDATED=Y","Sort=A","Dates=H","DateFormat=P","Fill=—","Direction=H","UseDPDF=Y")</f>
        <v>#NAME?</v>
      </c>
      <c r="AT476" s="2" t="e">
        <f ca="1">_xll.BDH($C$453,"INVENTORY_5_YEAR_GROWTH","FQ3 2018","FQ3 2018","Currency=INR","Period=FQ","BEST_FPERIOD_OVERRIDE=FQ","FILING_STATUS=OR","EQY_CONSOLIDATED=Y","Sort=A","Dates=H","DateFormat=P","Fill=—","Direction=H","UseDPDF=Y")</f>
        <v>#NAME?</v>
      </c>
      <c r="AU476" s="2" t="e">
        <f ca="1">_xll.BDH($C$453,"NET_FIXED_ASSETS_5_YEAR_GROWTH","FQ3 2018","FQ3 2018","Currency=INR","Period=FQ","BEST_FPERIOD_OVERRIDE=FQ","FILING_STATUS=OR","EQY_CONSOLIDATED=Y","Sort=A","Dates=H","DateFormat=P","Fill=—","Direction=H","UseDPDF=Y")</f>
        <v>#NAME?</v>
      </c>
      <c r="AV476" s="2" t="e">
        <f ca="1">_xll.BDH($C$453,"GEO_GROW_TOT_ASSET","FQ3 2018","FQ3 2018","Currency=INR","Period=FQ","BEST_FPERIOD_OVERRIDE=FQ","FILING_STATUS=OR","EQY_CONSOLIDATED=Y","Sort=A","Dates=H","DateFormat=P","Fill=—","Direction=H","UseDPDF=Y")</f>
        <v>#NAME?</v>
      </c>
      <c r="AW476" s="2" t="e">
        <f ca="1">_xll.BDH($C$453,"MODIFIED_WORKING_CPTL_5YR_GRWTH","FQ3 2018","FQ3 2018","Currency=INR","Period=FQ","BEST_FPERIOD_OVERRIDE=FQ","FILING_STATUS=OR","EQY_CONSOLIDATED=Y","Sort=A","Dates=H","DateFormat=P","Fill=—","Direction=H","UseDPDF=Y")</f>
        <v>#NAME?</v>
      </c>
      <c r="AX476" s="2" t="e">
        <f ca="1">_xll.BDH($C$453,"WORKING_CAPITAL_5_YEAR_GROWTH","FQ3 2018","FQ3 2018","Currency=INR","Period=FQ","BEST_FPERIOD_OVERRIDE=FQ","FILING_STATUS=OR","EQY_CONSOLIDATED=Y","Sort=A","Dates=H","DateFormat=P","Fill=—","Direction=H","UseDPDF=Y")</f>
        <v>#NAME?</v>
      </c>
      <c r="AY476" s="2" t="e">
        <f ca="1">_xll.BDH($C$453,"ACCOUNTS_PAYABLE_5_YEAR_GROWTH","FQ3 2018","FQ3 2018","Currency=INR","Period=FQ","BEST_FPERIOD_OVERRIDE=FQ","FILING_STATUS=OR","EQY_CONSOLIDATED=Y","Sort=A","Dates=H","DateFormat=P","Fill=—","Direction=H","UseDPDF=Y")</f>
        <v>#NAME?</v>
      </c>
      <c r="AZ476" s="2" t="e">
        <f ca="1">_xll.BDH($C$453,"SHORT_TERM_DEBT_5_YEAR_GROWTH","FQ3 2018","FQ3 2018","Currency=INR","Period=FQ","BEST_FPERIOD_OVERRIDE=FQ","FILING_STATUS=OR","EQY_CONSOLIDATED=Y","Sort=A","Dates=H","DateFormat=P","Fill=—","Direction=H","UseDPDF=Y")</f>
        <v>#NAME?</v>
      </c>
      <c r="BA476" s="2" t="e">
        <f ca="1">_xll.BDH($C$453,"TOTAL_DEBT_5_YEAR_GROWTH","FQ3 2018","FQ3 2018","Currency=INR","Period=FQ","BEST_FPERIOD_OVERRIDE=FQ","FILING_STATUS=OR","EQY_CONSOLIDATED=Y","Sort=A","Dates=H","DateFormat=P","Fill=—","Direction=H","UseDPDF=Y")</f>
        <v>#NAME?</v>
      </c>
      <c r="BB476" s="2" t="e">
        <f ca="1">_xll.BDH($C$453,"GEO_GROW_TOT_SHRHLDR_EQY","FQ3 2018","FQ3 2018","Currency=INR","Period=FQ","BEST_FPERIOD_OVERRIDE=FQ","FILING_STATUS=OR","EQY_CONSOLIDATED=Y","Sort=A","Dates=H","DateFormat=P","Fill=—","Direction=H","UseDPDF=Y")</f>
        <v>#NAME?</v>
      </c>
      <c r="BC476" s="2" t="e">
        <f ca="1">_xll.BDH($C$453,"TOTAL_CAPITAL_5_YEAR_GROWTH","FQ3 2018","FQ3 2018","Currency=INR","Period=FQ","BEST_FPERIOD_OVERRIDE=FQ","FILING_STATUS=OR","EQY_CONSOLIDATED=Y","Sort=A","Dates=H","DateFormat=P","Fill=—","Direction=H","UseDPDF=Y")</f>
        <v>#NAME?</v>
      </c>
      <c r="BD476" s="2" t="e">
        <f ca="1">_xll.BDH($C$453,"GEO_GROW_BOOK_VAL","FQ3 2018","FQ3 2018","Currency=INR","Period=FQ","BEST_FPERIOD_OVERRIDE=FQ","FILING_STATUS=OR","EQY_CONSOLIDATED=Y","Sort=A","Dates=H","DateFormat=P","Fill=—","Direction=H","UseDPDF=Y")</f>
        <v>#NAME?</v>
      </c>
      <c r="BE476" s="2" t="e">
        <f ca="1">_xll.BDH($C$453,"GEO_GROW_CASH_OPER_ACT","FQ3 2018","FQ3 2018","Currency=INR","Period=FQ","BEST_FPERIOD_OVERRIDE=FQ","FILING_STATUS=OR","EQY_CONSOLIDATED=Y","Sort=A","Dates=H","DateFormat=P","Fill=—","Direction=H","UseDPDF=Y")</f>
        <v>#NAME?</v>
      </c>
      <c r="BF476" s="2" t="e">
        <f ca="1">_xll.BDH($C$453,"REVENUE_SEQUENTIAL_GROWTH","FQ3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476" s="2" t="e">
        <f ca="1">_xll.BDH($C$453,"EBITDA_SEQUENTIAL_GROWTH","FQ3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476" s="2" t="e">
        <f ca="1">_xll.BDH($C$453,"OPERATING_INCOME_SEQ_GROWTH","FQ3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476" s="2" t="e">
        <f ca="1">_xll.BDH($C$453,"NET_INCOME_TO_COMMON_SEQ_GROWTH","FQ3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476" s="2" t="e">
        <f ca="1">_xll.BDH($C$453,"EPS_DILUTED_SEQUENTIAL_GROWTH","FQ3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476" s="2" t="e">
        <f ca="1">_xll.BDH($C$453,"DPS_SEQUENTIAL_GROWTH","FQ3 2018","FQ3 2018","Currency=INR","Period=FQ","BEST_FPERIOD_OVERRIDE=FQ","FILING_STATUS=OR","EQY_CONSOLIDATED=Y","Sort=A","Dates=H","DateFormat=P","Fill=—","Direction=H","UseDPDF=Y")</f>
        <v>#NAME?</v>
      </c>
      <c r="BL476" s="2" t="e">
        <f ca="1">_xll.BDH($C$453,"ACCOUNTS_RECEIVABLE_SEQ_GROWTH","FQ3 2018","FQ3 2018","Currency=INR","Period=FQ","BEST_FPERIOD_OVERRIDE=FQ","FILING_STATUS=OR","EQY_CONSOLIDATED=Y","Sort=A","Dates=H","DateFormat=P","Fill=—","Direction=H","UseDPDF=Y")</f>
        <v>#NAME?</v>
      </c>
      <c r="BM476" s="2" t="e">
        <f ca="1">_xll.BDH($C$453,"INVENTORY_SEQUENTIAL_GROWTH","FQ3 2018","FQ3 2018","Currency=INR","Period=FQ","BEST_FPERIOD_OVERRIDE=FQ","FILING_STATUS=OR","EQY_CONSOLIDATED=Y","Sort=A","Dates=H","DateFormat=P","Fill=—","Direction=H","UseDPDF=Y")</f>
        <v>#NAME?</v>
      </c>
      <c r="BN476" s="2" t="e">
        <f ca="1">_xll.BDH($C$453,"FIXED_ASSETS_SEQUENTIAL_GROWTH","FQ3 2018","FQ3 2018","Currency=INR","Period=FQ","BEST_FPERIOD_OVERRIDE=FQ","FILING_STATUS=OR","EQY_CONSOLIDATED=Y","Sort=A","Dates=H","DateFormat=P","Fill=—","Direction=H","UseDPDF=Y")</f>
        <v>#NAME?</v>
      </c>
      <c r="BO476" s="2" t="e">
        <f ca="1">_xll.BDH($C$453,"TOTAL_ASSETS_SEQUENTIAL_GROWTH","FQ3 2018","FQ3 2018","Currency=INR","Period=FQ","BEST_FPERIOD_OVERRIDE=FQ","FILING_STATUS=OR","EQY_CONSOLIDATED=Y","Sort=A","Dates=H","DateFormat=P","Fill=—","Direction=H","UseDPDF=Y")</f>
        <v>#NAME?</v>
      </c>
      <c r="BP476" s="2" t="e">
        <f ca="1">_xll.BDH($C$453,"MODIFIED_WORKING_CPTL_SEQ_GRWTH","FQ3 2018","FQ3 2018","Currency=INR","Period=FQ","BEST_FPERIOD_OVERRIDE=FQ","FILING_STATUS=OR","EQY_CONSOLIDATED=Y","Sort=A","Dates=H","DateFormat=P","Fill=—","Direction=H","UseDPDF=Y")</f>
        <v>#NAME?</v>
      </c>
      <c r="BQ476" s="2" t="e">
        <f ca="1">_xll.BDH($C$453,"WORKING_CAPITAL_SEQ_GROWTH","FQ3 2018","FQ3 2018","Currency=INR","Period=FQ","BEST_FPERIOD_OVERRIDE=FQ","FILING_STATUS=OR","EQY_CONSOLIDATED=Y","Sort=A","Dates=H","DateFormat=P","Fill=—","Direction=H","UseDPDF=Y")</f>
        <v>#NAME?</v>
      </c>
      <c r="BR476" s="2" t="e">
        <f ca="1">_xll.BDH($C$453,"ACCOUNTS_PAYABLE_SEQ_GROWTH","FQ3 2018","FQ3 2018","Currency=INR","Period=FQ","BEST_FPERIOD_OVERRIDE=FQ","FILING_STATUS=OR","EQY_CONSOLIDATED=Y","Sort=A","Dates=H","DateFormat=P","Fill=—","Direction=H","UseDPDF=Y")</f>
        <v>#NAME?</v>
      </c>
      <c r="BS476" s="2" t="e">
        <f ca="1">_xll.BDH($C$453,"ST_DEBT_SEQUENTIAL_GROWTH","FQ3 2018","FQ3 2018","Currency=INR","Period=FQ","BEST_FPERIOD_OVERRIDE=FQ","FILING_STATUS=OR","EQY_CONSOLIDATED=Y","Sort=A","Dates=H","DateFormat=P","Fill=—","Direction=H","UseDPDF=Y")</f>
        <v>#NAME?</v>
      </c>
      <c r="BT476" s="2" t="e">
        <f ca="1">_xll.BDH($C$453,"TOTAL_DEBT_SEQUENTIAL_GROWTH","FQ3 2018","FQ3 2018","Currency=INR","Period=FQ","BEST_FPERIOD_OVERRIDE=FQ","FILING_STATUS=OR","EQY_CONSOLIDATED=Y","Sort=A","Dates=H","DateFormat=P","Fill=—","Direction=H","UseDPDF=Y")</f>
        <v>#NAME?</v>
      </c>
      <c r="BU476" s="2" t="e">
        <f ca="1">_xll.BDH($C$453,"TOTAL_EQUITY_SEQUENTIAL_GROWTH","FQ3 2018","FQ3 2018","Currency=INR","Period=FQ","BEST_FPERIOD_OVERRIDE=FQ","FILING_STATUS=OR","EQY_CONSOLIDATED=Y","Sort=A","Dates=H","DateFormat=P","Fill=—","Direction=H","UseDPDF=Y")</f>
        <v>#NAME?</v>
      </c>
      <c r="BV476" s="2" t="e">
        <f ca="1">_xll.BDH($C$453,"TOTAL_CAPITAL_SEQUENTIAL_GROWTH","FQ3 2018","FQ3 2018","Currency=INR","Period=FQ","BEST_FPERIOD_OVERRIDE=FQ","FILING_STATUS=OR","EQY_CONSOLIDATED=Y","Sort=A","Dates=H","DateFormat=P","Fill=—","Direction=H","UseDPDF=Y")</f>
        <v>#NAME?</v>
      </c>
      <c r="BW476" s="2" t="e">
        <f ca="1">_xll.BDH($C$453,"BPS_SEQUENTIAL_GROWTH","FQ3 2018","FQ3 2018","Currency=INR","Period=FQ","BEST_FPERIOD_OVERRIDE=FQ","FILING_STATUS=OR","EQY_CONSOLIDATED=Y","Sort=A","Dates=H","DateFormat=P","Fill=—","Direction=H","UseDPDF=Y")</f>
        <v>#NAME?</v>
      </c>
      <c r="BX476" s="2" t="e">
        <f ca="1">_xll.BDH($C$453,"CFO_SEQUENTIAL_GROWTH","FQ3 2018","FQ3 2018","Currency=INR","Period=FQ","BEST_FPERIOD_OVERRIDE=FQ","FILING_STATUS=OR","EQY_CONSOLIDATED=Y","Sort=A","Dates=H","DateFormat=P","Fill=—","Direction=H","UseDPDF=Y")</f>
        <v>#NAME?</v>
      </c>
      <c r="BY476" s="3" t="e">
        <f ca="1">_xll.BDH($C$453,"SHORT_AND_LONG_TERM_DEBT","FQ3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476" s="3" t="e">
        <f ca="1">_xll.BDH($C$453,"BS_ST_BORROW","FQ3 2018","FQ3 2018","Currency=INR","Period=FQ","BEST_FPERIOD_OVERRIDE=FQ","FILING_STATUS=OR","EQY_CONSOLIDATED=Y","SCALING_FORMAT=MLN","Sort=A","Dates=H","DateFormat=P","Fill=—","Direction=H","UseDPDF=Y")</f>
        <v>#NAME?</v>
      </c>
      <c r="CA476" s="3" t="e">
        <f ca="1">_xll.BDH($C$453,"BS_LT_BORROW","FQ3 2018","FQ3 2018","Currency=INR","Period=FQ","BEST_FPERIOD_OVERRIDE=FQ","FILING_STATUS=OR","EQY_CONSOLIDATED=Y","SCALING_FORMAT=MLN","Sort=A","Dates=H","DateFormat=P","Fill=—","Direction=H","UseDPDF=Y")</f>
        <v>#NAME?</v>
      </c>
      <c r="CB476" s="2" t="e">
        <f ca="1">_xll.BDH($C$453,"TOT_DEBT_TO_EBITDA","FQ3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476" s="2" t="e">
        <f ca="1">_xll.BDH($C$453,"NET_DEBT_TO_EBITDA","FQ3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476" s="2" t="e">
        <f ca="1">_xll.BDH($C$453,"TOTAL_DEBT_TO_EBIT","FQ3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476" s="2" t="e">
        <f ca="1">_xll.BDH($C$453,"NET_DEBT_TO_EBIT","FQ3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476" s="2" t="e">
        <f ca="1">_xll.BDH($C$453,"EBITDA_TO_INTEREST_EXPN","FQ3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476" s="2" t="e">
        <f ca="1">_xll.BDH($C$453,"COM_EQY_TO_TOT_ASSET","FQ3 2018","FQ3 2018","Currency=INR","Period=FQ","BEST_FPERIOD_OVERRIDE=FQ","FILING_STATUS=OR","EQY_CONSOLIDATED=Y","Sort=A","Dates=H","DateFormat=P","Fill=—","Direction=H","UseDPDF=Y")</f>
        <v>#NAME?</v>
      </c>
      <c r="CH476" s="2" t="e">
        <f ca="1">_xll.BDH($C$453,"LT_DEBT_TO_TOT_EQY","FQ3 2018","FQ3 2018","Currency=INR","Period=FQ","BEST_FPERIOD_OVERRIDE=FQ","FILING_STATUS=OR","EQY_CONSOLIDATED=Y","Sort=A","Dates=H","DateFormat=P","Fill=—","Direction=H","UseDPDF=Y")</f>
        <v>#NAME?</v>
      </c>
      <c r="CI476" s="2" t="e">
        <f ca="1">_xll.BDH($C$453,"LT_DEBT_TO_TOT_CAP","FQ3 2018","FQ3 2018","Currency=INR","Period=FQ","BEST_FPERIOD_OVERRIDE=FQ","FILING_STATUS=OR","EQY_CONSOLIDATED=Y","Sort=A","Dates=H","DateFormat=P","Fill=—","Direction=H","UseDPDF=Y")</f>
        <v>#NAME?</v>
      </c>
      <c r="CJ476" s="2" t="e">
        <f ca="1">_xll.BDH($C$453,"LT_DEBT_TO_TOT_ASSET","FQ3 2018","FQ3 2018","Currency=INR","Period=FQ","BEST_FPERIOD_OVERRIDE=FQ","FILING_STATUS=OR","EQY_CONSOLIDATED=Y","Sort=A","Dates=H","DateFormat=P","Fill=—","Direction=H","UseDPDF=Y")</f>
        <v>#NAME?</v>
      </c>
      <c r="CK476" s="2" t="e">
        <f ca="1">_xll.BDH($C$453,"TOT_DEBT_TO_TOT_EQY","FQ3 2018","FQ3 2018","Currency=INR","Period=FQ","BEST_FPERIOD_OVERRIDE=FQ","FILING_STATUS=OR","EQY_CONSOLIDATED=Y","Sort=A","Dates=H","DateFormat=P","Fill=—","Direction=H","UseDPDF=Y")</f>
        <v>#NAME?</v>
      </c>
      <c r="CL476" s="2" t="e">
        <f ca="1">_xll.BDH($C$453,"TOT_DEBT_TO_TOT_CAP","FQ3 2018","FQ3 2018","Currency=INR","Period=FQ","BEST_FPERIOD_OVERRIDE=FQ","FILING_STATUS=OR","EQY_CONSOLIDATED=Y","Sort=A","Dates=H","DateFormat=P","Fill=—","Direction=H","UseDPDF=Y")</f>
        <v>#NAME?</v>
      </c>
      <c r="CM476" s="2" t="e">
        <f ca="1">_xll.BDH($C$453,"TOT_DEBT_TO_TOT_ASSET","FQ3 2018","FQ3 2018","Currency=INR","Period=FQ","BEST_FPERIOD_OVERRIDE=FQ","FILING_STATUS=OR","EQY_CONSOLIDATED=Y","Sort=A","Dates=H","DateFormat=P","Fill=—","Direction=H","UseDPDF=Y")</f>
        <v>#NAME?</v>
      </c>
      <c r="CN476" s="2" t="e">
        <f ca="1">_xll.BDH($C$453,"NET_DEBT_TO_SHRHLDR_EQTY","FQ3 2018","FQ3 2018","Currency=INR","Period=FQ","BEST_FPERIOD_OVERRIDE=FQ","FILING_STATUS=OR","EQY_CONSOLIDATED=Y","Sort=A","Dates=H","DateFormat=P","Fill=—","Direction=H","UseDPDF=Y")</f>
        <v>#NAME?</v>
      </c>
      <c r="CO476" s="2" t="e">
        <f ca="1">_xll.BDH($C$453,"NET_DEBT_%_CAPITAL","FQ3 2018","FQ3 2018","Currency=INR","Period=FQ","BEST_FPERIOD_OVERRIDE=FQ","FILING_STATUS=OR","EQY_CONSOLIDATED=Y","Sort=A","Dates=H","DateFormat=P","Fill=—","Direction=H","UseDPDF=Y")</f>
        <v>#NAME?</v>
      </c>
      <c r="CP476" s="3" t="e">
        <f ca="1">_xll.BDH($C$453,"EBITDA","FQ3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476" s="3" t="e">
        <f ca="1">_xll.BDH($C$453,"EBITDA_AFTER_CAPEX","FQ3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476" s="3" t="e">
        <f ca="1">_xll.BDH($C$453,"IS_OPER_INC","FQ3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476" s="2" t="e">
        <f ca="1">_xll.BDH($C$453,"CASH_RATIO","FQ3 2018","FQ3 2018","Currency=INR","Period=FQ","BEST_FPERIOD_OVERRIDE=FQ","FILING_STATUS=OR","EQY_CONSOLIDATED=Y","Sort=A","Dates=H","DateFormat=P","Fill=—","Direction=H","UseDPDF=Y")</f>
        <v>#NAME?</v>
      </c>
      <c r="CT476" s="2" t="e">
        <f ca="1">_xll.BDH($C$453,"CUR_RATIO","FQ3 2018","FQ3 2018","Currency=INR","Period=FQ","BEST_FPERIOD_OVERRIDE=FQ","FILING_STATUS=OR","EQY_CONSOLIDATED=Y","Sort=A","Dates=H","DateFormat=P","Fill=—","Direction=H","UseDPDF=Y")</f>
        <v>#NAME?</v>
      </c>
      <c r="CU476" s="2" t="e">
        <f ca="1">_xll.BDH($C$453,"QUICK_RATIO","FQ3 2018","FQ3 2018","Currency=INR","Period=FQ","BEST_FPERIOD_OVERRIDE=FQ","FILING_STATUS=OR","EQY_CONSOLIDATED=Y","Sort=A","Dates=H","DateFormat=P","Fill=—","Direction=H","UseDPDF=Y")</f>
        <v>#NAME?</v>
      </c>
      <c r="CV476" s="2" t="e">
        <f ca="1">_xll.BDH($C$453,"ALTMAN_Z_SCORE","FQ3 2018","FQ3 2018","Currency=INR","Period=FQ","BEST_FPERIOD_OVERRIDE=FQ","FILING_STATUS=OR","EQY_CONSOLIDATED=Y","Sort=A","Dates=H","DateFormat=P","Fill=—","Direction=H","UseDPDF=Y")</f>
        <v>#NAME?</v>
      </c>
      <c r="CW476" s="4" t="e">
        <f ca="1">_xll.BDH($C$453,"ACCT_RCV_TURN","FQ3 2018","FQ3 2018","Currency=INR","Period=FQ","BEST_FPERIOD_OVERRIDE=FQ","FILING_STATUS=OR","EQY_CONSOLIDATED=Y","FA_ADJUSTED=GAAP","Sort=A","Dates=H","DateFormat=P","Fill=—","Direction=H","UseDPDF=Y")</f>
        <v>#NAME?</v>
      </c>
      <c r="CX476" s="2" t="e">
        <f ca="1">_xll.BDH($C$453,"ACCT_RCV_DAYS","FQ3 2018","FQ3 2018","Currency=INR","Period=FQ","BEST_FPERIOD_OVERRIDE=FQ","FILING_STATUS=OR","EQY_CONSOLIDATED=Y","FA_ADJUSTED=GAAP","Sort=A","Dates=H","DateFormat=P","Fill=—","Direction=H","UseDPDF=Y")</f>
        <v>#NAME?</v>
      </c>
      <c r="CY476" s="4" t="e">
        <f ca="1">_xll.BDH($C$453,"INVENT_TURN","FQ3 2018","FQ3 2018","Currency=INR","Period=FQ","BEST_FPERIOD_OVERRIDE=FQ","FILING_STATUS=OR","EQY_CONSOLIDATED=Y","FA_ADJUSTED=GAAP","Sort=A","Dates=H","DateFormat=P","Fill=—","Direction=H","UseDPDF=Y")</f>
        <v>#NAME?</v>
      </c>
      <c r="CZ476" s="2" t="e">
        <f ca="1">_xll.BDH($C$453,"INVENT_DAYS","FQ3 2018","FQ3 2018","Currency=INR","Period=FQ","BEST_FPERIOD_OVERRIDE=FQ","FILING_STATUS=OR","EQY_CONSOLIDATED=Y","FA_ADJUSTED=GAAP","Sort=A","Dates=H","DateFormat=P","Fill=—","Direction=H","UseDPDF=Y")</f>
        <v>#NAME?</v>
      </c>
      <c r="DA476" s="4" t="e">
        <f ca="1">_xll.BDH($C$453,"ACCOUNTS_PAYABLE_TURNOVER","FQ3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476" s="2" t="e">
        <f ca="1">_xll.BDH($C$453,"ACCOUNTS_PAYABLE_TURNOVER_DAYS","FQ3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476" s="4" t="e">
        <f ca="1">_xll.BDH($C$453,"CASH_CONVERSION_CYCLE","FQ3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476" s="4" t="e">
        <f ca="1">_xll.BDH($C$453,"INV_TO_CASH_DAYS","FQ3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476" s="5" t="e">
        <f ca="1">_xll.BDH($C$453,"BS_INVENTORIES","FQ3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476" s="3" t="e">
        <f ca="1">_xll.BDH($C$453,"INVTRY_RAW_MATERIALS","FQ3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476" s="3" t="e">
        <f ca="1">_xll.BDH($C$453,"INVTRY_IN_PROGRESS","FQ3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476" s="3" t="e">
        <f ca="1">_xll.BDH($C$453,"INVTRY_FINISHED_GOODS","FQ3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476" s="3" t="e">
        <f ca="1">_xll.BDH($C$453,"BS_OTHER_INV","FQ3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477" spans="1:113" x14ac:dyDescent="0.3">
      <c r="A477" s="6"/>
      <c r="B477" s="6"/>
      <c r="C477" s="6"/>
      <c r="D477" s="6"/>
      <c r="E477" t="s">
        <v>81</v>
      </c>
      <c r="F477" t="e">
        <f ca="1">_xll.BDH($C$453,"RETURN_COM_EQY","FQ4 2018","FQ4 2018","Currency=INR","Period=FQ","BEST_FPERIOD_OVERRIDE=FQ","FILING_STATUS=OR","EQY_CONSOLIDATED=Y","FA_ADJUSTED=GAAP","Sort=A","Dates=H","DateFormat=P","Fill=—","Direction=H","UseDPDF=Y")</f>
        <v>#NAME?</v>
      </c>
      <c r="G477" t="e">
        <f ca="1">_xll.BDH($C$453,"RETURN_ON_ASSET","FQ4 2018","FQ4 2018","Currency=INR","Period=FQ","BEST_FPERIOD_OVERRIDE=FQ","FILING_STATUS=OR","EQY_CONSOLIDATED=Y","FA_ADJUSTED=GAAP","Sort=A","Dates=H","DateFormat=P","Fill=—","Direction=H","UseDPDF=Y")</f>
        <v>#NAME?</v>
      </c>
      <c r="H477" t="e">
        <f ca="1">_xll.BDH($C$453,"RETURN_ON_CAP","FQ4 2018","FQ4 2018","Currency=INR","Period=FQ","BEST_FPERIOD_OVERRIDE=FQ","FILING_STATUS=OR","EQY_CONSOLIDATED=Y","FA_ADJUSTED=GAAP","Sort=A","Dates=H","DateFormat=P","Fill=—","Direction=H","UseDPDF=Y")</f>
        <v>#NAME?</v>
      </c>
      <c r="I477" t="e">
        <f ca="1">_xll.BDH($C$453,"RETURN_ON_INV_CAPITAL","FQ4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477" t="e">
        <f ca="1">_xll.BDH($C$453,"EBITDA_TO_REVENUE","FQ4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477" t="e">
        <f ca="1">_xll.BDH($C$453,"OPER_MARGIN","FQ4 2018","FQ4 2018","Currency=INR","Period=FQ","BEST_FPERIOD_OVERRIDE=FQ","FILING_STATUS=OR","EQY_CONSOLIDATED=Y","FA_ADJUSTED=GAAP","Sort=A","Dates=H","DateFormat=P","Fill=—","Direction=H","UseDPDF=Y")</f>
        <v>#NAME?</v>
      </c>
      <c r="L477" t="e">
        <f ca="1">_xll.BDH($C$453,"INCREMENTAL_OPERATING_MARGIN","FQ4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477" t="e">
        <f ca="1">_xll.BDH($C$453,"PRETAX_INC_TO_NET_SALES","FQ4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477" t="e">
        <f ca="1">_xll.BDH($C$453,"INC_BEF_XO_ITEMS_TO_NET_SALES","FQ4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477" t="e">
        <f ca="1">_xll.BDH($C$453,"PROF_MARGIN","FQ4 2018","FQ4 2018","Currency=INR","Period=FQ","BEST_FPERIOD_OVERRIDE=FQ","FILING_STATUS=OR","EQY_CONSOLIDATED=Y","FA_ADJUSTED=GAAP","Sort=A","Dates=H","DateFormat=P","Fill=—","Direction=H","UseDPDF=Y")</f>
        <v>#NAME?</v>
      </c>
      <c r="P477" t="e">
        <f ca="1">_xll.BDH($C$453,"NET_INCOME_TO_COMMON_MARGIN","FQ4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477" t="e">
        <f ca="1">_xll.BDH($C$453,"EFF_TAX_RATE","FQ4 2018","FQ4 2018","Currency=INR","Period=FQ","BEST_FPERIOD_OVERRIDE=FQ","FILING_STATUS=OR","EQY_CONSOLIDATED=Y","FA_ADJUSTED=GAAP","Sort=A","Dates=H","DateFormat=P","Fill=—","Direction=H","UseDPDF=Y")</f>
        <v>#NAME?</v>
      </c>
      <c r="R477" t="e">
        <f ca="1">_xll.BDH($C$453,"DVD_PAYOUT_RATIO","FQ4 2018","FQ4 2018","Currency=INR","Period=FQ","BEST_FPERIOD_OVERRIDE=FQ","FILING_STATUS=OR","EQY_CONSOLIDATED=Y","FA_ADJUSTED=GAAP","Sort=A","Dates=H","DateFormat=P","Fill=—","Direction=H","UseDPDF=Y")</f>
        <v>#NAME?</v>
      </c>
      <c r="S477" t="e">
        <f ca="1">_xll.BDH($C$453,"SUSTAIN_GROWTH_RT","FQ4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477" s="2" t="e">
        <f ca="1">_xll.BDH($C$453,"SALES_GROWTH","FQ4 2018","FQ4 2018","Currency=INR","Period=FQ","BEST_FPERIOD_OVERRIDE=FQ","FILING_STATUS=OR","EQY_CONSOLIDATED=Y","FA_ADJUSTED=GAAP","Sort=A","Dates=H","DateFormat=P","Fill=—","Direction=H","UseDPDF=Y")</f>
        <v>#NAME?</v>
      </c>
      <c r="U477" s="2" t="e">
        <f ca="1">_xll.BDH($C$453,"EBITDA_GROWTH","FQ4 2018","FQ4 2018","Currency=INR","Period=FQ","BEST_FPERIOD_OVERRIDE=FQ","FILING_STATUS=OR","EQY_CONSOLIDATED=Y","FA_ADJUSTED=GAAP","Sort=A","Dates=H","DateFormat=P","Fill=—","Direction=H","UseDPDF=Y")</f>
        <v>#NAME?</v>
      </c>
      <c r="V477" s="2" t="e">
        <f ca="1">_xll.BDH($C$453,"OPER_INC_GROWTH","FQ4 2018","FQ4 2018","Currency=INR","Period=FQ","BEST_FPERIOD_OVERRIDE=FQ","FILING_STATUS=OR","EQY_CONSOLIDATED=Y","FA_ADJUSTED=GAAP","Sort=A","Dates=H","DateFormat=P","Fill=—","Direction=H","UseDPDF=Y")</f>
        <v>#NAME?</v>
      </c>
      <c r="W477" s="2" t="e">
        <f ca="1">_xll.BDH($C$453,"EARN_FOR_COM_GROWTH","FQ4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477" s="2" t="e">
        <f ca="1">_xll.BDH($C$453,"DILUTED_EPS_AFT_XO_ITEMS_GROWTH","FQ4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477" s="2" t="e">
        <f ca="1">_xll.BDH($C$453,"DIVIDEND_PER_SHARE_1_YEAR_GROWTH","FQ4 2018","FQ4 2018","Currency=INR","Period=FQ","BEST_FPERIOD_OVERRIDE=FQ","FILING_STATUS=OR","EQY_CONSOLIDATED=Y","Sort=A","Dates=H","DateFormat=P","Fill=—","Direction=H","UseDPDF=Y")</f>
        <v>#NAME?</v>
      </c>
      <c r="Z477" s="2" t="e">
        <f ca="1">_xll.BDH($C$453,"ACCOUNTS_RECEIVABLE_GROWTH","FQ4 2018","FQ4 2018","Currency=INR","Period=FQ","BEST_FPERIOD_OVERRIDE=FQ","FILING_STATUS=OR","EQY_CONSOLIDATED=Y","Sort=A","Dates=H","DateFormat=P","Fill=—","Direction=H","UseDPDF=Y")</f>
        <v>#NAME?</v>
      </c>
      <c r="AA477" s="2" t="e">
        <f ca="1">_xll.BDH($C$453,"INVENTORY_GROWTH","FQ4 2018","FQ4 2018","Currency=INR","Period=FQ","BEST_FPERIOD_OVERRIDE=FQ","FILING_STATUS=OR","EQY_CONSOLIDATED=Y","Sort=A","Dates=H","DateFormat=P","Fill=—","Direction=H","UseDPDF=Y")</f>
        <v>#NAME?</v>
      </c>
      <c r="AB477" s="2" t="e">
        <f ca="1">_xll.BDH($C$453,"NET_FIXED_ASSETS_1_YEAR_GROWTH","FQ4 2018","FQ4 2018","Currency=INR","Period=FQ","BEST_FPERIOD_OVERRIDE=FQ","FILING_STATUS=OR","EQY_CONSOLIDATED=Y","Sort=A","Dates=H","DateFormat=P","Fill=—","Direction=H","UseDPDF=Y")</f>
        <v>#NAME?</v>
      </c>
      <c r="AC477" s="2" t="e">
        <f ca="1">_xll.BDH($C$453,"ASSET_GROWTH","FQ4 2018","FQ4 2018","Currency=INR","Period=FQ","BEST_FPERIOD_OVERRIDE=FQ","FILING_STATUS=OR","EQY_CONSOLIDATED=Y","Sort=A","Dates=H","DateFormat=P","Fill=—","Direction=H","UseDPDF=Y")</f>
        <v>#NAME?</v>
      </c>
      <c r="AD477" s="2" t="e">
        <f ca="1">_xll.BDH($C$453,"MODIFIED_WORK_CAP_GROWTH","FQ4 2018","FQ4 2018","Currency=INR","Period=FQ","BEST_FPERIOD_OVERRIDE=FQ","FILING_STATUS=OR","EQY_CONSOLIDATED=Y","Sort=A","Dates=H","DateFormat=P","Fill=—","Direction=H","UseDPDF=Y")</f>
        <v>#NAME?</v>
      </c>
      <c r="AE477" s="2" t="e">
        <f ca="1">_xll.BDH($C$453,"WORK_CAP_GROWTH","FQ4 2018","FQ4 2018","Currency=INR","Period=FQ","BEST_FPERIOD_OVERRIDE=FQ","FILING_STATUS=OR","EQY_CONSOLIDATED=Y","Sort=A","Dates=H","DateFormat=P","Fill=—","Direction=H","UseDPDF=Y")</f>
        <v>#NAME?</v>
      </c>
      <c r="AF477" s="2" t="e">
        <f ca="1">_xll.BDH($C$453,"ACCOUNTS_PAYABLE_GROWTH_1YR","FQ4 2018","FQ4 2018","Currency=INR","Period=FQ","BEST_FPERIOD_OVERRIDE=FQ","FILING_STATUS=OR","EQY_CONSOLIDATED=Y","Sort=A","Dates=H","DateFormat=P","Fill=—","Direction=H","UseDPDF=Y")</f>
        <v>#NAME?</v>
      </c>
      <c r="AG477" s="2" t="e">
        <f ca="1">_xll.BDH($C$453,"SHORT_TERM_DEBT_1_YEAR_GROWTH","FQ4 2018","FQ4 2018","Currency=INR","Period=FQ","BEST_FPERIOD_OVERRIDE=FQ","FILING_STATUS=OR","EQY_CONSOLIDATED=Y","Sort=A","Dates=H","DateFormat=P","Fill=—","Direction=H","UseDPDF=Y")</f>
        <v>#NAME?</v>
      </c>
      <c r="AH477" s="2" t="e">
        <f ca="1">_xll.BDH($C$453,"TOTAL_DEBT_1_YEAR_GROWTH","FQ4 2018","FQ4 2018","Currency=INR","Period=FQ","BEST_FPERIOD_OVERRIDE=FQ","FILING_STATUS=OR","EQY_CONSOLIDATED=Y","Sort=A","Dates=H","DateFormat=P","Fill=—","Direction=H","UseDPDF=Y")</f>
        <v>#NAME?</v>
      </c>
      <c r="AI477" s="2" t="e">
        <f ca="1">_xll.BDH($C$453,"TOTAL_EQUITY_1_YEAR_GROWTH","FQ4 2018","FQ4 2018","Currency=INR","Period=FQ","BEST_FPERIOD_OVERRIDE=FQ","FILING_STATUS=OR","EQY_CONSOLIDATED=Y","Sort=A","Dates=H","DateFormat=P","Fill=—","Direction=H","UseDPDF=Y")</f>
        <v>#NAME?</v>
      </c>
      <c r="AJ477" s="2" t="e">
        <f ca="1">_xll.BDH($C$453,"GROWTH_IN_CAP","FQ4 2018","FQ4 2018","Currency=INR","Period=FQ","BEST_FPERIOD_OVERRIDE=FQ","FILING_STATUS=OR","EQY_CONSOLIDATED=Y","Sort=A","Dates=H","DateFormat=P","Fill=—","Direction=H","UseDPDF=Y")</f>
        <v>#NAME?</v>
      </c>
      <c r="AK477" s="2" t="e">
        <f ca="1">_xll.BDH($C$453,"BVPS_GROWTH","FQ4 2018","FQ4 2018","Currency=INR","Period=FQ","BEST_FPERIOD_OVERRIDE=FQ","FILING_STATUS=OR","EQY_CONSOLIDATED=Y","Sort=A","Dates=H","DateFormat=P","Fill=—","Direction=H","UseDPDF=Y")</f>
        <v>#NAME?</v>
      </c>
      <c r="AL477" s="2" t="e">
        <f ca="1">_xll.BDH($C$453,"CASH_FLOW_GROWTH","FQ4 2018","FQ4 2018","Currency=INR","Period=FQ","BEST_FPERIOD_OVERRIDE=FQ","FILING_STATUS=OR","EQY_CONSOLIDATED=Y","Sort=A","Dates=H","DateFormat=P","Fill=—","Direction=H","UseDPDF=Y")</f>
        <v>#NAME?</v>
      </c>
      <c r="AM477" s="2" t="e">
        <f ca="1">_xll.BDH($C$453,"GEO_GROW_NET_SALES","FQ4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477" s="2" t="e">
        <f ca="1">_xll.BDH($C$453,"GEO_GROW_EBITDA","FQ4 2018","FQ4 2018","Currency=INR","Period=FQ","BEST_FPERIOD_OVERRIDE=FQ","FILING_STATUS=OR","EQY_CONSOLIDATED=Y","FA_ADJUSTED=GAAP","Sort=A","Dates=H","DateFormat=P","Fill=—","Direction=H","UseDPDF=Y")</f>
        <v>#NAME?</v>
      </c>
      <c r="AO477" s="2" t="e">
        <f ca="1">_xll.BDH($C$453,"GEO_GROW_OPER_INC","FQ4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477" s="2" t="e">
        <f ca="1">_xll.BDH($C$453,"NET_INCOME_TO_COMMON_5_YR_GROWTH","FQ4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477" s="2" t="e">
        <f ca="1">_xll.BDH($C$453,"5Y_GEO_GROWTH_DILUTED_EPS","FQ4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477" s="2" t="e">
        <f ca="1">_xll.BDH($C$453,"GEO_GROW_DVD_PER_SH","FQ4 2018","FQ4 2018","Currency=INR","Period=FQ","BEST_FPERIOD_OVERRIDE=FQ","FILING_STATUS=OR","EQY_CONSOLIDATED=Y","Sort=A","Dates=H","DateFormat=P","Fill=—","Direction=H","UseDPDF=Y")</f>
        <v>#NAME?</v>
      </c>
      <c r="AS477" s="2" t="e">
        <f ca="1">_xll.BDH($C$453,"ACCOUNTS_RECEIVABLE_5_YR_GROWTH","FQ4 2018","FQ4 2018","Currency=INR","Period=FQ","BEST_FPERIOD_OVERRIDE=FQ","FILING_STATUS=OR","EQY_CONSOLIDATED=Y","Sort=A","Dates=H","DateFormat=P","Fill=—","Direction=H","UseDPDF=Y")</f>
        <v>#NAME?</v>
      </c>
      <c r="AT477" s="2" t="e">
        <f ca="1">_xll.BDH($C$453,"INVENTORY_5_YEAR_GROWTH","FQ4 2018","FQ4 2018","Currency=INR","Period=FQ","BEST_FPERIOD_OVERRIDE=FQ","FILING_STATUS=OR","EQY_CONSOLIDATED=Y","Sort=A","Dates=H","DateFormat=P","Fill=—","Direction=H","UseDPDF=Y")</f>
        <v>#NAME?</v>
      </c>
      <c r="AU477" s="2" t="e">
        <f ca="1">_xll.BDH($C$453,"NET_FIXED_ASSETS_5_YEAR_GROWTH","FQ4 2018","FQ4 2018","Currency=INR","Period=FQ","BEST_FPERIOD_OVERRIDE=FQ","FILING_STATUS=OR","EQY_CONSOLIDATED=Y","Sort=A","Dates=H","DateFormat=P","Fill=—","Direction=H","UseDPDF=Y")</f>
        <v>#NAME?</v>
      </c>
      <c r="AV477" s="2" t="e">
        <f ca="1">_xll.BDH($C$453,"GEO_GROW_TOT_ASSET","FQ4 2018","FQ4 2018","Currency=INR","Period=FQ","BEST_FPERIOD_OVERRIDE=FQ","FILING_STATUS=OR","EQY_CONSOLIDATED=Y","Sort=A","Dates=H","DateFormat=P","Fill=—","Direction=H","UseDPDF=Y")</f>
        <v>#NAME?</v>
      </c>
      <c r="AW477" s="2" t="e">
        <f ca="1">_xll.BDH($C$453,"MODIFIED_WORKING_CPTL_5YR_GRWTH","FQ4 2018","FQ4 2018","Currency=INR","Period=FQ","BEST_FPERIOD_OVERRIDE=FQ","FILING_STATUS=OR","EQY_CONSOLIDATED=Y","Sort=A","Dates=H","DateFormat=P","Fill=—","Direction=H","UseDPDF=Y")</f>
        <v>#NAME?</v>
      </c>
      <c r="AX477" s="2" t="e">
        <f ca="1">_xll.BDH($C$453,"WORKING_CAPITAL_5_YEAR_GROWTH","FQ4 2018","FQ4 2018","Currency=INR","Period=FQ","BEST_FPERIOD_OVERRIDE=FQ","FILING_STATUS=OR","EQY_CONSOLIDATED=Y","Sort=A","Dates=H","DateFormat=P","Fill=—","Direction=H","UseDPDF=Y")</f>
        <v>#NAME?</v>
      </c>
      <c r="AY477" s="2" t="e">
        <f ca="1">_xll.BDH($C$453,"ACCOUNTS_PAYABLE_5_YEAR_GROWTH","FQ4 2018","FQ4 2018","Currency=INR","Period=FQ","BEST_FPERIOD_OVERRIDE=FQ","FILING_STATUS=OR","EQY_CONSOLIDATED=Y","Sort=A","Dates=H","DateFormat=P","Fill=—","Direction=H","UseDPDF=Y")</f>
        <v>#NAME?</v>
      </c>
      <c r="AZ477" s="2" t="e">
        <f ca="1">_xll.BDH($C$453,"SHORT_TERM_DEBT_5_YEAR_GROWTH","FQ4 2018","FQ4 2018","Currency=INR","Period=FQ","BEST_FPERIOD_OVERRIDE=FQ","FILING_STATUS=OR","EQY_CONSOLIDATED=Y","Sort=A","Dates=H","DateFormat=P","Fill=—","Direction=H","UseDPDF=Y")</f>
        <v>#NAME?</v>
      </c>
      <c r="BA477" s="2" t="e">
        <f ca="1">_xll.BDH($C$453,"TOTAL_DEBT_5_YEAR_GROWTH","FQ4 2018","FQ4 2018","Currency=INR","Period=FQ","BEST_FPERIOD_OVERRIDE=FQ","FILING_STATUS=OR","EQY_CONSOLIDATED=Y","Sort=A","Dates=H","DateFormat=P","Fill=—","Direction=H","UseDPDF=Y")</f>
        <v>#NAME?</v>
      </c>
      <c r="BB477" s="2" t="e">
        <f ca="1">_xll.BDH($C$453,"GEO_GROW_TOT_SHRHLDR_EQY","FQ4 2018","FQ4 2018","Currency=INR","Period=FQ","BEST_FPERIOD_OVERRIDE=FQ","FILING_STATUS=OR","EQY_CONSOLIDATED=Y","Sort=A","Dates=H","DateFormat=P","Fill=—","Direction=H","UseDPDF=Y")</f>
        <v>#NAME?</v>
      </c>
      <c r="BC477" s="2" t="e">
        <f ca="1">_xll.BDH($C$453,"TOTAL_CAPITAL_5_YEAR_GROWTH","FQ4 2018","FQ4 2018","Currency=INR","Period=FQ","BEST_FPERIOD_OVERRIDE=FQ","FILING_STATUS=OR","EQY_CONSOLIDATED=Y","Sort=A","Dates=H","DateFormat=P","Fill=—","Direction=H","UseDPDF=Y")</f>
        <v>#NAME?</v>
      </c>
      <c r="BD477" s="2" t="e">
        <f ca="1">_xll.BDH($C$453,"GEO_GROW_BOOK_VAL","FQ4 2018","FQ4 2018","Currency=INR","Period=FQ","BEST_FPERIOD_OVERRIDE=FQ","FILING_STATUS=OR","EQY_CONSOLIDATED=Y","Sort=A","Dates=H","DateFormat=P","Fill=—","Direction=H","UseDPDF=Y")</f>
        <v>#NAME?</v>
      </c>
      <c r="BE477" s="2" t="e">
        <f ca="1">_xll.BDH($C$453,"GEO_GROW_CASH_OPER_ACT","FQ4 2018","FQ4 2018","Currency=INR","Period=FQ","BEST_FPERIOD_OVERRIDE=FQ","FILING_STATUS=OR","EQY_CONSOLIDATED=Y","Sort=A","Dates=H","DateFormat=P","Fill=—","Direction=H","UseDPDF=Y")</f>
        <v>#NAME?</v>
      </c>
      <c r="BF477" s="2" t="e">
        <f ca="1">_xll.BDH($C$453,"REVENUE_SEQUENTIAL_GROWTH","FQ4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477" s="2" t="e">
        <f ca="1">_xll.BDH($C$453,"EBITDA_SEQUENTIAL_GROWTH","FQ4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477" s="2" t="e">
        <f ca="1">_xll.BDH($C$453,"OPERATING_INCOME_SEQ_GROWTH","FQ4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477" s="2" t="e">
        <f ca="1">_xll.BDH($C$453,"NET_INCOME_TO_COMMON_SEQ_GROWTH","FQ4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477" s="2" t="e">
        <f ca="1">_xll.BDH($C$453,"EPS_DILUTED_SEQUENTIAL_GROWTH","FQ4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477" s="2" t="e">
        <f ca="1">_xll.BDH($C$453,"DPS_SEQUENTIAL_GROWTH","FQ4 2018","FQ4 2018","Currency=INR","Period=FQ","BEST_FPERIOD_OVERRIDE=FQ","FILING_STATUS=OR","EQY_CONSOLIDATED=Y","Sort=A","Dates=H","DateFormat=P","Fill=—","Direction=H","UseDPDF=Y")</f>
        <v>#NAME?</v>
      </c>
      <c r="BL477" s="2" t="e">
        <f ca="1">_xll.BDH($C$453,"ACCOUNTS_RECEIVABLE_SEQ_GROWTH","FQ4 2018","FQ4 2018","Currency=INR","Period=FQ","BEST_FPERIOD_OVERRIDE=FQ","FILING_STATUS=OR","EQY_CONSOLIDATED=Y","Sort=A","Dates=H","DateFormat=P","Fill=—","Direction=H","UseDPDF=Y")</f>
        <v>#NAME?</v>
      </c>
      <c r="BM477" s="2" t="e">
        <f ca="1">_xll.BDH($C$453,"INVENTORY_SEQUENTIAL_GROWTH","FQ4 2018","FQ4 2018","Currency=INR","Period=FQ","BEST_FPERIOD_OVERRIDE=FQ","FILING_STATUS=OR","EQY_CONSOLIDATED=Y","Sort=A","Dates=H","DateFormat=P","Fill=—","Direction=H","UseDPDF=Y")</f>
        <v>#NAME?</v>
      </c>
      <c r="BN477" s="2" t="e">
        <f ca="1">_xll.BDH($C$453,"FIXED_ASSETS_SEQUENTIAL_GROWTH","FQ4 2018","FQ4 2018","Currency=INR","Period=FQ","BEST_FPERIOD_OVERRIDE=FQ","FILING_STATUS=OR","EQY_CONSOLIDATED=Y","Sort=A","Dates=H","DateFormat=P","Fill=—","Direction=H","UseDPDF=Y")</f>
        <v>#NAME?</v>
      </c>
      <c r="BO477" s="2" t="e">
        <f ca="1">_xll.BDH($C$453,"TOTAL_ASSETS_SEQUENTIAL_GROWTH","FQ4 2018","FQ4 2018","Currency=INR","Period=FQ","BEST_FPERIOD_OVERRIDE=FQ","FILING_STATUS=OR","EQY_CONSOLIDATED=Y","Sort=A","Dates=H","DateFormat=P","Fill=—","Direction=H","UseDPDF=Y")</f>
        <v>#NAME?</v>
      </c>
      <c r="BP477" s="2" t="e">
        <f ca="1">_xll.BDH($C$453,"MODIFIED_WORKING_CPTL_SEQ_GRWTH","FQ4 2018","FQ4 2018","Currency=INR","Period=FQ","BEST_FPERIOD_OVERRIDE=FQ","FILING_STATUS=OR","EQY_CONSOLIDATED=Y","Sort=A","Dates=H","DateFormat=P","Fill=—","Direction=H","UseDPDF=Y")</f>
        <v>#NAME?</v>
      </c>
      <c r="BQ477" s="2" t="e">
        <f ca="1">_xll.BDH($C$453,"WORKING_CAPITAL_SEQ_GROWTH","FQ4 2018","FQ4 2018","Currency=INR","Period=FQ","BEST_FPERIOD_OVERRIDE=FQ","FILING_STATUS=OR","EQY_CONSOLIDATED=Y","Sort=A","Dates=H","DateFormat=P","Fill=—","Direction=H","UseDPDF=Y")</f>
        <v>#NAME?</v>
      </c>
      <c r="BR477" s="2" t="e">
        <f ca="1">_xll.BDH($C$453,"ACCOUNTS_PAYABLE_SEQ_GROWTH","FQ4 2018","FQ4 2018","Currency=INR","Period=FQ","BEST_FPERIOD_OVERRIDE=FQ","FILING_STATUS=OR","EQY_CONSOLIDATED=Y","Sort=A","Dates=H","DateFormat=P","Fill=—","Direction=H","UseDPDF=Y")</f>
        <v>#NAME?</v>
      </c>
      <c r="BS477" s="2" t="e">
        <f ca="1">_xll.BDH($C$453,"ST_DEBT_SEQUENTIAL_GROWTH","FQ4 2018","FQ4 2018","Currency=INR","Period=FQ","BEST_FPERIOD_OVERRIDE=FQ","FILING_STATUS=OR","EQY_CONSOLIDATED=Y","Sort=A","Dates=H","DateFormat=P","Fill=—","Direction=H","UseDPDF=Y")</f>
        <v>#NAME?</v>
      </c>
      <c r="BT477" s="2" t="e">
        <f ca="1">_xll.BDH($C$453,"TOTAL_DEBT_SEQUENTIAL_GROWTH","FQ4 2018","FQ4 2018","Currency=INR","Period=FQ","BEST_FPERIOD_OVERRIDE=FQ","FILING_STATUS=OR","EQY_CONSOLIDATED=Y","Sort=A","Dates=H","DateFormat=P","Fill=—","Direction=H","UseDPDF=Y")</f>
        <v>#NAME?</v>
      </c>
      <c r="BU477" s="2" t="e">
        <f ca="1">_xll.BDH($C$453,"TOTAL_EQUITY_SEQUENTIAL_GROWTH","FQ4 2018","FQ4 2018","Currency=INR","Period=FQ","BEST_FPERIOD_OVERRIDE=FQ","FILING_STATUS=OR","EQY_CONSOLIDATED=Y","Sort=A","Dates=H","DateFormat=P","Fill=—","Direction=H","UseDPDF=Y")</f>
        <v>#NAME?</v>
      </c>
      <c r="BV477" s="2" t="e">
        <f ca="1">_xll.BDH($C$453,"TOTAL_CAPITAL_SEQUENTIAL_GROWTH","FQ4 2018","FQ4 2018","Currency=INR","Period=FQ","BEST_FPERIOD_OVERRIDE=FQ","FILING_STATUS=OR","EQY_CONSOLIDATED=Y","Sort=A","Dates=H","DateFormat=P","Fill=—","Direction=H","UseDPDF=Y")</f>
        <v>#NAME?</v>
      </c>
      <c r="BW477" s="2" t="e">
        <f ca="1">_xll.BDH($C$453,"BPS_SEQUENTIAL_GROWTH","FQ4 2018","FQ4 2018","Currency=INR","Period=FQ","BEST_FPERIOD_OVERRIDE=FQ","FILING_STATUS=OR","EQY_CONSOLIDATED=Y","Sort=A","Dates=H","DateFormat=P","Fill=—","Direction=H","UseDPDF=Y")</f>
        <v>#NAME?</v>
      </c>
      <c r="BX477" s="2" t="e">
        <f ca="1">_xll.BDH($C$453,"CFO_SEQUENTIAL_GROWTH","FQ4 2018","FQ4 2018","Currency=INR","Period=FQ","BEST_FPERIOD_OVERRIDE=FQ","FILING_STATUS=OR","EQY_CONSOLIDATED=Y","Sort=A","Dates=H","DateFormat=P","Fill=—","Direction=H","UseDPDF=Y")</f>
        <v>#NAME?</v>
      </c>
      <c r="BY477" s="3" t="e">
        <f ca="1">_xll.BDH($C$453,"SHORT_AND_LONG_TERM_DEBT","FQ4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477" s="3" t="e">
        <f ca="1">_xll.BDH($C$453,"BS_ST_BORROW","FQ4 2018","FQ4 2018","Currency=INR","Period=FQ","BEST_FPERIOD_OVERRIDE=FQ","FILING_STATUS=OR","EQY_CONSOLIDATED=Y","SCALING_FORMAT=MLN","Sort=A","Dates=H","DateFormat=P","Fill=—","Direction=H","UseDPDF=Y")</f>
        <v>#NAME?</v>
      </c>
      <c r="CA477" s="3" t="e">
        <f ca="1">_xll.BDH($C$453,"BS_LT_BORROW","FQ4 2018","FQ4 2018","Currency=INR","Period=FQ","BEST_FPERIOD_OVERRIDE=FQ","FILING_STATUS=OR","EQY_CONSOLIDATED=Y","SCALING_FORMAT=MLN","Sort=A","Dates=H","DateFormat=P","Fill=—","Direction=H","UseDPDF=Y")</f>
        <v>#NAME?</v>
      </c>
      <c r="CB477" s="2" t="e">
        <f ca="1">_xll.BDH($C$453,"TOT_DEBT_TO_EBITDA","FQ4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477" s="2" t="e">
        <f ca="1">_xll.BDH($C$453,"NET_DEBT_TO_EBITDA","FQ4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477" s="2" t="e">
        <f ca="1">_xll.BDH($C$453,"TOTAL_DEBT_TO_EBIT","FQ4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477" s="2" t="e">
        <f ca="1">_xll.BDH($C$453,"NET_DEBT_TO_EBIT","FQ4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477" s="2" t="e">
        <f ca="1">_xll.BDH($C$453,"EBITDA_TO_INTEREST_EXPN","FQ4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477" s="2" t="e">
        <f ca="1">_xll.BDH($C$453,"COM_EQY_TO_TOT_ASSET","FQ4 2018","FQ4 2018","Currency=INR","Period=FQ","BEST_FPERIOD_OVERRIDE=FQ","FILING_STATUS=OR","EQY_CONSOLIDATED=Y","Sort=A","Dates=H","DateFormat=P","Fill=—","Direction=H","UseDPDF=Y")</f>
        <v>#NAME?</v>
      </c>
      <c r="CH477" s="2" t="e">
        <f ca="1">_xll.BDH($C$453,"LT_DEBT_TO_TOT_EQY","FQ4 2018","FQ4 2018","Currency=INR","Period=FQ","BEST_FPERIOD_OVERRIDE=FQ","FILING_STATUS=OR","EQY_CONSOLIDATED=Y","Sort=A","Dates=H","DateFormat=P","Fill=—","Direction=H","UseDPDF=Y")</f>
        <v>#NAME?</v>
      </c>
      <c r="CI477" s="2" t="e">
        <f ca="1">_xll.BDH($C$453,"LT_DEBT_TO_TOT_CAP","FQ4 2018","FQ4 2018","Currency=INR","Period=FQ","BEST_FPERIOD_OVERRIDE=FQ","FILING_STATUS=OR","EQY_CONSOLIDATED=Y","Sort=A","Dates=H","DateFormat=P","Fill=—","Direction=H","UseDPDF=Y")</f>
        <v>#NAME?</v>
      </c>
      <c r="CJ477" s="2" t="e">
        <f ca="1">_xll.BDH($C$453,"LT_DEBT_TO_TOT_ASSET","FQ4 2018","FQ4 2018","Currency=INR","Period=FQ","BEST_FPERIOD_OVERRIDE=FQ","FILING_STATUS=OR","EQY_CONSOLIDATED=Y","Sort=A","Dates=H","DateFormat=P","Fill=—","Direction=H","UseDPDF=Y")</f>
        <v>#NAME?</v>
      </c>
      <c r="CK477" s="2" t="e">
        <f ca="1">_xll.BDH($C$453,"TOT_DEBT_TO_TOT_EQY","FQ4 2018","FQ4 2018","Currency=INR","Period=FQ","BEST_FPERIOD_OVERRIDE=FQ","FILING_STATUS=OR","EQY_CONSOLIDATED=Y","Sort=A","Dates=H","DateFormat=P","Fill=—","Direction=H","UseDPDF=Y")</f>
        <v>#NAME?</v>
      </c>
      <c r="CL477" s="2" t="e">
        <f ca="1">_xll.BDH($C$453,"TOT_DEBT_TO_TOT_CAP","FQ4 2018","FQ4 2018","Currency=INR","Period=FQ","BEST_FPERIOD_OVERRIDE=FQ","FILING_STATUS=OR","EQY_CONSOLIDATED=Y","Sort=A","Dates=H","DateFormat=P","Fill=—","Direction=H","UseDPDF=Y")</f>
        <v>#NAME?</v>
      </c>
      <c r="CM477" s="2" t="e">
        <f ca="1">_xll.BDH($C$453,"TOT_DEBT_TO_TOT_ASSET","FQ4 2018","FQ4 2018","Currency=INR","Period=FQ","BEST_FPERIOD_OVERRIDE=FQ","FILING_STATUS=OR","EQY_CONSOLIDATED=Y","Sort=A","Dates=H","DateFormat=P","Fill=—","Direction=H","UseDPDF=Y")</f>
        <v>#NAME?</v>
      </c>
      <c r="CN477" s="2" t="e">
        <f ca="1">_xll.BDH($C$453,"NET_DEBT_TO_SHRHLDR_EQTY","FQ4 2018","FQ4 2018","Currency=INR","Period=FQ","BEST_FPERIOD_OVERRIDE=FQ","FILING_STATUS=OR","EQY_CONSOLIDATED=Y","Sort=A","Dates=H","DateFormat=P","Fill=—","Direction=H","UseDPDF=Y")</f>
        <v>#NAME?</v>
      </c>
      <c r="CO477" s="2" t="e">
        <f ca="1">_xll.BDH($C$453,"NET_DEBT_%_CAPITAL","FQ4 2018","FQ4 2018","Currency=INR","Period=FQ","BEST_FPERIOD_OVERRIDE=FQ","FILING_STATUS=OR","EQY_CONSOLIDATED=Y","Sort=A","Dates=H","DateFormat=P","Fill=—","Direction=H","UseDPDF=Y")</f>
        <v>#NAME?</v>
      </c>
      <c r="CP477" s="3" t="e">
        <f ca="1">_xll.BDH($C$453,"EBITDA","FQ4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477" s="3" t="e">
        <f ca="1">_xll.BDH($C$453,"EBITDA_AFTER_CAPEX","FQ4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477" s="3" t="e">
        <f ca="1">_xll.BDH($C$453,"IS_OPER_INC","FQ4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477" s="2" t="e">
        <f ca="1">_xll.BDH($C$453,"CASH_RATIO","FQ4 2018","FQ4 2018","Currency=INR","Period=FQ","BEST_FPERIOD_OVERRIDE=FQ","FILING_STATUS=OR","EQY_CONSOLIDATED=Y","Sort=A","Dates=H","DateFormat=P","Fill=—","Direction=H","UseDPDF=Y")</f>
        <v>#NAME?</v>
      </c>
      <c r="CT477" s="2" t="e">
        <f ca="1">_xll.BDH($C$453,"CUR_RATIO","FQ4 2018","FQ4 2018","Currency=INR","Period=FQ","BEST_FPERIOD_OVERRIDE=FQ","FILING_STATUS=OR","EQY_CONSOLIDATED=Y","Sort=A","Dates=H","DateFormat=P","Fill=—","Direction=H","UseDPDF=Y")</f>
        <v>#NAME?</v>
      </c>
      <c r="CU477" s="2" t="e">
        <f ca="1">_xll.BDH($C$453,"QUICK_RATIO","FQ4 2018","FQ4 2018","Currency=INR","Period=FQ","BEST_FPERIOD_OVERRIDE=FQ","FILING_STATUS=OR","EQY_CONSOLIDATED=Y","Sort=A","Dates=H","DateFormat=P","Fill=—","Direction=H","UseDPDF=Y")</f>
        <v>#NAME?</v>
      </c>
      <c r="CV477" s="2" t="e">
        <f ca="1">_xll.BDH($C$453,"ALTMAN_Z_SCORE","FQ4 2018","FQ4 2018","Currency=INR","Period=FQ","BEST_FPERIOD_OVERRIDE=FQ","FILING_STATUS=OR","EQY_CONSOLIDATED=Y","Sort=A","Dates=H","DateFormat=P","Fill=—","Direction=H","UseDPDF=Y")</f>
        <v>#NAME?</v>
      </c>
      <c r="CW477" s="4" t="e">
        <f ca="1">_xll.BDH($C$453,"ACCT_RCV_TURN","FQ4 2018","FQ4 2018","Currency=INR","Period=FQ","BEST_FPERIOD_OVERRIDE=FQ","FILING_STATUS=OR","EQY_CONSOLIDATED=Y","FA_ADJUSTED=GAAP","Sort=A","Dates=H","DateFormat=P","Fill=—","Direction=H","UseDPDF=Y")</f>
        <v>#NAME?</v>
      </c>
      <c r="CX477" s="2" t="e">
        <f ca="1">_xll.BDH($C$453,"ACCT_RCV_DAYS","FQ4 2018","FQ4 2018","Currency=INR","Period=FQ","BEST_FPERIOD_OVERRIDE=FQ","FILING_STATUS=OR","EQY_CONSOLIDATED=Y","FA_ADJUSTED=GAAP","Sort=A","Dates=H","DateFormat=P","Fill=—","Direction=H","UseDPDF=Y")</f>
        <v>#NAME?</v>
      </c>
      <c r="CY477" s="4" t="e">
        <f ca="1">_xll.BDH($C$453,"INVENT_TURN","FQ4 2018","FQ4 2018","Currency=INR","Period=FQ","BEST_FPERIOD_OVERRIDE=FQ","FILING_STATUS=OR","EQY_CONSOLIDATED=Y","FA_ADJUSTED=GAAP","Sort=A","Dates=H","DateFormat=P","Fill=—","Direction=H","UseDPDF=Y")</f>
        <v>#NAME?</v>
      </c>
      <c r="CZ477" s="2" t="e">
        <f ca="1">_xll.BDH($C$453,"INVENT_DAYS","FQ4 2018","FQ4 2018","Currency=INR","Period=FQ","BEST_FPERIOD_OVERRIDE=FQ","FILING_STATUS=OR","EQY_CONSOLIDATED=Y","FA_ADJUSTED=GAAP","Sort=A","Dates=H","DateFormat=P","Fill=—","Direction=H","UseDPDF=Y")</f>
        <v>#NAME?</v>
      </c>
      <c r="DA477" s="4" t="e">
        <f ca="1">_xll.BDH($C$453,"ACCOUNTS_PAYABLE_TURNOVER","FQ4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477" s="2" t="e">
        <f ca="1">_xll.BDH($C$453,"ACCOUNTS_PAYABLE_TURNOVER_DAYS","FQ4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477" s="4" t="e">
        <f ca="1">_xll.BDH($C$453,"CASH_CONVERSION_CYCLE","FQ4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477" s="4" t="e">
        <f ca="1">_xll.BDH($C$453,"INV_TO_CASH_DAYS","FQ4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477" s="5" t="e">
        <f ca="1">_xll.BDH($C$453,"BS_INVENTORIES","FQ4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477" s="3" t="e">
        <f ca="1">_xll.BDH($C$453,"INVTRY_RAW_MATERIALS","FQ4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477" s="3" t="e">
        <f ca="1">_xll.BDH($C$453,"INVTRY_IN_PROGRESS","FQ4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477" s="3" t="e">
        <f ca="1">_xll.BDH($C$453,"INVTRY_FINISHED_GOODS","FQ4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477" s="3" t="e">
        <f ca="1">_xll.BDH($C$453,"BS_OTHER_INV","FQ4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478" spans="1:113" x14ac:dyDescent="0.3">
      <c r="A478" s="6">
        <v>95</v>
      </c>
      <c r="B478" s="6" t="s">
        <v>121</v>
      </c>
      <c r="C478" s="6" t="s">
        <v>122</v>
      </c>
      <c r="D478" s="6" t="s">
        <v>76</v>
      </c>
      <c r="E478" t="s">
        <v>77</v>
      </c>
      <c r="F478" t="e">
        <f ca="1">_xll.BDH($C$478,"RETURN_COM_EQY","FY 2014","FY 2014","Currency=INR","Period=FY","BEST_FPERIOD_OVERRIDE=FY","FILING_STATUS=OR","EQY_CONSOLIDATED=Y","FA_ADJUSTED=GAAP","Sort=A","Dates=H","DateFormat=P","Fill=—","Direction=H","UseDPDF=Y")</f>
        <v>#NAME?</v>
      </c>
      <c r="G478" t="e">
        <f ca="1">_xll.BDH($C$478,"RETURN_ON_ASSET","FY 2014","FY 2014","Currency=INR","Period=FY","BEST_FPERIOD_OVERRIDE=FY","FILING_STATUS=OR","EQY_CONSOLIDATED=Y","FA_ADJUSTED=GAAP","Sort=A","Dates=H","DateFormat=P","Fill=—","Direction=H","UseDPDF=Y")</f>
        <v>#NAME?</v>
      </c>
      <c r="H478" t="e">
        <f ca="1">_xll.BDH($C$478,"RETURN_ON_CAP","FY 2014","FY 2014","Currency=INR","Period=FY","BEST_FPERIOD_OVERRIDE=FY","FILING_STATUS=OR","EQY_CONSOLIDATED=Y","FA_ADJUSTED=GAAP","Sort=A","Dates=H","DateFormat=P","Fill=—","Direction=H","UseDPDF=Y")</f>
        <v>#NAME?</v>
      </c>
      <c r="I478" t="e">
        <f ca="1">_xll.BDH($C$478,"RETURN_ON_INV_CAPITAL","FY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478" t="e">
        <f ca="1">_xll.BDH($C$478,"EBITDA_TO_REVENUE","FY 2014","FY 2014","Currency=INR","Period=FY","BEST_FPERIOD_OVERRIDE=FY","FILING_STATUS=OR","EQY_CONSOLIDATED=Y","FA_ADJUSTED=GAAP","Sort=A","Dates=H","DateFormat=P","Fill=—","Direction=H","UseDPDF=Y")</f>
        <v>#NAME?</v>
      </c>
      <c r="K478" t="e">
        <f ca="1">_xll.BDH($C$478,"OPER_MARGIN","FY 2014","FY 2014","Currency=INR","Period=FY","BEST_FPERIOD_OVERRIDE=FY","FILING_STATUS=OR","EQY_CONSOLIDATED=Y","FA_ADJUSTED=GAAP","Sort=A","Dates=H","DateFormat=P","Fill=—","Direction=H","UseDPDF=Y")</f>
        <v>#NAME?</v>
      </c>
      <c r="L478" t="e">
        <f ca="1">_xll.BDH($C$478,"INCREMENTAL_OPERATING_MARGIN","FY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478" t="e">
        <f ca="1">_xll.BDH($C$478,"PRETAX_INC_TO_NET_SALES","FY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478" t="e">
        <f ca="1">_xll.BDH($C$478,"INC_BEF_XO_ITEMS_TO_NET_SALES","FY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478" t="e">
        <f ca="1">_xll.BDH($C$478,"PROF_MARGIN","FY 2014","FY 2014","Currency=INR","Period=FY","BEST_FPERIOD_OVERRIDE=FY","FILING_STATUS=OR","EQY_CONSOLIDATED=Y","FA_ADJUSTED=GAAP","Sort=A","Dates=H","DateFormat=P","Fill=—","Direction=H","UseDPDF=Y")</f>
        <v>#NAME?</v>
      </c>
      <c r="P478" t="e">
        <f ca="1">_xll.BDH($C$478,"NET_INCOME_TO_COMMON_MARGIN","FY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478" t="e">
        <f ca="1">_xll.BDH($C$478,"EFF_TAX_RATE","FY 2014","FY 2014","Currency=INR","Period=FY","BEST_FPERIOD_OVERRIDE=FY","FILING_STATUS=OR","EQY_CONSOLIDATED=Y","FA_ADJUSTED=GAAP","Sort=A","Dates=H","DateFormat=P","Fill=—","Direction=H","UseDPDF=Y")</f>
        <v>#NAME?</v>
      </c>
      <c r="R478" t="e">
        <f ca="1">_xll.BDH($C$478,"DVD_PAYOUT_RATIO","FY 2014","FY 2014","Currency=INR","Period=FY","BEST_FPERIOD_OVERRIDE=FY","FILING_STATUS=OR","EQY_CONSOLIDATED=Y","FA_ADJUSTED=GAAP","Sort=A","Dates=H","DateFormat=P","Fill=—","Direction=H","UseDPDF=Y")</f>
        <v>#NAME?</v>
      </c>
      <c r="S478" t="e">
        <f ca="1">_xll.BDH($C$478,"SUSTAIN_GROWTH_RT","FY 2014","FY 2014","Currency=INR","Period=FY","BEST_FPERIOD_OVERRIDE=FY","FILING_STATUS=OR","EQY_CONSOLIDATED=Y","FA_ADJUSTED=GAAP","Sort=A","Dates=H","DateFormat=P","Fill=—","Direction=H","UseDPDF=Y")</f>
        <v>#NAME?</v>
      </c>
      <c r="T478" s="2" t="e">
        <f ca="1">_xll.BDH($C$478,"SALES_GROWTH","FY 2014","FY 2014","Currency=INR","Period=FY","BEST_FPERIOD_OVERRIDE=FY","FILING_STATUS=OR","EQY_CONSOLIDATED=Y","FA_ADJUSTED=GAAP","Sort=A","Dates=H","DateFormat=P","Fill=—","Direction=H","UseDPDF=Y")</f>
        <v>#NAME?</v>
      </c>
      <c r="U478" s="2" t="e">
        <f ca="1">_xll.BDH($C$478,"EBITDA_GROWTH","FY 2014","FY 2014","Currency=INR","Period=FY","BEST_FPERIOD_OVERRIDE=FY","FILING_STATUS=OR","EQY_CONSOLIDATED=Y","FA_ADJUSTED=GAAP","Sort=A","Dates=H","DateFormat=P","Fill=—","Direction=H","UseDPDF=Y")</f>
        <v>#NAME?</v>
      </c>
      <c r="V478" s="2" t="e">
        <f ca="1">_xll.BDH($C$478,"OPER_INC_GROWTH","FY 2014","FY 2014","Currency=INR","Period=FY","BEST_FPERIOD_OVERRIDE=FY","FILING_STATUS=OR","EQY_CONSOLIDATED=Y","FA_ADJUSTED=GAAP","Sort=A","Dates=H","DateFormat=P","Fill=—","Direction=H","UseDPDF=Y")</f>
        <v>#NAME?</v>
      </c>
      <c r="W478" s="2" t="e">
        <f ca="1">_xll.BDH($C$478,"EARN_FOR_COM_GROWTH","FY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478" s="2" t="e">
        <f ca="1">_xll.BDH($C$478,"DILUTED_EPS_AFT_XO_ITEMS_GROWTH","FY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478" s="2" t="e">
        <f ca="1">_xll.BDH($C$478,"DIVIDEND_PER_SHARE_1_YEAR_GROWTH","FY 2014","FY 2014","Currency=INR","Period=FY","BEST_FPERIOD_OVERRIDE=FY","FILING_STATUS=OR","EQY_CONSOLIDATED=Y","Sort=A","Dates=H","DateFormat=P","Fill=—","Direction=H","UseDPDF=Y")</f>
        <v>#NAME?</v>
      </c>
      <c r="Z478" s="2" t="e">
        <f ca="1">_xll.BDH($C$478,"ACCOUNTS_RECEIVABLE_GROWTH","FY 2014","FY 2014","Currency=INR","Period=FY","BEST_FPERIOD_OVERRIDE=FY","FILING_STATUS=OR","EQY_CONSOLIDATED=Y","Sort=A","Dates=H","DateFormat=P","Fill=—","Direction=H","UseDPDF=Y")</f>
        <v>#NAME?</v>
      </c>
      <c r="AA478" s="2" t="e">
        <f ca="1">_xll.BDH($C$478,"INVENTORY_GROWTH","FY 2014","FY 2014","Currency=INR","Period=FY","BEST_FPERIOD_OVERRIDE=FY","FILING_STATUS=OR","EQY_CONSOLIDATED=Y","Sort=A","Dates=H","DateFormat=P","Fill=—","Direction=H","UseDPDF=Y")</f>
        <v>#NAME?</v>
      </c>
      <c r="AB478" s="2" t="e">
        <f ca="1">_xll.BDH($C$478,"NET_FIXED_ASSETS_1_YEAR_GROWTH","FY 2014","FY 2014","Currency=INR","Period=FY","BEST_FPERIOD_OVERRIDE=FY","FILING_STATUS=OR","EQY_CONSOLIDATED=Y","Sort=A","Dates=H","DateFormat=P","Fill=—","Direction=H","UseDPDF=Y")</f>
        <v>#NAME?</v>
      </c>
      <c r="AC478" s="2" t="e">
        <f ca="1">_xll.BDH($C$478,"ASSET_GROWTH","FY 2014","FY 2014","Currency=INR","Period=FY","BEST_FPERIOD_OVERRIDE=FY","FILING_STATUS=OR","EQY_CONSOLIDATED=Y","Sort=A","Dates=H","DateFormat=P","Fill=—","Direction=H","UseDPDF=Y")</f>
        <v>#NAME?</v>
      </c>
      <c r="AD478" s="2" t="e">
        <f ca="1">_xll.BDH($C$478,"MODIFIED_WORK_CAP_GROWTH","FY 2014","FY 2014","Currency=INR","Period=FY","BEST_FPERIOD_OVERRIDE=FY","FILING_STATUS=OR","EQY_CONSOLIDATED=Y","Sort=A","Dates=H","DateFormat=P","Fill=—","Direction=H","UseDPDF=Y")</f>
        <v>#NAME?</v>
      </c>
      <c r="AE478" s="2" t="e">
        <f ca="1">_xll.BDH($C$478,"WORK_CAP_GROWTH","FY 2014","FY 2014","Currency=INR","Period=FY","BEST_FPERIOD_OVERRIDE=FY","FILING_STATUS=OR","EQY_CONSOLIDATED=Y","Sort=A","Dates=H","DateFormat=P","Fill=—","Direction=H","UseDPDF=Y")</f>
        <v>#NAME?</v>
      </c>
      <c r="AF478" s="2" t="e">
        <f ca="1">_xll.BDH($C$478,"ACCOUNTS_PAYABLE_GROWTH_1YR","FY 2014","FY 2014","Currency=INR","Period=FY","BEST_FPERIOD_OVERRIDE=FY","FILING_STATUS=OR","EQY_CONSOLIDATED=Y","Sort=A","Dates=H","DateFormat=P","Fill=—","Direction=H","UseDPDF=Y")</f>
        <v>#NAME?</v>
      </c>
      <c r="AG478" s="2" t="e">
        <f ca="1">_xll.BDH($C$478,"SHORT_TERM_DEBT_1_YEAR_GROWTH","FY 2014","FY 2014","Currency=INR","Period=FY","BEST_FPERIOD_OVERRIDE=FY","FILING_STATUS=OR","EQY_CONSOLIDATED=Y","Sort=A","Dates=H","DateFormat=P","Fill=—","Direction=H","UseDPDF=Y")</f>
        <v>#NAME?</v>
      </c>
      <c r="AH478" s="2" t="e">
        <f ca="1">_xll.BDH($C$478,"TOTAL_DEBT_1_YEAR_GROWTH","FY 2014","FY 2014","Currency=INR","Period=FY","BEST_FPERIOD_OVERRIDE=FY","FILING_STATUS=OR","EQY_CONSOLIDATED=Y","Sort=A","Dates=H","DateFormat=P","Fill=—","Direction=H","UseDPDF=Y")</f>
        <v>#NAME?</v>
      </c>
      <c r="AI478" s="2" t="e">
        <f ca="1">_xll.BDH($C$478,"TOTAL_EQUITY_1_YEAR_GROWTH","FY 2014","FY 2014","Currency=INR","Period=FY","BEST_FPERIOD_OVERRIDE=FY","FILING_STATUS=OR","EQY_CONSOLIDATED=Y","Sort=A","Dates=H","DateFormat=P","Fill=—","Direction=H","UseDPDF=Y")</f>
        <v>#NAME?</v>
      </c>
      <c r="AJ478" s="2" t="e">
        <f ca="1">_xll.BDH($C$478,"GROWTH_IN_CAP","FY 2014","FY 2014","Currency=INR","Period=FY","BEST_FPERIOD_OVERRIDE=FY","FILING_STATUS=OR","EQY_CONSOLIDATED=Y","Sort=A","Dates=H","DateFormat=P","Fill=—","Direction=H","UseDPDF=Y")</f>
        <v>#NAME?</v>
      </c>
      <c r="AK478" s="2" t="e">
        <f ca="1">_xll.BDH($C$478,"BVPS_GROWTH","FY 2014","FY 2014","Currency=INR","Period=FY","BEST_FPERIOD_OVERRIDE=FY","FILING_STATUS=OR","EQY_CONSOLIDATED=Y","Sort=A","Dates=H","DateFormat=P","Fill=—","Direction=H","UseDPDF=Y")</f>
        <v>#NAME?</v>
      </c>
      <c r="AL478" s="2" t="e">
        <f ca="1">_xll.BDH($C$478,"CASH_FLOW_GROWTH","FY 2014","FY 2014","Currency=INR","Period=FY","BEST_FPERIOD_OVERRIDE=FY","FILING_STATUS=OR","EQY_CONSOLIDATED=Y","Sort=A","Dates=H","DateFormat=P","Fill=—","Direction=H","UseDPDF=Y")</f>
        <v>#NAME?</v>
      </c>
      <c r="AM478" s="2" t="e">
        <f ca="1">_xll.BDH($C$478,"GEO_GROW_NET_SALES","FY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478" s="2" t="e">
        <f ca="1">_xll.BDH($C$478,"GEO_GROW_EBITDA","FY 2014","FY 2014","Currency=INR","Period=FY","BEST_FPERIOD_OVERRIDE=FY","FILING_STATUS=OR","EQY_CONSOLIDATED=Y","FA_ADJUSTED=GAAP","Sort=A","Dates=H","DateFormat=P","Fill=—","Direction=H","UseDPDF=Y")</f>
        <v>#NAME?</v>
      </c>
      <c r="AO478" s="2" t="e">
        <f ca="1">_xll.BDH($C$478,"GEO_GROW_OPER_INC","FY 2014","FY 2014","Currency=INR","Period=FY","BEST_FPERIOD_OVERRIDE=FY","FILING_STATUS=OR","EQY_CONSOLIDATED=Y","FA_ADJUSTED=GAAP","Sort=A","Dates=H","DateFormat=P","Fill=—","Direction=H","UseDPDF=Y")</f>
        <v>#NAME?</v>
      </c>
      <c r="AP478" s="2" t="e">
        <f ca="1">_xll.BDH($C$478,"NET_INCOME_TO_COMMON_5_YR_GROWTH","FY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478" s="2" t="e">
        <f ca="1">_xll.BDH($C$478,"5Y_GEO_GROWTH_DILUTED_EPS","FY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478" s="2" t="e">
        <f ca="1">_xll.BDH($C$478,"GEO_GROW_DVD_PER_SH","FY 2014","FY 2014","Currency=INR","Period=FY","BEST_FPERIOD_OVERRIDE=FY","FILING_STATUS=OR","EQY_CONSOLIDATED=Y","Sort=A","Dates=H","DateFormat=P","Fill=—","Direction=H","UseDPDF=Y")</f>
        <v>#NAME?</v>
      </c>
      <c r="AS478" s="2" t="e">
        <f ca="1">_xll.BDH($C$478,"ACCOUNTS_RECEIVABLE_5_YR_GROWTH","FY 2014","FY 2014","Currency=INR","Period=FY","BEST_FPERIOD_OVERRIDE=FY","FILING_STATUS=OR","EQY_CONSOLIDATED=Y","Sort=A","Dates=H","DateFormat=P","Fill=—","Direction=H","UseDPDF=Y")</f>
        <v>#NAME?</v>
      </c>
      <c r="AT478" s="2" t="e">
        <f ca="1">_xll.BDH($C$478,"INVENTORY_5_YEAR_GROWTH","FY 2014","FY 2014","Currency=INR","Period=FY","BEST_FPERIOD_OVERRIDE=FY","FILING_STATUS=OR","EQY_CONSOLIDATED=Y","Sort=A","Dates=H","DateFormat=P","Fill=—","Direction=H","UseDPDF=Y")</f>
        <v>#NAME?</v>
      </c>
      <c r="AU478" s="2" t="e">
        <f ca="1">_xll.BDH($C$478,"NET_FIXED_ASSETS_5_YEAR_GROWTH","FY 2014","FY 2014","Currency=INR","Period=FY","BEST_FPERIOD_OVERRIDE=FY","FILING_STATUS=OR","EQY_CONSOLIDATED=Y","Sort=A","Dates=H","DateFormat=P","Fill=—","Direction=H","UseDPDF=Y")</f>
        <v>#NAME?</v>
      </c>
      <c r="AV478" s="2" t="e">
        <f ca="1">_xll.BDH($C$478,"GEO_GROW_TOT_ASSET","FY 2014","FY 2014","Currency=INR","Period=FY","BEST_FPERIOD_OVERRIDE=FY","FILING_STATUS=OR","EQY_CONSOLIDATED=Y","Sort=A","Dates=H","DateFormat=P","Fill=—","Direction=H","UseDPDF=Y")</f>
        <v>#NAME?</v>
      </c>
      <c r="AW478" s="2" t="e">
        <f ca="1">_xll.BDH($C$478,"MODIFIED_WORKING_CPTL_5YR_GRWTH","FY 2014","FY 2014","Currency=INR","Period=FY","BEST_FPERIOD_OVERRIDE=FY","FILING_STATUS=OR","EQY_CONSOLIDATED=Y","Sort=A","Dates=H","DateFormat=P","Fill=—","Direction=H","UseDPDF=Y")</f>
        <v>#NAME?</v>
      </c>
      <c r="AX478" s="2" t="e">
        <f ca="1">_xll.BDH($C$478,"WORKING_CAPITAL_5_YEAR_GROWTH","FY 2014","FY 2014","Currency=INR","Period=FY","BEST_FPERIOD_OVERRIDE=FY","FILING_STATUS=OR","EQY_CONSOLIDATED=Y","Sort=A","Dates=H","DateFormat=P","Fill=—","Direction=H","UseDPDF=Y")</f>
        <v>#NAME?</v>
      </c>
      <c r="AY478" s="2" t="e">
        <f ca="1">_xll.BDH($C$478,"ACCOUNTS_PAYABLE_5_YEAR_GROWTH","FY 2014","FY 2014","Currency=INR","Period=FY","BEST_FPERIOD_OVERRIDE=FY","FILING_STATUS=OR","EQY_CONSOLIDATED=Y","Sort=A","Dates=H","DateFormat=P","Fill=—","Direction=H","UseDPDF=Y")</f>
        <v>#NAME?</v>
      </c>
      <c r="AZ478" s="2" t="e">
        <f ca="1">_xll.BDH($C$478,"SHORT_TERM_DEBT_5_YEAR_GROWTH","FY 2014","FY 2014","Currency=INR","Period=FY","BEST_FPERIOD_OVERRIDE=FY","FILING_STATUS=OR","EQY_CONSOLIDATED=Y","Sort=A","Dates=H","DateFormat=P","Fill=—","Direction=H","UseDPDF=Y")</f>
        <v>#NAME?</v>
      </c>
      <c r="BA478" s="2" t="e">
        <f ca="1">_xll.BDH($C$478,"TOTAL_DEBT_5_YEAR_GROWTH","FY 2014","FY 2014","Currency=INR","Period=FY","BEST_FPERIOD_OVERRIDE=FY","FILING_STATUS=OR","EQY_CONSOLIDATED=Y","Sort=A","Dates=H","DateFormat=P","Fill=—","Direction=H","UseDPDF=Y")</f>
        <v>#NAME?</v>
      </c>
      <c r="BB478" s="2" t="e">
        <f ca="1">_xll.BDH($C$478,"GEO_GROW_TOT_SHRHLDR_EQY","FY 2014","FY 2014","Currency=INR","Period=FY","BEST_FPERIOD_OVERRIDE=FY","FILING_STATUS=OR","EQY_CONSOLIDATED=Y","Sort=A","Dates=H","DateFormat=P","Fill=—","Direction=H","UseDPDF=Y")</f>
        <v>#NAME?</v>
      </c>
      <c r="BC478" s="2" t="e">
        <f ca="1">_xll.BDH($C$478,"TOTAL_CAPITAL_5_YEAR_GROWTH","FY 2014","FY 2014","Currency=INR","Period=FY","BEST_FPERIOD_OVERRIDE=FY","FILING_STATUS=OR","EQY_CONSOLIDATED=Y","Sort=A","Dates=H","DateFormat=P","Fill=—","Direction=H","UseDPDF=Y")</f>
        <v>#NAME?</v>
      </c>
      <c r="BD478" s="2" t="e">
        <f ca="1">_xll.BDH($C$478,"GEO_GROW_BOOK_VAL","FY 2014","FY 2014","Currency=INR","Period=FY","BEST_FPERIOD_OVERRIDE=FY","FILING_STATUS=OR","EQY_CONSOLIDATED=Y","Sort=A","Dates=H","DateFormat=P","Fill=—","Direction=H","UseDPDF=Y")</f>
        <v>#NAME?</v>
      </c>
      <c r="BE478" s="2" t="e">
        <f ca="1">_xll.BDH($C$478,"GEO_GROW_CASH_OPER_ACT","FY 2014","FY 2014","Currency=INR","Period=FY","BEST_FPERIOD_OVERRIDE=FY","FILING_STATUS=OR","EQY_CONSOLIDATED=Y","Sort=A","Dates=H","DateFormat=P","Fill=—","Direction=H","UseDPDF=Y")</f>
        <v>#NAME?</v>
      </c>
      <c r="BF478" s="2" t="e">
        <f ca="1">_xll.BDH($C$478,"REVENUE_SEQUENTIAL_GROWTH","FY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478" s="2" t="e">
        <f ca="1">_xll.BDH($C$478,"EBITDA_SEQUENTIAL_GROWTH","FY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478" s="2" t="e">
        <f ca="1">_xll.BDH($C$478,"OPERATING_INCOME_SEQ_GROWTH","FY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478" s="2" t="e">
        <f ca="1">_xll.BDH($C$478,"NET_INCOME_TO_COMMON_SEQ_GROWTH","FY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478" s="2" t="e">
        <f ca="1">_xll.BDH($C$478,"EPS_DILUTED_SEQUENTIAL_GROWTH","FY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478" s="2" t="e">
        <f ca="1">_xll.BDH($C$478,"DPS_SEQUENTIAL_GROWTH","FY 2014","FY 2014","Currency=INR","Period=FY","BEST_FPERIOD_OVERRIDE=FY","FILING_STATUS=OR","EQY_CONSOLIDATED=Y","Sort=A","Dates=H","DateFormat=P","Fill=—","Direction=H","UseDPDF=Y")</f>
        <v>#NAME?</v>
      </c>
      <c r="BL478" s="2" t="e">
        <f ca="1">_xll.BDH($C$478,"ACCOUNTS_RECEIVABLE_SEQ_GROWTH","FY 2014","FY 2014","Currency=INR","Period=FY","BEST_FPERIOD_OVERRIDE=FY","FILING_STATUS=OR","EQY_CONSOLIDATED=Y","Sort=A","Dates=H","DateFormat=P","Fill=—","Direction=H","UseDPDF=Y")</f>
        <v>#NAME?</v>
      </c>
      <c r="BM478" s="2" t="e">
        <f ca="1">_xll.BDH($C$478,"INVENTORY_SEQUENTIAL_GROWTH","FY 2014","FY 2014","Currency=INR","Period=FY","BEST_FPERIOD_OVERRIDE=FY","FILING_STATUS=OR","EQY_CONSOLIDATED=Y","Sort=A","Dates=H","DateFormat=P","Fill=—","Direction=H","UseDPDF=Y")</f>
        <v>#NAME?</v>
      </c>
      <c r="BN478" s="2" t="e">
        <f ca="1">_xll.BDH($C$478,"FIXED_ASSETS_SEQUENTIAL_GROWTH","FY 2014","FY 2014","Currency=INR","Period=FY","BEST_FPERIOD_OVERRIDE=FY","FILING_STATUS=OR","EQY_CONSOLIDATED=Y","Sort=A","Dates=H","DateFormat=P","Fill=—","Direction=H","UseDPDF=Y")</f>
        <v>#NAME?</v>
      </c>
      <c r="BO478" s="2" t="e">
        <f ca="1">_xll.BDH($C$478,"TOTAL_ASSETS_SEQUENTIAL_GROWTH","FY 2014","FY 2014","Currency=INR","Period=FY","BEST_FPERIOD_OVERRIDE=FY","FILING_STATUS=OR","EQY_CONSOLIDATED=Y","Sort=A","Dates=H","DateFormat=P","Fill=—","Direction=H","UseDPDF=Y")</f>
        <v>#NAME?</v>
      </c>
      <c r="BP478" s="2" t="e">
        <f ca="1">_xll.BDH($C$478,"MODIFIED_WORKING_CPTL_SEQ_GRWTH","FY 2014","FY 2014","Currency=INR","Period=FY","BEST_FPERIOD_OVERRIDE=FY","FILING_STATUS=OR","EQY_CONSOLIDATED=Y","Sort=A","Dates=H","DateFormat=P","Fill=—","Direction=H","UseDPDF=Y")</f>
        <v>#NAME?</v>
      </c>
      <c r="BQ478" s="2" t="e">
        <f ca="1">_xll.BDH($C$478,"WORKING_CAPITAL_SEQ_GROWTH","FY 2014","FY 2014","Currency=INR","Period=FY","BEST_FPERIOD_OVERRIDE=FY","FILING_STATUS=OR","EQY_CONSOLIDATED=Y","Sort=A","Dates=H","DateFormat=P","Fill=—","Direction=H","UseDPDF=Y")</f>
        <v>#NAME?</v>
      </c>
      <c r="BR478" s="2" t="e">
        <f ca="1">_xll.BDH($C$478,"ACCOUNTS_PAYABLE_SEQ_GROWTH","FY 2014","FY 2014","Currency=INR","Period=FY","BEST_FPERIOD_OVERRIDE=FY","FILING_STATUS=OR","EQY_CONSOLIDATED=Y","Sort=A","Dates=H","DateFormat=P","Fill=—","Direction=H","UseDPDF=Y")</f>
        <v>#NAME?</v>
      </c>
      <c r="BS478" s="2" t="e">
        <f ca="1">_xll.BDH($C$478,"ST_DEBT_SEQUENTIAL_GROWTH","FY 2014","FY 2014","Currency=INR","Period=FY","BEST_FPERIOD_OVERRIDE=FY","FILING_STATUS=OR","EQY_CONSOLIDATED=Y","Sort=A","Dates=H","DateFormat=P","Fill=—","Direction=H","UseDPDF=Y")</f>
        <v>#NAME?</v>
      </c>
      <c r="BT478" s="2" t="e">
        <f ca="1">_xll.BDH($C$478,"TOTAL_DEBT_SEQUENTIAL_GROWTH","FY 2014","FY 2014","Currency=INR","Period=FY","BEST_FPERIOD_OVERRIDE=FY","FILING_STATUS=OR","EQY_CONSOLIDATED=Y","Sort=A","Dates=H","DateFormat=P","Fill=—","Direction=H","UseDPDF=Y")</f>
        <v>#NAME?</v>
      </c>
      <c r="BU478" s="2" t="e">
        <f ca="1">_xll.BDH($C$478,"TOTAL_EQUITY_SEQUENTIAL_GROWTH","FY 2014","FY 2014","Currency=INR","Period=FY","BEST_FPERIOD_OVERRIDE=FY","FILING_STATUS=OR","EQY_CONSOLIDATED=Y","Sort=A","Dates=H","DateFormat=P","Fill=—","Direction=H","UseDPDF=Y")</f>
        <v>#NAME?</v>
      </c>
      <c r="BV478" s="2" t="e">
        <f ca="1">_xll.BDH($C$478,"TOTAL_CAPITAL_SEQUENTIAL_GROWTH","FY 2014","FY 2014","Currency=INR","Period=FY","BEST_FPERIOD_OVERRIDE=FY","FILING_STATUS=OR","EQY_CONSOLIDATED=Y","Sort=A","Dates=H","DateFormat=P","Fill=—","Direction=H","UseDPDF=Y")</f>
        <v>#NAME?</v>
      </c>
      <c r="BW478" s="2" t="e">
        <f ca="1">_xll.BDH($C$478,"BPS_SEQUENTIAL_GROWTH","FY 2014","FY 2014","Currency=INR","Period=FY","BEST_FPERIOD_OVERRIDE=FY","FILING_STATUS=OR","EQY_CONSOLIDATED=Y","Sort=A","Dates=H","DateFormat=P","Fill=—","Direction=H","UseDPDF=Y")</f>
        <v>#NAME?</v>
      </c>
      <c r="BX478" s="2" t="e">
        <f ca="1">_xll.BDH($C$478,"CFO_SEQUENTIAL_GROWTH","FY 2014","FY 2014","Currency=INR","Period=FY","BEST_FPERIOD_OVERRIDE=FY","FILING_STATUS=OR","EQY_CONSOLIDATED=Y","Sort=A","Dates=H","DateFormat=P","Fill=—","Direction=H","UseDPDF=Y")</f>
        <v>#NAME?</v>
      </c>
      <c r="BY478" s="3" t="e">
        <f ca="1">_xll.BDH($C$478,"SHORT_AND_LONG_TERM_DEBT","FY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478" s="3" t="e">
        <f ca="1">_xll.BDH($C$478,"BS_ST_BORROW","FY 2014","FY 2014","Currency=INR","Period=FY","BEST_FPERIOD_OVERRIDE=FY","FILING_STATUS=OR","EQY_CONSOLIDATED=Y","SCALING_FORMAT=MLN","Sort=A","Dates=H","DateFormat=P","Fill=—","Direction=H","UseDPDF=Y")</f>
        <v>#NAME?</v>
      </c>
      <c r="CA478" s="3" t="e">
        <f ca="1">_xll.BDH($C$478,"BS_LT_BORROW","FY 2014","FY 2014","Currency=INR","Period=FY","BEST_FPERIOD_OVERRIDE=FY","FILING_STATUS=OR","EQY_CONSOLIDATED=Y","SCALING_FORMAT=MLN","Sort=A","Dates=H","DateFormat=P","Fill=—","Direction=H","UseDPDF=Y")</f>
        <v>#NAME?</v>
      </c>
      <c r="CB478" s="2" t="e">
        <f ca="1">_xll.BDH($C$478,"TOT_DEBT_TO_EBITDA","FY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478" s="2" t="e">
        <f ca="1">_xll.BDH($C$478,"NET_DEBT_TO_EBITDA","FY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478" s="2" t="e">
        <f ca="1">_xll.BDH($C$478,"TOTAL_DEBT_TO_EBIT","FY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478" s="2" t="e">
        <f ca="1">_xll.BDH($C$478,"NET_DEBT_TO_EBIT","FY 2014","FY 2014","Currency=INR","Period=FY","BEST_FPERIOD_OVERRIDE=FY","FILING_STATUS=OR","EQY_CONSOLIDATED=Y","FA_ADJUSTED=GAAP","Sort=A","Dates=H","DateFormat=P","Fill=—","Direction=H","UseDPDF=Y")</f>
        <v>#NAME?</v>
      </c>
      <c r="CF478" s="2" t="e">
        <f ca="1">_xll.BDH($C$478,"EBITDA_TO_INTEREST_EXPN","FY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478" s="2" t="e">
        <f ca="1">_xll.BDH($C$478,"COM_EQY_TO_TOT_ASSET","FY 2014","FY 2014","Currency=INR","Period=FY","BEST_FPERIOD_OVERRIDE=FY","FILING_STATUS=OR","EQY_CONSOLIDATED=Y","Sort=A","Dates=H","DateFormat=P","Fill=—","Direction=H","UseDPDF=Y")</f>
        <v>#NAME?</v>
      </c>
      <c r="CH478" s="2" t="e">
        <f ca="1">_xll.BDH($C$478,"LT_DEBT_TO_TOT_EQY","FY 2014","FY 2014","Currency=INR","Period=FY","BEST_FPERIOD_OVERRIDE=FY","FILING_STATUS=OR","EQY_CONSOLIDATED=Y","Sort=A","Dates=H","DateFormat=P","Fill=—","Direction=H","UseDPDF=Y")</f>
        <v>#NAME?</v>
      </c>
      <c r="CI478" s="2" t="e">
        <f ca="1">_xll.BDH($C$478,"LT_DEBT_TO_TOT_CAP","FY 2014","FY 2014","Currency=INR","Period=FY","BEST_FPERIOD_OVERRIDE=FY","FILING_STATUS=OR","EQY_CONSOLIDATED=Y","Sort=A","Dates=H","DateFormat=P","Fill=—","Direction=H","UseDPDF=Y")</f>
        <v>#NAME?</v>
      </c>
      <c r="CJ478" s="2" t="e">
        <f ca="1">_xll.BDH($C$478,"LT_DEBT_TO_TOT_ASSET","FY 2014","FY 2014","Currency=INR","Period=FY","BEST_FPERIOD_OVERRIDE=FY","FILING_STATUS=OR","EQY_CONSOLIDATED=Y","Sort=A","Dates=H","DateFormat=P","Fill=—","Direction=H","UseDPDF=Y")</f>
        <v>#NAME?</v>
      </c>
      <c r="CK478" s="2" t="e">
        <f ca="1">_xll.BDH($C$478,"TOT_DEBT_TO_TOT_EQY","FY 2014","FY 2014","Currency=INR","Period=FY","BEST_FPERIOD_OVERRIDE=FY","FILING_STATUS=OR","EQY_CONSOLIDATED=Y","Sort=A","Dates=H","DateFormat=P","Fill=—","Direction=H","UseDPDF=Y")</f>
        <v>#NAME?</v>
      </c>
      <c r="CL478" s="2" t="e">
        <f ca="1">_xll.BDH($C$478,"TOT_DEBT_TO_TOT_CAP","FY 2014","FY 2014","Currency=INR","Period=FY","BEST_FPERIOD_OVERRIDE=FY","FILING_STATUS=OR","EQY_CONSOLIDATED=Y","Sort=A","Dates=H","DateFormat=P","Fill=—","Direction=H","UseDPDF=Y")</f>
        <v>#NAME?</v>
      </c>
      <c r="CM478" s="2" t="e">
        <f ca="1">_xll.BDH($C$478,"TOT_DEBT_TO_TOT_ASSET","FY 2014","FY 2014","Currency=INR","Period=FY","BEST_FPERIOD_OVERRIDE=FY","FILING_STATUS=OR","EQY_CONSOLIDATED=Y","Sort=A","Dates=H","DateFormat=P","Fill=—","Direction=H","UseDPDF=Y")</f>
        <v>#NAME?</v>
      </c>
      <c r="CN478" s="2" t="e">
        <f ca="1">_xll.BDH($C$478,"NET_DEBT_TO_SHRHLDR_EQTY","FY 2014","FY 2014","Currency=INR","Period=FY","BEST_FPERIOD_OVERRIDE=FY","FILING_STATUS=OR","EQY_CONSOLIDATED=Y","Sort=A","Dates=H","DateFormat=P","Fill=—","Direction=H","UseDPDF=Y")</f>
        <v>#NAME?</v>
      </c>
      <c r="CO478" s="2" t="e">
        <f ca="1">_xll.BDH($C$478,"NET_DEBT_%_CAPITAL","FY 2014","FY 2014","Currency=INR","Period=FY","BEST_FPERIOD_OVERRIDE=FY","FILING_STATUS=OR","EQY_CONSOLIDATED=Y","Sort=A","Dates=H","DateFormat=P","Fill=—","Direction=H","UseDPDF=Y")</f>
        <v>#NAME?</v>
      </c>
      <c r="CP478" s="3" t="e">
        <f ca="1">_xll.BDH($C$478,"EBITDA","FY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478" s="3" t="e">
        <f ca="1">_xll.BDH($C$478,"EBITDA_AFTER_CAPEX","FY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478" s="3" t="e">
        <f ca="1">_xll.BDH($C$478,"IS_OPER_INC","FY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478" s="2" t="e">
        <f ca="1">_xll.BDH($C$478,"CASH_RATIO","FY 2014","FY 2014","Currency=INR","Period=FY","BEST_FPERIOD_OVERRIDE=FY","FILING_STATUS=OR","EQY_CONSOLIDATED=Y","Sort=A","Dates=H","DateFormat=P","Fill=—","Direction=H","UseDPDF=Y")</f>
        <v>#NAME?</v>
      </c>
      <c r="CT478" s="2" t="e">
        <f ca="1">_xll.BDH($C$478,"CUR_RATIO","FY 2014","FY 2014","Currency=INR","Period=FY","BEST_FPERIOD_OVERRIDE=FY","FILING_STATUS=OR","EQY_CONSOLIDATED=Y","Sort=A","Dates=H","DateFormat=P","Fill=—","Direction=H","UseDPDF=Y")</f>
        <v>#NAME?</v>
      </c>
      <c r="CU478" s="2" t="e">
        <f ca="1">_xll.BDH($C$478,"QUICK_RATIO","FY 2014","FY 2014","Currency=INR","Period=FY","BEST_FPERIOD_OVERRIDE=FY","FILING_STATUS=OR","EQY_CONSOLIDATED=Y","Sort=A","Dates=H","DateFormat=P","Fill=—","Direction=H","UseDPDF=Y")</f>
        <v>#NAME?</v>
      </c>
      <c r="CV478" s="2" t="e">
        <f ca="1">_xll.BDH($C$478,"ALTMAN_Z_SCORE","FY 2014","FY 2014","Currency=INR","Period=FY","BEST_FPERIOD_OVERRIDE=FY","FILING_STATUS=OR","EQY_CONSOLIDATED=Y","Sort=A","Dates=H","DateFormat=P","Fill=—","Direction=H","UseDPDF=Y")</f>
        <v>#NAME?</v>
      </c>
      <c r="CW478" s="4" t="e">
        <f ca="1">_xll.BDH($C$478,"ACCT_RCV_TURN","FY 2014","FY 2014","Currency=INR","Period=FY","BEST_FPERIOD_OVERRIDE=FY","FILING_STATUS=OR","EQY_CONSOLIDATED=Y","FA_ADJUSTED=GAAP","Sort=A","Dates=H","DateFormat=P","Fill=—","Direction=H","UseDPDF=Y")</f>
        <v>#NAME?</v>
      </c>
      <c r="CX478" s="2" t="e">
        <f ca="1">_xll.BDH($C$478,"ACCT_RCV_DAYS","FY 2014","FY 2014","Currency=INR","Period=FY","BEST_FPERIOD_OVERRIDE=FY","FILING_STATUS=OR","EQY_CONSOLIDATED=Y","FA_ADJUSTED=GAAP","Sort=A","Dates=H","DateFormat=P","Fill=—","Direction=H","UseDPDF=Y")</f>
        <v>#NAME?</v>
      </c>
      <c r="CY478" s="4" t="e">
        <f ca="1">_xll.BDH($C$478,"INVENT_TURN","FY 2014","FY 2014","Currency=INR","Period=FY","BEST_FPERIOD_OVERRIDE=FY","FILING_STATUS=OR","EQY_CONSOLIDATED=Y","FA_ADJUSTED=GAAP","Sort=A","Dates=H","DateFormat=P","Fill=—","Direction=H","UseDPDF=Y")</f>
        <v>#NAME?</v>
      </c>
      <c r="CZ478" s="2" t="e">
        <f ca="1">_xll.BDH($C$478,"INVENT_DAYS","FY 2014","FY 2014","Currency=INR","Period=FY","BEST_FPERIOD_OVERRIDE=FY","FILING_STATUS=OR","EQY_CONSOLIDATED=Y","FA_ADJUSTED=GAAP","Sort=A","Dates=H","DateFormat=P","Fill=—","Direction=H","UseDPDF=Y")</f>
        <v>#NAME?</v>
      </c>
      <c r="DA478" s="4" t="e">
        <f ca="1">_xll.BDH($C$478,"ACCOUNTS_PAYABLE_TURNOVER","FY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478" s="2" t="e">
        <f ca="1">_xll.BDH($C$478,"ACCOUNTS_PAYABLE_TURNOVER_DAYS","FY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478" s="4" t="e">
        <f ca="1">_xll.BDH($C$478,"CASH_CONVERSION_CYCLE","FY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478" s="4" t="e">
        <f ca="1">_xll.BDH($C$478,"INV_TO_CASH_DAYS","FY 2014","FY 2014","Currency=INR","Period=FY","BEST_FPERIOD_OVERRIDE=FY","FILING_STATUS=OR","EQY_CONSOLIDATED=Y","FA_ADJUSTED=GAAP","Sort=A","Dates=H","DateFormat=P","Fill=—","Direction=H","UseDPDF=Y")</f>
        <v>#NAME?</v>
      </c>
      <c r="DE478" s="5" t="e">
        <f ca="1">_xll.BDH($C$478,"BS_INVENTORIES","FY 2014","FY 2014","Currency=INR","Period=FY","BEST_FPERIOD_OVERRIDE=FY","FILING_STATUS=OR","EQY_CONSOLIDATED=Y","SCALING_FORMAT=MLN","Sort=A","Dates=H","DateFormat=P","Fill=—","Direction=H","UseDPDF=Y")</f>
        <v>#NAME?</v>
      </c>
      <c r="DF478" s="3" t="e">
        <f ca="1">_xll.BDH($C$478,"INVTRY_RAW_MATERIALS","FY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478" s="3" t="e">
        <f ca="1">_xll.BDH($C$478,"INVTRY_IN_PROGRESS","FY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478" s="3" t="e">
        <f ca="1">_xll.BDH($C$478,"INVTRY_FINISHED_GOODS","FY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478" s="3" t="e">
        <f ca="1">_xll.BDH($C$478,"BS_OTHER_INV","FY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479" spans="1:113" x14ac:dyDescent="0.3">
      <c r="A479" s="6"/>
      <c r="B479" s="6"/>
      <c r="C479" s="6"/>
      <c r="D479" s="6"/>
      <c r="E479" t="s">
        <v>78</v>
      </c>
      <c r="F479" t="e">
        <f ca="1">_xll.BDH($C$478,"RETURN_COM_EQY","FQ1 2014","FQ1 2014","Currency=INR","Period=FQ","BEST_FPERIOD_OVERRIDE=FQ","FILING_STATUS=OR","EQY_CONSOLIDATED=Y","FA_ADJUSTED=GAAP","Sort=A","Dates=H","DateFormat=P","Fill=—","Direction=H","UseDPDF=Y")</f>
        <v>#NAME?</v>
      </c>
      <c r="G479" t="e">
        <f ca="1">_xll.BDH($C$478,"RETURN_ON_ASSET","FQ1 2014","FQ1 2014","Currency=INR","Period=FQ","BEST_FPERIOD_OVERRIDE=FQ","FILING_STATUS=OR","EQY_CONSOLIDATED=Y","FA_ADJUSTED=GAAP","Sort=A","Dates=H","DateFormat=P","Fill=—","Direction=H","UseDPDF=Y")</f>
        <v>#NAME?</v>
      </c>
      <c r="H479" t="e">
        <f ca="1">_xll.BDH($C$478,"RETURN_ON_CAP","FQ1 2014","FQ1 2014","Currency=INR","Period=FQ","BEST_FPERIOD_OVERRIDE=FQ","FILING_STATUS=OR","EQY_CONSOLIDATED=Y","FA_ADJUSTED=GAAP","Sort=A","Dates=H","DateFormat=P","Fill=—","Direction=H","UseDPDF=Y")</f>
        <v>#NAME?</v>
      </c>
      <c r="I479" t="e">
        <f ca="1">_xll.BDH($C$478,"RETURN_ON_INV_CAPITAL","FQ1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479" t="e">
        <f ca="1">_xll.BDH($C$478,"EBITDA_TO_REVENUE","FQ1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479" t="e">
        <f ca="1">_xll.BDH($C$478,"OPER_MARGIN","FQ1 2014","FQ1 2014","Currency=INR","Period=FQ","BEST_FPERIOD_OVERRIDE=FQ","FILING_STATUS=OR","EQY_CONSOLIDATED=Y","FA_ADJUSTED=GAAP","Sort=A","Dates=H","DateFormat=P","Fill=—","Direction=H","UseDPDF=Y")</f>
        <v>#NAME?</v>
      </c>
      <c r="L479" t="e">
        <f ca="1">_xll.BDH($C$478,"INCREMENTAL_OPERATING_MARGIN","FQ1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479" t="e">
        <f ca="1">_xll.BDH($C$478,"PRETAX_INC_TO_NET_SALES","FQ1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479" t="e">
        <f ca="1">_xll.BDH($C$478,"INC_BEF_XO_ITEMS_TO_NET_SALES","FQ1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479" t="e">
        <f ca="1">_xll.BDH($C$478,"PROF_MARGIN","FQ1 2014","FQ1 2014","Currency=INR","Period=FQ","BEST_FPERIOD_OVERRIDE=FQ","FILING_STATUS=OR","EQY_CONSOLIDATED=Y","FA_ADJUSTED=GAAP","Sort=A","Dates=H","DateFormat=P","Fill=—","Direction=H","UseDPDF=Y")</f>
        <v>#NAME?</v>
      </c>
      <c r="P479" t="e">
        <f ca="1">_xll.BDH($C$478,"NET_INCOME_TO_COMMON_MARGIN","FQ1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479" t="e">
        <f ca="1">_xll.BDH($C$478,"EFF_TAX_RATE","FQ1 2014","FQ1 2014","Currency=INR","Period=FQ","BEST_FPERIOD_OVERRIDE=FQ","FILING_STATUS=OR","EQY_CONSOLIDATED=Y","FA_ADJUSTED=GAAP","Sort=A","Dates=H","DateFormat=P","Fill=—","Direction=H","UseDPDF=Y")</f>
        <v>#NAME?</v>
      </c>
      <c r="R479" t="e">
        <f ca="1">_xll.BDH($C$478,"DVD_PAYOUT_RATIO","FQ1 2014","FQ1 2014","Currency=INR","Period=FQ","BEST_FPERIOD_OVERRIDE=FQ","FILING_STATUS=OR","EQY_CONSOLIDATED=Y","FA_ADJUSTED=GAAP","Sort=A","Dates=H","DateFormat=P","Fill=—","Direction=H","UseDPDF=Y")</f>
        <v>#NAME?</v>
      </c>
      <c r="S479" t="e">
        <f ca="1">_xll.BDH($C$478,"SUSTAIN_GROWTH_RT","FQ1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479" s="2" t="e">
        <f ca="1">_xll.BDH($C$478,"SALES_GROWTH","FQ1 2014","FQ1 2014","Currency=INR","Period=FQ","BEST_FPERIOD_OVERRIDE=FQ","FILING_STATUS=OR","EQY_CONSOLIDATED=Y","FA_ADJUSTED=GAAP","Sort=A","Dates=H","DateFormat=P","Fill=—","Direction=H","UseDPDF=Y")</f>
        <v>#NAME?</v>
      </c>
      <c r="U479" s="2" t="e">
        <f ca="1">_xll.BDH($C$478,"EBITDA_GROWTH","FQ1 2014","FQ1 2014","Currency=INR","Period=FQ","BEST_FPERIOD_OVERRIDE=FQ","FILING_STATUS=OR","EQY_CONSOLIDATED=Y","FA_ADJUSTED=GAAP","Sort=A","Dates=H","DateFormat=P","Fill=—","Direction=H","UseDPDF=Y")</f>
        <v>#NAME?</v>
      </c>
      <c r="V479" s="2" t="e">
        <f ca="1">_xll.BDH($C$478,"OPER_INC_GROWTH","FQ1 2014","FQ1 2014","Currency=INR","Period=FQ","BEST_FPERIOD_OVERRIDE=FQ","FILING_STATUS=OR","EQY_CONSOLIDATED=Y","FA_ADJUSTED=GAAP","Sort=A","Dates=H","DateFormat=P","Fill=—","Direction=H","UseDPDF=Y")</f>
        <v>#NAME?</v>
      </c>
      <c r="W479" s="2" t="e">
        <f ca="1">_xll.BDH($C$478,"EARN_FOR_COM_GROWTH","FQ1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479" s="2" t="e">
        <f ca="1">_xll.BDH($C$478,"DILUTED_EPS_AFT_XO_ITEMS_GROWTH","FQ1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479" s="2" t="e">
        <f ca="1">_xll.BDH($C$478,"DIVIDEND_PER_SHARE_1_YEAR_GROWTH","FQ1 2014","FQ1 2014","Currency=INR","Period=FQ","BEST_FPERIOD_OVERRIDE=FQ","FILING_STATUS=OR","EQY_CONSOLIDATED=Y","Sort=A","Dates=H","DateFormat=P","Fill=—","Direction=H","UseDPDF=Y")</f>
        <v>#NAME?</v>
      </c>
      <c r="Z479" s="2" t="e">
        <f ca="1">_xll.BDH($C$478,"ACCOUNTS_RECEIVABLE_GROWTH","FQ1 2014","FQ1 2014","Currency=INR","Period=FQ","BEST_FPERIOD_OVERRIDE=FQ","FILING_STATUS=OR","EQY_CONSOLIDATED=Y","Sort=A","Dates=H","DateFormat=P","Fill=—","Direction=H","UseDPDF=Y")</f>
        <v>#NAME?</v>
      </c>
      <c r="AA479" s="2" t="e">
        <f ca="1">_xll.BDH($C$478,"INVENTORY_GROWTH","FQ1 2014","FQ1 2014","Currency=INR","Period=FQ","BEST_FPERIOD_OVERRIDE=FQ","FILING_STATUS=OR","EQY_CONSOLIDATED=Y","Sort=A","Dates=H","DateFormat=P","Fill=—","Direction=H","UseDPDF=Y")</f>
        <v>#NAME?</v>
      </c>
      <c r="AB479" s="2" t="e">
        <f ca="1">_xll.BDH($C$478,"NET_FIXED_ASSETS_1_YEAR_GROWTH","FQ1 2014","FQ1 2014","Currency=INR","Period=FQ","BEST_FPERIOD_OVERRIDE=FQ","FILING_STATUS=OR","EQY_CONSOLIDATED=Y","Sort=A","Dates=H","DateFormat=P","Fill=—","Direction=H","UseDPDF=Y")</f>
        <v>#NAME?</v>
      </c>
      <c r="AC479" s="2" t="e">
        <f ca="1">_xll.BDH($C$478,"ASSET_GROWTH","FQ1 2014","FQ1 2014","Currency=INR","Period=FQ","BEST_FPERIOD_OVERRIDE=FQ","FILING_STATUS=OR","EQY_CONSOLIDATED=Y","Sort=A","Dates=H","DateFormat=P","Fill=—","Direction=H","UseDPDF=Y")</f>
        <v>#NAME?</v>
      </c>
      <c r="AD479" s="2" t="e">
        <f ca="1">_xll.BDH($C$478,"MODIFIED_WORK_CAP_GROWTH","FQ1 2014","FQ1 2014","Currency=INR","Period=FQ","BEST_FPERIOD_OVERRIDE=FQ","FILING_STATUS=OR","EQY_CONSOLIDATED=Y","Sort=A","Dates=H","DateFormat=P","Fill=—","Direction=H","UseDPDF=Y")</f>
        <v>#NAME?</v>
      </c>
      <c r="AE479" s="2" t="e">
        <f ca="1">_xll.BDH($C$478,"WORK_CAP_GROWTH","FQ1 2014","FQ1 2014","Currency=INR","Period=FQ","BEST_FPERIOD_OVERRIDE=FQ","FILING_STATUS=OR","EQY_CONSOLIDATED=Y","Sort=A","Dates=H","DateFormat=P","Fill=—","Direction=H","UseDPDF=Y")</f>
        <v>#NAME?</v>
      </c>
      <c r="AF479" s="2" t="e">
        <f ca="1">_xll.BDH($C$478,"ACCOUNTS_PAYABLE_GROWTH_1YR","FQ1 2014","FQ1 2014","Currency=INR","Period=FQ","BEST_FPERIOD_OVERRIDE=FQ","FILING_STATUS=OR","EQY_CONSOLIDATED=Y","Sort=A","Dates=H","DateFormat=P","Fill=—","Direction=H","UseDPDF=Y")</f>
        <v>#NAME?</v>
      </c>
      <c r="AG479" s="2" t="e">
        <f ca="1">_xll.BDH($C$478,"SHORT_TERM_DEBT_1_YEAR_GROWTH","FQ1 2014","FQ1 2014","Currency=INR","Period=FQ","BEST_FPERIOD_OVERRIDE=FQ","FILING_STATUS=OR","EQY_CONSOLIDATED=Y","Sort=A","Dates=H","DateFormat=P","Fill=—","Direction=H","UseDPDF=Y")</f>
        <v>#NAME?</v>
      </c>
      <c r="AH479" s="2" t="e">
        <f ca="1">_xll.BDH($C$478,"TOTAL_DEBT_1_YEAR_GROWTH","FQ1 2014","FQ1 2014","Currency=INR","Period=FQ","BEST_FPERIOD_OVERRIDE=FQ","FILING_STATUS=OR","EQY_CONSOLIDATED=Y","Sort=A","Dates=H","DateFormat=P","Fill=—","Direction=H","UseDPDF=Y")</f>
        <v>#NAME?</v>
      </c>
      <c r="AI479" s="2" t="e">
        <f ca="1">_xll.BDH($C$478,"TOTAL_EQUITY_1_YEAR_GROWTH","FQ1 2014","FQ1 2014","Currency=INR","Period=FQ","BEST_FPERIOD_OVERRIDE=FQ","FILING_STATUS=OR","EQY_CONSOLIDATED=Y","Sort=A","Dates=H","DateFormat=P","Fill=—","Direction=H","UseDPDF=Y")</f>
        <v>#NAME?</v>
      </c>
      <c r="AJ479" s="2" t="e">
        <f ca="1">_xll.BDH($C$478,"GROWTH_IN_CAP","FQ1 2014","FQ1 2014","Currency=INR","Period=FQ","BEST_FPERIOD_OVERRIDE=FQ","FILING_STATUS=OR","EQY_CONSOLIDATED=Y","Sort=A","Dates=H","DateFormat=P","Fill=—","Direction=H","UseDPDF=Y")</f>
        <v>#NAME?</v>
      </c>
      <c r="AK479" s="2" t="e">
        <f ca="1">_xll.BDH($C$478,"BVPS_GROWTH","FQ1 2014","FQ1 2014","Currency=INR","Period=FQ","BEST_FPERIOD_OVERRIDE=FQ","FILING_STATUS=OR","EQY_CONSOLIDATED=Y","Sort=A","Dates=H","DateFormat=P","Fill=—","Direction=H","UseDPDF=Y")</f>
        <v>#NAME?</v>
      </c>
      <c r="AL479" s="2" t="e">
        <f ca="1">_xll.BDH($C$478,"CASH_FLOW_GROWTH","FQ1 2014","FQ1 2014","Currency=INR","Period=FQ","BEST_FPERIOD_OVERRIDE=FQ","FILING_STATUS=OR","EQY_CONSOLIDATED=Y","Sort=A","Dates=H","DateFormat=P","Fill=—","Direction=H","UseDPDF=Y")</f>
        <v>#NAME?</v>
      </c>
      <c r="AM479" s="2" t="e">
        <f ca="1">_xll.BDH($C$478,"GEO_GROW_NET_SALES","FQ1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479" s="2" t="e">
        <f ca="1">_xll.BDH($C$478,"GEO_GROW_EBITDA","FQ1 2014","FQ1 2014","Currency=INR","Period=FQ","BEST_FPERIOD_OVERRIDE=FQ","FILING_STATUS=OR","EQY_CONSOLIDATED=Y","FA_ADJUSTED=GAAP","Sort=A","Dates=H","DateFormat=P","Fill=—","Direction=H","UseDPDF=Y")</f>
        <v>#NAME?</v>
      </c>
      <c r="AO479" s="2" t="e">
        <f ca="1">_xll.BDH($C$478,"GEO_GROW_OPER_INC","FQ1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479" s="2" t="e">
        <f ca="1">_xll.BDH($C$478,"NET_INCOME_TO_COMMON_5_YR_GROWTH","FQ1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479" s="2" t="e">
        <f ca="1">_xll.BDH($C$478,"5Y_GEO_GROWTH_DILUTED_EPS","FQ1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479" s="2" t="e">
        <f ca="1">_xll.BDH($C$478,"GEO_GROW_DVD_PER_SH","FQ1 2014","FQ1 2014","Currency=INR","Period=FQ","BEST_FPERIOD_OVERRIDE=FQ","FILING_STATUS=OR","EQY_CONSOLIDATED=Y","Sort=A","Dates=H","DateFormat=P","Fill=—","Direction=H","UseDPDF=Y")</f>
        <v>#NAME?</v>
      </c>
      <c r="AS479" s="2" t="e">
        <f ca="1">_xll.BDH($C$478,"ACCOUNTS_RECEIVABLE_5_YR_GROWTH","FQ1 2014","FQ1 2014","Currency=INR","Period=FQ","BEST_FPERIOD_OVERRIDE=FQ","FILING_STATUS=OR","EQY_CONSOLIDATED=Y","Sort=A","Dates=H","DateFormat=P","Fill=—","Direction=H","UseDPDF=Y")</f>
        <v>#NAME?</v>
      </c>
      <c r="AT479" s="2" t="e">
        <f ca="1">_xll.BDH($C$478,"INVENTORY_5_YEAR_GROWTH","FQ1 2014","FQ1 2014","Currency=INR","Period=FQ","BEST_FPERIOD_OVERRIDE=FQ","FILING_STATUS=OR","EQY_CONSOLIDATED=Y","Sort=A","Dates=H","DateFormat=P","Fill=—","Direction=H","UseDPDF=Y")</f>
        <v>#NAME?</v>
      </c>
      <c r="AU479" s="2" t="e">
        <f ca="1">_xll.BDH($C$478,"NET_FIXED_ASSETS_5_YEAR_GROWTH","FQ1 2014","FQ1 2014","Currency=INR","Period=FQ","BEST_FPERIOD_OVERRIDE=FQ","FILING_STATUS=OR","EQY_CONSOLIDATED=Y","Sort=A","Dates=H","DateFormat=P","Fill=—","Direction=H","UseDPDF=Y")</f>
        <v>#NAME?</v>
      </c>
      <c r="AV479" s="2" t="e">
        <f ca="1">_xll.BDH($C$478,"GEO_GROW_TOT_ASSET","FQ1 2014","FQ1 2014","Currency=INR","Period=FQ","BEST_FPERIOD_OVERRIDE=FQ","FILING_STATUS=OR","EQY_CONSOLIDATED=Y","Sort=A","Dates=H","DateFormat=P","Fill=—","Direction=H","UseDPDF=Y")</f>
        <v>#NAME?</v>
      </c>
      <c r="AW479" s="2" t="e">
        <f ca="1">_xll.BDH($C$478,"MODIFIED_WORKING_CPTL_5YR_GRWTH","FQ1 2014","FQ1 2014","Currency=INR","Period=FQ","BEST_FPERIOD_OVERRIDE=FQ","FILING_STATUS=OR","EQY_CONSOLIDATED=Y","Sort=A","Dates=H","DateFormat=P","Fill=—","Direction=H","UseDPDF=Y")</f>
        <v>#NAME?</v>
      </c>
      <c r="AX479" s="2" t="e">
        <f ca="1">_xll.BDH($C$478,"WORKING_CAPITAL_5_YEAR_GROWTH","FQ1 2014","FQ1 2014","Currency=INR","Period=FQ","BEST_FPERIOD_OVERRIDE=FQ","FILING_STATUS=OR","EQY_CONSOLIDATED=Y","Sort=A","Dates=H","DateFormat=P","Fill=—","Direction=H","UseDPDF=Y")</f>
        <v>#NAME?</v>
      </c>
      <c r="AY479" s="2" t="e">
        <f ca="1">_xll.BDH($C$478,"ACCOUNTS_PAYABLE_5_YEAR_GROWTH","FQ1 2014","FQ1 2014","Currency=INR","Period=FQ","BEST_FPERIOD_OVERRIDE=FQ","FILING_STATUS=OR","EQY_CONSOLIDATED=Y","Sort=A","Dates=H","DateFormat=P","Fill=—","Direction=H","UseDPDF=Y")</f>
        <v>#NAME?</v>
      </c>
      <c r="AZ479" s="2" t="e">
        <f ca="1">_xll.BDH($C$478,"SHORT_TERM_DEBT_5_YEAR_GROWTH","FQ1 2014","FQ1 2014","Currency=INR","Period=FQ","BEST_FPERIOD_OVERRIDE=FQ","FILING_STATUS=OR","EQY_CONSOLIDATED=Y","Sort=A","Dates=H","DateFormat=P","Fill=—","Direction=H","UseDPDF=Y")</f>
        <v>#NAME?</v>
      </c>
      <c r="BA479" s="2" t="e">
        <f ca="1">_xll.BDH($C$478,"TOTAL_DEBT_5_YEAR_GROWTH","FQ1 2014","FQ1 2014","Currency=INR","Period=FQ","BEST_FPERIOD_OVERRIDE=FQ","FILING_STATUS=OR","EQY_CONSOLIDATED=Y","Sort=A","Dates=H","DateFormat=P","Fill=—","Direction=H","UseDPDF=Y")</f>
        <v>#NAME?</v>
      </c>
      <c r="BB479" s="2" t="e">
        <f ca="1">_xll.BDH($C$478,"GEO_GROW_TOT_SHRHLDR_EQY","FQ1 2014","FQ1 2014","Currency=INR","Period=FQ","BEST_FPERIOD_OVERRIDE=FQ","FILING_STATUS=OR","EQY_CONSOLIDATED=Y","Sort=A","Dates=H","DateFormat=P","Fill=—","Direction=H","UseDPDF=Y")</f>
        <v>#NAME?</v>
      </c>
      <c r="BC479" s="2" t="e">
        <f ca="1">_xll.BDH($C$478,"TOTAL_CAPITAL_5_YEAR_GROWTH","FQ1 2014","FQ1 2014","Currency=INR","Period=FQ","BEST_FPERIOD_OVERRIDE=FQ","FILING_STATUS=OR","EQY_CONSOLIDATED=Y","Sort=A","Dates=H","DateFormat=P","Fill=—","Direction=H","UseDPDF=Y")</f>
        <v>#NAME?</v>
      </c>
      <c r="BD479" s="2" t="e">
        <f ca="1">_xll.BDH($C$478,"GEO_GROW_BOOK_VAL","FQ1 2014","FQ1 2014","Currency=INR","Period=FQ","BEST_FPERIOD_OVERRIDE=FQ","FILING_STATUS=OR","EQY_CONSOLIDATED=Y","Sort=A","Dates=H","DateFormat=P","Fill=—","Direction=H","UseDPDF=Y")</f>
        <v>#NAME?</v>
      </c>
      <c r="BE479" s="2" t="e">
        <f ca="1">_xll.BDH($C$478,"GEO_GROW_CASH_OPER_ACT","FQ1 2014","FQ1 2014","Currency=INR","Period=FQ","BEST_FPERIOD_OVERRIDE=FQ","FILING_STATUS=OR","EQY_CONSOLIDATED=Y","Sort=A","Dates=H","DateFormat=P","Fill=—","Direction=H","UseDPDF=Y")</f>
        <v>#NAME?</v>
      </c>
      <c r="BF479" s="2" t="e">
        <f ca="1">_xll.BDH($C$478,"REVENUE_SEQUENTIAL_GROWTH","FQ1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479" s="2" t="e">
        <f ca="1">_xll.BDH($C$478,"EBITDA_SEQUENTIAL_GROWTH","FQ1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479" s="2" t="e">
        <f ca="1">_xll.BDH($C$478,"OPERATING_INCOME_SEQ_GROWTH","FQ1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479" s="2" t="e">
        <f ca="1">_xll.BDH($C$478,"NET_INCOME_TO_COMMON_SEQ_GROWTH","FQ1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479" s="2" t="e">
        <f ca="1">_xll.BDH($C$478,"EPS_DILUTED_SEQUENTIAL_GROWTH","FQ1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479" s="2" t="e">
        <f ca="1">_xll.BDH($C$478,"DPS_SEQUENTIAL_GROWTH","FQ1 2014","FQ1 2014","Currency=INR","Period=FQ","BEST_FPERIOD_OVERRIDE=FQ","FILING_STATUS=OR","EQY_CONSOLIDATED=Y","Sort=A","Dates=H","DateFormat=P","Fill=—","Direction=H","UseDPDF=Y")</f>
        <v>#NAME?</v>
      </c>
      <c r="BL479" s="2" t="e">
        <f ca="1">_xll.BDH($C$478,"ACCOUNTS_RECEIVABLE_SEQ_GROWTH","FQ1 2014","FQ1 2014","Currency=INR","Period=FQ","BEST_FPERIOD_OVERRIDE=FQ","FILING_STATUS=OR","EQY_CONSOLIDATED=Y","Sort=A","Dates=H","DateFormat=P","Fill=—","Direction=H","UseDPDF=Y")</f>
        <v>#NAME?</v>
      </c>
      <c r="BM479" s="2" t="e">
        <f ca="1">_xll.BDH($C$478,"INVENTORY_SEQUENTIAL_GROWTH","FQ1 2014","FQ1 2014","Currency=INR","Period=FQ","BEST_FPERIOD_OVERRIDE=FQ","FILING_STATUS=OR","EQY_CONSOLIDATED=Y","Sort=A","Dates=H","DateFormat=P","Fill=—","Direction=H","UseDPDF=Y")</f>
        <v>#NAME?</v>
      </c>
      <c r="BN479" s="2" t="e">
        <f ca="1">_xll.BDH($C$478,"FIXED_ASSETS_SEQUENTIAL_GROWTH","FQ1 2014","FQ1 2014","Currency=INR","Period=FQ","BEST_FPERIOD_OVERRIDE=FQ","FILING_STATUS=OR","EQY_CONSOLIDATED=Y","Sort=A","Dates=H","DateFormat=P","Fill=—","Direction=H","UseDPDF=Y")</f>
        <v>#NAME?</v>
      </c>
      <c r="BO479" s="2" t="e">
        <f ca="1">_xll.BDH($C$478,"TOTAL_ASSETS_SEQUENTIAL_GROWTH","FQ1 2014","FQ1 2014","Currency=INR","Period=FQ","BEST_FPERIOD_OVERRIDE=FQ","FILING_STATUS=OR","EQY_CONSOLIDATED=Y","Sort=A","Dates=H","DateFormat=P","Fill=—","Direction=H","UseDPDF=Y")</f>
        <v>#NAME?</v>
      </c>
      <c r="BP479" s="2" t="e">
        <f ca="1">_xll.BDH($C$478,"MODIFIED_WORKING_CPTL_SEQ_GRWTH","FQ1 2014","FQ1 2014","Currency=INR","Period=FQ","BEST_FPERIOD_OVERRIDE=FQ","FILING_STATUS=OR","EQY_CONSOLIDATED=Y","Sort=A","Dates=H","DateFormat=P","Fill=—","Direction=H","UseDPDF=Y")</f>
        <v>#NAME?</v>
      </c>
      <c r="BQ479" s="2" t="e">
        <f ca="1">_xll.BDH($C$478,"WORKING_CAPITAL_SEQ_GROWTH","FQ1 2014","FQ1 2014","Currency=INR","Period=FQ","BEST_FPERIOD_OVERRIDE=FQ","FILING_STATUS=OR","EQY_CONSOLIDATED=Y","Sort=A","Dates=H","DateFormat=P","Fill=—","Direction=H","UseDPDF=Y")</f>
        <v>#NAME?</v>
      </c>
      <c r="BR479" s="2" t="e">
        <f ca="1">_xll.BDH($C$478,"ACCOUNTS_PAYABLE_SEQ_GROWTH","FQ1 2014","FQ1 2014","Currency=INR","Period=FQ","BEST_FPERIOD_OVERRIDE=FQ","FILING_STATUS=OR","EQY_CONSOLIDATED=Y","Sort=A","Dates=H","DateFormat=P","Fill=—","Direction=H","UseDPDF=Y")</f>
        <v>#NAME?</v>
      </c>
      <c r="BS479" s="2" t="e">
        <f ca="1">_xll.BDH($C$478,"ST_DEBT_SEQUENTIAL_GROWTH","FQ1 2014","FQ1 2014","Currency=INR","Period=FQ","BEST_FPERIOD_OVERRIDE=FQ","FILING_STATUS=OR","EQY_CONSOLIDATED=Y","Sort=A","Dates=H","DateFormat=P","Fill=—","Direction=H","UseDPDF=Y")</f>
        <v>#NAME?</v>
      </c>
      <c r="BT479" s="2" t="e">
        <f ca="1">_xll.BDH($C$478,"TOTAL_DEBT_SEQUENTIAL_GROWTH","FQ1 2014","FQ1 2014","Currency=INR","Period=FQ","BEST_FPERIOD_OVERRIDE=FQ","FILING_STATUS=OR","EQY_CONSOLIDATED=Y","Sort=A","Dates=H","DateFormat=P","Fill=—","Direction=H","UseDPDF=Y")</f>
        <v>#NAME?</v>
      </c>
      <c r="BU479" s="2" t="e">
        <f ca="1">_xll.BDH($C$478,"TOTAL_EQUITY_SEQUENTIAL_GROWTH","FQ1 2014","FQ1 2014","Currency=INR","Period=FQ","BEST_FPERIOD_OVERRIDE=FQ","FILING_STATUS=OR","EQY_CONSOLIDATED=Y","Sort=A","Dates=H","DateFormat=P","Fill=—","Direction=H","UseDPDF=Y")</f>
        <v>#NAME?</v>
      </c>
      <c r="BV479" s="2" t="e">
        <f ca="1">_xll.BDH($C$478,"TOTAL_CAPITAL_SEQUENTIAL_GROWTH","FQ1 2014","FQ1 2014","Currency=INR","Period=FQ","BEST_FPERIOD_OVERRIDE=FQ","FILING_STATUS=OR","EQY_CONSOLIDATED=Y","Sort=A","Dates=H","DateFormat=P","Fill=—","Direction=H","UseDPDF=Y")</f>
        <v>#NAME?</v>
      </c>
      <c r="BW479" s="2" t="e">
        <f ca="1">_xll.BDH($C$478,"BPS_SEQUENTIAL_GROWTH","FQ1 2014","FQ1 2014","Currency=INR","Period=FQ","BEST_FPERIOD_OVERRIDE=FQ","FILING_STATUS=OR","EQY_CONSOLIDATED=Y","Sort=A","Dates=H","DateFormat=P","Fill=—","Direction=H","UseDPDF=Y")</f>
        <v>#NAME?</v>
      </c>
      <c r="BX479" s="2" t="e">
        <f ca="1">_xll.BDH($C$478,"CFO_SEQUENTIAL_GROWTH","FQ1 2014","FQ1 2014","Currency=INR","Period=FQ","BEST_FPERIOD_OVERRIDE=FQ","FILING_STATUS=OR","EQY_CONSOLIDATED=Y","Sort=A","Dates=H","DateFormat=P","Fill=—","Direction=H","UseDPDF=Y")</f>
        <v>#NAME?</v>
      </c>
      <c r="BY479" s="3" t="e">
        <f ca="1">_xll.BDH($C$478,"SHORT_AND_LONG_TERM_DEBT","FQ1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479" s="3" t="e">
        <f ca="1">_xll.BDH($C$478,"BS_ST_BORROW","FQ1 2014","FQ1 2014","Currency=INR","Period=FQ","BEST_FPERIOD_OVERRIDE=FQ","FILING_STATUS=OR","EQY_CONSOLIDATED=Y","SCALING_FORMAT=MLN","Sort=A","Dates=H","DateFormat=P","Fill=—","Direction=H","UseDPDF=Y")</f>
        <v>#NAME?</v>
      </c>
      <c r="CA479" s="3" t="e">
        <f ca="1">_xll.BDH($C$478,"BS_LT_BORROW","FQ1 2014","FQ1 2014","Currency=INR","Period=FQ","BEST_FPERIOD_OVERRIDE=FQ","FILING_STATUS=OR","EQY_CONSOLIDATED=Y","SCALING_FORMAT=MLN","Sort=A","Dates=H","DateFormat=P","Fill=—","Direction=H","UseDPDF=Y")</f>
        <v>#NAME?</v>
      </c>
      <c r="CB479" s="2" t="e">
        <f ca="1">_xll.BDH($C$478,"TOT_DEBT_TO_EBITDA","FQ1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479" s="2" t="e">
        <f ca="1">_xll.BDH($C$478,"NET_DEBT_TO_EBITDA","FQ1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479" s="2" t="e">
        <f ca="1">_xll.BDH($C$478,"TOTAL_DEBT_TO_EBIT","FQ1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479" s="2" t="e">
        <f ca="1">_xll.BDH($C$478,"NET_DEBT_TO_EBIT","FQ1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479" s="2" t="e">
        <f ca="1">_xll.BDH($C$478,"EBITDA_TO_INTEREST_EXPN","FQ1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479" s="2" t="e">
        <f ca="1">_xll.BDH($C$478,"COM_EQY_TO_TOT_ASSET","FQ1 2014","FQ1 2014","Currency=INR","Period=FQ","BEST_FPERIOD_OVERRIDE=FQ","FILING_STATUS=OR","EQY_CONSOLIDATED=Y","Sort=A","Dates=H","DateFormat=P","Fill=—","Direction=H","UseDPDF=Y")</f>
        <v>#NAME?</v>
      </c>
      <c r="CH479" s="2" t="e">
        <f ca="1">_xll.BDH($C$478,"LT_DEBT_TO_TOT_EQY","FQ1 2014","FQ1 2014","Currency=INR","Period=FQ","BEST_FPERIOD_OVERRIDE=FQ","FILING_STATUS=OR","EQY_CONSOLIDATED=Y","Sort=A","Dates=H","DateFormat=P","Fill=—","Direction=H","UseDPDF=Y")</f>
        <v>#NAME?</v>
      </c>
      <c r="CI479" s="2" t="e">
        <f ca="1">_xll.BDH($C$478,"LT_DEBT_TO_TOT_CAP","FQ1 2014","FQ1 2014","Currency=INR","Period=FQ","BEST_FPERIOD_OVERRIDE=FQ","FILING_STATUS=OR","EQY_CONSOLIDATED=Y","Sort=A","Dates=H","DateFormat=P","Fill=—","Direction=H","UseDPDF=Y")</f>
        <v>#NAME?</v>
      </c>
      <c r="CJ479" s="2" t="e">
        <f ca="1">_xll.BDH($C$478,"LT_DEBT_TO_TOT_ASSET","FQ1 2014","FQ1 2014","Currency=INR","Period=FQ","BEST_FPERIOD_OVERRIDE=FQ","FILING_STATUS=OR","EQY_CONSOLIDATED=Y","Sort=A","Dates=H","DateFormat=P","Fill=—","Direction=H","UseDPDF=Y")</f>
        <v>#NAME?</v>
      </c>
      <c r="CK479" s="2" t="e">
        <f ca="1">_xll.BDH($C$478,"TOT_DEBT_TO_TOT_EQY","FQ1 2014","FQ1 2014","Currency=INR","Period=FQ","BEST_FPERIOD_OVERRIDE=FQ","FILING_STATUS=OR","EQY_CONSOLIDATED=Y","Sort=A","Dates=H","DateFormat=P","Fill=—","Direction=H","UseDPDF=Y")</f>
        <v>#NAME?</v>
      </c>
      <c r="CL479" s="2" t="e">
        <f ca="1">_xll.BDH($C$478,"TOT_DEBT_TO_TOT_CAP","FQ1 2014","FQ1 2014","Currency=INR","Period=FQ","BEST_FPERIOD_OVERRIDE=FQ","FILING_STATUS=OR","EQY_CONSOLIDATED=Y","Sort=A","Dates=H","DateFormat=P","Fill=—","Direction=H","UseDPDF=Y")</f>
        <v>#NAME?</v>
      </c>
      <c r="CM479" s="2" t="e">
        <f ca="1">_xll.BDH($C$478,"TOT_DEBT_TO_TOT_ASSET","FQ1 2014","FQ1 2014","Currency=INR","Period=FQ","BEST_FPERIOD_OVERRIDE=FQ","FILING_STATUS=OR","EQY_CONSOLIDATED=Y","Sort=A","Dates=H","DateFormat=P","Fill=—","Direction=H","UseDPDF=Y")</f>
        <v>#NAME?</v>
      </c>
      <c r="CN479" s="2" t="e">
        <f ca="1">_xll.BDH($C$478,"NET_DEBT_TO_SHRHLDR_EQTY","FQ1 2014","FQ1 2014","Currency=INR","Period=FQ","BEST_FPERIOD_OVERRIDE=FQ","FILING_STATUS=OR","EQY_CONSOLIDATED=Y","Sort=A","Dates=H","DateFormat=P","Fill=—","Direction=H","UseDPDF=Y")</f>
        <v>#NAME?</v>
      </c>
      <c r="CO479" s="2" t="e">
        <f ca="1">_xll.BDH($C$478,"NET_DEBT_%_CAPITAL","FQ1 2014","FQ1 2014","Currency=INR","Period=FQ","BEST_FPERIOD_OVERRIDE=FQ","FILING_STATUS=OR","EQY_CONSOLIDATED=Y","Sort=A","Dates=H","DateFormat=P","Fill=—","Direction=H","UseDPDF=Y")</f>
        <v>#NAME?</v>
      </c>
      <c r="CP479" s="3" t="e">
        <f ca="1">_xll.BDH($C$478,"EBITDA","FQ1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479" s="3" t="e">
        <f ca="1">_xll.BDH($C$478,"EBITDA_AFTER_CAPEX","FQ1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479" s="3" t="e">
        <f ca="1">_xll.BDH($C$478,"IS_OPER_INC","FQ1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479" s="2" t="e">
        <f ca="1">_xll.BDH($C$478,"CASH_RATIO","FQ1 2014","FQ1 2014","Currency=INR","Period=FQ","BEST_FPERIOD_OVERRIDE=FQ","FILING_STATUS=OR","EQY_CONSOLIDATED=Y","Sort=A","Dates=H","DateFormat=P","Fill=—","Direction=H","UseDPDF=Y")</f>
        <v>#NAME?</v>
      </c>
      <c r="CT479" s="2" t="e">
        <f ca="1">_xll.BDH($C$478,"CUR_RATIO","FQ1 2014","FQ1 2014","Currency=INR","Period=FQ","BEST_FPERIOD_OVERRIDE=FQ","FILING_STATUS=OR","EQY_CONSOLIDATED=Y","Sort=A","Dates=H","DateFormat=P","Fill=—","Direction=H","UseDPDF=Y")</f>
        <v>#NAME?</v>
      </c>
      <c r="CU479" s="2" t="e">
        <f ca="1">_xll.BDH($C$478,"QUICK_RATIO","FQ1 2014","FQ1 2014","Currency=INR","Period=FQ","BEST_FPERIOD_OVERRIDE=FQ","FILING_STATUS=OR","EQY_CONSOLIDATED=Y","Sort=A","Dates=H","DateFormat=P","Fill=—","Direction=H","UseDPDF=Y")</f>
        <v>#NAME?</v>
      </c>
      <c r="CV479" s="2" t="e">
        <f ca="1">_xll.BDH($C$478,"ALTMAN_Z_SCORE","FQ1 2014","FQ1 2014","Currency=INR","Period=FQ","BEST_FPERIOD_OVERRIDE=FQ","FILING_STATUS=OR","EQY_CONSOLIDATED=Y","Sort=A","Dates=H","DateFormat=P","Fill=—","Direction=H","UseDPDF=Y")</f>
        <v>#NAME?</v>
      </c>
      <c r="CW479" s="4" t="e">
        <f ca="1">_xll.BDH($C$478,"ACCT_RCV_TURN","FQ1 2014","FQ1 2014","Currency=INR","Period=FQ","BEST_FPERIOD_OVERRIDE=FQ","FILING_STATUS=OR","EQY_CONSOLIDATED=Y","FA_ADJUSTED=GAAP","Sort=A","Dates=H","DateFormat=P","Fill=—","Direction=H","UseDPDF=Y")</f>
        <v>#NAME?</v>
      </c>
      <c r="CX479" s="2" t="e">
        <f ca="1">_xll.BDH($C$478,"ACCT_RCV_DAYS","FQ1 2014","FQ1 2014","Currency=INR","Period=FQ","BEST_FPERIOD_OVERRIDE=FQ","FILING_STATUS=OR","EQY_CONSOLIDATED=Y","FA_ADJUSTED=GAAP","Sort=A","Dates=H","DateFormat=P","Fill=—","Direction=H","UseDPDF=Y")</f>
        <v>#NAME?</v>
      </c>
      <c r="CY479" s="4" t="e">
        <f ca="1">_xll.BDH($C$478,"INVENT_TURN","FQ1 2014","FQ1 2014","Currency=INR","Period=FQ","BEST_FPERIOD_OVERRIDE=FQ","FILING_STATUS=OR","EQY_CONSOLIDATED=Y","FA_ADJUSTED=GAAP","Sort=A","Dates=H","DateFormat=P","Fill=—","Direction=H","UseDPDF=Y")</f>
        <v>#NAME?</v>
      </c>
      <c r="CZ479" s="2" t="e">
        <f ca="1">_xll.BDH($C$478,"INVENT_DAYS","FQ1 2014","FQ1 2014","Currency=INR","Period=FQ","BEST_FPERIOD_OVERRIDE=FQ","FILING_STATUS=OR","EQY_CONSOLIDATED=Y","FA_ADJUSTED=GAAP","Sort=A","Dates=H","DateFormat=P","Fill=—","Direction=H","UseDPDF=Y")</f>
        <v>#NAME?</v>
      </c>
      <c r="DA479" s="4" t="e">
        <f ca="1">_xll.BDH($C$478,"ACCOUNTS_PAYABLE_TURNOVER","FQ1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479" s="2" t="e">
        <f ca="1">_xll.BDH($C$478,"ACCOUNTS_PAYABLE_TURNOVER_DAYS","FQ1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479" s="4" t="e">
        <f ca="1">_xll.BDH($C$478,"CASH_CONVERSION_CYCLE","FQ1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479" s="4" t="e">
        <f ca="1">_xll.BDH($C$478,"INV_TO_CASH_DAYS","FQ1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479" s="5" t="e">
        <f ca="1">_xll.BDH($C$478,"BS_INVENTORIES","FQ1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479" s="3" t="e">
        <f ca="1">_xll.BDH($C$478,"INVTRY_RAW_MATERIALS","FQ1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479" s="3" t="e">
        <f ca="1">_xll.BDH($C$478,"INVTRY_IN_PROGRESS","FQ1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479" s="3" t="e">
        <f ca="1">_xll.BDH($C$478,"INVTRY_FINISHED_GOODS","FQ1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479" s="3" t="e">
        <f ca="1">_xll.BDH($C$478,"BS_OTHER_INV","FQ1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480" spans="1:113" x14ac:dyDescent="0.3">
      <c r="A480" s="6"/>
      <c r="B480" s="6"/>
      <c r="C480" s="6"/>
      <c r="D480" s="6"/>
      <c r="E480" t="s">
        <v>79</v>
      </c>
      <c r="F480" t="e">
        <f ca="1">_xll.BDH($C$478,"RETURN_COM_EQY","FQ2 2014","FQ2 2014","Currency=INR","Period=FQ","BEST_FPERIOD_OVERRIDE=FQ","FILING_STATUS=OR","EQY_CONSOLIDATED=Y","FA_ADJUSTED=GAAP","Sort=A","Dates=H","DateFormat=P","Fill=—","Direction=H","UseDPDF=Y")</f>
        <v>#NAME?</v>
      </c>
      <c r="G480" t="e">
        <f ca="1">_xll.BDH($C$478,"RETURN_ON_ASSET","FQ2 2014","FQ2 2014","Currency=INR","Period=FQ","BEST_FPERIOD_OVERRIDE=FQ","FILING_STATUS=OR","EQY_CONSOLIDATED=Y","FA_ADJUSTED=GAAP","Sort=A","Dates=H","DateFormat=P","Fill=—","Direction=H","UseDPDF=Y")</f>
        <v>#NAME?</v>
      </c>
      <c r="H480" t="e">
        <f ca="1">_xll.BDH($C$478,"RETURN_ON_CAP","FQ2 2014","FQ2 2014","Currency=INR","Period=FQ","BEST_FPERIOD_OVERRIDE=FQ","FILING_STATUS=OR","EQY_CONSOLIDATED=Y","FA_ADJUSTED=GAAP","Sort=A","Dates=H","DateFormat=P","Fill=—","Direction=H","UseDPDF=Y")</f>
        <v>#NAME?</v>
      </c>
      <c r="I480" t="e">
        <f ca="1">_xll.BDH($C$478,"RETURN_ON_INV_CAPITAL","FQ2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480" t="e">
        <f ca="1">_xll.BDH($C$478,"EBITDA_TO_REVENUE","FQ2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480" t="e">
        <f ca="1">_xll.BDH($C$478,"OPER_MARGIN","FQ2 2014","FQ2 2014","Currency=INR","Period=FQ","BEST_FPERIOD_OVERRIDE=FQ","FILING_STATUS=OR","EQY_CONSOLIDATED=Y","FA_ADJUSTED=GAAP","Sort=A","Dates=H","DateFormat=P","Fill=—","Direction=H","UseDPDF=Y")</f>
        <v>#NAME?</v>
      </c>
      <c r="L480" t="e">
        <f ca="1">_xll.BDH($C$478,"INCREMENTAL_OPERATING_MARGIN","FQ2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480" t="e">
        <f ca="1">_xll.BDH($C$478,"PRETAX_INC_TO_NET_SALES","FQ2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480" t="e">
        <f ca="1">_xll.BDH($C$478,"INC_BEF_XO_ITEMS_TO_NET_SALES","FQ2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480" t="e">
        <f ca="1">_xll.BDH($C$478,"PROF_MARGIN","FQ2 2014","FQ2 2014","Currency=INR","Period=FQ","BEST_FPERIOD_OVERRIDE=FQ","FILING_STATUS=OR","EQY_CONSOLIDATED=Y","FA_ADJUSTED=GAAP","Sort=A","Dates=H","DateFormat=P","Fill=—","Direction=H","UseDPDF=Y")</f>
        <v>#NAME?</v>
      </c>
      <c r="P480" t="e">
        <f ca="1">_xll.BDH($C$478,"NET_INCOME_TO_COMMON_MARGIN","FQ2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480" t="e">
        <f ca="1">_xll.BDH($C$478,"EFF_TAX_RATE","FQ2 2014","FQ2 2014","Currency=INR","Period=FQ","BEST_FPERIOD_OVERRIDE=FQ","FILING_STATUS=OR","EQY_CONSOLIDATED=Y","FA_ADJUSTED=GAAP","Sort=A","Dates=H","DateFormat=P","Fill=—","Direction=H","UseDPDF=Y")</f>
        <v>#NAME?</v>
      </c>
      <c r="R480" t="e">
        <f ca="1">_xll.BDH($C$478,"DVD_PAYOUT_RATIO","FQ2 2014","FQ2 2014","Currency=INR","Period=FQ","BEST_FPERIOD_OVERRIDE=FQ","FILING_STATUS=OR","EQY_CONSOLIDATED=Y","FA_ADJUSTED=GAAP","Sort=A","Dates=H","DateFormat=P","Fill=—","Direction=H","UseDPDF=Y")</f>
        <v>#NAME?</v>
      </c>
      <c r="S480" t="e">
        <f ca="1">_xll.BDH($C$478,"SUSTAIN_GROWTH_RT","FQ2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480" s="2" t="e">
        <f ca="1">_xll.BDH($C$478,"SALES_GROWTH","FQ2 2014","FQ2 2014","Currency=INR","Period=FQ","BEST_FPERIOD_OVERRIDE=FQ","FILING_STATUS=OR","EQY_CONSOLIDATED=Y","FA_ADJUSTED=GAAP","Sort=A","Dates=H","DateFormat=P","Fill=—","Direction=H","UseDPDF=Y")</f>
        <v>#NAME?</v>
      </c>
      <c r="U480" s="2" t="e">
        <f ca="1">_xll.BDH($C$478,"EBITDA_GROWTH","FQ2 2014","FQ2 2014","Currency=INR","Period=FQ","BEST_FPERIOD_OVERRIDE=FQ","FILING_STATUS=OR","EQY_CONSOLIDATED=Y","FA_ADJUSTED=GAAP","Sort=A","Dates=H","DateFormat=P","Fill=—","Direction=H","UseDPDF=Y")</f>
        <v>#NAME?</v>
      </c>
      <c r="V480" s="2" t="e">
        <f ca="1">_xll.BDH($C$478,"OPER_INC_GROWTH","FQ2 2014","FQ2 2014","Currency=INR","Period=FQ","BEST_FPERIOD_OVERRIDE=FQ","FILING_STATUS=OR","EQY_CONSOLIDATED=Y","FA_ADJUSTED=GAAP","Sort=A","Dates=H","DateFormat=P","Fill=—","Direction=H","UseDPDF=Y")</f>
        <v>#NAME?</v>
      </c>
      <c r="W480" s="2" t="e">
        <f ca="1">_xll.BDH($C$478,"EARN_FOR_COM_GROWTH","FQ2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480" s="2" t="e">
        <f ca="1">_xll.BDH($C$478,"DILUTED_EPS_AFT_XO_ITEMS_GROWTH","FQ2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480" s="2" t="e">
        <f ca="1">_xll.BDH($C$478,"DIVIDEND_PER_SHARE_1_YEAR_GROWTH","FQ2 2014","FQ2 2014","Currency=INR","Period=FQ","BEST_FPERIOD_OVERRIDE=FQ","FILING_STATUS=OR","EQY_CONSOLIDATED=Y","Sort=A","Dates=H","DateFormat=P","Fill=—","Direction=H","UseDPDF=Y")</f>
        <v>#NAME?</v>
      </c>
      <c r="Z480" s="2" t="e">
        <f ca="1">_xll.BDH($C$478,"ACCOUNTS_RECEIVABLE_GROWTH","FQ2 2014","FQ2 2014","Currency=INR","Period=FQ","BEST_FPERIOD_OVERRIDE=FQ","FILING_STATUS=OR","EQY_CONSOLIDATED=Y","Sort=A","Dates=H","DateFormat=P","Fill=—","Direction=H","UseDPDF=Y")</f>
        <v>#NAME?</v>
      </c>
      <c r="AA480" s="2" t="e">
        <f ca="1">_xll.BDH($C$478,"INVENTORY_GROWTH","FQ2 2014","FQ2 2014","Currency=INR","Period=FQ","BEST_FPERIOD_OVERRIDE=FQ","FILING_STATUS=OR","EQY_CONSOLIDATED=Y","Sort=A","Dates=H","DateFormat=P","Fill=—","Direction=H","UseDPDF=Y")</f>
        <v>#NAME?</v>
      </c>
      <c r="AB480" s="2" t="e">
        <f ca="1">_xll.BDH($C$478,"NET_FIXED_ASSETS_1_YEAR_GROWTH","FQ2 2014","FQ2 2014","Currency=INR","Period=FQ","BEST_FPERIOD_OVERRIDE=FQ","FILING_STATUS=OR","EQY_CONSOLIDATED=Y","Sort=A","Dates=H","DateFormat=P","Fill=—","Direction=H","UseDPDF=Y")</f>
        <v>#NAME?</v>
      </c>
      <c r="AC480" s="2" t="e">
        <f ca="1">_xll.BDH($C$478,"ASSET_GROWTH","FQ2 2014","FQ2 2014","Currency=INR","Period=FQ","BEST_FPERIOD_OVERRIDE=FQ","FILING_STATUS=OR","EQY_CONSOLIDATED=Y","Sort=A","Dates=H","DateFormat=P","Fill=—","Direction=H","UseDPDF=Y")</f>
        <v>#NAME?</v>
      </c>
      <c r="AD480" s="2" t="e">
        <f ca="1">_xll.BDH($C$478,"MODIFIED_WORK_CAP_GROWTH","FQ2 2014","FQ2 2014","Currency=INR","Period=FQ","BEST_FPERIOD_OVERRIDE=FQ","FILING_STATUS=OR","EQY_CONSOLIDATED=Y","Sort=A","Dates=H","DateFormat=P","Fill=—","Direction=H","UseDPDF=Y")</f>
        <v>#NAME?</v>
      </c>
      <c r="AE480" s="2" t="e">
        <f ca="1">_xll.BDH($C$478,"WORK_CAP_GROWTH","FQ2 2014","FQ2 2014","Currency=INR","Period=FQ","BEST_FPERIOD_OVERRIDE=FQ","FILING_STATUS=OR","EQY_CONSOLIDATED=Y","Sort=A","Dates=H","DateFormat=P","Fill=—","Direction=H","UseDPDF=Y")</f>
        <v>#NAME?</v>
      </c>
      <c r="AF480" s="2" t="e">
        <f ca="1">_xll.BDH($C$478,"ACCOUNTS_PAYABLE_GROWTH_1YR","FQ2 2014","FQ2 2014","Currency=INR","Period=FQ","BEST_FPERIOD_OVERRIDE=FQ","FILING_STATUS=OR","EQY_CONSOLIDATED=Y","Sort=A","Dates=H","DateFormat=P","Fill=—","Direction=H","UseDPDF=Y")</f>
        <v>#NAME?</v>
      </c>
      <c r="AG480" s="2" t="e">
        <f ca="1">_xll.BDH($C$478,"SHORT_TERM_DEBT_1_YEAR_GROWTH","FQ2 2014","FQ2 2014","Currency=INR","Period=FQ","BEST_FPERIOD_OVERRIDE=FQ","FILING_STATUS=OR","EQY_CONSOLIDATED=Y","Sort=A","Dates=H","DateFormat=P","Fill=—","Direction=H","UseDPDF=Y")</f>
        <v>#NAME?</v>
      </c>
      <c r="AH480" s="2" t="e">
        <f ca="1">_xll.BDH($C$478,"TOTAL_DEBT_1_YEAR_GROWTH","FQ2 2014","FQ2 2014","Currency=INR","Period=FQ","BEST_FPERIOD_OVERRIDE=FQ","FILING_STATUS=OR","EQY_CONSOLIDATED=Y","Sort=A","Dates=H","DateFormat=P","Fill=—","Direction=H","UseDPDF=Y")</f>
        <v>#NAME?</v>
      </c>
      <c r="AI480" s="2" t="e">
        <f ca="1">_xll.BDH($C$478,"TOTAL_EQUITY_1_YEAR_GROWTH","FQ2 2014","FQ2 2014","Currency=INR","Period=FQ","BEST_FPERIOD_OVERRIDE=FQ","FILING_STATUS=OR","EQY_CONSOLIDATED=Y","Sort=A","Dates=H","DateFormat=P","Fill=—","Direction=H","UseDPDF=Y")</f>
        <v>#NAME?</v>
      </c>
      <c r="AJ480" s="2" t="e">
        <f ca="1">_xll.BDH($C$478,"GROWTH_IN_CAP","FQ2 2014","FQ2 2014","Currency=INR","Period=FQ","BEST_FPERIOD_OVERRIDE=FQ","FILING_STATUS=OR","EQY_CONSOLIDATED=Y","Sort=A","Dates=H","DateFormat=P","Fill=—","Direction=H","UseDPDF=Y")</f>
        <v>#NAME?</v>
      </c>
      <c r="AK480" s="2" t="e">
        <f ca="1">_xll.BDH($C$478,"BVPS_GROWTH","FQ2 2014","FQ2 2014","Currency=INR","Period=FQ","BEST_FPERIOD_OVERRIDE=FQ","FILING_STATUS=OR","EQY_CONSOLIDATED=Y","Sort=A","Dates=H","DateFormat=P","Fill=—","Direction=H","UseDPDF=Y")</f>
        <v>#NAME?</v>
      </c>
      <c r="AL480" s="2" t="e">
        <f ca="1">_xll.BDH($C$478,"CASH_FLOW_GROWTH","FQ2 2014","FQ2 2014","Currency=INR","Period=FQ","BEST_FPERIOD_OVERRIDE=FQ","FILING_STATUS=OR","EQY_CONSOLIDATED=Y","Sort=A","Dates=H","DateFormat=P","Fill=—","Direction=H","UseDPDF=Y")</f>
        <v>#NAME?</v>
      </c>
      <c r="AM480" s="2" t="e">
        <f ca="1">_xll.BDH($C$478,"GEO_GROW_NET_SALES","FQ2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480" s="2" t="e">
        <f ca="1">_xll.BDH($C$478,"GEO_GROW_EBITDA","FQ2 2014","FQ2 2014","Currency=INR","Period=FQ","BEST_FPERIOD_OVERRIDE=FQ","FILING_STATUS=OR","EQY_CONSOLIDATED=Y","FA_ADJUSTED=GAAP","Sort=A","Dates=H","DateFormat=P","Fill=—","Direction=H","UseDPDF=Y")</f>
        <v>#NAME?</v>
      </c>
      <c r="AO480" s="2" t="e">
        <f ca="1">_xll.BDH($C$478,"GEO_GROW_OPER_INC","FQ2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480" s="2" t="e">
        <f ca="1">_xll.BDH($C$478,"NET_INCOME_TO_COMMON_5_YR_GROWTH","FQ2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480" s="2" t="e">
        <f ca="1">_xll.BDH($C$478,"5Y_GEO_GROWTH_DILUTED_EPS","FQ2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480" s="2" t="e">
        <f ca="1">_xll.BDH($C$478,"GEO_GROW_DVD_PER_SH","FQ2 2014","FQ2 2014","Currency=INR","Period=FQ","BEST_FPERIOD_OVERRIDE=FQ","FILING_STATUS=OR","EQY_CONSOLIDATED=Y","Sort=A","Dates=H","DateFormat=P","Fill=—","Direction=H","UseDPDF=Y")</f>
        <v>#NAME?</v>
      </c>
      <c r="AS480" s="2" t="e">
        <f ca="1">_xll.BDH($C$478,"ACCOUNTS_RECEIVABLE_5_YR_GROWTH","FQ2 2014","FQ2 2014","Currency=INR","Period=FQ","BEST_FPERIOD_OVERRIDE=FQ","FILING_STATUS=OR","EQY_CONSOLIDATED=Y","Sort=A","Dates=H","DateFormat=P","Fill=—","Direction=H","UseDPDF=Y")</f>
        <v>#NAME?</v>
      </c>
      <c r="AT480" s="2" t="e">
        <f ca="1">_xll.BDH($C$478,"INVENTORY_5_YEAR_GROWTH","FQ2 2014","FQ2 2014","Currency=INR","Period=FQ","BEST_FPERIOD_OVERRIDE=FQ","FILING_STATUS=OR","EQY_CONSOLIDATED=Y","Sort=A","Dates=H","DateFormat=P","Fill=—","Direction=H","UseDPDF=Y")</f>
        <v>#NAME?</v>
      </c>
      <c r="AU480" s="2" t="e">
        <f ca="1">_xll.BDH($C$478,"NET_FIXED_ASSETS_5_YEAR_GROWTH","FQ2 2014","FQ2 2014","Currency=INR","Period=FQ","BEST_FPERIOD_OVERRIDE=FQ","FILING_STATUS=OR","EQY_CONSOLIDATED=Y","Sort=A","Dates=H","DateFormat=P","Fill=—","Direction=H","UseDPDF=Y")</f>
        <v>#NAME?</v>
      </c>
      <c r="AV480" s="2" t="e">
        <f ca="1">_xll.BDH($C$478,"GEO_GROW_TOT_ASSET","FQ2 2014","FQ2 2014","Currency=INR","Period=FQ","BEST_FPERIOD_OVERRIDE=FQ","FILING_STATUS=OR","EQY_CONSOLIDATED=Y","Sort=A","Dates=H","DateFormat=P","Fill=—","Direction=H","UseDPDF=Y")</f>
        <v>#NAME?</v>
      </c>
      <c r="AW480" s="2" t="e">
        <f ca="1">_xll.BDH($C$478,"MODIFIED_WORKING_CPTL_5YR_GRWTH","FQ2 2014","FQ2 2014","Currency=INR","Period=FQ","BEST_FPERIOD_OVERRIDE=FQ","FILING_STATUS=OR","EQY_CONSOLIDATED=Y","Sort=A","Dates=H","DateFormat=P","Fill=—","Direction=H","UseDPDF=Y")</f>
        <v>#NAME?</v>
      </c>
      <c r="AX480" s="2" t="e">
        <f ca="1">_xll.BDH($C$478,"WORKING_CAPITAL_5_YEAR_GROWTH","FQ2 2014","FQ2 2014","Currency=INR","Period=FQ","BEST_FPERIOD_OVERRIDE=FQ","FILING_STATUS=OR","EQY_CONSOLIDATED=Y","Sort=A","Dates=H","DateFormat=P","Fill=—","Direction=H","UseDPDF=Y")</f>
        <v>#NAME?</v>
      </c>
      <c r="AY480" s="2" t="e">
        <f ca="1">_xll.BDH($C$478,"ACCOUNTS_PAYABLE_5_YEAR_GROWTH","FQ2 2014","FQ2 2014","Currency=INR","Period=FQ","BEST_FPERIOD_OVERRIDE=FQ","FILING_STATUS=OR","EQY_CONSOLIDATED=Y","Sort=A","Dates=H","DateFormat=P","Fill=—","Direction=H","UseDPDF=Y")</f>
        <v>#NAME?</v>
      </c>
      <c r="AZ480" s="2" t="e">
        <f ca="1">_xll.BDH($C$478,"SHORT_TERM_DEBT_5_YEAR_GROWTH","FQ2 2014","FQ2 2014","Currency=INR","Period=FQ","BEST_FPERIOD_OVERRIDE=FQ","FILING_STATUS=OR","EQY_CONSOLIDATED=Y","Sort=A","Dates=H","DateFormat=P","Fill=—","Direction=H","UseDPDF=Y")</f>
        <v>#NAME?</v>
      </c>
      <c r="BA480" s="2" t="e">
        <f ca="1">_xll.BDH($C$478,"TOTAL_DEBT_5_YEAR_GROWTH","FQ2 2014","FQ2 2014","Currency=INR","Period=FQ","BEST_FPERIOD_OVERRIDE=FQ","FILING_STATUS=OR","EQY_CONSOLIDATED=Y","Sort=A","Dates=H","DateFormat=P","Fill=—","Direction=H","UseDPDF=Y")</f>
        <v>#NAME?</v>
      </c>
      <c r="BB480" s="2" t="e">
        <f ca="1">_xll.BDH($C$478,"GEO_GROW_TOT_SHRHLDR_EQY","FQ2 2014","FQ2 2014","Currency=INR","Period=FQ","BEST_FPERIOD_OVERRIDE=FQ","FILING_STATUS=OR","EQY_CONSOLIDATED=Y","Sort=A","Dates=H","DateFormat=P","Fill=—","Direction=H","UseDPDF=Y")</f>
        <v>#NAME?</v>
      </c>
      <c r="BC480" s="2" t="e">
        <f ca="1">_xll.BDH($C$478,"TOTAL_CAPITAL_5_YEAR_GROWTH","FQ2 2014","FQ2 2014","Currency=INR","Period=FQ","BEST_FPERIOD_OVERRIDE=FQ","FILING_STATUS=OR","EQY_CONSOLIDATED=Y","Sort=A","Dates=H","DateFormat=P","Fill=—","Direction=H","UseDPDF=Y")</f>
        <v>#NAME?</v>
      </c>
      <c r="BD480" s="2" t="e">
        <f ca="1">_xll.BDH($C$478,"GEO_GROW_BOOK_VAL","FQ2 2014","FQ2 2014","Currency=INR","Period=FQ","BEST_FPERIOD_OVERRIDE=FQ","FILING_STATUS=OR","EQY_CONSOLIDATED=Y","Sort=A","Dates=H","DateFormat=P","Fill=—","Direction=H","UseDPDF=Y")</f>
        <v>#NAME?</v>
      </c>
      <c r="BE480" s="2" t="e">
        <f ca="1">_xll.BDH($C$478,"GEO_GROW_CASH_OPER_ACT","FQ2 2014","FQ2 2014","Currency=INR","Period=FQ","BEST_FPERIOD_OVERRIDE=FQ","FILING_STATUS=OR","EQY_CONSOLIDATED=Y","Sort=A","Dates=H","DateFormat=P","Fill=—","Direction=H","UseDPDF=Y")</f>
        <v>#NAME?</v>
      </c>
      <c r="BF480" s="2" t="e">
        <f ca="1">_xll.BDH($C$478,"REVENUE_SEQUENTIAL_GROWTH","FQ2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480" s="2" t="e">
        <f ca="1">_xll.BDH($C$478,"EBITDA_SEQUENTIAL_GROWTH","FQ2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480" s="2" t="e">
        <f ca="1">_xll.BDH($C$478,"OPERATING_INCOME_SEQ_GROWTH","FQ2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480" s="2" t="e">
        <f ca="1">_xll.BDH($C$478,"NET_INCOME_TO_COMMON_SEQ_GROWTH","FQ2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480" s="2" t="e">
        <f ca="1">_xll.BDH($C$478,"EPS_DILUTED_SEQUENTIAL_GROWTH","FQ2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480" s="2" t="e">
        <f ca="1">_xll.BDH($C$478,"DPS_SEQUENTIAL_GROWTH","FQ2 2014","FQ2 2014","Currency=INR","Period=FQ","BEST_FPERIOD_OVERRIDE=FQ","FILING_STATUS=OR","EQY_CONSOLIDATED=Y","Sort=A","Dates=H","DateFormat=P","Fill=—","Direction=H","UseDPDF=Y")</f>
        <v>#NAME?</v>
      </c>
      <c r="BL480" s="2" t="e">
        <f ca="1">_xll.BDH($C$478,"ACCOUNTS_RECEIVABLE_SEQ_GROWTH","FQ2 2014","FQ2 2014","Currency=INR","Period=FQ","BEST_FPERIOD_OVERRIDE=FQ","FILING_STATUS=OR","EQY_CONSOLIDATED=Y","Sort=A","Dates=H","DateFormat=P","Fill=—","Direction=H","UseDPDF=Y")</f>
        <v>#NAME?</v>
      </c>
      <c r="BM480" s="2" t="e">
        <f ca="1">_xll.BDH($C$478,"INVENTORY_SEQUENTIAL_GROWTH","FQ2 2014","FQ2 2014","Currency=INR","Period=FQ","BEST_FPERIOD_OVERRIDE=FQ","FILING_STATUS=OR","EQY_CONSOLIDATED=Y","Sort=A","Dates=H","DateFormat=P","Fill=—","Direction=H","UseDPDF=Y")</f>
        <v>#NAME?</v>
      </c>
      <c r="BN480" s="2" t="e">
        <f ca="1">_xll.BDH($C$478,"FIXED_ASSETS_SEQUENTIAL_GROWTH","FQ2 2014","FQ2 2014","Currency=INR","Period=FQ","BEST_FPERIOD_OVERRIDE=FQ","FILING_STATUS=OR","EQY_CONSOLIDATED=Y","Sort=A","Dates=H","DateFormat=P","Fill=—","Direction=H","UseDPDF=Y")</f>
        <v>#NAME?</v>
      </c>
      <c r="BO480" s="2" t="e">
        <f ca="1">_xll.BDH($C$478,"TOTAL_ASSETS_SEQUENTIAL_GROWTH","FQ2 2014","FQ2 2014","Currency=INR","Period=FQ","BEST_FPERIOD_OVERRIDE=FQ","FILING_STATUS=OR","EQY_CONSOLIDATED=Y","Sort=A","Dates=H","DateFormat=P","Fill=—","Direction=H","UseDPDF=Y")</f>
        <v>#NAME?</v>
      </c>
      <c r="BP480" s="2" t="e">
        <f ca="1">_xll.BDH($C$478,"MODIFIED_WORKING_CPTL_SEQ_GRWTH","FQ2 2014","FQ2 2014","Currency=INR","Period=FQ","BEST_FPERIOD_OVERRIDE=FQ","FILING_STATUS=OR","EQY_CONSOLIDATED=Y","Sort=A","Dates=H","DateFormat=P","Fill=—","Direction=H","UseDPDF=Y")</f>
        <v>#NAME?</v>
      </c>
      <c r="BQ480" s="2" t="e">
        <f ca="1">_xll.BDH($C$478,"WORKING_CAPITAL_SEQ_GROWTH","FQ2 2014","FQ2 2014","Currency=INR","Period=FQ","BEST_FPERIOD_OVERRIDE=FQ","FILING_STATUS=OR","EQY_CONSOLIDATED=Y","Sort=A","Dates=H","DateFormat=P","Fill=—","Direction=H","UseDPDF=Y")</f>
        <v>#NAME?</v>
      </c>
      <c r="BR480" s="2" t="e">
        <f ca="1">_xll.BDH($C$478,"ACCOUNTS_PAYABLE_SEQ_GROWTH","FQ2 2014","FQ2 2014","Currency=INR","Period=FQ","BEST_FPERIOD_OVERRIDE=FQ","FILING_STATUS=OR","EQY_CONSOLIDATED=Y","Sort=A","Dates=H","DateFormat=P","Fill=—","Direction=H","UseDPDF=Y")</f>
        <v>#NAME?</v>
      </c>
      <c r="BS480" s="2" t="e">
        <f ca="1">_xll.BDH($C$478,"ST_DEBT_SEQUENTIAL_GROWTH","FQ2 2014","FQ2 2014","Currency=INR","Period=FQ","BEST_FPERIOD_OVERRIDE=FQ","FILING_STATUS=OR","EQY_CONSOLIDATED=Y","Sort=A","Dates=H","DateFormat=P","Fill=—","Direction=H","UseDPDF=Y")</f>
        <v>#NAME?</v>
      </c>
      <c r="BT480" s="2" t="e">
        <f ca="1">_xll.BDH($C$478,"TOTAL_DEBT_SEQUENTIAL_GROWTH","FQ2 2014","FQ2 2014","Currency=INR","Period=FQ","BEST_FPERIOD_OVERRIDE=FQ","FILING_STATUS=OR","EQY_CONSOLIDATED=Y","Sort=A","Dates=H","DateFormat=P","Fill=—","Direction=H","UseDPDF=Y")</f>
        <v>#NAME?</v>
      </c>
      <c r="BU480" s="2" t="e">
        <f ca="1">_xll.BDH($C$478,"TOTAL_EQUITY_SEQUENTIAL_GROWTH","FQ2 2014","FQ2 2014","Currency=INR","Period=FQ","BEST_FPERIOD_OVERRIDE=FQ","FILING_STATUS=OR","EQY_CONSOLIDATED=Y","Sort=A","Dates=H","DateFormat=P","Fill=—","Direction=H","UseDPDF=Y")</f>
        <v>#NAME?</v>
      </c>
      <c r="BV480" s="2" t="e">
        <f ca="1">_xll.BDH($C$478,"TOTAL_CAPITAL_SEQUENTIAL_GROWTH","FQ2 2014","FQ2 2014","Currency=INR","Period=FQ","BEST_FPERIOD_OVERRIDE=FQ","FILING_STATUS=OR","EQY_CONSOLIDATED=Y","Sort=A","Dates=H","DateFormat=P","Fill=—","Direction=H","UseDPDF=Y")</f>
        <v>#NAME?</v>
      </c>
      <c r="BW480" s="2" t="e">
        <f ca="1">_xll.BDH($C$478,"BPS_SEQUENTIAL_GROWTH","FQ2 2014","FQ2 2014","Currency=INR","Period=FQ","BEST_FPERIOD_OVERRIDE=FQ","FILING_STATUS=OR","EQY_CONSOLIDATED=Y","Sort=A","Dates=H","DateFormat=P","Fill=—","Direction=H","UseDPDF=Y")</f>
        <v>#NAME?</v>
      </c>
      <c r="BX480" s="2" t="e">
        <f ca="1">_xll.BDH($C$478,"CFO_SEQUENTIAL_GROWTH","FQ2 2014","FQ2 2014","Currency=INR","Period=FQ","BEST_FPERIOD_OVERRIDE=FQ","FILING_STATUS=OR","EQY_CONSOLIDATED=Y","Sort=A","Dates=H","DateFormat=P","Fill=—","Direction=H","UseDPDF=Y")</f>
        <v>#NAME?</v>
      </c>
      <c r="BY480" s="3" t="e">
        <f ca="1">_xll.BDH($C$478,"SHORT_AND_LONG_TERM_DEBT","FQ2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480" s="3" t="e">
        <f ca="1">_xll.BDH($C$478,"BS_ST_BORROW","FQ2 2014","FQ2 2014","Currency=INR","Period=FQ","BEST_FPERIOD_OVERRIDE=FQ","FILING_STATUS=OR","EQY_CONSOLIDATED=Y","SCALING_FORMAT=MLN","Sort=A","Dates=H","DateFormat=P","Fill=—","Direction=H","UseDPDF=Y")</f>
        <v>#NAME?</v>
      </c>
      <c r="CA480" s="3" t="e">
        <f ca="1">_xll.BDH($C$478,"BS_LT_BORROW","FQ2 2014","FQ2 2014","Currency=INR","Period=FQ","BEST_FPERIOD_OVERRIDE=FQ","FILING_STATUS=OR","EQY_CONSOLIDATED=Y","SCALING_FORMAT=MLN","Sort=A","Dates=H","DateFormat=P","Fill=—","Direction=H","UseDPDF=Y")</f>
        <v>#NAME?</v>
      </c>
      <c r="CB480" s="2" t="e">
        <f ca="1">_xll.BDH($C$478,"TOT_DEBT_TO_EBITDA","FQ2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480" s="2" t="e">
        <f ca="1">_xll.BDH($C$478,"NET_DEBT_TO_EBITDA","FQ2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480" s="2" t="e">
        <f ca="1">_xll.BDH($C$478,"TOTAL_DEBT_TO_EBIT","FQ2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480" s="2" t="e">
        <f ca="1">_xll.BDH($C$478,"NET_DEBT_TO_EBIT","FQ2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480" s="2" t="e">
        <f ca="1">_xll.BDH($C$478,"EBITDA_TO_INTEREST_EXPN","FQ2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480" s="2" t="e">
        <f ca="1">_xll.BDH($C$478,"COM_EQY_TO_TOT_ASSET","FQ2 2014","FQ2 2014","Currency=INR","Period=FQ","BEST_FPERIOD_OVERRIDE=FQ","FILING_STATUS=OR","EQY_CONSOLIDATED=Y","Sort=A","Dates=H","DateFormat=P","Fill=—","Direction=H","UseDPDF=Y")</f>
        <v>#NAME?</v>
      </c>
      <c r="CH480" s="2" t="e">
        <f ca="1">_xll.BDH($C$478,"LT_DEBT_TO_TOT_EQY","FQ2 2014","FQ2 2014","Currency=INR","Period=FQ","BEST_FPERIOD_OVERRIDE=FQ","FILING_STATUS=OR","EQY_CONSOLIDATED=Y","Sort=A","Dates=H","DateFormat=P","Fill=—","Direction=H","UseDPDF=Y")</f>
        <v>#NAME?</v>
      </c>
      <c r="CI480" s="2" t="e">
        <f ca="1">_xll.BDH($C$478,"LT_DEBT_TO_TOT_CAP","FQ2 2014","FQ2 2014","Currency=INR","Period=FQ","BEST_FPERIOD_OVERRIDE=FQ","FILING_STATUS=OR","EQY_CONSOLIDATED=Y","Sort=A","Dates=H","DateFormat=P","Fill=—","Direction=H","UseDPDF=Y")</f>
        <v>#NAME?</v>
      </c>
      <c r="CJ480" s="2" t="e">
        <f ca="1">_xll.BDH($C$478,"LT_DEBT_TO_TOT_ASSET","FQ2 2014","FQ2 2014","Currency=INR","Period=FQ","BEST_FPERIOD_OVERRIDE=FQ","FILING_STATUS=OR","EQY_CONSOLIDATED=Y","Sort=A","Dates=H","DateFormat=P","Fill=—","Direction=H","UseDPDF=Y")</f>
        <v>#NAME?</v>
      </c>
      <c r="CK480" s="2" t="e">
        <f ca="1">_xll.BDH($C$478,"TOT_DEBT_TO_TOT_EQY","FQ2 2014","FQ2 2014","Currency=INR","Period=FQ","BEST_FPERIOD_OVERRIDE=FQ","FILING_STATUS=OR","EQY_CONSOLIDATED=Y","Sort=A","Dates=H","DateFormat=P","Fill=—","Direction=H","UseDPDF=Y")</f>
        <v>#NAME?</v>
      </c>
      <c r="CL480" s="2" t="e">
        <f ca="1">_xll.BDH($C$478,"TOT_DEBT_TO_TOT_CAP","FQ2 2014","FQ2 2014","Currency=INR","Period=FQ","BEST_FPERIOD_OVERRIDE=FQ","FILING_STATUS=OR","EQY_CONSOLIDATED=Y","Sort=A","Dates=H","DateFormat=P","Fill=—","Direction=H","UseDPDF=Y")</f>
        <v>#NAME?</v>
      </c>
      <c r="CM480" s="2" t="e">
        <f ca="1">_xll.BDH($C$478,"TOT_DEBT_TO_TOT_ASSET","FQ2 2014","FQ2 2014","Currency=INR","Period=FQ","BEST_FPERIOD_OVERRIDE=FQ","FILING_STATUS=OR","EQY_CONSOLIDATED=Y","Sort=A","Dates=H","DateFormat=P","Fill=—","Direction=H","UseDPDF=Y")</f>
        <v>#NAME?</v>
      </c>
      <c r="CN480" s="2" t="e">
        <f ca="1">_xll.BDH($C$478,"NET_DEBT_TO_SHRHLDR_EQTY","FQ2 2014","FQ2 2014","Currency=INR","Period=FQ","BEST_FPERIOD_OVERRIDE=FQ","FILING_STATUS=OR","EQY_CONSOLIDATED=Y","Sort=A","Dates=H","DateFormat=P","Fill=—","Direction=H","UseDPDF=Y")</f>
        <v>#NAME?</v>
      </c>
      <c r="CO480" s="2" t="e">
        <f ca="1">_xll.BDH($C$478,"NET_DEBT_%_CAPITAL","FQ2 2014","FQ2 2014","Currency=INR","Period=FQ","BEST_FPERIOD_OVERRIDE=FQ","FILING_STATUS=OR","EQY_CONSOLIDATED=Y","Sort=A","Dates=H","DateFormat=P","Fill=—","Direction=H","UseDPDF=Y")</f>
        <v>#NAME?</v>
      </c>
      <c r="CP480" s="3" t="e">
        <f ca="1">_xll.BDH($C$478,"EBITDA","FQ2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480" s="3" t="e">
        <f ca="1">_xll.BDH($C$478,"EBITDA_AFTER_CAPEX","FQ2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480" s="3" t="e">
        <f ca="1">_xll.BDH($C$478,"IS_OPER_INC","FQ2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480" s="2" t="e">
        <f ca="1">_xll.BDH($C$478,"CASH_RATIO","FQ2 2014","FQ2 2014","Currency=INR","Period=FQ","BEST_FPERIOD_OVERRIDE=FQ","FILING_STATUS=OR","EQY_CONSOLIDATED=Y","Sort=A","Dates=H","DateFormat=P","Fill=—","Direction=H","UseDPDF=Y")</f>
        <v>#NAME?</v>
      </c>
      <c r="CT480" s="2" t="e">
        <f ca="1">_xll.BDH($C$478,"CUR_RATIO","FQ2 2014","FQ2 2014","Currency=INR","Period=FQ","BEST_FPERIOD_OVERRIDE=FQ","FILING_STATUS=OR","EQY_CONSOLIDATED=Y","Sort=A","Dates=H","DateFormat=P","Fill=—","Direction=H","UseDPDF=Y")</f>
        <v>#NAME?</v>
      </c>
      <c r="CU480" s="2" t="e">
        <f ca="1">_xll.BDH($C$478,"QUICK_RATIO","FQ2 2014","FQ2 2014","Currency=INR","Period=FQ","BEST_FPERIOD_OVERRIDE=FQ","FILING_STATUS=OR","EQY_CONSOLIDATED=Y","Sort=A","Dates=H","DateFormat=P","Fill=—","Direction=H","UseDPDF=Y")</f>
        <v>#NAME?</v>
      </c>
      <c r="CV480" s="2" t="e">
        <f ca="1">_xll.BDH($C$478,"ALTMAN_Z_SCORE","FQ2 2014","FQ2 2014","Currency=INR","Period=FQ","BEST_FPERIOD_OVERRIDE=FQ","FILING_STATUS=OR","EQY_CONSOLIDATED=Y","Sort=A","Dates=H","DateFormat=P","Fill=—","Direction=H","UseDPDF=Y")</f>
        <v>#NAME?</v>
      </c>
      <c r="CW480" s="4" t="e">
        <f ca="1">_xll.BDH($C$478,"ACCT_RCV_TURN","FQ2 2014","FQ2 2014","Currency=INR","Period=FQ","BEST_FPERIOD_OVERRIDE=FQ","FILING_STATUS=OR","EQY_CONSOLIDATED=Y","FA_ADJUSTED=GAAP","Sort=A","Dates=H","DateFormat=P","Fill=—","Direction=H","UseDPDF=Y")</f>
        <v>#NAME?</v>
      </c>
      <c r="CX480" s="2" t="e">
        <f ca="1">_xll.BDH($C$478,"ACCT_RCV_DAYS","FQ2 2014","FQ2 2014","Currency=INR","Period=FQ","BEST_FPERIOD_OVERRIDE=FQ","FILING_STATUS=OR","EQY_CONSOLIDATED=Y","FA_ADJUSTED=GAAP","Sort=A","Dates=H","DateFormat=P","Fill=—","Direction=H","UseDPDF=Y")</f>
        <v>#NAME?</v>
      </c>
      <c r="CY480" s="4" t="e">
        <f ca="1">_xll.BDH($C$478,"INVENT_TURN","FQ2 2014","FQ2 2014","Currency=INR","Period=FQ","BEST_FPERIOD_OVERRIDE=FQ","FILING_STATUS=OR","EQY_CONSOLIDATED=Y","FA_ADJUSTED=GAAP","Sort=A","Dates=H","DateFormat=P","Fill=—","Direction=H","UseDPDF=Y")</f>
        <v>#NAME?</v>
      </c>
      <c r="CZ480" s="2" t="e">
        <f ca="1">_xll.BDH($C$478,"INVENT_DAYS","FQ2 2014","FQ2 2014","Currency=INR","Period=FQ","BEST_FPERIOD_OVERRIDE=FQ","FILING_STATUS=OR","EQY_CONSOLIDATED=Y","FA_ADJUSTED=GAAP","Sort=A","Dates=H","DateFormat=P","Fill=—","Direction=H","UseDPDF=Y")</f>
        <v>#NAME?</v>
      </c>
      <c r="DA480" s="4" t="e">
        <f ca="1">_xll.BDH($C$478,"ACCOUNTS_PAYABLE_TURNOVER","FQ2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480" s="2" t="e">
        <f ca="1">_xll.BDH($C$478,"ACCOUNTS_PAYABLE_TURNOVER_DAYS","FQ2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480" s="4" t="e">
        <f ca="1">_xll.BDH($C$478,"CASH_CONVERSION_CYCLE","FQ2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480" s="4" t="e">
        <f ca="1">_xll.BDH($C$478,"INV_TO_CASH_DAYS","FQ2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480" s="5" t="e">
        <f ca="1">_xll.BDH($C$478,"BS_INVENTORIES","FQ2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480" s="3" t="e">
        <f ca="1">_xll.BDH($C$478,"INVTRY_RAW_MATERIALS","FQ2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480" s="3" t="e">
        <f ca="1">_xll.BDH($C$478,"INVTRY_IN_PROGRESS","FQ2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480" s="3" t="e">
        <f ca="1">_xll.BDH($C$478,"INVTRY_FINISHED_GOODS","FQ2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480" s="3" t="e">
        <f ca="1">_xll.BDH($C$478,"BS_OTHER_INV","FQ2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481" spans="1:113" x14ac:dyDescent="0.3">
      <c r="A481" s="6"/>
      <c r="B481" s="6"/>
      <c r="C481" s="6"/>
      <c r="D481" s="6"/>
      <c r="E481" t="s">
        <v>80</v>
      </c>
      <c r="F481" t="e">
        <f ca="1">_xll.BDH($C$478,"RETURN_COM_EQY","FQ3 2014","FQ3 2014","Currency=INR","Period=FQ","BEST_FPERIOD_OVERRIDE=FQ","FILING_STATUS=OR","EQY_CONSOLIDATED=Y","FA_ADJUSTED=GAAP","Sort=A","Dates=H","DateFormat=P","Fill=—","Direction=H","UseDPDF=Y")</f>
        <v>#NAME?</v>
      </c>
      <c r="G481" t="e">
        <f ca="1">_xll.BDH($C$478,"RETURN_ON_ASSET","FQ3 2014","FQ3 2014","Currency=INR","Period=FQ","BEST_FPERIOD_OVERRIDE=FQ","FILING_STATUS=OR","EQY_CONSOLIDATED=Y","FA_ADJUSTED=GAAP","Sort=A","Dates=H","DateFormat=P","Fill=—","Direction=H","UseDPDF=Y")</f>
        <v>#NAME?</v>
      </c>
      <c r="H481" t="e">
        <f ca="1">_xll.BDH($C$478,"RETURN_ON_CAP","FQ3 2014","FQ3 2014","Currency=INR","Period=FQ","BEST_FPERIOD_OVERRIDE=FQ","FILING_STATUS=OR","EQY_CONSOLIDATED=Y","FA_ADJUSTED=GAAP","Sort=A","Dates=H","DateFormat=P","Fill=—","Direction=H","UseDPDF=Y")</f>
        <v>#NAME?</v>
      </c>
      <c r="I481" t="e">
        <f ca="1">_xll.BDH($C$478,"RETURN_ON_INV_CAPITAL","FQ3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481" t="e">
        <f ca="1">_xll.BDH($C$478,"EBITDA_TO_REVENUE","FQ3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481" t="e">
        <f ca="1">_xll.BDH($C$478,"OPER_MARGIN","FQ3 2014","FQ3 2014","Currency=INR","Period=FQ","BEST_FPERIOD_OVERRIDE=FQ","FILING_STATUS=OR","EQY_CONSOLIDATED=Y","FA_ADJUSTED=GAAP","Sort=A","Dates=H","DateFormat=P","Fill=—","Direction=H","UseDPDF=Y")</f>
        <v>#NAME?</v>
      </c>
      <c r="L481" t="e">
        <f ca="1">_xll.BDH($C$478,"INCREMENTAL_OPERATING_MARGIN","FQ3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481" t="e">
        <f ca="1">_xll.BDH($C$478,"PRETAX_INC_TO_NET_SALES","FQ3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481" t="e">
        <f ca="1">_xll.BDH($C$478,"INC_BEF_XO_ITEMS_TO_NET_SALES","FQ3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481" t="e">
        <f ca="1">_xll.BDH($C$478,"PROF_MARGIN","FQ3 2014","FQ3 2014","Currency=INR","Period=FQ","BEST_FPERIOD_OVERRIDE=FQ","FILING_STATUS=OR","EQY_CONSOLIDATED=Y","FA_ADJUSTED=GAAP","Sort=A","Dates=H","DateFormat=P","Fill=—","Direction=H","UseDPDF=Y")</f>
        <v>#NAME?</v>
      </c>
      <c r="P481" t="e">
        <f ca="1">_xll.BDH($C$478,"NET_INCOME_TO_COMMON_MARGIN","FQ3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481" t="e">
        <f ca="1">_xll.BDH($C$478,"EFF_TAX_RATE","FQ3 2014","FQ3 2014","Currency=INR","Period=FQ","BEST_FPERIOD_OVERRIDE=FQ","FILING_STATUS=OR","EQY_CONSOLIDATED=Y","FA_ADJUSTED=GAAP","Sort=A","Dates=H","DateFormat=P","Fill=—","Direction=H","UseDPDF=Y")</f>
        <v>#NAME?</v>
      </c>
      <c r="R481" t="e">
        <f ca="1">_xll.BDH($C$478,"DVD_PAYOUT_RATIO","FQ3 2014","FQ3 2014","Currency=INR","Period=FQ","BEST_FPERIOD_OVERRIDE=FQ","FILING_STATUS=OR","EQY_CONSOLIDATED=Y","FA_ADJUSTED=GAAP","Sort=A","Dates=H","DateFormat=P","Fill=—","Direction=H","UseDPDF=Y")</f>
        <v>#NAME?</v>
      </c>
      <c r="S481" t="e">
        <f ca="1">_xll.BDH($C$478,"SUSTAIN_GROWTH_RT","FQ3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481" s="2" t="e">
        <f ca="1">_xll.BDH($C$478,"SALES_GROWTH","FQ3 2014","FQ3 2014","Currency=INR","Period=FQ","BEST_FPERIOD_OVERRIDE=FQ","FILING_STATUS=OR","EQY_CONSOLIDATED=Y","FA_ADJUSTED=GAAP","Sort=A","Dates=H","DateFormat=P","Fill=—","Direction=H","UseDPDF=Y")</f>
        <v>#NAME?</v>
      </c>
      <c r="U481" s="2" t="e">
        <f ca="1">_xll.BDH($C$478,"EBITDA_GROWTH","FQ3 2014","FQ3 2014","Currency=INR","Period=FQ","BEST_FPERIOD_OVERRIDE=FQ","FILING_STATUS=OR","EQY_CONSOLIDATED=Y","FA_ADJUSTED=GAAP","Sort=A","Dates=H","DateFormat=P","Fill=—","Direction=H","UseDPDF=Y")</f>
        <v>#NAME?</v>
      </c>
      <c r="V481" s="2" t="e">
        <f ca="1">_xll.BDH($C$478,"OPER_INC_GROWTH","FQ3 2014","FQ3 2014","Currency=INR","Period=FQ","BEST_FPERIOD_OVERRIDE=FQ","FILING_STATUS=OR","EQY_CONSOLIDATED=Y","FA_ADJUSTED=GAAP","Sort=A","Dates=H","DateFormat=P","Fill=—","Direction=H","UseDPDF=Y")</f>
        <v>#NAME?</v>
      </c>
      <c r="W481" s="2" t="e">
        <f ca="1">_xll.BDH($C$478,"EARN_FOR_COM_GROWTH","FQ3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481" s="2" t="e">
        <f ca="1">_xll.BDH($C$478,"DILUTED_EPS_AFT_XO_ITEMS_GROWTH","FQ3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481" s="2" t="e">
        <f ca="1">_xll.BDH($C$478,"DIVIDEND_PER_SHARE_1_YEAR_GROWTH","FQ3 2014","FQ3 2014","Currency=INR","Period=FQ","BEST_FPERIOD_OVERRIDE=FQ","FILING_STATUS=OR","EQY_CONSOLIDATED=Y","Sort=A","Dates=H","DateFormat=P","Fill=—","Direction=H","UseDPDF=Y")</f>
        <v>#NAME?</v>
      </c>
      <c r="Z481" s="2" t="e">
        <f ca="1">_xll.BDH($C$478,"ACCOUNTS_RECEIVABLE_GROWTH","FQ3 2014","FQ3 2014","Currency=INR","Period=FQ","BEST_FPERIOD_OVERRIDE=FQ","FILING_STATUS=OR","EQY_CONSOLIDATED=Y","Sort=A","Dates=H","DateFormat=P","Fill=—","Direction=H","UseDPDF=Y")</f>
        <v>#NAME?</v>
      </c>
      <c r="AA481" s="2" t="e">
        <f ca="1">_xll.BDH($C$478,"INVENTORY_GROWTH","FQ3 2014","FQ3 2014","Currency=INR","Period=FQ","BEST_FPERIOD_OVERRIDE=FQ","FILING_STATUS=OR","EQY_CONSOLIDATED=Y","Sort=A","Dates=H","DateFormat=P","Fill=—","Direction=H","UseDPDF=Y")</f>
        <v>#NAME?</v>
      </c>
      <c r="AB481" s="2" t="e">
        <f ca="1">_xll.BDH($C$478,"NET_FIXED_ASSETS_1_YEAR_GROWTH","FQ3 2014","FQ3 2014","Currency=INR","Period=FQ","BEST_FPERIOD_OVERRIDE=FQ","FILING_STATUS=OR","EQY_CONSOLIDATED=Y","Sort=A","Dates=H","DateFormat=P","Fill=—","Direction=H","UseDPDF=Y")</f>
        <v>#NAME?</v>
      </c>
      <c r="AC481" s="2" t="e">
        <f ca="1">_xll.BDH($C$478,"ASSET_GROWTH","FQ3 2014","FQ3 2014","Currency=INR","Period=FQ","BEST_FPERIOD_OVERRIDE=FQ","FILING_STATUS=OR","EQY_CONSOLIDATED=Y","Sort=A","Dates=H","DateFormat=P","Fill=—","Direction=H","UseDPDF=Y")</f>
        <v>#NAME?</v>
      </c>
      <c r="AD481" s="2" t="e">
        <f ca="1">_xll.BDH($C$478,"MODIFIED_WORK_CAP_GROWTH","FQ3 2014","FQ3 2014","Currency=INR","Period=FQ","BEST_FPERIOD_OVERRIDE=FQ","FILING_STATUS=OR","EQY_CONSOLIDATED=Y","Sort=A","Dates=H","DateFormat=P","Fill=—","Direction=H","UseDPDF=Y")</f>
        <v>#NAME?</v>
      </c>
      <c r="AE481" s="2" t="e">
        <f ca="1">_xll.BDH($C$478,"WORK_CAP_GROWTH","FQ3 2014","FQ3 2014","Currency=INR","Period=FQ","BEST_FPERIOD_OVERRIDE=FQ","FILING_STATUS=OR","EQY_CONSOLIDATED=Y","Sort=A","Dates=H","DateFormat=P","Fill=—","Direction=H","UseDPDF=Y")</f>
        <v>#NAME?</v>
      </c>
      <c r="AF481" s="2" t="e">
        <f ca="1">_xll.BDH($C$478,"ACCOUNTS_PAYABLE_GROWTH_1YR","FQ3 2014","FQ3 2014","Currency=INR","Period=FQ","BEST_FPERIOD_OVERRIDE=FQ","FILING_STATUS=OR","EQY_CONSOLIDATED=Y","Sort=A","Dates=H","DateFormat=P","Fill=—","Direction=H","UseDPDF=Y")</f>
        <v>#NAME?</v>
      </c>
      <c r="AG481" s="2" t="e">
        <f ca="1">_xll.BDH($C$478,"SHORT_TERM_DEBT_1_YEAR_GROWTH","FQ3 2014","FQ3 2014","Currency=INR","Period=FQ","BEST_FPERIOD_OVERRIDE=FQ","FILING_STATUS=OR","EQY_CONSOLIDATED=Y","Sort=A","Dates=H","DateFormat=P","Fill=—","Direction=H","UseDPDF=Y")</f>
        <v>#NAME?</v>
      </c>
      <c r="AH481" s="2" t="e">
        <f ca="1">_xll.BDH($C$478,"TOTAL_DEBT_1_YEAR_GROWTH","FQ3 2014","FQ3 2014","Currency=INR","Period=FQ","BEST_FPERIOD_OVERRIDE=FQ","FILING_STATUS=OR","EQY_CONSOLIDATED=Y","Sort=A","Dates=H","DateFormat=P","Fill=—","Direction=H","UseDPDF=Y")</f>
        <v>#NAME?</v>
      </c>
      <c r="AI481" s="2" t="e">
        <f ca="1">_xll.BDH($C$478,"TOTAL_EQUITY_1_YEAR_GROWTH","FQ3 2014","FQ3 2014","Currency=INR","Period=FQ","BEST_FPERIOD_OVERRIDE=FQ","FILING_STATUS=OR","EQY_CONSOLIDATED=Y","Sort=A","Dates=H","DateFormat=P","Fill=—","Direction=H","UseDPDF=Y")</f>
        <v>#NAME?</v>
      </c>
      <c r="AJ481" s="2" t="e">
        <f ca="1">_xll.BDH($C$478,"GROWTH_IN_CAP","FQ3 2014","FQ3 2014","Currency=INR","Period=FQ","BEST_FPERIOD_OVERRIDE=FQ","FILING_STATUS=OR","EQY_CONSOLIDATED=Y","Sort=A","Dates=H","DateFormat=P","Fill=—","Direction=H","UseDPDF=Y")</f>
        <v>#NAME?</v>
      </c>
      <c r="AK481" s="2" t="e">
        <f ca="1">_xll.BDH($C$478,"BVPS_GROWTH","FQ3 2014","FQ3 2014","Currency=INR","Period=FQ","BEST_FPERIOD_OVERRIDE=FQ","FILING_STATUS=OR","EQY_CONSOLIDATED=Y","Sort=A","Dates=H","DateFormat=P","Fill=—","Direction=H","UseDPDF=Y")</f>
        <v>#NAME?</v>
      </c>
      <c r="AL481" s="2" t="e">
        <f ca="1">_xll.BDH($C$478,"CASH_FLOW_GROWTH","FQ3 2014","FQ3 2014","Currency=INR","Period=FQ","BEST_FPERIOD_OVERRIDE=FQ","FILING_STATUS=OR","EQY_CONSOLIDATED=Y","Sort=A","Dates=H","DateFormat=P","Fill=—","Direction=H","UseDPDF=Y")</f>
        <v>#NAME?</v>
      </c>
      <c r="AM481" s="2" t="e">
        <f ca="1">_xll.BDH($C$478,"GEO_GROW_NET_SALES","FQ3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481" s="2" t="e">
        <f ca="1">_xll.BDH($C$478,"GEO_GROW_EBITDA","FQ3 2014","FQ3 2014","Currency=INR","Period=FQ","BEST_FPERIOD_OVERRIDE=FQ","FILING_STATUS=OR","EQY_CONSOLIDATED=Y","FA_ADJUSTED=GAAP","Sort=A","Dates=H","DateFormat=P","Fill=—","Direction=H","UseDPDF=Y")</f>
        <v>#NAME?</v>
      </c>
      <c r="AO481" s="2" t="e">
        <f ca="1">_xll.BDH($C$478,"GEO_GROW_OPER_INC","FQ3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481" s="2" t="e">
        <f ca="1">_xll.BDH($C$478,"NET_INCOME_TO_COMMON_5_YR_GROWTH","FQ3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481" s="2" t="e">
        <f ca="1">_xll.BDH($C$478,"5Y_GEO_GROWTH_DILUTED_EPS","FQ3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481" s="2" t="e">
        <f ca="1">_xll.BDH($C$478,"GEO_GROW_DVD_PER_SH","FQ3 2014","FQ3 2014","Currency=INR","Period=FQ","BEST_FPERIOD_OVERRIDE=FQ","FILING_STATUS=OR","EQY_CONSOLIDATED=Y","Sort=A","Dates=H","DateFormat=P","Fill=—","Direction=H","UseDPDF=Y")</f>
        <v>#NAME?</v>
      </c>
      <c r="AS481" s="2" t="e">
        <f ca="1">_xll.BDH($C$478,"ACCOUNTS_RECEIVABLE_5_YR_GROWTH","FQ3 2014","FQ3 2014","Currency=INR","Period=FQ","BEST_FPERIOD_OVERRIDE=FQ","FILING_STATUS=OR","EQY_CONSOLIDATED=Y","Sort=A","Dates=H","DateFormat=P","Fill=—","Direction=H","UseDPDF=Y")</f>
        <v>#NAME?</v>
      </c>
      <c r="AT481" s="2" t="e">
        <f ca="1">_xll.BDH($C$478,"INVENTORY_5_YEAR_GROWTH","FQ3 2014","FQ3 2014","Currency=INR","Period=FQ","BEST_FPERIOD_OVERRIDE=FQ","FILING_STATUS=OR","EQY_CONSOLIDATED=Y","Sort=A","Dates=H","DateFormat=P","Fill=—","Direction=H","UseDPDF=Y")</f>
        <v>#NAME?</v>
      </c>
      <c r="AU481" s="2" t="e">
        <f ca="1">_xll.BDH($C$478,"NET_FIXED_ASSETS_5_YEAR_GROWTH","FQ3 2014","FQ3 2014","Currency=INR","Period=FQ","BEST_FPERIOD_OVERRIDE=FQ","FILING_STATUS=OR","EQY_CONSOLIDATED=Y","Sort=A","Dates=H","DateFormat=P","Fill=—","Direction=H","UseDPDF=Y")</f>
        <v>#NAME?</v>
      </c>
      <c r="AV481" s="2" t="e">
        <f ca="1">_xll.BDH($C$478,"GEO_GROW_TOT_ASSET","FQ3 2014","FQ3 2014","Currency=INR","Period=FQ","BEST_FPERIOD_OVERRIDE=FQ","FILING_STATUS=OR","EQY_CONSOLIDATED=Y","Sort=A","Dates=H","DateFormat=P","Fill=—","Direction=H","UseDPDF=Y")</f>
        <v>#NAME?</v>
      </c>
      <c r="AW481" s="2" t="e">
        <f ca="1">_xll.BDH($C$478,"MODIFIED_WORKING_CPTL_5YR_GRWTH","FQ3 2014","FQ3 2014","Currency=INR","Period=FQ","BEST_FPERIOD_OVERRIDE=FQ","FILING_STATUS=OR","EQY_CONSOLIDATED=Y","Sort=A","Dates=H","DateFormat=P","Fill=—","Direction=H","UseDPDF=Y")</f>
        <v>#NAME?</v>
      </c>
      <c r="AX481" s="2" t="e">
        <f ca="1">_xll.BDH($C$478,"WORKING_CAPITAL_5_YEAR_GROWTH","FQ3 2014","FQ3 2014","Currency=INR","Period=FQ","BEST_FPERIOD_OVERRIDE=FQ","FILING_STATUS=OR","EQY_CONSOLIDATED=Y","Sort=A","Dates=H","DateFormat=P","Fill=—","Direction=H","UseDPDF=Y")</f>
        <v>#NAME?</v>
      </c>
      <c r="AY481" s="2" t="e">
        <f ca="1">_xll.BDH($C$478,"ACCOUNTS_PAYABLE_5_YEAR_GROWTH","FQ3 2014","FQ3 2014","Currency=INR","Period=FQ","BEST_FPERIOD_OVERRIDE=FQ","FILING_STATUS=OR","EQY_CONSOLIDATED=Y","Sort=A","Dates=H","DateFormat=P","Fill=—","Direction=H","UseDPDF=Y")</f>
        <v>#NAME?</v>
      </c>
      <c r="AZ481" s="2" t="e">
        <f ca="1">_xll.BDH($C$478,"SHORT_TERM_DEBT_5_YEAR_GROWTH","FQ3 2014","FQ3 2014","Currency=INR","Period=FQ","BEST_FPERIOD_OVERRIDE=FQ","FILING_STATUS=OR","EQY_CONSOLIDATED=Y","Sort=A","Dates=H","DateFormat=P","Fill=—","Direction=H","UseDPDF=Y")</f>
        <v>#NAME?</v>
      </c>
      <c r="BA481" s="2" t="e">
        <f ca="1">_xll.BDH($C$478,"TOTAL_DEBT_5_YEAR_GROWTH","FQ3 2014","FQ3 2014","Currency=INR","Period=FQ","BEST_FPERIOD_OVERRIDE=FQ","FILING_STATUS=OR","EQY_CONSOLIDATED=Y","Sort=A","Dates=H","DateFormat=P","Fill=—","Direction=H","UseDPDF=Y")</f>
        <v>#NAME?</v>
      </c>
      <c r="BB481" s="2" t="e">
        <f ca="1">_xll.BDH($C$478,"GEO_GROW_TOT_SHRHLDR_EQY","FQ3 2014","FQ3 2014","Currency=INR","Period=FQ","BEST_FPERIOD_OVERRIDE=FQ","FILING_STATUS=OR","EQY_CONSOLIDATED=Y","Sort=A","Dates=H","DateFormat=P","Fill=—","Direction=H","UseDPDF=Y")</f>
        <v>#NAME?</v>
      </c>
      <c r="BC481" s="2" t="e">
        <f ca="1">_xll.BDH($C$478,"TOTAL_CAPITAL_5_YEAR_GROWTH","FQ3 2014","FQ3 2014","Currency=INR","Period=FQ","BEST_FPERIOD_OVERRIDE=FQ","FILING_STATUS=OR","EQY_CONSOLIDATED=Y","Sort=A","Dates=H","DateFormat=P","Fill=—","Direction=H","UseDPDF=Y")</f>
        <v>#NAME?</v>
      </c>
      <c r="BD481" s="2" t="e">
        <f ca="1">_xll.BDH($C$478,"GEO_GROW_BOOK_VAL","FQ3 2014","FQ3 2014","Currency=INR","Period=FQ","BEST_FPERIOD_OVERRIDE=FQ","FILING_STATUS=OR","EQY_CONSOLIDATED=Y","Sort=A","Dates=H","DateFormat=P","Fill=—","Direction=H","UseDPDF=Y")</f>
        <v>#NAME?</v>
      </c>
      <c r="BE481" s="2" t="e">
        <f ca="1">_xll.BDH($C$478,"GEO_GROW_CASH_OPER_ACT","FQ3 2014","FQ3 2014","Currency=INR","Period=FQ","BEST_FPERIOD_OVERRIDE=FQ","FILING_STATUS=OR","EQY_CONSOLIDATED=Y","Sort=A","Dates=H","DateFormat=P","Fill=—","Direction=H","UseDPDF=Y")</f>
        <v>#NAME?</v>
      </c>
      <c r="BF481" s="2" t="e">
        <f ca="1">_xll.BDH($C$478,"REVENUE_SEQUENTIAL_GROWTH","FQ3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481" s="2" t="e">
        <f ca="1">_xll.BDH($C$478,"EBITDA_SEQUENTIAL_GROWTH","FQ3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481" s="2" t="e">
        <f ca="1">_xll.BDH($C$478,"OPERATING_INCOME_SEQ_GROWTH","FQ3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481" s="2" t="e">
        <f ca="1">_xll.BDH($C$478,"NET_INCOME_TO_COMMON_SEQ_GROWTH","FQ3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481" s="2" t="e">
        <f ca="1">_xll.BDH($C$478,"EPS_DILUTED_SEQUENTIAL_GROWTH","FQ3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481" s="2" t="e">
        <f ca="1">_xll.BDH($C$478,"DPS_SEQUENTIAL_GROWTH","FQ3 2014","FQ3 2014","Currency=INR","Period=FQ","BEST_FPERIOD_OVERRIDE=FQ","FILING_STATUS=OR","EQY_CONSOLIDATED=Y","Sort=A","Dates=H","DateFormat=P","Fill=—","Direction=H","UseDPDF=Y")</f>
        <v>#NAME?</v>
      </c>
      <c r="BL481" s="2" t="e">
        <f ca="1">_xll.BDH($C$478,"ACCOUNTS_RECEIVABLE_SEQ_GROWTH","FQ3 2014","FQ3 2014","Currency=INR","Period=FQ","BEST_FPERIOD_OVERRIDE=FQ","FILING_STATUS=OR","EQY_CONSOLIDATED=Y","Sort=A","Dates=H","DateFormat=P","Fill=—","Direction=H","UseDPDF=Y")</f>
        <v>#NAME?</v>
      </c>
      <c r="BM481" s="2" t="e">
        <f ca="1">_xll.BDH($C$478,"INVENTORY_SEQUENTIAL_GROWTH","FQ3 2014","FQ3 2014","Currency=INR","Period=FQ","BEST_FPERIOD_OVERRIDE=FQ","FILING_STATUS=OR","EQY_CONSOLIDATED=Y","Sort=A","Dates=H","DateFormat=P","Fill=—","Direction=H","UseDPDF=Y")</f>
        <v>#NAME?</v>
      </c>
      <c r="BN481" s="2" t="e">
        <f ca="1">_xll.BDH($C$478,"FIXED_ASSETS_SEQUENTIAL_GROWTH","FQ3 2014","FQ3 2014","Currency=INR","Period=FQ","BEST_FPERIOD_OVERRIDE=FQ","FILING_STATUS=OR","EQY_CONSOLIDATED=Y","Sort=A","Dates=H","DateFormat=P","Fill=—","Direction=H","UseDPDF=Y")</f>
        <v>#NAME?</v>
      </c>
      <c r="BO481" s="2" t="e">
        <f ca="1">_xll.BDH($C$478,"TOTAL_ASSETS_SEQUENTIAL_GROWTH","FQ3 2014","FQ3 2014","Currency=INR","Period=FQ","BEST_FPERIOD_OVERRIDE=FQ","FILING_STATUS=OR","EQY_CONSOLIDATED=Y","Sort=A","Dates=H","DateFormat=P","Fill=—","Direction=H","UseDPDF=Y")</f>
        <v>#NAME?</v>
      </c>
      <c r="BP481" s="2" t="e">
        <f ca="1">_xll.BDH($C$478,"MODIFIED_WORKING_CPTL_SEQ_GRWTH","FQ3 2014","FQ3 2014","Currency=INR","Period=FQ","BEST_FPERIOD_OVERRIDE=FQ","FILING_STATUS=OR","EQY_CONSOLIDATED=Y","Sort=A","Dates=H","DateFormat=P","Fill=—","Direction=H","UseDPDF=Y")</f>
        <v>#NAME?</v>
      </c>
      <c r="BQ481" s="2" t="e">
        <f ca="1">_xll.BDH($C$478,"WORKING_CAPITAL_SEQ_GROWTH","FQ3 2014","FQ3 2014","Currency=INR","Period=FQ","BEST_FPERIOD_OVERRIDE=FQ","FILING_STATUS=OR","EQY_CONSOLIDATED=Y","Sort=A","Dates=H","DateFormat=P","Fill=—","Direction=H","UseDPDF=Y")</f>
        <v>#NAME?</v>
      </c>
      <c r="BR481" s="2" t="e">
        <f ca="1">_xll.BDH($C$478,"ACCOUNTS_PAYABLE_SEQ_GROWTH","FQ3 2014","FQ3 2014","Currency=INR","Period=FQ","BEST_FPERIOD_OVERRIDE=FQ","FILING_STATUS=OR","EQY_CONSOLIDATED=Y","Sort=A","Dates=H","DateFormat=P","Fill=—","Direction=H","UseDPDF=Y")</f>
        <v>#NAME?</v>
      </c>
      <c r="BS481" s="2" t="e">
        <f ca="1">_xll.BDH($C$478,"ST_DEBT_SEQUENTIAL_GROWTH","FQ3 2014","FQ3 2014","Currency=INR","Period=FQ","BEST_FPERIOD_OVERRIDE=FQ","FILING_STATUS=OR","EQY_CONSOLIDATED=Y","Sort=A","Dates=H","DateFormat=P","Fill=—","Direction=H","UseDPDF=Y")</f>
        <v>#NAME?</v>
      </c>
      <c r="BT481" s="2" t="e">
        <f ca="1">_xll.BDH($C$478,"TOTAL_DEBT_SEQUENTIAL_GROWTH","FQ3 2014","FQ3 2014","Currency=INR","Period=FQ","BEST_FPERIOD_OVERRIDE=FQ","FILING_STATUS=OR","EQY_CONSOLIDATED=Y","Sort=A","Dates=H","DateFormat=P","Fill=—","Direction=H","UseDPDF=Y")</f>
        <v>#NAME?</v>
      </c>
      <c r="BU481" s="2" t="e">
        <f ca="1">_xll.BDH($C$478,"TOTAL_EQUITY_SEQUENTIAL_GROWTH","FQ3 2014","FQ3 2014","Currency=INR","Period=FQ","BEST_FPERIOD_OVERRIDE=FQ","FILING_STATUS=OR","EQY_CONSOLIDATED=Y","Sort=A","Dates=H","DateFormat=P","Fill=—","Direction=H","UseDPDF=Y")</f>
        <v>#NAME?</v>
      </c>
      <c r="BV481" s="2" t="e">
        <f ca="1">_xll.BDH($C$478,"TOTAL_CAPITAL_SEQUENTIAL_GROWTH","FQ3 2014","FQ3 2014","Currency=INR","Period=FQ","BEST_FPERIOD_OVERRIDE=FQ","FILING_STATUS=OR","EQY_CONSOLIDATED=Y","Sort=A","Dates=H","DateFormat=P","Fill=—","Direction=H","UseDPDF=Y")</f>
        <v>#NAME?</v>
      </c>
      <c r="BW481" s="2" t="e">
        <f ca="1">_xll.BDH($C$478,"BPS_SEQUENTIAL_GROWTH","FQ3 2014","FQ3 2014","Currency=INR","Period=FQ","BEST_FPERIOD_OVERRIDE=FQ","FILING_STATUS=OR","EQY_CONSOLIDATED=Y","Sort=A","Dates=H","DateFormat=P","Fill=—","Direction=H","UseDPDF=Y")</f>
        <v>#NAME?</v>
      </c>
      <c r="BX481" s="2" t="e">
        <f ca="1">_xll.BDH($C$478,"CFO_SEQUENTIAL_GROWTH","FQ3 2014","FQ3 2014","Currency=INR","Period=FQ","BEST_FPERIOD_OVERRIDE=FQ","FILING_STATUS=OR","EQY_CONSOLIDATED=Y","Sort=A","Dates=H","DateFormat=P","Fill=—","Direction=H","UseDPDF=Y")</f>
        <v>#NAME?</v>
      </c>
      <c r="BY481" s="3" t="e">
        <f ca="1">_xll.BDH($C$478,"SHORT_AND_LONG_TERM_DEBT","FQ3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481" s="3" t="e">
        <f ca="1">_xll.BDH($C$478,"BS_ST_BORROW","FQ3 2014","FQ3 2014","Currency=INR","Period=FQ","BEST_FPERIOD_OVERRIDE=FQ","FILING_STATUS=OR","EQY_CONSOLIDATED=Y","SCALING_FORMAT=MLN","Sort=A","Dates=H","DateFormat=P","Fill=—","Direction=H","UseDPDF=Y")</f>
        <v>#NAME?</v>
      </c>
      <c r="CA481" s="3" t="e">
        <f ca="1">_xll.BDH($C$478,"BS_LT_BORROW","FQ3 2014","FQ3 2014","Currency=INR","Period=FQ","BEST_FPERIOD_OVERRIDE=FQ","FILING_STATUS=OR","EQY_CONSOLIDATED=Y","SCALING_FORMAT=MLN","Sort=A","Dates=H","DateFormat=P","Fill=—","Direction=H","UseDPDF=Y")</f>
        <v>#NAME?</v>
      </c>
      <c r="CB481" s="2" t="e">
        <f ca="1">_xll.BDH($C$478,"TOT_DEBT_TO_EBITDA","FQ3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481" s="2" t="e">
        <f ca="1">_xll.BDH($C$478,"NET_DEBT_TO_EBITDA","FQ3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481" s="2" t="e">
        <f ca="1">_xll.BDH($C$478,"TOTAL_DEBT_TO_EBIT","FQ3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481" s="2" t="e">
        <f ca="1">_xll.BDH($C$478,"NET_DEBT_TO_EBIT","FQ3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481" s="2" t="e">
        <f ca="1">_xll.BDH($C$478,"EBITDA_TO_INTEREST_EXPN","FQ3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481" s="2" t="e">
        <f ca="1">_xll.BDH($C$478,"COM_EQY_TO_TOT_ASSET","FQ3 2014","FQ3 2014","Currency=INR","Period=FQ","BEST_FPERIOD_OVERRIDE=FQ","FILING_STATUS=OR","EQY_CONSOLIDATED=Y","Sort=A","Dates=H","DateFormat=P","Fill=—","Direction=H","UseDPDF=Y")</f>
        <v>#NAME?</v>
      </c>
      <c r="CH481" s="2" t="e">
        <f ca="1">_xll.BDH($C$478,"LT_DEBT_TO_TOT_EQY","FQ3 2014","FQ3 2014","Currency=INR","Period=FQ","BEST_FPERIOD_OVERRIDE=FQ","FILING_STATUS=OR","EQY_CONSOLIDATED=Y","Sort=A","Dates=H","DateFormat=P","Fill=—","Direction=H","UseDPDF=Y")</f>
        <v>#NAME?</v>
      </c>
      <c r="CI481" s="2" t="e">
        <f ca="1">_xll.BDH($C$478,"LT_DEBT_TO_TOT_CAP","FQ3 2014","FQ3 2014","Currency=INR","Period=FQ","BEST_FPERIOD_OVERRIDE=FQ","FILING_STATUS=OR","EQY_CONSOLIDATED=Y","Sort=A","Dates=H","DateFormat=P","Fill=—","Direction=H","UseDPDF=Y")</f>
        <v>#NAME?</v>
      </c>
      <c r="CJ481" s="2" t="e">
        <f ca="1">_xll.BDH($C$478,"LT_DEBT_TO_TOT_ASSET","FQ3 2014","FQ3 2014","Currency=INR","Period=FQ","BEST_FPERIOD_OVERRIDE=FQ","FILING_STATUS=OR","EQY_CONSOLIDATED=Y","Sort=A","Dates=H","DateFormat=P","Fill=—","Direction=H","UseDPDF=Y")</f>
        <v>#NAME?</v>
      </c>
      <c r="CK481" s="2" t="e">
        <f ca="1">_xll.BDH($C$478,"TOT_DEBT_TO_TOT_EQY","FQ3 2014","FQ3 2014","Currency=INR","Period=FQ","BEST_FPERIOD_OVERRIDE=FQ","FILING_STATUS=OR","EQY_CONSOLIDATED=Y","Sort=A","Dates=H","DateFormat=P","Fill=—","Direction=H","UseDPDF=Y")</f>
        <v>#NAME?</v>
      </c>
      <c r="CL481" s="2" t="e">
        <f ca="1">_xll.BDH($C$478,"TOT_DEBT_TO_TOT_CAP","FQ3 2014","FQ3 2014","Currency=INR","Period=FQ","BEST_FPERIOD_OVERRIDE=FQ","FILING_STATUS=OR","EQY_CONSOLIDATED=Y","Sort=A","Dates=H","DateFormat=P","Fill=—","Direction=H","UseDPDF=Y")</f>
        <v>#NAME?</v>
      </c>
      <c r="CM481" s="2" t="e">
        <f ca="1">_xll.BDH($C$478,"TOT_DEBT_TO_TOT_ASSET","FQ3 2014","FQ3 2014","Currency=INR","Period=FQ","BEST_FPERIOD_OVERRIDE=FQ","FILING_STATUS=OR","EQY_CONSOLIDATED=Y","Sort=A","Dates=H","DateFormat=P","Fill=—","Direction=H","UseDPDF=Y")</f>
        <v>#NAME?</v>
      </c>
      <c r="CN481" s="2" t="e">
        <f ca="1">_xll.BDH($C$478,"NET_DEBT_TO_SHRHLDR_EQTY","FQ3 2014","FQ3 2014","Currency=INR","Period=FQ","BEST_FPERIOD_OVERRIDE=FQ","FILING_STATUS=OR","EQY_CONSOLIDATED=Y","Sort=A","Dates=H","DateFormat=P","Fill=—","Direction=H","UseDPDF=Y")</f>
        <v>#NAME?</v>
      </c>
      <c r="CO481" s="2" t="e">
        <f ca="1">_xll.BDH($C$478,"NET_DEBT_%_CAPITAL","FQ3 2014","FQ3 2014","Currency=INR","Period=FQ","BEST_FPERIOD_OVERRIDE=FQ","FILING_STATUS=OR","EQY_CONSOLIDATED=Y","Sort=A","Dates=H","DateFormat=P","Fill=—","Direction=H","UseDPDF=Y")</f>
        <v>#NAME?</v>
      </c>
      <c r="CP481" s="3" t="e">
        <f ca="1">_xll.BDH($C$478,"EBITDA","FQ3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481" s="3" t="e">
        <f ca="1">_xll.BDH($C$478,"EBITDA_AFTER_CAPEX","FQ3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481" s="3" t="e">
        <f ca="1">_xll.BDH($C$478,"IS_OPER_INC","FQ3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481" s="2" t="e">
        <f ca="1">_xll.BDH($C$478,"CASH_RATIO","FQ3 2014","FQ3 2014","Currency=INR","Period=FQ","BEST_FPERIOD_OVERRIDE=FQ","FILING_STATUS=OR","EQY_CONSOLIDATED=Y","Sort=A","Dates=H","DateFormat=P","Fill=—","Direction=H","UseDPDF=Y")</f>
        <v>#NAME?</v>
      </c>
      <c r="CT481" s="2" t="e">
        <f ca="1">_xll.BDH($C$478,"CUR_RATIO","FQ3 2014","FQ3 2014","Currency=INR","Period=FQ","BEST_FPERIOD_OVERRIDE=FQ","FILING_STATUS=OR","EQY_CONSOLIDATED=Y","Sort=A","Dates=H","DateFormat=P","Fill=—","Direction=H","UseDPDF=Y")</f>
        <v>#NAME?</v>
      </c>
      <c r="CU481" s="2" t="e">
        <f ca="1">_xll.BDH($C$478,"QUICK_RATIO","FQ3 2014","FQ3 2014","Currency=INR","Period=FQ","BEST_FPERIOD_OVERRIDE=FQ","FILING_STATUS=OR","EQY_CONSOLIDATED=Y","Sort=A","Dates=H","DateFormat=P","Fill=—","Direction=H","UseDPDF=Y")</f>
        <v>#NAME?</v>
      </c>
      <c r="CV481" s="2" t="e">
        <f ca="1">_xll.BDH($C$478,"ALTMAN_Z_SCORE","FQ3 2014","FQ3 2014","Currency=INR","Period=FQ","BEST_FPERIOD_OVERRIDE=FQ","FILING_STATUS=OR","EQY_CONSOLIDATED=Y","Sort=A","Dates=H","DateFormat=P","Fill=—","Direction=H","UseDPDF=Y")</f>
        <v>#NAME?</v>
      </c>
      <c r="CW481" s="4" t="e">
        <f ca="1">_xll.BDH($C$478,"ACCT_RCV_TURN","FQ3 2014","FQ3 2014","Currency=INR","Period=FQ","BEST_FPERIOD_OVERRIDE=FQ","FILING_STATUS=OR","EQY_CONSOLIDATED=Y","FA_ADJUSTED=GAAP","Sort=A","Dates=H","DateFormat=P","Fill=—","Direction=H","UseDPDF=Y")</f>
        <v>#NAME?</v>
      </c>
      <c r="CX481" s="2" t="e">
        <f ca="1">_xll.BDH($C$478,"ACCT_RCV_DAYS","FQ3 2014","FQ3 2014","Currency=INR","Period=FQ","BEST_FPERIOD_OVERRIDE=FQ","FILING_STATUS=OR","EQY_CONSOLIDATED=Y","FA_ADJUSTED=GAAP","Sort=A","Dates=H","DateFormat=P","Fill=—","Direction=H","UseDPDF=Y")</f>
        <v>#NAME?</v>
      </c>
      <c r="CY481" s="4" t="e">
        <f ca="1">_xll.BDH($C$478,"INVENT_TURN","FQ3 2014","FQ3 2014","Currency=INR","Period=FQ","BEST_FPERIOD_OVERRIDE=FQ","FILING_STATUS=OR","EQY_CONSOLIDATED=Y","FA_ADJUSTED=GAAP","Sort=A","Dates=H","DateFormat=P","Fill=—","Direction=H","UseDPDF=Y")</f>
        <v>#NAME?</v>
      </c>
      <c r="CZ481" s="2" t="e">
        <f ca="1">_xll.BDH($C$478,"INVENT_DAYS","FQ3 2014","FQ3 2014","Currency=INR","Period=FQ","BEST_FPERIOD_OVERRIDE=FQ","FILING_STATUS=OR","EQY_CONSOLIDATED=Y","FA_ADJUSTED=GAAP","Sort=A","Dates=H","DateFormat=P","Fill=—","Direction=H","UseDPDF=Y")</f>
        <v>#NAME?</v>
      </c>
      <c r="DA481" s="4" t="e">
        <f ca="1">_xll.BDH($C$478,"ACCOUNTS_PAYABLE_TURNOVER","FQ3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481" s="2" t="e">
        <f ca="1">_xll.BDH($C$478,"ACCOUNTS_PAYABLE_TURNOVER_DAYS","FQ3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481" s="4" t="e">
        <f ca="1">_xll.BDH($C$478,"CASH_CONVERSION_CYCLE","FQ3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481" s="4" t="e">
        <f ca="1">_xll.BDH($C$478,"INV_TO_CASH_DAYS","FQ3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481" s="5" t="e">
        <f ca="1">_xll.BDH($C$478,"BS_INVENTORIES","FQ3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481" s="3" t="e">
        <f ca="1">_xll.BDH($C$478,"INVTRY_RAW_MATERIALS","FQ3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481" s="3" t="e">
        <f ca="1">_xll.BDH($C$478,"INVTRY_IN_PROGRESS","FQ3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481" s="3" t="e">
        <f ca="1">_xll.BDH($C$478,"INVTRY_FINISHED_GOODS","FQ3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481" s="3" t="e">
        <f ca="1">_xll.BDH($C$478,"BS_OTHER_INV","FQ3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482" spans="1:113" x14ac:dyDescent="0.3">
      <c r="A482" s="6"/>
      <c r="B482" s="6"/>
      <c r="C482" s="6"/>
      <c r="D482" s="6"/>
      <c r="E482" t="s">
        <v>81</v>
      </c>
      <c r="F482" t="e">
        <f ca="1">_xll.BDH($C$478,"RETURN_COM_EQY","FQ4 2014","FQ4 2014","Currency=INR","Period=FQ","BEST_FPERIOD_OVERRIDE=FQ","FILING_STATUS=OR","EQY_CONSOLIDATED=Y","FA_ADJUSTED=GAAP","Sort=A","Dates=H","DateFormat=P","Fill=—","Direction=H","UseDPDF=Y")</f>
        <v>#NAME?</v>
      </c>
      <c r="G482" t="e">
        <f ca="1">_xll.BDH($C$478,"RETURN_ON_ASSET","FQ4 2014","FQ4 2014","Currency=INR","Period=FQ","BEST_FPERIOD_OVERRIDE=FQ","FILING_STATUS=OR","EQY_CONSOLIDATED=Y","FA_ADJUSTED=GAAP","Sort=A","Dates=H","DateFormat=P","Fill=—","Direction=H","UseDPDF=Y")</f>
        <v>#NAME?</v>
      </c>
      <c r="H482" t="e">
        <f ca="1">_xll.BDH($C$478,"RETURN_ON_CAP","FQ4 2014","FQ4 2014","Currency=INR","Period=FQ","BEST_FPERIOD_OVERRIDE=FQ","FILING_STATUS=OR","EQY_CONSOLIDATED=Y","FA_ADJUSTED=GAAP","Sort=A","Dates=H","DateFormat=P","Fill=—","Direction=H","UseDPDF=Y")</f>
        <v>#NAME?</v>
      </c>
      <c r="I482" t="e">
        <f ca="1">_xll.BDH($C$478,"RETURN_ON_INV_CAPITAL","FQ4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482" t="e">
        <f ca="1">_xll.BDH($C$478,"EBITDA_TO_REVENUE","FQ4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482" t="e">
        <f ca="1">_xll.BDH($C$478,"OPER_MARGIN","FQ4 2014","FQ4 2014","Currency=INR","Period=FQ","BEST_FPERIOD_OVERRIDE=FQ","FILING_STATUS=OR","EQY_CONSOLIDATED=Y","FA_ADJUSTED=GAAP","Sort=A","Dates=H","DateFormat=P","Fill=—","Direction=H","UseDPDF=Y")</f>
        <v>#NAME?</v>
      </c>
      <c r="L482" t="e">
        <f ca="1">_xll.BDH($C$478,"INCREMENTAL_OPERATING_MARGIN","FQ4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482" t="e">
        <f ca="1">_xll.BDH($C$478,"PRETAX_INC_TO_NET_SALES","FQ4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482" t="e">
        <f ca="1">_xll.BDH($C$478,"INC_BEF_XO_ITEMS_TO_NET_SALES","FQ4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482" t="e">
        <f ca="1">_xll.BDH($C$478,"PROF_MARGIN","FQ4 2014","FQ4 2014","Currency=INR","Period=FQ","BEST_FPERIOD_OVERRIDE=FQ","FILING_STATUS=OR","EQY_CONSOLIDATED=Y","FA_ADJUSTED=GAAP","Sort=A","Dates=H","DateFormat=P","Fill=—","Direction=H","UseDPDF=Y")</f>
        <v>#NAME?</v>
      </c>
      <c r="P482" t="e">
        <f ca="1">_xll.BDH($C$478,"NET_INCOME_TO_COMMON_MARGIN","FQ4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482" t="e">
        <f ca="1">_xll.BDH($C$478,"EFF_TAX_RATE","FQ4 2014","FQ4 2014","Currency=INR","Period=FQ","BEST_FPERIOD_OVERRIDE=FQ","FILING_STATUS=OR","EQY_CONSOLIDATED=Y","FA_ADJUSTED=GAAP","Sort=A","Dates=H","DateFormat=P","Fill=—","Direction=H","UseDPDF=Y")</f>
        <v>#NAME?</v>
      </c>
      <c r="R482" t="e">
        <f ca="1">_xll.BDH($C$478,"DVD_PAYOUT_RATIO","FQ4 2014","FQ4 2014","Currency=INR","Period=FQ","BEST_FPERIOD_OVERRIDE=FQ","FILING_STATUS=OR","EQY_CONSOLIDATED=Y","FA_ADJUSTED=GAAP","Sort=A","Dates=H","DateFormat=P","Fill=—","Direction=H","UseDPDF=Y")</f>
        <v>#NAME?</v>
      </c>
      <c r="S482" t="e">
        <f ca="1">_xll.BDH($C$478,"SUSTAIN_GROWTH_RT","FQ4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482" s="2" t="e">
        <f ca="1">_xll.BDH($C$478,"SALES_GROWTH","FQ4 2014","FQ4 2014","Currency=INR","Period=FQ","BEST_FPERIOD_OVERRIDE=FQ","FILING_STATUS=OR","EQY_CONSOLIDATED=Y","FA_ADJUSTED=GAAP","Sort=A","Dates=H","DateFormat=P","Fill=—","Direction=H","UseDPDF=Y")</f>
        <v>#NAME?</v>
      </c>
      <c r="U482" s="2" t="e">
        <f ca="1">_xll.BDH($C$478,"EBITDA_GROWTH","FQ4 2014","FQ4 2014","Currency=INR","Period=FQ","BEST_FPERIOD_OVERRIDE=FQ","FILING_STATUS=OR","EQY_CONSOLIDATED=Y","FA_ADJUSTED=GAAP","Sort=A","Dates=H","DateFormat=P","Fill=—","Direction=H","UseDPDF=Y")</f>
        <v>#NAME?</v>
      </c>
      <c r="V482" s="2" t="e">
        <f ca="1">_xll.BDH($C$478,"OPER_INC_GROWTH","FQ4 2014","FQ4 2014","Currency=INR","Period=FQ","BEST_FPERIOD_OVERRIDE=FQ","FILING_STATUS=OR","EQY_CONSOLIDATED=Y","FA_ADJUSTED=GAAP","Sort=A","Dates=H","DateFormat=P","Fill=—","Direction=H","UseDPDF=Y")</f>
        <v>#NAME?</v>
      </c>
      <c r="W482" s="2" t="e">
        <f ca="1">_xll.BDH($C$478,"EARN_FOR_COM_GROWTH","FQ4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482" s="2" t="e">
        <f ca="1">_xll.BDH($C$478,"DILUTED_EPS_AFT_XO_ITEMS_GROWTH","FQ4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482" s="2" t="e">
        <f ca="1">_xll.BDH($C$478,"DIVIDEND_PER_SHARE_1_YEAR_GROWTH","FQ4 2014","FQ4 2014","Currency=INR","Period=FQ","BEST_FPERIOD_OVERRIDE=FQ","FILING_STATUS=OR","EQY_CONSOLIDATED=Y","Sort=A","Dates=H","DateFormat=P","Fill=—","Direction=H","UseDPDF=Y")</f>
        <v>#NAME?</v>
      </c>
      <c r="Z482" s="2" t="e">
        <f ca="1">_xll.BDH($C$478,"ACCOUNTS_RECEIVABLE_GROWTH","FQ4 2014","FQ4 2014","Currency=INR","Period=FQ","BEST_FPERIOD_OVERRIDE=FQ","FILING_STATUS=OR","EQY_CONSOLIDATED=Y","Sort=A","Dates=H","DateFormat=P","Fill=—","Direction=H","UseDPDF=Y")</f>
        <v>#NAME?</v>
      </c>
      <c r="AA482" s="2" t="e">
        <f ca="1">_xll.BDH($C$478,"INVENTORY_GROWTH","FQ4 2014","FQ4 2014","Currency=INR","Period=FQ","BEST_FPERIOD_OVERRIDE=FQ","FILING_STATUS=OR","EQY_CONSOLIDATED=Y","Sort=A","Dates=H","DateFormat=P","Fill=—","Direction=H","UseDPDF=Y")</f>
        <v>#NAME?</v>
      </c>
      <c r="AB482" s="2" t="e">
        <f ca="1">_xll.BDH($C$478,"NET_FIXED_ASSETS_1_YEAR_GROWTH","FQ4 2014","FQ4 2014","Currency=INR","Period=FQ","BEST_FPERIOD_OVERRIDE=FQ","FILING_STATUS=OR","EQY_CONSOLIDATED=Y","Sort=A","Dates=H","DateFormat=P","Fill=—","Direction=H","UseDPDF=Y")</f>
        <v>#NAME?</v>
      </c>
      <c r="AC482" s="2" t="e">
        <f ca="1">_xll.BDH($C$478,"ASSET_GROWTH","FQ4 2014","FQ4 2014","Currency=INR","Period=FQ","BEST_FPERIOD_OVERRIDE=FQ","FILING_STATUS=OR","EQY_CONSOLIDATED=Y","Sort=A","Dates=H","DateFormat=P","Fill=—","Direction=H","UseDPDF=Y")</f>
        <v>#NAME?</v>
      </c>
      <c r="AD482" s="2" t="e">
        <f ca="1">_xll.BDH($C$478,"MODIFIED_WORK_CAP_GROWTH","FQ4 2014","FQ4 2014","Currency=INR","Period=FQ","BEST_FPERIOD_OVERRIDE=FQ","FILING_STATUS=OR","EQY_CONSOLIDATED=Y","Sort=A","Dates=H","DateFormat=P","Fill=—","Direction=H","UseDPDF=Y")</f>
        <v>#NAME?</v>
      </c>
      <c r="AE482" s="2" t="e">
        <f ca="1">_xll.BDH($C$478,"WORK_CAP_GROWTH","FQ4 2014","FQ4 2014","Currency=INR","Period=FQ","BEST_FPERIOD_OVERRIDE=FQ","FILING_STATUS=OR","EQY_CONSOLIDATED=Y","Sort=A","Dates=H","DateFormat=P","Fill=—","Direction=H","UseDPDF=Y")</f>
        <v>#NAME?</v>
      </c>
      <c r="AF482" s="2" t="e">
        <f ca="1">_xll.BDH($C$478,"ACCOUNTS_PAYABLE_GROWTH_1YR","FQ4 2014","FQ4 2014","Currency=INR","Period=FQ","BEST_FPERIOD_OVERRIDE=FQ","FILING_STATUS=OR","EQY_CONSOLIDATED=Y","Sort=A","Dates=H","DateFormat=P","Fill=—","Direction=H","UseDPDF=Y")</f>
        <v>#NAME?</v>
      </c>
      <c r="AG482" s="2" t="e">
        <f ca="1">_xll.BDH($C$478,"SHORT_TERM_DEBT_1_YEAR_GROWTH","FQ4 2014","FQ4 2014","Currency=INR","Period=FQ","BEST_FPERIOD_OVERRIDE=FQ","FILING_STATUS=OR","EQY_CONSOLIDATED=Y","Sort=A","Dates=H","DateFormat=P","Fill=—","Direction=H","UseDPDF=Y")</f>
        <v>#NAME?</v>
      </c>
      <c r="AH482" s="2" t="e">
        <f ca="1">_xll.BDH($C$478,"TOTAL_DEBT_1_YEAR_GROWTH","FQ4 2014","FQ4 2014","Currency=INR","Period=FQ","BEST_FPERIOD_OVERRIDE=FQ","FILING_STATUS=OR","EQY_CONSOLIDATED=Y","Sort=A","Dates=H","DateFormat=P","Fill=—","Direction=H","UseDPDF=Y")</f>
        <v>#NAME?</v>
      </c>
      <c r="AI482" s="2" t="e">
        <f ca="1">_xll.BDH($C$478,"TOTAL_EQUITY_1_YEAR_GROWTH","FQ4 2014","FQ4 2014","Currency=INR","Period=FQ","BEST_FPERIOD_OVERRIDE=FQ","FILING_STATUS=OR","EQY_CONSOLIDATED=Y","Sort=A","Dates=H","DateFormat=P","Fill=—","Direction=H","UseDPDF=Y")</f>
        <v>#NAME?</v>
      </c>
      <c r="AJ482" s="2" t="e">
        <f ca="1">_xll.BDH($C$478,"GROWTH_IN_CAP","FQ4 2014","FQ4 2014","Currency=INR","Period=FQ","BEST_FPERIOD_OVERRIDE=FQ","FILING_STATUS=OR","EQY_CONSOLIDATED=Y","Sort=A","Dates=H","DateFormat=P","Fill=—","Direction=H","UseDPDF=Y")</f>
        <v>#NAME?</v>
      </c>
      <c r="AK482" s="2" t="e">
        <f ca="1">_xll.BDH($C$478,"BVPS_GROWTH","FQ4 2014","FQ4 2014","Currency=INR","Period=FQ","BEST_FPERIOD_OVERRIDE=FQ","FILING_STATUS=OR","EQY_CONSOLIDATED=Y","Sort=A","Dates=H","DateFormat=P","Fill=—","Direction=H","UseDPDF=Y")</f>
        <v>#NAME?</v>
      </c>
      <c r="AL482" s="2" t="e">
        <f ca="1">_xll.BDH($C$478,"CASH_FLOW_GROWTH","FQ4 2014","FQ4 2014","Currency=INR","Period=FQ","BEST_FPERIOD_OVERRIDE=FQ","FILING_STATUS=OR","EQY_CONSOLIDATED=Y","Sort=A","Dates=H","DateFormat=P","Fill=—","Direction=H","UseDPDF=Y")</f>
        <v>#NAME?</v>
      </c>
      <c r="AM482" s="2" t="e">
        <f ca="1">_xll.BDH($C$478,"GEO_GROW_NET_SALES","FQ4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482" s="2" t="e">
        <f ca="1">_xll.BDH($C$478,"GEO_GROW_EBITDA","FQ4 2014","FQ4 2014","Currency=INR","Period=FQ","BEST_FPERIOD_OVERRIDE=FQ","FILING_STATUS=OR","EQY_CONSOLIDATED=Y","FA_ADJUSTED=GAAP","Sort=A","Dates=H","DateFormat=P","Fill=—","Direction=H","UseDPDF=Y")</f>
        <v>#NAME?</v>
      </c>
      <c r="AO482" s="2" t="e">
        <f ca="1">_xll.BDH($C$478,"GEO_GROW_OPER_INC","FQ4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482" s="2" t="e">
        <f ca="1">_xll.BDH($C$478,"NET_INCOME_TO_COMMON_5_YR_GROWTH","FQ4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482" s="2" t="e">
        <f ca="1">_xll.BDH($C$478,"5Y_GEO_GROWTH_DILUTED_EPS","FQ4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482" s="2" t="e">
        <f ca="1">_xll.BDH($C$478,"GEO_GROW_DVD_PER_SH","FQ4 2014","FQ4 2014","Currency=INR","Period=FQ","BEST_FPERIOD_OVERRIDE=FQ","FILING_STATUS=OR","EQY_CONSOLIDATED=Y","Sort=A","Dates=H","DateFormat=P","Fill=—","Direction=H","UseDPDF=Y")</f>
        <v>#NAME?</v>
      </c>
      <c r="AS482" s="2" t="e">
        <f ca="1">_xll.BDH($C$478,"ACCOUNTS_RECEIVABLE_5_YR_GROWTH","FQ4 2014","FQ4 2014","Currency=INR","Period=FQ","BEST_FPERIOD_OVERRIDE=FQ","FILING_STATUS=OR","EQY_CONSOLIDATED=Y","Sort=A","Dates=H","DateFormat=P","Fill=—","Direction=H","UseDPDF=Y")</f>
        <v>#NAME?</v>
      </c>
      <c r="AT482" s="2" t="e">
        <f ca="1">_xll.BDH($C$478,"INVENTORY_5_YEAR_GROWTH","FQ4 2014","FQ4 2014","Currency=INR","Period=FQ","BEST_FPERIOD_OVERRIDE=FQ","FILING_STATUS=OR","EQY_CONSOLIDATED=Y","Sort=A","Dates=H","DateFormat=P","Fill=—","Direction=H","UseDPDF=Y")</f>
        <v>#NAME?</v>
      </c>
      <c r="AU482" s="2" t="e">
        <f ca="1">_xll.BDH($C$478,"NET_FIXED_ASSETS_5_YEAR_GROWTH","FQ4 2014","FQ4 2014","Currency=INR","Period=FQ","BEST_FPERIOD_OVERRIDE=FQ","FILING_STATUS=OR","EQY_CONSOLIDATED=Y","Sort=A","Dates=H","DateFormat=P","Fill=—","Direction=H","UseDPDF=Y")</f>
        <v>#NAME?</v>
      </c>
      <c r="AV482" s="2" t="e">
        <f ca="1">_xll.BDH($C$478,"GEO_GROW_TOT_ASSET","FQ4 2014","FQ4 2014","Currency=INR","Period=FQ","BEST_FPERIOD_OVERRIDE=FQ","FILING_STATUS=OR","EQY_CONSOLIDATED=Y","Sort=A","Dates=H","DateFormat=P","Fill=—","Direction=H","UseDPDF=Y")</f>
        <v>#NAME?</v>
      </c>
      <c r="AW482" s="2" t="e">
        <f ca="1">_xll.BDH($C$478,"MODIFIED_WORKING_CPTL_5YR_GRWTH","FQ4 2014","FQ4 2014","Currency=INR","Period=FQ","BEST_FPERIOD_OVERRIDE=FQ","FILING_STATUS=OR","EQY_CONSOLIDATED=Y","Sort=A","Dates=H","DateFormat=P","Fill=—","Direction=H","UseDPDF=Y")</f>
        <v>#NAME?</v>
      </c>
      <c r="AX482" s="2" t="e">
        <f ca="1">_xll.BDH($C$478,"WORKING_CAPITAL_5_YEAR_GROWTH","FQ4 2014","FQ4 2014","Currency=INR","Period=FQ","BEST_FPERIOD_OVERRIDE=FQ","FILING_STATUS=OR","EQY_CONSOLIDATED=Y","Sort=A","Dates=H","DateFormat=P","Fill=—","Direction=H","UseDPDF=Y")</f>
        <v>#NAME?</v>
      </c>
      <c r="AY482" s="2" t="e">
        <f ca="1">_xll.BDH($C$478,"ACCOUNTS_PAYABLE_5_YEAR_GROWTH","FQ4 2014","FQ4 2014","Currency=INR","Period=FQ","BEST_FPERIOD_OVERRIDE=FQ","FILING_STATUS=OR","EQY_CONSOLIDATED=Y","Sort=A","Dates=H","DateFormat=P","Fill=—","Direction=H","UseDPDF=Y")</f>
        <v>#NAME?</v>
      </c>
      <c r="AZ482" s="2" t="e">
        <f ca="1">_xll.BDH($C$478,"SHORT_TERM_DEBT_5_YEAR_GROWTH","FQ4 2014","FQ4 2014","Currency=INR","Period=FQ","BEST_FPERIOD_OVERRIDE=FQ","FILING_STATUS=OR","EQY_CONSOLIDATED=Y","Sort=A","Dates=H","DateFormat=P","Fill=—","Direction=H","UseDPDF=Y")</f>
        <v>#NAME?</v>
      </c>
      <c r="BA482" s="2" t="e">
        <f ca="1">_xll.BDH($C$478,"TOTAL_DEBT_5_YEAR_GROWTH","FQ4 2014","FQ4 2014","Currency=INR","Period=FQ","BEST_FPERIOD_OVERRIDE=FQ","FILING_STATUS=OR","EQY_CONSOLIDATED=Y","Sort=A","Dates=H","DateFormat=P","Fill=—","Direction=H","UseDPDF=Y")</f>
        <v>#NAME?</v>
      </c>
      <c r="BB482" s="2" t="e">
        <f ca="1">_xll.BDH($C$478,"GEO_GROW_TOT_SHRHLDR_EQY","FQ4 2014","FQ4 2014","Currency=INR","Period=FQ","BEST_FPERIOD_OVERRIDE=FQ","FILING_STATUS=OR","EQY_CONSOLIDATED=Y","Sort=A","Dates=H","DateFormat=P","Fill=—","Direction=H","UseDPDF=Y")</f>
        <v>#NAME?</v>
      </c>
      <c r="BC482" s="2" t="e">
        <f ca="1">_xll.BDH($C$478,"TOTAL_CAPITAL_5_YEAR_GROWTH","FQ4 2014","FQ4 2014","Currency=INR","Period=FQ","BEST_FPERIOD_OVERRIDE=FQ","FILING_STATUS=OR","EQY_CONSOLIDATED=Y","Sort=A","Dates=H","DateFormat=P","Fill=—","Direction=H","UseDPDF=Y")</f>
        <v>#NAME?</v>
      </c>
      <c r="BD482" s="2" t="e">
        <f ca="1">_xll.BDH($C$478,"GEO_GROW_BOOK_VAL","FQ4 2014","FQ4 2014","Currency=INR","Period=FQ","BEST_FPERIOD_OVERRIDE=FQ","FILING_STATUS=OR","EQY_CONSOLIDATED=Y","Sort=A","Dates=H","DateFormat=P","Fill=—","Direction=H","UseDPDF=Y")</f>
        <v>#NAME?</v>
      </c>
      <c r="BE482" s="2" t="e">
        <f ca="1">_xll.BDH($C$478,"GEO_GROW_CASH_OPER_ACT","FQ4 2014","FQ4 2014","Currency=INR","Period=FQ","BEST_FPERIOD_OVERRIDE=FQ","FILING_STATUS=OR","EQY_CONSOLIDATED=Y","Sort=A","Dates=H","DateFormat=P","Fill=—","Direction=H","UseDPDF=Y")</f>
        <v>#NAME?</v>
      </c>
      <c r="BF482" s="2" t="e">
        <f ca="1">_xll.BDH($C$478,"REVENUE_SEQUENTIAL_GROWTH","FQ4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482" s="2" t="e">
        <f ca="1">_xll.BDH($C$478,"EBITDA_SEQUENTIAL_GROWTH","FQ4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482" s="2" t="e">
        <f ca="1">_xll.BDH($C$478,"OPERATING_INCOME_SEQ_GROWTH","FQ4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482" s="2" t="e">
        <f ca="1">_xll.BDH($C$478,"NET_INCOME_TO_COMMON_SEQ_GROWTH","FQ4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482" s="2" t="e">
        <f ca="1">_xll.BDH($C$478,"EPS_DILUTED_SEQUENTIAL_GROWTH","FQ4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482" s="2" t="e">
        <f ca="1">_xll.BDH($C$478,"DPS_SEQUENTIAL_GROWTH","FQ4 2014","FQ4 2014","Currency=INR","Period=FQ","BEST_FPERIOD_OVERRIDE=FQ","FILING_STATUS=OR","EQY_CONSOLIDATED=Y","Sort=A","Dates=H","DateFormat=P","Fill=—","Direction=H","UseDPDF=Y")</f>
        <v>#NAME?</v>
      </c>
      <c r="BL482" s="2" t="e">
        <f ca="1">_xll.BDH($C$478,"ACCOUNTS_RECEIVABLE_SEQ_GROWTH","FQ4 2014","FQ4 2014","Currency=INR","Period=FQ","BEST_FPERIOD_OVERRIDE=FQ","FILING_STATUS=OR","EQY_CONSOLIDATED=Y","Sort=A","Dates=H","DateFormat=P","Fill=—","Direction=H","UseDPDF=Y")</f>
        <v>#NAME?</v>
      </c>
      <c r="BM482" s="2" t="e">
        <f ca="1">_xll.BDH($C$478,"INVENTORY_SEQUENTIAL_GROWTH","FQ4 2014","FQ4 2014","Currency=INR","Period=FQ","BEST_FPERIOD_OVERRIDE=FQ","FILING_STATUS=OR","EQY_CONSOLIDATED=Y","Sort=A","Dates=H","DateFormat=P","Fill=—","Direction=H","UseDPDF=Y")</f>
        <v>#NAME?</v>
      </c>
      <c r="BN482" s="2" t="e">
        <f ca="1">_xll.BDH($C$478,"FIXED_ASSETS_SEQUENTIAL_GROWTH","FQ4 2014","FQ4 2014","Currency=INR","Period=FQ","BEST_FPERIOD_OVERRIDE=FQ","FILING_STATUS=OR","EQY_CONSOLIDATED=Y","Sort=A","Dates=H","DateFormat=P","Fill=—","Direction=H","UseDPDF=Y")</f>
        <v>#NAME?</v>
      </c>
      <c r="BO482" s="2" t="e">
        <f ca="1">_xll.BDH($C$478,"TOTAL_ASSETS_SEQUENTIAL_GROWTH","FQ4 2014","FQ4 2014","Currency=INR","Period=FQ","BEST_FPERIOD_OVERRIDE=FQ","FILING_STATUS=OR","EQY_CONSOLIDATED=Y","Sort=A","Dates=H","DateFormat=P","Fill=—","Direction=H","UseDPDF=Y")</f>
        <v>#NAME?</v>
      </c>
      <c r="BP482" s="2" t="e">
        <f ca="1">_xll.BDH($C$478,"MODIFIED_WORKING_CPTL_SEQ_GRWTH","FQ4 2014","FQ4 2014","Currency=INR","Period=FQ","BEST_FPERIOD_OVERRIDE=FQ","FILING_STATUS=OR","EQY_CONSOLIDATED=Y","Sort=A","Dates=H","DateFormat=P","Fill=—","Direction=H","UseDPDF=Y")</f>
        <v>#NAME?</v>
      </c>
      <c r="BQ482" s="2" t="e">
        <f ca="1">_xll.BDH($C$478,"WORKING_CAPITAL_SEQ_GROWTH","FQ4 2014","FQ4 2014","Currency=INR","Period=FQ","BEST_FPERIOD_OVERRIDE=FQ","FILING_STATUS=OR","EQY_CONSOLIDATED=Y","Sort=A","Dates=H","DateFormat=P","Fill=—","Direction=H","UseDPDF=Y")</f>
        <v>#NAME?</v>
      </c>
      <c r="BR482" s="2" t="e">
        <f ca="1">_xll.BDH($C$478,"ACCOUNTS_PAYABLE_SEQ_GROWTH","FQ4 2014","FQ4 2014","Currency=INR","Period=FQ","BEST_FPERIOD_OVERRIDE=FQ","FILING_STATUS=OR","EQY_CONSOLIDATED=Y","Sort=A","Dates=H","DateFormat=P","Fill=—","Direction=H","UseDPDF=Y")</f>
        <v>#NAME?</v>
      </c>
      <c r="BS482" s="2" t="e">
        <f ca="1">_xll.BDH($C$478,"ST_DEBT_SEQUENTIAL_GROWTH","FQ4 2014","FQ4 2014","Currency=INR","Period=FQ","BEST_FPERIOD_OVERRIDE=FQ","FILING_STATUS=OR","EQY_CONSOLIDATED=Y","Sort=A","Dates=H","DateFormat=P","Fill=—","Direction=H","UseDPDF=Y")</f>
        <v>#NAME?</v>
      </c>
      <c r="BT482" s="2" t="e">
        <f ca="1">_xll.BDH($C$478,"TOTAL_DEBT_SEQUENTIAL_GROWTH","FQ4 2014","FQ4 2014","Currency=INR","Period=FQ","BEST_FPERIOD_OVERRIDE=FQ","FILING_STATUS=OR","EQY_CONSOLIDATED=Y","Sort=A","Dates=H","DateFormat=P","Fill=—","Direction=H","UseDPDF=Y")</f>
        <v>#NAME?</v>
      </c>
      <c r="BU482" s="2" t="e">
        <f ca="1">_xll.BDH($C$478,"TOTAL_EQUITY_SEQUENTIAL_GROWTH","FQ4 2014","FQ4 2014","Currency=INR","Period=FQ","BEST_FPERIOD_OVERRIDE=FQ","FILING_STATUS=OR","EQY_CONSOLIDATED=Y","Sort=A","Dates=H","DateFormat=P","Fill=—","Direction=H","UseDPDF=Y")</f>
        <v>#NAME?</v>
      </c>
      <c r="BV482" s="2" t="e">
        <f ca="1">_xll.BDH($C$478,"TOTAL_CAPITAL_SEQUENTIAL_GROWTH","FQ4 2014","FQ4 2014","Currency=INR","Period=FQ","BEST_FPERIOD_OVERRIDE=FQ","FILING_STATUS=OR","EQY_CONSOLIDATED=Y","Sort=A","Dates=H","DateFormat=P","Fill=—","Direction=H","UseDPDF=Y")</f>
        <v>#NAME?</v>
      </c>
      <c r="BW482" s="2" t="e">
        <f ca="1">_xll.BDH($C$478,"BPS_SEQUENTIAL_GROWTH","FQ4 2014","FQ4 2014","Currency=INR","Period=FQ","BEST_FPERIOD_OVERRIDE=FQ","FILING_STATUS=OR","EQY_CONSOLIDATED=Y","Sort=A","Dates=H","DateFormat=P","Fill=—","Direction=H","UseDPDF=Y")</f>
        <v>#NAME?</v>
      </c>
      <c r="BX482" s="2" t="e">
        <f ca="1">_xll.BDH($C$478,"CFO_SEQUENTIAL_GROWTH","FQ4 2014","FQ4 2014","Currency=INR","Period=FQ","BEST_FPERIOD_OVERRIDE=FQ","FILING_STATUS=OR","EQY_CONSOLIDATED=Y","Sort=A","Dates=H","DateFormat=P","Fill=—","Direction=H","UseDPDF=Y")</f>
        <v>#NAME?</v>
      </c>
      <c r="BY482" s="3" t="e">
        <f ca="1">_xll.BDH($C$478,"SHORT_AND_LONG_TERM_DEBT","FQ4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482" s="3" t="e">
        <f ca="1">_xll.BDH($C$478,"BS_ST_BORROW","FQ4 2014","FQ4 2014","Currency=INR","Period=FQ","BEST_FPERIOD_OVERRIDE=FQ","FILING_STATUS=OR","EQY_CONSOLIDATED=Y","SCALING_FORMAT=MLN","Sort=A","Dates=H","DateFormat=P","Fill=—","Direction=H","UseDPDF=Y")</f>
        <v>#NAME?</v>
      </c>
      <c r="CA482" s="3" t="e">
        <f ca="1">_xll.BDH($C$478,"BS_LT_BORROW","FQ4 2014","FQ4 2014","Currency=INR","Period=FQ","BEST_FPERIOD_OVERRIDE=FQ","FILING_STATUS=OR","EQY_CONSOLIDATED=Y","SCALING_FORMAT=MLN","Sort=A","Dates=H","DateFormat=P","Fill=—","Direction=H","UseDPDF=Y")</f>
        <v>#NAME?</v>
      </c>
      <c r="CB482" s="2" t="e">
        <f ca="1">_xll.BDH($C$478,"TOT_DEBT_TO_EBITDA","FQ4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482" s="2" t="e">
        <f ca="1">_xll.BDH($C$478,"NET_DEBT_TO_EBITDA","FQ4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482" s="2" t="e">
        <f ca="1">_xll.BDH($C$478,"TOTAL_DEBT_TO_EBIT","FQ4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482" s="2" t="e">
        <f ca="1">_xll.BDH($C$478,"NET_DEBT_TO_EBIT","FQ4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482" s="2" t="e">
        <f ca="1">_xll.BDH($C$478,"EBITDA_TO_INTEREST_EXPN","FQ4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482" s="2" t="e">
        <f ca="1">_xll.BDH($C$478,"COM_EQY_TO_TOT_ASSET","FQ4 2014","FQ4 2014","Currency=INR","Period=FQ","BEST_FPERIOD_OVERRIDE=FQ","FILING_STATUS=OR","EQY_CONSOLIDATED=Y","Sort=A","Dates=H","DateFormat=P","Fill=—","Direction=H","UseDPDF=Y")</f>
        <v>#NAME?</v>
      </c>
      <c r="CH482" s="2" t="e">
        <f ca="1">_xll.BDH($C$478,"LT_DEBT_TO_TOT_EQY","FQ4 2014","FQ4 2014","Currency=INR","Period=FQ","BEST_FPERIOD_OVERRIDE=FQ","FILING_STATUS=OR","EQY_CONSOLIDATED=Y","Sort=A","Dates=H","DateFormat=P","Fill=—","Direction=H","UseDPDF=Y")</f>
        <v>#NAME?</v>
      </c>
      <c r="CI482" s="2" t="e">
        <f ca="1">_xll.BDH($C$478,"LT_DEBT_TO_TOT_CAP","FQ4 2014","FQ4 2014","Currency=INR","Period=FQ","BEST_FPERIOD_OVERRIDE=FQ","FILING_STATUS=OR","EQY_CONSOLIDATED=Y","Sort=A","Dates=H","DateFormat=P","Fill=—","Direction=H","UseDPDF=Y")</f>
        <v>#NAME?</v>
      </c>
      <c r="CJ482" s="2" t="e">
        <f ca="1">_xll.BDH($C$478,"LT_DEBT_TO_TOT_ASSET","FQ4 2014","FQ4 2014","Currency=INR","Period=FQ","BEST_FPERIOD_OVERRIDE=FQ","FILING_STATUS=OR","EQY_CONSOLIDATED=Y","Sort=A","Dates=H","DateFormat=P","Fill=—","Direction=H","UseDPDF=Y")</f>
        <v>#NAME?</v>
      </c>
      <c r="CK482" s="2" t="e">
        <f ca="1">_xll.BDH($C$478,"TOT_DEBT_TO_TOT_EQY","FQ4 2014","FQ4 2014","Currency=INR","Period=FQ","BEST_FPERIOD_OVERRIDE=FQ","FILING_STATUS=OR","EQY_CONSOLIDATED=Y","Sort=A","Dates=H","DateFormat=P","Fill=—","Direction=H","UseDPDF=Y")</f>
        <v>#NAME?</v>
      </c>
      <c r="CL482" s="2" t="e">
        <f ca="1">_xll.BDH($C$478,"TOT_DEBT_TO_TOT_CAP","FQ4 2014","FQ4 2014","Currency=INR","Period=FQ","BEST_FPERIOD_OVERRIDE=FQ","FILING_STATUS=OR","EQY_CONSOLIDATED=Y","Sort=A","Dates=H","DateFormat=P","Fill=—","Direction=H","UseDPDF=Y")</f>
        <v>#NAME?</v>
      </c>
      <c r="CM482" s="2" t="e">
        <f ca="1">_xll.BDH($C$478,"TOT_DEBT_TO_TOT_ASSET","FQ4 2014","FQ4 2014","Currency=INR","Period=FQ","BEST_FPERIOD_OVERRIDE=FQ","FILING_STATUS=OR","EQY_CONSOLIDATED=Y","Sort=A","Dates=H","DateFormat=P","Fill=—","Direction=H","UseDPDF=Y")</f>
        <v>#NAME?</v>
      </c>
      <c r="CN482" s="2" t="e">
        <f ca="1">_xll.BDH($C$478,"NET_DEBT_TO_SHRHLDR_EQTY","FQ4 2014","FQ4 2014","Currency=INR","Period=FQ","BEST_FPERIOD_OVERRIDE=FQ","FILING_STATUS=OR","EQY_CONSOLIDATED=Y","Sort=A","Dates=H","DateFormat=P","Fill=—","Direction=H","UseDPDF=Y")</f>
        <v>#NAME?</v>
      </c>
      <c r="CO482" s="2" t="e">
        <f ca="1">_xll.BDH($C$478,"NET_DEBT_%_CAPITAL","FQ4 2014","FQ4 2014","Currency=INR","Period=FQ","BEST_FPERIOD_OVERRIDE=FQ","FILING_STATUS=OR","EQY_CONSOLIDATED=Y","Sort=A","Dates=H","DateFormat=P","Fill=—","Direction=H","UseDPDF=Y")</f>
        <v>#NAME?</v>
      </c>
      <c r="CP482" s="3" t="e">
        <f ca="1">_xll.BDH($C$478,"EBITDA","FQ4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482" s="3" t="e">
        <f ca="1">_xll.BDH($C$478,"EBITDA_AFTER_CAPEX","FQ4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482" s="3" t="e">
        <f ca="1">_xll.BDH($C$478,"IS_OPER_INC","FQ4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482" s="2" t="e">
        <f ca="1">_xll.BDH($C$478,"CASH_RATIO","FQ4 2014","FQ4 2014","Currency=INR","Period=FQ","BEST_FPERIOD_OVERRIDE=FQ","FILING_STATUS=OR","EQY_CONSOLIDATED=Y","Sort=A","Dates=H","DateFormat=P","Fill=—","Direction=H","UseDPDF=Y")</f>
        <v>#NAME?</v>
      </c>
      <c r="CT482" s="2" t="e">
        <f ca="1">_xll.BDH($C$478,"CUR_RATIO","FQ4 2014","FQ4 2014","Currency=INR","Period=FQ","BEST_FPERIOD_OVERRIDE=FQ","FILING_STATUS=OR","EQY_CONSOLIDATED=Y","Sort=A","Dates=H","DateFormat=P","Fill=—","Direction=H","UseDPDF=Y")</f>
        <v>#NAME?</v>
      </c>
      <c r="CU482" s="2" t="e">
        <f ca="1">_xll.BDH($C$478,"QUICK_RATIO","FQ4 2014","FQ4 2014","Currency=INR","Period=FQ","BEST_FPERIOD_OVERRIDE=FQ","FILING_STATUS=OR","EQY_CONSOLIDATED=Y","Sort=A","Dates=H","DateFormat=P","Fill=—","Direction=H","UseDPDF=Y")</f>
        <v>#NAME?</v>
      </c>
      <c r="CV482" s="2" t="e">
        <f ca="1">_xll.BDH($C$478,"ALTMAN_Z_SCORE","FQ4 2014","FQ4 2014","Currency=INR","Period=FQ","BEST_FPERIOD_OVERRIDE=FQ","FILING_STATUS=OR","EQY_CONSOLIDATED=Y","Sort=A","Dates=H","DateFormat=P","Fill=—","Direction=H","UseDPDF=Y")</f>
        <v>#NAME?</v>
      </c>
      <c r="CW482" s="4" t="e">
        <f ca="1">_xll.BDH($C$478,"ACCT_RCV_TURN","FQ4 2014","FQ4 2014","Currency=INR","Period=FQ","BEST_FPERIOD_OVERRIDE=FQ","FILING_STATUS=OR","EQY_CONSOLIDATED=Y","FA_ADJUSTED=GAAP","Sort=A","Dates=H","DateFormat=P","Fill=—","Direction=H","UseDPDF=Y")</f>
        <v>#NAME?</v>
      </c>
      <c r="CX482" s="2" t="e">
        <f ca="1">_xll.BDH($C$478,"ACCT_RCV_DAYS","FQ4 2014","FQ4 2014","Currency=INR","Period=FQ","BEST_FPERIOD_OVERRIDE=FQ","FILING_STATUS=OR","EQY_CONSOLIDATED=Y","FA_ADJUSTED=GAAP","Sort=A","Dates=H","DateFormat=P","Fill=—","Direction=H","UseDPDF=Y")</f>
        <v>#NAME?</v>
      </c>
      <c r="CY482" s="4" t="e">
        <f ca="1">_xll.BDH($C$478,"INVENT_TURN","FQ4 2014","FQ4 2014","Currency=INR","Period=FQ","BEST_FPERIOD_OVERRIDE=FQ","FILING_STATUS=OR","EQY_CONSOLIDATED=Y","FA_ADJUSTED=GAAP","Sort=A","Dates=H","DateFormat=P","Fill=—","Direction=H","UseDPDF=Y")</f>
        <v>#NAME?</v>
      </c>
      <c r="CZ482" s="2" t="e">
        <f ca="1">_xll.BDH($C$478,"INVENT_DAYS","FQ4 2014","FQ4 2014","Currency=INR","Period=FQ","BEST_FPERIOD_OVERRIDE=FQ","FILING_STATUS=OR","EQY_CONSOLIDATED=Y","FA_ADJUSTED=GAAP","Sort=A","Dates=H","DateFormat=P","Fill=—","Direction=H","UseDPDF=Y")</f>
        <v>#NAME?</v>
      </c>
      <c r="DA482" s="4" t="e">
        <f ca="1">_xll.BDH($C$478,"ACCOUNTS_PAYABLE_TURNOVER","FQ4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482" s="2" t="e">
        <f ca="1">_xll.BDH($C$478,"ACCOUNTS_PAYABLE_TURNOVER_DAYS","FQ4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482" s="4" t="e">
        <f ca="1">_xll.BDH($C$478,"CASH_CONVERSION_CYCLE","FQ4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482" s="4" t="e">
        <f ca="1">_xll.BDH($C$478,"INV_TO_CASH_DAYS","FQ4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482" s="5" t="e">
        <f ca="1">_xll.BDH($C$478,"BS_INVENTORIES","FQ4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482" s="3" t="e">
        <f ca="1">_xll.BDH($C$478,"INVTRY_RAW_MATERIALS","FQ4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482" s="3" t="e">
        <f ca="1">_xll.BDH($C$478,"INVTRY_IN_PROGRESS","FQ4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482" s="3" t="e">
        <f ca="1">_xll.BDH($C$478,"INVTRY_FINISHED_GOODS","FQ4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482" s="3" t="e">
        <f ca="1">_xll.BDH($C$478,"BS_OTHER_INV","FQ4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483" spans="1:113" x14ac:dyDescent="0.3">
      <c r="A483" s="6"/>
      <c r="B483" s="6"/>
      <c r="C483" s="6"/>
      <c r="D483" s="6" t="s">
        <v>82</v>
      </c>
      <c r="E483" t="s">
        <v>77</v>
      </c>
      <c r="F483" t="e">
        <f ca="1">_xll.BDH($C$478,"RETURN_COM_EQY","FY 2015","FY 2015","Currency=INR","Period=FY","BEST_FPERIOD_OVERRIDE=FY","FILING_STATUS=OR","EQY_CONSOLIDATED=Y","FA_ADJUSTED=GAAP","Sort=A","Dates=H","DateFormat=P","Fill=—","Direction=H","UseDPDF=Y")</f>
        <v>#NAME?</v>
      </c>
      <c r="G483" t="e">
        <f ca="1">_xll.BDH($C$478,"RETURN_ON_ASSET","FY 2015","FY 2015","Currency=INR","Period=FY","BEST_FPERIOD_OVERRIDE=FY","FILING_STATUS=OR","EQY_CONSOLIDATED=Y","FA_ADJUSTED=GAAP","Sort=A","Dates=H","DateFormat=P","Fill=—","Direction=H","UseDPDF=Y")</f>
        <v>#NAME?</v>
      </c>
      <c r="H483" t="e">
        <f ca="1">_xll.BDH($C$478,"RETURN_ON_CAP","FY 2015","FY 2015","Currency=INR","Period=FY","BEST_FPERIOD_OVERRIDE=FY","FILING_STATUS=OR","EQY_CONSOLIDATED=Y","FA_ADJUSTED=GAAP","Sort=A","Dates=H","DateFormat=P","Fill=—","Direction=H","UseDPDF=Y")</f>
        <v>#NAME?</v>
      </c>
      <c r="I483" t="e">
        <f ca="1">_xll.BDH($C$478,"RETURN_ON_INV_CAPITAL","FY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483" t="e">
        <f ca="1">_xll.BDH($C$478,"EBITDA_TO_REVENUE","FY 2015","FY 2015","Currency=INR","Period=FY","BEST_FPERIOD_OVERRIDE=FY","FILING_STATUS=OR","EQY_CONSOLIDATED=Y","FA_ADJUSTED=GAAP","Sort=A","Dates=H","DateFormat=P","Fill=—","Direction=H","UseDPDF=Y")</f>
        <v>#NAME?</v>
      </c>
      <c r="K483" t="e">
        <f ca="1">_xll.BDH($C$478,"OPER_MARGIN","FY 2015","FY 2015","Currency=INR","Period=FY","BEST_FPERIOD_OVERRIDE=FY","FILING_STATUS=OR","EQY_CONSOLIDATED=Y","FA_ADJUSTED=GAAP","Sort=A","Dates=H","DateFormat=P","Fill=—","Direction=H","UseDPDF=Y")</f>
        <v>#NAME?</v>
      </c>
      <c r="L483" t="e">
        <f ca="1">_xll.BDH($C$478,"INCREMENTAL_OPERATING_MARGIN","FY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483" t="e">
        <f ca="1">_xll.BDH($C$478,"PRETAX_INC_TO_NET_SALES","FY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483" t="e">
        <f ca="1">_xll.BDH($C$478,"INC_BEF_XO_ITEMS_TO_NET_SALES","FY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483" t="e">
        <f ca="1">_xll.BDH($C$478,"PROF_MARGIN","FY 2015","FY 2015","Currency=INR","Period=FY","BEST_FPERIOD_OVERRIDE=FY","FILING_STATUS=OR","EQY_CONSOLIDATED=Y","FA_ADJUSTED=GAAP","Sort=A","Dates=H","DateFormat=P","Fill=—","Direction=H","UseDPDF=Y")</f>
        <v>#NAME?</v>
      </c>
      <c r="P483" t="e">
        <f ca="1">_xll.BDH($C$478,"NET_INCOME_TO_COMMON_MARGIN","FY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483" t="e">
        <f ca="1">_xll.BDH($C$478,"EFF_TAX_RATE","FY 2015","FY 2015","Currency=INR","Period=FY","BEST_FPERIOD_OVERRIDE=FY","FILING_STATUS=OR","EQY_CONSOLIDATED=Y","FA_ADJUSTED=GAAP","Sort=A","Dates=H","DateFormat=P","Fill=—","Direction=H","UseDPDF=Y")</f>
        <v>#NAME?</v>
      </c>
      <c r="R483" t="e">
        <f ca="1">_xll.BDH($C$478,"DVD_PAYOUT_RATIO","FY 2015","FY 2015","Currency=INR","Period=FY","BEST_FPERIOD_OVERRIDE=FY","FILING_STATUS=OR","EQY_CONSOLIDATED=Y","FA_ADJUSTED=GAAP","Sort=A","Dates=H","DateFormat=P","Fill=—","Direction=H","UseDPDF=Y")</f>
        <v>#NAME?</v>
      </c>
      <c r="S483" t="e">
        <f ca="1">_xll.BDH($C$478,"SUSTAIN_GROWTH_RT","FY 2015","FY 2015","Currency=INR","Period=FY","BEST_FPERIOD_OVERRIDE=FY","FILING_STATUS=OR","EQY_CONSOLIDATED=Y","FA_ADJUSTED=GAAP","Sort=A","Dates=H","DateFormat=P","Fill=—","Direction=H","UseDPDF=Y")</f>
        <v>#NAME?</v>
      </c>
      <c r="T483" s="2" t="e">
        <f ca="1">_xll.BDH($C$478,"SALES_GROWTH","FY 2015","FY 2015","Currency=INR","Period=FY","BEST_FPERIOD_OVERRIDE=FY","FILING_STATUS=OR","EQY_CONSOLIDATED=Y","FA_ADJUSTED=GAAP","Sort=A","Dates=H","DateFormat=P","Fill=—","Direction=H","UseDPDF=Y")</f>
        <v>#NAME?</v>
      </c>
      <c r="U483" s="2" t="e">
        <f ca="1">_xll.BDH($C$478,"EBITDA_GROWTH","FY 2015","FY 2015","Currency=INR","Period=FY","BEST_FPERIOD_OVERRIDE=FY","FILING_STATUS=OR","EQY_CONSOLIDATED=Y","FA_ADJUSTED=GAAP","Sort=A","Dates=H","DateFormat=P","Fill=—","Direction=H","UseDPDF=Y")</f>
        <v>#NAME?</v>
      </c>
      <c r="V483" s="2" t="e">
        <f ca="1">_xll.BDH($C$478,"OPER_INC_GROWTH","FY 2015","FY 2015","Currency=INR","Period=FY","BEST_FPERIOD_OVERRIDE=FY","FILING_STATUS=OR","EQY_CONSOLIDATED=Y","FA_ADJUSTED=GAAP","Sort=A","Dates=H","DateFormat=P","Fill=—","Direction=H","UseDPDF=Y")</f>
        <v>#NAME?</v>
      </c>
      <c r="W483" s="2" t="e">
        <f ca="1">_xll.BDH($C$478,"EARN_FOR_COM_GROWTH","FY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483" s="2" t="e">
        <f ca="1">_xll.BDH($C$478,"DILUTED_EPS_AFT_XO_ITEMS_GROWTH","FY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483" s="2" t="e">
        <f ca="1">_xll.BDH($C$478,"DIVIDEND_PER_SHARE_1_YEAR_GROWTH","FY 2015","FY 2015","Currency=INR","Period=FY","BEST_FPERIOD_OVERRIDE=FY","FILING_STATUS=OR","EQY_CONSOLIDATED=Y","Sort=A","Dates=H","DateFormat=P","Fill=—","Direction=H","UseDPDF=Y")</f>
        <v>#NAME?</v>
      </c>
      <c r="Z483" s="2" t="e">
        <f ca="1">_xll.BDH($C$478,"ACCOUNTS_RECEIVABLE_GROWTH","FY 2015","FY 2015","Currency=INR","Period=FY","BEST_FPERIOD_OVERRIDE=FY","FILING_STATUS=OR","EQY_CONSOLIDATED=Y","Sort=A","Dates=H","DateFormat=P","Fill=—","Direction=H","UseDPDF=Y")</f>
        <v>#NAME?</v>
      </c>
      <c r="AA483" s="2" t="e">
        <f ca="1">_xll.BDH($C$478,"INVENTORY_GROWTH","FY 2015","FY 2015","Currency=INR","Period=FY","BEST_FPERIOD_OVERRIDE=FY","FILING_STATUS=OR","EQY_CONSOLIDATED=Y","Sort=A","Dates=H","DateFormat=P","Fill=—","Direction=H","UseDPDF=Y")</f>
        <v>#NAME?</v>
      </c>
      <c r="AB483" s="2" t="e">
        <f ca="1">_xll.BDH($C$478,"NET_FIXED_ASSETS_1_YEAR_GROWTH","FY 2015","FY 2015","Currency=INR","Period=FY","BEST_FPERIOD_OVERRIDE=FY","FILING_STATUS=OR","EQY_CONSOLIDATED=Y","Sort=A","Dates=H","DateFormat=P","Fill=—","Direction=H","UseDPDF=Y")</f>
        <v>#NAME?</v>
      </c>
      <c r="AC483" s="2" t="e">
        <f ca="1">_xll.BDH($C$478,"ASSET_GROWTH","FY 2015","FY 2015","Currency=INR","Period=FY","BEST_FPERIOD_OVERRIDE=FY","FILING_STATUS=OR","EQY_CONSOLIDATED=Y","Sort=A","Dates=H","DateFormat=P","Fill=—","Direction=H","UseDPDF=Y")</f>
        <v>#NAME?</v>
      </c>
      <c r="AD483" s="2" t="e">
        <f ca="1">_xll.BDH($C$478,"MODIFIED_WORK_CAP_GROWTH","FY 2015","FY 2015","Currency=INR","Period=FY","BEST_FPERIOD_OVERRIDE=FY","FILING_STATUS=OR","EQY_CONSOLIDATED=Y","Sort=A","Dates=H","DateFormat=P","Fill=—","Direction=H","UseDPDF=Y")</f>
        <v>#NAME?</v>
      </c>
      <c r="AE483" s="2" t="e">
        <f ca="1">_xll.BDH($C$478,"WORK_CAP_GROWTH","FY 2015","FY 2015","Currency=INR","Period=FY","BEST_FPERIOD_OVERRIDE=FY","FILING_STATUS=OR","EQY_CONSOLIDATED=Y","Sort=A","Dates=H","DateFormat=P","Fill=—","Direction=H","UseDPDF=Y")</f>
        <v>#NAME?</v>
      </c>
      <c r="AF483" s="2" t="e">
        <f ca="1">_xll.BDH($C$478,"ACCOUNTS_PAYABLE_GROWTH_1YR","FY 2015","FY 2015","Currency=INR","Period=FY","BEST_FPERIOD_OVERRIDE=FY","FILING_STATUS=OR","EQY_CONSOLIDATED=Y","Sort=A","Dates=H","DateFormat=P","Fill=—","Direction=H","UseDPDF=Y")</f>
        <v>#NAME?</v>
      </c>
      <c r="AG483" s="2" t="e">
        <f ca="1">_xll.BDH($C$478,"SHORT_TERM_DEBT_1_YEAR_GROWTH","FY 2015","FY 2015","Currency=INR","Period=FY","BEST_FPERIOD_OVERRIDE=FY","FILING_STATUS=OR","EQY_CONSOLIDATED=Y","Sort=A","Dates=H","DateFormat=P","Fill=—","Direction=H","UseDPDF=Y")</f>
        <v>#NAME?</v>
      </c>
      <c r="AH483" s="2" t="e">
        <f ca="1">_xll.BDH($C$478,"TOTAL_DEBT_1_YEAR_GROWTH","FY 2015","FY 2015","Currency=INR","Period=FY","BEST_FPERIOD_OVERRIDE=FY","FILING_STATUS=OR","EQY_CONSOLIDATED=Y","Sort=A","Dates=H","DateFormat=P","Fill=—","Direction=H","UseDPDF=Y")</f>
        <v>#NAME?</v>
      </c>
      <c r="AI483" s="2" t="e">
        <f ca="1">_xll.BDH($C$478,"TOTAL_EQUITY_1_YEAR_GROWTH","FY 2015","FY 2015","Currency=INR","Period=FY","BEST_FPERIOD_OVERRIDE=FY","FILING_STATUS=OR","EQY_CONSOLIDATED=Y","Sort=A","Dates=H","DateFormat=P","Fill=—","Direction=H","UseDPDF=Y")</f>
        <v>#NAME?</v>
      </c>
      <c r="AJ483" s="2" t="e">
        <f ca="1">_xll.BDH($C$478,"GROWTH_IN_CAP","FY 2015","FY 2015","Currency=INR","Period=FY","BEST_FPERIOD_OVERRIDE=FY","FILING_STATUS=OR","EQY_CONSOLIDATED=Y","Sort=A","Dates=H","DateFormat=P","Fill=—","Direction=H","UseDPDF=Y")</f>
        <v>#NAME?</v>
      </c>
      <c r="AK483" s="2" t="e">
        <f ca="1">_xll.BDH($C$478,"BVPS_GROWTH","FY 2015","FY 2015","Currency=INR","Period=FY","BEST_FPERIOD_OVERRIDE=FY","FILING_STATUS=OR","EQY_CONSOLIDATED=Y","Sort=A","Dates=H","DateFormat=P","Fill=—","Direction=H","UseDPDF=Y")</f>
        <v>#NAME?</v>
      </c>
      <c r="AL483" s="2" t="e">
        <f ca="1">_xll.BDH($C$478,"CASH_FLOW_GROWTH","FY 2015","FY 2015","Currency=INR","Period=FY","BEST_FPERIOD_OVERRIDE=FY","FILING_STATUS=OR","EQY_CONSOLIDATED=Y","Sort=A","Dates=H","DateFormat=P","Fill=—","Direction=H","UseDPDF=Y")</f>
        <v>#NAME?</v>
      </c>
      <c r="AM483" s="2" t="e">
        <f ca="1">_xll.BDH($C$478,"GEO_GROW_NET_SALES","FY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483" s="2" t="e">
        <f ca="1">_xll.BDH($C$478,"GEO_GROW_EBITDA","FY 2015","FY 2015","Currency=INR","Period=FY","BEST_FPERIOD_OVERRIDE=FY","FILING_STATUS=OR","EQY_CONSOLIDATED=Y","FA_ADJUSTED=GAAP","Sort=A","Dates=H","DateFormat=P","Fill=—","Direction=H","UseDPDF=Y")</f>
        <v>#NAME?</v>
      </c>
      <c r="AO483" s="2" t="e">
        <f ca="1">_xll.BDH($C$478,"GEO_GROW_OPER_INC","FY 2015","FY 2015","Currency=INR","Period=FY","BEST_FPERIOD_OVERRIDE=FY","FILING_STATUS=OR","EQY_CONSOLIDATED=Y","FA_ADJUSTED=GAAP","Sort=A","Dates=H","DateFormat=P","Fill=—","Direction=H","UseDPDF=Y")</f>
        <v>#NAME?</v>
      </c>
      <c r="AP483" s="2" t="e">
        <f ca="1">_xll.BDH($C$478,"NET_INCOME_TO_COMMON_5_YR_GROWTH","FY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483" s="2" t="e">
        <f ca="1">_xll.BDH($C$478,"5Y_GEO_GROWTH_DILUTED_EPS","FY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483" s="2" t="e">
        <f ca="1">_xll.BDH($C$478,"GEO_GROW_DVD_PER_SH","FY 2015","FY 2015","Currency=INR","Period=FY","BEST_FPERIOD_OVERRIDE=FY","FILING_STATUS=OR","EQY_CONSOLIDATED=Y","Sort=A","Dates=H","DateFormat=P","Fill=—","Direction=H","UseDPDF=Y")</f>
        <v>#NAME?</v>
      </c>
      <c r="AS483" s="2" t="e">
        <f ca="1">_xll.BDH($C$478,"ACCOUNTS_RECEIVABLE_5_YR_GROWTH","FY 2015","FY 2015","Currency=INR","Period=FY","BEST_FPERIOD_OVERRIDE=FY","FILING_STATUS=OR","EQY_CONSOLIDATED=Y","Sort=A","Dates=H","DateFormat=P","Fill=—","Direction=H","UseDPDF=Y")</f>
        <v>#NAME?</v>
      </c>
      <c r="AT483" s="2" t="e">
        <f ca="1">_xll.BDH($C$478,"INVENTORY_5_YEAR_GROWTH","FY 2015","FY 2015","Currency=INR","Period=FY","BEST_FPERIOD_OVERRIDE=FY","FILING_STATUS=OR","EQY_CONSOLIDATED=Y","Sort=A","Dates=H","DateFormat=P","Fill=—","Direction=H","UseDPDF=Y")</f>
        <v>#NAME?</v>
      </c>
      <c r="AU483" s="2" t="e">
        <f ca="1">_xll.BDH($C$478,"NET_FIXED_ASSETS_5_YEAR_GROWTH","FY 2015","FY 2015","Currency=INR","Period=FY","BEST_FPERIOD_OVERRIDE=FY","FILING_STATUS=OR","EQY_CONSOLIDATED=Y","Sort=A","Dates=H","DateFormat=P","Fill=—","Direction=H","UseDPDF=Y")</f>
        <v>#NAME?</v>
      </c>
      <c r="AV483" s="2" t="e">
        <f ca="1">_xll.BDH($C$478,"GEO_GROW_TOT_ASSET","FY 2015","FY 2015","Currency=INR","Period=FY","BEST_FPERIOD_OVERRIDE=FY","FILING_STATUS=OR","EQY_CONSOLIDATED=Y","Sort=A","Dates=H","DateFormat=P","Fill=—","Direction=H","UseDPDF=Y")</f>
        <v>#NAME?</v>
      </c>
      <c r="AW483" s="2" t="e">
        <f ca="1">_xll.BDH($C$478,"MODIFIED_WORKING_CPTL_5YR_GRWTH","FY 2015","FY 2015","Currency=INR","Period=FY","BEST_FPERIOD_OVERRIDE=FY","FILING_STATUS=OR","EQY_CONSOLIDATED=Y","Sort=A","Dates=H","DateFormat=P","Fill=—","Direction=H","UseDPDF=Y")</f>
        <v>#NAME?</v>
      </c>
      <c r="AX483" s="2" t="e">
        <f ca="1">_xll.BDH($C$478,"WORKING_CAPITAL_5_YEAR_GROWTH","FY 2015","FY 2015","Currency=INR","Period=FY","BEST_FPERIOD_OVERRIDE=FY","FILING_STATUS=OR","EQY_CONSOLIDATED=Y","Sort=A","Dates=H","DateFormat=P","Fill=—","Direction=H","UseDPDF=Y")</f>
        <v>#NAME?</v>
      </c>
      <c r="AY483" s="2" t="e">
        <f ca="1">_xll.BDH($C$478,"ACCOUNTS_PAYABLE_5_YEAR_GROWTH","FY 2015","FY 2015","Currency=INR","Period=FY","BEST_FPERIOD_OVERRIDE=FY","FILING_STATUS=OR","EQY_CONSOLIDATED=Y","Sort=A","Dates=H","DateFormat=P","Fill=—","Direction=H","UseDPDF=Y")</f>
        <v>#NAME?</v>
      </c>
      <c r="AZ483" s="2" t="e">
        <f ca="1">_xll.BDH($C$478,"SHORT_TERM_DEBT_5_YEAR_GROWTH","FY 2015","FY 2015","Currency=INR","Period=FY","BEST_FPERIOD_OVERRIDE=FY","FILING_STATUS=OR","EQY_CONSOLIDATED=Y","Sort=A","Dates=H","DateFormat=P","Fill=—","Direction=H","UseDPDF=Y")</f>
        <v>#NAME?</v>
      </c>
      <c r="BA483" s="2" t="e">
        <f ca="1">_xll.BDH($C$478,"TOTAL_DEBT_5_YEAR_GROWTH","FY 2015","FY 2015","Currency=INR","Period=FY","BEST_FPERIOD_OVERRIDE=FY","FILING_STATUS=OR","EQY_CONSOLIDATED=Y","Sort=A","Dates=H","DateFormat=P","Fill=—","Direction=H","UseDPDF=Y")</f>
        <v>#NAME?</v>
      </c>
      <c r="BB483" s="2" t="e">
        <f ca="1">_xll.BDH($C$478,"GEO_GROW_TOT_SHRHLDR_EQY","FY 2015","FY 2015","Currency=INR","Period=FY","BEST_FPERIOD_OVERRIDE=FY","FILING_STATUS=OR","EQY_CONSOLIDATED=Y","Sort=A","Dates=H","DateFormat=P","Fill=—","Direction=H","UseDPDF=Y")</f>
        <v>#NAME?</v>
      </c>
      <c r="BC483" s="2" t="e">
        <f ca="1">_xll.BDH($C$478,"TOTAL_CAPITAL_5_YEAR_GROWTH","FY 2015","FY 2015","Currency=INR","Period=FY","BEST_FPERIOD_OVERRIDE=FY","FILING_STATUS=OR","EQY_CONSOLIDATED=Y","Sort=A","Dates=H","DateFormat=P","Fill=—","Direction=H","UseDPDF=Y")</f>
        <v>#NAME?</v>
      </c>
      <c r="BD483" s="2" t="e">
        <f ca="1">_xll.BDH($C$478,"GEO_GROW_BOOK_VAL","FY 2015","FY 2015","Currency=INR","Period=FY","BEST_FPERIOD_OVERRIDE=FY","FILING_STATUS=OR","EQY_CONSOLIDATED=Y","Sort=A","Dates=H","DateFormat=P","Fill=—","Direction=H","UseDPDF=Y")</f>
        <v>#NAME?</v>
      </c>
      <c r="BE483" s="2" t="e">
        <f ca="1">_xll.BDH($C$478,"GEO_GROW_CASH_OPER_ACT","FY 2015","FY 2015","Currency=INR","Period=FY","BEST_FPERIOD_OVERRIDE=FY","FILING_STATUS=OR","EQY_CONSOLIDATED=Y","Sort=A","Dates=H","DateFormat=P","Fill=—","Direction=H","UseDPDF=Y")</f>
        <v>#NAME?</v>
      </c>
      <c r="BF483" s="2" t="e">
        <f ca="1">_xll.BDH($C$478,"REVENUE_SEQUENTIAL_GROWTH","FY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483" s="2" t="e">
        <f ca="1">_xll.BDH($C$478,"EBITDA_SEQUENTIAL_GROWTH","FY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483" s="2" t="e">
        <f ca="1">_xll.BDH($C$478,"OPERATING_INCOME_SEQ_GROWTH","FY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483" s="2" t="e">
        <f ca="1">_xll.BDH($C$478,"NET_INCOME_TO_COMMON_SEQ_GROWTH","FY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483" s="2" t="e">
        <f ca="1">_xll.BDH($C$478,"EPS_DILUTED_SEQUENTIAL_GROWTH","FY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483" s="2" t="e">
        <f ca="1">_xll.BDH($C$478,"DPS_SEQUENTIAL_GROWTH","FY 2015","FY 2015","Currency=INR","Period=FY","BEST_FPERIOD_OVERRIDE=FY","FILING_STATUS=OR","EQY_CONSOLIDATED=Y","Sort=A","Dates=H","DateFormat=P","Fill=—","Direction=H","UseDPDF=Y")</f>
        <v>#NAME?</v>
      </c>
      <c r="BL483" s="2" t="e">
        <f ca="1">_xll.BDH($C$478,"ACCOUNTS_RECEIVABLE_SEQ_GROWTH","FY 2015","FY 2015","Currency=INR","Period=FY","BEST_FPERIOD_OVERRIDE=FY","FILING_STATUS=OR","EQY_CONSOLIDATED=Y","Sort=A","Dates=H","DateFormat=P","Fill=—","Direction=H","UseDPDF=Y")</f>
        <v>#NAME?</v>
      </c>
      <c r="BM483" s="2" t="e">
        <f ca="1">_xll.BDH($C$478,"INVENTORY_SEQUENTIAL_GROWTH","FY 2015","FY 2015","Currency=INR","Period=FY","BEST_FPERIOD_OVERRIDE=FY","FILING_STATUS=OR","EQY_CONSOLIDATED=Y","Sort=A","Dates=H","DateFormat=P","Fill=—","Direction=H","UseDPDF=Y")</f>
        <v>#NAME?</v>
      </c>
      <c r="BN483" s="2" t="e">
        <f ca="1">_xll.BDH($C$478,"FIXED_ASSETS_SEQUENTIAL_GROWTH","FY 2015","FY 2015","Currency=INR","Period=FY","BEST_FPERIOD_OVERRIDE=FY","FILING_STATUS=OR","EQY_CONSOLIDATED=Y","Sort=A","Dates=H","DateFormat=P","Fill=—","Direction=H","UseDPDF=Y")</f>
        <v>#NAME?</v>
      </c>
      <c r="BO483" s="2" t="e">
        <f ca="1">_xll.BDH($C$478,"TOTAL_ASSETS_SEQUENTIAL_GROWTH","FY 2015","FY 2015","Currency=INR","Period=FY","BEST_FPERIOD_OVERRIDE=FY","FILING_STATUS=OR","EQY_CONSOLIDATED=Y","Sort=A","Dates=H","DateFormat=P","Fill=—","Direction=H","UseDPDF=Y")</f>
        <v>#NAME?</v>
      </c>
      <c r="BP483" s="2" t="e">
        <f ca="1">_xll.BDH($C$478,"MODIFIED_WORKING_CPTL_SEQ_GRWTH","FY 2015","FY 2015","Currency=INR","Period=FY","BEST_FPERIOD_OVERRIDE=FY","FILING_STATUS=OR","EQY_CONSOLIDATED=Y","Sort=A","Dates=H","DateFormat=P","Fill=—","Direction=H","UseDPDF=Y")</f>
        <v>#NAME?</v>
      </c>
      <c r="BQ483" s="2" t="e">
        <f ca="1">_xll.BDH($C$478,"WORKING_CAPITAL_SEQ_GROWTH","FY 2015","FY 2015","Currency=INR","Period=FY","BEST_FPERIOD_OVERRIDE=FY","FILING_STATUS=OR","EQY_CONSOLIDATED=Y","Sort=A","Dates=H","DateFormat=P","Fill=—","Direction=H","UseDPDF=Y")</f>
        <v>#NAME?</v>
      </c>
      <c r="BR483" s="2" t="e">
        <f ca="1">_xll.BDH($C$478,"ACCOUNTS_PAYABLE_SEQ_GROWTH","FY 2015","FY 2015","Currency=INR","Period=FY","BEST_FPERIOD_OVERRIDE=FY","FILING_STATUS=OR","EQY_CONSOLIDATED=Y","Sort=A","Dates=H","DateFormat=P","Fill=—","Direction=H","UseDPDF=Y")</f>
        <v>#NAME?</v>
      </c>
      <c r="BS483" s="2" t="e">
        <f ca="1">_xll.BDH($C$478,"ST_DEBT_SEQUENTIAL_GROWTH","FY 2015","FY 2015","Currency=INR","Period=FY","BEST_FPERIOD_OVERRIDE=FY","FILING_STATUS=OR","EQY_CONSOLIDATED=Y","Sort=A","Dates=H","DateFormat=P","Fill=—","Direction=H","UseDPDF=Y")</f>
        <v>#NAME?</v>
      </c>
      <c r="BT483" s="2" t="e">
        <f ca="1">_xll.BDH($C$478,"TOTAL_DEBT_SEQUENTIAL_GROWTH","FY 2015","FY 2015","Currency=INR","Period=FY","BEST_FPERIOD_OVERRIDE=FY","FILING_STATUS=OR","EQY_CONSOLIDATED=Y","Sort=A","Dates=H","DateFormat=P","Fill=—","Direction=H","UseDPDF=Y")</f>
        <v>#NAME?</v>
      </c>
      <c r="BU483" s="2" t="e">
        <f ca="1">_xll.BDH($C$478,"TOTAL_EQUITY_SEQUENTIAL_GROWTH","FY 2015","FY 2015","Currency=INR","Period=FY","BEST_FPERIOD_OVERRIDE=FY","FILING_STATUS=OR","EQY_CONSOLIDATED=Y","Sort=A","Dates=H","DateFormat=P","Fill=—","Direction=H","UseDPDF=Y")</f>
        <v>#NAME?</v>
      </c>
      <c r="BV483" s="2" t="e">
        <f ca="1">_xll.BDH($C$478,"TOTAL_CAPITAL_SEQUENTIAL_GROWTH","FY 2015","FY 2015","Currency=INR","Period=FY","BEST_FPERIOD_OVERRIDE=FY","FILING_STATUS=OR","EQY_CONSOLIDATED=Y","Sort=A","Dates=H","DateFormat=P","Fill=—","Direction=H","UseDPDF=Y")</f>
        <v>#NAME?</v>
      </c>
      <c r="BW483" s="2" t="e">
        <f ca="1">_xll.BDH($C$478,"BPS_SEQUENTIAL_GROWTH","FY 2015","FY 2015","Currency=INR","Period=FY","BEST_FPERIOD_OVERRIDE=FY","FILING_STATUS=OR","EQY_CONSOLIDATED=Y","Sort=A","Dates=H","DateFormat=P","Fill=—","Direction=H","UseDPDF=Y")</f>
        <v>#NAME?</v>
      </c>
      <c r="BX483" s="2" t="e">
        <f ca="1">_xll.BDH($C$478,"CFO_SEQUENTIAL_GROWTH","FY 2015","FY 2015","Currency=INR","Period=FY","BEST_FPERIOD_OVERRIDE=FY","FILING_STATUS=OR","EQY_CONSOLIDATED=Y","Sort=A","Dates=H","DateFormat=P","Fill=—","Direction=H","UseDPDF=Y")</f>
        <v>#NAME?</v>
      </c>
      <c r="BY483" s="3" t="e">
        <f ca="1">_xll.BDH($C$478,"SHORT_AND_LONG_TERM_DEBT","FY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483" s="3" t="e">
        <f ca="1">_xll.BDH($C$478,"BS_ST_BORROW","FY 2015","FY 2015","Currency=INR","Period=FY","BEST_FPERIOD_OVERRIDE=FY","FILING_STATUS=OR","EQY_CONSOLIDATED=Y","SCALING_FORMAT=MLN","Sort=A","Dates=H","DateFormat=P","Fill=—","Direction=H","UseDPDF=Y")</f>
        <v>#NAME?</v>
      </c>
      <c r="CA483" s="3" t="e">
        <f ca="1">_xll.BDH($C$478,"BS_LT_BORROW","FY 2015","FY 2015","Currency=INR","Period=FY","BEST_FPERIOD_OVERRIDE=FY","FILING_STATUS=OR","EQY_CONSOLIDATED=Y","SCALING_FORMAT=MLN","Sort=A","Dates=H","DateFormat=P","Fill=—","Direction=H","UseDPDF=Y")</f>
        <v>#NAME?</v>
      </c>
      <c r="CB483" s="2" t="e">
        <f ca="1">_xll.BDH($C$478,"TOT_DEBT_TO_EBITDA","FY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483" s="2" t="e">
        <f ca="1">_xll.BDH($C$478,"NET_DEBT_TO_EBITDA","FY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483" s="2" t="e">
        <f ca="1">_xll.BDH($C$478,"TOTAL_DEBT_TO_EBIT","FY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483" s="2" t="e">
        <f ca="1">_xll.BDH($C$478,"NET_DEBT_TO_EBIT","FY 2015","FY 2015","Currency=INR","Period=FY","BEST_FPERIOD_OVERRIDE=FY","FILING_STATUS=OR","EQY_CONSOLIDATED=Y","FA_ADJUSTED=GAAP","Sort=A","Dates=H","DateFormat=P","Fill=—","Direction=H","UseDPDF=Y")</f>
        <v>#NAME?</v>
      </c>
      <c r="CF483" s="2" t="e">
        <f ca="1">_xll.BDH($C$478,"EBITDA_TO_INTEREST_EXPN","FY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483" s="2" t="e">
        <f ca="1">_xll.BDH($C$478,"COM_EQY_TO_TOT_ASSET","FY 2015","FY 2015","Currency=INR","Period=FY","BEST_FPERIOD_OVERRIDE=FY","FILING_STATUS=OR","EQY_CONSOLIDATED=Y","Sort=A","Dates=H","DateFormat=P","Fill=—","Direction=H","UseDPDF=Y")</f>
        <v>#NAME?</v>
      </c>
      <c r="CH483" s="2" t="e">
        <f ca="1">_xll.BDH($C$478,"LT_DEBT_TO_TOT_EQY","FY 2015","FY 2015","Currency=INR","Period=FY","BEST_FPERIOD_OVERRIDE=FY","FILING_STATUS=OR","EQY_CONSOLIDATED=Y","Sort=A","Dates=H","DateFormat=P","Fill=—","Direction=H","UseDPDF=Y")</f>
        <v>#NAME?</v>
      </c>
      <c r="CI483" s="2" t="e">
        <f ca="1">_xll.BDH($C$478,"LT_DEBT_TO_TOT_CAP","FY 2015","FY 2015","Currency=INR","Period=FY","BEST_FPERIOD_OVERRIDE=FY","FILING_STATUS=OR","EQY_CONSOLIDATED=Y","Sort=A","Dates=H","DateFormat=P","Fill=—","Direction=H","UseDPDF=Y")</f>
        <v>#NAME?</v>
      </c>
      <c r="CJ483" s="2" t="e">
        <f ca="1">_xll.BDH($C$478,"LT_DEBT_TO_TOT_ASSET","FY 2015","FY 2015","Currency=INR","Period=FY","BEST_FPERIOD_OVERRIDE=FY","FILING_STATUS=OR","EQY_CONSOLIDATED=Y","Sort=A","Dates=H","DateFormat=P","Fill=—","Direction=H","UseDPDF=Y")</f>
        <v>#NAME?</v>
      </c>
      <c r="CK483" s="2" t="e">
        <f ca="1">_xll.BDH($C$478,"TOT_DEBT_TO_TOT_EQY","FY 2015","FY 2015","Currency=INR","Period=FY","BEST_FPERIOD_OVERRIDE=FY","FILING_STATUS=OR","EQY_CONSOLIDATED=Y","Sort=A","Dates=H","DateFormat=P","Fill=—","Direction=H","UseDPDF=Y")</f>
        <v>#NAME?</v>
      </c>
      <c r="CL483" s="2" t="e">
        <f ca="1">_xll.BDH($C$478,"TOT_DEBT_TO_TOT_CAP","FY 2015","FY 2015","Currency=INR","Period=FY","BEST_FPERIOD_OVERRIDE=FY","FILING_STATUS=OR","EQY_CONSOLIDATED=Y","Sort=A","Dates=H","DateFormat=P","Fill=—","Direction=H","UseDPDF=Y")</f>
        <v>#NAME?</v>
      </c>
      <c r="CM483" s="2" t="e">
        <f ca="1">_xll.BDH($C$478,"TOT_DEBT_TO_TOT_ASSET","FY 2015","FY 2015","Currency=INR","Period=FY","BEST_FPERIOD_OVERRIDE=FY","FILING_STATUS=OR","EQY_CONSOLIDATED=Y","Sort=A","Dates=H","DateFormat=P","Fill=—","Direction=H","UseDPDF=Y")</f>
        <v>#NAME?</v>
      </c>
      <c r="CN483" s="2" t="e">
        <f ca="1">_xll.BDH($C$478,"NET_DEBT_TO_SHRHLDR_EQTY","FY 2015","FY 2015","Currency=INR","Period=FY","BEST_FPERIOD_OVERRIDE=FY","FILING_STATUS=OR","EQY_CONSOLIDATED=Y","Sort=A","Dates=H","DateFormat=P","Fill=—","Direction=H","UseDPDF=Y")</f>
        <v>#NAME?</v>
      </c>
      <c r="CO483" s="2" t="e">
        <f ca="1">_xll.BDH($C$478,"NET_DEBT_%_CAPITAL","FY 2015","FY 2015","Currency=INR","Period=FY","BEST_FPERIOD_OVERRIDE=FY","FILING_STATUS=OR","EQY_CONSOLIDATED=Y","Sort=A","Dates=H","DateFormat=P","Fill=—","Direction=H","UseDPDF=Y")</f>
        <v>#NAME?</v>
      </c>
      <c r="CP483" s="3" t="e">
        <f ca="1">_xll.BDH($C$478,"EBITDA","FY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483" s="3" t="e">
        <f ca="1">_xll.BDH($C$478,"EBITDA_AFTER_CAPEX","FY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483" s="3" t="e">
        <f ca="1">_xll.BDH($C$478,"IS_OPER_INC","FY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483" s="2" t="e">
        <f ca="1">_xll.BDH($C$478,"CASH_RATIO","FY 2015","FY 2015","Currency=INR","Period=FY","BEST_FPERIOD_OVERRIDE=FY","FILING_STATUS=OR","EQY_CONSOLIDATED=Y","Sort=A","Dates=H","DateFormat=P","Fill=—","Direction=H","UseDPDF=Y")</f>
        <v>#NAME?</v>
      </c>
      <c r="CT483" s="2" t="e">
        <f ca="1">_xll.BDH($C$478,"CUR_RATIO","FY 2015","FY 2015","Currency=INR","Period=FY","BEST_FPERIOD_OVERRIDE=FY","FILING_STATUS=OR","EQY_CONSOLIDATED=Y","Sort=A","Dates=H","DateFormat=P","Fill=—","Direction=H","UseDPDF=Y")</f>
        <v>#NAME?</v>
      </c>
      <c r="CU483" s="2" t="e">
        <f ca="1">_xll.BDH($C$478,"QUICK_RATIO","FY 2015","FY 2015","Currency=INR","Period=FY","BEST_FPERIOD_OVERRIDE=FY","FILING_STATUS=OR","EQY_CONSOLIDATED=Y","Sort=A","Dates=H","DateFormat=P","Fill=—","Direction=H","UseDPDF=Y")</f>
        <v>#NAME?</v>
      </c>
      <c r="CV483" s="2" t="e">
        <f ca="1">_xll.BDH($C$478,"ALTMAN_Z_SCORE","FY 2015","FY 2015","Currency=INR","Period=FY","BEST_FPERIOD_OVERRIDE=FY","FILING_STATUS=OR","EQY_CONSOLIDATED=Y","Sort=A","Dates=H","DateFormat=P","Fill=—","Direction=H","UseDPDF=Y")</f>
        <v>#NAME?</v>
      </c>
      <c r="CW483" s="4" t="e">
        <f ca="1">_xll.BDH($C$478,"ACCT_RCV_TURN","FY 2015","FY 2015","Currency=INR","Period=FY","BEST_FPERIOD_OVERRIDE=FY","FILING_STATUS=OR","EQY_CONSOLIDATED=Y","FA_ADJUSTED=GAAP","Sort=A","Dates=H","DateFormat=P","Fill=—","Direction=H","UseDPDF=Y")</f>
        <v>#NAME?</v>
      </c>
      <c r="CX483" s="2" t="e">
        <f ca="1">_xll.BDH($C$478,"ACCT_RCV_DAYS","FY 2015","FY 2015","Currency=INR","Period=FY","BEST_FPERIOD_OVERRIDE=FY","FILING_STATUS=OR","EQY_CONSOLIDATED=Y","FA_ADJUSTED=GAAP","Sort=A","Dates=H","DateFormat=P","Fill=—","Direction=H","UseDPDF=Y")</f>
        <v>#NAME?</v>
      </c>
      <c r="CY483" s="4" t="e">
        <f ca="1">_xll.BDH($C$478,"INVENT_TURN","FY 2015","FY 2015","Currency=INR","Period=FY","BEST_FPERIOD_OVERRIDE=FY","FILING_STATUS=OR","EQY_CONSOLIDATED=Y","FA_ADJUSTED=GAAP","Sort=A","Dates=H","DateFormat=P","Fill=—","Direction=H","UseDPDF=Y")</f>
        <v>#NAME?</v>
      </c>
      <c r="CZ483" s="2" t="e">
        <f ca="1">_xll.BDH($C$478,"INVENT_DAYS","FY 2015","FY 2015","Currency=INR","Period=FY","BEST_FPERIOD_OVERRIDE=FY","FILING_STATUS=OR","EQY_CONSOLIDATED=Y","FA_ADJUSTED=GAAP","Sort=A","Dates=H","DateFormat=P","Fill=—","Direction=H","UseDPDF=Y")</f>
        <v>#NAME?</v>
      </c>
      <c r="DA483" s="4" t="e">
        <f ca="1">_xll.BDH($C$478,"ACCOUNTS_PAYABLE_TURNOVER","FY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483" s="2" t="e">
        <f ca="1">_xll.BDH($C$478,"ACCOUNTS_PAYABLE_TURNOVER_DAYS","FY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483" s="4" t="e">
        <f ca="1">_xll.BDH($C$478,"CASH_CONVERSION_CYCLE","FY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483" s="4" t="e">
        <f ca="1">_xll.BDH($C$478,"INV_TO_CASH_DAYS","FY 2015","FY 2015","Currency=INR","Period=FY","BEST_FPERIOD_OVERRIDE=FY","FILING_STATUS=OR","EQY_CONSOLIDATED=Y","FA_ADJUSTED=GAAP","Sort=A","Dates=H","DateFormat=P","Fill=—","Direction=H","UseDPDF=Y")</f>
        <v>#NAME?</v>
      </c>
      <c r="DE483" s="5" t="e">
        <f ca="1">_xll.BDH($C$478,"BS_INVENTORIES","FY 2015","FY 2015","Currency=INR","Period=FY","BEST_FPERIOD_OVERRIDE=FY","FILING_STATUS=OR","EQY_CONSOLIDATED=Y","SCALING_FORMAT=MLN","Sort=A","Dates=H","DateFormat=P","Fill=—","Direction=H","UseDPDF=Y")</f>
        <v>#NAME?</v>
      </c>
      <c r="DF483" s="3" t="e">
        <f ca="1">_xll.BDH($C$478,"INVTRY_RAW_MATERIALS","FY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483" s="3" t="e">
        <f ca="1">_xll.BDH($C$478,"INVTRY_IN_PROGRESS","FY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483" s="3" t="e">
        <f ca="1">_xll.BDH($C$478,"INVTRY_FINISHED_GOODS","FY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483" s="3" t="e">
        <f ca="1">_xll.BDH($C$478,"BS_OTHER_INV","FY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484" spans="1:113" x14ac:dyDescent="0.3">
      <c r="A484" s="6"/>
      <c r="B484" s="6"/>
      <c r="C484" s="6"/>
      <c r="D484" s="6"/>
      <c r="E484" t="s">
        <v>78</v>
      </c>
      <c r="F484" t="e">
        <f ca="1">_xll.BDH($C$478,"RETURN_COM_EQY","FQ1 2015","FQ1 2015","Currency=INR","Period=FQ","BEST_FPERIOD_OVERRIDE=FQ","FILING_STATUS=OR","EQY_CONSOLIDATED=Y","FA_ADJUSTED=GAAP","Sort=A","Dates=H","DateFormat=P","Fill=—","Direction=H","UseDPDF=Y")</f>
        <v>#NAME?</v>
      </c>
      <c r="G484" t="e">
        <f ca="1">_xll.BDH($C$478,"RETURN_ON_ASSET","FQ1 2015","FQ1 2015","Currency=INR","Period=FQ","BEST_FPERIOD_OVERRIDE=FQ","FILING_STATUS=OR","EQY_CONSOLIDATED=Y","FA_ADJUSTED=GAAP","Sort=A","Dates=H","DateFormat=P","Fill=—","Direction=H","UseDPDF=Y")</f>
        <v>#NAME?</v>
      </c>
      <c r="H484" t="e">
        <f ca="1">_xll.BDH($C$478,"RETURN_ON_CAP","FQ1 2015","FQ1 2015","Currency=INR","Period=FQ","BEST_FPERIOD_OVERRIDE=FQ","FILING_STATUS=OR","EQY_CONSOLIDATED=Y","FA_ADJUSTED=GAAP","Sort=A","Dates=H","DateFormat=P","Fill=—","Direction=H","UseDPDF=Y")</f>
        <v>#NAME?</v>
      </c>
      <c r="I484" t="e">
        <f ca="1">_xll.BDH($C$478,"RETURN_ON_INV_CAPITAL","FQ1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484" t="e">
        <f ca="1">_xll.BDH($C$478,"EBITDA_TO_REVENUE","FQ1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484" t="e">
        <f ca="1">_xll.BDH($C$478,"OPER_MARGIN","FQ1 2015","FQ1 2015","Currency=INR","Period=FQ","BEST_FPERIOD_OVERRIDE=FQ","FILING_STATUS=OR","EQY_CONSOLIDATED=Y","FA_ADJUSTED=GAAP","Sort=A","Dates=H","DateFormat=P","Fill=—","Direction=H","UseDPDF=Y")</f>
        <v>#NAME?</v>
      </c>
      <c r="L484" t="e">
        <f ca="1">_xll.BDH($C$478,"INCREMENTAL_OPERATING_MARGIN","FQ1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484" t="e">
        <f ca="1">_xll.BDH($C$478,"PRETAX_INC_TO_NET_SALES","FQ1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484" t="e">
        <f ca="1">_xll.BDH($C$478,"INC_BEF_XO_ITEMS_TO_NET_SALES","FQ1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484" t="e">
        <f ca="1">_xll.BDH($C$478,"PROF_MARGIN","FQ1 2015","FQ1 2015","Currency=INR","Period=FQ","BEST_FPERIOD_OVERRIDE=FQ","FILING_STATUS=OR","EQY_CONSOLIDATED=Y","FA_ADJUSTED=GAAP","Sort=A","Dates=H","DateFormat=P","Fill=—","Direction=H","UseDPDF=Y")</f>
        <v>#NAME?</v>
      </c>
      <c r="P484" t="e">
        <f ca="1">_xll.BDH($C$478,"NET_INCOME_TO_COMMON_MARGIN","FQ1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484" t="e">
        <f ca="1">_xll.BDH($C$478,"EFF_TAX_RATE","FQ1 2015","FQ1 2015","Currency=INR","Period=FQ","BEST_FPERIOD_OVERRIDE=FQ","FILING_STATUS=OR","EQY_CONSOLIDATED=Y","FA_ADJUSTED=GAAP","Sort=A","Dates=H","DateFormat=P","Fill=—","Direction=H","UseDPDF=Y")</f>
        <v>#NAME?</v>
      </c>
      <c r="R484" t="e">
        <f ca="1">_xll.BDH($C$478,"DVD_PAYOUT_RATIO","FQ1 2015","FQ1 2015","Currency=INR","Period=FQ","BEST_FPERIOD_OVERRIDE=FQ","FILING_STATUS=OR","EQY_CONSOLIDATED=Y","FA_ADJUSTED=GAAP","Sort=A","Dates=H","DateFormat=P","Fill=—","Direction=H","UseDPDF=Y")</f>
        <v>#NAME?</v>
      </c>
      <c r="S484" t="e">
        <f ca="1">_xll.BDH($C$478,"SUSTAIN_GROWTH_RT","FQ1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484" s="2" t="e">
        <f ca="1">_xll.BDH($C$478,"SALES_GROWTH","FQ1 2015","FQ1 2015","Currency=INR","Period=FQ","BEST_FPERIOD_OVERRIDE=FQ","FILING_STATUS=OR","EQY_CONSOLIDATED=Y","FA_ADJUSTED=GAAP","Sort=A","Dates=H","DateFormat=P","Fill=—","Direction=H","UseDPDF=Y")</f>
        <v>#NAME?</v>
      </c>
      <c r="U484" s="2" t="e">
        <f ca="1">_xll.BDH($C$478,"EBITDA_GROWTH","FQ1 2015","FQ1 2015","Currency=INR","Period=FQ","BEST_FPERIOD_OVERRIDE=FQ","FILING_STATUS=OR","EQY_CONSOLIDATED=Y","FA_ADJUSTED=GAAP","Sort=A","Dates=H","DateFormat=P","Fill=—","Direction=H","UseDPDF=Y")</f>
        <v>#NAME?</v>
      </c>
      <c r="V484" s="2" t="e">
        <f ca="1">_xll.BDH($C$478,"OPER_INC_GROWTH","FQ1 2015","FQ1 2015","Currency=INR","Period=FQ","BEST_FPERIOD_OVERRIDE=FQ","FILING_STATUS=OR","EQY_CONSOLIDATED=Y","FA_ADJUSTED=GAAP","Sort=A","Dates=H","DateFormat=P","Fill=—","Direction=H","UseDPDF=Y")</f>
        <v>#NAME?</v>
      </c>
      <c r="W484" s="2" t="e">
        <f ca="1">_xll.BDH($C$478,"EARN_FOR_COM_GROWTH","FQ1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484" s="2" t="e">
        <f ca="1">_xll.BDH($C$478,"DILUTED_EPS_AFT_XO_ITEMS_GROWTH","FQ1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484" s="2" t="e">
        <f ca="1">_xll.BDH($C$478,"DIVIDEND_PER_SHARE_1_YEAR_GROWTH","FQ1 2015","FQ1 2015","Currency=INR","Period=FQ","BEST_FPERIOD_OVERRIDE=FQ","FILING_STATUS=OR","EQY_CONSOLIDATED=Y","Sort=A","Dates=H","DateFormat=P","Fill=—","Direction=H","UseDPDF=Y")</f>
        <v>#NAME?</v>
      </c>
      <c r="Z484" s="2" t="e">
        <f ca="1">_xll.BDH($C$478,"ACCOUNTS_RECEIVABLE_GROWTH","FQ1 2015","FQ1 2015","Currency=INR","Period=FQ","BEST_FPERIOD_OVERRIDE=FQ","FILING_STATUS=OR","EQY_CONSOLIDATED=Y","Sort=A","Dates=H","DateFormat=P","Fill=—","Direction=H","UseDPDF=Y")</f>
        <v>#NAME?</v>
      </c>
      <c r="AA484" s="2" t="e">
        <f ca="1">_xll.BDH($C$478,"INVENTORY_GROWTH","FQ1 2015","FQ1 2015","Currency=INR","Period=FQ","BEST_FPERIOD_OVERRIDE=FQ","FILING_STATUS=OR","EQY_CONSOLIDATED=Y","Sort=A","Dates=H","DateFormat=P","Fill=—","Direction=H","UseDPDF=Y")</f>
        <v>#NAME?</v>
      </c>
      <c r="AB484" s="2" t="e">
        <f ca="1">_xll.BDH($C$478,"NET_FIXED_ASSETS_1_YEAR_GROWTH","FQ1 2015","FQ1 2015","Currency=INR","Period=FQ","BEST_FPERIOD_OVERRIDE=FQ","FILING_STATUS=OR","EQY_CONSOLIDATED=Y","Sort=A","Dates=H","DateFormat=P","Fill=—","Direction=H","UseDPDF=Y")</f>
        <v>#NAME?</v>
      </c>
      <c r="AC484" s="2" t="e">
        <f ca="1">_xll.BDH($C$478,"ASSET_GROWTH","FQ1 2015","FQ1 2015","Currency=INR","Period=FQ","BEST_FPERIOD_OVERRIDE=FQ","FILING_STATUS=OR","EQY_CONSOLIDATED=Y","Sort=A","Dates=H","DateFormat=P","Fill=—","Direction=H","UseDPDF=Y")</f>
        <v>#NAME?</v>
      </c>
      <c r="AD484" s="2" t="e">
        <f ca="1">_xll.BDH($C$478,"MODIFIED_WORK_CAP_GROWTH","FQ1 2015","FQ1 2015","Currency=INR","Period=FQ","BEST_FPERIOD_OVERRIDE=FQ","FILING_STATUS=OR","EQY_CONSOLIDATED=Y","Sort=A","Dates=H","DateFormat=P","Fill=—","Direction=H","UseDPDF=Y")</f>
        <v>#NAME?</v>
      </c>
      <c r="AE484" s="2" t="e">
        <f ca="1">_xll.BDH($C$478,"WORK_CAP_GROWTH","FQ1 2015","FQ1 2015","Currency=INR","Period=FQ","BEST_FPERIOD_OVERRIDE=FQ","FILING_STATUS=OR","EQY_CONSOLIDATED=Y","Sort=A","Dates=H","DateFormat=P","Fill=—","Direction=H","UseDPDF=Y")</f>
        <v>#NAME?</v>
      </c>
      <c r="AF484" s="2" t="e">
        <f ca="1">_xll.BDH($C$478,"ACCOUNTS_PAYABLE_GROWTH_1YR","FQ1 2015","FQ1 2015","Currency=INR","Period=FQ","BEST_FPERIOD_OVERRIDE=FQ","FILING_STATUS=OR","EQY_CONSOLIDATED=Y","Sort=A","Dates=H","DateFormat=P","Fill=—","Direction=H","UseDPDF=Y")</f>
        <v>#NAME?</v>
      </c>
      <c r="AG484" s="2" t="e">
        <f ca="1">_xll.BDH($C$478,"SHORT_TERM_DEBT_1_YEAR_GROWTH","FQ1 2015","FQ1 2015","Currency=INR","Period=FQ","BEST_FPERIOD_OVERRIDE=FQ","FILING_STATUS=OR","EQY_CONSOLIDATED=Y","Sort=A","Dates=H","DateFormat=P","Fill=—","Direction=H","UseDPDF=Y")</f>
        <v>#NAME?</v>
      </c>
      <c r="AH484" s="2" t="e">
        <f ca="1">_xll.BDH($C$478,"TOTAL_DEBT_1_YEAR_GROWTH","FQ1 2015","FQ1 2015","Currency=INR","Period=FQ","BEST_FPERIOD_OVERRIDE=FQ","FILING_STATUS=OR","EQY_CONSOLIDATED=Y","Sort=A","Dates=H","DateFormat=P","Fill=—","Direction=H","UseDPDF=Y")</f>
        <v>#NAME?</v>
      </c>
      <c r="AI484" s="2" t="e">
        <f ca="1">_xll.BDH($C$478,"TOTAL_EQUITY_1_YEAR_GROWTH","FQ1 2015","FQ1 2015","Currency=INR","Period=FQ","BEST_FPERIOD_OVERRIDE=FQ","FILING_STATUS=OR","EQY_CONSOLIDATED=Y","Sort=A","Dates=H","DateFormat=P","Fill=—","Direction=H","UseDPDF=Y")</f>
        <v>#NAME?</v>
      </c>
      <c r="AJ484" s="2" t="e">
        <f ca="1">_xll.BDH($C$478,"GROWTH_IN_CAP","FQ1 2015","FQ1 2015","Currency=INR","Period=FQ","BEST_FPERIOD_OVERRIDE=FQ","FILING_STATUS=OR","EQY_CONSOLIDATED=Y","Sort=A","Dates=H","DateFormat=P","Fill=—","Direction=H","UseDPDF=Y")</f>
        <v>#NAME?</v>
      </c>
      <c r="AK484" s="2" t="e">
        <f ca="1">_xll.BDH($C$478,"BVPS_GROWTH","FQ1 2015","FQ1 2015","Currency=INR","Period=FQ","BEST_FPERIOD_OVERRIDE=FQ","FILING_STATUS=OR","EQY_CONSOLIDATED=Y","Sort=A","Dates=H","DateFormat=P","Fill=—","Direction=H","UseDPDF=Y")</f>
        <v>#NAME?</v>
      </c>
      <c r="AL484" s="2" t="e">
        <f ca="1">_xll.BDH($C$478,"CASH_FLOW_GROWTH","FQ1 2015","FQ1 2015","Currency=INR","Period=FQ","BEST_FPERIOD_OVERRIDE=FQ","FILING_STATUS=OR","EQY_CONSOLIDATED=Y","Sort=A","Dates=H","DateFormat=P","Fill=—","Direction=H","UseDPDF=Y")</f>
        <v>#NAME?</v>
      </c>
      <c r="AM484" s="2" t="e">
        <f ca="1">_xll.BDH($C$478,"GEO_GROW_NET_SALES","FQ1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484" s="2" t="e">
        <f ca="1">_xll.BDH($C$478,"GEO_GROW_EBITDA","FQ1 2015","FQ1 2015","Currency=INR","Period=FQ","BEST_FPERIOD_OVERRIDE=FQ","FILING_STATUS=OR","EQY_CONSOLIDATED=Y","FA_ADJUSTED=GAAP","Sort=A","Dates=H","DateFormat=P","Fill=—","Direction=H","UseDPDF=Y")</f>
        <v>#NAME?</v>
      </c>
      <c r="AO484" s="2" t="e">
        <f ca="1">_xll.BDH($C$478,"GEO_GROW_OPER_INC","FQ1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484" s="2" t="e">
        <f ca="1">_xll.BDH($C$478,"NET_INCOME_TO_COMMON_5_YR_GROWTH","FQ1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484" s="2" t="e">
        <f ca="1">_xll.BDH($C$478,"5Y_GEO_GROWTH_DILUTED_EPS","FQ1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484" s="2" t="e">
        <f ca="1">_xll.BDH($C$478,"GEO_GROW_DVD_PER_SH","FQ1 2015","FQ1 2015","Currency=INR","Period=FQ","BEST_FPERIOD_OVERRIDE=FQ","FILING_STATUS=OR","EQY_CONSOLIDATED=Y","Sort=A","Dates=H","DateFormat=P","Fill=—","Direction=H","UseDPDF=Y")</f>
        <v>#NAME?</v>
      </c>
      <c r="AS484" s="2" t="e">
        <f ca="1">_xll.BDH($C$478,"ACCOUNTS_RECEIVABLE_5_YR_GROWTH","FQ1 2015","FQ1 2015","Currency=INR","Period=FQ","BEST_FPERIOD_OVERRIDE=FQ","FILING_STATUS=OR","EQY_CONSOLIDATED=Y","Sort=A","Dates=H","DateFormat=P","Fill=—","Direction=H","UseDPDF=Y")</f>
        <v>#NAME?</v>
      </c>
      <c r="AT484" s="2" t="e">
        <f ca="1">_xll.BDH($C$478,"INVENTORY_5_YEAR_GROWTH","FQ1 2015","FQ1 2015","Currency=INR","Period=FQ","BEST_FPERIOD_OVERRIDE=FQ","FILING_STATUS=OR","EQY_CONSOLIDATED=Y","Sort=A","Dates=H","DateFormat=P","Fill=—","Direction=H","UseDPDF=Y")</f>
        <v>#NAME?</v>
      </c>
      <c r="AU484" s="2" t="e">
        <f ca="1">_xll.BDH($C$478,"NET_FIXED_ASSETS_5_YEAR_GROWTH","FQ1 2015","FQ1 2015","Currency=INR","Period=FQ","BEST_FPERIOD_OVERRIDE=FQ","FILING_STATUS=OR","EQY_CONSOLIDATED=Y","Sort=A","Dates=H","DateFormat=P","Fill=—","Direction=H","UseDPDF=Y")</f>
        <v>#NAME?</v>
      </c>
      <c r="AV484" s="2" t="e">
        <f ca="1">_xll.BDH($C$478,"GEO_GROW_TOT_ASSET","FQ1 2015","FQ1 2015","Currency=INR","Period=FQ","BEST_FPERIOD_OVERRIDE=FQ","FILING_STATUS=OR","EQY_CONSOLIDATED=Y","Sort=A","Dates=H","DateFormat=P","Fill=—","Direction=H","UseDPDF=Y")</f>
        <v>#NAME?</v>
      </c>
      <c r="AW484" s="2" t="e">
        <f ca="1">_xll.BDH($C$478,"MODIFIED_WORKING_CPTL_5YR_GRWTH","FQ1 2015","FQ1 2015","Currency=INR","Period=FQ","BEST_FPERIOD_OVERRIDE=FQ","FILING_STATUS=OR","EQY_CONSOLIDATED=Y","Sort=A","Dates=H","DateFormat=P","Fill=—","Direction=H","UseDPDF=Y")</f>
        <v>#NAME?</v>
      </c>
      <c r="AX484" s="2" t="e">
        <f ca="1">_xll.BDH($C$478,"WORKING_CAPITAL_5_YEAR_GROWTH","FQ1 2015","FQ1 2015","Currency=INR","Period=FQ","BEST_FPERIOD_OVERRIDE=FQ","FILING_STATUS=OR","EQY_CONSOLIDATED=Y","Sort=A","Dates=H","DateFormat=P","Fill=—","Direction=H","UseDPDF=Y")</f>
        <v>#NAME?</v>
      </c>
      <c r="AY484" s="2" t="e">
        <f ca="1">_xll.BDH($C$478,"ACCOUNTS_PAYABLE_5_YEAR_GROWTH","FQ1 2015","FQ1 2015","Currency=INR","Period=FQ","BEST_FPERIOD_OVERRIDE=FQ","FILING_STATUS=OR","EQY_CONSOLIDATED=Y","Sort=A","Dates=H","DateFormat=P","Fill=—","Direction=H","UseDPDF=Y")</f>
        <v>#NAME?</v>
      </c>
      <c r="AZ484" s="2" t="e">
        <f ca="1">_xll.BDH($C$478,"SHORT_TERM_DEBT_5_YEAR_GROWTH","FQ1 2015","FQ1 2015","Currency=INR","Period=FQ","BEST_FPERIOD_OVERRIDE=FQ","FILING_STATUS=OR","EQY_CONSOLIDATED=Y","Sort=A","Dates=H","DateFormat=P","Fill=—","Direction=H","UseDPDF=Y")</f>
        <v>#NAME?</v>
      </c>
      <c r="BA484" s="2" t="e">
        <f ca="1">_xll.BDH($C$478,"TOTAL_DEBT_5_YEAR_GROWTH","FQ1 2015","FQ1 2015","Currency=INR","Period=FQ","BEST_FPERIOD_OVERRIDE=FQ","FILING_STATUS=OR","EQY_CONSOLIDATED=Y","Sort=A","Dates=H","DateFormat=P","Fill=—","Direction=H","UseDPDF=Y")</f>
        <v>#NAME?</v>
      </c>
      <c r="BB484" s="2" t="e">
        <f ca="1">_xll.BDH($C$478,"GEO_GROW_TOT_SHRHLDR_EQY","FQ1 2015","FQ1 2015","Currency=INR","Period=FQ","BEST_FPERIOD_OVERRIDE=FQ","FILING_STATUS=OR","EQY_CONSOLIDATED=Y","Sort=A","Dates=H","DateFormat=P","Fill=—","Direction=H","UseDPDF=Y")</f>
        <v>#NAME?</v>
      </c>
      <c r="BC484" s="2" t="e">
        <f ca="1">_xll.BDH($C$478,"TOTAL_CAPITAL_5_YEAR_GROWTH","FQ1 2015","FQ1 2015","Currency=INR","Period=FQ","BEST_FPERIOD_OVERRIDE=FQ","FILING_STATUS=OR","EQY_CONSOLIDATED=Y","Sort=A","Dates=H","DateFormat=P","Fill=—","Direction=H","UseDPDF=Y")</f>
        <v>#NAME?</v>
      </c>
      <c r="BD484" s="2" t="e">
        <f ca="1">_xll.BDH($C$478,"GEO_GROW_BOOK_VAL","FQ1 2015","FQ1 2015","Currency=INR","Period=FQ","BEST_FPERIOD_OVERRIDE=FQ","FILING_STATUS=OR","EQY_CONSOLIDATED=Y","Sort=A","Dates=H","DateFormat=P","Fill=—","Direction=H","UseDPDF=Y")</f>
        <v>#NAME?</v>
      </c>
      <c r="BE484" s="2" t="e">
        <f ca="1">_xll.BDH($C$478,"GEO_GROW_CASH_OPER_ACT","FQ1 2015","FQ1 2015","Currency=INR","Period=FQ","BEST_FPERIOD_OVERRIDE=FQ","FILING_STATUS=OR","EQY_CONSOLIDATED=Y","Sort=A","Dates=H","DateFormat=P","Fill=—","Direction=H","UseDPDF=Y")</f>
        <v>#NAME?</v>
      </c>
      <c r="BF484" s="2" t="e">
        <f ca="1">_xll.BDH($C$478,"REVENUE_SEQUENTIAL_GROWTH","FQ1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484" s="2" t="e">
        <f ca="1">_xll.BDH($C$478,"EBITDA_SEQUENTIAL_GROWTH","FQ1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484" s="2" t="e">
        <f ca="1">_xll.BDH($C$478,"OPERATING_INCOME_SEQ_GROWTH","FQ1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484" s="2" t="e">
        <f ca="1">_xll.BDH($C$478,"NET_INCOME_TO_COMMON_SEQ_GROWTH","FQ1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484" s="2" t="e">
        <f ca="1">_xll.BDH($C$478,"EPS_DILUTED_SEQUENTIAL_GROWTH","FQ1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484" s="2" t="e">
        <f ca="1">_xll.BDH($C$478,"DPS_SEQUENTIAL_GROWTH","FQ1 2015","FQ1 2015","Currency=INR","Period=FQ","BEST_FPERIOD_OVERRIDE=FQ","FILING_STATUS=OR","EQY_CONSOLIDATED=Y","Sort=A","Dates=H","DateFormat=P","Fill=—","Direction=H","UseDPDF=Y")</f>
        <v>#NAME?</v>
      </c>
      <c r="BL484" s="2" t="e">
        <f ca="1">_xll.BDH($C$478,"ACCOUNTS_RECEIVABLE_SEQ_GROWTH","FQ1 2015","FQ1 2015","Currency=INR","Period=FQ","BEST_FPERIOD_OVERRIDE=FQ","FILING_STATUS=OR","EQY_CONSOLIDATED=Y","Sort=A","Dates=H","DateFormat=P","Fill=—","Direction=H","UseDPDF=Y")</f>
        <v>#NAME?</v>
      </c>
      <c r="BM484" s="2" t="e">
        <f ca="1">_xll.BDH($C$478,"INVENTORY_SEQUENTIAL_GROWTH","FQ1 2015","FQ1 2015","Currency=INR","Period=FQ","BEST_FPERIOD_OVERRIDE=FQ","FILING_STATUS=OR","EQY_CONSOLIDATED=Y","Sort=A","Dates=H","DateFormat=P","Fill=—","Direction=H","UseDPDF=Y")</f>
        <v>#NAME?</v>
      </c>
      <c r="BN484" s="2" t="e">
        <f ca="1">_xll.BDH($C$478,"FIXED_ASSETS_SEQUENTIAL_GROWTH","FQ1 2015","FQ1 2015","Currency=INR","Period=FQ","BEST_FPERIOD_OVERRIDE=FQ","FILING_STATUS=OR","EQY_CONSOLIDATED=Y","Sort=A","Dates=H","DateFormat=P","Fill=—","Direction=H","UseDPDF=Y")</f>
        <v>#NAME?</v>
      </c>
      <c r="BO484" s="2" t="e">
        <f ca="1">_xll.BDH($C$478,"TOTAL_ASSETS_SEQUENTIAL_GROWTH","FQ1 2015","FQ1 2015","Currency=INR","Period=FQ","BEST_FPERIOD_OVERRIDE=FQ","FILING_STATUS=OR","EQY_CONSOLIDATED=Y","Sort=A","Dates=H","DateFormat=P","Fill=—","Direction=H","UseDPDF=Y")</f>
        <v>#NAME?</v>
      </c>
      <c r="BP484" s="2" t="e">
        <f ca="1">_xll.BDH($C$478,"MODIFIED_WORKING_CPTL_SEQ_GRWTH","FQ1 2015","FQ1 2015","Currency=INR","Period=FQ","BEST_FPERIOD_OVERRIDE=FQ","FILING_STATUS=OR","EQY_CONSOLIDATED=Y","Sort=A","Dates=H","DateFormat=P","Fill=—","Direction=H","UseDPDF=Y")</f>
        <v>#NAME?</v>
      </c>
      <c r="BQ484" s="2" t="e">
        <f ca="1">_xll.BDH($C$478,"WORKING_CAPITAL_SEQ_GROWTH","FQ1 2015","FQ1 2015","Currency=INR","Period=FQ","BEST_FPERIOD_OVERRIDE=FQ","FILING_STATUS=OR","EQY_CONSOLIDATED=Y","Sort=A","Dates=H","DateFormat=P","Fill=—","Direction=H","UseDPDF=Y")</f>
        <v>#NAME?</v>
      </c>
      <c r="BR484" s="2" t="e">
        <f ca="1">_xll.BDH($C$478,"ACCOUNTS_PAYABLE_SEQ_GROWTH","FQ1 2015","FQ1 2015","Currency=INR","Period=FQ","BEST_FPERIOD_OVERRIDE=FQ","FILING_STATUS=OR","EQY_CONSOLIDATED=Y","Sort=A","Dates=H","DateFormat=P","Fill=—","Direction=H","UseDPDF=Y")</f>
        <v>#NAME?</v>
      </c>
      <c r="BS484" s="2" t="e">
        <f ca="1">_xll.BDH($C$478,"ST_DEBT_SEQUENTIAL_GROWTH","FQ1 2015","FQ1 2015","Currency=INR","Period=FQ","BEST_FPERIOD_OVERRIDE=FQ","FILING_STATUS=OR","EQY_CONSOLIDATED=Y","Sort=A","Dates=H","DateFormat=P","Fill=—","Direction=H","UseDPDF=Y")</f>
        <v>#NAME?</v>
      </c>
      <c r="BT484" s="2" t="e">
        <f ca="1">_xll.BDH($C$478,"TOTAL_DEBT_SEQUENTIAL_GROWTH","FQ1 2015","FQ1 2015","Currency=INR","Period=FQ","BEST_FPERIOD_OVERRIDE=FQ","FILING_STATUS=OR","EQY_CONSOLIDATED=Y","Sort=A","Dates=H","DateFormat=P","Fill=—","Direction=H","UseDPDF=Y")</f>
        <v>#NAME?</v>
      </c>
      <c r="BU484" s="2" t="e">
        <f ca="1">_xll.BDH($C$478,"TOTAL_EQUITY_SEQUENTIAL_GROWTH","FQ1 2015","FQ1 2015","Currency=INR","Period=FQ","BEST_FPERIOD_OVERRIDE=FQ","FILING_STATUS=OR","EQY_CONSOLIDATED=Y","Sort=A","Dates=H","DateFormat=P","Fill=—","Direction=H","UseDPDF=Y")</f>
        <v>#NAME?</v>
      </c>
      <c r="BV484" s="2" t="e">
        <f ca="1">_xll.BDH($C$478,"TOTAL_CAPITAL_SEQUENTIAL_GROWTH","FQ1 2015","FQ1 2015","Currency=INR","Period=FQ","BEST_FPERIOD_OVERRIDE=FQ","FILING_STATUS=OR","EQY_CONSOLIDATED=Y","Sort=A","Dates=H","DateFormat=P","Fill=—","Direction=H","UseDPDF=Y")</f>
        <v>#NAME?</v>
      </c>
      <c r="BW484" s="2" t="e">
        <f ca="1">_xll.BDH($C$478,"BPS_SEQUENTIAL_GROWTH","FQ1 2015","FQ1 2015","Currency=INR","Period=FQ","BEST_FPERIOD_OVERRIDE=FQ","FILING_STATUS=OR","EQY_CONSOLIDATED=Y","Sort=A","Dates=H","DateFormat=P","Fill=—","Direction=H","UseDPDF=Y")</f>
        <v>#NAME?</v>
      </c>
      <c r="BX484" s="2" t="e">
        <f ca="1">_xll.BDH($C$478,"CFO_SEQUENTIAL_GROWTH","FQ1 2015","FQ1 2015","Currency=INR","Period=FQ","BEST_FPERIOD_OVERRIDE=FQ","FILING_STATUS=OR","EQY_CONSOLIDATED=Y","Sort=A","Dates=H","DateFormat=P","Fill=—","Direction=H","UseDPDF=Y")</f>
        <v>#NAME?</v>
      </c>
      <c r="BY484" s="3" t="e">
        <f ca="1">_xll.BDH($C$478,"SHORT_AND_LONG_TERM_DEBT","FQ1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484" s="3" t="e">
        <f ca="1">_xll.BDH($C$478,"BS_ST_BORROW","FQ1 2015","FQ1 2015","Currency=INR","Period=FQ","BEST_FPERIOD_OVERRIDE=FQ","FILING_STATUS=OR","EQY_CONSOLIDATED=Y","SCALING_FORMAT=MLN","Sort=A","Dates=H","DateFormat=P","Fill=—","Direction=H","UseDPDF=Y")</f>
        <v>#NAME?</v>
      </c>
      <c r="CA484" s="3" t="e">
        <f ca="1">_xll.BDH($C$478,"BS_LT_BORROW","FQ1 2015","FQ1 2015","Currency=INR","Period=FQ","BEST_FPERIOD_OVERRIDE=FQ","FILING_STATUS=OR","EQY_CONSOLIDATED=Y","SCALING_FORMAT=MLN","Sort=A","Dates=H","DateFormat=P","Fill=—","Direction=H","UseDPDF=Y")</f>
        <v>#NAME?</v>
      </c>
      <c r="CB484" s="2" t="e">
        <f ca="1">_xll.BDH($C$478,"TOT_DEBT_TO_EBITDA","FQ1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484" s="2" t="e">
        <f ca="1">_xll.BDH($C$478,"NET_DEBT_TO_EBITDA","FQ1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484" s="2" t="e">
        <f ca="1">_xll.BDH($C$478,"TOTAL_DEBT_TO_EBIT","FQ1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484" s="2" t="e">
        <f ca="1">_xll.BDH($C$478,"NET_DEBT_TO_EBIT","FQ1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484" s="2" t="e">
        <f ca="1">_xll.BDH($C$478,"EBITDA_TO_INTEREST_EXPN","FQ1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484" s="2" t="e">
        <f ca="1">_xll.BDH($C$478,"COM_EQY_TO_TOT_ASSET","FQ1 2015","FQ1 2015","Currency=INR","Period=FQ","BEST_FPERIOD_OVERRIDE=FQ","FILING_STATUS=OR","EQY_CONSOLIDATED=Y","Sort=A","Dates=H","DateFormat=P","Fill=—","Direction=H","UseDPDF=Y")</f>
        <v>#NAME?</v>
      </c>
      <c r="CH484" s="2" t="e">
        <f ca="1">_xll.BDH($C$478,"LT_DEBT_TO_TOT_EQY","FQ1 2015","FQ1 2015","Currency=INR","Period=FQ","BEST_FPERIOD_OVERRIDE=FQ","FILING_STATUS=OR","EQY_CONSOLIDATED=Y","Sort=A","Dates=H","DateFormat=P","Fill=—","Direction=H","UseDPDF=Y")</f>
        <v>#NAME?</v>
      </c>
      <c r="CI484" s="2" t="e">
        <f ca="1">_xll.BDH($C$478,"LT_DEBT_TO_TOT_CAP","FQ1 2015","FQ1 2015","Currency=INR","Period=FQ","BEST_FPERIOD_OVERRIDE=FQ","FILING_STATUS=OR","EQY_CONSOLIDATED=Y","Sort=A","Dates=H","DateFormat=P","Fill=—","Direction=H","UseDPDF=Y")</f>
        <v>#NAME?</v>
      </c>
      <c r="CJ484" s="2" t="e">
        <f ca="1">_xll.BDH($C$478,"LT_DEBT_TO_TOT_ASSET","FQ1 2015","FQ1 2015","Currency=INR","Period=FQ","BEST_FPERIOD_OVERRIDE=FQ","FILING_STATUS=OR","EQY_CONSOLIDATED=Y","Sort=A","Dates=H","DateFormat=P","Fill=—","Direction=H","UseDPDF=Y")</f>
        <v>#NAME?</v>
      </c>
      <c r="CK484" s="2" t="e">
        <f ca="1">_xll.BDH($C$478,"TOT_DEBT_TO_TOT_EQY","FQ1 2015","FQ1 2015","Currency=INR","Period=FQ","BEST_FPERIOD_OVERRIDE=FQ","FILING_STATUS=OR","EQY_CONSOLIDATED=Y","Sort=A","Dates=H","DateFormat=P","Fill=—","Direction=H","UseDPDF=Y")</f>
        <v>#NAME?</v>
      </c>
      <c r="CL484" s="2" t="e">
        <f ca="1">_xll.BDH($C$478,"TOT_DEBT_TO_TOT_CAP","FQ1 2015","FQ1 2015","Currency=INR","Period=FQ","BEST_FPERIOD_OVERRIDE=FQ","FILING_STATUS=OR","EQY_CONSOLIDATED=Y","Sort=A","Dates=H","DateFormat=P","Fill=—","Direction=H","UseDPDF=Y")</f>
        <v>#NAME?</v>
      </c>
      <c r="CM484" s="2" t="e">
        <f ca="1">_xll.BDH($C$478,"TOT_DEBT_TO_TOT_ASSET","FQ1 2015","FQ1 2015","Currency=INR","Period=FQ","BEST_FPERIOD_OVERRIDE=FQ","FILING_STATUS=OR","EQY_CONSOLIDATED=Y","Sort=A","Dates=H","DateFormat=P","Fill=—","Direction=H","UseDPDF=Y")</f>
        <v>#NAME?</v>
      </c>
      <c r="CN484" s="2" t="e">
        <f ca="1">_xll.BDH($C$478,"NET_DEBT_TO_SHRHLDR_EQTY","FQ1 2015","FQ1 2015","Currency=INR","Period=FQ","BEST_FPERIOD_OVERRIDE=FQ","FILING_STATUS=OR","EQY_CONSOLIDATED=Y","Sort=A","Dates=H","DateFormat=P","Fill=—","Direction=H","UseDPDF=Y")</f>
        <v>#NAME?</v>
      </c>
      <c r="CO484" s="2" t="e">
        <f ca="1">_xll.BDH($C$478,"NET_DEBT_%_CAPITAL","FQ1 2015","FQ1 2015","Currency=INR","Period=FQ","BEST_FPERIOD_OVERRIDE=FQ","FILING_STATUS=OR","EQY_CONSOLIDATED=Y","Sort=A","Dates=H","DateFormat=P","Fill=—","Direction=H","UseDPDF=Y")</f>
        <v>#NAME?</v>
      </c>
      <c r="CP484" s="3" t="e">
        <f ca="1">_xll.BDH($C$478,"EBITDA","FQ1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484" s="3" t="e">
        <f ca="1">_xll.BDH($C$478,"EBITDA_AFTER_CAPEX","FQ1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484" s="3" t="e">
        <f ca="1">_xll.BDH($C$478,"IS_OPER_INC","FQ1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484" s="2" t="e">
        <f ca="1">_xll.BDH($C$478,"CASH_RATIO","FQ1 2015","FQ1 2015","Currency=INR","Period=FQ","BEST_FPERIOD_OVERRIDE=FQ","FILING_STATUS=OR","EQY_CONSOLIDATED=Y","Sort=A","Dates=H","DateFormat=P","Fill=—","Direction=H","UseDPDF=Y")</f>
        <v>#NAME?</v>
      </c>
      <c r="CT484" s="2" t="e">
        <f ca="1">_xll.BDH($C$478,"CUR_RATIO","FQ1 2015","FQ1 2015","Currency=INR","Period=FQ","BEST_FPERIOD_OVERRIDE=FQ","FILING_STATUS=OR","EQY_CONSOLIDATED=Y","Sort=A","Dates=H","DateFormat=P","Fill=—","Direction=H","UseDPDF=Y")</f>
        <v>#NAME?</v>
      </c>
      <c r="CU484" s="2" t="e">
        <f ca="1">_xll.BDH($C$478,"QUICK_RATIO","FQ1 2015","FQ1 2015","Currency=INR","Period=FQ","BEST_FPERIOD_OVERRIDE=FQ","FILING_STATUS=OR","EQY_CONSOLIDATED=Y","Sort=A","Dates=H","DateFormat=P","Fill=—","Direction=H","UseDPDF=Y")</f>
        <v>#NAME?</v>
      </c>
      <c r="CV484" s="2" t="e">
        <f ca="1">_xll.BDH($C$478,"ALTMAN_Z_SCORE","FQ1 2015","FQ1 2015","Currency=INR","Period=FQ","BEST_FPERIOD_OVERRIDE=FQ","FILING_STATUS=OR","EQY_CONSOLIDATED=Y","Sort=A","Dates=H","DateFormat=P","Fill=—","Direction=H","UseDPDF=Y")</f>
        <v>#NAME?</v>
      </c>
      <c r="CW484" s="4" t="e">
        <f ca="1">_xll.BDH($C$478,"ACCT_RCV_TURN","FQ1 2015","FQ1 2015","Currency=INR","Period=FQ","BEST_FPERIOD_OVERRIDE=FQ","FILING_STATUS=OR","EQY_CONSOLIDATED=Y","FA_ADJUSTED=GAAP","Sort=A","Dates=H","DateFormat=P","Fill=—","Direction=H","UseDPDF=Y")</f>
        <v>#NAME?</v>
      </c>
      <c r="CX484" s="2" t="e">
        <f ca="1">_xll.BDH($C$478,"ACCT_RCV_DAYS","FQ1 2015","FQ1 2015","Currency=INR","Period=FQ","BEST_FPERIOD_OVERRIDE=FQ","FILING_STATUS=OR","EQY_CONSOLIDATED=Y","FA_ADJUSTED=GAAP","Sort=A","Dates=H","DateFormat=P","Fill=—","Direction=H","UseDPDF=Y")</f>
        <v>#NAME?</v>
      </c>
      <c r="CY484" s="4" t="e">
        <f ca="1">_xll.BDH($C$478,"INVENT_TURN","FQ1 2015","FQ1 2015","Currency=INR","Period=FQ","BEST_FPERIOD_OVERRIDE=FQ","FILING_STATUS=OR","EQY_CONSOLIDATED=Y","FA_ADJUSTED=GAAP","Sort=A","Dates=H","DateFormat=P","Fill=—","Direction=H","UseDPDF=Y")</f>
        <v>#NAME?</v>
      </c>
      <c r="CZ484" s="2" t="e">
        <f ca="1">_xll.BDH($C$478,"INVENT_DAYS","FQ1 2015","FQ1 2015","Currency=INR","Period=FQ","BEST_FPERIOD_OVERRIDE=FQ","FILING_STATUS=OR","EQY_CONSOLIDATED=Y","FA_ADJUSTED=GAAP","Sort=A","Dates=H","DateFormat=P","Fill=—","Direction=H","UseDPDF=Y")</f>
        <v>#NAME?</v>
      </c>
      <c r="DA484" s="4" t="e">
        <f ca="1">_xll.BDH($C$478,"ACCOUNTS_PAYABLE_TURNOVER","FQ1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484" s="2" t="e">
        <f ca="1">_xll.BDH($C$478,"ACCOUNTS_PAYABLE_TURNOVER_DAYS","FQ1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484" s="4" t="e">
        <f ca="1">_xll.BDH($C$478,"CASH_CONVERSION_CYCLE","FQ1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484" s="4" t="e">
        <f ca="1">_xll.BDH($C$478,"INV_TO_CASH_DAYS","FQ1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484" s="5" t="e">
        <f ca="1">_xll.BDH($C$478,"BS_INVENTORIES","FQ1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484" s="3" t="e">
        <f ca="1">_xll.BDH($C$478,"INVTRY_RAW_MATERIALS","FQ1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484" s="3" t="e">
        <f ca="1">_xll.BDH($C$478,"INVTRY_IN_PROGRESS","FQ1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484" s="3" t="e">
        <f ca="1">_xll.BDH($C$478,"INVTRY_FINISHED_GOODS","FQ1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484" s="3" t="e">
        <f ca="1">_xll.BDH($C$478,"BS_OTHER_INV","FQ1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485" spans="1:113" x14ac:dyDescent="0.3">
      <c r="A485" s="6"/>
      <c r="B485" s="6"/>
      <c r="C485" s="6"/>
      <c r="D485" s="6"/>
      <c r="E485" t="s">
        <v>79</v>
      </c>
      <c r="F485" t="e">
        <f ca="1">_xll.BDH($C$478,"RETURN_COM_EQY","FQ2 2015","FQ2 2015","Currency=INR","Period=FQ","BEST_FPERIOD_OVERRIDE=FQ","FILING_STATUS=OR","EQY_CONSOLIDATED=Y","FA_ADJUSTED=GAAP","Sort=A","Dates=H","DateFormat=P","Fill=—","Direction=H","UseDPDF=Y")</f>
        <v>#NAME?</v>
      </c>
      <c r="G485" t="e">
        <f ca="1">_xll.BDH($C$478,"RETURN_ON_ASSET","FQ2 2015","FQ2 2015","Currency=INR","Period=FQ","BEST_FPERIOD_OVERRIDE=FQ","FILING_STATUS=OR","EQY_CONSOLIDATED=Y","FA_ADJUSTED=GAAP","Sort=A","Dates=H","DateFormat=P","Fill=—","Direction=H","UseDPDF=Y")</f>
        <v>#NAME?</v>
      </c>
      <c r="H485" t="e">
        <f ca="1">_xll.BDH($C$478,"RETURN_ON_CAP","FQ2 2015","FQ2 2015","Currency=INR","Period=FQ","BEST_FPERIOD_OVERRIDE=FQ","FILING_STATUS=OR","EQY_CONSOLIDATED=Y","FA_ADJUSTED=GAAP","Sort=A","Dates=H","DateFormat=P","Fill=—","Direction=H","UseDPDF=Y")</f>
        <v>#NAME?</v>
      </c>
      <c r="I485" t="e">
        <f ca="1">_xll.BDH($C$478,"RETURN_ON_INV_CAPITAL","FQ2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485" t="e">
        <f ca="1">_xll.BDH($C$478,"EBITDA_TO_REVENUE","FQ2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485" t="e">
        <f ca="1">_xll.BDH($C$478,"OPER_MARGIN","FQ2 2015","FQ2 2015","Currency=INR","Period=FQ","BEST_FPERIOD_OVERRIDE=FQ","FILING_STATUS=OR","EQY_CONSOLIDATED=Y","FA_ADJUSTED=GAAP","Sort=A","Dates=H","DateFormat=P","Fill=—","Direction=H","UseDPDF=Y")</f>
        <v>#NAME?</v>
      </c>
      <c r="L485" t="e">
        <f ca="1">_xll.BDH($C$478,"INCREMENTAL_OPERATING_MARGIN","FQ2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485" t="e">
        <f ca="1">_xll.BDH($C$478,"PRETAX_INC_TO_NET_SALES","FQ2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485" t="e">
        <f ca="1">_xll.BDH($C$478,"INC_BEF_XO_ITEMS_TO_NET_SALES","FQ2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485" t="e">
        <f ca="1">_xll.BDH($C$478,"PROF_MARGIN","FQ2 2015","FQ2 2015","Currency=INR","Period=FQ","BEST_FPERIOD_OVERRIDE=FQ","FILING_STATUS=OR","EQY_CONSOLIDATED=Y","FA_ADJUSTED=GAAP","Sort=A","Dates=H","DateFormat=P","Fill=—","Direction=H","UseDPDF=Y")</f>
        <v>#NAME?</v>
      </c>
      <c r="P485" t="e">
        <f ca="1">_xll.BDH($C$478,"NET_INCOME_TO_COMMON_MARGIN","FQ2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485" t="e">
        <f ca="1">_xll.BDH($C$478,"EFF_TAX_RATE","FQ2 2015","FQ2 2015","Currency=INR","Period=FQ","BEST_FPERIOD_OVERRIDE=FQ","FILING_STATUS=OR","EQY_CONSOLIDATED=Y","FA_ADJUSTED=GAAP","Sort=A","Dates=H","DateFormat=P","Fill=—","Direction=H","UseDPDF=Y")</f>
        <v>#NAME?</v>
      </c>
      <c r="R485" t="e">
        <f ca="1">_xll.BDH($C$478,"DVD_PAYOUT_RATIO","FQ2 2015","FQ2 2015","Currency=INR","Period=FQ","BEST_FPERIOD_OVERRIDE=FQ","FILING_STATUS=OR","EQY_CONSOLIDATED=Y","FA_ADJUSTED=GAAP","Sort=A","Dates=H","DateFormat=P","Fill=—","Direction=H","UseDPDF=Y")</f>
        <v>#NAME?</v>
      </c>
      <c r="S485" t="e">
        <f ca="1">_xll.BDH($C$478,"SUSTAIN_GROWTH_RT","FQ2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485" s="2" t="e">
        <f ca="1">_xll.BDH($C$478,"SALES_GROWTH","FQ2 2015","FQ2 2015","Currency=INR","Period=FQ","BEST_FPERIOD_OVERRIDE=FQ","FILING_STATUS=OR","EQY_CONSOLIDATED=Y","FA_ADJUSTED=GAAP","Sort=A","Dates=H","DateFormat=P","Fill=—","Direction=H","UseDPDF=Y")</f>
        <v>#NAME?</v>
      </c>
      <c r="U485" s="2" t="e">
        <f ca="1">_xll.BDH($C$478,"EBITDA_GROWTH","FQ2 2015","FQ2 2015","Currency=INR","Period=FQ","BEST_FPERIOD_OVERRIDE=FQ","FILING_STATUS=OR","EQY_CONSOLIDATED=Y","FA_ADJUSTED=GAAP","Sort=A","Dates=H","DateFormat=P","Fill=—","Direction=H","UseDPDF=Y")</f>
        <v>#NAME?</v>
      </c>
      <c r="V485" s="2" t="e">
        <f ca="1">_xll.BDH($C$478,"OPER_INC_GROWTH","FQ2 2015","FQ2 2015","Currency=INR","Period=FQ","BEST_FPERIOD_OVERRIDE=FQ","FILING_STATUS=OR","EQY_CONSOLIDATED=Y","FA_ADJUSTED=GAAP","Sort=A","Dates=H","DateFormat=P","Fill=—","Direction=H","UseDPDF=Y")</f>
        <v>#NAME?</v>
      </c>
      <c r="W485" s="2" t="e">
        <f ca="1">_xll.BDH($C$478,"EARN_FOR_COM_GROWTH","FQ2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485" s="2" t="e">
        <f ca="1">_xll.BDH($C$478,"DILUTED_EPS_AFT_XO_ITEMS_GROWTH","FQ2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485" s="2" t="e">
        <f ca="1">_xll.BDH($C$478,"DIVIDEND_PER_SHARE_1_YEAR_GROWTH","FQ2 2015","FQ2 2015","Currency=INR","Period=FQ","BEST_FPERIOD_OVERRIDE=FQ","FILING_STATUS=OR","EQY_CONSOLIDATED=Y","Sort=A","Dates=H","DateFormat=P","Fill=—","Direction=H","UseDPDF=Y")</f>
        <v>#NAME?</v>
      </c>
      <c r="Z485" s="2" t="e">
        <f ca="1">_xll.BDH($C$478,"ACCOUNTS_RECEIVABLE_GROWTH","FQ2 2015","FQ2 2015","Currency=INR","Period=FQ","BEST_FPERIOD_OVERRIDE=FQ","FILING_STATUS=OR","EQY_CONSOLIDATED=Y","Sort=A","Dates=H","DateFormat=P","Fill=—","Direction=H","UseDPDF=Y")</f>
        <v>#NAME?</v>
      </c>
      <c r="AA485" s="2" t="e">
        <f ca="1">_xll.BDH($C$478,"INVENTORY_GROWTH","FQ2 2015","FQ2 2015","Currency=INR","Period=FQ","BEST_FPERIOD_OVERRIDE=FQ","FILING_STATUS=OR","EQY_CONSOLIDATED=Y","Sort=A","Dates=H","DateFormat=P","Fill=—","Direction=H","UseDPDF=Y")</f>
        <v>#NAME?</v>
      </c>
      <c r="AB485" s="2" t="e">
        <f ca="1">_xll.BDH($C$478,"NET_FIXED_ASSETS_1_YEAR_GROWTH","FQ2 2015","FQ2 2015","Currency=INR","Period=FQ","BEST_FPERIOD_OVERRIDE=FQ","FILING_STATUS=OR","EQY_CONSOLIDATED=Y","Sort=A","Dates=H","DateFormat=P","Fill=—","Direction=H","UseDPDF=Y")</f>
        <v>#NAME?</v>
      </c>
      <c r="AC485" s="2" t="e">
        <f ca="1">_xll.BDH($C$478,"ASSET_GROWTH","FQ2 2015","FQ2 2015","Currency=INR","Period=FQ","BEST_FPERIOD_OVERRIDE=FQ","FILING_STATUS=OR","EQY_CONSOLIDATED=Y","Sort=A","Dates=H","DateFormat=P","Fill=—","Direction=H","UseDPDF=Y")</f>
        <v>#NAME?</v>
      </c>
      <c r="AD485" s="2" t="e">
        <f ca="1">_xll.BDH($C$478,"MODIFIED_WORK_CAP_GROWTH","FQ2 2015","FQ2 2015","Currency=INR","Period=FQ","BEST_FPERIOD_OVERRIDE=FQ","FILING_STATUS=OR","EQY_CONSOLIDATED=Y","Sort=A","Dates=H","DateFormat=P","Fill=—","Direction=H","UseDPDF=Y")</f>
        <v>#NAME?</v>
      </c>
      <c r="AE485" s="2" t="e">
        <f ca="1">_xll.BDH($C$478,"WORK_CAP_GROWTH","FQ2 2015","FQ2 2015","Currency=INR","Period=FQ","BEST_FPERIOD_OVERRIDE=FQ","FILING_STATUS=OR","EQY_CONSOLIDATED=Y","Sort=A","Dates=H","DateFormat=P","Fill=—","Direction=H","UseDPDF=Y")</f>
        <v>#NAME?</v>
      </c>
      <c r="AF485" s="2" t="e">
        <f ca="1">_xll.BDH($C$478,"ACCOUNTS_PAYABLE_GROWTH_1YR","FQ2 2015","FQ2 2015","Currency=INR","Period=FQ","BEST_FPERIOD_OVERRIDE=FQ","FILING_STATUS=OR","EQY_CONSOLIDATED=Y","Sort=A","Dates=H","DateFormat=P","Fill=—","Direction=H","UseDPDF=Y")</f>
        <v>#NAME?</v>
      </c>
      <c r="AG485" s="2" t="e">
        <f ca="1">_xll.BDH($C$478,"SHORT_TERM_DEBT_1_YEAR_GROWTH","FQ2 2015","FQ2 2015","Currency=INR","Period=FQ","BEST_FPERIOD_OVERRIDE=FQ","FILING_STATUS=OR","EQY_CONSOLIDATED=Y","Sort=A","Dates=H","DateFormat=P","Fill=—","Direction=H","UseDPDF=Y")</f>
        <v>#NAME?</v>
      </c>
      <c r="AH485" s="2" t="e">
        <f ca="1">_xll.BDH($C$478,"TOTAL_DEBT_1_YEAR_GROWTH","FQ2 2015","FQ2 2015","Currency=INR","Period=FQ","BEST_FPERIOD_OVERRIDE=FQ","FILING_STATUS=OR","EQY_CONSOLIDATED=Y","Sort=A","Dates=H","DateFormat=P","Fill=—","Direction=H","UseDPDF=Y")</f>
        <v>#NAME?</v>
      </c>
      <c r="AI485" s="2" t="e">
        <f ca="1">_xll.BDH($C$478,"TOTAL_EQUITY_1_YEAR_GROWTH","FQ2 2015","FQ2 2015","Currency=INR","Period=FQ","BEST_FPERIOD_OVERRIDE=FQ","FILING_STATUS=OR","EQY_CONSOLIDATED=Y","Sort=A","Dates=H","DateFormat=P","Fill=—","Direction=H","UseDPDF=Y")</f>
        <v>#NAME?</v>
      </c>
      <c r="AJ485" s="2" t="e">
        <f ca="1">_xll.BDH($C$478,"GROWTH_IN_CAP","FQ2 2015","FQ2 2015","Currency=INR","Period=FQ","BEST_FPERIOD_OVERRIDE=FQ","FILING_STATUS=OR","EQY_CONSOLIDATED=Y","Sort=A","Dates=H","DateFormat=P","Fill=—","Direction=H","UseDPDF=Y")</f>
        <v>#NAME?</v>
      </c>
      <c r="AK485" s="2" t="e">
        <f ca="1">_xll.BDH($C$478,"BVPS_GROWTH","FQ2 2015","FQ2 2015","Currency=INR","Period=FQ","BEST_FPERIOD_OVERRIDE=FQ","FILING_STATUS=OR","EQY_CONSOLIDATED=Y","Sort=A","Dates=H","DateFormat=P","Fill=—","Direction=H","UseDPDF=Y")</f>
        <v>#NAME?</v>
      </c>
      <c r="AL485" s="2" t="e">
        <f ca="1">_xll.BDH($C$478,"CASH_FLOW_GROWTH","FQ2 2015","FQ2 2015","Currency=INR","Period=FQ","BEST_FPERIOD_OVERRIDE=FQ","FILING_STATUS=OR","EQY_CONSOLIDATED=Y","Sort=A","Dates=H","DateFormat=P","Fill=—","Direction=H","UseDPDF=Y")</f>
        <v>#NAME?</v>
      </c>
      <c r="AM485" s="2" t="e">
        <f ca="1">_xll.BDH($C$478,"GEO_GROW_NET_SALES","FQ2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485" s="2" t="e">
        <f ca="1">_xll.BDH($C$478,"GEO_GROW_EBITDA","FQ2 2015","FQ2 2015","Currency=INR","Period=FQ","BEST_FPERIOD_OVERRIDE=FQ","FILING_STATUS=OR","EQY_CONSOLIDATED=Y","FA_ADJUSTED=GAAP","Sort=A","Dates=H","DateFormat=P","Fill=—","Direction=H","UseDPDF=Y")</f>
        <v>#NAME?</v>
      </c>
      <c r="AO485" s="2" t="e">
        <f ca="1">_xll.BDH($C$478,"GEO_GROW_OPER_INC","FQ2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485" s="2" t="e">
        <f ca="1">_xll.BDH($C$478,"NET_INCOME_TO_COMMON_5_YR_GROWTH","FQ2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485" s="2" t="e">
        <f ca="1">_xll.BDH($C$478,"5Y_GEO_GROWTH_DILUTED_EPS","FQ2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485" s="2" t="e">
        <f ca="1">_xll.BDH($C$478,"GEO_GROW_DVD_PER_SH","FQ2 2015","FQ2 2015","Currency=INR","Period=FQ","BEST_FPERIOD_OVERRIDE=FQ","FILING_STATUS=OR","EQY_CONSOLIDATED=Y","Sort=A","Dates=H","DateFormat=P","Fill=—","Direction=H","UseDPDF=Y")</f>
        <v>#NAME?</v>
      </c>
      <c r="AS485" s="2" t="e">
        <f ca="1">_xll.BDH($C$478,"ACCOUNTS_RECEIVABLE_5_YR_GROWTH","FQ2 2015","FQ2 2015","Currency=INR","Period=FQ","BEST_FPERIOD_OVERRIDE=FQ","FILING_STATUS=OR","EQY_CONSOLIDATED=Y","Sort=A","Dates=H","DateFormat=P","Fill=—","Direction=H","UseDPDF=Y")</f>
        <v>#NAME?</v>
      </c>
      <c r="AT485" s="2" t="e">
        <f ca="1">_xll.BDH($C$478,"INVENTORY_5_YEAR_GROWTH","FQ2 2015","FQ2 2015","Currency=INR","Period=FQ","BEST_FPERIOD_OVERRIDE=FQ","FILING_STATUS=OR","EQY_CONSOLIDATED=Y","Sort=A","Dates=H","DateFormat=P","Fill=—","Direction=H","UseDPDF=Y")</f>
        <v>#NAME?</v>
      </c>
      <c r="AU485" s="2" t="e">
        <f ca="1">_xll.BDH($C$478,"NET_FIXED_ASSETS_5_YEAR_GROWTH","FQ2 2015","FQ2 2015","Currency=INR","Period=FQ","BEST_FPERIOD_OVERRIDE=FQ","FILING_STATUS=OR","EQY_CONSOLIDATED=Y","Sort=A","Dates=H","DateFormat=P","Fill=—","Direction=H","UseDPDF=Y")</f>
        <v>#NAME?</v>
      </c>
      <c r="AV485" s="2" t="e">
        <f ca="1">_xll.BDH($C$478,"GEO_GROW_TOT_ASSET","FQ2 2015","FQ2 2015","Currency=INR","Period=FQ","BEST_FPERIOD_OVERRIDE=FQ","FILING_STATUS=OR","EQY_CONSOLIDATED=Y","Sort=A","Dates=H","DateFormat=P","Fill=—","Direction=H","UseDPDF=Y")</f>
        <v>#NAME?</v>
      </c>
      <c r="AW485" s="2" t="e">
        <f ca="1">_xll.BDH($C$478,"MODIFIED_WORKING_CPTL_5YR_GRWTH","FQ2 2015","FQ2 2015","Currency=INR","Period=FQ","BEST_FPERIOD_OVERRIDE=FQ","FILING_STATUS=OR","EQY_CONSOLIDATED=Y","Sort=A","Dates=H","DateFormat=P","Fill=—","Direction=H","UseDPDF=Y")</f>
        <v>#NAME?</v>
      </c>
      <c r="AX485" s="2" t="e">
        <f ca="1">_xll.BDH($C$478,"WORKING_CAPITAL_5_YEAR_GROWTH","FQ2 2015","FQ2 2015","Currency=INR","Period=FQ","BEST_FPERIOD_OVERRIDE=FQ","FILING_STATUS=OR","EQY_CONSOLIDATED=Y","Sort=A","Dates=H","DateFormat=P","Fill=—","Direction=H","UseDPDF=Y")</f>
        <v>#NAME?</v>
      </c>
      <c r="AY485" s="2" t="e">
        <f ca="1">_xll.BDH($C$478,"ACCOUNTS_PAYABLE_5_YEAR_GROWTH","FQ2 2015","FQ2 2015","Currency=INR","Period=FQ","BEST_FPERIOD_OVERRIDE=FQ","FILING_STATUS=OR","EQY_CONSOLIDATED=Y","Sort=A","Dates=H","DateFormat=P","Fill=—","Direction=H","UseDPDF=Y")</f>
        <v>#NAME?</v>
      </c>
      <c r="AZ485" s="2" t="e">
        <f ca="1">_xll.BDH($C$478,"SHORT_TERM_DEBT_5_YEAR_GROWTH","FQ2 2015","FQ2 2015","Currency=INR","Period=FQ","BEST_FPERIOD_OVERRIDE=FQ","FILING_STATUS=OR","EQY_CONSOLIDATED=Y","Sort=A","Dates=H","DateFormat=P","Fill=—","Direction=H","UseDPDF=Y")</f>
        <v>#NAME?</v>
      </c>
      <c r="BA485" s="2" t="e">
        <f ca="1">_xll.BDH($C$478,"TOTAL_DEBT_5_YEAR_GROWTH","FQ2 2015","FQ2 2015","Currency=INR","Period=FQ","BEST_FPERIOD_OVERRIDE=FQ","FILING_STATUS=OR","EQY_CONSOLIDATED=Y","Sort=A","Dates=H","DateFormat=P","Fill=—","Direction=H","UseDPDF=Y")</f>
        <v>#NAME?</v>
      </c>
      <c r="BB485" s="2" t="e">
        <f ca="1">_xll.BDH($C$478,"GEO_GROW_TOT_SHRHLDR_EQY","FQ2 2015","FQ2 2015","Currency=INR","Period=FQ","BEST_FPERIOD_OVERRIDE=FQ","FILING_STATUS=OR","EQY_CONSOLIDATED=Y","Sort=A","Dates=H","DateFormat=P","Fill=—","Direction=H","UseDPDF=Y")</f>
        <v>#NAME?</v>
      </c>
      <c r="BC485" s="2" t="e">
        <f ca="1">_xll.BDH($C$478,"TOTAL_CAPITAL_5_YEAR_GROWTH","FQ2 2015","FQ2 2015","Currency=INR","Period=FQ","BEST_FPERIOD_OVERRIDE=FQ","FILING_STATUS=OR","EQY_CONSOLIDATED=Y","Sort=A","Dates=H","DateFormat=P","Fill=—","Direction=H","UseDPDF=Y")</f>
        <v>#NAME?</v>
      </c>
      <c r="BD485" s="2" t="e">
        <f ca="1">_xll.BDH($C$478,"GEO_GROW_BOOK_VAL","FQ2 2015","FQ2 2015","Currency=INR","Period=FQ","BEST_FPERIOD_OVERRIDE=FQ","FILING_STATUS=OR","EQY_CONSOLIDATED=Y","Sort=A","Dates=H","DateFormat=P","Fill=—","Direction=H","UseDPDF=Y")</f>
        <v>#NAME?</v>
      </c>
      <c r="BE485" s="2" t="e">
        <f ca="1">_xll.BDH($C$478,"GEO_GROW_CASH_OPER_ACT","FQ2 2015","FQ2 2015","Currency=INR","Period=FQ","BEST_FPERIOD_OVERRIDE=FQ","FILING_STATUS=OR","EQY_CONSOLIDATED=Y","Sort=A","Dates=H","DateFormat=P","Fill=—","Direction=H","UseDPDF=Y")</f>
        <v>#NAME?</v>
      </c>
      <c r="BF485" s="2" t="e">
        <f ca="1">_xll.BDH($C$478,"REVENUE_SEQUENTIAL_GROWTH","FQ2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485" s="2" t="e">
        <f ca="1">_xll.BDH($C$478,"EBITDA_SEQUENTIAL_GROWTH","FQ2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485" s="2" t="e">
        <f ca="1">_xll.BDH($C$478,"OPERATING_INCOME_SEQ_GROWTH","FQ2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485" s="2" t="e">
        <f ca="1">_xll.BDH($C$478,"NET_INCOME_TO_COMMON_SEQ_GROWTH","FQ2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485" s="2" t="e">
        <f ca="1">_xll.BDH($C$478,"EPS_DILUTED_SEQUENTIAL_GROWTH","FQ2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485" s="2" t="e">
        <f ca="1">_xll.BDH($C$478,"DPS_SEQUENTIAL_GROWTH","FQ2 2015","FQ2 2015","Currency=INR","Period=FQ","BEST_FPERIOD_OVERRIDE=FQ","FILING_STATUS=OR","EQY_CONSOLIDATED=Y","Sort=A","Dates=H","DateFormat=P","Fill=—","Direction=H","UseDPDF=Y")</f>
        <v>#NAME?</v>
      </c>
      <c r="BL485" s="2" t="e">
        <f ca="1">_xll.BDH($C$478,"ACCOUNTS_RECEIVABLE_SEQ_GROWTH","FQ2 2015","FQ2 2015","Currency=INR","Period=FQ","BEST_FPERIOD_OVERRIDE=FQ","FILING_STATUS=OR","EQY_CONSOLIDATED=Y","Sort=A","Dates=H","DateFormat=P","Fill=—","Direction=H","UseDPDF=Y")</f>
        <v>#NAME?</v>
      </c>
      <c r="BM485" s="2" t="e">
        <f ca="1">_xll.BDH($C$478,"INVENTORY_SEQUENTIAL_GROWTH","FQ2 2015","FQ2 2015","Currency=INR","Period=FQ","BEST_FPERIOD_OVERRIDE=FQ","FILING_STATUS=OR","EQY_CONSOLIDATED=Y","Sort=A","Dates=H","DateFormat=P","Fill=—","Direction=H","UseDPDF=Y")</f>
        <v>#NAME?</v>
      </c>
      <c r="BN485" s="2" t="e">
        <f ca="1">_xll.BDH($C$478,"FIXED_ASSETS_SEQUENTIAL_GROWTH","FQ2 2015","FQ2 2015","Currency=INR","Period=FQ","BEST_FPERIOD_OVERRIDE=FQ","FILING_STATUS=OR","EQY_CONSOLIDATED=Y","Sort=A","Dates=H","DateFormat=P","Fill=—","Direction=H","UseDPDF=Y")</f>
        <v>#NAME?</v>
      </c>
      <c r="BO485" s="2" t="e">
        <f ca="1">_xll.BDH($C$478,"TOTAL_ASSETS_SEQUENTIAL_GROWTH","FQ2 2015","FQ2 2015","Currency=INR","Period=FQ","BEST_FPERIOD_OVERRIDE=FQ","FILING_STATUS=OR","EQY_CONSOLIDATED=Y","Sort=A","Dates=H","DateFormat=P","Fill=—","Direction=H","UseDPDF=Y")</f>
        <v>#NAME?</v>
      </c>
      <c r="BP485" s="2" t="e">
        <f ca="1">_xll.BDH($C$478,"MODIFIED_WORKING_CPTL_SEQ_GRWTH","FQ2 2015","FQ2 2015","Currency=INR","Period=FQ","BEST_FPERIOD_OVERRIDE=FQ","FILING_STATUS=OR","EQY_CONSOLIDATED=Y","Sort=A","Dates=H","DateFormat=P","Fill=—","Direction=H","UseDPDF=Y")</f>
        <v>#NAME?</v>
      </c>
      <c r="BQ485" s="2" t="e">
        <f ca="1">_xll.BDH($C$478,"WORKING_CAPITAL_SEQ_GROWTH","FQ2 2015","FQ2 2015","Currency=INR","Period=FQ","BEST_FPERIOD_OVERRIDE=FQ","FILING_STATUS=OR","EQY_CONSOLIDATED=Y","Sort=A","Dates=H","DateFormat=P","Fill=—","Direction=H","UseDPDF=Y")</f>
        <v>#NAME?</v>
      </c>
      <c r="BR485" s="2" t="e">
        <f ca="1">_xll.BDH($C$478,"ACCOUNTS_PAYABLE_SEQ_GROWTH","FQ2 2015","FQ2 2015","Currency=INR","Period=FQ","BEST_FPERIOD_OVERRIDE=FQ","FILING_STATUS=OR","EQY_CONSOLIDATED=Y","Sort=A","Dates=H","DateFormat=P","Fill=—","Direction=H","UseDPDF=Y")</f>
        <v>#NAME?</v>
      </c>
      <c r="BS485" s="2" t="e">
        <f ca="1">_xll.BDH($C$478,"ST_DEBT_SEQUENTIAL_GROWTH","FQ2 2015","FQ2 2015","Currency=INR","Period=FQ","BEST_FPERIOD_OVERRIDE=FQ","FILING_STATUS=OR","EQY_CONSOLIDATED=Y","Sort=A","Dates=H","DateFormat=P","Fill=—","Direction=H","UseDPDF=Y")</f>
        <v>#NAME?</v>
      </c>
      <c r="BT485" s="2" t="e">
        <f ca="1">_xll.BDH($C$478,"TOTAL_DEBT_SEQUENTIAL_GROWTH","FQ2 2015","FQ2 2015","Currency=INR","Period=FQ","BEST_FPERIOD_OVERRIDE=FQ","FILING_STATUS=OR","EQY_CONSOLIDATED=Y","Sort=A","Dates=H","DateFormat=P","Fill=—","Direction=H","UseDPDF=Y")</f>
        <v>#NAME?</v>
      </c>
      <c r="BU485" s="2" t="e">
        <f ca="1">_xll.BDH($C$478,"TOTAL_EQUITY_SEQUENTIAL_GROWTH","FQ2 2015","FQ2 2015","Currency=INR","Period=FQ","BEST_FPERIOD_OVERRIDE=FQ","FILING_STATUS=OR","EQY_CONSOLIDATED=Y","Sort=A","Dates=H","DateFormat=P","Fill=—","Direction=H","UseDPDF=Y")</f>
        <v>#NAME?</v>
      </c>
      <c r="BV485" s="2" t="e">
        <f ca="1">_xll.BDH($C$478,"TOTAL_CAPITAL_SEQUENTIAL_GROWTH","FQ2 2015","FQ2 2015","Currency=INR","Period=FQ","BEST_FPERIOD_OVERRIDE=FQ","FILING_STATUS=OR","EQY_CONSOLIDATED=Y","Sort=A","Dates=H","DateFormat=P","Fill=—","Direction=H","UseDPDF=Y")</f>
        <v>#NAME?</v>
      </c>
      <c r="BW485" s="2" t="e">
        <f ca="1">_xll.BDH($C$478,"BPS_SEQUENTIAL_GROWTH","FQ2 2015","FQ2 2015","Currency=INR","Period=FQ","BEST_FPERIOD_OVERRIDE=FQ","FILING_STATUS=OR","EQY_CONSOLIDATED=Y","Sort=A","Dates=H","DateFormat=P","Fill=—","Direction=H","UseDPDF=Y")</f>
        <v>#NAME?</v>
      </c>
      <c r="BX485" s="2" t="e">
        <f ca="1">_xll.BDH($C$478,"CFO_SEQUENTIAL_GROWTH","FQ2 2015","FQ2 2015","Currency=INR","Period=FQ","BEST_FPERIOD_OVERRIDE=FQ","FILING_STATUS=OR","EQY_CONSOLIDATED=Y","Sort=A","Dates=H","DateFormat=P","Fill=—","Direction=H","UseDPDF=Y")</f>
        <v>#NAME?</v>
      </c>
      <c r="BY485" s="3" t="e">
        <f ca="1">_xll.BDH($C$478,"SHORT_AND_LONG_TERM_DEBT","FQ2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485" s="3" t="e">
        <f ca="1">_xll.BDH($C$478,"BS_ST_BORROW","FQ2 2015","FQ2 2015","Currency=INR","Period=FQ","BEST_FPERIOD_OVERRIDE=FQ","FILING_STATUS=OR","EQY_CONSOLIDATED=Y","SCALING_FORMAT=MLN","Sort=A","Dates=H","DateFormat=P","Fill=—","Direction=H","UseDPDF=Y")</f>
        <v>#NAME?</v>
      </c>
      <c r="CA485" s="3" t="e">
        <f ca="1">_xll.BDH($C$478,"BS_LT_BORROW","FQ2 2015","FQ2 2015","Currency=INR","Period=FQ","BEST_FPERIOD_OVERRIDE=FQ","FILING_STATUS=OR","EQY_CONSOLIDATED=Y","SCALING_FORMAT=MLN","Sort=A","Dates=H","DateFormat=P","Fill=—","Direction=H","UseDPDF=Y")</f>
        <v>#NAME?</v>
      </c>
      <c r="CB485" s="2" t="e">
        <f ca="1">_xll.BDH($C$478,"TOT_DEBT_TO_EBITDA","FQ2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485" s="2" t="e">
        <f ca="1">_xll.BDH($C$478,"NET_DEBT_TO_EBITDA","FQ2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485" s="2" t="e">
        <f ca="1">_xll.BDH($C$478,"TOTAL_DEBT_TO_EBIT","FQ2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485" s="2" t="e">
        <f ca="1">_xll.BDH($C$478,"NET_DEBT_TO_EBIT","FQ2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485" s="2" t="e">
        <f ca="1">_xll.BDH($C$478,"EBITDA_TO_INTEREST_EXPN","FQ2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485" s="2" t="e">
        <f ca="1">_xll.BDH($C$478,"COM_EQY_TO_TOT_ASSET","FQ2 2015","FQ2 2015","Currency=INR","Period=FQ","BEST_FPERIOD_OVERRIDE=FQ","FILING_STATUS=OR","EQY_CONSOLIDATED=Y","Sort=A","Dates=H","DateFormat=P","Fill=—","Direction=H","UseDPDF=Y")</f>
        <v>#NAME?</v>
      </c>
      <c r="CH485" s="2" t="e">
        <f ca="1">_xll.BDH($C$478,"LT_DEBT_TO_TOT_EQY","FQ2 2015","FQ2 2015","Currency=INR","Period=FQ","BEST_FPERIOD_OVERRIDE=FQ","FILING_STATUS=OR","EQY_CONSOLIDATED=Y","Sort=A","Dates=H","DateFormat=P","Fill=—","Direction=H","UseDPDF=Y")</f>
        <v>#NAME?</v>
      </c>
      <c r="CI485" s="2" t="e">
        <f ca="1">_xll.BDH($C$478,"LT_DEBT_TO_TOT_CAP","FQ2 2015","FQ2 2015","Currency=INR","Period=FQ","BEST_FPERIOD_OVERRIDE=FQ","FILING_STATUS=OR","EQY_CONSOLIDATED=Y","Sort=A","Dates=H","DateFormat=P","Fill=—","Direction=H","UseDPDF=Y")</f>
        <v>#NAME?</v>
      </c>
      <c r="CJ485" s="2" t="e">
        <f ca="1">_xll.BDH($C$478,"LT_DEBT_TO_TOT_ASSET","FQ2 2015","FQ2 2015","Currency=INR","Period=FQ","BEST_FPERIOD_OVERRIDE=FQ","FILING_STATUS=OR","EQY_CONSOLIDATED=Y","Sort=A","Dates=H","DateFormat=P","Fill=—","Direction=H","UseDPDF=Y")</f>
        <v>#NAME?</v>
      </c>
      <c r="CK485" s="2" t="e">
        <f ca="1">_xll.BDH($C$478,"TOT_DEBT_TO_TOT_EQY","FQ2 2015","FQ2 2015","Currency=INR","Period=FQ","BEST_FPERIOD_OVERRIDE=FQ","FILING_STATUS=OR","EQY_CONSOLIDATED=Y","Sort=A","Dates=H","DateFormat=P","Fill=—","Direction=H","UseDPDF=Y")</f>
        <v>#NAME?</v>
      </c>
      <c r="CL485" s="2" t="e">
        <f ca="1">_xll.BDH($C$478,"TOT_DEBT_TO_TOT_CAP","FQ2 2015","FQ2 2015","Currency=INR","Period=FQ","BEST_FPERIOD_OVERRIDE=FQ","FILING_STATUS=OR","EQY_CONSOLIDATED=Y","Sort=A","Dates=H","DateFormat=P","Fill=—","Direction=H","UseDPDF=Y")</f>
        <v>#NAME?</v>
      </c>
      <c r="CM485" s="2" t="e">
        <f ca="1">_xll.BDH($C$478,"TOT_DEBT_TO_TOT_ASSET","FQ2 2015","FQ2 2015","Currency=INR","Period=FQ","BEST_FPERIOD_OVERRIDE=FQ","FILING_STATUS=OR","EQY_CONSOLIDATED=Y","Sort=A","Dates=H","DateFormat=P","Fill=—","Direction=H","UseDPDF=Y")</f>
        <v>#NAME?</v>
      </c>
      <c r="CN485" s="2" t="e">
        <f ca="1">_xll.BDH($C$478,"NET_DEBT_TO_SHRHLDR_EQTY","FQ2 2015","FQ2 2015","Currency=INR","Period=FQ","BEST_FPERIOD_OVERRIDE=FQ","FILING_STATUS=OR","EQY_CONSOLIDATED=Y","Sort=A","Dates=H","DateFormat=P","Fill=—","Direction=H","UseDPDF=Y")</f>
        <v>#NAME?</v>
      </c>
      <c r="CO485" s="2" t="e">
        <f ca="1">_xll.BDH($C$478,"NET_DEBT_%_CAPITAL","FQ2 2015","FQ2 2015","Currency=INR","Period=FQ","BEST_FPERIOD_OVERRIDE=FQ","FILING_STATUS=OR","EQY_CONSOLIDATED=Y","Sort=A","Dates=H","DateFormat=P","Fill=—","Direction=H","UseDPDF=Y")</f>
        <v>#NAME?</v>
      </c>
      <c r="CP485" s="3" t="e">
        <f ca="1">_xll.BDH($C$478,"EBITDA","FQ2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485" s="3" t="e">
        <f ca="1">_xll.BDH($C$478,"EBITDA_AFTER_CAPEX","FQ2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485" s="3" t="e">
        <f ca="1">_xll.BDH($C$478,"IS_OPER_INC","FQ2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485" s="2" t="e">
        <f ca="1">_xll.BDH($C$478,"CASH_RATIO","FQ2 2015","FQ2 2015","Currency=INR","Period=FQ","BEST_FPERIOD_OVERRIDE=FQ","FILING_STATUS=OR","EQY_CONSOLIDATED=Y","Sort=A","Dates=H","DateFormat=P","Fill=—","Direction=H","UseDPDF=Y")</f>
        <v>#NAME?</v>
      </c>
      <c r="CT485" s="2" t="e">
        <f ca="1">_xll.BDH($C$478,"CUR_RATIO","FQ2 2015","FQ2 2015","Currency=INR","Period=FQ","BEST_FPERIOD_OVERRIDE=FQ","FILING_STATUS=OR","EQY_CONSOLIDATED=Y","Sort=A","Dates=H","DateFormat=P","Fill=—","Direction=H","UseDPDF=Y")</f>
        <v>#NAME?</v>
      </c>
      <c r="CU485" s="2" t="e">
        <f ca="1">_xll.BDH($C$478,"QUICK_RATIO","FQ2 2015","FQ2 2015","Currency=INR","Period=FQ","BEST_FPERIOD_OVERRIDE=FQ","FILING_STATUS=OR","EQY_CONSOLIDATED=Y","Sort=A","Dates=H","DateFormat=P","Fill=—","Direction=H","UseDPDF=Y")</f>
        <v>#NAME?</v>
      </c>
      <c r="CV485" s="2" t="e">
        <f ca="1">_xll.BDH($C$478,"ALTMAN_Z_SCORE","FQ2 2015","FQ2 2015","Currency=INR","Period=FQ","BEST_FPERIOD_OVERRIDE=FQ","FILING_STATUS=OR","EQY_CONSOLIDATED=Y","Sort=A","Dates=H","DateFormat=P","Fill=—","Direction=H","UseDPDF=Y")</f>
        <v>#NAME?</v>
      </c>
      <c r="CW485" s="4" t="e">
        <f ca="1">_xll.BDH($C$478,"ACCT_RCV_TURN","FQ2 2015","FQ2 2015","Currency=INR","Period=FQ","BEST_FPERIOD_OVERRIDE=FQ","FILING_STATUS=OR","EQY_CONSOLIDATED=Y","FA_ADJUSTED=GAAP","Sort=A","Dates=H","DateFormat=P","Fill=—","Direction=H","UseDPDF=Y")</f>
        <v>#NAME?</v>
      </c>
      <c r="CX485" s="2" t="e">
        <f ca="1">_xll.BDH($C$478,"ACCT_RCV_DAYS","FQ2 2015","FQ2 2015","Currency=INR","Period=FQ","BEST_FPERIOD_OVERRIDE=FQ","FILING_STATUS=OR","EQY_CONSOLIDATED=Y","FA_ADJUSTED=GAAP","Sort=A","Dates=H","DateFormat=P","Fill=—","Direction=H","UseDPDF=Y")</f>
        <v>#NAME?</v>
      </c>
      <c r="CY485" s="4" t="e">
        <f ca="1">_xll.BDH($C$478,"INVENT_TURN","FQ2 2015","FQ2 2015","Currency=INR","Period=FQ","BEST_FPERIOD_OVERRIDE=FQ","FILING_STATUS=OR","EQY_CONSOLIDATED=Y","FA_ADJUSTED=GAAP","Sort=A","Dates=H","DateFormat=P","Fill=—","Direction=H","UseDPDF=Y")</f>
        <v>#NAME?</v>
      </c>
      <c r="CZ485" s="2" t="e">
        <f ca="1">_xll.BDH($C$478,"INVENT_DAYS","FQ2 2015","FQ2 2015","Currency=INR","Period=FQ","BEST_FPERIOD_OVERRIDE=FQ","FILING_STATUS=OR","EQY_CONSOLIDATED=Y","FA_ADJUSTED=GAAP","Sort=A","Dates=H","DateFormat=P","Fill=—","Direction=H","UseDPDF=Y")</f>
        <v>#NAME?</v>
      </c>
      <c r="DA485" s="4" t="e">
        <f ca="1">_xll.BDH($C$478,"ACCOUNTS_PAYABLE_TURNOVER","FQ2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485" s="2" t="e">
        <f ca="1">_xll.BDH($C$478,"ACCOUNTS_PAYABLE_TURNOVER_DAYS","FQ2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485" s="4" t="e">
        <f ca="1">_xll.BDH($C$478,"CASH_CONVERSION_CYCLE","FQ2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485" s="4" t="e">
        <f ca="1">_xll.BDH($C$478,"INV_TO_CASH_DAYS","FQ2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485" s="5" t="e">
        <f ca="1">_xll.BDH($C$478,"BS_INVENTORIES","FQ2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485" s="3" t="e">
        <f ca="1">_xll.BDH($C$478,"INVTRY_RAW_MATERIALS","FQ2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485" s="3" t="e">
        <f ca="1">_xll.BDH($C$478,"INVTRY_IN_PROGRESS","FQ2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485" s="3" t="e">
        <f ca="1">_xll.BDH($C$478,"INVTRY_FINISHED_GOODS","FQ2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485" s="3" t="e">
        <f ca="1">_xll.BDH($C$478,"BS_OTHER_INV","FQ2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486" spans="1:113" x14ac:dyDescent="0.3">
      <c r="A486" s="6"/>
      <c r="B486" s="6"/>
      <c r="C486" s="6"/>
      <c r="D486" s="6"/>
      <c r="E486" t="s">
        <v>80</v>
      </c>
      <c r="F486" t="e">
        <f ca="1">_xll.BDH($C$478,"RETURN_COM_EQY","FQ3 2015","FQ3 2015","Currency=INR","Period=FQ","BEST_FPERIOD_OVERRIDE=FQ","FILING_STATUS=OR","EQY_CONSOLIDATED=Y","FA_ADJUSTED=GAAP","Sort=A","Dates=H","DateFormat=P","Fill=—","Direction=H","UseDPDF=Y")</f>
        <v>#NAME?</v>
      </c>
      <c r="G486" t="e">
        <f ca="1">_xll.BDH($C$478,"RETURN_ON_ASSET","FQ3 2015","FQ3 2015","Currency=INR","Period=FQ","BEST_FPERIOD_OVERRIDE=FQ","FILING_STATUS=OR","EQY_CONSOLIDATED=Y","FA_ADJUSTED=GAAP","Sort=A","Dates=H","DateFormat=P","Fill=—","Direction=H","UseDPDF=Y")</f>
        <v>#NAME?</v>
      </c>
      <c r="H486" t="e">
        <f ca="1">_xll.BDH($C$478,"RETURN_ON_CAP","FQ3 2015","FQ3 2015","Currency=INR","Period=FQ","BEST_FPERIOD_OVERRIDE=FQ","FILING_STATUS=OR","EQY_CONSOLIDATED=Y","FA_ADJUSTED=GAAP","Sort=A","Dates=H","DateFormat=P","Fill=—","Direction=H","UseDPDF=Y")</f>
        <v>#NAME?</v>
      </c>
      <c r="I486" t="e">
        <f ca="1">_xll.BDH($C$478,"RETURN_ON_INV_CAPITAL","FQ3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486" t="e">
        <f ca="1">_xll.BDH($C$478,"EBITDA_TO_REVENUE","FQ3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486" t="e">
        <f ca="1">_xll.BDH($C$478,"OPER_MARGIN","FQ3 2015","FQ3 2015","Currency=INR","Period=FQ","BEST_FPERIOD_OVERRIDE=FQ","FILING_STATUS=OR","EQY_CONSOLIDATED=Y","FA_ADJUSTED=GAAP","Sort=A","Dates=H","DateFormat=P","Fill=—","Direction=H","UseDPDF=Y")</f>
        <v>#NAME?</v>
      </c>
      <c r="L486" t="e">
        <f ca="1">_xll.BDH($C$478,"INCREMENTAL_OPERATING_MARGIN","FQ3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486" t="e">
        <f ca="1">_xll.BDH($C$478,"PRETAX_INC_TO_NET_SALES","FQ3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486" t="e">
        <f ca="1">_xll.BDH($C$478,"INC_BEF_XO_ITEMS_TO_NET_SALES","FQ3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486" t="e">
        <f ca="1">_xll.BDH($C$478,"PROF_MARGIN","FQ3 2015","FQ3 2015","Currency=INR","Period=FQ","BEST_FPERIOD_OVERRIDE=FQ","FILING_STATUS=OR","EQY_CONSOLIDATED=Y","FA_ADJUSTED=GAAP","Sort=A","Dates=H","DateFormat=P","Fill=—","Direction=H","UseDPDF=Y")</f>
        <v>#NAME?</v>
      </c>
      <c r="P486" t="e">
        <f ca="1">_xll.BDH($C$478,"NET_INCOME_TO_COMMON_MARGIN","FQ3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486" t="e">
        <f ca="1">_xll.BDH($C$478,"EFF_TAX_RATE","FQ3 2015","FQ3 2015","Currency=INR","Period=FQ","BEST_FPERIOD_OVERRIDE=FQ","FILING_STATUS=OR","EQY_CONSOLIDATED=Y","FA_ADJUSTED=GAAP","Sort=A","Dates=H","DateFormat=P","Fill=—","Direction=H","UseDPDF=Y")</f>
        <v>#NAME?</v>
      </c>
      <c r="R486" t="e">
        <f ca="1">_xll.BDH($C$478,"DVD_PAYOUT_RATIO","FQ3 2015","FQ3 2015","Currency=INR","Period=FQ","BEST_FPERIOD_OVERRIDE=FQ","FILING_STATUS=OR","EQY_CONSOLIDATED=Y","FA_ADJUSTED=GAAP","Sort=A","Dates=H","DateFormat=P","Fill=—","Direction=H","UseDPDF=Y")</f>
        <v>#NAME?</v>
      </c>
      <c r="S486" t="e">
        <f ca="1">_xll.BDH($C$478,"SUSTAIN_GROWTH_RT","FQ3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486" s="2" t="e">
        <f ca="1">_xll.BDH($C$478,"SALES_GROWTH","FQ3 2015","FQ3 2015","Currency=INR","Period=FQ","BEST_FPERIOD_OVERRIDE=FQ","FILING_STATUS=OR","EQY_CONSOLIDATED=Y","FA_ADJUSTED=GAAP","Sort=A","Dates=H","DateFormat=P","Fill=—","Direction=H","UseDPDF=Y")</f>
        <v>#NAME?</v>
      </c>
      <c r="U486" s="2" t="e">
        <f ca="1">_xll.BDH($C$478,"EBITDA_GROWTH","FQ3 2015","FQ3 2015","Currency=INR","Period=FQ","BEST_FPERIOD_OVERRIDE=FQ","FILING_STATUS=OR","EQY_CONSOLIDATED=Y","FA_ADJUSTED=GAAP","Sort=A","Dates=H","DateFormat=P","Fill=—","Direction=H","UseDPDF=Y")</f>
        <v>#NAME?</v>
      </c>
      <c r="V486" s="2" t="e">
        <f ca="1">_xll.BDH($C$478,"OPER_INC_GROWTH","FQ3 2015","FQ3 2015","Currency=INR","Period=FQ","BEST_FPERIOD_OVERRIDE=FQ","FILING_STATUS=OR","EQY_CONSOLIDATED=Y","FA_ADJUSTED=GAAP","Sort=A","Dates=H","DateFormat=P","Fill=—","Direction=H","UseDPDF=Y")</f>
        <v>#NAME?</v>
      </c>
      <c r="W486" s="2" t="e">
        <f ca="1">_xll.BDH($C$478,"EARN_FOR_COM_GROWTH","FQ3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486" s="2" t="e">
        <f ca="1">_xll.BDH($C$478,"DILUTED_EPS_AFT_XO_ITEMS_GROWTH","FQ3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486" s="2" t="e">
        <f ca="1">_xll.BDH($C$478,"DIVIDEND_PER_SHARE_1_YEAR_GROWTH","FQ3 2015","FQ3 2015","Currency=INR","Period=FQ","BEST_FPERIOD_OVERRIDE=FQ","FILING_STATUS=OR","EQY_CONSOLIDATED=Y","Sort=A","Dates=H","DateFormat=P","Fill=—","Direction=H","UseDPDF=Y")</f>
        <v>#NAME?</v>
      </c>
      <c r="Z486" s="2" t="e">
        <f ca="1">_xll.BDH($C$478,"ACCOUNTS_RECEIVABLE_GROWTH","FQ3 2015","FQ3 2015","Currency=INR","Period=FQ","BEST_FPERIOD_OVERRIDE=FQ","FILING_STATUS=OR","EQY_CONSOLIDATED=Y","Sort=A","Dates=H","DateFormat=P","Fill=—","Direction=H","UseDPDF=Y")</f>
        <v>#NAME?</v>
      </c>
      <c r="AA486" s="2" t="e">
        <f ca="1">_xll.BDH($C$478,"INVENTORY_GROWTH","FQ3 2015","FQ3 2015","Currency=INR","Period=FQ","BEST_FPERIOD_OVERRIDE=FQ","FILING_STATUS=OR","EQY_CONSOLIDATED=Y","Sort=A","Dates=H","DateFormat=P","Fill=—","Direction=H","UseDPDF=Y")</f>
        <v>#NAME?</v>
      </c>
      <c r="AB486" s="2" t="e">
        <f ca="1">_xll.BDH($C$478,"NET_FIXED_ASSETS_1_YEAR_GROWTH","FQ3 2015","FQ3 2015","Currency=INR","Period=FQ","BEST_FPERIOD_OVERRIDE=FQ","FILING_STATUS=OR","EQY_CONSOLIDATED=Y","Sort=A","Dates=H","DateFormat=P","Fill=—","Direction=H","UseDPDF=Y")</f>
        <v>#NAME?</v>
      </c>
      <c r="AC486" s="2" t="e">
        <f ca="1">_xll.BDH($C$478,"ASSET_GROWTH","FQ3 2015","FQ3 2015","Currency=INR","Period=FQ","BEST_FPERIOD_OVERRIDE=FQ","FILING_STATUS=OR","EQY_CONSOLIDATED=Y","Sort=A","Dates=H","DateFormat=P","Fill=—","Direction=H","UseDPDF=Y")</f>
        <v>#NAME?</v>
      </c>
      <c r="AD486" s="2" t="e">
        <f ca="1">_xll.BDH($C$478,"MODIFIED_WORK_CAP_GROWTH","FQ3 2015","FQ3 2015","Currency=INR","Period=FQ","BEST_FPERIOD_OVERRIDE=FQ","FILING_STATUS=OR","EQY_CONSOLIDATED=Y","Sort=A","Dates=H","DateFormat=P","Fill=—","Direction=H","UseDPDF=Y")</f>
        <v>#NAME?</v>
      </c>
      <c r="AE486" s="2" t="e">
        <f ca="1">_xll.BDH($C$478,"WORK_CAP_GROWTH","FQ3 2015","FQ3 2015","Currency=INR","Period=FQ","BEST_FPERIOD_OVERRIDE=FQ","FILING_STATUS=OR","EQY_CONSOLIDATED=Y","Sort=A","Dates=H","DateFormat=P","Fill=—","Direction=H","UseDPDF=Y")</f>
        <v>#NAME?</v>
      </c>
      <c r="AF486" s="2" t="e">
        <f ca="1">_xll.BDH($C$478,"ACCOUNTS_PAYABLE_GROWTH_1YR","FQ3 2015","FQ3 2015","Currency=INR","Period=FQ","BEST_FPERIOD_OVERRIDE=FQ","FILING_STATUS=OR","EQY_CONSOLIDATED=Y","Sort=A","Dates=H","DateFormat=P","Fill=—","Direction=H","UseDPDF=Y")</f>
        <v>#NAME?</v>
      </c>
      <c r="AG486" s="2" t="e">
        <f ca="1">_xll.BDH($C$478,"SHORT_TERM_DEBT_1_YEAR_GROWTH","FQ3 2015","FQ3 2015","Currency=INR","Period=FQ","BEST_FPERIOD_OVERRIDE=FQ","FILING_STATUS=OR","EQY_CONSOLIDATED=Y","Sort=A","Dates=H","DateFormat=P","Fill=—","Direction=H","UseDPDF=Y")</f>
        <v>#NAME?</v>
      </c>
      <c r="AH486" s="2" t="e">
        <f ca="1">_xll.BDH($C$478,"TOTAL_DEBT_1_YEAR_GROWTH","FQ3 2015","FQ3 2015","Currency=INR","Period=FQ","BEST_FPERIOD_OVERRIDE=FQ","FILING_STATUS=OR","EQY_CONSOLIDATED=Y","Sort=A","Dates=H","DateFormat=P","Fill=—","Direction=H","UseDPDF=Y")</f>
        <v>#NAME?</v>
      </c>
      <c r="AI486" s="2" t="e">
        <f ca="1">_xll.BDH($C$478,"TOTAL_EQUITY_1_YEAR_GROWTH","FQ3 2015","FQ3 2015","Currency=INR","Period=FQ","BEST_FPERIOD_OVERRIDE=FQ","FILING_STATUS=OR","EQY_CONSOLIDATED=Y","Sort=A","Dates=H","DateFormat=P","Fill=—","Direction=H","UseDPDF=Y")</f>
        <v>#NAME?</v>
      </c>
      <c r="AJ486" s="2" t="e">
        <f ca="1">_xll.BDH($C$478,"GROWTH_IN_CAP","FQ3 2015","FQ3 2015","Currency=INR","Period=FQ","BEST_FPERIOD_OVERRIDE=FQ","FILING_STATUS=OR","EQY_CONSOLIDATED=Y","Sort=A","Dates=H","DateFormat=P","Fill=—","Direction=H","UseDPDF=Y")</f>
        <v>#NAME?</v>
      </c>
      <c r="AK486" s="2" t="e">
        <f ca="1">_xll.BDH($C$478,"BVPS_GROWTH","FQ3 2015","FQ3 2015","Currency=INR","Period=FQ","BEST_FPERIOD_OVERRIDE=FQ","FILING_STATUS=OR","EQY_CONSOLIDATED=Y","Sort=A","Dates=H","DateFormat=P","Fill=—","Direction=H","UseDPDF=Y")</f>
        <v>#NAME?</v>
      </c>
      <c r="AL486" s="2" t="e">
        <f ca="1">_xll.BDH($C$478,"CASH_FLOW_GROWTH","FQ3 2015","FQ3 2015","Currency=INR","Period=FQ","BEST_FPERIOD_OVERRIDE=FQ","FILING_STATUS=OR","EQY_CONSOLIDATED=Y","Sort=A","Dates=H","DateFormat=P","Fill=—","Direction=H","UseDPDF=Y")</f>
        <v>#NAME?</v>
      </c>
      <c r="AM486" s="2" t="e">
        <f ca="1">_xll.BDH($C$478,"GEO_GROW_NET_SALES","FQ3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486" s="2" t="e">
        <f ca="1">_xll.BDH($C$478,"GEO_GROW_EBITDA","FQ3 2015","FQ3 2015","Currency=INR","Period=FQ","BEST_FPERIOD_OVERRIDE=FQ","FILING_STATUS=OR","EQY_CONSOLIDATED=Y","FA_ADJUSTED=GAAP","Sort=A","Dates=H","DateFormat=P","Fill=—","Direction=H","UseDPDF=Y")</f>
        <v>#NAME?</v>
      </c>
      <c r="AO486" s="2" t="e">
        <f ca="1">_xll.BDH($C$478,"GEO_GROW_OPER_INC","FQ3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486" s="2" t="e">
        <f ca="1">_xll.BDH($C$478,"NET_INCOME_TO_COMMON_5_YR_GROWTH","FQ3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486" s="2" t="e">
        <f ca="1">_xll.BDH($C$478,"5Y_GEO_GROWTH_DILUTED_EPS","FQ3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486" s="2" t="e">
        <f ca="1">_xll.BDH($C$478,"GEO_GROW_DVD_PER_SH","FQ3 2015","FQ3 2015","Currency=INR","Period=FQ","BEST_FPERIOD_OVERRIDE=FQ","FILING_STATUS=OR","EQY_CONSOLIDATED=Y","Sort=A","Dates=H","DateFormat=P","Fill=—","Direction=H","UseDPDF=Y")</f>
        <v>#NAME?</v>
      </c>
      <c r="AS486" s="2" t="e">
        <f ca="1">_xll.BDH($C$478,"ACCOUNTS_RECEIVABLE_5_YR_GROWTH","FQ3 2015","FQ3 2015","Currency=INR","Period=FQ","BEST_FPERIOD_OVERRIDE=FQ","FILING_STATUS=OR","EQY_CONSOLIDATED=Y","Sort=A","Dates=H","DateFormat=P","Fill=—","Direction=H","UseDPDF=Y")</f>
        <v>#NAME?</v>
      </c>
      <c r="AT486" s="2" t="e">
        <f ca="1">_xll.BDH($C$478,"INVENTORY_5_YEAR_GROWTH","FQ3 2015","FQ3 2015","Currency=INR","Period=FQ","BEST_FPERIOD_OVERRIDE=FQ","FILING_STATUS=OR","EQY_CONSOLIDATED=Y","Sort=A","Dates=H","DateFormat=P","Fill=—","Direction=H","UseDPDF=Y")</f>
        <v>#NAME?</v>
      </c>
      <c r="AU486" s="2" t="e">
        <f ca="1">_xll.BDH($C$478,"NET_FIXED_ASSETS_5_YEAR_GROWTH","FQ3 2015","FQ3 2015","Currency=INR","Period=FQ","BEST_FPERIOD_OVERRIDE=FQ","FILING_STATUS=OR","EQY_CONSOLIDATED=Y","Sort=A","Dates=H","DateFormat=P","Fill=—","Direction=H","UseDPDF=Y")</f>
        <v>#NAME?</v>
      </c>
      <c r="AV486" s="2" t="e">
        <f ca="1">_xll.BDH($C$478,"GEO_GROW_TOT_ASSET","FQ3 2015","FQ3 2015","Currency=INR","Period=FQ","BEST_FPERIOD_OVERRIDE=FQ","FILING_STATUS=OR","EQY_CONSOLIDATED=Y","Sort=A","Dates=H","DateFormat=P","Fill=—","Direction=H","UseDPDF=Y")</f>
        <v>#NAME?</v>
      </c>
      <c r="AW486" s="2" t="e">
        <f ca="1">_xll.BDH($C$478,"MODIFIED_WORKING_CPTL_5YR_GRWTH","FQ3 2015","FQ3 2015","Currency=INR","Period=FQ","BEST_FPERIOD_OVERRIDE=FQ","FILING_STATUS=OR","EQY_CONSOLIDATED=Y","Sort=A","Dates=H","DateFormat=P","Fill=—","Direction=H","UseDPDF=Y")</f>
        <v>#NAME?</v>
      </c>
      <c r="AX486" s="2" t="e">
        <f ca="1">_xll.BDH($C$478,"WORKING_CAPITAL_5_YEAR_GROWTH","FQ3 2015","FQ3 2015","Currency=INR","Period=FQ","BEST_FPERIOD_OVERRIDE=FQ","FILING_STATUS=OR","EQY_CONSOLIDATED=Y","Sort=A","Dates=H","DateFormat=P","Fill=—","Direction=H","UseDPDF=Y")</f>
        <v>#NAME?</v>
      </c>
      <c r="AY486" s="2" t="e">
        <f ca="1">_xll.BDH($C$478,"ACCOUNTS_PAYABLE_5_YEAR_GROWTH","FQ3 2015","FQ3 2015","Currency=INR","Period=FQ","BEST_FPERIOD_OVERRIDE=FQ","FILING_STATUS=OR","EQY_CONSOLIDATED=Y","Sort=A","Dates=H","DateFormat=P","Fill=—","Direction=H","UseDPDF=Y")</f>
        <v>#NAME?</v>
      </c>
      <c r="AZ486" s="2" t="e">
        <f ca="1">_xll.BDH($C$478,"SHORT_TERM_DEBT_5_YEAR_GROWTH","FQ3 2015","FQ3 2015","Currency=INR","Period=FQ","BEST_FPERIOD_OVERRIDE=FQ","FILING_STATUS=OR","EQY_CONSOLIDATED=Y","Sort=A","Dates=H","DateFormat=P","Fill=—","Direction=H","UseDPDF=Y")</f>
        <v>#NAME?</v>
      </c>
      <c r="BA486" s="2" t="e">
        <f ca="1">_xll.BDH($C$478,"TOTAL_DEBT_5_YEAR_GROWTH","FQ3 2015","FQ3 2015","Currency=INR","Period=FQ","BEST_FPERIOD_OVERRIDE=FQ","FILING_STATUS=OR","EQY_CONSOLIDATED=Y","Sort=A","Dates=H","DateFormat=P","Fill=—","Direction=H","UseDPDF=Y")</f>
        <v>#NAME?</v>
      </c>
      <c r="BB486" s="2" t="e">
        <f ca="1">_xll.BDH($C$478,"GEO_GROW_TOT_SHRHLDR_EQY","FQ3 2015","FQ3 2015","Currency=INR","Period=FQ","BEST_FPERIOD_OVERRIDE=FQ","FILING_STATUS=OR","EQY_CONSOLIDATED=Y","Sort=A","Dates=H","DateFormat=P","Fill=—","Direction=H","UseDPDF=Y")</f>
        <v>#NAME?</v>
      </c>
      <c r="BC486" s="2" t="e">
        <f ca="1">_xll.BDH($C$478,"TOTAL_CAPITAL_5_YEAR_GROWTH","FQ3 2015","FQ3 2015","Currency=INR","Period=FQ","BEST_FPERIOD_OVERRIDE=FQ","FILING_STATUS=OR","EQY_CONSOLIDATED=Y","Sort=A","Dates=H","DateFormat=P","Fill=—","Direction=H","UseDPDF=Y")</f>
        <v>#NAME?</v>
      </c>
      <c r="BD486" s="2" t="e">
        <f ca="1">_xll.BDH($C$478,"GEO_GROW_BOOK_VAL","FQ3 2015","FQ3 2015","Currency=INR","Period=FQ","BEST_FPERIOD_OVERRIDE=FQ","FILING_STATUS=OR","EQY_CONSOLIDATED=Y","Sort=A","Dates=H","DateFormat=P","Fill=—","Direction=H","UseDPDF=Y")</f>
        <v>#NAME?</v>
      </c>
      <c r="BE486" s="2" t="e">
        <f ca="1">_xll.BDH($C$478,"GEO_GROW_CASH_OPER_ACT","FQ3 2015","FQ3 2015","Currency=INR","Period=FQ","BEST_FPERIOD_OVERRIDE=FQ","FILING_STATUS=OR","EQY_CONSOLIDATED=Y","Sort=A","Dates=H","DateFormat=P","Fill=—","Direction=H","UseDPDF=Y")</f>
        <v>#NAME?</v>
      </c>
      <c r="BF486" s="2" t="e">
        <f ca="1">_xll.BDH($C$478,"REVENUE_SEQUENTIAL_GROWTH","FQ3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486" s="2" t="e">
        <f ca="1">_xll.BDH($C$478,"EBITDA_SEQUENTIAL_GROWTH","FQ3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486" s="2" t="e">
        <f ca="1">_xll.BDH($C$478,"OPERATING_INCOME_SEQ_GROWTH","FQ3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486" s="2" t="e">
        <f ca="1">_xll.BDH($C$478,"NET_INCOME_TO_COMMON_SEQ_GROWTH","FQ3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486" s="2" t="e">
        <f ca="1">_xll.BDH($C$478,"EPS_DILUTED_SEQUENTIAL_GROWTH","FQ3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486" s="2" t="e">
        <f ca="1">_xll.BDH($C$478,"DPS_SEQUENTIAL_GROWTH","FQ3 2015","FQ3 2015","Currency=INR","Period=FQ","BEST_FPERIOD_OVERRIDE=FQ","FILING_STATUS=OR","EQY_CONSOLIDATED=Y","Sort=A","Dates=H","DateFormat=P","Fill=—","Direction=H","UseDPDF=Y")</f>
        <v>#NAME?</v>
      </c>
      <c r="BL486" s="2" t="e">
        <f ca="1">_xll.BDH($C$478,"ACCOUNTS_RECEIVABLE_SEQ_GROWTH","FQ3 2015","FQ3 2015","Currency=INR","Period=FQ","BEST_FPERIOD_OVERRIDE=FQ","FILING_STATUS=OR","EQY_CONSOLIDATED=Y","Sort=A","Dates=H","DateFormat=P","Fill=—","Direction=H","UseDPDF=Y")</f>
        <v>#NAME?</v>
      </c>
      <c r="BM486" s="2" t="e">
        <f ca="1">_xll.BDH($C$478,"INVENTORY_SEQUENTIAL_GROWTH","FQ3 2015","FQ3 2015","Currency=INR","Period=FQ","BEST_FPERIOD_OVERRIDE=FQ","FILING_STATUS=OR","EQY_CONSOLIDATED=Y","Sort=A","Dates=H","DateFormat=P","Fill=—","Direction=H","UseDPDF=Y")</f>
        <v>#NAME?</v>
      </c>
      <c r="BN486" s="2" t="e">
        <f ca="1">_xll.BDH($C$478,"FIXED_ASSETS_SEQUENTIAL_GROWTH","FQ3 2015","FQ3 2015","Currency=INR","Period=FQ","BEST_FPERIOD_OVERRIDE=FQ","FILING_STATUS=OR","EQY_CONSOLIDATED=Y","Sort=A","Dates=H","DateFormat=P","Fill=—","Direction=H","UseDPDF=Y")</f>
        <v>#NAME?</v>
      </c>
      <c r="BO486" s="2" t="e">
        <f ca="1">_xll.BDH($C$478,"TOTAL_ASSETS_SEQUENTIAL_GROWTH","FQ3 2015","FQ3 2015","Currency=INR","Period=FQ","BEST_FPERIOD_OVERRIDE=FQ","FILING_STATUS=OR","EQY_CONSOLIDATED=Y","Sort=A","Dates=H","DateFormat=P","Fill=—","Direction=H","UseDPDF=Y")</f>
        <v>#NAME?</v>
      </c>
      <c r="BP486" s="2" t="e">
        <f ca="1">_xll.BDH($C$478,"MODIFIED_WORKING_CPTL_SEQ_GRWTH","FQ3 2015","FQ3 2015","Currency=INR","Period=FQ","BEST_FPERIOD_OVERRIDE=FQ","FILING_STATUS=OR","EQY_CONSOLIDATED=Y","Sort=A","Dates=H","DateFormat=P","Fill=—","Direction=H","UseDPDF=Y")</f>
        <v>#NAME?</v>
      </c>
      <c r="BQ486" s="2" t="e">
        <f ca="1">_xll.BDH($C$478,"WORKING_CAPITAL_SEQ_GROWTH","FQ3 2015","FQ3 2015","Currency=INR","Period=FQ","BEST_FPERIOD_OVERRIDE=FQ","FILING_STATUS=OR","EQY_CONSOLIDATED=Y","Sort=A","Dates=H","DateFormat=P","Fill=—","Direction=H","UseDPDF=Y")</f>
        <v>#NAME?</v>
      </c>
      <c r="BR486" s="2" t="e">
        <f ca="1">_xll.BDH($C$478,"ACCOUNTS_PAYABLE_SEQ_GROWTH","FQ3 2015","FQ3 2015","Currency=INR","Period=FQ","BEST_FPERIOD_OVERRIDE=FQ","FILING_STATUS=OR","EQY_CONSOLIDATED=Y","Sort=A","Dates=H","DateFormat=P","Fill=—","Direction=H","UseDPDF=Y")</f>
        <v>#NAME?</v>
      </c>
      <c r="BS486" s="2" t="e">
        <f ca="1">_xll.BDH($C$478,"ST_DEBT_SEQUENTIAL_GROWTH","FQ3 2015","FQ3 2015","Currency=INR","Period=FQ","BEST_FPERIOD_OVERRIDE=FQ","FILING_STATUS=OR","EQY_CONSOLIDATED=Y","Sort=A","Dates=H","DateFormat=P","Fill=—","Direction=H","UseDPDF=Y")</f>
        <v>#NAME?</v>
      </c>
      <c r="BT486" s="2" t="e">
        <f ca="1">_xll.BDH($C$478,"TOTAL_DEBT_SEQUENTIAL_GROWTH","FQ3 2015","FQ3 2015","Currency=INR","Period=FQ","BEST_FPERIOD_OVERRIDE=FQ","FILING_STATUS=OR","EQY_CONSOLIDATED=Y","Sort=A","Dates=H","DateFormat=P","Fill=—","Direction=H","UseDPDF=Y")</f>
        <v>#NAME?</v>
      </c>
      <c r="BU486" s="2" t="e">
        <f ca="1">_xll.BDH($C$478,"TOTAL_EQUITY_SEQUENTIAL_GROWTH","FQ3 2015","FQ3 2015","Currency=INR","Period=FQ","BEST_FPERIOD_OVERRIDE=FQ","FILING_STATUS=OR","EQY_CONSOLIDATED=Y","Sort=A","Dates=H","DateFormat=P","Fill=—","Direction=H","UseDPDF=Y")</f>
        <v>#NAME?</v>
      </c>
      <c r="BV486" s="2" t="e">
        <f ca="1">_xll.BDH($C$478,"TOTAL_CAPITAL_SEQUENTIAL_GROWTH","FQ3 2015","FQ3 2015","Currency=INR","Period=FQ","BEST_FPERIOD_OVERRIDE=FQ","FILING_STATUS=OR","EQY_CONSOLIDATED=Y","Sort=A","Dates=H","DateFormat=P","Fill=—","Direction=H","UseDPDF=Y")</f>
        <v>#NAME?</v>
      </c>
      <c r="BW486" s="2" t="e">
        <f ca="1">_xll.BDH($C$478,"BPS_SEQUENTIAL_GROWTH","FQ3 2015","FQ3 2015","Currency=INR","Period=FQ","BEST_FPERIOD_OVERRIDE=FQ","FILING_STATUS=OR","EQY_CONSOLIDATED=Y","Sort=A","Dates=H","DateFormat=P","Fill=—","Direction=H","UseDPDF=Y")</f>
        <v>#NAME?</v>
      </c>
      <c r="BX486" s="2" t="e">
        <f ca="1">_xll.BDH($C$478,"CFO_SEQUENTIAL_GROWTH","FQ3 2015","FQ3 2015","Currency=INR","Period=FQ","BEST_FPERIOD_OVERRIDE=FQ","FILING_STATUS=OR","EQY_CONSOLIDATED=Y","Sort=A","Dates=H","DateFormat=P","Fill=—","Direction=H","UseDPDF=Y")</f>
        <v>#NAME?</v>
      </c>
      <c r="BY486" s="3" t="e">
        <f ca="1">_xll.BDH($C$478,"SHORT_AND_LONG_TERM_DEBT","FQ3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486" s="3" t="e">
        <f ca="1">_xll.BDH($C$478,"BS_ST_BORROW","FQ3 2015","FQ3 2015","Currency=INR","Period=FQ","BEST_FPERIOD_OVERRIDE=FQ","FILING_STATUS=OR","EQY_CONSOLIDATED=Y","SCALING_FORMAT=MLN","Sort=A","Dates=H","DateFormat=P","Fill=—","Direction=H","UseDPDF=Y")</f>
        <v>#NAME?</v>
      </c>
      <c r="CA486" s="3" t="e">
        <f ca="1">_xll.BDH($C$478,"BS_LT_BORROW","FQ3 2015","FQ3 2015","Currency=INR","Period=FQ","BEST_FPERIOD_OVERRIDE=FQ","FILING_STATUS=OR","EQY_CONSOLIDATED=Y","SCALING_FORMAT=MLN","Sort=A","Dates=H","DateFormat=P","Fill=—","Direction=H","UseDPDF=Y")</f>
        <v>#NAME?</v>
      </c>
      <c r="CB486" s="2" t="e">
        <f ca="1">_xll.BDH($C$478,"TOT_DEBT_TO_EBITDA","FQ3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486" s="2" t="e">
        <f ca="1">_xll.BDH($C$478,"NET_DEBT_TO_EBITDA","FQ3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486" s="2" t="e">
        <f ca="1">_xll.BDH($C$478,"TOTAL_DEBT_TO_EBIT","FQ3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486" s="2" t="e">
        <f ca="1">_xll.BDH($C$478,"NET_DEBT_TO_EBIT","FQ3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486" s="2" t="e">
        <f ca="1">_xll.BDH($C$478,"EBITDA_TO_INTEREST_EXPN","FQ3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486" s="2" t="e">
        <f ca="1">_xll.BDH($C$478,"COM_EQY_TO_TOT_ASSET","FQ3 2015","FQ3 2015","Currency=INR","Period=FQ","BEST_FPERIOD_OVERRIDE=FQ","FILING_STATUS=OR","EQY_CONSOLIDATED=Y","Sort=A","Dates=H","DateFormat=P","Fill=—","Direction=H","UseDPDF=Y")</f>
        <v>#NAME?</v>
      </c>
      <c r="CH486" s="2" t="e">
        <f ca="1">_xll.BDH($C$478,"LT_DEBT_TO_TOT_EQY","FQ3 2015","FQ3 2015","Currency=INR","Period=FQ","BEST_FPERIOD_OVERRIDE=FQ","FILING_STATUS=OR","EQY_CONSOLIDATED=Y","Sort=A","Dates=H","DateFormat=P","Fill=—","Direction=H","UseDPDF=Y")</f>
        <v>#NAME?</v>
      </c>
      <c r="CI486" s="2" t="e">
        <f ca="1">_xll.BDH($C$478,"LT_DEBT_TO_TOT_CAP","FQ3 2015","FQ3 2015","Currency=INR","Period=FQ","BEST_FPERIOD_OVERRIDE=FQ","FILING_STATUS=OR","EQY_CONSOLIDATED=Y","Sort=A","Dates=H","DateFormat=P","Fill=—","Direction=H","UseDPDF=Y")</f>
        <v>#NAME?</v>
      </c>
      <c r="CJ486" s="2" t="e">
        <f ca="1">_xll.BDH($C$478,"LT_DEBT_TO_TOT_ASSET","FQ3 2015","FQ3 2015","Currency=INR","Period=FQ","BEST_FPERIOD_OVERRIDE=FQ","FILING_STATUS=OR","EQY_CONSOLIDATED=Y","Sort=A","Dates=H","DateFormat=P","Fill=—","Direction=H","UseDPDF=Y")</f>
        <v>#NAME?</v>
      </c>
      <c r="CK486" s="2" t="e">
        <f ca="1">_xll.BDH($C$478,"TOT_DEBT_TO_TOT_EQY","FQ3 2015","FQ3 2015","Currency=INR","Period=FQ","BEST_FPERIOD_OVERRIDE=FQ","FILING_STATUS=OR","EQY_CONSOLIDATED=Y","Sort=A","Dates=H","DateFormat=P","Fill=—","Direction=H","UseDPDF=Y")</f>
        <v>#NAME?</v>
      </c>
      <c r="CL486" s="2" t="e">
        <f ca="1">_xll.BDH($C$478,"TOT_DEBT_TO_TOT_CAP","FQ3 2015","FQ3 2015","Currency=INR","Period=FQ","BEST_FPERIOD_OVERRIDE=FQ","FILING_STATUS=OR","EQY_CONSOLIDATED=Y","Sort=A","Dates=H","DateFormat=P","Fill=—","Direction=H","UseDPDF=Y")</f>
        <v>#NAME?</v>
      </c>
      <c r="CM486" s="2" t="e">
        <f ca="1">_xll.BDH($C$478,"TOT_DEBT_TO_TOT_ASSET","FQ3 2015","FQ3 2015","Currency=INR","Period=FQ","BEST_FPERIOD_OVERRIDE=FQ","FILING_STATUS=OR","EQY_CONSOLIDATED=Y","Sort=A","Dates=H","DateFormat=P","Fill=—","Direction=H","UseDPDF=Y")</f>
        <v>#NAME?</v>
      </c>
      <c r="CN486" s="2" t="e">
        <f ca="1">_xll.BDH($C$478,"NET_DEBT_TO_SHRHLDR_EQTY","FQ3 2015","FQ3 2015","Currency=INR","Period=FQ","BEST_FPERIOD_OVERRIDE=FQ","FILING_STATUS=OR","EQY_CONSOLIDATED=Y","Sort=A","Dates=H","DateFormat=P","Fill=—","Direction=H","UseDPDF=Y")</f>
        <v>#NAME?</v>
      </c>
      <c r="CO486" s="2" t="e">
        <f ca="1">_xll.BDH($C$478,"NET_DEBT_%_CAPITAL","FQ3 2015","FQ3 2015","Currency=INR","Period=FQ","BEST_FPERIOD_OVERRIDE=FQ","FILING_STATUS=OR","EQY_CONSOLIDATED=Y","Sort=A","Dates=H","DateFormat=P","Fill=—","Direction=H","UseDPDF=Y")</f>
        <v>#NAME?</v>
      </c>
      <c r="CP486" s="3" t="e">
        <f ca="1">_xll.BDH($C$478,"EBITDA","FQ3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486" s="3" t="e">
        <f ca="1">_xll.BDH($C$478,"EBITDA_AFTER_CAPEX","FQ3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486" s="3" t="e">
        <f ca="1">_xll.BDH($C$478,"IS_OPER_INC","FQ3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486" s="2" t="e">
        <f ca="1">_xll.BDH($C$478,"CASH_RATIO","FQ3 2015","FQ3 2015","Currency=INR","Period=FQ","BEST_FPERIOD_OVERRIDE=FQ","FILING_STATUS=OR","EQY_CONSOLIDATED=Y","Sort=A","Dates=H","DateFormat=P","Fill=—","Direction=H","UseDPDF=Y")</f>
        <v>#NAME?</v>
      </c>
      <c r="CT486" s="2" t="e">
        <f ca="1">_xll.BDH($C$478,"CUR_RATIO","FQ3 2015","FQ3 2015","Currency=INR","Period=FQ","BEST_FPERIOD_OVERRIDE=FQ","FILING_STATUS=OR","EQY_CONSOLIDATED=Y","Sort=A","Dates=H","DateFormat=P","Fill=—","Direction=H","UseDPDF=Y")</f>
        <v>#NAME?</v>
      </c>
      <c r="CU486" s="2" t="e">
        <f ca="1">_xll.BDH($C$478,"QUICK_RATIO","FQ3 2015","FQ3 2015","Currency=INR","Period=FQ","BEST_FPERIOD_OVERRIDE=FQ","FILING_STATUS=OR","EQY_CONSOLIDATED=Y","Sort=A","Dates=H","DateFormat=P","Fill=—","Direction=H","UseDPDF=Y")</f>
        <v>#NAME?</v>
      </c>
      <c r="CV486" s="2" t="e">
        <f ca="1">_xll.BDH($C$478,"ALTMAN_Z_SCORE","FQ3 2015","FQ3 2015","Currency=INR","Period=FQ","BEST_FPERIOD_OVERRIDE=FQ","FILING_STATUS=OR","EQY_CONSOLIDATED=Y","Sort=A","Dates=H","DateFormat=P","Fill=—","Direction=H","UseDPDF=Y")</f>
        <v>#NAME?</v>
      </c>
      <c r="CW486" s="4" t="e">
        <f ca="1">_xll.BDH($C$478,"ACCT_RCV_TURN","FQ3 2015","FQ3 2015","Currency=INR","Period=FQ","BEST_FPERIOD_OVERRIDE=FQ","FILING_STATUS=OR","EQY_CONSOLIDATED=Y","FA_ADJUSTED=GAAP","Sort=A","Dates=H","DateFormat=P","Fill=—","Direction=H","UseDPDF=Y")</f>
        <v>#NAME?</v>
      </c>
      <c r="CX486" s="2" t="e">
        <f ca="1">_xll.BDH($C$478,"ACCT_RCV_DAYS","FQ3 2015","FQ3 2015","Currency=INR","Period=FQ","BEST_FPERIOD_OVERRIDE=FQ","FILING_STATUS=OR","EQY_CONSOLIDATED=Y","FA_ADJUSTED=GAAP","Sort=A","Dates=H","DateFormat=P","Fill=—","Direction=H","UseDPDF=Y")</f>
        <v>#NAME?</v>
      </c>
      <c r="CY486" s="4" t="e">
        <f ca="1">_xll.BDH($C$478,"INVENT_TURN","FQ3 2015","FQ3 2015","Currency=INR","Period=FQ","BEST_FPERIOD_OVERRIDE=FQ","FILING_STATUS=OR","EQY_CONSOLIDATED=Y","FA_ADJUSTED=GAAP","Sort=A","Dates=H","DateFormat=P","Fill=—","Direction=H","UseDPDF=Y")</f>
        <v>#NAME?</v>
      </c>
      <c r="CZ486" s="2" t="e">
        <f ca="1">_xll.BDH($C$478,"INVENT_DAYS","FQ3 2015","FQ3 2015","Currency=INR","Period=FQ","BEST_FPERIOD_OVERRIDE=FQ","FILING_STATUS=OR","EQY_CONSOLIDATED=Y","FA_ADJUSTED=GAAP","Sort=A","Dates=H","DateFormat=P","Fill=—","Direction=H","UseDPDF=Y")</f>
        <v>#NAME?</v>
      </c>
      <c r="DA486" s="4" t="e">
        <f ca="1">_xll.BDH($C$478,"ACCOUNTS_PAYABLE_TURNOVER","FQ3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486" s="2" t="e">
        <f ca="1">_xll.BDH($C$478,"ACCOUNTS_PAYABLE_TURNOVER_DAYS","FQ3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486" s="4" t="e">
        <f ca="1">_xll.BDH($C$478,"CASH_CONVERSION_CYCLE","FQ3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486" s="4" t="e">
        <f ca="1">_xll.BDH($C$478,"INV_TO_CASH_DAYS","FQ3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486" s="5" t="e">
        <f ca="1">_xll.BDH($C$478,"BS_INVENTORIES","FQ3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486" s="3" t="e">
        <f ca="1">_xll.BDH($C$478,"INVTRY_RAW_MATERIALS","FQ3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486" s="3" t="e">
        <f ca="1">_xll.BDH($C$478,"INVTRY_IN_PROGRESS","FQ3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486" s="3" t="e">
        <f ca="1">_xll.BDH($C$478,"INVTRY_FINISHED_GOODS","FQ3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486" s="3" t="e">
        <f ca="1">_xll.BDH($C$478,"BS_OTHER_INV","FQ3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487" spans="1:113" x14ac:dyDescent="0.3">
      <c r="A487" s="6"/>
      <c r="B487" s="6"/>
      <c r="C487" s="6"/>
      <c r="D487" s="6"/>
      <c r="E487" t="s">
        <v>81</v>
      </c>
      <c r="F487" t="e">
        <f ca="1">_xll.BDH($C$478,"RETURN_COM_EQY","FQ4 2015","FQ4 2015","Currency=INR","Period=FQ","BEST_FPERIOD_OVERRIDE=FQ","FILING_STATUS=OR","EQY_CONSOLIDATED=Y","FA_ADJUSTED=GAAP","Sort=A","Dates=H","DateFormat=P","Fill=—","Direction=H","UseDPDF=Y")</f>
        <v>#NAME?</v>
      </c>
      <c r="G487" t="e">
        <f ca="1">_xll.BDH($C$478,"RETURN_ON_ASSET","FQ4 2015","FQ4 2015","Currency=INR","Period=FQ","BEST_FPERIOD_OVERRIDE=FQ","FILING_STATUS=OR","EQY_CONSOLIDATED=Y","FA_ADJUSTED=GAAP","Sort=A","Dates=H","DateFormat=P","Fill=—","Direction=H","UseDPDF=Y")</f>
        <v>#NAME?</v>
      </c>
      <c r="H487" t="e">
        <f ca="1">_xll.BDH($C$478,"RETURN_ON_CAP","FQ4 2015","FQ4 2015","Currency=INR","Period=FQ","BEST_FPERIOD_OVERRIDE=FQ","FILING_STATUS=OR","EQY_CONSOLIDATED=Y","FA_ADJUSTED=GAAP","Sort=A","Dates=H","DateFormat=P","Fill=—","Direction=H","UseDPDF=Y")</f>
        <v>#NAME?</v>
      </c>
      <c r="I487" t="e">
        <f ca="1">_xll.BDH($C$478,"RETURN_ON_INV_CAPITAL","FQ4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487" t="e">
        <f ca="1">_xll.BDH($C$478,"EBITDA_TO_REVENUE","FQ4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487" t="e">
        <f ca="1">_xll.BDH($C$478,"OPER_MARGIN","FQ4 2015","FQ4 2015","Currency=INR","Period=FQ","BEST_FPERIOD_OVERRIDE=FQ","FILING_STATUS=OR","EQY_CONSOLIDATED=Y","FA_ADJUSTED=GAAP","Sort=A","Dates=H","DateFormat=P","Fill=—","Direction=H","UseDPDF=Y")</f>
        <v>#NAME?</v>
      </c>
      <c r="L487" t="e">
        <f ca="1">_xll.BDH($C$478,"INCREMENTAL_OPERATING_MARGIN","FQ4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487" t="e">
        <f ca="1">_xll.BDH($C$478,"PRETAX_INC_TO_NET_SALES","FQ4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487" t="e">
        <f ca="1">_xll.BDH($C$478,"INC_BEF_XO_ITEMS_TO_NET_SALES","FQ4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487" t="e">
        <f ca="1">_xll.BDH($C$478,"PROF_MARGIN","FQ4 2015","FQ4 2015","Currency=INR","Period=FQ","BEST_FPERIOD_OVERRIDE=FQ","FILING_STATUS=OR","EQY_CONSOLIDATED=Y","FA_ADJUSTED=GAAP","Sort=A","Dates=H","DateFormat=P","Fill=—","Direction=H","UseDPDF=Y")</f>
        <v>#NAME?</v>
      </c>
      <c r="P487" t="e">
        <f ca="1">_xll.BDH($C$478,"NET_INCOME_TO_COMMON_MARGIN","FQ4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487" t="e">
        <f ca="1">_xll.BDH($C$478,"EFF_TAX_RATE","FQ4 2015","FQ4 2015","Currency=INR","Period=FQ","BEST_FPERIOD_OVERRIDE=FQ","FILING_STATUS=OR","EQY_CONSOLIDATED=Y","FA_ADJUSTED=GAAP","Sort=A","Dates=H","DateFormat=P","Fill=—","Direction=H","UseDPDF=Y")</f>
        <v>#NAME?</v>
      </c>
      <c r="R487" t="e">
        <f ca="1">_xll.BDH($C$478,"DVD_PAYOUT_RATIO","FQ4 2015","FQ4 2015","Currency=INR","Period=FQ","BEST_FPERIOD_OVERRIDE=FQ","FILING_STATUS=OR","EQY_CONSOLIDATED=Y","FA_ADJUSTED=GAAP","Sort=A","Dates=H","DateFormat=P","Fill=—","Direction=H","UseDPDF=Y")</f>
        <v>#NAME?</v>
      </c>
      <c r="S487" t="e">
        <f ca="1">_xll.BDH($C$478,"SUSTAIN_GROWTH_RT","FQ4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487" s="2" t="e">
        <f ca="1">_xll.BDH($C$478,"SALES_GROWTH","FQ4 2015","FQ4 2015","Currency=INR","Period=FQ","BEST_FPERIOD_OVERRIDE=FQ","FILING_STATUS=OR","EQY_CONSOLIDATED=Y","FA_ADJUSTED=GAAP","Sort=A","Dates=H","DateFormat=P","Fill=—","Direction=H","UseDPDF=Y")</f>
        <v>#NAME?</v>
      </c>
      <c r="U487" s="2" t="e">
        <f ca="1">_xll.BDH($C$478,"EBITDA_GROWTH","FQ4 2015","FQ4 2015","Currency=INR","Period=FQ","BEST_FPERIOD_OVERRIDE=FQ","FILING_STATUS=OR","EQY_CONSOLIDATED=Y","FA_ADJUSTED=GAAP","Sort=A","Dates=H","DateFormat=P","Fill=—","Direction=H","UseDPDF=Y")</f>
        <v>#NAME?</v>
      </c>
      <c r="V487" s="2" t="e">
        <f ca="1">_xll.BDH($C$478,"OPER_INC_GROWTH","FQ4 2015","FQ4 2015","Currency=INR","Period=FQ","BEST_FPERIOD_OVERRIDE=FQ","FILING_STATUS=OR","EQY_CONSOLIDATED=Y","FA_ADJUSTED=GAAP","Sort=A","Dates=H","DateFormat=P","Fill=—","Direction=H","UseDPDF=Y")</f>
        <v>#NAME?</v>
      </c>
      <c r="W487" s="2" t="e">
        <f ca="1">_xll.BDH($C$478,"EARN_FOR_COM_GROWTH","FQ4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487" s="2" t="e">
        <f ca="1">_xll.BDH($C$478,"DILUTED_EPS_AFT_XO_ITEMS_GROWTH","FQ4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487" s="2" t="e">
        <f ca="1">_xll.BDH($C$478,"DIVIDEND_PER_SHARE_1_YEAR_GROWTH","FQ4 2015","FQ4 2015","Currency=INR","Period=FQ","BEST_FPERIOD_OVERRIDE=FQ","FILING_STATUS=OR","EQY_CONSOLIDATED=Y","Sort=A","Dates=H","DateFormat=P","Fill=—","Direction=H","UseDPDF=Y")</f>
        <v>#NAME?</v>
      </c>
      <c r="Z487" s="2" t="e">
        <f ca="1">_xll.BDH($C$478,"ACCOUNTS_RECEIVABLE_GROWTH","FQ4 2015","FQ4 2015","Currency=INR","Period=FQ","BEST_FPERIOD_OVERRIDE=FQ","FILING_STATUS=OR","EQY_CONSOLIDATED=Y","Sort=A","Dates=H","DateFormat=P","Fill=—","Direction=H","UseDPDF=Y")</f>
        <v>#NAME?</v>
      </c>
      <c r="AA487" s="2" t="e">
        <f ca="1">_xll.BDH($C$478,"INVENTORY_GROWTH","FQ4 2015","FQ4 2015","Currency=INR","Period=FQ","BEST_FPERIOD_OVERRIDE=FQ","FILING_STATUS=OR","EQY_CONSOLIDATED=Y","Sort=A","Dates=H","DateFormat=P","Fill=—","Direction=H","UseDPDF=Y")</f>
        <v>#NAME?</v>
      </c>
      <c r="AB487" s="2" t="e">
        <f ca="1">_xll.BDH($C$478,"NET_FIXED_ASSETS_1_YEAR_GROWTH","FQ4 2015","FQ4 2015","Currency=INR","Period=FQ","BEST_FPERIOD_OVERRIDE=FQ","FILING_STATUS=OR","EQY_CONSOLIDATED=Y","Sort=A","Dates=H","DateFormat=P","Fill=—","Direction=H","UseDPDF=Y")</f>
        <v>#NAME?</v>
      </c>
      <c r="AC487" s="2" t="e">
        <f ca="1">_xll.BDH($C$478,"ASSET_GROWTH","FQ4 2015","FQ4 2015","Currency=INR","Period=FQ","BEST_FPERIOD_OVERRIDE=FQ","FILING_STATUS=OR","EQY_CONSOLIDATED=Y","Sort=A","Dates=H","DateFormat=P","Fill=—","Direction=H","UseDPDF=Y")</f>
        <v>#NAME?</v>
      </c>
      <c r="AD487" s="2" t="e">
        <f ca="1">_xll.BDH($C$478,"MODIFIED_WORK_CAP_GROWTH","FQ4 2015","FQ4 2015","Currency=INR","Period=FQ","BEST_FPERIOD_OVERRIDE=FQ","FILING_STATUS=OR","EQY_CONSOLIDATED=Y","Sort=A","Dates=H","DateFormat=P","Fill=—","Direction=H","UseDPDF=Y")</f>
        <v>#NAME?</v>
      </c>
      <c r="AE487" s="2" t="e">
        <f ca="1">_xll.BDH($C$478,"WORK_CAP_GROWTH","FQ4 2015","FQ4 2015","Currency=INR","Period=FQ","BEST_FPERIOD_OVERRIDE=FQ","FILING_STATUS=OR","EQY_CONSOLIDATED=Y","Sort=A","Dates=H","DateFormat=P","Fill=—","Direction=H","UseDPDF=Y")</f>
        <v>#NAME?</v>
      </c>
      <c r="AF487" s="2" t="e">
        <f ca="1">_xll.BDH($C$478,"ACCOUNTS_PAYABLE_GROWTH_1YR","FQ4 2015","FQ4 2015","Currency=INR","Period=FQ","BEST_FPERIOD_OVERRIDE=FQ","FILING_STATUS=OR","EQY_CONSOLIDATED=Y","Sort=A","Dates=H","DateFormat=P","Fill=—","Direction=H","UseDPDF=Y")</f>
        <v>#NAME?</v>
      </c>
      <c r="AG487" s="2" t="e">
        <f ca="1">_xll.BDH($C$478,"SHORT_TERM_DEBT_1_YEAR_GROWTH","FQ4 2015","FQ4 2015","Currency=INR","Period=FQ","BEST_FPERIOD_OVERRIDE=FQ","FILING_STATUS=OR","EQY_CONSOLIDATED=Y","Sort=A","Dates=H","DateFormat=P","Fill=—","Direction=H","UseDPDF=Y")</f>
        <v>#NAME?</v>
      </c>
      <c r="AH487" s="2" t="e">
        <f ca="1">_xll.BDH($C$478,"TOTAL_DEBT_1_YEAR_GROWTH","FQ4 2015","FQ4 2015","Currency=INR","Period=FQ","BEST_FPERIOD_OVERRIDE=FQ","FILING_STATUS=OR","EQY_CONSOLIDATED=Y","Sort=A","Dates=H","DateFormat=P","Fill=—","Direction=H","UseDPDF=Y")</f>
        <v>#NAME?</v>
      </c>
      <c r="AI487" s="2" t="e">
        <f ca="1">_xll.BDH($C$478,"TOTAL_EQUITY_1_YEAR_GROWTH","FQ4 2015","FQ4 2015","Currency=INR","Period=FQ","BEST_FPERIOD_OVERRIDE=FQ","FILING_STATUS=OR","EQY_CONSOLIDATED=Y","Sort=A","Dates=H","DateFormat=P","Fill=—","Direction=H","UseDPDF=Y")</f>
        <v>#NAME?</v>
      </c>
      <c r="AJ487" s="2" t="e">
        <f ca="1">_xll.BDH($C$478,"GROWTH_IN_CAP","FQ4 2015","FQ4 2015","Currency=INR","Period=FQ","BEST_FPERIOD_OVERRIDE=FQ","FILING_STATUS=OR","EQY_CONSOLIDATED=Y","Sort=A","Dates=H","DateFormat=P","Fill=—","Direction=H","UseDPDF=Y")</f>
        <v>#NAME?</v>
      </c>
      <c r="AK487" s="2" t="e">
        <f ca="1">_xll.BDH($C$478,"BVPS_GROWTH","FQ4 2015","FQ4 2015","Currency=INR","Period=FQ","BEST_FPERIOD_OVERRIDE=FQ","FILING_STATUS=OR","EQY_CONSOLIDATED=Y","Sort=A","Dates=H","DateFormat=P","Fill=—","Direction=H","UseDPDF=Y")</f>
        <v>#NAME?</v>
      </c>
      <c r="AL487" s="2" t="e">
        <f ca="1">_xll.BDH($C$478,"CASH_FLOW_GROWTH","FQ4 2015","FQ4 2015","Currency=INR","Period=FQ","BEST_FPERIOD_OVERRIDE=FQ","FILING_STATUS=OR","EQY_CONSOLIDATED=Y","Sort=A","Dates=H","DateFormat=P","Fill=—","Direction=H","UseDPDF=Y")</f>
        <v>#NAME?</v>
      </c>
      <c r="AM487" s="2" t="e">
        <f ca="1">_xll.BDH($C$478,"GEO_GROW_NET_SALES","FQ4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487" s="2" t="e">
        <f ca="1">_xll.BDH($C$478,"GEO_GROW_EBITDA","FQ4 2015","FQ4 2015","Currency=INR","Period=FQ","BEST_FPERIOD_OVERRIDE=FQ","FILING_STATUS=OR","EQY_CONSOLIDATED=Y","FA_ADJUSTED=GAAP","Sort=A","Dates=H","DateFormat=P","Fill=—","Direction=H","UseDPDF=Y")</f>
        <v>#NAME?</v>
      </c>
      <c r="AO487" s="2" t="e">
        <f ca="1">_xll.BDH($C$478,"GEO_GROW_OPER_INC","FQ4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487" s="2" t="e">
        <f ca="1">_xll.BDH($C$478,"NET_INCOME_TO_COMMON_5_YR_GROWTH","FQ4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487" s="2" t="e">
        <f ca="1">_xll.BDH($C$478,"5Y_GEO_GROWTH_DILUTED_EPS","FQ4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487" s="2" t="e">
        <f ca="1">_xll.BDH($C$478,"GEO_GROW_DVD_PER_SH","FQ4 2015","FQ4 2015","Currency=INR","Period=FQ","BEST_FPERIOD_OVERRIDE=FQ","FILING_STATUS=OR","EQY_CONSOLIDATED=Y","Sort=A","Dates=H","DateFormat=P","Fill=—","Direction=H","UseDPDF=Y")</f>
        <v>#NAME?</v>
      </c>
      <c r="AS487" s="2" t="e">
        <f ca="1">_xll.BDH($C$478,"ACCOUNTS_RECEIVABLE_5_YR_GROWTH","FQ4 2015","FQ4 2015","Currency=INR","Period=FQ","BEST_FPERIOD_OVERRIDE=FQ","FILING_STATUS=OR","EQY_CONSOLIDATED=Y","Sort=A","Dates=H","DateFormat=P","Fill=—","Direction=H","UseDPDF=Y")</f>
        <v>#NAME?</v>
      </c>
      <c r="AT487" s="2" t="e">
        <f ca="1">_xll.BDH($C$478,"INVENTORY_5_YEAR_GROWTH","FQ4 2015","FQ4 2015","Currency=INR","Period=FQ","BEST_FPERIOD_OVERRIDE=FQ","FILING_STATUS=OR","EQY_CONSOLIDATED=Y","Sort=A","Dates=H","DateFormat=P","Fill=—","Direction=H","UseDPDF=Y")</f>
        <v>#NAME?</v>
      </c>
      <c r="AU487" s="2" t="e">
        <f ca="1">_xll.BDH($C$478,"NET_FIXED_ASSETS_5_YEAR_GROWTH","FQ4 2015","FQ4 2015","Currency=INR","Period=FQ","BEST_FPERIOD_OVERRIDE=FQ","FILING_STATUS=OR","EQY_CONSOLIDATED=Y","Sort=A","Dates=H","DateFormat=P","Fill=—","Direction=H","UseDPDF=Y")</f>
        <v>#NAME?</v>
      </c>
      <c r="AV487" s="2" t="e">
        <f ca="1">_xll.BDH($C$478,"GEO_GROW_TOT_ASSET","FQ4 2015","FQ4 2015","Currency=INR","Period=FQ","BEST_FPERIOD_OVERRIDE=FQ","FILING_STATUS=OR","EQY_CONSOLIDATED=Y","Sort=A","Dates=H","DateFormat=P","Fill=—","Direction=H","UseDPDF=Y")</f>
        <v>#NAME?</v>
      </c>
      <c r="AW487" s="2" t="e">
        <f ca="1">_xll.BDH($C$478,"MODIFIED_WORKING_CPTL_5YR_GRWTH","FQ4 2015","FQ4 2015","Currency=INR","Period=FQ","BEST_FPERIOD_OVERRIDE=FQ","FILING_STATUS=OR","EQY_CONSOLIDATED=Y","Sort=A","Dates=H","DateFormat=P","Fill=—","Direction=H","UseDPDF=Y")</f>
        <v>#NAME?</v>
      </c>
      <c r="AX487" s="2" t="e">
        <f ca="1">_xll.BDH($C$478,"WORKING_CAPITAL_5_YEAR_GROWTH","FQ4 2015","FQ4 2015","Currency=INR","Period=FQ","BEST_FPERIOD_OVERRIDE=FQ","FILING_STATUS=OR","EQY_CONSOLIDATED=Y","Sort=A","Dates=H","DateFormat=P","Fill=—","Direction=H","UseDPDF=Y")</f>
        <v>#NAME?</v>
      </c>
      <c r="AY487" s="2" t="e">
        <f ca="1">_xll.BDH($C$478,"ACCOUNTS_PAYABLE_5_YEAR_GROWTH","FQ4 2015","FQ4 2015","Currency=INR","Period=FQ","BEST_FPERIOD_OVERRIDE=FQ","FILING_STATUS=OR","EQY_CONSOLIDATED=Y","Sort=A","Dates=H","DateFormat=P","Fill=—","Direction=H","UseDPDF=Y")</f>
        <v>#NAME?</v>
      </c>
      <c r="AZ487" s="2" t="e">
        <f ca="1">_xll.BDH($C$478,"SHORT_TERM_DEBT_5_YEAR_GROWTH","FQ4 2015","FQ4 2015","Currency=INR","Period=FQ","BEST_FPERIOD_OVERRIDE=FQ","FILING_STATUS=OR","EQY_CONSOLIDATED=Y","Sort=A","Dates=H","DateFormat=P","Fill=—","Direction=H","UseDPDF=Y")</f>
        <v>#NAME?</v>
      </c>
      <c r="BA487" s="2" t="e">
        <f ca="1">_xll.BDH($C$478,"TOTAL_DEBT_5_YEAR_GROWTH","FQ4 2015","FQ4 2015","Currency=INR","Period=FQ","BEST_FPERIOD_OVERRIDE=FQ","FILING_STATUS=OR","EQY_CONSOLIDATED=Y","Sort=A","Dates=H","DateFormat=P","Fill=—","Direction=H","UseDPDF=Y")</f>
        <v>#NAME?</v>
      </c>
      <c r="BB487" s="2" t="e">
        <f ca="1">_xll.BDH($C$478,"GEO_GROW_TOT_SHRHLDR_EQY","FQ4 2015","FQ4 2015","Currency=INR","Period=FQ","BEST_FPERIOD_OVERRIDE=FQ","FILING_STATUS=OR","EQY_CONSOLIDATED=Y","Sort=A","Dates=H","DateFormat=P","Fill=—","Direction=H","UseDPDF=Y")</f>
        <v>#NAME?</v>
      </c>
      <c r="BC487" s="2" t="e">
        <f ca="1">_xll.BDH($C$478,"TOTAL_CAPITAL_5_YEAR_GROWTH","FQ4 2015","FQ4 2015","Currency=INR","Period=FQ","BEST_FPERIOD_OVERRIDE=FQ","FILING_STATUS=OR","EQY_CONSOLIDATED=Y","Sort=A","Dates=H","DateFormat=P","Fill=—","Direction=H","UseDPDF=Y")</f>
        <v>#NAME?</v>
      </c>
      <c r="BD487" s="2" t="e">
        <f ca="1">_xll.BDH($C$478,"GEO_GROW_BOOK_VAL","FQ4 2015","FQ4 2015","Currency=INR","Period=FQ","BEST_FPERIOD_OVERRIDE=FQ","FILING_STATUS=OR","EQY_CONSOLIDATED=Y","Sort=A","Dates=H","DateFormat=P","Fill=—","Direction=H","UseDPDF=Y")</f>
        <v>#NAME?</v>
      </c>
      <c r="BE487" s="2" t="e">
        <f ca="1">_xll.BDH($C$478,"GEO_GROW_CASH_OPER_ACT","FQ4 2015","FQ4 2015","Currency=INR","Period=FQ","BEST_FPERIOD_OVERRIDE=FQ","FILING_STATUS=OR","EQY_CONSOLIDATED=Y","Sort=A","Dates=H","DateFormat=P","Fill=—","Direction=H","UseDPDF=Y")</f>
        <v>#NAME?</v>
      </c>
      <c r="BF487" s="2" t="e">
        <f ca="1">_xll.BDH($C$478,"REVENUE_SEQUENTIAL_GROWTH","FQ4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487" s="2" t="e">
        <f ca="1">_xll.BDH($C$478,"EBITDA_SEQUENTIAL_GROWTH","FQ4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487" s="2" t="e">
        <f ca="1">_xll.BDH($C$478,"OPERATING_INCOME_SEQ_GROWTH","FQ4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487" s="2" t="e">
        <f ca="1">_xll.BDH($C$478,"NET_INCOME_TO_COMMON_SEQ_GROWTH","FQ4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487" s="2" t="e">
        <f ca="1">_xll.BDH($C$478,"EPS_DILUTED_SEQUENTIAL_GROWTH","FQ4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487" s="2" t="e">
        <f ca="1">_xll.BDH($C$478,"DPS_SEQUENTIAL_GROWTH","FQ4 2015","FQ4 2015","Currency=INR","Period=FQ","BEST_FPERIOD_OVERRIDE=FQ","FILING_STATUS=OR","EQY_CONSOLIDATED=Y","Sort=A","Dates=H","DateFormat=P","Fill=—","Direction=H","UseDPDF=Y")</f>
        <v>#NAME?</v>
      </c>
      <c r="BL487" s="2" t="e">
        <f ca="1">_xll.BDH($C$478,"ACCOUNTS_RECEIVABLE_SEQ_GROWTH","FQ4 2015","FQ4 2015","Currency=INR","Period=FQ","BEST_FPERIOD_OVERRIDE=FQ","FILING_STATUS=OR","EQY_CONSOLIDATED=Y","Sort=A","Dates=H","DateFormat=P","Fill=—","Direction=H","UseDPDF=Y")</f>
        <v>#NAME?</v>
      </c>
      <c r="BM487" s="2" t="e">
        <f ca="1">_xll.BDH($C$478,"INVENTORY_SEQUENTIAL_GROWTH","FQ4 2015","FQ4 2015","Currency=INR","Period=FQ","BEST_FPERIOD_OVERRIDE=FQ","FILING_STATUS=OR","EQY_CONSOLIDATED=Y","Sort=A","Dates=H","DateFormat=P","Fill=—","Direction=H","UseDPDF=Y")</f>
        <v>#NAME?</v>
      </c>
      <c r="BN487" s="2" t="e">
        <f ca="1">_xll.BDH($C$478,"FIXED_ASSETS_SEQUENTIAL_GROWTH","FQ4 2015","FQ4 2015","Currency=INR","Period=FQ","BEST_FPERIOD_OVERRIDE=FQ","FILING_STATUS=OR","EQY_CONSOLIDATED=Y","Sort=A","Dates=H","DateFormat=P","Fill=—","Direction=H","UseDPDF=Y")</f>
        <v>#NAME?</v>
      </c>
      <c r="BO487" s="2" t="e">
        <f ca="1">_xll.BDH($C$478,"TOTAL_ASSETS_SEQUENTIAL_GROWTH","FQ4 2015","FQ4 2015","Currency=INR","Period=FQ","BEST_FPERIOD_OVERRIDE=FQ","FILING_STATUS=OR","EQY_CONSOLIDATED=Y","Sort=A","Dates=H","DateFormat=P","Fill=—","Direction=H","UseDPDF=Y")</f>
        <v>#NAME?</v>
      </c>
      <c r="BP487" s="2" t="e">
        <f ca="1">_xll.BDH($C$478,"MODIFIED_WORKING_CPTL_SEQ_GRWTH","FQ4 2015","FQ4 2015","Currency=INR","Period=FQ","BEST_FPERIOD_OVERRIDE=FQ","FILING_STATUS=OR","EQY_CONSOLIDATED=Y","Sort=A","Dates=H","DateFormat=P","Fill=—","Direction=H","UseDPDF=Y")</f>
        <v>#NAME?</v>
      </c>
      <c r="BQ487" s="2" t="e">
        <f ca="1">_xll.BDH($C$478,"WORKING_CAPITAL_SEQ_GROWTH","FQ4 2015","FQ4 2015","Currency=INR","Period=FQ","BEST_FPERIOD_OVERRIDE=FQ","FILING_STATUS=OR","EQY_CONSOLIDATED=Y","Sort=A","Dates=H","DateFormat=P","Fill=—","Direction=H","UseDPDF=Y")</f>
        <v>#NAME?</v>
      </c>
      <c r="BR487" s="2" t="e">
        <f ca="1">_xll.BDH($C$478,"ACCOUNTS_PAYABLE_SEQ_GROWTH","FQ4 2015","FQ4 2015","Currency=INR","Period=FQ","BEST_FPERIOD_OVERRIDE=FQ","FILING_STATUS=OR","EQY_CONSOLIDATED=Y","Sort=A","Dates=H","DateFormat=P","Fill=—","Direction=H","UseDPDF=Y")</f>
        <v>#NAME?</v>
      </c>
      <c r="BS487" s="2" t="e">
        <f ca="1">_xll.BDH($C$478,"ST_DEBT_SEQUENTIAL_GROWTH","FQ4 2015","FQ4 2015","Currency=INR","Period=FQ","BEST_FPERIOD_OVERRIDE=FQ","FILING_STATUS=OR","EQY_CONSOLIDATED=Y","Sort=A","Dates=H","DateFormat=P","Fill=—","Direction=H","UseDPDF=Y")</f>
        <v>#NAME?</v>
      </c>
      <c r="BT487" s="2" t="e">
        <f ca="1">_xll.BDH($C$478,"TOTAL_DEBT_SEQUENTIAL_GROWTH","FQ4 2015","FQ4 2015","Currency=INR","Period=FQ","BEST_FPERIOD_OVERRIDE=FQ","FILING_STATUS=OR","EQY_CONSOLIDATED=Y","Sort=A","Dates=H","DateFormat=P","Fill=—","Direction=H","UseDPDF=Y")</f>
        <v>#NAME?</v>
      </c>
      <c r="BU487" s="2" t="e">
        <f ca="1">_xll.BDH($C$478,"TOTAL_EQUITY_SEQUENTIAL_GROWTH","FQ4 2015","FQ4 2015","Currency=INR","Period=FQ","BEST_FPERIOD_OVERRIDE=FQ","FILING_STATUS=OR","EQY_CONSOLIDATED=Y","Sort=A","Dates=H","DateFormat=P","Fill=—","Direction=H","UseDPDF=Y")</f>
        <v>#NAME?</v>
      </c>
      <c r="BV487" s="2" t="e">
        <f ca="1">_xll.BDH($C$478,"TOTAL_CAPITAL_SEQUENTIAL_GROWTH","FQ4 2015","FQ4 2015","Currency=INR","Period=FQ","BEST_FPERIOD_OVERRIDE=FQ","FILING_STATUS=OR","EQY_CONSOLIDATED=Y","Sort=A","Dates=H","DateFormat=P","Fill=—","Direction=H","UseDPDF=Y")</f>
        <v>#NAME?</v>
      </c>
      <c r="BW487" s="2" t="e">
        <f ca="1">_xll.BDH($C$478,"BPS_SEQUENTIAL_GROWTH","FQ4 2015","FQ4 2015","Currency=INR","Period=FQ","BEST_FPERIOD_OVERRIDE=FQ","FILING_STATUS=OR","EQY_CONSOLIDATED=Y","Sort=A","Dates=H","DateFormat=P","Fill=—","Direction=H","UseDPDF=Y")</f>
        <v>#NAME?</v>
      </c>
      <c r="BX487" s="2" t="e">
        <f ca="1">_xll.BDH($C$478,"CFO_SEQUENTIAL_GROWTH","FQ4 2015","FQ4 2015","Currency=INR","Period=FQ","BEST_FPERIOD_OVERRIDE=FQ","FILING_STATUS=OR","EQY_CONSOLIDATED=Y","Sort=A","Dates=H","DateFormat=P","Fill=—","Direction=H","UseDPDF=Y")</f>
        <v>#NAME?</v>
      </c>
      <c r="BY487" s="3" t="e">
        <f ca="1">_xll.BDH($C$478,"SHORT_AND_LONG_TERM_DEBT","FQ4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487" s="3" t="e">
        <f ca="1">_xll.BDH($C$478,"BS_ST_BORROW","FQ4 2015","FQ4 2015","Currency=INR","Period=FQ","BEST_FPERIOD_OVERRIDE=FQ","FILING_STATUS=OR","EQY_CONSOLIDATED=Y","SCALING_FORMAT=MLN","Sort=A","Dates=H","DateFormat=P","Fill=—","Direction=H","UseDPDF=Y")</f>
        <v>#NAME?</v>
      </c>
      <c r="CA487" s="3" t="e">
        <f ca="1">_xll.BDH($C$478,"BS_LT_BORROW","FQ4 2015","FQ4 2015","Currency=INR","Period=FQ","BEST_FPERIOD_OVERRIDE=FQ","FILING_STATUS=OR","EQY_CONSOLIDATED=Y","SCALING_FORMAT=MLN","Sort=A","Dates=H","DateFormat=P","Fill=—","Direction=H","UseDPDF=Y")</f>
        <v>#NAME?</v>
      </c>
      <c r="CB487" s="2" t="e">
        <f ca="1">_xll.BDH($C$478,"TOT_DEBT_TO_EBITDA","FQ4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487" s="2" t="e">
        <f ca="1">_xll.BDH($C$478,"NET_DEBT_TO_EBITDA","FQ4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487" s="2" t="e">
        <f ca="1">_xll.BDH($C$478,"TOTAL_DEBT_TO_EBIT","FQ4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487" s="2" t="e">
        <f ca="1">_xll.BDH($C$478,"NET_DEBT_TO_EBIT","FQ4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487" s="2" t="e">
        <f ca="1">_xll.BDH($C$478,"EBITDA_TO_INTEREST_EXPN","FQ4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487" s="2" t="e">
        <f ca="1">_xll.BDH($C$478,"COM_EQY_TO_TOT_ASSET","FQ4 2015","FQ4 2015","Currency=INR","Period=FQ","BEST_FPERIOD_OVERRIDE=FQ","FILING_STATUS=OR","EQY_CONSOLIDATED=Y","Sort=A","Dates=H","DateFormat=P","Fill=—","Direction=H","UseDPDF=Y")</f>
        <v>#NAME?</v>
      </c>
      <c r="CH487" s="2" t="e">
        <f ca="1">_xll.BDH($C$478,"LT_DEBT_TO_TOT_EQY","FQ4 2015","FQ4 2015","Currency=INR","Period=FQ","BEST_FPERIOD_OVERRIDE=FQ","FILING_STATUS=OR","EQY_CONSOLIDATED=Y","Sort=A","Dates=H","DateFormat=P","Fill=—","Direction=H","UseDPDF=Y")</f>
        <v>#NAME?</v>
      </c>
      <c r="CI487" s="2" t="e">
        <f ca="1">_xll.BDH($C$478,"LT_DEBT_TO_TOT_CAP","FQ4 2015","FQ4 2015","Currency=INR","Period=FQ","BEST_FPERIOD_OVERRIDE=FQ","FILING_STATUS=OR","EQY_CONSOLIDATED=Y","Sort=A","Dates=H","DateFormat=P","Fill=—","Direction=H","UseDPDF=Y")</f>
        <v>#NAME?</v>
      </c>
      <c r="CJ487" s="2" t="e">
        <f ca="1">_xll.BDH($C$478,"LT_DEBT_TO_TOT_ASSET","FQ4 2015","FQ4 2015","Currency=INR","Period=FQ","BEST_FPERIOD_OVERRIDE=FQ","FILING_STATUS=OR","EQY_CONSOLIDATED=Y","Sort=A","Dates=H","DateFormat=P","Fill=—","Direction=H","UseDPDF=Y")</f>
        <v>#NAME?</v>
      </c>
      <c r="CK487" s="2" t="e">
        <f ca="1">_xll.BDH($C$478,"TOT_DEBT_TO_TOT_EQY","FQ4 2015","FQ4 2015","Currency=INR","Period=FQ","BEST_FPERIOD_OVERRIDE=FQ","FILING_STATUS=OR","EQY_CONSOLIDATED=Y","Sort=A","Dates=H","DateFormat=P","Fill=—","Direction=H","UseDPDF=Y")</f>
        <v>#NAME?</v>
      </c>
      <c r="CL487" s="2" t="e">
        <f ca="1">_xll.BDH($C$478,"TOT_DEBT_TO_TOT_CAP","FQ4 2015","FQ4 2015","Currency=INR","Period=FQ","BEST_FPERIOD_OVERRIDE=FQ","FILING_STATUS=OR","EQY_CONSOLIDATED=Y","Sort=A","Dates=H","DateFormat=P","Fill=—","Direction=H","UseDPDF=Y")</f>
        <v>#NAME?</v>
      </c>
      <c r="CM487" s="2" t="e">
        <f ca="1">_xll.BDH($C$478,"TOT_DEBT_TO_TOT_ASSET","FQ4 2015","FQ4 2015","Currency=INR","Period=FQ","BEST_FPERIOD_OVERRIDE=FQ","FILING_STATUS=OR","EQY_CONSOLIDATED=Y","Sort=A","Dates=H","DateFormat=P","Fill=—","Direction=H","UseDPDF=Y")</f>
        <v>#NAME?</v>
      </c>
      <c r="CN487" s="2" t="e">
        <f ca="1">_xll.BDH($C$478,"NET_DEBT_TO_SHRHLDR_EQTY","FQ4 2015","FQ4 2015","Currency=INR","Period=FQ","BEST_FPERIOD_OVERRIDE=FQ","FILING_STATUS=OR","EQY_CONSOLIDATED=Y","Sort=A","Dates=H","DateFormat=P","Fill=—","Direction=H","UseDPDF=Y")</f>
        <v>#NAME?</v>
      </c>
      <c r="CO487" s="2" t="e">
        <f ca="1">_xll.BDH($C$478,"NET_DEBT_%_CAPITAL","FQ4 2015","FQ4 2015","Currency=INR","Period=FQ","BEST_FPERIOD_OVERRIDE=FQ","FILING_STATUS=OR","EQY_CONSOLIDATED=Y","Sort=A","Dates=H","DateFormat=P","Fill=—","Direction=H","UseDPDF=Y")</f>
        <v>#NAME?</v>
      </c>
      <c r="CP487" s="3" t="e">
        <f ca="1">_xll.BDH($C$478,"EBITDA","FQ4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487" s="3" t="e">
        <f ca="1">_xll.BDH($C$478,"EBITDA_AFTER_CAPEX","FQ4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487" s="3" t="e">
        <f ca="1">_xll.BDH($C$478,"IS_OPER_INC","FQ4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487" s="2" t="e">
        <f ca="1">_xll.BDH($C$478,"CASH_RATIO","FQ4 2015","FQ4 2015","Currency=INR","Period=FQ","BEST_FPERIOD_OVERRIDE=FQ","FILING_STATUS=OR","EQY_CONSOLIDATED=Y","Sort=A","Dates=H","DateFormat=P","Fill=—","Direction=H","UseDPDF=Y")</f>
        <v>#NAME?</v>
      </c>
      <c r="CT487" s="2" t="e">
        <f ca="1">_xll.BDH($C$478,"CUR_RATIO","FQ4 2015","FQ4 2015","Currency=INR","Period=FQ","BEST_FPERIOD_OVERRIDE=FQ","FILING_STATUS=OR","EQY_CONSOLIDATED=Y","Sort=A","Dates=H","DateFormat=P","Fill=—","Direction=H","UseDPDF=Y")</f>
        <v>#NAME?</v>
      </c>
      <c r="CU487" s="2" t="e">
        <f ca="1">_xll.BDH($C$478,"QUICK_RATIO","FQ4 2015","FQ4 2015","Currency=INR","Period=FQ","BEST_FPERIOD_OVERRIDE=FQ","FILING_STATUS=OR","EQY_CONSOLIDATED=Y","Sort=A","Dates=H","DateFormat=P","Fill=—","Direction=H","UseDPDF=Y")</f>
        <v>#NAME?</v>
      </c>
      <c r="CV487" s="2" t="e">
        <f ca="1">_xll.BDH($C$478,"ALTMAN_Z_SCORE","FQ4 2015","FQ4 2015","Currency=INR","Period=FQ","BEST_FPERIOD_OVERRIDE=FQ","FILING_STATUS=OR","EQY_CONSOLIDATED=Y","Sort=A","Dates=H","DateFormat=P","Fill=—","Direction=H","UseDPDF=Y")</f>
        <v>#NAME?</v>
      </c>
      <c r="CW487" s="4" t="e">
        <f ca="1">_xll.BDH($C$478,"ACCT_RCV_TURN","FQ4 2015","FQ4 2015","Currency=INR","Period=FQ","BEST_FPERIOD_OVERRIDE=FQ","FILING_STATUS=OR","EQY_CONSOLIDATED=Y","FA_ADJUSTED=GAAP","Sort=A","Dates=H","DateFormat=P","Fill=—","Direction=H","UseDPDF=Y")</f>
        <v>#NAME?</v>
      </c>
      <c r="CX487" s="2" t="e">
        <f ca="1">_xll.BDH($C$478,"ACCT_RCV_DAYS","FQ4 2015","FQ4 2015","Currency=INR","Period=FQ","BEST_FPERIOD_OVERRIDE=FQ","FILING_STATUS=OR","EQY_CONSOLIDATED=Y","FA_ADJUSTED=GAAP","Sort=A","Dates=H","DateFormat=P","Fill=—","Direction=H","UseDPDF=Y")</f>
        <v>#NAME?</v>
      </c>
      <c r="CY487" s="4" t="e">
        <f ca="1">_xll.BDH($C$478,"INVENT_TURN","FQ4 2015","FQ4 2015","Currency=INR","Period=FQ","BEST_FPERIOD_OVERRIDE=FQ","FILING_STATUS=OR","EQY_CONSOLIDATED=Y","FA_ADJUSTED=GAAP","Sort=A","Dates=H","DateFormat=P","Fill=—","Direction=H","UseDPDF=Y")</f>
        <v>#NAME?</v>
      </c>
      <c r="CZ487" s="2" t="e">
        <f ca="1">_xll.BDH($C$478,"INVENT_DAYS","FQ4 2015","FQ4 2015","Currency=INR","Period=FQ","BEST_FPERIOD_OVERRIDE=FQ","FILING_STATUS=OR","EQY_CONSOLIDATED=Y","FA_ADJUSTED=GAAP","Sort=A","Dates=H","DateFormat=P","Fill=—","Direction=H","UseDPDF=Y")</f>
        <v>#NAME?</v>
      </c>
      <c r="DA487" s="4" t="e">
        <f ca="1">_xll.BDH($C$478,"ACCOUNTS_PAYABLE_TURNOVER","FQ4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487" s="2" t="e">
        <f ca="1">_xll.BDH($C$478,"ACCOUNTS_PAYABLE_TURNOVER_DAYS","FQ4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487" s="4" t="e">
        <f ca="1">_xll.BDH($C$478,"CASH_CONVERSION_CYCLE","FQ4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487" s="4" t="e">
        <f ca="1">_xll.BDH($C$478,"INV_TO_CASH_DAYS","FQ4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487" s="5" t="e">
        <f ca="1">_xll.BDH($C$478,"BS_INVENTORIES","FQ4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487" s="3" t="e">
        <f ca="1">_xll.BDH($C$478,"INVTRY_RAW_MATERIALS","FQ4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487" s="3" t="e">
        <f ca="1">_xll.BDH($C$478,"INVTRY_IN_PROGRESS","FQ4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487" s="3" t="e">
        <f ca="1">_xll.BDH($C$478,"INVTRY_FINISHED_GOODS","FQ4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487" s="3" t="e">
        <f ca="1">_xll.BDH($C$478,"BS_OTHER_INV","FQ4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488" spans="1:113" x14ac:dyDescent="0.3">
      <c r="A488" s="6"/>
      <c r="B488" s="6"/>
      <c r="C488" s="6"/>
      <c r="D488" s="6" t="s">
        <v>83</v>
      </c>
      <c r="E488" t="s">
        <v>77</v>
      </c>
      <c r="F488" t="e">
        <f ca="1">_xll.BDH($C$478,"RETURN_COM_EQY","FY 2016","FY 2016","Currency=INR","Period=FY","BEST_FPERIOD_OVERRIDE=FY","FILING_STATUS=OR","EQY_CONSOLIDATED=Y","FA_ADJUSTED=GAAP","Sort=A","Dates=H","DateFormat=P","Fill=—","Direction=H","UseDPDF=Y")</f>
        <v>#NAME?</v>
      </c>
      <c r="G488" t="e">
        <f ca="1">_xll.BDH($C$478,"RETURN_ON_ASSET","FY 2016","FY 2016","Currency=INR","Period=FY","BEST_FPERIOD_OVERRIDE=FY","FILING_STATUS=OR","EQY_CONSOLIDATED=Y","FA_ADJUSTED=GAAP","Sort=A","Dates=H","DateFormat=P","Fill=—","Direction=H","UseDPDF=Y")</f>
        <v>#NAME?</v>
      </c>
      <c r="H488" t="e">
        <f ca="1">_xll.BDH($C$478,"RETURN_ON_CAP","FY 2016","FY 2016","Currency=INR","Period=FY","BEST_FPERIOD_OVERRIDE=FY","FILING_STATUS=OR","EQY_CONSOLIDATED=Y","FA_ADJUSTED=GAAP","Sort=A","Dates=H","DateFormat=P","Fill=—","Direction=H","UseDPDF=Y")</f>
        <v>#NAME?</v>
      </c>
      <c r="I488" t="e">
        <f ca="1">_xll.BDH($C$478,"RETURN_ON_INV_CAPITAL","FY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488" t="e">
        <f ca="1">_xll.BDH($C$478,"EBITDA_TO_REVENUE","FY 2016","FY 2016","Currency=INR","Period=FY","BEST_FPERIOD_OVERRIDE=FY","FILING_STATUS=OR","EQY_CONSOLIDATED=Y","FA_ADJUSTED=GAAP","Sort=A","Dates=H","DateFormat=P","Fill=—","Direction=H","UseDPDF=Y")</f>
        <v>#NAME?</v>
      </c>
      <c r="K488" t="e">
        <f ca="1">_xll.BDH($C$478,"OPER_MARGIN","FY 2016","FY 2016","Currency=INR","Period=FY","BEST_FPERIOD_OVERRIDE=FY","FILING_STATUS=OR","EQY_CONSOLIDATED=Y","FA_ADJUSTED=GAAP","Sort=A","Dates=H","DateFormat=P","Fill=—","Direction=H","UseDPDF=Y")</f>
        <v>#NAME?</v>
      </c>
      <c r="L488" t="e">
        <f ca="1">_xll.BDH($C$478,"INCREMENTAL_OPERATING_MARGIN","FY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488" t="e">
        <f ca="1">_xll.BDH($C$478,"PRETAX_INC_TO_NET_SALES","FY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488" t="e">
        <f ca="1">_xll.BDH($C$478,"INC_BEF_XO_ITEMS_TO_NET_SALES","FY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488" t="e">
        <f ca="1">_xll.BDH($C$478,"PROF_MARGIN","FY 2016","FY 2016","Currency=INR","Period=FY","BEST_FPERIOD_OVERRIDE=FY","FILING_STATUS=OR","EQY_CONSOLIDATED=Y","FA_ADJUSTED=GAAP","Sort=A","Dates=H","DateFormat=P","Fill=—","Direction=H","UseDPDF=Y")</f>
        <v>#NAME?</v>
      </c>
      <c r="P488" t="e">
        <f ca="1">_xll.BDH($C$478,"NET_INCOME_TO_COMMON_MARGIN","FY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488" t="e">
        <f ca="1">_xll.BDH($C$478,"EFF_TAX_RATE","FY 2016","FY 2016","Currency=INR","Period=FY","BEST_FPERIOD_OVERRIDE=FY","FILING_STATUS=OR","EQY_CONSOLIDATED=Y","FA_ADJUSTED=GAAP","Sort=A","Dates=H","DateFormat=P","Fill=—","Direction=H","UseDPDF=Y")</f>
        <v>#NAME?</v>
      </c>
      <c r="R488" t="e">
        <f ca="1">_xll.BDH($C$478,"DVD_PAYOUT_RATIO","FY 2016","FY 2016","Currency=INR","Period=FY","BEST_FPERIOD_OVERRIDE=FY","FILING_STATUS=OR","EQY_CONSOLIDATED=Y","FA_ADJUSTED=GAAP","Sort=A","Dates=H","DateFormat=P","Fill=—","Direction=H","UseDPDF=Y")</f>
        <v>#NAME?</v>
      </c>
      <c r="S488" t="e">
        <f ca="1">_xll.BDH($C$478,"SUSTAIN_GROWTH_RT","FY 2016","FY 2016","Currency=INR","Period=FY","BEST_FPERIOD_OVERRIDE=FY","FILING_STATUS=OR","EQY_CONSOLIDATED=Y","FA_ADJUSTED=GAAP","Sort=A","Dates=H","DateFormat=P","Fill=—","Direction=H","UseDPDF=Y")</f>
        <v>#NAME?</v>
      </c>
      <c r="T488" s="2" t="e">
        <f ca="1">_xll.BDH($C$478,"SALES_GROWTH","FY 2016","FY 2016","Currency=INR","Period=FY","BEST_FPERIOD_OVERRIDE=FY","FILING_STATUS=OR","EQY_CONSOLIDATED=Y","FA_ADJUSTED=GAAP","Sort=A","Dates=H","DateFormat=P","Fill=—","Direction=H","UseDPDF=Y")</f>
        <v>#NAME?</v>
      </c>
      <c r="U488" s="2" t="e">
        <f ca="1">_xll.BDH($C$478,"EBITDA_GROWTH","FY 2016","FY 2016","Currency=INR","Period=FY","BEST_FPERIOD_OVERRIDE=FY","FILING_STATUS=OR","EQY_CONSOLIDATED=Y","FA_ADJUSTED=GAAP","Sort=A","Dates=H","DateFormat=P","Fill=—","Direction=H","UseDPDF=Y")</f>
        <v>#NAME?</v>
      </c>
      <c r="V488" s="2" t="e">
        <f ca="1">_xll.BDH($C$478,"OPER_INC_GROWTH","FY 2016","FY 2016","Currency=INR","Period=FY","BEST_FPERIOD_OVERRIDE=FY","FILING_STATUS=OR","EQY_CONSOLIDATED=Y","FA_ADJUSTED=GAAP","Sort=A","Dates=H","DateFormat=P","Fill=—","Direction=H","UseDPDF=Y")</f>
        <v>#NAME?</v>
      </c>
      <c r="W488" s="2" t="e">
        <f ca="1">_xll.BDH($C$478,"EARN_FOR_COM_GROWTH","FY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488" s="2" t="e">
        <f ca="1">_xll.BDH($C$478,"DILUTED_EPS_AFT_XO_ITEMS_GROWTH","FY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488" s="2" t="e">
        <f ca="1">_xll.BDH($C$478,"DIVIDEND_PER_SHARE_1_YEAR_GROWTH","FY 2016","FY 2016","Currency=INR","Period=FY","BEST_FPERIOD_OVERRIDE=FY","FILING_STATUS=OR","EQY_CONSOLIDATED=Y","Sort=A","Dates=H","DateFormat=P","Fill=—","Direction=H","UseDPDF=Y")</f>
        <v>#NAME?</v>
      </c>
      <c r="Z488" s="2" t="e">
        <f ca="1">_xll.BDH($C$478,"ACCOUNTS_RECEIVABLE_GROWTH","FY 2016","FY 2016","Currency=INR","Period=FY","BEST_FPERIOD_OVERRIDE=FY","FILING_STATUS=OR","EQY_CONSOLIDATED=Y","Sort=A","Dates=H","DateFormat=P","Fill=—","Direction=H","UseDPDF=Y")</f>
        <v>#NAME?</v>
      </c>
      <c r="AA488" s="2" t="e">
        <f ca="1">_xll.BDH($C$478,"INVENTORY_GROWTH","FY 2016","FY 2016","Currency=INR","Period=FY","BEST_FPERIOD_OVERRIDE=FY","FILING_STATUS=OR","EQY_CONSOLIDATED=Y","Sort=A","Dates=H","DateFormat=P","Fill=—","Direction=H","UseDPDF=Y")</f>
        <v>#NAME?</v>
      </c>
      <c r="AB488" s="2" t="e">
        <f ca="1">_xll.BDH($C$478,"NET_FIXED_ASSETS_1_YEAR_GROWTH","FY 2016","FY 2016","Currency=INR","Period=FY","BEST_FPERIOD_OVERRIDE=FY","FILING_STATUS=OR","EQY_CONSOLIDATED=Y","Sort=A","Dates=H","DateFormat=P","Fill=—","Direction=H","UseDPDF=Y")</f>
        <v>#NAME?</v>
      </c>
      <c r="AC488" s="2" t="e">
        <f ca="1">_xll.BDH($C$478,"ASSET_GROWTH","FY 2016","FY 2016","Currency=INR","Period=FY","BEST_FPERIOD_OVERRIDE=FY","FILING_STATUS=OR","EQY_CONSOLIDATED=Y","Sort=A","Dates=H","DateFormat=P","Fill=—","Direction=H","UseDPDF=Y")</f>
        <v>#NAME?</v>
      </c>
      <c r="AD488" s="2" t="e">
        <f ca="1">_xll.BDH($C$478,"MODIFIED_WORK_CAP_GROWTH","FY 2016","FY 2016","Currency=INR","Period=FY","BEST_FPERIOD_OVERRIDE=FY","FILING_STATUS=OR","EQY_CONSOLIDATED=Y","Sort=A","Dates=H","DateFormat=P","Fill=—","Direction=H","UseDPDF=Y")</f>
        <v>#NAME?</v>
      </c>
      <c r="AE488" s="2" t="e">
        <f ca="1">_xll.BDH($C$478,"WORK_CAP_GROWTH","FY 2016","FY 2016","Currency=INR","Period=FY","BEST_FPERIOD_OVERRIDE=FY","FILING_STATUS=OR","EQY_CONSOLIDATED=Y","Sort=A","Dates=H","DateFormat=P","Fill=—","Direction=H","UseDPDF=Y")</f>
        <v>#NAME?</v>
      </c>
      <c r="AF488" s="2" t="e">
        <f ca="1">_xll.BDH($C$478,"ACCOUNTS_PAYABLE_GROWTH_1YR","FY 2016","FY 2016","Currency=INR","Period=FY","BEST_FPERIOD_OVERRIDE=FY","FILING_STATUS=OR","EQY_CONSOLIDATED=Y","Sort=A","Dates=H","DateFormat=P","Fill=—","Direction=H","UseDPDF=Y")</f>
        <v>#NAME?</v>
      </c>
      <c r="AG488" s="2" t="e">
        <f ca="1">_xll.BDH($C$478,"SHORT_TERM_DEBT_1_YEAR_GROWTH","FY 2016","FY 2016","Currency=INR","Period=FY","BEST_FPERIOD_OVERRIDE=FY","FILING_STATUS=OR","EQY_CONSOLIDATED=Y","Sort=A","Dates=H","DateFormat=P","Fill=—","Direction=H","UseDPDF=Y")</f>
        <v>#NAME?</v>
      </c>
      <c r="AH488" s="2" t="e">
        <f ca="1">_xll.BDH($C$478,"TOTAL_DEBT_1_YEAR_GROWTH","FY 2016","FY 2016","Currency=INR","Period=FY","BEST_FPERIOD_OVERRIDE=FY","FILING_STATUS=OR","EQY_CONSOLIDATED=Y","Sort=A","Dates=H","DateFormat=P","Fill=—","Direction=H","UseDPDF=Y")</f>
        <v>#NAME?</v>
      </c>
      <c r="AI488" s="2" t="e">
        <f ca="1">_xll.BDH($C$478,"TOTAL_EQUITY_1_YEAR_GROWTH","FY 2016","FY 2016","Currency=INR","Period=FY","BEST_FPERIOD_OVERRIDE=FY","FILING_STATUS=OR","EQY_CONSOLIDATED=Y","Sort=A","Dates=H","DateFormat=P","Fill=—","Direction=H","UseDPDF=Y")</f>
        <v>#NAME?</v>
      </c>
      <c r="AJ488" s="2" t="e">
        <f ca="1">_xll.BDH($C$478,"GROWTH_IN_CAP","FY 2016","FY 2016","Currency=INR","Period=FY","BEST_FPERIOD_OVERRIDE=FY","FILING_STATUS=OR","EQY_CONSOLIDATED=Y","Sort=A","Dates=H","DateFormat=P","Fill=—","Direction=H","UseDPDF=Y")</f>
        <v>#NAME?</v>
      </c>
      <c r="AK488" s="2" t="e">
        <f ca="1">_xll.BDH($C$478,"BVPS_GROWTH","FY 2016","FY 2016","Currency=INR","Period=FY","BEST_FPERIOD_OVERRIDE=FY","FILING_STATUS=OR","EQY_CONSOLIDATED=Y","Sort=A","Dates=H","DateFormat=P","Fill=—","Direction=H","UseDPDF=Y")</f>
        <v>#NAME?</v>
      </c>
      <c r="AL488" s="2" t="e">
        <f ca="1">_xll.BDH($C$478,"CASH_FLOW_GROWTH","FY 2016","FY 2016","Currency=INR","Period=FY","BEST_FPERIOD_OVERRIDE=FY","FILING_STATUS=OR","EQY_CONSOLIDATED=Y","Sort=A","Dates=H","DateFormat=P","Fill=—","Direction=H","UseDPDF=Y")</f>
        <v>#NAME?</v>
      </c>
      <c r="AM488" s="2" t="e">
        <f ca="1">_xll.BDH($C$478,"GEO_GROW_NET_SALES","FY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488" s="2" t="e">
        <f ca="1">_xll.BDH($C$478,"GEO_GROW_EBITDA","FY 2016","FY 2016","Currency=INR","Period=FY","BEST_FPERIOD_OVERRIDE=FY","FILING_STATUS=OR","EQY_CONSOLIDATED=Y","FA_ADJUSTED=GAAP","Sort=A","Dates=H","DateFormat=P","Fill=—","Direction=H","UseDPDF=Y")</f>
        <v>#NAME?</v>
      </c>
      <c r="AO488" s="2" t="e">
        <f ca="1">_xll.BDH($C$478,"GEO_GROW_OPER_INC","FY 2016","FY 2016","Currency=INR","Period=FY","BEST_FPERIOD_OVERRIDE=FY","FILING_STATUS=OR","EQY_CONSOLIDATED=Y","FA_ADJUSTED=GAAP","Sort=A","Dates=H","DateFormat=P","Fill=—","Direction=H","UseDPDF=Y")</f>
        <v>#NAME?</v>
      </c>
      <c r="AP488" s="2" t="e">
        <f ca="1">_xll.BDH($C$478,"NET_INCOME_TO_COMMON_5_YR_GROWTH","FY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488" s="2" t="e">
        <f ca="1">_xll.BDH($C$478,"5Y_GEO_GROWTH_DILUTED_EPS","FY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488" s="2" t="e">
        <f ca="1">_xll.BDH($C$478,"GEO_GROW_DVD_PER_SH","FY 2016","FY 2016","Currency=INR","Period=FY","BEST_FPERIOD_OVERRIDE=FY","FILING_STATUS=OR","EQY_CONSOLIDATED=Y","Sort=A","Dates=H","DateFormat=P","Fill=—","Direction=H","UseDPDF=Y")</f>
        <v>#NAME?</v>
      </c>
      <c r="AS488" s="2" t="e">
        <f ca="1">_xll.BDH($C$478,"ACCOUNTS_RECEIVABLE_5_YR_GROWTH","FY 2016","FY 2016","Currency=INR","Period=FY","BEST_FPERIOD_OVERRIDE=FY","FILING_STATUS=OR","EQY_CONSOLIDATED=Y","Sort=A","Dates=H","DateFormat=P","Fill=—","Direction=H","UseDPDF=Y")</f>
        <v>#NAME?</v>
      </c>
      <c r="AT488" s="2" t="e">
        <f ca="1">_xll.BDH($C$478,"INVENTORY_5_YEAR_GROWTH","FY 2016","FY 2016","Currency=INR","Period=FY","BEST_FPERIOD_OVERRIDE=FY","FILING_STATUS=OR","EQY_CONSOLIDATED=Y","Sort=A","Dates=H","DateFormat=P","Fill=—","Direction=H","UseDPDF=Y")</f>
        <v>#NAME?</v>
      </c>
      <c r="AU488" s="2" t="e">
        <f ca="1">_xll.BDH($C$478,"NET_FIXED_ASSETS_5_YEAR_GROWTH","FY 2016","FY 2016","Currency=INR","Period=FY","BEST_FPERIOD_OVERRIDE=FY","FILING_STATUS=OR","EQY_CONSOLIDATED=Y","Sort=A","Dates=H","DateFormat=P","Fill=—","Direction=H","UseDPDF=Y")</f>
        <v>#NAME?</v>
      </c>
      <c r="AV488" s="2" t="e">
        <f ca="1">_xll.BDH($C$478,"GEO_GROW_TOT_ASSET","FY 2016","FY 2016","Currency=INR","Period=FY","BEST_FPERIOD_OVERRIDE=FY","FILING_STATUS=OR","EQY_CONSOLIDATED=Y","Sort=A","Dates=H","DateFormat=P","Fill=—","Direction=H","UseDPDF=Y")</f>
        <v>#NAME?</v>
      </c>
      <c r="AW488" s="2" t="e">
        <f ca="1">_xll.BDH($C$478,"MODIFIED_WORKING_CPTL_5YR_GRWTH","FY 2016","FY 2016","Currency=INR","Period=FY","BEST_FPERIOD_OVERRIDE=FY","FILING_STATUS=OR","EQY_CONSOLIDATED=Y","Sort=A","Dates=H","DateFormat=P","Fill=—","Direction=H","UseDPDF=Y")</f>
        <v>#NAME?</v>
      </c>
      <c r="AX488" s="2" t="e">
        <f ca="1">_xll.BDH($C$478,"WORKING_CAPITAL_5_YEAR_GROWTH","FY 2016","FY 2016","Currency=INR","Period=FY","BEST_FPERIOD_OVERRIDE=FY","FILING_STATUS=OR","EQY_CONSOLIDATED=Y","Sort=A","Dates=H","DateFormat=P","Fill=—","Direction=H","UseDPDF=Y")</f>
        <v>#NAME?</v>
      </c>
      <c r="AY488" s="2" t="e">
        <f ca="1">_xll.BDH($C$478,"ACCOUNTS_PAYABLE_5_YEAR_GROWTH","FY 2016","FY 2016","Currency=INR","Period=FY","BEST_FPERIOD_OVERRIDE=FY","FILING_STATUS=OR","EQY_CONSOLIDATED=Y","Sort=A","Dates=H","DateFormat=P","Fill=—","Direction=H","UseDPDF=Y")</f>
        <v>#NAME?</v>
      </c>
      <c r="AZ488" s="2" t="e">
        <f ca="1">_xll.BDH($C$478,"SHORT_TERM_DEBT_5_YEAR_GROWTH","FY 2016","FY 2016","Currency=INR","Period=FY","BEST_FPERIOD_OVERRIDE=FY","FILING_STATUS=OR","EQY_CONSOLIDATED=Y","Sort=A","Dates=H","DateFormat=P","Fill=—","Direction=H","UseDPDF=Y")</f>
        <v>#NAME?</v>
      </c>
      <c r="BA488" s="2" t="e">
        <f ca="1">_xll.BDH($C$478,"TOTAL_DEBT_5_YEAR_GROWTH","FY 2016","FY 2016","Currency=INR","Period=FY","BEST_FPERIOD_OVERRIDE=FY","FILING_STATUS=OR","EQY_CONSOLIDATED=Y","Sort=A","Dates=H","DateFormat=P","Fill=—","Direction=H","UseDPDF=Y")</f>
        <v>#NAME?</v>
      </c>
      <c r="BB488" s="2" t="e">
        <f ca="1">_xll.BDH($C$478,"GEO_GROW_TOT_SHRHLDR_EQY","FY 2016","FY 2016","Currency=INR","Period=FY","BEST_FPERIOD_OVERRIDE=FY","FILING_STATUS=OR","EQY_CONSOLIDATED=Y","Sort=A","Dates=H","DateFormat=P","Fill=—","Direction=H","UseDPDF=Y")</f>
        <v>#NAME?</v>
      </c>
      <c r="BC488" s="2" t="e">
        <f ca="1">_xll.BDH($C$478,"TOTAL_CAPITAL_5_YEAR_GROWTH","FY 2016","FY 2016","Currency=INR","Period=FY","BEST_FPERIOD_OVERRIDE=FY","FILING_STATUS=OR","EQY_CONSOLIDATED=Y","Sort=A","Dates=H","DateFormat=P","Fill=—","Direction=H","UseDPDF=Y")</f>
        <v>#NAME?</v>
      </c>
      <c r="BD488" s="2" t="e">
        <f ca="1">_xll.BDH($C$478,"GEO_GROW_BOOK_VAL","FY 2016","FY 2016","Currency=INR","Period=FY","BEST_FPERIOD_OVERRIDE=FY","FILING_STATUS=OR","EQY_CONSOLIDATED=Y","Sort=A","Dates=H","DateFormat=P","Fill=—","Direction=H","UseDPDF=Y")</f>
        <v>#NAME?</v>
      </c>
      <c r="BE488" s="2" t="e">
        <f ca="1">_xll.BDH($C$478,"GEO_GROW_CASH_OPER_ACT","FY 2016","FY 2016","Currency=INR","Period=FY","BEST_FPERIOD_OVERRIDE=FY","FILING_STATUS=OR","EQY_CONSOLIDATED=Y","Sort=A","Dates=H","DateFormat=P","Fill=—","Direction=H","UseDPDF=Y")</f>
        <v>#NAME?</v>
      </c>
      <c r="BF488" s="2" t="e">
        <f ca="1">_xll.BDH($C$478,"REVENUE_SEQUENTIAL_GROWTH","FY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488" s="2" t="e">
        <f ca="1">_xll.BDH($C$478,"EBITDA_SEQUENTIAL_GROWTH","FY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488" s="2" t="e">
        <f ca="1">_xll.BDH($C$478,"OPERATING_INCOME_SEQ_GROWTH","FY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488" s="2" t="e">
        <f ca="1">_xll.BDH($C$478,"NET_INCOME_TO_COMMON_SEQ_GROWTH","FY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488" s="2" t="e">
        <f ca="1">_xll.BDH($C$478,"EPS_DILUTED_SEQUENTIAL_GROWTH","FY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488" s="2" t="e">
        <f ca="1">_xll.BDH($C$478,"DPS_SEQUENTIAL_GROWTH","FY 2016","FY 2016","Currency=INR","Period=FY","BEST_FPERIOD_OVERRIDE=FY","FILING_STATUS=OR","EQY_CONSOLIDATED=Y","Sort=A","Dates=H","DateFormat=P","Fill=—","Direction=H","UseDPDF=Y")</f>
        <v>#NAME?</v>
      </c>
      <c r="BL488" s="2" t="e">
        <f ca="1">_xll.BDH($C$478,"ACCOUNTS_RECEIVABLE_SEQ_GROWTH","FY 2016","FY 2016","Currency=INR","Period=FY","BEST_FPERIOD_OVERRIDE=FY","FILING_STATUS=OR","EQY_CONSOLIDATED=Y","Sort=A","Dates=H","DateFormat=P","Fill=—","Direction=H","UseDPDF=Y")</f>
        <v>#NAME?</v>
      </c>
      <c r="BM488" s="2" t="e">
        <f ca="1">_xll.BDH($C$478,"INVENTORY_SEQUENTIAL_GROWTH","FY 2016","FY 2016","Currency=INR","Period=FY","BEST_FPERIOD_OVERRIDE=FY","FILING_STATUS=OR","EQY_CONSOLIDATED=Y","Sort=A","Dates=H","DateFormat=P","Fill=—","Direction=H","UseDPDF=Y")</f>
        <v>#NAME?</v>
      </c>
      <c r="BN488" s="2" t="e">
        <f ca="1">_xll.BDH($C$478,"FIXED_ASSETS_SEQUENTIAL_GROWTH","FY 2016","FY 2016","Currency=INR","Period=FY","BEST_FPERIOD_OVERRIDE=FY","FILING_STATUS=OR","EQY_CONSOLIDATED=Y","Sort=A","Dates=H","DateFormat=P","Fill=—","Direction=H","UseDPDF=Y")</f>
        <v>#NAME?</v>
      </c>
      <c r="BO488" s="2" t="e">
        <f ca="1">_xll.BDH($C$478,"TOTAL_ASSETS_SEQUENTIAL_GROWTH","FY 2016","FY 2016","Currency=INR","Period=FY","BEST_FPERIOD_OVERRIDE=FY","FILING_STATUS=OR","EQY_CONSOLIDATED=Y","Sort=A","Dates=H","DateFormat=P","Fill=—","Direction=H","UseDPDF=Y")</f>
        <v>#NAME?</v>
      </c>
      <c r="BP488" s="2" t="e">
        <f ca="1">_xll.BDH($C$478,"MODIFIED_WORKING_CPTL_SEQ_GRWTH","FY 2016","FY 2016","Currency=INR","Period=FY","BEST_FPERIOD_OVERRIDE=FY","FILING_STATUS=OR","EQY_CONSOLIDATED=Y","Sort=A","Dates=H","DateFormat=P","Fill=—","Direction=H","UseDPDF=Y")</f>
        <v>#NAME?</v>
      </c>
      <c r="BQ488" s="2" t="e">
        <f ca="1">_xll.BDH($C$478,"WORKING_CAPITAL_SEQ_GROWTH","FY 2016","FY 2016","Currency=INR","Period=FY","BEST_FPERIOD_OVERRIDE=FY","FILING_STATUS=OR","EQY_CONSOLIDATED=Y","Sort=A","Dates=H","DateFormat=P","Fill=—","Direction=H","UseDPDF=Y")</f>
        <v>#NAME?</v>
      </c>
      <c r="BR488" s="2" t="e">
        <f ca="1">_xll.BDH($C$478,"ACCOUNTS_PAYABLE_SEQ_GROWTH","FY 2016","FY 2016","Currency=INR","Period=FY","BEST_FPERIOD_OVERRIDE=FY","FILING_STATUS=OR","EQY_CONSOLIDATED=Y","Sort=A","Dates=H","DateFormat=P","Fill=—","Direction=H","UseDPDF=Y")</f>
        <v>#NAME?</v>
      </c>
      <c r="BS488" s="2" t="e">
        <f ca="1">_xll.BDH($C$478,"ST_DEBT_SEQUENTIAL_GROWTH","FY 2016","FY 2016","Currency=INR","Period=FY","BEST_FPERIOD_OVERRIDE=FY","FILING_STATUS=OR","EQY_CONSOLIDATED=Y","Sort=A","Dates=H","DateFormat=P","Fill=—","Direction=H","UseDPDF=Y")</f>
        <v>#NAME?</v>
      </c>
      <c r="BT488" s="2" t="e">
        <f ca="1">_xll.BDH($C$478,"TOTAL_DEBT_SEQUENTIAL_GROWTH","FY 2016","FY 2016","Currency=INR","Period=FY","BEST_FPERIOD_OVERRIDE=FY","FILING_STATUS=OR","EQY_CONSOLIDATED=Y","Sort=A","Dates=H","DateFormat=P","Fill=—","Direction=H","UseDPDF=Y")</f>
        <v>#NAME?</v>
      </c>
      <c r="BU488" s="2" t="e">
        <f ca="1">_xll.BDH($C$478,"TOTAL_EQUITY_SEQUENTIAL_GROWTH","FY 2016","FY 2016","Currency=INR","Period=FY","BEST_FPERIOD_OVERRIDE=FY","FILING_STATUS=OR","EQY_CONSOLIDATED=Y","Sort=A","Dates=H","DateFormat=P","Fill=—","Direction=H","UseDPDF=Y")</f>
        <v>#NAME?</v>
      </c>
      <c r="BV488" s="2" t="e">
        <f ca="1">_xll.BDH($C$478,"TOTAL_CAPITAL_SEQUENTIAL_GROWTH","FY 2016","FY 2016","Currency=INR","Period=FY","BEST_FPERIOD_OVERRIDE=FY","FILING_STATUS=OR","EQY_CONSOLIDATED=Y","Sort=A","Dates=H","DateFormat=P","Fill=—","Direction=H","UseDPDF=Y")</f>
        <v>#NAME?</v>
      </c>
      <c r="BW488" s="2" t="e">
        <f ca="1">_xll.BDH($C$478,"BPS_SEQUENTIAL_GROWTH","FY 2016","FY 2016","Currency=INR","Period=FY","BEST_FPERIOD_OVERRIDE=FY","FILING_STATUS=OR","EQY_CONSOLIDATED=Y","Sort=A","Dates=H","DateFormat=P","Fill=—","Direction=H","UseDPDF=Y")</f>
        <v>#NAME?</v>
      </c>
      <c r="BX488" s="2" t="e">
        <f ca="1">_xll.BDH($C$478,"CFO_SEQUENTIAL_GROWTH","FY 2016","FY 2016","Currency=INR","Period=FY","BEST_FPERIOD_OVERRIDE=FY","FILING_STATUS=OR","EQY_CONSOLIDATED=Y","Sort=A","Dates=H","DateFormat=P","Fill=—","Direction=H","UseDPDF=Y")</f>
        <v>#NAME?</v>
      </c>
      <c r="BY488" s="3" t="e">
        <f ca="1">_xll.BDH($C$478,"SHORT_AND_LONG_TERM_DEBT","FY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488" s="3" t="e">
        <f ca="1">_xll.BDH($C$478,"BS_ST_BORROW","FY 2016","FY 2016","Currency=INR","Period=FY","BEST_FPERIOD_OVERRIDE=FY","FILING_STATUS=OR","EQY_CONSOLIDATED=Y","SCALING_FORMAT=MLN","Sort=A","Dates=H","DateFormat=P","Fill=—","Direction=H","UseDPDF=Y")</f>
        <v>#NAME?</v>
      </c>
      <c r="CA488" s="3" t="e">
        <f ca="1">_xll.BDH($C$478,"BS_LT_BORROW","FY 2016","FY 2016","Currency=INR","Period=FY","BEST_FPERIOD_OVERRIDE=FY","FILING_STATUS=OR","EQY_CONSOLIDATED=Y","SCALING_FORMAT=MLN","Sort=A","Dates=H","DateFormat=P","Fill=—","Direction=H","UseDPDF=Y")</f>
        <v>#NAME?</v>
      </c>
      <c r="CB488" s="2" t="e">
        <f ca="1">_xll.BDH($C$478,"TOT_DEBT_TO_EBITDA","FY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488" s="2" t="e">
        <f ca="1">_xll.BDH($C$478,"NET_DEBT_TO_EBITDA","FY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488" s="2" t="e">
        <f ca="1">_xll.BDH($C$478,"TOTAL_DEBT_TO_EBIT","FY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488" s="2" t="e">
        <f ca="1">_xll.BDH($C$478,"NET_DEBT_TO_EBIT","FY 2016","FY 2016","Currency=INR","Period=FY","BEST_FPERIOD_OVERRIDE=FY","FILING_STATUS=OR","EQY_CONSOLIDATED=Y","FA_ADJUSTED=GAAP","Sort=A","Dates=H","DateFormat=P","Fill=—","Direction=H","UseDPDF=Y")</f>
        <v>#NAME?</v>
      </c>
      <c r="CF488" s="2" t="e">
        <f ca="1">_xll.BDH($C$478,"EBITDA_TO_INTEREST_EXPN","FY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488" s="2" t="e">
        <f ca="1">_xll.BDH($C$478,"COM_EQY_TO_TOT_ASSET","FY 2016","FY 2016","Currency=INR","Period=FY","BEST_FPERIOD_OVERRIDE=FY","FILING_STATUS=OR","EQY_CONSOLIDATED=Y","Sort=A","Dates=H","DateFormat=P","Fill=—","Direction=H","UseDPDF=Y")</f>
        <v>#NAME?</v>
      </c>
      <c r="CH488" s="2" t="e">
        <f ca="1">_xll.BDH($C$478,"LT_DEBT_TO_TOT_EQY","FY 2016","FY 2016","Currency=INR","Period=FY","BEST_FPERIOD_OVERRIDE=FY","FILING_STATUS=OR","EQY_CONSOLIDATED=Y","Sort=A","Dates=H","DateFormat=P","Fill=—","Direction=H","UseDPDF=Y")</f>
        <v>#NAME?</v>
      </c>
      <c r="CI488" s="2" t="e">
        <f ca="1">_xll.BDH($C$478,"LT_DEBT_TO_TOT_CAP","FY 2016","FY 2016","Currency=INR","Period=FY","BEST_FPERIOD_OVERRIDE=FY","FILING_STATUS=OR","EQY_CONSOLIDATED=Y","Sort=A","Dates=H","DateFormat=P","Fill=—","Direction=H","UseDPDF=Y")</f>
        <v>#NAME?</v>
      </c>
      <c r="CJ488" s="2" t="e">
        <f ca="1">_xll.BDH($C$478,"LT_DEBT_TO_TOT_ASSET","FY 2016","FY 2016","Currency=INR","Period=FY","BEST_FPERIOD_OVERRIDE=FY","FILING_STATUS=OR","EQY_CONSOLIDATED=Y","Sort=A","Dates=H","DateFormat=P","Fill=—","Direction=H","UseDPDF=Y")</f>
        <v>#NAME?</v>
      </c>
      <c r="CK488" s="2" t="e">
        <f ca="1">_xll.BDH($C$478,"TOT_DEBT_TO_TOT_EQY","FY 2016","FY 2016","Currency=INR","Period=FY","BEST_FPERIOD_OVERRIDE=FY","FILING_STATUS=OR","EQY_CONSOLIDATED=Y","Sort=A","Dates=H","DateFormat=P","Fill=—","Direction=H","UseDPDF=Y")</f>
        <v>#NAME?</v>
      </c>
      <c r="CL488" s="2" t="e">
        <f ca="1">_xll.BDH($C$478,"TOT_DEBT_TO_TOT_CAP","FY 2016","FY 2016","Currency=INR","Period=FY","BEST_FPERIOD_OVERRIDE=FY","FILING_STATUS=OR","EQY_CONSOLIDATED=Y","Sort=A","Dates=H","DateFormat=P","Fill=—","Direction=H","UseDPDF=Y")</f>
        <v>#NAME?</v>
      </c>
      <c r="CM488" s="2" t="e">
        <f ca="1">_xll.BDH($C$478,"TOT_DEBT_TO_TOT_ASSET","FY 2016","FY 2016","Currency=INR","Period=FY","BEST_FPERIOD_OVERRIDE=FY","FILING_STATUS=OR","EQY_CONSOLIDATED=Y","Sort=A","Dates=H","DateFormat=P","Fill=—","Direction=H","UseDPDF=Y")</f>
        <v>#NAME?</v>
      </c>
      <c r="CN488" s="2" t="e">
        <f ca="1">_xll.BDH($C$478,"NET_DEBT_TO_SHRHLDR_EQTY","FY 2016","FY 2016","Currency=INR","Period=FY","BEST_FPERIOD_OVERRIDE=FY","FILING_STATUS=OR","EQY_CONSOLIDATED=Y","Sort=A","Dates=H","DateFormat=P","Fill=—","Direction=H","UseDPDF=Y")</f>
        <v>#NAME?</v>
      </c>
      <c r="CO488" s="2" t="e">
        <f ca="1">_xll.BDH($C$478,"NET_DEBT_%_CAPITAL","FY 2016","FY 2016","Currency=INR","Period=FY","BEST_FPERIOD_OVERRIDE=FY","FILING_STATUS=OR","EQY_CONSOLIDATED=Y","Sort=A","Dates=H","DateFormat=P","Fill=—","Direction=H","UseDPDF=Y")</f>
        <v>#NAME?</v>
      </c>
      <c r="CP488" s="3" t="e">
        <f ca="1">_xll.BDH($C$478,"EBITDA","FY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488" s="3" t="e">
        <f ca="1">_xll.BDH($C$478,"EBITDA_AFTER_CAPEX","FY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488" s="3" t="e">
        <f ca="1">_xll.BDH($C$478,"IS_OPER_INC","FY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488" s="2" t="e">
        <f ca="1">_xll.BDH($C$478,"CASH_RATIO","FY 2016","FY 2016","Currency=INR","Period=FY","BEST_FPERIOD_OVERRIDE=FY","FILING_STATUS=OR","EQY_CONSOLIDATED=Y","Sort=A","Dates=H","DateFormat=P","Fill=—","Direction=H","UseDPDF=Y")</f>
        <v>#NAME?</v>
      </c>
      <c r="CT488" s="2" t="e">
        <f ca="1">_xll.BDH($C$478,"CUR_RATIO","FY 2016","FY 2016","Currency=INR","Period=FY","BEST_FPERIOD_OVERRIDE=FY","FILING_STATUS=OR","EQY_CONSOLIDATED=Y","Sort=A","Dates=H","DateFormat=P","Fill=—","Direction=H","UseDPDF=Y")</f>
        <v>#NAME?</v>
      </c>
      <c r="CU488" s="2" t="e">
        <f ca="1">_xll.BDH($C$478,"QUICK_RATIO","FY 2016","FY 2016","Currency=INR","Period=FY","BEST_FPERIOD_OVERRIDE=FY","FILING_STATUS=OR","EQY_CONSOLIDATED=Y","Sort=A","Dates=H","DateFormat=P","Fill=—","Direction=H","UseDPDF=Y")</f>
        <v>#NAME?</v>
      </c>
      <c r="CV488" s="2" t="e">
        <f ca="1">_xll.BDH($C$478,"ALTMAN_Z_SCORE","FY 2016","FY 2016","Currency=INR","Period=FY","BEST_FPERIOD_OVERRIDE=FY","FILING_STATUS=OR","EQY_CONSOLIDATED=Y","Sort=A","Dates=H","DateFormat=P","Fill=—","Direction=H","UseDPDF=Y")</f>
        <v>#NAME?</v>
      </c>
      <c r="CW488" s="4" t="e">
        <f ca="1">_xll.BDH($C$478,"ACCT_RCV_TURN","FY 2016","FY 2016","Currency=INR","Period=FY","BEST_FPERIOD_OVERRIDE=FY","FILING_STATUS=OR","EQY_CONSOLIDATED=Y","FA_ADJUSTED=GAAP","Sort=A","Dates=H","DateFormat=P","Fill=—","Direction=H","UseDPDF=Y")</f>
        <v>#NAME?</v>
      </c>
      <c r="CX488" s="2" t="e">
        <f ca="1">_xll.BDH($C$478,"ACCT_RCV_DAYS","FY 2016","FY 2016","Currency=INR","Period=FY","BEST_FPERIOD_OVERRIDE=FY","FILING_STATUS=OR","EQY_CONSOLIDATED=Y","FA_ADJUSTED=GAAP","Sort=A","Dates=H","DateFormat=P","Fill=—","Direction=H","UseDPDF=Y")</f>
        <v>#NAME?</v>
      </c>
      <c r="CY488" s="4" t="e">
        <f ca="1">_xll.BDH($C$478,"INVENT_TURN","FY 2016","FY 2016","Currency=INR","Period=FY","BEST_FPERIOD_OVERRIDE=FY","FILING_STATUS=OR","EQY_CONSOLIDATED=Y","FA_ADJUSTED=GAAP","Sort=A","Dates=H","DateFormat=P","Fill=—","Direction=H","UseDPDF=Y")</f>
        <v>#NAME?</v>
      </c>
      <c r="CZ488" s="2" t="e">
        <f ca="1">_xll.BDH($C$478,"INVENT_DAYS","FY 2016","FY 2016","Currency=INR","Period=FY","BEST_FPERIOD_OVERRIDE=FY","FILING_STATUS=OR","EQY_CONSOLIDATED=Y","FA_ADJUSTED=GAAP","Sort=A","Dates=H","DateFormat=P","Fill=—","Direction=H","UseDPDF=Y")</f>
        <v>#NAME?</v>
      </c>
      <c r="DA488" s="4" t="e">
        <f ca="1">_xll.BDH($C$478,"ACCOUNTS_PAYABLE_TURNOVER","FY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488" s="2" t="e">
        <f ca="1">_xll.BDH($C$478,"ACCOUNTS_PAYABLE_TURNOVER_DAYS","FY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488" s="4" t="e">
        <f ca="1">_xll.BDH($C$478,"CASH_CONVERSION_CYCLE","FY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488" s="4" t="e">
        <f ca="1">_xll.BDH($C$478,"INV_TO_CASH_DAYS","FY 2016","FY 2016","Currency=INR","Period=FY","BEST_FPERIOD_OVERRIDE=FY","FILING_STATUS=OR","EQY_CONSOLIDATED=Y","FA_ADJUSTED=GAAP","Sort=A","Dates=H","DateFormat=P","Fill=—","Direction=H","UseDPDF=Y")</f>
        <v>#NAME?</v>
      </c>
      <c r="DE488" s="5" t="e">
        <f ca="1">_xll.BDH($C$478,"BS_INVENTORIES","FY 2016","FY 2016","Currency=INR","Period=FY","BEST_FPERIOD_OVERRIDE=FY","FILING_STATUS=OR","EQY_CONSOLIDATED=Y","SCALING_FORMAT=MLN","Sort=A","Dates=H","DateFormat=P","Fill=—","Direction=H","UseDPDF=Y")</f>
        <v>#NAME?</v>
      </c>
      <c r="DF488" s="3" t="e">
        <f ca="1">_xll.BDH($C$478,"INVTRY_RAW_MATERIALS","FY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488" s="3" t="e">
        <f ca="1">_xll.BDH($C$478,"INVTRY_IN_PROGRESS","FY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488" s="3" t="e">
        <f ca="1">_xll.BDH($C$478,"INVTRY_FINISHED_GOODS","FY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488" s="3" t="e">
        <f ca="1">_xll.BDH($C$478,"BS_OTHER_INV","FY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489" spans="1:113" x14ac:dyDescent="0.3">
      <c r="A489" s="6"/>
      <c r="B489" s="6"/>
      <c r="C489" s="6"/>
      <c r="D489" s="6"/>
      <c r="E489" t="s">
        <v>78</v>
      </c>
      <c r="F489" t="e">
        <f ca="1">_xll.BDH($C$478,"RETURN_COM_EQY","FQ1 2016","FQ1 2016","Currency=INR","Period=FQ","BEST_FPERIOD_OVERRIDE=FQ","FILING_STATUS=OR","EQY_CONSOLIDATED=Y","FA_ADJUSTED=GAAP","Sort=A","Dates=H","DateFormat=P","Fill=—","Direction=H","UseDPDF=Y")</f>
        <v>#NAME?</v>
      </c>
      <c r="G489" t="e">
        <f ca="1">_xll.BDH($C$478,"RETURN_ON_ASSET","FQ1 2016","FQ1 2016","Currency=INR","Period=FQ","BEST_FPERIOD_OVERRIDE=FQ","FILING_STATUS=OR","EQY_CONSOLIDATED=Y","FA_ADJUSTED=GAAP","Sort=A","Dates=H","DateFormat=P","Fill=—","Direction=H","UseDPDF=Y")</f>
        <v>#NAME?</v>
      </c>
      <c r="H489" t="e">
        <f ca="1">_xll.BDH($C$478,"RETURN_ON_CAP","FQ1 2016","FQ1 2016","Currency=INR","Period=FQ","BEST_FPERIOD_OVERRIDE=FQ","FILING_STATUS=OR","EQY_CONSOLIDATED=Y","FA_ADJUSTED=GAAP","Sort=A","Dates=H","DateFormat=P","Fill=—","Direction=H","UseDPDF=Y")</f>
        <v>#NAME?</v>
      </c>
      <c r="I489" t="e">
        <f ca="1">_xll.BDH($C$478,"RETURN_ON_INV_CAPITAL","FQ1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489" t="e">
        <f ca="1">_xll.BDH($C$478,"EBITDA_TO_REVENUE","FQ1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489" t="e">
        <f ca="1">_xll.BDH($C$478,"OPER_MARGIN","FQ1 2016","FQ1 2016","Currency=INR","Period=FQ","BEST_FPERIOD_OVERRIDE=FQ","FILING_STATUS=OR","EQY_CONSOLIDATED=Y","FA_ADJUSTED=GAAP","Sort=A","Dates=H","DateFormat=P","Fill=—","Direction=H","UseDPDF=Y")</f>
        <v>#NAME?</v>
      </c>
      <c r="L489" t="e">
        <f ca="1">_xll.BDH($C$478,"INCREMENTAL_OPERATING_MARGIN","FQ1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489" t="e">
        <f ca="1">_xll.BDH($C$478,"PRETAX_INC_TO_NET_SALES","FQ1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489" t="e">
        <f ca="1">_xll.BDH($C$478,"INC_BEF_XO_ITEMS_TO_NET_SALES","FQ1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489" t="e">
        <f ca="1">_xll.BDH($C$478,"PROF_MARGIN","FQ1 2016","FQ1 2016","Currency=INR","Period=FQ","BEST_FPERIOD_OVERRIDE=FQ","FILING_STATUS=OR","EQY_CONSOLIDATED=Y","FA_ADJUSTED=GAAP","Sort=A","Dates=H","DateFormat=P","Fill=—","Direction=H","UseDPDF=Y")</f>
        <v>#NAME?</v>
      </c>
      <c r="P489" t="e">
        <f ca="1">_xll.BDH($C$478,"NET_INCOME_TO_COMMON_MARGIN","FQ1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489" t="e">
        <f ca="1">_xll.BDH($C$478,"EFF_TAX_RATE","FQ1 2016","FQ1 2016","Currency=INR","Period=FQ","BEST_FPERIOD_OVERRIDE=FQ","FILING_STATUS=OR","EQY_CONSOLIDATED=Y","FA_ADJUSTED=GAAP","Sort=A","Dates=H","DateFormat=P","Fill=—","Direction=H","UseDPDF=Y")</f>
        <v>#NAME?</v>
      </c>
      <c r="R489" t="e">
        <f ca="1">_xll.BDH($C$478,"DVD_PAYOUT_RATIO","FQ1 2016","FQ1 2016","Currency=INR","Period=FQ","BEST_FPERIOD_OVERRIDE=FQ","FILING_STATUS=OR","EQY_CONSOLIDATED=Y","FA_ADJUSTED=GAAP","Sort=A","Dates=H","DateFormat=P","Fill=—","Direction=H","UseDPDF=Y")</f>
        <v>#NAME?</v>
      </c>
      <c r="S489" t="e">
        <f ca="1">_xll.BDH($C$478,"SUSTAIN_GROWTH_RT","FQ1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489" s="2" t="e">
        <f ca="1">_xll.BDH($C$478,"SALES_GROWTH","FQ1 2016","FQ1 2016","Currency=INR","Period=FQ","BEST_FPERIOD_OVERRIDE=FQ","FILING_STATUS=OR","EQY_CONSOLIDATED=Y","FA_ADJUSTED=GAAP","Sort=A","Dates=H","DateFormat=P","Fill=—","Direction=H","UseDPDF=Y")</f>
        <v>#NAME?</v>
      </c>
      <c r="U489" s="2" t="e">
        <f ca="1">_xll.BDH($C$478,"EBITDA_GROWTH","FQ1 2016","FQ1 2016","Currency=INR","Period=FQ","BEST_FPERIOD_OVERRIDE=FQ","FILING_STATUS=OR","EQY_CONSOLIDATED=Y","FA_ADJUSTED=GAAP","Sort=A","Dates=H","DateFormat=P","Fill=—","Direction=H","UseDPDF=Y")</f>
        <v>#NAME?</v>
      </c>
      <c r="V489" s="2" t="e">
        <f ca="1">_xll.BDH($C$478,"OPER_INC_GROWTH","FQ1 2016","FQ1 2016","Currency=INR","Period=FQ","BEST_FPERIOD_OVERRIDE=FQ","FILING_STATUS=OR","EQY_CONSOLIDATED=Y","FA_ADJUSTED=GAAP","Sort=A","Dates=H","DateFormat=P","Fill=—","Direction=H","UseDPDF=Y")</f>
        <v>#NAME?</v>
      </c>
      <c r="W489" s="2" t="e">
        <f ca="1">_xll.BDH($C$478,"EARN_FOR_COM_GROWTH","FQ1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489" s="2" t="e">
        <f ca="1">_xll.BDH($C$478,"DILUTED_EPS_AFT_XO_ITEMS_GROWTH","FQ1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489" s="2" t="e">
        <f ca="1">_xll.BDH($C$478,"DIVIDEND_PER_SHARE_1_YEAR_GROWTH","FQ1 2016","FQ1 2016","Currency=INR","Period=FQ","BEST_FPERIOD_OVERRIDE=FQ","FILING_STATUS=OR","EQY_CONSOLIDATED=Y","Sort=A","Dates=H","DateFormat=P","Fill=—","Direction=H","UseDPDF=Y")</f>
        <v>#NAME?</v>
      </c>
      <c r="Z489" s="2" t="e">
        <f ca="1">_xll.BDH($C$478,"ACCOUNTS_RECEIVABLE_GROWTH","FQ1 2016","FQ1 2016","Currency=INR","Period=FQ","BEST_FPERIOD_OVERRIDE=FQ","FILING_STATUS=OR","EQY_CONSOLIDATED=Y","Sort=A","Dates=H","DateFormat=P","Fill=—","Direction=H","UseDPDF=Y")</f>
        <v>#NAME?</v>
      </c>
      <c r="AA489" s="2" t="e">
        <f ca="1">_xll.BDH($C$478,"INVENTORY_GROWTH","FQ1 2016","FQ1 2016","Currency=INR","Period=FQ","BEST_FPERIOD_OVERRIDE=FQ","FILING_STATUS=OR","EQY_CONSOLIDATED=Y","Sort=A","Dates=H","DateFormat=P","Fill=—","Direction=H","UseDPDF=Y")</f>
        <v>#NAME?</v>
      </c>
      <c r="AB489" s="2" t="e">
        <f ca="1">_xll.BDH($C$478,"NET_FIXED_ASSETS_1_YEAR_GROWTH","FQ1 2016","FQ1 2016","Currency=INR","Period=FQ","BEST_FPERIOD_OVERRIDE=FQ","FILING_STATUS=OR","EQY_CONSOLIDATED=Y","Sort=A","Dates=H","DateFormat=P","Fill=—","Direction=H","UseDPDF=Y")</f>
        <v>#NAME?</v>
      </c>
      <c r="AC489" s="2" t="e">
        <f ca="1">_xll.BDH($C$478,"ASSET_GROWTH","FQ1 2016","FQ1 2016","Currency=INR","Period=FQ","BEST_FPERIOD_OVERRIDE=FQ","FILING_STATUS=OR","EQY_CONSOLIDATED=Y","Sort=A","Dates=H","DateFormat=P","Fill=—","Direction=H","UseDPDF=Y")</f>
        <v>#NAME?</v>
      </c>
      <c r="AD489" s="2" t="e">
        <f ca="1">_xll.BDH($C$478,"MODIFIED_WORK_CAP_GROWTH","FQ1 2016","FQ1 2016","Currency=INR","Period=FQ","BEST_FPERIOD_OVERRIDE=FQ","FILING_STATUS=OR","EQY_CONSOLIDATED=Y","Sort=A","Dates=H","DateFormat=P","Fill=—","Direction=H","UseDPDF=Y")</f>
        <v>#NAME?</v>
      </c>
      <c r="AE489" s="2" t="e">
        <f ca="1">_xll.BDH($C$478,"WORK_CAP_GROWTH","FQ1 2016","FQ1 2016","Currency=INR","Period=FQ","BEST_FPERIOD_OVERRIDE=FQ","FILING_STATUS=OR","EQY_CONSOLIDATED=Y","Sort=A","Dates=H","DateFormat=P","Fill=—","Direction=H","UseDPDF=Y")</f>
        <v>#NAME?</v>
      </c>
      <c r="AF489" s="2" t="e">
        <f ca="1">_xll.BDH($C$478,"ACCOUNTS_PAYABLE_GROWTH_1YR","FQ1 2016","FQ1 2016","Currency=INR","Period=FQ","BEST_FPERIOD_OVERRIDE=FQ","FILING_STATUS=OR","EQY_CONSOLIDATED=Y","Sort=A","Dates=H","DateFormat=P","Fill=—","Direction=H","UseDPDF=Y")</f>
        <v>#NAME?</v>
      </c>
      <c r="AG489" s="2" t="e">
        <f ca="1">_xll.BDH($C$478,"SHORT_TERM_DEBT_1_YEAR_GROWTH","FQ1 2016","FQ1 2016","Currency=INR","Period=FQ","BEST_FPERIOD_OVERRIDE=FQ","FILING_STATUS=OR","EQY_CONSOLIDATED=Y","Sort=A","Dates=H","DateFormat=P","Fill=—","Direction=H","UseDPDF=Y")</f>
        <v>#NAME?</v>
      </c>
      <c r="AH489" s="2" t="e">
        <f ca="1">_xll.BDH($C$478,"TOTAL_DEBT_1_YEAR_GROWTH","FQ1 2016","FQ1 2016","Currency=INR","Period=FQ","BEST_FPERIOD_OVERRIDE=FQ","FILING_STATUS=OR","EQY_CONSOLIDATED=Y","Sort=A","Dates=H","DateFormat=P","Fill=—","Direction=H","UseDPDF=Y")</f>
        <v>#NAME?</v>
      </c>
      <c r="AI489" s="2" t="e">
        <f ca="1">_xll.BDH($C$478,"TOTAL_EQUITY_1_YEAR_GROWTH","FQ1 2016","FQ1 2016","Currency=INR","Period=FQ","BEST_FPERIOD_OVERRIDE=FQ","FILING_STATUS=OR","EQY_CONSOLIDATED=Y","Sort=A","Dates=H","DateFormat=P","Fill=—","Direction=H","UseDPDF=Y")</f>
        <v>#NAME?</v>
      </c>
      <c r="AJ489" s="2" t="e">
        <f ca="1">_xll.BDH($C$478,"GROWTH_IN_CAP","FQ1 2016","FQ1 2016","Currency=INR","Period=FQ","BEST_FPERIOD_OVERRIDE=FQ","FILING_STATUS=OR","EQY_CONSOLIDATED=Y","Sort=A","Dates=H","DateFormat=P","Fill=—","Direction=H","UseDPDF=Y")</f>
        <v>#NAME?</v>
      </c>
      <c r="AK489" s="2" t="e">
        <f ca="1">_xll.BDH($C$478,"BVPS_GROWTH","FQ1 2016","FQ1 2016","Currency=INR","Period=FQ","BEST_FPERIOD_OVERRIDE=FQ","FILING_STATUS=OR","EQY_CONSOLIDATED=Y","Sort=A","Dates=H","DateFormat=P","Fill=—","Direction=H","UseDPDF=Y")</f>
        <v>#NAME?</v>
      </c>
      <c r="AL489" s="2" t="e">
        <f ca="1">_xll.BDH($C$478,"CASH_FLOW_GROWTH","FQ1 2016","FQ1 2016","Currency=INR","Period=FQ","BEST_FPERIOD_OVERRIDE=FQ","FILING_STATUS=OR","EQY_CONSOLIDATED=Y","Sort=A","Dates=H","DateFormat=P","Fill=—","Direction=H","UseDPDF=Y")</f>
        <v>#NAME?</v>
      </c>
      <c r="AM489" s="2" t="e">
        <f ca="1">_xll.BDH($C$478,"GEO_GROW_NET_SALES","FQ1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489" s="2" t="e">
        <f ca="1">_xll.BDH($C$478,"GEO_GROW_EBITDA","FQ1 2016","FQ1 2016","Currency=INR","Period=FQ","BEST_FPERIOD_OVERRIDE=FQ","FILING_STATUS=OR","EQY_CONSOLIDATED=Y","FA_ADJUSTED=GAAP","Sort=A","Dates=H","DateFormat=P","Fill=—","Direction=H","UseDPDF=Y")</f>
        <v>#NAME?</v>
      </c>
      <c r="AO489" s="2" t="e">
        <f ca="1">_xll.BDH($C$478,"GEO_GROW_OPER_INC","FQ1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489" s="2" t="e">
        <f ca="1">_xll.BDH($C$478,"NET_INCOME_TO_COMMON_5_YR_GROWTH","FQ1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489" s="2" t="e">
        <f ca="1">_xll.BDH($C$478,"5Y_GEO_GROWTH_DILUTED_EPS","FQ1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489" s="2" t="e">
        <f ca="1">_xll.BDH($C$478,"GEO_GROW_DVD_PER_SH","FQ1 2016","FQ1 2016","Currency=INR","Period=FQ","BEST_FPERIOD_OVERRIDE=FQ","FILING_STATUS=OR","EQY_CONSOLIDATED=Y","Sort=A","Dates=H","DateFormat=P","Fill=—","Direction=H","UseDPDF=Y")</f>
        <v>#NAME?</v>
      </c>
      <c r="AS489" s="2" t="e">
        <f ca="1">_xll.BDH($C$478,"ACCOUNTS_RECEIVABLE_5_YR_GROWTH","FQ1 2016","FQ1 2016","Currency=INR","Period=FQ","BEST_FPERIOD_OVERRIDE=FQ","FILING_STATUS=OR","EQY_CONSOLIDATED=Y","Sort=A","Dates=H","DateFormat=P","Fill=—","Direction=H","UseDPDF=Y")</f>
        <v>#NAME?</v>
      </c>
      <c r="AT489" s="2" t="e">
        <f ca="1">_xll.BDH($C$478,"INVENTORY_5_YEAR_GROWTH","FQ1 2016","FQ1 2016","Currency=INR","Period=FQ","BEST_FPERIOD_OVERRIDE=FQ","FILING_STATUS=OR","EQY_CONSOLIDATED=Y","Sort=A","Dates=H","DateFormat=P","Fill=—","Direction=H","UseDPDF=Y")</f>
        <v>#NAME?</v>
      </c>
      <c r="AU489" s="2" t="e">
        <f ca="1">_xll.BDH($C$478,"NET_FIXED_ASSETS_5_YEAR_GROWTH","FQ1 2016","FQ1 2016","Currency=INR","Period=FQ","BEST_FPERIOD_OVERRIDE=FQ","FILING_STATUS=OR","EQY_CONSOLIDATED=Y","Sort=A","Dates=H","DateFormat=P","Fill=—","Direction=H","UseDPDF=Y")</f>
        <v>#NAME?</v>
      </c>
      <c r="AV489" s="2" t="e">
        <f ca="1">_xll.BDH($C$478,"GEO_GROW_TOT_ASSET","FQ1 2016","FQ1 2016","Currency=INR","Period=FQ","BEST_FPERIOD_OVERRIDE=FQ","FILING_STATUS=OR","EQY_CONSOLIDATED=Y","Sort=A","Dates=H","DateFormat=P","Fill=—","Direction=H","UseDPDF=Y")</f>
        <v>#NAME?</v>
      </c>
      <c r="AW489" s="2" t="e">
        <f ca="1">_xll.BDH($C$478,"MODIFIED_WORKING_CPTL_5YR_GRWTH","FQ1 2016","FQ1 2016","Currency=INR","Period=FQ","BEST_FPERIOD_OVERRIDE=FQ","FILING_STATUS=OR","EQY_CONSOLIDATED=Y","Sort=A","Dates=H","DateFormat=P","Fill=—","Direction=H","UseDPDF=Y")</f>
        <v>#NAME?</v>
      </c>
      <c r="AX489" s="2" t="e">
        <f ca="1">_xll.BDH($C$478,"WORKING_CAPITAL_5_YEAR_GROWTH","FQ1 2016","FQ1 2016","Currency=INR","Period=FQ","BEST_FPERIOD_OVERRIDE=FQ","FILING_STATUS=OR","EQY_CONSOLIDATED=Y","Sort=A","Dates=H","DateFormat=P","Fill=—","Direction=H","UseDPDF=Y")</f>
        <v>#NAME?</v>
      </c>
      <c r="AY489" s="2" t="e">
        <f ca="1">_xll.BDH($C$478,"ACCOUNTS_PAYABLE_5_YEAR_GROWTH","FQ1 2016","FQ1 2016","Currency=INR","Period=FQ","BEST_FPERIOD_OVERRIDE=FQ","FILING_STATUS=OR","EQY_CONSOLIDATED=Y","Sort=A","Dates=H","DateFormat=P","Fill=—","Direction=H","UseDPDF=Y")</f>
        <v>#NAME?</v>
      </c>
      <c r="AZ489" s="2" t="e">
        <f ca="1">_xll.BDH($C$478,"SHORT_TERM_DEBT_5_YEAR_GROWTH","FQ1 2016","FQ1 2016","Currency=INR","Period=FQ","BEST_FPERIOD_OVERRIDE=FQ","FILING_STATUS=OR","EQY_CONSOLIDATED=Y","Sort=A","Dates=H","DateFormat=P","Fill=—","Direction=H","UseDPDF=Y")</f>
        <v>#NAME?</v>
      </c>
      <c r="BA489" s="2" t="e">
        <f ca="1">_xll.BDH($C$478,"TOTAL_DEBT_5_YEAR_GROWTH","FQ1 2016","FQ1 2016","Currency=INR","Period=FQ","BEST_FPERIOD_OVERRIDE=FQ","FILING_STATUS=OR","EQY_CONSOLIDATED=Y","Sort=A","Dates=H","DateFormat=P","Fill=—","Direction=H","UseDPDF=Y")</f>
        <v>#NAME?</v>
      </c>
      <c r="BB489" s="2" t="e">
        <f ca="1">_xll.BDH($C$478,"GEO_GROW_TOT_SHRHLDR_EQY","FQ1 2016","FQ1 2016","Currency=INR","Period=FQ","BEST_FPERIOD_OVERRIDE=FQ","FILING_STATUS=OR","EQY_CONSOLIDATED=Y","Sort=A","Dates=H","DateFormat=P","Fill=—","Direction=H","UseDPDF=Y")</f>
        <v>#NAME?</v>
      </c>
      <c r="BC489" s="2" t="e">
        <f ca="1">_xll.BDH($C$478,"TOTAL_CAPITAL_5_YEAR_GROWTH","FQ1 2016","FQ1 2016","Currency=INR","Period=FQ","BEST_FPERIOD_OVERRIDE=FQ","FILING_STATUS=OR","EQY_CONSOLIDATED=Y","Sort=A","Dates=H","DateFormat=P","Fill=—","Direction=H","UseDPDF=Y")</f>
        <v>#NAME?</v>
      </c>
      <c r="BD489" s="2" t="e">
        <f ca="1">_xll.BDH($C$478,"GEO_GROW_BOOK_VAL","FQ1 2016","FQ1 2016","Currency=INR","Period=FQ","BEST_FPERIOD_OVERRIDE=FQ","FILING_STATUS=OR","EQY_CONSOLIDATED=Y","Sort=A","Dates=H","DateFormat=P","Fill=—","Direction=H","UseDPDF=Y")</f>
        <v>#NAME?</v>
      </c>
      <c r="BE489" s="2" t="e">
        <f ca="1">_xll.BDH($C$478,"GEO_GROW_CASH_OPER_ACT","FQ1 2016","FQ1 2016","Currency=INR","Period=FQ","BEST_FPERIOD_OVERRIDE=FQ","FILING_STATUS=OR","EQY_CONSOLIDATED=Y","Sort=A","Dates=H","DateFormat=P","Fill=—","Direction=H","UseDPDF=Y")</f>
        <v>#NAME?</v>
      </c>
      <c r="BF489" s="2" t="e">
        <f ca="1">_xll.BDH($C$478,"REVENUE_SEQUENTIAL_GROWTH","FQ1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489" s="2" t="e">
        <f ca="1">_xll.BDH($C$478,"EBITDA_SEQUENTIAL_GROWTH","FQ1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489" s="2" t="e">
        <f ca="1">_xll.BDH($C$478,"OPERATING_INCOME_SEQ_GROWTH","FQ1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489" s="2" t="e">
        <f ca="1">_xll.BDH($C$478,"NET_INCOME_TO_COMMON_SEQ_GROWTH","FQ1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489" s="2" t="e">
        <f ca="1">_xll.BDH($C$478,"EPS_DILUTED_SEQUENTIAL_GROWTH","FQ1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489" s="2" t="e">
        <f ca="1">_xll.BDH($C$478,"DPS_SEQUENTIAL_GROWTH","FQ1 2016","FQ1 2016","Currency=INR","Period=FQ","BEST_FPERIOD_OVERRIDE=FQ","FILING_STATUS=OR","EQY_CONSOLIDATED=Y","Sort=A","Dates=H","DateFormat=P","Fill=—","Direction=H","UseDPDF=Y")</f>
        <v>#NAME?</v>
      </c>
      <c r="BL489" s="2" t="e">
        <f ca="1">_xll.BDH($C$478,"ACCOUNTS_RECEIVABLE_SEQ_GROWTH","FQ1 2016","FQ1 2016","Currency=INR","Period=FQ","BEST_FPERIOD_OVERRIDE=FQ","FILING_STATUS=OR","EQY_CONSOLIDATED=Y","Sort=A","Dates=H","DateFormat=P","Fill=—","Direction=H","UseDPDF=Y")</f>
        <v>#NAME?</v>
      </c>
      <c r="BM489" s="2" t="e">
        <f ca="1">_xll.BDH($C$478,"INVENTORY_SEQUENTIAL_GROWTH","FQ1 2016","FQ1 2016","Currency=INR","Period=FQ","BEST_FPERIOD_OVERRIDE=FQ","FILING_STATUS=OR","EQY_CONSOLIDATED=Y","Sort=A","Dates=H","DateFormat=P","Fill=—","Direction=H","UseDPDF=Y")</f>
        <v>#NAME?</v>
      </c>
      <c r="BN489" s="2" t="e">
        <f ca="1">_xll.BDH($C$478,"FIXED_ASSETS_SEQUENTIAL_GROWTH","FQ1 2016","FQ1 2016","Currency=INR","Period=FQ","BEST_FPERIOD_OVERRIDE=FQ","FILING_STATUS=OR","EQY_CONSOLIDATED=Y","Sort=A","Dates=H","DateFormat=P","Fill=—","Direction=H","UseDPDF=Y")</f>
        <v>#NAME?</v>
      </c>
      <c r="BO489" s="2" t="e">
        <f ca="1">_xll.BDH($C$478,"TOTAL_ASSETS_SEQUENTIAL_GROWTH","FQ1 2016","FQ1 2016","Currency=INR","Period=FQ","BEST_FPERIOD_OVERRIDE=FQ","FILING_STATUS=OR","EQY_CONSOLIDATED=Y","Sort=A","Dates=H","DateFormat=P","Fill=—","Direction=H","UseDPDF=Y")</f>
        <v>#NAME?</v>
      </c>
      <c r="BP489" s="2" t="e">
        <f ca="1">_xll.BDH($C$478,"MODIFIED_WORKING_CPTL_SEQ_GRWTH","FQ1 2016","FQ1 2016","Currency=INR","Period=FQ","BEST_FPERIOD_OVERRIDE=FQ","FILING_STATUS=OR","EQY_CONSOLIDATED=Y","Sort=A","Dates=H","DateFormat=P","Fill=—","Direction=H","UseDPDF=Y")</f>
        <v>#NAME?</v>
      </c>
      <c r="BQ489" s="2" t="e">
        <f ca="1">_xll.BDH($C$478,"WORKING_CAPITAL_SEQ_GROWTH","FQ1 2016","FQ1 2016","Currency=INR","Period=FQ","BEST_FPERIOD_OVERRIDE=FQ","FILING_STATUS=OR","EQY_CONSOLIDATED=Y","Sort=A","Dates=H","DateFormat=P","Fill=—","Direction=H","UseDPDF=Y")</f>
        <v>#NAME?</v>
      </c>
      <c r="BR489" s="2" t="e">
        <f ca="1">_xll.BDH($C$478,"ACCOUNTS_PAYABLE_SEQ_GROWTH","FQ1 2016","FQ1 2016","Currency=INR","Period=FQ","BEST_FPERIOD_OVERRIDE=FQ","FILING_STATUS=OR","EQY_CONSOLIDATED=Y","Sort=A","Dates=H","DateFormat=P","Fill=—","Direction=H","UseDPDF=Y")</f>
        <v>#NAME?</v>
      </c>
      <c r="BS489" s="2" t="e">
        <f ca="1">_xll.BDH($C$478,"ST_DEBT_SEQUENTIAL_GROWTH","FQ1 2016","FQ1 2016","Currency=INR","Period=FQ","BEST_FPERIOD_OVERRIDE=FQ","FILING_STATUS=OR","EQY_CONSOLIDATED=Y","Sort=A","Dates=H","DateFormat=P","Fill=—","Direction=H","UseDPDF=Y")</f>
        <v>#NAME?</v>
      </c>
      <c r="BT489" s="2" t="e">
        <f ca="1">_xll.BDH($C$478,"TOTAL_DEBT_SEQUENTIAL_GROWTH","FQ1 2016","FQ1 2016","Currency=INR","Period=FQ","BEST_FPERIOD_OVERRIDE=FQ","FILING_STATUS=OR","EQY_CONSOLIDATED=Y","Sort=A","Dates=H","DateFormat=P","Fill=—","Direction=H","UseDPDF=Y")</f>
        <v>#NAME?</v>
      </c>
      <c r="BU489" s="2" t="e">
        <f ca="1">_xll.BDH($C$478,"TOTAL_EQUITY_SEQUENTIAL_GROWTH","FQ1 2016","FQ1 2016","Currency=INR","Period=FQ","BEST_FPERIOD_OVERRIDE=FQ","FILING_STATUS=OR","EQY_CONSOLIDATED=Y","Sort=A","Dates=H","DateFormat=P","Fill=—","Direction=H","UseDPDF=Y")</f>
        <v>#NAME?</v>
      </c>
      <c r="BV489" s="2" t="e">
        <f ca="1">_xll.BDH($C$478,"TOTAL_CAPITAL_SEQUENTIAL_GROWTH","FQ1 2016","FQ1 2016","Currency=INR","Period=FQ","BEST_FPERIOD_OVERRIDE=FQ","FILING_STATUS=OR","EQY_CONSOLIDATED=Y","Sort=A","Dates=H","DateFormat=P","Fill=—","Direction=H","UseDPDF=Y")</f>
        <v>#NAME?</v>
      </c>
      <c r="BW489" s="2" t="e">
        <f ca="1">_xll.BDH($C$478,"BPS_SEQUENTIAL_GROWTH","FQ1 2016","FQ1 2016","Currency=INR","Period=FQ","BEST_FPERIOD_OVERRIDE=FQ","FILING_STATUS=OR","EQY_CONSOLIDATED=Y","Sort=A","Dates=H","DateFormat=P","Fill=—","Direction=H","UseDPDF=Y")</f>
        <v>#NAME?</v>
      </c>
      <c r="BX489" s="2" t="e">
        <f ca="1">_xll.BDH($C$478,"CFO_SEQUENTIAL_GROWTH","FQ1 2016","FQ1 2016","Currency=INR","Period=FQ","BEST_FPERIOD_OVERRIDE=FQ","FILING_STATUS=OR","EQY_CONSOLIDATED=Y","Sort=A","Dates=H","DateFormat=P","Fill=—","Direction=H","UseDPDF=Y")</f>
        <v>#NAME?</v>
      </c>
      <c r="BY489" s="3" t="e">
        <f ca="1">_xll.BDH($C$478,"SHORT_AND_LONG_TERM_DEBT","FQ1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489" s="3" t="e">
        <f ca="1">_xll.BDH($C$478,"BS_ST_BORROW","FQ1 2016","FQ1 2016","Currency=INR","Period=FQ","BEST_FPERIOD_OVERRIDE=FQ","FILING_STATUS=OR","EQY_CONSOLIDATED=Y","SCALING_FORMAT=MLN","Sort=A","Dates=H","DateFormat=P","Fill=—","Direction=H","UseDPDF=Y")</f>
        <v>#NAME?</v>
      </c>
      <c r="CA489" s="3" t="e">
        <f ca="1">_xll.BDH($C$478,"BS_LT_BORROW","FQ1 2016","FQ1 2016","Currency=INR","Period=FQ","BEST_FPERIOD_OVERRIDE=FQ","FILING_STATUS=OR","EQY_CONSOLIDATED=Y","SCALING_FORMAT=MLN","Sort=A","Dates=H","DateFormat=P","Fill=—","Direction=H","UseDPDF=Y")</f>
        <v>#NAME?</v>
      </c>
      <c r="CB489" s="2" t="e">
        <f ca="1">_xll.BDH($C$478,"TOT_DEBT_TO_EBITDA","FQ1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489" s="2" t="e">
        <f ca="1">_xll.BDH($C$478,"NET_DEBT_TO_EBITDA","FQ1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489" s="2" t="e">
        <f ca="1">_xll.BDH($C$478,"TOTAL_DEBT_TO_EBIT","FQ1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489" s="2" t="e">
        <f ca="1">_xll.BDH($C$478,"NET_DEBT_TO_EBIT","FQ1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489" s="2" t="e">
        <f ca="1">_xll.BDH($C$478,"EBITDA_TO_INTEREST_EXPN","FQ1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489" s="2" t="e">
        <f ca="1">_xll.BDH($C$478,"COM_EQY_TO_TOT_ASSET","FQ1 2016","FQ1 2016","Currency=INR","Period=FQ","BEST_FPERIOD_OVERRIDE=FQ","FILING_STATUS=OR","EQY_CONSOLIDATED=Y","Sort=A","Dates=H","DateFormat=P","Fill=—","Direction=H","UseDPDF=Y")</f>
        <v>#NAME?</v>
      </c>
      <c r="CH489" s="2" t="e">
        <f ca="1">_xll.BDH($C$478,"LT_DEBT_TO_TOT_EQY","FQ1 2016","FQ1 2016","Currency=INR","Period=FQ","BEST_FPERIOD_OVERRIDE=FQ","FILING_STATUS=OR","EQY_CONSOLIDATED=Y","Sort=A","Dates=H","DateFormat=P","Fill=—","Direction=H","UseDPDF=Y")</f>
        <v>#NAME?</v>
      </c>
      <c r="CI489" s="2" t="e">
        <f ca="1">_xll.BDH($C$478,"LT_DEBT_TO_TOT_CAP","FQ1 2016","FQ1 2016","Currency=INR","Period=FQ","BEST_FPERIOD_OVERRIDE=FQ","FILING_STATUS=OR","EQY_CONSOLIDATED=Y","Sort=A","Dates=H","DateFormat=P","Fill=—","Direction=H","UseDPDF=Y")</f>
        <v>#NAME?</v>
      </c>
      <c r="CJ489" s="2" t="e">
        <f ca="1">_xll.BDH($C$478,"LT_DEBT_TO_TOT_ASSET","FQ1 2016","FQ1 2016","Currency=INR","Period=FQ","BEST_FPERIOD_OVERRIDE=FQ","FILING_STATUS=OR","EQY_CONSOLIDATED=Y","Sort=A","Dates=H","DateFormat=P","Fill=—","Direction=H","UseDPDF=Y")</f>
        <v>#NAME?</v>
      </c>
      <c r="CK489" s="2" t="e">
        <f ca="1">_xll.BDH($C$478,"TOT_DEBT_TO_TOT_EQY","FQ1 2016","FQ1 2016","Currency=INR","Period=FQ","BEST_FPERIOD_OVERRIDE=FQ","FILING_STATUS=OR","EQY_CONSOLIDATED=Y","Sort=A","Dates=H","DateFormat=P","Fill=—","Direction=H","UseDPDF=Y")</f>
        <v>#NAME?</v>
      </c>
      <c r="CL489" s="2" t="e">
        <f ca="1">_xll.BDH($C$478,"TOT_DEBT_TO_TOT_CAP","FQ1 2016","FQ1 2016","Currency=INR","Period=FQ","BEST_FPERIOD_OVERRIDE=FQ","FILING_STATUS=OR","EQY_CONSOLIDATED=Y","Sort=A","Dates=H","DateFormat=P","Fill=—","Direction=H","UseDPDF=Y")</f>
        <v>#NAME?</v>
      </c>
      <c r="CM489" s="2" t="e">
        <f ca="1">_xll.BDH($C$478,"TOT_DEBT_TO_TOT_ASSET","FQ1 2016","FQ1 2016","Currency=INR","Period=FQ","BEST_FPERIOD_OVERRIDE=FQ","FILING_STATUS=OR","EQY_CONSOLIDATED=Y","Sort=A","Dates=H","DateFormat=P","Fill=—","Direction=H","UseDPDF=Y")</f>
        <v>#NAME?</v>
      </c>
      <c r="CN489" s="2" t="e">
        <f ca="1">_xll.BDH($C$478,"NET_DEBT_TO_SHRHLDR_EQTY","FQ1 2016","FQ1 2016","Currency=INR","Period=FQ","BEST_FPERIOD_OVERRIDE=FQ","FILING_STATUS=OR","EQY_CONSOLIDATED=Y","Sort=A","Dates=H","DateFormat=P","Fill=—","Direction=H","UseDPDF=Y")</f>
        <v>#NAME?</v>
      </c>
      <c r="CO489" s="2" t="e">
        <f ca="1">_xll.BDH($C$478,"NET_DEBT_%_CAPITAL","FQ1 2016","FQ1 2016","Currency=INR","Period=FQ","BEST_FPERIOD_OVERRIDE=FQ","FILING_STATUS=OR","EQY_CONSOLIDATED=Y","Sort=A","Dates=H","DateFormat=P","Fill=—","Direction=H","UseDPDF=Y")</f>
        <v>#NAME?</v>
      </c>
      <c r="CP489" s="3" t="e">
        <f ca="1">_xll.BDH($C$478,"EBITDA","FQ1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489" s="3" t="e">
        <f ca="1">_xll.BDH($C$478,"EBITDA_AFTER_CAPEX","FQ1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489" s="3" t="e">
        <f ca="1">_xll.BDH($C$478,"IS_OPER_INC","FQ1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489" s="2" t="e">
        <f ca="1">_xll.BDH($C$478,"CASH_RATIO","FQ1 2016","FQ1 2016","Currency=INR","Period=FQ","BEST_FPERIOD_OVERRIDE=FQ","FILING_STATUS=OR","EQY_CONSOLIDATED=Y","Sort=A","Dates=H","DateFormat=P","Fill=—","Direction=H","UseDPDF=Y")</f>
        <v>#NAME?</v>
      </c>
      <c r="CT489" s="2" t="e">
        <f ca="1">_xll.BDH($C$478,"CUR_RATIO","FQ1 2016","FQ1 2016","Currency=INR","Period=FQ","BEST_FPERIOD_OVERRIDE=FQ","FILING_STATUS=OR","EQY_CONSOLIDATED=Y","Sort=A","Dates=H","DateFormat=P","Fill=—","Direction=H","UseDPDF=Y")</f>
        <v>#NAME?</v>
      </c>
      <c r="CU489" s="2" t="e">
        <f ca="1">_xll.BDH($C$478,"QUICK_RATIO","FQ1 2016","FQ1 2016","Currency=INR","Period=FQ","BEST_FPERIOD_OVERRIDE=FQ","FILING_STATUS=OR","EQY_CONSOLIDATED=Y","Sort=A","Dates=H","DateFormat=P","Fill=—","Direction=H","UseDPDF=Y")</f>
        <v>#NAME?</v>
      </c>
      <c r="CV489" s="2" t="e">
        <f ca="1">_xll.BDH($C$478,"ALTMAN_Z_SCORE","FQ1 2016","FQ1 2016","Currency=INR","Period=FQ","BEST_FPERIOD_OVERRIDE=FQ","FILING_STATUS=OR","EQY_CONSOLIDATED=Y","Sort=A","Dates=H","DateFormat=P","Fill=—","Direction=H","UseDPDF=Y")</f>
        <v>#NAME?</v>
      </c>
      <c r="CW489" s="4" t="e">
        <f ca="1">_xll.BDH($C$478,"ACCT_RCV_TURN","FQ1 2016","FQ1 2016","Currency=INR","Period=FQ","BEST_FPERIOD_OVERRIDE=FQ","FILING_STATUS=OR","EQY_CONSOLIDATED=Y","FA_ADJUSTED=GAAP","Sort=A","Dates=H","DateFormat=P","Fill=—","Direction=H","UseDPDF=Y")</f>
        <v>#NAME?</v>
      </c>
      <c r="CX489" s="2" t="e">
        <f ca="1">_xll.BDH($C$478,"ACCT_RCV_DAYS","FQ1 2016","FQ1 2016","Currency=INR","Period=FQ","BEST_FPERIOD_OVERRIDE=FQ","FILING_STATUS=OR","EQY_CONSOLIDATED=Y","FA_ADJUSTED=GAAP","Sort=A","Dates=H","DateFormat=P","Fill=—","Direction=H","UseDPDF=Y")</f>
        <v>#NAME?</v>
      </c>
      <c r="CY489" s="4" t="e">
        <f ca="1">_xll.BDH($C$478,"INVENT_TURN","FQ1 2016","FQ1 2016","Currency=INR","Period=FQ","BEST_FPERIOD_OVERRIDE=FQ","FILING_STATUS=OR","EQY_CONSOLIDATED=Y","FA_ADJUSTED=GAAP","Sort=A","Dates=H","DateFormat=P","Fill=—","Direction=H","UseDPDF=Y")</f>
        <v>#NAME?</v>
      </c>
      <c r="CZ489" s="2" t="e">
        <f ca="1">_xll.BDH($C$478,"INVENT_DAYS","FQ1 2016","FQ1 2016","Currency=INR","Period=FQ","BEST_FPERIOD_OVERRIDE=FQ","FILING_STATUS=OR","EQY_CONSOLIDATED=Y","FA_ADJUSTED=GAAP","Sort=A","Dates=H","DateFormat=P","Fill=—","Direction=H","UseDPDF=Y")</f>
        <v>#NAME?</v>
      </c>
      <c r="DA489" s="4" t="e">
        <f ca="1">_xll.BDH($C$478,"ACCOUNTS_PAYABLE_TURNOVER","FQ1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489" s="2" t="e">
        <f ca="1">_xll.BDH($C$478,"ACCOUNTS_PAYABLE_TURNOVER_DAYS","FQ1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489" s="4" t="e">
        <f ca="1">_xll.BDH($C$478,"CASH_CONVERSION_CYCLE","FQ1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489" s="4" t="e">
        <f ca="1">_xll.BDH($C$478,"INV_TO_CASH_DAYS","FQ1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489" s="5" t="e">
        <f ca="1">_xll.BDH($C$478,"BS_INVENTORIES","FQ1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489" s="3" t="e">
        <f ca="1">_xll.BDH($C$478,"INVTRY_RAW_MATERIALS","FQ1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489" s="3" t="e">
        <f ca="1">_xll.BDH($C$478,"INVTRY_IN_PROGRESS","FQ1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489" s="3" t="e">
        <f ca="1">_xll.BDH($C$478,"INVTRY_FINISHED_GOODS","FQ1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489" s="3" t="e">
        <f ca="1">_xll.BDH($C$478,"BS_OTHER_INV","FQ1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490" spans="1:113" x14ac:dyDescent="0.3">
      <c r="A490" s="6"/>
      <c r="B490" s="6"/>
      <c r="C490" s="6"/>
      <c r="D490" s="6"/>
      <c r="E490" t="s">
        <v>79</v>
      </c>
      <c r="F490" t="e">
        <f ca="1">_xll.BDH($C$478,"RETURN_COM_EQY","FQ2 2016","FQ2 2016","Currency=INR","Period=FQ","BEST_FPERIOD_OVERRIDE=FQ","FILING_STATUS=OR","EQY_CONSOLIDATED=Y","FA_ADJUSTED=GAAP","Sort=A","Dates=H","DateFormat=P","Fill=—","Direction=H","UseDPDF=Y")</f>
        <v>#NAME?</v>
      </c>
      <c r="G490" t="e">
        <f ca="1">_xll.BDH($C$478,"RETURN_ON_ASSET","FQ2 2016","FQ2 2016","Currency=INR","Period=FQ","BEST_FPERIOD_OVERRIDE=FQ","FILING_STATUS=OR","EQY_CONSOLIDATED=Y","FA_ADJUSTED=GAAP","Sort=A","Dates=H","DateFormat=P","Fill=—","Direction=H","UseDPDF=Y")</f>
        <v>#NAME?</v>
      </c>
      <c r="H490" t="e">
        <f ca="1">_xll.BDH($C$478,"RETURN_ON_CAP","FQ2 2016","FQ2 2016","Currency=INR","Period=FQ","BEST_FPERIOD_OVERRIDE=FQ","FILING_STATUS=OR","EQY_CONSOLIDATED=Y","FA_ADJUSTED=GAAP","Sort=A","Dates=H","DateFormat=P","Fill=—","Direction=H","UseDPDF=Y")</f>
        <v>#NAME?</v>
      </c>
      <c r="I490" t="e">
        <f ca="1">_xll.BDH($C$478,"RETURN_ON_INV_CAPITAL","FQ2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490" t="e">
        <f ca="1">_xll.BDH($C$478,"EBITDA_TO_REVENUE","FQ2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490" t="e">
        <f ca="1">_xll.BDH($C$478,"OPER_MARGIN","FQ2 2016","FQ2 2016","Currency=INR","Period=FQ","BEST_FPERIOD_OVERRIDE=FQ","FILING_STATUS=OR","EQY_CONSOLIDATED=Y","FA_ADJUSTED=GAAP","Sort=A","Dates=H","DateFormat=P","Fill=—","Direction=H","UseDPDF=Y")</f>
        <v>#NAME?</v>
      </c>
      <c r="L490" t="e">
        <f ca="1">_xll.BDH($C$478,"INCREMENTAL_OPERATING_MARGIN","FQ2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490" t="e">
        <f ca="1">_xll.BDH($C$478,"PRETAX_INC_TO_NET_SALES","FQ2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490" t="e">
        <f ca="1">_xll.BDH($C$478,"INC_BEF_XO_ITEMS_TO_NET_SALES","FQ2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490" t="e">
        <f ca="1">_xll.BDH($C$478,"PROF_MARGIN","FQ2 2016","FQ2 2016","Currency=INR","Period=FQ","BEST_FPERIOD_OVERRIDE=FQ","FILING_STATUS=OR","EQY_CONSOLIDATED=Y","FA_ADJUSTED=GAAP","Sort=A","Dates=H","DateFormat=P","Fill=—","Direction=H","UseDPDF=Y")</f>
        <v>#NAME?</v>
      </c>
      <c r="P490" t="e">
        <f ca="1">_xll.BDH($C$478,"NET_INCOME_TO_COMMON_MARGIN","FQ2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490" t="e">
        <f ca="1">_xll.BDH($C$478,"EFF_TAX_RATE","FQ2 2016","FQ2 2016","Currency=INR","Period=FQ","BEST_FPERIOD_OVERRIDE=FQ","FILING_STATUS=OR","EQY_CONSOLIDATED=Y","FA_ADJUSTED=GAAP","Sort=A","Dates=H","DateFormat=P","Fill=—","Direction=H","UseDPDF=Y")</f>
        <v>#NAME?</v>
      </c>
      <c r="R490" t="e">
        <f ca="1">_xll.BDH($C$478,"DVD_PAYOUT_RATIO","FQ2 2016","FQ2 2016","Currency=INR","Period=FQ","BEST_FPERIOD_OVERRIDE=FQ","FILING_STATUS=OR","EQY_CONSOLIDATED=Y","FA_ADJUSTED=GAAP","Sort=A","Dates=H","DateFormat=P","Fill=—","Direction=H","UseDPDF=Y")</f>
        <v>#NAME?</v>
      </c>
      <c r="S490" t="e">
        <f ca="1">_xll.BDH($C$478,"SUSTAIN_GROWTH_RT","FQ2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490" s="2" t="e">
        <f ca="1">_xll.BDH($C$478,"SALES_GROWTH","FQ2 2016","FQ2 2016","Currency=INR","Period=FQ","BEST_FPERIOD_OVERRIDE=FQ","FILING_STATUS=OR","EQY_CONSOLIDATED=Y","FA_ADJUSTED=GAAP","Sort=A","Dates=H","DateFormat=P","Fill=—","Direction=H","UseDPDF=Y")</f>
        <v>#NAME?</v>
      </c>
      <c r="U490" s="2" t="e">
        <f ca="1">_xll.BDH($C$478,"EBITDA_GROWTH","FQ2 2016","FQ2 2016","Currency=INR","Period=FQ","BEST_FPERIOD_OVERRIDE=FQ","FILING_STATUS=OR","EQY_CONSOLIDATED=Y","FA_ADJUSTED=GAAP","Sort=A","Dates=H","DateFormat=P","Fill=—","Direction=H","UseDPDF=Y")</f>
        <v>#NAME?</v>
      </c>
      <c r="V490" s="2" t="e">
        <f ca="1">_xll.BDH($C$478,"OPER_INC_GROWTH","FQ2 2016","FQ2 2016","Currency=INR","Period=FQ","BEST_FPERIOD_OVERRIDE=FQ","FILING_STATUS=OR","EQY_CONSOLIDATED=Y","FA_ADJUSTED=GAAP","Sort=A","Dates=H","DateFormat=P","Fill=—","Direction=H","UseDPDF=Y")</f>
        <v>#NAME?</v>
      </c>
      <c r="W490" s="2" t="e">
        <f ca="1">_xll.BDH($C$478,"EARN_FOR_COM_GROWTH","FQ2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490" s="2" t="e">
        <f ca="1">_xll.BDH($C$478,"DILUTED_EPS_AFT_XO_ITEMS_GROWTH","FQ2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490" s="2" t="e">
        <f ca="1">_xll.BDH($C$478,"DIVIDEND_PER_SHARE_1_YEAR_GROWTH","FQ2 2016","FQ2 2016","Currency=INR","Period=FQ","BEST_FPERIOD_OVERRIDE=FQ","FILING_STATUS=OR","EQY_CONSOLIDATED=Y","Sort=A","Dates=H","DateFormat=P","Fill=—","Direction=H","UseDPDF=Y")</f>
        <v>#NAME?</v>
      </c>
      <c r="Z490" s="2" t="e">
        <f ca="1">_xll.BDH($C$478,"ACCOUNTS_RECEIVABLE_GROWTH","FQ2 2016","FQ2 2016","Currency=INR","Period=FQ","BEST_FPERIOD_OVERRIDE=FQ","FILING_STATUS=OR","EQY_CONSOLIDATED=Y","Sort=A","Dates=H","DateFormat=P","Fill=—","Direction=H","UseDPDF=Y")</f>
        <v>#NAME?</v>
      </c>
      <c r="AA490" s="2" t="e">
        <f ca="1">_xll.BDH($C$478,"INVENTORY_GROWTH","FQ2 2016","FQ2 2016","Currency=INR","Period=FQ","BEST_FPERIOD_OVERRIDE=FQ","FILING_STATUS=OR","EQY_CONSOLIDATED=Y","Sort=A","Dates=H","DateFormat=P","Fill=—","Direction=H","UseDPDF=Y")</f>
        <v>#NAME?</v>
      </c>
      <c r="AB490" s="2" t="e">
        <f ca="1">_xll.BDH($C$478,"NET_FIXED_ASSETS_1_YEAR_GROWTH","FQ2 2016","FQ2 2016","Currency=INR","Period=FQ","BEST_FPERIOD_OVERRIDE=FQ","FILING_STATUS=OR","EQY_CONSOLIDATED=Y","Sort=A","Dates=H","DateFormat=P","Fill=—","Direction=H","UseDPDF=Y")</f>
        <v>#NAME?</v>
      </c>
      <c r="AC490" s="2" t="e">
        <f ca="1">_xll.BDH($C$478,"ASSET_GROWTH","FQ2 2016","FQ2 2016","Currency=INR","Period=FQ","BEST_FPERIOD_OVERRIDE=FQ","FILING_STATUS=OR","EQY_CONSOLIDATED=Y","Sort=A","Dates=H","DateFormat=P","Fill=—","Direction=H","UseDPDF=Y")</f>
        <v>#NAME?</v>
      </c>
      <c r="AD490" s="2" t="e">
        <f ca="1">_xll.BDH($C$478,"MODIFIED_WORK_CAP_GROWTH","FQ2 2016","FQ2 2016","Currency=INR","Period=FQ","BEST_FPERIOD_OVERRIDE=FQ","FILING_STATUS=OR","EQY_CONSOLIDATED=Y","Sort=A","Dates=H","DateFormat=P","Fill=—","Direction=H","UseDPDF=Y")</f>
        <v>#NAME?</v>
      </c>
      <c r="AE490" s="2" t="e">
        <f ca="1">_xll.BDH($C$478,"WORK_CAP_GROWTH","FQ2 2016","FQ2 2016","Currency=INR","Period=FQ","BEST_FPERIOD_OVERRIDE=FQ","FILING_STATUS=OR","EQY_CONSOLIDATED=Y","Sort=A","Dates=H","DateFormat=P","Fill=—","Direction=H","UseDPDF=Y")</f>
        <v>#NAME?</v>
      </c>
      <c r="AF490" s="2" t="e">
        <f ca="1">_xll.BDH($C$478,"ACCOUNTS_PAYABLE_GROWTH_1YR","FQ2 2016","FQ2 2016","Currency=INR","Period=FQ","BEST_FPERIOD_OVERRIDE=FQ","FILING_STATUS=OR","EQY_CONSOLIDATED=Y","Sort=A","Dates=H","DateFormat=P","Fill=—","Direction=H","UseDPDF=Y")</f>
        <v>#NAME?</v>
      </c>
      <c r="AG490" s="2" t="e">
        <f ca="1">_xll.BDH($C$478,"SHORT_TERM_DEBT_1_YEAR_GROWTH","FQ2 2016","FQ2 2016","Currency=INR","Period=FQ","BEST_FPERIOD_OVERRIDE=FQ","FILING_STATUS=OR","EQY_CONSOLIDATED=Y","Sort=A","Dates=H","DateFormat=P","Fill=—","Direction=H","UseDPDF=Y")</f>
        <v>#NAME?</v>
      </c>
      <c r="AH490" s="2" t="e">
        <f ca="1">_xll.BDH($C$478,"TOTAL_DEBT_1_YEAR_GROWTH","FQ2 2016","FQ2 2016","Currency=INR","Period=FQ","BEST_FPERIOD_OVERRIDE=FQ","FILING_STATUS=OR","EQY_CONSOLIDATED=Y","Sort=A","Dates=H","DateFormat=P","Fill=—","Direction=H","UseDPDF=Y")</f>
        <v>#NAME?</v>
      </c>
      <c r="AI490" s="2" t="e">
        <f ca="1">_xll.BDH($C$478,"TOTAL_EQUITY_1_YEAR_GROWTH","FQ2 2016","FQ2 2016","Currency=INR","Period=FQ","BEST_FPERIOD_OVERRIDE=FQ","FILING_STATUS=OR","EQY_CONSOLIDATED=Y","Sort=A","Dates=H","DateFormat=P","Fill=—","Direction=H","UseDPDF=Y")</f>
        <v>#NAME?</v>
      </c>
      <c r="AJ490" s="2" t="e">
        <f ca="1">_xll.BDH($C$478,"GROWTH_IN_CAP","FQ2 2016","FQ2 2016","Currency=INR","Period=FQ","BEST_FPERIOD_OVERRIDE=FQ","FILING_STATUS=OR","EQY_CONSOLIDATED=Y","Sort=A","Dates=H","DateFormat=P","Fill=—","Direction=H","UseDPDF=Y")</f>
        <v>#NAME?</v>
      </c>
      <c r="AK490" s="2" t="e">
        <f ca="1">_xll.BDH($C$478,"BVPS_GROWTH","FQ2 2016","FQ2 2016","Currency=INR","Period=FQ","BEST_FPERIOD_OVERRIDE=FQ","FILING_STATUS=OR","EQY_CONSOLIDATED=Y","Sort=A","Dates=H","DateFormat=P","Fill=—","Direction=H","UseDPDF=Y")</f>
        <v>#NAME?</v>
      </c>
      <c r="AL490" s="2" t="e">
        <f ca="1">_xll.BDH($C$478,"CASH_FLOW_GROWTH","FQ2 2016","FQ2 2016","Currency=INR","Period=FQ","BEST_FPERIOD_OVERRIDE=FQ","FILING_STATUS=OR","EQY_CONSOLIDATED=Y","Sort=A","Dates=H","DateFormat=P","Fill=—","Direction=H","UseDPDF=Y")</f>
        <v>#NAME?</v>
      </c>
      <c r="AM490" s="2" t="e">
        <f ca="1">_xll.BDH($C$478,"GEO_GROW_NET_SALES","FQ2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490" s="2" t="e">
        <f ca="1">_xll.BDH($C$478,"GEO_GROW_EBITDA","FQ2 2016","FQ2 2016","Currency=INR","Period=FQ","BEST_FPERIOD_OVERRIDE=FQ","FILING_STATUS=OR","EQY_CONSOLIDATED=Y","FA_ADJUSTED=GAAP","Sort=A","Dates=H","DateFormat=P","Fill=—","Direction=H","UseDPDF=Y")</f>
        <v>#NAME?</v>
      </c>
      <c r="AO490" s="2" t="e">
        <f ca="1">_xll.BDH($C$478,"GEO_GROW_OPER_INC","FQ2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490" s="2" t="e">
        <f ca="1">_xll.BDH($C$478,"NET_INCOME_TO_COMMON_5_YR_GROWTH","FQ2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490" s="2" t="e">
        <f ca="1">_xll.BDH($C$478,"5Y_GEO_GROWTH_DILUTED_EPS","FQ2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490" s="2" t="e">
        <f ca="1">_xll.BDH($C$478,"GEO_GROW_DVD_PER_SH","FQ2 2016","FQ2 2016","Currency=INR","Period=FQ","BEST_FPERIOD_OVERRIDE=FQ","FILING_STATUS=OR","EQY_CONSOLIDATED=Y","Sort=A","Dates=H","DateFormat=P","Fill=—","Direction=H","UseDPDF=Y")</f>
        <v>#NAME?</v>
      </c>
      <c r="AS490" s="2" t="e">
        <f ca="1">_xll.BDH($C$478,"ACCOUNTS_RECEIVABLE_5_YR_GROWTH","FQ2 2016","FQ2 2016","Currency=INR","Period=FQ","BEST_FPERIOD_OVERRIDE=FQ","FILING_STATUS=OR","EQY_CONSOLIDATED=Y","Sort=A","Dates=H","DateFormat=P","Fill=—","Direction=H","UseDPDF=Y")</f>
        <v>#NAME?</v>
      </c>
      <c r="AT490" s="2" t="e">
        <f ca="1">_xll.BDH($C$478,"INVENTORY_5_YEAR_GROWTH","FQ2 2016","FQ2 2016","Currency=INR","Period=FQ","BEST_FPERIOD_OVERRIDE=FQ","FILING_STATUS=OR","EQY_CONSOLIDATED=Y","Sort=A","Dates=H","DateFormat=P","Fill=—","Direction=H","UseDPDF=Y")</f>
        <v>#NAME?</v>
      </c>
      <c r="AU490" s="2" t="e">
        <f ca="1">_xll.BDH($C$478,"NET_FIXED_ASSETS_5_YEAR_GROWTH","FQ2 2016","FQ2 2016","Currency=INR","Period=FQ","BEST_FPERIOD_OVERRIDE=FQ","FILING_STATUS=OR","EQY_CONSOLIDATED=Y","Sort=A","Dates=H","DateFormat=P","Fill=—","Direction=H","UseDPDF=Y")</f>
        <v>#NAME?</v>
      </c>
      <c r="AV490" s="2" t="e">
        <f ca="1">_xll.BDH($C$478,"GEO_GROW_TOT_ASSET","FQ2 2016","FQ2 2016","Currency=INR","Period=FQ","BEST_FPERIOD_OVERRIDE=FQ","FILING_STATUS=OR","EQY_CONSOLIDATED=Y","Sort=A","Dates=H","DateFormat=P","Fill=—","Direction=H","UseDPDF=Y")</f>
        <v>#NAME?</v>
      </c>
      <c r="AW490" s="2" t="e">
        <f ca="1">_xll.BDH($C$478,"MODIFIED_WORKING_CPTL_5YR_GRWTH","FQ2 2016","FQ2 2016","Currency=INR","Period=FQ","BEST_FPERIOD_OVERRIDE=FQ","FILING_STATUS=OR","EQY_CONSOLIDATED=Y","Sort=A","Dates=H","DateFormat=P","Fill=—","Direction=H","UseDPDF=Y")</f>
        <v>#NAME?</v>
      </c>
      <c r="AX490" s="2" t="e">
        <f ca="1">_xll.BDH($C$478,"WORKING_CAPITAL_5_YEAR_GROWTH","FQ2 2016","FQ2 2016","Currency=INR","Period=FQ","BEST_FPERIOD_OVERRIDE=FQ","FILING_STATUS=OR","EQY_CONSOLIDATED=Y","Sort=A","Dates=H","DateFormat=P","Fill=—","Direction=H","UseDPDF=Y")</f>
        <v>#NAME?</v>
      </c>
      <c r="AY490" s="2" t="e">
        <f ca="1">_xll.BDH($C$478,"ACCOUNTS_PAYABLE_5_YEAR_GROWTH","FQ2 2016","FQ2 2016","Currency=INR","Period=FQ","BEST_FPERIOD_OVERRIDE=FQ","FILING_STATUS=OR","EQY_CONSOLIDATED=Y","Sort=A","Dates=H","DateFormat=P","Fill=—","Direction=H","UseDPDF=Y")</f>
        <v>#NAME?</v>
      </c>
      <c r="AZ490" s="2" t="e">
        <f ca="1">_xll.BDH($C$478,"SHORT_TERM_DEBT_5_YEAR_GROWTH","FQ2 2016","FQ2 2016","Currency=INR","Period=FQ","BEST_FPERIOD_OVERRIDE=FQ","FILING_STATUS=OR","EQY_CONSOLIDATED=Y","Sort=A","Dates=H","DateFormat=P","Fill=—","Direction=H","UseDPDF=Y")</f>
        <v>#NAME?</v>
      </c>
      <c r="BA490" s="2" t="e">
        <f ca="1">_xll.BDH($C$478,"TOTAL_DEBT_5_YEAR_GROWTH","FQ2 2016","FQ2 2016","Currency=INR","Period=FQ","BEST_FPERIOD_OVERRIDE=FQ","FILING_STATUS=OR","EQY_CONSOLIDATED=Y","Sort=A","Dates=H","DateFormat=P","Fill=—","Direction=H","UseDPDF=Y")</f>
        <v>#NAME?</v>
      </c>
      <c r="BB490" s="2" t="e">
        <f ca="1">_xll.BDH($C$478,"GEO_GROW_TOT_SHRHLDR_EQY","FQ2 2016","FQ2 2016","Currency=INR","Period=FQ","BEST_FPERIOD_OVERRIDE=FQ","FILING_STATUS=OR","EQY_CONSOLIDATED=Y","Sort=A","Dates=H","DateFormat=P","Fill=—","Direction=H","UseDPDF=Y")</f>
        <v>#NAME?</v>
      </c>
      <c r="BC490" s="2" t="e">
        <f ca="1">_xll.BDH($C$478,"TOTAL_CAPITAL_5_YEAR_GROWTH","FQ2 2016","FQ2 2016","Currency=INR","Period=FQ","BEST_FPERIOD_OVERRIDE=FQ","FILING_STATUS=OR","EQY_CONSOLIDATED=Y","Sort=A","Dates=H","DateFormat=P","Fill=—","Direction=H","UseDPDF=Y")</f>
        <v>#NAME?</v>
      </c>
      <c r="BD490" s="2" t="e">
        <f ca="1">_xll.BDH($C$478,"GEO_GROW_BOOK_VAL","FQ2 2016","FQ2 2016","Currency=INR","Period=FQ","BEST_FPERIOD_OVERRIDE=FQ","FILING_STATUS=OR","EQY_CONSOLIDATED=Y","Sort=A","Dates=H","DateFormat=P","Fill=—","Direction=H","UseDPDF=Y")</f>
        <v>#NAME?</v>
      </c>
      <c r="BE490" s="2" t="e">
        <f ca="1">_xll.BDH($C$478,"GEO_GROW_CASH_OPER_ACT","FQ2 2016","FQ2 2016","Currency=INR","Period=FQ","BEST_FPERIOD_OVERRIDE=FQ","FILING_STATUS=OR","EQY_CONSOLIDATED=Y","Sort=A","Dates=H","DateFormat=P","Fill=—","Direction=H","UseDPDF=Y")</f>
        <v>#NAME?</v>
      </c>
      <c r="BF490" s="2" t="e">
        <f ca="1">_xll.BDH($C$478,"REVENUE_SEQUENTIAL_GROWTH","FQ2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490" s="2" t="e">
        <f ca="1">_xll.BDH($C$478,"EBITDA_SEQUENTIAL_GROWTH","FQ2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490" s="2" t="e">
        <f ca="1">_xll.BDH($C$478,"OPERATING_INCOME_SEQ_GROWTH","FQ2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490" s="2" t="e">
        <f ca="1">_xll.BDH($C$478,"NET_INCOME_TO_COMMON_SEQ_GROWTH","FQ2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490" s="2" t="e">
        <f ca="1">_xll.BDH($C$478,"EPS_DILUTED_SEQUENTIAL_GROWTH","FQ2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490" s="2" t="e">
        <f ca="1">_xll.BDH($C$478,"DPS_SEQUENTIAL_GROWTH","FQ2 2016","FQ2 2016","Currency=INR","Period=FQ","BEST_FPERIOD_OVERRIDE=FQ","FILING_STATUS=OR","EQY_CONSOLIDATED=Y","Sort=A","Dates=H","DateFormat=P","Fill=—","Direction=H","UseDPDF=Y")</f>
        <v>#NAME?</v>
      </c>
      <c r="BL490" s="2" t="e">
        <f ca="1">_xll.BDH($C$478,"ACCOUNTS_RECEIVABLE_SEQ_GROWTH","FQ2 2016","FQ2 2016","Currency=INR","Period=FQ","BEST_FPERIOD_OVERRIDE=FQ","FILING_STATUS=OR","EQY_CONSOLIDATED=Y","Sort=A","Dates=H","DateFormat=P","Fill=—","Direction=H","UseDPDF=Y")</f>
        <v>#NAME?</v>
      </c>
      <c r="BM490" s="2" t="e">
        <f ca="1">_xll.BDH($C$478,"INVENTORY_SEQUENTIAL_GROWTH","FQ2 2016","FQ2 2016","Currency=INR","Period=FQ","BEST_FPERIOD_OVERRIDE=FQ","FILING_STATUS=OR","EQY_CONSOLIDATED=Y","Sort=A","Dates=H","DateFormat=P","Fill=—","Direction=H","UseDPDF=Y")</f>
        <v>#NAME?</v>
      </c>
      <c r="BN490" s="2" t="e">
        <f ca="1">_xll.BDH($C$478,"FIXED_ASSETS_SEQUENTIAL_GROWTH","FQ2 2016","FQ2 2016","Currency=INR","Period=FQ","BEST_FPERIOD_OVERRIDE=FQ","FILING_STATUS=OR","EQY_CONSOLIDATED=Y","Sort=A","Dates=H","DateFormat=P","Fill=—","Direction=H","UseDPDF=Y")</f>
        <v>#NAME?</v>
      </c>
      <c r="BO490" s="2" t="e">
        <f ca="1">_xll.BDH($C$478,"TOTAL_ASSETS_SEQUENTIAL_GROWTH","FQ2 2016","FQ2 2016","Currency=INR","Period=FQ","BEST_FPERIOD_OVERRIDE=FQ","FILING_STATUS=OR","EQY_CONSOLIDATED=Y","Sort=A","Dates=H","DateFormat=P","Fill=—","Direction=H","UseDPDF=Y")</f>
        <v>#NAME?</v>
      </c>
      <c r="BP490" s="2" t="e">
        <f ca="1">_xll.BDH($C$478,"MODIFIED_WORKING_CPTL_SEQ_GRWTH","FQ2 2016","FQ2 2016","Currency=INR","Period=FQ","BEST_FPERIOD_OVERRIDE=FQ","FILING_STATUS=OR","EQY_CONSOLIDATED=Y","Sort=A","Dates=H","DateFormat=P","Fill=—","Direction=H","UseDPDF=Y")</f>
        <v>#NAME?</v>
      </c>
      <c r="BQ490" s="2" t="e">
        <f ca="1">_xll.BDH($C$478,"WORKING_CAPITAL_SEQ_GROWTH","FQ2 2016","FQ2 2016","Currency=INR","Period=FQ","BEST_FPERIOD_OVERRIDE=FQ","FILING_STATUS=OR","EQY_CONSOLIDATED=Y","Sort=A","Dates=H","DateFormat=P","Fill=—","Direction=H","UseDPDF=Y")</f>
        <v>#NAME?</v>
      </c>
      <c r="BR490" s="2" t="e">
        <f ca="1">_xll.BDH($C$478,"ACCOUNTS_PAYABLE_SEQ_GROWTH","FQ2 2016","FQ2 2016","Currency=INR","Period=FQ","BEST_FPERIOD_OVERRIDE=FQ","FILING_STATUS=OR","EQY_CONSOLIDATED=Y","Sort=A","Dates=H","DateFormat=P","Fill=—","Direction=H","UseDPDF=Y")</f>
        <v>#NAME?</v>
      </c>
      <c r="BS490" s="2" t="e">
        <f ca="1">_xll.BDH($C$478,"ST_DEBT_SEQUENTIAL_GROWTH","FQ2 2016","FQ2 2016","Currency=INR","Period=FQ","BEST_FPERIOD_OVERRIDE=FQ","FILING_STATUS=OR","EQY_CONSOLIDATED=Y","Sort=A","Dates=H","DateFormat=P","Fill=—","Direction=H","UseDPDF=Y")</f>
        <v>#NAME?</v>
      </c>
      <c r="BT490" s="2" t="e">
        <f ca="1">_xll.BDH($C$478,"TOTAL_DEBT_SEQUENTIAL_GROWTH","FQ2 2016","FQ2 2016","Currency=INR","Period=FQ","BEST_FPERIOD_OVERRIDE=FQ","FILING_STATUS=OR","EQY_CONSOLIDATED=Y","Sort=A","Dates=H","DateFormat=P","Fill=—","Direction=H","UseDPDF=Y")</f>
        <v>#NAME?</v>
      </c>
      <c r="BU490" s="2" t="e">
        <f ca="1">_xll.BDH($C$478,"TOTAL_EQUITY_SEQUENTIAL_GROWTH","FQ2 2016","FQ2 2016","Currency=INR","Period=FQ","BEST_FPERIOD_OVERRIDE=FQ","FILING_STATUS=OR","EQY_CONSOLIDATED=Y","Sort=A","Dates=H","DateFormat=P","Fill=—","Direction=H","UseDPDF=Y")</f>
        <v>#NAME?</v>
      </c>
      <c r="BV490" s="2" t="e">
        <f ca="1">_xll.BDH($C$478,"TOTAL_CAPITAL_SEQUENTIAL_GROWTH","FQ2 2016","FQ2 2016","Currency=INR","Period=FQ","BEST_FPERIOD_OVERRIDE=FQ","FILING_STATUS=OR","EQY_CONSOLIDATED=Y","Sort=A","Dates=H","DateFormat=P","Fill=—","Direction=H","UseDPDF=Y")</f>
        <v>#NAME?</v>
      </c>
      <c r="BW490" s="2" t="e">
        <f ca="1">_xll.BDH($C$478,"BPS_SEQUENTIAL_GROWTH","FQ2 2016","FQ2 2016","Currency=INR","Period=FQ","BEST_FPERIOD_OVERRIDE=FQ","FILING_STATUS=OR","EQY_CONSOLIDATED=Y","Sort=A","Dates=H","DateFormat=P","Fill=—","Direction=H","UseDPDF=Y")</f>
        <v>#NAME?</v>
      </c>
      <c r="BX490" s="2" t="e">
        <f ca="1">_xll.BDH($C$478,"CFO_SEQUENTIAL_GROWTH","FQ2 2016","FQ2 2016","Currency=INR","Period=FQ","BEST_FPERIOD_OVERRIDE=FQ","FILING_STATUS=OR","EQY_CONSOLIDATED=Y","Sort=A","Dates=H","DateFormat=P","Fill=—","Direction=H","UseDPDF=Y")</f>
        <v>#NAME?</v>
      </c>
      <c r="BY490" s="3" t="e">
        <f ca="1">_xll.BDH($C$478,"SHORT_AND_LONG_TERM_DEBT","FQ2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490" s="3" t="e">
        <f ca="1">_xll.BDH($C$478,"BS_ST_BORROW","FQ2 2016","FQ2 2016","Currency=INR","Period=FQ","BEST_FPERIOD_OVERRIDE=FQ","FILING_STATUS=OR","EQY_CONSOLIDATED=Y","SCALING_FORMAT=MLN","Sort=A","Dates=H","DateFormat=P","Fill=—","Direction=H","UseDPDF=Y")</f>
        <v>#NAME?</v>
      </c>
      <c r="CA490" s="3" t="e">
        <f ca="1">_xll.BDH($C$478,"BS_LT_BORROW","FQ2 2016","FQ2 2016","Currency=INR","Period=FQ","BEST_FPERIOD_OVERRIDE=FQ","FILING_STATUS=OR","EQY_CONSOLIDATED=Y","SCALING_FORMAT=MLN","Sort=A","Dates=H","DateFormat=P","Fill=—","Direction=H","UseDPDF=Y")</f>
        <v>#NAME?</v>
      </c>
      <c r="CB490" s="2" t="e">
        <f ca="1">_xll.BDH($C$478,"TOT_DEBT_TO_EBITDA","FQ2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490" s="2" t="e">
        <f ca="1">_xll.BDH($C$478,"NET_DEBT_TO_EBITDA","FQ2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490" s="2" t="e">
        <f ca="1">_xll.BDH($C$478,"TOTAL_DEBT_TO_EBIT","FQ2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490" s="2" t="e">
        <f ca="1">_xll.BDH($C$478,"NET_DEBT_TO_EBIT","FQ2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490" s="2" t="e">
        <f ca="1">_xll.BDH($C$478,"EBITDA_TO_INTEREST_EXPN","FQ2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490" s="2" t="e">
        <f ca="1">_xll.BDH($C$478,"COM_EQY_TO_TOT_ASSET","FQ2 2016","FQ2 2016","Currency=INR","Period=FQ","BEST_FPERIOD_OVERRIDE=FQ","FILING_STATUS=OR","EQY_CONSOLIDATED=Y","Sort=A","Dates=H","DateFormat=P","Fill=—","Direction=H","UseDPDF=Y")</f>
        <v>#NAME?</v>
      </c>
      <c r="CH490" s="2" t="e">
        <f ca="1">_xll.BDH($C$478,"LT_DEBT_TO_TOT_EQY","FQ2 2016","FQ2 2016","Currency=INR","Period=FQ","BEST_FPERIOD_OVERRIDE=FQ","FILING_STATUS=OR","EQY_CONSOLIDATED=Y","Sort=A","Dates=H","DateFormat=P","Fill=—","Direction=H","UseDPDF=Y")</f>
        <v>#NAME?</v>
      </c>
      <c r="CI490" s="2" t="e">
        <f ca="1">_xll.BDH($C$478,"LT_DEBT_TO_TOT_CAP","FQ2 2016","FQ2 2016","Currency=INR","Period=FQ","BEST_FPERIOD_OVERRIDE=FQ","FILING_STATUS=OR","EQY_CONSOLIDATED=Y","Sort=A","Dates=H","DateFormat=P","Fill=—","Direction=H","UseDPDF=Y")</f>
        <v>#NAME?</v>
      </c>
      <c r="CJ490" s="2" t="e">
        <f ca="1">_xll.BDH($C$478,"LT_DEBT_TO_TOT_ASSET","FQ2 2016","FQ2 2016","Currency=INR","Period=FQ","BEST_FPERIOD_OVERRIDE=FQ","FILING_STATUS=OR","EQY_CONSOLIDATED=Y","Sort=A","Dates=H","DateFormat=P","Fill=—","Direction=H","UseDPDF=Y")</f>
        <v>#NAME?</v>
      </c>
      <c r="CK490" s="2" t="e">
        <f ca="1">_xll.BDH($C$478,"TOT_DEBT_TO_TOT_EQY","FQ2 2016","FQ2 2016","Currency=INR","Period=FQ","BEST_FPERIOD_OVERRIDE=FQ","FILING_STATUS=OR","EQY_CONSOLIDATED=Y","Sort=A","Dates=H","DateFormat=P","Fill=—","Direction=H","UseDPDF=Y")</f>
        <v>#NAME?</v>
      </c>
      <c r="CL490" s="2" t="e">
        <f ca="1">_xll.BDH($C$478,"TOT_DEBT_TO_TOT_CAP","FQ2 2016","FQ2 2016","Currency=INR","Period=FQ","BEST_FPERIOD_OVERRIDE=FQ","FILING_STATUS=OR","EQY_CONSOLIDATED=Y","Sort=A","Dates=H","DateFormat=P","Fill=—","Direction=H","UseDPDF=Y")</f>
        <v>#NAME?</v>
      </c>
      <c r="CM490" s="2" t="e">
        <f ca="1">_xll.BDH($C$478,"TOT_DEBT_TO_TOT_ASSET","FQ2 2016","FQ2 2016","Currency=INR","Period=FQ","BEST_FPERIOD_OVERRIDE=FQ","FILING_STATUS=OR","EQY_CONSOLIDATED=Y","Sort=A","Dates=H","DateFormat=P","Fill=—","Direction=H","UseDPDF=Y")</f>
        <v>#NAME?</v>
      </c>
      <c r="CN490" s="2" t="e">
        <f ca="1">_xll.BDH($C$478,"NET_DEBT_TO_SHRHLDR_EQTY","FQ2 2016","FQ2 2016","Currency=INR","Period=FQ","BEST_FPERIOD_OVERRIDE=FQ","FILING_STATUS=OR","EQY_CONSOLIDATED=Y","Sort=A","Dates=H","DateFormat=P","Fill=—","Direction=H","UseDPDF=Y")</f>
        <v>#NAME?</v>
      </c>
      <c r="CO490" s="2" t="e">
        <f ca="1">_xll.BDH($C$478,"NET_DEBT_%_CAPITAL","FQ2 2016","FQ2 2016","Currency=INR","Period=FQ","BEST_FPERIOD_OVERRIDE=FQ","FILING_STATUS=OR","EQY_CONSOLIDATED=Y","Sort=A","Dates=H","DateFormat=P","Fill=—","Direction=H","UseDPDF=Y")</f>
        <v>#NAME?</v>
      </c>
      <c r="CP490" s="3" t="e">
        <f ca="1">_xll.BDH($C$478,"EBITDA","FQ2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490" s="3" t="e">
        <f ca="1">_xll.BDH($C$478,"EBITDA_AFTER_CAPEX","FQ2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490" s="3" t="e">
        <f ca="1">_xll.BDH($C$478,"IS_OPER_INC","FQ2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490" s="2" t="e">
        <f ca="1">_xll.BDH($C$478,"CASH_RATIO","FQ2 2016","FQ2 2016","Currency=INR","Period=FQ","BEST_FPERIOD_OVERRIDE=FQ","FILING_STATUS=OR","EQY_CONSOLIDATED=Y","Sort=A","Dates=H","DateFormat=P","Fill=—","Direction=H","UseDPDF=Y")</f>
        <v>#NAME?</v>
      </c>
      <c r="CT490" s="2" t="e">
        <f ca="1">_xll.BDH($C$478,"CUR_RATIO","FQ2 2016","FQ2 2016","Currency=INR","Period=FQ","BEST_FPERIOD_OVERRIDE=FQ","FILING_STATUS=OR","EQY_CONSOLIDATED=Y","Sort=A","Dates=H","DateFormat=P","Fill=—","Direction=H","UseDPDF=Y")</f>
        <v>#NAME?</v>
      </c>
      <c r="CU490" s="2" t="e">
        <f ca="1">_xll.BDH($C$478,"QUICK_RATIO","FQ2 2016","FQ2 2016","Currency=INR","Period=FQ","BEST_FPERIOD_OVERRIDE=FQ","FILING_STATUS=OR","EQY_CONSOLIDATED=Y","Sort=A","Dates=H","DateFormat=P","Fill=—","Direction=H","UseDPDF=Y")</f>
        <v>#NAME?</v>
      </c>
      <c r="CV490" s="2" t="e">
        <f ca="1">_xll.BDH($C$478,"ALTMAN_Z_SCORE","FQ2 2016","FQ2 2016","Currency=INR","Period=FQ","BEST_FPERIOD_OVERRIDE=FQ","FILING_STATUS=OR","EQY_CONSOLIDATED=Y","Sort=A","Dates=H","DateFormat=P","Fill=—","Direction=H","UseDPDF=Y")</f>
        <v>#NAME?</v>
      </c>
      <c r="CW490" s="4" t="e">
        <f ca="1">_xll.BDH($C$478,"ACCT_RCV_TURN","FQ2 2016","FQ2 2016","Currency=INR","Period=FQ","BEST_FPERIOD_OVERRIDE=FQ","FILING_STATUS=OR","EQY_CONSOLIDATED=Y","FA_ADJUSTED=GAAP","Sort=A","Dates=H","DateFormat=P","Fill=—","Direction=H","UseDPDF=Y")</f>
        <v>#NAME?</v>
      </c>
      <c r="CX490" s="2" t="e">
        <f ca="1">_xll.BDH($C$478,"ACCT_RCV_DAYS","FQ2 2016","FQ2 2016","Currency=INR","Period=FQ","BEST_FPERIOD_OVERRIDE=FQ","FILING_STATUS=OR","EQY_CONSOLIDATED=Y","FA_ADJUSTED=GAAP","Sort=A","Dates=H","DateFormat=P","Fill=—","Direction=H","UseDPDF=Y")</f>
        <v>#NAME?</v>
      </c>
      <c r="CY490" s="4" t="e">
        <f ca="1">_xll.BDH($C$478,"INVENT_TURN","FQ2 2016","FQ2 2016","Currency=INR","Period=FQ","BEST_FPERIOD_OVERRIDE=FQ","FILING_STATUS=OR","EQY_CONSOLIDATED=Y","FA_ADJUSTED=GAAP","Sort=A","Dates=H","DateFormat=P","Fill=—","Direction=H","UseDPDF=Y")</f>
        <v>#NAME?</v>
      </c>
      <c r="CZ490" s="2" t="e">
        <f ca="1">_xll.BDH($C$478,"INVENT_DAYS","FQ2 2016","FQ2 2016","Currency=INR","Period=FQ","BEST_FPERIOD_OVERRIDE=FQ","FILING_STATUS=OR","EQY_CONSOLIDATED=Y","FA_ADJUSTED=GAAP","Sort=A","Dates=H","DateFormat=P","Fill=—","Direction=H","UseDPDF=Y")</f>
        <v>#NAME?</v>
      </c>
      <c r="DA490" s="4" t="e">
        <f ca="1">_xll.BDH($C$478,"ACCOUNTS_PAYABLE_TURNOVER","FQ2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490" s="2" t="e">
        <f ca="1">_xll.BDH($C$478,"ACCOUNTS_PAYABLE_TURNOVER_DAYS","FQ2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490" s="4" t="e">
        <f ca="1">_xll.BDH($C$478,"CASH_CONVERSION_CYCLE","FQ2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490" s="4" t="e">
        <f ca="1">_xll.BDH($C$478,"INV_TO_CASH_DAYS","FQ2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490" s="5" t="e">
        <f ca="1">_xll.BDH($C$478,"BS_INVENTORIES","FQ2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490" s="3" t="e">
        <f ca="1">_xll.BDH($C$478,"INVTRY_RAW_MATERIALS","FQ2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490" s="3" t="e">
        <f ca="1">_xll.BDH($C$478,"INVTRY_IN_PROGRESS","FQ2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490" s="3" t="e">
        <f ca="1">_xll.BDH($C$478,"INVTRY_FINISHED_GOODS","FQ2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490" s="3" t="e">
        <f ca="1">_xll.BDH($C$478,"BS_OTHER_INV","FQ2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491" spans="1:113" x14ac:dyDescent="0.3">
      <c r="A491" s="6"/>
      <c r="B491" s="6"/>
      <c r="C491" s="6"/>
      <c r="D491" s="6"/>
      <c r="E491" t="s">
        <v>80</v>
      </c>
      <c r="F491" t="e">
        <f ca="1">_xll.BDH($C$478,"RETURN_COM_EQY","FQ3 2016","FQ3 2016","Currency=INR","Period=FQ","BEST_FPERIOD_OVERRIDE=FQ","FILING_STATUS=OR","EQY_CONSOLIDATED=Y","FA_ADJUSTED=GAAP","Sort=A","Dates=H","DateFormat=P","Fill=—","Direction=H","UseDPDF=Y")</f>
        <v>#NAME?</v>
      </c>
      <c r="G491" t="e">
        <f ca="1">_xll.BDH($C$478,"RETURN_ON_ASSET","FQ3 2016","FQ3 2016","Currency=INR","Period=FQ","BEST_FPERIOD_OVERRIDE=FQ","FILING_STATUS=OR","EQY_CONSOLIDATED=Y","FA_ADJUSTED=GAAP","Sort=A","Dates=H","DateFormat=P","Fill=—","Direction=H","UseDPDF=Y")</f>
        <v>#NAME?</v>
      </c>
      <c r="H491" t="e">
        <f ca="1">_xll.BDH($C$478,"RETURN_ON_CAP","FQ3 2016","FQ3 2016","Currency=INR","Period=FQ","BEST_FPERIOD_OVERRIDE=FQ","FILING_STATUS=OR","EQY_CONSOLIDATED=Y","FA_ADJUSTED=GAAP","Sort=A","Dates=H","DateFormat=P","Fill=—","Direction=H","UseDPDF=Y")</f>
        <v>#NAME?</v>
      </c>
      <c r="I491" t="e">
        <f ca="1">_xll.BDH($C$478,"RETURN_ON_INV_CAPITAL","FQ3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491" t="e">
        <f ca="1">_xll.BDH($C$478,"EBITDA_TO_REVENUE","FQ3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491" t="e">
        <f ca="1">_xll.BDH($C$478,"OPER_MARGIN","FQ3 2016","FQ3 2016","Currency=INR","Period=FQ","BEST_FPERIOD_OVERRIDE=FQ","FILING_STATUS=OR","EQY_CONSOLIDATED=Y","FA_ADJUSTED=GAAP","Sort=A","Dates=H","DateFormat=P","Fill=—","Direction=H","UseDPDF=Y")</f>
        <v>#NAME?</v>
      </c>
      <c r="L491" t="e">
        <f ca="1">_xll.BDH($C$478,"INCREMENTAL_OPERATING_MARGIN","FQ3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491" t="e">
        <f ca="1">_xll.BDH($C$478,"PRETAX_INC_TO_NET_SALES","FQ3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491" t="e">
        <f ca="1">_xll.BDH($C$478,"INC_BEF_XO_ITEMS_TO_NET_SALES","FQ3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491" t="e">
        <f ca="1">_xll.BDH($C$478,"PROF_MARGIN","FQ3 2016","FQ3 2016","Currency=INR","Period=FQ","BEST_FPERIOD_OVERRIDE=FQ","FILING_STATUS=OR","EQY_CONSOLIDATED=Y","FA_ADJUSTED=GAAP","Sort=A","Dates=H","DateFormat=P","Fill=—","Direction=H","UseDPDF=Y")</f>
        <v>#NAME?</v>
      </c>
      <c r="P491" t="e">
        <f ca="1">_xll.BDH($C$478,"NET_INCOME_TO_COMMON_MARGIN","FQ3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491" t="e">
        <f ca="1">_xll.BDH($C$478,"EFF_TAX_RATE","FQ3 2016","FQ3 2016","Currency=INR","Period=FQ","BEST_FPERIOD_OVERRIDE=FQ","FILING_STATUS=OR","EQY_CONSOLIDATED=Y","FA_ADJUSTED=GAAP","Sort=A","Dates=H","DateFormat=P","Fill=—","Direction=H","UseDPDF=Y")</f>
        <v>#NAME?</v>
      </c>
      <c r="R491" t="e">
        <f ca="1">_xll.BDH($C$478,"DVD_PAYOUT_RATIO","FQ3 2016","FQ3 2016","Currency=INR","Period=FQ","BEST_FPERIOD_OVERRIDE=FQ","FILING_STATUS=OR","EQY_CONSOLIDATED=Y","FA_ADJUSTED=GAAP","Sort=A","Dates=H","DateFormat=P","Fill=—","Direction=H","UseDPDF=Y")</f>
        <v>#NAME?</v>
      </c>
      <c r="S491" t="e">
        <f ca="1">_xll.BDH($C$478,"SUSTAIN_GROWTH_RT","FQ3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491" s="2" t="e">
        <f ca="1">_xll.BDH($C$478,"SALES_GROWTH","FQ3 2016","FQ3 2016","Currency=INR","Period=FQ","BEST_FPERIOD_OVERRIDE=FQ","FILING_STATUS=OR","EQY_CONSOLIDATED=Y","FA_ADJUSTED=GAAP","Sort=A","Dates=H","DateFormat=P","Fill=—","Direction=H","UseDPDF=Y")</f>
        <v>#NAME?</v>
      </c>
      <c r="U491" s="2" t="e">
        <f ca="1">_xll.BDH($C$478,"EBITDA_GROWTH","FQ3 2016","FQ3 2016","Currency=INR","Period=FQ","BEST_FPERIOD_OVERRIDE=FQ","FILING_STATUS=OR","EQY_CONSOLIDATED=Y","FA_ADJUSTED=GAAP","Sort=A","Dates=H","DateFormat=P","Fill=—","Direction=H","UseDPDF=Y")</f>
        <v>#NAME?</v>
      </c>
      <c r="V491" s="2" t="e">
        <f ca="1">_xll.BDH($C$478,"OPER_INC_GROWTH","FQ3 2016","FQ3 2016","Currency=INR","Period=FQ","BEST_FPERIOD_OVERRIDE=FQ","FILING_STATUS=OR","EQY_CONSOLIDATED=Y","FA_ADJUSTED=GAAP","Sort=A","Dates=H","DateFormat=P","Fill=—","Direction=H","UseDPDF=Y")</f>
        <v>#NAME?</v>
      </c>
      <c r="W491" s="2" t="e">
        <f ca="1">_xll.BDH($C$478,"EARN_FOR_COM_GROWTH","FQ3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491" s="2" t="e">
        <f ca="1">_xll.BDH($C$478,"DILUTED_EPS_AFT_XO_ITEMS_GROWTH","FQ3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491" s="2" t="e">
        <f ca="1">_xll.BDH($C$478,"DIVIDEND_PER_SHARE_1_YEAR_GROWTH","FQ3 2016","FQ3 2016","Currency=INR","Period=FQ","BEST_FPERIOD_OVERRIDE=FQ","FILING_STATUS=OR","EQY_CONSOLIDATED=Y","Sort=A","Dates=H","DateFormat=P","Fill=—","Direction=H","UseDPDF=Y")</f>
        <v>#NAME?</v>
      </c>
      <c r="Z491" s="2" t="e">
        <f ca="1">_xll.BDH($C$478,"ACCOUNTS_RECEIVABLE_GROWTH","FQ3 2016","FQ3 2016","Currency=INR","Period=FQ","BEST_FPERIOD_OVERRIDE=FQ","FILING_STATUS=OR","EQY_CONSOLIDATED=Y","Sort=A","Dates=H","DateFormat=P","Fill=—","Direction=H","UseDPDF=Y")</f>
        <v>#NAME?</v>
      </c>
      <c r="AA491" s="2" t="e">
        <f ca="1">_xll.BDH($C$478,"INVENTORY_GROWTH","FQ3 2016","FQ3 2016","Currency=INR","Period=FQ","BEST_FPERIOD_OVERRIDE=FQ","FILING_STATUS=OR","EQY_CONSOLIDATED=Y","Sort=A","Dates=H","DateFormat=P","Fill=—","Direction=H","UseDPDF=Y")</f>
        <v>#NAME?</v>
      </c>
      <c r="AB491" s="2" t="e">
        <f ca="1">_xll.BDH($C$478,"NET_FIXED_ASSETS_1_YEAR_GROWTH","FQ3 2016","FQ3 2016","Currency=INR","Period=FQ","BEST_FPERIOD_OVERRIDE=FQ","FILING_STATUS=OR","EQY_CONSOLIDATED=Y","Sort=A","Dates=H","DateFormat=P","Fill=—","Direction=H","UseDPDF=Y")</f>
        <v>#NAME?</v>
      </c>
      <c r="AC491" s="2" t="e">
        <f ca="1">_xll.BDH($C$478,"ASSET_GROWTH","FQ3 2016","FQ3 2016","Currency=INR","Period=FQ","BEST_FPERIOD_OVERRIDE=FQ","FILING_STATUS=OR","EQY_CONSOLIDATED=Y","Sort=A","Dates=H","DateFormat=P","Fill=—","Direction=H","UseDPDF=Y")</f>
        <v>#NAME?</v>
      </c>
      <c r="AD491" s="2" t="e">
        <f ca="1">_xll.BDH($C$478,"MODIFIED_WORK_CAP_GROWTH","FQ3 2016","FQ3 2016","Currency=INR","Period=FQ","BEST_FPERIOD_OVERRIDE=FQ","FILING_STATUS=OR","EQY_CONSOLIDATED=Y","Sort=A","Dates=H","DateFormat=P","Fill=—","Direction=H","UseDPDF=Y")</f>
        <v>#NAME?</v>
      </c>
      <c r="AE491" s="2" t="e">
        <f ca="1">_xll.BDH($C$478,"WORK_CAP_GROWTH","FQ3 2016","FQ3 2016","Currency=INR","Period=FQ","BEST_FPERIOD_OVERRIDE=FQ","FILING_STATUS=OR","EQY_CONSOLIDATED=Y","Sort=A","Dates=H","DateFormat=P","Fill=—","Direction=H","UseDPDF=Y")</f>
        <v>#NAME?</v>
      </c>
      <c r="AF491" s="2" t="e">
        <f ca="1">_xll.BDH($C$478,"ACCOUNTS_PAYABLE_GROWTH_1YR","FQ3 2016","FQ3 2016","Currency=INR","Period=FQ","BEST_FPERIOD_OVERRIDE=FQ","FILING_STATUS=OR","EQY_CONSOLIDATED=Y","Sort=A","Dates=H","DateFormat=P","Fill=—","Direction=H","UseDPDF=Y")</f>
        <v>#NAME?</v>
      </c>
      <c r="AG491" s="2" t="e">
        <f ca="1">_xll.BDH($C$478,"SHORT_TERM_DEBT_1_YEAR_GROWTH","FQ3 2016","FQ3 2016","Currency=INR","Period=FQ","BEST_FPERIOD_OVERRIDE=FQ","FILING_STATUS=OR","EQY_CONSOLIDATED=Y","Sort=A","Dates=H","DateFormat=P","Fill=—","Direction=H","UseDPDF=Y")</f>
        <v>#NAME?</v>
      </c>
      <c r="AH491" s="2" t="e">
        <f ca="1">_xll.BDH($C$478,"TOTAL_DEBT_1_YEAR_GROWTH","FQ3 2016","FQ3 2016","Currency=INR","Period=FQ","BEST_FPERIOD_OVERRIDE=FQ","FILING_STATUS=OR","EQY_CONSOLIDATED=Y","Sort=A","Dates=H","DateFormat=P","Fill=—","Direction=H","UseDPDF=Y")</f>
        <v>#NAME?</v>
      </c>
      <c r="AI491" s="2" t="e">
        <f ca="1">_xll.BDH($C$478,"TOTAL_EQUITY_1_YEAR_GROWTH","FQ3 2016","FQ3 2016","Currency=INR","Period=FQ","BEST_FPERIOD_OVERRIDE=FQ","FILING_STATUS=OR","EQY_CONSOLIDATED=Y","Sort=A","Dates=H","DateFormat=P","Fill=—","Direction=H","UseDPDF=Y")</f>
        <v>#NAME?</v>
      </c>
      <c r="AJ491" s="2" t="e">
        <f ca="1">_xll.BDH($C$478,"GROWTH_IN_CAP","FQ3 2016","FQ3 2016","Currency=INR","Period=FQ","BEST_FPERIOD_OVERRIDE=FQ","FILING_STATUS=OR","EQY_CONSOLIDATED=Y","Sort=A","Dates=H","DateFormat=P","Fill=—","Direction=H","UseDPDF=Y")</f>
        <v>#NAME?</v>
      </c>
      <c r="AK491" s="2" t="e">
        <f ca="1">_xll.BDH($C$478,"BVPS_GROWTH","FQ3 2016","FQ3 2016","Currency=INR","Period=FQ","BEST_FPERIOD_OVERRIDE=FQ","FILING_STATUS=OR","EQY_CONSOLIDATED=Y","Sort=A","Dates=H","DateFormat=P","Fill=—","Direction=H","UseDPDF=Y")</f>
        <v>#NAME?</v>
      </c>
      <c r="AL491" s="2" t="e">
        <f ca="1">_xll.BDH($C$478,"CASH_FLOW_GROWTH","FQ3 2016","FQ3 2016","Currency=INR","Period=FQ","BEST_FPERIOD_OVERRIDE=FQ","FILING_STATUS=OR","EQY_CONSOLIDATED=Y","Sort=A","Dates=H","DateFormat=P","Fill=—","Direction=H","UseDPDF=Y")</f>
        <v>#NAME?</v>
      </c>
      <c r="AM491" s="2" t="e">
        <f ca="1">_xll.BDH($C$478,"GEO_GROW_NET_SALES","FQ3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491" s="2" t="e">
        <f ca="1">_xll.BDH($C$478,"GEO_GROW_EBITDA","FQ3 2016","FQ3 2016","Currency=INR","Period=FQ","BEST_FPERIOD_OVERRIDE=FQ","FILING_STATUS=OR","EQY_CONSOLIDATED=Y","FA_ADJUSTED=GAAP","Sort=A","Dates=H","DateFormat=P","Fill=—","Direction=H","UseDPDF=Y")</f>
        <v>#NAME?</v>
      </c>
      <c r="AO491" s="2" t="e">
        <f ca="1">_xll.BDH($C$478,"GEO_GROW_OPER_INC","FQ3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491" s="2" t="e">
        <f ca="1">_xll.BDH($C$478,"NET_INCOME_TO_COMMON_5_YR_GROWTH","FQ3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491" s="2" t="e">
        <f ca="1">_xll.BDH($C$478,"5Y_GEO_GROWTH_DILUTED_EPS","FQ3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491" s="2" t="e">
        <f ca="1">_xll.BDH($C$478,"GEO_GROW_DVD_PER_SH","FQ3 2016","FQ3 2016","Currency=INR","Period=FQ","BEST_FPERIOD_OVERRIDE=FQ","FILING_STATUS=OR","EQY_CONSOLIDATED=Y","Sort=A","Dates=H","DateFormat=P","Fill=—","Direction=H","UseDPDF=Y")</f>
        <v>#NAME?</v>
      </c>
      <c r="AS491" s="2" t="e">
        <f ca="1">_xll.BDH($C$478,"ACCOUNTS_RECEIVABLE_5_YR_GROWTH","FQ3 2016","FQ3 2016","Currency=INR","Period=FQ","BEST_FPERIOD_OVERRIDE=FQ","FILING_STATUS=OR","EQY_CONSOLIDATED=Y","Sort=A","Dates=H","DateFormat=P","Fill=—","Direction=H","UseDPDF=Y")</f>
        <v>#NAME?</v>
      </c>
      <c r="AT491" s="2" t="e">
        <f ca="1">_xll.BDH($C$478,"INVENTORY_5_YEAR_GROWTH","FQ3 2016","FQ3 2016","Currency=INR","Period=FQ","BEST_FPERIOD_OVERRIDE=FQ","FILING_STATUS=OR","EQY_CONSOLIDATED=Y","Sort=A","Dates=H","DateFormat=P","Fill=—","Direction=H","UseDPDF=Y")</f>
        <v>#NAME?</v>
      </c>
      <c r="AU491" s="2" t="e">
        <f ca="1">_xll.BDH($C$478,"NET_FIXED_ASSETS_5_YEAR_GROWTH","FQ3 2016","FQ3 2016","Currency=INR","Period=FQ","BEST_FPERIOD_OVERRIDE=FQ","FILING_STATUS=OR","EQY_CONSOLIDATED=Y","Sort=A","Dates=H","DateFormat=P","Fill=—","Direction=H","UseDPDF=Y")</f>
        <v>#NAME?</v>
      </c>
      <c r="AV491" s="2" t="e">
        <f ca="1">_xll.BDH($C$478,"GEO_GROW_TOT_ASSET","FQ3 2016","FQ3 2016","Currency=INR","Period=FQ","BEST_FPERIOD_OVERRIDE=FQ","FILING_STATUS=OR","EQY_CONSOLIDATED=Y","Sort=A","Dates=H","DateFormat=P","Fill=—","Direction=H","UseDPDF=Y")</f>
        <v>#NAME?</v>
      </c>
      <c r="AW491" s="2" t="e">
        <f ca="1">_xll.BDH($C$478,"MODIFIED_WORKING_CPTL_5YR_GRWTH","FQ3 2016","FQ3 2016","Currency=INR","Period=FQ","BEST_FPERIOD_OVERRIDE=FQ","FILING_STATUS=OR","EQY_CONSOLIDATED=Y","Sort=A","Dates=H","DateFormat=P","Fill=—","Direction=H","UseDPDF=Y")</f>
        <v>#NAME?</v>
      </c>
      <c r="AX491" s="2" t="e">
        <f ca="1">_xll.BDH($C$478,"WORKING_CAPITAL_5_YEAR_GROWTH","FQ3 2016","FQ3 2016","Currency=INR","Period=FQ","BEST_FPERIOD_OVERRIDE=FQ","FILING_STATUS=OR","EQY_CONSOLIDATED=Y","Sort=A","Dates=H","DateFormat=P","Fill=—","Direction=H","UseDPDF=Y")</f>
        <v>#NAME?</v>
      </c>
      <c r="AY491" s="2" t="e">
        <f ca="1">_xll.BDH($C$478,"ACCOUNTS_PAYABLE_5_YEAR_GROWTH","FQ3 2016","FQ3 2016","Currency=INR","Period=FQ","BEST_FPERIOD_OVERRIDE=FQ","FILING_STATUS=OR","EQY_CONSOLIDATED=Y","Sort=A","Dates=H","DateFormat=P","Fill=—","Direction=H","UseDPDF=Y")</f>
        <v>#NAME?</v>
      </c>
      <c r="AZ491" s="2" t="e">
        <f ca="1">_xll.BDH($C$478,"SHORT_TERM_DEBT_5_YEAR_GROWTH","FQ3 2016","FQ3 2016","Currency=INR","Period=FQ","BEST_FPERIOD_OVERRIDE=FQ","FILING_STATUS=OR","EQY_CONSOLIDATED=Y","Sort=A","Dates=H","DateFormat=P","Fill=—","Direction=H","UseDPDF=Y")</f>
        <v>#NAME?</v>
      </c>
      <c r="BA491" s="2" t="e">
        <f ca="1">_xll.BDH($C$478,"TOTAL_DEBT_5_YEAR_GROWTH","FQ3 2016","FQ3 2016","Currency=INR","Period=FQ","BEST_FPERIOD_OVERRIDE=FQ","FILING_STATUS=OR","EQY_CONSOLIDATED=Y","Sort=A","Dates=H","DateFormat=P","Fill=—","Direction=H","UseDPDF=Y")</f>
        <v>#NAME?</v>
      </c>
      <c r="BB491" s="2" t="e">
        <f ca="1">_xll.BDH($C$478,"GEO_GROW_TOT_SHRHLDR_EQY","FQ3 2016","FQ3 2016","Currency=INR","Period=FQ","BEST_FPERIOD_OVERRIDE=FQ","FILING_STATUS=OR","EQY_CONSOLIDATED=Y","Sort=A","Dates=H","DateFormat=P","Fill=—","Direction=H","UseDPDF=Y")</f>
        <v>#NAME?</v>
      </c>
      <c r="BC491" s="2" t="e">
        <f ca="1">_xll.BDH($C$478,"TOTAL_CAPITAL_5_YEAR_GROWTH","FQ3 2016","FQ3 2016","Currency=INR","Period=FQ","BEST_FPERIOD_OVERRIDE=FQ","FILING_STATUS=OR","EQY_CONSOLIDATED=Y","Sort=A","Dates=H","DateFormat=P","Fill=—","Direction=H","UseDPDF=Y")</f>
        <v>#NAME?</v>
      </c>
      <c r="BD491" s="2" t="e">
        <f ca="1">_xll.BDH($C$478,"GEO_GROW_BOOK_VAL","FQ3 2016","FQ3 2016","Currency=INR","Period=FQ","BEST_FPERIOD_OVERRIDE=FQ","FILING_STATUS=OR","EQY_CONSOLIDATED=Y","Sort=A","Dates=H","DateFormat=P","Fill=—","Direction=H","UseDPDF=Y")</f>
        <v>#NAME?</v>
      </c>
      <c r="BE491" s="2" t="e">
        <f ca="1">_xll.BDH($C$478,"GEO_GROW_CASH_OPER_ACT","FQ3 2016","FQ3 2016","Currency=INR","Period=FQ","BEST_FPERIOD_OVERRIDE=FQ","FILING_STATUS=OR","EQY_CONSOLIDATED=Y","Sort=A","Dates=H","DateFormat=P","Fill=—","Direction=H","UseDPDF=Y")</f>
        <v>#NAME?</v>
      </c>
      <c r="BF491" s="2" t="e">
        <f ca="1">_xll.BDH($C$478,"REVENUE_SEQUENTIAL_GROWTH","FQ3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491" s="2" t="e">
        <f ca="1">_xll.BDH($C$478,"EBITDA_SEQUENTIAL_GROWTH","FQ3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491" s="2" t="e">
        <f ca="1">_xll.BDH($C$478,"OPERATING_INCOME_SEQ_GROWTH","FQ3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491" s="2" t="e">
        <f ca="1">_xll.BDH($C$478,"NET_INCOME_TO_COMMON_SEQ_GROWTH","FQ3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491" s="2" t="e">
        <f ca="1">_xll.BDH($C$478,"EPS_DILUTED_SEQUENTIAL_GROWTH","FQ3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491" s="2" t="e">
        <f ca="1">_xll.BDH($C$478,"DPS_SEQUENTIAL_GROWTH","FQ3 2016","FQ3 2016","Currency=INR","Period=FQ","BEST_FPERIOD_OVERRIDE=FQ","FILING_STATUS=OR","EQY_CONSOLIDATED=Y","Sort=A","Dates=H","DateFormat=P","Fill=—","Direction=H","UseDPDF=Y")</f>
        <v>#NAME?</v>
      </c>
      <c r="BL491" s="2" t="e">
        <f ca="1">_xll.BDH($C$478,"ACCOUNTS_RECEIVABLE_SEQ_GROWTH","FQ3 2016","FQ3 2016","Currency=INR","Period=FQ","BEST_FPERIOD_OVERRIDE=FQ","FILING_STATUS=OR","EQY_CONSOLIDATED=Y","Sort=A","Dates=H","DateFormat=P","Fill=—","Direction=H","UseDPDF=Y")</f>
        <v>#NAME?</v>
      </c>
      <c r="BM491" s="2" t="e">
        <f ca="1">_xll.BDH($C$478,"INVENTORY_SEQUENTIAL_GROWTH","FQ3 2016","FQ3 2016","Currency=INR","Period=FQ","BEST_FPERIOD_OVERRIDE=FQ","FILING_STATUS=OR","EQY_CONSOLIDATED=Y","Sort=A","Dates=H","DateFormat=P","Fill=—","Direction=H","UseDPDF=Y")</f>
        <v>#NAME?</v>
      </c>
      <c r="BN491" s="2" t="e">
        <f ca="1">_xll.BDH($C$478,"FIXED_ASSETS_SEQUENTIAL_GROWTH","FQ3 2016","FQ3 2016","Currency=INR","Period=FQ","BEST_FPERIOD_OVERRIDE=FQ","FILING_STATUS=OR","EQY_CONSOLIDATED=Y","Sort=A","Dates=H","DateFormat=P","Fill=—","Direction=H","UseDPDF=Y")</f>
        <v>#NAME?</v>
      </c>
      <c r="BO491" s="2" t="e">
        <f ca="1">_xll.BDH($C$478,"TOTAL_ASSETS_SEQUENTIAL_GROWTH","FQ3 2016","FQ3 2016","Currency=INR","Period=FQ","BEST_FPERIOD_OVERRIDE=FQ","FILING_STATUS=OR","EQY_CONSOLIDATED=Y","Sort=A","Dates=H","DateFormat=P","Fill=—","Direction=H","UseDPDF=Y")</f>
        <v>#NAME?</v>
      </c>
      <c r="BP491" s="2" t="e">
        <f ca="1">_xll.BDH($C$478,"MODIFIED_WORKING_CPTL_SEQ_GRWTH","FQ3 2016","FQ3 2016","Currency=INR","Period=FQ","BEST_FPERIOD_OVERRIDE=FQ","FILING_STATUS=OR","EQY_CONSOLIDATED=Y","Sort=A","Dates=H","DateFormat=P","Fill=—","Direction=H","UseDPDF=Y")</f>
        <v>#NAME?</v>
      </c>
      <c r="BQ491" s="2" t="e">
        <f ca="1">_xll.BDH($C$478,"WORKING_CAPITAL_SEQ_GROWTH","FQ3 2016","FQ3 2016","Currency=INR","Period=FQ","BEST_FPERIOD_OVERRIDE=FQ","FILING_STATUS=OR","EQY_CONSOLIDATED=Y","Sort=A","Dates=H","DateFormat=P","Fill=—","Direction=H","UseDPDF=Y")</f>
        <v>#NAME?</v>
      </c>
      <c r="BR491" s="2" t="e">
        <f ca="1">_xll.BDH($C$478,"ACCOUNTS_PAYABLE_SEQ_GROWTH","FQ3 2016","FQ3 2016","Currency=INR","Period=FQ","BEST_FPERIOD_OVERRIDE=FQ","FILING_STATUS=OR","EQY_CONSOLIDATED=Y","Sort=A","Dates=H","DateFormat=P","Fill=—","Direction=H","UseDPDF=Y")</f>
        <v>#NAME?</v>
      </c>
      <c r="BS491" s="2" t="e">
        <f ca="1">_xll.BDH($C$478,"ST_DEBT_SEQUENTIAL_GROWTH","FQ3 2016","FQ3 2016","Currency=INR","Period=FQ","BEST_FPERIOD_OVERRIDE=FQ","FILING_STATUS=OR","EQY_CONSOLIDATED=Y","Sort=A","Dates=H","DateFormat=P","Fill=—","Direction=H","UseDPDF=Y")</f>
        <v>#NAME?</v>
      </c>
      <c r="BT491" s="2" t="e">
        <f ca="1">_xll.BDH($C$478,"TOTAL_DEBT_SEQUENTIAL_GROWTH","FQ3 2016","FQ3 2016","Currency=INR","Period=FQ","BEST_FPERIOD_OVERRIDE=FQ","FILING_STATUS=OR","EQY_CONSOLIDATED=Y","Sort=A","Dates=H","DateFormat=P","Fill=—","Direction=H","UseDPDF=Y")</f>
        <v>#NAME?</v>
      </c>
      <c r="BU491" s="2" t="e">
        <f ca="1">_xll.BDH($C$478,"TOTAL_EQUITY_SEQUENTIAL_GROWTH","FQ3 2016","FQ3 2016","Currency=INR","Period=FQ","BEST_FPERIOD_OVERRIDE=FQ","FILING_STATUS=OR","EQY_CONSOLIDATED=Y","Sort=A","Dates=H","DateFormat=P","Fill=—","Direction=H","UseDPDF=Y")</f>
        <v>#NAME?</v>
      </c>
      <c r="BV491" s="2" t="e">
        <f ca="1">_xll.BDH($C$478,"TOTAL_CAPITAL_SEQUENTIAL_GROWTH","FQ3 2016","FQ3 2016","Currency=INR","Period=FQ","BEST_FPERIOD_OVERRIDE=FQ","FILING_STATUS=OR","EQY_CONSOLIDATED=Y","Sort=A","Dates=H","DateFormat=P","Fill=—","Direction=H","UseDPDF=Y")</f>
        <v>#NAME?</v>
      </c>
      <c r="BW491" s="2" t="e">
        <f ca="1">_xll.BDH($C$478,"BPS_SEQUENTIAL_GROWTH","FQ3 2016","FQ3 2016","Currency=INR","Period=FQ","BEST_FPERIOD_OVERRIDE=FQ","FILING_STATUS=OR","EQY_CONSOLIDATED=Y","Sort=A","Dates=H","DateFormat=P","Fill=—","Direction=H","UseDPDF=Y")</f>
        <v>#NAME?</v>
      </c>
      <c r="BX491" s="2" t="e">
        <f ca="1">_xll.BDH($C$478,"CFO_SEQUENTIAL_GROWTH","FQ3 2016","FQ3 2016","Currency=INR","Period=FQ","BEST_FPERIOD_OVERRIDE=FQ","FILING_STATUS=OR","EQY_CONSOLIDATED=Y","Sort=A","Dates=H","DateFormat=P","Fill=—","Direction=H","UseDPDF=Y")</f>
        <v>#NAME?</v>
      </c>
      <c r="BY491" s="3" t="e">
        <f ca="1">_xll.BDH($C$478,"SHORT_AND_LONG_TERM_DEBT","FQ3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491" s="3" t="e">
        <f ca="1">_xll.BDH($C$478,"BS_ST_BORROW","FQ3 2016","FQ3 2016","Currency=INR","Period=FQ","BEST_FPERIOD_OVERRIDE=FQ","FILING_STATUS=OR","EQY_CONSOLIDATED=Y","SCALING_FORMAT=MLN","Sort=A","Dates=H","DateFormat=P","Fill=—","Direction=H","UseDPDF=Y")</f>
        <v>#NAME?</v>
      </c>
      <c r="CA491" s="3" t="e">
        <f ca="1">_xll.BDH($C$478,"BS_LT_BORROW","FQ3 2016","FQ3 2016","Currency=INR","Period=FQ","BEST_FPERIOD_OVERRIDE=FQ","FILING_STATUS=OR","EQY_CONSOLIDATED=Y","SCALING_FORMAT=MLN","Sort=A","Dates=H","DateFormat=P","Fill=—","Direction=H","UseDPDF=Y")</f>
        <v>#NAME?</v>
      </c>
      <c r="CB491" s="2" t="e">
        <f ca="1">_xll.BDH($C$478,"TOT_DEBT_TO_EBITDA","FQ3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491" s="2" t="e">
        <f ca="1">_xll.BDH($C$478,"NET_DEBT_TO_EBITDA","FQ3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491" s="2" t="e">
        <f ca="1">_xll.BDH($C$478,"TOTAL_DEBT_TO_EBIT","FQ3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491" s="2" t="e">
        <f ca="1">_xll.BDH($C$478,"NET_DEBT_TO_EBIT","FQ3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491" s="2" t="e">
        <f ca="1">_xll.BDH($C$478,"EBITDA_TO_INTEREST_EXPN","FQ3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491" s="2" t="e">
        <f ca="1">_xll.BDH($C$478,"COM_EQY_TO_TOT_ASSET","FQ3 2016","FQ3 2016","Currency=INR","Period=FQ","BEST_FPERIOD_OVERRIDE=FQ","FILING_STATUS=OR","EQY_CONSOLIDATED=Y","Sort=A","Dates=H","DateFormat=P","Fill=—","Direction=H","UseDPDF=Y")</f>
        <v>#NAME?</v>
      </c>
      <c r="CH491" s="2" t="e">
        <f ca="1">_xll.BDH($C$478,"LT_DEBT_TO_TOT_EQY","FQ3 2016","FQ3 2016","Currency=INR","Period=FQ","BEST_FPERIOD_OVERRIDE=FQ","FILING_STATUS=OR","EQY_CONSOLIDATED=Y","Sort=A","Dates=H","DateFormat=P","Fill=—","Direction=H","UseDPDF=Y")</f>
        <v>#NAME?</v>
      </c>
      <c r="CI491" s="2" t="e">
        <f ca="1">_xll.BDH($C$478,"LT_DEBT_TO_TOT_CAP","FQ3 2016","FQ3 2016","Currency=INR","Period=FQ","BEST_FPERIOD_OVERRIDE=FQ","FILING_STATUS=OR","EQY_CONSOLIDATED=Y","Sort=A","Dates=H","DateFormat=P","Fill=—","Direction=H","UseDPDF=Y")</f>
        <v>#NAME?</v>
      </c>
      <c r="CJ491" s="2" t="e">
        <f ca="1">_xll.BDH($C$478,"LT_DEBT_TO_TOT_ASSET","FQ3 2016","FQ3 2016","Currency=INR","Period=FQ","BEST_FPERIOD_OVERRIDE=FQ","FILING_STATUS=OR","EQY_CONSOLIDATED=Y","Sort=A","Dates=H","DateFormat=P","Fill=—","Direction=H","UseDPDF=Y")</f>
        <v>#NAME?</v>
      </c>
      <c r="CK491" s="2" t="e">
        <f ca="1">_xll.BDH($C$478,"TOT_DEBT_TO_TOT_EQY","FQ3 2016","FQ3 2016","Currency=INR","Period=FQ","BEST_FPERIOD_OVERRIDE=FQ","FILING_STATUS=OR","EQY_CONSOLIDATED=Y","Sort=A","Dates=H","DateFormat=P","Fill=—","Direction=H","UseDPDF=Y")</f>
        <v>#NAME?</v>
      </c>
      <c r="CL491" s="2" t="e">
        <f ca="1">_xll.BDH($C$478,"TOT_DEBT_TO_TOT_CAP","FQ3 2016","FQ3 2016","Currency=INR","Period=FQ","BEST_FPERIOD_OVERRIDE=FQ","FILING_STATUS=OR","EQY_CONSOLIDATED=Y","Sort=A","Dates=H","DateFormat=P","Fill=—","Direction=H","UseDPDF=Y")</f>
        <v>#NAME?</v>
      </c>
      <c r="CM491" s="2" t="e">
        <f ca="1">_xll.BDH($C$478,"TOT_DEBT_TO_TOT_ASSET","FQ3 2016","FQ3 2016","Currency=INR","Period=FQ","BEST_FPERIOD_OVERRIDE=FQ","FILING_STATUS=OR","EQY_CONSOLIDATED=Y","Sort=A","Dates=H","DateFormat=P","Fill=—","Direction=H","UseDPDF=Y")</f>
        <v>#NAME?</v>
      </c>
      <c r="CN491" s="2" t="e">
        <f ca="1">_xll.BDH($C$478,"NET_DEBT_TO_SHRHLDR_EQTY","FQ3 2016","FQ3 2016","Currency=INR","Period=FQ","BEST_FPERIOD_OVERRIDE=FQ","FILING_STATUS=OR","EQY_CONSOLIDATED=Y","Sort=A","Dates=H","DateFormat=P","Fill=—","Direction=H","UseDPDF=Y")</f>
        <v>#NAME?</v>
      </c>
      <c r="CO491" s="2" t="e">
        <f ca="1">_xll.BDH($C$478,"NET_DEBT_%_CAPITAL","FQ3 2016","FQ3 2016","Currency=INR","Period=FQ","BEST_FPERIOD_OVERRIDE=FQ","FILING_STATUS=OR","EQY_CONSOLIDATED=Y","Sort=A","Dates=H","DateFormat=P","Fill=—","Direction=H","UseDPDF=Y")</f>
        <v>#NAME?</v>
      </c>
      <c r="CP491" s="3" t="e">
        <f ca="1">_xll.BDH($C$478,"EBITDA","FQ3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491" s="3" t="e">
        <f ca="1">_xll.BDH($C$478,"EBITDA_AFTER_CAPEX","FQ3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491" s="3" t="e">
        <f ca="1">_xll.BDH($C$478,"IS_OPER_INC","FQ3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491" s="2" t="e">
        <f ca="1">_xll.BDH($C$478,"CASH_RATIO","FQ3 2016","FQ3 2016","Currency=INR","Period=FQ","BEST_FPERIOD_OVERRIDE=FQ","FILING_STATUS=OR","EQY_CONSOLIDATED=Y","Sort=A","Dates=H","DateFormat=P","Fill=—","Direction=H","UseDPDF=Y")</f>
        <v>#NAME?</v>
      </c>
      <c r="CT491" s="2" t="e">
        <f ca="1">_xll.BDH($C$478,"CUR_RATIO","FQ3 2016","FQ3 2016","Currency=INR","Period=FQ","BEST_FPERIOD_OVERRIDE=FQ","FILING_STATUS=OR","EQY_CONSOLIDATED=Y","Sort=A","Dates=H","DateFormat=P","Fill=—","Direction=H","UseDPDF=Y")</f>
        <v>#NAME?</v>
      </c>
      <c r="CU491" s="2" t="e">
        <f ca="1">_xll.BDH($C$478,"QUICK_RATIO","FQ3 2016","FQ3 2016","Currency=INR","Period=FQ","BEST_FPERIOD_OVERRIDE=FQ","FILING_STATUS=OR","EQY_CONSOLIDATED=Y","Sort=A","Dates=H","DateFormat=P","Fill=—","Direction=H","UseDPDF=Y")</f>
        <v>#NAME?</v>
      </c>
      <c r="CV491" s="2" t="e">
        <f ca="1">_xll.BDH($C$478,"ALTMAN_Z_SCORE","FQ3 2016","FQ3 2016","Currency=INR","Period=FQ","BEST_FPERIOD_OVERRIDE=FQ","FILING_STATUS=OR","EQY_CONSOLIDATED=Y","Sort=A","Dates=H","DateFormat=P","Fill=—","Direction=H","UseDPDF=Y")</f>
        <v>#NAME?</v>
      </c>
      <c r="CW491" s="4" t="e">
        <f ca="1">_xll.BDH($C$478,"ACCT_RCV_TURN","FQ3 2016","FQ3 2016","Currency=INR","Period=FQ","BEST_FPERIOD_OVERRIDE=FQ","FILING_STATUS=OR","EQY_CONSOLIDATED=Y","FA_ADJUSTED=GAAP","Sort=A","Dates=H","DateFormat=P","Fill=—","Direction=H","UseDPDF=Y")</f>
        <v>#NAME?</v>
      </c>
      <c r="CX491" s="2" t="e">
        <f ca="1">_xll.BDH($C$478,"ACCT_RCV_DAYS","FQ3 2016","FQ3 2016","Currency=INR","Period=FQ","BEST_FPERIOD_OVERRIDE=FQ","FILING_STATUS=OR","EQY_CONSOLIDATED=Y","FA_ADJUSTED=GAAP","Sort=A","Dates=H","DateFormat=P","Fill=—","Direction=H","UseDPDF=Y")</f>
        <v>#NAME?</v>
      </c>
      <c r="CY491" s="4" t="e">
        <f ca="1">_xll.BDH($C$478,"INVENT_TURN","FQ3 2016","FQ3 2016","Currency=INR","Period=FQ","BEST_FPERIOD_OVERRIDE=FQ","FILING_STATUS=OR","EQY_CONSOLIDATED=Y","FA_ADJUSTED=GAAP","Sort=A","Dates=H","DateFormat=P","Fill=—","Direction=H","UseDPDF=Y")</f>
        <v>#NAME?</v>
      </c>
      <c r="CZ491" s="2" t="e">
        <f ca="1">_xll.BDH($C$478,"INVENT_DAYS","FQ3 2016","FQ3 2016","Currency=INR","Period=FQ","BEST_FPERIOD_OVERRIDE=FQ","FILING_STATUS=OR","EQY_CONSOLIDATED=Y","FA_ADJUSTED=GAAP","Sort=A","Dates=H","DateFormat=P","Fill=—","Direction=H","UseDPDF=Y")</f>
        <v>#NAME?</v>
      </c>
      <c r="DA491" s="4" t="e">
        <f ca="1">_xll.BDH($C$478,"ACCOUNTS_PAYABLE_TURNOVER","FQ3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491" s="2" t="e">
        <f ca="1">_xll.BDH($C$478,"ACCOUNTS_PAYABLE_TURNOVER_DAYS","FQ3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491" s="4" t="e">
        <f ca="1">_xll.BDH($C$478,"CASH_CONVERSION_CYCLE","FQ3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491" s="4" t="e">
        <f ca="1">_xll.BDH($C$478,"INV_TO_CASH_DAYS","FQ3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491" s="5" t="e">
        <f ca="1">_xll.BDH($C$478,"BS_INVENTORIES","FQ3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491" s="3" t="e">
        <f ca="1">_xll.BDH($C$478,"INVTRY_RAW_MATERIALS","FQ3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491" s="3" t="e">
        <f ca="1">_xll.BDH($C$478,"INVTRY_IN_PROGRESS","FQ3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491" s="3" t="e">
        <f ca="1">_xll.BDH($C$478,"INVTRY_FINISHED_GOODS","FQ3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491" s="3" t="e">
        <f ca="1">_xll.BDH($C$478,"BS_OTHER_INV","FQ3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492" spans="1:113" x14ac:dyDescent="0.3">
      <c r="A492" s="6"/>
      <c r="B492" s="6"/>
      <c r="C492" s="6"/>
      <c r="D492" s="6"/>
      <c r="E492" t="s">
        <v>81</v>
      </c>
      <c r="F492" t="e">
        <f ca="1">_xll.BDH($C$478,"RETURN_COM_EQY","FQ4 2016","FQ4 2016","Currency=INR","Period=FQ","BEST_FPERIOD_OVERRIDE=FQ","FILING_STATUS=OR","EQY_CONSOLIDATED=Y","FA_ADJUSTED=GAAP","Sort=A","Dates=H","DateFormat=P","Fill=—","Direction=H","UseDPDF=Y")</f>
        <v>#NAME?</v>
      </c>
      <c r="G492" t="e">
        <f ca="1">_xll.BDH($C$478,"RETURN_ON_ASSET","FQ4 2016","FQ4 2016","Currency=INR","Period=FQ","BEST_FPERIOD_OVERRIDE=FQ","FILING_STATUS=OR","EQY_CONSOLIDATED=Y","FA_ADJUSTED=GAAP","Sort=A","Dates=H","DateFormat=P","Fill=—","Direction=H","UseDPDF=Y")</f>
        <v>#NAME?</v>
      </c>
      <c r="H492" t="e">
        <f ca="1">_xll.BDH($C$478,"RETURN_ON_CAP","FQ4 2016","FQ4 2016","Currency=INR","Period=FQ","BEST_FPERIOD_OVERRIDE=FQ","FILING_STATUS=OR","EQY_CONSOLIDATED=Y","FA_ADJUSTED=GAAP","Sort=A","Dates=H","DateFormat=P","Fill=—","Direction=H","UseDPDF=Y")</f>
        <v>#NAME?</v>
      </c>
      <c r="I492" t="e">
        <f ca="1">_xll.BDH($C$478,"RETURN_ON_INV_CAPITAL","FQ4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492" t="e">
        <f ca="1">_xll.BDH($C$478,"EBITDA_TO_REVENUE","FQ4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492" t="e">
        <f ca="1">_xll.BDH($C$478,"OPER_MARGIN","FQ4 2016","FQ4 2016","Currency=INR","Period=FQ","BEST_FPERIOD_OVERRIDE=FQ","FILING_STATUS=OR","EQY_CONSOLIDATED=Y","FA_ADJUSTED=GAAP","Sort=A","Dates=H","DateFormat=P","Fill=—","Direction=H","UseDPDF=Y")</f>
        <v>#NAME?</v>
      </c>
      <c r="L492" t="e">
        <f ca="1">_xll.BDH($C$478,"INCREMENTAL_OPERATING_MARGIN","FQ4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492" t="e">
        <f ca="1">_xll.BDH($C$478,"PRETAX_INC_TO_NET_SALES","FQ4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492" t="e">
        <f ca="1">_xll.BDH($C$478,"INC_BEF_XO_ITEMS_TO_NET_SALES","FQ4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492" t="e">
        <f ca="1">_xll.BDH($C$478,"PROF_MARGIN","FQ4 2016","FQ4 2016","Currency=INR","Period=FQ","BEST_FPERIOD_OVERRIDE=FQ","FILING_STATUS=OR","EQY_CONSOLIDATED=Y","FA_ADJUSTED=GAAP","Sort=A","Dates=H","DateFormat=P","Fill=—","Direction=H","UseDPDF=Y")</f>
        <v>#NAME?</v>
      </c>
      <c r="P492" t="e">
        <f ca="1">_xll.BDH($C$478,"NET_INCOME_TO_COMMON_MARGIN","FQ4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492" t="e">
        <f ca="1">_xll.BDH($C$478,"EFF_TAX_RATE","FQ4 2016","FQ4 2016","Currency=INR","Period=FQ","BEST_FPERIOD_OVERRIDE=FQ","FILING_STATUS=OR","EQY_CONSOLIDATED=Y","FA_ADJUSTED=GAAP","Sort=A","Dates=H","DateFormat=P","Fill=—","Direction=H","UseDPDF=Y")</f>
        <v>#NAME?</v>
      </c>
      <c r="R492" t="e">
        <f ca="1">_xll.BDH($C$478,"DVD_PAYOUT_RATIO","FQ4 2016","FQ4 2016","Currency=INR","Period=FQ","BEST_FPERIOD_OVERRIDE=FQ","FILING_STATUS=OR","EQY_CONSOLIDATED=Y","FA_ADJUSTED=GAAP","Sort=A","Dates=H","DateFormat=P","Fill=—","Direction=H","UseDPDF=Y")</f>
        <v>#NAME?</v>
      </c>
      <c r="S492" t="e">
        <f ca="1">_xll.BDH($C$478,"SUSTAIN_GROWTH_RT","FQ4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492" s="2" t="e">
        <f ca="1">_xll.BDH($C$478,"SALES_GROWTH","FQ4 2016","FQ4 2016","Currency=INR","Period=FQ","BEST_FPERIOD_OVERRIDE=FQ","FILING_STATUS=OR","EQY_CONSOLIDATED=Y","FA_ADJUSTED=GAAP","Sort=A","Dates=H","DateFormat=P","Fill=—","Direction=H","UseDPDF=Y")</f>
        <v>#NAME?</v>
      </c>
      <c r="U492" s="2" t="e">
        <f ca="1">_xll.BDH($C$478,"EBITDA_GROWTH","FQ4 2016","FQ4 2016","Currency=INR","Period=FQ","BEST_FPERIOD_OVERRIDE=FQ","FILING_STATUS=OR","EQY_CONSOLIDATED=Y","FA_ADJUSTED=GAAP","Sort=A","Dates=H","DateFormat=P","Fill=—","Direction=H","UseDPDF=Y")</f>
        <v>#NAME?</v>
      </c>
      <c r="V492" s="2" t="e">
        <f ca="1">_xll.BDH($C$478,"OPER_INC_GROWTH","FQ4 2016","FQ4 2016","Currency=INR","Period=FQ","BEST_FPERIOD_OVERRIDE=FQ","FILING_STATUS=OR","EQY_CONSOLIDATED=Y","FA_ADJUSTED=GAAP","Sort=A","Dates=H","DateFormat=P","Fill=—","Direction=H","UseDPDF=Y")</f>
        <v>#NAME?</v>
      </c>
      <c r="W492" s="2" t="e">
        <f ca="1">_xll.BDH($C$478,"EARN_FOR_COM_GROWTH","FQ4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492" s="2" t="e">
        <f ca="1">_xll.BDH($C$478,"DILUTED_EPS_AFT_XO_ITEMS_GROWTH","FQ4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492" s="2" t="e">
        <f ca="1">_xll.BDH($C$478,"DIVIDEND_PER_SHARE_1_YEAR_GROWTH","FQ4 2016","FQ4 2016","Currency=INR","Period=FQ","BEST_FPERIOD_OVERRIDE=FQ","FILING_STATUS=OR","EQY_CONSOLIDATED=Y","Sort=A","Dates=H","DateFormat=P","Fill=—","Direction=H","UseDPDF=Y")</f>
        <v>#NAME?</v>
      </c>
      <c r="Z492" s="2" t="e">
        <f ca="1">_xll.BDH($C$478,"ACCOUNTS_RECEIVABLE_GROWTH","FQ4 2016","FQ4 2016","Currency=INR","Period=FQ","BEST_FPERIOD_OVERRIDE=FQ","FILING_STATUS=OR","EQY_CONSOLIDATED=Y","Sort=A","Dates=H","DateFormat=P","Fill=—","Direction=H","UseDPDF=Y")</f>
        <v>#NAME?</v>
      </c>
      <c r="AA492" s="2" t="e">
        <f ca="1">_xll.BDH($C$478,"INVENTORY_GROWTH","FQ4 2016","FQ4 2016","Currency=INR","Period=FQ","BEST_FPERIOD_OVERRIDE=FQ","FILING_STATUS=OR","EQY_CONSOLIDATED=Y","Sort=A","Dates=H","DateFormat=P","Fill=—","Direction=H","UseDPDF=Y")</f>
        <v>#NAME?</v>
      </c>
      <c r="AB492" s="2" t="e">
        <f ca="1">_xll.BDH($C$478,"NET_FIXED_ASSETS_1_YEAR_GROWTH","FQ4 2016","FQ4 2016","Currency=INR","Period=FQ","BEST_FPERIOD_OVERRIDE=FQ","FILING_STATUS=OR","EQY_CONSOLIDATED=Y","Sort=A","Dates=H","DateFormat=P","Fill=—","Direction=H","UseDPDF=Y")</f>
        <v>#NAME?</v>
      </c>
      <c r="AC492" s="2" t="e">
        <f ca="1">_xll.BDH($C$478,"ASSET_GROWTH","FQ4 2016","FQ4 2016","Currency=INR","Period=FQ","BEST_FPERIOD_OVERRIDE=FQ","FILING_STATUS=OR","EQY_CONSOLIDATED=Y","Sort=A","Dates=H","DateFormat=P","Fill=—","Direction=H","UseDPDF=Y")</f>
        <v>#NAME?</v>
      </c>
      <c r="AD492" s="2" t="e">
        <f ca="1">_xll.BDH($C$478,"MODIFIED_WORK_CAP_GROWTH","FQ4 2016","FQ4 2016","Currency=INR","Period=FQ","BEST_FPERIOD_OVERRIDE=FQ","FILING_STATUS=OR","EQY_CONSOLIDATED=Y","Sort=A","Dates=H","DateFormat=P","Fill=—","Direction=H","UseDPDF=Y")</f>
        <v>#NAME?</v>
      </c>
      <c r="AE492" s="2" t="e">
        <f ca="1">_xll.BDH($C$478,"WORK_CAP_GROWTH","FQ4 2016","FQ4 2016","Currency=INR","Period=FQ","BEST_FPERIOD_OVERRIDE=FQ","FILING_STATUS=OR","EQY_CONSOLIDATED=Y","Sort=A","Dates=H","DateFormat=P","Fill=—","Direction=H","UseDPDF=Y")</f>
        <v>#NAME?</v>
      </c>
      <c r="AF492" s="2" t="e">
        <f ca="1">_xll.BDH($C$478,"ACCOUNTS_PAYABLE_GROWTH_1YR","FQ4 2016","FQ4 2016","Currency=INR","Period=FQ","BEST_FPERIOD_OVERRIDE=FQ","FILING_STATUS=OR","EQY_CONSOLIDATED=Y","Sort=A","Dates=H","DateFormat=P","Fill=—","Direction=H","UseDPDF=Y")</f>
        <v>#NAME?</v>
      </c>
      <c r="AG492" s="2" t="e">
        <f ca="1">_xll.BDH($C$478,"SHORT_TERM_DEBT_1_YEAR_GROWTH","FQ4 2016","FQ4 2016","Currency=INR","Period=FQ","BEST_FPERIOD_OVERRIDE=FQ","FILING_STATUS=OR","EQY_CONSOLIDATED=Y","Sort=A","Dates=H","DateFormat=P","Fill=—","Direction=H","UseDPDF=Y")</f>
        <v>#NAME?</v>
      </c>
      <c r="AH492" s="2" t="e">
        <f ca="1">_xll.BDH($C$478,"TOTAL_DEBT_1_YEAR_GROWTH","FQ4 2016","FQ4 2016","Currency=INR","Period=FQ","BEST_FPERIOD_OVERRIDE=FQ","FILING_STATUS=OR","EQY_CONSOLIDATED=Y","Sort=A","Dates=H","DateFormat=P","Fill=—","Direction=H","UseDPDF=Y")</f>
        <v>#NAME?</v>
      </c>
      <c r="AI492" s="2" t="e">
        <f ca="1">_xll.BDH($C$478,"TOTAL_EQUITY_1_YEAR_GROWTH","FQ4 2016","FQ4 2016","Currency=INR","Period=FQ","BEST_FPERIOD_OVERRIDE=FQ","FILING_STATUS=OR","EQY_CONSOLIDATED=Y","Sort=A","Dates=H","DateFormat=P","Fill=—","Direction=H","UseDPDF=Y")</f>
        <v>#NAME?</v>
      </c>
      <c r="AJ492" s="2" t="e">
        <f ca="1">_xll.BDH($C$478,"GROWTH_IN_CAP","FQ4 2016","FQ4 2016","Currency=INR","Period=FQ","BEST_FPERIOD_OVERRIDE=FQ","FILING_STATUS=OR","EQY_CONSOLIDATED=Y","Sort=A","Dates=H","DateFormat=P","Fill=—","Direction=H","UseDPDF=Y")</f>
        <v>#NAME?</v>
      </c>
      <c r="AK492" s="2" t="e">
        <f ca="1">_xll.BDH($C$478,"BVPS_GROWTH","FQ4 2016","FQ4 2016","Currency=INR","Period=FQ","BEST_FPERIOD_OVERRIDE=FQ","FILING_STATUS=OR","EQY_CONSOLIDATED=Y","Sort=A","Dates=H","DateFormat=P","Fill=—","Direction=H","UseDPDF=Y")</f>
        <v>#NAME?</v>
      </c>
      <c r="AL492" s="2" t="e">
        <f ca="1">_xll.BDH($C$478,"CASH_FLOW_GROWTH","FQ4 2016","FQ4 2016","Currency=INR","Period=FQ","BEST_FPERIOD_OVERRIDE=FQ","FILING_STATUS=OR","EQY_CONSOLIDATED=Y","Sort=A","Dates=H","DateFormat=P","Fill=—","Direction=H","UseDPDF=Y")</f>
        <v>#NAME?</v>
      </c>
      <c r="AM492" s="2" t="e">
        <f ca="1">_xll.BDH($C$478,"GEO_GROW_NET_SALES","FQ4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492" s="2" t="e">
        <f ca="1">_xll.BDH($C$478,"GEO_GROW_EBITDA","FQ4 2016","FQ4 2016","Currency=INR","Period=FQ","BEST_FPERIOD_OVERRIDE=FQ","FILING_STATUS=OR","EQY_CONSOLIDATED=Y","FA_ADJUSTED=GAAP","Sort=A","Dates=H","DateFormat=P","Fill=—","Direction=H","UseDPDF=Y")</f>
        <v>#NAME?</v>
      </c>
      <c r="AO492" s="2" t="e">
        <f ca="1">_xll.BDH($C$478,"GEO_GROW_OPER_INC","FQ4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492" s="2" t="e">
        <f ca="1">_xll.BDH($C$478,"NET_INCOME_TO_COMMON_5_YR_GROWTH","FQ4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492" s="2" t="e">
        <f ca="1">_xll.BDH($C$478,"5Y_GEO_GROWTH_DILUTED_EPS","FQ4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492" s="2" t="e">
        <f ca="1">_xll.BDH($C$478,"GEO_GROW_DVD_PER_SH","FQ4 2016","FQ4 2016","Currency=INR","Period=FQ","BEST_FPERIOD_OVERRIDE=FQ","FILING_STATUS=OR","EQY_CONSOLIDATED=Y","Sort=A","Dates=H","DateFormat=P","Fill=—","Direction=H","UseDPDF=Y")</f>
        <v>#NAME?</v>
      </c>
      <c r="AS492" s="2" t="e">
        <f ca="1">_xll.BDH($C$478,"ACCOUNTS_RECEIVABLE_5_YR_GROWTH","FQ4 2016","FQ4 2016","Currency=INR","Period=FQ","BEST_FPERIOD_OVERRIDE=FQ","FILING_STATUS=OR","EQY_CONSOLIDATED=Y","Sort=A","Dates=H","DateFormat=P","Fill=—","Direction=H","UseDPDF=Y")</f>
        <v>#NAME?</v>
      </c>
      <c r="AT492" s="2" t="e">
        <f ca="1">_xll.BDH($C$478,"INVENTORY_5_YEAR_GROWTH","FQ4 2016","FQ4 2016","Currency=INR","Period=FQ","BEST_FPERIOD_OVERRIDE=FQ","FILING_STATUS=OR","EQY_CONSOLIDATED=Y","Sort=A","Dates=H","DateFormat=P","Fill=—","Direction=H","UseDPDF=Y")</f>
        <v>#NAME?</v>
      </c>
      <c r="AU492" s="2" t="e">
        <f ca="1">_xll.BDH($C$478,"NET_FIXED_ASSETS_5_YEAR_GROWTH","FQ4 2016","FQ4 2016","Currency=INR","Period=FQ","BEST_FPERIOD_OVERRIDE=FQ","FILING_STATUS=OR","EQY_CONSOLIDATED=Y","Sort=A","Dates=H","DateFormat=P","Fill=—","Direction=H","UseDPDF=Y")</f>
        <v>#NAME?</v>
      </c>
      <c r="AV492" s="2" t="e">
        <f ca="1">_xll.BDH($C$478,"GEO_GROW_TOT_ASSET","FQ4 2016","FQ4 2016","Currency=INR","Period=FQ","BEST_FPERIOD_OVERRIDE=FQ","FILING_STATUS=OR","EQY_CONSOLIDATED=Y","Sort=A","Dates=H","DateFormat=P","Fill=—","Direction=H","UseDPDF=Y")</f>
        <v>#NAME?</v>
      </c>
      <c r="AW492" s="2" t="e">
        <f ca="1">_xll.BDH($C$478,"MODIFIED_WORKING_CPTL_5YR_GRWTH","FQ4 2016","FQ4 2016","Currency=INR","Period=FQ","BEST_FPERIOD_OVERRIDE=FQ","FILING_STATUS=OR","EQY_CONSOLIDATED=Y","Sort=A","Dates=H","DateFormat=P","Fill=—","Direction=H","UseDPDF=Y")</f>
        <v>#NAME?</v>
      </c>
      <c r="AX492" s="2" t="e">
        <f ca="1">_xll.BDH($C$478,"WORKING_CAPITAL_5_YEAR_GROWTH","FQ4 2016","FQ4 2016","Currency=INR","Period=FQ","BEST_FPERIOD_OVERRIDE=FQ","FILING_STATUS=OR","EQY_CONSOLIDATED=Y","Sort=A","Dates=H","DateFormat=P","Fill=—","Direction=H","UseDPDF=Y")</f>
        <v>#NAME?</v>
      </c>
      <c r="AY492" s="2" t="e">
        <f ca="1">_xll.BDH($C$478,"ACCOUNTS_PAYABLE_5_YEAR_GROWTH","FQ4 2016","FQ4 2016","Currency=INR","Period=FQ","BEST_FPERIOD_OVERRIDE=FQ","FILING_STATUS=OR","EQY_CONSOLIDATED=Y","Sort=A","Dates=H","DateFormat=P","Fill=—","Direction=H","UseDPDF=Y")</f>
        <v>#NAME?</v>
      </c>
      <c r="AZ492" s="2" t="e">
        <f ca="1">_xll.BDH($C$478,"SHORT_TERM_DEBT_5_YEAR_GROWTH","FQ4 2016","FQ4 2016","Currency=INR","Period=FQ","BEST_FPERIOD_OVERRIDE=FQ","FILING_STATUS=OR","EQY_CONSOLIDATED=Y","Sort=A","Dates=H","DateFormat=P","Fill=—","Direction=H","UseDPDF=Y")</f>
        <v>#NAME?</v>
      </c>
      <c r="BA492" s="2" t="e">
        <f ca="1">_xll.BDH($C$478,"TOTAL_DEBT_5_YEAR_GROWTH","FQ4 2016","FQ4 2016","Currency=INR","Period=FQ","BEST_FPERIOD_OVERRIDE=FQ","FILING_STATUS=OR","EQY_CONSOLIDATED=Y","Sort=A","Dates=H","DateFormat=P","Fill=—","Direction=H","UseDPDF=Y")</f>
        <v>#NAME?</v>
      </c>
      <c r="BB492" s="2" t="e">
        <f ca="1">_xll.BDH($C$478,"GEO_GROW_TOT_SHRHLDR_EQY","FQ4 2016","FQ4 2016","Currency=INR","Period=FQ","BEST_FPERIOD_OVERRIDE=FQ","FILING_STATUS=OR","EQY_CONSOLIDATED=Y","Sort=A","Dates=H","DateFormat=P","Fill=—","Direction=H","UseDPDF=Y")</f>
        <v>#NAME?</v>
      </c>
      <c r="BC492" s="2" t="e">
        <f ca="1">_xll.BDH($C$478,"TOTAL_CAPITAL_5_YEAR_GROWTH","FQ4 2016","FQ4 2016","Currency=INR","Period=FQ","BEST_FPERIOD_OVERRIDE=FQ","FILING_STATUS=OR","EQY_CONSOLIDATED=Y","Sort=A","Dates=H","DateFormat=P","Fill=—","Direction=H","UseDPDF=Y")</f>
        <v>#NAME?</v>
      </c>
      <c r="BD492" s="2" t="e">
        <f ca="1">_xll.BDH($C$478,"GEO_GROW_BOOK_VAL","FQ4 2016","FQ4 2016","Currency=INR","Period=FQ","BEST_FPERIOD_OVERRIDE=FQ","FILING_STATUS=OR","EQY_CONSOLIDATED=Y","Sort=A","Dates=H","DateFormat=P","Fill=—","Direction=H","UseDPDF=Y")</f>
        <v>#NAME?</v>
      </c>
      <c r="BE492" s="2" t="e">
        <f ca="1">_xll.BDH($C$478,"GEO_GROW_CASH_OPER_ACT","FQ4 2016","FQ4 2016","Currency=INR","Period=FQ","BEST_FPERIOD_OVERRIDE=FQ","FILING_STATUS=OR","EQY_CONSOLIDATED=Y","Sort=A","Dates=H","DateFormat=P","Fill=—","Direction=H","UseDPDF=Y")</f>
        <v>#NAME?</v>
      </c>
      <c r="BF492" s="2" t="e">
        <f ca="1">_xll.BDH($C$478,"REVENUE_SEQUENTIAL_GROWTH","FQ4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492" s="2" t="e">
        <f ca="1">_xll.BDH($C$478,"EBITDA_SEQUENTIAL_GROWTH","FQ4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492" s="2" t="e">
        <f ca="1">_xll.BDH($C$478,"OPERATING_INCOME_SEQ_GROWTH","FQ4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492" s="2" t="e">
        <f ca="1">_xll.BDH($C$478,"NET_INCOME_TO_COMMON_SEQ_GROWTH","FQ4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492" s="2" t="e">
        <f ca="1">_xll.BDH($C$478,"EPS_DILUTED_SEQUENTIAL_GROWTH","FQ4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492" s="2" t="e">
        <f ca="1">_xll.BDH($C$478,"DPS_SEQUENTIAL_GROWTH","FQ4 2016","FQ4 2016","Currency=INR","Period=FQ","BEST_FPERIOD_OVERRIDE=FQ","FILING_STATUS=OR","EQY_CONSOLIDATED=Y","Sort=A","Dates=H","DateFormat=P","Fill=—","Direction=H","UseDPDF=Y")</f>
        <v>#NAME?</v>
      </c>
      <c r="BL492" s="2" t="e">
        <f ca="1">_xll.BDH($C$478,"ACCOUNTS_RECEIVABLE_SEQ_GROWTH","FQ4 2016","FQ4 2016","Currency=INR","Period=FQ","BEST_FPERIOD_OVERRIDE=FQ","FILING_STATUS=OR","EQY_CONSOLIDATED=Y","Sort=A","Dates=H","DateFormat=P","Fill=—","Direction=H","UseDPDF=Y")</f>
        <v>#NAME?</v>
      </c>
      <c r="BM492" s="2" t="e">
        <f ca="1">_xll.BDH($C$478,"INVENTORY_SEQUENTIAL_GROWTH","FQ4 2016","FQ4 2016","Currency=INR","Period=FQ","BEST_FPERIOD_OVERRIDE=FQ","FILING_STATUS=OR","EQY_CONSOLIDATED=Y","Sort=A","Dates=H","DateFormat=P","Fill=—","Direction=H","UseDPDF=Y")</f>
        <v>#NAME?</v>
      </c>
      <c r="BN492" s="2" t="e">
        <f ca="1">_xll.BDH($C$478,"FIXED_ASSETS_SEQUENTIAL_GROWTH","FQ4 2016","FQ4 2016","Currency=INR","Period=FQ","BEST_FPERIOD_OVERRIDE=FQ","FILING_STATUS=OR","EQY_CONSOLIDATED=Y","Sort=A","Dates=H","DateFormat=P","Fill=—","Direction=H","UseDPDF=Y")</f>
        <v>#NAME?</v>
      </c>
      <c r="BO492" s="2" t="e">
        <f ca="1">_xll.BDH($C$478,"TOTAL_ASSETS_SEQUENTIAL_GROWTH","FQ4 2016","FQ4 2016","Currency=INR","Period=FQ","BEST_FPERIOD_OVERRIDE=FQ","FILING_STATUS=OR","EQY_CONSOLIDATED=Y","Sort=A","Dates=H","DateFormat=P","Fill=—","Direction=H","UseDPDF=Y")</f>
        <v>#NAME?</v>
      </c>
      <c r="BP492" s="2" t="e">
        <f ca="1">_xll.BDH($C$478,"MODIFIED_WORKING_CPTL_SEQ_GRWTH","FQ4 2016","FQ4 2016","Currency=INR","Period=FQ","BEST_FPERIOD_OVERRIDE=FQ","FILING_STATUS=OR","EQY_CONSOLIDATED=Y","Sort=A","Dates=H","DateFormat=P","Fill=—","Direction=H","UseDPDF=Y")</f>
        <v>#NAME?</v>
      </c>
      <c r="BQ492" s="2" t="e">
        <f ca="1">_xll.BDH($C$478,"WORKING_CAPITAL_SEQ_GROWTH","FQ4 2016","FQ4 2016","Currency=INR","Period=FQ","BEST_FPERIOD_OVERRIDE=FQ","FILING_STATUS=OR","EQY_CONSOLIDATED=Y","Sort=A","Dates=H","DateFormat=P","Fill=—","Direction=H","UseDPDF=Y")</f>
        <v>#NAME?</v>
      </c>
      <c r="BR492" s="2" t="e">
        <f ca="1">_xll.BDH($C$478,"ACCOUNTS_PAYABLE_SEQ_GROWTH","FQ4 2016","FQ4 2016","Currency=INR","Period=FQ","BEST_FPERIOD_OVERRIDE=FQ","FILING_STATUS=OR","EQY_CONSOLIDATED=Y","Sort=A","Dates=H","DateFormat=P","Fill=—","Direction=H","UseDPDF=Y")</f>
        <v>#NAME?</v>
      </c>
      <c r="BS492" s="2" t="e">
        <f ca="1">_xll.BDH($C$478,"ST_DEBT_SEQUENTIAL_GROWTH","FQ4 2016","FQ4 2016","Currency=INR","Period=FQ","BEST_FPERIOD_OVERRIDE=FQ","FILING_STATUS=OR","EQY_CONSOLIDATED=Y","Sort=A","Dates=H","DateFormat=P","Fill=—","Direction=H","UseDPDF=Y")</f>
        <v>#NAME?</v>
      </c>
      <c r="BT492" s="2" t="e">
        <f ca="1">_xll.BDH($C$478,"TOTAL_DEBT_SEQUENTIAL_GROWTH","FQ4 2016","FQ4 2016","Currency=INR","Period=FQ","BEST_FPERIOD_OVERRIDE=FQ","FILING_STATUS=OR","EQY_CONSOLIDATED=Y","Sort=A","Dates=H","DateFormat=P","Fill=—","Direction=H","UseDPDF=Y")</f>
        <v>#NAME?</v>
      </c>
      <c r="BU492" s="2" t="e">
        <f ca="1">_xll.BDH($C$478,"TOTAL_EQUITY_SEQUENTIAL_GROWTH","FQ4 2016","FQ4 2016","Currency=INR","Period=FQ","BEST_FPERIOD_OVERRIDE=FQ","FILING_STATUS=OR","EQY_CONSOLIDATED=Y","Sort=A","Dates=H","DateFormat=P","Fill=—","Direction=H","UseDPDF=Y")</f>
        <v>#NAME?</v>
      </c>
      <c r="BV492" s="2" t="e">
        <f ca="1">_xll.BDH($C$478,"TOTAL_CAPITAL_SEQUENTIAL_GROWTH","FQ4 2016","FQ4 2016","Currency=INR","Period=FQ","BEST_FPERIOD_OVERRIDE=FQ","FILING_STATUS=OR","EQY_CONSOLIDATED=Y","Sort=A","Dates=H","DateFormat=P","Fill=—","Direction=H","UseDPDF=Y")</f>
        <v>#NAME?</v>
      </c>
      <c r="BW492" s="2" t="e">
        <f ca="1">_xll.BDH($C$478,"BPS_SEQUENTIAL_GROWTH","FQ4 2016","FQ4 2016","Currency=INR","Period=FQ","BEST_FPERIOD_OVERRIDE=FQ","FILING_STATUS=OR","EQY_CONSOLIDATED=Y","Sort=A","Dates=H","DateFormat=P","Fill=—","Direction=H","UseDPDF=Y")</f>
        <v>#NAME?</v>
      </c>
      <c r="BX492" s="2" t="e">
        <f ca="1">_xll.BDH($C$478,"CFO_SEQUENTIAL_GROWTH","FQ4 2016","FQ4 2016","Currency=INR","Period=FQ","BEST_FPERIOD_OVERRIDE=FQ","FILING_STATUS=OR","EQY_CONSOLIDATED=Y","Sort=A","Dates=H","DateFormat=P","Fill=—","Direction=H","UseDPDF=Y")</f>
        <v>#NAME?</v>
      </c>
      <c r="BY492" s="3" t="e">
        <f ca="1">_xll.BDH($C$478,"SHORT_AND_LONG_TERM_DEBT","FQ4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492" s="3" t="e">
        <f ca="1">_xll.BDH($C$478,"BS_ST_BORROW","FQ4 2016","FQ4 2016","Currency=INR","Period=FQ","BEST_FPERIOD_OVERRIDE=FQ","FILING_STATUS=OR","EQY_CONSOLIDATED=Y","SCALING_FORMAT=MLN","Sort=A","Dates=H","DateFormat=P","Fill=—","Direction=H","UseDPDF=Y")</f>
        <v>#NAME?</v>
      </c>
      <c r="CA492" s="3" t="e">
        <f ca="1">_xll.BDH($C$478,"BS_LT_BORROW","FQ4 2016","FQ4 2016","Currency=INR","Period=FQ","BEST_FPERIOD_OVERRIDE=FQ","FILING_STATUS=OR","EQY_CONSOLIDATED=Y","SCALING_FORMAT=MLN","Sort=A","Dates=H","DateFormat=P","Fill=—","Direction=H","UseDPDF=Y")</f>
        <v>#NAME?</v>
      </c>
      <c r="CB492" s="2" t="e">
        <f ca="1">_xll.BDH($C$478,"TOT_DEBT_TO_EBITDA","FQ4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492" s="2" t="e">
        <f ca="1">_xll.BDH($C$478,"NET_DEBT_TO_EBITDA","FQ4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492" s="2" t="e">
        <f ca="1">_xll.BDH($C$478,"TOTAL_DEBT_TO_EBIT","FQ4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492" s="2" t="e">
        <f ca="1">_xll.BDH($C$478,"NET_DEBT_TO_EBIT","FQ4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492" s="2" t="e">
        <f ca="1">_xll.BDH($C$478,"EBITDA_TO_INTEREST_EXPN","FQ4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492" s="2" t="e">
        <f ca="1">_xll.BDH($C$478,"COM_EQY_TO_TOT_ASSET","FQ4 2016","FQ4 2016","Currency=INR","Period=FQ","BEST_FPERIOD_OVERRIDE=FQ","FILING_STATUS=OR","EQY_CONSOLIDATED=Y","Sort=A","Dates=H","DateFormat=P","Fill=—","Direction=H","UseDPDF=Y")</f>
        <v>#NAME?</v>
      </c>
      <c r="CH492" s="2" t="e">
        <f ca="1">_xll.BDH($C$478,"LT_DEBT_TO_TOT_EQY","FQ4 2016","FQ4 2016","Currency=INR","Period=FQ","BEST_FPERIOD_OVERRIDE=FQ","FILING_STATUS=OR","EQY_CONSOLIDATED=Y","Sort=A","Dates=H","DateFormat=P","Fill=—","Direction=H","UseDPDF=Y")</f>
        <v>#NAME?</v>
      </c>
      <c r="CI492" s="2" t="e">
        <f ca="1">_xll.BDH($C$478,"LT_DEBT_TO_TOT_CAP","FQ4 2016","FQ4 2016","Currency=INR","Period=FQ","BEST_FPERIOD_OVERRIDE=FQ","FILING_STATUS=OR","EQY_CONSOLIDATED=Y","Sort=A","Dates=H","DateFormat=P","Fill=—","Direction=H","UseDPDF=Y")</f>
        <v>#NAME?</v>
      </c>
      <c r="CJ492" s="2" t="e">
        <f ca="1">_xll.BDH($C$478,"LT_DEBT_TO_TOT_ASSET","FQ4 2016","FQ4 2016","Currency=INR","Period=FQ","BEST_FPERIOD_OVERRIDE=FQ","FILING_STATUS=OR","EQY_CONSOLIDATED=Y","Sort=A","Dates=H","DateFormat=P","Fill=—","Direction=H","UseDPDF=Y")</f>
        <v>#NAME?</v>
      </c>
      <c r="CK492" s="2" t="e">
        <f ca="1">_xll.BDH($C$478,"TOT_DEBT_TO_TOT_EQY","FQ4 2016","FQ4 2016","Currency=INR","Period=FQ","BEST_FPERIOD_OVERRIDE=FQ","FILING_STATUS=OR","EQY_CONSOLIDATED=Y","Sort=A","Dates=H","DateFormat=P","Fill=—","Direction=H","UseDPDF=Y")</f>
        <v>#NAME?</v>
      </c>
      <c r="CL492" s="2" t="e">
        <f ca="1">_xll.BDH($C$478,"TOT_DEBT_TO_TOT_CAP","FQ4 2016","FQ4 2016","Currency=INR","Period=FQ","BEST_FPERIOD_OVERRIDE=FQ","FILING_STATUS=OR","EQY_CONSOLIDATED=Y","Sort=A","Dates=H","DateFormat=P","Fill=—","Direction=H","UseDPDF=Y")</f>
        <v>#NAME?</v>
      </c>
      <c r="CM492" s="2" t="e">
        <f ca="1">_xll.BDH($C$478,"TOT_DEBT_TO_TOT_ASSET","FQ4 2016","FQ4 2016","Currency=INR","Period=FQ","BEST_FPERIOD_OVERRIDE=FQ","FILING_STATUS=OR","EQY_CONSOLIDATED=Y","Sort=A","Dates=H","DateFormat=P","Fill=—","Direction=H","UseDPDF=Y")</f>
        <v>#NAME?</v>
      </c>
      <c r="CN492" s="2" t="e">
        <f ca="1">_xll.BDH($C$478,"NET_DEBT_TO_SHRHLDR_EQTY","FQ4 2016","FQ4 2016","Currency=INR","Period=FQ","BEST_FPERIOD_OVERRIDE=FQ","FILING_STATUS=OR","EQY_CONSOLIDATED=Y","Sort=A","Dates=H","DateFormat=P","Fill=—","Direction=H","UseDPDF=Y")</f>
        <v>#NAME?</v>
      </c>
      <c r="CO492" s="2" t="e">
        <f ca="1">_xll.BDH($C$478,"NET_DEBT_%_CAPITAL","FQ4 2016","FQ4 2016","Currency=INR","Period=FQ","BEST_FPERIOD_OVERRIDE=FQ","FILING_STATUS=OR","EQY_CONSOLIDATED=Y","Sort=A","Dates=H","DateFormat=P","Fill=—","Direction=H","UseDPDF=Y")</f>
        <v>#NAME?</v>
      </c>
      <c r="CP492" s="3" t="e">
        <f ca="1">_xll.BDH($C$478,"EBITDA","FQ4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492" s="3" t="e">
        <f ca="1">_xll.BDH($C$478,"EBITDA_AFTER_CAPEX","FQ4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492" s="3" t="e">
        <f ca="1">_xll.BDH($C$478,"IS_OPER_INC","FQ4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492" s="2" t="e">
        <f ca="1">_xll.BDH($C$478,"CASH_RATIO","FQ4 2016","FQ4 2016","Currency=INR","Period=FQ","BEST_FPERIOD_OVERRIDE=FQ","FILING_STATUS=OR","EQY_CONSOLIDATED=Y","Sort=A","Dates=H","DateFormat=P","Fill=—","Direction=H","UseDPDF=Y")</f>
        <v>#NAME?</v>
      </c>
      <c r="CT492" s="2" t="e">
        <f ca="1">_xll.BDH($C$478,"CUR_RATIO","FQ4 2016","FQ4 2016","Currency=INR","Period=FQ","BEST_FPERIOD_OVERRIDE=FQ","FILING_STATUS=OR","EQY_CONSOLIDATED=Y","Sort=A","Dates=H","DateFormat=P","Fill=—","Direction=H","UseDPDF=Y")</f>
        <v>#NAME?</v>
      </c>
      <c r="CU492" s="2" t="e">
        <f ca="1">_xll.BDH($C$478,"QUICK_RATIO","FQ4 2016","FQ4 2016","Currency=INR","Period=FQ","BEST_FPERIOD_OVERRIDE=FQ","FILING_STATUS=OR","EQY_CONSOLIDATED=Y","Sort=A","Dates=H","DateFormat=P","Fill=—","Direction=H","UseDPDF=Y")</f>
        <v>#NAME?</v>
      </c>
      <c r="CV492" s="2" t="e">
        <f ca="1">_xll.BDH($C$478,"ALTMAN_Z_SCORE","FQ4 2016","FQ4 2016","Currency=INR","Period=FQ","BEST_FPERIOD_OVERRIDE=FQ","FILING_STATUS=OR","EQY_CONSOLIDATED=Y","Sort=A","Dates=H","DateFormat=P","Fill=—","Direction=H","UseDPDF=Y")</f>
        <v>#NAME?</v>
      </c>
      <c r="CW492" s="4" t="e">
        <f ca="1">_xll.BDH($C$478,"ACCT_RCV_TURN","FQ4 2016","FQ4 2016","Currency=INR","Period=FQ","BEST_FPERIOD_OVERRIDE=FQ","FILING_STATUS=OR","EQY_CONSOLIDATED=Y","FA_ADJUSTED=GAAP","Sort=A","Dates=H","DateFormat=P","Fill=—","Direction=H","UseDPDF=Y")</f>
        <v>#NAME?</v>
      </c>
      <c r="CX492" s="2" t="e">
        <f ca="1">_xll.BDH($C$478,"ACCT_RCV_DAYS","FQ4 2016","FQ4 2016","Currency=INR","Period=FQ","BEST_FPERIOD_OVERRIDE=FQ","FILING_STATUS=OR","EQY_CONSOLIDATED=Y","FA_ADJUSTED=GAAP","Sort=A","Dates=H","DateFormat=P","Fill=—","Direction=H","UseDPDF=Y")</f>
        <v>#NAME?</v>
      </c>
      <c r="CY492" s="4" t="e">
        <f ca="1">_xll.BDH($C$478,"INVENT_TURN","FQ4 2016","FQ4 2016","Currency=INR","Period=FQ","BEST_FPERIOD_OVERRIDE=FQ","FILING_STATUS=OR","EQY_CONSOLIDATED=Y","FA_ADJUSTED=GAAP","Sort=A","Dates=H","DateFormat=P","Fill=—","Direction=H","UseDPDF=Y")</f>
        <v>#NAME?</v>
      </c>
      <c r="CZ492" s="2" t="e">
        <f ca="1">_xll.BDH($C$478,"INVENT_DAYS","FQ4 2016","FQ4 2016","Currency=INR","Period=FQ","BEST_FPERIOD_OVERRIDE=FQ","FILING_STATUS=OR","EQY_CONSOLIDATED=Y","FA_ADJUSTED=GAAP","Sort=A","Dates=H","DateFormat=P","Fill=—","Direction=H","UseDPDF=Y")</f>
        <v>#NAME?</v>
      </c>
      <c r="DA492" s="4" t="e">
        <f ca="1">_xll.BDH($C$478,"ACCOUNTS_PAYABLE_TURNOVER","FQ4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492" s="2" t="e">
        <f ca="1">_xll.BDH($C$478,"ACCOUNTS_PAYABLE_TURNOVER_DAYS","FQ4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492" s="4" t="e">
        <f ca="1">_xll.BDH($C$478,"CASH_CONVERSION_CYCLE","FQ4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492" s="4" t="e">
        <f ca="1">_xll.BDH($C$478,"INV_TO_CASH_DAYS","FQ4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492" s="5" t="e">
        <f ca="1">_xll.BDH($C$478,"BS_INVENTORIES","FQ4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492" s="3" t="e">
        <f ca="1">_xll.BDH($C$478,"INVTRY_RAW_MATERIALS","FQ4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492" s="3" t="e">
        <f ca="1">_xll.BDH($C$478,"INVTRY_IN_PROGRESS","FQ4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492" s="3" t="e">
        <f ca="1">_xll.BDH($C$478,"INVTRY_FINISHED_GOODS","FQ4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492" s="3" t="e">
        <f ca="1">_xll.BDH($C$478,"BS_OTHER_INV","FQ4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493" spans="1:113" x14ac:dyDescent="0.3">
      <c r="A493" s="6"/>
      <c r="B493" s="6"/>
      <c r="C493" s="6"/>
      <c r="D493" s="6" t="s">
        <v>84</v>
      </c>
      <c r="E493" t="s">
        <v>77</v>
      </c>
      <c r="F493" t="e">
        <f ca="1">_xll.BDH($C$478,"RETURN_COM_EQY","FY 2017","FY 2017","Currency=INR","Period=FY","BEST_FPERIOD_OVERRIDE=FY","FILING_STATUS=OR","EQY_CONSOLIDATED=Y","FA_ADJUSTED=GAAP","Sort=A","Dates=H","DateFormat=P","Fill=—","Direction=H","UseDPDF=Y")</f>
        <v>#NAME?</v>
      </c>
      <c r="G493" t="e">
        <f ca="1">_xll.BDH($C$478,"RETURN_ON_ASSET","FY 2017","FY 2017","Currency=INR","Period=FY","BEST_FPERIOD_OVERRIDE=FY","FILING_STATUS=OR","EQY_CONSOLIDATED=Y","FA_ADJUSTED=GAAP","Sort=A","Dates=H","DateFormat=P","Fill=—","Direction=H","UseDPDF=Y")</f>
        <v>#NAME?</v>
      </c>
      <c r="H493" t="e">
        <f ca="1">_xll.BDH($C$478,"RETURN_ON_CAP","FY 2017","FY 2017","Currency=INR","Period=FY","BEST_FPERIOD_OVERRIDE=FY","FILING_STATUS=OR","EQY_CONSOLIDATED=Y","FA_ADJUSTED=GAAP","Sort=A","Dates=H","DateFormat=P","Fill=—","Direction=H","UseDPDF=Y")</f>
        <v>#NAME?</v>
      </c>
      <c r="I493" t="e">
        <f ca="1">_xll.BDH($C$478,"RETURN_ON_INV_CAPITAL","FY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493" t="e">
        <f ca="1">_xll.BDH($C$478,"EBITDA_TO_REVENUE","FY 2017","FY 2017","Currency=INR","Period=FY","BEST_FPERIOD_OVERRIDE=FY","FILING_STATUS=OR","EQY_CONSOLIDATED=Y","FA_ADJUSTED=GAAP","Sort=A","Dates=H","DateFormat=P","Fill=—","Direction=H","UseDPDF=Y")</f>
        <v>#NAME?</v>
      </c>
      <c r="K493" t="e">
        <f ca="1">_xll.BDH($C$478,"OPER_MARGIN","FY 2017","FY 2017","Currency=INR","Period=FY","BEST_FPERIOD_OVERRIDE=FY","FILING_STATUS=OR","EQY_CONSOLIDATED=Y","FA_ADJUSTED=GAAP","Sort=A","Dates=H","DateFormat=P","Fill=—","Direction=H","UseDPDF=Y")</f>
        <v>#NAME?</v>
      </c>
      <c r="L493" t="e">
        <f ca="1">_xll.BDH($C$478,"INCREMENTAL_OPERATING_MARGIN","FY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493" t="e">
        <f ca="1">_xll.BDH($C$478,"PRETAX_INC_TO_NET_SALES","FY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493" t="e">
        <f ca="1">_xll.BDH($C$478,"INC_BEF_XO_ITEMS_TO_NET_SALES","FY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493" t="e">
        <f ca="1">_xll.BDH($C$478,"PROF_MARGIN","FY 2017","FY 2017","Currency=INR","Period=FY","BEST_FPERIOD_OVERRIDE=FY","FILING_STATUS=OR","EQY_CONSOLIDATED=Y","FA_ADJUSTED=GAAP","Sort=A","Dates=H","DateFormat=P","Fill=—","Direction=H","UseDPDF=Y")</f>
        <v>#NAME?</v>
      </c>
      <c r="P493" t="e">
        <f ca="1">_xll.BDH($C$478,"NET_INCOME_TO_COMMON_MARGIN","FY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493" t="e">
        <f ca="1">_xll.BDH($C$478,"EFF_TAX_RATE","FY 2017","FY 2017","Currency=INR","Period=FY","BEST_FPERIOD_OVERRIDE=FY","FILING_STATUS=OR","EQY_CONSOLIDATED=Y","FA_ADJUSTED=GAAP","Sort=A","Dates=H","DateFormat=P","Fill=—","Direction=H","UseDPDF=Y")</f>
        <v>#NAME?</v>
      </c>
      <c r="R493" t="e">
        <f ca="1">_xll.BDH($C$478,"DVD_PAYOUT_RATIO","FY 2017","FY 2017","Currency=INR","Period=FY","BEST_FPERIOD_OVERRIDE=FY","FILING_STATUS=OR","EQY_CONSOLIDATED=Y","FA_ADJUSTED=GAAP","Sort=A","Dates=H","DateFormat=P","Fill=—","Direction=H","UseDPDF=Y")</f>
        <v>#NAME?</v>
      </c>
      <c r="S493" t="e">
        <f ca="1">_xll.BDH($C$478,"SUSTAIN_GROWTH_RT","FY 2017","FY 2017","Currency=INR","Period=FY","BEST_FPERIOD_OVERRIDE=FY","FILING_STATUS=OR","EQY_CONSOLIDATED=Y","FA_ADJUSTED=GAAP","Sort=A","Dates=H","DateFormat=P","Fill=—","Direction=H","UseDPDF=Y")</f>
        <v>#NAME?</v>
      </c>
      <c r="T493" s="2" t="e">
        <f ca="1">_xll.BDH($C$478,"SALES_GROWTH","FY 2017","FY 2017","Currency=INR","Period=FY","BEST_FPERIOD_OVERRIDE=FY","FILING_STATUS=OR","EQY_CONSOLIDATED=Y","FA_ADJUSTED=GAAP","Sort=A","Dates=H","DateFormat=P","Fill=—","Direction=H","UseDPDF=Y")</f>
        <v>#NAME?</v>
      </c>
      <c r="U493" s="2" t="e">
        <f ca="1">_xll.BDH($C$478,"EBITDA_GROWTH","FY 2017","FY 2017","Currency=INR","Period=FY","BEST_FPERIOD_OVERRIDE=FY","FILING_STATUS=OR","EQY_CONSOLIDATED=Y","FA_ADJUSTED=GAAP","Sort=A","Dates=H","DateFormat=P","Fill=—","Direction=H","UseDPDF=Y")</f>
        <v>#NAME?</v>
      </c>
      <c r="V493" s="2" t="e">
        <f ca="1">_xll.BDH($C$478,"OPER_INC_GROWTH","FY 2017","FY 2017","Currency=INR","Period=FY","BEST_FPERIOD_OVERRIDE=FY","FILING_STATUS=OR","EQY_CONSOLIDATED=Y","FA_ADJUSTED=GAAP","Sort=A","Dates=H","DateFormat=P","Fill=—","Direction=H","UseDPDF=Y")</f>
        <v>#NAME?</v>
      </c>
      <c r="W493" s="2" t="e">
        <f ca="1">_xll.BDH($C$478,"EARN_FOR_COM_GROWTH","FY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493" s="2" t="e">
        <f ca="1">_xll.BDH($C$478,"DILUTED_EPS_AFT_XO_ITEMS_GROWTH","FY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493" s="2" t="e">
        <f ca="1">_xll.BDH($C$478,"DIVIDEND_PER_SHARE_1_YEAR_GROWTH","FY 2017","FY 2017","Currency=INR","Period=FY","BEST_FPERIOD_OVERRIDE=FY","FILING_STATUS=OR","EQY_CONSOLIDATED=Y","Sort=A","Dates=H","DateFormat=P","Fill=—","Direction=H","UseDPDF=Y")</f>
        <v>#NAME?</v>
      </c>
      <c r="Z493" s="2" t="e">
        <f ca="1">_xll.BDH($C$478,"ACCOUNTS_RECEIVABLE_GROWTH","FY 2017","FY 2017","Currency=INR","Period=FY","BEST_FPERIOD_OVERRIDE=FY","FILING_STATUS=OR","EQY_CONSOLIDATED=Y","Sort=A","Dates=H","DateFormat=P","Fill=—","Direction=H","UseDPDF=Y")</f>
        <v>#NAME?</v>
      </c>
      <c r="AA493" s="2" t="e">
        <f ca="1">_xll.BDH($C$478,"INVENTORY_GROWTH","FY 2017","FY 2017","Currency=INR","Period=FY","BEST_FPERIOD_OVERRIDE=FY","FILING_STATUS=OR","EQY_CONSOLIDATED=Y","Sort=A","Dates=H","DateFormat=P","Fill=—","Direction=H","UseDPDF=Y")</f>
        <v>#NAME?</v>
      </c>
      <c r="AB493" s="2" t="e">
        <f ca="1">_xll.BDH($C$478,"NET_FIXED_ASSETS_1_YEAR_GROWTH","FY 2017","FY 2017","Currency=INR","Period=FY","BEST_FPERIOD_OVERRIDE=FY","FILING_STATUS=OR","EQY_CONSOLIDATED=Y","Sort=A","Dates=H","DateFormat=P","Fill=—","Direction=H","UseDPDF=Y")</f>
        <v>#NAME?</v>
      </c>
      <c r="AC493" s="2" t="e">
        <f ca="1">_xll.BDH($C$478,"ASSET_GROWTH","FY 2017","FY 2017","Currency=INR","Period=FY","BEST_FPERIOD_OVERRIDE=FY","FILING_STATUS=OR","EQY_CONSOLIDATED=Y","Sort=A","Dates=H","DateFormat=P","Fill=—","Direction=H","UseDPDF=Y")</f>
        <v>#NAME?</v>
      </c>
      <c r="AD493" s="2" t="e">
        <f ca="1">_xll.BDH($C$478,"MODIFIED_WORK_CAP_GROWTH","FY 2017","FY 2017","Currency=INR","Period=FY","BEST_FPERIOD_OVERRIDE=FY","FILING_STATUS=OR","EQY_CONSOLIDATED=Y","Sort=A","Dates=H","DateFormat=P","Fill=—","Direction=H","UseDPDF=Y")</f>
        <v>#NAME?</v>
      </c>
      <c r="AE493" s="2" t="e">
        <f ca="1">_xll.BDH($C$478,"WORK_CAP_GROWTH","FY 2017","FY 2017","Currency=INR","Period=FY","BEST_FPERIOD_OVERRIDE=FY","FILING_STATUS=OR","EQY_CONSOLIDATED=Y","Sort=A","Dates=H","DateFormat=P","Fill=—","Direction=H","UseDPDF=Y")</f>
        <v>#NAME?</v>
      </c>
      <c r="AF493" s="2" t="e">
        <f ca="1">_xll.BDH($C$478,"ACCOUNTS_PAYABLE_GROWTH_1YR","FY 2017","FY 2017","Currency=INR","Period=FY","BEST_FPERIOD_OVERRIDE=FY","FILING_STATUS=OR","EQY_CONSOLIDATED=Y","Sort=A","Dates=H","DateFormat=P","Fill=—","Direction=H","UseDPDF=Y")</f>
        <v>#NAME?</v>
      </c>
      <c r="AG493" s="2" t="e">
        <f ca="1">_xll.BDH($C$478,"SHORT_TERM_DEBT_1_YEAR_GROWTH","FY 2017","FY 2017","Currency=INR","Period=FY","BEST_FPERIOD_OVERRIDE=FY","FILING_STATUS=OR","EQY_CONSOLIDATED=Y","Sort=A","Dates=H","DateFormat=P","Fill=—","Direction=H","UseDPDF=Y")</f>
        <v>#NAME?</v>
      </c>
      <c r="AH493" s="2" t="e">
        <f ca="1">_xll.BDH($C$478,"TOTAL_DEBT_1_YEAR_GROWTH","FY 2017","FY 2017","Currency=INR","Period=FY","BEST_FPERIOD_OVERRIDE=FY","FILING_STATUS=OR","EQY_CONSOLIDATED=Y","Sort=A","Dates=H","DateFormat=P","Fill=—","Direction=H","UseDPDF=Y")</f>
        <v>#NAME?</v>
      </c>
      <c r="AI493" s="2" t="e">
        <f ca="1">_xll.BDH($C$478,"TOTAL_EQUITY_1_YEAR_GROWTH","FY 2017","FY 2017","Currency=INR","Period=FY","BEST_FPERIOD_OVERRIDE=FY","FILING_STATUS=OR","EQY_CONSOLIDATED=Y","Sort=A","Dates=H","DateFormat=P","Fill=—","Direction=H","UseDPDF=Y")</f>
        <v>#NAME?</v>
      </c>
      <c r="AJ493" s="2" t="e">
        <f ca="1">_xll.BDH($C$478,"GROWTH_IN_CAP","FY 2017","FY 2017","Currency=INR","Period=FY","BEST_FPERIOD_OVERRIDE=FY","FILING_STATUS=OR","EQY_CONSOLIDATED=Y","Sort=A","Dates=H","DateFormat=P","Fill=—","Direction=H","UseDPDF=Y")</f>
        <v>#NAME?</v>
      </c>
      <c r="AK493" s="2" t="e">
        <f ca="1">_xll.BDH($C$478,"BVPS_GROWTH","FY 2017","FY 2017","Currency=INR","Period=FY","BEST_FPERIOD_OVERRIDE=FY","FILING_STATUS=OR","EQY_CONSOLIDATED=Y","Sort=A","Dates=H","DateFormat=P","Fill=—","Direction=H","UseDPDF=Y")</f>
        <v>#NAME?</v>
      </c>
      <c r="AL493" s="2" t="e">
        <f ca="1">_xll.BDH($C$478,"CASH_FLOW_GROWTH","FY 2017","FY 2017","Currency=INR","Period=FY","BEST_FPERIOD_OVERRIDE=FY","FILING_STATUS=OR","EQY_CONSOLIDATED=Y","Sort=A","Dates=H","DateFormat=P","Fill=—","Direction=H","UseDPDF=Y")</f>
        <v>#NAME?</v>
      </c>
      <c r="AM493" s="2" t="e">
        <f ca="1">_xll.BDH($C$478,"GEO_GROW_NET_SALES","FY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493" s="2" t="e">
        <f ca="1">_xll.BDH($C$478,"GEO_GROW_EBITDA","FY 2017","FY 2017","Currency=INR","Period=FY","BEST_FPERIOD_OVERRIDE=FY","FILING_STATUS=OR","EQY_CONSOLIDATED=Y","FA_ADJUSTED=GAAP","Sort=A","Dates=H","DateFormat=P","Fill=—","Direction=H","UseDPDF=Y")</f>
        <v>#NAME?</v>
      </c>
      <c r="AO493" s="2" t="e">
        <f ca="1">_xll.BDH($C$478,"GEO_GROW_OPER_INC","FY 2017","FY 2017","Currency=INR","Period=FY","BEST_FPERIOD_OVERRIDE=FY","FILING_STATUS=OR","EQY_CONSOLIDATED=Y","FA_ADJUSTED=GAAP","Sort=A","Dates=H","DateFormat=P","Fill=—","Direction=H","UseDPDF=Y")</f>
        <v>#NAME?</v>
      </c>
      <c r="AP493" s="2" t="e">
        <f ca="1">_xll.BDH($C$478,"NET_INCOME_TO_COMMON_5_YR_GROWTH","FY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493" s="2" t="e">
        <f ca="1">_xll.BDH($C$478,"5Y_GEO_GROWTH_DILUTED_EPS","FY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493" s="2" t="e">
        <f ca="1">_xll.BDH($C$478,"GEO_GROW_DVD_PER_SH","FY 2017","FY 2017","Currency=INR","Period=FY","BEST_FPERIOD_OVERRIDE=FY","FILING_STATUS=OR","EQY_CONSOLIDATED=Y","Sort=A","Dates=H","DateFormat=P","Fill=—","Direction=H","UseDPDF=Y")</f>
        <v>#NAME?</v>
      </c>
      <c r="AS493" s="2" t="e">
        <f ca="1">_xll.BDH($C$478,"ACCOUNTS_RECEIVABLE_5_YR_GROWTH","FY 2017","FY 2017","Currency=INR","Period=FY","BEST_FPERIOD_OVERRIDE=FY","FILING_STATUS=OR","EQY_CONSOLIDATED=Y","Sort=A","Dates=H","DateFormat=P","Fill=—","Direction=H","UseDPDF=Y")</f>
        <v>#NAME?</v>
      </c>
      <c r="AT493" s="2" t="e">
        <f ca="1">_xll.BDH($C$478,"INVENTORY_5_YEAR_GROWTH","FY 2017","FY 2017","Currency=INR","Period=FY","BEST_FPERIOD_OVERRIDE=FY","FILING_STATUS=OR","EQY_CONSOLIDATED=Y","Sort=A","Dates=H","DateFormat=P","Fill=—","Direction=H","UseDPDF=Y")</f>
        <v>#NAME?</v>
      </c>
      <c r="AU493" s="2" t="e">
        <f ca="1">_xll.BDH($C$478,"NET_FIXED_ASSETS_5_YEAR_GROWTH","FY 2017","FY 2017","Currency=INR","Period=FY","BEST_FPERIOD_OVERRIDE=FY","FILING_STATUS=OR","EQY_CONSOLIDATED=Y","Sort=A","Dates=H","DateFormat=P","Fill=—","Direction=H","UseDPDF=Y")</f>
        <v>#NAME?</v>
      </c>
      <c r="AV493" s="2" t="e">
        <f ca="1">_xll.BDH($C$478,"GEO_GROW_TOT_ASSET","FY 2017","FY 2017","Currency=INR","Period=FY","BEST_FPERIOD_OVERRIDE=FY","FILING_STATUS=OR","EQY_CONSOLIDATED=Y","Sort=A","Dates=H","DateFormat=P","Fill=—","Direction=H","UseDPDF=Y")</f>
        <v>#NAME?</v>
      </c>
      <c r="AW493" s="2" t="e">
        <f ca="1">_xll.BDH($C$478,"MODIFIED_WORKING_CPTL_5YR_GRWTH","FY 2017","FY 2017","Currency=INR","Period=FY","BEST_FPERIOD_OVERRIDE=FY","FILING_STATUS=OR","EQY_CONSOLIDATED=Y","Sort=A","Dates=H","DateFormat=P","Fill=—","Direction=H","UseDPDF=Y")</f>
        <v>#NAME?</v>
      </c>
      <c r="AX493" s="2" t="e">
        <f ca="1">_xll.BDH($C$478,"WORKING_CAPITAL_5_YEAR_GROWTH","FY 2017","FY 2017","Currency=INR","Period=FY","BEST_FPERIOD_OVERRIDE=FY","FILING_STATUS=OR","EQY_CONSOLIDATED=Y","Sort=A","Dates=H","DateFormat=P","Fill=—","Direction=H","UseDPDF=Y")</f>
        <v>#NAME?</v>
      </c>
      <c r="AY493" s="2" t="e">
        <f ca="1">_xll.BDH($C$478,"ACCOUNTS_PAYABLE_5_YEAR_GROWTH","FY 2017","FY 2017","Currency=INR","Period=FY","BEST_FPERIOD_OVERRIDE=FY","FILING_STATUS=OR","EQY_CONSOLIDATED=Y","Sort=A","Dates=H","DateFormat=P","Fill=—","Direction=H","UseDPDF=Y")</f>
        <v>#NAME?</v>
      </c>
      <c r="AZ493" s="2" t="e">
        <f ca="1">_xll.BDH($C$478,"SHORT_TERM_DEBT_5_YEAR_GROWTH","FY 2017","FY 2017","Currency=INR","Period=FY","BEST_FPERIOD_OVERRIDE=FY","FILING_STATUS=OR","EQY_CONSOLIDATED=Y","Sort=A","Dates=H","DateFormat=P","Fill=—","Direction=H","UseDPDF=Y")</f>
        <v>#NAME?</v>
      </c>
      <c r="BA493" s="2" t="e">
        <f ca="1">_xll.BDH($C$478,"TOTAL_DEBT_5_YEAR_GROWTH","FY 2017","FY 2017","Currency=INR","Period=FY","BEST_FPERIOD_OVERRIDE=FY","FILING_STATUS=OR","EQY_CONSOLIDATED=Y","Sort=A","Dates=H","DateFormat=P","Fill=—","Direction=H","UseDPDF=Y")</f>
        <v>#NAME?</v>
      </c>
      <c r="BB493" s="2" t="e">
        <f ca="1">_xll.BDH($C$478,"GEO_GROW_TOT_SHRHLDR_EQY","FY 2017","FY 2017","Currency=INR","Period=FY","BEST_FPERIOD_OVERRIDE=FY","FILING_STATUS=OR","EQY_CONSOLIDATED=Y","Sort=A","Dates=H","DateFormat=P","Fill=—","Direction=H","UseDPDF=Y")</f>
        <v>#NAME?</v>
      </c>
      <c r="BC493" s="2" t="e">
        <f ca="1">_xll.BDH($C$478,"TOTAL_CAPITAL_5_YEAR_GROWTH","FY 2017","FY 2017","Currency=INR","Period=FY","BEST_FPERIOD_OVERRIDE=FY","FILING_STATUS=OR","EQY_CONSOLIDATED=Y","Sort=A","Dates=H","DateFormat=P","Fill=—","Direction=H","UseDPDF=Y")</f>
        <v>#NAME?</v>
      </c>
      <c r="BD493" s="2" t="e">
        <f ca="1">_xll.BDH($C$478,"GEO_GROW_BOOK_VAL","FY 2017","FY 2017","Currency=INR","Period=FY","BEST_FPERIOD_OVERRIDE=FY","FILING_STATUS=OR","EQY_CONSOLIDATED=Y","Sort=A","Dates=H","DateFormat=P","Fill=—","Direction=H","UseDPDF=Y")</f>
        <v>#NAME?</v>
      </c>
      <c r="BE493" s="2" t="e">
        <f ca="1">_xll.BDH($C$478,"GEO_GROW_CASH_OPER_ACT","FY 2017","FY 2017","Currency=INR","Period=FY","BEST_FPERIOD_OVERRIDE=FY","FILING_STATUS=OR","EQY_CONSOLIDATED=Y","Sort=A","Dates=H","DateFormat=P","Fill=—","Direction=H","UseDPDF=Y")</f>
        <v>#NAME?</v>
      </c>
      <c r="BF493" s="2" t="e">
        <f ca="1">_xll.BDH($C$478,"REVENUE_SEQUENTIAL_GROWTH","FY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493" s="2" t="e">
        <f ca="1">_xll.BDH($C$478,"EBITDA_SEQUENTIAL_GROWTH","FY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493" s="2" t="e">
        <f ca="1">_xll.BDH($C$478,"OPERATING_INCOME_SEQ_GROWTH","FY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493" s="2" t="e">
        <f ca="1">_xll.BDH($C$478,"NET_INCOME_TO_COMMON_SEQ_GROWTH","FY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493" s="2" t="e">
        <f ca="1">_xll.BDH($C$478,"EPS_DILUTED_SEQUENTIAL_GROWTH","FY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493" s="2" t="e">
        <f ca="1">_xll.BDH($C$478,"DPS_SEQUENTIAL_GROWTH","FY 2017","FY 2017","Currency=INR","Period=FY","BEST_FPERIOD_OVERRIDE=FY","FILING_STATUS=OR","EQY_CONSOLIDATED=Y","Sort=A","Dates=H","DateFormat=P","Fill=—","Direction=H","UseDPDF=Y")</f>
        <v>#NAME?</v>
      </c>
      <c r="BL493" s="2" t="e">
        <f ca="1">_xll.BDH($C$478,"ACCOUNTS_RECEIVABLE_SEQ_GROWTH","FY 2017","FY 2017","Currency=INR","Period=FY","BEST_FPERIOD_OVERRIDE=FY","FILING_STATUS=OR","EQY_CONSOLIDATED=Y","Sort=A","Dates=H","DateFormat=P","Fill=—","Direction=H","UseDPDF=Y")</f>
        <v>#NAME?</v>
      </c>
      <c r="BM493" s="2" t="e">
        <f ca="1">_xll.BDH($C$478,"INVENTORY_SEQUENTIAL_GROWTH","FY 2017","FY 2017","Currency=INR","Period=FY","BEST_FPERIOD_OVERRIDE=FY","FILING_STATUS=OR","EQY_CONSOLIDATED=Y","Sort=A","Dates=H","DateFormat=P","Fill=—","Direction=H","UseDPDF=Y")</f>
        <v>#NAME?</v>
      </c>
      <c r="BN493" s="2" t="e">
        <f ca="1">_xll.BDH($C$478,"FIXED_ASSETS_SEQUENTIAL_GROWTH","FY 2017","FY 2017","Currency=INR","Period=FY","BEST_FPERIOD_OVERRIDE=FY","FILING_STATUS=OR","EQY_CONSOLIDATED=Y","Sort=A","Dates=H","DateFormat=P","Fill=—","Direction=H","UseDPDF=Y")</f>
        <v>#NAME?</v>
      </c>
      <c r="BO493" s="2" t="e">
        <f ca="1">_xll.BDH($C$478,"TOTAL_ASSETS_SEQUENTIAL_GROWTH","FY 2017","FY 2017","Currency=INR","Period=FY","BEST_FPERIOD_OVERRIDE=FY","FILING_STATUS=OR","EQY_CONSOLIDATED=Y","Sort=A","Dates=H","DateFormat=P","Fill=—","Direction=H","UseDPDF=Y")</f>
        <v>#NAME?</v>
      </c>
      <c r="BP493" s="2" t="e">
        <f ca="1">_xll.BDH($C$478,"MODIFIED_WORKING_CPTL_SEQ_GRWTH","FY 2017","FY 2017","Currency=INR","Period=FY","BEST_FPERIOD_OVERRIDE=FY","FILING_STATUS=OR","EQY_CONSOLIDATED=Y","Sort=A","Dates=H","DateFormat=P","Fill=—","Direction=H","UseDPDF=Y")</f>
        <v>#NAME?</v>
      </c>
      <c r="BQ493" s="2" t="e">
        <f ca="1">_xll.BDH($C$478,"WORKING_CAPITAL_SEQ_GROWTH","FY 2017","FY 2017","Currency=INR","Period=FY","BEST_FPERIOD_OVERRIDE=FY","FILING_STATUS=OR","EQY_CONSOLIDATED=Y","Sort=A","Dates=H","DateFormat=P","Fill=—","Direction=H","UseDPDF=Y")</f>
        <v>#NAME?</v>
      </c>
      <c r="BR493" s="2" t="e">
        <f ca="1">_xll.BDH($C$478,"ACCOUNTS_PAYABLE_SEQ_GROWTH","FY 2017","FY 2017","Currency=INR","Period=FY","BEST_FPERIOD_OVERRIDE=FY","FILING_STATUS=OR","EQY_CONSOLIDATED=Y","Sort=A","Dates=H","DateFormat=P","Fill=—","Direction=H","UseDPDF=Y")</f>
        <v>#NAME?</v>
      </c>
      <c r="BS493" s="2" t="e">
        <f ca="1">_xll.BDH($C$478,"ST_DEBT_SEQUENTIAL_GROWTH","FY 2017","FY 2017","Currency=INR","Period=FY","BEST_FPERIOD_OVERRIDE=FY","FILING_STATUS=OR","EQY_CONSOLIDATED=Y","Sort=A","Dates=H","DateFormat=P","Fill=—","Direction=H","UseDPDF=Y")</f>
        <v>#NAME?</v>
      </c>
      <c r="BT493" s="2" t="e">
        <f ca="1">_xll.BDH($C$478,"TOTAL_DEBT_SEQUENTIAL_GROWTH","FY 2017","FY 2017","Currency=INR","Period=FY","BEST_FPERIOD_OVERRIDE=FY","FILING_STATUS=OR","EQY_CONSOLIDATED=Y","Sort=A","Dates=H","DateFormat=P","Fill=—","Direction=H","UseDPDF=Y")</f>
        <v>#NAME?</v>
      </c>
      <c r="BU493" s="2" t="e">
        <f ca="1">_xll.BDH($C$478,"TOTAL_EQUITY_SEQUENTIAL_GROWTH","FY 2017","FY 2017","Currency=INR","Period=FY","BEST_FPERIOD_OVERRIDE=FY","FILING_STATUS=OR","EQY_CONSOLIDATED=Y","Sort=A","Dates=H","DateFormat=P","Fill=—","Direction=H","UseDPDF=Y")</f>
        <v>#NAME?</v>
      </c>
      <c r="BV493" s="2" t="e">
        <f ca="1">_xll.BDH($C$478,"TOTAL_CAPITAL_SEQUENTIAL_GROWTH","FY 2017","FY 2017","Currency=INR","Period=FY","BEST_FPERIOD_OVERRIDE=FY","FILING_STATUS=OR","EQY_CONSOLIDATED=Y","Sort=A","Dates=H","DateFormat=P","Fill=—","Direction=H","UseDPDF=Y")</f>
        <v>#NAME?</v>
      </c>
      <c r="BW493" s="2" t="e">
        <f ca="1">_xll.BDH($C$478,"BPS_SEQUENTIAL_GROWTH","FY 2017","FY 2017","Currency=INR","Period=FY","BEST_FPERIOD_OVERRIDE=FY","FILING_STATUS=OR","EQY_CONSOLIDATED=Y","Sort=A","Dates=H","DateFormat=P","Fill=—","Direction=H","UseDPDF=Y")</f>
        <v>#NAME?</v>
      </c>
      <c r="BX493" s="2" t="e">
        <f ca="1">_xll.BDH($C$478,"CFO_SEQUENTIAL_GROWTH","FY 2017","FY 2017","Currency=INR","Period=FY","BEST_FPERIOD_OVERRIDE=FY","FILING_STATUS=OR","EQY_CONSOLIDATED=Y","Sort=A","Dates=H","DateFormat=P","Fill=—","Direction=H","UseDPDF=Y")</f>
        <v>#NAME?</v>
      </c>
      <c r="BY493" s="3" t="e">
        <f ca="1">_xll.BDH($C$478,"SHORT_AND_LONG_TERM_DEBT","FY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493" s="3" t="e">
        <f ca="1">_xll.BDH($C$478,"BS_ST_BORROW","FY 2017","FY 2017","Currency=INR","Period=FY","BEST_FPERIOD_OVERRIDE=FY","FILING_STATUS=OR","EQY_CONSOLIDATED=Y","SCALING_FORMAT=MLN","Sort=A","Dates=H","DateFormat=P","Fill=—","Direction=H","UseDPDF=Y")</f>
        <v>#NAME?</v>
      </c>
      <c r="CA493" s="3" t="e">
        <f ca="1">_xll.BDH($C$478,"BS_LT_BORROW","FY 2017","FY 2017","Currency=INR","Period=FY","BEST_FPERIOD_OVERRIDE=FY","FILING_STATUS=OR","EQY_CONSOLIDATED=Y","SCALING_FORMAT=MLN","Sort=A","Dates=H","DateFormat=P","Fill=—","Direction=H","UseDPDF=Y")</f>
        <v>#NAME?</v>
      </c>
      <c r="CB493" s="2" t="e">
        <f ca="1">_xll.BDH($C$478,"TOT_DEBT_TO_EBITDA","FY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493" s="2" t="e">
        <f ca="1">_xll.BDH($C$478,"NET_DEBT_TO_EBITDA","FY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493" s="2" t="e">
        <f ca="1">_xll.BDH($C$478,"TOTAL_DEBT_TO_EBIT","FY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493" s="2" t="e">
        <f ca="1">_xll.BDH($C$478,"NET_DEBT_TO_EBIT","FY 2017","FY 2017","Currency=INR","Period=FY","BEST_FPERIOD_OVERRIDE=FY","FILING_STATUS=OR","EQY_CONSOLIDATED=Y","FA_ADJUSTED=GAAP","Sort=A","Dates=H","DateFormat=P","Fill=—","Direction=H","UseDPDF=Y")</f>
        <v>#NAME?</v>
      </c>
      <c r="CF493" s="2" t="e">
        <f ca="1">_xll.BDH($C$478,"EBITDA_TO_INTEREST_EXPN","FY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493" s="2" t="e">
        <f ca="1">_xll.BDH($C$478,"COM_EQY_TO_TOT_ASSET","FY 2017","FY 2017","Currency=INR","Period=FY","BEST_FPERIOD_OVERRIDE=FY","FILING_STATUS=OR","EQY_CONSOLIDATED=Y","Sort=A","Dates=H","DateFormat=P","Fill=—","Direction=H","UseDPDF=Y")</f>
        <v>#NAME?</v>
      </c>
      <c r="CH493" s="2" t="e">
        <f ca="1">_xll.BDH($C$478,"LT_DEBT_TO_TOT_EQY","FY 2017","FY 2017","Currency=INR","Period=FY","BEST_FPERIOD_OVERRIDE=FY","FILING_STATUS=OR","EQY_CONSOLIDATED=Y","Sort=A","Dates=H","DateFormat=P","Fill=—","Direction=H","UseDPDF=Y")</f>
        <v>#NAME?</v>
      </c>
      <c r="CI493" s="2" t="e">
        <f ca="1">_xll.BDH($C$478,"LT_DEBT_TO_TOT_CAP","FY 2017","FY 2017","Currency=INR","Period=FY","BEST_FPERIOD_OVERRIDE=FY","FILING_STATUS=OR","EQY_CONSOLIDATED=Y","Sort=A","Dates=H","DateFormat=P","Fill=—","Direction=H","UseDPDF=Y")</f>
        <v>#NAME?</v>
      </c>
      <c r="CJ493" s="2" t="e">
        <f ca="1">_xll.BDH($C$478,"LT_DEBT_TO_TOT_ASSET","FY 2017","FY 2017","Currency=INR","Period=FY","BEST_FPERIOD_OVERRIDE=FY","FILING_STATUS=OR","EQY_CONSOLIDATED=Y","Sort=A","Dates=H","DateFormat=P","Fill=—","Direction=H","UseDPDF=Y")</f>
        <v>#NAME?</v>
      </c>
      <c r="CK493" s="2" t="e">
        <f ca="1">_xll.BDH($C$478,"TOT_DEBT_TO_TOT_EQY","FY 2017","FY 2017","Currency=INR","Period=FY","BEST_FPERIOD_OVERRIDE=FY","FILING_STATUS=OR","EQY_CONSOLIDATED=Y","Sort=A","Dates=H","DateFormat=P","Fill=—","Direction=H","UseDPDF=Y")</f>
        <v>#NAME?</v>
      </c>
      <c r="CL493" s="2" t="e">
        <f ca="1">_xll.BDH($C$478,"TOT_DEBT_TO_TOT_CAP","FY 2017","FY 2017","Currency=INR","Period=FY","BEST_FPERIOD_OVERRIDE=FY","FILING_STATUS=OR","EQY_CONSOLIDATED=Y","Sort=A","Dates=H","DateFormat=P","Fill=—","Direction=H","UseDPDF=Y")</f>
        <v>#NAME?</v>
      </c>
      <c r="CM493" s="2" t="e">
        <f ca="1">_xll.BDH($C$478,"TOT_DEBT_TO_TOT_ASSET","FY 2017","FY 2017","Currency=INR","Period=FY","BEST_FPERIOD_OVERRIDE=FY","FILING_STATUS=OR","EQY_CONSOLIDATED=Y","Sort=A","Dates=H","DateFormat=P","Fill=—","Direction=H","UseDPDF=Y")</f>
        <v>#NAME?</v>
      </c>
      <c r="CN493" s="2" t="e">
        <f ca="1">_xll.BDH($C$478,"NET_DEBT_TO_SHRHLDR_EQTY","FY 2017","FY 2017","Currency=INR","Period=FY","BEST_FPERIOD_OVERRIDE=FY","FILING_STATUS=OR","EQY_CONSOLIDATED=Y","Sort=A","Dates=H","DateFormat=P","Fill=—","Direction=H","UseDPDF=Y")</f>
        <v>#NAME?</v>
      </c>
      <c r="CO493" s="2" t="e">
        <f ca="1">_xll.BDH($C$478,"NET_DEBT_%_CAPITAL","FY 2017","FY 2017","Currency=INR","Period=FY","BEST_FPERIOD_OVERRIDE=FY","FILING_STATUS=OR","EQY_CONSOLIDATED=Y","Sort=A","Dates=H","DateFormat=P","Fill=—","Direction=H","UseDPDF=Y")</f>
        <v>#NAME?</v>
      </c>
      <c r="CP493" s="3" t="e">
        <f ca="1">_xll.BDH($C$478,"EBITDA","FY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493" s="3" t="e">
        <f ca="1">_xll.BDH($C$478,"EBITDA_AFTER_CAPEX","FY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493" s="3" t="e">
        <f ca="1">_xll.BDH($C$478,"IS_OPER_INC","FY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493" s="2" t="e">
        <f ca="1">_xll.BDH($C$478,"CASH_RATIO","FY 2017","FY 2017","Currency=INR","Period=FY","BEST_FPERIOD_OVERRIDE=FY","FILING_STATUS=OR","EQY_CONSOLIDATED=Y","Sort=A","Dates=H","DateFormat=P","Fill=—","Direction=H","UseDPDF=Y")</f>
        <v>#NAME?</v>
      </c>
      <c r="CT493" s="2" t="e">
        <f ca="1">_xll.BDH($C$478,"CUR_RATIO","FY 2017","FY 2017","Currency=INR","Period=FY","BEST_FPERIOD_OVERRIDE=FY","FILING_STATUS=OR","EQY_CONSOLIDATED=Y","Sort=A","Dates=H","DateFormat=P","Fill=—","Direction=H","UseDPDF=Y")</f>
        <v>#NAME?</v>
      </c>
      <c r="CU493" s="2" t="e">
        <f ca="1">_xll.BDH($C$478,"QUICK_RATIO","FY 2017","FY 2017","Currency=INR","Period=FY","BEST_FPERIOD_OVERRIDE=FY","FILING_STATUS=OR","EQY_CONSOLIDATED=Y","Sort=A","Dates=H","DateFormat=P","Fill=—","Direction=H","UseDPDF=Y")</f>
        <v>#NAME?</v>
      </c>
      <c r="CV493" s="2" t="e">
        <f ca="1">_xll.BDH($C$478,"ALTMAN_Z_SCORE","FY 2017","FY 2017","Currency=INR","Period=FY","BEST_FPERIOD_OVERRIDE=FY","FILING_STATUS=OR","EQY_CONSOLIDATED=Y","Sort=A","Dates=H","DateFormat=P","Fill=—","Direction=H","UseDPDF=Y")</f>
        <v>#NAME?</v>
      </c>
      <c r="CW493" s="4" t="e">
        <f ca="1">_xll.BDH($C$478,"ACCT_RCV_TURN","FY 2017","FY 2017","Currency=INR","Period=FY","BEST_FPERIOD_OVERRIDE=FY","FILING_STATUS=OR","EQY_CONSOLIDATED=Y","FA_ADJUSTED=GAAP","Sort=A","Dates=H","DateFormat=P","Fill=—","Direction=H","UseDPDF=Y")</f>
        <v>#NAME?</v>
      </c>
      <c r="CX493" s="2" t="e">
        <f ca="1">_xll.BDH($C$478,"ACCT_RCV_DAYS","FY 2017","FY 2017","Currency=INR","Period=FY","BEST_FPERIOD_OVERRIDE=FY","FILING_STATUS=OR","EQY_CONSOLIDATED=Y","FA_ADJUSTED=GAAP","Sort=A","Dates=H","DateFormat=P","Fill=—","Direction=H","UseDPDF=Y")</f>
        <v>#NAME?</v>
      </c>
      <c r="CY493" s="4" t="e">
        <f ca="1">_xll.BDH($C$478,"INVENT_TURN","FY 2017","FY 2017","Currency=INR","Period=FY","BEST_FPERIOD_OVERRIDE=FY","FILING_STATUS=OR","EQY_CONSOLIDATED=Y","FA_ADJUSTED=GAAP","Sort=A","Dates=H","DateFormat=P","Fill=—","Direction=H","UseDPDF=Y")</f>
        <v>#NAME?</v>
      </c>
      <c r="CZ493" s="2" t="e">
        <f ca="1">_xll.BDH($C$478,"INVENT_DAYS","FY 2017","FY 2017","Currency=INR","Period=FY","BEST_FPERIOD_OVERRIDE=FY","FILING_STATUS=OR","EQY_CONSOLIDATED=Y","FA_ADJUSTED=GAAP","Sort=A","Dates=H","DateFormat=P","Fill=—","Direction=H","UseDPDF=Y")</f>
        <v>#NAME?</v>
      </c>
      <c r="DA493" s="4" t="e">
        <f ca="1">_xll.BDH($C$478,"ACCOUNTS_PAYABLE_TURNOVER","FY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493" s="2" t="e">
        <f ca="1">_xll.BDH($C$478,"ACCOUNTS_PAYABLE_TURNOVER_DAYS","FY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493" s="4" t="e">
        <f ca="1">_xll.BDH($C$478,"CASH_CONVERSION_CYCLE","FY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493" s="4" t="e">
        <f ca="1">_xll.BDH($C$478,"INV_TO_CASH_DAYS","FY 2017","FY 2017","Currency=INR","Period=FY","BEST_FPERIOD_OVERRIDE=FY","FILING_STATUS=OR","EQY_CONSOLIDATED=Y","FA_ADJUSTED=GAAP","Sort=A","Dates=H","DateFormat=P","Fill=—","Direction=H","UseDPDF=Y")</f>
        <v>#NAME?</v>
      </c>
      <c r="DE493" s="5" t="e">
        <f ca="1">_xll.BDH($C$478,"BS_INVENTORIES","FY 2017","FY 2017","Currency=INR","Period=FY","BEST_FPERIOD_OVERRIDE=FY","FILING_STATUS=OR","EQY_CONSOLIDATED=Y","SCALING_FORMAT=MLN","Sort=A","Dates=H","DateFormat=P","Fill=—","Direction=H","UseDPDF=Y")</f>
        <v>#NAME?</v>
      </c>
      <c r="DF493" s="3" t="e">
        <f ca="1">_xll.BDH($C$478,"INVTRY_RAW_MATERIALS","FY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493" s="3" t="e">
        <f ca="1">_xll.BDH($C$478,"INVTRY_IN_PROGRESS","FY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493" s="3" t="e">
        <f ca="1">_xll.BDH($C$478,"INVTRY_FINISHED_GOODS","FY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493" s="3" t="e">
        <f ca="1">_xll.BDH($C$478,"BS_OTHER_INV","FY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494" spans="1:113" x14ac:dyDescent="0.3">
      <c r="A494" s="6"/>
      <c r="B494" s="6"/>
      <c r="C494" s="6"/>
      <c r="D494" s="6"/>
      <c r="E494" t="s">
        <v>78</v>
      </c>
      <c r="F494" t="e">
        <f ca="1">_xll.BDH($C$478,"RETURN_COM_EQY","FQ1 2017","FQ1 2017","Currency=INR","Period=FQ","BEST_FPERIOD_OVERRIDE=FQ","FILING_STATUS=OR","EQY_CONSOLIDATED=Y","FA_ADJUSTED=GAAP","Sort=A","Dates=H","DateFormat=P","Fill=—","Direction=H","UseDPDF=Y")</f>
        <v>#NAME?</v>
      </c>
      <c r="G494" t="e">
        <f ca="1">_xll.BDH($C$478,"RETURN_ON_ASSET","FQ1 2017","FQ1 2017","Currency=INR","Period=FQ","BEST_FPERIOD_OVERRIDE=FQ","FILING_STATUS=OR","EQY_CONSOLIDATED=Y","FA_ADJUSTED=GAAP","Sort=A","Dates=H","DateFormat=P","Fill=—","Direction=H","UseDPDF=Y")</f>
        <v>#NAME?</v>
      </c>
      <c r="H494" t="e">
        <f ca="1">_xll.BDH($C$478,"RETURN_ON_CAP","FQ1 2017","FQ1 2017","Currency=INR","Period=FQ","BEST_FPERIOD_OVERRIDE=FQ","FILING_STATUS=OR","EQY_CONSOLIDATED=Y","FA_ADJUSTED=GAAP","Sort=A","Dates=H","DateFormat=P","Fill=—","Direction=H","UseDPDF=Y")</f>
        <v>#NAME?</v>
      </c>
      <c r="I494" t="e">
        <f ca="1">_xll.BDH($C$478,"RETURN_ON_INV_CAPITAL","FQ1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494" t="e">
        <f ca="1">_xll.BDH($C$478,"EBITDA_TO_REVENUE","FQ1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494" t="e">
        <f ca="1">_xll.BDH($C$478,"OPER_MARGIN","FQ1 2017","FQ1 2017","Currency=INR","Period=FQ","BEST_FPERIOD_OVERRIDE=FQ","FILING_STATUS=OR","EQY_CONSOLIDATED=Y","FA_ADJUSTED=GAAP","Sort=A","Dates=H","DateFormat=P","Fill=—","Direction=H","UseDPDF=Y")</f>
        <v>#NAME?</v>
      </c>
      <c r="L494" t="e">
        <f ca="1">_xll.BDH($C$478,"INCREMENTAL_OPERATING_MARGIN","FQ1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494" t="e">
        <f ca="1">_xll.BDH($C$478,"PRETAX_INC_TO_NET_SALES","FQ1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494" t="e">
        <f ca="1">_xll.BDH($C$478,"INC_BEF_XO_ITEMS_TO_NET_SALES","FQ1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494" t="e">
        <f ca="1">_xll.BDH($C$478,"PROF_MARGIN","FQ1 2017","FQ1 2017","Currency=INR","Period=FQ","BEST_FPERIOD_OVERRIDE=FQ","FILING_STATUS=OR","EQY_CONSOLIDATED=Y","FA_ADJUSTED=GAAP","Sort=A","Dates=H","DateFormat=P","Fill=—","Direction=H","UseDPDF=Y")</f>
        <v>#NAME?</v>
      </c>
      <c r="P494" t="e">
        <f ca="1">_xll.BDH($C$478,"NET_INCOME_TO_COMMON_MARGIN","FQ1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494" t="e">
        <f ca="1">_xll.BDH($C$478,"EFF_TAX_RATE","FQ1 2017","FQ1 2017","Currency=INR","Period=FQ","BEST_FPERIOD_OVERRIDE=FQ","FILING_STATUS=OR","EQY_CONSOLIDATED=Y","FA_ADJUSTED=GAAP","Sort=A","Dates=H","DateFormat=P","Fill=—","Direction=H","UseDPDF=Y")</f>
        <v>#NAME?</v>
      </c>
      <c r="R494" t="e">
        <f ca="1">_xll.BDH($C$478,"DVD_PAYOUT_RATIO","FQ1 2017","FQ1 2017","Currency=INR","Period=FQ","BEST_FPERIOD_OVERRIDE=FQ","FILING_STATUS=OR","EQY_CONSOLIDATED=Y","FA_ADJUSTED=GAAP","Sort=A","Dates=H","DateFormat=P","Fill=—","Direction=H","UseDPDF=Y")</f>
        <v>#NAME?</v>
      </c>
      <c r="S494" t="e">
        <f ca="1">_xll.BDH($C$478,"SUSTAIN_GROWTH_RT","FQ1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494" s="2" t="e">
        <f ca="1">_xll.BDH($C$478,"SALES_GROWTH","FQ1 2017","FQ1 2017","Currency=INR","Period=FQ","BEST_FPERIOD_OVERRIDE=FQ","FILING_STATUS=OR","EQY_CONSOLIDATED=Y","FA_ADJUSTED=GAAP","Sort=A","Dates=H","DateFormat=P","Fill=—","Direction=H","UseDPDF=Y")</f>
        <v>#NAME?</v>
      </c>
      <c r="U494" s="2" t="e">
        <f ca="1">_xll.BDH($C$478,"EBITDA_GROWTH","FQ1 2017","FQ1 2017","Currency=INR","Period=FQ","BEST_FPERIOD_OVERRIDE=FQ","FILING_STATUS=OR","EQY_CONSOLIDATED=Y","FA_ADJUSTED=GAAP","Sort=A","Dates=H","DateFormat=P","Fill=—","Direction=H","UseDPDF=Y")</f>
        <v>#NAME?</v>
      </c>
      <c r="V494" s="2" t="e">
        <f ca="1">_xll.BDH($C$478,"OPER_INC_GROWTH","FQ1 2017","FQ1 2017","Currency=INR","Period=FQ","BEST_FPERIOD_OVERRIDE=FQ","FILING_STATUS=OR","EQY_CONSOLIDATED=Y","FA_ADJUSTED=GAAP","Sort=A","Dates=H","DateFormat=P","Fill=—","Direction=H","UseDPDF=Y")</f>
        <v>#NAME?</v>
      </c>
      <c r="W494" s="2" t="e">
        <f ca="1">_xll.BDH($C$478,"EARN_FOR_COM_GROWTH","FQ1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494" s="2" t="e">
        <f ca="1">_xll.BDH($C$478,"DILUTED_EPS_AFT_XO_ITEMS_GROWTH","FQ1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494" s="2" t="e">
        <f ca="1">_xll.BDH($C$478,"DIVIDEND_PER_SHARE_1_YEAR_GROWTH","FQ1 2017","FQ1 2017","Currency=INR","Period=FQ","BEST_FPERIOD_OVERRIDE=FQ","FILING_STATUS=OR","EQY_CONSOLIDATED=Y","Sort=A","Dates=H","DateFormat=P","Fill=—","Direction=H","UseDPDF=Y")</f>
        <v>#NAME?</v>
      </c>
      <c r="Z494" s="2" t="e">
        <f ca="1">_xll.BDH($C$478,"ACCOUNTS_RECEIVABLE_GROWTH","FQ1 2017","FQ1 2017","Currency=INR","Period=FQ","BEST_FPERIOD_OVERRIDE=FQ","FILING_STATUS=OR","EQY_CONSOLIDATED=Y","Sort=A","Dates=H","DateFormat=P","Fill=—","Direction=H","UseDPDF=Y")</f>
        <v>#NAME?</v>
      </c>
      <c r="AA494" s="2" t="e">
        <f ca="1">_xll.BDH($C$478,"INVENTORY_GROWTH","FQ1 2017","FQ1 2017","Currency=INR","Period=FQ","BEST_FPERIOD_OVERRIDE=FQ","FILING_STATUS=OR","EQY_CONSOLIDATED=Y","Sort=A","Dates=H","DateFormat=P","Fill=—","Direction=H","UseDPDF=Y")</f>
        <v>#NAME?</v>
      </c>
      <c r="AB494" s="2" t="e">
        <f ca="1">_xll.BDH($C$478,"NET_FIXED_ASSETS_1_YEAR_GROWTH","FQ1 2017","FQ1 2017","Currency=INR","Period=FQ","BEST_FPERIOD_OVERRIDE=FQ","FILING_STATUS=OR","EQY_CONSOLIDATED=Y","Sort=A","Dates=H","DateFormat=P","Fill=—","Direction=H","UseDPDF=Y")</f>
        <v>#NAME?</v>
      </c>
      <c r="AC494" s="2" t="e">
        <f ca="1">_xll.BDH($C$478,"ASSET_GROWTH","FQ1 2017","FQ1 2017","Currency=INR","Period=FQ","BEST_FPERIOD_OVERRIDE=FQ","FILING_STATUS=OR","EQY_CONSOLIDATED=Y","Sort=A","Dates=H","DateFormat=P","Fill=—","Direction=H","UseDPDF=Y")</f>
        <v>#NAME?</v>
      </c>
      <c r="AD494" s="2" t="e">
        <f ca="1">_xll.BDH($C$478,"MODIFIED_WORK_CAP_GROWTH","FQ1 2017","FQ1 2017","Currency=INR","Period=FQ","BEST_FPERIOD_OVERRIDE=FQ","FILING_STATUS=OR","EQY_CONSOLIDATED=Y","Sort=A","Dates=H","DateFormat=P","Fill=—","Direction=H","UseDPDF=Y")</f>
        <v>#NAME?</v>
      </c>
      <c r="AE494" s="2" t="e">
        <f ca="1">_xll.BDH($C$478,"WORK_CAP_GROWTH","FQ1 2017","FQ1 2017","Currency=INR","Period=FQ","BEST_FPERIOD_OVERRIDE=FQ","FILING_STATUS=OR","EQY_CONSOLIDATED=Y","Sort=A","Dates=H","DateFormat=P","Fill=—","Direction=H","UseDPDF=Y")</f>
        <v>#NAME?</v>
      </c>
      <c r="AF494" s="2" t="e">
        <f ca="1">_xll.BDH($C$478,"ACCOUNTS_PAYABLE_GROWTH_1YR","FQ1 2017","FQ1 2017","Currency=INR","Period=FQ","BEST_FPERIOD_OVERRIDE=FQ","FILING_STATUS=OR","EQY_CONSOLIDATED=Y","Sort=A","Dates=H","DateFormat=P","Fill=—","Direction=H","UseDPDF=Y")</f>
        <v>#NAME?</v>
      </c>
      <c r="AG494" s="2" t="e">
        <f ca="1">_xll.BDH($C$478,"SHORT_TERM_DEBT_1_YEAR_GROWTH","FQ1 2017","FQ1 2017","Currency=INR","Period=FQ","BEST_FPERIOD_OVERRIDE=FQ","FILING_STATUS=OR","EQY_CONSOLIDATED=Y","Sort=A","Dates=H","DateFormat=P","Fill=—","Direction=H","UseDPDF=Y")</f>
        <v>#NAME?</v>
      </c>
      <c r="AH494" s="2" t="e">
        <f ca="1">_xll.BDH($C$478,"TOTAL_DEBT_1_YEAR_GROWTH","FQ1 2017","FQ1 2017","Currency=INR","Period=FQ","BEST_FPERIOD_OVERRIDE=FQ","FILING_STATUS=OR","EQY_CONSOLIDATED=Y","Sort=A","Dates=H","DateFormat=P","Fill=—","Direction=H","UseDPDF=Y")</f>
        <v>#NAME?</v>
      </c>
      <c r="AI494" s="2" t="e">
        <f ca="1">_xll.BDH($C$478,"TOTAL_EQUITY_1_YEAR_GROWTH","FQ1 2017","FQ1 2017","Currency=INR","Period=FQ","BEST_FPERIOD_OVERRIDE=FQ","FILING_STATUS=OR","EQY_CONSOLIDATED=Y","Sort=A","Dates=H","DateFormat=P","Fill=—","Direction=H","UseDPDF=Y")</f>
        <v>#NAME?</v>
      </c>
      <c r="AJ494" s="2" t="e">
        <f ca="1">_xll.BDH($C$478,"GROWTH_IN_CAP","FQ1 2017","FQ1 2017","Currency=INR","Period=FQ","BEST_FPERIOD_OVERRIDE=FQ","FILING_STATUS=OR","EQY_CONSOLIDATED=Y","Sort=A","Dates=H","DateFormat=P","Fill=—","Direction=H","UseDPDF=Y")</f>
        <v>#NAME?</v>
      </c>
      <c r="AK494" s="2" t="e">
        <f ca="1">_xll.BDH($C$478,"BVPS_GROWTH","FQ1 2017","FQ1 2017","Currency=INR","Period=FQ","BEST_FPERIOD_OVERRIDE=FQ","FILING_STATUS=OR","EQY_CONSOLIDATED=Y","Sort=A","Dates=H","DateFormat=P","Fill=—","Direction=H","UseDPDF=Y")</f>
        <v>#NAME?</v>
      </c>
      <c r="AL494" s="2" t="e">
        <f ca="1">_xll.BDH($C$478,"CASH_FLOW_GROWTH","FQ1 2017","FQ1 2017","Currency=INR","Period=FQ","BEST_FPERIOD_OVERRIDE=FQ","FILING_STATUS=OR","EQY_CONSOLIDATED=Y","Sort=A","Dates=H","DateFormat=P","Fill=—","Direction=H","UseDPDF=Y")</f>
        <v>#NAME?</v>
      </c>
      <c r="AM494" s="2" t="e">
        <f ca="1">_xll.BDH($C$478,"GEO_GROW_NET_SALES","FQ1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494" s="2" t="e">
        <f ca="1">_xll.BDH($C$478,"GEO_GROW_EBITDA","FQ1 2017","FQ1 2017","Currency=INR","Period=FQ","BEST_FPERIOD_OVERRIDE=FQ","FILING_STATUS=OR","EQY_CONSOLIDATED=Y","FA_ADJUSTED=GAAP","Sort=A","Dates=H","DateFormat=P","Fill=—","Direction=H","UseDPDF=Y")</f>
        <v>#NAME?</v>
      </c>
      <c r="AO494" s="2" t="e">
        <f ca="1">_xll.BDH($C$478,"GEO_GROW_OPER_INC","FQ1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494" s="2" t="e">
        <f ca="1">_xll.BDH($C$478,"NET_INCOME_TO_COMMON_5_YR_GROWTH","FQ1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494" s="2" t="e">
        <f ca="1">_xll.BDH($C$478,"5Y_GEO_GROWTH_DILUTED_EPS","FQ1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494" s="2" t="e">
        <f ca="1">_xll.BDH($C$478,"GEO_GROW_DVD_PER_SH","FQ1 2017","FQ1 2017","Currency=INR","Period=FQ","BEST_FPERIOD_OVERRIDE=FQ","FILING_STATUS=OR","EQY_CONSOLIDATED=Y","Sort=A","Dates=H","DateFormat=P","Fill=—","Direction=H","UseDPDF=Y")</f>
        <v>#NAME?</v>
      </c>
      <c r="AS494" s="2" t="e">
        <f ca="1">_xll.BDH($C$478,"ACCOUNTS_RECEIVABLE_5_YR_GROWTH","FQ1 2017","FQ1 2017","Currency=INR","Period=FQ","BEST_FPERIOD_OVERRIDE=FQ","FILING_STATUS=OR","EQY_CONSOLIDATED=Y","Sort=A","Dates=H","DateFormat=P","Fill=—","Direction=H","UseDPDF=Y")</f>
        <v>#NAME?</v>
      </c>
      <c r="AT494" s="2" t="e">
        <f ca="1">_xll.BDH($C$478,"INVENTORY_5_YEAR_GROWTH","FQ1 2017","FQ1 2017","Currency=INR","Period=FQ","BEST_FPERIOD_OVERRIDE=FQ","FILING_STATUS=OR","EQY_CONSOLIDATED=Y","Sort=A","Dates=H","DateFormat=P","Fill=—","Direction=H","UseDPDF=Y")</f>
        <v>#NAME?</v>
      </c>
      <c r="AU494" s="2" t="e">
        <f ca="1">_xll.BDH($C$478,"NET_FIXED_ASSETS_5_YEAR_GROWTH","FQ1 2017","FQ1 2017","Currency=INR","Period=FQ","BEST_FPERIOD_OVERRIDE=FQ","FILING_STATUS=OR","EQY_CONSOLIDATED=Y","Sort=A","Dates=H","DateFormat=P","Fill=—","Direction=H","UseDPDF=Y")</f>
        <v>#NAME?</v>
      </c>
      <c r="AV494" s="2" t="e">
        <f ca="1">_xll.BDH($C$478,"GEO_GROW_TOT_ASSET","FQ1 2017","FQ1 2017","Currency=INR","Period=FQ","BEST_FPERIOD_OVERRIDE=FQ","FILING_STATUS=OR","EQY_CONSOLIDATED=Y","Sort=A","Dates=H","DateFormat=P","Fill=—","Direction=H","UseDPDF=Y")</f>
        <v>#NAME?</v>
      </c>
      <c r="AW494" s="2" t="e">
        <f ca="1">_xll.BDH($C$478,"MODIFIED_WORKING_CPTL_5YR_GRWTH","FQ1 2017","FQ1 2017","Currency=INR","Period=FQ","BEST_FPERIOD_OVERRIDE=FQ","FILING_STATUS=OR","EQY_CONSOLIDATED=Y","Sort=A","Dates=H","DateFormat=P","Fill=—","Direction=H","UseDPDF=Y")</f>
        <v>#NAME?</v>
      </c>
      <c r="AX494" s="2" t="e">
        <f ca="1">_xll.BDH($C$478,"WORKING_CAPITAL_5_YEAR_GROWTH","FQ1 2017","FQ1 2017","Currency=INR","Period=FQ","BEST_FPERIOD_OVERRIDE=FQ","FILING_STATUS=OR","EQY_CONSOLIDATED=Y","Sort=A","Dates=H","DateFormat=P","Fill=—","Direction=H","UseDPDF=Y")</f>
        <v>#NAME?</v>
      </c>
      <c r="AY494" s="2" t="e">
        <f ca="1">_xll.BDH($C$478,"ACCOUNTS_PAYABLE_5_YEAR_GROWTH","FQ1 2017","FQ1 2017","Currency=INR","Period=FQ","BEST_FPERIOD_OVERRIDE=FQ","FILING_STATUS=OR","EQY_CONSOLIDATED=Y","Sort=A","Dates=H","DateFormat=P","Fill=—","Direction=H","UseDPDF=Y")</f>
        <v>#NAME?</v>
      </c>
      <c r="AZ494" s="2" t="e">
        <f ca="1">_xll.BDH($C$478,"SHORT_TERM_DEBT_5_YEAR_GROWTH","FQ1 2017","FQ1 2017","Currency=INR","Period=FQ","BEST_FPERIOD_OVERRIDE=FQ","FILING_STATUS=OR","EQY_CONSOLIDATED=Y","Sort=A","Dates=H","DateFormat=P","Fill=—","Direction=H","UseDPDF=Y")</f>
        <v>#NAME?</v>
      </c>
      <c r="BA494" s="2" t="e">
        <f ca="1">_xll.BDH($C$478,"TOTAL_DEBT_5_YEAR_GROWTH","FQ1 2017","FQ1 2017","Currency=INR","Period=FQ","BEST_FPERIOD_OVERRIDE=FQ","FILING_STATUS=OR","EQY_CONSOLIDATED=Y","Sort=A","Dates=H","DateFormat=P","Fill=—","Direction=H","UseDPDF=Y")</f>
        <v>#NAME?</v>
      </c>
      <c r="BB494" s="2" t="e">
        <f ca="1">_xll.BDH($C$478,"GEO_GROW_TOT_SHRHLDR_EQY","FQ1 2017","FQ1 2017","Currency=INR","Period=FQ","BEST_FPERIOD_OVERRIDE=FQ","FILING_STATUS=OR","EQY_CONSOLIDATED=Y","Sort=A","Dates=H","DateFormat=P","Fill=—","Direction=H","UseDPDF=Y")</f>
        <v>#NAME?</v>
      </c>
      <c r="BC494" s="2" t="e">
        <f ca="1">_xll.BDH($C$478,"TOTAL_CAPITAL_5_YEAR_GROWTH","FQ1 2017","FQ1 2017","Currency=INR","Period=FQ","BEST_FPERIOD_OVERRIDE=FQ","FILING_STATUS=OR","EQY_CONSOLIDATED=Y","Sort=A","Dates=H","DateFormat=P","Fill=—","Direction=H","UseDPDF=Y")</f>
        <v>#NAME?</v>
      </c>
      <c r="BD494" s="2" t="e">
        <f ca="1">_xll.BDH($C$478,"GEO_GROW_BOOK_VAL","FQ1 2017","FQ1 2017","Currency=INR","Period=FQ","BEST_FPERIOD_OVERRIDE=FQ","FILING_STATUS=OR","EQY_CONSOLIDATED=Y","Sort=A","Dates=H","DateFormat=P","Fill=—","Direction=H","UseDPDF=Y")</f>
        <v>#NAME?</v>
      </c>
      <c r="BE494" s="2" t="e">
        <f ca="1">_xll.BDH($C$478,"GEO_GROW_CASH_OPER_ACT","FQ1 2017","FQ1 2017","Currency=INR","Period=FQ","BEST_FPERIOD_OVERRIDE=FQ","FILING_STATUS=OR","EQY_CONSOLIDATED=Y","Sort=A","Dates=H","DateFormat=P","Fill=—","Direction=H","UseDPDF=Y")</f>
        <v>#NAME?</v>
      </c>
      <c r="BF494" s="2" t="e">
        <f ca="1">_xll.BDH($C$478,"REVENUE_SEQUENTIAL_GROWTH","FQ1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494" s="2" t="e">
        <f ca="1">_xll.BDH($C$478,"EBITDA_SEQUENTIAL_GROWTH","FQ1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494" s="2" t="e">
        <f ca="1">_xll.BDH($C$478,"OPERATING_INCOME_SEQ_GROWTH","FQ1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494" s="2" t="e">
        <f ca="1">_xll.BDH($C$478,"NET_INCOME_TO_COMMON_SEQ_GROWTH","FQ1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494" s="2" t="e">
        <f ca="1">_xll.BDH($C$478,"EPS_DILUTED_SEQUENTIAL_GROWTH","FQ1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494" s="2" t="e">
        <f ca="1">_xll.BDH($C$478,"DPS_SEQUENTIAL_GROWTH","FQ1 2017","FQ1 2017","Currency=INR","Period=FQ","BEST_FPERIOD_OVERRIDE=FQ","FILING_STATUS=OR","EQY_CONSOLIDATED=Y","Sort=A","Dates=H","DateFormat=P","Fill=—","Direction=H","UseDPDF=Y")</f>
        <v>#NAME?</v>
      </c>
      <c r="BL494" s="2" t="e">
        <f ca="1">_xll.BDH($C$478,"ACCOUNTS_RECEIVABLE_SEQ_GROWTH","FQ1 2017","FQ1 2017","Currency=INR","Period=FQ","BEST_FPERIOD_OVERRIDE=FQ","FILING_STATUS=OR","EQY_CONSOLIDATED=Y","Sort=A","Dates=H","DateFormat=P","Fill=—","Direction=H","UseDPDF=Y")</f>
        <v>#NAME?</v>
      </c>
      <c r="BM494" s="2" t="e">
        <f ca="1">_xll.BDH($C$478,"INVENTORY_SEQUENTIAL_GROWTH","FQ1 2017","FQ1 2017","Currency=INR","Period=FQ","BEST_FPERIOD_OVERRIDE=FQ","FILING_STATUS=OR","EQY_CONSOLIDATED=Y","Sort=A","Dates=H","DateFormat=P","Fill=—","Direction=H","UseDPDF=Y")</f>
        <v>#NAME?</v>
      </c>
      <c r="BN494" s="2" t="e">
        <f ca="1">_xll.BDH($C$478,"FIXED_ASSETS_SEQUENTIAL_GROWTH","FQ1 2017","FQ1 2017","Currency=INR","Period=FQ","BEST_FPERIOD_OVERRIDE=FQ","FILING_STATUS=OR","EQY_CONSOLIDATED=Y","Sort=A","Dates=H","DateFormat=P","Fill=—","Direction=H","UseDPDF=Y")</f>
        <v>#NAME?</v>
      </c>
      <c r="BO494" s="2" t="e">
        <f ca="1">_xll.BDH($C$478,"TOTAL_ASSETS_SEQUENTIAL_GROWTH","FQ1 2017","FQ1 2017","Currency=INR","Period=FQ","BEST_FPERIOD_OVERRIDE=FQ","FILING_STATUS=OR","EQY_CONSOLIDATED=Y","Sort=A","Dates=H","DateFormat=P","Fill=—","Direction=H","UseDPDF=Y")</f>
        <v>#NAME?</v>
      </c>
      <c r="BP494" s="2" t="e">
        <f ca="1">_xll.BDH($C$478,"MODIFIED_WORKING_CPTL_SEQ_GRWTH","FQ1 2017","FQ1 2017","Currency=INR","Period=FQ","BEST_FPERIOD_OVERRIDE=FQ","FILING_STATUS=OR","EQY_CONSOLIDATED=Y","Sort=A","Dates=H","DateFormat=P","Fill=—","Direction=H","UseDPDF=Y")</f>
        <v>#NAME?</v>
      </c>
      <c r="BQ494" s="2" t="e">
        <f ca="1">_xll.BDH($C$478,"WORKING_CAPITAL_SEQ_GROWTH","FQ1 2017","FQ1 2017","Currency=INR","Period=FQ","BEST_FPERIOD_OVERRIDE=FQ","FILING_STATUS=OR","EQY_CONSOLIDATED=Y","Sort=A","Dates=H","DateFormat=P","Fill=—","Direction=H","UseDPDF=Y")</f>
        <v>#NAME?</v>
      </c>
      <c r="BR494" s="2" t="e">
        <f ca="1">_xll.BDH($C$478,"ACCOUNTS_PAYABLE_SEQ_GROWTH","FQ1 2017","FQ1 2017","Currency=INR","Period=FQ","BEST_FPERIOD_OVERRIDE=FQ","FILING_STATUS=OR","EQY_CONSOLIDATED=Y","Sort=A","Dates=H","DateFormat=P","Fill=—","Direction=H","UseDPDF=Y")</f>
        <v>#NAME?</v>
      </c>
      <c r="BS494" s="2" t="e">
        <f ca="1">_xll.BDH($C$478,"ST_DEBT_SEQUENTIAL_GROWTH","FQ1 2017","FQ1 2017","Currency=INR","Period=FQ","BEST_FPERIOD_OVERRIDE=FQ","FILING_STATUS=OR","EQY_CONSOLIDATED=Y","Sort=A","Dates=H","DateFormat=P","Fill=—","Direction=H","UseDPDF=Y")</f>
        <v>#NAME?</v>
      </c>
      <c r="BT494" s="2" t="e">
        <f ca="1">_xll.BDH($C$478,"TOTAL_DEBT_SEQUENTIAL_GROWTH","FQ1 2017","FQ1 2017","Currency=INR","Period=FQ","BEST_FPERIOD_OVERRIDE=FQ","FILING_STATUS=OR","EQY_CONSOLIDATED=Y","Sort=A","Dates=H","DateFormat=P","Fill=—","Direction=H","UseDPDF=Y")</f>
        <v>#NAME?</v>
      </c>
      <c r="BU494" s="2" t="e">
        <f ca="1">_xll.BDH($C$478,"TOTAL_EQUITY_SEQUENTIAL_GROWTH","FQ1 2017","FQ1 2017","Currency=INR","Period=FQ","BEST_FPERIOD_OVERRIDE=FQ","FILING_STATUS=OR","EQY_CONSOLIDATED=Y","Sort=A","Dates=H","DateFormat=P","Fill=—","Direction=H","UseDPDF=Y")</f>
        <v>#NAME?</v>
      </c>
      <c r="BV494" s="2" t="e">
        <f ca="1">_xll.BDH($C$478,"TOTAL_CAPITAL_SEQUENTIAL_GROWTH","FQ1 2017","FQ1 2017","Currency=INR","Period=FQ","BEST_FPERIOD_OVERRIDE=FQ","FILING_STATUS=OR","EQY_CONSOLIDATED=Y","Sort=A","Dates=H","DateFormat=P","Fill=—","Direction=H","UseDPDF=Y")</f>
        <v>#NAME?</v>
      </c>
      <c r="BW494" s="2" t="e">
        <f ca="1">_xll.BDH($C$478,"BPS_SEQUENTIAL_GROWTH","FQ1 2017","FQ1 2017","Currency=INR","Period=FQ","BEST_FPERIOD_OVERRIDE=FQ","FILING_STATUS=OR","EQY_CONSOLIDATED=Y","Sort=A","Dates=H","DateFormat=P","Fill=—","Direction=H","UseDPDF=Y")</f>
        <v>#NAME?</v>
      </c>
      <c r="BX494" s="2" t="e">
        <f ca="1">_xll.BDH($C$478,"CFO_SEQUENTIAL_GROWTH","FQ1 2017","FQ1 2017","Currency=INR","Period=FQ","BEST_FPERIOD_OVERRIDE=FQ","FILING_STATUS=OR","EQY_CONSOLIDATED=Y","Sort=A","Dates=H","DateFormat=P","Fill=—","Direction=H","UseDPDF=Y")</f>
        <v>#NAME?</v>
      </c>
      <c r="BY494" s="3" t="e">
        <f ca="1">_xll.BDH($C$478,"SHORT_AND_LONG_TERM_DEBT","FQ1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494" s="3" t="e">
        <f ca="1">_xll.BDH($C$478,"BS_ST_BORROW","FQ1 2017","FQ1 2017","Currency=INR","Period=FQ","BEST_FPERIOD_OVERRIDE=FQ","FILING_STATUS=OR","EQY_CONSOLIDATED=Y","SCALING_FORMAT=MLN","Sort=A","Dates=H","DateFormat=P","Fill=—","Direction=H","UseDPDF=Y")</f>
        <v>#NAME?</v>
      </c>
      <c r="CA494" s="3" t="e">
        <f ca="1">_xll.BDH($C$478,"BS_LT_BORROW","FQ1 2017","FQ1 2017","Currency=INR","Period=FQ","BEST_FPERIOD_OVERRIDE=FQ","FILING_STATUS=OR","EQY_CONSOLIDATED=Y","SCALING_FORMAT=MLN","Sort=A","Dates=H","DateFormat=P","Fill=—","Direction=H","UseDPDF=Y")</f>
        <v>#NAME?</v>
      </c>
      <c r="CB494" s="2" t="e">
        <f ca="1">_xll.BDH($C$478,"TOT_DEBT_TO_EBITDA","FQ1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494" s="2" t="e">
        <f ca="1">_xll.BDH($C$478,"NET_DEBT_TO_EBITDA","FQ1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494" s="2" t="e">
        <f ca="1">_xll.BDH($C$478,"TOTAL_DEBT_TO_EBIT","FQ1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494" s="2" t="e">
        <f ca="1">_xll.BDH($C$478,"NET_DEBT_TO_EBIT","FQ1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494" s="2" t="e">
        <f ca="1">_xll.BDH($C$478,"EBITDA_TO_INTEREST_EXPN","FQ1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494" s="2" t="e">
        <f ca="1">_xll.BDH($C$478,"COM_EQY_TO_TOT_ASSET","FQ1 2017","FQ1 2017","Currency=INR","Period=FQ","BEST_FPERIOD_OVERRIDE=FQ","FILING_STATUS=OR","EQY_CONSOLIDATED=Y","Sort=A","Dates=H","DateFormat=P","Fill=—","Direction=H","UseDPDF=Y")</f>
        <v>#NAME?</v>
      </c>
      <c r="CH494" s="2" t="e">
        <f ca="1">_xll.BDH($C$478,"LT_DEBT_TO_TOT_EQY","FQ1 2017","FQ1 2017","Currency=INR","Period=FQ","BEST_FPERIOD_OVERRIDE=FQ","FILING_STATUS=OR","EQY_CONSOLIDATED=Y","Sort=A","Dates=H","DateFormat=P","Fill=—","Direction=H","UseDPDF=Y")</f>
        <v>#NAME?</v>
      </c>
      <c r="CI494" s="2" t="e">
        <f ca="1">_xll.BDH($C$478,"LT_DEBT_TO_TOT_CAP","FQ1 2017","FQ1 2017","Currency=INR","Period=FQ","BEST_FPERIOD_OVERRIDE=FQ","FILING_STATUS=OR","EQY_CONSOLIDATED=Y","Sort=A","Dates=H","DateFormat=P","Fill=—","Direction=H","UseDPDF=Y")</f>
        <v>#NAME?</v>
      </c>
      <c r="CJ494" s="2" t="e">
        <f ca="1">_xll.BDH($C$478,"LT_DEBT_TO_TOT_ASSET","FQ1 2017","FQ1 2017","Currency=INR","Period=FQ","BEST_FPERIOD_OVERRIDE=FQ","FILING_STATUS=OR","EQY_CONSOLIDATED=Y","Sort=A","Dates=H","DateFormat=P","Fill=—","Direction=H","UseDPDF=Y")</f>
        <v>#NAME?</v>
      </c>
      <c r="CK494" s="2" t="e">
        <f ca="1">_xll.BDH($C$478,"TOT_DEBT_TO_TOT_EQY","FQ1 2017","FQ1 2017","Currency=INR","Period=FQ","BEST_FPERIOD_OVERRIDE=FQ","FILING_STATUS=OR","EQY_CONSOLIDATED=Y","Sort=A","Dates=H","DateFormat=P","Fill=—","Direction=H","UseDPDF=Y")</f>
        <v>#NAME?</v>
      </c>
      <c r="CL494" s="2" t="e">
        <f ca="1">_xll.BDH($C$478,"TOT_DEBT_TO_TOT_CAP","FQ1 2017","FQ1 2017","Currency=INR","Period=FQ","BEST_FPERIOD_OVERRIDE=FQ","FILING_STATUS=OR","EQY_CONSOLIDATED=Y","Sort=A","Dates=H","DateFormat=P","Fill=—","Direction=H","UseDPDF=Y")</f>
        <v>#NAME?</v>
      </c>
      <c r="CM494" s="2" t="e">
        <f ca="1">_xll.BDH($C$478,"TOT_DEBT_TO_TOT_ASSET","FQ1 2017","FQ1 2017","Currency=INR","Period=FQ","BEST_FPERIOD_OVERRIDE=FQ","FILING_STATUS=OR","EQY_CONSOLIDATED=Y","Sort=A","Dates=H","DateFormat=P","Fill=—","Direction=H","UseDPDF=Y")</f>
        <v>#NAME?</v>
      </c>
      <c r="CN494" s="2" t="e">
        <f ca="1">_xll.BDH($C$478,"NET_DEBT_TO_SHRHLDR_EQTY","FQ1 2017","FQ1 2017","Currency=INR","Period=FQ","BEST_FPERIOD_OVERRIDE=FQ","FILING_STATUS=OR","EQY_CONSOLIDATED=Y","Sort=A","Dates=H","DateFormat=P","Fill=—","Direction=H","UseDPDF=Y")</f>
        <v>#NAME?</v>
      </c>
      <c r="CO494" s="2" t="e">
        <f ca="1">_xll.BDH($C$478,"NET_DEBT_%_CAPITAL","FQ1 2017","FQ1 2017","Currency=INR","Period=FQ","BEST_FPERIOD_OVERRIDE=FQ","FILING_STATUS=OR","EQY_CONSOLIDATED=Y","Sort=A","Dates=H","DateFormat=P","Fill=—","Direction=H","UseDPDF=Y")</f>
        <v>#NAME?</v>
      </c>
      <c r="CP494" s="3" t="e">
        <f ca="1">_xll.BDH($C$478,"EBITDA","FQ1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494" s="3" t="e">
        <f ca="1">_xll.BDH($C$478,"EBITDA_AFTER_CAPEX","FQ1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494" s="3" t="e">
        <f ca="1">_xll.BDH($C$478,"IS_OPER_INC","FQ1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494" s="2" t="e">
        <f ca="1">_xll.BDH($C$478,"CASH_RATIO","FQ1 2017","FQ1 2017","Currency=INR","Period=FQ","BEST_FPERIOD_OVERRIDE=FQ","FILING_STATUS=OR","EQY_CONSOLIDATED=Y","Sort=A","Dates=H","DateFormat=P","Fill=—","Direction=H","UseDPDF=Y")</f>
        <v>#NAME?</v>
      </c>
      <c r="CT494" s="2" t="e">
        <f ca="1">_xll.BDH($C$478,"CUR_RATIO","FQ1 2017","FQ1 2017","Currency=INR","Period=FQ","BEST_FPERIOD_OVERRIDE=FQ","FILING_STATUS=OR","EQY_CONSOLIDATED=Y","Sort=A","Dates=H","DateFormat=P","Fill=—","Direction=H","UseDPDF=Y")</f>
        <v>#NAME?</v>
      </c>
      <c r="CU494" s="2" t="e">
        <f ca="1">_xll.BDH($C$478,"QUICK_RATIO","FQ1 2017","FQ1 2017","Currency=INR","Period=FQ","BEST_FPERIOD_OVERRIDE=FQ","FILING_STATUS=OR","EQY_CONSOLIDATED=Y","Sort=A","Dates=H","DateFormat=P","Fill=—","Direction=H","UseDPDF=Y")</f>
        <v>#NAME?</v>
      </c>
      <c r="CV494" s="2" t="e">
        <f ca="1">_xll.BDH($C$478,"ALTMAN_Z_SCORE","FQ1 2017","FQ1 2017","Currency=INR","Period=FQ","BEST_FPERIOD_OVERRIDE=FQ","FILING_STATUS=OR","EQY_CONSOLIDATED=Y","Sort=A","Dates=H","DateFormat=P","Fill=—","Direction=H","UseDPDF=Y")</f>
        <v>#NAME?</v>
      </c>
      <c r="CW494" s="4" t="e">
        <f ca="1">_xll.BDH($C$478,"ACCT_RCV_TURN","FQ1 2017","FQ1 2017","Currency=INR","Period=FQ","BEST_FPERIOD_OVERRIDE=FQ","FILING_STATUS=OR","EQY_CONSOLIDATED=Y","FA_ADJUSTED=GAAP","Sort=A","Dates=H","DateFormat=P","Fill=—","Direction=H","UseDPDF=Y")</f>
        <v>#NAME?</v>
      </c>
      <c r="CX494" s="2" t="e">
        <f ca="1">_xll.BDH($C$478,"ACCT_RCV_DAYS","FQ1 2017","FQ1 2017","Currency=INR","Period=FQ","BEST_FPERIOD_OVERRIDE=FQ","FILING_STATUS=OR","EQY_CONSOLIDATED=Y","FA_ADJUSTED=GAAP","Sort=A","Dates=H","DateFormat=P","Fill=—","Direction=H","UseDPDF=Y")</f>
        <v>#NAME?</v>
      </c>
      <c r="CY494" s="4" t="e">
        <f ca="1">_xll.BDH($C$478,"INVENT_TURN","FQ1 2017","FQ1 2017","Currency=INR","Period=FQ","BEST_FPERIOD_OVERRIDE=FQ","FILING_STATUS=OR","EQY_CONSOLIDATED=Y","FA_ADJUSTED=GAAP","Sort=A","Dates=H","DateFormat=P","Fill=—","Direction=H","UseDPDF=Y")</f>
        <v>#NAME?</v>
      </c>
      <c r="CZ494" s="2" t="e">
        <f ca="1">_xll.BDH($C$478,"INVENT_DAYS","FQ1 2017","FQ1 2017","Currency=INR","Period=FQ","BEST_FPERIOD_OVERRIDE=FQ","FILING_STATUS=OR","EQY_CONSOLIDATED=Y","FA_ADJUSTED=GAAP","Sort=A","Dates=H","DateFormat=P","Fill=—","Direction=H","UseDPDF=Y")</f>
        <v>#NAME?</v>
      </c>
      <c r="DA494" s="4" t="e">
        <f ca="1">_xll.BDH($C$478,"ACCOUNTS_PAYABLE_TURNOVER","FQ1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494" s="2" t="e">
        <f ca="1">_xll.BDH($C$478,"ACCOUNTS_PAYABLE_TURNOVER_DAYS","FQ1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494" s="4" t="e">
        <f ca="1">_xll.BDH($C$478,"CASH_CONVERSION_CYCLE","FQ1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494" s="4" t="e">
        <f ca="1">_xll.BDH($C$478,"INV_TO_CASH_DAYS","FQ1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494" s="5" t="e">
        <f ca="1">_xll.BDH($C$478,"BS_INVENTORIES","FQ1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494" s="3" t="e">
        <f ca="1">_xll.BDH($C$478,"INVTRY_RAW_MATERIALS","FQ1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494" s="3" t="e">
        <f ca="1">_xll.BDH($C$478,"INVTRY_IN_PROGRESS","FQ1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494" s="3" t="e">
        <f ca="1">_xll.BDH($C$478,"INVTRY_FINISHED_GOODS","FQ1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494" s="3" t="e">
        <f ca="1">_xll.BDH($C$478,"BS_OTHER_INV","FQ1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495" spans="1:113" x14ac:dyDescent="0.3">
      <c r="A495" s="6"/>
      <c r="B495" s="6"/>
      <c r="C495" s="6"/>
      <c r="D495" s="6"/>
      <c r="E495" t="s">
        <v>79</v>
      </c>
      <c r="F495" t="e">
        <f ca="1">_xll.BDH($C$478,"RETURN_COM_EQY","FQ2 2017","FQ2 2017","Currency=INR","Period=FQ","BEST_FPERIOD_OVERRIDE=FQ","FILING_STATUS=OR","EQY_CONSOLIDATED=Y","FA_ADJUSTED=GAAP","Sort=A","Dates=H","DateFormat=P","Fill=—","Direction=H","UseDPDF=Y")</f>
        <v>#NAME?</v>
      </c>
      <c r="G495" t="e">
        <f ca="1">_xll.BDH($C$478,"RETURN_ON_ASSET","FQ2 2017","FQ2 2017","Currency=INR","Period=FQ","BEST_FPERIOD_OVERRIDE=FQ","FILING_STATUS=OR","EQY_CONSOLIDATED=Y","FA_ADJUSTED=GAAP","Sort=A","Dates=H","DateFormat=P","Fill=—","Direction=H","UseDPDF=Y")</f>
        <v>#NAME?</v>
      </c>
      <c r="H495" t="e">
        <f ca="1">_xll.BDH($C$478,"RETURN_ON_CAP","FQ2 2017","FQ2 2017","Currency=INR","Period=FQ","BEST_FPERIOD_OVERRIDE=FQ","FILING_STATUS=OR","EQY_CONSOLIDATED=Y","FA_ADJUSTED=GAAP","Sort=A","Dates=H","DateFormat=P","Fill=—","Direction=H","UseDPDF=Y")</f>
        <v>#NAME?</v>
      </c>
      <c r="I495" t="e">
        <f ca="1">_xll.BDH($C$478,"RETURN_ON_INV_CAPITAL","FQ2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495" t="e">
        <f ca="1">_xll.BDH($C$478,"EBITDA_TO_REVENUE","FQ2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495" t="e">
        <f ca="1">_xll.BDH($C$478,"OPER_MARGIN","FQ2 2017","FQ2 2017","Currency=INR","Period=FQ","BEST_FPERIOD_OVERRIDE=FQ","FILING_STATUS=OR","EQY_CONSOLIDATED=Y","FA_ADJUSTED=GAAP","Sort=A","Dates=H","DateFormat=P","Fill=—","Direction=H","UseDPDF=Y")</f>
        <v>#NAME?</v>
      </c>
      <c r="L495" t="e">
        <f ca="1">_xll.BDH($C$478,"INCREMENTAL_OPERATING_MARGIN","FQ2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495" t="e">
        <f ca="1">_xll.BDH($C$478,"PRETAX_INC_TO_NET_SALES","FQ2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495" t="e">
        <f ca="1">_xll.BDH($C$478,"INC_BEF_XO_ITEMS_TO_NET_SALES","FQ2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495" t="e">
        <f ca="1">_xll.BDH($C$478,"PROF_MARGIN","FQ2 2017","FQ2 2017","Currency=INR","Period=FQ","BEST_FPERIOD_OVERRIDE=FQ","FILING_STATUS=OR","EQY_CONSOLIDATED=Y","FA_ADJUSTED=GAAP","Sort=A","Dates=H","DateFormat=P","Fill=—","Direction=H","UseDPDF=Y")</f>
        <v>#NAME?</v>
      </c>
      <c r="P495" t="e">
        <f ca="1">_xll.BDH($C$478,"NET_INCOME_TO_COMMON_MARGIN","FQ2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495" t="e">
        <f ca="1">_xll.BDH($C$478,"EFF_TAX_RATE","FQ2 2017","FQ2 2017","Currency=INR","Period=FQ","BEST_FPERIOD_OVERRIDE=FQ","FILING_STATUS=OR","EQY_CONSOLIDATED=Y","FA_ADJUSTED=GAAP","Sort=A","Dates=H","DateFormat=P","Fill=—","Direction=H","UseDPDF=Y")</f>
        <v>#NAME?</v>
      </c>
      <c r="R495" t="e">
        <f ca="1">_xll.BDH($C$478,"DVD_PAYOUT_RATIO","FQ2 2017","FQ2 2017","Currency=INR","Period=FQ","BEST_FPERIOD_OVERRIDE=FQ","FILING_STATUS=OR","EQY_CONSOLIDATED=Y","FA_ADJUSTED=GAAP","Sort=A","Dates=H","DateFormat=P","Fill=—","Direction=H","UseDPDF=Y")</f>
        <v>#NAME?</v>
      </c>
      <c r="S495" t="e">
        <f ca="1">_xll.BDH($C$478,"SUSTAIN_GROWTH_RT","FQ2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495" s="2" t="e">
        <f ca="1">_xll.BDH($C$478,"SALES_GROWTH","FQ2 2017","FQ2 2017","Currency=INR","Period=FQ","BEST_FPERIOD_OVERRIDE=FQ","FILING_STATUS=OR","EQY_CONSOLIDATED=Y","FA_ADJUSTED=GAAP","Sort=A","Dates=H","DateFormat=P","Fill=—","Direction=H","UseDPDF=Y")</f>
        <v>#NAME?</v>
      </c>
      <c r="U495" s="2" t="e">
        <f ca="1">_xll.BDH($C$478,"EBITDA_GROWTH","FQ2 2017","FQ2 2017","Currency=INR","Period=FQ","BEST_FPERIOD_OVERRIDE=FQ","FILING_STATUS=OR","EQY_CONSOLIDATED=Y","FA_ADJUSTED=GAAP","Sort=A","Dates=H","DateFormat=P","Fill=—","Direction=H","UseDPDF=Y")</f>
        <v>#NAME?</v>
      </c>
      <c r="V495" s="2" t="e">
        <f ca="1">_xll.BDH($C$478,"OPER_INC_GROWTH","FQ2 2017","FQ2 2017","Currency=INR","Period=FQ","BEST_FPERIOD_OVERRIDE=FQ","FILING_STATUS=OR","EQY_CONSOLIDATED=Y","FA_ADJUSTED=GAAP","Sort=A","Dates=H","DateFormat=P","Fill=—","Direction=H","UseDPDF=Y")</f>
        <v>#NAME?</v>
      </c>
      <c r="W495" s="2" t="e">
        <f ca="1">_xll.BDH($C$478,"EARN_FOR_COM_GROWTH","FQ2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495" s="2" t="e">
        <f ca="1">_xll.BDH($C$478,"DILUTED_EPS_AFT_XO_ITEMS_GROWTH","FQ2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495" s="2" t="e">
        <f ca="1">_xll.BDH($C$478,"DIVIDEND_PER_SHARE_1_YEAR_GROWTH","FQ2 2017","FQ2 2017","Currency=INR","Period=FQ","BEST_FPERIOD_OVERRIDE=FQ","FILING_STATUS=OR","EQY_CONSOLIDATED=Y","Sort=A","Dates=H","DateFormat=P","Fill=—","Direction=H","UseDPDF=Y")</f>
        <v>#NAME?</v>
      </c>
      <c r="Z495" s="2" t="e">
        <f ca="1">_xll.BDH($C$478,"ACCOUNTS_RECEIVABLE_GROWTH","FQ2 2017","FQ2 2017","Currency=INR","Period=FQ","BEST_FPERIOD_OVERRIDE=FQ","FILING_STATUS=OR","EQY_CONSOLIDATED=Y","Sort=A","Dates=H","DateFormat=P","Fill=—","Direction=H","UseDPDF=Y")</f>
        <v>#NAME?</v>
      </c>
      <c r="AA495" s="2" t="e">
        <f ca="1">_xll.BDH($C$478,"INVENTORY_GROWTH","FQ2 2017","FQ2 2017","Currency=INR","Period=FQ","BEST_FPERIOD_OVERRIDE=FQ","FILING_STATUS=OR","EQY_CONSOLIDATED=Y","Sort=A","Dates=H","DateFormat=P","Fill=—","Direction=H","UseDPDF=Y")</f>
        <v>#NAME?</v>
      </c>
      <c r="AB495" s="2" t="e">
        <f ca="1">_xll.BDH($C$478,"NET_FIXED_ASSETS_1_YEAR_GROWTH","FQ2 2017","FQ2 2017","Currency=INR","Period=FQ","BEST_FPERIOD_OVERRIDE=FQ","FILING_STATUS=OR","EQY_CONSOLIDATED=Y","Sort=A","Dates=H","DateFormat=P","Fill=—","Direction=H","UseDPDF=Y")</f>
        <v>#NAME?</v>
      </c>
      <c r="AC495" s="2" t="e">
        <f ca="1">_xll.BDH($C$478,"ASSET_GROWTH","FQ2 2017","FQ2 2017","Currency=INR","Period=FQ","BEST_FPERIOD_OVERRIDE=FQ","FILING_STATUS=OR","EQY_CONSOLIDATED=Y","Sort=A","Dates=H","DateFormat=P","Fill=—","Direction=H","UseDPDF=Y")</f>
        <v>#NAME?</v>
      </c>
      <c r="AD495" s="2" t="e">
        <f ca="1">_xll.BDH($C$478,"MODIFIED_WORK_CAP_GROWTH","FQ2 2017","FQ2 2017","Currency=INR","Period=FQ","BEST_FPERIOD_OVERRIDE=FQ","FILING_STATUS=OR","EQY_CONSOLIDATED=Y","Sort=A","Dates=H","DateFormat=P","Fill=—","Direction=H","UseDPDF=Y")</f>
        <v>#NAME?</v>
      </c>
      <c r="AE495" s="2" t="e">
        <f ca="1">_xll.BDH($C$478,"WORK_CAP_GROWTH","FQ2 2017","FQ2 2017","Currency=INR","Period=FQ","BEST_FPERIOD_OVERRIDE=FQ","FILING_STATUS=OR","EQY_CONSOLIDATED=Y","Sort=A","Dates=H","DateFormat=P","Fill=—","Direction=H","UseDPDF=Y")</f>
        <v>#NAME?</v>
      </c>
      <c r="AF495" s="2" t="e">
        <f ca="1">_xll.BDH($C$478,"ACCOUNTS_PAYABLE_GROWTH_1YR","FQ2 2017","FQ2 2017","Currency=INR","Period=FQ","BEST_FPERIOD_OVERRIDE=FQ","FILING_STATUS=OR","EQY_CONSOLIDATED=Y","Sort=A","Dates=H","DateFormat=P","Fill=—","Direction=H","UseDPDF=Y")</f>
        <v>#NAME?</v>
      </c>
      <c r="AG495" s="2" t="e">
        <f ca="1">_xll.BDH($C$478,"SHORT_TERM_DEBT_1_YEAR_GROWTH","FQ2 2017","FQ2 2017","Currency=INR","Period=FQ","BEST_FPERIOD_OVERRIDE=FQ","FILING_STATUS=OR","EQY_CONSOLIDATED=Y","Sort=A","Dates=H","DateFormat=P","Fill=—","Direction=H","UseDPDF=Y")</f>
        <v>#NAME?</v>
      </c>
      <c r="AH495" s="2" t="e">
        <f ca="1">_xll.BDH($C$478,"TOTAL_DEBT_1_YEAR_GROWTH","FQ2 2017","FQ2 2017","Currency=INR","Period=FQ","BEST_FPERIOD_OVERRIDE=FQ","FILING_STATUS=OR","EQY_CONSOLIDATED=Y","Sort=A","Dates=H","DateFormat=P","Fill=—","Direction=H","UseDPDF=Y")</f>
        <v>#NAME?</v>
      </c>
      <c r="AI495" s="2" t="e">
        <f ca="1">_xll.BDH($C$478,"TOTAL_EQUITY_1_YEAR_GROWTH","FQ2 2017","FQ2 2017","Currency=INR","Period=FQ","BEST_FPERIOD_OVERRIDE=FQ","FILING_STATUS=OR","EQY_CONSOLIDATED=Y","Sort=A","Dates=H","DateFormat=P","Fill=—","Direction=H","UseDPDF=Y")</f>
        <v>#NAME?</v>
      </c>
      <c r="AJ495" s="2" t="e">
        <f ca="1">_xll.BDH($C$478,"GROWTH_IN_CAP","FQ2 2017","FQ2 2017","Currency=INR","Period=FQ","BEST_FPERIOD_OVERRIDE=FQ","FILING_STATUS=OR","EQY_CONSOLIDATED=Y","Sort=A","Dates=H","DateFormat=P","Fill=—","Direction=H","UseDPDF=Y")</f>
        <v>#NAME?</v>
      </c>
      <c r="AK495" s="2" t="e">
        <f ca="1">_xll.BDH($C$478,"BVPS_GROWTH","FQ2 2017","FQ2 2017","Currency=INR","Period=FQ","BEST_FPERIOD_OVERRIDE=FQ","FILING_STATUS=OR","EQY_CONSOLIDATED=Y","Sort=A","Dates=H","DateFormat=P","Fill=—","Direction=H","UseDPDF=Y")</f>
        <v>#NAME?</v>
      </c>
      <c r="AL495" s="2" t="e">
        <f ca="1">_xll.BDH($C$478,"CASH_FLOW_GROWTH","FQ2 2017","FQ2 2017","Currency=INR","Period=FQ","BEST_FPERIOD_OVERRIDE=FQ","FILING_STATUS=OR","EQY_CONSOLIDATED=Y","Sort=A","Dates=H","DateFormat=P","Fill=—","Direction=H","UseDPDF=Y")</f>
        <v>#NAME?</v>
      </c>
      <c r="AM495" s="2" t="e">
        <f ca="1">_xll.BDH($C$478,"GEO_GROW_NET_SALES","FQ2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495" s="2" t="e">
        <f ca="1">_xll.BDH($C$478,"GEO_GROW_EBITDA","FQ2 2017","FQ2 2017","Currency=INR","Period=FQ","BEST_FPERIOD_OVERRIDE=FQ","FILING_STATUS=OR","EQY_CONSOLIDATED=Y","FA_ADJUSTED=GAAP","Sort=A","Dates=H","DateFormat=P","Fill=—","Direction=H","UseDPDF=Y")</f>
        <v>#NAME?</v>
      </c>
      <c r="AO495" s="2" t="e">
        <f ca="1">_xll.BDH($C$478,"GEO_GROW_OPER_INC","FQ2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495" s="2" t="e">
        <f ca="1">_xll.BDH($C$478,"NET_INCOME_TO_COMMON_5_YR_GROWTH","FQ2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495" s="2" t="e">
        <f ca="1">_xll.BDH($C$478,"5Y_GEO_GROWTH_DILUTED_EPS","FQ2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495" s="2" t="e">
        <f ca="1">_xll.BDH($C$478,"GEO_GROW_DVD_PER_SH","FQ2 2017","FQ2 2017","Currency=INR","Period=FQ","BEST_FPERIOD_OVERRIDE=FQ","FILING_STATUS=OR","EQY_CONSOLIDATED=Y","Sort=A","Dates=H","DateFormat=P","Fill=—","Direction=H","UseDPDF=Y")</f>
        <v>#NAME?</v>
      </c>
      <c r="AS495" s="2" t="e">
        <f ca="1">_xll.BDH($C$478,"ACCOUNTS_RECEIVABLE_5_YR_GROWTH","FQ2 2017","FQ2 2017","Currency=INR","Period=FQ","BEST_FPERIOD_OVERRIDE=FQ","FILING_STATUS=OR","EQY_CONSOLIDATED=Y","Sort=A","Dates=H","DateFormat=P","Fill=—","Direction=H","UseDPDF=Y")</f>
        <v>#NAME?</v>
      </c>
      <c r="AT495" s="2" t="e">
        <f ca="1">_xll.BDH($C$478,"INVENTORY_5_YEAR_GROWTH","FQ2 2017","FQ2 2017","Currency=INR","Period=FQ","BEST_FPERIOD_OVERRIDE=FQ","FILING_STATUS=OR","EQY_CONSOLIDATED=Y","Sort=A","Dates=H","DateFormat=P","Fill=—","Direction=H","UseDPDF=Y")</f>
        <v>#NAME?</v>
      </c>
      <c r="AU495" s="2" t="e">
        <f ca="1">_xll.BDH($C$478,"NET_FIXED_ASSETS_5_YEAR_GROWTH","FQ2 2017","FQ2 2017","Currency=INR","Period=FQ","BEST_FPERIOD_OVERRIDE=FQ","FILING_STATUS=OR","EQY_CONSOLIDATED=Y","Sort=A","Dates=H","DateFormat=P","Fill=—","Direction=H","UseDPDF=Y")</f>
        <v>#NAME?</v>
      </c>
      <c r="AV495" s="2" t="e">
        <f ca="1">_xll.BDH($C$478,"GEO_GROW_TOT_ASSET","FQ2 2017","FQ2 2017","Currency=INR","Period=FQ","BEST_FPERIOD_OVERRIDE=FQ","FILING_STATUS=OR","EQY_CONSOLIDATED=Y","Sort=A","Dates=H","DateFormat=P","Fill=—","Direction=H","UseDPDF=Y")</f>
        <v>#NAME?</v>
      </c>
      <c r="AW495" s="2" t="e">
        <f ca="1">_xll.BDH($C$478,"MODIFIED_WORKING_CPTL_5YR_GRWTH","FQ2 2017","FQ2 2017","Currency=INR","Period=FQ","BEST_FPERIOD_OVERRIDE=FQ","FILING_STATUS=OR","EQY_CONSOLIDATED=Y","Sort=A","Dates=H","DateFormat=P","Fill=—","Direction=H","UseDPDF=Y")</f>
        <v>#NAME?</v>
      </c>
      <c r="AX495" s="2" t="e">
        <f ca="1">_xll.BDH($C$478,"WORKING_CAPITAL_5_YEAR_GROWTH","FQ2 2017","FQ2 2017","Currency=INR","Period=FQ","BEST_FPERIOD_OVERRIDE=FQ","FILING_STATUS=OR","EQY_CONSOLIDATED=Y","Sort=A","Dates=H","DateFormat=P","Fill=—","Direction=H","UseDPDF=Y")</f>
        <v>#NAME?</v>
      </c>
      <c r="AY495" s="2" t="e">
        <f ca="1">_xll.BDH($C$478,"ACCOUNTS_PAYABLE_5_YEAR_GROWTH","FQ2 2017","FQ2 2017","Currency=INR","Period=FQ","BEST_FPERIOD_OVERRIDE=FQ","FILING_STATUS=OR","EQY_CONSOLIDATED=Y","Sort=A","Dates=H","DateFormat=P","Fill=—","Direction=H","UseDPDF=Y")</f>
        <v>#NAME?</v>
      </c>
      <c r="AZ495" s="2" t="e">
        <f ca="1">_xll.BDH($C$478,"SHORT_TERM_DEBT_5_YEAR_GROWTH","FQ2 2017","FQ2 2017","Currency=INR","Period=FQ","BEST_FPERIOD_OVERRIDE=FQ","FILING_STATUS=OR","EQY_CONSOLIDATED=Y","Sort=A","Dates=H","DateFormat=P","Fill=—","Direction=H","UseDPDF=Y")</f>
        <v>#NAME?</v>
      </c>
      <c r="BA495" s="2" t="e">
        <f ca="1">_xll.BDH($C$478,"TOTAL_DEBT_5_YEAR_GROWTH","FQ2 2017","FQ2 2017","Currency=INR","Period=FQ","BEST_FPERIOD_OVERRIDE=FQ","FILING_STATUS=OR","EQY_CONSOLIDATED=Y","Sort=A","Dates=H","DateFormat=P","Fill=—","Direction=H","UseDPDF=Y")</f>
        <v>#NAME?</v>
      </c>
      <c r="BB495" s="2" t="e">
        <f ca="1">_xll.BDH($C$478,"GEO_GROW_TOT_SHRHLDR_EQY","FQ2 2017","FQ2 2017","Currency=INR","Period=FQ","BEST_FPERIOD_OVERRIDE=FQ","FILING_STATUS=OR","EQY_CONSOLIDATED=Y","Sort=A","Dates=H","DateFormat=P","Fill=—","Direction=H","UseDPDF=Y")</f>
        <v>#NAME?</v>
      </c>
      <c r="BC495" s="2" t="e">
        <f ca="1">_xll.BDH($C$478,"TOTAL_CAPITAL_5_YEAR_GROWTH","FQ2 2017","FQ2 2017","Currency=INR","Period=FQ","BEST_FPERIOD_OVERRIDE=FQ","FILING_STATUS=OR","EQY_CONSOLIDATED=Y","Sort=A","Dates=H","DateFormat=P","Fill=—","Direction=H","UseDPDF=Y")</f>
        <v>#NAME?</v>
      </c>
      <c r="BD495" s="2" t="e">
        <f ca="1">_xll.BDH($C$478,"GEO_GROW_BOOK_VAL","FQ2 2017","FQ2 2017","Currency=INR","Period=FQ","BEST_FPERIOD_OVERRIDE=FQ","FILING_STATUS=OR","EQY_CONSOLIDATED=Y","Sort=A","Dates=H","DateFormat=P","Fill=—","Direction=H","UseDPDF=Y")</f>
        <v>#NAME?</v>
      </c>
      <c r="BE495" s="2" t="e">
        <f ca="1">_xll.BDH($C$478,"GEO_GROW_CASH_OPER_ACT","FQ2 2017","FQ2 2017","Currency=INR","Period=FQ","BEST_FPERIOD_OVERRIDE=FQ","FILING_STATUS=OR","EQY_CONSOLIDATED=Y","Sort=A","Dates=H","DateFormat=P","Fill=—","Direction=H","UseDPDF=Y")</f>
        <v>#NAME?</v>
      </c>
      <c r="BF495" s="2" t="e">
        <f ca="1">_xll.BDH($C$478,"REVENUE_SEQUENTIAL_GROWTH","FQ2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495" s="2" t="e">
        <f ca="1">_xll.BDH($C$478,"EBITDA_SEQUENTIAL_GROWTH","FQ2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495" s="2" t="e">
        <f ca="1">_xll.BDH($C$478,"OPERATING_INCOME_SEQ_GROWTH","FQ2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495" s="2" t="e">
        <f ca="1">_xll.BDH($C$478,"NET_INCOME_TO_COMMON_SEQ_GROWTH","FQ2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495" s="2" t="e">
        <f ca="1">_xll.BDH($C$478,"EPS_DILUTED_SEQUENTIAL_GROWTH","FQ2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495" s="2" t="e">
        <f ca="1">_xll.BDH($C$478,"DPS_SEQUENTIAL_GROWTH","FQ2 2017","FQ2 2017","Currency=INR","Period=FQ","BEST_FPERIOD_OVERRIDE=FQ","FILING_STATUS=OR","EQY_CONSOLIDATED=Y","Sort=A","Dates=H","DateFormat=P","Fill=—","Direction=H","UseDPDF=Y")</f>
        <v>#NAME?</v>
      </c>
      <c r="BL495" s="2" t="e">
        <f ca="1">_xll.BDH($C$478,"ACCOUNTS_RECEIVABLE_SEQ_GROWTH","FQ2 2017","FQ2 2017","Currency=INR","Period=FQ","BEST_FPERIOD_OVERRIDE=FQ","FILING_STATUS=OR","EQY_CONSOLIDATED=Y","Sort=A","Dates=H","DateFormat=P","Fill=—","Direction=H","UseDPDF=Y")</f>
        <v>#NAME?</v>
      </c>
      <c r="BM495" s="2" t="e">
        <f ca="1">_xll.BDH($C$478,"INVENTORY_SEQUENTIAL_GROWTH","FQ2 2017","FQ2 2017","Currency=INR","Period=FQ","BEST_FPERIOD_OVERRIDE=FQ","FILING_STATUS=OR","EQY_CONSOLIDATED=Y","Sort=A","Dates=H","DateFormat=P","Fill=—","Direction=H","UseDPDF=Y")</f>
        <v>#NAME?</v>
      </c>
      <c r="BN495" s="2" t="e">
        <f ca="1">_xll.BDH($C$478,"FIXED_ASSETS_SEQUENTIAL_GROWTH","FQ2 2017","FQ2 2017","Currency=INR","Period=FQ","BEST_FPERIOD_OVERRIDE=FQ","FILING_STATUS=OR","EQY_CONSOLIDATED=Y","Sort=A","Dates=H","DateFormat=P","Fill=—","Direction=H","UseDPDF=Y")</f>
        <v>#NAME?</v>
      </c>
      <c r="BO495" s="2" t="e">
        <f ca="1">_xll.BDH($C$478,"TOTAL_ASSETS_SEQUENTIAL_GROWTH","FQ2 2017","FQ2 2017","Currency=INR","Period=FQ","BEST_FPERIOD_OVERRIDE=FQ","FILING_STATUS=OR","EQY_CONSOLIDATED=Y","Sort=A","Dates=H","DateFormat=P","Fill=—","Direction=H","UseDPDF=Y")</f>
        <v>#NAME?</v>
      </c>
      <c r="BP495" s="2" t="e">
        <f ca="1">_xll.BDH($C$478,"MODIFIED_WORKING_CPTL_SEQ_GRWTH","FQ2 2017","FQ2 2017","Currency=INR","Period=FQ","BEST_FPERIOD_OVERRIDE=FQ","FILING_STATUS=OR","EQY_CONSOLIDATED=Y","Sort=A","Dates=H","DateFormat=P","Fill=—","Direction=H","UseDPDF=Y")</f>
        <v>#NAME?</v>
      </c>
      <c r="BQ495" s="2" t="e">
        <f ca="1">_xll.BDH($C$478,"WORKING_CAPITAL_SEQ_GROWTH","FQ2 2017","FQ2 2017","Currency=INR","Period=FQ","BEST_FPERIOD_OVERRIDE=FQ","FILING_STATUS=OR","EQY_CONSOLIDATED=Y","Sort=A","Dates=H","DateFormat=P","Fill=—","Direction=H","UseDPDF=Y")</f>
        <v>#NAME?</v>
      </c>
      <c r="BR495" s="2" t="e">
        <f ca="1">_xll.BDH($C$478,"ACCOUNTS_PAYABLE_SEQ_GROWTH","FQ2 2017","FQ2 2017","Currency=INR","Period=FQ","BEST_FPERIOD_OVERRIDE=FQ","FILING_STATUS=OR","EQY_CONSOLIDATED=Y","Sort=A","Dates=H","DateFormat=P","Fill=—","Direction=H","UseDPDF=Y")</f>
        <v>#NAME?</v>
      </c>
      <c r="BS495" s="2" t="e">
        <f ca="1">_xll.BDH($C$478,"ST_DEBT_SEQUENTIAL_GROWTH","FQ2 2017","FQ2 2017","Currency=INR","Period=FQ","BEST_FPERIOD_OVERRIDE=FQ","FILING_STATUS=OR","EQY_CONSOLIDATED=Y","Sort=A","Dates=H","DateFormat=P","Fill=—","Direction=H","UseDPDF=Y")</f>
        <v>#NAME?</v>
      </c>
      <c r="BT495" s="2" t="e">
        <f ca="1">_xll.BDH($C$478,"TOTAL_DEBT_SEQUENTIAL_GROWTH","FQ2 2017","FQ2 2017","Currency=INR","Period=FQ","BEST_FPERIOD_OVERRIDE=FQ","FILING_STATUS=OR","EQY_CONSOLIDATED=Y","Sort=A","Dates=H","DateFormat=P","Fill=—","Direction=H","UseDPDF=Y")</f>
        <v>#NAME?</v>
      </c>
      <c r="BU495" s="2" t="e">
        <f ca="1">_xll.BDH($C$478,"TOTAL_EQUITY_SEQUENTIAL_GROWTH","FQ2 2017","FQ2 2017","Currency=INR","Period=FQ","BEST_FPERIOD_OVERRIDE=FQ","FILING_STATUS=OR","EQY_CONSOLIDATED=Y","Sort=A","Dates=H","DateFormat=P","Fill=—","Direction=H","UseDPDF=Y")</f>
        <v>#NAME?</v>
      </c>
      <c r="BV495" s="2" t="e">
        <f ca="1">_xll.BDH($C$478,"TOTAL_CAPITAL_SEQUENTIAL_GROWTH","FQ2 2017","FQ2 2017","Currency=INR","Period=FQ","BEST_FPERIOD_OVERRIDE=FQ","FILING_STATUS=OR","EQY_CONSOLIDATED=Y","Sort=A","Dates=H","DateFormat=P","Fill=—","Direction=H","UseDPDF=Y")</f>
        <v>#NAME?</v>
      </c>
      <c r="BW495" s="2" t="e">
        <f ca="1">_xll.BDH($C$478,"BPS_SEQUENTIAL_GROWTH","FQ2 2017","FQ2 2017","Currency=INR","Period=FQ","BEST_FPERIOD_OVERRIDE=FQ","FILING_STATUS=OR","EQY_CONSOLIDATED=Y","Sort=A","Dates=H","DateFormat=P","Fill=—","Direction=H","UseDPDF=Y")</f>
        <v>#NAME?</v>
      </c>
      <c r="BX495" s="2" t="e">
        <f ca="1">_xll.BDH($C$478,"CFO_SEQUENTIAL_GROWTH","FQ2 2017","FQ2 2017","Currency=INR","Period=FQ","BEST_FPERIOD_OVERRIDE=FQ","FILING_STATUS=OR","EQY_CONSOLIDATED=Y","Sort=A","Dates=H","DateFormat=P","Fill=—","Direction=H","UseDPDF=Y")</f>
        <v>#NAME?</v>
      </c>
      <c r="BY495" s="3" t="e">
        <f ca="1">_xll.BDH($C$478,"SHORT_AND_LONG_TERM_DEBT","FQ2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495" s="3" t="e">
        <f ca="1">_xll.BDH($C$478,"BS_ST_BORROW","FQ2 2017","FQ2 2017","Currency=INR","Period=FQ","BEST_FPERIOD_OVERRIDE=FQ","FILING_STATUS=OR","EQY_CONSOLIDATED=Y","SCALING_FORMAT=MLN","Sort=A","Dates=H","DateFormat=P","Fill=—","Direction=H","UseDPDF=Y")</f>
        <v>#NAME?</v>
      </c>
      <c r="CA495" s="3" t="e">
        <f ca="1">_xll.BDH($C$478,"BS_LT_BORROW","FQ2 2017","FQ2 2017","Currency=INR","Period=FQ","BEST_FPERIOD_OVERRIDE=FQ","FILING_STATUS=OR","EQY_CONSOLIDATED=Y","SCALING_FORMAT=MLN","Sort=A","Dates=H","DateFormat=P","Fill=—","Direction=H","UseDPDF=Y")</f>
        <v>#NAME?</v>
      </c>
      <c r="CB495" s="2" t="e">
        <f ca="1">_xll.BDH($C$478,"TOT_DEBT_TO_EBITDA","FQ2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495" s="2" t="e">
        <f ca="1">_xll.BDH($C$478,"NET_DEBT_TO_EBITDA","FQ2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495" s="2" t="e">
        <f ca="1">_xll.BDH($C$478,"TOTAL_DEBT_TO_EBIT","FQ2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495" s="2" t="e">
        <f ca="1">_xll.BDH($C$478,"NET_DEBT_TO_EBIT","FQ2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495" s="2" t="e">
        <f ca="1">_xll.BDH($C$478,"EBITDA_TO_INTEREST_EXPN","FQ2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495" s="2" t="e">
        <f ca="1">_xll.BDH($C$478,"COM_EQY_TO_TOT_ASSET","FQ2 2017","FQ2 2017","Currency=INR","Period=FQ","BEST_FPERIOD_OVERRIDE=FQ","FILING_STATUS=OR","EQY_CONSOLIDATED=Y","Sort=A","Dates=H","DateFormat=P","Fill=—","Direction=H","UseDPDF=Y")</f>
        <v>#NAME?</v>
      </c>
      <c r="CH495" s="2" t="e">
        <f ca="1">_xll.BDH($C$478,"LT_DEBT_TO_TOT_EQY","FQ2 2017","FQ2 2017","Currency=INR","Period=FQ","BEST_FPERIOD_OVERRIDE=FQ","FILING_STATUS=OR","EQY_CONSOLIDATED=Y","Sort=A","Dates=H","DateFormat=P","Fill=—","Direction=H","UseDPDF=Y")</f>
        <v>#NAME?</v>
      </c>
      <c r="CI495" s="2" t="e">
        <f ca="1">_xll.BDH($C$478,"LT_DEBT_TO_TOT_CAP","FQ2 2017","FQ2 2017","Currency=INR","Period=FQ","BEST_FPERIOD_OVERRIDE=FQ","FILING_STATUS=OR","EQY_CONSOLIDATED=Y","Sort=A","Dates=H","DateFormat=P","Fill=—","Direction=H","UseDPDF=Y")</f>
        <v>#NAME?</v>
      </c>
      <c r="CJ495" s="2" t="e">
        <f ca="1">_xll.BDH($C$478,"LT_DEBT_TO_TOT_ASSET","FQ2 2017","FQ2 2017","Currency=INR","Period=FQ","BEST_FPERIOD_OVERRIDE=FQ","FILING_STATUS=OR","EQY_CONSOLIDATED=Y","Sort=A","Dates=H","DateFormat=P","Fill=—","Direction=H","UseDPDF=Y")</f>
        <v>#NAME?</v>
      </c>
      <c r="CK495" s="2" t="e">
        <f ca="1">_xll.BDH($C$478,"TOT_DEBT_TO_TOT_EQY","FQ2 2017","FQ2 2017","Currency=INR","Period=FQ","BEST_FPERIOD_OVERRIDE=FQ","FILING_STATUS=OR","EQY_CONSOLIDATED=Y","Sort=A","Dates=H","DateFormat=P","Fill=—","Direction=H","UseDPDF=Y")</f>
        <v>#NAME?</v>
      </c>
      <c r="CL495" s="2" t="e">
        <f ca="1">_xll.BDH($C$478,"TOT_DEBT_TO_TOT_CAP","FQ2 2017","FQ2 2017","Currency=INR","Period=FQ","BEST_FPERIOD_OVERRIDE=FQ","FILING_STATUS=OR","EQY_CONSOLIDATED=Y","Sort=A","Dates=H","DateFormat=P","Fill=—","Direction=H","UseDPDF=Y")</f>
        <v>#NAME?</v>
      </c>
      <c r="CM495" s="2" t="e">
        <f ca="1">_xll.BDH($C$478,"TOT_DEBT_TO_TOT_ASSET","FQ2 2017","FQ2 2017","Currency=INR","Period=FQ","BEST_FPERIOD_OVERRIDE=FQ","FILING_STATUS=OR","EQY_CONSOLIDATED=Y","Sort=A","Dates=H","DateFormat=P","Fill=—","Direction=H","UseDPDF=Y")</f>
        <v>#NAME?</v>
      </c>
      <c r="CN495" s="2" t="e">
        <f ca="1">_xll.BDH($C$478,"NET_DEBT_TO_SHRHLDR_EQTY","FQ2 2017","FQ2 2017","Currency=INR","Period=FQ","BEST_FPERIOD_OVERRIDE=FQ","FILING_STATUS=OR","EQY_CONSOLIDATED=Y","Sort=A","Dates=H","DateFormat=P","Fill=—","Direction=H","UseDPDF=Y")</f>
        <v>#NAME?</v>
      </c>
      <c r="CO495" s="2" t="e">
        <f ca="1">_xll.BDH($C$478,"NET_DEBT_%_CAPITAL","FQ2 2017","FQ2 2017","Currency=INR","Period=FQ","BEST_FPERIOD_OVERRIDE=FQ","FILING_STATUS=OR","EQY_CONSOLIDATED=Y","Sort=A","Dates=H","DateFormat=P","Fill=—","Direction=H","UseDPDF=Y")</f>
        <v>#NAME?</v>
      </c>
      <c r="CP495" s="3" t="e">
        <f ca="1">_xll.BDH($C$478,"EBITDA","FQ2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495" s="3" t="e">
        <f ca="1">_xll.BDH($C$478,"EBITDA_AFTER_CAPEX","FQ2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495" s="3" t="e">
        <f ca="1">_xll.BDH($C$478,"IS_OPER_INC","FQ2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495" s="2" t="e">
        <f ca="1">_xll.BDH($C$478,"CASH_RATIO","FQ2 2017","FQ2 2017","Currency=INR","Period=FQ","BEST_FPERIOD_OVERRIDE=FQ","FILING_STATUS=OR","EQY_CONSOLIDATED=Y","Sort=A","Dates=H","DateFormat=P","Fill=—","Direction=H","UseDPDF=Y")</f>
        <v>#NAME?</v>
      </c>
      <c r="CT495" s="2" t="e">
        <f ca="1">_xll.BDH($C$478,"CUR_RATIO","FQ2 2017","FQ2 2017","Currency=INR","Period=FQ","BEST_FPERIOD_OVERRIDE=FQ","FILING_STATUS=OR","EQY_CONSOLIDATED=Y","Sort=A","Dates=H","DateFormat=P","Fill=—","Direction=H","UseDPDF=Y")</f>
        <v>#NAME?</v>
      </c>
      <c r="CU495" s="2" t="e">
        <f ca="1">_xll.BDH($C$478,"QUICK_RATIO","FQ2 2017","FQ2 2017","Currency=INR","Period=FQ","BEST_FPERIOD_OVERRIDE=FQ","FILING_STATUS=OR","EQY_CONSOLIDATED=Y","Sort=A","Dates=H","DateFormat=P","Fill=—","Direction=H","UseDPDF=Y")</f>
        <v>#NAME?</v>
      </c>
      <c r="CV495" s="2" t="e">
        <f ca="1">_xll.BDH($C$478,"ALTMAN_Z_SCORE","FQ2 2017","FQ2 2017","Currency=INR","Period=FQ","BEST_FPERIOD_OVERRIDE=FQ","FILING_STATUS=OR","EQY_CONSOLIDATED=Y","Sort=A","Dates=H","DateFormat=P","Fill=—","Direction=H","UseDPDF=Y")</f>
        <v>#NAME?</v>
      </c>
      <c r="CW495" s="4" t="e">
        <f ca="1">_xll.BDH($C$478,"ACCT_RCV_TURN","FQ2 2017","FQ2 2017","Currency=INR","Period=FQ","BEST_FPERIOD_OVERRIDE=FQ","FILING_STATUS=OR","EQY_CONSOLIDATED=Y","FA_ADJUSTED=GAAP","Sort=A","Dates=H","DateFormat=P","Fill=—","Direction=H","UseDPDF=Y")</f>
        <v>#NAME?</v>
      </c>
      <c r="CX495" s="2" t="e">
        <f ca="1">_xll.BDH($C$478,"ACCT_RCV_DAYS","FQ2 2017","FQ2 2017","Currency=INR","Period=FQ","BEST_FPERIOD_OVERRIDE=FQ","FILING_STATUS=OR","EQY_CONSOLIDATED=Y","FA_ADJUSTED=GAAP","Sort=A","Dates=H","DateFormat=P","Fill=—","Direction=H","UseDPDF=Y")</f>
        <v>#NAME?</v>
      </c>
      <c r="CY495" s="4" t="e">
        <f ca="1">_xll.BDH($C$478,"INVENT_TURN","FQ2 2017","FQ2 2017","Currency=INR","Period=FQ","BEST_FPERIOD_OVERRIDE=FQ","FILING_STATUS=OR","EQY_CONSOLIDATED=Y","FA_ADJUSTED=GAAP","Sort=A","Dates=H","DateFormat=P","Fill=—","Direction=H","UseDPDF=Y")</f>
        <v>#NAME?</v>
      </c>
      <c r="CZ495" s="2" t="e">
        <f ca="1">_xll.BDH($C$478,"INVENT_DAYS","FQ2 2017","FQ2 2017","Currency=INR","Period=FQ","BEST_FPERIOD_OVERRIDE=FQ","FILING_STATUS=OR","EQY_CONSOLIDATED=Y","FA_ADJUSTED=GAAP","Sort=A","Dates=H","DateFormat=P","Fill=—","Direction=H","UseDPDF=Y")</f>
        <v>#NAME?</v>
      </c>
      <c r="DA495" s="4" t="e">
        <f ca="1">_xll.BDH($C$478,"ACCOUNTS_PAYABLE_TURNOVER","FQ2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495" s="2" t="e">
        <f ca="1">_xll.BDH($C$478,"ACCOUNTS_PAYABLE_TURNOVER_DAYS","FQ2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495" s="4" t="e">
        <f ca="1">_xll.BDH($C$478,"CASH_CONVERSION_CYCLE","FQ2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495" s="4" t="e">
        <f ca="1">_xll.BDH($C$478,"INV_TO_CASH_DAYS","FQ2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495" s="5" t="e">
        <f ca="1">_xll.BDH($C$478,"BS_INVENTORIES","FQ2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495" s="3" t="e">
        <f ca="1">_xll.BDH($C$478,"INVTRY_RAW_MATERIALS","FQ2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495" s="3" t="e">
        <f ca="1">_xll.BDH($C$478,"INVTRY_IN_PROGRESS","FQ2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495" s="3" t="e">
        <f ca="1">_xll.BDH($C$478,"INVTRY_FINISHED_GOODS","FQ2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495" s="3" t="e">
        <f ca="1">_xll.BDH($C$478,"BS_OTHER_INV","FQ2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496" spans="1:113" x14ac:dyDescent="0.3">
      <c r="A496" s="6"/>
      <c r="B496" s="6"/>
      <c r="C496" s="6"/>
      <c r="D496" s="6"/>
      <c r="E496" t="s">
        <v>80</v>
      </c>
      <c r="F496" t="e">
        <f ca="1">_xll.BDH($C$478,"RETURN_COM_EQY","FQ3 2017","FQ3 2017","Currency=INR","Period=FQ","BEST_FPERIOD_OVERRIDE=FQ","FILING_STATUS=OR","EQY_CONSOLIDATED=Y","FA_ADJUSTED=GAAP","Sort=A","Dates=H","DateFormat=P","Fill=—","Direction=H","UseDPDF=Y")</f>
        <v>#NAME?</v>
      </c>
      <c r="G496" t="e">
        <f ca="1">_xll.BDH($C$478,"RETURN_ON_ASSET","FQ3 2017","FQ3 2017","Currency=INR","Period=FQ","BEST_FPERIOD_OVERRIDE=FQ","FILING_STATUS=OR","EQY_CONSOLIDATED=Y","FA_ADJUSTED=GAAP","Sort=A","Dates=H","DateFormat=P","Fill=—","Direction=H","UseDPDF=Y")</f>
        <v>#NAME?</v>
      </c>
      <c r="H496" t="e">
        <f ca="1">_xll.BDH($C$478,"RETURN_ON_CAP","FQ3 2017","FQ3 2017","Currency=INR","Period=FQ","BEST_FPERIOD_OVERRIDE=FQ","FILING_STATUS=OR","EQY_CONSOLIDATED=Y","FA_ADJUSTED=GAAP","Sort=A","Dates=H","DateFormat=P","Fill=—","Direction=H","UseDPDF=Y")</f>
        <v>#NAME?</v>
      </c>
      <c r="I496" t="e">
        <f ca="1">_xll.BDH($C$478,"RETURN_ON_INV_CAPITAL","FQ3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496" t="e">
        <f ca="1">_xll.BDH($C$478,"EBITDA_TO_REVENUE","FQ3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496" t="e">
        <f ca="1">_xll.BDH($C$478,"OPER_MARGIN","FQ3 2017","FQ3 2017","Currency=INR","Period=FQ","BEST_FPERIOD_OVERRIDE=FQ","FILING_STATUS=OR","EQY_CONSOLIDATED=Y","FA_ADJUSTED=GAAP","Sort=A","Dates=H","DateFormat=P","Fill=—","Direction=H","UseDPDF=Y")</f>
        <v>#NAME?</v>
      </c>
      <c r="L496" t="e">
        <f ca="1">_xll.BDH($C$478,"INCREMENTAL_OPERATING_MARGIN","FQ3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496" t="e">
        <f ca="1">_xll.BDH($C$478,"PRETAX_INC_TO_NET_SALES","FQ3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496" t="e">
        <f ca="1">_xll.BDH($C$478,"INC_BEF_XO_ITEMS_TO_NET_SALES","FQ3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496" t="e">
        <f ca="1">_xll.BDH($C$478,"PROF_MARGIN","FQ3 2017","FQ3 2017","Currency=INR","Period=FQ","BEST_FPERIOD_OVERRIDE=FQ","FILING_STATUS=OR","EQY_CONSOLIDATED=Y","FA_ADJUSTED=GAAP","Sort=A","Dates=H","DateFormat=P","Fill=—","Direction=H","UseDPDF=Y")</f>
        <v>#NAME?</v>
      </c>
      <c r="P496" t="e">
        <f ca="1">_xll.BDH($C$478,"NET_INCOME_TO_COMMON_MARGIN","FQ3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496" t="e">
        <f ca="1">_xll.BDH($C$478,"EFF_TAX_RATE","FQ3 2017","FQ3 2017","Currency=INR","Period=FQ","BEST_FPERIOD_OVERRIDE=FQ","FILING_STATUS=OR","EQY_CONSOLIDATED=Y","FA_ADJUSTED=GAAP","Sort=A","Dates=H","DateFormat=P","Fill=—","Direction=H","UseDPDF=Y")</f>
        <v>#NAME?</v>
      </c>
      <c r="R496" t="e">
        <f ca="1">_xll.BDH($C$478,"DVD_PAYOUT_RATIO","FQ3 2017","FQ3 2017","Currency=INR","Period=FQ","BEST_FPERIOD_OVERRIDE=FQ","FILING_STATUS=OR","EQY_CONSOLIDATED=Y","FA_ADJUSTED=GAAP","Sort=A","Dates=H","DateFormat=P","Fill=—","Direction=H","UseDPDF=Y")</f>
        <v>#NAME?</v>
      </c>
      <c r="S496" t="e">
        <f ca="1">_xll.BDH($C$478,"SUSTAIN_GROWTH_RT","FQ3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496" s="2" t="e">
        <f ca="1">_xll.BDH($C$478,"SALES_GROWTH","FQ3 2017","FQ3 2017","Currency=INR","Period=FQ","BEST_FPERIOD_OVERRIDE=FQ","FILING_STATUS=OR","EQY_CONSOLIDATED=Y","FA_ADJUSTED=GAAP","Sort=A","Dates=H","DateFormat=P","Fill=—","Direction=H","UseDPDF=Y")</f>
        <v>#NAME?</v>
      </c>
      <c r="U496" s="2" t="e">
        <f ca="1">_xll.BDH($C$478,"EBITDA_GROWTH","FQ3 2017","FQ3 2017","Currency=INR","Period=FQ","BEST_FPERIOD_OVERRIDE=FQ","FILING_STATUS=OR","EQY_CONSOLIDATED=Y","FA_ADJUSTED=GAAP","Sort=A","Dates=H","DateFormat=P","Fill=—","Direction=H","UseDPDF=Y")</f>
        <v>#NAME?</v>
      </c>
      <c r="V496" s="2" t="e">
        <f ca="1">_xll.BDH($C$478,"OPER_INC_GROWTH","FQ3 2017","FQ3 2017","Currency=INR","Period=FQ","BEST_FPERIOD_OVERRIDE=FQ","FILING_STATUS=OR","EQY_CONSOLIDATED=Y","FA_ADJUSTED=GAAP","Sort=A","Dates=H","DateFormat=P","Fill=—","Direction=H","UseDPDF=Y")</f>
        <v>#NAME?</v>
      </c>
      <c r="W496" s="2" t="e">
        <f ca="1">_xll.BDH($C$478,"EARN_FOR_COM_GROWTH","FQ3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496" s="2" t="e">
        <f ca="1">_xll.BDH($C$478,"DILUTED_EPS_AFT_XO_ITEMS_GROWTH","FQ3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496" s="2" t="e">
        <f ca="1">_xll.BDH($C$478,"DIVIDEND_PER_SHARE_1_YEAR_GROWTH","FQ3 2017","FQ3 2017","Currency=INR","Period=FQ","BEST_FPERIOD_OVERRIDE=FQ","FILING_STATUS=OR","EQY_CONSOLIDATED=Y","Sort=A","Dates=H","DateFormat=P","Fill=—","Direction=H","UseDPDF=Y")</f>
        <v>#NAME?</v>
      </c>
      <c r="Z496" s="2" t="e">
        <f ca="1">_xll.BDH($C$478,"ACCOUNTS_RECEIVABLE_GROWTH","FQ3 2017","FQ3 2017","Currency=INR","Period=FQ","BEST_FPERIOD_OVERRIDE=FQ","FILING_STATUS=OR","EQY_CONSOLIDATED=Y","Sort=A","Dates=H","DateFormat=P","Fill=—","Direction=H","UseDPDF=Y")</f>
        <v>#NAME?</v>
      </c>
      <c r="AA496" s="2" t="e">
        <f ca="1">_xll.BDH($C$478,"INVENTORY_GROWTH","FQ3 2017","FQ3 2017","Currency=INR","Period=FQ","BEST_FPERIOD_OVERRIDE=FQ","FILING_STATUS=OR","EQY_CONSOLIDATED=Y","Sort=A","Dates=H","DateFormat=P","Fill=—","Direction=H","UseDPDF=Y")</f>
        <v>#NAME?</v>
      </c>
      <c r="AB496" s="2" t="e">
        <f ca="1">_xll.BDH($C$478,"NET_FIXED_ASSETS_1_YEAR_GROWTH","FQ3 2017","FQ3 2017","Currency=INR","Period=FQ","BEST_FPERIOD_OVERRIDE=FQ","FILING_STATUS=OR","EQY_CONSOLIDATED=Y","Sort=A","Dates=H","DateFormat=P","Fill=—","Direction=H","UseDPDF=Y")</f>
        <v>#NAME?</v>
      </c>
      <c r="AC496" s="2" t="e">
        <f ca="1">_xll.BDH($C$478,"ASSET_GROWTH","FQ3 2017","FQ3 2017","Currency=INR","Period=FQ","BEST_FPERIOD_OVERRIDE=FQ","FILING_STATUS=OR","EQY_CONSOLIDATED=Y","Sort=A","Dates=H","DateFormat=P","Fill=—","Direction=H","UseDPDF=Y")</f>
        <v>#NAME?</v>
      </c>
      <c r="AD496" s="2" t="e">
        <f ca="1">_xll.BDH($C$478,"MODIFIED_WORK_CAP_GROWTH","FQ3 2017","FQ3 2017","Currency=INR","Period=FQ","BEST_FPERIOD_OVERRIDE=FQ","FILING_STATUS=OR","EQY_CONSOLIDATED=Y","Sort=A","Dates=H","DateFormat=P","Fill=—","Direction=H","UseDPDF=Y")</f>
        <v>#NAME?</v>
      </c>
      <c r="AE496" s="2" t="e">
        <f ca="1">_xll.BDH($C$478,"WORK_CAP_GROWTH","FQ3 2017","FQ3 2017","Currency=INR","Period=FQ","BEST_FPERIOD_OVERRIDE=FQ","FILING_STATUS=OR","EQY_CONSOLIDATED=Y","Sort=A","Dates=H","DateFormat=P","Fill=—","Direction=H","UseDPDF=Y")</f>
        <v>#NAME?</v>
      </c>
      <c r="AF496" s="2" t="e">
        <f ca="1">_xll.BDH($C$478,"ACCOUNTS_PAYABLE_GROWTH_1YR","FQ3 2017","FQ3 2017","Currency=INR","Period=FQ","BEST_FPERIOD_OVERRIDE=FQ","FILING_STATUS=OR","EQY_CONSOLIDATED=Y","Sort=A","Dates=H","DateFormat=P","Fill=—","Direction=H","UseDPDF=Y")</f>
        <v>#NAME?</v>
      </c>
      <c r="AG496" s="2" t="e">
        <f ca="1">_xll.BDH($C$478,"SHORT_TERM_DEBT_1_YEAR_GROWTH","FQ3 2017","FQ3 2017","Currency=INR","Period=FQ","BEST_FPERIOD_OVERRIDE=FQ","FILING_STATUS=OR","EQY_CONSOLIDATED=Y","Sort=A","Dates=H","DateFormat=P","Fill=—","Direction=H","UseDPDF=Y")</f>
        <v>#NAME?</v>
      </c>
      <c r="AH496" s="2" t="e">
        <f ca="1">_xll.BDH($C$478,"TOTAL_DEBT_1_YEAR_GROWTH","FQ3 2017","FQ3 2017","Currency=INR","Period=FQ","BEST_FPERIOD_OVERRIDE=FQ","FILING_STATUS=OR","EQY_CONSOLIDATED=Y","Sort=A","Dates=H","DateFormat=P","Fill=—","Direction=H","UseDPDF=Y")</f>
        <v>#NAME?</v>
      </c>
      <c r="AI496" s="2" t="e">
        <f ca="1">_xll.BDH($C$478,"TOTAL_EQUITY_1_YEAR_GROWTH","FQ3 2017","FQ3 2017","Currency=INR","Period=FQ","BEST_FPERIOD_OVERRIDE=FQ","FILING_STATUS=OR","EQY_CONSOLIDATED=Y","Sort=A","Dates=H","DateFormat=P","Fill=—","Direction=H","UseDPDF=Y")</f>
        <v>#NAME?</v>
      </c>
      <c r="AJ496" s="2" t="e">
        <f ca="1">_xll.BDH($C$478,"GROWTH_IN_CAP","FQ3 2017","FQ3 2017","Currency=INR","Period=FQ","BEST_FPERIOD_OVERRIDE=FQ","FILING_STATUS=OR","EQY_CONSOLIDATED=Y","Sort=A","Dates=H","DateFormat=P","Fill=—","Direction=H","UseDPDF=Y")</f>
        <v>#NAME?</v>
      </c>
      <c r="AK496" s="2" t="e">
        <f ca="1">_xll.BDH($C$478,"BVPS_GROWTH","FQ3 2017","FQ3 2017","Currency=INR","Period=FQ","BEST_FPERIOD_OVERRIDE=FQ","FILING_STATUS=OR","EQY_CONSOLIDATED=Y","Sort=A","Dates=H","DateFormat=P","Fill=—","Direction=H","UseDPDF=Y")</f>
        <v>#NAME?</v>
      </c>
      <c r="AL496" s="2" t="e">
        <f ca="1">_xll.BDH($C$478,"CASH_FLOW_GROWTH","FQ3 2017","FQ3 2017","Currency=INR","Period=FQ","BEST_FPERIOD_OVERRIDE=FQ","FILING_STATUS=OR","EQY_CONSOLIDATED=Y","Sort=A","Dates=H","DateFormat=P","Fill=—","Direction=H","UseDPDF=Y")</f>
        <v>#NAME?</v>
      </c>
      <c r="AM496" s="2" t="e">
        <f ca="1">_xll.BDH($C$478,"GEO_GROW_NET_SALES","FQ3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496" s="2" t="e">
        <f ca="1">_xll.BDH($C$478,"GEO_GROW_EBITDA","FQ3 2017","FQ3 2017","Currency=INR","Period=FQ","BEST_FPERIOD_OVERRIDE=FQ","FILING_STATUS=OR","EQY_CONSOLIDATED=Y","FA_ADJUSTED=GAAP","Sort=A","Dates=H","DateFormat=P","Fill=—","Direction=H","UseDPDF=Y")</f>
        <v>#NAME?</v>
      </c>
      <c r="AO496" s="2" t="e">
        <f ca="1">_xll.BDH($C$478,"GEO_GROW_OPER_INC","FQ3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496" s="2" t="e">
        <f ca="1">_xll.BDH($C$478,"NET_INCOME_TO_COMMON_5_YR_GROWTH","FQ3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496" s="2" t="e">
        <f ca="1">_xll.BDH($C$478,"5Y_GEO_GROWTH_DILUTED_EPS","FQ3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496" s="2" t="e">
        <f ca="1">_xll.BDH($C$478,"GEO_GROW_DVD_PER_SH","FQ3 2017","FQ3 2017","Currency=INR","Period=FQ","BEST_FPERIOD_OVERRIDE=FQ","FILING_STATUS=OR","EQY_CONSOLIDATED=Y","Sort=A","Dates=H","DateFormat=P","Fill=—","Direction=H","UseDPDF=Y")</f>
        <v>#NAME?</v>
      </c>
      <c r="AS496" s="2" t="e">
        <f ca="1">_xll.BDH($C$478,"ACCOUNTS_RECEIVABLE_5_YR_GROWTH","FQ3 2017","FQ3 2017","Currency=INR","Period=FQ","BEST_FPERIOD_OVERRIDE=FQ","FILING_STATUS=OR","EQY_CONSOLIDATED=Y","Sort=A","Dates=H","DateFormat=P","Fill=—","Direction=H","UseDPDF=Y")</f>
        <v>#NAME?</v>
      </c>
      <c r="AT496" s="2" t="e">
        <f ca="1">_xll.BDH($C$478,"INVENTORY_5_YEAR_GROWTH","FQ3 2017","FQ3 2017","Currency=INR","Period=FQ","BEST_FPERIOD_OVERRIDE=FQ","FILING_STATUS=OR","EQY_CONSOLIDATED=Y","Sort=A","Dates=H","DateFormat=P","Fill=—","Direction=H","UseDPDF=Y")</f>
        <v>#NAME?</v>
      </c>
      <c r="AU496" s="2" t="e">
        <f ca="1">_xll.BDH($C$478,"NET_FIXED_ASSETS_5_YEAR_GROWTH","FQ3 2017","FQ3 2017","Currency=INR","Period=FQ","BEST_FPERIOD_OVERRIDE=FQ","FILING_STATUS=OR","EQY_CONSOLIDATED=Y","Sort=A","Dates=H","DateFormat=P","Fill=—","Direction=H","UseDPDF=Y")</f>
        <v>#NAME?</v>
      </c>
      <c r="AV496" s="2" t="e">
        <f ca="1">_xll.BDH($C$478,"GEO_GROW_TOT_ASSET","FQ3 2017","FQ3 2017","Currency=INR","Period=FQ","BEST_FPERIOD_OVERRIDE=FQ","FILING_STATUS=OR","EQY_CONSOLIDATED=Y","Sort=A","Dates=H","DateFormat=P","Fill=—","Direction=H","UseDPDF=Y")</f>
        <v>#NAME?</v>
      </c>
      <c r="AW496" s="2" t="e">
        <f ca="1">_xll.BDH($C$478,"MODIFIED_WORKING_CPTL_5YR_GRWTH","FQ3 2017","FQ3 2017","Currency=INR","Period=FQ","BEST_FPERIOD_OVERRIDE=FQ","FILING_STATUS=OR","EQY_CONSOLIDATED=Y","Sort=A","Dates=H","DateFormat=P","Fill=—","Direction=H","UseDPDF=Y")</f>
        <v>#NAME?</v>
      </c>
      <c r="AX496" s="2" t="e">
        <f ca="1">_xll.BDH($C$478,"WORKING_CAPITAL_5_YEAR_GROWTH","FQ3 2017","FQ3 2017","Currency=INR","Period=FQ","BEST_FPERIOD_OVERRIDE=FQ","FILING_STATUS=OR","EQY_CONSOLIDATED=Y","Sort=A","Dates=H","DateFormat=P","Fill=—","Direction=H","UseDPDF=Y")</f>
        <v>#NAME?</v>
      </c>
      <c r="AY496" s="2" t="e">
        <f ca="1">_xll.BDH($C$478,"ACCOUNTS_PAYABLE_5_YEAR_GROWTH","FQ3 2017","FQ3 2017","Currency=INR","Period=FQ","BEST_FPERIOD_OVERRIDE=FQ","FILING_STATUS=OR","EQY_CONSOLIDATED=Y","Sort=A","Dates=H","DateFormat=P","Fill=—","Direction=H","UseDPDF=Y")</f>
        <v>#NAME?</v>
      </c>
      <c r="AZ496" s="2" t="e">
        <f ca="1">_xll.BDH($C$478,"SHORT_TERM_DEBT_5_YEAR_GROWTH","FQ3 2017","FQ3 2017","Currency=INR","Period=FQ","BEST_FPERIOD_OVERRIDE=FQ","FILING_STATUS=OR","EQY_CONSOLIDATED=Y","Sort=A","Dates=H","DateFormat=P","Fill=—","Direction=H","UseDPDF=Y")</f>
        <v>#NAME?</v>
      </c>
      <c r="BA496" s="2" t="e">
        <f ca="1">_xll.BDH($C$478,"TOTAL_DEBT_5_YEAR_GROWTH","FQ3 2017","FQ3 2017","Currency=INR","Period=FQ","BEST_FPERIOD_OVERRIDE=FQ","FILING_STATUS=OR","EQY_CONSOLIDATED=Y","Sort=A","Dates=H","DateFormat=P","Fill=—","Direction=H","UseDPDF=Y")</f>
        <v>#NAME?</v>
      </c>
      <c r="BB496" s="2" t="e">
        <f ca="1">_xll.BDH($C$478,"GEO_GROW_TOT_SHRHLDR_EQY","FQ3 2017","FQ3 2017","Currency=INR","Period=FQ","BEST_FPERIOD_OVERRIDE=FQ","FILING_STATUS=OR","EQY_CONSOLIDATED=Y","Sort=A","Dates=H","DateFormat=P","Fill=—","Direction=H","UseDPDF=Y")</f>
        <v>#NAME?</v>
      </c>
      <c r="BC496" s="2" t="e">
        <f ca="1">_xll.BDH($C$478,"TOTAL_CAPITAL_5_YEAR_GROWTH","FQ3 2017","FQ3 2017","Currency=INR","Period=FQ","BEST_FPERIOD_OVERRIDE=FQ","FILING_STATUS=OR","EQY_CONSOLIDATED=Y","Sort=A","Dates=H","DateFormat=P","Fill=—","Direction=H","UseDPDF=Y")</f>
        <v>#NAME?</v>
      </c>
      <c r="BD496" s="2" t="e">
        <f ca="1">_xll.BDH($C$478,"GEO_GROW_BOOK_VAL","FQ3 2017","FQ3 2017","Currency=INR","Period=FQ","BEST_FPERIOD_OVERRIDE=FQ","FILING_STATUS=OR","EQY_CONSOLIDATED=Y","Sort=A","Dates=H","DateFormat=P","Fill=—","Direction=H","UseDPDF=Y")</f>
        <v>#NAME?</v>
      </c>
      <c r="BE496" s="2" t="e">
        <f ca="1">_xll.BDH($C$478,"GEO_GROW_CASH_OPER_ACT","FQ3 2017","FQ3 2017","Currency=INR","Period=FQ","BEST_FPERIOD_OVERRIDE=FQ","FILING_STATUS=OR","EQY_CONSOLIDATED=Y","Sort=A","Dates=H","DateFormat=P","Fill=—","Direction=H","UseDPDF=Y")</f>
        <v>#NAME?</v>
      </c>
      <c r="BF496" s="2" t="e">
        <f ca="1">_xll.BDH($C$478,"REVENUE_SEQUENTIAL_GROWTH","FQ3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496" s="2" t="e">
        <f ca="1">_xll.BDH($C$478,"EBITDA_SEQUENTIAL_GROWTH","FQ3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496" s="2" t="e">
        <f ca="1">_xll.BDH($C$478,"OPERATING_INCOME_SEQ_GROWTH","FQ3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496" s="2" t="e">
        <f ca="1">_xll.BDH($C$478,"NET_INCOME_TO_COMMON_SEQ_GROWTH","FQ3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496" s="2" t="e">
        <f ca="1">_xll.BDH($C$478,"EPS_DILUTED_SEQUENTIAL_GROWTH","FQ3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496" s="2" t="e">
        <f ca="1">_xll.BDH($C$478,"DPS_SEQUENTIAL_GROWTH","FQ3 2017","FQ3 2017","Currency=INR","Period=FQ","BEST_FPERIOD_OVERRIDE=FQ","FILING_STATUS=OR","EQY_CONSOLIDATED=Y","Sort=A","Dates=H","DateFormat=P","Fill=—","Direction=H","UseDPDF=Y")</f>
        <v>#NAME?</v>
      </c>
      <c r="BL496" s="2" t="e">
        <f ca="1">_xll.BDH($C$478,"ACCOUNTS_RECEIVABLE_SEQ_GROWTH","FQ3 2017","FQ3 2017","Currency=INR","Period=FQ","BEST_FPERIOD_OVERRIDE=FQ","FILING_STATUS=OR","EQY_CONSOLIDATED=Y","Sort=A","Dates=H","DateFormat=P","Fill=—","Direction=H","UseDPDF=Y")</f>
        <v>#NAME?</v>
      </c>
      <c r="BM496" s="2" t="e">
        <f ca="1">_xll.BDH($C$478,"INVENTORY_SEQUENTIAL_GROWTH","FQ3 2017","FQ3 2017","Currency=INR","Period=FQ","BEST_FPERIOD_OVERRIDE=FQ","FILING_STATUS=OR","EQY_CONSOLIDATED=Y","Sort=A","Dates=H","DateFormat=P","Fill=—","Direction=H","UseDPDF=Y")</f>
        <v>#NAME?</v>
      </c>
      <c r="BN496" s="2" t="e">
        <f ca="1">_xll.BDH($C$478,"FIXED_ASSETS_SEQUENTIAL_GROWTH","FQ3 2017","FQ3 2017","Currency=INR","Period=FQ","BEST_FPERIOD_OVERRIDE=FQ","FILING_STATUS=OR","EQY_CONSOLIDATED=Y","Sort=A","Dates=H","DateFormat=P","Fill=—","Direction=H","UseDPDF=Y")</f>
        <v>#NAME?</v>
      </c>
      <c r="BO496" s="2" t="e">
        <f ca="1">_xll.BDH($C$478,"TOTAL_ASSETS_SEQUENTIAL_GROWTH","FQ3 2017","FQ3 2017","Currency=INR","Period=FQ","BEST_FPERIOD_OVERRIDE=FQ","FILING_STATUS=OR","EQY_CONSOLIDATED=Y","Sort=A","Dates=H","DateFormat=P","Fill=—","Direction=H","UseDPDF=Y")</f>
        <v>#NAME?</v>
      </c>
      <c r="BP496" s="2" t="e">
        <f ca="1">_xll.BDH($C$478,"MODIFIED_WORKING_CPTL_SEQ_GRWTH","FQ3 2017","FQ3 2017","Currency=INR","Period=FQ","BEST_FPERIOD_OVERRIDE=FQ","FILING_STATUS=OR","EQY_CONSOLIDATED=Y","Sort=A","Dates=H","DateFormat=P","Fill=—","Direction=H","UseDPDF=Y")</f>
        <v>#NAME?</v>
      </c>
      <c r="BQ496" s="2" t="e">
        <f ca="1">_xll.BDH($C$478,"WORKING_CAPITAL_SEQ_GROWTH","FQ3 2017","FQ3 2017","Currency=INR","Period=FQ","BEST_FPERIOD_OVERRIDE=FQ","FILING_STATUS=OR","EQY_CONSOLIDATED=Y","Sort=A","Dates=H","DateFormat=P","Fill=—","Direction=H","UseDPDF=Y")</f>
        <v>#NAME?</v>
      </c>
      <c r="BR496" s="2" t="e">
        <f ca="1">_xll.BDH($C$478,"ACCOUNTS_PAYABLE_SEQ_GROWTH","FQ3 2017","FQ3 2017","Currency=INR","Period=FQ","BEST_FPERIOD_OVERRIDE=FQ","FILING_STATUS=OR","EQY_CONSOLIDATED=Y","Sort=A","Dates=H","DateFormat=P","Fill=—","Direction=H","UseDPDF=Y")</f>
        <v>#NAME?</v>
      </c>
      <c r="BS496" s="2" t="e">
        <f ca="1">_xll.BDH($C$478,"ST_DEBT_SEQUENTIAL_GROWTH","FQ3 2017","FQ3 2017","Currency=INR","Period=FQ","BEST_FPERIOD_OVERRIDE=FQ","FILING_STATUS=OR","EQY_CONSOLIDATED=Y","Sort=A","Dates=H","DateFormat=P","Fill=—","Direction=H","UseDPDF=Y")</f>
        <v>#NAME?</v>
      </c>
      <c r="BT496" s="2" t="e">
        <f ca="1">_xll.BDH($C$478,"TOTAL_DEBT_SEQUENTIAL_GROWTH","FQ3 2017","FQ3 2017","Currency=INR","Period=FQ","BEST_FPERIOD_OVERRIDE=FQ","FILING_STATUS=OR","EQY_CONSOLIDATED=Y","Sort=A","Dates=H","DateFormat=P","Fill=—","Direction=H","UseDPDF=Y")</f>
        <v>#NAME?</v>
      </c>
      <c r="BU496" s="2" t="e">
        <f ca="1">_xll.BDH($C$478,"TOTAL_EQUITY_SEQUENTIAL_GROWTH","FQ3 2017","FQ3 2017","Currency=INR","Period=FQ","BEST_FPERIOD_OVERRIDE=FQ","FILING_STATUS=OR","EQY_CONSOLIDATED=Y","Sort=A","Dates=H","DateFormat=P","Fill=—","Direction=H","UseDPDF=Y")</f>
        <v>#NAME?</v>
      </c>
      <c r="BV496" s="2" t="e">
        <f ca="1">_xll.BDH($C$478,"TOTAL_CAPITAL_SEQUENTIAL_GROWTH","FQ3 2017","FQ3 2017","Currency=INR","Period=FQ","BEST_FPERIOD_OVERRIDE=FQ","FILING_STATUS=OR","EQY_CONSOLIDATED=Y","Sort=A","Dates=H","DateFormat=P","Fill=—","Direction=H","UseDPDF=Y")</f>
        <v>#NAME?</v>
      </c>
      <c r="BW496" s="2" t="e">
        <f ca="1">_xll.BDH($C$478,"BPS_SEQUENTIAL_GROWTH","FQ3 2017","FQ3 2017","Currency=INR","Period=FQ","BEST_FPERIOD_OVERRIDE=FQ","FILING_STATUS=OR","EQY_CONSOLIDATED=Y","Sort=A","Dates=H","DateFormat=P","Fill=—","Direction=H","UseDPDF=Y")</f>
        <v>#NAME?</v>
      </c>
      <c r="BX496" s="2" t="e">
        <f ca="1">_xll.BDH($C$478,"CFO_SEQUENTIAL_GROWTH","FQ3 2017","FQ3 2017","Currency=INR","Period=FQ","BEST_FPERIOD_OVERRIDE=FQ","FILING_STATUS=OR","EQY_CONSOLIDATED=Y","Sort=A","Dates=H","DateFormat=P","Fill=—","Direction=H","UseDPDF=Y")</f>
        <v>#NAME?</v>
      </c>
      <c r="BY496" s="3" t="e">
        <f ca="1">_xll.BDH($C$478,"SHORT_AND_LONG_TERM_DEBT","FQ3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496" s="3" t="e">
        <f ca="1">_xll.BDH($C$478,"BS_ST_BORROW","FQ3 2017","FQ3 2017","Currency=INR","Period=FQ","BEST_FPERIOD_OVERRIDE=FQ","FILING_STATUS=OR","EQY_CONSOLIDATED=Y","SCALING_FORMAT=MLN","Sort=A","Dates=H","DateFormat=P","Fill=—","Direction=H","UseDPDF=Y")</f>
        <v>#NAME?</v>
      </c>
      <c r="CA496" s="3" t="e">
        <f ca="1">_xll.BDH($C$478,"BS_LT_BORROW","FQ3 2017","FQ3 2017","Currency=INR","Period=FQ","BEST_FPERIOD_OVERRIDE=FQ","FILING_STATUS=OR","EQY_CONSOLIDATED=Y","SCALING_FORMAT=MLN","Sort=A","Dates=H","DateFormat=P","Fill=—","Direction=H","UseDPDF=Y")</f>
        <v>#NAME?</v>
      </c>
      <c r="CB496" s="2" t="e">
        <f ca="1">_xll.BDH($C$478,"TOT_DEBT_TO_EBITDA","FQ3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496" s="2" t="e">
        <f ca="1">_xll.BDH($C$478,"NET_DEBT_TO_EBITDA","FQ3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496" s="2" t="e">
        <f ca="1">_xll.BDH($C$478,"TOTAL_DEBT_TO_EBIT","FQ3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496" s="2" t="e">
        <f ca="1">_xll.BDH($C$478,"NET_DEBT_TO_EBIT","FQ3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496" s="2" t="e">
        <f ca="1">_xll.BDH($C$478,"EBITDA_TO_INTEREST_EXPN","FQ3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496" s="2" t="e">
        <f ca="1">_xll.BDH($C$478,"COM_EQY_TO_TOT_ASSET","FQ3 2017","FQ3 2017","Currency=INR","Period=FQ","BEST_FPERIOD_OVERRIDE=FQ","FILING_STATUS=OR","EQY_CONSOLIDATED=Y","Sort=A","Dates=H","DateFormat=P","Fill=—","Direction=H","UseDPDF=Y")</f>
        <v>#NAME?</v>
      </c>
      <c r="CH496" s="2" t="e">
        <f ca="1">_xll.BDH($C$478,"LT_DEBT_TO_TOT_EQY","FQ3 2017","FQ3 2017","Currency=INR","Period=FQ","BEST_FPERIOD_OVERRIDE=FQ","FILING_STATUS=OR","EQY_CONSOLIDATED=Y","Sort=A","Dates=H","DateFormat=P","Fill=—","Direction=H","UseDPDF=Y")</f>
        <v>#NAME?</v>
      </c>
      <c r="CI496" s="2" t="e">
        <f ca="1">_xll.BDH($C$478,"LT_DEBT_TO_TOT_CAP","FQ3 2017","FQ3 2017","Currency=INR","Period=FQ","BEST_FPERIOD_OVERRIDE=FQ","FILING_STATUS=OR","EQY_CONSOLIDATED=Y","Sort=A","Dates=H","DateFormat=P","Fill=—","Direction=H","UseDPDF=Y")</f>
        <v>#NAME?</v>
      </c>
      <c r="CJ496" s="2" t="e">
        <f ca="1">_xll.BDH($C$478,"LT_DEBT_TO_TOT_ASSET","FQ3 2017","FQ3 2017","Currency=INR","Period=FQ","BEST_FPERIOD_OVERRIDE=FQ","FILING_STATUS=OR","EQY_CONSOLIDATED=Y","Sort=A","Dates=H","DateFormat=P","Fill=—","Direction=H","UseDPDF=Y")</f>
        <v>#NAME?</v>
      </c>
      <c r="CK496" s="2" t="e">
        <f ca="1">_xll.BDH($C$478,"TOT_DEBT_TO_TOT_EQY","FQ3 2017","FQ3 2017","Currency=INR","Period=FQ","BEST_FPERIOD_OVERRIDE=FQ","FILING_STATUS=OR","EQY_CONSOLIDATED=Y","Sort=A","Dates=H","DateFormat=P","Fill=—","Direction=H","UseDPDF=Y")</f>
        <v>#NAME?</v>
      </c>
      <c r="CL496" s="2" t="e">
        <f ca="1">_xll.BDH($C$478,"TOT_DEBT_TO_TOT_CAP","FQ3 2017","FQ3 2017","Currency=INR","Period=FQ","BEST_FPERIOD_OVERRIDE=FQ","FILING_STATUS=OR","EQY_CONSOLIDATED=Y","Sort=A","Dates=H","DateFormat=P","Fill=—","Direction=H","UseDPDF=Y")</f>
        <v>#NAME?</v>
      </c>
      <c r="CM496" s="2" t="e">
        <f ca="1">_xll.BDH($C$478,"TOT_DEBT_TO_TOT_ASSET","FQ3 2017","FQ3 2017","Currency=INR","Period=FQ","BEST_FPERIOD_OVERRIDE=FQ","FILING_STATUS=OR","EQY_CONSOLIDATED=Y","Sort=A","Dates=H","DateFormat=P","Fill=—","Direction=H","UseDPDF=Y")</f>
        <v>#NAME?</v>
      </c>
      <c r="CN496" s="2" t="e">
        <f ca="1">_xll.BDH($C$478,"NET_DEBT_TO_SHRHLDR_EQTY","FQ3 2017","FQ3 2017","Currency=INR","Period=FQ","BEST_FPERIOD_OVERRIDE=FQ","FILING_STATUS=OR","EQY_CONSOLIDATED=Y","Sort=A","Dates=H","DateFormat=P","Fill=—","Direction=H","UseDPDF=Y")</f>
        <v>#NAME?</v>
      </c>
      <c r="CO496" s="2" t="e">
        <f ca="1">_xll.BDH($C$478,"NET_DEBT_%_CAPITAL","FQ3 2017","FQ3 2017","Currency=INR","Period=FQ","BEST_FPERIOD_OVERRIDE=FQ","FILING_STATUS=OR","EQY_CONSOLIDATED=Y","Sort=A","Dates=H","DateFormat=P","Fill=—","Direction=H","UseDPDF=Y")</f>
        <v>#NAME?</v>
      </c>
      <c r="CP496" s="3" t="e">
        <f ca="1">_xll.BDH($C$478,"EBITDA","FQ3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496" s="3" t="e">
        <f ca="1">_xll.BDH($C$478,"EBITDA_AFTER_CAPEX","FQ3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496" s="3" t="e">
        <f ca="1">_xll.BDH($C$478,"IS_OPER_INC","FQ3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496" s="2" t="e">
        <f ca="1">_xll.BDH($C$478,"CASH_RATIO","FQ3 2017","FQ3 2017","Currency=INR","Period=FQ","BEST_FPERIOD_OVERRIDE=FQ","FILING_STATUS=OR","EQY_CONSOLIDATED=Y","Sort=A","Dates=H","DateFormat=P","Fill=—","Direction=H","UseDPDF=Y")</f>
        <v>#NAME?</v>
      </c>
      <c r="CT496" s="2" t="e">
        <f ca="1">_xll.BDH($C$478,"CUR_RATIO","FQ3 2017","FQ3 2017","Currency=INR","Period=FQ","BEST_FPERIOD_OVERRIDE=FQ","FILING_STATUS=OR","EQY_CONSOLIDATED=Y","Sort=A","Dates=H","DateFormat=P","Fill=—","Direction=H","UseDPDF=Y")</f>
        <v>#NAME?</v>
      </c>
      <c r="CU496" s="2" t="e">
        <f ca="1">_xll.BDH($C$478,"QUICK_RATIO","FQ3 2017","FQ3 2017","Currency=INR","Period=FQ","BEST_FPERIOD_OVERRIDE=FQ","FILING_STATUS=OR","EQY_CONSOLIDATED=Y","Sort=A","Dates=H","DateFormat=P","Fill=—","Direction=H","UseDPDF=Y")</f>
        <v>#NAME?</v>
      </c>
      <c r="CV496" s="2" t="e">
        <f ca="1">_xll.BDH($C$478,"ALTMAN_Z_SCORE","FQ3 2017","FQ3 2017","Currency=INR","Period=FQ","BEST_FPERIOD_OVERRIDE=FQ","FILING_STATUS=OR","EQY_CONSOLIDATED=Y","Sort=A","Dates=H","DateFormat=P","Fill=—","Direction=H","UseDPDF=Y")</f>
        <v>#NAME?</v>
      </c>
      <c r="CW496" s="4" t="e">
        <f ca="1">_xll.BDH($C$478,"ACCT_RCV_TURN","FQ3 2017","FQ3 2017","Currency=INR","Period=FQ","BEST_FPERIOD_OVERRIDE=FQ","FILING_STATUS=OR","EQY_CONSOLIDATED=Y","FA_ADJUSTED=GAAP","Sort=A","Dates=H","DateFormat=P","Fill=—","Direction=H","UseDPDF=Y")</f>
        <v>#NAME?</v>
      </c>
      <c r="CX496" s="2" t="e">
        <f ca="1">_xll.BDH($C$478,"ACCT_RCV_DAYS","FQ3 2017","FQ3 2017","Currency=INR","Period=FQ","BEST_FPERIOD_OVERRIDE=FQ","FILING_STATUS=OR","EQY_CONSOLIDATED=Y","FA_ADJUSTED=GAAP","Sort=A","Dates=H","DateFormat=P","Fill=—","Direction=H","UseDPDF=Y")</f>
        <v>#NAME?</v>
      </c>
      <c r="CY496" s="4" t="e">
        <f ca="1">_xll.BDH($C$478,"INVENT_TURN","FQ3 2017","FQ3 2017","Currency=INR","Period=FQ","BEST_FPERIOD_OVERRIDE=FQ","FILING_STATUS=OR","EQY_CONSOLIDATED=Y","FA_ADJUSTED=GAAP","Sort=A","Dates=H","DateFormat=P","Fill=—","Direction=H","UseDPDF=Y")</f>
        <v>#NAME?</v>
      </c>
      <c r="CZ496" s="2" t="e">
        <f ca="1">_xll.BDH($C$478,"INVENT_DAYS","FQ3 2017","FQ3 2017","Currency=INR","Period=FQ","BEST_FPERIOD_OVERRIDE=FQ","FILING_STATUS=OR","EQY_CONSOLIDATED=Y","FA_ADJUSTED=GAAP","Sort=A","Dates=H","DateFormat=P","Fill=—","Direction=H","UseDPDF=Y")</f>
        <v>#NAME?</v>
      </c>
      <c r="DA496" s="4" t="e">
        <f ca="1">_xll.BDH($C$478,"ACCOUNTS_PAYABLE_TURNOVER","FQ3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496" s="2" t="e">
        <f ca="1">_xll.BDH($C$478,"ACCOUNTS_PAYABLE_TURNOVER_DAYS","FQ3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496" s="4" t="e">
        <f ca="1">_xll.BDH($C$478,"CASH_CONVERSION_CYCLE","FQ3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496" s="4" t="e">
        <f ca="1">_xll.BDH($C$478,"INV_TO_CASH_DAYS","FQ3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496" s="5" t="e">
        <f ca="1">_xll.BDH($C$478,"BS_INVENTORIES","FQ3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496" s="3" t="e">
        <f ca="1">_xll.BDH($C$478,"INVTRY_RAW_MATERIALS","FQ3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496" s="3" t="e">
        <f ca="1">_xll.BDH($C$478,"INVTRY_IN_PROGRESS","FQ3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496" s="3" t="e">
        <f ca="1">_xll.BDH($C$478,"INVTRY_FINISHED_GOODS","FQ3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496" s="3" t="e">
        <f ca="1">_xll.BDH($C$478,"BS_OTHER_INV","FQ3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497" spans="1:113" x14ac:dyDescent="0.3">
      <c r="A497" s="6"/>
      <c r="B497" s="6"/>
      <c r="C497" s="6"/>
      <c r="D497" s="6"/>
      <c r="E497" t="s">
        <v>81</v>
      </c>
      <c r="F497" t="e">
        <f ca="1">_xll.BDH($C$478,"RETURN_COM_EQY","FQ4 2017","FQ4 2017","Currency=INR","Period=FQ","BEST_FPERIOD_OVERRIDE=FQ","FILING_STATUS=OR","EQY_CONSOLIDATED=Y","FA_ADJUSTED=GAAP","Sort=A","Dates=H","DateFormat=P","Fill=—","Direction=H","UseDPDF=Y")</f>
        <v>#NAME?</v>
      </c>
      <c r="G497" t="e">
        <f ca="1">_xll.BDH($C$478,"RETURN_ON_ASSET","FQ4 2017","FQ4 2017","Currency=INR","Period=FQ","BEST_FPERIOD_OVERRIDE=FQ","FILING_STATUS=OR","EQY_CONSOLIDATED=Y","FA_ADJUSTED=GAAP","Sort=A","Dates=H","DateFormat=P","Fill=—","Direction=H","UseDPDF=Y")</f>
        <v>#NAME?</v>
      </c>
      <c r="H497" t="e">
        <f ca="1">_xll.BDH($C$478,"RETURN_ON_CAP","FQ4 2017","FQ4 2017","Currency=INR","Period=FQ","BEST_FPERIOD_OVERRIDE=FQ","FILING_STATUS=OR","EQY_CONSOLIDATED=Y","FA_ADJUSTED=GAAP","Sort=A","Dates=H","DateFormat=P","Fill=—","Direction=H","UseDPDF=Y")</f>
        <v>#NAME?</v>
      </c>
      <c r="I497" t="e">
        <f ca="1">_xll.BDH($C$478,"RETURN_ON_INV_CAPITAL","FQ4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497" t="e">
        <f ca="1">_xll.BDH($C$478,"EBITDA_TO_REVENUE","FQ4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497" t="e">
        <f ca="1">_xll.BDH($C$478,"OPER_MARGIN","FQ4 2017","FQ4 2017","Currency=INR","Period=FQ","BEST_FPERIOD_OVERRIDE=FQ","FILING_STATUS=OR","EQY_CONSOLIDATED=Y","FA_ADJUSTED=GAAP","Sort=A","Dates=H","DateFormat=P","Fill=—","Direction=H","UseDPDF=Y")</f>
        <v>#NAME?</v>
      </c>
      <c r="L497" t="e">
        <f ca="1">_xll.BDH($C$478,"INCREMENTAL_OPERATING_MARGIN","FQ4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497" t="e">
        <f ca="1">_xll.BDH($C$478,"PRETAX_INC_TO_NET_SALES","FQ4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497" t="e">
        <f ca="1">_xll.BDH($C$478,"INC_BEF_XO_ITEMS_TO_NET_SALES","FQ4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497" t="e">
        <f ca="1">_xll.BDH($C$478,"PROF_MARGIN","FQ4 2017","FQ4 2017","Currency=INR","Period=FQ","BEST_FPERIOD_OVERRIDE=FQ","FILING_STATUS=OR","EQY_CONSOLIDATED=Y","FA_ADJUSTED=GAAP","Sort=A","Dates=H","DateFormat=P","Fill=—","Direction=H","UseDPDF=Y")</f>
        <v>#NAME?</v>
      </c>
      <c r="P497" t="e">
        <f ca="1">_xll.BDH($C$478,"NET_INCOME_TO_COMMON_MARGIN","FQ4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497" t="e">
        <f ca="1">_xll.BDH($C$478,"EFF_TAX_RATE","FQ4 2017","FQ4 2017","Currency=INR","Period=FQ","BEST_FPERIOD_OVERRIDE=FQ","FILING_STATUS=OR","EQY_CONSOLIDATED=Y","FA_ADJUSTED=GAAP","Sort=A","Dates=H","DateFormat=P","Fill=—","Direction=H","UseDPDF=Y")</f>
        <v>#NAME?</v>
      </c>
      <c r="R497" t="e">
        <f ca="1">_xll.BDH($C$478,"DVD_PAYOUT_RATIO","FQ4 2017","FQ4 2017","Currency=INR","Period=FQ","BEST_FPERIOD_OVERRIDE=FQ","FILING_STATUS=OR","EQY_CONSOLIDATED=Y","FA_ADJUSTED=GAAP","Sort=A","Dates=H","DateFormat=P","Fill=—","Direction=H","UseDPDF=Y")</f>
        <v>#NAME?</v>
      </c>
      <c r="S497" t="e">
        <f ca="1">_xll.BDH($C$478,"SUSTAIN_GROWTH_RT","FQ4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497" s="2" t="e">
        <f ca="1">_xll.BDH($C$478,"SALES_GROWTH","FQ4 2017","FQ4 2017","Currency=INR","Period=FQ","BEST_FPERIOD_OVERRIDE=FQ","FILING_STATUS=OR","EQY_CONSOLIDATED=Y","FA_ADJUSTED=GAAP","Sort=A","Dates=H","DateFormat=P","Fill=—","Direction=H","UseDPDF=Y")</f>
        <v>#NAME?</v>
      </c>
      <c r="U497" s="2" t="e">
        <f ca="1">_xll.BDH($C$478,"EBITDA_GROWTH","FQ4 2017","FQ4 2017","Currency=INR","Period=FQ","BEST_FPERIOD_OVERRIDE=FQ","FILING_STATUS=OR","EQY_CONSOLIDATED=Y","FA_ADJUSTED=GAAP","Sort=A","Dates=H","DateFormat=P","Fill=—","Direction=H","UseDPDF=Y")</f>
        <v>#NAME?</v>
      </c>
      <c r="V497" s="2" t="e">
        <f ca="1">_xll.BDH($C$478,"OPER_INC_GROWTH","FQ4 2017","FQ4 2017","Currency=INR","Period=FQ","BEST_FPERIOD_OVERRIDE=FQ","FILING_STATUS=OR","EQY_CONSOLIDATED=Y","FA_ADJUSTED=GAAP","Sort=A","Dates=H","DateFormat=P","Fill=—","Direction=H","UseDPDF=Y")</f>
        <v>#NAME?</v>
      </c>
      <c r="W497" s="2" t="e">
        <f ca="1">_xll.BDH($C$478,"EARN_FOR_COM_GROWTH","FQ4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497" s="2" t="e">
        <f ca="1">_xll.BDH($C$478,"DILUTED_EPS_AFT_XO_ITEMS_GROWTH","FQ4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497" s="2" t="e">
        <f ca="1">_xll.BDH($C$478,"DIVIDEND_PER_SHARE_1_YEAR_GROWTH","FQ4 2017","FQ4 2017","Currency=INR","Period=FQ","BEST_FPERIOD_OVERRIDE=FQ","FILING_STATUS=OR","EQY_CONSOLIDATED=Y","Sort=A","Dates=H","DateFormat=P","Fill=—","Direction=H","UseDPDF=Y")</f>
        <v>#NAME?</v>
      </c>
      <c r="Z497" s="2" t="e">
        <f ca="1">_xll.BDH($C$478,"ACCOUNTS_RECEIVABLE_GROWTH","FQ4 2017","FQ4 2017","Currency=INR","Period=FQ","BEST_FPERIOD_OVERRIDE=FQ","FILING_STATUS=OR","EQY_CONSOLIDATED=Y","Sort=A","Dates=H","DateFormat=P","Fill=—","Direction=H","UseDPDF=Y")</f>
        <v>#NAME?</v>
      </c>
      <c r="AA497" s="2" t="e">
        <f ca="1">_xll.BDH($C$478,"INVENTORY_GROWTH","FQ4 2017","FQ4 2017","Currency=INR","Period=FQ","BEST_FPERIOD_OVERRIDE=FQ","FILING_STATUS=OR","EQY_CONSOLIDATED=Y","Sort=A","Dates=H","DateFormat=P","Fill=—","Direction=H","UseDPDF=Y")</f>
        <v>#NAME?</v>
      </c>
      <c r="AB497" s="2" t="e">
        <f ca="1">_xll.BDH($C$478,"NET_FIXED_ASSETS_1_YEAR_GROWTH","FQ4 2017","FQ4 2017","Currency=INR","Period=FQ","BEST_FPERIOD_OVERRIDE=FQ","FILING_STATUS=OR","EQY_CONSOLIDATED=Y","Sort=A","Dates=H","DateFormat=P","Fill=—","Direction=H","UseDPDF=Y")</f>
        <v>#NAME?</v>
      </c>
      <c r="AC497" s="2" t="e">
        <f ca="1">_xll.BDH($C$478,"ASSET_GROWTH","FQ4 2017","FQ4 2017","Currency=INR","Period=FQ","BEST_FPERIOD_OVERRIDE=FQ","FILING_STATUS=OR","EQY_CONSOLIDATED=Y","Sort=A","Dates=H","DateFormat=P","Fill=—","Direction=H","UseDPDF=Y")</f>
        <v>#NAME?</v>
      </c>
      <c r="AD497" s="2" t="e">
        <f ca="1">_xll.BDH($C$478,"MODIFIED_WORK_CAP_GROWTH","FQ4 2017","FQ4 2017","Currency=INR","Period=FQ","BEST_FPERIOD_OVERRIDE=FQ","FILING_STATUS=OR","EQY_CONSOLIDATED=Y","Sort=A","Dates=H","DateFormat=P","Fill=—","Direction=H","UseDPDF=Y")</f>
        <v>#NAME?</v>
      </c>
      <c r="AE497" s="2" t="e">
        <f ca="1">_xll.BDH($C$478,"WORK_CAP_GROWTH","FQ4 2017","FQ4 2017","Currency=INR","Period=FQ","BEST_FPERIOD_OVERRIDE=FQ","FILING_STATUS=OR","EQY_CONSOLIDATED=Y","Sort=A","Dates=H","DateFormat=P","Fill=—","Direction=H","UseDPDF=Y")</f>
        <v>#NAME?</v>
      </c>
      <c r="AF497" s="2" t="e">
        <f ca="1">_xll.BDH($C$478,"ACCOUNTS_PAYABLE_GROWTH_1YR","FQ4 2017","FQ4 2017","Currency=INR","Period=FQ","BEST_FPERIOD_OVERRIDE=FQ","FILING_STATUS=OR","EQY_CONSOLIDATED=Y","Sort=A","Dates=H","DateFormat=P","Fill=—","Direction=H","UseDPDF=Y")</f>
        <v>#NAME?</v>
      </c>
      <c r="AG497" s="2" t="e">
        <f ca="1">_xll.BDH($C$478,"SHORT_TERM_DEBT_1_YEAR_GROWTH","FQ4 2017","FQ4 2017","Currency=INR","Period=FQ","BEST_FPERIOD_OVERRIDE=FQ","FILING_STATUS=OR","EQY_CONSOLIDATED=Y","Sort=A","Dates=H","DateFormat=P","Fill=—","Direction=H","UseDPDF=Y")</f>
        <v>#NAME?</v>
      </c>
      <c r="AH497" s="2" t="e">
        <f ca="1">_xll.BDH($C$478,"TOTAL_DEBT_1_YEAR_GROWTH","FQ4 2017","FQ4 2017","Currency=INR","Period=FQ","BEST_FPERIOD_OVERRIDE=FQ","FILING_STATUS=OR","EQY_CONSOLIDATED=Y","Sort=A","Dates=H","DateFormat=P","Fill=—","Direction=H","UseDPDF=Y")</f>
        <v>#NAME?</v>
      </c>
      <c r="AI497" s="2" t="e">
        <f ca="1">_xll.BDH($C$478,"TOTAL_EQUITY_1_YEAR_GROWTH","FQ4 2017","FQ4 2017","Currency=INR","Period=FQ","BEST_FPERIOD_OVERRIDE=FQ","FILING_STATUS=OR","EQY_CONSOLIDATED=Y","Sort=A","Dates=H","DateFormat=P","Fill=—","Direction=H","UseDPDF=Y")</f>
        <v>#NAME?</v>
      </c>
      <c r="AJ497" s="2" t="e">
        <f ca="1">_xll.BDH($C$478,"GROWTH_IN_CAP","FQ4 2017","FQ4 2017","Currency=INR","Period=FQ","BEST_FPERIOD_OVERRIDE=FQ","FILING_STATUS=OR","EQY_CONSOLIDATED=Y","Sort=A","Dates=H","DateFormat=P","Fill=—","Direction=H","UseDPDF=Y")</f>
        <v>#NAME?</v>
      </c>
      <c r="AK497" s="2" t="e">
        <f ca="1">_xll.BDH($C$478,"BVPS_GROWTH","FQ4 2017","FQ4 2017","Currency=INR","Period=FQ","BEST_FPERIOD_OVERRIDE=FQ","FILING_STATUS=OR","EQY_CONSOLIDATED=Y","Sort=A","Dates=H","DateFormat=P","Fill=—","Direction=H","UseDPDF=Y")</f>
        <v>#NAME?</v>
      </c>
      <c r="AL497" s="2" t="e">
        <f ca="1">_xll.BDH($C$478,"CASH_FLOW_GROWTH","FQ4 2017","FQ4 2017","Currency=INR","Period=FQ","BEST_FPERIOD_OVERRIDE=FQ","FILING_STATUS=OR","EQY_CONSOLIDATED=Y","Sort=A","Dates=H","DateFormat=P","Fill=—","Direction=H","UseDPDF=Y")</f>
        <v>#NAME?</v>
      </c>
      <c r="AM497" s="2" t="e">
        <f ca="1">_xll.BDH($C$478,"GEO_GROW_NET_SALES","FQ4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497" s="2" t="e">
        <f ca="1">_xll.BDH($C$478,"GEO_GROW_EBITDA","FQ4 2017","FQ4 2017","Currency=INR","Period=FQ","BEST_FPERIOD_OVERRIDE=FQ","FILING_STATUS=OR","EQY_CONSOLIDATED=Y","FA_ADJUSTED=GAAP","Sort=A","Dates=H","DateFormat=P","Fill=—","Direction=H","UseDPDF=Y")</f>
        <v>#NAME?</v>
      </c>
      <c r="AO497" s="2" t="e">
        <f ca="1">_xll.BDH($C$478,"GEO_GROW_OPER_INC","FQ4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497" s="2" t="e">
        <f ca="1">_xll.BDH($C$478,"NET_INCOME_TO_COMMON_5_YR_GROWTH","FQ4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497" s="2" t="e">
        <f ca="1">_xll.BDH($C$478,"5Y_GEO_GROWTH_DILUTED_EPS","FQ4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497" s="2" t="e">
        <f ca="1">_xll.BDH($C$478,"GEO_GROW_DVD_PER_SH","FQ4 2017","FQ4 2017","Currency=INR","Period=FQ","BEST_FPERIOD_OVERRIDE=FQ","FILING_STATUS=OR","EQY_CONSOLIDATED=Y","Sort=A","Dates=H","DateFormat=P","Fill=—","Direction=H","UseDPDF=Y")</f>
        <v>#NAME?</v>
      </c>
      <c r="AS497" s="2" t="e">
        <f ca="1">_xll.BDH($C$478,"ACCOUNTS_RECEIVABLE_5_YR_GROWTH","FQ4 2017","FQ4 2017","Currency=INR","Period=FQ","BEST_FPERIOD_OVERRIDE=FQ","FILING_STATUS=OR","EQY_CONSOLIDATED=Y","Sort=A","Dates=H","DateFormat=P","Fill=—","Direction=H","UseDPDF=Y")</f>
        <v>#NAME?</v>
      </c>
      <c r="AT497" s="2" t="e">
        <f ca="1">_xll.BDH($C$478,"INVENTORY_5_YEAR_GROWTH","FQ4 2017","FQ4 2017","Currency=INR","Period=FQ","BEST_FPERIOD_OVERRIDE=FQ","FILING_STATUS=OR","EQY_CONSOLIDATED=Y","Sort=A","Dates=H","DateFormat=P","Fill=—","Direction=H","UseDPDF=Y")</f>
        <v>#NAME?</v>
      </c>
      <c r="AU497" s="2" t="e">
        <f ca="1">_xll.BDH($C$478,"NET_FIXED_ASSETS_5_YEAR_GROWTH","FQ4 2017","FQ4 2017","Currency=INR","Period=FQ","BEST_FPERIOD_OVERRIDE=FQ","FILING_STATUS=OR","EQY_CONSOLIDATED=Y","Sort=A","Dates=H","DateFormat=P","Fill=—","Direction=H","UseDPDF=Y")</f>
        <v>#NAME?</v>
      </c>
      <c r="AV497" s="2" t="e">
        <f ca="1">_xll.BDH($C$478,"GEO_GROW_TOT_ASSET","FQ4 2017","FQ4 2017","Currency=INR","Period=FQ","BEST_FPERIOD_OVERRIDE=FQ","FILING_STATUS=OR","EQY_CONSOLIDATED=Y","Sort=A","Dates=H","DateFormat=P","Fill=—","Direction=H","UseDPDF=Y")</f>
        <v>#NAME?</v>
      </c>
      <c r="AW497" s="2" t="e">
        <f ca="1">_xll.BDH($C$478,"MODIFIED_WORKING_CPTL_5YR_GRWTH","FQ4 2017","FQ4 2017","Currency=INR","Period=FQ","BEST_FPERIOD_OVERRIDE=FQ","FILING_STATUS=OR","EQY_CONSOLIDATED=Y","Sort=A","Dates=H","DateFormat=P","Fill=—","Direction=H","UseDPDF=Y")</f>
        <v>#NAME?</v>
      </c>
      <c r="AX497" s="2" t="e">
        <f ca="1">_xll.BDH($C$478,"WORKING_CAPITAL_5_YEAR_GROWTH","FQ4 2017","FQ4 2017","Currency=INR","Period=FQ","BEST_FPERIOD_OVERRIDE=FQ","FILING_STATUS=OR","EQY_CONSOLIDATED=Y","Sort=A","Dates=H","DateFormat=P","Fill=—","Direction=H","UseDPDF=Y")</f>
        <v>#NAME?</v>
      </c>
      <c r="AY497" s="2" t="e">
        <f ca="1">_xll.BDH($C$478,"ACCOUNTS_PAYABLE_5_YEAR_GROWTH","FQ4 2017","FQ4 2017","Currency=INR","Period=FQ","BEST_FPERIOD_OVERRIDE=FQ","FILING_STATUS=OR","EQY_CONSOLIDATED=Y","Sort=A","Dates=H","DateFormat=P","Fill=—","Direction=H","UseDPDF=Y")</f>
        <v>#NAME?</v>
      </c>
      <c r="AZ497" s="2" t="e">
        <f ca="1">_xll.BDH($C$478,"SHORT_TERM_DEBT_5_YEAR_GROWTH","FQ4 2017","FQ4 2017","Currency=INR","Period=FQ","BEST_FPERIOD_OVERRIDE=FQ","FILING_STATUS=OR","EQY_CONSOLIDATED=Y","Sort=A","Dates=H","DateFormat=P","Fill=—","Direction=H","UseDPDF=Y")</f>
        <v>#NAME?</v>
      </c>
      <c r="BA497" s="2" t="e">
        <f ca="1">_xll.BDH($C$478,"TOTAL_DEBT_5_YEAR_GROWTH","FQ4 2017","FQ4 2017","Currency=INR","Period=FQ","BEST_FPERIOD_OVERRIDE=FQ","FILING_STATUS=OR","EQY_CONSOLIDATED=Y","Sort=A","Dates=H","DateFormat=P","Fill=—","Direction=H","UseDPDF=Y")</f>
        <v>#NAME?</v>
      </c>
      <c r="BB497" s="2" t="e">
        <f ca="1">_xll.BDH($C$478,"GEO_GROW_TOT_SHRHLDR_EQY","FQ4 2017","FQ4 2017","Currency=INR","Period=FQ","BEST_FPERIOD_OVERRIDE=FQ","FILING_STATUS=OR","EQY_CONSOLIDATED=Y","Sort=A","Dates=H","DateFormat=P","Fill=—","Direction=H","UseDPDF=Y")</f>
        <v>#NAME?</v>
      </c>
      <c r="BC497" s="2" t="e">
        <f ca="1">_xll.BDH($C$478,"TOTAL_CAPITAL_5_YEAR_GROWTH","FQ4 2017","FQ4 2017","Currency=INR","Period=FQ","BEST_FPERIOD_OVERRIDE=FQ","FILING_STATUS=OR","EQY_CONSOLIDATED=Y","Sort=A","Dates=H","DateFormat=P","Fill=—","Direction=H","UseDPDF=Y")</f>
        <v>#NAME?</v>
      </c>
      <c r="BD497" s="2" t="e">
        <f ca="1">_xll.BDH($C$478,"GEO_GROW_BOOK_VAL","FQ4 2017","FQ4 2017","Currency=INR","Period=FQ","BEST_FPERIOD_OVERRIDE=FQ","FILING_STATUS=OR","EQY_CONSOLIDATED=Y","Sort=A","Dates=H","DateFormat=P","Fill=—","Direction=H","UseDPDF=Y")</f>
        <v>#NAME?</v>
      </c>
      <c r="BE497" s="2" t="e">
        <f ca="1">_xll.BDH($C$478,"GEO_GROW_CASH_OPER_ACT","FQ4 2017","FQ4 2017","Currency=INR","Period=FQ","BEST_FPERIOD_OVERRIDE=FQ","FILING_STATUS=OR","EQY_CONSOLIDATED=Y","Sort=A","Dates=H","DateFormat=P","Fill=—","Direction=H","UseDPDF=Y")</f>
        <v>#NAME?</v>
      </c>
      <c r="BF497" s="2" t="e">
        <f ca="1">_xll.BDH($C$478,"REVENUE_SEQUENTIAL_GROWTH","FQ4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497" s="2" t="e">
        <f ca="1">_xll.BDH($C$478,"EBITDA_SEQUENTIAL_GROWTH","FQ4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497" s="2" t="e">
        <f ca="1">_xll.BDH($C$478,"OPERATING_INCOME_SEQ_GROWTH","FQ4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497" s="2" t="e">
        <f ca="1">_xll.BDH($C$478,"NET_INCOME_TO_COMMON_SEQ_GROWTH","FQ4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497" s="2" t="e">
        <f ca="1">_xll.BDH($C$478,"EPS_DILUTED_SEQUENTIAL_GROWTH","FQ4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497" s="2" t="e">
        <f ca="1">_xll.BDH($C$478,"DPS_SEQUENTIAL_GROWTH","FQ4 2017","FQ4 2017","Currency=INR","Period=FQ","BEST_FPERIOD_OVERRIDE=FQ","FILING_STATUS=OR","EQY_CONSOLIDATED=Y","Sort=A","Dates=H","DateFormat=P","Fill=—","Direction=H","UseDPDF=Y")</f>
        <v>#NAME?</v>
      </c>
      <c r="BL497" s="2" t="e">
        <f ca="1">_xll.BDH($C$478,"ACCOUNTS_RECEIVABLE_SEQ_GROWTH","FQ4 2017","FQ4 2017","Currency=INR","Period=FQ","BEST_FPERIOD_OVERRIDE=FQ","FILING_STATUS=OR","EQY_CONSOLIDATED=Y","Sort=A","Dates=H","DateFormat=P","Fill=—","Direction=H","UseDPDF=Y")</f>
        <v>#NAME?</v>
      </c>
      <c r="BM497" s="2" t="e">
        <f ca="1">_xll.BDH($C$478,"INVENTORY_SEQUENTIAL_GROWTH","FQ4 2017","FQ4 2017","Currency=INR","Period=FQ","BEST_FPERIOD_OVERRIDE=FQ","FILING_STATUS=OR","EQY_CONSOLIDATED=Y","Sort=A","Dates=H","DateFormat=P","Fill=—","Direction=H","UseDPDF=Y")</f>
        <v>#NAME?</v>
      </c>
      <c r="BN497" s="2" t="e">
        <f ca="1">_xll.BDH($C$478,"FIXED_ASSETS_SEQUENTIAL_GROWTH","FQ4 2017","FQ4 2017","Currency=INR","Period=FQ","BEST_FPERIOD_OVERRIDE=FQ","FILING_STATUS=OR","EQY_CONSOLIDATED=Y","Sort=A","Dates=H","DateFormat=P","Fill=—","Direction=H","UseDPDF=Y")</f>
        <v>#NAME?</v>
      </c>
      <c r="BO497" s="2" t="e">
        <f ca="1">_xll.BDH($C$478,"TOTAL_ASSETS_SEQUENTIAL_GROWTH","FQ4 2017","FQ4 2017","Currency=INR","Period=FQ","BEST_FPERIOD_OVERRIDE=FQ","FILING_STATUS=OR","EQY_CONSOLIDATED=Y","Sort=A","Dates=H","DateFormat=P","Fill=—","Direction=H","UseDPDF=Y")</f>
        <v>#NAME?</v>
      </c>
      <c r="BP497" s="2" t="e">
        <f ca="1">_xll.BDH($C$478,"MODIFIED_WORKING_CPTL_SEQ_GRWTH","FQ4 2017","FQ4 2017","Currency=INR","Period=FQ","BEST_FPERIOD_OVERRIDE=FQ","FILING_STATUS=OR","EQY_CONSOLIDATED=Y","Sort=A","Dates=H","DateFormat=P","Fill=—","Direction=H","UseDPDF=Y")</f>
        <v>#NAME?</v>
      </c>
      <c r="BQ497" s="2" t="e">
        <f ca="1">_xll.BDH($C$478,"WORKING_CAPITAL_SEQ_GROWTH","FQ4 2017","FQ4 2017","Currency=INR","Period=FQ","BEST_FPERIOD_OVERRIDE=FQ","FILING_STATUS=OR","EQY_CONSOLIDATED=Y","Sort=A","Dates=H","DateFormat=P","Fill=—","Direction=H","UseDPDF=Y")</f>
        <v>#NAME?</v>
      </c>
      <c r="BR497" s="2" t="e">
        <f ca="1">_xll.BDH($C$478,"ACCOUNTS_PAYABLE_SEQ_GROWTH","FQ4 2017","FQ4 2017","Currency=INR","Period=FQ","BEST_FPERIOD_OVERRIDE=FQ","FILING_STATUS=OR","EQY_CONSOLIDATED=Y","Sort=A","Dates=H","DateFormat=P","Fill=—","Direction=H","UseDPDF=Y")</f>
        <v>#NAME?</v>
      </c>
      <c r="BS497" s="2" t="e">
        <f ca="1">_xll.BDH($C$478,"ST_DEBT_SEQUENTIAL_GROWTH","FQ4 2017","FQ4 2017","Currency=INR","Period=FQ","BEST_FPERIOD_OVERRIDE=FQ","FILING_STATUS=OR","EQY_CONSOLIDATED=Y","Sort=A","Dates=H","DateFormat=P","Fill=—","Direction=H","UseDPDF=Y")</f>
        <v>#NAME?</v>
      </c>
      <c r="BT497" s="2" t="e">
        <f ca="1">_xll.BDH($C$478,"TOTAL_DEBT_SEQUENTIAL_GROWTH","FQ4 2017","FQ4 2017","Currency=INR","Period=FQ","BEST_FPERIOD_OVERRIDE=FQ","FILING_STATUS=OR","EQY_CONSOLIDATED=Y","Sort=A","Dates=H","DateFormat=P","Fill=—","Direction=H","UseDPDF=Y")</f>
        <v>#NAME?</v>
      </c>
      <c r="BU497" s="2" t="e">
        <f ca="1">_xll.BDH($C$478,"TOTAL_EQUITY_SEQUENTIAL_GROWTH","FQ4 2017","FQ4 2017","Currency=INR","Period=FQ","BEST_FPERIOD_OVERRIDE=FQ","FILING_STATUS=OR","EQY_CONSOLIDATED=Y","Sort=A","Dates=H","DateFormat=P","Fill=—","Direction=H","UseDPDF=Y")</f>
        <v>#NAME?</v>
      </c>
      <c r="BV497" s="2" t="e">
        <f ca="1">_xll.BDH($C$478,"TOTAL_CAPITAL_SEQUENTIAL_GROWTH","FQ4 2017","FQ4 2017","Currency=INR","Period=FQ","BEST_FPERIOD_OVERRIDE=FQ","FILING_STATUS=OR","EQY_CONSOLIDATED=Y","Sort=A","Dates=H","DateFormat=P","Fill=—","Direction=H","UseDPDF=Y")</f>
        <v>#NAME?</v>
      </c>
      <c r="BW497" s="2" t="e">
        <f ca="1">_xll.BDH($C$478,"BPS_SEQUENTIAL_GROWTH","FQ4 2017","FQ4 2017","Currency=INR","Period=FQ","BEST_FPERIOD_OVERRIDE=FQ","FILING_STATUS=OR","EQY_CONSOLIDATED=Y","Sort=A","Dates=H","DateFormat=P","Fill=—","Direction=H","UseDPDF=Y")</f>
        <v>#NAME?</v>
      </c>
      <c r="BX497" s="2" t="e">
        <f ca="1">_xll.BDH($C$478,"CFO_SEQUENTIAL_GROWTH","FQ4 2017","FQ4 2017","Currency=INR","Period=FQ","BEST_FPERIOD_OVERRIDE=FQ","FILING_STATUS=OR","EQY_CONSOLIDATED=Y","Sort=A","Dates=H","DateFormat=P","Fill=—","Direction=H","UseDPDF=Y")</f>
        <v>#NAME?</v>
      </c>
      <c r="BY497" s="3" t="e">
        <f ca="1">_xll.BDH($C$478,"SHORT_AND_LONG_TERM_DEBT","FQ4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497" s="3" t="e">
        <f ca="1">_xll.BDH($C$478,"BS_ST_BORROW","FQ4 2017","FQ4 2017","Currency=INR","Period=FQ","BEST_FPERIOD_OVERRIDE=FQ","FILING_STATUS=OR","EQY_CONSOLIDATED=Y","SCALING_FORMAT=MLN","Sort=A","Dates=H","DateFormat=P","Fill=—","Direction=H","UseDPDF=Y")</f>
        <v>#NAME?</v>
      </c>
      <c r="CA497" s="3" t="e">
        <f ca="1">_xll.BDH($C$478,"BS_LT_BORROW","FQ4 2017","FQ4 2017","Currency=INR","Period=FQ","BEST_FPERIOD_OVERRIDE=FQ","FILING_STATUS=OR","EQY_CONSOLIDATED=Y","SCALING_FORMAT=MLN","Sort=A","Dates=H","DateFormat=P","Fill=—","Direction=H","UseDPDF=Y")</f>
        <v>#NAME?</v>
      </c>
      <c r="CB497" s="2" t="e">
        <f ca="1">_xll.BDH($C$478,"TOT_DEBT_TO_EBITDA","FQ4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497" s="2" t="e">
        <f ca="1">_xll.BDH($C$478,"NET_DEBT_TO_EBITDA","FQ4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497" s="2" t="e">
        <f ca="1">_xll.BDH($C$478,"TOTAL_DEBT_TO_EBIT","FQ4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497" s="2" t="e">
        <f ca="1">_xll.BDH($C$478,"NET_DEBT_TO_EBIT","FQ4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497" s="2" t="e">
        <f ca="1">_xll.BDH($C$478,"EBITDA_TO_INTEREST_EXPN","FQ4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497" s="2" t="e">
        <f ca="1">_xll.BDH($C$478,"COM_EQY_TO_TOT_ASSET","FQ4 2017","FQ4 2017","Currency=INR","Period=FQ","BEST_FPERIOD_OVERRIDE=FQ","FILING_STATUS=OR","EQY_CONSOLIDATED=Y","Sort=A","Dates=H","DateFormat=P","Fill=—","Direction=H","UseDPDF=Y")</f>
        <v>#NAME?</v>
      </c>
      <c r="CH497" s="2" t="e">
        <f ca="1">_xll.BDH($C$478,"LT_DEBT_TO_TOT_EQY","FQ4 2017","FQ4 2017","Currency=INR","Period=FQ","BEST_FPERIOD_OVERRIDE=FQ","FILING_STATUS=OR","EQY_CONSOLIDATED=Y","Sort=A","Dates=H","DateFormat=P","Fill=—","Direction=H","UseDPDF=Y")</f>
        <v>#NAME?</v>
      </c>
      <c r="CI497" s="2" t="e">
        <f ca="1">_xll.BDH($C$478,"LT_DEBT_TO_TOT_CAP","FQ4 2017","FQ4 2017","Currency=INR","Period=FQ","BEST_FPERIOD_OVERRIDE=FQ","FILING_STATUS=OR","EQY_CONSOLIDATED=Y","Sort=A","Dates=H","DateFormat=P","Fill=—","Direction=H","UseDPDF=Y")</f>
        <v>#NAME?</v>
      </c>
      <c r="CJ497" s="2" t="e">
        <f ca="1">_xll.BDH($C$478,"LT_DEBT_TO_TOT_ASSET","FQ4 2017","FQ4 2017","Currency=INR","Period=FQ","BEST_FPERIOD_OVERRIDE=FQ","FILING_STATUS=OR","EQY_CONSOLIDATED=Y","Sort=A","Dates=H","DateFormat=P","Fill=—","Direction=H","UseDPDF=Y")</f>
        <v>#NAME?</v>
      </c>
      <c r="CK497" s="2" t="e">
        <f ca="1">_xll.BDH($C$478,"TOT_DEBT_TO_TOT_EQY","FQ4 2017","FQ4 2017","Currency=INR","Period=FQ","BEST_FPERIOD_OVERRIDE=FQ","FILING_STATUS=OR","EQY_CONSOLIDATED=Y","Sort=A","Dates=H","DateFormat=P","Fill=—","Direction=H","UseDPDF=Y")</f>
        <v>#NAME?</v>
      </c>
      <c r="CL497" s="2" t="e">
        <f ca="1">_xll.BDH($C$478,"TOT_DEBT_TO_TOT_CAP","FQ4 2017","FQ4 2017","Currency=INR","Period=FQ","BEST_FPERIOD_OVERRIDE=FQ","FILING_STATUS=OR","EQY_CONSOLIDATED=Y","Sort=A","Dates=H","DateFormat=P","Fill=—","Direction=H","UseDPDF=Y")</f>
        <v>#NAME?</v>
      </c>
      <c r="CM497" s="2" t="e">
        <f ca="1">_xll.BDH($C$478,"TOT_DEBT_TO_TOT_ASSET","FQ4 2017","FQ4 2017","Currency=INR","Period=FQ","BEST_FPERIOD_OVERRIDE=FQ","FILING_STATUS=OR","EQY_CONSOLIDATED=Y","Sort=A","Dates=H","DateFormat=P","Fill=—","Direction=H","UseDPDF=Y")</f>
        <v>#NAME?</v>
      </c>
      <c r="CN497" s="2" t="e">
        <f ca="1">_xll.BDH($C$478,"NET_DEBT_TO_SHRHLDR_EQTY","FQ4 2017","FQ4 2017","Currency=INR","Period=FQ","BEST_FPERIOD_OVERRIDE=FQ","FILING_STATUS=OR","EQY_CONSOLIDATED=Y","Sort=A","Dates=H","DateFormat=P","Fill=—","Direction=H","UseDPDF=Y")</f>
        <v>#NAME?</v>
      </c>
      <c r="CO497" s="2" t="e">
        <f ca="1">_xll.BDH($C$478,"NET_DEBT_%_CAPITAL","FQ4 2017","FQ4 2017","Currency=INR","Period=FQ","BEST_FPERIOD_OVERRIDE=FQ","FILING_STATUS=OR","EQY_CONSOLIDATED=Y","Sort=A","Dates=H","DateFormat=P","Fill=—","Direction=H","UseDPDF=Y")</f>
        <v>#NAME?</v>
      </c>
      <c r="CP497" s="3" t="e">
        <f ca="1">_xll.BDH($C$478,"EBITDA","FQ4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497" s="3" t="e">
        <f ca="1">_xll.BDH($C$478,"EBITDA_AFTER_CAPEX","FQ4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497" s="3" t="e">
        <f ca="1">_xll.BDH($C$478,"IS_OPER_INC","FQ4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497" s="2" t="e">
        <f ca="1">_xll.BDH($C$478,"CASH_RATIO","FQ4 2017","FQ4 2017","Currency=INR","Period=FQ","BEST_FPERIOD_OVERRIDE=FQ","FILING_STATUS=OR","EQY_CONSOLIDATED=Y","Sort=A","Dates=H","DateFormat=P","Fill=—","Direction=H","UseDPDF=Y")</f>
        <v>#NAME?</v>
      </c>
      <c r="CT497" s="2" t="e">
        <f ca="1">_xll.BDH($C$478,"CUR_RATIO","FQ4 2017","FQ4 2017","Currency=INR","Period=FQ","BEST_FPERIOD_OVERRIDE=FQ","FILING_STATUS=OR","EQY_CONSOLIDATED=Y","Sort=A","Dates=H","DateFormat=P","Fill=—","Direction=H","UseDPDF=Y")</f>
        <v>#NAME?</v>
      </c>
      <c r="CU497" s="2" t="e">
        <f ca="1">_xll.BDH($C$478,"QUICK_RATIO","FQ4 2017","FQ4 2017","Currency=INR","Period=FQ","BEST_FPERIOD_OVERRIDE=FQ","FILING_STATUS=OR","EQY_CONSOLIDATED=Y","Sort=A","Dates=H","DateFormat=P","Fill=—","Direction=H","UseDPDF=Y")</f>
        <v>#NAME?</v>
      </c>
      <c r="CV497" s="2" t="e">
        <f ca="1">_xll.BDH($C$478,"ALTMAN_Z_SCORE","FQ4 2017","FQ4 2017","Currency=INR","Period=FQ","BEST_FPERIOD_OVERRIDE=FQ","FILING_STATUS=OR","EQY_CONSOLIDATED=Y","Sort=A","Dates=H","DateFormat=P","Fill=—","Direction=H","UseDPDF=Y")</f>
        <v>#NAME?</v>
      </c>
      <c r="CW497" s="4" t="e">
        <f ca="1">_xll.BDH($C$478,"ACCT_RCV_TURN","FQ4 2017","FQ4 2017","Currency=INR","Period=FQ","BEST_FPERIOD_OVERRIDE=FQ","FILING_STATUS=OR","EQY_CONSOLIDATED=Y","FA_ADJUSTED=GAAP","Sort=A","Dates=H","DateFormat=P","Fill=—","Direction=H","UseDPDF=Y")</f>
        <v>#NAME?</v>
      </c>
      <c r="CX497" s="2" t="e">
        <f ca="1">_xll.BDH($C$478,"ACCT_RCV_DAYS","FQ4 2017","FQ4 2017","Currency=INR","Period=FQ","BEST_FPERIOD_OVERRIDE=FQ","FILING_STATUS=OR","EQY_CONSOLIDATED=Y","FA_ADJUSTED=GAAP","Sort=A","Dates=H","DateFormat=P","Fill=—","Direction=H","UseDPDF=Y")</f>
        <v>#NAME?</v>
      </c>
      <c r="CY497" s="4" t="e">
        <f ca="1">_xll.BDH($C$478,"INVENT_TURN","FQ4 2017","FQ4 2017","Currency=INR","Period=FQ","BEST_FPERIOD_OVERRIDE=FQ","FILING_STATUS=OR","EQY_CONSOLIDATED=Y","FA_ADJUSTED=GAAP","Sort=A","Dates=H","DateFormat=P","Fill=—","Direction=H","UseDPDF=Y")</f>
        <v>#NAME?</v>
      </c>
      <c r="CZ497" s="2" t="e">
        <f ca="1">_xll.BDH($C$478,"INVENT_DAYS","FQ4 2017","FQ4 2017","Currency=INR","Period=FQ","BEST_FPERIOD_OVERRIDE=FQ","FILING_STATUS=OR","EQY_CONSOLIDATED=Y","FA_ADJUSTED=GAAP","Sort=A","Dates=H","DateFormat=P","Fill=—","Direction=H","UseDPDF=Y")</f>
        <v>#NAME?</v>
      </c>
      <c r="DA497" s="4" t="e">
        <f ca="1">_xll.BDH($C$478,"ACCOUNTS_PAYABLE_TURNOVER","FQ4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497" s="2" t="e">
        <f ca="1">_xll.BDH($C$478,"ACCOUNTS_PAYABLE_TURNOVER_DAYS","FQ4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497" s="4" t="e">
        <f ca="1">_xll.BDH($C$478,"CASH_CONVERSION_CYCLE","FQ4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497" s="4" t="e">
        <f ca="1">_xll.BDH($C$478,"INV_TO_CASH_DAYS","FQ4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497" s="5" t="e">
        <f ca="1">_xll.BDH($C$478,"BS_INVENTORIES","FQ4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497" s="3" t="e">
        <f ca="1">_xll.BDH($C$478,"INVTRY_RAW_MATERIALS","FQ4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497" s="3" t="e">
        <f ca="1">_xll.BDH($C$478,"INVTRY_IN_PROGRESS","FQ4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497" s="3" t="e">
        <f ca="1">_xll.BDH($C$478,"INVTRY_FINISHED_GOODS","FQ4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497" s="3" t="e">
        <f ca="1">_xll.BDH($C$478,"BS_OTHER_INV","FQ4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498" spans="1:113" x14ac:dyDescent="0.3">
      <c r="A498" s="6"/>
      <c r="B498" s="6"/>
      <c r="C498" s="6"/>
      <c r="D498" s="6" t="s">
        <v>85</v>
      </c>
      <c r="E498" t="s">
        <v>77</v>
      </c>
      <c r="F498" t="e">
        <f ca="1">_xll.BDH($C$478,"RETURN_COM_EQY","FY 2018","FY 2018","Currency=INR","Period=FY","BEST_FPERIOD_OVERRIDE=FY","FILING_STATUS=OR","EQY_CONSOLIDATED=Y","FA_ADJUSTED=GAAP","Sort=A","Dates=H","DateFormat=P","Fill=—","Direction=H","UseDPDF=Y")</f>
        <v>#NAME?</v>
      </c>
      <c r="G498" t="e">
        <f ca="1">_xll.BDH($C$478,"RETURN_ON_ASSET","FY 2018","FY 2018","Currency=INR","Period=FY","BEST_FPERIOD_OVERRIDE=FY","FILING_STATUS=OR","EQY_CONSOLIDATED=Y","FA_ADJUSTED=GAAP","Sort=A","Dates=H","DateFormat=P","Fill=—","Direction=H","UseDPDF=Y")</f>
        <v>#NAME?</v>
      </c>
      <c r="H498" t="e">
        <f ca="1">_xll.BDH($C$478,"RETURN_ON_CAP","FY 2018","FY 2018","Currency=INR","Period=FY","BEST_FPERIOD_OVERRIDE=FY","FILING_STATUS=OR","EQY_CONSOLIDATED=Y","FA_ADJUSTED=GAAP","Sort=A","Dates=H","DateFormat=P","Fill=—","Direction=H","UseDPDF=Y")</f>
        <v>#NAME?</v>
      </c>
      <c r="I498" t="e">
        <f ca="1">_xll.BDH($C$478,"RETURN_ON_INV_CAPITAL","FY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498" t="e">
        <f ca="1">_xll.BDH($C$478,"EBITDA_TO_REVENUE","FY 2018","FY 2018","Currency=INR","Period=FY","BEST_FPERIOD_OVERRIDE=FY","FILING_STATUS=OR","EQY_CONSOLIDATED=Y","FA_ADJUSTED=GAAP","Sort=A","Dates=H","DateFormat=P","Fill=—","Direction=H","UseDPDF=Y")</f>
        <v>#NAME?</v>
      </c>
      <c r="K498" t="e">
        <f ca="1">_xll.BDH($C$478,"OPER_MARGIN","FY 2018","FY 2018","Currency=INR","Period=FY","BEST_FPERIOD_OVERRIDE=FY","FILING_STATUS=OR","EQY_CONSOLIDATED=Y","FA_ADJUSTED=GAAP","Sort=A","Dates=H","DateFormat=P","Fill=—","Direction=H","UseDPDF=Y")</f>
        <v>#NAME?</v>
      </c>
      <c r="L498" t="e">
        <f ca="1">_xll.BDH($C$478,"INCREMENTAL_OPERATING_MARGIN","FY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498" t="e">
        <f ca="1">_xll.BDH($C$478,"PRETAX_INC_TO_NET_SALES","FY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498" t="e">
        <f ca="1">_xll.BDH($C$478,"INC_BEF_XO_ITEMS_TO_NET_SALES","FY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498" t="e">
        <f ca="1">_xll.BDH($C$478,"PROF_MARGIN","FY 2018","FY 2018","Currency=INR","Period=FY","BEST_FPERIOD_OVERRIDE=FY","FILING_STATUS=OR","EQY_CONSOLIDATED=Y","FA_ADJUSTED=GAAP","Sort=A","Dates=H","DateFormat=P","Fill=—","Direction=H","UseDPDF=Y")</f>
        <v>#NAME?</v>
      </c>
      <c r="P498" t="e">
        <f ca="1">_xll.BDH($C$478,"NET_INCOME_TO_COMMON_MARGIN","FY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498" t="e">
        <f ca="1">_xll.BDH($C$478,"EFF_TAX_RATE","FY 2018","FY 2018","Currency=INR","Period=FY","BEST_FPERIOD_OVERRIDE=FY","FILING_STATUS=OR","EQY_CONSOLIDATED=Y","FA_ADJUSTED=GAAP","Sort=A","Dates=H","DateFormat=P","Fill=—","Direction=H","UseDPDF=Y")</f>
        <v>#NAME?</v>
      </c>
      <c r="R498" t="e">
        <f ca="1">_xll.BDH($C$478,"DVD_PAYOUT_RATIO","FY 2018","FY 2018","Currency=INR","Period=FY","BEST_FPERIOD_OVERRIDE=FY","FILING_STATUS=OR","EQY_CONSOLIDATED=Y","FA_ADJUSTED=GAAP","Sort=A","Dates=H","DateFormat=P","Fill=—","Direction=H","UseDPDF=Y")</f>
        <v>#NAME?</v>
      </c>
      <c r="S498" t="e">
        <f ca="1">_xll.BDH($C$478,"SUSTAIN_GROWTH_RT","FY 2018","FY 2018","Currency=INR","Period=FY","BEST_FPERIOD_OVERRIDE=FY","FILING_STATUS=OR","EQY_CONSOLIDATED=Y","FA_ADJUSTED=GAAP","Sort=A","Dates=H","DateFormat=P","Fill=—","Direction=H","UseDPDF=Y")</f>
        <v>#NAME?</v>
      </c>
      <c r="T498" s="2" t="e">
        <f ca="1">_xll.BDH($C$478,"SALES_GROWTH","FY 2018","FY 2018","Currency=INR","Period=FY","BEST_FPERIOD_OVERRIDE=FY","FILING_STATUS=OR","EQY_CONSOLIDATED=Y","FA_ADJUSTED=GAAP","Sort=A","Dates=H","DateFormat=P","Fill=—","Direction=H","UseDPDF=Y")</f>
        <v>#NAME?</v>
      </c>
      <c r="U498" s="2" t="e">
        <f ca="1">_xll.BDH($C$478,"EBITDA_GROWTH","FY 2018","FY 2018","Currency=INR","Period=FY","BEST_FPERIOD_OVERRIDE=FY","FILING_STATUS=OR","EQY_CONSOLIDATED=Y","FA_ADJUSTED=GAAP","Sort=A","Dates=H","DateFormat=P","Fill=—","Direction=H","UseDPDF=Y")</f>
        <v>#NAME?</v>
      </c>
      <c r="V498" s="2" t="e">
        <f ca="1">_xll.BDH($C$478,"OPER_INC_GROWTH","FY 2018","FY 2018","Currency=INR","Period=FY","BEST_FPERIOD_OVERRIDE=FY","FILING_STATUS=OR","EQY_CONSOLIDATED=Y","FA_ADJUSTED=GAAP","Sort=A","Dates=H","DateFormat=P","Fill=—","Direction=H","UseDPDF=Y")</f>
        <v>#NAME?</v>
      </c>
      <c r="W498" s="2" t="e">
        <f ca="1">_xll.BDH($C$478,"EARN_FOR_COM_GROWTH","FY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498" s="2" t="e">
        <f ca="1">_xll.BDH($C$478,"DILUTED_EPS_AFT_XO_ITEMS_GROWTH","FY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498" s="2" t="e">
        <f ca="1">_xll.BDH($C$478,"DIVIDEND_PER_SHARE_1_YEAR_GROWTH","FY 2018","FY 2018","Currency=INR","Period=FY","BEST_FPERIOD_OVERRIDE=FY","FILING_STATUS=OR","EQY_CONSOLIDATED=Y","Sort=A","Dates=H","DateFormat=P","Fill=—","Direction=H","UseDPDF=Y")</f>
        <v>#NAME?</v>
      </c>
      <c r="Z498" s="2" t="e">
        <f ca="1">_xll.BDH($C$478,"ACCOUNTS_RECEIVABLE_GROWTH","FY 2018","FY 2018","Currency=INR","Period=FY","BEST_FPERIOD_OVERRIDE=FY","FILING_STATUS=OR","EQY_CONSOLIDATED=Y","Sort=A","Dates=H","DateFormat=P","Fill=—","Direction=H","UseDPDF=Y")</f>
        <v>#NAME?</v>
      </c>
      <c r="AA498" s="2" t="e">
        <f ca="1">_xll.BDH($C$478,"INVENTORY_GROWTH","FY 2018","FY 2018","Currency=INR","Period=FY","BEST_FPERIOD_OVERRIDE=FY","FILING_STATUS=OR","EQY_CONSOLIDATED=Y","Sort=A","Dates=H","DateFormat=P","Fill=—","Direction=H","UseDPDF=Y")</f>
        <v>#NAME?</v>
      </c>
      <c r="AB498" s="2" t="e">
        <f ca="1">_xll.BDH($C$478,"NET_FIXED_ASSETS_1_YEAR_GROWTH","FY 2018","FY 2018","Currency=INR","Period=FY","BEST_FPERIOD_OVERRIDE=FY","FILING_STATUS=OR","EQY_CONSOLIDATED=Y","Sort=A","Dates=H","DateFormat=P","Fill=—","Direction=H","UseDPDF=Y")</f>
        <v>#NAME?</v>
      </c>
      <c r="AC498" s="2" t="e">
        <f ca="1">_xll.BDH($C$478,"ASSET_GROWTH","FY 2018","FY 2018","Currency=INR","Period=FY","BEST_FPERIOD_OVERRIDE=FY","FILING_STATUS=OR","EQY_CONSOLIDATED=Y","Sort=A","Dates=H","DateFormat=P","Fill=—","Direction=H","UseDPDF=Y")</f>
        <v>#NAME?</v>
      </c>
      <c r="AD498" s="2" t="e">
        <f ca="1">_xll.BDH($C$478,"MODIFIED_WORK_CAP_GROWTH","FY 2018","FY 2018","Currency=INR","Period=FY","BEST_FPERIOD_OVERRIDE=FY","FILING_STATUS=OR","EQY_CONSOLIDATED=Y","Sort=A","Dates=H","DateFormat=P","Fill=—","Direction=H","UseDPDF=Y")</f>
        <v>#NAME?</v>
      </c>
      <c r="AE498" s="2" t="e">
        <f ca="1">_xll.BDH($C$478,"WORK_CAP_GROWTH","FY 2018","FY 2018","Currency=INR","Period=FY","BEST_FPERIOD_OVERRIDE=FY","FILING_STATUS=OR","EQY_CONSOLIDATED=Y","Sort=A","Dates=H","DateFormat=P","Fill=—","Direction=H","UseDPDF=Y")</f>
        <v>#NAME?</v>
      </c>
      <c r="AF498" s="2" t="e">
        <f ca="1">_xll.BDH($C$478,"ACCOUNTS_PAYABLE_GROWTH_1YR","FY 2018","FY 2018","Currency=INR","Period=FY","BEST_FPERIOD_OVERRIDE=FY","FILING_STATUS=OR","EQY_CONSOLIDATED=Y","Sort=A","Dates=H","DateFormat=P","Fill=—","Direction=H","UseDPDF=Y")</f>
        <v>#NAME?</v>
      </c>
      <c r="AG498" s="2" t="e">
        <f ca="1">_xll.BDH($C$478,"SHORT_TERM_DEBT_1_YEAR_GROWTH","FY 2018","FY 2018","Currency=INR","Period=FY","BEST_FPERIOD_OVERRIDE=FY","FILING_STATUS=OR","EQY_CONSOLIDATED=Y","Sort=A","Dates=H","DateFormat=P","Fill=—","Direction=H","UseDPDF=Y")</f>
        <v>#NAME?</v>
      </c>
      <c r="AH498" s="2" t="e">
        <f ca="1">_xll.BDH($C$478,"TOTAL_DEBT_1_YEAR_GROWTH","FY 2018","FY 2018","Currency=INR","Period=FY","BEST_FPERIOD_OVERRIDE=FY","FILING_STATUS=OR","EQY_CONSOLIDATED=Y","Sort=A","Dates=H","DateFormat=P","Fill=—","Direction=H","UseDPDF=Y")</f>
        <v>#NAME?</v>
      </c>
      <c r="AI498" s="2" t="e">
        <f ca="1">_xll.BDH($C$478,"TOTAL_EQUITY_1_YEAR_GROWTH","FY 2018","FY 2018","Currency=INR","Period=FY","BEST_FPERIOD_OVERRIDE=FY","FILING_STATUS=OR","EQY_CONSOLIDATED=Y","Sort=A","Dates=H","DateFormat=P","Fill=—","Direction=H","UseDPDF=Y")</f>
        <v>#NAME?</v>
      </c>
      <c r="AJ498" s="2" t="e">
        <f ca="1">_xll.BDH($C$478,"GROWTH_IN_CAP","FY 2018","FY 2018","Currency=INR","Period=FY","BEST_FPERIOD_OVERRIDE=FY","FILING_STATUS=OR","EQY_CONSOLIDATED=Y","Sort=A","Dates=H","DateFormat=P","Fill=—","Direction=H","UseDPDF=Y")</f>
        <v>#NAME?</v>
      </c>
      <c r="AK498" s="2" t="e">
        <f ca="1">_xll.BDH($C$478,"BVPS_GROWTH","FY 2018","FY 2018","Currency=INR","Period=FY","BEST_FPERIOD_OVERRIDE=FY","FILING_STATUS=OR","EQY_CONSOLIDATED=Y","Sort=A","Dates=H","DateFormat=P","Fill=—","Direction=H","UseDPDF=Y")</f>
        <v>#NAME?</v>
      </c>
      <c r="AL498" s="2" t="e">
        <f ca="1">_xll.BDH($C$478,"CASH_FLOW_GROWTH","FY 2018","FY 2018","Currency=INR","Period=FY","BEST_FPERIOD_OVERRIDE=FY","FILING_STATUS=OR","EQY_CONSOLIDATED=Y","Sort=A","Dates=H","DateFormat=P","Fill=—","Direction=H","UseDPDF=Y")</f>
        <v>#NAME?</v>
      </c>
      <c r="AM498" s="2" t="e">
        <f ca="1">_xll.BDH($C$478,"GEO_GROW_NET_SALES","FY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498" s="2" t="e">
        <f ca="1">_xll.BDH($C$478,"GEO_GROW_EBITDA","FY 2018","FY 2018","Currency=INR","Period=FY","BEST_FPERIOD_OVERRIDE=FY","FILING_STATUS=OR","EQY_CONSOLIDATED=Y","FA_ADJUSTED=GAAP","Sort=A","Dates=H","DateFormat=P","Fill=—","Direction=H","UseDPDF=Y")</f>
        <v>#NAME?</v>
      </c>
      <c r="AO498" s="2" t="e">
        <f ca="1">_xll.BDH($C$478,"GEO_GROW_OPER_INC","FY 2018","FY 2018","Currency=INR","Period=FY","BEST_FPERIOD_OVERRIDE=FY","FILING_STATUS=OR","EQY_CONSOLIDATED=Y","FA_ADJUSTED=GAAP","Sort=A","Dates=H","DateFormat=P","Fill=—","Direction=H","UseDPDF=Y")</f>
        <v>#NAME?</v>
      </c>
      <c r="AP498" s="2" t="e">
        <f ca="1">_xll.BDH($C$478,"NET_INCOME_TO_COMMON_5_YR_GROWTH","FY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498" s="2" t="e">
        <f ca="1">_xll.BDH($C$478,"5Y_GEO_GROWTH_DILUTED_EPS","FY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498" s="2" t="e">
        <f ca="1">_xll.BDH($C$478,"GEO_GROW_DVD_PER_SH","FY 2018","FY 2018","Currency=INR","Period=FY","BEST_FPERIOD_OVERRIDE=FY","FILING_STATUS=OR","EQY_CONSOLIDATED=Y","Sort=A","Dates=H","DateFormat=P","Fill=—","Direction=H","UseDPDF=Y")</f>
        <v>#NAME?</v>
      </c>
      <c r="AS498" s="2" t="e">
        <f ca="1">_xll.BDH($C$478,"ACCOUNTS_RECEIVABLE_5_YR_GROWTH","FY 2018","FY 2018","Currency=INR","Period=FY","BEST_FPERIOD_OVERRIDE=FY","FILING_STATUS=OR","EQY_CONSOLIDATED=Y","Sort=A","Dates=H","DateFormat=P","Fill=—","Direction=H","UseDPDF=Y")</f>
        <v>#NAME?</v>
      </c>
      <c r="AT498" s="2" t="e">
        <f ca="1">_xll.BDH($C$478,"INVENTORY_5_YEAR_GROWTH","FY 2018","FY 2018","Currency=INR","Period=FY","BEST_FPERIOD_OVERRIDE=FY","FILING_STATUS=OR","EQY_CONSOLIDATED=Y","Sort=A","Dates=H","DateFormat=P","Fill=—","Direction=H","UseDPDF=Y")</f>
        <v>#NAME?</v>
      </c>
      <c r="AU498" s="2" t="e">
        <f ca="1">_xll.BDH($C$478,"NET_FIXED_ASSETS_5_YEAR_GROWTH","FY 2018","FY 2018","Currency=INR","Period=FY","BEST_FPERIOD_OVERRIDE=FY","FILING_STATUS=OR","EQY_CONSOLIDATED=Y","Sort=A","Dates=H","DateFormat=P","Fill=—","Direction=H","UseDPDF=Y")</f>
        <v>#NAME?</v>
      </c>
      <c r="AV498" s="2" t="e">
        <f ca="1">_xll.BDH($C$478,"GEO_GROW_TOT_ASSET","FY 2018","FY 2018","Currency=INR","Period=FY","BEST_FPERIOD_OVERRIDE=FY","FILING_STATUS=OR","EQY_CONSOLIDATED=Y","Sort=A","Dates=H","DateFormat=P","Fill=—","Direction=H","UseDPDF=Y")</f>
        <v>#NAME?</v>
      </c>
      <c r="AW498" s="2" t="e">
        <f ca="1">_xll.BDH($C$478,"MODIFIED_WORKING_CPTL_5YR_GRWTH","FY 2018","FY 2018","Currency=INR","Period=FY","BEST_FPERIOD_OVERRIDE=FY","FILING_STATUS=OR","EQY_CONSOLIDATED=Y","Sort=A","Dates=H","DateFormat=P","Fill=—","Direction=H","UseDPDF=Y")</f>
        <v>#NAME?</v>
      </c>
      <c r="AX498" s="2" t="e">
        <f ca="1">_xll.BDH($C$478,"WORKING_CAPITAL_5_YEAR_GROWTH","FY 2018","FY 2018","Currency=INR","Period=FY","BEST_FPERIOD_OVERRIDE=FY","FILING_STATUS=OR","EQY_CONSOLIDATED=Y","Sort=A","Dates=H","DateFormat=P","Fill=—","Direction=H","UseDPDF=Y")</f>
        <v>#NAME?</v>
      </c>
      <c r="AY498" s="2" t="e">
        <f ca="1">_xll.BDH($C$478,"ACCOUNTS_PAYABLE_5_YEAR_GROWTH","FY 2018","FY 2018","Currency=INR","Period=FY","BEST_FPERIOD_OVERRIDE=FY","FILING_STATUS=OR","EQY_CONSOLIDATED=Y","Sort=A","Dates=H","DateFormat=P","Fill=—","Direction=H","UseDPDF=Y")</f>
        <v>#NAME?</v>
      </c>
      <c r="AZ498" s="2" t="e">
        <f ca="1">_xll.BDH($C$478,"SHORT_TERM_DEBT_5_YEAR_GROWTH","FY 2018","FY 2018","Currency=INR","Period=FY","BEST_FPERIOD_OVERRIDE=FY","FILING_STATUS=OR","EQY_CONSOLIDATED=Y","Sort=A","Dates=H","DateFormat=P","Fill=—","Direction=H","UseDPDF=Y")</f>
        <v>#NAME?</v>
      </c>
      <c r="BA498" s="2" t="e">
        <f ca="1">_xll.BDH($C$478,"TOTAL_DEBT_5_YEAR_GROWTH","FY 2018","FY 2018","Currency=INR","Period=FY","BEST_FPERIOD_OVERRIDE=FY","FILING_STATUS=OR","EQY_CONSOLIDATED=Y","Sort=A","Dates=H","DateFormat=P","Fill=—","Direction=H","UseDPDF=Y")</f>
        <v>#NAME?</v>
      </c>
      <c r="BB498" s="2" t="e">
        <f ca="1">_xll.BDH($C$478,"GEO_GROW_TOT_SHRHLDR_EQY","FY 2018","FY 2018","Currency=INR","Period=FY","BEST_FPERIOD_OVERRIDE=FY","FILING_STATUS=OR","EQY_CONSOLIDATED=Y","Sort=A","Dates=H","DateFormat=P","Fill=—","Direction=H","UseDPDF=Y")</f>
        <v>#NAME?</v>
      </c>
      <c r="BC498" s="2" t="e">
        <f ca="1">_xll.BDH($C$478,"TOTAL_CAPITAL_5_YEAR_GROWTH","FY 2018","FY 2018","Currency=INR","Period=FY","BEST_FPERIOD_OVERRIDE=FY","FILING_STATUS=OR","EQY_CONSOLIDATED=Y","Sort=A","Dates=H","DateFormat=P","Fill=—","Direction=H","UseDPDF=Y")</f>
        <v>#NAME?</v>
      </c>
      <c r="BD498" s="2" t="e">
        <f ca="1">_xll.BDH($C$478,"GEO_GROW_BOOK_VAL","FY 2018","FY 2018","Currency=INR","Period=FY","BEST_FPERIOD_OVERRIDE=FY","FILING_STATUS=OR","EQY_CONSOLIDATED=Y","Sort=A","Dates=H","DateFormat=P","Fill=—","Direction=H","UseDPDF=Y")</f>
        <v>#NAME?</v>
      </c>
      <c r="BE498" s="2" t="e">
        <f ca="1">_xll.BDH($C$478,"GEO_GROW_CASH_OPER_ACT","FY 2018","FY 2018","Currency=INR","Period=FY","BEST_FPERIOD_OVERRIDE=FY","FILING_STATUS=OR","EQY_CONSOLIDATED=Y","Sort=A","Dates=H","DateFormat=P","Fill=—","Direction=H","UseDPDF=Y")</f>
        <v>#NAME?</v>
      </c>
      <c r="BF498" s="2" t="e">
        <f ca="1">_xll.BDH($C$478,"REVENUE_SEQUENTIAL_GROWTH","FY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498" s="2" t="e">
        <f ca="1">_xll.BDH($C$478,"EBITDA_SEQUENTIAL_GROWTH","FY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498" s="2" t="e">
        <f ca="1">_xll.BDH($C$478,"OPERATING_INCOME_SEQ_GROWTH","FY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498" s="2" t="e">
        <f ca="1">_xll.BDH($C$478,"NET_INCOME_TO_COMMON_SEQ_GROWTH","FY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498" s="2" t="e">
        <f ca="1">_xll.BDH($C$478,"EPS_DILUTED_SEQUENTIAL_GROWTH","FY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498" s="2" t="e">
        <f ca="1">_xll.BDH($C$478,"DPS_SEQUENTIAL_GROWTH","FY 2018","FY 2018","Currency=INR","Period=FY","BEST_FPERIOD_OVERRIDE=FY","FILING_STATUS=OR","EQY_CONSOLIDATED=Y","Sort=A","Dates=H","DateFormat=P","Fill=—","Direction=H","UseDPDF=Y")</f>
        <v>#NAME?</v>
      </c>
      <c r="BL498" s="2" t="e">
        <f ca="1">_xll.BDH($C$478,"ACCOUNTS_RECEIVABLE_SEQ_GROWTH","FY 2018","FY 2018","Currency=INR","Period=FY","BEST_FPERIOD_OVERRIDE=FY","FILING_STATUS=OR","EQY_CONSOLIDATED=Y","Sort=A","Dates=H","DateFormat=P","Fill=—","Direction=H","UseDPDF=Y")</f>
        <v>#NAME?</v>
      </c>
      <c r="BM498" s="2" t="e">
        <f ca="1">_xll.BDH($C$478,"INVENTORY_SEQUENTIAL_GROWTH","FY 2018","FY 2018","Currency=INR","Period=FY","BEST_FPERIOD_OVERRIDE=FY","FILING_STATUS=OR","EQY_CONSOLIDATED=Y","Sort=A","Dates=H","DateFormat=P","Fill=—","Direction=H","UseDPDF=Y")</f>
        <v>#NAME?</v>
      </c>
      <c r="BN498" s="2" t="e">
        <f ca="1">_xll.BDH($C$478,"FIXED_ASSETS_SEQUENTIAL_GROWTH","FY 2018","FY 2018","Currency=INR","Period=FY","BEST_FPERIOD_OVERRIDE=FY","FILING_STATUS=OR","EQY_CONSOLIDATED=Y","Sort=A","Dates=H","DateFormat=P","Fill=—","Direction=H","UseDPDF=Y")</f>
        <v>#NAME?</v>
      </c>
      <c r="BO498" s="2" t="e">
        <f ca="1">_xll.BDH($C$478,"TOTAL_ASSETS_SEQUENTIAL_GROWTH","FY 2018","FY 2018","Currency=INR","Period=FY","BEST_FPERIOD_OVERRIDE=FY","FILING_STATUS=OR","EQY_CONSOLIDATED=Y","Sort=A","Dates=H","DateFormat=P","Fill=—","Direction=H","UseDPDF=Y")</f>
        <v>#NAME?</v>
      </c>
      <c r="BP498" s="2" t="e">
        <f ca="1">_xll.BDH($C$478,"MODIFIED_WORKING_CPTL_SEQ_GRWTH","FY 2018","FY 2018","Currency=INR","Period=FY","BEST_FPERIOD_OVERRIDE=FY","FILING_STATUS=OR","EQY_CONSOLIDATED=Y","Sort=A","Dates=H","DateFormat=P","Fill=—","Direction=H","UseDPDF=Y")</f>
        <v>#NAME?</v>
      </c>
      <c r="BQ498" s="2" t="e">
        <f ca="1">_xll.BDH($C$478,"WORKING_CAPITAL_SEQ_GROWTH","FY 2018","FY 2018","Currency=INR","Period=FY","BEST_FPERIOD_OVERRIDE=FY","FILING_STATUS=OR","EQY_CONSOLIDATED=Y","Sort=A","Dates=H","DateFormat=P","Fill=—","Direction=H","UseDPDF=Y")</f>
        <v>#NAME?</v>
      </c>
      <c r="BR498" s="2" t="e">
        <f ca="1">_xll.BDH($C$478,"ACCOUNTS_PAYABLE_SEQ_GROWTH","FY 2018","FY 2018","Currency=INR","Period=FY","BEST_FPERIOD_OVERRIDE=FY","FILING_STATUS=OR","EQY_CONSOLIDATED=Y","Sort=A","Dates=H","DateFormat=P","Fill=—","Direction=H","UseDPDF=Y")</f>
        <v>#NAME?</v>
      </c>
      <c r="BS498" s="2" t="e">
        <f ca="1">_xll.BDH($C$478,"ST_DEBT_SEQUENTIAL_GROWTH","FY 2018","FY 2018","Currency=INR","Period=FY","BEST_FPERIOD_OVERRIDE=FY","FILING_STATUS=OR","EQY_CONSOLIDATED=Y","Sort=A","Dates=H","DateFormat=P","Fill=—","Direction=H","UseDPDF=Y")</f>
        <v>#NAME?</v>
      </c>
      <c r="BT498" s="2" t="e">
        <f ca="1">_xll.BDH($C$478,"TOTAL_DEBT_SEQUENTIAL_GROWTH","FY 2018","FY 2018","Currency=INR","Period=FY","BEST_FPERIOD_OVERRIDE=FY","FILING_STATUS=OR","EQY_CONSOLIDATED=Y","Sort=A","Dates=H","DateFormat=P","Fill=—","Direction=H","UseDPDF=Y")</f>
        <v>#NAME?</v>
      </c>
      <c r="BU498" s="2" t="e">
        <f ca="1">_xll.BDH($C$478,"TOTAL_EQUITY_SEQUENTIAL_GROWTH","FY 2018","FY 2018","Currency=INR","Period=FY","BEST_FPERIOD_OVERRIDE=FY","FILING_STATUS=OR","EQY_CONSOLIDATED=Y","Sort=A","Dates=H","DateFormat=P","Fill=—","Direction=H","UseDPDF=Y")</f>
        <v>#NAME?</v>
      </c>
      <c r="BV498" s="2" t="e">
        <f ca="1">_xll.BDH($C$478,"TOTAL_CAPITAL_SEQUENTIAL_GROWTH","FY 2018","FY 2018","Currency=INR","Period=FY","BEST_FPERIOD_OVERRIDE=FY","FILING_STATUS=OR","EQY_CONSOLIDATED=Y","Sort=A","Dates=H","DateFormat=P","Fill=—","Direction=H","UseDPDF=Y")</f>
        <v>#NAME?</v>
      </c>
      <c r="BW498" s="2" t="e">
        <f ca="1">_xll.BDH($C$478,"BPS_SEQUENTIAL_GROWTH","FY 2018","FY 2018","Currency=INR","Period=FY","BEST_FPERIOD_OVERRIDE=FY","FILING_STATUS=OR","EQY_CONSOLIDATED=Y","Sort=A","Dates=H","DateFormat=P","Fill=—","Direction=H","UseDPDF=Y")</f>
        <v>#NAME?</v>
      </c>
      <c r="BX498" s="2" t="e">
        <f ca="1">_xll.BDH($C$478,"CFO_SEQUENTIAL_GROWTH","FY 2018","FY 2018","Currency=INR","Period=FY","BEST_FPERIOD_OVERRIDE=FY","FILING_STATUS=OR","EQY_CONSOLIDATED=Y","Sort=A","Dates=H","DateFormat=P","Fill=—","Direction=H","UseDPDF=Y")</f>
        <v>#NAME?</v>
      </c>
      <c r="BY498" s="3" t="e">
        <f ca="1">_xll.BDH($C$478,"SHORT_AND_LONG_TERM_DEBT","FY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498" s="3" t="e">
        <f ca="1">_xll.BDH($C$478,"BS_ST_BORROW","FY 2018","FY 2018","Currency=INR","Period=FY","BEST_FPERIOD_OVERRIDE=FY","FILING_STATUS=OR","EQY_CONSOLIDATED=Y","SCALING_FORMAT=MLN","Sort=A","Dates=H","DateFormat=P","Fill=—","Direction=H","UseDPDF=Y")</f>
        <v>#NAME?</v>
      </c>
      <c r="CA498" s="3" t="e">
        <f ca="1">_xll.BDH($C$478,"BS_LT_BORROW","FY 2018","FY 2018","Currency=INR","Period=FY","BEST_FPERIOD_OVERRIDE=FY","FILING_STATUS=OR","EQY_CONSOLIDATED=Y","SCALING_FORMAT=MLN","Sort=A","Dates=H","DateFormat=P","Fill=—","Direction=H","UseDPDF=Y")</f>
        <v>#NAME?</v>
      </c>
      <c r="CB498" s="2" t="e">
        <f ca="1">_xll.BDH($C$478,"TOT_DEBT_TO_EBITDA","FY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498" s="2" t="e">
        <f ca="1">_xll.BDH($C$478,"NET_DEBT_TO_EBITDA","FY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498" s="2" t="e">
        <f ca="1">_xll.BDH($C$478,"TOTAL_DEBT_TO_EBIT","FY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498" s="2" t="e">
        <f ca="1">_xll.BDH($C$478,"NET_DEBT_TO_EBIT","FY 2018","FY 2018","Currency=INR","Period=FY","BEST_FPERIOD_OVERRIDE=FY","FILING_STATUS=OR","EQY_CONSOLIDATED=Y","FA_ADJUSTED=GAAP","Sort=A","Dates=H","DateFormat=P","Fill=—","Direction=H","UseDPDF=Y")</f>
        <v>#NAME?</v>
      </c>
      <c r="CF498" s="2" t="e">
        <f ca="1">_xll.BDH($C$478,"EBITDA_TO_INTEREST_EXPN","FY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498" s="2" t="e">
        <f ca="1">_xll.BDH($C$478,"COM_EQY_TO_TOT_ASSET","FY 2018","FY 2018","Currency=INR","Period=FY","BEST_FPERIOD_OVERRIDE=FY","FILING_STATUS=OR","EQY_CONSOLIDATED=Y","Sort=A","Dates=H","DateFormat=P","Fill=—","Direction=H","UseDPDF=Y")</f>
        <v>#NAME?</v>
      </c>
      <c r="CH498" s="2" t="e">
        <f ca="1">_xll.BDH($C$478,"LT_DEBT_TO_TOT_EQY","FY 2018","FY 2018","Currency=INR","Period=FY","BEST_FPERIOD_OVERRIDE=FY","FILING_STATUS=OR","EQY_CONSOLIDATED=Y","Sort=A","Dates=H","DateFormat=P","Fill=—","Direction=H","UseDPDF=Y")</f>
        <v>#NAME?</v>
      </c>
      <c r="CI498" s="2" t="e">
        <f ca="1">_xll.BDH($C$478,"LT_DEBT_TO_TOT_CAP","FY 2018","FY 2018","Currency=INR","Period=FY","BEST_FPERIOD_OVERRIDE=FY","FILING_STATUS=OR","EQY_CONSOLIDATED=Y","Sort=A","Dates=H","DateFormat=P","Fill=—","Direction=H","UseDPDF=Y")</f>
        <v>#NAME?</v>
      </c>
      <c r="CJ498" s="2" t="e">
        <f ca="1">_xll.BDH($C$478,"LT_DEBT_TO_TOT_ASSET","FY 2018","FY 2018","Currency=INR","Period=FY","BEST_FPERIOD_OVERRIDE=FY","FILING_STATUS=OR","EQY_CONSOLIDATED=Y","Sort=A","Dates=H","DateFormat=P","Fill=—","Direction=H","UseDPDF=Y")</f>
        <v>#NAME?</v>
      </c>
      <c r="CK498" s="2" t="e">
        <f ca="1">_xll.BDH($C$478,"TOT_DEBT_TO_TOT_EQY","FY 2018","FY 2018","Currency=INR","Period=FY","BEST_FPERIOD_OVERRIDE=FY","FILING_STATUS=OR","EQY_CONSOLIDATED=Y","Sort=A","Dates=H","DateFormat=P","Fill=—","Direction=H","UseDPDF=Y")</f>
        <v>#NAME?</v>
      </c>
      <c r="CL498" s="2" t="e">
        <f ca="1">_xll.BDH($C$478,"TOT_DEBT_TO_TOT_CAP","FY 2018","FY 2018","Currency=INR","Period=FY","BEST_FPERIOD_OVERRIDE=FY","FILING_STATUS=OR","EQY_CONSOLIDATED=Y","Sort=A","Dates=H","DateFormat=P","Fill=—","Direction=H","UseDPDF=Y")</f>
        <v>#NAME?</v>
      </c>
      <c r="CM498" s="2" t="e">
        <f ca="1">_xll.BDH($C$478,"TOT_DEBT_TO_TOT_ASSET","FY 2018","FY 2018","Currency=INR","Period=FY","BEST_FPERIOD_OVERRIDE=FY","FILING_STATUS=OR","EQY_CONSOLIDATED=Y","Sort=A","Dates=H","DateFormat=P","Fill=—","Direction=H","UseDPDF=Y")</f>
        <v>#NAME?</v>
      </c>
      <c r="CN498" s="2" t="e">
        <f ca="1">_xll.BDH($C$478,"NET_DEBT_TO_SHRHLDR_EQTY","FY 2018","FY 2018","Currency=INR","Period=FY","BEST_FPERIOD_OVERRIDE=FY","FILING_STATUS=OR","EQY_CONSOLIDATED=Y","Sort=A","Dates=H","DateFormat=P","Fill=—","Direction=H","UseDPDF=Y")</f>
        <v>#NAME?</v>
      </c>
      <c r="CO498" s="2" t="e">
        <f ca="1">_xll.BDH($C$478,"NET_DEBT_%_CAPITAL","FY 2018","FY 2018","Currency=INR","Period=FY","BEST_FPERIOD_OVERRIDE=FY","FILING_STATUS=OR","EQY_CONSOLIDATED=Y","Sort=A","Dates=H","DateFormat=P","Fill=—","Direction=H","UseDPDF=Y")</f>
        <v>#NAME?</v>
      </c>
      <c r="CP498" s="3" t="e">
        <f ca="1">_xll.BDH($C$478,"EBITDA","FY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498" s="3" t="e">
        <f ca="1">_xll.BDH($C$478,"EBITDA_AFTER_CAPEX","FY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498" s="3" t="e">
        <f ca="1">_xll.BDH($C$478,"IS_OPER_INC","FY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498" s="2" t="e">
        <f ca="1">_xll.BDH($C$478,"CASH_RATIO","FY 2018","FY 2018","Currency=INR","Period=FY","BEST_FPERIOD_OVERRIDE=FY","FILING_STATUS=OR","EQY_CONSOLIDATED=Y","Sort=A","Dates=H","DateFormat=P","Fill=—","Direction=H","UseDPDF=Y")</f>
        <v>#NAME?</v>
      </c>
      <c r="CT498" s="2" t="e">
        <f ca="1">_xll.BDH($C$478,"CUR_RATIO","FY 2018","FY 2018","Currency=INR","Period=FY","BEST_FPERIOD_OVERRIDE=FY","FILING_STATUS=OR","EQY_CONSOLIDATED=Y","Sort=A","Dates=H","DateFormat=P","Fill=—","Direction=H","UseDPDF=Y")</f>
        <v>#NAME?</v>
      </c>
      <c r="CU498" s="2" t="e">
        <f ca="1">_xll.BDH($C$478,"QUICK_RATIO","FY 2018","FY 2018","Currency=INR","Period=FY","BEST_FPERIOD_OVERRIDE=FY","FILING_STATUS=OR","EQY_CONSOLIDATED=Y","Sort=A","Dates=H","DateFormat=P","Fill=—","Direction=H","UseDPDF=Y")</f>
        <v>#NAME?</v>
      </c>
      <c r="CV498" s="2" t="e">
        <f ca="1">_xll.BDH($C$478,"ALTMAN_Z_SCORE","FY 2018","FY 2018","Currency=INR","Period=FY","BEST_FPERIOD_OVERRIDE=FY","FILING_STATUS=OR","EQY_CONSOLIDATED=Y","Sort=A","Dates=H","DateFormat=P","Fill=—","Direction=H","UseDPDF=Y")</f>
        <v>#NAME?</v>
      </c>
      <c r="CW498" s="4" t="e">
        <f ca="1">_xll.BDH($C$478,"ACCT_RCV_TURN","FY 2018","FY 2018","Currency=INR","Period=FY","BEST_FPERIOD_OVERRIDE=FY","FILING_STATUS=OR","EQY_CONSOLIDATED=Y","FA_ADJUSTED=GAAP","Sort=A","Dates=H","DateFormat=P","Fill=—","Direction=H","UseDPDF=Y")</f>
        <v>#NAME?</v>
      </c>
      <c r="CX498" s="2" t="e">
        <f ca="1">_xll.BDH($C$478,"ACCT_RCV_DAYS","FY 2018","FY 2018","Currency=INR","Period=FY","BEST_FPERIOD_OVERRIDE=FY","FILING_STATUS=OR","EQY_CONSOLIDATED=Y","FA_ADJUSTED=GAAP","Sort=A","Dates=H","DateFormat=P","Fill=—","Direction=H","UseDPDF=Y")</f>
        <v>#NAME?</v>
      </c>
      <c r="CY498" s="4" t="e">
        <f ca="1">_xll.BDH($C$478,"INVENT_TURN","FY 2018","FY 2018","Currency=INR","Period=FY","BEST_FPERIOD_OVERRIDE=FY","FILING_STATUS=OR","EQY_CONSOLIDATED=Y","FA_ADJUSTED=GAAP","Sort=A","Dates=H","DateFormat=P","Fill=—","Direction=H","UseDPDF=Y")</f>
        <v>#NAME?</v>
      </c>
      <c r="CZ498" s="2" t="e">
        <f ca="1">_xll.BDH($C$478,"INVENT_DAYS","FY 2018","FY 2018","Currency=INR","Period=FY","BEST_FPERIOD_OVERRIDE=FY","FILING_STATUS=OR","EQY_CONSOLIDATED=Y","FA_ADJUSTED=GAAP","Sort=A","Dates=H","DateFormat=P","Fill=—","Direction=H","UseDPDF=Y")</f>
        <v>#NAME?</v>
      </c>
      <c r="DA498" s="4" t="e">
        <f ca="1">_xll.BDH($C$478,"ACCOUNTS_PAYABLE_TURNOVER","FY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498" s="2" t="e">
        <f ca="1">_xll.BDH($C$478,"ACCOUNTS_PAYABLE_TURNOVER_DAYS","FY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498" s="4" t="e">
        <f ca="1">_xll.BDH($C$478,"CASH_CONVERSION_CYCLE","FY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498" s="4" t="e">
        <f ca="1">_xll.BDH($C$478,"INV_TO_CASH_DAYS","FY 2018","FY 2018","Currency=INR","Period=FY","BEST_FPERIOD_OVERRIDE=FY","FILING_STATUS=OR","EQY_CONSOLIDATED=Y","FA_ADJUSTED=GAAP","Sort=A","Dates=H","DateFormat=P","Fill=—","Direction=H","UseDPDF=Y")</f>
        <v>#NAME?</v>
      </c>
      <c r="DE498" s="5" t="e">
        <f ca="1">_xll.BDH($C$478,"BS_INVENTORIES","FY 2018","FY 2018","Currency=INR","Period=FY","BEST_FPERIOD_OVERRIDE=FY","FILING_STATUS=OR","EQY_CONSOLIDATED=Y","SCALING_FORMAT=MLN","Sort=A","Dates=H","DateFormat=P","Fill=—","Direction=H","UseDPDF=Y")</f>
        <v>#NAME?</v>
      </c>
      <c r="DF498" s="3" t="e">
        <f ca="1">_xll.BDH($C$478,"INVTRY_RAW_MATERIALS","FY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498" s="3" t="e">
        <f ca="1">_xll.BDH($C$478,"INVTRY_IN_PROGRESS","FY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498" s="3" t="e">
        <f ca="1">_xll.BDH($C$478,"INVTRY_FINISHED_GOODS","FY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498" s="3" t="e">
        <f ca="1">_xll.BDH($C$478,"BS_OTHER_INV","FY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499" spans="1:113" x14ac:dyDescent="0.3">
      <c r="A499" s="6"/>
      <c r="B499" s="6"/>
      <c r="C499" s="6"/>
      <c r="D499" s="6"/>
      <c r="E499" t="s">
        <v>78</v>
      </c>
      <c r="F499" t="e">
        <f ca="1">_xll.BDH($C$478,"RETURN_COM_EQY","FQ1 2018","FQ1 2018","Currency=INR","Period=FQ","BEST_FPERIOD_OVERRIDE=FQ","FILING_STATUS=OR","EQY_CONSOLIDATED=Y","FA_ADJUSTED=GAAP","Sort=A","Dates=H","DateFormat=P","Fill=—","Direction=H","UseDPDF=Y")</f>
        <v>#NAME?</v>
      </c>
      <c r="G499" t="e">
        <f ca="1">_xll.BDH($C$478,"RETURN_ON_ASSET","FQ1 2018","FQ1 2018","Currency=INR","Period=FQ","BEST_FPERIOD_OVERRIDE=FQ","FILING_STATUS=OR","EQY_CONSOLIDATED=Y","FA_ADJUSTED=GAAP","Sort=A","Dates=H","DateFormat=P","Fill=—","Direction=H","UseDPDF=Y")</f>
        <v>#NAME?</v>
      </c>
      <c r="H499" t="e">
        <f ca="1">_xll.BDH($C$478,"RETURN_ON_CAP","FQ1 2018","FQ1 2018","Currency=INR","Period=FQ","BEST_FPERIOD_OVERRIDE=FQ","FILING_STATUS=OR","EQY_CONSOLIDATED=Y","FA_ADJUSTED=GAAP","Sort=A","Dates=H","DateFormat=P","Fill=—","Direction=H","UseDPDF=Y")</f>
        <v>#NAME?</v>
      </c>
      <c r="I499" t="e">
        <f ca="1">_xll.BDH($C$478,"RETURN_ON_INV_CAPITAL","FQ1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499" t="e">
        <f ca="1">_xll.BDH($C$478,"EBITDA_TO_REVENUE","FQ1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499" t="e">
        <f ca="1">_xll.BDH($C$478,"OPER_MARGIN","FQ1 2018","FQ1 2018","Currency=INR","Period=FQ","BEST_FPERIOD_OVERRIDE=FQ","FILING_STATUS=OR","EQY_CONSOLIDATED=Y","FA_ADJUSTED=GAAP","Sort=A","Dates=H","DateFormat=P","Fill=—","Direction=H","UseDPDF=Y")</f>
        <v>#NAME?</v>
      </c>
      <c r="L499" t="e">
        <f ca="1">_xll.BDH($C$478,"INCREMENTAL_OPERATING_MARGIN","FQ1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499" t="e">
        <f ca="1">_xll.BDH($C$478,"PRETAX_INC_TO_NET_SALES","FQ1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499" t="e">
        <f ca="1">_xll.BDH($C$478,"INC_BEF_XO_ITEMS_TO_NET_SALES","FQ1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499" t="e">
        <f ca="1">_xll.BDH($C$478,"PROF_MARGIN","FQ1 2018","FQ1 2018","Currency=INR","Period=FQ","BEST_FPERIOD_OVERRIDE=FQ","FILING_STATUS=OR","EQY_CONSOLIDATED=Y","FA_ADJUSTED=GAAP","Sort=A","Dates=H","DateFormat=P","Fill=—","Direction=H","UseDPDF=Y")</f>
        <v>#NAME?</v>
      </c>
      <c r="P499" t="e">
        <f ca="1">_xll.BDH($C$478,"NET_INCOME_TO_COMMON_MARGIN","FQ1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499" t="e">
        <f ca="1">_xll.BDH($C$478,"EFF_TAX_RATE","FQ1 2018","FQ1 2018","Currency=INR","Period=FQ","BEST_FPERIOD_OVERRIDE=FQ","FILING_STATUS=OR","EQY_CONSOLIDATED=Y","FA_ADJUSTED=GAAP","Sort=A","Dates=H","DateFormat=P","Fill=—","Direction=H","UseDPDF=Y")</f>
        <v>#NAME?</v>
      </c>
      <c r="R499" t="e">
        <f ca="1">_xll.BDH($C$478,"DVD_PAYOUT_RATIO","FQ1 2018","FQ1 2018","Currency=INR","Period=FQ","BEST_FPERIOD_OVERRIDE=FQ","FILING_STATUS=OR","EQY_CONSOLIDATED=Y","FA_ADJUSTED=GAAP","Sort=A","Dates=H","DateFormat=P","Fill=—","Direction=H","UseDPDF=Y")</f>
        <v>#NAME?</v>
      </c>
      <c r="S499" t="e">
        <f ca="1">_xll.BDH($C$478,"SUSTAIN_GROWTH_RT","FQ1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499" s="2" t="e">
        <f ca="1">_xll.BDH($C$478,"SALES_GROWTH","FQ1 2018","FQ1 2018","Currency=INR","Period=FQ","BEST_FPERIOD_OVERRIDE=FQ","FILING_STATUS=OR","EQY_CONSOLIDATED=Y","FA_ADJUSTED=GAAP","Sort=A","Dates=H","DateFormat=P","Fill=—","Direction=H","UseDPDF=Y")</f>
        <v>#NAME?</v>
      </c>
      <c r="U499" s="2" t="e">
        <f ca="1">_xll.BDH($C$478,"EBITDA_GROWTH","FQ1 2018","FQ1 2018","Currency=INR","Period=FQ","BEST_FPERIOD_OVERRIDE=FQ","FILING_STATUS=OR","EQY_CONSOLIDATED=Y","FA_ADJUSTED=GAAP","Sort=A","Dates=H","DateFormat=P","Fill=—","Direction=H","UseDPDF=Y")</f>
        <v>#NAME?</v>
      </c>
      <c r="V499" s="2" t="e">
        <f ca="1">_xll.BDH($C$478,"OPER_INC_GROWTH","FQ1 2018","FQ1 2018","Currency=INR","Period=FQ","BEST_FPERIOD_OVERRIDE=FQ","FILING_STATUS=OR","EQY_CONSOLIDATED=Y","FA_ADJUSTED=GAAP","Sort=A","Dates=H","DateFormat=P","Fill=—","Direction=H","UseDPDF=Y")</f>
        <v>#NAME?</v>
      </c>
      <c r="W499" s="2" t="e">
        <f ca="1">_xll.BDH($C$478,"EARN_FOR_COM_GROWTH","FQ1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499" s="2" t="e">
        <f ca="1">_xll.BDH($C$478,"DILUTED_EPS_AFT_XO_ITEMS_GROWTH","FQ1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499" s="2" t="e">
        <f ca="1">_xll.BDH($C$478,"DIVIDEND_PER_SHARE_1_YEAR_GROWTH","FQ1 2018","FQ1 2018","Currency=INR","Period=FQ","BEST_FPERIOD_OVERRIDE=FQ","FILING_STATUS=OR","EQY_CONSOLIDATED=Y","Sort=A","Dates=H","DateFormat=P","Fill=—","Direction=H","UseDPDF=Y")</f>
        <v>#NAME?</v>
      </c>
      <c r="Z499" s="2" t="e">
        <f ca="1">_xll.BDH($C$478,"ACCOUNTS_RECEIVABLE_GROWTH","FQ1 2018","FQ1 2018","Currency=INR","Period=FQ","BEST_FPERIOD_OVERRIDE=FQ","FILING_STATUS=OR","EQY_CONSOLIDATED=Y","Sort=A","Dates=H","DateFormat=P","Fill=—","Direction=H","UseDPDF=Y")</f>
        <v>#NAME?</v>
      </c>
      <c r="AA499" s="2" t="e">
        <f ca="1">_xll.BDH($C$478,"INVENTORY_GROWTH","FQ1 2018","FQ1 2018","Currency=INR","Period=FQ","BEST_FPERIOD_OVERRIDE=FQ","FILING_STATUS=OR","EQY_CONSOLIDATED=Y","Sort=A","Dates=H","DateFormat=P","Fill=—","Direction=H","UseDPDF=Y")</f>
        <v>#NAME?</v>
      </c>
      <c r="AB499" s="2" t="e">
        <f ca="1">_xll.BDH($C$478,"NET_FIXED_ASSETS_1_YEAR_GROWTH","FQ1 2018","FQ1 2018","Currency=INR","Period=FQ","BEST_FPERIOD_OVERRIDE=FQ","FILING_STATUS=OR","EQY_CONSOLIDATED=Y","Sort=A","Dates=H","DateFormat=P","Fill=—","Direction=H","UseDPDF=Y")</f>
        <v>#NAME?</v>
      </c>
      <c r="AC499" s="2" t="e">
        <f ca="1">_xll.BDH($C$478,"ASSET_GROWTH","FQ1 2018","FQ1 2018","Currency=INR","Period=FQ","BEST_FPERIOD_OVERRIDE=FQ","FILING_STATUS=OR","EQY_CONSOLIDATED=Y","Sort=A","Dates=H","DateFormat=P","Fill=—","Direction=H","UseDPDF=Y")</f>
        <v>#NAME?</v>
      </c>
      <c r="AD499" s="2" t="e">
        <f ca="1">_xll.BDH($C$478,"MODIFIED_WORK_CAP_GROWTH","FQ1 2018","FQ1 2018","Currency=INR","Period=FQ","BEST_FPERIOD_OVERRIDE=FQ","FILING_STATUS=OR","EQY_CONSOLIDATED=Y","Sort=A","Dates=H","DateFormat=P","Fill=—","Direction=H","UseDPDF=Y")</f>
        <v>#NAME?</v>
      </c>
      <c r="AE499" s="2" t="e">
        <f ca="1">_xll.BDH($C$478,"WORK_CAP_GROWTH","FQ1 2018","FQ1 2018","Currency=INR","Period=FQ","BEST_FPERIOD_OVERRIDE=FQ","FILING_STATUS=OR","EQY_CONSOLIDATED=Y","Sort=A","Dates=H","DateFormat=P","Fill=—","Direction=H","UseDPDF=Y")</f>
        <v>#NAME?</v>
      </c>
      <c r="AF499" s="2" t="e">
        <f ca="1">_xll.BDH($C$478,"ACCOUNTS_PAYABLE_GROWTH_1YR","FQ1 2018","FQ1 2018","Currency=INR","Period=FQ","BEST_FPERIOD_OVERRIDE=FQ","FILING_STATUS=OR","EQY_CONSOLIDATED=Y","Sort=A","Dates=H","DateFormat=P","Fill=—","Direction=H","UseDPDF=Y")</f>
        <v>#NAME?</v>
      </c>
      <c r="AG499" s="2" t="e">
        <f ca="1">_xll.BDH($C$478,"SHORT_TERM_DEBT_1_YEAR_GROWTH","FQ1 2018","FQ1 2018","Currency=INR","Period=FQ","BEST_FPERIOD_OVERRIDE=FQ","FILING_STATUS=OR","EQY_CONSOLIDATED=Y","Sort=A","Dates=H","DateFormat=P","Fill=—","Direction=H","UseDPDF=Y")</f>
        <v>#NAME?</v>
      </c>
      <c r="AH499" s="2" t="e">
        <f ca="1">_xll.BDH($C$478,"TOTAL_DEBT_1_YEAR_GROWTH","FQ1 2018","FQ1 2018","Currency=INR","Period=FQ","BEST_FPERIOD_OVERRIDE=FQ","FILING_STATUS=OR","EQY_CONSOLIDATED=Y","Sort=A","Dates=H","DateFormat=P","Fill=—","Direction=H","UseDPDF=Y")</f>
        <v>#NAME?</v>
      </c>
      <c r="AI499" s="2" t="e">
        <f ca="1">_xll.BDH($C$478,"TOTAL_EQUITY_1_YEAR_GROWTH","FQ1 2018","FQ1 2018","Currency=INR","Period=FQ","BEST_FPERIOD_OVERRIDE=FQ","FILING_STATUS=OR","EQY_CONSOLIDATED=Y","Sort=A","Dates=H","DateFormat=P","Fill=—","Direction=H","UseDPDF=Y")</f>
        <v>#NAME?</v>
      </c>
      <c r="AJ499" s="2" t="e">
        <f ca="1">_xll.BDH($C$478,"GROWTH_IN_CAP","FQ1 2018","FQ1 2018","Currency=INR","Period=FQ","BEST_FPERIOD_OVERRIDE=FQ","FILING_STATUS=OR","EQY_CONSOLIDATED=Y","Sort=A","Dates=H","DateFormat=P","Fill=—","Direction=H","UseDPDF=Y")</f>
        <v>#NAME?</v>
      </c>
      <c r="AK499" s="2" t="e">
        <f ca="1">_xll.BDH($C$478,"BVPS_GROWTH","FQ1 2018","FQ1 2018","Currency=INR","Period=FQ","BEST_FPERIOD_OVERRIDE=FQ","FILING_STATUS=OR","EQY_CONSOLIDATED=Y","Sort=A","Dates=H","DateFormat=P","Fill=—","Direction=H","UseDPDF=Y")</f>
        <v>#NAME?</v>
      </c>
      <c r="AL499" s="2" t="e">
        <f ca="1">_xll.BDH($C$478,"CASH_FLOW_GROWTH","FQ1 2018","FQ1 2018","Currency=INR","Period=FQ","BEST_FPERIOD_OVERRIDE=FQ","FILING_STATUS=OR","EQY_CONSOLIDATED=Y","Sort=A","Dates=H","DateFormat=P","Fill=—","Direction=H","UseDPDF=Y")</f>
        <v>#NAME?</v>
      </c>
      <c r="AM499" s="2" t="e">
        <f ca="1">_xll.BDH($C$478,"GEO_GROW_NET_SALES","FQ1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499" s="2" t="e">
        <f ca="1">_xll.BDH($C$478,"GEO_GROW_EBITDA","FQ1 2018","FQ1 2018","Currency=INR","Period=FQ","BEST_FPERIOD_OVERRIDE=FQ","FILING_STATUS=OR","EQY_CONSOLIDATED=Y","FA_ADJUSTED=GAAP","Sort=A","Dates=H","DateFormat=P","Fill=—","Direction=H","UseDPDF=Y")</f>
        <v>#NAME?</v>
      </c>
      <c r="AO499" s="2" t="e">
        <f ca="1">_xll.BDH($C$478,"GEO_GROW_OPER_INC","FQ1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499" s="2" t="e">
        <f ca="1">_xll.BDH($C$478,"NET_INCOME_TO_COMMON_5_YR_GROWTH","FQ1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499" s="2" t="e">
        <f ca="1">_xll.BDH($C$478,"5Y_GEO_GROWTH_DILUTED_EPS","FQ1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499" s="2" t="e">
        <f ca="1">_xll.BDH($C$478,"GEO_GROW_DVD_PER_SH","FQ1 2018","FQ1 2018","Currency=INR","Period=FQ","BEST_FPERIOD_OVERRIDE=FQ","FILING_STATUS=OR","EQY_CONSOLIDATED=Y","Sort=A","Dates=H","DateFormat=P","Fill=—","Direction=H","UseDPDF=Y")</f>
        <v>#NAME?</v>
      </c>
      <c r="AS499" s="2" t="e">
        <f ca="1">_xll.BDH($C$478,"ACCOUNTS_RECEIVABLE_5_YR_GROWTH","FQ1 2018","FQ1 2018","Currency=INR","Period=FQ","BEST_FPERIOD_OVERRIDE=FQ","FILING_STATUS=OR","EQY_CONSOLIDATED=Y","Sort=A","Dates=H","DateFormat=P","Fill=—","Direction=H","UseDPDF=Y")</f>
        <v>#NAME?</v>
      </c>
      <c r="AT499" s="2" t="e">
        <f ca="1">_xll.BDH($C$478,"INVENTORY_5_YEAR_GROWTH","FQ1 2018","FQ1 2018","Currency=INR","Period=FQ","BEST_FPERIOD_OVERRIDE=FQ","FILING_STATUS=OR","EQY_CONSOLIDATED=Y","Sort=A","Dates=H","DateFormat=P","Fill=—","Direction=H","UseDPDF=Y")</f>
        <v>#NAME?</v>
      </c>
      <c r="AU499" s="2" t="e">
        <f ca="1">_xll.BDH($C$478,"NET_FIXED_ASSETS_5_YEAR_GROWTH","FQ1 2018","FQ1 2018","Currency=INR","Period=FQ","BEST_FPERIOD_OVERRIDE=FQ","FILING_STATUS=OR","EQY_CONSOLIDATED=Y","Sort=A","Dates=H","DateFormat=P","Fill=—","Direction=H","UseDPDF=Y")</f>
        <v>#NAME?</v>
      </c>
      <c r="AV499" s="2" t="e">
        <f ca="1">_xll.BDH($C$478,"GEO_GROW_TOT_ASSET","FQ1 2018","FQ1 2018","Currency=INR","Period=FQ","BEST_FPERIOD_OVERRIDE=FQ","FILING_STATUS=OR","EQY_CONSOLIDATED=Y","Sort=A","Dates=H","DateFormat=P","Fill=—","Direction=H","UseDPDF=Y")</f>
        <v>#NAME?</v>
      </c>
      <c r="AW499" s="2" t="e">
        <f ca="1">_xll.BDH($C$478,"MODIFIED_WORKING_CPTL_5YR_GRWTH","FQ1 2018","FQ1 2018","Currency=INR","Period=FQ","BEST_FPERIOD_OVERRIDE=FQ","FILING_STATUS=OR","EQY_CONSOLIDATED=Y","Sort=A","Dates=H","DateFormat=P","Fill=—","Direction=H","UseDPDF=Y")</f>
        <v>#NAME?</v>
      </c>
      <c r="AX499" s="2" t="e">
        <f ca="1">_xll.BDH($C$478,"WORKING_CAPITAL_5_YEAR_GROWTH","FQ1 2018","FQ1 2018","Currency=INR","Period=FQ","BEST_FPERIOD_OVERRIDE=FQ","FILING_STATUS=OR","EQY_CONSOLIDATED=Y","Sort=A","Dates=H","DateFormat=P","Fill=—","Direction=H","UseDPDF=Y")</f>
        <v>#NAME?</v>
      </c>
      <c r="AY499" s="2" t="e">
        <f ca="1">_xll.BDH($C$478,"ACCOUNTS_PAYABLE_5_YEAR_GROWTH","FQ1 2018","FQ1 2018","Currency=INR","Period=FQ","BEST_FPERIOD_OVERRIDE=FQ","FILING_STATUS=OR","EQY_CONSOLIDATED=Y","Sort=A","Dates=H","DateFormat=P","Fill=—","Direction=H","UseDPDF=Y")</f>
        <v>#NAME?</v>
      </c>
      <c r="AZ499" s="2" t="e">
        <f ca="1">_xll.BDH($C$478,"SHORT_TERM_DEBT_5_YEAR_GROWTH","FQ1 2018","FQ1 2018","Currency=INR","Period=FQ","BEST_FPERIOD_OVERRIDE=FQ","FILING_STATUS=OR","EQY_CONSOLIDATED=Y","Sort=A","Dates=H","DateFormat=P","Fill=—","Direction=H","UseDPDF=Y")</f>
        <v>#NAME?</v>
      </c>
      <c r="BA499" s="2" t="e">
        <f ca="1">_xll.BDH($C$478,"TOTAL_DEBT_5_YEAR_GROWTH","FQ1 2018","FQ1 2018","Currency=INR","Period=FQ","BEST_FPERIOD_OVERRIDE=FQ","FILING_STATUS=OR","EQY_CONSOLIDATED=Y","Sort=A","Dates=H","DateFormat=P","Fill=—","Direction=H","UseDPDF=Y")</f>
        <v>#NAME?</v>
      </c>
      <c r="BB499" s="2" t="e">
        <f ca="1">_xll.BDH($C$478,"GEO_GROW_TOT_SHRHLDR_EQY","FQ1 2018","FQ1 2018","Currency=INR","Period=FQ","BEST_FPERIOD_OVERRIDE=FQ","FILING_STATUS=OR","EQY_CONSOLIDATED=Y","Sort=A","Dates=H","DateFormat=P","Fill=—","Direction=H","UseDPDF=Y")</f>
        <v>#NAME?</v>
      </c>
      <c r="BC499" s="2" t="e">
        <f ca="1">_xll.BDH($C$478,"TOTAL_CAPITAL_5_YEAR_GROWTH","FQ1 2018","FQ1 2018","Currency=INR","Period=FQ","BEST_FPERIOD_OVERRIDE=FQ","FILING_STATUS=OR","EQY_CONSOLIDATED=Y","Sort=A","Dates=H","DateFormat=P","Fill=—","Direction=H","UseDPDF=Y")</f>
        <v>#NAME?</v>
      </c>
      <c r="BD499" s="2" t="e">
        <f ca="1">_xll.BDH($C$478,"GEO_GROW_BOOK_VAL","FQ1 2018","FQ1 2018","Currency=INR","Period=FQ","BEST_FPERIOD_OVERRIDE=FQ","FILING_STATUS=OR","EQY_CONSOLIDATED=Y","Sort=A","Dates=H","DateFormat=P","Fill=—","Direction=H","UseDPDF=Y")</f>
        <v>#NAME?</v>
      </c>
      <c r="BE499" s="2" t="e">
        <f ca="1">_xll.BDH($C$478,"GEO_GROW_CASH_OPER_ACT","FQ1 2018","FQ1 2018","Currency=INR","Period=FQ","BEST_FPERIOD_OVERRIDE=FQ","FILING_STATUS=OR","EQY_CONSOLIDATED=Y","Sort=A","Dates=H","DateFormat=P","Fill=—","Direction=H","UseDPDF=Y")</f>
        <v>#NAME?</v>
      </c>
      <c r="BF499" s="2" t="e">
        <f ca="1">_xll.BDH($C$478,"REVENUE_SEQUENTIAL_GROWTH","FQ1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499" s="2" t="e">
        <f ca="1">_xll.BDH($C$478,"EBITDA_SEQUENTIAL_GROWTH","FQ1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499" s="2" t="e">
        <f ca="1">_xll.BDH($C$478,"OPERATING_INCOME_SEQ_GROWTH","FQ1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499" s="2" t="e">
        <f ca="1">_xll.BDH($C$478,"NET_INCOME_TO_COMMON_SEQ_GROWTH","FQ1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499" s="2" t="e">
        <f ca="1">_xll.BDH($C$478,"EPS_DILUTED_SEQUENTIAL_GROWTH","FQ1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499" s="2" t="e">
        <f ca="1">_xll.BDH($C$478,"DPS_SEQUENTIAL_GROWTH","FQ1 2018","FQ1 2018","Currency=INR","Period=FQ","BEST_FPERIOD_OVERRIDE=FQ","FILING_STATUS=OR","EQY_CONSOLIDATED=Y","Sort=A","Dates=H","DateFormat=P","Fill=—","Direction=H","UseDPDF=Y")</f>
        <v>#NAME?</v>
      </c>
      <c r="BL499" s="2" t="e">
        <f ca="1">_xll.BDH($C$478,"ACCOUNTS_RECEIVABLE_SEQ_GROWTH","FQ1 2018","FQ1 2018","Currency=INR","Period=FQ","BEST_FPERIOD_OVERRIDE=FQ","FILING_STATUS=OR","EQY_CONSOLIDATED=Y","Sort=A","Dates=H","DateFormat=P","Fill=—","Direction=H","UseDPDF=Y")</f>
        <v>#NAME?</v>
      </c>
      <c r="BM499" s="2" t="e">
        <f ca="1">_xll.BDH($C$478,"INVENTORY_SEQUENTIAL_GROWTH","FQ1 2018","FQ1 2018","Currency=INR","Period=FQ","BEST_FPERIOD_OVERRIDE=FQ","FILING_STATUS=OR","EQY_CONSOLIDATED=Y","Sort=A","Dates=H","DateFormat=P","Fill=—","Direction=H","UseDPDF=Y")</f>
        <v>#NAME?</v>
      </c>
      <c r="BN499" s="2" t="e">
        <f ca="1">_xll.BDH($C$478,"FIXED_ASSETS_SEQUENTIAL_GROWTH","FQ1 2018","FQ1 2018","Currency=INR","Period=FQ","BEST_FPERIOD_OVERRIDE=FQ","FILING_STATUS=OR","EQY_CONSOLIDATED=Y","Sort=A","Dates=H","DateFormat=P","Fill=—","Direction=H","UseDPDF=Y")</f>
        <v>#NAME?</v>
      </c>
      <c r="BO499" s="2" t="e">
        <f ca="1">_xll.BDH($C$478,"TOTAL_ASSETS_SEQUENTIAL_GROWTH","FQ1 2018","FQ1 2018","Currency=INR","Period=FQ","BEST_FPERIOD_OVERRIDE=FQ","FILING_STATUS=OR","EQY_CONSOLIDATED=Y","Sort=A","Dates=H","DateFormat=P","Fill=—","Direction=H","UseDPDF=Y")</f>
        <v>#NAME?</v>
      </c>
      <c r="BP499" s="2" t="e">
        <f ca="1">_xll.BDH($C$478,"MODIFIED_WORKING_CPTL_SEQ_GRWTH","FQ1 2018","FQ1 2018","Currency=INR","Period=FQ","BEST_FPERIOD_OVERRIDE=FQ","FILING_STATUS=OR","EQY_CONSOLIDATED=Y","Sort=A","Dates=H","DateFormat=P","Fill=—","Direction=H","UseDPDF=Y")</f>
        <v>#NAME?</v>
      </c>
      <c r="BQ499" s="2" t="e">
        <f ca="1">_xll.BDH($C$478,"WORKING_CAPITAL_SEQ_GROWTH","FQ1 2018","FQ1 2018","Currency=INR","Period=FQ","BEST_FPERIOD_OVERRIDE=FQ","FILING_STATUS=OR","EQY_CONSOLIDATED=Y","Sort=A","Dates=H","DateFormat=P","Fill=—","Direction=H","UseDPDF=Y")</f>
        <v>#NAME?</v>
      </c>
      <c r="BR499" s="2" t="e">
        <f ca="1">_xll.BDH($C$478,"ACCOUNTS_PAYABLE_SEQ_GROWTH","FQ1 2018","FQ1 2018","Currency=INR","Period=FQ","BEST_FPERIOD_OVERRIDE=FQ","FILING_STATUS=OR","EQY_CONSOLIDATED=Y","Sort=A","Dates=H","DateFormat=P","Fill=—","Direction=H","UseDPDF=Y")</f>
        <v>#NAME?</v>
      </c>
      <c r="BS499" s="2" t="e">
        <f ca="1">_xll.BDH($C$478,"ST_DEBT_SEQUENTIAL_GROWTH","FQ1 2018","FQ1 2018","Currency=INR","Period=FQ","BEST_FPERIOD_OVERRIDE=FQ","FILING_STATUS=OR","EQY_CONSOLIDATED=Y","Sort=A","Dates=H","DateFormat=P","Fill=—","Direction=H","UseDPDF=Y")</f>
        <v>#NAME?</v>
      </c>
      <c r="BT499" s="2" t="e">
        <f ca="1">_xll.BDH($C$478,"TOTAL_DEBT_SEQUENTIAL_GROWTH","FQ1 2018","FQ1 2018","Currency=INR","Period=FQ","BEST_FPERIOD_OVERRIDE=FQ","FILING_STATUS=OR","EQY_CONSOLIDATED=Y","Sort=A","Dates=H","DateFormat=P","Fill=—","Direction=H","UseDPDF=Y")</f>
        <v>#NAME?</v>
      </c>
      <c r="BU499" s="2" t="e">
        <f ca="1">_xll.BDH($C$478,"TOTAL_EQUITY_SEQUENTIAL_GROWTH","FQ1 2018","FQ1 2018","Currency=INR","Period=FQ","BEST_FPERIOD_OVERRIDE=FQ","FILING_STATUS=OR","EQY_CONSOLIDATED=Y","Sort=A","Dates=H","DateFormat=P","Fill=—","Direction=H","UseDPDF=Y")</f>
        <v>#NAME?</v>
      </c>
      <c r="BV499" s="2" t="e">
        <f ca="1">_xll.BDH($C$478,"TOTAL_CAPITAL_SEQUENTIAL_GROWTH","FQ1 2018","FQ1 2018","Currency=INR","Period=FQ","BEST_FPERIOD_OVERRIDE=FQ","FILING_STATUS=OR","EQY_CONSOLIDATED=Y","Sort=A","Dates=H","DateFormat=P","Fill=—","Direction=H","UseDPDF=Y")</f>
        <v>#NAME?</v>
      </c>
      <c r="BW499" s="2" t="e">
        <f ca="1">_xll.BDH($C$478,"BPS_SEQUENTIAL_GROWTH","FQ1 2018","FQ1 2018","Currency=INR","Period=FQ","BEST_FPERIOD_OVERRIDE=FQ","FILING_STATUS=OR","EQY_CONSOLIDATED=Y","Sort=A","Dates=H","DateFormat=P","Fill=—","Direction=H","UseDPDF=Y")</f>
        <v>#NAME?</v>
      </c>
      <c r="BX499" s="2" t="e">
        <f ca="1">_xll.BDH($C$478,"CFO_SEQUENTIAL_GROWTH","FQ1 2018","FQ1 2018","Currency=INR","Period=FQ","BEST_FPERIOD_OVERRIDE=FQ","FILING_STATUS=OR","EQY_CONSOLIDATED=Y","Sort=A","Dates=H","DateFormat=P","Fill=—","Direction=H","UseDPDF=Y")</f>
        <v>#NAME?</v>
      </c>
      <c r="BY499" s="3" t="e">
        <f ca="1">_xll.BDH($C$478,"SHORT_AND_LONG_TERM_DEBT","FQ1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499" s="3" t="e">
        <f ca="1">_xll.BDH($C$478,"BS_ST_BORROW","FQ1 2018","FQ1 2018","Currency=INR","Period=FQ","BEST_FPERIOD_OVERRIDE=FQ","FILING_STATUS=OR","EQY_CONSOLIDATED=Y","SCALING_FORMAT=MLN","Sort=A","Dates=H","DateFormat=P","Fill=—","Direction=H","UseDPDF=Y")</f>
        <v>#NAME?</v>
      </c>
      <c r="CA499" s="3" t="e">
        <f ca="1">_xll.BDH($C$478,"BS_LT_BORROW","FQ1 2018","FQ1 2018","Currency=INR","Period=FQ","BEST_FPERIOD_OVERRIDE=FQ","FILING_STATUS=OR","EQY_CONSOLIDATED=Y","SCALING_FORMAT=MLN","Sort=A","Dates=H","DateFormat=P","Fill=—","Direction=H","UseDPDF=Y")</f>
        <v>#NAME?</v>
      </c>
      <c r="CB499" s="2" t="e">
        <f ca="1">_xll.BDH($C$478,"TOT_DEBT_TO_EBITDA","FQ1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499" s="2" t="e">
        <f ca="1">_xll.BDH($C$478,"NET_DEBT_TO_EBITDA","FQ1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499" s="2" t="e">
        <f ca="1">_xll.BDH($C$478,"TOTAL_DEBT_TO_EBIT","FQ1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499" s="2" t="e">
        <f ca="1">_xll.BDH($C$478,"NET_DEBT_TO_EBIT","FQ1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499" s="2" t="e">
        <f ca="1">_xll.BDH($C$478,"EBITDA_TO_INTEREST_EXPN","FQ1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499" s="2" t="e">
        <f ca="1">_xll.BDH($C$478,"COM_EQY_TO_TOT_ASSET","FQ1 2018","FQ1 2018","Currency=INR","Period=FQ","BEST_FPERIOD_OVERRIDE=FQ","FILING_STATUS=OR","EQY_CONSOLIDATED=Y","Sort=A","Dates=H","DateFormat=P","Fill=—","Direction=H","UseDPDF=Y")</f>
        <v>#NAME?</v>
      </c>
      <c r="CH499" s="2" t="e">
        <f ca="1">_xll.BDH($C$478,"LT_DEBT_TO_TOT_EQY","FQ1 2018","FQ1 2018","Currency=INR","Period=FQ","BEST_FPERIOD_OVERRIDE=FQ","FILING_STATUS=OR","EQY_CONSOLIDATED=Y","Sort=A","Dates=H","DateFormat=P","Fill=—","Direction=H","UseDPDF=Y")</f>
        <v>#NAME?</v>
      </c>
      <c r="CI499" s="2" t="e">
        <f ca="1">_xll.BDH($C$478,"LT_DEBT_TO_TOT_CAP","FQ1 2018","FQ1 2018","Currency=INR","Period=FQ","BEST_FPERIOD_OVERRIDE=FQ","FILING_STATUS=OR","EQY_CONSOLIDATED=Y","Sort=A","Dates=H","DateFormat=P","Fill=—","Direction=H","UseDPDF=Y")</f>
        <v>#NAME?</v>
      </c>
      <c r="CJ499" s="2" t="e">
        <f ca="1">_xll.BDH($C$478,"LT_DEBT_TO_TOT_ASSET","FQ1 2018","FQ1 2018","Currency=INR","Period=FQ","BEST_FPERIOD_OVERRIDE=FQ","FILING_STATUS=OR","EQY_CONSOLIDATED=Y","Sort=A","Dates=H","DateFormat=P","Fill=—","Direction=H","UseDPDF=Y")</f>
        <v>#NAME?</v>
      </c>
      <c r="CK499" s="2" t="e">
        <f ca="1">_xll.BDH($C$478,"TOT_DEBT_TO_TOT_EQY","FQ1 2018","FQ1 2018","Currency=INR","Period=FQ","BEST_FPERIOD_OVERRIDE=FQ","FILING_STATUS=OR","EQY_CONSOLIDATED=Y","Sort=A","Dates=H","DateFormat=P","Fill=—","Direction=H","UseDPDF=Y")</f>
        <v>#NAME?</v>
      </c>
      <c r="CL499" s="2" t="e">
        <f ca="1">_xll.BDH($C$478,"TOT_DEBT_TO_TOT_CAP","FQ1 2018","FQ1 2018","Currency=INR","Period=FQ","BEST_FPERIOD_OVERRIDE=FQ","FILING_STATUS=OR","EQY_CONSOLIDATED=Y","Sort=A","Dates=H","DateFormat=P","Fill=—","Direction=H","UseDPDF=Y")</f>
        <v>#NAME?</v>
      </c>
      <c r="CM499" s="2" t="e">
        <f ca="1">_xll.BDH($C$478,"TOT_DEBT_TO_TOT_ASSET","FQ1 2018","FQ1 2018","Currency=INR","Period=FQ","BEST_FPERIOD_OVERRIDE=FQ","FILING_STATUS=OR","EQY_CONSOLIDATED=Y","Sort=A","Dates=H","DateFormat=P","Fill=—","Direction=H","UseDPDF=Y")</f>
        <v>#NAME?</v>
      </c>
      <c r="CN499" s="2" t="e">
        <f ca="1">_xll.BDH($C$478,"NET_DEBT_TO_SHRHLDR_EQTY","FQ1 2018","FQ1 2018","Currency=INR","Period=FQ","BEST_FPERIOD_OVERRIDE=FQ","FILING_STATUS=OR","EQY_CONSOLIDATED=Y","Sort=A","Dates=H","DateFormat=P","Fill=—","Direction=H","UseDPDF=Y")</f>
        <v>#NAME?</v>
      </c>
      <c r="CO499" s="2" t="e">
        <f ca="1">_xll.BDH($C$478,"NET_DEBT_%_CAPITAL","FQ1 2018","FQ1 2018","Currency=INR","Period=FQ","BEST_FPERIOD_OVERRIDE=FQ","FILING_STATUS=OR","EQY_CONSOLIDATED=Y","Sort=A","Dates=H","DateFormat=P","Fill=—","Direction=H","UseDPDF=Y")</f>
        <v>#NAME?</v>
      </c>
      <c r="CP499" s="3" t="e">
        <f ca="1">_xll.BDH($C$478,"EBITDA","FQ1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499" s="3" t="e">
        <f ca="1">_xll.BDH($C$478,"EBITDA_AFTER_CAPEX","FQ1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499" s="3" t="e">
        <f ca="1">_xll.BDH($C$478,"IS_OPER_INC","FQ1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499" s="2" t="e">
        <f ca="1">_xll.BDH($C$478,"CASH_RATIO","FQ1 2018","FQ1 2018","Currency=INR","Period=FQ","BEST_FPERIOD_OVERRIDE=FQ","FILING_STATUS=OR","EQY_CONSOLIDATED=Y","Sort=A","Dates=H","DateFormat=P","Fill=—","Direction=H","UseDPDF=Y")</f>
        <v>#NAME?</v>
      </c>
      <c r="CT499" s="2" t="e">
        <f ca="1">_xll.BDH($C$478,"CUR_RATIO","FQ1 2018","FQ1 2018","Currency=INR","Period=FQ","BEST_FPERIOD_OVERRIDE=FQ","FILING_STATUS=OR","EQY_CONSOLIDATED=Y","Sort=A","Dates=H","DateFormat=P","Fill=—","Direction=H","UseDPDF=Y")</f>
        <v>#NAME?</v>
      </c>
      <c r="CU499" s="2" t="e">
        <f ca="1">_xll.BDH($C$478,"QUICK_RATIO","FQ1 2018","FQ1 2018","Currency=INR","Period=FQ","BEST_FPERIOD_OVERRIDE=FQ","FILING_STATUS=OR","EQY_CONSOLIDATED=Y","Sort=A","Dates=H","DateFormat=P","Fill=—","Direction=H","UseDPDF=Y")</f>
        <v>#NAME?</v>
      </c>
      <c r="CV499" s="2" t="e">
        <f ca="1">_xll.BDH($C$478,"ALTMAN_Z_SCORE","FQ1 2018","FQ1 2018","Currency=INR","Period=FQ","BEST_FPERIOD_OVERRIDE=FQ","FILING_STATUS=OR","EQY_CONSOLIDATED=Y","Sort=A","Dates=H","DateFormat=P","Fill=—","Direction=H","UseDPDF=Y")</f>
        <v>#NAME?</v>
      </c>
      <c r="CW499" s="4" t="e">
        <f ca="1">_xll.BDH($C$478,"ACCT_RCV_TURN","FQ1 2018","FQ1 2018","Currency=INR","Period=FQ","BEST_FPERIOD_OVERRIDE=FQ","FILING_STATUS=OR","EQY_CONSOLIDATED=Y","FA_ADJUSTED=GAAP","Sort=A","Dates=H","DateFormat=P","Fill=—","Direction=H","UseDPDF=Y")</f>
        <v>#NAME?</v>
      </c>
      <c r="CX499" s="2" t="e">
        <f ca="1">_xll.BDH($C$478,"ACCT_RCV_DAYS","FQ1 2018","FQ1 2018","Currency=INR","Period=FQ","BEST_FPERIOD_OVERRIDE=FQ","FILING_STATUS=OR","EQY_CONSOLIDATED=Y","FA_ADJUSTED=GAAP","Sort=A","Dates=H","DateFormat=P","Fill=—","Direction=H","UseDPDF=Y")</f>
        <v>#NAME?</v>
      </c>
      <c r="CY499" s="4" t="e">
        <f ca="1">_xll.BDH($C$478,"INVENT_TURN","FQ1 2018","FQ1 2018","Currency=INR","Period=FQ","BEST_FPERIOD_OVERRIDE=FQ","FILING_STATUS=OR","EQY_CONSOLIDATED=Y","FA_ADJUSTED=GAAP","Sort=A","Dates=H","DateFormat=P","Fill=—","Direction=H","UseDPDF=Y")</f>
        <v>#NAME?</v>
      </c>
      <c r="CZ499" s="2" t="e">
        <f ca="1">_xll.BDH($C$478,"INVENT_DAYS","FQ1 2018","FQ1 2018","Currency=INR","Period=FQ","BEST_FPERIOD_OVERRIDE=FQ","FILING_STATUS=OR","EQY_CONSOLIDATED=Y","FA_ADJUSTED=GAAP","Sort=A","Dates=H","DateFormat=P","Fill=—","Direction=H","UseDPDF=Y")</f>
        <v>#NAME?</v>
      </c>
      <c r="DA499" s="4" t="e">
        <f ca="1">_xll.BDH($C$478,"ACCOUNTS_PAYABLE_TURNOVER","FQ1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499" s="2" t="e">
        <f ca="1">_xll.BDH($C$478,"ACCOUNTS_PAYABLE_TURNOVER_DAYS","FQ1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499" s="4" t="e">
        <f ca="1">_xll.BDH($C$478,"CASH_CONVERSION_CYCLE","FQ1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499" s="4" t="e">
        <f ca="1">_xll.BDH($C$478,"INV_TO_CASH_DAYS","FQ1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499" s="5" t="e">
        <f ca="1">_xll.BDH($C$478,"BS_INVENTORIES","FQ1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499" s="3" t="e">
        <f ca="1">_xll.BDH($C$478,"INVTRY_RAW_MATERIALS","FQ1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499" s="3" t="e">
        <f ca="1">_xll.BDH($C$478,"INVTRY_IN_PROGRESS","FQ1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499" s="3" t="e">
        <f ca="1">_xll.BDH($C$478,"INVTRY_FINISHED_GOODS","FQ1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499" s="3" t="e">
        <f ca="1">_xll.BDH($C$478,"BS_OTHER_INV","FQ1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00" spans="1:113" x14ac:dyDescent="0.3">
      <c r="A500" s="6"/>
      <c r="B500" s="6"/>
      <c r="C500" s="6"/>
      <c r="D500" s="6"/>
      <c r="E500" t="s">
        <v>79</v>
      </c>
      <c r="F500" t="e">
        <f ca="1">_xll.BDH($C$478,"RETURN_COM_EQY","FQ2 2018","FQ2 2018","Currency=INR","Period=FQ","BEST_FPERIOD_OVERRIDE=FQ","FILING_STATUS=OR","EQY_CONSOLIDATED=Y","FA_ADJUSTED=GAAP","Sort=A","Dates=H","DateFormat=P","Fill=—","Direction=H","UseDPDF=Y")</f>
        <v>#NAME?</v>
      </c>
      <c r="G500" t="e">
        <f ca="1">_xll.BDH($C$478,"RETURN_ON_ASSET","FQ2 2018","FQ2 2018","Currency=INR","Period=FQ","BEST_FPERIOD_OVERRIDE=FQ","FILING_STATUS=OR","EQY_CONSOLIDATED=Y","FA_ADJUSTED=GAAP","Sort=A","Dates=H","DateFormat=P","Fill=—","Direction=H","UseDPDF=Y")</f>
        <v>#NAME?</v>
      </c>
      <c r="H500" t="e">
        <f ca="1">_xll.BDH($C$478,"RETURN_ON_CAP","FQ2 2018","FQ2 2018","Currency=INR","Period=FQ","BEST_FPERIOD_OVERRIDE=FQ","FILING_STATUS=OR","EQY_CONSOLIDATED=Y","FA_ADJUSTED=GAAP","Sort=A","Dates=H","DateFormat=P","Fill=—","Direction=H","UseDPDF=Y")</f>
        <v>#NAME?</v>
      </c>
      <c r="I500" t="e">
        <f ca="1">_xll.BDH($C$478,"RETURN_ON_INV_CAPITAL","FQ2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00" t="e">
        <f ca="1">_xll.BDH($C$478,"EBITDA_TO_REVENUE","FQ2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00" t="e">
        <f ca="1">_xll.BDH($C$478,"OPER_MARGIN","FQ2 2018","FQ2 2018","Currency=INR","Period=FQ","BEST_FPERIOD_OVERRIDE=FQ","FILING_STATUS=OR","EQY_CONSOLIDATED=Y","FA_ADJUSTED=GAAP","Sort=A","Dates=H","DateFormat=P","Fill=—","Direction=H","UseDPDF=Y")</f>
        <v>#NAME?</v>
      </c>
      <c r="L500" t="e">
        <f ca="1">_xll.BDH($C$478,"INCREMENTAL_OPERATING_MARGIN","FQ2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00" t="e">
        <f ca="1">_xll.BDH($C$478,"PRETAX_INC_TO_NET_SALES","FQ2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00" t="e">
        <f ca="1">_xll.BDH($C$478,"INC_BEF_XO_ITEMS_TO_NET_SALES","FQ2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00" t="e">
        <f ca="1">_xll.BDH($C$478,"PROF_MARGIN","FQ2 2018","FQ2 2018","Currency=INR","Period=FQ","BEST_FPERIOD_OVERRIDE=FQ","FILING_STATUS=OR","EQY_CONSOLIDATED=Y","FA_ADJUSTED=GAAP","Sort=A","Dates=H","DateFormat=P","Fill=—","Direction=H","UseDPDF=Y")</f>
        <v>#NAME?</v>
      </c>
      <c r="P500" t="e">
        <f ca="1">_xll.BDH($C$478,"NET_INCOME_TO_COMMON_MARGIN","FQ2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00" t="e">
        <f ca="1">_xll.BDH($C$478,"EFF_TAX_RATE","FQ2 2018","FQ2 2018","Currency=INR","Period=FQ","BEST_FPERIOD_OVERRIDE=FQ","FILING_STATUS=OR","EQY_CONSOLIDATED=Y","FA_ADJUSTED=GAAP","Sort=A","Dates=H","DateFormat=P","Fill=—","Direction=H","UseDPDF=Y")</f>
        <v>#NAME?</v>
      </c>
      <c r="R500" t="e">
        <f ca="1">_xll.BDH($C$478,"DVD_PAYOUT_RATIO","FQ2 2018","FQ2 2018","Currency=INR","Period=FQ","BEST_FPERIOD_OVERRIDE=FQ","FILING_STATUS=OR","EQY_CONSOLIDATED=Y","FA_ADJUSTED=GAAP","Sort=A","Dates=H","DateFormat=P","Fill=—","Direction=H","UseDPDF=Y")</f>
        <v>#NAME?</v>
      </c>
      <c r="S500" t="e">
        <f ca="1">_xll.BDH($C$478,"SUSTAIN_GROWTH_RT","FQ2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00" s="2" t="e">
        <f ca="1">_xll.BDH($C$478,"SALES_GROWTH","FQ2 2018","FQ2 2018","Currency=INR","Period=FQ","BEST_FPERIOD_OVERRIDE=FQ","FILING_STATUS=OR","EQY_CONSOLIDATED=Y","FA_ADJUSTED=GAAP","Sort=A","Dates=H","DateFormat=P","Fill=—","Direction=H","UseDPDF=Y")</f>
        <v>#NAME?</v>
      </c>
      <c r="U500" s="2" t="e">
        <f ca="1">_xll.BDH($C$478,"EBITDA_GROWTH","FQ2 2018","FQ2 2018","Currency=INR","Period=FQ","BEST_FPERIOD_OVERRIDE=FQ","FILING_STATUS=OR","EQY_CONSOLIDATED=Y","FA_ADJUSTED=GAAP","Sort=A","Dates=H","DateFormat=P","Fill=—","Direction=H","UseDPDF=Y")</f>
        <v>#NAME?</v>
      </c>
      <c r="V500" s="2" t="e">
        <f ca="1">_xll.BDH($C$478,"OPER_INC_GROWTH","FQ2 2018","FQ2 2018","Currency=INR","Period=FQ","BEST_FPERIOD_OVERRIDE=FQ","FILING_STATUS=OR","EQY_CONSOLIDATED=Y","FA_ADJUSTED=GAAP","Sort=A","Dates=H","DateFormat=P","Fill=—","Direction=H","UseDPDF=Y")</f>
        <v>#NAME?</v>
      </c>
      <c r="W500" s="2" t="e">
        <f ca="1">_xll.BDH($C$478,"EARN_FOR_COM_GROWTH","FQ2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00" s="2" t="e">
        <f ca="1">_xll.BDH($C$478,"DILUTED_EPS_AFT_XO_ITEMS_GROWTH","FQ2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00" s="2" t="e">
        <f ca="1">_xll.BDH($C$478,"DIVIDEND_PER_SHARE_1_YEAR_GROWTH","FQ2 2018","FQ2 2018","Currency=INR","Period=FQ","BEST_FPERIOD_OVERRIDE=FQ","FILING_STATUS=OR","EQY_CONSOLIDATED=Y","Sort=A","Dates=H","DateFormat=P","Fill=—","Direction=H","UseDPDF=Y")</f>
        <v>#NAME?</v>
      </c>
      <c r="Z500" s="2" t="e">
        <f ca="1">_xll.BDH($C$478,"ACCOUNTS_RECEIVABLE_GROWTH","FQ2 2018","FQ2 2018","Currency=INR","Period=FQ","BEST_FPERIOD_OVERRIDE=FQ","FILING_STATUS=OR","EQY_CONSOLIDATED=Y","Sort=A","Dates=H","DateFormat=P","Fill=—","Direction=H","UseDPDF=Y")</f>
        <v>#NAME?</v>
      </c>
      <c r="AA500" s="2" t="e">
        <f ca="1">_xll.BDH($C$478,"INVENTORY_GROWTH","FQ2 2018","FQ2 2018","Currency=INR","Period=FQ","BEST_FPERIOD_OVERRIDE=FQ","FILING_STATUS=OR","EQY_CONSOLIDATED=Y","Sort=A","Dates=H","DateFormat=P","Fill=—","Direction=H","UseDPDF=Y")</f>
        <v>#NAME?</v>
      </c>
      <c r="AB500" s="2" t="e">
        <f ca="1">_xll.BDH($C$478,"NET_FIXED_ASSETS_1_YEAR_GROWTH","FQ2 2018","FQ2 2018","Currency=INR","Period=FQ","BEST_FPERIOD_OVERRIDE=FQ","FILING_STATUS=OR","EQY_CONSOLIDATED=Y","Sort=A","Dates=H","DateFormat=P","Fill=—","Direction=H","UseDPDF=Y")</f>
        <v>#NAME?</v>
      </c>
      <c r="AC500" s="2" t="e">
        <f ca="1">_xll.BDH($C$478,"ASSET_GROWTH","FQ2 2018","FQ2 2018","Currency=INR","Period=FQ","BEST_FPERIOD_OVERRIDE=FQ","FILING_STATUS=OR","EQY_CONSOLIDATED=Y","Sort=A","Dates=H","DateFormat=P","Fill=—","Direction=H","UseDPDF=Y")</f>
        <v>#NAME?</v>
      </c>
      <c r="AD500" s="2" t="e">
        <f ca="1">_xll.BDH($C$478,"MODIFIED_WORK_CAP_GROWTH","FQ2 2018","FQ2 2018","Currency=INR","Period=FQ","BEST_FPERIOD_OVERRIDE=FQ","FILING_STATUS=OR","EQY_CONSOLIDATED=Y","Sort=A","Dates=H","DateFormat=P","Fill=—","Direction=H","UseDPDF=Y")</f>
        <v>#NAME?</v>
      </c>
      <c r="AE500" s="2" t="e">
        <f ca="1">_xll.BDH($C$478,"WORK_CAP_GROWTH","FQ2 2018","FQ2 2018","Currency=INR","Period=FQ","BEST_FPERIOD_OVERRIDE=FQ","FILING_STATUS=OR","EQY_CONSOLIDATED=Y","Sort=A","Dates=H","DateFormat=P","Fill=—","Direction=H","UseDPDF=Y")</f>
        <v>#NAME?</v>
      </c>
      <c r="AF500" s="2" t="e">
        <f ca="1">_xll.BDH($C$478,"ACCOUNTS_PAYABLE_GROWTH_1YR","FQ2 2018","FQ2 2018","Currency=INR","Period=FQ","BEST_FPERIOD_OVERRIDE=FQ","FILING_STATUS=OR","EQY_CONSOLIDATED=Y","Sort=A","Dates=H","DateFormat=P","Fill=—","Direction=H","UseDPDF=Y")</f>
        <v>#NAME?</v>
      </c>
      <c r="AG500" s="2" t="e">
        <f ca="1">_xll.BDH($C$478,"SHORT_TERM_DEBT_1_YEAR_GROWTH","FQ2 2018","FQ2 2018","Currency=INR","Period=FQ","BEST_FPERIOD_OVERRIDE=FQ","FILING_STATUS=OR","EQY_CONSOLIDATED=Y","Sort=A","Dates=H","DateFormat=P","Fill=—","Direction=H","UseDPDF=Y")</f>
        <v>#NAME?</v>
      </c>
      <c r="AH500" s="2" t="e">
        <f ca="1">_xll.BDH($C$478,"TOTAL_DEBT_1_YEAR_GROWTH","FQ2 2018","FQ2 2018","Currency=INR","Period=FQ","BEST_FPERIOD_OVERRIDE=FQ","FILING_STATUS=OR","EQY_CONSOLIDATED=Y","Sort=A","Dates=H","DateFormat=P","Fill=—","Direction=H","UseDPDF=Y")</f>
        <v>#NAME?</v>
      </c>
      <c r="AI500" s="2" t="e">
        <f ca="1">_xll.BDH($C$478,"TOTAL_EQUITY_1_YEAR_GROWTH","FQ2 2018","FQ2 2018","Currency=INR","Period=FQ","BEST_FPERIOD_OVERRIDE=FQ","FILING_STATUS=OR","EQY_CONSOLIDATED=Y","Sort=A","Dates=H","DateFormat=P","Fill=—","Direction=H","UseDPDF=Y")</f>
        <v>#NAME?</v>
      </c>
      <c r="AJ500" s="2" t="e">
        <f ca="1">_xll.BDH($C$478,"GROWTH_IN_CAP","FQ2 2018","FQ2 2018","Currency=INR","Period=FQ","BEST_FPERIOD_OVERRIDE=FQ","FILING_STATUS=OR","EQY_CONSOLIDATED=Y","Sort=A","Dates=H","DateFormat=P","Fill=—","Direction=H","UseDPDF=Y")</f>
        <v>#NAME?</v>
      </c>
      <c r="AK500" s="2" t="e">
        <f ca="1">_xll.BDH($C$478,"BVPS_GROWTH","FQ2 2018","FQ2 2018","Currency=INR","Period=FQ","BEST_FPERIOD_OVERRIDE=FQ","FILING_STATUS=OR","EQY_CONSOLIDATED=Y","Sort=A","Dates=H","DateFormat=P","Fill=—","Direction=H","UseDPDF=Y")</f>
        <v>#NAME?</v>
      </c>
      <c r="AL500" s="2" t="e">
        <f ca="1">_xll.BDH($C$478,"CASH_FLOW_GROWTH","FQ2 2018","FQ2 2018","Currency=INR","Period=FQ","BEST_FPERIOD_OVERRIDE=FQ","FILING_STATUS=OR","EQY_CONSOLIDATED=Y","Sort=A","Dates=H","DateFormat=P","Fill=—","Direction=H","UseDPDF=Y")</f>
        <v>#NAME?</v>
      </c>
      <c r="AM500" s="2" t="e">
        <f ca="1">_xll.BDH($C$478,"GEO_GROW_NET_SALES","FQ2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00" s="2" t="e">
        <f ca="1">_xll.BDH($C$478,"GEO_GROW_EBITDA","FQ2 2018","FQ2 2018","Currency=INR","Period=FQ","BEST_FPERIOD_OVERRIDE=FQ","FILING_STATUS=OR","EQY_CONSOLIDATED=Y","FA_ADJUSTED=GAAP","Sort=A","Dates=H","DateFormat=P","Fill=—","Direction=H","UseDPDF=Y")</f>
        <v>#NAME?</v>
      </c>
      <c r="AO500" s="2" t="e">
        <f ca="1">_xll.BDH($C$478,"GEO_GROW_OPER_INC","FQ2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00" s="2" t="e">
        <f ca="1">_xll.BDH($C$478,"NET_INCOME_TO_COMMON_5_YR_GROWTH","FQ2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00" s="2" t="e">
        <f ca="1">_xll.BDH($C$478,"5Y_GEO_GROWTH_DILUTED_EPS","FQ2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00" s="2" t="e">
        <f ca="1">_xll.BDH($C$478,"GEO_GROW_DVD_PER_SH","FQ2 2018","FQ2 2018","Currency=INR","Period=FQ","BEST_FPERIOD_OVERRIDE=FQ","FILING_STATUS=OR","EQY_CONSOLIDATED=Y","Sort=A","Dates=H","DateFormat=P","Fill=—","Direction=H","UseDPDF=Y")</f>
        <v>#NAME?</v>
      </c>
      <c r="AS500" s="2" t="e">
        <f ca="1">_xll.BDH($C$478,"ACCOUNTS_RECEIVABLE_5_YR_GROWTH","FQ2 2018","FQ2 2018","Currency=INR","Period=FQ","BEST_FPERIOD_OVERRIDE=FQ","FILING_STATUS=OR","EQY_CONSOLIDATED=Y","Sort=A","Dates=H","DateFormat=P","Fill=—","Direction=H","UseDPDF=Y")</f>
        <v>#NAME?</v>
      </c>
      <c r="AT500" s="2" t="e">
        <f ca="1">_xll.BDH($C$478,"INVENTORY_5_YEAR_GROWTH","FQ2 2018","FQ2 2018","Currency=INR","Period=FQ","BEST_FPERIOD_OVERRIDE=FQ","FILING_STATUS=OR","EQY_CONSOLIDATED=Y","Sort=A","Dates=H","DateFormat=P","Fill=—","Direction=H","UseDPDF=Y")</f>
        <v>#NAME?</v>
      </c>
      <c r="AU500" s="2" t="e">
        <f ca="1">_xll.BDH($C$478,"NET_FIXED_ASSETS_5_YEAR_GROWTH","FQ2 2018","FQ2 2018","Currency=INR","Period=FQ","BEST_FPERIOD_OVERRIDE=FQ","FILING_STATUS=OR","EQY_CONSOLIDATED=Y","Sort=A","Dates=H","DateFormat=P","Fill=—","Direction=H","UseDPDF=Y")</f>
        <v>#NAME?</v>
      </c>
      <c r="AV500" s="2" t="e">
        <f ca="1">_xll.BDH($C$478,"GEO_GROW_TOT_ASSET","FQ2 2018","FQ2 2018","Currency=INR","Period=FQ","BEST_FPERIOD_OVERRIDE=FQ","FILING_STATUS=OR","EQY_CONSOLIDATED=Y","Sort=A","Dates=H","DateFormat=P","Fill=—","Direction=H","UseDPDF=Y")</f>
        <v>#NAME?</v>
      </c>
      <c r="AW500" s="2" t="e">
        <f ca="1">_xll.BDH($C$478,"MODIFIED_WORKING_CPTL_5YR_GRWTH","FQ2 2018","FQ2 2018","Currency=INR","Period=FQ","BEST_FPERIOD_OVERRIDE=FQ","FILING_STATUS=OR","EQY_CONSOLIDATED=Y","Sort=A","Dates=H","DateFormat=P","Fill=—","Direction=H","UseDPDF=Y")</f>
        <v>#NAME?</v>
      </c>
      <c r="AX500" s="2" t="e">
        <f ca="1">_xll.BDH($C$478,"WORKING_CAPITAL_5_YEAR_GROWTH","FQ2 2018","FQ2 2018","Currency=INR","Period=FQ","BEST_FPERIOD_OVERRIDE=FQ","FILING_STATUS=OR","EQY_CONSOLIDATED=Y","Sort=A","Dates=H","DateFormat=P","Fill=—","Direction=H","UseDPDF=Y")</f>
        <v>#NAME?</v>
      </c>
      <c r="AY500" s="2" t="e">
        <f ca="1">_xll.BDH($C$478,"ACCOUNTS_PAYABLE_5_YEAR_GROWTH","FQ2 2018","FQ2 2018","Currency=INR","Period=FQ","BEST_FPERIOD_OVERRIDE=FQ","FILING_STATUS=OR","EQY_CONSOLIDATED=Y","Sort=A","Dates=H","DateFormat=P","Fill=—","Direction=H","UseDPDF=Y")</f>
        <v>#NAME?</v>
      </c>
      <c r="AZ500" s="2" t="e">
        <f ca="1">_xll.BDH($C$478,"SHORT_TERM_DEBT_5_YEAR_GROWTH","FQ2 2018","FQ2 2018","Currency=INR","Period=FQ","BEST_FPERIOD_OVERRIDE=FQ","FILING_STATUS=OR","EQY_CONSOLIDATED=Y","Sort=A","Dates=H","DateFormat=P","Fill=—","Direction=H","UseDPDF=Y")</f>
        <v>#NAME?</v>
      </c>
      <c r="BA500" s="2" t="e">
        <f ca="1">_xll.BDH($C$478,"TOTAL_DEBT_5_YEAR_GROWTH","FQ2 2018","FQ2 2018","Currency=INR","Period=FQ","BEST_FPERIOD_OVERRIDE=FQ","FILING_STATUS=OR","EQY_CONSOLIDATED=Y","Sort=A","Dates=H","DateFormat=P","Fill=—","Direction=H","UseDPDF=Y")</f>
        <v>#NAME?</v>
      </c>
      <c r="BB500" s="2" t="e">
        <f ca="1">_xll.BDH($C$478,"GEO_GROW_TOT_SHRHLDR_EQY","FQ2 2018","FQ2 2018","Currency=INR","Period=FQ","BEST_FPERIOD_OVERRIDE=FQ","FILING_STATUS=OR","EQY_CONSOLIDATED=Y","Sort=A","Dates=H","DateFormat=P","Fill=—","Direction=H","UseDPDF=Y")</f>
        <v>#NAME?</v>
      </c>
      <c r="BC500" s="2" t="e">
        <f ca="1">_xll.BDH($C$478,"TOTAL_CAPITAL_5_YEAR_GROWTH","FQ2 2018","FQ2 2018","Currency=INR","Period=FQ","BEST_FPERIOD_OVERRIDE=FQ","FILING_STATUS=OR","EQY_CONSOLIDATED=Y","Sort=A","Dates=H","DateFormat=P","Fill=—","Direction=H","UseDPDF=Y")</f>
        <v>#NAME?</v>
      </c>
      <c r="BD500" s="2" t="e">
        <f ca="1">_xll.BDH($C$478,"GEO_GROW_BOOK_VAL","FQ2 2018","FQ2 2018","Currency=INR","Period=FQ","BEST_FPERIOD_OVERRIDE=FQ","FILING_STATUS=OR","EQY_CONSOLIDATED=Y","Sort=A","Dates=H","DateFormat=P","Fill=—","Direction=H","UseDPDF=Y")</f>
        <v>#NAME?</v>
      </c>
      <c r="BE500" s="2" t="e">
        <f ca="1">_xll.BDH($C$478,"GEO_GROW_CASH_OPER_ACT","FQ2 2018","FQ2 2018","Currency=INR","Period=FQ","BEST_FPERIOD_OVERRIDE=FQ","FILING_STATUS=OR","EQY_CONSOLIDATED=Y","Sort=A","Dates=H","DateFormat=P","Fill=—","Direction=H","UseDPDF=Y")</f>
        <v>#NAME?</v>
      </c>
      <c r="BF500" s="2" t="e">
        <f ca="1">_xll.BDH($C$478,"REVENUE_SEQUENTIAL_GROWTH","FQ2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00" s="2" t="e">
        <f ca="1">_xll.BDH($C$478,"EBITDA_SEQUENTIAL_GROWTH","FQ2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00" s="2" t="e">
        <f ca="1">_xll.BDH($C$478,"OPERATING_INCOME_SEQ_GROWTH","FQ2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00" s="2" t="e">
        <f ca="1">_xll.BDH($C$478,"NET_INCOME_TO_COMMON_SEQ_GROWTH","FQ2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00" s="2" t="e">
        <f ca="1">_xll.BDH($C$478,"EPS_DILUTED_SEQUENTIAL_GROWTH","FQ2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00" s="2" t="e">
        <f ca="1">_xll.BDH($C$478,"DPS_SEQUENTIAL_GROWTH","FQ2 2018","FQ2 2018","Currency=INR","Period=FQ","BEST_FPERIOD_OVERRIDE=FQ","FILING_STATUS=OR","EQY_CONSOLIDATED=Y","Sort=A","Dates=H","DateFormat=P","Fill=—","Direction=H","UseDPDF=Y")</f>
        <v>#NAME?</v>
      </c>
      <c r="BL500" s="2" t="e">
        <f ca="1">_xll.BDH($C$478,"ACCOUNTS_RECEIVABLE_SEQ_GROWTH","FQ2 2018","FQ2 2018","Currency=INR","Period=FQ","BEST_FPERIOD_OVERRIDE=FQ","FILING_STATUS=OR","EQY_CONSOLIDATED=Y","Sort=A","Dates=H","DateFormat=P","Fill=—","Direction=H","UseDPDF=Y")</f>
        <v>#NAME?</v>
      </c>
      <c r="BM500" s="2" t="e">
        <f ca="1">_xll.BDH($C$478,"INVENTORY_SEQUENTIAL_GROWTH","FQ2 2018","FQ2 2018","Currency=INR","Period=FQ","BEST_FPERIOD_OVERRIDE=FQ","FILING_STATUS=OR","EQY_CONSOLIDATED=Y","Sort=A","Dates=H","DateFormat=P","Fill=—","Direction=H","UseDPDF=Y")</f>
        <v>#NAME?</v>
      </c>
      <c r="BN500" s="2" t="e">
        <f ca="1">_xll.BDH($C$478,"FIXED_ASSETS_SEQUENTIAL_GROWTH","FQ2 2018","FQ2 2018","Currency=INR","Period=FQ","BEST_FPERIOD_OVERRIDE=FQ","FILING_STATUS=OR","EQY_CONSOLIDATED=Y","Sort=A","Dates=H","DateFormat=P","Fill=—","Direction=H","UseDPDF=Y")</f>
        <v>#NAME?</v>
      </c>
      <c r="BO500" s="2" t="e">
        <f ca="1">_xll.BDH($C$478,"TOTAL_ASSETS_SEQUENTIAL_GROWTH","FQ2 2018","FQ2 2018","Currency=INR","Period=FQ","BEST_FPERIOD_OVERRIDE=FQ","FILING_STATUS=OR","EQY_CONSOLIDATED=Y","Sort=A","Dates=H","DateFormat=P","Fill=—","Direction=H","UseDPDF=Y")</f>
        <v>#NAME?</v>
      </c>
      <c r="BP500" s="2" t="e">
        <f ca="1">_xll.BDH($C$478,"MODIFIED_WORKING_CPTL_SEQ_GRWTH","FQ2 2018","FQ2 2018","Currency=INR","Period=FQ","BEST_FPERIOD_OVERRIDE=FQ","FILING_STATUS=OR","EQY_CONSOLIDATED=Y","Sort=A","Dates=H","DateFormat=P","Fill=—","Direction=H","UseDPDF=Y")</f>
        <v>#NAME?</v>
      </c>
      <c r="BQ500" s="2" t="e">
        <f ca="1">_xll.BDH($C$478,"WORKING_CAPITAL_SEQ_GROWTH","FQ2 2018","FQ2 2018","Currency=INR","Period=FQ","BEST_FPERIOD_OVERRIDE=FQ","FILING_STATUS=OR","EQY_CONSOLIDATED=Y","Sort=A","Dates=H","DateFormat=P","Fill=—","Direction=H","UseDPDF=Y")</f>
        <v>#NAME?</v>
      </c>
      <c r="BR500" s="2" t="e">
        <f ca="1">_xll.BDH($C$478,"ACCOUNTS_PAYABLE_SEQ_GROWTH","FQ2 2018","FQ2 2018","Currency=INR","Period=FQ","BEST_FPERIOD_OVERRIDE=FQ","FILING_STATUS=OR","EQY_CONSOLIDATED=Y","Sort=A","Dates=H","DateFormat=P","Fill=—","Direction=H","UseDPDF=Y")</f>
        <v>#NAME?</v>
      </c>
      <c r="BS500" s="2" t="e">
        <f ca="1">_xll.BDH($C$478,"ST_DEBT_SEQUENTIAL_GROWTH","FQ2 2018","FQ2 2018","Currency=INR","Period=FQ","BEST_FPERIOD_OVERRIDE=FQ","FILING_STATUS=OR","EQY_CONSOLIDATED=Y","Sort=A","Dates=H","DateFormat=P","Fill=—","Direction=H","UseDPDF=Y")</f>
        <v>#NAME?</v>
      </c>
      <c r="BT500" s="2" t="e">
        <f ca="1">_xll.BDH($C$478,"TOTAL_DEBT_SEQUENTIAL_GROWTH","FQ2 2018","FQ2 2018","Currency=INR","Period=FQ","BEST_FPERIOD_OVERRIDE=FQ","FILING_STATUS=OR","EQY_CONSOLIDATED=Y","Sort=A","Dates=H","DateFormat=P","Fill=—","Direction=H","UseDPDF=Y")</f>
        <v>#NAME?</v>
      </c>
      <c r="BU500" s="2" t="e">
        <f ca="1">_xll.BDH($C$478,"TOTAL_EQUITY_SEQUENTIAL_GROWTH","FQ2 2018","FQ2 2018","Currency=INR","Period=FQ","BEST_FPERIOD_OVERRIDE=FQ","FILING_STATUS=OR","EQY_CONSOLIDATED=Y","Sort=A","Dates=H","DateFormat=P","Fill=—","Direction=H","UseDPDF=Y")</f>
        <v>#NAME?</v>
      </c>
      <c r="BV500" s="2" t="e">
        <f ca="1">_xll.BDH($C$478,"TOTAL_CAPITAL_SEQUENTIAL_GROWTH","FQ2 2018","FQ2 2018","Currency=INR","Period=FQ","BEST_FPERIOD_OVERRIDE=FQ","FILING_STATUS=OR","EQY_CONSOLIDATED=Y","Sort=A","Dates=H","DateFormat=P","Fill=—","Direction=H","UseDPDF=Y")</f>
        <v>#NAME?</v>
      </c>
      <c r="BW500" s="2" t="e">
        <f ca="1">_xll.BDH($C$478,"BPS_SEQUENTIAL_GROWTH","FQ2 2018","FQ2 2018","Currency=INR","Period=FQ","BEST_FPERIOD_OVERRIDE=FQ","FILING_STATUS=OR","EQY_CONSOLIDATED=Y","Sort=A","Dates=H","DateFormat=P","Fill=—","Direction=H","UseDPDF=Y")</f>
        <v>#NAME?</v>
      </c>
      <c r="BX500" s="2" t="e">
        <f ca="1">_xll.BDH($C$478,"CFO_SEQUENTIAL_GROWTH","FQ2 2018","FQ2 2018","Currency=INR","Period=FQ","BEST_FPERIOD_OVERRIDE=FQ","FILING_STATUS=OR","EQY_CONSOLIDATED=Y","Sort=A","Dates=H","DateFormat=P","Fill=—","Direction=H","UseDPDF=Y")</f>
        <v>#NAME?</v>
      </c>
      <c r="BY500" s="3" t="e">
        <f ca="1">_xll.BDH($C$478,"SHORT_AND_LONG_TERM_DEBT","FQ2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00" s="3" t="e">
        <f ca="1">_xll.BDH($C$478,"BS_ST_BORROW","FQ2 2018","FQ2 2018","Currency=INR","Period=FQ","BEST_FPERIOD_OVERRIDE=FQ","FILING_STATUS=OR","EQY_CONSOLIDATED=Y","SCALING_FORMAT=MLN","Sort=A","Dates=H","DateFormat=P","Fill=—","Direction=H","UseDPDF=Y")</f>
        <v>#NAME?</v>
      </c>
      <c r="CA500" s="3" t="e">
        <f ca="1">_xll.BDH($C$478,"BS_LT_BORROW","FQ2 2018","FQ2 2018","Currency=INR","Period=FQ","BEST_FPERIOD_OVERRIDE=FQ","FILING_STATUS=OR","EQY_CONSOLIDATED=Y","SCALING_FORMAT=MLN","Sort=A","Dates=H","DateFormat=P","Fill=—","Direction=H","UseDPDF=Y")</f>
        <v>#NAME?</v>
      </c>
      <c r="CB500" s="2" t="e">
        <f ca="1">_xll.BDH($C$478,"TOT_DEBT_TO_EBITDA","FQ2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00" s="2" t="e">
        <f ca="1">_xll.BDH($C$478,"NET_DEBT_TO_EBITDA","FQ2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00" s="2" t="e">
        <f ca="1">_xll.BDH($C$478,"TOTAL_DEBT_TO_EBIT","FQ2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00" s="2" t="e">
        <f ca="1">_xll.BDH($C$478,"NET_DEBT_TO_EBIT","FQ2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00" s="2" t="e">
        <f ca="1">_xll.BDH($C$478,"EBITDA_TO_INTEREST_EXPN","FQ2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00" s="2" t="e">
        <f ca="1">_xll.BDH($C$478,"COM_EQY_TO_TOT_ASSET","FQ2 2018","FQ2 2018","Currency=INR","Period=FQ","BEST_FPERIOD_OVERRIDE=FQ","FILING_STATUS=OR","EQY_CONSOLIDATED=Y","Sort=A","Dates=H","DateFormat=P","Fill=—","Direction=H","UseDPDF=Y")</f>
        <v>#NAME?</v>
      </c>
      <c r="CH500" s="2" t="e">
        <f ca="1">_xll.BDH($C$478,"LT_DEBT_TO_TOT_EQY","FQ2 2018","FQ2 2018","Currency=INR","Period=FQ","BEST_FPERIOD_OVERRIDE=FQ","FILING_STATUS=OR","EQY_CONSOLIDATED=Y","Sort=A","Dates=H","DateFormat=P","Fill=—","Direction=H","UseDPDF=Y")</f>
        <v>#NAME?</v>
      </c>
      <c r="CI500" s="2" t="e">
        <f ca="1">_xll.BDH($C$478,"LT_DEBT_TO_TOT_CAP","FQ2 2018","FQ2 2018","Currency=INR","Period=FQ","BEST_FPERIOD_OVERRIDE=FQ","FILING_STATUS=OR","EQY_CONSOLIDATED=Y","Sort=A","Dates=H","DateFormat=P","Fill=—","Direction=H","UseDPDF=Y")</f>
        <v>#NAME?</v>
      </c>
      <c r="CJ500" s="2" t="e">
        <f ca="1">_xll.BDH($C$478,"LT_DEBT_TO_TOT_ASSET","FQ2 2018","FQ2 2018","Currency=INR","Period=FQ","BEST_FPERIOD_OVERRIDE=FQ","FILING_STATUS=OR","EQY_CONSOLIDATED=Y","Sort=A","Dates=H","DateFormat=P","Fill=—","Direction=H","UseDPDF=Y")</f>
        <v>#NAME?</v>
      </c>
      <c r="CK500" s="2" t="e">
        <f ca="1">_xll.BDH($C$478,"TOT_DEBT_TO_TOT_EQY","FQ2 2018","FQ2 2018","Currency=INR","Period=FQ","BEST_FPERIOD_OVERRIDE=FQ","FILING_STATUS=OR","EQY_CONSOLIDATED=Y","Sort=A","Dates=H","DateFormat=P","Fill=—","Direction=H","UseDPDF=Y")</f>
        <v>#NAME?</v>
      </c>
      <c r="CL500" s="2" t="e">
        <f ca="1">_xll.BDH($C$478,"TOT_DEBT_TO_TOT_CAP","FQ2 2018","FQ2 2018","Currency=INR","Period=FQ","BEST_FPERIOD_OVERRIDE=FQ","FILING_STATUS=OR","EQY_CONSOLIDATED=Y","Sort=A","Dates=H","DateFormat=P","Fill=—","Direction=H","UseDPDF=Y")</f>
        <v>#NAME?</v>
      </c>
      <c r="CM500" s="2" t="e">
        <f ca="1">_xll.BDH($C$478,"TOT_DEBT_TO_TOT_ASSET","FQ2 2018","FQ2 2018","Currency=INR","Period=FQ","BEST_FPERIOD_OVERRIDE=FQ","FILING_STATUS=OR","EQY_CONSOLIDATED=Y","Sort=A","Dates=H","DateFormat=P","Fill=—","Direction=H","UseDPDF=Y")</f>
        <v>#NAME?</v>
      </c>
      <c r="CN500" s="2" t="e">
        <f ca="1">_xll.BDH($C$478,"NET_DEBT_TO_SHRHLDR_EQTY","FQ2 2018","FQ2 2018","Currency=INR","Period=FQ","BEST_FPERIOD_OVERRIDE=FQ","FILING_STATUS=OR","EQY_CONSOLIDATED=Y","Sort=A","Dates=H","DateFormat=P","Fill=—","Direction=H","UseDPDF=Y")</f>
        <v>#NAME?</v>
      </c>
      <c r="CO500" s="2" t="e">
        <f ca="1">_xll.BDH($C$478,"NET_DEBT_%_CAPITAL","FQ2 2018","FQ2 2018","Currency=INR","Period=FQ","BEST_FPERIOD_OVERRIDE=FQ","FILING_STATUS=OR","EQY_CONSOLIDATED=Y","Sort=A","Dates=H","DateFormat=P","Fill=—","Direction=H","UseDPDF=Y")</f>
        <v>#NAME?</v>
      </c>
      <c r="CP500" s="3" t="e">
        <f ca="1">_xll.BDH($C$478,"EBITDA","FQ2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00" s="3" t="e">
        <f ca="1">_xll.BDH($C$478,"EBITDA_AFTER_CAPEX","FQ2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00" s="3" t="e">
        <f ca="1">_xll.BDH($C$478,"IS_OPER_INC","FQ2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00" s="2" t="e">
        <f ca="1">_xll.BDH($C$478,"CASH_RATIO","FQ2 2018","FQ2 2018","Currency=INR","Period=FQ","BEST_FPERIOD_OVERRIDE=FQ","FILING_STATUS=OR","EQY_CONSOLIDATED=Y","Sort=A","Dates=H","DateFormat=P","Fill=—","Direction=H","UseDPDF=Y")</f>
        <v>#NAME?</v>
      </c>
      <c r="CT500" s="2" t="e">
        <f ca="1">_xll.BDH($C$478,"CUR_RATIO","FQ2 2018","FQ2 2018","Currency=INR","Period=FQ","BEST_FPERIOD_OVERRIDE=FQ","FILING_STATUS=OR","EQY_CONSOLIDATED=Y","Sort=A","Dates=H","DateFormat=P","Fill=—","Direction=H","UseDPDF=Y")</f>
        <v>#NAME?</v>
      </c>
      <c r="CU500" s="2" t="e">
        <f ca="1">_xll.BDH($C$478,"QUICK_RATIO","FQ2 2018","FQ2 2018","Currency=INR","Period=FQ","BEST_FPERIOD_OVERRIDE=FQ","FILING_STATUS=OR","EQY_CONSOLIDATED=Y","Sort=A","Dates=H","DateFormat=P","Fill=—","Direction=H","UseDPDF=Y")</f>
        <v>#NAME?</v>
      </c>
      <c r="CV500" s="2" t="e">
        <f ca="1">_xll.BDH($C$478,"ALTMAN_Z_SCORE","FQ2 2018","FQ2 2018","Currency=INR","Period=FQ","BEST_FPERIOD_OVERRIDE=FQ","FILING_STATUS=OR","EQY_CONSOLIDATED=Y","Sort=A","Dates=H","DateFormat=P","Fill=—","Direction=H","UseDPDF=Y")</f>
        <v>#NAME?</v>
      </c>
      <c r="CW500" s="4" t="e">
        <f ca="1">_xll.BDH($C$478,"ACCT_RCV_TURN","FQ2 2018","FQ2 2018","Currency=INR","Period=FQ","BEST_FPERIOD_OVERRIDE=FQ","FILING_STATUS=OR","EQY_CONSOLIDATED=Y","FA_ADJUSTED=GAAP","Sort=A","Dates=H","DateFormat=P","Fill=—","Direction=H","UseDPDF=Y")</f>
        <v>#NAME?</v>
      </c>
      <c r="CX500" s="2" t="e">
        <f ca="1">_xll.BDH($C$478,"ACCT_RCV_DAYS","FQ2 2018","FQ2 2018","Currency=INR","Period=FQ","BEST_FPERIOD_OVERRIDE=FQ","FILING_STATUS=OR","EQY_CONSOLIDATED=Y","FA_ADJUSTED=GAAP","Sort=A","Dates=H","DateFormat=P","Fill=—","Direction=H","UseDPDF=Y")</f>
        <v>#NAME?</v>
      </c>
      <c r="CY500" s="4" t="e">
        <f ca="1">_xll.BDH($C$478,"INVENT_TURN","FQ2 2018","FQ2 2018","Currency=INR","Period=FQ","BEST_FPERIOD_OVERRIDE=FQ","FILING_STATUS=OR","EQY_CONSOLIDATED=Y","FA_ADJUSTED=GAAP","Sort=A","Dates=H","DateFormat=P","Fill=—","Direction=H","UseDPDF=Y")</f>
        <v>#NAME?</v>
      </c>
      <c r="CZ500" s="2" t="e">
        <f ca="1">_xll.BDH($C$478,"INVENT_DAYS","FQ2 2018","FQ2 2018","Currency=INR","Period=FQ","BEST_FPERIOD_OVERRIDE=FQ","FILING_STATUS=OR","EQY_CONSOLIDATED=Y","FA_ADJUSTED=GAAP","Sort=A","Dates=H","DateFormat=P","Fill=—","Direction=H","UseDPDF=Y")</f>
        <v>#NAME?</v>
      </c>
      <c r="DA500" s="4" t="e">
        <f ca="1">_xll.BDH($C$478,"ACCOUNTS_PAYABLE_TURNOVER","FQ2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00" s="2" t="e">
        <f ca="1">_xll.BDH($C$478,"ACCOUNTS_PAYABLE_TURNOVER_DAYS","FQ2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00" s="4" t="e">
        <f ca="1">_xll.BDH($C$478,"CASH_CONVERSION_CYCLE","FQ2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00" s="4" t="e">
        <f ca="1">_xll.BDH($C$478,"INV_TO_CASH_DAYS","FQ2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00" s="5" t="e">
        <f ca="1">_xll.BDH($C$478,"BS_INVENTORIES","FQ2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00" s="3" t="e">
        <f ca="1">_xll.BDH($C$478,"INVTRY_RAW_MATERIALS","FQ2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00" s="3" t="e">
        <f ca="1">_xll.BDH($C$478,"INVTRY_IN_PROGRESS","FQ2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00" s="3" t="e">
        <f ca="1">_xll.BDH($C$478,"INVTRY_FINISHED_GOODS","FQ2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00" s="3" t="e">
        <f ca="1">_xll.BDH($C$478,"BS_OTHER_INV","FQ2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01" spans="1:113" x14ac:dyDescent="0.3">
      <c r="A501" s="6"/>
      <c r="B501" s="6"/>
      <c r="C501" s="6"/>
      <c r="D501" s="6"/>
      <c r="E501" t="s">
        <v>80</v>
      </c>
      <c r="F501" t="e">
        <f ca="1">_xll.BDH($C$478,"RETURN_COM_EQY","FQ3 2018","FQ3 2018","Currency=INR","Period=FQ","BEST_FPERIOD_OVERRIDE=FQ","FILING_STATUS=OR","EQY_CONSOLIDATED=Y","FA_ADJUSTED=GAAP","Sort=A","Dates=H","DateFormat=P","Fill=—","Direction=H","UseDPDF=Y")</f>
        <v>#NAME?</v>
      </c>
      <c r="G501" t="e">
        <f ca="1">_xll.BDH($C$478,"RETURN_ON_ASSET","FQ3 2018","FQ3 2018","Currency=INR","Period=FQ","BEST_FPERIOD_OVERRIDE=FQ","FILING_STATUS=OR","EQY_CONSOLIDATED=Y","FA_ADJUSTED=GAAP","Sort=A","Dates=H","DateFormat=P","Fill=—","Direction=H","UseDPDF=Y")</f>
        <v>#NAME?</v>
      </c>
      <c r="H501" t="e">
        <f ca="1">_xll.BDH($C$478,"RETURN_ON_CAP","FQ3 2018","FQ3 2018","Currency=INR","Period=FQ","BEST_FPERIOD_OVERRIDE=FQ","FILING_STATUS=OR","EQY_CONSOLIDATED=Y","FA_ADJUSTED=GAAP","Sort=A","Dates=H","DateFormat=P","Fill=—","Direction=H","UseDPDF=Y")</f>
        <v>#NAME?</v>
      </c>
      <c r="I501" t="e">
        <f ca="1">_xll.BDH($C$478,"RETURN_ON_INV_CAPITAL","FQ3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01" t="e">
        <f ca="1">_xll.BDH($C$478,"EBITDA_TO_REVENUE","FQ3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01" t="e">
        <f ca="1">_xll.BDH($C$478,"OPER_MARGIN","FQ3 2018","FQ3 2018","Currency=INR","Period=FQ","BEST_FPERIOD_OVERRIDE=FQ","FILING_STATUS=OR","EQY_CONSOLIDATED=Y","FA_ADJUSTED=GAAP","Sort=A","Dates=H","DateFormat=P","Fill=—","Direction=H","UseDPDF=Y")</f>
        <v>#NAME?</v>
      </c>
      <c r="L501" t="e">
        <f ca="1">_xll.BDH($C$478,"INCREMENTAL_OPERATING_MARGIN","FQ3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01" t="e">
        <f ca="1">_xll.BDH($C$478,"PRETAX_INC_TO_NET_SALES","FQ3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01" t="e">
        <f ca="1">_xll.BDH($C$478,"INC_BEF_XO_ITEMS_TO_NET_SALES","FQ3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01" t="e">
        <f ca="1">_xll.BDH($C$478,"PROF_MARGIN","FQ3 2018","FQ3 2018","Currency=INR","Period=FQ","BEST_FPERIOD_OVERRIDE=FQ","FILING_STATUS=OR","EQY_CONSOLIDATED=Y","FA_ADJUSTED=GAAP","Sort=A","Dates=H","DateFormat=P","Fill=—","Direction=H","UseDPDF=Y")</f>
        <v>#NAME?</v>
      </c>
      <c r="P501" t="e">
        <f ca="1">_xll.BDH($C$478,"NET_INCOME_TO_COMMON_MARGIN","FQ3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01" t="e">
        <f ca="1">_xll.BDH($C$478,"EFF_TAX_RATE","FQ3 2018","FQ3 2018","Currency=INR","Period=FQ","BEST_FPERIOD_OVERRIDE=FQ","FILING_STATUS=OR","EQY_CONSOLIDATED=Y","FA_ADJUSTED=GAAP","Sort=A","Dates=H","DateFormat=P","Fill=—","Direction=H","UseDPDF=Y")</f>
        <v>#NAME?</v>
      </c>
      <c r="R501" t="e">
        <f ca="1">_xll.BDH($C$478,"DVD_PAYOUT_RATIO","FQ3 2018","FQ3 2018","Currency=INR","Period=FQ","BEST_FPERIOD_OVERRIDE=FQ","FILING_STATUS=OR","EQY_CONSOLIDATED=Y","FA_ADJUSTED=GAAP","Sort=A","Dates=H","DateFormat=P","Fill=—","Direction=H","UseDPDF=Y")</f>
        <v>#NAME?</v>
      </c>
      <c r="S501" t="e">
        <f ca="1">_xll.BDH($C$478,"SUSTAIN_GROWTH_RT","FQ3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01" s="2" t="e">
        <f ca="1">_xll.BDH($C$478,"SALES_GROWTH","FQ3 2018","FQ3 2018","Currency=INR","Period=FQ","BEST_FPERIOD_OVERRIDE=FQ","FILING_STATUS=OR","EQY_CONSOLIDATED=Y","FA_ADJUSTED=GAAP","Sort=A","Dates=H","DateFormat=P","Fill=—","Direction=H","UseDPDF=Y")</f>
        <v>#NAME?</v>
      </c>
      <c r="U501" s="2" t="e">
        <f ca="1">_xll.BDH($C$478,"EBITDA_GROWTH","FQ3 2018","FQ3 2018","Currency=INR","Period=FQ","BEST_FPERIOD_OVERRIDE=FQ","FILING_STATUS=OR","EQY_CONSOLIDATED=Y","FA_ADJUSTED=GAAP","Sort=A","Dates=H","DateFormat=P","Fill=—","Direction=H","UseDPDF=Y")</f>
        <v>#NAME?</v>
      </c>
      <c r="V501" s="2" t="e">
        <f ca="1">_xll.BDH($C$478,"OPER_INC_GROWTH","FQ3 2018","FQ3 2018","Currency=INR","Period=FQ","BEST_FPERIOD_OVERRIDE=FQ","FILING_STATUS=OR","EQY_CONSOLIDATED=Y","FA_ADJUSTED=GAAP","Sort=A","Dates=H","DateFormat=P","Fill=—","Direction=H","UseDPDF=Y")</f>
        <v>#NAME?</v>
      </c>
      <c r="W501" s="2" t="e">
        <f ca="1">_xll.BDH($C$478,"EARN_FOR_COM_GROWTH","FQ3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01" s="2" t="e">
        <f ca="1">_xll.BDH($C$478,"DILUTED_EPS_AFT_XO_ITEMS_GROWTH","FQ3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01" s="2" t="e">
        <f ca="1">_xll.BDH($C$478,"DIVIDEND_PER_SHARE_1_YEAR_GROWTH","FQ3 2018","FQ3 2018","Currency=INR","Period=FQ","BEST_FPERIOD_OVERRIDE=FQ","FILING_STATUS=OR","EQY_CONSOLIDATED=Y","Sort=A","Dates=H","DateFormat=P","Fill=—","Direction=H","UseDPDF=Y")</f>
        <v>#NAME?</v>
      </c>
      <c r="Z501" s="2" t="e">
        <f ca="1">_xll.BDH($C$478,"ACCOUNTS_RECEIVABLE_GROWTH","FQ3 2018","FQ3 2018","Currency=INR","Period=FQ","BEST_FPERIOD_OVERRIDE=FQ","FILING_STATUS=OR","EQY_CONSOLIDATED=Y","Sort=A","Dates=H","DateFormat=P","Fill=—","Direction=H","UseDPDF=Y")</f>
        <v>#NAME?</v>
      </c>
      <c r="AA501" s="2" t="e">
        <f ca="1">_xll.BDH($C$478,"INVENTORY_GROWTH","FQ3 2018","FQ3 2018","Currency=INR","Period=FQ","BEST_FPERIOD_OVERRIDE=FQ","FILING_STATUS=OR","EQY_CONSOLIDATED=Y","Sort=A","Dates=H","DateFormat=P","Fill=—","Direction=H","UseDPDF=Y")</f>
        <v>#NAME?</v>
      </c>
      <c r="AB501" s="2" t="e">
        <f ca="1">_xll.BDH($C$478,"NET_FIXED_ASSETS_1_YEAR_GROWTH","FQ3 2018","FQ3 2018","Currency=INR","Period=FQ","BEST_FPERIOD_OVERRIDE=FQ","FILING_STATUS=OR","EQY_CONSOLIDATED=Y","Sort=A","Dates=H","DateFormat=P","Fill=—","Direction=H","UseDPDF=Y")</f>
        <v>#NAME?</v>
      </c>
      <c r="AC501" s="2" t="e">
        <f ca="1">_xll.BDH($C$478,"ASSET_GROWTH","FQ3 2018","FQ3 2018","Currency=INR","Period=FQ","BEST_FPERIOD_OVERRIDE=FQ","FILING_STATUS=OR","EQY_CONSOLIDATED=Y","Sort=A","Dates=H","DateFormat=P","Fill=—","Direction=H","UseDPDF=Y")</f>
        <v>#NAME?</v>
      </c>
      <c r="AD501" s="2" t="e">
        <f ca="1">_xll.BDH($C$478,"MODIFIED_WORK_CAP_GROWTH","FQ3 2018","FQ3 2018","Currency=INR","Period=FQ","BEST_FPERIOD_OVERRIDE=FQ","FILING_STATUS=OR","EQY_CONSOLIDATED=Y","Sort=A","Dates=H","DateFormat=P","Fill=—","Direction=H","UseDPDF=Y")</f>
        <v>#NAME?</v>
      </c>
      <c r="AE501" s="2" t="e">
        <f ca="1">_xll.BDH($C$478,"WORK_CAP_GROWTH","FQ3 2018","FQ3 2018","Currency=INR","Period=FQ","BEST_FPERIOD_OVERRIDE=FQ","FILING_STATUS=OR","EQY_CONSOLIDATED=Y","Sort=A","Dates=H","DateFormat=P","Fill=—","Direction=H","UseDPDF=Y")</f>
        <v>#NAME?</v>
      </c>
      <c r="AF501" s="2" t="e">
        <f ca="1">_xll.BDH($C$478,"ACCOUNTS_PAYABLE_GROWTH_1YR","FQ3 2018","FQ3 2018","Currency=INR","Period=FQ","BEST_FPERIOD_OVERRIDE=FQ","FILING_STATUS=OR","EQY_CONSOLIDATED=Y","Sort=A","Dates=H","DateFormat=P","Fill=—","Direction=H","UseDPDF=Y")</f>
        <v>#NAME?</v>
      </c>
      <c r="AG501" s="2" t="e">
        <f ca="1">_xll.BDH($C$478,"SHORT_TERM_DEBT_1_YEAR_GROWTH","FQ3 2018","FQ3 2018","Currency=INR","Period=FQ","BEST_FPERIOD_OVERRIDE=FQ","FILING_STATUS=OR","EQY_CONSOLIDATED=Y","Sort=A","Dates=H","DateFormat=P","Fill=—","Direction=H","UseDPDF=Y")</f>
        <v>#NAME?</v>
      </c>
      <c r="AH501" s="2" t="e">
        <f ca="1">_xll.BDH($C$478,"TOTAL_DEBT_1_YEAR_GROWTH","FQ3 2018","FQ3 2018","Currency=INR","Period=FQ","BEST_FPERIOD_OVERRIDE=FQ","FILING_STATUS=OR","EQY_CONSOLIDATED=Y","Sort=A","Dates=H","DateFormat=P","Fill=—","Direction=H","UseDPDF=Y")</f>
        <v>#NAME?</v>
      </c>
      <c r="AI501" s="2" t="e">
        <f ca="1">_xll.BDH($C$478,"TOTAL_EQUITY_1_YEAR_GROWTH","FQ3 2018","FQ3 2018","Currency=INR","Period=FQ","BEST_FPERIOD_OVERRIDE=FQ","FILING_STATUS=OR","EQY_CONSOLIDATED=Y","Sort=A","Dates=H","DateFormat=P","Fill=—","Direction=H","UseDPDF=Y")</f>
        <v>#NAME?</v>
      </c>
      <c r="AJ501" s="2" t="e">
        <f ca="1">_xll.BDH($C$478,"GROWTH_IN_CAP","FQ3 2018","FQ3 2018","Currency=INR","Period=FQ","BEST_FPERIOD_OVERRIDE=FQ","FILING_STATUS=OR","EQY_CONSOLIDATED=Y","Sort=A","Dates=H","DateFormat=P","Fill=—","Direction=H","UseDPDF=Y")</f>
        <v>#NAME?</v>
      </c>
      <c r="AK501" s="2" t="e">
        <f ca="1">_xll.BDH($C$478,"BVPS_GROWTH","FQ3 2018","FQ3 2018","Currency=INR","Period=FQ","BEST_FPERIOD_OVERRIDE=FQ","FILING_STATUS=OR","EQY_CONSOLIDATED=Y","Sort=A","Dates=H","DateFormat=P","Fill=—","Direction=H","UseDPDF=Y")</f>
        <v>#NAME?</v>
      </c>
      <c r="AL501" s="2" t="e">
        <f ca="1">_xll.BDH($C$478,"CASH_FLOW_GROWTH","FQ3 2018","FQ3 2018","Currency=INR","Period=FQ","BEST_FPERIOD_OVERRIDE=FQ","FILING_STATUS=OR","EQY_CONSOLIDATED=Y","Sort=A","Dates=H","DateFormat=P","Fill=—","Direction=H","UseDPDF=Y")</f>
        <v>#NAME?</v>
      </c>
      <c r="AM501" s="2" t="e">
        <f ca="1">_xll.BDH($C$478,"GEO_GROW_NET_SALES","FQ3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01" s="2" t="e">
        <f ca="1">_xll.BDH($C$478,"GEO_GROW_EBITDA","FQ3 2018","FQ3 2018","Currency=INR","Period=FQ","BEST_FPERIOD_OVERRIDE=FQ","FILING_STATUS=OR","EQY_CONSOLIDATED=Y","FA_ADJUSTED=GAAP","Sort=A","Dates=H","DateFormat=P","Fill=—","Direction=H","UseDPDF=Y")</f>
        <v>#NAME?</v>
      </c>
      <c r="AO501" s="2" t="e">
        <f ca="1">_xll.BDH($C$478,"GEO_GROW_OPER_INC","FQ3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01" s="2" t="e">
        <f ca="1">_xll.BDH($C$478,"NET_INCOME_TO_COMMON_5_YR_GROWTH","FQ3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01" s="2" t="e">
        <f ca="1">_xll.BDH($C$478,"5Y_GEO_GROWTH_DILUTED_EPS","FQ3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01" s="2" t="e">
        <f ca="1">_xll.BDH($C$478,"GEO_GROW_DVD_PER_SH","FQ3 2018","FQ3 2018","Currency=INR","Period=FQ","BEST_FPERIOD_OVERRIDE=FQ","FILING_STATUS=OR","EQY_CONSOLIDATED=Y","Sort=A","Dates=H","DateFormat=P","Fill=—","Direction=H","UseDPDF=Y")</f>
        <v>#NAME?</v>
      </c>
      <c r="AS501" s="2" t="e">
        <f ca="1">_xll.BDH($C$478,"ACCOUNTS_RECEIVABLE_5_YR_GROWTH","FQ3 2018","FQ3 2018","Currency=INR","Period=FQ","BEST_FPERIOD_OVERRIDE=FQ","FILING_STATUS=OR","EQY_CONSOLIDATED=Y","Sort=A","Dates=H","DateFormat=P","Fill=—","Direction=H","UseDPDF=Y")</f>
        <v>#NAME?</v>
      </c>
      <c r="AT501" s="2" t="e">
        <f ca="1">_xll.BDH($C$478,"INVENTORY_5_YEAR_GROWTH","FQ3 2018","FQ3 2018","Currency=INR","Period=FQ","BEST_FPERIOD_OVERRIDE=FQ","FILING_STATUS=OR","EQY_CONSOLIDATED=Y","Sort=A","Dates=H","DateFormat=P","Fill=—","Direction=H","UseDPDF=Y")</f>
        <v>#NAME?</v>
      </c>
      <c r="AU501" s="2" t="e">
        <f ca="1">_xll.BDH($C$478,"NET_FIXED_ASSETS_5_YEAR_GROWTH","FQ3 2018","FQ3 2018","Currency=INR","Period=FQ","BEST_FPERIOD_OVERRIDE=FQ","FILING_STATUS=OR","EQY_CONSOLIDATED=Y","Sort=A","Dates=H","DateFormat=P","Fill=—","Direction=H","UseDPDF=Y")</f>
        <v>#NAME?</v>
      </c>
      <c r="AV501" s="2" t="e">
        <f ca="1">_xll.BDH($C$478,"GEO_GROW_TOT_ASSET","FQ3 2018","FQ3 2018","Currency=INR","Period=FQ","BEST_FPERIOD_OVERRIDE=FQ","FILING_STATUS=OR","EQY_CONSOLIDATED=Y","Sort=A","Dates=H","DateFormat=P","Fill=—","Direction=H","UseDPDF=Y")</f>
        <v>#NAME?</v>
      </c>
      <c r="AW501" s="2" t="e">
        <f ca="1">_xll.BDH($C$478,"MODIFIED_WORKING_CPTL_5YR_GRWTH","FQ3 2018","FQ3 2018","Currency=INR","Period=FQ","BEST_FPERIOD_OVERRIDE=FQ","FILING_STATUS=OR","EQY_CONSOLIDATED=Y","Sort=A","Dates=H","DateFormat=P","Fill=—","Direction=H","UseDPDF=Y")</f>
        <v>#NAME?</v>
      </c>
      <c r="AX501" s="2" t="e">
        <f ca="1">_xll.BDH($C$478,"WORKING_CAPITAL_5_YEAR_GROWTH","FQ3 2018","FQ3 2018","Currency=INR","Period=FQ","BEST_FPERIOD_OVERRIDE=FQ","FILING_STATUS=OR","EQY_CONSOLIDATED=Y","Sort=A","Dates=H","DateFormat=P","Fill=—","Direction=H","UseDPDF=Y")</f>
        <v>#NAME?</v>
      </c>
      <c r="AY501" s="2" t="e">
        <f ca="1">_xll.BDH($C$478,"ACCOUNTS_PAYABLE_5_YEAR_GROWTH","FQ3 2018","FQ3 2018","Currency=INR","Period=FQ","BEST_FPERIOD_OVERRIDE=FQ","FILING_STATUS=OR","EQY_CONSOLIDATED=Y","Sort=A","Dates=H","DateFormat=P","Fill=—","Direction=H","UseDPDF=Y")</f>
        <v>#NAME?</v>
      </c>
      <c r="AZ501" s="2" t="e">
        <f ca="1">_xll.BDH($C$478,"SHORT_TERM_DEBT_5_YEAR_GROWTH","FQ3 2018","FQ3 2018","Currency=INR","Period=FQ","BEST_FPERIOD_OVERRIDE=FQ","FILING_STATUS=OR","EQY_CONSOLIDATED=Y","Sort=A","Dates=H","DateFormat=P","Fill=—","Direction=H","UseDPDF=Y")</f>
        <v>#NAME?</v>
      </c>
      <c r="BA501" s="2" t="e">
        <f ca="1">_xll.BDH($C$478,"TOTAL_DEBT_5_YEAR_GROWTH","FQ3 2018","FQ3 2018","Currency=INR","Period=FQ","BEST_FPERIOD_OVERRIDE=FQ","FILING_STATUS=OR","EQY_CONSOLIDATED=Y","Sort=A","Dates=H","DateFormat=P","Fill=—","Direction=H","UseDPDF=Y")</f>
        <v>#NAME?</v>
      </c>
      <c r="BB501" s="2" t="e">
        <f ca="1">_xll.BDH($C$478,"GEO_GROW_TOT_SHRHLDR_EQY","FQ3 2018","FQ3 2018","Currency=INR","Period=FQ","BEST_FPERIOD_OVERRIDE=FQ","FILING_STATUS=OR","EQY_CONSOLIDATED=Y","Sort=A","Dates=H","DateFormat=P","Fill=—","Direction=H","UseDPDF=Y")</f>
        <v>#NAME?</v>
      </c>
      <c r="BC501" s="2" t="e">
        <f ca="1">_xll.BDH($C$478,"TOTAL_CAPITAL_5_YEAR_GROWTH","FQ3 2018","FQ3 2018","Currency=INR","Period=FQ","BEST_FPERIOD_OVERRIDE=FQ","FILING_STATUS=OR","EQY_CONSOLIDATED=Y","Sort=A","Dates=H","DateFormat=P","Fill=—","Direction=H","UseDPDF=Y")</f>
        <v>#NAME?</v>
      </c>
      <c r="BD501" s="2" t="e">
        <f ca="1">_xll.BDH($C$478,"GEO_GROW_BOOK_VAL","FQ3 2018","FQ3 2018","Currency=INR","Period=FQ","BEST_FPERIOD_OVERRIDE=FQ","FILING_STATUS=OR","EQY_CONSOLIDATED=Y","Sort=A","Dates=H","DateFormat=P","Fill=—","Direction=H","UseDPDF=Y")</f>
        <v>#NAME?</v>
      </c>
      <c r="BE501" s="2" t="e">
        <f ca="1">_xll.BDH($C$478,"GEO_GROW_CASH_OPER_ACT","FQ3 2018","FQ3 2018","Currency=INR","Period=FQ","BEST_FPERIOD_OVERRIDE=FQ","FILING_STATUS=OR","EQY_CONSOLIDATED=Y","Sort=A","Dates=H","DateFormat=P","Fill=—","Direction=H","UseDPDF=Y")</f>
        <v>#NAME?</v>
      </c>
      <c r="BF501" s="2" t="e">
        <f ca="1">_xll.BDH($C$478,"REVENUE_SEQUENTIAL_GROWTH","FQ3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01" s="2" t="e">
        <f ca="1">_xll.BDH($C$478,"EBITDA_SEQUENTIAL_GROWTH","FQ3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01" s="2" t="e">
        <f ca="1">_xll.BDH($C$478,"OPERATING_INCOME_SEQ_GROWTH","FQ3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01" s="2" t="e">
        <f ca="1">_xll.BDH($C$478,"NET_INCOME_TO_COMMON_SEQ_GROWTH","FQ3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01" s="2" t="e">
        <f ca="1">_xll.BDH($C$478,"EPS_DILUTED_SEQUENTIAL_GROWTH","FQ3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01" s="2" t="e">
        <f ca="1">_xll.BDH($C$478,"DPS_SEQUENTIAL_GROWTH","FQ3 2018","FQ3 2018","Currency=INR","Period=FQ","BEST_FPERIOD_OVERRIDE=FQ","FILING_STATUS=OR","EQY_CONSOLIDATED=Y","Sort=A","Dates=H","DateFormat=P","Fill=—","Direction=H","UseDPDF=Y")</f>
        <v>#NAME?</v>
      </c>
      <c r="BL501" s="2" t="e">
        <f ca="1">_xll.BDH($C$478,"ACCOUNTS_RECEIVABLE_SEQ_GROWTH","FQ3 2018","FQ3 2018","Currency=INR","Period=FQ","BEST_FPERIOD_OVERRIDE=FQ","FILING_STATUS=OR","EQY_CONSOLIDATED=Y","Sort=A","Dates=H","DateFormat=P","Fill=—","Direction=H","UseDPDF=Y")</f>
        <v>#NAME?</v>
      </c>
      <c r="BM501" s="2" t="e">
        <f ca="1">_xll.BDH($C$478,"INVENTORY_SEQUENTIAL_GROWTH","FQ3 2018","FQ3 2018","Currency=INR","Period=FQ","BEST_FPERIOD_OVERRIDE=FQ","FILING_STATUS=OR","EQY_CONSOLIDATED=Y","Sort=A","Dates=H","DateFormat=P","Fill=—","Direction=H","UseDPDF=Y")</f>
        <v>#NAME?</v>
      </c>
      <c r="BN501" s="2" t="e">
        <f ca="1">_xll.BDH($C$478,"FIXED_ASSETS_SEQUENTIAL_GROWTH","FQ3 2018","FQ3 2018","Currency=INR","Period=FQ","BEST_FPERIOD_OVERRIDE=FQ","FILING_STATUS=OR","EQY_CONSOLIDATED=Y","Sort=A","Dates=H","DateFormat=P","Fill=—","Direction=H","UseDPDF=Y")</f>
        <v>#NAME?</v>
      </c>
      <c r="BO501" s="2" t="e">
        <f ca="1">_xll.BDH($C$478,"TOTAL_ASSETS_SEQUENTIAL_GROWTH","FQ3 2018","FQ3 2018","Currency=INR","Period=FQ","BEST_FPERIOD_OVERRIDE=FQ","FILING_STATUS=OR","EQY_CONSOLIDATED=Y","Sort=A","Dates=H","DateFormat=P","Fill=—","Direction=H","UseDPDF=Y")</f>
        <v>#NAME?</v>
      </c>
      <c r="BP501" s="2" t="e">
        <f ca="1">_xll.BDH($C$478,"MODIFIED_WORKING_CPTL_SEQ_GRWTH","FQ3 2018","FQ3 2018","Currency=INR","Period=FQ","BEST_FPERIOD_OVERRIDE=FQ","FILING_STATUS=OR","EQY_CONSOLIDATED=Y","Sort=A","Dates=H","DateFormat=P","Fill=—","Direction=H","UseDPDF=Y")</f>
        <v>#NAME?</v>
      </c>
      <c r="BQ501" s="2" t="e">
        <f ca="1">_xll.BDH($C$478,"WORKING_CAPITAL_SEQ_GROWTH","FQ3 2018","FQ3 2018","Currency=INR","Period=FQ","BEST_FPERIOD_OVERRIDE=FQ","FILING_STATUS=OR","EQY_CONSOLIDATED=Y","Sort=A","Dates=H","DateFormat=P","Fill=—","Direction=H","UseDPDF=Y")</f>
        <v>#NAME?</v>
      </c>
      <c r="BR501" s="2" t="e">
        <f ca="1">_xll.BDH($C$478,"ACCOUNTS_PAYABLE_SEQ_GROWTH","FQ3 2018","FQ3 2018","Currency=INR","Period=FQ","BEST_FPERIOD_OVERRIDE=FQ","FILING_STATUS=OR","EQY_CONSOLIDATED=Y","Sort=A","Dates=H","DateFormat=P","Fill=—","Direction=H","UseDPDF=Y")</f>
        <v>#NAME?</v>
      </c>
      <c r="BS501" s="2" t="e">
        <f ca="1">_xll.BDH($C$478,"ST_DEBT_SEQUENTIAL_GROWTH","FQ3 2018","FQ3 2018","Currency=INR","Period=FQ","BEST_FPERIOD_OVERRIDE=FQ","FILING_STATUS=OR","EQY_CONSOLIDATED=Y","Sort=A","Dates=H","DateFormat=P","Fill=—","Direction=H","UseDPDF=Y")</f>
        <v>#NAME?</v>
      </c>
      <c r="BT501" s="2" t="e">
        <f ca="1">_xll.BDH($C$478,"TOTAL_DEBT_SEQUENTIAL_GROWTH","FQ3 2018","FQ3 2018","Currency=INR","Period=FQ","BEST_FPERIOD_OVERRIDE=FQ","FILING_STATUS=OR","EQY_CONSOLIDATED=Y","Sort=A","Dates=H","DateFormat=P","Fill=—","Direction=H","UseDPDF=Y")</f>
        <v>#NAME?</v>
      </c>
      <c r="BU501" s="2" t="e">
        <f ca="1">_xll.BDH($C$478,"TOTAL_EQUITY_SEQUENTIAL_GROWTH","FQ3 2018","FQ3 2018","Currency=INR","Period=FQ","BEST_FPERIOD_OVERRIDE=FQ","FILING_STATUS=OR","EQY_CONSOLIDATED=Y","Sort=A","Dates=H","DateFormat=P","Fill=—","Direction=H","UseDPDF=Y")</f>
        <v>#NAME?</v>
      </c>
      <c r="BV501" s="2" t="e">
        <f ca="1">_xll.BDH($C$478,"TOTAL_CAPITAL_SEQUENTIAL_GROWTH","FQ3 2018","FQ3 2018","Currency=INR","Period=FQ","BEST_FPERIOD_OVERRIDE=FQ","FILING_STATUS=OR","EQY_CONSOLIDATED=Y","Sort=A","Dates=H","DateFormat=P","Fill=—","Direction=H","UseDPDF=Y")</f>
        <v>#NAME?</v>
      </c>
      <c r="BW501" s="2" t="e">
        <f ca="1">_xll.BDH($C$478,"BPS_SEQUENTIAL_GROWTH","FQ3 2018","FQ3 2018","Currency=INR","Period=FQ","BEST_FPERIOD_OVERRIDE=FQ","FILING_STATUS=OR","EQY_CONSOLIDATED=Y","Sort=A","Dates=H","DateFormat=P","Fill=—","Direction=H","UseDPDF=Y")</f>
        <v>#NAME?</v>
      </c>
      <c r="BX501" s="2" t="e">
        <f ca="1">_xll.BDH($C$478,"CFO_SEQUENTIAL_GROWTH","FQ3 2018","FQ3 2018","Currency=INR","Period=FQ","BEST_FPERIOD_OVERRIDE=FQ","FILING_STATUS=OR","EQY_CONSOLIDATED=Y","Sort=A","Dates=H","DateFormat=P","Fill=—","Direction=H","UseDPDF=Y")</f>
        <v>#NAME?</v>
      </c>
      <c r="BY501" s="3" t="e">
        <f ca="1">_xll.BDH($C$478,"SHORT_AND_LONG_TERM_DEBT","FQ3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01" s="3" t="e">
        <f ca="1">_xll.BDH($C$478,"BS_ST_BORROW","FQ3 2018","FQ3 2018","Currency=INR","Period=FQ","BEST_FPERIOD_OVERRIDE=FQ","FILING_STATUS=OR","EQY_CONSOLIDATED=Y","SCALING_FORMAT=MLN","Sort=A","Dates=H","DateFormat=P","Fill=—","Direction=H","UseDPDF=Y")</f>
        <v>#NAME?</v>
      </c>
      <c r="CA501" s="3" t="e">
        <f ca="1">_xll.BDH($C$478,"BS_LT_BORROW","FQ3 2018","FQ3 2018","Currency=INR","Period=FQ","BEST_FPERIOD_OVERRIDE=FQ","FILING_STATUS=OR","EQY_CONSOLIDATED=Y","SCALING_FORMAT=MLN","Sort=A","Dates=H","DateFormat=P","Fill=—","Direction=H","UseDPDF=Y")</f>
        <v>#NAME?</v>
      </c>
      <c r="CB501" s="2" t="e">
        <f ca="1">_xll.BDH($C$478,"TOT_DEBT_TO_EBITDA","FQ3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01" s="2" t="e">
        <f ca="1">_xll.BDH($C$478,"NET_DEBT_TO_EBITDA","FQ3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01" s="2" t="e">
        <f ca="1">_xll.BDH($C$478,"TOTAL_DEBT_TO_EBIT","FQ3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01" s="2" t="e">
        <f ca="1">_xll.BDH($C$478,"NET_DEBT_TO_EBIT","FQ3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01" s="2" t="e">
        <f ca="1">_xll.BDH($C$478,"EBITDA_TO_INTEREST_EXPN","FQ3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01" s="2" t="e">
        <f ca="1">_xll.BDH($C$478,"COM_EQY_TO_TOT_ASSET","FQ3 2018","FQ3 2018","Currency=INR","Period=FQ","BEST_FPERIOD_OVERRIDE=FQ","FILING_STATUS=OR","EQY_CONSOLIDATED=Y","Sort=A","Dates=H","DateFormat=P","Fill=—","Direction=H","UseDPDF=Y")</f>
        <v>#NAME?</v>
      </c>
      <c r="CH501" s="2" t="e">
        <f ca="1">_xll.BDH($C$478,"LT_DEBT_TO_TOT_EQY","FQ3 2018","FQ3 2018","Currency=INR","Period=FQ","BEST_FPERIOD_OVERRIDE=FQ","FILING_STATUS=OR","EQY_CONSOLIDATED=Y","Sort=A","Dates=H","DateFormat=P","Fill=—","Direction=H","UseDPDF=Y")</f>
        <v>#NAME?</v>
      </c>
      <c r="CI501" s="2" t="e">
        <f ca="1">_xll.BDH($C$478,"LT_DEBT_TO_TOT_CAP","FQ3 2018","FQ3 2018","Currency=INR","Period=FQ","BEST_FPERIOD_OVERRIDE=FQ","FILING_STATUS=OR","EQY_CONSOLIDATED=Y","Sort=A","Dates=H","DateFormat=P","Fill=—","Direction=H","UseDPDF=Y")</f>
        <v>#NAME?</v>
      </c>
      <c r="CJ501" s="2" t="e">
        <f ca="1">_xll.BDH($C$478,"LT_DEBT_TO_TOT_ASSET","FQ3 2018","FQ3 2018","Currency=INR","Period=FQ","BEST_FPERIOD_OVERRIDE=FQ","FILING_STATUS=OR","EQY_CONSOLIDATED=Y","Sort=A","Dates=H","DateFormat=P","Fill=—","Direction=H","UseDPDF=Y")</f>
        <v>#NAME?</v>
      </c>
      <c r="CK501" s="2" t="e">
        <f ca="1">_xll.BDH($C$478,"TOT_DEBT_TO_TOT_EQY","FQ3 2018","FQ3 2018","Currency=INR","Period=FQ","BEST_FPERIOD_OVERRIDE=FQ","FILING_STATUS=OR","EQY_CONSOLIDATED=Y","Sort=A","Dates=H","DateFormat=P","Fill=—","Direction=H","UseDPDF=Y")</f>
        <v>#NAME?</v>
      </c>
      <c r="CL501" s="2" t="e">
        <f ca="1">_xll.BDH($C$478,"TOT_DEBT_TO_TOT_CAP","FQ3 2018","FQ3 2018","Currency=INR","Period=FQ","BEST_FPERIOD_OVERRIDE=FQ","FILING_STATUS=OR","EQY_CONSOLIDATED=Y","Sort=A","Dates=H","DateFormat=P","Fill=—","Direction=H","UseDPDF=Y")</f>
        <v>#NAME?</v>
      </c>
      <c r="CM501" s="2" t="e">
        <f ca="1">_xll.BDH($C$478,"TOT_DEBT_TO_TOT_ASSET","FQ3 2018","FQ3 2018","Currency=INR","Period=FQ","BEST_FPERIOD_OVERRIDE=FQ","FILING_STATUS=OR","EQY_CONSOLIDATED=Y","Sort=A","Dates=H","DateFormat=P","Fill=—","Direction=H","UseDPDF=Y")</f>
        <v>#NAME?</v>
      </c>
      <c r="CN501" s="2" t="e">
        <f ca="1">_xll.BDH($C$478,"NET_DEBT_TO_SHRHLDR_EQTY","FQ3 2018","FQ3 2018","Currency=INR","Period=FQ","BEST_FPERIOD_OVERRIDE=FQ","FILING_STATUS=OR","EQY_CONSOLIDATED=Y","Sort=A","Dates=H","DateFormat=P","Fill=—","Direction=H","UseDPDF=Y")</f>
        <v>#NAME?</v>
      </c>
      <c r="CO501" s="2" t="e">
        <f ca="1">_xll.BDH($C$478,"NET_DEBT_%_CAPITAL","FQ3 2018","FQ3 2018","Currency=INR","Period=FQ","BEST_FPERIOD_OVERRIDE=FQ","FILING_STATUS=OR","EQY_CONSOLIDATED=Y","Sort=A","Dates=H","DateFormat=P","Fill=—","Direction=H","UseDPDF=Y")</f>
        <v>#NAME?</v>
      </c>
      <c r="CP501" s="3" t="e">
        <f ca="1">_xll.BDH($C$478,"EBITDA","FQ3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01" s="3" t="e">
        <f ca="1">_xll.BDH($C$478,"EBITDA_AFTER_CAPEX","FQ3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01" s="3" t="e">
        <f ca="1">_xll.BDH($C$478,"IS_OPER_INC","FQ3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01" s="2" t="e">
        <f ca="1">_xll.BDH($C$478,"CASH_RATIO","FQ3 2018","FQ3 2018","Currency=INR","Period=FQ","BEST_FPERIOD_OVERRIDE=FQ","FILING_STATUS=OR","EQY_CONSOLIDATED=Y","Sort=A","Dates=H","DateFormat=P","Fill=—","Direction=H","UseDPDF=Y")</f>
        <v>#NAME?</v>
      </c>
      <c r="CT501" s="2" t="e">
        <f ca="1">_xll.BDH($C$478,"CUR_RATIO","FQ3 2018","FQ3 2018","Currency=INR","Period=FQ","BEST_FPERIOD_OVERRIDE=FQ","FILING_STATUS=OR","EQY_CONSOLIDATED=Y","Sort=A","Dates=H","DateFormat=P","Fill=—","Direction=H","UseDPDF=Y")</f>
        <v>#NAME?</v>
      </c>
      <c r="CU501" s="2" t="e">
        <f ca="1">_xll.BDH($C$478,"QUICK_RATIO","FQ3 2018","FQ3 2018","Currency=INR","Period=FQ","BEST_FPERIOD_OVERRIDE=FQ","FILING_STATUS=OR","EQY_CONSOLIDATED=Y","Sort=A","Dates=H","DateFormat=P","Fill=—","Direction=H","UseDPDF=Y")</f>
        <v>#NAME?</v>
      </c>
      <c r="CV501" s="2" t="e">
        <f ca="1">_xll.BDH($C$478,"ALTMAN_Z_SCORE","FQ3 2018","FQ3 2018","Currency=INR","Period=FQ","BEST_FPERIOD_OVERRIDE=FQ","FILING_STATUS=OR","EQY_CONSOLIDATED=Y","Sort=A","Dates=H","DateFormat=P","Fill=—","Direction=H","UseDPDF=Y")</f>
        <v>#NAME?</v>
      </c>
      <c r="CW501" s="4" t="e">
        <f ca="1">_xll.BDH($C$478,"ACCT_RCV_TURN","FQ3 2018","FQ3 2018","Currency=INR","Period=FQ","BEST_FPERIOD_OVERRIDE=FQ","FILING_STATUS=OR","EQY_CONSOLIDATED=Y","FA_ADJUSTED=GAAP","Sort=A","Dates=H","DateFormat=P","Fill=—","Direction=H","UseDPDF=Y")</f>
        <v>#NAME?</v>
      </c>
      <c r="CX501" s="2" t="e">
        <f ca="1">_xll.BDH($C$478,"ACCT_RCV_DAYS","FQ3 2018","FQ3 2018","Currency=INR","Period=FQ","BEST_FPERIOD_OVERRIDE=FQ","FILING_STATUS=OR","EQY_CONSOLIDATED=Y","FA_ADJUSTED=GAAP","Sort=A","Dates=H","DateFormat=P","Fill=—","Direction=H","UseDPDF=Y")</f>
        <v>#NAME?</v>
      </c>
      <c r="CY501" s="4" t="e">
        <f ca="1">_xll.BDH($C$478,"INVENT_TURN","FQ3 2018","FQ3 2018","Currency=INR","Period=FQ","BEST_FPERIOD_OVERRIDE=FQ","FILING_STATUS=OR","EQY_CONSOLIDATED=Y","FA_ADJUSTED=GAAP","Sort=A","Dates=H","DateFormat=P","Fill=—","Direction=H","UseDPDF=Y")</f>
        <v>#NAME?</v>
      </c>
      <c r="CZ501" s="2" t="e">
        <f ca="1">_xll.BDH($C$478,"INVENT_DAYS","FQ3 2018","FQ3 2018","Currency=INR","Period=FQ","BEST_FPERIOD_OVERRIDE=FQ","FILING_STATUS=OR","EQY_CONSOLIDATED=Y","FA_ADJUSTED=GAAP","Sort=A","Dates=H","DateFormat=P","Fill=—","Direction=H","UseDPDF=Y")</f>
        <v>#NAME?</v>
      </c>
      <c r="DA501" s="4" t="e">
        <f ca="1">_xll.BDH($C$478,"ACCOUNTS_PAYABLE_TURNOVER","FQ3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01" s="2" t="e">
        <f ca="1">_xll.BDH($C$478,"ACCOUNTS_PAYABLE_TURNOVER_DAYS","FQ3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01" s="4" t="e">
        <f ca="1">_xll.BDH($C$478,"CASH_CONVERSION_CYCLE","FQ3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01" s="4" t="e">
        <f ca="1">_xll.BDH($C$478,"INV_TO_CASH_DAYS","FQ3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01" s="5" t="e">
        <f ca="1">_xll.BDH($C$478,"BS_INVENTORIES","FQ3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01" s="3" t="e">
        <f ca="1">_xll.BDH($C$478,"INVTRY_RAW_MATERIALS","FQ3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01" s="3" t="e">
        <f ca="1">_xll.BDH($C$478,"INVTRY_IN_PROGRESS","FQ3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01" s="3" t="e">
        <f ca="1">_xll.BDH($C$478,"INVTRY_FINISHED_GOODS","FQ3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01" s="3" t="e">
        <f ca="1">_xll.BDH($C$478,"BS_OTHER_INV","FQ3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02" spans="1:113" x14ac:dyDescent="0.3">
      <c r="A502" s="6"/>
      <c r="B502" s="6"/>
      <c r="C502" s="6"/>
      <c r="D502" s="6"/>
      <c r="E502" t="s">
        <v>81</v>
      </c>
      <c r="F502" t="e">
        <f ca="1">_xll.BDH($C$478,"RETURN_COM_EQY","FQ4 2018","FQ4 2018","Currency=INR","Period=FQ","BEST_FPERIOD_OVERRIDE=FQ","FILING_STATUS=OR","EQY_CONSOLIDATED=Y","FA_ADJUSTED=GAAP","Sort=A","Dates=H","DateFormat=P","Fill=—","Direction=H","UseDPDF=Y")</f>
        <v>#NAME?</v>
      </c>
      <c r="G502" t="e">
        <f ca="1">_xll.BDH($C$478,"RETURN_ON_ASSET","FQ4 2018","FQ4 2018","Currency=INR","Period=FQ","BEST_FPERIOD_OVERRIDE=FQ","FILING_STATUS=OR","EQY_CONSOLIDATED=Y","FA_ADJUSTED=GAAP","Sort=A","Dates=H","DateFormat=P","Fill=—","Direction=H","UseDPDF=Y")</f>
        <v>#NAME?</v>
      </c>
      <c r="H502" t="e">
        <f ca="1">_xll.BDH($C$478,"RETURN_ON_CAP","FQ4 2018","FQ4 2018","Currency=INR","Period=FQ","BEST_FPERIOD_OVERRIDE=FQ","FILING_STATUS=OR","EQY_CONSOLIDATED=Y","FA_ADJUSTED=GAAP","Sort=A","Dates=H","DateFormat=P","Fill=—","Direction=H","UseDPDF=Y")</f>
        <v>#NAME?</v>
      </c>
      <c r="I502" t="e">
        <f ca="1">_xll.BDH($C$478,"RETURN_ON_INV_CAPITAL","FQ4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02" t="e">
        <f ca="1">_xll.BDH($C$478,"EBITDA_TO_REVENUE","FQ4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02" t="e">
        <f ca="1">_xll.BDH($C$478,"OPER_MARGIN","FQ4 2018","FQ4 2018","Currency=INR","Period=FQ","BEST_FPERIOD_OVERRIDE=FQ","FILING_STATUS=OR","EQY_CONSOLIDATED=Y","FA_ADJUSTED=GAAP","Sort=A","Dates=H","DateFormat=P","Fill=—","Direction=H","UseDPDF=Y")</f>
        <v>#NAME?</v>
      </c>
      <c r="L502" t="e">
        <f ca="1">_xll.BDH($C$478,"INCREMENTAL_OPERATING_MARGIN","FQ4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02" t="e">
        <f ca="1">_xll.BDH($C$478,"PRETAX_INC_TO_NET_SALES","FQ4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02" t="e">
        <f ca="1">_xll.BDH($C$478,"INC_BEF_XO_ITEMS_TO_NET_SALES","FQ4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02" t="e">
        <f ca="1">_xll.BDH($C$478,"PROF_MARGIN","FQ4 2018","FQ4 2018","Currency=INR","Period=FQ","BEST_FPERIOD_OVERRIDE=FQ","FILING_STATUS=OR","EQY_CONSOLIDATED=Y","FA_ADJUSTED=GAAP","Sort=A","Dates=H","DateFormat=P","Fill=—","Direction=H","UseDPDF=Y")</f>
        <v>#NAME?</v>
      </c>
      <c r="P502" t="e">
        <f ca="1">_xll.BDH($C$478,"NET_INCOME_TO_COMMON_MARGIN","FQ4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02" t="e">
        <f ca="1">_xll.BDH($C$478,"EFF_TAX_RATE","FQ4 2018","FQ4 2018","Currency=INR","Period=FQ","BEST_FPERIOD_OVERRIDE=FQ","FILING_STATUS=OR","EQY_CONSOLIDATED=Y","FA_ADJUSTED=GAAP","Sort=A","Dates=H","DateFormat=P","Fill=—","Direction=H","UseDPDF=Y")</f>
        <v>#NAME?</v>
      </c>
      <c r="R502" t="e">
        <f ca="1">_xll.BDH($C$478,"DVD_PAYOUT_RATIO","FQ4 2018","FQ4 2018","Currency=INR","Period=FQ","BEST_FPERIOD_OVERRIDE=FQ","FILING_STATUS=OR","EQY_CONSOLIDATED=Y","FA_ADJUSTED=GAAP","Sort=A","Dates=H","DateFormat=P","Fill=—","Direction=H","UseDPDF=Y")</f>
        <v>#NAME?</v>
      </c>
      <c r="S502" t="e">
        <f ca="1">_xll.BDH($C$478,"SUSTAIN_GROWTH_RT","FQ4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02" s="2" t="e">
        <f ca="1">_xll.BDH($C$478,"SALES_GROWTH","FQ4 2018","FQ4 2018","Currency=INR","Period=FQ","BEST_FPERIOD_OVERRIDE=FQ","FILING_STATUS=OR","EQY_CONSOLIDATED=Y","FA_ADJUSTED=GAAP","Sort=A","Dates=H","DateFormat=P","Fill=—","Direction=H","UseDPDF=Y")</f>
        <v>#NAME?</v>
      </c>
      <c r="U502" s="2" t="e">
        <f ca="1">_xll.BDH($C$478,"EBITDA_GROWTH","FQ4 2018","FQ4 2018","Currency=INR","Period=FQ","BEST_FPERIOD_OVERRIDE=FQ","FILING_STATUS=OR","EQY_CONSOLIDATED=Y","FA_ADJUSTED=GAAP","Sort=A","Dates=H","DateFormat=P","Fill=—","Direction=H","UseDPDF=Y")</f>
        <v>#NAME?</v>
      </c>
      <c r="V502" s="2" t="e">
        <f ca="1">_xll.BDH($C$478,"OPER_INC_GROWTH","FQ4 2018","FQ4 2018","Currency=INR","Period=FQ","BEST_FPERIOD_OVERRIDE=FQ","FILING_STATUS=OR","EQY_CONSOLIDATED=Y","FA_ADJUSTED=GAAP","Sort=A","Dates=H","DateFormat=P","Fill=—","Direction=H","UseDPDF=Y")</f>
        <v>#NAME?</v>
      </c>
      <c r="W502" s="2" t="e">
        <f ca="1">_xll.BDH($C$478,"EARN_FOR_COM_GROWTH","FQ4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02" s="2" t="e">
        <f ca="1">_xll.BDH($C$478,"DILUTED_EPS_AFT_XO_ITEMS_GROWTH","FQ4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02" s="2" t="e">
        <f ca="1">_xll.BDH($C$478,"DIVIDEND_PER_SHARE_1_YEAR_GROWTH","FQ4 2018","FQ4 2018","Currency=INR","Period=FQ","BEST_FPERIOD_OVERRIDE=FQ","FILING_STATUS=OR","EQY_CONSOLIDATED=Y","Sort=A","Dates=H","DateFormat=P","Fill=—","Direction=H","UseDPDF=Y")</f>
        <v>#NAME?</v>
      </c>
      <c r="Z502" s="2" t="e">
        <f ca="1">_xll.BDH($C$478,"ACCOUNTS_RECEIVABLE_GROWTH","FQ4 2018","FQ4 2018","Currency=INR","Period=FQ","BEST_FPERIOD_OVERRIDE=FQ","FILING_STATUS=OR","EQY_CONSOLIDATED=Y","Sort=A","Dates=H","DateFormat=P","Fill=—","Direction=H","UseDPDF=Y")</f>
        <v>#NAME?</v>
      </c>
      <c r="AA502" s="2" t="e">
        <f ca="1">_xll.BDH($C$478,"INVENTORY_GROWTH","FQ4 2018","FQ4 2018","Currency=INR","Period=FQ","BEST_FPERIOD_OVERRIDE=FQ","FILING_STATUS=OR","EQY_CONSOLIDATED=Y","Sort=A","Dates=H","DateFormat=P","Fill=—","Direction=H","UseDPDF=Y")</f>
        <v>#NAME?</v>
      </c>
      <c r="AB502" s="2" t="e">
        <f ca="1">_xll.BDH($C$478,"NET_FIXED_ASSETS_1_YEAR_GROWTH","FQ4 2018","FQ4 2018","Currency=INR","Period=FQ","BEST_FPERIOD_OVERRIDE=FQ","FILING_STATUS=OR","EQY_CONSOLIDATED=Y","Sort=A","Dates=H","DateFormat=P","Fill=—","Direction=H","UseDPDF=Y")</f>
        <v>#NAME?</v>
      </c>
      <c r="AC502" s="2" t="e">
        <f ca="1">_xll.BDH($C$478,"ASSET_GROWTH","FQ4 2018","FQ4 2018","Currency=INR","Period=FQ","BEST_FPERIOD_OVERRIDE=FQ","FILING_STATUS=OR","EQY_CONSOLIDATED=Y","Sort=A","Dates=H","DateFormat=P","Fill=—","Direction=H","UseDPDF=Y")</f>
        <v>#NAME?</v>
      </c>
      <c r="AD502" s="2" t="e">
        <f ca="1">_xll.BDH($C$478,"MODIFIED_WORK_CAP_GROWTH","FQ4 2018","FQ4 2018","Currency=INR","Period=FQ","BEST_FPERIOD_OVERRIDE=FQ","FILING_STATUS=OR","EQY_CONSOLIDATED=Y","Sort=A","Dates=H","DateFormat=P","Fill=—","Direction=H","UseDPDF=Y")</f>
        <v>#NAME?</v>
      </c>
      <c r="AE502" s="2" t="e">
        <f ca="1">_xll.BDH($C$478,"WORK_CAP_GROWTH","FQ4 2018","FQ4 2018","Currency=INR","Period=FQ","BEST_FPERIOD_OVERRIDE=FQ","FILING_STATUS=OR","EQY_CONSOLIDATED=Y","Sort=A","Dates=H","DateFormat=P","Fill=—","Direction=H","UseDPDF=Y")</f>
        <v>#NAME?</v>
      </c>
      <c r="AF502" s="2" t="e">
        <f ca="1">_xll.BDH($C$478,"ACCOUNTS_PAYABLE_GROWTH_1YR","FQ4 2018","FQ4 2018","Currency=INR","Period=FQ","BEST_FPERIOD_OVERRIDE=FQ","FILING_STATUS=OR","EQY_CONSOLIDATED=Y","Sort=A","Dates=H","DateFormat=P","Fill=—","Direction=H","UseDPDF=Y")</f>
        <v>#NAME?</v>
      </c>
      <c r="AG502" s="2" t="e">
        <f ca="1">_xll.BDH($C$478,"SHORT_TERM_DEBT_1_YEAR_GROWTH","FQ4 2018","FQ4 2018","Currency=INR","Period=FQ","BEST_FPERIOD_OVERRIDE=FQ","FILING_STATUS=OR","EQY_CONSOLIDATED=Y","Sort=A","Dates=H","DateFormat=P","Fill=—","Direction=H","UseDPDF=Y")</f>
        <v>#NAME?</v>
      </c>
      <c r="AH502" s="2" t="e">
        <f ca="1">_xll.BDH($C$478,"TOTAL_DEBT_1_YEAR_GROWTH","FQ4 2018","FQ4 2018","Currency=INR","Period=FQ","BEST_FPERIOD_OVERRIDE=FQ","FILING_STATUS=OR","EQY_CONSOLIDATED=Y","Sort=A","Dates=H","DateFormat=P","Fill=—","Direction=H","UseDPDF=Y")</f>
        <v>#NAME?</v>
      </c>
      <c r="AI502" s="2" t="e">
        <f ca="1">_xll.BDH($C$478,"TOTAL_EQUITY_1_YEAR_GROWTH","FQ4 2018","FQ4 2018","Currency=INR","Period=FQ","BEST_FPERIOD_OVERRIDE=FQ","FILING_STATUS=OR","EQY_CONSOLIDATED=Y","Sort=A","Dates=H","DateFormat=P","Fill=—","Direction=H","UseDPDF=Y")</f>
        <v>#NAME?</v>
      </c>
      <c r="AJ502" s="2" t="e">
        <f ca="1">_xll.BDH($C$478,"GROWTH_IN_CAP","FQ4 2018","FQ4 2018","Currency=INR","Period=FQ","BEST_FPERIOD_OVERRIDE=FQ","FILING_STATUS=OR","EQY_CONSOLIDATED=Y","Sort=A","Dates=H","DateFormat=P","Fill=—","Direction=H","UseDPDF=Y")</f>
        <v>#NAME?</v>
      </c>
      <c r="AK502" s="2" t="e">
        <f ca="1">_xll.BDH($C$478,"BVPS_GROWTH","FQ4 2018","FQ4 2018","Currency=INR","Period=FQ","BEST_FPERIOD_OVERRIDE=FQ","FILING_STATUS=OR","EQY_CONSOLIDATED=Y","Sort=A","Dates=H","DateFormat=P","Fill=—","Direction=H","UseDPDF=Y")</f>
        <v>#NAME?</v>
      </c>
      <c r="AL502" s="2" t="e">
        <f ca="1">_xll.BDH($C$478,"CASH_FLOW_GROWTH","FQ4 2018","FQ4 2018","Currency=INR","Period=FQ","BEST_FPERIOD_OVERRIDE=FQ","FILING_STATUS=OR","EQY_CONSOLIDATED=Y","Sort=A","Dates=H","DateFormat=P","Fill=—","Direction=H","UseDPDF=Y")</f>
        <v>#NAME?</v>
      </c>
      <c r="AM502" s="2" t="e">
        <f ca="1">_xll.BDH($C$478,"GEO_GROW_NET_SALES","FQ4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02" s="2" t="e">
        <f ca="1">_xll.BDH($C$478,"GEO_GROW_EBITDA","FQ4 2018","FQ4 2018","Currency=INR","Period=FQ","BEST_FPERIOD_OVERRIDE=FQ","FILING_STATUS=OR","EQY_CONSOLIDATED=Y","FA_ADJUSTED=GAAP","Sort=A","Dates=H","DateFormat=P","Fill=—","Direction=H","UseDPDF=Y")</f>
        <v>#NAME?</v>
      </c>
      <c r="AO502" s="2" t="e">
        <f ca="1">_xll.BDH($C$478,"GEO_GROW_OPER_INC","FQ4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02" s="2" t="e">
        <f ca="1">_xll.BDH($C$478,"NET_INCOME_TO_COMMON_5_YR_GROWTH","FQ4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02" s="2" t="e">
        <f ca="1">_xll.BDH($C$478,"5Y_GEO_GROWTH_DILUTED_EPS","FQ4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02" s="2" t="e">
        <f ca="1">_xll.BDH($C$478,"GEO_GROW_DVD_PER_SH","FQ4 2018","FQ4 2018","Currency=INR","Period=FQ","BEST_FPERIOD_OVERRIDE=FQ","FILING_STATUS=OR","EQY_CONSOLIDATED=Y","Sort=A","Dates=H","DateFormat=P","Fill=—","Direction=H","UseDPDF=Y")</f>
        <v>#NAME?</v>
      </c>
      <c r="AS502" s="2" t="e">
        <f ca="1">_xll.BDH($C$478,"ACCOUNTS_RECEIVABLE_5_YR_GROWTH","FQ4 2018","FQ4 2018","Currency=INR","Period=FQ","BEST_FPERIOD_OVERRIDE=FQ","FILING_STATUS=OR","EQY_CONSOLIDATED=Y","Sort=A","Dates=H","DateFormat=P","Fill=—","Direction=H","UseDPDF=Y")</f>
        <v>#NAME?</v>
      </c>
      <c r="AT502" s="2" t="e">
        <f ca="1">_xll.BDH($C$478,"INVENTORY_5_YEAR_GROWTH","FQ4 2018","FQ4 2018","Currency=INR","Period=FQ","BEST_FPERIOD_OVERRIDE=FQ","FILING_STATUS=OR","EQY_CONSOLIDATED=Y","Sort=A","Dates=H","DateFormat=P","Fill=—","Direction=H","UseDPDF=Y")</f>
        <v>#NAME?</v>
      </c>
      <c r="AU502" s="2" t="e">
        <f ca="1">_xll.BDH($C$478,"NET_FIXED_ASSETS_5_YEAR_GROWTH","FQ4 2018","FQ4 2018","Currency=INR","Period=FQ","BEST_FPERIOD_OVERRIDE=FQ","FILING_STATUS=OR","EQY_CONSOLIDATED=Y","Sort=A","Dates=H","DateFormat=P","Fill=—","Direction=H","UseDPDF=Y")</f>
        <v>#NAME?</v>
      </c>
      <c r="AV502" s="2" t="e">
        <f ca="1">_xll.BDH($C$478,"GEO_GROW_TOT_ASSET","FQ4 2018","FQ4 2018","Currency=INR","Period=FQ","BEST_FPERIOD_OVERRIDE=FQ","FILING_STATUS=OR","EQY_CONSOLIDATED=Y","Sort=A","Dates=H","DateFormat=P","Fill=—","Direction=H","UseDPDF=Y")</f>
        <v>#NAME?</v>
      </c>
      <c r="AW502" s="2" t="e">
        <f ca="1">_xll.BDH($C$478,"MODIFIED_WORKING_CPTL_5YR_GRWTH","FQ4 2018","FQ4 2018","Currency=INR","Period=FQ","BEST_FPERIOD_OVERRIDE=FQ","FILING_STATUS=OR","EQY_CONSOLIDATED=Y","Sort=A","Dates=H","DateFormat=P","Fill=—","Direction=H","UseDPDF=Y")</f>
        <v>#NAME?</v>
      </c>
      <c r="AX502" s="2" t="e">
        <f ca="1">_xll.BDH($C$478,"WORKING_CAPITAL_5_YEAR_GROWTH","FQ4 2018","FQ4 2018","Currency=INR","Period=FQ","BEST_FPERIOD_OVERRIDE=FQ","FILING_STATUS=OR","EQY_CONSOLIDATED=Y","Sort=A","Dates=H","DateFormat=P","Fill=—","Direction=H","UseDPDF=Y")</f>
        <v>#NAME?</v>
      </c>
      <c r="AY502" s="2" t="e">
        <f ca="1">_xll.BDH($C$478,"ACCOUNTS_PAYABLE_5_YEAR_GROWTH","FQ4 2018","FQ4 2018","Currency=INR","Period=FQ","BEST_FPERIOD_OVERRIDE=FQ","FILING_STATUS=OR","EQY_CONSOLIDATED=Y","Sort=A","Dates=H","DateFormat=P","Fill=—","Direction=H","UseDPDF=Y")</f>
        <v>#NAME?</v>
      </c>
      <c r="AZ502" s="2" t="e">
        <f ca="1">_xll.BDH($C$478,"SHORT_TERM_DEBT_5_YEAR_GROWTH","FQ4 2018","FQ4 2018","Currency=INR","Period=FQ","BEST_FPERIOD_OVERRIDE=FQ","FILING_STATUS=OR","EQY_CONSOLIDATED=Y","Sort=A","Dates=H","DateFormat=P","Fill=—","Direction=H","UseDPDF=Y")</f>
        <v>#NAME?</v>
      </c>
      <c r="BA502" s="2" t="e">
        <f ca="1">_xll.BDH($C$478,"TOTAL_DEBT_5_YEAR_GROWTH","FQ4 2018","FQ4 2018","Currency=INR","Period=FQ","BEST_FPERIOD_OVERRIDE=FQ","FILING_STATUS=OR","EQY_CONSOLIDATED=Y","Sort=A","Dates=H","DateFormat=P","Fill=—","Direction=H","UseDPDF=Y")</f>
        <v>#NAME?</v>
      </c>
      <c r="BB502" s="2" t="e">
        <f ca="1">_xll.BDH($C$478,"GEO_GROW_TOT_SHRHLDR_EQY","FQ4 2018","FQ4 2018","Currency=INR","Period=FQ","BEST_FPERIOD_OVERRIDE=FQ","FILING_STATUS=OR","EQY_CONSOLIDATED=Y","Sort=A","Dates=H","DateFormat=P","Fill=—","Direction=H","UseDPDF=Y")</f>
        <v>#NAME?</v>
      </c>
      <c r="BC502" s="2" t="e">
        <f ca="1">_xll.BDH($C$478,"TOTAL_CAPITAL_5_YEAR_GROWTH","FQ4 2018","FQ4 2018","Currency=INR","Period=FQ","BEST_FPERIOD_OVERRIDE=FQ","FILING_STATUS=OR","EQY_CONSOLIDATED=Y","Sort=A","Dates=H","DateFormat=P","Fill=—","Direction=H","UseDPDF=Y")</f>
        <v>#NAME?</v>
      </c>
      <c r="BD502" s="2" t="e">
        <f ca="1">_xll.BDH($C$478,"GEO_GROW_BOOK_VAL","FQ4 2018","FQ4 2018","Currency=INR","Period=FQ","BEST_FPERIOD_OVERRIDE=FQ","FILING_STATUS=OR","EQY_CONSOLIDATED=Y","Sort=A","Dates=H","DateFormat=P","Fill=—","Direction=H","UseDPDF=Y")</f>
        <v>#NAME?</v>
      </c>
      <c r="BE502" s="2" t="e">
        <f ca="1">_xll.BDH($C$478,"GEO_GROW_CASH_OPER_ACT","FQ4 2018","FQ4 2018","Currency=INR","Period=FQ","BEST_FPERIOD_OVERRIDE=FQ","FILING_STATUS=OR","EQY_CONSOLIDATED=Y","Sort=A","Dates=H","DateFormat=P","Fill=—","Direction=H","UseDPDF=Y")</f>
        <v>#NAME?</v>
      </c>
      <c r="BF502" s="2" t="e">
        <f ca="1">_xll.BDH($C$478,"REVENUE_SEQUENTIAL_GROWTH","FQ4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02" s="2" t="e">
        <f ca="1">_xll.BDH($C$478,"EBITDA_SEQUENTIAL_GROWTH","FQ4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02" s="2" t="e">
        <f ca="1">_xll.BDH($C$478,"OPERATING_INCOME_SEQ_GROWTH","FQ4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02" s="2" t="e">
        <f ca="1">_xll.BDH($C$478,"NET_INCOME_TO_COMMON_SEQ_GROWTH","FQ4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02" s="2" t="e">
        <f ca="1">_xll.BDH($C$478,"EPS_DILUTED_SEQUENTIAL_GROWTH","FQ4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02" s="2" t="e">
        <f ca="1">_xll.BDH($C$478,"DPS_SEQUENTIAL_GROWTH","FQ4 2018","FQ4 2018","Currency=INR","Period=FQ","BEST_FPERIOD_OVERRIDE=FQ","FILING_STATUS=OR","EQY_CONSOLIDATED=Y","Sort=A","Dates=H","DateFormat=P","Fill=—","Direction=H","UseDPDF=Y")</f>
        <v>#NAME?</v>
      </c>
      <c r="BL502" s="2" t="e">
        <f ca="1">_xll.BDH($C$478,"ACCOUNTS_RECEIVABLE_SEQ_GROWTH","FQ4 2018","FQ4 2018","Currency=INR","Period=FQ","BEST_FPERIOD_OVERRIDE=FQ","FILING_STATUS=OR","EQY_CONSOLIDATED=Y","Sort=A","Dates=H","DateFormat=P","Fill=—","Direction=H","UseDPDF=Y")</f>
        <v>#NAME?</v>
      </c>
      <c r="BM502" s="2" t="e">
        <f ca="1">_xll.BDH($C$478,"INVENTORY_SEQUENTIAL_GROWTH","FQ4 2018","FQ4 2018","Currency=INR","Period=FQ","BEST_FPERIOD_OVERRIDE=FQ","FILING_STATUS=OR","EQY_CONSOLIDATED=Y","Sort=A","Dates=H","DateFormat=P","Fill=—","Direction=H","UseDPDF=Y")</f>
        <v>#NAME?</v>
      </c>
      <c r="BN502" s="2" t="e">
        <f ca="1">_xll.BDH($C$478,"FIXED_ASSETS_SEQUENTIAL_GROWTH","FQ4 2018","FQ4 2018","Currency=INR","Period=FQ","BEST_FPERIOD_OVERRIDE=FQ","FILING_STATUS=OR","EQY_CONSOLIDATED=Y","Sort=A","Dates=H","DateFormat=P","Fill=—","Direction=H","UseDPDF=Y")</f>
        <v>#NAME?</v>
      </c>
      <c r="BO502" s="2" t="e">
        <f ca="1">_xll.BDH($C$478,"TOTAL_ASSETS_SEQUENTIAL_GROWTH","FQ4 2018","FQ4 2018","Currency=INR","Period=FQ","BEST_FPERIOD_OVERRIDE=FQ","FILING_STATUS=OR","EQY_CONSOLIDATED=Y","Sort=A","Dates=H","DateFormat=P","Fill=—","Direction=H","UseDPDF=Y")</f>
        <v>#NAME?</v>
      </c>
      <c r="BP502" s="2" t="e">
        <f ca="1">_xll.BDH($C$478,"MODIFIED_WORKING_CPTL_SEQ_GRWTH","FQ4 2018","FQ4 2018","Currency=INR","Period=FQ","BEST_FPERIOD_OVERRIDE=FQ","FILING_STATUS=OR","EQY_CONSOLIDATED=Y","Sort=A","Dates=H","DateFormat=P","Fill=—","Direction=H","UseDPDF=Y")</f>
        <v>#NAME?</v>
      </c>
      <c r="BQ502" s="2" t="e">
        <f ca="1">_xll.BDH($C$478,"WORKING_CAPITAL_SEQ_GROWTH","FQ4 2018","FQ4 2018","Currency=INR","Period=FQ","BEST_FPERIOD_OVERRIDE=FQ","FILING_STATUS=OR","EQY_CONSOLIDATED=Y","Sort=A","Dates=H","DateFormat=P","Fill=—","Direction=H","UseDPDF=Y")</f>
        <v>#NAME?</v>
      </c>
      <c r="BR502" s="2" t="e">
        <f ca="1">_xll.BDH($C$478,"ACCOUNTS_PAYABLE_SEQ_GROWTH","FQ4 2018","FQ4 2018","Currency=INR","Period=FQ","BEST_FPERIOD_OVERRIDE=FQ","FILING_STATUS=OR","EQY_CONSOLIDATED=Y","Sort=A","Dates=H","DateFormat=P","Fill=—","Direction=H","UseDPDF=Y")</f>
        <v>#NAME?</v>
      </c>
      <c r="BS502" s="2" t="e">
        <f ca="1">_xll.BDH($C$478,"ST_DEBT_SEQUENTIAL_GROWTH","FQ4 2018","FQ4 2018","Currency=INR","Period=FQ","BEST_FPERIOD_OVERRIDE=FQ","FILING_STATUS=OR","EQY_CONSOLIDATED=Y","Sort=A","Dates=H","DateFormat=P","Fill=—","Direction=H","UseDPDF=Y")</f>
        <v>#NAME?</v>
      </c>
      <c r="BT502" s="2" t="e">
        <f ca="1">_xll.BDH($C$478,"TOTAL_DEBT_SEQUENTIAL_GROWTH","FQ4 2018","FQ4 2018","Currency=INR","Period=FQ","BEST_FPERIOD_OVERRIDE=FQ","FILING_STATUS=OR","EQY_CONSOLIDATED=Y","Sort=A","Dates=H","DateFormat=P","Fill=—","Direction=H","UseDPDF=Y")</f>
        <v>#NAME?</v>
      </c>
      <c r="BU502" s="2" t="e">
        <f ca="1">_xll.BDH($C$478,"TOTAL_EQUITY_SEQUENTIAL_GROWTH","FQ4 2018","FQ4 2018","Currency=INR","Period=FQ","BEST_FPERIOD_OVERRIDE=FQ","FILING_STATUS=OR","EQY_CONSOLIDATED=Y","Sort=A","Dates=H","DateFormat=P","Fill=—","Direction=H","UseDPDF=Y")</f>
        <v>#NAME?</v>
      </c>
      <c r="BV502" s="2" t="e">
        <f ca="1">_xll.BDH($C$478,"TOTAL_CAPITAL_SEQUENTIAL_GROWTH","FQ4 2018","FQ4 2018","Currency=INR","Period=FQ","BEST_FPERIOD_OVERRIDE=FQ","FILING_STATUS=OR","EQY_CONSOLIDATED=Y","Sort=A","Dates=H","DateFormat=P","Fill=—","Direction=H","UseDPDF=Y")</f>
        <v>#NAME?</v>
      </c>
      <c r="BW502" s="2" t="e">
        <f ca="1">_xll.BDH($C$478,"BPS_SEQUENTIAL_GROWTH","FQ4 2018","FQ4 2018","Currency=INR","Period=FQ","BEST_FPERIOD_OVERRIDE=FQ","FILING_STATUS=OR","EQY_CONSOLIDATED=Y","Sort=A","Dates=H","DateFormat=P","Fill=—","Direction=H","UseDPDF=Y")</f>
        <v>#NAME?</v>
      </c>
      <c r="BX502" s="2" t="e">
        <f ca="1">_xll.BDH($C$478,"CFO_SEQUENTIAL_GROWTH","FQ4 2018","FQ4 2018","Currency=INR","Period=FQ","BEST_FPERIOD_OVERRIDE=FQ","FILING_STATUS=OR","EQY_CONSOLIDATED=Y","Sort=A","Dates=H","DateFormat=P","Fill=—","Direction=H","UseDPDF=Y")</f>
        <v>#NAME?</v>
      </c>
      <c r="BY502" s="3" t="e">
        <f ca="1">_xll.BDH($C$478,"SHORT_AND_LONG_TERM_DEBT","FQ4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02" s="3" t="e">
        <f ca="1">_xll.BDH($C$478,"BS_ST_BORROW","FQ4 2018","FQ4 2018","Currency=INR","Period=FQ","BEST_FPERIOD_OVERRIDE=FQ","FILING_STATUS=OR","EQY_CONSOLIDATED=Y","SCALING_FORMAT=MLN","Sort=A","Dates=H","DateFormat=P","Fill=—","Direction=H","UseDPDF=Y")</f>
        <v>#NAME?</v>
      </c>
      <c r="CA502" s="3" t="e">
        <f ca="1">_xll.BDH($C$478,"BS_LT_BORROW","FQ4 2018","FQ4 2018","Currency=INR","Period=FQ","BEST_FPERIOD_OVERRIDE=FQ","FILING_STATUS=OR","EQY_CONSOLIDATED=Y","SCALING_FORMAT=MLN","Sort=A","Dates=H","DateFormat=P","Fill=—","Direction=H","UseDPDF=Y")</f>
        <v>#NAME?</v>
      </c>
      <c r="CB502" s="2" t="e">
        <f ca="1">_xll.BDH($C$478,"TOT_DEBT_TO_EBITDA","FQ4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02" s="2" t="e">
        <f ca="1">_xll.BDH($C$478,"NET_DEBT_TO_EBITDA","FQ4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02" s="2" t="e">
        <f ca="1">_xll.BDH($C$478,"TOTAL_DEBT_TO_EBIT","FQ4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02" s="2" t="e">
        <f ca="1">_xll.BDH($C$478,"NET_DEBT_TO_EBIT","FQ4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02" s="2" t="e">
        <f ca="1">_xll.BDH($C$478,"EBITDA_TO_INTEREST_EXPN","FQ4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02" s="2" t="e">
        <f ca="1">_xll.BDH($C$478,"COM_EQY_TO_TOT_ASSET","FQ4 2018","FQ4 2018","Currency=INR","Period=FQ","BEST_FPERIOD_OVERRIDE=FQ","FILING_STATUS=OR","EQY_CONSOLIDATED=Y","Sort=A","Dates=H","DateFormat=P","Fill=—","Direction=H","UseDPDF=Y")</f>
        <v>#NAME?</v>
      </c>
      <c r="CH502" s="2" t="e">
        <f ca="1">_xll.BDH($C$478,"LT_DEBT_TO_TOT_EQY","FQ4 2018","FQ4 2018","Currency=INR","Period=FQ","BEST_FPERIOD_OVERRIDE=FQ","FILING_STATUS=OR","EQY_CONSOLIDATED=Y","Sort=A","Dates=H","DateFormat=P","Fill=—","Direction=H","UseDPDF=Y")</f>
        <v>#NAME?</v>
      </c>
      <c r="CI502" s="2" t="e">
        <f ca="1">_xll.BDH($C$478,"LT_DEBT_TO_TOT_CAP","FQ4 2018","FQ4 2018","Currency=INR","Period=FQ","BEST_FPERIOD_OVERRIDE=FQ","FILING_STATUS=OR","EQY_CONSOLIDATED=Y","Sort=A","Dates=H","DateFormat=P","Fill=—","Direction=H","UseDPDF=Y")</f>
        <v>#NAME?</v>
      </c>
      <c r="CJ502" s="2" t="e">
        <f ca="1">_xll.BDH($C$478,"LT_DEBT_TO_TOT_ASSET","FQ4 2018","FQ4 2018","Currency=INR","Period=FQ","BEST_FPERIOD_OVERRIDE=FQ","FILING_STATUS=OR","EQY_CONSOLIDATED=Y","Sort=A","Dates=H","DateFormat=P","Fill=—","Direction=H","UseDPDF=Y")</f>
        <v>#NAME?</v>
      </c>
      <c r="CK502" s="2" t="e">
        <f ca="1">_xll.BDH($C$478,"TOT_DEBT_TO_TOT_EQY","FQ4 2018","FQ4 2018","Currency=INR","Period=FQ","BEST_FPERIOD_OVERRIDE=FQ","FILING_STATUS=OR","EQY_CONSOLIDATED=Y","Sort=A","Dates=H","DateFormat=P","Fill=—","Direction=H","UseDPDF=Y")</f>
        <v>#NAME?</v>
      </c>
      <c r="CL502" s="2" t="e">
        <f ca="1">_xll.BDH($C$478,"TOT_DEBT_TO_TOT_CAP","FQ4 2018","FQ4 2018","Currency=INR","Period=FQ","BEST_FPERIOD_OVERRIDE=FQ","FILING_STATUS=OR","EQY_CONSOLIDATED=Y","Sort=A","Dates=H","DateFormat=P","Fill=—","Direction=H","UseDPDF=Y")</f>
        <v>#NAME?</v>
      </c>
      <c r="CM502" s="2" t="e">
        <f ca="1">_xll.BDH($C$478,"TOT_DEBT_TO_TOT_ASSET","FQ4 2018","FQ4 2018","Currency=INR","Period=FQ","BEST_FPERIOD_OVERRIDE=FQ","FILING_STATUS=OR","EQY_CONSOLIDATED=Y","Sort=A","Dates=H","DateFormat=P","Fill=—","Direction=H","UseDPDF=Y")</f>
        <v>#NAME?</v>
      </c>
      <c r="CN502" s="2" t="e">
        <f ca="1">_xll.BDH($C$478,"NET_DEBT_TO_SHRHLDR_EQTY","FQ4 2018","FQ4 2018","Currency=INR","Period=FQ","BEST_FPERIOD_OVERRIDE=FQ","FILING_STATUS=OR","EQY_CONSOLIDATED=Y","Sort=A","Dates=H","DateFormat=P","Fill=—","Direction=H","UseDPDF=Y")</f>
        <v>#NAME?</v>
      </c>
      <c r="CO502" s="2" t="e">
        <f ca="1">_xll.BDH($C$478,"NET_DEBT_%_CAPITAL","FQ4 2018","FQ4 2018","Currency=INR","Period=FQ","BEST_FPERIOD_OVERRIDE=FQ","FILING_STATUS=OR","EQY_CONSOLIDATED=Y","Sort=A","Dates=H","DateFormat=P","Fill=—","Direction=H","UseDPDF=Y")</f>
        <v>#NAME?</v>
      </c>
      <c r="CP502" s="3" t="e">
        <f ca="1">_xll.BDH($C$478,"EBITDA","FQ4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02" s="3" t="e">
        <f ca="1">_xll.BDH($C$478,"EBITDA_AFTER_CAPEX","FQ4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02" s="3" t="e">
        <f ca="1">_xll.BDH($C$478,"IS_OPER_INC","FQ4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02" s="2" t="e">
        <f ca="1">_xll.BDH($C$478,"CASH_RATIO","FQ4 2018","FQ4 2018","Currency=INR","Period=FQ","BEST_FPERIOD_OVERRIDE=FQ","FILING_STATUS=OR","EQY_CONSOLIDATED=Y","Sort=A","Dates=H","DateFormat=P","Fill=—","Direction=H","UseDPDF=Y")</f>
        <v>#NAME?</v>
      </c>
      <c r="CT502" s="2" t="e">
        <f ca="1">_xll.BDH($C$478,"CUR_RATIO","FQ4 2018","FQ4 2018","Currency=INR","Period=FQ","BEST_FPERIOD_OVERRIDE=FQ","FILING_STATUS=OR","EQY_CONSOLIDATED=Y","Sort=A","Dates=H","DateFormat=P","Fill=—","Direction=H","UseDPDF=Y")</f>
        <v>#NAME?</v>
      </c>
      <c r="CU502" s="2" t="e">
        <f ca="1">_xll.BDH($C$478,"QUICK_RATIO","FQ4 2018","FQ4 2018","Currency=INR","Period=FQ","BEST_FPERIOD_OVERRIDE=FQ","FILING_STATUS=OR","EQY_CONSOLIDATED=Y","Sort=A","Dates=H","DateFormat=P","Fill=—","Direction=H","UseDPDF=Y")</f>
        <v>#NAME?</v>
      </c>
      <c r="CV502" s="2" t="e">
        <f ca="1">_xll.BDH($C$478,"ALTMAN_Z_SCORE","FQ4 2018","FQ4 2018","Currency=INR","Period=FQ","BEST_FPERIOD_OVERRIDE=FQ","FILING_STATUS=OR","EQY_CONSOLIDATED=Y","Sort=A","Dates=H","DateFormat=P","Fill=—","Direction=H","UseDPDF=Y")</f>
        <v>#NAME?</v>
      </c>
      <c r="CW502" s="4" t="e">
        <f ca="1">_xll.BDH($C$478,"ACCT_RCV_TURN","FQ4 2018","FQ4 2018","Currency=INR","Period=FQ","BEST_FPERIOD_OVERRIDE=FQ","FILING_STATUS=OR","EQY_CONSOLIDATED=Y","FA_ADJUSTED=GAAP","Sort=A","Dates=H","DateFormat=P","Fill=—","Direction=H","UseDPDF=Y")</f>
        <v>#NAME?</v>
      </c>
      <c r="CX502" s="2" t="e">
        <f ca="1">_xll.BDH($C$478,"ACCT_RCV_DAYS","FQ4 2018","FQ4 2018","Currency=INR","Period=FQ","BEST_FPERIOD_OVERRIDE=FQ","FILING_STATUS=OR","EQY_CONSOLIDATED=Y","FA_ADJUSTED=GAAP","Sort=A","Dates=H","DateFormat=P","Fill=—","Direction=H","UseDPDF=Y")</f>
        <v>#NAME?</v>
      </c>
      <c r="CY502" s="4" t="e">
        <f ca="1">_xll.BDH($C$478,"INVENT_TURN","FQ4 2018","FQ4 2018","Currency=INR","Period=FQ","BEST_FPERIOD_OVERRIDE=FQ","FILING_STATUS=OR","EQY_CONSOLIDATED=Y","FA_ADJUSTED=GAAP","Sort=A","Dates=H","DateFormat=P","Fill=—","Direction=H","UseDPDF=Y")</f>
        <v>#NAME?</v>
      </c>
      <c r="CZ502" s="2" t="e">
        <f ca="1">_xll.BDH($C$478,"INVENT_DAYS","FQ4 2018","FQ4 2018","Currency=INR","Period=FQ","BEST_FPERIOD_OVERRIDE=FQ","FILING_STATUS=OR","EQY_CONSOLIDATED=Y","FA_ADJUSTED=GAAP","Sort=A","Dates=H","DateFormat=P","Fill=—","Direction=H","UseDPDF=Y")</f>
        <v>#NAME?</v>
      </c>
      <c r="DA502" s="4" t="e">
        <f ca="1">_xll.BDH($C$478,"ACCOUNTS_PAYABLE_TURNOVER","FQ4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02" s="2" t="e">
        <f ca="1">_xll.BDH($C$478,"ACCOUNTS_PAYABLE_TURNOVER_DAYS","FQ4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02" s="4" t="e">
        <f ca="1">_xll.BDH($C$478,"CASH_CONVERSION_CYCLE","FQ4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02" s="4" t="e">
        <f ca="1">_xll.BDH($C$478,"INV_TO_CASH_DAYS","FQ4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02" s="5" t="e">
        <f ca="1">_xll.BDH($C$478,"BS_INVENTORIES","FQ4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02" s="3" t="e">
        <f ca="1">_xll.BDH($C$478,"INVTRY_RAW_MATERIALS","FQ4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02" s="3" t="e">
        <f ca="1">_xll.BDH($C$478,"INVTRY_IN_PROGRESS","FQ4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02" s="3" t="e">
        <f ca="1">_xll.BDH($C$478,"INVTRY_FINISHED_GOODS","FQ4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02" s="3" t="e">
        <f ca="1">_xll.BDH($C$478,"BS_OTHER_INV","FQ4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03" spans="1:113" x14ac:dyDescent="0.3">
      <c r="A503" s="6">
        <v>96</v>
      </c>
      <c r="B503" s="6" t="s">
        <v>123</v>
      </c>
      <c r="C503" s="6" t="s">
        <v>124</v>
      </c>
      <c r="D503" s="6" t="s">
        <v>76</v>
      </c>
      <c r="E503" t="s">
        <v>77</v>
      </c>
      <c r="F503" t="e">
        <f ca="1">_xll.BDH($C$503,"RETURN_COM_EQY","FY 2014","FY 2014","Currency=INR","Period=FY","BEST_FPERIOD_OVERRIDE=FY","FILING_STATUS=OR","EQY_CONSOLIDATED=Y","FA_ADJUSTED=GAAP","Sort=A","Dates=H","DateFormat=P","Fill=—","Direction=H","UseDPDF=Y")</f>
        <v>#NAME?</v>
      </c>
      <c r="G503" t="e">
        <f ca="1">_xll.BDH($C$503,"RETURN_ON_ASSET","FY 2014","FY 2014","Currency=INR","Period=FY","BEST_FPERIOD_OVERRIDE=FY","FILING_STATUS=OR","EQY_CONSOLIDATED=Y","FA_ADJUSTED=GAAP","Sort=A","Dates=H","DateFormat=P","Fill=—","Direction=H","UseDPDF=Y")</f>
        <v>#NAME?</v>
      </c>
      <c r="H503" t="e">
        <f ca="1">_xll.BDH($C$503,"RETURN_ON_CAP","FY 2014","FY 2014","Currency=INR","Period=FY","BEST_FPERIOD_OVERRIDE=FY","FILING_STATUS=OR","EQY_CONSOLIDATED=Y","FA_ADJUSTED=GAAP","Sort=A","Dates=H","DateFormat=P","Fill=—","Direction=H","UseDPDF=Y")</f>
        <v>#NAME?</v>
      </c>
      <c r="I503" t="e">
        <f ca="1">_xll.BDH($C$503,"RETURN_ON_INV_CAPITAL","FY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03" t="e">
        <f ca="1">_xll.BDH($C$503,"EBITDA_TO_REVENUE","FY 2014","FY 2014","Currency=INR","Period=FY","BEST_FPERIOD_OVERRIDE=FY","FILING_STATUS=OR","EQY_CONSOLIDATED=Y","FA_ADJUSTED=GAAP","Sort=A","Dates=H","DateFormat=P","Fill=—","Direction=H","UseDPDF=Y")</f>
        <v>#NAME?</v>
      </c>
      <c r="K503" t="e">
        <f ca="1">_xll.BDH($C$503,"OPER_MARGIN","FY 2014","FY 2014","Currency=INR","Period=FY","BEST_FPERIOD_OVERRIDE=FY","FILING_STATUS=OR","EQY_CONSOLIDATED=Y","FA_ADJUSTED=GAAP","Sort=A","Dates=H","DateFormat=P","Fill=—","Direction=H","UseDPDF=Y")</f>
        <v>#NAME?</v>
      </c>
      <c r="L503" t="e">
        <f ca="1">_xll.BDH($C$503,"INCREMENTAL_OPERATING_MARGIN","FY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03" t="e">
        <f ca="1">_xll.BDH($C$503,"PRETAX_INC_TO_NET_SALES","FY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03" t="e">
        <f ca="1">_xll.BDH($C$503,"INC_BEF_XO_ITEMS_TO_NET_SALES","FY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03" t="e">
        <f ca="1">_xll.BDH($C$503,"PROF_MARGIN","FY 2014","FY 2014","Currency=INR","Period=FY","BEST_FPERIOD_OVERRIDE=FY","FILING_STATUS=OR","EQY_CONSOLIDATED=Y","FA_ADJUSTED=GAAP","Sort=A","Dates=H","DateFormat=P","Fill=—","Direction=H","UseDPDF=Y")</f>
        <v>#NAME?</v>
      </c>
      <c r="P503" t="e">
        <f ca="1">_xll.BDH($C$503,"NET_INCOME_TO_COMMON_MARGIN","FY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03" t="e">
        <f ca="1">_xll.BDH($C$503,"EFF_TAX_RATE","FY 2014","FY 2014","Currency=INR","Period=FY","BEST_FPERIOD_OVERRIDE=FY","FILING_STATUS=OR","EQY_CONSOLIDATED=Y","FA_ADJUSTED=GAAP","Sort=A","Dates=H","DateFormat=P","Fill=—","Direction=H","UseDPDF=Y")</f>
        <v>#NAME?</v>
      </c>
      <c r="R503" t="e">
        <f ca="1">_xll.BDH($C$503,"DVD_PAYOUT_RATIO","FY 2014","FY 2014","Currency=INR","Period=FY","BEST_FPERIOD_OVERRIDE=FY","FILING_STATUS=OR","EQY_CONSOLIDATED=Y","FA_ADJUSTED=GAAP","Sort=A","Dates=H","DateFormat=P","Fill=—","Direction=H","UseDPDF=Y")</f>
        <v>#NAME?</v>
      </c>
      <c r="S503" t="e">
        <f ca="1">_xll.BDH($C$503,"SUSTAIN_GROWTH_RT","FY 2014","FY 2014","Currency=INR","Period=FY","BEST_FPERIOD_OVERRIDE=FY","FILING_STATUS=OR","EQY_CONSOLIDATED=Y","FA_ADJUSTED=GAAP","Sort=A","Dates=H","DateFormat=P","Fill=—","Direction=H","UseDPDF=Y")</f>
        <v>#NAME?</v>
      </c>
      <c r="T503" s="2" t="e">
        <f ca="1">_xll.BDH($C$503,"SALES_GROWTH","FY 2014","FY 2014","Currency=INR","Period=FY","BEST_FPERIOD_OVERRIDE=FY","FILING_STATUS=OR","EQY_CONSOLIDATED=Y","FA_ADJUSTED=GAAP","Sort=A","Dates=H","DateFormat=P","Fill=—","Direction=H","UseDPDF=Y")</f>
        <v>#NAME?</v>
      </c>
      <c r="U503" s="2" t="e">
        <f ca="1">_xll.BDH($C$503,"EBITDA_GROWTH","FY 2014","FY 2014","Currency=INR","Period=FY","BEST_FPERIOD_OVERRIDE=FY","FILING_STATUS=OR","EQY_CONSOLIDATED=Y","FA_ADJUSTED=GAAP","Sort=A","Dates=H","DateFormat=P","Fill=—","Direction=H","UseDPDF=Y")</f>
        <v>#NAME?</v>
      </c>
      <c r="V503" s="2" t="e">
        <f ca="1">_xll.BDH($C$503,"OPER_INC_GROWTH","FY 2014","FY 2014","Currency=INR","Period=FY","BEST_FPERIOD_OVERRIDE=FY","FILING_STATUS=OR","EQY_CONSOLIDATED=Y","FA_ADJUSTED=GAAP","Sort=A","Dates=H","DateFormat=P","Fill=—","Direction=H","UseDPDF=Y")</f>
        <v>#NAME?</v>
      </c>
      <c r="W503" s="2" t="e">
        <f ca="1">_xll.BDH($C$503,"EARN_FOR_COM_GROWTH","FY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03" s="2" t="e">
        <f ca="1">_xll.BDH($C$503,"DILUTED_EPS_AFT_XO_ITEMS_GROWTH","FY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03" s="2" t="e">
        <f ca="1">_xll.BDH($C$503,"DIVIDEND_PER_SHARE_1_YEAR_GROWTH","FY 2014","FY 2014","Currency=INR","Period=FY","BEST_FPERIOD_OVERRIDE=FY","FILING_STATUS=OR","EQY_CONSOLIDATED=Y","Sort=A","Dates=H","DateFormat=P","Fill=—","Direction=H","UseDPDF=Y")</f>
        <v>#NAME?</v>
      </c>
      <c r="Z503" s="2" t="e">
        <f ca="1">_xll.BDH($C$503,"ACCOUNTS_RECEIVABLE_GROWTH","FY 2014","FY 2014","Currency=INR","Period=FY","BEST_FPERIOD_OVERRIDE=FY","FILING_STATUS=OR","EQY_CONSOLIDATED=Y","Sort=A","Dates=H","DateFormat=P","Fill=—","Direction=H","UseDPDF=Y")</f>
        <v>#NAME?</v>
      </c>
      <c r="AA503" s="2" t="e">
        <f ca="1">_xll.BDH($C$503,"INVENTORY_GROWTH","FY 2014","FY 2014","Currency=INR","Period=FY","BEST_FPERIOD_OVERRIDE=FY","FILING_STATUS=OR","EQY_CONSOLIDATED=Y","Sort=A","Dates=H","DateFormat=P","Fill=—","Direction=H","UseDPDF=Y")</f>
        <v>#NAME?</v>
      </c>
      <c r="AB503" s="2" t="e">
        <f ca="1">_xll.BDH($C$503,"NET_FIXED_ASSETS_1_YEAR_GROWTH","FY 2014","FY 2014","Currency=INR","Period=FY","BEST_FPERIOD_OVERRIDE=FY","FILING_STATUS=OR","EQY_CONSOLIDATED=Y","Sort=A","Dates=H","DateFormat=P","Fill=—","Direction=H","UseDPDF=Y")</f>
        <v>#NAME?</v>
      </c>
      <c r="AC503" s="2" t="e">
        <f ca="1">_xll.BDH($C$503,"ASSET_GROWTH","FY 2014","FY 2014","Currency=INR","Period=FY","BEST_FPERIOD_OVERRIDE=FY","FILING_STATUS=OR","EQY_CONSOLIDATED=Y","Sort=A","Dates=H","DateFormat=P","Fill=—","Direction=H","UseDPDF=Y")</f>
        <v>#NAME?</v>
      </c>
      <c r="AD503" s="2" t="e">
        <f ca="1">_xll.BDH($C$503,"MODIFIED_WORK_CAP_GROWTH","FY 2014","FY 2014","Currency=INR","Period=FY","BEST_FPERIOD_OVERRIDE=FY","FILING_STATUS=OR","EQY_CONSOLIDATED=Y","Sort=A","Dates=H","DateFormat=P","Fill=—","Direction=H","UseDPDF=Y")</f>
        <v>#NAME?</v>
      </c>
      <c r="AE503" s="2" t="e">
        <f ca="1">_xll.BDH($C$503,"WORK_CAP_GROWTH","FY 2014","FY 2014","Currency=INR","Period=FY","BEST_FPERIOD_OVERRIDE=FY","FILING_STATUS=OR","EQY_CONSOLIDATED=Y","Sort=A","Dates=H","DateFormat=P","Fill=—","Direction=H","UseDPDF=Y")</f>
        <v>#NAME?</v>
      </c>
      <c r="AF503" s="2" t="e">
        <f ca="1">_xll.BDH($C$503,"ACCOUNTS_PAYABLE_GROWTH_1YR","FY 2014","FY 2014","Currency=INR","Period=FY","BEST_FPERIOD_OVERRIDE=FY","FILING_STATUS=OR","EQY_CONSOLIDATED=Y","Sort=A","Dates=H","DateFormat=P","Fill=—","Direction=H","UseDPDF=Y")</f>
        <v>#NAME?</v>
      </c>
      <c r="AG503" s="2" t="e">
        <f ca="1">_xll.BDH($C$503,"SHORT_TERM_DEBT_1_YEAR_GROWTH","FY 2014","FY 2014","Currency=INR","Period=FY","BEST_FPERIOD_OVERRIDE=FY","FILING_STATUS=OR","EQY_CONSOLIDATED=Y","Sort=A","Dates=H","DateFormat=P","Fill=—","Direction=H","UseDPDF=Y")</f>
        <v>#NAME?</v>
      </c>
      <c r="AH503" s="2" t="e">
        <f ca="1">_xll.BDH($C$503,"TOTAL_DEBT_1_YEAR_GROWTH","FY 2014","FY 2014","Currency=INR","Period=FY","BEST_FPERIOD_OVERRIDE=FY","FILING_STATUS=OR","EQY_CONSOLIDATED=Y","Sort=A","Dates=H","DateFormat=P","Fill=—","Direction=H","UseDPDF=Y")</f>
        <v>#NAME?</v>
      </c>
      <c r="AI503" s="2" t="e">
        <f ca="1">_xll.BDH($C$503,"TOTAL_EQUITY_1_YEAR_GROWTH","FY 2014","FY 2014","Currency=INR","Period=FY","BEST_FPERIOD_OVERRIDE=FY","FILING_STATUS=OR","EQY_CONSOLIDATED=Y","Sort=A","Dates=H","DateFormat=P","Fill=—","Direction=H","UseDPDF=Y")</f>
        <v>#NAME?</v>
      </c>
      <c r="AJ503" s="2" t="e">
        <f ca="1">_xll.BDH($C$503,"GROWTH_IN_CAP","FY 2014","FY 2014","Currency=INR","Period=FY","BEST_FPERIOD_OVERRIDE=FY","FILING_STATUS=OR","EQY_CONSOLIDATED=Y","Sort=A","Dates=H","DateFormat=P","Fill=—","Direction=H","UseDPDF=Y")</f>
        <v>#NAME?</v>
      </c>
      <c r="AK503" s="2" t="e">
        <f ca="1">_xll.BDH($C$503,"BVPS_GROWTH","FY 2014","FY 2014","Currency=INR","Period=FY","BEST_FPERIOD_OVERRIDE=FY","FILING_STATUS=OR","EQY_CONSOLIDATED=Y","Sort=A","Dates=H","DateFormat=P","Fill=—","Direction=H","UseDPDF=Y")</f>
        <v>#NAME?</v>
      </c>
      <c r="AL503" s="2" t="e">
        <f ca="1">_xll.BDH($C$503,"CASH_FLOW_GROWTH","FY 2014","FY 2014","Currency=INR","Period=FY","BEST_FPERIOD_OVERRIDE=FY","FILING_STATUS=OR","EQY_CONSOLIDATED=Y","Sort=A","Dates=H","DateFormat=P","Fill=—","Direction=H","UseDPDF=Y")</f>
        <v>#NAME?</v>
      </c>
      <c r="AM503" s="2" t="e">
        <f ca="1">_xll.BDH($C$503,"GEO_GROW_NET_SALES","FY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03" s="2" t="e">
        <f ca="1">_xll.BDH($C$503,"GEO_GROW_EBITDA","FY 2014","FY 2014","Currency=INR","Period=FY","BEST_FPERIOD_OVERRIDE=FY","FILING_STATUS=OR","EQY_CONSOLIDATED=Y","FA_ADJUSTED=GAAP","Sort=A","Dates=H","DateFormat=P","Fill=—","Direction=H","UseDPDF=Y")</f>
        <v>#NAME?</v>
      </c>
      <c r="AO503" s="2" t="e">
        <f ca="1">_xll.BDH($C$503,"GEO_GROW_OPER_INC","FY 2014","FY 2014","Currency=INR","Period=FY","BEST_FPERIOD_OVERRIDE=FY","FILING_STATUS=OR","EQY_CONSOLIDATED=Y","FA_ADJUSTED=GAAP","Sort=A","Dates=H","DateFormat=P","Fill=—","Direction=H","UseDPDF=Y")</f>
        <v>#NAME?</v>
      </c>
      <c r="AP503" s="2" t="e">
        <f ca="1">_xll.BDH($C$503,"NET_INCOME_TO_COMMON_5_YR_GROWTH","FY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03" s="2" t="e">
        <f ca="1">_xll.BDH($C$503,"5Y_GEO_GROWTH_DILUTED_EPS","FY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03" s="2" t="e">
        <f ca="1">_xll.BDH($C$503,"GEO_GROW_DVD_PER_SH","FY 2014","FY 2014","Currency=INR","Period=FY","BEST_FPERIOD_OVERRIDE=FY","FILING_STATUS=OR","EQY_CONSOLIDATED=Y","Sort=A","Dates=H","DateFormat=P","Fill=—","Direction=H","UseDPDF=Y")</f>
        <v>#NAME?</v>
      </c>
      <c r="AS503" s="2" t="e">
        <f ca="1">_xll.BDH($C$503,"ACCOUNTS_RECEIVABLE_5_YR_GROWTH","FY 2014","FY 2014","Currency=INR","Period=FY","BEST_FPERIOD_OVERRIDE=FY","FILING_STATUS=OR","EQY_CONSOLIDATED=Y","Sort=A","Dates=H","DateFormat=P","Fill=—","Direction=H","UseDPDF=Y")</f>
        <v>#NAME?</v>
      </c>
      <c r="AT503" s="2" t="e">
        <f ca="1">_xll.BDH($C$503,"INVENTORY_5_YEAR_GROWTH","FY 2014","FY 2014","Currency=INR","Period=FY","BEST_FPERIOD_OVERRIDE=FY","FILING_STATUS=OR","EQY_CONSOLIDATED=Y","Sort=A","Dates=H","DateFormat=P","Fill=—","Direction=H","UseDPDF=Y")</f>
        <v>#NAME?</v>
      </c>
      <c r="AU503" s="2" t="e">
        <f ca="1">_xll.BDH($C$503,"NET_FIXED_ASSETS_5_YEAR_GROWTH","FY 2014","FY 2014","Currency=INR","Period=FY","BEST_FPERIOD_OVERRIDE=FY","FILING_STATUS=OR","EQY_CONSOLIDATED=Y","Sort=A","Dates=H","DateFormat=P","Fill=—","Direction=H","UseDPDF=Y")</f>
        <v>#NAME?</v>
      </c>
      <c r="AV503" s="2" t="e">
        <f ca="1">_xll.BDH($C$503,"GEO_GROW_TOT_ASSET","FY 2014","FY 2014","Currency=INR","Period=FY","BEST_FPERIOD_OVERRIDE=FY","FILING_STATUS=OR","EQY_CONSOLIDATED=Y","Sort=A","Dates=H","DateFormat=P","Fill=—","Direction=H","UseDPDF=Y")</f>
        <v>#NAME?</v>
      </c>
      <c r="AW503" s="2" t="e">
        <f ca="1">_xll.BDH($C$503,"MODIFIED_WORKING_CPTL_5YR_GRWTH","FY 2014","FY 2014","Currency=INR","Period=FY","BEST_FPERIOD_OVERRIDE=FY","FILING_STATUS=OR","EQY_CONSOLIDATED=Y","Sort=A","Dates=H","DateFormat=P","Fill=—","Direction=H","UseDPDF=Y")</f>
        <v>#NAME?</v>
      </c>
      <c r="AX503" s="2" t="e">
        <f ca="1">_xll.BDH($C$503,"WORKING_CAPITAL_5_YEAR_GROWTH","FY 2014","FY 2014","Currency=INR","Period=FY","BEST_FPERIOD_OVERRIDE=FY","FILING_STATUS=OR","EQY_CONSOLIDATED=Y","Sort=A","Dates=H","DateFormat=P","Fill=—","Direction=H","UseDPDF=Y")</f>
        <v>#NAME?</v>
      </c>
      <c r="AY503" s="2" t="e">
        <f ca="1">_xll.BDH($C$503,"ACCOUNTS_PAYABLE_5_YEAR_GROWTH","FY 2014","FY 2014","Currency=INR","Period=FY","BEST_FPERIOD_OVERRIDE=FY","FILING_STATUS=OR","EQY_CONSOLIDATED=Y","Sort=A","Dates=H","DateFormat=P","Fill=—","Direction=H","UseDPDF=Y")</f>
        <v>#NAME?</v>
      </c>
      <c r="AZ503" s="2" t="e">
        <f ca="1">_xll.BDH($C$503,"SHORT_TERM_DEBT_5_YEAR_GROWTH","FY 2014","FY 2014","Currency=INR","Period=FY","BEST_FPERIOD_OVERRIDE=FY","FILING_STATUS=OR","EQY_CONSOLIDATED=Y","Sort=A","Dates=H","DateFormat=P","Fill=—","Direction=H","UseDPDF=Y")</f>
        <v>#NAME?</v>
      </c>
      <c r="BA503" s="2" t="e">
        <f ca="1">_xll.BDH($C$503,"TOTAL_DEBT_5_YEAR_GROWTH","FY 2014","FY 2014","Currency=INR","Period=FY","BEST_FPERIOD_OVERRIDE=FY","FILING_STATUS=OR","EQY_CONSOLIDATED=Y","Sort=A","Dates=H","DateFormat=P","Fill=—","Direction=H","UseDPDF=Y")</f>
        <v>#NAME?</v>
      </c>
      <c r="BB503" s="2" t="e">
        <f ca="1">_xll.BDH($C$503,"GEO_GROW_TOT_SHRHLDR_EQY","FY 2014","FY 2014","Currency=INR","Period=FY","BEST_FPERIOD_OVERRIDE=FY","FILING_STATUS=OR","EQY_CONSOLIDATED=Y","Sort=A","Dates=H","DateFormat=P","Fill=—","Direction=H","UseDPDF=Y")</f>
        <v>#NAME?</v>
      </c>
      <c r="BC503" s="2" t="e">
        <f ca="1">_xll.BDH($C$503,"TOTAL_CAPITAL_5_YEAR_GROWTH","FY 2014","FY 2014","Currency=INR","Period=FY","BEST_FPERIOD_OVERRIDE=FY","FILING_STATUS=OR","EQY_CONSOLIDATED=Y","Sort=A","Dates=H","DateFormat=P","Fill=—","Direction=H","UseDPDF=Y")</f>
        <v>#NAME?</v>
      </c>
      <c r="BD503" s="2" t="e">
        <f ca="1">_xll.BDH($C$503,"GEO_GROW_BOOK_VAL","FY 2014","FY 2014","Currency=INR","Period=FY","BEST_FPERIOD_OVERRIDE=FY","FILING_STATUS=OR","EQY_CONSOLIDATED=Y","Sort=A","Dates=H","DateFormat=P","Fill=—","Direction=H","UseDPDF=Y")</f>
        <v>#NAME?</v>
      </c>
      <c r="BE503" s="2" t="e">
        <f ca="1">_xll.BDH($C$503,"GEO_GROW_CASH_OPER_ACT","FY 2014","FY 2014","Currency=INR","Period=FY","BEST_FPERIOD_OVERRIDE=FY","FILING_STATUS=OR","EQY_CONSOLIDATED=Y","Sort=A","Dates=H","DateFormat=P","Fill=—","Direction=H","UseDPDF=Y")</f>
        <v>#NAME?</v>
      </c>
      <c r="BF503" s="2" t="e">
        <f ca="1">_xll.BDH($C$503,"REVENUE_SEQUENTIAL_GROWTH","FY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03" s="2" t="e">
        <f ca="1">_xll.BDH($C$503,"EBITDA_SEQUENTIAL_GROWTH","FY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03" s="2" t="e">
        <f ca="1">_xll.BDH($C$503,"OPERATING_INCOME_SEQ_GROWTH","FY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03" s="2" t="e">
        <f ca="1">_xll.BDH($C$503,"NET_INCOME_TO_COMMON_SEQ_GROWTH","FY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03" s="2" t="e">
        <f ca="1">_xll.BDH($C$503,"EPS_DILUTED_SEQUENTIAL_GROWTH","FY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03" s="2" t="e">
        <f ca="1">_xll.BDH($C$503,"DPS_SEQUENTIAL_GROWTH","FY 2014","FY 2014","Currency=INR","Period=FY","BEST_FPERIOD_OVERRIDE=FY","FILING_STATUS=OR","EQY_CONSOLIDATED=Y","Sort=A","Dates=H","DateFormat=P","Fill=—","Direction=H","UseDPDF=Y")</f>
        <v>#NAME?</v>
      </c>
      <c r="BL503" s="2" t="e">
        <f ca="1">_xll.BDH($C$503,"ACCOUNTS_RECEIVABLE_SEQ_GROWTH","FY 2014","FY 2014","Currency=INR","Period=FY","BEST_FPERIOD_OVERRIDE=FY","FILING_STATUS=OR","EQY_CONSOLIDATED=Y","Sort=A","Dates=H","DateFormat=P","Fill=—","Direction=H","UseDPDF=Y")</f>
        <v>#NAME?</v>
      </c>
      <c r="BM503" s="2" t="e">
        <f ca="1">_xll.BDH($C$503,"INVENTORY_SEQUENTIAL_GROWTH","FY 2014","FY 2014","Currency=INR","Period=FY","BEST_FPERIOD_OVERRIDE=FY","FILING_STATUS=OR","EQY_CONSOLIDATED=Y","Sort=A","Dates=H","DateFormat=P","Fill=—","Direction=H","UseDPDF=Y")</f>
        <v>#NAME?</v>
      </c>
      <c r="BN503" s="2" t="e">
        <f ca="1">_xll.BDH($C$503,"FIXED_ASSETS_SEQUENTIAL_GROWTH","FY 2014","FY 2014","Currency=INR","Period=FY","BEST_FPERIOD_OVERRIDE=FY","FILING_STATUS=OR","EQY_CONSOLIDATED=Y","Sort=A","Dates=H","DateFormat=P","Fill=—","Direction=H","UseDPDF=Y")</f>
        <v>#NAME?</v>
      </c>
      <c r="BO503" s="2" t="e">
        <f ca="1">_xll.BDH($C$503,"TOTAL_ASSETS_SEQUENTIAL_GROWTH","FY 2014","FY 2014","Currency=INR","Period=FY","BEST_FPERIOD_OVERRIDE=FY","FILING_STATUS=OR","EQY_CONSOLIDATED=Y","Sort=A","Dates=H","DateFormat=P","Fill=—","Direction=H","UseDPDF=Y")</f>
        <v>#NAME?</v>
      </c>
      <c r="BP503" s="2" t="e">
        <f ca="1">_xll.BDH($C$503,"MODIFIED_WORKING_CPTL_SEQ_GRWTH","FY 2014","FY 2014","Currency=INR","Period=FY","BEST_FPERIOD_OVERRIDE=FY","FILING_STATUS=OR","EQY_CONSOLIDATED=Y","Sort=A","Dates=H","DateFormat=P","Fill=—","Direction=H","UseDPDF=Y")</f>
        <v>#NAME?</v>
      </c>
      <c r="BQ503" s="2" t="e">
        <f ca="1">_xll.BDH($C$503,"WORKING_CAPITAL_SEQ_GROWTH","FY 2014","FY 2014","Currency=INR","Period=FY","BEST_FPERIOD_OVERRIDE=FY","FILING_STATUS=OR","EQY_CONSOLIDATED=Y","Sort=A","Dates=H","DateFormat=P","Fill=—","Direction=H","UseDPDF=Y")</f>
        <v>#NAME?</v>
      </c>
      <c r="BR503" s="2" t="e">
        <f ca="1">_xll.BDH($C$503,"ACCOUNTS_PAYABLE_SEQ_GROWTH","FY 2014","FY 2014","Currency=INR","Period=FY","BEST_FPERIOD_OVERRIDE=FY","FILING_STATUS=OR","EQY_CONSOLIDATED=Y","Sort=A","Dates=H","DateFormat=P","Fill=—","Direction=H","UseDPDF=Y")</f>
        <v>#NAME?</v>
      </c>
      <c r="BS503" s="2" t="e">
        <f ca="1">_xll.BDH($C$503,"ST_DEBT_SEQUENTIAL_GROWTH","FY 2014","FY 2014","Currency=INR","Period=FY","BEST_FPERIOD_OVERRIDE=FY","FILING_STATUS=OR","EQY_CONSOLIDATED=Y","Sort=A","Dates=H","DateFormat=P","Fill=—","Direction=H","UseDPDF=Y")</f>
        <v>#NAME?</v>
      </c>
      <c r="BT503" s="2" t="e">
        <f ca="1">_xll.BDH($C$503,"TOTAL_DEBT_SEQUENTIAL_GROWTH","FY 2014","FY 2014","Currency=INR","Period=FY","BEST_FPERIOD_OVERRIDE=FY","FILING_STATUS=OR","EQY_CONSOLIDATED=Y","Sort=A","Dates=H","DateFormat=P","Fill=—","Direction=H","UseDPDF=Y")</f>
        <v>#NAME?</v>
      </c>
      <c r="BU503" s="2" t="e">
        <f ca="1">_xll.BDH($C$503,"TOTAL_EQUITY_SEQUENTIAL_GROWTH","FY 2014","FY 2014","Currency=INR","Period=FY","BEST_FPERIOD_OVERRIDE=FY","FILING_STATUS=OR","EQY_CONSOLIDATED=Y","Sort=A","Dates=H","DateFormat=P","Fill=—","Direction=H","UseDPDF=Y")</f>
        <v>#NAME?</v>
      </c>
      <c r="BV503" s="2" t="e">
        <f ca="1">_xll.BDH($C$503,"TOTAL_CAPITAL_SEQUENTIAL_GROWTH","FY 2014","FY 2014","Currency=INR","Period=FY","BEST_FPERIOD_OVERRIDE=FY","FILING_STATUS=OR","EQY_CONSOLIDATED=Y","Sort=A","Dates=H","DateFormat=P","Fill=—","Direction=H","UseDPDF=Y")</f>
        <v>#NAME?</v>
      </c>
      <c r="BW503" s="2" t="e">
        <f ca="1">_xll.BDH($C$503,"BPS_SEQUENTIAL_GROWTH","FY 2014","FY 2014","Currency=INR","Period=FY","BEST_FPERIOD_OVERRIDE=FY","FILING_STATUS=OR","EQY_CONSOLIDATED=Y","Sort=A","Dates=H","DateFormat=P","Fill=—","Direction=H","UseDPDF=Y")</f>
        <v>#NAME?</v>
      </c>
      <c r="BX503" s="2" t="e">
        <f ca="1">_xll.BDH($C$503,"CFO_SEQUENTIAL_GROWTH","FY 2014","FY 2014","Currency=INR","Period=FY","BEST_FPERIOD_OVERRIDE=FY","FILING_STATUS=OR","EQY_CONSOLIDATED=Y","Sort=A","Dates=H","DateFormat=P","Fill=—","Direction=H","UseDPDF=Y")</f>
        <v>#NAME?</v>
      </c>
      <c r="BY503" s="3" t="e">
        <f ca="1">_xll.BDH($C$503,"SHORT_AND_LONG_TERM_DEBT","FY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03" s="3" t="e">
        <f ca="1">_xll.BDH($C$503,"BS_ST_BORROW","FY 2014","FY 2014","Currency=INR","Period=FY","BEST_FPERIOD_OVERRIDE=FY","FILING_STATUS=OR","EQY_CONSOLIDATED=Y","SCALING_FORMAT=MLN","Sort=A","Dates=H","DateFormat=P","Fill=—","Direction=H","UseDPDF=Y")</f>
        <v>#NAME?</v>
      </c>
      <c r="CA503" s="3" t="e">
        <f ca="1">_xll.BDH($C$503,"BS_LT_BORROW","FY 2014","FY 2014","Currency=INR","Period=FY","BEST_FPERIOD_OVERRIDE=FY","FILING_STATUS=OR","EQY_CONSOLIDATED=Y","SCALING_FORMAT=MLN","Sort=A","Dates=H","DateFormat=P","Fill=—","Direction=H","UseDPDF=Y")</f>
        <v>#NAME?</v>
      </c>
      <c r="CB503" s="2" t="e">
        <f ca="1">_xll.BDH($C$503,"TOT_DEBT_TO_EBITDA","FY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03" s="2" t="e">
        <f ca="1">_xll.BDH($C$503,"NET_DEBT_TO_EBITDA","FY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03" s="2" t="e">
        <f ca="1">_xll.BDH($C$503,"TOTAL_DEBT_TO_EBIT","FY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03" s="2" t="e">
        <f ca="1">_xll.BDH($C$503,"NET_DEBT_TO_EBIT","FY 2014","FY 2014","Currency=INR","Period=FY","BEST_FPERIOD_OVERRIDE=FY","FILING_STATUS=OR","EQY_CONSOLIDATED=Y","FA_ADJUSTED=GAAP","Sort=A","Dates=H","DateFormat=P","Fill=—","Direction=H","UseDPDF=Y")</f>
        <v>#NAME?</v>
      </c>
      <c r="CF503" s="2" t="e">
        <f ca="1">_xll.BDH($C$503,"EBITDA_TO_INTEREST_EXPN","FY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03" s="2" t="e">
        <f ca="1">_xll.BDH($C$503,"COM_EQY_TO_TOT_ASSET","FY 2014","FY 2014","Currency=INR","Period=FY","BEST_FPERIOD_OVERRIDE=FY","FILING_STATUS=OR","EQY_CONSOLIDATED=Y","Sort=A","Dates=H","DateFormat=P","Fill=—","Direction=H","UseDPDF=Y")</f>
        <v>#NAME?</v>
      </c>
      <c r="CH503" s="2" t="e">
        <f ca="1">_xll.BDH($C$503,"LT_DEBT_TO_TOT_EQY","FY 2014","FY 2014","Currency=INR","Period=FY","BEST_FPERIOD_OVERRIDE=FY","FILING_STATUS=OR","EQY_CONSOLIDATED=Y","Sort=A","Dates=H","DateFormat=P","Fill=—","Direction=H","UseDPDF=Y")</f>
        <v>#NAME?</v>
      </c>
      <c r="CI503" s="2" t="e">
        <f ca="1">_xll.BDH($C$503,"LT_DEBT_TO_TOT_CAP","FY 2014","FY 2014","Currency=INR","Period=FY","BEST_FPERIOD_OVERRIDE=FY","FILING_STATUS=OR","EQY_CONSOLIDATED=Y","Sort=A","Dates=H","DateFormat=P","Fill=—","Direction=H","UseDPDF=Y")</f>
        <v>#NAME?</v>
      </c>
      <c r="CJ503" s="2" t="e">
        <f ca="1">_xll.BDH($C$503,"LT_DEBT_TO_TOT_ASSET","FY 2014","FY 2014","Currency=INR","Period=FY","BEST_FPERIOD_OVERRIDE=FY","FILING_STATUS=OR","EQY_CONSOLIDATED=Y","Sort=A","Dates=H","DateFormat=P","Fill=—","Direction=H","UseDPDF=Y")</f>
        <v>#NAME?</v>
      </c>
      <c r="CK503" s="2" t="e">
        <f ca="1">_xll.BDH($C$503,"TOT_DEBT_TO_TOT_EQY","FY 2014","FY 2014","Currency=INR","Period=FY","BEST_FPERIOD_OVERRIDE=FY","FILING_STATUS=OR","EQY_CONSOLIDATED=Y","Sort=A","Dates=H","DateFormat=P","Fill=—","Direction=H","UseDPDF=Y")</f>
        <v>#NAME?</v>
      </c>
      <c r="CL503" s="2" t="e">
        <f ca="1">_xll.BDH($C$503,"TOT_DEBT_TO_TOT_CAP","FY 2014","FY 2014","Currency=INR","Period=FY","BEST_FPERIOD_OVERRIDE=FY","FILING_STATUS=OR","EQY_CONSOLIDATED=Y","Sort=A","Dates=H","DateFormat=P","Fill=—","Direction=H","UseDPDF=Y")</f>
        <v>#NAME?</v>
      </c>
      <c r="CM503" s="2" t="e">
        <f ca="1">_xll.BDH($C$503,"TOT_DEBT_TO_TOT_ASSET","FY 2014","FY 2014","Currency=INR","Period=FY","BEST_FPERIOD_OVERRIDE=FY","FILING_STATUS=OR","EQY_CONSOLIDATED=Y","Sort=A","Dates=H","DateFormat=P","Fill=—","Direction=H","UseDPDF=Y")</f>
        <v>#NAME?</v>
      </c>
      <c r="CN503" s="2" t="e">
        <f ca="1">_xll.BDH($C$503,"NET_DEBT_TO_SHRHLDR_EQTY","FY 2014","FY 2014","Currency=INR","Period=FY","BEST_FPERIOD_OVERRIDE=FY","FILING_STATUS=OR","EQY_CONSOLIDATED=Y","Sort=A","Dates=H","DateFormat=P","Fill=—","Direction=H","UseDPDF=Y")</f>
        <v>#NAME?</v>
      </c>
      <c r="CO503" s="2" t="e">
        <f ca="1">_xll.BDH($C$503,"NET_DEBT_%_CAPITAL","FY 2014","FY 2014","Currency=INR","Period=FY","BEST_FPERIOD_OVERRIDE=FY","FILING_STATUS=OR","EQY_CONSOLIDATED=Y","Sort=A","Dates=H","DateFormat=P","Fill=—","Direction=H","UseDPDF=Y")</f>
        <v>#NAME?</v>
      </c>
      <c r="CP503" s="3" t="e">
        <f ca="1">_xll.BDH($C$503,"EBITDA","FY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03" s="3" t="e">
        <f ca="1">_xll.BDH($C$503,"EBITDA_AFTER_CAPEX","FY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03" s="3" t="e">
        <f ca="1">_xll.BDH($C$503,"IS_OPER_INC","FY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03" s="2" t="e">
        <f ca="1">_xll.BDH($C$503,"CASH_RATIO","FY 2014","FY 2014","Currency=INR","Period=FY","BEST_FPERIOD_OVERRIDE=FY","FILING_STATUS=OR","EQY_CONSOLIDATED=Y","Sort=A","Dates=H","DateFormat=P","Fill=—","Direction=H","UseDPDF=Y")</f>
        <v>#NAME?</v>
      </c>
      <c r="CT503" s="2" t="e">
        <f ca="1">_xll.BDH($C$503,"CUR_RATIO","FY 2014","FY 2014","Currency=INR","Period=FY","BEST_FPERIOD_OVERRIDE=FY","FILING_STATUS=OR","EQY_CONSOLIDATED=Y","Sort=A","Dates=H","DateFormat=P","Fill=—","Direction=H","UseDPDF=Y")</f>
        <v>#NAME?</v>
      </c>
      <c r="CU503" s="2" t="e">
        <f ca="1">_xll.BDH($C$503,"QUICK_RATIO","FY 2014","FY 2014","Currency=INR","Period=FY","BEST_FPERIOD_OVERRIDE=FY","FILING_STATUS=OR","EQY_CONSOLIDATED=Y","Sort=A","Dates=H","DateFormat=P","Fill=—","Direction=H","UseDPDF=Y")</f>
        <v>#NAME?</v>
      </c>
      <c r="CV503" s="2" t="e">
        <f ca="1">_xll.BDH($C$503,"ALTMAN_Z_SCORE","FY 2014","FY 2014","Currency=INR","Period=FY","BEST_FPERIOD_OVERRIDE=FY","FILING_STATUS=OR","EQY_CONSOLIDATED=Y","Sort=A","Dates=H","DateFormat=P","Fill=—","Direction=H","UseDPDF=Y")</f>
        <v>#NAME?</v>
      </c>
      <c r="CW503" s="4" t="e">
        <f ca="1">_xll.BDH($C$503,"ACCT_RCV_TURN","FY 2014","FY 2014","Currency=INR","Period=FY","BEST_FPERIOD_OVERRIDE=FY","FILING_STATUS=OR","EQY_CONSOLIDATED=Y","FA_ADJUSTED=GAAP","Sort=A","Dates=H","DateFormat=P","Fill=—","Direction=H","UseDPDF=Y")</f>
        <v>#NAME?</v>
      </c>
      <c r="CX503" s="2" t="e">
        <f ca="1">_xll.BDH($C$503,"ACCT_RCV_DAYS","FY 2014","FY 2014","Currency=INR","Period=FY","BEST_FPERIOD_OVERRIDE=FY","FILING_STATUS=OR","EQY_CONSOLIDATED=Y","FA_ADJUSTED=GAAP","Sort=A","Dates=H","DateFormat=P","Fill=—","Direction=H","UseDPDF=Y")</f>
        <v>#NAME?</v>
      </c>
      <c r="CY503" s="4" t="e">
        <f ca="1">_xll.BDH($C$503,"INVENT_TURN","FY 2014","FY 2014","Currency=INR","Period=FY","BEST_FPERIOD_OVERRIDE=FY","FILING_STATUS=OR","EQY_CONSOLIDATED=Y","FA_ADJUSTED=GAAP","Sort=A","Dates=H","DateFormat=P","Fill=—","Direction=H","UseDPDF=Y")</f>
        <v>#NAME?</v>
      </c>
      <c r="CZ503" s="2" t="e">
        <f ca="1">_xll.BDH($C$503,"INVENT_DAYS","FY 2014","FY 2014","Currency=INR","Period=FY","BEST_FPERIOD_OVERRIDE=FY","FILING_STATUS=OR","EQY_CONSOLIDATED=Y","FA_ADJUSTED=GAAP","Sort=A","Dates=H","DateFormat=P","Fill=—","Direction=H","UseDPDF=Y")</f>
        <v>#NAME?</v>
      </c>
      <c r="DA503" s="4" t="e">
        <f ca="1">_xll.BDH($C$503,"ACCOUNTS_PAYABLE_TURNOVER","FY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03" s="2" t="e">
        <f ca="1">_xll.BDH($C$503,"ACCOUNTS_PAYABLE_TURNOVER_DAYS","FY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03" s="4" t="e">
        <f ca="1">_xll.BDH($C$503,"CASH_CONVERSION_CYCLE","FY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03" s="4" t="e">
        <f ca="1">_xll.BDH($C$503,"INV_TO_CASH_DAYS","FY 2014","FY 2014","Currency=INR","Period=FY","BEST_FPERIOD_OVERRIDE=FY","FILING_STATUS=OR","EQY_CONSOLIDATED=Y","FA_ADJUSTED=GAAP","Sort=A","Dates=H","DateFormat=P","Fill=—","Direction=H","UseDPDF=Y")</f>
        <v>#NAME?</v>
      </c>
      <c r="DE503" s="5" t="e">
        <f ca="1">_xll.BDH($C$503,"BS_INVENTORIES","FY 2014","FY 2014","Currency=INR","Period=FY","BEST_FPERIOD_OVERRIDE=FY","FILING_STATUS=OR","EQY_CONSOLIDATED=Y","SCALING_FORMAT=MLN","Sort=A","Dates=H","DateFormat=P","Fill=—","Direction=H","UseDPDF=Y")</f>
        <v>#NAME?</v>
      </c>
      <c r="DF503" s="3" t="e">
        <f ca="1">_xll.BDH($C$503,"INVTRY_RAW_MATERIALS","FY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03" s="3" t="e">
        <f ca="1">_xll.BDH($C$503,"INVTRY_IN_PROGRESS","FY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03" s="3" t="e">
        <f ca="1">_xll.BDH($C$503,"INVTRY_FINISHED_GOODS","FY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03" s="3" t="e">
        <f ca="1">_xll.BDH($C$503,"BS_OTHER_INV","FY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04" spans="1:113" x14ac:dyDescent="0.3">
      <c r="A504" s="6"/>
      <c r="B504" s="6"/>
      <c r="C504" s="6"/>
      <c r="D504" s="6"/>
      <c r="E504" t="s">
        <v>78</v>
      </c>
      <c r="F504" t="e">
        <f ca="1">_xll.BDH($C$503,"RETURN_COM_EQY","FQ1 2014","FQ1 2014","Currency=INR","Period=FQ","BEST_FPERIOD_OVERRIDE=FQ","FILING_STATUS=OR","EQY_CONSOLIDATED=Y","FA_ADJUSTED=GAAP","Sort=A","Dates=H","DateFormat=P","Fill=—","Direction=H","UseDPDF=Y")</f>
        <v>#NAME?</v>
      </c>
      <c r="G504" t="e">
        <f ca="1">_xll.BDH($C$503,"RETURN_ON_ASSET","FQ1 2014","FQ1 2014","Currency=INR","Period=FQ","BEST_FPERIOD_OVERRIDE=FQ","FILING_STATUS=OR","EQY_CONSOLIDATED=Y","FA_ADJUSTED=GAAP","Sort=A","Dates=H","DateFormat=P","Fill=—","Direction=H","UseDPDF=Y")</f>
        <v>#NAME?</v>
      </c>
      <c r="H504" t="e">
        <f ca="1">_xll.BDH($C$503,"RETURN_ON_CAP","FQ1 2014","FQ1 2014","Currency=INR","Period=FQ","BEST_FPERIOD_OVERRIDE=FQ","FILING_STATUS=OR","EQY_CONSOLIDATED=Y","FA_ADJUSTED=GAAP","Sort=A","Dates=H","DateFormat=P","Fill=—","Direction=H","UseDPDF=Y")</f>
        <v>#NAME?</v>
      </c>
      <c r="I504" t="e">
        <f ca="1">_xll.BDH($C$503,"RETURN_ON_INV_CAPITAL","FQ1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04" t="e">
        <f ca="1">_xll.BDH($C$503,"EBITDA_TO_REVENUE","FQ1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04" t="e">
        <f ca="1">_xll.BDH($C$503,"OPER_MARGIN","FQ1 2014","FQ1 2014","Currency=INR","Period=FQ","BEST_FPERIOD_OVERRIDE=FQ","FILING_STATUS=OR","EQY_CONSOLIDATED=Y","FA_ADJUSTED=GAAP","Sort=A","Dates=H","DateFormat=P","Fill=—","Direction=H","UseDPDF=Y")</f>
        <v>#NAME?</v>
      </c>
      <c r="L504" t="e">
        <f ca="1">_xll.BDH($C$503,"INCREMENTAL_OPERATING_MARGIN","FQ1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04" t="e">
        <f ca="1">_xll.BDH($C$503,"PRETAX_INC_TO_NET_SALES","FQ1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04" t="e">
        <f ca="1">_xll.BDH($C$503,"INC_BEF_XO_ITEMS_TO_NET_SALES","FQ1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04" t="e">
        <f ca="1">_xll.BDH($C$503,"PROF_MARGIN","FQ1 2014","FQ1 2014","Currency=INR","Period=FQ","BEST_FPERIOD_OVERRIDE=FQ","FILING_STATUS=OR","EQY_CONSOLIDATED=Y","FA_ADJUSTED=GAAP","Sort=A","Dates=H","DateFormat=P","Fill=—","Direction=H","UseDPDF=Y")</f>
        <v>#NAME?</v>
      </c>
      <c r="P504" t="e">
        <f ca="1">_xll.BDH($C$503,"NET_INCOME_TO_COMMON_MARGIN","FQ1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04" t="e">
        <f ca="1">_xll.BDH($C$503,"EFF_TAX_RATE","FQ1 2014","FQ1 2014","Currency=INR","Period=FQ","BEST_FPERIOD_OVERRIDE=FQ","FILING_STATUS=OR","EQY_CONSOLIDATED=Y","FA_ADJUSTED=GAAP","Sort=A","Dates=H","DateFormat=P","Fill=—","Direction=H","UseDPDF=Y")</f>
        <v>#NAME?</v>
      </c>
      <c r="R504" t="e">
        <f ca="1">_xll.BDH($C$503,"DVD_PAYOUT_RATIO","FQ1 2014","FQ1 2014","Currency=INR","Period=FQ","BEST_FPERIOD_OVERRIDE=FQ","FILING_STATUS=OR","EQY_CONSOLIDATED=Y","FA_ADJUSTED=GAAP","Sort=A","Dates=H","DateFormat=P","Fill=—","Direction=H","UseDPDF=Y")</f>
        <v>#NAME?</v>
      </c>
      <c r="S504" t="e">
        <f ca="1">_xll.BDH($C$503,"SUSTAIN_GROWTH_RT","FQ1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04" s="2" t="e">
        <f ca="1">_xll.BDH($C$503,"SALES_GROWTH","FQ1 2014","FQ1 2014","Currency=INR","Period=FQ","BEST_FPERIOD_OVERRIDE=FQ","FILING_STATUS=OR","EQY_CONSOLIDATED=Y","FA_ADJUSTED=GAAP","Sort=A","Dates=H","DateFormat=P","Fill=—","Direction=H","UseDPDF=Y")</f>
        <v>#NAME?</v>
      </c>
      <c r="U504" s="2" t="e">
        <f ca="1">_xll.BDH($C$503,"EBITDA_GROWTH","FQ1 2014","FQ1 2014","Currency=INR","Period=FQ","BEST_FPERIOD_OVERRIDE=FQ","FILING_STATUS=OR","EQY_CONSOLIDATED=Y","FA_ADJUSTED=GAAP","Sort=A","Dates=H","DateFormat=P","Fill=—","Direction=H","UseDPDF=Y")</f>
        <v>#NAME?</v>
      </c>
      <c r="V504" s="2" t="e">
        <f ca="1">_xll.BDH($C$503,"OPER_INC_GROWTH","FQ1 2014","FQ1 2014","Currency=INR","Period=FQ","BEST_FPERIOD_OVERRIDE=FQ","FILING_STATUS=OR","EQY_CONSOLIDATED=Y","FA_ADJUSTED=GAAP","Sort=A","Dates=H","DateFormat=P","Fill=—","Direction=H","UseDPDF=Y")</f>
        <v>#NAME?</v>
      </c>
      <c r="W504" s="2" t="e">
        <f ca="1">_xll.BDH($C$503,"EARN_FOR_COM_GROWTH","FQ1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04" s="2" t="e">
        <f ca="1">_xll.BDH($C$503,"DILUTED_EPS_AFT_XO_ITEMS_GROWTH","FQ1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04" s="2" t="e">
        <f ca="1">_xll.BDH($C$503,"DIVIDEND_PER_SHARE_1_YEAR_GROWTH","FQ1 2014","FQ1 2014","Currency=INR","Period=FQ","BEST_FPERIOD_OVERRIDE=FQ","FILING_STATUS=OR","EQY_CONSOLIDATED=Y","Sort=A","Dates=H","DateFormat=P","Fill=—","Direction=H","UseDPDF=Y")</f>
        <v>#NAME?</v>
      </c>
      <c r="Z504" s="2" t="e">
        <f ca="1">_xll.BDH($C$503,"ACCOUNTS_RECEIVABLE_GROWTH","FQ1 2014","FQ1 2014","Currency=INR","Period=FQ","BEST_FPERIOD_OVERRIDE=FQ","FILING_STATUS=OR","EQY_CONSOLIDATED=Y","Sort=A","Dates=H","DateFormat=P","Fill=—","Direction=H","UseDPDF=Y")</f>
        <v>#NAME?</v>
      </c>
      <c r="AA504" s="2" t="e">
        <f ca="1">_xll.BDH($C$503,"INVENTORY_GROWTH","FQ1 2014","FQ1 2014","Currency=INR","Period=FQ","BEST_FPERIOD_OVERRIDE=FQ","FILING_STATUS=OR","EQY_CONSOLIDATED=Y","Sort=A","Dates=H","DateFormat=P","Fill=—","Direction=H","UseDPDF=Y")</f>
        <v>#NAME?</v>
      </c>
      <c r="AB504" s="2" t="e">
        <f ca="1">_xll.BDH($C$503,"NET_FIXED_ASSETS_1_YEAR_GROWTH","FQ1 2014","FQ1 2014","Currency=INR","Period=FQ","BEST_FPERIOD_OVERRIDE=FQ","FILING_STATUS=OR","EQY_CONSOLIDATED=Y","Sort=A","Dates=H","DateFormat=P","Fill=—","Direction=H","UseDPDF=Y")</f>
        <v>#NAME?</v>
      </c>
      <c r="AC504" s="2" t="e">
        <f ca="1">_xll.BDH($C$503,"ASSET_GROWTH","FQ1 2014","FQ1 2014","Currency=INR","Period=FQ","BEST_FPERIOD_OVERRIDE=FQ","FILING_STATUS=OR","EQY_CONSOLIDATED=Y","Sort=A","Dates=H","DateFormat=P","Fill=—","Direction=H","UseDPDF=Y")</f>
        <v>#NAME?</v>
      </c>
      <c r="AD504" s="2" t="e">
        <f ca="1">_xll.BDH($C$503,"MODIFIED_WORK_CAP_GROWTH","FQ1 2014","FQ1 2014","Currency=INR","Period=FQ","BEST_FPERIOD_OVERRIDE=FQ","FILING_STATUS=OR","EQY_CONSOLIDATED=Y","Sort=A","Dates=H","DateFormat=P","Fill=—","Direction=H","UseDPDF=Y")</f>
        <v>#NAME?</v>
      </c>
      <c r="AE504" s="2" t="e">
        <f ca="1">_xll.BDH($C$503,"WORK_CAP_GROWTH","FQ1 2014","FQ1 2014","Currency=INR","Period=FQ","BEST_FPERIOD_OVERRIDE=FQ","FILING_STATUS=OR","EQY_CONSOLIDATED=Y","Sort=A","Dates=H","DateFormat=P","Fill=—","Direction=H","UseDPDF=Y")</f>
        <v>#NAME?</v>
      </c>
      <c r="AF504" s="2" t="e">
        <f ca="1">_xll.BDH($C$503,"ACCOUNTS_PAYABLE_GROWTH_1YR","FQ1 2014","FQ1 2014","Currency=INR","Period=FQ","BEST_FPERIOD_OVERRIDE=FQ","FILING_STATUS=OR","EQY_CONSOLIDATED=Y","Sort=A","Dates=H","DateFormat=P","Fill=—","Direction=H","UseDPDF=Y")</f>
        <v>#NAME?</v>
      </c>
      <c r="AG504" s="2" t="e">
        <f ca="1">_xll.BDH($C$503,"SHORT_TERM_DEBT_1_YEAR_GROWTH","FQ1 2014","FQ1 2014","Currency=INR","Period=FQ","BEST_FPERIOD_OVERRIDE=FQ","FILING_STATUS=OR","EQY_CONSOLIDATED=Y","Sort=A","Dates=H","DateFormat=P","Fill=—","Direction=H","UseDPDF=Y")</f>
        <v>#NAME?</v>
      </c>
      <c r="AH504" s="2" t="e">
        <f ca="1">_xll.BDH($C$503,"TOTAL_DEBT_1_YEAR_GROWTH","FQ1 2014","FQ1 2014","Currency=INR","Period=FQ","BEST_FPERIOD_OVERRIDE=FQ","FILING_STATUS=OR","EQY_CONSOLIDATED=Y","Sort=A","Dates=H","DateFormat=P","Fill=—","Direction=H","UseDPDF=Y")</f>
        <v>#NAME?</v>
      </c>
      <c r="AI504" s="2" t="e">
        <f ca="1">_xll.BDH($C$503,"TOTAL_EQUITY_1_YEAR_GROWTH","FQ1 2014","FQ1 2014","Currency=INR","Period=FQ","BEST_FPERIOD_OVERRIDE=FQ","FILING_STATUS=OR","EQY_CONSOLIDATED=Y","Sort=A","Dates=H","DateFormat=P","Fill=—","Direction=H","UseDPDF=Y")</f>
        <v>#NAME?</v>
      </c>
      <c r="AJ504" s="2" t="e">
        <f ca="1">_xll.BDH($C$503,"GROWTH_IN_CAP","FQ1 2014","FQ1 2014","Currency=INR","Period=FQ","BEST_FPERIOD_OVERRIDE=FQ","FILING_STATUS=OR","EQY_CONSOLIDATED=Y","Sort=A","Dates=H","DateFormat=P","Fill=—","Direction=H","UseDPDF=Y")</f>
        <v>#NAME?</v>
      </c>
      <c r="AK504" s="2" t="e">
        <f ca="1">_xll.BDH($C$503,"BVPS_GROWTH","FQ1 2014","FQ1 2014","Currency=INR","Period=FQ","BEST_FPERIOD_OVERRIDE=FQ","FILING_STATUS=OR","EQY_CONSOLIDATED=Y","Sort=A","Dates=H","DateFormat=P","Fill=—","Direction=H","UseDPDF=Y")</f>
        <v>#NAME?</v>
      </c>
      <c r="AL504" s="2" t="e">
        <f ca="1">_xll.BDH($C$503,"CASH_FLOW_GROWTH","FQ1 2014","FQ1 2014","Currency=INR","Period=FQ","BEST_FPERIOD_OVERRIDE=FQ","FILING_STATUS=OR","EQY_CONSOLIDATED=Y","Sort=A","Dates=H","DateFormat=P","Fill=—","Direction=H","UseDPDF=Y")</f>
        <v>#NAME?</v>
      </c>
      <c r="AM504" s="2" t="e">
        <f ca="1">_xll.BDH($C$503,"GEO_GROW_NET_SALES","FQ1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04" s="2" t="e">
        <f ca="1">_xll.BDH($C$503,"GEO_GROW_EBITDA","FQ1 2014","FQ1 2014","Currency=INR","Period=FQ","BEST_FPERIOD_OVERRIDE=FQ","FILING_STATUS=OR","EQY_CONSOLIDATED=Y","FA_ADJUSTED=GAAP","Sort=A","Dates=H","DateFormat=P","Fill=—","Direction=H","UseDPDF=Y")</f>
        <v>#NAME?</v>
      </c>
      <c r="AO504" s="2" t="e">
        <f ca="1">_xll.BDH($C$503,"GEO_GROW_OPER_INC","FQ1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04" s="2" t="e">
        <f ca="1">_xll.BDH($C$503,"NET_INCOME_TO_COMMON_5_YR_GROWTH","FQ1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04" s="2" t="e">
        <f ca="1">_xll.BDH($C$503,"5Y_GEO_GROWTH_DILUTED_EPS","FQ1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04" s="2" t="e">
        <f ca="1">_xll.BDH($C$503,"GEO_GROW_DVD_PER_SH","FQ1 2014","FQ1 2014","Currency=INR","Period=FQ","BEST_FPERIOD_OVERRIDE=FQ","FILING_STATUS=OR","EQY_CONSOLIDATED=Y","Sort=A","Dates=H","DateFormat=P","Fill=—","Direction=H","UseDPDF=Y")</f>
        <v>#NAME?</v>
      </c>
      <c r="AS504" s="2" t="e">
        <f ca="1">_xll.BDH($C$503,"ACCOUNTS_RECEIVABLE_5_YR_GROWTH","FQ1 2014","FQ1 2014","Currency=INR","Period=FQ","BEST_FPERIOD_OVERRIDE=FQ","FILING_STATUS=OR","EQY_CONSOLIDATED=Y","Sort=A","Dates=H","DateFormat=P","Fill=—","Direction=H","UseDPDF=Y")</f>
        <v>#NAME?</v>
      </c>
      <c r="AT504" s="2" t="e">
        <f ca="1">_xll.BDH($C$503,"INVENTORY_5_YEAR_GROWTH","FQ1 2014","FQ1 2014","Currency=INR","Period=FQ","BEST_FPERIOD_OVERRIDE=FQ","FILING_STATUS=OR","EQY_CONSOLIDATED=Y","Sort=A","Dates=H","DateFormat=P","Fill=—","Direction=H","UseDPDF=Y")</f>
        <v>#NAME?</v>
      </c>
      <c r="AU504" s="2" t="e">
        <f ca="1">_xll.BDH($C$503,"NET_FIXED_ASSETS_5_YEAR_GROWTH","FQ1 2014","FQ1 2014","Currency=INR","Period=FQ","BEST_FPERIOD_OVERRIDE=FQ","FILING_STATUS=OR","EQY_CONSOLIDATED=Y","Sort=A","Dates=H","DateFormat=P","Fill=—","Direction=H","UseDPDF=Y")</f>
        <v>#NAME?</v>
      </c>
      <c r="AV504" s="2" t="e">
        <f ca="1">_xll.BDH($C$503,"GEO_GROW_TOT_ASSET","FQ1 2014","FQ1 2014","Currency=INR","Period=FQ","BEST_FPERIOD_OVERRIDE=FQ","FILING_STATUS=OR","EQY_CONSOLIDATED=Y","Sort=A","Dates=H","DateFormat=P","Fill=—","Direction=H","UseDPDF=Y")</f>
        <v>#NAME?</v>
      </c>
      <c r="AW504" s="2" t="e">
        <f ca="1">_xll.BDH($C$503,"MODIFIED_WORKING_CPTL_5YR_GRWTH","FQ1 2014","FQ1 2014","Currency=INR","Period=FQ","BEST_FPERIOD_OVERRIDE=FQ","FILING_STATUS=OR","EQY_CONSOLIDATED=Y","Sort=A","Dates=H","DateFormat=P","Fill=—","Direction=H","UseDPDF=Y")</f>
        <v>#NAME?</v>
      </c>
      <c r="AX504" s="2" t="e">
        <f ca="1">_xll.BDH($C$503,"WORKING_CAPITAL_5_YEAR_GROWTH","FQ1 2014","FQ1 2014","Currency=INR","Period=FQ","BEST_FPERIOD_OVERRIDE=FQ","FILING_STATUS=OR","EQY_CONSOLIDATED=Y","Sort=A","Dates=H","DateFormat=P","Fill=—","Direction=H","UseDPDF=Y")</f>
        <v>#NAME?</v>
      </c>
      <c r="AY504" s="2" t="e">
        <f ca="1">_xll.BDH($C$503,"ACCOUNTS_PAYABLE_5_YEAR_GROWTH","FQ1 2014","FQ1 2014","Currency=INR","Period=FQ","BEST_FPERIOD_OVERRIDE=FQ","FILING_STATUS=OR","EQY_CONSOLIDATED=Y","Sort=A","Dates=H","DateFormat=P","Fill=—","Direction=H","UseDPDF=Y")</f>
        <v>#NAME?</v>
      </c>
      <c r="AZ504" s="2" t="e">
        <f ca="1">_xll.BDH($C$503,"SHORT_TERM_DEBT_5_YEAR_GROWTH","FQ1 2014","FQ1 2014","Currency=INR","Period=FQ","BEST_FPERIOD_OVERRIDE=FQ","FILING_STATUS=OR","EQY_CONSOLIDATED=Y","Sort=A","Dates=H","DateFormat=P","Fill=—","Direction=H","UseDPDF=Y")</f>
        <v>#NAME?</v>
      </c>
      <c r="BA504" s="2" t="e">
        <f ca="1">_xll.BDH($C$503,"TOTAL_DEBT_5_YEAR_GROWTH","FQ1 2014","FQ1 2014","Currency=INR","Period=FQ","BEST_FPERIOD_OVERRIDE=FQ","FILING_STATUS=OR","EQY_CONSOLIDATED=Y","Sort=A","Dates=H","DateFormat=P","Fill=—","Direction=H","UseDPDF=Y")</f>
        <v>#NAME?</v>
      </c>
      <c r="BB504" s="2" t="e">
        <f ca="1">_xll.BDH($C$503,"GEO_GROW_TOT_SHRHLDR_EQY","FQ1 2014","FQ1 2014","Currency=INR","Period=FQ","BEST_FPERIOD_OVERRIDE=FQ","FILING_STATUS=OR","EQY_CONSOLIDATED=Y","Sort=A","Dates=H","DateFormat=P","Fill=—","Direction=H","UseDPDF=Y")</f>
        <v>#NAME?</v>
      </c>
      <c r="BC504" s="2" t="e">
        <f ca="1">_xll.BDH($C$503,"TOTAL_CAPITAL_5_YEAR_GROWTH","FQ1 2014","FQ1 2014","Currency=INR","Period=FQ","BEST_FPERIOD_OVERRIDE=FQ","FILING_STATUS=OR","EQY_CONSOLIDATED=Y","Sort=A","Dates=H","DateFormat=P","Fill=—","Direction=H","UseDPDF=Y")</f>
        <v>#NAME?</v>
      </c>
      <c r="BD504" s="2" t="e">
        <f ca="1">_xll.BDH($C$503,"GEO_GROW_BOOK_VAL","FQ1 2014","FQ1 2014","Currency=INR","Period=FQ","BEST_FPERIOD_OVERRIDE=FQ","FILING_STATUS=OR","EQY_CONSOLIDATED=Y","Sort=A","Dates=H","DateFormat=P","Fill=—","Direction=H","UseDPDF=Y")</f>
        <v>#NAME?</v>
      </c>
      <c r="BE504" s="2" t="e">
        <f ca="1">_xll.BDH($C$503,"GEO_GROW_CASH_OPER_ACT","FQ1 2014","FQ1 2014","Currency=INR","Period=FQ","BEST_FPERIOD_OVERRIDE=FQ","FILING_STATUS=OR","EQY_CONSOLIDATED=Y","Sort=A","Dates=H","DateFormat=P","Fill=—","Direction=H","UseDPDF=Y")</f>
        <v>#NAME?</v>
      </c>
      <c r="BF504" s="2" t="e">
        <f ca="1">_xll.BDH($C$503,"REVENUE_SEQUENTIAL_GROWTH","FQ1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04" s="2" t="e">
        <f ca="1">_xll.BDH($C$503,"EBITDA_SEQUENTIAL_GROWTH","FQ1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04" s="2" t="e">
        <f ca="1">_xll.BDH($C$503,"OPERATING_INCOME_SEQ_GROWTH","FQ1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04" s="2" t="e">
        <f ca="1">_xll.BDH($C$503,"NET_INCOME_TO_COMMON_SEQ_GROWTH","FQ1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04" s="2" t="e">
        <f ca="1">_xll.BDH($C$503,"EPS_DILUTED_SEQUENTIAL_GROWTH","FQ1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04" s="2" t="e">
        <f ca="1">_xll.BDH($C$503,"DPS_SEQUENTIAL_GROWTH","FQ1 2014","FQ1 2014","Currency=INR","Period=FQ","BEST_FPERIOD_OVERRIDE=FQ","FILING_STATUS=OR","EQY_CONSOLIDATED=Y","Sort=A","Dates=H","DateFormat=P","Fill=—","Direction=H","UseDPDF=Y")</f>
        <v>#NAME?</v>
      </c>
      <c r="BL504" s="2" t="e">
        <f ca="1">_xll.BDH($C$503,"ACCOUNTS_RECEIVABLE_SEQ_GROWTH","FQ1 2014","FQ1 2014","Currency=INR","Period=FQ","BEST_FPERIOD_OVERRIDE=FQ","FILING_STATUS=OR","EQY_CONSOLIDATED=Y","Sort=A","Dates=H","DateFormat=P","Fill=—","Direction=H","UseDPDF=Y")</f>
        <v>#NAME?</v>
      </c>
      <c r="BM504" s="2" t="e">
        <f ca="1">_xll.BDH($C$503,"INVENTORY_SEQUENTIAL_GROWTH","FQ1 2014","FQ1 2014","Currency=INR","Period=FQ","BEST_FPERIOD_OVERRIDE=FQ","FILING_STATUS=OR","EQY_CONSOLIDATED=Y","Sort=A","Dates=H","DateFormat=P","Fill=—","Direction=H","UseDPDF=Y")</f>
        <v>#NAME?</v>
      </c>
      <c r="BN504" s="2" t="e">
        <f ca="1">_xll.BDH($C$503,"FIXED_ASSETS_SEQUENTIAL_GROWTH","FQ1 2014","FQ1 2014","Currency=INR","Period=FQ","BEST_FPERIOD_OVERRIDE=FQ","FILING_STATUS=OR","EQY_CONSOLIDATED=Y","Sort=A","Dates=H","DateFormat=P","Fill=—","Direction=H","UseDPDF=Y")</f>
        <v>#NAME?</v>
      </c>
      <c r="BO504" s="2" t="e">
        <f ca="1">_xll.BDH($C$503,"TOTAL_ASSETS_SEQUENTIAL_GROWTH","FQ1 2014","FQ1 2014","Currency=INR","Period=FQ","BEST_FPERIOD_OVERRIDE=FQ","FILING_STATUS=OR","EQY_CONSOLIDATED=Y","Sort=A","Dates=H","DateFormat=P","Fill=—","Direction=H","UseDPDF=Y")</f>
        <v>#NAME?</v>
      </c>
      <c r="BP504" s="2" t="e">
        <f ca="1">_xll.BDH($C$503,"MODIFIED_WORKING_CPTL_SEQ_GRWTH","FQ1 2014","FQ1 2014","Currency=INR","Period=FQ","BEST_FPERIOD_OVERRIDE=FQ","FILING_STATUS=OR","EQY_CONSOLIDATED=Y","Sort=A","Dates=H","DateFormat=P","Fill=—","Direction=H","UseDPDF=Y")</f>
        <v>#NAME?</v>
      </c>
      <c r="BQ504" s="2" t="e">
        <f ca="1">_xll.BDH($C$503,"WORKING_CAPITAL_SEQ_GROWTH","FQ1 2014","FQ1 2014","Currency=INR","Period=FQ","BEST_FPERIOD_OVERRIDE=FQ","FILING_STATUS=OR","EQY_CONSOLIDATED=Y","Sort=A","Dates=H","DateFormat=P","Fill=—","Direction=H","UseDPDF=Y")</f>
        <v>#NAME?</v>
      </c>
      <c r="BR504" s="2" t="e">
        <f ca="1">_xll.BDH($C$503,"ACCOUNTS_PAYABLE_SEQ_GROWTH","FQ1 2014","FQ1 2014","Currency=INR","Period=FQ","BEST_FPERIOD_OVERRIDE=FQ","FILING_STATUS=OR","EQY_CONSOLIDATED=Y","Sort=A","Dates=H","DateFormat=P","Fill=—","Direction=H","UseDPDF=Y")</f>
        <v>#NAME?</v>
      </c>
      <c r="BS504" s="2" t="e">
        <f ca="1">_xll.BDH($C$503,"ST_DEBT_SEQUENTIAL_GROWTH","FQ1 2014","FQ1 2014","Currency=INR","Period=FQ","BEST_FPERIOD_OVERRIDE=FQ","FILING_STATUS=OR","EQY_CONSOLIDATED=Y","Sort=A","Dates=H","DateFormat=P","Fill=—","Direction=H","UseDPDF=Y")</f>
        <v>#NAME?</v>
      </c>
      <c r="BT504" s="2" t="e">
        <f ca="1">_xll.BDH($C$503,"TOTAL_DEBT_SEQUENTIAL_GROWTH","FQ1 2014","FQ1 2014","Currency=INR","Period=FQ","BEST_FPERIOD_OVERRIDE=FQ","FILING_STATUS=OR","EQY_CONSOLIDATED=Y","Sort=A","Dates=H","DateFormat=P","Fill=—","Direction=H","UseDPDF=Y")</f>
        <v>#NAME?</v>
      </c>
      <c r="BU504" s="2" t="e">
        <f ca="1">_xll.BDH($C$503,"TOTAL_EQUITY_SEQUENTIAL_GROWTH","FQ1 2014","FQ1 2014","Currency=INR","Period=FQ","BEST_FPERIOD_OVERRIDE=FQ","FILING_STATUS=OR","EQY_CONSOLIDATED=Y","Sort=A","Dates=H","DateFormat=P","Fill=—","Direction=H","UseDPDF=Y")</f>
        <v>#NAME?</v>
      </c>
      <c r="BV504" s="2" t="e">
        <f ca="1">_xll.BDH($C$503,"TOTAL_CAPITAL_SEQUENTIAL_GROWTH","FQ1 2014","FQ1 2014","Currency=INR","Period=FQ","BEST_FPERIOD_OVERRIDE=FQ","FILING_STATUS=OR","EQY_CONSOLIDATED=Y","Sort=A","Dates=H","DateFormat=P","Fill=—","Direction=H","UseDPDF=Y")</f>
        <v>#NAME?</v>
      </c>
      <c r="BW504" s="2" t="e">
        <f ca="1">_xll.BDH($C$503,"BPS_SEQUENTIAL_GROWTH","FQ1 2014","FQ1 2014","Currency=INR","Period=FQ","BEST_FPERIOD_OVERRIDE=FQ","FILING_STATUS=OR","EQY_CONSOLIDATED=Y","Sort=A","Dates=H","DateFormat=P","Fill=—","Direction=H","UseDPDF=Y")</f>
        <v>#NAME?</v>
      </c>
      <c r="BX504" s="2" t="e">
        <f ca="1">_xll.BDH($C$503,"CFO_SEQUENTIAL_GROWTH","FQ1 2014","FQ1 2014","Currency=INR","Period=FQ","BEST_FPERIOD_OVERRIDE=FQ","FILING_STATUS=OR","EQY_CONSOLIDATED=Y","Sort=A","Dates=H","DateFormat=P","Fill=—","Direction=H","UseDPDF=Y")</f>
        <v>#NAME?</v>
      </c>
      <c r="BY504" s="3" t="e">
        <f ca="1">_xll.BDH($C$503,"SHORT_AND_LONG_TERM_DEBT","FQ1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04" s="3" t="e">
        <f ca="1">_xll.BDH($C$503,"BS_ST_BORROW","FQ1 2014","FQ1 2014","Currency=INR","Period=FQ","BEST_FPERIOD_OVERRIDE=FQ","FILING_STATUS=OR","EQY_CONSOLIDATED=Y","SCALING_FORMAT=MLN","Sort=A","Dates=H","DateFormat=P","Fill=—","Direction=H","UseDPDF=Y")</f>
        <v>#NAME?</v>
      </c>
      <c r="CA504" s="3" t="e">
        <f ca="1">_xll.BDH($C$503,"BS_LT_BORROW","FQ1 2014","FQ1 2014","Currency=INR","Period=FQ","BEST_FPERIOD_OVERRIDE=FQ","FILING_STATUS=OR","EQY_CONSOLIDATED=Y","SCALING_FORMAT=MLN","Sort=A","Dates=H","DateFormat=P","Fill=—","Direction=H","UseDPDF=Y")</f>
        <v>#NAME?</v>
      </c>
      <c r="CB504" s="2" t="e">
        <f ca="1">_xll.BDH($C$503,"TOT_DEBT_TO_EBITDA","FQ1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04" s="2" t="e">
        <f ca="1">_xll.BDH($C$503,"NET_DEBT_TO_EBITDA","FQ1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04" s="2" t="e">
        <f ca="1">_xll.BDH($C$503,"TOTAL_DEBT_TO_EBIT","FQ1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04" s="2" t="e">
        <f ca="1">_xll.BDH($C$503,"NET_DEBT_TO_EBIT","FQ1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04" s="2" t="e">
        <f ca="1">_xll.BDH($C$503,"EBITDA_TO_INTEREST_EXPN","FQ1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04" s="2" t="e">
        <f ca="1">_xll.BDH($C$503,"COM_EQY_TO_TOT_ASSET","FQ1 2014","FQ1 2014","Currency=INR","Period=FQ","BEST_FPERIOD_OVERRIDE=FQ","FILING_STATUS=OR","EQY_CONSOLIDATED=Y","Sort=A","Dates=H","DateFormat=P","Fill=—","Direction=H","UseDPDF=Y")</f>
        <v>#NAME?</v>
      </c>
      <c r="CH504" s="2" t="e">
        <f ca="1">_xll.BDH($C$503,"LT_DEBT_TO_TOT_EQY","FQ1 2014","FQ1 2014","Currency=INR","Period=FQ","BEST_FPERIOD_OVERRIDE=FQ","FILING_STATUS=OR","EQY_CONSOLIDATED=Y","Sort=A","Dates=H","DateFormat=P","Fill=—","Direction=H","UseDPDF=Y")</f>
        <v>#NAME?</v>
      </c>
      <c r="CI504" s="2" t="e">
        <f ca="1">_xll.BDH($C$503,"LT_DEBT_TO_TOT_CAP","FQ1 2014","FQ1 2014","Currency=INR","Period=FQ","BEST_FPERIOD_OVERRIDE=FQ","FILING_STATUS=OR","EQY_CONSOLIDATED=Y","Sort=A","Dates=H","DateFormat=P","Fill=—","Direction=H","UseDPDF=Y")</f>
        <v>#NAME?</v>
      </c>
      <c r="CJ504" s="2" t="e">
        <f ca="1">_xll.BDH($C$503,"LT_DEBT_TO_TOT_ASSET","FQ1 2014","FQ1 2014","Currency=INR","Period=FQ","BEST_FPERIOD_OVERRIDE=FQ","FILING_STATUS=OR","EQY_CONSOLIDATED=Y","Sort=A","Dates=H","DateFormat=P","Fill=—","Direction=H","UseDPDF=Y")</f>
        <v>#NAME?</v>
      </c>
      <c r="CK504" s="2" t="e">
        <f ca="1">_xll.BDH($C$503,"TOT_DEBT_TO_TOT_EQY","FQ1 2014","FQ1 2014","Currency=INR","Period=FQ","BEST_FPERIOD_OVERRIDE=FQ","FILING_STATUS=OR","EQY_CONSOLIDATED=Y","Sort=A","Dates=H","DateFormat=P","Fill=—","Direction=H","UseDPDF=Y")</f>
        <v>#NAME?</v>
      </c>
      <c r="CL504" s="2" t="e">
        <f ca="1">_xll.BDH($C$503,"TOT_DEBT_TO_TOT_CAP","FQ1 2014","FQ1 2014","Currency=INR","Period=FQ","BEST_FPERIOD_OVERRIDE=FQ","FILING_STATUS=OR","EQY_CONSOLIDATED=Y","Sort=A","Dates=H","DateFormat=P","Fill=—","Direction=H","UseDPDF=Y")</f>
        <v>#NAME?</v>
      </c>
      <c r="CM504" s="2" t="e">
        <f ca="1">_xll.BDH($C$503,"TOT_DEBT_TO_TOT_ASSET","FQ1 2014","FQ1 2014","Currency=INR","Period=FQ","BEST_FPERIOD_OVERRIDE=FQ","FILING_STATUS=OR","EQY_CONSOLIDATED=Y","Sort=A","Dates=H","DateFormat=P","Fill=—","Direction=H","UseDPDF=Y")</f>
        <v>#NAME?</v>
      </c>
      <c r="CN504" s="2" t="e">
        <f ca="1">_xll.BDH($C$503,"NET_DEBT_TO_SHRHLDR_EQTY","FQ1 2014","FQ1 2014","Currency=INR","Period=FQ","BEST_FPERIOD_OVERRIDE=FQ","FILING_STATUS=OR","EQY_CONSOLIDATED=Y","Sort=A","Dates=H","DateFormat=P","Fill=—","Direction=H","UseDPDF=Y")</f>
        <v>#NAME?</v>
      </c>
      <c r="CO504" s="2" t="e">
        <f ca="1">_xll.BDH($C$503,"NET_DEBT_%_CAPITAL","FQ1 2014","FQ1 2014","Currency=INR","Period=FQ","BEST_FPERIOD_OVERRIDE=FQ","FILING_STATUS=OR","EQY_CONSOLIDATED=Y","Sort=A","Dates=H","DateFormat=P","Fill=—","Direction=H","UseDPDF=Y")</f>
        <v>#NAME?</v>
      </c>
      <c r="CP504" s="3" t="e">
        <f ca="1">_xll.BDH($C$503,"EBITDA","FQ1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04" s="3" t="e">
        <f ca="1">_xll.BDH($C$503,"EBITDA_AFTER_CAPEX","FQ1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04" s="3" t="e">
        <f ca="1">_xll.BDH($C$503,"IS_OPER_INC","FQ1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04" s="2" t="e">
        <f ca="1">_xll.BDH($C$503,"CASH_RATIO","FQ1 2014","FQ1 2014","Currency=INR","Period=FQ","BEST_FPERIOD_OVERRIDE=FQ","FILING_STATUS=OR","EQY_CONSOLIDATED=Y","Sort=A","Dates=H","DateFormat=P","Fill=—","Direction=H","UseDPDF=Y")</f>
        <v>#NAME?</v>
      </c>
      <c r="CT504" s="2" t="e">
        <f ca="1">_xll.BDH($C$503,"CUR_RATIO","FQ1 2014","FQ1 2014","Currency=INR","Period=FQ","BEST_FPERIOD_OVERRIDE=FQ","FILING_STATUS=OR","EQY_CONSOLIDATED=Y","Sort=A","Dates=H","DateFormat=P","Fill=—","Direction=H","UseDPDF=Y")</f>
        <v>#NAME?</v>
      </c>
      <c r="CU504" s="2" t="e">
        <f ca="1">_xll.BDH($C$503,"QUICK_RATIO","FQ1 2014","FQ1 2014","Currency=INR","Period=FQ","BEST_FPERIOD_OVERRIDE=FQ","FILING_STATUS=OR","EQY_CONSOLIDATED=Y","Sort=A","Dates=H","DateFormat=P","Fill=—","Direction=H","UseDPDF=Y")</f>
        <v>#NAME?</v>
      </c>
      <c r="CV504" s="2" t="e">
        <f ca="1">_xll.BDH($C$503,"ALTMAN_Z_SCORE","FQ1 2014","FQ1 2014","Currency=INR","Period=FQ","BEST_FPERIOD_OVERRIDE=FQ","FILING_STATUS=OR","EQY_CONSOLIDATED=Y","Sort=A","Dates=H","DateFormat=P","Fill=—","Direction=H","UseDPDF=Y")</f>
        <v>#NAME?</v>
      </c>
      <c r="CW504" s="4" t="e">
        <f ca="1">_xll.BDH($C$503,"ACCT_RCV_TURN","FQ1 2014","FQ1 2014","Currency=INR","Period=FQ","BEST_FPERIOD_OVERRIDE=FQ","FILING_STATUS=OR","EQY_CONSOLIDATED=Y","FA_ADJUSTED=GAAP","Sort=A","Dates=H","DateFormat=P","Fill=—","Direction=H","UseDPDF=Y")</f>
        <v>#NAME?</v>
      </c>
      <c r="CX504" s="2" t="e">
        <f ca="1">_xll.BDH($C$503,"ACCT_RCV_DAYS","FQ1 2014","FQ1 2014","Currency=INR","Period=FQ","BEST_FPERIOD_OVERRIDE=FQ","FILING_STATUS=OR","EQY_CONSOLIDATED=Y","FA_ADJUSTED=GAAP","Sort=A","Dates=H","DateFormat=P","Fill=—","Direction=H","UseDPDF=Y")</f>
        <v>#NAME?</v>
      </c>
      <c r="CY504" s="4" t="e">
        <f ca="1">_xll.BDH($C$503,"INVENT_TURN","FQ1 2014","FQ1 2014","Currency=INR","Period=FQ","BEST_FPERIOD_OVERRIDE=FQ","FILING_STATUS=OR","EQY_CONSOLIDATED=Y","FA_ADJUSTED=GAAP","Sort=A","Dates=H","DateFormat=P","Fill=—","Direction=H","UseDPDF=Y")</f>
        <v>#NAME?</v>
      </c>
      <c r="CZ504" s="2" t="e">
        <f ca="1">_xll.BDH($C$503,"INVENT_DAYS","FQ1 2014","FQ1 2014","Currency=INR","Period=FQ","BEST_FPERIOD_OVERRIDE=FQ","FILING_STATUS=OR","EQY_CONSOLIDATED=Y","FA_ADJUSTED=GAAP","Sort=A","Dates=H","DateFormat=P","Fill=—","Direction=H","UseDPDF=Y")</f>
        <v>#NAME?</v>
      </c>
      <c r="DA504" s="4" t="e">
        <f ca="1">_xll.BDH($C$503,"ACCOUNTS_PAYABLE_TURNOVER","FQ1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04" s="2" t="e">
        <f ca="1">_xll.BDH($C$503,"ACCOUNTS_PAYABLE_TURNOVER_DAYS","FQ1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04" s="4" t="e">
        <f ca="1">_xll.BDH($C$503,"CASH_CONVERSION_CYCLE","FQ1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04" s="4" t="e">
        <f ca="1">_xll.BDH($C$503,"INV_TO_CASH_DAYS","FQ1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04" s="5" t="e">
        <f ca="1">_xll.BDH($C$503,"BS_INVENTORIES","FQ1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04" s="3" t="e">
        <f ca="1">_xll.BDH($C$503,"INVTRY_RAW_MATERIALS","FQ1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04" s="3" t="e">
        <f ca="1">_xll.BDH($C$503,"INVTRY_IN_PROGRESS","FQ1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04" s="3" t="e">
        <f ca="1">_xll.BDH($C$503,"INVTRY_FINISHED_GOODS","FQ1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04" s="3" t="e">
        <f ca="1">_xll.BDH($C$503,"BS_OTHER_INV","FQ1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05" spans="1:113" x14ac:dyDescent="0.3">
      <c r="A505" s="6"/>
      <c r="B505" s="6"/>
      <c r="C505" s="6"/>
      <c r="D505" s="6"/>
      <c r="E505" t="s">
        <v>79</v>
      </c>
      <c r="F505" t="e">
        <f ca="1">_xll.BDH($C$503,"RETURN_COM_EQY","FQ2 2014","FQ2 2014","Currency=INR","Period=FQ","BEST_FPERIOD_OVERRIDE=FQ","FILING_STATUS=OR","EQY_CONSOLIDATED=Y","FA_ADJUSTED=GAAP","Sort=A","Dates=H","DateFormat=P","Fill=—","Direction=H","UseDPDF=Y")</f>
        <v>#NAME?</v>
      </c>
      <c r="G505" t="e">
        <f ca="1">_xll.BDH($C$503,"RETURN_ON_ASSET","FQ2 2014","FQ2 2014","Currency=INR","Period=FQ","BEST_FPERIOD_OVERRIDE=FQ","FILING_STATUS=OR","EQY_CONSOLIDATED=Y","FA_ADJUSTED=GAAP","Sort=A","Dates=H","DateFormat=P","Fill=—","Direction=H","UseDPDF=Y")</f>
        <v>#NAME?</v>
      </c>
      <c r="H505" t="e">
        <f ca="1">_xll.BDH($C$503,"RETURN_ON_CAP","FQ2 2014","FQ2 2014","Currency=INR","Period=FQ","BEST_FPERIOD_OVERRIDE=FQ","FILING_STATUS=OR","EQY_CONSOLIDATED=Y","FA_ADJUSTED=GAAP","Sort=A","Dates=H","DateFormat=P","Fill=—","Direction=H","UseDPDF=Y")</f>
        <v>#NAME?</v>
      </c>
      <c r="I505" t="e">
        <f ca="1">_xll.BDH($C$503,"RETURN_ON_INV_CAPITAL","FQ2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05" t="e">
        <f ca="1">_xll.BDH($C$503,"EBITDA_TO_REVENUE","FQ2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05" t="e">
        <f ca="1">_xll.BDH($C$503,"OPER_MARGIN","FQ2 2014","FQ2 2014","Currency=INR","Period=FQ","BEST_FPERIOD_OVERRIDE=FQ","FILING_STATUS=OR","EQY_CONSOLIDATED=Y","FA_ADJUSTED=GAAP","Sort=A","Dates=H","DateFormat=P","Fill=—","Direction=H","UseDPDF=Y")</f>
        <v>#NAME?</v>
      </c>
      <c r="L505" t="e">
        <f ca="1">_xll.BDH($C$503,"INCREMENTAL_OPERATING_MARGIN","FQ2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05" t="e">
        <f ca="1">_xll.BDH($C$503,"PRETAX_INC_TO_NET_SALES","FQ2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05" t="e">
        <f ca="1">_xll.BDH($C$503,"INC_BEF_XO_ITEMS_TO_NET_SALES","FQ2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05" t="e">
        <f ca="1">_xll.BDH($C$503,"PROF_MARGIN","FQ2 2014","FQ2 2014","Currency=INR","Period=FQ","BEST_FPERIOD_OVERRIDE=FQ","FILING_STATUS=OR","EQY_CONSOLIDATED=Y","FA_ADJUSTED=GAAP","Sort=A","Dates=H","DateFormat=P","Fill=—","Direction=H","UseDPDF=Y")</f>
        <v>#NAME?</v>
      </c>
      <c r="P505" t="e">
        <f ca="1">_xll.BDH($C$503,"NET_INCOME_TO_COMMON_MARGIN","FQ2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05" t="e">
        <f ca="1">_xll.BDH($C$503,"EFF_TAX_RATE","FQ2 2014","FQ2 2014","Currency=INR","Period=FQ","BEST_FPERIOD_OVERRIDE=FQ","FILING_STATUS=OR","EQY_CONSOLIDATED=Y","FA_ADJUSTED=GAAP","Sort=A","Dates=H","DateFormat=P","Fill=—","Direction=H","UseDPDF=Y")</f>
        <v>#NAME?</v>
      </c>
      <c r="R505" t="e">
        <f ca="1">_xll.BDH($C$503,"DVD_PAYOUT_RATIO","FQ2 2014","FQ2 2014","Currency=INR","Period=FQ","BEST_FPERIOD_OVERRIDE=FQ","FILING_STATUS=OR","EQY_CONSOLIDATED=Y","FA_ADJUSTED=GAAP","Sort=A","Dates=H","DateFormat=P","Fill=—","Direction=H","UseDPDF=Y")</f>
        <v>#NAME?</v>
      </c>
      <c r="S505" t="e">
        <f ca="1">_xll.BDH($C$503,"SUSTAIN_GROWTH_RT","FQ2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05" s="2" t="e">
        <f ca="1">_xll.BDH($C$503,"SALES_GROWTH","FQ2 2014","FQ2 2014","Currency=INR","Period=FQ","BEST_FPERIOD_OVERRIDE=FQ","FILING_STATUS=OR","EQY_CONSOLIDATED=Y","FA_ADJUSTED=GAAP","Sort=A","Dates=H","DateFormat=P","Fill=—","Direction=H","UseDPDF=Y")</f>
        <v>#NAME?</v>
      </c>
      <c r="U505" s="2" t="e">
        <f ca="1">_xll.BDH($C$503,"EBITDA_GROWTH","FQ2 2014","FQ2 2014","Currency=INR","Period=FQ","BEST_FPERIOD_OVERRIDE=FQ","FILING_STATUS=OR","EQY_CONSOLIDATED=Y","FA_ADJUSTED=GAAP","Sort=A","Dates=H","DateFormat=P","Fill=—","Direction=H","UseDPDF=Y")</f>
        <v>#NAME?</v>
      </c>
      <c r="V505" s="2" t="e">
        <f ca="1">_xll.BDH($C$503,"OPER_INC_GROWTH","FQ2 2014","FQ2 2014","Currency=INR","Period=FQ","BEST_FPERIOD_OVERRIDE=FQ","FILING_STATUS=OR","EQY_CONSOLIDATED=Y","FA_ADJUSTED=GAAP","Sort=A","Dates=H","DateFormat=P","Fill=—","Direction=H","UseDPDF=Y")</f>
        <v>#NAME?</v>
      </c>
      <c r="W505" s="2" t="e">
        <f ca="1">_xll.BDH($C$503,"EARN_FOR_COM_GROWTH","FQ2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05" s="2" t="e">
        <f ca="1">_xll.BDH($C$503,"DILUTED_EPS_AFT_XO_ITEMS_GROWTH","FQ2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05" s="2" t="e">
        <f ca="1">_xll.BDH($C$503,"DIVIDEND_PER_SHARE_1_YEAR_GROWTH","FQ2 2014","FQ2 2014","Currency=INR","Period=FQ","BEST_FPERIOD_OVERRIDE=FQ","FILING_STATUS=OR","EQY_CONSOLIDATED=Y","Sort=A","Dates=H","DateFormat=P","Fill=—","Direction=H","UseDPDF=Y")</f>
        <v>#NAME?</v>
      </c>
      <c r="Z505" s="2" t="e">
        <f ca="1">_xll.BDH($C$503,"ACCOUNTS_RECEIVABLE_GROWTH","FQ2 2014","FQ2 2014","Currency=INR","Period=FQ","BEST_FPERIOD_OVERRIDE=FQ","FILING_STATUS=OR","EQY_CONSOLIDATED=Y","Sort=A","Dates=H","DateFormat=P","Fill=—","Direction=H","UseDPDF=Y")</f>
        <v>#NAME?</v>
      </c>
      <c r="AA505" s="2" t="e">
        <f ca="1">_xll.BDH($C$503,"INVENTORY_GROWTH","FQ2 2014","FQ2 2014","Currency=INR","Period=FQ","BEST_FPERIOD_OVERRIDE=FQ","FILING_STATUS=OR","EQY_CONSOLIDATED=Y","Sort=A","Dates=H","DateFormat=P","Fill=—","Direction=H","UseDPDF=Y")</f>
        <v>#NAME?</v>
      </c>
      <c r="AB505" s="2" t="e">
        <f ca="1">_xll.BDH($C$503,"NET_FIXED_ASSETS_1_YEAR_GROWTH","FQ2 2014","FQ2 2014","Currency=INR","Period=FQ","BEST_FPERIOD_OVERRIDE=FQ","FILING_STATUS=OR","EQY_CONSOLIDATED=Y","Sort=A","Dates=H","DateFormat=P","Fill=—","Direction=H","UseDPDF=Y")</f>
        <v>#NAME?</v>
      </c>
      <c r="AC505" s="2" t="e">
        <f ca="1">_xll.BDH($C$503,"ASSET_GROWTH","FQ2 2014","FQ2 2014","Currency=INR","Period=FQ","BEST_FPERIOD_OVERRIDE=FQ","FILING_STATUS=OR","EQY_CONSOLIDATED=Y","Sort=A","Dates=H","DateFormat=P","Fill=—","Direction=H","UseDPDF=Y")</f>
        <v>#NAME?</v>
      </c>
      <c r="AD505" s="2" t="e">
        <f ca="1">_xll.BDH($C$503,"MODIFIED_WORK_CAP_GROWTH","FQ2 2014","FQ2 2014","Currency=INR","Period=FQ","BEST_FPERIOD_OVERRIDE=FQ","FILING_STATUS=OR","EQY_CONSOLIDATED=Y","Sort=A","Dates=H","DateFormat=P","Fill=—","Direction=H","UseDPDF=Y")</f>
        <v>#NAME?</v>
      </c>
      <c r="AE505" s="2" t="e">
        <f ca="1">_xll.BDH($C$503,"WORK_CAP_GROWTH","FQ2 2014","FQ2 2014","Currency=INR","Period=FQ","BEST_FPERIOD_OVERRIDE=FQ","FILING_STATUS=OR","EQY_CONSOLIDATED=Y","Sort=A","Dates=H","DateFormat=P","Fill=—","Direction=H","UseDPDF=Y")</f>
        <v>#NAME?</v>
      </c>
      <c r="AF505" s="2" t="e">
        <f ca="1">_xll.BDH($C$503,"ACCOUNTS_PAYABLE_GROWTH_1YR","FQ2 2014","FQ2 2014","Currency=INR","Period=FQ","BEST_FPERIOD_OVERRIDE=FQ","FILING_STATUS=OR","EQY_CONSOLIDATED=Y","Sort=A","Dates=H","DateFormat=P","Fill=—","Direction=H","UseDPDF=Y")</f>
        <v>#NAME?</v>
      </c>
      <c r="AG505" s="2" t="e">
        <f ca="1">_xll.BDH($C$503,"SHORT_TERM_DEBT_1_YEAR_GROWTH","FQ2 2014","FQ2 2014","Currency=INR","Period=FQ","BEST_FPERIOD_OVERRIDE=FQ","FILING_STATUS=OR","EQY_CONSOLIDATED=Y","Sort=A","Dates=H","DateFormat=P","Fill=—","Direction=H","UseDPDF=Y")</f>
        <v>#NAME?</v>
      </c>
      <c r="AH505" s="2" t="e">
        <f ca="1">_xll.BDH($C$503,"TOTAL_DEBT_1_YEAR_GROWTH","FQ2 2014","FQ2 2014","Currency=INR","Period=FQ","BEST_FPERIOD_OVERRIDE=FQ","FILING_STATUS=OR","EQY_CONSOLIDATED=Y","Sort=A","Dates=H","DateFormat=P","Fill=—","Direction=H","UseDPDF=Y")</f>
        <v>#NAME?</v>
      </c>
      <c r="AI505" s="2" t="e">
        <f ca="1">_xll.BDH($C$503,"TOTAL_EQUITY_1_YEAR_GROWTH","FQ2 2014","FQ2 2014","Currency=INR","Period=FQ","BEST_FPERIOD_OVERRIDE=FQ","FILING_STATUS=OR","EQY_CONSOLIDATED=Y","Sort=A","Dates=H","DateFormat=P","Fill=—","Direction=H","UseDPDF=Y")</f>
        <v>#NAME?</v>
      </c>
      <c r="AJ505" s="2" t="e">
        <f ca="1">_xll.BDH($C$503,"GROWTH_IN_CAP","FQ2 2014","FQ2 2014","Currency=INR","Period=FQ","BEST_FPERIOD_OVERRIDE=FQ","FILING_STATUS=OR","EQY_CONSOLIDATED=Y","Sort=A","Dates=H","DateFormat=P","Fill=—","Direction=H","UseDPDF=Y")</f>
        <v>#NAME?</v>
      </c>
      <c r="AK505" s="2" t="e">
        <f ca="1">_xll.BDH($C$503,"BVPS_GROWTH","FQ2 2014","FQ2 2014","Currency=INR","Period=FQ","BEST_FPERIOD_OVERRIDE=FQ","FILING_STATUS=OR","EQY_CONSOLIDATED=Y","Sort=A","Dates=H","DateFormat=P","Fill=—","Direction=H","UseDPDF=Y")</f>
        <v>#NAME?</v>
      </c>
      <c r="AL505" s="2" t="e">
        <f ca="1">_xll.BDH($C$503,"CASH_FLOW_GROWTH","FQ2 2014","FQ2 2014","Currency=INR","Period=FQ","BEST_FPERIOD_OVERRIDE=FQ","FILING_STATUS=OR","EQY_CONSOLIDATED=Y","Sort=A","Dates=H","DateFormat=P","Fill=—","Direction=H","UseDPDF=Y")</f>
        <v>#NAME?</v>
      </c>
      <c r="AM505" s="2" t="e">
        <f ca="1">_xll.BDH($C$503,"GEO_GROW_NET_SALES","FQ2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05" s="2" t="e">
        <f ca="1">_xll.BDH($C$503,"GEO_GROW_EBITDA","FQ2 2014","FQ2 2014","Currency=INR","Period=FQ","BEST_FPERIOD_OVERRIDE=FQ","FILING_STATUS=OR","EQY_CONSOLIDATED=Y","FA_ADJUSTED=GAAP","Sort=A","Dates=H","DateFormat=P","Fill=—","Direction=H","UseDPDF=Y")</f>
        <v>#NAME?</v>
      </c>
      <c r="AO505" s="2" t="e">
        <f ca="1">_xll.BDH($C$503,"GEO_GROW_OPER_INC","FQ2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05" s="2" t="e">
        <f ca="1">_xll.BDH($C$503,"NET_INCOME_TO_COMMON_5_YR_GROWTH","FQ2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05" s="2" t="e">
        <f ca="1">_xll.BDH($C$503,"5Y_GEO_GROWTH_DILUTED_EPS","FQ2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05" s="2" t="e">
        <f ca="1">_xll.BDH($C$503,"GEO_GROW_DVD_PER_SH","FQ2 2014","FQ2 2014","Currency=INR","Period=FQ","BEST_FPERIOD_OVERRIDE=FQ","FILING_STATUS=OR","EQY_CONSOLIDATED=Y","Sort=A","Dates=H","DateFormat=P","Fill=—","Direction=H","UseDPDF=Y")</f>
        <v>#NAME?</v>
      </c>
      <c r="AS505" s="2" t="e">
        <f ca="1">_xll.BDH($C$503,"ACCOUNTS_RECEIVABLE_5_YR_GROWTH","FQ2 2014","FQ2 2014","Currency=INR","Period=FQ","BEST_FPERIOD_OVERRIDE=FQ","FILING_STATUS=OR","EQY_CONSOLIDATED=Y","Sort=A","Dates=H","DateFormat=P","Fill=—","Direction=H","UseDPDF=Y")</f>
        <v>#NAME?</v>
      </c>
      <c r="AT505" s="2" t="e">
        <f ca="1">_xll.BDH($C$503,"INVENTORY_5_YEAR_GROWTH","FQ2 2014","FQ2 2014","Currency=INR","Period=FQ","BEST_FPERIOD_OVERRIDE=FQ","FILING_STATUS=OR","EQY_CONSOLIDATED=Y","Sort=A","Dates=H","DateFormat=P","Fill=—","Direction=H","UseDPDF=Y")</f>
        <v>#NAME?</v>
      </c>
      <c r="AU505" s="2" t="e">
        <f ca="1">_xll.BDH($C$503,"NET_FIXED_ASSETS_5_YEAR_GROWTH","FQ2 2014","FQ2 2014","Currency=INR","Period=FQ","BEST_FPERIOD_OVERRIDE=FQ","FILING_STATUS=OR","EQY_CONSOLIDATED=Y","Sort=A","Dates=H","DateFormat=P","Fill=—","Direction=H","UseDPDF=Y")</f>
        <v>#NAME?</v>
      </c>
      <c r="AV505" s="2" t="e">
        <f ca="1">_xll.BDH($C$503,"GEO_GROW_TOT_ASSET","FQ2 2014","FQ2 2014","Currency=INR","Period=FQ","BEST_FPERIOD_OVERRIDE=FQ","FILING_STATUS=OR","EQY_CONSOLIDATED=Y","Sort=A","Dates=H","DateFormat=P","Fill=—","Direction=H","UseDPDF=Y")</f>
        <v>#NAME?</v>
      </c>
      <c r="AW505" s="2" t="e">
        <f ca="1">_xll.BDH($C$503,"MODIFIED_WORKING_CPTL_5YR_GRWTH","FQ2 2014","FQ2 2014","Currency=INR","Period=FQ","BEST_FPERIOD_OVERRIDE=FQ","FILING_STATUS=OR","EQY_CONSOLIDATED=Y","Sort=A","Dates=H","DateFormat=P","Fill=—","Direction=H","UseDPDF=Y")</f>
        <v>#NAME?</v>
      </c>
      <c r="AX505" s="2" t="e">
        <f ca="1">_xll.BDH($C$503,"WORKING_CAPITAL_5_YEAR_GROWTH","FQ2 2014","FQ2 2014","Currency=INR","Period=FQ","BEST_FPERIOD_OVERRIDE=FQ","FILING_STATUS=OR","EQY_CONSOLIDATED=Y","Sort=A","Dates=H","DateFormat=P","Fill=—","Direction=H","UseDPDF=Y")</f>
        <v>#NAME?</v>
      </c>
      <c r="AY505" s="2" t="e">
        <f ca="1">_xll.BDH($C$503,"ACCOUNTS_PAYABLE_5_YEAR_GROWTH","FQ2 2014","FQ2 2014","Currency=INR","Period=FQ","BEST_FPERIOD_OVERRIDE=FQ","FILING_STATUS=OR","EQY_CONSOLIDATED=Y","Sort=A","Dates=H","DateFormat=P","Fill=—","Direction=H","UseDPDF=Y")</f>
        <v>#NAME?</v>
      </c>
      <c r="AZ505" s="2" t="e">
        <f ca="1">_xll.BDH($C$503,"SHORT_TERM_DEBT_5_YEAR_GROWTH","FQ2 2014","FQ2 2014","Currency=INR","Period=FQ","BEST_FPERIOD_OVERRIDE=FQ","FILING_STATUS=OR","EQY_CONSOLIDATED=Y","Sort=A","Dates=H","DateFormat=P","Fill=—","Direction=H","UseDPDF=Y")</f>
        <v>#NAME?</v>
      </c>
      <c r="BA505" s="2" t="e">
        <f ca="1">_xll.BDH($C$503,"TOTAL_DEBT_5_YEAR_GROWTH","FQ2 2014","FQ2 2014","Currency=INR","Period=FQ","BEST_FPERIOD_OVERRIDE=FQ","FILING_STATUS=OR","EQY_CONSOLIDATED=Y","Sort=A","Dates=H","DateFormat=P","Fill=—","Direction=H","UseDPDF=Y")</f>
        <v>#NAME?</v>
      </c>
      <c r="BB505" s="2" t="e">
        <f ca="1">_xll.BDH($C$503,"GEO_GROW_TOT_SHRHLDR_EQY","FQ2 2014","FQ2 2014","Currency=INR","Period=FQ","BEST_FPERIOD_OVERRIDE=FQ","FILING_STATUS=OR","EQY_CONSOLIDATED=Y","Sort=A","Dates=H","DateFormat=P","Fill=—","Direction=H","UseDPDF=Y")</f>
        <v>#NAME?</v>
      </c>
      <c r="BC505" s="2" t="e">
        <f ca="1">_xll.BDH($C$503,"TOTAL_CAPITAL_5_YEAR_GROWTH","FQ2 2014","FQ2 2014","Currency=INR","Period=FQ","BEST_FPERIOD_OVERRIDE=FQ","FILING_STATUS=OR","EQY_CONSOLIDATED=Y","Sort=A","Dates=H","DateFormat=P","Fill=—","Direction=H","UseDPDF=Y")</f>
        <v>#NAME?</v>
      </c>
      <c r="BD505" s="2" t="e">
        <f ca="1">_xll.BDH($C$503,"GEO_GROW_BOOK_VAL","FQ2 2014","FQ2 2014","Currency=INR","Period=FQ","BEST_FPERIOD_OVERRIDE=FQ","FILING_STATUS=OR","EQY_CONSOLIDATED=Y","Sort=A","Dates=H","DateFormat=P","Fill=—","Direction=H","UseDPDF=Y")</f>
        <v>#NAME?</v>
      </c>
      <c r="BE505" s="2" t="e">
        <f ca="1">_xll.BDH($C$503,"GEO_GROW_CASH_OPER_ACT","FQ2 2014","FQ2 2014","Currency=INR","Period=FQ","BEST_FPERIOD_OVERRIDE=FQ","FILING_STATUS=OR","EQY_CONSOLIDATED=Y","Sort=A","Dates=H","DateFormat=P","Fill=—","Direction=H","UseDPDF=Y")</f>
        <v>#NAME?</v>
      </c>
      <c r="BF505" s="2" t="e">
        <f ca="1">_xll.BDH($C$503,"REVENUE_SEQUENTIAL_GROWTH","FQ2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05" s="2" t="e">
        <f ca="1">_xll.BDH($C$503,"EBITDA_SEQUENTIAL_GROWTH","FQ2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05" s="2" t="e">
        <f ca="1">_xll.BDH($C$503,"OPERATING_INCOME_SEQ_GROWTH","FQ2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05" s="2" t="e">
        <f ca="1">_xll.BDH($C$503,"NET_INCOME_TO_COMMON_SEQ_GROWTH","FQ2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05" s="2" t="e">
        <f ca="1">_xll.BDH($C$503,"EPS_DILUTED_SEQUENTIAL_GROWTH","FQ2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05" s="2" t="e">
        <f ca="1">_xll.BDH($C$503,"DPS_SEQUENTIAL_GROWTH","FQ2 2014","FQ2 2014","Currency=INR","Period=FQ","BEST_FPERIOD_OVERRIDE=FQ","FILING_STATUS=OR","EQY_CONSOLIDATED=Y","Sort=A","Dates=H","DateFormat=P","Fill=—","Direction=H","UseDPDF=Y")</f>
        <v>#NAME?</v>
      </c>
      <c r="BL505" s="2" t="e">
        <f ca="1">_xll.BDH($C$503,"ACCOUNTS_RECEIVABLE_SEQ_GROWTH","FQ2 2014","FQ2 2014","Currency=INR","Period=FQ","BEST_FPERIOD_OVERRIDE=FQ","FILING_STATUS=OR","EQY_CONSOLIDATED=Y","Sort=A","Dates=H","DateFormat=P","Fill=—","Direction=H","UseDPDF=Y")</f>
        <v>#NAME?</v>
      </c>
      <c r="BM505" s="2" t="e">
        <f ca="1">_xll.BDH($C$503,"INVENTORY_SEQUENTIAL_GROWTH","FQ2 2014","FQ2 2014","Currency=INR","Period=FQ","BEST_FPERIOD_OVERRIDE=FQ","FILING_STATUS=OR","EQY_CONSOLIDATED=Y","Sort=A","Dates=H","DateFormat=P","Fill=—","Direction=H","UseDPDF=Y")</f>
        <v>#NAME?</v>
      </c>
      <c r="BN505" s="2" t="e">
        <f ca="1">_xll.BDH($C$503,"FIXED_ASSETS_SEQUENTIAL_GROWTH","FQ2 2014","FQ2 2014","Currency=INR","Period=FQ","BEST_FPERIOD_OVERRIDE=FQ","FILING_STATUS=OR","EQY_CONSOLIDATED=Y","Sort=A","Dates=H","DateFormat=P","Fill=—","Direction=H","UseDPDF=Y")</f>
        <v>#NAME?</v>
      </c>
      <c r="BO505" s="2" t="e">
        <f ca="1">_xll.BDH($C$503,"TOTAL_ASSETS_SEQUENTIAL_GROWTH","FQ2 2014","FQ2 2014","Currency=INR","Period=FQ","BEST_FPERIOD_OVERRIDE=FQ","FILING_STATUS=OR","EQY_CONSOLIDATED=Y","Sort=A","Dates=H","DateFormat=P","Fill=—","Direction=H","UseDPDF=Y")</f>
        <v>#NAME?</v>
      </c>
      <c r="BP505" s="2" t="e">
        <f ca="1">_xll.BDH($C$503,"MODIFIED_WORKING_CPTL_SEQ_GRWTH","FQ2 2014","FQ2 2014","Currency=INR","Period=FQ","BEST_FPERIOD_OVERRIDE=FQ","FILING_STATUS=OR","EQY_CONSOLIDATED=Y","Sort=A","Dates=H","DateFormat=P","Fill=—","Direction=H","UseDPDF=Y")</f>
        <v>#NAME?</v>
      </c>
      <c r="BQ505" s="2" t="e">
        <f ca="1">_xll.BDH($C$503,"WORKING_CAPITAL_SEQ_GROWTH","FQ2 2014","FQ2 2014","Currency=INR","Period=FQ","BEST_FPERIOD_OVERRIDE=FQ","FILING_STATUS=OR","EQY_CONSOLIDATED=Y","Sort=A","Dates=H","DateFormat=P","Fill=—","Direction=H","UseDPDF=Y")</f>
        <v>#NAME?</v>
      </c>
      <c r="BR505" s="2" t="e">
        <f ca="1">_xll.BDH($C$503,"ACCOUNTS_PAYABLE_SEQ_GROWTH","FQ2 2014","FQ2 2014","Currency=INR","Period=FQ","BEST_FPERIOD_OVERRIDE=FQ","FILING_STATUS=OR","EQY_CONSOLIDATED=Y","Sort=A","Dates=H","DateFormat=P","Fill=—","Direction=H","UseDPDF=Y")</f>
        <v>#NAME?</v>
      </c>
      <c r="BS505" s="2" t="e">
        <f ca="1">_xll.BDH($C$503,"ST_DEBT_SEQUENTIAL_GROWTH","FQ2 2014","FQ2 2014","Currency=INR","Period=FQ","BEST_FPERIOD_OVERRIDE=FQ","FILING_STATUS=OR","EQY_CONSOLIDATED=Y","Sort=A","Dates=H","DateFormat=P","Fill=—","Direction=H","UseDPDF=Y")</f>
        <v>#NAME?</v>
      </c>
      <c r="BT505" s="2" t="e">
        <f ca="1">_xll.BDH($C$503,"TOTAL_DEBT_SEQUENTIAL_GROWTH","FQ2 2014","FQ2 2014","Currency=INR","Period=FQ","BEST_FPERIOD_OVERRIDE=FQ","FILING_STATUS=OR","EQY_CONSOLIDATED=Y","Sort=A","Dates=H","DateFormat=P","Fill=—","Direction=H","UseDPDF=Y")</f>
        <v>#NAME?</v>
      </c>
      <c r="BU505" s="2" t="e">
        <f ca="1">_xll.BDH($C$503,"TOTAL_EQUITY_SEQUENTIAL_GROWTH","FQ2 2014","FQ2 2014","Currency=INR","Period=FQ","BEST_FPERIOD_OVERRIDE=FQ","FILING_STATUS=OR","EQY_CONSOLIDATED=Y","Sort=A","Dates=H","DateFormat=P","Fill=—","Direction=H","UseDPDF=Y")</f>
        <v>#NAME?</v>
      </c>
      <c r="BV505" s="2" t="e">
        <f ca="1">_xll.BDH($C$503,"TOTAL_CAPITAL_SEQUENTIAL_GROWTH","FQ2 2014","FQ2 2014","Currency=INR","Period=FQ","BEST_FPERIOD_OVERRIDE=FQ","FILING_STATUS=OR","EQY_CONSOLIDATED=Y","Sort=A","Dates=H","DateFormat=P","Fill=—","Direction=H","UseDPDF=Y")</f>
        <v>#NAME?</v>
      </c>
      <c r="BW505" s="2" t="e">
        <f ca="1">_xll.BDH($C$503,"BPS_SEQUENTIAL_GROWTH","FQ2 2014","FQ2 2014","Currency=INR","Period=FQ","BEST_FPERIOD_OVERRIDE=FQ","FILING_STATUS=OR","EQY_CONSOLIDATED=Y","Sort=A","Dates=H","DateFormat=P","Fill=—","Direction=H","UseDPDF=Y")</f>
        <v>#NAME?</v>
      </c>
      <c r="BX505" s="2" t="e">
        <f ca="1">_xll.BDH($C$503,"CFO_SEQUENTIAL_GROWTH","FQ2 2014","FQ2 2014","Currency=INR","Period=FQ","BEST_FPERIOD_OVERRIDE=FQ","FILING_STATUS=OR","EQY_CONSOLIDATED=Y","Sort=A","Dates=H","DateFormat=P","Fill=—","Direction=H","UseDPDF=Y")</f>
        <v>#NAME?</v>
      </c>
      <c r="BY505" s="3" t="e">
        <f ca="1">_xll.BDH($C$503,"SHORT_AND_LONG_TERM_DEBT","FQ2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05" s="3" t="e">
        <f ca="1">_xll.BDH($C$503,"BS_ST_BORROW","FQ2 2014","FQ2 2014","Currency=INR","Period=FQ","BEST_FPERIOD_OVERRIDE=FQ","FILING_STATUS=OR","EQY_CONSOLIDATED=Y","SCALING_FORMAT=MLN","Sort=A","Dates=H","DateFormat=P","Fill=—","Direction=H","UseDPDF=Y")</f>
        <v>#NAME?</v>
      </c>
      <c r="CA505" s="3" t="e">
        <f ca="1">_xll.BDH($C$503,"BS_LT_BORROW","FQ2 2014","FQ2 2014","Currency=INR","Period=FQ","BEST_FPERIOD_OVERRIDE=FQ","FILING_STATUS=OR","EQY_CONSOLIDATED=Y","SCALING_FORMAT=MLN","Sort=A","Dates=H","DateFormat=P","Fill=—","Direction=H","UseDPDF=Y")</f>
        <v>#NAME?</v>
      </c>
      <c r="CB505" s="2" t="e">
        <f ca="1">_xll.BDH($C$503,"TOT_DEBT_TO_EBITDA","FQ2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05" s="2" t="e">
        <f ca="1">_xll.BDH($C$503,"NET_DEBT_TO_EBITDA","FQ2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05" s="2" t="e">
        <f ca="1">_xll.BDH($C$503,"TOTAL_DEBT_TO_EBIT","FQ2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05" s="2" t="e">
        <f ca="1">_xll.BDH($C$503,"NET_DEBT_TO_EBIT","FQ2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05" s="2" t="e">
        <f ca="1">_xll.BDH($C$503,"EBITDA_TO_INTEREST_EXPN","FQ2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05" s="2" t="e">
        <f ca="1">_xll.BDH($C$503,"COM_EQY_TO_TOT_ASSET","FQ2 2014","FQ2 2014","Currency=INR","Period=FQ","BEST_FPERIOD_OVERRIDE=FQ","FILING_STATUS=OR","EQY_CONSOLIDATED=Y","Sort=A","Dates=H","DateFormat=P","Fill=—","Direction=H","UseDPDF=Y")</f>
        <v>#NAME?</v>
      </c>
      <c r="CH505" s="2" t="e">
        <f ca="1">_xll.BDH($C$503,"LT_DEBT_TO_TOT_EQY","FQ2 2014","FQ2 2014","Currency=INR","Period=FQ","BEST_FPERIOD_OVERRIDE=FQ","FILING_STATUS=OR","EQY_CONSOLIDATED=Y","Sort=A","Dates=H","DateFormat=P","Fill=—","Direction=H","UseDPDF=Y")</f>
        <v>#NAME?</v>
      </c>
      <c r="CI505" s="2" t="e">
        <f ca="1">_xll.BDH($C$503,"LT_DEBT_TO_TOT_CAP","FQ2 2014","FQ2 2014","Currency=INR","Period=FQ","BEST_FPERIOD_OVERRIDE=FQ","FILING_STATUS=OR","EQY_CONSOLIDATED=Y","Sort=A","Dates=H","DateFormat=P","Fill=—","Direction=H","UseDPDF=Y")</f>
        <v>#NAME?</v>
      </c>
      <c r="CJ505" s="2" t="e">
        <f ca="1">_xll.BDH($C$503,"LT_DEBT_TO_TOT_ASSET","FQ2 2014","FQ2 2014","Currency=INR","Period=FQ","BEST_FPERIOD_OVERRIDE=FQ","FILING_STATUS=OR","EQY_CONSOLIDATED=Y","Sort=A","Dates=H","DateFormat=P","Fill=—","Direction=H","UseDPDF=Y")</f>
        <v>#NAME?</v>
      </c>
      <c r="CK505" s="2" t="e">
        <f ca="1">_xll.BDH($C$503,"TOT_DEBT_TO_TOT_EQY","FQ2 2014","FQ2 2014","Currency=INR","Period=FQ","BEST_FPERIOD_OVERRIDE=FQ","FILING_STATUS=OR","EQY_CONSOLIDATED=Y","Sort=A","Dates=H","DateFormat=P","Fill=—","Direction=H","UseDPDF=Y")</f>
        <v>#NAME?</v>
      </c>
      <c r="CL505" s="2" t="e">
        <f ca="1">_xll.BDH($C$503,"TOT_DEBT_TO_TOT_CAP","FQ2 2014","FQ2 2014","Currency=INR","Period=FQ","BEST_FPERIOD_OVERRIDE=FQ","FILING_STATUS=OR","EQY_CONSOLIDATED=Y","Sort=A","Dates=H","DateFormat=P","Fill=—","Direction=H","UseDPDF=Y")</f>
        <v>#NAME?</v>
      </c>
      <c r="CM505" s="2" t="e">
        <f ca="1">_xll.BDH($C$503,"TOT_DEBT_TO_TOT_ASSET","FQ2 2014","FQ2 2014","Currency=INR","Period=FQ","BEST_FPERIOD_OVERRIDE=FQ","FILING_STATUS=OR","EQY_CONSOLIDATED=Y","Sort=A","Dates=H","DateFormat=P","Fill=—","Direction=H","UseDPDF=Y")</f>
        <v>#NAME?</v>
      </c>
      <c r="CN505" s="2" t="e">
        <f ca="1">_xll.BDH($C$503,"NET_DEBT_TO_SHRHLDR_EQTY","FQ2 2014","FQ2 2014","Currency=INR","Period=FQ","BEST_FPERIOD_OVERRIDE=FQ","FILING_STATUS=OR","EQY_CONSOLIDATED=Y","Sort=A","Dates=H","DateFormat=P","Fill=—","Direction=H","UseDPDF=Y")</f>
        <v>#NAME?</v>
      </c>
      <c r="CO505" s="2" t="e">
        <f ca="1">_xll.BDH($C$503,"NET_DEBT_%_CAPITAL","FQ2 2014","FQ2 2014","Currency=INR","Period=FQ","BEST_FPERIOD_OVERRIDE=FQ","FILING_STATUS=OR","EQY_CONSOLIDATED=Y","Sort=A","Dates=H","DateFormat=P","Fill=—","Direction=H","UseDPDF=Y")</f>
        <v>#NAME?</v>
      </c>
      <c r="CP505" s="3" t="e">
        <f ca="1">_xll.BDH($C$503,"EBITDA","FQ2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05" s="3" t="e">
        <f ca="1">_xll.BDH($C$503,"EBITDA_AFTER_CAPEX","FQ2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05" s="3" t="e">
        <f ca="1">_xll.BDH($C$503,"IS_OPER_INC","FQ2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05" s="2" t="e">
        <f ca="1">_xll.BDH($C$503,"CASH_RATIO","FQ2 2014","FQ2 2014","Currency=INR","Period=FQ","BEST_FPERIOD_OVERRIDE=FQ","FILING_STATUS=OR","EQY_CONSOLIDATED=Y","Sort=A","Dates=H","DateFormat=P","Fill=—","Direction=H","UseDPDF=Y")</f>
        <v>#NAME?</v>
      </c>
      <c r="CT505" s="2" t="e">
        <f ca="1">_xll.BDH($C$503,"CUR_RATIO","FQ2 2014","FQ2 2014","Currency=INR","Period=FQ","BEST_FPERIOD_OVERRIDE=FQ","FILING_STATUS=OR","EQY_CONSOLIDATED=Y","Sort=A","Dates=H","DateFormat=P","Fill=—","Direction=H","UseDPDF=Y")</f>
        <v>#NAME?</v>
      </c>
      <c r="CU505" s="2" t="e">
        <f ca="1">_xll.BDH($C$503,"QUICK_RATIO","FQ2 2014","FQ2 2014","Currency=INR","Period=FQ","BEST_FPERIOD_OVERRIDE=FQ","FILING_STATUS=OR","EQY_CONSOLIDATED=Y","Sort=A","Dates=H","DateFormat=P","Fill=—","Direction=H","UseDPDF=Y")</f>
        <v>#NAME?</v>
      </c>
      <c r="CV505" s="2" t="e">
        <f ca="1">_xll.BDH($C$503,"ALTMAN_Z_SCORE","FQ2 2014","FQ2 2014","Currency=INR","Period=FQ","BEST_FPERIOD_OVERRIDE=FQ","FILING_STATUS=OR","EQY_CONSOLIDATED=Y","Sort=A","Dates=H","DateFormat=P","Fill=—","Direction=H","UseDPDF=Y")</f>
        <v>#NAME?</v>
      </c>
      <c r="CW505" s="4" t="e">
        <f ca="1">_xll.BDH($C$503,"ACCT_RCV_TURN","FQ2 2014","FQ2 2014","Currency=INR","Period=FQ","BEST_FPERIOD_OVERRIDE=FQ","FILING_STATUS=OR","EQY_CONSOLIDATED=Y","FA_ADJUSTED=GAAP","Sort=A","Dates=H","DateFormat=P","Fill=—","Direction=H","UseDPDF=Y")</f>
        <v>#NAME?</v>
      </c>
      <c r="CX505" s="2" t="e">
        <f ca="1">_xll.BDH($C$503,"ACCT_RCV_DAYS","FQ2 2014","FQ2 2014","Currency=INR","Period=FQ","BEST_FPERIOD_OVERRIDE=FQ","FILING_STATUS=OR","EQY_CONSOLIDATED=Y","FA_ADJUSTED=GAAP","Sort=A","Dates=H","DateFormat=P","Fill=—","Direction=H","UseDPDF=Y")</f>
        <v>#NAME?</v>
      </c>
      <c r="CY505" s="4" t="e">
        <f ca="1">_xll.BDH($C$503,"INVENT_TURN","FQ2 2014","FQ2 2014","Currency=INR","Period=FQ","BEST_FPERIOD_OVERRIDE=FQ","FILING_STATUS=OR","EQY_CONSOLIDATED=Y","FA_ADJUSTED=GAAP","Sort=A","Dates=H","DateFormat=P","Fill=—","Direction=H","UseDPDF=Y")</f>
        <v>#NAME?</v>
      </c>
      <c r="CZ505" s="2" t="e">
        <f ca="1">_xll.BDH($C$503,"INVENT_DAYS","FQ2 2014","FQ2 2014","Currency=INR","Period=FQ","BEST_FPERIOD_OVERRIDE=FQ","FILING_STATUS=OR","EQY_CONSOLIDATED=Y","FA_ADJUSTED=GAAP","Sort=A","Dates=H","DateFormat=P","Fill=—","Direction=H","UseDPDF=Y")</f>
        <v>#NAME?</v>
      </c>
      <c r="DA505" s="4" t="e">
        <f ca="1">_xll.BDH($C$503,"ACCOUNTS_PAYABLE_TURNOVER","FQ2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05" s="2" t="e">
        <f ca="1">_xll.BDH($C$503,"ACCOUNTS_PAYABLE_TURNOVER_DAYS","FQ2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05" s="4" t="e">
        <f ca="1">_xll.BDH($C$503,"CASH_CONVERSION_CYCLE","FQ2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05" s="4" t="e">
        <f ca="1">_xll.BDH($C$503,"INV_TO_CASH_DAYS","FQ2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05" s="5" t="e">
        <f ca="1">_xll.BDH($C$503,"BS_INVENTORIES","FQ2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05" s="3" t="e">
        <f ca="1">_xll.BDH($C$503,"INVTRY_RAW_MATERIALS","FQ2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05" s="3" t="e">
        <f ca="1">_xll.BDH($C$503,"INVTRY_IN_PROGRESS","FQ2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05" s="3" t="e">
        <f ca="1">_xll.BDH($C$503,"INVTRY_FINISHED_GOODS","FQ2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05" s="3" t="e">
        <f ca="1">_xll.BDH($C$503,"BS_OTHER_INV","FQ2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06" spans="1:113" x14ac:dyDescent="0.3">
      <c r="A506" s="6"/>
      <c r="B506" s="6"/>
      <c r="C506" s="6"/>
      <c r="D506" s="6"/>
      <c r="E506" t="s">
        <v>80</v>
      </c>
      <c r="F506" t="e">
        <f ca="1">_xll.BDH($C$503,"RETURN_COM_EQY","FQ3 2014","FQ3 2014","Currency=INR","Period=FQ","BEST_FPERIOD_OVERRIDE=FQ","FILING_STATUS=OR","EQY_CONSOLIDATED=Y","FA_ADJUSTED=GAAP","Sort=A","Dates=H","DateFormat=P","Fill=—","Direction=H","UseDPDF=Y")</f>
        <v>#NAME?</v>
      </c>
      <c r="G506" t="e">
        <f ca="1">_xll.BDH($C$503,"RETURN_ON_ASSET","FQ3 2014","FQ3 2014","Currency=INR","Period=FQ","BEST_FPERIOD_OVERRIDE=FQ","FILING_STATUS=OR","EQY_CONSOLIDATED=Y","FA_ADJUSTED=GAAP","Sort=A","Dates=H","DateFormat=P","Fill=—","Direction=H","UseDPDF=Y")</f>
        <v>#NAME?</v>
      </c>
      <c r="H506" t="e">
        <f ca="1">_xll.BDH($C$503,"RETURN_ON_CAP","FQ3 2014","FQ3 2014","Currency=INR","Period=FQ","BEST_FPERIOD_OVERRIDE=FQ","FILING_STATUS=OR","EQY_CONSOLIDATED=Y","FA_ADJUSTED=GAAP","Sort=A","Dates=H","DateFormat=P","Fill=—","Direction=H","UseDPDF=Y")</f>
        <v>#NAME?</v>
      </c>
      <c r="I506" t="e">
        <f ca="1">_xll.BDH($C$503,"RETURN_ON_INV_CAPITAL","FQ3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06" t="e">
        <f ca="1">_xll.BDH($C$503,"EBITDA_TO_REVENUE","FQ3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06" t="e">
        <f ca="1">_xll.BDH($C$503,"OPER_MARGIN","FQ3 2014","FQ3 2014","Currency=INR","Period=FQ","BEST_FPERIOD_OVERRIDE=FQ","FILING_STATUS=OR","EQY_CONSOLIDATED=Y","FA_ADJUSTED=GAAP","Sort=A","Dates=H","DateFormat=P","Fill=—","Direction=H","UseDPDF=Y")</f>
        <v>#NAME?</v>
      </c>
      <c r="L506" t="e">
        <f ca="1">_xll.BDH($C$503,"INCREMENTAL_OPERATING_MARGIN","FQ3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06" t="e">
        <f ca="1">_xll.BDH($C$503,"PRETAX_INC_TO_NET_SALES","FQ3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06" t="e">
        <f ca="1">_xll.BDH($C$503,"INC_BEF_XO_ITEMS_TO_NET_SALES","FQ3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06" t="e">
        <f ca="1">_xll.BDH($C$503,"PROF_MARGIN","FQ3 2014","FQ3 2014","Currency=INR","Period=FQ","BEST_FPERIOD_OVERRIDE=FQ","FILING_STATUS=OR","EQY_CONSOLIDATED=Y","FA_ADJUSTED=GAAP","Sort=A","Dates=H","DateFormat=P","Fill=—","Direction=H","UseDPDF=Y")</f>
        <v>#NAME?</v>
      </c>
      <c r="P506" t="e">
        <f ca="1">_xll.BDH($C$503,"NET_INCOME_TO_COMMON_MARGIN","FQ3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06" t="e">
        <f ca="1">_xll.BDH($C$503,"EFF_TAX_RATE","FQ3 2014","FQ3 2014","Currency=INR","Period=FQ","BEST_FPERIOD_OVERRIDE=FQ","FILING_STATUS=OR","EQY_CONSOLIDATED=Y","FA_ADJUSTED=GAAP","Sort=A","Dates=H","DateFormat=P","Fill=—","Direction=H","UseDPDF=Y")</f>
        <v>#NAME?</v>
      </c>
      <c r="R506" t="e">
        <f ca="1">_xll.BDH($C$503,"DVD_PAYOUT_RATIO","FQ3 2014","FQ3 2014","Currency=INR","Period=FQ","BEST_FPERIOD_OVERRIDE=FQ","FILING_STATUS=OR","EQY_CONSOLIDATED=Y","FA_ADJUSTED=GAAP","Sort=A","Dates=H","DateFormat=P","Fill=—","Direction=H","UseDPDF=Y")</f>
        <v>#NAME?</v>
      </c>
      <c r="S506" t="e">
        <f ca="1">_xll.BDH($C$503,"SUSTAIN_GROWTH_RT","FQ3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06" s="2" t="e">
        <f ca="1">_xll.BDH($C$503,"SALES_GROWTH","FQ3 2014","FQ3 2014","Currency=INR","Period=FQ","BEST_FPERIOD_OVERRIDE=FQ","FILING_STATUS=OR","EQY_CONSOLIDATED=Y","FA_ADJUSTED=GAAP","Sort=A","Dates=H","DateFormat=P","Fill=—","Direction=H","UseDPDF=Y")</f>
        <v>#NAME?</v>
      </c>
      <c r="U506" s="2" t="e">
        <f ca="1">_xll.BDH($C$503,"EBITDA_GROWTH","FQ3 2014","FQ3 2014","Currency=INR","Period=FQ","BEST_FPERIOD_OVERRIDE=FQ","FILING_STATUS=OR","EQY_CONSOLIDATED=Y","FA_ADJUSTED=GAAP","Sort=A","Dates=H","DateFormat=P","Fill=—","Direction=H","UseDPDF=Y")</f>
        <v>#NAME?</v>
      </c>
      <c r="V506" s="2" t="e">
        <f ca="1">_xll.BDH($C$503,"OPER_INC_GROWTH","FQ3 2014","FQ3 2014","Currency=INR","Period=FQ","BEST_FPERIOD_OVERRIDE=FQ","FILING_STATUS=OR","EQY_CONSOLIDATED=Y","FA_ADJUSTED=GAAP","Sort=A","Dates=H","DateFormat=P","Fill=—","Direction=H","UseDPDF=Y")</f>
        <v>#NAME?</v>
      </c>
      <c r="W506" s="2" t="e">
        <f ca="1">_xll.BDH($C$503,"EARN_FOR_COM_GROWTH","FQ3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06" s="2" t="e">
        <f ca="1">_xll.BDH($C$503,"DILUTED_EPS_AFT_XO_ITEMS_GROWTH","FQ3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06" s="2" t="e">
        <f ca="1">_xll.BDH($C$503,"DIVIDEND_PER_SHARE_1_YEAR_GROWTH","FQ3 2014","FQ3 2014","Currency=INR","Period=FQ","BEST_FPERIOD_OVERRIDE=FQ","FILING_STATUS=OR","EQY_CONSOLIDATED=Y","Sort=A","Dates=H","DateFormat=P","Fill=—","Direction=H","UseDPDF=Y")</f>
        <v>#NAME?</v>
      </c>
      <c r="Z506" s="2" t="e">
        <f ca="1">_xll.BDH($C$503,"ACCOUNTS_RECEIVABLE_GROWTH","FQ3 2014","FQ3 2014","Currency=INR","Period=FQ","BEST_FPERIOD_OVERRIDE=FQ","FILING_STATUS=OR","EQY_CONSOLIDATED=Y","Sort=A","Dates=H","DateFormat=P","Fill=—","Direction=H","UseDPDF=Y")</f>
        <v>#NAME?</v>
      </c>
      <c r="AA506" s="2" t="e">
        <f ca="1">_xll.BDH($C$503,"INVENTORY_GROWTH","FQ3 2014","FQ3 2014","Currency=INR","Period=FQ","BEST_FPERIOD_OVERRIDE=FQ","FILING_STATUS=OR","EQY_CONSOLIDATED=Y","Sort=A","Dates=H","DateFormat=P","Fill=—","Direction=H","UseDPDF=Y")</f>
        <v>#NAME?</v>
      </c>
      <c r="AB506" s="2" t="e">
        <f ca="1">_xll.BDH($C$503,"NET_FIXED_ASSETS_1_YEAR_GROWTH","FQ3 2014","FQ3 2014","Currency=INR","Period=FQ","BEST_FPERIOD_OVERRIDE=FQ","FILING_STATUS=OR","EQY_CONSOLIDATED=Y","Sort=A","Dates=H","DateFormat=P","Fill=—","Direction=H","UseDPDF=Y")</f>
        <v>#NAME?</v>
      </c>
      <c r="AC506" s="2" t="e">
        <f ca="1">_xll.BDH($C$503,"ASSET_GROWTH","FQ3 2014","FQ3 2014","Currency=INR","Period=FQ","BEST_FPERIOD_OVERRIDE=FQ","FILING_STATUS=OR","EQY_CONSOLIDATED=Y","Sort=A","Dates=H","DateFormat=P","Fill=—","Direction=H","UseDPDF=Y")</f>
        <v>#NAME?</v>
      </c>
      <c r="AD506" s="2" t="e">
        <f ca="1">_xll.BDH($C$503,"MODIFIED_WORK_CAP_GROWTH","FQ3 2014","FQ3 2014","Currency=INR","Period=FQ","BEST_FPERIOD_OVERRIDE=FQ","FILING_STATUS=OR","EQY_CONSOLIDATED=Y","Sort=A","Dates=H","DateFormat=P","Fill=—","Direction=H","UseDPDF=Y")</f>
        <v>#NAME?</v>
      </c>
      <c r="AE506" s="2" t="e">
        <f ca="1">_xll.BDH($C$503,"WORK_CAP_GROWTH","FQ3 2014","FQ3 2014","Currency=INR","Period=FQ","BEST_FPERIOD_OVERRIDE=FQ","FILING_STATUS=OR","EQY_CONSOLIDATED=Y","Sort=A","Dates=H","DateFormat=P","Fill=—","Direction=H","UseDPDF=Y")</f>
        <v>#NAME?</v>
      </c>
      <c r="AF506" s="2" t="e">
        <f ca="1">_xll.BDH($C$503,"ACCOUNTS_PAYABLE_GROWTH_1YR","FQ3 2014","FQ3 2014","Currency=INR","Period=FQ","BEST_FPERIOD_OVERRIDE=FQ","FILING_STATUS=OR","EQY_CONSOLIDATED=Y","Sort=A","Dates=H","DateFormat=P","Fill=—","Direction=H","UseDPDF=Y")</f>
        <v>#NAME?</v>
      </c>
      <c r="AG506" s="2" t="e">
        <f ca="1">_xll.BDH($C$503,"SHORT_TERM_DEBT_1_YEAR_GROWTH","FQ3 2014","FQ3 2014","Currency=INR","Period=FQ","BEST_FPERIOD_OVERRIDE=FQ","FILING_STATUS=OR","EQY_CONSOLIDATED=Y","Sort=A","Dates=H","DateFormat=P","Fill=—","Direction=H","UseDPDF=Y")</f>
        <v>#NAME?</v>
      </c>
      <c r="AH506" s="2" t="e">
        <f ca="1">_xll.BDH($C$503,"TOTAL_DEBT_1_YEAR_GROWTH","FQ3 2014","FQ3 2014","Currency=INR","Period=FQ","BEST_FPERIOD_OVERRIDE=FQ","FILING_STATUS=OR","EQY_CONSOLIDATED=Y","Sort=A","Dates=H","DateFormat=P","Fill=—","Direction=H","UseDPDF=Y")</f>
        <v>#NAME?</v>
      </c>
      <c r="AI506" s="2" t="e">
        <f ca="1">_xll.BDH($C$503,"TOTAL_EQUITY_1_YEAR_GROWTH","FQ3 2014","FQ3 2014","Currency=INR","Period=FQ","BEST_FPERIOD_OVERRIDE=FQ","FILING_STATUS=OR","EQY_CONSOLIDATED=Y","Sort=A","Dates=H","DateFormat=P","Fill=—","Direction=H","UseDPDF=Y")</f>
        <v>#NAME?</v>
      </c>
      <c r="AJ506" s="2" t="e">
        <f ca="1">_xll.BDH($C$503,"GROWTH_IN_CAP","FQ3 2014","FQ3 2014","Currency=INR","Period=FQ","BEST_FPERIOD_OVERRIDE=FQ","FILING_STATUS=OR","EQY_CONSOLIDATED=Y","Sort=A","Dates=H","DateFormat=P","Fill=—","Direction=H","UseDPDF=Y")</f>
        <v>#NAME?</v>
      </c>
      <c r="AK506" s="2" t="e">
        <f ca="1">_xll.BDH($C$503,"BVPS_GROWTH","FQ3 2014","FQ3 2014","Currency=INR","Period=FQ","BEST_FPERIOD_OVERRIDE=FQ","FILING_STATUS=OR","EQY_CONSOLIDATED=Y","Sort=A","Dates=H","DateFormat=P","Fill=—","Direction=H","UseDPDF=Y")</f>
        <v>#NAME?</v>
      </c>
      <c r="AL506" s="2" t="e">
        <f ca="1">_xll.BDH($C$503,"CASH_FLOW_GROWTH","FQ3 2014","FQ3 2014","Currency=INR","Period=FQ","BEST_FPERIOD_OVERRIDE=FQ","FILING_STATUS=OR","EQY_CONSOLIDATED=Y","Sort=A","Dates=H","DateFormat=P","Fill=—","Direction=H","UseDPDF=Y")</f>
        <v>#NAME?</v>
      </c>
      <c r="AM506" s="2" t="e">
        <f ca="1">_xll.BDH($C$503,"GEO_GROW_NET_SALES","FQ3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06" s="2" t="e">
        <f ca="1">_xll.BDH($C$503,"GEO_GROW_EBITDA","FQ3 2014","FQ3 2014","Currency=INR","Period=FQ","BEST_FPERIOD_OVERRIDE=FQ","FILING_STATUS=OR","EQY_CONSOLIDATED=Y","FA_ADJUSTED=GAAP","Sort=A","Dates=H","DateFormat=P","Fill=—","Direction=H","UseDPDF=Y")</f>
        <v>#NAME?</v>
      </c>
      <c r="AO506" s="2" t="e">
        <f ca="1">_xll.BDH($C$503,"GEO_GROW_OPER_INC","FQ3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06" s="2" t="e">
        <f ca="1">_xll.BDH($C$503,"NET_INCOME_TO_COMMON_5_YR_GROWTH","FQ3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06" s="2" t="e">
        <f ca="1">_xll.BDH($C$503,"5Y_GEO_GROWTH_DILUTED_EPS","FQ3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06" s="2" t="e">
        <f ca="1">_xll.BDH($C$503,"GEO_GROW_DVD_PER_SH","FQ3 2014","FQ3 2014","Currency=INR","Period=FQ","BEST_FPERIOD_OVERRIDE=FQ","FILING_STATUS=OR","EQY_CONSOLIDATED=Y","Sort=A","Dates=H","DateFormat=P","Fill=—","Direction=H","UseDPDF=Y")</f>
        <v>#NAME?</v>
      </c>
      <c r="AS506" s="2" t="e">
        <f ca="1">_xll.BDH($C$503,"ACCOUNTS_RECEIVABLE_5_YR_GROWTH","FQ3 2014","FQ3 2014","Currency=INR","Period=FQ","BEST_FPERIOD_OVERRIDE=FQ","FILING_STATUS=OR","EQY_CONSOLIDATED=Y","Sort=A","Dates=H","DateFormat=P","Fill=—","Direction=H","UseDPDF=Y")</f>
        <v>#NAME?</v>
      </c>
      <c r="AT506" s="2" t="e">
        <f ca="1">_xll.BDH($C$503,"INVENTORY_5_YEAR_GROWTH","FQ3 2014","FQ3 2014","Currency=INR","Period=FQ","BEST_FPERIOD_OVERRIDE=FQ","FILING_STATUS=OR","EQY_CONSOLIDATED=Y","Sort=A","Dates=H","DateFormat=P","Fill=—","Direction=H","UseDPDF=Y")</f>
        <v>#NAME?</v>
      </c>
      <c r="AU506" s="2" t="e">
        <f ca="1">_xll.BDH($C$503,"NET_FIXED_ASSETS_5_YEAR_GROWTH","FQ3 2014","FQ3 2014","Currency=INR","Period=FQ","BEST_FPERIOD_OVERRIDE=FQ","FILING_STATUS=OR","EQY_CONSOLIDATED=Y","Sort=A","Dates=H","DateFormat=P","Fill=—","Direction=H","UseDPDF=Y")</f>
        <v>#NAME?</v>
      </c>
      <c r="AV506" s="2" t="e">
        <f ca="1">_xll.BDH($C$503,"GEO_GROW_TOT_ASSET","FQ3 2014","FQ3 2014","Currency=INR","Period=FQ","BEST_FPERIOD_OVERRIDE=FQ","FILING_STATUS=OR","EQY_CONSOLIDATED=Y","Sort=A","Dates=H","DateFormat=P","Fill=—","Direction=H","UseDPDF=Y")</f>
        <v>#NAME?</v>
      </c>
      <c r="AW506" s="2" t="e">
        <f ca="1">_xll.BDH($C$503,"MODIFIED_WORKING_CPTL_5YR_GRWTH","FQ3 2014","FQ3 2014","Currency=INR","Period=FQ","BEST_FPERIOD_OVERRIDE=FQ","FILING_STATUS=OR","EQY_CONSOLIDATED=Y","Sort=A","Dates=H","DateFormat=P","Fill=—","Direction=H","UseDPDF=Y")</f>
        <v>#NAME?</v>
      </c>
      <c r="AX506" s="2" t="e">
        <f ca="1">_xll.BDH($C$503,"WORKING_CAPITAL_5_YEAR_GROWTH","FQ3 2014","FQ3 2014","Currency=INR","Period=FQ","BEST_FPERIOD_OVERRIDE=FQ","FILING_STATUS=OR","EQY_CONSOLIDATED=Y","Sort=A","Dates=H","DateFormat=P","Fill=—","Direction=H","UseDPDF=Y")</f>
        <v>#NAME?</v>
      </c>
      <c r="AY506" s="2" t="e">
        <f ca="1">_xll.BDH($C$503,"ACCOUNTS_PAYABLE_5_YEAR_GROWTH","FQ3 2014","FQ3 2014","Currency=INR","Period=FQ","BEST_FPERIOD_OVERRIDE=FQ","FILING_STATUS=OR","EQY_CONSOLIDATED=Y","Sort=A","Dates=H","DateFormat=P","Fill=—","Direction=H","UseDPDF=Y")</f>
        <v>#NAME?</v>
      </c>
      <c r="AZ506" s="2" t="e">
        <f ca="1">_xll.BDH($C$503,"SHORT_TERM_DEBT_5_YEAR_GROWTH","FQ3 2014","FQ3 2014","Currency=INR","Period=FQ","BEST_FPERIOD_OVERRIDE=FQ","FILING_STATUS=OR","EQY_CONSOLIDATED=Y","Sort=A","Dates=H","DateFormat=P","Fill=—","Direction=H","UseDPDF=Y")</f>
        <v>#NAME?</v>
      </c>
      <c r="BA506" s="2" t="e">
        <f ca="1">_xll.BDH($C$503,"TOTAL_DEBT_5_YEAR_GROWTH","FQ3 2014","FQ3 2014","Currency=INR","Period=FQ","BEST_FPERIOD_OVERRIDE=FQ","FILING_STATUS=OR","EQY_CONSOLIDATED=Y","Sort=A","Dates=H","DateFormat=P","Fill=—","Direction=H","UseDPDF=Y")</f>
        <v>#NAME?</v>
      </c>
      <c r="BB506" s="2" t="e">
        <f ca="1">_xll.BDH($C$503,"GEO_GROW_TOT_SHRHLDR_EQY","FQ3 2014","FQ3 2014","Currency=INR","Period=FQ","BEST_FPERIOD_OVERRIDE=FQ","FILING_STATUS=OR","EQY_CONSOLIDATED=Y","Sort=A","Dates=H","DateFormat=P","Fill=—","Direction=H","UseDPDF=Y")</f>
        <v>#NAME?</v>
      </c>
      <c r="BC506" s="2" t="e">
        <f ca="1">_xll.BDH($C$503,"TOTAL_CAPITAL_5_YEAR_GROWTH","FQ3 2014","FQ3 2014","Currency=INR","Period=FQ","BEST_FPERIOD_OVERRIDE=FQ","FILING_STATUS=OR","EQY_CONSOLIDATED=Y","Sort=A","Dates=H","DateFormat=P","Fill=—","Direction=H","UseDPDF=Y")</f>
        <v>#NAME?</v>
      </c>
      <c r="BD506" s="2" t="e">
        <f ca="1">_xll.BDH($C$503,"GEO_GROW_BOOK_VAL","FQ3 2014","FQ3 2014","Currency=INR","Period=FQ","BEST_FPERIOD_OVERRIDE=FQ","FILING_STATUS=OR","EQY_CONSOLIDATED=Y","Sort=A","Dates=H","DateFormat=P","Fill=—","Direction=H","UseDPDF=Y")</f>
        <v>#NAME?</v>
      </c>
      <c r="BE506" s="2" t="e">
        <f ca="1">_xll.BDH($C$503,"GEO_GROW_CASH_OPER_ACT","FQ3 2014","FQ3 2014","Currency=INR","Period=FQ","BEST_FPERIOD_OVERRIDE=FQ","FILING_STATUS=OR","EQY_CONSOLIDATED=Y","Sort=A","Dates=H","DateFormat=P","Fill=—","Direction=H","UseDPDF=Y")</f>
        <v>#NAME?</v>
      </c>
      <c r="BF506" s="2" t="e">
        <f ca="1">_xll.BDH($C$503,"REVENUE_SEQUENTIAL_GROWTH","FQ3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06" s="2" t="e">
        <f ca="1">_xll.BDH($C$503,"EBITDA_SEQUENTIAL_GROWTH","FQ3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06" s="2" t="e">
        <f ca="1">_xll.BDH($C$503,"OPERATING_INCOME_SEQ_GROWTH","FQ3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06" s="2" t="e">
        <f ca="1">_xll.BDH($C$503,"NET_INCOME_TO_COMMON_SEQ_GROWTH","FQ3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06" s="2" t="e">
        <f ca="1">_xll.BDH($C$503,"EPS_DILUTED_SEQUENTIAL_GROWTH","FQ3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06" s="2" t="e">
        <f ca="1">_xll.BDH($C$503,"DPS_SEQUENTIAL_GROWTH","FQ3 2014","FQ3 2014","Currency=INR","Period=FQ","BEST_FPERIOD_OVERRIDE=FQ","FILING_STATUS=OR","EQY_CONSOLIDATED=Y","Sort=A","Dates=H","DateFormat=P","Fill=—","Direction=H","UseDPDF=Y")</f>
        <v>#NAME?</v>
      </c>
      <c r="BL506" s="2" t="e">
        <f ca="1">_xll.BDH($C$503,"ACCOUNTS_RECEIVABLE_SEQ_GROWTH","FQ3 2014","FQ3 2014","Currency=INR","Period=FQ","BEST_FPERIOD_OVERRIDE=FQ","FILING_STATUS=OR","EQY_CONSOLIDATED=Y","Sort=A","Dates=H","DateFormat=P","Fill=—","Direction=H","UseDPDF=Y")</f>
        <v>#NAME?</v>
      </c>
      <c r="BM506" s="2" t="e">
        <f ca="1">_xll.BDH($C$503,"INVENTORY_SEQUENTIAL_GROWTH","FQ3 2014","FQ3 2014","Currency=INR","Period=FQ","BEST_FPERIOD_OVERRIDE=FQ","FILING_STATUS=OR","EQY_CONSOLIDATED=Y","Sort=A","Dates=H","DateFormat=P","Fill=—","Direction=H","UseDPDF=Y")</f>
        <v>#NAME?</v>
      </c>
      <c r="BN506" s="2" t="e">
        <f ca="1">_xll.BDH($C$503,"FIXED_ASSETS_SEQUENTIAL_GROWTH","FQ3 2014","FQ3 2014","Currency=INR","Period=FQ","BEST_FPERIOD_OVERRIDE=FQ","FILING_STATUS=OR","EQY_CONSOLIDATED=Y","Sort=A","Dates=H","DateFormat=P","Fill=—","Direction=H","UseDPDF=Y")</f>
        <v>#NAME?</v>
      </c>
      <c r="BO506" s="2" t="e">
        <f ca="1">_xll.BDH($C$503,"TOTAL_ASSETS_SEQUENTIAL_GROWTH","FQ3 2014","FQ3 2014","Currency=INR","Period=FQ","BEST_FPERIOD_OVERRIDE=FQ","FILING_STATUS=OR","EQY_CONSOLIDATED=Y","Sort=A","Dates=H","DateFormat=P","Fill=—","Direction=H","UseDPDF=Y")</f>
        <v>#NAME?</v>
      </c>
      <c r="BP506" s="2" t="e">
        <f ca="1">_xll.BDH($C$503,"MODIFIED_WORKING_CPTL_SEQ_GRWTH","FQ3 2014","FQ3 2014","Currency=INR","Period=FQ","BEST_FPERIOD_OVERRIDE=FQ","FILING_STATUS=OR","EQY_CONSOLIDATED=Y","Sort=A","Dates=H","DateFormat=P","Fill=—","Direction=H","UseDPDF=Y")</f>
        <v>#NAME?</v>
      </c>
      <c r="BQ506" s="2" t="e">
        <f ca="1">_xll.BDH($C$503,"WORKING_CAPITAL_SEQ_GROWTH","FQ3 2014","FQ3 2014","Currency=INR","Period=FQ","BEST_FPERIOD_OVERRIDE=FQ","FILING_STATUS=OR","EQY_CONSOLIDATED=Y","Sort=A","Dates=H","DateFormat=P","Fill=—","Direction=H","UseDPDF=Y")</f>
        <v>#NAME?</v>
      </c>
      <c r="BR506" s="2" t="e">
        <f ca="1">_xll.BDH($C$503,"ACCOUNTS_PAYABLE_SEQ_GROWTH","FQ3 2014","FQ3 2014","Currency=INR","Period=FQ","BEST_FPERIOD_OVERRIDE=FQ","FILING_STATUS=OR","EQY_CONSOLIDATED=Y","Sort=A","Dates=H","DateFormat=P","Fill=—","Direction=H","UseDPDF=Y")</f>
        <v>#NAME?</v>
      </c>
      <c r="BS506" s="2" t="e">
        <f ca="1">_xll.BDH($C$503,"ST_DEBT_SEQUENTIAL_GROWTH","FQ3 2014","FQ3 2014","Currency=INR","Period=FQ","BEST_FPERIOD_OVERRIDE=FQ","FILING_STATUS=OR","EQY_CONSOLIDATED=Y","Sort=A","Dates=H","DateFormat=P","Fill=—","Direction=H","UseDPDF=Y")</f>
        <v>#NAME?</v>
      </c>
      <c r="BT506" s="2" t="e">
        <f ca="1">_xll.BDH($C$503,"TOTAL_DEBT_SEQUENTIAL_GROWTH","FQ3 2014","FQ3 2014","Currency=INR","Period=FQ","BEST_FPERIOD_OVERRIDE=FQ","FILING_STATUS=OR","EQY_CONSOLIDATED=Y","Sort=A","Dates=H","DateFormat=P","Fill=—","Direction=H","UseDPDF=Y")</f>
        <v>#NAME?</v>
      </c>
      <c r="BU506" s="2" t="e">
        <f ca="1">_xll.BDH($C$503,"TOTAL_EQUITY_SEQUENTIAL_GROWTH","FQ3 2014","FQ3 2014","Currency=INR","Period=FQ","BEST_FPERIOD_OVERRIDE=FQ","FILING_STATUS=OR","EQY_CONSOLIDATED=Y","Sort=A","Dates=H","DateFormat=P","Fill=—","Direction=H","UseDPDF=Y")</f>
        <v>#NAME?</v>
      </c>
      <c r="BV506" s="2" t="e">
        <f ca="1">_xll.BDH($C$503,"TOTAL_CAPITAL_SEQUENTIAL_GROWTH","FQ3 2014","FQ3 2014","Currency=INR","Period=FQ","BEST_FPERIOD_OVERRIDE=FQ","FILING_STATUS=OR","EQY_CONSOLIDATED=Y","Sort=A","Dates=H","DateFormat=P","Fill=—","Direction=H","UseDPDF=Y")</f>
        <v>#NAME?</v>
      </c>
      <c r="BW506" s="2" t="e">
        <f ca="1">_xll.BDH($C$503,"BPS_SEQUENTIAL_GROWTH","FQ3 2014","FQ3 2014","Currency=INR","Period=FQ","BEST_FPERIOD_OVERRIDE=FQ","FILING_STATUS=OR","EQY_CONSOLIDATED=Y","Sort=A","Dates=H","DateFormat=P","Fill=—","Direction=H","UseDPDF=Y")</f>
        <v>#NAME?</v>
      </c>
      <c r="BX506" s="2" t="e">
        <f ca="1">_xll.BDH($C$503,"CFO_SEQUENTIAL_GROWTH","FQ3 2014","FQ3 2014","Currency=INR","Period=FQ","BEST_FPERIOD_OVERRIDE=FQ","FILING_STATUS=OR","EQY_CONSOLIDATED=Y","Sort=A","Dates=H","DateFormat=P","Fill=—","Direction=H","UseDPDF=Y")</f>
        <v>#NAME?</v>
      </c>
      <c r="BY506" s="3" t="e">
        <f ca="1">_xll.BDH($C$503,"SHORT_AND_LONG_TERM_DEBT","FQ3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06" s="3" t="e">
        <f ca="1">_xll.BDH($C$503,"BS_ST_BORROW","FQ3 2014","FQ3 2014","Currency=INR","Period=FQ","BEST_FPERIOD_OVERRIDE=FQ","FILING_STATUS=OR","EQY_CONSOLIDATED=Y","SCALING_FORMAT=MLN","Sort=A","Dates=H","DateFormat=P","Fill=—","Direction=H","UseDPDF=Y")</f>
        <v>#NAME?</v>
      </c>
      <c r="CA506" s="3" t="e">
        <f ca="1">_xll.BDH($C$503,"BS_LT_BORROW","FQ3 2014","FQ3 2014","Currency=INR","Period=FQ","BEST_FPERIOD_OVERRIDE=FQ","FILING_STATUS=OR","EQY_CONSOLIDATED=Y","SCALING_FORMAT=MLN","Sort=A","Dates=H","DateFormat=P","Fill=—","Direction=H","UseDPDF=Y")</f>
        <v>#NAME?</v>
      </c>
      <c r="CB506" s="2" t="e">
        <f ca="1">_xll.BDH($C$503,"TOT_DEBT_TO_EBITDA","FQ3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06" s="2" t="e">
        <f ca="1">_xll.BDH($C$503,"NET_DEBT_TO_EBITDA","FQ3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06" s="2" t="e">
        <f ca="1">_xll.BDH($C$503,"TOTAL_DEBT_TO_EBIT","FQ3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06" s="2" t="e">
        <f ca="1">_xll.BDH($C$503,"NET_DEBT_TO_EBIT","FQ3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06" s="2" t="e">
        <f ca="1">_xll.BDH($C$503,"EBITDA_TO_INTEREST_EXPN","FQ3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06" s="2" t="e">
        <f ca="1">_xll.BDH($C$503,"COM_EQY_TO_TOT_ASSET","FQ3 2014","FQ3 2014","Currency=INR","Period=FQ","BEST_FPERIOD_OVERRIDE=FQ","FILING_STATUS=OR","EQY_CONSOLIDATED=Y","Sort=A","Dates=H","DateFormat=P","Fill=—","Direction=H","UseDPDF=Y")</f>
        <v>#NAME?</v>
      </c>
      <c r="CH506" s="2" t="e">
        <f ca="1">_xll.BDH($C$503,"LT_DEBT_TO_TOT_EQY","FQ3 2014","FQ3 2014","Currency=INR","Period=FQ","BEST_FPERIOD_OVERRIDE=FQ","FILING_STATUS=OR","EQY_CONSOLIDATED=Y","Sort=A","Dates=H","DateFormat=P","Fill=—","Direction=H","UseDPDF=Y")</f>
        <v>#NAME?</v>
      </c>
      <c r="CI506" s="2" t="e">
        <f ca="1">_xll.BDH($C$503,"LT_DEBT_TO_TOT_CAP","FQ3 2014","FQ3 2014","Currency=INR","Period=FQ","BEST_FPERIOD_OVERRIDE=FQ","FILING_STATUS=OR","EQY_CONSOLIDATED=Y","Sort=A","Dates=H","DateFormat=P","Fill=—","Direction=H","UseDPDF=Y")</f>
        <v>#NAME?</v>
      </c>
      <c r="CJ506" s="2" t="e">
        <f ca="1">_xll.BDH($C$503,"LT_DEBT_TO_TOT_ASSET","FQ3 2014","FQ3 2014","Currency=INR","Period=FQ","BEST_FPERIOD_OVERRIDE=FQ","FILING_STATUS=OR","EQY_CONSOLIDATED=Y","Sort=A","Dates=H","DateFormat=P","Fill=—","Direction=H","UseDPDF=Y")</f>
        <v>#NAME?</v>
      </c>
      <c r="CK506" s="2" t="e">
        <f ca="1">_xll.BDH($C$503,"TOT_DEBT_TO_TOT_EQY","FQ3 2014","FQ3 2014","Currency=INR","Period=FQ","BEST_FPERIOD_OVERRIDE=FQ","FILING_STATUS=OR","EQY_CONSOLIDATED=Y","Sort=A","Dates=H","DateFormat=P","Fill=—","Direction=H","UseDPDF=Y")</f>
        <v>#NAME?</v>
      </c>
      <c r="CL506" s="2" t="e">
        <f ca="1">_xll.BDH($C$503,"TOT_DEBT_TO_TOT_CAP","FQ3 2014","FQ3 2014","Currency=INR","Period=FQ","BEST_FPERIOD_OVERRIDE=FQ","FILING_STATUS=OR","EQY_CONSOLIDATED=Y","Sort=A","Dates=H","DateFormat=P","Fill=—","Direction=H","UseDPDF=Y")</f>
        <v>#NAME?</v>
      </c>
      <c r="CM506" s="2" t="e">
        <f ca="1">_xll.BDH($C$503,"TOT_DEBT_TO_TOT_ASSET","FQ3 2014","FQ3 2014","Currency=INR","Period=FQ","BEST_FPERIOD_OVERRIDE=FQ","FILING_STATUS=OR","EQY_CONSOLIDATED=Y","Sort=A","Dates=H","DateFormat=P","Fill=—","Direction=H","UseDPDF=Y")</f>
        <v>#NAME?</v>
      </c>
      <c r="CN506" s="2" t="e">
        <f ca="1">_xll.BDH($C$503,"NET_DEBT_TO_SHRHLDR_EQTY","FQ3 2014","FQ3 2014","Currency=INR","Period=FQ","BEST_FPERIOD_OVERRIDE=FQ","FILING_STATUS=OR","EQY_CONSOLIDATED=Y","Sort=A","Dates=H","DateFormat=P","Fill=—","Direction=H","UseDPDF=Y")</f>
        <v>#NAME?</v>
      </c>
      <c r="CO506" s="2" t="e">
        <f ca="1">_xll.BDH($C$503,"NET_DEBT_%_CAPITAL","FQ3 2014","FQ3 2014","Currency=INR","Period=FQ","BEST_FPERIOD_OVERRIDE=FQ","FILING_STATUS=OR","EQY_CONSOLIDATED=Y","Sort=A","Dates=H","DateFormat=P","Fill=—","Direction=H","UseDPDF=Y")</f>
        <v>#NAME?</v>
      </c>
      <c r="CP506" s="3" t="e">
        <f ca="1">_xll.BDH($C$503,"EBITDA","FQ3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06" s="3" t="e">
        <f ca="1">_xll.BDH($C$503,"EBITDA_AFTER_CAPEX","FQ3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06" s="3" t="e">
        <f ca="1">_xll.BDH($C$503,"IS_OPER_INC","FQ3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06" s="2" t="e">
        <f ca="1">_xll.BDH($C$503,"CASH_RATIO","FQ3 2014","FQ3 2014","Currency=INR","Period=FQ","BEST_FPERIOD_OVERRIDE=FQ","FILING_STATUS=OR","EQY_CONSOLIDATED=Y","Sort=A","Dates=H","DateFormat=P","Fill=—","Direction=H","UseDPDF=Y")</f>
        <v>#NAME?</v>
      </c>
      <c r="CT506" s="2" t="e">
        <f ca="1">_xll.BDH($C$503,"CUR_RATIO","FQ3 2014","FQ3 2014","Currency=INR","Period=FQ","BEST_FPERIOD_OVERRIDE=FQ","FILING_STATUS=OR","EQY_CONSOLIDATED=Y","Sort=A","Dates=H","DateFormat=P","Fill=—","Direction=H","UseDPDF=Y")</f>
        <v>#NAME?</v>
      </c>
      <c r="CU506" s="2" t="e">
        <f ca="1">_xll.BDH($C$503,"QUICK_RATIO","FQ3 2014","FQ3 2014","Currency=INR","Period=FQ","BEST_FPERIOD_OVERRIDE=FQ","FILING_STATUS=OR","EQY_CONSOLIDATED=Y","Sort=A","Dates=H","DateFormat=P","Fill=—","Direction=H","UseDPDF=Y")</f>
        <v>#NAME?</v>
      </c>
      <c r="CV506" s="2" t="e">
        <f ca="1">_xll.BDH($C$503,"ALTMAN_Z_SCORE","FQ3 2014","FQ3 2014","Currency=INR","Period=FQ","BEST_FPERIOD_OVERRIDE=FQ","FILING_STATUS=OR","EQY_CONSOLIDATED=Y","Sort=A","Dates=H","DateFormat=P","Fill=—","Direction=H","UseDPDF=Y")</f>
        <v>#NAME?</v>
      </c>
      <c r="CW506" s="4" t="e">
        <f ca="1">_xll.BDH($C$503,"ACCT_RCV_TURN","FQ3 2014","FQ3 2014","Currency=INR","Period=FQ","BEST_FPERIOD_OVERRIDE=FQ","FILING_STATUS=OR","EQY_CONSOLIDATED=Y","FA_ADJUSTED=GAAP","Sort=A","Dates=H","DateFormat=P","Fill=—","Direction=H","UseDPDF=Y")</f>
        <v>#NAME?</v>
      </c>
      <c r="CX506" s="2" t="e">
        <f ca="1">_xll.BDH($C$503,"ACCT_RCV_DAYS","FQ3 2014","FQ3 2014","Currency=INR","Period=FQ","BEST_FPERIOD_OVERRIDE=FQ","FILING_STATUS=OR","EQY_CONSOLIDATED=Y","FA_ADJUSTED=GAAP","Sort=A","Dates=H","DateFormat=P","Fill=—","Direction=H","UseDPDF=Y")</f>
        <v>#NAME?</v>
      </c>
      <c r="CY506" s="4" t="e">
        <f ca="1">_xll.BDH($C$503,"INVENT_TURN","FQ3 2014","FQ3 2014","Currency=INR","Period=FQ","BEST_FPERIOD_OVERRIDE=FQ","FILING_STATUS=OR","EQY_CONSOLIDATED=Y","FA_ADJUSTED=GAAP","Sort=A","Dates=H","DateFormat=P","Fill=—","Direction=H","UseDPDF=Y")</f>
        <v>#NAME?</v>
      </c>
      <c r="CZ506" s="2" t="e">
        <f ca="1">_xll.BDH($C$503,"INVENT_DAYS","FQ3 2014","FQ3 2014","Currency=INR","Period=FQ","BEST_FPERIOD_OVERRIDE=FQ","FILING_STATUS=OR","EQY_CONSOLIDATED=Y","FA_ADJUSTED=GAAP","Sort=A","Dates=H","DateFormat=P","Fill=—","Direction=H","UseDPDF=Y")</f>
        <v>#NAME?</v>
      </c>
      <c r="DA506" s="4" t="e">
        <f ca="1">_xll.BDH($C$503,"ACCOUNTS_PAYABLE_TURNOVER","FQ3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06" s="2" t="e">
        <f ca="1">_xll.BDH($C$503,"ACCOUNTS_PAYABLE_TURNOVER_DAYS","FQ3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06" s="4" t="e">
        <f ca="1">_xll.BDH($C$503,"CASH_CONVERSION_CYCLE","FQ3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06" s="4" t="e">
        <f ca="1">_xll.BDH($C$503,"INV_TO_CASH_DAYS","FQ3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06" s="5" t="e">
        <f ca="1">_xll.BDH($C$503,"BS_INVENTORIES","FQ3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06" s="3" t="e">
        <f ca="1">_xll.BDH($C$503,"INVTRY_RAW_MATERIALS","FQ3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06" s="3" t="e">
        <f ca="1">_xll.BDH($C$503,"INVTRY_IN_PROGRESS","FQ3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06" s="3" t="e">
        <f ca="1">_xll.BDH($C$503,"INVTRY_FINISHED_GOODS","FQ3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06" s="3" t="e">
        <f ca="1">_xll.BDH($C$503,"BS_OTHER_INV","FQ3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07" spans="1:113" x14ac:dyDescent="0.3">
      <c r="A507" s="6"/>
      <c r="B507" s="6"/>
      <c r="C507" s="6"/>
      <c r="D507" s="6"/>
      <c r="E507" t="s">
        <v>81</v>
      </c>
      <c r="F507" t="e">
        <f ca="1">_xll.BDH($C$503,"RETURN_COM_EQY","FQ4 2014","FQ4 2014","Currency=INR","Period=FQ","BEST_FPERIOD_OVERRIDE=FQ","FILING_STATUS=OR","EQY_CONSOLIDATED=Y","FA_ADJUSTED=GAAP","Sort=A","Dates=H","DateFormat=P","Fill=—","Direction=H","UseDPDF=Y")</f>
        <v>#NAME?</v>
      </c>
      <c r="G507" t="e">
        <f ca="1">_xll.BDH($C$503,"RETURN_ON_ASSET","FQ4 2014","FQ4 2014","Currency=INR","Period=FQ","BEST_FPERIOD_OVERRIDE=FQ","FILING_STATUS=OR","EQY_CONSOLIDATED=Y","FA_ADJUSTED=GAAP","Sort=A","Dates=H","DateFormat=P","Fill=—","Direction=H","UseDPDF=Y")</f>
        <v>#NAME?</v>
      </c>
      <c r="H507" t="e">
        <f ca="1">_xll.BDH($C$503,"RETURN_ON_CAP","FQ4 2014","FQ4 2014","Currency=INR","Period=FQ","BEST_FPERIOD_OVERRIDE=FQ","FILING_STATUS=OR","EQY_CONSOLIDATED=Y","FA_ADJUSTED=GAAP","Sort=A","Dates=H","DateFormat=P","Fill=—","Direction=H","UseDPDF=Y")</f>
        <v>#NAME?</v>
      </c>
      <c r="I507" t="e">
        <f ca="1">_xll.BDH($C$503,"RETURN_ON_INV_CAPITAL","FQ4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07" t="e">
        <f ca="1">_xll.BDH($C$503,"EBITDA_TO_REVENUE","FQ4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07" t="e">
        <f ca="1">_xll.BDH($C$503,"OPER_MARGIN","FQ4 2014","FQ4 2014","Currency=INR","Period=FQ","BEST_FPERIOD_OVERRIDE=FQ","FILING_STATUS=OR","EQY_CONSOLIDATED=Y","FA_ADJUSTED=GAAP","Sort=A","Dates=H","DateFormat=P","Fill=—","Direction=H","UseDPDF=Y")</f>
        <v>#NAME?</v>
      </c>
      <c r="L507" t="e">
        <f ca="1">_xll.BDH($C$503,"INCREMENTAL_OPERATING_MARGIN","FQ4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07" t="e">
        <f ca="1">_xll.BDH($C$503,"PRETAX_INC_TO_NET_SALES","FQ4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07" t="e">
        <f ca="1">_xll.BDH($C$503,"INC_BEF_XO_ITEMS_TO_NET_SALES","FQ4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07" t="e">
        <f ca="1">_xll.BDH($C$503,"PROF_MARGIN","FQ4 2014","FQ4 2014","Currency=INR","Period=FQ","BEST_FPERIOD_OVERRIDE=FQ","FILING_STATUS=OR","EQY_CONSOLIDATED=Y","FA_ADJUSTED=GAAP","Sort=A","Dates=H","DateFormat=P","Fill=—","Direction=H","UseDPDF=Y")</f>
        <v>#NAME?</v>
      </c>
      <c r="P507" t="e">
        <f ca="1">_xll.BDH($C$503,"NET_INCOME_TO_COMMON_MARGIN","FQ4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07" t="e">
        <f ca="1">_xll.BDH($C$503,"EFF_TAX_RATE","FQ4 2014","FQ4 2014","Currency=INR","Period=FQ","BEST_FPERIOD_OVERRIDE=FQ","FILING_STATUS=OR","EQY_CONSOLIDATED=Y","FA_ADJUSTED=GAAP","Sort=A","Dates=H","DateFormat=P","Fill=—","Direction=H","UseDPDF=Y")</f>
        <v>#NAME?</v>
      </c>
      <c r="R507" t="e">
        <f ca="1">_xll.BDH($C$503,"DVD_PAYOUT_RATIO","FQ4 2014","FQ4 2014","Currency=INR","Period=FQ","BEST_FPERIOD_OVERRIDE=FQ","FILING_STATUS=OR","EQY_CONSOLIDATED=Y","FA_ADJUSTED=GAAP","Sort=A","Dates=H","DateFormat=P","Fill=—","Direction=H","UseDPDF=Y")</f>
        <v>#NAME?</v>
      </c>
      <c r="S507" t="e">
        <f ca="1">_xll.BDH($C$503,"SUSTAIN_GROWTH_RT","FQ4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07" s="2" t="e">
        <f ca="1">_xll.BDH($C$503,"SALES_GROWTH","FQ4 2014","FQ4 2014","Currency=INR","Period=FQ","BEST_FPERIOD_OVERRIDE=FQ","FILING_STATUS=OR","EQY_CONSOLIDATED=Y","FA_ADJUSTED=GAAP","Sort=A","Dates=H","DateFormat=P","Fill=—","Direction=H","UseDPDF=Y")</f>
        <v>#NAME?</v>
      </c>
      <c r="U507" s="2" t="e">
        <f ca="1">_xll.BDH($C$503,"EBITDA_GROWTH","FQ4 2014","FQ4 2014","Currency=INR","Period=FQ","BEST_FPERIOD_OVERRIDE=FQ","FILING_STATUS=OR","EQY_CONSOLIDATED=Y","FA_ADJUSTED=GAAP","Sort=A","Dates=H","DateFormat=P","Fill=—","Direction=H","UseDPDF=Y")</f>
        <v>#NAME?</v>
      </c>
      <c r="V507" s="2" t="e">
        <f ca="1">_xll.BDH($C$503,"OPER_INC_GROWTH","FQ4 2014","FQ4 2014","Currency=INR","Period=FQ","BEST_FPERIOD_OVERRIDE=FQ","FILING_STATUS=OR","EQY_CONSOLIDATED=Y","FA_ADJUSTED=GAAP","Sort=A","Dates=H","DateFormat=P","Fill=—","Direction=H","UseDPDF=Y")</f>
        <v>#NAME?</v>
      </c>
      <c r="W507" s="2" t="e">
        <f ca="1">_xll.BDH($C$503,"EARN_FOR_COM_GROWTH","FQ4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07" s="2" t="e">
        <f ca="1">_xll.BDH($C$503,"DILUTED_EPS_AFT_XO_ITEMS_GROWTH","FQ4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07" s="2" t="e">
        <f ca="1">_xll.BDH($C$503,"DIVIDEND_PER_SHARE_1_YEAR_GROWTH","FQ4 2014","FQ4 2014","Currency=INR","Period=FQ","BEST_FPERIOD_OVERRIDE=FQ","FILING_STATUS=OR","EQY_CONSOLIDATED=Y","Sort=A","Dates=H","DateFormat=P","Fill=—","Direction=H","UseDPDF=Y")</f>
        <v>#NAME?</v>
      </c>
      <c r="Z507" s="2" t="e">
        <f ca="1">_xll.BDH($C$503,"ACCOUNTS_RECEIVABLE_GROWTH","FQ4 2014","FQ4 2014","Currency=INR","Period=FQ","BEST_FPERIOD_OVERRIDE=FQ","FILING_STATUS=OR","EQY_CONSOLIDATED=Y","Sort=A","Dates=H","DateFormat=P","Fill=—","Direction=H","UseDPDF=Y")</f>
        <v>#NAME?</v>
      </c>
      <c r="AA507" s="2" t="e">
        <f ca="1">_xll.BDH($C$503,"INVENTORY_GROWTH","FQ4 2014","FQ4 2014","Currency=INR","Period=FQ","BEST_FPERIOD_OVERRIDE=FQ","FILING_STATUS=OR","EQY_CONSOLIDATED=Y","Sort=A","Dates=H","DateFormat=P","Fill=—","Direction=H","UseDPDF=Y")</f>
        <v>#NAME?</v>
      </c>
      <c r="AB507" s="2" t="e">
        <f ca="1">_xll.BDH($C$503,"NET_FIXED_ASSETS_1_YEAR_GROWTH","FQ4 2014","FQ4 2014","Currency=INR","Period=FQ","BEST_FPERIOD_OVERRIDE=FQ","FILING_STATUS=OR","EQY_CONSOLIDATED=Y","Sort=A","Dates=H","DateFormat=P","Fill=—","Direction=H","UseDPDF=Y")</f>
        <v>#NAME?</v>
      </c>
      <c r="AC507" s="2" t="e">
        <f ca="1">_xll.BDH($C$503,"ASSET_GROWTH","FQ4 2014","FQ4 2014","Currency=INR","Period=FQ","BEST_FPERIOD_OVERRIDE=FQ","FILING_STATUS=OR","EQY_CONSOLIDATED=Y","Sort=A","Dates=H","DateFormat=P","Fill=—","Direction=H","UseDPDF=Y")</f>
        <v>#NAME?</v>
      </c>
      <c r="AD507" s="2" t="e">
        <f ca="1">_xll.BDH($C$503,"MODIFIED_WORK_CAP_GROWTH","FQ4 2014","FQ4 2014","Currency=INR","Period=FQ","BEST_FPERIOD_OVERRIDE=FQ","FILING_STATUS=OR","EQY_CONSOLIDATED=Y","Sort=A","Dates=H","DateFormat=P","Fill=—","Direction=H","UseDPDF=Y")</f>
        <v>#NAME?</v>
      </c>
      <c r="AE507" s="2" t="e">
        <f ca="1">_xll.BDH($C$503,"WORK_CAP_GROWTH","FQ4 2014","FQ4 2014","Currency=INR","Period=FQ","BEST_FPERIOD_OVERRIDE=FQ","FILING_STATUS=OR","EQY_CONSOLIDATED=Y","Sort=A","Dates=H","DateFormat=P","Fill=—","Direction=H","UseDPDF=Y")</f>
        <v>#NAME?</v>
      </c>
      <c r="AF507" s="2" t="e">
        <f ca="1">_xll.BDH($C$503,"ACCOUNTS_PAYABLE_GROWTH_1YR","FQ4 2014","FQ4 2014","Currency=INR","Period=FQ","BEST_FPERIOD_OVERRIDE=FQ","FILING_STATUS=OR","EQY_CONSOLIDATED=Y","Sort=A","Dates=H","DateFormat=P","Fill=—","Direction=H","UseDPDF=Y")</f>
        <v>#NAME?</v>
      </c>
      <c r="AG507" s="2" t="e">
        <f ca="1">_xll.BDH($C$503,"SHORT_TERM_DEBT_1_YEAR_GROWTH","FQ4 2014","FQ4 2014","Currency=INR","Period=FQ","BEST_FPERIOD_OVERRIDE=FQ","FILING_STATUS=OR","EQY_CONSOLIDATED=Y","Sort=A","Dates=H","DateFormat=P","Fill=—","Direction=H","UseDPDF=Y")</f>
        <v>#NAME?</v>
      </c>
      <c r="AH507" s="2" t="e">
        <f ca="1">_xll.BDH($C$503,"TOTAL_DEBT_1_YEAR_GROWTH","FQ4 2014","FQ4 2014","Currency=INR","Period=FQ","BEST_FPERIOD_OVERRIDE=FQ","FILING_STATUS=OR","EQY_CONSOLIDATED=Y","Sort=A","Dates=H","DateFormat=P","Fill=—","Direction=H","UseDPDF=Y")</f>
        <v>#NAME?</v>
      </c>
      <c r="AI507" s="2" t="e">
        <f ca="1">_xll.BDH($C$503,"TOTAL_EQUITY_1_YEAR_GROWTH","FQ4 2014","FQ4 2014","Currency=INR","Period=FQ","BEST_FPERIOD_OVERRIDE=FQ","FILING_STATUS=OR","EQY_CONSOLIDATED=Y","Sort=A","Dates=H","DateFormat=P","Fill=—","Direction=H","UseDPDF=Y")</f>
        <v>#NAME?</v>
      </c>
      <c r="AJ507" s="2" t="e">
        <f ca="1">_xll.BDH($C$503,"GROWTH_IN_CAP","FQ4 2014","FQ4 2014","Currency=INR","Period=FQ","BEST_FPERIOD_OVERRIDE=FQ","FILING_STATUS=OR","EQY_CONSOLIDATED=Y","Sort=A","Dates=H","DateFormat=P","Fill=—","Direction=H","UseDPDF=Y")</f>
        <v>#NAME?</v>
      </c>
      <c r="AK507" s="2" t="e">
        <f ca="1">_xll.BDH($C$503,"BVPS_GROWTH","FQ4 2014","FQ4 2014","Currency=INR","Period=FQ","BEST_FPERIOD_OVERRIDE=FQ","FILING_STATUS=OR","EQY_CONSOLIDATED=Y","Sort=A","Dates=H","DateFormat=P","Fill=—","Direction=H","UseDPDF=Y")</f>
        <v>#NAME?</v>
      </c>
      <c r="AL507" s="2" t="e">
        <f ca="1">_xll.BDH($C$503,"CASH_FLOW_GROWTH","FQ4 2014","FQ4 2014","Currency=INR","Period=FQ","BEST_FPERIOD_OVERRIDE=FQ","FILING_STATUS=OR","EQY_CONSOLIDATED=Y","Sort=A","Dates=H","DateFormat=P","Fill=—","Direction=H","UseDPDF=Y")</f>
        <v>#NAME?</v>
      </c>
      <c r="AM507" s="2" t="e">
        <f ca="1">_xll.BDH($C$503,"GEO_GROW_NET_SALES","FQ4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07" s="2" t="e">
        <f ca="1">_xll.BDH($C$503,"GEO_GROW_EBITDA","FQ4 2014","FQ4 2014","Currency=INR","Period=FQ","BEST_FPERIOD_OVERRIDE=FQ","FILING_STATUS=OR","EQY_CONSOLIDATED=Y","FA_ADJUSTED=GAAP","Sort=A","Dates=H","DateFormat=P","Fill=—","Direction=H","UseDPDF=Y")</f>
        <v>#NAME?</v>
      </c>
      <c r="AO507" s="2" t="e">
        <f ca="1">_xll.BDH($C$503,"GEO_GROW_OPER_INC","FQ4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07" s="2" t="e">
        <f ca="1">_xll.BDH($C$503,"NET_INCOME_TO_COMMON_5_YR_GROWTH","FQ4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07" s="2" t="e">
        <f ca="1">_xll.BDH($C$503,"5Y_GEO_GROWTH_DILUTED_EPS","FQ4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07" s="2" t="e">
        <f ca="1">_xll.BDH($C$503,"GEO_GROW_DVD_PER_SH","FQ4 2014","FQ4 2014","Currency=INR","Period=FQ","BEST_FPERIOD_OVERRIDE=FQ","FILING_STATUS=OR","EQY_CONSOLIDATED=Y","Sort=A","Dates=H","DateFormat=P","Fill=—","Direction=H","UseDPDF=Y")</f>
        <v>#NAME?</v>
      </c>
      <c r="AS507" s="2" t="e">
        <f ca="1">_xll.BDH($C$503,"ACCOUNTS_RECEIVABLE_5_YR_GROWTH","FQ4 2014","FQ4 2014","Currency=INR","Period=FQ","BEST_FPERIOD_OVERRIDE=FQ","FILING_STATUS=OR","EQY_CONSOLIDATED=Y","Sort=A","Dates=H","DateFormat=P","Fill=—","Direction=H","UseDPDF=Y")</f>
        <v>#NAME?</v>
      </c>
      <c r="AT507" s="2" t="e">
        <f ca="1">_xll.BDH($C$503,"INVENTORY_5_YEAR_GROWTH","FQ4 2014","FQ4 2014","Currency=INR","Period=FQ","BEST_FPERIOD_OVERRIDE=FQ","FILING_STATUS=OR","EQY_CONSOLIDATED=Y","Sort=A","Dates=H","DateFormat=P","Fill=—","Direction=H","UseDPDF=Y")</f>
        <v>#NAME?</v>
      </c>
      <c r="AU507" s="2" t="e">
        <f ca="1">_xll.BDH($C$503,"NET_FIXED_ASSETS_5_YEAR_GROWTH","FQ4 2014","FQ4 2014","Currency=INR","Period=FQ","BEST_FPERIOD_OVERRIDE=FQ","FILING_STATUS=OR","EQY_CONSOLIDATED=Y","Sort=A","Dates=H","DateFormat=P","Fill=—","Direction=H","UseDPDF=Y")</f>
        <v>#NAME?</v>
      </c>
      <c r="AV507" s="2" t="e">
        <f ca="1">_xll.BDH($C$503,"GEO_GROW_TOT_ASSET","FQ4 2014","FQ4 2014","Currency=INR","Period=FQ","BEST_FPERIOD_OVERRIDE=FQ","FILING_STATUS=OR","EQY_CONSOLIDATED=Y","Sort=A","Dates=H","DateFormat=P","Fill=—","Direction=H","UseDPDF=Y")</f>
        <v>#NAME?</v>
      </c>
      <c r="AW507" s="2" t="e">
        <f ca="1">_xll.BDH($C$503,"MODIFIED_WORKING_CPTL_5YR_GRWTH","FQ4 2014","FQ4 2014","Currency=INR","Period=FQ","BEST_FPERIOD_OVERRIDE=FQ","FILING_STATUS=OR","EQY_CONSOLIDATED=Y","Sort=A","Dates=H","DateFormat=P","Fill=—","Direction=H","UseDPDF=Y")</f>
        <v>#NAME?</v>
      </c>
      <c r="AX507" s="2" t="e">
        <f ca="1">_xll.BDH($C$503,"WORKING_CAPITAL_5_YEAR_GROWTH","FQ4 2014","FQ4 2014","Currency=INR","Period=FQ","BEST_FPERIOD_OVERRIDE=FQ","FILING_STATUS=OR","EQY_CONSOLIDATED=Y","Sort=A","Dates=H","DateFormat=P","Fill=—","Direction=H","UseDPDF=Y")</f>
        <v>#NAME?</v>
      </c>
      <c r="AY507" s="2" t="e">
        <f ca="1">_xll.BDH($C$503,"ACCOUNTS_PAYABLE_5_YEAR_GROWTH","FQ4 2014","FQ4 2014","Currency=INR","Period=FQ","BEST_FPERIOD_OVERRIDE=FQ","FILING_STATUS=OR","EQY_CONSOLIDATED=Y","Sort=A","Dates=H","DateFormat=P","Fill=—","Direction=H","UseDPDF=Y")</f>
        <v>#NAME?</v>
      </c>
      <c r="AZ507" s="2" t="e">
        <f ca="1">_xll.BDH($C$503,"SHORT_TERM_DEBT_5_YEAR_GROWTH","FQ4 2014","FQ4 2014","Currency=INR","Period=FQ","BEST_FPERIOD_OVERRIDE=FQ","FILING_STATUS=OR","EQY_CONSOLIDATED=Y","Sort=A","Dates=H","DateFormat=P","Fill=—","Direction=H","UseDPDF=Y")</f>
        <v>#NAME?</v>
      </c>
      <c r="BA507" s="2" t="e">
        <f ca="1">_xll.BDH($C$503,"TOTAL_DEBT_5_YEAR_GROWTH","FQ4 2014","FQ4 2014","Currency=INR","Period=FQ","BEST_FPERIOD_OVERRIDE=FQ","FILING_STATUS=OR","EQY_CONSOLIDATED=Y","Sort=A","Dates=H","DateFormat=P","Fill=—","Direction=H","UseDPDF=Y")</f>
        <v>#NAME?</v>
      </c>
      <c r="BB507" s="2" t="e">
        <f ca="1">_xll.BDH($C$503,"GEO_GROW_TOT_SHRHLDR_EQY","FQ4 2014","FQ4 2014","Currency=INR","Period=FQ","BEST_FPERIOD_OVERRIDE=FQ","FILING_STATUS=OR","EQY_CONSOLIDATED=Y","Sort=A","Dates=H","DateFormat=P","Fill=—","Direction=H","UseDPDF=Y")</f>
        <v>#NAME?</v>
      </c>
      <c r="BC507" s="2" t="e">
        <f ca="1">_xll.BDH($C$503,"TOTAL_CAPITAL_5_YEAR_GROWTH","FQ4 2014","FQ4 2014","Currency=INR","Period=FQ","BEST_FPERIOD_OVERRIDE=FQ","FILING_STATUS=OR","EQY_CONSOLIDATED=Y","Sort=A","Dates=H","DateFormat=P","Fill=—","Direction=H","UseDPDF=Y")</f>
        <v>#NAME?</v>
      </c>
      <c r="BD507" s="2" t="e">
        <f ca="1">_xll.BDH($C$503,"GEO_GROW_BOOK_VAL","FQ4 2014","FQ4 2014","Currency=INR","Period=FQ","BEST_FPERIOD_OVERRIDE=FQ","FILING_STATUS=OR","EQY_CONSOLIDATED=Y","Sort=A","Dates=H","DateFormat=P","Fill=—","Direction=H","UseDPDF=Y")</f>
        <v>#NAME?</v>
      </c>
      <c r="BE507" s="2" t="e">
        <f ca="1">_xll.BDH($C$503,"GEO_GROW_CASH_OPER_ACT","FQ4 2014","FQ4 2014","Currency=INR","Period=FQ","BEST_FPERIOD_OVERRIDE=FQ","FILING_STATUS=OR","EQY_CONSOLIDATED=Y","Sort=A","Dates=H","DateFormat=P","Fill=—","Direction=H","UseDPDF=Y")</f>
        <v>#NAME?</v>
      </c>
      <c r="BF507" s="2" t="e">
        <f ca="1">_xll.BDH($C$503,"REVENUE_SEQUENTIAL_GROWTH","FQ4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07" s="2" t="e">
        <f ca="1">_xll.BDH($C$503,"EBITDA_SEQUENTIAL_GROWTH","FQ4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07" s="2" t="e">
        <f ca="1">_xll.BDH($C$503,"OPERATING_INCOME_SEQ_GROWTH","FQ4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07" s="2" t="e">
        <f ca="1">_xll.BDH($C$503,"NET_INCOME_TO_COMMON_SEQ_GROWTH","FQ4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07" s="2" t="e">
        <f ca="1">_xll.BDH($C$503,"EPS_DILUTED_SEQUENTIAL_GROWTH","FQ4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07" s="2" t="e">
        <f ca="1">_xll.BDH($C$503,"DPS_SEQUENTIAL_GROWTH","FQ4 2014","FQ4 2014","Currency=INR","Period=FQ","BEST_FPERIOD_OVERRIDE=FQ","FILING_STATUS=OR","EQY_CONSOLIDATED=Y","Sort=A","Dates=H","DateFormat=P","Fill=—","Direction=H","UseDPDF=Y")</f>
        <v>#NAME?</v>
      </c>
      <c r="BL507" s="2" t="e">
        <f ca="1">_xll.BDH($C$503,"ACCOUNTS_RECEIVABLE_SEQ_GROWTH","FQ4 2014","FQ4 2014","Currency=INR","Period=FQ","BEST_FPERIOD_OVERRIDE=FQ","FILING_STATUS=OR","EQY_CONSOLIDATED=Y","Sort=A","Dates=H","DateFormat=P","Fill=—","Direction=H","UseDPDF=Y")</f>
        <v>#NAME?</v>
      </c>
      <c r="BM507" s="2" t="e">
        <f ca="1">_xll.BDH($C$503,"INVENTORY_SEQUENTIAL_GROWTH","FQ4 2014","FQ4 2014","Currency=INR","Period=FQ","BEST_FPERIOD_OVERRIDE=FQ","FILING_STATUS=OR","EQY_CONSOLIDATED=Y","Sort=A","Dates=H","DateFormat=P","Fill=—","Direction=H","UseDPDF=Y")</f>
        <v>#NAME?</v>
      </c>
      <c r="BN507" s="2" t="e">
        <f ca="1">_xll.BDH($C$503,"FIXED_ASSETS_SEQUENTIAL_GROWTH","FQ4 2014","FQ4 2014","Currency=INR","Period=FQ","BEST_FPERIOD_OVERRIDE=FQ","FILING_STATUS=OR","EQY_CONSOLIDATED=Y","Sort=A","Dates=H","DateFormat=P","Fill=—","Direction=H","UseDPDF=Y")</f>
        <v>#NAME?</v>
      </c>
      <c r="BO507" s="2" t="e">
        <f ca="1">_xll.BDH($C$503,"TOTAL_ASSETS_SEQUENTIAL_GROWTH","FQ4 2014","FQ4 2014","Currency=INR","Period=FQ","BEST_FPERIOD_OVERRIDE=FQ","FILING_STATUS=OR","EQY_CONSOLIDATED=Y","Sort=A","Dates=H","DateFormat=P","Fill=—","Direction=H","UseDPDF=Y")</f>
        <v>#NAME?</v>
      </c>
      <c r="BP507" s="2" t="e">
        <f ca="1">_xll.BDH($C$503,"MODIFIED_WORKING_CPTL_SEQ_GRWTH","FQ4 2014","FQ4 2014","Currency=INR","Period=FQ","BEST_FPERIOD_OVERRIDE=FQ","FILING_STATUS=OR","EQY_CONSOLIDATED=Y","Sort=A","Dates=H","DateFormat=P","Fill=—","Direction=H","UseDPDF=Y")</f>
        <v>#NAME?</v>
      </c>
      <c r="BQ507" s="2" t="e">
        <f ca="1">_xll.BDH($C$503,"WORKING_CAPITAL_SEQ_GROWTH","FQ4 2014","FQ4 2014","Currency=INR","Period=FQ","BEST_FPERIOD_OVERRIDE=FQ","FILING_STATUS=OR","EQY_CONSOLIDATED=Y","Sort=A","Dates=H","DateFormat=P","Fill=—","Direction=H","UseDPDF=Y")</f>
        <v>#NAME?</v>
      </c>
      <c r="BR507" s="2" t="e">
        <f ca="1">_xll.BDH($C$503,"ACCOUNTS_PAYABLE_SEQ_GROWTH","FQ4 2014","FQ4 2014","Currency=INR","Period=FQ","BEST_FPERIOD_OVERRIDE=FQ","FILING_STATUS=OR","EQY_CONSOLIDATED=Y","Sort=A","Dates=H","DateFormat=P","Fill=—","Direction=H","UseDPDF=Y")</f>
        <v>#NAME?</v>
      </c>
      <c r="BS507" s="2" t="e">
        <f ca="1">_xll.BDH($C$503,"ST_DEBT_SEQUENTIAL_GROWTH","FQ4 2014","FQ4 2014","Currency=INR","Period=FQ","BEST_FPERIOD_OVERRIDE=FQ","FILING_STATUS=OR","EQY_CONSOLIDATED=Y","Sort=A","Dates=H","DateFormat=P","Fill=—","Direction=H","UseDPDF=Y")</f>
        <v>#NAME?</v>
      </c>
      <c r="BT507" s="2" t="e">
        <f ca="1">_xll.BDH($C$503,"TOTAL_DEBT_SEQUENTIAL_GROWTH","FQ4 2014","FQ4 2014","Currency=INR","Period=FQ","BEST_FPERIOD_OVERRIDE=FQ","FILING_STATUS=OR","EQY_CONSOLIDATED=Y","Sort=A","Dates=H","DateFormat=P","Fill=—","Direction=H","UseDPDF=Y")</f>
        <v>#NAME?</v>
      </c>
      <c r="BU507" s="2" t="e">
        <f ca="1">_xll.BDH($C$503,"TOTAL_EQUITY_SEQUENTIAL_GROWTH","FQ4 2014","FQ4 2014","Currency=INR","Period=FQ","BEST_FPERIOD_OVERRIDE=FQ","FILING_STATUS=OR","EQY_CONSOLIDATED=Y","Sort=A","Dates=H","DateFormat=P","Fill=—","Direction=H","UseDPDF=Y")</f>
        <v>#NAME?</v>
      </c>
      <c r="BV507" s="2" t="e">
        <f ca="1">_xll.BDH($C$503,"TOTAL_CAPITAL_SEQUENTIAL_GROWTH","FQ4 2014","FQ4 2014","Currency=INR","Period=FQ","BEST_FPERIOD_OVERRIDE=FQ","FILING_STATUS=OR","EQY_CONSOLIDATED=Y","Sort=A","Dates=H","DateFormat=P","Fill=—","Direction=H","UseDPDF=Y")</f>
        <v>#NAME?</v>
      </c>
      <c r="BW507" s="2" t="e">
        <f ca="1">_xll.BDH($C$503,"BPS_SEQUENTIAL_GROWTH","FQ4 2014","FQ4 2014","Currency=INR","Period=FQ","BEST_FPERIOD_OVERRIDE=FQ","FILING_STATUS=OR","EQY_CONSOLIDATED=Y","Sort=A","Dates=H","DateFormat=P","Fill=—","Direction=H","UseDPDF=Y")</f>
        <v>#NAME?</v>
      </c>
      <c r="BX507" s="2" t="e">
        <f ca="1">_xll.BDH($C$503,"CFO_SEQUENTIAL_GROWTH","FQ4 2014","FQ4 2014","Currency=INR","Period=FQ","BEST_FPERIOD_OVERRIDE=FQ","FILING_STATUS=OR","EQY_CONSOLIDATED=Y","Sort=A","Dates=H","DateFormat=P","Fill=—","Direction=H","UseDPDF=Y")</f>
        <v>#NAME?</v>
      </c>
      <c r="BY507" s="3" t="e">
        <f ca="1">_xll.BDH($C$503,"SHORT_AND_LONG_TERM_DEBT","FQ4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07" s="3" t="e">
        <f ca="1">_xll.BDH($C$503,"BS_ST_BORROW","FQ4 2014","FQ4 2014","Currency=INR","Period=FQ","BEST_FPERIOD_OVERRIDE=FQ","FILING_STATUS=OR","EQY_CONSOLIDATED=Y","SCALING_FORMAT=MLN","Sort=A","Dates=H","DateFormat=P","Fill=—","Direction=H","UseDPDF=Y")</f>
        <v>#NAME?</v>
      </c>
      <c r="CA507" s="3" t="e">
        <f ca="1">_xll.BDH($C$503,"BS_LT_BORROW","FQ4 2014","FQ4 2014","Currency=INR","Period=FQ","BEST_FPERIOD_OVERRIDE=FQ","FILING_STATUS=OR","EQY_CONSOLIDATED=Y","SCALING_FORMAT=MLN","Sort=A","Dates=H","DateFormat=P","Fill=—","Direction=H","UseDPDF=Y")</f>
        <v>#NAME?</v>
      </c>
      <c r="CB507" s="2" t="e">
        <f ca="1">_xll.BDH($C$503,"TOT_DEBT_TO_EBITDA","FQ4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07" s="2" t="e">
        <f ca="1">_xll.BDH($C$503,"NET_DEBT_TO_EBITDA","FQ4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07" s="2" t="e">
        <f ca="1">_xll.BDH($C$503,"TOTAL_DEBT_TO_EBIT","FQ4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07" s="2" t="e">
        <f ca="1">_xll.BDH($C$503,"NET_DEBT_TO_EBIT","FQ4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07" s="2" t="e">
        <f ca="1">_xll.BDH($C$503,"EBITDA_TO_INTEREST_EXPN","FQ4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07" s="2" t="e">
        <f ca="1">_xll.BDH($C$503,"COM_EQY_TO_TOT_ASSET","FQ4 2014","FQ4 2014","Currency=INR","Period=FQ","BEST_FPERIOD_OVERRIDE=FQ","FILING_STATUS=OR","EQY_CONSOLIDATED=Y","Sort=A","Dates=H","DateFormat=P","Fill=—","Direction=H","UseDPDF=Y")</f>
        <v>#NAME?</v>
      </c>
      <c r="CH507" s="2" t="e">
        <f ca="1">_xll.BDH($C$503,"LT_DEBT_TO_TOT_EQY","FQ4 2014","FQ4 2014","Currency=INR","Period=FQ","BEST_FPERIOD_OVERRIDE=FQ","FILING_STATUS=OR","EQY_CONSOLIDATED=Y","Sort=A","Dates=H","DateFormat=P","Fill=—","Direction=H","UseDPDF=Y")</f>
        <v>#NAME?</v>
      </c>
      <c r="CI507" s="2" t="e">
        <f ca="1">_xll.BDH($C$503,"LT_DEBT_TO_TOT_CAP","FQ4 2014","FQ4 2014","Currency=INR","Period=FQ","BEST_FPERIOD_OVERRIDE=FQ","FILING_STATUS=OR","EQY_CONSOLIDATED=Y","Sort=A","Dates=H","DateFormat=P","Fill=—","Direction=H","UseDPDF=Y")</f>
        <v>#NAME?</v>
      </c>
      <c r="CJ507" s="2" t="e">
        <f ca="1">_xll.BDH($C$503,"LT_DEBT_TO_TOT_ASSET","FQ4 2014","FQ4 2014","Currency=INR","Period=FQ","BEST_FPERIOD_OVERRIDE=FQ","FILING_STATUS=OR","EQY_CONSOLIDATED=Y","Sort=A","Dates=H","DateFormat=P","Fill=—","Direction=H","UseDPDF=Y")</f>
        <v>#NAME?</v>
      </c>
      <c r="CK507" s="2" t="e">
        <f ca="1">_xll.BDH($C$503,"TOT_DEBT_TO_TOT_EQY","FQ4 2014","FQ4 2014","Currency=INR","Period=FQ","BEST_FPERIOD_OVERRIDE=FQ","FILING_STATUS=OR","EQY_CONSOLIDATED=Y","Sort=A","Dates=H","DateFormat=P","Fill=—","Direction=H","UseDPDF=Y")</f>
        <v>#NAME?</v>
      </c>
      <c r="CL507" s="2" t="e">
        <f ca="1">_xll.BDH($C$503,"TOT_DEBT_TO_TOT_CAP","FQ4 2014","FQ4 2014","Currency=INR","Period=FQ","BEST_FPERIOD_OVERRIDE=FQ","FILING_STATUS=OR","EQY_CONSOLIDATED=Y","Sort=A","Dates=H","DateFormat=P","Fill=—","Direction=H","UseDPDF=Y")</f>
        <v>#NAME?</v>
      </c>
      <c r="CM507" s="2" t="e">
        <f ca="1">_xll.BDH($C$503,"TOT_DEBT_TO_TOT_ASSET","FQ4 2014","FQ4 2014","Currency=INR","Period=FQ","BEST_FPERIOD_OVERRIDE=FQ","FILING_STATUS=OR","EQY_CONSOLIDATED=Y","Sort=A","Dates=H","DateFormat=P","Fill=—","Direction=H","UseDPDF=Y")</f>
        <v>#NAME?</v>
      </c>
      <c r="CN507" s="2" t="e">
        <f ca="1">_xll.BDH($C$503,"NET_DEBT_TO_SHRHLDR_EQTY","FQ4 2014","FQ4 2014","Currency=INR","Period=FQ","BEST_FPERIOD_OVERRIDE=FQ","FILING_STATUS=OR","EQY_CONSOLIDATED=Y","Sort=A","Dates=H","DateFormat=P","Fill=—","Direction=H","UseDPDF=Y")</f>
        <v>#NAME?</v>
      </c>
      <c r="CO507" s="2" t="e">
        <f ca="1">_xll.BDH($C$503,"NET_DEBT_%_CAPITAL","FQ4 2014","FQ4 2014","Currency=INR","Period=FQ","BEST_FPERIOD_OVERRIDE=FQ","FILING_STATUS=OR","EQY_CONSOLIDATED=Y","Sort=A","Dates=H","DateFormat=P","Fill=—","Direction=H","UseDPDF=Y")</f>
        <v>#NAME?</v>
      </c>
      <c r="CP507" s="3" t="e">
        <f ca="1">_xll.BDH($C$503,"EBITDA","FQ4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07" s="3" t="e">
        <f ca="1">_xll.BDH($C$503,"EBITDA_AFTER_CAPEX","FQ4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07" s="3" t="e">
        <f ca="1">_xll.BDH($C$503,"IS_OPER_INC","FQ4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07" s="2" t="e">
        <f ca="1">_xll.BDH($C$503,"CASH_RATIO","FQ4 2014","FQ4 2014","Currency=INR","Period=FQ","BEST_FPERIOD_OVERRIDE=FQ","FILING_STATUS=OR","EQY_CONSOLIDATED=Y","Sort=A","Dates=H","DateFormat=P","Fill=—","Direction=H","UseDPDF=Y")</f>
        <v>#NAME?</v>
      </c>
      <c r="CT507" s="2" t="e">
        <f ca="1">_xll.BDH($C$503,"CUR_RATIO","FQ4 2014","FQ4 2014","Currency=INR","Period=FQ","BEST_FPERIOD_OVERRIDE=FQ","FILING_STATUS=OR","EQY_CONSOLIDATED=Y","Sort=A","Dates=H","DateFormat=P","Fill=—","Direction=H","UseDPDF=Y")</f>
        <v>#NAME?</v>
      </c>
      <c r="CU507" s="2" t="e">
        <f ca="1">_xll.BDH($C$503,"QUICK_RATIO","FQ4 2014","FQ4 2014","Currency=INR","Period=FQ","BEST_FPERIOD_OVERRIDE=FQ","FILING_STATUS=OR","EQY_CONSOLIDATED=Y","Sort=A","Dates=H","DateFormat=P","Fill=—","Direction=H","UseDPDF=Y")</f>
        <v>#NAME?</v>
      </c>
      <c r="CV507" s="2" t="e">
        <f ca="1">_xll.BDH($C$503,"ALTMAN_Z_SCORE","FQ4 2014","FQ4 2014","Currency=INR","Period=FQ","BEST_FPERIOD_OVERRIDE=FQ","FILING_STATUS=OR","EQY_CONSOLIDATED=Y","Sort=A","Dates=H","DateFormat=P","Fill=—","Direction=H","UseDPDF=Y")</f>
        <v>#NAME?</v>
      </c>
      <c r="CW507" s="4" t="e">
        <f ca="1">_xll.BDH($C$503,"ACCT_RCV_TURN","FQ4 2014","FQ4 2014","Currency=INR","Period=FQ","BEST_FPERIOD_OVERRIDE=FQ","FILING_STATUS=OR","EQY_CONSOLIDATED=Y","FA_ADJUSTED=GAAP","Sort=A","Dates=H","DateFormat=P","Fill=—","Direction=H","UseDPDF=Y")</f>
        <v>#NAME?</v>
      </c>
      <c r="CX507" s="2" t="e">
        <f ca="1">_xll.BDH($C$503,"ACCT_RCV_DAYS","FQ4 2014","FQ4 2014","Currency=INR","Period=FQ","BEST_FPERIOD_OVERRIDE=FQ","FILING_STATUS=OR","EQY_CONSOLIDATED=Y","FA_ADJUSTED=GAAP","Sort=A","Dates=H","DateFormat=P","Fill=—","Direction=H","UseDPDF=Y")</f>
        <v>#NAME?</v>
      </c>
      <c r="CY507" s="4" t="e">
        <f ca="1">_xll.BDH($C$503,"INVENT_TURN","FQ4 2014","FQ4 2014","Currency=INR","Period=FQ","BEST_FPERIOD_OVERRIDE=FQ","FILING_STATUS=OR","EQY_CONSOLIDATED=Y","FA_ADJUSTED=GAAP","Sort=A","Dates=H","DateFormat=P","Fill=—","Direction=H","UseDPDF=Y")</f>
        <v>#NAME?</v>
      </c>
      <c r="CZ507" s="2" t="e">
        <f ca="1">_xll.BDH($C$503,"INVENT_DAYS","FQ4 2014","FQ4 2014","Currency=INR","Period=FQ","BEST_FPERIOD_OVERRIDE=FQ","FILING_STATUS=OR","EQY_CONSOLIDATED=Y","FA_ADJUSTED=GAAP","Sort=A","Dates=H","DateFormat=P","Fill=—","Direction=H","UseDPDF=Y")</f>
        <v>#NAME?</v>
      </c>
      <c r="DA507" s="4" t="e">
        <f ca="1">_xll.BDH($C$503,"ACCOUNTS_PAYABLE_TURNOVER","FQ4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07" s="2" t="e">
        <f ca="1">_xll.BDH($C$503,"ACCOUNTS_PAYABLE_TURNOVER_DAYS","FQ4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07" s="4" t="e">
        <f ca="1">_xll.BDH($C$503,"CASH_CONVERSION_CYCLE","FQ4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07" s="4" t="e">
        <f ca="1">_xll.BDH($C$503,"INV_TO_CASH_DAYS","FQ4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07" s="5" t="e">
        <f ca="1">_xll.BDH($C$503,"BS_INVENTORIES","FQ4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07" s="3" t="e">
        <f ca="1">_xll.BDH($C$503,"INVTRY_RAW_MATERIALS","FQ4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07" s="3" t="e">
        <f ca="1">_xll.BDH($C$503,"INVTRY_IN_PROGRESS","FQ4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07" s="3" t="e">
        <f ca="1">_xll.BDH($C$503,"INVTRY_FINISHED_GOODS","FQ4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07" s="3" t="e">
        <f ca="1">_xll.BDH($C$503,"BS_OTHER_INV","FQ4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08" spans="1:113" x14ac:dyDescent="0.3">
      <c r="A508" s="6"/>
      <c r="B508" s="6"/>
      <c r="C508" s="6"/>
      <c r="D508" s="6" t="s">
        <v>82</v>
      </c>
      <c r="E508" t="s">
        <v>77</v>
      </c>
      <c r="F508" t="e">
        <f ca="1">_xll.BDH($C$503,"RETURN_COM_EQY","FY 2015","FY 2015","Currency=INR","Period=FY","BEST_FPERIOD_OVERRIDE=FY","FILING_STATUS=OR","EQY_CONSOLIDATED=Y","FA_ADJUSTED=GAAP","Sort=A","Dates=H","DateFormat=P","Fill=—","Direction=H","UseDPDF=Y")</f>
        <v>#NAME?</v>
      </c>
      <c r="G508" t="e">
        <f ca="1">_xll.BDH($C$503,"RETURN_ON_ASSET","FY 2015","FY 2015","Currency=INR","Period=FY","BEST_FPERIOD_OVERRIDE=FY","FILING_STATUS=OR","EQY_CONSOLIDATED=Y","FA_ADJUSTED=GAAP","Sort=A","Dates=H","DateFormat=P","Fill=—","Direction=H","UseDPDF=Y")</f>
        <v>#NAME?</v>
      </c>
      <c r="H508" t="e">
        <f ca="1">_xll.BDH($C$503,"RETURN_ON_CAP","FY 2015","FY 2015","Currency=INR","Period=FY","BEST_FPERIOD_OVERRIDE=FY","FILING_STATUS=OR","EQY_CONSOLIDATED=Y","FA_ADJUSTED=GAAP","Sort=A","Dates=H","DateFormat=P","Fill=—","Direction=H","UseDPDF=Y")</f>
        <v>#NAME?</v>
      </c>
      <c r="I508" t="e">
        <f ca="1">_xll.BDH($C$503,"RETURN_ON_INV_CAPITAL","FY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08" t="e">
        <f ca="1">_xll.BDH($C$503,"EBITDA_TO_REVENUE","FY 2015","FY 2015","Currency=INR","Period=FY","BEST_FPERIOD_OVERRIDE=FY","FILING_STATUS=OR","EQY_CONSOLIDATED=Y","FA_ADJUSTED=GAAP","Sort=A","Dates=H","DateFormat=P","Fill=—","Direction=H","UseDPDF=Y")</f>
        <v>#NAME?</v>
      </c>
      <c r="K508" t="e">
        <f ca="1">_xll.BDH($C$503,"OPER_MARGIN","FY 2015","FY 2015","Currency=INR","Period=FY","BEST_FPERIOD_OVERRIDE=FY","FILING_STATUS=OR","EQY_CONSOLIDATED=Y","FA_ADJUSTED=GAAP","Sort=A","Dates=H","DateFormat=P","Fill=—","Direction=H","UseDPDF=Y")</f>
        <v>#NAME?</v>
      </c>
      <c r="L508" t="e">
        <f ca="1">_xll.BDH($C$503,"INCREMENTAL_OPERATING_MARGIN","FY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08" t="e">
        <f ca="1">_xll.BDH($C$503,"PRETAX_INC_TO_NET_SALES","FY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08" t="e">
        <f ca="1">_xll.BDH($C$503,"INC_BEF_XO_ITEMS_TO_NET_SALES","FY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08" t="e">
        <f ca="1">_xll.BDH($C$503,"PROF_MARGIN","FY 2015","FY 2015","Currency=INR","Period=FY","BEST_FPERIOD_OVERRIDE=FY","FILING_STATUS=OR","EQY_CONSOLIDATED=Y","FA_ADJUSTED=GAAP","Sort=A","Dates=H","DateFormat=P","Fill=—","Direction=H","UseDPDF=Y")</f>
        <v>#NAME?</v>
      </c>
      <c r="P508" t="e">
        <f ca="1">_xll.BDH($C$503,"NET_INCOME_TO_COMMON_MARGIN","FY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08" t="e">
        <f ca="1">_xll.BDH($C$503,"EFF_TAX_RATE","FY 2015","FY 2015","Currency=INR","Period=FY","BEST_FPERIOD_OVERRIDE=FY","FILING_STATUS=OR","EQY_CONSOLIDATED=Y","FA_ADJUSTED=GAAP","Sort=A","Dates=H","DateFormat=P","Fill=—","Direction=H","UseDPDF=Y")</f>
        <v>#NAME?</v>
      </c>
      <c r="R508" t="e">
        <f ca="1">_xll.BDH($C$503,"DVD_PAYOUT_RATIO","FY 2015","FY 2015","Currency=INR","Period=FY","BEST_FPERIOD_OVERRIDE=FY","FILING_STATUS=OR","EQY_CONSOLIDATED=Y","FA_ADJUSTED=GAAP","Sort=A","Dates=H","DateFormat=P","Fill=—","Direction=H","UseDPDF=Y")</f>
        <v>#NAME?</v>
      </c>
      <c r="S508" t="e">
        <f ca="1">_xll.BDH($C$503,"SUSTAIN_GROWTH_RT","FY 2015","FY 2015","Currency=INR","Period=FY","BEST_FPERIOD_OVERRIDE=FY","FILING_STATUS=OR","EQY_CONSOLIDATED=Y","FA_ADJUSTED=GAAP","Sort=A","Dates=H","DateFormat=P","Fill=—","Direction=H","UseDPDF=Y")</f>
        <v>#NAME?</v>
      </c>
      <c r="T508" s="2" t="e">
        <f ca="1">_xll.BDH($C$503,"SALES_GROWTH","FY 2015","FY 2015","Currency=INR","Period=FY","BEST_FPERIOD_OVERRIDE=FY","FILING_STATUS=OR","EQY_CONSOLIDATED=Y","FA_ADJUSTED=GAAP","Sort=A","Dates=H","DateFormat=P","Fill=—","Direction=H","UseDPDF=Y")</f>
        <v>#NAME?</v>
      </c>
      <c r="U508" s="2" t="e">
        <f ca="1">_xll.BDH($C$503,"EBITDA_GROWTH","FY 2015","FY 2015","Currency=INR","Period=FY","BEST_FPERIOD_OVERRIDE=FY","FILING_STATUS=OR","EQY_CONSOLIDATED=Y","FA_ADJUSTED=GAAP","Sort=A","Dates=H","DateFormat=P","Fill=—","Direction=H","UseDPDF=Y")</f>
        <v>#NAME?</v>
      </c>
      <c r="V508" s="2" t="e">
        <f ca="1">_xll.BDH($C$503,"OPER_INC_GROWTH","FY 2015","FY 2015","Currency=INR","Period=FY","BEST_FPERIOD_OVERRIDE=FY","FILING_STATUS=OR","EQY_CONSOLIDATED=Y","FA_ADJUSTED=GAAP","Sort=A","Dates=H","DateFormat=P","Fill=—","Direction=H","UseDPDF=Y")</f>
        <v>#NAME?</v>
      </c>
      <c r="W508" s="2" t="e">
        <f ca="1">_xll.BDH($C$503,"EARN_FOR_COM_GROWTH","FY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08" s="2" t="e">
        <f ca="1">_xll.BDH($C$503,"DILUTED_EPS_AFT_XO_ITEMS_GROWTH","FY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08" s="2" t="e">
        <f ca="1">_xll.BDH($C$503,"DIVIDEND_PER_SHARE_1_YEAR_GROWTH","FY 2015","FY 2015","Currency=INR","Period=FY","BEST_FPERIOD_OVERRIDE=FY","FILING_STATUS=OR","EQY_CONSOLIDATED=Y","Sort=A","Dates=H","DateFormat=P","Fill=—","Direction=H","UseDPDF=Y")</f>
        <v>#NAME?</v>
      </c>
      <c r="Z508" s="2" t="e">
        <f ca="1">_xll.BDH($C$503,"ACCOUNTS_RECEIVABLE_GROWTH","FY 2015","FY 2015","Currency=INR","Period=FY","BEST_FPERIOD_OVERRIDE=FY","FILING_STATUS=OR","EQY_CONSOLIDATED=Y","Sort=A","Dates=H","DateFormat=P","Fill=—","Direction=H","UseDPDF=Y")</f>
        <v>#NAME?</v>
      </c>
      <c r="AA508" s="2" t="e">
        <f ca="1">_xll.BDH($C$503,"INVENTORY_GROWTH","FY 2015","FY 2015","Currency=INR","Period=FY","BEST_FPERIOD_OVERRIDE=FY","FILING_STATUS=OR","EQY_CONSOLIDATED=Y","Sort=A","Dates=H","DateFormat=P","Fill=—","Direction=H","UseDPDF=Y")</f>
        <v>#NAME?</v>
      </c>
      <c r="AB508" s="2" t="e">
        <f ca="1">_xll.BDH($C$503,"NET_FIXED_ASSETS_1_YEAR_GROWTH","FY 2015","FY 2015","Currency=INR","Period=FY","BEST_FPERIOD_OVERRIDE=FY","FILING_STATUS=OR","EQY_CONSOLIDATED=Y","Sort=A","Dates=H","DateFormat=P","Fill=—","Direction=H","UseDPDF=Y")</f>
        <v>#NAME?</v>
      </c>
      <c r="AC508" s="2" t="e">
        <f ca="1">_xll.BDH($C$503,"ASSET_GROWTH","FY 2015","FY 2015","Currency=INR","Period=FY","BEST_FPERIOD_OVERRIDE=FY","FILING_STATUS=OR","EQY_CONSOLIDATED=Y","Sort=A","Dates=H","DateFormat=P","Fill=—","Direction=H","UseDPDF=Y")</f>
        <v>#NAME?</v>
      </c>
      <c r="AD508" s="2" t="e">
        <f ca="1">_xll.BDH($C$503,"MODIFIED_WORK_CAP_GROWTH","FY 2015","FY 2015","Currency=INR","Period=FY","BEST_FPERIOD_OVERRIDE=FY","FILING_STATUS=OR","EQY_CONSOLIDATED=Y","Sort=A","Dates=H","DateFormat=P","Fill=—","Direction=H","UseDPDF=Y")</f>
        <v>#NAME?</v>
      </c>
      <c r="AE508" s="2" t="e">
        <f ca="1">_xll.BDH($C$503,"WORK_CAP_GROWTH","FY 2015","FY 2015","Currency=INR","Period=FY","BEST_FPERIOD_OVERRIDE=FY","FILING_STATUS=OR","EQY_CONSOLIDATED=Y","Sort=A","Dates=H","DateFormat=P","Fill=—","Direction=H","UseDPDF=Y")</f>
        <v>#NAME?</v>
      </c>
      <c r="AF508" s="2" t="e">
        <f ca="1">_xll.BDH($C$503,"ACCOUNTS_PAYABLE_GROWTH_1YR","FY 2015","FY 2015","Currency=INR","Period=FY","BEST_FPERIOD_OVERRIDE=FY","FILING_STATUS=OR","EQY_CONSOLIDATED=Y","Sort=A","Dates=H","DateFormat=P","Fill=—","Direction=H","UseDPDF=Y")</f>
        <v>#NAME?</v>
      </c>
      <c r="AG508" s="2" t="e">
        <f ca="1">_xll.BDH($C$503,"SHORT_TERM_DEBT_1_YEAR_GROWTH","FY 2015","FY 2015","Currency=INR","Period=FY","BEST_FPERIOD_OVERRIDE=FY","FILING_STATUS=OR","EQY_CONSOLIDATED=Y","Sort=A","Dates=H","DateFormat=P","Fill=—","Direction=H","UseDPDF=Y")</f>
        <v>#NAME?</v>
      </c>
      <c r="AH508" s="2" t="e">
        <f ca="1">_xll.BDH($C$503,"TOTAL_DEBT_1_YEAR_GROWTH","FY 2015","FY 2015","Currency=INR","Period=FY","BEST_FPERIOD_OVERRIDE=FY","FILING_STATUS=OR","EQY_CONSOLIDATED=Y","Sort=A","Dates=H","DateFormat=P","Fill=—","Direction=H","UseDPDF=Y")</f>
        <v>#NAME?</v>
      </c>
      <c r="AI508" s="2" t="e">
        <f ca="1">_xll.BDH($C$503,"TOTAL_EQUITY_1_YEAR_GROWTH","FY 2015","FY 2015","Currency=INR","Period=FY","BEST_FPERIOD_OVERRIDE=FY","FILING_STATUS=OR","EQY_CONSOLIDATED=Y","Sort=A","Dates=H","DateFormat=P","Fill=—","Direction=H","UseDPDF=Y")</f>
        <v>#NAME?</v>
      </c>
      <c r="AJ508" s="2" t="e">
        <f ca="1">_xll.BDH($C$503,"GROWTH_IN_CAP","FY 2015","FY 2015","Currency=INR","Period=FY","BEST_FPERIOD_OVERRIDE=FY","FILING_STATUS=OR","EQY_CONSOLIDATED=Y","Sort=A","Dates=H","DateFormat=P","Fill=—","Direction=H","UseDPDF=Y")</f>
        <v>#NAME?</v>
      </c>
      <c r="AK508" s="2" t="e">
        <f ca="1">_xll.BDH($C$503,"BVPS_GROWTH","FY 2015","FY 2015","Currency=INR","Period=FY","BEST_FPERIOD_OVERRIDE=FY","FILING_STATUS=OR","EQY_CONSOLIDATED=Y","Sort=A","Dates=H","DateFormat=P","Fill=—","Direction=H","UseDPDF=Y")</f>
        <v>#NAME?</v>
      </c>
      <c r="AL508" s="2" t="e">
        <f ca="1">_xll.BDH($C$503,"CASH_FLOW_GROWTH","FY 2015","FY 2015","Currency=INR","Period=FY","BEST_FPERIOD_OVERRIDE=FY","FILING_STATUS=OR","EQY_CONSOLIDATED=Y","Sort=A","Dates=H","DateFormat=P","Fill=—","Direction=H","UseDPDF=Y")</f>
        <v>#NAME?</v>
      </c>
      <c r="AM508" s="2" t="e">
        <f ca="1">_xll.BDH($C$503,"GEO_GROW_NET_SALES","FY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08" s="2" t="e">
        <f ca="1">_xll.BDH($C$503,"GEO_GROW_EBITDA","FY 2015","FY 2015","Currency=INR","Period=FY","BEST_FPERIOD_OVERRIDE=FY","FILING_STATUS=OR","EQY_CONSOLIDATED=Y","FA_ADJUSTED=GAAP","Sort=A","Dates=H","DateFormat=P","Fill=—","Direction=H","UseDPDF=Y")</f>
        <v>#NAME?</v>
      </c>
      <c r="AO508" s="2" t="e">
        <f ca="1">_xll.BDH($C$503,"GEO_GROW_OPER_INC","FY 2015","FY 2015","Currency=INR","Period=FY","BEST_FPERIOD_OVERRIDE=FY","FILING_STATUS=OR","EQY_CONSOLIDATED=Y","FA_ADJUSTED=GAAP","Sort=A","Dates=H","DateFormat=P","Fill=—","Direction=H","UseDPDF=Y")</f>
        <v>#NAME?</v>
      </c>
      <c r="AP508" s="2" t="e">
        <f ca="1">_xll.BDH($C$503,"NET_INCOME_TO_COMMON_5_YR_GROWTH","FY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08" s="2" t="e">
        <f ca="1">_xll.BDH($C$503,"5Y_GEO_GROWTH_DILUTED_EPS","FY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08" s="2" t="e">
        <f ca="1">_xll.BDH($C$503,"GEO_GROW_DVD_PER_SH","FY 2015","FY 2015","Currency=INR","Period=FY","BEST_FPERIOD_OVERRIDE=FY","FILING_STATUS=OR","EQY_CONSOLIDATED=Y","Sort=A","Dates=H","DateFormat=P","Fill=—","Direction=H","UseDPDF=Y")</f>
        <v>#NAME?</v>
      </c>
      <c r="AS508" s="2" t="e">
        <f ca="1">_xll.BDH($C$503,"ACCOUNTS_RECEIVABLE_5_YR_GROWTH","FY 2015","FY 2015","Currency=INR","Period=FY","BEST_FPERIOD_OVERRIDE=FY","FILING_STATUS=OR","EQY_CONSOLIDATED=Y","Sort=A","Dates=H","DateFormat=P","Fill=—","Direction=H","UseDPDF=Y")</f>
        <v>#NAME?</v>
      </c>
      <c r="AT508" s="2" t="e">
        <f ca="1">_xll.BDH($C$503,"INVENTORY_5_YEAR_GROWTH","FY 2015","FY 2015","Currency=INR","Period=FY","BEST_FPERIOD_OVERRIDE=FY","FILING_STATUS=OR","EQY_CONSOLIDATED=Y","Sort=A","Dates=H","DateFormat=P","Fill=—","Direction=H","UseDPDF=Y")</f>
        <v>#NAME?</v>
      </c>
      <c r="AU508" s="2" t="e">
        <f ca="1">_xll.BDH($C$503,"NET_FIXED_ASSETS_5_YEAR_GROWTH","FY 2015","FY 2015","Currency=INR","Period=FY","BEST_FPERIOD_OVERRIDE=FY","FILING_STATUS=OR","EQY_CONSOLIDATED=Y","Sort=A","Dates=H","DateFormat=P","Fill=—","Direction=H","UseDPDF=Y")</f>
        <v>#NAME?</v>
      </c>
      <c r="AV508" s="2" t="e">
        <f ca="1">_xll.BDH($C$503,"GEO_GROW_TOT_ASSET","FY 2015","FY 2015","Currency=INR","Period=FY","BEST_FPERIOD_OVERRIDE=FY","FILING_STATUS=OR","EQY_CONSOLIDATED=Y","Sort=A","Dates=H","DateFormat=P","Fill=—","Direction=H","UseDPDF=Y")</f>
        <v>#NAME?</v>
      </c>
      <c r="AW508" s="2" t="e">
        <f ca="1">_xll.BDH($C$503,"MODIFIED_WORKING_CPTL_5YR_GRWTH","FY 2015","FY 2015","Currency=INR","Period=FY","BEST_FPERIOD_OVERRIDE=FY","FILING_STATUS=OR","EQY_CONSOLIDATED=Y","Sort=A","Dates=H","DateFormat=P","Fill=—","Direction=H","UseDPDF=Y")</f>
        <v>#NAME?</v>
      </c>
      <c r="AX508" s="2" t="e">
        <f ca="1">_xll.BDH($C$503,"WORKING_CAPITAL_5_YEAR_GROWTH","FY 2015","FY 2015","Currency=INR","Period=FY","BEST_FPERIOD_OVERRIDE=FY","FILING_STATUS=OR","EQY_CONSOLIDATED=Y","Sort=A","Dates=H","DateFormat=P","Fill=—","Direction=H","UseDPDF=Y")</f>
        <v>#NAME?</v>
      </c>
      <c r="AY508" s="2" t="e">
        <f ca="1">_xll.BDH($C$503,"ACCOUNTS_PAYABLE_5_YEAR_GROWTH","FY 2015","FY 2015","Currency=INR","Period=FY","BEST_FPERIOD_OVERRIDE=FY","FILING_STATUS=OR","EQY_CONSOLIDATED=Y","Sort=A","Dates=H","DateFormat=P","Fill=—","Direction=H","UseDPDF=Y")</f>
        <v>#NAME?</v>
      </c>
      <c r="AZ508" s="2" t="e">
        <f ca="1">_xll.BDH($C$503,"SHORT_TERM_DEBT_5_YEAR_GROWTH","FY 2015","FY 2015","Currency=INR","Period=FY","BEST_FPERIOD_OVERRIDE=FY","FILING_STATUS=OR","EQY_CONSOLIDATED=Y","Sort=A","Dates=H","DateFormat=P","Fill=—","Direction=H","UseDPDF=Y")</f>
        <v>#NAME?</v>
      </c>
      <c r="BA508" s="2" t="e">
        <f ca="1">_xll.BDH($C$503,"TOTAL_DEBT_5_YEAR_GROWTH","FY 2015","FY 2015","Currency=INR","Period=FY","BEST_FPERIOD_OVERRIDE=FY","FILING_STATUS=OR","EQY_CONSOLIDATED=Y","Sort=A","Dates=H","DateFormat=P","Fill=—","Direction=H","UseDPDF=Y")</f>
        <v>#NAME?</v>
      </c>
      <c r="BB508" s="2" t="e">
        <f ca="1">_xll.BDH($C$503,"GEO_GROW_TOT_SHRHLDR_EQY","FY 2015","FY 2015","Currency=INR","Period=FY","BEST_FPERIOD_OVERRIDE=FY","FILING_STATUS=OR","EQY_CONSOLIDATED=Y","Sort=A","Dates=H","DateFormat=P","Fill=—","Direction=H","UseDPDF=Y")</f>
        <v>#NAME?</v>
      </c>
      <c r="BC508" s="2" t="e">
        <f ca="1">_xll.BDH($C$503,"TOTAL_CAPITAL_5_YEAR_GROWTH","FY 2015","FY 2015","Currency=INR","Period=FY","BEST_FPERIOD_OVERRIDE=FY","FILING_STATUS=OR","EQY_CONSOLIDATED=Y","Sort=A","Dates=H","DateFormat=P","Fill=—","Direction=H","UseDPDF=Y")</f>
        <v>#NAME?</v>
      </c>
      <c r="BD508" s="2" t="e">
        <f ca="1">_xll.BDH($C$503,"GEO_GROW_BOOK_VAL","FY 2015","FY 2015","Currency=INR","Period=FY","BEST_FPERIOD_OVERRIDE=FY","FILING_STATUS=OR","EQY_CONSOLIDATED=Y","Sort=A","Dates=H","DateFormat=P","Fill=—","Direction=H","UseDPDF=Y")</f>
        <v>#NAME?</v>
      </c>
      <c r="BE508" s="2" t="e">
        <f ca="1">_xll.BDH($C$503,"GEO_GROW_CASH_OPER_ACT","FY 2015","FY 2015","Currency=INR","Period=FY","BEST_FPERIOD_OVERRIDE=FY","FILING_STATUS=OR","EQY_CONSOLIDATED=Y","Sort=A","Dates=H","DateFormat=P","Fill=—","Direction=H","UseDPDF=Y")</f>
        <v>#NAME?</v>
      </c>
      <c r="BF508" s="2" t="e">
        <f ca="1">_xll.BDH($C$503,"REVENUE_SEQUENTIAL_GROWTH","FY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08" s="2" t="e">
        <f ca="1">_xll.BDH($C$503,"EBITDA_SEQUENTIAL_GROWTH","FY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08" s="2" t="e">
        <f ca="1">_xll.BDH($C$503,"OPERATING_INCOME_SEQ_GROWTH","FY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08" s="2" t="e">
        <f ca="1">_xll.BDH($C$503,"NET_INCOME_TO_COMMON_SEQ_GROWTH","FY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08" s="2" t="e">
        <f ca="1">_xll.BDH($C$503,"EPS_DILUTED_SEQUENTIAL_GROWTH","FY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08" s="2" t="e">
        <f ca="1">_xll.BDH($C$503,"DPS_SEQUENTIAL_GROWTH","FY 2015","FY 2015","Currency=INR","Period=FY","BEST_FPERIOD_OVERRIDE=FY","FILING_STATUS=OR","EQY_CONSOLIDATED=Y","Sort=A","Dates=H","DateFormat=P","Fill=—","Direction=H","UseDPDF=Y")</f>
        <v>#NAME?</v>
      </c>
      <c r="BL508" s="2" t="e">
        <f ca="1">_xll.BDH($C$503,"ACCOUNTS_RECEIVABLE_SEQ_GROWTH","FY 2015","FY 2015","Currency=INR","Period=FY","BEST_FPERIOD_OVERRIDE=FY","FILING_STATUS=OR","EQY_CONSOLIDATED=Y","Sort=A","Dates=H","DateFormat=P","Fill=—","Direction=H","UseDPDF=Y")</f>
        <v>#NAME?</v>
      </c>
      <c r="BM508" s="2" t="e">
        <f ca="1">_xll.BDH($C$503,"INVENTORY_SEQUENTIAL_GROWTH","FY 2015","FY 2015","Currency=INR","Period=FY","BEST_FPERIOD_OVERRIDE=FY","FILING_STATUS=OR","EQY_CONSOLIDATED=Y","Sort=A","Dates=H","DateFormat=P","Fill=—","Direction=H","UseDPDF=Y")</f>
        <v>#NAME?</v>
      </c>
      <c r="BN508" s="2" t="e">
        <f ca="1">_xll.BDH($C$503,"FIXED_ASSETS_SEQUENTIAL_GROWTH","FY 2015","FY 2015","Currency=INR","Period=FY","BEST_FPERIOD_OVERRIDE=FY","FILING_STATUS=OR","EQY_CONSOLIDATED=Y","Sort=A","Dates=H","DateFormat=P","Fill=—","Direction=H","UseDPDF=Y")</f>
        <v>#NAME?</v>
      </c>
      <c r="BO508" s="2" t="e">
        <f ca="1">_xll.BDH($C$503,"TOTAL_ASSETS_SEQUENTIAL_GROWTH","FY 2015","FY 2015","Currency=INR","Period=FY","BEST_FPERIOD_OVERRIDE=FY","FILING_STATUS=OR","EQY_CONSOLIDATED=Y","Sort=A","Dates=H","DateFormat=P","Fill=—","Direction=H","UseDPDF=Y")</f>
        <v>#NAME?</v>
      </c>
      <c r="BP508" s="2" t="e">
        <f ca="1">_xll.BDH($C$503,"MODIFIED_WORKING_CPTL_SEQ_GRWTH","FY 2015","FY 2015","Currency=INR","Period=FY","BEST_FPERIOD_OVERRIDE=FY","FILING_STATUS=OR","EQY_CONSOLIDATED=Y","Sort=A","Dates=H","DateFormat=P","Fill=—","Direction=H","UseDPDF=Y")</f>
        <v>#NAME?</v>
      </c>
      <c r="BQ508" s="2" t="e">
        <f ca="1">_xll.BDH($C$503,"WORKING_CAPITAL_SEQ_GROWTH","FY 2015","FY 2015","Currency=INR","Period=FY","BEST_FPERIOD_OVERRIDE=FY","FILING_STATUS=OR","EQY_CONSOLIDATED=Y","Sort=A","Dates=H","DateFormat=P","Fill=—","Direction=H","UseDPDF=Y")</f>
        <v>#NAME?</v>
      </c>
      <c r="BR508" s="2" t="e">
        <f ca="1">_xll.BDH($C$503,"ACCOUNTS_PAYABLE_SEQ_GROWTH","FY 2015","FY 2015","Currency=INR","Period=FY","BEST_FPERIOD_OVERRIDE=FY","FILING_STATUS=OR","EQY_CONSOLIDATED=Y","Sort=A","Dates=H","DateFormat=P","Fill=—","Direction=H","UseDPDF=Y")</f>
        <v>#NAME?</v>
      </c>
      <c r="BS508" s="2" t="e">
        <f ca="1">_xll.BDH($C$503,"ST_DEBT_SEQUENTIAL_GROWTH","FY 2015","FY 2015","Currency=INR","Period=FY","BEST_FPERIOD_OVERRIDE=FY","FILING_STATUS=OR","EQY_CONSOLIDATED=Y","Sort=A","Dates=H","DateFormat=P","Fill=—","Direction=H","UseDPDF=Y")</f>
        <v>#NAME?</v>
      </c>
      <c r="BT508" s="2" t="e">
        <f ca="1">_xll.BDH($C$503,"TOTAL_DEBT_SEQUENTIAL_GROWTH","FY 2015","FY 2015","Currency=INR","Period=FY","BEST_FPERIOD_OVERRIDE=FY","FILING_STATUS=OR","EQY_CONSOLIDATED=Y","Sort=A","Dates=H","DateFormat=P","Fill=—","Direction=H","UseDPDF=Y")</f>
        <v>#NAME?</v>
      </c>
      <c r="BU508" s="2" t="e">
        <f ca="1">_xll.BDH($C$503,"TOTAL_EQUITY_SEQUENTIAL_GROWTH","FY 2015","FY 2015","Currency=INR","Period=FY","BEST_FPERIOD_OVERRIDE=FY","FILING_STATUS=OR","EQY_CONSOLIDATED=Y","Sort=A","Dates=H","DateFormat=P","Fill=—","Direction=H","UseDPDF=Y")</f>
        <v>#NAME?</v>
      </c>
      <c r="BV508" s="2" t="e">
        <f ca="1">_xll.BDH($C$503,"TOTAL_CAPITAL_SEQUENTIAL_GROWTH","FY 2015","FY 2015","Currency=INR","Period=FY","BEST_FPERIOD_OVERRIDE=FY","FILING_STATUS=OR","EQY_CONSOLIDATED=Y","Sort=A","Dates=H","DateFormat=P","Fill=—","Direction=H","UseDPDF=Y")</f>
        <v>#NAME?</v>
      </c>
      <c r="BW508" s="2" t="e">
        <f ca="1">_xll.BDH($C$503,"BPS_SEQUENTIAL_GROWTH","FY 2015","FY 2015","Currency=INR","Period=FY","BEST_FPERIOD_OVERRIDE=FY","FILING_STATUS=OR","EQY_CONSOLIDATED=Y","Sort=A","Dates=H","DateFormat=P","Fill=—","Direction=H","UseDPDF=Y")</f>
        <v>#NAME?</v>
      </c>
      <c r="BX508" s="2" t="e">
        <f ca="1">_xll.BDH($C$503,"CFO_SEQUENTIAL_GROWTH","FY 2015","FY 2015","Currency=INR","Period=FY","BEST_FPERIOD_OVERRIDE=FY","FILING_STATUS=OR","EQY_CONSOLIDATED=Y","Sort=A","Dates=H","DateFormat=P","Fill=—","Direction=H","UseDPDF=Y")</f>
        <v>#NAME?</v>
      </c>
      <c r="BY508" s="3" t="e">
        <f ca="1">_xll.BDH($C$503,"SHORT_AND_LONG_TERM_DEBT","FY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08" s="3" t="e">
        <f ca="1">_xll.BDH($C$503,"BS_ST_BORROW","FY 2015","FY 2015","Currency=INR","Period=FY","BEST_FPERIOD_OVERRIDE=FY","FILING_STATUS=OR","EQY_CONSOLIDATED=Y","SCALING_FORMAT=MLN","Sort=A","Dates=H","DateFormat=P","Fill=—","Direction=H","UseDPDF=Y")</f>
        <v>#NAME?</v>
      </c>
      <c r="CA508" s="3" t="e">
        <f ca="1">_xll.BDH($C$503,"BS_LT_BORROW","FY 2015","FY 2015","Currency=INR","Period=FY","BEST_FPERIOD_OVERRIDE=FY","FILING_STATUS=OR","EQY_CONSOLIDATED=Y","SCALING_FORMAT=MLN","Sort=A","Dates=H","DateFormat=P","Fill=—","Direction=H","UseDPDF=Y")</f>
        <v>#NAME?</v>
      </c>
      <c r="CB508" s="2" t="e">
        <f ca="1">_xll.BDH($C$503,"TOT_DEBT_TO_EBITDA","FY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08" s="2" t="e">
        <f ca="1">_xll.BDH($C$503,"NET_DEBT_TO_EBITDA","FY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08" s="2" t="e">
        <f ca="1">_xll.BDH($C$503,"TOTAL_DEBT_TO_EBIT","FY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08" s="2" t="e">
        <f ca="1">_xll.BDH($C$503,"NET_DEBT_TO_EBIT","FY 2015","FY 2015","Currency=INR","Period=FY","BEST_FPERIOD_OVERRIDE=FY","FILING_STATUS=OR","EQY_CONSOLIDATED=Y","FA_ADJUSTED=GAAP","Sort=A","Dates=H","DateFormat=P","Fill=—","Direction=H","UseDPDF=Y")</f>
        <v>#NAME?</v>
      </c>
      <c r="CF508" s="2" t="e">
        <f ca="1">_xll.BDH($C$503,"EBITDA_TO_INTEREST_EXPN","FY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08" s="2" t="e">
        <f ca="1">_xll.BDH($C$503,"COM_EQY_TO_TOT_ASSET","FY 2015","FY 2015","Currency=INR","Period=FY","BEST_FPERIOD_OVERRIDE=FY","FILING_STATUS=OR","EQY_CONSOLIDATED=Y","Sort=A","Dates=H","DateFormat=P","Fill=—","Direction=H","UseDPDF=Y")</f>
        <v>#NAME?</v>
      </c>
      <c r="CH508" s="2" t="e">
        <f ca="1">_xll.BDH($C$503,"LT_DEBT_TO_TOT_EQY","FY 2015","FY 2015","Currency=INR","Period=FY","BEST_FPERIOD_OVERRIDE=FY","FILING_STATUS=OR","EQY_CONSOLIDATED=Y","Sort=A","Dates=H","DateFormat=P","Fill=—","Direction=H","UseDPDF=Y")</f>
        <v>#NAME?</v>
      </c>
      <c r="CI508" s="2" t="e">
        <f ca="1">_xll.BDH($C$503,"LT_DEBT_TO_TOT_CAP","FY 2015","FY 2015","Currency=INR","Period=FY","BEST_FPERIOD_OVERRIDE=FY","FILING_STATUS=OR","EQY_CONSOLIDATED=Y","Sort=A","Dates=H","DateFormat=P","Fill=—","Direction=H","UseDPDF=Y")</f>
        <v>#NAME?</v>
      </c>
      <c r="CJ508" s="2" t="e">
        <f ca="1">_xll.BDH($C$503,"LT_DEBT_TO_TOT_ASSET","FY 2015","FY 2015","Currency=INR","Period=FY","BEST_FPERIOD_OVERRIDE=FY","FILING_STATUS=OR","EQY_CONSOLIDATED=Y","Sort=A","Dates=H","DateFormat=P","Fill=—","Direction=H","UseDPDF=Y")</f>
        <v>#NAME?</v>
      </c>
      <c r="CK508" s="2" t="e">
        <f ca="1">_xll.BDH($C$503,"TOT_DEBT_TO_TOT_EQY","FY 2015","FY 2015","Currency=INR","Period=FY","BEST_FPERIOD_OVERRIDE=FY","FILING_STATUS=OR","EQY_CONSOLIDATED=Y","Sort=A","Dates=H","DateFormat=P","Fill=—","Direction=H","UseDPDF=Y")</f>
        <v>#NAME?</v>
      </c>
      <c r="CL508" s="2" t="e">
        <f ca="1">_xll.BDH($C$503,"TOT_DEBT_TO_TOT_CAP","FY 2015","FY 2015","Currency=INR","Period=FY","BEST_FPERIOD_OVERRIDE=FY","FILING_STATUS=OR","EQY_CONSOLIDATED=Y","Sort=A","Dates=H","DateFormat=P","Fill=—","Direction=H","UseDPDF=Y")</f>
        <v>#NAME?</v>
      </c>
      <c r="CM508" s="2" t="e">
        <f ca="1">_xll.BDH($C$503,"TOT_DEBT_TO_TOT_ASSET","FY 2015","FY 2015","Currency=INR","Period=FY","BEST_FPERIOD_OVERRIDE=FY","FILING_STATUS=OR","EQY_CONSOLIDATED=Y","Sort=A","Dates=H","DateFormat=P","Fill=—","Direction=H","UseDPDF=Y")</f>
        <v>#NAME?</v>
      </c>
      <c r="CN508" s="2" t="e">
        <f ca="1">_xll.BDH($C$503,"NET_DEBT_TO_SHRHLDR_EQTY","FY 2015","FY 2015","Currency=INR","Period=FY","BEST_FPERIOD_OVERRIDE=FY","FILING_STATUS=OR","EQY_CONSOLIDATED=Y","Sort=A","Dates=H","DateFormat=P","Fill=—","Direction=H","UseDPDF=Y")</f>
        <v>#NAME?</v>
      </c>
      <c r="CO508" s="2" t="e">
        <f ca="1">_xll.BDH($C$503,"NET_DEBT_%_CAPITAL","FY 2015","FY 2015","Currency=INR","Period=FY","BEST_FPERIOD_OVERRIDE=FY","FILING_STATUS=OR","EQY_CONSOLIDATED=Y","Sort=A","Dates=H","DateFormat=P","Fill=—","Direction=H","UseDPDF=Y")</f>
        <v>#NAME?</v>
      </c>
      <c r="CP508" s="3" t="e">
        <f ca="1">_xll.BDH($C$503,"EBITDA","FY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08" s="3" t="e">
        <f ca="1">_xll.BDH($C$503,"EBITDA_AFTER_CAPEX","FY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08" s="3" t="e">
        <f ca="1">_xll.BDH($C$503,"IS_OPER_INC","FY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08" s="2" t="e">
        <f ca="1">_xll.BDH($C$503,"CASH_RATIO","FY 2015","FY 2015","Currency=INR","Period=FY","BEST_FPERIOD_OVERRIDE=FY","FILING_STATUS=OR","EQY_CONSOLIDATED=Y","Sort=A","Dates=H","DateFormat=P","Fill=—","Direction=H","UseDPDF=Y")</f>
        <v>#NAME?</v>
      </c>
      <c r="CT508" s="2" t="e">
        <f ca="1">_xll.BDH($C$503,"CUR_RATIO","FY 2015","FY 2015","Currency=INR","Period=FY","BEST_FPERIOD_OVERRIDE=FY","FILING_STATUS=OR","EQY_CONSOLIDATED=Y","Sort=A","Dates=H","DateFormat=P","Fill=—","Direction=H","UseDPDF=Y")</f>
        <v>#NAME?</v>
      </c>
      <c r="CU508" s="2" t="e">
        <f ca="1">_xll.BDH($C$503,"QUICK_RATIO","FY 2015","FY 2015","Currency=INR","Period=FY","BEST_FPERIOD_OVERRIDE=FY","FILING_STATUS=OR","EQY_CONSOLIDATED=Y","Sort=A","Dates=H","DateFormat=P","Fill=—","Direction=H","UseDPDF=Y")</f>
        <v>#NAME?</v>
      </c>
      <c r="CV508" s="2" t="e">
        <f ca="1">_xll.BDH($C$503,"ALTMAN_Z_SCORE","FY 2015","FY 2015","Currency=INR","Period=FY","BEST_FPERIOD_OVERRIDE=FY","FILING_STATUS=OR","EQY_CONSOLIDATED=Y","Sort=A","Dates=H","DateFormat=P","Fill=—","Direction=H","UseDPDF=Y")</f>
        <v>#NAME?</v>
      </c>
      <c r="CW508" s="4" t="e">
        <f ca="1">_xll.BDH($C$503,"ACCT_RCV_TURN","FY 2015","FY 2015","Currency=INR","Period=FY","BEST_FPERIOD_OVERRIDE=FY","FILING_STATUS=OR","EQY_CONSOLIDATED=Y","FA_ADJUSTED=GAAP","Sort=A","Dates=H","DateFormat=P","Fill=—","Direction=H","UseDPDF=Y")</f>
        <v>#NAME?</v>
      </c>
      <c r="CX508" s="2" t="e">
        <f ca="1">_xll.BDH($C$503,"ACCT_RCV_DAYS","FY 2015","FY 2015","Currency=INR","Period=FY","BEST_FPERIOD_OVERRIDE=FY","FILING_STATUS=OR","EQY_CONSOLIDATED=Y","FA_ADJUSTED=GAAP","Sort=A","Dates=H","DateFormat=P","Fill=—","Direction=H","UseDPDF=Y")</f>
        <v>#NAME?</v>
      </c>
      <c r="CY508" s="4" t="e">
        <f ca="1">_xll.BDH($C$503,"INVENT_TURN","FY 2015","FY 2015","Currency=INR","Period=FY","BEST_FPERIOD_OVERRIDE=FY","FILING_STATUS=OR","EQY_CONSOLIDATED=Y","FA_ADJUSTED=GAAP","Sort=A","Dates=H","DateFormat=P","Fill=—","Direction=H","UseDPDF=Y")</f>
        <v>#NAME?</v>
      </c>
      <c r="CZ508" s="2" t="e">
        <f ca="1">_xll.BDH($C$503,"INVENT_DAYS","FY 2015","FY 2015","Currency=INR","Period=FY","BEST_FPERIOD_OVERRIDE=FY","FILING_STATUS=OR","EQY_CONSOLIDATED=Y","FA_ADJUSTED=GAAP","Sort=A","Dates=H","DateFormat=P","Fill=—","Direction=H","UseDPDF=Y")</f>
        <v>#NAME?</v>
      </c>
      <c r="DA508" s="4" t="e">
        <f ca="1">_xll.BDH($C$503,"ACCOUNTS_PAYABLE_TURNOVER","FY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08" s="2" t="e">
        <f ca="1">_xll.BDH($C$503,"ACCOUNTS_PAYABLE_TURNOVER_DAYS","FY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08" s="4" t="e">
        <f ca="1">_xll.BDH($C$503,"CASH_CONVERSION_CYCLE","FY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08" s="4" t="e">
        <f ca="1">_xll.BDH($C$503,"INV_TO_CASH_DAYS","FY 2015","FY 2015","Currency=INR","Period=FY","BEST_FPERIOD_OVERRIDE=FY","FILING_STATUS=OR","EQY_CONSOLIDATED=Y","FA_ADJUSTED=GAAP","Sort=A","Dates=H","DateFormat=P","Fill=—","Direction=H","UseDPDF=Y")</f>
        <v>#NAME?</v>
      </c>
      <c r="DE508" s="5" t="e">
        <f ca="1">_xll.BDH($C$503,"BS_INVENTORIES","FY 2015","FY 2015","Currency=INR","Period=FY","BEST_FPERIOD_OVERRIDE=FY","FILING_STATUS=OR","EQY_CONSOLIDATED=Y","SCALING_FORMAT=MLN","Sort=A","Dates=H","DateFormat=P","Fill=—","Direction=H","UseDPDF=Y")</f>
        <v>#NAME?</v>
      </c>
      <c r="DF508" s="3" t="e">
        <f ca="1">_xll.BDH($C$503,"INVTRY_RAW_MATERIALS","FY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08" s="3" t="e">
        <f ca="1">_xll.BDH($C$503,"INVTRY_IN_PROGRESS","FY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08" s="3" t="e">
        <f ca="1">_xll.BDH($C$503,"INVTRY_FINISHED_GOODS","FY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08" s="3" t="e">
        <f ca="1">_xll.BDH($C$503,"BS_OTHER_INV","FY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09" spans="1:113" x14ac:dyDescent="0.3">
      <c r="A509" s="6"/>
      <c r="B509" s="6"/>
      <c r="C509" s="6"/>
      <c r="D509" s="6"/>
      <c r="E509" t="s">
        <v>78</v>
      </c>
      <c r="F509" t="e">
        <f ca="1">_xll.BDH($C$503,"RETURN_COM_EQY","FQ1 2015","FQ1 2015","Currency=INR","Period=FQ","BEST_FPERIOD_OVERRIDE=FQ","FILING_STATUS=OR","EQY_CONSOLIDATED=Y","FA_ADJUSTED=GAAP","Sort=A","Dates=H","DateFormat=P","Fill=—","Direction=H","UseDPDF=Y")</f>
        <v>#NAME?</v>
      </c>
      <c r="G509" t="e">
        <f ca="1">_xll.BDH($C$503,"RETURN_ON_ASSET","FQ1 2015","FQ1 2015","Currency=INR","Period=FQ","BEST_FPERIOD_OVERRIDE=FQ","FILING_STATUS=OR","EQY_CONSOLIDATED=Y","FA_ADJUSTED=GAAP","Sort=A","Dates=H","DateFormat=P","Fill=—","Direction=H","UseDPDF=Y")</f>
        <v>#NAME?</v>
      </c>
      <c r="H509" t="e">
        <f ca="1">_xll.BDH($C$503,"RETURN_ON_CAP","FQ1 2015","FQ1 2015","Currency=INR","Period=FQ","BEST_FPERIOD_OVERRIDE=FQ","FILING_STATUS=OR","EQY_CONSOLIDATED=Y","FA_ADJUSTED=GAAP","Sort=A","Dates=H","DateFormat=P","Fill=—","Direction=H","UseDPDF=Y")</f>
        <v>#NAME?</v>
      </c>
      <c r="I509" t="e">
        <f ca="1">_xll.BDH($C$503,"RETURN_ON_INV_CAPITAL","FQ1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09" t="e">
        <f ca="1">_xll.BDH($C$503,"EBITDA_TO_REVENUE","FQ1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09" t="e">
        <f ca="1">_xll.BDH($C$503,"OPER_MARGIN","FQ1 2015","FQ1 2015","Currency=INR","Period=FQ","BEST_FPERIOD_OVERRIDE=FQ","FILING_STATUS=OR","EQY_CONSOLIDATED=Y","FA_ADJUSTED=GAAP","Sort=A","Dates=H","DateFormat=P","Fill=—","Direction=H","UseDPDF=Y")</f>
        <v>#NAME?</v>
      </c>
      <c r="L509" t="e">
        <f ca="1">_xll.BDH($C$503,"INCREMENTAL_OPERATING_MARGIN","FQ1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09" t="e">
        <f ca="1">_xll.BDH($C$503,"PRETAX_INC_TO_NET_SALES","FQ1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09" t="e">
        <f ca="1">_xll.BDH($C$503,"INC_BEF_XO_ITEMS_TO_NET_SALES","FQ1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09" t="e">
        <f ca="1">_xll.BDH($C$503,"PROF_MARGIN","FQ1 2015","FQ1 2015","Currency=INR","Period=FQ","BEST_FPERIOD_OVERRIDE=FQ","FILING_STATUS=OR","EQY_CONSOLIDATED=Y","FA_ADJUSTED=GAAP","Sort=A","Dates=H","DateFormat=P","Fill=—","Direction=H","UseDPDF=Y")</f>
        <v>#NAME?</v>
      </c>
      <c r="P509" t="e">
        <f ca="1">_xll.BDH($C$503,"NET_INCOME_TO_COMMON_MARGIN","FQ1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09" t="e">
        <f ca="1">_xll.BDH($C$503,"EFF_TAX_RATE","FQ1 2015","FQ1 2015","Currency=INR","Period=FQ","BEST_FPERIOD_OVERRIDE=FQ","FILING_STATUS=OR","EQY_CONSOLIDATED=Y","FA_ADJUSTED=GAAP","Sort=A","Dates=H","DateFormat=P","Fill=—","Direction=H","UseDPDF=Y")</f>
        <v>#NAME?</v>
      </c>
      <c r="R509" t="e">
        <f ca="1">_xll.BDH($C$503,"DVD_PAYOUT_RATIO","FQ1 2015","FQ1 2015","Currency=INR","Period=FQ","BEST_FPERIOD_OVERRIDE=FQ","FILING_STATUS=OR","EQY_CONSOLIDATED=Y","FA_ADJUSTED=GAAP","Sort=A","Dates=H","DateFormat=P","Fill=—","Direction=H","UseDPDF=Y")</f>
        <v>#NAME?</v>
      </c>
      <c r="S509" t="e">
        <f ca="1">_xll.BDH($C$503,"SUSTAIN_GROWTH_RT","FQ1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09" s="2" t="e">
        <f ca="1">_xll.BDH($C$503,"SALES_GROWTH","FQ1 2015","FQ1 2015","Currency=INR","Period=FQ","BEST_FPERIOD_OVERRIDE=FQ","FILING_STATUS=OR","EQY_CONSOLIDATED=Y","FA_ADJUSTED=GAAP","Sort=A","Dates=H","DateFormat=P","Fill=—","Direction=H","UseDPDF=Y")</f>
        <v>#NAME?</v>
      </c>
      <c r="U509" s="2" t="e">
        <f ca="1">_xll.BDH($C$503,"EBITDA_GROWTH","FQ1 2015","FQ1 2015","Currency=INR","Period=FQ","BEST_FPERIOD_OVERRIDE=FQ","FILING_STATUS=OR","EQY_CONSOLIDATED=Y","FA_ADJUSTED=GAAP","Sort=A","Dates=H","DateFormat=P","Fill=—","Direction=H","UseDPDF=Y")</f>
        <v>#NAME?</v>
      </c>
      <c r="V509" s="2" t="e">
        <f ca="1">_xll.BDH($C$503,"OPER_INC_GROWTH","FQ1 2015","FQ1 2015","Currency=INR","Period=FQ","BEST_FPERIOD_OVERRIDE=FQ","FILING_STATUS=OR","EQY_CONSOLIDATED=Y","FA_ADJUSTED=GAAP","Sort=A","Dates=H","DateFormat=P","Fill=—","Direction=H","UseDPDF=Y")</f>
        <v>#NAME?</v>
      </c>
      <c r="W509" s="2" t="e">
        <f ca="1">_xll.BDH($C$503,"EARN_FOR_COM_GROWTH","FQ1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09" s="2" t="e">
        <f ca="1">_xll.BDH($C$503,"DILUTED_EPS_AFT_XO_ITEMS_GROWTH","FQ1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09" s="2" t="e">
        <f ca="1">_xll.BDH($C$503,"DIVIDEND_PER_SHARE_1_YEAR_GROWTH","FQ1 2015","FQ1 2015","Currency=INR","Period=FQ","BEST_FPERIOD_OVERRIDE=FQ","FILING_STATUS=OR","EQY_CONSOLIDATED=Y","Sort=A","Dates=H","DateFormat=P","Fill=—","Direction=H","UseDPDF=Y")</f>
        <v>#NAME?</v>
      </c>
      <c r="Z509" s="2" t="e">
        <f ca="1">_xll.BDH($C$503,"ACCOUNTS_RECEIVABLE_GROWTH","FQ1 2015","FQ1 2015","Currency=INR","Period=FQ","BEST_FPERIOD_OVERRIDE=FQ","FILING_STATUS=OR","EQY_CONSOLIDATED=Y","Sort=A","Dates=H","DateFormat=P","Fill=—","Direction=H","UseDPDF=Y")</f>
        <v>#NAME?</v>
      </c>
      <c r="AA509" s="2" t="e">
        <f ca="1">_xll.BDH($C$503,"INVENTORY_GROWTH","FQ1 2015","FQ1 2015","Currency=INR","Period=FQ","BEST_FPERIOD_OVERRIDE=FQ","FILING_STATUS=OR","EQY_CONSOLIDATED=Y","Sort=A","Dates=H","DateFormat=P","Fill=—","Direction=H","UseDPDF=Y")</f>
        <v>#NAME?</v>
      </c>
      <c r="AB509" s="2" t="e">
        <f ca="1">_xll.BDH($C$503,"NET_FIXED_ASSETS_1_YEAR_GROWTH","FQ1 2015","FQ1 2015","Currency=INR","Period=FQ","BEST_FPERIOD_OVERRIDE=FQ","FILING_STATUS=OR","EQY_CONSOLIDATED=Y","Sort=A","Dates=H","DateFormat=P","Fill=—","Direction=H","UseDPDF=Y")</f>
        <v>#NAME?</v>
      </c>
      <c r="AC509" s="2" t="e">
        <f ca="1">_xll.BDH($C$503,"ASSET_GROWTH","FQ1 2015","FQ1 2015","Currency=INR","Period=FQ","BEST_FPERIOD_OVERRIDE=FQ","FILING_STATUS=OR","EQY_CONSOLIDATED=Y","Sort=A","Dates=H","DateFormat=P","Fill=—","Direction=H","UseDPDF=Y")</f>
        <v>#NAME?</v>
      </c>
      <c r="AD509" s="2" t="e">
        <f ca="1">_xll.BDH($C$503,"MODIFIED_WORK_CAP_GROWTH","FQ1 2015","FQ1 2015","Currency=INR","Period=FQ","BEST_FPERIOD_OVERRIDE=FQ","FILING_STATUS=OR","EQY_CONSOLIDATED=Y","Sort=A","Dates=H","DateFormat=P","Fill=—","Direction=H","UseDPDF=Y")</f>
        <v>#NAME?</v>
      </c>
      <c r="AE509" s="2" t="e">
        <f ca="1">_xll.BDH($C$503,"WORK_CAP_GROWTH","FQ1 2015","FQ1 2015","Currency=INR","Period=FQ","BEST_FPERIOD_OVERRIDE=FQ","FILING_STATUS=OR","EQY_CONSOLIDATED=Y","Sort=A","Dates=H","DateFormat=P","Fill=—","Direction=H","UseDPDF=Y")</f>
        <v>#NAME?</v>
      </c>
      <c r="AF509" s="2" t="e">
        <f ca="1">_xll.BDH($C$503,"ACCOUNTS_PAYABLE_GROWTH_1YR","FQ1 2015","FQ1 2015","Currency=INR","Period=FQ","BEST_FPERIOD_OVERRIDE=FQ","FILING_STATUS=OR","EQY_CONSOLIDATED=Y","Sort=A","Dates=H","DateFormat=P","Fill=—","Direction=H","UseDPDF=Y")</f>
        <v>#NAME?</v>
      </c>
      <c r="AG509" s="2" t="e">
        <f ca="1">_xll.BDH($C$503,"SHORT_TERM_DEBT_1_YEAR_GROWTH","FQ1 2015","FQ1 2015","Currency=INR","Period=FQ","BEST_FPERIOD_OVERRIDE=FQ","FILING_STATUS=OR","EQY_CONSOLIDATED=Y","Sort=A","Dates=H","DateFormat=P","Fill=—","Direction=H","UseDPDF=Y")</f>
        <v>#NAME?</v>
      </c>
      <c r="AH509" s="2" t="e">
        <f ca="1">_xll.BDH($C$503,"TOTAL_DEBT_1_YEAR_GROWTH","FQ1 2015","FQ1 2015","Currency=INR","Period=FQ","BEST_FPERIOD_OVERRIDE=FQ","FILING_STATUS=OR","EQY_CONSOLIDATED=Y","Sort=A","Dates=H","DateFormat=P","Fill=—","Direction=H","UseDPDF=Y")</f>
        <v>#NAME?</v>
      </c>
      <c r="AI509" s="2" t="e">
        <f ca="1">_xll.BDH($C$503,"TOTAL_EQUITY_1_YEAR_GROWTH","FQ1 2015","FQ1 2015","Currency=INR","Period=FQ","BEST_FPERIOD_OVERRIDE=FQ","FILING_STATUS=OR","EQY_CONSOLIDATED=Y","Sort=A","Dates=H","DateFormat=P","Fill=—","Direction=H","UseDPDF=Y")</f>
        <v>#NAME?</v>
      </c>
      <c r="AJ509" s="2" t="e">
        <f ca="1">_xll.BDH($C$503,"GROWTH_IN_CAP","FQ1 2015","FQ1 2015","Currency=INR","Period=FQ","BEST_FPERIOD_OVERRIDE=FQ","FILING_STATUS=OR","EQY_CONSOLIDATED=Y","Sort=A","Dates=H","DateFormat=P","Fill=—","Direction=H","UseDPDF=Y")</f>
        <v>#NAME?</v>
      </c>
      <c r="AK509" s="2" t="e">
        <f ca="1">_xll.BDH($C$503,"BVPS_GROWTH","FQ1 2015","FQ1 2015","Currency=INR","Period=FQ","BEST_FPERIOD_OVERRIDE=FQ","FILING_STATUS=OR","EQY_CONSOLIDATED=Y","Sort=A","Dates=H","DateFormat=P","Fill=—","Direction=H","UseDPDF=Y")</f>
        <v>#NAME?</v>
      </c>
      <c r="AL509" s="2" t="e">
        <f ca="1">_xll.BDH($C$503,"CASH_FLOW_GROWTH","FQ1 2015","FQ1 2015","Currency=INR","Period=FQ","BEST_FPERIOD_OVERRIDE=FQ","FILING_STATUS=OR","EQY_CONSOLIDATED=Y","Sort=A","Dates=H","DateFormat=P","Fill=—","Direction=H","UseDPDF=Y")</f>
        <v>#NAME?</v>
      </c>
      <c r="AM509" s="2" t="e">
        <f ca="1">_xll.BDH($C$503,"GEO_GROW_NET_SALES","FQ1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09" s="2" t="e">
        <f ca="1">_xll.BDH($C$503,"GEO_GROW_EBITDA","FQ1 2015","FQ1 2015","Currency=INR","Period=FQ","BEST_FPERIOD_OVERRIDE=FQ","FILING_STATUS=OR","EQY_CONSOLIDATED=Y","FA_ADJUSTED=GAAP","Sort=A","Dates=H","DateFormat=P","Fill=—","Direction=H","UseDPDF=Y")</f>
        <v>#NAME?</v>
      </c>
      <c r="AO509" s="2" t="e">
        <f ca="1">_xll.BDH($C$503,"GEO_GROW_OPER_INC","FQ1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09" s="2" t="e">
        <f ca="1">_xll.BDH($C$503,"NET_INCOME_TO_COMMON_5_YR_GROWTH","FQ1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09" s="2" t="e">
        <f ca="1">_xll.BDH($C$503,"5Y_GEO_GROWTH_DILUTED_EPS","FQ1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09" s="2" t="e">
        <f ca="1">_xll.BDH($C$503,"GEO_GROW_DVD_PER_SH","FQ1 2015","FQ1 2015","Currency=INR","Period=FQ","BEST_FPERIOD_OVERRIDE=FQ","FILING_STATUS=OR","EQY_CONSOLIDATED=Y","Sort=A","Dates=H","DateFormat=P","Fill=—","Direction=H","UseDPDF=Y")</f>
        <v>#NAME?</v>
      </c>
      <c r="AS509" s="2" t="e">
        <f ca="1">_xll.BDH($C$503,"ACCOUNTS_RECEIVABLE_5_YR_GROWTH","FQ1 2015","FQ1 2015","Currency=INR","Period=FQ","BEST_FPERIOD_OVERRIDE=FQ","FILING_STATUS=OR","EQY_CONSOLIDATED=Y","Sort=A","Dates=H","DateFormat=P","Fill=—","Direction=H","UseDPDF=Y")</f>
        <v>#NAME?</v>
      </c>
      <c r="AT509" s="2" t="e">
        <f ca="1">_xll.BDH($C$503,"INVENTORY_5_YEAR_GROWTH","FQ1 2015","FQ1 2015","Currency=INR","Period=FQ","BEST_FPERIOD_OVERRIDE=FQ","FILING_STATUS=OR","EQY_CONSOLIDATED=Y","Sort=A","Dates=H","DateFormat=P","Fill=—","Direction=H","UseDPDF=Y")</f>
        <v>#NAME?</v>
      </c>
      <c r="AU509" s="2" t="e">
        <f ca="1">_xll.BDH($C$503,"NET_FIXED_ASSETS_5_YEAR_GROWTH","FQ1 2015","FQ1 2015","Currency=INR","Period=FQ","BEST_FPERIOD_OVERRIDE=FQ","FILING_STATUS=OR","EQY_CONSOLIDATED=Y","Sort=A","Dates=H","DateFormat=P","Fill=—","Direction=H","UseDPDF=Y")</f>
        <v>#NAME?</v>
      </c>
      <c r="AV509" s="2" t="e">
        <f ca="1">_xll.BDH($C$503,"GEO_GROW_TOT_ASSET","FQ1 2015","FQ1 2015","Currency=INR","Period=FQ","BEST_FPERIOD_OVERRIDE=FQ","FILING_STATUS=OR","EQY_CONSOLIDATED=Y","Sort=A","Dates=H","DateFormat=P","Fill=—","Direction=H","UseDPDF=Y")</f>
        <v>#NAME?</v>
      </c>
      <c r="AW509" s="2" t="e">
        <f ca="1">_xll.BDH($C$503,"MODIFIED_WORKING_CPTL_5YR_GRWTH","FQ1 2015","FQ1 2015","Currency=INR","Period=FQ","BEST_FPERIOD_OVERRIDE=FQ","FILING_STATUS=OR","EQY_CONSOLIDATED=Y","Sort=A","Dates=H","DateFormat=P","Fill=—","Direction=H","UseDPDF=Y")</f>
        <v>#NAME?</v>
      </c>
      <c r="AX509" s="2" t="e">
        <f ca="1">_xll.BDH($C$503,"WORKING_CAPITAL_5_YEAR_GROWTH","FQ1 2015","FQ1 2015","Currency=INR","Period=FQ","BEST_FPERIOD_OVERRIDE=FQ","FILING_STATUS=OR","EQY_CONSOLIDATED=Y","Sort=A","Dates=H","DateFormat=P","Fill=—","Direction=H","UseDPDF=Y")</f>
        <v>#NAME?</v>
      </c>
      <c r="AY509" s="2" t="e">
        <f ca="1">_xll.BDH($C$503,"ACCOUNTS_PAYABLE_5_YEAR_GROWTH","FQ1 2015","FQ1 2015","Currency=INR","Period=FQ","BEST_FPERIOD_OVERRIDE=FQ","FILING_STATUS=OR","EQY_CONSOLIDATED=Y","Sort=A","Dates=H","DateFormat=P","Fill=—","Direction=H","UseDPDF=Y")</f>
        <v>#NAME?</v>
      </c>
      <c r="AZ509" s="2" t="e">
        <f ca="1">_xll.BDH($C$503,"SHORT_TERM_DEBT_5_YEAR_GROWTH","FQ1 2015","FQ1 2015","Currency=INR","Period=FQ","BEST_FPERIOD_OVERRIDE=FQ","FILING_STATUS=OR","EQY_CONSOLIDATED=Y","Sort=A","Dates=H","DateFormat=P","Fill=—","Direction=H","UseDPDF=Y")</f>
        <v>#NAME?</v>
      </c>
      <c r="BA509" s="2" t="e">
        <f ca="1">_xll.BDH($C$503,"TOTAL_DEBT_5_YEAR_GROWTH","FQ1 2015","FQ1 2015","Currency=INR","Period=FQ","BEST_FPERIOD_OVERRIDE=FQ","FILING_STATUS=OR","EQY_CONSOLIDATED=Y","Sort=A","Dates=H","DateFormat=P","Fill=—","Direction=H","UseDPDF=Y")</f>
        <v>#NAME?</v>
      </c>
      <c r="BB509" s="2" t="e">
        <f ca="1">_xll.BDH($C$503,"GEO_GROW_TOT_SHRHLDR_EQY","FQ1 2015","FQ1 2015","Currency=INR","Period=FQ","BEST_FPERIOD_OVERRIDE=FQ","FILING_STATUS=OR","EQY_CONSOLIDATED=Y","Sort=A","Dates=H","DateFormat=P","Fill=—","Direction=H","UseDPDF=Y")</f>
        <v>#NAME?</v>
      </c>
      <c r="BC509" s="2" t="e">
        <f ca="1">_xll.BDH($C$503,"TOTAL_CAPITAL_5_YEAR_GROWTH","FQ1 2015","FQ1 2015","Currency=INR","Period=FQ","BEST_FPERIOD_OVERRIDE=FQ","FILING_STATUS=OR","EQY_CONSOLIDATED=Y","Sort=A","Dates=H","DateFormat=P","Fill=—","Direction=H","UseDPDF=Y")</f>
        <v>#NAME?</v>
      </c>
      <c r="BD509" s="2" t="e">
        <f ca="1">_xll.BDH($C$503,"GEO_GROW_BOOK_VAL","FQ1 2015","FQ1 2015","Currency=INR","Period=FQ","BEST_FPERIOD_OVERRIDE=FQ","FILING_STATUS=OR","EQY_CONSOLIDATED=Y","Sort=A","Dates=H","DateFormat=P","Fill=—","Direction=H","UseDPDF=Y")</f>
        <v>#NAME?</v>
      </c>
      <c r="BE509" s="2" t="e">
        <f ca="1">_xll.BDH($C$503,"GEO_GROW_CASH_OPER_ACT","FQ1 2015","FQ1 2015","Currency=INR","Period=FQ","BEST_FPERIOD_OVERRIDE=FQ","FILING_STATUS=OR","EQY_CONSOLIDATED=Y","Sort=A","Dates=H","DateFormat=P","Fill=—","Direction=H","UseDPDF=Y")</f>
        <v>#NAME?</v>
      </c>
      <c r="BF509" s="2" t="e">
        <f ca="1">_xll.BDH($C$503,"REVENUE_SEQUENTIAL_GROWTH","FQ1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09" s="2" t="e">
        <f ca="1">_xll.BDH($C$503,"EBITDA_SEQUENTIAL_GROWTH","FQ1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09" s="2" t="e">
        <f ca="1">_xll.BDH($C$503,"OPERATING_INCOME_SEQ_GROWTH","FQ1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09" s="2" t="e">
        <f ca="1">_xll.BDH($C$503,"NET_INCOME_TO_COMMON_SEQ_GROWTH","FQ1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09" s="2" t="e">
        <f ca="1">_xll.BDH($C$503,"EPS_DILUTED_SEQUENTIAL_GROWTH","FQ1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09" s="2" t="e">
        <f ca="1">_xll.BDH($C$503,"DPS_SEQUENTIAL_GROWTH","FQ1 2015","FQ1 2015","Currency=INR","Period=FQ","BEST_FPERIOD_OVERRIDE=FQ","FILING_STATUS=OR","EQY_CONSOLIDATED=Y","Sort=A","Dates=H","DateFormat=P","Fill=—","Direction=H","UseDPDF=Y")</f>
        <v>#NAME?</v>
      </c>
      <c r="BL509" s="2" t="e">
        <f ca="1">_xll.BDH($C$503,"ACCOUNTS_RECEIVABLE_SEQ_GROWTH","FQ1 2015","FQ1 2015","Currency=INR","Period=FQ","BEST_FPERIOD_OVERRIDE=FQ","FILING_STATUS=OR","EQY_CONSOLIDATED=Y","Sort=A","Dates=H","DateFormat=P","Fill=—","Direction=H","UseDPDF=Y")</f>
        <v>#NAME?</v>
      </c>
      <c r="BM509" s="2" t="e">
        <f ca="1">_xll.BDH($C$503,"INVENTORY_SEQUENTIAL_GROWTH","FQ1 2015","FQ1 2015","Currency=INR","Period=FQ","BEST_FPERIOD_OVERRIDE=FQ","FILING_STATUS=OR","EQY_CONSOLIDATED=Y","Sort=A","Dates=H","DateFormat=P","Fill=—","Direction=H","UseDPDF=Y")</f>
        <v>#NAME?</v>
      </c>
      <c r="BN509" s="2" t="e">
        <f ca="1">_xll.BDH($C$503,"FIXED_ASSETS_SEQUENTIAL_GROWTH","FQ1 2015","FQ1 2015","Currency=INR","Period=FQ","BEST_FPERIOD_OVERRIDE=FQ","FILING_STATUS=OR","EQY_CONSOLIDATED=Y","Sort=A","Dates=H","DateFormat=P","Fill=—","Direction=H","UseDPDF=Y")</f>
        <v>#NAME?</v>
      </c>
      <c r="BO509" s="2" t="e">
        <f ca="1">_xll.BDH($C$503,"TOTAL_ASSETS_SEQUENTIAL_GROWTH","FQ1 2015","FQ1 2015","Currency=INR","Period=FQ","BEST_FPERIOD_OVERRIDE=FQ","FILING_STATUS=OR","EQY_CONSOLIDATED=Y","Sort=A","Dates=H","DateFormat=P","Fill=—","Direction=H","UseDPDF=Y")</f>
        <v>#NAME?</v>
      </c>
      <c r="BP509" s="2" t="e">
        <f ca="1">_xll.BDH($C$503,"MODIFIED_WORKING_CPTL_SEQ_GRWTH","FQ1 2015","FQ1 2015","Currency=INR","Period=FQ","BEST_FPERIOD_OVERRIDE=FQ","FILING_STATUS=OR","EQY_CONSOLIDATED=Y","Sort=A","Dates=H","DateFormat=P","Fill=—","Direction=H","UseDPDF=Y")</f>
        <v>#NAME?</v>
      </c>
      <c r="BQ509" s="2" t="e">
        <f ca="1">_xll.BDH($C$503,"WORKING_CAPITAL_SEQ_GROWTH","FQ1 2015","FQ1 2015","Currency=INR","Period=FQ","BEST_FPERIOD_OVERRIDE=FQ","FILING_STATUS=OR","EQY_CONSOLIDATED=Y","Sort=A","Dates=H","DateFormat=P","Fill=—","Direction=H","UseDPDF=Y")</f>
        <v>#NAME?</v>
      </c>
      <c r="BR509" s="2" t="e">
        <f ca="1">_xll.BDH($C$503,"ACCOUNTS_PAYABLE_SEQ_GROWTH","FQ1 2015","FQ1 2015","Currency=INR","Period=FQ","BEST_FPERIOD_OVERRIDE=FQ","FILING_STATUS=OR","EQY_CONSOLIDATED=Y","Sort=A","Dates=H","DateFormat=P","Fill=—","Direction=H","UseDPDF=Y")</f>
        <v>#NAME?</v>
      </c>
      <c r="BS509" s="2" t="e">
        <f ca="1">_xll.BDH($C$503,"ST_DEBT_SEQUENTIAL_GROWTH","FQ1 2015","FQ1 2015","Currency=INR","Period=FQ","BEST_FPERIOD_OVERRIDE=FQ","FILING_STATUS=OR","EQY_CONSOLIDATED=Y","Sort=A","Dates=H","DateFormat=P","Fill=—","Direction=H","UseDPDF=Y")</f>
        <v>#NAME?</v>
      </c>
      <c r="BT509" s="2" t="e">
        <f ca="1">_xll.BDH($C$503,"TOTAL_DEBT_SEQUENTIAL_GROWTH","FQ1 2015","FQ1 2015","Currency=INR","Period=FQ","BEST_FPERIOD_OVERRIDE=FQ","FILING_STATUS=OR","EQY_CONSOLIDATED=Y","Sort=A","Dates=H","DateFormat=P","Fill=—","Direction=H","UseDPDF=Y")</f>
        <v>#NAME?</v>
      </c>
      <c r="BU509" s="2" t="e">
        <f ca="1">_xll.BDH($C$503,"TOTAL_EQUITY_SEQUENTIAL_GROWTH","FQ1 2015","FQ1 2015","Currency=INR","Period=FQ","BEST_FPERIOD_OVERRIDE=FQ","FILING_STATUS=OR","EQY_CONSOLIDATED=Y","Sort=A","Dates=H","DateFormat=P","Fill=—","Direction=H","UseDPDF=Y")</f>
        <v>#NAME?</v>
      </c>
      <c r="BV509" s="2" t="e">
        <f ca="1">_xll.BDH($C$503,"TOTAL_CAPITAL_SEQUENTIAL_GROWTH","FQ1 2015","FQ1 2015","Currency=INR","Period=FQ","BEST_FPERIOD_OVERRIDE=FQ","FILING_STATUS=OR","EQY_CONSOLIDATED=Y","Sort=A","Dates=H","DateFormat=P","Fill=—","Direction=H","UseDPDF=Y")</f>
        <v>#NAME?</v>
      </c>
      <c r="BW509" s="2" t="e">
        <f ca="1">_xll.BDH($C$503,"BPS_SEQUENTIAL_GROWTH","FQ1 2015","FQ1 2015","Currency=INR","Period=FQ","BEST_FPERIOD_OVERRIDE=FQ","FILING_STATUS=OR","EQY_CONSOLIDATED=Y","Sort=A","Dates=H","DateFormat=P","Fill=—","Direction=H","UseDPDF=Y")</f>
        <v>#NAME?</v>
      </c>
      <c r="BX509" s="2" t="e">
        <f ca="1">_xll.BDH($C$503,"CFO_SEQUENTIAL_GROWTH","FQ1 2015","FQ1 2015","Currency=INR","Period=FQ","BEST_FPERIOD_OVERRIDE=FQ","FILING_STATUS=OR","EQY_CONSOLIDATED=Y","Sort=A","Dates=H","DateFormat=P","Fill=—","Direction=H","UseDPDF=Y")</f>
        <v>#NAME?</v>
      </c>
      <c r="BY509" s="3" t="e">
        <f ca="1">_xll.BDH($C$503,"SHORT_AND_LONG_TERM_DEBT","FQ1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09" s="3" t="e">
        <f ca="1">_xll.BDH($C$503,"BS_ST_BORROW","FQ1 2015","FQ1 2015","Currency=INR","Period=FQ","BEST_FPERIOD_OVERRIDE=FQ","FILING_STATUS=OR","EQY_CONSOLIDATED=Y","SCALING_FORMAT=MLN","Sort=A","Dates=H","DateFormat=P","Fill=—","Direction=H","UseDPDF=Y")</f>
        <v>#NAME?</v>
      </c>
      <c r="CA509" s="3" t="e">
        <f ca="1">_xll.BDH($C$503,"BS_LT_BORROW","FQ1 2015","FQ1 2015","Currency=INR","Period=FQ","BEST_FPERIOD_OVERRIDE=FQ","FILING_STATUS=OR","EQY_CONSOLIDATED=Y","SCALING_FORMAT=MLN","Sort=A","Dates=H","DateFormat=P","Fill=—","Direction=H","UseDPDF=Y")</f>
        <v>#NAME?</v>
      </c>
      <c r="CB509" s="2" t="e">
        <f ca="1">_xll.BDH($C$503,"TOT_DEBT_TO_EBITDA","FQ1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09" s="2" t="e">
        <f ca="1">_xll.BDH($C$503,"NET_DEBT_TO_EBITDA","FQ1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09" s="2" t="e">
        <f ca="1">_xll.BDH($C$503,"TOTAL_DEBT_TO_EBIT","FQ1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09" s="2" t="e">
        <f ca="1">_xll.BDH($C$503,"NET_DEBT_TO_EBIT","FQ1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09" s="2" t="e">
        <f ca="1">_xll.BDH($C$503,"EBITDA_TO_INTEREST_EXPN","FQ1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09" s="2" t="e">
        <f ca="1">_xll.BDH($C$503,"COM_EQY_TO_TOT_ASSET","FQ1 2015","FQ1 2015","Currency=INR","Period=FQ","BEST_FPERIOD_OVERRIDE=FQ","FILING_STATUS=OR","EQY_CONSOLIDATED=Y","Sort=A","Dates=H","DateFormat=P","Fill=—","Direction=H","UseDPDF=Y")</f>
        <v>#NAME?</v>
      </c>
      <c r="CH509" s="2" t="e">
        <f ca="1">_xll.BDH($C$503,"LT_DEBT_TO_TOT_EQY","FQ1 2015","FQ1 2015","Currency=INR","Period=FQ","BEST_FPERIOD_OVERRIDE=FQ","FILING_STATUS=OR","EQY_CONSOLIDATED=Y","Sort=A","Dates=H","DateFormat=P","Fill=—","Direction=H","UseDPDF=Y")</f>
        <v>#NAME?</v>
      </c>
      <c r="CI509" s="2" t="e">
        <f ca="1">_xll.BDH($C$503,"LT_DEBT_TO_TOT_CAP","FQ1 2015","FQ1 2015","Currency=INR","Period=FQ","BEST_FPERIOD_OVERRIDE=FQ","FILING_STATUS=OR","EQY_CONSOLIDATED=Y","Sort=A","Dates=H","DateFormat=P","Fill=—","Direction=H","UseDPDF=Y")</f>
        <v>#NAME?</v>
      </c>
      <c r="CJ509" s="2" t="e">
        <f ca="1">_xll.BDH($C$503,"LT_DEBT_TO_TOT_ASSET","FQ1 2015","FQ1 2015","Currency=INR","Period=FQ","BEST_FPERIOD_OVERRIDE=FQ","FILING_STATUS=OR","EQY_CONSOLIDATED=Y","Sort=A","Dates=H","DateFormat=P","Fill=—","Direction=H","UseDPDF=Y")</f>
        <v>#NAME?</v>
      </c>
      <c r="CK509" s="2" t="e">
        <f ca="1">_xll.BDH($C$503,"TOT_DEBT_TO_TOT_EQY","FQ1 2015","FQ1 2015","Currency=INR","Period=FQ","BEST_FPERIOD_OVERRIDE=FQ","FILING_STATUS=OR","EQY_CONSOLIDATED=Y","Sort=A","Dates=H","DateFormat=P","Fill=—","Direction=H","UseDPDF=Y")</f>
        <v>#NAME?</v>
      </c>
      <c r="CL509" s="2" t="e">
        <f ca="1">_xll.BDH($C$503,"TOT_DEBT_TO_TOT_CAP","FQ1 2015","FQ1 2015","Currency=INR","Period=FQ","BEST_FPERIOD_OVERRIDE=FQ","FILING_STATUS=OR","EQY_CONSOLIDATED=Y","Sort=A","Dates=H","DateFormat=P","Fill=—","Direction=H","UseDPDF=Y")</f>
        <v>#NAME?</v>
      </c>
      <c r="CM509" s="2" t="e">
        <f ca="1">_xll.BDH($C$503,"TOT_DEBT_TO_TOT_ASSET","FQ1 2015","FQ1 2015","Currency=INR","Period=FQ","BEST_FPERIOD_OVERRIDE=FQ","FILING_STATUS=OR","EQY_CONSOLIDATED=Y","Sort=A","Dates=H","DateFormat=P","Fill=—","Direction=H","UseDPDF=Y")</f>
        <v>#NAME?</v>
      </c>
      <c r="CN509" s="2" t="e">
        <f ca="1">_xll.BDH($C$503,"NET_DEBT_TO_SHRHLDR_EQTY","FQ1 2015","FQ1 2015","Currency=INR","Period=FQ","BEST_FPERIOD_OVERRIDE=FQ","FILING_STATUS=OR","EQY_CONSOLIDATED=Y","Sort=A","Dates=H","DateFormat=P","Fill=—","Direction=H","UseDPDF=Y")</f>
        <v>#NAME?</v>
      </c>
      <c r="CO509" s="2" t="e">
        <f ca="1">_xll.BDH($C$503,"NET_DEBT_%_CAPITAL","FQ1 2015","FQ1 2015","Currency=INR","Period=FQ","BEST_FPERIOD_OVERRIDE=FQ","FILING_STATUS=OR","EQY_CONSOLIDATED=Y","Sort=A","Dates=H","DateFormat=P","Fill=—","Direction=H","UseDPDF=Y")</f>
        <v>#NAME?</v>
      </c>
      <c r="CP509" s="3" t="e">
        <f ca="1">_xll.BDH($C$503,"EBITDA","FQ1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09" s="3" t="e">
        <f ca="1">_xll.BDH($C$503,"EBITDA_AFTER_CAPEX","FQ1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09" s="3" t="e">
        <f ca="1">_xll.BDH($C$503,"IS_OPER_INC","FQ1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09" s="2" t="e">
        <f ca="1">_xll.BDH($C$503,"CASH_RATIO","FQ1 2015","FQ1 2015","Currency=INR","Period=FQ","BEST_FPERIOD_OVERRIDE=FQ","FILING_STATUS=OR","EQY_CONSOLIDATED=Y","Sort=A","Dates=H","DateFormat=P","Fill=—","Direction=H","UseDPDF=Y")</f>
        <v>#NAME?</v>
      </c>
      <c r="CT509" s="2" t="e">
        <f ca="1">_xll.BDH($C$503,"CUR_RATIO","FQ1 2015","FQ1 2015","Currency=INR","Period=FQ","BEST_FPERIOD_OVERRIDE=FQ","FILING_STATUS=OR","EQY_CONSOLIDATED=Y","Sort=A","Dates=H","DateFormat=P","Fill=—","Direction=H","UseDPDF=Y")</f>
        <v>#NAME?</v>
      </c>
      <c r="CU509" s="2" t="e">
        <f ca="1">_xll.BDH($C$503,"QUICK_RATIO","FQ1 2015","FQ1 2015","Currency=INR","Period=FQ","BEST_FPERIOD_OVERRIDE=FQ","FILING_STATUS=OR","EQY_CONSOLIDATED=Y","Sort=A","Dates=H","DateFormat=P","Fill=—","Direction=H","UseDPDF=Y")</f>
        <v>#NAME?</v>
      </c>
      <c r="CV509" s="2" t="e">
        <f ca="1">_xll.BDH($C$503,"ALTMAN_Z_SCORE","FQ1 2015","FQ1 2015","Currency=INR","Period=FQ","BEST_FPERIOD_OVERRIDE=FQ","FILING_STATUS=OR","EQY_CONSOLIDATED=Y","Sort=A","Dates=H","DateFormat=P","Fill=—","Direction=H","UseDPDF=Y")</f>
        <v>#NAME?</v>
      </c>
      <c r="CW509" s="4" t="e">
        <f ca="1">_xll.BDH($C$503,"ACCT_RCV_TURN","FQ1 2015","FQ1 2015","Currency=INR","Period=FQ","BEST_FPERIOD_OVERRIDE=FQ","FILING_STATUS=OR","EQY_CONSOLIDATED=Y","FA_ADJUSTED=GAAP","Sort=A","Dates=H","DateFormat=P","Fill=—","Direction=H","UseDPDF=Y")</f>
        <v>#NAME?</v>
      </c>
      <c r="CX509" s="2" t="e">
        <f ca="1">_xll.BDH($C$503,"ACCT_RCV_DAYS","FQ1 2015","FQ1 2015","Currency=INR","Period=FQ","BEST_FPERIOD_OVERRIDE=FQ","FILING_STATUS=OR","EQY_CONSOLIDATED=Y","FA_ADJUSTED=GAAP","Sort=A","Dates=H","DateFormat=P","Fill=—","Direction=H","UseDPDF=Y")</f>
        <v>#NAME?</v>
      </c>
      <c r="CY509" s="4" t="e">
        <f ca="1">_xll.BDH($C$503,"INVENT_TURN","FQ1 2015","FQ1 2015","Currency=INR","Period=FQ","BEST_FPERIOD_OVERRIDE=FQ","FILING_STATUS=OR","EQY_CONSOLIDATED=Y","FA_ADJUSTED=GAAP","Sort=A","Dates=H","DateFormat=P","Fill=—","Direction=H","UseDPDF=Y")</f>
        <v>#NAME?</v>
      </c>
      <c r="CZ509" s="2" t="e">
        <f ca="1">_xll.BDH($C$503,"INVENT_DAYS","FQ1 2015","FQ1 2015","Currency=INR","Period=FQ","BEST_FPERIOD_OVERRIDE=FQ","FILING_STATUS=OR","EQY_CONSOLIDATED=Y","FA_ADJUSTED=GAAP","Sort=A","Dates=H","DateFormat=P","Fill=—","Direction=H","UseDPDF=Y")</f>
        <v>#NAME?</v>
      </c>
      <c r="DA509" s="4" t="e">
        <f ca="1">_xll.BDH($C$503,"ACCOUNTS_PAYABLE_TURNOVER","FQ1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09" s="2" t="e">
        <f ca="1">_xll.BDH($C$503,"ACCOUNTS_PAYABLE_TURNOVER_DAYS","FQ1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09" s="4" t="e">
        <f ca="1">_xll.BDH($C$503,"CASH_CONVERSION_CYCLE","FQ1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09" s="4" t="e">
        <f ca="1">_xll.BDH($C$503,"INV_TO_CASH_DAYS","FQ1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09" s="5" t="e">
        <f ca="1">_xll.BDH($C$503,"BS_INVENTORIES","FQ1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09" s="3" t="e">
        <f ca="1">_xll.BDH($C$503,"INVTRY_RAW_MATERIALS","FQ1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09" s="3" t="e">
        <f ca="1">_xll.BDH($C$503,"INVTRY_IN_PROGRESS","FQ1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09" s="3" t="e">
        <f ca="1">_xll.BDH($C$503,"INVTRY_FINISHED_GOODS","FQ1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09" s="3" t="e">
        <f ca="1">_xll.BDH($C$503,"BS_OTHER_INV","FQ1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10" spans="1:113" x14ac:dyDescent="0.3">
      <c r="A510" s="6"/>
      <c r="B510" s="6"/>
      <c r="C510" s="6"/>
      <c r="D510" s="6"/>
      <c r="E510" t="s">
        <v>79</v>
      </c>
      <c r="F510" t="e">
        <f ca="1">_xll.BDH($C$503,"RETURN_COM_EQY","FQ2 2015","FQ2 2015","Currency=INR","Period=FQ","BEST_FPERIOD_OVERRIDE=FQ","FILING_STATUS=OR","EQY_CONSOLIDATED=Y","FA_ADJUSTED=GAAP","Sort=A","Dates=H","DateFormat=P","Fill=—","Direction=H","UseDPDF=Y")</f>
        <v>#NAME?</v>
      </c>
      <c r="G510" t="e">
        <f ca="1">_xll.BDH($C$503,"RETURN_ON_ASSET","FQ2 2015","FQ2 2015","Currency=INR","Period=FQ","BEST_FPERIOD_OVERRIDE=FQ","FILING_STATUS=OR","EQY_CONSOLIDATED=Y","FA_ADJUSTED=GAAP","Sort=A","Dates=H","DateFormat=P","Fill=—","Direction=H","UseDPDF=Y")</f>
        <v>#NAME?</v>
      </c>
      <c r="H510" t="e">
        <f ca="1">_xll.BDH($C$503,"RETURN_ON_CAP","FQ2 2015","FQ2 2015","Currency=INR","Period=FQ","BEST_FPERIOD_OVERRIDE=FQ","FILING_STATUS=OR","EQY_CONSOLIDATED=Y","FA_ADJUSTED=GAAP","Sort=A","Dates=H","DateFormat=P","Fill=—","Direction=H","UseDPDF=Y")</f>
        <v>#NAME?</v>
      </c>
      <c r="I510" t="e">
        <f ca="1">_xll.BDH($C$503,"RETURN_ON_INV_CAPITAL","FQ2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10" t="e">
        <f ca="1">_xll.BDH($C$503,"EBITDA_TO_REVENUE","FQ2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10" t="e">
        <f ca="1">_xll.BDH($C$503,"OPER_MARGIN","FQ2 2015","FQ2 2015","Currency=INR","Period=FQ","BEST_FPERIOD_OVERRIDE=FQ","FILING_STATUS=OR","EQY_CONSOLIDATED=Y","FA_ADJUSTED=GAAP","Sort=A","Dates=H","DateFormat=P","Fill=—","Direction=H","UseDPDF=Y")</f>
        <v>#NAME?</v>
      </c>
      <c r="L510" t="e">
        <f ca="1">_xll.BDH($C$503,"INCREMENTAL_OPERATING_MARGIN","FQ2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10" t="e">
        <f ca="1">_xll.BDH($C$503,"PRETAX_INC_TO_NET_SALES","FQ2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10" t="e">
        <f ca="1">_xll.BDH($C$503,"INC_BEF_XO_ITEMS_TO_NET_SALES","FQ2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10" t="e">
        <f ca="1">_xll.BDH($C$503,"PROF_MARGIN","FQ2 2015","FQ2 2015","Currency=INR","Period=FQ","BEST_FPERIOD_OVERRIDE=FQ","FILING_STATUS=OR","EQY_CONSOLIDATED=Y","FA_ADJUSTED=GAAP","Sort=A","Dates=H","DateFormat=P","Fill=—","Direction=H","UseDPDF=Y")</f>
        <v>#NAME?</v>
      </c>
      <c r="P510" t="e">
        <f ca="1">_xll.BDH($C$503,"NET_INCOME_TO_COMMON_MARGIN","FQ2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10" t="e">
        <f ca="1">_xll.BDH($C$503,"EFF_TAX_RATE","FQ2 2015","FQ2 2015","Currency=INR","Period=FQ","BEST_FPERIOD_OVERRIDE=FQ","FILING_STATUS=OR","EQY_CONSOLIDATED=Y","FA_ADJUSTED=GAAP","Sort=A","Dates=H","DateFormat=P","Fill=—","Direction=H","UseDPDF=Y")</f>
        <v>#NAME?</v>
      </c>
      <c r="R510" t="e">
        <f ca="1">_xll.BDH($C$503,"DVD_PAYOUT_RATIO","FQ2 2015","FQ2 2015","Currency=INR","Period=FQ","BEST_FPERIOD_OVERRIDE=FQ","FILING_STATUS=OR","EQY_CONSOLIDATED=Y","FA_ADJUSTED=GAAP","Sort=A","Dates=H","DateFormat=P","Fill=—","Direction=H","UseDPDF=Y")</f>
        <v>#NAME?</v>
      </c>
      <c r="S510" t="e">
        <f ca="1">_xll.BDH($C$503,"SUSTAIN_GROWTH_RT","FQ2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10" s="2" t="e">
        <f ca="1">_xll.BDH($C$503,"SALES_GROWTH","FQ2 2015","FQ2 2015","Currency=INR","Period=FQ","BEST_FPERIOD_OVERRIDE=FQ","FILING_STATUS=OR","EQY_CONSOLIDATED=Y","FA_ADJUSTED=GAAP","Sort=A","Dates=H","DateFormat=P","Fill=—","Direction=H","UseDPDF=Y")</f>
        <v>#NAME?</v>
      </c>
      <c r="U510" s="2" t="e">
        <f ca="1">_xll.BDH($C$503,"EBITDA_GROWTH","FQ2 2015","FQ2 2015","Currency=INR","Period=FQ","BEST_FPERIOD_OVERRIDE=FQ","FILING_STATUS=OR","EQY_CONSOLIDATED=Y","FA_ADJUSTED=GAAP","Sort=A","Dates=H","DateFormat=P","Fill=—","Direction=H","UseDPDF=Y")</f>
        <v>#NAME?</v>
      </c>
      <c r="V510" s="2" t="e">
        <f ca="1">_xll.BDH($C$503,"OPER_INC_GROWTH","FQ2 2015","FQ2 2015","Currency=INR","Period=FQ","BEST_FPERIOD_OVERRIDE=FQ","FILING_STATUS=OR","EQY_CONSOLIDATED=Y","FA_ADJUSTED=GAAP","Sort=A","Dates=H","DateFormat=P","Fill=—","Direction=H","UseDPDF=Y")</f>
        <v>#NAME?</v>
      </c>
      <c r="W510" s="2" t="e">
        <f ca="1">_xll.BDH($C$503,"EARN_FOR_COM_GROWTH","FQ2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10" s="2" t="e">
        <f ca="1">_xll.BDH($C$503,"DILUTED_EPS_AFT_XO_ITEMS_GROWTH","FQ2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10" s="2" t="e">
        <f ca="1">_xll.BDH($C$503,"DIVIDEND_PER_SHARE_1_YEAR_GROWTH","FQ2 2015","FQ2 2015","Currency=INR","Period=FQ","BEST_FPERIOD_OVERRIDE=FQ","FILING_STATUS=OR","EQY_CONSOLIDATED=Y","Sort=A","Dates=H","DateFormat=P","Fill=—","Direction=H","UseDPDF=Y")</f>
        <v>#NAME?</v>
      </c>
      <c r="Z510" s="2" t="e">
        <f ca="1">_xll.BDH($C$503,"ACCOUNTS_RECEIVABLE_GROWTH","FQ2 2015","FQ2 2015","Currency=INR","Period=FQ","BEST_FPERIOD_OVERRIDE=FQ","FILING_STATUS=OR","EQY_CONSOLIDATED=Y","Sort=A","Dates=H","DateFormat=P","Fill=—","Direction=H","UseDPDF=Y")</f>
        <v>#NAME?</v>
      </c>
      <c r="AA510" s="2" t="e">
        <f ca="1">_xll.BDH($C$503,"INVENTORY_GROWTH","FQ2 2015","FQ2 2015","Currency=INR","Period=FQ","BEST_FPERIOD_OVERRIDE=FQ","FILING_STATUS=OR","EQY_CONSOLIDATED=Y","Sort=A","Dates=H","DateFormat=P","Fill=—","Direction=H","UseDPDF=Y")</f>
        <v>#NAME?</v>
      </c>
      <c r="AB510" s="2" t="e">
        <f ca="1">_xll.BDH($C$503,"NET_FIXED_ASSETS_1_YEAR_GROWTH","FQ2 2015","FQ2 2015","Currency=INR","Period=FQ","BEST_FPERIOD_OVERRIDE=FQ","FILING_STATUS=OR","EQY_CONSOLIDATED=Y","Sort=A","Dates=H","DateFormat=P","Fill=—","Direction=H","UseDPDF=Y")</f>
        <v>#NAME?</v>
      </c>
      <c r="AC510" s="2" t="e">
        <f ca="1">_xll.BDH($C$503,"ASSET_GROWTH","FQ2 2015","FQ2 2015","Currency=INR","Period=FQ","BEST_FPERIOD_OVERRIDE=FQ","FILING_STATUS=OR","EQY_CONSOLIDATED=Y","Sort=A","Dates=H","DateFormat=P","Fill=—","Direction=H","UseDPDF=Y")</f>
        <v>#NAME?</v>
      </c>
      <c r="AD510" s="2" t="e">
        <f ca="1">_xll.BDH($C$503,"MODIFIED_WORK_CAP_GROWTH","FQ2 2015","FQ2 2015","Currency=INR","Period=FQ","BEST_FPERIOD_OVERRIDE=FQ","FILING_STATUS=OR","EQY_CONSOLIDATED=Y","Sort=A","Dates=H","DateFormat=P","Fill=—","Direction=H","UseDPDF=Y")</f>
        <v>#NAME?</v>
      </c>
      <c r="AE510" s="2" t="e">
        <f ca="1">_xll.BDH($C$503,"WORK_CAP_GROWTH","FQ2 2015","FQ2 2015","Currency=INR","Period=FQ","BEST_FPERIOD_OVERRIDE=FQ","FILING_STATUS=OR","EQY_CONSOLIDATED=Y","Sort=A","Dates=H","DateFormat=P","Fill=—","Direction=H","UseDPDF=Y")</f>
        <v>#NAME?</v>
      </c>
      <c r="AF510" s="2" t="e">
        <f ca="1">_xll.BDH($C$503,"ACCOUNTS_PAYABLE_GROWTH_1YR","FQ2 2015","FQ2 2015","Currency=INR","Period=FQ","BEST_FPERIOD_OVERRIDE=FQ","FILING_STATUS=OR","EQY_CONSOLIDATED=Y","Sort=A","Dates=H","DateFormat=P","Fill=—","Direction=H","UseDPDF=Y")</f>
        <v>#NAME?</v>
      </c>
      <c r="AG510" s="2" t="e">
        <f ca="1">_xll.BDH($C$503,"SHORT_TERM_DEBT_1_YEAR_GROWTH","FQ2 2015","FQ2 2015","Currency=INR","Period=FQ","BEST_FPERIOD_OVERRIDE=FQ","FILING_STATUS=OR","EQY_CONSOLIDATED=Y","Sort=A","Dates=H","DateFormat=P","Fill=—","Direction=H","UseDPDF=Y")</f>
        <v>#NAME?</v>
      </c>
      <c r="AH510" s="2" t="e">
        <f ca="1">_xll.BDH($C$503,"TOTAL_DEBT_1_YEAR_GROWTH","FQ2 2015","FQ2 2015","Currency=INR","Period=FQ","BEST_FPERIOD_OVERRIDE=FQ","FILING_STATUS=OR","EQY_CONSOLIDATED=Y","Sort=A","Dates=H","DateFormat=P","Fill=—","Direction=H","UseDPDF=Y")</f>
        <v>#NAME?</v>
      </c>
      <c r="AI510" s="2" t="e">
        <f ca="1">_xll.BDH($C$503,"TOTAL_EQUITY_1_YEAR_GROWTH","FQ2 2015","FQ2 2015","Currency=INR","Period=FQ","BEST_FPERIOD_OVERRIDE=FQ","FILING_STATUS=OR","EQY_CONSOLIDATED=Y","Sort=A","Dates=H","DateFormat=P","Fill=—","Direction=H","UseDPDF=Y")</f>
        <v>#NAME?</v>
      </c>
      <c r="AJ510" s="2" t="e">
        <f ca="1">_xll.BDH($C$503,"GROWTH_IN_CAP","FQ2 2015","FQ2 2015","Currency=INR","Period=FQ","BEST_FPERIOD_OVERRIDE=FQ","FILING_STATUS=OR","EQY_CONSOLIDATED=Y","Sort=A","Dates=H","DateFormat=P","Fill=—","Direction=H","UseDPDF=Y")</f>
        <v>#NAME?</v>
      </c>
      <c r="AK510" s="2" t="e">
        <f ca="1">_xll.BDH($C$503,"BVPS_GROWTH","FQ2 2015","FQ2 2015","Currency=INR","Period=FQ","BEST_FPERIOD_OVERRIDE=FQ","FILING_STATUS=OR","EQY_CONSOLIDATED=Y","Sort=A","Dates=H","DateFormat=P","Fill=—","Direction=H","UseDPDF=Y")</f>
        <v>#NAME?</v>
      </c>
      <c r="AL510" s="2" t="e">
        <f ca="1">_xll.BDH($C$503,"CASH_FLOW_GROWTH","FQ2 2015","FQ2 2015","Currency=INR","Period=FQ","BEST_FPERIOD_OVERRIDE=FQ","FILING_STATUS=OR","EQY_CONSOLIDATED=Y","Sort=A","Dates=H","DateFormat=P","Fill=—","Direction=H","UseDPDF=Y")</f>
        <v>#NAME?</v>
      </c>
      <c r="AM510" s="2" t="e">
        <f ca="1">_xll.BDH($C$503,"GEO_GROW_NET_SALES","FQ2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10" s="2" t="e">
        <f ca="1">_xll.BDH($C$503,"GEO_GROW_EBITDA","FQ2 2015","FQ2 2015","Currency=INR","Period=FQ","BEST_FPERIOD_OVERRIDE=FQ","FILING_STATUS=OR","EQY_CONSOLIDATED=Y","FA_ADJUSTED=GAAP","Sort=A","Dates=H","DateFormat=P","Fill=—","Direction=H","UseDPDF=Y")</f>
        <v>#NAME?</v>
      </c>
      <c r="AO510" s="2" t="e">
        <f ca="1">_xll.BDH($C$503,"GEO_GROW_OPER_INC","FQ2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10" s="2" t="e">
        <f ca="1">_xll.BDH($C$503,"NET_INCOME_TO_COMMON_5_YR_GROWTH","FQ2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10" s="2" t="e">
        <f ca="1">_xll.BDH($C$503,"5Y_GEO_GROWTH_DILUTED_EPS","FQ2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10" s="2" t="e">
        <f ca="1">_xll.BDH($C$503,"GEO_GROW_DVD_PER_SH","FQ2 2015","FQ2 2015","Currency=INR","Period=FQ","BEST_FPERIOD_OVERRIDE=FQ","FILING_STATUS=OR","EQY_CONSOLIDATED=Y","Sort=A","Dates=H","DateFormat=P","Fill=—","Direction=H","UseDPDF=Y")</f>
        <v>#NAME?</v>
      </c>
      <c r="AS510" s="2" t="e">
        <f ca="1">_xll.BDH($C$503,"ACCOUNTS_RECEIVABLE_5_YR_GROWTH","FQ2 2015","FQ2 2015","Currency=INR","Period=FQ","BEST_FPERIOD_OVERRIDE=FQ","FILING_STATUS=OR","EQY_CONSOLIDATED=Y","Sort=A","Dates=H","DateFormat=P","Fill=—","Direction=H","UseDPDF=Y")</f>
        <v>#NAME?</v>
      </c>
      <c r="AT510" s="2" t="e">
        <f ca="1">_xll.BDH($C$503,"INVENTORY_5_YEAR_GROWTH","FQ2 2015","FQ2 2015","Currency=INR","Period=FQ","BEST_FPERIOD_OVERRIDE=FQ","FILING_STATUS=OR","EQY_CONSOLIDATED=Y","Sort=A","Dates=H","DateFormat=P","Fill=—","Direction=H","UseDPDF=Y")</f>
        <v>#NAME?</v>
      </c>
      <c r="AU510" s="2" t="e">
        <f ca="1">_xll.BDH($C$503,"NET_FIXED_ASSETS_5_YEAR_GROWTH","FQ2 2015","FQ2 2015","Currency=INR","Period=FQ","BEST_FPERIOD_OVERRIDE=FQ","FILING_STATUS=OR","EQY_CONSOLIDATED=Y","Sort=A","Dates=H","DateFormat=P","Fill=—","Direction=H","UseDPDF=Y")</f>
        <v>#NAME?</v>
      </c>
      <c r="AV510" s="2" t="e">
        <f ca="1">_xll.BDH($C$503,"GEO_GROW_TOT_ASSET","FQ2 2015","FQ2 2015","Currency=INR","Period=FQ","BEST_FPERIOD_OVERRIDE=FQ","FILING_STATUS=OR","EQY_CONSOLIDATED=Y","Sort=A","Dates=H","DateFormat=P","Fill=—","Direction=H","UseDPDF=Y")</f>
        <v>#NAME?</v>
      </c>
      <c r="AW510" s="2" t="e">
        <f ca="1">_xll.BDH($C$503,"MODIFIED_WORKING_CPTL_5YR_GRWTH","FQ2 2015","FQ2 2015","Currency=INR","Period=FQ","BEST_FPERIOD_OVERRIDE=FQ","FILING_STATUS=OR","EQY_CONSOLIDATED=Y","Sort=A","Dates=H","DateFormat=P","Fill=—","Direction=H","UseDPDF=Y")</f>
        <v>#NAME?</v>
      </c>
      <c r="AX510" s="2" t="e">
        <f ca="1">_xll.BDH($C$503,"WORKING_CAPITAL_5_YEAR_GROWTH","FQ2 2015","FQ2 2015","Currency=INR","Period=FQ","BEST_FPERIOD_OVERRIDE=FQ","FILING_STATUS=OR","EQY_CONSOLIDATED=Y","Sort=A","Dates=H","DateFormat=P","Fill=—","Direction=H","UseDPDF=Y")</f>
        <v>#NAME?</v>
      </c>
      <c r="AY510" s="2" t="e">
        <f ca="1">_xll.BDH($C$503,"ACCOUNTS_PAYABLE_5_YEAR_GROWTH","FQ2 2015","FQ2 2015","Currency=INR","Period=FQ","BEST_FPERIOD_OVERRIDE=FQ","FILING_STATUS=OR","EQY_CONSOLIDATED=Y","Sort=A","Dates=H","DateFormat=P","Fill=—","Direction=H","UseDPDF=Y")</f>
        <v>#NAME?</v>
      </c>
      <c r="AZ510" s="2" t="e">
        <f ca="1">_xll.BDH($C$503,"SHORT_TERM_DEBT_5_YEAR_GROWTH","FQ2 2015","FQ2 2015","Currency=INR","Period=FQ","BEST_FPERIOD_OVERRIDE=FQ","FILING_STATUS=OR","EQY_CONSOLIDATED=Y","Sort=A","Dates=H","DateFormat=P","Fill=—","Direction=H","UseDPDF=Y")</f>
        <v>#NAME?</v>
      </c>
      <c r="BA510" s="2" t="e">
        <f ca="1">_xll.BDH($C$503,"TOTAL_DEBT_5_YEAR_GROWTH","FQ2 2015","FQ2 2015","Currency=INR","Period=FQ","BEST_FPERIOD_OVERRIDE=FQ","FILING_STATUS=OR","EQY_CONSOLIDATED=Y","Sort=A","Dates=H","DateFormat=P","Fill=—","Direction=H","UseDPDF=Y")</f>
        <v>#NAME?</v>
      </c>
      <c r="BB510" s="2" t="e">
        <f ca="1">_xll.BDH($C$503,"GEO_GROW_TOT_SHRHLDR_EQY","FQ2 2015","FQ2 2015","Currency=INR","Period=FQ","BEST_FPERIOD_OVERRIDE=FQ","FILING_STATUS=OR","EQY_CONSOLIDATED=Y","Sort=A","Dates=H","DateFormat=P","Fill=—","Direction=H","UseDPDF=Y")</f>
        <v>#NAME?</v>
      </c>
      <c r="BC510" s="2" t="e">
        <f ca="1">_xll.BDH($C$503,"TOTAL_CAPITAL_5_YEAR_GROWTH","FQ2 2015","FQ2 2015","Currency=INR","Period=FQ","BEST_FPERIOD_OVERRIDE=FQ","FILING_STATUS=OR","EQY_CONSOLIDATED=Y","Sort=A","Dates=H","DateFormat=P","Fill=—","Direction=H","UseDPDF=Y")</f>
        <v>#NAME?</v>
      </c>
      <c r="BD510" s="2" t="e">
        <f ca="1">_xll.BDH($C$503,"GEO_GROW_BOOK_VAL","FQ2 2015","FQ2 2015","Currency=INR","Period=FQ","BEST_FPERIOD_OVERRIDE=FQ","FILING_STATUS=OR","EQY_CONSOLIDATED=Y","Sort=A","Dates=H","DateFormat=P","Fill=—","Direction=H","UseDPDF=Y")</f>
        <v>#NAME?</v>
      </c>
      <c r="BE510" s="2" t="e">
        <f ca="1">_xll.BDH($C$503,"GEO_GROW_CASH_OPER_ACT","FQ2 2015","FQ2 2015","Currency=INR","Period=FQ","BEST_FPERIOD_OVERRIDE=FQ","FILING_STATUS=OR","EQY_CONSOLIDATED=Y","Sort=A","Dates=H","DateFormat=P","Fill=—","Direction=H","UseDPDF=Y")</f>
        <v>#NAME?</v>
      </c>
      <c r="BF510" s="2" t="e">
        <f ca="1">_xll.BDH($C$503,"REVENUE_SEQUENTIAL_GROWTH","FQ2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10" s="2" t="e">
        <f ca="1">_xll.BDH($C$503,"EBITDA_SEQUENTIAL_GROWTH","FQ2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10" s="2" t="e">
        <f ca="1">_xll.BDH($C$503,"OPERATING_INCOME_SEQ_GROWTH","FQ2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10" s="2" t="e">
        <f ca="1">_xll.BDH($C$503,"NET_INCOME_TO_COMMON_SEQ_GROWTH","FQ2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10" s="2" t="e">
        <f ca="1">_xll.BDH($C$503,"EPS_DILUTED_SEQUENTIAL_GROWTH","FQ2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10" s="2" t="e">
        <f ca="1">_xll.BDH($C$503,"DPS_SEQUENTIAL_GROWTH","FQ2 2015","FQ2 2015","Currency=INR","Period=FQ","BEST_FPERIOD_OVERRIDE=FQ","FILING_STATUS=OR","EQY_CONSOLIDATED=Y","Sort=A","Dates=H","DateFormat=P","Fill=—","Direction=H","UseDPDF=Y")</f>
        <v>#NAME?</v>
      </c>
      <c r="BL510" s="2" t="e">
        <f ca="1">_xll.BDH($C$503,"ACCOUNTS_RECEIVABLE_SEQ_GROWTH","FQ2 2015","FQ2 2015","Currency=INR","Period=FQ","BEST_FPERIOD_OVERRIDE=FQ","FILING_STATUS=OR","EQY_CONSOLIDATED=Y","Sort=A","Dates=H","DateFormat=P","Fill=—","Direction=H","UseDPDF=Y")</f>
        <v>#NAME?</v>
      </c>
      <c r="BM510" s="2" t="e">
        <f ca="1">_xll.BDH($C$503,"INVENTORY_SEQUENTIAL_GROWTH","FQ2 2015","FQ2 2015","Currency=INR","Period=FQ","BEST_FPERIOD_OVERRIDE=FQ","FILING_STATUS=OR","EQY_CONSOLIDATED=Y","Sort=A","Dates=H","DateFormat=P","Fill=—","Direction=H","UseDPDF=Y")</f>
        <v>#NAME?</v>
      </c>
      <c r="BN510" s="2" t="e">
        <f ca="1">_xll.BDH($C$503,"FIXED_ASSETS_SEQUENTIAL_GROWTH","FQ2 2015","FQ2 2015","Currency=INR","Period=FQ","BEST_FPERIOD_OVERRIDE=FQ","FILING_STATUS=OR","EQY_CONSOLIDATED=Y","Sort=A","Dates=H","DateFormat=P","Fill=—","Direction=H","UseDPDF=Y")</f>
        <v>#NAME?</v>
      </c>
      <c r="BO510" s="2" t="e">
        <f ca="1">_xll.BDH($C$503,"TOTAL_ASSETS_SEQUENTIAL_GROWTH","FQ2 2015","FQ2 2015","Currency=INR","Period=FQ","BEST_FPERIOD_OVERRIDE=FQ","FILING_STATUS=OR","EQY_CONSOLIDATED=Y","Sort=A","Dates=H","DateFormat=P","Fill=—","Direction=H","UseDPDF=Y")</f>
        <v>#NAME?</v>
      </c>
      <c r="BP510" s="2" t="e">
        <f ca="1">_xll.BDH($C$503,"MODIFIED_WORKING_CPTL_SEQ_GRWTH","FQ2 2015","FQ2 2015","Currency=INR","Period=FQ","BEST_FPERIOD_OVERRIDE=FQ","FILING_STATUS=OR","EQY_CONSOLIDATED=Y","Sort=A","Dates=H","DateFormat=P","Fill=—","Direction=H","UseDPDF=Y")</f>
        <v>#NAME?</v>
      </c>
      <c r="BQ510" s="2" t="e">
        <f ca="1">_xll.BDH($C$503,"WORKING_CAPITAL_SEQ_GROWTH","FQ2 2015","FQ2 2015","Currency=INR","Period=FQ","BEST_FPERIOD_OVERRIDE=FQ","FILING_STATUS=OR","EQY_CONSOLIDATED=Y","Sort=A","Dates=H","DateFormat=P","Fill=—","Direction=H","UseDPDF=Y")</f>
        <v>#NAME?</v>
      </c>
      <c r="BR510" s="2" t="e">
        <f ca="1">_xll.BDH($C$503,"ACCOUNTS_PAYABLE_SEQ_GROWTH","FQ2 2015","FQ2 2015","Currency=INR","Period=FQ","BEST_FPERIOD_OVERRIDE=FQ","FILING_STATUS=OR","EQY_CONSOLIDATED=Y","Sort=A","Dates=H","DateFormat=P","Fill=—","Direction=H","UseDPDF=Y")</f>
        <v>#NAME?</v>
      </c>
      <c r="BS510" s="2" t="e">
        <f ca="1">_xll.BDH($C$503,"ST_DEBT_SEQUENTIAL_GROWTH","FQ2 2015","FQ2 2015","Currency=INR","Period=FQ","BEST_FPERIOD_OVERRIDE=FQ","FILING_STATUS=OR","EQY_CONSOLIDATED=Y","Sort=A","Dates=H","DateFormat=P","Fill=—","Direction=H","UseDPDF=Y")</f>
        <v>#NAME?</v>
      </c>
      <c r="BT510" s="2" t="e">
        <f ca="1">_xll.BDH($C$503,"TOTAL_DEBT_SEQUENTIAL_GROWTH","FQ2 2015","FQ2 2015","Currency=INR","Period=FQ","BEST_FPERIOD_OVERRIDE=FQ","FILING_STATUS=OR","EQY_CONSOLIDATED=Y","Sort=A","Dates=H","DateFormat=P","Fill=—","Direction=H","UseDPDF=Y")</f>
        <v>#NAME?</v>
      </c>
      <c r="BU510" s="2" t="e">
        <f ca="1">_xll.BDH($C$503,"TOTAL_EQUITY_SEQUENTIAL_GROWTH","FQ2 2015","FQ2 2015","Currency=INR","Period=FQ","BEST_FPERIOD_OVERRIDE=FQ","FILING_STATUS=OR","EQY_CONSOLIDATED=Y","Sort=A","Dates=H","DateFormat=P","Fill=—","Direction=H","UseDPDF=Y")</f>
        <v>#NAME?</v>
      </c>
      <c r="BV510" s="2" t="e">
        <f ca="1">_xll.BDH($C$503,"TOTAL_CAPITAL_SEQUENTIAL_GROWTH","FQ2 2015","FQ2 2015","Currency=INR","Period=FQ","BEST_FPERIOD_OVERRIDE=FQ","FILING_STATUS=OR","EQY_CONSOLIDATED=Y","Sort=A","Dates=H","DateFormat=P","Fill=—","Direction=H","UseDPDF=Y")</f>
        <v>#NAME?</v>
      </c>
      <c r="BW510" s="2" t="e">
        <f ca="1">_xll.BDH($C$503,"BPS_SEQUENTIAL_GROWTH","FQ2 2015","FQ2 2015","Currency=INR","Period=FQ","BEST_FPERIOD_OVERRIDE=FQ","FILING_STATUS=OR","EQY_CONSOLIDATED=Y","Sort=A","Dates=H","DateFormat=P","Fill=—","Direction=H","UseDPDF=Y")</f>
        <v>#NAME?</v>
      </c>
      <c r="BX510" s="2" t="e">
        <f ca="1">_xll.BDH($C$503,"CFO_SEQUENTIAL_GROWTH","FQ2 2015","FQ2 2015","Currency=INR","Period=FQ","BEST_FPERIOD_OVERRIDE=FQ","FILING_STATUS=OR","EQY_CONSOLIDATED=Y","Sort=A","Dates=H","DateFormat=P","Fill=—","Direction=H","UseDPDF=Y")</f>
        <v>#NAME?</v>
      </c>
      <c r="BY510" s="3" t="e">
        <f ca="1">_xll.BDH($C$503,"SHORT_AND_LONG_TERM_DEBT","FQ2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10" s="3" t="e">
        <f ca="1">_xll.BDH($C$503,"BS_ST_BORROW","FQ2 2015","FQ2 2015","Currency=INR","Period=FQ","BEST_FPERIOD_OVERRIDE=FQ","FILING_STATUS=OR","EQY_CONSOLIDATED=Y","SCALING_FORMAT=MLN","Sort=A","Dates=H","DateFormat=P","Fill=—","Direction=H","UseDPDF=Y")</f>
        <v>#NAME?</v>
      </c>
      <c r="CA510" s="3" t="e">
        <f ca="1">_xll.BDH($C$503,"BS_LT_BORROW","FQ2 2015","FQ2 2015","Currency=INR","Period=FQ","BEST_FPERIOD_OVERRIDE=FQ","FILING_STATUS=OR","EQY_CONSOLIDATED=Y","SCALING_FORMAT=MLN","Sort=A","Dates=H","DateFormat=P","Fill=—","Direction=H","UseDPDF=Y")</f>
        <v>#NAME?</v>
      </c>
      <c r="CB510" s="2" t="e">
        <f ca="1">_xll.BDH($C$503,"TOT_DEBT_TO_EBITDA","FQ2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10" s="2" t="e">
        <f ca="1">_xll.BDH($C$503,"NET_DEBT_TO_EBITDA","FQ2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10" s="2" t="e">
        <f ca="1">_xll.BDH($C$503,"TOTAL_DEBT_TO_EBIT","FQ2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10" s="2" t="e">
        <f ca="1">_xll.BDH($C$503,"NET_DEBT_TO_EBIT","FQ2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10" s="2" t="e">
        <f ca="1">_xll.BDH($C$503,"EBITDA_TO_INTEREST_EXPN","FQ2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10" s="2" t="e">
        <f ca="1">_xll.BDH($C$503,"COM_EQY_TO_TOT_ASSET","FQ2 2015","FQ2 2015","Currency=INR","Period=FQ","BEST_FPERIOD_OVERRIDE=FQ","FILING_STATUS=OR","EQY_CONSOLIDATED=Y","Sort=A","Dates=H","DateFormat=P","Fill=—","Direction=H","UseDPDF=Y")</f>
        <v>#NAME?</v>
      </c>
      <c r="CH510" s="2" t="e">
        <f ca="1">_xll.BDH($C$503,"LT_DEBT_TO_TOT_EQY","FQ2 2015","FQ2 2015","Currency=INR","Period=FQ","BEST_FPERIOD_OVERRIDE=FQ","FILING_STATUS=OR","EQY_CONSOLIDATED=Y","Sort=A","Dates=H","DateFormat=P","Fill=—","Direction=H","UseDPDF=Y")</f>
        <v>#NAME?</v>
      </c>
      <c r="CI510" s="2" t="e">
        <f ca="1">_xll.BDH($C$503,"LT_DEBT_TO_TOT_CAP","FQ2 2015","FQ2 2015","Currency=INR","Period=FQ","BEST_FPERIOD_OVERRIDE=FQ","FILING_STATUS=OR","EQY_CONSOLIDATED=Y","Sort=A","Dates=H","DateFormat=P","Fill=—","Direction=H","UseDPDF=Y")</f>
        <v>#NAME?</v>
      </c>
      <c r="CJ510" s="2" t="e">
        <f ca="1">_xll.BDH($C$503,"LT_DEBT_TO_TOT_ASSET","FQ2 2015","FQ2 2015","Currency=INR","Period=FQ","BEST_FPERIOD_OVERRIDE=FQ","FILING_STATUS=OR","EQY_CONSOLIDATED=Y","Sort=A","Dates=H","DateFormat=P","Fill=—","Direction=H","UseDPDF=Y")</f>
        <v>#NAME?</v>
      </c>
      <c r="CK510" s="2" t="e">
        <f ca="1">_xll.BDH($C$503,"TOT_DEBT_TO_TOT_EQY","FQ2 2015","FQ2 2015","Currency=INR","Period=FQ","BEST_FPERIOD_OVERRIDE=FQ","FILING_STATUS=OR","EQY_CONSOLIDATED=Y","Sort=A","Dates=H","DateFormat=P","Fill=—","Direction=H","UseDPDF=Y")</f>
        <v>#NAME?</v>
      </c>
      <c r="CL510" s="2" t="e">
        <f ca="1">_xll.BDH($C$503,"TOT_DEBT_TO_TOT_CAP","FQ2 2015","FQ2 2015","Currency=INR","Period=FQ","BEST_FPERIOD_OVERRIDE=FQ","FILING_STATUS=OR","EQY_CONSOLIDATED=Y","Sort=A","Dates=H","DateFormat=P","Fill=—","Direction=H","UseDPDF=Y")</f>
        <v>#NAME?</v>
      </c>
      <c r="CM510" s="2" t="e">
        <f ca="1">_xll.BDH($C$503,"TOT_DEBT_TO_TOT_ASSET","FQ2 2015","FQ2 2015","Currency=INR","Period=FQ","BEST_FPERIOD_OVERRIDE=FQ","FILING_STATUS=OR","EQY_CONSOLIDATED=Y","Sort=A","Dates=H","DateFormat=P","Fill=—","Direction=H","UseDPDF=Y")</f>
        <v>#NAME?</v>
      </c>
      <c r="CN510" s="2" t="e">
        <f ca="1">_xll.BDH($C$503,"NET_DEBT_TO_SHRHLDR_EQTY","FQ2 2015","FQ2 2015","Currency=INR","Period=FQ","BEST_FPERIOD_OVERRIDE=FQ","FILING_STATUS=OR","EQY_CONSOLIDATED=Y","Sort=A","Dates=H","DateFormat=P","Fill=—","Direction=H","UseDPDF=Y")</f>
        <v>#NAME?</v>
      </c>
      <c r="CO510" s="2" t="e">
        <f ca="1">_xll.BDH($C$503,"NET_DEBT_%_CAPITAL","FQ2 2015","FQ2 2015","Currency=INR","Period=FQ","BEST_FPERIOD_OVERRIDE=FQ","FILING_STATUS=OR","EQY_CONSOLIDATED=Y","Sort=A","Dates=H","DateFormat=P","Fill=—","Direction=H","UseDPDF=Y")</f>
        <v>#NAME?</v>
      </c>
      <c r="CP510" s="3" t="e">
        <f ca="1">_xll.BDH($C$503,"EBITDA","FQ2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10" s="3" t="e">
        <f ca="1">_xll.BDH($C$503,"EBITDA_AFTER_CAPEX","FQ2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10" s="3" t="e">
        <f ca="1">_xll.BDH($C$503,"IS_OPER_INC","FQ2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10" s="2" t="e">
        <f ca="1">_xll.BDH($C$503,"CASH_RATIO","FQ2 2015","FQ2 2015","Currency=INR","Period=FQ","BEST_FPERIOD_OVERRIDE=FQ","FILING_STATUS=OR","EQY_CONSOLIDATED=Y","Sort=A","Dates=H","DateFormat=P","Fill=—","Direction=H","UseDPDF=Y")</f>
        <v>#NAME?</v>
      </c>
      <c r="CT510" s="2" t="e">
        <f ca="1">_xll.BDH($C$503,"CUR_RATIO","FQ2 2015","FQ2 2015","Currency=INR","Period=FQ","BEST_FPERIOD_OVERRIDE=FQ","FILING_STATUS=OR","EQY_CONSOLIDATED=Y","Sort=A","Dates=H","DateFormat=P","Fill=—","Direction=H","UseDPDF=Y")</f>
        <v>#NAME?</v>
      </c>
      <c r="CU510" s="2" t="e">
        <f ca="1">_xll.BDH($C$503,"QUICK_RATIO","FQ2 2015","FQ2 2015","Currency=INR","Period=FQ","BEST_FPERIOD_OVERRIDE=FQ","FILING_STATUS=OR","EQY_CONSOLIDATED=Y","Sort=A","Dates=H","DateFormat=P","Fill=—","Direction=H","UseDPDF=Y")</f>
        <v>#NAME?</v>
      </c>
      <c r="CV510" s="2" t="e">
        <f ca="1">_xll.BDH($C$503,"ALTMAN_Z_SCORE","FQ2 2015","FQ2 2015","Currency=INR","Period=FQ","BEST_FPERIOD_OVERRIDE=FQ","FILING_STATUS=OR","EQY_CONSOLIDATED=Y","Sort=A","Dates=H","DateFormat=P","Fill=—","Direction=H","UseDPDF=Y")</f>
        <v>#NAME?</v>
      </c>
      <c r="CW510" s="4" t="e">
        <f ca="1">_xll.BDH($C$503,"ACCT_RCV_TURN","FQ2 2015","FQ2 2015","Currency=INR","Period=FQ","BEST_FPERIOD_OVERRIDE=FQ","FILING_STATUS=OR","EQY_CONSOLIDATED=Y","FA_ADJUSTED=GAAP","Sort=A","Dates=H","DateFormat=P","Fill=—","Direction=H","UseDPDF=Y")</f>
        <v>#NAME?</v>
      </c>
      <c r="CX510" s="2" t="e">
        <f ca="1">_xll.BDH($C$503,"ACCT_RCV_DAYS","FQ2 2015","FQ2 2015","Currency=INR","Period=FQ","BEST_FPERIOD_OVERRIDE=FQ","FILING_STATUS=OR","EQY_CONSOLIDATED=Y","FA_ADJUSTED=GAAP","Sort=A","Dates=H","DateFormat=P","Fill=—","Direction=H","UseDPDF=Y")</f>
        <v>#NAME?</v>
      </c>
      <c r="CY510" s="4" t="e">
        <f ca="1">_xll.BDH($C$503,"INVENT_TURN","FQ2 2015","FQ2 2015","Currency=INR","Period=FQ","BEST_FPERIOD_OVERRIDE=FQ","FILING_STATUS=OR","EQY_CONSOLIDATED=Y","FA_ADJUSTED=GAAP","Sort=A","Dates=H","DateFormat=P","Fill=—","Direction=H","UseDPDF=Y")</f>
        <v>#NAME?</v>
      </c>
      <c r="CZ510" s="2" t="e">
        <f ca="1">_xll.BDH($C$503,"INVENT_DAYS","FQ2 2015","FQ2 2015","Currency=INR","Period=FQ","BEST_FPERIOD_OVERRIDE=FQ","FILING_STATUS=OR","EQY_CONSOLIDATED=Y","FA_ADJUSTED=GAAP","Sort=A","Dates=H","DateFormat=P","Fill=—","Direction=H","UseDPDF=Y")</f>
        <v>#NAME?</v>
      </c>
      <c r="DA510" s="4" t="e">
        <f ca="1">_xll.BDH($C$503,"ACCOUNTS_PAYABLE_TURNOVER","FQ2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10" s="2" t="e">
        <f ca="1">_xll.BDH($C$503,"ACCOUNTS_PAYABLE_TURNOVER_DAYS","FQ2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10" s="4" t="e">
        <f ca="1">_xll.BDH($C$503,"CASH_CONVERSION_CYCLE","FQ2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10" s="4" t="e">
        <f ca="1">_xll.BDH($C$503,"INV_TO_CASH_DAYS","FQ2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10" s="5" t="e">
        <f ca="1">_xll.BDH($C$503,"BS_INVENTORIES","FQ2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10" s="3" t="e">
        <f ca="1">_xll.BDH($C$503,"INVTRY_RAW_MATERIALS","FQ2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10" s="3" t="e">
        <f ca="1">_xll.BDH($C$503,"INVTRY_IN_PROGRESS","FQ2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10" s="3" t="e">
        <f ca="1">_xll.BDH($C$503,"INVTRY_FINISHED_GOODS","FQ2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10" s="3" t="e">
        <f ca="1">_xll.BDH($C$503,"BS_OTHER_INV","FQ2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11" spans="1:113" x14ac:dyDescent="0.3">
      <c r="A511" s="6"/>
      <c r="B511" s="6"/>
      <c r="C511" s="6"/>
      <c r="D511" s="6"/>
      <c r="E511" t="s">
        <v>80</v>
      </c>
      <c r="F511" t="e">
        <f ca="1">_xll.BDH($C$503,"RETURN_COM_EQY","FQ3 2015","FQ3 2015","Currency=INR","Period=FQ","BEST_FPERIOD_OVERRIDE=FQ","FILING_STATUS=OR","EQY_CONSOLIDATED=Y","FA_ADJUSTED=GAAP","Sort=A","Dates=H","DateFormat=P","Fill=—","Direction=H","UseDPDF=Y")</f>
        <v>#NAME?</v>
      </c>
      <c r="G511" t="e">
        <f ca="1">_xll.BDH($C$503,"RETURN_ON_ASSET","FQ3 2015","FQ3 2015","Currency=INR","Period=FQ","BEST_FPERIOD_OVERRIDE=FQ","FILING_STATUS=OR","EQY_CONSOLIDATED=Y","FA_ADJUSTED=GAAP","Sort=A","Dates=H","DateFormat=P","Fill=—","Direction=H","UseDPDF=Y")</f>
        <v>#NAME?</v>
      </c>
      <c r="H511" t="e">
        <f ca="1">_xll.BDH($C$503,"RETURN_ON_CAP","FQ3 2015","FQ3 2015","Currency=INR","Period=FQ","BEST_FPERIOD_OVERRIDE=FQ","FILING_STATUS=OR","EQY_CONSOLIDATED=Y","FA_ADJUSTED=GAAP","Sort=A","Dates=H","DateFormat=P","Fill=—","Direction=H","UseDPDF=Y")</f>
        <v>#NAME?</v>
      </c>
      <c r="I511" t="e">
        <f ca="1">_xll.BDH($C$503,"RETURN_ON_INV_CAPITAL","FQ3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11" t="e">
        <f ca="1">_xll.BDH($C$503,"EBITDA_TO_REVENUE","FQ3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11" t="e">
        <f ca="1">_xll.BDH($C$503,"OPER_MARGIN","FQ3 2015","FQ3 2015","Currency=INR","Period=FQ","BEST_FPERIOD_OVERRIDE=FQ","FILING_STATUS=OR","EQY_CONSOLIDATED=Y","FA_ADJUSTED=GAAP","Sort=A","Dates=H","DateFormat=P","Fill=—","Direction=H","UseDPDF=Y")</f>
        <v>#NAME?</v>
      </c>
      <c r="L511" t="e">
        <f ca="1">_xll.BDH($C$503,"INCREMENTAL_OPERATING_MARGIN","FQ3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11" t="e">
        <f ca="1">_xll.BDH($C$503,"PRETAX_INC_TO_NET_SALES","FQ3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11" t="e">
        <f ca="1">_xll.BDH($C$503,"INC_BEF_XO_ITEMS_TO_NET_SALES","FQ3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11" t="e">
        <f ca="1">_xll.BDH($C$503,"PROF_MARGIN","FQ3 2015","FQ3 2015","Currency=INR","Period=FQ","BEST_FPERIOD_OVERRIDE=FQ","FILING_STATUS=OR","EQY_CONSOLIDATED=Y","FA_ADJUSTED=GAAP","Sort=A","Dates=H","DateFormat=P","Fill=—","Direction=H","UseDPDF=Y")</f>
        <v>#NAME?</v>
      </c>
      <c r="P511" t="e">
        <f ca="1">_xll.BDH($C$503,"NET_INCOME_TO_COMMON_MARGIN","FQ3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11" t="e">
        <f ca="1">_xll.BDH($C$503,"EFF_TAX_RATE","FQ3 2015","FQ3 2015","Currency=INR","Period=FQ","BEST_FPERIOD_OVERRIDE=FQ","FILING_STATUS=OR","EQY_CONSOLIDATED=Y","FA_ADJUSTED=GAAP","Sort=A","Dates=H","DateFormat=P","Fill=—","Direction=H","UseDPDF=Y")</f>
        <v>#NAME?</v>
      </c>
      <c r="R511" t="e">
        <f ca="1">_xll.BDH($C$503,"DVD_PAYOUT_RATIO","FQ3 2015","FQ3 2015","Currency=INR","Period=FQ","BEST_FPERIOD_OVERRIDE=FQ","FILING_STATUS=OR","EQY_CONSOLIDATED=Y","FA_ADJUSTED=GAAP","Sort=A","Dates=H","DateFormat=P","Fill=—","Direction=H","UseDPDF=Y")</f>
        <v>#NAME?</v>
      </c>
      <c r="S511" t="e">
        <f ca="1">_xll.BDH($C$503,"SUSTAIN_GROWTH_RT","FQ3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11" s="2" t="e">
        <f ca="1">_xll.BDH($C$503,"SALES_GROWTH","FQ3 2015","FQ3 2015","Currency=INR","Period=FQ","BEST_FPERIOD_OVERRIDE=FQ","FILING_STATUS=OR","EQY_CONSOLIDATED=Y","FA_ADJUSTED=GAAP","Sort=A","Dates=H","DateFormat=P","Fill=—","Direction=H","UseDPDF=Y")</f>
        <v>#NAME?</v>
      </c>
      <c r="U511" s="2" t="e">
        <f ca="1">_xll.BDH($C$503,"EBITDA_GROWTH","FQ3 2015","FQ3 2015","Currency=INR","Period=FQ","BEST_FPERIOD_OVERRIDE=FQ","FILING_STATUS=OR","EQY_CONSOLIDATED=Y","FA_ADJUSTED=GAAP","Sort=A","Dates=H","DateFormat=P","Fill=—","Direction=H","UseDPDF=Y")</f>
        <v>#NAME?</v>
      </c>
      <c r="V511" s="2" t="e">
        <f ca="1">_xll.BDH($C$503,"OPER_INC_GROWTH","FQ3 2015","FQ3 2015","Currency=INR","Period=FQ","BEST_FPERIOD_OVERRIDE=FQ","FILING_STATUS=OR","EQY_CONSOLIDATED=Y","FA_ADJUSTED=GAAP","Sort=A","Dates=H","DateFormat=P","Fill=—","Direction=H","UseDPDF=Y")</f>
        <v>#NAME?</v>
      </c>
      <c r="W511" s="2" t="e">
        <f ca="1">_xll.BDH($C$503,"EARN_FOR_COM_GROWTH","FQ3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11" s="2" t="e">
        <f ca="1">_xll.BDH($C$503,"DILUTED_EPS_AFT_XO_ITEMS_GROWTH","FQ3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11" s="2" t="e">
        <f ca="1">_xll.BDH($C$503,"DIVIDEND_PER_SHARE_1_YEAR_GROWTH","FQ3 2015","FQ3 2015","Currency=INR","Period=FQ","BEST_FPERIOD_OVERRIDE=FQ","FILING_STATUS=OR","EQY_CONSOLIDATED=Y","Sort=A","Dates=H","DateFormat=P","Fill=—","Direction=H","UseDPDF=Y")</f>
        <v>#NAME?</v>
      </c>
      <c r="Z511" s="2" t="e">
        <f ca="1">_xll.BDH($C$503,"ACCOUNTS_RECEIVABLE_GROWTH","FQ3 2015","FQ3 2015","Currency=INR","Period=FQ","BEST_FPERIOD_OVERRIDE=FQ","FILING_STATUS=OR","EQY_CONSOLIDATED=Y","Sort=A","Dates=H","DateFormat=P","Fill=—","Direction=H","UseDPDF=Y")</f>
        <v>#NAME?</v>
      </c>
      <c r="AA511" s="2" t="e">
        <f ca="1">_xll.BDH($C$503,"INVENTORY_GROWTH","FQ3 2015","FQ3 2015","Currency=INR","Period=FQ","BEST_FPERIOD_OVERRIDE=FQ","FILING_STATUS=OR","EQY_CONSOLIDATED=Y","Sort=A","Dates=H","DateFormat=P","Fill=—","Direction=H","UseDPDF=Y")</f>
        <v>#NAME?</v>
      </c>
      <c r="AB511" s="2" t="e">
        <f ca="1">_xll.BDH($C$503,"NET_FIXED_ASSETS_1_YEAR_GROWTH","FQ3 2015","FQ3 2015","Currency=INR","Period=FQ","BEST_FPERIOD_OVERRIDE=FQ","FILING_STATUS=OR","EQY_CONSOLIDATED=Y","Sort=A","Dates=H","DateFormat=P","Fill=—","Direction=H","UseDPDF=Y")</f>
        <v>#NAME?</v>
      </c>
      <c r="AC511" s="2" t="e">
        <f ca="1">_xll.BDH($C$503,"ASSET_GROWTH","FQ3 2015","FQ3 2015","Currency=INR","Period=FQ","BEST_FPERIOD_OVERRIDE=FQ","FILING_STATUS=OR","EQY_CONSOLIDATED=Y","Sort=A","Dates=H","DateFormat=P","Fill=—","Direction=H","UseDPDF=Y")</f>
        <v>#NAME?</v>
      </c>
      <c r="AD511" s="2" t="e">
        <f ca="1">_xll.BDH($C$503,"MODIFIED_WORK_CAP_GROWTH","FQ3 2015","FQ3 2015","Currency=INR","Period=FQ","BEST_FPERIOD_OVERRIDE=FQ","FILING_STATUS=OR","EQY_CONSOLIDATED=Y","Sort=A","Dates=H","DateFormat=P","Fill=—","Direction=H","UseDPDF=Y")</f>
        <v>#NAME?</v>
      </c>
      <c r="AE511" s="2" t="e">
        <f ca="1">_xll.BDH($C$503,"WORK_CAP_GROWTH","FQ3 2015","FQ3 2015","Currency=INR","Period=FQ","BEST_FPERIOD_OVERRIDE=FQ","FILING_STATUS=OR","EQY_CONSOLIDATED=Y","Sort=A","Dates=H","DateFormat=P","Fill=—","Direction=H","UseDPDF=Y")</f>
        <v>#NAME?</v>
      </c>
      <c r="AF511" s="2" t="e">
        <f ca="1">_xll.BDH($C$503,"ACCOUNTS_PAYABLE_GROWTH_1YR","FQ3 2015","FQ3 2015","Currency=INR","Period=FQ","BEST_FPERIOD_OVERRIDE=FQ","FILING_STATUS=OR","EQY_CONSOLIDATED=Y","Sort=A","Dates=H","DateFormat=P","Fill=—","Direction=H","UseDPDF=Y")</f>
        <v>#NAME?</v>
      </c>
      <c r="AG511" s="2" t="e">
        <f ca="1">_xll.BDH($C$503,"SHORT_TERM_DEBT_1_YEAR_GROWTH","FQ3 2015","FQ3 2015","Currency=INR","Period=FQ","BEST_FPERIOD_OVERRIDE=FQ","FILING_STATUS=OR","EQY_CONSOLIDATED=Y","Sort=A","Dates=H","DateFormat=P","Fill=—","Direction=H","UseDPDF=Y")</f>
        <v>#NAME?</v>
      </c>
      <c r="AH511" s="2" t="e">
        <f ca="1">_xll.BDH($C$503,"TOTAL_DEBT_1_YEAR_GROWTH","FQ3 2015","FQ3 2015","Currency=INR","Period=FQ","BEST_FPERIOD_OVERRIDE=FQ","FILING_STATUS=OR","EQY_CONSOLIDATED=Y","Sort=A","Dates=H","DateFormat=P","Fill=—","Direction=H","UseDPDF=Y")</f>
        <v>#NAME?</v>
      </c>
      <c r="AI511" s="2" t="e">
        <f ca="1">_xll.BDH($C$503,"TOTAL_EQUITY_1_YEAR_GROWTH","FQ3 2015","FQ3 2015","Currency=INR","Period=FQ","BEST_FPERIOD_OVERRIDE=FQ","FILING_STATUS=OR","EQY_CONSOLIDATED=Y","Sort=A","Dates=H","DateFormat=P","Fill=—","Direction=H","UseDPDF=Y")</f>
        <v>#NAME?</v>
      </c>
      <c r="AJ511" s="2" t="e">
        <f ca="1">_xll.BDH($C$503,"GROWTH_IN_CAP","FQ3 2015","FQ3 2015","Currency=INR","Period=FQ","BEST_FPERIOD_OVERRIDE=FQ","FILING_STATUS=OR","EQY_CONSOLIDATED=Y","Sort=A","Dates=H","DateFormat=P","Fill=—","Direction=H","UseDPDF=Y")</f>
        <v>#NAME?</v>
      </c>
      <c r="AK511" s="2" t="e">
        <f ca="1">_xll.BDH($C$503,"BVPS_GROWTH","FQ3 2015","FQ3 2015","Currency=INR","Period=FQ","BEST_FPERIOD_OVERRIDE=FQ","FILING_STATUS=OR","EQY_CONSOLIDATED=Y","Sort=A","Dates=H","DateFormat=P","Fill=—","Direction=H","UseDPDF=Y")</f>
        <v>#NAME?</v>
      </c>
      <c r="AL511" s="2" t="e">
        <f ca="1">_xll.BDH($C$503,"CASH_FLOW_GROWTH","FQ3 2015","FQ3 2015","Currency=INR","Period=FQ","BEST_FPERIOD_OVERRIDE=FQ","FILING_STATUS=OR","EQY_CONSOLIDATED=Y","Sort=A","Dates=H","DateFormat=P","Fill=—","Direction=H","UseDPDF=Y")</f>
        <v>#NAME?</v>
      </c>
      <c r="AM511" s="2" t="e">
        <f ca="1">_xll.BDH($C$503,"GEO_GROW_NET_SALES","FQ3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11" s="2" t="e">
        <f ca="1">_xll.BDH($C$503,"GEO_GROW_EBITDA","FQ3 2015","FQ3 2015","Currency=INR","Period=FQ","BEST_FPERIOD_OVERRIDE=FQ","FILING_STATUS=OR","EQY_CONSOLIDATED=Y","FA_ADJUSTED=GAAP","Sort=A","Dates=H","DateFormat=P","Fill=—","Direction=H","UseDPDF=Y")</f>
        <v>#NAME?</v>
      </c>
      <c r="AO511" s="2" t="e">
        <f ca="1">_xll.BDH($C$503,"GEO_GROW_OPER_INC","FQ3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11" s="2" t="e">
        <f ca="1">_xll.BDH($C$503,"NET_INCOME_TO_COMMON_5_YR_GROWTH","FQ3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11" s="2" t="e">
        <f ca="1">_xll.BDH($C$503,"5Y_GEO_GROWTH_DILUTED_EPS","FQ3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11" s="2" t="e">
        <f ca="1">_xll.BDH($C$503,"GEO_GROW_DVD_PER_SH","FQ3 2015","FQ3 2015","Currency=INR","Period=FQ","BEST_FPERIOD_OVERRIDE=FQ","FILING_STATUS=OR","EQY_CONSOLIDATED=Y","Sort=A","Dates=H","DateFormat=P","Fill=—","Direction=H","UseDPDF=Y")</f>
        <v>#NAME?</v>
      </c>
      <c r="AS511" s="2" t="e">
        <f ca="1">_xll.BDH($C$503,"ACCOUNTS_RECEIVABLE_5_YR_GROWTH","FQ3 2015","FQ3 2015","Currency=INR","Period=FQ","BEST_FPERIOD_OVERRIDE=FQ","FILING_STATUS=OR","EQY_CONSOLIDATED=Y","Sort=A","Dates=H","DateFormat=P","Fill=—","Direction=H","UseDPDF=Y")</f>
        <v>#NAME?</v>
      </c>
      <c r="AT511" s="2" t="e">
        <f ca="1">_xll.BDH($C$503,"INVENTORY_5_YEAR_GROWTH","FQ3 2015","FQ3 2015","Currency=INR","Period=FQ","BEST_FPERIOD_OVERRIDE=FQ","FILING_STATUS=OR","EQY_CONSOLIDATED=Y","Sort=A","Dates=H","DateFormat=P","Fill=—","Direction=H","UseDPDF=Y")</f>
        <v>#NAME?</v>
      </c>
      <c r="AU511" s="2" t="e">
        <f ca="1">_xll.BDH($C$503,"NET_FIXED_ASSETS_5_YEAR_GROWTH","FQ3 2015","FQ3 2015","Currency=INR","Period=FQ","BEST_FPERIOD_OVERRIDE=FQ","FILING_STATUS=OR","EQY_CONSOLIDATED=Y","Sort=A","Dates=H","DateFormat=P","Fill=—","Direction=H","UseDPDF=Y")</f>
        <v>#NAME?</v>
      </c>
      <c r="AV511" s="2" t="e">
        <f ca="1">_xll.BDH($C$503,"GEO_GROW_TOT_ASSET","FQ3 2015","FQ3 2015","Currency=INR","Period=FQ","BEST_FPERIOD_OVERRIDE=FQ","FILING_STATUS=OR","EQY_CONSOLIDATED=Y","Sort=A","Dates=H","DateFormat=P","Fill=—","Direction=H","UseDPDF=Y")</f>
        <v>#NAME?</v>
      </c>
      <c r="AW511" s="2" t="e">
        <f ca="1">_xll.BDH($C$503,"MODIFIED_WORKING_CPTL_5YR_GRWTH","FQ3 2015","FQ3 2015","Currency=INR","Period=FQ","BEST_FPERIOD_OVERRIDE=FQ","FILING_STATUS=OR","EQY_CONSOLIDATED=Y","Sort=A","Dates=H","DateFormat=P","Fill=—","Direction=H","UseDPDF=Y")</f>
        <v>#NAME?</v>
      </c>
      <c r="AX511" s="2" t="e">
        <f ca="1">_xll.BDH($C$503,"WORKING_CAPITAL_5_YEAR_GROWTH","FQ3 2015","FQ3 2015","Currency=INR","Period=FQ","BEST_FPERIOD_OVERRIDE=FQ","FILING_STATUS=OR","EQY_CONSOLIDATED=Y","Sort=A","Dates=H","DateFormat=P","Fill=—","Direction=H","UseDPDF=Y")</f>
        <v>#NAME?</v>
      </c>
      <c r="AY511" s="2" t="e">
        <f ca="1">_xll.BDH($C$503,"ACCOUNTS_PAYABLE_5_YEAR_GROWTH","FQ3 2015","FQ3 2015","Currency=INR","Period=FQ","BEST_FPERIOD_OVERRIDE=FQ","FILING_STATUS=OR","EQY_CONSOLIDATED=Y","Sort=A","Dates=H","DateFormat=P","Fill=—","Direction=H","UseDPDF=Y")</f>
        <v>#NAME?</v>
      </c>
      <c r="AZ511" s="2" t="e">
        <f ca="1">_xll.BDH($C$503,"SHORT_TERM_DEBT_5_YEAR_GROWTH","FQ3 2015","FQ3 2015","Currency=INR","Period=FQ","BEST_FPERIOD_OVERRIDE=FQ","FILING_STATUS=OR","EQY_CONSOLIDATED=Y","Sort=A","Dates=H","DateFormat=P","Fill=—","Direction=H","UseDPDF=Y")</f>
        <v>#NAME?</v>
      </c>
      <c r="BA511" s="2" t="e">
        <f ca="1">_xll.BDH($C$503,"TOTAL_DEBT_5_YEAR_GROWTH","FQ3 2015","FQ3 2015","Currency=INR","Period=FQ","BEST_FPERIOD_OVERRIDE=FQ","FILING_STATUS=OR","EQY_CONSOLIDATED=Y","Sort=A","Dates=H","DateFormat=P","Fill=—","Direction=H","UseDPDF=Y")</f>
        <v>#NAME?</v>
      </c>
      <c r="BB511" s="2" t="e">
        <f ca="1">_xll.BDH($C$503,"GEO_GROW_TOT_SHRHLDR_EQY","FQ3 2015","FQ3 2015","Currency=INR","Period=FQ","BEST_FPERIOD_OVERRIDE=FQ","FILING_STATUS=OR","EQY_CONSOLIDATED=Y","Sort=A","Dates=H","DateFormat=P","Fill=—","Direction=H","UseDPDF=Y")</f>
        <v>#NAME?</v>
      </c>
      <c r="BC511" s="2" t="e">
        <f ca="1">_xll.BDH($C$503,"TOTAL_CAPITAL_5_YEAR_GROWTH","FQ3 2015","FQ3 2015","Currency=INR","Period=FQ","BEST_FPERIOD_OVERRIDE=FQ","FILING_STATUS=OR","EQY_CONSOLIDATED=Y","Sort=A","Dates=H","DateFormat=P","Fill=—","Direction=H","UseDPDF=Y")</f>
        <v>#NAME?</v>
      </c>
      <c r="BD511" s="2" t="e">
        <f ca="1">_xll.BDH($C$503,"GEO_GROW_BOOK_VAL","FQ3 2015","FQ3 2015","Currency=INR","Period=FQ","BEST_FPERIOD_OVERRIDE=FQ","FILING_STATUS=OR","EQY_CONSOLIDATED=Y","Sort=A","Dates=H","DateFormat=P","Fill=—","Direction=H","UseDPDF=Y")</f>
        <v>#NAME?</v>
      </c>
      <c r="BE511" s="2" t="e">
        <f ca="1">_xll.BDH($C$503,"GEO_GROW_CASH_OPER_ACT","FQ3 2015","FQ3 2015","Currency=INR","Period=FQ","BEST_FPERIOD_OVERRIDE=FQ","FILING_STATUS=OR","EQY_CONSOLIDATED=Y","Sort=A","Dates=H","DateFormat=P","Fill=—","Direction=H","UseDPDF=Y")</f>
        <v>#NAME?</v>
      </c>
      <c r="BF511" s="2" t="e">
        <f ca="1">_xll.BDH($C$503,"REVENUE_SEQUENTIAL_GROWTH","FQ3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11" s="2" t="e">
        <f ca="1">_xll.BDH($C$503,"EBITDA_SEQUENTIAL_GROWTH","FQ3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11" s="2" t="e">
        <f ca="1">_xll.BDH($C$503,"OPERATING_INCOME_SEQ_GROWTH","FQ3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11" s="2" t="e">
        <f ca="1">_xll.BDH($C$503,"NET_INCOME_TO_COMMON_SEQ_GROWTH","FQ3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11" s="2" t="e">
        <f ca="1">_xll.BDH($C$503,"EPS_DILUTED_SEQUENTIAL_GROWTH","FQ3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11" s="2" t="e">
        <f ca="1">_xll.BDH($C$503,"DPS_SEQUENTIAL_GROWTH","FQ3 2015","FQ3 2015","Currency=INR","Period=FQ","BEST_FPERIOD_OVERRIDE=FQ","FILING_STATUS=OR","EQY_CONSOLIDATED=Y","Sort=A","Dates=H","DateFormat=P","Fill=—","Direction=H","UseDPDF=Y")</f>
        <v>#NAME?</v>
      </c>
      <c r="BL511" s="2" t="e">
        <f ca="1">_xll.BDH($C$503,"ACCOUNTS_RECEIVABLE_SEQ_GROWTH","FQ3 2015","FQ3 2015","Currency=INR","Period=FQ","BEST_FPERIOD_OVERRIDE=FQ","FILING_STATUS=OR","EQY_CONSOLIDATED=Y","Sort=A","Dates=H","DateFormat=P","Fill=—","Direction=H","UseDPDF=Y")</f>
        <v>#NAME?</v>
      </c>
      <c r="BM511" s="2" t="e">
        <f ca="1">_xll.BDH($C$503,"INVENTORY_SEQUENTIAL_GROWTH","FQ3 2015","FQ3 2015","Currency=INR","Period=FQ","BEST_FPERIOD_OVERRIDE=FQ","FILING_STATUS=OR","EQY_CONSOLIDATED=Y","Sort=A","Dates=H","DateFormat=P","Fill=—","Direction=H","UseDPDF=Y")</f>
        <v>#NAME?</v>
      </c>
      <c r="BN511" s="2" t="e">
        <f ca="1">_xll.BDH($C$503,"FIXED_ASSETS_SEQUENTIAL_GROWTH","FQ3 2015","FQ3 2015","Currency=INR","Period=FQ","BEST_FPERIOD_OVERRIDE=FQ","FILING_STATUS=OR","EQY_CONSOLIDATED=Y","Sort=A","Dates=H","DateFormat=P","Fill=—","Direction=H","UseDPDF=Y")</f>
        <v>#NAME?</v>
      </c>
      <c r="BO511" s="2" t="e">
        <f ca="1">_xll.BDH($C$503,"TOTAL_ASSETS_SEQUENTIAL_GROWTH","FQ3 2015","FQ3 2015","Currency=INR","Period=FQ","BEST_FPERIOD_OVERRIDE=FQ","FILING_STATUS=OR","EQY_CONSOLIDATED=Y","Sort=A","Dates=H","DateFormat=P","Fill=—","Direction=H","UseDPDF=Y")</f>
        <v>#NAME?</v>
      </c>
      <c r="BP511" s="2" t="e">
        <f ca="1">_xll.BDH($C$503,"MODIFIED_WORKING_CPTL_SEQ_GRWTH","FQ3 2015","FQ3 2015","Currency=INR","Period=FQ","BEST_FPERIOD_OVERRIDE=FQ","FILING_STATUS=OR","EQY_CONSOLIDATED=Y","Sort=A","Dates=H","DateFormat=P","Fill=—","Direction=H","UseDPDF=Y")</f>
        <v>#NAME?</v>
      </c>
      <c r="BQ511" s="2" t="e">
        <f ca="1">_xll.BDH($C$503,"WORKING_CAPITAL_SEQ_GROWTH","FQ3 2015","FQ3 2015","Currency=INR","Period=FQ","BEST_FPERIOD_OVERRIDE=FQ","FILING_STATUS=OR","EQY_CONSOLIDATED=Y","Sort=A","Dates=H","DateFormat=P","Fill=—","Direction=H","UseDPDF=Y")</f>
        <v>#NAME?</v>
      </c>
      <c r="BR511" s="2" t="e">
        <f ca="1">_xll.BDH($C$503,"ACCOUNTS_PAYABLE_SEQ_GROWTH","FQ3 2015","FQ3 2015","Currency=INR","Period=FQ","BEST_FPERIOD_OVERRIDE=FQ","FILING_STATUS=OR","EQY_CONSOLIDATED=Y","Sort=A","Dates=H","DateFormat=P","Fill=—","Direction=H","UseDPDF=Y")</f>
        <v>#NAME?</v>
      </c>
      <c r="BS511" s="2" t="e">
        <f ca="1">_xll.BDH($C$503,"ST_DEBT_SEQUENTIAL_GROWTH","FQ3 2015","FQ3 2015","Currency=INR","Period=FQ","BEST_FPERIOD_OVERRIDE=FQ","FILING_STATUS=OR","EQY_CONSOLIDATED=Y","Sort=A","Dates=H","DateFormat=P","Fill=—","Direction=H","UseDPDF=Y")</f>
        <v>#NAME?</v>
      </c>
      <c r="BT511" s="2" t="e">
        <f ca="1">_xll.BDH($C$503,"TOTAL_DEBT_SEQUENTIAL_GROWTH","FQ3 2015","FQ3 2015","Currency=INR","Period=FQ","BEST_FPERIOD_OVERRIDE=FQ","FILING_STATUS=OR","EQY_CONSOLIDATED=Y","Sort=A","Dates=H","DateFormat=P","Fill=—","Direction=H","UseDPDF=Y")</f>
        <v>#NAME?</v>
      </c>
      <c r="BU511" s="2" t="e">
        <f ca="1">_xll.BDH($C$503,"TOTAL_EQUITY_SEQUENTIAL_GROWTH","FQ3 2015","FQ3 2015","Currency=INR","Period=FQ","BEST_FPERIOD_OVERRIDE=FQ","FILING_STATUS=OR","EQY_CONSOLIDATED=Y","Sort=A","Dates=H","DateFormat=P","Fill=—","Direction=H","UseDPDF=Y")</f>
        <v>#NAME?</v>
      </c>
      <c r="BV511" s="2" t="e">
        <f ca="1">_xll.BDH($C$503,"TOTAL_CAPITAL_SEQUENTIAL_GROWTH","FQ3 2015","FQ3 2015","Currency=INR","Period=FQ","BEST_FPERIOD_OVERRIDE=FQ","FILING_STATUS=OR","EQY_CONSOLIDATED=Y","Sort=A","Dates=H","DateFormat=P","Fill=—","Direction=H","UseDPDF=Y")</f>
        <v>#NAME?</v>
      </c>
      <c r="BW511" s="2" t="e">
        <f ca="1">_xll.BDH($C$503,"BPS_SEQUENTIAL_GROWTH","FQ3 2015","FQ3 2015","Currency=INR","Period=FQ","BEST_FPERIOD_OVERRIDE=FQ","FILING_STATUS=OR","EQY_CONSOLIDATED=Y","Sort=A","Dates=H","DateFormat=P","Fill=—","Direction=H","UseDPDF=Y")</f>
        <v>#NAME?</v>
      </c>
      <c r="BX511" s="2" t="e">
        <f ca="1">_xll.BDH($C$503,"CFO_SEQUENTIAL_GROWTH","FQ3 2015","FQ3 2015","Currency=INR","Period=FQ","BEST_FPERIOD_OVERRIDE=FQ","FILING_STATUS=OR","EQY_CONSOLIDATED=Y","Sort=A","Dates=H","DateFormat=P","Fill=—","Direction=H","UseDPDF=Y")</f>
        <v>#NAME?</v>
      </c>
      <c r="BY511" s="3" t="e">
        <f ca="1">_xll.BDH($C$503,"SHORT_AND_LONG_TERM_DEBT","FQ3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11" s="3" t="e">
        <f ca="1">_xll.BDH($C$503,"BS_ST_BORROW","FQ3 2015","FQ3 2015","Currency=INR","Period=FQ","BEST_FPERIOD_OVERRIDE=FQ","FILING_STATUS=OR","EQY_CONSOLIDATED=Y","SCALING_FORMAT=MLN","Sort=A","Dates=H","DateFormat=P","Fill=—","Direction=H","UseDPDF=Y")</f>
        <v>#NAME?</v>
      </c>
      <c r="CA511" s="3" t="e">
        <f ca="1">_xll.BDH($C$503,"BS_LT_BORROW","FQ3 2015","FQ3 2015","Currency=INR","Period=FQ","BEST_FPERIOD_OVERRIDE=FQ","FILING_STATUS=OR","EQY_CONSOLIDATED=Y","SCALING_FORMAT=MLN","Sort=A","Dates=H","DateFormat=P","Fill=—","Direction=H","UseDPDF=Y")</f>
        <v>#NAME?</v>
      </c>
      <c r="CB511" s="2" t="e">
        <f ca="1">_xll.BDH($C$503,"TOT_DEBT_TO_EBITDA","FQ3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11" s="2" t="e">
        <f ca="1">_xll.BDH($C$503,"NET_DEBT_TO_EBITDA","FQ3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11" s="2" t="e">
        <f ca="1">_xll.BDH($C$503,"TOTAL_DEBT_TO_EBIT","FQ3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11" s="2" t="e">
        <f ca="1">_xll.BDH($C$503,"NET_DEBT_TO_EBIT","FQ3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11" s="2" t="e">
        <f ca="1">_xll.BDH($C$503,"EBITDA_TO_INTEREST_EXPN","FQ3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11" s="2" t="e">
        <f ca="1">_xll.BDH($C$503,"COM_EQY_TO_TOT_ASSET","FQ3 2015","FQ3 2015","Currency=INR","Period=FQ","BEST_FPERIOD_OVERRIDE=FQ","FILING_STATUS=OR","EQY_CONSOLIDATED=Y","Sort=A","Dates=H","DateFormat=P","Fill=—","Direction=H","UseDPDF=Y")</f>
        <v>#NAME?</v>
      </c>
      <c r="CH511" s="2" t="e">
        <f ca="1">_xll.BDH($C$503,"LT_DEBT_TO_TOT_EQY","FQ3 2015","FQ3 2015","Currency=INR","Period=FQ","BEST_FPERIOD_OVERRIDE=FQ","FILING_STATUS=OR","EQY_CONSOLIDATED=Y","Sort=A","Dates=H","DateFormat=P","Fill=—","Direction=H","UseDPDF=Y")</f>
        <v>#NAME?</v>
      </c>
      <c r="CI511" s="2" t="e">
        <f ca="1">_xll.BDH($C$503,"LT_DEBT_TO_TOT_CAP","FQ3 2015","FQ3 2015","Currency=INR","Period=FQ","BEST_FPERIOD_OVERRIDE=FQ","FILING_STATUS=OR","EQY_CONSOLIDATED=Y","Sort=A","Dates=H","DateFormat=P","Fill=—","Direction=H","UseDPDF=Y")</f>
        <v>#NAME?</v>
      </c>
      <c r="CJ511" s="2" t="e">
        <f ca="1">_xll.BDH($C$503,"LT_DEBT_TO_TOT_ASSET","FQ3 2015","FQ3 2015","Currency=INR","Period=FQ","BEST_FPERIOD_OVERRIDE=FQ","FILING_STATUS=OR","EQY_CONSOLIDATED=Y","Sort=A","Dates=H","DateFormat=P","Fill=—","Direction=H","UseDPDF=Y")</f>
        <v>#NAME?</v>
      </c>
      <c r="CK511" s="2" t="e">
        <f ca="1">_xll.BDH($C$503,"TOT_DEBT_TO_TOT_EQY","FQ3 2015","FQ3 2015","Currency=INR","Period=FQ","BEST_FPERIOD_OVERRIDE=FQ","FILING_STATUS=OR","EQY_CONSOLIDATED=Y","Sort=A","Dates=H","DateFormat=P","Fill=—","Direction=H","UseDPDF=Y")</f>
        <v>#NAME?</v>
      </c>
      <c r="CL511" s="2" t="e">
        <f ca="1">_xll.BDH($C$503,"TOT_DEBT_TO_TOT_CAP","FQ3 2015","FQ3 2015","Currency=INR","Period=FQ","BEST_FPERIOD_OVERRIDE=FQ","FILING_STATUS=OR","EQY_CONSOLIDATED=Y","Sort=A","Dates=H","DateFormat=P","Fill=—","Direction=H","UseDPDF=Y")</f>
        <v>#NAME?</v>
      </c>
      <c r="CM511" s="2" t="e">
        <f ca="1">_xll.BDH($C$503,"TOT_DEBT_TO_TOT_ASSET","FQ3 2015","FQ3 2015","Currency=INR","Period=FQ","BEST_FPERIOD_OVERRIDE=FQ","FILING_STATUS=OR","EQY_CONSOLIDATED=Y","Sort=A","Dates=H","DateFormat=P","Fill=—","Direction=H","UseDPDF=Y")</f>
        <v>#NAME?</v>
      </c>
      <c r="CN511" s="2" t="e">
        <f ca="1">_xll.BDH($C$503,"NET_DEBT_TO_SHRHLDR_EQTY","FQ3 2015","FQ3 2015","Currency=INR","Period=FQ","BEST_FPERIOD_OVERRIDE=FQ","FILING_STATUS=OR","EQY_CONSOLIDATED=Y","Sort=A","Dates=H","DateFormat=P","Fill=—","Direction=H","UseDPDF=Y")</f>
        <v>#NAME?</v>
      </c>
      <c r="CO511" s="2" t="e">
        <f ca="1">_xll.BDH($C$503,"NET_DEBT_%_CAPITAL","FQ3 2015","FQ3 2015","Currency=INR","Period=FQ","BEST_FPERIOD_OVERRIDE=FQ","FILING_STATUS=OR","EQY_CONSOLIDATED=Y","Sort=A","Dates=H","DateFormat=P","Fill=—","Direction=H","UseDPDF=Y")</f>
        <v>#NAME?</v>
      </c>
      <c r="CP511" s="3" t="e">
        <f ca="1">_xll.BDH($C$503,"EBITDA","FQ3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11" s="3" t="e">
        <f ca="1">_xll.BDH($C$503,"EBITDA_AFTER_CAPEX","FQ3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11" s="3" t="e">
        <f ca="1">_xll.BDH($C$503,"IS_OPER_INC","FQ3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11" s="2" t="e">
        <f ca="1">_xll.BDH($C$503,"CASH_RATIO","FQ3 2015","FQ3 2015","Currency=INR","Period=FQ","BEST_FPERIOD_OVERRIDE=FQ","FILING_STATUS=OR","EQY_CONSOLIDATED=Y","Sort=A","Dates=H","DateFormat=P","Fill=—","Direction=H","UseDPDF=Y")</f>
        <v>#NAME?</v>
      </c>
      <c r="CT511" s="2" t="e">
        <f ca="1">_xll.BDH($C$503,"CUR_RATIO","FQ3 2015","FQ3 2015","Currency=INR","Period=FQ","BEST_FPERIOD_OVERRIDE=FQ","FILING_STATUS=OR","EQY_CONSOLIDATED=Y","Sort=A","Dates=H","DateFormat=P","Fill=—","Direction=H","UseDPDF=Y")</f>
        <v>#NAME?</v>
      </c>
      <c r="CU511" s="2" t="e">
        <f ca="1">_xll.BDH($C$503,"QUICK_RATIO","FQ3 2015","FQ3 2015","Currency=INR","Period=FQ","BEST_FPERIOD_OVERRIDE=FQ","FILING_STATUS=OR","EQY_CONSOLIDATED=Y","Sort=A","Dates=H","DateFormat=P","Fill=—","Direction=H","UseDPDF=Y")</f>
        <v>#NAME?</v>
      </c>
      <c r="CV511" s="2" t="e">
        <f ca="1">_xll.BDH($C$503,"ALTMAN_Z_SCORE","FQ3 2015","FQ3 2015","Currency=INR","Period=FQ","BEST_FPERIOD_OVERRIDE=FQ","FILING_STATUS=OR","EQY_CONSOLIDATED=Y","Sort=A","Dates=H","DateFormat=P","Fill=—","Direction=H","UseDPDF=Y")</f>
        <v>#NAME?</v>
      </c>
      <c r="CW511" s="4" t="e">
        <f ca="1">_xll.BDH($C$503,"ACCT_RCV_TURN","FQ3 2015","FQ3 2015","Currency=INR","Period=FQ","BEST_FPERIOD_OVERRIDE=FQ","FILING_STATUS=OR","EQY_CONSOLIDATED=Y","FA_ADJUSTED=GAAP","Sort=A","Dates=H","DateFormat=P","Fill=—","Direction=H","UseDPDF=Y")</f>
        <v>#NAME?</v>
      </c>
      <c r="CX511" s="2" t="e">
        <f ca="1">_xll.BDH($C$503,"ACCT_RCV_DAYS","FQ3 2015","FQ3 2015","Currency=INR","Period=FQ","BEST_FPERIOD_OVERRIDE=FQ","FILING_STATUS=OR","EQY_CONSOLIDATED=Y","FA_ADJUSTED=GAAP","Sort=A","Dates=H","DateFormat=P","Fill=—","Direction=H","UseDPDF=Y")</f>
        <v>#NAME?</v>
      </c>
      <c r="CY511" s="4" t="e">
        <f ca="1">_xll.BDH($C$503,"INVENT_TURN","FQ3 2015","FQ3 2015","Currency=INR","Period=FQ","BEST_FPERIOD_OVERRIDE=FQ","FILING_STATUS=OR","EQY_CONSOLIDATED=Y","FA_ADJUSTED=GAAP","Sort=A","Dates=H","DateFormat=P","Fill=—","Direction=H","UseDPDF=Y")</f>
        <v>#NAME?</v>
      </c>
      <c r="CZ511" s="2" t="e">
        <f ca="1">_xll.BDH($C$503,"INVENT_DAYS","FQ3 2015","FQ3 2015","Currency=INR","Period=FQ","BEST_FPERIOD_OVERRIDE=FQ","FILING_STATUS=OR","EQY_CONSOLIDATED=Y","FA_ADJUSTED=GAAP","Sort=A","Dates=H","DateFormat=P","Fill=—","Direction=H","UseDPDF=Y")</f>
        <v>#NAME?</v>
      </c>
      <c r="DA511" s="4" t="e">
        <f ca="1">_xll.BDH($C$503,"ACCOUNTS_PAYABLE_TURNOVER","FQ3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11" s="2" t="e">
        <f ca="1">_xll.BDH($C$503,"ACCOUNTS_PAYABLE_TURNOVER_DAYS","FQ3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11" s="4" t="e">
        <f ca="1">_xll.BDH($C$503,"CASH_CONVERSION_CYCLE","FQ3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11" s="4" t="e">
        <f ca="1">_xll.BDH($C$503,"INV_TO_CASH_DAYS","FQ3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11" s="5" t="e">
        <f ca="1">_xll.BDH($C$503,"BS_INVENTORIES","FQ3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11" s="3" t="e">
        <f ca="1">_xll.BDH($C$503,"INVTRY_RAW_MATERIALS","FQ3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11" s="3" t="e">
        <f ca="1">_xll.BDH($C$503,"INVTRY_IN_PROGRESS","FQ3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11" s="3" t="e">
        <f ca="1">_xll.BDH($C$503,"INVTRY_FINISHED_GOODS","FQ3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11" s="3" t="e">
        <f ca="1">_xll.BDH($C$503,"BS_OTHER_INV","FQ3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12" spans="1:113" x14ac:dyDescent="0.3">
      <c r="A512" s="6"/>
      <c r="B512" s="6"/>
      <c r="C512" s="6"/>
      <c r="D512" s="6"/>
      <c r="E512" t="s">
        <v>81</v>
      </c>
      <c r="F512" t="e">
        <f ca="1">_xll.BDH($C$503,"RETURN_COM_EQY","FQ4 2015","FQ4 2015","Currency=INR","Period=FQ","BEST_FPERIOD_OVERRIDE=FQ","FILING_STATUS=OR","EQY_CONSOLIDATED=Y","FA_ADJUSTED=GAAP","Sort=A","Dates=H","DateFormat=P","Fill=—","Direction=H","UseDPDF=Y")</f>
        <v>#NAME?</v>
      </c>
      <c r="G512" t="e">
        <f ca="1">_xll.BDH($C$503,"RETURN_ON_ASSET","FQ4 2015","FQ4 2015","Currency=INR","Period=FQ","BEST_FPERIOD_OVERRIDE=FQ","FILING_STATUS=OR","EQY_CONSOLIDATED=Y","FA_ADJUSTED=GAAP","Sort=A","Dates=H","DateFormat=P","Fill=—","Direction=H","UseDPDF=Y")</f>
        <v>#NAME?</v>
      </c>
      <c r="H512" t="e">
        <f ca="1">_xll.BDH($C$503,"RETURN_ON_CAP","FQ4 2015","FQ4 2015","Currency=INR","Period=FQ","BEST_FPERIOD_OVERRIDE=FQ","FILING_STATUS=OR","EQY_CONSOLIDATED=Y","FA_ADJUSTED=GAAP","Sort=A","Dates=H","DateFormat=P","Fill=—","Direction=H","UseDPDF=Y")</f>
        <v>#NAME?</v>
      </c>
      <c r="I512" t="e">
        <f ca="1">_xll.BDH($C$503,"RETURN_ON_INV_CAPITAL","FQ4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12" t="e">
        <f ca="1">_xll.BDH($C$503,"EBITDA_TO_REVENUE","FQ4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12" t="e">
        <f ca="1">_xll.BDH($C$503,"OPER_MARGIN","FQ4 2015","FQ4 2015","Currency=INR","Period=FQ","BEST_FPERIOD_OVERRIDE=FQ","FILING_STATUS=OR","EQY_CONSOLIDATED=Y","FA_ADJUSTED=GAAP","Sort=A","Dates=H","DateFormat=P","Fill=—","Direction=H","UseDPDF=Y")</f>
        <v>#NAME?</v>
      </c>
      <c r="L512" t="e">
        <f ca="1">_xll.BDH($C$503,"INCREMENTAL_OPERATING_MARGIN","FQ4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12" t="e">
        <f ca="1">_xll.BDH($C$503,"PRETAX_INC_TO_NET_SALES","FQ4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12" t="e">
        <f ca="1">_xll.BDH($C$503,"INC_BEF_XO_ITEMS_TO_NET_SALES","FQ4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12" t="e">
        <f ca="1">_xll.BDH($C$503,"PROF_MARGIN","FQ4 2015","FQ4 2015","Currency=INR","Period=FQ","BEST_FPERIOD_OVERRIDE=FQ","FILING_STATUS=OR","EQY_CONSOLIDATED=Y","FA_ADJUSTED=GAAP","Sort=A","Dates=H","DateFormat=P","Fill=—","Direction=H","UseDPDF=Y")</f>
        <v>#NAME?</v>
      </c>
      <c r="P512" t="e">
        <f ca="1">_xll.BDH($C$503,"NET_INCOME_TO_COMMON_MARGIN","FQ4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12" t="e">
        <f ca="1">_xll.BDH($C$503,"EFF_TAX_RATE","FQ4 2015","FQ4 2015","Currency=INR","Period=FQ","BEST_FPERIOD_OVERRIDE=FQ","FILING_STATUS=OR","EQY_CONSOLIDATED=Y","FA_ADJUSTED=GAAP","Sort=A","Dates=H","DateFormat=P","Fill=—","Direction=H","UseDPDF=Y")</f>
        <v>#NAME?</v>
      </c>
      <c r="R512" t="e">
        <f ca="1">_xll.BDH($C$503,"DVD_PAYOUT_RATIO","FQ4 2015","FQ4 2015","Currency=INR","Period=FQ","BEST_FPERIOD_OVERRIDE=FQ","FILING_STATUS=OR","EQY_CONSOLIDATED=Y","FA_ADJUSTED=GAAP","Sort=A","Dates=H","DateFormat=P","Fill=—","Direction=H","UseDPDF=Y")</f>
        <v>#NAME?</v>
      </c>
      <c r="S512" t="e">
        <f ca="1">_xll.BDH($C$503,"SUSTAIN_GROWTH_RT","FQ4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12" s="2" t="e">
        <f ca="1">_xll.BDH($C$503,"SALES_GROWTH","FQ4 2015","FQ4 2015","Currency=INR","Period=FQ","BEST_FPERIOD_OVERRIDE=FQ","FILING_STATUS=OR","EQY_CONSOLIDATED=Y","FA_ADJUSTED=GAAP","Sort=A","Dates=H","DateFormat=P","Fill=—","Direction=H","UseDPDF=Y")</f>
        <v>#NAME?</v>
      </c>
      <c r="U512" s="2" t="e">
        <f ca="1">_xll.BDH($C$503,"EBITDA_GROWTH","FQ4 2015","FQ4 2015","Currency=INR","Period=FQ","BEST_FPERIOD_OVERRIDE=FQ","FILING_STATUS=OR","EQY_CONSOLIDATED=Y","FA_ADJUSTED=GAAP","Sort=A","Dates=H","DateFormat=P","Fill=—","Direction=H","UseDPDF=Y")</f>
        <v>#NAME?</v>
      </c>
      <c r="V512" s="2" t="e">
        <f ca="1">_xll.BDH($C$503,"OPER_INC_GROWTH","FQ4 2015","FQ4 2015","Currency=INR","Period=FQ","BEST_FPERIOD_OVERRIDE=FQ","FILING_STATUS=OR","EQY_CONSOLIDATED=Y","FA_ADJUSTED=GAAP","Sort=A","Dates=H","DateFormat=P","Fill=—","Direction=H","UseDPDF=Y")</f>
        <v>#NAME?</v>
      </c>
      <c r="W512" s="2" t="e">
        <f ca="1">_xll.BDH($C$503,"EARN_FOR_COM_GROWTH","FQ4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12" s="2" t="e">
        <f ca="1">_xll.BDH($C$503,"DILUTED_EPS_AFT_XO_ITEMS_GROWTH","FQ4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12" s="2" t="e">
        <f ca="1">_xll.BDH($C$503,"DIVIDEND_PER_SHARE_1_YEAR_GROWTH","FQ4 2015","FQ4 2015","Currency=INR","Period=FQ","BEST_FPERIOD_OVERRIDE=FQ","FILING_STATUS=OR","EQY_CONSOLIDATED=Y","Sort=A","Dates=H","DateFormat=P","Fill=—","Direction=H","UseDPDF=Y")</f>
        <v>#NAME?</v>
      </c>
      <c r="Z512" s="2" t="e">
        <f ca="1">_xll.BDH($C$503,"ACCOUNTS_RECEIVABLE_GROWTH","FQ4 2015","FQ4 2015","Currency=INR","Period=FQ","BEST_FPERIOD_OVERRIDE=FQ","FILING_STATUS=OR","EQY_CONSOLIDATED=Y","Sort=A","Dates=H","DateFormat=P","Fill=—","Direction=H","UseDPDF=Y")</f>
        <v>#NAME?</v>
      </c>
      <c r="AA512" s="2" t="e">
        <f ca="1">_xll.BDH($C$503,"INVENTORY_GROWTH","FQ4 2015","FQ4 2015","Currency=INR","Period=FQ","BEST_FPERIOD_OVERRIDE=FQ","FILING_STATUS=OR","EQY_CONSOLIDATED=Y","Sort=A","Dates=H","DateFormat=P","Fill=—","Direction=H","UseDPDF=Y")</f>
        <v>#NAME?</v>
      </c>
      <c r="AB512" s="2" t="e">
        <f ca="1">_xll.BDH($C$503,"NET_FIXED_ASSETS_1_YEAR_GROWTH","FQ4 2015","FQ4 2015","Currency=INR","Period=FQ","BEST_FPERIOD_OVERRIDE=FQ","FILING_STATUS=OR","EQY_CONSOLIDATED=Y","Sort=A","Dates=H","DateFormat=P","Fill=—","Direction=H","UseDPDF=Y")</f>
        <v>#NAME?</v>
      </c>
      <c r="AC512" s="2" t="e">
        <f ca="1">_xll.BDH($C$503,"ASSET_GROWTH","FQ4 2015","FQ4 2015","Currency=INR","Period=FQ","BEST_FPERIOD_OVERRIDE=FQ","FILING_STATUS=OR","EQY_CONSOLIDATED=Y","Sort=A","Dates=H","DateFormat=P","Fill=—","Direction=H","UseDPDF=Y")</f>
        <v>#NAME?</v>
      </c>
      <c r="AD512" s="2" t="e">
        <f ca="1">_xll.BDH($C$503,"MODIFIED_WORK_CAP_GROWTH","FQ4 2015","FQ4 2015","Currency=INR","Period=FQ","BEST_FPERIOD_OVERRIDE=FQ","FILING_STATUS=OR","EQY_CONSOLIDATED=Y","Sort=A","Dates=H","DateFormat=P","Fill=—","Direction=H","UseDPDF=Y")</f>
        <v>#NAME?</v>
      </c>
      <c r="AE512" s="2" t="e">
        <f ca="1">_xll.BDH($C$503,"WORK_CAP_GROWTH","FQ4 2015","FQ4 2015","Currency=INR","Period=FQ","BEST_FPERIOD_OVERRIDE=FQ","FILING_STATUS=OR","EQY_CONSOLIDATED=Y","Sort=A","Dates=H","DateFormat=P","Fill=—","Direction=H","UseDPDF=Y")</f>
        <v>#NAME?</v>
      </c>
      <c r="AF512" s="2" t="e">
        <f ca="1">_xll.BDH($C$503,"ACCOUNTS_PAYABLE_GROWTH_1YR","FQ4 2015","FQ4 2015","Currency=INR","Period=FQ","BEST_FPERIOD_OVERRIDE=FQ","FILING_STATUS=OR","EQY_CONSOLIDATED=Y","Sort=A","Dates=H","DateFormat=P","Fill=—","Direction=H","UseDPDF=Y")</f>
        <v>#NAME?</v>
      </c>
      <c r="AG512" s="2" t="e">
        <f ca="1">_xll.BDH($C$503,"SHORT_TERM_DEBT_1_YEAR_GROWTH","FQ4 2015","FQ4 2015","Currency=INR","Period=FQ","BEST_FPERIOD_OVERRIDE=FQ","FILING_STATUS=OR","EQY_CONSOLIDATED=Y","Sort=A","Dates=H","DateFormat=P","Fill=—","Direction=H","UseDPDF=Y")</f>
        <v>#NAME?</v>
      </c>
      <c r="AH512" s="2" t="e">
        <f ca="1">_xll.BDH($C$503,"TOTAL_DEBT_1_YEAR_GROWTH","FQ4 2015","FQ4 2015","Currency=INR","Period=FQ","BEST_FPERIOD_OVERRIDE=FQ","FILING_STATUS=OR","EQY_CONSOLIDATED=Y","Sort=A","Dates=H","DateFormat=P","Fill=—","Direction=H","UseDPDF=Y")</f>
        <v>#NAME?</v>
      </c>
      <c r="AI512" s="2" t="e">
        <f ca="1">_xll.BDH($C$503,"TOTAL_EQUITY_1_YEAR_GROWTH","FQ4 2015","FQ4 2015","Currency=INR","Period=FQ","BEST_FPERIOD_OVERRIDE=FQ","FILING_STATUS=OR","EQY_CONSOLIDATED=Y","Sort=A","Dates=H","DateFormat=P","Fill=—","Direction=H","UseDPDF=Y")</f>
        <v>#NAME?</v>
      </c>
      <c r="AJ512" s="2" t="e">
        <f ca="1">_xll.BDH($C$503,"GROWTH_IN_CAP","FQ4 2015","FQ4 2015","Currency=INR","Period=FQ","BEST_FPERIOD_OVERRIDE=FQ","FILING_STATUS=OR","EQY_CONSOLIDATED=Y","Sort=A","Dates=H","DateFormat=P","Fill=—","Direction=H","UseDPDF=Y")</f>
        <v>#NAME?</v>
      </c>
      <c r="AK512" s="2" t="e">
        <f ca="1">_xll.BDH($C$503,"BVPS_GROWTH","FQ4 2015","FQ4 2015","Currency=INR","Period=FQ","BEST_FPERIOD_OVERRIDE=FQ","FILING_STATUS=OR","EQY_CONSOLIDATED=Y","Sort=A","Dates=H","DateFormat=P","Fill=—","Direction=H","UseDPDF=Y")</f>
        <v>#NAME?</v>
      </c>
      <c r="AL512" s="2" t="e">
        <f ca="1">_xll.BDH($C$503,"CASH_FLOW_GROWTH","FQ4 2015","FQ4 2015","Currency=INR","Period=FQ","BEST_FPERIOD_OVERRIDE=FQ","FILING_STATUS=OR","EQY_CONSOLIDATED=Y","Sort=A","Dates=H","DateFormat=P","Fill=—","Direction=H","UseDPDF=Y")</f>
        <v>#NAME?</v>
      </c>
      <c r="AM512" s="2" t="e">
        <f ca="1">_xll.BDH($C$503,"GEO_GROW_NET_SALES","FQ4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12" s="2" t="e">
        <f ca="1">_xll.BDH($C$503,"GEO_GROW_EBITDA","FQ4 2015","FQ4 2015","Currency=INR","Period=FQ","BEST_FPERIOD_OVERRIDE=FQ","FILING_STATUS=OR","EQY_CONSOLIDATED=Y","FA_ADJUSTED=GAAP","Sort=A","Dates=H","DateFormat=P","Fill=—","Direction=H","UseDPDF=Y")</f>
        <v>#NAME?</v>
      </c>
      <c r="AO512" s="2" t="e">
        <f ca="1">_xll.BDH($C$503,"GEO_GROW_OPER_INC","FQ4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12" s="2" t="e">
        <f ca="1">_xll.BDH($C$503,"NET_INCOME_TO_COMMON_5_YR_GROWTH","FQ4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12" s="2" t="e">
        <f ca="1">_xll.BDH($C$503,"5Y_GEO_GROWTH_DILUTED_EPS","FQ4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12" s="2" t="e">
        <f ca="1">_xll.BDH($C$503,"GEO_GROW_DVD_PER_SH","FQ4 2015","FQ4 2015","Currency=INR","Period=FQ","BEST_FPERIOD_OVERRIDE=FQ","FILING_STATUS=OR","EQY_CONSOLIDATED=Y","Sort=A","Dates=H","DateFormat=P","Fill=—","Direction=H","UseDPDF=Y")</f>
        <v>#NAME?</v>
      </c>
      <c r="AS512" s="2" t="e">
        <f ca="1">_xll.BDH($C$503,"ACCOUNTS_RECEIVABLE_5_YR_GROWTH","FQ4 2015","FQ4 2015","Currency=INR","Period=FQ","BEST_FPERIOD_OVERRIDE=FQ","FILING_STATUS=OR","EQY_CONSOLIDATED=Y","Sort=A","Dates=H","DateFormat=P","Fill=—","Direction=H","UseDPDF=Y")</f>
        <v>#NAME?</v>
      </c>
      <c r="AT512" s="2" t="e">
        <f ca="1">_xll.BDH($C$503,"INVENTORY_5_YEAR_GROWTH","FQ4 2015","FQ4 2015","Currency=INR","Period=FQ","BEST_FPERIOD_OVERRIDE=FQ","FILING_STATUS=OR","EQY_CONSOLIDATED=Y","Sort=A","Dates=H","DateFormat=P","Fill=—","Direction=H","UseDPDF=Y")</f>
        <v>#NAME?</v>
      </c>
      <c r="AU512" s="2" t="e">
        <f ca="1">_xll.BDH($C$503,"NET_FIXED_ASSETS_5_YEAR_GROWTH","FQ4 2015","FQ4 2015","Currency=INR","Period=FQ","BEST_FPERIOD_OVERRIDE=FQ","FILING_STATUS=OR","EQY_CONSOLIDATED=Y","Sort=A","Dates=H","DateFormat=P","Fill=—","Direction=H","UseDPDF=Y")</f>
        <v>#NAME?</v>
      </c>
      <c r="AV512" s="2" t="e">
        <f ca="1">_xll.BDH($C$503,"GEO_GROW_TOT_ASSET","FQ4 2015","FQ4 2015","Currency=INR","Period=FQ","BEST_FPERIOD_OVERRIDE=FQ","FILING_STATUS=OR","EQY_CONSOLIDATED=Y","Sort=A","Dates=H","DateFormat=P","Fill=—","Direction=H","UseDPDF=Y")</f>
        <v>#NAME?</v>
      </c>
      <c r="AW512" s="2" t="e">
        <f ca="1">_xll.BDH($C$503,"MODIFIED_WORKING_CPTL_5YR_GRWTH","FQ4 2015","FQ4 2015","Currency=INR","Period=FQ","BEST_FPERIOD_OVERRIDE=FQ","FILING_STATUS=OR","EQY_CONSOLIDATED=Y","Sort=A","Dates=H","DateFormat=P","Fill=—","Direction=H","UseDPDF=Y")</f>
        <v>#NAME?</v>
      </c>
      <c r="AX512" s="2" t="e">
        <f ca="1">_xll.BDH($C$503,"WORKING_CAPITAL_5_YEAR_GROWTH","FQ4 2015","FQ4 2015","Currency=INR","Period=FQ","BEST_FPERIOD_OVERRIDE=FQ","FILING_STATUS=OR","EQY_CONSOLIDATED=Y","Sort=A","Dates=H","DateFormat=P","Fill=—","Direction=H","UseDPDF=Y")</f>
        <v>#NAME?</v>
      </c>
      <c r="AY512" s="2" t="e">
        <f ca="1">_xll.BDH($C$503,"ACCOUNTS_PAYABLE_5_YEAR_GROWTH","FQ4 2015","FQ4 2015","Currency=INR","Period=FQ","BEST_FPERIOD_OVERRIDE=FQ","FILING_STATUS=OR","EQY_CONSOLIDATED=Y","Sort=A","Dates=H","DateFormat=P","Fill=—","Direction=H","UseDPDF=Y")</f>
        <v>#NAME?</v>
      </c>
      <c r="AZ512" s="2" t="e">
        <f ca="1">_xll.BDH($C$503,"SHORT_TERM_DEBT_5_YEAR_GROWTH","FQ4 2015","FQ4 2015","Currency=INR","Period=FQ","BEST_FPERIOD_OVERRIDE=FQ","FILING_STATUS=OR","EQY_CONSOLIDATED=Y","Sort=A","Dates=H","DateFormat=P","Fill=—","Direction=H","UseDPDF=Y")</f>
        <v>#NAME?</v>
      </c>
      <c r="BA512" s="2" t="e">
        <f ca="1">_xll.BDH($C$503,"TOTAL_DEBT_5_YEAR_GROWTH","FQ4 2015","FQ4 2015","Currency=INR","Period=FQ","BEST_FPERIOD_OVERRIDE=FQ","FILING_STATUS=OR","EQY_CONSOLIDATED=Y","Sort=A","Dates=H","DateFormat=P","Fill=—","Direction=H","UseDPDF=Y")</f>
        <v>#NAME?</v>
      </c>
      <c r="BB512" s="2" t="e">
        <f ca="1">_xll.BDH($C$503,"GEO_GROW_TOT_SHRHLDR_EQY","FQ4 2015","FQ4 2015","Currency=INR","Period=FQ","BEST_FPERIOD_OVERRIDE=FQ","FILING_STATUS=OR","EQY_CONSOLIDATED=Y","Sort=A","Dates=H","DateFormat=P","Fill=—","Direction=H","UseDPDF=Y")</f>
        <v>#NAME?</v>
      </c>
      <c r="BC512" s="2" t="e">
        <f ca="1">_xll.BDH($C$503,"TOTAL_CAPITAL_5_YEAR_GROWTH","FQ4 2015","FQ4 2015","Currency=INR","Period=FQ","BEST_FPERIOD_OVERRIDE=FQ","FILING_STATUS=OR","EQY_CONSOLIDATED=Y","Sort=A","Dates=H","DateFormat=P","Fill=—","Direction=H","UseDPDF=Y")</f>
        <v>#NAME?</v>
      </c>
      <c r="BD512" s="2" t="e">
        <f ca="1">_xll.BDH($C$503,"GEO_GROW_BOOK_VAL","FQ4 2015","FQ4 2015","Currency=INR","Period=FQ","BEST_FPERIOD_OVERRIDE=FQ","FILING_STATUS=OR","EQY_CONSOLIDATED=Y","Sort=A","Dates=H","DateFormat=P","Fill=—","Direction=H","UseDPDF=Y")</f>
        <v>#NAME?</v>
      </c>
      <c r="BE512" s="2" t="e">
        <f ca="1">_xll.BDH($C$503,"GEO_GROW_CASH_OPER_ACT","FQ4 2015","FQ4 2015","Currency=INR","Period=FQ","BEST_FPERIOD_OVERRIDE=FQ","FILING_STATUS=OR","EQY_CONSOLIDATED=Y","Sort=A","Dates=H","DateFormat=P","Fill=—","Direction=H","UseDPDF=Y")</f>
        <v>#NAME?</v>
      </c>
      <c r="BF512" s="2" t="e">
        <f ca="1">_xll.BDH($C$503,"REVENUE_SEQUENTIAL_GROWTH","FQ4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12" s="2" t="e">
        <f ca="1">_xll.BDH($C$503,"EBITDA_SEQUENTIAL_GROWTH","FQ4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12" s="2" t="e">
        <f ca="1">_xll.BDH($C$503,"OPERATING_INCOME_SEQ_GROWTH","FQ4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12" s="2" t="e">
        <f ca="1">_xll.BDH($C$503,"NET_INCOME_TO_COMMON_SEQ_GROWTH","FQ4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12" s="2" t="e">
        <f ca="1">_xll.BDH($C$503,"EPS_DILUTED_SEQUENTIAL_GROWTH","FQ4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12" s="2" t="e">
        <f ca="1">_xll.BDH($C$503,"DPS_SEQUENTIAL_GROWTH","FQ4 2015","FQ4 2015","Currency=INR","Period=FQ","BEST_FPERIOD_OVERRIDE=FQ","FILING_STATUS=OR","EQY_CONSOLIDATED=Y","Sort=A","Dates=H","DateFormat=P","Fill=—","Direction=H","UseDPDF=Y")</f>
        <v>#NAME?</v>
      </c>
      <c r="BL512" s="2" t="e">
        <f ca="1">_xll.BDH($C$503,"ACCOUNTS_RECEIVABLE_SEQ_GROWTH","FQ4 2015","FQ4 2015","Currency=INR","Period=FQ","BEST_FPERIOD_OVERRIDE=FQ","FILING_STATUS=OR","EQY_CONSOLIDATED=Y","Sort=A","Dates=H","DateFormat=P","Fill=—","Direction=H","UseDPDF=Y")</f>
        <v>#NAME?</v>
      </c>
      <c r="BM512" s="2" t="e">
        <f ca="1">_xll.BDH($C$503,"INVENTORY_SEQUENTIAL_GROWTH","FQ4 2015","FQ4 2015","Currency=INR","Period=FQ","BEST_FPERIOD_OVERRIDE=FQ","FILING_STATUS=OR","EQY_CONSOLIDATED=Y","Sort=A","Dates=H","DateFormat=P","Fill=—","Direction=H","UseDPDF=Y")</f>
        <v>#NAME?</v>
      </c>
      <c r="BN512" s="2" t="e">
        <f ca="1">_xll.BDH($C$503,"FIXED_ASSETS_SEQUENTIAL_GROWTH","FQ4 2015","FQ4 2015","Currency=INR","Period=FQ","BEST_FPERIOD_OVERRIDE=FQ","FILING_STATUS=OR","EQY_CONSOLIDATED=Y","Sort=A","Dates=H","DateFormat=P","Fill=—","Direction=H","UseDPDF=Y")</f>
        <v>#NAME?</v>
      </c>
      <c r="BO512" s="2" t="e">
        <f ca="1">_xll.BDH($C$503,"TOTAL_ASSETS_SEQUENTIAL_GROWTH","FQ4 2015","FQ4 2015","Currency=INR","Period=FQ","BEST_FPERIOD_OVERRIDE=FQ","FILING_STATUS=OR","EQY_CONSOLIDATED=Y","Sort=A","Dates=H","DateFormat=P","Fill=—","Direction=H","UseDPDF=Y")</f>
        <v>#NAME?</v>
      </c>
      <c r="BP512" s="2" t="e">
        <f ca="1">_xll.BDH($C$503,"MODIFIED_WORKING_CPTL_SEQ_GRWTH","FQ4 2015","FQ4 2015","Currency=INR","Period=FQ","BEST_FPERIOD_OVERRIDE=FQ","FILING_STATUS=OR","EQY_CONSOLIDATED=Y","Sort=A","Dates=H","DateFormat=P","Fill=—","Direction=H","UseDPDF=Y")</f>
        <v>#NAME?</v>
      </c>
      <c r="BQ512" s="2" t="e">
        <f ca="1">_xll.BDH($C$503,"WORKING_CAPITAL_SEQ_GROWTH","FQ4 2015","FQ4 2015","Currency=INR","Period=FQ","BEST_FPERIOD_OVERRIDE=FQ","FILING_STATUS=OR","EQY_CONSOLIDATED=Y","Sort=A","Dates=H","DateFormat=P","Fill=—","Direction=H","UseDPDF=Y")</f>
        <v>#NAME?</v>
      </c>
      <c r="BR512" s="2" t="e">
        <f ca="1">_xll.BDH($C$503,"ACCOUNTS_PAYABLE_SEQ_GROWTH","FQ4 2015","FQ4 2015","Currency=INR","Period=FQ","BEST_FPERIOD_OVERRIDE=FQ","FILING_STATUS=OR","EQY_CONSOLIDATED=Y","Sort=A","Dates=H","DateFormat=P","Fill=—","Direction=H","UseDPDF=Y")</f>
        <v>#NAME?</v>
      </c>
      <c r="BS512" s="2" t="e">
        <f ca="1">_xll.BDH($C$503,"ST_DEBT_SEQUENTIAL_GROWTH","FQ4 2015","FQ4 2015","Currency=INR","Period=FQ","BEST_FPERIOD_OVERRIDE=FQ","FILING_STATUS=OR","EQY_CONSOLIDATED=Y","Sort=A","Dates=H","DateFormat=P","Fill=—","Direction=H","UseDPDF=Y")</f>
        <v>#NAME?</v>
      </c>
      <c r="BT512" s="2" t="e">
        <f ca="1">_xll.BDH($C$503,"TOTAL_DEBT_SEQUENTIAL_GROWTH","FQ4 2015","FQ4 2015","Currency=INR","Period=FQ","BEST_FPERIOD_OVERRIDE=FQ","FILING_STATUS=OR","EQY_CONSOLIDATED=Y","Sort=A","Dates=H","DateFormat=P","Fill=—","Direction=H","UseDPDF=Y")</f>
        <v>#NAME?</v>
      </c>
      <c r="BU512" s="2" t="e">
        <f ca="1">_xll.BDH($C$503,"TOTAL_EQUITY_SEQUENTIAL_GROWTH","FQ4 2015","FQ4 2015","Currency=INR","Period=FQ","BEST_FPERIOD_OVERRIDE=FQ","FILING_STATUS=OR","EQY_CONSOLIDATED=Y","Sort=A","Dates=H","DateFormat=P","Fill=—","Direction=H","UseDPDF=Y")</f>
        <v>#NAME?</v>
      </c>
      <c r="BV512" s="2" t="e">
        <f ca="1">_xll.BDH($C$503,"TOTAL_CAPITAL_SEQUENTIAL_GROWTH","FQ4 2015","FQ4 2015","Currency=INR","Period=FQ","BEST_FPERIOD_OVERRIDE=FQ","FILING_STATUS=OR","EQY_CONSOLIDATED=Y","Sort=A","Dates=H","DateFormat=P","Fill=—","Direction=H","UseDPDF=Y")</f>
        <v>#NAME?</v>
      </c>
      <c r="BW512" s="2" t="e">
        <f ca="1">_xll.BDH($C$503,"BPS_SEQUENTIAL_GROWTH","FQ4 2015","FQ4 2015","Currency=INR","Period=FQ","BEST_FPERIOD_OVERRIDE=FQ","FILING_STATUS=OR","EQY_CONSOLIDATED=Y","Sort=A","Dates=H","DateFormat=P","Fill=—","Direction=H","UseDPDF=Y")</f>
        <v>#NAME?</v>
      </c>
      <c r="BX512" s="2" t="e">
        <f ca="1">_xll.BDH($C$503,"CFO_SEQUENTIAL_GROWTH","FQ4 2015","FQ4 2015","Currency=INR","Period=FQ","BEST_FPERIOD_OVERRIDE=FQ","FILING_STATUS=OR","EQY_CONSOLIDATED=Y","Sort=A","Dates=H","DateFormat=P","Fill=—","Direction=H","UseDPDF=Y")</f>
        <v>#NAME?</v>
      </c>
      <c r="BY512" s="3" t="e">
        <f ca="1">_xll.BDH($C$503,"SHORT_AND_LONG_TERM_DEBT","FQ4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12" s="3" t="e">
        <f ca="1">_xll.BDH($C$503,"BS_ST_BORROW","FQ4 2015","FQ4 2015","Currency=INR","Period=FQ","BEST_FPERIOD_OVERRIDE=FQ","FILING_STATUS=OR","EQY_CONSOLIDATED=Y","SCALING_FORMAT=MLN","Sort=A","Dates=H","DateFormat=P","Fill=—","Direction=H","UseDPDF=Y")</f>
        <v>#NAME?</v>
      </c>
      <c r="CA512" s="3" t="e">
        <f ca="1">_xll.BDH($C$503,"BS_LT_BORROW","FQ4 2015","FQ4 2015","Currency=INR","Period=FQ","BEST_FPERIOD_OVERRIDE=FQ","FILING_STATUS=OR","EQY_CONSOLIDATED=Y","SCALING_FORMAT=MLN","Sort=A","Dates=H","DateFormat=P","Fill=—","Direction=H","UseDPDF=Y")</f>
        <v>#NAME?</v>
      </c>
      <c r="CB512" s="2" t="e">
        <f ca="1">_xll.BDH($C$503,"TOT_DEBT_TO_EBITDA","FQ4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12" s="2" t="e">
        <f ca="1">_xll.BDH($C$503,"NET_DEBT_TO_EBITDA","FQ4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12" s="2" t="e">
        <f ca="1">_xll.BDH($C$503,"TOTAL_DEBT_TO_EBIT","FQ4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12" s="2" t="e">
        <f ca="1">_xll.BDH($C$503,"NET_DEBT_TO_EBIT","FQ4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12" s="2" t="e">
        <f ca="1">_xll.BDH($C$503,"EBITDA_TO_INTEREST_EXPN","FQ4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12" s="2" t="e">
        <f ca="1">_xll.BDH($C$503,"COM_EQY_TO_TOT_ASSET","FQ4 2015","FQ4 2015","Currency=INR","Period=FQ","BEST_FPERIOD_OVERRIDE=FQ","FILING_STATUS=OR","EQY_CONSOLIDATED=Y","Sort=A","Dates=H","DateFormat=P","Fill=—","Direction=H","UseDPDF=Y")</f>
        <v>#NAME?</v>
      </c>
      <c r="CH512" s="2" t="e">
        <f ca="1">_xll.BDH($C$503,"LT_DEBT_TO_TOT_EQY","FQ4 2015","FQ4 2015","Currency=INR","Period=FQ","BEST_FPERIOD_OVERRIDE=FQ","FILING_STATUS=OR","EQY_CONSOLIDATED=Y","Sort=A","Dates=H","DateFormat=P","Fill=—","Direction=H","UseDPDF=Y")</f>
        <v>#NAME?</v>
      </c>
      <c r="CI512" s="2" t="e">
        <f ca="1">_xll.BDH($C$503,"LT_DEBT_TO_TOT_CAP","FQ4 2015","FQ4 2015","Currency=INR","Period=FQ","BEST_FPERIOD_OVERRIDE=FQ","FILING_STATUS=OR","EQY_CONSOLIDATED=Y","Sort=A","Dates=H","DateFormat=P","Fill=—","Direction=H","UseDPDF=Y")</f>
        <v>#NAME?</v>
      </c>
      <c r="CJ512" s="2" t="e">
        <f ca="1">_xll.BDH($C$503,"LT_DEBT_TO_TOT_ASSET","FQ4 2015","FQ4 2015","Currency=INR","Period=FQ","BEST_FPERIOD_OVERRIDE=FQ","FILING_STATUS=OR","EQY_CONSOLIDATED=Y","Sort=A","Dates=H","DateFormat=P","Fill=—","Direction=H","UseDPDF=Y")</f>
        <v>#NAME?</v>
      </c>
      <c r="CK512" s="2" t="e">
        <f ca="1">_xll.BDH($C$503,"TOT_DEBT_TO_TOT_EQY","FQ4 2015","FQ4 2015","Currency=INR","Period=FQ","BEST_FPERIOD_OVERRIDE=FQ","FILING_STATUS=OR","EQY_CONSOLIDATED=Y","Sort=A","Dates=H","DateFormat=P","Fill=—","Direction=H","UseDPDF=Y")</f>
        <v>#NAME?</v>
      </c>
      <c r="CL512" s="2" t="e">
        <f ca="1">_xll.BDH($C$503,"TOT_DEBT_TO_TOT_CAP","FQ4 2015","FQ4 2015","Currency=INR","Period=FQ","BEST_FPERIOD_OVERRIDE=FQ","FILING_STATUS=OR","EQY_CONSOLIDATED=Y","Sort=A","Dates=H","DateFormat=P","Fill=—","Direction=H","UseDPDF=Y")</f>
        <v>#NAME?</v>
      </c>
      <c r="CM512" s="2" t="e">
        <f ca="1">_xll.BDH($C$503,"TOT_DEBT_TO_TOT_ASSET","FQ4 2015","FQ4 2015","Currency=INR","Period=FQ","BEST_FPERIOD_OVERRIDE=FQ","FILING_STATUS=OR","EQY_CONSOLIDATED=Y","Sort=A","Dates=H","DateFormat=P","Fill=—","Direction=H","UseDPDF=Y")</f>
        <v>#NAME?</v>
      </c>
      <c r="CN512" s="2" t="e">
        <f ca="1">_xll.BDH($C$503,"NET_DEBT_TO_SHRHLDR_EQTY","FQ4 2015","FQ4 2015","Currency=INR","Period=FQ","BEST_FPERIOD_OVERRIDE=FQ","FILING_STATUS=OR","EQY_CONSOLIDATED=Y","Sort=A","Dates=H","DateFormat=P","Fill=—","Direction=H","UseDPDF=Y")</f>
        <v>#NAME?</v>
      </c>
      <c r="CO512" s="2" t="e">
        <f ca="1">_xll.BDH($C$503,"NET_DEBT_%_CAPITAL","FQ4 2015","FQ4 2015","Currency=INR","Period=FQ","BEST_FPERIOD_OVERRIDE=FQ","FILING_STATUS=OR","EQY_CONSOLIDATED=Y","Sort=A","Dates=H","DateFormat=P","Fill=—","Direction=H","UseDPDF=Y")</f>
        <v>#NAME?</v>
      </c>
      <c r="CP512" s="3" t="e">
        <f ca="1">_xll.BDH($C$503,"EBITDA","FQ4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12" s="3" t="e">
        <f ca="1">_xll.BDH($C$503,"EBITDA_AFTER_CAPEX","FQ4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12" s="3" t="e">
        <f ca="1">_xll.BDH($C$503,"IS_OPER_INC","FQ4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12" s="2" t="e">
        <f ca="1">_xll.BDH($C$503,"CASH_RATIO","FQ4 2015","FQ4 2015","Currency=INR","Period=FQ","BEST_FPERIOD_OVERRIDE=FQ","FILING_STATUS=OR","EQY_CONSOLIDATED=Y","Sort=A","Dates=H","DateFormat=P","Fill=—","Direction=H","UseDPDF=Y")</f>
        <v>#NAME?</v>
      </c>
      <c r="CT512" s="2" t="e">
        <f ca="1">_xll.BDH($C$503,"CUR_RATIO","FQ4 2015","FQ4 2015","Currency=INR","Period=FQ","BEST_FPERIOD_OVERRIDE=FQ","FILING_STATUS=OR","EQY_CONSOLIDATED=Y","Sort=A","Dates=H","DateFormat=P","Fill=—","Direction=H","UseDPDF=Y")</f>
        <v>#NAME?</v>
      </c>
      <c r="CU512" s="2" t="e">
        <f ca="1">_xll.BDH($C$503,"QUICK_RATIO","FQ4 2015","FQ4 2015","Currency=INR","Period=FQ","BEST_FPERIOD_OVERRIDE=FQ","FILING_STATUS=OR","EQY_CONSOLIDATED=Y","Sort=A","Dates=H","DateFormat=P","Fill=—","Direction=H","UseDPDF=Y")</f>
        <v>#NAME?</v>
      </c>
      <c r="CV512" s="2" t="e">
        <f ca="1">_xll.BDH($C$503,"ALTMAN_Z_SCORE","FQ4 2015","FQ4 2015","Currency=INR","Period=FQ","BEST_FPERIOD_OVERRIDE=FQ","FILING_STATUS=OR","EQY_CONSOLIDATED=Y","Sort=A","Dates=H","DateFormat=P","Fill=—","Direction=H","UseDPDF=Y")</f>
        <v>#NAME?</v>
      </c>
      <c r="CW512" s="4" t="e">
        <f ca="1">_xll.BDH($C$503,"ACCT_RCV_TURN","FQ4 2015","FQ4 2015","Currency=INR","Period=FQ","BEST_FPERIOD_OVERRIDE=FQ","FILING_STATUS=OR","EQY_CONSOLIDATED=Y","FA_ADJUSTED=GAAP","Sort=A","Dates=H","DateFormat=P","Fill=—","Direction=H","UseDPDF=Y")</f>
        <v>#NAME?</v>
      </c>
      <c r="CX512" s="2" t="e">
        <f ca="1">_xll.BDH($C$503,"ACCT_RCV_DAYS","FQ4 2015","FQ4 2015","Currency=INR","Period=FQ","BEST_FPERIOD_OVERRIDE=FQ","FILING_STATUS=OR","EQY_CONSOLIDATED=Y","FA_ADJUSTED=GAAP","Sort=A","Dates=H","DateFormat=P","Fill=—","Direction=H","UseDPDF=Y")</f>
        <v>#NAME?</v>
      </c>
      <c r="CY512" s="4" t="e">
        <f ca="1">_xll.BDH($C$503,"INVENT_TURN","FQ4 2015","FQ4 2015","Currency=INR","Period=FQ","BEST_FPERIOD_OVERRIDE=FQ","FILING_STATUS=OR","EQY_CONSOLIDATED=Y","FA_ADJUSTED=GAAP","Sort=A","Dates=H","DateFormat=P","Fill=—","Direction=H","UseDPDF=Y")</f>
        <v>#NAME?</v>
      </c>
      <c r="CZ512" s="2" t="e">
        <f ca="1">_xll.BDH($C$503,"INVENT_DAYS","FQ4 2015","FQ4 2015","Currency=INR","Period=FQ","BEST_FPERIOD_OVERRIDE=FQ","FILING_STATUS=OR","EQY_CONSOLIDATED=Y","FA_ADJUSTED=GAAP","Sort=A","Dates=H","DateFormat=P","Fill=—","Direction=H","UseDPDF=Y")</f>
        <v>#NAME?</v>
      </c>
      <c r="DA512" s="4" t="e">
        <f ca="1">_xll.BDH($C$503,"ACCOUNTS_PAYABLE_TURNOVER","FQ4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12" s="2" t="e">
        <f ca="1">_xll.BDH($C$503,"ACCOUNTS_PAYABLE_TURNOVER_DAYS","FQ4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12" s="4" t="e">
        <f ca="1">_xll.BDH($C$503,"CASH_CONVERSION_CYCLE","FQ4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12" s="4" t="e">
        <f ca="1">_xll.BDH($C$503,"INV_TO_CASH_DAYS","FQ4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12" s="5" t="e">
        <f ca="1">_xll.BDH($C$503,"BS_INVENTORIES","FQ4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12" s="3" t="e">
        <f ca="1">_xll.BDH($C$503,"INVTRY_RAW_MATERIALS","FQ4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12" s="3" t="e">
        <f ca="1">_xll.BDH($C$503,"INVTRY_IN_PROGRESS","FQ4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12" s="3" t="e">
        <f ca="1">_xll.BDH($C$503,"INVTRY_FINISHED_GOODS","FQ4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12" s="3" t="e">
        <f ca="1">_xll.BDH($C$503,"BS_OTHER_INV","FQ4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13" spans="1:113" x14ac:dyDescent="0.3">
      <c r="A513" s="6"/>
      <c r="B513" s="6"/>
      <c r="C513" s="6"/>
      <c r="D513" s="6" t="s">
        <v>83</v>
      </c>
      <c r="E513" t="s">
        <v>77</v>
      </c>
      <c r="F513" t="e">
        <f ca="1">_xll.BDH($C$503,"RETURN_COM_EQY","FY 2016","FY 2016","Currency=INR","Period=FY","BEST_FPERIOD_OVERRIDE=FY","FILING_STATUS=OR","EQY_CONSOLIDATED=Y","FA_ADJUSTED=GAAP","Sort=A","Dates=H","DateFormat=P","Fill=—","Direction=H","UseDPDF=Y")</f>
        <v>#NAME?</v>
      </c>
      <c r="G513" t="e">
        <f ca="1">_xll.BDH($C$503,"RETURN_ON_ASSET","FY 2016","FY 2016","Currency=INR","Period=FY","BEST_FPERIOD_OVERRIDE=FY","FILING_STATUS=OR","EQY_CONSOLIDATED=Y","FA_ADJUSTED=GAAP","Sort=A","Dates=H","DateFormat=P","Fill=—","Direction=H","UseDPDF=Y")</f>
        <v>#NAME?</v>
      </c>
      <c r="H513" t="e">
        <f ca="1">_xll.BDH($C$503,"RETURN_ON_CAP","FY 2016","FY 2016","Currency=INR","Period=FY","BEST_FPERIOD_OVERRIDE=FY","FILING_STATUS=OR","EQY_CONSOLIDATED=Y","FA_ADJUSTED=GAAP","Sort=A","Dates=H","DateFormat=P","Fill=—","Direction=H","UseDPDF=Y")</f>
        <v>#NAME?</v>
      </c>
      <c r="I513" t="e">
        <f ca="1">_xll.BDH($C$503,"RETURN_ON_INV_CAPITAL","FY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13" t="e">
        <f ca="1">_xll.BDH($C$503,"EBITDA_TO_REVENUE","FY 2016","FY 2016","Currency=INR","Period=FY","BEST_FPERIOD_OVERRIDE=FY","FILING_STATUS=OR","EQY_CONSOLIDATED=Y","FA_ADJUSTED=GAAP","Sort=A","Dates=H","DateFormat=P","Fill=—","Direction=H","UseDPDF=Y")</f>
        <v>#NAME?</v>
      </c>
      <c r="K513" t="e">
        <f ca="1">_xll.BDH($C$503,"OPER_MARGIN","FY 2016","FY 2016","Currency=INR","Period=FY","BEST_FPERIOD_OVERRIDE=FY","FILING_STATUS=OR","EQY_CONSOLIDATED=Y","FA_ADJUSTED=GAAP","Sort=A","Dates=H","DateFormat=P","Fill=—","Direction=H","UseDPDF=Y")</f>
        <v>#NAME?</v>
      </c>
      <c r="L513" t="e">
        <f ca="1">_xll.BDH($C$503,"INCREMENTAL_OPERATING_MARGIN","FY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13" t="e">
        <f ca="1">_xll.BDH($C$503,"PRETAX_INC_TO_NET_SALES","FY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13" t="e">
        <f ca="1">_xll.BDH($C$503,"INC_BEF_XO_ITEMS_TO_NET_SALES","FY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13" t="e">
        <f ca="1">_xll.BDH($C$503,"PROF_MARGIN","FY 2016","FY 2016","Currency=INR","Period=FY","BEST_FPERIOD_OVERRIDE=FY","FILING_STATUS=OR","EQY_CONSOLIDATED=Y","FA_ADJUSTED=GAAP","Sort=A","Dates=H","DateFormat=P","Fill=—","Direction=H","UseDPDF=Y")</f>
        <v>#NAME?</v>
      </c>
      <c r="P513" t="e">
        <f ca="1">_xll.BDH($C$503,"NET_INCOME_TO_COMMON_MARGIN","FY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13" t="e">
        <f ca="1">_xll.BDH($C$503,"EFF_TAX_RATE","FY 2016","FY 2016","Currency=INR","Period=FY","BEST_FPERIOD_OVERRIDE=FY","FILING_STATUS=OR","EQY_CONSOLIDATED=Y","FA_ADJUSTED=GAAP","Sort=A","Dates=H","DateFormat=P","Fill=—","Direction=H","UseDPDF=Y")</f>
        <v>#NAME?</v>
      </c>
      <c r="R513" t="e">
        <f ca="1">_xll.BDH($C$503,"DVD_PAYOUT_RATIO","FY 2016","FY 2016","Currency=INR","Period=FY","BEST_FPERIOD_OVERRIDE=FY","FILING_STATUS=OR","EQY_CONSOLIDATED=Y","FA_ADJUSTED=GAAP","Sort=A","Dates=H","DateFormat=P","Fill=—","Direction=H","UseDPDF=Y")</f>
        <v>#NAME?</v>
      </c>
      <c r="S513" t="e">
        <f ca="1">_xll.BDH($C$503,"SUSTAIN_GROWTH_RT","FY 2016","FY 2016","Currency=INR","Period=FY","BEST_FPERIOD_OVERRIDE=FY","FILING_STATUS=OR","EQY_CONSOLIDATED=Y","FA_ADJUSTED=GAAP","Sort=A","Dates=H","DateFormat=P","Fill=—","Direction=H","UseDPDF=Y")</f>
        <v>#NAME?</v>
      </c>
      <c r="T513" s="2" t="e">
        <f ca="1">_xll.BDH($C$503,"SALES_GROWTH","FY 2016","FY 2016","Currency=INR","Period=FY","BEST_FPERIOD_OVERRIDE=FY","FILING_STATUS=OR","EQY_CONSOLIDATED=Y","FA_ADJUSTED=GAAP","Sort=A","Dates=H","DateFormat=P","Fill=—","Direction=H","UseDPDF=Y")</f>
        <v>#NAME?</v>
      </c>
      <c r="U513" s="2" t="e">
        <f ca="1">_xll.BDH($C$503,"EBITDA_GROWTH","FY 2016","FY 2016","Currency=INR","Period=FY","BEST_FPERIOD_OVERRIDE=FY","FILING_STATUS=OR","EQY_CONSOLIDATED=Y","FA_ADJUSTED=GAAP","Sort=A","Dates=H","DateFormat=P","Fill=—","Direction=H","UseDPDF=Y")</f>
        <v>#NAME?</v>
      </c>
      <c r="V513" s="2" t="e">
        <f ca="1">_xll.BDH($C$503,"OPER_INC_GROWTH","FY 2016","FY 2016","Currency=INR","Period=FY","BEST_FPERIOD_OVERRIDE=FY","FILING_STATUS=OR","EQY_CONSOLIDATED=Y","FA_ADJUSTED=GAAP","Sort=A","Dates=H","DateFormat=P","Fill=—","Direction=H","UseDPDF=Y")</f>
        <v>#NAME?</v>
      </c>
      <c r="W513" s="2" t="e">
        <f ca="1">_xll.BDH($C$503,"EARN_FOR_COM_GROWTH","FY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13" s="2" t="e">
        <f ca="1">_xll.BDH($C$503,"DILUTED_EPS_AFT_XO_ITEMS_GROWTH","FY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13" s="2" t="e">
        <f ca="1">_xll.BDH($C$503,"DIVIDEND_PER_SHARE_1_YEAR_GROWTH","FY 2016","FY 2016","Currency=INR","Period=FY","BEST_FPERIOD_OVERRIDE=FY","FILING_STATUS=OR","EQY_CONSOLIDATED=Y","Sort=A","Dates=H","DateFormat=P","Fill=—","Direction=H","UseDPDF=Y")</f>
        <v>#NAME?</v>
      </c>
      <c r="Z513" s="2" t="e">
        <f ca="1">_xll.BDH($C$503,"ACCOUNTS_RECEIVABLE_GROWTH","FY 2016","FY 2016","Currency=INR","Period=FY","BEST_FPERIOD_OVERRIDE=FY","FILING_STATUS=OR","EQY_CONSOLIDATED=Y","Sort=A","Dates=H","DateFormat=P","Fill=—","Direction=H","UseDPDF=Y")</f>
        <v>#NAME?</v>
      </c>
      <c r="AA513" s="2" t="e">
        <f ca="1">_xll.BDH($C$503,"INVENTORY_GROWTH","FY 2016","FY 2016","Currency=INR","Period=FY","BEST_FPERIOD_OVERRIDE=FY","FILING_STATUS=OR","EQY_CONSOLIDATED=Y","Sort=A","Dates=H","DateFormat=P","Fill=—","Direction=H","UseDPDF=Y")</f>
        <v>#NAME?</v>
      </c>
      <c r="AB513" s="2" t="e">
        <f ca="1">_xll.BDH($C$503,"NET_FIXED_ASSETS_1_YEAR_GROWTH","FY 2016","FY 2016","Currency=INR","Period=FY","BEST_FPERIOD_OVERRIDE=FY","FILING_STATUS=OR","EQY_CONSOLIDATED=Y","Sort=A","Dates=H","DateFormat=P","Fill=—","Direction=H","UseDPDF=Y")</f>
        <v>#NAME?</v>
      </c>
      <c r="AC513" s="2" t="e">
        <f ca="1">_xll.BDH($C$503,"ASSET_GROWTH","FY 2016","FY 2016","Currency=INR","Period=FY","BEST_FPERIOD_OVERRIDE=FY","FILING_STATUS=OR","EQY_CONSOLIDATED=Y","Sort=A","Dates=H","DateFormat=P","Fill=—","Direction=H","UseDPDF=Y")</f>
        <v>#NAME?</v>
      </c>
      <c r="AD513" s="2" t="e">
        <f ca="1">_xll.BDH($C$503,"MODIFIED_WORK_CAP_GROWTH","FY 2016","FY 2016","Currency=INR","Period=FY","BEST_FPERIOD_OVERRIDE=FY","FILING_STATUS=OR","EQY_CONSOLIDATED=Y","Sort=A","Dates=H","DateFormat=P","Fill=—","Direction=H","UseDPDF=Y")</f>
        <v>#NAME?</v>
      </c>
      <c r="AE513" s="2" t="e">
        <f ca="1">_xll.BDH($C$503,"WORK_CAP_GROWTH","FY 2016","FY 2016","Currency=INR","Period=FY","BEST_FPERIOD_OVERRIDE=FY","FILING_STATUS=OR","EQY_CONSOLIDATED=Y","Sort=A","Dates=H","DateFormat=P","Fill=—","Direction=H","UseDPDF=Y")</f>
        <v>#NAME?</v>
      </c>
      <c r="AF513" s="2" t="e">
        <f ca="1">_xll.BDH($C$503,"ACCOUNTS_PAYABLE_GROWTH_1YR","FY 2016","FY 2016","Currency=INR","Period=FY","BEST_FPERIOD_OVERRIDE=FY","FILING_STATUS=OR","EQY_CONSOLIDATED=Y","Sort=A","Dates=H","DateFormat=P","Fill=—","Direction=H","UseDPDF=Y")</f>
        <v>#NAME?</v>
      </c>
      <c r="AG513" s="2" t="e">
        <f ca="1">_xll.BDH($C$503,"SHORT_TERM_DEBT_1_YEAR_GROWTH","FY 2016","FY 2016","Currency=INR","Period=FY","BEST_FPERIOD_OVERRIDE=FY","FILING_STATUS=OR","EQY_CONSOLIDATED=Y","Sort=A","Dates=H","DateFormat=P","Fill=—","Direction=H","UseDPDF=Y")</f>
        <v>#NAME?</v>
      </c>
      <c r="AH513" s="2" t="e">
        <f ca="1">_xll.BDH($C$503,"TOTAL_DEBT_1_YEAR_GROWTH","FY 2016","FY 2016","Currency=INR","Period=FY","BEST_FPERIOD_OVERRIDE=FY","FILING_STATUS=OR","EQY_CONSOLIDATED=Y","Sort=A","Dates=H","DateFormat=P","Fill=—","Direction=H","UseDPDF=Y")</f>
        <v>#NAME?</v>
      </c>
      <c r="AI513" s="2" t="e">
        <f ca="1">_xll.BDH($C$503,"TOTAL_EQUITY_1_YEAR_GROWTH","FY 2016","FY 2016","Currency=INR","Period=FY","BEST_FPERIOD_OVERRIDE=FY","FILING_STATUS=OR","EQY_CONSOLIDATED=Y","Sort=A","Dates=H","DateFormat=P","Fill=—","Direction=H","UseDPDF=Y")</f>
        <v>#NAME?</v>
      </c>
      <c r="AJ513" s="2" t="e">
        <f ca="1">_xll.BDH($C$503,"GROWTH_IN_CAP","FY 2016","FY 2016","Currency=INR","Period=FY","BEST_FPERIOD_OVERRIDE=FY","FILING_STATUS=OR","EQY_CONSOLIDATED=Y","Sort=A","Dates=H","DateFormat=P","Fill=—","Direction=H","UseDPDF=Y")</f>
        <v>#NAME?</v>
      </c>
      <c r="AK513" s="2" t="e">
        <f ca="1">_xll.BDH($C$503,"BVPS_GROWTH","FY 2016","FY 2016","Currency=INR","Period=FY","BEST_FPERIOD_OVERRIDE=FY","FILING_STATUS=OR","EQY_CONSOLIDATED=Y","Sort=A","Dates=H","DateFormat=P","Fill=—","Direction=H","UseDPDF=Y")</f>
        <v>#NAME?</v>
      </c>
      <c r="AL513" s="2" t="e">
        <f ca="1">_xll.BDH($C$503,"CASH_FLOW_GROWTH","FY 2016","FY 2016","Currency=INR","Period=FY","BEST_FPERIOD_OVERRIDE=FY","FILING_STATUS=OR","EQY_CONSOLIDATED=Y","Sort=A","Dates=H","DateFormat=P","Fill=—","Direction=H","UseDPDF=Y")</f>
        <v>#NAME?</v>
      </c>
      <c r="AM513" s="2" t="e">
        <f ca="1">_xll.BDH($C$503,"GEO_GROW_NET_SALES","FY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13" s="2" t="e">
        <f ca="1">_xll.BDH($C$503,"GEO_GROW_EBITDA","FY 2016","FY 2016","Currency=INR","Period=FY","BEST_FPERIOD_OVERRIDE=FY","FILING_STATUS=OR","EQY_CONSOLIDATED=Y","FA_ADJUSTED=GAAP","Sort=A","Dates=H","DateFormat=P","Fill=—","Direction=H","UseDPDF=Y")</f>
        <v>#NAME?</v>
      </c>
      <c r="AO513" s="2" t="e">
        <f ca="1">_xll.BDH($C$503,"GEO_GROW_OPER_INC","FY 2016","FY 2016","Currency=INR","Period=FY","BEST_FPERIOD_OVERRIDE=FY","FILING_STATUS=OR","EQY_CONSOLIDATED=Y","FA_ADJUSTED=GAAP","Sort=A","Dates=H","DateFormat=P","Fill=—","Direction=H","UseDPDF=Y")</f>
        <v>#NAME?</v>
      </c>
      <c r="AP513" s="2" t="e">
        <f ca="1">_xll.BDH($C$503,"NET_INCOME_TO_COMMON_5_YR_GROWTH","FY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13" s="2" t="e">
        <f ca="1">_xll.BDH($C$503,"5Y_GEO_GROWTH_DILUTED_EPS","FY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13" s="2" t="e">
        <f ca="1">_xll.BDH($C$503,"GEO_GROW_DVD_PER_SH","FY 2016","FY 2016","Currency=INR","Period=FY","BEST_FPERIOD_OVERRIDE=FY","FILING_STATUS=OR","EQY_CONSOLIDATED=Y","Sort=A","Dates=H","DateFormat=P","Fill=—","Direction=H","UseDPDF=Y")</f>
        <v>#NAME?</v>
      </c>
      <c r="AS513" s="2" t="e">
        <f ca="1">_xll.BDH($C$503,"ACCOUNTS_RECEIVABLE_5_YR_GROWTH","FY 2016","FY 2016","Currency=INR","Period=FY","BEST_FPERIOD_OVERRIDE=FY","FILING_STATUS=OR","EQY_CONSOLIDATED=Y","Sort=A","Dates=H","DateFormat=P","Fill=—","Direction=H","UseDPDF=Y")</f>
        <v>#NAME?</v>
      </c>
      <c r="AT513" s="2" t="e">
        <f ca="1">_xll.BDH($C$503,"INVENTORY_5_YEAR_GROWTH","FY 2016","FY 2016","Currency=INR","Period=FY","BEST_FPERIOD_OVERRIDE=FY","FILING_STATUS=OR","EQY_CONSOLIDATED=Y","Sort=A","Dates=H","DateFormat=P","Fill=—","Direction=H","UseDPDF=Y")</f>
        <v>#NAME?</v>
      </c>
      <c r="AU513" s="2" t="e">
        <f ca="1">_xll.BDH($C$503,"NET_FIXED_ASSETS_5_YEAR_GROWTH","FY 2016","FY 2016","Currency=INR","Period=FY","BEST_FPERIOD_OVERRIDE=FY","FILING_STATUS=OR","EQY_CONSOLIDATED=Y","Sort=A","Dates=H","DateFormat=P","Fill=—","Direction=H","UseDPDF=Y")</f>
        <v>#NAME?</v>
      </c>
      <c r="AV513" s="2" t="e">
        <f ca="1">_xll.BDH($C$503,"GEO_GROW_TOT_ASSET","FY 2016","FY 2016","Currency=INR","Period=FY","BEST_FPERIOD_OVERRIDE=FY","FILING_STATUS=OR","EQY_CONSOLIDATED=Y","Sort=A","Dates=H","DateFormat=P","Fill=—","Direction=H","UseDPDF=Y")</f>
        <v>#NAME?</v>
      </c>
      <c r="AW513" s="2" t="e">
        <f ca="1">_xll.BDH($C$503,"MODIFIED_WORKING_CPTL_5YR_GRWTH","FY 2016","FY 2016","Currency=INR","Period=FY","BEST_FPERIOD_OVERRIDE=FY","FILING_STATUS=OR","EQY_CONSOLIDATED=Y","Sort=A","Dates=H","DateFormat=P","Fill=—","Direction=H","UseDPDF=Y")</f>
        <v>#NAME?</v>
      </c>
      <c r="AX513" s="2" t="e">
        <f ca="1">_xll.BDH($C$503,"WORKING_CAPITAL_5_YEAR_GROWTH","FY 2016","FY 2016","Currency=INR","Period=FY","BEST_FPERIOD_OVERRIDE=FY","FILING_STATUS=OR","EQY_CONSOLIDATED=Y","Sort=A","Dates=H","DateFormat=P","Fill=—","Direction=H","UseDPDF=Y")</f>
        <v>#NAME?</v>
      </c>
      <c r="AY513" s="2" t="e">
        <f ca="1">_xll.BDH($C$503,"ACCOUNTS_PAYABLE_5_YEAR_GROWTH","FY 2016","FY 2016","Currency=INR","Period=FY","BEST_FPERIOD_OVERRIDE=FY","FILING_STATUS=OR","EQY_CONSOLIDATED=Y","Sort=A","Dates=H","DateFormat=P","Fill=—","Direction=H","UseDPDF=Y")</f>
        <v>#NAME?</v>
      </c>
      <c r="AZ513" s="2" t="e">
        <f ca="1">_xll.BDH($C$503,"SHORT_TERM_DEBT_5_YEAR_GROWTH","FY 2016","FY 2016","Currency=INR","Period=FY","BEST_FPERIOD_OVERRIDE=FY","FILING_STATUS=OR","EQY_CONSOLIDATED=Y","Sort=A","Dates=H","DateFormat=P","Fill=—","Direction=H","UseDPDF=Y")</f>
        <v>#NAME?</v>
      </c>
      <c r="BA513" s="2" t="e">
        <f ca="1">_xll.BDH($C$503,"TOTAL_DEBT_5_YEAR_GROWTH","FY 2016","FY 2016","Currency=INR","Period=FY","BEST_FPERIOD_OVERRIDE=FY","FILING_STATUS=OR","EQY_CONSOLIDATED=Y","Sort=A","Dates=H","DateFormat=P","Fill=—","Direction=H","UseDPDF=Y")</f>
        <v>#NAME?</v>
      </c>
      <c r="BB513" s="2" t="e">
        <f ca="1">_xll.BDH($C$503,"GEO_GROW_TOT_SHRHLDR_EQY","FY 2016","FY 2016","Currency=INR","Period=FY","BEST_FPERIOD_OVERRIDE=FY","FILING_STATUS=OR","EQY_CONSOLIDATED=Y","Sort=A","Dates=H","DateFormat=P","Fill=—","Direction=H","UseDPDF=Y")</f>
        <v>#NAME?</v>
      </c>
      <c r="BC513" s="2" t="e">
        <f ca="1">_xll.BDH($C$503,"TOTAL_CAPITAL_5_YEAR_GROWTH","FY 2016","FY 2016","Currency=INR","Period=FY","BEST_FPERIOD_OVERRIDE=FY","FILING_STATUS=OR","EQY_CONSOLIDATED=Y","Sort=A","Dates=H","DateFormat=P","Fill=—","Direction=H","UseDPDF=Y")</f>
        <v>#NAME?</v>
      </c>
      <c r="BD513" s="2" t="e">
        <f ca="1">_xll.BDH($C$503,"GEO_GROW_BOOK_VAL","FY 2016","FY 2016","Currency=INR","Period=FY","BEST_FPERIOD_OVERRIDE=FY","FILING_STATUS=OR","EQY_CONSOLIDATED=Y","Sort=A","Dates=H","DateFormat=P","Fill=—","Direction=H","UseDPDF=Y")</f>
        <v>#NAME?</v>
      </c>
      <c r="BE513" s="2" t="e">
        <f ca="1">_xll.BDH($C$503,"GEO_GROW_CASH_OPER_ACT","FY 2016","FY 2016","Currency=INR","Period=FY","BEST_FPERIOD_OVERRIDE=FY","FILING_STATUS=OR","EQY_CONSOLIDATED=Y","Sort=A","Dates=H","DateFormat=P","Fill=—","Direction=H","UseDPDF=Y")</f>
        <v>#NAME?</v>
      </c>
      <c r="BF513" s="2" t="e">
        <f ca="1">_xll.BDH($C$503,"REVENUE_SEQUENTIAL_GROWTH","FY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13" s="2" t="e">
        <f ca="1">_xll.BDH($C$503,"EBITDA_SEQUENTIAL_GROWTH","FY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13" s="2" t="e">
        <f ca="1">_xll.BDH($C$503,"OPERATING_INCOME_SEQ_GROWTH","FY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13" s="2" t="e">
        <f ca="1">_xll.BDH($C$503,"NET_INCOME_TO_COMMON_SEQ_GROWTH","FY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13" s="2" t="e">
        <f ca="1">_xll.BDH($C$503,"EPS_DILUTED_SEQUENTIAL_GROWTH","FY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13" s="2" t="e">
        <f ca="1">_xll.BDH($C$503,"DPS_SEQUENTIAL_GROWTH","FY 2016","FY 2016","Currency=INR","Period=FY","BEST_FPERIOD_OVERRIDE=FY","FILING_STATUS=OR","EQY_CONSOLIDATED=Y","Sort=A","Dates=H","DateFormat=P","Fill=—","Direction=H","UseDPDF=Y")</f>
        <v>#NAME?</v>
      </c>
      <c r="BL513" s="2" t="e">
        <f ca="1">_xll.BDH($C$503,"ACCOUNTS_RECEIVABLE_SEQ_GROWTH","FY 2016","FY 2016","Currency=INR","Period=FY","BEST_FPERIOD_OVERRIDE=FY","FILING_STATUS=OR","EQY_CONSOLIDATED=Y","Sort=A","Dates=H","DateFormat=P","Fill=—","Direction=H","UseDPDF=Y")</f>
        <v>#NAME?</v>
      </c>
      <c r="BM513" s="2" t="e">
        <f ca="1">_xll.BDH($C$503,"INVENTORY_SEQUENTIAL_GROWTH","FY 2016","FY 2016","Currency=INR","Period=FY","BEST_FPERIOD_OVERRIDE=FY","FILING_STATUS=OR","EQY_CONSOLIDATED=Y","Sort=A","Dates=H","DateFormat=P","Fill=—","Direction=H","UseDPDF=Y")</f>
        <v>#NAME?</v>
      </c>
      <c r="BN513" s="2" t="e">
        <f ca="1">_xll.BDH($C$503,"FIXED_ASSETS_SEQUENTIAL_GROWTH","FY 2016","FY 2016","Currency=INR","Period=FY","BEST_FPERIOD_OVERRIDE=FY","FILING_STATUS=OR","EQY_CONSOLIDATED=Y","Sort=A","Dates=H","DateFormat=P","Fill=—","Direction=H","UseDPDF=Y")</f>
        <v>#NAME?</v>
      </c>
      <c r="BO513" s="2" t="e">
        <f ca="1">_xll.BDH($C$503,"TOTAL_ASSETS_SEQUENTIAL_GROWTH","FY 2016","FY 2016","Currency=INR","Period=FY","BEST_FPERIOD_OVERRIDE=FY","FILING_STATUS=OR","EQY_CONSOLIDATED=Y","Sort=A","Dates=H","DateFormat=P","Fill=—","Direction=H","UseDPDF=Y")</f>
        <v>#NAME?</v>
      </c>
      <c r="BP513" s="2" t="e">
        <f ca="1">_xll.BDH($C$503,"MODIFIED_WORKING_CPTL_SEQ_GRWTH","FY 2016","FY 2016","Currency=INR","Period=FY","BEST_FPERIOD_OVERRIDE=FY","FILING_STATUS=OR","EQY_CONSOLIDATED=Y","Sort=A","Dates=H","DateFormat=P","Fill=—","Direction=H","UseDPDF=Y")</f>
        <v>#NAME?</v>
      </c>
      <c r="BQ513" s="2" t="e">
        <f ca="1">_xll.BDH($C$503,"WORKING_CAPITAL_SEQ_GROWTH","FY 2016","FY 2016","Currency=INR","Period=FY","BEST_FPERIOD_OVERRIDE=FY","FILING_STATUS=OR","EQY_CONSOLIDATED=Y","Sort=A","Dates=H","DateFormat=P","Fill=—","Direction=H","UseDPDF=Y")</f>
        <v>#NAME?</v>
      </c>
      <c r="BR513" s="2" t="e">
        <f ca="1">_xll.BDH($C$503,"ACCOUNTS_PAYABLE_SEQ_GROWTH","FY 2016","FY 2016","Currency=INR","Period=FY","BEST_FPERIOD_OVERRIDE=FY","FILING_STATUS=OR","EQY_CONSOLIDATED=Y","Sort=A","Dates=H","DateFormat=P","Fill=—","Direction=H","UseDPDF=Y")</f>
        <v>#NAME?</v>
      </c>
      <c r="BS513" s="2" t="e">
        <f ca="1">_xll.BDH($C$503,"ST_DEBT_SEQUENTIAL_GROWTH","FY 2016","FY 2016","Currency=INR","Period=FY","BEST_FPERIOD_OVERRIDE=FY","FILING_STATUS=OR","EQY_CONSOLIDATED=Y","Sort=A","Dates=H","DateFormat=P","Fill=—","Direction=H","UseDPDF=Y")</f>
        <v>#NAME?</v>
      </c>
      <c r="BT513" s="2" t="e">
        <f ca="1">_xll.BDH($C$503,"TOTAL_DEBT_SEQUENTIAL_GROWTH","FY 2016","FY 2016","Currency=INR","Period=FY","BEST_FPERIOD_OVERRIDE=FY","FILING_STATUS=OR","EQY_CONSOLIDATED=Y","Sort=A","Dates=H","DateFormat=P","Fill=—","Direction=H","UseDPDF=Y")</f>
        <v>#NAME?</v>
      </c>
      <c r="BU513" s="2" t="e">
        <f ca="1">_xll.BDH($C$503,"TOTAL_EQUITY_SEQUENTIAL_GROWTH","FY 2016","FY 2016","Currency=INR","Period=FY","BEST_FPERIOD_OVERRIDE=FY","FILING_STATUS=OR","EQY_CONSOLIDATED=Y","Sort=A","Dates=H","DateFormat=P","Fill=—","Direction=H","UseDPDF=Y")</f>
        <v>#NAME?</v>
      </c>
      <c r="BV513" s="2" t="e">
        <f ca="1">_xll.BDH($C$503,"TOTAL_CAPITAL_SEQUENTIAL_GROWTH","FY 2016","FY 2016","Currency=INR","Period=FY","BEST_FPERIOD_OVERRIDE=FY","FILING_STATUS=OR","EQY_CONSOLIDATED=Y","Sort=A","Dates=H","DateFormat=P","Fill=—","Direction=H","UseDPDF=Y")</f>
        <v>#NAME?</v>
      </c>
      <c r="BW513" s="2" t="e">
        <f ca="1">_xll.BDH($C$503,"BPS_SEQUENTIAL_GROWTH","FY 2016","FY 2016","Currency=INR","Period=FY","BEST_FPERIOD_OVERRIDE=FY","FILING_STATUS=OR","EQY_CONSOLIDATED=Y","Sort=A","Dates=H","DateFormat=P","Fill=—","Direction=H","UseDPDF=Y")</f>
        <v>#NAME?</v>
      </c>
      <c r="BX513" s="2" t="e">
        <f ca="1">_xll.BDH($C$503,"CFO_SEQUENTIAL_GROWTH","FY 2016","FY 2016","Currency=INR","Period=FY","BEST_FPERIOD_OVERRIDE=FY","FILING_STATUS=OR","EQY_CONSOLIDATED=Y","Sort=A","Dates=H","DateFormat=P","Fill=—","Direction=H","UseDPDF=Y")</f>
        <v>#NAME?</v>
      </c>
      <c r="BY513" s="3" t="e">
        <f ca="1">_xll.BDH($C$503,"SHORT_AND_LONG_TERM_DEBT","FY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13" s="3" t="e">
        <f ca="1">_xll.BDH($C$503,"BS_ST_BORROW","FY 2016","FY 2016","Currency=INR","Period=FY","BEST_FPERIOD_OVERRIDE=FY","FILING_STATUS=OR","EQY_CONSOLIDATED=Y","SCALING_FORMAT=MLN","Sort=A","Dates=H","DateFormat=P","Fill=—","Direction=H","UseDPDF=Y")</f>
        <v>#NAME?</v>
      </c>
      <c r="CA513" s="3" t="e">
        <f ca="1">_xll.BDH($C$503,"BS_LT_BORROW","FY 2016","FY 2016","Currency=INR","Period=FY","BEST_FPERIOD_OVERRIDE=FY","FILING_STATUS=OR","EQY_CONSOLIDATED=Y","SCALING_FORMAT=MLN","Sort=A","Dates=H","DateFormat=P","Fill=—","Direction=H","UseDPDF=Y")</f>
        <v>#NAME?</v>
      </c>
      <c r="CB513" s="2" t="e">
        <f ca="1">_xll.BDH($C$503,"TOT_DEBT_TO_EBITDA","FY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13" s="2" t="e">
        <f ca="1">_xll.BDH($C$503,"NET_DEBT_TO_EBITDA","FY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13" s="2" t="e">
        <f ca="1">_xll.BDH($C$503,"TOTAL_DEBT_TO_EBIT","FY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13" s="2" t="e">
        <f ca="1">_xll.BDH($C$503,"NET_DEBT_TO_EBIT","FY 2016","FY 2016","Currency=INR","Period=FY","BEST_FPERIOD_OVERRIDE=FY","FILING_STATUS=OR","EQY_CONSOLIDATED=Y","FA_ADJUSTED=GAAP","Sort=A","Dates=H","DateFormat=P","Fill=—","Direction=H","UseDPDF=Y")</f>
        <v>#NAME?</v>
      </c>
      <c r="CF513" s="2" t="e">
        <f ca="1">_xll.BDH($C$503,"EBITDA_TO_INTEREST_EXPN","FY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13" s="2" t="e">
        <f ca="1">_xll.BDH($C$503,"COM_EQY_TO_TOT_ASSET","FY 2016","FY 2016","Currency=INR","Period=FY","BEST_FPERIOD_OVERRIDE=FY","FILING_STATUS=OR","EQY_CONSOLIDATED=Y","Sort=A","Dates=H","DateFormat=P","Fill=—","Direction=H","UseDPDF=Y")</f>
        <v>#NAME?</v>
      </c>
      <c r="CH513" s="2" t="e">
        <f ca="1">_xll.BDH($C$503,"LT_DEBT_TO_TOT_EQY","FY 2016","FY 2016","Currency=INR","Period=FY","BEST_FPERIOD_OVERRIDE=FY","FILING_STATUS=OR","EQY_CONSOLIDATED=Y","Sort=A","Dates=H","DateFormat=P","Fill=—","Direction=H","UseDPDF=Y")</f>
        <v>#NAME?</v>
      </c>
      <c r="CI513" s="2" t="e">
        <f ca="1">_xll.BDH($C$503,"LT_DEBT_TO_TOT_CAP","FY 2016","FY 2016","Currency=INR","Period=FY","BEST_FPERIOD_OVERRIDE=FY","FILING_STATUS=OR","EQY_CONSOLIDATED=Y","Sort=A","Dates=H","DateFormat=P","Fill=—","Direction=H","UseDPDF=Y")</f>
        <v>#NAME?</v>
      </c>
      <c r="CJ513" s="2" t="e">
        <f ca="1">_xll.BDH($C$503,"LT_DEBT_TO_TOT_ASSET","FY 2016","FY 2016","Currency=INR","Period=FY","BEST_FPERIOD_OVERRIDE=FY","FILING_STATUS=OR","EQY_CONSOLIDATED=Y","Sort=A","Dates=H","DateFormat=P","Fill=—","Direction=H","UseDPDF=Y")</f>
        <v>#NAME?</v>
      </c>
      <c r="CK513" s="2" t="e">
        <f ca="1">_xll.BDH($C$503,"TOT_DEBT_TO_TOT_EQY","FY 2016","FY 2016","Currency=INR","Period=FY","BEST_FPERIOD_OVERRIDE=FY","FILING_STATUS=OR","EQY_CONSOLIDATED=Y","Sort=A","Dates=H","DateFormat=P","Fill=—","Direction=H","UseDPDF=Y")</f>
        <v>#NAME?</v>
      </c>
      <c r="CL513" s="2" t="e">
        <f ca="1">_xll.BDH($C$503,"TOT_DEBT_TO_TOT_CAP","FY 2016","FY 2016","Currency=INR","Period=FY","BEST_FPERIOD_OVERRIDE=FY","FILING_STATUS=OR","EQY_CONSOLIDATED=Y","Sort=A","Dates=H","DateFormat=P","Fill=—","Direction=H","UseDPDF=Y")</f>
        <v>#NAME?</v>
      </c>
      <c r="CM513" s="2" t="e">
        <f ca="1">_xll.BDH($C$503,"TOT_DEBT_TO_TOT_ASSET","FY 2016","FY 2016","Currency=INR","Period=FY","BEST_FPERIOD_OVERRIDE=FY","FILING_STATUS=OR","EQY_CONSOLIDATED=Y","Sort=A","Dates=H","DateFormat=P","Fill=—","Direction=H","UseDPDF=Y")</f>
        <v>#NAME?</v>
      </c>
      <c r="CN513" s="2" t="e">
        <f ca="1">_xll.BDH($C$503,"NET_DEBT_TO_SHRHLDR_EQTY","FY 2016","FY 2016","Currency=INR","Period=FY","BEST_FPERIOD_OVERRIDE=FY","FILING_STATUS=OR","EQY_CONSOLIDATED=Y","Sort=A","Dates=H","DateFormat=P","Fill=—","Direction=H","UseDPDF=Y")</f>
        <v>#NAME?</v>
      </c>
      <c r="CO513" s="2" t="e">
        <f ca="1">_xll.BDH($C$503,"NET_DEBT_%_CAPITAL","FY 2016","FY 2016","Currency=INR","Period=FY","BEST_FPERIOD_OVERRIDE=FY","FILING_STATUS=OR","EQY_CONSOLIDATED=Y","Sort=A","Dates=H","DateFormat=P","Fill=—","Direction=H","UseDPDF=Y")</f>
        <v>#NAME?</v>
      </c>
      <c r="CP513" s="3" t="e">
        <f ca="1">_xll.BDH($C$503,"EBITDA","FY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13" s="3" t="e">
        <f ca="1">_xll.BDH($C$503,"EBITDA_AFTER_CAPEX","FY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13" s="3" t="e">
        <f ca="1">_xll.BDH($C$503,"IS_OPER_INC","FY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13" s="2" t="e">
        <f ca="1">_xll.BDH($C$503,"CASH_RATIO","FY 2016","FY 2016","Currency=INR","Period=FY","BEST_FPERIOD_OVERRIDE=FY","FILING_STATUS=OR","EQY_CONSOLIDATED=Y","Sort=A","Dates=H","DateFormat=P","Fill=—","Direction=H","UseDPDF=Y")</f>
        <v>#NAME?</v>
      </c>
      <c r="CT513" s="2" t="e">
        <f ca="1">_xll.BDH($C$503,"CUR_RATIO","FY 2016","FY 2016","Currency=INR","Period=FY","BEST_FPERIOD_OVERRIDE=FY","FILING_STATUS=OR","EQY_CONSOLIDATED=Y","Sort=A","Dates=H","DateFormat=P","Fill=—","Direction=H","UseDPDF=Y")</f>
        <v>#NAME?</v>
      </c>
      <c r="CU513" s="2" t="e">
        <f ca="1">_xll.BDH($C$503,"QUICK_RATIO","FY 2016","FY 2016","Currency=INR","Period=FY","BEST_FPERIOD_OVERRIDE=FY","FILING_STATUS=OR","EQY_CONSOLIDATED=Y","Sort=A","Dates=H","DateFormat=P","Fill=—","Direction=H","UseDPDF=Y")</f>
        <v>#NAME?</v>
      </c>
      <c r="CV513" s="2" t="e">
        <f ca="1">_xll.BDH($C$503,"ALTMAN_Z_SCORE","FY 2016","FY 2016","Currency=INR","Period=FY","BEST_FPERIOD_OVERRIDE=FY","FILING_STATUS=OR","EQY_CONSOLIDATED=Y","Sort=A","Dates=H","DateFormat=P","Fill=—","Direction=H","UseDPDF=Y")</f>
        <v>#NAME?</v>
      </c>
      <c r="CW513" s="4" t="e">
        <f ca="1">_xll.BDH($C$503,"ACCT_RCV_TURN","FY 2016","FY 2016","Currency=INR","Period=FY","BEST_FPERIOD_OVERRIDE=FY","FILING_STATUS=OR","EQY_CONSOLIDATED=Y","FA_ADJUSTED=GAAP","Sort=A","Dates=H","DateFormat=P","Fill=—","Direction=H","UseDPDF=Y")</f>
        <v>#NAME?</v>
      </c>
      <c r="CX513" s="2" t="e">
        <f ca="1">_xll.BDH($C$503,"ACCT_RCV_DAYS","FY 2016","FY 2016","Currency=INR","Period=FY","BEST_FPERIOD_OVERRIDE=FY","FILING_STATUS=OR","EQY_CONSOLIDATED=Y","FA_ADJUSTED=GAAP","Sort=A","Dates=H","DateFormat=P","Fill=—","Direction=H","UseDPDF=Y")</f>
        <v>#NAME?</v>
      </c>
      <c r="CY513" s="4" t="e">
        <f ca="1">_xll.BDH($C$503,"INVENT_TURN","FY 2016","FY 2016","Currency=INR","Period=FY","BEST_FPERIOD_OVERRIDE=FY","FILING_STATUS=OR","EQY_CONSOLIDATED=Y","FA_ADJUSTED=GAAP","Sort=A","Dates=H","DateFormat=P","Fill=—","Direction=H","UseDPDF=Y")</f>
        <v>#NAME?</v>
      </c>
      <c r="CZ513" s="2" t="e">
        <f ca="1">_xll.BDH($C$503,"INVENT_DAYS","FY 2016","FY 2016","Currency=INR","Period=FY","BEST_FPERIOD_OVERRIDE=FY","FILING_STATUS=OR","EQY_CONSOLIDATED=Y","FA_ADJUSTED=GAAP","Sort=A","Dates=H","DateFormat=P","Fill=—","Direction=H","UseDPDF=Y")</f>
        <v>#NAME?</v>
      </c>
      <c r="DA513" s="4" t="e">
        <f ca="1">_xll.BDH($C$503,"ACCOUNTS_PAYABLE_TURNOVER","FY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13" s="2" t="e">
        <f ca="1">_xll.BDH($C$503,"ACCOUNTS_PAYABLE_TURNOVER_DAYS","FY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13" s="4" t="e">
        <f ca="1">_xll.BDH($C$503,"CASH_CONVERSION_CYCLE","FY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13" s="4" t="e">
        <f ca="1">_xll.BDH($C$503,"INV_TO_CASH_DAYS","FY 2016","FY 2016","Currency=INR","Period=FY","BEST_FPERIOD_OVERRIDE=FY","FILING_STATUS=OR","EQY_CONSOLIDATED=Y","FA_ADJUSTED=GAAP","Sort=A","Dates=H","DateFormat=P","Fill=—","Direction=H","UseDPDF=Y")</f>
        <v>#NAME?</v>
      </c>
      <c r="DE513" s="5" t="e">
        <f ca="1">_xll.BDH($C$503,"BS_INVENTORIES","FY 2016","FY 2016","Currency=INR","Period=FY","BEST_FPERIOD_OVERRIDE=FY","FILING_STATUS=OR","EQY_CONSOLIDATED=Y","SCALING_FORMAT=MLN","Sort=A","Dates=H","DateFormat=P","Fill=—","Direction=H","UseDPDF=Y")</f>
        <v>#NAME?</v>
      </c>
      <c r="DF513" s="3" t="e">
        <f ca="1">_xll.BDH($C$503,"INVTRY_RAW_MATERIALS","FY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13" s="3" t="e">
        <f ca="1">_xll.BDH($C$503,"INVTRY_IN_PROGRESS","FY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13" s="3" t="e">
        <f ca="1">_xll.BDH($C$503,"INVTRY_FINISHED_GOODS","FY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13" s="3" t="e">
        <f ca="1">_xll.BDH($C$503,"BS_OTHER_INV","FY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14" spans="1:113" x14ac:dyDescent="0.3">
      <c r="A514" s="6"/>
      <c r="B514" s="6"/>
      <c r="C514" s="6"/>
      <c r="D514" s="6"/>
      <c r="E514" t="s">
        <v>78</v>
      </c>
      <c r="F514" t="e">
        <f ca="1">_xll.BDH($C$503,"RETURN_COM_EQY","FQ1 2016","FQ1 2016","Currency=INR","Period=FQ","BEST_FPERIOD_OVERRIDE=FQ","FILING_STATUS=OR","EQY_CONSOLIDATED=Y","FA_ADJUSTED=GAAP","Sort=A","Dates=H","DateFormat=P","Fill=—","Direction=H","UseDPDF=Y")</f>
        <v>#NAME?</v>
      </c>
      <c r="G514" t="e">
        <f ca="1">_xll.BDH($C$503,"RETURN_ON_ASSET","FQ1 2016","FQ1 2016","Currency=INR","Period=FQ","BEST_FPERIOD_OVERRIDE=FQ","FILING_STATUS=OR","EQY_CONSOLIDATED=Y","FA_ADJUSTED=GAAP","Sort=A","Dates=H","DateFormat=P","Fill=—","Direction=H","UseDPDF=Y")</f>
        <v>#NAME?</v>
      </c>
      <c r="H514" t="e">
        <f ca="1">_xll.BDH($C$503,"RETURN_ON_CAP","FQ1 2016","FQ1 2016","Currency=INR","Period=FQ","BEST_FPERIOD_OVERRIDE=FQ","FILING_STATUS=OR","EQY_CONSOLIDATED=Y","FA_ADJUSTED=GAAP","Sort=A","Dates=H","DateFormat=P","Fill=—","Direction=H","UseDPDF=Y")</f>
        <v>#NAME?</v>
      </c>
      <c r="I514" t="e">
        <f ca="1">_xll.BDH($C$503,"RETURN_ON_INV_CAPITAL","FQ1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14" t="e">
        <f ca="1">_xll.BDH($C$503,"EBITDA_TO_REVENUE","FQ1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14" t="e">
        <f ca="1">_xll.BDH($C$503,"OPER_MARGIN","FQ1 2016","FQ1 2016","Currency=INR","Period=FQ","BEST_FPERIOD_OVERRIDE=FQ","FILING_STATUS=OR","EQY_CONSOLIDATED=Y","FA_ADJUSTED=GAAP","Sort=A","Dates=H","DateFormat=P","Fill=—","Direction=H","UseDPDF=Y")</f>
        <v>#NAME?</v>
      </c>
      <c r="L514" t="e">
        <f ca="1">_xll.BDH($C$503,"INCREMENTAL_OPERATING_MARGIN","FQ1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14" t="e">
        <f ca="1">_xll.BDH($C$503,"PRETAX_INC_TO_NET_SALES","FQ1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14" t="e">
        <f ca="1">_xll.BDH($C$503,"INC_BEF_XO_ITEMS_TO_NET_SALES","FQ1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14" t="e">
        <f ca="1">_xll.BDH($C$503,"PROF_MARGIN","FQ1 2016","FQ1 2016","Currency=INR","Period=FQ","BEST_FPERIOD_OVERRIDE=FQ","FILING_STATUS=OR","EQY_CONSOLIDATED=Y","FA_ADJUSTED=GAAP","Sort=A","Dates=H","DateFormat=P","Fill=—","Direction=H","UseDPDF=Y")</f>
        <v>#NAME?</v>
      </c>
      <c r="P514" t="e">
        <f ca="1">_xll.BDH($C$503,"NET_INCOME_TO_COMMON_MARGIN","FQ1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14" t="e">
        <f ca="1">_xll.BDH($C$503,"EFF_TAX_RATE","FQ1 2016","FQ1 2016","Currency=INR","Period=FQ","BEST_FPERIOD_OVERRIDE=FQ","FILING_STATUS=OR","EQY_CONSOLIDATED=Y","FA_ADJUSTED=GAAP","Sort=A","Dates=H","DateFormat=P","Fill=—","Direction=H","UseDPDF=Y")</f>
        <v>#NAME?</v>
      </c>
      <c r="R514" t="e">
        <f ca="1">_xll.BDH($C$503,"DVD_PAYOUT_RATIO","FQ1 2016","FQ1 2016","Currency=INR","Period=FQ","BEST_FPERIOD_OVERRIDE=FQ","FILING_STATUS=OR","EQY_CONSOLIDATED=Y","FA_ADJUSTED=GAAP","Sort=A","Dates=H","DateFormat=P","Fill=—","Direction=H","UseDPDF=Y")</f>
        <v>#NAME?</v>
      </c>
      <c r="S514" t="e">
        <f ca="1">_xll.BDH($C$503,"SUSTAIN_GROWTH_RT","FQ1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14" s="2" t="e">
        <f ca="1">_xll.BDH($C$503,"SALES_GROWTH","FQ1 2016","FQ1 2016","Currency=INR","Period=FQ","BEST_FPERIOD_OVERRIDE=FQ","FILING_STATUS=OR","EQY_CONSOLIDATED=Y","FA_ADJUSTED=GAAP","Sort=A","Dates=H","DateFormat=P","Fill=—","Direction=H","UseDPDF=Y")</f>
        <v>#NAME?</v>
      </c>
      <c r="U514" s="2" t="e">
        <f ca="1">_xll.BDH($C$503,"EBITDA_GROWTH","FQ1 2016","FQ1 2016","Currency=INR","Period=FQ","BEST_FPERIOD_OVERRIDE=FQ","FILING_STATUS=OR","EQY_CONSOLIDATED=Y","FA_ADJUSTED=GAAP","Sort=A","Dates=H","DateFormat=P","Fill=—","Direction=H","UseDPDF=Y")</f>
        <v>#NAME?</v>
      </c>
      <c r="V514" s="2" t="e">
        <f ca="1">_xll.BDH($C$503,"OPER_INC_GROWTH","FQ1 2016","FQ1 2016","Currency=INR","Period=FQ","BEST_FPERIOD_OVERRIDE=FQ","FILING_STATUS=OR","EQY_CONSOLIDATED=Y","FA_ADJUSTED=GAAP","Sort=A","Dates=H","DateFormat=P","Fill=—","Direction=H","UseDPDF=Y")</f>
        <v>#NAME?</v>
      </c>
      <c r="W514" s="2" t="e">
        <f ca="1">_xll.BDH($C$503,"EARN_FOR_COM_GROWTH","FQ1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14" s="2" t="e">
        <f ca="1">_xll.BDH($C$503,"DILUTED_EPS_AFT_XO_ITEMS_GROWTH","FQ1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14" s="2" t="e">
        <f ca="1">_xll.BDH($C$503,"DIVIDEND_PER_SHARE_1_YEAR_GROWTH","FQ1 2016","FQ1 2016","Currency=INR","Period=FQ","BEST_FPERIOD_OVERRIDE=FQ","FILING_STATUS=OR","EQY_CONSOLIDATED=Y","Sort=A","Dates=H","DateFormat=P","Fill=—","Direction=H","UseDPDF=Y")</f>
        <v>#NAME?</v>
      </c>
      <c r="Z514" s="2" t="e">
        <f ca="1">_xll.BDH($C$503,"ACCOUNTS_RECEIVABLE_GROWTH","FQ1 2016","FQ1 2016","Currency=INR","Period=FQ","BEST_FPERIOD_OVERRIDE=FQ","FILING_STATUS=OR","EQY_CONSOLIDATED=Y","Sort=A","Dates=H","DateFormat=P","Fill=—","Direction=H","UseDPDF=Y")</f>
        <v>#NAME?</v>
      </c>
      <c r="AA514" s="2" t="e">
        <f ca="1">_xll.BDH($C$503,"INVENTORY_GROWTH","FQ1 2016","FQ1 2016","Currency=INR","Period=FQ","BEST_FPERIOD_OVERRIDE=FQ","FILING_STATUS=OR","EQY_CONSOLIDATED=Y","Sort=A","Dates=H","DateFormat=P","Fill=—","Direction=H","UseDPDF=Y")</f>
        <v>#NAME?</v>
      </c>
      <c r="AB514" s="2" t="e">
        <f ca="1">_xll.BDH($C$503,"NET_FIXED_ASSETS_1_YEAR_GROWTH","FQ1 2016","FQ1 2016","Currency=INR","Period=FQ","BEST_FPERIOD_OVERRIDE=FQ","FILING_STATUS=OR","EQY_CONSOLIDATED=Y","Sort=A","Dates=H","DateFormat=P","Fill=—","Direction=H","UseDPDF=Y")</f>
        <v>#NAME?</v>
      </c>
      <c r="AC514" s="2" t="e">
        <f ca="1">_xll.BDH($C$503,"ASSET_GROWTH","FQ1 2016","FQ1 2016","Currency=INR","Period=FQ","BEST_FPERIOD_OVERRIDE=FQ","FILING_STATUS=OR","EQY_CONSOLIDATED=Y","Sort=A","Dates=H","DateFormat=P","Fill=—","Direction=H","UseDPDF=Y")</f>
        <v>#NAME?</v>
      </c>
      <c r="AD514" s="2" t="e">
        <f ca="1">_xll.BDH($C$503,"MODIFIED_WORK_CAP_GROWTH","FQ1 2016","FQ1 2016","Currency=INR","Period=FQ","BEST_FPERIOD_OVERRIDE=FQ","FILING_STATUS=OR","EQY_CONSOLIDATED=Y","Sort=A","Dates=H","DateFormat=P","Fill=—","Direction=H","UseDPDF=Y")</f>
        <v>#NAME?</v>
      </c>
      <c r="AE514" s="2" t="e">
        <f ca="1">_xll.BDH($C$503,"WORK_CAP_GROWTH","FQ1 2016","FQ1 2016","Currency=INR","Period=FQ","BEST_FPERIOD_OVERRIDE=FQ","FILING_STATUS=OR","EQY_CONSOLIDATED=Y","Sort=A","Dates=H","DateFormat=P","Fill=—","Direction=H","UseDPDF=Y")</f>
        <v>#NAME?</v>
      </c>
      <c r="AF514" s="2" t="e">
        <f ca="1">_xll.BDH($C$503,"ACCOUNTS_PAYABLE_GROWTH_1YR","FQ1 2016","FQ1 2016","Currency=INR","Period=FQ","BEST_FPERIOD_OVERRIDE=FQ","FILING_STATUS=OR","EQY_CONSOLIDATED=Y","Sort=A","Dates=H","DateFormat=P","Fill=—","Direction=H","UseDPDF=Y")</f>
        <v>#NAME?</v>
      </c>
      <c r="AG514" s="2" t="e">
        <f ca="1">_xll.BDH($C$503,"SHORT_TERM_DEBT_1_YEAR_GROWTH","FQ1 2016","FQ1 2016","Currency=INR","Period=FQ","BEST_FPERIOD_OVERRIDE=FQ","FILING_STATUS=OR","EQY_CONSOLIDATED=Y","Sort=A","Dates=H","DateFormat=P","Fill=—","Direction=H","UseDPDF=Y")</f>
        <v>#NAME?</v>
      </c>
      <c r="AH514" s="2" t="e">
        <f ca="1">_xll.BDH($C$503,"TOTAL_DEBT_1_YEAR_GROWTH","FQ1 2016","FQ1 2016","Currency=INR","Period=FQ","BEST_FPERIOD_OVERRIDE=FQ","FILING_STATUS=OR","EQY_CONSOLIDATED=Y","Sort=A","Dates=H","DateFormat=P","Fill=—","Direction=H","UseDPDF=Y")</f>
        <v>#NAME?</v>
      </c>
      <c r="AI514" s="2" t="e">
        <f ca="1">_xll.BDH($C$503,"TOTAL_EQUITY_1_YEAR_GROWTH","FQ1 2016","FQ1 2016","Currency=INR","Period=FQ","BEST_FPERIOD_OVERRIDE=FQ","FILING_STATUS=OR","EQY_CONSOLIDATED=Y","Sort=A","Dates=H","DateFormat=P","Fill=—","Direction=H","UseDPDF=Y")</f>
        <v>#NAME?</v>
      </c>
      <c r="AJ514" s="2" t="e">
        <f ca="1">_xll.BDH($C$503,"GROWTH_IN_CAP","FQ1 2016","FQ1 2016","Currency=INR","Period=FQ","BEST_FPERIOD_OVERRIDE=FQ","FILING_STATUS=OR","EQY_CONSOLIDATED=Y","Sort=A","Dates=H","DateFormat=P","Fill=—","Direction=H","UseDPDF=Y")</f>
        <v>#NAME?</v>
      </c>
      <c r="AK514" s="2" t="e">
        <f ca="1">_xll.BDH($C$503,"BVPS_GROWTH","FQ1 2016","FQ1 2016","Currency=INR","Period=FQ","BEST_FPERIOD_OVERRIDE=FQ","FILING_STATUS=OR","EQY_CONSOLIDATED=Y","Sort=A","Dates=H","DateFormat=P","Fill=—","Direction=H","UseDPDF=Y")</f>
        <v>#NAME?</v>
      </c>
      <c r="AL514" s="2" t="e">
        <f ca="1">_xll.BDH($C$503,"CASH_FLOW_GROWTH","FQ1 2016","FQ1 2016","Currency=INR","Period=FQ","BEST_FPERIOD_OVERRIDE=FQ","FILING_STATUS=OR","EQY_CONSOLIDATED=Y","Sort=A","Dates=H","DateFormat=P","Fill=—","Direction=H","UseDPDF=Y")</f>
        <v>#NAME?</v>
      </c>
      <c r="AM514" s="2" t="e">
        <f ca="1">_xll.BDH($C$503,"GEO_GROW_NET_SALES","FQ1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14" s="2" t="e">
        <f ca="1">_xll.BDH($C$503,"GEO_GROW_EBITDA","FQ1 2016","FQ1 2016","Currency=INR","Period=FQ","BEST_FPERIOD_OVERRIDE=FQ","FILING_STATUS=OR","EQY_CONSOLIDATED=Y","FA_ADJUSTED=GAAP","Sort=A","Dates=H","DateFormat=P","Fill=—","Direction=H","UseDPDF=Y")</f>
        <v>#NAME?</v>
      </c>
      <c r="AO514" s="2" t="e">
        <f ca="1">_xll.BDH($C$503,"GEO_GROW_OPER_INC","FQ1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14" s="2" t="e">
        <f ca="1">_xll.BDH($C$503,"NET_INCOME_TO_COMMON_5_YR_GROWTH","FQ1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14" s="2" t="e">
        <f ca="1">_xll.BDH($C$503,"5Y_GEO_GROWTH_DILUTED_EPS","FQ1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14" s="2" t="e">
        <f ca="1">_xll.BDH($C$503,"GEO_GROW_DVD_PER_SH","FQ1 2016","FQ1 2016","Currency=INR","Period=FQ","BEST_FPERIOD_OVERRIDE=FQ","FILING_STATUS=OR","EQY_CONSOLIDATED=Y","Sort=A","Dates=H","DateFormat=P","Fill=—","Direction=H","UseDPDF=Y")</f>
        <v>#NAME?</v>
      </c>
      <c r="AS514" s="2" t="e">
        <f ca="1">_xll.BDH($C$503,"ACCOUNTS_RECEIVABLE_5_YR_GROWTH","FQ1 2016","FQ1 2016","Currency=INR","Period=FQ","BEST_FPERIOD_OVERRIDE=FQ","FILING_STATUS=OR","EQY_CONSOLIDATED=Y","Sort=A","Dates=H","DateFormat=P","Fill=—","Direction=H","UseDPDF=Y")</f>
        <v>#NAME?</v>
      </c>
      <c r="AT514" s="2" t="e">
        <f ca="1">_xll.BDH($C$503,"INVENTORY_5_YEAR_GROWTH","FQ1 2016","FQ1 2016","Currency=INR","Period=FQ","BEST_FPERIOD_OVERRIDE=FQ","FILING_STATUS=OR","EQY_CONSOLIDATED=Y","Sort=A","Dates=H","DateFormat=P","Fill=—","Direction=H","UseDPDF=Y")</f>
        <v>#NAME?</v>
      </c>
      <c r="AU514" s="2" t="e">
        <f ca="1">_xll.BDH($C$503,"NET_FIXED_ASSETS_5_YEAR_GROWTH","FQ1 2016","FQ1 2016","Currency=INR","Period=FQ","BEST_FPERIOD_OVERRIDE=FQ","FILING_STATUS=OR","EQY_CONSOLIDATED=Y","Sort=A","Dates=H","DateFormat=P","Fill=—","Direction=H","UseDPDF=Y")</f>
        <v>#NAME?</v>
      </c>
      <c r="AV514" s="2" t="e">
        <f ca="1">_xll.BDH($C$503,"GEO_GROW_TOT_ASSET","FQ1 2016","FQ1 2016","Currency=INR","Period=FQ","BEST_FPERIOD_OVERRIDE=FQ","FILING_STATUS=OR","EQY_CONSOLIDATED=Y","Sort=A","Dates=H","DateFormat=P","Fill=—","Direction=H","UseDPDF=Y")</f>
        <v>#NAME?</v>
      </c>
      <c r="AW514" s="2" t="e">
        <f ca="1">_xll.BDH($C$503,"MODIFIED_WORKING_CPTL_5YR_GRWTH","FQ1 2016","FQ1 2016","Currency=INR","Period=FQ","BEST_FPERIOD_OVERRIDE=FQ","FILING_STATUS=OR","EQY_CONSOLIDATED=Y","Sort=A","Dates=H","DateFormat=P","Fill=—","Direction=H","UseDPDF=Y")</f>
        <v>#NAME?</v>
      </c>
      <c r="AX514" s="2" t="e">
        <f ca="1">_xll.BDH($C$503,"WORKING_CAPITAL_5_YEAR_GROWTH","FQ1 2016","FQ1 2016","Currency=INR","Period=FQ","BEST_FPERIOD_OVERRIDE=FQ","FILING_STATUS=OR","EQY_CONSOLIDATED=Y","Sort=A","Dates=H","DateFormat=P","Fill=—","Direction=H","UseDPDF=Y")</f>
        <v>#NAME?</v>
      </c>
      <c r="AY514" s="2" t="e">
        <f ca="1">_xll.BDH($C$503,"ACCOUNTS_PAYABLE_5_YEAR_GROWTH","FQ1 2016","FQ1 2016","Currency=INR","Period=FQ","BEST_FPERIOD_OVERRIDE=FQ","FILING_STATUS=OR","EQY_CONSOLIDATED=Y","Sort=A","Dates=H","DateFormat=P","Fill=—","Direction=H","UseDPDF=Y")</f>
        <v>#NAME?</v>
      </c>
      <c r="AZ514" s="2" t="e">
        <f ca="1">_xll.BDH($C$503,"SHORT_TERM_DEBT_5_YEAR_GROWTH","FQ1 2016","FQ1 2016","Currency=INR","Period=FQ","BEST_FPERIOD_OVERRIDE=FQ","FILING_STATUS=OR","EQY_CONSOLIDATED=Y","Sort=A","Dates=H","DateFormat=P","Fill=—","Direction=H","UseDPDF=Y")</f>
        <v>#NAME?</v>
      </c>
      <c r="BA514" s="2" t="e">
        <f ca="1">_xll.BDH($C$503,"TOTAL_DEBT_5_YEAR_GROWTH","FQ1 2016","FQ1 2016","Currency=INR","Period=FQ","BEST_FPERIOD_OVERRIDE=FQ","FILING_STATUS=OR","EQY_CONSOLIDATED=Y","Sort=A","Dates=H","DateFormat=P","Fill=—","Direction=H","UseDPDF=Y")</f>
        <v>#NAME?</v>
      </c>
      <c r="BB514" s="2" t="e">
        <f ca="1">_xll.BDH($C$503,"GEO_GROW_TOT_SHRHLDR_EQY","FQ1 2016","FQ1 2016","Currency=INR","Period=FQ","BEST_FPERIOD_OVERRIDE=FQ","FILING_STATUS=OR","EQY_CONSOLIDATED=Y","Sort=A","Dates=H","DateFormat=P","Fill=—","Direction=H","UseDPDF=Y")</f>
        <v>#NAME?</v>
      </c>
      <c r="BC514" s="2" t="e">
        <f ca="1">_xll.BDH($C$503,"TOTAL_CAPITAL_5_YEAR_GROWTH","FQ1 2016","FQ1 2016","Currency=INR","Period=FQ","BEST_FPERIOD_OVERRIDE=FQ","FILING_STATUS=OR","EQY_CONSOLIDATED=Y","Sort=A","Dates=H","DateFormat=P","Fill=—","Direction=H","UseDPDF=Y")</f>
        <v>#NAME?</v>
      </c>
      <c r="BD514" s="2" t="e">
        <f ca="1">_xll.BDH($C$503,"GEO_GROW_BOOK_VAL","FQ1 2016","FQ1 2016","Currency=INR","Period=FQ","BEST_FPERIOD_OVERRIDE=FQ","FILING_STATUS=OR","EQY_CONSOLIDATED=Y","Sort=A","Dates=H","DateFormat=P","Fill=—","Direction=H","UseDPDF=Y")</f>
        <v>#NAME?</v>
      </c>
      <c r="BE514" s="2" t="e">
        <f ca="1">_xll.BDH($C$503,"GEO_GROW_CASH_OPER_ACT","FQ1 2016","FQ1 2016","Currency=INR","Period=FQ","BEST_FPERIOD_OVERRIDE=FQ","FILING_STATUS=OR","EQY_CONSOLIDATED=Y","Sort=A","Dates=H","DateFormat=P","Fill=—","Direction=H","UseDPDF=Y")</f>
        <v>#NAME?</v>
      </c>
      <c r="BF514" s="2" t="e">
        <f ca="1">_xll.BDH($C$503,"REVENUE_SEQUENTIAL_GROWTH","FQ1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14" s="2" t="e">
        <f ca="1">_xll.BDH($C$503,"EBITDA_SEQUENTIAL_GROWTH","FQ1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14" s="2" t="e">
        <f ca="1">_xll.BDH($C$503,"OPERATING_INCOME_SEQ_GROWTH","FQ1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14" s="2" t="e">
        <f ca="1">_xll.BDH($C$503,"NET_INCOME_TO_COMMON_SEQ_GROWTH","FQ1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14" s="2" t="e">
        <f ca="1">_xll.BDH($C$503,"EPS_DILUTED_SEQUENTIAL_GROWTH","FQ1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14" s="2" t="e">
        <f ca="1">_xll.BDH($C$503,"DPS_SEQUENTIAL_GROWTH","FQ1 2016","FQ1 2016","Currency=INR","Period=FQ","BEST_FPERIOD_OVERRIDE=FQ","FILING_STATUS=OR","EQY_CONSOLIDATED=Y","Sort=A","Dates=H","DateFormat=P","Fill=—","Direction=H","UseDPDF=Y")</f>
        <v>#NAME?</v>
      </c>
      <c r="BL514" s="2" t="e">
        <f ca="1">_xll.BDH($C$503,"ACCOUNTS_RECEIVABLE_SEQ_GROWTH","FQ1 2016","FQ1 2016","Currency=INR","Period=FQ","BEST_FPERIOD_OVERRIDE=FQ","FILING_STATUS=OR","EQY_CONSOLIDATED=Y","Sort=A","Dates=H","DateFormat=P","Fill=—","Direction=H","UseDPDF=Y")</f>
        <v>#NAME?</v>
      </c>
      <c r="BM514" s="2" t="e">
        <f ca="1">_xll.BDH($C$503,"INVENTORY_SEQUENTIAL_GROWTH","FQ1 2016","FQ1 2016","Currency=INR","Period=FQ","BEST_FPERIOD_OVERRIDE=FQ","FILING_STATUS=OR","EQY_CONSOLIDATED=Y","Sort=A","Dates=H","DateFormat=P","Fill=—","Direction=H","UseDPDF=Y")</f>
        <v>#NAME?</v>
      </c>
      <c r="BN514" s="2" t="e">
        <f ca="1">_xll.BDH($C$503,"FIXED_ASSETS_SEQUENTIAL_GROWTH","FQ1 2016","FQ1 2016","Currency=INR","Period=FQ","BEST_FPERIOD_OVERRIDE=FQ","FILING_STATUS=OR","EQY_CONSOLIDATED=Y","Sort=A","Dates=H","DateFormat=P","Fill=—","Direction=H","UseDPDF=Y")</f>
        <v>#NAME?</v>
      </c>
      <c r="BO514" s="2" t="e">
        <f ca="1">_xll.BDH($C$503,"TOTAL_ASSETS_SEQUENTIAL_GROWTH","FQ1 2016","FQ1 2016","Currency=INR","Period=FQ","BEST_FPERIOD_OVERRIDE=FQ","FILING_STATUS=OR","EQY_CONSOLIDATED=Y","Sort=A","Dates=H","DateFormat=P","Fill=—","Direction=H","UseDPDF=Y")</f>
        <v>#NAME?</v>
      </c>
      <c r="BP514" s="2" t="e">
        <f ca="1">_xll.BDH($C$503,"MODIFIED_WORKING_CPTL_SEQ_GRWTH","FQ1 2016","FQ1 2016","Currency=INR","Period=FQ","BEST_FPERIOD_OVERRIDE=FQ","FILING_STATUS=OR","EQY_CONSOLIDATED=Y","Sort=A","Dates=H","DateFormat=P","Fill=—","Direction=H","UseDPDF=Y")</f>
        <v>#NAME?</v>
      </c>
      <c r="BQ514" s="2" t="e">
        <f ca="1">_xll.BDH($C$503,"WORKING_CAPITAL_SEQ_GROWTH","FQ1 2016","FQ1 2016","Currency=INR","Period=FQ","BEST_FPERIOD_OVERRIDE=FQ","FILING_STATUS=OR","EQY_CONSOLIDATED=Y","Sort=A","Dates=H","DateFormat=P","Fill=—","Direction=H","UseDPDF=Y")</f>
        <v>#NAME?</v>
      </c>
      <c r="BR514" s="2" t="e">
        <f ca="1">_xll.BDH($C$503,"ACCOUNTS_PAYABLE_SEQ_GROWTH","FQ1 2016","FQ1 2016","Currency=INR","Period=FQ","BEST_FPERIOD_OVERRIDE=FQ","FILING_STATUS=OR","EQY_CONSOLIDATED=Y","Sort=A","Dates=H","DateFormat=P","Fill=—","Direction=H","UseDPDF=Y")</f>
        <v>#NAME?</v>
      </c>
      <c r="BS514" s="2" t="e">
        <f ca="1">_xll.BDH($C$503,"ST_DEBT_SEQUENTIAL_GROWTH","FQ1 2016","FQ1 2016","Currency=INR","Period=FQ","BEST_FPERIOD_OVERRIDE=FQ","FILING_STATUS=OR","EQY_CONSOLIDATED=Y","Sort=A","Dates=H","DateFormat=P","Fill=—","Direction=H","UseDPDF=Y")</f>
        <v>#NAME?</v>
      </c>
      <c r="BT514" s="2" t="e">
        <f ca="1">_xll.BDH($C$503,"TOTAL_DEBT_SEQUENTIAL_GROWTH","FQ1 2016","FQ1 2016","Currency=INR","Period=FQ","BEST_FPERIOD_OVERRIDE=FQ","FILING_STATUS=OR","EQY_CONSOLIDATED=Y","Sort=A","Dates=H","DateFormat=P","Fill=—","Direction=H","UseDPDF=Y")</f>
        <v>#NAME?</v>
      </c>
      <c r="BU514" s="2" t="e">
        <f ca="1">_xll.BDH($C$503,"TOTAL_EQUITY_SEQUENTIAL_GROWTH","FQ1 2016","FQ1 2016","Currency=INR","Period=FQ","BEST_FPERIOD_OVERRIDE=FQ","FILING_STATUS=OR","EQY_CONSOLIDATED=Y","Sort=A","Dates=H","DateFormat=P","Fill=—","Direction=H","UseDPDF=Y")</f>
        <v>#NAME?</v>
      </c>
      <c r="BV514" s="2" t="e">
        <f ca="1">_xll.BDH($C$503,"TOTAL_CAPITAL_SEQUENTIAL_GROWTH","FQ1 2016","FQ1 2016","Currency=INR","Period=FQ","BEST_FPERIOD_OVERRIDE=FQ","FILING_STATUS=OR","EQY_CONSOLIDATED=Y","Sort=A","Dates=H","DateFormat=P","Fill=—","Direction=H","UseDPDF=Y")</f>
        <v>#NAME?</v>
      </c>
      <c r="BW514" s="2" t="e">
        <f ca="1">_xll.BDH($C$503,"BPS_SEQUENTIAL_GROWTH","FQ1 2016","FQ1 2016","Currency=INR","Period=FQ","BEST_FPERIOD_OVERRIDE=FQ","FILING_STATUS=OR","EQY_CONSOLIDATED=Y","Sort=A","Dates=H","DateFormat=P","Fill=—","Direction=H","UseDPDF=Y")</f>
        <v>#NAME?</v>
      </c>
      <c r="BX514" s="2" t="e">
        <f ca="1">_xll.BDH($C$503,"CFO_SEQUENTIAL_GROWTH","FQ1 2016","FQ1 2016","Currency=INR","Period=FQ","BEST_FPERIOD_OVERRIDE=FQ","FILING_STATUS=OR","EQY_CONSOLIDATED=Y","Sort=A","Dates=H","DateFormat=P","Fill=—","Direction=H","UseDPDF=Y")</f>
        <v>#NAME?</v>
      </c>
      <c r="BY514" s="3" t="e">
        <f ca="1">_xll.BDH($C$503,"SHORT_AND_LONG_TERM_DEBT","FQ1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14" s="3" t="e">
        <f ca="1">_xll.BDH($C$503,"BS_ST_BORROW","FQ1 2016","FQ1 2016","Currency=INR","Period=FQ","BEST_FPERIOD_OVERRIDE=FQ","FILING_STATUS=OR","EQY_CONSOLIDATED=Y","SCALING_FORMAT=MLN","Sort=A","Dates=H","DateFormat=P","Fill=—","Direction=H","UseDPDF=Y")</f>
        <v>#NAME?</v>
      </c>
      <c r="CA514" s="3" t="e">
        <f ca="1">_xll.BDH($C$503,"BS_LT_BORROW","FQ1 2016","FQ1 2016","Currency=INR","Period=FQ","BEST_FPERIOD_OVERRIDE=FQ","FILING_STATUS=OR","EQY_CONSOLIDATED=Y","SCALING_FORMAT=MLN","Sort=A","Dates=H","DateFormat=P","Fill=—","Direction=H","UseDPDF=Y")</f>
        <v>#NAME?</v>
      </c>
      <c r="CB514" s="2" t="e">
        <f ca="1">_xll.BDH($C$503,"TOT_DEBT_TO_EBITDA","FQ1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14" s="2" t="e">
        <f ca="1">_xll.BDH($C$503,"NET_DEBT_TO_EBITDA","FQ1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14" s="2" t="e">
        <f ca="1">_xll.BDH($C$503,"TOTAL_DEBT_TO_EBIT","FQ1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14" s="2" t="e">
        <f ca="1">_xll.BDH($C$503,"NET_DEBT_TO_EBIT","FQ1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14" s="2" t="e">
        <f ca="1">_xll.BDH($C$503,"EBITDA_TO_INTEREST_EXPN","FQ1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14" s="2" t="e">
        <f ca="1">_xll.BDH($C$503,"COM_EQY_TO_TOT_ASSET","FQ1 2016","FQ1 2016","Currency=INR","Period=FQ","BEST_FPERIOD_OVERRIDE=FQ","FILING_STATUS=OR","EQY_CONSOLIDATED=Y","Sort=A","Dates=H","DateFormat=P","Fill=—","Direction=H","UseDPDF=Y")</f>
        <v>#NAME?</v>
      </c>
      <c r="CH514" s="2" t="e">
        <f ca="1">_xll.BDH($C$503,"LT_DEBT_TO_TOT_EQY","FQ1 2016","FQ1 2016","Currency=INR","Period=FQ","BEST_FPERIOD_OVERRIDE=FQ","FILING_STATUS=OR","EQY_CONSOLIDATED=Y","Sort=A","Dates=H","DateFormat=P","Fill=—","Direction=H","UseDPDF=Y")</f>
        <v>#NAME?</v>
      </c>
      <c r="CI514" s="2" t="e">
        <f ca="1">_xll.BDH($C$503,"LT_DEBT_TO_TOT_CAP","FQ1 2016","FQ1 2016","Currency=INR","Period=FQ","BEST_FPERIOD_OVERRIDE=FQ","FILING_STATUS=OR","EQY_CONSOLIDATED=Y","Sort=A","Dates=H","DateFormat=P","Fill=—","Direction=H","UseDPDF=Y")</f>
        <v>#NAME?</v>
      </c>
      <c r="CJ514" s="2" t="e">
        <f ca="1">_xll.BDH($C$503,"LT_DEBT_TO_TOT_ASSET","FQ1 2016","FQ1 2016","Currency=INR","Period=FQ","BEST_FPERIOD_OVERRIDE=FQ","FILING_STATUS=OR","EQY_CONSOLIDATED=Y","Sort=A","Dates=H","DateFormat=P","Fill=—","Direction=H","UseDPDF=Y")</f>
        <v>#NAME?</v>
      </c>
      <c r="CK514" s="2" t="e">
        <f ca="1">_xll.BDH($C$503,"TOT_DEBT_TO_TOT_EQY","FQ1 2016","FQ1 2016","Currency=INR","Period=FQ","BEST_FPERIOD_OVERRIDE=FQ","FILING_STATUS=OR","EQY_CONSOLIDATED=Y","Sort=A","Dates=H","DateFormat=P","Fill=—","Direction=H","UseDPDF=Y")</f>
        <v>#NAME?</v>
      </c>
      <c r="CL514" s="2" t="e">
        <f ca="1">_xll.BDH($C$503,"TOT_DEBT_TO_TOT_CAP","FQ1 2016","FQ1 2016","Currency=INR","Period=FQ","BEST_FPERIOD_OVERRIDE=FQ","FILING_STATUS=OR","EQY_CONSOLIDATED=Y","Sort=A","Dates=H","DateFormat=P","Fill=—","Direction=H","UseDPDF=Y")</f>
        <v>#NAME?</v>
      </c>
      <c r="CM514" s="2" t="e">
        <f ca="1">_xll.BDH($C$503,"TOT_DEBT_TO_TOT_ASSET","FQ1 2016","FQ1 2016","Currency=INR","Period=FQ","BEST_FPERIOD_OVERRIDE=FQ","FILING_STATUS=OR","EQY_CONSOLIDATED=Y","Sort=A","Dates=H","DateFormat=P","Fill=—","Direction=H","UseDPDF=Y")</f>
        <v>#NAME?</v>
      </c>
      <c r="CN514" s="2" t="e">
        <f ca="1">_xll.BDH($C$503,"NET_DEBT_TO_SHRHLDR_EQTY","FQ1 2016","FQ1 2016","Currency=INR","Period=FQ","BEST_FPERIOD_OVERRIDE=FQ","FILING_STATUS=OR","EQY_CONSOLIDATED=Y","Sort=A","Dates=H","DateFormat=P","Fill=—","Direction=H","UseDPDF=Y")</f>
        <v>#NAME?</v>
      </c>
      <c r="CO514" s="2" t="e">
        <f ca="1">_xll.BDH($C$503,"NET_DEBT_%_CAPITAL","FQ1 2016","FQ1 2016","Currency=INR","Period=FQ","BEST_FPERIOD_OVERRIDE=FQ","FILING_STATUS=OR","EQY_CONSOLIDATED=Y","Sort=A","Dates=H","DateFormat=P","Fill=—","Direction=H","UseDPDF=Y")</f>
        <v>#NAME?</v>
      </c>
      <c r="CP514" s="3" t="e">
        <f ca="1">_xll.BDH($C$503,"EBITDA","FQ1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14" s="3" t="e">
        <f ca="1">_xll.BDH($C$503,"EBITDA_AFTER_CAPEX","FQ1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14" s="3" t="e">
        <f ca="1">_xll.BDH($C$503,"IS_OPER_INC","FQ1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14" s="2" t="e">
        <f ca="1">_xll.BDH($C$503,"CASH_RATIO","FQ1 2016","FQ1 2016","Currency=INR","Period=FQ","BEST_FPERIOD_OVERRIDE=FQ","FILING_STATUS=OR","EQY_CONSOLIDATED=Y","Sort=A","Dates=H","DateFormat=P","Fill=—","Direction=H","UseDPDF=Y")</f>
        <v>#NAME?</v>
      </c>
      <c r="CT514" s="2" t="e">
        <f ca="1">_xll.BDH($C$503,"CUR_RATIO","FQ1 2016","FQ1 2016","Currency=INR","Period=FQ","BEST_FPERIOD_OVERRIDE=FQ","FILING_STATUS=OR","EQY_CONSOLIDATED=Y","Sort=A","Dates=H","DateFormat=P","Fill=—","Direction=H","UseDPDF=Y")</f>
        <v>#NAME?</v>
      </c>
      <c r="CU514" s="2" t="e">
        <f ca="1">_xll.BDH($C$503,"QUICK_RATIO","FQ1 2016","FQ1 2016","Currency=INR","Period=FQ","BEST_FPERIOD_OVERRIDE=FQ","FILING_STATUS=OR","EQY_CONSOLIDATED=Y","Sort=A","Dates=H","DateFormat=P","Fill=—","Direction=H","UseDPDF=Y")</f>
        <v>#NAME?</v>
      </c>
      <c r="CV514" s="2" t="e">
        <f ca="1">_xll.BDH($C$503,"ALTMAN_Z_SCORE","FQ1 2016","FQ1 2016","Currency=INR","Period=FQ","BEST_FPERIOD_OVERRIDE=FQ","FILING_STATUS=OR","EQY_CONSOLIDATED=Y","Sort=A","Dates=H","DateFormat=P","Fill=—","Direction=H","UseDPDF=Y")</f>
        <v>#NAME?</v>
      </c>
      <c r="CW514" s="4" t="e">
        <f ca="1">_xll.BDH($C$503,"ACCT_RCV_TURN","FQ1 2016","FQ1 2016","Currency=INR","Period=FQ","BEST_FPERIOD_OVERRIDE=FQ","FILING_STATUS=OR","EQY_CONSOLIDATED=Y","FA_ADJUSTED=GAAP","Sort=A","Dates=H","DateFormat=P","Fill=—","Direction=H","UseDPDF=Y")</f>
        <v>#NAME?</v>
      </c>
      <c r="CX514" s="2" t="e">
        <f ca="1">_xll.BDH($C$503,"ACCT_RCV_DAYS","FQ1 2016","FQ1 2016","Currency=INR","Period=FQ","BEST_FPERIOD_OVERRIDE=FQ","FILING_STATUS=OR","EQY_CONSOLIDATED=Y","FA_ADJUSTED=GAAP","Sort=A","Dates=H","DateFormat=P","Fill=—","Direction=H","UseDPDF=Y")</f>
        <v>#NAME?</v>
      </c>
      <c r="CY514" s="4" t="e">
        <f ca="1">_xll.BDH($C$503,"INVENT_TURN","FQ1 2016","FQ1 2016","Currency=INR","Period=FQ","BEST_FPERIOD_OVERRIDE=FQ","FILING_STATUS=OR","EQY_CONSOLIDATED=Y","FA_ADJUSTED=GAAP","Sort=A","Dates=H","DateFormat=P","Fill=—","Direction=H","UseDPDF=Y")</f>
        <v>#NAME?</v>
      </c>
      <c r="CZ514" s="2" t="e">
        <f ca="1">_xll.BDH($C$503,"INVENT_DAYS","FQ1 2016","FQ1 2016","Currency=INR","Period=FQ","BEST_FPERIOD_OVERRIDE=FQ","FILING_STATUS=OR","EQY_CONSOLIDATED=Y","FA_ADJUSTED=GAAP","Sort=A","Dates=H","DateFormat=P","Fill=—","Direction=H","UseDPDF=Y")</f>
        <v>#NAME?</v>
      </c>
      <c r="DA514" s="4" t="e">
        <f ca="1">_xll.BDH($C$503,"ACCOUNTS_PAYABLE_TURNOVER","FQ1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14" s="2" t="e">
        <f ca="1">_xll.BDH($C$503,"ACCOUNTS_PAYABLE_TURNOVER_DAYS","FQ1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14" s="4" t="e">
        <f ca="1">_xll.BDH($C$503,"CASH_CONVERSION_CYCLE","FQ1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14" s="4" t="e">
        <f ca="1">_xll.BDH($C$503,"INV_TO_CASH_DAYS","FQ1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14" s="5" t="e">
        <f ca="1">_xll.BDH($C$503,"BS_INVENTORIES","FQ1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14" s="3" t="e">
        <f ca="1">_xll.BDH($C$503,"INVTRY_RAW_MATERIALS","FQ1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14" s="3" t="e">
        <f ca="1">_xll.BDH($C$503,"INVTRY_IN_PROGRESS","FQ1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14" s="3" t="e">
        <f ca="1">_xll.BDH($C$503,"INVTRY_FINISHED_GOODS","FQ1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14" s="3" t="e">
        <f ca="1">_xll.BDH($C$503,"BS_OTHER_INV","FQ1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15" spans="1:113" x14ac:dyDescent="0.3">
      <c r="A515" s="6"/>
      <c r="B515" s="6"/>
      <c r="C515" s="6"/>
      <c r="D515" s="6"/>
      <c r="E515" t="s">
        <v>79</v>
      </c>
      <c r="F515" t="e">
        <f ca="1">_xll.BDH($C$503,"RETURN_COM_EQY","FQ2 2016","FQ2 2016","Currency=INR","Period=FQ","BEST_FPERIOD_OVERRIDE=FQ","FILING_STATUS=OR","EQY_CONSOLIDATED=Y","FA_ADJUSTED=GAAP","Sort=A","Dates=H","DateFormat=P","Fill=—","Direction=H","UseDPDF=Y")</f>
        <v>#NAME?</v>
      </c>
      <c r="G515" t="e">
        <f ca="1">_xll.BDH($C$503,"RETURN_ON_ASSET","FQ2 2016","FQ2 2016","Currency=INR","Period=FQ","BEST_FPERIOD_OVERRIDE=FQ","FILING_STATUS=OR","EQY_CONSOLIDATED=Y","FA_ADJUSTED=GAAP","Sort=A","Dates=H","DateFormat=P","Fill=—","Direction=H","UseDPDF=Y")</f>
        <v>#NAME?</v>
      </c>
      <c r="H515" t="e">
        <f ca="1">_xll.BDH($C$503,"RETURN_ON_CAP","FQ2 2016","FQ2 2016","Currency=INR","Period=FQ","BEST_FPERIOD_OVERRIDE=FQ","FILING_STATUS=OR","EQY_CONSOLIDATED=Y","FA_ADJUSTED=GAAP","Sort=A","Dates=H","DateFormat=P","Fill=—","Direction=H","UseDPDF=Y")</f>
        <v>#NAME?</v>
      </c>
      <c r="I515" t="e">
        <f ca="1">_xll.BDH($C$503,"RETURN_ON_INV_CAPITAL","FQ2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15" t="e">
        <f ca="1">_xll.BDH($C$503,"EBITDA_TO_REVENUE","FQ2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15" t="e">
        <f ca="1">_xll.BDH($C$503,"OPER_MARGIN","FQ2 2016","FQ2 2016","Currency=INR","Period=FQ","BEST_FPERIOD_OVERRIDE=FQ","FILING_STATUS=OR","EQY_CONSOLIDATED=Y","FA_ADJUSTED=GAAP","Sort=A","Dates=H","DateFormat=P","Fill=—","Direction=H","UseDPDF=Y")</f>
        <v>#NAME?</v>
      </c>
      <c r="L515" t="e">
        <f ca="1">_xll.BDH($C$503,"INCREMENTAL_OPERATING_MARGIN","FQ2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15" t="e">
        <f ca="1">_xll.BDH($C$503,"PRETAX_INC_TO_NET_SALES","FQ2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15" t="e">
        <f ca="1">_xll.BDH($C$503,"INC_BEF_XO_ITEMS_TO_NET_SALES","FQ2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15" t="e">
        <f ca="1">_xll.BDH($C$503,"PROF_MARGIN","FQ2 2016","FQ2 2016","Currency=INR","Period=FQ","BEST_FPERIOD_OVERRIDE=FQ","FILING_STATUS=OR","EQY_CONSOLIDATED=Y","FA_ADJUSTED=GAAP","Sort=A","Dates=H","DateFormat=P","Fill=—","Direction=H","UseDPDF=Y")</f>
        <v>#NAME?</v>
      </c>
      <c r="P515" t="e">
        <f ca="1">_xll.BDH($C$503,"NET_INCOME_TO_COMMON_MARGIN","FQ2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15" t="e">
        <f ca="1">_xll.BDH($C$503,"EFF_TAX_RATE","FQ2 2016","FQ2 2016","Currency=INR","Period=FQ","BEST_FPERIOD_OVERRIDE=FQ","FILING_STATUS=OR","EQY_CONSOLIDATED=Y","FA_ADJUSTED=GAAP","Sort=A","Dates=H","DateFormat=P","Fill=—","Direction=H","UseDPDF=Y")</f>
        <v>#NAME?</v>
      </c>
      <c r="R515" t="e">
        <f ca="1">_xll.BDH($C$503,"DVD_PAYOUT_RATIO","FQ2 2016","FQ2 2016","Currency=INR","Period=FQ","BEST_FPERIOD_OVERRIDE=FQ","FILING_STATUS=OR","EQY_CONSOLIDATED=Y","FA_ADJUSTED=GAAP","Sort=A","Dates=H","DateFormat=P","Fill=—","Direction=H","UseDPDF=Y")</f>
        <v>#NAME?</v>
      </c>
      <c r="S515" t="e">
        <f ca="1">_xll.BDH($C$503,"SUSTAIN_GROWTH_RT","FQ2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15" s="2" t="e">
        <f ca="1">_xll.BDH($C$503,"SALES_GROWTH","FQ2 2016","FQ2 2016","Currency=INR","Period=FQ","BEST_FPERIOD_OVERRIDE=FQ","FILING_STATUS=OR","EQY_CONSOLIDATED=Y","FA_ADJUSTED=GAAP","Sort=A","Dates=H","DateFormat=P","Fill=—","Direction=H","UseDPDF=Y")</f>
        <v>#NAME?</v>
      </c>
      <c r="U515" s="2" t="e">
        <f ca="1">_xll.BDH($C$503,"EBITDA_GROWTH","FQ2 2016","FQ2 2016","Currency=INR","Period=FQ","BEST_FPERIOD_OVERRIDE=FQ","FILING_STATUS=OR","EQY_CONSOLIDATED=Y","FA_ADJUSTED=GAAP","Sort=A","Dates=H","DateFormat=P","Fill=—","Direction=H","UseDPDF=Y")</f>
        <v>#NAME?</v>
      </c>
      <c r="V515" s="2" t="e">
        <f ca="1">_xll.BDH($C$503,"OPER_INC_GROWTH","FQ2 2016","FQ2 2016","Currency=INR","Period=FQ","BEST_FPERIOD_OVERRIDE=FQ","FILING_STATUS=OR","EQY_CONSOLIDATED=Y","FA_ADJUSTED=GAAP","Sort=A","Dates=H","DateFormat=P","Fill=—","Direction=H","UseDPDF=Y")</f>
        <v>#NAME?</v>
      </c>
      <c r="W515" s="2" t="e">
        <f ca="1">_xll.BDH($C$503,"EARN_FOR_COM_GROWTH","FQ2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15" s="2" t="e">
        <f ca="1">_xll.BDH($C$503,"DILUTED_EPS_AFT_XO_ITEMS_GROWTH","FQ2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15" s="2" t="e">
        <f ca="1">_xll.BDH($C$503,"DIVIDEND_PER_SHARE_1_YEAR_GROWTH","FQ2 2016","FQ2 2016","Currency=INR","Period=FQ","BEST_FPERIOD_OVERRIDE=FQ","FILING_STATUS=OR","EQY_CONSOLIDATED=Y","Sort=A","Dates=H","DateFormat=P","Fill=—","Direction=H","UseDPDF=Y")</f>
        <v>#NAME?</v>
      </c>
      <c r="Z515" s="2" t="e">
        <f ca="1">_xll.BDH($C$503,"ACCOUNTS_RECEIVABLE_GROWTH","FQ2 2016","FQ2 2016","Currency=INR","Period=FQ","BEST_FPERIOD_OVERRIDE=FQ","FILING_STATUS=OR","EQY_CONSOLIDATED=Y","Sort=A","Dates=H","DateFormat=P","Fill=—","Direction=H","UseDPDF=Y")</f>
        <v>#NAME?</v>
      </c>
      <c r="AA515" s="2" t="e">
        <f ca="1">_xll.BDH($C$503,"INVENTORY_GROWTH","FQ2 2016","FQ2 2016","Currency=INR","Period=FQ","BEST_FPERIOD_OVERRIDE=FQ","FILING_STATUS=OR","EQY_CONSOLIDATED=Y","Sort=A","Dates=H","DateFormat=P","Fill=—","Direction=H","UseDPDF=Y")</f>
        <v>#NAME?</v>
      </c>
      <c r="AB515" s="2" t="e">
        <f ca="1">_xll.BDH($C$503,"NET_FIXED_ASSETS_1_YEAR_GROWTH","FQ2 2016","FQ2 2016","Currency=INR","Period=FQ","BEST_FPERIOD_OVERRIDE=FQ","FILING_STATUS=OR","EQY_CONSOLIDATED=Y","Sort=A","Dates=H","DateFormat=P","Fill=—","Direction=H","UseDPDF=Y")</f>
        <v>#NAME?</v>
      </c>
      <c r="AC515" s="2" t="e">
        <f ca="1">_xll.BDH($C$503,"ASSET_GROWTH","FQ2 2016","FQ2 2016","Currency=INR","Period=FQ","BEST_FPERIOD_OVERRIDE=FQ","FILING_STATUS=OR","EQY_CONSOLIDATED=Y","Sort=A","Dates=H","DateFormat=P","Fill=—","Direction=H","UseDPDF=Y")</f>
        <v>#NAME?</v>
      </c>
      <c r="AD515" s="2" t="e">
        <f ca="1">_xll.BDH($C$503,"MODIFIED_WORK_CAP_GROWTH","FQ2 2016","FQ2 2016","Currency=INR","Period=FQ","BEST_FPERIOD_OVERRIDE=FQ","FILING_STATUS=OR","EQY_CONSOLIDATED=Y","Sort=A","Dates=H","DateFormat=P","Fill=—","Direction=H","UseDPDF=Y")</f>
        <v>#NAME?</v>
      </c>
      <c r="AE515" s="2" t="e">
        <f ca="1">_xll.BDH($C$503,"WORK_CAP_GROWTH","FQ2 2016","FQ2 2016","Currency=INR","Period=FQ","BEST_FPERIOD_OVERRIDE=FQ","FILING_STATUS=OR","EQY_CONSOLIDATED=Y","Sort=A","Dates=H","DateFormat=P","Fill=—","Direction=H","UseDPDF=Y")</f>
        <v>#NAME?</v>
      </c>
      <c r="AF515" s="2" t="e">
        <f ca="1">_xll.BDH($C$503,"ACCOUNTS_PAYABLE_GROWTH_1YR","FQ2 2016","FQ2 2016","Currency=INR","Period=FQ","BEST_FPERIOD_OVERRIDE=FQ","FILING_STATUS=OR","EQY_CONSOLIDATED=Y","Sort=A","Dates=H","DateFormat=P","Fill=—","Direction=H","UseDPDF=Y")</f>
        <v>#NAME?</v>
      </c>
      <c r="AG515" s="2" t="e">
        <f ca="1">_xll.BDH($C$503,"SHORT_TERM_DEBT_1_YEAR_GROWTH","FQ2 2016","FQ2 2016","Currency=INR","Period=FQ","BEST_FPERIOD_OVERRIDE=FQ","FILING_STATUS=OR","EQY_CONSOLIDATED=Y","Sort=A","Dates=H","DateFormat=P","Fill=—","Direction=H","UseDPDF=Y")</f>
        <v>#NAME?</v>
      </c>
      <c r="AH515" s="2" t="e">
        <f ca="1">_xll.BDH($C$503,"TOTAL_DEBT_1_YEAR_GROWTH","FQ2 2016","FQ2 2016","Currency=INR","Period=FQ","BEST_FPERIOD_OVERRIDE=FQ","FILING_STATUS=OR","EQY_CONSOLIDATED=Y","Sort=A","Dates=H","DateFormat=P","Fill=—","Direction=H","UseDPDF=Y")</f>
        <v>#NAME?</v>
      </c>
      <c r="AI515" s="2" t="e">
        <f ca="1">_xll.BDH($C$503,"TOTAL_EQUITY_1_YEAR_GROWTH","FQ2 2016","FQ2 2016","Currency=INR","Period=FQ","BEST_FPERIOD_OVERRIDE=FQ","FILING_STATUS=OR","EQY_CONSOLIDATED=Y","Sort=A","Dates=H","DateFormat=P","Fill=—","Direction=H","UseDPDF=Y")</f>
        <v>#NAME?</v>
      </c>
      <c r="AJ515" s="2" t="e">
        <f ca="1">_xll.BDH($C$503,"GROWTH_IN_CAP","FQ2 2016","FQ2 2016","Currency=INR","Period=FQ","BEST_FPERIOD_OVERRIDE=FQ","FILING_STATUS=OR","EQY_CONSOLIDATED=Y","Sort=A","Dates=H","DateFormat=P","Fill=—","Direction=H","UseDPDF=Y")</f>
        <v>#NAME?</v>
      </c>
      <c r="AK515" s="2" t="e">
        <f ca="1">_xll.BDH($C$503,"BVPS_GROWTH","FQ2 2016","FQ2 2016","Currency=INR","Period=FQ","BEST_FPERIOD_OVERRIDE=FQ","FILING_STATUS=OR","EQY_CONSOLIDATED=Y","Sort=A","Dates=H","DateFormat=P","Fill=—","Direction=H","UseDPDF=Y")</f>
        <v>#NAME?</v>
      </c>
      <c r="AL515" s="2" t="e">
        <f ca="1">_xll.BDH($C$503,"CASH_FLOW_GROWTH","FQ2 2016","FQ2 2016","Currency=INR","Period=FQ","BEST_FPERIOD_OVERRIDE=FQ","FILING_STATUS=OR","EQY_CONSOLIDATED=Y","Sort=A","Dates=H","DateFormat=P","Fill=—","Direction=H","UseDPDF=Y")</f>
        <v>#NAME?</v>
      </c>
      <c r="AM515" s="2" t="e">
        <f ca="1">_xll.BDH($C$503,"GEO_GROW_NET_SALES","FQ2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15" s="2" t="e">
        <f ca="1">_xll.BDH($C$503,"GEO_GROW_EBITDA","FQ2 2016","FQ2 2016","Currency=INR","Period=FQ","BEST_FPERIOD_OVERRIDE=FQ","FILING_STATUS=OR","EQY_CONSOLIDATED=Y","FA_ADJUSTED=GAAP","Sort=A","Dates=H","DateFormat=P","Fill=—","Direction=H","UseDPDF=Y")</f>
        <v>#NAME?</v>
      </c>
      <c r="AO515" s="2" t="e">
        <f ca="1">_xll.BDH($C$503,"GEO_GROW_OPER_INC","FQ2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15" s="2" t="e">
        <f ca="1">_xll.BDH($C$503,"NET_INCOME_TO_COMMON_5_YR_GROWTH","FQ2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15" s="2" t="e">
        <f ca="1">_xll.BDH($C$503,"5Y_GEO_GROWTH_DILUTED_EPS","FQ2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15" s="2" t="e">
        <f ca="1">_xll.BDH($C$503,"GEO_GROW_DVD_PER_SH","FQ2 2016","FQ2 2016","Currency=INR","Period=FQ","BEST_FPERIOD_OVERRIDE=FQ","FILING_STATUS=OR","EQY_CONSOLIDATED=Y","Sort=A","Dates=H","DateFormat=P","Fill=—","Direction=H","UseDPDF=Y")</f>
        <v>#NAME?</v>
      </c>
      <c r="AS515" s="2" t="e">
        <f ca="1">_xll.BDH($C$503,"ACCOUNTS_RECEIVABLE_5_YR_GROWTH","FQ2 2016","FQ2 2016","Currency=INR","Period=FQ","BEST_FPERIOD_OVERRIDE=FQ","FILING_STATUS=OR","EQY_CONSOLIDATED=Y","Sort=A","Dates=H","DateFormat=P","Fill=—","Direction=H","UseDPDF=Y")</f>
        <v>#NAME?</v>
      </c>
      <c r="AT515" s="2" t="e">
        <f ca="1">_xll.BDH($C$503,"INVENTORY_5_YEAR_GROWTH","FQ2 2016","FQ2 2016","Currency=INR","Period=FQ","BEST_FPERIOD_OVERRIDE=FQ","FILING_STATUS=OR","EQY_CONSOLIDATED=Y","Sort=A","Dates=H","DateFormat=P","Fill=—","Direction=H","UseDPDF=Y")</f>
        <v>#NAME?</v>
      </c>
      <c r="AU515" s="2" t="e">
        <f ca="1">_xll.BDH($C$503,"NET_FIXED_ASSETS_5_YEAR_GROWTH","FQ2 2016","FQ2 2016","Currency=INR","Period=FQ","BEST_FPERIOD_OVERRIDE=FQ","FILING_STATUS=OR","EQY_CONSOLIDATED=Y","Sort=A","Dates=H","DateFormat=P","Fill=—","Direction=H","UseDPDF=Y")</f>
        <v>#NAME?</v>
      </c>
      <c r="AV515" s="2" t="e">
        <f ca="1">_xll.BDH($C$503,"GEO_GROW_TOT_ASSET","FQ2 2016","FQ2 2016","Currency=INR","Period=FQ","BEST_FPERIOD_OVERRIDE=FQ","FILING_STATUS=OR","EQY_CONSOLIDATED=Y","Sort=A","Dates=H","DateFormat=P","Fill=—","Direction=H","UseDPDF=Y")</f>
        <v>#NAME?</v>
      </c>
      <c r="AW515" s="2" t="e">
        <f ca="1">_xll.BDH($C$503,"MODIFIED_WORKING_CPTL_5YR_GRWTH","FQ2 2016","FQ2 2016","Currency=INR","Period=FQ","BEST_FPERIOD_OVERRIDE=FQ","FILING_STATUS=OR","EQY_CONSOLIDATED=Y","Sort=A","Dates=H","DateFormat=P","Fill=—","Direction=H","UseDPDF=Y")</f>
        <v>#NAME?</v>
      </c>
      <c r="AX515" s="2" t="e">
        <f ca="1">_xll.BDH($C$503,"WORKING_CAPITAL_5_YEAR_GROWTH","FQ2 2016","FQ2 2016","Currency=INR","Period=FQ","BEST_FPERIOD_OVERRIDE=FQ","FILING_STATUS=OR","EQY_CONSOLIDATED=Y","Sort=A","Dates=H","DateFormat=P","Fill=—","Direction=H","UseDPDF=Y")</f>
        <v>#NAME?</v>
      </c>
      <c r="AY515" s="2" t="e">
        <f ca="1">_xll.BDH($C$503,"ACCOUNTS_PAYABLE_5_YEAR_GROWTH","FQ2 2016","FQ2 2016","Currency=INR","Period=FQ","BEST_FPERIOD_OVERRIDE=FQ","FILING_STATUS=OR","EQY_CONSOLIDATED=Y","Sort=A","Dates=H","DateFormat=P","Fill=—","Direction=H","UseDPDF=Y")</f>
        <v>#NAME?</v>
      </c>
      <c r="AZ515" s="2" t="e">
        <f ca="1">_xll.BDH($C$503,"SHORT_TERM_DEBT_5_YEAR_GROWTH","FQ2 2016","FQ2 2016","Currency=INR","Period=FQ","BEST_FPERIOD_OVERRIDE=FQ","FILING_STATUS=OR","EQY_CONSOLIDATED=Y","Sort=A","Dates=H","DateFormat=P","Fill=—","Direction=H","UseDPDF=Y")</f>
        <v>#NAME?</v>
      </c>
      <c r="BA515" s="2" t="e">
        <f ca="1">_xll.BDH($C$503,"TOTAL_DEBT_5_YEAR_GROWTH","FQ2 2016","FQ2 2016","Currency=INR","Period=FQ","BEST_FPERIOD_OVERRIDE=FQ","FILING_STATUS=OR","EQY_CONSOLIDATED=Y","Sort=A","Dates=H","DateFormat=P","Fill=—","Direction=H","UseDPDF=Y")</f>
        <v>#NAME?</v>
      </c>
      <c r="BB515" s="2" t="e">
        <f ca="1">_xll.BDH($C$503,"GEO_GROW_TOT_SHRHLDR_EQY","FQ2 2016","FQ2 2016","Currency=INR","Period=FQ","BEST_FPERIOD_OVERRIDE=FQ","FILING_STATUS=OR","EQY_CONSOLIDATED=Y","Sort=A","Dates=H","DateFormat=P","Fill=—","Direction=H","UseDPDF=Y")</f>
        <v>#NAME?</v>
      </c>
      <c r="BC515" s="2" t="e">
        <f ca="1">_xll.BDH($C$503,"TOTAL_CAPITAL_5_YEAR_GROWTH","FQ2 2016","FQ2 2016","Currency=INR","Period=FQ","BEST_FPERIOD_OVERRIDE=FQ","FILING_STATUS=OR","EQY_CONSOLIDATED=Y","Sort=A","Dates=H","DateFormat=P","Fill=—","Direction=H","UseDPDF=Y")</f>
        <v>#NAME?</v>
      </c>
      <c r="BD515" s="2" t="e">
        <f ca="1">_xll.BDH($C$503,"GEO_GROW_BOOK_VAL","FQ2 2016","FQ2 2016","Currency=INR","Period=FQ","BEST_FPERIOD_OVERRIDE=FQ","FILING_STATUS=OR","EQY_CONSOLIDATED=Y","Sort=A","Dates=H","DateFormat=P","Fill=—","Direction=H","UseDPDF=Y")</f>
        <v>#NAME?</v>
      </c>
      <c r="BE515" s="2" t="e">
        <f ca="1">_xll.BDH($C$503,"GEO_GROW_CASH_OPER_ACT","FQ2 2016","FQ2 2016","Currency=INR","Period=FQ","BEST_FPERIOD_OVERRIDE=FQ","FILING_STATUS=OR","EQY_CONSOLIDATED=Y","Sort=A","Dates=H","DateFormat=P","Fill=—","Direction=H","UseDPDF=Y")</f>
        <v>#NAME?</v>
      </c>
      <c r="BF515" s="2" t="e">
        <f ca="1">_xll.BDH($C$503,"REVENUE_SEQUENTIAL_GROWTH","FQ2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15" s="2" t="e">
        <f ca="1">_xll.BDH($C$503,"EBITDA_SEQUENTIAL_GROWTH","FQ2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15" s="2" t="e">
        <f ca="1">_xll.BDH($C$503,"OPERATING_INCOME_SEQ_GROWTH","FQ2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15" s="2" t="e">
        <f ca="1">_xll.BDH($C$503,"NET_INCOME_TO_COMMON_SEQ_GROWTH","FQ2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15" s="2" t="e">
        <f ca="1">_xll.BDH($C$503,"EPS_DILUTED_SEQUENTIAL_GROWTH","FQ2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15" s="2" t="e">
        <f ca="1">_xll.BDH($C$503,"DPS_SEQUENTIAL_GROWTH","FQ2 2016","FQ2 2016","Currency=INR","Period=FQ","BEST_FPERIOD_OVERRIDE=FQ","FILING_STATUS=OR","EQY_CONSOLIDATED=Y","Sort=A","Dates=H","DateFormat=P","Fill=—","Direction=H","UseDPDF=Y")</f>
        <v>#NAME?</v>
      </c>
      <c r="BL515" s="2" t="e">
        <f ca="1">_xll.BDH($C$503,"ACCOUNTS_RECEIVABLE_SEQ_GROWTH","FQ2 2016","FQ2 2016","Currency=INR","Period=FQ","BEST_FPERIOD_OVERRIDE=FQ","FILING_STATUS=OR","EQY_CONSOLIDATED=Y","Sort=A","Dates=H","DateFormat=P","Fill=—","Direction=H","UseDPDF=Y")</f>
        <v>#NAME?</v>
      </c>
      <c r="BM515" s="2" t="e">
        <f ca="1">_xll.BDH($C$503,"INVENTORY_SEQUENTIAL_GROWTH","FQ2 2016","FQ2 2016","Currency=INR","Period=FQ","BEST_FPERIOD_OVERRIDE=FQ","FILING_STATUS=OR","EQY_CONSOLIDATED=Y","Sort=A","Dates=H","DateFormat=P","Fill=—","Direction=H","UseDPDF=Y")</f>
        <v>#NAME?</v>
      </c>
      <c r="BN515" s="2" t="e">
        <f ca="1">_xll.BDH($C$503,"FIXED_ASSETS_SEQUENTIAL_GROWTH","FQ2 2016","FQ2 2016","Currency=INR","Period=FQ","BEST_FPERIOD_OVERRIDE=FQ","FILING_STATUS=OR","EQY_CONSOLIDATED=Y","Sort=A","Dates=H","DateFormat=P","Fill=—","Direction=H","UseDPDF=Y")</f>
        <v>#NAME?</v>
      </c>
      <c r="BO515" s="2" t="e">
        <f ca="1">_xll.BDH($C$503,"TOTAL_ASSETS_SEQUENTIAL_GROWTH","FQ2 2016","FQ2 2016","Currency=INR","Period=FQ","BEST_FPERIOD_OVERRIDE=FQ","FILING_STATUS=OR","EQY_CONSOLIDATED=Y","Sort=A","Dates=H","DateFormat=P","Fill=—","Direction=H","UseDPDF=Y")</f>
        <v>#NAME?</v>
      </c>
      <c r="BP515" s="2" t="e">
        <f ca="1">_xll.BDH($C$503,"MODIFIED_WORKING_CPTL_SEQ_GRWTH","FQ2 2016","FQ2 2016","Currency=INR","Period=FQ","BEST_FPERIOD_OVERRIDE=FQ","FILING_STATUS=OR","EQY_CONSOLIDATED=Y","Sort=A","Dates=H","DateFormat=P","Fill=—","Direction=H","UseDPDF=Y")</f>
        <v>#NAME?</v>
      </c>
      <c r="BQ515" s="2" t="e">
        <f ca="1">_xll.BDH($C$503,"WORKING_CAPITAL_SEQ_GROWTH","FQ2 2016","FQ2 2016","Currency=INR","Period=FQ","BEST_FPERIOD_OVERRIDE=FQ","FILING_STATUS=OR","EQY_CONSOLIDATED=Y","Sort=A","Dates=H","DateFormat=P","Fill=—","Direction=H","UseDPDF=Y")</f>
        <v>#NAME?</v>
      </c>
      <c r="BR515" s="2" t="e">
        <f ca="1">_xll.BDH($C$503,"ACCOUNTS_PAYABLE_SEQ_GROWTH","FQ2 2016","FQ2 2016","Currency=INR","Period=FQ","BEST_FPERIOD_OVERRIDE=FQ","FILING_STATUS=OR","EQY_CONSOLIDATED=Y","Sort=A","Dates=H","DateFormat=P","Fill=—","Direction=H","UseDPDF=Y")</f>
        <v>#NAME?</v>
      </c>
      <c r="BS515" s="2" t="e">
        <f ca="1">_xll.BDH($C$503,"ST_DEBT_SEQUENTIAL_GROWTH","FQ2 2016","FQ2 2016","Currency=INR","Period=FQ","BEST_FPERIOD_OVERRIDE=FQ","FILING_STATUS=OR","EQY_CONSOLIDATED=Y","Sort=A","Dates=H","DateFormat=P","Fill=—","Direction=H","UseDPDF=Y")</f>
        <v>#NAME?</v>
      </c>
      <c r="BT515" s="2" t="e">
        <f ca="1">_xll.BDH($C$503,"TOTAL_DEBT_SEQUENTIAL_GROWTH","FQ2 2016","FQ2 2016","Currency=INR","Period=FQ","BEST_FPERIOD_OVERRIDE=FQ","FILING_STATUS=OR","EQY_CONSOLIDATED=Y","Sort=A","Dates=H","DateFormat=P","Fill=—","Direction=H","UseDPDF=Y")</f>
        <v>#NAME?</v>
      </c>
      <c r="BU515" s="2" t="e">
        <f ca="1">_xll.BDH($C$503,"TOTAL_EQUITY_SEQUENTIAL_GROWTH","FQ2 2016","FQ2 2016","Currency=INR","Period=FQ","BEST_FPERIOD_OVERRIDE=FQ","FILING_STATUS=OR","EQY_CONSOLIDATED=Y","Sort=A","Dates=H","DateFormat=P","Fill=—","Direction=H","UseDPDF=Y")</f>
        <v>#NAME?</v>
      </c>
      <c r="BV515" s="2" t="e">
        <f ca="1">_xll.BDH($C$503,"TOTAL_CAPITAL_SEQUENTIAL_GROWTH","FQ2 2016","FQ2 2016","Currency=INR","Period=FQ","BEST_FPERIOD_OVERRIDE=FQ","FILING_STATUS=OR","EQY_CONSOLIDATED=Y","Sort=A","Dates=H","DateFormat=P","Fill=—","Direction=H","UseDPDF=Y")</f>
        <v>#NAME?</v>
      </c>
      <c r="BW515" s="2" t="e">
        <f ca="1">_xll.BDH($C$503,"BPS_SEQUENTIAL_GROWTH","FQ2 2016","FQ2 2016","Currency=INR","Period=FQ","BEST_FPERIOD_OVERRIDE=FQ","FILING_STATUS=OR","EQY_CONSOLIDATED=Y","Sort=A","Dates=H","DateFormat=P","Fill=—","Direction=H","UseDPDF=Y")</f>
        <v>#NAME?</v>
      </c>
      <c r="BX515" s="2" t="e">
        <f ca="1">_xll.BDH($C$503,"CFO_SEQUENTIAL_GROWTH","FQ2 2016","FQ2 2016","Currency=INR","Period=FQ","BEST_FPERIOD_OVERRIDE=FQ","FILING_STATUS=OR","EQY_CONSOLIDATED=Y","Sort=A","Dates=H","DateFormat=P","Fill=—","Direction=H","UseDPDF=Y")</f>
        <v>#NAME?</v>
      </c>
      <c r="BY515" s="3" t="e">
        <f ca="1">_xll.BDH($C$503,"SHORT_AND_LONG_TERM_DEBT","FQ2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15" s="3" t="e">
        <f ca="1">_xll.BDH($C$503,"BS_ST_BORROW","FQ2 2016","FQ2 2016","Currency=INR","Period=FQ","BEST_FPERIOD_OVERRIDE=FQ","FILING_STATUS=OR","EQY_CONSOLIDATED=Y","SCALING_FORMAT=MLN","Sort=A","Dates=H","DateFormat=P","Fill=—","Direction=H","UseDPDF=Y")</f>
        <v>#NAME?</v>
      </c>
      <c r="CA515" s="3" t="e">
        <f ca="1">_xll.BDH($C$503,"BS_LT_BORROW","FQ2 2016","FQ2 2016","Currency=INR","Period=FQ","BEST_FPERIOD_OVERRIDE=FQ","FILING_STATUS=OR","EQY_CONSOLIDATED=Y","SCALING_FORMAT=MLN","Sort=A","Dates=H","DateFormat=P","Fill=—","Direction=H","UseDPDF=Y")</f>
        <v>#NAME?</v>
      </c>
      <c r="CB515" s="2" t="e">
        <f ca="1">_xll.BDH($C$503,"TOT_DEBT_TO_EBITDA","FQ2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15" s="2" t="e">
        <f ca="1">_xll.BDH($C$503,"NET_DEBT_TO_EBITDA","FQ2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15" s="2" t="e">
        <f ca="1">_xll.BDH($C$503,"TOTAL_DEBT_TO_EBIT","FQ2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15" s="2" t="e">
        <f ca="1">_xll.BDH($C$503,"NET_DEBT_TO_EBIT","FQ2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15" s="2" t="e">
        <f ca="1">_xll.BDH($C$503,"EBITDA_TO_INTEREST_EXPN","FQ2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15" s="2" t="e">
        <f ca="1">_xll.BDH($C$503,"COM_EQY_TO_TOT_ASSET","FQ2 2016","FQ2 2016","Currency=INR","Period=FQ","BEST_FPERIOD_OVERRIDE=FQ","FILING_STATUS=OR","EQY_CONSOLIDATED=Y","Sort=A","Dates=H","DateFormat=P","Fill=—","Direction=H","UseDPDF=Y")</f>
        <v>#NAME?</v>
      </c>
      <c r="CH515" s="2" t="e">
        <f ca="1">_xll.BDH($C$503,"LT_DEBT_TO_TOT_EQY","FQ2 2016","FQ2 2016","Currency=INR","Period=FQ","BEST_FPERIOD_OVERRIDE=FQ","FILING_STATUS=OR","EQY_CONSOLIDATED=Y","Sort=A","Dates=H","DateFormat=P","Fill=—","Direction=H","UseDPDF=Y")</f>
        <v>#NAME?</v>
      </c>
      <c r="CI515" s="2" t="e">
        <f ca="1">_xll.BDH($C$503,"LT_DEBT_TO_TOT_CAP","FQ2 2016","FQ2 2016","Currency=INR","Period=FQ","BEST_FPERIOD_OVERRIDE=FQ","FILING_STATUS=OR","EQY_CONSOLIDATED=Y","Sort=A","Dates=H","DateFormat=P","Fill=—","Direction=H","UseDPDF=Y")</f>
        <v>#NAME?</v>
      </c>
      <c r="CJ515" s="2" t="e">
        <f ca="1">_xll.BDH($C$503,"LT_DEBT_TO_TOT_ASSET","FQ2 2016","FQ2 2016","Currency=INR","Period=FQ","BEST_FPERIOD_OVERRIDE=FQ","FILING_STATUS=OR","EQY_CONSOLIDATED=Y","Sort=A","Dates=H","DateFormat=P","Fill=—","Direction=H","UseDPDF=Y")</f>
        <v>#NAME?</v>
      </c>
      <c r="CK515" s="2" t="e">
        <f ca="1">_xll.BDH($C$503,"TOT_DEBT_TO_TOT_EQY","FQ2 2016","FQ2 2016","Currency=INR","Period=FQ","BEST_FPERIOD_OVERRIDE=FQ","FILING_STATUS=OR","EQY_CONSOLIDATED=Y","Sort=A","Dates=H","DateFormat=P","Fill=—","Direction=H","UseDPDF=Y")</f>
        <v>#NAME?</v>
      </c>
      <c r="CL515" s="2" t="e">
        <f ca="1">_xll.BDH($C$503,"TOT_DEBT_TO_TOT_CAP","FQ2 2016","FQ2 2016","Currency=INR","Period=FQ","BEST_FPERIOD_OVERRIDE=FQ","FILING_STATUS=OR","EQY_CONSOLIDATED=Y","Sort=A","Dates=H","DateFormat=P","Fill=—","Direction=H","UseDPDF=Y")</f>
        <v>#NAME?</v>
      </c>
      <c r="CM515" s="2" t="e">
        <f ca="1">_xll.BDH($C$503,"TOT_DEBT_TO_TOT_ASSET","FQ2 2016","FQ2 2016","Currency=INR","Period=FQ","BEST_FPERIOD_OVERRIDE=FQ","FILING_STATUS=OR","EQY_CONSOLIDATED=Y","Sort=A","Dates=H","DateFormat=P","Fill=—","Direction=H","UseDPDF=Y")</f>
        <v>#NAME?</v>
      </c>
      <c r="CN515" s="2" t="e">
        <f ca="1">_xll.BDH($C$503,"NET_DEBT_TO_SHRHLDR_EQTY","FQ2 2016","FQ2 2016","Currency=INR","Period=FQ","BEST_FPERIOD_OVERRIDE=FQ","FILING_STATUS=OR","EQY_CONSOLIDATED=Y","Sort=A","Dates=H","DateFormat=P","Fill=—","Direction=H","UseDPDF=Y")</f>
        <v>#NAME?</v>
      </c>
      <c r="CO515" s="2" t="e">
        <f ca="1">_xll.BDH($C$503,"NET_DEBT_%_CAPITAL","FQ2 2016","FQ2 2016","Currency=INR","Period=FQ","BEST_FPERIOD_OVERRIDE=FQ","FILING_STATUS=OR","EQY_CONSOLIDATED=Y","Sort=A","Dates=H","DateFormat=P","Fill=—","Direction=H","UseDPDF=Y")</f>
        <v>#NAME?</v>
      </c>
      <c r="CP515" s="3" t="e">
        <f ca="1">_xll.BDH($C$503,"EBITDA","FQ2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15" s="3" t="e">
        <f ca="1">_xll.BDH($C$503,"EBITDA_AFTER_CAPEX","FQ2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15" s="3" t="e">
        <f ca="1">_xll.BDH($C$503,"IS_OPER_INC","FQ2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15" s="2" t="e">
        <f ca="1">_xll.BDH($C$503,"CASH_RATIO","FQ2 2016","FQ2 2016","Currency=INR","Period=FQ","BEST_FPERIOD_OVERRIDE=FQ","FILING_STATUS=OR","EQY_CONSOLIDATED=Y","Sort=A","Dates=H","DateFormat=P","Fill=—","Direction=H","UseDPDF=Y")</f>
        <v>#NAME?</v>
      </c>
      <c r="CT515" s="2" t="e">
        <f ca="1">_xll.BDH($C$503,"CUR_RATIO","FQ2 2016","FQ2 2016","Currency=INR","Period=FQ","BEST_FPERIOD_OVERRIDE=FQ","FILING_STATUS=OR","EQY_CONSOLIDATED=Y","Sort=A","Dates=H","DateFormat=P","Fill=—","Direction=H","UseDPDF=Y")</f>
        <v>#NAME?</v>
      </c>
      <c r="CU515" s="2" t="e">
        <f ca="1">_xll.BDH($C$503,"QUICK_RATIO","FQ2 2016","FQ2 2016","Currency=INR","Period=FQ","BEST_FPERIOD_OVERRIDE=FQ","FILING_STATUS=OR","EQY_CONSOLIDATED=Y","Sort=A","Dates=H","DateFormat=P","Fill=—","Direction=H","UseDPDF=Y")</f>
        <v>#NAME?</v>
      </c>
      <c r="CV515" s="2" t="e">
        <f ca="1">_xll.BDH($C$503,"ALTMAN_Z_SCORE","FQ2 2016","FQ2 2016","Currency=INR","Period=FQ","BEST_FPERIOD_OVERRIDE=FQ","FILING_STATUS=OR","EQY_CONSOLIDATED=Y","Sort=A","Dates=H","DateFormat=P","Fill=—","Direction=H","UseDPDF=Y")</f>
        <v>#NAME?</v>
      </c>
      <c r="CW515" s="4" t="e">
        <f ca="1">_xll.BDH($C$503,"ACCT_RCV_TURN","FQ2 2016","FQ2 2016","Currency=INR","Period=FQ","BEST_FPERIOD_OVERRIDE=FQ","FILING_STATUS=OR","EQY_CONSOLIDATED=Y","FA_ADJUSTED=GAAP","Sort=A","Dates=H","DateFormat=P","Fill=—","Direction=H","UseDPDF=Y")</f>
        <v>#NAME?</v>
      </c>
      <c r="CX515" s="2" t="e">
        <f ca="1">_xll.BDH($C$503,"ACCT_RCV_DAYS","FQ2 2016","FQ2 2016","Currency=INR","Period=FQ","BEST_FPERIOD_OVERRIDE=FQ","FILING_STATUS=OR","EQY_CONSOLIDATED=Y","FA_ADJUSTED=GAAP","Sort=A","Dates=H","DateFormat=P","Fill=—","Direction=H","UseDPDF=Y")</f>
        <v>#NAME?</v>
      </c>
      <c r="CY515" s="4" t="e">
        <f ca="1">_xll.BDH($C$503,"INVENT_TURN","FQ2 2016","FQ2 2016","Currency=INR","Period=FQ","BEST_FPERIOD_OVERRIDE=FQ","FILING_STATUS=OR","EQY_CONSOLIDATED=Y","FA_ADJUSTED=GAAP","Sort=A","Dates=H","DateFormat=P","Fill=—","Direction=H","UseDPDF=Y")</f>
        <v>#NAME?</v>
      </c>
      <c r="CZ515" s="2" t="e">
        <f ca="1">_xll.BDH($C$503,"INVENT_DAYS","FQ2 2016","FQ2 2016","Currency=INR","Period=FQ","BEST_FPERIOD_OVERRIDE=FQ","FILING_STATUS=OR","EQY_CONSOLIDATED=Y","FA_ADJUSTED=GAAP","Sort=A","Dates=H","DateFormat=P","Fill=—","Direction=H","UseDPDF=Y")</f>
        <v>#NAME?</v>
      </c>
      <c r="DA515" s="4" t="e">
        <f ca="1">_xll.BDH($C$503,"ACCOUNTS_PAYABLE_TURNOVER","FQ2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15" s="2" t="e">
        <f ca="1">_xll.BDH($C$503,"ACCOUNTS_PAYABLE_TURNOVER_DAYS","FQ2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15" s="4" t="e">
        <f ca="1">_xll.BDH($C$503,"CASH_CONVERSION_CYCLE","FQ2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15" s="4" t="e">
        <f ca="1">_xll.BDH($C$503,"INV_TO_CASH_DAYS","FQ2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15" s="5" t="e">
        <f ca="1">_xll.BDH($C$503,"BS_INVENTORIES","FQ2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15" s="3" t="e">
        <f ca="1">_xll.BDH($C$503,"INVTRY_RAW_MATERIALS","FQ2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15" s="3" t="e">
        <f ca="1">_xll.BDH($C$503,"INVTRY_IN_PROGRESS","FQ2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15" s="3" t="e">
        <f ca="1">_xll.BDH($C$503,"INVTRY_FINISHED_GOODS","FQ2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15" s="3" t="e">
        <f ca="1">_xll.BDH($C$503,"BS_OTHER_INV","FQ2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16" spans="1:113" x14ac:dyDescent="0.3">
      <c r="A516" s="6"/>
      <c r="B516" s="6"/>
      <c r="C516" s="6"/>
      <c r="D516" s="6"/>
      <c r="E516" t="s">
        <v>80</v>
      </c>
      <c r="F516" t="e">
        <f ca="1">_xll.BDH($C$503,"RETURN_COM_EQY","FQ3 2016","FQ3 2016","Currency=INR","Period=FQ","BEST_FPERIOD_OVERRIDE=FQ","FILING_STATUS=OR","EQY_CONSOLIDATED=Y","FA_ADJUSTED=GAAP","Sort=A","Dates=H","DateFormat=P","Fill=—","Direction=H","UseDPDF=Y")</f>
        <v>#NAME?</v>
      </c>
      <c r="G516" t="e">
        <f ca="1">_xll.BDH($C$503,"RETURN_ON_ASSET","FQ3 2016","FQ3 2016","Currency=INR","Period=FQ","BEST_FPERIOD_OVERRIDE=FQ","FILING_STATUS=OR","EQY_CONSOLIDATED=Y","FA_ADJUSTED=GAAP","Sort=A","Dates=H","DateFormat=P","Fill=—","Direction=H","UseDPDF=Y")</f>
        <v>#NAME?</v>
      </c>
      <c r="H516" t="e">
        <f ca="1">_xll.BDH($C$503,"RETURN_ON_CAP","FQ3 2016","FQ3 2016","Currency=INR","Period=FQ","BEST_FPERIOD_OVERRIDE=FQ","FILING_STATUS=OR","EQY_CONSOLIDATED=Y","FA_ADJUSTED=GAAP","Sort=A","Dates=H","DateFormat=P","Fill=—","Direction=H","UseDPDF=Y")</f>
        <v>#NAME?</v>
      </c>
      <c r="I516" t="e">
        <f ca="1">_xll.BDH($C$503,"RETURN_ON_INV_CAPITAL","FQ3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16" t="e">
        <f ca="1">_xll.BDH($C$503,"EBITDA_TO_REVENUE","FQ3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16" t="e">
        <f ca="1">_xll.BDH($C$503,"OPER_MARGIN","FQ3 2016","FQ3 2016","Currency=INR","Period=FQ","BEST_FPERIOD_OVERRIDE=FQ","FILING_STATUS=OR","EQY_CONSOLIDATED=Y","FA_ADJUSTED=GAAP","Sort=A","Dates=H","DateFormat=P","Fill=—","Direction=H","UseDPDF=Y")</f>
        <v>#NAME?</v>
      </c>
      <c r="L516" t="e">
        <f ca="1">_xll.BDH($C$503,"INCREMENTAL_OPERATING_MARGIN","FQ3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16" t="e">
        <f ca="1">_xll.BDH($C$503,"PRETAX_INC_TO_NET_SALES","FQ3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16" t="e">
        <f ca="1">_xll.BDH($C$503,"INC_BEF_XO_ITEMS_TO_NET_SALES","FQ3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16" t="e">
        <f ca="1">_xll.BDH($C$503,"PROF_MARGIN","FQ3 2016","FQ3 2016","Currency=INR","Period=FQ","BEST_FPERIOD_OVERRIDE=FQ","FILING_STATUS=OR","EQY_CONSOLIDATED=Y","FA_ADJUSTED=GAAP","Sort=A","Dates=H","DateFormat=P","Fill=—","Direction=H","UseDPDF=Y")</f>
        <v>#NAME?</v>
      </c>
      <c r="P516" t="e">
        <f ca="1">_xll.BDH($C$503,"NET_INCOME_TO_COMMON_MARGIN","FQ3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16" t="e">
        <f ca="1">_xll.BDH($C$503,"EFF_TAX_RATE","FQ3 2016","FQ3 2016","Currency=INR","Period=FQ","BEST_FPERIOD_OVERRIDE=FQ","FILING_STATUS=OR","EQY_CONSOLIDATED=Y","FA_ADJUSTED=GAAP","Sort=A","Dates=H","DateFormat=P","Fill=—","Direction=H","UseDPDF=Y")</f>
        <v>#NAME?</v>
      </c>
      <c r="R516" t="e">
        <f ca="1">_xll.BDH($C$503,"DVD_PAYOUT_RATIO","FQ3 2016","FQ3 2016","Currency=INR","Period=FQ","BEST_FPERIOD_OVERRIDE=FQ","FILING_STATUS=OR","EQY_CONSOLIDATED=Y","FA_ADJUSTED=GAAP","Sort=A","Dates=H","DateFormat=P","Fill=—","Direction=H","UseDPDF=Y")</f>
        <v>#NAME?</v>
      </c>
      <c r="S516" t="e">
        <f ca="1">_xll.BDH($C$503,"SUSTAIN_GROWTH_RT","FQ3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16" s="2" t="e">
        <f ca="1">_xll.BDH($C$503,"SALES_GROWTH","FQ3 2016","FQ3 2016","Currency=INR","Period=FQ","BEST_FPERIOD_OVERRIDE=FQ","FILING_STATUS=OR","EQY_CONSOLIDATED=Y","FA_ADJUSTED=GAAP","Sort=A","Dates=H","DateFormat=P","Fill=—","Direction=H","UseDPDF=Y")</f>
        <v>#NAME?</v>
      </c>
      <c r="U516" s="2" t="e">
        <f ca="1">_xll.BDH($C$503,"EBITDA_GROWTH","FQ3 2016","FQ3 2016","Currency=INR","Period=FQ","BEST_FPERIOD_OVERRIDE=FQ","FILING_STATUS=OR","EQY_CONSOLIDATED=Y","FA_ADJUSTED=GAAP","Sort=A","Dates=H","DateFormat=P","Fill=—","Direction=H","UseDPDF=Y")</f>
        <v>#NAME?</v>
      </c>
      <c r="V516" s="2" t="e">
        <f ca="1">_xll.BDH($C$503,"OPER_INC_GROWTH","FQ3 2016","FQ3 2016","Currency=INR","Period=FQ","BEST_FPERIOD_OVERRIDE=FQ","FILING_STATUS=OR","EQY_CONSOLIDATED=Y","FA_ADJUSTED=GAAP","Sort=A","Dates=H","DateFormat=P","Fill=—","Direction=H","UseDPDF=Y")</f>
        <v>#NAME?</v>
      </c>
      <c r="W516" s="2" t="e">
        <f ca="1">_xll.BDH($C$503,"EARN_FOR_COM_GROWTH","FQ3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16" s="2" t="e">
        <f ca="1">_xll.BDH($C$503,"DILUTED_EPS_AFT_XO_ITEMS_GROWTH","FQ3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16" s="2" t="e">
        <f ca="1">_xll.BDH($C$503,"DIVIDEND_PER_SHARE_1_YEAR_GROWTH","FQ3 2016","FQ3 2016","Currency=INR","Period=FQ","BEST_FPERIOD_OVERRIDE=FQ","FILING_STATUS=OR","EQY_CONSOLIDATED=Y","Sort=A","Dates=H","DateFormat=P","Fill=—","Direction=H","UseDPDF=Y")</f>
        <v>#NAME?</v>
      </c>
      <c r="Z516" s="2" t="e">
        <f ca="1">_xll.BDH($C$503,"ACCOUNTS_RECEIVABLE_GROWTH","FQ3 2016","FQ3 2016","Currency=INR","Period=FQ","BEST_FPERIOD_OVERRIDE=FQ","FILING_STATUS=OR","EQY_CONSOLIDATED=Y","Sort=A","Dates=H","DateFormat=P","Fill=—","Direction=H","UseDPDF=Y")</f>
        <v>#NAME?</v>
      </c>
      <c r="AA516" s="2" t="e">
        <f ca="1">_xll.BDH($C$503,"INVENTORY_GROWTH","FQ3 2016","FQ3 2016","Currency=INR","Period=FQ","BEST_FPERIOD_OVERRIDE=FQ","FILING_STATUS=OR","EQY_CONSOLIDATED=Y","Sort=A","Dates=H","DateFormat=P","Fill=—","Direction=H","UseDPDF=Y")</f>
        <v>#NAME?</v>
      </c>
      <c r="AB516" s="2" t="e">
        <f ca="1">_xll.BDH($C$503,"NET_FIXED_ASSETS_1_YEAR_GROWTH","FQ3 2016","FQ3 2016","Currency=INR","Period=FQ","BEST_FPERIOD_OVERRIDE=FQ","FILING_STATUS=OR","EQY_CONSOLIDATED=Y","Sort=A","Dates=H","DateFormat=P","Fill=—","Direction=H","UseDPDF=Y")</f>
        <v>#NAME?</v>
      </c>
      <c r="AC516" s="2" t="e">
        <f ca="1">_xll.BDH($C$503,"ASSET_GROWTH","FQ3 2016","FQ3 2016","Currency=INR","Period=FQ","BEST_FPERIOD_OVERRIDE=FQ","FILING_STATUS=OR","EQY_CONSOLIDATED=Y","Sort=A","Dates=H","DateFormat=P","Fill=—","Direction=H","UseDPDF=Y")</f>
        <v>#NAME?</v>
      </c>
      <c r="AD516" s="2" t="e">
        <f ca="1">_xll.BDH($C$503,"MODIFIED_WORK_CAP_GROWTH","FQ3 2016","FQ3 2016","Currency=INR","Period=FQ","BEST_FPERIOD_OVERRIDE=FQ","FILING_STATUS=OR","EQY_CONSOLIDATED=Y","Sort=A","Dates=H","DateFormat=P","Fill=—","Direction=H","UseDPDF=Y")</f>
        <v>#NAME?</v>
      </c>
      <c r="AE516" s="2" t="e">
        <f ca="1">_xll.BDH($C$503,"WORK_CAP_GROWTH","FQ3 2016","FQ3 2016","Currency=INR","Period=FQ","BEST_FPERIOD_OVERRIDE=FQ","FILING_STATUS=OR","EQY_CONSOLIDATED=Y","Sort=A","Dates=H","DateFormat=P","Fill=—","Direction=H","UseDPDF=Y")</f>
        <v>#NAME?</v>
      </c>
      <c r="AF516" s="2" t="e">
        <f ca="1">_xll.BDH($C$503,"ACCOUNTS_PAYABLE_GROWTH_1YR","FQ3 2016","FQ3 2016","Currency=INR","Period=FQ","BEST_FPERIOD_OVERRIDE=FQ","FILING_STATUS=OR","EQY_CONSOLIDATED=Y","Sort=A","Dates=H","DateFormat=P","Fill=—","Direction=H","UseDPDF=Y")</f>
        <v>#NAME?</v>
      </c>
      <c r="AG516" s="2" t="e">
        <f ca="1">_xll.BDH($C$503,"SHORT_TERM_DEBT_1_YEAR_GROWTH","FQ3 2016","FQ3 2016","Currency=INR","Period=FQ","BEST_FPERIOD_OVERRIDE=FQ","FILING_STATUS=OR","EQY_CONSOLIDATED=Y","Sort=A","Dates=H","DateFormat=P","Fill=—","Direction=H","UseDPDF=Y")</f>
        <v>#NAME?</v>
      </c>
      <c r="AH516" s="2" t="e">
        <f ca="1">_xll.BDH($C$503,"TOTAL_DEBT_1_YEAR_GROWTH","FQ3 2016","FQ3 2016","Currency=INR","Period=FQ","BEST_FPERIOD_OVERRIDE=FQ","FILING_STATUS=OR","EQY_CONSOLIDATED=Y","Sort=A","Dates=H","DateFormat=P","Fill=—","Direction=H","UseDPDF=Y")</f>
        <v>#NAME?</v>
      </c>
      <c r="AI516" s="2" t="e">
        <f ca="1">_xll.BDH($C$503,"TOTAL_EQUITY_1_YEAR_GROWTH","FQ3 2016","FQ3 2016","Currency=INR","Period=FQ","BEST_FPERIOD_OVERRIDE=FQ","FILING_STATUS=OR","EQY_CONSOLIDATED=Y","Sort=A","Dates=H","DateFormat=P","Fill=—","Direction=H","UseDPDF=Y")</f>
        <v>#NAME?</v>
      </c>
      <c r="AJ516" s="2" t="e">
        <f ca="1">_xll.BDH($C$503,"GROWTH_IN_CAP","FQ3 2016","FQ3 2016","Currency=INR","Period=FQ","BEST_FPERIOD_OVERRIDE=FQ","FILING_STATUS=OR","EQY_CONSOLIDATED=Y","Sort=A","Dates=H","DateFormat=P","Fill=—","Direction=H","UseDPDF=Y")</f>
        <v>#NAME?</v>
      </c>
      <c r="AK516" s="2" t="e">
        <f ca="1">_xll.BDH($C$503,"BVPS_GROWTH","FQ3 2016","FQ3 2016","Currency=INR","Period=FQ","BEST_FPERIOD_OVERRIDE=FQ","FILING_STATUS=OR","EQY_CONSOLIDATED=Y","Sort=A","Dates=H","DateFormat=P","Fill=—","Direction=H","UseDPDF=Y")</f>
        <v>#NAME?</v>
      </c>
      <c r="AL516" s="2" t="e">
        <f ca="1">_xll.BDH($C$503,"CASH_FLOW_GROWTH","FQ3 2016","FQ3 2016","Currency=INR","Period=FQ","BEST_FPERIOD_OVERRIDE=FQ","FILING_STATUS=OR","EQY_CONSOLIDATED=Y","Sort=A","Dates=H","DateFormat=P","Fill=—","Direction=H","UseDPDF=Y")</f>
        <v>#NAME?</v>
      </c>
      <c r="AM516" s="2" t="e">
        <f ca="1">_xll.BDH($C$503,"GEO_GROW_NET_SALES","FQ3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16" s="2" t="e">
        <f ca="1">_xll.BDH($C$503,"GEO_GROW_EBITDA","FQ3 2016","FQ3 2016","Currency=INR","Period=FQ","BEST_FPERIOD_OVERRIDE=FQ","FILING_STATUS=OR","EQY_CONSOLIDATED=Y","FA_ADJUSTED=GAAP","Sort=A","Dates=H","DateFormat=P","Fill=—","Direction=H","UseDPDF=Y")</f>
        <v>#NAME?</v>
      </c>
      <c r="AO516" s="2" t="e">
        <f ca="1">_xll.BDH($C$503,"GEO_GROW_OPER_INC","FQ3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16" s="2" t="e">
        <f ca="1">_xll.BDH($C$503,"NET_INCOME_TO_COMMON_5_YR_GROWTH","FQ3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16" s="2" t="e">
        <f ca="1">_xll.BDH($C$503,"5Y_GEO_GROWTH_DILUTED_EPS","FQ3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16" s="2" t="e">
        <f ca="1">_xll.BDH($C$503,"GEO_GROW_DVD_PER_SH","FQ3 2016","FQ3 2016","Currency=INR","Period=FQ","BEST_FPERIOD_OVERRIDE=FQ","FILING_STATUS=OR","EQY_CONSOLIDATED=Y","Sort=A","Dates=H","DateFormat=P","Fill=—","Direction=H","UseDPDF=Y")</f>
        <v>#NAME?</v>
      </c>
      <c r="AS516" s="2" t="e">
        <f ca="1">_xll.BDH($C$503,"ACCOUNTS_RECEIVABLE_5_YR_GROWTH","FQ3 2016","FQ3 2016","Currency=INR","Period=FQ","BEST_FPERIOD_OVERRIDE=FQ","FILING_STATUS=OR","EQY_CONSOLIDATED=Y","Sort=A","Dates=H","DateFormat=P","Fill=—","Direction=H","UseDPDF=Y")</f>
        <v>#NAME?</v>
      </c>
      <c r="AT516" s="2" t="e">
        <f ca="1">_xll.BDH($C$503,"INVENTORY_5_YEAR_GROWTH","FQ3 2016","FQ3 2016","Currency=INR","Period=FQ","BEST_FPERIOD_OVERRIDE=FQ","FILING_STATUS=OR","EQY_CONSOLIDATED=Y","Sort=A","Dates=H","DateFormat=P","Fill=—","Direction=H","UseDPDF=Y")</f>
        <v>#NAME?</v>
      </c>
      <c r="AU516" s="2" t="e">
        <f ca="1">_xll.BDH($C$503,"NET_FIXED_ASSETS_5_YEAR_GROWTH","FQ3 2016","FQ3 2016","Currency=INR","Period=FQ","BEST_FPERIOD_OVERRIDE=FQ","FILING_STATUS=OR","EQY_CONSOLIDATED=Y","Sort=A","Dates=H","DateFormat=P","Fill=—","Direction=H","UseDPDF=Y")</f>
        <v>#NAME?</v>
      </c>
      <c r="AV516" s="2" t="e">
        <f ca="1">_xll.BDH($C$503,"GEO_GROW_TOT_ASSET","FQ3 2016","FQ3 2016","Currency=INR","Period=FQ","BEST_FPERIOD_OVERRIDE=FQ","FILING_STATUS=OR","EQY_CONSOLIDATED=Y","Sort=A","Dates=H","DateFormat=P","Fill=—","Direction=H","UseDPDF=Y")</f>
        <v>#NAME?</v>
      </c>
      <c r="AW516" s="2" t="e">
        <f ca="1">_xll.BDH($C$503,"MODIFIED_WORKING_CPTL_5YR_GRWTH","FQ3 2016","FQ3 2016","Currency=INR","Period=FQ","BEST_FPERIOD_OVERRIDE=FQ","FILING_STATUS=OR","EQY_CONSOLIDATED=Y","Sort=A","Dates=H","DateFormat=P","Fill=—","Direction=H","UseDPDF=Y")</f>
        <v>#NAME?</v>
      </c>
      <c r="AX516" s="2" t="e">
        <f ca="1">_xll.BDH($C$503,"WORKING_CAPITAL_5_YEAR_GROWTH","FQ3 2016","FQ3 2016","Currency=INR","Period=FQ","BEST_FPERIOD_OVERRIDE=FQ","FILING_STATUS=OR","EQY_CONSOLIDATED=Y","Sort=A","Dates=H","DateFormat=P","Fill=—","Direction=H","UseDPDF=Y")</f>
        <v>#NAME?</v>
      </c>
      <c r="AY516" s="2" t="e">
        <f ca="1">_xll.BDH($C$503,"ACCOUNTS_PAYABLE_5_YEAR_GROWTH","FQ3 2016","FQ3 2016","Currency=INR","Period=FQ","BEST_FPERIOD_OVERRIDE=FQ","FILING_STATUS=OR","EQY_CONSOLIDATED=Y","Sort=A","Dates=H","DateFormat=P","Fill=—","Direction=H","UseDPDF=Y")</f>
        <v>#NAME?</v>
      </c>
      <c r="AZ516" s="2" t="e">
        <f ca="1">_xll.BDH($C$503,"SHORT_TERM_DEBT_5_YEAR_GROWTH","FQ3 2016","FQ3 2016","Currency=INR","Period=FQ","BEST_FPERIOD_OVERRIDE=FQ","FILING_STATUS=OR","EQY_CONSOLIDATED=Y","Sort=A","Dates=H","DateFormat=P","Fill=—","Direction=H","UseDPDF=Y")</f>
        <v>#NAME?</v>
      </c>
      <c r="BA516" s="2" t="e">
        <f ca="1">_xll.BDH($C$503,"TOTAL_DEBT_5_YEAR_GROWTH","FQ3 2016","FQ3 2016","Currency=INR","Period=FQ","BEST_FPERIOD_OVERRIDE=FQ","FILING_STATUS=OR","EQY_CONSOLIDATED=Y","Sort=A","Dates=H","DateFormat=P","Fill=—","Direction=H","UseDPDF=Y")</f>
        <v>#NAME?</v>
      </c>
      <c r="BB516" s="2" t="e">
        <f ca="1">_xll.BDH($C$503,"GEO_GROW_TOT_SHRHLDR_EQY","FQ3 2016","FQ3 2016","Currency=INR","Period=FQ","BEST_FPERIOD_OVERRIDE=FQ","FILING_STATUS=OR","EQY_CONSOLIDATED=Y","Sort=A","Dates=H","DateFormat=P","Fill=—","Direction=H","UseDPDF=Y")</f>
        <v>#NAME?</v>
      </c>
      <c r="BC516" s="2" t="e">
        <f ca="1">_xll.BDH($C$503,"TOTAL_CAPITAL_5_YEAR_GROWTH","FQ3 2016","FQ3 2016","Currency=INR","Period=FQ","BEST_FPERIOD_OVERRIDE=FQ","FILING_STATUS=OR","EQY_CONSOLIDATED=Y","Sort=A","Dates=H","DateFormat=P","Fill=—","Direction=H","UseDPDF=Y")</f>
        <v>#NAME?</v>
      </c>
      <c r="BD516" s="2" t="e">
        <f ca="1">_xll.BDH($C$503,"GEO_GROW_BOOK_VAL","FQ3 2016","FQ3 2016","Currency=INR","Period=FQ","BEST_FPERIOD_OVERRIDE=FQ","FILING_STATUS=OR","EQY_CONSOLIDATED=Y","Sort=A","Dates=H","DateFormat=P","Fill=—","Direction=H","UseDPDF=Y")</f>
        <v>#NAME?</v>
      </c>
      <c r="BE516" s="2" t="e">
        <f ca="1">_xll.BDH($C$503,"GEO_GROW_CASH_OPER_ACT","FQ3 2016","FQ3 2016","Currency=INR","Period=FQ","BEST_FPERIOD_OVERRIDE=FQ","FILING_STATUS=OR","EQY_CONSOLIDATED=Y","Sort=A","Dates=H","DateFormat=P","Fill=—","Direction=H","UseDPDF=Y")</f>
        <v>#NAME?</v>
      </c>
      <c r="BF516" s="2" t="e">
        <f ca="1">_xll.BDH($C$503,"REVENUE_SEQUENTIAL_GROWTH","FQ3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16" s="2" t="e">
        <f ca="1">_xll.BDH($C$503,"EBITDA_SEQUENTIAL_GROWTH","FQ3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16" s="2" t="e">
        <f ca="1">_xll.BDH($C$503,"OPERATING_INCOME_SEQ_GROWTH","FQ3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16" s="2" t="e">
        <f ca="1">_xll.BDH($C$503,"NET_INCOME_TO_COMMON_SEQ_GROWTH","FQ3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16" s="2" t="e">
        <f ca="1">_xll.BDH($C$503,"EPS_DILUTED_SEQUENTIAL_GROWTH","FQ3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16" s="2" t="e">
        <f ca="1">_xll.BDH($C$503,"DPS_SEQUENTIAL_GROWTH","FQ3 2016","FQ3 2016","Currency=INR","Period=FQ","BEST_FPERIOD_OVERRIDE=FQ","FILING_STATUS=OR","EQY_CONSOLIDATED=Y","Sort=A","Dates=H","DateFormat=P","Fill=—","Direction=H","UseDPDF=Y")</f>
        <v>#NAME?</v>
      </c>
      <c r="BL516" s="2" t="e">
        <f ca="1">_xll.BDH($C$503,"ACCOUNTS_RECEIVABLE_SEQ_GROWTH","FQ3 2016","FQ3 2016","Currency=INR","Period=FQ","BEST_FPERIOD_OVERRIDE=FQ","FILING_STATUS=OR","EQY_CONSOLIDATED=Y","Sort=A","Dates=H","DateFormat=P","Fill=—","Direction=H","UseDPDF=Y")</f>
        <v>#NAME?</v>
      </c>
      <c r="BM516" s="2" t="e">
        <f ca="1">_xll.BDH($C$503,"INVENTORY_SEQUENTIAL_GROWTH","FQ3 2016","FQ3 2016","Currency=INR","Period=FQ","BEST_FPERIOD_OVERRIDE=FQ","FILING_STATUS=OR","EQY_CONSOLIDATED=Y","Sort=A","Dates=H","DateFormat=P","Fill=—","Direction=H","UseDPDF=Y")</f>
        <v>#NAME?</v>
      </c>
      <c r="BN516" s="2" t="e">
        <f ca="1">_xll.BDH($C$503,"FIXED_ASSETS_SEQUENTIAL_GROWTH","FQ3 2016","FQ3 2016","Currency=INR","Period=FQ","BEST_FPERIOD_OVERRIDE=FQ","FILING_STATUS=OR","EQY_CONSOLIDATED=Y","Sort=A","Dates=H","DateFormat=P","Fill=—","Direction=H","UseDPDF=Y")</f>
        <v>#NAME?</v>
      </c>
      <c r="BO516" s="2" t="e">
        <f ca="1">_xll.BDH($C$503,"TOTAL_ASSETS_SEQUENTIAL_GROWTH","FQ3 2016","FQ3 2016","Currency=INR","Period=FQ","BEST_FPERIOD_OVERRIDE=FQ","FILING_STATUS=OR","EQY_CONSOLIDATED=Y","Sort=A","Dates=H","DateFormat=P","Fill=—","Direction=H","UseDPDF=Y")</f>
        <v>#NAME?</v>
      </c>
      <c r="BP516" s="2" t="e">
        <f ca="1">_xll.BDH($C$503,"MODIFIED_WORKING_CPTL_SEQ_GRWTH","FQ3 2016","FQ3 2016","Currency=INR","Period=FQ","BEST_FPERIOD_OVERRIDE=FQ","FILING_STATUS=OR","EQY_CONSOLIDATED=Y","Sort=A","Dates=H","DateFormat=P","Fill=—","Direction=H","UseDPDF=Y")</f>
        <v>#NAME?</v>
      </c>
      <c r="BQ516" s="2" t="e">
        <f ca="1">_xll.BDH($C$503,"WORKING_CAPITAL_SEQ_GROWTH","FQ3 2016","FQ3 2016","Currency=INR","Period=FQ","BEST_FPERIOD_OVERRIDE=FQ","FILING_STATUS=OR","EQY_CONSOLIDATED=Y","Sort=A","Dates=H","DateFormat=P","Fill=—","Direction=H","UseDPDF=Y")</f>
        <v>#NAME?</v>
      </c>
      <c r="BR516" s="2" t="e">
        <f ca="1">_xll.BDH($C$503,"ACCOUNTS_PAYABLE_SEQ_GROWTH","FQ3 2016","FQ3 2016","Currency=INR","Period=FQ","BEST_FPERIOD_OVERRIDE=FQ","FILING_STATUS=OR","EQY_CONSOLIDATED=Y","Sort=A","Dates=H","DateFormat=P","Fill=—","Direction=H","UseDPDF=Y")</f>
        <v>#NAME?</v>
      </c>
      <c r="BS516" s="2" t="e">
        <f ca="1">_xll.BDH($C$503,"ST_DEBT_SEQUENTIAL_GROWTH","FQ3 2016","FQ3 2016","Currency=INR","Period=FQ","BEST_FPERIOD_OVERRIDE=FQ","FILING_STATUS=OR","EQY_CONSOLIDATED=Y","Sort=A","Dates=H","DateFormat=P","Fill=—","Direction=H","UseDPDF=Y")</f>
        <v>#NAME?</v>
      </c>
      <c r="BT516" s="2" t="e">
        <f ca="1">_xll.BDH($C$503,"TOTAL_DEBT_SEQUENTIAL_GROWTH","FQ3 2016","FQ3 2016","Currency=INR","Period=FQ","BEST_FPERIOD_OVERRIDE=FQ","FILING_STATUS=OR","EQY_CONSOLIDATED=Y","Sort=A","Dates=H","DateFormat=P","Fill=—","Direction=H","UseDPDF=Y")</f>
        <v>#NAME?</v>
      </c>
      <c r="BU516" s="2" t="e">
        <f ca="1">_xll.BDH($C$503,"TOTAL_EQUITY_SEQUENTIAL_GROWTH","FQ3 2016","FQ3 2016","Currency=INR","Period=FQ","BEST_FPERIOD_OVERRIDE=FQ","FILING_STATUS=OR","EQY_CONSOLIDATED=Y","Sort=A","Dates=H","DateFormat=P","Fill=—","Direction=H","UseDPDF=Y")</f>
        <v>#NAME?</v>
      </c>
      <c r="BV516" s="2" t="e">
        <f ca="1">_xll.BDH($C$503,"TOTAL_CAPITAL_SEQUENTIAL_GROWTH","FQ3 2016","FQ3 2016","Currency=INR","Period=FQ","BEST_FPERIOD_OVERRIDE=FQ","FILING_STATUS=OR","EQY_CONSOLIDATED=Y","Sort=A","Dates=H","DateFormat=P","Fill=—","Direction=H","UseDPDF=Y")</f>
        <v>#NAME?</v>
      </c>
      <c r="BW516" s="2" t="e">
        <f ca="1">_xll.BDH($C$503,"BPS_SEQUENTIAL_GROWTH","FQ3 2016","FQ3 2016","Currency=INR","Period=FQ","BEST_FPERIOD_OVERRIDE=FQ","FILING_STATUS=OR","EQY_CONSOLIDATED=Y","Sort=A","Dates=H","DateFormat=P","Fill=—","Direction=H","UseDPDF=Y")</f>
        <v>#NAME?</v>
      </c>
      <c r="BX516" s="2" t="e">
        <f ca="1">_xll.BDH($C$503,"CFO_SEQUENTIAL_GROWTH","FQ3 2016","FQ3 2016","Currency=INR","Period=FQ","BEST_FPERIOD_OVERRIDE=FQ","FILING_STATUS=OR","EQY_CONSOLIDATED=Y","Sort=A","Dates=H","DateFormat=P","Fill=—","Direction=H","UseDPDF=Y")</f>
        <v>#NAME?</v>
      </c>
      <c r="BY516" s="3" t="e">
        <f ca="1">_xll.BDH($C$503,"SHORT_AND_LONG_TERM_DEBT","FQ3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16" s="3" t="e">
        <f ca="1">_xll.BDH($C$503,"BS_ST_BORROW","FQ3 2016","FQ3 2016","Currency=INR","Period=FQ","BEST_FPERIOD_OVERRIDE=FQ","FILING_STATUS=OR","EQY_CONSOLIDATED=Y","SCALING_FORMAT=MLN","Sort=A","Dates=H","DateFormat=P","Fill=—","Direction=H","UseDPDF=Y")</f>
        <v>#NAME?</v>
      </c>
      <c r="CA516" s="3" t="e">
        <f ca="1">_xll.BDH($C$503,"BS_LT_BORROW","FQ3 2016","FQ3 2016","Currency=INR","Period=FQ","BEST_FPERIOD_OVERRIDE=FQ","FILING_STATUS=OR","EQY_CONSOLIDATED=Y","SCALING_FORMAT=MLN","Sort=A","Dates=H","DateFormat=P","Fill=—","Direction=H","UseDPDF=Y")</f>
        <v>#NAME?</v>
      </c>
      <c r="CB516" s="2" t="e">
        <f ca="1">_xll.BDH($C$503,"TOT_DEBT_TO_EBITDA","FQ3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16" s="2" t="e">
        <f ca="1">_xll.BDH($C$503,"NET_DEBT_TO_EBITDA","FQ3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16" s="2" t="e">
        <f ca="1">_xll.BDH($C$503,"TOTAL_DEBT_TO_EBIT","FQ3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16" s="2" t="e">
        <f ca="1">_xll.BDH($C$503,"NET_DEBT_TO_EBIT","FQ3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16" s="2" t="e">
        <f ca="1">_xll.BDH($C$503,"EBITDA_TO_INTEREST_EXPN","FQ3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16" s="2" t="e">
        <f ca="1">_xll.BDH($C$503,"COM_EQY_TO_TOT_ASSET","FQ3 2016","FQ3 2016","Currency=INR","Period=FQ","BEST_FPERIOD_OVERRIDE=FQ","FILING_STATUS=OR","EQY_CONSOLIDATED=Y","Sort=A","Dates=H","DateFormat=P","Fill=—","Direction=H","UseDPDF=Y")</f>
        <v>#NAME?</v>
      </c>
      <c r="CH516" s="2" t="e">
        <f ca="1">_xll.BDH($C$503,"LT_DEBT_TO_TOT_EQY","FQ3 2016","FQ3 2016","Currency=INR","Period=FQ","BEST_FPERIOD_OVERRIDE=FQ","FILING_STATUS=OR","EQY_CONSOLIDATED=Y","Sort=A","Dates=H","DateFormat=P","Fill=—","Direction=H","UseDPDF=Y")</f>
        <v>#NAME?</v>
      </c>
      <c r="CI516" s="2" t="e">
        <f ca="1">_xll.BDH($C$503,"LT_DEBT_TO_TOT_CAP","FQ3 2016","FQ3 2016","Currency=INR","Period=FQ","BEST_FPERIOD_OVERRIDE=FQ","FILING_STATUS=OR","EQY_CONSOLIDATED=Y","Sort=A","Dates=H","DateFormat=P","Fill=—","Direction=H","UseDPDF=Y")</f>
        <v>#NAME?</v>
      </c>
      <c r="CJ516" s="2" t="e">
        <f ca="1">_xll.BDH($C$503,"LT_DEBT_TO_TOT_ASSET","FQ3 2016","FQ3 2016","Currency=INR","Period=FQ","BEST_FPERIOD_OVERRIDE=FQ","FILING_STATUS=OR","EQY_CONSOLIDATED=Y","Sort=A","Dates=H","DateFormat=P","Fill=—","Direction=H","UseDPDF=Y")</f>
        <v>#NAME?</v>
      </c>
      <c r="CK516" s="2" t="e">
        <f ca="1">_xll.BDH($C$503,"TOT_DEBT_TO_TOT_EQY","FQ3 2016","FQ3 2016","Currency=INR","Period=FQ","BEST_FPERIOD_OVERRIDE=FQ","FILING_STATUS=OR","EQY_CONSOLIDATED=Y","Sort=A","Dates=H","DateFormat=P","Fill=—","Direction=H","UseDPDF=Y")</f>
        <v>#NAME?</v>
      </c>
      <c r="CL516" s="2" t="e">
        <f ca="1">_xll.BDH($C$503,"TOT_DEBT_TO_TOT_CAP","FQ3 2016","FQ3 2016","Currency=INR","Period=FQ","BEST_FPERIOD_OVERRIDE=FQ","FILING_STATUS=OR","EQY_CONSOLIDATED=Y","Sort=A","Dates=H","DateFormat=P","Fill=—","Direction=H","UseDPDF=Y")</f>
        <v>#NAME?</v>
      </c>
      <c r="CM516" s="2" t="e">
        <f ca="1">_xll.BDH($C$503,"TOT_DEBT_TO_TOT_ASSET","FQ3 2016","FQ3 2016","Currency=INR","Period=FQ","BEST_FPERIOD_OVERRIDE=FQ","FILING_STATUS=OR","EQY_CONSOLIDATED=Y","Sort=A","Dates=H","DateFormat=P","Fill=—","Direction=H","UseDPDF=Y")</f>
        <v>#NAME?</v>
      </c>
      <c r="CN516" s="2" t="e">
        <f ca="1">_xll.BDH($C$503,"NET_DEBT_TO_SHRHLDR_EQTY","FQ3 2016","FQ3 2016","Currency=INR","Period=FQ","BEST_FPERIOD_OVERRIDE=FQ","FILING_STATUS=OR","EQY_CONSOLIDATED=Y","Sort=A","Dates=H","DateFormat=P","Fill=—","Direction=H","UseDPDF=Y")</f>
        <v>#NAME?</v>
      </c>
      <c r="CO516" s="2" t="e">
        <f ca="1">_xll.BDH($C$503,"NET_DEBT_%_CAPITAL","FQ3 2016","FQ3 2016","Currency=INR","Period=FQ","BEST_FPERIOD_OVERRIDE=FQ","FILING_STATUS=OR","EQY_CONSOLIDATED=Y","Sort=A","Dates=H","DateFormat=P","Fill=—","Direction=H","UseDPDF=Y")</f>
        <v>#NAME?</v>
      </c>
      <c r="CP516" s="3" t="e">
        <f ca="1">_xll.BDH($C$503,"EBITDA","FQ3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16" s="3" t="e">
        <f ca="1">_xll.BDH($C$503,"EBITDA_AFTER_CAPEX","FQ3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16" s="3" t="e">
        <f ca="1">_xll.BDH($C$503,"IS_OPER_INC","FQ3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16" s="2" t="e">
        <f ca="1">_xll.BDH($C$503,"CASH_RATIO","FQ3 2016","FQ3 2016","Currency=INR","Period=FQ","BEST_FPERIOD_OVERRIDE=FQ","FILING_STATUS=OR","EQY_CONSOLIDATED=Y","Sort=A","Dates=H","DateFormat=P","Fill=—","Direction=H","UseDPDF=Y")</f>
        <v>#NAME?</v>
      </c>
      <c r="CT516" s="2" t="e">
        <f ca="1">_xll.BDH($C$503,"CUR_RATIO","FQ3 2016","FQ3 2016","Currency=INR","Period=FQ","BEST_FPERIOD_OVERRIDE=FQ","FILING_STATUS=OR","EQY_CONSOLIDATED=Y","Sort=A","Dates=H","DateFormat=P","Fill=—","Direction=H","UseDPDF=Y")</f>
        <v>#NAME?</v>
      </c>
      <c r="CU516" s="2" t="e">
        <f ca="1">_xll.BDH($C$503,"QUICK_RATIO","FQ3 2016","FQ3 2016","Currency=INR","Period=FQ","BEST_FPERIOD_OVERRIDE=FQ","FILING_STATUS=OR","EQY_CONSOLIDATED=Y","Sort=A","Dates=H","DateFormat=P","Fill=—","Direction=H","UseDPDF=Y")</f>
        <v>#NAME?</v>
      </c>
      <c r="CV516" s="2" t="e">
        <f ca="1">_xll.BDH($C$503,"ALTMAN_Z_SCORE","FQ3 2016","FQ3 2016","Currency=INR","Period=FQ","BEST_FPERIOD_OVERRIDE=FQ","FILING_STATUS=OR","EQY_CONSOLIDATED=Y","Sort=A","Dates=H","DateFormat=P","Fill=—","Direction=H","UseDPDF=Y")</f>
        <v>#NAME?</v>
      </c>
      <c r="CW516" s="4" t="e">
        <f ca="1">_xll.BDH($C$503,"ACCT_RCV_TURN","FQ3 2016","FQ3 2016","Currency=INR","Period=FQ","BEST_FPERIOD_OVERRIDE=FQ","FILING_STATUS=OR","EQY_CONSOLIDATED=Y","FA_ADJUSTED=GAAP","Sort=A","Dates=H","DateFormat=P","Fill=—","Direction=H","UseDPDF=Y")</f>
        <v>#NAME?</v>
      </c>
      <c r="CX516" s="2" t="e">
        <f ca="1">_xll.BDH($C$503,"ACCT_RCV_DAYS","FQ3 2016","FQ3 2016","Currency=INR","Period=FQ","BEST_FPERIOD_OVERRIDE=FQ","FILING_STATUS=OR","EQY_CONSOLIDATED=Y","FA_ADJUSTED=GAAP","Sort=A","Dates=H","DateFormat=P","Fill=—","Direction=H","UseDPDF=Y")</f>
        <v>#NAME?</v>
      </c>
      <c r="CY516" s="4" t="e">
        <f ca="1">_xll.BDH($C$503,"INVENT_TURN","FQ3 2016","FQ3 2016","Currency=INR","Period=FQ","BEST_FPERIOD_OVERRIDE=FQ","FILING_STATUS=OR","EQY_CONSOLIDATED=Y","FA_ADJUSTED=GAAP","Sort=A","Dates=H","DateFormat=P","Fill=—","Direction=H","UseDPDF=Y")</f>
        <v>#NAME?</v>
      </c>
      <c r="CZ516" s="2" t="e">
        <f ca="1">_xll.BDH($C$503,"INVENT_DAYS","FQ3 2016","FQ3 2016","Currency=INR","Period=FQ","BEST_FPERIOD_OVERRIDE=FQ","FILING_STATUS=OR","EQY_CONSOLIDATED=Y","FA_ADJUSTED=GAAP","Sort=A","Dates=H","DateFormat=P","Fill=—","Direction=H","UseDPDF=Y")</f>
        <v>#NAME?</v>
      </c>
      <c r="DA516" s="4" t="e">
        <f ca="1">_xll.BDH($C$503,"ACCOUNTS_PAYABLE_TURNOVER","FQ3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16" s="2" t="e">
        <f ca="1">_xll.BDH($C$503,"ACCOUNTS_PAYABLE_TURNOVER_DAYS","FQ3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16" s="4" t="e">
        <f ca="1">_xll.BDH($C$503,"CASH_CONVERSION_CYCLE","FQ3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16" s="4" t="e">
        <f ca="1">_xll.BDH($C$503,"INV_TO_CASH_DAYS","FQ3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16" s="5" t="e">
        <f ca="1">_xll.BDH($C$503,"BS_INVENTORIES","FQ3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16" s="3" t="e">
        <f ca="1">_xll.BDH($C$503,"INVTRY_RAW_MATERIALS","FQ3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16" s="3" t="e">
        <f ca="1">_xll.BDH($C$503,"INVTRY_IN_PROGRESS","FQ3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16" s="3" t="e">
        <f ca="1">_xll.BDH($C$503,"INVTRY_FINISHED_GOODS","FQ3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16" s="3" t="e">
        <f ca="1">_xll.BDH($C$503,"BS_OTHER_INV","FQ3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17" spans="1:113" x14ac:dyDescent="0.3">
      <c r="A517" s="6"/>
      <c r="B517" s="6"/>
      <c r="C517" s="6"/>
      <c r="D517" s="6"/>
      <c r="E517" t="s">
        <v>81</v>
      </c>
      <c r="F517" t="e">
        <f ca="1">_xll.BDH($C$503,"RETURN_COM_EQY","FQ4 2016","FQ4 2016","Currency=INR","Period=FQ","BEST_FPERIOD_OVERRIDE=FQ","FILING_STATUS=OR","EQY_CONSOLIDATED=Y","FA_ADJUSTED=GAAP","Sort=A","Dates=H","DateFormat=P","Fill=—","Direction=H","UseDPDF=Y")</f>
        <v>#NAME?</v>
      </c>
      <c r="G517" t="e">
        <f ca="1">_xll.BDH($C$503,"RETURN_ON_ASSET","FQ4 2016","FQ4 2016","Currency=INR","Period=FQ","BEST_FPERIOD_OVERRIDE=FQ","FILING_STATUS=OR","EQY_CONSOLIDATED=Y","FA_ADJUSTED=GAAP","Sort=A","Dates=H","DateFormat=P","Fill=—","Direction=H","UseDPDF=Y")</f>
        <v>#NAME?</v>
      </c>
      <c r="H517" t="e">
        <f ca="1">_xll.BDH($C$503,"RETURN_ON_CAP","FQ4 2016","FQ4 2016","Currency=INR","Period=FQ","BEST_FPERIOD_OVERRIDE=FQ","FILING_STATUS=OR","EQY_CONSOLIDATED=Y","FA_ADJUSTED=GAAP","Sort=A","Dates=H","DateFormat=P","Fill=—","Direction=H","UseDPDF=Y")</f>
        <v>#NAME?</v>
      </c>
      <c r="I517" t="e">
        <f ca="1">_xll.BDH($C$503,"RETURN_ON_INV_CAPITAL","FQ4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17" t="e">
        <f ca="1">_xll.BDH($C$503,"EBITDA_TO_REVENUE","FQ4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17" t="e">
        <f ca="1">_xll.BDH($C$503,"OPER_MARGIN","FQ4 2016","FQ4 2016","Currency=INR","Period=FQ","BEST_FPERIOD_OVERRIDE=FQ","FILING_STATUS=OR","EQY_CONSOLIDATED=Y","FA_ADJUSTED=GAAP","Sort=A","Dates=H","DateFormat=P","Fill=—","Direction=H","UseDPDF=Y")</f>
        <v>#NAME?</v>
      </c>
      <c r="L517" t="e">
        <f ca="1">_xll.BDH($C$503,"INCREMENTAL_OPERATING_MARGIN","FQ4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17" t="e">
        <f ca="1">_xll.BDH($C$503,"PRETAX_INC_TO_NET_SALES","FQ4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17" t="e">
        <f ca="1">_xll.BDH($C$503,"INC_BEF_XO_ITEMS_TO_NET_SALES","FQ4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17" t="e">
        <f ca="1">_xll.BDH($C$503,"PROF_MARGIN","FQ4 2016","FQ4 2016","Currency=INR","Period=FQ","BEST_FPERIOD_OVERRIDE=FQ","FILING_STATUS=OR","EQY_CONSOLIDATED=Y","FA_ADJUSTED=GAAP","Sort=A","Dates=H","DateFormat=P","Fill=—","Direction=H","UseDPDF=Y")</f>
        <v>#NAME?</v>
      </c>
      <c r="P517" t="e">
        <f ca="1">_xll.BDH($C$503,"NET_INCOME_TO_COMMON_MARGIN","FQ4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17" t="e">
        <f ca="1">_xll.BDH($C$503,"EFF_TAX_RATE","FQ4 2016","FQ4 2016","Currency=INR","Period=FQ","BEST_FPERIOD_OVERRIDE=FQ","FILING_STATUS=OR","EQY_CONSOLIDATED=Y","FA_ADJUSTED=GAAP","Sort=A","Dates=H","DateFormat=P","Fill=—","Direction=H","UseDPDF=Y")</f>
        <v>#NAME?</v>
      </c>
      <c r="R517" t="e">
        <f ca="1">_xll.BDH($C$503,"DVD_PAYOUT_RATIO","FQ4 2016","FQ4 2016","Currency=INR","Period=FQ","BEST_FPERIOD_OVERRIDE=FQ","FILING_STATUS=OR","EQY_CONSOLIDATED=Y","FA_ADJUSTED=GAAP","Sort=A","Dates=H","DateFormat=P","Fill=—","Direction=H","UseDPDF=Y")</f>
        <v>#NAME?</v>
      </c>
      <c r="S517" t="e">
        <f ca="1">_xll.BDH($C$503,"SUSTAIN_GROWTH_RT","FQ4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17" s="2" t="e">
        <f ca="1">_xll.BDH($C$503,"SALES_GROWTH","FQ4 2016","FQ4 2016","Currency=INR","Period=FQ","BEST_FPERIOD_OVERRIDE=FQ","FILING_STATUS=OR","EQY_CONSOLIDATED=Y","FA_ADJUSTED=GAAP","Sort=A","Dates=H","DateFormat=P","Fill=—","Direction=H","UseDPDF=Y")</f>
        <v>#NAME?</v>
      </c>
      <c r="U517" s="2" t="e">
        <f ca="1">_xll.BDH($C$503,"EBITDA_GROWTH","FQ4 2016","FQ4 2016","Currency=INR","Period=FQ","BEST_FPERIOD_OVERRIDE=FQ","FILING_STATUS=OR","EQY_CONSOLIDATED=Y","FA_ADJUSTED=GAAP","Sort=A","Dates=H","DateFormat=P","Fill=—","Direction=H","UseDPDF=Y")</f>
        <v>#NAME?</v>
      </c>
      <c r="V517" s="2" t="e">
        <f ca="1">_xll.BDH($C$503,"OPER_INC_GROWTH","FQ4 2016","FQ4 2016","Currency=INR","Period=FQ","BEST_FPERIOD_OVERRIDE=FQ","FILING_STATUS=OR","EQY_CONSOLIDATED=Y","FA_ADJUSTED=GAAP","Sort=A","Dates=H","DateFormat=P","Fill=—","Direction=H","UseDPDF=Y")</f>
        <v>#NAME?</v>
      </c>
      <c r="W517" s="2" t="e">
        <f ca="1">_xll.BDH($C$503,"EARN_FOR_COM_GROWTH","FQ4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17" s="2" t="e">
        <f ca="1">_xll.BDH($C$503,"DILUTED_EPS_AFT_XO_ITEMS_GROWTH","FQ4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17" s="2" t="e">
        <f ca="1">_xll.BDH($C$503,"DIVIDEND_PER_SHARE_1_YEAR_GROWTH","FQ4 2016","FQ4 2016","Currency=INR","Period=FQ","BEST_FPERIOD_OVERRIDE=FQ","FILING_STATUS=OR","EQY_CONSOLIDATED=Y","Sort=A","Dates=H","DateFormat=P","Fill=—","Direction=H","UseDPDF=Y")</f>
        <v>#NAME?</v>
      </c>
      <c r="Z517" s="2" t="e">
        <f ca="1">_xll.BDH($C$503,"ACCOUNTS_RECEIVABLE_GROWTH","FQ4 2016","FQ4 2016","Currency=INR","Period=FQ","BEST_FPERIOD_OVERRIDE=FQ","FILING_STATUS=OR","EQY_CONSOLIDATED=Y","Sort=A","Dates=H","DateFormat=P","Fill=—","Direction=H","UseDPDF=Y")</f>
        <v>#NAME?</v>
      </c>
      <c r="AA517" s="2" t="e">
        <f ca="1">_xll.BDH($C$503,"INVENTORY_GROWTH","FQ4 2016","FQ4 2016","Currency=INR","Period=FQ","BEST_FPERIOD_OVERRIDE=FQ","FILING_STATUS=OR","EQY_CONSOLIDATED=Y","Sort=A","Dates=H","DateFormat=P","Fill=—","Direction=H","UseDPDF=Y")</f>
        <v>#NAME?</v>
      </c>
      <c r="AB517" s="2" t="e">
        <f ca="1">_xll.BDH($C$503,"NET_FIXED_ASSETS_1_YEAR_GROWTH","FQ4 2016","FQ4 2016","Currency=INR","Period=FQ","BEST_FPERIOD_OVERRIDE=FQ","FILING_STATUS=OR","EQY_CONSOLIDATED=Y","Sort=A","Dates=H","DateFormat=P","Fill=—","Direction=H","UseDPDF=Y")</f>
        <v>#NAME?</v>
      </c>
      <c r="AC517" s="2" t="e">
        <f ca="1">_xll.BDH($C$503,"ASSET_GROWTH","FQ4 2016","FQ4 2016","Currency=INR","Period=FQ","BEST_FPERIOD_OVERRIDE=FQ","FILING_STATUS=OR","EQY_CONSOLIDATED=Y","Sort=A","Dates=H","DateFormat=P","Fill=—","Direction=H","UseDPDF=Y")</f>
        <v>#NAME?</v>
      </c>
      <c r="AD517" s="2" t="e">
        <f ca="1">_xll.BDH($C$503,"MODIFIED_WORK_CAP_GROWTH","FQ4 2016","FQ4 2016","Currency=INR","Period=FQ","BEST_FPERIOD_OVERRIDE=FQ","FILING_STATUS=OR","EQY_CONSOLIDATED=Y","Sort=A","Dates=H","DateFormat=P","Fill=—","Direction=H","UseDPDF=Y")</f>
        <v>#NAME?</v>
      </c>
      <c r="AE517" s="2" t="e">
        <f ca="1">_xll.BDH($C$503,"WORK_CAP_GROWTH","FQ4 2016","FQ4 2016","Currency=INR","Period=FQ","BEST_FPERIOD_OVERRIDE=FQ","FILING_STATUS=OR","EQY_CONSOLIDATED=Y","Sort=A","Dates=H","DateFormat=P","Fill=—","Direction=H","UseDPDF=Y")</f>
        <v>#NAME?</v>
      </c>
      <c r="AF517" s="2" t="e">
        <f ca="1">_xll.BDH($C$503,"ACCOUNTS_PAYABLE_GROWTH_1YR","FQ4 2016","FQ4 2016","Currency=INR","Period=FQ","BEST_FPERIOD_OVERRIDE=FQ","FILING_STATUS=OR","EQY_CONSOLIDATED=Y","Sort=A","Dates=H","DateFormat=P","Fill=—","Direction=H","UseDPDF=Y")</f>
        <v>#NAME?</v>
      </c>
      <c r="AG517" s="2" t="e">
        <f ca="1">_xll.BDH($C$503,"SHORT_TERM_DEBT_1_YEAR_GROWTH","FQ4 2016","FQ4 2016","Currency=INR","Period=FQ","BEST_FPERIOD_OVERRIDE=FQ","FILING_STATUS=OR","EQY_CONSOLIDATED=Y","Sort=A","Dates=H","DateFormat=P","Fill=—","Direction=H","UseDPDF=Y")</f>
        <v>#NAME?</v>
      </c>
      <c r="AH517" s="2" t="e">
        <f ca="1">_xll.BDH($C$503,"TOTAL_DEBT_1_YEAR_GROWTH","FQ4 2016","FQ4 2016","Currency=INR","Period=FQ","BEST_FPERIOD_OVERRIDE=FQ","FILING_STATUS=OR","EQY_CONSOLIDATED=Y","Sort=A","Dates=H","DateFormat=P","Fill=—","Direction=H","UseDPDF=Y")</f>
        <v>#NAME?</v>
      </c>
      <c r="AI517" s="2" t="e">
        <f ca="1">_xll.BDH($C$503,"TOTAL_EQUITY_1_YEAR_GROWTH","FQ4 2016","FQ4 2016","Currency=INR","Period=FQ","BEST_FPERIOD_OVERRIDE=FQ","FILING_STATUS=OR","EQY_CONSOLIDATED=Y","Sort=A","Dates=H","DateFormat=P","Fill=—","Direction=H","UseDPDF=Y")</f>
        <v>#NAME?</v>
      </c>
      <c r="AJ517" s="2" t="e">
        <f ca="1">_xll.BDH($C$503,"GROWTH_IN_CAP","FQ4 2016","FQ4 2016","Currency=INR","Period=FQ","BEST_FPERIOD_OVERRIDE=FQ","FILING_STATUS=OR","EQY_CONSOLIDATED=Y","Sort=A","Dates=H","DateFormat=P","Fill=—","Direction=H","UseDPDF=Y")</f>
        <v>#NAME?</v>
      </c>
      <c r="AK517" s="2" t="e">
        <f ca="1">_xll.BDH($C$503,"BVPS_GROWTH","FQ4 2016","FQ4 2016","Currency=INR","Period=FQ","BEST_FPERIOD_OVERRIDE=FQ","FILING_STATUS=OR","EQY_CONSOLIDATED=Y","Sort=A","Dates=H","DateFormat=P","Fill=—","Direction=H","UseDPDF=Y")</f>
        <v>#NAME?</v>
      </c>
      <c r="AL517" s="2" t="e">
        <f ca="1">_xll.BDH($C$503,"CASH_FLOW_GROWTH","FQ4 2016","FQ4 2016","Currency=INR","Period=FQ","BEST_FPERIOD_OVERRIDE=FQ","FILING_STATUS=OR","EQY_CONSOLIDATED=Y","Sort=A","Dates=H","DateFormat=P","Fill=—","Direction=H","UseDPDF=Y")</f>
        <v>#NAME?</v>
      </c>
      <c r="AM517" s="2" t="e">
        <f ca="1">_xll.BDH($C$503,"GEO_GROW_NET_SALES","FQ4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17" s="2" t="e">
        <f ca="1">_xll.BDH($C$503,"GEO_GROW_EBITDA","FQ4 2016","FQ4 2016","Currency=INR","Period=FQ","BEST_FPERIOD_OVERRIDE=FQ","FILING_STATUS=OR","EQY_CONSOLIDATED=Y","FA_ADJUSTED=GAAP","Sort=A","Dates=H","DateFormat=P","Fill=—","Direction=H","UseDPDF=Y")</f>
        <v>#NAME?</v>
      </c>
      <c r="AO517" s="2" t="e">
        <f ca="1">_xll.BDH($C$503,"GEO_GROW_OPER_INC","FQ4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17" s="2" t="e">
        <f ca="1">_xll.BDH($C$503,"NET_INCOME_TO_COMMON_5_YR_GROWTH","FQ4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17" s="2" t="e">
        <f ca="1">_xll.BDH($C$503,"5Y_GEO_GROWTH_DILUTED_EPS","FQ4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17" s="2" t="e">
        <f ca="1">_xll.BDH($C$503,"GEO_GROW_DVD_PER_SH","FQ4 2016","FQ4 2016","Currency=INR","Period=FQ","BEST_FPERIOD_OVERRIDE=FQ","FILING_STATUS=OR","EQY_CONSOLIDATED=Y","Sort=A","Dates=H","DateFormat=P","Fill=—","Direction=H","UseDPDF=Y")</f>
        <v>#NAME?</v>
      </c>
      <c r="AS517" s="2" t="e">
        <f ca="1">_xll.BDH($C$503,"ACCOUNTS_RECEIVABLE_5_YR_GROWTH","FQ4 2016","FQ4 2016","Currency=INR","Period=FQ","BEST_FPERIOD_OVERRIDE=FQ","FILING_STATUS=OR","EQY_CONSOLIDATED=Y","Sort=A","Dates=H","DateFormat=P","Fill=—","Direction=H","UseDPDF=Y")</f>
        <v>#NAME?</v>
      </c>
      <c r="AT517" s="2" t="e">
        <f ca="1">_xll.BDH($C$503,"INVENTORY_5_YEAR_GROWTH","FQ4 2016","FQ4 2016","Currency=INR","Period=FQ","BEST_FPERIOD_OVERRIDE=FQ","FILING_STATUS=OR","EQY_CONSOLIDATED=Y","Sort=A","Dates=H","DateFormat=P","Fill=—","Direction=H","UseDPDF=Y")</f>
        <v>#NAME?</v>
      </c>
      <c r="AU517" s="2" t="e">
        <f ca="1">_xll.BDH($C$503,"NET_FIXED_ASSETS_5_YEAR_GROWTH","FQ4 2016","FQ4 2016","Currency=INR","Period=FQ","BEST_FPERIOD_OVERRIDE=FQ","FILING_STATUS=OR","EQY_CONSOLIDATED=Y","Sort=A","Dates=H","DateFormat=P","Fill=—","Direction=H","UseDPDF=Y")</f>
        <v>#NAME?</v>
      </c>
      <c r="AV517" s="2" t="e">
        <f ca="1">_xll.BDH($C$503,"GEO_GROW_TOT_ASSET","FQ4 2016","FQ4 2016","Currency=INR","Period=FQ","BEST_FPERIOD_OVERRIDE=FQ","FILING_STATUS=OR","EQY_CONSOLIDATED=Y","Sort=A","Dates=H","DateFormat=P","Fill=—","Direction=H","UseDPDF=Y")</f>
        <v>#NAME?</v>
      </c>
      <c r="AW517" s="2" t="e">
        <f ca="1">_xll.BDH($C$503,"MODIFIED_WORKING_CPTL_5YR_GRWTH","FQ4 2016","FQ4 2016","Currency=INR","Period=FQ","BEST_FPERIOD_OVERRIDE=FQ","FILING_STATUS=OR","EQY_CONSOLIDATED=Y","Sort=A","Dates=H","DateFormat=P","Fill=—","Direction=H","UseDPDF=Y")</f>
        <v>#NAME?</v>
      </c>
      <c r="AX517" s="2" t="e">
        <f ca="1">_xll.BDH($C$503,"WORKING_CAPITAL_5_YEAR_GROWTH","FQ4 2016","FQ4 2016","Currency=INR","Period=FQ","BEST_FPERIOD_OVERRIDE=FQ","FILING_STATUS=OR","EQY_CONSOLIDATED=Y","Sort=A","Dates=H","DateFormat=P","Fill=—","Direction=H","UseDPDF=Y")</f>
        <v>#NAME?</v>
      </c>
      <c r="AY517" s="2" t="e">
        <f ca="1">_xll.BDH($C$503,"ACCOUNTS_PAYABLE_5_YEAR_GROWTH","FQ4 2016","FQ4 2016","Currency=INR","Period=FQ","BEST_FPERIOD_OVERRIDE=FQ","FILING_STATUS=OR","EQY_CONSOLIDATED=Y","Sort=A","Dates=H","DateFormat=P","Fill=—","Direction=H","UseDPDF=Y")</f>
        <v>#NAME?</v>
      </c>
      <c r="AZ517" s="2" t="e">
        <f ca="1">_xll.BDH($C$503,"SHORT_TERM_DEBT_5_YEAR_GROWTH","FQ4 2016","FQ4 2016","Currency=INR","Period=FQ","BEST_FPERIOD_OVERRIDE=FQ","FILING_STATUS=OR","EQY_CONSOLIDATED=Y","Sort=A","Dates=H","DateFormat=P","Fill=—","Direction=H","UseDPDF=Y")</f>
        <v>#NAME?</v>
      </c>
      <c r="BA517" s="2" t="e">
        <f ca="1">_xll.BDH($C$503,"TOTAL_DEBT_5_YEAR_GROWTH","FQ4 2016","FQ4 2016","Currency=INR","Period=FQ","BEST_FPERIOD_OVERRIDE=FQ","FILING_STATUS=OR","EQY_CONSOLIDATED=Y","Sort=A","Dates=H","DateFormat=P","Fill=—","Direction=H","UseDPDF=Y")</f>
        <v>#NAME?</v>
      </c>
      <c r="BB517" s="2" t="e">
        <f ca="1">_xll.BDH($C$503,"GEO_GROW_TOT_SHRHLDR_EQY","FQ4 2016","FQ4 2016","Currency=INR","Period=FQ","BEST_FPERIOD_OVERRIDE=FQ","FILING_STATUS=OR","EQY_CONSOLIDATED=Y","Sort=A","Dates=H","DateFormat=P","Fill=—","Direction=H","UseDPDF=Y")</f>
        <v>#NAME?</v>
      </c>
      <c r="BC517" s="2" t="e">
        <f ca="1">_xll.BDH($C$503,"TOTAL_CAPITAL_5_YEAR_GROWTH","FQ4 2016","FQ4 2016","Currency=INR","Period=FQ","BEST_FPERIOD_OVERRIDE=FQ","FILING_STATUS=OR","EQY_CONSOLIDATED=Y","Sort=A","Dates=H","DateFormat=P","Fill=—","Direction=H","UseDPDF=Y")</f>
        <v>#NAME?</v>
      </c>
      <c r="BD517" s="2" t="e">
        <f ca="1">_xll.BDH($C$503,"GEO_GROW_BOOK_VAL","FQ4 2016","FQ4 2016","Currency=INR","Period=FQ","BEST_FPERIOD_OVERRIDE=FQ","FILING_STATUS=OR","EQY_CONSOLIDATED=Y","Sort=A","Dates=H","DateFormat=P","Fill=—","Direction=H","UseDPDF=Y")</f>
        <v>#NAME?</v>
      </c>
      <c r="BE517" s="2" t="e">
        <f ca="1">_xll.BDH($C$503,"GEO_GROW_CASH_OPER_ACT","FQ4 2016","FQ4 2016","Currency=INR","Period=FQ","BEST_FPERIOD_OVERRIDE=FQ","FILING_STATUS=OR","EQY_CONSOLIDATED=Y","Sort=A","Dates=H","DateFormat=P","Fill=—","Direction=H","UseDPDF=Y")</f>
        <v>#NAME?</v>
      </c>
      <c r="BF517" s="2" t="e">
        <f ca="1">_xll.BDH($C$503,"REVENUE_SEQUENTIAL_GROWTH","FQ4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17" s="2" t="e">
        <f ca="1">_xll.BDH($C$503,"EBITDA_SEQUENTIAL_GROWTH","FQ4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17" s="2" t="e">
        <f ca="1">_xll.BDH($C$503,"OPERATING_INCOME_SEQ_GROWTH","FQ4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17" s="2" t="e">
        <f ca="1">_xll.BDH($C$503,"NET_INCOME_TO_COMMON_SEQ_GROWTH","FQ4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17" s="2" t="e">
        <f ca="1">_xll.BDH($C$503,"EPS_DILUTED_SEQUENTIAL_GROWTH","FQ4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17" s="2" t="e">
        <f ca="1">_xll.BDH($C$503,"DPS_SEQUENTIAL_GROWTH","FQ4 2016","FQ4 2016","Currency=INR","Period=FQ","BEST_FPERIOD_OVERRIDE=FQ","FILING_STATUS=OR","EQY_CONSOLIDATED=Y","Sort=A","Dates=H","DateFormat=P","Fill=—","Direction=H","UseDPDF=Y")</f>
        <v>#NAME?</v>
      </c>
      <c r="BL517" s="2" t="e">
        <f ca="1">_xll.BDH($C$503,"ACCOUNTS_RECEIVABLE_SEQ_GROWTH","FQ4 2016","FQ4 2016","Currency=INR","Period=FQ","BEST_FPERIOD_OVERRIDE=FQ","FILING_STATUS=OR","EQY_CONSOLIDATED=Y","Sort=A","Dates=H","DateFormat=P","Fill=—","Direction=H","UseDPDF=Y")</f>
        <v>#NAME?</v>
      </c>
      <c r="BM517" s="2" t="e">
        <f ca="1">_xll.BDH($C$503,"INVENTORY_SEQUENTIAL_GROWTH","FQ4 2016","FQ4 2016","Currency=INR","Period=FQ","BEST_FPERIOD_OVERRIDE=FQ","FILING_STATUS=OR","EQY_CONSOLIDATED=Y","Sort=A","Dates=H","DateFormat=P","Fill=—","Direction=H","UseDPDF=Y")</f>
        <v>#NAME?</v>
      </c>
      <c r="BN517" s="2" t="e">
        <f ca="1">_xll.BDH($C$503,"FIXED_ASSETS_SEQUENTIAL_GROWTH","FQ4 2016","FQ4 2016","Currency=INR","Period=FQ","BEST_FPERIOD_OVERRIDE=FQ","FILING_STATUS=OR","EQY_CONSOLIDATED=Y","Sort=A","Dates=H","DateFormat=P","Fill=—","Direction=H","UseDPDF=Y")</f>
        <v>#NAME?</v>
      </c>
      <c r="BO517" s="2" t="e">
        <f ca="1">_xll.BDH($C$503,"TOTAL_ASSETS_SEQUENTIAL_GROWTH","FQ4 2016","FQ4 2016","Currency=INR","Period=FQ","BEST_FPERIOD_OVERRIDE=FQ","FILING_STATUS=OR","EQY_CONSOLIDATED=Y","Sort=A","Dates=H","DateFormat=P","Fill=—","Direction=H","UseDPDF=Y")</f>
        <v>#NAME?</v>
      </c>
      <c r="BP517" s="2" t="e">
        <f ca="1">_xll.BDH($C$503,"MODIFIED_WORKING_CPTL_SEQ_GRWTH","FQ4 2016","FQ4 2016","Currency=INR","Period=FQ","BEST_FPERIOD_OVERRIDE=FQ","FILING_STATUS=OR","EQY_CONSOLIDATED=Y","Sort=A","Dates=H","DateFormat=P","Fill=—","Direction=H","UseDPDF=Y")</f>
        <v>#NAME?</v>
      </c>
      <c r="BQ517" s="2" t="e">
        <f ca="1">_xll.BDH($C$503,"WORKING_CAPITAL_SEQ_GROWTH","FQ4 2016","FQ4 2016","Currency=INR","Period=FQ","BEST_FPERIOD_OVERRIDE=FQ","FILING_STATUS=OR","EQY_CONSOLIDATED=Y","Sort=A","Dates=H","DateFormat=P","Fill=—","Direction=H","UseDPDF=Y")</f>
        <v>#NAME?</v>
      </c>
      <c r="BR517" s="2" t="e">
        <f ca="1">_xll.BDH($C$503,"ACCOUNTS_PAYABLE_SEQ_GROWTH","FQ4 2016","FQ4 2016","Currency=INR","Period=FQ","BEST_FPERIOD_OVERRIDE=FQ","FILING_STATUS=OR","EQY_CONSOLIDATED=Y","Sort=A","Dates=H","DateFormat=P","Fill=—","Direction=H","UseDPDF=Y")</f>
        <v>#NAME?</v>
      </c>
      <c r="BS517" s="2" t="e">
        <f ca="1">_xll.BDH($C$503,"ST_DEBT_SEQUENTIAL_GROWTH","FQ4 2016","FQ4 2016","Currency=INR","Period=FQ","BEST_FPERIOD_OVERRIDE=FQ","FILING_STATUS=OR","EQY_CONSOLIDATED=Y","Sort=A","Dates=H","DateFormat=P","Fill=—","Direction=H","UseDPDF=Y")</f>
        <v>#NAME?</v>
      </c>
      <c r="BT517" s="2" t="e">
        <f ca="1">_xll.BDH($C$503,"TOTAL_DEBT_SEQUENTIAL_GROWTH","FQ4 2016","FQ4 2016","Currency=INR","Period=FQ","BEST_FPERIOD_OVERRIDE=FQ","FILING_STATUS=OR","EQY_CONSOLIDATED=Y","Sort=A","Dates=H","DateFormat=P","Fill=—","Direction=H","UseDPDF=Y")</f>
        <v>#NAME?</v>
      </c>
      <c r="BU517" s="2" t="e">
        <f ca="1">_xll.BDH($C$503,"TOTAL_EQUITY_SEQUENTIAL_GROWTH","FQ4 2016","FQ4 2016","Currency=INR","Period=FQ","BEST_FPERIOD_OVERRIDE=FQ","FILING_STATUS=OR","EQY_CONSOLIDATED=Y","Sort=A","Dates=H","DateFormat=P","Fill=—","Direction=H","UseDPDF=Y")</f>
        <v>#NAME?</v>
      </c>
      <c r="BV517" s="2" t="e">
        <f ca="1">_xll.BDH($C$503,"TOTAL_CAPITAL_SEQUENTIAL_GROWTH","FQ4 2016","FQ4 2016","Currency=INR","Period=FQ","BEST_FPERIOD_OVERRIDE=FQ","FILING_STATUS=OR","EQY_CONSOLIDATED=Y","Sort=A","Dates=H","DateFormat=P","Fill=—","Direction=H","UseDPDF=Y")</f>
        <v>#NAME?</v>
      </c>
      <c r="BW517" s="2" t="e">
        <f ca="1">_xll.BDH($C$503,"BPS_SEQUENTIAL_GROWTH","FQ4 2016","FQ4 2016","Currency=INR","Period=FQ","BEST_FPERIOD_OVERRIDE=FQ","FILING_STATUS=OR","EQY_CONSOLIDATED=Y","Sort=A","Dates=H","DateFormat=P","Fill=—","Direction=H","UseDPDF=Y")</f>
        <v>#NAME?</v>
      </c>
      <c r="BX517" s="2" t="e">
        <f ca="1">_xll.BDH($C$503,"CFO_SEQUENTIAL_GROWTH","FQ4 2016","FQ4 2016","Currency=INR","Period=FQ","BEST_FPERIOD_OVERRIDE=FQ","FILING_STATUS=OR","EQY_CONSOLIDATED=Y","Sort=A","Dates=H","DateFormat=P","Fill=—","Direction=H","UseDPDF=Y")</f>
        <v>#NAME?</v>
      </c>
      <c r="BY517" s="3" t="e">
        <f ca="1">_xll.BDH($C$503,"SHORT_AND_LONG_TERM_DEBT","FQ4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17" s="3" t="e">
        <f ca="1">_xll.BDH($C$503,"BS_ST_BORROW","FQ4 2016","FQ4 2016","Currency=INR","Period=FQ","BEST_FPERIOD_OVERRIDE=FQ","FILING_STATUS=OR","EQY_CONSOLIDATED=Y","SCALING_FORMAT=MLN","Sort=A","Dates=H","DateFormat=P","Fill=—","Direction=H","UseDPDF=Y")</f>
        <v>#NAME?</v>
      </c>
      <c r="CA517" s="3" t="e">
        <f ca="1">_xll.BDH($C$503,"BS_LT_BORROW","FQ4 2016","FQ4 2016","Currency=INR","Period=FQ","BEST_FPERIOD_OVERRIDE=FQ","FILING_STATUS=OR","EQY_CONSOLIDATED=Y","SCALING_FORMAT=MLN","Sort=A","Dates=H","DateFormat=P","Fill=—","Direction=H","UseDPDF=Y")</f>
        <v>#NAME?</v>
      </c>
      <c r="CB517" s="2" t="e">
        <f ca="1">_xll.BDH($C$503,"TOT_DEBT_TO_EBITDA","FQ4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17" s="2" t="e">
        <f ca="1">_xll.BDH($C$503,"NET_DEBT_TO_EBITDA","FQ4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17" s="2" t="e">
        <f ca="1">_xll.BDH($C$503,"TOTAL_DEBT_TO_EBIT","FQ4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17" s="2" t="e">
        <f ca="1">_xll.BDH($C$503,"NET_DEBT_TO_EBIT","FQ4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17" s="2" t="e">
        <f ca="1">_xll.BDH($C$503,"EBITDA_TO_INTEREST_EXPN","FQ4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17" s="2" t="e">
        <f ca="1">_xll.BDH($C$503,"COM_EQY_TO_TOT_ASSET","FQ4 2016","FQ4 2016","Currency=INR","Period=FQ","BEST_FPERIOD_OVERRIDE=FQ","FILING_STATUS=OR","EQY_CONSOLIDATED=Y","Sort=A","Dates=H","DateFormat=P","Fill=—","Direction=H","UseDPDF=Y")</f>
        <v>#NAME?</v>
      </c>
      <c r="CH517" s="2" t="e">
        <f ca="1">_xll.BDH($C$503,"LT_DEBT_TO_TOT_EQY","FQ4 2016","FQ4 2016","Currency=INR","Period=FQ","BEST_FPERIOD_OVERRIDE=FQ","FILING_STATUS=OR","EQY_CONSOLIDATED=Y","Sort=A","Dates=H","DateFormat=P","Fill=—","Direction=H","UseDPDF=Y")</f>
        <v>#NAME?</v>
      </c>
      <c r="CI517" s="2" t="e">
        <f ca="1">_xll.BDH($C$503,"LT_DEBT_TO_TOT_CAP","FQ4 2016","FQ4 2016","Currency=INR","Period=FQ","BEST_FPERIOD_OVERRIDE=FQ","FILING_STATUS=OR","EQY_CONSOLIDATED=Y","Sort=A","Dates=H","DateFormat=P","Fill=—","Direction=H","UseDPDF=Y")</f>
        <v>#NAME?</v>
      </c>
      <c r="CJ517" s="2" t="e">
        <f ca="1">_xll.BDH($C$503,"LT_DEBT_TO_TOT_ASSET","FQ4 2016","FQ4 2016","Currency=INR","Period=FQ","BEST_FPERIOD_OVERRIDE=FQ","FILING_STATUS=OR","EQY_CONSOLIDATED=Y","Sort=A","Dates=H","DateFormat=P","Fill=—","Direction=H","UseDPDF=Y")</f>
        <v>#NAME?</v>
      </c>
      <c r="CK517" s="2" t="e">
        <f ca="1">_xll.BDH($C$503,"TOT_DEBT_TO_TOT_EQY","FQ4 2016","FQ4 2016","Currency=INR","Period=FQ","BEST_FPERIOD_OVERRIDE=FQ","FILING_STATUS=OR","EQY_CONSOLIDATED=Y","Sort=A","Dates=H","DateFormat=P","Fill=—","Direction=H","UseDPDF=Y")</f>
        <v>#NAME?</v>
      </c>
      <c r="CL517" s="2" t="e">
        <f ca="1">_xll.BDH($C$503,"TOT_DEBT_TO_TOT_CAP","FQ4 2016","FQ4 2016","Currency=INR","Period=FQ","BEST_FPERIOD_OVERRIDE=FQ","FILING_STATUS=OR","EQY_CONSOLIDATED=Y","Sort=A","Dates=H","DateFormat=P","Fill=—","Direction=H","UseDPDF=Y")</f>
        <v>#NAME?</v>
      </c>
      <c r="CM517" s="2" t="e">
        <f ca="1">_xll.BDH($C$503,"TOT_DEBT_TO_TOT_ASSET","FQ4 2016","FQ4 2016","Currency=INR","Period=FQ","BEST_FPERIOD_OVERRIDE=FQ","FILING_STATUS=OR","EQY_CONSOLIDATED=Y","Sort=A","Dates=H","DateFormat=P","Fill=—","Direction=H","UseDPDF=Y")</f>
        <v>#NAME?</v>
      </c>
      <c r="CN517" s="2" t="e">
        <f ca="1">_xll.BDH($C$503,"NET_DEBT_TO_SHRHLDR_EQTY","FQ4 2016","FQ4 2016","Currency=INR","Period=FQ","BEST_FPERIOD_OVERRIDE=FQ","FILING_STATUS=OR","EQY_CONSOLIDATED=Y","Sort=A","Dates=H","DateFormat=P","Fill=—","Direction=H","UseDPDF=Y")</f>
        <v>#NAME?</v>
      </c>
      <c r="CO517" s="2" t="e">
        <f ca="1">_xll.BDH($C$503,"NET_DEBT_%_CAPITAL","FQ4 2016","FQ4 2016","Currency=INR","Period=FQ","BEST_FPERIOD_OVERRIDE=FQ","FILING_STATUS=OR","EQY_CONSOLIDATED=Y","Sort=A","Dates=H","DateFormat=P","Fill=—","Direction=H","UseDPDF=Y")</f>
        <v>#NAME?</v>
      </c>
      <c r="CP517" s="3" t="e">
        <f ca="1">_xll.BDH($C$503,"EBITDA","FQ4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17" s="3" t="e">
        <f ca="1">_xll.BDH($C$503,"EBITDA_AFTER_CAPEX","FQ4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17" s="3" t="e">
        <f ca="1">_xll.BDH($C$503,"IS_OPER_INC","FQ4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17" s="2" t="e">
        <f ca="1">_xll.BDH($C$503,"CASH_RATIO","FQ4 2016","FQ4 2016","Currency=INR","Period=FQ","BEST_FPERIOD_OVERRIDE=FQ","FILING_STATUS=OR","EQY_CONSOLIDATED=Y","Sort=A","Dates=H","DateFormat=P","Fill=—","Direction=H","UseDPDF=Y")</f>
        <v>#NAME?</v>
      </c>
      <c r="CT517" s="2" t="e">
        <f ca="1">_xll.BDH($C$503,"CUR_RATIO","FQ4 2016","FQ4 2016","Currency=INR","Period=FQ","BEST_FPERIOD_OVERRIDE=FQ","FILING_STATUS=OR","EQY_CONSOLIDATED=Y","Sort=A","Dates=H","DateFormat=P","Fill=—","Direction=H","UseDPDF=Y")</f>
        <v>#NAME?</v>
      </c>
      <c r="CU517" s="2" t="e">
        <f ca="1">_xll.BDH($C$503,"QUICK_RATIO","FQ4 2016","FQ4 2016","Currency=INR","Period=FQ","BEST_FPERIOD_OVERRIDE=FQ","FILING_STATUS=OR","EQY_CONSOLIDATED=Y","Sort=A","Dates=H","DateFormat=P","Fill=—","Direction=H","UseDPDF=Y")</f>
        <v>#NAME?</v>
      </c>
      <c r="CV517" s="2" t="e">
        <f ca="1">_xll.BDH($C$503,"ALTMAN_Z_SCORE","FQ4 2016","FQ4 2016","Currency=INR","Period=FQ","BEST_FPERIOD_OVERRIDE=FQ","FILING_STATUS=OR","EQY_CONSOLIDATED=Y","Sort=A","Dates=H","DateFormat=P","Fill=—","Direction=H","UseDPDF=Y")</f>
        <v>#NAME?</v>
      </c>
      <c r="CW517" s="4" t="e">
        <f ca="1">_xll.BDH($C$503,"ACCT_RCV_TURN","FQ4 2016","FQ4 2016","Currency=INR","Period=FQ","BEST_FPERIOD_OVERRIDE=FQ","FILING_STATUS=OR","EQY_CONSOLIDATED=Y","FA_ADJUSTED=GAAP","Sort=A","Dates=H","DateFormat=P","Fill=—","Direction=H","UseDPDF=Y")</f>
        <v>#NAME?</v>
      </c>
      <c r="CX517" s="2" t="e">
        <f ca="1">_xll.BDH($C$503,"ACCT_RCV_DAYS","FQ4 2016","FQ4 2016","Currency=INR","Period=FQ","BEST_FPERIOD_OVERRIDE=FQ","FILING_STATUS=OR","EQY_CONSOLIDATED=Y","FA_ADJUSTED=GAAP","Sort=A","Dates=H","DateFormat=P","Fill=—","Direction=H","UseDPDF=Y")</f>
        <v>#NAME?</v>
      </c>
      <c r="CY517" s="4" t="e">
        <f ca="1">_xll.BDH($C$503,"INVENT_TURN","FQ4 2016","FQ4 2016","Currency=INR","Period=FQ","BEST_FPERIOD_OVERRIDE=FQ","FILING_STATUS=OR","EQY_CONSOLIDATED=Y","FA_ADJUSTED=GAAP","Sort=A","Dates=H","DateFormat=P","Fill=—","Direction=H","UseDPDF=Y")</f>
        <v>#NAME?</v>
      </c>
      <c r="CZ517" s="2" t="e">
        <f ca="1">_xll.BDH($C$503,"INVENT_DAYS","FQ4 2016","FQ4 2016","Currency=INR","Period=FQ","BEST_FPERIOD_OVERRIDE=FQ","FILING_STATUS=OR","EQY_CONSOLIDATED=Y","FA_ADJUSTED=GAAP","Sort=A","Dates=H","DateFormat=P","Fill=—","Direction=H","UseDPDF=Y")</f>
        <v>#NAME?</v>
      </c>
      <c r="DA517" s="4" t="e">
        <f ca="1">_xll.BDH($C$503,"ACCOUNTS_PAYABLE_TURNOVER","FQ4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17" s="2" t="e">
        <f ca="1">_xll.BDH($C$503,"ACCOUNTS_PAYABLE_TURNOVER_DAYS","FQ4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17" s="4" t="e">
        <f ca="1">_xll.BDH($C$503,"CASH_CONVERSION_CYCLE","FQ4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17" s="4" t="e">
        <f ca="1">_xll.BDH($C$503,"INV_TO_CASH_DAYS","FQ4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17" s="5" t="e">
        <f ca="1">_xll.BDH($C$503,"BS_INVENTORIES","FQ4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17" s="3" t="e">
        <f ca="1">_xll.BDH($C$503,"INVTRY_RAW_MATERIALS","FQ4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17" s="3" t="e">
        <f ca="1">_xll.BDH($C$503,"INVTRY_IN_PROGRESS","FQ4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17" s="3" t="e">
        <f ca="1">_xll.BDH($C$503,"INVTRY_FINISHED_GOODS","FQ4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17" s="3" t="e">
        <f ca="1">_xll.BDH($C$503,"BS_OTHER_INV","FQ4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18" spans="1:113" x14ac:dyDescent="0.3">
      <c r="A518" s="6"/>
      <c r="B518" s="6"/>
      <c r="C518" s="6"/>
      <c r="D518" s="6" t="s">
        <v>84</v>
      </c>
      <c r="E518" t="s">
        <v>77</v>
      </c>
      <c r="F518" t="e">
        <f ca="1">_xll.BDH($C$503,"RETURN_COM_EQY","FY 2017","FY 2017","Currency=INR","Period=FY","BEST_FPERIOD_OVERRIDE=FY","FILING_STATUS=OR","EQY_CONSOLIDATED=Y","FA_ADJUSTED=GAAP","Sort=A","Dates=H","DateFormat=P","Fill=—","Direction=H","UseDPDF=Y")</f>
        <v>#NAME?</v>
      </c>
      <c r="G518" t="e">
        <f ca="1">_xll.BDH($C$503,"RETURN_ON_ASSET","FY 2017","FY 2017","Currency=INR","Period=FY","BEST_FPERIOD_OVERRIDE=FY","FILING_STATUS=OR","EQY_CONSOLIDATED=Y","FA_ADJUSTED=GAAP","Sort=A","Dates=H","DateFormat=P","Fill=—","Direction=H","UseDPDF=Y")</f>
        <v>#NAME?</v>
      </c>
      <c r="H518" t="e">
        <f ca="1">_xll.BDH($C$503,"RETURN_ON_CAP","FY 2017","FY 2017","Currency=INR","Period=FY","BEST_FPERIOD_OVERRIDE=FY","FILING_STATUS=OR","EQY_CONSOLIDATED=Y","FA_ADJUSTED=GAAP","Sort=A","Dates=H","DateFormat=P","Fill=—","Direction=H","UseDPDF=Y")</f>
        <v>#NAME?</v>
      </c>
      <c r="I518" t="e">
        <f ca="1">_xll.BDH($C$503,"RETURN_ON_INV_CAPITAL","FY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18" t="e">
        <f ca="1">_xll.BDH($C$503,"EBITDA_TO_REVENUE","FY 2017","FY 2017","Currency=INR","Period=FY","BEST_FPERIOD_OVERRIDE=FY","FILING_STATUS=OR","EQY_CONSOLIDATED=Y","FA_ADJUSTED=GAAP","Sort=A","Dates=H","DateFormat=P","Fill=—","Direction=H","UseDPDF=Y")</f>
        <v>#NAME?</v>
      </c>
      <c r="K518" t="e">
        <f ca="1">_xll.BDH($C$503,"OPER_MARGIN","FY 2017","FY 2017","Currency=INR","Period=FY","BEST_FPERIOD_OVERRIDE=FY","FILING_STATUS=OR","EQY_CONSOLIDATED=Y","FA_ADJUSTED=GAAP","Sort=A","Dates=H","DateFormat=P","Fill=—","Direction=H","UseDPDF=Y")</f>
        <v>#NAME?</v>
      </c>
      <c r="L518" t="e">
        <f ca="1">_xll.BDH($C$503,"INCREMENTAL_OPERATING_MARGIN","FY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18" t="e">
        <f ca="1">_xll.BDH($C$503,"PRETAX_INC_TO_NET_SALES","FY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18" t="e">
        <f ca="1">_xll.BDH($C$503,"INC_BEF_XO_ITEMS_TO_NET_SALES","FY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18" t="e">
        <f ca="1">_xll.BDH($C$503,"PROF_MARGIN","FY 2017","FY 2017","Currency=INR","Period=FY","BEST_FPERIOD_OVERRIDE=FY","FILING_STATUS=OR","EQY_CONSOLIDATED=Y","FA_ADJUSTED=GAAP","Sort=A","Dates=H","DateFormat=P","Fill=—","Direction=H","UseDPDF=Y")</f>
        <v>#NAME?</v>
      </c>
      <c r="P518" t="e">
        <f ca="1">_xll.BDH($C$503,"NET_INCOME_TO_COMMON_MARGIN","FY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18" t="e">
        <f ca="1">_xll.BDH($C$503,"EFF_TAX_RATE","FY 2017","FY 2017","Currency=INR","Period=FY","BEST_FPERIOD_OVERRIDE=FY","FILING_STATUS=OR","EQY_CONSOLIDATED=Y","FA_ADJUSTED=GAAP","Sort=A","Dates=H","DateFormat=P","Fill=—","Direction=H","UseDPDF=Y")</f>
        <v>#NAME?</v>
      </c>
      <c r="R518" t="e">
        <f ca="1">_xll.BDH($C$503,"DVD_PAYOUT_RATIO","FY 2017","FY 2017","Currency=INR","Period=FY","BEST_FPERIOD_OVERRIDE=FY","FILING_STATUS=OR","EQY_CONSOLIDATED=Y","FA_ADJUSTED=GAAP","Sort=A","Dates=H","DateFormat=P","Fill=—","Direction=H","UseDPDF=Y")</f>
        <v>#NAME?</v>
      </c>
      <c r="S518" t="e">
        <f ca="1">_xll.BDH($C$503,"SUSTAIN_GROWTH_RT","FY 2017","FY 2017","Currency=INR","Period=FY","BEST_FPERIOD_OVERRIDE=FY","FILING_STATUS=OR","EQY_CONSOLIDATED=Y","FA_ADJUSTED=GAAP","Sort=A","Dates=H","DateFormat=P","Fill=—","Direction=H","UseDPDF=Y")</f>
        <v>#NAME?</v>
      </c>
      <c r="T518" s="2" t="e">
        <f ca="1">_xll.BDH($C$503,"SALES_GROWTH","FY 2017","FY 2017","Currency=INR","Period=FY","BEST_FPERIOD_OVERRIDE=FY","FILING_STATUS=OR","EQY_CONSOLIDATED=Y","FA_ADJUSTED=GAAP","Sort=A","Dates=H","DateFormat=P","Fill=—","Direction=H","UseDPDF=Y")</f>
        <v>#NAME?</v>
      </c>
      <c r="U518" s="2" t="e">
        <f ca="1">_xll.BDH($C$503,"EBITDA_GROWTH","FY 2017","FY 2017","Currency=INR","Period=FY","BEST_FPERIOD_OVERRIDE=FY","FILING_STATUS=OR","EQY_CONSOLIDATED=Y","FA_ADJUSTED=GAAP","Sort=A","Dates=H","DateFormat=P","Fill=—","Direction=H","UseDPDF=Y")</f>
        <v>#NAME?</v>
      </c>
      <c r="V518" s="2" t="e">
        <f ca="1">_xll.BDH($C$503,"OPER_INC_GROWTH","FY 2017","FY 2017","Currency=INR","Period=FY","BEST_FPERIOD_OVERRIDE=FY","FILING_STATUS=OR","EQY_CONSOLIDATED=Y","FA_ADJUSTED=GAAP","Sort=A","Dates=H","DateFormat=P","Fill=—","Direction=H","UseDPDF=Y")</f>
        <v>#NAME?</v>
      </c>
      <c r="W518" s="2" t="e">
        <f ca="1">_xll.BDH($C$503,"EARN_FOR_COM_GROWTH","FY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18" s="2" t="e">
        <f ca="1">_xll.BDH($C$503,"DILUTED_EPS_AFT_XO_ITEMS_GROWTH","FY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18" s="2" t="e">
        <f ca="1">_xll.BDH($C$503,"DIVIDEND_PER_SHARE_1_YEAR_GROWTH","FY 2017","FY 2017","Currency=INR","Period=FY","BEST_FPERIOD_OVERRIDE=FY","FILING_STATUS=OR","EQY_CONSOLIDATED=Y","Sort=A","Dates=H","DateFormat=P","Fill=—","Direction=H","UseDPDF=Y")</f>
        <v>#NAME?</v>
      </c>
      <c r="Z518" s="2" t="e">
        <f ca="1">_xll.BDH($C$503,"ACCOUNTS_RECEIVABLE_GROWTH","FY 2017","FY 2017","Currency=INR","Period=FY","BEST_FPERIOD_OVERRIDE=FY","FILING_STATUS=OR","EQY_CONSOLIDATED=Y","Sort=A","Dates=H","DateFormat=P","Fill=—","Direction=H","UseDPDF=Y")</f>
        <v>#NAME?</v>
      </c>
      <c r="AA518" s="2" t="e">
        <f ca="1">_xll.BDH($C$503,"INVENTORY_GROWTH","FY 2017","FY 2017","Currency=INR","Period=FY","BEST_FPERIOD_OVERRIDE=FY","FILING_STATUS=OR","EQY_CONSOLIDATED=Y","Sort=A","Dates=H","DateFormat=P","Fill=—","Direction=H","UseDPDF=Y")</f>
        <v>#NAME?</v>
      </c>
      <c r="AB518" s="2" t="e">
        <f ca="1">_xll.BDH($C$503,"NET_FIXED_ASSETS_1_YEAR_GROWTH","FY 2017","FY 2017","Currency=INR","Period=FY","BEST_FPERIOD_OVERRIDE=FY","FILING_STATUS=OR","EQY_CONSOLIDATED=Y","Sort=A","Dates=H","DateFormat=P","Fill=—","Direction=H","UseDPDF=Y")</f>
        <v>#NAME?</v>
      </c>
      <c r="AC518" s="2" t="e">
        <f ca="1">_xll.BDH($C$503,"ASSET_GROWTH","FY 2017","FY 2017","Currency=INR","Period=FY","BEST_FPERIOD_OVERRIDE=FY","FILING_STATUS=OR","EQY_CONSOLIDATED=Y","Sort=A","Dates=H","DateFormat=P","Fill=—","Direction=H","UseDPDF=Y")</f>
        <v>#NAME?</v>
      </c>
      <c r="AD518" s="2" t="e">
        <f ca="1">_xll.BDH($C$503,"MODIFIED_WORK_CAP_GROWTH","FY 2017","FY 2017","Currency=INR","Period=FY","BEST_FPERIOD_OVERRIDE=FY","FILING_STATUS=OR","EQY_CONSOLIDATED=Y","Sort=A","Dates=H","DateFormat=P","Fill=—","Direction=H","UseDPDF=Y")</f>
        <v>#NAME?</v>
      </c>
      <c r="AE518" s="2" t="e">
        <f ca="1">_xll.BDH($C$503,"WORK_CAP_GROWTH","FY 2017","FY 2017","Currency=INR","Period=FY","BEST_FPERIOD_OVERRIDE=FY","FILING_STATUS=OR","EQY_CONSOLIDATED=Y","Sort=A","Dates=H","DateFormat=P","Fill=—","Direction=H","UseDPDF=Y")</f>
        <v>#NAME?</v>
      </c>
      <c r="AF518" s="2" t="e">
        <f ca="1">_xll.BDH($C$503,"ACCOUNTS_PAYABLE_GROWTH_1YR","FY 2017","FY 2017","Currency=INR","Period=FY","BEST_FPERIOD_OVERRIDE=FY","FILING_STATUS=OR","EQY_CONSOLIDATED=Y","Sort=A","Dates=H","DateFormat=P","Fill=—","Direction=H","UseDPDF=Y")</f>
        <v>#NAME?</v>
      </c>
      <c r="AG518" s="2" t="e">
        <f ca="1">_xll.BDH($C$503,"SHORT_TERM_DEBT_1_YEAR_GROWTH","FY 2017","FY 2017","Currency=INR","Period=FY","BEST_FPERIOD_OVERRIDE=FY","FILING_STATUS=OR","EQY_CONSOLIDATED=Y","Sort=A","Dates=H","DateFormat=P","Fill=—","Direction=H","UseDPDF=Y")</f>
        <v>#NAME?</v>
      </c>
      <c r="AH518" s="2" t="e">
        <f ca="1">_xll.BDH($C$503,"TOTAL_DEBT_1_YEAR_GROWTH","FY 2017","FY 2017","Currency=INR","Period=FY","BEST_FPERIOD_OVERRIDE=FY","FILING_STATUS=OR","EQY_CONSOLIDATED=Y","Sort=A","Dates=H","DateFormat=P","Fill=—","Direction=H","UseDPDF=Y")</f>
        <v>#NAME?</v>
      </c>
      <c r="AI518" s="2" t="e">
        <f ca="1">_xll.BDH($C$503,"TOTAL_EQUITY_1_YEAR_GROWTH","FY 2017","FY 2017","Currency=INR","Period=FY","BEST_FPERIOD_OVERRIDE=FY","FILING_STATUS=OR","EQY_CONSOLIDATED=Y","Sort=A","Dates=H","DateFormat=P","Fill=—","Direction=H","UseDPDF=Y")</f>
        <v>#NAME?</v>
      </c>
      <c r="AJ518" s="2" t="e">
        <f ca="1">_xll.BDH($C$503,"GROWTH_IN_CAP","FY 2017","FY 2017","Currency=INR","Period=FY","BEST_FPERIOD_OVERRIDE=FY","FILING_STATUS=OR","EQY_CONSOLIDATED=Y","Sort=A","Dates=H","DateFormat=P","Fill=—","Direction=H","UseDPDF=Y")</f>
        <v>#NAME?</v>
      </c>
      <c r="AK518" s="2" t="e">
        <f ca="1">_xll.BDH($C$503,"BVPS_GROWTH","FY 2017","FY 2017","Currency=INR","Period=FY","BEST_FPERIOD_OVERRIDE=FY","FILING_STATUS=OR","EQY_CONSOLIDATED=Y","Sort=A","Dates=H","DateFormat=P","Fill=—","Direction=H","UseDPDF=Y")</f>
        <v>#NAME?</v>
      </c>
      <c r="AL518" s="2" t="e">
        <f ca="1">_xll.BDH($C$503,"CASH_FLOW_GROWTH","FY 2017","FY 2017","Currency=INR","Period=FY","BEST_FPERIOD_OVERRIDE=FY","FILING_STATUS=OR","EQY_CONSOLIDATED=Y","Sort=A","Dates=H","DateFormat=P","Fill=—","Direction=H","UseDPDF=Y")</f>
        <v>#NAME?</v>
      </c>
      <c r="AM518" s="2" t="e">
        <f ca="1">_xll.BDH($C$503,"GEO_GROW_NET_SALES","FY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18" s="2" t="e">
        <f ca="1">_xll.BDH($C$503,"GEO_GROW_EBITDA","FY 2017","FY 2017","Currency=INR","Period=FY","BEST_FPERIOD_OVERRIDE=FY","FILING_STATUS=OR","EQY_CONSOLIDATED=Y","FA_ADJUSTED=GAAP","Sort=A","Dates=H","DateFormat=P","Fill=—","Direction=H","UseDPDF=Y")</f>
        <v>#NAME?</v>
      </c>
      <c r="AO518" s="2" t="e">
        <f ca="1">_xll.BDH($C$503,"GEO_GROW_OPER_INC","FY 2017","FY 2017","Currency=INR","Period=FY","BEST_FPERIOD_OVERRIDE=FY","FILING_STATUS=OR","EQY_CONSOLIDATED=Y","FA_ADJUSTED=GAAP","Sort=A","Dates=H","DateFormat=P","Fill=—","Direction=H","UseDPDF=Y")</f>
        <v>#NAME?</v>
      </c>
      <c r="AP518" s="2" t="e">
        <f ca="1">_xll.BDH($C$503,"NET_INCOME_TO_COMMON_5_YR_GROWTH","FY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18" s="2" t="e">
        <f ca="1">_xll.BDH($C$503,"5Y_GEO_GROWTH_DILUTED_EPS","FY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18" s="2" t="e">
        <f ca="1">_xll.BDH($C$503,"GEO_GROW_DVD_PER_SH","FY 2017","FY 2017","Currency=INR","Period=FY","BEST_FPERIOD_OVERRIDE=FY","FILING_STATUS=OR","EQY_CONSOLIDATED=Y","Sort=A","Dates=H","DateFormat=P","Fill=—","Direction=H","UseDPDF=Y")</f>
        <v>#NAME?</v>
      </c>
      <c r="AS518" s="2" t="e">
        <f ca="1">_xll.BDH($C$503,"ACCOUNTS_RECEIVABLE_5_YR_GROWTH","FY 2017","FY 2017","Currency=INR","Period=FY","BEST_FPERIOD_OVERRIDE=FY","FILING_STATUS=OR","EQY_CONSOLIDATED=Y","Sort=A","Dates=H","DateFormat=P","Fill=—","Direction=H","UseDPDF=Y")</f>
        <v>#NAME?</v>
      </c>
      <c r="AT518" s="2" t="e">
        <f ca="1">_xll.BDH($C$503,"INVENTORY_5_YEAR_GROWTH","FY 2017","FY 2017","Currency=INR","Period=FY","BEST_FPERIOD_OVERRIDE=FY","FILING_STATUS=OR","EQY_CONSOLIDATED=Y","Sort=A","Dates=H","DateFormat=P","Fill=—","Direction=H","UseDPDF=Y")</f>
        <v>#NAME?</v>
      </c>
      <c r="AU518" s="2" t="e">
        <f ca="1">_xll.BDH($C$503,"NET_FIXED_ASSETS_5_YEAR_GROWTH","FY 2017","FY 2017","Currency=INR","Period=FY","BEST_FPERIOD_OVERRIDE=FY","FILING_STATUS=OR","EQY_CONSOLIDATED=Y","Sort=A","Dates=H","DateFormat=P","Fill=—","Direction=H","UseDPDF=Y")</f>
        <v>#NAME?</v>
      </c>
      <c r="AV518" s="2" t="e">
        <f ca="1">_xll.BDH($C$503,"GEO_GROW_TOT_ASSET","FY 2017","FY 2017","Currency=INR","Period=FY","BEST_FPERIOD_OVERRIDE=FY","FILING_STATUS=OR","EQY_CONSOLIDATED=Y","Sort=A","Dates=H","DateFormat=P","Fill=—","Direction=H","UseDPDF=Y")</f>
        <v>#NAME?</v>
      </c>
      <c r="AW518" s="2" t="e">
        <f ca="1">_xll.BDH($C$503,"MODIFIED_WORKING_CPTL_5YR_GRWTH","FY 2017","FY 2017","Currency=INR","Period=FY","BEST_FPERIOD_OVERRIDE=FY","FILING_STATUS=OR","EQY_CONSOLIDATED=Y","Sort=A","Dates=H","DateFormat=P","Fill=—","Direction=H","UseDPDF=Y")</f>
        <v>#NAME?</v>
      </c>
      <c r="AX518" s="2" t="e">
        <f ca="1">_xll.BDH($C$503,"WORKING_CAPITAL_5_YEAR_GROWTH","FY 2017","FY 2017","Currency=INR","Period=FY","BEST_FPERIOD_OVERRIDE=FY","FILING_STATUS=OR","EQY_CONSOLIDATED=Y","Sort=A","Dates=H","DateFormat=P","Fill=—","Direction=H","UseDPDF=Y")</f>
        <v>#NAME?</v>
      </c>
      <c r="AY518" s="2" t="e">
        <f ca="1">_xll.BDH($C$503,"ACCOUNTS_PAYABLE_5_YEAR_GROWTH","FY 2017","FY 2017","Currency=INR","Period=FY","BEST_FPERIOD_OVERRIDE=FY","FILING_STATUS=OR","EQY_CONSOLIDATED=Y","Sort=A","Dates=H","DateFormat=P","Fill=—","Direction=H","UseDPDF=Y")</f>
        <v>#NAME?</v>
      </c>
      <c r="AZ518" s="2" t="e">
        <f ca="1">_xll.BDH($C$503,"SHORT_TERM_DEBT_5_YEAR_GROWTH","FY 2017","FY 2017","Currency=INR","Period=FY","BEST_FPERIOD_OVERRIDE=FY","FILING_STATUS=OR","EQY_CONSOLIDATED=Y","Sort=A","Dates=H","DateFormat=P","Fill=—","Direction=H","UseDPDF=Y")</f>
        <v>#NAME?</v>
      </c>
      <c r="BA518" s="2" t="e">
        <f ca="1">_xll.BDH($C$503,"TOTAL_DEBT_5_YEAR_GROWTH","FY 2017","FY 2017","Currency=INR","Period=FY","BEST_FPERIOD_OVERRIDE=FY","FILING_STATUS=OR","EQY_CONSOLIDATED=Y","Sort=A","Dates=H","DateFormat=P","Fill=—","Direction=H","UseDPDF=Y")</f>
        <v>#NAME?</v>
      </c>
      <c r="BB518" s="2" t="e">
        <f ca="1">_xll.BDH($C$503,"GEO_GROW_TOT_SHRHLDR_EQY","FY 2017","FY 2017","Currency=INR","Period=FY","BEST_FPERIOD_OVERRIDE=FY","FILING_STATUS=OR","EQY_CONSOLIDATED=Y","Sort=A","Dates=H","DateFormat=P","Fill=—","Direction=H","UseDPDF=Y")</f>
        <v>#NAME?</v>
      </c>
      <c r="BC518" s="2" t="e">
        <f ca="1">_xll.BDH($C$503,"TOTAL_CAPITAL_5_YEAR_GROWTH","FY 2017","FY 2017","Currency=INR","Period=FY","BEST_FPERIOD_OVERRIDE=FY","FILING_STATUS=OR","EQY_CONSOLIDATED=Y","Sort=A","Dates=H","DateFormat=P","Fill=—","Direction=H","UseDPDF=Y")</f>
        <v>#NAME?</v>
      </c>
      <c r="BD518" s="2" t="e">
        <f ca="1">_xll.BDH($C$503,"GEO_GROW_BOOK_VAL","FY 2017","FY 2017","Currency=INR","Period=FY","BEST_FPERIOD_OVERRIDE=FY","FILING_STATUS=OR","EQY_CONSOLIDATED=Y","Sort=A","Dates=H","DateFormat=P","Fill=—","Direction=H","UseDPDF=Y")</f>
        <v>#NAME?</v>
      </c>
      <c r="BE518" s="2" t="e">
        <f ca="1">_xll.BDH($C$503,"GEO_GROW_CASH_OPER_ACT","FY 2017","FY 2017","Currency=INR","Period=FY","BEST_FPERIOD_OVERRIDE=FY","FILING_STATUS=OR","EQY_CONSOLIDATED=Y","Sort=A","Dates=H","DateFormat=P","Fill=—","Direction=H","UseDPDF=Y")</f>
        <v>#NAME?</v>
      </c>
      <c r="BF518" s="2" t="e">
        <f ca="1">_xll.BDH($C$503,"REVENUE_SEQUENTIAL_GROWTH","FY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18" s="2" t="e">
        <f ca="1">_xll.BDH($C$503,"EBITDA_SEQUENTIAL_GROWTH","FY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18" s="2" t="e">
        <f ca="1">_xll.BDH($C$503,"OPERATING_INCOME_SEQ_GROWTH","FY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18" s="2" t="e">
        <f ca="1">_xll.BDH($C$503,"NET_INCOME_TO_COMMON_SEQ_GROWTH","FY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18" s="2" t="e">
        <f ca="1">_xll.BDH($C$503,"EPS_DILUTED_SEQUENTIAL_GROWTH","FY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18" s="2" t="e">
        <f ca="1">_xll.BDH($C$503,"DPS_SEQUENTIAL_GROWTH","FY 2017","FY 2017","Currency=INR","Period=FY","BEST_FPERIOD_OVERRIDE=FY","FILING_STATUS=OR","EQY_CONSOLIDATED=Y","Sort=A","Dates=H","DateFormat=P","Fill=—","Direction=H","UseDPDF=Y")</f>
        <v>#NAME?</v>
      </c>
      <c r="BL518" s="2" t="e">
        <f ca="1">_xll.BDH($C$503,"ACCOUNTS_RECEIVABLE_SEQ_GROWTH","FY 2017","FY 2017","Currency=INR","Period=FY","BEST_FPERIOD_OVERRIDE=FY","FILING_STATUS=OR","EQY_CONSOLIDATED=Y","Sort=A","Dates=H","DateFormat=P","Fill=—","Direction=H","UseDPDF=Y")</f>
        <v>#NAME?</v>
      </c>
      <c r="BM518" s="2" t="e">
        <f ca="1">_xll.BDH($C$503,"INVENTORY_SEQUENTIAL_GROWTH","FY 2017","FY 2017","Currency=INR","Period=FY","BEST_FPERIOD_OVERRIDE=FY","FILING_STATUS=OR","EQY_CONSOLIDATED=Y","Sort=A","Dates=H","DateFormat=P","Fill=—","Direction=H","UseDPDF=Y")</f>
        <v>#NAME?</v>
      </c>
      <c r="BN518" s="2" t="e">
        <f ca="1">_xll.BDH($C$503,"FIXED_ASSETS_SEQUENTIAL_GROWTH","FY 2017","FY 2017","Currency=INR","Period=FY","BEST_FPERIOD_OVERRIDE=FY","FILING_STATUS=OR","EQY_CONSOLIDATED=Y","Sort=A","Dates=H","DateFormat=P","Fill=—","Direction=H","UseDPDF=Y")</f>
        <v>#NAME?</v>
      </c>
      <c r="BO518" s="2" t="e">
        <f ca="1">_xll.BDH($C$503,"TOTAL_ASSETS_SEQUENTIAL_GROWTH","FY 2017","FY 2017","Currency=INR","Period=FY","BEST_FPERIOD_OVERRIDE=FY","FILING_STATUS=OR","EQY_CONSOLIDATED=Y","Sort=A","Dates=H","DateFormat=P","Fill=—","Direction=H","UseDPDF=Y")</f>
        <v>#NAME?</v>
      </c>
      <c r="BP518" s="2" t="e">
        <f ca="1">_xll.BDH($C$503,"MODIFIED_WORKING_CPTL_SEQ_GRWTH","FY 2017","FY 2017","Currency=INR","Period=FY","BEST_FPERIOD_OVERRIDE=FY","FILING_STATUS=OR","EQY_CONSOLIDATED=Y","Sort=A","Dates=H","DateFormat=P","Fill=—","Direction=H","UseDPDF=Y")</f>
        <v>#NAME?</v>
      </c>
      <c r="BQ518" s="2" t="e">
        <f ca="1">_xll.BDH($C$503,"WORKING_CAPITAL_SEQ_GROWTH","FY 2017","FY 2017","Currency=INR","Period=FY","BEST_FPERIOD_OVERRIDE=FY","FILING_STATUS=OR","EQY_CONSOLIDATED=Y","Sort=A","Dates=H","DateFormat=P","Fill=—","Direction=H","UseDPDF=Y")</f>
        <v>#NAME?</v>
      </c>
      <c r="BR518" s="2" t="e">
        <f ca="1">_xll.BDH($C$503,"ACCOUNTS_PAYABLE_SEQ_GROWTH","FY 2017","FY 2017","Currency=INR","Period=FY","BEST_FPERIOD_OVERRIDE=FY","FILING_STATUS=OR","EQY_CONSOLIDATED=Y","Sort=A","Dates=H","DateFormat=P","Fill=—","Direction=H","UseDPDF=Y")</f>
        <v>#NAME?</v>
      </c>
      <c r="BS518" s="2" t="e">
        <f ca="1">_xll.BDH($C$503,"ST_DEBT_SEQUENTIAL_GROWTH","FY 2017","FY 2017","Currency=INR","Period=FY","BEST_FPERIOD_OVERRIDE=FY","FILING_STATUS=OR","EQY_CONSOLIDATED=Y","Sort=A","Dates=H","DateFormat=P","Fill=—","Direction=H","UseDPDF=Y")</f>
        <v>#NAME?</v>
      </c>
      <c r="BT518" s="2" t="e">
        <f ca="1">_xll.BDH($C$503,"TOTAL_DEBT_SEQUENTIAL_GROWTH","FY 2017","FY 2017","Currency=INR","Period=FY","BEST_FPERIOD_OVERRIDE=FY","FILING_STATUS=OR","EQY_CONSOLIDATED=Y","Sort=A","Dates=H","DateFormat=P","Fill=—","Direction=H","UseDPDF=Y")</f>
        <v>#NAME?</v>
      </c>
      <c r="BU518" s="2" t="e">
        <f ca="1">_xll.BDH($C$503,"TOTAL_EQUITY_SEQUENTIAL_GROWTH","FY 2017","FY 2017","Currency=INR","Period=FY","BEST_FPERIOD_OVERRIDE=FY","FILING_STATUS=OR","EQY_CONSOLIDATED=Y","Sort=A","Dates=H","DateFormat=P","Fill=—","Direction=H","UseDPDF=Y")</f>
        <v>#NAME?</v>
      </c>
      <c r="BV518" s="2" t="e">
        <f ca="1">_xll.BDH($C$503,"TOTAL_CAPITAL_SEQUENTIAL_GROWTH","FY 2017","FY 2017","Currency=INR","Period=FY","BEST_FPERIOD_OVERRIDE=FY","FILING_STATUS=OR","EQY_CONSOLIDATED=Y","Sort=A","Dates=H","DateFormat=P","Fill=—","Direction=H","UseDPDF=Y")</f>
        <v>#NAME?</v>
      </c>
      <c r="BW518" s="2" t="e">
        <f ca="1">_xll.BDH($C$503,"BPS_SEQUENTIAL_GROWTH","FY 2017","FY 2017","Currency=INR","Period=FY","BEST_FPERIOD_OVERRIDE=FY","FILING_STATUS=OR","EQY_CONSOLIDATED=Y","Sort=A","Dates=H","DateFormat=P","Fill=—","Direction=H","UseDPDF=Y")</f>
        <v>#NAME?</v>
      </c>
      <c r="BX518" s="2" t="e">
        <f ca="1">_xll.BDH($C$503,"CFO_SEQUENTIAL_GROWTH","FY 2017","FY 2017","Currency=INR","Period=FY","BEST_FPERIOD_OVERRIDE=FY","FILING_STATUS=OR","EQY_CONSOLIDATED=Y","Sort=A","Dates=H","DateFormat=P","Fill=—","Direction=H","UseDPDF=Y")</f>
        <v>#NAME?</v>
      </c>
      <c r="BY518" s="3" t="e">
        <f ca="1">_xll.BDH($C$503,"SHORT_AND_LONG_TERM_DEBT","FY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18" s="3" t="e">
        <f ca="1">_xll.BDH($C$503,"BS_ST_BORROW","FY 2017","FY 2017","Currency=INR","Period=FY","BEST_FPERIOD_OVERRIDE=FY","FILING_STATUS=OR","EQY_CONSOLIDATED=Y","SCALING_FORMAT=MLN","Sort=A","Dates=H","DateFormat=P","Fill=—","Direction=H","UseDPDF=Y")</f>
        <v>#NAME?</v>
      </c>
      <c r="CA518" s="3" t="e">
        <f ca="1">_xll.BDH($C$503,"BS_LT_BORROW","FY 2017","FY 2017","Currency=INR","Period=FY","BEST_FPERIOD_OVERRIDE=FY","FILING_STATUS=OR","EQY_CONSOLIDATED=Y","SCALING_FORMAT=MLN","Sort=A","Dates=H","DateFormat=P","Fill=—","Direction=H","UseDPDF=Y")</f>
        <v>#NAME?</v>
      </c>
      <c r="CB518" s="2" t="e">
        <f ca="1">_xll.BDH($C$503,"TOT_DEBT_TO_EBITDA","FY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18" s="2" t="e">
        <f ca="1">_xll.BDH($C$503,"NET_DEBT_TO_EBITDA","FY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18" s="2" t="e">
        <f ca="1">_xll.BDH($C$503,"TOTAL_DEBT_TO_EBIT","FY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18" s="2" t="e">
        <f ca="1">_xll.BDH($C$503,"NET_DEBT_TO_EBIT","FY 2017","FY 2017","Currency=INR","Period=FY","BEST_FPERIOD_OVERRIDE=FY","FILING_STATUS=OR","EQY_CONSOLIDATED=Y","FA_ADJUSTED=GAAP","Sort=A","Dates=H","DateFormat=P","Fill=—","Direction=H","UseDPDF=Y")</f>
        <v>#NAME?</v>
      </c>
      <c r="CF518" s="2" t="e">
        <f ca="1">_xll.BDH($C$503,"EBITDA_TO_INTEREST_EXPN","FY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18" s="2" t="e">
        <f ca="1">_xll.BDH($C$503,"COM_EQY_TO_TOT_ASSET","FY 2017","FY 2017","Currency=INR","Period=FY","BEST_FPERIOD_OVERRIDE=FY","FILING_STATUS=OR","EQY_CONSOLIDATED=Y","Sort=A","Dates=H","DateFormat=P","Fill=—","Direction=H","UseDPDF=Y")</f>
        <v>#NAME?</v>
      </c>
      <c r="CH518" s="2" t="e">
        <f ca="1">_xll.BDH($C$503,"LT_DEBT_TO_TOT_EQY","FY 2017","FY 2017","Currency=INR","Period=FY","BEST_FPERIOD_OVERRIDE=FY","FILING_STATUS=OR","EQY_CONSOLIDATED=Y","Sort=A","Dates=H","DateFormat=P","Fill=—","Direction=H","UseDPDF=Y")</f>
        <v>#NAME?</v>
      </c>
      <c r="CI518" s="2" t="e">
        <f ca="1">_xll.BDH($C$503,"LT_DEBT_TO_TOT_CAP","FY 2017","FY 2017","Currency=INR","Period=FY","BEST_FPERIOD_OVERRIDE=FY","FILING_STATUS=OR","EQY_CONSOLIDATED=Y","Sort=A","Dates=H","DateFormat=P","Fill=—","Direction=H","UseDPDF=Y")</f>
        <v>#NAME?</v>
      </c>
      <c r="CJ518" s="2" t="e">
        <f ca="1">_xll.BDH($C$503,"LT_DEBT_TO_TOT_ASSET","FY 2017","FY 2017","Currency=INR","Period=FY","BEST_FPERIOD_OVERRIDE=FY","FILING_STATUS=OR","EQY_CONSOLIDATED=Y","Sort=A","Dates=H","DateFormat=P","Fill=—","Direction=H","UseDPDF=Y")</f>
        <v>#NAME?</v>
      </c>
      <c r="CK518" s="2" t="e">
        <f ca="1">_xll.BDH($C$503,"TOT_DEBT_TO_TOT_EQY","FY 2017","FY 2017","Currency=INR","Period=FY","BEST_FPERIOD_OVERRIDE=FY","FILING_STATUS=OR","EQY_CONSOLIDATED=Y","Sort=A","Dates=H","DateFormat=P","Fill=—","Direction=H","UseDPDF=Y")</f>
        <v>#NAME?</v>
      </c>
      <c r="CL518" s="2" t="e">
        <f ca="1">_xll.BDH($C$503,"TOT_DEBT_TO_TOT_CAP","FY 2017","FY 2017","Currency=INR","Period=FY","BEST_FPERIOD_OVERRIDE=FY","FILING_STATUS=OR","EQY_CONSOLIDATED=Y","Sort=A","Dates=H","DateFormat=P","Fill=—","Direction=H","UseDPDF=Y")</f>
        <v>#NAME?</v>
      </c>
      <c r="CM518" s="2" t="e">
        <f ca="1">_xll.BDH($C$503,"TOT_DEBT_TO_TOT_ASSET","FY 2017","FY 2017","Currency=INR","Period=FY","BEST_FPERIOD_OVERRIDE=FY","FILING_STATUS=OR","EQY_CONSOLIDATED=Y","Sort=A","Dates=H","DateFormat=P","Fill=—","Direction=H","UseDPDF=Y")</f>
        <v>#NAME?</v>
      </c>
      <c r="CN518" s="2" t="e">
        <f ca="1">_xll.BDH($C$503,"NET_DEBT_TO_SHRHLDR_EQTY","FY 2017","FY 2017","Currency=INR","Period=FY","BEST_FPERIOD_OVERRIDE=FY","FILING_STATUS=OR","EQY_CONSOLIDATED=Y","Sort=A","Dates=H","DateFormat=P","Fill=—","Direction=H","UseDPDF=Y")</f>
        <v>#NAME?</v>
      </c>
      <c r="CO518" s="2" t="e">
        <f ca="1">_xll.BDH($C$503,"NET_DEBT_%_CAPITAL","FY 2017","FY 2017","Currency=INR","Period=FY","BEST_FPERIOD_OVERRIDE=FY","FILING_STATUS=OR","EQY_CONSOLIDATED=Y","Sort=A","Dates=H","DateFormat=P","Fill=—","Direction=H","UseDPDF=Y")</f>
        <v>#NAME?</v>
      </c>
      <c r="CP518" s="3" t="e">
        <f ca="1">_xll.BDH($C$503,"EBITDA","FY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18" s="3" t="e">
        <f ca="1">_xll.BDH($C$503,"EBITDA_AFTER_CAPEX","FY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18" s="3" t="e">
        <f ca="1">_xll.BDH($C$503,"IS_OPER_INC","FY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18" s="2" t="e">
        <f ca="1">_xll.BDH($C$503,"CASH_RATIO","FY 2017","FY 2017","Currency=INR","Period=FY","BEST_FPERIOD_OVERRIDE=FY","FILING_STATUS=OR","EQY_CONSOLIDATED=Y","Sort=A","Dates=H","DateFormat=P","Fill=—","Direction=H","UseDPDF=Y")</f>
        <v>#NAME?</v>
      </c>
      <c r="CT518" s="2" t="e">
        <f ca="1">_xll.BDH($C$503,"CUR_RATIO","FY 2017","FY 2017","Currency=INR","Period=FY","BEST_FPERIOD_OVERRIDE=FY","FILING_STATUS=OR","EQY_CONSOLIDATED=Y","Sort=A","Dates=H","DateFormat=P","Fill=—","Direction=H","UseDPDF=Y")</f>
        <v>#NAME?</v>
      </c>
      <c r="CU518" s="2" t="e">
        <f ca="1">_xll.BDH($C$503,"QUICK_RATIO","FY 2017","FY 2017","Currency=INR","Period=FY","BEST_FPERIOD_OVERRIDE=FY","FILING_STATUS=OR","EQY_CONSOLIDATED=Y","Sort=A","Dates=H","DateFormat=P","Fill=—","Direction=H","UseDPDF=Y")</f>
        <v>#NAME?</v>
      </c>
      <c r="CV518" s="2" t="e">
        <f ca="1">_xll.BDH($C$503,"ALTMAN_Z_SCORE","FY 2017","FY 2017","Currency=INR","Period=FY","BEST_FPERIOD_OVERRIDE=FY","FILING_STATUS=OR","EQY_CONSOLIDATED=Y","Sort=A","Dates=H","DateFormat=P","Fill=—","Direction=H","UseDPDF=Y")</f>
        <v>#NAME?</v>
      </c>
      <c r="CW518" s="4" t="e">
        <f ca="1">_xll.BDH($C$503,"ACCT_RCV_TURN","FY 2017","FY 2017","Currency=INR","Period=FY","BEST_FPERIOD_OVERRIDE=FY","FILING_STATUS=OR","EQY_CONSOLIDATED=Y","FA_ADJUSTED=GAAP","Sort=A","Dates=H","DateFormat=P","Fill=—","Direction=H","UseDPDF=Y")</f>
        <v>#NAME?</v>
      </c>
      <c r="CX518" s="2" t="e">
        <f ca="1">_xll.BDH($C$503,"ACCT_RCV_DAYS","FY 2017","FY 2017","Currency=INR","Period=FY","BEST_FPERIOD_OVERRIDE=FY","FILING_STATUS=OR","EQY_CONSOLIDATED=Y","FA_ADJUSTED=GAAP","Sort=A","Dates=H","DateFormat=P","Fill=—","Direction=H","UseDPDF=Y")</f>
        <v>#NAME?</v>
      </c>
      <c r="CY518" s="4" t="e">
        <f ca="1">_xll.BDH($C$503,"INVENT_TURN","FY 2017","FY 2017","Currency=INR","Period=FY","BEST_FPERIOD_OVERRIDE=FY","FILING_STATUS=OR","EQY_CONSOLIDATED=Y","FA_ADJUSTED=GAAP","Sort=A","Dates=H","DateFormat=P","Fill=—","Direction=H","UseDPDF=Y")</f>
        <v>#NAME?</v>
      </c>
      <c r="CZ518" s="2" t="e">
        <f ca="1">_xll.BDH($C$503,"INVENT_DAYS","FY 2017","FY 2017","Currency=INR","Period=FY","BEST_FPERIOD_OVERRIDE=FY","FILING_STATUS=OR","EQY_CONSOLIDATED=Y","FA_ADJUSTED=GAAP","Sort=A","Dates=H","DateFormat=P","Fill=—","Direction=H","UseDPDF=Y")</f>
        <v>#NAME?</v>
      </c>
      <c r="DA518" s="4" t="e">
        <f ca="1">_xll.BDH($C$503,"ACCOUNTS_PAYABLE_TURNOVER","FY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18" s="2" t="e">
        <f ca="1">_xll.BDH($C$503,"ACCOUNTS_PAYABLE_TURNOVER_DAYS","FY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18" s="4" t="e">
        <f ca="1">_xll.BDH($C$503,"CASH_CONVERSION_CYCLE","FY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18" s="4" t="e">
        <f ca="1">_xll.BDH($C$503,"INV_TO_CASH_DAYS","FY 2017","FY 2017","Currency=INR","Period=FY","BEST_FPERIOD_OVERRIDE=FY","FILING_STATUS=OR","EQY_CONSOLIDATED=Y","FA_ADJUSTED=GAAP","Sort=A","Dates=H","DateFormat=P","Fill=—","Direction=H","UseDPDF=Y")</f>
        <v>#NAME?</v>
      </c>
      <c r="DE518" s="5" t="e">
        <f ca="1">_xll.BDH($C$503,"BS_INVENTORIES","FY 2017","FY 2017","Currency=INR","Period=FY","BEST_FPERIOD_OVERRIDE=FY","FILING_STATUS=OR","EQY_CONSOLIDATED=Y","SCALING_FORMAT=MLN","Sort=A","Dates=H","DateFormat=P","Fill=—","Direction=H","UseDPDF=Y")</f>
        <v>#NAME?</v>
      </c>
      <c r="DF518" s="3" t="e">
        <f ca="1">_xll.BDH($C$503,"INVTRY_RAW_MATERIALS","FY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18" s="3" t="e">
        <f ca="1">_xll.BDH($C$503,"INVTRY_IN_PROGRESS","FY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18" s="3" t="e">
        <f ca="1">_xll.BDH($C$503,"INVTRY_FINISHED_GOODS","FY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18" s="3" t="e">
        <f ca="1">_xll.BDH($C$503,"BS_OTHER_INV","FY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19" spans="1:113" x14ac:dyDescent="0.3">
      <c r="A519" s="6"/>
      <c r="B519" s="6"/>
      <c r="C519" s="6"/>
      <c r="D519" s="6"/>
      <c r="E519" t="s">
        <v>78</v>
      </c>
      <c r="F519" t="e">
        <f ca="1">_xll.BDH($C$503,"RETURN_COM_EQY","FQ1 2017","FQ1 2017","Currency=INR","Period=FQ","BEST_FPERIOD_OVERRIDE=FQ","FILING_STATUS=OR","EQY_CONSOLIDATED=Y","FA_ADJUSTED=GAAP","Sort=A","Dates=H","DateFormat=P","Fill=—","Direction=H","UseDPDF=Y")</f>
        <v>#NAME?</v>
      </c>
      <c r="G519" t="e">
        <f ca="1">_xll.BDH($C$503,"RETURN_ON_ASSET","FQ1 2017","FQ1 2017","Currency=INR","Period=FQ","BEST_FPERIOD_OVERRIDE=FQ","FILING_STATUS=OR","EQY_CONSOLIDATED=Y","FA_ADJUSTED=GAAP","Sort=A","Dates=H","DateFormat=P","Fill=—","Direction=H","UseDPDF=Y")</f>
        <v>#NAME?</v>
      </c>
      <c r="H519" t="e">
        <f ca="1">_xll.BDH($C$503,"RETURN_ON_CAP","FQ1 2017","FQ1 2017","Currency=INR","Period=FQ","BEST_FPERIOD_OVERRIDE=FQ","FILING_STATUS=OR","EQY_CONSOLIDATED=Y","FA_ADJUSTED=GAAP","Sort=A","Dates=H","DateFormat=P","Fill=—","Direction=H","UseDPDF=Y")</f>
        <v>#NAME?</v>
      </c>
      <c r="I519" t="e">
        <f ca="1">_xll.BDH($C$503,"RETURN_ON_INV_CAPITAL","FQ1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19" t="e">
        <f ca="1">_xll.BDH($C$503,"EBITDA_TO_REVENUE","FQ1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19" t="e">
        <f ca="1">_xll.BDH($C$503,"OPER_MARGIN","FQ1 2017","FQ1 2017","Currency=INR","Period=FQ","BEST_FPERIOD_OVERRIDE=FQ","FILING_STATUS=OR","EQY_CONSOLIDATED=Y","FA_ADJUSTED=GAAP","Sort=A","Dates=H","DateFormat=P","Fill=—","Direction=H","UseDPDF=Y")</f>
        <v>#NAME?</v>
      </c>
      <c r="L519" t="e">
        <f ca="1">_xll.BDH($C$503,"INCREMENTAL_OPERATING_MARGIN","FQ1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19" t="e">
        <f ca="1">_xll.BDH($C$503,"PRETAX_INC_TO_NET_SALES","FQ1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19" t="e">
        <f ca="1">_xll.BDH($C$503,"INC_BEF_XO_ITEMS_TO_NET_SALES","FQ1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19" t="e">
        <f ca="1">_xll.BDH($C$503,"PROF_MARGIN","FQ1 2017","FQ1 2017","Currency=INR","Period=FQ","BEST_FPERIOD_OVERRIDE=FQ","FILING_STATUS=OR","EQY_CONSOLIDATED=Y","FA_ADJUSTED=GAAP","Sort=A","Dates=H","DateFormat=P","Fill=—","Direction=H","UseDPDF=Y")</f>
        <v>#NAME?</v>
      </c>
      <c r="P519" t="e">
        <f ca="1">_xll.BDH($C$503,"NET_INCOME_TO_COMMON_MARGIN","FQ1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19" t="e">
        <f ca="1">_xll.BDH($C$503,"EFF_TAX_RATE","FQ1 2017","FQ1 2017","Currency=INR","Period=FQ","BEST_FPERIOD_OVERRIDE=FQ","FILING_STATUS=OR","EQY_CONSOLIDATED=Y","FA_ADJUSTED=GAAP","Sort=A","Dates=H","DateFormat=P","Fill=—","Direction=H","UseDPDF=Y")</f>
        <v>#NAME?</v>
      </c>
      <c r="R519" t="e">
        <f ca="1">_xll.BDH($C$503,"DVD_PAYOUT_RATIO","FQ1 2017","FQ1 2017","Currency=INR","Period=FQ","BEST_FPERIOD_OVERRIDE=FQ","FILING_STATUS=OR","EQY_CONSOLIDATED=Y","FA_ADJUSTED=GAAP","Sort=A","Dates=H","DateFormat=P","Fill=—","Direction=H","UseDPDF=Y")</f>
        <v>#NAME?</v>
      </c>
      <c r="S519" t="e">
        <f ca="1">_xll.BDH($C$503,"SUSTAIN_GROWTH_RT","FQ1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19" s="2" t="e">
        <f ca="1">_xll.BDH($C$503,"SALES_GROWTH","FQ1 2017","FQ1 2017","Currency=INR","Period=FQ","BEST_FPERIOD_OVERRIDE=FQ","FILING_STATUS=OR","EQY_CONSOLIDATED=Y","FA_ADJUSTED=GAAP","Sort=A","Dates=H","DateFormat=P","Fill=—","Direction=H","UseDPDF=Y")</f>
        <v>#NAME?</v>
      </c>
      <c r="U519" s="2" t="e">
        <f ca="1">_xll.BDH($C$503,"EBITDA_GROWTH","FQ1 2017","FQ1 2017","Currency=INR","Period=FQ","BEST_FPERIOD_OVERRIDE=FQ","FILING_STATUS=OR","EQY_CONSOLIDATED=Y","FA_ADJUSTED=GAAP","Sort=A","Dates=H","DateFormat=P","Fill=—","Direction=H","UseDPDF=Y")</f>
        <v>#NAME?</v>
      </c>
      <c r="V519" s="2" t="e">
        <f ca="1">_xll.BDH($C$503,"OPER_INC_GROWTH","FQ1 2017","FQ1 2017","Currency=INR","Period=FQ","BEST_FPERIOD_OVERRIDE=FQ","FILING_STATUS=OR","EQY_CONSOLIDATED=Y","FA_ADJUSTED=GAAP","Sort=A","Dates=H","DateFormat=P","Fill=—","Direction=H","UseDPDF=Y")</f>
        <v>#NAME?</v>
      </c>
      <c r="W519" s="2" t="e">
        <f ca="1">_xll.BDH($C$503,"EARN_FOR_COM_GROWTH","FQ1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19" s="2" t="e">
        <f ca="1">_xll.BDH($C$503,"DILUTED_EPS_AFT_XO_ITEMS_GROWTH","FQ1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19" s="2" t="e">
        <f ca="1">_xll.BDH($C$503,"DIVIDEND_PER_SHARE_1_YEAR_GROWTH","FQ1 2017","FQ1 2017","Currency=INR","Period=FQ","BEST_FPERIOD_OVERRIDE=FQ","FILING_STATUS=OR","EQY_CONSOLIDATED=Y","Sort=A","Dates=H","DateFormat=P","Fill=—","Direction=H","UseDPDF=Y")</f>
        <v>#NAME?</v>
      </c>
      <c r="Z519" s="2" t="e">
        <f ca="1">_xll.BDH($C$503,"ACCOUNTS_RECEIVABLE_GROWTH","FQ1 2017","FQ1 2017","Currency=INR","Period=FQ","BEST_FPERIOD_OVERRIDE=FQ","FILING_STATUS=OR","EQY_CONSOLIDATED=Y","Sort=A","Dates=H","DateFormat=P","Fill=—","Direction=H","UseDPDF=Y")</f>
        <v>#NAME?</v>
      </c>
      <c r="AA519" s="2" t="e">
        <f ca="1">_xll.BDH($C$503,"INVENTORY_GROWTH","FQ1 2017","FQ1 2017","Currency=INR","Period=FQ","BEST_FPERIOD_OVERRIDE=FQ","FILING_STATUS=OR","EQY_CONSOLIDATED=Y","Sort=A","Dates=H","DateFormat=P","Fill=—","Direction=H","UseDPDF=Y")</f>
        <v>#NAME?</v>
      </c>
      <c r="AB519" s="2" t="e">
        <f ca="1">_xll.BDH($C$503,"NET_FIXED_ASSETS_1_YEAR_GROWTH","FQ1 2017","FQ1 2017","Currency=INR","Period=FQ","BEST_FPERIOD_OVERRIDE=FQ","FILING_STATUS=OR","EQY_CONSOLIDATED=Y","Sort=A","Dates=H","DateFormat=P","Fill=—","Direction=H","UseDPDF=Y")</f>
        <v>#NAME?</v>
      </c>
      <c r="AC519" s="2" t="e">
        <f ca="1">_xll.BDH($C$503,"ASSET_GROWTH","FQ1 2017","FQ1 2017","Currency=INR","Period=FQ","BEST_FPERIOD_OVERRIDE=FQ","FILING_STATUS=OR","EQY_CONSOLIDATED=Y","Sort=A","Dates=H","DateFormat=P","Fill=—","Direction=H","UseDPDF=Y")</f>
        <v>#NAME?</v>
      </c>
      <c r="AD519" s="2" t="e">
        <f ca="1">_xll.BDH($C$503,"MODIFIED_WORK_CAP_GROWTH","FQ1 2017","FQ1 2017","Currency=INR","Period=FQ","BEST_FPERIOD_OVERRIDE=FQ","FILING_STATUS=OR","EQY_CONSOLIDATED=Y","Sort=A","Dates=H","DateFormat=P","Fill=—","Direction=H","UseDPDF=Y")</f>
        <v>#NAME?</v>
      </c>
      <c r="AE519" s="2" t="e">
        <f ca="1">_xll.BDH($C$503,"WORK_CAP_GROWTH","FQ1 2017","FQ1 2017","Currency=INR","Period=FQ","BEST_FPERIOD_OVERRIDE=FQ","FILING_STATUS=OR","EQY_CONSOLIDATED=Y","Sort=A","Dates=H","DateFormat=P","Fill=—","Direction=H","UseDPDF=Y")</f>
        <v>#NAME?</v>
      </c>
      <c r="AF519" s="2" t="e">
        <f ca="1">_xll.BDH($C$503,"ACCOUNTS_PAYABLE_GROWTH_1YR","FQ1 2017","FQ1 2017","Currency=INR","Period=FQ","BEST_FPERIOD_OVERRIDE=FQ","FILING_STATUS=OR","EQY_CONSOLIDATED=Y","Sort=A","Dates=H","DateFormat=P","Fill=—","Direction=H","UseDPDF=Y")</f>
        <v>#NAME?</v>
      </c>
      <c r="AG519" s="2" t="e">
        <f ca="1">_xll.BDH($C$503,"SHORT_TERM_DEBT_1_YEAR_GROWTH","FQ1 2017","FQ1 2017","Currency=INR","Period=FQ","BEST_FPERIOD_OVERRIDE=FQ","FILING_STATUS=OR","EQY_CONSOLIDATED=Y","Sort=A","Dates=H","DateFormat=P","Fill=—","Direction=H","UseDPDF=Y")</f>
        <v>#NAME?</v>
      </c>
      <c r="AH519" s="2" t="e">
        <f ca="1">_xll.BDH($C$503,"TOTAL_DEBT_1_YEAR_GROWTH","FQ1 2017","FQ1 2017","Currency=INR","Period=FQ","BEST_FPERIOD_OVERRIDE=FQ","FILING_STATUS=OR","EQY_CONSOLIDATED=Y","Sort=A","Dates=H","DateFormat=P","Fill=—","Direction=H","UseDPDF=Y")</f>
        <v>#NAME?</v>
      </c>
      <c r="AI519" s="2" t="e">
        <f ca="1">_xll.BDH($C$503,"TOTAL_EQUITY_1_YEAR_GROWTH","FQ1 2017","FQ1 2017","Currency=INR","Period=FQ","BEST_FPERIOD_OVERRIDE=FQ","FILING_STATUS=OR","EQY_CONSOLIDATED=Y","Sort=A","Dates=H","DateFormat=P","Fill=—","Direction=H","UseDPDF=Y")</f>
        <v>#NAME?</v>
      </c>
      <c r="AJ519" s="2" t="e">
        <f ca="1">_xll.BDH($C$503,"GROWTH_IN_CAP","FQ1 2017","FQ1 2017","Currency=INR","Period=FQ","BEST_FPERIOD_OVERRIDE=FQ","FILING_STATUS=OR","EQY_CONSOLIDATED=Y","Sort=A","Dates=H","DateFormat=P","Fill=—","Direction=H","UseDPDF=Y")</f>
        <v>#NAME?</v>
      </c>
      <c r="AK519" s="2" t="e">
        <f ca="1">_xll.BDH($C$503,"BVPS_GROWTH","FQ1 2017","FQ1 2017","Currency=INR","Period=FQ","BEST_FPERIOD_OVERRIDE=FQ","FILING_STATUS=OR","EQY_CONSOLIDATED=Y","Sort=A","Dates=H","DateFormat=P","Fill=—","Direction=H","UseDPDF=Y")</f>
        <v>#NAME?</v>
      </c>
      <c r="AL519" s="2" t="e">
        <f ca="1">_xll.BDH($C$503,"CASH_FLOW_GROWTH","FQ1 2017","FQ1 2017","Currency=INR","Period=FQ","BEST_FPERIOD_OVERRIDE=FQ","FILING_STATUS=OR","EQY_CONSOLIDATED=Y","Sort=A","Dates=H","DateFormat=P","Fill=—","Direction=H","UseDPDF=Y")</f>
        <v>#NAME?</v>
      </c>
      <c r="AM519" s="2" t="e">
        <f ca="1">_xll.BDH($C$503,"GEO_GROW_NET_SALES","FQ1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19" s="2" t="e">
        <f ca="1">_xll.BDH($C$503,"GEO_GROW_EBITDA","FQ1 2017","FQ1 2017","Currency=INR","Period=FQ","BEST_FPERIOD_OVERRIDE=FQ","FILING_STATUS=OR","EQY_CONSOLIDATED=Y","FA_ADJUSTED=GAAP","Sort=A","Dates=H","DateFormat=P","Fill=—","Direction=H","UseDPDF=Y")</f>
        <v>#NAME?</v>
      </c>
      <c r="AO519" s="2" t="e">
        <f ca="1">_xll.BDH($C$503,"GEO_GROW_OPER_INC","FQ1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19" s="2" t="e">
        <f ca="1">_xll.BDH($C$503,"NET_INCOME_TO_COMMON_5_YR_GROWTH","FQ1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19" s="2" t="e">
        <f ca="1">_xll.BDH($C$503,"5Y_GEO_GROWTH_DILUTED_EPS","FQ1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19" s="2" t="e">
        <f ca="1">_xll.BDH($C$503,"GEO_GROW_DVD_PER_SH","FQ1 2017","FQ1 2017","Currency=INR","Period=FQ","BEST_FPERIOD_OVERRIDE=FQ","FILING_STATUS=OR","EQY_CONSOLIDATED=Y","Sort=A","Dates=H","DateFormat=P","Fill=—","Direction=H","UseDPDF=Y")</f>
        <v>#NAME?</v>
      </c>
      <c r="AS519" s="2" t="e">
        <f ca="1">_xll.BDH($C$503,"ACCOUNTS_RECEIVABLE_5_YR_GROWTH","FQ1 2017","FQ1 2017","Currency=INR","Period=FQ","BEST_FPERIOD_OVERRIDE=FQ","FILING_STATUS=OR","EQY_CONSOLIDATED=Y","Sort=A","Dates=H","DateFormat=P","Fill=—","Direction=H","UseDPDF=Y")</f>
        <v>#NAME?</v>
      </c>
      <c r="AT519" s="2" t="e">
        <f ca="1">_xll.BDH($C$503,"INVENTORY_5_YEAR_GROWTH","FQ1 2017","FQ1 2017","Currency=INR","Period=FQ","BEST_FPERIOD_OVERRIDE=FQ","FILING_STATUS=OR","EQY_CONSOLIDATED=Y","Sort=A","Dates=H","DateFormat=P","Fill=—","Direction=H","UseDPDF=Y")</f>
        <v>#NAME?</v>
      </c>
      <c r="AU519" s="2" t="e">
        <f ca="1">_xll.BDH($C$503,"NET_FIXED_ASSETS_5_YEAR_GROWTH","FQ1 2017","FQ1 2017","Currency=INR","Period=FQ","BEST_FPERIOD_OVERRIDE=FQ","FILING_STATUS=OR","EQY_CONSOLIDATED=Y","Sort=A","Dates=H","DateFormat=P","Fill=—","Direction=H","UseDPDF=Y")</f>
        <v>#NAME?</v>
      </c>
      <c r="AV519" s="2" t="e">
        <f ca="1">_xll.BDH($C$503,"GEO_GROW_TOT_ASSET","FQ1 2017","FQ1 2017","Currency=INR","Period=FQ","BEST_FPERIOD_OVERRIDE=FQ","FILING_STATUS=OR","EQY_CONSOLIDATED=Y","Sort=A","Dates=H","DateFormat=P","Fill=—","Direction=H","UseDPDF=Y")</f>
        <v>#NAME?</v>
      </c>
      <c r="AW519" s="2" t="e">
        <f ca="1">_xll.BDH($C$503,"MODIFIED_WORKING_CPTL_5YR_GRWTH","FQ1 2017","FQ1 2017","Currency=INR","Period=FQ","BEST_FPERIOD_OVERRIDE=FQ","FILING_STATUS=OR","EQY_CONSOLIDATED=Y","Sort=A","Dates=H","DateFormat=P","Fill=—","Direction=H","UseDPDF=Y")</f>
        <v>#NAME?</v>
      </c>
      <c r="AX519" s="2" t="e">
        <f ca="1">_xll.BDH($C$503,"WORKING_CAPITAL_5_YEAR_GROWTH","FQ1 2017","FQ1 2017","Currency=INR","Period=FQ","BEST_FPERIOD_OVERRIDE=FQ","FILING_STATUS=OR","EQY_CONSOLIDATED=Y","Sort=A","Dates=H","DateFormat=P","Fill=—","Direction=H","UseDPDF=Y")</f>
        <v>#NAME?</v>
      </c>
      <c r="AY519" s="2" t="e">
        <f ca="1">_xll.BDH($C$503,"ACCOUNTS_PAYABLE_5_YEAR_GROWTH","FQ1 2017","FQ1 2017","Currency=INR","Period=FQ","BEST_FPERIOD_OVERRIDE=FQ","FILING_STATUS=OR","EQY_CONSOLIDATED=Y","Sort=A","Dates=H","DateFormat=P","Fill=—","Direction=H","UseDPDF=Y")</f>
        <v>#NAME?</v>
      </c>
      <c r="AZ519" s="2" t="e">
        <f ca="1">_xll.BDH($C$503,"SHORT_TERM_DEBT_5_YEAR_GROWTH","FQ1 2017","FQ1 2017","Currency=INR","Period=FQ","BEST_FPERIOD_OVERRIDE=FQ","FILING_STATUS=OR","EQY_CONSOLIDATED=Y","Sort=A","Dates=H","DateFormat=P","Fill=—","Direction=H","UseDPDF=Y")</f>
        <v>#NAME?</v>
      </c>
      <c r="BA519" s="2" t="e">
        <f ca="1">_xll.BDH($C$503,"TOTAL_DEBT_5_YEAR_GROWTH","FQ1 2017","FQ1 2017","Currency=INR","Period=FQ","BEST_FPERIOD_OVERRIDE=FQ","FILING_STATUS=OR","EQY_CONSOLIDATED=Y","Sort=A","Dates=H","DateFormat=P","Fill=—","Direction=H","UseDPDF=Y")</f>
        <v>#NAME?</v>
      </c>
      <c r="BB519" s="2" t="e">
        <f ca="1">_xll.BDH($C$503,"GEO_GROW_TOT_SHRHLDR_EQY","FQ1 2017","FQ1 2017","Currency=INR","Period=FQ","BEST_FPERIOD_OVERRIDE=FQ","FILING_STATUS=OR","EQY_CONSOLIDATED=Y","Sort=A","Dates=H","DateFormat=P","Fill=—","Direction=H","UseDPDF=Y")</f>
        <v>#NAME?</v>
      </c>
      <c r="BC519" s="2" t="e">
        <f ca="1">_xll.BDH($C$503,"TOTAL_CAPITAL_5_YEAR_GROWTH","FQ1 2017","FQ1 2017","Currency=INR","Period=FQ","BEST_FPERIOD_OVERRIDE=FQ","FILING_STATUS=OR","EQY_CONSOLIDATED=Y","Sort=A","Dates=H","DateFormat=P","Fill=—","Direction=H","UseDPDF=Y")</f>
        <v>#NAME?</v>
      </c>
      <c r="BD519" s="2" t="e">
        <f ca="1">_xll.BDH($C$503,"GEO_GROW_BOOK_VAL","FQ1 2017","FQ1 2017","Currency=INR","Period=FQ","BEST_FPERIOD_OVERRIDE=FQ","FILING_STATUS=OR","EQY_CONSOLIDATED=Y","Sort=A","Dates=H","DateFormat=P","Fill=—","Direction=H","UseDPDF=Y")</f>
        <v>#NAME?</v>
      </c>
      <c r="BE519" s="2" t="e">
        <f ca="1">_xll.BDH($C$503,"GEO_GROW_CASH_OPER_ACT","FQ1 2017","FQ1 2017","Currency=INR","Period=FQ","BEST_FPERIOD_OVERRIDE=FQ","FILING_STATUS=OR","EQY_CONSOLIDATED=Y","Sort=A","Dates=H","DateFormat=P","Fill=—","Direction=H","UseDPDF=Y")</f>
        <v>#NAME?</v>
      </c>
      <c r="BF519" s="2" t="e">
        <f ca="1">_xll.BDH($C$503,"REVENUE_SEQUENTIAL_GROWTH","FQ1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19" s="2" t="e">
        <f ca="1">_xll.BDH($C$503,"EBITDA_SEQUENTIAL_GROWTH","FQ1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19" s="2" t="e">
        <f ca="1">_xll.BDH($C$503,"OPERATING_INCOME_SEQ_GROWTH","FQ1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19" s="2" t="e">
        <f ca="1">_xll.BDH($C$503,"NET_INCOME_TO_COMMON_SEQ_GROWTH","FQ1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19" s="2" t="e">
        <f ca="1">_xll.BDH($C$503,"EPS_DILUTED_SEQUENTIAL_GROWTH","FQ1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19" s="2" t="e">
        <f ca="1">_xll.BDH($C$503,"DPS_SEQUENTIAL_GROWTH","FQ1 2017","FQ1 2017","Currency=INR","Period=FQ","BEST_FPERIOD_OVERRIDE=FQ","FILING_STATUS=OR","EQY_CONSOLIDATED=Y","Sort=A","Dates=H","DateFormat=P","Fill=—","Direction=H","UseDPDF=Y")</f>
        <v>#NAME?</v>
      </c>
      <c r="BL519" s="2" t="e">
        <f ca="1">_xll.BDH($C$503,"ACCOUNTS_RECEIVABLE_SEQ_GROWTH","FQ1 2017","FQ1 2017","Currency=INR","Period=FQ","BEST_FPERIOD_OVERRIDE=FQ","FILING_STATUS=OR","EQY_CONSOLIDATED=Y","Sort=A","Dates=H","DateFormat=P","Fill=—","Direction=H","UseDPDF=Y")</f>
        <v>#NAME?</v>
      </c>
      <c r="BM519" s="2" t="e">
        <f ca="1">_xll.BDH($C$503,"INVENTORY_SEQUENTIAL_GROWTH","FQ1 2017","FQ1 2017","Currency=INR","Period=FQ","BEST_FPERIOD_OVERRIDE=FQ","FILING_STATUS=OR","EQY_CONSOLIDATED=Y","Sort=A","Dates=H","DateFormat=P","Fill=—","Direction=H","UseDPDF=Y")</f>
        <v>#NAME?</v>
      </c>
      <c r="BN519" s="2" t="e">
        <f ca="1">_xll.BDH($C$503,"FIXED_ASSETS_SEQUENTIAL_GROWTH","FQ1 2017","FQ1 2017","Currency=INR","Period=FQ","BEST_FPERIOD_OVERRIDE=FQ","FILING_STATUS=OR","EQY_CONSOLIDATED=Y","Sort=A","Dates=H","DateFormat=P","Fill=—","Direction=H","UseDPDF=Y")</f>
        <v>#NAME?</v>
      </c>
      <c r="BO519" s="2" t="e">
        <f ca="1">_xll.BDH($C$503,"TOTAL_ASSETS_SEQUENTIAL_GROWTH","FQ1 2017","FQ1 2017","Currency=INR","Period=FQ","BEST_FPERIOD_OVERRIDE=FQ","FILING_STATUS=OR","EQY_CONSOLIDATED=Y","Sort=A","Dates=H","DateFormat=P","Fill=—","Direction=H","UseDPDF=Y")</f>
        <v>#NAME?</v>
      </c>
      <c r="BP519" s="2" t="e">
        <f ca="1">_xll.BDH($C$503,"MODIFIED_WORKING_CPTL_SEQ_GRWTH","FQ1 2017","FQ1 2017","Currency=INR","Period=FQ","BEST_FPERIOD_OVERRIDE=FQ","FILING_STATUS=OR","EQY_CONSOLIDATED=Y","Sort=A","Dates=H","DateFormat=P","Fill=—","Direction=H","UseDPDF=Y")</f>
        <v>#NAME?</v>
      </c>
      <c r="BQ519" s="2" t="e">
        <f ca="1">_xll.BDH($C$503,"WORKING_CAPITAL_SEQ_GROWTH","FQ1 2017","FQ1 2017","Currency=INR","Period=FQ","BEST_FPERIOD_OVERRIDE=FQ","FILING_STATUS=OR","EQY_CONSOLIDATED=Y","Sort=A","Dates=H","DateFormat=P","Fill=—","Direction=H","UseDPDF=Y")</f>
        <v>#NAME?</v>
      </c>
      <c r="BR519" s="2" t="e">
        <f ca="1">_xll.BDH($C$503,"ACCOUNTS_PAYABLE_SEQ_GROWTH","FQ1 2017","FQ1 2017","Currency=INR","Period=FQ","BEST_FPERIOD_OVERRIDE=FQ","FILING_STATUS=OR","EQY_CONSOLIDATED=Y","Sort=A","Dates=H","DateFormat=P","Fill=—","Direction=H","UseDPDF=Y")</f>
        <v>#NAME?</v>
      </c>
      <c r="BS519" s="2" t="e">
        <f ca="1">_xll.BDH($C$503,"ST_DEBT_SEQUENTIAL_GROWTH","FQ1 2017","FQ1 2017","Currency=INR","Period=FQ","BEST_FPERIOD_OVERRIDE=FQ","FILING_STATUS=OR","EQY_CONSOLIDATED=Y","Sort=A","Dates=H","DateFormat=P","Fill=—","Direction=H","UseDPDF=Y")</f>
        <v>#NAME?</v>
      </c>
      <c r="BT519" s="2" t="e">
        <f ca="1">_xll.BDH($C$503,"TOTAL_DEBT_SEQUENTIAL_GROWTH","FQ1 2017","FQ1 2017","Currency=INR","Period=FQ","BEST_FPERIOD_OVERRIDE=FQ","FILING_STATUS=OR","EQY_CONSOLIDATED=Y","Sort=A","Dates=H","DateFormat=P","Fill=—","Direction=H","UseDPDF=Y")</f>
        <v>#NAME?</v>
      </c>
      <c r="BU519" s="2" t="e">
        <f ca="1">_xll.BDH($C$503,"TOTAL_EQUITY_SEQUENTIAL_GROWTH","FQ1 2017","FQ1 2017","Currency=INR","Period=FQ","BEST_FPERIOD_OVERRIDE=FQ","FILING_STATUS=OR","EQY_CONSOLIDATED=Y","Sort=A","Dates=H","DateFormat=P","Fill=—","Direction=H","UseDPDF=Y")</f>
        <v>#NAME?</v>
      </c>
      <c r="BV519" s="2" t="e">
        <f ca="1">_xll.BDH($C$503,"TOTAL_CAPITAL_SEQUENTIAL_GROWTH","FQ1 2017","FQ1 2017","Currency=INR","Period=FQ","BEST_FPERIOD_OVERRIDE=FQ","FILING_STATUS=OR","EQY_CONSOLIDATED=Y","Sort=A","Dates=H","DateFormat=P","Fill=—","Direction=H","UseDPDF=Y")</f>
        <v>#NAME?</v>
      </c>
      <c r="BW519" s="2" t="e">
        <f ca="1">_xll.BDH($C$503,"BPS_SEQUENTIAL_GROWTH","FQ1 2017","FQ1 2017","Currency=INR","Period=FQ","BEST_FPERIOD_OVERRIDE=FQ","FILING_STATUS=OR","EQY_CONSOLIDATED=Y","Sort=A","Dates=H","DateFormat=P","Fill=—","Direction=H","UseDPDF=Y")</f>
        <v>#NAME?</v>
      </c>
      <c r="BX519" s="2" t="e">
        <f ca="1">_xll.BDH($C$503,"CFO_SEQUENTIAL_GROWTH","FQ1 2017","FQ1 2017","Currency=INR","Period=FQ","BEST_FPERIOD_OVERRIDE=FQ","FILING_STATUS=OR","EQY_CONSOLIDATED=Y","Sort=A","Dates=H","DateFormat=P","Fill=—","Direction=H","UseDPDF=Y")</f>
        <v>#NAME?</v>
      </c>
      <c r="BY519" s="3" t="e">
        <f ca="1">_xll.BDH($C$503,"SHORT_AND_LONG_TERM_DEBT","FQ1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19" s="3" t="e">
        <f ca="1">_xll.BDH($C$503,"BS_ST_BORROW","FQ1 2017","FQ1 2017","Currency=INR","Period=FQ","BEST_FPERIOD_OVERRIDE=FQ","FILING_STATUS=OR","EQY_CONSOLIDATED=Y","SCALING_FORMAT=MLN","Sort=A","Dates=H","DateFormat=P","Fill=—","Direction=H","UseDPDF=Y")</f>
        <v>#NAME?</v>
      </c>
      <c r="CA519" s="3" t="e">
        <f ca="1">_xll.BDH($C$503,"BS_LT_BORROW","FQ1 2017","FQ1 2017","Currency=INR","Period=FQ","BEST_FPERIOD_OVERRIDE=FQ","FILING_STATUS=OR","EQY_CONSOLIDATED=Y","SCALING_FORMAT=MLN","Sort=A","Dates=H","DateFormat=P","Fill=—","Direction=H","UseDPDF=Y")</f>
        <v>#NAME?</v>
      </c>
      <c r="CB519" s="2" t="e">
        <f ca="1">_xll.BDH($C$503,"TOT_DEBT_TO_EBITDA","FQ1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19" s="2" t="e">
        <f ca="1">_xll.BDH($C$503,"NET_DEBT_TO_EBITDA","FQ1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19" s="2" t="e">
        <f ca="1">_xll.BDH($C$503,"TOTAL_DEBT_TO_EBIT","FQ1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19" s="2" t="e">
        <f ca="1">_xll.BDH($C$503,"NET_DEBT_TO_EBIT","FQ1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19" s="2" t="e">
        <f ca="1">_xll.BDH($C$503,"EBITDA_TO_INTEREST_EXPN","FQ1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19" s="2" t="e">
        <f ca="1">_xll.BDH($C$503,"COM_EQY_TO_TOT_ASSET","FQ1 2017","FQ1 2017","Currency=INR","Period=FQ","BEST_FPERIOD_OVERRIDE=FQ","FILING_STATUS=OR","EQY_CONSOLIDATED=Y","Sort=A","Dates=H","DateFormat=P","Fill=—","Direction=H","UseDPDF=Y")</f>
        <v>#NAME?</v>
      </c>
      <c r="CH519" s="2" t="e">
        <f ca="1">_xll.BDH($C$503,"LT_DEBT_TO_TOT_EQY","FQ1 2017","FQ1 2017","Currency=INR","Period=FQ","BEST_FPERIOD_OVERRIDE=FQ","FILING_STATUS=OR","EQY_CONSOLIDATED=Y","Sort=A","Dates=H","DateFormat=P","Fill=—","Direction=H","UseDPDF=Y")</f>
        <v>#NAME?</v>
      </c>
      <c r="CI519" s="2" t="e">
        <f ca="1">_xll.BDH($C$503,"LT_DEBT_TO_TOT_CAP","FQ1 2017","FQ1 2017","Currency=INR","Period=FQ","BEST_FPERIOD_OVERRIDE=FQ","FILING_STATUS=OR","EQY_CONSOLIDATED=Y","Sort=A","Dates=H","DateFormat=P","Fill=—","Direction=H","UseDPDF=Y")</f>
        <v>#NAME?</v>
      </c>
      <c r="CJ519" s="2" t="e">
        <f ca="1">_xll.BDH($C$503,"LT_DEBT_TO_TOT_ASSET","FQ1 2017","FQ1 2017","Currency=INR","Period=FQ","BEST_FPERIOD_OVERRIDE=FQ","FILING_STATUS=OR","EQY_CONSOLIDATED=Y","Sort=A","Dates=H","DateFormat=P","Fill=—","Direction=H","UseDPDF=Y")</f>
        <v>#NAME?</v>
      </c>
      <c r="CK519" s="2" t="e">
        <f ca="1">_xll.BDH($C$503,"TOT_DEBT_TO_TOT_EQY","FQ1 2017","FQ1 2017","Currency=INR","Period=FQ","BEST_FPERIOD_OVERRIDE=FQ","FILING_STATUS=OR","EQY_CONSOLIDATED=Y","Sort=A","Dates=H","DateFormat=P","Fill=—","Direction=H","UseDPDF=Y")</f>
        <v>#NAME?</v>
      </c>
      <c r="CL519" s="2" t="e">
        <f ca="1">_xll.BDH($C$503,"TOT_DEBT_TO_TOT_CAP","FQ1 2017","FQ1 2017","Currency=INR","Period=FQ","BEST_FPERIOD_OVERRIDE=FQ","FILING_STATUS=OR","EQY_CONSOLIDATED=Y","Sort=A","Dates=H","DateFormat=P","Fill=—","Direction=H","UseDPDF=Y")</f>
        <v>#NAME?</v>
      </c>
      <c r="CM519" s="2" t="e">
        <f ca="1">_xll.BDH($C$503,"TOT_DEBT_TO_TOT_ASSET","FQ1 2017","FQ1 2017","Currency=INR","Period=FQ","BEST_FPERIOD_OVERRIDE=FQ","FILING_STATUS=OR","EQY_CONSOLIDATED=Y","Sort=A","Dates=H","DateFormat=P","Fill=—","Direction=H","UseDPDF=Y")</f>
        <v>#NAME?</v>
      </c>
      <c r="CN519" s="2" t="e">
        <f ca="1">_xll.BDH($C$503,"NET_DEBT_TO_SHRHLDR_EQTY","FQ1 2017","FQ1 2017","Currency=INR","Period=FQ","BEST_FPERIOD_OVERRIDE=FQ","FILING_STATUS=OR","EQY_CONSOLIDATED=Y","Sort=A","Dates=H","DateFormat=P","Fill=—","Direction=H","UseDPDF=Y")</f>
        <v>#NAME?</v>
      </c>
      <c r="CO519" s="2" t="e">
        <f ca="1">_xll.BDH($C$503,"NET_DEBT_%_CAPITAL","FQ1 2017","FQ1 2017","Currency=INR","Period=FQ","BEST_FPERIOD_OVERRIDE=FQ","FILING_STATUS=OR","EQY_CONSOLIDATED=Y","Sort=A","Dates=H","DateFormat=P","Fill=—","Direction=H","UseDPDF=Y")</f>
        <v>#NAME?</v>
      </c>
      <c r="CP519" s="3" t="e">
        <f ca="1">_xll.BDH($C$503,"EBITDA","FQ1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19" s="3" t="e">
        <f ca="1">_xll.BDH($C$503,"EBITDA_AFTER_CAPEX","FQ1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19" s="3" t="e">
        <f ca="1">_xll.BDH($C$503,"IS_OPER_INC","FQ1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19" s="2" t="e">
        <f ca="1">_xll.BDH($C$503,"CASH_RATIO","FQ1 2017","FQ1 2017","Currency=INR","Period=FQ","BEST_FPERIOD_OVERRIDE=FQ","FILING_STATUS=OR","EQY_CONSOLIDATED=Y","Sort=A","Dates=H","DateFormat=P","Fill=—","Direction=H","UseDPDF=Y")</f>
        <v>#NAME?</v>
      </c>
      <c r="CT519" s="2" t="e">
        <f ca="1">_xll.BDH($C$503,"CUR_RATIO","FQ1 2017","FQ1 2017","Currency=INR","Period=FQ","BEST_FPERIOD_OVERRIDE=FQ","FILING_STATUS=OR","EQY_CONSOLIDATED=Y","Sort=A","Dates=H","DateFormat=P","Fill=—","Direction=H","UseDPDF=Y")</f>
        <v>#NAME?</v>
      </c>
      <c r="CU519" s="2" t="e">
        <f ca="1">_xll.BDH($C$503,"QUICK_RATIO","FQ1 2017","FQ1 2017","Currency=INR","Period=FQ","BEST_FPERIOD_OVERRIDE=FQ","FILING_STATUS=OR","EQY_CONSOLIDATED=Y","Sort=A","Dates=H","DateFormat=P","Fill=—","Direction=H","UseDPDF=Y")</f>
        <v>#NAME?</v>
      </c>
      <c r="CV519" s="2" t="e">
        <f ca="1">_xll.BDH($C$503,"ALTMAN_Z_SCORE","FQ1 2017","FQ1 2017","Currency=INR","Period=FQ","BEST_FPERIOD_OVERRIDE=FQ","FILING_STATUS=OR","EQY_CONSOLIDATED=Y","Sort=A","Dates=H","DateFormat=P","Fill=—","Direction=H","UseDPDF=Y")</f>
        <v>#NAME?</v>
      </c>
      <c r="CW519" s="4" t="e">
        <f ca="1">_xll.BDH($C$503,"ACCT_RCV_TURN","FQ1 2017","FQ1 2017","Currency=INR","Period=FQ","BEST_FPERIOD_OVERRIDE=FQ","FILING_STATUS=OR","EQY_CONSOLIDATED=Y","FA_ADJUSTED=GAAP","Sort=A","Dates=H","DateFormat=P","Fill=—","Direction=H","UseDPDF=Y")</f>
        <v>#NAME?</v>
      </c>
      <c r="CX519" s="2" t="e">
        <f ca="1">_xll.BDH($C$503,"ACCT_RCV_DAYS","FQ1 2017","FQ1 2017","Currency=INR","Period=FQ","BEST_FPERIOD_OVERRIDE=FQ","FILING_STATUS=OR","EQY_CONSOLIDATED=Y","FA_ADJUSTED=GAAP","Sort=A","Dates=H","DateFormat=P","Fill=—","Direction=H","UseDPDF=Y")</f>
        <v>#NAME?</v>
      </c>
      <c r="CY519" s="4" t="e">
        <f ca="1">_xll.BDH($C$503,"INVENT_TURN","FQ1 2017","FQ1 2017","Currency=INR","Period=FQ","BEST_FPERIOD_OVERRIDE=FQ","FILING_STATUS=OR","EQY_CONSOLIDATED=Y","FA_ADJUSTED=GAAP","Sort=A","Dates=H","DateFormat=P","Fill=—","Direction=H","UseDPDF=Y")</f>
        <v>#NAME?</v>
      </c>
      <c r="CZ519" s="2" t="e">
        <f ca="1">_xll.BDH($C$503,"INVENT_DAYS","FQ1 2017","FQ1 2017","Currency=INR","Period=FQ","BEST_FPERIOD_OVERRIDE=FQ","FILING_STATUS=OR","EQY_CONSOLIDATED=Y","FA_ADJUSTED=GAAP","Sort=A","Dates=H","DateFormat=P","Fill=—","Direction=H","UseDPDF=Y")</f>
        <v>#NAME?</v>
      </c>
      <c r="DA519" s="4" t="e">
        <f ca="1">_xll.BDH($C$503,"ACCOUNTS_PAYABLE_TURNOVER","FQ1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19" s="2" t="e">
        <f ca="1">_xll.BDH($C$503,"ACCOUNTS_PAYABLE_TURNOVER_DAYS","FQ1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19" s="4" t="e">
        <f ca="1">_xll.BDH($C$503,"CASH_CONVERSION_CYCLE","FQ1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19" s="4" t="e">
        <f ca="1">_xll.BDH($C$503,"INV_TO_CASH_DAYS","FQ1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19" s="5" t="e">
        <f ca="1">_xll.BDH($C$503,"BS_INVENTORIES","FQ1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19" s="3" t="e">
        <f ca="1">_xll.BDH($C$503,"INVTRY_RAW_MATERIALS","FQ1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19" s="3" t="e">
        <f ca="1">_xll.BDH($C$503,"INVTRY_IN_PROGRESS","FQ1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19" s="3" t="e">
        <f ca="1">_xll.BDH($C$503,"INVTRY_FINISHED_GOODS","FQ1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19" s="3" t="e">
        <f ca="1">_xll.BDH($C$503,"BS_OTHER_INV","FQ1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20" spans="1:113" x14ac:dyDescent="0.3">
      <c r="A520" s="6"/>
      <c r="B520" s="6"/>
      <c r="C520" s="6"/>
      <c r="D520" s="6"/>
      <c r="E520" t="s">
        <v>79</v>
      </c>
      <c r="F520" t="e">
        <f ca="1">_xll.BDH($C$503,"RETURN_COM_EQY","FQ2 2017","FQ2 2017","Currency=INR","Period=FQ","BEST_FPERIOD_OVERRIDE=FQ","FILING_STATUS=OR","EQY_CONSOLIDATED=Y","FA_ADJUSTED=GAAP","Sort=A","Dates=H","DateFormat=P","Fill=—","Direction=H","UseDPDF=Y")</f>
        <v>#NAME?</v>
      </c>
      <c r="G520" t="e">
        <f ca="1">_xll.BDH($C$503,"RETURN_ON_ASSET","FQ2 2017","FQ2 2017","Currency=INR","Period=FQ","BEST_FPERIOD_OVERRIDE=FQ","FILING_STATUS=OR","EQY_CONSOLIDATED=Y","FA_ADJUSTED=GAAP","Sort=A","Dates=H","DateFormat=P","Fill=—","Direction=H","UseDPDF=Y")</f>
        <v>#NAME?</v>
      </c>
      <c r="H520" t="e">
        <f ca="1">_xll.BDH($C$503,"RETURN_ON_CAP","FQ2 2017","FQ2 2017","Currency=INR","Period=FQ","BEST_FPERIOD_OVERRIDE=FQ","FILING_STATUS=OR","EQY_CONSOLIDATED=Y","FA_ADJUSTED=GAAP","Sort=A","Dates=H","DateFormat=P","Fill=—","Direction=H","UseDPDF=Y")</f>
        <v>#NAME?</v>
      </c>
      <c r="I520" t="e">
        <f ca="1">_xll.BDH($C$503,"RETURN_ON_INV_CAPITAL","FQ2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20" t="e">
        <f ca="1">_xll.BDH($C$503,"EBITDA_TO_REVENUE","FQ2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20" t="e">
        <f ca="1">_xll.BDH($C$503,"OPER_MARGIN","FQ2 2017","FQ2 2017","Currency=INR","Period=FQ","BEST_FPERIOD_OVERRIDE=FQ","FILING_STATUS=OR","EQY_CONSOLIDATED=Y","FA_ADJUSTED=GAAP","Sort=A","Dates=H","DateFormat=P","Fill=—","Direction=H","UseDPDF=Y")</f>
        <v>#NAME?</v>
      </c>
      <c r="L520" t="e">
        <f ca="1">_xll.BDH($C$503,"INCREMENTAL_OPERATING_MARGIN","FQ2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20" t="e">
        <f ca="1">_xll.BDH($C$503,"PRETAX_INC_TO_NET_SALES","FQ2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20" t="e">
        <f ca="1">_xll.BDH($C$503,"INC_BEF_XO_ITEMS_TO_NET_SALES","FQ2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20" t="e">
        <f ca="1">_xll.BDH($C$503,"PROF_MARGIN","FQ2 2017","FQ2 2017","Currency=INR","Period=FQ","BEST_FPERIOD_OVERRIDE=FQ","FILING_STATUS=OR","EQY_CONSOLIDATED=Y","FA_ADJUSTED=GAAP","Sort=A","Dates=H","DateFormat=P","Fill=—","Direction=H","UseDPDF=Y")</f>
        <v>#NAME?</v>
      </c>
      <c r="P520" t="e">
        <f ca="1">_xll.BDH($C$503,"NET_INCOME_TO_COMMON_MARGIN","FQ2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20" t="e">
        <f ca="1">_xll.BDH($C$503,"EFF_TAX_RATE","FQ2 2017","FQ2 2017","Currency=INR","Period=FQ","BEST_FPERIOD_OVERRIDE=FQ","FILING_STATUS=OR","EQY_CONSOLIDATED=Y","FA_ADJUSTED=GAAP","Sort=A","Dates=H","DateFormat=P","Fill=—","Direction=H","UseDPDF=Y")</f>
        <v>#NAME?</v>
      </c>
      <c r="R520" t="e">
        <f ca="1">_xll.BDH($C$503,"DVD_PAYOUT_RATIO","FQ2 2017","FQ2 2017","Currency=INR","Period=FQ","BEST_FPERIOD_OVERRIDE=FQ","FILING_STATUS=OR","EQY_CONSOLIDATED=Y","FA_ADJUSTED=GAAP","Sort=A","Dates=H","DateFormat=P","Fill=—","Direction=H","UseDPDF=Y")</f>
        <v>#NAME?</v>
      </c>
      <c r="S520" t="e">
        <f ca="1">_xll.BDH($C$503,"SUSTAIN_GROWTH_RT","FQ2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20" s="2" t="e">
        <f ca="1">_xll.BDH($C$503,"SALES_GROWTH","FQ2 2017","FQ2 2017","Currency=INR","Period=FQ","BEST_FPERIOD_OVERRIDE=FQ","FILING_STATUS=OR","EQY_CONSOLIDATED=Y","FA_ADJUSTED=GAAP","Sort=A","Dates=H","DateFormat=P","Fill=—","Direction=H","UseDPDF=Y")</f>
        <v>#NAME?</v>
      </c>
      <c r="U520" s="2" t="e">
        <f ca="1">_xll.BDH($C$503,"EBITDA_GROWTH","FQ2 2017","FQ2 2017","Currency=INR","Period=FQ","BEST_FPERIOD_OVERRIDE=FQ","FILING_STATUS=OR","EQY_CONSOLIDATED=Y","FA_ADJUSTED=GAAP","Sort=A","Dates=H","DateFormat=P","Fill=—","Direction=H","UseDPDF=Y")</f>
        <v>#NAME?</v>
      </c>
      <c r="V520" s="2" t="e">
        <f ca="1">_xll.BDH($C$503,"OPER_INC_GROWTH","FQ2 2017","FQ2 2017","Currency=INR","Period=FQ","BEST_FPERIOD_OVERRIDE=FQ","FILING_STATUS=OR","EQY_CONSOLIDATED=Y","FA_ADJUSTED=GAAP","Sort=A","Dates=H","DateFormat=P","Fill=—","Direction=H","UseDPDF=Y")</f>
        <v>#NAME?</v>
      </c>
      <c r="W520" s="2" t="e">
        <f ca="1">_xll.BDH($C$503,"EARN_FOR_COM_GROWTH","FQ2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20" s="2" t="e">
        <f ca="1">_xll.BDH($C$503,"DILUTED_EPS_AFT_XO_ITEMS_GROWTH","FQ2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20" s="2" t="e">
        <f ca="1">_xll.BDH($C$503,"DIVIDEND_PER_SHARE_1_YEAR_GROWTH","FQ2 2017","FQ2 2017","Currency=INR","Period=FQ","BEST_FPERIOD_OVERRIDE=FQ","FILING_STATUS=OR","EQY_CONSOLIDATED=Y","Sort=A","Dates=H","DateFormat=P","Fill=—","Direction=H","UseDPDF=Y")</f>
        <v>#NAME?</v>
      </c>
      <c r="Z520" s="2" t="e">
        <f ca="1">_xll.BDH($C$503,"ACCOUNTS_RECEIVABLE_GROWTH","FQ2 2017","FQ2 2017","Currency=INR","Period=FQ","BEST_FPERIOD_OVERRIDE=FQ","FILING_STATUS=OR","EQY_CONSOLIDATED=Y","Sort=A","Dates=H","DateFormat=P","Fill=—","Direction=H","UseDPDF=Y")</f>
        <v>#NAME?</v>
      </c>
      <c r="AA520" s="2" t="e">
        <f ca="1">_xll.BDH($C$503,"INVENTORY_GROWTH","FQ2 2017","FQ2 2017","Currency=INR","Period=FQ","BEST_FPERIOD_OVERRIDE=FQ","FILING_STATUS=OR","EQY_CONSOLIDATED=Y","Sort=A","Dates=H","DateFormat=P","Fill=—","Direction=H","UseDPDF=Y")</f>
        <v>#NAME?</v>
      </c>
      <c r="AB520" s="2" t="e">
        <f ca="1">_xll.BDH($C$503,"NET_FIXED_ASSETS_1_YEAR_GROWTH","FQ2 2017","FQ2 2017","Currency=INR","Period=FQ","BEST_FPERIOD_OVERRIDE=FQ","FILING_STATUS=OR","EQY_CONSOLIDATED=Y","Sort=A","Dates=H","DateFormat=P","Fill=—","Direction=H","UseDPDF=Y")</f>
        <v>#NAME?</v>
      </c>
      <c r="AC520" s="2" t="e">
        <f ca="1">_xll.BDH($C$503,"ASSET_GROWTH","FQ2 2017","FQ2 2017","Currency=INR","Period=FQ","BEST_FPERIOD_OVERRIDE=FQ","FILING_STATUS=OR","EQY_CONSOLIDATED=Y","Sort=A","Dates=H","DateFormat=P","Fill=—","Direction=H","UseDPDF=Y")</f>
        <v>#NAME?</v>
      </c>
      <c r="AD520" s="2" t="e">
        <f ca="1">_xll.BDH($C$503,"MODIFIED_WORK_CAP_GROWTH","FQ2 2017","FQ2 2017","Currency=INR","Period=FQ","BEST_FPERIOD_OVERRIDE=FQ","FILING_STATUS=OR","EQY_CONSOLIDATED=Y","Sort=A","Dates=H","DateFormat=P","Fill=—","Direction=H","UseDPDF=Y")</f>
        <v>#NAME?</v>
      </c>
      <c r="AE520" s="2" t="e">
        <f ca="1">_xll.BDH($C$503,"WORK_CAP_GROWTH","FQ2 2017","FQ2 2017","Currency=INR","Period=FQ","BEST_FPERIOD_OVERRIDE=FQ","FILING_STATUS=OR","EQY_CONSOLIDATED=Y","Sort=A","Dates=H","DateFormat=P","Fill=—","Direction=H","UseDPDF=Y")</f>
        <v>#NAME?</v>
      </c>
      <c r="AF520" s="2" t="e">
        <f ca="1">_xll.BDH($C$503,"ACCOUNTS_PAYABLE_GROWTH_1YR","FQ2 2017","FQ2 2017","Currency=INR","Period=FQ","BEST_FPERIOD_OVERRIDE=FQ","FILING_STATUS=OR","EQY_CONSOLIDATED=Y","Sort=A","Dates=H","DateFormat=P","Fill=—","Direction=H","UseDPDF=Y")</f>
        <v>#NAME?</v>
      </c>
      <c r="AG520" s="2" t="e">
        <f ca="1">_xll.BDH($C$503,"SHORT_TERM_DEBT_1_YEAR_GROWTH","FQ2 2017","FQ2 2017","Currency=INR","Period=FQ","BEST_FPERIOD_OVERRIDE=FQ","FILING_STATUS=OR","EQY_CONSOLIDATED=Y","Sort=A","Dates=H","DateFormat=P","Fill=—","Direction=H","UseDPDF=Y")</f>
        <v>#NAME?</v>
      </c>
      <c r="AH520" s="2" t="e">
        <f ca="1">_xll.BDH($C$503,"TOTAL_DEBT_1_YEAR_GROWTH","FQ2 2017","FQ2 2017","Currency=INR","Period=FQ","BEST_FPERIOD_OVERRIDE=FQ","FILING_STATUS=OR","EQY_CONSOLIDATED=Y","Sort=A","Dates=H","DateFormat=P","Fill=—","Direction=H","UseDPDF=Y")</f>
        <v>#NAME?</v>
      </c>
      <c r="AI520" s="2" t="e">
        <f ca="1">_xll.BDH($C$503,"TOTAL_EQUITY_1_YEAR_GROWTH","FQ2 2017","FQ2 2017","Currency=INR","Period=FQ","BEST_FPERIOD_OVERRIDE=FQ","FILING_STATUS=OR","EQY_CONSOLIDATED=Y","Sort=A","Dates=H","DateFormat=P","Fill=—","Direction=H","UseDPDF=Y")</f>
        <v>#NAME?</v>
      </c>
      <c r="AJ520" s="2" t="e">
        <f ca="1">_xll.BDH($C$503,"GROWTH_IN_CAP","FQ2 2017","FQ2 2017","Currency=INR","Period=FQ","BEST_FPERIOD_OVERRIDE=FQ","FILING_STATUS=OR","EQY_CONSOLIDATED=Y","Sort=A","Dates=H","DateFormat=P","Fill=—","Direction=H","UseDPDF=Y")</f>
        <v>#NAME?</v>
      </c>
      <c r="AK520" s="2" t="e">
        <f ca="1">_xll.BDH($C$503,"BVPS_GROWTH","FQ2 2017","FQ2 2017","Currency=INR","Period=FQ","BEST_FPERIOD_OVERRIDE=FQ","FILING_STATUS=OR","EQY_CONSOLIDATED=Y","Sort=A","Dates=H","DateFormat=P","Fill=—","Direction=H","UseDPDF=Y")</f>
        <v>#NAME?</v>
      </c>
      <c r="AL520" s="2" t="e">
        <f ca="1">_xll.BDH($C$503,"CASH_FLOW_GROWTH","FQ2 2017","FQ2 2017","Currency=INR","Period=FQ","BEST_FPERIOD_OVERRIDE=FQ","FILING_STATUS=OR","EQY_CONSOLIDATED=Y","Sort=A","Dates=H","DateFormat=P","Fill=—","Direction=H","UseDPDF=Y")</f>
        <v>#NAME?</v>
      </c>
      <c r="AM520" s="2" t="e">
        <f ca="1">_xll.BDH($C$503,"GEO_GROW_NET_SALES","FQ2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20" s="2" t="e">
        <f ca="1">_xll.BDH($C$503,"GEO_GROW_EBITDA","FQ2 2017","FQ2 2017","Currency=INR","Period=FQ","BEST_FPERIOD_OVERRIDE=FQ","FILING_STATUS=OR","EQY_CONSOLIDATED=Y","FA_ADJUSTED=GAAP","Sort=A","Dates=H","DateFormat=P","Fill=—","Direction=H","UseDPDF=Y")</f>
        <v>#NAME?</v>
      </c>
      <c r="AO520" s="2" t="e">
        <f ca="1">_xll.BDH($C$503,"GEO_GROW_OPER_INC","FQ2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20" s="2" t="e">
        <f ca="1">_xll.BDH($C$503,"NET_INCOME_TO_COMMON_5_YR_GROWTH","FQ2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20" s="2" t="e">
        <f ca="1">_xll.BDH($C$503,"5Y_GEO_GROWTH_DILUTED_EPS","FQ2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20" s="2" t="e">
        <f ca="1">_xll.BDH($C$503,"GEO_GROW_DVD_PER_SH","FQ2 2017","FQ2 2017","Currency=INR","Period=FQ","BEST_FPERIOD_OVERRIDE=FQ","FILING_STATUS=OR","EQY_CONSOLIDATED=Y","Sort=A","Dates=H","DateFormat=P","Fill=—","Direction=H","UseDPDF=Y")</f>
        <v>#NAME?</v>
      </c>
      <c r="AS520" s="2" t="e">
        <f ca="1">_xll.BDH($C$503,"ACCOUNTS_RECEIVABLE_5_YR_GROWTH","FQ2 2017","FQ2 2017","Currency=INR","Period=FQ","BEST_FPERIOD_OVERRIDE=FQ","FILING_STATUS=OR","EQY_CONSOLIDATED=Y","Sort=A","Dates=H","DateFormat=P","Fill=—","Direction=H","UseDPDF=Y")</f>
        <v>#NAME?</v>
      </c>
      <c r="AT520" s="2" t="e">
        <f ca="1">_xll.BDH($C$503,"INVENTORY_5_YEAR_GROWTH","FQ2 2017","FQ2 2017","Currency=INR","Period=FQ","BEST_FPERIOD_OVERRIDE=FQ","FILING_STATUS=OR","EQY_CONSOLIDATED=Y","Sort=A","Dates=H","DateFormat=P","Fill=—","Direction=H","UseDPDF=Y")</f>
        <v>#NAME?</v>
      </c>
      <c r="AU520" s="2" t="e">
        <f ca="1">_xll.BDH($C$503,"NET_FIXED_ASSETS_5_YEAR_GROWTH","FQ2 2017","FQ2 2017","Currency=INR","Period=FQ","BEST_FPERIOD_OVERRIDE=FQ","FILING_STATUS=OR","EQY_CONSOLIDATED=Y","Sort=A","Dates=H","DateFormat=P","Fill=—","Direction=H","UseDPDF=Y")</f>
        <v>#NAME?</v>
      </c>
      <c r="AV520" s="2" t="e">
        <f ca="1">_xll.BDH($C$503,"GEO_GROW_TOT_ASSET","FQ2 2017","FQ2 2017","Currency=INR","Period=FQ","BEST_FPERIOD_OVERRIDE=FQ","FILING_STATUS=OR","EQY_CONSOLIDATED=Y","Sort=A","Dates=H","DateFormat=P","Fill=—","Direction=H","UseDPDF=Y")</f>
        <v>#NAME?</v>
      </c>
      <c r="AW520" s="2" t="e">
        <f ca="1">_xll.BDH($C$503,"MODIFIED_WORKING_CPTL_5YR_GRWTH","FQ2 2017","FQ2 2017","Currency=INR","Period=FQ","BEST_FPERIOD_OVERRIDE=FQ","FILING_STATUS=OR","EQY_CONSOLIDATED=Y","Sort=A","Dates=H","DateFormat=P","Fill=—","Direction=H","UseDPDF=Y")</f>
        <v>#NAME?</v>
      </c>
      <c r="AX520" s="2" t="e">
        <f ca="1">_xll.BDH($C$503,"WORKING_CAPITAL_5_YEAR_GROWTH","FQ2 2017","FQ2 2017","Currency=INR","Period=FQ","BEST_FPERIOD_OVERRIDE=FQ","FILING_STATUS=OR","EQY_CONSOLIDATED=Y","Sort=A","Dates=H","DateFormat=P","Fill=—","Direction=H","UseDPDF=Y")</f>
        <v>#NAME?</v>
      </c>
      <c r="AY520" s="2" t="e">
        <f ca="1">_xll.BDH($C$503,"ACCOUNTS_PAYABLE_5_YEAR_GROWTH","FQ2 2017","FQ2 2017","Currency=INR","Period=FQ","BEST_FPERIOD_OVERRIDE=FQ","FILING_STATUS=OR","EQY_CONSOLIDATED=Y","Sort=A","Dates=H","DateFormat=P","Fill=—","Direction=H","UseDPDF=Y")</f>
        <v>#NAME?</v>
      </c>
      <c r="AZ520" s="2" t="e">
        <f ca="1">_xll.BDH($C$503,"SHORT_TERM_DEBT_5_YEAR_GROWTH","FQ2 2017","FQ2 2017","Currency=INR","Period=FQ","BEST_FPERIOD_OVERRIDE=FQ","FILING_STATUS=OR","EQY_CONSOLIDATED=Y","Sort=A","Dates=H","DateFormat=P","Fill=—","Direction=H","UseDPDF=Y")</f>
        <v>#NAME?</v>
      </c>
      <c r="BA520" s="2" t="e">
        <f ca="1">_xll.BDH($C$503,"TOTAL_DEBT_5_YEAR_GROWTH","FQ2 2017","FQ2 2017","Currency=INR","Period=FQ","BEST_FPERIOD_OVERRIDE=FQ","FILING_STATUS=OR","EQY_CONSOLIDATED=Y","Sort=A","Dates=H","DateFormat=P","Fill=—","Direction=H","UseDPDF=Y")</f>
        <v>#NAME?</v>
      </c>
      <c r="BB520" s="2" t="e">
        <f ca="1">_xll.BDH($C$503,"GEO_GROW_TOT_SHRHLDR_EQY","FQ2 2017","FQ2 2017","Currency=INR","Period=FQ","BEST_FPERIOD_OVERRIDE=FQ","FILING_STATUS=OR","EQY_CONSOLIDATED=Y","Sort=A","Dates=H","DateFormat=P","Fill=—","Direction=H","UseDPDF=Y")</f>
        <v>#NAME?</v>
      </c>
      <c r="BC520" s="2" t="e">
        <f ca="1">_xll.BDH($C$503,"TOTAL_CAPITAL_5_YEAR_GROWTH","FQ2 2017","FQ2 2017","Currency=INR","Period=FQ","BEST_FPERIOD_OVERRIDE=FQ","FILING_STATUS=OR","EQY_CONSOLIDATED=Y","Sort=A","Dates=H","DateFormat=P","Fill=—","Direction=H","UseDPDF=Y")</f>
        <v>#NAME?</v>
      </c>
      <c r="BD520" s="2" t="e">
        <f ca="1">_xll.BDH($C$503,"GEO_GROW_BOOK_VAL","FQ2 2017","FQ2 2017","Currency=INR","Period=FQ","BEST_FPERIOD_OVERRIDE=FQ","FILING_STATUS=OR","EQY_CONSOLIDATED=Y","Sort=A","Dates=H","DateFormat=P","Fill=—","Direction=H","UseDPDF=Y")</f>
        <v>#NAME?</v>
      </c>
      <c r="BE520" s="2" t="e">
        <f ca="1">_xll.BDH($C$503,"GEO_GROW_CASH_OPER_ACT","FQ2 2017","FQ2 2017","Currency=INR","Period=FQ","BEST_FPERIOD_OVERRIDE=FQ","FILING_STATUS=OR","EQY_CONSOLIDATED=Y","Sort=A","Dates=H","DateFormat=P","Fill=—","Direction=H","UseDPDF=Y")</f>
        <v>#NAME?</v>
      </c>
      <c r="BF520" s="2" t="e">
        <f ca="1">_xll.BDH($C$503,"REVENUE_SEQUENTIAL_GROWTH","FQ2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20" s="2" t="e">
        <f ca="1">_xll.BDH($C$503,"EBITDA_SEQUENTIAL_GROWTH","FQ2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20" s="2" t="e">
        <f ca="1">_xll.BDH($C$503,"OPERATING_INCOME_SEQ_GROWTH","FQ2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20" s="2" t="e">
        <f ca="1">_xll.BDH($C$503,"NET_INCOME_TO_COMMON_SEQ_GROWTH","FQ2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20" s="2" t="e">
        <f ca="1">_xll.BDH($C$503,"EPS_DILUTED_SEQUENTIAL_GROWTH","FQ2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20" s="2" t="e">
        <f ca="1">_xll.BDH($C$503,"DPS_SEQUENTIAL_GROWTH","FQ2 2017","FQ2 2017","Currency=INR","Period=FQ","BEST_FPERIOD_OVERRIDE=FQ","FILING_STATUS=OR","EQY_CONSOLIDATED=Y","Sort=A","Dates=H","DateFormat=P","Fill=—","Direction=H","UseDPDF=Y")</f>
        <v>#NAME?</v>
      </c>
      <c r="BL520" s="2" t="e">
        <f ca="1">_xll.BDH($C$503,"ACCOUNTS_RECEIVABLE_SEQ_GROWTH","FQ2 2017","FQ2 2017","Currency=INR","Period=FQ","BEST_FPERIOD_OVERRIDE=FQ","FILING_STATUS=OR","EQY_CONSOLIDATED=Y","Sort=A","Dates=H","DateFormat=P","Fill=—","Direction=H","UseDPDF=Y")</f>
        <v>#NAME?</v>
      </c>
      <c r="BM520" s="2" t="e">
        <f ca="1">_xll.BDH($C$503,"INVENTORY_SEQUENTIAL_GROWTH","FQ2 2017","FQ2 2017","Currency=INR","Period=FQ","BEST_FPERIOD_OVERRIDE=FQ","FILING_STATUS=OR","EQY_CONSOLIDATED=Y","Sort=A","Dates=H","DateFormat=P","Fill=—","Direction=H","UseDPDF=Y")</f>
        <v>#NAME?</v>
      </c>
      <c r="BN520" s="2" t="e">
        <f ca="1">_xll.BDH($C$503,"FIXED_ASSETS_SEQUENTIAL_GROWTH","FQ2 2017","FQ2 2017","Currency=INR","Period=FQ","BEST_FPERIOD_OVERRIDE=FQ","FILING_STATUS=OR","EQY_CONSOLIDATED=Y","Sort=A","Dates=H","DateFormat=P","Fill=—","Direction=H","UseDPDF=Y")</f>
        <v>#NAME?</v>
      </c>
      <c r="BO520" s="2" t="e">
        <f ca="1">_xll.BDH($C$503,"TOTAL_ASSETS_SEQUENTIAL_GROWTH","FQ2 2017","FQ2 2017","Currency=INR","Period=FQ","BEST_FPERIOD_OVERRIDE=FQ","FILING_STATUS=OR","EQY_CONSOLIDATED=Y","Sort=A","Dates=H","DateFormat=P","Fill=—","Direction=H","UseDPDF=Y")</f>
        <v>#NAME?</v>
      </c>
      <c r="BP520" s="2" t="e">
        <f ca="1">_xll.BDH($C$503,"MODIFIED_WORKING_CPTL_SEQ_GRWTH","FQ2 2017","FQ2 2017","Currency=INR","Period=FQ","BEST_FPERIOD_OVERRIDE=FQ","FILING_STATUS=OR","EQY_CONSOLIDATED=Y","Sort=A","Dates=H","DateFormat=P","Fill=—","Direction=H","UseDPDF=Y")</f>
        <v>#NAME?</v>
      </c>
      <c r="BQ520" s="2" t="e">
        <f ca="1">_xll.BDH($C$503,"WORKING_CAPITAL_SEQ_GROWTH","FQ2 2017","FQ2 2017","Currency=INR","Period=FQ","BEST_FPERIOD_OVERRIDE=FQ","FILING_STATUS=OR","EQY_CONSOLIDATED=Y","Sort=A","Dates=H","DateFormat=P","Fill=—","Direction=H","UseDPDF=Y")</f>
        <v>#NAME?</v>
      </c>
      <c r="BR520" s="2" t="e">
        <f ca="1">_xll.BDH($C$503,"ACCOUNTS_PAYABLE_SEQ_GROWTH","FQ2 2017","FQ2 2017","Currency=INR","Period=FQ","BEST_FPERIOD_OVERRIDE=FQ","FILING_STATUS=OR","EQY_CONSOLIDATED=Y","Sort=A","Dates=H","DateFormat=P","Fill=—","Direction=H","UseDPDF=Y")</f>
        <v>#NAME?</v>
      </c>
      <c r="BS520" s="2" t="e">
        <f ca="1">_xll.BDH($C$503,"ST_DEBT_SEQUENTIAL_GROWTH","FQ2 2017","FQ2 2017","Currency=INR","Period=FQ","BEST_FPERIOD_OVERRIDE=FQ","FILING_STATUS=OR","EQY_CONSOLIDATED=Y","Sort=A","Dates=H","DateFormat=P","Fill=—","Direction=H","UseDPDF=Y")</f>
        <v>#NAME?</v>
      </c>
      <c r="BT520" s="2" t="e">
        <f ca="1">_xll.BDH($C$503,"TOTAL_DEBT_SEQUENTIAL_GROWTH","FQ2 2017","FQ2 2017","Currency=INR","Period=FQ","BEST_FPERIOD_OVERRIDE=FQ","FILING_STATUS=OR","EQY_CONSOLIDATED=Y","Sort=A","Dates=H","DateFormat=P","Fill=—","Direction=H","UseDPDF=Y")</f>
        <v>#NAME?</v>
      </c>
      <c r="BU520" s="2" t="e">
        <f ca="1">_xll.BDH($C$503,"TOTAL_EQUITY_SEQUENTIAL_GROWTH","FQ2 2017","FQ2 2017","Currency=INR","Period=FQ","BEST_FPERIOD_OVERRIDE=FQ","FILING_STATUS=OR","EQY_CONSOLIDATED=Y","Sort=A","Dates=H","DateFormat=P","Fill=—","Direction=H","UseDPDF=Y")</f>
        <v>#NAME?</v>
      </c>
      <c r="BV520" s="2" t="e">
        <f ca="1">_xll.BDH($C$503,"TOTAL_CAPITAL_SEQUENTIAL_GROWTH","FQ2 2017","FQ2 2017","Currency=INR","Period=FQ","BEST_FPERIOD_OVERRIDE=FQ","FILING_STATUS=OR","EQY_CONSOLIDATED=Y","Sort=A","Dates=H","DateFormat=P","Fill=—","Direction=H","UseDPDF=Y")</f>
        <v>#NAME?</v>
      </c>
      <c r="BW520" s="2" t="e">
        <f ca="1">_xll.BDH($C$503,"BPS_SEQUENTIAL_GROWTH","FQ2 2017","FQ2 2017","Currency=INR","Period=FQ","BEST_FPERIOD_OVERRIDE=FQ","FILING_STATUS=OR","EQY_CONSOLIDATED=Y","Sort=A","Dates=H","DateFormat=P","Fill=—","Direction=H","UseDPDF=Y")</f>
        <v>#NAME?</v>
      </c>
      <c r="BX520" s="2" t="e">
        <f ca="1">_xll.BDH($C$503,"CFO_SEQUENTIAL_GROWTH","FQ2 2017","FQ2 2017","Currency=INR","Period=FQ","BEST_FPERIOD_OVERRIDE=FQ","FILING_STATUS=OR","EQY_CONSOLIDATED=Y","Sort=A","Dates=H","DateFormat=P","Fill=—","Direction=H","UseDPDF=Y")</f>
        <v>#NAME?</v>
      </c>
      <c r="BY520" s="3" t="e">
        <f ca="1">_xll.BDH($C$503,"SHORT_AND_LONG_TERM_DEBT","FQ2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20" s="3" t="e">
        <f ca="1">_xll.BDH($C$503,"BS_ST_BORROW","FQ2 2017","FQ2 2017","Currency=INR","Period=FQ","BEST_FPERIOD_OVERRIDE=FQ","FILING_STATUS=OR","EQY_CONSOLIDATED=Y","SCALING_FORMAT=MLN","Sort=A","Dates=H","DateFormat=P","Fill=—","Direction=H","UseDPDF=Y")</f>
        <v>#NAME?</v>
      </c>
      <c r="CA520" s="3" t="e">
        <f ca="1">_xll.BDH($C$503,"BS_LT_BORROW","FQ2 2017","FQ2 2017","Currency=INR","Period=FQ","BEST_FPERIOD_OVERRIDE=FQ","FILING_STATUS=OR","EQY_CONSOLIDATED=Y","SCALING_FORMAT=MLN","Sort=A","Dates=H","DateFormat=P","Fill=—","Direction=H","UseDPDF=Y")</f>
        <v>#NAME?</v>
      </c>
      <c r="CB520" s="2" t="e">
        <f ca="1">_xll.BDH($C$503,"TOT_DEBT_TO_EBITDA","FQ2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20" s="2" t="e">
        <f ca="1">_xll.BDH($C$503,"NET_DEBT_TO_EBITDA","FQ2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20" s="2" t="e">
        <f ca="1">_xll.BDH($C$503,"TOTAL_DEBT_TO_EBIT","FQ2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20" s="2" t="e">
        <f ca="1">_xll.BDH($C$503,"NET_DEBT_TO_EBIT","FQ2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20" s="2" t="e">
        <f ca="1">_xll.BDH($C$503,"EBITDA_TO_INTEREST_EXPN","FQ2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20" s="2" t="e">
        <f ca="1">_xll.BDH($C$503,"COM_EQY_TO_TOT_ASSET","FQ2 2017","FQ2 2017","Currency=INR","Period=FQ","BEST_FPERIOD_OVERRIDE=FQ","FILING_STATUS=OR","EQY_CONSOLIDATED=Y","Sort=A","Dates=H","DateFormat=P","Fill=—","Direction=H","UseDPDF=Y")</f>
        <v>#NAME?</v>
      </c>
      <c r="CH520" s="2" t="e">
        <f ca="1">_xll.BDH($C$503,"LT_DEBT_TO_TOT_EQY","FQ2 2017","FQ2 2017","Currency=INR","Period=FQ","BEST_FPERIOD_OVERRIDE=FQ","FILING_STATUS=OR","EQY_CONSOLIDATED=Y","Sort=A","Dates=H","DateFormat=P","Fill=—","Direction=H","UseDPDF=Y")</f>
        <v>#NAME?</v>
      </c>
      <c r="CI520" s="2" t="e">
        <f ca="1">_xll.BDH($C$503,"LT_DEBT_TO_TOT_CAP","FQ2 2017","FQ2 2017","Currency=INR","Period=FQ","BEST_FPERIOD_OVERRIDE=FQ","FILING_STATUS=OR","EQY_CONSOLIDATED=Y","Sort=A","Dates=H","DateFormat=P","Fill=—","Direction=H","UseDPDF=Y")</f>
        <v>#NAME?</v>
      </c>
      <c r="CJ520" s="2" t="e">
        <f ca="1">_xll.BDH($C$503,"LT_DEBT_TO_TOT_ASSET","FQ2 2017","FQ2 2017","Currency=INR","Period=FQ","BEST_FPERIOD_OVERRIDE=FQ","FILING_STATUS=OR","EQY_CONSOLIDATED=Y","Sort=A","Dates=H","DateFormat=P","Fill=—","Direction=H","UseDPDF=Y")</f>
        <v>#NAME?</v>
      </c>
      <c r="CK520" s="2" t="e">
        <f ca="1">_xll.BDH($C$503,"TOT_DEBT_TO_TOT_EQY","FQ2 2017","FQ2 2017","Currency=INR","Period=FQ","BEST_FPERIOD_OVERRIDE=FQ","FILING_STATUS=OR","EQY_CONSOLIDATED=Y","Sort=A","Dates=H","DateFormat=P","Fill=—","Direction=H","UseDPDF=Y")</f>
        <v>#NAME?</v>
      </c>
      <c r="CL520" s="2" t="e">
        <f ca="1">_xll.BDH($C$503,"TOT_DEBT_TO_TOT_CAP","FQ2 2017","FQ2 2017","Currency=INR","Period=FQ","BEST_FPERIOD_OVERRIDE=FQ","FILING_STATUS=OR","EQY_CONSOLIDATED=Y","Sort=A","Dates=H","DateFormat=P","Fill=—","Direction=H","UseDPDF=Y")</f>
        <v>#NAME?</v>
      </c>
      <c r="CM520" s="2" t="e">
        <f ca="1">_xll.BDH($C$503,"TOT_DEBT_TO_TOT_ASSET","FQ2 2017","FQ2 2017","Currency=INR","Period=FQ","BEST_FPERIOD_OVERRIDE=FQ","FILING_STATUS=OR","EQY_CONSOLIDATED=Y","Sort=A","Dates=H","DateFormat=P","Fill=—","Direction=H","UseDPDF=Y")</f>
        <v>#NAME?</v>
      </c>
      <c r="CN520" s="2" t="e">
        <f ca="1">_xll.BDH($C$503,"NET_DEBT_TO_SHRHLDR_EQTY","FQ2 2017","FQ2 2017","Currency=INR","Period=FQ","BEST_FPERIOD_OVERRIDE=FQ","FILING_STATUS=OR","EQY_CONSOLIDATED=Y","Sort=A","Dates=H","DateFormat=P","Fill=—","Direction=H","UseDPDF=Y")</f>
        <v>#NAME?</v>
      </c>
      <c r="CO520" s="2" t="e">
        <f ca="1">_xll.BDH($C$503,"NET_DEBT_%_CAPITAL","FQ2 2017","FQ2 2017","Currency=INR","Period=FQ","BEST_FPERIOD_OVERRIDE=FQ","FILING_STATUS=OR","EQY_CONSOLIDATED=Y","Sort=A","Dates=H","DateFormat=P","Fill=—","Direction=H","UseDPDF=Y")</f>
        <v>#NAME?</v>
      </c>
      <c r="CP520" s="3" t="e">
        <f ca="1">_xll.BDH($C$503,"EBITDA","FQ2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20" s="3" t="e">
        <f ca="1">_xll.BDH($C$503,"EBITDA_AFTER_CAPEX","FQ2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20" s="3" t="e">
        <f ca="1">_xll.BDH($C$503,"IS_OPER_INC","FQ2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20" s="2" t="e">
        <f ca="1">_xll.BDH($C$503,"CASH_RATIO","FQ2 2017","FQ2 2017","Currency=INR","Period=FQ","BEST_FPERIOD_OVERRIDE=FQ","FILING_STATUS=OR","EQY_CONSOLIDATED=Y","Sort=A","Dates=H","DateFormat=P","Fill=—","Direction=H","UseDPDF=Y")</f>
        <v>#NAME?</v>
      </c>
      <c r="CT520" s="2" t="e">
        <f ca="1">_xll.BDH($C$503,"CUR_RATIO","FQ2 2017","FQ2 2017","Currency=INR","Period=FQ","BEST_FPERIOD_OVERRIDE=FQ","FILING_STATUS=OR","EQY_CONSOLIDATED=Y","Sort=A","Dates=H","DateFormat=P","Fill=—","Direction=H","UseDPDF=Y")</f>
        <v>#NAME?</v>
      </c>
      <c r="CU520" s="2" t="e">
        <f ca="1">_xll.BDH($C$503,"QUICK_RATIO","FQ2 2017","FQ2 2017","Currency=INR","Period=FQ","BEST_FPERIOD_OVERRIDE=FQ","FILING_STATUS=OR","EQY_CONSOLIDATED=Y","Sort=A","Dates=H","DateFormat=P","Fill=—","Direction=H","UseDPDF=Y")</f>
        <v>#NAME?</v>
      </c>
      <c r="CV520" s="2" t="e">
        <f ca="1">_xll.BDH($C$503,"ALTMAN_Z_SCORE","FQ2 2017","FQ2 2017","Currency=INR","Period=FQ","BEST_FPERIOD_OVERRIDE=FQ","FILING_STATUS=OR","EQY_CONSOLIDATED=Y","Sort=A","Dates=H","DateFormat=P","Fill=—","Direction=H","UseDPDF=Y")</f>
        <v>#NAME?</v>
      </c>
      <c r="CW520" s="4" t="e">
        <f ca="1">_xll.BDH($C$503,"ACCT_RCV_TURN","FQ2 2017","FQ2 2017","Currency=INR","Period=FQ","BEST_FPERIOD_OVERRIDE=FQ","FILING_STATUS=OR","EQY_CONSOLIDATED=Y","FA_ADJUSTED=GAAP","Sort=A","Dates=H","DateFormat=P","Fill=—","Direction=H","UseDPDF=Y")</f>
        <v>#NAME?</v>
      </c>
      <c r="CX520" s="2" t="e">
        <f ca="1">_xll.BDH($C$503,"ACCT_RCV_DAYS","FQ2 2017","FQ2 2017","Currency=INR","Period=FQ","BEST_FPERIOD_OVERRIDE=FQ","FILING_STATUS=OR","EQY_CONSOLIDATED=Y","FA_ADJUSTED=GAAP","Sort=A","Dates=H","DateFormat=P","Fill=—","Direction=H","UseDPDF=Y")</f>
        <v>#NAME?</v>
      </c>
      <c r="CY520" s="4" t="e">
        <f ca="1">_xll.BDH($C$503,"INVENT_TURN","FQ2 2017","FQ2 2017","Currency=INR","Period=FQ","BEST_FPERIOD_OVERRIDE=FQ","FILING_STATUS=OR","EQY_CONSOLIDATED=Y","FA_ADJUSTED=GAAP","Sort=A","Dates=H","DateFormat=P","Fill=—","Direction=H","UseDPDF=Y")</f>
        <v>#NAME?</v>
      </c>
      <c r="CZ520" s="2" t="e">
        <f ca="1">_xll.BDH($C$503,"INVENT_DAYS","FQ2 2017","FQ2 2017","Currency=INR","Period=FQ","BEST_FPERIOD_OVERRIDE=FQ","FILING_STATUS=OR","EQY_CONSOLIDATED=Y","FA_ADJUSTED=GAAP","Sort=A","Dates=H","DateFormat=P","Fill=—","Direction=H","UseDPDF=Y")</f>
        <v>#NAME?</v>
      </c>
      <c r="DA520" s="4" t="e">
        <f ca="1">_xll.BDH($C$503,"ACCOUNTS_PAYABLE_TURNOVER","FQ2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20" s="2" t="e">
        <f ca="1">_xll.BDH($C$503,"ACCOUNTS_PAYABLE_TURNOVER_DAYS","FQ2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20" s="4" t="e">
        <f ca="1">_xll.BDH($C$503,"CASH_CONVERSION_CYCLE","FQ2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20" s="4" t="e">
        <f ca="1">_xll.BDH($C$503,"INV_TO_CASH_DAYS","FQ2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20" s="5" t="e">
        <f ca="1">_xll.BDH($C$503,"BS_INVENTORIES","FQ2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20" s="3" t="e">
        <f ca="1">_xll.BDH($C$503,"INVTRY_RAW_MATERIALS","FQ2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20" s="3" t="e">
        <f ca="1">_xll.BDH($C$503,"INVTRY_IN_PROGRESS","FQ2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20" s="3" t="e">
        <f ca="1">_xll.BDH($C$503,"INVTRY_FINISHED_GOODS","FQ2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20" s="3" t="e">
        <f ca="1">_xll.BDH($C$503,"BS_OTHER_INV","FQ2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21" spans="1:113" x14ac:dyDescent="0.3">
      <c r="A521" s="6"/>
      <c r="B521" s="6"/>
      <c r="C521" s="6"/>
      <c r="D521" s="6"/>
      <c r="E521" t="s">
        <v>80</v>
      </c>
      <c r="F521" t="e">
        <f ca="1">_xll.BDH($C$503,"RETURN_COM_EQY","FQ3 2017","FQ3 2017","Currency=INR","Period=FQ","BEST_FPERIOD_OVERRIDE=FQ","FILING_STATUS=OR","EQY_CONSOLIDATED=Y","FA_ADJUSTED=GAAP","Sort=A","Dates=H","DateFormat=P","Fill=—","Direction=H","UseDPDF=Y")</f>
        <v>#NAME?</v>
      </c>
      <c r="G521" t="e">
        <f ca="1">_xll.BDH($C$503,"RETURN_ON_ASSET","FQ3 2017","FQ3 2017","Currency=INR","Period=FQ","BEST_FPERIOD_OVERRIDE=FQ","FILING_STATUS=OR","EQY_CONSOLIDATED=Y","FA_ADJUSTED=GAAP","Sort=A","Dates=H","DateFormat=P","Fill=—","Direction=H","UseDPDF=Y")</f>
        <v>#NAME?</v>
      </c>
      <c r="H521" t="e">
        <f ca="1">_xll.BDH($C$503,"RETURN_ON_CAP","FQ3 2017","FQ3 2017","Currency=INR","Period=FQ","BEST_FPERIOD_OVERRIDE=FQ","FILING_STATUS=OR","EQY_CONSOLIDATED=Y","FA_ADJUSTED=GAAP","Sort=A","Dates=H","DateFormat=P","Fill=—","Direction=H","UseDPDF=Y")</f>
        <v>#NAME?</v>
      </c>
      <c r="I521" t="e">
        <f ca="1">_xll.BDH($C$503,"RETURN_ON_INV_CAPITAL","FQ3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21" t="e">
        <f ca="1">_xll.BDH($C$503,"EBITDA_TO_REVENUE","FQ3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21" t="e">
        <f ca="1">_xll.BDH($C$503,"OPER_MARGIN","FQ3 2017","FQ3 2017","Currency=INR","Period=FQ","BEST_FPERIOD_OVERRIDE=FQ","FILING_STATUS=OR","EQY_CONSOLIDATED=Y","FA_ADJUSTED=GAAP","Sort=A","Dates=H","DateFormat=P","Fill=—","Direction=H","UseDPDF=Y")</f>
        <v>#NAME?</v>
      </c>
      <c r="L521" t="e">
        <f ca="1">_xll.BDH($C$503,"INCREMENTAL_OPERATING_MARGIN","FQ3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21" t="e">
        <f ca="1">_xll.BDH($C$503,"PRETAX_INC_TO_NET_SALES","FQ3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21" t="e">
        <f ca="1">_xll.BDH($C$503,"INC_BEF_XO_ITEMS_TO_NET_SALES","FQ3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21" t="e">
        <f ca="1">_xll.BDH($C$503,"PROF_MARGIN","FQ3 2017","FQ3 2017","Currency=INR","Period=FQ","BEST_FPERIOD_OVERRIDE=FQ","FILING_STATUS=OR","EQY_CONSOLIDATED=Y","FA_ADJUSTED=GAAP","Sort=A","Dates=H","DateFormat=P","Fill=—","Direction=H","UseDPDF=Y")</f>
        <v>#NAME?</v>
      </c>
      <c r="P521" t="e">
        <f ca="1">_xll.BDH($C$503,"NET_INCOME_TO_COMMON_MARGIN","FQ3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21" t="e">
        <f ca="1">_xll.BDH($C$503,"EFF_TAX_RATE","FQ3 2017","FQ3 2017","Currency=INR","Period=FQ","BEST_FPERIOD_OVERRIDE=FQ","FILING_STATUS=OR","EQY_CONSOLIDATED=Y","FA_ADJUSTED=GAAP","Sort=A","Dates=H","DateFormat=P","Fill=—","Direction=H","UseDPDF=Y")</f>
        <v>#NAME?</v>
      </c>
      <c r="R521" t="e">
        <f ca="1">_xll.BDH($C$503,"DVD_PAYOUT_RATIO","FQ3 2017","FQ3 2017","Currency=INR","Period=FQ","BEST_FPERIOD_OVERRIDE=FQ","FILING_STATUS=OR","EQY_CONSOLIDATED=Y","FA_ADJUSTED=GAAP","Sort=A","Dates=H","DateFormat=P","Fill=—","Direction=H","UseDPDF=Y")</f>
        <v>#NAME?</v>
      </c>
      <c r="S521" t="e">
        <f ca="1">_xll.BDH($C$503,"SUSTAIN_GROWTH_RT","FQ3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21" s="2" t="e">
        <f ca="1">_xll.BDH($C$503,"SALES_GROWTH","FQ3 2017","FQ3 2017","Currency=INR","Period=FQ","BEST_FPERIOD_OVERRIDE=FQ","FILING_STATUS=OR","EQY_CONSOLIDATED=Y","FA_ADJUSTED=GAAP","Sort=A","Dates=H","DateFormat=P","Fill=—","Direction=H","UseDPDF=Y")</f>
        <v>#NAME?</v>
      </c>
      <c r="U521" s="2" t="e">
        <f ca="1">_xll.BDH($C$503,"EBITDA_GROWTH","FQ3 2017","FQ3 2017","Currency=INR","Period=FQ","BEST_FPERIOD_OVERRIDE=FQ","FILING_STATUS=OR","EQY_CONSOLIDATED=Y","FA_ADJUSTED=GAAP","Sort=A","Dates=H","DateFormat=P","Fill=—","Direction=H","UseDPDF=Y")</f>
        <v>#NAME?</v>
      </c>
      <c r="V521" s="2" t="e">
        <f ca="1">_xll.BDH($C$503,"OPER_INC_GROWTH","FQ3 2017","FQ3 2017","Currency=INR","Period=FQ","BEST_FPERIOD_OVERRIDE=FQ","FILING_STATUS=OR","EQY_CONSOLIDATED=Y","FA_ADJUSTED=GAAP","Sort=A","Dates=H","DateFormat=P","Fill=—","Direction=H","UseDPDF=Y")</f>
        <v>#NAME?</v>
      </c>
      <c r="W521" s="2" t="e">
        <f ca="1">_xll.BDH($C$503,"EARN_FOR_COM_GROWTH","FQ3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21" s="2" t="e">
        <f ca="1">_xll.BDH($C$503,"DILUTED_EPS_AFT_XO_ITEMS_GROWTH","FQ3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21" s="2" t="e">
        <f ca="1">_xll.BDH($C$503,"DIVIDEND_PER_SHARE_1_YEAR_GROWTH","FQ3 2017","FQ3 2017","Currency=INR","Period=FQ","BEST_FPERIOD_OVERRIDE=FQ","FILING_STATUS=OR","EQY_CONSOLIDATED=Y","Sort=A","Dates=H","DateFormat=P","Fill=—","Direction=H","UseDPDF=Y")</f>
        <v>#NAME?</v>
      </c>
      <c r="Z521" s="2" t="e">
        <f ca="1">_xll.BDH($C$503,"ACCOUNTS_RECEIVABLE_GROWTH","FQ3 2017","FQ3 2017","Currency=INR","Period=FQ","BEST_FPERIOD_OVERRIDE=FQ","FILING_STATUS=OR","EQY_CONSOLIDATED=Y","Sort=A","Dates=H","DateFormat=P","Fill=—","Direction=H","UseDPDF=Y")</f>
        <v>#NAME?</v>
      </c>
      <c r="AA521" s="2" t="e">
        <f ca="1">_xll.BDH($C$503,"INVENTORY_GROWTH","FQ3 2017","FQ3 2017","Currency=INR","Period=FQ","BEST_FPERIOD_OVERRIDE=FQ","FILING_STATUS=OR","EQY_CONSOLIDATED=Y","Sort=A","Dates=H","DateFormat=P","Fill=—","Direction=H","UseDPDF=Y")</f>
        <v>#NAME?</v>
      </c>
      <c r="AB521" s="2" t="e">
        <f ca="1">_xll.BDH($C$503,"NET_FIXED_ASSETS_1_YEAR_GROWTH","FQ3 2017","FQ3 2017","Currency=INR","Period=FQ","BEST_FPERIOD_OVERRIDE=FQ","FILING_STATUS=OR","EQY_CONSOLIDATED=Y","Sort=A","Dates=H","DateFormat=P","Fill=—","Direction=H","UseDPDF=Y")</f>
        <v>#NAME?</v>
      </c>
      <c r="AC521" s="2" t="e">
        <f ca="1">_xll.BDH($C$503,"ASSET_GROWTH","FQ3 2017","FQ3 2017","Currency=INR","Period=FQ","BEST_FPERIOD_OVERRIDE=FQ","FILING_STATUS=OR","EQY_CONSOLIDATED=Y","Sort=A","Dates=H","DateFormat=P","Fill=—","Direction=H","UseDPDF=Y")</f>
        <v>#NAME?</v>
      </c>
      <c r="AD521" s="2" t="e">
        <f ca="1">_xll.BDH($C$503,"MODIFIED_WORK_CAP_GROWTH","FQ3 2017","FQ3 2017","Currency=INR","Period=FQ","BEST_FPERIOD_OVERRIDE=FQ","FILING_STATUS=OR","EQY_CONSOLIDATED=Y","Sort=A","Dates=H","DateFormat=P","Fill=—","Direction=H","UseDPDF=Y")</f>
        <v>#NAME?</v>
      </c>
      <c r="AE521" s="2" t="e">
        <f ca="1">_xll.BDH($C$503,"WORK_CAP_GROWTH","FQ3 2017","FQ3 2017","Currency=INR","Period=FQ","BEST_FPERIOD_OVERRIDE=FQ","FILING_STATUS=OR","EQY_CONSOLIDATED=Y","Sort=A","Dates=H","DateFormat=P","Fill=—","Direction=H","UseDPDF=Y")</f>
        <v>#NAME?</v>
      </c>
      <c r="AF521" s="2" t="e">
        <f ca="1">_xll.BDH($C$503,"ACCOUNTS_PAYABLE_GROWTH_1YR","FQ3 2017","FQ3 2017","Currency=INR","Period=FQ","BEST_FPERIOD_OVERRIDE=FQ","FILING_STATUS=OR","EQY_CONSOLIDATED=Y","Sort=A","Dates=H","DateFormat=P","Fill=—","Direction=H","UseDPDF=Y")</f>
        <v>#NAME?</v>
      </c>
      <c r="AG521" s="2" t="e">
        <f ca="1">_xll.BDH($C$503,"SHORT_TERM_DEBT_1_YEAR_GROWTH","FQ3 2017","FQ3 2017","Currency=INR","Period=FQ","BEST_FPERIOD_OVERRIDE=FQ","FILING_STATUS=OR","EQY_CONSOLIDATED=Y","Sort=A","Dates=H","DateFormat=P","Fill=—","Direction=H","UseDPDF=Y")</f>
        <v>#NAME?</v>
      </c>
      <c r="AH521" s="2" t="e">
        <f ca="1">_xll.BDH($C$503,"TOTAL_DEBT_1_YEAR_GROWTH","FQ3 2017","FQ3 2017","Currency=INR","Period=FQ","BEST_FPERIOD_OVERRIDE=FQ","FILING_STATUS=OR","EQY_CONSOLIDATED=Y","Sort=A","Dates=H","DateFormat=P","Fill=—","Direction=H","UseDPDF=Y")</f>
        <v>#NAME?</v>
      </c>
      <c r="AI521" s="2" t="e">
        <f ca="1">_xll.BDH($C$503,"TOTAL_EQUITY_1_YEAR_GROWTH","FQ3 2017","FQ3 2017","Currency=INR","Period=FQ","BEST_FPERIOD_OVERRIDE=FQ","FILING_STATUS=OR","EQY_CONSOLIDATED=Y","Sort=A","Dates=H","DateFormat=P","Fill=—","Direction=H","UseDPDF=Y")</f>
        <v>#NAME?</v>
      </c>
      <c r="AJ521" s="2" t="e">
        <f ca="1">_xll.BDH($C$503,"GROWTH_IN_CAP","FQ3 2017","FQ3 2017","Currency=INR","Period=FQ","BEST_FPERIOD_OVERRIDE=FQ","FILING_STATUS=OR","EQY_CONSOLIDATED=Y","Sort=A","Dates=H","DateFormat=P","Fill=—","Direction=H","UseDPDF=Y")</f>
        <v>#NAME?</v>
      </c>
      <c r="AK521" s="2" t="e">
        <f ca="1">_xll.BDH($C$503,"BVPS_GROWTH","FQ3 2017","FQ3 2017","Currency=INR","Period=FQ","BEST_FPERIOD_OVERRIDE=FQ","FILING_STATUS=OR","EQY_CONSOLIDATED=Y","Sort=A","Dates=H","DateFormat=P","Fill=—","Direction=H","UseDPDF=Y")</f>
        <v>#NAME?</v>
      </c>
      <c r="AL521" s="2" t="e">
        <f ca="1">_xll.BDH($C$503,"CASH_FLOW_GROWTH","FQ3 2017","FQ3 2017","Currency=INR","Period=FQ","BEST_FPERIOD_OVERRIDE=FQ","FILING_STATUS=OR","EQY_CONSOLIDATED=Y","Sort=A","Dates=H","DateFormat=P","Fill=—","Direction=H","UseDPDF=Y")</f>
        <v>#NAME?</v>
      </c>
      <c r="AM521" s="2" t="e">
        <f ca="1">_xll.BDH($C$503,"GEO_GROW_NET_SALES","FQ3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21" s="2" t="e">
        <f ca="1">_xll.BDH($C$503,"GEO_GROW_EBITDA","FQ3 2017","FQ3 2017","Currency=INR","Period=FQ","BEST_FPERIOD_OVERRIDE=FQ","FILING_STATUS=OR","EQY_CONSOLIDATED=Y","FA_ADJUSTED=GAAP","Sort=A","Dates=H","DateFormat=P","Fill=—","Direction=H","UseDPDF=Y")</f>
        <v>#NAME?</v>
      </c>
      <c r="AO521" s="2" t="e">
        <f ca="1">_xll.BDH($C$503,"GEO_GROW_OPER_INC","FQ3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21" s="2" t="e">
        <f ca="1">_xll.BDH($C$503,"NET_INCOME_TO_COMMON_5_YR_GROWTH","FQ3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21" s="2" t="e">
        <f ca="1">_xll.BDH($C$503,"5Y_GEO_GROWTH_DILUTED_EPS","FQ3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21" s="2" t="e">
        <f ca="1">_xll.BDH($C$503,"GEO_GROW_DVD_PER_SH","FQ3 2017","FQ3 2017","Currency=INR","Period=FQ","BEST_FPERIOD_OVERRIDE=FQ","FILING_STATUS=OR","EQY_CONSOLIDATED=Y","Sort=A","Dates=H","DateFormat=P","Fill=—","Direction=H","UseDPDF=Y")</f>
        <v>#NAME?</v>
      </c>
      <c r="AS521" s="2" t="e">
        <f ca="1">_xll.BDH($C$503,"ACCOUNTS_RECEIVABLE_5_YR_GROWTH","FQ3 2017","FQ3 2017","Currency=INR","Period=FQ","BEST_FPERIOD_OVERRIDE=FQ","FILING_STATUS=OR","EQY_CONSOLIDATED=Y","Sort=A","Dates=H","DateFormat=P","Fill=—","Direction=H","UseDPDF=Y")</f>
        <v>#NAME?</v>
      </c>
      <c r="AT521" s="2" t="e">
        <f ca="1">_xll.BDH($C$503,"INVENTORY_5_YEAR_GROWTH","FQ3 2017","FQ3 2017","Currency=INR","Period=FQ","BEST_FPERIOD_OVERRIDE=FQ","FILING_STATUS=OR","EQY_CONSOLIDATED=Y","Sort=A","Dates=H","DateFormat=P","Fill=—","Direction=H","UseDPDF=Y")</f>
        <v>#NAME?</v>
      </c>
      <c r="AU521" s="2" t="e">
        <f ca="1">_xll.BDH($C$503,"NET_FIXED_ASSETS_5_YEAR_GROWTH","FQ3 2017","FQ3 2017","Currency=INR","Period=FQ","BEST_FPERIOD_OVERRIDE=FQ","FILING_STATUS=OR","EQY_CONSOLIDATED=Y","Sort=A","Dates=H","DateFormat=P","Fill=—","Direction=H","UseDPDF=Y")</f>
        <v>#NAME?</v>
      </c>
      <c r="AV521" s="2" t="e">
        <f ca="1">_xll.BDH($C$503,"GEO_GROW_TOT_ASSET","FQ3 2017","FQ3 2017","Currency=INR","Period=FQ","BEST_FPERIOD_OVERRIDE=FQ","FILING_STATUS=OR","EQY_CONSOLIDATED=Y","Sort=A","Dates=H","DateFormat=P","Fill=—","Direction=H","UseDPDF=Y")</f>
        <v>#NAME?</v>
      </c>
      <c r="AW521" s="2" t="e">
        <f ca="1">_xll.BDH($C$503,"MODIFIED_WORKING_CPTL_5YR_GRWTH","FQ3 2017","FQ3 2017","Currency=INR","Period=FQ","BEST_FPERIOD_OVERRIDE=FQ","FILING_STATUS=OR","EQY_CONSOLIDATED=Y","Sort=A","Dates=H","DateFormat=P","Fill=—","Direction=H","UseDPDF=Y")</f>
        <v>#NAME?</v>
      </c>
      <c r="AX521" s="2" t="e">
        <f ca="1">_xll.BDH($C$503,"WORKING_CAPITAL_5_YEAR_GROWTH","FQ3 2017","FQ3 2017","Currency=INR","Period=FQ","BEST_FPERIOD_OVERRIDE=FQ","FILING_STATUS=OR","EQY_CONSOLIDATED=Y","Sort=A","Dates=H","DateFormat=P","Fill=—","Direction=H","UseDPDF=Y")</f>
        <v>#NAME?</v>
      </c>
      <c r="AY521" s="2" t="e">
        <f ca="1">_xll.BDH($C$503,"ACCOUNTS_PAYABLE_5_YEAR_GROWTH","FQ3 2017","FQ3 2017","Currency=INR","Period=FQ","BEST_FPERIOD_OVERRIDE=FQ","FILING_STATUS=OR","EQY_CONSOLIDATED=Y","Sort=A","Dates=H","DateFormat=P","Fill=—","Direction=H","UseDPDF=Y")</f>
        <v>#NAME?</v>
      </c>
      <c r="AZ521" s="2" t="e">
        <f ca="1">_xll.BDH($C$503,"SHORT_TERM_DEBT_5_YEAR_GROWTH","FQ3 2017","FQ3 2017","Currency=INR","Period=FQ","BEST_FPERIOD_OVERRIDE=FQ","FILING_STATUS=OR","EQY_CONSOLIDATED=Y","Sort=A","Dates=H","DateFormat=P","Fill=—","Direction=H","UseDPDF=Y")</f>
        <v>#NAME?</v>
      </c>
      <c r="BA521" s="2" t="e">
        <f ca="1">_xll.BDH($C$503,"TOTAL_DEBT_5_YEAR_GROWTH","FQ3 2017","FQ3 2017","Currency=INR","Period=FQ","BEST_FPERIOD_OVERRIDE=FQ","FILING_STATUS=OR","EQY_CONSOLIDATED=Y","Sort=A","Dates=H","DateFormat=P","Fill=—","Direction=H","UseDPDF=Y")</f>
        <v>#NAME?</v>
      </c>
      <c r="BB521" s="2" t="e">
        <f ca="1">_xll.BDH($C$503,"GEO_GROW_TOT_SHRHLDR_EQY","FQ3 2017","FQ3 2017","Currency=INR","Period=FQ","BEST_FPERIOD_OVERRIDE=FQ","FILING_STATUS=OR","EQY_CONSOLIDATED=Y","Sort=A","Dates=H","DateFormat=P","Fill=—","Direction=H","UseDPDF=Y")</f>
        <v>#NAME?</v>
      </c>
      <c r="BC521" s="2" t="e">
        <f ca="1">_xll.BDH($C$503,"TOTAL_CAPITAL_5_YEAR_GROWTH","FQ3 2017","FQ3 2017","Currency=INR","Period=FQ","BEST_FPERIOD_OVERRIDE=FQ","FILING_STATUS=OR","EQY_CONSOLIDATED=Y","Sort=A","Dates=H","DateFormat=P","Fill=—","Direction=H","UseDPDF=Y")</f>
        <v>#NAME?</v>
      </c>
      <c r="BD521" s="2" t="e">
        <f ca="1">_xll.BDH($C$503,"GEO_GROW_BOOK_VAL","FQ3 2017","FQ3 2017","Currency=INR","Period=FQ","BEST_FPERIOD_OVERRIDE=FQ","FILING_STATUS=OR","EQY_CONSOLIDATED=Y","Sort=A","Dates=H","DateFormat=P","Fill=—","Direction=H","UseDPDF=Y")</f>
        <v>#NAME?</v>
      </c>
      <c r="BE521" s="2" t="e">
        <f ca="1">_xll.BDH($C$503,"GEO_GROW_CASH_OPER_ACT","FQ3 2017","FQ3 2017","Currency=INR","Period=FQ","BEST_FPERIOD_OVERRIDE=FQ","FILING_STATUS=OR","EQY_CONSOLIDATED=Y","Sort=A","Dates=H","DateFormat=P","Fill=—","Direction=H","UseDPDF=Y")</f>
        <v>#NAME?</v>
      </c>
      <c r="BF521" s="2" t="e">
        <f ca="1">_xll.BDH($C$503,"REVENUE_SEQUENTIAL_GROWTH","FQ3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21" s="2" t="e">
        <f ca="1">_xll.BDH($C$503,"EBITDA_SEQUENTIAL_GROWTH","FQ3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21" s="2" t="e">
        <f ca="1">_xll.BDH($C$503,"OPERATING_INCOME_SEQ_GROWTH","FQ3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21" s="2" t="e">
        <f ca="1">_xll.BDH($C$503,"NET_INCOME_TO_COMMON_SEQ_GROWTH","FQ3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21" s="2" t="e">
        <f ca="1">_xll.BDH($C$503,"EPS_DILUTED_SEQUENTIAL_GROWTH","FQ3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21" s="2" t="e">
        <f ca="1">_xll.BDH($C$503,"DPS_SEQUENTIAL_GROWTH","FQ3 2017","FQ3 2017","Currency=INR","Period=FQ","BEST_FPERIOD_OVERRIDE=FQ","FILING_STATUS=OR","EQY_CONSOLIDATED=Y","Sort=A","Dates=H","DateFormat=P","Fill=—","Direction=H","UseDPDF=Y")</f>
        <v>#NAME?</v>
      </c>
      <c r="BL521" s="2" t="e">
        <f ca="1">_xll.BDH($C$503,"ACCOUNTS_RECEIVABLE_SEQ_GROWTH","FQ3 2017","FQ3 2017","Currency=INR","Period=FQ","BEST_FPERIOD_OVERRIDE=FQ","FILING_STATUS=OR","EQY_CONSOLIDATED=Y","Sort=A","Dates=H","DateFormat=P","Fill=—","Direction=H","UseDPDF=Y")</f>
        <v>#NAME?</v>
      </c>
      <c r="BM521" s="2" t="e">
        <f ca="1">_xll.BDH($C$503,"INVENTORY_SEQUENTIAL_GROWTH","FQ3 2017","FQ3 2017","Currency=INR","Period=FQ","BEST_FPERIOD_OVERRIDE=FQ","FILING_STATUS=OR","EQY_CONSOLIDATED=Y","Sort=A","Dates=H","DateFormat=P","Fill=—","Direction=H","UseDPDF=Y")</f>
        <v>#NAME?</v>
      </c>
      <c r="BN521" s="2" t="e">
        <f ca="1">_xll.BDH($C$503,"FIXED_ASSETS_SEQUENTIAL_GROWTH","FQ3 2017","FQ3 2017","Currency=INR","Period=FQ","BEST_FPERIOD_OVERRIDE=FQ","FILING_STATUS=OR","EQY_CONSOLIDATED=Y","Sort=A","Dates=H","DateFormat=P","Fill=—","Direction=H","UseDPDF=Y")</f>
        <v>#NAME?</v>
      </c>
      <c r="BO521" s="2" t="e">
        <f ca="1">_xll.BDH($C$503,"TOTAL_ASSETS_SEQUENTIAL_GROWTH","FQ3 2017","FQ3 2017","Currency=INR","Period=FQ","BEST_FPERIOD_OVERRIDE=FQ","FILING_STATUS=OR","EQY_CONSOLIDATED=Y","Sort=A","Dates=H","DateFormat=P","Fill=—","Direction=H","UseDPDF=Y")</f>
        <v>#NAME?</v>
      </c>
      <c r="BP521" s="2" t="e">
        <f ca="1">_xll.BDH($C$503,"MODIFIED_WORKING_CPTL_SEQ_GRWTH","FQ3 2017","FQ3 2017","Currency=INR","Period=FQ","BEST_FPERIOD_OVERRIDE=FQ","FILING_STATUS=OR","EQY_CONSOLIDATED=Y","Sort=A","Dates=H","DateFormat=P","Fill=—","Direction=H","UseDPDF=Y")</f>
        <v>#NAME?</v>
      </c>
      <c r="BQ521" s="2" t="e">
        <f ca="1">_xll.BDH($C$503,"WORKING_CAPITAL_SEQ_GROWTH","FQ3 2017","FQ3 2017","Currency=INR","Period=FQ","BEST_FPERIOD_OVERRIDE=FQ","FILING_STATUS=OR","EQY_CONSOLIDATED=Y","Sort=A","Dates=H","DateFormat=P","Fill=—","Direction=H","UseDPDF=Y")</f>
        <v>#NAME?</v>
      </c>
      <c r="BR521" s="2" t="e">
        <f ca="1">_xll.BDH($C$503,"ACCOUNTS_PAYABLE_SEQ_GROWTH","FQ3 2017","FQ3 2017","Currency=INR","Period=FQ","BEST_FPERIOD_OVERRIDE=FQ","FILING_STATUS=OR","EQY_CONSOLIDATED=Y","Sort=A","Dates=H","DateFormat=P","Fill=—","Direction=H","UseDPDF=Y")</f>
        <v>#NAME?</v>
      </c>
      <c r="BS521" s="2" t="e">
        <f ca="1">_xll.BDH($C$503,"ST_DEBT_SEQUENTIAL_GROWTH","FQ3 2017","FQ3 2017","Currency=INR","Period=FQ","BEST_FPERIOD_OVERRIDE=FQ","FILING_STATUS=OR","EQY_CONSOLIDATED=Y","Sort=A","Dates=H","DateFormat=P","Fill=—","Direction=H","UseDPDF=Y")</f>
        <v>#NAME?</v>
      </c>
      <c r="BT521" s="2" t="e">
        <f ca="1">_xll.BDH($C$503,"TOTAL_DEBT_SEQUENTIAL_GROWTH","FQ3 2017","FQ3 2017","Currency=INR","Period=FQ","BEST_FPERIOD_OVERRIDE=FQ","FILING_STATUS=OR","EQY_CONSOLIDATED=Y","Sort=A","Dates=H","DateFormat=P","Fill=—","Direction=H","UseDPDF=Y")</f>
        <v>#NAME?</v>
      </c>
      <c r="BU521" s="2" t="e">
        <f ca="1">_xll.BDH($C$503,"TOTAL_EQUITY_SEQUENTIAL_GROWTH","FQ3 2017","FQ3 2017","Currency=INR","Period=FQ","BEST_FPERIOD_OVERRIDE=FQ","FILING_STATUS=OR","EQY_CONSOLIDATED=Y","Sort=A","Dates=H","DateFormat=P","Fill=—","Direction=H","UseDPDF=Y")</f>
        <v>#NAME?</v>
      </c>
      <c r="BV521" s="2" t="e">
        <f ca="1">_xll.BDH($C$503,"TOTAL_CAPITAL_SEQUENTIAL_GROWTH","FQ3 2017","FQ3 2017","Currency=INR","Period=FQ","BEST_FPERIOD_OVERRIDE=FQ","FILING_STATUS=OR","EQY_CONSOLIDATED=Y","Sort=A","Dates=H","DateFormat=P","Fill=—","Direction=H","UseDPDF=Y")</f>
        <v>#NAME?</v>
      </c>
      <c r="BW521" s="2" t="e">
        <f ca="1">_xll.BDH($C$503,"BPS_SEQUENTIAL_GROWTH","FQ3 2017","FQ3 2017","Currency=INR","Period=FQ","BEST_FPERIOD_OVERRIDE=FQ","FILING_STATUS=OR","EQY_CONSOLIDATED=Y","Sort=A","Dates=H","DateFormat=P","Fill=—","Direction=H","UseDPDF=Y")</f>
        <v>#NAME?</v>
      </c>
      <c r="BX521" s="2" t="e">
        <f ca="1">_xll.BDH($C$503,"CFO_SEQUENTIAL_GROWTH","FQ3 2017","FQ3 2017","Currency=INR","Period=FQ","BEST_FPERIOD_OVERRIDE=FQ","FILING_STATUS=OR","EQY_CONSOLIDATED=Y","Sort=A","Dates=H","DateFormat=P","Fill=—","Direction=H","UseDPDF=Y")</f>
        <v>#NAME?</v>
      </c>
      <c r="BY521" s="3" t="e">
        <f ca="1">_xll.BDH($C$503,"SHORT_AND_LONG_TERM_DEBT","FQ3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21" s="3" t="e">
        <f ca="1">_xll.BDH($C$503,"BS_ST_BORROW","FQ3 2017","FQ3 2017","Currency=INR","Period=FQ","BEST_FPERIOD_OVERRIDE=FQ","FILING_STATUS=OR","EQY_CONSOLIDATED=Y","SCALING_FORMAT=MLN","Sort=A","Dates=H","DateFormat=P","Fill=—","Direction=H","UseDPDF=Y")</f>
        <v>#NAME?</v>
      </c>
      <c r="CA521" s="3" t="e">
        <f ca="1">_xll.BDH($C$503,"BS_LT_BORROW","FQ3 2017","FQ3 2017","Currency=INR","Period=FQ","BEST_FPERIOD_OVERRIDE=FQ","FILING_STATUS=OR","EQY_CONSOLIDATED=Y","SCALING_FORMAT=MLN","Sort=A","Dates=H","DateFormat=P","Fill=—","Direction=H","UseDPDF=Y")</f>
        <v>#NAME?</v>
      </c>
      <c r="CB521" s="2" t="e">
        <f ca="1">_xll.BDH($C$503,"TOT_DEBT_TO_EBITDA","FQ3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21" s="2" t="e">
        <f ca="1">_xll.BDH($C$503,"NET_DEBT_TO_EBITDA","FQ3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21" s="2" t="e">
        <f ca="1">_xll.BDH($C$503,"TOTAL_DEBT_TO_EBIT","FQ3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21" s="2" t="e">
        <f ca="1">_xll.BDH($C$503,"NET_DEBT_TO_EBIT","FQ3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21" s="2" t="e">
        <f ca="1">_xll.BDH($C$503,"EBITDA_TO_INTEREST_EXPN","FQ3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21" s="2" t="e">
        <f ca="1">_xll.BDH($C$503,"COM_EQY_TO_TOT_ASSET","FQ3 2017","FQ3 2017","Currency=INR","Period=FQ","BEST_FPERIOD_OVERRIDE=FQ","FILING_STATUS=OR","EQY_CONSOLIDATED=Y","Sort=A","Dates=H","DateFormat=P","Fill=—","Direction=H","UseDPDF=Y")</f>
        <v>#NAME?</v>
      </c>
      <c r="CH521" s="2" t="e">
        <f ca="1">_xll.BDH($C$503,"LT_DEBT_TO_TOT_EQY","FQ3 2017","FQ3 2017","Currency=INR","Period=FQ","BEST_FPERIOD_OVERRIDE=FQ","FILING_STATUS=OR","EQY_CONSOLIDATED=Y","Sort=A","Dates=H","DateFormat=P","Fill=—","Direction=H","UseDPDF=Y")</f>
        <v>#NAME?</v>
      </c>
      <c r="CI521" s="2" t="e">
        <f ca="1">_xll.BDH($C$503,"LT_DEBT_TO_TOT_CAP","FQ3 2017","FQ3 2017","Currency=INR","Period=FQ","BEST_FPERIOD_OVERRIDE=FQ","FILING_STATUS=OR","EQY_CONSOLIDATED=Y","Sort=A","Dates=H","DateFormat=P","Fill=—","Direction=H","UseDPDF=Y")</f>
        <v>#NAME?</v>
      </c>
      <c r="CJ521" s="2" t="e">
        <f ca="1">_xll.BDH($C$503,"LT_DEBT_TO_TOT_ASSET","FQ3 2017","FQ3 2017","Currency=INR","Period=FQ","BEST_FPERIOD_OVERRIDE=FQ","FILING_STATUS=OR","EQY_CONSOLIDATED=Y","Sort=A","Dates=H","DateFormat=P","Fill=—","Direction=H","UseDPDF=Y")</f>
        <v>#NAME?</v>
      </c>
      <c r="CK521" s="2" t="e">
        <f ca="1">_xll.BDH($C$503,"TOT_DEBT_TO_TOT_EQY","FQ3 2017","FQ3 2017","Currency=INR","Period=FQ","BEST_FPERIOD_OVERRIDE=FQ","FILING_STATUS=OR","EQY_CONSOLIDATED=Y","Sort=A","Dates=H","DateFormat=P","Fill=—","Direction=H","UseDPDF=Y")</f>
        <v>#NAME?</v>
      </c>
      <c r="CL521" s="2" t="e">
        <f ca="1">_xll.BDH($C$503,"TOT_DEBT_TO_TOT_CAP","FQ3 2017","FQ3 2017","Currency=INR","Period=FQ","BEST_FPERIOD_OVERRIDE=FQ","FILING_STATUS=OR","EQY_CONSOLIDATED=Y","Sort=A","Dates=H","DateFormat=P","Fill=—","Direction=H","UseDPDF=Y")</f>
        <v>#NAME?</v>
      </c>
      <c r="CM521" s="2" t="e">
        <f ca="1">_xll.BDH($C$503,"TOT_DEBT_TO_TOT_ASSET","FQ3 2017","FQ3 2017","Currency=INR","Period=FQ","BEST_FPERIOD_OVERRIDE=FQ","FILING_STATUS=OR","EQY_CONSOLIDATED=Y","Sort=A","Dates=H","DateFormat=P","Fill=—","Direction=H","UseDPDF=Y")</f>
        <v>#NAME?</v>
      </c>
      <c r="CN521" s="2" t="e">
        <f ca="1">_xll.BDH($C$503,"NET_DEBT_TO_SHRHLDR_EQTY","FQ3 2017","FQ3 2017","Currency=INR","Period=FQ","BEST_FPERIOD_OVERRIDE=FQ","FILING_STATUS=OR","EQY_CONSOLIDATED=Y","Sort=A","Dates=H","DateFormat=P","Fill=—","Direction=H","UseDPDF=Y")</f>
        <v>#NAME?</v>
      </c>
      <c r="CO521" s="2" t="e">
        <f ca="1">_xll.BDH($C$503,"NET_DEBT_%_CAPITAL","FQ3 2017","FQ3 2017","Currency=INR","Period=FQ","BEST_FPERIOD_OVERRIDE=FQ","FILING_STATUS=OR","EQY_CONSOLIDATED=Y","Sort=A","Dates=H","DateFormat=P","Fill=—","Direction=H","UseDPDF=Y")</f>
        <v>#NAME?</v>
      </c>
      <c r="CP521" s="3" t="e">
        <f ca="1">_xll.BDH($C$503,"EBITDA","FQ3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21" s="3" t="e">
        <f ca="1">_xll.BDH($C$503,"EBITDA_AFTER_CAPEX","FQ3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21" s="3" t="e">
        <f ca="1">_xll.BDH($C$503,"IS_OPER_INC","FQ3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21" s="2" t="e">
        <f ca="1">_xll.BDH($C$503,"CASH_RATIO","FQ3 2017","FQ3 2017","Currency=INR","Period=FQ","BEST_FPERIOD_OVERRIDE=FQ","FILING_STATUS=OR","EQY_CONSOLIDATED=Y","Sort=A","Dates=H","DateFormat=P","Fill=—","Direction=H","UseDPDF=Y")</f>
        <v>#NAME?</v>
      </c>
      <c r="CT521" s="2" t="e">
        <f ca="1">_xll.BDH($C$503,"CUR_RATIO","FQ3 2017","FQ3 2017","Currency=INR","Period=FQ","BEST_FPERIOD_OVERRIDE=FQ","FILING_STATUS=OR","EQY_CONSOLIDATED=Y","Sort=A","Dates=H","DateFormat=P","Fill=—","Direction=H","UseDPDF=Y")</f>
        <v>#NAME?</v>
      </c>
      <c r="CU521" s="2" t="e">
        <f ca="1">_xll.BDH($C$503,"QUICK_RATIO","FQ3 2017","FQ3 2017","Currency=INR","Period=FQ","BEST_FPERIOD_OVERRIDE=FQ","FILING_STATUS=OR","EQY_CONSOLIDATED=Y","Sort=A","Dates=H","DateFormat=P","Fill=—","Direction=H","UseDPDF=Y")</f>
        <v>#NAME?</v>
      </c>
      <c r="CV521" s="2" t="e">
        <f ca="1">_xll.BDH($C$503,"ALTMAN_Z_SCORE","FQ3 2017","FQ3 2017","Currency=INR","Period=FQ","BEST_FPERIOD_OVERRIDE=FQ","FILING_STATUS=OR","EQY_CONSOLIDATED=Y","Sort=A","Dates=H","DateFormat=P","Fill=—","Direction=H","UseDPDF=Y")</f>
        <v>#NAME?</v>
      </c>
      <c r="CW521" s="4" t="e">
        <f ca="1">_xll.BDH($C$503,"ACCT_RCV_TURN","FQ3 2017","FQ3 2017","Currency=INR","Period=FQ","BEST_FPERIOD_OVERRIDE=FQ","FILING_STATUS=OR","EQY_CONSOLIDATED=Y","FA_ADJUSTED=GAAP","Sort=A","Dates=H","DateFormat=P","Fill=—","Direction=H","UseDPDF=Y")</f>
        <v>#NAME?</v>
      </c>
      <c r="CX521" s="2" t="e">
        <f ca="1">_xll.BDH($C$503,"ACCT_RCV_DAYS","FQ3 2017","FQ3 2017","Currency=INR","Period=FQ","BEST_FPERIOD_OVERRIDE=FQ","FILING_STATUS=OR","EQY_CONSOLIDATED=Y","FA_ADJUSTED=GAAP","Sort=A","Dates=H","DateFormat=P","Fill=—","Direction=H","UseDPDF=Y")</f>
        <v>#NAME?</v>
      </c>
      <c r="CY521" s="4" t="e">
        <f ca="1">_xll.BDH($C$503,"INVENT_TURN","FQ3 2017","FQ3 2017","Currency=INR","Period=FQ","BEST_FPERIOD_OVERRIDE=FQ","FILING_STATUS=OR","EQY_CONSOLIDATED=Y","FA_ADJUSTED=GAAP","Sort=A","Dates=H","DateFormat=P","Fill=—","Direction=H","UseDPDF=Y")</f>
        <v>#NAME?</v>
      </c>
      <c r="CZ521" s="2" t="e">
        <f ca="1">_xll.BDH($C$503,"INVENT_DAYS","FQ3 2017","FQ3 2017","Currency=INR","Period=FQ","BEST_FPERIOD_OVERRIDE=FQ","FILING_STATUS=OR","EQY_CONSOLIDATED=Y","FA_ADJUSTED=GAAP","Sort=A","Dates=H","DateFormat=P","Fill=—","Direction=H","UseDPDF=Y")</f>
        <v>#NAME?</v>
      </c>
      <c r="DA521" s="4" t="e">
        <f ca="1">_xll.BDH($C$503,"ACCOUNTS_PAYABLE_TURNOVER","FQ3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21" s="2" t="e">
        <f ca="1">_xll.BDH($C$503,"ACCOUNTS_PAYABLE_TURNOVER_DAYS","FQ3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21" s="4" t="e">
        <f ca="1">_xll.BDH($C$503,"CASH_CONVERSION_CYCLE","FQ3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21" s="4" t="e">
        <f ca="1">_xll.BDH($C$503,"INV_TO_CASH_DAYS","FQ3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21" s="5" t="e">
        <f ca="1">_xll.BDH($C$503,"BS_INVENTORIES","FQ3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21" s="3" t="e">
        <f ca="1">_xll.BDH($C$503,"INVTRY_RAW_MATERIALS","FQ3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21" s="3" t="e">
        <f ca="1">_xll.BDH($C$503,"INVTRY_IN_PROGRESS","FQ3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21" s="3" t="e">
        <f ca="1">_xll.BDH($C$503,"INVTRY_FINISHED_GOODS","FQ3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21" s="3" t="e">
        <f ca="1">_xll.BDH($C$503,"BS_OTHER_INV","FQ3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22" spans="1:113" x14ac:dyDescent="0.3">
      <c r="A522" s="6"/>
      <c r="B522" s="6"/>
      <c r="C522" s="6"/>
      <c r="D522" s="6"/>
      <c r="E522" t="s">
        <v>81</v>
      </c>
      <c r="F522" t="e">
        <f ca="1">_xll.BDH($C$503,"RETURN_COM_EQY","FQ4 2017","FQ4 2017","Currency=INR","Period=FQ","BEST_FPERIOD_OVERRIDE=FQ","FILING_STATUS=OR","EQY_CONSOLIDATED=Y","FA_ADJUSTED=GAAP","Sort=A","Dates=H","DateFormat=P","Fill=—","Direction=H","UseDPDF=Y")</f>
        <v>#NAME?</v>
      </c>
      <c r="G522" t="e">
        <f ca="1">_xll.BDH($C$503,"RETURN_ON_ASSET","FQ4 2017","FQ4 2017","Currency=INR","Period=FQ","BEST_FPERIOD_OVERRIDE=FQ","FILING_STATUS=OR","EQY_CONSOLIDATED=Y","FA_ADJUSTED=GAAP","Sort=A","Dates=H","DateFormat=P","Fill=—","Direction=H","UseDPDF=Y")</f>
        <v>#NAME?</v>
      </c>
      <c r="H522" t="e">
        <f ca="1">_xll.BDH($C$503,"RETURN_ON_CAP","FQ4 2017","FQ4 2017","Currency=INR","Period=FQ","BEST_FPERIOD_OVERRIDE=FQ","FILING_STATUS=OR","EQY_CONSOLIDATED=Y","FA_ADJUSTED=GAAP","Sort=A","Dates=H","DateFormat=P","Fill=—","Direction=H","UseDPDF=Y")</f>
        <v>#NAME?</v>
      </c>
      <c r="I522" t="e">
        <f ca="1">_xll.BDH($C$503,"RETURN_ON_INV_CAPITAL","FQ4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22" t="e">
        <f ca="1">_xll.BDH($C$503,"EBITDA_TO_REVENUE","FQ4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22" t="e">
        <f ca="1">_xll.BDH($C$503,"OPER_MARGIN","FQ4 2017","FQ4 2017","Currency=INR","Period=FQ","BEST_FPERIOD_OVERRIDE=FQ","FILING_STATUS=OR","EQY_CONSOLIDATED=Y","FA_ADJUSTED=GAAP","Sort=A","Dates=H","DateFormat=P","Fill=—","Direction=H","UseDPDF=Y")</f>
        <v>#NAME?</v>
      </c>
      <c r="L522" t="e">
        <f ca="1">_xll.BDH($C$503,"INCREMENTAL_OPERATING_MARGIN","FQ4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22" t="e">
        <f ca="1">_xll.BDH($C$503,"PRETAX_INC_TO_NET_SALES","FQ4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22" t="e">
        <f ca="1">_xll.BDH($C$503,"INC_BEF_XO_ITEMS_TO_NET_SALES","FQ4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22" t="e">
        <f ca="1">_xll.BDH($C$503,"PROF_MARGIN","FQ4 2017","FQ4 2017","Currency=INR","Period=FQ","BEST_FPERIOD_OVERRIDE=FQ","FILING_STATUS=OR","EQY_CONSOLIDATED=Y","FA_ADJUSTED=GAAP","Sort=A","Dates=H","DateFormat=P","Fill=—","Direction=H","UseDPDF=Y")</f>
        <v>#NAME?</v>
      </c>
      <c r="P522" t="e">
        <f ca="1">_xll.BDH($C$503,"NET_INCOME_TO_COMMON_MARGIN","FQ4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22" t="e">
        <f ca="1">_xll.BDH($C$503,"EFF_TAX_RATE","FQ4 2017","FQ4 2017","Currency=INR","Period=FQ","BEST_FPERIOD_OVERRIDE=FQ","FILING_STATUS=OR","EQY_CONSOLIDATED=Y","FA_ADJUSTED=GAAP","Sort=A","Dates=H","DateFormat=P","Fill=—","Direction=H","UseDPDF=Y")</f>
        <v>#NAME?</v>
      </c>
      <c r="R522" t="e">
        <f ca="1">_xll.BDH($C$503,"DVD_PAYOUT_RATIO","FQ4 2017","FQ4 2017","Currency=INR","Period=FQ","BEST_FPERIOD_OVERRIDE=FQ","FILING_STATUS=OR","EQY_CONSOLIDATED=Y","FA_ADJUSTED=GAAP","Sort=A","Dates=H","DateFormat=P","Fill=—","Direction=H","UseDPDF=Y")</f>
        <v>#NAME?</v>
      </c>
      <c r="S522" t="e">
        <f ca="1">_xll.BDH($C$503,"SUSTAIN_GROWTH_RT","FQ4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22" s="2" t="e">
        <f ca="1">_xll.BDH($C$503,"SALES_GROWTH","FQ4 2017","FQ4 2017","Currency=INR","Period=FQ","BEST_FPERIOD_OVERRIDE=FQ","FILING_STATUS=OR","EQY_CONSOLIDATED=Y","FA_ADJUSTED=GAAP","Sort=A","Dates=H","DateFormat=P","Fill=—","Direction=H","UseDPDF=Y")</f>
        <v>#NAME?</v>
      </c>
      <c r="U522" s="2" t="e">
        <f ca="1">_xll.BDH($C$503,"EBITDA_GROWTH","FQ4 2017","FQ4 2017","Currency=INR","Period=FQ","BEST_FPERIOD_OVERRIDE=FQ","FILING_STATUS=OR","EQY_CONSOLIDATED=Y","FA_ADJUSTED=GAAP","Sort=A","Dates=H","DateFormat=P","Fill=—","Direction=H","UseDPDF=Y")</f>
        <v>#NAME?</v>
      </c>
      <c r="V522" s="2" t="e">
        <f ca="1">_xll.BDH($C$503,"OPER_INC_GROWTH","FQ4 2017","FQ4 2017","Currency=INR","Period=FQ","BEST_FPERIOD_OVERRIDE=FQ","FILING_STATUS=OR","EQY_CONSOLIDATED=Y","FA_ADJUSTED=GAAP","Sort=A","Dates=H","DateFormat=P","Fill=—","Direction=H","UseDPDF=Y")</f>
        <v>#NAME?</v>
      </c>
      <c r="W522" s="2" t="e">
        <f ca="1">_xll.BDH($C$503,"EARN_FOR_COM_GROWTH","FQ4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22" s="2" t="e">
        <f ca="1">_xll.BDH($C$503,"DILUTED_EPS_AFT_XO_ITEMS_GROWTH","FQ4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22" s="2" t="e">
        <f ca="1">_xll.BDH($C$503,"DIVIDEND_PER_SHARE_1_YEAR_GROWTH","FQ4 2017","FQ4 2017","Currency=INR","Period=FQ","BEST_FPERIOD_OVERRIDE=FQ","FILING_STATUS=OR","EQY_CONSOLIDATED=Y","Sort=A","Dates=H","DateFormat=P","Fill=—","Direction=H","UseDPDF=Y")</f>
        <v>#NAME?</v>
      </c>
      <c r="Z522" s="2" t="e">
        <f ca="1">_xll.BDH($C$503,"ACCOUNTS_RECEIVABLE_GROWTH","FQ4 2017","FQ4 2017","Currency=INR","Period=FQ","BEST_FPERIOD_OVERRIDE=FQ","FILING_STATUS=OR","EQY_CONSOLIDATED=Y","Sort=A","Dates=H","DateFormat=P","Fill=—","Direction=H","UseDPDF=Y")</f>
        <v>#NAME?</v>
      </c>
      <c r="AA522" s="2" t="e">
        <f ca="1">_xll.BDH($C$503,"INVENTORY_GROWTH","FQ4 2017","FQ4 2017","Currency=INR","Period=FQ","BEST_FPERIOD_OVERRIDE=FQ","FILING_STATUS=OR","EQY_CONSOLIDATED=Y","Sort=A","Dates=H","DateFormat=P","Fill=—","Direction=H","UseDPDF=Y")</f>
        <v>#NAME?</v>
      </c>
      <c r="AB522" s="2" t="e">
        <f ca="1">_xll.BDH($C$503,"NET_FIXED_ASSETS_1_YEAR_GROWTH","FQ4 2017","FQ4 2017","Currency=INR","Period=FQ","BEST_FPERIOD_OVERRIDE=FQ","FILING_STATUS=OR","EQY_CONSOLIDATED=Y","Sort=A","Dates=H","DateFormat=P","Fill=—","Direction=H","UseDPDF=Y")</f>
        <v>#NAME?</v>
      </c>
      <c r="AC522" s="2" t="e">
        <f ca="1">_xll.BDH($C$503,"ASSET_GROWTH","FQ4 2017","FQ4 2017","Currency=INR","Period=FQ","BEST_FPERIOD_OVERRIDE=FQ","FILING_STATUS=OR","EQY_CONSOLIDATED=Y","Sort=A","Dates=H","DateFormat=P","Fill=—","Direction=H","UseDPDF=Y")</f>
        <v>#NAME?</v>
      </c>
      <c r="AD522" s="2" t="e">
        <f ca="1">_xll.BDH($C$503,"MODIFIED_WORK_CAP_GROWTH","FQ4 2017","FQ4 2017","Currency=INR","Period=FQ","BEST_FPERIOD_OVERRIDE=FQ","FILING_STATUS=OR","EQY_CONSOLIDATED=Y","Sort=A","Dates=H","DateFormat=P","Fill=—","Direction=H","UseDPDF=Y")</f>
        <v>#NAME?</v>
      </c>
      <c r="AE522" s="2" t="e">
        <f ca="1">_xll.BDH($C$503,"WORK_CAP_GROWTH","FQ4 2017","FQ4 2017","Currency=INR","Period=FQ","BEST_FPERIOD_OVERRIDE=FQ","FILING_STATUS=OR","EQY_CONSOLIDATED=Y","Sort=A","Dates=H","DateFormat=P","Fill=—","Direction=H","UseDPDF=Y")</f>
        <v>#NAME?</v>
      </c>
      <c r="AF522" s="2" t="e">
        <f ca="1">_xll.BDH($C$503,"ACCOUNTS_PAYABLE_GROWTH_1YR","FQ4 2017","FQ4 2017","Currency=INR","Period=FQ","BEST_FPERIOD_OVERRIDE=FQ","FILING_STATUS=OR","EQY_CONSOLIDATED=Y","Sort=A","Dates=H","DateFormat=P","Fill=—","Direction=H","UseDPDF=Y")</f>
        <v>#NAME?</v>
      </c>
      <c r="AG522" s="2" t="e">
        <f ca="1">_xll.BDH($C$503,"SHORT_TERM_DEBT_1_YEAR_GROWTH","FQ4 2017","FQ4 2017","Currency=INR","Period=FQ","BEST_FPERIOD_OVERRIDE=FQ","FILING_STATUS=OR","EQY_CONSOLIDATED=Y","Sort=A","Dates=H","DateFormat=P","Fill=—","Direction=H","UseDPDF=Y")</f>
        <v>#NAME?</v>
      </c>
      <c r="AH522" s="2" t="e">
        <f ca="1">_xll.BDH($C$503,"TOTAL_DEBT_1_YEAR_GROWTH","FQ4 2017","FQ4 2017","Currency=INR","Period=FQ","BEST_FPERIOD_OVERRIDE=FQ","FILING_STATUS=OR","EQY_CONSOLIDATED=Y","Sort=A","Dates=H","DateFormat=P","Fill=—","Direction=H","UseDPDF=Y")</f>
        <v>#NAME?</v>
      </c>
      <c r="AI522" s="2" t="e">
        <f ca="1">_xll.BDH($C$503,"TOTAL_EQUITY_1_YEAR_GROWTH","FQ4 2017","FQ4 2017","Currency=INR","Period=FQ","BEST_FPERIOD_OVERRIDE=FQ","FILING_STATUS=OR","EQY_CONSOLIDATED=Y","Sort=A","Dates=H","DateFormat=P","Fill=—","Direction=H","UseDPDF=Y")</f>
        <v>#NAME?</v>
      </c>
      <c r="AJ522" s="2" t="e">
        <f ca="1">_xll.BDH($C$503,"GROWTH_IN_CAP","FQ4 2017","FQ4 2017","Currency=INR","Period=FQ","BEST_FPERIOD_OVERRIDE=FQ","FILING_STATUS=OR","EQY_CONSOLIDATED=Y","Sort=A","Dates=H","DateFormat=P","Fill=—","Direction=H","UseDPDF=Y")</f>
        <v>#NAME?</v>
      </c>
      <c r="AK522" s="2" t="e">
        <f ca="1">_xll.BDH($C$503,"BVPS_GROWTH","FQ4 2017","FQ4 2017","Currency=INR","Period=FQ","BEST_FPERIOD_OVERRIDE=FQ","FILING_STATUS=OR","EQY_CONSOLIDATED=Y","Sort=A","Dates=H","DateFormat=P","Fill=—","Direction=H","UseDPDF=Y")</f>
        <v>#NAME?</v>
      </c>
      <c r="AL522" s="2" t="e">
        <f ca="1">_xll.BDH($C$503,"CASH_FLOW_GROWTH","FQ4 2017","FQ4 2017","Currency=INR","Period=FQ","BEST_FPERIOD_OVERRIDE=FQ","FILING_STATUS=OR","EQY_CONSOLIDATED=Y","Sort=A","Dates=H","DateFormat=P","Fill=—","Direction=H","UseDPDF=Y")</f>
        <v>#NAME?</v>
      </c>
      <c r="AM522" s="2" t="e">
        <f ca="1">_xll.BDH($C$503,"GEO_GROW_NET_SALES","FQ4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22" s="2" t="e">
        <f ca="1">_xll.BDH($C$503,"GEO_GROW_EBITDA","FQ4 2017","FQ4 2017","Currency=INR","Period=FQ","BEST_FPERIOD_OVERRIDE=FQ","FILING_STATUS=OR","EQY_CONSOLIDATED=Y","FA_ADJUSTED=GAAP","Sort=A","Dates=H","DateFormat=P","Fill=—","Direction=H","UseDPDF=Y")</f>
        <v>#NAME?</v>
      </c>
      <c r="AO522" s="2" t="e">
        <f ca="1">_xll.BDH($C$503,"GEO_GROW_OPER_INC","FQ4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22" s="2" t="e">
        <f ca="1">_xll.BDH($C$503,"NET_INCOME_TO_COMMON_5_YR_GROWTH","FQ4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22" s="2" t="e">
        <f ca="1">_xll.BDH($C$503,"5Y_GEO_GROWTH_DILUTED_EPS","FQ4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22" s="2" t="e">
        <f ca="1">_xll.BDH($C$503,"GEO_GROW_DVD_PER_SH","FQ4 2017","FQ4 2017","Currency=INR","Period=FQ","BEST_FPERIOD_OVERRIDE=FQ","FILING_STATUS=OR","EQY_CONSOLIDATED=Y","Sort=A","Dates=H","DateFormat=P","Fill=—","Direction=H","UseDPDF=Y")</f>
        <v>#NAME?</v>
      </c>
      <c r="AS522" s="2" t="e">
        <f ca="1">_xll.BDH($C$503,"ACCOUNTS_RECEIVABLE_5_YR_GROWTH","FQ4 2017","FQ4 2017","Currency=INR","Period=FQ","BEST_FPERIOD_OVERRIDE=FQ","FILING_STATUS=OR","EQY_CONSOLIDATED=Y","Sort=A","Dates=H","DateFormat=P","Fill=—","Direction=H","UseDPDF=Y")</f>
        <v>#NAME?</v>
      </c>
      <c r="AT522" s="2" t="e">
        <f ca="1">_xll.BDH($C$503,"INVENTORY_5_YEAR_GROWTH","FQ4 2017","FQ4 2017","Currency=INR","Period=FQ","BEST_FPERIOD_OVERRIDE=FQ","FILING_STATUS=OR","EQY_CONSOLIDATED=Y","Sort=A","Dates=H","DateFormat=P","Fill=—","Direction=H","UseDPDF=Y")</f>
        <v>#NAME?</v>
      </c>
      <c r="AU522" s="2" t="e">
        <f ca="1">_xll.BDH($C$503,"NET_FIXED_ASSETS_5_YEAR_GROWTH","FQ4 2017","FQ4 2017","Currency=INR","Period=FQ","BEST_FPERIOD_OVERRIDE=FQ","FILING_STATUS=OR","EQY_CONSOLIDATED=Y","Sort=A","Dates=H","DateFormat=P","Fill=—","Direction=H","UseDPDF=Y")</f>
        <v>#NAME?</v>
      </c>
      <c r="AV522" s="2" t="e">
        <f ca="1">_xll.BDH($C$503,"GEO_GROW_TOT_ASSET","FQ4 2017","FQ4 2017","Currency=INR","Period=FQ","BEST_FPERIOD_OVERRIDE=FQ","FILING_STATUS=OR","EQY_CONSOLIDATED=Y","Sort=A","Dates=H","DateFormat=P","Fill=—","Direction=H","UseDPDF=Y")</f>
        <v>#NAME?</v>
      </c>
      <c r="AW522" s="2" t="e">
        <f ca="1">_xll.BDH($C$503,"MODIFIED_WORKING_CPTL_5YR_GRWTH","FQ4 2017","FQ4 2017","Currency=INR","Period=FQ","BEST_FPERIOD_OVERRIDE=FQ","FILING_STATUS=OR","EQY_CONSOLIDATED=Y","Sort=A","Dates=H","DateFormat=P","Fill=—","Direction=H","UseDPDF=Y")</f>
        <v>#NAME?</v>
      </c>
      <c r="AX522" s="2" t="e">
        <f ca="1">_xll.BDH($C$503,"WORKING_CAPITAL_5_YEAR_GROWTH","FQ4 2017","FQ4 2017","Currency=INR","Period=FQ","BEST_FPERIOD_OVERRIDE=FQ","FILING_STATUS=OR","EQY_CONSOLIDATED=Y","Sort=A","Dates=H","DateFormat=P","Fill=—","Direction=H","UseDPDF=Y")</f>
        <v>#NAME?</v>
      </c>
      <c r="AY522" s="2" t="e">
        <f ca="1">_xll.BDH($C$503,"ACCOUNTS_PAYABLE_5_YEAR_GROWTH","FQ4 2017","FQ4 2017","Currency=INR","Period=FQ","BEST_FPERIOD_OVERRIDE=FQ","FILING_STATUS=OR","EQY_CONSOLIDATED=Y","Sort=A","Dates=H","DateFormat=P","Fill=—","Direction=H","UseDPDF=Y")</f>
        <v>#NAME?</v>
      </c>
      <c r="AZ522" s="2" t="e">
        <f ca="1">_xll.BDH($C$503,"SHORT_TERM_DEBT_5_YEAR_GROWTH","FQ4 2017","FQ4 2017","Currency=INR","Period=FQ","BEST_FPERIOD_OVERRIDE=FQ","FILING_STATUS=OR","EQY_CONSOLIDATED=Y","Sort=A","Dates=H","DateFormat=P","Fill=—","Direction=H","UseDPDF=Y")</f>
        <v>#NAME?</v>
      </c>
      <c r="BA522" s="2" t="e">
        <f ca="1">_xll.BDH($C$503,"TOTAL_DEBT_5_YEAR_GROWTH","FQ4 2017","FQ4 2017","Currency=INR","Period=FQ","BEST_FPERIOD_OVERRIDE=FQ","FILING_STATUS=OR","EQY_CONSOLIDATED=Y","Sort=A","Dates=H","DateFormat=P","Fill=—","Direction=H","UseDPDF=Y")</f>
        <v>#NAME?</v>
      </c>
      <c r="BB522" s="2" t="e">
        <f ca="1">_xll.BDH($C$503,"GEO_GROW_TOT_SHRHLDR_EQY","FQ4 2017","FQ4 2017","Currency=INR","Period=FQ","BEST_FPERIOD_OVERRIDE=FQ","FILING_STATUS=OR","EQY_CONSOLIDATED=Y","Sort=A","Dates=H","DateFormat=P","Fill=—","Direction=H","UseDPDF=Y")</f>
        <v>#NAME?</v>
      </c>
      <c r="BC522" s="2" t="e">
        <f ca="1">_xll.BDH($C$503,"TOTAL_CAPITAL_5_YEAR_GROWTH","FQ4 2017","FQ4 2017","Currency=INR","Period=FQ","BEST_FPERIOD_OVERRIDE=FQ","FILING_STATUS=OR","EQY_CONSOLIDATED=Y","Sort=A","Dates=H","DateFormat=P","Fill=—","Direction=H","UseDPDF=Y")</f>
        <v>#NAME?</v>
      </c>
      <c r="BD522" s="2" t="e">
        <f ca="1">_xll.BDH($C$503,"GEO_GROW_BOOK_VAL","FQ4 2017","FQ4 2017","Currency=INR","Period=FQ","BEST_FPERIOD_OVERRIDE=FQ","FILING_STATUS=OR","EQY_CONSOLIDATED=Y","Sort=A","Dates=H","DateFormat=P","Fill=—","Direction=H","UseDPDF=Y")</f>
        <v>#NAME?</v>
      </c>
      <c r="BE522" s="2" t="e">
        <f ca="1">_xll.BDH($C$503,"GEO_GROW_CASH_OPER_ACT","FQ4 2017","FQ4 2017","Currency=INR","Period=FQ","BEST_FPERIOD_OVERRIDE=FQ","FILING_STATUS=OR","EQY_CONSOLIDATED=Y","Sort=A","Dates=H","DateFormat=P","Fill=—","Direction=H","UseDPDF=Y")</f>
        <v>#NAME?</v>
      </c>
      <c r="BF522" s="2" t="e">
        <f ca="1">_xll.BDH($C$503,"REVENUE_SEQUENTIAL_GROWTH","FQ4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22" s="2" t="e">
        <f ca="1">_xll.BDH($C$503,"EBITDA_SEQUENTIAL_GROWTH","FQ4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22" s="2" t="e">
        <f ca="1">_xll.BDH($C$503,"OPERATING_INCOME_SEQ_GROWTH","FQ4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22" s="2" t="e">
        <f ca="1">_xll.BDH($C$503,"NET_INCOME_TO_COMMON_SEQ_GROWTH","FQ4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22" s="2" t="e">
        <f ca="1">_xll.BDH($C$503,"EPS_DILUTED_SEQUENTIAL_GROWTH","FQ4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22" s="2" t="e">
        <f ca="1">_xll.BDH($C$503,"DPS_SEQUENTIAL_GROWTH","FQ4 2017","FQ4 2017","Currency=INR","Period=FQ","BEST_FPERIOD_OVERRIDE=FQ","FILING_STATUS=OR","EQY_CONSOLIDATED=Y","Sort=A","Dates=H","DateFormat=P","Fill=—","Direction=H","UseDPDF=Y")</f>
        <v>#NAME?</v>
      </c>
      <c r="BL522" s="2" t="e">
        <f ca="1">_xll.BDH($C$503,"ACCOUNTS_RECEIVABLE_SEQ_GROWTH","FQ4 2017","FQ4 2017","Currency=INR","Period=FQ","BEST_FPERIOD_OVERRIDE=FQ","FILING_STATUS=OR","EQY_CONSOLIDATED=Y","Sort=A","Dates=H","DateFormat=P","Fill=—","Direction=H","UseDPDF=Y")</f>
        <v>#NAME?</v>
      </c>
      <c r="BM522" s="2" t="e">
        <f ca="1">_xll.BDH($C$503,"INVENTORY_SEQUENTIAL_GROWTH","FQ4 2017","FQ4 2017","Currency=INR","Period=FQ","BEST_FPERIOD_OVERRIDE=FQ","FILING_STATUS=OR","EQY_CONSOLIDATED=Y","Sort=A","Dates=H","DateFormat=P","Fill=—","Direction=H","UseDPDF=Y")</f>
        <v>#NAME?</v>
      </c>
      <c r="BN522" s="2" t="e">
        <f ca="1">_xll.BDH($C$503,"FIXED_ASSETS_SEQUENTIAL_GROWTH","FQ4 2017","FQ4 2017","Currency=INR","Period=FQ","BEST_FPERIOD_OVERRIDE=FQ","FILING_STATUS=OR","EQY_CONSOLIDATED=Y","Sort=A","Dates=H","DateFormat=P","Fill=—","Direction=H","UseDPDF=Y")</f>
        <v>#NAME?</v>
      </c>
      <c r="BO522" s="2" t="e">
        <f ca="1">_xll.BDH($C$503,"TOTAL_ASSETS_SEQUENTIAL_GROWTH","FQ4 2017","FQ4 2017","Currency=INR","Period=FQ","BEST_FPERIOD_OVERRIDE=FQ","FILING_STATUS=OR","EQY_CONSOLIDATED=Y","Sort=A","Dates=H","DateFormat=P","Fill=—","Direction=H","UseDPDF=Y")</f>
        <v>#NAME?</v>
      </c>
      <c r="BP522" s="2" t="e">
        <f ca="1">_xll.BDH($C$503,"MODIFIED_WORKING_CPTL_SEQ_GRWTH","FQ4 2017","FQ4 2017","Currency=INR","Period=FQ","BEST_FPERIOD_OVERRIDE=FQ","FILING_STATUS=OR","EQY_CONSOLIDATED=Y","Sort=A","Dates=H","DateFormat=P","Fill=—","Direction=H","UseDPDF=Y")</f>
        <v>#NAME?</v>
      </c>
      <c r="BQ522" s="2" t="e">
        <f ca="1">_xll.BDH($C$503,"WORKING_CAPITAL_SEQ_GROWTH","FQ4 2017","FQ4 2017","Currency=INR","Period=FQ","BEST_FPERIOD_OVERRIDE=FQ","FILING_STATUS=OR","EQY_CONSOLIDATED=Y","Sort=A","Dates=H","DateFormat=P","Fill=—","Direction=H","UseDPDF=Y")</f>
        <v>#NAME?</v>
      </c>
      <c r="BR522" s="2" t="e">
        <f ca="1">_xll.BDH($C$503,"ACCOUNTS_PAYABLE_SEQ_GROWTH","FQ4 2017","FQ4 2017","Currency=INR","Period=FQ","BEST_FPERIOD_OVERRIDE=FQ","FILING_STATUS=OR","EQY_CONSOLIDATED=Y","Sort=A","Dates=H","DateFormat=P","Fill=—","Direction=H","UseDPDF=Y")</f>
        <v>#NAME?</v>
      </c>
      <c r="BS522" s="2" t="e">
        <f ca="1">_xll.BDH($C$503,"ST_DEBT_SEQUENTIAL_GROWTH","FQ4 2017","FQ4 2017","Currency=INR","Period=FQ","BEST_FPERIOD_OVERRIDE=FQ","FILING_STATUS=OR","EQY_CONSOLIDATED=Y","Sort=A","Dates=H","DateFormat=P","Fill=—","Direction=H","UseDPDF=Y")</f>
        <v>#NAME?</v>
      </c>
      <c r="BT522" s="2" t="e">
        <f ca="1">_xll.BDH($C$503,"TOTAL_DEBT_SEQUENTIAL_GROWTH","FQ4 2017","FQ4 2017","Currency=INR","Period=FQ","BEST_FPERIOD_OVERRIDE=FQ","FILING_STATUS=OR","EQY_CONSOLIDATED=Y","Sort=A","Dates=H","DateFormat=P","Fill=—","Direction=H","UseDPDF=Y")</f>
        <v>#NAME?</v>
      </c>
      <c r="BU522" s="2" t="e">
        <f ca="1">_xll.BDH($C$503,"TOTAL_EQUITY_SEQUENTIAL_GROWTH","FQ4 2017","FQ4 2017","Currency=INR","Period=FQ","BEST_FPERIOD_OVERRIDE=FQ","FILING_STATUS=OR","EQY_CONSOLIDATED=Y","Sort=A","Dates=H","DateFormat=P","Fill=—","Direction=H","UseDPDF=Y")</f>
        <v>#NAME?</v>
      </c>
      <c r="BV522" s="2" t="e">
        <f ca="1">_xll.BDH($C$503,"TOTAL_CAPITAL_SEQUENTIAL_GROWTH","FQ4 2017","FQ4 2017","Currency=INR","Period=FQ","BEST_FPERIOD_OVERRIDE=FQ","FILING_STATUS=OR","EQY_CONSOLIDATED=Y","Sort=A","Dates=H","DateFormat=P","Fill=—","Direction=H","UseDPDF=Y")</f>
        <v>#NAME?</v>
      </c>
      <c r="BW522" s="2" t="e">
        <f ca="1">_xll.BDH($C$503,"BPS_SEQUENTIAL_GROWTH","FQ4 2017","FQ4 2017","Currency=INR","Period=FQ","BEST_FPERIOD_OVERRIDE=FQ","FILING_STATUS=OR","EQY_CONSOLIDATED=Y","Sort=A","Dates=H","DateFormat=P","Fill=—","Direction=H","UseDPDF=Y")</f>
        <v>#NAME?</v>
      </c>
      <c r="BX522" s="2" t="e">
        <f ca="1">_xll.BDH($C$503,"CFO_SEQUENTIAL_GROWTH","FQ4 2017","FQ4 2017","Currency=INR","Period=FQ","BEST_FPERIOD_OVERRIDE=FQ","FILING_STATUS=OR","EQY_CONSOLIDATED=Y","Sort=A","Dates=H","DateFormat=P","Fill=—","Direction=H","UseDPDF=Y")</f>
        <v>#NAME?</v>
      </c>
      <c r="BY522" s="3" t="e">
        <f ca="1">_xll.BDH($C$503,"SHORT_AND_LONG_TERM_DEBT","FQ4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22" s="3" t="e">
        <f ca="1">_xll.BDH($C$503,"BS_ST_BORROW","FQ4 2017","FQ4 2017","Currency=INR","Period=FQ","BEST_FPERIOD_OVERRIDE=FQ","FILING_STATUS=OR","EQY_CONSOLIDATED=Y","SCALING_FORMAT=MLN","Sort=A","Dates=H","DateFormat=P","Fill=—","Direction=H","UseDPDF=Y")</f>
        <v>#NAME?</v>
      </c>
      <c r="CA522" s="3" t="e">
        <f ca="1">_xll.BDH($C$503,"BS_LT_BORROW","FQ4 2017","FQ4 2017","Currency=INR","Period=FQ","BEST_FPERIOD_OVERRIDE=FQ","FILING_STATUS=OR","EQY_CONSOLIDATED=Y","SCALING_FORMAT=MLN","Sort=A","Dates=H","DateFormat=P","Fill=—","Direction=H","UseDPDF=Y")</f>
        <v>#NAME?</v>
      </c>
      <c r="CB522" s="2" t="e">
        <f ca="1">_xll.BDH($C$503,"TOT_DEBT_TO_EBITDA","FQ4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22" s="2" t="e">
        <f ca="1">_xll.BDH($C$503,"NET_DEBT_TO_EBITDA","FQ4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22" s="2" t="e">
        <f ca="1">_xll.BDH($C$503,"TOTAL_DEBT_TO_EBIT","FQ4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22" s="2" t="e">
        <f ca="1">_xll.BDH($C$503,"NET_DEBT_TO_EBIT","FQ4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22" s="2" t="e">
        <f ca="1">_xll.BDH($C$503,"EBITDA_TO_INTEREST_EXPN","FQ4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22" s="2" t="e">
        <f ca="1">_xll.BDH($C$503,"COM_EQY_TO_TOT_ASSET","FQ4 2017","FQ4 2017","Currency=INR","Period=FQ","BEST_FPERIOD_OVERRIDE=FQ","FILING_STATUS=OR","EQY_CONSOLIDATED=Y","Sort=A","Dates=H","DateFormat=P","Fill=—","Direction=H","UseDPDF=Y")</f>
        <v>#NAME?</v>
      </c>
      <c r="CH522" s="2" t="e">
        <f ca="1">_xll.BDH($C$503,"LT_DEBT_TO_TOT_EQY","FQ4 2017","FQ4 2017","Currency=INR","Period=FQ","BEST_FPERIOD_OVERRIDE=FQ","FILING_STATUS=OR","EQY_CONSOLIDATED=Y","Sort=A","Dates=H","DateFormat=P","Fill=—","Direction=H","UseDPDF=Y")</f>
        <v>#NAME?</v>
      </c>
      <c r="CI522" s="2" t="e">
        <f ca="1">_xll.BDH($C$503,"LT_DEBT_TO_TOT_CAP","FQ4 2017","FQ4 2017","Currency=INR","Period=FQ","BEST_FPERIOD_OVERRIDE=FQ","FILING_STATUS=OR","EQY_CONSOLIDATED=Y","Sort=A","Dates=H","DateFormat=P","Fill=—","Direction=H","UseDPDF=Y")</f>
        <v>#NAME?</v>
      </c>
      <c r="CJ522" s="2" t="e">
        <f ca="1">_xll.BDH($C$503,"LT_DEBT_TO_TOT_ASSET","FQ4 2017","FQ4 2017","Currency=INR","Period=FQ","BEST_FPERIOD_OVERRIDE=FQ","FILING_STATUS=OR","EQY_CONSOLIDATED=Y","Sort=A","Dates=H","DateFormat=P","Fill=—","Direction=H","UseDPDF=Y")</f>
        <v>#NAME?</v>
      </c>
      <c r="CK522" s="2" t="e">
        <f ca="1">_xll.BDH($C$503,"TOT_DEBT_TO_TOT_EQY","FQ4 2017","FQ4 2017","Currency=INR","Period=FQ","BEST_FPERIOD_OVERRIDE=FQ","FILING_STATUS=OR","EQY_CONSOLIDATED=Y","Sort=A","Dates=H","DateFormat=P","Fill=—","Direction=H","UseDPDF=Y")</f>
        <v>#NAME?</v>
      </c>
      <c r="CL522" s="2" t="e">
        <f ca="1">_xll.BDH($C$503,"TOT_DEBT_TO_TOT_CAP","FQ4 2017","FQ4 2017","Currency=INR","Period=FQ","BEST_FPERIOD_OVERRIDE=FQ","FILING_STATUS=OR","EQY_CONSOLIDATED=Y","Sort=A","Dates=H","DateFormat=P","Fill=—","Direction=H","UseDPDF=Y")</f>
        <v>#NAME?</v>
      </c>
      <c r="CM522" s="2" t="e">
        <f ca="1">_xll.BDH($C$503,"TOT_DEBT_TO_TOT_ASSET","FQ4 2017","FQ4 2017","Currency=INR","Period=FQ","BEST_FPERIOD_OVERRIDE=FQ","FILING_STATUS=OR","EQY_CONSOLIDATED=Y","Sort=A","Dates=H","DateFormat=P","Fill=—","Direction=H","UseDPDF=Y")</f>
        <v>#NAME?</v>
      </c>
      <c r="CN522" s="2" t="e">
        <f ca="1">_xll.BDH($C$503,"NET_DEBT_TO_SHRHLDR_EQTY","FQ4 2017","FQ4 2017","Currency=INR","Period=FQ","BEST_FPERIOD_OVERRIDE=FQ","FILING_STATUS=OR","EQY_CONSOLIDATED=Y","Sort=A","Dates=H","DateFormat=P","Fill=—","Direction=H","UseDPDF=Y")</f>
        <v>#NAME?</v>
      </c>
      <c r="CO522" s="2" t="e">
        <f ca="1">_xll.BDH($C$503,"NET_DEBT_%_CAPITAL","FQ4 2017","FQ4 2017","Currency=INR","Period=FQ","BEST_FPERIOD_OVERRIDE=FQ","FILING_STATUS=OR","EQY_CONSOLIDATED=Y","Sort=A","Dates=H","DateFormat=P","Fill=—","Direction=H","UseDPDF=Y")</f>
        <v>#NAME?</v>
      </c>
      <c r="CP522" s="3" t="e">
        <f ca="1">_xll.BDH($C$503,"EBITDA","FQ4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22" s="3" t="e">
        <f ca="1">_xll.BDH($C$503,"EBITDA_AFTER_CAPEX","FQ4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22" s="3" t="e">
        <f ca="1">_xll.BDH($C$503,"IS_OPER_INC","FQ4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22" s="2" t="e">
        <f ca="1">_xll.BDH($C$503,"CASH_RATIO","FQ4 2017","FQ4 2017","Currency=INR","Period=FQ","BEST_FPERIOD_OVERRIDE=FQ","FILING_STATUS=OR","EQY_CONSOLIDATED=Y","Sort=A","Dates=H","DateFormat=P","Fill=—","Direction=H","UseDPDF=Y")</f>
        <v>#NAME?</v>
      </c>
      <c r="CT522" s="2" t="e">
        <f ca="1">_xll.BDH($C$503,"CUR_RATIO","FQ4 2017","FQ4 2017","Currency=INR","Period=FQ","BEST_FPERIOD_OVERRIDE=FQ","FILING_STATUS=OR","EQY_CONSOLIDATED=Y","Sort=A","Dates=H","DateFormat=P","Fill=—","Direction=H","UseDPDF=Y")</f>
        <v>#NAME?</v>
      </c>
      <c r="CU522" s="2" t="e">
        <f ca="1">_xll.BDH($C$503,"QUICK_RATIO","FQ4 2017","FQ4 2017","Currency=INR","Period=FQ","BEST_FPERIOD_OVERRIDE=FQ","FILING_STATUS=OR","EQY_CONSOLIDATED=Y","Sort=A","Dates=H","DateFormat=P","Fill=—","Direction=H","UseDPDF=Y")</f>
        <v>#NAME?</v>
      </c>
      <c r="CV522" s="2" t="e">
        <f ca="1">_xll.BDH($C$503,"ALTMAN_Z_SCORE","FQ4 2017","FQ4 2017","Currency=INR","Period=FQ","BEST_FPERIOD_OVERRIDE=FQ","FILING_STATUS=OR","EQY_CONSOLIDATED=Y","Sort=A","Dates=H","DateFormat=P","Fill=—","Direction=H","UseDPDF=Y")</f>
        <v>#NAME?</v>
      </c>
      <c r="CW522" s="4" t="e">
        <f ca="1">_xll.BDH($C$503,"ACCT_RCV_TURN","FQ4 2017","FQ4 2017","Currency=INR","Period=FQ","BEST_FPERIOD_OVERRIDE=FQ","FILING_STATUS=OR","EQY_CONSOLIDATED=Y","FA_ADJUSTED=GAAP","Sort=A","Dates=H","DateFormat=P","Fill=—","Direction=H","UseDPDF=Y")</f>
        <v>#NAME?</v>
      </c>
      <c r="CX522" s="2" t="e">
        <f ca="1">_xll.BDH($C$503,"ACCT_RCV_DAYS","FQ4 2017","FQ4 2017","Currency=INR","Period=FQ","BEST_FPERIOD_OVERRIDE=FQ","FILING_STATUS=OR","EQY_CONSOLIDATED=Y","FA_ADJUSTED=GAAP","Sort=A","Dates=H","DateFormat=P","Fill=—","Direction=H","UseDPDF=Y")</f>
        <v>#NAME?</v>
      </c>
      <c r="CY522" s="4" t="e">
        <f ca="1">_xll.BDH($C$503,"INVENT_TURN","FQ4 2017","FQ4 2017","Currency=INR","Period=FQ","BEST_FPERIOD_OVERRIDE=FQ","FILING_STATUS=OR","EQY_CONSOLIDATED=Y","FA_ADJUSTED=GAAP","Sort=A","Dates=H","DateFormat=P","Fill=—","Direction=H","UseDPDF=Y")</f>
        <v>#NAME?</v>
      </c>
      <c r="CZ522" s="2" t="e">
        <f ca="1">_xll.BDH($C$503,"INVENT_DAYS","FQ4 2017","FQ4 2017","Currency=INR","Period=FQ","BEST_FPERIOD_OVERRIDE=FQ","FILING_STATUS=OR","EQY_CONSOLIDATED=Y","FA_ADJUSTED=GAAP","Sort=A","Dates=H","DateFormat=P","Fill=—","Direction=H","UseDPDF=Y")</f>
        <v>#NAME?</v>
      </c>
      <c r="DA522" s="4" t="e">
        <f ca="1">_xll.BDH($C$503,"ACCOUNTS_PAYABLE_TURNOVER","FQ4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22" s="2" t="e">
        <f ca="1">_xll.BDH($C$503,"ACCOUNTS_PAYABLE_TURNOVER_DAYS","FQ4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22" s="4" t="e">
        <f ca="1">_xll.BDH($C$503,"CASH_CONVERSION_CYCLE","FQ4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22" s="4" t="e">
        <f ca="1">_xll.BDH($C$503,"INV_TO_CASH_DAYS","FQ4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22" s="5" t="e">
        <f ca="1">_xll.BDH($C$503,"BS_INVENTORIES","FQ4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22" s="3" t="e">
        <f ca="1">_xll.BDH($C$503,"INVTRY_RAW_MATERIALS","FQ4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22" s="3" t="e">
        <f ca="1">_xll.BDH($C$503,"INVTRY_IN_PROGRESS","FQ4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22" s="3" t="e">
        <f ca="1">_xll.BDH($C$503,"INVTRY_FINISHED_GOODS","FQ4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22" s="3" t="e">
        <f ca="1">_xll.BDH($C$503,"BS_OTHER_INV","FQ4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23" spans="1:113" x14ac:dyDescent="0.3">
      <c r="A523" s="6"/>
      <c r="B523" s="6"/>
      <c r="C523" s="6"/>
      <c r="D523" s="6" t="s">
        <v>85</v>
      </c>
      <c r="E523" t="s">
        <v>77</v>
      </c>
      <c r="F523" t="e">
        <f ca="1">_xll.BDH($C$503,"RETURN_COM_EQY","FY 2018","FY 2018","Currency=INR","Period=FY","BEST_FPERIOD_OVERRIDE=FY","FILING_STATUS=OR","EQY_CONSOLIDATED=Y","FA_ADJUSTED=GAAP","Sort=A","Dates=H","DateFormat=P","Fill=—","Direction=H","UseDPDF=Y")</f>
        <v>#NAME?</v>
      </c>
      <c r="G523" t="e">
        <f ca="1">_xll.BDH($C$503,"RETURN_ON_ASSET","FY 2018","FY 2018","Currency=INR","Period=FY","BEST_FPERIOD_OVERRIDE=FY","FILING_STATUS=OR","EQY_CONSOLIDATED=Y","FA_ADJUSTED=GAAP","Sort=A","Dates=H","DateFormat=P","Fill=—","Direction=H","UseDPDF=Y")</f>
        <v>#NAME?</v>
      </c>
      <c r="H523" t="e">
        <f ca="1">_xll.BDH($C$503,"RETURN_ON_CAP","FY 2018","FY 2018","Currency=INR","Period=FY","BEST_FPERIOD_OVERRIDE=FY","FILING_STATUS=OR","EQY_CONSOLIDATED=Y","FA_ADJUSTED=GAAP","Sort=A","Dates=H","DateFormat=P","Fill=—","Direction=H","UseDPDF=Y")</f>
        <v>#NAME?</v>
      </c>
      <c r="I523" t="e">
        <f ca="1">_xll.BDH($C$503,"RETURN_ON_INV_CAPITAL","FY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23" t="e">
        <f ca="1">_xll.BDH($C$503,"EBITDA_TO_REVENUE","FY 2018","FY 2018","Currency=INR","Period=FY","BEST_FPERIOD_OVERRIDE=FY","FILING_STATUS=OR","EQY_CONSOLIDATED=Y","FA_ADJUSTED=GAAP","Sort=A","Dates=H","DateFormat=P","Fill=—","Direction=H","UseDPDF=Y")</f>
        <v>#NAME?</v>
      </c>
      <c r="K523" t="e">
        <f ca="1">_xll.BDH($C$503,"OPER_MARGIN","FY 2018","FY 2018","Currency=INR","Period=FY","BEST_FPERIOD_OVERRIDE=FY","FILING_STATUS=OR","EQY_CONSOLIDATED=Y","FA_ADJUSTED=GAAP","Sort=A","Dates=H","DateFormat=P","Fill=—","Direction=H","UseDPDF=Y")</f>
        <v>#NAME?</v>
      </c>
      <c r="L523" t="e">
        <f ca="1">_xll.BDH($C$503,"INCREMENTAL_OPERATING_MARGIN","FY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23" t="e">
        <f ca="1">_xll.BDH($C$503,"PRETAX_INC_TO_NET_SALES","FY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23" t="e">
        <f ca="1">_xll.BDH($C$503,"INC_BEF_XO_ITEMS_TO_NET_SALES","FY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23" t="e">
        <f ca="1">_xll.BDH($C$503,"PROF_MARGIN","FY 2018","FY 2018","Currency=INR","Period=FY","BEST_FPERIOD_OVERRIDE=FY","FILING_STATUS=OR","EQY_CONSOLIDATED=Y","FA_ADJUSTED=GAAP","Sort=A","Dates=H","DateFormat=P","Fill=—","Direction=H","UseDPDF=Y")</f>
        <v>#NAME?</v>
      </c>
      <c r="P523" t="e">
        <f ca="1">_xll.BDH($C$503,"NET_INCOME_TO_COMMON_MARGIN","FY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23" t="e">
        <f ca="1">_xll.BDH($C$503,"EFF_TAX_RATE","FY 2018","FY 2018","Currency=INR","Period=FY","BEST_FPERIOD_OVERRIDE=FY","FILING_STATUS=OR","EQY_CONSOLIDATED=Y","FA_ADJUSTED=GAAP","Sort=A","Dates=H","DateFormat=P","Fill=—","Direction=H","UseDPDF=Y")</f>
        <v>#NAME?</v>
      </c>
      <c r="R523" t="e">
        <f ca="1">_xll.BDH($C$503,"DVD_PAYOUT_RATIO","FY 2018","FY 2018","Currency=INR","Period=FY","BEST_FPERIOD_OVERRIDE=FY","FILING_STATUS=OR","EQY_CONSOLIDATED=Y","FA_ADJUSTED=GAAP","Sort=A","Dates=H","DateFormat=P","Fill=—","Direction=H","UseDPDF=Y")</f>
        <v>#NAME?</v>
      </c>
      <c r="S523" t="e">
        <f ca="1">_xll.BDH($C$503,"SUSTAIN_GROWTH_RT","FY 2018","FY 2018","Currency=INR","Period=FY","BEST_FPERIOD_OVERRIDE=FY","FILING_STATUS=OR","EQY_CONSOLIDATED=Y","FA_ADJUSTED=GAAP","Sort=A","Dates=H","DateFormat=P","Fill=—","Direction=H","UseDPDF=Y")</f>
        <v>#NAME?</v>
      </c>
      <c r="T523" s="2" t="e">
        <f ca="1">_xll.BDH($C$503,"SALES_GROWTH","FY 2018","FY 2018","Currency=INR","Period=FY","BEST_FPERIOD_OVERRIDE=FY","FILING_STATUS=OR","EQY_CONSOLIDATED=Y","FA_ADJUSTED=GAAP","Sort=A","Dates=H","DateFormat=P","Fill=—","Direction=H","UseDPDF=Y")</f>
        <v>#NAME?</v>
      </c>
      <c r="U523" s="2" t="e">
        <f ca="1">_xll.BDH($C$503,"EBITDA_GROWTH","FY 2018","FY 2018","Currency=INR","Period=FY","BEST_FPERIOD_OVERRIDE=FY","FILING_STATUS=OR","EQY_CONSOLIDATED=Y","FA_ADJUSTED=GAAP","Sort=A","Dates=H","DateFormat=P","Fill=—","Direction=H","UseDPDF=Y")</f>
        <v>#NAME?</v>
      </c>
      <c r="V523" s="2" t="e">
        <f ca="1">_xll.BDH($C$503,"OPER_INC_GROWTH","FY 2018","FY 2018","Currency=INR","Period=FY","BEST_FPERIOD_OVERRIDE=FY","FILING_STATUS=OR","EQY_CONSOLIDATED=Y","FA_ADJUSTED=GAAP","Sort=A","Dates=H","DateFormat=P","Fill=—","Direction=H","UseDPDF=Y")</f>
        <v>#NAME?</v>
      </c>
      <c r="W523" s="2" t="e">
        <f ca="1">_xll.BDH($C$503,"EARN_FOR_COM_GROWTH","FY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23" s="2" t="e">
        <f ca="1">_xll.BDH($C$503,"DILUTED_EPS_AFT_XO_ITEMS_GROWTH","FY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23" s="2" t="e">
        <f ca="1">_xll.BDH($C$503,"DIVIDEND_PER_SHARE_1_YEAR_GROWTH","FY 2018","FY 2018","Currency=INR","Period=FY","BEST_FPERIOD_OVERRIDE=FY","FILING_STATUS=OR","EQY_CONSOLIDATED=Y","Sort=A","Dates=H","DateFormat=P","Fill=—","Direction=H","UseDPDF=Y")</f>
        <v>#NAME?</v>
      </c>
      <c r="Z523" s="2" t="e">
        <f ca="1">_xll.BDH($C$503,"ACCOUNTS_RECEIVABLE_GROWTH","FY 2018","FY 2018","Currency=INR","Period=FY","BEST_FPERIOD_OVERRIDE=FY","FILING_STATUS=OR","EQY_CONSOLIDATED=Y","Sort=A","Dates=H","DateFormat=P","Fill=—","Direction=H","UseDPDF=Y")</f>
        <v>#NAME?</v>
      </c>
      <c r="AA523" s="2" t="e">
        <f ca="1">_xll.BDH($C$503,"INVENTORY_GROWTH","FY 2018","FY 2018","Currency=INR","Period=FY","BEST_FPERIOD_OVERRIDE=FY","FILING_STATUS=OR","EQY_CONSOLIDATED=Y","Sort=A","Dates=H","DateFormat=P","Fill=—","Direction=H","UseDPDF=Y")</f>
        <v>#NAME?</v>
      </c>
      <c r="AB523" s="2" t="e">
        <f ca="1">_xll.BDH($C$503,"NET_FIXED_ASSETS_1_YEAR_GROWTH","FY 2018","FY 2018","Currency=INR","Period=FY","BEST_FPERIOD_OVERRIDE=FY","FILING_STATUS=OR","EQY_CONSOLIDATED=Y","Sort=A","Dates=H","DateFormat=P","Fill=—","Direction=H","UseDPDF=Y")</f>
        <v>#NAME?</v>
      </c>
      <c r="AC523" s="2" t="e">
        <f ca="1">_xll.BDH($C$503,"ASSET_GROWTH","FY 2018","FY 2018","Currency=INR","Period=FY","BEST_FPERIOD_OVERRIDE=FY","FILING_STATUS=OR","EQY_CONSOLIDATED=Y","Sort=A","Dates=H","DateFormat=P","Fill=—","Direction=H","UseDPDF=Y")</f>
        <v>#NAME?</v>
      </c>
      <c r="AD523" s="2" t="e">
        <f ca="1">_xll.BDH($C$503,"MODIFIED_WORK_CAP_GROWTH","FY 2018","FY 2018","Currency=INR","Period=FY","BEST_FPERIOD_OVERRIDE=FY","FILING_STATUS=OR","EQY_CONSOLIDATED=Y","Sort=A","Dates=H","DateFormat=P","Fill=—","Direction=H","UseDPDF=Y")</f>
        <v>#NAME?</v>
      </c>
      <c r="AE523" s="2" t="e">
        <f ca="1">_xll.BDH($C$503,"WORK_CAP_GROWTH","FY 2018","FY 2018","Currency=INR","Period=FY","BEST_FPERIOD_OVERRIDE=FY","FILING_STATUS=OR","EQY_CONSOLIDATED=Y","Sort=A","Dates=H","DateFormat=P","Fill=—","Direction=H","UseDPDF=Y")</f>
        <v>#NAME?</v>
      </c>
      <c r="AF523" s="2" t="e">
        <f ca="1">_xll.BDH($C$503,"ACCOUNTS_PAYABLE_GROWTH_1YR","FY 2018","FY 2018","Currency=INR","Period=FY","BEST_FPERIOD_OVERRIDE=FY","FILING_STATUS=OR","EQY_CONSOLIDATED=Y","Sort=A","Dates=H","DateFormat=P","Fill=—","Direction=H","UseDPDF=Y")</f>
        <v>#NAME?</v>
      </c>
      <c r="AG523" s="2" t="e">
        <f ca="1">_xll.BDH($C$503,"SHORT_TERM_DEBT_1_YEAR_GROWTH","FY 2018","FY 2018","Currency=INR","Period=FY","BEST_FPERIOD_OVERRIDE=FY","FILING_STATUS=OR","EQY_CONSOLIDATED=Y","Sort=A","Dates=H","DateFormat=P","Fill=—","Direction=H","UseDPDF=Y")</f>
        <v>#NAME?</v>
      </c>
      <c r="AH523" s="2" t="e">
        <f ca="1">_xll.BDH($C$503,"TOTAL_DEBT_1_YEAR_GROWTH","FY 2018","FY 2018","Currency=INR","Period=FY","BEST_FPERIOD_OVERRIDE=FY","FILING_STATUS=OR","EQY_CONSOLIDATED=Y","Sort=A","Dates=H","DateFormat=P","Fill=—","Direction=H","UseDPDF=Y")</f>
        <v>#NAME?</v>
      </c>
      <c r="AI523" s="2" t="e">
        <f ca="1">_xll.BDH($C$503,"TOTAL_EQUITY_1_YEAR_GROWTH","FY 2018","FY 2018","Currency=INR","Period=FY","BEST_FPERIOD_OVERRIDE=FY","FILING_STATUS=OR","EQY_CONSOLIDATED=Y","Sort=A","Dates=H","DateFormat=P","Fill=—","Direction=H","UseDPDF=Y")</f>
        <v>#NAME?</v>
      </c>
      <c r="AJ523" s="2" t="e">
        <f ca="1">_xll.BDH($C$503,"GROWTH_IN_CAP","FY 2018","FY 2018","Currency=INR","Period=FY","BEST_FPERIOD_OVERRIDE=FY","FILING_STATUS=OR","EQY_CONSOLIDATED=Y","Sort=A","Dates=H","DateFormat=P","Fill=—","Direction=H","UseDPDF=Y")</f>
        <v>#NAME?</v>
      </c>
      <c r="AK523" s="2" t="e">
        <f ca="1">_xll.BDH($C$503,"BVPS_GROWTH","FY 2018","FY 2018","Currency=INR","Period=FY","BEST_FPERIOD_OVERRIDE=FY","FILING_STATUS=OR","EQY_CONSOLIDATED=Y","Sort=A","Dates=H","DateFormat=P","Fill=—","Direction=H","UseDPDF=Y")</f>
        <v>#NAME?</v>
      </c>
      <c r="AL523" s="2" t="e">
        <f ca="1">_xll.BDH($C$503,"CASH_FLOW_GROWTH","FY 2018","FY 2018","Currency=INR","Period=FY","BEST_FPERIOD_OVERRIDE=FY","FILING_STATUS=OR","EQY_CONSOLIDATED=Y","Sort=A","Dates=H","DateFormat=P","Fill=—","Direction=H","UseDPDF=Y")</f>
        <v>#NAME?</v>
      </c>
      <c r="AM523" s="2" t="e">
        <f ca="1">_xll.BDH($C$503,"GEO_GROW_NET_SALES","FY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23" s="2" t="e">
        <f ca="1">_xll.BDH($C$503,"GEO_GROW_EBITDA","FY 2018","FY 2018","Currency=INR","Period=FY","BEST_FPERIOD_OVERRIDE=FY","FILING_STATUS=OR","EQY_CONSOLIDATED=Y","FA_ADJUSTED=GAAP","Sort=A","Dates=H","DateFormat=P","Fill=—","Direction=H","UseDPDF=Y")</f>
        <v>#NAME?</v>
      </c>
      <c r="AO523" s="2" t="e">
        <f ca="1">_xll.BDH($C$503,"GEO_GROW_OPER_INC","FY 2018","FY 2018","Currency=INR","Period=FY","BEST_FPERIOD_OVERRIDE=FY","FILING_STATUS=OR","EQY_CONSOLIDATED=Y","FA_ADJUSTED=GAAP","Sort=A","Dates=H","DateFormat=P","Fill=—","Direction=H","UseDPDF=Y")</f>
        <v>#NAME?</v>
      </c>
      <c r="AP523" s="2" t="e">
        <f ca="1">_xll.BDH($C$503,"NET_INCOME_TO_COMMON_5_YR_GROWTH","FY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23" s="2" t="e">
        <f ca="1">_xll.BDH($C$503,"5Y_GEO_GROWTH_DILUTED_EPS","FY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23" s="2" t="e">
        <f ca="1">_xll.BDH($C$503,"GEO_GROW_DVD_PER_SH","FY 2018","FY 2018","Currency=INR","Period=FY","BEST_FPERIOD_OVERRIDE=FY","FILING_STATUS=OR","EQY_CONSOLIDATED=Y","Sort=A","Dates=H","DateFormat=P","Fill=—","Direction=H","UseDPDF=Y")</f>
        <v>#NAME?</v>
      </c>
      <c r="AS523" s="2" t="e">
        <f ca="1">_xll.BDH($C$503,"ACCOUNTS_RECEIVABLE_5_YR_GROWTH","FY 2018","FY 2018","Currency=INR","Period=FY","BEST_FPERIOD_OVERRIDE=FY","FILING_STATUS=OR","EQY_CONSOLIDATED=Y","Sort=A","Dates=H","DateFormat=P","Fill=—","Direction=H","UseDPDF=Y")</f>
        <v>#NAME?</v>
      </c>
      <c r="AT523" s="2" t="e">
        <f ca="1">_xll.BDH($C$503,"INVENTORY_5_YEAR_GROWTH","FY 2018","FY 2018","Currency=INR","Period=FY","BEST_FPERIOD_OVERRIDE=FY","FILING_STATUS=OR","EQY_CONSOLIDATED=Y","Sort=A","Dates=H","DateFormat=P","Fill=—","Direction=H","UseDPDF=Y")</f>
        <v>#NAME?</v>
      </c>
      <c r="AU523" s="2" t="e">
        <f ca="1">_xll.BDH($C$503,"NET_FIXED_ASSETS_5_YEAR_GROWTH","FY 2018","FY 2018","Currency=INR","Period=FY","BEST_FPERIOD_OVERRIDE=FY","FILING_STATUS=OR","EQY_CONSOLIDATED=Y","Sort=A","Dates=H","DateFormat=P","Fill=—","Direction=H","UseDPDF=Y")</f>
        <v>#NAME?</v>
      </c>
      <c r="AV523" s="2" t="e">
        <f ca="1">_xll.BDH($C$503,"GEO_GROW_TOT_ASSET","FY 2018","FY 2018","Currency=INR","Period=FY","BEST_FPERIOD_OVERRIDE=FY","FILING_STATUS=OR","EQY_CONSOLIDATED=Y","Sort=A","Dates=H","DateFormat=P","Fill=—","Direction=H","UseDPDF=Y")</f>
        <v>#NAME?</v>
      </c>
      <c r="AW523" s="2" t="e">
        <f ca="1">_xll.BDH($C$503,"MODIFIED_WORKING_CPTL_5YR_GRWTH","FY 2018","FY 2018","Currency=INR","Period=FY","BEST_FPERIOD_OVERRIDE=FY","FILING_STATUS=OR","EQY_CONSOLIDATED=Y","Sort=A","Dates=H","DateFormat=P","Fill=—","Direction=H","UseDPDF=Y")</f>
        <v>#NAME?</v>
      </c>
      <c r="AX523" s="2" t="e">
        <f ca="1">_xll.BDH($C$503,"WORKING_CAPITAL_5_YEAR_GROWTH","FY 2018","FY 2018","Currency=INR","Period=FY","BEST_FPERIOD_OVERRIDE=FY","FILING_STATUS=OR","EQY_CONSOLIDATED=Y","Sort=A","Dates=H","DateFormat=P","Fill=—","Direction=H","UseDPDF=Y")</f>
        <v>#NAME?</v>
      </c>
      <c r="AY523" s="2" t="e">
        <f ca="1">_xll.BDH($C$503,"ACCOUNTS_PAYABLE_5_YEAR_GROWTH","FY 2018","FY 2018","Currency=INR","Period=FY","BEST_FPERIOD_OVERRIDE=FY","FILING_STATUS=OR","EQY_CONSOLIDATED=Y","Sort=A","Dates=H","DateFormat=P","Fill=—","Direction=H","UseDPDF=Y")</f>
        <v>#NAME?</v>
      </c>
      <c r="AZ523" s="2" t="e">
        <f ca="1">_xll.BDH($C$503,"SHORT_TERM_DEBT_5_YEAR_GROWTH","FY 2018","FY 2018","Currency=INR","Period=FY","BEST_FPERIOD_OVERRIDE=FY","FILING_STATUS=OR","EQY_CONSOLIDATED=Y","Sort=A","Dates=H","DateFormat=P","Fill=—","Direction=H","UseDPDF=Y")</f>
        <v>#NAME?</v>
      </c>
      <c r="BA523" s="2" t="e">
        <f ca="1">_xll.BDH($C$503,"TOTAL_DEBT_5_YEAR_GROWTH","FY 2018","FY 2018","Currency=INR","Period=FY","BEST_FPERIOD_OVERRIDE=FY","FILING_STATUS=OR","EQY_CONSOLIDATED=Y","Sort=A","Dates=H","DateFormat=P","Fill=—","Direction=H","UseDPDF=Y")</f>
        <v>#NAME?</v>
      </c>
      <c r="BB523" s="2" t="e">
        <f ca="1">_xll.BDH($C$503,"GEO_GROW_TOT_SHRHLDR_EQY","FY 2018","FY 2018","Currency=INR","Period=FY","BEST_FPERIOD_OVERRIDE=FY","FILING_STATUS=OR","EQY_CONSOLIDATED=Y","Sort=A","Dates=H","DateFormat=P","Fill=—","Direction=H","UseDPDF=Y")</f>
        <v>#NAME?</v>
      </c>
      <c r="BC523" s="2" t="e">
        <f ca="1">_xll.BDH($C$503,"TOTAL_CAPITAL_5_YEAR_GROWTH","FY 2018","FY 2018","Currency=INR","Period=FY","BEST_FPERIOD_OVERRIDE=FY","FILING_STATUS=OR","EQY_CONSOLIDATED=Y","Sort=A","Dates=H","DateFormat=P","Fill=—","Direction=H","UseDPDF=Y")</f>
        <v>#NAME?</v>
      </c>
      <c r="BD523" s="2" t="e">
        <f ca="1">_xll.BDH($C$503,"GEO_GROW_BOOK_VAL","FY 2018","FY 2018","Currency=INR","Period=FY","BEST_FPERIOD_OVERRIDE=FY","FILING_STATUS=OR","EQY_CONSOLIDATED=Y","Sort=A","Dates=H","DateFormat=P","Fill=—","Direction=H","UseDPDF=Y")</f>
        <v>#NAME?</v>
      </c>
      <c r="BE523" s="2" t="e">
        <f ca="1">_xll.BDH($C$503,"GEO_GROW_CASH_OPER_ACT","FY 2018","FY 2018","Currency=INR","Period=FY","BEST_FPERIOD_OVERRIDE=FY","FILING_STATUS=OR","EQY_CONSOLIDATED=Y","Sort=A","Dates=H","DateFormat=P","Fill=—","Direction=H","UseDPDF=Y")</f>
        <v>#NAME?</v>
      </c>
      <c r="BF523" s="2" t="e">
        <f ca="1">_xll.BDH($C$503,"REVENUE_SEQUENTIAL_GROWTH","FY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23" s="2" t="e">
        <f ca="1">_xll.BDH($C$503,"EBITDA_SEQUENTIAL_GROWTH","FY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23" s="2" t="e">
        <f ca="1">_xll.BDH($C$503,"OPERATING_INCOME_SEQ_GROWTH","FY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23" s="2" t="e">
        <f ca="1">_xll.BDH($C$503,"NET_INCOME_TO_COMMON_SEQ_GROWTH","FY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23" s="2" t="e">
        <f ca="1">_xll.BDH($C$503,"EPS_DILUTED_SEQUENTIAL_GROWTH","FY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23" s="2" t="e">
        <f ca="1">_xll.BDH($C$503,"DPS_SEQUENTIAL_GROWTH","FY 2018","FY 2018","Currency=INR","Period=FY","BEST_FPERIOD_OVERRIDE=FY","FILING_STATUS=OR","EQY_CONSOLIDATED=Y","Sort=A","Dates=H","DateFormat=P","Fill=—","Direction=H","UseDPDF=Y")</f>
        <v>#NAME?</v>
      </c>
      <c r="BL523" s="2" t="e">
        <f ca="1">_xll.BDH($C$503,"ACCOUNTS_RECEIVABLE_SEQ_GROWTH","FY 2018","FY 2018","Currency=INR","Period=FY","BEST_FPERIOD_OVERRIDE=FY","FILING_STATUS=OR","EQY_CONSOLIDATED=Y","Sort=A","Dates=H","DateFormat=P","Fill=—","Direction=H","UseDPDF=Y")</f>
        <v>#NAME?</v>
      </c>
      <c r="BM523" s="2" t="e">
        <f ca="1">_xll.BDH($C$503,"INVENTORY_SEQUENTIAL_GROWTH","FY 2018","FY 2018","Currency=INR","Period=FY","BEST_FPERIOD_OVERRIDE=FY","FILING_STATUS=OR","EQY_CONSOLIDATED=Y","Sort=A","Dates=H","DateFormat=P","Fill=—","Direction=H","UseDPDF=Y")</f>
        <v>#NAME?</v>
      </c>
      <c r="BN523" s="2" t="e">
        <f ca="1">_xll.BDH($C$503,"FIXED_ASSETS_SEQUENTIAL_GROWTH","FY 2018","FY 2018","Currency=INR","Period=FY","BEST_FPERIOD_OVERRIDE=FY","FILING_STATUS=OR","EQY_CONSOLIDATED=Y","Sort=A","Dates=H","DateFormat=P","Fill=—","Direction=H","UseDPDF=Y")</f>
        <v>#NAME?</v>
      </c>
      <c r="BO523" s="2" t="e">
        <f ca="1">_xll.BDH($C$503,"TOTAL_ASSETS_SEQUENTIAL_GROWTH","FY 2018","FY 2018","Currency=INR","Period=FY","BEST_FPERIOD_OVERRIDE=FY","FILING_STATUS=OR","EQY_CONSOLIDATED=Y","Sort=A","Dates=H","DateFormat=P","Fill=—","Direction=H","UseDPDF=Y")</f>
        <v>#NAME?</v>
      </c>
      <c r="BP523" s="2" t="e">
        <f ca="1">_xll.BDH($C$503,"MODIFIED_WORKING_CPTL_SEQ_GRWTH","FY 2018","FY 2018","Currency=INR","Period=FY","BEST_FPERIOD_OVERRIDE=FY","FILING_STATUS=OR","EQY_CONSOLIDATED=Y","Sort=A","Dates=H","DateFormat=P","Fill=—","Direction=H","UseDPDF=Y")</f>
        <v>#NAME?</v>
      </c>
      <c r="BQ523" s="2" t="e">
        <f ca="1">_xll.BDH($C$503,"WORKING_CAPITAL_SEQ_GROWTH","FY 2018","FY 2018","Currency=INR","Period=FY","BEST_FPERIOD_OVERRIDE=FY","FILING_STATUS=OR","EQY_CONSOLIDATED=Y","Sort=A","Dates=H","DateFormat=P","Fill=—","Direction=H","UseDPDF=Y")</f>
        <v>#NAME?</v>
      </c>
      <c r="BR523" s="2" t="e">
        <f ca="1">_xll.BDH($C$503,"ACCOUNTS_PAYABLE_SEQ_GROWTH","FY 2018","FY 2018","Currency=INR","Period=FY","BEST_FPERIOD_OVERRIDE=FY","FILING_STATUS=OR","EQY_CONSOLIDATED=Y","Sort=A","Dates=H","DateFormat=P","Fill=—","Direction=H","UseDPDF=Y")</f>
        <v>#NAME?</v>
      </c>
      <c r="BS523" s="2" t="e">
        <f ca="1">_xll.BDH($C$503,"ST_DEBT_SEQUENTIAL_GROWTH","FY 2018","FY 2018","Currency=INR","Period=FY","BEST_FPERIOD_OVERRIDE=FY","FILING_STATUS=OR","EQY_CONSOLIDATED=Y","Sort=A","Dates=H","DateFormat=P","Fill=—","Direction=H","UseDPDF=Y")</f>
        <v>#NAME?</v>
      </c>
      <c r="BT523" s="2" t="e">
        <f ca="1">_xll.BDH($C$503,"TOTAL_DEBT_SEQUENTIAL_GROWTH","FY 2018","FY 2018","Currency=INR","Period=FY","BEST_FPERIOD_OVERRIDE=FY","FILING_STATUS=OR","EQY_CONSOLIDATED=Y","Sort=A","Dates=H","DateFormat=P","Fill=—","Direction=H","UseDPDF=Y")</f>
        <v>#NAME?</v>
      </c>
      <c r="BU523" s="2" t="e">
        <f ca="1">_xll.BDH($C$503,"TOTAL_EQUITY_SEQUENTIAL_GROWTH","FY 2018","FY 2018","Currency=INR","Period=FY","BEST_FPERIOD_OVERRIDE=FY","FILING_STATUS=OR","EQY_CONSOLIDATED=Y","Sort=A","Dates=H","DateFormat=P","Fill=—","Direction=H","UseDPDF=Y")</f>
        <v>#NAME?</v>
      </c>
      <c r="BV523" s="2" t="e">
        <f ca="1">_xll.BDH($C$503,"TOTAL_CAPITAL_SEQUENTIAL_GROWTH","FY 2018","FY 2018","Currency=INR","Period=FY","BEST_FPERIOD_OVERRIDE=FY","FILING_STATUS=OR","EQY_CONSOLIDATED=Y","Sort=A","Dates=H","DateFormat=P","Fill=—","Direction=H","UseDPDF=Y")</f>
        <v>#NAME?</v>
      </c>
      <c r="BW523" s="2" t="e">
        <f ca="1">_xll.BDH($C$503,"BPS_SEQUENTIAL_GROWTH","FY 2018","FY 2018","Currency=INR","Period=FY","BEST_FPERIOD_OVERRIDE=FY","FILING_STATUS=OR","EQY_CONSOLIDATED=Y","Sort=A","Dates=H","DateFormat=P","Fill=—","Direction=H","UseDPDF=Y")</f>
        <v>#NAME?</v>
      </c>
      <c r="BX523" s="2" t="e">
        <f ca="1">_xll.BDH($C$503,"CFO_SEQUENTIAL_GROWTH","FY 2018","FY 2018","Currency=INR","Period=FY","BEST_FPERIOD_OVERRIDE=FY","FILING_STATUS=OR","EQY_CONSOLIDATED=Y","Sort=A","Dates=H","DateFormat=P","Fill=—","Direction=H","UseDPDF=Y")</f>
        <v>#NAME?</v>
      </c>
      <c r="BY523" s="3" t="e">
        <f ca="1">_xll.BDH($C$503,"SHORT_AND_LONG_TERM_DEBT","FY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23" s="3" t="e">
        <f ca="1">_xll.BDH($C$503,"BS_ST_BORROW","FY 2018","FY 2018","Currency=INR","Period=FY","BEST_FPERIOD_OVERRIDE=FY","FILING_STATUS=OR","EQY_CONSOLIDATED=Y","SCALING_FORMAT=MLN","Sort=A","Dates=H","DateFormat=P","Fill=—","Direction=H","UseDPDF=Y")</f>
        <v>#NAME?</v>
      </c>
      <c r="CA523" s="3" t="e">
        <f ca="1">_xll.BDH($C$503,"BS_LT_BORROW","FY 2018","FY 2018","Currency=INR","Period=FY","BEST_FPERIOD_OVERRIDE=FY","FILING_STATUS=OR","EQY_CONSOLIDATED=Y","SCALING_FORMAT=MLN","Sort=A","Dates=H","DateFormat=P","Fill=—","Direction=H","UseDPDF=Y")</f>
        <v>#NAME?</v>
      </c>
      <c r="CB523" s="2" t="e">
        <f ca="1">_xll.BDH($C$503,"TOT_DEBT_TO_EBITDA","FY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23" s="2" t="e">
        <f ca="1">_xll.BDH($C$503,"NET_DEBT_TO_EBITDA","FY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23" s="2" t="e">
        <f ca="1">_xll.BDH($C$503,"TOTAL_DEBT_TO_EBIT","FY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23" s="2" t="e">
        <f ca="1">_xll.BDH($C$503,"NET_DEBT_TO_EBIT","FY 2018","FY 2018","Currency=INR","Period=FY","BEST_FPERIOD_OVERRIDE=FY","FILING_STATUS=OR","EQY_CONSOLIDATED=Y","FA_ADJUSTED=GAAP","Sort=A","Dates=H","DateFormat=P","Fill=—","Direction=H","UseDPDF=Y")</f>
        <v>#NAME?</v>
      </c>
      <c r="CF523" s="2" t="e">
        <f ca="1">_xll.BDH($C$503,"EBITDA_TO_INTEREST_EXPN","FY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23" s="2" t="e">
        <f ca="1">_xll.BDH($C$503,"COM_EQY_TO_TOT_ASSET","FY 2018","FY 2018","Currency=INR","Period=FY","BEST_FPERIOD_OVERRIDE=FY","FILING_STATUS=OR","EQY_CONSOLIDATED=Y","Sort=A","Dates=H","DateFormat=P","Fill=—","Direction=H","UseDPDF=Y")</f>
        <v>#NAME?</v>
      </c>
      <c r="CH523" s="2" t="e">
        <f ca="1">_xll.BDH($C$503,"LT_DEBT_TO_TOT_EQY","FY 2018","FY 2018","Currency=INR","Period=FY","BEST_FPERIOD_OVERRIDE=FY","FILING_STATUS=OR","EQY_CONSOLIDATED=Y","Sort=A","Dates=H","DateFormat=P","Fill=—","Direction=H","UseDPDF=Y")</f>
        <v>#NAME?</v>
      </c>
      <c r="CI523" s="2" t="e">
        <f ca="1">_xll.BDH($C$503,"LT_DEBT_TO_TOT_CAP","FY 2018","FY 2018","Currency=INR","Period=FY","BEST_FPERIOD_OVERRIDE=FY","FILING_STATUS=OR","EQY_CONSOLIDATED=Y","Sort=A","Dates=H","DateFormat=P","Fill=—","Direction=H","UseDPDF=Y")</f>
        <v>#NAME?</v>
      </c>
      <c r="CJ523" s="2" t="e">
        <f ca="1">_xll.BDH($C$503,"LT_DEBT_TO_TOT_ASSET","FY 2018","FY 2018","Currency=INR","Period=FY","BEST_FPERIOD_OVERRIDE=FY","FILING_STATUS=OR","EQY_CONSOLIDATED=Y","Sort=A","Dates=H","DateFormat=P","Fill=—","Direction=H","UseDPDF=Y")</f>
        <v>#NAME?</v>
      </c>
      <c r="CK523" s="2" t="e">
        <f ca="1">_xll.BDH($C$503,"TOT_DEBT_TO_TOT_EQY","FY 2018","FY 2018","Currency=INR","Period=FY","BEST_FPERIOD_OVERRIDE=FY","FILING_STATUS=OR","EQY_CONSOLIDATED=Y","Sort=A","Dates=H","DateFormat=P","Fill=—","Direction=H","UseDPDF=Y")</f>
        <v>#NAME?</v>
      </c>
      <c r="CL523" s="2" t="e">
        <f ca="1">_xll.BDH($C$503,"TOT_DEBT_TO_TOT_CAP","FY 2018","FY 2018","Currency=INR","Period=FY","BEST_FPERIOD_OVERRIDE=FY","FILING_STATUS=OR","EQY_CONSOLIDATED=Y","Sort=A","Dates=H","DateFormat=P","Fill=—","Direction=H","UseDPDF=Y")</f>
        <v>#NAME?</v>
      </c>
      <c r="CM523" s="2" t="e">
        <f ca="1">_xll.BDH($C$503,"TOT_DEBT_TO_TOT_ASSET","FY 2018","FY 2018","Currency=INR","Period=FY","BEST_FPERIOD_OVERRIDE=FY","FILING_STATUS=OR","EQY_CONSOLIDATED=Y","Sort=A","Dates=H","DateFormat=P","Fill=—","Direction=H","UseDPDF=Y")</f>
        <v>#NAME?</v>
      </c>
      <c r="CN523" s="2" t="e">
        <f ca="1">_xll.BDH($C$503,"NET_DEBT_TO_SHRHLDR_EQTY","FY 2018","FY 2018","Currency=INR","Period=FY","BEST_FPERIOD_OVERRIDE=FY","FILING_STATUS=OR","EQY_CONSOLIDATED=Y","Sort=A","Dates=H","DateFormat=P","Fill=—","Direction=H","UseDPDF=Y")</f>
        <v>#NAME?</v>
      </c>
      <c r="CO523" s="2" t="e">
        <f ca="1">_xll.BDH($C$503,"NET_DEBT_%_CAPITAL","FY 2018","FY 2018","Currency=INR","Period=FY","BEST_FPERIOD_OVERRIDE=FY","FILING_STATUS=OR","EQY_CONSOLIDATED=Y","Sort=A","Dates=H","DateFormat=P","Fill=—","Direction=H","UseDPDF=Y")</f>
        <v>#NAME?</v>
      </c>
      <c r="CP523" s="3" t="e">
        <f ca="1">_xll.BDH($C$503,"EBITDA","FY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23" s="3" t="e">
        <f ca="1">_xll.BDH($C$503,"EBITDA_AFTER_CAPEX","FY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23" s="3" t="e">
        <f ca="1">_xll.BDH($C$503,"IS_OPER_INC","FY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23" s="2" t="e">
        <f ca="1">_xll.BDH($C$503,"CASH_RATIO","FY 2018","FY 2018","Currency=INR","Period=FY","BEST_FPERIOD_OVERRIDE=FY","FILING_STATUS=OR","EQY_CONSOLIDATED=Y","Sort=A","Dates=H","DateFormat=P","Fill=—","Direction=H","UseDPDF=Y")</f>
        <v>#NAME?</v>
      </c>
      <c r="CT523" s="2" t="e">
        <f ca="1">_xll.BDH($C$503,"CUR_RATIO","FY 2018","FY 2018","Currency=INR","Period=FY","BEST_FPERIOD_OVERRIDE=FY","FILING_STATUS=OR","EQY_CONSOLIDATED=Y","Sort=A","Dates=H","DateFormat=P","Fill=—","Direction=H","UseDPDF=Y")</f>
        <v>#NAME?</v>
      </c>
      <c r="CU523" s="2" t="e">
        <f ca="1">_xll.BDH($C$503,"QUICK_RATIO","FY 2018","FY 2018","Currency=INR","Period=FY","BEST_FPERIOD_OVERRIDE=FY","FILING_STATUS=OR","EQY_CONSOLIDATED=Y","Sort=A","Dates=H","DateFormat=P","Fill=—","Direction=H","UseDPDF=Y")</f>
        <v>#NAME?</v>
      </c>
      <c r="CV523" s="2" t="e">
        <f ca="1">_xll.BDH($C$503,"ALTMAN_Z_SCORE","FY 2018","FY 2018","Currency=INR","Period=FY","BEST_FPERIOD_OVERRIDE=FY","FILING_STATUS=OR","EQY_CONSOLIDATED=Y","Sort=A","Dates=H","DateFormat=P","Fill=—","Direction=H","UseDPDF=Y")</f>
        <v>#NAME?</v>
      </c>
      <c r="CW523" s="4" t="e">
        <f ca="1">_xll.BDH($C$503,"ACCT_RCV_TURN","FY 2018","FY 2018","Currency=INR","Period=FY","BEST_FPERIOD_OVERRIDE=FY","FILING_STATUS=OR","EQY_CONSOLIDATED=Y","FA_ADJUSTED=GAAP","Sort=A","Dates=H","DateFormat=P","Fill=—","Direction=H","UseDPDF=Y")</f>
        <v>#NAME?</v>
      </c>
      <c r="CX523" s="2" t="e">
        <f ca="1">_xll.BDH($C$503,"ACCT_RCV_DAYS","FY 2018","FY 2018","Currency=INR","Period=FY","BEST_FPERIOD_OVERRIDE=FY","FILING_STATUS=OR","EQY_CONSOLIDATED=Y","FA_ADJUSTED=GAAP","Sort=A","Dates=H","DateFormat=P","Fill=—","Direction=H","UseDPDF=Y")</f>
        <v>#NAME?</v>
      </c>
      <c r="CY523" s="4" t="e">
        <f ca="1">_xll.BDH($C$503,"INVENT_TURN","FY 2018","FY 2018","Currency=INR","Period=FY","BEST_FPERIOD_OVERRIDE=FY","FILING_STATUS=OR","EQY_CONSOLIDATED=Y","FA_ADJUSTED=GAAP","Sort=A","Dates=H","DateFormat=P","Fill=—","Direction=H","UseDPDF=Y")</f>
        <v>#NAME?</v>
      </c>
      <c r="CZ523" s="2" t="e">
        <f ca="1">_xll.BDH($C$503,"INVENT_DAYS","FY 2018","FY 2018","Currency=INR","Period=FY","BEST_FPERIOD_OVERRIDE=FY","FILING_STATUS=OR","EQY_CONSOLIDATED=Y","FA_ADJUSTED=GAAP","Sort=A","Dates=H","DateFormat=P","Fill=—","Direction=H","UseDPDF=Y")</f>
        <v>#NAME?</v>
      </c>
      <c r="DA523" s="4" t="e">
        <f ca="1">_xll.BDH($C$503,"ACCOUNTS_PAYABLE_TURNOVER","FY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23" s="2" t="e">
        <f ca="1">_xll.BDH($C$503,"ACCOUNTS_PAYABLE_TURNOVER_DAYS","FY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23" s="4" t="e">
        <f ca="1">_xll.BDH($C$503,"CASH_CONVERSION_CYCLE","FY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23" s="4" t="e">
        <f ca="1">_xll.BDH($C$503,"INV_TO_CASH_DAYS","FY 2018","FY 2018","Currency=INR","Period=FY","BEST_FPERIOD_OVERRIDE=FY","FILING_STATUS=OR","EQY_CONSOLIDATED=Y","FA_ADJUSTED=GAAP","Sort=A","Dates=H","DateFormat=P","Fill=—","Direction=H","UseDPDF=Y")</f>
        <v>#NAME?</v>
      </c>
      <c r="DE523" s="5" t="e">
        <f ca="1">_xll.BDH($C$503,"BS_INVENTORIES","FY 2018","FY 2018","Currency=INR","Period=FY","BEST_FPERIOD_OVERRIDE=FY","FILING_STATUS=OR","EQY_CONSOLIDATED=Y","SCALING_FORMAT=MLN","Sort=A","Dates=H","DateFormat=P","Fill=—","Direction=H","UseDPDF=Y")</f>
        <v>#NAME?</v>
      </c>
      <c r="DF523" s="3" t="e">
        <f ca="1">_xll.BDH($C$503,"INVTRY_RAW_MATERIALS","FY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23" s="3" t="e">
        <f ca="1">_xll.BDH($C$503,"INVTRY_IN_PROGRESS","FY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23" s="3" t="e">
        <f ca="1">_xll.BDH($C$503,"INVTRY_FINISHED_GOODS","FY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23" s="3" t="e">
        <f ca="1">_xll.BDH($C$503,"BS_OTHER_INV","FY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24" spans="1:113" x14ac:dyDescent="0.3">
      <c r="A524" s="6"/>
      <c r="B524" s="6"/>
      <c r="C524" s="6"/>
      <c r="D524" s="6"/>
      <c r="E524" t="s">
        <v>78</v>
      </c>
      <c r="F524" t="e">
        <f ca="1">_xll.BDH($C$503,"RETURN_COM_EQY","FQ1 2018","FQ1 2018","Currency=INR","Period=FQ","BEST_FPERIOD_OVERRIDE=FQ","FILING_STATUS=OR","EQY_CONSOLIDATED=Y","FA_ADJUSTED=GAAP","Sort=A","Dates=H","DateFormat=P","Fill=—","Direction=H","UseDPDF=Y")</f>
        <v>#NAME?</v>
      </c>
      <c r="G524" t="e">
        <f ca="1">_xll.BDH($C$503,"RETURN_ON_ASSET","FQ1 2018","FQ1 2018","Currency=INR","Period=FQ","BEST_FPERIOD_OVERRIDE=FQ","FILING_STATUS=OR","EQY_CONSOLIDATED=Y","FA_ADJUSTED=GAAP","Sort=A","Dates=H","DateFormat=P","Fill=—","Direction=H","UseDPDF=Y")</f>
        <v>#NAME?</v>
      </c>
      <c r="H524" t="e">
        <f ca="1">_xll.BDH($C$503,"RETURN_ON_CAP","FQ1 2018","FQ1 2018","Currency=INR","Period=FQ","BEST_FPERIOD_OVERRIDE=FQ","FILING_STATUS=OR","EQY_CONSOLIDATED=Y","FA_ADJUSTED=GAAP","Sort=A","Dates=H","DateFormat=P","Fill=—","Direction=H","UseDPDF=Y")</f>
        <v>#NAME?</v>
      </c>
      <c r="I524" t="e">
        <f ca="1">_xll.BDH($C$503,"RETURN_ON_INV_CAPITAL","FQ1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24" t="e">
        <f ca="1">_xll.BDH($C$503,"EBITDA_TO_REVENUE","FQ1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24" t="e">
        <f ca="1">_xll.BDH($C$503,"OPER_MARGIN","FQ1 2018","FQ1 2018","Currency=INR","Period=FQ","BEST_FPERIOD_OVERRIDE=FQ","FILING_STATUS=OR","EQY_CONSOLIDATED=Y","FA_ADJUSTED=GAAP","Sort=A","Dates=H","DateFormat=P","Fill=—","Direction=H","UseDPDF=Y")</f>
        <v>#NAME?</v>
      </c>
      <c r="L524" t="e">
        <f ca="1">_xll.BDH($C$503,"INCREMENTAL_OPERATING_MARGIN","FQ1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24" t="e">
        <f ca="1">_xll.BDH($C$503,"PRETAX_INC_TO_NET_SALES","FQ1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24" t="e">
        <f ca="1">_xll.BDH($C$503,"INC_BEF_XO_ITEMS_TO_NET_SALES","FQ1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24" t="e">
        <f ca="1">_xll.BDH($C$503,"PROF_MARGIN","FQ1 2018","FQ1 2018","Currency=INR","Period=FQ","BEST_FPERIOD_OVERRIDE=FQ","FILING_STATUS=OR","EQY_CONSOLIDATED=Y","FA_ADJUSTED=GAAP","Sort=A","Dates=H","DateFormat=P","Fill=—","Direction=H","UseDPDF=Y")</f>
        <v>#NAME?</v>
      </c>
      <c r="P524" t="e">
        <f ca="1">_xll.BDH($C$503,"NET_INCOME_TO_COMMON_MARGIN","FQ1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24" t="e">
        <f ca="1">_xll.BDH($C$503,"EFF_TAX_RATE","FQ1 2018","FQ1 2018","Currency=INR","Period=FQ","BEST_FPERIOD_OVERRIDE=FQ","FILING_STATUS=OR","EQY_CONSOLIDATED=Y","FA_ADJUSTED=GAAP","Sort=A","Dates=H","DateFormat=P","Fill=—","Direction=H","UseDPDF=Y")</f>
        <v>#NAME?</v>
      </c>
      <c r="R524" t="e">
        <f ca="1">_xll.BDH($C$503,"DVD_PAYOUT_RATIO","FQ1 2018","FQ1 2018","Currency=INR","Period=FQ","BEST_FPERIOD_OVERRIDE=FQ","FILING_STATUS=OR","EQY_CONSOLIDATED=Y","FA_ADJUSTED=GAAP","Sort=A","Dates=H","DateFormat=P","Fill=—","Direction=H","UseDPDF=Y")</f>
        <v>#NAME?</v>
      </c>
      <c r="S524" t="e">
        <f ca="1">_xll.BDH($C$503,"SUSTAIN_GROWTH_RT","FQ1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24" s="2" t="e">
        <f ca="1">_xll.BDH($C$503,"SALES_GROWTH","FQ1 2018","FQ1 2018","Currency=INR","Period=FQ","BEST_FPERIOD_OVERRIDE=FQ","FILING_STATUS=OR","EQY_CONSOLIDATED=Y","FA_ADJUSTED=GAAP","Sort=A","Dates=H","DateFormat=P","Fill=—","Direction=H","UseDPDF=Y")</f>
        <v>#NAME?</v>
      </c>
      <c r="U524" s="2" t="e">
        <f ca="1">_xll.BDH($C$503,"EBITDA_GROWTH","FQ1 2018","FQ1 2018","Currency=INR","Period=FQ","BEST_FPERIOD_OVERRIDE=FQ","FILING_STATUS=OR","EQY_CONSOLIDATED=Y","FA_ADJUSTED=GAAP","Sort=A","Dates=H","DateFormat=P","Fill=—","Direction=H","UseDPDF=Y")</f>
        <v>#NAME?</v>
      </c>
      <c r="V524" s="2" t="e">
        <f ca="1">_xll.BDH($C$503,"OPER_INC_GROWTH","FQ1 2018","FQ1 2018","Currency=INR","Period=FQ","BEST_FPERIOD_OVERRIDE=FQ","FILING_STATUS=OR","EQY_CONSOLIDATED=Y","FA_ADJUSTED=GAAP","Sort=A","Dates=H","DateFormat=P","Fill=—","Direction=H","UseDPDF=Y")</f>
        <v>#NAME?</v>
      </c>
      <c r="W524" s="2" t="e">
        <f ca="1">_xll.BDH($C$503,"EARN_FOR_COM_GROWTH","FQ1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24" s="2" t="e">
        <f ca="1">_xll.BDH($C$503,"DILUTED_EPS_AFT_XO_ITEMS_GROWTH","FQ1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24" s="2" t="e">
        <f ca="1">_xll.BDH($C$503,"DIVIDEND_PER_SHARE_1_YEAR_GROWTH","FQ1 2018","FQ1 2018","Currency=INR","Period=FQ","BEST_FPERIOD_OVERRIDE=FQ","FILING_STATUS=OR","EQY_CONSOLIDATED=Y","Sort=A","Dates=H","DateFormat=P","Fill=—","Direction=H","UseDPDF=Y")</f>
        <v>#NAME?</v>
      </c>
      <c r="Z524" s="2" t="e">
        <f ca="1">_xll.BDH($C$503,"ACCOUNTS_RECEIVABLE_GROWTH","FQ1 2018","FQ1 2018","Currency=INR","Period=FQ","BEST_FPERIOD_OVERRIDE=FQ","FILING_STATUS=OR","EQY_CONSOLIDATED=Y","Sort=A","Dates=H","DateFormat=P","Fill=—","Direction=H","UseDPDF=Y")</f>
        <v>#NAME?</v>
      </c>
      <c r="AA524" s="2" t="e">
        <f ca="1">_xll.BDH($C$503,"INVENTORY_GROWTH","FQ1 2018","FQ1 2018","Currency=INR","Period=FQ","BEST_FPERIOD_OVERRIDE=FQ","FILING_STATUS=OR","EQY_CONSOLIDATED=Y","Sort=A","Dates=H","DateFormat=P","Fill=—","Direction=H","UseDPDF=Y")</f>
        <v>#NAME?</v>
      </c>
      <c r="AB524" s="2" t="e">
        <f ca="1">_xll.BDH($C$503,"NET_FIXED_ASSETS_1_YEAR_GROWTH","FQ1 2018","FQ1 2018","Currency=INR","Period=FQ","BEST_FPERIOD_OVERRIDE=FQ","FILING_STATUS=OR","EQY_CONSOLIDATED=Y","Sort=A","Dates=H","DateFormat=P","Fill=—","Direction=H","UseDPDF=Y")</f>
        <v>#NAME?</v>
      </c>
      <c r="AC524" s="2" t="e">
        <f ca="1">_xll.BDH($C$503,"ASSET_GROWTH","FQ1 2018","FQ1 2018","Currency=INR","Period=FQ","BEST_FPERIOD_OVERRIDE=FQ","FILING_STATUS=OR","EQY_CONSOLIDATED=Y","Sort=A","Dates=H","DateFormat=P","Fill=—","Direction=H","UseDPDF=Y")</f>
        <v>#NAME?</v>
      </c>
      <c r="AD524" s="2" t="e">
        <f ca="1">_xll.BDH($C$503,"MODIFIED_WORK_CAP_GROWTH","FQ1 2018","FQ1 2018","Currency=INR","Period=FQ","BEST_FPERIOD_OVERRIDE=FQ","FILING_STATUS=OR","EQY_CONSOLIDATED=Y","Sort=A","Dates=H","DateFormat=P","Fill=—","Direction=H","UseDPDF=Y")</f>
        <v>#NAME?</v>
      </c>
      <c r="AE524" s="2" t="e">
        <f ca="1">_xll.BDH($C$503,"WORK_CAP_GROWTH","FQ1 2018","FQ1 2018","Currency=INR","Period=FQ","BEST_FPERIOD_OVERRIDE=FQ","FILING_STATUS=OR","EQY_CONSOLIDATED=Y","Sort=A","Dates=H","DateFormat=P","Fill=—","Direction=H","UseDPDF=Y")</f>
        <v>#NAME?</v>
      </c>
      <c r="AF524" s="2" t="e">
        <f ca="1">_xll.BDH($C$503,"ACCOUNTS_PAYABLE_GROWTH_1YR","FQ1 2018","FQ1 2018","Currency=INR","Period=FQ","BEST_FPERIOD_OVERRIDE=FQ","FILING_STATUS=OR","EQY_CONSOLIDATED=Y","Sort=A","Dates=H","DateFormat=P","Fill=—","Direction=H","UseDPDF=Y")</f>
        <v>#NAME?</v>
      </c>
      <c r="AG524" s="2" t="e">
        <f ca="1">_xll.BDH($C$503,"SHORT_TERM_DEBT_1_YEAR_GROWTH","FQ1 2018","FQ1 2018","Currency=INR","Period=FQ","BEST_FPERIOD_OVERRIDE=FQ","FILING_STATUS=OR","EQY_CONSOLIDATED=Y","Sort=A","Dates=H","DateFormat=P","Fill=—","Direction=H","UseDPDF=Y")</f>
        <v>#NAME?</v>
      </c>
      <c r="AH524" s="2" t="e">
        <f ca="1">_xll.BDH($C$503,"TOTAL_DEBT_1_YEAR_GROWTH","FQ1 2018","FQ1 2018","Currency=INR","Period=FQ","BEST_FPERIOD_OVERRIDE=FQ","FILING_STATUS=OR","EQY_CONSOLIDATED=Y","Sort=A","Dates=H","DateFormat=P","Fill=—","Direction=H","UseDPDF=Y")</f>
        <v>#NAME?</v>
      </c>
      <c r="AI524" s="2" t="e">
        <f ca="1">_xll.BDH($C$503,"TOTAL_EQUITY_1_YEAR_GROWTH","FQ1 2018","FQ1 2018","Currency=INR","Period=FQ","BEST_FPERIOD_OVERRIDE=FQ","FILING_STATUS=OR","EQY_CONSOLIDATED=Y","Sort=A","Dates=H","DateFormat=P","Fill=—","Direction=H","UseDPDF=Y")</f>
        <v>#NAME?</v>
      </c>
      <c r="AJ524" s="2" t="e">
        <f ca="1">_xll.BDH($C$503,"GROWTH_IN_CAP","FQ1 2018","FQ1 2018","Currency=INR","Period=FQ","BEST_FPERIOD_OVERRIDE=FQ","FILING_STATUS=OR","EQY_CONSOLIDATED=Y","Sort=A","Dates=H","DateFormat=P","Fill=—","Direction=H","UseDPDF=Y")</f>
        <v>#NAME?</v>
      </c>
      <c r="AK524" s="2" t="e">
        <f ca="1">_xll.BDH($C$503,"BVPS_GROWTH","FQ1 2018","FQ1 2018","Currency=INR","Period=FQ","BEST_FPERIOD_OVERRIDE=FQ","FILING_STATUS=OR","EQY_CONSOLIDATED=Y","Sort=A","Dates=H","DateFormat=P","Fill=—","Direction=H","UseDPDF=Y")</f>
        <v>#NAME?</v>
      </c>
      <c r="AL524" s="2" t="e">
        <f ca="1">_xll.BDH($C$503,"CASH_FLOW_GROWTH","FQ1 2018","FQ1 2018","Currency=INR","Period=FQ","BEST_FPERIOD_OVERRIDE=FQ","FILING_STATUS=OR","EQY_CONSOLIDATED=Y","Sort=A","Dates=H","DateFormat=P","Fill=—","Direction=H","UseDPDF=Y")</f>
        <v>#NAME?</v>
      </c>
      <c r="AM524" s="2" t="e">
        <f ca="1">_xll.BDH($C$503,"GEO_GROW_NET_SALES","FQ1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24" s="2" t="e">
        <f ca="1">_xll.BDH($C$503,"GEO_GROW_EBITDA","FQ1 2018","FQ1 2018","Currency=INR","Period=FQ","BEST_FPERIOD_OVERRIDE=FQ","FILING_STATUS=OR","EQY_CONSOLIDATED=Y","FA_ADJUSTED=GAAP","Sort=A","Dates=H","DateFormat=P","Fill=—","Direction=H","UseDPDF=Y")</f>
        <v>#NAME?</v>
      </c>
      <c r="AO524" s="2" t="e">
        <f ca="1">_xll.BDH($C$503,"GEO_GROW_OPER_INC","FQ1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24" s="2" t="e">
        <f ca="1">_xll.BDH($C$503,"NET_INCOME_TO_COMMON_5_YR_GROWTH","FQ1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24" s="2" t="e">
        <f ca="1">_xll.BDH($C$503,"5Y_GEO_GROWTH_DILUTED_EPS","FQ1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24" s="2" t="e">
        <f ca="1">_xll.BDH($C$503,"GEO_GROW_DVD_PER_SH","FQ1 2018","FQ1 2018","Currency=INR","Period=FQ","BEST_FPERIOD_OVERRIDE=FQ","FILING_STATUS=OR","EQY_CONSOLIDATED=Y","Sort=A","Dates=H","DateFormat=P","Fill=—","Direction=H","UseDPDF=Y")</f>
        <v>#NAME?</v>
      </c>
      <c r="AS524" s="2" t="e">
        <f ca="1">_xll.BDH($C$503,"ACCOUNTS_RECEIVABLE_5_YR_GROWTH","FQ1 2018","FQ1 2018","Currency=INR","Period=FQ","BEST_FPERIOD_OVERRIDE=FQ","FILING_STATUS=OR","EQY_CONSOLIDATED=Y","Sort=A","Dates=H","DateFormat=P","Fill=—","Direction=H","UseDPDF=Y")</f>
        <v>#NAME?</v>
      </c>
      <c r="AT524" s="2" t="e">
        <f ca="1">_xll.BDH($C$503,"INVENTORY_5_YEAR_GROWTH","FQ1 2018","FQ1 2018","Currency=INR","Period=FQ","BEST_FPERIOD_OVERRIDE=FQ","FILING_STATUS=OR","EQY_CONSOLIDATED=Y","Sort=A","Dates=H","DateFormat=P","Fill=—","Direction=H","UseDPDF=Y")</f>
        <v>#NAME?</v>
      </c>
      <c r="AU524" s="2" t="e">
        <f ca="1">_xll.BDH($C$503,"NET_FIXED_ASSETS_5_YEAR_GROWTH","FQ1 2018","FQ1 2018","Currency=INR","Period=FQ","BEST_FPERIOD_OVERRIDE=FQ","FILING_STATUS=OR","EQY_CONSOLIDATED=Y","Sort=A","Dates=H","DateFormat=P","Fill=—","Direction=H","UseDPDF=Y")</f>
        <v>#NAME?</v>
      </c>
      <c r="AV524" s="2" t="e">
        <f ca="1">_xll.BDH($C$503,"GEO_GROW_TOT_ASSET","FQ1 2018","FQ1 2018","Currency=INR","Period=FQ","BEST_FPERIOD_OVERRIDE=FQ","FILING_STATUS=OR","EQY_CONSOLIDATED=Y","Sort=A","Dates=H","DateFormat=P","Fill=—","Direction=H","UseDPDF=Y")</f>
        <v>#NAME?</v>
      </c>
      <c r="AW524" s="2" t="e">
        <f ca="1">_xll.BDH($C$503,"MODIFIED_WORKING_CPTL_5YR_GRWTH","FQ1 2018","FQ1 2018","Currency=INR","Period=FQ","BEST_FPERIOD_OVERRIDE=FQ","FILING_STATUS=OR","EQY_CONSOLIDATED=Y","Sort=A","Dates=H","DateFormat=P","Fill=—","Direction=H","UseDPDF=Y")</f>
        <v>#NAME?</v>
      </c>
      <c r="AX524" s="2" t="e">
        <f ca="1">_xll.BDH($C$503,"WORKING_CAPITAL_5_YEAR_GROWTH","FQ1 2018","FQ1 2018","Currency=INR","Period=FQ","BEST_FPERIOD_OVERRIDE=FQ","FILING_STATUS=OR","EQY_CONSOLIDATED=Y","Sort=A","Dates=H","DateFormat=P","Fill=—","Direction=H","UseDPDF=Y")</f>
        <v>#NAME?</v>
      </c>
      <c r="AY524" s="2" t="e">
        <f ca="1">_xll.BDH($C$503,"ACCOUNTS_PAYABLE_5_YEAR_GROWTH","FQ1 2018","FQ1 2018","Currency=INR","Period=FQ","BEST_FPERIOD_OVERRIDE=FQ","FILING_STATUS=OR","EQY_CONSOLIDATED=Y","Sort=A","Dates=H","DateFormat=P","Fill=—","Direction=H","UseDPDF=Y")</f>
        <v>#NAME?</v>
      </c>
      <c r="AZ524" s="2" t="e">
        <f ca="1">_xll.BDH($C$503,"SHORT_TERM_DEBT_5_YEAR_GROWTH","FQ1 2018","FQ1 2018","Currency=INR","Period=FQ","BEST_FPERIOD_OVERRIDE=FQ","FILING_STATUS=OR","EQY_CONSOLIDATED=Y","Sort=A","Dates=H","DateFormat=P","Fill=—","Direction=H","UseDPDF=Y")</f>
        <v>#NAME?</v>
      </c>
      <c r="BA524" s="2" t="e">
        <f ca="1">_xll.BDH($C$503,"TOTAL_DEBT_5_YEAR_GROWTH","FQ1 2018","FQ1 2018","Currency=INR","Period=FQ","BEST_FPERIOD_OVERRIDE=FQ","FILING_STATUS=OR","EQY_CONSOLIDATED=Y","Sort=A","Dates=H","DateFormat=P","Fill=—","Direction=H","UseDPDF=Y")</f>
        <v>#NAME?</v>
      </c>
      <c r="BB524" s="2" t="e">
        <f ca="1">_xll.BDH($C$503,"GEO_GROW_TOT_SHRHLDR_EQY","FQ1 2018","FQ1 2018","Currency=INR","Period=FQ","BEST_FPERIOD_OVERRIDE=FQ","FILING_STATUS=OR","EQY_CONSOLIDATED=Y","Sort=A","Dates=H","DateFormat=P","Fill=—","Direction=H","UseDPDF=Y")</f>
        <v>#NAME?</v>
      </c>
      <c r="BC524" s="2" t="e">
        <f ca="1">_xll.BDH($C$503,"TOTAL_CAPITAL_5_YEAR_GROWTH","FQ1 2018","FQ1 2018","Currency=INR","Period=FQ","BEST_FPERIOD_OVERRIDE=FQ","FILING_STATUS=OR","EQY_CONSOLIDATED=Y","Sort=A","Dates=H","DateFormat=P","Fill=—","Direction=H","UseDPDF=Y")</f>
        <v>#NAME?</v>
      </c>
      <c r="BD524" s="2" t="e">
        <f ca="1">_xll.BDH($C$503,"GEO_GROW_BOOK_VAL","FQ1 2018","FQ1 2018","Currency=INR","Period=FQ","BEST_FPERIOD_OVERRIDE=FQ","FILING_STATUS=OR","EQY_CONSOLIDATED=Y","Sort=A","Dates=H","DateFormat=P","Fill=—","Direction=H","UseDPDF=Y")</f>
        <v>#NAME?</v>
      </c>
      <c r="BE524" s="2" t="e">
        <f ca="1">_xll.BDH($C$503,"GEO_GROW_CASH_OPER_ACT","FQ1 2018","FQ1 2018","Currency=INR","Period=FQ","BEST_FPERIOD_OVERRIDE=FQ","FILING_STATUS=OR","EQY_CONSOLIDATED=Y","Sort=A","Dates=H","DateFormat=P","Fill=—","Direction=H","UseDPDF=Y")</f>
        <v>#NAME?</v>
      </c>
      <c r="BF524" s="2" t="e">
        <f ca="1">_xll.BDH($C$503,"REVENUE_SEQUENTIAL_GROWTH","FQ1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24" s="2" t="e">
        <f ca="1">_xll.BDH($C$503,"EBITDA_SEQUENTIAL_GROWTH","FQ1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24" s="2" t="e">
        <f ca="1">_xll.BDH($C$503,"OPERATING_INCOME_SEQ_GROWTH","FQ1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24" s="2" t="e">
        <f ca="1">_xll.BDH($C$503,"NET_INCOME_TO_COMMON_SEQ_GROWTH","FQ1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24" s="2" t="e">
        <f ca="1">_xll.BDH($C$503,"EPS_DILUTED_SEQUENTIAL_GROWTH","FQ1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24" s="2" t="e">
        <f ca="1">_xll.BDH($C$503,"DPS_SEQUENTIAL_GROWTH","FQ1 2018","FQ1 2018","Currency=INR","Period=FQ","BEST_FPERIOD_OVERRIDE=FQ","FILING_STATUS=OR","EQY_CONSOLIDATED=Y","Sort=A","Dates=H","DateFormat=P","Fill=—","Direction=H","UseDPDF=Y")</f>
        <v>#NAME?</v>
      </c>
      <c r="BL524" s="2" t="e">
        <f ca="1">_xll.BDH($C$503,"ACCOUNTS_RECEIVABLE_SEQ_GROWTH","FQ1 2018","FQ1 2018","Currency=INR","Period=FQ","BEST_FPERIOD_OVERRIDE=FQ","FILING_STATUS=OR","EQY_CONSOLIDATED=Y","Sort=A","Dates=H","DateFormat=P","Fill=—","Direction=H","UseDPDF=Y")</f>
        <v>#NAME?</v>
      </c>
      <c r="BM524" s="2" t="e">
        <f ca="1">_xll.BDH($C$503,"INVENTORY_SEQUENTIAL_GROWTH","FQ1 2018","FQ1 2018","Currency=INR","Period=FQ","BEST_FPERIOD_OVERRIDE=FQ","FILING_STATUS=OR","EQY_CONSOLIDATED=Y","Sort=A","Dates=H","DateFormat=P","Fill=—","Direction=H","UseDPDF=Y")</f>
        <v>#NAME?</v>
      </c>
      <c r="BN524" s="2" t="e">
        <f ca="1">_xll.BDH($C$503,"FIXED_ASSETS_SEQUENTIAL_GROWTH","FQ1 2018","FQ1 2018","Currency=INR","Period=FQ","BEST_FPERIOD_OVERRIDE=FQ","FILING_STATUS=OR","EQY_CONSOLIDATED=Y","Sort=A","Dates=H","DateFormat=P","Fill=—","Direction=H","UseDPDF=Y")</f>
        <v>#NAME?</v>
      </c>
      <c r="BO524" s="2" t="e">
        <f ca="1">_xll.BDH($C$503,"TOTAL_ASSETS_SEQUENTIAL_GROWTH","FQ1 2018","FQ1 2018","Currency=INR","Period=FQ","BEST_FPERIOD_OVERRIDE=FQ","FILING_STATUS=OR","EQY_CONSOLIDATED=Y","Sort=A","Dates=H","DateFormat=P","Fill=—","Direction=H","UseDPDF=Y")</f>
        <v>#NAME?</v>
      </c>
      <c r="BP524" s="2" t="e">
        <f ca="1">_xll.BDH($C$503,"MODIFIED_WORKING_CPTL_SEQ_GRWTH","FQ1 2018","FQ1 2018","Currency=INR","Period=FQ","BEST_FPERIOD_OVERRIDE=FQ","FILING_STATUS=OR","EQY_CONSOLIDATED=Y","Sort=A","Dates=H","DateFormat=P","Fill=—","Direction=H","UseDPDF=Y")</f>
        <v>#NAME?</v>
      </c>
      <c r="BQ524" s="2" t="e">
        <f ca="1">_xll.BDH($C$503,"WORKING_CAPITAL_SEQ_GROWTH","FQ1 2018","FQ1 2018","Currency=INR","Period=FQ","BEST_FPERIOD_OVERRIDE=FQ","FILING_STATUS=OR","EQY_CONSOLIDATED=Y","Sort=A","Dates=H","DateFormat=P","Fill=—","Direction=H","UseDPDF=Y")</f>
        <v>#NAME?</v>
      </c>
      <c r="BR524" s="2" t="e">
        <f ca="1">_xll.BDH($C$503,"ACCOUNTS_PAYABLE_SEQ_GROWTH","FQ1 2018","FQ1 2018","Currency=INR","Period=FQ","BEST_FPERIOD_OVERRIDE=FQ","FILING_STATUS=OR","EQY_CONSOLIDATED=Y","Sort=A","Dates=H","DateFormat=P","Fill=—","Direction=H","UseDPDF=Y")</f>
        <v>#NAME?</v>
      </c>
      <c r="BS524" s="2" t="e">
        <f ca="1">_xll.BDH($C$503,"ST_DEBT_SEQUENTIAL_GROWTH","FQ1 2018","FQ1 2018","Currency=INR","Period=FQ","BEST_FPERIOD_OVERRIDE=FQ","FILING_STATUS=OR","EQY_CONSOLIDATED=Y","Sort=A","Dates=H","DateFormat=P","Fill=—","Direction=H","UseDPDF=Y")</f>
        <v>#NAME?</v>
      </c>
      <c r="BT524" s="2" t="e">
        <f ca="1">_xll.BDH($C$503,"TOTAL_DEBT_SEQUENTIAL_GROWTH","FQ1 2018","FQ1 2018","Currency=INR","Period=FQ","BEST_FPERIOD_OVERRIDE=FQ","FILING_STATUS=OR","EQY_CONSOLIDATED=Y","Sort=A","Dates=H","DateFormat=P","Fill=—","Direction=H","UseDPDF=Y")</f>
        <v>#NAME?</v>
      </c>
      <c r="BU524" s="2" t="e">
        <f ca="1">_xll.BDH($C$503,"TOTAL_EQUITY_SEQUENTIAL_GROWTH","FQ1 2018","FQ1 2018","Currency=INR","Period=FQ","BEST_FPERIOD_OVERRIDE=FQ","FILING_STATUS=OR","EQY_CONSOLIDATED=Y","Sort=A","Dates=H","DateFormat=P","Fill=—","Direction=H","UseDPDF=Y")</f>
        <v>#NAME?</v>
      </c>
      <c r="BV524" s="2" t="e">
        <f ca="1">_xll.BDH($C$503,"TOTAL_CAPITAL_SEQUENTIAL_GROWTH","FQ1 2018","FQ1 2018","Currency=INR","Period=FQ","BEST_FPERIOD_OVERRIDE=FQ","FILING_STATUS=OR","EQY_CONSOLIDATED=Y","Sort=A","Dates=H","DateFormat=P","Fill=—","Direction=H","UseDPDF=Y")</f>
        <v>#NAME?</v>
      </c>
      <c r="BW524" s="2" t="e">
        <f ca="1">_xll.BDH($C$503,"BPS_SEQUENTIAL_GROWTH","FQ1 2018","FQ1 2018","Currency=INR","Period=FQ","BEST_FPERIOD_OVERRIDE=FQ","FILING_STATUS=OR","EQY_CONSOLIDATED=Y","Sort=A","Dates=H","DateFormat=P","Fill=—","Direction=H","UseDPDF=Y")</f>
        <v>#NAME?</v>
      </c>
      <c r="BX524" s="2" t="e">
        <f ca="1">_xll.BDH($C$503,"CFO_SEQUENTIAL_GROWTH","FQ1 2018","FQ1 2018","Currency=INR","Period=FQ","BEST_FPERIOD_OVERRIDE=FQ","FILING_STATUS=OR","EQY_CONSOLIDATED=Y","Sort=A","Dates=H","DateFormat=P","Fill=—","Direction=H","UseDPDF=Y")</f>
        <v>#NAME?</v>
      </c>
      <c r="BY524" s="3" t="e">
        <f ca="1">_xll.BDH($C$503,"SHORT_AND_LONG_TERM_DEBT","FQ1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24" s="3" t="e">
        <f ca="1">_xll.BDH($C$503,"BS_ST_BORROW","FQ1 2018","FQ1 2018","Currency=INR","Period=FQ","BEST_FPERIOD_OVERRIDE=FQ","FILING_STATUS=OR","EQY_CONSOLIDATED=Y","SCALING_FORMAT=MLN","Sort=A","Dates=H","DateFormat=P","Fill=—","Direction=H","UseDPDF=Y")</f>
        <v>#NAME?</v>
      </c>
      <c r="CA524" s="3" t="e">
        <f ca="1">_xll.BDH($C$503,"BS_LT_BORROW","FQ1 2018","FQ1 2018","Currency=INR","Period=FQ","BEST_FPERIOD_OVERRIDE=FQ","FILING_STATUS=OR","EQY_CONSOLIDATED=Y","SCALING_FORMAT=MLN","Sort=A","Dates=H","DateFormat=P","Fill=—","Direction=H","UseDPDF=Y")</f>
        <v>#NAME?</v>
      </c>
      <c r="CB524" s="2" t="e">
        <f ca="1">_xll.BDH($C$503,"TOT_DEBT_TO_EBITDA","FQ1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24" s="2" t="e">
        <f ca="1">_xll.BDH($C$503,"NET_DEBT_TO_EBITDA","FQ1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24" s="2" t="e">
        <f ca="1">_xll.BDH($C$503,"TOTAL_DEBT_TO_EBIT","FQ1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24" s="2" t="e">
        <f ca="1">_xll.BDH($C$503,"NET_DEBT_TO_EBIT","FQ1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24" s="2" t="e">
        <f ca="1">_xll.BDH($C$503,"EBITDA_TO_INTEREST_EXPN","FQ1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24" s="2" t="e">
        <f ca="1">_xll.BDH($C$503,"COM_EQY_TO_TOT_ASSET","FQ1 2018","FQ1 2018","Currency=INR","Period=FQ","BEST_FPERIOD_OVERRIDE=FQ","FILING_STATUS=OR","EQY_CONSOLIDATED=Y","Sort=A","Dates=H","DateFormat=P","Fill=—","Direction=H","UseDPDF=Y")</f>
        <v>#NAME?</v>
      </c>
      <c r="CH524" s="2" t="e">
        <f ca="1">_xll.BDH($C$503,"LT_DEBT_TO_TOT_EQY","FQ1 2018","FQ1 2018","Currency=INR","Period=FQ","BEST_FPERIOD_OVERRIDE=FQ","FILING_STATUS=OR","EQY_CONSOLIDATED=Y","Sort=A","Dates=H","DateFormat=P","Fill=—","Direction=H","UseDPDF=Y")</f>
        <v>#NAME?</v>
      </c>
      <c r="CI524" s="2" t="e">
        <f ca="1">_xll.BDH($C$503,"LT_DEBT_TO_TOT_CAP","FQ1 2018","FQ1 2018","Currency=INR","Period=FQ","BEST_FPERIOD_OVERRIDE=FQ","FILING_STATUS=OR","EQY_CONSOLIDATED=Y","Sort=A","Dates=H","DateFormat=P","Fill=—","Direction=H","UseDPDF=Y")</f>
        <v>#NAME?</v>
      </c>
      <c r="CJ524" s="2" t="e">
        <f ca="1">_xll.BDH($C$503,"LT_DEBT_TO_TOT_ASSET","FQ1 2018","FQ1 2018","Currency=INR","Period=FQ","BEST_FPERIOD_OVERRIDE=FQ","FILING_STATUS=OR","EQY_CONSOLIDATED=Y","Sort=A","Dates=H","DateFormat=P","Fill=—","Direction=H","UseDPDF=Y")</f>
        <v>#NAME?</v>
      </c>
      <c r="CK524" s="2" t="e">
        <f ca="1">_xll.BDH($C$503,"TOT_DEBT_TO_TOT_EQY","FQ1 2018","FQ1 2018","Currency=INR","Period=FQ","BEST_FPERIOD_OVERRIDE=FQ","FILING_STATUS=OR","EQY_CONSOLIDATED=Y","Sort=A","Dates=H","DateFormat=P","Fill=—","Direction=H","UseDPDF=Y")</f>
        <v>#NAME?</v>
      </c>
      <c r="CL524" s="2" t="e">
        <f ca="1">_xll.BDH($C$503,"TOT_DEBT_TO_TOT_CAP","FQ1 2018","FQ1 2018","Currency=INR","Period=FQ","BEST_FPERIOD_OVERRIDE=FQ","FILING_STATUS=OR","EQY_CONSOLIDATED=Y","Sort=A","Dates=H","DateFormat=P","Fill=—","Direction=H","UseDPDF=Y")</f>
        <v>#NAME?</v>
      </c>
      <c r="CM524" s="2" t="e">
        <f ca="1">_xll.BDH($C$503,"TOT_DEBT_TO_TOT_ASSET","FQ1 2018","FQ1 2018","Currency=INR","Period=FQ","BEST_FPERIOD_OVERRIDE=FQ","FILING_STATUS=OR","EQY_CONSOLIDATED=Y","Sort=A","Dates=H","DateFormat=P","Fill=—","Direction=H","UseDPDF=Y")</f>
        <v>#NAME?</v>
      </c>
      <c r="CN524" s="2" t="e">
        <f ca="1">_xll.BDH($C$503,"NET_DEBT_TO_SHRHLDR_EQTY","FQ1 2018","FQ1 2018","Currency=INR","Period=FQ","BEST_FPERIOD_OVERRIDE=FQ","FILING_STATUS=OR","EQY_CONSOLIDATED=Y","Sort=A","Dates=H","DateFormat=P","Fill=—","Direction=H","UseDPDF=Y")</f>
        <v>#NAME?</v>
      </c>
      <c r="CO524" s="2" t="e">
        <f ca="1">_xll.BDH($C$503,"NET_DEBT_%_CAPITAL","FQ1 2018","FQ1 2018","Currency=INR","Period=FQ","BEST_FPERIOD_OVERRIDE=FQ","FILING_STATUS=OR","EQY_CONSOLIDATED=Y","Sort=A","Dates=H","DateFormat=P","Fill=—","Direction=H","UseDPDF=Y")</f>
        <v>#NAME?</v>
      </c>
      <c r="CP524" s="3" t="e">
        <f ca="1">_xll.BDH($C$503,"EBITDA","FQ1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24" s="3" t="e">
        <f ca="1">_xll.BDH($C$503,"EBITDA_AFTER_CAPEX","FQ1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24" s="3" t="e">
        <f ca="1">_xll.BDH($C$503,"IS_OPER_INC","FQ1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24" s="2" t="e">
        <f ca="1">_xll.BDH($C$503,"CASH_RATIO","FQ1 2018","FQ1 2018","Currency=INR","Period=FQ","BEST_FPERIOD_OVERRIDE=FQ","FILING_STATUS=OR","EQY_CONSOLIDATED=Y","Sort=A","Dates=H","DateFormat=P","Fill=—","Direction=H","UseDPDF=Y")</f>
        <v>#NAME?</v>
      </c>
      <c r="CT524" s="2" t="e">
        <f ca="1">_xll.BDH($C$503,"CUR_RATIO","FQ1 2018","FQ1 2018","Currency=INR","Period=FQ","BEST_FPERIOD_OVERRIDE=FQ","FILING_STATUS=OR","EQY_CONSOLIDATED=Y","Sort=A","Dates=H","DateFormat=P","Fill=—","Direction=H","UseDPDF=Y")</f>
        <v>#NAME?</v>
      </c>
      <c r="CU524" s="2" t="e">
        <f ca="1">_xll.BDH($C$503,"QUICK_RATIO","FQ1 2018","FQ1 2018","Currency=INR","Period=FQ","BEST_FPERIOD_OVERRIDE=FQ","FILING_STATUS=OR","EQY_CONSOLIDATED=Y","Sort=A","Dates=H","DateFormat=P","Fill=—","Direction=H","UseDPDF=Y")</f>
        <v>#NAME?</v>
      </c>
      <c r="CV524" s="2" t="e">
        <f ca="1">_xll.BDH($C$503,"ALTMAN_Z_SCORE","FQ1 2018","FQ1 2018","Currency=INR","Period=FQ","BEST_FPERIOD_OVERRIDE=FQ","FILING_STATUS=OR","EQY_CONSOLIDATED=Y","Sort=A","Dates=H","DateFormat=P","Fill=—","Direction=H","UseDPDF=Y")</f>
        <v>#NAME?</v>
      </c>
      <c r="CW524" s="4" t="e">
        <f ca="1">_xll.BDH($C$503,"ACCT_RCV_TURN","FQ1 2018","FQ1 2018","Currency=INR","Period=FQ","BEST_FPERIOD_OVERRIDE=FQ","FILING_STATUS=OR","EQY_CONSOLIDATED=Y","FA_ADJUSTED=GAAP","Sort=A","Dates=H","DateFormat=P","Fill=—","Direction=H","UseDPDF=Y")</f>
        <v>#NAME?</v>
      </c>
      <c r="CX524" s="2" t="e">
        <f ca="1">_xll.BDH($C$503,"ACCT_RCV_DAYS","FQ1 2018","FQ1 2018","Currency=INR","Period=FQ","BEST_FPERIOD_OVERRIDE=FQ","FILING_STATUS=OR","EQY_CONSOLIDATED=Y","FA_ADJUSTED=GAAP","Sort=A","Dates=H","DateFormat=P","Fill=—","Direction=H","UseDPDF=Y")</f>
        <v>#NAME?</v>
      </c>
      <c r="CY524" s="4" t="e">
        <f ca="1">_xll.BDH($C$503,"INVENT_TURN","FQ1 2018","FQ1 2018","Currency=INR","Period=FQ","BEST_FPERIOD_OVERRIDE=FQ","FILING_STATUS=OR","EQY_CONSOLIDATED=Y","FA_ADJUSTED=GAAP","Sort=A","Dates=H","DateFormat=P","Fill=—","Direction=H","UseDPDF=Y")</f>
        <v>#NAME?</v>
      </c>
      <c r="CZ524" s="2" t="e">
        <f ca="1">_xll.BDH($C$503,"INVENT_DAYS","FQ1 2018","FQ1 2018","Currency=INR","Period=FQ","BEST_FPERIOD_OVERRIDE=FQ","FILING_STATUS=OR","EQY_CONSOLIDATED=Y","FA_ADJUSTED=GAAP","Sort=A","Dates=H","DateFormat=P","Fill=—","Direction=H","UseDPDF=Y")</f>
        <v>#NAME?</v>
      </c>
      <c r="DA524" s="4" t="e">
        <f ca="1">_xll.BDH($C$503,"ACCOUNTS_PAYABLE_TURNOVER","FQ1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24" s="2" t="e">
        <f ca="1">_xll.BDH($C$503,"ACCOUNTS_PAYABLE_TURNOVER_DAYS","FQ1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24" s="4" t="e">
        <f ca="1">_xll.BDH($C$503,"CASH_CONVERSION_CYCLE","FQ1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24" s="4" t="e">
        <f ca="1">_xll.BDH($C$503,"INV_TO_CASH_DAYS","FQ1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24" s="5" t="e">
        <f ca="1">_xll.BDH($C$503,"BS_INVENTORIES","FQ1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24" s="3" t="e">
        <f ca="1">_xll.BDH($C$503,"INVTRY_RAW_MATERIALS","FQ1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24" s="3" t="e">
        <f ca="1">_xll.BDH($C$503,"INVTRY_IN_PROGRESS","FQ1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24" s="3" t="e">
        <f ca="1">_xll.BDH($C$503,"INVTRY_FINISHED_GOODS","FQ1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24" s="3" t="e">
        <f ca="1">_xll.BDH($C$503,"BS_OTHER_INV","FQ1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25" spans="1:113" x14ac:dyDescent="0.3">
      <c r="A525" s="6"/>
      <c r="B525" s="6"/>
      <c r="C525" s="6"/>
      <c r="D525" s="6"/>
      <c r="E525" t="s">
        <v>79</v>
      </c>
      <c r="F525" t="e">
        <f ca="1">_xll.BDH($C$503,"RETURN_COM_EQY","FQ2 2018","FQ2 2018","Currency=INR","Period=FQ","BEST_FPERIOD_OVERRIDE=FQ","FILING_STATUS=OR","EQY_CONSOLIDATED=Y","FA_ADJUSTED=GAAP","Sort=A","Dates=H","DateFormat=P","Fill=—","Direction=H","UseDPDF=Y")</f>
        <v>#NAME?</v>
      </c>
      <c r="G525" t="e">
        <f ca="1">_xll.BDH($C$503,"RETURN_ON_ASSET","FQ2 2018","FQ2 2018","Currency=INR","Period=FQ","BEST_FPERIOD_OVERRIDE=FQ","FILING_STATUS=OR","EQY_CONSOLIDATED=Y","FA_ADJUSTED=GAAP","Sort=A","Dates=H","DateFormat=P","Fill=—","Direction=H","UseDPDF=Y")</f>
        <v>#NAME?</v>
      </c>
      <c r="H525" t="e">
        <f ca="1">_xll.BDH($C$503,"RETURN_ON_CAP","FQ2 2018","FQ2 2018","Currency=INR","Period=FQ","BEST_FPERIOD_OVERRIDE=FQ","FILING_STATUS=OR","EQY_CONSOLIDATED=Y","FA_ADJUSTED=GAAP","Sort=A","Dates=H","DateFormat=P","Fill=—","Direction=H","UseDPDF=Y")</f>
        <v>#NAME?</v>
      </c>
      <c r="I525" t="e">
        <f ca="1">_xll.BDH($C$503,"RETURN_ON_INV_CAPITAL","FQ2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25" t="e">
        <f ca="1">_xll.BDH($C$503,"EBITDA_TO_REVENUE","FQ2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25" t="e">
        <f ca="1">_xll.BDH($C$503,"OPER_MARGIN","FQ2 2018","FQ2 2018","Currency=INR","Period=FQ","BEST_FPERIOD_OVERRIDE=FQ","FILING_STATUS=OR","EQY_CONSOLIDATED=Y","FA_ADJUSTED=GAAP","Sort=A","Dates=H","DateFormat=P","Fill=—","Direction=H","UseDPDF=Y")</f>
        <v>#NAME?</v>
      </c>
      <c r="L525" t="e">
        <f ca="1">_xll.BDH($C$503,"INCREMENTAL_OPERATING_MARGIN","FQ2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25" t="e">
        <f ca="1">_xll.BDH($C$503,"PRETAX_INC_TO_NET_SALES","FQ2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25" t="e">
        <f ca="1">_xll.BDH($C$503,"INC_BEF_XO_ITEMS_TO_NET_SALES","FQ2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25" t="e">
        <f ca="1">_xll.BDH($C$503,"PROF_MARGIN","FQ2 2018","FQ2 2018","Currency=INR","Period=FQ","BEST_FPERIOD_OVERRIDE=FQ","FILING_STATUS=OR","EQY_CONSOLIDATED=Y","FA_ADJUSTED=GAAP","Sort=A","Dates=H","DateFormat=P","Fill=—","Direction=H","UseDPDF=Y")</f>
        <v>#NAME?</v>
      </c>
      <c r="P525" t="e">
        <f ca="1">_xll.BDH($C$503,"NET_INCOME_TO_COMMON_MARGIN","FQ2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25" t="e">
        <f ca="1">_xll.BDH($C$503,"EFF_TAX_RATE","FQ2 2018","FQ2 2018","Currency=INR","Period=FQ","BEST_FPERIOD_OVERRIDE=FQ","FILING_STATUS=OR","EQY_CONSOLIDATED=Y","FA_ADJUSTED=GAAP","Sort=A","Dates=H","DateFormat=P","Fill=—","Direction=H","UseDPDF=Y")</f>
        <v>#NAME?</v>
      </c>
      <c r="R525" t="e">
        <f ca="1">_xll.BDH($C$503,"DVD_PAYOUT_RATIO","FQ2 2018","FQ2 2018","Currency=INR","Period=FQ","BEST_FPERIOD_OVERRIDE=FQ","FILING_STATUS=OR","EQY_CONSOLIDATED=Y","FA_ADJUSTED=GAAP","Sort=A","Dates=H","DateFormat=P","Fill=—","Direction=H","UseDPDF=Y")</f>
        <v>#NAME?</v>
      </c>
      <c r="S525" t="e">
        <f ca="1">_xll.BDH($C$503,"SUSTAIN_GROWTH_RT","FQ2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25" s="2" t="e">
        <f ca="1">_xll.BDH($C$503,"SALES_GROWTH","FQ2 2018","FQ2 2018","Currency=INR","Period=FQ","BEST_FPERIOD_OVERRIDE=FQ","FILING_STATUS=OR","EQY_CONSOLIDATED=Y","FA_ADJUSTED=GAAP","Sort=A","Dates=H","DateFormat=P","Fill=—","Direction=H","UseDPDF=Y")</f>
        <v>#NAME?</v>
      </c>
      <c r="U525" s="2" t="e">
        <f ca="1">_xll.BDH($C$503,"EBITDA_GROWTH","FQ2 2018","FQ2 2018","Currency=INR","Period=FQ","BEST_FPERIOD_OVERRIDE=FQ","FILING_STATUS=OR","EQY_CONSOLIDATED=Y","FA_ADJUSTED=GAAP","Sort=A","Dates=H","DateFormat=P","Fill=—","Direction=H","UseDPDF=Y")</f>
        <v>#NAME?</v>
      </c>
      <c r="V525" s="2" t="e">
        <f ca="1">_xll.BDH($C$503,"OPER_INC_GROWTH","FQ2 2018","FQ2 2018","Currency=INR","Period=FQ","BEST_FPERIOD_OVERRIDE=FQ","FILING_STATUS=OR","EQY_CONSOLIDATED=Y","FA_ADJUSTED=GAAP","Sort=A","Dates=H","DateFormat=P","Fill=—","Direction=H","UseDPDF=Y")</f>
        <v>#NAME?</v>
      </c>
      <c r="W525" s="2" t="e">
        <f ca="1">_xll.BDH($C$503,"EARN_FOR_COM_GROWTH","FQ2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25" s="2" t="e">
        <f ca="1">_xll.BDH($C$503,"DILUTED_EPS_AFT_XO_ITEMS_GROWTH","FQ2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25" s="2" t="e">
        <f ca="1">_xll.BDH($C$503,"DIVIDEND_PER_SHARE_1_YEAR_GROWTH","FQ2 2018","FQ2 2018","Currency=INR","Period=FQ","BEST_FPERIOD_OVERRIDE=FQ","FILING_STATUS=OR","EQY_CONSOLIDATED=Y","Sort=A","Dates=H","DateFormat=P","Fill=—","Direction=H","UseDPDF=Y")</f>
        <v>#NAME?</v>
      </c>
      <c r="Z525" s="2" t="e">
        <f ca="1">_xll.BDH($C$503,"ACCOUNTS_RECEIVABLE_GROWTH","FQ2 2018","FQ2 2018","Currency=INR","Period=FQ","BEST_FPERIOD_OVERRIDE=FQ","FILING_STATUS=OR","EQY_CONSOLIDATED=Y","Sort=A","Dates=H","DateFormat=P","Fill=—","Direction=H","UseDPDF=Y")</f>
        <v>#NAME?</v>
      </c>
      <c r="AA525" s="2" t="e">
        <f ca="1">_xll.BDH($C$503,"INVENTORY_GROWTH","FQ2 2018","FQ2 2018","Currency=INR","Period=FQ","BEST_FPERIOD_OVERRIDE=FQ","FILING_STATUS=OR","EQY_CONSOLIDATED=Y","Sort=A","Dates=H","DateFormat=P","Fill=—","Direction=H","UseDPDF=Y")</f>
        <v>#NAME?</v>
      </c>
      <c r="AB525" s="2" t="e">
        <f ca="1">_xll.BDH($C$503,"NET_FIXED_ASSETS_1_YEAR_GROWTH","FQ2 2018","FQ2 2018","Currency=INR","Period=FQ","BEST_FPERIOD_OVERRIDE=FQ","FILING_STATUS=OR","EQY_CONSOLIDATED=Y","Sort=A","Dates=H","DateFormat=P","Fill=—","Direction=H","UseDPDF=Y")</f>
        <v>#NAME?</v>
      </c>
      <c r="AC525" s="2" t="e">
        <f ca="1">_xll.BDH($C$503,"ASSET_GROWTH","FQ2 2018","FQ2 2018","Currency=INR","Period=FQ","BEST_FPERIOD_OVERRIDE=FQ","FILING_STATUS=OR","EQY_CONSOLIDATED=Y","Sort=A","Dates=H","DateFormat=P","Fill=—","Direction=H","UseDPDF=Y")</f>
        <v>#NAME?</v>
      </c>
      <c r="AD525" s="2" t="e">
        <f ca="1">_xll.BDH($C$503,"MODIFIED_WORK_CAP_GROWTH","FQ2 2018","FQ2 2018","Currency=INR","Period=FQ","BEST_FPERIOD_OVERRIDE=FQ","FILING_STATUS=OR","EQY_CONSOLIDATED=Y","Sort=A","Dates=H","DateFormat=P","Fill=—","Direction=H","UseDPDF=Y")</f>
        <v>#NAME?</v>
      </c>
      <c r="AE525" s="2" t="e">
        <f ca="1">_xll.BDH($C$503,"WORK_CAP_GROWTH","FQ2 2018","FQ2 2018","Currency=INR","Period=FQ","BEST_FPERIOD_OVERRIDE=FQ","FILING_STATUS=OR","EQY_CONSOLIDATED=Y","Sort=A","Dates=H","DateFormat=P","Fill=—","Direction=H","UseDPDF=Y")</f>
        <v>#NAME?</v>
      </c>
      <c r="AF525" s="2" t="e">
        <f ca="1">_xll.BDH($C$503,"ACCOUNTS_PAYABLE_GROWTH_1YR","FQ2 2018","FQ2 2018","Currency=INR","Period=FQ","BEST_FPERIOD_OVERRIDE=FQ","FILING_STATUS=OR","EQY_CONSOLIDATED=Y","Sort=A","Dates=H","DateFormat=P","Fill=—","Direction=H","UseDPDF=Y")</f>
        <v>#NAME?</v>
      </c>
      <c r="AG525" s="2" t="e">
        <f ca="1">_xll.BDH($C$503,"SHORT_TERM_DEBT_1_YEAR_GROWTH","FQ2 2018","FQ2 2018","Currency=INR","Period=FQ","BEST_FPERIOD_OVERRIDE=FQ","FILING_STATUS=OR","EQY_CONSOLIDATED=Y","Sort=A","Dates=H","DateFormat=P","Fill=—","Direction=H","UseDPDF=Y")</f>
        <v>#NAME?</v>
      </c>
      <c r="AH525" s="2" t="e">
        <f ca="1">_xll.BDH($C$503,"TOTAL_DEBT_1_YEAR_GROWTH","FQ2 2018","FQ2 2018","Currency=INR","Period=FQ","BEST_FPERIOD_OVERRIDE=FQ","FILING_STATUS=OR","EQY_CONSOLIDATED=Y","Sort=A","Dates=H","DateFormat=P","Fill=—","Direction=H","UseDPDF=Y")</f>
        <v>#NAME?</v>
      </c>
      <c r="AI525" s="2" t="e">
        <f ca="1">_xll.BDH($C$503,"TOTAL_EQUITY_1_YEAR_GROWTH","FQ2 2018","FQ2 2018","Currency=INR","Period=FQ","BEST_FPERIOD_OVERRIDE=FQ","FILING_STATUS=OR","EQY_CONSOLIDATED=Y","Sort=A","Dates=H","DateFormat=P","Fill=—","Direction=H","UseDPDF=Y")</f>
        <v>#NAME?</v>
      </c>
      <c r="AJ525" s="2" t="e">
        <f ca="1">_xll.BDH($C$503,"GROWTH_IN_CAP","FQ2 2018","FQ2 2018","Currency=INR","Period=FQ","BEST_FPERIOD_OVERRIDE=FQ","FILING_STATUS=OR","EQY_CONSOLIDATED=Y","Sort=A","Dates=H","DateFormat=P","Fill=—","Direction=H","UseDPDF=Y")</f>
        <v>#NAME?</v>
      </c>
      <c r="AK525" s="2" t="e">
        <f ca="1">_xll.BDH($C$503,"BVPS_GROWTH","FQ2 2018","FQ2 2018","Currency=INR","Period=FQ","BEST_FPERIOD_OVERRIDE=FQ","FILING_STATUS=OR","EQY_CONSOLIDATED=Y","Sort=A","Dates=H","DateFormat=P","Fill=—","Direction=H","UseDPDF=Y")</f>
        <v>#NAME?</v>
      </c>
      <c r="AL525" s="2" t="e">
        <f ca="1">_xll.BDH($C$503,"CASH_FLOW_GROWTH","FQ2 2018","FQ2 2018","Currency=INR","Period=FQ","BEST_FPERIOD_OVERRIDE=FQ","FILING_STATUS=OR","EQY_CONSOLIDATED=Y","Sort=A","Dates=H","DateFormat=P","Fill=—","Direction=H","UseDPDF=Y")</f>
        <v>#NAME?</v>
      </c>
      <c r="AM525" s="2" t="e">
        <f ca="1">_xll.BDH($C$503,"GEO_GROW_NET_SALES","FQ2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25" s="2" t="e">
        <f ca="1">_xll.BDH($C$503,"GEO_GROW_EBITDA","FQ2 2018","FQ2 2018","Currency=INR","Period=FQ","BEST_FPERIOD_OVERRIDE=FQ","FILING_STATUS=OR","EQY_CONSOLIDATED=Y","FA_ADJUSTED=GAAP","Sort=A","Dates=H","DateFormat=P","Fill=—","Direction=H","UseDPDF=Y")</f>
        <v>#NAME?</v>
      </c>
      <c r="AO525" s="2" t="e">
        <f ca="1">_xll.BDH($C$503,"GEO_GROW_OPER_INC","FQ2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25" s="2" t="e">
        <f ca="1">_xll.BDH($C$503,"NET_INCOME_TO_COMMON_5_YR_GROWTH","FQ2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25" s="2" t="e">
        <f ca="1">_xll.BDH($C$503,"5Y_GEO_GROWTH_DILUTED_EPS","FQ2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25" s="2" t="e">
        <f ca="1">_xll.BDH($C$503,"GEO_GROW_DVD_PER_SH","FQ2 2018","FQ2 2018","Currency=INR","Period=FQ","BEST_FPERIOD_OVERRIDE=FQ","FILING_STATUS=OR","EQY_CONSOLIDATED=Y","Sort=A","Dates=H","DateFormat=P","Fill=—","Direction=H","UseDPDF=Y")</f>
        <v>#NAME?</v>
      </c>
      <c r="AS525" s="2" t="e">
        <f ca="1">_xll.BDH($C$503,"ACCOUNTS_RECEIVABLE_5_YR_GROWTH","FQ2 2018","FQ2 2018","Currency=INR","Period=FQ","BEST_FPERIOD_OVERRIDE=FQ","FILING_STATUS=OR","EQY_CONSOLIDATED=Y","Sort=A","Dates=H","DateFormat=P","Fill=—","Direction=H","UseDPDF=Y")</f>
        <v>#NAME?</v>
      </c>
      <c r="AT525" s="2" t="e">
        <f ca="1">_xll.BDH($C$503,"INVENTORY_5_YEAR_GROWTH","FQ2 2018","FQ2 2018","Currency=INR","Period=FQ","BEST_FPERIOD_OVERRIDE=FQ","FILING_STATUS=OR","EQY_CONSOLIDATED=Y","Sort=A","Dates=H","DateFormat=P","Fill=—","Direction=H","UseDPDF=Y")</f>
        <v>#NAME?</v>
      </c>
      <c r="AU525" s="2" t="e">
        <f ca="1">_xll.BDH($C$503,"NET_FIXED_ASSETS_5_YEAR_GROWTH","FQ2 2018","FQ2 2018","Currency=INR","Period=FQ","BEST_FPERIOD_OVERRIDE=FQ","FILING_STATUS=OR","EQY_CONSOLIDATED=Y","Sort=A","Dates=H","DateFormat=P","Fill=—","Direction=H","UseDPDF=Y")</f>
        <v>#NAME?</v>
      </c>
      <c r="AV525" s="2" t="e">
        <f ca="1">_xll.BDH($C$503,"GEO_GROW_TOT_ASSET","FQ2 2018","FQ2 2018","Currency=INR","Period=FQ","BEST_FPERIOD_OVERRIDE=FQ","FILING_STATUS=OR","EQY_CONSOLIDATED=Y","Sort=A","Dates=H","DateFormat=P","Fill=—","Direction=H","UseDPDF=Y")</f>
        <v>#NAME?</v>
      </c>
      <c r="AW525" s="2" t="e">
        <f ca="1">_xll.BDH($C$503,"MODIFIED_WORKING_CPTL_5YR_GRWTH","FQ2 2018","FQ2 2018","Currency=INR","Period=FQ","BEST_FPERIOD_OVERRIDE=FQ","FILING_STATUS=OR","EQY_CONSOLIDATED=Y","Sort=A","Dates=H","DateFormat=P","Fill=—","Direction=H","UseDPDF=Y")</f>
        <v>#NAME?</v>
      </c>
      <c r="AX525" s="2" t="e">
        <f ca="1">_xll.BDH($C$503,"WORKING_CAPITAL_5_YEAR_GROWTH","FQ2 2018","FQ2 2018","Currency=INR","Period=FQ","BEST_FPERIOD_OVERRIDE=FQ","FILING_STATUS=OR","EQY_CONSOLIDATED=Y","Sort=A","Dates=H","DateFormat=P","Fill=—","Direction=H","UseDPDF=Y")</f>
        <v>#NAME?</v>
      </c>
      <c r="AY525" s="2" t="e">
        <f ca="1">_xll.BDH($C$503,"ACCOUNTS_PAYABLE_5_YEAR_GROWTH","FQ2 2018","FQ2 2018","Currency=INR","Period=FQ","BEST_FPERIOD_OVERRIDE=FQ","FILING_STATUS=OR","EQY_CONSOLIDATED=Y","Sort=A","Dates=H","DateFormat=P","Fill=—","Direction=H","UseDPDF=Y")</f>
        <v>#NAME?</v>
      </c>
      <c r="AZ525" s="2" t="e">
        <f ca="1">_xll.BDH($C$503,"SHORT_TERM_DEBT_5_YEAR_GROWTH","FQ2 2018","FQ2 2018","Currency=INR","Period=FQ","BEST_FPERIOD_OVERRIDE=FQ","FILING_STATUS=OR","EQY_CONSOLIDATED=Y","Sort=A","Dates=H","DateFormat=P","Fill=—","Direction=H","UseDPDF=Y")</f>
        <v>#NAME?</v>
      </c>
      <c r="BA525" s="2" t="e">
        <f ca="1">_xll.BDH($C$503,"TOTAL_DEBT_5_YEAR_GROWTH","FQ2 2018","FQ2 2018","Currency=INR","Period=FQ","BEST_FPERIOD_OVERRIDE=FQ","FILING_STATUS=OR","EQY_CONSOLIDATED=Y","Sort=A","Dates=H","DateFormat=P","Fill=—","Direction=H","UseDPDF=Y")</f>
        <v>#NAME?</v>
      </c>
      <c r="BB525" s="2" t="e">
        <f ca="1">_xll.BDH($C$503,"GEO_GROW_TOT_SHRHLDR_EQY","FQ2 2018","FQ2 2018","Currency=INR","Period=FQ","BEST_FPERIOD_OVERRIDE=FQ","FILING_STATUS=OR","EQY_CONSOLIDATED=Y","Sort=A","Dates=H","DateFormat=P","Fill=—","Direction=H","UseDPDF=Y")</f>
        <v>#NAME?</v>
      </c>
      <c r="BC525" s="2" t="e">
        <f ca="1">_xll.BDH($C$503,"TOTAL_CAPITAL_5_YEAR_GROWTH","FQ2 2018","FQ2 2018","Currency=INR","Period=FQ","BEST_FPERIOD_OVERRIDE=FQ","FILING_STATUS=OR","EQY_CONSOLIDATED=Y","Sort=A","Dates=H","DateFormat=P","Fill=—","Direction=H","UseDPDF=Y")</f>
        <v>#NAME?</v>
      </c>
      <c r="BD525" s="2" t="e">
        <f ca="1">_xll.BDH($C$503,"GEO_GROW_BOOK_VAL","FQ2 2018","FQ2 2018","Currency=INR","Period=FQ","BEST_FPERIOD_OVERRIDE=FQ","FILING_STATUS=OR","EQY_CONSOLIDATED=Y","Sort=A","Dates=H","DateFormat=P","Fill=—","Direction=H","UseDPDF=Y")</f>
        <v>#NAME?</v>
      </c>
      <c r="BE525" s="2" t="e">
        <f ca="1">_xll.BDH($C$503,"GEO_GROW_CASH_OPER_ACT","FQ2 2018","FQ2 2018","Currency=INR","Period=FQ","BEST_FPERIOD_OVERRIDE=FQ","FILING_STATUS=OR","EQY_CONSOLIDATED=Y","Sort=A","Dates=H","DateFormat=P","Fill=—","Direction=H","UseDPDF=Y")</f>
        <v>#NAME?</v>
      </c>
      <c r="BF525" s="2" t="e">
        <f ca="1">_xll.BDH($C$503,"REVENUE_SEQUENTIAL_GROWTH","FQ2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25" s="2" t="e">
        <f ca="1">_xll.BDH($C$503,"EBITDA_SEQUENTIAL_GROWTH","FQ2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25" s="2" t="e">
        <f ca="1">_xll.BDH($C$503,"OPERATING_INCOME_SEQ_GROWTH","FQ2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25" s="2" t="e">
        <f ca="1">_xll.BDH($C$503,"NET_INCOME_TO_COMMON_SEQ_GROWTH","FQ2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25" s="2" t="e">
        <f ca="1">_xll.BDH($C$503,"EPS_DILUTED_SEQUENTIAL_GROWTH","FQ2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25" s="2" t="e">
        <f ca="1">_xll.BDH($C$503,"DPS_SEQUENTIAL_GROWTH","FQ2 2018","FQ2 2018","Currency=INR","Period=FQ","BEST_FPERIOD_OVERRIDE=FQ","FILING_STATUS=OR","EQY_CONSOLIDATED=Y","Sort=A","Dates=H","DateFormat=P","Fill=—","Direction=H","UseDPDF=Y")</f>
        <v>#NAME?</v>
      </c>
      <c r="BL525" s="2" t="e">
        <f ca="1">_xll.BDH($C$503,"ACCOUNTS_RECEIVABLE_SEQ_GROWTH","FQ2 2018","FQ2 2018","Currency=INR","Period=FQ","BEST_FPERIOD_OVERRIDE=FQ","FILING_STATUS=OR","EQY_CONSOLIDATED=Y","Sort=A","Dates=H","DateFormat=P","Fill=—","Direction=H","UseDPDF=Y")</f>
        <v>#NAME?</v>
      </c>
      <c r="BM525" s="2" t="e">
        <f ca="1">_xll.BDH($C$503,"INVENTORY_SEQUENTIAL_GROWTH","FQ2 2018","FQ2 2018","Currency=INR","Period=FQ","BEST_FPERIOD_OVERRIDE=FQ","FILING_STATUS=OR","EQY_CONSOLIDATED=Y","Sort=A","Dates=H","DateFormat=P","Fill=—","Direction=H","UseDPDF=Y")</f>
        <v>#NAME?</v>
      </c>
      <c r="BN525" s="2" t="e">
        <f ca="1">_xll.BDH($C$503,"FIXED_ASSETS_SEQUENTIAL_GROWTH","FQ2 2018","FQ2 2018","Currency=INR","Period=FQ","BEST_FPERIOD_OVERRIDE=FQ","FILING_STATUS=OR","EQY_CONSOLIDATED=Y","Sort=A","Dates=H","DateFormat=P","Fill=—","Direction=H","UseDPDF=Y")</f>
        <v>#NAME?</v>
      </c>
      <c r="BO525" s="2" t="e">
        <f ca="1">_xll.BDH($C$503,"TOTAL_ASSETS_SEQUENTIAL_GROWTH","FQ2 2018","FQ2 2018","Currency=INR","Period=FQ","BEST_FPERIOD_OVERRIDE=FQ","FILING_STATUS=OR","EQY_CONSOLIDATED=Y","Sort=A","Dates=H","DateFormat=P","Fill=—","Direction=H","UseDPDF=Y")</f>
        <v>#NAME?</v>
      </c>
      <c r="BP525" s="2" t="e">
        <f ca="1">_xll.BDH($C$503,"MODIFIED_WORKING_CPTL_SEQ_GRWTH","FQ2 2018","FQ2 2018","Currency=INR","Period=FQ","BEST_FPERIOD_OVERRIDE=FQ","FILING_STATUS=OR","EQY_CONSOLIDATED=Y","Sort=A","Dates=H","DateFormat=P","Fill=—","Direction=H","UseDPDF=Y")</f>
        <v>#NAME?</v>
      </c>
      <c r="BQ525" s="2" t="e">
        <f ca="1">_xll.BDH($C$503,"WORKING_CAPITAL_SEQ_GROWTH","FQ2 2018","FQ2 2018","Currency=INR","Period=FQ","BEST_FPERIOD_OVERRIDE=FQ","FILING_STATUS=OR","EQY_CONSOLIDATED=Y","Sort=A","Dates=H","DateFormat=P","Fill=—","Direction=H","UseDPDF=Y")</f>
        <v>#NAME?</v>
      </c>
      <c r="BR525" s="2" t="e">
        <f ca="1">_xll.BDH($C$503,"ACCOUNTS_PAYABLE_SEQ_GROWTH","FQ2 2018","FQ2 2018","Currency=INR","Period=FQ","BEST_FPERIOD_OVERRIDE=FQ","FILING_STATUS=OR","EQY_CONSOLIDATED=Y","Sort=A","Dates=H","DateFormat=P","Fill=—","Direction=H","UseDPDF=Y")</f>
        <v>#NAME?</v>
      </c>
      <c r="BS525" s="2" t="e">
        <f ca="1">_xll.BDH($C$503,"ST_DEBT_SEQUENTIAL_GROWTH","FQ2 2018","FQ2 2018","Currency=INR","Period=FQ","BEST_FPERIOD_OVERRIDE=FQ","FILING_STATUS=OR","EQY_CONSOLIDATED=Y","Sort=A","Dates=H","DateFormat=P","Fill=—","Direction=H","UseDPDF=Y")</f>
        <v>#NAME?</v>
      </c>
      <c r="BT525" s="2" t="e">
        <f ca="1">_xll.BDH($C$503,"TOTAL_DEBT_SEQUENTIAL_GROWTH","FQ2 2018","FQ2 2018","Currency=INR","Period=FQ","BEST_FPERIOD_OVERRIDE=FQ","FILING_STATUS=OR","EQY_CONSOLIDATED=Y","Sort=A","Dates=H","DateFormat=P","Fill=—","Direction=H","UseDPDF=Y")</f>
        <v>#NAME?</v>
      </c>
      <c r="BU525" s="2" t="e">
        <f ca="1">_xll.BDH($C$503,"TOTAL_EQUITY_SEQUENTIAL_GROWTH","FQ2 2018","FQ2 2018","Currency=INR","Period=FQ","BEST_FPERIOD_OVERRIDE=FQ","FILING_STATUS=OR","EQY_CONSOLIDATED=Y","Sort=A","Dates=H","DateFormat=P","Fill=—","Direction=H","UseDPDF=Y")</f>
        <v>#NAME?</v>
      </c>
      <c r="BV525" s="2" t="e">
        <f ca="1">_xll.BDH($C$503,"TOTAL_CAPITAL_SEQUENTIAL_GROWTH","FQ2 2018","FQ2 2018","Currency=INR","Period=FQ","BEST_FPERIOD_OVERRIDE=FQ","FILING_STATUS=OR","EQY_CONSOLIDATED=Y","Sort=A","Dates=H","DateFormat=P","Fill=—","Direction=H","UseDPDF=Y")</f>
        <v>#NAME?</v>
      </c>
      <c r="BW525" s="2" t="e">
        <f ca="1">_xll.BDH($C$503,"BPS_SEQUENTIAL_GROWTH","FQ2 2018","FQ2 2018","Currency=INR","Period=FQ","BEST_FPERIOD_OVERRIDE=FQ","FILING_STATUS=OR","EQY_CONSOLIDATED=Y","Sort=A","Dates=H","DateFormat=P","Fill=—","Direction=H","UseDPDF=Y")</f>
        <v>#NAME?</v>
      </c>
      <c r="BX525" s="2" t="e">
        <f ca="1">_xll.BDH($C$503,"CFO_SEQUENTIAL_GROWTH","FQ2 2018","FQ2 2018","Currency=INR","Period=FQ","BEST_FPERIOD_OVERRIDE=FQ","FILING_STATUS=OR","EQY_CONSOLIDATED=Y","Sort=A","Dates=H","DateFormat=P","Fill=—","Direction=H","UseDPDF=Y")</f>
        <v>#NAME?</v>
      </c>
      <c r="BY525" s="3" t="e">
        <f ca="1">_xll.BDH($C$503,"SHORT_AND_LONG_TERM_DEBT","FQ2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25" s="3" t="e">
        <f ca="1">_xll.BDH($C$503,"BS_ST_BORROW","FQ2 2018","FQ2 2018","Currency=INR","Period=FQ","BEST_FPERIOD_OVERRIDE=FQ","FILING_STATUS=OR","EQY_CONSOLIDATED=Y","SCALING_FORMAT=MLN","Sort=A","Dates=H","DateFormat=P","Fill=—","Direction=H","UseDPDF=Y")</f>
        <v>#NAME?</v>
      </c>
      <c r="CA525" s="3" t="e">
        <f ca="1">_xll.BDH($C$503,"BS_LT_BORROW","FQ2 2018","FQ2 2018","Currency=INR","Period=FQ","BEST_FPERIOD_OVERRIDE=FQ","FILING_STATUS=OR","EQY_CONSOLIDATED=Y","SCALING_FORMAT=MLN","Sort=A","Dates=H","DateFormat=P","Fill=—","Direction=H","UseDPDF=Y")</f>
        <v>#NAME?</v>
      </c>
      <c r="CB525" s="2" t="e">
        <f ca="1">_xll.BDH($C$503,"TOT_DEBT_TO_EBITDA","FQ2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25" s="2" t="e">
        <f ca="1">_xll.BDH($C$503,"NET_DEBT_TO_EBITDA","FQ2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25" s="2" t="e">
        <f ca="1">_xll.BDH($C$503,"TOTAL_DEBT_TO_EBIT","FQ2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25" s="2" t="e">
        <f ca="1">_xll.BDH($C$503,"NET_DEBT_TO_EBIT","FQ2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25" s="2" t="e">
        <f ca="1">_xll.BDH($C$503,"EBITDA_TO_INTEREST_EXPN","FQ2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25" s="2" t="e">
        <f ca="1">_xll.BDH($C$503,"COM_EQY_TO_TOT_ASSET","FQ2 2018","FQ2 2018","Currency=INR","Period=FQ","BEST_FPERIOD_OVERRIDE=FQ","FILING_STATUS=OR","EQY_CONSOLIDATED=Y","Sort=A","Dates=H","DateFormat=P","Fill=—","Direction=H","UseDPDF=Y")</f>
        <v>#NAME?</v>
      </c>
      <c r="CH525" s="2" t="e">
        <f ca="1">_xll.BDH($C$503,"LT_DEBT_TO_TOT_EQY","FQ2 2018","FQ2 2018","Currency=INR","Period=FQ","BEST_FPERIOD_OVERRIDE=FQ","FILING_STATUS=OR","EQY_CONSOLIDATED=Y","Sort=A","Dates=H","DateFormat=P","Fill=—","Direction=H","UseDPDF=Y")</f>
        <v>#NAME?</v>
      </c>
      <c r="CI525" s="2" t="e">
        <f ca="1">_xll.BDH($C$503,"LT_DEBT_TO_TOT_CAP","FQ2 2018","FQ2 2018","Currency=INR","Period=FQ","BEST_FPERIOD_OVERRIDE=FQ","FILING_STATUS=OR","EQY_CONSOLIDATED=Y","Sort=A","Dates=H","DateFormat=P","Fill=—","Direction=H","UseDPDF=Y")</f>
        <v>#NAME?</v>
      </c>
      <c r="CJ525" s="2" t="e">
        <f ca="1">_xll.BDH($C$503,"LT_DEBT_TO_TOT_ASSET","FQ2 2018","FQ2 2018","Currency=INR","Period=FQ","BEST_FPERIOD_OVERRIDE=FQ","FILING_STATUS=OR","EQY_CONSOLIDATED=Y","Sort=A","Dates=H","DateFormat=P","Fill=—","Direction=H","UseDPDF=Y")</f>
        <v>#NAME?</v>
      </c>
      <c r="CK525" s="2" t="e">
        <f ca="1">_xll.BDH($C$503,"TOT_DEBT_TO_TOT_EQY","FQ2 2018","FQ2 2018","Currency=INR","Period=FQ","BEST_FPERIOD_OVERRIDE=FQ","FILING_STATUS=OR","EQY_CONSOLIDATED=Y","Sort=A","Dates=H","DateFormat=P","Fill=—","Direction=H","UseDPDF=Y")</f>
        <v>#NAME?</v>
      </c>
      <c r="CL525" s="2" t="e">
        <f ca="1">_xll.BDH($C$503,"TOT_DEBT_TO_TOT_CAP","FQ2 2018","FQ2 2018","Currency=INR","Period=FQ","BEST_FPERIOD_OVERRIDE=FQ","FILING_STATUS=OR","EQY_CONSOLIDATED=Y","Sort=A","Dates=H","DateFormat=P","Fill=—","Direction=H","UseDPDF=Y")</f>
        <v>#NAME?</v>
      </c>
      <c r="CM525" s="2" t="e">
        <f ca="1">_xll.BDH($C$503,"TOT_DEBT_TO_TOT_ASSET","FQ2 2018","FQ2 2018","Currency=INR","Period=FQ","BEST_FPERIOD_OVERRIDE=FQ","FILING_STATUS=OR","EQY_CONSOLIDATED=Y","Sort=A","Dates=H","DateFormat=P","Fill=—","Direction=H","UseDPDF=Y")</f>
        <v>#NAME?</v>
      </c>
      <c r="CN525" s="2" t="e">
        <f ca="1">_xll.BDH($C$503,"NET_DEBT_TO_SHRHLDR_EQTY","FQ2 2018","FQ2 2018","Currency=INR","Period=FQ","BEST_FPERIOD_OVERRIDE=FQ","FILING_STATUS=OR","EQY_CONSOLIDATED=Y","Sort=A","Dates=H","DateFormat=P","Fill=—","Direction=H","UseDPDF=Y")</f>
        <v>#NAME?</v>
      </c>
      <c r="CO525" s="2" t="e">
        <f ca="1">_xll.BDH($C$503,"NET_DEBT_%_CAPITAL","FQ2 2018","FQ2 2018","Currency=INR","Period=FQ","BEST_FPERIOD_OVERRIDE=FQ","FILING_STATUS=OR","EQY_CONSOLIDATED=Y","Sort=A","Dates=H","DateFormat=P","Fill=—","Direction=H","UseDPDF=Y")</f>
        <v>#NAME?</v>
      </c>
      <c r="CP525" s="3" t="e">
        <f ca="1">_xll.BDH($C$503,"EBITDA","FQ2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25" s="3" t="e">
        <f ca="1">_xll.BDH($C$503,"EBITDA_AFTER_CAPEX","FQ2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25" s="3" t="e">
        <f ca="1">_xll.BDH($C$503,"IS_OPER_INC","FQ2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25" s="2" t="e">
        <f ca="1">_xll.BDH($C$503,"CASH_RATIO","FQ2 2018","FQ2 2018","Currency=INR","Period=FQ","BEST_FPERIOD_OVERRIDE=FQ","FILING_STATUS=OR","EQY_CONSOLIDATED=Y","Sort=A","Dates=H","DateFormat=P","Fill=—","Direction=H","UseDPDF=Y")</f>
        <v>#NAME?</v>
      </c>
      <c r="CT525" s="2" t="e">
        <f ca="1">_xll.BDH($C$503,"CUR_RATIO","FQ2 2018","FQ2 2018","Currency=INR","Period=FQ","BEST_FPERIOD_OVERRIDE=FQ","FILING_STATUS=OR","EQY_CONSOLIDATED=Y","Sort=A","Dates=H","DateFormat=P","Fill=—","Direction=H","UseDPDF=Y")</f>
        <v>#NAME?</v>
      </c>
      <c r="CU525" s="2" t="e">
        <f ca="1">_xll.BDH($C$503,"QUICK_RATIO","FQ2 2018","FQ2 2018","Currency=INR","Period=FQ","BEST_FPERIOD_OVERRIDE=FQ","FILING_STATUS=OR","EQY_CONSOLIDATED=Y","Sort=A","Dates=H","DateFormat=P","Fill=—","Direction=H","UseDPDF=Y")</f>
        <v>#NAME?</v>
      </c>
      <c r="CV525" s="2" t="e">
        <f ca="1">_xll.BDH($C$503,"ALTMAN_Z_SCORE","FQ2 2018","FQ2 2018","Currency=INR","Period=FQ","BEST_FPERIOD_OVERRIDE=FQ","FILING_STATUS=OR","EQY_CONSOLIDATED=Y","Sort=A","Dates=H","DateFormat=P","Fill=—","Direction=H","UseDPDF=Y")</f>
        <v>#NAME?</v>
      </c>
      <c r="CW525" s="4" t="e">
        <f ca="1">_xll.BDH($C$503,"ACCT_RCV_TURN","FQ2 2018","FQ2 2018","Currency=INR","Period=FQ","BEST_FPERIOD_OVERRIDE=FQ","FILING_STATUS=OR","EQY_CONSOLIDATED=Y","FA_ADJUSTED=GAAP","Sort=A","Dates=H","DateFormat=P","Fill=—","Direction=H","UseDPDF=Y")</f>
        <v>#NAME?</v>
      </c>
      <c r="CX525" s="2" t="e">
        <f ca="1">_xll.BDH($C$503,"ACCT_RCV_DAYS","FQ2 2018","FQ2 2018","Currency=INR","Period=FQ","BEST_FPERIOD_OVERRIDE=FQ","FILING_STATUS=OR","EQY_CONSOLIDATED=Y","FA_ADJUSTED=GAAP","Sort=A","Dates=H","DateFormat=P","Fill=—","Direction=H","UseDPDF=Y")</f>
        <v>#NAME?</v>
      </c>
      <c r="CY525" s="4" t="e">
        <f ca="1">_xll.BDH($C$503,"INVENT_TURN","FQ2 2018","FQ2 2018","Currency=INR","Period=FQ","BEST_FPERIOD_OVERRIDE=FQ","FILING_STATUS=OR","EQY_CONSOLIDATED=Y","FA_ADJUSTED=GAAP","Sort=A","Dates=H","DateFormat=P","Fill=—","Direction=H","UseDPDF=Y")</f>
        <v>#NAME?</v>
      </c>
      <c r="CZ525" s="2" t="e">
        <f ca="1">_xll.BDH($C$503,"INVENT_DAYS","FQ2 2018","FQ2 2018","Currency=INR","Period=FQ","BEST_FPERIOD_OVERRIDE=FQ","FILING_STATUS=OR","EQY_CONSOLIDATED=Y","FA_ADJUSTED=GAAP","Sort=A","Dates=H","DateFormat=P","Fill=—","Direction=H","UseDPDF=Y")</f>
        <v>#NAME?</v>
      </c>
      <c r="DA525" s="4" t="e">
        <f ca="1">_xll.BDH($C$503,"ACCOUNTS_PAYABLE_TURNOVER","FQ2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25" s="2" t="e">
        <f ca="1">_xll.BDH($C$503,"ACCOUNTS_PAYABLE_TURNOVER_DAYS","FQ2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25" s="4" t="e">
        <f ca="1">_xll.BDH($C$503,"CASH_CONVERSION_CYCLE","FQ2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25" s="4" t="e">
        <f ca="1">_xll.BDH($C$503,"INV_TO_CASH_DAYS","FQ2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25" s="5" t="e">
        <f ca="1">_xll.BDH($C$503,"BS_INVENTORIES","FQ2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25" s="3" t="e">
        <f ca="1">_xll.BDH($C$503,"INVTRY_RAW_MATERIALS","FQ2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25" s="3" t="e">
        <f ca="1">_xll.BDH($C$503,"INVTRY_IN_PROGRESS","FQ2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25" s="3" t="e">
        <f ca="1">_xll.BDH($C$503,"INVTRY_FINISHED_GOODS","FQ2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25" s="3" t="e">
        <f ca="1">_xll.BDH($C$503,"BS_OTHER_INV","FQ2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26" spans="1:113" x14ac:dyDescent="0.3">
      <c r="A526" s="6"/>
      <c r="B526" s="6"/>
      <c r="C526" s="6"/>
      <c r="D526" s="6"/>
      <c r="E526" t="s">
        <v>80</v>
      </c>
      <c r="F526" t="e">
        <f ca="1">_xll.BDH($C$503,"RETURN_COM_EQY","FQ3 2018","FQ3 2018","Currency=INR","Period=FQ","BEST_FPERIOD_OVERRIDE=FQ","FILING_STATUS=OR","EQY_CONSOLIDATED=Y","FA_ADJUSTED=GAAP","Sort=A","Dates=H","DateFormat=P","Fill=—","Direction=H","UseDPDF=Y")</f>
        <v>#NAME?</v>
      </c>
      <c r="G526" t="e">
        <f ca="1">_xll.BDH($C$503,"RETURN_ON_ASSET","FQ3 2018","FQ3 2018","Currency=INR","Period=FQ","BEST_FPERIOD_OVERRIDE=FQ","FILING_STATUS=OR","EQY_CONSOLIDATED=Y","FA_ADJUSTED=GAAP","Sort=A","Dates=H","DateFormat=P","Fill=—","Direction=H","UseDPDF=Y")</f>
        <v>#NAME?</v>
      </c>
      <c r="H526" t="e">
        <f ca="1">_xll.BDH($C$503,"RETURN_ON_CAP","FQ3 2018","FQ3 2018","Currency=INR","Period=FQ","BEST_FPERIOD_OVERRIDE=FQ","FILING_STATUS=OR","EQY_CONSOLIDATED=Y","FA_ADJUSTED=GAAP","Sort=A","Dates=H","DateFormat=P","Fill=—","Direction=H","UseDPDF=Y")</f>
        <v>#NAME?</v>
      </c>
      <c r="I526" t="e">
        <f ca="1">_xll.BDH($C$503,"RETURN_ON_INV_CAPITAL","FQ3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26" t="e">
        <f ca="1">_xll.BDH($C$503,"EBITDA_TO_REVENUE","FQ3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26" t="e">
        <f ca="1">_xll.BDH($C$503,"OPER_MARGIN","FQ3 2018","FQ3 2018","Currency=INR","Period=FQ","BEST_FPERIOD_OVERRIDE=FQ","FILING_STATUS=OR","EQY_CONSOLIDATED=Y","FA_ADJUSTED=GAAP","Sort=A","Dates=H","DateFormat=P","Fill=—","Direction=H","UseDPDF=Y")</f>
        <v>#NAME?</v>
      </c>
      <c r="L526" t="e">
        <f ca="1">_xll.BDH($C$503,"INCREMENTAL_OPERATING_MARGIN","FQ3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26" t="e">
        <f ca="1">_xll.BDH($C$503,"PRETAX_INC_TO_NET_SALES","FQ3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26" t="e">
        <f ca="1">_xll.BDH($C$503,"INC_BEF_XO_ITEMS_TO_NET_SALES","FQ3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26" t="e">
        <f ca="1">_xll.BDH($C$503,"PROF_MARGIN","FQ3 2018","FQ3 2018","Currency=INR","Period=FQ","BEST_FPERIOD_OVERRIDE=FQ","FILING_STATUS=OR","EQY_CONSOLIDATED=Y","FA_ADJUSTED=GAAP","Sort=A","Dates=H","DateFormat=P","Fill=—","Direction=H","UseDPDF=Y")</f>
        <v>#NAME?</v>
      </c>
      <c r="P526" t="e">
        <f ca="1">_xll.BDH($C$503,"NET_INCOME_TO_COMMON_MARGIN","FQ3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26" t="e">
        <f ca="1">_xll.BDH($C$503,"EFF_TAX_RATE","FQ3 2018","FQ3 2018","Currency=INR","Period=FQ","BEST_FPERIOD_OVERRIDE=FQ","FILING_STATUS=OR","EQY_CONSOLIDATED=Y","FA_ADJUSTED=GAAP","Sort=A","Dates=H","DateFormat=P","Fill=—","Direction=H","UseDPDF=Y")</f>
        <v>#NAME?</v>
      </c>
      <c r="R526" t="e">
        <f ca="1">_xll.BDH($C$503,"DVD_PAYOUT_RATIO","FQ3 2018","FQ3 2018","Currency=INR","Period=FQ","BEST_FPERIOD_OVERRIDE=FQ","FILING_STATUS=OR","EQY_CONSOLIDATED=Y","FA_ADJUSTED=GAAP","Sort=A","Dates=H","DateFormat=P","Fill=—","Direction=H","UseDPDF=Y")</f>
        <v>#NAME?</v>
      </c>
      <c r="S526" t="e">
        <f ca="1">_xll.BDH($C$503,"SUSTAIN_GROWTH_RT","FQ3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26" s="2" t="e">
        <f ca="1">_xll.BDH($C$503,"SALES_GROWTH","FQ3 2018","FQ3 2018","Currency=INR","Period=FQ","BEST_FPERIOD_OVERRIDE=FQ","FILING_STATUS=OR","EQY_CONSOLIDATED=Y","FA_ADJUSTED=GAAP","Sort=A","Dates=H","DateFormat=P","Fill=—","Direction=H","UseDPDF=Y")</f>
        <v>#NAME?</v>
      </c>
      <c r="U526" s="2" t="e">
        <f ca="1">_xll.BDH($C$503,"EBITDA_GROWTH","FQ3 2018","FQ3 2018","Currency=INR","Period=FQ","BEST_FPERIOD_OVERRIDE=FQ","FILING_STATUS=OR","EQY_CONSOLIDATED=Y","FA_ADJUSTED=GAAP","Sort=A","Dates=H","DateFormat=P","Fill=—","Direction=H","UseDPDF=Y")</f>
        <v>#NAME?</v>
      </c>
      <c r="V526" s="2" t="e">
        <f ca="1">_xll.BDH($C$503,"OPER_INC_GROWTH","FQ3 2018","FQ3 2018","Currency=INR","Period=FQ","BEST_FPERIOD_OVERRIDE=FQ","FILING_STATUS=OR","EQY_CONSOLIDATED=Y","FA_ADJUSTED=GAAP","Sort=A","Dates=H","DateFormat=P","Fill=—","Direction=H","UseDPDF=Y")</f>
        <v>#NAME?</v>
      </c>
      <c r="W526" s="2" t="e">
        <f ca="1">_xll.BDH($C$503,"EARN_FOR_COM_GROWTH","FQ3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26" s="2" t="e">
        <f ca="1">_xll.BDH($C$503,"DILUTED_EPS_AFT_XO_ITEMS_GROWTH","FQ3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26" s="2" t="e">
        <f ca="1">_xll.BDH($C$503,"DIVIDEND_PER_SHARE_1_YEAR_GROWTH","FQ3 2018","FQ3 2018","Currency=INR","Period=FQ","BEST_FPERIOD_OVERRIDE=FQ","FILING_STATUS=OR","EQY_CONSOLIDATED=Y","Sort=A","Dates=H","DateFormat=P","Fill=—","Direction=H","UseDPDF=Y")</f>
        <v>#NAME?</v>
      </c>
      <c r="Z526" s="2" t="e">
        <f ca="1">_xll.BDH($C$503,"ACCOUNTS_RECEIVABLE_GROWTH","FQ3 2018","FQ3 2018","Currency=INR","Period=FQ","BEST_FPERIOD_OVERRIDE=FQ","FILING_STATUS=OR","EQY_CONSOLIDATED=Y","Sort=A","Dates=H","DateFormat=P","Fill=—","Direction=H","UseDPDF=Y")</f>
        <v>#NAME?</v>
      </c>
      <c r="AA526" s="2" t="e">
        <f ca="1">_xll.BDH($C$503,"INVENTORY_GROWTH","FQ3 2018","FQ3 2018","Currency=INR","Period=FQ","BEST_FPERIOD_OVERRIDE=FQ","FILING_STATUS=OR","EQY_CONSOLIDATED=Y","Sort=A","Dates=H","DateFormat=P","Fill=—","Direction=H","UseDPDF=Y")</f>
        <v>#NAME?</v>
      </c>
      <c r="AB526" s="2" t="e">
        <f ca="1">_xll.BDH($C$503,"NET_FIXED_ASSETS_1_YEAR_GROWTH","FQ3 2018","FQ3 2018","Currency=INR","Period=FQ","BEST_FPERIOD_OVERRIDE=FQ","FILING_STATUS=OR","EQY_CONSOLIDATED=Y","Sort=A","Dates=H","DateFormat=P","Fill=—","Direction=H","UseDPDF=Y")</f>
        <v>#NAME?</v>
      </c>
      <c r="AC526" s="2" t="e">
        <f ca="1">_xll.BDH($C$503,"ASSET_GROWTH","FQ3 2018","FQ3 2018","Currency=INR","Period=FQ","BEST_FPERIOD_OVERRIDE=FQ","FILING_STATUS=OR","EQY_CONSOLIDATED=Y","Sort=A","Dates=H","DateFormat=P","Fill=—","Direction=H","UseDPDF=Y")</f>
        <v>#NAME?</v>
      </c>
      <c r="AD526" s="2" t="e">
        <f ca="1">_xll.BDH($C$503,"MODIFIED_WORK_CAP_GROWTH","FQ3 2018","FQ3 2018","Currency=INR","Period=FQ","BEST_FPERIOD_OVERRIDE=FQ","FILING_STATUS=OR","EQY_CONSOLIDATED=Y","Sort=A","Dates=H","DateFormat=P","Fill=—","Direction=H","UseDPDF=Y")</f>
        <v>#NAME?</v>
      </c>
      <c r="AE526" s="2" t="e">
        <f ca="1">_xll.BDH($C$503,"WORK_CAP_GROWTH","FQ3 2018","FQ3 2018","Currency=INR","Period=FQ","BEST_FPERIOD_OVERRIDE=FQ","FILING_STATUS=OR","EQY_CONSOLIDATED=Y","Sort=A","Dates=H","DateFormat=P","Fill=—","Direction=H","UseDPDF=Y")</f>
        <v>#NAME?</v>
      </c>
      <c r="AF526" s="2" t="e">
        <f ca="1">_xll.BDH($C$503,"ACCOUNTS_PAYABLE_GROWTH_1YR","FQ3 2018","FQ3 2018","Currency=INR","Period=FQ","BEST_FPERIOD_OVERRIDE=FQ","FILING_STATUS=OR","EQY_CONSOLIDATED=Y","Sort=A","Dates=H","DateFormat=P","Fill=—","Direction=H","UseDPDF=Y")</f>
        <v>#NAME?</v>
      </c>
      <c r="AG526" s="2" t="e">
        <f ca="1">_xll.BDH($C$503,"SHORT_TERM_DEBT_1_YEAR_GROWTH","FQ3 2018","FQ3 2018","Currency=INR","Period=FQ","BEST_FPERIOD_OVERRIDE=FQ","FILING_STATUS=OR","EQY_CONSOLIDATED=Y","Sort=A","Dates=H","DateFormat=P","Fill=—","Direction=H","UseDPDF=Y")</f>
        <v>#NAME?</v>
      </c>
      <c r="AH526" s="2" t="e">
        <f ca="1">_xll.BDH($C$503,"TOTAL_DEBT_1_YEAR_GROWTH","FQ3 2018","FQ3 2018","Currency=INR","Period=FQ","BEST_FPERIOD_OVERRIDE=FQ","FILING_STATUS=OR","EQY_CONSOLIDATED=Y","Sort=A","Dates=H","DateFormat=P","Fill=—","Direction=H","UseDPDF=Y")</f>
        <v>#NAME?</v>
      </c>
      <c r="AI526" s="2" t="e">
        <f ca="1">_xll.BDH($C$503,"TOTAL_EQUITY_1_YEAR_GROWTH","FQ3 2018","FQ3 2018","Currency=INR","Period=FQ","BEST_FPERIOD_OVERRIDE=FQ","FILING_STATUS=OR","EQY_CONSOLIDATED=Y","Sort=A","Dates=H","DateFormat=P","Fill=—","Direction=H","UseDPDF=Y")</f>
        <v>#NAME?</v>
      </c>
      <c r="AJ526" s="2" t="e">
        <f ca="1">_xll.BDH($C$503,"GROWTH_IN_CAP","FQ3 2018","FQ3 2018","Currency=INR","Period=FQ","BEST_FPERIOD_OVERRIDE=FQ","FILING_STATUS=OR","EQY_CONSOLIDATED=Y","Sort=A","Dates=H","DateFormat=P","Fill=—","Direction=H","UseDPDF=Y")</f>
        <v>#NAME?</v>
      </c>
      <c r="AK526" s="2" t="e">
        <f ca="1">_xll.BDH($C$503,"BVPS_GROWTH","FQ3 2018","FQ3 2018","Currency=INR","Period=FQ","BEST_FPERIOD_OVERRIDE=FQ","FILING_STATUS=OR","EQY_CONSOLIDATED=Y","Sort=A","Dates=H","DateFormat=P","Fill=—","Direction=H","UseDPDF=Y")</f>
        <v>#NAME?</v>
      </c>
      <c r="AL526" s="2" t="e">
        <f ca="1">_xll.BDH($C$503,"CASH_FLOW_GROWTH","FQ3 2018","FQ3 2018","Currency=INR","Period=FQ","BEST_FPERIOD_OVERRIDE=FQ","FILING_STATUS=OR","EQY_CONSOLIDATED=Y","Sort=A","Dates=H","DateFormat=P","Fill=—","Direction=H","UseDPDF=Y")</f>
        <v>#NAME?</v>
      </c>
      <c r="AM526" s="2" t="e">
        <f ca="1">_xll.BDH($C$503,"GEO_GROW_NET_SALES","FQ3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26" s="2" t="e">
        <f ca="1">_xll.BDH($C$503,"GEO_GROW_EBITDA","FQ3 2018","FQ3 2018","Currency=INR","Period=FQ","BEST_FPERIOD_OVERRIDE=FQ","FILING_STATUS=OR","EQY_CONSOLIDATED=Y","FA_ADJUSTED=GAAP","Sort=A","Dates=H","DateFormat=P","Fill=—","Direction=H","UseDPDF=Y")</f>
        <v>#NAME?</v>
      </c>
      <c r="AO526" s="2" t="e">
        <f ca="1">_xll.BDH($C$503,"GEO_GROW_OPER_INC","FQ3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26" s="2" t="e">
        <f ca="1">_xll.BDH($C$503,"NET_INCOME_TO_COMMON_5_YR_GROWTH","FQ3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26" s="2" t="e">
        <f ca="1">_xll.BDH($C$503,"5Y_GEO_GROWTH_DILUTED_EPS","FQ3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26" s="2" t="e">
        <f ca="1">_xll.BDH($C$503,"GEO_GROW_DVD_PER_SH","FQ3 2018","FQ3 2018","Currency=INR","Period=FQ","BEST_FPERIOD_OVERRIDE=FQ","FILING_STATUS=OR","EQY_CONSOLIDATED=Y","Sort=A","Dates=H","DateFormat=P","Fill=—","Direction=H","UseDPDF=Y")</f>
        <v>#NAME?</v>
      </c>
      <c r="AS526" s="2" t="e">
        <f ca="1">_xll.BDH($C$503,"ACCOUNTS_RECEIVABLE_5_YR_GROWTH","FQ3 2018","FQ3 2018","Currency=INR","Period=FQ","BEST_FPERIOD_OVERRIDE=FQ","FILING_STATUS=OR","EQY_CONSOLIDATED=Y","Sort=A","Dates=H","DateFormat=P","Fill=—","Direction=H","UseDPDF=Y")</f>
        <v>#NAME?</v>
      </c>
      <c r="AT526" s="2" t="e">
        <f ca="1">_xll.BDH($C$503,"INVENTORY_5_YEAR_GROWTH","FQ3 2018","FQ3 2018","Currency=INR","Period=FQ","BEST_FPERIOD_OVERRIDE=FQ","FILING_STATUS=OR","EQY_CONSOLIDATED=Y","Sort=A","Dates=H","DateFormat=P","Fill=—","Direction=H","UseDPDF=Y")</f>
        <v>#NAME?</v>
      </c>
      <c r="AU526" s="2" t="e">
        <f ca="1">_xll.BDH($C$503,"NET_FIXED_ASSETS_5_YEAR_GROWTH","FQ3 2018","FQ3 2018","Currency=INR","Period=FQ","BEST_FPERIOD_OVERRIDE=FQ","FILING_STATUS=OR","EQY_CONSOLIDATED=Y","Sort=A","Dates=H","DateFormat=P","Fill=—","Direction=H","UseDPDF=Y")</f>
        <v>#NAME?</v>
      </c>
      <c r="AV526" s="2" t="e">
        <f ca="1">_xll.BDH($C$503,"GEO_GROW_TOT_ASSET","FQ3 2018","FQ3 2018","Currency=INR","Period=FQ","BEST_FPERIOD_OVERRIDE=FQ","FILING_STATUS=OR","EQY_CONSOLIDATED=Y","Sort=A","Dates=H","DateFormat=P","Fill=—","Direction=H","UseDPDF=Y")</f>
        <v>#NAME?</v>
      </c>
      <c r="AW526" s="2" t="e">
        <f ca="1">_xll.BDH($C$503,"MODIFIED_WORKING_CPTL_5YR_GRWTH","FQ3 2018","FQ3 2018","Currency=INR","Period=FQ","BEST_FPERIOD_OVERRIDE=FQ","FILING_STATUS=OR","EQY_CONSOLIDATED=Y","Sort=A","Dates=H","DateFormat=P","Fill=—","Direction=H","UseDPDF=Y")</f>
        <v>#NAME?</v>
      </c>
      <c r="AX526" s="2" t="e">
        <f ca="1">_xll.BDH($C$503,"WORKING_CAPITAL_5_YEAR_GROWTH","FQ3 2018","FQ3 2018","Currency=INR","Period=FQ","BEST_FPERIOD_OVERRIDE=FQ","FILING_STATUS=OR","EQY_CONSOLIDATED=Y","Sort=A","Dates=H","DateFormat=P","Fill=—","Direction=H","UseDPDF=Y")</f>
        <v>#NAME?</v>
      </c>
      <c r="AY526" s="2" t="e">
        <f ca="1">_xll.BDH($C$503,"ACCOUNTS_PAYABLE_5_YEAR_GROWTH","FQ3 2018","FQ3 2018","Currency=INR","Period=FQ","BEST_FPERIOD_OVERRIDE=FQ","FILING_STATUS=OR","EQY_CONSOLIDATED=Y","Sort=A","Dates=H","DateFormat=P","Fill=—","Direction=H","UseDPDF=Y")</f>
        <v>#NAME?</v>
      </c>
      <c r="AZ526" s="2" t="e">
        <f ca="1">_xll.BDH($C$503,"SHORT_TERM_DEBT_5_YEAR_GROWTH","FQ3 2018","FQ3 2018","Currency=INR","Period=FQ","BEST_FPERIOD_OVERRIDE=FQ","FILING_STATUS=OR","EQY_CONSOLIDATED=Y","Sort=A","Dates=H","DateFormat=P","Fill=—","Direction=H","UseDPDF=Y")</f>
        <v>#NAME?</v>
      </c>
      <c r="BA526" s="2" t="e">
        <f ca="1">_xll.BDH($C$503,"TOTAL_DEBT_5_YEAR_GROWTH","FQ3 2018","FQ3 2018","Currency=INR","Period=FQ","BEST_FPERIOD_OVERRIDE=FQ","FILING_STATUS=OR","EQY_CONSOLIDATED=Y","Sort=A","Dates=H","DateFormat=P","Fill=—","Direction=H","UseDPDF=Y")</f>
        <v>#NAME?</v>
      </c>
      <c r="BB526" s="2" t="e">
        <f ca="1">_xll.BDH($C$503,"GEO_GROW_TOT_SHRHLDR_EQY","FQ3 2018","FQ3 2018","Currency=INR","Period=FQ","BEST_FPERIOD_OVERRIDE=FQ","FILING_STATUS=OR","EQY_CONSOLIDATED=Y","Sort=A","Dates=H","DateFormat=P","Fill=—","Direction=H","UseDPDF=Y")</f>
        <v>#NAME?</v>
      </c>
      <c r="BC526" s="2" t="e">
        <f ca="1">_xll.BDH($C$503,"TOTAL_CAPITAL_5_YEAR_GROWTH","FQ3 2018","FQ3 2018","Currency=INR","Period=FQ","BEST_FPERIOD_OVERRIDE=FQ","FILING_STATUS=OR","EQY_CONSOLIDATED=Y","Sort=A","Dates=H","DateFormat=P","Fill=—","Direction=H","UseDPDF=Y")</f>
        <v>#NAME?</v>
      </c>
      <c r="BD526" s="2" t="e">
        <f ca="1">_xll.BDH($C$503,"GEO_GROW_BOOK_VAL","FQ3 2018","FQ3 2018","Currency=INR","Period=FQ","BEST_FPERIOD_OVERRIDE=FQ","FILING_STATUS=OR","EQY_CONSOLIDATED=Y","Sort=A","Dates=H","DateFormat=P","Fill=—","Direction=H","UseDPDF=Y")</f>
        <v>#NAME?</v>
      </c>
      <c r="BE526" s="2" t="e">
        <f ca="1">_xll.BDH($C$503,"GEO_GROW_CASH_OPER_ACT","FQ3 2018","FQ3 2018","Currency=INR","Period=FQ","BEST_FPERIOD_OVERRIDE=FQ","FILING_STATUS=OR","EQY_CONSOLIDATED=Y","Sort=A","Dates=H","DateFormat=P","Fill=—","Direction=H","UseDPDF=Y")</f>
        <v>#NAME?</v>
      </c>
      <c r="BF526" s="2" t="e">
        <f ca="1">_xll.BDH($C$503,"REVENUE_SEQUENTIAL_GROWTH","FQ3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26" s="2" t="e">
        <f ca="1">_xll.BDH($C$503,"EBITDA_SEQUENTIAL_GROWTH","FQ3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26" s="2" t="e">
        <f ca="1">_xll.BDH($C$503,"OPERATING_INCOME_SEQ_GROWTH","FQ3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26" s="2" t="e">
        <f ca="1">_xll.BDH($C$503,"NET_INCOME_TO_COMMON_SEQ_GROWTH","FQ3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26" s="2" t="e">
        <f ca="1">_xll.BDH($C$503,"EPS_DILUTED_SEQUENTIAL_GROWTH","FQ3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26" s="2" t="e">
        <f ca="1">_xll.BDH($C$503,"DPS_SEQUENTIAL_GROWTH","FQ3 2018","FQ3 2018","Currency=INR","Period=FQ","BEST_FPERIOD_OVERRIDE=FQ","FILING_STATUS=OR","EQY_CONSOLIDATED=Y","Sort=A","Dates=H","DateFormat=P","Fill=—","Direction=H","UseDPDF=Y")</f>
        <v>#NAME?</v>
      </c>
      <c r="BL526" s="2" t="e">
        <f ca="1">_xll.BDH($C$503,"ACCOUNTS_RECEIVABLE_SEQ_GROWTH","FQ3 2018","FQ3 2018","Currency=INR","Period=FQ","BEST_FPERIOD_OVERRIDE=FQ","FILING_STATUS=OR","EQY_CONSOLIDATED=Y","Sort=A","Dates=H","DateFormat=P","Fill=—","Direction=H","UseDPDF=Y")</f>
        <v>#NAME?</v>
      </c>
      <c r="BM526" s="2" t="e">
        <f ca="1">_xll.BDH($C$503,"INVENTORY_SEQUENTIAL_GROWTH","FQ3 2018","FQ3 2018","Currency=INR","Period=FQ","BEST_FPERIOD_OVERRIDE=FQ","FILING_STATUS=OR","EQY_CONSOLIDATED=Y","Sort=A","Dates=H","DateFormat=P","Fill=—","Direction=H","UseDPDF=Y")</f>
        <v>#NAME?</v>
      </c>
      <c r="BN526" s="2" t="e">
        <f ca="1">_xll.BDH($C$503,"FIXED_ASSETS_SEQUENTIAL_GROWTH","FQ3 2018","FQ3 2018","Currency=INR","Period=FQ","BEST_FPERIOD_OVERRIDE=FQ","FILING_STATUS=OR","EQY_CONSOLIDATED=Y","Sort=A","Dates=H","DateFormat=P","Fill=—","Direction=H","UseDPDF=Y")</f>
        <v>#NAME?</v>
      </c>
      <c r="BO526" s="2" t="e">
        <f ca="1">_xll.BDH($C$503,"TOTAL_ASSETS_SEQUENTIAL_GROWTH","FQ3 2018","FQ3 2018","Currency=INR","Period=FQ","BEST_FPERIOD_OVERRIDE=FQ","FILING_STATUS=OR","EQY_CONSOLIDATED=Y","Sort=A","Dates=H","DateFormat=P","Fill=—","Direction=H","UseDPDF=Y")</f>
        <v>#NAME?</v>
      </c>
      <c r="BP526" s="2" t="e">
        <f ca="1">_xll.BDH($C$503,"MODIFIED_WORKING_CPTL_SEQ_GRWTH","FQ3 2018","FQ3 2018","Currency=INR","Period=FQ","BEST_FPERIOD_OVERRIDE=FQ","FILING_STATUS=OR","EQY_CONSOLIDATED=Y","Sort=A","Dates=H","DateFormat=P","Fill=—","Direction=H","UseDPDF=Y")</f>
        <v>#NAME?</v>
      </c>
      <c r="BQ526" s="2" t="e">
        <f ca="1">_xll.BDH($C$503,"WORKING_CAPITAL_SEQ_GROWTH","FQ3 2018","FQ3 2018","Currency=INR","Period=FQ","BEST_FPERIOD_OVERRIDE=FQ","FILING_STATUS=OR","EQY_CONSOLIDATED=Y","Sort=A","Dates=H","DateFormat=P","Fill=—","Direction=H","UseDPDF=Y")</f>
        <v>#NAME?</v>
      </c>
      <c r="BR526" s="2" t="e">
        <f ca="1">_xll.BDH($C$503,"ACCOUNTS_PAYABLE_SEQ_GROWTH","FQ3 2018","FQ3 2018","Currency=INR","Period=FQ","BEST_FPERIOD_OVERRIDE=FQ","FILING_STATUS=OR","EQY_CONSOLIDATED=Y","Sort=A","Dates=H","DateFormat=P","Fill=—","Direction=H","UseDPDF=Y")</f>
        <v>#NAME?</v>
      </c>
      <c r="BS526" s="2" t="e">
        <f ca="1">_xll.BDH($C$503,"ST_DEBT_SEQUENTIAL_GROWTH","FQ3 2018","FQ3 2018","Currency=INR","Period=FQ","BEST_FPERIOD_OVERRIDE=FQ","FILING_STATUS=OR","EQY_CONSOLIDATED=Y","Sort=A","Dates=H","DateFormat=P","Fill=—","Direction=H","UseDPDF=Y")</f>
        <v>#NAME?</v>
      </c>
      <c r="BT526" s="2" t="e">
        <f ca="1">_xll.BDH($C$503,"TOTAL_DEBT_SEQUENTIAL_GROWTH","FQ3 2018","FQ3 2018","Currency=INR","Period=FQ","BEST_FPERIOD_OVERRIDE=FQ","FILING_STATUS=OR","EQY_CONSOLIDATED=Y","Sort=A","Dates=H","DateFormat=P","Fill=—","Direction=H","UseDPDF=Y")</f>
        <v>#NAME?</v>
      </c>
      <c r="BU526" s="2" t="e">
        <f ca="1">_xll.BDH($C$503,"TOTAL_EQUITY_SEQUENTIAL_GROWTH","FQ3 2018","FQ3 2018","Currency=INR","Period=FQ","BEST_FPERIOD_OVERRIDE=FQ","FILING_STATUS=OR","EQY_CONSOLIDATED=Y","Sort=A","Dates=H","DateFormat=P","Fill=—","Direction=H","UseDPDF=Y")</f>
        <v>#NAME?</v>
      </c>
      <c r="BV526" s="2" t="e">
        <f ca="1">_xll.BDH($C$503,"TOTAL_CAPITAL_SEQUENTIAL_GROWTH","FQ3 2018","FQ3 2018","Currency=INR","Period=FQ","BEST_FPERIOD_OVERRIDE=FQ","FILING_STATUS=OR","EQY_CONSOLIDATED=Y","Sort=A","Dates=H","DateFormat=P","Fill=—","Direction=H","UseDPDF=Y")</f>
        <v>#NAME?</v>
      </c>
      <c r="BW526" s="2" t="e">
        <f ca="1">_xll.BDH($C$503,"BPS_SEQUENTIAL_GROWTH","FQ3 2018","FQ3 2018","Currency=INR","Period=FQ","BEST_FPERIOD_OVERRIDE=FQ","FILING_STATUS=OR","EQY_CONSOLIDATED=Y","Sort=A","Dates=H","DateFormat=P","Fill=—","Direction=H","UseDPDF=Y")</f>
        <v>#NAME?</v>
      </c>
      <c r="BX526" s="2" t="e">
        <f ca="1">_xll.BDH($C$503,"CFO_SEQUENTIAL_GROWTH","FQ3 2018","FQ3 2018","Currency=INR","Period=FQ","BEST_FPERIOD_OVERRIDE=FQ","FILING_STATUS=OR","EQY_CONSOLIDATED=Y","Sort=A","Dates=H","DateFormat=P","Fill=—","Direction=H","UseDPDF=Y")</f>
        <v>#NAME?</v>
      </c>
      <c r="BY526" s="3" t="e">
        <f ca="1">_xll.BDH($C$503,"SHORT_AND_LONG_TERM_DEBT","FQ3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26" s="3" t="e">
        <f ca="1">_xll.BDH($C$503,"BS_ST_BORROW","FQ3 2018","FQ3 2018","Currency=INR","Period=FQ","BEST_FPERIOD_OVERRIDE=FQ","FILING_STATUS=OR","EQY_CONSOLIDATED=Y","SCALING_FORMAT=MLN","Sort=A","Dates=H","DateFormat=P","Fill=—","Direction=H","UseDPDF=Y")</f>
        <v>#NAME?</v>
      </c>
      <c r="CA526" s="3" t="e">
        <f ca="1">_xll.BDH($C$503,"BS_LT_BORROW","FQ3 2018","FQ3 2018","Currency=INR","Period=FQ","BEST_FPERIOD_OVERRIDE=FQ","FILING_STATUS=OR","EQY_CONSOLIDATED=Y","SCALING_FORMAT=MLN","Sort=A","Dates=H","DateFormat=P","Fill=—","Direction=H","UseDPDF=Y")</f>
        <v>#NAME?</v>
      </c>
      <c r="CB526" s="2" t="e">
        <f ca="1">_xll.BDH($C$503,"TOT_DEBT_TO_EBITDA","FQ3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26" s="2" t="e">
        <f ca="1">_xll.BDH($C$503,"NET_DEBT_TO_EBITDA","FQ3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26" s="2" t="e">
        <f ca="1">_xll.BDH($C$503,"TOTAL_DEBT_TO_EBIT","FQ3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26" s="2" t="e">
        <f ca="1">_xll.BDH($C$503,"NET_DEBT_TO_EBIT","FQ3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26" s="2" t="e">
        <f ca="1">_xll.BDH($C$503,"EBITDA_TO_INTEREST_EXPN","FQ3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26" s="2" t="e">
        <f ca="1">_xll.BDH($C$503,"COM_EQY_TO_TOT_ASSET","FQ3 2018","FQ3 2018","Currency=INR","Period=FQ","BEST_FPERIOD_OVERRIDE=FQ","FILING_STATUS=OR","EQY_CONSOLIDATED=Y","Sort=A","Dates=H","DateFormat=P","Fill=—","Direction=H","UseDPDF=Y")</f>
        <v>#NAME?</v>
      </c>
      <c r="CH526" s="2" t="e">
        <f ca="1">_xll.BDH($C$503,"LT_DEBT_TO_TOT_EQY","FQ3 2018","FQ3 2018","Currency=INR","Period=FQ","BEST_FPERIOD_OVERRIDE=FQ","FILING_STATUS=OR","EQY_CONSOLIDATED=Y","Sort=A","Dates=H","DateFormat=P","Fill=—","Direction=H","UseDPDF=Y")</f>
        <v>#NAME?</v>
      </c>
      <c r="CI526" s="2" t="e">
        <f ca="1">_xll.BDH($C$503,"LT_DEBT_TO_TOT_CAP","FQ3 2018","FQ3 2018","Currency=INR","Period=FQ","BEST_FPERIOD_OVERRIDE=FQ","FILING_STATUS=OR","EQY_CONSOLIDATED=Y","Sort=A","Dates=H","DateFormat=P","Fill=—","Direction=H","UseDPDF=Y")</f>
        <v>#NAME?</v>
      </c>
      <c r="CJ526" s="2" t="e">
        <f ca="1">_xll.BDH($C$503,"LT_DEBT_TO_TOT_ASSET","FQ3 2018","FQ3 2018","Currency=INR","Period=FQ","BEST_FPERIOD_OVERRIDE=FQ","FILING_STATUS=OR","EQY_CONSOLIDATED=Y","Sort=A","Dates=H","DateFormat=P","Fill=—","Direction=H","UseDPDF=Y")</f>
        <v>#NAME?</v>
      </c>
      <c r="CK526" s="2" t="e">
        <f ca="1">_xll.BDH($C$503,"TOT_DEBT_TO_TOT_EQY","FQ3 2018","FQ3 2018","Currency=INR","Period=FQ","BEST_FPERIOD_OVERRIDE=FQ","FILING_STATUS=OR","EQY_CONSOLIDATED=Y","Sort=A","Dates=H","DateFormat=P","Fill=—","Direction=H","UseDPDF=Y")</f>
        <v>#NAME?</v>
      </c>
      <c r="CL526" s="2" t="e">
        <f ca="1">_xll.BDH($C$503,"TOT_DEBT_TO_TOT_CAP","FQ3 2018","FQ3 2018","Currency=INR","Period=FQ","BEST_FPERIOD_OVERRIDE=FQ","FILING_STATUS=OR","EQY_CONSOLIDATED=Y","Sort=A","Dates=H","DateFormat=P","Fill=—","Direction=H","UseDPDF=Y")</f>
        <v>#NAME?</v>
      </c>
      <c r="CM526" s="2" t="e">
        <f ca="1">_xll.BDH($C$503,"TOT_DEBT_TO_TOT_ASSET","FQ3 2018","FQ3 2018","Currency=INR","Period=FQ","BEST_FPERIOD_OVERRIDE=FQ","FILING_STATUS=OR","EQY_CONSOLIDATED=Y","Sort=A","Dates=H","DateFormat=P","Fill=—","Direction=H","UseDPDF=Y")</f>
        <v>#NAME?</v>
      </c>
      <c r="CN526" s="2" t="e">
        <f ca="1">_xll.BDH($C$503,"NET_DEBT_TO_SHRHLDR_EQTY","FQ3 2018","FQ3 2018","Currency=INR","Period=FQ","BEST_FPERIOD_OVERRIDE=FQ","FILING_STATUS=OR","EQY_CONSOLIDATED=Y","Sort=A","Dates=H","DateFormat=P","Fill=—","Direction=H","UseDPDF=Y")</f>
        <v>#NAME?</v>
      </c>
      <c r="CO526" s="2" t="e">
        <f ca="1">_xll.BDH($C$503,"NET_DEBT_%_CAPITAL","FQ3 2018","FQ3 2018","Currency=INR","Period=FQ","BEST_FPERIOD_OVERRIDE=FQ","FILING_STATUS=OR","EQY_CONSOLIDATED=Y","Sort=A","Dates=H","DateFormat=P","Fill=—","Direction=H","UseDPDF=Y")</f>
        <v>#NAME?</v>
      </c>
      <c r="CP526" s="3" t="e">
        <f ca="1">_xll.BDH($C$503,"EBITDA","FQ3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26" s="3" t="e">
        <f ca="1">_xll.BDH($C$503,"EBITDA_AFTER_CAPEX","FQ3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26" s="3" t="e">
        <f ca="1">_xll.BDH($C$503,"IS_OPER_INC","FQ3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26" s="2" t="e">
        <f ca="1">_xll.BDH($C$503,"CASH_RATIO","FQ3 2018","FQ3 2018","Currency=INR","Period=FQ","BEST_FPERIOD_OVERRIDE=FQ","FILING_STATUS=OR","EQY_CONSOLIDATED=Y","Sort=A","Dates=H","DateFormat=P","Fill=—","Direction=H","UseDPDF=Y")</f>
        <v>#NAME?</v>
      </c>
      <c r="CT526" s="2" t="e">
        <f ca="1">_xll.BDH($C$503,"CUR_RATIO","FQ3 2018","FQ3 2018","Currency=INR","Period=FQ","BEST_FPERIOD_OVERRIDE=FQ","FILING_STATUS=OR","EQY_CONSOLIDATED=Y","Sort=A","Dates=H","DateFormat=P","Fill=—","Direction=H","UseDPDF=Y")</f>
        <v>#NAME?</v>
      </c>
      <c r="CU526" s="2" t="e">
        <f ca="1">_xll.BDH($C$503,"QUICK_RATIO","FQ3 2018","FQ3 2018","Currency=INR","Period=FQ","BEST_FPERIOD_OVERRIDE=FQ","FILING_STATUS=OR","EQY_CONSOLIDATED=Y","Sort=A","Dates=H","DateFormat=P","Fill=—","Direction=H","UseDPDF=Y")</f>
        <v>#NAME?</v>
      </c>
      <c r="CV526" s="2" t="e">
        <f ca="1">_xll.BDH($C$503,"ALTMAN_Z_SCORE","FQ3 2018","FQ3 2018","Currency=INR","Period=FQ","BEST_FPERIOD_OVERRIDE=FQ","FILING_STATUS=OR","EQY_CONSOLIDATED=Y","Sort=A","Dates=H","DateFormat=P","Fill=—","Direction=H","UseDPDF=Y")</f>
        <v>#NAME?</v>
      </c>
      <c r="CW526" s="4" t="e">
        <f ca="1">_xll.BDH($C$503,"ACCT_RCV_TURN","FQ3 2018","FQ3 2018","Currency=INR","Period=FQ","BEST_FPERIOD_OVERRIDE=FQ","FILING_STATUS=OR","EQY_CONSOLIDATED=Y","FA_ADJUSTED=GAAP","Sort=A","Dates=H","DateFormat=P","Fill=—","Direction=H","UseDPDF=Y")</f>
        <v>#NAME?</v>
      </c>
      <c r="CX526" s="2" t="e">
        <f ca="1">_xll.BDH($C$503,"ACCT_RCV_DAYS","FQ3 2018","FQ3 2018","Currency=INR","Period=FQ","BEST_FPERIOD_OVERRIDE=FQ","FILING_STATUS=OR","EQY_CONSOLIDATED=Y","FA_ADJUSTED=GAAP","Sort=A","Dates=H","DateFormat=P","Fill=—","Direction=H","UseDPDF=Y")</f>
        <v>#NAME?</v>
      </c>
      <c r="CY526" s="4" t="e">
        <f ca="1">_xll.BDH($C$503,"INVENT_TURN","FQ3 2018","FQ3 2018","Currency=INR","Period=FQ","BEST_FPERIOD_OVERRIDE=FQ","FILING_STATUS=OR","EQY_CONSOLIDATED=Y","FA_ADJUSTED=GAAP","Sort=A","Dates=H","DateFormat=P","Fill=—","Direction=H","UseDPDF=Y")</f>
        <v>#NAME?</v>
      </c>
      <c r="CZ526" s="2" t="e">
        <f ca="1">_xll.BDH($C$503,"INVENT_DAYS","FQ3 2018","FQ3 2018","Currency=INR","Period=FQ","BEST_FPERIOD_OVERRIDE=FQ","FILING_STATUS=OR","EQY_CONSOLIDATED=Y","FA_ADJUSTED=GAAP","Sort=A","Dates=H","DateFormat=P","Fill=—","Direction=H","UseDPDF=Y")</f>
        <v>#NAME?</v>
      </c>
      <c r="DA526" s="4" t="e">
        <f ca="1">_xll.BDH($C$503,"ACCOUNTS_PAYABLE_TURNOVER","FQ3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26" s="2" t="e">
        <f ca="1">_xll.BDH($C$503,"ACCOUNTS_PAYABLE_TURNOVER_DAYS","FQ3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26" s="4" t="e">
        <f ca="1">_xll.BDH($C$503,"CASH_CONVERSION_CYCLE","FQ3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26" s="4" t="e">
        <f ca="1">_xll.BDH($C$503,"INV_TO_CASH_DAYS","FQ3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26" s="5" t="e">
        <f ca="1">_xll.BDH($C$503,"BS_INVENTORIES","FQ3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26" s="3" t="e">
        <f ca="1">_xll.BDH($C$503,"INVTRY_RAW_MATERIALS","FQ3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26" s="3" t="e">
        <f ca="1">_xll.BDH($C$503,"INVTRY_IN_PROGRESS","FQ3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26" s="3" t="e">
        <f ca="1">_xll.BDH($C$503,"INVTRY_FINISHED_GOODS","FQ3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26" s="3" t="e">
        <f ca="1">_xll.BDH($C$503,"BS_OTHER_INV","FQ3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27" spans="1:113" x14ac:dyDescent="0.3">
      <c r="A527" s="6"/>
      <c r="B527" s="6"/>
      <c r="C527" s="6"/>
      <c r="D527" s="6"/>
      <c r="E527" t="s">
        <v>81</v>
      </c>
      <c r="F527" t="e">
        <f ca="1">_xll.BDH($C$503,"RETURN_COM_EQY","FQ4 2018","FQ4 2018","Currency=INR","Period=FQ","BEST_FPERIOD_OVERRIDE=FQ","FILING_STATUS=OR","EQY_CONSOLIDATED=Y","FA_ADJUSTED=GAAP","Sort=A","Dates=H","DateFormat=P","Fill=—","Direction=H","UseDPDF=Y")</f>
        <v>#NAME?</v>
      </c>
      <c r="G527" t="e">
        <f ca="1">_xll.BDH($C$503,"RETURN_ON_ASSET","FQ4 2018","FQ4 2018","Currency=INR","Period=FQ","BEST_FPERIOD_OVERRIDE=FQ","FILING_STATUS=OR","EQY_CONSOLIDATED=Y","FA_ADJUSTED=GAAP","Sort=A","Dates=H","DateFormat=P","Fill=—","Direction=H","UseDPDF=Y")</f>
        <v>#NAME?</v>
      </c>
      <c r="H527" t="e">
        <f ca="1">_xll.BDH($C$503,"RETURN_ON_CAP","FQ4 2018","FQ4 2018","Currency=INR","Period=FQ","BEST_FPERIOD_OVERRIDE=FQ","FILING_STATUS=OR","EQY_CONSOLIDATED=Y","FA_ADJUSTED=GAAP","Sort=A","Dates=H","DateFormat=P","Fill=—","Direction=H","UseDPDF=Y")</f>
        <v>#NAME?</v>
      </c>
      <c r="I527" t="e">
        <f ca="1">_xll.BDH($C$503,"RETURN_ON_INV_CAPITAL","FQ4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27" t="e">
        <f ca="1">_xll.BDH($C$503,"EBITDA_TO_REVENUE","FQ4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27" t="e">
        <f ca="1">_xll.BDH($C$503,"OPER_MARGIN","FQ4 2018","FQ4 2018","Currency=INR","Period=FQ","BEST_FPERIOD_OVERRIDE=FQ","FILING_STATUS=OR","EQY_CONSOLIDATED=Y","FA_ADJUSTED=GAAP","Sort=A","Dates=H","DateFormat=P","Fill=—","Direction=H","UseDPDF=Y")</f>
        <v>#NAME?</v>
      </c>
      <c r="L527" t="e">
        <f ca="1">_xll.BDH($C$503,"INCREMENTAL_OPERATING_MARGIN","FQ4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27" t="e">
        <f ca="1">_xll.BDH($C$503,"PRETAX_INC_TO_NET_SALES","FQ4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27" t="e">
        <f ca="1">_xll.BDH($C$503,"INC_BEF_XO_ITEMS_TO_NET_SALES","FQ4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27" t="e">
        <f ca="1">_xll.BDH($C$503,"PROF_MARGIN","FQ4 2018","FQ4 2018","Currency=INR","Period=FQ","BEST_FPERIOD_OVERRIDE=FQ","FILING_STATUS=OR","EQY_CONSOLIDATED=Y","FA_ADJUSTED=GAAP","Sort=A","Dates=H","DateFormat=P","Fill=—","Direction=H","UseDPDF=Y")</f>
        <v>#NAME?</v>
      </c>
      <c r="P527" t="e">
        <f ca="1">_xll.BDH($C$503,"NET_INCOME_TO_COMMON_MARGIN","FQ4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27" t="e">
        <f ca="1">_xll.BDH($C$503,"EFF_TAX_RATE","FQ4 2018","FQ4 2018","Currency=INR","Period=FQ","BEST_FPERIOD_OVERRIDE=FQ","FILING_STATUS=OR","EQY_CONSOLIDATED=Y","FA_ADJUSTED=GAAP","Sort=A","Dates=H","DateFormat=P","Fill=—","Direction=H","UseDPDF=Y")</f>
        <v>#NAME?</v>
      </c>
      <c r="R527" t="e">
        <f ca="1">_xll.BDH($C$503,"DVD_PAYOUT_RATIO","FQ4 2018","FQ4 2018","Currency=INR","Period=FQ","BEST_FPERIOD_OVERRIDE=FQ","FILING_STATUS=OR","EQY_CONSOLIDATED=Y","FA_ADJUSTED=GAAP","Sort=A","Dates=H","DateFormat=P","Fill=—","Direction=H","UseDPDF=Y")</f>
        <v>#NAME?</v>
      </c>
      <c r="S527" t="e">
        <f ca="1">_xll.BDH($C$503,"SUSTAIN_GROWTH_RT","FQ4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27" s="2" t="e">
        <f ca="1">_xll.BDH($C$503,"SALES_GROWTH","FQ4 2018","FQ4 2018","Currency=INR","Period=FQ","BEST_FPERIOD_OVERRIDE=FQ","FILING_STATUS=OR","EQY_CONSOLIDATED=Y","FA_ADJUSTED=GAAP","Sort=A","Dates=H","DateFormat=P","Fill=—","Direction=H","UseDPDF=Y")</f>
        <v>#NAME?</v>
      </c>
      <c r="U527" s="2" t="e">
        <f ca="1">_xll.BDH($C$503,"EBITDA_GROWTH","FQ4 2018","FQ4 2018","Currency=INR","Period=FQ","BEST_FPERIOD_OVERRIDE=FQ","FILING_STATUS=OR","EQY_CONSOLIDATED=Y","FA_ADJUSTED=GAAP","Sort=A","Dates=H","DateFormat=P","Fill=—","Direction=H","UseDPDF=Y")</f>
        <v>#NAME?</v>
      </c>
      <c r="V527" s="2" t="e">
        <f ca="1">_xll.BDH($C$503,"OPER_INC_GROWTH","FQ4 2018","FQ4 2018","Currency=INR","Period=FQ","BEST_FPERIOD_OVERRIDE=FQ","FILING_STATUS=OR","EQY_CONSOLIDATED=Y","FA_ADJUSTED=GAAP","Sort=A","Dates=H","DateFormat=P","Fill=—","Direction=H","UseDPDF=Y")</f>
        <v>#NAME?</v>
      </c>
      <c r="W527" s="2" t="e">
        <f ca="1">_xll.BDH($C$503,"EARN_FOR_COM_GROWTH","FQ4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27" s="2" t="e">
        <f ca="1">_xll.BDH($C$503,"DILUTED_EPS_AFT_XO_ITEMS_GROWTH","FQ4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27" s="2" t="e">
        <f ca="1">_xll.BDH($C$503,"DIVIDEND_PER_SHARE_1_YEAR_GROWTH","FQ4 2018","FQ4 2018","Currency=INR","Period=FQ","BEST_FPERIOD_OVERRIDE=FQ","FILING_STATUS=OR","EQY_CONSOLIDATED=Y","Sort=A","Dates=H","DateFormat=P","Fill=—","Direction=H","UseDPDF=Y")</f>
        <v>#NAME?</v>
      </c>
      <c r="Z527" s="2" t="e">
        <f ca="1">_xll.BDH($C$503,"ACCOUNTS_RECEIVABLE_GROWTH","FQ4 2018","FQ4 2018","Currency=INR","Period=FQ","BEST_FPERIOD_OVERRIDE=FQ","FILING_STATUS=OR","EQY_CONSOLIDATED=Y","Sort=A","Dates=H","DateFormat=P","Fill=—","Direction=H","UseDPDF=Y")</f>
        <v>#NAME?</v>
      </c>
      <c r="AA527" s="2" t="e">
        <f ca="1">_xll.BDH($C$503,"INVENTORY_GROWTH","FQ4 2018","FQ4 2018","Currency=INR","Period=FQ","BEST_FPERIOD_OVERRIDE=FQ","FILING_STATUS=OR","EQY_CONSOLIDATED=Y","Sort=A","Dates=H","DateFormat=P","Fill=—","Direction=H","UseDPDF=Y")</f>
        <v>#NAME?</v>
      </c>
      <c r="AB527" s="2" t="e">
        <f ca="1">_xll.BDH($C$503,"NET_FIXED_ASSETS_1_YEAR_GROWTH","FQ4 2018","FQ4 2018","Currency=INR","Period=FQ","BEST_FPERIOD_OVERRIDE=FQ","FILING_STATUS=OR","EQY_CONSOLIDATED=Y","Sort=A","Dates=H","DateFormat=P","Fill=—","Direction=H","UseDPDF=Y")</f>
        <v>#NAME?</v>
      </c>
      <c r="AC527" s="2" t="e">
        <f ca="1">_xll.BDH($C$503,"ASSET_GROWTH","FQ4 2018","FQ4 2018","Currency=INR","Period=FQ","BEST_FPERIOD_OVERRIDE=FQ","FILING_STATUS=OR","EQY_CONSOLIDATED=Y","Sort=A","Dates=H","DateFormat=P","Fill=—","Direction=H","UseDPDF=Y")</f>
        <v>#NAME?</v>
      </c>
      <c r="AD527" s="2" t="e">
        <f ca="1">_xll.BDH($C$503,"MODIFIED_WORK_CAP_GROWTH","FQ4 2018","FQ4 2018","Currency=INR","Period=FQ","BEST_FPERIOD_OVERRIDE=FQ","FILING_STATUS=OR","EQY_CONSOLIDATED=Y","Sort=A","Dates=H","DateFormat=P","Fill=—","Direction=H","UseDPDF=Y")</f>
        <v>#NAME?</v>
      </c>
      <c r="AE527" s="2" t="e">
        <f ca="1">_xll.BDH($C$503,"WORK_CAP_GROWTH","FQ4 2018","FQ4 2018","Currency=INR","Period=FQ","BEST_FPERIOD_OVERRIDE=FQ","FILING_STATUS=OR","EQY_CONSOLIDATED=Y","Sort=A","Dates=H","DateFormat=P","Fill=—","Direction=H","UseDPDF=Y")</f>
        <v>#NAME?</v>
      </c>
      <c r="AF527" s="2" t="e">
        <f ca="1">_xll.BDH($C$503,"ACCOUNTS_PAYABLE_GROWTH_1YR","FQ4 2018","FQ4 2018","Currency=INR","Period=FQ","BEST_FPERIOD_OVERRIDE=FQ","FILING_STATUS=OR","EQY_CONSOLIDATED=Y","Sort=A","Dates=H","DateFormat=P","Fill=—","Direction=H","UseDPDF=Y")</f>
        <v>#NAME?</v>
      </c>
      <c r="AG527" s="2" t="e">
        <f ca="1">_xll.BDH($C$503,"SHORT_TERM_DEBT_1_YEAR_GROWTH","FQ4 2018","FQ4 2018","Currency=INR","Period=FQ","BEST_FPERIOD_OVERRIDE=FQ","FILING_STATUS=OR","EQY_CONSOLIDATED=Y","Sort=A","Dates=H","DateFormat=P","Fill=—","Direction=H","UseDPDF=Y")</f>
        <v>#NAME?</v>
      </c>
      <c r="AH527" s="2" t="e">
        <f ca="1">_xll.BDH($C$503,"TOTAL_DEBT_1_YEAR_GROWTH","FQ4 2018","FQ4 2018","Currency=INR","Period=FQ","BEST_FPERIOD_OVERRIDE=FQ","FILING_STATUS=OR","EQY_CONSOLIDATED=Y","Sort=A","Dates=H","DateFormat=P","Fill=—","Direction=H","UseDPDF=Y")</f>
        <v>#NAME?</v>
      </c>
      <c r="AI527" s="2" t="e">
        <f ca="1">_xll.BDH($C$503,"TOTAL_EQUITY_1_YEAR_GROWTH","FQ4 2018","FQ4 2018","Currency=INR","Period=FQ","BEST_FPERIOD_OVERRIDE=FQ","FILING_STATUS=OR","EQY_CONSOLIDATED=Y","Sort=A","Dates=H","DateFormat=P","Fill=—","Direction=H","UseDPDF=Y")</f>
        <v>#NAME?</v>
      </c>
      <c r="AJ527" s="2" t="e">
        <f ca="1">_xll.BDH($C$503,"GROWTH_IN_CAP","FQ4 2018","FQ4 2018","Currency=INR","Period=FQ","BEST_FPERIOD_OVERRIDE=FQ","FILING_STATUS=OR","EQY_CONSOLIDATED=Y","Sort=A","Dates=H","DateFormat=P","Fill=—","Direction=H","UseDPDF=Y")</f>
        <v>#NAME?</v>
      </c>
      <c r="AK527" s="2" t="e">
        <f ca="1">_xll.BDH($C$503,"BVPS_GROWTH","FQ4 2018","FQ4 2018","Currency=INR","Period=FQ","BEST_FPERIOD_OVERRIDE=FQ","FILING_STATUS=OR","EQY_CONSOLIDATED=Y","Sort=A","Dates=H","DateFormat=P","Fill=—","Direction=H","UseDPDF=Y")</f>
        <v>#NAME?</v>
      </c>
      <c r="AL527" s="2" t="e">
        <f ca="1">_xll.BDH($C$503,"CASH_FLOW_GROWTH","FQ4 2018","FQ4 2018","Currency=INR","Period=FQ","BEST_FPERIOD_OVERRIDE=FQ","FILING_STATUS=OR","EQY_CONSOLIDATED=Y","Sort=A","Dates=H","DateFormat=P","Fill=—","Direction=H","UseDPDF=Y")</f>
        <v>#NAME?</v>
      </c>
      <c r="AM527" s="2" t="e">
        <f ca="1">_xll.BDH($C$503,"GEO_GROW_NET_SALES","FQ4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27" s="2" t="e">
        <f ca="1">_xll.BDH($C$503,"GEO_GROW_EBITDA","FQ4 2018","FQ4 2018","Currency=INR","Period=FQ","BEST_FPERIOD_OVERRIDE=FQ","FILING_STATUS=OR","EQY_CONSOLIDATED=Y","FA_ADJUSTED=GAAP","Sort=A","Dates=H","DateFormat=P","Fill=—","Direction=H","UseDPDF=Y")</f>
        <v>#NAME?</v>
      </c>
      <c r="AO527" s="2" t="e">
        <f ca="1">_xll.BDH($C$503,"GEO_GROW_OPER_INC","FQ4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27" s="2" t="e">
        <f ca="1">_xll.BDH($C$503,"NET_INCOME_TO_COMMON_5_YR_GROWTH","FQ4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27" s="2" t="e">
        <f ca="1">_xll.BDH($C$503,"5Y_GEO_GROWTH_DILUTED_EPS","FQ4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27" s="2" t="e">
        <f ca="1">_xll.BDH($C$503,"GEO_GROW_DVD_PER_SH","FQ4 2018","FQ4 2018","Currency=INR","Period=FQ","BEST_FPERIOD_OVERRIDE=FQ","FILING_STATUS=OR","EQY_CONSOLIDATED=Y","Sort=A","Dates=H","DateFormat=P","Fill=—","Direction=H","UseDPDF=Y")</f>
        <v>#NAME?</v>
      </c>
      <c r="AS527" s="2" t="e">
        <f ca="1">_xll.BDH($C$503,"ACCOUNTS_RECEIVABLE_5_YR_GROWTH","FQ4 2018","FQ4 2018","Currency=INR","Period=FQ","BEST_FPERIOD_OVERRIDE=FQ","FILING_STATUS=OR","EQY_CONSOLIDATED=Y","Sort=A","Dates=H","DateFormat=P","Fill=—","Direction=H","UseDPDF=Y")</f>
        <v>#NAME?</v>
      </c>
      <c r="AT527" s="2" t="e">
        <f ca="1">_xll.BDH($C$503,"INVENTORY_5_YEAR_GROWTH","FQ4 2018","FQ4 2018","Currency=INR","Period=FQ","BEST_FPERIOD_OVERRIDE=FQ","FILING_STATUS=OR","EQY_CONSOLIDATED=Y","Sort=A","Dates=H","DateFormat=P","Fill=—","Direction=H","UseDPDF=Y")</f>
        <v>#NAME?</v>
      </c>
      <c r="AU527" s="2" t="e">
        <f ca="1">_xll.BDH($C$503,"NET_FIXED_ASSETS_5_YEAR_GROWTH","FQ4 2018","FQ4 2018","Currency=INR","Period=FQ","BEST_FPERIOD_OVERRIDE=FQ","FILING_STATUS=OR","EQY_CONSOLIDATED=Y","Sort=A","Dates=H","DateFormat=P","Fill=—","Direction=H","UseDPDF=Y")</f>
        <v>#NAME?</v>
      </c>
      <c r="AV527" s="2" t="e">
        <f ca="1">_xll.BDH($C$503,"GEO_GROW_TOT_ASSET","FQ4 2018","FQ4 2018","Currency=INR","Period=FQ","BEST_FPERIOD_OVERRIDE=FQ","FILING_STATUS=OR","EQY_CONSOLIDATED=Y","Sort=A","Dates=H","DateFormat=P","Fill=—","Direction=H","UseDPDF=Y")</f>
        <v>#NAME?</v>
      </c>
      <c r="AW527" s="2" t="e">
        <f ca="1">_xll.BDH($C$503,"MODIFIED_WORKING_CPTL_5YR_GRWTH","FQ4 2018","FQ4 2018","Currency=INR","Period=FQ","BEST_FPERIOD_OVERRIDE=FQ","FILING_STATUS=OR","EQY_CONSOLIDATED=Y","Sort=A","Dates=H","DateFormat=P","Fill=—","Direction=H","UseDPDF=Y")</f>
        <v>#NAME?</v>
      </c>
      <c r="AX527" s="2" t="e">
        <f ca="1">_xll.BDH($C$503,"WORKING_CAPITAL_5_YEAR_GROWTH","FQ4 2018","FQ4 2018","Currency=INR","Period=FQ","BEST_FPERIOD_OVERRIDE=FQ","FILING_STATUS=OR","EQY_CONSOLIDATED=Y","Sort=A","Dates=H","DateFormat=P","Fill=—","Direction=H","UseDPDF=Y")</f>
        <v>#NAME?</v>
      </c>
      <c r="AY527" s="2" t="e">
        <f ca="1">_xll.BDH($C$503,"ACCOUNTS_PAYABLE_5_YEAR_GROWTH","FQ4 2018","FQ4 2018","Currency=INR","Period=FQ","BEST_FPERIOD_OVERRIDE=FQ","FILING_STATUS=OR","EQY_CONSOLIDATED=Y","Sort=A","Dates=H","DateFormat=P","Fill=—","Direction=H","UseDPDF=Y")</f>
        <v>#NAME?</v>
      </c>
      <c r="AZ527" s="2" t="e">
        <f ca="1">_xll.BDH($C$503,"SHORT_TERM_DEBT_5_YEAR_GROWTH","FQ4 2018","FQ4 2018","Currency=INR","Period=FQ","BEST_FPERIOD_OVERRIDE=FQ","FILING_STATUS=OR","EQY_CONSOLIDATED=Y","Sort=A","Dates=H","DateFormat=P","Fill=—","Direction=H","UseDPDF=Y")</f>
        <v>#NAME?</v>
      </c>
      <c r="BA527" s="2" t="e">
        <f ca="1">_xll.BDH($C$503,"TOTAL_DEBT_5_YEAR_GROWTH","FQ4 2018","FQ4 2018","Currency=INR","Period=FQ","BEST_FPERIOD_OVERRIDE=FQ","FILING_STATUS=OR","EQY_CONSOLIDATED=Y","Sort=A","Dates=H","DateFormat=P","Fill=—","Direction=H","UseDPDF=Y")</f>
        <v>#NAME?</v>
      </c>
      <c r="BB527" s="2" t="e">
        <f ca="1">_xll.BDH($C$503,"GEO_GROW_TOT_SHRHLDR_EQY","FQ4 2018","FQ4 2018","Currency=INR","Period=FQ","BEST_FPERIOD_OVERRIDE=FQ","FILING_STATUS=OR","EQY_CONSOLIDATED=Y","Sort=A","Dates=H","DateFormat=P","Fill=—","Direction=H","UseDPDF=Y")</f>
        <v>#NAME?</v>
      </c>
      <c r="BC527" s="2" t="e">
        <f ca="1">_xll.BDH($C$503,"TOTAL_CAPITAL_5_YEAR_GROWTH","FQ4 2018","FQ4 2018","Currency=INR","Period=FQ","BEST_FPERIOD_OVERRIDE=FQ","FILING_STATUS=OR","EQY_CONSOLIDATED=Y","Sort=A","Dates=H","DateFormat=P","Fill=—","Direction=H","UseDPDF=Y")</f>
        <v>#NAME?</v>
      </c>
      <c r="BD527" s="2" t="e">
        <f ca="1">_xll.BDH($C$503,"GEO_GROW_BOOK_VAL","FQ4 2018","FQ4 2018","Currency=INR","Period=FQ","BEST_FPERIOD_OVERRIDE=FQ","FILING_STATUS=OR","EQY_CONSOLIDATED=Y","Sort=A","Dates=H","DateFormat=P","Fill=—","Direction=H","UseDPDF=Y")</f>
        <v>#NAME?</v>
      </c>
      <c r="BE527" s="2" t="e">
        <f ca="1">_xll.BDH($C$503,"GEO_GROW_CASH_OPER_ACT","FQ4 2018","FQ4 2018","Currency=INR","Period=FQ","BEST_FPERIOD_OVERRIDE=FQ","FILING_STATUS=OR","EQY_CONSOLIDATED=Y","Sort=A","Dates=H","DateFormat=P","Fill=—","Direction=H","UseDPDF=Y")</f>
        <v>#NAME?</v>
      </c>
      <c r="BF527" s="2" t="e">
        <f ca="1">_xll.BDH($C$503,"REVENUE_SEQUENTIAL_GROWTH","FQ4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27" s="2" t="e">
        <f ca="1">_xll.BDH($C$503,"EBITDA_SEQUENTIAL_GROWTH","FQ4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27" s="2" t="e">
        <f ca="1">_xll.BDH($C$503,"OPERATING_INCOME_SEQ_GROWTH","FQ4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27" s="2" t="e">
        <f ca="1">_xll.BDH($C$503,"NET_INCOME_TO_COMMON_SEQ_GROWTH","FQ4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27" s="2" t="e">
        <f ca="1">_xll.BDH($C$503,"EPS_DILUTED_SEQUENTIAL_GROWTH","FQ4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27" s="2" t="e">
        <f ca="1">_xll.BDH($C$503,"DPS_SEQUENTIAL_GROWTH","FQ4 2018","FQ4 2018","Currency=INR","Period=FQ","BEST_FPERIOD_OVERRIDE=FQ","FILING_STATUS=OR","EQY_CONSOLIDATED=Y","Sort=A","Dates=H","DateFormat=P","Fill=—","Direction=H","UseDPDF=Y")</f>
        <v>#NAME?</v>
      </c>
      <c r="BL527" s="2" t="e">
        <f ca="1">_xll.BDH($C$503,"ACCOUNTS_RECEIVABLE_SEQ_GROWTH","FQ4 2018","FQ4 2018","Currency=INR","Period=FQ","BEST_FPERIOD_OVERRIDE=FQ","FILING_STATUS=OR","EQY_CONSOLIDATED=Y","Sort=A","Dates=H","DateFormat=P","Fill=—","Direction=H","UseDPDF=Y")</f>
        <v>#NAME?</v>
      </c>
      <c r="BM527" s="2" t="e">
        <f ca="1">_xll.BDH($C$503,"INVENTORY_SEQUENTIAL_GROWTH","FQ4 2018","FQ4 2018","Currency=INR","Period=FQ","BEST_FPERIOD_OVERRIDE=FQ","FILING_STATUS=OR","EQY_CONSOLIDATED=Y","Sort=A","Dates=H","DateFormat=P","Fill=—","Direction=H","UseDPDF=Y")</f>
        <v>#NAME?</v>
      </c>
      <c r="BN527" s="2" t="e">
        <f ca="1">_xll.BDH($C$503,"FIXED_ASSETS_SEQUENTIAL_GROWTH","FQ4 2018","FQ4 2018","Currency=INR","Period=FQ","BEST_FPERIOD_OVERRIDE=FQ","FILING_STATUS=OR","EQY_CONSOLIDATED=Y","Sort=A","Dates=H","DateFormat=P","Fill=—","Direction=H","UseDPDF=Y")</f>
        <v>#NAME?</v>
      </c>
      <c r="BO527" s="2" t="e">
        <f ca="1">_xll.BDH($C$503,"TOTAL_ASSETS_SEQUENTIAL_GROWTH","FQ4 2018","FQ4 2018","Currency=INR","Period=FQ","BEST_FPERIOD_OVERRIDE=FQ","FILING_STATUS=OR","EQY_CONSOLIDATED=Y","Sort=A","Dates=H","DateFormat=P","Fill=—","Direction=H","UseDPDF=Y")</f>
        <v>#NAME?</v>
      </c>
      <c r="BP527" s="2" t="e">
        <f ca="1">_xll.BDH($C$503,"MODIFIED_WORKING_CPTL_SEQ_GRWTH","FQ4 2018","FQ4 2018","Currency=INR","Period=FQ","BEST_FPERIOD_OVERRIDE=FQ","FILING_STATUS=OR","EQY_CONSOLIDATED=Y","Sort=A","Dates=H","DateFormat=P","Fill=—","Direction=H","UseDPDF=Y")</f>
        <v>#NAME?</v>
      </c>
      <c r="BQ527" s="2" t="e">
        <f ca="1">_xll.BDH($C$503,"WORKING_CAPITAL_SEQ_GROWTH","FQ4 2018","FQ4 2018","Currency=INR","Period=FQ","BEST_FPERIOD_OVERRIDE=FQ","FILING_STATUS=OR","EQY_CONSOLIDATED=Y","Sort=A","Dates=H","DateFormat=P","Fill=—","Direction=H","UseDPDF=Y")</f>
        <v>#NAME?</v>
      </c>
      <c r="BR527" s="2" t="e">
        <f ca="1">_xll.BDH($C$503,"ACCOUNTS_PAYABLE_SEQ_GROWTH","FQ4 2018","FQ4 2018","Currency=INR","Period=FQ","BEST_FPERIOD_OVERRIDE=FQ","FILING_STATUS=OR","EQY_CONSOLIDATED=Y","Sort=A","Dates=H","DateFormat=P","Fill=—","Direction=H","UseDPDF=Y")</f>
        <v>#NAME?</v>
      </c>
      <c r="BS527" s="2" t="e">
        <f ca="1">_xll.BDH($C$503,"ST_DEBT_SEQUENTIAL_GROWTH","FQ4 2018","FQ4 2018","Currency=INR","Period=FQ","BEST_FPERIOD_OVERRIDE=FQ","FILING_STATUS=OR","EQY_CONSOLIDATED=Y","Sort=A","Dates=H","DateFormat=P","Fill=—","Direction=H","UseDPDF=Y")</f>
        <v>#NAME?</v>
      </c>
      <c r="BT527" s="2" t="e">
        <f ca="1">_xll.BDH($C$503,"TOTAL_DEBT_SEQUENTIAL_GROWTH","FQ4 2018","FQ4 2018","Currency=INR","Period=FQ","BEST_FPERIOD_OVERRIDE=FQ","FILING_STATUS=OR","EQY_CONSOLIDATED=Y","Sort=A","Dates=H","DateFormat=P","Fill=—","Direction=H","UseDPDF=Y")</f>
        <v>#NAME?</v>
      </c>
      <c r="BU527" s="2" t="e">
        <f ca="1">_xll.BDH($C$503,"TOTAL_EQUITY_SEQUENTIAL_GROWTH","FQ4 2018","FQ4 2018","Currency=INR","Period=FQ","BEST_FPERIOD_OVERRIDE=FQ","FILING_STATUS=OR","EQY_CONSOLIDATED=Y","Sort=A","Dates=H","DateFormat=P","Fill=—","Direction=H","UseDPDF=Y")</f>
        <v>#NAME?</v>
      </c>
      <c r="BV527" s="2" t="e">
        <f ca="1">_xll.BDH($C$503,"TOTAL_CAPITAL_SEQUENTIAL_GROWTH","FQ4 2018","FQ4 2018","Currency=INR","Period=FQ","BEST_FPERIOD_OVERRIDE=FQ","FILING_STATUS=OR","EQY_CONSOLIDATED=Y","Sort=A","Dates=H","DateFormat=P","Fill=—","Direction=H","UseDPDF=Y")</f>
        <v>#NAME?</v>
      </c>
      <c r="BW527" s="2" t="e">
        <f ca="1">_xll.BDH($C$503,"BPS_SEQUENTIAL_GROWTH","FQ4 2018","FQ4 2018","Currency=INR","Period=FQ","BEST_FPERIOD_OVERRIDE=FQ","FILING_STATUS=OR","EQY_CONSOLIDATED=Y","Sort=A","Dates=H","DateFormat=P","Fill=—","Direction=H","UseDPDF=Y")</f>
        <v>#NAME?</v>
      </c>
      <c r="BX527" s="2" t="e">
        <f ca="1">_xll.BDH($C$503,"CFO_SEQUENTIAL_GROWTH","FQ4 2018","FQ4 2018","Currency=INR","Period=FQ","BEST_FPERIOD_OVERRIDE=FQ","FILING_STATUS=OR","EQY_CONSOLIDATED=Y","Sort=A","Dates=H","DateFormat=P","Fill=—","Direction=H","UseDPDF=Y")</f>
        <v>#NAME?</v>
      </c>
      <c r="BY527" s="3" t="e">
        <f ca="1">_xll.BDH($C$503,"SHORT_AND_LONG_TERM_DEBT","FQ4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27" s="3" t="e">
        <f ca="1">_xll.BDH($C$503,"BS_ST_BORROW","FQ4 2018","FQ4 2018","Currency=INR","Period=FQ","BEST_FPERIOD_OVERRIDE=FQ","FILING_STATUS=OR","EQY_CONSOLIDATED=Y","SCALING_FORMAT=MLN","Sort=A","Dates=H","DateFormat=P","Fill=—","Direction=H","UseDPDF=Y")</f>
        <v>#NAME?</v>
      </c>
      <c r="CA527" s="3" t="e">
        <f ca="1">_xll.BDH($C$503,"BS_LT_BORROW","FQ4 2018","FQ4 2018","Currency=INR","Period=FQ","BEST_FPERIOD_OVERRIDE=FQ","FILING_STATUS=OR","EQY_CONSOLIDATED=Y","SCALING_FORMAT=MLN","Sort=A","Dates=H","DateFormat=P","Fill=—","Direction=H","UseDPDF=Y")</f>
        <v>#NAME?</v>
      </c>
      <c r="CB527" s="2" t="e">
        <f ca="1">_xll.BDH($C$503,"TOT_DEBT_TO_EBITDA","FQ4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27" s="2" t="e">
        <f ca="1">_xll.BDH($C$503,"NET_DEBT_TO_EBITDA","FQ4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27" s="2" t="e">
        <f ca="1">_xll.BDH($C$503,"TOTAL_DEBT_TO_EBIT","FQ4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27" s="2" t="e">
        <f ca="1">_xll.BDH($C$503,"NET_DEBT_TO_EBIT","FQ4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27" s="2" t="e">
        <f ca="1">_xll.BDH($C$503,"EBITDA_TO_INTEREST_EXPN","FQ4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27" s="2" t="e">
        <f ca="1">_xll.BDH($C$503,"COM_EQY_TO_TOT_ASSET","FQ4 2018","FQ4 2018","Currency=INR","Period=FQ","BEST_FPERIOD_OVERRIDE=FQ","FILING_STATUS=OR","EQY_CONSOLIDATED=Y","Sort=A","Dates=H","DateFormat=P","Fill=—","Direction=H","UseDPDF=Y")</f>
        <v>#NAME?</v>
      </c>
      <c r="CH527" s="2" t="e">
        <f ca="1">_xll.BDH($C$503,"LT_DEBT_TO_TOT_EQY","FQ4 2018","FQ4 2018","Currency=INR","Period=FQ","BEST_FPERIOD_OVERRIDE=FQ","FILING_STATUS=OR","EQY_CONSOLIDATED=Y","Sort=A","Dates=H","DateFormat=P","Fill=—","Direction=H","UseDPDF=Y")</f>
        <v>#NAME?</v>
      </c>
      <c r="CI527" s="2" t="e">
        <f ca="1">_xll.BDH($C$503,"LT_DEBT_TO_TOT_CAP","FQ4 2018","FQ4 2018","Currency=INR","Period=FQ","BEST_FPERIOD_OVERRIDE=FQ","FILING_STATUS=OR","EQY_CONSOLIDATED=Y","Sort=A","Dates=H","DateFormat=P","Fill=—","Direction=H","UseDPDF=Y")</f>
        <v>#NAME?</v>
      </c>
      <c r="CJ527" s="2" t="e">
        <f ca="1">_xll.BDH($C$503,"LT_DEBT_TO_TOT_ASSET","FQ4 2018","FQ4 2018","Currency=INR","Period=FQ","BEST_FPERIOD_OVERRIDE=FQ","FILING_STATUS=OR","EQY_CONSOLIDATED=Y","Sort=A","Dates=H","DateFormat=P","Fill=—","Direction=H","UseDPDF=Y")</f>
        <v>#NAME?</v>
      </c>
      <c r="CK527" s="2" t="e">
        <f ca="1">_xll.BDH($C$503,"TOT_DEBT_TO_TOT_EQY","FQ4 2018","FQ4 2018","Currency=INR","Period=FQ","BEST_FPERIOD_OVERRIDE=FQ","FILING_STATUS=OR","EQY_CONSOLIDATED=Y","Sort=A","Dates=H","DateFormat=P","Fill=—","Direction=H","UseDPDF=Y")</f>
        <v>#NAME?</v>
      </c>
      <c r="CL527" s="2" t="e">
        <f ca="1">_xll.BDH($C$503,"TOT_DEBT_TO_TOT_CAP","FQ4 2018","FQ4 2018","Currency=INR","Period=FQ","BEST_FPERIOD_OVERRIDE=FQ","FILING_STATUS=OR","EQY_CONSOLIDATED=Y","Sort=A","Dates=H","DateFormat=P","Fill=—","Direction=H","UseDPDF=Y")</f>
        <v>#NAME?</v>
      </c>
      <c r="CM527" s="2" t="e">
        <f ca="1">_xll.BDH($C$503,"TOT_DEBT_TO_TOT_ASSET","FQ4 2018","FQ4 2018","Currency=INR","Period=FQ","BEST_FPERIOD_OVERRIDE=FQ","FILING_STATUS=OR","EQY_CONSOLIDATED=Y","Sort=A","Dates=H","DateFormat=P","Fill=—","Direction=H","UseDPDF=Y")</f>
        <v>#NAME?</v>
      </c>
      <c r="CN527" s="2" t="e">
        <f ca="1">_xll.BDH($C$503,"NET_DEBT_TO_SHRHLDR_EQTY","FQ4 2018","FQ4 2018","Currency=INR","Period=FQ","BEST_FPERIOD_OVERRIDE=FQ","FILING_STATUS=OR","EQY_CONSOLIDATED=Y","Sort=A","Dates=H","DateFormat=P","Fill=—","Direction=H","UseDPDF=Y")</f>
        <v>#NAME?</v>
      </c>
      <c r="CO527" s="2" t="e">
        <f ca="1">_xll.BDH($C$503,"NET_DEBT_%_CAPITAL","FQ4 2018","FQ4 2018","Currency=INR","Period=FQ","BEST_FPERIOD_OVERRIDE=FQ","FILING_STATUS=OR","EQY_CONSOLIDATED=Y","Sort=A","Dates=H","DateFormat=P","Fill=—","Direction=H","UseDPDF=Y")</f>
        <v>#NAME?</v>
      </c>
      <c r="CP527" s="3" t="e">
        <f ca="1">_xll.BDH($C$503,"EBITDA","FQ4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27" s="3" t="e">
        <f ca="1">_xll.BDH($C$503,"EBITDA_AFTER_CAPEX","FQ4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27" s="3" t="e">
        <f ca="1">_xll.BDH($C$503,"IS_OPER_INC","FQ4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27" s="2" t="e">
        <f ca="1">_xll.BDH($C$503,"CASH_RATIO","FQ4 2018","FQ4 2018","Currency=INR","Period=FQ","BEST_FPERIOD_OVERRIDE=FQ","FILING_STATUS=OR","EQY_CONSOLIDATED=Y","Sort=A","Dates=H","DateFormat=P","Fill=—","Direction=H","UseDPDF=Y")</f>
        <v>#NAME?</v>
      </c>
      <c r="CT527" s="2" t="e">
        <f ca="1">_xll.BDH($C$503,"CUR_RATIO","FQ4 2018","FQ4 2018","Currency=INR","Period=FQ","BEST_FPERIOD_OVERRIDE=FQ","FILING_STATUS=OR","EQY_CONSOLIDATED=Y","Sort=A","Dates=H","DateFormat=P","Fill=—","Direction=H","UseDPDF=Y")</f>
        <v>#NAME?</v>
      </c>
      <c r="CU527" s="2" t="e">
        <f ca="1">_xll.BDH($C$503,"QUICK_RATIO","FQ4 2018","FQ4 2018","Currency=INR","Period=FQ","BEST_FPERIOD_OVERRIDE=FQ","FILING_STATUS=OR","EQY_CONSOLIDATED=Y","Sort=A","Dates=H","DateFormat=P","Fill=—","Direction=H","UseDPDF=Y")</f>
        <v>#NAME?</v>
      </c>
      <c r="CV527" s="2" t="e">
        <f ca="1">_xll.BDH($C$503,"ALTMAN_Z_SCORE","FQ4 2018","FQ4 2018","Currency=INR","Period=FQ","BEST_FPERIOD_OVERRIDE=FQ","FILING_STATUS=OR","EQY_CONSOLIDATED=Y","Sort=A","Dates=H","DateFormat=P","Fill=—","Direction=H","UseDPDF=Y")</f>
        <v>#NAME?</v>
      </c>
      <c r="CW527" s="4" t="e">
        <f ca="1">_xll.BDH($C$503,"ACCT_RCV_TURN","FQ4 2018","FQ4 2018","Currency=INR","Period=FQ","BEST_FPERIOD_OVERRIDE=FQ","FILING_STATUS=OR","EQY_CONSOLIDATED=Y","FA_ADJUSTED=GAAP","Sort=A","Dates=H","DateFormat=P","Fill=—","Direction=H","UseDPDF=Y")</f>
        <v>#NAME?</v>
      </c>
      <c r="CX527" s="2" t="e">
        <f ca="1">_xll.BDH($C$503,"ACCT_RCV_DAYS","FQ4 2018","FQ4 2018","Currency=INR","Period=FQ","BEST_FPERIOD_OVERRIDE=FQ","FILING_STATUS=OR","EQY_CONSOLIDATED=Y","FA_ADJUSTED=GAAP","Sort=A","Dates=H","DateFormat=P","Fill=—","Direction=H","UseDPDF=Y")</f>
        <v>#NAME?</v>
      </c>
      <c r="CY527" s="4" t="e">
        <f ca="1">_xll.BDH($C$503,"INVENT_TURN","FQ4 2018","FQ4 2018","Currency=INR","Period=FQ","BEST_FPERIOD_OVERRIDE=FQ","FILING_STATUS=OR","EQY_CONSOLIDATED=Y","FA_ADJUSTED=GAAP","Sort=A","Dates=H","DateFormat=P","Fill=—","Direction=H","UseDPDF=Y")</f>
        <v>#NAME?</v>
      </c>
      <c r="CZ527" s="2" t="e">
        <f ca="1">_xll.BDH($C$503,"INVENT_DAYS","FQ4 2018","FQ4 2018","Currency=INR","Period=FQ","BEST_FPERIOD_OVERRIDE=FQ","FILING_STATUS=OR","EQY_CONSOLIDATED=Y","FA_ADJUSTED=GAAP","Sort=A","Dates=H","DateFormat=P","Fill=—","Direction=H","UseDPDF=Y")</f>
        <v>#NAME?</v>
      </c>
      <c r="DA527" s="4" t="e">
        <f ca="1">_xll.BDH($C$503,"ACCOUNTS_PAYABLE_TURNOVER","FQ4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27" s="2" t="e">
        <f ca="1">_xll.BDH($C$503,"ACCOUNTS_PAYABLE_TURNOVER_DAYS","FQ4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27" s="4" t="e">
        <f ca="1">_xll.BDH($C$503,"CASH_CONVERSION_CYCLE","FQ4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27" s="4" t="e">
        <f ca="1">_xll.BDH($C$503,"INV_TO_CASH_DAYS","FQ4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27" s="5" t="e">
        <f ca="1">_xll.BDH($C$503,"BS_INVENTORIES","FQ4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27" s="3" t="e">
        <f ca="1">_xll.BDH($C$503,"INVTRY_RAW_MATERIALS","FQ4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27" s="3" t="e">
        <f ca="1">_xll.BDH($C$503,"INVTRY_IN_PROGRESS","FQ4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27" s="3" t="e">
        <f ca="1">_xll.BDH($C$503,"INVTRY_FINISHED_GOODS","FQ4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27" s="3" t="e">
        <f ca="1">_xll.BDH($C$503,"BS_OTHER_INV","FQ4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28" spans="1:113" x14ac:dyDescent="0.3">
      <c r="A528" s="6">
        <v>97</v>
      </c>
      <c r="B528" s="6" t="s">
        <v>125</v>
      </c>
      <c r="C528" s="6" t="s">
        <v>126</v>
      </c>
      <c r="D528" s="6" t="s">
        <v>76</v>
      </c>
      <c r="E528" t="s">
        <v>77</v>
      </c>
      <c r="F528" t="e">
        <f ca="1">_xll.BDH($C$528,"RETURN_COM_EQY","FY 2014","FY 2014","Currency=INR","Period=FY","BEST_FPERIOD_OVERRIDE=FY","FILING_STATUS=OR","EQY_CONSOLIDATED=Y","FA_ADJUSTED=GAAP","Sort=A","Dates=H","DateFormat=P","Fill=—","Direction=H","UseDPDF=Y")</f>
        <v>#NAME?</v>
      </c>
      <c r="G528" t="e">
        <f ca="1">_xll.BDH($C$528,"RETURN_ON_ASSET","FY 2014","FY 2014","Currency=INR","Period=FY","BEST_FPERIOD_OVERRIDE=FY","FILING_STATUS=OR","EQY_CONSOLIDATED=Y","FA_ADJUSTED=GAAP","Sort=A","Dates=H","DateFormat=P","Fill=—","Direction=H","UseDPDF=Y")</f>
        <v>#NAME?</v>
      </c>
      <c r="H528" t="e">
        <f ca="1">_xll.BDH($C$528,"RETURN_ON_CAP","FY 2014","FY 2014","Currency=INR","Period=FY","BEST_FPERIOD_OVERRIDE=FY","FILING_STATUS=OR","EQY_CONSOLIDATED=Y","FA_ADJUSTED=GAAP","Sort=A","Dates=H","DateFormat=P","Fill=—","Direction=H","UseDPDF=Y")</f>
        <v>#NAME?</v>
      </c>
      <c r="I528" t="e">
        <f ca="1">_xll.BDH($C$528,"RETURN_ON_INV_CAPITAL","FY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28" t="e">
        <f ca="1">_xll.BDH($C$528,"EBITDA_TO_REVENUE","FY 2014","FY 2014","Currency=INR","Period=FY","BEST_FPERIOD_OVERRIDE=FY","FILING_STATUS=OR","EQY_CONSOLIDATED=Y","FA_ADJUSTED=GAAP","Sort=A","Dates=H","DateFormat=P","Fill=—","Direction=H","UseDPDF=Y")</f>
        <v>#NAME?</v>
      </c>
      <c r="K528" t="e">
        <f ca="1">_xll.BDH($C$528,"OPER_MARGIN","FY 2014","FY 2014","Currency=INR","Period=FY","BEST_FPERIOD_OVERRIDE=FY","FILING_STATUS=OR","EQY_CONSOLIDATED=Y","FA_ADJUSTED=GAAP","Sort=A","Dates=H","DateFormat=P","Fill=—","Direction=H","UseDPDF=Y")</f>
        <v>#NAME?</v>
      </c>
      <c r="L528" t="e">
        <f ca="1">_xll.BDH($C$528,"INCREMENTAL_OPERATING_MARGIN","FY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28" t="e">
        <f ca="1">_xll.BDH($C$528,"PRETAX_INC_TO_NET_SALES","FY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28" t="e">
        <f ca="1">_xll.BDH($C$528,"INC_BEF_XO_ITEMS_TO_NET_SALES","FY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28" t="e">
        <f ca="1">_xll.BDH($C$528,"PROF_MARGIN","FY 2014","FY 2014","Currency=INR","Period=FY","BEST_FPERIOD_OVERRIDE=FY","FILING_STATUS=OR","EQY_CONSOLIDATED=Y","FA_ADJUSTED=GAAP","Sort=A","Dates=H","DateFormat=P","Fill=—","Direction=H","UseDPDF=Y")</f>
        <v>#NAME?</v>
      </c>
      <c r="P528" t="e">
        <f ca="1">_xll.BDH($C$528,"NET_INCOME_TO_COMMON_MARGIN","FY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28" t="e">
        <f ca="1">_xll.BDH($C$528,"EFF_TAX_RATE","FY 2014","FY 2014","Currency=INR","Period=FY","BEST_FPERIOD_OVERRIDE=FY","FILING_STATUS=OR","EQY_CONSOLIDATED=Y","FA_ADJUSTED=GAAP","Sort=A","Dates=H","DateFormat=P","Fill=—","Direction=H","UseDPDF=Y")</f>
        <v>#NAME?</v>
      </c>
      <c r="R528" t="e">
        <f ca="1">_xll.BDH($C$528,"DVD_PAYOUT_RATIO","FY 2014","FY 2014","Currency=INR","Period=FY","BEST_FPERIOD_OVERRIDE=FY","FILING_STATUS=OR","EQY_CONSOLIDATED=Y","FA_ADJUSTED=GAAP","Sort=A","Dates=H","DateFormat=P","Fill=—","Direction=H","UseDPDF=Y")</f>
        <v>#NAME?</v>
      </c>
      <c r="S528" t="e">
        <f ca="1">_xll.BDH($C$528,"SUSTAIN_GROWTH_RT","FY 2014","FY 2014","Currency=INR","Period=FY","BEST_FPERIOD_OVERRIDE=FY","FILING_STATUS=OR","EQY_CONSOLIDATED=Y","FA_ADJUSTED=GAAP","Sort=A","Dates=H","DateFormat=P","Fill=—","Direction=H","UseDPDF=Y")</f>
        <v>#NAME?</v>
      </c>
      <c r="T528" s="2" t="e">
        <f ca="1">_xll.BDH($C$528,"SALES_GROWTH","FY 2014","FY 2014","Currency=INR","Period=FY","BEST_FPERIOD_OVERRIDE=FY","FILING_STATUS=OR","EQY_CONSOLIDATED=Y","FA_ADJUSTED=GAAP","Sort=A","Dates=H","DateFormat=P","Fill=—","Direction=H","UseDPDF=Y")</f>
        <v>#NAME?</v>
      </c>
      <c r="U528" s="2" t="e">
        <f ca="1">_xll.BDH($C$528,"EBITDA_GROWTH","FY 2014","FY 2014","Currency=INR","Period=FY","BEST_FPERIOD_OVERRIDE=FY","FILING_STATUS=OR","EQY_CONSOLIDATED=Y","FA_ADJUSTED=GAAP","Sort=A","Dates=H","DateFormat=P","Fill=—","Direction=H","UseDPDF=Y")</f>
        <v>#NAME?</v>
      </c>
      <c r="V528" s="2" t="e">
        <f ca="1">_xll.BDH($C$528,"OPER_INC_GROWTH","FY 2014","FY 2014","Currency=INR","Period=FY","BEST_FPERIOD_OVERRIDE=FY","FILING_STATUS=OR","EQY_CONSOLIDATED=Y","FA_ADJUSTED=GAAP","Sort=A","Dates=H","DateFormat=P","Fill=—","Direction=H","UseDPDF=Y")</f>
        <v>#NAME?</v>
      </c>
      <c r="W528" s="2" t="e">
        <f ca="1">_xll.BDH($C$528,"EARN_FOR_COM_GROWTH","FY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28" s="2" t="e">
        <f ca="1">_xll.BDH($C$528,"DILUTED_EPS_AFT_XO_ITEMS_GROWTH","FY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28" s="2" t="e">
        <f ca="1">_xll.BDH($C$528,"DIVIDEND_PER_SHARE_1_YEAR_GROWTH","FY 2014","FY 2014","Currency=INR","Period=FY","BEST_FPERIOD_OVERRIDE=FY","FILING_STATUS=OR","EQY_CONSOLIDATED=Y","Sort=A","Dates=H","DateFormat=P","Fill=—","Direction=H","UseDPDF=Y")</f>
        <v>#NAME?</v>
      </c>
      <c r="Z528" s="2" t="e">
        <f ca="1">_xll.BDH($C$528,"ACCOUNTS_RECEIVABLE_GROWTH","FY 2014","FY 2014","Currency=INR","Period=FY","BEST_FPERIOD_OVERRIDE=FY","FILING_STATUS=OR","EQY_CONSOLIDATED=Y","Sort=A","Dates=H","DateFormat=P","Fill=—","Direction=H","UseDPDF=Y")</f>
        <v>#NAME?</v>
      </c>
      <c r="AA528" s="2" t="e">
        <f ca="1">_xll.BDH($C$528,"INVENTORY_GROWTH","FY 2014","FY 2014","Currency=INR","Period=FY","BEST_FPERIOD_OVERRIDE=FY","FILING_STATUS=OR","EQY_CONSOLIDATED=Y","Sort=A","Dates=H","DateFormat=P","Fill=—","Direction=H","UseDPDF=Y")</f>
        <v>#NAME?</v>
      </c>
      <c r="AB528" s="2" t="e">
        <f ca="1">_xll.BDH($C$528,"NET_FIXED_ASSETS_1_YEAR_GROWTH","FY 2014","FY 2014","Currency=INR","Period=FY","BEST_FPERIOD_OVERRIDE=FY","FILING_STATUS=OR","EQY_CONSOLIDATED=Y","Sort=A","Dates=H","DateFormat=P","Fill=—","Direction=H","UseDPDF=Y")</f>
        <v>#NAME?</v>
      </c>
      <c r="AC528" s="2" t="e">
        <f ca="1">_xll.BDH($C$528,"ASSET_GROWTH","FY 2014","FY 2014","Currency=INR","Period=FY","BEST_FPERIOD_OVERRIDE=FY","FILING_STATUS=OR","EQY_CONSOLIDATED=Y","Sort=A","Dates=H","DateFormat=P","Fill=—","Direction=H","UseDPDF=Y")</f>
        <v>#NAME?</v>
      </c>
      <c r="AD528" s="2" t="e">
        <f ca="1">_xll.BDH($C$528,"MODIFIED_WORK_CAP_GROWTH","FY 2014","FY 2014","Currency=INR","Period=FY","BEST_FPERIOD_OVERRIDE=FY","FILING_STATUS=OR","EQY_CONSOLIDATED=Y","Sort=A","Dates=H","DateFormat=P","Fill=—","Direction=H","UseDPDF=Y")</f>
        <v>#NAME?</v>
      </c>
      <c r="AE528" s="2" t="e">
        <f ca="1">_xll.BDH($C$528,"WORK_CAP_GROWTH","FY 2014","FY 2014","Currency=INR","Period=FY","BEST_FPERIOD_OVERRIDE=FY","FILING_STATUS=OR","EQY_CONSOLIDATED=Y","Sort=A","Dates=H","DateFormat=P","Fill=—","Direction=H","UseDPDF=Y")</f>
        <v>#NAME?</v>
      </c>
      <c r="AF528" s="2" t="e">
        <f ca="1">_xll.BDH($C$528,"ACCOUNTS_PAYABLE_GROWTH_1YR","FY 2014","FY 2014","Currency=INR","Period=FY","BEST_FPERIOD_OVERRIDE=FY","FILING_STATUS=OR","EQY_CONSOLIDATED=Y","Sort=A","Dates=H","DateFormat=P","Fill=—","Direction=H","UseDPDF=Y")</f>
        <v>#NAME?</v>
      </c>
      <c r="AG528" s="2" t="e">
        <f ca="1">_xll.BDH($C$528,"SHORT_TERM_DEBT_1_YEAR_GROWTH","FY 2014","FY 2014","Currency=INR","Period=FY","BEST_FPERIOD_OVERRIDE=FY","FILING_STATUS=OR","EQY_CONSOLIDATED=Y","Sort=A","Dates=H","DateFormat=P","Fill=—","Direction=H","UseDPDF=Y")</f>
        <v>#NAME?</v>
      </c>
      <c r="AH528" s="2" t="e">
        <f ca="1">_xll.BDH($C$528,"TOTAL_DEBT_1_YEAR_GROWTH","FY 2014","FY 2014","Currency=INR","Period=FY","BEST_FPERIOD_OVERRIDE=FY","FILING_STATUS=OR","EQY_CONSOLIDATED=Y","Sort=A","Dates=H","DateFormat=P","Fill=—","Direction=H","UseDPDF=Y")</f>
        <v>#NAME?</v>
      </c>
      <c r="AI528" s="2" t="e">
        <f ca="1">_xll.BDH($C$528,"TOTAL_EQUITY_1_YEAR_GROWTH","FY 2014","FY 2014","Currency=INR","Period=FY","BEST_FPERIOD_OVERRIDE=FY","FILING_STATUS=OR","EQY_CONSOLIDATED=Y","Sort=A","Dates=H","DateFormat=P","Fill=—","Direction=H","UseDPDF=Y")</f>
        <v>#NAME?</v>
      </c>
      <c r="AJ528" s="2" t="e">
        <f ca="1">_xll.BDH($C$528,"GROWTH_IN_CAP","FY 2014","FY 2014","Currency=INR","Period=FY","BEST_FPERIOD_OVERRIDE=FY","FILING_STATUS=OR","EQY_CONSOLIDATED=Y","Sort=A","Dates=H","DateFormat=P","Fill=—","Direction=H","UseDPDF=Y")</f>
        <v>#NAME?</v>
      </c>
      <c r="AK528" s="2" t="e">
        <f ca="1">_xll.BDH($C$528,"BVPS_GROWTH","FY 2014","FY 2014","Currency=INR","Period=FY","BEST_FPERIOD_OVERRIDE=FY","FILING_STATUS=OR","EQY_CONSOLIDATED=Y","Sort=A","Dates=H","DateFormat=P","Fill=—","Direction=H","UseDPDF=Y")</f>
        <v>#NAME?</v>
      </c>
      <c r="AL528" s="2" t="e">
        <f ca="1">_xll.BDH($C$528,"CASH_FLOW_GROWTH","FY 2014","FY 2014","Currency=INR","Period=FY","BEST_FPERIOD_OVERRIDE=FY","FILING_STATUS=OR","EQY_CONSOLIDATED=Y","Sort=A","Dates=H","DateFormat=P","Fill=—","Direction=H","UseDPDF=Y")</f>
        <v>#NAME?</v>
      </c>
      <c r="AM528" s="2" t="e">
        <f ca="1">_xll.BDH($C$528,"GEO_GROW_NET_SALES","FY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28" s="2" t="e">
        <f ca="1">_xll.BDH($C$528,"GEO_GROW_EBITDA","FY 2014","FY 2014","Currency=INR","Period=FY","BEST_FPERIOD_OVERRIDE=FY","FILING_STATUS=OR","EQY_CONSOLIDATED=Y","FA_ADJUSTED=GAAP","Sort=A","Dates=H","DateFormat=P","Fill=—","Direction=H","UseDPDF=Y")</f>
        <v>#NAME?</v>
      </c>
      <c r="AO528" s="2" t="e">
        <f ca="1">_xll.BDH($C$528,"GEO_GROW_OPER_INC","FY 2014","FY 2014","Currency=INR","Period=FY","BEST_FPERIOD_OVERRIDE=FY","FILING_STATUS=OR","EQY_CONSOLIDATED=Y","FA_ADJUSTED=GAAP","Sort=A","Dates=H","DateFormat=P","Fill=—","Direction=H","UseDPDF=Y")</f>
        <v>#NAME?</v>
      </c>
      <c r="AP528" s="2" t="e">
        <f ca="1">_xll.BDH($C$528,"NET_INCOME_TO_COMMON_5_YR_GROWTH","FY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28" s="2" t="e">
        <f ca="1">_xll.BDH($C$528,"5Y_GEO_GROWTH_DILUTED_EPS","FY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28" s="2" t="e">
        <f ca="1">_xll.BDH($C$528,"GEO_GROW_DVD_PER_SH","FY 2014","FY 2014","Currency=INR","Period=FY","BEST_FPERIOD_OVERRIDE=FY","FILING_STATUS=OR","EQY_CONSOLIDATED=Y","Sort=A","Dates=H","DateFormat=P","Fill=—","Direction=H","UseDPDF=Y")</f>
        <v>#NAME?</v>
      </c>
      <c r="AS528" s="2" t="e">
        <f ca="1">_xll.BDH($C$528,"ACCOUNTS_RECEIVABLE_5_YR_GROWTH","FY 2014","FY 2014","Currency=INR","Period=FY","BEST_FPERIOD_OVERRIDE=FY","FILING_STATUS=OR","EQY_CONSOLIDATED=Y","Sort=A","Dates=H","DateFormat=P","Fill=—","Direction=H","UseDPDF=Y")</f>
        <v>#NAME?</v>
      </c>
      <c r="AT528" s="2" t="e">
        <f ca="1">_xll.BDH($C$528,"INVENTORY_5_YEAR_GROWTH","FY 2014","FY 2014","Currency=INR","Period=FY","BEST_FPERIOD_OVERRIDE=FY","FILING_STATUS=OR","EQY_CONSOLIDATED=Y","Sort=A","Dates=H","DateFormat=P","Fill=—","Direction=H","UseDPDF=Y")</f>
        <v>#NAME?</v>
      </c>
      <c r="AU528" s="2" t="e">
        <f ca="1">_xll.BDH($C$528,"NET_FIXED_ASSETS_5_YEAR_GROWTH","FY 2014","FY 2014","Currency=INR","Period=FY","BEST_FPERIOD_OVERRIDE=FY","FILING_STATUS=OR","EQY_CONSOLIDATED=Y","Sort=A","Dates=H","DateFormat=P","Fill=—","Direction=H","UseDPDF=Y")</f>
        <v>#NAME?</v>
      </c>
      <c r="AV528" s="2" t="e">
        <f ca="1">_xll.BDH($C$528,"GEO_GROW_TOT_ASSET","FY 2014","FY 2014","Currency=INR","Period=FY","BEST_FPERIOD_OVERRIDE=FY","FILING_STATUS=OR","EQY_CONSOLIDATED=Y","Sort=A","Dates=H","DateFormat=P","Fill=—","Direction=H","UseDPDF=Y")</f>
        <v>#NAME?</v>
      </c>
      <c r="AW528" s="2" t="e">
        <f ca="1">_xll.BDH($C$528,"MODIFIED_WORKING_CPTL_5YR_GRWTH","FY 2014","FY 2014","Currency=INR","Period=FY","BEST_FPERIOD_OVERRIDE=FY","FILING_STATUS=OR","EQY_CONSOLIDATED=Y","Sort=A","Dates=H","DateFormat=P","Fill=—","Direction=H","UseDPDF=Y")</f>
        <v>#NAME?</v>
      </c>
      <c r="AX528" s="2" t="e">
        <f ca="1">_xll.BDH($C$528,"WORKING_CAPITAL_5_YEAR_GROWTH","FY 2014","FY 2014","Currency=INR","Period=FY","BEST_FPERIOD_OVERRIDE=FY","FILING_STATUS=OR","EQY_CONSOLIDATED=Y","Sort=A","Dates=H","DateFormat=P","Fill=—","Direction=H","UseDPDF=Y")</f>
        <v>#NAME?</v>
      </c>
      <c r="AY528" s="2" t="e">
        <f ca="1">_xll.BDH($C$528,"ACCOUNTS_PAYABLE_5_YEAR_GROWTH","FY 2014","FY 2014","Currency=INR","Period=FY","BEST_FPERIOD_OVERRIDE=FY","FILING_STATUS=OR","EQY_CONSOLIDATED=Y","Sort=A","Dates=H","DateFormat=P","Fill=—","Direction=H","UseDPDF=Y")</f>
        <v>#NAME?</v>
      </c>
      <c r="AZ528" s="2" t="e">
        <f ca="1">_xll.BDH($C$528,"SHORT_TERM_DEBT_5_YEAR_GROWTH","FY 2014","FY 2014","Currency=INR","Period=FY","BEST_FPERIOD_OVERRIDE=FY","FILING_STATUS=OR","EQY_CONSOLIDATED=Y","Sort=A","Dates=H","DateFormat=P","Fill=—","Direction=H","UseDPDF=Y")</f>
        <v>#NAME?</v>
      </c>
      <c r="BA528" s="2" t="e">
        <f ca="1">_xll.BDH($C$528,"TOTAL_DEBT_5_YEAR_GROWTH","FY 2014","FY 2014","Currency=INR","Period=FY","BEST_FPERIOD_OVERRIDE=FY","FILING_STATUS=OR","EQY_CONSOLIDATED=Y","Sort=A","Dates=H","DateFormat=P","Fill=—","Direction=H","UseDPDF=Y")</f>
        <v>#NAME?</v>
      </c>
      <c r="BB528" s="2" t="e">
        <f ca="1">_xll.BDH($C$528,"GEO_GROW_TOT_SHRHLDR_EQY","FY 2014","FY 2014","Currency=INR","Period=FY","BEST_FPERIOD_OVERRIDE=FY","FILING_STATUS=OR","EQY_CONSOLIDATED=Y","Sort=A","Dates=H","DateFormat=P","Fill=—","Direction=H","UseDPDF=Y")</f>
        <v>#NAME?</v>
      </c>
      <c r="BC528" s="2" t="e">
        <f ca="1">_xll.BDH($C$528,"TOTAL_CAPITAL_5_YEAR_GROWTH","FY 2014","FY 2014","Currency=INR","Period=FY","BEST_FPERIOD_OVERRIDE=FY","FILING_STATUS=OR","EQY_CONSOLIDATED=Y","Sort=A","Dates=H","DateFormat=P","Fill=—","Direction=H","UseDPDF=Y")</f>
        <v>#NAME?</v>
      </c>
      <c r="BD528" s="2" t="e">
        <f ca="1">_xll.BDH($C$528,"GEO_GROW_BOOK_VAL","FY 2014","FY 2014","Currency=INR","Period=FY","BEST_FPERIOD_OVERRIDE=FY","FILING_STATUS=OR","EQY_CONSOLIDATED=Y","Sort=A","Dates=H","DateFormat=P","Fill=—","Direction=H","UseDPDF=Y")</f>
        <v>#NAME?</v>
      </c>
      <c r="BE528" s="2" t="e">
        <f ca="1">_xll.BDH($C$528,"GEO_GROW_CASH_OPER_ACT","FY 2014","FY 2014","Currency=INR","Period=FY","BEST_FPERIOD_OVERRIDE=FY","FILING_STATUS=OR","EQY_CONSOLIDATED=Y","Sort=A","Dates=H","DateFormat=P","Fill=—","Direction=H","UseDPDF=Y")</f>
        <v>#NAME?</v>
      </c>
      <c r="BF528" s="2" t="e">
        <f ca="1">_xll.BDH($C$528,"REVENUE_SEQUENTIAL_GROWTH","FY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28" s="2" t="e">
        <f ca="1">_xll.BDH($C$528,"EBITDA_SEQUENTIAL_GROWTH","FY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28" s="2" t="e">
        <f ca="1">_xll.BDH($C$528,"OPERATING_INCOME_SEQ_GROWTH","FY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28" s="2" t="e">
        <f ca="1">_xll.BDH($C$528,"NET_INCOME_TO_COMMON_SEQ_GROWTH","FY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28" s="2" t="e">
        <f ca="1">_xll.BDH($C$528,"EPS_DILUTED_SEQUENTIAL_GROWTH","FY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28" s="2" t="e">
        <f ca="1">_xll.BDH($C$528,"DPS_SEQUENTIAL_GROWTH","FY 2014","FY 2014","Currency=INR","Period=FY","BEST_FPERIOD_OVERRIDE=FY","FILING_STATUS=OR","EQY_CONSOLIDATED=Y","Sort=A","Dates=H","DateFormat=P","Fill=—","Direction=H","UseDPDF=Y")</f>
        <v>#NAME?</v>
      </c>
      <c r="BL528" s="2" t="e">
        <f ca="1">_xll.BDH($C$528,"ACCOUNTS_RECEIVABLE_SEQ_GROWTH","FY 2014","FY 2014","Currency=INR","Period=FY","BEST_FPERIOD_OVERRIDE=FY","FILING_STATUS=OR","EQY_CONSOLIDATED=Y","Sort=A","Dates=H","DateFormat=P","Fill=—","Direction=H","UseDPDF=Y")</f>
        <v>#NAME?</v>
      </c>
      <c r="BM528" s="2" t="e">
        <f ca="1">_xll.BDH($C$528,"INVENTORY_SEQUENTIAL_GROWTH","FY 2014","FY 2014","Currency=INR","Period=FY","BEST_FPERIOD_OVERRIDE=FY","FILING_STATUS=OR","EQY_CONSOLIDATED=Y","Sort=A","Dates=H","DateFormat=P","Fill=—","Direction=H","UseDPDF=Y")</f>
        <v>#NAME?</v>
      </c>
      <c r="BN528" s="2" t="e">
        <f ca="1">_xll.BDH($C$528,"FIXED_ASSETS_SEQUENTIAL_GROWTH","FY 2014","FY 2014","Currency=INR","Period=FY","BEST_FPERIOD_OVERRIDE=FY","FILING_STATUS=OR","EQY_CONSOLIDATED=Y","Sort=A","Dates=H","DateFormat=P","Fill=—","Direction=H","UseDPDF=Y")</f>
        <v>#NAME?</v>
      </c>
      <c r="BO528" s="2" t="e">
        <f ca="1">_xll.BDH($C$528,"TOTAL_ASSETS_SEQUENTIAL_GROWTH","FY 2014","FY 2014","Currency=INR","Period=FY","BEST_FPERIOD_OVERRIDE=FY","FILING_STATUS=OR","EQY_CONSOLIDATED=Y","Sort=A","Dates=H","DateFormat=P","Fill=—","Direction=H","UseDPDF=Y")</f>
        <v>#NAME?</v>
      </c>
      <c r="BP528" s="2" t="e">
        <f ca="1">_xll.BDH($C$528,"MODIFIED_WORKING_CPTL_SEQ_GRWTH","FY 2014","FY 2014","Currency=INR","Period=FY","BEST_FPERIOD_OVERRIDE=FY","FILING_STATUS=OR","EQY_CONSOLIDATED=Y","Sort=A","Dates=H","DateFormat=P","Fill=—","Direction=H","UseDPDF=Y")</f>
        <v>#NAME?</v>
      </c>
      <c r="BQ528" s="2" t="e">
        <f ca="1">_xll.BDH($C$528,"WORKING_CAPITAL_SEQ_GROWTH","FY 2014","FY 2014","Currency=INR","Period=FY","BEST_FPERIOD_OVERRIDE=FY","FILING_STATUS=OR","EQY_CONSOLIDATED=Y","Sort=A","Dates=H","DateFormat=P","Fill=—","Direction=H","UseDPDF=Y")</f>
        <v>#NAME?</v>
      </c>
      <c r="BR528" s="2" t="e">
        <f ca="1">_xll.BDH($C$528,"ACCOUNTS_PAYABLE_SEQ_GROWTH","FY 2014","FY 2014","Currency=INR","Period=FY","BEST_FPERIOD_OVERRIDE=FY","FILING_STATUS=OR","EQY_CONSOLIDATED=Y","Sort=A","Dates=H","DateFormat=P","Fill=—","Direction=H","UseDPDF=Y")</f>
        <v>#NAME?</v>
      </c>
      <c r="BS528" s="2" t="e">
        <f ca="1">_xll.BDH($C$528,"ST_DEBT_SEQUENTIAL_GROWTH","FY 2014","FY 2014","Currency=INR","Period=FY","BEST_FPERIOD_OVERRIDE=FY","FILING_STATUS=OR","EQY_CONSOLIDATED=Y","Sort=A","Dates=H","DateFormat=P","Fill=—","Direction=H","UseDPDF=Y")</f>
        <v>#NAME?</v>
      </c>
      <c r="BT528" s="2" t="e">
        <f ca="1">_xll.BDH($C$528,"TOTAL_DEBT_SEQUENTIAL_GROWTH","FY 2014","FY 2014","Currency=INR","Period=FY","BEST_FPERIOD_OVERRIDE=FY","FILING_STATUS=OR","EQY_CONSOLIDATED=Y","Sort=A","Dates=H","DateFormat=P","Fill=—","Direction=H","UseDPDF=Y")</f>
        <v>#NAME?</v>
      </c>
      <c r="BU528" s="2" t="e">
        <f ca="1">_xll.BDH($C$528,"TOTAL_EQUITY_SEQUENTIAL_GROWTH","FY 2014","FY 2014","Currency=INR","Period=FY","BEST_FPERIOD_OVERRIDE=FY","FILING_STATUS=OR","EQY_CONSOLIDATED=Y","Sort=A","Dates=H","DateFormat=P","Fill=—","Direction=H","UseDPDF=Y")</f>
        <v>#NAME?</v>
      </c>
      <c r="BV528" s="2" t="e">
        <f ca="1">_xll.BDH($C$528,"TOTAL_CAPITAL_SEQUENTIAL_GROWTH","FY 2014","FY 2014","Currency=INR","Period=FY","BEST_FPERIOD_OVERRIDE=FY","FILING_STATUS=OR","EQY_CONSOLIDATED=Y","Sort=A","Dates=H","DateFormat=P","Fill=—","Direction=H","UseDPDF=Y")</f>
        <v>#NAME?</v>
      </c>
      <c r="BW528" s="2" t="e">
        <f ca="1">_xll.BDH($C$528,"BPS_SEQUENTIAL_GROWTH","FY 2014","FY 2014","Currency=INR","Period=FY","BEST_FPERIOD_OVERRIDE=FY","FILING_STATUS=OR","EQY_CONSOLIDATED=Y","Sort=A","Dates=H","DateFormat=P","Fill=—","Direction=H","UseDPDF=Y")</f>
        <v>#NAME?</v>
      </c>
      <c r="BX528" s="2" t="e">
        <f ca="1">_xll.BDH($C$528,"CFO_SEQUENTIAL_GROWTH","FY 2014","FY 2014","Currency=INR","Period=FY","BEST_FPERIOD_OVERRIDE=FY","FILING_STATUS=OR","EQY_CONSOLIDATED=Y","Sort=A","Dates=H","DateFormat=P","Fill=—","Direction=H","UseDPDF=Y")</f>
        <v>#NAME?</v>
      </c>
      <c r="BY528" s="3" t="e">
        <f ca="1">_xll.BDH($C$528,"SHORT_AND_LONG_TERM_DEBT","FY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28" s="3" t="e">
        <f ca="1">_xll.BDH($C$528,"BS_ST_BORROW","FY 2014","FY 2014","Currency=INR","Period=FY","BEST_FPERIOD_OVERRIDE=FY","FILING_STATUS=OR","EQY_CONSOLIDATED=Y","SCALING_FORMAT=MLN","Sort=A","Dates=H","DateFormat=P","Fill=—","Direction=H","UseDPDF=Y")</f>
        <v>#NAME?</v>
      </c>
      <c r="CA528" s="3" t="e">
        <f ca="1">_xll.BDH($C$528,"BS_LT_BORROW","FY 2014","FY 2014","Currency=INR","Period=FY","BEST_FPERIOD_OVERRIDE=FY","FILING_STATUS=OR","EQY_CONSOLIDATED=Y","SCALING_FORMAT=MLN","Sort=A","Dates=H","DateFormat=P","Fill=—","Direction=H","UseDPDF=Y")</f>
        <v>#NAME?</v>
      </c>
      <c r="CB528" s="2" t="e">
        <f ca="1">_xll.BDH($C$528,"TOT_DEBT_TO_EBITDA","FY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28" s="2" t="e">
        <f ca="1">_xll.BDH($C$528,"NET_DEBT_TO_EBITDA","FY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28" s="2" t="e">
        <f ca="1">_xll.BDH($C$528,"TOTAL_DEBT_TO_EBIT","FY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28" s="2" t="e">
        <f ca="1">_xll.BDH($C$528,"NET_DEBT_TO_EBIT","FY 2014","FY 2014","Currency=INR","Period=FY","BEST_FPERIOD_OVERRIDE=FY","FILING_STATUS=OR","EQY_CONSOLIDATED=Y","FA_ADJUSTED=GAAP","Sort=A","Dates=H","DateFormat=P","Fill=—","Direction=H","UseDPDF=Y")</f>
        <v>#NAME?</v>
      </c>
      <c r="CF528" s="2" t="e">
        <f ca="1">_xll.BDH($C$528,"EBITDA_TO_INTEREST_EXPN","FY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28" s="2" t="e">
        <f ca="1">_xll.BDH($C$528,"COM_EQY_TO_TOT_ASSET","FY 2014","FY 2014","Currency=INR","Period=FY","BEST_FPERIOD_OVERRIDE=FY","FILING_STATUS=OR","EQY_CONSOLIDATED=Y","Sort=A","Dates=H","DateFormat=P","Fill=—","Direction=H","UseDPDF=Y")</f>
        <v>#NAME?</v>
      </c>
      <c r="CH528" s="2" t="e">
        <f ca="1">_xll.BDH($C$528,"LT_DEBT_TO_TOT_EQY","FY 2014","FY 2014","Currency=INR","Period=FY","BEST_FPERIOD_OVERRIDE=FY","FILING_STATUS=OR","EQY_CONSOLIDATED=Y","Sort=A","Dates=H","DateFormat=P","Fill=—","Direction=H","UseDPDF=Y")</f>
        <v>#NAME?</v>
      </c>
      <c r="CI528" s="2" t="e">
        <f ca="1">_xll.BDH($C$528,"LT_DEBT_TO_TOT_CAP","FY 2014","FY 2014","Currency=INR","Period=FY","BEST_FPERIOD_OVERRIDE=FY","FILING_STATUS=OR","EQY_CONSOLIDATED=Y","Sort=A","Dates=H","DateFormat=P","Fill=—","Direction=H","UseDPDF=Y")</f>
        <v>#NAME?</v>
      </c>
      <c r="CJ528" s="2" t="e">
        <f ca="1">_xll.BDH($C$528,"LT_DEBT_TO_TOT_ASSET","FY 2014","FY 2014","Currency=INR","Period=FY","BEST_FPERIOD_OVERRIDE=FY","FILING_STATUS=OR","EQY_CONSOLIDATED=Y","Sort=A","Dates=H","DateFormat=P","Fill=—","Direction=H","UseDPDF=Y")</f>
        <v>#NAME?</v>
      </c>
      <c r="CK528" s="2" t="e">
        <f ca="1">_xll.BDH($C$528,"TOT_DEBT_TO_TOT_EQY","FY 2014","FY 2014","Currency=INR","Period=FY","BEST_FPERIOD_OVERRIDE=FY","FILING_STATUS=OR","EQY_CONSOLIDATED=Y","Sort=A","Dates=H","DateFormat=P","Fill=—","Direction=H","UseDPDF=Y")</f>
        <v>#NAME?</v>
      </c>
      <c r="CL528" s="2" t="e">
        <f ca="1">_xll.BDH($C$528,"TOT_DEBT_TO_TOT_CAP","FY 2014","FY 2014","Currency=INR","Period=FY","BEST_FPERIOD_OVERRIDE=FY","FILING_STATUS=OR","EQY_CONSOLIDATED=Y","Sort=A","Dates=H","DateFormat=P","Fill=—","Direction=H","UseDPDF=Y")</f>
        <v>#NAME?</v>
      </c>
      <c r="CM528" s="2" t="e">
        <f ca="1">_xll.BDH($C$528,"TOT_DEBT_TO_TOT_ASSET","FY 2014","FY 2014","Currency=INR","Period=FY","BEST_FPERIOD_OVERRIDE=FY","FILING_STATUS=OR","EQY_CONSOLIDATED=Y","Sort=A","Dates=H","DateFormat=P","Fill=—","Direction=H","UseDPDF=Y")</f>
        <v>#NAME?</v>
      </c>
      <c r="CN528" s="2" t="e">
        <f ca="1">_xll.BDH($C$528,"NET_DEBT_TO_SHRHLDR_EQTY","FY 2014","FY 2014","Currency=INR","Period=FY","BEST_FPERIOD_OVERRIDE=FY","FILING_STATUS=OR","EQY_CONSOLIDATED=Y","Sort=A","Dates=H","DateFormat=P","Fill=—","Direction=H","UseDPDF=Y")</f>
        <v>#NAME?</v>
      </c>
      <c r="CO528" s="2" t="e">
        <f ca="1">_xll.BDH($C$528,"NET_DEBT_%_CAPITAL","FY 2014","FY 2014","Currency=INR","Period=FY","BEST_FPERIOD_OVERRIDE=FY","FILING_STATUS=OR","EQY_CONSOLIDATED=Y","Sort=A","Dates=H","DateFormat=P","Fill=—","Direction=H","UseDPDF=Y")</f>
        <v>#NAME?</v>
      </c>
      <c r="CP528" s="3" t="e">
        <f ca="1">_xll.BDH($C$528,"EBITDA","FY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28" s="3" t="e">
        <f ca="1">_xll.BDH($C$528,"EBITDA_AFTER_CAPEX","FY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28" s="3" t="e">
        <f ca="1">_xll.BDH($C$528,"IS_OPER_INC","FY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28" s="2" t="e">
        <f ca="1">_xll.BDH($C$528,"CASH_RATIO","FY 2014","FY 2014","Currency=INR","Period=FY","BEST_FPERIOD_OVERRIDE=FY","FILING_STATUS=OR","EQY_CONSOLIDATED=Y","Sort=A","Dates=H","DateFormat=P","Fill=—","Direction=H","UseDPDF=Y")</f>
        <v>#NAME?</v>
      </c>
      <c r="CT528" s="2" t="e">
        <f ca="1">_xll.BDH($C$528,"CUR_RATIO","FY 2014","FY 2014","Currency=INR","Period=FY","BEST_FPERIOD_OVERRIDE=FY","FILING_STATUS=OR","EQY_CONSOLIDATED=Y","Sort=A","Dates=H","DateFormat=P","Fill=—","Direction=H","UseDPDF=Y")</f>
        <v>#NAME?</v>
      </c>
      <c r="CU528" s="2" t="e">
        <f ca="1">_xll.BDH($C$528,"QUICK_RATIO","FY 2014","FY 2014","Currency=INR","Period=FY","BEST_FPERIOD_OVERRIDE=FY","FILING_STATUS=OR","EQY_CONSOLIDATED=Y","Sort=A","Dates=H","DateFormat=P","Fill=—","Direction=H","UseDPDF=Y")</f>
        <v>#NAME?</v>
      </c>
      <c r="CV528" s="2" t="e">
        <f ca="1">_xll.BDH($C$528,"ALTMAN_Z_SCORE","FY 2014","FY 2014","Currency=INR","Period=FY","BEST_FPERIOD_OVERRIDE=FY","FILING_STATUS=OR","EQY_CONSOLIDATED=Y","Sort=A","Dates=H","DateFormat=P","Fill=—","Direction=H","UseDPDF=Y")</f>
        <v>#NAME?</v>
      </c>
      <c r="CW528" s="4" t="e">
        <f ca="1">_xll.BDH($C$528,"ACCT_RCV_TURN","FY 2014","FY 2014","Currency=INR","Period=FY","BEST_FPERIOD_OVERRIDE=FY","FILING_STATUS=OR","EQY_CONSOLIDATED=Y","FA_ADJUSTED=GAAP","Sort=A","Dates=H","DateFormat=P","Fill=—","Direction=H","UseDPDF=Y")</f>
        <v>#NAME?</v>
      </c>
      <c r="CX528" s="2" t="e">
        <f ca="1">_xll.BDH($C$528,"ACCT_RCV_DAYS","FY 2014","FY 2014","Currency=INR","Period=FY","BEST_FPERIOD_OVERRIDE=FY","FILING_STATUS=OR","EQY_CONSOLIDATED=Y","FA_ADJUSTED=GAAP","Sort=A","Dates=H","DateFormat=P","Fill=—","Direction=H","UseDPDF=Y")</f>
        <v>#NAME?</v>
      </c>
      <c r="CY528" s="4" t="e">
        <f ca="1">_xll.BDH($C$528,"INVENT_TURN","FY 2014","FY 2014","Currency=INR","Period=FY","BEST_FPERIOD_OVERRIDE=FY","FILING_STATUS=OR","EQY_CONSOLIDATED=Y","FA_ADJUSTED=GAAP","Sort=A","Dates=H","DateFormat=P","Fill=—","Direction=H","UseDPDF=Y")</f>
        <v>#NAME?</v>
      </c>
      <c r="CZ528" s="2" t="e">
        <f ca="1">_xll.BDH($C$528,"INVENT_DAYS","FY 2014","FY 2014","Currency=INR","Period=FY","BEST_FPERIOD_OVERRIDE=FY","FILING_STATUS=OR","EQY_CONSOLIDATED=Y","FA_ADJUSTED=GAAP","Sort=A","Dates=H","DateFormat=P","Fill=—","Direction=H","UseDPDF=Y")</f>
        <v>#NAME?</v>
      </c>
      <c r="DA528" s="4" t="e">
        <f ca="1">_xll.BDH($C$528,"ACCOUNTS_PAYABLE_TURNOVER","FY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28" s="2" t="e">
        <f ca="1">_xll.BDH($C$528,"ACCOUNTS_PAYABLE_TURNOVER_DAYS","FY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28" s="4" t="e">
        <f ca="1">_xll.BDH($C$528,"CASH_CONVERSION_CYCLE","FY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28" s="4" t="e">
        <f ca="1">_xll.BDH($C$528,"INV_TO_CASH_DAYS","FY 2014","FY 2014","Currency=INR","Period=FY","BEST_FPERIOD_OVERRIDE=FY","FILING_STATUS=OR","EQY_CONSOLIDATED=Y","FA_ADJUSTED=GAAP","Sort=A","Dates=H","DateFormat=P","Fill=—","Direction=H","UseDPDF=Y")</f>
        <v>#NAME?</v>
      </c>
      <c r="DE528" s="5" t="e">
        <f ca="1">_xll.BDH($C$528,"BS_INVENTORIES","FY 2014","FY 2014","Currency=INR","Period=FY","BEST_FPERIOD_OVERRIDE=FY","FILING_STATUS=OR","EQY_CONSOLIDATED=Y","SCALING_FORMAT=MLN","Sort=A","Dates=H","DateFormat=P","Fill=—","Direction=H","UseDPDF=Y")</f>
        <v>#NAME?</v>
      </c>
      <c r="DF528" s="3" t="e">
        <f ca="1">_xll.BDH($C$528,"INVTRY_RAW_MATERIALS","FY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28" s="3" t="e">
        <f ca="1">_xll.BDH($C$528,"INVTRY_IN_PROGRESS","FY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28" s="3" t="e">
        <f ca="1">_xll.BDH($C$528,"INVTRY_FINISHED_GOODS","FY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28" s="3" t="e">
        <f ca="1">_xll.BDH($C$528,"BS_OTHER_INV","FY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29" spans="1:113" x14ac:dyDescent="0.3">
      <c r="A529" s="6"/>
      <c r="B529" s="6"/>
      <c r="C529" s="6"/>
      <c r="D529" s="6"/>
      <c r="E529" t="s">
        <v>78</v>
      </c>
      <c r="F529" t="e">
        <f ca="1">_xll.BDH($C$528,"RETURN_COM_EQY","FQ1 2014","FQ1 2014","Currency=INR","Period=FQ","BEST_FPERIOD_OVERRIDE=FQ","FILING_STATUS=OR","EQY_CONSOLIDATED=Y","FA_ADJUSTED=GAAP","Sort=A","Dates=H","DateFormat=P","Fill=—","Direction=H","UseDPDF=Y")</f>
        <v>#NAME?</v>
      </c>
      <c r="G529" t="e">
        <f ca="1">_xll.BDH($C$528,"RETURN_ON_ASSET","FQ1 2014","FQ1 2014","Currency=INR","Period=FQ","BEST_FPERIOD_OVERRIDE=FQ","FILING_STATUS=OR","EQY_CONSOLIDATED=Y","FA_ADJUSTED=GAAP","Sort=A","Dates=H","DateFormat=P","Fill=—","Direction=H","UseDPDF=Y")</f>
        <v>#NAME?</v>
      </c>
      <c r="H529" t="e">
        <f ca="1">_xll.BDH($C$528,"RETURN_ON_CAP","FQ1 2014","FQ1 2014","Currency=INR","Period=FQ","BEST_FPERIOD_OVERRIDE=FQ","FILING_STATUS=OR","EQY_CONSOLIDATED=Y","FA_ADJUSTED=GAAP","Sort=A","Dates=H","DateFormat=P","Fill=—","Direction=H","UseDPDF=Y")</f>
        <v>#NAME?</v>
      </c>
      <c r="I529" t="e">
        <f ca="1">_xll.BDH($C$528,"RETURN_ON_INV_CAPITAL","FQ1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29" t="e">
        <f ca="1">_xll.BDH($C$528,"EBITDA_TO_REVENUE","FQ1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29" t="e">
        <f ca="1">_xll.BDH($C$528,"OPER_MARGIN","FQ1 2014","FQ1 2014","Currency=INR","Period=FQ","BEST_FPERIOD_OVERRIDE=FQ","FILING_STATUS=OR","EQY_CONSOLIDATED=Y","FA_ADJUSTED=GAAP","Sort=A","Dates=H","DateFormat=P","Fill=—","Direction=H","UseDPDF=Y")</f>
        <v>#NAME?</v>
      </c>
      <c r="L529" t="e">
        <f ca="1">_xll.BDH($C$528,"INCREMENTAL_OPERATING_MARGIN","FQ1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29" t="e">
        <f ca="1">_xll.BDH($C$528,"PRETAX_INC_TO_NET_SALES","FQ1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29" t="e">
        <f ca="1">_xll.BDH($C$528,"INC_BEF_XO_ITEMS_TO_NET_SALES","FQ1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29" t="e">
        <f ca="1">_xll.BDH($C$528,"PROF_MARGIN","FQ1 2014","FQ1 2014","Currency=INR","Period=FQ","BEST_FPERIOD_OVERRIDE=FQ","FILING_STATUS=OR","EQY_CONSOLIDATED=Y","FA_ADJUSTED=GAAP","Sort=A","Dates=H","DateFormat=P","Fill=—","Direction=H","UseDPDF=Y")</f>
        <v>#NAME?</v>
      </c>
      <c r="P529" t="e">
        <f ca="1">_xll.BDH($C$528,"NET_INCOME_TO_COMMON_MARGIN","FQ1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29" t="e">
        <f ca="1">_xll.BDH($C$528,"EFF_TAX_RATE","FQ1 2014","FQ1 2014","Currency=INR","Period=FQ","BEST_FPERIOD_OVERRIDE=FQ","FILING_STATUS=OR","EQY_CONSOLIDATED=Y","FA_ADJUSTED=GAAP","Sort=A","Dates=H","DateFormat=P","Fill=—","Direction=H","UseDPDF=Y")</f>
        <v>#NAME?</v>
      </c>
      <c r="R529" t="e">
        <f ca="1">_xll.BDH($C$528,"DVD_PAYOUT_RATIO","FQ1 2014","FQ1 2014","Currency=INR","Period=FQ","BEST_FPERIOD_OVERRIDE=FQ","FILING_STATUS=OR","EQY_CONSOLIDATED=Y","FA_ADJUSTED=GAAP","Sort=A","Dates=H","DateFormat=P","Fill=—","Direction=H","UseDPDF=Y")</f>
        <v>#NAME?</v>
      </c>
      <c r="S529" t="e">
        <f ca="1">_xll.BDH($C$528,"SUSTAIN_GROWTH_RT","FQ1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29" s="2" t="e">
        <f ca="1">_xll.BDH($C$528,"SALES_GROWTH","FQ1 2014","FQ1 2014","Currency=INR","Period=FQ","BEST_FPERIOD_OVERRIDE=FQ","FILING_STATUS=OR","EQY_CONSOLIDATED=Y","FA_ADJUSTED=GAAP","Sort=A","Dates=H","DateFormat=P","Fill=—","Direction=H","UseDPDF=Y")</f>
        <v>#NAME?</v>
      </c>
      <c r="U529" s="2" t="e">
        <f ca="1">_xll.BDH($C$528,"EBITDA_GROWTH","FQ1 2014","FQ1 2014","Currency=INR","Period=FQ","BEST_FPERIOD_OVERRIDE=FQ","FILING_STATUS=OR","EQY_CONSOLIDATED=Y","FA_ADJUSTED=GAAP","Sort=A","Dates=H","DateFormat=P","Fill=—","Direction=H","UseDPDF=Y")</f>
        <v>#NAME?</v>
      </c>
      <c r="V529" s="2" t="e">
        <f ca="1">_xll.BDH($C$528,"OPER_INC_GROWTH","FQ1 2014","FQ1 2014","Currency=INR","Period=FQ","BEST_FPERIOD_OVERRIDE=FQ","FILING_STATUS=OR","EQY_CONSOLIDATED=Y","FA_ADJUSTED=GAAP","Sort=A","Dates=H","DateFormat=P","Fill=—","Direction=H","UseDPDF=Y")</f>
        <v>#NAME?</v>
      </c>
      <c r="W529" s="2" t="e">
        <f ca="1">_xll.BDH($C$528,"EARN_FOR_COM_GROWTH","FQ1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29" s="2" t="e">
        <f ca="1">_xll.BDH($C$528,"DILUTED_EPS_AFT_XO_ITEMS_GROWTH","FQ1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29" s="2" t="e">
        <f ca="1">_xll.BDH($C$528,"DIVIDEND_PER_SHARE_1_YEAR_GROWTH","FQ1 2014","FQ1 2014","Currency=INR","Period=FQ","BEST_FPERIOD_OVERRIDE=FQ","FILING_STATUS=OR","EQY_CONSOLIDATED=Y","Sort=A","Dates=H","DateFormat=P","Fill=—","Direction=H","UseDPDF=Y")</f>
        <v>#NAME?</v>
      </c>
      <c r="Z529" s="2" t="e">
        <f ca="1">_xll.BDH($C$528,"ACCOUNTS_RECEIVABLE_GROWTH","FQ1 2014","FQ1 2014","Currency=INR","Period=FQ","BEST_FPERIOD_OVERRIDE=FQ","FILING_STATUS=OR","EQY_CONSOLIDATED=Y","Sort=A","Dates=H","DateFormat=P","Fill=—","Direction=H","UseDPDF=Y")</f>
        <v>#NAME?</v>
      </c>
      <c r="AA529" s="2" t="e">
        <f ca="1">_xll.BDH($C$528,"INVENTORY_GROWTH","FQ1 2014","FQ1 2014","Currency=INR","Period=FQ","BEST_FPERIOD_OVERRIDE=FQ","FILING_STATUS=OR","EQY_CONSOLIDATED=Y","Sort=A","Dates=H","DateFormat=P","Fill=—","Direction=H","UseDPDF=Y")</f>
        <v>#NAME?</v>
      </c>
      <c r="AB529" s="2" t="e">
        <f ca="1">_xll.BDH($C$528,"NET_FIXED_ASSETS_1_YEAR_GROWTH","FQ1 2014","FQ1 2014","Currency=INR","Period=FQ","BEST_FPERIOD_OVERRIDE=FQ","FILING_STATUS=OR","EQY_CONSOLIDATED=Y","Sort=A","Dates=H","DateFormat=P","Fill=—","Direction=H","UseDPDF=Y")</f>
        <v>#NAME?</v>
      </c>
      <c r="AC529" s="2" t="e">
        <f ca="1">_xll.BDH($C$528,"ASSET_GROWTH","FQ1 2014","FQ1 2014","Currency=INR","Period=FQ","BEST_FPERIOD_OVERRIDE=FQ","FILING_STATUS=OR","EQY_CONSOLIDATED=Y","Sort=A","Dates=H","DateFormat=P","Fill=—","Direction=H","UseDPDF=Y")</f>
        <v>#NAME?</v>
      </c>
      <c r="AD529" s="2" t="e">
        <f ca="1">_xll.BDH($C$528,"MODIFIED_WORK_CAP_GROWTH","FQ1 2014","FQ1 2014","Currency=INR","Period=FQ","BEST_FPERIOD_OVERRIDE=FQ","FILING_STATUS=OR","EQY_CONSOLIDATED=Y","Sort=A","Dates=H","DateFormat=P","Fill=—","Direction=H","UseDPDF=Y")</f>
        <v>#NAME?</v>
      </c>
      <c r="AE529" s="2" t="e">
        <f ca="1">_xll.BDH($C$528,"WORK_CAP_GROWTH","FQ1 2014","FQ1 2014","Currency=INR","Period=FQ","BEST_FPERIOD_OVERRIDE=FQ","FILING_STATUS=OR","EQY_CONSOLIDATED=Y","Sort=A","Dates=H","DateFormat=P","Fill=—","Direction=H","UseDPDF=Y")</f>
        <v>#NAME?</v>
      </c>
      <c r="AF529" s="2" t="e">
        <f ca="1">_xll.BDH($C$528,"ACCOUNTS_PAYABLE_GROWTH_1YR","FQ1 2014","FQ1 2014","Currency=INR","Period=FQ","BEST_FPERIOD_OVERRIDE=FQ","FILING_STATUS=OR","EQY_CONSOLIDATED=Y","Sort=A","Dates=H","DateFormat=P","Fill=—","Direction=H","UseDPDF=Y")</f>
        <v>#NAME?</v>
      </c>
      <c r="AG529" s="2" t="e">
        <f ca="1">_xll.BDH($C$528,"SHORT_TERM_DEBT_1_YEAR_GROWTH","FQ1 2014","FQ1 2014","Currency=INR","Period=FQ","BEST_FPERIOD_OVERRIDE=FQ","FILING_STATUS=OR","EQY_CONSOLIDATED=Y","Sort=A","Dates=H","DateFormat=P","Fill=—","Direction=H","UseDPDF=Y")</f>
        <v>#NAME?</v>
      </c>
      <c r="AH529" s="2" t="e">
        <f ca="1">_xll.BDH($C$528,"TOTAL_DEBT_1_YEAR_GROWTH","FQ1 2014","FQ1 2014","Currency=INR","Period=FQ","BEST_FPERIOD_OVERRIDE=FQ","FILING_STATUS=OR","EQY_CONSOLIDATED=Y","Sort=A","Dates=H","DateFormat=P","Fill=—","Direction=H","UseDPDF=Y")</f>
        <v>#NAME?</v>
      </c>
      <c r="AI529" s="2" t="e">
        <f ca="1">_xll.BDH($C$528,"TOTAL_EQUITY_1_YEAR_GROWTH","FQ1 2014","FQ1 2014","Currency=INR","Period=FQ","BEST_FPERIOD_OVERRIDE=FQ","FILING_STATUS=OR","EQY_CONSOLIDATED=Y","Sort=A","Dates=H","DateFormat=P","Fill=—","Direction=H","UseDPDF=Y")</f>
        <v>#NAME?</v>
      </c>
      <c r="AJ529" s="2" t="e">
        <f ca="1">_xll.BDH($C$528,"GROWTH_IN_CAP","FQ1 2014","FQ1 2014","Currency=INR","Period=FQ","BEST_FPERIOD_OVERRIDE=FQ","FILING_STATUS=OR","EQY_CONSOLIDATED=Y","Sort=A","Dates=H","DateFormat=P","Fill=—","Direction=H","UseDPDF=Y")</f>
        <v>#NAME?</v>
      </c>
      <c r="AK529" s="2" t="e">
        <f ca="1">_xll.BDH($C$528,"BVPS_GROWTH","FQ1 2014","FQ1 2014","Currency=INR","Period=FQ","BEST_FPERIOD_OVERRIDE=FQ","FILING_STATUS=OR","EQY_CONSOLIDATED=Y","Sort=A","Dates=H","DateFormat=P","Fill=—","Direction=H","UseDPDF=Y")</f>
        <v>#NAME?</v>
      </c>
      <c r="AL529" s="2" t="e">
        <f ca="1">_xll.BDH($C$528,"CASH_FLOW_GROWTH","FQ1 2014","FQ1 2014","Currency=INR","Period=FQ","BEST_FPERIOD_OVERRIDE=FQ","FILING_STATUS=OR","EQY_CONSOLIDATED=Y","Sort=A","Dates=H","DateFormat=P","Fill=—","Direction=H","UseDPDF=Y")</f>
        <v>#NAME?</v>
      </c>
      <c r="AM529" s="2" t="e">
        <f ca="1">_xll.BDH($C$528,"GEO_GROW_NET_SALES","FQ1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29" s="2" t="e">
        <f ca="1">_xll.BDH($C$528,"GEO_GROW_EBITDA","FQ1 2014","FQ1 2014","Currency=INR","Period=FQ","BEST_FPERIOD_OVERRIDE=FQ","FILING_STATUS=OR","EQY_CONSOLIDATED=Y","FA_ADJUSTED=GAAP","Sort=A","Dates=H","DateFormat=P","Fill=—","Direction=H","UseDPDF=Y")</f>
        <v>#NAME?</v>
      </c>
      <c r="AO529" s="2" t="e">
        <f ca="1">_xll.BDH($C$528,"GEO_GROW_OPER_INC","FQ1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29" s="2" t="e">
        <f ca="1">_xll.BDH($C$528,"NET_INCOME_TO_COMMON_5_YR_GROWTH","FQ1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29" s="2" t="e">
        <f ca="1">_xll.BDH($C$528,"5Y_GEO_GROWTH_DILUTED_EPS","FQ1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29" s="2" t="e">
        <f ca="1">_xll.BDH($C$528,"GEO_GROW_DVD_PER_SH","FQ1 2014","FQ1 2014","Currency=INR","Period=FQ","BEST_FPERIOD_OVERRIDE=FQ","FILING_STATUS=OR","EQY_CONSOLIDATED=Y","Sort=A","Dates=H","DateFormat=P","Fill=—","Direction=H","UseDPDF=Y")</f>
        <v>#NAME?</v>
      </c>
      <c r="AS529" s="2" t="e">
        <f ca="1">_xll.BDH($C$528,"ACCOUNTS_RECEIVABLE_5_YR_GROWTH","FQ1 2014","FQ1 2014","Currency=INR","Period=FQ","BEST_FPERIOD_OVERRIDE=FQ","FILING_STATUS=OR","EQY_CONSOLIDATED=Y","Sort=A","Dates=H","DateFormat=P","Fill=—","Direction=H","UseDPDF=Y")</f>
        <v>#NAME?</v>
      </c>
      <c r="AT529" s="2" t="e">
        <f ca="1">_xll.BDH($C$528,"INVENTORY_5_YEAR_GROWTH","FQ1 2014","FQ1 2014","Currency=INR","Period=FQ","BEST_FPERIOD_OVERRIDE=FQ","FILING_STATUS=OR","EQY_CONSOLIDATED=Y","Sort=A","Dates=H","DateFormat=P","Fill=—","Direction=H","UseDPDF=Y")</f>
        <v>#NAME?</v>
      </c>
      <c r="AU529" s="2" t="e">
        <f ca="1">_xll.BDH($C$528,"NET_FIXED_ASSETS_5_YEAR_GROWTH","FQ1 2014","FQ1 2014","Currency=INR","Period=FQ","BEST_FPERIOD_OVERRIDE=FQ","FILING_STATUS=OR","EQY_CONSOLIDATED=Y","Sort=A","Dates=H","DateFormat=P","Fill=—","Direction=H","UseDPDF=Y")</f>
        <v>#NAME?</v>
      </c>
      <c r="AV529" s="2" t="e">
        <f ca="1">_xll.BDH($C$528,"GEO_GROW_TOT_ASSET","FQ1 2014","FQ1 2014","Currency=INR","Period=FQ","BEST_FPERIOD_OVERRIDE=FQ","FILING_STATUS=OR","EQY_CONSOLIDATED=Y","Sort=A","Dates=H","DateFormat=P","Fill=—","Direction=H","UseDPDF=Y")</f>
        <v>#NAME?</v>
      </c>
      <c r="AW529" s="2" t="e">
        <f ca="1">_xll.BDH($C$528,"MODIFIED_WORKING_CPTL_5YR_GRWTH","FQ1 2014","FQ1 2014","Currency=INR","Period=FQ","BEST_FPERIOD_OVERRIDE=FQ","FILING_STATUS=OR","EQY_CONSOLIDATED=Y","Sort=A","Dates=H","DateFormat=P","Fill=—","Direction=H","UseDPDF=Y")</f>
        <v>#NAME?</v>
      </c>
      <c r="AX529" s="2" t="e">
        <f ca="1">_xll.BDH($C$528,"WORKING_CAPITAL_5_YEAR_GROWTH","FQ1 2014","FQ1 2014","Currency=INR","Period=FQ","BEST_FPERIOD_OVERRIDE=FQ","FILING_STATUS=OR","EQY_CONSOLIDATED=Y","Sort=A","Dates=H","DateFormat=P","Fill=—","Direction=H","UseDPDF=Y")</f>
        <v>#NAME?</v>
      </c>
      <c r="AY529" s="2" t="e">
        <f ca="1">_xll.BDH($C$528,"ACCOUNTS_PAYABLE_5_YEAR_GROWTH","FQ1 2014","FQ1 2014","Currency=INR","Period=FQ","BEST_FPERIOD_OVERRIDE=FQ","FILING_STATUS=OR","EQY_CONSOLIDATED=Y","Sort=A","Dates=H","DateFormat=P","Fill=—","Direction=H","UseDPDF=Y")</f>
        <v>#NAME?</v>
      </c>
      <c r="AZ529" s="2" t="e">
        <f ca="1">_xll.BDH($C$528,"SHORT_TERM_DEBT_5_YEAR_GROWTH","FQ1 2014","FQ1 2014","Currency=INR","Period=FQ","BEST_FPERIOD_OVERRIDE=FQ","FILING_STATUS=OR","EQY_CONSOLIDATED=Y","Sort=A","Dates=H","DateFormat=P","Fill=—","Direction=H","UseDPDF=Y")</f>
        <v>#NAME?</v>
      </c>
      <c r="BA529" s="2" t="e">
        <f ca="1">_xll.BDH($C$528,"TOTAL_DEBT_5_YEAR_GROWTH","FQ1 2014","FQ1 2014","Currency=INR","Period=FQ","BEST_FPERIOD_OVERRIDE=FQ","FILING_STATUS=OR","EQY_CONSOLIDATED=Y","Sort=A","Dates=H","DateFormat=P","Fill=—","Direction=H","UseDPDF=Y")</f>
        <v>#NAME?</v>
      </c>
      <c r="BB529" s="2" t="e">
        <f ca="1">_xll.BDH($C$528,"GEO_GROW_TOT_SHRHLDR_EQY","FQ1 2014","FQ1 2014","Currency=INR","Period=FQ","BEST_FPERIOD_OVERRIDE=FQ","FILING_STATUS=OR","EQY_CONSOLIDATED=Y","Sort=A","Dates=H","DateFormat=P","Fill=—","Direction=H","UseDPDF=Y")</f>
        <v>#NAME?</v>
      </c>
      <c r="BC529" s="2" t="e">
        <f ca="1">_xll.BDH($C$528,"TOTAL_CAPITAL_5_YEAR_GROWTH","FQ1 2014","FQ1 2014","Currency=INR","Period=FQ","BEST_FPERIOD_OVERRIDE=FQ","FILING_STATUS=OR","EQY_CONSOLIDATED=Y","Sort=A","Dates=H","DateFormat=P","Fill=—","Direction=H","UseDPDF=Y")</f>
        <v>#NAME?</v>
      </c>
      <c r="BD529" s="2" t="e">
        <f ca="1">_xll.BDH($C$528,"GEO_GROW_BOOK_VAL","FQ1 2014","FQ1 2014","Currency=INR","Period=FQ","BEST_FPERIOD_OVERRIDE=FQ","FILING_STATUS=OR","EQY_CONSOLIDATED=Y","Sort=A","Dates=H","DateFormat=P","Fill=—","Direction=H","UseDPDF=Y")</f>
        <v>#NAME?</v>
      </c>
      <c r="BE529" s="2" t="e">
        <f ca="1">_xll.BDH($C$528,"GEO_GROW_CASH_OPER_ACT","FQ1 2014","FQ1 2014","Currency=INR","Period=FQ","BEST_FPERIOD_OVERRIDE=FQ","FILING_STATUS=OR","EQY_CONSOLIDATED=Y","Sort=A","Dates=H","DateFormat=P","Fill=—","Direction=H","UseDPDF=Y")</f>
        <v>#NAME?</v>
      </c>
      <c r="BF529" s="2" t="e">
        <f ca="1">_xll.BDH($C$528,"REVENUE_SEQUENTIAL_GROWTH","FQ1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29" s="2" t="e">
        <f ca="1">_xll.BDH($C$528,"EBITDA_SEQUENTIAL_GROWTH","FQ1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29" s="2" t="e">
        <f ca="1">_xll.BDH($C$528,"OPERATING_INCOME_SEQ_GROWTH","FQ1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29" s="2" t="e">
        <f ca="1">_xll.BDH($C$528,"NET_INCOME_TO_COMMON_SEQ_GROWTH","FQ1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29" s="2" t="e">
        <f ca="1">_xll.BDH($C$528,"EPS_DILUTED_SEQUENTIAL_GROWTH","FQ1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29" s="2" t="e">
        <f ca="1">_xll.BDH($C$528,"DPS_SEQUENTIAL_GROWTH","FQ1 2014","FQ1 2014","Currency=INR","Period=FQ","BEST_FPERIOD_OVERRIDE=FQ","FILING_STATUS=OR","EQY_CONSOLIDATED=Y","Sort=A","Dates=H","DateFormat=P","Fill=—","Direction=H","UseDPDF=Y")</f>
        <v>#NAME?</v>
      </c>
      <c r="BL529" s="2" t="e">
        <f ca="1">_xll.BDH($C$528,"ACCOUNTS_RECEIVABLE_SEQ_GROWTH","FQ1 2014","FQ1 2014","Currency=INR","Period=FQ","BEST_FPERIOD_OVERRIDE=FQ","FILING_STATUS=OR","EQY_CONSOLIDATED=Y","Sort=A","Dates=H","DateFormat=P","Fill=—","Direction=H","UseDPDF=Y")</f>
        <v>#NAME?</v>
      </c>
      <c r="BM529" s="2" t="e">
        <f ca="1">_xll.BDH($C$528,"INVENTORY_SEQUENTIAL_GROWTH","FQ1 2014","FQ1 2014","Currency=INR","Period=FQ","BEST_FPERIOD_OVERRIDE=FQ","FILING_STATUS=OR","EQY_CONSOLIDATED=Y","Sort=A","Dates=H","DateFormat=P","Fill=—","Direction=H","UseDPDF=Y")</f>
        <v>#NAME?</v>
      </c>
      <c r="BN529" s="2" t="e">
        <f ca="1">_xll.BDH($C$528,"FIXED_ASSETS_SEQUENTIAL_GROWTH","FQ1 2014","FQ1 2014","Currency=INR","Period=FQ","BEST_FPERIOD_OVERRIDE=FQ","FILING_STATUS=OR","EQY_CONSOLIDATED=Y","Sort=A","Dates=H","DateFormat=P","Fill=—","Direction=H","UseDPDF=Y")</f>
        <v>#NAME?</v>
      </c>
      <c r="BO529" s="2" t="e">
        <f ca="1">_xll.BDH($C$528,"TOTAL_ASSETS_SEQUENTIAL_GROWTH","FQ1 2014","FQ1 2014","Currency=INR","Period=FQ","BEST_FPERIOD_OVERRIDE=FQ","FILING_STATUS=OR","EQY_CONSOLIDATED=Y","Sort=A","Dates=H","DateFormat=P","Fill=—","Direction=H","UseDPDF=Y")</f>
        <v>#NAME?</v>
      </c>
      <c r="BP529" s="2" t="e">
        <f ca="1">_xll.BDH($C$528,"MODIFIED_WORKING_CPTL_SEQ_GRWTH","FQ1 2014","FQ1 2014","Currency=INR","Period=FQ","BEST_FPERIOD_OVERRIDE=FQ","FILING_STATUS=OR","EQY_CONSOLIDATED=Y","Sort=A","Dates=H","DateFormat=P","Fill=—","Direction=H","UseDPDF=Y")</f>
        <v>#NAME?</v>
      </c>
      <c r="BQ529" s="2" t="e">
        <f ca="1">_xll.BDH($C$528,"WORKING_CAPITAL_SEQ_GROWTH","FQ1 2014","FQ1 2014","Currency=INR","Period=FQ","BEST_FPERIOD_OVERRIDE=FQ","FILING_STATUS=OR","EQY_CONSOLIDATED=Y","Sort=A","Dates=H","DateFormat=P","Fill=—","Direction=H","UseDPDF=Y")</f>
        <v>#NAME?</v>
      </c>
      <c r="BR529" s="2" t="e">
        <f ca="1">_xll.BDH($C$528,"ACCOUNTS_PAYABLE_SEQ_GROWTH","FQ1 2014","FQ1 2014","Currency=INR","Period=FQ","BEST_FPERIOD_OVERRIDE=FQ","FILING_STATUS=OR","EQY_CONSOLIDATED=Y","Sort=A","Dates=H","DateFormat=P","Fill=—","Direction=H","UseDPDF=Y")</f>
        <v>#NAME?</v>
      </c>
      <c r="BS529" s="2" t="e">
        <f ca="1">_xll.BDH($C$528,"ST_DEBT_SEQUENTIAL_GROWTH","FQ1 2014","FQ1 2014","Currency=INR","Period=FQ","BEST_FPERIOD_OVERRIDE=FQ","FILING_STATUS=OR","EQY_CONSOLIDATED=Y","Sort=A","Dates=H","DateFormat=P","Fill=—","Direction=H","UseDPDF=Y")</f>
        <v>#NAME?</v>
      </c>
      <c r="BT529" s="2" t="e">
        <f ca="1">_xll.BDH($C$528,"TOTAL_DEBT_SEQUENTIAL_GROWTH","FQ1 2014","FQ1 2014","Currency=INR","Period=FQ","BEST_FPERIOD_OVERRIDE=FQ","FILING_STATUS=OR","EQY_CONSOLIDATED=Y","Sort=A","Dates=H","DateFormat=P","Fill=—","Direction=H","UseDPDF=Y")</f>
        <v>#NAME?</v>
      </c>
      <c r="BU529" s="2" t="e">
        <f ca="1">_xll.BDH($C$528,"TOTAL_EQUITY_SEQUENTIAL_GROWTH","FQ1 2014","FQ1 2014","Currency=INR","Period=FQ","BEST_FPERIOD_OVERRIDE=FQ","FILING_STATUS=OR","EQY_CONSOLIDATED=Y","Sort=A","Dates=H","DateFormat=P","Fill=—","Direction=H","UseDPDF=Y")</f>
        <v>#NAME?</v>
      </c>
      <c r="BV529" s="2" t="e">
        <f ca="1">_xll.BDH($C$528,"TOTAL_CAPITAL_SEQUENTIAL_GROWTH","FQ1 2014","FQ1 2014","Currency=INR","Period=FQ","BEST_FPERIOD_OVERRIDE=FQ","FILING_STATUS=OR","EQY_CONSOLIDATED=Y","Sort=A","Dates=H","DateFormat=P","Fill=—","Direction=H","UseDPDF=Y")</f>
        <v>#NAME?</v>
      </c>
      <c r="BW529" s="2" t="e">
        <f ca="1">_xll.BDH($C$528,"BPS_SEQUENTIAL_GROWTH","FQ1 2014","FQ1 2014","Currency=INR","Period=FQ","BEST_FPERIOD_OVERRIDE=FQ","FILING_STATUS=OR","EQY_CONSOLIDATED=Y","Sort=A","Dates=H","DateFormat=P","Fill=—","Direction=H","UseDPDF=Y")</f>
        <v>#NAME?</v>
      </c>
      <c r="BX529" s="2" t="e">
        <f ca="1">_xll.BDH($C$528,"CFO_SEQUENTIAL_GROWTH","FQ1 2014","FQ1 2014","Currency=INR","Period=FQ","BEST_FPERIOD_OVERRIDE=FQ","FILING_STATUS=OR","EQY_CONSOLIDATED=Y","Sort=A","Dates=H","DateFormat=P","Fill=—","Direction=H","UseDPDF=Y")</f>
        <v>#NAME?</v>
      </c>
      <c r="BY529" s="3" t="e">
        <f ca="1">_xll.BDH($C$528,"SHORT_AND_LONG_TERM_DEBT","FQ1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29" s="3" t="e">
        <f ca="1">_xll.BDH($C$528,"BS_ST_BORROW","FQ1 2014","FQ1 2014","Currency=INR","Period=FQ","BEST_FPERIOD_OVERRIDE=FQ","FILING_STATUS=OR","EQY_CONSOLIDATED=Y","SCALING_FORMAT=MLN","Sort=A","Dates=H","DateFormat=P","Fill=—","Direction=H","UseDPDF=Y")</f>
        <v>#NAME?</v>
      </c>
      <c r="CA529" s="3" t="e">
        <f ca="1">_xll.BDH($C$528,"BS_LT_BORROW","FQ1 2014","FQ1 2014","Currency=INR","Period=FQ","BEST_FPERIOD_OVERRIDE=FQ","FILING_STATUS=OR","EQY_CONSOLIDATED=Y","SCALING_FORMAT=MLN","Sort=A","Dates=H","DateFormat=P","Fill=—","Direction=H","UseDPDF=Y")</f>
        <v>#NAME?</v>
      </c>
      <c r="CB529" s="2" t="e">
        <f ca="1">_xll.BDH($C$528,"TOT_DEBT_TO_EBITDA","FQ1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29" s="2" t="e">
        <f ca="1">_xll.BDH($C$528,"NET_DEBT_TO_EBITDA","FQ1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29" s="2" t="e">
        <f ca="1">_xll.BDH($C$528,"TOTAL_DEBT_TO_EBIT","FQ1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29" s="2" t="e">
        <f ca="1">_xll.BDH($C$528,"NET_DEBT_TO_EBIT","FQ1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29" s="2" t="e">
        <f ca="1">_xll.BDH($C$528,"EBITDA_TO_INTEREST_EXPN","FQ1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29" s="2" t="e">
        <f ca="1">_xll.BDH($C$528,"COM_EQY_TO_TOT_ASSET","FQ1 2014","FQ1 2014","Currency=INR","Period=FQ","BEST_FPERIOD_OVERRIDE=FQ","FILING_STATUS=OR","EQY_CONSOLIDATED=Y","Sort=A","Dates=H","DateFormat=P","Fill=—","Direction=H","UseDPDF=Y")</f>
        <v>#NAME?</v>
      </c>
      <c r="CH529" s="2" t="e">
        <f ca="1">_xll.BDH($C$528,"LT_DEBT_TO_TOT_EQY","FQ1 2014","FQ1 2014","Currency=INR","Period=FQ","BEST_FPERIOD_OVERRIDE=FQ","FILING_STATUS=OR","EQY_CONSOLIDATED=Y","Sort=A","Dates=H","DateFormat=P","Fill=—","Direction=H","UseDPDF=Y")</f>
        <v>#NAME?</v>
      </c>
      <c r="CI529" s="2" t="e">
        <f ca="1">_xll.BDH($C$528,"LT_DEBT_TO_TOT_CAP","FQ1 2014","FQ1 2014","Currency=INR","Period=FQ","BEST_FPERIOD_OVERRIDE=FQ","FILING_STATUS=OR","EQY_CONSOLIDATED=Y","Sort=A","Dates=H","DateFormat=P","Fill=—","Direction=H","UseDPDF=Y")</f>
        <v>#NAME?</v>
      </c>
      <c r="CJ529" s="2" t="e">
        <f ca="1">_xll.BDH($C$528,"LT_DEBT_TO_TOT_ASSET","FQ1 2014","FQ1 2014","Currency=INR","Period=FQ","BEST_FPERIOD_OVERRIDE=FQ","FILING_STATUS=OR","EQY_CONSOLIDATED=Y","Sort=A","Dates=H","DateFormat=P","Fill=—","Direction=H","UseDPDF=Y")</f>
        <v>#NAME?</v>
      </c>
      <c r="CK529" s="2" t="e">
        <f ca="1">_xll.BDH($C$528,"TOT_DEBT_TO_TOT_EQY","FQ1 2014","FQ1 2014","Currency=INR","Period=FQ","BEST_FPERIOD_OVERRIDE=FQ","FILING_STATUS=OR","EQY_CONSOLIDATED=Y","Sort=A","Dates=H","DateFormat=P","Fill=—","Direction=H","UseDPDF=Y")</f>
        <v>#NAME?</v>
      </c>
      <c r="CL529" s="2" t="e">
        <f ca="1">_xll.BDH($C$528,"TOT_DEBT_TO_TOT_CAP","FQ1 2014","FQ1 2014","Currency=INR","Period=FQ","BEST_FPERIOD_OVERRIDE=FQ","FILING_STATUS=OR","EQY_CONSOLIDATED=Y","Sort=A","Dates=H","DateFormat=P","Fill=—","Direction=H","UseDPDF=Y")</f>
        <v>#NAME?</v>
      </c>
      <c r="CM529" s="2" t="e">
        <f ca="1">_xll.BDH($C$528,"TOT_DEBT_TO_TOT_ASSET","FQ1 2014","FQ1 2014","Currency=INR","Period=FQ","BEST_FPERIOD_OVERRIDE=FQ","FILING_STATUS=OR","EQY_CONSOLIDATED=Y","Sort=A","Dates=H","DateFormat=P","Fill=—","Direction=H","UseDPDF=Y")</f>
        <v>#NAME?</v>
      </c>
      <c r="CN529" s="2" t="e">
        <f ca="1">_xll.BDH($C$528,"NET_DEBT_TO_SHRHLDR_EQTY","FQ1 2014","FQ1 2014","Currency=INR","Period=FQ","BEST_FPERIOD_OVERRIDE=FQ","FILING_STATUS=OR","EQY_CONSOLIDATED=Y","Sort=A","Dates=H","DateFormat=P","Fill=—","Direction=H","UseDPDF=Y")</f>
        <v>#NAME?</v>
      </c>
      <c r="CO529" s="2" t="e">
        <f ca="1">_xll.BDH($C$528,"NET_DEBT_%_CAPITAL","FQ1 2014","FQ1 2014","Currency=INR","Period=FQ","BEST_FPERIOD_OVERRIDE=FQ","FILING_STATUS=OR","EQY_CONSOLIDATED=Y","Sort=A","Dates=H","DateFormat=P","Fill=—","Direction=H","UseDPDF=Y")</f>
        <v>#NAME?</v>
      </c>
      <c r="CP529" s="3" t="e">
        <f ca="1">_xll.BDH($C$528,"EBITDA","FQ1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29" s="3" t="e">
        <f ca="1">_xll.BDH($C$528,"EBITDA_AFTER_CAPEX","FQ1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29" s="3" t="e">
        <f ca="1">_xll.BDH($C$528,"IS_OPER_INC","FQ1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29" s="2" t="e">
        <f ca="1">_xll.BDH($C$528,"CASH_RATIO","FQ1 2014","FQ1 2014","Currency=INR","Period=FQ","BEST_FPERIOD_OVERRIDE=FQ","FILING_STATUS=OR","EQY_CONSOLIDATED=Y","Sort=A","Dates=H","DateFormat=P","Fill=—","Direction=H","UseDPDF=Y")</f>
        <v>#NAME?</v>
      </c>
      <c r="CT529" s="2" t="e">
        <f ca="1">_xll.BDH($C$528,"CUR_RATIO","FQ1 2014","FQ1 2014","Currency=INR","Period=FQ","BEST_FPERIOD_OVERRIDE=FQ","FILING_STATUS=OR","EQY_CONSOLIDATED=Y","Sort=A","Dates=H","DateFormat=P","Fill=—","Direction=H","UseDPDF=Y")</f>
        <v>#NAME?</v>
      </c>
      <c r="CU529" s="2" t="e">
        <f ca="1">_xll.BDH($C$528,"QUICK_RATIO","FQ1 2014","FQ1 2014","Currency=INR","Period=FQ","BEST_FPERIOD_OVERRIDE=FQ","FILING_STATUS=OR","EQY_CONSOLIDATED=Y","Sort=A","Dates=H","DateFormat=P","Fill=—","Direction=H","UseDPDF=Y")</f>
        <v>#NAME?</v>
      </c>
      <c r="CV529" s="2" t="e">
        <f ca="1">_xll.BDH($C$528,"ALTMAN_Z_SCORE","FQ1 2014","FQ1 2014","Currency=INR","Period=FQ","BEST_FPERIOD_OVERRIDE=FQ","FILING_STATUS=OR","EQY_CONSOLIDATED=Y","Sort=A","Dates=H","DateFormat=P","Fill=—","Direction=H","UseDPDF=Y")</f>
        <v>#NAME?</v>
      </c>
      <c r="CW529" s="4" t="e">
        <f ca="1">_xll.BDH($C$528,"ACCT_RCV_TURN","FQ1 2014","FQ1 2014","Currency=INR","Period=FQ","BEST_FPERIOD_OVERRIDE=FQ","FILING_STATUS=OR","EQY_CONSOLIDATED=Y","FA_ADJUSTED=GAAP","Sort=A","Dates=H","DateFormat=P","Fill=—","Direction=H","UseDPDF=Y")</f>
        <v>#NAME?</v>
      </c>
      <c r="CX529" s="2" t="e">
        <f ca="1">_xll.BDH($C$528,"ACCT_RCV_DAYS","FQ1 2014","FQ1 2014","Currency=INR","Period=FQ","BEST_FPERIOD_OVERRIDE=FQ","FILING_STATUS=OR","EQY_CONSOLIDATED=Y","FA_ADJUSTED=GAAP","Sort=A","Dates=H","DateFormat=P","Fill=—","Direction=H","UseDPDF=Y")</f>
        <v>#NAME?</v>
      </c>
      <c r="CY529" s="4" t="e">
        <f ca="1">_xll.BDH($C$528,"INVENT_TURN","FQ1 2014","FQ1 2014","Currency=INR","Period=FQ","BEST_FPERIOD_OVERRIDE=FQ","FILING_STATUS=OR","EQY_CONSOLIDATED=Y","FA_ADJUSTED=GAAP","Sort=A","Dates=H","DateFormat=P","Fill=—","Direction=H","UseDPDF=Y")</f>
        <v>#NAME?</v>
      </c>
      <c r="CZ529" s="2" t="e">
        <f ca="1">_xll.BDH($C$528,"INVENT_DAYS","FQ1 2014","FQ1 2014","Currency=INR","Period=FQ","BEST_FPERIOD_OVERRIDE=FQ","FILING_STATUS=OR","EQY_CONSOLIDATED=Y","FA_ADJUSTED=GAAP","Sort=A","Dates=H","DateFormat=P","Fill=—","Direction=H","UseDPDF=Y")</f>
        <v>#NAME?</v>
      </c>
      <c r="DA529" s="4" t="e">
        <f ca="1">_xll.BDH($C$528,"ACCOUNTS_PAYABLE_TURNOVER","FQ1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29" s="2" t="e">
        <f ca="1">_xll.BDH($C$528,"ACCOUNTS_PAYABLE_TURNOVER_DAYS","FQ1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29" s="4" t="e">
        <f ca="1">_xll.BDH($C$528,"CASH_CONVERSION_CYCLE","FQ1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29" s="4" t="e">
        <f ca="1">_xll.BDH($C$528,"INV_TO_CASH_DAYS","FQ1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29" s="5" t="e">
        <f ca="1">_xll.BDH($C$528,"BS_INVENTORIES","FQ1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29" s="3" t="e">
        <f ca="1">_xll.BDH($C$528,"INVTRY_RAW_MATERIALS","FQ1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29" s="3" t="e">
        <f ca="1">_xll.BDH($C$528,"INVTRY_IN_PROGRESS","FQ1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29" s="3" t="e">
        <f ca="1">_xll.BDH($C$528,"INVTRY_FINISHED_GOODS","FQ1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29" s="3" t="e">
        <f ca="1">_xll.BDH($C$528,"BS_OTHER_INV","FQ1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30" spans="1:113" x14ac:dyDescent="0.3">
      <c r="A530" s="6"/>
      <c r="B530" s="6"/>
      <c r="C530" s="6"/>
      <c r="D530" s="6"/>
      <c r="E530" t="s">
        <v>79</v>
      </c>
      <c r="F530" t="e">
        <f ca="1">_xll.BDH($C$528,"RETURN_COM_EQY","FQ2 2014","FQ2 2014","Currency=INR","Period=FQ","BEST_FPERIOD_OVERRIDE=FQ","FILING_STATUS=OR","EQY_CONSOLIDATED=Y","FA_ADJUSTED=GAAP","Sort=A","Dates=H","DateFormat=P","Fill=—","Direction=H","UseDPDF=Y")</f>
        <v>#NAME?</v>
      </c>
      <c r="G530" t="e">
        <f ca="1">_xll.BDH($C$528,"RETURN_ON_ASSET","FQ2 2014","FQ2 2014","Currency=INR","Period=FQ","BEST_FPERIOD_OVERRIDE=FQ","FILING_STATUS=OR","EQY_CONSOLIDATED=Y","FA_ADJUSTED=GAAP","Sort=A","Dates=H","DateFormat=P","Fill=—","Direction=H","UseDPDF=Y")</f>
        <v>#NAME?</v>
      </c>
      <c r="H530" t="e">
        <f ca="1">_xll.BDH($C$528,"RETURN_ON_CAP","FQ2 2014","FQ2 2014","Currency=INR","Period=FQ","BEST_FPERIOD_OVERRIDE=FQ","FILING_STATUS=OR","EQY_CONSOLIDATED=Y","FA_ADJUSTED=GAAP","Sort=A","Dates=H","DateFormat=P","Fill=—","Direction=H","UseDPDF=Y")</f>
        <v>#NAME?</v>
      </c>
      <c r="I530" t="e">
        <f ca="1">_xll.BDH($C$528,"RETURN_ON_INV_CAPITAL","FQ2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30" t="e">
        <f ca="1">_xll.BDH($C$528,"EBITDA_TO_REVENUE","FQ2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30" t="e">
        <f ca="1">_xll.BDH($C$528,"OPER_MARGIN","FQ2 2014","FQ2 2014","Currency=INR","Period=FQ","BEST_FPERIOD_OVERRIDE=FQ","FILING_STATUS=OR","EQY_CONSOLIDATED=Y","FA_ADJUSTED=GAAP","Sort=A","Dates=H","DateFormat=P","Fill=—","Direction=H","UseDPDF=Y")</f>
        <v>#NAME?</v>
      </c>
      <c r="L530" t="e">
        <f ca="1">_xll.BDH($C$528,"INCREMENTAL_OPERATING_MARGIN","FQ2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30" t="e">
        <f ca="1">_xll.BDH($C$528,"PRETAX_INC_TO_NET_SALES","FQ2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30" t="e">
        <f ca="1">_xll.BDH($C$528,"INC_BEF_XO_ITEMS_TO_NET_SALES","FQ2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30" t="e">
        <f ca="1">_xll.BDH($C$528,"PROF_MARGIN","FQ2 2014","FQ2 2014","Currency=INR","Period=FQ","BEST_FPERIOD_OVERRIDE=FQ","FILING_STATUS=OR","EQY_CONSOLIDATED=Y","FA_ADJUSTED=GAAP","Sort=A","Dates=H","DateFormat=P","Fill=—","Direction=H","UseDPDF=Y")</f>
        <v>#NAME?</v>
      </c>
      <c r="P530" t="e">
        <f ca="1">_xll.BDH($C$528,"NET_INCOME_TO_COMMON_MARGIN","FQ2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30" t="e">
        <f ca="1">_xll.BDH($C$528,"EFF_TAX_RATE","FQ2 2014","FQ2 2014","Currency=INR","Period=FQ","BEST_FPERIOD_OVERRIDE=FQ","FILING_STATUS=OR","EQY_CONSOLIDATED=Y","FA_ADJUSTED=GAAP","Sort=A","Dates=H","DateFormat=P","Fill=—","Direction=H","UseDPDF=Y")</f>
        <v>#NAME?</v>
      </c>
      <c r="R530" t="e">
        <f ca="1">_xll.BDH($C$528,"DVD_PAYOUT_RATIO","FQ2 2014","FQ2 2014","Currency=INR","Period=FQ","BEST_FPERIOD_OVERRIDE=FQ","FILING_STATUS=OR","EQY_CONSOLIDATED=Y","FA_ADJUSTED=GAAP","Sort=A","Dates=H","DateFormat=P","Fill=—","Direction=H","UseDPDF=Y")</f>
        <v>#NAME?</v>
      </c>
      <c r="S530" t="e">
        <f ca="1">_xll.BDH($C$528,"SUSTAIN_GROWTH_RT","FQ2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30" s="2" t="e">
        <f ca="1">_xll.BDH($C$528,"SALES_GROWTH","FQ2 2014","FQ2 2014","Currency=INR","Period=FQ","BEST_FPERIOD_OVERRIDE=FQ","FILING_STATUS=OR","EQY_CONSOLIDATED=Y","FA_ADJUSTED=GAAP","Sort=A","Dates=H","DateFormat=P","Fill=—","Direction=H","UseDPDF=Y")</f>
        <v>#NAME?</v>
      </c>
      <c r="U530" s="2" t="e">
        <f ca="1">_xll.BDH($C$528,"EBITDA_GROWTH","FQ2 2014","FQ2 2014","Currency=INR","Period=FQ","BEST_FPERIOD_OVERRIDE=FQ","FILING_STATUS=OR","EQY_CONSOLIDATED=Y","FA_ADJUSTED=GAAP","Sort=A","Dates=H","DateFormat=P","Fill=—","Direction=H","UseDPDF=Y")</f>
        <v>#NAME?</v>
      </c>
      <c r="V530" s="2" t="e">
        <f ca="1">_xll.BDH($C$528,"OPER_INC_GROWTH","FQ2 2014","FQ2 2014","Currency=INR","Period=FQ","BEST_FPERIOD_OVERRIDE=FQ","FILING_STATUS=OR","EQY_CONSOLIDATED=Y","FA_ADJUSTED=GAAP","Sort=A","Dates=H","DateFormat=P","Fill=—","Direction=H","UseDPDF=Y")</f>
        <v>#NAME?</v>
      </c>
      <c r="W530" s="2" t="e">
        <f ca="1">_xll.BDH($C$528,"EARN_FOR_COM_GROWTH","FQ2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30" s="2" t="e">
        <f ca="1">_xll.BDH($C$528,"DILUTED_EPS_AFT_XO_ITEMS_GROWTH","FQ2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30" s="2" t="e">
        <f ca="1">_xll.BDH($C$528,"DIVIDEND_PER_SHARE_1_YEAR_GROWTH","FQ2 2014","FQ2 2014","Currency=INR","Period=FQ","BEST_FPERIOD_OVERRIDE=FQ","FILING_STATUS=OR","EQY_CONSOLIDATED=Y","Sort=A","Dates=H","DateFormat=P","Fill=—","Direction=H","UseDPDF=Y")</f>
        <v>#NAME?</v>
      </c>
      <c r="Z530" s="2" t="e">
        <f ca="1">_xll.BDH($C$528,"ACCOUNTS_RECEIVABLE_GROWTH","FQ2 2014","FQ2 2014","Currency=INR","Period=FQ","BEST_FPERIOD_OVERRIDE=FQ","FILING_STATUS=OR","EQY_CONSOLIDATED=Y","Sort=A","Dates=H","DateFormat=P","Fill=—","Direction=H","UseDPDF=Y")</f>
        <v>#NAME?</v>
      </c>
      <c r="AA530" s="2" t="e">
        <f ca="1">_xll.BDH($C$528,"INVENTORY_GROWTH","FQ2 2014","FQ2 2014","Currency=INR","Period=FQ","BEST_FPERIOD_OVERRIDE=FQ","FILING_STATUS=OR","EQY_CONSOLIDATED=Y","Sort=A","Dates=H","DateFormat=P","Fill=—","Direction=H","UseDPDF=Y")</f>
        <v>#NAME?</v>
      </c>
      <c r="AB530" s="2" t="e">
        <f ca="1">_xll.BDH($C$528,"NET_FIXED_ASSETS_1_YEAR_GROWTH","FQ2 2014","FQ2 2014","Currency=INR","Period=FQ","BEST_FPERIOD_OVERRIDE=FQ","FILING_STATUS=OR","EQY_CONSOLIDATED=Y","Sort=A","Dates=H","DateFormat=P","Fill=—","Direction=H","UseDPDF=Y")</f>
        <v>#NAME?</v>
      </c>
      <c r="AC530" s="2" t="e">
        <f ca="1">_xll.BDH($C$528,"ASSET_GROWTH","FQ2 2014","FQ2 2014","Currency=INR","Period=FQ","BEST_FPERIOD_OVERRIDE=FQ","FILING_STATUS=OR","EQY_CONSOLIDATED=Y","Sort=A","Dates=H","DateFormat=P","Fill=—","Direction=H","UseDPDF=Y")</f>
        <v>#NAME?</v>
      </c>
      <c r="AD530" s="2" t="e">
        <f ca="1">_xll.BDH($C$528,"MODIFIED_WORK_CAP_GROWTH","FQ2 2014","FQ2 2014","Currency=INR","Period=FQ","BEST_FPERIOD_OVERRIDE=FQ","FILING_STATUS=OR","EQY_CONSOLIDATED=Y","Sort=A","Dates=H","DateFormat=P","Fill=—","Direction=H","UseDPDF=Y")</f>
        <v>#NAME?</v>
      </c>
      <c r="AE530" s="2" t="e">
        <f ca="1">_xll.BDH($C$528,"WORK_CAP_GROWTH","FQ2 2014","FQ2 2014","Currency=INR","Period=FQ","BEST_FPERIOD_OVERRIDE=FQ","FILING_STATUS=OR","EQY_CONSOLIDATED=Y","Sort=A","Dates=H","DateFormat=P","Fill=—","Direction=H","UseDPDF=Y")</f>
        <v>#NAME?</v>
      </c>
      <c r="AF530" s="2" t="e">
        <f ca="1">_xll.BDH($C$528,"ACCOUNTS_PAYABLE_GROWTH_1YR","FQ2 2014","FQ2 2014","Currency=INR","Period=FQ","BEST_FPERIOD_OVERRIDE=FQ","FILING_STATUS=OR","EQY_CONSOLIDATED=Y","Sort=A","Dates=H","DateFormat=P","Fill=—","Direction=H","UseDPDF=Y")</f>
        <v>#NAME?</v>
      </c>
      <c r="AG530" s="2" t="e">
        <f ca="1">_xll.BDH($C$528,"SHORT_TERM_DEBT_1_YEAR_GROWTH","FQ2 2014","FQ2 2014","Currency=INR","Period=FQ","BEST_FPERIOD_OVERRIDE=FQ","FILING_STATUS=OR","EQY_CONSOLIDATED=Y","Sort=A","Dates=H","DateFormat=P","Fill=—","Direction=H","UseDPDF=Y")</f>
        <v>#NAME?</v>
      </c>
      <c r="AH530" s="2" t="e">
        <f ca="1">_xll.BDH($C$528,"TOTAL_DEBT_1_YEAR_GROWTH","FQ2 2014","FQ2 2014","Currency=INR","Period=FQ","BEST_FPERIOD_OVERRIDE=FQ","FILING_STATUS=OR","EQY_CONSOLIDATED=Y","Sort=A","Dates=H","DateFormat=P","Fill=—","Direction=H","UseDPDF=Y")</f>
        <v>#NAME?</v>
      </c>
      <c r="AI530" s="2" t="e">
        <f ca="1">_xll.BDH($C$528,"TOTAL_EQUITY_1_YEAR_GROWTH","FQ2 2014","FQ2 2014","Currency=INR","Period=FQ","BEST_FPERIOD_OVERRIDE=FQ","FILING_STATUS=OR","EQY_CONSOLIDATED=Y","Sort=A","Dates=H","DateFormat=P","Fill=—","Direction=H","UseDPDF=Y")</f>
        <v>#NAME?</v>
      </c>
      <c r="AJ530" s="2" t="e">
        <f ca="1">_xll.BDH($C$528,"GROWTH_IN_CAP","FQ2 2014","FQ2 2014","Currency=INR","Period=FQ","BEST_FPERIOD_OVERRIDE=FQ","FILING_STATUS=OR","EQY_CONSOLIDATED=Y","Sort=A","Dates=H","DateFormat=P","Fill=—","Direction=H","UseDPDF=Y")</f>
        <v>#NAME?</v>
      </c>
      <c r="AK530" s="2" t="e">
        <f ca="1">_xll.BDH($C$528,"BVPS_GROWTH","FQ2 2014","FQ2 2014","Currency=INR","Period=FQ","BEST_FPERIOD_OVERRIDE=FQ","FILING_STATUS=OR","EQY_CONSOLIDATED=Y","Sort=A","Dates=H","DateFormat=P","Fill=—","Direction=H","UseDPDF=Y")</f>
        <v>#NAME?</v>
      </c>
      <c r="AL530" s="2" t="e">
        <f ca="1">_xll.BDH($C$528,"CASH_FLOW_GROWTH","FQ2 2014","FQ2 2014","Currency=INR","Period=FQ","BEST_FPERIOD_OVERRIDE=FQ","FILING_STATUS=OR","EQY_CONSOLIDATED=Y","Sort=A","Dates=H","DateFormat=P","Fill=—","Direction=H","UseDPDF=Y")</f>
        <v>#NAME?</v>
      </c>
      <c r="AM530" s="2" t="e">
        <f ca="1">_xll.BDH($C$528,"GEO_GROW_NET_SALES","FQ2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30" s="2" t="e">
        <f ca="1">_xll.BDH($C$528,"GEO_GROW_EBITDA","FQ2 2014","FQ2 2014","Currency=INR","Period=FQ","BEST_FPERIOD_OVERRIDE=FQ","FILING_STATUS=OR","EQY_CONSOLIDATED=Y","FA_ADJUSTED=GAAP","Sort=A","Dates=H","DateFormat=P","Fill=—","Direction=H","UseDPDF=Y")</f>
        <v>#NAME?</v>
      </c>
      <c r="AO530" s="2" t="e">
        <f ca="1">_xll.BDH($C$528,"GEO_GROW_OPER_INC","FQ2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30" s="2" t="e">
        <f ca="1">_xll.BDH($C$528,"NET_INCOME_TO_COMMON_5_YR_GROWTH","FQ2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30" s="2" t="e">
        <f ca="1">_xll.BDH($C$528,"5Y_GEO_GROWTH_DILUTED_EPS","FQ2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30" s="2" t="e">
        <f ca="1">_xll.BDH($C$528,"GEO_GROW_DVD_PER_SH","FQ2 2014","FQ2 2014","Currency=INR","Period=FQ","BEST_FPERIOD_OVERRIDE=FQ","FILING_STATUS=OR","EQY_CONSOLIDATED=Y","Sort=A","Dates=H","DateFormat=P","Fill=—","Direction=H","UseDPDF=Y")</f>
        <v>#NAME?</v>
      </c>
      <c r="AS530" s="2" t="e">
        <f ca="1">_xll.BDH($C$528,"ACCOUNTS_RECEIVABLE_5_YR_GROWTH","FQ2 2014","FQ2 2014","Currency=INR","Period=FQ","BEST_FPERIOD_OVERRIDE=FQ","FILING_STATUS=OR","EQY_CONSOLIDATED=Y","Sort=A","Dates=H","DateFormat=P","Fill=—","Direction=H","UseDPDF=Y")</f>
        <v>#NAME?</v>
      </c>
      <c r="AT530" s="2" t="e">
        <f ca="1">_xll.BDH($C$528,"INVENTORY_5_YEAR_GROWTH","FQ2 2014","FQ2 2014","Currency=INR","Period=FQ","BEST_FPERIOD_OVERRIDE=FQ","FILING_STATUS=OR","EQY_CONSOLIDATED=Y","Sort=A","Dates=H","DateFormat=P","Fill=—","Direction=H","UseDPDF=Y")</f>
        <v>#NAME?</v>
      </c>
      <c r="AU530" s="2" t="e">
        <f ca="1">_xll.BDH($C$528,"NET_FIXED_ASSETS_5_YEAR_GROWTH","FQ2 2014","FQ2 2014","Currency=INR","Period=FQ","BEST_FPERIOD_OVERRIDE=FQ","FILING_STATUS=OR","EQY_CONSOLIDATED=Y","Sort=A","Dates=H","DateFormat=P","Fill=—","Direction=H","UseDPDF=Y")</f>
        <v>#NAME?</v>
      </c>
      <c r="AV530" s="2" t="e">
        <f ca="1">_xll.BDH($C$528,"GEO_GROW_TOT_ASSET","FQ2 2014","FQ2 2014","Currency=INR","Period=FQ","BEST_FPERIOD_OVERRIDE=FQ","FILING_STATUS=OR","EQY_CONSOLIDATED=Y","Sort=A","Dates=H","DateFormat=P","Fill=—","Direction=H","UseDPDF=Y")</f>
        <v>#NAME?</v>
      </c>
      <c r="AW530" s="2" t="e">
        <f ca="1">_xll.BDH($C$528,"MODIFIED_WORKING_CPTL_5YR_GRWTH","FQ2 2014","FQ2 2014","Currency=INR","Period=FQ","BEST_FPERIOD_OVERRIDE=FQ","FILING_STATUS=OR","EQY_CONSOLIDATED=Y","Sort=A","Dates=H","DateFormat=P","Fill=—","Direction=H","UseDPDF=Y")</f>
        <v>#NAME?</v>
      </c>
      <c r="AX530" s="2" t="e">
        <f ca="1">_xll.BDH($C$528,"WORKING_CAPITAL_5_YEAR_GROWTH","FQ2 2014","FQ2 2014","Currency=INR","Period=FQ","BEST_FPERIOD_OVERRIDE=FQ","FILING_STATUS=OR","EQY_CONSOLIDATED=Y","Sort=A","Dates=H","DateFormat=P","Fill=—","Direction=H","UseDPDF=Y")</f>
        <v>#NAME?</v>
      </c>
      <c r="AY530" s="2" t="e">
        <f ca="1">_xll.BDH($C$528,"ACCOUNTS_PAYABLE_5_YEAR_GROWTH","FQ2 2014","FQ2 2014","Currency=INR","Period=FQ","BEST_FPERIOD_OVERRIDE=FQ","FILING_STATUS=OR","EQY_CONSOLIDATED=Y","Sort=A","Dates=H","DateFormat=P","Fill=—","Direction=H","UseDPDF=Y")</f>
        <v>#NAME?</v>
      </c>
      <c r="AZ530" s="2" t="e">
        <f ca="1">_xll.BDH($C$528,"SHORT_TERM_DEBT_5_YEAR_GROWTH","FQ2 2014","FQ2 2014","Currency=INR","Period=FQ","BEST_FPERIOD_OVERRIDE=FQ","FILING_STATUS=OR","EQY_CONSOLIDATED=Y","Sort=A","Dates=H","DateFormat=P","Fill=—","Direction=H","UseDPDF=Y")</f>
        <v>#NAME?</v>
      </c>
      <c r="BA530" s="2" t="e">
        <f ca="1">_xll.BDH($C$528,"TOTAL_DEBT_5_YEAR_GROWTH","FQ2 2014","FQ2 2014","Currency=INR","Period=FQ","BEST_FPERIOD_OVERRIDE=FQ","FILING_STATUS=OR","EQY_CONSOLIDATED=Y","Sort=A","Dates=H","DateFormat=P","Fill=—","Direction=H","UseDPDF=Y")</f>
        <v>#NAME?</v>
      </c>
      <c r="BB530" s="2" t="e">
        <f ca="1">_xll.BDH($C$528,"GEO_GROW_TOT_SHRHLDR_EQY","FQ2 2014","FQ2 2014","Currency=INR","Period=FQ","BEST_FPERIOD_OVERRIDE=FQ","FILING_STATUS=OR","EQY_CONSOLIDATED=Y","Sort=A","Dates=H","DateFormat=P","Fill=—","Direction=H","UseDPDF=Y")</f>
        <v>#NAME?</v>
      </c>
      <c r="BC530" s="2" t="e">
        <f ca="1">_xll.BDH($C$528,"TOTAL_CAPITAL_5_YEAR_GROWTH","FQ2 2014","FQ2 2014","Currency=INR","Period=FQ","BEST_FPERIOD_OVERRIDE=FQ","FILING_STATUS=OR","EQY_CONSOLIDATED=Y","Sort=A","Dates=H","DateFormat=P","Fill=—","Direction=H","UseDPDF=Y")</f>
        <v>#NAME?</v>
      </c>
      <c r="BD530" s="2" t="e">
        <f ca="1">_xll.BDH($C$528,"GEO_GROW_BOOK_VAL","FQ2 2014","FQ2 2014","Currency=INR","Period=FQ","BEST_FPERIOD_OVERRIDE=FQ","FILING_STATUS=OR","EQY_CONSOLIDATED=Y","Sort=A","Dates=H","DateFormat=P","Fill=—","Direction=H","UseDPDF=Y")</f>
        <v>#NAME?</v>
      </c>
      <c r="BE530" s="2" t="e">
        <f ca="1">_xll.BDH($C$528,"GEO_GROW_CASH_OPER_ACT","FQ2 2014","FQ2 2014","Currency=INR","Period=FQ","BEST_FPERIOD_OVERRIDE=FQ","FILING_STATUS=OR","EQY_CONSOLIDATED=Y","Sort=A","Dates=H","DateFormat=P","Fill=—","Direction=H","UseDPDF=Y")</f>
        <v>#NAME?</v>
      </c>
      <c r="BF530" s="2" t="e">
        <f ca="1">_xll.BDH($C$528,"REVENUE_SEQUENTIAL_GROWTH","FQ2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30" s="2" t="e">
        <f ca="1">_xll.BDH($C$528,"EBITDA_SEQUENTIAL_GROWTH","FQ2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30" s="2" t="e">
        <f ca="1">_xll.BDH($C$528,"OPERATING_INCOME_SEQ_GROWTH","FQ2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30" s="2" t="e">
        <f ca="1">_xll.BDH($C$528,"NET_INCOME_TO_COMMON_SEQ_GROWTH","FQ2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30" s="2" t="e">
        <f ca="1">_xll.BDH($C$528,"EPS_DILUTED_SEQUENTIAL_GROWTH","FQ2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30" s="2" t="e">
        <f ca="1">_xll.BDH($C$528,"DPS_SEQUENTIAL_GROWTH","FQ2 2014","FQ2 2014","Currency=INR","Period=FQ","BEST_FPERIOD_OVERRIDE=FQ","FILING_STATUS=OR","EQY_CONSOLIDATED=Y","Sort=A","Dates=H","DateFormat=P","Fill=—","Direction=H","UseDPDF=Y")</f>
        <v>#NAME?</v>
      </c>
      <c r="BL530" s="2" t="e">
        <f ca="1">_xll.BDH($C$528,"ACCOUNTS_RECEIVABLE_SEQ_GROWTH","FQ2 2014","FQ2 2014","Currency=INR","Period=FQ","BEST_FPERIOD_OVERRIDE=FQ","FILING_STATUS=OR","EQY_CONSOLIDATED=Y","Sort=A","Dates=H","DateFormat=P","Fill=—","Direction=H","UseDPDF=Y")</f>
        <v>#NAME?</v>
      </c>
      <c r="BM530" s="2" t="e">
        <f ca="1">_xll.BDH($C$528,"INVENTORY_SEQUENTIAL_GROWTH","FQ2 2014","FQ2 2014","Currency=INR","Period=FQ","BEST_FPERIOD_OVERRIDE=FQ","FILING_STATUS=OR","EQY_CONSOLIDATED=Y","Sort=A","Dates=H","DateFormat=P","Fill=—","Direction=H","UseDPDF=Y")</f>
        <v>#NAME?</v>
      </c>
      <c r="BN530" s="2" t="e">
        <f ca="1">_xll.BDH($C$528,"FIXED_ASSETS_SEQUENTIAL_GROWTH","FQ2 2014","FQ2 2014","Currency=INR","Period=FQ","BEST_FPERIOD_OVERRIDE=FQ","FILING_STATUS=OR","EQY_CONSOLIDATED=Y","Sort=A","Dates=H","DateFormat=P","Fill=—","Direction=H","UseDPDF=Y")</f>
        <v>#NAME?</v>
      </c>
      <c r="BO530" s="2" t="e">
        <f ca="1">_xll.BDH($C$528,"TOTAL_ASSETS_SEQUENTIAL_GROWTH","FQ2 2014","FQ2 2014","Currency=INR","Period=FQ","BEST_FPERIOD_OVERRIDE=FQ","FILING_STATUS=OR","EQY_CONSOLIDATED=Y","Sort=A","Dates=H","DateFormat=P","Fill=—","Direction=H","UseDPDF=Y")</f>
        <v>#NAME?</v>
      </c>
      <c r="BP530" s="2" t="e">
        <f ca="1">_xll.BDH($C$528,"MODIFIED_WORKING_CPTL_SEQ_GRWTH","FQ2 2014","FQ2 2014","Currency=INR","Period=FQ","BEST_FPERIOD_OVERRIDE=FQ","FILING_STATUS=OR","EQY_CONSOLIDATED=Y","Sort=A","Dates=H","DateFormat=P","Fill=—","Direction=H","UseDPDF=Y")</f>
        <v>#NAME?</v>
      </c>
      <c r="BQ530" s="2" t="e">
        <f ca="1">_xll.BDH($C$528,"WORKING_CAPITAL_SEQ_GROWTH","FQ2 2014","FQ2 2014","Currency=INR","Period=FQ","BEST_FPERIOD_OVERRIDE=FQ","FILING_STATUS=OR","EQY_CONSOLIDATED=Y","Sort=A","Dates=H","DateFormat=P","Fill=—","Direction=H","UseDPDF=Y")</f>
        <v>#NAME?</v>
      </c>
      <c r="BR530" s="2" t="e">
        <f ca="1">_xll.BDH($C$528,"ACCOUNTS_PAYABLE_SEQ_GROWTH","FQ2 2014","FQ2 2014","Currency=INR","Period=FQ","BEST_FPERIOD_OVERRIDE=FQ","FILING_STATUS=OR","EQY_CONSOLIDATED=Y","Sort=A","Dates=H","DateFormat=P","Fill=—","Direction=H","UseDPDF=Y")</f>
        <v>#NAME?</v>
      </c>
      <c r="BS530" s="2" t="e">
        <f ca="1">_xll.BDH($C$528,"ST_DEBT_SEQUENTIAL_GROWTH","FQ2 2014","FQ2 2014","Currency=INR","Period=FQ","BEST_FPERIOD_OVERRIDE=FQ","FILING_STATUS=OR","EQY_CONSOLIDATED=Y","Sort=A","Dates=H","DateFormat=P","Fill=—","Direction=H","UseDPDF=Y")</f>
        <v>#NAME?</v>
      </c>
      <c r="BT530" s="2" t="e">
        <f ca="1">_xll.BDH($C$528,"TOTAL_DEBT_SEQUENTIAL_GROWTH","FQ2 2014","FQ2 2014","Currency=INR","Period=FQ","BEST_FPERIOD_OVERRIDE=FQ","FILING_STATUS=OR","EQY_CONSOLIDATED=Y","Sort=A","Dates=H","DateFormat=P","Fill=—","Direction=H","UseDPDF=Y")</f>
        <v>#NAME?</v>
      </c>
      <c r="BU530" s="2" t="e">
        <f ca="1">_xll.BDH($C$528,"TOTAL_EQUITY_SEQUENTIAL_GROWTH","FQ2 2014","FQ2 2014","Currency=INR","Period=FQ","BEST_FPERIOD_OVERRIDE=FQ","FILING_STATUS=OR","EQY_CONSOLIDATED=Y","Sort=A","Dates=H","DateFormat=P","Fill=—","Direction=H","UseDPDF=Y")</f>
        <v>#NAME?</v>
      </c>
      <c r="BV530" s="2" t="e">
        <f ca="1">_xll.BDH($C$528,"TOTAL_CAPITAL_SEQUENTIAL_GROWTH","FQ2 2014","FQ2 2014","Currency=INR","Period=FQ","BEST_FPERIOD_OVERRIDE=FQ","FILING_STATUS=OR","EQY_CONSOLIDATED=Y","Sort=A","Dates=H","DateFormat=P","Fill=—","Direction=H","UseDPDF=Y")</f>
        <v>#NAME?</v>
      </c>
      <c r="BW530" s="2" t="e">
        <f ca="1">_xll.BDH($C$528,"BPS_SEQUENTIAL_GROWTH","FQ2 2014","FQ2 2014","Currency=INR","Period=FQ","BEST_FPERIOD_OVERRIDE=FQ","FILING_STATUS=OR","EQY_CONSOLIDATED=Y","Sort=A","Dates=H","DateFormat=P","Fill=—","Direction=H","UseDPDF=Y")</f>
        <v>#NAME?</v>
      </c>
      <c r="BX530" s="2" t="e">
        <f ca="1">_xll.BDH($C$528,"CFO_SEQUENTIAL_GROWTH","FQ2 2014","FQ2 2014","Currency=INR","Period=FQ","BEST_FPERIOD_OVERRIDE=FQ","FILING_STATUS=OR","EQY_CONSOLIDATED=Y","Sort=A","Dates=H","DateFormat=P","Fill=—","Direction=H","UseDPDF=Y")</f>
        <v>#NAME?</v>
      </c>
      <c r="BY530" s="3" t="e">
        <f ca="1">_xll.BDH($C$528,"SHORT_AND_LONG_TERM_DEBT","FQ2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30" s="3" t="e">
        <f ca="1">_xll.BDH($C$528,"BS_ST_BORROW","FQ2 2014","FQ2 2014","Currency=INR","Period=FQ","BEST_FPERIOD_OVERRIDE=FQ","FILING_STATUS=OR","EQY_CONSOLIDATED=Y","SCALING_FORMAT=MLN","Sort=A","Dates=H","DateFormat=P","Fill=—","Direction=H","UseDPDF=Y")</f>
        <v>#NAME?</v>
      </c>
      <c r="CA530" s="3" t="e">
        <f ca="1">_xll.BDH($C$528,"BS_LT_BORROW","FQ2 2014","FQ2 2014","Currency=INR","Period=FQ","BEST_FPERIOD_OVERRIDE=FQ","FILING_STATUS=OR","EQY_CONSOLIDATED=Y","SCALING_FORMAT=MLN","Sort=A","Dates=H","DateFormat=P","Fill=—","Direction=H","UseDPDF=Y")</f>
        <v>#NAME?</v>
      </c>
      <c r="CB530" s="2" t="e">
        <f ca="1">_xll.BDH($C$528,"TOT_DEBT_TO_EBITDA","FQ2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30" s="2" t="e">
        <f ca="1">_xll.BDH($C$528,"NET_DEBT_TO_EBITDA","FQ2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30" s="2" t="e">
        <f ca="1">_xll.BDH($C$528,"TOTAL_DEBT_TO_EBIT","FQ2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30" s="2" t="e">
        <f ca="1">_xll.BDH($C$528,"NET_DEBT_TO_EBIT","FQ2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30" s="2" t="e">
        <f ca="1">_xll.BDH($C$528,"EBITDA_TO_INTEREST_EXPN","FQ2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30" s="2" t="e">
        <f ca="1">_xll.BDH($C$528,"COM_EQY_TO_TOT_ASSET","FQ2 2014","FQ2 2014","Currency=INR","Period=FQ","BEST_FPERIOD_OVERRIDE=FQ","FILING_STATUS=OR","EQY_CONSOLIDATED=Y","Sort=A","Dates=H","DateFormat=P","Fill=—","Direction=H","UseDPDF=Y")</f>
        <v>#NAME?</v>
      </c>
      <c r="CH530" s="2" t="e">
        <f ca="1">_xll.BDH($C$528,"LT_DEBT_TO_TOT_EQY","FQ2 2014","FQ2 2014","Currency=INR","Period=FQ","BEST_FPERIOD_OVERRIDE=FQ","FILING_STATUS=OR","EQY_CONSOLIDATED=Y","Sort=A","Dates=H","DateFormat=P","Fill=—","Direction=H","UseDPDF=Y")</f>
        <v>#NAME?</v>
      </c>
      <c r="CI530" s="2" t="e">
        <f ca="1">_xll.BDH($C$528,"LT_DEBT_TO_TOT_CAP","FQ2 2014","FQ2 2014","Currency=INR","Period=FQ","BEST_FPERIOD_OVERRIDE=FQ","FILING_STATUS=OR","EQY_CONSOLIDATED=Y","Sort=A","Dates=H","DateFormat=P","Fill=—","Direction=H","UseDPDF=Y")</f>
        <v>#NAME?</v>
      </c>
      <c r="CJ530" s="2" t="e">
        <f ca="1">_xll.BDH($C$528,"LT_DEBT_TO_TOT_ASSET","FQ2 2014","FQ2 2014","Currency=INR","Period=FQ","BEST_FPERIOD_OVERRIDE=FQ","FILING_STATUS=OR","EQY_CONSOLIDATED=Y","Sort=A","Dates=H","DateFormat=P","Fill=—","Direction=H","UseDPDF=Y")</f>
        <v>#NAME?</v>
      </c>
      <c r="CK530" s="2" t="e">
        <f ca="1">_xll.BDH($C$528,"TOT_DEBT_TO_TOT_EQY","FQ2 2014","FQ2 2014","Currency=INR","Period=FQ","BEST_FPERIOD_OVERRIDE=FQ","FILING_STATUS=OR","EQY_CONSOLIDATED=Y","Sort=A","Dates=H","DateFormat=P","Fill=—","Direction=H","UseDPDF=Y")</f>
        <v>#NAME?</v>
      </c>
      <c r="CL530" s="2" t="e">
        <f ca="1">_xll.BDH($C$528,"TOT_DEBT_TO_TOT_CAP","FQ2 2014","FQ2 2014","Currency=INR","Period=FQ","BEST_FPERIOD_OVERRIDE=FQ","FILING_STATUS=OR","EQY_CONSOLIDATED=Y","Sort=A","Dates=H","DateFormat=P","Fill=—","Direction=H","UseDPDF=Y")</f>
        <v>#NAME?</v>
      </c>
      <c r="CM530" s="2" t="e">
        <f ca="1">_xll.BDH($C$528,"TOT_DEBT_TO_TOT_ASSET","FQ2 2014","FQ2 2014","Currency=INR","Period=FQ","BEST_FPERIOD_OVERRIDE=FQ","FILING_STATUS=OR","EQY_CONSOLIDATED=Y","Sort=A","Dates=H","DateFormat=P","Fill=—","Direction=H","UseDPDF=Y")</f>
        <v>#NAME?</v>
      </c>
      <c r="CN530" s="2" t="e">
        <f ca="1">_xll.BDH($C$528,"NET_DEBT_TO_SHRHLDR_EQTY","FQ2 2014","FQ2 2014","Currency=INR","Period=FQ","BEST_FPERIOD_OVERRIDE=FQ","FILING_STATUS=OR","EQY_CONSOLIDATED=Y","Sort=A","Dates=H","DateFormat=P","Fill=—","Direction=H","UseDPDF=Y")</f>
        <v>#NAME?</v>
      </c>
      <c r="CO530" s="2" t="e">
        <f ca="1">_xll.BDH($C$528,"NET_DEBT_%_CAPITAL","FQ2 2014","FQ2 2014","Currency=INR","Period=FQ","BEST_FPERIOD_OVERRIDE=FQ","FILING_STATUS=OR","EQY_CONSOLIDATED=Y","Sort=A","Dates=H","DateFormat=P","Fill=—","Direction=H","UseDPDF=Y")</f>
        <v>#NAME?</v>
      </c>
      <c r="CP530" s="3" t="e">
        <f ca="1">_xll.BDH($C$528,"EBITDA","FQ2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30" s="3" t="e">
        <f ca="1">_xll.BDH($C$528,"EBITDA_AFTER_CAPEX","FQ2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30" s="3" t="e">
        <f ca="1">_xll.BDH($C$528,"IS_OPER_INC","FQ2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30" s="2" t="e">
        <f ca="1">_xll.BDH($C$528,"CASH_RATIO","FQ2 2014","FQ2 2014","Currency=INR","Period=FQ","BEST_FPERIOD_OVERRIDE=FQ","FILING_STATUS=OR","EQY_CONSOLIDATED=Y","Sort=A","Dates=H","DateFormat=P","Fill=—","Direction=H","UseDPDF=Y")</f>
        <v>#NAME?</v>
      </c>
      <c r="CT530" s="2" t="e">
        <f ca="1">_xll.BDH($C$528,"CUR_RATIO","FQ2 2014","FQ2 2014","Currency=INR","Period=FQ","BEST_FPERIOD_OVERRIDE=FQ","FILING_STATUS=OR","EQY_CONSOLIDATED=Y","Sort=A","Dates=H","DateFormat=P","Fill=—","Direction=H","UseDPDF=Y")</f>
        <v>#NAME?</v>
      </c>
      <c r="CU530" s="2" t="e">
        <f ca="1">_xll.BDH($C$528,"QUICK_RATIO","FQ2 2014","FQ2 2014","Currency=INR","Period=FQ","BEST_FPERIOD_OVERRIDE=FQ","FILING_STATUS=OR","EQY_CONSOLIDATED=Y","Sort=A","Dates=H","DateFormat=P","Fill=—","Direction=H","UseDPDF=Y")</f>
        <v>#NAME?</v>
      </c>
      <c r="CV530" s="2" t="e">
        <f ca="1">_xll.BDH($C$528,"ALTMAN_Z_SCORE","FQ2 2014","FQ2 2014","Currency=INR","Period=FQ","BEST_FPERIOD_OVERRIDE=FQ","FILING_STATUS=OR","EQY_CONSOLIDATED=Y","Sort=A","Dates=H","DateFormat=P","Fill=—","Direction=H","UseDPDF=Y")</f>
        <v>#NAME?</v>
      </c>
      <c r="CW530" s="4" t="e">
        <f ca="1">_xll.BDH($C$528,"ACCT_RCV_TURN","FQ2 2014","FQ2 2014","Currency=INR","Period=FQ","BEST_FPERIOD_OVERRIDE=FQ","FILING_STATUS=OR","EQY_CONSOLIDATED=Y","FA_ADJUSTED=GAAP","Sort=A","Dates=H","DateFormat=P","Fill=—","Direction=H","UseDPDF=Y")</f>
        <v>#NAME?</v>
      </c>
      <c r="CX530" s="2" t="e">
        <f ca="1">_xll.BDH($C$528,"ACCT_RCV_DAYS","FQ2 2014","FQ2 2014","Currency=INR","Period=FQ","BEST_FPERIOD_OVERRIDE=FQ","FILING_STATUS=OR","EQY_CONSOLIDATED=Y","FA_ADJUSTED=GAAP","Sort=A","Dates=H","DateFormat=P","Fill=—","Direction=H","UseDPDF=Y")</f>
        <v>#NAME?</v>
      </c>
      <c r="CY530" s="4" t="e">
        <f ca="1">_xll.BDH($C$528,"INVENT_TURN","FQ2 2014","FQ2 2014","Currency=INR","Period=FQ","BEST_FPERIOD_OVERRIDE=FQ","FILING_STATUS=OR","EQY_CONSOLIDATED=Y","FA_ADJUSTED=GAAP","Sort=A","Dates=H","DateFormat=P","Fill=—","Direction=H","UseDPDF=Y")</f>
        <v>#NAME?</v>
      </c>
      <c r="CZ530" s="2" t="e">
        <f ca="1">_xll.BDH($C$528,"INVENT_DAYS","FQ2 2014","FQ2 2014","Currency=INR","Period=FQ","BEST_FPERIOD_OVERRIDE=FQ","FILING_STATUS=OR","EQY_CONSOLIDATED=Y","FA_ADJUSTED=GAAP","Sort=A","Dates=H","DateFormat=P","Fill=—","Direction=H","UseDPDF=Y")</f>
        <v>#NAME?</v>
      </c>
      <c r="DA530" s="4" t="e">
        <f ca="1">_xll.BDH($C$528,"ACCOUNTS_PAYABLE_TURNOVER","FQ2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30" s="2" t="e">
        <f ca="1">_xll.BDH($C$528,"ACCOUNTS_PAYABLE_TURNOVER_DAYS","FQ2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30" s="4" t="e">
        <f ca="1">_xll.BDH($C$528,"CASH_CONVERSION_CYCLE","FQ2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30" s="4" t="e">
        <f ca="1">_xll.BDH($C$528,"INV_TO_CASH_DAYS","FQ2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30" s="5" t="e">
        <f ca="1">_xll.BDH($C$528,"BS_INVENTORIES","FQ2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30" s="3" t="e">
        <f ca="1">_xll.BDH($C$528,"INVTRY_RAW_MATERIALS","FQ2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30" s="3" t="e">
        <f ca="1">_xll.BDH($C$528,"INVTRY_IN_PROGRESS","FQ2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30" s="3" t="e">
        <f ca="1">_xll.BDH($C$528,"INVTRY_FINISHED_GOODS","FQ2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30" s="3" t="e">
        <f ca="1">_xll.BDH($C$528,"BS_OTHER_INV","FQ2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31" spans="1:113" x14ac:dyDescent="0.3">
      <c r="A531" s="6"/>
      <c r="B531" s="6"/>
      <c r="C531" s="6"/>
      <c r="D531" s="6"/>
      <c r="E531" t="s">
        <v>80</v>
      </c>
      <c r="F531" t="e">
        <f ca="1">_xll.BDH($C$528,"RETURN_COM_EQY","FQ3 2014","FQ3 2014","Currency=INR","Period=FQ","BEST_FPERIOD_OVERRIDE=FQ","FILING_STATUS=OR","EQY_CONSOLIDATED=Y","FA_ADJUSTED=GAAP","Sort=A","Dates=H","DateFormat=P","Fill=—","Direction=H","UseDPDF=Y")</f>
        <v>#NAME?</v>
      </c>
      <c r="G531" t="e">
        <f ca="1">_xll.BDH($C$528,"RETURN_ON_ASSET","FQ3 2014","FQ3 2014","Currency=INR","Period=FQ","BEST_FPERIOD_OVERRIDE=FQ","FILING_STATUS=OR","EQY_CONSOLIDATED=Y","FA_ADJUSTED=GAAP","Sort=A","Dates=H","DateFormat=P","Fill=—","Direction=H","UseDPDF=Y")</f>
        <v>#NAME?</v>
      </c>
      <c r="H531" t="e">
        <f ca="1">_xll.BDH($C$528,"RETURN_ON_CAP","FQ3 2014","FQ3 2014","Currency=INR","Period=FQ","BEST_FPERIOD_OVERRIDE=FQ","FILING_STATUS=OR","EQY_CONSOLIDATED=Y","FA_ADJUSTED=GAAP","Sort=A","Dates=H","DateFormat=P","Fill=—","Direction=H","UseDPDF=Y")</f>
        <v>#NAME?</v>
      </c>
      <c r="I531" t="e">
        <f ca="1">_xll.BDH($C$528,"RETURN_ON_INV_CAPITAL","FQ3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31" t="e">
        <f ca="1">_xll.BDH($C$528,"EBITDA_TO_REVENUE","FQ3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31" t="e">
        <f ca="1">_xll.BDH($C$528,"OPER_MARGIN","FQ3 2014","FQ3 2014","Currency=INR","Period=FQ","BEST_FPERIOD_OVERRIDE=FQ","FILING_STATUS=OR","EQY_CONSOLIDATED=Y","FA_ADJUSTED=GAAP","Sort=A","Dates=H","DateFormat=P","Fill=—","Direction=H","UseDPDF=Y")</f>
        <v>#NAME?</v>
      </c>
      <c r="L531" t="e">
        <f ca="1">_xll.BDH($C$528,"INCREMENTAL_OPERATING_MARGIN","FQ3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31" t="e">
        <f ca="1">_xll.BDH($C$528,"PRETAX_INC_TO_NET_SALES","FQ3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31" t="e">
        <f ca="1">_xll.BDH($C$528,"INC_BEF_XO_ITEMS_TO_NET_SALES","FQ3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31" t="e">
        <f ca="1">_xll.BDH($C$528,"PROF_MARGIN","FQ3 2014","FQ3 2014","Currency=INR","Period=FQ","BEST_FPERIOD_OVERRIDE=FQ","FILING_STATUS=OR","EQY_CONSOLIDATED=Y","FA_ADJUSTED=GAAP","Sort=A","Dates=H","DateFormat=P","Fill=—","Direction=H","UseDPDF=Y")</f>
        <v>#NAME?</v>
      </c>
      <c r="P531" t="e">
        <f ca="1">_xll.BDH($C$528,"NET_INCOME_TO_COMMON_MARGIN","FQ3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31" t="e">
        <f ca="1">_xll.BDH($C$528,"EFF_TAX_RATE","FQ3 2014","FQ3 2014","Currency=INR","Period=FQ","BEST_FPERIOD_OVERRIDE=FQ","FILING_STATUS=OR","EQY_CONSOLIDATED=Y","FA_ADJUSTED=GAAP","Sort=A","Dates=H","DateFormat=P","Fill=—","Direction=H","UseDPDF=Y")</f>
        <v>#NAME?</v>
      </c>
      <c r="R531" t="e">
        <f ca="1">_xll.BDH($C$528,"DVD_PAYOUT_RATIO","FQ3 2014","FQ3 2014","Currency=INR","Period=FQ","BEST_FPERIOD_OVERRIDE=FQ","FILING_STATUS=OR","EQY_CONSOLIDATED=Y","FA_ADJUSTED=GAAP","Sort=A","Dates=H","DateFormat=P","Fill=—","Direction=H","UseDPDF=Y")</f>
        <v>#NAME?</v>
      </c>
      <c r="S531" t="e">
        <f ca="1">_xll.BDH($C$528,"SUSTAIN_GROWTH_RT","FQ3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31" s="2" t="e">
        <f ca="1">_xll.BDH($C$528,"SALES_GROWTH","FQ3 2014","FQ3 2014","Currency=INR","Period=FQ","BEST_FPERIOD_OVERRIDE=FQ","FILING_STATUS=OR","EQY_CONSOLIDATED=Y","FA_ADJUSTED=GAAP","Sort=A","Dates=H","DateFormat=P","Fill=—","Direction=H","UseDPDF=Y")</f>
        <v>#NAME?</v>
      </c>
      <c r="U531" s="2" t="e">
        <f ca="1">_xll.BDH($C$528,"EBITDA_GROWTH","FQ3 2014","FQ3 2014","Currency=INR","Period=FQ","BEST_FPERIOD_OVERRIDE=FQ","FILING_STATUS=OR","EQY_CONSOLIDATED=Y","FA_ADJUSTED=GAAP","Sort=A","Dates=H","DateFormat=P","Fill=—","Direction=H","UseDPDF=Y")</f>
        <v>#NAME?</v>
      </c>
      <c r="V531" s="2" t="e">
        <f ca="1">_xll.BDH($C$528,"OPER_INC_GROWTH","FQ3 2014","FQ3 2014","Currency=INR","Period=FQ","BEST_FPERIOD_OVERRIDE=FQ","FILING_STATUS=OR","EQY_CONSOLIDATED=Y","FA_ADJUSTED=GAAP","Sort=A","Dates=H","DateFormat=P","Fill=—","Direction=H","UseDPDF=Y")</f>
        <v>#NAME?</v>
      </c>
      <c r="W531" s="2" t="e">
        <f ca="1">_xll.BDH($C$528,"EARN_FOR_COM_GROWTH","FQ3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31" s="2" t="e">
        <f ca="1">_xll.BDH($C$528,"DILUTED_EPS_AFT_XO_ITEMS_GROWTH","FQ3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31" s="2" t="e">
        <f ca="1">_xll.BDH($C$528,"DIVIDEND_PER_SHARE_1_YEAR_GROWTH","FQ3 2014","FQ3 2014","Currency=INR","Period=FQ","BEST_FPERIOD_OVERRIDE=FQ","FILING_STATUS=OR","EQY_CONSOLIDATED=Y","Sort=A","Dates=H","DateFormat=P","Fill=—","Direction=H","UseDPDF=Y")</f>
        <v>#NAME?</v>
      </c>
      <c r="Z531" s="2" t="e">
        <f ca="1">_xll.BDH($C$528,"ACCOUNTS_RECEIVABLE_GROWTH","FQ3 2014","FQ3 2014","Currency=INR","Period=FQ","BEST_FPERIOD_OVERRIDE=FQ","FILING_STATUS=OR","EQY_CONSOLIDATED=Y","Sort=A","Dates=H","DateFormat=P","Fill=—","Direction=H","UseDPDF=Y")</f>
        <v>#NAME?</v>
      </c>
      <c r="AA531" s="2" t="e">
        <f ca="1">_xll.BDH($C$528,"INVENTORY_GROWTH","FQ3 2014","FQ3 2014","Currency=INR","Period=FQ","BEST_FPERIOD_OVERRIDE=FQ","FILING_STATUS=OR","EQY_CONSOLIDATED=Y","Sort=A","Dates=H","DateFormat=P","Fill=—","Direction=H","UseDPDF=Y")</f>
        <v>#NAME?</v>
      </c>
      <c r="AB531" s="2" t="e">
        <f ca="1">_xll.BDH($C$528,"NET_FIXED_ASSETS_1_YEAR_GROWTH","FQ3 2014","FQ3 2014","Currency=INR","Period=FQ","BEST_FPERIOD_OVERRIDE=FQ","FILING_STATUS=OR","EQY_CONSOLIDATED=Y","Sort=A","Dates=H","DateFormat=P","Fill=—","Direction=H","UseDPDF=Y")</f>
        <v>#NAME?</v>
      </c>
      <c r="AC531" s="2" t="e">
        <f ca="1">_xll.BDH($C$528,"ASSET_GROWTH","FQ3 2014","FQ3 2014","Currency=INR","Period=FQ","BEST_FPERIOD_OVERRIDE=FQ","FILING_STATUS=OR","EQY_CONSOLIDATED=Y","Sort=A","Dates=H","DateFormat=P","Fill=—","Direction=H","UseDPDF=Y")</f>
        <v>#NAME?</v>
      </c>
      <c r="AD531" s="2" t="e">
        <f ca="1">_xll.BDH($C$528,"MODIFIED_WORK_CAP_GROWTH","FQ3 2014","FQ3 2014","Currency=INR","Period=FQ","BEST_FPERIOD_OVERRIDE=FQ","FILING_STATUS=OR","EQY_CONSOLIDATED=Y","Sort=A","Dates=H","DateFormat=P","Fill=—","Direction=H","UseDPDF=Y")</f>
        <v>#NAME?</v>
      </c>
      <c r="AE531" s="2" t="e">
        <f ca="1">_xll.BDH($C$528,"WORK_CAP_GROWTH","FQ3 2014","FQ3 2014","Currency=INR","Period=FQ","BEST_FPERIOD_OVERRIDE=FQ","FILING_STATUS=OR","EQY_CONSOLIDATED=Y","Sort=A","Dates=H","DateFormat=P","Fill=—","Direction=H","UseDPDF=Y")</f>
        <v>#NAME?</v>
      </c>
      <c r="AF531" s="2" t="e">
        <f ca="1">_xll.BDH($C$528,"ACCOUNTS_PAYABLE_GROWTH_1YR","FQ3 2014","FQ3 2014","Currency=INR","Period=FQ","BEST_FPERIOD_OVERRIDE=FQ","FILING_STATUS=OR","EQY_CONSOLIDATED=Y","Sort=A","Dates=H","DateFormat=P","Fill=—","Direction=H","UseDPDF=Y")</f>
        <v>#NAME?</v>
      </c>
      <c r="AG531" s="2" t="e">
        <f ca="1">_xll.BDH($C$528,"SHORT_TERM_DEBT_1_YEAR_GROWTH","FQ3 2014","FQ3 2014","Currency=INR","Period=FQ","BEST_FPERIOD_OVERRIDE=FQ","FILING_STATUS=OR","EQY_CONSOLIDATED=Y","Sort=A","Dates=H","DateFormat=P","Fill=—","Direction=H","UseDPDF=Y")</f>
        <v>#NAME?</v>
      </c>
      <c r="AH531" s="2" t="e">
        <f ca="1">_xll.BDH($C$528,"TOTAL_DEBT_1_YEAR_GROWTH","FQ3 2014","FQ3 2014","Currency=INR","Period=FQ","BEST_FPERIOD_OVERRIDE=FQ","FILING_STATUS=OR","EQY_CONSOLIDATED=Y","Sort=A","Dates=H","DateFormat=P","Fill=—","Direction=H","UseDPDF=Y")</f>
        <v>#NAME?</v>
      </c>
      <c r="AI531" s="2" t="e">
        <f ca="1">_xll.BDH($C$528,"TOTAL_EQUITY_1_YEAR_GROWTH","FQ3 2014","FQ3 2014","Currency=INR","Period=FQ","BEST_FPERIOD_OVERRIDE=FQ","FILING_STATUS=OR","EQY_CONSOLIDATED=Y","Sort=A","Dates=H","DateFormat=P","Fill=—","Direction=H","UseDPDF=Y")</f>
        <v>#NAME?</v>
      </c>
      <c r="AJ531" s="2" t="e">
        <f ca="1">_xll.BDH($C$528,"GROWTH_IN_CAP","FQ3 2014","FQ3 2014","Currency=INR","Period=FQ","BEST_FPERIOD_OVERRIDE=FQ","FILING_STATUS=OR","EQY_CONSOLIDATED=Y","Sort=A","Dates=H","DateFormat=P","Fill=—","Direction=H","UseDPDF=Y")</f>
        <v>#NAME?</v>
      </c>
      <c r="AK531" s="2" t="e">
        <f ca="1">_xll.BDH($C$528,"BVPS_GROWTH","FQ3 2014","FQ3 2014","Currency=INR","Period=FQ","BEST_FPERIOD_OVERRIDE=FQ","FILING_STATUS=OR","EQY_CONSOLIDATED=Y","Sort=A","Dates=H","DateFormat=P","Fill=—","Direction=H","UseDPDF=Y")</f>
        <v>#NAME?</v>
      </c>
      <c r="AL531" s="2" t="e">
        <f ca="1">_xll.BDH($C$528,"CASH_FLOW_GROWTH","FQ3 2014","FQ3 2014","Currency=INR","Period=FQ","BEST_FPERIOD_OVERRIDE=FQ","FILING_STATUS=OR","EQY_CONSOLIDATED=Y","Sort=A","Dates=H","DateFormat=P","Fill=—","Direction=H","UseDPDF=Y")</f>
        <v>#NAME?</v>
      </c>
      <c r="AM531" s="2" t="e">
        <f ca="1">_xll.BDH($C$528,"GEO_GROW_NET_SALES","FQ3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31" s="2" t="e">
        <f ca="1">_xll.BDH($C$528,"GEO_GROW_EBITDA","FQ3 2014","FQ3 2014","Currency=INR","Period=FQ","BEST_FPERIOD_OVERRIDE=FQ","FILING_STATUS=OR","EQY_CONSOLIDATED=Y","FA_ADJUSTED=GAAP","Sort=A","Dates=H","DateFormat=P","Fill=—","Direction=H","UseDPDF=Y")</f>
        <v>#NAME?</v>
      </c>
      <c r="AO531" s="2" t="e">
        <f ca="1">_xll.BDH($C$528,"GEO_GROW_OPER_INC","FQ3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31" s="2" t="e">
        <f ca="1">_xll.BDH($C$528,"NET_INCOME_TO_COMMON_5_YR_GROWTH","FQ3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31" s="2" t="e">
        <f ca="1">_xll.BDH($C$528,"5Y_GEO_GROWTH_DILUTED_EPS","FQ3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31" s="2" t="e">
        <f ca="1">_xll.BDH($C$528,"GEO_GROW_DVD_PER_SH","FQ3 2014","FQ3 2014","Currency=INR","Period=FQ","BEST_FPERIOD_OVERRIDE=FQ","FILING_STATUS=OR","EQY_CONSOLIDATED=Y","Sort=A","Dates=H","DateFormat=P","Fill=—","Direction=H","UseDPDF=Y")</f>
        <v>#NAME?</v>
      </c>
      <c r="AS531" s="2" t="e">
        <f ca="1">_xll.BDH($C$528,"ACCOUNTS_RECEIVABLE_5_YR_GROWTH","FQ3 2014","FQ3 2014","Currency=INR","Period=FQ","BEST_FPERIOD_OVERRIDE=FQ","FILING_STATUS=OR","EQY_CONSOLIDATED=Y","Sort=A","Dates=H","DateFormat=P","Fill=—","Direction=H","UseDPDF=Y")</f>
        <v>#NAME?</v>
      </c>
      <c r="AT531" s="2" t="e">
        <f ca="1">_xll.BDH($C$528,"INVENTORY_5_YEAR_GROWTH","FQ3 2014","FQ3 2014","Currency=INR","Period=FQ","BEST_FPERIOD_OVERRIDE=FQ","FILING_STATUS=OR","EQY_CONSOLIDATED=Y","Sort=A","Dates=H","DateFormat=P","Fill=—","Direction=H","UseDPDF=Y")</f>
        <v>#NAME?</v>
      </c>
      <c r="AU531" s="2" t="e">
        <f ca="1">_xll.BDH($C$528,"NET_FIXED_ASSETS_5_YEAR_GROWTH","FQ3 2014","FQ3 2014","Currency=INR","Period=FQ","BEST_FPERIOD_OVERRIDE=FQ","FILING_STATUS=OR","EQY_CONSOLIDATED=Y","Sort=A","Dates=H","DateFormat=P","Fill=—","Direction=H","UseDPDF=Y")</f>
        <v>#NAME?</v>
      </c>
      <c r="AV531" s="2" t="e">
        <f ca="1">_xll.BDH($C$528,"GEO_GROW_TOT_ASSET","FQ3 2014","FQ3 2014","Currency=INR","Period=FQ","BEST_FPERIOD_OVERRIDE=FQ","FILING_STATUS=OR","EQY_CONSOLIDATED=Y","Sort=A","Dates=H","DateFormat=P","Fill=—","Direction=H","UseDPDF=Y")</f>
        <v>#NAME?</v>
      </c>
      <c r="AW531" s="2" t="e">
        <f ca="1">_xll.BDH($C$528,"MODIFIED_WORKING_CPTL_5YR_GRWTH","FQ3 2014","FQ3 2014","Currency=INR","Period=FQ","BEST_FPERIOD_OVERRIDE=FQ","FILING_STATUS=OR","EQY_CONSOLIDATED=Y","Sort=A","Dates=H","DateFormat=P","Fill=—","Direction=H","UseDPDF=Y")</f>
        <v>#NAME?</v>
      </c>
      <c r="AX531" s="2" t="e">
        <f ca="1">_xll.BDH($C$528,"WORKING_CAPITAL_5_YEAR_GROWTH","FQ3 2014","FQ3 2014","Currency=INR","Period=FQ","BEST_FPERIOD_OVERRIDE=FQ","FILING_STATUS=OR","EQY_CONSOLIDATED=Y","Sort=A","Dates=H","DateFormat=P","Fill=—","Direction=H","UseDPDF=Y")</f>
        <v>#NAME?</v>
      </c>
      <c r="AY531" s="2" t="e">
        <f ca="1">_xll.BDH($C$528,"ACCOUNTS_PAYABLE_5_YEAR_GROWTH","FQ3 2014","FQ3 2014","Currency=INR","Period=FQ","BEST_FPERIOD_OVERRIDE=FQ","FILING_STATUS=OR","EQY_CONSOLIDATED=Y","Sort=A","Dates=H","DateFormat=P","Fill=—","Direction=H","UseDPDF=Y")</f>
        <v>#NAME?</v>
      </c>
      <c r="AZ531" s="2" t="e">
        <f ca="1">_xll.BDH($C$528,"SHORT_TERM_DEBT_5_YEAR_GROWTH","FQ3 2014","FQ3 2014","Currency=INR","Period=FQ","BEST_FPERIOD_OVERRIDE=FQ","FILING_STATUS=OR","EQY_CONSOLIDATED=Y","Sort=A","Dates=H","DateFormat=P","Fill=—","Direction=H","UseDPDF=Y")</f>
        <v>#NAME?</v>
      </c>
      <c r="BA531" s="2" t="e">
        <f ca="1">_xll.BDH($C$528,"TOTAL_DEBT_5_YEAR_GROWTH","FQ3 2014","FQ3 2014","Currency=INR","Period=FQ","BEST_FPERIOD_OVERRIDE=FQ","FILING_STATUS=OR","EQY_CONSOLIDATED=Y","Sort=A","Dates=H","DateFormat=P","Fill=—","Direction=H","UseDPDF=Y")</f>
        <v>#NAME?</v>
      </c>
      <c r="BB531" s="2" t="e">
        <f ca="1">_xll.BDH($C$528,"GEO_GROW_TOT_SHRHLDR_EQY","FQ3 2014","FQ3 2014","Currency=INR","Period=FQ","BEST_FPERIOD_OVERRIDE=FQ","FILING_STATUS=OR","EQY_CONSOLIDATED=Y","Sort=A","Dates=H","DateFormat=P","Fill=—","Direction=H","UseDPDF=Y")</f>
        <v>#NAME?</v>
      </c>
      <c r="BC531" s="2" t="e">
        <f ca="1">_xll.BDH($C$528,"TOTAL_CAPITAL_5_YEAR_GROWTH","FQ3 2014","FQ3 2014","Currency=INR","Period=FQ","BEST_FPERIOD_OVERRIDE=FQ","FILING_STATUS=OR","EQY_CONSOLIDATED=Y","Sort=A","Dates=H","DateFormat=P","Fill=—","Direction=H","UseDPDF=Y")</f>
        <v>#NAME?</v>
      </c>
      <c r="BD531" s="2" t="e">
        <f ca="1">_xll.BDH($C$528,"GEO_GROW_BOOK_VAL","FQ3 2014","FQ3 2014","Currency=INR","Period=FQ","BEST_FPERIOD_OVERRIDE=FQ","FILING_STATUS=OR","EQY_CONSOLIDATED=Y","Sort=A","Dates=H","DateFormat=P","Fill=—","Direction=H","UseDPDF=Y")</f>
        <v>#NAME?</v>
      </c>
      <c r="BE531" s="2" t="e">
        <f ca="1">_xll.BDH($C$528,"GEO_GROW_CASH_OPER_ACT","FQ3 2014","FQ3 2014","Currency=INR","Period=FQ","BEST_FPERIOD_OVERRIDE=FQ","FILING_STATUS=OR","EQY_CONSOLIDATED=Y","Sort=A","Dates=H","DateFormat=P","Fill=—","Direction=H","UseDPDF=Y")</f>
        <v>#NAME?</v>
      </c>
      <c r="BF531" s="2" t="e">
        <f ca="1">_xll.BDH($C$528,"REVENUE_SEQUENTIAL_GROWTH","FQ3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31" s="2" t="e">
        <f ca="1">_xll.BDH($C$528,"EBITDA_SEQUENTIAL_GROWTH","FQ3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31" s="2" t="e">
        <f ca="1">_xll.BDH($C$528,"OPERATING_INCOME_SEQ_GROWTH","FQ3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31" s="2" t="e">
        <f ca="1">_xll.BDH($C$528,"NET_INCOME_TO_COMMON_SEQ_GROWTH","FQ3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31" s="2" t="e">
        <f ca="1">_xll.BDH($C$528,"EPS_DILUTED_SEQUENTIAL_GROWTH","FQ3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31" s="2" t="e">
        <f ca="1">_xll.BDH($C$528,"DPS_SEQUENTIAL_GROWTH","FQ3 2014","FQ3 2014","Currency=INR","Period=FQ","BEST_FPERIOD_OVERRIDE=FQ","FILING_STATUS=OR","EQY_CONSOLIDATED=Y","Sort=A","Dates=H","DateFormat=P","Fill=—","Direction=H","UseDPDF=Y")</f>
        <v>#NAME?</v>
      </c>
      <c r="BL531" s="2" t="e">
        <f ca="1">_xll.BDH($C$528,"ACCOUNTS_RECEIVABLE_SEQ_GROWTH","FQ3 2014","FQ3 2014","Currency=INR","Period=FQ","BEST_FPERIOD_OVERRIDE=FQ","FILING_STATUS=OR","EQY_CONSOLIDATED=Y","Sort=A","Dates=H","DateFormat=P","Fill=—","Direction=H","UseDPDF=Y")</f>
        <v>#NAME?</v>
      </c>
      <c r="BM531" s="2" t="e">
        <f ca="1">_xll.BDH($C$528,"INVENTORY_SEQUENTIAL_GROWTH","FQ3 2014","FQ3 2014","Currency=INR","Period=FQ","BEST_FPERIOD_OVERRIDE=FQ","FILING_STATUS=OR","EQY_CONSOLIDATED=Y","Sort=A","Dates=H","DateFormat=P","Fill=—","Direction=H","UseDPDF=Y")</f>
        <v>#NAME?</v>
      </c>
      <c r="BN531" s="2" t="e">
        <f ca="1">_xll.BDH($C$528,"FIXED_ASSETS_SEQUENTIAL_GROWTH","FQ3 2014","FQ3 2014","Currency=INR","Period=FQ","BEST_FPERIOD_OVERRIDE=FQ","FILING_STATUS=OR","EQY_CONSOLIDATED=Y","Sort=A","Dates=H","DateFormat=P","Fill=—","Direction=H","UseDPDF=Y")</f>
        <v>#NAME?</v>
      </c>
      <c r="BO531" s="2" t="e">
        <f ca="1">_xll.BDH($C$528,"TOTAL_ASSETS_SEQUENTIAL_GROWTH","FQ3 2014","FQ3 2014","Currency=INR","Period=FQ","BEST_FPERIOD_OVERRIDE=FQ","FILING_STATUS=OR","EQY_CONSOLIDATED=Y","Sort=A","Dates=H","DateFormat=P","Fill=—","Direction=H","UseDPDF=Y")</f>
        <v>#NAME?</v>
      </c>
      <c r="BP531" s="2" t="e">
        <f ca="1">_xll.BDH($C$528,"MODIFIED_WORKING_CPTL_SEQ_GRWTH","FQ3 2014","FQ3 2014","Currency=INR","Period=FQ","BEST_FPERIOD_OVERRIDE=FQ","FILING_STATUS=OR","EQY_CONSOLIDATED=Y","Sort=A","Dates=H","DateFormat=P","Fill=—","Direction=H","UseDPDF=Y")</f>
        <v>#NAME?</v>
      </c>
      <c r="BQ531" s="2" t="e">
        <f ca="1">_xll.BDH($C$528,"WORKING_CAPITAL_SEQ_GROWTH","FQ3 2014","FQ3 2014","Currency=INR","Period=FQ","BEST_FPERIOD_OVERRIDE=FQ","FILING_STATUS=OR","EQY_CONSOLIDATED=Y","Sort=A","Dates=H","DateFormat=P","Fill=—","Direction=H","UseDPDF=Y")</f>
        <v>#NAME?</v>
      </c>
      <c r="BR531" s="2" t="e">
        <f ca="1">_xll.BDH($C$528,"ACCOUNTS_PAYABLE_SEQ_GROWTH","FQ3 2014","FQ3 2014","Currency=INR","Period=FQ","BEST_FPERIOD_OVERRIDE=FQ","FILING_STATUS=OR","EQY_CONSOLIDATED=Y","Sort=A","Dates=H","DateFormat=P","Fill=—","Direction=H","UseDPDF=Y")</f>
        <v>#NAME?</v>
      </c>
      <c r="BS531" s="2" t="e">
        <f ca="1">_xll.BDH($C$528,"ST_DEBT_SEQUENTIAL_GROWTH","FQ3 2014","FQ3 2014","Currency=INR","Period=FQ","BEST_FPERIOD_OVERRIDE=FQ","FILING_STATUS=OR","EQY_CONSOLIDATED=Y","Sort=A","Dates=H","DateFormat=P","Fill=—","Direction=H","UseDPDF=Y")</f>
        <v>#NAME?</v>
      </c>
      <c r="BT531" s="2" t="e">
        <f ca="1">_xll.BDH($C$528,"TOTAL_DEBT_SEQUENTIAL_GROWTH","FQ3 2014","FQ3 2014","Currency=INR","Period=FQ","BEST_FPERIOD_OVERRIDE=FQ","FILING_STATUS=OR","EQY_CONSOLIDATED=Y","Sort=A","Dates=H","DateFormat=P","Fill=—","Direction=H","UseDPDF=Y")</f>
        <v>#NAME?</v>
      </c>
      <c r="BU531" s="2" t="e">
        <f ca="1">_xll.BDH($C$528,"TOTAL_EQUITY_SEQUENTIAL_GROWTH","FQ3 2014","FQ3 2014","Currency=INR","Period=FQ","BEST_FPERIOD_OVERRIDE=FQ","FILING_STATUS=OR","EQY_CONSOLIDATED=Y","Sort=A","Dates=H","DateFormat=P","Fill=—","Direction=H","UseDPDF=Y")</f>
        <v>#NAME?</v>
      </c>
      <c r="BV531" s="2" t="e">
        <f ca="1">_xll.BDH($C$528,"TOTAL_CAPITAL_SEQUENTIAL_GROWTH","FQ3 2014","FQ3 2014","Currency=INR","Period=FQ","BEST_FPERIOD_OVERRIDE=FQ","FILING_STATUS=OR","EQY_CONSOLIDATED=Y","Sort=A","Dates=H","DateFormat=P","Fill=—","Direction=H","UseDPDF=Y")</f>
        <v>#NAME?</v>
      </c>
      <c r="BW531" s="2" t="e">
        <f ca="1">_xll.BDH($C$528,"BPS_SEQUENTIAL_GROWTH","FQ3 2014","FQ3 2014","Currency=INR","Period=FQ","BEST_FPERIOD_OVERRIDE=FQ","FILING_STATUS=OR","EQY_CONSOLIDATED=Y","Sort=A","Dates=H","DateFormat=P","Fill=—","Direction=H","UseDPDF=Y")</f>
        <v>#NAME?</v>
      </c>
      <c r="BX531" s="2" t="e">
        <f ca="1">_xll.BDH($C$528,"CFO_SEQUENTIAL_GROWTH","FQ3 2014","FQ3 2014","Currency=INR","Period=FQ","BEST_FPERIOD_OVERRIDE=FQ","FILING_STATUS=OR","EQY_CONSOLIDATED=Y","Sort=A","Dates=H","DateFormat=P","Fill=—","Direction=H","UseDPDF=Y")</f>
        <v>#NAME?</v>
      </c>
      <c r="BY531" s="3" t="e">
        <f ca="1">_xll.BDH($C$528,"SHORT_AND_LONG_TERM_DEBT","FQ3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31" s="3" t="e">
        <f ca="1">_xll.BDH($C$528,"BS_ST_BORROW","FQ3 2014","FQ3 2014","Currency=INR","Period=FQ","BEST_FPERIOD_OVERRIDE=FQ","FILING_STATUS=OR","EQY_CONSOLIDATED=Y","SCALING_FORMAT=MLN","Sort=A","Dates=H","DateFormat=P","Fill=—","Direction=H","UseDPDF=Y")</f>
        <v>#NAME?</v>
      </c>
      <c r="CA531" s="3" t="e">
        <f ca="1">_xll.BDH($C$528,"BS_LT_BORROW","FQ3 2014","FQ3 2014","Currency=INR","Period=FQ","BEST_FPERIOD_OVERRIDE=FQ","FILING_STATUS=OR","EQY_CONSOLIDATED=Y","SCALING_FORMAT=MLN","Sort=A","Dates=H","DateFormat=P","Fill=—","Direction=H","UseDPDF=Y")</f>
        <v>#NAME?</v>
      </c>
      <c r="CB531" s="2" t="e">
        <f ca="1">_xll.BDH($C$528,"TOT_DEBT_TO_EBITDA","FQ3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31" s="2" t="e">
        <f ca="1">_xll.BDH($C$528,"NET_DEBT_TO_EBITDA","FQ3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31" s="2" t="e">
        <f ca="1">_xll.BDH($C$528,"TOTAL_DEBT_TO_EBIT","FQ3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31" s="2" t="e">
        <f ca="1">_xll.BDH($C$528,"NET_DEBT_TO_EBIT","FQ3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31" s="2" t="e">
        <f ca="1">_xll.BDH($C$528,"EBITDA_TO_INTEREST_EXPN","FQ3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31" s="2" t="e">
        <f ca="1">_xll.BDH($C$528,"COM_EQY_TO_TOT_ASSET","FQ3 2014","FQ3 2014","Currency=INR","Period=FQ","BEST_FPERIOD_OVERRIDE=FQ","FILING_STATUS=OR","EQY_CONSOLIDATED=Y","Sort=A","Dates=H","DateFormat=P","Fill=—","Direction=H","UseDPDF=Y")</f>
        <v>#NAME?</v>
      </c>
      <c r="CH531" s="2" t="e">
        <f ca="1">_xll.BDH($C$528,"LT_DEBT_TO_TOT_EQY","FQ3 2014","FQ3 2014","Currency=INR","Period=FQ","BEST_FPERIOD_OVERRIDE=FQ","FILING_STATUS=OR","EQY_CONSOLIDATED=Y","Sort=A","Dates=H","DateFormat=P","Fill=—","Direction=H","UseDPDF=Y")</f>
        <v>#NAME?</v>
      </c>
      <c r="CI531" s="2" t="e">
        <f ca="1">_xll.BDH($C$528,"LT_DEBT_TO_TOT_CAP","FQ3 2014","FQ3 2014","Currency=INR","Period=FQ","BEST_FPERIOD_OVERRIDE=FQ","FILING_STATUS=OR","EQY_CONSOLIDATED=Y","Sort=A","Dates=H","DateFormat=P","Fill=—","Direction=H","UseDPDF=Y")</f>
        <v>#NAME?</v>
      </c>
      <c r="CJ531" s="2" t="e">
        <f ca="1">_xll.BDH($C$528,"LT_DEBT_TO_TOT_ASSET","FQ3 2014","FQ3 2014","Currency=INR","Period=FQ","BEST_FPERIOD_OVERRIDE=FQ","FILING_STATUS=OR","EQY_CONSOLIDATED=Y","Sort=A","Dates=H","DateFormat=P","Fill=—","Direction=H","UseDPDF=Y")</f>
        <v>#NAME?</v>
      </c>
      <c r="CK531" s="2" t="e">
        <f ca="1">_xll.BDH($C$528,"TOT_DEBT_TO_TOT_EQY","FQ3 2014","FQ3 2014","Currency=INR","Period=FQ","BEST_FPERIOD_OVERRIDE=FQ","FILING_STATUS=OR","EQY_CONSOLIDATED=Y","Sort=A","Dates=H","DateFormat=P","Fill=—","Direction=H","UseDPDF=Y")</f>
        <v>#NAME?</v>
      </c>
      <c r="CL531" s="2" t="e">
        <f ca="1">_xll.BDH($C$528,"TOT_DEBT_TO_TOT_CAP","FQ3 2014","FQ3 2014","Currency=INR","Period=FQ","BEST_FPERIOD_OVERRIDE=FQ","FILING_STATUS=OR","EQY_CONSOLIDATED=Y","Sort=A","Dates=H","DateFormat=P","Fill=—","Direction=H","UseDPDF=Y")</f>
        <v>#NAME?</v>
      </c>
      <c r="CM531" s="2" t="e">
        <f ca="1">_xll.BDH($C$528,"TOT_DEBT_TO_TOT_ASSET","FQ3 2014","FQ3 2014","Currency=INR","Period=FQ","BEST_FPERIOD_OVERRIDE=FQ","FILING_STATUS=OR","EQY_CONSOLIDATED=Y","Sort=A","Dates=H","DateFormat=P","Fill=—","Direction=H","UseDPDF=Y")</f>
        <v>#NAME?</v>
      </c>
      <c r="CN531" s="2" t="e">
        <f ca="1">_xll.BDH($C$528,"NET_DEBT_TO_SHRHLDR_EQTY","FQ3 2014","FQ3 2014","Currency=INR","Period=FQ","BEST_FPERIOD_OVERRIDE=FQ","FILING_STATUS=OR","EQY_CONSOLIDATED=Y","Sort=A","Dates=H","DateFormat=P","Fill=—","Direction=H","UseDPDF=Y")</f>
        <v>#NAME?</v>
      </c>
      <c r="CO531" s="2" t="e">
        <f ca="1">_xll.BDH($C$528,"NET_DEBT_%_CAPITAL","FQ3 2014","FQ3 2014","Currency=INR","Period=FQ","BEST_FPERIOD_OVERRIDE=FQ","FILING_STATUS=OR","EQY_CONSOLIDATED=Y","Sort=A","Dates=H","DateFormat=P","Fill=—","Direction=H","UseDPDF=Y")</f>
        <v>#NAME?</v>
      </c>
      <c r="CP531" s="3" t="e">
        <f ca="1">_xll.BDH($C$528,"EBITDA","FQ3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31" s="3" t="e">
        <f ca="1">_xll.BDH($C$528,"EBITDA_AFTER_CAPEX","FQ3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31" s="3" t="e">
        <f ca="1">_xll.BDH($C$528,"IS_OPER_INC","FQ3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31" s="2" t="e">
        <f ca="1">_xll.BDH($C$528,"CASH_RATIO","FQ3 2014","FQ3 2014","Currency=INR","Period=FQ","BEST_FPERIOD_OVERRIDE=FQ","FILING_STATUS=OR","EQY_CONSOLIDATED=Y","Sort=A","Dates=H","DateFormat=P","Fill=—","Direction=H","UseDPDF=Y")</f>
        <v>#NAME?</v>
      </c>
      <c r="CT531" s="2" t="e">
        <f ca="1">_xll.BDH($C$528,"CUR_RATIO","FQ3 2014","FQ3 2014","Currency=INR","Period=FQ","BEST_FPERIOD_OVERRIDE=FQ","FILING_STATUS=OR","EQY_CONSOLIDATED=Y","Sort=A","Dates=H","DateFormat=P","Fill=—","Direction=H","UseDPDF=Y")</f>
        <v>#NAME?</v>
      </c>
      <c r="CU531" s="2" t="e">
        <f ca="1">_xll.BDH($C$528,"QUICK_RATIO","FQ3 2014","FQ3 2014","Currency=INR","Period=FQ","BEST_FPERIOD_OVERRIDE=FQ","FILING_STATUS=OR","EQY_CONSOLIDATED=Y","Sort=A","Dates=H","DateFormat=P","Fill=—","Direction=H","UseDPDF=Y")</f>
        <v>#NAME?</v>
      </c>
      <c r="CV531" s="2" t="e">
        <f ca="1">_xll.BDH($C$528,"ALTMAN_Z_SCORE","FQ3 2014","FQ3 2014","Currency=INR","Period=FQ","BEST_FPERIOD_OVERRIDE=FQ","FILING_STATUS=OR","EQY_CONSOLIDATED=Y","Sort=A","Dates=H","DateFormat=P","Fill=—","Direction=H","UseDPDF=Y")</f>
        <v>#NAME?</v>
      </c>
      <c r="CW531" s="4" t="e">
        <f ca="1">_xll.BDH($C$528,"ACCT_RCV_TURN","FQ3 2014","FQ3 2014","Currency=INR","Period=FQ","BEST_FPERIOD_OVERRIDE=FQ","FILING_STATUS=OR","EQY_CONSOLIDATED=Y","FA_ADJUSTED=GAAP","Sort=A","Dates=H","DateFormat=P","Fill=—","Direction=H","UseDPDF=Y")</f>
        <v>#NAME?</v>
      </c>
      <c r="CX531" s="2" t="e">
        <f ca="1">_xll.BDH($C$528,"ACCT_RCV_DAYS","FQ3 2014","FQ3 2014","Currency=INR","Period=FQ","BEST_FPERIOD_OVERRIDE=FQ","FILING_STATUS=OR","EQY_CONSOLIDATED=Y","FA_ADJUSTED=GAAP","Sort=A","Dates=H","DateFormat=P","Fill=—","Direction=H","UseDPDF=Y")</f>
        <v>#NAME?</v>
      </c>
      <c r="CY531" s="4" t="e">
        <f ca="1">_xll.BDH($C$528,"INVENT_TURN","FQ3 2014","FQ3 2014","Currency=INR","Period=FQ","BEST_FPERIOD_OVERRIDE=FQ","FILING_STATUS=OR","EQY_CONSOLIDATED=Y","FA_ADJUSTED=GAAP","Sort=A","Dates=H","DateFormat=P","Fill=—","Direction=H","UseDPDF=Y")</f>
        <v>#NAME?</v>
      </c>
      <c r="CZ531" s="2" t="e">
        <f ca="1">_xll.BDH($C$528,"INVENT_DAYS","FQ3 2014","FQ3 2014","Currency=INR","Period=FQ","BEST_FPERIOD_OVERRIDE=FQ","FILING_STATUS=OR","EQY_CONSOLIDATED=Y","FA_ADJUSTED=GAAP","Sort=A","Dates=H","DateFormat=P","Fill=—","Direction=H","UseDPDF=Y")</f>
        <v>#NAME?</v>
      </c>
      <c r="DA531" s="4" t="e">
        <f ca="1">_xll.BDH($C$528,"ACCOUNTS_PAYABLE_TURNOVER","FQ3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31" s="2" t="e">
        <f ca="1">_xll.BDH($C$528,"ACCOUNTS_PAYABLE_TURNOVER_DAYS","FQ3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31" s="4" t="e">
        <f ca="1">_xll.BDH($C$528,"CASH_CONVERSION_CYCLE","FQ3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31" s="4" t="e">
        <f ca="1">_xll.BDH($C$528,"INV_TO_CASH_DAYS","FQ3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31" s="5" t="e">
        <f ca="1">_xll.BDH($C$528,"BS_INVENTORIES","FQ3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31" s="3" t="e">
        <f ca="1">_xll.BDH($C$528,"INVTRY_RAW_MATERIALS","FQ3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31" s="3" t="e">
        <f ca="1">_xll.BDH($C$528,"INVTRY_IN_PROGRESS","FQ3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31" s="3" t="e">
        <f ca="1">_xll.BDH($C$528,"INVTRY_FINISHED_GOODS","FQ3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31" s="3" t="e">
        <f ca="1">_xll.BDH($C$528,"BS_OTHER_INV","FQ3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32" spans="1:113" x14ac:dyDescent="0.3">
      <c r="A532" s="6"/>
      <c r="B532" s="6"/>
      <c r="C532" s="6"/>
      <c r="D532" s="6"/>
      <c r="E532" t="s">
        <v>81</v>
      </c>
      <c r="F532" t="e">
        <f ca="1">_xll.BDH($C$528,"RETURN_COM_EQY","FQ4 2014","FQ4 2014","Currency=INR","Period=FQ","BEST_FPERIOD_OVERRIDE=FQ","FILING_STATUS=OR","EQY_CONSOLIDATED=Y","FA_ADJUSTED=GAAP","Sort=A","Dates=H","DateFormat=P","Fill=—","Direction=H","UseDPDF=Y")</f>
        <v>#NAME?</v>
      </c>
      <c r="G532" t="e">
        <f ca="1">_xll.BDH($C$528,"RETURN_ON_ASSET","FQ4 2014","FQ4 2014","Currency=INR","Period=FQ","BEST_FPERIOD_OVERRIDE=FQ","FILING_STATUS=OR","EQY_CONSOLIDATED=Y","FA_ADJUSTED=GAAP","Sort=A","Dates=H","DateFormat=P","Fill=—","Direction=H","UseDPDF=Y")</f>
        <v>#NAME?</v>
      </c>
      <c r="H532" t="e">
        <f ca="1">_xll.BDH($C$528,"RETURN_ON_CAP","FQ4 2014","FQ4 2014","Currency=INR","Period=FQ","BEST_FPERIOD_OVERRIDE=FQ","FILING_STATUS=OR","EQY_CONSOLIDATED=Y","FA_ADJUSTED=GAAP","Sort=A","Dates=H","DateFormat=P","Fill=—","Direction=H","UseDPDF=Y")</f>
        <v>#NAME?</v>
      </c>
      <c r="I532" t="e">
        <f ca="1">_xll.BDH($C$528,"RETURN_ON_INV_CAPITAL","FQ4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32" t="e">
        <f ca="1">_xll.BDH($C$528,"EBITDA_TO_REVENUE","FQ4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32" t="e">
        <f ca="1">_xll.BDH($C$528,"OPER_MARGIN","FQ4 2014","FQ4 2014","Currency=INR","Period=FQ","BEST_FPERIOD_OVERRIDE=FQ","FILING_STATUS=OR","EQY_CONSOLIDATED=Y","FA_ADJUSTED=GAAP","Sort=A","Dates=H","DateFormat=P","Fill=—","Direction=H","UseDPDF=Y")</f>
        <v>#NAME?</v>
      </c>
      <c r="L532" t="e">
        <f ca="1">_xll.BDH($C$528,"INCREMENTAL_OPERATING_MARGIN","FQ4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32" t="e">
        <f ca="1">_xll.BDH($C$528,"PRETAX_INC_TO_NET_SALES","FQ4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32" t="e">
        <f ca="1">_xll.BDH($C$528,"INC_BEF_XO_ITEMS_TO_NET_SALES","FQ4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32" t="e">
        <f ca="1">_xll.BDH($C$528,"PROF_MARGIN","FQ4 2014","FQ4 2014","Currency=INR","Period=FQ","BEST_FPERIOD_OVERRIDE=FQ","FILING_STATUS=OR","EQY_CONSOLIDATED=Y","FA_ADJUSTED=GAAP","Sort=A","Dates=H","DateFormat=P","Fill=—","Direction=H","UseDPDF=Y")</f>
        <v>#NAME?</v>
      </c>
      <c r="P532" t="e">
        <f ca="1">_xll.BDH($C$528,"NET_INCOME_TO_COMMON_MARGIN","FQ4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32" t="e">
        <f ca="1">_xll.BDH($C$528,"EFF_TAX_RATE","FQ4 2014","FQ4 2014","Currency=INR","Period=FQ","BEST_FPERIOD_OVERRIDE=FQ","FILING_STATUS=OR","EQY_CONSOLIDATED=Y","FA_ADJUSTED=GAAP","Sort=A","Dates=H","DateFormat=P","Fill=—","Direction=H","UseDPDF=Y")</f>
        <v>#NAME?</v>
      </c>
      <c r="R532" t="e">
        <f ca="1">_xll.BDH($C$528,"DVD_PAYOUT_RATIO","FQ4 2014","FQ4 2014","Currency=INR","Period=FQ","BEST_FPERIOD_OVERRIDE=FQ","FILING_STATUS=OR","EQY_CONSOLIDATED=Y","FA_ADJUSTED=GAAP","Sort=A","Dates=H","DateFormat=P","Fill=—","Direction=H","UseDPDF=Y")</f>
        <v>#NAME?</v>
      </c>
      <c r="S532" t="e">
        <f ca="1">_xll.BDH($C$528,"SUSTAIN_GROWTH_RT","FQ4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32" s="2" t="e">
        <f ca="1">_xll.BDH($C$528,"SALES_GROWTH","FQ4 2014","FQ4 2014","Currency=INR","Period=FQ","BEST_FPERIOD_OVERRIDE=FQ","FILING_STATUS=OR","EQY_CONSOLIDATED=Y","FA_ADJUSTED=GAAP","Sort=A","Dates=H","DateFormat=P","Fill=—","Direction=H","UseDPDF=Y")</f>
        <v>#NAME?</v>
      </c>
      <c r="U532" s="2" t="e">
        <f ca="1">_xll.BDH($C$528,"EBITDA_GROWTH","FQ4 2014","FQ4 2014","Currency=INR","Period=FQ","BEST_FPERIOD_OVERRIDE=FQ","FILING_STATUS=OR","EQY_CONSOLIDATED=Y","FA_ADJUSTED=GAAP","Sort=A","Dates=H","DateFormat=P","Fill=—","Direction=H","UseDPDF=Y")</f>
        <v>#NAME?</v>
      </c>
      <c r="V532" s="2" t="e">
        <f ca="1">_xll.BDH($C$528,"OPER_INC_GROWTH","FQ4 2014","FQ4 2014","Currency=INR","Period=FQ","BEST_FPERIOD_OVERRIDE=FQ","FILING_STATUS=OR","EQY_CONSOLIDATED=Y","FA_ADJUSTED=GAAP","Sort=A","Dates=H","DateFormat=P","Fill=—","Direction=H","UseDPDF=Y")</f>
        <v>#NAME?</v>
      </c>
      <c r="W532" s="2" t="e">
        <f ca="1">_xll.BDH($C$528,"EARN_FOR_COM_GROWTH","FQ4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32" s="2" t="e">
        <f ca="1">_xll.BDH($C$528,"DILUTED_EPS_AFT_XO_ITEMS_GROWTH","FQ4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32" s="2" t="e">
        <f ca="1">_xll.BDH($C$528,"DIVIDEND_PER_SHARE_1_YEAR_GROWTH","FQ4 2014","FQ4 2014","Currency=INR","Period=FQ","BEST_FPERIOD_OVERRIDE=FQ","FILING_STATUS=OR","EQY_CONSOLIDATED=Y","Sort=A","Dates=H","DateFormat=P","Fill=—","Direction=H","UseDPDF=Y")</f>
        <v>#NAME?</v>
      </c>
      <c r="Z532" s="2" t="e">
        <f ca="1">_xll.BDH($C$528,"ACCOUNTS_RECEIVABLE_GROWTH","FQ4 2014","FQ4 2014","Currency=INR","Period=FQ","BEST_FPERIOD_OVERRIDE=FQ","FILING_STATUS=OR","EQY_CONSOLIDATED=Y","Sort=A","Dates=H","DateFormat=P","Fill=—","Direction=H","UseDPDF=Y")</f>
        <v>#NAME?</v>
      </c>
      <c r="AA532" s="2" t="e">
        <f ca="1">_xll.BDH($C$528,"INVENTORY_GROWTH","FQ4 2014","FQ4 2014","Currency=INR","Period=FQ","BEST_FPERIOD_OVERRIDE=FQ","FILING_STATUS=OR","EQY_CONSOLIDATED=Y","Sort=A","Dates=H","DateFormat=P","Fill=—","Direction=H","UseDPDF=Y")</f>
        <v>#NAME?</v>
      </c>
      <c r="AB532" s="2" t="e">
        <f ca="1">_xll.BDH($C$528,"NET_FIXED_ASSETS_1_YEAR_GROWTH","FQ4 2014","FQ4 2014","Currency=INR","Period=FQ","BEST_FPERIOD_OVERRIDE=FQ","FILING_STATUS=OR","EQY_CONSOLIDATED=Y","Sort=A","Dates=H","DateFormat=P","Fill=—","Direction=H","UseDPDF=Y")</f>
        <v>#NAME?</v>
      </c>
      <c r="AC532" s="2" t="e">
        <f ca="1">_xll.BDH($C$528,"ASSET_GROWTH","FQ4 2014","FQ4 2014","Currency=INR","Period=FQ","BEST_FPERIOD_OVERRIDE=FQ","FILING_STATUS=OR","EQY_CONSOLIDATED=Y","Sort=A","Dates=H","DateFormat=P","Fill=—","Direction=H","UseDPDF=Y")</f>
        <v>#NAME?</v>
      </c>
      <c r="AD532" s="2" t="e">
        <f ca="1">_xll.BDH($C$528,"MODIFIED_WORK_CAP_GROWTH","FQ4 2014","FQ4 2014","Currency=INR","Period=FQ","BEST_FPERIOD_OVERRIDE=FQ","FILING_STATUS=OR","EQY_CONSOLIDATED=Y","Sort=A","Dates=H","DateFormat=P","Fill=—","Direction=H","UseDPDF=Y")</f>
        <v>#NAME?</v>
      </c>
      <c r="AE532" s="2" t="e">
        <f ca="1">_xll.BDH($C$528,"WORK_CAP_GROWTH","FQ4 2014","FQ4 2014","Currency=INR","Period=FQ","BEST_FPERIOD_OVERRIDE=FQ","FILING_STATUS=OR","EQY_CONSOLIDATED=Y","Sort=A","Dates=H","DateFormat=P","Fill=—","Direction=H","UseDPDF=Y")</f>
        <v>#NAME?</v>
      </c>
      <c r="AF532" s="2" t="e">
        <f ca="1">_xll.BDH($C$528,"ACCOUNTS_PAYABLE_GROWTH_1YR","FQ4 2014","FQ4 2014","Currency=INR","Period=FQ","BEST_FPERIOD_OVERRIDE=FQ","FILING_STATUS=OR","EQY_CONSOLIDATED=Y","Sort=A","Dates=H","DateFormat=P","Fill=—","Direction=H","UseDPDF=Y")</f>
        <v>#NAME?</v>
      </c>
      <c r="AG532" s="2" t="e">
        <f ca="1">_xll.BDH($C$528,"SHORT_TERM_DEBT_1_YEAR_GROWTH","FQ4 2014","FQ4 2014","Currency=INR","Period=FQ","BEST_FPERIOD_OVERRIDE=FQ","FILING_STATUS=OR","EQY_CONSOLIDATED=Y","Sort=A","Dates=H","DateFormat=P","Fill=—","Direction=H","UseDPDF=Y")</f>
        <v>#NAME?</v>
      </c>
      <c r="AH532" s="2" t="e">
        <f ca="1">_xll.BDH($C$528,"TOTAL_DEBT_1_YEAR_GROWTH","FQ4 2014","FQ4 2014","Currency=INR","Period=FQ","BEST_FPERIOD_OVERRIDE=FQ","FILING_STATUS=OR","EQY_CONSOLIDATED=Y","Sort=A","Dates=H","DateFormat=P","Fill=—","Direction=H","UseDPDF=Y")</f>
        <v>#NAME?</v>
      </c>
      <c r="AI532" s="2" t="e">
        <f ca="1">_xll.BDH($C$528,"TOTAL_EQUITY_1_YEAR_GROWTH","FQ4 2014","FQ4 2014","Currency=INR","Period=FQ","BEST_FPERIOD_OVERRIDE=FQ","FILING_STATUS=OR","EQY_CONSOLIDATED=Y","Sort=A","Dates=H","DateFormat=P","Fill=—","Direction=H","UseDPDF=Y")</f>
        <v>#NAME?</v>
      </c>
      <c r="AJ532" s="2" t="e">
        <f ca="1">_xll.BDH($C$528,"GROWTH_IN_CAP","FQ4 2014","FQ4 2014","Currency=INR","Period=FQ","BEST_FPERIOD_OVERRIDE=FQ","FILING_STATUS=OR","EQY_CONSOLIDATED=Y","Sort=A","Dates=H","DateFormat=P","Fill=—","Direction=H","UseDPDF=Y")</f>
        <v>#NAME?</v>
      </c>
      <c r="AK532" s="2" t="e">
        <f ca="1">_xll.BDH($C$528,"BVPS_GROWTH","FQ4 2014","FQ4 2014","Currency=INR","Period=FQ","BEST_FPERIOD_OVERRIDE=FQ","FILING_STATUS=OR","EQY_CONSOLIDATED=Y","Sort=A","Dates=H","DateFormat=P","Fill=—","Direction=H","UseDPDF=Y")</f>
        <v>#NAME?</v>
      </c>
      <c r="AL532" s="2" t="e">
        <f ca="1">_xll.BDH($C$528,"CASH_FLOW_GROWTH","FQ4 2014","FQ4 2014","Currency=INR","Period=FQ","BEST_FPERIOD_OVERRIDE=FQ","FILING_STATUS=OR","EQY_CONSOLIDATED=Y","Sort=A","Dates=H","DateFormat=P","Fill=—","Direction=H","UseDPDF=Y")</f>
        <v>#NAME?</v>
      </c>
      <c r="AM532" s="2" t="e">
        <f ca="1">_xll.BDH($C$528,"GEO_GROW_NET_SALES","FQ4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32" s="2" t="e">
        <f ca="1">_xll.BDH($C$528,"GEO_GROW_EBITDA","FQ4 2014","FQ4 2014","Currency=INR","Period=FQ","BEST_FPERIOD_OVERRIDE=FQ","FILING_STATUS=OR","EQY_CONSOLIDATED=Y","FA_ADJUSTED=GAAP","Sort=A","Dates=H","DateFormat=P","Fill=—","Direction=H","UseDPDF=Y")</f>
        <v>#NAME?</v>
      </c>
      <c r="AO532" s="2" t="e">
        <f ca="1">_xll.BDH($C$528,"GEO_GROW_OPER_INC","FQ4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32" s="2" t="e">
        <f ca="1">_xll.BDH($C$528,"NET_INCOME_TO_COMMON_5_YR_GROWTH","FQ4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32" s="2" t="e">
        <f ca="1">_xll.BDH($C$528,"5Y_GEO_GROWTH_DILUTED_EPS","FQ4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32" s="2" t="e">
        <f ca="1">_xll.BDH($C$528,"GEO_GROW_DVD_PER_SH","FQ4 2014","FQ4 2014","Currency=INR","Period=FQ","BEST_FPERIOD_OVERRIDE=FQ","FILING_STATUS=OR","EQY_CONSOLIDATED=Y","Sort=A","Dates=H","DateFormat=P","Fill=—","Direction=H","UseDPDF=Y")</f>
        <v>#NAME?</v>
      </c>
      <c r="AS532" s="2" t="e">
        <f ca="1">_xll.BDH($C$528,"ACCOUNTS_RECEIVABLE_5_YR_GROWTH","FQ4 2014","FQ4 2014","Currency=INR","Period=FQ","BEST_FPERIOD_OVERRIDE=FQ","FILING_STATUS=OR","EQY_CONSOLIDATED=Y","Sort=A","Dates=H","DateFormat=P","Fill=—","Direction=H","UseDPDF=Y")</f>
        <v>#NAME?</v>
      </c>
      <c r="AT532" s="2" t="e">
        <f ca="1">_xll.BDH($C$528,"INVENTORY_5_YEAR_GROWTH","FQ4 2014","FQ4 2014","Currency=INR","Period=FQ","BEST_FPERIOD_OVERRIDE=FQ","FILING_STATUS=OR","EQY_CONSOLIDATED=Y","Sort=A","Dates=H","DateFormat=P","Fill=—","Direction=H","UseDPDF=Y")</f>
        <v>#NAME?</v>
      </c>
      <c r="AU532" s="2" t="e">
        <f ca="1">_xll.BDH($C$528,"NET_FIXED_ASSETS_5_YEAR_GROWTH","FQ4 2014","FQ4 2014","Currency=INR","Period=FQ","BEST_FPERIOD_OVERRIDE=FQ","FILING_STATUS=OR","EQY_CONSOLIDATED=Y","Sort=A","Dates=H","DateFormat=P","Fill=—","Direction=H","UseDPDF=Y")</f>
        <v>#NAME?</v>
      </c>
      <c r="AV532" s="2" t="e">
        <f ca="1">_xll.BDH($C$528,"GEO_GROW_TOT_ASSET","FQ4 2014","FQ4 2014","Currency=INR","Period=FQ","BEST_FPERIOD_OVERRIDE=FQ","FILING_STATUS=OR","EQY_CONSOLIDATED=Y","Sort=A","Dates=H","DateFormat=P","Fill=—","Direction=H","UseDPDF=Y")</f>
        <v>#NAME?</v>
      </c>
      <c r="AW532" s="2" t="e">
        <f ca="1">_xll.BDH($C$528,"MODIFIED_WORKING_CPTL_5YR_GRWTH","FQ4 2014","FQ4 2014","Currency=INR","Period=FQ","BEST_FPERIOD_OVERRIDE=FQ","FILING_STATUS=OR","EQY_CONSOLIDATED=Y","Sort=A","Dates=H","DateFormat=P","Fill=—","Direction=H","UseDPDF=Y")</f>
        <v>#NAME?</v>
      </c>
      <c r="AX532" s="2" t="e">
        <f ca="1">_xll.BDH($C$528,"WORKING_CAPITAL_5_YEAR_GROWTH","FQ4 2014","FQ4 2014","Currency=INR","Period=FQ","BEST_FPERIOD_OVERRIDE=FQ","FILING_STATUS=OR","EQY_CONSOLIDATED=Y","Sort=A","Dates=H","DateFormat=P","Fill=—","Direction=H","UseDPDF=Y")</f>
        <v>#NAME?</v>
      </c>
      <c r="AY532" s="2" t="e">
        <f ca="1">_xll.BDH($C$528,"ACCOUNTS_PAYABLE_5_YEAR_GROWTH","FQ4 2014","FQ4 2014","Currency=INR","Period=FQ","BEST_FPERIOD_OVERRIDE=FQ","FILING_STATUS=OR","EQY_CONSOLIDATED=Y","Sort=A","Dates=H","DateFormat=P","Fill=—","Direction=H","UseDPDF=Y")</f>
        <v>#NAME?</v>
      </c>
      <c r="AZ532" s="2" t="e">
        <f ca="1">_xll.BDH($C$528,"SHORT_TERM_DEBT_5_YEAR_GROWTH","FQ4 2014","FQ4 2014","Currency=INR","Period=FQ","BEST_FPERIOD_OVERRIDE=FQ","FILING_STATUS=OR","EQY_CONSOLIDATED=Y","Sort=A","Dates=H","DateFormat=P","Fill=—","Direction=H","UseDPDF=Y")</f>
        <v>#NAME?</v>
      </c>
      <c r="BA532" s="2" t="e">
        <f ca="1">_xll.BDH($C$528,"TOTAL_DEBT_5_YEAR_GROWTH","FQ4 2014","FQ4 2014","Currency=INR","Period=FQ","BEST_FPERIOD_OVERRIDE=FQ","FILING_STATUS=OR","EQY_CONSOLIDATED=Y","Sort=A","Dates=H","DateFormat=P","Fill=—","Direction=H","UseDPDF=Y")</f>
        <v>#NAME?</v>
      </c>
      <c r="BB532" s="2" t="e">
        <f ca="1">_xll.BDH($C$528,"GEO_GROW_TOT_SHRHLDR_EQY","FQ4 2014","FQ4 2014","Currency=INR","Period=FQ","BEST_FPERIOD_OVERRIDE=FQ","FILING_STATUS=OR","EQY_CONSOLIDATED=Y","Sort=A","Dates=H","DateFormat=P","Fill=—","Direction=H","UseDPDF=Y")</f>
        <v>#NAME?</v>
      </c>
      <c r="BC532" s="2" t="e">
        <f ca="1">_xll.BDH($C$528,"TOTAL_CAPITAL_5_YEAR_GROWTH","FQ4 2014","FQ4 2014","Currency=INR","Period=FQ","BEST_FPERIOD_OVERRIDE=FQ","FILING_STATUS=OR","EQY_CONSOLIDATED=Y","Sort=A","Dates=H","DateFormat=P","Fill=—","Direction=H","UseDPDF=Y")</f>
        <v>#NAME?</v>
      </c>
      <c r="BD532" s="2" t="e">
        <f ca="1">_xll.BDH($C$528,"GEO_GROW_BOOK_VAL","FQ4 2014","FQ4 2014","Currency=INR","Period=FQ","BEST_FPERIOD_OVERRIDE=FQ","FILING_STATUS=OR","EQY_CONSOLIDATED=Y","Sort=A","Dates=H","DateFormat=P","Fill=—","Direction=H","UseDPDF=Y")</f>
        <v>#NAME?</v>
      </c>
      <c r="BE532" s="2" t="e">
        <f ca="1">_xll.BDH($C$528,"GEO_GROW_CASH_OPER_ACT","FQ4 2014","FQ4 2014","Currency=INR","Period=FQ","BEST_FPERIOD_OVERRIDE=FQ","FILING_STATUS=OR","EQY_CONSOLIDATED=Y","Sort=A","Dates=H","DateFormat=P","Fill=—","Direction=H","UseDPDF=Y")</f>
        <v>#NAME?</v>
      </c>
      <c r="BF532" s="2" t="e">
        <f ca="1">_xll.BDH($C$528,"REVENUE_SEQUENTIAL_GROWTH","FQ4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32" s="2" t="e">
        <f ca="1">_xll.BDH($C$528,"EBITDA_SEQUENTIAL_GROWTH","FQ4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32" s="2" t="e">
        <f ca="1">_xll.BDH($C$528,"OPERATING_INCOME_SEQ_GROWTH","FQ4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32" s="2" t="e">
        <f ca="1">_xll.BDH($C$528,"NET_INCOME_TO_COMMON_SEQ_GROWTH","FQ4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32" s="2" t="e">
        <f ca="1">_xll.BDH($C$528,"EPS_DILUTED_SEQUENTIAL_GROWTH","FQ4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32" s="2" t="e">
        <f ca="1">_xll.BDH($C$528,"DPS_SEQUENTIAL_GROWTH","FQ4 2014","FQ4 2014","Currency=INR","Period=FQ","BEST_FPERIOD_OVERRIDE=FQ","FILING_STATUS=OR","EQY_CONSOLIDATED=Y","Sort=A","Dates=H","DateFormat=P","Fill=—","Direction=H","UseDPDF=Y")</f>
        <v>#NAME?</v>
      </c>
      <c r="BL532" s="2" t="e">
        <f ca="1">_xll.BDH($C$528,"ACCOUNTS_RECEIVABLE_SEQ_GROWTH","FQ4 2014","FQ4 2014","Currency=INR","Period=FQ","BEST_FPERIOD_OVERRIDE=FQ","FILING_STATUS=OR","EQY_CONSOLIDATED=Y","Sort=A","Dates=H","DateFormat=P","Fill=—","Direction=H","UseDPDF=Y")</f>
        <v>#NAME?</v>
      </c>
      <c r="BM532" s="2" t="e">
        <f ca="1">_xll.BDH($C$528,"INVENTORY_SEQUENTIAL_GROWTH","FQ4 2014","FQ4 2014","Currency=INR","Period=FQ","BEST_FPERIOD_OVERRIDE=FQ","FILING_STATUS=OR","EQY_CONSOLIDATED=Y","Sort=A","Dates=H","DateFormat=P","Fill=—","Direction=H","UseDPDF=Y")</f>
        <v>#NAME?</v>
      </c>
      <c r="BN532" s="2" t="e">
        <f ca="1">_xll.BDH($C$528,"FIXED_ASSETS_SEQUENTIAL_GROWTH","FQ4 2014","FQ4 2014","Currency=INR","Period=FQ","BEST_FPERIOD_OVERRIDE=FQ","FILING_STATUS=OR","EQY_CONSOLIDATED=Y","Sort=A","Dates=H","DateFormat=P","Fill=—","Direction=H","UseDPDF=Y")</f>
        <v>#NAME?</v>
      </c>
      <c r="BO532" s="2" t="e">
        <f ca="1">_xll.BDH($C$528,"TOTAL_ASSETS_SEQUENTIAL_GROWTH","FQ4 2014","FQ4 2014","Currency=INR","Period=FQ","BEST_FPERIOD_OVERRIDE=FQ","FILING_STATUS=OR","EQY_CONSOLIDATED=Y","Sort=A","Dates=H","DateFormat=P","Fill=—","Direction=H","UseDPDF=Y")</f>
        <v>#NAME?</v>
      </c>
      <c r="BP532" s="2" t="e">
        <f ca="1">_xll.BDH($C$528,"MODIFIED_WORKING_CPTL_SEQ_GRWTH","FQ4 2014","FQ4 2014","Currency=INR","Period=FQ","BEST_FPERIOD_OVERRIDE=FQ","FILING_STATUS=OR","EQY_CONSOLIDATED=Y","Sort=A","Dates=H","DateFormat=P","Fill=—","Direction=H","UseDPDF=Y")</f>
        <v>#NAME?</v>
      </c>
      <c r="BQ532" s="2" t="e">
        <f ca="1">_xll.BDH($C$528,"WORKING_CAPITAL_SEQ_GROWTH","FQ4 2014","FQ4 2014","Currency=INR","Period=FQ","BEST_FPERIOD_OVERRIDE=FQ","FILING_STATUS=OR","EQY_CONSOLIDATED=Y","Sort=A","Dates=H","DateFormat=P","Fill=—","Direction=H","UseDPDF=Y")</f>
        <v>#NAME?</v>
      </c>
      <c r="BR532" s="2" t="e">
        <f ca="1">_xll.BDH($C$528,"ACCOUNTS_PAYABLE_SEQ_GROWTH","FQ4 2014","FQ4 2014","Currency=INR","Period=FQ","BEST_FPERIOD_OVERRIDE=FQ","FILING_STATUS=OR","EQY_CONSOLIDATED=Y","Sort=A","Dates=H","DateFormat=P","Fill=—","Direction=H","UseDPDF=Y")</f>
        <v>#NAME?</v>
      </c>
      <c r="BS532" s="2" t="e">
        <f ca="1">_xll.BDH($C$528,"ST_DEBT_SEQUENTIAL_GROWTH","FQ4 2014","FQ4 2014","Currency=INR","Period=FQ","BEST_FPERIOD_OVERRIDE=FQ","FILING_STATUS=OR","EQY_CONSOLIDATED=Y","Sort=A","Dates=H","DateFormat=P","Fill=—","Direction=H","UseDPDF=Y")</f>
        <v>#NAME?</v>
      </c>
      <c r="BT532" s="2" t="e">
        <f ca="1">_xll.BDH($C$528,"TOTAL_DEBT_SEQUENTIAL_GROWTH","FQ4 2014","FQ4 2014","Currency=INR","Period=FQ","BEST_FPERIOD_OVERRIDE=FQ","FILING_STATUS=OR","EQY_CONSOLIDATED=Y","Sort=A","Dates=H","DateFormat=P","Fill=—","Direction=H","UseDPDF=Y")</f>
        <v>#NAME?</v>
      </c>
      <c r="BU532" s="2" t="e">
        <f ca="1">_xll.BDH($C$528,"TOTAL_EQUITY_SEQUENTIAL_GROWTH","FQ4 2014","FQ4 2014","Currency=INR","Period=FQ","BEST_FPERIOD_OVERRIDE=FQ","FILING_STATUS=OR","EQY_CONSOLIDATED=Y","Sort=A","Dates=H","DateFormat=P","Fill=—","Direction=H","UseDPDF=Y")</f>
        <v>#NAME?</v>
      </c>
      <c r="BV532" s="2" t="e">
        <f ca="1">_xll.BDH($C$528,"TOTAL_CAPITAL_SEQUENTIAL_GROWTH","FQ4 2014","FQ4 2014","Currency=INR","Period=FQ","BEST_FPERIOD_OVERRIDE=FQ","FILING_STATUS=OR","EQY_CONSOLIDATED=Y","Sort=A","Dates=H","DateFormat=P","Fill=—","Direction=H","UseDPDF=Y")</f>
        <v>#NAME?</v>
      </c>
      <c r="BW532" s="2" t="e">
        <f ca="1">_xll.BDH($C$528,"BPS_SEQUENTIAL_GROWTH","FQ4 2014","FQ4 2014","Currency=INR","Period=FQ","BEST_FPERIOD_OVERRIDE=FQ","FILING_STATUS=OR","EQY_CONSOLIDATED=Y","Sort=A","Dates=H","DateFormat=P","Fill=—","Direction=H","UseDPDF=Y")</f>
        <v>#NAME?</v>
      </c>
      <c r="BX532" s="2" t="e">
        <f ca="1">_xll.BDH($C$528,"CFO_SEQUENTIAL_GROWTH","FQ4 2014","FQ4 2014","Currency=INR","Period=FQ","BEST_FPERIOD_OVERRIDE=FQ","FILING_STATUS=OR","EQY_CONSOLIDATED=Y","Sort=A","Dates=H","DateFormat=P","Fill=—","Direction=H","UseDPDF=Y")</f>
        <v>#NAME?</v>
      </c>
      <c r="BY532" s="3" t="e">
        <f ca="1">_xll.BDH($C$528,"SHORT_AND_LONG_TERM_DEBT","FQ4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32" s="3" t="e">
        <f ca="1">_xll.BDH($C$528,"BS_ST_BORROW","FQ4 2014","FQ4 2014","Currency=INR","Period=FQ","BEST_FPERIOD_OVERRIDE=FQ","FILING_STATUS=OR","EQY_CONSOLIDATED=Y","SCALING_FORMAT=MLN","Sort=A","Dates=H","DateFormat=P","Fill=—","Direction=H","UseDPDF=Y")</f>
        <v>#NAME?</v>
      </c>
      <c r="CA532" s="3" t="e">
        <f ca="1">_xll.BDH($C$528,"BS_LT_BORROW","FQ4 2014","FQ4 2014","Currency=INR","Period=FQ","BEST_FPERIOD_OVERRIDE=FQ","FILING_STATUS=OR","EQY_CONSOLIDATED=Y","SCALING_FORMAT=MLN","Sort=A","Dates=H","DateFormat=P","Fill=—","Direction=H","UseDPDF=Y")</f>
        <v>#NAME?</v>
      </c>
      <c r="CB532" s="2" t="e">
        <f ca="1">_xll.BDH($C$528,"TOT_DEBT_TO_EBITDA","FQ4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32" s="2" t="e">
        <f ca="1">_xll.BDH($C$528,"NET_DEBT_TO_EBITDA","FQ4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32" s="2" t="e">
        <f ca="1">_xll.BDH($C$528,"TOTAL_DEBT_TO_EBIT","FQ4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32" s="2" t="e">
        <f ca="1">_xll.BDH($C$528,"NET_DEBT_TO_EBIT","FQ4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32" s="2" t="e">
        <f ca="1">_xll.BDH($C$528,"EBITDA_TO_INTEREST_EXPN","FQ4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32" s="2" t="e">
        <f ca="1">_xll.BDH($C$528,"COM_EQY_TO_TOT_ASSET","FQ4 2014","FQ4 2014","Currency=INR","Period=FQ","BEST_FPERIOD_OVERRIDE=FQ","FILING_STATUS=OR","EQY_CONSOLIDATED=Y","Sort=A","Dates=H","DateFormat=P","Fill=—","Direction=H","UseDPDF=Y")</f>
        <v>#NAME?</v>
      </c>
      <c r="CH532" s="2" t="e">
        <f ca="1">_xll.BDH($C$528,"LT_DEBT_TO_TOT_EQY","FQ4 2014","FQ4 2014","Currency=INR","Period=FQ","BEST_FPERIOD_OVERRIDE=FQ","FILING_STATUS=OR","EQY_CONSOLIDATED=Y","Sort=A","Dates=H","DateFormat=P","Fill=—","Direction=H","UseDPDF=Y")</f>
        <v>#NAME?</v>
      </c>
      <c r="CI532" s="2" t="e">
        <f ca="1">_xll.BDH($C$528,"LT_DEBT_TO_TOT_CAP","FQ4 2014","FQ4 2014","Currency=INR","Period=FQ","BEST_FPERIOD_OVERRIDE=FQ","FILING_STATUS=OR","EQY_CONSOLIDATED=Y","Sort=A","Dates=H","DateFormat=P","Fill=—","Direction=H","UseDPDF=Y")</f>
        <v>#NAME?</v>
      </c>
      <c r="CJ532" s="2" t="e">
        <f ca="1">_xll.BDH($C$528,"LT_DEBT_TO_TOT_ASSET","FQ4 2014","FQ4 2014","Currency=INR","Period=FQ","BEST_FPERIOD_OVERRIDE=FQ","FILING_STATUS=OR","EQY_CONSOLIDATED=Y","Sort=A","Dates=H","DateFormat=P","Fill=—","Direction=H","UseDPDF=Y")</f>
        <v>#NAME?</v>
      </c>
      <c r="CK532" s="2" t="e">
        <f ca="1">_xll.BDH($C$528,"TOT_DEBT_TO_TOT_EQY","FQ4 2014","FQ4 2014","Currency=INR","Period=FQ","BEST_FPERIOD_OVERRIDE=FQ","FILING_STATUS=OR","EQY_CONSOLIDATED=Y","Sort=A","Dates=H","DateFormat=P","Fill=—","Direction=H","UseDPDF=Y")</f>
        <v>#NAME?</v>
      </c>
      <c r="CL532" s="2" t="e">
        <f ca="1">_xll.BDH($C$528,"TOT_DEBT_TO_TOT_CAP","FQ4 2014","FQ4 2014","Currency=INR","Period=FQ","BEST_FPERIOD_OVERRIDE=FQ","FILING_STATUS=OR","EQY_CONSOLIDATED=Y","Sort=A","Dates=H","DateFormat=P","Fill=—","Direction=H","UseDPDF=Y")</f>
        <v>#NAME?</v>
      </c>
      <c r="CM532" s="2" t="e">
        <f ca="1">_xll.BDH($C$528,"TOT_DEBT_TO_TOT_ASSET","FQ4 2014","FQ4 2014","Currency=INR","Period=FQ","BEST_FPERIOD_OVERRIDE=FQ","FILING_STATUS=OR","EQY_CONSOLIDATED=Y","Sort=A","Dates=H","DateFormat=P","Fill=—","Direction=H","UseDPDF=Y")</f>
        <v>#NAME?</v>
      </c>
      <c r="CN532" s="2" t="e">
        <f ca="1">_xll.BDH($C$528,"NET_DEBT_TO_SHRHLDR_EQTY","FQ4 2014","FQ4 2014","Currency=INR","Period=FQ","BEST_FPERIOD_OVERRIDE=FQ","FILING_STATUS=OR","EQY_CONSOLIDATED=Y","Sort=A","Dates=H","DateFormat=P","Fill=—","Direction=H","UseDPDF=Y")</f>
        <v>#NAME?</v>
      </c>
      <c r="CO532" s="2" t="e">
        <f ca="1">_xll.BDH($C$528,"NET_DEBT_%_CAPITAL","FQ4 2014","FQ4 2014","Currency=INR","Period=FQ","BEST_FPERIOD_OVERRIDE=FQ","FILING_STATUS=OR","EQY_CONSOLIDATED=Y","Sort=A","Dates=H","DateFormat=P","Fill=—","Direction=H","UseDPDF=Y")</f>
        <v>#NAME?</v>
      </c>
      <c r="CP532" s="3" t="e">
        <f ca="1">_xll.BDH($C$528,"EBITDA","FQ4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32" s="3" t="e">
        <f ca="1">_xll.BDH($C$528,"EBITDA_AFTER_CAPEX","FQ4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32" s="3" t="e">
        <f ca="1">_xll.BDH($C$528,"IS_OPER_INC","FQ4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32" s="2" t="e">
        <f ca="1">_xll.BDH($C$528,"CASH_RATIO","FQ4 2014","FQ4 2014","Currency=INR","Period=FQ","BEST_FPERIOD_OVERRIDE=FQ","FILING_STATUS=OR","EQY_CONSOLIDATED=Y","Sort=A","Dates=H","DateFormat=P","Fill=—","Direction=H","UseDPDF=Y")</f>
        <v>#NAME?</v>
      </c>
      <c r="CT532" s="2" t="e">
        <f ca="1">_xll.BDH($C$528,"CUR_RATIO","FQ4 2014","FQ4 2014","Currency=INR","Period=FQ","BEST_FPERIOD_OVERRIDE=FQ","FILING_STATUS=OR","EQY_CONSOLIDATED=Y","Sort=A","Dates=H","DateFormat=P","Fill=—","Direction=H","UseDPDF=Y")</f>
        <v>#NAME?</v>
      </c>
      <c r="CU532" s="2" t="e">
        <f ca="1">_xll.BDH($C$528,"QUICK_RATIO","FQ4 2014","FQ4 2014","Currency=INR","Period=FQ","BEST_FPERIOD_OVERRIDE=FQ","FILING_STATUS=OR","EQY_CONSOLIDATED=Y","Sort=A","Dates=H","DateFormat=P","Fill=—","Direction=H","UseDPDF=Y")</f>
        <v>#NAME?</v>
      </c>
      <c r="CV532" s="2" t="e">
        <f ca="1">_xll.BDH($C$528,"ALTMAN_Z_SCORE","FQ4 2014","FQ4 2014","Currency=INR","Period=FQ","BEST_FPERIOD_OVERRIDE=FQ","FILING_STATUS=OR","EQY_CONSOLIDATED=Y","Sort=A","Dates=H","DateFormat=P","Fill=—","Direction=H","UseDPDF=Y")</f>
        <v>#NAME?</v>
      </c>
      <c r="CW532" s="4" t="e">
        <f ca="1">_xll.BDH($C$528,"ACCT_RCV_TURN","FQ4 2014","FQ4 2014","Currency=INR","Period=FQ","BEST_FPERIOD_OVERRIDE=FQ","FILING_STATUS=OR","EQY_CONSOLIDATED=Y","FA_ADJUSTED=GAAP","Sort=A","Dates=H","DateFormat=P","Fill=—","Direction=H","UseDPDF=Y")</f>
        <v>#NAME?</v>
      </c>
      <c r="CX532" s="2" t="e">
        <f ca="1">_xll.BDH($C$528,"ACCT_RCV_DAYS","FQ4 2014","FQ4 2014","Currency=INR","Period=FQ","BEST_FPERIOD_OVERRIDE=FQ","FILING_STATUS=OR","EQY_CONSOLIDATED=Y","FA_ADJUSTED=GAAP","Sort=A","Dates=H","DateFormat=P","Fill=—","Direction=H","UseDPDF=Y")</f>
        <v>#NAME?</v>
      </c>
      <c r="CY532" s="4" t="e">
        <f ca="1">_xll.BDH($C$528,"INVENT_TURN","FQ4 2014","FQ4 2014","Currency=INR","Period=FQ","BEST_FPERIOD_OVERRIDE=FQ","FILING_STATUS=OR","EQY_CONSOLIDATED=Y","FA_ADJUSTED=GAAP","Sort=A","Dates=H","DateFormat=P","Fill=—","Direction=H","UseDPDF=Y")</f>
        <v>#NAME?</v>
      </c>
      <c r="CZ532" s="2" t="e">
        <f ca="1">_xll.BDH($C$528,"INVENT_DAYS","FQ4 2014","FQ4 2014","Currency=INR","Period=FQ","BEST_FPERIOD_OVERRIDE=FQ","FILING_STATUS=OR","EQY_CONSOLIDATED=Y","FA_ADJUSTED=GAAP","Sort=A","Dates=H","DateFormat=P","Fill=—","Direction=H","UseDPDF=Y")</f>
        <v>#NAME?</v>
      </c>
      <c r="DA532" s="4" t="e">
        <f ca="1">_xll.BDH($C$528,"ACCOUNTS_PAYABLE_TURNOVER","FQ4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32" s="2" t="e">
        <f ca="1">_xll.BDH($C$528,"ACCOUNTS_PAYABLE_TURNOVER_DAYS","FQ4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32" s="4" t="e">
        <f ca="1">_xll.BDH($C$528,"CASH_CONVERSION_CYCLE","FQ4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32" s="4" t="e">
        <f ca="1">_xll.BDH($C$528,"INV_TO_CASH_DAYS","FQ4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32" s="5" t="e">
        <f ca="1">_xll.BDH($C$528,"BS_INVENTORIES","FQ4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32" s="3" t="e">
        <f ca="1">_xll.BDH($C$528,"INVTRY_RAW_MATERIALS","FQ4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32" s="3" t="e">
        <f ca="1">_xll.BDH($C$528,"INVTRY_IN_PROGRESS","FQ4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32" s="3" t="e">
        <f ca="1">_xll.BDH($C$528,"INVTRY_FINISHED_GOODS","FQ4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32" s="3" t="e">
        <f ca="1">_xll.BDH($C$528,"BS_OTHER_INV","FQ4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33" spans="1:113" x14ac:dyDescent="0.3">
      <c r="A533" s="6"/>
      <c r="B533" s="6"/>
      <c r="C533" s="6"/>
      <c r="D533" s="6" t="s">
        <v>82</v>
      </c>
      <c r="E533" t="s">
        <v>77</v>
      </c>
      <c r="F533" t="e">
        <f ca="1">_xll.BDH($C$528,"RETURN_COM_EQY","FY 2015","FY 2015","Currency=INR","Period=FY","BEST_FPERIOD_OVERRIDE=FY","FILING_STATUS=OR","EQY_CONSOLIDATED=Y","FA_ADJUSTED=GAAP","Sort=A","Dates=H","DateFormat=P","Fill=—","Direction=H","UseDPDF=Y")</f>
        <v>#NAME?</v>
      </c>
      <c r="G533" t="e">
        <f ca="1">_xll.BDH($C$528,"RETURN_ON_ASSET","FY 2015","FY 2015","Currency=INR","Period=FY","BEST_FPERIOD_OVERRIDE=FY","FILING_STATUS=OR","EQY_CONSOLIDATED=Y","FA_ADJUSTED=GAAP","Sort=A","Dates=H","DateFormat=P","Fill=—","Direction=H","UseDPDF=Y")</f>
        <v>#NAME?</v>
      </c>
      <c r="H533" t="e">
        <f ca="1">_xll.BDH($C$528,"RETURN_ON_CAP","FY 2015","FY 2015","Currency=INR","Period=FY","BEST_FPERIOD_OVERRIDE=FY","FILING_STATUS=OR","EQY_CONSOLIDATED=Y","FA_ADJUSTED=GAAP","Sort=A","Dates=H","DateFormat=P","Fill=—","Direction=H","UseDPDF=Y")</f>
        <v>#NAME?</v>
      </c>
      <c r="I533" t="e">
        <f ca="1">_xll.BDH($C$528,"RETURN_ON_INV_CAPITAL","FY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33" t="e">
        <f ca="1">_xll.BDH($C$528,"EBITDA_TO_REVENUE","FY 2015","FY 2015","Currency=INR","Period=FY","BEST_FPERIOD_OVERRIDE=FY","FILING_STATUS=OR","EQY_CONSOLIDATED=Y","FA_ADJUSTED=GAAP","Sort=A","Dates=H","DateFormat=P","Fill=—","Direction=H","UseDPDF=Y")</f>
        <v>#NAME?</v>
      </c>
      <c r="K533" t="e">
        <f ca="1">_xll.BDH($C$528,"OPER_MARGIN","FY 2015","FY 2015","Currency=INR","Period=FY","BEST_FPERIOD_OVERRIDE=FY","FILING_STATUS=OR","EQY_CONSOLIDATED=Y","FA_ADJUSTED=GAAP","Sort=A","Dates=H","DateFormat=P","Fill=—","Direction=H","UseDPDF=Y")</f>
        <v>#NAME?</v>
      </c>
      <c r="L533" t="e">
        <f ca="1">_xll.BDH($C$528,"INCREMENTAL_OPERATING_MARGIN","FY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33" t="e">
        <f ca="1">_xll.BDH($C$528,"PRETAX_INC_TO_NET_SALES","FY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33" t="e">
        <f ca="1">_xll.BDH($C$528,"INC_BEF_XO_ITEMS_TO_NET_SALES","FY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33" t="e">
        <f ca="1">_xll.BDH($C$528,"PROF_MARGIN","FY 2015","FY 2015","Currency=INR","Period=FY","BEST_FPERIOD_OVERRIDE=FY","FILING_STATUS=OR","EQY_CONSOLIDATED=Y","FA_ADJUSTED=GAAP","Sort=A","Dates=H","DateFormat=P","Fill=—","Direction=H","UseDPDF=Y")</f>
        <v>#NAME?</v>
      </c>
      <c r="P533" t="e">
        <f ca="1">_xll.BDH($C$528,"NET_INCOME_TO_COMMON_MARGIN","FY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33" t="e">
        <f ca="1">_xll.BDH($C$528,"EFF_TAX_RATE","FY 2015","FY 2015","Currency=INR","Period=FY","BEST_FPERIOD_OVERRIDE=FY","FILING_STATUS=OR","EQY_CONSOLIDATED=Y","FA_ADJUSTED=GAAP","Sort=A","Dates=H","DateFormat=P","Fill=—","Direction=H","UseDPDF=Y")</f>
        <v>#NAME?</v>
      </c>
      <c r="R533" t="e">
        <f ca="1">_xll.BDH($C$528,"DVD_PAYOUT_RATIO","FY 2015","FY 2015","Currency=INR","Period=FY","BEST_FPERIOD_OVERRIDE=FY","FILING_STATUS=OR","EQY_CONSOLIDATED=Y","FA_ADJUSTED=GAAP","Sort=A","Dates=H","DateFormat=P","Fill=—","Direction=H","UseDPDF=Y")</f>
        <v>#NAME?</v>
      </c>
      <c r="S533" t="e">
        <f ca="1">_xll.BDH($C$528,"SUSTAIN_GROWTH_RT","FY 2015","FY 2015","Currency=INR","Period=FY","BEST_FPERIOD_OVERRIDE=FY","FILING_STATUS=OR","EQY_CONSOLIDATED=Y","FA_ADJUSTED=GAAP","Sort=A","Dates=H","DateFormat=P","Fill=—","Direction=H","UseDPDF=Y")</f>
        <v>#NAME?</v>
      </c>
      <c r="T533" s="2" t="e">
        <f ca="1">_xll.BDH($C$528,"SALES_GROWTH","FY 2015","FY 2015","Currency=INR","Period=FY","BEST_FPERIOD_OVERRIDE=FY","FILING_STATUS=OR","EQY_CONSOLIDATED=Y","FA_ADJUSTED=GAAP","Sort=A","Dates=H","DateFormat=P","Fill=—","Direction=H","UseDPDF=Y")</f>
        <v>#NAME?</v>
      </c>
      <c r="U533" s="2" t="e">
        <f ca="1">_xll.BDH($C$528,"EBITDA_GROWTH","FY 2015","FY 2015","Currency=INR","Period=FY","BEST_FPERIOD_OVERRIDE=FY","FILING_STATUS=OR","EQY_CONSOLIDATED=Y","FA_ADJUSTED=GAAP","Sort=A","Dates=H","DateFormat=P","Fill=—","Direction=H","UseDPDF=Y")</f>
        <v>#NAME?</v>
      </c>
      <c r="V533" s="2" t="e">
        <f ca="1">_xll.BDH($C$528,"OPER_INC_GROWTH","FY 2015","FY 2015","Currency=INR","Period=FY","BEST_FPERIOD_OVERRIDE=FY","FILING_STATUS=OR","EQY_CONSOLIDATED=Y","FA_ADJUSTED=GAAP","Sort=A","Dates=H","DateFormat=P","Fill=—","Direction=H","UseDPDF=Y")</f>
        <v>#NAME?</v>
      </c>
      <c r="W533" s="2" t="e">
        <f ca="1">_xll.BDH($C$528,"EARN_FOR_COM_GROWTH","FY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33" s="2" t="e">
        <f ca="1">_xll.BDH($C$528,"DILUTED_EPS_AFT_XO_ITEMS_GROWTH","FY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33" s="2" t="e">
        <f ca="1">_xll.BDH($C$528,"DIVIDEND_PER_SHARE_1_YEAR_GROWTH","FY 2015","FY 2015","Currency=INR","Period=FY","BEST_FPERIOD_OVERRIDE=FY","FILING_STATUS=OR","EQY_CONSOLIDATED=Y","Sort=A","Dates=H","DateFormat=P","Fill=—","Direction=H","UseDPDF=Y")</f>
        <v>#NAME?</v>
      </c>
      <c r="Z533" s="2" t="e">
        <f ca="1">_xll.BDH($C$528,"ACCOUNTS_RECEIVABLE_GROWTH","FY 2015","FY 2015","Currency=INR","Period=FY","BEST_FPERIOD_OVERRIDE=FY","FILING_STATUS=OR","EQY_CONSOLIDATED=Y","Sort=A","Dates=H","DateFormat=P","Fill=—","Direction=H","UseDPDF=Y")</f>
        <v>#NAME?</v>
      </c>
      <c r="AA533" s="2" t="e">
        <f ca="1">_xll.BDH($C$528,"INVENTORY_GROWTH","FY 2015","FY 2015","Currency=INR","Period=FY","BEST_FPERIOD_OVERRIDE=FY","FILING_STATUS=OR","EQY_CONSOLIDATED=Y","Sort=A","Dates=H","DateFormat=P","Fill=—","Direction=H","UseDPDF=Y")</f>
        <v>#NAME?</v>
      </c>
      <c r="AB533" s="2" t="e">
        <f ca="1">_xll.BDH($C$528,"NET_FIXED_ASSETS_1_YEAR_GROWTH","FY 2015","FY 2015","Currency=INR","Period=FY","BEST_FPERIOD_OVERRIDE=FY","FILING_STATUS=OR","EQY_CONSOLIDATED=Y","Sort=A","Dates=H","DateFormat=P","Fill=—","Direction=H","UseDPDF=Y")</f>
        <v>#NAME?</v>
      </c>
      <c r="AC533" s="2" t="e">
        <f ca="1">_xll.BDH($C$528,"ASSET_GROWTH","FY 2015","FY 2015","Currency=INR","Period=FY","BEST_FPERIOD_OVERRIDE=FY","FILING_STATUS=OR","EQY_CONSOLIDATED=Y","Sort=A","Dates=H","DateFormat=P","Fill=—","Direction=H","UseDPDF=Y")</f>
        <v>#NAME?</v>
      </c>
      <c r="AD533" s="2" t="e">
        <f ca="1">_xll.BDH($C$528,"MODIFIED_WORK_CAP_GROWTH","FY 2015","FY 2015","Currency=INR","Period=FY","BEST_FPERIOD_OVERRIDE=FY","FILING_STATUS=OR","EQY_CONSOLIDATED=Y","Sort=A","Dates=H","DateFormat=P","Fill=—","Direction=H","UseDPDF=Y")</f>
        <v>#NAME?</v>
      </c>
      <c r="AE533" s="2" t="e">
        <f ca="1">_xll.BDH($C$528,"WORK_CAP_GROWTH","FY 2015","FY 2015","Currency=INR","Period=FY","BEST_FPERIOD_OVERRIDE=FY","FILING_STATUS=OR","EQY_CONSOLIDATED=Y","Sort=A","Dates=H","DateFormat=P","Fill=—","Direction=H","UseDPDF=Y")</f>
        <v>#NAME?</v>
      </c>
      <c r="AF533" s="2" t="e">
        <f ca="1">_xll.BDH($C$528,"ACCOUNTS_PAYABLE_GROWTH_1YR","FY 2015","FY 2015","Currency=INR","Period=FY","BEST_FPERIOD_OVERRIDE=FY","FILING_STATUS=OR","EQY_CONSOLIDATED=Y","Sort=A","Dates=H","DateFormat=P","Fill=—","Direction=H","UseDPDF=Y")</f>
        <v>#NAME?</v>
      </c>
      <c r="AG533" s="2" t="e">
        <f ca="1">_xll.BDH($C$528,"SHORT_TERM_DEBT_1_YEAR_GROWTH","FY 2015","FY 2015","Currency=INR","Period=FY","BEST_FPERIOD_OVERRIDE=FY","FILING_STATUS=OR","EQY_CONSOLIDATED=Y","Sort=A","Dates=H","DateFormat=P","Fill=—","Direction=H","UseDPDF=Y")</f>
        <v>#NAME?</v>
      </c>
      <c r="AH533" s="2" t="e">
        <f ca="1">_xll.BDH($C$528,"TOTAL_DEBT_1_YEAR_GROWTH","FY 2015","FY 2015","Currency=INR","Period=FY","BEST_FPERIOD_OVERRIDE=FY","FILING_STATUS=OR","EQY_CONSOLIDATED=Y","Sort=A","Dates=H","DateFormat=P","Fill=—","Direction=H","UseDPDF=Y")</f>
        <v>#NAME?</v>
      </c>
      <c r="AI533" s="2" t="e">
        <f ca="1">_xll.BDH($C$528,"TOTAL_EQUITY_1_YEAR_GROWTH","FY 2015","FY 2015","Currency=INR","Period=FY","BEST_FPERIOD_OVERRIDE=FY","FILING_STATUS=OR","EQY_CONSOLIDATED=Y","Sort=A","Dates=H","DateFormat=P","Fill=—","Direction=H","UseDPDF=Y")</f>
        <v>#NAME?</v>
      </c>
      <c r="AJ533" s="2" t="e">
        <f ca="1">_xll.BDH($C$528,"GROWTH_IN_CAP","FY 2015","FY 2015","Currency=INR","Period=FY","BEST_FPERIOD_OVERRIDE=FY","FILING_STATUS=OR","EQY_CONSOLIDATED=Y","Sort=A","Dates=H","DateFormat=P","Fill=—","Direction=H","UseDPDF=Y")</f>
        <v>#NAME?</v>
      </c>
      <c r="AK533" s="2" t="e">
        <f ca="1">_xll.BDH($C$528,"BVPS_GROWTH","FY 2015","FY 2015","Currency=INR","Period=FY","BEST_FPERIOD_OVERRIDE=FY","FILING_STATUS=OR","EQY_CONSOLIDATED=Y","Sort=A","Dates=H","DateFormat=P","Fill=—","Direction=H","UseDPDF=Y")</f>
        <v>#NAME?</v>
      </c>
      <c r="AL533" s="2" t="e">
        <f ca="1">_xll.BDH($C$528,"CASH_FLOW_GROWTH","FY 2015","FY 2015","Currency=INR","Period=FY","BEST_FPERIOD_OVERRIDE=FY","FILING_STATUS=OR","EQY_CONSOLIDATED=Y","Sort=A","Dates=H","DateFormat=P","Fill=—","Direction=H","UseDPDF=Y")</f>
        <v>#NAME?</v>
      </c>
      <c r="AM533" s="2" t="e">
        <f ca="1">_xll.BDH($C$528,"GEO_GROW_NET_SALES","FY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33" s="2" t="e">
        <f ca="1">_xll.BDH($C$528,"GEO_GROW_EBITDA","FY 2015","FY 2015","Currency=INR","Period=FY","BEST_FPERIOD_OVERRIDE=FY","FILING_STATUS=OR","EQY_CONSOLIDATED=Y","FA_ADJUSTED=GAAP","Sort=A","Dates=H","DateFormat=P","Fill=—","Direction=H","UseDPDF=Y")</f>
        <v>#NAME?</v>
      </c>
      <c r="AO533" s="2" t="e">
        <f ca="1">_xll.BDH($C$528,"GEO_GROW_OPER_INC","FY 2015","FY 2015","Currency=INR","Period=FY","BEST_FPERIOD_OVERRIDE=FY","FILING_STATUS=OR","EQY_CONSOLIDATED=Y","FA_ADJUSTED=GAAP","Sort=A","Dates=H","DateFormat=P","Fill=—","Direction=H","UseDPDF=Y")</f>
        <v>#NAME?</v>
      </c>
      <c r="AP533" s="2" t="e">
        <f ca="1">_xll.BDH($C$528,"NET_INCOME_TO_COMMON_5_YR_GROWTH","FY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33" s="2" t="e">
        <f ca="1">_xll.BDH($C$528,"5Y_GEO_GROWTH_DILUTED_EPS","FY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33" s="2" t="e">
        <f ca="1">_xll.BDH($C$528,"GEO_GROW_DVD_PER_SH","FY 2015","FY 2015","Currency=INR","Period=FY","BEST_FPERIOD_OVERRIDE=FY","FILING_STATUS=OR","EQY_CONSOLIDATED=Y","Sort=A","Dates=H","DateFormat=P","Fill=—","Direction=H","UseDPDF=Y")</f>
        <v>#NAME?</v>
      </c>
      <c r="AS533" s="2" t="e">
        <f ca="1">_xll.BDH($C$528,"ACCOUNTS_RECEIVABLE_5_YR_GROWTH","FY 2015","FY 2015","Currency=INR","Period=FY","BEST_FPERIOD_OVERRIDE=FY","FILING_STATUS=OR","EQY_CONSOLIDATED=Y","Sort=A","Dates=H","DateFormat=P","Fill=—","Direction=H","UseDPDF=Y")</f>
        <v>#NAME?</v>
      </c>
      <c r="AT533" s="2" t="e">
        <f ca="1">_xll.BDH($C$528,"INVENTORY_5_YEAR_GROWTH","FY 2015","FY 2015","Currency=INR","Period=FY","BEST_FPERIOD_OVERRIDE=FY","FILING_STATUS=OR","EQY_CONSOLIDATED=Y","Sort=A","Dates=H","DateFormat=P","Fill=—","Direction=H","UseDPDF=Y")</f>
        <v>#NAME?</v>
      </c>
      <c r="AU533" s="2" t="e">
        <f ca="1">_xll.BDH($C$528,"NET_FIXED_ASSETS_5_YEAR_GROWTH","FY 2015","FY 2015","Currency=INR","Period=FY","BEST_FPERIOD_OVERRIDE=FY","FILING_STATUS=OR","EQY_CONSOLIDATED=Y","Sort=A","Dates=H","DateFormat=P","Fill=—","Direction=H","UseDPDF=Y")</f>
        <v>#NAME?</v>
      </c>
      <c r="AV533" s="2" t="e">
        <f ca="1">_xll.BDH($C$528,"GEO_GROW_TOT_ASSET","FY 2015","FY 2015","Currency=INR","Period=FY","BEST_FPERIOD_OVERRIDE=FY","FILING_STATUS=OR","EQY_CONSOLIDATED=Y","Sort=A","Dates=H","DateFormat=P","Fill=—","Direction=H","UseDPDF=Y")</f>
        <v>#NAME?</v>
      </c>
      <c r="AW533" s="2" t="e">
        <f ca="1">_xll.BDH($C$528,"MODIFIED_WORKING_CPTL_5YR_GRWTH","FY 2015","FY 2015","Currency=INR","Period=FY","BEST_FPERIOD_OVERRIDE=FY","FILING_STATUS=OR","EQY_CONSOLIDATED=Y","Sort=A","Dates=H","DateFormat=P","Fill=—","Direction=H","UseDPDF=Y")</f>
        <v>#NAME?</v>
      </c>
      <c r="AX533" s="2" t="e">
        <f ca="1">_xll.BDH($C$528,"WORKING_CAPITAL_5_YEAR_GROWTH","FY 2015","FY 2015","Currency=INR","Period=FY","BEST_FPERIOD_OVERRIDE=FY","FILING_STATUS=OR","EQY_CONSOLIDATED=Y","Sort=A","Dates=H","DateFormat=P","Fill=—","Direction=H","UseDPDF=Y")</f>
        <v>#NAME?</v>
      </c>
      <c r="AY533" s="2" t="e">
        <f ca="1">_xll.BDH($C$528,"ACCOUNTS_PAYABLE_5_YEAR_GROWTH","FY 2015","FY 2015","Currency=INR","Period=FY","BEST_FPERIOD_OVERRIDE=FY","FILING_STATUS=OR","EQY_CONSOLIDATED=Y","Sort=A","Dates=H","DateFormat=P","Fill=—","Direction=H","UseDPDF=Y")</f>
        <v>#NAME?</v>
      </c>
      <c r="AZ533" s="2" t="e">
        <f ca="1">_xll.BDH($C$528,"SHORT_TERM_DEBT_5_YEAR_GROWTH","FY 2015","FY 2015","Currency=INR","Period=FY","BEST_FPERIOD_OVERRIDE=FY","FILING_STATUS=OR","EQY_CONSOLIDATED=Y","Sort=A","Dates=H","DateFormat=P","Fill=—","Direction=H","UseDPDF=Y")</f>
        <v>#NAME?</v>
      </c>
      <c r="BA533" s="2" t="e">
        <f ca="1">_xll.BDH($C$528,"TOTAL_DEBT_5_YEAR_GROWTH","FY 2015","FY 2015","Currency=INR","Period=FY","BEST_FPERIOD_OVERRIDE=FY","FILING_STATUS=OR","EQY_CONSOLIDATED=Y","Sort=A","Dates=H","DateFormat=P","Fill=—","Direction=H","UseDPDF=Y")</f>
        <v>#NAME?</v>
      </c>
      <c r="BB533" s="2" t="e">
        <f ca="1">_xll.BDH($C$528,"GEO_GROW_TOT_SHRHLDR_EQY","FY 2015","FY 2015","Currency=INR","Period=FY","BEST_FPERIOD_OVERRIDE=FY","FILING_STATUS=OR","EQY_CONSOLIDATED=Y","Sort=A","Dates=H","DateFormat=P","Fill=—","Direction=H","UseDPDF=Y")</f>
        <v>#NAME?</v>
      </c>
      <c r="BC533" s="2" t="e">
        <f ca="1">_xll.BDH($C$528,"TOTAL_CAPITAL_5_YEAR_GROWTH","FY 2015","FY 2015","Currency=INR","Period=FY","BEST_FPERIOD_OVERRIDE=FY","FILING_STATUS=OR","EQY_CONSOLIDATED=Y","Sort=A","Dates=H","DateFormat=P","Fill=—","Direction=H","UseDPDF=Y")</f>
        <v>#NAME?</v>
      </c>
      <c r="BD533" s="2" t="e">
        <f ca="1">_xll.BDH($C$528,"GEO_GROW_BOOK_VAL","FY 2015","FY 2015","Currency=INR","Period=FY","BEST_FPERIOD_OVERRIDE=FY","FILING_STATUS=OR","EQY_CONSOLIDATED=Y","Sort=A","Dates=H","DateFormat=P","Fill=—","Direction=H","UseDPDF=Y")</f>
        <v>#NAME?</v>
      </c>
      <c r="BE533" s="2" t="e">
        <f ca="1">_xll.BDH($C$528,"GEO_GROW_CASH_OPER_ACT","FY 2015","FY 2015","Currency=INR","Period=FY","BEST_FPERIOD_OVERRIDE=FY","FILING_STATUS=OR","EQY_CONSOLIDATED=Y","Sort=A","Dates=H","DateFormat=P","Fill=—","Direction=H","UseDPDF=Y")</f>
        <v>#NAME?</v>
      </c>
      <c r="BF533" s="2" t="e">
        <f ca="1">_xll.BDH($C$528,"REVENUE_SEQUENTIAL_GROWTH","FY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33" s="2" t="e">
        <f ca="1">_xll.BDH($C$528,"EBITDA_SEQUENTIAL_GROWTH","FY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33" s="2" t="e">
        <f ca="1">_xll.BDH($C$528,"OPERATING_INCOME_SEQ_GROWTH","FY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33" s="2" t="e">
        <f ca="1">_xll.BDH($C$528,"NET_INCOME_TO_COMMON_SEQ_GROWTH","FY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33" s="2" t="e">
        <f ca="1">_xll.BDH($C$528,"EPS_DILUTED_SEQUENTIAL_GROWTH","FY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33" s="2" t="e">
        <f ca="1">_xll.BDH($C$528,"DPS_SEQUENTIAL_GROWTH","FY 2015","FY 2015","Currency=INR","Period=FY","BEST_FPERIOD_OVERRIDE=FY","FILING_STATUS=OR","EQY_CONSOLIDATED=Y","Sort=A","Dates=H","DateFormat=P","Fill=—","Direction=H","UseDPDF=Y")</f>
        <v>#NAME?</v>
      </c>
      <c r="BL533" s="2" t="e">
        <f ca="1">_xll.BDH($C$528,"ACCOUNTS_RECEIVABLE_SEQ_GROWTH","FY 2015","FY 2015","Currency=INR","Period=FY","BEST_FPERIOD_OVERRIDE=FY","FILING_STATUS=OR","EQY_CONSOLIDATED=Y","Sort=A","Dates=H","DateFormat=P","Fill=—","Direction=H","UseDPDF=Y")</f>
        <v>#NAME?</v>
      </c>
      <c r="BM533" s="2" t="e">
        <f ca="1">_xll.BDH($C$528,"INVENTORY_SEQUENTIAL_GROWTH","FY 2015","FY 2015","Currency=INR","Period=FY","BEST_FPERIOD_OVERRIDE=FY","FILING_STATUS=OR","EQY_CONSOLIDATED=Y","Sort=A","Dates=H","DateFormat=P","Fill=—","Direction=H","UseDPDF=Y")</f>
        <v>#NAME?</v>
      </c>
      <c r="BN533" s="2" t="e">
        <f ca="1">_xll.BDH($C$528,"FIXED_ASSETS_SEQUENTIAL_GROWTH","FY 2015","FY 2015","Currency=INR","Period=FY","BEST_FPERIOD_OVERRIDE=FY","FILING_STATUS=OR","EQY_CONSOLIDATED=Y","Sort=A","Dates=H","DateFormat=P","Fill=—","Direction=H","UseDPDF=Y")</f>
        <v>#NAME?</v>
      </c>
      <c r="BO533" s="2" t="e">
        <f ca="1">_xll.BDH($C$528,"TOTAL_ASSETS_SEQUENTIAL_GROWTH","FY 2015","FY 2015","Currency=INR","Period=FY","BEST_FPERIOD_OVERRIDE=FY","FILING_STATUS=OR","EQY_CONSOLIDATED=Y","Sort=A","Dates=H","DateFormat=P","Fill=—","Direction=H","UseDPDF=Y")</f>
        <v>#NAME?</v>
      </c>
      <c r="BP533" s="2" t="e">
        <f ca="1">_xll.BDH($C$528,"MODIFIED_WORKING_CPTL_SEQ_GRWTH","FY 2015","FY 2015","Currency=INR","Period=FY","BEST_FPERIOD_OVERRIDE=FY","FILING_STATUS=OR","EQY_CONSOLIDATED=Y","Sort=A","Dates=H","DateFormat=P","Fill=—","Direction=H","UseDPDF=Y")</f>
        <v>#NAME?</v>
      </c>
      <c r="BQ533" s="2" t="e">
        <f ca="1">_xll.BDH($C$528,"WORKING_CAPITAL_SEQ_GROWTH","FY 2015","FY 2015","Currency=INR","Period=FY","BEST_FPERIOD_OVERRIDE=FY","FILING_STATUS=OR","EQY_CONSOLIDATED=Y","Sort=A","Dates=H","DateFormat=P","Fill=—","Direction=H","UseDPDF=Y")</f>
        <v>#NAME?</v>
      </c>
      <c r="BR533" s="2" t="e">
        <f ca="1">_xll.BDH($C$528,"ACCOUNTS_PAYABLE_SEQ_GROWTH","FY 2015","FY 2015","Currency=INR","Period=FY","BEST_FPERIOD_OVERRIDE=FY","FILING_STATUS=OR","EQY_CONSOLIDATED=Y","Sort=A","Dates=H","DateFormat=P","Fill=—","Direction=H","UseDPDF=Y")</f>
        <v>#NAME?</v>
      </c>
      <c r="BS533" s="2" t="e">
        <f ca="1">_xll.BDH($C$528,"ST_DEBT_SEQUENTIAL_GROWTH","FY 2015","FY 2015","Currency=INR","Period=FY","BEST_FPERIOD_OVERRIDE=FY","FILING_STATUS=OR","EQY_CONSOLIDATED=Y","Sort=A","Dates=H","DateFormat=P","Fill=—","Direction=H","UseDPDF=Y")</f>
        <v>#NAME?</v>
      </c>
      <c r="BT533" s="2" t="e">
        <f ca="1">_xll.BDH($C$528,"TOTAL_DEBT_SEQUENTIAL_GROWTH","FY 2015","FY 2015","Currency=INR","Period=FY","BEST_FPERIOD_OVERRIDE=FY","FILING_STATUS=OR","EQY_CONSOLIDATED=Y","Sort=A","Dates=H","DateFormat=P","Fill=—","Direction=H","UseDPDF=Y")</f>
        <v>#NAME?</v>
      </c>
      <c r="BU533" s="2" t="e">
        <f ca="1">_xll.BDH($C$528,"TOTAL_EQUITY_SEQUENTIAL_GROWTH","FY 2015","FY 2015","Currency=INR","Period=FY","BEST_FPERIOD_OVERRIDE=FY","FILING_STATUS=OR","EQY_CONSOLIDATED=Y","Sort=A","Dates=H","DateFormat=P","Fill=—","Direction=H","UseDPDF=Y")</f>
        <v>#NAME?</v>
      </c>
      <c r="BV533" s="2" t="e">
        <f ca="1">_xll.BDH($C$528,"TOTAL_CAPITAL_SEQUENTIAL_GROWTH","FY 2015","FY 2015","Currency=INR","Period=FY","BEST_FPERIOD_OVERRIDE=FY","FILING_STATUS=OR","EQY_CONSOLIDATED=Y","Sort=A","Dates=H","DateFormat=P","Fill=—","Direction=H","UseDPDF=Y")</f>
        <v>#NAME?</v>
      </c>
      <c r="BW533" s="2" t="e">
        <f ca="1">_xll.BDH($C$528,"BPS_SEQUENTIAL_GROWTH","FY 2015","FY 2015","Currency=INR","Period=FY","BEST_FPERIOD_OVERRIDE=FY","FILING_STATUS=OR","EQY_CONSOLIDATED=Y","Sort=A","Dates=H","DateFormat=P","Fill=—","Direction=H","UseDPDF=Y")</f>
        <v>#NAME?</v>
      </c>
      <c r="BX533" s="2" t="e">
        <f ca="1">_xll.BDH($C$528,"CFO_SEQUENTIAL_GROWTH","FY 2015","FY 2015","Currency=INR","Period=FY","BEST_FPERIOD_OVERRIDE=FY","FILING_STATUS=OR","EQY_CONSOLIDATED=Y","Sort=A","Dates=H","DateFormat=P","Fill=—","Direction=H","UseDPDF=Y")</f>
        <v>#NAME?</v>
      </c>
      <c r="BY533" s="3" t="e">
        <f ca="1">_xll.BDH($C$528,"SHORT_AND_LONG_TERM_DEBT","FY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33" s="3" t="e">
        <f ca="1">_xll.BDH($C$528,"BS_ST_BORROW","FY 2015","FY 2015","Currency=INR","Period=FY","BEST_FPERIOD_OVERRIDE=FY","FILING_STATUS=OR","EQY_CONSOLIDATED=Y","SCALING_FORMAT=MLN","Sort=A","Dates=H","DateFormat=P","Fill=—","Direction=H","UseDPDF=Y")</f>
        <v>#NAME?</v>
      </c>
      <c r="CA533" s="3" t="e">
        <f ca="1">_xll.BDH($C$528,"BS_LT_BORROW","FY 2015","FY 2015","Currency=INR","Period=FY","BEST_FPERIOD_OVERRIDE=FY","FILING_STATUS=OR","EQY_CONSOLIDATED=Y","SCALING_FORMAT=MLN","Sort=A","Dates=H","DateFormat=P","Fill=—","Direction=H","UseDPDF=Y")</f>
        <v>#NAME?</v>
      </c>
      <c r="CB533" s="2" t="e">
        <f ca="1">_xll.BDH($C$528,"TOT_DEBT_TO_EBITDA","FY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33" s="2" t="e">
        <f ca="1">_xll.BDH($C$528,"NET_DEBT_TO_EBITDA","FY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33" s="2" t="e">
        <f ca="1">_xll.BDH($C$528,"TOTAL_DEBT_TO_EBIT","FY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33" s="2" t="e">
        <f ca="1">_xll.BDH($C$528,"NET_DEBT_TO_EBIT","FY 2015","FY 2015","Currency=INR","Period=FY","BEST_FPERIOD_OVERRIDE=FY","FILING_STATUS=OR","EQY_CONSOLIDATED=Y","FA_ADJUSTED=GAAP","Sort=A","Dates=H","DateFormat=P","Fill=—","Direction=H","UseDPDF=Y")</f>
        <v>#NAME?</v>
      </c>
      <c r="CF533" s="2" t="e">
        <f ca="1">_xll.BDH($C$528,"EBITDA_TO_INTEREST_EXPN","FY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33" s="2" t="e">
        <f ca="1">_xll.BDH($C$528,"COM_EQY_TO_TOT_ASSET","FY 2015","FY 2015","Currency=INR","Period=FY","BEST_FPERIOD_OVERRIDE=FY","FILING_STATUS=OR","EQY_CONSOLIDATED=Y","Sort=A","Dates=H","DateFormat=P","Fill=—","Direction=H","UseDPDF=Y")</f>
        <v>#NAME?</v>
      </c>
      <c r="CH533" s="2" t="e">
        <f ca="1">_xll.BDH($C$528,"LT_DEBT_TO_TOT_EQY","FY 2015","FY 2015","Currency=INR","Period=FY","BEST_FPERIOD_OVERRIDE=FY","FILING_STATUS=OR","EQY_CONSOLIDATED=Y","Sort=A","Dates=H","DateFormat=P","Fill=—","Direction=H","UseDPDF=Y")</f>
        <v>#NAME?</v>
      </c>
      <c r="CI533" s="2" t="e">
        <f ca="1">_xll.BDH($C$528,"LT_DEBT_TO_TOT_CAP","FY 2015","FY 2015","Currency=INR","Period=FY","BEST_FPERIOD_OVERRIDE=FY","FILING_STATUS=OR","EQY_CONSOLIDATED=Y","Sort=A","Dates=H","DateFormat=P","Fill=—","Direction=H","UseDPDF=Y")</f>
        <v>#NAME?</v>
      </c>
      <c r="CJ533" s="2" t="e">
        <f ca="1">_xll.BDH($C$528,"LT_DEBT_TO_TOT_ASSET","FY 2015","FY 2015","Currency=INR","Period=FY","BEST_FPERIOD_OVERRIDE=FY","FILING_STATUS=OR","EQY_CONSOLIDATED=Y","Sort=A","Dates=H","DateFormat=P","Fill=—","Direction=H","UseDPDF=Y")</f>
        <v>#NAME?</v>
      </c>
      <c r="CK533" s="2" t="e">
        <f ca="1">_xll.BDH($C$528,"TOT_DEBT_TO_TOT_EQY","FY 2015","FY 2015","Currency=INR","Period=FY","BEST_FPERIOD_OVERRIDE=FY","FILING_STATUS=OR","EQY_CONSOLIDATED=Y","Sort=A","Dates=H","DateFormat=P","Fill=—","Direction=H","UseDPDF=Y")</f>
        <v>#NAME?</v>
      </c>
      <c r="CL533" s="2" t="e">
        <f ca="1">_xll.BDH($C$528,"TOT_DEBT_TO_TOT_CAP","FY 2015","FY 2015","Currency=INR","Period=FY","BEST_FPERIOD_OVERRIDE=FY","FILING_STATUS=OR","EQY_CONSOLIDATED=Y","Sort=A","Dates=H","DateFormat=P","Fill=—","Direction=H","UseDPDF=Y")</f>
        <v>#NAME?</v>
      </c>
      <c r="CM533" s="2" t="e">
        <f ca="1">_xll.BDH($C$528,"TOT_DEBT_TO_TOT_ASSET","FY 2015","FY 2015","Currency=INR","Period=FY","BEST_FPERIOD_OVERRIDE=FY","FILING_STATUS=OR","EQY_CONSOLIDATED=Y","Sort=A","Dates=H","DateFormat=P","Fill=—","Direction=H","UseDPDF=Y")</f>
        <v>#NAME?</v>
      </c>
      <c r="CN533" s="2" t="e">
        <f ca="1">_xll.BDH($C$528,"NET_DEBT_TO_SHRHLDR_EQTY","FY 2015","FY 2015","Currency=INR","Period=FY","BEST_FPERIOD_OVERRIDE=FY","FILING_STATUS=OR","EQY_CONSOLIDATED=Y","Sort=A","Dates=H","DateFormat=P","Fill=—","Direction=H","UseDPDF=Y")</f>
        <v>#NAME?</v>
      </c>
      <c r="CO533" s="2" t="e">
        <f ca="1">_xll.BDH($C$528,"NET_DEBT_%_CAPITAL","FY 2015","FY 2015","Currency=INR","Period=FY","BEST_FPERIOD_OVERRIDE=FY","FILING_STATUS=OR","EQY_CONSOLIDATED=Y","Sort=A","Dates=H","DateFormat=P","Fill=—","Direction=H","UseDPDF=Y")</f>
        <v>#NAME?</v>
      </c>
      <c r="CP533" s="3" t="e">
        <f ca="1">_xll.BDH($C$528,"EBITDA","FY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33" s="3" t="e">
        <f ca="1">_xll.BDH($C$528,"EBITDA_AFTER_CAPEX","FY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33" s="3" t="e">
        <f ca="1">_xll.BDH($C$528,"IS_OPER_INC","FY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33" s="2" t="e">
        <f ca="1">_xll.BDH($C$528,"CASH_RATIO","FY 2015","FY 2015","Currency=INR","Period=FY","BEST_FPERIOD_OVERRIDE=FY","FILING_STATUS=OR","EQY_CONSOLIDATED=Y","Sort=A","Dates=H","DateFormat=P","Fill=—","Direction=H","UseDPDF=Y")</f>
        <v>#NAME?</v>
      </c>
      <c r="CT533" s="2" t="e">
        <f ca="1">_xll.BDH($C$528,"CUR_RATIO","FY 2015","FY 2015","Currency=INR","Period=FY","BEST_FPERIOD_OVERRIDE=FY","FILING_STATUS=OR","EQY_CONSOLIDATED=Y","Sort=A","Dates=H","DateFormat=P","Fill=—","Direction=H","UseDPDF=Y")</f>
        <v>#NAME?</v>
      </c>
      <c r="CU533" s="2" t="e">
        <f ca="1">_xll.BDH($C$528,"QUICK_RATIO","FY 2015","FY 2015","Currency=INR","Period=FY","BEST_FPERIOD_OVERRIDE=FY","FILING_STATUS=OR","EQY_CONSOLIDATED=Y","Sort=A","Dates=H","DateFormat=P","Fill=—","Direction=H","UseDPDF=Y")</f>
        <v>#NAME?</v>
      </c>
      <c r="CV533" s="2" t="e">
        <f ca="1">_xll.BDH($C$528,"ALTMAN_Z_SCORE","FY 2015","FY 2015","Currency=INR","Period=FY","BEST_FPERIOD_OVERRIDE=FY","FILING_STATUS=OR","EQY_CONSOLIDATED=Y","Sort=A","Dates=H","DateFormat=P","Fill=—","Direction=H","UseDPDF=Y")</f>
        <v>#NAME?</v>
      </c>
      <c r="CW533" s="4" t="e">
        <f ca="1">_xll.BDH($C$528,"ACCT_RCV_TURN","FY 2015","FY 2015","Currency=INR","Period=FY","BEST_FPERIOD_OVERRIDE=FY","FILING_STATUS=OR","EQY_CONSOLIDATED=Y","FA_ADJUSTED=GAAP","Sort=A","Dates=H","DateFormat=P","Fill=—","Direction=H","UseDPDF=Y")</f>
        <v>#NAME?</v>
      </c>
      <c r="CX533" s="2" t="e">
        <f ca="1">_xll.BDH($C$528,"ACCT_RCV_DAYS","FY 2015","FY 2015","Currency=INR","Period=FY","BEST_FPERIOD_OVERRIDE=FY","FILING_STATUS=OR","EQY_CONSOLIDATED=Y","FA_ADJUSTED=GAAP","Sort=A","Dates=H","DateFormat=P","Fill=—","Direction=H","UseDPDF=Y")</f>
        <v>#NAME?</v>
      </c>
      <c r="CY533" s="4" t="e">
        <f ca="1">_xll.BDH($C$528,"INVENT_TURN","FY 2015","FY 2015","Currency=INR","Period=FY","BEST_FPERIOD_OVERRIDE=FY","FILING_STATUS=OR","EQY_CONSOLIDATED=Y","FA_ADJUSTED=GAAP","Sort=A","Dates=H","DateFormat=P","Fill=—","Direction=H","UseDPDF=Y")</f>
        <v>#NAME?</v>
      </c>
      <c r="CZ533" s="2" t="e">
        <f ca="1">_xll.BDH($C$528,"INVENT_DAYS","FY 2015","FY 2015","Currency=INR","Period=FY","BEST_FPERIOD_OVERRIDE=FY","FILING_STATUS=OR","EQY_CONSOLIDATED=Y","FA_ADJUSTED=GAAP","Sort=A","Dates=H","DateFormat=P","Fill=—","Direction=H","UseDPDF=Y")</f>
        <v>#NAME?</v>
      </c>
      <c r="DA533" s="4" t="e">
        <f ca="1">_xll.BDH($C$528,"ACCOUNTS_PAYABLE_TURNOVER","FY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33" s="2" t="e">
        <f ca="1">_xll.BDH($C$528,"ACCOUNTS_PAYABLE_TURNOVER_DAYS","FY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33" s="4" t="e">
        <f ca="1">_xll.BDH($C$528,"CASH_CONVERSION_CYCLE","FY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33" s="4" t="e">
        <f ca="1">_xll.BDH($C$528,"INV_TO_CASH_DAYS","FY 2015","FY 2015","Currency=INR","Period=FY","BEST_FPERIOD_OVERRIDE=FY","FILING_STATUS=OR","EQY_CONSOLIDATED=Y","FA_ADJUSTED=GAAP","Sort=A","Dates=H","DateFormat=P","Fill=—","Direction=H","UseDPDF=Y")</f>
        <v>#NAME?</v>
      </c>
      <c r="DE533" s="5" t="e">
        <f ca="1">_xll.BDH($C$528,"BS_INVENTORIES","FY 2015","FY 2015","Currency=INR","Period=FY","BEST_FPERIOD_OVERRIDE=FY","FILING_STATUS=OR","EQY_CONSOLIDATED=Y","SCALING_FORMAT=MLN","Sort=A","Dates=H","DateFormat=P","Fill=—","Direction=H","UseDPDF=Y")</f>
        <v>#NAME?</v>
      </c>
      <c r="DF533" s="3" t="e">
        <f ca="1">_xll.BDH($C$528,"INVTRY_RAW_MATERIALS","FY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33" s="3" t="e">
        <f ca="1">_xll.BDH($C$528,"INVTRY_IN_PROGRESS","FY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33" s="3" t="e">
        <f ca="1">_xll.BDH($C$528,"INVTRY_FINISHED_GOODS","FY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33" s="3" t="e">
        <f ca="1">_xll.BDH($C$528,"BS_OTHER_INV","FY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34" spans="1:113" x14ac:dyDescent="0.3">
      <c r="A534" s="6"/>
      <c r="B534" s="6"/>
      <c r="C534" s="6"/>
      <c r="D534" s="6"/>
      <c r="E534" t="s">
        <v>78</v>
      </c>
      <c r="F534" t="e">
        <f ca="1">_xll.BDH($C$528,"RETURN_COM_EQY","FQ1 2015","FQ1 2015","Currency=INR","Period=FQ","BEST_FPERIOD_OVERRIDE=FQ","FILING_STATUS=OR","EQY_CONSOLIDATED=Y","FA_ADJUSTED=GAAP","Sort=A","Dates=H","DateFormat=P","Fill=—","Direction=H","UseDPDF=Y")</f>
        <v>#NAME?</v>
      </c>
      <c r="G534" t="e">
        <f ca="1">_xll.BDH($C$528,"RETURN_ON_ASSET","FQ1 2015","FQ1 2015","Currency=INR","Period=FQ","BEST_FPERIOD_OVERRIDE=FQ","FILING_STATUS=OR","EQY_CONSOLIDATED=Y","FA_ADJUSTED=GAAP","Sort=A","Dates=H","DateFormat=P","Fill=—","Direction=H","UseDPDF=Y")</f>
        <v>#NAME?</v>
      </c>
      <c r="H534" t="e">
        <f ca="1">_xll.BDH($C$528,"RETURN_ON_CAP","FQ1 2015","FQ1 2015","Currency=INR","Period=FQ","BEST_FPERIOD_OVERRIDE=FQ","FILING_STATUS=OR","EQY_CONSOLIDATED=Y","FA_ADJUSTED=GAAP","Sort=A","Dates=H","DateFormat=P","Fill=—","Direction=H","UseDPDF=Y")</f>
        <v>#NAME?</v>
      </c>
      <c r="I534" t="e">
        <f ca="1">_xll.BDH($C$528,"RETURN_ON_INV_CAPITAL","FQ1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34" t="e">
        <f ca="1">_xll.BDH($C$528,"EBITDA_TO_REVENUE","FQ1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34" t="e">
        <f ca="1">_xll.BDH($C$528,"OPER_MARGIN","FQ1 2015","FQ1 2015","Currency=INR","Period=FQ","BEST_FPERIOD_OVERRIDE=FQ","FILING_STATUS=OR","EQY_CONSOLIDATED=Y","FA_ADJUSTED=GAAP","Sort=A","Dates=H","DateFormat=P","Fill=—","Direction=H","UseDPDF=Y")</f>
        <v>#NAME?</v>
      </c>
      <c r="L534" t="e">
        <f ca="1">_xll.BDH($C$528,"INCREMENTAL_OPERATING_MARGIN","FQ1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34" t="e">
        <f ca="1">_xll.BDH($C$528,"PRETAX_INC_TO_NET_SALES","FQ1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34" t="e">
        <f ca="1">_xll.BDH($C$528,"INC_BEF_XO_ITEMS_TO_NET_SALES","FQ1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34" t="e">
        <f ca="1">_xll.BDH($C$528,"PROF_MARGIN","FQ1 2015","FQ1 2015","Currency=INR","Period=FQ","BEST_FPERIOD_OVERRIDE=FQ","FILING_STATUS=OR","EQY_CONSOLIDATED=Y","FA_ADJUSTED=GAAP","Sort=A","Dates=H","DateFormat=P","Fill=—","Direction=H","UseDPDF=Y")</f>
        <v>#NAME?</v>
      </c>
      <c r="P534" t="e">
        <f ca="1">_xll.BDH($C$528,"NET_INCOME_TO_COMMON_MARGIN","FQ1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34" t="e">
        <f ca="1">_xll.BDH($C$528,"EFF_TAX_RATE","FQ1 2015","FQ1 2015","Currency=INR","Period=FQ","BEST_FPERIOD_OVERRIDE=FQ","FILING_STATUS=OR","EQY_CONSOLIDATED=Y","FA_ADJUSTED=GAAP","Sort=A","Dates=H","DateFormat=P","Fill=—","Direction=H","UseDPDF=Y")</f>
        <v>#NAME?</v>
      </c>
      <c r="R534" t="e">
        <f ca="1">_xll.BDH($C$528,"DVD_PAYOUT_RATIO","FQ1 2015","FQ1 2015","Currency=INR","Period=FQ","BEST_FPERIOD_OVERRIDE=FQ","FILING_STATUS=OR","EQY_CONSOLIDATED=Y","FA_ADJUSTED=GAAP","Sort=A","Dates=H","DateFormat=P","Fill=—","Direction=H","UseDPDF=Y")</f>
        <v>#NAME?</v>
      </c>
      <c r="S534" t="e">
        <f ca="1">_xll.BDH($C$528,"SUSTAIN_GROWTH_RT","FQ1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34" s="2" t="e">
        <f ca="1">_xll.BDH($C$528,"SALES_GROWTH","FQ1 2015","FQ1 2015","Currency=INR","Period=FQ","BEST_FPERIOD_OVERRIDE=FQ","FILING_STATUS=OR","EQY_CONSOLIDATED=Y","FA_ADJUSTED=GAAP","Sort=A","Dates=H","DateFormat=P","Fill=—","Direction=H","UseDPDF=Y")</f>
        <v>#NAME?</v>
      </c>
      <c r="U534" s="2" t="e">
        <f ca="1">_xll.BDH($C$528,"EBITDA_GROWTH","FQ1 2015","FQ1 2015","Currency=INR","Period=FQ","BEST_FPERIOD_OVERRIDE=FQ","FILING_STATUS=OR","EQY_CONSOLIDATED=Y","FA_ADJUSTED=GAAP","Sort=A","Dates=H","DateFormat=P","Fill=—","Direction=H","UseDPDF=Y")</f>
        <v>#NAME?</v>
      </c>
      <c r="V534" s="2" t="e">
        <f ca="1">_xll.BDH($C$528,"OPER_INC_GROWTH","FQ1 2015","FQ1 2015","Currency=INR","Period=FQ","BEST_FPERIOD_OVERRIDE=FQ","FILING_STATUS=OR","EQY_CONSOLIDATED=Y","FA_ADJUSTED=GAAP","Sort=A","Dates=H","DateFormat=P","Fill=—","Direction=H","UseDPDF=Y")</f>
        <v>#NAME?</v>
      </c>
      <c r="W534" s="2" t="e">
        <f ca="1">_xll.BDH($C$528,"EARN_FOR_COM_GROWTH","FQ1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34" s="2" t="e">
        <f ca="1">_xll.BDH($C$528,"DILUTED_EPS_AFT_XO_ITEMS_GROWTH","FQ1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34" s="2" t="e">
        <f ca="1">_xll.BDH($C$528,"DIVIDEND_PER_SHARE_1_YEAR_GROWTH","FQ1 2015","FQ1 2015","Currency=INR","Period=FQ","BEST_FPERIOD_OVERRIDE=FQ","FILING_STATUS=OR","EQY_CONSOLIDATED=Y","Sort=A","Dates=H","DateFormat=P","Fill=—","Direction=H","UseDPDF=Y")</f>
        <v>#NAME?</v>
      </c>
      <c r="Z534" s="2" t="e">
        <f ca="1">_xll.BDH($C$528,"ACCOUNTS_RECEIVABLE_GROWTH","FQ1 2015","FQ1 2015","Currency=INR","Period=FQ","BEST_FPERIOD_OVERRIDE=FQ","FILING_STATUS=OR","EQY_CONSOLIDATED=Y","Sort=A","Dates=H","DateFormat=P","Fill=—","Direction=H","UseDPDF=Y")</f>
        <v>#NAME?</v>
      </c>
      <c r="AA534" s="2" t="e">
        <f ca="1">_xll.BDH($C$528,"INVENTORY_GROWTH","FQ1 2015","FQ1 2015","Currency=INR","Period=FQ","BEST_FPERIOD_OVERRIDE=FQ","FILING_STATUS=OR","EQY_CONSOLIDATED=Y","Sort=A","Dates=H","DateFormat=P","Fill=—","Direction=H","UseDPDF=Y")</f>
        <v>#NAME?</v>
      </c>
      <c r="AB534" s="2" t="e">
        <f ca="1">_xll.BDH($C$528,"NET_FIXED_ASSETS_1_YEAR_GROWTH","FQ1 2015","FQ1 2015","Currency=INR","Period=FQ","BEST_FPERIOD_OVERRIDE=FQ","FILING_STATUS=OR","EQY_CONSOLIDATED=Y","Sort=A","Dates=H","DateFormat=P","Fill=—","Direction=H","UseDPDF=Y")</f>
        <v>#NAME?</v>
      </c>
      <c r="AC534" s="2" t="e">
        <f ca="1">_xll.BDH($C$528,"ASSET_GROWTH","FQ1 2015","FQ1 2015","Currency=INR","Period=FQ","BEST_FPERIOD_OVERRIDE=FQ","FILING_STATUS=OR","EQY_CONSOLIDATED=Y","Sort=A","Dates=H","DateFormat=P","Fill=—","Direction=H","UseDPDF=Y")</f>
        <v>#NAME?</v>
      </c>
      <c r="AD534" s="2" t="e">
        <f ca="1">_xll.BDH($C$528,"MODIFIED_WORK_CAP_GROWTH","FQ1 2015","FQ1 2015","Currency=INR","Period=FQ","BEST_FPERIOD_OVERRIDE=FQ","FILING_STATUS=OR","EQY_CONSOLIDATED=Y","Sort=A","Dates=H","DateFormat=P","Fill=—","Direction=H","UseDPDF=Y")</f>
        <v>#NAME?</v>
      </c>
      <c r="AE534" s="2" t="e">
        <f ca="1">_xll.BDH($C$528,"WORK_CAP_GROWTH","FQ1 2015","FQ1 2015","Currency=INR","Period=FQ","BEST_FPERIOD_OVERRIDE=FQ","FILING_STATUS=OR","EQY_CONSOLIDATED=Y","Sort=A","Dates=H","DateFormat=P","Fill=—","Direction=H","UseDPDF=Y")</f>
        <v>#NAME?</v>
      </c>
      <c r="AF534" s="2" t="e">
        <f ca="1">_xll.BDH($C$528,"ACCOUNTS_PAYABLE_GROWTH_1YR","FQ1 2015","FQ1 2015","Currency=INR","Period=FQ","BEST_FPERIOD_OVERRIDE=FQ","FILING_STATUS=OR","EQY_CONSOLIDATED=Y","Sort=A","Dates=H","DateFormat=P","Fill=—","Direction=H","UseDPDF=Y")</f>
        <v>#NAME?</v>
      </c>
      <c r="AG534" s="2" t="e">
        <f ca="1">_xll.BDH($C$528,"SHORT_TERM_DEBT_1_YEAR_GROWTH","FQ1 2015","FQ1 2015","Currency=INR","Period=FQ","BEST_FPERIOD_OVERRIDE=FQ","FILING_STATUS=OR","EQY_CONSOLIDATED=Y","Sort=A","Dates=H","DateFormat=P","Fill=—","Direction=H","UseDPDF=Y")</f>
        <v>#NAME?</v>
      </c>
      <c r="AH534" s="2" t="e">
        <f ca="1">_xll.BDH($C$528,"TOTAL_DEBT_1_YEAR_GROWTH","FQ1 2015","FQ1 2015","Currency=INR","Period=FQ","BEST_FPERIOD_OVERRIDE=FQ","FILING_STATUS=OR","EQY_CONSOLIDATED=Y","Sort=A","Dates=H","DateFormat=P","Fill=—","Direction=H","UseDPDF=Y")</f>
        <v>#NAME?</v>
      </c>
      <c r="AI534" s="2" t="e">
        <f ca="1">_xll.BDH($C$528,"TOTAL_EQUITY_1_YEAR_GROWTH","FQ1 2015","FQ1 2015","Currency=INR","Period=FQ","BEST_FPERIOD_OVERRIDE=FQ","FILING_STATUS=OR","EQY_CONSOLIDATED=Y","Sort=A","Dates=H","DateFormat=P","Fill=—","Direction=H","UseDPDF=Y")</f>
        <v>#NAME?</v>
      </c>
      <c r="AJ534" s="2" t="e">
        <f ca="1">_xll.BDH($C$528,"GROWTH_IN_CAP","FQ1 2015","FQ1 2015","Currency=INR","Period=FQ","BEST_FPERIOD_OVERRIDE=FQ","FILING_STATUS=OR","EQY_CONSOLIDATED=Y","Sort=A","Dates=H","DateFormat=P","Fill=—","Direction=H","UseDPDF=Y")</f>
        <v>#NAME?</v>
      </c>
      <c r="AK534" s="2" t="e">
        <f ca="1">_xll.BDH($C$528,"BVPS_GROWTH","FQ1 2015","FQ1 2015","Currency=INR","Period=FQ","BEST_FPERIOD_OVERRIDE=FQ","FILING_STATUS=OR","EQY_CONSOLIDATED=Y","Sort=A","Dates=H","DateFormat=P","Fill=—","Direction=H","UseDPDF=Y")</f>
        <v>#NAME?</v>
      </c>
      <c r="AL534" s="2" t="e">
        <f ca="1">_xll.BDH($C$528,"CASH_FLOW_GROWTH","FQ1 2015","FQ1 2015","Currency=INR","Period=FQ","BEST_FPERIOD_OVERRIDE=FQ","FILING_STATUS=OR","EQY_CONSOLIDATED=Y","Sort=A","Dates=H","DateFormat=P","Fill=—","Direction=H","UseDPDF=Y")</f>
        <v>#NAME?</v>
      </c>
      <c r="AM534" s="2" t="e">
        <f ca="1">_xll.BDH($C$528,"GEO_GROW_NET_SALES","FQ1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34" s="2" t="e">
        <f ca="1">_xll.BDH($C$528,"GEO_GROW_EBITDA","FQ1 2015","FQ1 2015","Currency=INR","Period=FQ","BEST_FPERIOD_OVERRIDE=FQ","FILING_STATUS=OR","EQY_CONSOLIDATED=Y","FA_ADJUSTED=GAAP","Sort=A","Dates=H","DateFormat=P","Fill=—","Direction=H","UseDPDF=Y")</f>
        <v>#NAME?</v>
      </c>
      <c r="AO534" s="2" t="e">
        <f ca="1">_xll.BDH($C$528,"GEO_GROW_OPER_INC","FQ1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34" s="2" t="e">
        <f ca="1">_xll.BDH($C$528,"NET_INCOME_TO_COMMON_5_YR_GROWTH","FQ1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34" s="2" t="e">
        <f ca="1">_xll.BDH($C$528,"5Y_GEO_GROWTH_DILUTED_EPS","FQ1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34" s="2" t="e">
        <f ca="1">_xll.BDH($C$528,"GEO_GROW_DVD_PER_SH","FQ1 2015","FQ1 2015","Currency=INR","Period=FQ","BEST_FPERIOD_OVERRIDE=FQ","FILING_STATUS=OR","EQY_CONSOLIDATED=Y","Sort=A","Dates=H","DateFormat=P","Fill=—","Direction=H","UseDPDF=Y")</f>
        <v>#NAME?</v>
      </c>
      <c r="AS534" s="2" t="e">
        <f ca="1">_xll.BDH($C$528,"ACCOUNTS_RECEIVABLE_5_YR_GROWTH","FQ1 2015","FQ1 2015","Currency=INR","Period=FQ","BEST_FPERIOD_OVERRIDE=FQ","FILING_STATUS=OR","EQY_CONSOLIDATED=Y","Sort=A","Dates=H","DateFormat=P","Fill=—","Direction=H","UseDPDF=Y")</f>
        <v>#NAME?</v>
      </c>
      <c r="AT534" s="2" t="e">
        <f ca="1">_xll.BDH($C$528,"INVENTORY_5_YEAR_GROWTH","FQ1 2015","FQ1 2015","Currency=INR","Period=FQ","BEST_FPERIOD_OVERRIDE=FQ","FILING_STATUS=OR","EQY_CONSOLIDATED=Y","Sort=A","Dates=H","DateFormat=P","Fill=—","Direction=H","UseDPDF=Y")</f>
        <v>#NAME?</v>
      </c>
      <c r="AU534" s="2" t="e">
        <f ca="1">_xll.BDH($C$528,"NET_FIXED_ASSETS_5_YEAR_GROWTH","FQ1 2015","FQ1 2015","Currency=INR","Period=FQ","BEST_FPERIOD_OVERRIDE=FQ","FILING_STATUS=OR","EQY_CONSOLIDATED=Y","Sort=A","Dates=H","DateFormat=P","Fill=—","Direction=H","UseDPDF=Y")</f>
        <v>#NAME?</v>
      </c>
      <c r="AV534" s="2" t="e">
        <f ca="1">_xll.BDH($C$528,"GEO_GROW_TOT_ASSET","FQ1 2015","FQ1 2015","Currency=INR","Period=FQ","BEST_FPERIOD_OVERRIDE=FQ","FILING_STATUS=OR","EQY_CONSOLIDATED=Y","Sort=A","Dates=H","DateFormat=P","Fill=—","Direction=H","UseDPDF=Y")</f>
        <v>#NAME?</v>
      </c>
      <c r="AW534" s="2" t="e">
        <f ca="1">_xll.BDH($C$528,"MODIFIED_WORKING_CPTL_5YR_GRWTH","FQ1 2015","FQ1 2015","Currency=INR","Period=FQ","BEST_FPERIOD_OVERRIDE=FQ","FILING_STATUS=OR","EQY_CONSOLIDATED=Y","Sort=A","Dates=H","DateFormat=P","Fill=—","Direction=H","UseDPDF=Y")</f>
        <v>#NAME?</v>
      </c>
      <c r="AX534" s="2" t="e">
        <f ca="1">_xll.BDH($C$528,"WORKING_CAPITAL_5_YEAR_GROWTH","FQ1 2015","FQ1 2015","Currency=INR","Period=FQ","BEST_FPERIOD_OVERRIDE=FQ","FILING_STATUS=OR","EQY_CONSOLIDATED=Y","Sort=A","Dates=H","DateFormat=P","Fill=—","Direction=H","UseDPDF=Y")</f>
        <v>#NAME?</v>
      </c>
      <c r="AY534" s="2" t="e">
        <f ca="1">_xll.BDH($C$528,"ACCOUNTS_PAYABLE_5_YEAR_GROWTH","FQ1 2015","FQ1 2015","Currency=INR","Period=FQ","BEST_FPERIOD_OVERRIDE=FQ","FILING_STATUS=OR","EQY_CONSOLIDATED=Y","Sort=A","Dates=H","DateFormat=P","Fill=—","Direction=H","UseDPDF=Y")</f>
        <v>#NAME?</v>
      </c>
      <c r="AZ534" s="2" t="e">
        <f ca="1">_xll.BDH($C$528,"SHORT_TERM_DEBT_5_YEAR_GROWTH","FQ1 2015","FQ1 2015","Currency=INR","Period=FQ","BEST_FPERIOD_OVERRIDE=FQ","FILING_STATUS=OR","EQY_CONSOLIDATED=Y","Sort=A","Dates=H","DateFormat=P","Fill=—","Direction=H","UseDPDF=Y")</f>
        <v>#NAME?</v>
      </c>
      <c r="BA534" s="2" t="e">
        <f ca="1">_xll.BDH($C$528,"TOTAL_DEBT_5_YEAR_GROWTH","FQ1 2015","FQ1 2015","Currency=INR","Period=FQ","BEST_FPERIOD_OVERRIDE=FQ","FILING_STATUS=OR","EQY_CONSOLIDATED=Y","Sort=A","Dates=H","DateFormat=P","Fill=—","Direction=H","UseDPDF=Y")</f>
        <v>#NAME?</v>
      </c>
      <c r="BB534" s="2" t="e">
        <f ca="1">_xll.BDH($C$528,"GEO_GROW_TOT_SHRHLDR_EQY","FQ1 2015","FQ1 2015","Currency=INR","Period=FQ","BEST_FPERIOD_OVERRIDE=FQ","FILING_STATUS=OR","EQY_CONSOLIDATED=Y","Sort=A","Dates=H","DateFormat=P","Fill=—","Direction=H","UseDPDF=Y")</f>
        <v>#NAME?</v>
      </c>
      <c r="BC534" s="2" t="e">
        <f ca="1">_xll.BDH($C$528,"TOTAL_CAPITAL_5_YEAR_GROWTH","FQ1 2015","FQ1 2015","Currency=INR","Period=FQ","BEST_FPERIOD_OVERRIDE=FQ","FILING_STATUS=OR","EQY_CONSOLIDATED=Y","Sort=A","Dates=H","DateFormat=P","Fill=—","Direction=H","UseDPDF=Y")</f>
        <v>#NAME?</v>
      </c>
      <c r="BD534" s="2" t="e">
        <f ca="1">_xll.BDH($C$528,"GEO_GROW_BOOK_VAL","FQ1 2015","FQ1 2015","Currency=INR","Period=FQ","BEST_FPERIOD_OVERRIDE=FQ","FILING_STATUS=OR","EQY_CONSOLIDATED=Y","Sort=A","Dates=H","DateFormat=P","Fill=—","Direction=H","UseDPDF=Y")</f>
        <v>#NAME?</v>
      </c>
      <c r="BE534" s="2" t="e">
        <f ca="1">_xll.BDH($C$528,"GEO_GROW_CASH_OPER_ACT","FQ1 2015","FQ1 2015","Currency=INR","Period=FQ","BEST_FPERIOD_OVERRIDE=FQ","FILING_STATUS=OR","EQY_CONSOLIDATED=Y","Sort=A","Dates=H","DateFormat=P","Fill=—","Direction=H","UseDPDF=Y")</f>
        <v>#NAME?</v>
      </c>
      <c r="BF534" s="2" t="e">
        <f ca="1">_xll.BDH($C$528,"REVENUE_SEQUENTIAL_GROWTH","FQ1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34" s="2" t="e">
        <f ca="1">_xll.BDH($C$528,"EBITDA_SEQUENTIAL_GROWTH","FQ1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34" s="2" t="e">
        <f ca="1">_xll.BDH($C$528,"OPERATING_INCOME_SEQ_GROWTH","FQ1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34" s="2" t="e">
        <f ca="1">_xll.BDH($C$528,"NET_INCOME_TO_COMMON_SEQ_GROWTH","FQ1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34" s="2" t="e">
        <f ca="1">_xll.BDH($C$528,"EPS_DILUTED_SEQUENTIAL_GROWTH","FQ1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34" s="2" t="e">
        <f ca="1">_xll.BDH($C$528,"DPS_SEQUENTIAL_GROWTH","FQ1 2015","FQ1 2015","Currency=INR","Period=FQ","BEST_FPERIOD_OVERRIDE=FQ","FILING_STATUS=OR","EQY_CONSOLIDATED=Y","Sort=A","Dates=H","DateFormat=P","Fill=—","Direction=H","UseDPDF=Y")</f>
        <v>#NAME?</v>
      </c>
      <c r="BL534" s="2" t="e">
        <f ca="1">_xll.BDH($C$528,"ACCOUNTS_RECEIVABLE_SEQ_GROWTH","FQ1 2015","FQ1 2015","Currency=INR","Period=FQ","BEST_FPERIOD_OVERRIDE=FQ","FILING_STATUS=OR","EQY_CONSOLIDATED=Y","Sort=A","Dates=H","DateFormat=P","Fill=—","Direction=H","UseDPDF=Y")</f>
        <v>#NAME?</v>
      </c>
      <c r="BM534" s="2" t="e">
        <f ca="1">_xll.BDH($C$528,"INVENTORY_SEQUENTIAL_GROWTH","FQ1 2015","FQ1 2015","Currency=INR","Period=FQ","BEST_FPERIOD_OVERRIDE=FQ","FILING_STATUS=OR","EQY_CONSOLIDATED=Y","Sort=A","Dates=H","DateFormat=P","Fill=—","Direction=H","UseDPDF=Y")</f>
        <v>#NAME?</v>
      </c>
      <c r="BN534" s="2" t="e">
        <f ca="1">_xll.BDH($C$528,"FIXED_ASSETS_SEQUENTIAL_GROWTH","FQ1 2015","FQ1 2015","Currency=INR","Period=FQ","BEST_FPERIOD_OVERRIDE=FQ","FILING_STATUS=OR","EQY_CONSOLIDATED=Y","Sort=A","Dates=H","DateFormat=P","Fill=—","Direction=H","UseDPDF=Y")</f>
        <v>#NAME?</v>
      </c>
      <c r="BO534" s="2" t="e">
        <f ca="1">_xll.BDH($C$528,"TOTAL_ASSETS_SEQUENTIAL_GROWTH","FQ1 2015","FQ1 2015","Currency=INR","Period=FQ","BEST_FPERIOD_OVERRIDE=FQ","FILING_STATUS=OR","EQY_CONSOLIDATED=Y","Sort=A","Dates=H","DateFormat=P","Fill=—","Direction=H","UseDPDF=Y")</f>
        <v>#NAME?</v>
      </c>
      <c r="BP534" s="2" t="e">
        <f ca="1">_xll.BDH($C$528,"MODIFIED_WORKING_CPTL_SEQ_GRWTH","FQ1 2015","FQ1 2015","Currency=INR","Period=FQ","BEST_FPERIOD_OVERRIDE=FQ","FILING_STATUS=OR","EQY_CONSOLIDATED=Y","Sort=A","Dates=H","DateFormat=P","Fill=—","Direction=H","UseDPDF=Y")</f>
        <v>#NAME?</v>
      </c>
      <c r="BQ534" s="2" t="e">
        <f ca="1">_xll.BDH($C$528,"WORKING_CAPITAL_SEQ_GROWTH","FQ1 2015","FQ1 2015","Currency=INR","Period=FQ","BEST_FPERIOD_OVERRIDE=FQ","FILING_STATUS=OR","EQY_CONSOLIDATED=Y","Sort=A","Dates=H","DateFormat=P","Fill=—","Direction=H","UseDPDF=Y")</f>
        <v>#NAME?</v>
      </c>
      <c r="BR534" s="2" t="e">
        <f ca="1">_xll.BDH($C$528,"ACCOUNTS_PAYABLE_SEQ_GROWTH","FQ1 2015","FQ1 2015","Currency=INR","Period=FQ","BEST_FPERIOD_OVERRIDE=FQ","FILING_STATUS=OR","EQY_CONSOLIDATED=Y","Sort=A","Dates=H","DateFormat=P","Fill=—","Direction=H","UseDPDF=Y")</f>
        <v>#NAME?</v>
      </c>
      <c r="BS534" s="2" t="e">
        <f ca="1">_xll.BDH($C$528,"ST_DEBT_SEQUENTIAL_GROWTH","FQ1 2015","FQ1 2015","Currency=INR","Period=FQ","BEST_FPERIOD_OVERRIDE=FQ","FILING_STATUS=OR","EQY_CONSOLIDATED=Y","Sort=A","Dates=H","DateFormat=P","Fill=—","Direction=H","UseDPDF=Y")</f>
        <v>#NAME?</v>
      </c>
      <c r="BT534" s="2" t="e">
        <f ca="1">_xll.BDH($C$528,"TOTAL_DEBT_SEQUENTIAL_GROWTH","FQ1 2015","FQ1 2015","Currency=INR","Period=FQ","BEST_FPERIOD_OVERRIDE=FQ","FILING_STATUS=OR","EQY_CONSOLIDATED=Y","Sort=A","Dates=H","DateFormat=P","Fill=—","Direction=H","UseDPDF=Y")</f>
        <v>#NAME?</v>
      </c>
      <c r="BU534" s="2" t="e">
        <f ca="1">_xll.BDH($C$528,"TOTAL_EQUITY_SEQUENTIAL_GROWTH","FQ1 2015","FQ1 2015","Currency=INR","Period=FQ","BEST_FPERIOD_OVERRIDE=FQ","FILING_STATUS=OR","EQY_CONSOLIDATED=Y","Sort=A","Dates=H","DateFormat=P","Fill=—","Direction=H","UseDPDF=Y")</f>
        <v>#NAME?</v>
      </c>
      <c r="BV534" s="2" t="e">
        <f ca="1">_xll.BDH($C$528,"TOTAL_CAPITAL_SEQUENTIAL_GROWTH","FQ1 2015","FQ1 2015","Currency=INR","Period=FQ","BEST_FPERIOD_OVERRIDE=FQ","FILING_STATUS=OR","EQY_CONSOLIDATED=Y","Sort=A","Dates=H","DateFormat=P","Fill=—","Direction=H","UseDPDF=Y")</f>
        <v>#NAME?</v>
      </c>
      <c r="BW534" s="2" t="e">
        <f ca="1">_xll.BDH($C$528,"BPS_SEQUENTIAL_GROWTH","FQ1 2015","FQ1 2015","Currency=INR","Period=FQ","BEST_FPERIOD_OVERRIDE=FQ","FILING_STATUS=OR","EQY_CONSOLIDATED=Y","Sort=A","Dates=H","DateFormat=P","Fill=—","Direction=H","UseDPDF=Y")</f>
        <v>#NAME?</v>
      </c>
      <c r="BX534" s="2" t="e">
        <f ca="1">_xll.BDH($C$528,"CFO_SEQUENTIAL_GROWTH","FQ1 2015","FQ1 2015","Currency=INR","Period=FQ","BEST_FPERIOD_OVERRIDE=FQ","FILING_STATUS=OR","EQY_CONSOLIDATED=Y","Sort=A","Dates=H","DateFormat=P","Fill=—","Direction=H","UseDPDF=Y")</f>
        <v>#NAME?</v>
      </c>
      <c r="BY534" s="3" t="e">
        <f ca="1">_xll.BDH($C$528,"SHORT_AND_LONG_TERM_DEBT","FQ1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34" s="3" t="e">
        <f ca="1">_xll.BDH($C$528,"BS_ST_BORROW","FQ1 2015","FQ1 2015","Currency=INR","Period=FQ","BEST_FPERIOD_OVERRIDE=FQ","FILING_STATUS=OR","EQY_CONSOLIDATED=Y","SCALING_FORMAT=MLN","Sort=A","Dates=H","DateFormat=P","Fill=—","Direction=H","UseDPDF=Y")</f>
        <v>#NAME?</v>
      </c>
      <c r="CA534" s="3" t="e">
        <f ca="1">_xll.BDH($C$528,"BS_LT_BORROW","FQ1 2015","FQ1 2015","Currency=INR","Period=FQ","BEST_FPERIOD_OVERRIDE=FQ","FILING_STATUS=OR","EQY_CONSOLIDATED=Y","SCALING_FORMAT=MLN","Sort=A","Dates=H","DateFormat=P","Fill=—","Direction=H","UseDPDF=Y")</f>
        <v>#NAME?</v>
      </c>
      <c r="CB534" s="2" t="e">
        <f ca="1">_xll.BDH($C$528,"TOT_DEBT_TO_EBITDA","FQ1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34" s="2" t="e">
        <f ca="1">_xll.BDH($C$528,"NET_DEBT_TO_EBITDA","FQ1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34" s="2" t="e">
        <f ca="1">_xll.BDH($C$528,"TOTAL_DEBT_TO_EBIT","FQ1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34" s="2" t="e">
        <f ca="1">_xll.BDH($C$528,"NET_DEBT_TO_EBIT","FQ1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34" s="2" t="e">
        <f ca="1">_xll.BDH($C$528,"EBITDA_TO_INTEREST_EXPN","FQ1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34" s="2" t="e">
        <f ca="1">_xll.BDH($C$528,"COM_EQY_TO_TOT_ASSET","FQ1 2015","FQ1 2015","Currency=INR","Period=FQ","BEST_FPERIOD_OVERRIDE=FQ","FILING_STATUS=OR","EQY_CONSOLIDATED=Y","Sort=A","Dates=H","DateFormat=P","Fill=—","Direction=H","UseDPDF=Y")</f>
        <v>#NAME?</v>
      </c>
      <c r="CH534" s="2" t="e">
        <f ca="1">_xll.BDH($C$528,"LT_DEBT_TO_TOT_EQY","FQ1 2015","FQ1 2015","Currency=INR","Period=FQ","BEST_FPERIOD_OVERRIDE=FQ","FILING_STATUS=OR","EQY_CONSOLIDATED=Y","Sort=A","Dates=H","DateFormat=P","Fill=—","Direction=H","UseDPDF=Y")</f>
        <v>#NAME?</v>
      </c>
      <c r="CI534" s="2" t="e">
        <f ca="1">_xll.BDH($C$528,"LT_DEBT_TO_TOT_CAP","FQ1 2015","FQ1 2015","Currency=INR","Period=FQ","BEST_FPERIOD_OVERRIDE=FQ","FILING_STATUS=OR","EQY_CONSOLIDATED=Y","Sort=A","Dates=H","DateFormat=P","Fill=—","Direction=H","UseDPDF=Y")</f>
        <v>#NAME?</v>
      </c>
      <c r="CJ534" s="2" t="e">
        <f ca="1">_xll.BDH($C$528,"LT_DEBT_TO_TOT_ASSET","FQ1 2015","FQ1 2015","Currency=INR","Period=FQ","BEST_FPERIOD_OVERRIDE=FQ","FILING_STATUS=OR","EQY_CONSOLIDATED=Y","Sort=A","Dates=H","DateFormat=P","Fill=—","Direction=H","UseDPDF=Y")</f>
        <v>#NAME?</v>
      </c>
      <c r="CK534" s="2" t="e">
        <f ca="1">_xll.BDH($C$528,"TOT_DEBT_TO_TOT_EQY","FQ1 2015","FQ1 2015","Currency=INR","Period=FQ","BEST_FPERIOD_OVERRIDE=FQ","FILING_STATUS=OR","EQY_CONSOLIDATED=Y","Sort=A","Dates=H","DateFormat=P","Fill=—","Direction=H","UseDPDF=Y")</f>
        <v>#NAME?</v>
      </c>
      <c r="CL534" s="2" t="e">
        <f ca="1">_xll.BDH($C$528,"TOT_DEBT_TO_TOT_CAP","FQ1 2015","FQ1 2015","Currency=INR","Period=FQ","BEST_FPERIOD_OVERRIDE=FQ","FILING_STATUS=OR","EQY_CONSOLIDATED=Y","Sort=A","Dates=H","DateFormat=P","Fill=—","Direction=H","UseDPDF=Y")</f>
        <v>#NAME?</v>
      </c>
      <c r="CM534" s="2" t="e">
        <f ca="1">_xll.BDH($C$528,"TOT_DEBT_TO_TOT_ASSET","FQ1 2015","FQ1 2015","Currency=INR","Period=FQ","BEST_FPERIOD_OVERRIDE=FQ","FILING_STATUS=OR","EQY_CONSOLIDATED=Y","Sort=A","Dates=H","DateFormat=P","Fill=—","Direction=H","UseDPDF=Y")</f>
        <v>#NAME?</v>
      </c>
      <c r="CN534" s="2" t="e">
        <f ca="1">_xll.BDH($C$528,"NET_DEBT_TO_SHRHLDR_EQTY","FQ1 2015","FQ1 2015","Currency=INR","Period=FQ","BEST_FPERIOD_OVERRIDE=FQ","FILING_STATUS=OR","EQY_CONSOLIDATED=Y","Sort=A","Dates=H","DateFormat=P","Fill=—","Direction=H","UseDPDF=Y")</f>
        <v>#NAME?</v>
      </c>
      <c r="CO534" s="2" t="e">
        <f ca="1">_xll.BDH($C$528,"NET_DEBT_%_CAPITAL","FQ1 2015","FQ1 2015","Currency=INR","Period=FQ","BEST_FPERIOD_OVERRIDE=FQ","FILING_STATUS=OR","EQY_CONSOLIDATED=Y","Sort=A","Dates=H","DateFormat=P","Fill=—","Direction=H","UseDPDF=Y")</f>
        <v>#NAME?</v>
      </c>
      <c r="CP534" s="3" t="e">
        <f ca="1">_xll.BDH($C$528,"EBITDA","FQ1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34" s="3" t="e">
        <f ca="1">_xll.BDH($C$528,"EBITDA_AFTER_CAPEX","FQ1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34" s="3" t="e">
        <f ca="1">_xll.BDH($C$528,"IS_OPER_INC","FQ1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34" s="2" t="e">
        <f ca="1">_xll.BDH($C$528,"CASH_RATIO","FQ1 2015","FQ1 2015","Currency=INR","Period=FQ","BEST_FPERIOD_OVERRIDE=FQ","FILING_STATUS=OR","EQY_CONSOLIDATED=Y","Sort=A","Dates=H","DateFormat=P","Fill=—","Direction=H","UseDPDF=Y")</f>
        <v>#NAME?</v>
      </c>
      <c r="CT534" s="2" t="e">
        <f ca="1">_xll.BDH($C$528,"CUR_RATIO","FQ1 2015","FQ1 2015","Currency=INR","Period=FQ","BEST_FPERIOD_OVERRIDE=FQ","FILING_STATUS=OR","EQY_CONSOLIDATED=Y","Sort=A","Dates=H","DateFormat=P","Fill=—","Direction=H","UseDPDF=Y")</f>
        <v>#NAME?</v>
      </c>
      <c r="CU534" s="2" t="e">
        <f ca="1">_xll.BDH($C$528,"QUICK_RATIO","FQ1 2015","FQ1 2015","Currency=INR","Period=FQ","BEST_FPERIOD_OVERRIDE=FQ","FILING_STATUS=OR","EQY_CONSOLIDATED=Y","Sort=A","Dates=H","DateFormat=P","Fill=—","Direction=H","UseDPDF=Y")</f>
        <v>#NAME?</v>
      </c>
      <c r="CV534" s="2" t="e">
        <f ca="1">_xll.BDH($C$528,"ALTMAN_Z_SCORE","FQ1 2015","FQ1 2015","Currency=INR","Period=FQ","BEST_FPERIOD_OVERRIDE=FQ","FILING_STATUS=OR","EQY_CONSOLIDATED=Y","Sort=A","Dates=H","DateFormat=P","Fill=—","Direction=H","UseDPDF=Y")</f>
        <v>#NAME?</v>
      </c>
      <c r="CW534" s="4" t="e">
        <f ca="1">_xll.BDH($C$528,"ACCT_RCV_TURN","FQ1 2015","FQ1 2015","Currency=INR","Period=FQ","BEST_FPERIOD_OVERRIDE=FQ","FILING_STATUS=OR","EQY_CONSOLIDATED=Y","FA_ADJUSTED=GAAP","Sort=A","Dates=H","DateFormat=P","Fill=—","Direction=H","UseDPDF=Y")</f>
        <v>#NAME?</v>
      </c>
      <c r="CX534" s="2" t="e">
        <f ca="1">_xll.BDH($C$528,"ACCT_RCV_DAYS","FQ1 2015","FQ1 2015","Currency=INR","Period=FQ","BEST_FPERIOD_OVERRIDE=FQ","FILING_STATUS=OR","EQY_CONSOLIDATED=Y","FA_ADJUSTED=GAAP","Sort=A","Dates=H","DateFormat=P","Fill=—","Direction=H","UseDPDF=Y")</f>
        <v>#NAME?</v>
      </c>
      <c r="CY534" s="4" t="e">
        <f ca="1">_xll.BDH($C$528,"INVENT_TURN","FQ1 2015","FQ1 2015","Currency=INR","Period=FQ","BEST_FPERIOD_OVERRIDE=FQ","FILING_STATUS=OR","EQY_CONSOLIDATED=Y","FA_ADJUSTED=GAAP","Sort=A","Dates=H","DateFormat=P","Fill=—","Direction=H","UseDPDF=Y")</f>
        <v>#NAME?</v>
      </c>
      <c r="CZ534" s="2" t="e">
        <f ca="1">_xll.BDH($C$528,"INVENT_DAYS","FQ1 2015","FQ1 2015","Currency=INR","Period=FQ","BEST_FPERIOD_OVERRIDE=FQ","FILING_STATUS=OR","EQY_CONSOLIDATED=Y","FA_ADJUSTED=GAAP","Sort=A","Dates=H","DateFormat=P","Fill=—","Direction=H","UseDPDF=Y")</f>
        <v>#NAME?</v>
      </c>
      <c r="DA534" s="4" t="e">
        <f ca="1">_xll.BDH($C$528,"ACCOUNTS_PAYABLE_TURNOVER","FQ1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34" s="2" t="e">
        <f ca="1">_xll.BDH($C$528,"ACCOUNTS_PAYABLE_TURNOVER_DAYS","FQ1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34" s="4" t="e">
        <f ca="1">_xll.BDH($C$528,"CASH_CONVERSION_CYCLE","FQ1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34" s="4" t="e">
        <f ca="1">_xll.BDH($C$528,"INV_TO_CASH_DAYS","FQ1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34" s="5" t="e">
        <f ca="1">_xll.BDH($C$528,"BS_INVENTORIES","FQ1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34" s="3" t="e">
        <f ca="1">_xll.BDH($C$528,"INVTRY_RAW_MATERIALS","FQ1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34" s="3" t="e">
        <f ca="1">_xll.BDH($C$528,"INVTRY_IN_PROGRESS","FQ1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34" s="3" t="e">
        <f ca="1">_xll.BDH($C$528,"INVTRY_FINISHED_GOODS","FQ1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34" s="3" t="e">
        <f ca="1">_xll.BDH($C$528,"BS_OTHER_INV","FQ1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35" spans="1:113" x14ac:dyDescent="0.3">
      <c r="A535" s="6"/>
      <c r="B535" s="6"/>
      <c r="C535" s="6"/>
      <c r="D535" s="6"/>
      <c r="E535" t="s">
        <v>79</v>
      </c>
      <c r="F535" t="e">
        <f ca="1">_xll.BDH($C$528,"RETURN_COM_EQY","FQ2 2015","FQ2 2015","Currency=INR","Period=FQ","BEST_FPERIOD_OVERRIDE=FQ","FILING_STATUS=OR","EQY_CONSOLIDATED=Y","FA_ADJUSTED=GAAP","Sort=A","Dates=H","DateFormat=P","Fill=—","Direction=H","UseDPDF=Y")</f>
        <v>#NAME?</v>
      </c>
      <c r="G535" t="e">
        <f ca="1">_xll.BDH($C$528,"RETURN_ON_ASSET","FQ2 2015","FQ2 2015","Currency=INR","Period=FQ","BEST_FPERIOD_OVERRIDE=FQ","FILING_STATUS=OR","EQY_CONSOLIDATED=Y","FA_ADJUSTED=GAAP","Sort=A","Dates=H","DateFormat=P","Fill=—","Direction=H","UseDPDF=Y")</f>
        <v>#NAME?</v>
      </c>
      <c r="H535" t="e">
        <f ca="1">_xll.BDH($C$528,"RETURN_ON_CAP","FQ2 2015","FQ2 2015","Currency=INR","Period=FQ","BEST_FPERIOD_OVERRIDE=FQ","FILING_STATUS=OR","EQY_CONSOLIDATED=Y","FA_ADJUSTED=GAAP","Sort=A","Dates=H","DateFormat=P","Fill=—","Direction=H","UseDPDF=Y")</f>
        <v>#NAME?</v>
      </c>
      <c r="I535" t="e">
        <f ca="1">_xll.BDH($C$528,"RETURN_ON_INV_CAPITAL","FQ2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35" t="e">
        <f ca="1">_xll.BDH($C$528,"EBITDA_TO_REVENUE","FQ2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35" t="e">
        <f ca="1">_xll.BDH($C$528,"OPER_MARGIN","FQ2 2015","FQ2 2015","Currency=INR","Period=FQ","BEST_FPERIOD_OVERRIDE=FQ","FILING_STATUS=OR","EQY_CONSOLIDATED=Y","FA_ADJUSTED=GAAP","Sort=A","Dates=H","DateFormat=P","Fill=—","Direction=H","UseDPDF=Y")</f>
        <v>#NAME?</v>
      </c>
      <c r="L535" t="e">
        <f ca="1">_xll.BDH($C$528,"INCREMENTAL_OPERATING_MARGIN","FQ2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35" t="e">
        <f ca="1">_xll.BDH($C$528,"PRETAX_INC_TO_NET_SALES","FQ2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35" t="e">
        <f ca="1">_xll.BDH($C$528,"INC_BEF_XO_ITEMS_TO_NET_SALES","FQ2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35" t="e">
        <f ca="1">_xll.BDH($C$528,"PROF_MARGIN","FQ2 2015","FQ2 2015","Currency=INR","Period=FQ","BEST_FPERIOD_OVERRIDE=FQ","FILING_STATUS=OR","EQY_CONSOLIDATED=Y","FA_ADJUSTED=GAAP","Sort=A","Dates=H","DateFormat=P","Fill=—","Direction=H","UseDPDF=Y")</f>
        <v>#NAME?</v>
      </c>
      <c r="P535" t="e">
        <f ca="1">_xll.BDH($C$528,"NET_INCOME_TO_COMMON_MARGIN","FQ2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35" t="e">
        <f ca="1">_xll.BDH($C$528,"EFF_TAX_RATE","FQ2 2015","FQ2 2015","Currency=INR","Period=FQ","BEST_FPERIOD_OVERRIDE=FQ","FILING_STATUS=OR","EQY_CONSOLIDATED=Y","FA_ADJUSTED=GAAP","Sort=A","Dates=H","DateFormat=P","Fill=—","Direction=H","UseDPDF=Y")</f>
        <v>#NAME?</v>
      </c>
      <c r="R535" t="e">
        <f ca="1">_xll.BDH($C$528,"DVD_PAYOUT_RATIO","FQ2 2015","FQ2 2015","Currency=INR","Period=FQ","BEST_FPERIOD_OVERRIDE=FQ","FILING_STATUS=OR","EQY_CONSOLIDATED=Y","FA_ADJUSTED=GAAP","Sort=A","Dates=H","DateFormat=P","Fill=—","Direction=H","UseDPDF=Y")</f>
        <v>#NAME?</v>
      </c>
      <c r="S535" t="e">
        <f ca="1">_xll.BDH($C$528,"SUSTAIN_GROWTH_RT","FQ2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35" s="2" t="e">
        <f ca="1">_xll.BDH($C$528,"SALES_GROWTH","FQ2 2015","FQ2 2015","Currency=INR","Period=FQ","BEST_FPERIOD_OVERRIDE=FQ","FILING_STATUS=OR","EQY_CONSOLIDATED=Y","FA_ADJUSTED=GAAP","Sort=A","Dates=H","DateFormat=P","Fill=—","Direction=H","UseDPDF=Y")</f>
        <v>#NAME?</v>
      </c>
      <c r="U535" s="2" t="e">
        <f ca="1">_xll.BDH($C$528,"EBITDA_GROWTH","FQ2 2015","FQ2 2015","Currency=INR","Period=FQ","BEST_FPERIOD_OVERRIDE=FQ","FILING_STATUS=OR","EQY_CONSOLIDATED=Y","FA_ADJUSTED=GAAP","Sort=A","Dates=H","DateFormat=P","Fill=—","Direction=H","UseDPDF=Y")</f>
        <v>#NAME?</v>
      </c>
      <c r="V535" s="2" t="e">
        <f ca="1">_xll.BDH($C$528,"OPER_INC_GROWTH","FQ2 2015","FQ2 2015","Currency=INR","Period=FQ","BEST_FPERIOD_OVERRIDE=FQ","FILING_STATUS=OR","EQY_CONSOLIDATED=Y","FA_ADJUSTED=GAAP","Sort=A","Dates=H","DateFormat=P","Fill=—","Direction=H","UseDPDF=Y")</f>
        <v>#NAME?</v>
      </c>
      <c r="W535" s="2" t="e">
        <f ca="1">_xll.BDH($C$528,"EARN_FOR_COM_GROWTH","FQ2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35" s="2" t="e">
        <f ca="1">_xll.BDH($C$528,"DILUTED_EPS_AFT_XO_ITEMS_GROWTH","FQ2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35" s="2" t="e">
        <f ca="1">_xll.BDH($C$528,"DIVIDEND_PER_SHARE_1_YEAR_GROWTH","FQ2 2015","FQ2 2015","Currency=INR","Period=FQ","BEST_FPERIOD_OVERRIDE=FQ","FILING_STATUS=OR","EQY_CONSOLIDATED=Y","Sort=A","Dates=H","DateFormat=P","Fill=—","Direction=H","UseDPDF=Y")</f>
        <v>#NAME?</v>
      </c>
      <c r="Z535" s="2" t="e">
        <f ca="1">_xll.BDH($C$528,"ACCOUNTS_RECEIVABLE_GROWTH","FQ2 2015","FQ2 2015","Currency=INR","Period=FQ","BEST_FPERIOD_OVERRIDE=FQ","FILING_STATUS=OR","EQY_CONSOLIDATED=Y","Sort=A","Dates=H","DateFormat=P","Fill=—","Direction=H","UseDPDF=Y")</f>
        <v>#NAME?</v>
      </c>
      <c r="AA535" s="2" t="e">
        <f ca="1">_xll.BDH($C$528,"INVENTORY_GROWTH","FQ2 2015","FQ2 2015","Currency=INR","Period=FQ","BEST_FPERIOD_OVERRIDE=FQ","FILING_STATUS=OR","EQY_CONSOLIDATED=Y","Sort=A","Dates=H","DateFormat=P","Fill=—","Direction=H","UseDPDF=Y")</f>
        <v>#NAME?</v>
      </c>
      <c r="AB535" s="2" t="e">
        <f ca="1">_xll.BDH($C$528,"NET_FIXED_ASSETS_1_YEAR_GROWTH","FQ2 2015","FQ2 2015","Currency=INR","Period=FQ","BEST_FPERIOD_OVERRIDE=FQ","FILING_STATUS=OR","EQY_CONSOLIDATED=Y","Sort=A","Dates=H","DateFormat=P","Fill=—","Direction=H","UseDPDF=Y")</f>
        <v>#NAME?</v>
      </c>
      <c r="AC535" s="2" t="e">
        <f ca="1">_xll.BDH($C$528,"ASSET_GROWTH","FQ2 2015","FQ2 2015","Currency=INR","Period=FQ","BEST_FPERIOD_OVERRIDE=FQ","FILING_STATUS=OR","EQY_CONSOLIDATED=Y","Sort=A","Dates=H","DateFormat=P","Fill=—","Direction=H","UseDPDF=Y")</f>
        <v>#NAME?</v>
      </c>
      <c r="AD535" s="2" t="e">
        <f ca="1">_xll.BDH($C$528,"MODIFIED_WORK_CAP_GROWTH","FQ2 2015","FQ2 2015","Currency=INR","Period=FQ","BEST_FPERIOD_OVERRIDE=FQ","FILING_STATUS=OR","EQY_CONSOLIDATED=Y","Sort=A","Dates=H","DateFormat=P","Fill=—","Direction=H","UseDPDF=Y")</f>
        <v>#NAME?</v>
      </c>
      <c r="AE535" s="2" t="e">
        <f ca="1">_xll.BDH($C$528,"WORK_CAP_GROWTH","FQ2 2015","FQ2 2015","Currency=INR","Period=FQ","BEST_FPERIOD_OVERRIDE=FQ","FILING_STATUS=OR","EQY_CONSOLIDATED=Y","Sort=A","Dates=H","DateFormat=P","Fill=—","Direction=H","UseDPDF=Y")</f>
        <v>#NAME?</v>
      </c>
      <c r="AF535" s="2" t="e">
        <f ca="1">_xll.BDH($C$528,"ACCOUNTS_PAYABLE_GROWTH_1YR","FQ2 2015","FQ2 2015","Currency=INR","Period=FQ","BEST_FPERIOD_OVERRIDE=FQ","FILING_STATUS=OR","EQY_CONSOLIDATED=Y","Sort=A","Dates=H","DateFormat=P","Fill=—","Direction=H","UseDPDF=Y")</f>
        <v>#NAME?</v>
      </c>
      <c r="AG535" s="2" t="e">
        <f ca="1">_xll.BDH($C$528,"SHORT_TERM_DEBT_1_YEAR_GROWTH","FQ2 2015","FQ2 2015","Currency=INR","Period=FQ","BEST_FPERIOD_OVERRIDE=FQ","FILING_STATUS=OR","EQY_CONSOLIDATED=Y","Sort=A","Dates=H","DateFormat=P","Fill=—","Direction=H","UseDPDF=Y")</f>
        <v>#NAME?</v>
      </c>
      <c r="AH535" s="2" t="e">
        <f ca="1">_xll.BDH($C$528,"TOTAL_DEBT_1_YEAR_GROWTH","FQ2 2015","FQ2 2015","Currency=INR","Period=FQ","BEST_FPERIOD_OVERRIDE=FQ","FILING_STATUS=OR","EQY_CONSOLIDATED=Y","Sort=A","Dates=H","DateFormat=P","Fill=—","Direction=H","UseDPDF=Y")</f>
        <v>#NAME?</v>
      </c>
      <c r="AI535" s="2" t="e">
        <f ca="1">_xll.BDH($C$528,"TOTAL_EQUITY_1_YEAR_GROWTH","FQ2 2015","FQ2 2015","Currency=INR","Period=FQ","BEST_FPERIOD_OVERRIDE=FQ","FILING_STATUS=OR","EQY_CONSOLIDATED=Y","Sort=A","Dates=H","DateFormat=P","Fill=—","Direction=H","UseDPDF=Y")</f>
        <v>#NAME?</v>
      </c>
      <c r="AJ535" s="2" t="e">
        <f ca="1">_xll.BDH($C$528,"GROWTH_IN_CAP","FQ2 2015","FQ2 2015","Currency=INR","Period=FQ","BEST_FPERIOD_OVERRIDE=FQ","FILING_STATUS=OR","EQY_CONSOLIDATED=Y","Sort=A","Dates=H","DateFormat=P","Fill=—","Direction=H","UseDPDF=Y")</f>
        <v>#NAME?</v>
      </c>
      <c r="AK535" s="2" t="e">
        <f ca="1">_xll.BDH($C$528,"BVPS_GROWTH","FQ2 2015","FQ2 2015","Currency=INR","Period=FQ","BEST_FPERIOD_OVERRIDE=FQ","FILING_STATUS=OR","EQY_CONSOLIDATED=Y","Sort=A","Dates=H","DateFormat=P","Fill=—","Direction=H","UseDPDF=Y")</f>
        <v>#NAME?</v>
      </c>
      <c r="AL535" s="2" t="e">
        <f ca="1">_xll.BDH($C$528,"CASH_FLOW_GROWTH","FQ2 2015","FQ2 2015","Currency=INR","Period=FQ","BEST_FPERIOD_OVERRIDE=FQ","FILING_STATUS=OR","EQY_CONSOLIDATED=Y","Sort=A","Dates=H","DateFormat=P","Fill=—","Direction=H","UseDPDF=Y")</f>
        <v>#NAME?</v>
      </c>
      <c r="AM535" s="2" t="e">
        <f ca="1">_xll.BDH($C$528,"GEO_GROW_NET_SALES","FQ2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35" s="2" t="e">
        <f ca="1">_xll.BDH($C$528,"GEO_GROW_EBITDA","FQ2 2015","FQ2 2015","Currency=INR","Period=FQ","BEST_FPERIOD_OVERRIDE=FQ","FILING_STATUS=OR","EQY_CONSOLIDATED=Y","FA_ADJUSTED=GAAP","Sort=A","Dates=H","DateFormat=P","Fill=—","Direction=H","UseDPDF=Y")</f>
        <v>#NAME?</v>
      </c>
      <c r="AO535" s="2" t="e">
        <f ca="1">_xll.BDH($C$528,"GEO_GROW_OPER_INC","FQ2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35" s="2" t="e">
        <f ca="1">_xll.BDH($C$528,"NET_INCOME_TO_COMMON_5_YR_GROWTH","FQ2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35" s="2" t="e">
        <f ca="1">_xll.BDH($C$528,"5Y_GEO_GROWTH_DILUTED_EPS","FQ2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35" s="2" t="e">
        <f ca="1">_xll.BDH($C$528,"GEO_GROW_DVD_PER_SH","FQ2 2015","FQ2 2015","Currency=INR","Period=FQ","BEST_FPERIOD_OVERRIDE=FQ","FILING_STATUS=OR","EQY_CONSOLIDATED=Y","Sort=A","Dates=H","DateFormat=P","Fill=—","Direction=H","UseDPDF=Y")</f>
        <v>#NAME?</v>
      </c>
      <c r="AS535" s="2" t="e">
        <f ca="1">_xll.BDH($C$528,"ACCOUNTS_RECEIVABLE_5_YR_GROWTH","FQ2 2015","FQ2 2015","Currency=INR","Period=FQ","BEST_FPERIOD_OVERRIDE=FQ","FILING_STATUS=OR","EQY_CONSOLIDATED=Y","Sort=A","Dates=H","DateFormat=P","Fill=—","Direction=H","UseDPDF=Y")</f>
        <v>#NAME?</v>
      </c>
      <c r="AT535" s="2" t="e">
        <f ca="1">_xll.BDH($C$528,"INVENTORY_5_YEAR_GROWTH","FQ2 2015","FQ2 2015","Currency=INR","Period=FQ","BEST_FPERIOD_OVERRIDE=FQ","FILING_STATUS=OR","EQY_CONSOLIDATED=Y","Sort=A","Dates=H","DateFormat=P","Fill=—","Direction=H","UseDPDF=Y")</f>
        <v>#NAME?</v>
      </c>
      <c r="AU535" s="2" t="e">
        <f ca="1">_xll.BDH($C$528,"NET_FIXED_ASSETS_5_YEAR_GROWTH","FQ2 2015","FQ2 2015","Currency=INR","Period=FQ","BEST_FPERIOD_OVERRIDE=FQ","FILING_STATUS=OR","EQY_CONSOLIDATED=Y","Sort=A","Dates=H","DateFormat=P","Fill=—","Direction=H","UseDPDF=Y")</f>
        <v>#NAME?</v>
      </c>
      <c r="AV535" s="2" t="e">
        <f ca="1">_xll.BDH($C$528,"GEO_GROW_TOT_ASSET","FQ2 2015","FQ2 2015","Currency=INR","Period=FQ","BEST_FPERIOD_OVERRIDE=FQ","FILING_STATUS=OR","EQY_CONSOLIDATED=Y","Sort=A","Dates=H","DateFormat=P","Fill=—","Direction=H","UseDPDF=Y")</f>
        <v>#NAME?</v>
      </c>
      <c r="AW535" s="2" t="e">
        <f ca="1">_xll.BDH($C$528,"MODIFIED_WORKING_CPTL_5YR_GRWTH","FQ2 2015","FQ2 2015","Currency=INR","Period=FQ","BEST_FPERIOD_OVERRIDE=FQ","FILING_STATUS=OR","EQY_CONSOLIDATED=Y","Sort=A","Dates=H","DateFormat=P","Fill=—","Direction=H","UseDPDF=Y")</f>
        <v>#NAME?</v>
      </c>
      <c r="AX535" s="2" t="e">
        <f ca="1">_xll.BDH($C$528,"WORKING_CAPITAL_5_YEAR_GROWTH","FQ2 2015","FQ2 2015","Currency=INR","Period=FQ","BEST_FPERIOD_OVERRIDE=FQ","FILING_STATUS=OR","EQY_CONSOLIDATED=Y","Sort=A","Dates=H","DateFormat=P","Fill=—","Direction=H","UseDPDF=Y")</f>
        <v>#NAME?</v>
      </c>
      <c r="AY535" s="2" t="e">
        <f ca="1">_xll.BDH($C$528,"ACCOUNTS_PAYABLE_5_YEAR_GROWTH","FQ2 2015","FQ2 2015","Currency=INR","Period=FQ","BEST_FPERIOD_OVERRIDE=FQ","FILING_STATUS=OR","EQY_CONSOLIDATED=Y","Sort=A","Dates=H","DateFormat=P","Fill=—","Direction=H","UseDPDF=Y")</f>
        <v>#NAME?</v>
      </c>
      <c r="AZ535" s="2" t="e">
        <f ca="1">_xll.BDH($C$528,"SHORT_TERM_DEBT_5_YEAR_GROWTH","FQ2 2015","FQ2 2015","Currency=INR","Period=FQ","BEST_FPERIOD_OVERRIDE=FQ","FILING_STATUS=OR","EQY_CONSOLIDATED=Y","Sort=A","Dates=H","DateFormat=P","Fill=—","Direction=H","UseDPDF=Y")</f>
        <v>#NAME?</v>
      </c>
      <c r="BA535" s="2" t="e">
        <f ca="1">_xll.BDH($C$528,"TOTAL_DEBT_5_YEAR_GROWTH","FQ2 2015","FQ2 2015","Currency=INR","Period=FQ","BEST_FPERIOD_OVERRIDE=FQ","FILING_STATUS=OR","EQY_CONSOLIDATED=Y","Sort=A","Dates=H","DateFormat=P","Fill=—","Direction=H","UseDPDF=Y")</f>
        <v>#NAME?</v>
      </c>
      <c r="BB535" s="2" t="e">
        <f ca="1">_xll.BDH($C$528,"GEO_GROW_TOT_SHRHLDR_EQY","FQ2 2015","FQ2 2015","Currency=INR","Period=FQ","BEST_FPERIOD_OVERRIDE=FQ","FILING_STATUS=OR","EQY_CONSOLIDATED=Y","Sort=A","Dates=H","DateFormat=P","Fill=—","Direction=H","UseDPDF=Y")</f>
        <v>#NAME?</v>
      </c>
      <c r="BC535" s="2" t="e">
        <f ca="1">_xll.BDH($C$528,"TOTAL_CAPITAL_5_YEAR_GROWTH","FQ2 2015","FQ2 2015","Currency=INR","Period=FQ","BEST_FPERIOD_OVERRIDE=FQ","FILING_STATUS=OR","EQY_CONSOLIDATED=Y","Sort=A","Dates=H","DateFormat=P","Fill=—","Direction=H","UseDPDF=Y")</f>
        <v>#NAME?</v>
      </c>
      <c r="BD535" s="2" t="e">
        <f ca="1">_xll.BDH($C$528,"GEO_GROW_BOOK_VAL","FQ2 2015","FQ2 2015","Currency=INR","Period=FQ","BEST_FPERIOD_OVERRIDE=FQ","FILING_STATUS=OR","EQY_CONSOLIDATED=Y","Sort=A","Dates=H","DateFormat=P","Fill=—","Direction=H","UseDPDF=Y")</f>
        <v>#NAME?</v>
      </c>
      <c r="BE535" s="2" t="e">
        <f ca="1">_xll.BDH($C$528,"GEO_GROW_CASH_OPER_ACT","FQ2 2015","FQ2 2015","Currency=INR","Period=FQ","BEST_FPERIOD_OVERRIDE=FQ","FILING_STATUS=OR","EQY_CONSOLIDATED=Y","Sort=A","Dates=H","DateFormat=P","Fill=—","Direction=H","UseDPDF=Y")</f>
        <v>#NAME?</v>
      </c>
      <c r="BF535" s="2" t="e">
        <f ca="1">_xll.BDH($C$528,"REVENUE_SEQUENTIAL_GROWTH","FQ2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35" s="2" t="e">
        <f ca="1">_xll.BDH($C$528,"EBITDA_SEQUENTIAL_GROWTH","FQ2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35" s="2" t="e">
        <f ca="1">_xll.BDH($C$528,"OPERATING_INCOME_SEQ_GROWTH","FQ2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35" s="2" t="e">
        <f ca="1">_xll.BDH($C$528,"NET_INCOME_TO_COMMON_SEQ_GROWTH","FQ2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35" s="2" t="e">
        <f ca="1">_xll.BDH($C$528,"EPS_DILUTED_SEQUENTIAL_GROWTH","FQ2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35" s="2" t="e">
        <f ca="1">_xll.BDH($C$528,"DPS_SEQUENTIAL_GROWTH","FQ2 2015","FQ2 2015","Currency=INR","Period=FQ","BEST_FPERIOD_OVERRIDE=FQ","FILING_STATUS=OR","EQY_CONSOLIDATED=Y","Sort=A","Dates=H","DateFormat=P","Fill=—","Direction=H","UseDPDF=Y")</f>
        <v>#NAME?</v>
      </c>
      <c r="BL535" s="2" t="e">
        <f ca="1">_xll.BDH($C$528,"ACCOUNTS_RECEIVABLE_SEQ_GROWTH","FQ2 2015","FQ2 2015","Currency=INR","Period=FQ","BEST_FPERIOD_OVERRIDE=FQ","FILING_STATUS=OR","EQY_CONSOLIDATED=Y","Sort=A","Dates=H","DateFormat=P","Fill=—","Direction=H","UseDPDF=Y")</f>
        <v>#NAME?</v>
      </c>
      <c r="BM535" s="2" t="e">
        <f ca="1">_xll.BDH($C$528,"INVENTORY_SEQUENTIAL_GROWTH","FQ2 2015","FQ2 2015","Currency=INR","Period=FQ","BEST_FPERIOD_OVERRIDE=FQ","FILING_STATUS=OR","EQY_CONSOLIDATED=Y","Sort=A","Dates=H","DateFormat=P","Fill=—","Direction=H","UseDPDF=Y")</f>
        <v>#NAME?</v>
      </c>
      <c r="BN535" s="2" t="e">
        <f ca="1">_xll.BDH($C$528,"FIXED_ASSETS_SEQUENTIAL_GROWTH","FQ2 2015","FQ2 2015","Currency=INR","Period=FQ","BEST_FPERIOD_OVERRIDE=FQ","FILING_STATUS=OR","EQY_CONSOLIDATED=Y","Sort=A","Dates=H","DateFormat=P","Fill=—","Direction=H","UseDPDF=Y")</f>
        <v>#NAME?</v>
      </c>
      <c r="BO535" s="2" t="e">
        <f ca="1">_xll.BDH($C$528,"TOTAL_ASSETS_SEQUENTIAL_GROWTH","FQ2 2015","FQ2 2015","Currency=INR","Period=FQ","BEST_FPERIOD_OVERRIDE=FQ","FILING_STATUS=OR","EQY_CONSOLIDATED=Y","Sort=A","Dates=H","DateFormat=P","Fill=—","Direction=H","UseDPDF=Y")</f>
        <v>#NAME?</v>
      </c>
      <c r="BP535" s="2" t="e">
        <f ca="1">_xll.BDH($C$528,"MODIFIED_WORKING_CPTL_SEQ_GRWTH","FQ2 2015","FQ2 2015","Currency=INR","Period=FQ","BEST_FPERIOD_OVERRIDE=FQ","FILING_STATUS=OR","EQY_CONSOLIDATED=Y","Sort=A","Dates=H","DateFormat=P","Fill=—","Direction=H","UseDPDF=Y")</f>
        <v>#NAME?</v>
      </c>
      <c r="BQ535" s="2" t="e">
        <f ca="1">_xll.BDH($C$528,"WORKING_CAPITAL_SEQ_GROWTH","FQ2 2015","FQ2 2015","Currency=INR","Period=FQ","BEST_FPERIOD_OVERRIDE=FQ","FILING_STATUS=OR","EQY_CONSOLIDATED=Y","Sort=A","Dates=H","DateFormat=P","Fill=—","Direction=H","UseDPDF=Y")</f>
        <v>#NAME?</v>
      </c>
      <c r="BR535" s="2" t="e">
        <f ca="1">_xll.BDH($C$528,"ACCOUNTS_PAYABLE_SEQ_GROWTH","FQ2 2015","FQ2 2015","Currency=INR","Period=FQ","BEST_FPERIOD_OVERRIDE=FQ","FILING_STATUS=OR","EQY_CONSOLIDATED=Y","Sort=A","Dates=H","DateFormat=P","Fill=—","Direction=H","UseDPDF=Y")</f>
        <v>#NAME?</v>
      </c>
      <c r="BS535" s="2" t="e">
        <f ca="1">_xll.BDH($C$528,"ST_DEBT_SEQUENTIAL_GROWTH","FQ2 2015","FQ2 2015","Currency=INR","Period=FQ","BEST_FPERIOD_OVERRIDE=FQ","FILING_STATUS=OR","EQY_CONSOLIDATED=Y","Sort=A","Dates=H","DateFormat=P","Fill=—","Direction=H","UseDPDF=Y")</f>
        <v>#NAME?</v>
      </c>
      <c r="BT535" s="2" t="e">
        <f ca="1">_xll.BDH($C$528,"TOTAL_DEBT_SEQUENTIAL_GROWTH","FQ2 2015","FQ2 2015","Currency=INR","Period=FQ","BEST_FPERIOD_OVERRIDE=FQ","FILING_STATUS=OR","EQY_CONSOLIDATED=Y","Sort=A","Dates=H","DateFormat=P","Fill=—","Direction=H","UseDPDF=Y")</f>
        <v>#NAME?</v>
      </c>
      <c r="BU535" s="2" t="e">
        <f ca="1">_xll.BDH($C$528,"TOTAL_EQUITY_SEQUENTIAL_GROWTH","FQ2 2015","FQ2 2015","Currency=INR","Period=FQ","BEST_FPERIOD_OVERRIDE=FQ","FILING_STATUS=OR","EQY_CONSOLIDATED=Y","Sort=A","Dates=H","DateFormat=P","Fill=—","Direction=H","UseDPDF=Y")</f>
        <v>#NAME?</v>
      </c>
      <c r="BV535" s="2" t="e">
        <f ca="1">_xll.BDH($C$528,"TOTAL_CAPITAL_SEQUENTIAL_GROWTH","FQ2 2015","FQ2 2015","Currency=INR","Period=FQ","BEST_FPERIOD_OVERRIDE=FQ","FILING_STATUS=OR","EQY_CONSOLIDATED=Y","Sort=A","Dates=H","DateFormat=P","Fill=—","Direction=H","UseDPDF=Y")</f>
        <v>#NAME?</v>
      </c>
      <c r="BW535" s="2" t="e">
        <f ca="1">_xll.BDH($C$528,"BPS_SEQUENTIAL_GROWTH","FQ2 2015","FQ2 2015","Currency=INR","Period=FQ","BEST_FPERIOD_OVERRIDE=FQ","FILING_STATUS=OR","EQY_CONSOLIDATED=Y","Sort=A","Dates=H","DateFormat=P","Fill=—","Direction=H","UseDPDF=Y")</f>
        <v>#NAME?</v>
      </c>
      <c r="BX535" s="2" t="e">
        <f ca="1">_xll.BDH($C$528,"CFO_SEQUENTIAL_GROWTH","FQ2 2015","FQ2 2015","Currency=INR","Period=FQ","BEST_FPERIOD_OVERRIDE=FQ","FILING_STATUS=OR","EQY_CONSOLIDATED=Y","Sort=A","Dates=H","DateFormat=P","Fill=—","Direction=H","UseDPDF=Y")</f>
        <v>#NAME?</v>
      </c>
      <c r="BY535" s="3" t="e">
        <f ca="1">_xll.BDH($C$528,"SHORT_AND_LONG_TERM_DEBT","FQ2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35" s="3" t="e">
        <f ca="1">_xll.BDH($C$528,"BS_ST_BORROW","FQ2 2015","FQ2 2015","Currency=INR","Period=FQ","BEST_FPERIOD_OVERRIDE=FQ","FILING_STATUS=OR","EQY_CONSOLIDATED=Y","SCALING_FORMAT=MLN","Sort=A","Dates=H","DateFormat=P","Fill=—","Direction=H","UseDPDF=Y")</f>
        <v>#NAME?</v>
      </c>
      <c r="CA535" s="3" t="e">
        <f ca="1">_xll.BDH($C$528,"BS_LT_BORROW","FQ2 2015","FQ2 2015","Currency=INR","Period=FQ","BEST_FPERIOD_OVERRIDE=FQ","FILING_STATUS=OR","EQY_CONSOLIDATED=Y","SCALING_FORMAT=MLN","Sort=A","Dates=H","DateFormat=P","Fill=—","Direction=H","UseDPDF=Y")</f>
        <v>#NAME?</v>
      </c>
      <c r="CB535" s="2" t="e">
        <f ca="1">_xll.BDH($C$528,"TOT_DEBT_TO_EBITDA","FQ2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35" s="2" t="e">
        <f ca="1">_xll.BDH($C$528,"NET_DEBT_TO_EBITDA","FQ2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35" s="2" t="e">
        <f ca="1">_xll.BDH($C$528,"TOTAL_DEBT_TO_EBIT","FQ2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35" s="2" t="e">
        <f ca="1">_xll.BDH($C$528,"NET_DEBT_TO_EBIT","FQ2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35" s="2" t="e">
        <f ca="1">_xll.BDH($C$528,"EBITDA_TO_INTEREST_EXPN","FQ2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35" s="2" t="e">
        <f ca="1">_xll.BDH($C$528,"COM_EQY_TO_TOT_ASSET","FQ2 2015","FQ2 2015","Currency=INR","Period=FQ","BEST_FPERIOD_OVERRIDE=FQ","FILING_STATUS=OR","EQY_CONSOLIDATED=Y","Sort=A","Dates=H","DateFormat=P","Fill=—","Direction=H","UseDPDF=Y")</f>
        <v>#NAME?</v>
      </c>
      <c r="CH535" s="2" t="e">
        <f ca="1">_xll.BDH($C$528,"LT_DEBT_TO_TOT_EQY","FQ2 2015","FQ2 2015","Currency=INR","Period=FQ","BEST_FPERIOD_OVERRIDE=FQ","FILING_STATUS=OR","EQY_CONSOLIDATED=Y","Sort=A","Dates=H","DateFormat=P","Fill=—","Direction=H","UseDPDF=Y")</f>
        <v>#NAME?</v>
      </c>
      <c r="CI535" s="2" t="e">
        <f ca="1">_xll.BDH($C$528,"LT_DEBT_TO_TOT_CAP","FQ2 2015","FQ2 2015","Currency=INR","Period=FQ","BEST_FPERIOD_OVERRIDE=FQ","FILING_STATUS=OR","EQY_CONSOLIDATED=Y","Sort=A","Dates=H","DateFormat=P","Fill=—","Direction=H","UseDPDF=Y")</f>
        <v>#NAME?</v>
      </c>
      <c r="CJ535" s="2" t="e">
        <f ca="1">_xll.BDH($C$528,"LT_DEBT_TO_TOT_ASSET","FQ2 2015","FQ2 2015","Currency=INR","Period=FQ","BEST_FPERIOD_OVERRIDE=FQ","FILING_STATUS=OR","EQY_CONSOLIDATED=Y","Sort=A","Dates=H","DateFormat=P","Fill=—","Direction=H","UseDPDF=Y")</f>
        <v>#NAME?</v>
      </c>
      <c r="CK535" s="2" t="e">
        <f ca="1">_xll.BDH($C$528,"TOT_DEBT_TO_TOT_EQY","FQ2 2015","FQ2 2015","Currency=INR","Period=FQ","BEST_FPERIOD_OVERRIDE=FQ","FILING_STATUS=OR","EQY_CONSOLIDATED=Y","Sort=A","Dates=H","DateFormat=P","Fill=—","Direction=H","UseDPDF=Y")</f>
        <v>#NAME?</v>
      </c>
      <c r="CL535" s="2" t="e">
        <f ca="1">_xll.BDH($C$528,"TOT_DEBT_TO_TOT_CAP","FQ2 2015","FQ2 2015","Currency=INR","Period=FQ","BEST_FPERIOD_OVERRIDE=FQ","FILING_STATUS=OR","EQY_CONSOLIDATED=Y","Sort=A","Dates=H","DateFormat=P","Fill=—","Direction=H","UseDPDF=Y")</f>
        <v>#NAME?</v>
      </c>
      <c r="CM535" s="2" t="e">
        <f ca="1">_xll.BDH($C$528,"TOT_DEBT_TO_TOT_ASSET","FQ2 2015","FQ2 2015","Currency=INR","Period=FQ","BEST_FPERIOD_OVERRIDE=FQ","FILING_STATUS=OR","EQY_CONSOLIDATED=Y","Sort=A","Dates=H","DateFormat=P","Fill=—","Direction=H","UseDPDF=Y")</f>
        <v>#NAME?</v>
      </c>
      <c r="CN535" s="2" t="e">
        <f ca="1">_xll.BDH($C$528,"NET_DEBT_TO_SHRHLDR_EQTY","FQ2 2015","FQ2 2015","Currency=INR","Period=FQ","BEST_FPERIOD_OVERRIDE=FQ","FILING_STATUS=OR","EQY_CONSOLIDATED=Y","Sort=A","Dates=H","DateFormat=P","Fill=—","Direction=H","UseDPDF=Y")</f>
        <v>#NAME?</v>
      </c>
      <c r="CO535" s="2" t="e">
        <f ca="1">_xll.BDH($C$528,"NET_DEBT_%_CAPITAL","FQ2 2015","FQ2 2015","Currency=INR","Period=FQ","BEST_FPERIOD_OVERRIDE=FQ","FILING_STATUS=OR","EQY_CONSOLIDATED=Y","Sort=A","Dates=H","DateFormat=P","Fill=—","Direction=H","UseDPDF=Y")</f>
        <v>#NAME?</v>
      </c>
      <c r="CP535" s="3" t="e">
        <f ca="1">_xll.BDH($C$528,"EBITDA","FQ2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35" s="3" t="e">
        <f ca="1">_xll.BDH($C$528,"EBITDA_AFTER_CAPEX","FQ2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35" s="3" t="e">
        <f ca="1">_xll.BDH($C$528,"IS_OPER_INC","FQ2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35" s="2" t="e">
        <f ca="1">_xll.BDH($C$528,"CASH_RATIO","FQ2 2015","FQ2 2015","Currency=INR","Period=FQ","BEST_FPERIOD_OVERRIDE=FQ","FILING_STATUS=OR","EQY_CONSOLIDATED=Y","Sort=A","Dates=H","DateFormat=P","Fill=—","Direction=H","UseDPDF=Y")</f>
        <v>#NAME?</v>
      </c>
      <c r="CT535" s="2" t="e">
        <f ca="1">_xll.BDH($C$528,"CUR_RATIO","FQ2 2015","FQ2 2015","Currency=INR","Period=FQ","BEST_FPERIOD_OVERRIDE=FQ","FILING_STATUS=OR","EQY_CONSOLIDATED=Y","Sort=A","Dates=H","DateFormat=P","Fill=—","Direction=H","UseDPDF=Y")</f>
        <v>#NAME?</v>
      </c>
      <c r="CU535" s="2" t="e">
        <f ca="1">_xll.BDH($C$528,"QUICK_RATIO","FQ2 2015","FQ2 2015","Currency=INR","Period=FQ","BEST_FPERIOD_OVERRIDE=FQ","FILING_STATUS=OR","EQY_CONSOLIDATED=Y","Sort=A","Dates=H","DateFormat=P","Fill=—","Direction=H","UseDPDF=Y")</f>
        <v>#NAME?</v>
      </c>
      <c r="CV535" s="2" t="e">
        <f ca="1">_xll.BDH($C$528,"ALTMAN_Z_SCORE","FQ2 2015","FQ2 2015","Currency=INR","Period=FQ","BEST_FPERIOD_OVERRIDE=FQ","FILING_STATUS=OR","EQY_CONSOLIDATED=Y","Sort=A","Dates=H","DateFormat=P","Fill=—","Direction=H","UseDPDF=Y")</f>
        <v>#NAME?</v>
      </c>
      <c r="CW535" s="4" t="e">
        <f ca="1">_xll.BDH($C$528,"ACCT_RCV_TURN","FQ2 2015","FQ2 2015","Currency=INR","Period=FQ","BEST_FPERIOD_OVERRIDE=FQ","FILING_STATUS=OR","EQY_CONSOLIDATED=Y","FA_ADJUSTED=GAAP","Sort=A","Dates=H","DateFormat=P","Fill=—","Direction=H","UseDPDF=Y")</f>
        <v>#NAME?</v>
      </c>
      <c r="CX535" s="2" t="e">
        <f ca="1">_xll.BDH($C$528,"ACCT_RCV_DAYS","FQ2 2015","FQ2 2015","Currency=INR","Period=FQ","BEST_FPERIOD_OVERRIDE=FQ","FILING_STATUS=OR","EQY_CONSOLIDATED=Y","FA_ADJUSTED=GAAP","Sort=A","Dates=H","DateFormat=P","Fill=—","Direction=H","UseDPDF=Y")</f>
        <v>#NAME?</v>
      </c>
      <c r="CY535" s="4" t="e">
        <f ca="1">_xll.BDH($C$528,"INVENT_TURN","FQ2 2015","FQ2 2015","Currency=INR","Period=FQ","BEST_FPERIOD_OVERRIDE=FQ","FILING_STATUS=OR","EQY_CONSOLIDATED=Y","FA_ADJUSTED=GAAP","Sort=A","Dates=H","DateFormat=P","Fill=—","Direction=H","UseDPDF=Y")</f>
        <v>#NAME?</v>
      </c>
      <c r="CZ535" s="2" t="e">
        <f ca="1">_xll.BDH($C$528,"INVENT_DAYS","FQ2 2015","FQ2 2015","Currency=INR","Period=FQ","BEST_FPERIOD_OVERRIDE=FQ","FILING_STATUS=OR","EQY_CONSOLIDATED=Y","FA_ADJUSTED=GAAP","Sort=A","Dates=H","DateFormat=P","Fill=—","Direction=H","UseDPDF=Y")</f>
        <v>#NAME?</v>
      </c>
      <c r="DA535" s="4" t="e">
        <f ca="1">_xll.BDH($C$528,"ACCOUNTS_PAYABLE_TURNOVER","FQ2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35" s="2" t="e">
        <f ca="1">_xll.BDH($C$528,"ACCOUNTS_PAYABLE_TURNOVER_DAYS","FQ2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35" s="4" t="e">
        <f ca="1">_xll.BDH($C$528,"CASH_CONVERSION_CYCLE","FQ2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35" s="4" t="e">
        <f ca="1">_xll.BDH($C$528,"INV_TO_CASH_DAYS","FQ2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35" s="5" t="e">
        <f ca="1">_xll.BDH($C$528,"BS_INVENTORIES","FQ2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35" s="3" t="e">
        <f ca="1">_xll.BDH($C$528,"INVTRY_RAW_MATERIALS","FQ2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35" s="3" t="e">
        <f ca="1">_xll.BDH($C$528,"INVTRY_IN_PROGRESS","FQ2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35" s="3" t="e">
        <f ca="1">_xll.BDH($C$528,"INVTRY_FINISHED_GOODS","FQ2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35" s="3" t="e">
        <f ca="1">_xll.BDH($C$528,"BS_OTHER_INV","FQ2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36" spans="1:113" x14ac:dyDescent="0.3">
      <c r="A536" s="6"/>
      <c r="B536" s="6"/>
      <c r="C536" s="6"/>
      <c r="D536" s="6"/>
      <c r="E536" t="s">
        <v>80</v>
      </c>
      <c r="F536" t="e">
        <f ca="1">_xll.BDH($C$528,"RETURN_COM_EQY","FQ3 2015","FQ3 2015","Currency=INR","Period=FQ","BEST_FPERIOD_OVERRIDE=FQ","FILING_STATUS=OR","EQY_CONSOLIDATED=Y","FA_ADJUSTED=GAAP","Sort=A","Dates=H","DateFormat=P","Fill=—","Direction=H","UseDPDF=Y")</f>
        <v>#NAME?</v>
      </c>
      <c r="G536" t="e">
        <f ca="1">_xll.BDH($C$528,"RETURN_ON_ASSET","FQ3 2015","FQ3 2015","Currency=INR","Period=FQ","BEST_FPERIOD_OVERRIDE=FQ","FILING_STATUS=OR","EQY_CONSOLIDATED=Y","FA_ADJUSTED=GAAP","Sort=A","Dates=H","DateFormat=P","Fill=—","Direction=H","UseDPDF=Y")</f>
        <v>#NAME?</v>
      </c>
      <c r="H536" t="e">
        <f ca="1">_xll.BDH($C$528,"RETURN_ON_CAP","FQ3 2015","FQ3 2015","Currency=INR","Period=FQ","BEST_FPERIOD_OVERRIDE=FQ","FILING_STATUS=OR","EQY_CONSOLIDATED=Y","FA_ADJUSTED=GAAP","Sort=A","Dates=H","DateFormat=P","Fill=—","Direction=H","UseDPDF=Y")</f>
        <v>#NAME?</v>
      </c>
      <c r="I536" t="e">
        <f ca="1">_xll.BDH($C$528,"RETURN_ON_INV_CAPITAL","FQ3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36" t="e">
        <f ca="1">_xll.BDH($C$528,"EBITDA_TO_REVENUE","FQ3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36" t="e">
        <f ca="1">_xll.BDH($C$528,"OPER_MARGIN","FQ3 2015","FQ3 2015","Currency=INR","Period=FQ","BEST_FPERIOD_OVERRIDE=FQ","FILING_STATUS=OR","EQY_CONSOLIDATED=Y","FA_ADJUSTED=GAAP","Sort=A","Dates=H","DateFormat=P","Fill=—","Direction=H","UseDPDF=Y")</f>
        <v>#NAME?</v>
      </c>
      <c r="L536" t="e">
        <f ca="1">_xll.BDH($C$528,"INCREMENTAL_OPERATING_MARGIN","FQ3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36" t="e">
        <f ca="1">_xll.BDH($C$528,"PRETAX_INC_TO_NET_SALES","FQ3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36" t="e">
        <f ca="1">_xll.BDH($C$528,"INC_BEF_XO_ITEMS_TO_NET_SALES","FQ3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36" t="e">
        <f ca="1">_xll.BDH($C$528,"PROF_MARGIN","FQ3 2015","FQ3 2015","Currency=INR","Period=FQ","BEST_FPERIOD_OVERRIDE=FQ","FILING_STATUS=OR","EQY_CONSOLIDATED=Y","FA_ADJUSTED=GAAP","Sort=A","Dates=H","DateFormat=P","Fill=—","Direction=H","UseDPDF=Y")</f>
        <v>#NAME?</v>
      </c>
      <c r="P536" t="e">
        <f ca="1">_xll.BDH($C$528,"NET_INCOME_TO_COMMON_MARGIN","FQ3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36" t="e">
        <f ca="1">_xll.BDH($C$528,"EFF_TAX_RATE","FQ3 2015","FQ3 2015","Currency=INR","Period=FQ","BEST_FPERIOD_OVERRIDE=FQ","FILING_STATUS=OR","EQY_CONSOLIDATED=Y","FA_ADJUSTED=GAAP","Sort=A","Dates=H","DateFormat=P","Fill=—","Direction=H","UseDPDF=Y")</f>
        <v>#NAME?</v>
      </c>
      <c r="R536" t="e">
        <f ca="1">_xll.BDH($C$528,"DVD_PAYOUT_RATIO","FQ3 2015","FQ3 2015","Currency=INR","Period=FQ","BEST_FPERIOD_OVERRIDE=FQ","FILING_STATUS=OR","EQY_CONSOLIDATED=Y","FA_ADJUSTED=GAAP","Sort=A","Dates=H","DateFormat=P","Fill=—","Direction=H","UseDPDF=Y")</f>
        <v>#NAME?</v>
      </c>
      <c r="S536" t="e">
        <f ca="1">_xll.BDH($C$528,"SUSTAIN_GROWTH_RT","FQ3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36" s="2" t="e">
        <f ca="1">_xll.BDH($C$528,"SALES_GROWTH","FQ3 2015","FQ3 2015","Currency=INR","Period=FQ","BEST_FPERIOD_OVERRIDE=FQ","FILING_STATUS=OR","EQY_CONSOLIDATED=Y","FA_ADJUSTED=GAAP","Sort=A","Dates=H","DateFormat=P","Fill=—","Direction=H","UseDPDF=Y")</f>
        <v>#NAME?</v>
      </c>
      <c r="U536" s="2" t="e">
        <f ca="1">_xll.BDH($C$528,"EBITDA_GROWTH","FQ3 2015","FQ3 2015","Currency=INR","Period=FQ","BEST_FPERIOD_OVERRIDE=FQ","FILING_STATUS=OR","EQY_CONSOLIDATED=Y","FA_ADJUSTED=GAAP","Sort=A","Dates=H","DateFormat=P","Fill=—","Direction=H","UseDPDF=Y")</f>
        <v>#NAME?</v>
      </c>
      <c r="V536" s="2" t="e">
        <f ca="1">_xll.BDH($C$528,"OPER_INC_GROWTH","FQ3 2015","FQ3 2015","Currency=INR","Period=FQ","BEST_FPERIOD_OVERRIDE=FQ","FILING_STATUS=OR","EQY_CONSOLIDATED=Y","FA_ADJUSTED=GAAP","Sort=A","Dates=H","DateFormat=P","Fill=—","Direction=H","UseDPDF=Y")</f>
        <v>#NAME?</v>
      </c>
      <c r="W536" s="2" t="e">
        <f ca="1">_xll.BDH($C$528,"EARN_FOR_COM_GROWTH","FQ3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36" s="2" t="e">
        <f ca="1">_xll.BDH($C$528,"DILUTED_EPS_AFT_XO_ITEMS_GROWTH","FQ3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36" s="2" t="e">
        <f ca="1">_xll.BDH($C$528,"DIVIDEND_PER_SHARE_1_YEAR_GROWTH","FQ3 2015","FQ3 2015","Currency=INR","Period=FQ","BEST_FPERIOD_OVERRIDE=FQ","FILING_STATUS=OR","EQY_CONSOLIDATED=Y","Sort=A","Dates=H","DateFormat=P","Fill=—","Direction=H","UseDPDF=Y")</f>
        <v>#NAME?</v>
      </c>
      <c r="Z536" s="2" t="e">
        <f ca="1">_xll.BDH($C$528,"ACCOUNTS_RECEIVABLE_GROWTH","FQ3 2015","FQ3 2015","Currency=INR","Period=FQ","BEST_FPERIOD_OVERRIDE=FQ","FILING_STATUS=OR","EQY_CONSOLIDATED=Y","Sort=A","Dates=H","DateFormat=P","Fill=—","Direction=H","UseDPDF=Y")</f>
        <v>#NAME?</v>
      </c>
      <c r="AA536" s="2" t="e">
        <f ca="1">_xll.BDH($C$528,"INVENTORY_GROWTH","FQ3 2015","FQ3 2015","Currency=INR","Period=FQ","BEST_FPERIOD_OVERRIDE=FQ","FILING_STATUS=OR","EQY_CONSOLIDATED=Y","Sort=A","Dates=H","DateFormat=P","Fill=—","Direction=H","UseDPDF=Y")</f>
        <v>#NAME?</v>
      </c>
      <c r="AB536" s="2" t="e">
        <f ca="1">_xll.BDH($C$528,"NET_FIXED_ASSETS_1_YEAR_GROWTH","FQ3 2015","FQ3 2015","Currency=INR","Period=FQ","BEST_FPERIOD_OVERRIDE=FQ","FILING_STATUS=OR","EQY_CONSOLIDATED=Y","Sort=A","Dates=H","DateFormat=P","Fill=—","Direction=H","UseDPDF=Y")</f>
        <v>#NAME?</v>
      </c>
      <c r="AC536" s="2" t="e">
        <f ca="1">_xll.BDH($C$528,"ASSET_GROWTH","FQ3 2015","FQ3 2015","Currency=INR","Period=FQ","BEST_FPERIOD_OVERRIDE=FQ","FILING_STATUS=OR","EQY_CONSOLIDATED=Y","Sort=A","Dates=H","DateFormat=P","Fill=—","Direction=H","UseDPDF=Y")</f>
        <v>#NAME?</v>
      </c>
      <c r="AD536" s="2" t="e">
        <f ca="1">_xll.BDH($C$528,"MODIFIED_WORK_CAP_GROWTH","FQ3 2015","FQ3 2015","Currency=INR","Period=FQ","BEST_FPERIOD_OVERRIDE=FQ","FILING_STATUS=OR","EQY_CONSOLIDATED=Y","Sort=A","Dates=H","DateFormat=P","Fill=—","Direction=H","UseDPDF=Y")</f>
        <v>#NAME?</v>
      </c>
      <c r="AE536" s="2" t="e">
        <f ca="1">_xll.BDH($C$528,"WORK_CAP_GROWTH","FQ3 2015","FQ3 2015","Currency=INR","Period=FQ","BEST_FPERIOD_OVERRIDE=FQ","FILING_STATUS=OR","EQY_CONSOLIDATED=Y","Sort=A","Dates=H","DateFormat=P","Fill=—","Direction=H","UseDPDF=Y")</f>
        <v>#NAME?</v>
      </c>
      <c r="AF536" s="2" t="e">
        <f ca="1">_xll.BDH($C$528,"ACCOUNTS_PAYABLE_GROWTH_1YR","FQ3 2015","FQ3 2015","Currency=INR","Period=FQ","BEST_FPERIOD_OVERRIDE=FQ","FILING_STATUS=OR","EQY_CONSOLIDATED=Y","Sort=A","Dates=H","DateFormat=P","Fill=—","Direction=H","UseDPDF=Y")</f>
        <v>#NAME?</v>
      </c>
      <c r="AG536" s="2" t="e">
        <f ca="1">_xll.BDH($C$528,"SHORT_TERM_DEBT_1_YEAR_GROWTH","FQ3 2015","FQ3 2015","Currency=INR","Period=FQ","BEST_FPERIOD_OVERRIDE=FQ","FILING_STATUS=OR","EQY_CONSOLIDATED=Y","Sort=A","Dates=H","DateFormat=P","Fill=—","Direction=H","UseDPDF=Y")</f>
        <v>#NAME?</v>
      </c>
      <c r="AH536" s="2" t="e">
        <f ca="1">_xll.BDH($C$528,"TOTAL_DEBT_1_YEAR_GROWTH","FQ3 2015","FQ3 2015","Currency=INR","Period=FQ","BEST_FPERIOD_OVERRIDE=FQ","FILING_STATUS=OR","EQY_CONSOLIDATED=Y","Sort=A","Dates=H","DateFormat=P","Fill=—","Direction=H","UseDPDF=Y")</f>
        <v>#NAME?</v>
      </c>
      <c r="AI536" s="2" t="e">
        <f ca="1">_xll.BDH($C$528,"TOTAL_EQUITY_1_YEAR_GROWTH","FQ3 2015","FQ3 2015","Currency=INR","Period=FQ","BEST_FPERIOD_OVERRIDE=FQ","FILING_STATUS=OR","EQY_CONSOLIDATED=Y","Sort=A","Dates=H","DateFormat=P","Fill=—","Direction=H","UseDPDF=Y")</f>
        <v>#NAME?</v>
      </c>
      <c r="AJ536" s="2" t="e">
        <f ca="1">_xll.BDH($C$528,"GROWTH_IN_CAP","FQ3 2015","FQ3 2015","Currency=INR","Period=FQ","BEST_FPERIOD_OVERRIDE=FQ","FILING_STATUS=OR","EQY_CONSOLIDATED=Y","Sort=A","Dates=H","DateFormat=P","Fill=—","Direction=H","UseDPDF=Y")</f>
        <v>#NAME?</v>
      </c>
      <c r="AK536" s="2" t="e">
        <f ca="1">_xll.BDH($C$528,"BVPS_GROWTH","FQ3 2015","FQ3 2015","Currency=INR","Period=FQ","BEST_FPERIOD_OVERRIDE=FQ","FILING_STATUS=OR","EQY_CONSOLIDATED=Y","Sort=A","Dates=H","DateFormat=P","Fill=—","Direction=H","UseDPDF=Y")</f>
        <v>#NAME?</v>
      </c>
      <c r="AL536" s="2" t="e">
        <f ca="1">_xll.BDH($C$528,"CASH_FLOW_GROWTH","FQ3 2015","FQ3 2015","Currency=INR","Period=FQ","BEST_FPERIOD_OVERRIDE=FQ","FILING_STATUS=OR","EQY_CONSOLIDATED=Y","Sort=A","Dates=H","DateFormat=P","Fill=—","Direction=H","UseDPDF=Y")</f>
        <v>#NAME?</v>
      </c>
      <c r="AM536" s="2" t="e">
        <f ca="1">_xll.BDH($C$528,"GEO_GROW_NET_SALES","FQ3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36" s="2" t="e">
        <f ca="1">_xll.BDH($C$528,"GEO_GROW_EBITDA","FQ3 2015","FQ3 2015","Currency=INR","Period=FQ","BEST_FPERIOD_OVERRIDE=FQ","FILING_STATUS=OR","EQY_CONSOLIDATED=Y","FA_ADJUSTED=GAAP","Sort=A","Dates=H","DateFormat=P","Fill=—","Direction=H","UseDPDF=Y")</f>
        <v>#NAME?</v>
      </c>
      <c r="AO536" s="2" t="e">
        <f ca="1">_xll.BDH($C$528,"GEO_GROW_OPER_INC","FQ3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36" s="2" t="e">
        <f ca="1">_xll.BDH($C$528,"NET_INCOME_TO_COMMON_5_YR_GROWTH","FQ3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36" s="2" t="e">
        <f ca="1">_xll.BDH($C$528,"5Y_GEO_GROWTH_DILUTED_EPS","FQ3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36" s="2" t="e">
        <f ca="1">_xll.BDH($C$528,"GEO_GROW_DVD_PER_SH","FQ3 2015","FQ3 2015","Currency=INR","Period=FQ","BEST_FPERIOD_OVERRIDE=FQ","FILING_STATUS=OR","EQY_CONSOLIDATED=Y","Sort=A","Dates=H","DateFormat=P","Fill=—","Direction=H","UseDPDF=Y")</f>
        <v>#NAME?</v>
      </c>
      <c r="AS536" s="2" t="e">
        <f ca="1">_xll.BDH($C$528,"ACCOUNTS_RECEIVABLE_5_YR_GROWTH","FQ3 2015","FQ3 2015","Currency=INR","Period=FQ","BEST_FPERIOD_OVERRIDE=FQ","FILING_STATUS=OR","EQY_CONSOLIDATED=Y","Sort=A","Dates=H","DateFormat=P","Fill=—","Direction=H","UseDPDF=Y")</f>
        <v>#NAME?</v>
      </c>
      <c r="AT536" s="2" t="e">
        <f ca="1">_xll.BDH($C$528,"INVENTORY_5_YEAR_GROWTH","FQ3 2015","FQ3 2015","Currency=INR","Period=FQ","BEST_FPERIOD_OVERRIDE=FQ","FILING_STATUS=OR","EQY_CONSOLIDATED=Y","Sort=A","Dates=H","DateFormat=P","Fill=—","Direction=H","UseDPDF=Y")</f>
        <v>#NAME?</v>
      </c>
      <c r="AU536" s="2" t="e">
        <f ca="1">_xll.BDH($C$528,"NET_FIXED_ASSETS_5_YEAR_GROWTH","FQ3 2015","FQ3 2015","Currency=INR","Period=FQ","BEST_FPERIOD_OVERRIDE=FQ","FILING_STATUS=OR","EQY_CONSOLIDATED=Y","Sort=A","Dates=H","DateFormat=P","Fill=—","Direction=H","UseDPDF=Y")</f>
        <v>#NAME?</v>
      </c>
      <c r="AV536" s="2" t="e">
        <f ca="1">_xll.BDH($C$528,"GEO_GROW_TOT_ASSET","FQ3 2015","FQ3 2015","Currency=INR","Period=FQ","BEST_FPERIOD_OVERRIDE=FQ","FILING_STATUS=OR","EQY_CONSOLIDATED=Y","Sort=A","Dates=H","DateFormat=P","Fill=—","Direction=H","UseDPDF=Y")</f>
        <v>#NAME?</v>
      </c>
      <c r="AW536" s="2" t="e">
        <f ca="1">_xll.BDH($C$528,"MODIFIED_WORKING_CPTL_5YR_GRWTH","FQ3 2015","FQ3 2015","Currency=INR","Period=FQ","BEST_FPERIOD_OVERRIDE=FQ","FILING_STATUS=OR","EQY_CONSOLIDATED=Y","Sort=A","Dates=H","DateFormat=P","Fill=—","Direction=H","UseDPDF=Y")</f>
        <v>#NAME?</v>
      </c>
      <c r="AX536" s="2" t="e">
        <f ca="1">_xll.BDH($C$528,"WORKING_CAPITAL_5_YEAR_GROWTH","FQ3 2015","FQ3 2015","Currency=INR","Period=FQ","BEST_FPERIOD_OVERRIDE=FQ","FILING_STATUS=OR","EQY_CONSOLIDATED=Y","Sort=A","Dates=H","DateFormat=P","Fill=—","Direction=H","UseDPDF=Y")</f>
        <v>#NAME?</v>
      </c>
      <c r="AY536" s="2" t="e">
        <f ca="1">_xll.BDH($C$528,"ACCOUNTS_PAYABLE_5_YEAR_GROWTH","FQ3 2015","FQ3 2015","Currency=INR","Period=FQ","BEST_FPERIOD_OVERRIDE=FQ","FILING_STATUS=OR","EQY_CONSOLIDATED=Y","Sort=A","Dates=H","DateFormat=P","Fill=—","Direction=H","UseDPDF=Y")</f>
        <v>#NAME?</v>
      </c>
      <c r="AZ536" s="2" t="e">
        <f ca="1">_xll.BDH($C$528,"SHORT_TERM_DEBT_5_YEAR_GROWTH","FQ3 2015","FQ3 2015","Currency=INR","Period=FQ","BEST_FPERIOD_OVERRIDE=FQ","FILING_STATUS=OR","EQY_CONSOLIDATED=Y","Sort=A","Dates=H","DateFormat=P","Fill=—","Direction=H","UseDPDF=Y")</f>
        <v>#NAME?</v>
      </c>
      <c r="BA536" s="2" t="e">
        <f ca="1">_xll.BDH($C$528,"TOTAL_DEBT_5_YEAR_GROWTH","FQ3 2015","FQ3 2015","Currency=INR","Period=FQ","BEST_FPERIOD_OVERRIDE=FQ","FILING_STATUS=OR","EQY_CONSOLIDATED=Y","Sort=A","Dates=H","DateFormat=P","Fill=—","Direction=H","UseDPDF=Y")</f>
        <v>#NAME?</v>
      </c>
      <c r="BB536" s="2" t="e">
        <f ca="1">_xll.BDH($C$528,"GEO_GROW_TOT_SHRHLDR_EQY","FQ3 2015","FQ3 2015","Currency=INR","Period=FQ","BEST_FPERIOD_OVERRIDE=FQ","FILING_STATUS=OR","EQY_CONSOLIDATED=Y","Sort=A","Dates=H","DateFormat=P","Fill=—","Direction=H","UseDPDF=Y")</f>
        <v>#NAME?</v>
      </c>
      <c r="BC536" s="2" t="e">
        <f ca="1">_xll.BDH($C$528,"TOTAL_CAPITAL_5_YEAR_GROWTH","FQ3 2015","FQ3 2015","Currency=INR","Period=FQ","BEST_FPERIOD_OVERRIDE=FQ","FILING_STATUS=OR","EQY_CONSOLIDATED=Y","Sort=A","Dates=H","DateFormat=P","Fill=—","Direction=H","UseDPDF=Y")</f>
        <v>#NAME?</v>
      </c>
      <c r="BD536" s="2" t="e">
        <f ca="1">_xll.BDH($C$528,"GEO_GROW_BOOK_VAL","FQ3 2015","FQ3 2015","Currency=INR","Period=FQ","BEST_FPERIOD_OVERRIDE=FQ","FILING_STATUS=OR","EQY_CONSOLIDATED=Y","Sort=A","Dates=H","DateFormat=P","Fill=—","Direction=H","UseDPDF=Y")</f>
        <v>#NAME?</v>
      </c>
      <c r="BE536" s="2" t="e">
        <f ca="1">_xll.BDH($C$528,"GEO_GROW_CASH_OPER_ACT","FQ3 2015","FQ3 2015","Currency=INR","Period=FQ","BEST_FPERIOD_OVERRIDE=FQ","FILING_STATUS=OR","EQY_CONSOLIDATED=Y","Sort=A","Dates=H","DateFormat=P","Fill=—","Direction=H","UseDPDF=Y")</f>
        <v>#NAME?</v>
      </c>
      <c r="BF536" s="2" t="e">
        <f ca="1">_xll.BDH($C$528,"REVENUE_SEQUENTIAL_GROWTH","FQ3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36" s="2" t="e">
        <f ca="1">_xll.BDH($C$528,"EBITDA_SEQUENTIAL_GROWTH","FQ3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36" s="2" t="e">
        <f ca="1">_xll.BDH($C$528,"OPERATING_INCOME_SEQ_GROWTH","FQ3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36" s="2" t="e">
        <f ca="1">_xll.BDH($C$528,"NET_INCOME_TO_COMMON_SEQ_GROWTH","FQ3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36" s="2" t="e">
        <f ca="1">_xll.BDH($C$528,"EPS_DILUTED_SEQUENTIAL_GROWTH","FQ3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36" s="2" t="e">
        <f ca="1">_xll.BDH($C$528,"DPS_SEQUENTIAL_GROWTH","FQ3 2015","FQ3 2015","Currency=INR","Period=FQ","BEST_FPERIOD_OVERRIDE=FQ","FILING_STATUS=OR","EQY_CONSOLIDATED=Y","Sort=A","Dates=H","DateFormat=P","Fill=—","Direction=H","UseDPDF=Y")</f>
        <v>#NAME?</v>
      </c>
      <c r="BL536" s="2" t="e">
        <f ca="1">_xll.BDH($C$528,"ACCOUNTS_RECEIVABLE_SEQ_GROWTH","FQ3 2015","FQ3 2015","Currency=INR","Period=FQ","BEST_FPERIOD_OVERRIDE=FQ","FILING_STATUS=OR","EQY_CONSOLIDATED=Y","Sort=A","Dates=H","DateFormat=P","Fill=—","Direction=H","UseDPDF=Y")</f>
        <v>#NAME?</v>
      </c>
      <c r="BM536" s="2" t="e">
        <f ca="1">_xll.BDH($C$528,"INVENTORY_SEQUENTIAL_GROWTH","FQ3 2015","FQ3 2015","Currency=INR","Period=FQ","BEST_FPERIOD_OVERRIDE=FQ","FILING_STATUS=OR","EQY_CONSOLIDATED=Y","Sort=A","Dates=H","DateFormat=P","Fill=—","Direction=H","UseDPDF=Y")</f>
        <v>#NAME?</v>
      </c>
      <c r="BN536" s="2" t="e">
        <f ca="1">_xll.BDH($C$528,"FIXED_ASSETS_SEQUENTIAL_GROWTH","FQ3 2015","FQ3 2015","Currency=INR","Period=FQ","BEST_FPERIOD_OVERRIDE=FQ","FILING_STATUS=OR","EQY_CONSOLIDATED=Y","Sort=A","Dates=H","DateFormat=P","Fill=—","Direction=H","UseDPDF=Y")</f>
        <v>#NAME?</v>
      </c>
      <c r="BO536" s="2" t="e">
        <f ca="1">_xll.BDH($C$528,"TOTAL_ASSETS_SEQUENTIAL_GROWTH","FQ3 2015","FQ3 2015","Currency=INR","Period=FQ","BEST_FPERIOD_OVERRIDE=FQ","FILING_STATUS=OR","EQY_CONSOLIDATED=Y","Sort=A","Dates=H","DateFormat=P","Fill=—","Direction=H","UseDPDF=Y")</f>
        <v>#NAME?</v>
      </c>
      <c r="BP536" s="2" t="e">
        <f ca="1">_xll.BDH($C$528,"MODIFIED_WORKING_CPTL_SEQ_GRWTH","FQ3 2015","FQ3 2015","Currency=INR","Period=FQ","BEST_FPERIOD_OVERRIDE=FQ","FILING_STATUS=OR","EQY_CONSOLIDATED=Y","Sort=A","Dates=H","DateFormat=P","Fill=—","Direction=H","UseDPDF=Y")</f>
        <v>#NAME?</v>
      </c>
      <c r="BQ536" s="2" t="e">
        <f ca="1">_xll.BDH($C$528,"WORKING_CAPITAL_SEQ_GROWTH","FQ3 2015","FQ3 2015","Currency=INR","Period=FQ","BEST_FPERIOD_OVERRIDE=FQ","FILING_STATUS=OR","EQY_CONSOLIDATED=Y","Sort=A","Dates=H","DateFormat=P","Fill=—","Direction=H","UseDPDF=Y")</f>
        <v>#NAME?</v>
      </c>
      <c r="BR536" s="2" t="e">
        <f ca="1">_xll.BDH($C$528,"ACCOUNTS_PAYABLE_SEQ_GROWTH","FQ3 2015","FQ3 2015","Currency=INR","Period=FQ","BEST_FPERIOD_OVERRIDE=FQ","FILING_STATUS=OR","EQY_CONSOLIDATED=Y","Sort=A","Dates=H","DateFormat=P","Fill=—","Direction=H","UseDPDF=Y")</f>
        <v>#NAME?</v>
      </c>
      <c r="BS536" s="2" t="e">
        <f ca="1">_xll.BDH($C$528,"ST_DEBT_SEQUENTIAL_GROWTH","FQ3 2015","FQ3 2015","Currency=INR","Period=FQ","BEST_FPERIOD_OVERRIDE=FQ","FILING_STATUS=OR","EQY_CONSOLIDATED=Y","Sort=A","Dates=H","DateFormat=P","Fill=—","Direction=H","UseDPDF=Y")</f>
        <v>#NAME?</v>
      </c>
      <c r="BT536" s="2" t="e">
        <f ca="1">_xll.BDH($C$528,"TOTAL_DEBT_SEQUENTIAL_GROWTH","FQ3 2015","FQ3 2015","Currency=INR","Period=FQ","BEST_FPERIOD_OVERRIDE=FQ","FILING_STATUS=OR","EQY_CONSOLIDATED=Y","Sort=A","Dates=H","DateFormat=P","Fill=—","Direction=H","UseDPDF=Y")</f>
        <v>#NAME?</v>
      </c>
      <c r="BU536" s="2" t="e">
        <f ca="1">_xll.BDH($C$528,"TOTAL_EQUITY_SEQUENTIAL_GROWTH","FQ3 2015","FQ3 2015","Currency=INR","Period=FQ","BEST_FPERIOD_OVERRIDE=FQ","FILING_STATUS=OR","EQY_CONSOLIDATED=Y","Sort=A","Dates=H","DateFormat=P","Fill=—","Direction=H","UseDPDF=Y")</f>
        <v>#NAME?</v>
      </c>
      <c r="BV536" s="2" t="e">
        <f ca="1">_xll.BDH($C$528,"TOTAL_CAPITAL_SEQUENTIAL_GROWTH","FQ3 2015","FQ3 2015","Currency=INR","Period=FQ","BEST_FPERIOD_OVERRIDE=FQ","FILING_STATUS=OR","EQY_CONSOLIDATED=Y","Sort=A","Dates=H","DateFormat=P","Fill=—","Direction=H","UseDPDF=Y")</f>
        <v>#NAME?</v>
      </c>
      <c r="BW536" s="2" t="e">
        <f ca="1">_xll.BDH($C$528,"BPS_SEQUENTIAL_GROWTH","FQ3 2015","FQ3 2015","Currency=INR","Period=FQ","BEST_FPERIOD_OVERRIDE=FQ","FILING_STATUS=OR","EQY_CONSOLIDATED=Y","Sort=A","Dates=H","DateFormat=P","Fill=—","Direction=H","UseDPDF=Y")</f>
        <v>#NAME?</v>
      </c>
      <c r="BX536" s="2" t="e">
        <f ca="1">_xll.BDH($C$528,"CFO_SEQUENTIAL_GROWTH","FQ3 2015","FQ3 2015","Currency=INR","Period=FQ","BEST_FPERIOD_OVERRIDE=FQ","FILING_STATUS=OR","EQY_CONSOLIDATED=Y","Sort=A","Dates=H","DateFormat=P","Fill=—","Direction=H","UseDPDF=Y")</f>
        <v>#NAME?</v>
      </c>
      <c r="BY536" s="3" t="e">
        <f ca="1">_xll.BDH($C$528,"SHORT_AND_LONG_TERM_DEBT","FQ3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36" s="3" t="e">
        <f ca="1">_xll.BDH($C$528,"BS_ST_BORROW","FQ3 2015","FQ3 2015","Currency=INR","Period=FQ","BEST_FPERIOD_OVERRIDE=FQ","FILING_STATUS=OR","EQY_CONSOLIDATED=Y","SCALING_FORMAT=MLN","Sort=A","Dates=H","DateFormat=P","Fill=—","Direction=H","UseDPDF=Y")</f>
        <v>#NAME?</v>
      </c>
      <c r="CA536" s="3" t="e">
        <f ca="1">_xll.BDH($C$528,"BS_LT_BORROW","FQ3 2015","FQ3 2015","Currency=INR","Period=FQ","BEST_FPERIOD_OVERRIDE=FQ","FILING_STATUS=OR","EQY_CONSOLIDATED=Y","SCALING_FORMAT=MLN","Sort=A","Dates=H","DateFormat=P","Fill=—","Direction=H","UseDPDF=Y")</f>
        <v>#NAME?</v>
      </c>
      <c r="CB536" s="2" t="e">
        <f ca="1">_xll.BDH($C$528,"TOT_DEBT_TO_EBITDA","FQ3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36" s="2" t="e">
        <f ca="1">_xll.BDH($C$528,"NET_DEBT_TO_EBITDA","FQ3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36" s="2" t="e">
        <f ca="1">_xll.BDH($C$528,"TOTAL_DEBT_TO_EBIT","FQ3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36" s="2" t="e">
        <f ca="1">_xll.BDH($C$528,"NET_DEBT_TO_EBIT","FQ3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36" s="2" t="e">
        <f ca="1">_xll.BDH($C$528,"EBITDA_TO_INTEREST_EXPN","FQ3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36" s="2" t="e">
        <f ca="1">_xll.BDH($C$528,"COM_EQY_TO_TOT_ASSET","FQ3 2015","FQ3 2015","Currency=INR","Period=FQ","BEST_FPERIOD_OVERRIDE=FQ","FILING_STATUS=OR","EQY_CONSOLIDATED=Y","Sort=A","Dates=H","DateFormat=P","Fill=—","Direction=H","UseDPDF=Y")</f>
        <v>#NAME?</v>
      </c>
      <c r="CH536" s="2" t="e">
        <f ca="1">_xll.BDH($C$528,"LT_DEBT_TO_TOT_EQY","FQ3 2015","FQ3 2015","Currency=INR","Period=FQ","BEST_FPERIOD_OVERRIDE=FQ","FILING_STATUS=OR","EQY_CONSOLIDATED=Y","Sort=A","Dates=H","DateFormat=P","Fill=—","Direction=H","UseDPDF=Y")</f>
        <v>#NAME?</v>
      </c>
      <c r="CI536" s="2" t="e">
        <f ca="1">_xll.BDH($C$528,"LT_DEBT_TO_TOT_CAP","FQ3 2015","FQ3 2015","Currency=INR","Period=FQ","BEST_FPERIOD_OVERRIDE=FQ","FILING_STATUS=OR","EQY_CONSOLIDATED=Y","Sort=A","Dates=H","DateFormat=P","Fill=—","Direction=H","UseDPDF=Y")</f>
        <v>#NAME?</v>
      </c>
      <c r="CJ536" s="2" t="e">
        <f ca="1">_xll.BDH($C$528,"LT_DEBT_TO_TOT_ASSET","FQ3 2015","FQ3 2015","Currency=INR","Period=FQ","BEST_FPERIOD_OVERRIDE=FQ","FILING_STATUS=OR","EQY_CONSOLIDATED=Y","Sort=A","Dates=H","DateFormat=P","Fill=—","Direction=H","UseDPDF=Y")</f>
        <v>#NAME?</v>
      </c>
      <c r="CK536" s="2" t="e">
        <f ca="1">_xll.BDH($C$528,"TOT_DEBT_TO_TOT_EQY","FQ3 2015","FQ3 2015","Currency=INR","Period=FQ","BEST_FPERIOD_OVERRIDE=FQ","FILING_STATUS=OR","EQY_CONSOLIDATED=Y","Sort=A","Dates=H","DateFormat=P","Fill=—","Direction=H","UseDPDF=Y")</f>
        <v>#NAME?</v>
      </c>
      <c r="CL536" s="2" t="e">
        <f ca="1">_xll.BDH($C$528,"TOT_DEBT_TO_TOT_CAP","FQ3 2015","FQ3 2015","Currency=INR","Period=FQ","BEST_FPERIOD_OVERRIDE=FQ","FILING_STATUS=OR","EQY_CONSOLIDATED=Y","Sort=A","Dates=H","DateFormat=P","Fill=—","Direction=H","UseDPDF=Y")</f>
        <v>#NAME?</v>
      </c>
      <c r="CM536" s="2" t="e">
        <f ca="1">_xll.BDH($C$528,"TOT_DEBT_TO_TOT_ASSET","FQ3 2015","FQ3 2015","Currency=INR","Period=FQ","BEST_FPERIOD_OVERRIDE=FQ","FILING_STATUS=OR","EQY_CONSOLIDATED=Y","Sort=A","Dates=H","DateFormat=P","Fill=—","Direction=H","UseDPDF=Y")</f>
        <v>#NAME?</v>
      </c>
      <c r="CN536" s="2" t="e">
        <f ca="1">_xll.BDH($C$528,"NET_DEBT_TO_SHRHLDR_EQTY","FQ3 2015","FQ3 2015","Currency=INR","Period=FQ","BEST_FPERIOD_OVERRIDE=FQ","FILING_STATUS=OR","EQY_CONSOLIDATED=Y","Sort=A","Dates=H","DateFormat=P","Fill=—","Direction=H","UseDPDF=Y")</f>
        <v>#NAME?</v>
      </c>
      <c r="CO536" s="2" t="e">
        <f ca="1">_xll.BDH($C$528,"NET_DEBT_%_CAPITAL","FQ3 2015","FQ3 2015","Currency=INR","Period=FQ","BEST_FPERIOD_OVERRIDE=FQ","FILING_STATUS=OR","EQY_CONSOLIDATED=Y","Sort=A","Dates=H","DateFormat=P","Fill=—","Direction=H","UseDPDF=Y")</f>
        <v>#NAME?</v>
      </c>
      <c r="CP536" s="3" t="e">
        <f ca="1">_xll.BDH($C$528,"EBITDA","FQ3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36" s="3" t="e">
        <f ca="1">_xll.BDH($C$528,"EBITDA_AFTER_CAPEX","FQ3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36" s="3" t="e">
        <f ca="1">_xll.BDH($C$528,"IS_OPER_INC","FQ3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36" s="2" t="e">
        <f ca="1">_xll.BDH($C$528,"CASH_RATIO","FQ3 2015","FQ3 2015","Currency=INR","Period=FQ","BEST_FPERIOD_OVERRIDE=FQ","FILING_STATUS=OR","EQY_CONSOLIDATED=Y","Sort=A","Dates=H","DateFormat=P","Fill=—","Direction=H","UseDPDF=Y")</f>
        <v>#NAME?</v>
      </c>
      <c r="CT536" s="2" t="e">
        <f ca="1">_xll.BDH($C$528,"CUR_RATIO","FQ3 2015","FQ3 2015","Currency=INR","Period=FQ","BEST_FPERIOD_OVERRIDE=FQ","FILING_STATUS=OR","EQY_CONSOLIDATED=Y","Sort=A","Dates=H","DateFormat=P","Fill=—","Direction=H","UseDPDF=Y")</f>
        <v>#NAME?</v>
      </c>
      <c r="CU536" s="2" t="e">
        <f ca="1">_xll.BDH($C$528,"QUICK_RATIO","FQ3 2015","FQ3 2015","Currency=INR","Period=FQ","BEST_FPERIOD_OVERRIDE=FQ","FILING_STATUS=OR","EQY_CONSOLIDATED=Y","Sort=A","Dates=H","DateFormat=P","Fill=—","Direction=H","UseDPDF=Y")</f>
        <v>#NAME?</v>
      </c>
      <c r="CV536" s="2" t="e">
        <f ca="1">_xll.BDH($C$528,"ALTMAN_Z_SCORE","FQ3 2015","FQ3 2015","Currency=INR","Period=FQ","BEST_FPERIOD_OVERRIDE=FQ","FILING_STATUS=OR","EQY_CONSOLIDATED=Y","Sort=A","Dates=H","DateFormat=P","Fill=—","Direction=H","UseDPDF=Y")</f>
        <v>#NAME?</v>
      </c>
      <c r="CW536" s="4" t="e">
        <f ca="1">_xll.BDH($C$528,"ACCT_RCV_TURN","FQ3 2015","FQ3 2015","Currency=INR","Period=FQ","BEST_FPERIOD_OVERRIDE=FQ","FILING_STATUS=OR","EQY_CONSOLIDATED=Y","FA_ADJUSTED=GAAP","Sort=A","Dates=H","DateFormat=P","Fill=—","Direction=H","UseDPDF=Y")</f>
        <v>#NAME?</v>
      </c>
      <c r="CX536" s="2" t="e">
        <f ca="1">_xll.BDH($C$528,"ACCT_RCV_DAYS","FQ3 2015","FQ3 2015","Currency=INR","Period=FQ","BEST_FPERIOD_OVERRIDE=FQ","FILING_STATUS=OR","EQY_CONSOLIDATED=Y","FA_ADJUSTED=GAAP","Sort=A","Dates=H","DateFormat=P","Fill=—","Direction=H","UseDPDF=Y")</f>
        <v>#NAME?</v>
      </c>
      <c r="CY536" s="4" t="e">
        <f ca="1">_xll.BDH($C$528,"INVENT_TURN","FQ3 2015","FQ3 2015","Currency=INR","Period=FQ","BEST_FPERIOD_OVERRIDE=FQ","FILING_STATUS=OR","EQY_CONSOLIDATED=Y","FA_ADJUSTED=GAAP","Sort=A","Dates=H","DateFormat=P","Fill=—","Direction=H","UseDPDF=Y")</f>
        <v>#NAME?</v>
      </c>
      <c r="CZ536" s="2" t="e">
        <f ca="1">_xll.BDH($C$528,"INVENT_DAYS","FQ3 2015","FQ3 2015","Currency=INR","Period=FQ","BEST_FPERIOD_OVERRIDE=FQ","FILING_STATUS=OR","EQY_CONSOLIDATED=Y","FA_ADJUSTED=GAAP","Sort=A","Dates=H","DateFormat=P","Fill=—","Direction=H","UseDPDF=Y")</f>
        <v>#NAME?</v>
      </c>
      <c r="DA536" s="4" t="e">
        <f ca="1">_xll.BDH($C$528,"ACCOUNTS_PAYABLE_TURNOVER","FQ3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36" s="2" t="e">
        <f ca="1">_xll.BDH($C$528,"ACCOUNTS_PAYABLE_TURNOVER_DAYS","FQ3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36" s="4" t="e">
        <f ca="1">_xll.BDH($C$528,"CASH_CONVERSION_CYCLE","FQ3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36" s="4" t="e">
        <f ca="1">_xll.BDH($C$528,"INV_TO_CASH_DAYS","FQ3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36" s="5" t="e">
        <f ca="1">_xll.BDH($C$528,"BS_INVENTORIES","FQ3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36" s="3" t="e">
        <f ca="1">_xll.BDH($C$528,"INVTRY_RAW_MATERIALS","FQ3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36" s="3" t="e">
        <f ca="1">_xll.BDH($C$528,"INVTRY_IN_PROGRESS","FQ3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36" s="3" t="e">
        <f ca="1">_xll.BDH($C$528,"INVTRY_FINISHED_GOODS","FQ3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36" s="3" t="e">
        <f ca="1">_xll.BDH($C$528,"BS_OTHER_INV","FQ3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37" spans="1:113" x14ac:dyDescent="0.3">
      <c r="A537" s="6"/>
      <c r="B537" s="6"/>
      <c r="C537" s="6"/>
      <c r="D537" s="6"/>
      <c r="E537" t="s">
        <v>81</v>
      </c>
      <c r="F537" t="e">
        <f ca="1">_xll.BDH($C$528,"RETURN_COM_EQY","FQ4 2015","FQ4 2015","Currency=INR","Period=FQ","BEST_FPERIOD_OVERRIDE=FQ","FILING_STATUS=OR","EQY_CONSOLIDATED=Y","FA_ADJUSTED=GAAP","Sort=A","Dates=H","DateFormat=P","Fill=—","Direction=H","UseDPDF=Y")</f>
        <v>#NAME?</v>
      </c>
      <c r="G537" t="e">
        <f ca="1">_xll.BDH($C$528,"RETURN_ON_ASSET","FQ4 2015","FQ4 2015","Currency=INR","Period=FQ","BEST_FPERIOD_OVERRIDE=FQ","FILING_STATUS=OR","EQY_CONSOLIDATED=Y","FA_ADJUSTED=GAAP","Sort=A","Dates=H","DateFormat=P","Fill=—","Direction=H","UseDPDF=Y")</f>
        <v>#NAME?</v>
      </c>
      <c r="H537" t="e">
        <f ca="1">_xll.BDH($C$528,"RETURN_ON_CAP","FQ4 2015","FQ4 2015","Currency=INR","Period=FQ","BEST_FPERIOD_OVERRIDE=FQ","FILING_STATUS=OR","EQY_CONSOLIDATED=Y","FA_ADJUSTED=GAAP","Sort=A","Dates=H","DateFormat=P","Fill=—","Direction=H","UseDPDF=Y")</f>
        <v>#NAME?</v>
      </c>
      <c r="I537" t="e">
        <f ca="1">_xll.BDH($C$528,"RETURN_ON_INV_CAPITAL","FQ4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37" t="e">
        <f ca="1">_xll.BDH($C$528,"EBITDA_TO_REVENUE","FQ4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37" t="e">
        <f ca="1">_xll.BDH($C$528,"OPER_MARGIN","FQ4 2015","FQ4 2015","Currency=INR","Period=FQ","BEST_FPERIOD_OVERRIDE=FQ","FILING_STATUS=OR","EQY_CONSOLIDATED=Y","FA_ADJUSTED=GAAP","Sort=A","Dates=H","DateFormat=P","Fill=—","Direction=H","UseDPDF=Y")</f>
        <v>#NAME?</v>
      </c>
      <c r="L537" t="e">
        <f ca="1">_xll.BDH($C$528,"INCREMENTAL_OPERATING_MARGIN","FQ4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37" t="e">
        <f ca="1">_xll.BDH($C$528,"PRETAX_INC_TO_NET_SALES","FQ4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37" t="e">
        <f ca="1">_xll.BDH($C$528,"INC_BEF_XO_ITEMS_TO_NET_SALES","FQ4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37" t="e">
        <f ca="1">_xll.BDH($C$528,"PROF_MARGIN","FQ4 2015","FQ4 2015","Currency=INR","Period=FQ","BEST_FPERIOD_OVERRIDE=FQ","FILING_STATUS=OR","EQY_CONSOLIDATED=Y","FA_ADJUSTED=GAAP","Sort=A","Dates=H","DateFormat=P","Fill=—","Direction=H","UseDPDF=Y")</f>
        <v>#NAME?</v>
      </c>
      <c r="P537" t="e">
        <f ca="1">_xll.BDH($C$528,"NET_INCOME_TO_COMMON_MARGIN","FQ4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37" t="e">
        <f ca="1">_xll.BDH($C$528,"EFF_TAX_RATE","FQ4 2015","FQ4 2015","Currency=INR","Period=FQ","BEST_FPERIOD_OVERRIDE=FQ","FILING_STATUS=OR","EQY_CONSOLIDATED=Y","FA_ADJUSTED=GAAP","Sort=A","Dates=H","DateFormat=P","Fill=—","Direction=H","UseDPDF=Y")</f>
        <v>#NAME?</v>
      </c>
      <c r="R537" t="e">
        <f ca="1">_xll.BDH($C$528,"DVD_PAYOUT_RATIO","FQ4 2015","FQ4 2015","Currency=INR","Period=FQ","BEST_FPERIOD_OVERRIDE=FQ","FILING_STATUS=OR","EQY_CONSOLIDATED=Y","FA_ADJUSTED=GAAP","Sort=A","Dates=H","DateFormat=P","Fill=—","Direction=H","UseDPDF=Y")</f>
        <v>#NAME?</v>
      </c>
      <c r="S537" t="e">
        <f ca="1">_xll.BDH($C$528,"SUSTAIN_GROWTH_RT","FQ4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37" s="2" t="e">
        <f ca="1">_xll.BDH($C$528,"SALES_GROWTH","FQ4 2015","FQ4 2015","Currency=INR","Period=FQ","BEST_FPERIOD_OVERRIDE=FQ","FILING_STATUS=OR","EQY_CONSOLIDATED=Y","FA_ADJUSTED=GAAP","Sort=A","Dates=H","DateFormat=P","Fill=—","Direction=H","UseDPDF=Y")</f>
        <v>#NAME?</v>
      </c>
      <c r="U537" s="2" t="e">
        <f ca="1">_xll.BDH($C$528,"EBITDA_GROWTH","FQ4 2015","FQ4 2015","Currency=INR","Period=FQ","BEST_FPERIOD_OVERRIDE=FQ","FILING_STATUS=OR","EQY_CONSOLIDATED=Y","FA_ADJUSTED=GAAP","Sort=A","Dates=H","DateFormat=P","Fill=—","Direction=H","UseDPDF=Y")</f>
        <v>#NAME?</v>
      </c>
      <c r="V537" s="2" t="e">
        <f ca="1">_xll.BDH($C$528,"OPER_INC_GROWTH","FQ4 2015","FQ4 2015","Currency=INR","Period=FQ","BEST_FPERIOD_OVERRIDE=FQ","FILING_STATUS=OR","EQY_CONSOLIDATED=Y","FA_ADJUSTED=GAAP","Sort=A","Dates=H","DateFormat=P","Fill=—","Direction=H","UseDPDF=Y")</f>
        <v>#NAME?</v>
      </c>
      <c r="W537" s="2" t="e">
        <f ca="1">_xll.BDH($C$528,"EARN_FOR_COM_GROWTH","FQ4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37" s="2" t="e">
        <f ca="1">_xll.BDH($C$528,"DILUTED_EPS_AFT_XO_ITEMS_GROWTH","FQ4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37" s="2" t="e">
        <f ca="1">_xll.BDH($C$528,"DIVIDEND_PER_SHARE_1_YEAR_GROWTH","FQ4 2015","FQ4 2015","Currency=INR","Period=FQ","BEST_FPERIOD_OVERRIDE=FQ","FILING_STATUS=OR","EQY_CONSOLIDATED=Y","Sort=A","Dates=H","DateFormat=P","Fill=—","Direction=H","UseDPDF=Y")</f>
        <v>#NAME?</v>
      </c>
      <c r="Z537" s="2" t="e">
        <f ca="1">_xll.BDH($C$528,"ACCOUNTS_RECEIVABLE_GROWTH","FQ4 2015","FQ4 2015","Currency=INR","Period=FQ","BEST_FPERIOD_OVERRIDE=FQ","FILING_STATUS=OR","EQY_CONSOLIDATED=Y","Sort=A","Dates=H","DateFormat=P","Fill=—","Direction=H","UseDPDF=Y")</f>
        <v>#NAME?</v>
      </c>
      <c r="AA537" s="2" t="e">
        <f ca="1">_xll.BDH($C$528,"INVENTORY_GROWTH","FQ4 2015","FQ4 2015","Currency=INR","Period=FQ","BEST_FPERIOD_OVERRIDE=FQ","FILING_STATUS=OR","EQY_CONSOLIDATED=Y","Sort=A","Dates=H","DateFormat=P","Fill=—","Direction=H","UseDPDF=Y")</f>
        <v>#NAME?</v>
      </c>
      <c r="AB537" s="2" t="e">
        <f ca="1">_xll.BDH($C$528,"NET_FIXED_ASSETS_1_YEAR_GROWTH","FQ4 2015","FQ4 2015","Currency=INR","Period=FQ","BEST_FPERIOD_OVERRIDE=FQ","FILING_STATUS=OR","EQY_CONSOLIDATED=Y","Sort=A","Dates=H","DateFormat=P","Fill=—","Direction=H","UseDPDF=Y")</f>
        <v>#NAME?</v>
      </c>
      <c r="AC537" s="2" t="e">
        <f ca="1">_xll.BDH($C$528,"ASSET_GROWTH","FQ4 2015","FQ4 2015","Currency=INR","Period=FQ","BEST_FPERIOD_OVERRIDE=FQ","FILING_STATUS=OR","EQY_CONSOLIDATED=Y","Sort=A","Dates=H","DateFormat=P","Fill=—","Direction=H","UseDPDF=Y")</f>
        <v>#NAME?</v>
      </c>
      <c r="AD537" s="2" t="e">
        <f ca="1">_xll.BDH($C$528,"MODIFIED_WORK_CAP_GROWTH","FQ4 2015","FQ4 2015","Currency=INR","Period=FQ","BEST_FPERIOD_OVERRIDE=FQ","FILING_STATUS=OR","EQY_CONSOLIDATED=Y","Sort=A","Dates=H","DateFormat=P","Fill=—","Direction=H","UseDPDF=Y")</f>
        <v>#NAME?</v>
      </c>
      <c r="AE537" s="2" t="e">
        <f ca="1">_xll.BDH($C$528,"WORK_CAP_GROWTH","FQ4 2015","FQ4 2015","Currency=INR","Period=FQ","BEST_FPERIOD_OVERRIDE=FQ","FILING_STATUS=OR","EQY_CONSOLIDATED=Y","Sort=A","Dates=H","DateFormat=P","Fill=—","Direction=H","UseDPDF=Y")</f>
        <v>#NAME?</v>
      </c>
      <c r="AF537" s="2" t="e">
        <f ca="1">_xll.BDH($C$528,"ACCOUNTS_PAYABLE_GROWTH_1YR","FQ4 2015","FQ4 2015","Currency=INR","Period=FQ","BEST_FPERIOD_OVERRIDE=FQ","FILING_STATUS=OR","EQY_CONSOLIDATED=Y","Sort=A","Dates=H","DateFormat=P","Fill=—","Direction=H","UseDPDF=Y")</f>
        <v>#NAME?</v>
      </c>
      <c r="AG537" s="2" t="e">
        <f ca="1">_xll.BDH($C$528,"SHORT_TERM_DEBT_1_YEAR_GROWTH","FQ4 2015","FQ4 2015","Currency=INR","Period=FQ","BEST_FPERIOD_OVERRIDE=FQ","FILING_STATUS=OR","EQY_CONSOLIDATED=Y","Sort=A","Dates=H","DateFormat=P","Fill=—","Direction=H","UseDPDF=Y")</f>
        <v>#NAME?</v>
      </c>
      <c r="AH537" s="2" t="e">
        <f ca="1">_xll.BDH($C$528,"TOTAL_DEBT_1_YEAR_GROWTH","FQ4 2015","FQ4 2015","Currency=INR","Period=FQ","BEST_FPERIOD_OVERRIDE=FQ","FILING_STATUS=OR","EQY_CONSOLIDATED=Y","Sort=A","Dates=H","DateFormat=P","Fill=—","Direction=H","UseDPDF=Y")</f>
        <v>#NAME?</v>
      </c>
      <c r="AI537" s="2" t="e">
        <f ca="1">_xll.BDH($C$528,"TOTAL_EQUITY_1_YEAR_GROWTH","FQ4 2015","FQ4 2015","Currency=INR","Period=FQ","BEST_FPERIOD_OVERRIDE=FQ","FILING_STATUS=OR","EQY_CONSOLIDATED=Y","Sort=A","Dates=H","DateFormat=P","Fill=—","Direction=H","UseDPDF=Y")</f>
        <v>#NAME?</v>
      </c>
      <c r="AJ537" s="2" t="e">
        <f ca="1">_xll.BDH($C$528,"GROWTH_IN_CAP","FQ4 2015","FQ4 2015","Currency=INR","Period=FQ","BEST_FPERIOD_OVERRIDE=FQ","FILING_STATUS=OR","EQY_CONSOLIDATED=Y","Sort=A","Dates=H","DateFormat=P","Fill=—","Direction=H","UseDPDF=Y")</f>
        <v>#NAME?</v>
      </c>
      <c r="AK537" s="2" t="e">
        <f ca="1">_xll.BDH($C$528,"BVPS_GROWTH","FQ4 2015","FQ4 2015","Currency=INR","Period=FQ","BEST_FPERIOD_OVERRIDE=FQ","FILING_STATUS=OR","EQY_CONSOLIDATED=Y","Sort=A","Dates=H","DateFormat=P","Fill=—","Direction=H","UseDPDF=Y")</f>
        <v>#NAME?</v>
      </c>
      <c r="AL537" s="2" t="e">
        <f ca="1">_xll.BDH($C$528,"CASH_FLOW_GROWTH","FQ4 2015","FQ4 2015","Currency=INR","Period=FQ","BEST_FPERIOD_OVERRIDE=FQ","FILING_STATUS=OR","EQY_CONSOLIDATED=Y","Sort=A","Dates=H","DateFormat=P","Fill=—","Direction=H","UseDPDF=Y")</f>
        <v>#NAME?</v>
      </c>
      <c r="AM537" s="2" t="e">
        <f ca="1">_xll.BDH($C$528,"GEO_GROW_NET_SALES","FQ4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37" s="2" t="e">
        <f ca="1">_xll.BDH($C$528,"GEO_GROW_EBITDA","FQ4 2015","FQ4 2015","Currency=INR","Period=FQ","BEST_FPERIOD_OVERRIDE=FQ","FILING_STATUS=OR","EQY_CONSOLIDATED=Y","FA_ADJUSTED=GAAP","Sort=A","Dates=H","DateFormat=P","Fill=—","Direction=H","UseDPDF=Y")</f>
        <v>#NAME?</v>
      </c>
      <c r="AO537" s="2" t="e">
        <f ca="1">_xll.BDH($C$528,"GEO_GROW_OPER_INC","FQ4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37" s="2" t="e">
        <f ca="1">_xll.BDH($C$528,"NET_INCOME_TO_COMMON_5_YR_GROWTH","FQ4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37" s="2" t="e">
        <f ca="1">_xll.BDH($C$528,"5Y_GEO_GROWTH_DILUTED_EPS","FQ4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37" s="2" t="e">
        <f ca="1">_xll.BDH($C$528,"GEO_GROW_DVD_PER_SH","FQ4 2015","FQ4 2015","Currency=INR","Period=FQ","BEST_FPERIOD_OVERRIDE=FQ","FILING_STATUS=OR","EQY_CONSOLIDATED=Y","Sort=A","Dates=H","DateFormat=P","Fill=—","Direction=H","UseDPDF=Y")</f>
        <v>#NAME?</v>
      </c>
      <c r="AS537" s="2" t="e">
        <f ca="1">_xll.BDH($C$528,"ACCOUNTS_RECEIVABLE_5_YR_GROWTH","FQ4 2015","FQ4 2015","Currency=INR","Period=FQ","BEST_FPERIOD_OVERRIDE=FQ","FILING_STATUS=OR","EQY_CONSOLIDATED=Y","Sort=A","Dates=H","DateFormat=P","Fill=—","Direction=H","UseDPDF=Y")</f>
        <v>#NAME?</v>
      </c>
      <c r="AT537" s="2" t="e">
        <f ca="1">_xll.BDH($C$528,"INVENTORY_5_YEAR_GROWTH","FQ4 2015","FQ4 2015","Currency=INR","Period=FQ","BEST_FPERIOD_OVERRIDE=FQ","FILING_STATUS=OR","EQY_CONSOLIDATED=Y","Sort=A","Dates=H","DateFormat=P","Fill=—","Direction=H","UseDPDF=Y")</f>
        <v>#NAME?</v>
      </c>
      <c r="AU537" s="2" t="e">
        <f ca="1">_xll.BDH($C$528,"NET_FIXED_ASSETS_5_YEAR_GROWTH","FQ4 2015","FQ4 2015","Currency=INR","Period=FQ","BEST_FPERIOD_OVERRIDE=FQ","FILING_STATUS=OR","EQY_CONSOLIDATED=Y","Sort=A","Dates=H","DateFormat=P","Fill=—","Direction=H","UseDPDF=Y")</f>
        <v>#NAME?</v>
      </c>
      <c r="AV537" s="2" t="e">
        <f ca="1">_xll.BDH($C$528,"GEO_GROW_TOT_ASSET","FQ4 2015","FQ4 2015","Currency=INR","Period=FQ","BEST_FPERIOD_OVERRIDE=FQ","FILING_STATUS=OR","EQY_CONSOLIDATED=Y","Sort=A","Dates=H","DateFormat=P","Fill=—","Direction=H","UseDPDF=Y")</f>
        <v>#NAME?</v>
      </c>
      <c r="AW537" s="2" t="e">
        <f ca="1">_xll.BDH($C$528,"MODIFIED_WORKING_CPTL_5YR_GRWTH","FQ4 2015","FQ4 2015","Currency=INR","Period=FQ","BEST_FPERIOD_OVERRIDE=FQ","FILING_STATUS=OR","EQY_CONSOLIDATED=Y","Sort=A","Dates=H","DateFormat=P","Fill=—","Direction=H","UseDPDF=Y")</f>
        <v>#NAME?</v>
      </c>
      <c r="AX537" s="2" t="e">
        <f ca="1">_xll.BDH($C$528,"WORKING_CAPITAL_5_YEAR_GROWTH","FQ4 2015","FQ4 2015","Currency=INR","Period=FQ","BEST_FPERIOD_OVERRIDE=FQ","FILING_STATUS=OR","EQY_CONSOLIDATED=Y","Sort=A","Dates=H","DateFormat=P","Fill=—","Direction=H","UseDPDF=Y")</f>
        <v>#NAME?</v>
      </c>
      <c r="AY537" s="2" t="e">
        <f ca="1">_xll.BDH($C$528,"ACCOUNTS_PAYABLE_5_YEAR_GROWTH","FQ4 2015","FQ4 2015","Currency=INR","Period=FQ","BEST_FPERIOD_OVERRIDE=FQ","FILING_STATUS=OR","EQY_CONSOLIDATED=Y","Sort=A","Dates=H","DateFormat=P","Fill=—","Direction=H","UseDPDF=Y")</f>
        <v>#NAME?</v>
      </c>
      <c r="AZ537" s="2" t="e">
        <f ca="1">_xll.BDH($C$528,"SHORT_TERM_DEBT_5_YEAR_GROWTH","FQ4 2015","FQ4 2015","Currency=INR","Period=FQ","BEST_FPERIOD_OVERRIDE=FQ","FILING_STATUS=OR","EQY_CONSOLIDATED=Y","Sort=A","Dates=H","DateFormat=P","Fill=—","Direction=H","UseDPDF=Y")</f>
        <v>#NAME?</v>
      </c>
      <c r="BA537" s="2" t="e">
        <f ca="1">_xll.BDH($C$528,"TOTAL_DEBT_5_YEAR_GROWTH","FQ4 2015","FQ4 2015","Currency=INR","Period=FQ","BEST_FPERIOD_OVERRIDE=FQ","FILING_STATUS=OR","EQY_CONSOLIDATED=Y","Sort=A","Dates=H","DateFormat=P","Fill=—","Direction=H","UseDPDF=Y")</f>
        <v>#NAME?</v>
      </c>
      <c r="BB537" s="2" t="e">
        <f ca="1">_xll.BDH($C$528,"GEO_GROW_TOT_SHRHLDR_EQY","FQ4 2015","FQ4 2015","Currency=INR","Period=FQ","BEST_FPERIOD_OVERRIDE=FQ","FILING_STATUS=OR","EQY_CONSOLIDATED=Y","Sort=A","Dates=H","DateFormat=P","Fill=—","Direction=H","UseDPDF=Y")</f>
        <v>#NAME?</v>
      </c>
      <c r="BC537" s="2" t="e">
        <f ca="1">_xll.BDH($C$528,"TOTAL_CAPITAL_5_YEAR_GROWTH","FQ4 2015","FQ4 2015","Currency=INR","Period=FQ","BEST_FPERIOD_OVERRIDE=FQ","FILING_STATUS=OR","EQY_CONSOLIDATED=Y","Sort=A","Dates=H","DateFormat=P","Fill=—","Direction=H","UseDPDF=Y")</f>
        <v>#NAME?</v>
      </c>
      <c r="BD537" s="2" t="e">
        <f ca="1">_xll.BDH($C$528,"GEO_GROW_BOOK_VAL","FQ4 2015","FQ4 2015","Currency=INR","Period=FQ","BEST_FPERIOD_OVERRIDE=FQ","FILING_STATUS=OR","EQY_CONSOLIDATED=Y","Sort=A","Dates=H","DateFormat=P","Fill=—","Direction=H","UseDPDF=Y")</f>
        <v>#NAME?</v>
      </c>
      <c r="BE537" s="2" t="e">
        <f ca="1">_xll.BDH($C$528,"GEO_GROW_CASH_OPER_ACT","FQ4 2015","FQ4 2015","Currency=INR","Period=FQ","BEST_FPERIOD_OVERRIDE=FQ","FILING_STATUS=OR","EQY_CONSOLIDATED=Y","Sort=A","Dates=H","DateFormat=P","Fill=—","Direction=H","UseDPDF=Y")</f>
        <v>#NAME?</v>
      </c>
      <c r="BF537" s="2" t="e">
        <f ca="1">_xll.BDH($C$528,"REVENUE_SEQUENTIAL_GROWTH","FQ4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37" s="2" t="e">
        <f ca="1">_xll.BDH($C$528,"EBITDA_SEQUENTIAL_GROWTH","FQ4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37" s="2" t="e">
        <f ca="1">_xll.BDH($C$528,"OPERATING_INCOME_SEQ_GROWTH","FQ4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37" s="2" t="e">
        <f ca="1">_xll.BDH($C$528,"NET_INCOME_TO_COMMON_SEQ_GROWTH","FQ4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37" s="2" t="e">
        <f ca="1">_xll.BDH($C$528,"EPS_DILUTED_SEQUENTIAL_GROWTH","FQ4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37" s="2" t="e">
        <f ca="1">_xll.BDH($C$528,"DPS_SEQUENTIAL_GROWTH","FQ4 2015","FQ4 2015","Currency=INR","Period=FQ","BEST_FPERIOD_OVERRIDE=FQ","FILING_STATUS=OR","EQY_CONSOLIDATED=Y","Sort=A","Dates=H","DateFormat=P","Fill=—","Direction=H","UseDPDF=Y")</f>
        <v>#NAME?</v>
      </c>
      <c r="BL537" s="2" t="e">
        <f ca="1">_xll.BDH($C$528,"ACCOUNTS_RECEIVABLE_SEQ_GROWTH","FQ4 2015","FQ4 2015","Currency=INR","Period=FQ","BEST_FPERIOD_OVERRIDE=FQ","FILING_STATUS=OR","EQY_CONSOLIDATED=Y","Sort=A","Dates=H","DateFormat=P","Fill=—","Direction=H","UseDPDF=Y")</f>
        <v>#NAME?</v>
      </c>
      <c r="BM537" s="2" t="e">
        <f ca="1">_xll.BDH($C$528,"INVENTORY_SEQUENTIAL_GROWTH","FQ4 2015","FQ4 2015","Currency=INR","Period=FQ","BEST_FPERIOD_OVERRIDE=FQ","FILING_STATUS=OR","EQY_CONSOLIDATED=Y","Sort=A","Dates=H","DateFormat=P","Fill=—","Direction=H","UseDPDF=Y")</f>
        <v>#NAME?</v>
      </c>
      <c r="BN537" s="2" t="e">
        <f ca="1">_xll.BDH($C$528,"FIXED_ASSETS_SEQUENTIAL_GROWTH","FQ4 2015","FQ4 2015","Currency=INR","Period=FQ","BEST_FPERIOD_OVERRIDE=FQ","FILING_STATUS=OR","EQY_CONSOLIDATED=Y","Sort=A","Dates=H","DateFormat=P","Fill=—","Direction=H","UseDPDF=Y")</f>
        <v>#NAME?</v>
      </c>
      <c r="BO537" s="2" t="e">
        <f ca="1">_xll.BDH($C$528,"TOTAL_ASSETS_SEQUENTIAL_GROWTH","FQ4 2015","FQ4 2015","Currency=INR","Period=FQ","BEST_FPERIOD_OVERRIDE=FQ","FILING_STATUS=OR","EQY_CONSOLIDATED=Y","Sort=A","Dates=H","DateFormat=P","Fill=—","Direction=H","UseDPDF=Y")</f>
        <v>#NAME?</v>
      </c>
      <c r="BP537" s="2" t="e">
        <f ca="1">_xll.BDH($C$528,"MODIFIED_WORKING_CPTL_SEQ_GRWTH","FQ4 2015","FQ4 2015","Currency=INR","Period=FQ","BEST_FPERIOD_OVERRIDE=FQ","FILING_STATUS=OR","EQY_CONSOLIDATED=Y","Sort=A","Dates=H","DateFormat=P","Fill=—","Direction=H","UseDPDF=Y")</f>
        <v>#NAME?</v>
      </c>
      <c r="BQ537" s="2" t="e">
        <f ca="1">_xll.BDH($C$528,"WORKING_CAPITAL_SEQ_GROWTH","FQ4 2015","FQ4 2015","Currency=INR","Period=FQ","BEST_FPERIOD_OVERRIDE=FQ","FILING_STATUS=OR","EQY_CONSOLIDATED=Y","Sort=A","Dates=H","DateFormat=P","Fill=—","Direction=H","UseDPDF=Y")</f>
        <v>#NAME?</v>
      </c>
      <c r="BR537" s="2" t="e">
        <f ca="1">_xll.BDH($C$528,"ACCOUNTS_PAYABLE_SEQ_GROWTH","FQ4 2015","FQ4 2015","Currency=INR","Period=FQ","BEST_FPERIOD_OVERRIDE=FQ","FILING_STATUS=OR","EQY_CONSOLIDATED=Y","Sort=A","Dates=H","DateFormat=P","Fill=—","Direction=H","UseDPDF=Y")</f>
        <v>#NAME?</v>
      </c>
      <c r="BS537" s="2" t="e">
        <f ca="1">_xll.BDH($C$528,"ST_DEBT_SEQUENTIAL_GROWTH","FQ4 2015","FQ4 2015","Currency=INR","Period=FQ","BEST_FPERIOD_OVERRIDE=FQ","FILING_STATUS=OR","EQY_CONSOLIDATED=Y","Sort=A","Dates=H","DateFormat=P","Fill=—","Direction=H","UseDPDF=Y")</f>
        <v>#NAME?</v>
      </c>
      <c r="BT537" s="2" t="e">
        <f ca="1">_xll.BDH($C$528,"TOTAL_DEBT_SEQUENTIAL_GROWTH","FQ4 2015","FQ4 2015","Currency=INR","Period=FQ","BEST_FPERIOD_OVERRIDE=FQ","FILING_STATUS=OR","EQY_CONSOLIDATED=Y","Sort=A","Dates=H","DateFormat=P","Fill=—","Direction=H","UseDPDF=Y")</f>
        <v>#NAME?</v>
      </c>
      <c r="BU537" s="2" t="e">
        <f ca="1">_xll.BDH($C$528,"TOTAL_EQUITY_SEQUENTIAL_GROWTH","FQ4 2015","FQ4 2015","Currency=INR","Period=FQ","BEST_FPERIOD_OVERRIDE=FQ","FILING_STATUS=OR","EQY_CONSOLIDATED=Y","Sort=A","Dates=H","DateFormat=P","Fill=—","Direction=H","UseDPDF=Y")</f>
        <v>#NAME?</v>
      </c>
      <c r="BV537" s="2" t="e">
        <f ca="1">_xll.BDH($C$528,"TOTAL_CAPITAL_SEQUENTIAL_GROWTH","FQ4 2015","FQ4 2015","Currency=INR","Period=FQ","BEST_FPERIOD_OVERRIDE=FQ","FILING_STATUS=OR","EQY_CONSOLIDATED=Y","Sort=A","Dates=H","DateFormat=P","Fill=—","Direction=H","UseDPDF=Y")</f>
        <v>#NAME?</v>
      </c>
      <c r="BW537" s="2" t="e">
        <f ca="1">_xll.BDH($C$528,"BPS_SEQUENTIAL_GROWTH","FQ4 2015","FQ4 2015","Currency=INR","Period=FQ","BEST_FPERIOD_OVERRIDE=FQ","FILING_STATUS=OR","EQY_CONSOLIDATED=Y","Sort=A","Dates=H","DateFormat=P","Fill=—","Direction=H","UseDPDF=Y")</f>
        <v>#NAME?</v>
      </c>
      <c r="BX537" s="2" t="e">
        <f ca="1">_xll.BDH($C$528,"CFO_SEQUENTIAL_GROWTH","FQ4 2015","FQ4 2015","Currency=INR","Period=FQ","BEST_FPERIOD_OVERRIDE=FQ","FILING_STATUS=OR","EQY_CONSOLIDATED=Y","Sort=A","Dates=H","DateFormat=P","Fill=—","Direction=H","UseDPDF=Y")</f>
        <v>#NAME?</v>
      </c>
      <c r="BY537" s="3" t="e">
        <f ca="1">_xll.BDH($C$528,"SHORT_AND_LONG_TERM_DEBT","FQ4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37" s="3" t="e">
        <f ca="1">_xll.BDH($C$528,"BS_ST_BORROW","FQ4 2015","FQ4 2015","Currency=INR","Period=FQ","BEST_FPERIOD_OVERRIDE=FQ","FILING_STATUS=OR","EQY_CONSOLIDATED=Y","SCALING_FORMAT=MLN","Sort=A","Dates=H","DateFormat=P","Fill=—","Direction=H","UseDPDF=Y")</f>
        <v>#NAME?</v>
      </c>
      <c r="CA537" s="3" t="e">
        <f ca="1">_xll.BDH($C$528,"BS_LT_BORROW","FQ4 2015","FQ4 2015","Currency=INR","Period=FQ","BEST_FPERIOD_OVERRIDE=FQ","FILING_STATUS=OR","EQY_CONSOLIDATED=Y","SCALING_FORMAT=MLN","Sort=A","Dates=H","DateFormat=P","Fill=—","Direction=H","UseDPDF=Y")</f>
        <v>#NAME?</v>
      </c>
      <c r="CB537" s="2" t="e">
        <f ca="1">_xll.BDH($C$528,"TOT_DEBT_TO_EBITDA","FQ4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37" s="2" t="e">
        <f ca="1">_xll.BDH($C$528,"NET_DEBT_TO_EBITDA","FQ4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37" s="2" t="e">
        <f ca="1">_xll.BDH($C$528,"TOTAL_DEBT_TO_EBIT","FQ4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37" s="2" t="e">
        <f ca="1">_xll.BDH($C$528,"NET_DEBT_TO_EBIT","FQ4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37" s="2" t="e">
        <f ca="1">_xll.BDH($C$528,"EBITDA_TO_INTEREST_EXPN","FQ4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37" s="2" t="e">
        <f ca="1">_xll.BDH($C$528,"COM_EQY_TO_TOT_ASSET","FQ4 2015","FQ4 2015","Currency=INR","Period=FQ","BEST_FPERIOD_OVERRIDE=FQ","FILING_STATUS=OR","EQY_CONSOLIDATED=Y","Sort=A","Dates=H","DateFormat=P","Fill=—","Direction=H","UseDPDF=Y")</f>
        <v>#NAME?</v>
      </c>
      <c r="CH537" s="2" t="e">
        <f ca="1">_xll.BDH($C$528,"LT_DEBT_TO_TOT_EQY","FQ4 2015","FQ4 2015","Currency=INR","Period=FQ","BEST_FPERIOD_OVERRIDE=FQ","FILING_STATUS=OR","EQY_CONSOLIDATED=Y","Sort=A","Dates=H","DateFormat=P","Fill=—","Direction=H","UseDPDF=Y")</f>
        <v>#NAME?</v>
      </c>
      <c r="CI537" s="2" t="e">
        <f ca="1">_xll.BDH($C$528,"LT_DEBT_TO_TOT_CAP","FQ4 2015","FQ4 2015","Currency=INR","Period=FQ","BEST_FPERIOD_OVERRIDE=FQ","FILING_STATUS=OR","EQY_CONSOLIDATED=Y","Sort=A","Dates=H","DateFormat=P","Fill=—","Direction=H","UseDPDF=Y")</f>
        <v>#NAME?</v>
      </c>
      <c r="CJ537" s="2" t="e">
        <f ca="1">_xll.BDH($C$528,"LT_DEBT_TO_TOT_ASSET","FQ4 2015","FQ4 2015","Currency=INR","Period=FQ","BEST_FPERIOD_OVERRIDE=FQ","FILING_STATUS=OR","EQY_CONSOLIDATED=Y","Sort=A","Dates=H","DateFormat=P","Fill=—","Direction=H","UseDPDF=Y")</f>
        <v>#NAME?</v>
      </c>
      <c r="CK537" s="2" t="e">
        <f ca="1">_xll.BDH($C$528,"TOT_DEBT_TO_TOT_EQY","FQ4 2015","FQ4 2015","Currency=INR","Period=FQ","BEST_FPERIOD_OVERRIDE=FQ","FILING_STATUS=OR","EQY_CONSOLIDATED=Y","Sort=A","Dates=H","DateFormat=P","Fill=—","Direction=H","UseDPDF=Y")</f>
        <v>#NAME?</v>
      </c>
      <c r="CL537" s="2" t="e">
        <f ca="1">_xll.BDH($C$528,"TOT_DEBT_TO_TOT_CAP","FQ4 2015","FQ4 2015","Currency=INR","Period=FQ","BEST_FPERIOD_OVERRIDE=FQ","FILING_STATUS=OR","EQY_CONSOLIDATED=Y","Sort=A","Dates=H","DateFormat=P","Fill=—","Direction=H","UseDPDF=Y")</f>
        <v>#NAME?</v>
      </c>
      <c r="CM537" s="2" t="e">
        <f ca="1">_xll.BDH($C$528,"TOT_DEBT_TO_TOT_ASSET","FQ4 2015","FQ4 2015","Currency=INR","Period=FQ","BEST_FPERIOD_OVERRIDE=FQ","FILING_STATUS=OR","EQY_CONSOLIDATED=Y","Sort=A","Dates=H","DateFormat=P","Fill=—","Direction=H","UseDPDF=Y")</f>
        <v>#NAME?</v>
      </c>
      <c r="CN537" s="2" t="e">
        <f ca="1">_xll.BDH($C$528,"NET_DEBT_TO_SHRHLDR_EQTY","FQ4 2015","FQ4 2015","Currency=INR","Period=FQ","BEST_FPERIOD_OVERRIDE=FQ","FILING_STATUS=OR","EQY_CONSOLIDATED=Y","Sort=A","Dates=H","DateFormat=P","Fill=—","Direction=H","UseDPDF=Y")</f>
        <v>#NAME?</v>
      </c>
      <c r="CO537" s="2" t="e">
        <f ca="1">_xll.BDH($C$528,"NET_DEBT_%_CAPITAL","FQ4 2015","FQ4 2015","Currency=INR","Period=FQ","BEST_FPERIOD_OVERRIDE=FQ","FILING_STATUS=OR","EQY_CONSOLIDATED=Y","Sort=A","Dates=H","DateFormat=P","Fill=—","Direction=H","UseDPDF=Y")</f>
        <v>#NAME?</v>
      </c>
      <c r="CP537" s="3" t="e">
        <f ca="1">_xll.BDH($C$528,"EBITDA","FQ4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37" s="3" t="e">
        <f ca="1">_xll.BDH($C$528,"EBITDA_AFTER_CAPEX","FQ4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37" s="3" t="e">
        <f ca="1">_xll.BDH($C$528,"IS_OPER_INC","FQ4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37" s="2" t="e">
        <f ca="1">_xll.BDH($C$528,"CASH_RATIO","FQ4 2015","FQ4 2015","Currency=INR","Period=FQ","BEST_FPERIOD_OVERRIDE=FQ","FILING_STATUS=OR","EQY_CONSOLIDATED=Y","Sort=A","Dates=H","DateFormat=P","Fill=—","Direction=H","UseDPDF=Y")</f>
        <v>#NAME?</v>
      </c>
      <c r="CT537" s="2" t="e">
        <f ca="1">_xll.BDH($C$528,"CUR_RATIO","FQ4 2015","FQ4 2015","Currency=INR","Period=FQ","BEST_FPERIOD_OVERRIDE=FQ","FILING_STATUS=OR","EQY_CONSOLIDATED=Y","Sort=A","Dates=H","DateFormat=P","Fill=—","Direction=H","UseDPDF=Y")</f>
        <v>#NAME?</v>
      </c>
      <c r="CU537" s="2" t="e">
        <f ca="1">_xll.BDH($C$528,"QUICK_RATIO","FQ4 2015","FQ4 2015","Currency=INR","Period=FQ","BEST_FPERIOD_OVERRIDE=FQ","FILING_STATUS=OR","EQY_CONSOLIDATED=Y","Sort=A","Dates=H","DateFormat=P","Fill=—","Direction=H","UseDPDF=Y")</f>
        <v>#NAME?</v>
      </c>
      <c r="CV537" s="2" t="e">
        <f ca="1">_xll.BDH($C$528,"ALTMAN_Z_SCORE","FQ4 2015","FQ4 2015","Currency=INR","Period=FQ","BEST_FPERIOD_OVERRIDE=FQ","FILING_STATUS=OR","EQY_CONSOLIDATED=Y","Sort=A","Dates=H","DateFormat=P","Fill=—","Direction=H","UseDPDF=Y")</f>
        <v>#NAME?</v>
      </c>
      <c r="CW537" s="4" t="e">
        <f ca="1">_xll.BDH($C$528,"ACCT_RCV_TURN","FQ4 2015","FQ4 2015","Currency=INR","Period=FQ","BEST_FPERIOD_OVERRIDE=FQ","FILING_STATUS=OR","EQY_CONSOLIDATED=Y","FA_ADJUSTED=GAAP","Sort=A","Dates=H","DateFormat=P","Fill=—","Direction=H","UseDPDF=Y")</f>
        <v>#NAME?</v>
      </c>
      <c r="CX537" s="2" t="e">
        <f ca="1">_xll.BDH($C$528,"ACCT_RCV_DAYS","FQ4 2015","FQ4 2015","Currency=INR","Period=FQ","BEST_FPERIOD_OVERRIDE=FQ","FILING_STATUS=OR","EQY_CONSOLIDATED=Y","FA_ADJUSTED=GAAP","Sort=A","Dates=H","DateFormat=P","Fill=—","Direction=H","UseDPDF=Y")</f>
        <v>#NAME?</v>
      </c>
      <c r="CY537" s="4" t="e">
        <f ca="1">_xll.BDH($C$528,"INVENT_TURN","FQ4 2015","FQ4 2015","Currency=INR","Period=FQ","BEST_FPERIOD_OVERRIDE=FQ","FILING_STATUS=OR","EQY_CONSOLIDATED=Y","FA_ADJUSTED=GAAP","Sort=A","Dates=H","DateFormat=P","Fill=—","Direction=H","UseDPDF=Y")</f>
        <v>#NAME?</v>
      </c>
      <c r="CZ537" s="2" t="e">
        <f ca="1">_xll.BDH($C$528,"INVENT_DAYS","FQ4 2015","FQ4 2015","Currency=INR","Period=FQ","BEST_FPERIOD_OVERRIDE=FQ","FILING_STATUS=OR","EQY_CONSOLIDATED=Y","FA_ADJUSTED=GAAP","Sort=A","Dates=H","DateFormat=P","Fill=—","Direction=H","UseDPDF=Y")</f>
        <v>#NAME?</v>
      </c>
      <c r="DA537" s="4" t="e">
        <f ca="1">_xll.BDH($C$528,"ACCOUNTS_PAYABLE_TURNOVER","FQ4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37" s="2" t="e">
        <f ca="1">_xll.BDH($C$528,"ACCOUNTS_PAYABLE_TURNOVER_DAYS","FQ4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37" s="4" t="e">
        <f ca="1">_xll.BDH($C$528,"CASH_CONVERSION_CYCLE","FQ4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37" s="4" t="e">
        <f ca="1">_xll.BDH($C$528,"INV_TO_CASH_DAYS","FQ4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37" s="5" t="e">
        <f ca="1">_xll.BDH($C$528,"BS_INVENTORIES","FQ4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37" s="3" t="e">
        <f ca="1">_xll.BDH($C$528,"INVTRY_RAW_MATERIALS","FQ4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37" s="3" t="e">
        <f ca="1">_xll.BDH($C$528,"INVTRY_IN_PROGRESS","FQ4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37" s="3" t="e">
        <f ca="1">_xll.BDH($C$528,"INVTRY_FINISHED_GOODS","FQ4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37" s="3" t="e">
        <f ca="1">_xll.BDH($C$528,"BS_OTHER_INV","FQ4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38" spans="1:113" x14ac:dyDescent="0.3">
      <c r="A538" s="6"/>
      <c r="B538" s="6"/>
      <c r="C538" s="6"/>
      <c r="D538" s="6" t="s">
        <v>83</v>
      </c>
      <c r="E538" t="s">
        <v>77</v>
      </c>
      <c r="F538" t="e">
        <f ca="1">_xll.BDH($C$528,"RETURN_COM_EQY","FY 2016","FY 2016","Currency=INR","Period=FY","BEST_FPERIOD_OVERRIDE=FY","FILING_STATUS=OR","EQY_CONSOLIDATED=Y","FA_ADJUSTED=GAAP","Sort=A","Dates=H","DateFormat=P","Fill=—","Direction=H","UseDPDF=Y")</f>
        <v>#NAME?</v>
      </c>
      <c r="G538" t="e">
        <f ca="1">_xll.BDH($C$528,"RETURN_ON_ASSET","FY 2016","FY 2016","Currency=INR","Period=FY","BEST_FPERIOD_OVERRIDE=FY","FILING_STATUS=OR","EQY_CONSOLIDATED=Y","FA_ADJUSTED=GAAP","Sort=A","Dates=H","DateFormat=P","Fill=—","Direction=H","UseDPDF=Y")</f>
        <v>#NAME?</v>
      </c>
      <c r="H538" t="e">
        <f ca="1">_xll.BDH($C$528,"RETURN_ON_CAP","FY 2016","FY 2016","Currency=INR","Period=FY","BEST_FPERIOD_OVERRIDE=FY","FILING_STATUS=OR","EQY_CONSOLIDATED=Y","FA_ADJUSTED=GAAP","Sort=A","Dates=H","DateFormat=P","Fill=—","Direction=H","UseDPDF=Y")</f>
        <v>#NAME?</v>
      </c>
      <c r="I538" t="e">
        <f ca="1">_xll.BDH($C$528,"RETURN_ON_INV_CAPITAL","FY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38" t="e">
        <f ca="1">_xll.BDH($C$528,"EBITDA_TO_REVENUE","FY 2016","FY 2016","Currency=INR","Period=FY","BEST_FPERIOD_OVERRIDE=FY","FILING_STATUS=OR","EQY_CONSOLIDATED=Y","FA_ADJUSTED=GAAP","Sort=A","Dates=H","DateFormat=P","Fill=—","Direction=H","UseDPDF=Y")</f>
        <v>#NAME?</v>
      </c>
      <c r="K538" t="e">
        <f ca="1">_xll.BDH($C$528,"OPER_MARGIN","FY 2016","FY 2016","Currency=INR","Period=FY","BEST_FPERIOD_OVERRIDE=FY","FILING_STATUS=OR","EQY_CONSOLIDATED=Y","FA_ADJUSTED=GAAP","Sort=A","Dates=H","DateFormat=P","Fill=—","Direction=H","UseDPDF=Y")</f>
        <v>#NAME?</v>
      </c>
      <c r="L538" t="e">
        <f ca="1">_xll.BDH($C$528,"INCREMENTAL_OPERATING_MARGIN","FY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38" t="e">
        <f ca="1">_xll.BDH($C$528,"PRETAX_INC_TO_NET_SALES","FY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38" t="e">
        <f ca="1">_xll.BDH($C$528,"INC_BEF_XO_ITEMS_TO_NET_SALES","FY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38" t="e">
        <f ca="1">_xll.BDH($C$528,"PROF_MARGIN","FY 2016","FY 2016","Currency=INR","Period=FY","BEST_FPERIOD_OVERRIDE=FY","FILING_STATUS=OR","EQY_CONSOLIDATED=Y","FA_ADJUSTED=GAAP","Sort=A","Dates=H","DateFormat=P","Fill=—","Direction=H","UseDPDF=Y")</f>
        <v>#NAME?</v>
      </c>
      <c r="P538" t="e">
        <f ca="1">_xll.BDH($C$528,"NET_INCOME_TO_COMMON_MARGIN","FY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38" t="e">
        <f ca="1">_xll.BDH($C$528,"EFF_TAX_RATE","FY 2016","FY 2016","Currency=INR","Period=FY","BEST_FPERIOD_OVERRIDE=FY","FILING_STATUS=OR","EQY_CONSOLIDATED=Y","FA_ADJUSTED=GAAP","Sort=A","Dates=H","DateFormat=P","Fill=—","Direction=H","UseDPDF=Y")</f>
        <v>#NAME?</v>
      </c>
      <c r="R538" t="e">
        <f ca="1">_xll.BDH($C$528,"DVD_PAYOUT_RATIO","FY 2016","FY 2016","Currency=INR","Period=FY","BEST_FPERIOD_OVERRIDE=FY","FILING_STATUS=OR","EQY_CONSOLIDATED=Y","FA_ADJUSTED=GAAP","Sort=A","Dates=H","DateFormat=P","Fill=—","Direction=H","UseDPDF=Y")</f>
        <v>#NAME?</v>
      </c>
      <c r="S538" t="e">
        <f ca="1">_xll.BDH($C$528,"SUSTAIN_GROWTH_RT","FY 2016","FY 2016","Currency=INR","Period=FY","BEST_FPERIOD_OVERRIDE=FY","FILING_STATUS=OR","EQY_CONSOLIDATED=Y","FA_ADJUSTED=GAAP","Sort=A","Dates=H","DateFormat=P","Fill=—","Direction=H","UseDPDF=Y")</f>
        <v>#NAME?</v>
      </c>
      <c r="T538" s="2" t="e">
        <f ca="1">_xll.BDH($C$528,"SALES_GROWTH","FY 2016","FY 2016","Currency=INR","Period=FY","BEST_FPERIOD_OVERRIDE=FY","FILING_STATUS=OR","EQY_CONSOLIDATED=Y","FA_ADJUSTED=GAAP","Sort=A","Dates=H","DateFormat=P","Fill=—","Direction=H","UseDPDF=Y")</f>
        <v>#NAME?</v>
      </c>
      <c r="U538" s="2" t="e">
        <f ca="1">_xll.BDH($C$528,"EBITDA_GROWTH","FY 2016","FY 2016","Currency=INR","Period=FY","BEST_FPERIOD_OVERRIDE=FY","FILING_STATUS=OR","EQY_CONSOLIDATED=Y","FA_ADJUSTED=GAAP","Sort=A","Dates=H","DateFormat=P","Fill=—","Direction=H","UseDPDF=Y")</f>
        <v>#NAME?</v>
      </c>
      <c r="V538" s="2" t="e">
        <f ca="1">_xll.BDH($C$528,"OPER_INC_GROWTH","FY 2016","FY 2016","Currency=INR","Period=FY","BEST_FPERIOD_OVERRIDE=FY","FILING_STATUS=OR","EQY_CONSOLIDATED=Y","FA_ADJUSTED=GAAP","Sort=A","Dates=H","DateFormat=P","Fill=—","Direction=H","UseDPDF=Y")</f>
        <v>#NAME?</v>
      </c>
      <c r="W538" s="2" t="e">
        <f ca="1">_xll.BDH($C$528,"EARN_FOR_COM_GROWTH","FY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38" s="2" t="e">
        <f ca="1">_xll.BDH($C$528,"DILUTED_EPS_AFT_XO_ITEMS_GROWTH","FY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38" s="2" t="e">
        <f ca="1">_xll.BDH($C$528,"DIVIDEND_PER_SHARE_1_YEAR_GROWTH","FY 2016","FY 2016","Currency=INR","Period=FY","BEST_FPERIOD_OVERRIDE=FY","FILING_STATUS=OR","EQY_CONSOLIDATED=Y","Sort=A","Dates=H","DateFormat=P","Fill=—","Direction=H","UseDPDF=Y")</f>
        <v>#NAME?</v>
      </c>
      <c r="Z538" s="2" t="e">
        <f ca="1">_xll.BDH($C$528,"ACCOUNTS_RECEIVABLE_GROWTH","FY 2016","FY 2016","Currency=INR","Period=FY","BEST_FPERIOD_OVERRIDE=FY","FILING_STATUS=OR","EQY_CONSOLIDATED=Y","Sort=A","Dates=H","DateFormat=P","Fill=—","Direction=H","UseDPDF=Y")</f>
        <v>#NAME?</v>
      </c>
      <c r="AA538" s="2" t="e">
        <f ca="1">_xll.BDH($C$528,"INVENTORY_GROWTH","FY 2016","FY 2016","Currency=INR","Period=FY","BEST_FPERIOD_OVERRIDE=FY","FILING_STATUS=OR","EQY_CONSOLIDATED=Y","Sort=A","Dates=H","DateFormat=P","Fill=—","Direction=H","UseDPDF=Y")</f>
        <v>#NAME?</v>
      </c>
      <c r="AB538" s="2" t="e">
        <f ca="1">_xll.BDH($C$528,"NET_FIXED_ASSETS_1_YEAR_GROWTH","FY 2016","FY 2016","Currency=INR","Period=FY","BEST_FPERIOD_OVERRIDE=FY","FILING_STATUS=OR","EQY_CONSOLIDATED=Y","Sort=A","Dates=H","DateFormat=P","Fill=—","Direction=H","UseDPDF=Y")</f>
        <v>#NAME?</v>
      </c>
      <c r="AC538" s="2" t="e">
        <f ca="1">_xll.BDH($C$528,"ASSET_GROWTH","FY 2016","FY 2016","Currency=INR","Period=FY","BEST_FPERIOD_OVERRIDE=FY","FILING_STATUS=OR","EQY_CONSOLIDATED=Y","Sort=A","Dates=H","DateFormat=P","Fill=—","Direction=H","UseDPDF=Y")</f>
        <v>#NAME?</v>
      </c>
      <c r="AD538" s="2" t="e">
        <f ca="1">_xll.BDH($C$528,"MODIFIED_WORK_CAP_GROWTH","FY 2016","FY 2016","Currency=INR","Period=FY","BEST_FPERIOD_OVERRIDE=FY","FILING_STATUS=OR","EQY_CONSOLIDATED=Y","Sort=A","Dates=H","DateFormat=P","Fill=—","Direction=H","UseDPDF=Y")</f>
        <v>#NAME?</v>
      </c>
      <c r="AE538" s="2" t="e">
        <f ca="1">_xll.BDH($C$528,"WORK_CAP_GROWTH","FY 2016","FY 2016","Currency=INR","Period=FY","BEST_FPERIOD_OVERRIDE=FY","FILING_STATUS=OR","EQY_CONSOLIDATED=Y","Sort=A","Dates=H","DateFormat=P","Fill=—","Direction=H","UseDPDF=Y")</f>
        <v>#NAME?</v>
      </c>
      <c r="AF538" s="2" t="e">
        <f ca="1">_xll.BDH($C$528,"ACCOUNTS_PAYABLE_GROWTH_1YR","FY 2016","FY 2016","Currency=INR","Period=FY","BEST_FPERIOD_OVERRIDE=FY","FILING_STATUS=OR","EQY_CONSOLIDATED=Y","Sort=A","Dates=H","DateFormat=P","Fill=—","Direction=H","UseDPDF=Y")</f>
        <v>#NAME?</v>
      </c>
      <c r="AG538" s="2" t="e">
        <f ca="1">_xll.BDH($C$528,"SHORT_TERM_DEBT_1_YEAR_GROWTH","FY 2016","FY 2016","Currency=INR","Period=FY","BEST_FPERIOD_OVERRIDE=FY","FILING_STATUS=OR","EQY_CONSOLIDATED=Y","Sort=A","Dates=H","DateFormat=P","Fill=—","Direction=H","UseDPDF=Y")</f>
        <v>#NAME?</v>
      </c>
      <c r="AH538" s="2" t="e">
        <f ca="1">_xll.BDH($C$528,"TOTAL_DEBT_1_YEAR_GROWTH","FY 2016","FY 2016","Currency=INR","Period=FY","BEST_FPERIOD_OVERRIDE=FY","FILING_STATUS=OR","EQY_CONSOLIDATED=Y","Sort=A","Dates=H","DateFormat=P","Fill=—","Direction=H","UseDPDF=Y")</f>
        <v>#NAME?</v>
      </c>
      <c r="AI538" s="2" t="e">
        <f ca="1">_xll.BDH($C$528,"TOTAL_EQUITY_1_YEAR_GROWTH","FY 2016","FY 2016","Currency=INR","Period=FY","BEST_FPERIOD_OVERRIDE=FY","FILING_STATUS=OR","EQY_CONSOLIDATED=Y","Sort=A","Dates=H","DateFormat=P","Fill=—","Direction=H","UseDPDF=Y")</f>
        <v>#NAME?</v>
      </c>
      <c r="AJ538" s="2" t="e">
        <f ca="1">_xll.BDH($C$528,"GROWTH_IN_CAP","FY 2016","FY 2016","Currency=INR","Period=FY","BEST_FPERIOD_OVERRIDE=FY","FILING_STATUS=OR","EQY_CONSOLIDATED=Y","Sort=A","Dates=H","DateFormat=P","Fill=—","Direction=H","UseDPDF=Y")</f>
        <v>#NAME?</v>
      </c>
      <c r="AK538" s="2" t="e">
        <f ca="1">_xll.BDH($C$528,"BVPS_GROWTH","FY 2016","FY 2016","Currency=INR","Period=FY","BEST_FPERIOD_OVERRIDE=FY","FILING_STATUS=OR","EQY_CONSOLIDATED=Y","Sort=A","Dates=H","DateFormat=P","Fill=—","Direction=H","UseDPDF=Y")</f>
        <v>#NAME?</v>
      </c>
      <c r="AL538" s="2" t="e">
        <f ca="1">_xll.BDH($C$528,"CASH_FLOW_GROWTH","FY 2016","FY 2016","Currency=INR","Period=FY","BEST_FPERIOD_OVERRIDE=FY","FILING_STATUS=OR","EQY_CONSOLIDATED=Y","Sort=A","Dates=H","DateFormat=P","Fill=—","Direction=H","UseDPDF=Y")</f>
        <v>#NAME?</v>
      </c>
      <c r="AM538" s="2" t="e">
        <f ca="1">_xll.BDH($C$528,"GEO_GROW_NET_SALES","FY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38" s="2" t="e">
        <f ca="1">_xll.BDH($C$528,"GEO_GROW_EBITDA","FY 2016","FY 2016","Currency=INR","Period=FY","BEST_FPERIOD_OVERRIDE=FY","FILING_STATUS=OR","EQY_CONSOLIDATED=Y","FA_ADJUSTED=GAAP","Sort=A","Dates=H","DateFormat=P","Fill=—","Direction=H","UseDPDF=Y")</f>
        <v>#NAME?</v>
      </c>
      <c r="AO538" s="2" t="e">
        <f ca="1">_xll.BDH($C$528,"GEO_GROW_OPER_INC","FY 2016","FY 2016","Currency=INR","Period=FY","BEST_FPERIOD_OVERRIDE=FY","FILING_STATUS=OR","EQY_CONSOLIDATED=Y","FA_ADJUSTED=GAAP","Sort=A","Dates=H","DateFormat=P","Fill=—","Direction=H","UseDPDF=Y")</f>
        <v>#NAME?</v>
      </c>
      <c r="AP538" s="2" t="e">
        <f ca="1">_xll.BDH($C$528,"NET_INCOME_TO_COMMON_5_YR_GROWTH","FY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38" s="2" t="e">
        <f ca="1">_xll.BDH($C$528,"5Y_GEO_GROWTH_DILUTED_EPS","FY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38" s="2" t="e">
        <f ca="1">_xll.BDH($C$528,"GEO_GROW_DVD_PER_SH","FY 2016","FY 2016","Currency=INR","Period=FY","BEST_FPERIOD_OVERRIDE=FY","FILING_STATUS=OR","EQY_CONSOLIDATED=Y","Sort=A","Dates=H","DateFormat=P","Fill=—","Direction=H","UseDPDF=Y")</f>
        <v>#NAME?</v>
      </c>
      <c r="AS538" s="2" t="e">
        <f ca="1">_xll.BDH($C$528,"ACCOUNTS_RECEIVABLE_5_YR_GROWTH","FY 2016","FY 2016","Currency=INR","Period=FY","BEST_FPERIOD_OVERRIDE=FY","FILING_STATUS=OR","EQY_CONSOLIDATED=Y","Sort=A","Dates=H","DateFormat=P","Fill=—","Direction=H","UseDPDF=Y")</f>
        <v>#NAME?</v>
      </c>
      <c r="AT538" s="2" t="e">
        <f ca="1">_xll.BDH($C$528,"INVENTORY_5_YEAR_GROWTH","FY 2016","FY 2016","Currency=INR","Period=FY","BEST_FPERIOD_OVERRIDE=FY","FILING_STATUS=OR","EQY_CONSOLIDATED=Y","Sort=A","Dates=H","DateFormat=P","Fill=—","Direction=H","UseDPDF=Y")</f>
        <v>#NAME?</v>
      </c>
      <c r="AU538" s="2" t="e">
        <f ca="1">_xll.BDH($C$528,"NET_FIXED_ASSETS_5_YEAR_GROWTH","FY 2016","FY 2016","Currency=INR","Period=FY","BEST_FPERIOD_OVERRIDE=FY","FILING_STATUS=OR","EQY_CONSOLIDATED=Y","Sort=A","Dates=H","DateFormat=P","Fill=—","Direction=H","UseDPDF=Y")</f>
        <v>#NAME?</v>
      </c>
      <c r="AV538" s="2" t="e">
        <f ca="1">_xll.BDH($C$528,"GEO_GROW_TOT_ASSET","FY 2016","FY 2016","Currency=INR","Period=FY","BEST_FPERIOD_OVERRIDE=FY","FILING_STATUS=OR","EQY_CONSOLIDATED=Y","Sort=A","Dates=H","DateFormat=P","Fill=—","Direction=H","UseDPDF=Y")</f>
        <v>#NAME?</v>
      </c>
      <c r="AW538" s="2" t="e">
        <f ca="1">_xll.BDH($C$528,"MODIFIED_WORKING_CPTL_5YR_GRWTH","FY 2016","FY 2016","Currency=INR","Period=FY","BEST_FPERIOD_OVERRIDE=FY","FILING_STATUS=OR","EQY_CONSOLIDATED=Y","Sort=A","Dates=H","DateFormat=P","Fill=—","Direction=H","UseDPDF=Y")</f>
        <v>#NAME?</v>
      </c>
      <c r="AX538" s="2" t="e">
        <f ca="1">_xll.BDH($C$528,"WORKING_CAPITAL_5_YEAR_GROWTH","FY 2016","FY 2016","Currency=INR","Period=FY","BEST_FPERIOD_OVERRIDE=FY","FILING_STATUS=OR","EQY_CONSOLIDATED=Y","Sort=A","Dates=H","DateFormat=P","Fill=—","Direction=H","UseDPDF=Y")</f>
        <v>#NAME?</v>
      </c>
      <c r="AY538" s="2" t="e">
        <f ca="1">_xll.BDH($C$528,"ACCOUNTS_PAYABLE_5_YEAR_GROWTH","FY 2016","FY 2016","Currency=INR","Period=FY","BEST_FPERIOD_OVERRIDE=FY","FILING_STATUS=OR","EQY_CONSOLIDATED=Y","Sort=A","Dates=H","DateFormat=P","Fill=—","Direction=H","UseDPDF=Y")</f>
        <v>#NAME?</v>
      </c>
      <c r="AZ538" s="2" t="e">
        <f ca="1">_xll.BDH($C$528,"SHORT_TERM_DEBT_5_YEAR_GROWTH","FY 2016","FY 2016","Currency=INR","Period=FY","BEST_FPERIOD_OVERRIDE=FY","FILING_STATUS=OR","EQY_CONSOLIDATED=Y","Sort=A","Dates=H","DateFormat=P","Fill=—","Direction=H","UseDPDF=Y")</f>
        <v>#NAME?</v>
      </c>
      <c r="BA538" s="2" t="e">
        <f ca="1">_xll.BDH($C$528,"TOTAL_DEBT_5_YEAR_GROWTH","FY 2016","FY 2016","Currency=INR","Period=FY","BEST_FPERIOD_OVERRIDE=FY","FILING_STATUS=OR","EQY_CONSOLIDATED=Y","Sort=A","Dates=H","DateFormat=P","Fill=—","Direction=H","UseDPDF=Y")</f>
        <v>#NAME?</v>
      </c>
      <c r="BB538" s="2" t="e">
        <f ca="1">_xll.BDH($C$528,"GEO_GROW_TOT_SHRHLDR_EQY","FY 2016","FY 2016","Currency=INR","Period=FY","BEST_FPERIOD_OVERRIDE=FY","FILING_STATUS=OR","EQY_CONSOLIDATED=Y","Sort=A","Dates=H","DateFormat=P","Fill=—","Direction=H","UseDPDF=Y")</f>
        <v>#NAME?</v>
      </c>
      <c r="BC538" s="2" t="e">
        <f ca="1">_xll.BDH($C$528,"TOTAL_CAPITAL_5_YEAR_GROWTH","FY 2016","FY 2016","Currency=INR","Period=FY","BEST_FPERIOD_OVERRIDE=FY","FILING_STATUS=OR","EQY_CONSOLIDATED=Y","Sort=A","Dates=H","DateFormat=P","Fill=—","Direction=H","UseDPDF=Y")</f>
        <v>#NAME?</v>
      </c>
      <c r="BD538" s="2" t="e">
        <f ca="1">_xll.BDH($C$528,"GEO_GROW_BOOK_VAL","FY 2016","FY 2016","Currency=INR","Period=FY","BEST_FPERIOD_OVERRIDE=FY","FILING_STATUS=OR","EQY_CONSOLIDATED=Y","Sort=A","Dates=H","DateFormat=P","Fill=—","Direction=H","UseDPDF=Y")</f>
        <v>#NAME?</v>
      </c>
      <c r="BE538" s="2" t="e">
        <f ca="1">_xll.BDH($C$528,"GEO_GROW_CASH_OPER_ACT","FY 2016","FY 2016","Currency=INR","Period=FY","BEST_FPERIOD_OVERRIDE=FY","FILING_STATUS=OR","EQY_CONSOLIDATED=Y","Sort=A","Dates=H","DateFormat=P","Fill=—","Direction=H","UseDPDF=Y")</f>
        <v>#NAME?</v>
      </c>
      <c r="BF538" s="2" t="e">
        <f ca="1">_xll.BDH($C$528,"REVENUE_SEQUENTIAL_GROWTH","FY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38" s="2" t="e">
        <f ca="1">_xll.BDH($C$528,"EBITDA_SEQUENTIAL_GROWTH","FY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38" s="2" t="e">
        <f ca="1">_xll.BDH($C$528,"OPERATING_INCOME_SEQ_GROWTH","FY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38" s="2" t="e">
        <f ca="1">_xll.BDH($C$528,"NET_INCOME_TO_COMMON_SEQ_GROWTH","FY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38" s="2" t="e">
        <f ca="1">_xll.BDH($C$528,"EPS_DILUTED_SEQUENTIAL_GROWTH","FY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38" s="2" t="e">
        <f ca="1">_xll.BDH($C$528,"DPS_SEQUENTIAL_GROWTH","FY 2016","FY 2016","Currency=INR","Period=FY","BEST_FPERIOD_OVERRIDE=FY","FILING_STATUS=OR","EQY_CONSOLIDATED=Y","Sort=A","Dates=H","DateFormat=P","Fill=—","Direction=H","UseDPDF=Y")</f>
        <v>#NAME?</v>
      </c>
      <c r="BL538" s="2" t="e">
        <f ca="1">_xll.BDH($C$528,"ACCOUNTS_RECEIVABLE_SEQ_GROWTH","FY 2016","FY 2016","Currency=INR","Period=FY","BEST_FPERIOD_OVERRIDE=FY","FILING_STATUS=OR","EQY_CONSOLIDATED=Y","Sort=A","Dates=H","DateFormat=P","Fill=—","Direction=H","UseDPDF=Y")</f>
        <v>#NAME?</v>
      </c>
      <c r="BM538" s="2" t="e">
        <f ca="1">_xll.BDH($C$528,"INVENTORY_SEQUENTIAL_GROWTH","FY 2016","FY 2016","Currency=INR","Period=FY","BEST_FPERIOD_OVERRIDE=FY","FILING_STATUS=OR","EQY_CONSOLIDATED=Y","Sort=A","Dates=H","DateFormat=P","Fill=—","Direction=H","UseDPDF=Y")</f>
        <v>#NAME?</v>
      </c>
      <c r="BN538" s="2" t="e">
        <f ca="1">_xll.BDH($C$528,"FIXED_ASSETS_SEQUENTIAL_GROWTH","FY 2016","FY 2016","Currency=INR","Period=FY","BEST_FPERIOD_OVERRIDE=FY","FILING_STATUS=OR","EQY_CONSOLIDATED=Y","Sort=A","Dates=H","DateFormat=P","Fill=—","Direction=H","UseDPDF=Y")</f>
        <v>#NAME?</v>
      </c>
      <c r="BO538" s="2" t="e">
        <f ca="1">_xll.BDH($C$528,"TOTAL_ASSETS_SEQUENTIAL_GROWTH","FY 2016","FY 2016","Currency=INR","Period=FY","BEST_FPERIOD_OVERRIDE=FY","FILING_STATUS=OR","EQY_CONSOLIDATED=Y","Sort=A","Dates=H","DateFormat=P","Fill=—","Direction=H","UseDPDF=Y")</f>
        <v>#NAME?</v>
      </c>
      <c r="BP538" s="2" t="e">
        <f ca="1">_xll.BDH($C$528,"MODIFIED_WORKING_CPTL_SEQ_GRWTH","FY 2016","FY 2016","Currency=INR","Period=FY","BEST_FPERIOD_OVERRIDE=FY","FILING_STATUS=OR","EQY_CONSOLIDATED=Y","Sort=A","Dates=H","DateFormat=P","Fill=—","Direction=H","UseDPDF=Y")</f>
        <v>#NAME?</v>
      </c>
      <c r="BQ538" s="2" t="e">
        <f ca="1">_xll.BDH($C$528,"WORKING_CAPITAL_SEQ_GROWTH","FY 2016","FY 2016","Currency=INR","Period=FY","BEST_FPERIOD_OVERRIDE=FY","FILING_STATUS=OR","EQY_CONSOLIDATED=Y","Sort=A","Dates=H","DateFormat=P","Fill=—","Direction=H","UseDPDF=Y")</f>
        <v>#NAME?</v>
      </c>
      <c r="BR538" s="2" t="e">
        <f ca="1">_xll.BDH($C$528,"ACCOUNTS_PAYABLE_SEQ_GROWTH","FY 2016","FY 2016","Currency=INR","Period=FY","BEST_FPERIOD_OVERRIDE=FY","FILING_STATUS=OR","EQY_CONSOLIDATED=Y","Sort=A","Dates=H","DateFormat=P","Fill=—","Direction=H","UseDPDF=Y")</f>
        <v>#NAME?</v>
      </c>
      <c r="BS538" s="2" t="e">
        <f ca="1">_xll.BDH($C$528,"ST_DEBT_SEQUENTIAL_GROWTH","FY 2016","FY 2016","Currency=INR","Period=FY","BEST_FPERIOD_OVERRIDE=FY","FILING_STATUS=OR","EQY_CONSOLIDATED=Y","Sort=A","Dates=H","DateFormat=P","Fill=—","Direction=H","UseDPDF=Y")</f>
        <v>#NAME?</v>
      </c>
      <c r="BT538" s="2" t="e">
        <f ca="1">_xll.BDH($C$528,"TOTAL_DEBT_SEQUENTIAL_GROWTH","FY 2016","FY 2016","Currency=INR","Period=FY","BEST_FPERIOD_OVERRIDE=FY","FILING_STATUS=OR","EQY_CONSOLIDATED=Y","Sort=A","Dates=H","DateFormat=P","Fill=—","Direction=H","UseDPDF=Y")</f>
        <v>#NAME?</v>
      </c>
      <c r="BU538" s="2" t="e">
        <f ca="1">_xll.BDH($C$528,"TOTAL_EQUITY_SEQUENTIAL_GROWTH","FY 2016","FY 2016","Currency=INR","Period=FY","BEST_FPERIOD_OVERRIDE=FY","FILING_STATUS=OR","EQY_CONSOLIDATED=Y","Sort=A","Dates=H","DateFormat=P","Fill=—","Direction=H","UseDPDF=Y")</f>
        <v>#NAME?</v>
      </c>
      <c r="BV538" s="2" t="e">
        <f ca="1">_xll.BDH($C$528,"TOTAL_CAPITAL_SEQUENTIAL_GROWTH","FY 2016","FY 2016","Currency=INR","Period=FY","BEST_FPERIOD_OVERRIDE=FY","FILING_STATUS=OR","EQY_CONSOLIDATED=Y","Sort=A","Dates=H","DateFormat=P","Fill=—","Direction=H","UseDPDF=Y")</f>
        <v>#NAME?</v>
      </c>
      <c r="BW538" s="2" t="e">
        <f ca="1">_xll.BDH($C$528,"BPS_SEQUENTIAL_GROWTH","FY 2016","FY 2016","Currency=INR","Period=FY","BEST_FPERIOD_OVERRIDE=FY","FILING_STATUS=OR","EQY_CONSOLIDATED=Y","Sort=A","Dates=H","DateFormat=P","Fill=—","Direction=H","UseDPDF=Y")</f>
        <v>#NAME?</v>
      </c>
      <c r="BX538" s="2" t="e">
        <f ca="1">_xll.BDH($C$528,"CFO_SEQUENTIAL_GROWTH","FY 2016","FY 2016","Currency=INR","Period=FY","BEST_FPERIOD_OVERRIDE=FY","FILING_STATUS=OR","EQY_CONSOLIDATED=Y","Sort=A","Dates=H","DateFormat=P","Fill=—","Direction=H","UseDPDF=Y")</f>
        <v>#NAME?</v>
      </c>
      <c r="BY538" s="3" t="e">
        <f ca="1">_xll.BDH($C$528,"SHORT_AND_LONG_TERM_DEBT","FY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38" s="3" t="e">
        <f ca="1">_xll.BDH($C$528,"BS_ST_BORROW","FY 2016","FY 2016","Currency=INR","Period=FY","BEST_FPERIOD_OVERRIDE=FY","FILING_STATUS=OR","EQY_CONSOLIDATED=Y","SCALING_FORMAT=MLN","Sort=A","Dates=H","DateFormat=P","Fill=—","Direction=H","UseDPDF=Y")</f>
        <v>#NAME?</v>
      </c>
      <c r="CA538" s="3" t="e">
        <f ca="1">_xll.BDH($C$528,"BS_LT_BORROW","FY 2016","FY 2016","Currency=INR","Period=FY","BEST_FPERIOD_OVERRIDE=FY","FILING_STATUS=OR","EQY_CONSOLIDATED=Y","SCALING_FORMAT=MLN","Sort=A","Dates=H","DateFormat=P","Fill=—","Direction=H","UseDPDF=Y")</f>
        <v>#NAME?</v>
      </c>
      <c r="CB538" s="2" t="e">
        <f ca="1">_xll.BDH($C$528,"TOT_DEBT_TO_EBITDA","FY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38" s="2" t="e">
        <f ca="1">_xll.BDH($C$528,"NET_DEBT_TO_EBITDA","FY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38" s="2" t="e">
        <f ca="1">_xll.BDH($C$528,"TOTAL_DEBT_TO_EBIT","FY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38" s="2" t="e">
        <f ca="1">_xll.BDH($C$528,"NET_DEBT_TO_EBIT","FY 2016","FY 2016","Currency=INR","Period=FY","BEST_FPERIOD_OVERRIDE=FY","FILING_STATUS=OR","EQY_CONSOLIDATED=Y","FA_ADJUSTED=GAAP","Sort=A","Dates=H","DateFormat=P","Fill=—","Direction=H","UseDPDF=Y")</f>
        <v>#NAME?</v>
      </c>
      <c r="CF538" s="2" t="e">
        <f ca="1">_xll.BDH($C$528,"EBITDA_TO_INTEREST_EXPN","FY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38" s="2" t="e">
        <f ca="1">_xll.BDH($C$528,"COM_EQY_TO_TOT_ASSET","FY 2016","FY 2016","Currency=INR","Period=FY","BEST_FPERIOD_OVERRIDE=FY","FILING_STATUS=OR","EQY_CONSOLIDATED=Y","Sort=A","Dates=H","DateFormat=P","Fill=—","Direction=H","UseDPDF=Y")</f>
        <v>#NAME?</v>
      </c>
      <c r="CH538" s="2" t="e">
        <f ca="1">_xll.BDH($C$528,"LT_DEBT_TO_TOT_EQY","FY 2016","FY 2016","Currency=INR","Period=FY","BEST_FPERIOD_OVERRIDE=FY","FILING_STATUS=OR","EQY_CONSOLIDATED=Y","Sort=A","Dates=H","DateFormat=P","Fill=—","Direction=H","UseDPDF=Y")</f>
        <v>#NAME?</v>
      </c>
      <c r="CI538" s="2" t="e">
        <f ca="1">_xll.BDH($C$528,"LT_DEBT_TO_TOT_CAP","FY 2016","FY 2016","Currency=INR","Period=FY","BEST_FPERIOD_OVERRIDE=FY","FILING_STATUS=OR","EQY_CONSOLIDATED=Y","Sort=A","Dates=H","DateFormat=P","Fill=—","Direction=H","UseDPDF=Y")</f>
        <v>#NAME?</v>
      </c>
      <c r="CJ538" s="2" t="e">
        <f ca="1">_xll.BDH($C$528,"LT_DEBT_TO_TOT_ASSET","FY 2016","FY 2016","Currency=INR","Period=FY","BEST_FPERIOD_OVERRIDE=FY","FILING_STATUS=OR","EQY_CONSOLIDATED=Y","Sort=A","Dates=H","DateFormat=P","Fill=—","Direction=H","UseDPDF=Y")</f>
        <v>#NAME?</v>
      </c>
      <c r="CK538" s="2" t="e">
        <f ca="1">_xll.BDH($C$528,"TOT_DEBT_TO_TOT_EQY","FY 2016","FY 2016","Currency=INR","Period=FY","BEST_FPERIOD_OVERRIDE=FY","FILING_STATUS=OR","EQY_CONSOLIDATED=Y","Sort=A","Dates=H","DateFormat=P","Fill=—","Direction=H","UseDPDF=Y")</f>
        <v>#NAME?</v>
      </c>
      <c r="CL538" s="2" t="e">
        <f ca="1">_xll.BDH($C$528,"TOT_DEBT_TO_TOT_CAP","FY 2016","FY 2016","Currency=INR","Period=FY","BEST_FPERIOD_OVERRIDE=FY","FILING_STATUS=OR","EQY_CONSOLIDATED=Y","Sort=A","Dates=H","DateFormat=P","Fill=—","Direction=H","UseDPDF=Y")</f>
        <v>#NAME?</v>
      </c>
      <c r="CM538" s="2" t="e">
        <f ca="1">_xll.BDH($C$528,"TOT_DEBT_TO_TOT_ASSET","FY 2016","FY 2016","Currency=INR","Period=FY","BEST_FPERIOD_OVERRIDE=FY","FILING_STATUS=OR","EQY_CONSOLIDATED=Y","Sort=A","Dates=H","DateFormat=P","Fill=—","Direction=H","UseDPDF=Y")</f>
        <v>#NAME?</v>
      </c>
      <c r="CN538" s="2" t="e">
        <f ca="1">_xll.BDH($C$528,"NET_DEBT_TO_SHRHLDR_EQTY","FY 2016","FY 2016","Currency=INR","Period=FY","BEST_FPERIOD_OVERRIDE=FY","FILING_STATUS=OR","EQY_CONSOLIDATED=Y","Sort=A","Dates=H","DateFormat=P","Fill=—","Direction=H","UseDPDF=Y")</f>
        <v>#NAME?</v>
      </c>
      <c r="CO538" s="2" t="e">
        <f ca="1">_xll.BDH($C$528,"NET_DEBT_%_CAPITAL","FY 2016","FY 2016","Currency=INR","Period=FY","BEST_FPERIOD_OVERRIDE=FY","FILING_STATUS=OR","EQY_CONSOLIDATED=Y","Sort=A","Dates=H","DateFormat=P","Fill=—","Direction=H","UseDPDF=Y")</f>
        <v>#NAME?</v>
      </c>
      <c r="CP538" s="3" t="e">
        <f ca="1">_xll.BDH($C$528,"EBITDA","FY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38" s="3" t="e">
        <f ca="1">_xll.BDH($C$528,"EBITDA_AFTER_CAPEX","FY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38" s="3" t="e">
        <f ca="1">_xll.BDH($C$528,"IS_OPER_INC","FY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38" s="2" t="e">
        <f ca="1">_xll.BDH($C$528,"CASH_RATIO","FY 2016","FY 2016","Currency=INR","Period=FY","BEST_FPERIOD_OVERRIDE=FY","FILING_STATUS=OR","EQY_CONSOLIDATED=Y","Sort=A","Dates=H","DateFormat=P","Fill=—","Direction=H","UseDPDF=Y")</f>
        <v>#NAME?</v>
      </c>
      <c r="CT538" s="2" t="e">
        <f ca="1">_xll.BDH($C$528,"CUR_RATIO","FY 2016","FY 2016","Currency=INR","Period=FY","BEST_FPERIOD_OVERRIDE=FY","FILING_STATUS=OR","EQY_CONSOLIDATED=Y","Sort=A","Dates=H","DateFormat=P","Fill=—","Direction=H","UseDPDF=Y")</f>
        <v>#NAME?</v>
      </c>
      <c r="CU538" s="2" t="e">
        <f ca="1">_xll.BDH($C$528,"QUICK_RATIO","FY 2016","FY 2016","Currency=INR","Period=FY","BEST_FPERIOD_OVERRIDE=FY","FILING_STATUS=OR","EQY_CONSOLIDATED=Y","Sort=A","Dates=H","DateFormat=P","Fill=—","Direction=H","UseDPDF=Y")</f>
        <v>#NAME?</v>
      </c>
      <c r="CV538" s="2" t="e">
        <f ca="1">_xll.BDH($C$528,"ALTMAN_Z_SCORE","FY 2016","FY 2016","Currency=INR","Period=FY","BEST_FPERIOD_OVERRIDE=FY","FILING_STATUS=OR","EQY_CONSOLIDATED=Y","Sort=A","Dates=H","DateFormat=P","Fill=—","Direction=H","UseDPDF=Y")</f>
        <v>#NAME?</v>
      </c>
      <c r="CW538" s="4" t="e">
        <f ca="1">_xll.BDH($C$528,"ACCT_RCV_TURN","FY 2016","FY 2016","Currency=INR","Period=FY","BEST_FPERIOD_OVERRIDE=FY","FILING_STATUS=OR","EQY_CONSOLIDATED=Y","FA_ADJUSTED=GAAP","Sort=A","Dates=H","DateFormat=P","Fill=—","Direction=H","UseDPDF=Y")</f>
        <v>#NAME?</v>
      </c>
      <c r="CX538" s="2" t="e">
        <f ca="1">_xll.BDH($C$528,"ACCT_RCV_DAYS","FY 2016","FY 2016","Currency=INR","Period=FY","BEST_FPERIOD_OVERRIDE=FY","FILING_STATUS=OR","EQY_CONSOLIDATED=Y","FA_ADJUSTED=GAAP","Sort=A","Dates=H","DateFormat=P","Fill=—","Direction=H","UseDPDF=Y")</f>
        <v>#NAME?</v>
      </c>
      <c r="CY538" s="4" t="e">
        <f ca="1">_xll.BDH($C$528,"INVENT_TURN","FY 2016","FY 2016","Currency=INR","Period=FY","BEST_FPERIOD_OVERRIDE=FY","FILING_STATUS=OR","EQY_CONSOLIDATED=Y","FA_ADJUSTED=GAAP","Sort=A","Dates=H","DateFormat=P","Fill=—","Direction=H","UseDPDF=Y")</f>
        <v>#NAME?</v>
      </c>
      <c r="CZ538" s="2" t="e">
        <f ca="1">_xll.BDH($C$528,"INVENT_DAYS","FY 2016","FY 2016","Currency=INR","Period=FY","BEST_FPERIOD_OVERRIDE=FY","FILING_STATUS=OR","EQY_CONSOLIDATED=Y","FA_ADJUSTED=GAAP","Sort=A","Dates=H","DateFormat=P","Fill=—","Direction=H","UseDPDF=Y")</f>
        <v>#NAME?</v>
      </c>
      <c r="DA538" s="4" t="e">
        <f ca="1">_xll.BDH($C$528,"ACCOUNTS_PAYABLE_TURNOVER","FY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38" s="2" t="e">
        <f ca="1">_xll.BDH($C$528,"ACCOUNTS_PAYABLE_TURNOVER_DAYS","FY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38" s="4" t="e">
        <f ca="1">_xll.BDH($C$528,"CASH_CONVERSION_CYCLE","FY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38" s="4" t="e">
        <f ca="1">_xll.BDH($C$528,"INV_TO_CASH_DAYS","FY 2016","FY 2016","Currency=INR","Period=FY","BEST_FPERIOD_OVERRIDE=FY","FILING_STATUS=OR","EQY_CONSOLIDATED=Y","FA_ADJUSTED=GAAP","Sort=A","Dates=H","DateFormat=P","Fill=—","Direction=H","UseDPDF=Y")</f>
        <v>#NAME?</v>
      </c>
      <c r="DE538" s="5" t="e">
        <f ca="1">_xll.BDH($C$528,"BS_INVENTORIES","FY 2016","FY 2016","Currency=INR","Period=FY","BEST_FPERIOD_OVERRIDE=FY","FILING_STATUS=OR","EQY_CONSOLIDATED=Y","SCALING_FORMAT=MLN","Sort=A","Dates=H","DateFormat=P","Fill=—","Direction=H","UseDPDF=Y")</f>
        <v>#NAME?</v>
      </c>
      <c r="DF538" s="3" t="e">
        <f ca="1">_xll.BDH($C$528,"INVTRY_RAW_MATERIALS","FY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38" s="3" t="e">
        <f ca="1">_xll.BDH($C$528,"INVTRY_IN_PROGRESS","FY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38" s="3" t="e">
        <f ca="1">_xll.BDH($C$528,"INVTRY_FINISHED_GOODS","FY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38" s="3" t="e">
        <f ca="1">_xll.BDH($C$528,"BS_OTHER_INV","FY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39" spans="1:113" x14ac:dyDescent="0.3">
      <c r="A539" s="6"/>
      <c r="B539" s="6"/>
      <c r="C539" s="6"/>
      <c r="D539" s="6"/>
      <c r="E539" t="s">
        <v>78</v>
      </c>
      <c r="F539" t="e">
        <f ca="1">_xll.BDH($C$528,"RETURN_COM_EQY","FQ1 2016","FQ1 2016","Currency=INR","Period=FQ","BEST_FPERIOD_OVERRIDE=FQ","FILING_STATUS=OR","EQY_CONSOLIDATED=Y","FA_ADJUSTED=GAAP","Sort=A","Dates=H","DateFormat=P","Fill=—","Direction=H","UseDPDF=Y")</f>
        <v>#NAME?</v>
      </c>
      <c r="G539" t="e">
        <f ca="1">_xll.BDH($C$528,"RETURN_ON_ASSET","FQ1 2016","FQ1 2016","Currency=INR","Period=FQ","BEST_FPERIOD_OVERRIDE=FQ","FILING_STATUS=OR","EQY_CONSOLIDATED=Y","FA_ADJUSTED=GAAP","Sort=A","Dates=H","DateFormat=P","Fill=—","Direction=H","UseDPDF=Y")</f>
        <v>#NAME?</v>
      </c>
      <c r="H539" t="e">
        <f ca="1">_xll.BDH($C$528,"RETURN_ON_CAP","FQ1 2016","FQ1 2016","Currency=INR","Period=FQ","BEST_FPERIOD_OVERRIDE=FQ","FILING_STATUS=OR","EQY_CONSOLIDATED=Y","FA_ADJUSTED=GAAP","Sort=A","Dates=H","DateFormat=P","Fill=—","Direction=H","UseDPDF=Y")</f>
        <v>#NAME?</v>
      </c>
      <c r="I539" t="e">
        <f ca="1">_xll.BDH($C$528,"RETURN_ON_INV_CAPITAL","FQ1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39" t="e">
        <f ca="1">_xll.BDH($C$528,"EBITDA_TO_REVENUE","FQ1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39" t="e">
        <f ca="1">_xll.BDH($C$528,"OPER_MARGIN","FQ1 2016","FQ1 2016","Currency=INR","Period=FQ","BEST_FPERIOD_OVERRIDE=FQ","FILING_STATUS=OR","EQY_CONSOLIDATED=Y","FA_ADJUSTED=GAAP","Sort=A","Dates=H","DateFormat=P","Fill=—","Direction=H","UseDPDF=Y")</f>
        <v>#NAME?</v>
      </c>
      <c r="L539" t="e">
        <f ca="1">_xll.BDH($C$528,"INCREMENTAL_OPERATING_MARGIN","FQ1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39" t="e">
        <f ca="1">_xll.BDH($C$528,"PRETAX_INC_TO_NET_SALES","FQ1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39" t="e">
        <f ca="1">_xll.BDH($C$528,"INC_BEF_XO_ITEMS_TO_NET_SALES","FQ1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39" t="e">
        <f ca="1">_xll.BDH($C$528,"PROF_MARGIN","FQ1 2016","FQ1 2016","Currency=INR","Period=FQ","BEST_FPERIOD_OVERRIDE=FQ","FILING_STATUS=OR","EQY_CONSOLIDATED=Y","FA_ADJUSTED=GAAP","Sort=A","Dates=H","DateFormat=P","Fill=—","Direction=H","UseDPDF=Y")</f>
        <v>#NAME?</v>
      </c>
      <c r="P539" t="e">
        <f ca="1">_xll.BDH($C$528,"NET_INCOME_TO_COMMON_MARGIN","FQ1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39" t="e">
        <f ca="1">_xll.BDH($C$528,"EFF_TAX_RATE","FQ1 2016","FQ1 2016","Currency=INR","Period=FQ","BEST_FPERIOD_OVERRIDE=FQ","FILING_STATUS=OR","EQY_CONSOLIDATED=Y","FA_ADJUSTED=GAAP","Sort=A","Dates=H","DateFormat=P","Fill=—","Direction=H","UseDPDF=Y")</f>
        <v>#NAME?</v>
      </c>
      <c r="R539" t="e">
        <f ca="1">_xll.BDH($C$528,"DVD_PAYOUT_RATIO","FQ1 2016","FQ1 2016","Currency=INR","Period=FQ","BEST_FPERIOD_OVERRIDE=FQ","FILING_STATUS=OR","EQY_CONSOLIDATED=Y","FA_ADJUSTED=GAAP","Sort=A","Dates=H","DateFormat=P","Fill=—","Direction=H","UseDPDF=Y")</f>
        <v>#NAME?</v>
      </c>
      <c r="S539" t="e">
        <f ca="1">_xll.BDH($C$528,"SUSTAIN_GROWTH_RT","FQ1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39" s="2" t="e">
        <f ca="1">_xll.BDH($C$528,"SALES_GROWTH","FQ1 2016","FQ1 2016","Currency=INR","Period=FQ","BEST_FPERIOD_OVERRIDE=FQ","FILING_STATUS=OR","EQY_CONSOLIDATED=Y","FA_ADJUSTED=GAAP","Sort=A","Dates=H","DateFormat=P","Fill=—","Direction=H","UseDPDF=Y")</f>
        <v>#NAME?</v>
      </c>
      <c r="U539" s="2" t="e">
        <f ca="1">_xll.BDH($C$528,"EBITDA_GROWTH","FQ1 2016","FQ1 2016","Currency=INR","Period=FQ","BEST_FPERIOD_OVERRIDE=FQ","FILING_STATUS=OR","EQY_CONSOLIDATED=Y","FA_ADJUSTED=GAAP","Sort=A","Dates=H","DateFormat=P","Fill=—","Direction=H","UseDPDF=Y")</f>
        <v>#NAME?</v>
      </c>
      <c r="V539" s="2" t="e">
        <f ca="1">_xll.BDH($C$528,"OPER_INC_GROWTH","FQ1 2016","FQ1 2016","Currency=INR","Period=FQ","BEST_FPERIOD_OVERRIDE=FQ","FILING_STATUS=OR","EQY_CONSOLIDATED=Y","FA_ADJUSTED=GAAP","Sort=A","Dates=H","DateFormat=P","Fill=—","Direction=H","UseDPDF=Y")</f>
        <v>#NAME?</v>
      </c>
      <c r="W539" s="2" t="e">
        <f ca="1">_xll.BDH($C$528,"EARN_FOR_COM_GROWTH","FQ1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39" s="2" t="e">
        <f ca="1">_xll.BDH($C$528,"DILUTED_EPS_AFT_XO_ITEMS_GROWTH","FQ1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39" s="2" t="e">
        <f ca="1">_xll.BDH($C$528,"DIVIDEND_PER_SHARE_1_YEAR_GROWTH","FQ1 2016","FQ1 2016","Currency=INR","Period=FQ","BEST_FPERIOD_OVERRIDE=FQ","FILING_STATUS=OR","EQY_CONSOLIDATED=Y","Sort=A","Dates=H","DateFormat=P","Fill=—","Direction=H","UseDPDF=Y")</f>
        <v>#NAME?</v>
      </c>
      <c r="Z539" s="2" t="e">
        <f ca="1">_xll.BDH($C$528,"ACCOUNTS_RECEIVABLE_GROWTH","FQ1 2016","FQ1 2016","Currency=INR","Period=FQ","BEST_FPERIOD_OVERRIDE=FQ","FILING_STATUS=OR","EQY_CONSOLIDATED=Y","Sort=A","Dates=H","DateFormat=P","Fill=—","Direction=H","UseDPDF=Y")</f>
        <v>#NAME?</v>
      </c>
      <c r="AA539" s="2" t="e">
        <f ca="1">_xll.BDH($C$528,"INVENTORY_GROWTH","FQ1 2016","FQ1 2016","Currency=INR","Period=FQ","BEST_FPERIOD_OVERRIDE=FQ","FILING_STATUS=OR","EQY_CONSOLIDATED=Y","Sort=A","Dates=H","DateFormat=P","Fill=—","Direction=H","UseDPDF=Y")</f>
        <v>#NAME?</v>
      </c>
      <c r="AB539" s="2" t="e">
        <f ca="1">_xll.BDH($C$528,"NET_FIXED_ASSETS_1_YEAR_GROWTH","FQ1 2016","FQ1 2016","Currency=INR","Period=FQ","BEST_FPERIOD_OVERRIDE=FQ","FILING_STATUS=OR","EQY_CONSOLIDATED=Y","Sort=A","Dates=H","DateFormat=P","Fill=—","Direction=H","UseDPDF=Y")</f>
        <v>#NAME?</v>
      </c>
      <c r="AC539" s="2" t="e">
        <f ca="1">_xll.BDH($C$528,"ASSET_GROWTH","FQ1 2016","FQ1 2016","Currency=INR","Period=FQ","BEST_FPERIOD_OVERRIDE=FQ","FILING_STATUS=OR","EQY_CONSOLIDATED=Y","Sort=A","Dates=H","DateFormat=P","Fill=—","Direction=H","UseDPDF=Y")</f>
        <v>#NAME?</v>
      </c>
      <c r="AD539" s="2" t="e">
        <f ca="1">_xll.BDH($C$528,"MODIFIED_WORK_CAP_GROWTH","FQ1 2016","FQ1 2016","Currency=INR","Period=FQ","BEST_FPERIOD_OVERRIDE=FQ","FILING_STATUS=OR","EQY_CONSOLIDATED=Y","Sort=A","Dates=H","DateFormat=P","Fill=—","Direction=H","UseDPDF=Y")</f>
        <v>#NAME?</v>
      </c>
      <c r="AE539" s="2" t="e">
        <f ca="1">_xll.BDH($C$528,"WORK_CAP_GROWTH","FQ1 2016","FQ1 2016","Currency=INR","Period=FQ","BEST_FPERIOD_OVERRIDE=FQ","FILING_STATUS=OR","EQY_CONSOLIDATED=Y","Sort=A","Dates=H","DateFormat=P","Fill=—","Direction=H","UseDPDF=Y")</f>
        <v>#NAME?</v>
      </c>
      <c r="AF539" s="2" t="e">
        <f ca="1">_xll.BDH($C$528,"ACCOUNTS_PAYABLE_GROWTH_1YR","FQ1 2016","FQ1 2016","Currency=INR","Period=FQ","BEST_FPERIOD_OVERRIDE=FQ","FILING_STATUS=OR","EQY_CONSOLIDATED=Y","Sort=A","Dates=H","DateFormat=P","Fill=—","Direction=H","UseDPDF=Y")</f>
        <v>#NAME?</v>
      </c>
      <c r="AG539" s="2" t="e">
        <f ca="1">_xll.BDH($C$528,"SHORT_TERM_DEBT_1_YEAR_GROWTH","FQ1 2016","FQ1 2016","Currency=INR","Period=FQ","BEST_FPERIOD_OVERRIDE=FQ","FILING_STATUS=OR","EQY_CONSOLIDATED=Y","Sort=A","Dates=H","DateFormat=P","Fill=—","Direction=H","UseDPDF=Y")</f>
        <v>#NAME?</v>
      </c>
      <c r="AH539" s="2" t="e">
        <f ca="1">_xll.BDH($C$528,"TOTAL_DEBT_1_YEAR_GROWTH","FQ1 2016","FQ1 2016","Currency=INR","Period=FQ","BEST_FPERIOD_OVERRIDE=FQ","FILING_STATUS=OR","EQY_CONSOLIDATED=Y","Sort=A","Dates=H","DateFormat=P","Fill=—","Direction=H","UseDPDF=Y")</f>
        <v>#NAME?</v>
      </c>
      <c r="AI539" s="2" t="e">
        <f ca="1">_xll.BDH($C$528,"TOTAL_EQUITY_1_YEAR_GROWTH","FQ1 2016","FQ1 2016","Currency=INR","Period=FQ","BEST_FPERIOD_OVERRIDE=FQ","FILING_STATUS=OR","EQY_CONSOLIDATED=Y","Sort=A","Dates=H","DateFormat=P","Fill=—","Direction=H","UseDPDF=Y")</f>
        <v>#NAME?</v>
      </c>
      <c r="AJ539" s="2" t="e">
        <f ca="1">_xll.BDH($C$528,"GROWTH_IN_CAP","FQ1 2016","FQ1 2016","Currency=INR","Period=FQ","BEST_FPERIOD_OVERRIDE=FQ","FILING_STATUS=OR","EQY_CONSOLIDATED=Y","Sort=A","Dates=H","DateFormat=P","Fill=—","Direction=H","UseDPDF=Y")</f>
        <v>#NAME?</v>
      </c>
      <c r="AK539" s="2" t="e">
        <f ca="1">_xll.BDH($C$528,"BVPS_GROWTH","FQ1 2016","FQ1 2016","Currency=INR","Period=FQ","BEST_FPERIOD_OVERRIDE=FQ","FILING_STATUS=OR","EQY_CONSOLIDATED=Y","Sort=A","Dates=H","DateFormat=P","Fill=—","Direction=H","UseDPDF=Y")</f>
        <v>#NAME?</v>
      </c>
      <c r="AL539" s="2" t="e">
        <f ca="1">_xll.BDH($C$528,"CASH_FLOW_GROWTH","FQ1 2016","FQ1 2016","Currency=INR","Period=FQ","BEST_FPERIOD_OVERRIDE=FQ","FILING_STATUS=OR","EQY_CONSOLIDATED=Y","Sort=A","Dates=H","DateFormat=P","Fill=—","Direction=H","UseDPDF=Y")</f>
        <v>#NAME?</v>
      </c>
      <c r="AM539" s="2" t="e">
        <f ca="1">_xll.BDH($C$528,"GEO_GROW_NET_SALES","FQ1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39" s="2" t="e">
        <f ca="1">_xll.BDH($C$528,"GEO_GROW_EBITDA","FQ1 2016","FQ1 2016","Currency=INR","Period=FQ","BEST_FPERIOD_OVERRIDE=FQ","FILING_STATUS=OR","EQY_CONSOLIDATED=Y","FA_ADJUSTED=GAAP","Sort=A","Dates=H","DateFormat=P","Fill=—","Direction=H","UseDPDF=Y")</f>
        <v>#NAME?</v>
      </c>
      <c r="AO539" s="2" t="e">
        <f ca="1">_xll.BDH($C$528,"GEO_GROW_OPER_INC","FQ1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39" s="2" t="e">
        <f ca="1">_xll.BDH($C$528,"NET_INCOME_TO_COMMON_5_YR_GROWTH","FQ1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39" s="2" t="e">
        <f ca="1">_xll.BDH($C$528,"5Y_GEO_GROWTH_DILUTED_EPS","FQ1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39" s="2" t="e">
        <f ca="1">_xll.BDH($C$528,"GEO_GROW_DVD_PER_SH","FQ1 2016","FQ1 2016","Currency=INR","Period=FQ","BEST_FPERIOD_OVERRIDE=FQ","FILING_STATUS=OR","EQY_CONSOLIDATED=Y","Sort=A","Dates=H","DateFormat=P","Fill=—","Direction=H","UseDPDF=Y")</f>
        <v>#NAME?</v>
      </c>
      <c r="AS539" s="2" t="e">
        <f ca="1">_xll.BDH($C$528,"ACCOUNTS_RECEIVABLE_5_YR_GROWTH","FQ1 2016","FQ1 2016","Currency=INR","Period=FQ","BEST_FPERIOD_OVERRIDE=FQ","FILING_STATUS=OR","EQY_CONSOLIDATED=Y","Sort=A","Dates=H","DateFormat=P","Fill=—","Direction=H","UseDPDF=Y")</f>
        <v>#NAME?</v>
      </c>
      <c r="AT539" s="2" t="e">
        <f ca="1">_xll.BDH($C$528,"INVENTORY_5_YEAR_GROWTH","FQ1 2016","FQ1 2016","Currency=INR","Period=FQ","BEST_FPERIOD_OVERRIDE=FQ","FILING_STATUS=OR","EQY_CONSOLIDATED=Y","Sort=A","Dates=H","DateFormat=P","Fill=—","Direction=H","UseDPDF=Y")</f>
        <v>#NAME?</v>
      </c>
      <c r="AU539" s="2" t="e">
        <f ca="1">_xll.BDH($C$528,"NET_FIXED_ASSETS_5_YEAR_GROWTH","FQ1 2016","FQ1 2016","Currency=INR","Period=FQ","BEST_FPERIOD_OVERRIDE=FQ","FILING_STATUS=OR","EQY_CONSOLIDATED=Y","Sort=A","Dates=H","DateFormat=P","Fill=—","Direction=H","UseDPDF=Y")</f>
        <v>#NAME?</v>
      </c>
      <c r="AV539" s="2" t="e">
        <f ca="1">_xll.BDH($C$528,"GEO_GROW_TOT_ASSET","FQ1 2016","FQ1 2016","Currency=INR","Period=FQ","BEST_FPERIOD_OVERRIDE=FQ","FILING_STATUS=OR","EQY_CONSOLIDATED=Y","Sort=A","Dates=H","DateFormat=P","Fill=—","Direction=H","UseDPDF=Y")</f>
        <v>#NAME?</v>
      </c>
      <c r="AW539" s="2" t="e">
        <f ca="1">_xll.BDH($C$528,"MODIFIED_WORKING_CPTL_5YR_GRWTH","FQ1 2016","FQ1 2016","Currency=INR","Period=FQ","BEST_FPERIOD_OVERRIDE=FQ","FILING_STATUS=OR","EQY_CONSOLIDATED=Y","Sort=A","Dates=H","DateFormat=P","Fill=—","Direction=H","UseDPDF=Y")</f>
        <v>#NAME?</v>
      </c>
      <c r="AX539" s="2" t="e">
        <f ca="1">_xll.BDH($C$528,"WORKING_CAPITAL_5_YEAR_GROWTH","FQ1 2016","FQ1 2016","Currency=INR","Period=FQ","BEST_FPERIOD_OVERRIDE=FQ","FILING_STATUS=OR","EQY_CONSOLIDATED=Y","Sort=A","Dates=H","DateFormat=P","Fill=—","Direction=H","UseDPDF=Y")</f>
        <v>#NAME?</v>
      </c>
      <c r="AY539" s="2" t="e">
        <f ca="1">_xll.BDH($C$528,"ACCOUNTS_PAYABLE_5_YEAR_GROWTH","FQ1 2016","FQ1 2016","Currency=INR","Period=FQ","BEST_FPERIOD_OVERRIDE=FQ","FILING_STATUS=OR","EQY_CONSOLIDATED=Y","Sort=A","Dates=H","DateFormat=P","Fill=—","Direction=H","UseDPDF=Y")</f>
        <v>#NAME?</v>
      </c>
      <c r="AZ539" s="2" t="e">
        <f ca="1">_xll.BDH($C$528,"SHORT_TERM_DEBT_5_YEAR_GROWTH","FQ1 2016","FQ1 2016","Currency=INR","Period=FQ","BEST_FPERIOD_OVERRIDE=FQ","FILING_STATUS=OR","EQY_CONSOLIDATED=Y","Sort=A","Dates=H","DateFormat=P","Fill=—","Direction=H","UseDPDF=Y")</f>
        <v>#NAME?</v>
      </c>
      <c r="BA539" s="2" t="e">
        <f ca="1">_xll.BDH($C$528,"TOTAL_DEBT_5_YEAR_GROWTH","FQ1 2016","FQ1 2016","Currency=INR","Period=FQ","BEST_FPERIOD_OVERRIDE=FQ","FILING_STATUS=OR","EQY_CONSOLIDATED=Y","Sort=A","Dates=H","DateFormat=P","Fill=—","Direction=H","UseDPDF=Y")</f>
        <v>#NAME?</v>
      </c>
      <c r="BB539" s="2" t="e">
        <f ca="1">_xll.BDH($C$528,"GEO_GROW_TOT_SHRHLDR_EQY","FQ1 2016","FQ1 2016","Currency=INR","Period=FQ","BEST_FPERIOD_OVERRIDE=FQ","FILING_STATUS=OR","EQY_CONSOLIDATED=Y","Sort=A","Dates=H","DateFormat=P","Fill=—","Direction=H","UseDPDF=Y")</f>
        <v>#NAME?</v>
      </c>
      <c r="BC539" s="2" t="e">
        <f ca="1">_xll.BDH($C$528,"TOTAL_CAPITAL_5_YEAR_GROWTH","FQ1 2016","FQ1 2016","Currency=INR","Period=FQ","BEST_FPERIOD_OVERRIDE=FQ","FILING_STATUS=OR","EQY_CONSOLIDATED=Y","Sort=A","Dates=H","DateFormat=P","Fill=—","Direction=H","UseDPDF=Y")</f>
        <v>#NAME?</v>
      </c>
      <c r="BD539" s="2" t="e">
        <f ca="1">_xll.BDH($C$528,"GEO_GROW_BOOK_VAL","FQ1 2016","FQ1 2016","Currency=INR","Period=FQ","BEST_FPERIOD_OVERRIDE=FQ","FILING_STATUS=OR","EQY_CONSOLIDATED=Y","Sort=A","Dates=H","DateFormat=P","Fill=—","Direction=H","UseDPDF=Y")</f>
        <v>#NAME?</v>
      </c>
      <c r="BE539" s="2" t="e">
        <f ca="1">_xll.BDH($C$528,"GEO_GROW_CASH_OPER_ACT","FQ1 2016","FQ1 2016","Currency=INR","Period=FQ","BEST_FPERIOD_OVERRIDE=FQ","FILING_STATUS=OR","EQY_CONSOLIDATED=Y","Sort=A","Dates=H","DateFormat=P","Fill=—","Direction=H","UseDPDF=Y")</f>
        <v>#NAME?</v>
      </c>
      <c r="BF539" s="2" t="e">
        <f ca="1">_xll.BDH($C$528,"REVENUE_SEQUENTIAL_GROWTH","FQ1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39" s="2" t="e">
        <f ca="1">_xll.BDH($C$528,"EBITDA_SEQUENTIAL_GROWTH","FQ1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39" s="2" t="e">
        <f ca="1">_xll.BDH($C$528,"OPERATING_INCOME_SEQ_GROWTH","FQ1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39" s="2" t="e">
        <f ca="1">_xll.BDH($C$528,"NET_INCOME_TO_COMMON_SEQ_GROWTH","FQ1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39" s="2" t="e">
        <f ca="1">_xll.BDH($C$528,"EPS_DILUTED_SEQUENTIAL_GROWTH","FQ1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39" s="2" t="e">
        <f ca="1">_xll.BDH($C$528,"DPS_SEQUENTIAL_GROWTH","FQ1 2016","FQ1 2016","Currency=INR","Period=FQ","BEST_FPERIOD_OVERRIDE=FQ","FILING_STATUS=OR","EQY_CONSOLIDATED=Y","Sort=A","Dates=H","DateFormat=P","Fill=—","Direction=H","UseDPDF=Y")</f>
        <v>#NAME?</v>
      </c>
      <c r="BL539" s="2" t="e">
        <f ca="1">_xll.BDH($C$528,"ACCOUNTS_RECEIVABLE_SEQ_GROWTH","FQ1 2016","FQ1 2016","Currency=INR","Period=FQ","BEST_FPERIOD_OVERRIDE=FQ","FILING_STATUS=OR","EQY_CONSOLIDATED=Y","Sort=A","Dates=H","DateFormat=P","Fill=—","Direction=H","UseDPDF=Y")</f>
        <v>#NAME?</v>
      </c>
      <c r="BM539" s="2" t="e">
        <f ca="1">_xll.BDH($C$528,"INVENTORY_SEQUENTIAL_GROWTH","FQ1 2016","FQ1 2016","Currency=INR","Period=FQ","BEST_FPERIOD_OVERRIDE=FQ","FILING_STATUS=OR","EQY_CONSOLIDATED=Y","Sort=A","Dates=H","DateFormat=P","Fill=—","Direction=H","UseDPDF=Y")</f>
        <v>#NAME?</v>
      </c>
      <c r="BN539" s="2" t="e">
        <f ca="1">_xll.BDH($C$528,"FIXED_ASSETS_SEQUENTIAL_GROWTH","FQ1 2016","FQ1 2016","Currency=INR","Period=FQ","BEST_FPERIOD_OVERRIDE=FQ","FILING_STATUS=OR","EQY_CONSOLIDATED=Y","Sort=A","Dates=H","DateFormat=P","Fill=—","Direction=H","UseDPDF=Y")</f>
        <v>#NAME?</v>
      </c>
      <c r="BO539" s="2" t="e">
        <f ca="1">_xll.BDH($C$528,"TOTAL_ASSETS_SEQUENTIAL_GROWTH","FQ1 2016","FQ1 2016","Currency=INR","Period=FQ","BEST_FPERIOD_OVERRIDE=FQ","FILING_STATUS=OR","EQY_CONSOLIDATED=Y","Sort=A","Dates=H","DateFormat=P","Fill=—","Direction=H","UseDPDF=Y")</f>
        <v>#NAME?</v>
      </c>
      <c r="BP539" s="2" t="e">
        <f ca="1">_xll.BDH($C$528,"MODIFIED_WORKING_CPTL_SEQ_GRWTH","FQ1 2016","FQ1 2016","Currency=INR","Period=FQ","BEST_FPERIOD_OVERRIDE=FQ","FILING_STATUS=OR","EQY_CONSOLIDATED=Y","Sort=A","Dates=H","DateFormat=P","Fill=—","Direction=H","UseDPDF=Y")</f>
        <v>#NAME?</v>
      </c>
      <c r="BQ539" s="2" t="e">
        <f ca="1">_xll.BDH($C$528,"WORKING_CAPITAL_SEQ_GROWTH","FQ1 2016","FQ1 2016","Currency=INR","Period=FQ","BEST_FPERIOD_OVERRIDE=FQ","FILING_STATUS=OR","EQY_CONSOLIDATED=Y","Sort=A","Dates=H","DateFormat=P","Fill=—","Direction=H","UseDPDF=Y")</f>
        <v>#NAME?</v>
      </c>
      <c r="BR539" s="2" t="e">
        <f ca="1">_xll.BDH($C$528,"ACCOUNTS_PAYABLE_SEQ_GROWTH","FQ1 2016","FQ1 2016","Currency=INR","Period=FQ","BEST_FPERIOD_OVERRIDE=FQ","FILING_STATUS=OR","EQY_CONSOLIDATED=Y","Sort=A","Dates=H","DateFormat=P","Fill=—","Direction=H","UseDPDF=Y")</f>
        <v>#NAME?</v>
      </c>
      <c r="BS539" s="2" t="e">
        <f ca="1">_xll.BDH($C$528,"ST_DEBT_SEQUENTIAL_GROWTH","FQ1 2016","FQ1 2016","Currency=INR","Period=FQ","BEST_FPERIOD_OVERRIDE=FQ","FILING_STATUS=OR","EQY_CONSOLIDATED=Y","Sort=A","Dates=H","DateFormat=P","Fill=—","Direction=H","UseDPDF=Y")</f>
        <v>#NAME?</v>
      </c>
      <c r="BT539" s="2" t="e">
        <f ca="1">_xll.BDH($C$528,"TOTAL_DEBT_SEQUENTIAL_GROWTH","FQ1 2016","FQ1 2016","Currency=INR","Period=FQ","BEST_FPERIOD_OVERRIDE=FQ","FILING_STATUS=OR","EQY_CONSOLIDATED=Y","Sort=A","Dates=H","DateFormat=P","Fill=—","Direction=H","UseDPDF=Y")</f>
        <v>#NAME?</v>
      </c>
      <c r="BU539" s="2" t="e">
        <f ca="1">_xll.BDH($C$528,"TOTAL_EQUITY_SEQUENTIAL_GROWTH","FQ1 2016","FQ1 2016","Currency=INR","Period=FQ","BEST_FPERIOD_OVERRIDE=FQ","FILING_STATUS=OR","EQY_CONSOLIDATED=Y","Sort=A","Dates=H","DateFormat=P","Fill=—","Direction=H","UseDPDF=Y")</f>
        <v>#NAME?</v>
      </c>
      <c r="BV539" s="2" t="e">
        <f ca="1">_xll.BDH($C$528,"TOTAL_CAPITAL_SEQUENTIAL_GROWTH","FQ1 2016","FQ1 2016","Currency=INR","Period=FQ","BEST_FPERIOD_OVERRIDE=FQ","FILING_STATUS=OR","EQY_CONSOLIDATED=Y","Sort=A","Dates=H","DateFormat=P","Fill=—","Direction=H","UseDPDF=Y")</f>
        <v>#NAME?</v>
      </c>
      <c r="BW539" s="2" t="e">
        <f ca="1">_xll.BDH($C$528,"BPS_SEQUENTIAL_GROWTH","FQ1 2016","FQ1 2016","Currency=INR","Period=FQ","BEST_FPERIOD_OVERRIDE=FQ","FILING_STATUS=OR","EQY_CONSOLIDATED=Y","Sort=A","Dates=H","DateFormat=P","Fill=—","Direction=H","UseDPDF=Y")</f>
        <v>#NAME?</v>
      </c>
      <c r="BX539" s="2" t="e">
        <f ca="1">_xll.BDH($C$528,"CFO_SEQUENTIAL_GROWTH","FQ1 2016","FQ1 2016","Currency=INR","Period=FQ","BEST_FPERIOD_OVERRIDE=FQ","FILING_STATUS=OR","EQY_CONSOLIDATED=Y","Sort=A","Dates=H","DateFormat=P","Fill=—","Direction=H","UseDPDF=Y")</f>
        <v>#NAME?</v>
      </c>
      <c r="BY539" s="3" t="e">
        <f ca="1">_xll.BDH($C$528,"SHORT_AND_LONG_TERM_DEBT","FQ1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39" s="3" t="e">
        <f ca="1">_xll.BDH($C$528,"BS_ST_BORROW","FQ1 2016","FQ1 2016","Currency=INR","Period=FQ","BEST_FPERIOD_OVERRIDE=FQ","FILING_STATUS=OR","EQY_CONSOLIDATED=Y","SCALING_FORMAT=MLN","Sort=A","Dates=H","DateFormat=P","Fill=—","Direction=H","UseDPDF=Y")</f>
        <v>#NAME?</v>
      </c>
      <c r="CA539" s="3" t="e">
        <f ca="1">_xll.BDH($C$528,"BS_LT_BORROW","FQ1 2016","FQ1 2016","Currency=INR","Period=FQ","BEST_FPERIOD_OVERRIDE=FQ","FILING_STATUS=OR","EQY_CONSOLIDATED=Y","SCALING_FORMAT=MLN","Sort=A","Dates=H","DateFormat=P","Fill=—","Direction=H","UseDPDF=Y")</f>
        <v>#NAME?</v>
      </c>
      <c r="CB539" s="2" t="e">
        <f ca="1">_xll.BDH($C$528,"TOT_DEBT_TO_EBITDA","FQ1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39" s="2" t="e">
        <f ca="1">_xll.BDH($C$528,"NET_DEBT_TO_EBITDA","FQ1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39" s="2" t="e">
        <f ca="1">_xll.BDH($C$528,"TOTAL_DEBT_TO_EBIT","FQ1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39" s="2" t="e">
        <f ca="1">_xll.BDH($C$528,"NET_DEBT_TO_EBIT","FQ1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39" s="2" t="e">
        <f ca="1">_xll.BDH($C$528,"EBITDA_TO_INTEREST_EXPN","FQ1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39" s="2" t="e">
        <f ca="1">_xll.BDH($C$528,"COM_EQY_TO_TOT_ASSET","FQ1 2016","FQ1 2016","Currency=INR","Period=FQ","BEST_FPERIOD_OVERRIDE=FQ","FILING_STATUS=OR","EQY_CONSOLIDATED=Y","Sort=A","Dates=H","DateFormat=P","Fill=—","Direction=H","UseDPDF=Y")</f>
        <v>#NAME?</v>
      </c>
      <c r="CH539" s="2" t="e">
        <f ca="1">_xll.BDH($C$528,"LT_DEBT_TO_TOT_EQY","FQ1 2016","FQ1 2016","Currency=INR","Period=FQ","BEST_FPERIOD_OVERRIDE=FQ","FILING_STATUS=OR","EQY_CONSOLIDATED=Y","Sort=A","Dates=H","DateFormat=P","Fill=—","Direction=H","UseDPDF=Y")</f>
        <v>#NAME?</v>
      </c>
      <c r="CI539" s="2" t="e">
        <f ca="1">_xll.BDH($C$528,"LT_DEBT_TO_TOT_CAP","FQ1 2016","FQ1 2016","Currency=INR","Period=FQ","BEST_FPERIOD_OVERRIDE=FQ","FILING_STATUS=OR","EQY_CONSOLIDATED=Y","Sort=A","Dates=H","DateFormat=P","Fill=—","Direction=H","UseDPDF=Y")</f>
        <v>#NAME?</v>
      </c>
      <c r="CJ539" s="2" t="e">
        <f ca="1">_xll.BDH($C$528,"LT_DEBT_TO_TOT_ASSET","FQ1 2016","FQ1 2016","Currency=INR","Period=FQ","BEST_FPERIOD_OVERRIDE=FQ","FILING_STATUS=OR","EQY_CONSOLIDATED=Y","Sort=A","Dates=H","DateFormat=P","Fill=—","Direction=H","UseDPDF=Y")</f>
        <v>#NAME?</v>
      </c>
      <c r="CK539" s="2" t="e">
        <f ca="1">_xll.BDH($C$528,"TOT_DEBT_TO_TOT_EQY","FQ1 2016","FQ1 2016","Currency=INR","Period=FQ","BEST_FPERIOD_OVERRIDE=FQ","FILING_STATUS=OR","EQY_CONSOLIDATED=Y","Sort=A","Dates=H","DateFormat=P","Fill=—","Direction=H","UseDPDF=Y")</f>
        <v>#NAME?</v>
      </c>
      <c r="CL539" s="2" t="e">
        <f ca="1">_xll.BDH($C$528,"TOT_DEBT_TO_TOT_CAP","FQ1 2016","FQ1 2016","Currency=INR","Period=FQ","BEST_FPERIOD_OVERRIDE=FQ","FILING_STATUS=OR","EQY_CONSOLIDATED=Y","Sort=A","Dates=H","DateFormat=P","Fill=—","Direction=H","UseDPDF=Y")</f>
        <v>#NAME?</v>
      </c>
      <c r="CM539" s="2" t="e">
        <f ca="1">_xll.BDH($C$528,"TOT_DEBT_TO_TOT_ASSET","FQ1 2016","FQ1 2016","Currency=INR","Period=FQ","BEST_FPERIOD_OVERRIDE=FQ","FILING_STATUS=OR","EQY_CONSOLIDATED=Y","Sort=A","Dates=H","DateFormat=P","Fill=—","Direction=H","UseDPDF=Y")</f>
        <v>#NAME?</v>
      </c>
      <c r="CN539" s="2" t="e">
        <f ca="1">_xll.BDH($C$528,"NET_DEBT_TO_SHRHLDR_EQTY","FQ1 2016","FQ1 2016","Currency=INR","Period=FQ","BEST_FPERIOD_OVERRIDE=FQ","FILING_STATUS=OR","EQY_CONSOLIDATED=Y","Sort=A","Dates=H","DateFormat=P","Fill=—","Direction=H","UseDPDF=Y")</f>
        <v>#NAME?</v>
      </c>
      <c r="CO539" s="2" t="e">
        <f ca="1">_xll.BDH($C$528,"NET_DEBT_%_CAPITAL","FQ1 2016","FQ1 2016","Currency=INR","Period=FQ","BEST_FPERIOD_OVERRIDE=FQ","FILING_STATUS=OR","EQY_CONSOLIDATED=Y","Sort=A","Dates=H","DateFormat=P","Fill=—","Direction=H","UseDPDF=Y")</f>
        <v>#NAME?</v>
      </c>
      <c r="CP539" s="3" t="e">
        <f ca="1">_xll.BDH($C$528,"EBITDA","FQ1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39" s="3" t="e">
        <f ca="1">_xll.BDH($C$528,"EBITDA_AFTER_CAPEX","FQ1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39" s="3" t="e">
        <f ca="1">_xll.BDH($C$528,"IS_OPER_INC","FQ1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39" s="2" t="e">
        <f ca="1">_xll.BDH($C$528,"CASH_RATIO","FQ1 2016","FQ1 2016","Currency=INR","Period=FQ","BEST_FPERIOD_OVERRIDE=FQ","FILING_STATUS=OR","EQY_CONSOLIDATED=Y","Sort=A","Dates=H","DateFormat=P","Fill=—","Direction=H","UseDPDF=Y")</f>
        <v>#NAME?</v>
      </c>
      <c r="CT539" s="2" t="e">
        <f ca="1">_xll.BDH($C$528,"CUR_RATIO","FQ1 2016","FQ1 2016","Currency=INR","Period=FQ","BEST_FPERIOD_OVERRIDE=FQ","FILING_STATUS=OR","EQY_CONSOLIDATED=Y","Sort=A","Dates=H","DateFormat=P","Fill=—","Direction=H","UseDPDF=Y")</f>
        <v>#NAME?</v>
      </c>
      <c r="CU539" s="2" t="e">
        <f ca="1">_xll.BDH($C$528,"QUICK_RATIO","FQ1 2016","FQ1 2016","Currency=INR","Period=FQ","BEST_FPERIOD_OVERRIDE=FQ","FILING_STATUS=OR","EQY_CONSOLIDATED=Y","Sort=A","Dates=H","DateFormat=P","Fill=—","Direction=H","UseDPDF=Y")</f>
        <v>#NAME?</v>
      </c>
      <c r="CV539" s="2" t="e">
        <f ca="1">_xll.BDH($C$528,"ALTMAN_Z_SCORE","FQ1 2016","FQ1 2016","Currency=INR","Period=FQ","BEST_FPERIOD_OVERRIDE=FQ","FILING_STATUS=OR","EQY_CONSOLIDATED=Y","Sort=A","Dates=H","DateFormat=P","Fill=—","Direction=H","UseDPDF=Y")</f>
        <v>#NAME?</v>
      </c>
      <c r="CW539" s="4" t="e">
        <f ca="1">_xll.BDH($C$528,"ACCT_RCV_TURN","FQ1 2016","FQ1 2016","Currency=INR","Period=FQ","BEST_FPERIOD_OVERRIDE=FQ","FILING_STATUS=OR","EQY_CONSOLIDATED=Y","FA_ADJUSTED=GAAP","Sort=A","Dates=H","DateFormat=P","Fill=—","Direction=H","UseDPDF=Y")</f>
        <v>#NAME?</v>
      </c>
      <c r="CX539" s="2" t="e">
        <f ca="1">_xll.BDH($C$528,"ACCT_RCV_DAYS","FQ1 2016","FQ1 2016","Currency=INR","Period=FQ","BEST_FPERIOD_OVERRIDE=FQ","FILING_STATUS=OR","EQY_CONSOLIDATED=Y","FA_ADJUSTED=GAAP","Sort=A","Dates=H","DateFormat=P","Fill=—","Direction=H","UseDPDF=Y")</f>
        <v>#NAME?</v>
      </c>
      <c r="CY539" s="4" t="e">
        <f ca="1">_xll.BDH($C$528,"INVENT_TURN","FQ1 2016","FQ1 2016","Currency=INR","Period=FQ","BEST_FPERIOD_OVERRIDE=FQ","FILING_STATUS=OR","EQY_CONSOLIDATED=Y","FA_ADJUSTED=GAAP","Sort=A","Dates=H","DateFormat=P","Fill=—","Direction=H","UseDPDF=Y")</f>
        <v>#NAME?</v>
      </c>
      <c r="CZ539" s="2" t="e">
        <f ca="1">_xll.BDH($C$528,"INVENT_DAYS","FQ1 2016","FQ1 2016","Currency=INR","Period=FQ","BEST_FPERIOD_OVERRIDE=FQ","FILING_STATUS=OR","EQY_CONSOLIDATED=Y","FA_ADJUSTED=GAAP","Sort=A","Dates=H","DateFormat=P","Fill=—","Direction=H","UseDPDF=Y")</f>
        <v>#NAME?</v>
      </c>
      <c r="DA539" s="4" t="e">
        <f ca="1">_xll.BDH($C$528,"ACCOUNTS_PAYABLE_TURNOVER","FQ1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39" s="2" t="e">
        <f ca="1">_xll.BDH($C$528,"ACCOUNTS_PAYABLE_TURNOVER_DAYS","FQ1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39" s="4" t="e">
        <f ca="1">_xll.BDH($C$528,"CASH_CONVERSION_CYCLE","FQ1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39" s="4" t="e">
        <f ca="1">_xll.BDH($C$528,"INV_TO_CASH_DAYS","FQ1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39" s="5" t="e">
        <f ca="1">_xll.BDH($C$528,"BS_INVENTORIES","FQ1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39" s="3" t="e">
        <f ca="1">_xll.BDH($C$528,"INVTRY_RAW_MATERIALS","FQ1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39" s="3" t="e">
        <f ca="1">_xll.BDH($C$528,"INVTRY_IN_PROGRESS","FQ1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39" s="3" t="e">
        <f ca="1">_xll.BDH($C$528,"INVTRY_FINISHED_GOODS","FQ1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39" s="3" t="e">
        <f ca="1">_xll.BDH($C$528,"BS_OTHER_INV","FQ1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40" spans="1:113" x14ac:dyDescent="0.3">
      <c r="A540" s="6"/>
      <c r="B540" s="6"/>
      <c r="C540" s="6"/>
      <c r="D540" s="6"/>
      <c r="E540" t="s">
        <v>79</v>
      </c>
      <c r="F540" t="e">
        <f ca="1">_xll.BDH($C$528,"RETURN_COM_EQY","FQ2 2016","FQ2 2016","Currency=INR","Period=FQ","BEST_FPERIOD_OVERRIDE=FQ","FILING_STATUS=OR","EQY_CONSOLIDATED=Y","FA_ADJUSTED=GAAP","Sort=A","Dates=H","DateFormat=P","Fill=—","Direction=H","UseDPDF=Y")</f>
        <v>#NAME?</v>
      </c>
      <c r="G540" t="e">
        <f ca="1">_xll.BDH($C$528,"RETURN_ON_ASSET","FQ2 2016","FQ2 2016","Currency=INR","Period=FQ","BEST_FPERIOD_OVERRIDE=FQ","FILING_STATUS=OR","EQY_CONSOLIDATED=Y","FA_ADJUSTED=GAAP","Sort=A","Dates=H","DateFormat=P","Fill=—","Direction=H","UseDPDF=Y")</f>
        <v>#NAME?</v>
      </c>
      <c r="H540" t="e">
        <f ca="1">_xll.BDH($C$528,"RETURN_ON_CAP","FQ2 2016","FQ2 2016","Currency=INR","Period=FQ","BEST_FPERIOD_OVERRIDE=FQ","FILING_STATUS=OR","EQY_CONSOLIDATED=Y","FA_ADJUSTED=GAAP","Sort=A","Dates=H","DateFormat=P","Fill=—","Direction=H","UseDPDF=Y")</f>
        <v>#NAME?</v>
      </c>
      <c r="I540" t="e">
        <f ca="1">_xll.BDH($C$528,"RETURN_ON_INV_CAPITAL","FQ2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40" t="e">
        <f ca="1">_xll.BDH($C$528,"EBITDA_TO_REVENUE","FQ2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40" t="e">
        <f ca="1">_xll.BDH($C$528,"OPER_MARGIN","FQ2 2016","FQ2 2016","Currency=INR","Period=FQ","BEST_FPERIOD_OVERRIDE=FQ","FILING_STATUS=OR","EQY_CONSOLIDATED=Y","FA_ADJUSTED=GAAP","Sort=A","Dates=H","DateFormat=P","Fill=—","Direction=H","UseDPDF=Y")</f>
        <v>#NAME?</v>
      </c>
      <c r="L540" t="e">
        <f ca="1">_xll.BDH($C$528,"INCREMENTAL_OPERATING_MARGIN","FQ2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40" t="e">
        <f ca="1">_xll.BDH($C$528,"PRETAX_INC_TO_NET_SALES","FQ2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40" t="e">
        <f ca="1">_xll.BDH($C$528,"INC_BEF_XO_ITEMS_TO_NET_SALES","FQ2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40" t="e">
        <f ca="1">_xll.BDH($C$528,"PROF_MARGIN","FQ2 2016","FQ2 2016","Currency=INR","Period=FQ","BEST_FPERIOD_OVERRIDE=FQ","FILING_STATUS=OR","EQY_CONSOLIDATED=Y","FA_ADJUSTED=GAAP","Sort=A","Dates=H","DateFormat=P","Fill=—","Direction=H","UseDPDF=Y")</f>
        <v>#NAME?</v>
      </c>
      <c r="P540" t="e">
        <f ca="1">_xll.BDH($C$528,"NET_INCOME_TO_COMMON_MARGIN","FQ2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40" t="e">
        <f ca="1">_xll.BDH($C$528,"EFF_TAX_RATE","FQ2 2016","FQ2 2016","Currency=INR","Period=FQ","BEST_FPERIOD_OVERRIDE=FQ","FILING_STATUS=OR","EQY_CONSOLIDATED=Y","FA_ADJUSTED=GAAP","Sort=A","Dates=H","DateFormat=P","Fill=—","Direction=H","UseDPDF=Y")</f>
        <v>#NAME?</v>
      </c>
      <c r="R540" t="e">
        <f ca="1">_xll.BDH($C$528,"DVD_PAYOUT_RATIO","FQ2 2016","FQ2 2016","Currency=INR","Period=FQ","BEST_FPERIOD_OVERRIDE=FQ","FILING_STATUS=OR","EQY_CONSOLIDATED=Y","FA_ADJUSTED=GAAP","Sort=A","Dates=H","DateFormat=P","Fill=—","Direction=H","UseDPDF=Y")</f>
        <v>#NAME?</v>
      </c>
      <c r="S540" t="e">
        <f ca="1">_xll.BDH($C$528,"SUSTAIN_GROWTH_RT","FQ2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40" s="2" t="e">
        <f ca="1">_xll.BDH($C$528,"SALES_GROWTH","FQ2 2016","FQ2 2016","Currency=INR","Period=FQ","BEST_FPERIOD_OVERRIDE=FQ","FILING_STATUS=OR","EQY_CONSOLIDATED=Y","FA_ADJUSTED=GAAP","Sort=A","Dates=H","DateFormat=P","Fill=—","Direction=H","UseDPDF=Y")</f>
        <v>#NAME?</v>
      </c>
      <c r="U540" s="2" t="e">
        <f ca="1">_xll.BDH($C$528,"EBITDA_GROWTH","FQ2 2016","FQ2 2016","Currency=INR","Period=FQ","BEST_FPERIOD_OVERRIDE=FQ","FILING_STATUS=OR","EQY_CONSOLIDATED=Y","FA_ADJUSTED=GAAP","Sort=A","Dates=H","DateFormat=P","Fill=—","Direction=H","UseDPDF=Y")</f>
        <v>#NAME?</v>
      </c>
      <c r="V540" s="2" t="e">
        <f ca="1">_xll.BDH($C$528,"OPER_INC_GROWTH","FQ2 2016","FQ2 2016","Currency=INR","Period=FQ","BEST_FPERIOD_OVERRIDE=FQ","FILING_STATUS=OR","EQY_CONSOLIDATED=Y","FA_ADJUSTED=GAAP","Sort=A","Dates=H","DateFormat=P","Fill=—","Direction=H","UseDPDF=Y")</f>
        <v>#NAME?</v>
      </c>
      <c r="W540" s="2" t="e">
        <f ca="1">_xll.BDH($C$528,"EARN_FOR_COM_GROWTH","FQ2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40" s="2" t="e">
        <f ca="1">_xll.BDH($C$528,"DILUTED_EPS_AFT_XO_ITEMS_GROWTH","FQ2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40" s="2" t="e">
        <f ca="1">_xll.BDH($C$528,"DIVIDEND_PER_SHARE_1_YEAR_GROWTH","FQ2 2016","FQ2 2016","Currency=INR","Period=FQ","BEST_FPERIOD_OVERRIDE=FQ","FILING_STATUS=OR","EQY_CONSOLIDATED=Y","Sort=A","Dates=H","DateFormat=P","Fill=—","Direction=H","UseDPDF=Y")</f>
        <v>#NAME?</v>
      </c>
      <c r="Z540" s="2" t="e">
        <f ca="1">_xll.BDH($C$528,"ACCOUNTS_RECEIVABLE_GROWTH","FQ2 2016","FQ2 2016","Currency=INR","Period=FQ","BEST_FPERIOD_OVERRIDE=FQ","FILING_STATUS=OR","EQY_CONSOLIDATED=Y","Sort=A","Dates=H","DateFormat=P","Fill=—","Direction=H","UseDPDF=Y")</f>
        <v>#NAME?</v>
      </c>
      <c r="AA540" s="2" t="e">
        <f ca="1">_xll.BDH($C$528,"INVENTORY_GROWTH","FQ2 2016","FQ2 2016","Currency=INR","Period=FQ","BEST_FPERIOD_OVERRIDE=FQ","FILING_STATUS=OR","EQY_CONSOLIDATED=Y","Sort=A","Dates=H","DateFormat=P","Fill=—","Direction=H","UseDPDF=Y")</f>
        <v>#NAME?</v>
      </c>
      <c r="AB540" s="2" t="e">
        <f ca="1">_xll.BDH($C$528,"NET_FIXED_ASSETS_1_YEAR_GROWTH","FQ2 2016","FQ2 2016","Currency=INR","Period=FQ","BEST_FPERIOD_OVERRIDE=FQ","FILING_STATUS=OR","EQY_CONSOLIDATED=Y","Sort=A","Dates=H","DateFormat=P","Fill=—","Direction=H","UseDPDF=Y")</f>
        <v>#NAME?</v>
      </c>
      <c r="AC540" s="2" t="e">
        <f ca="1">_xll.BDH($C$528,"ASSET_GROWTH","FQ2 2016","FQ2 2016","Currency=INR","Period=FQ","BEST_FPERIOD_OVERRIDE=FQ","FILING_STATUS=OR","EQY_CONSOLIDATED=Y","Sort=A","Dates=H","DateFormat=P","Fill=—","Direction=H","UseDPDF=Y")</f>
        <v>#NAME?</v>
      </c>
      <c r="AD540" s="2" t="e">
        <f ca="1">_xll.BDH($C$528,"MODIFIED_WORK_CAP_GROWTH","FQ2 2016","FQ2 2016","Currency=INR","Period=FQ","BEST_FPERIOD_OVERRIDE=FQ","FILING_STATUS=OR","EQY_CONSOLIDATED=Y","Sort=A","Dates=H","DateFormat=P","Fill=—","Direction=H","UseDPDF=Y")</f>
        <v>#NAME?</v>
      </c>
      <c r="AE540" s="2" t="e">
        <f ca="1">_xll.BDH($C$528,"WORK_CAP_GROWTH","FQ2 2016","FQ2 2016","Currency=INR","Period=FQ","BEST_FPERIOD_OVERRIDE=FQ","FILING_STATUS=OR","EQY_CONSOLIDATED=Y","Sort=A","Dates=H","DateFormat=P","Fill=—","Direction=H","UseDPDF=Y")</f>
        <v>#NAME?</v>
      </c>
      <c r="AF540" s="2" t="e">
        <f ca="1">_xll.BDH($C$528,"ACCOUNTS_PAYABLE_GROWTH_1YR","FQ2 2016","FQ2 2016","Currency=INR","Period=FQ","BEST_FPERIOD_OVERRIDE=FQ","FILING_STATUS=OR","EQY_CONSOLIDATED=Y","Sort=A","Dates=H","DateFormat=P","Fill=—","Direction=H","UseDPDF=Y")</f>
        <v>#NAME?</v>
      </c>
      <c r="AG540" s="2" t="e">
        <f ca="1">_xll.BDH($C$528,"SHORT_TERM_DEBT_1_YEAR_GROWTH","FQ2 2016","FQ2 2016","Currency=INR","Period=FQ","BEST_FPERIOD_OVERRIDE=FQ","FILING_STATUS=OR","EQY_CONSOLIDATED=Y","Sort=A","Dates=H","DateFormat=P","Fill=—","Direction=H","UseDPDF=Y")</f>
        <v>#NAME?</v>
      </c>
      <c r="AH540" s="2" t="e">
        <f ca="1">_xll.BDH($C$528,"TOTAL_DEBT_1_YEAR_GROWTH","FQ2 2016","FQ2 2016","Currency=INR","Period=FQ","BEST_FPERIOD_OVERRIDE=FQ","FILING_STATUS=OR","EQY_CONSOLIDATED=Y","Sort=A","Dates=H","DateFormat=P","Fill=—","Direction=H","UseDPDF=Y")</f>
        <v>#NAME?</v>
      </c>
      <c r="AI540" s="2" t="e">
        <f ca="1">_xll.BDH($C$528,"TOTAL_EQUITY_1_YEAR_GROWTH","FQ2 2016","FQ2 2016","Currency=INR","Period=FQ","BEST_FPERIOD_OVERRIDE=FQ","FILING_STATUS=OR","EQY_CONSOLIDATED=Y","Sort=A","Dates=H","DateFormat=P","Fill=—","Direction=H","UseDPDF=Y")</f>
        <v>#NAME?</v>
      </c>
      <c r="AJ540" s="2" t="e">
        <f ca="1">_xll.BDH($C$528,"GROWTH_IN_CAP","FQ2 2016","FQ2 2016","Currency=INR","Period=FQ","BEST_FPERIOD_OVERRIDE=FQ","FILING_STATUS=OR","EQY_CONSOLIDATED=Y","Sort=A","Dates=H","DateFormat=P","Fill=—","Direction=H","UseDPDF=Y")</f>
        <v>#NAME?</v>
      </c>
      <c r="AK540" s="2" t="e">
        <f ca="1">_xll.BDH($C$528,"BVPS_GROWTH","FQ2 2016","FQ2 2016","Currency=INR","Period=FQ","BEST_FPERIOD_OVERRIDE=FQ","FILING_STATUS=OR","EQY_CONSOLIDATED=Y","Sort=A","Dates=H","DateFormat=P","Fill=—","Direction=H","UseDPDF=Y")</f>
        <v>#NAME?</v>
      </c>
      <c r="AL540" s="2" t="e">
        <f ca="1">_xll.BDH($C$528,"CASH_FLOW_GROWTH","FQ2 2016","FQ2 2016","Currency=INR","Period=FQ","BEST_FPERIOD_OVERRIDE=FQ","FILING_STATUS=OR","EQY_CONSOLIDATED=Y","Sort=A","Dates=H","DateFormat=P","Fill=—","Direction=H","UseDPDF=Y")</f>
        <v>#NAME?</v>
      </c>
      <c r="AM540" s="2" t="e">
        <f ca="1">_xll.BDH($C$528,"GEO_GROW_NET_SALES","FQ2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40" s="2" t="e">
        <f ca="1">_xll.BDH($C$528,"GEO_GROW_EBITDA","FQ2 2016","FQ2 2016","Currency=INR","Period=FQ","BEST_FPERIOD_OVERRIDE=FQ","FILING_STATUS=OR","EQY_CONSOLIDATED=Y","FA_ADJUSTED=GAAP","Sort=A","Dates=H","DateFormat=P","Fill=—","Direction=H","UseDPDF=Y")</f>
        <v>#NAME?</v>
      </c>
      <c r="AO540" s="2" t="e">
        <f ca="1">_xll.BDH($C$528,"GEO_GROW_OPER_INC","FQ2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40" s="2" t="e">
        <f ca="1">_xll.BDH($C$528,"NET_INCOME_TO_COMMON_5_YR_GROWTH","FQ2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40" s="2" t="e">
        <f ca="1">_xll.BDH($C$528,"5Y_GEO_GROWTH_DILUTED_EPS","FQ2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40" s="2" t="e">
        <f ca="1">_xll.BDH($C$528,"GEO_GROW_DVD_PER_SH","FQ2 2016","FQ2 2016","Currency=INR","Period=FQ","BEST_FPERIOD_OVERRIDE=FQ","FILING_STATUS=OR","EQY_CONSOLIDATED=Y","Sort=A","Dates=H","DateFormat=P","Fill=—","Direction=H","UseDPDF=Y")</f>
        <v>#NAME?</v>
      </c>
      <c r="AS540" s="2" t="e">
        <f ca="1">_xll.BDH($C$528,"ACCOUNTS_RECEIVABLE_5_YR_GROWTH","FQ2 2016","FQ2 2016","Currency=INR","Period=FQ","BEST_FPERIOD_OVERRIDE=FQ","FILING_STATUS=OR","EQY_CONSOLIDATED=Y","Sort=A","Dates=H","DateFormat=P","Fill=—","Direction=H","UseDPDF=Y")</f>
        <v>#NAME?</v>
      </c>
      <c r="AT540" s="2" t="e">
        <f ca="1">_xll.BDH($C$528,"INVENTORY_5_YEAR_GROWTH","FQ2 2016","FQ2 2016","Currency=INR","Period=FQ","BEST_FPERIOD_OVERRIDE=FQ","FILING_STATUS=OR","EQY_CONSOLIDATED=Y","Sort=A","Dates=H","DateFormat=P","Fill=—","Direction=H","UseDPDF=Y")</f>
        <v>#NAME?</v>
      </c>
      <c r="AU540" s="2" t="e">
        <f ca="1">_xll.BDH($C$528,"NET_FIXED_ASSETS_5_YEAR_GROWTH","FQ2 2016","FQ2 2016","Currency=INR","Period=FQ","BEST_FPERIOD_OVERRIDE=FQ","FILING_STATUS=OR","EQY_CONSOLIDATED=Y","Sort=A","Dates=H","DateFormat=P","Fill=—","Direction=H","UseDPDF=Y")</f>
        <v>#NAME?</v>
      </c>
      <c r="AV540" s="2" t="e">
        <f ca="1">_xll.BDH($C$528,"GEO_GROW_TOT_ASSET","FQ2 2016","FQ2 2016","Currency=INR","Period=FQ","BEST_FPERIOD_OVERRIDE=FQ","FILING_STATUS=OR","EQY_CONSOLIDATED=Y","Sort=A","Dates=H","DateFormat=P","Fill=—","Direction=H","UseDPDF=Y")</f>
        <v>#NAME?</v>
      </c>
      <c r="AW540" s="2" t="e">
        <f ca="1">_xll.BDH($C$528,"MODIFIED_WORKING_CPTL_5YR_GRWTH","FQ2 2016","FQ2 2016","Currency=INR","Period=FQ","BEST_FPERIOD_OVERRIDE=FQ","FILING_STATUS=OR","EQY_CONSOLIDATED=Y","Sort=A","Dates=H","DateFormat=P","Fill=—","Direction=H","UseDPDF=Y")</f>
        <v>#NAME?</v>
      </c>
      <c r="AX540" s="2" t="e">
        <f ca="1">_xll.BDH($C$528,"WORKING_CAPITAL_5_YEAR_GROWTH","FQ2 2016","FQ2 2016","Currency=INR","Period=FQ","BEST_FPERIOD_OVERRIDE=FQ","FILING_STATUS=OR","EQY_CONSOLIDATED=Y","Sort=A","Dates=H","DateFormat=P","Fill=—","Direction=H","UseDPDF=Y")</f>
        <v>#NAME?</v>
      </c>
      <c r="AY540" s="2" t="e">
        <f ca="1">_xll.BDH($C$528,"ACCOUNTS_PAYABLE_5_YEAR_GROWTH","FQ2 2016","FQ2 2016","Currency=INR","Period=FQ","BEST_FPERIOD_OVERRIDE=FQ","FILING_STATUS=OR","EQY_CONSOLIDATED=Y","Sort=A","Dates=H","DateFormat=P","Fill=—","Direction=H","UseDPDF=Y")</f>
        <v>#NAME?</v>
      </c>
      <c r="AZ540" s="2" t="e">
        <f ca="1">_xll.BDH($C$528,"SHORT_TERM_DEBT_5_YEAR_GROWTH","FQ2 2016","FQ2 2016","Currency=INR","Period=FQ","BEST_FPERIOD_OVERRIDE=FQ","FILING_STATUS=OR","EQY_CONSOLIDATED=Y","Sort=A","Dates=H","DateFormat=P","Fill=—","Direction=H","UseDPDF=Y")</f>
        <v>#NAME?</v>
      </c>
      <c r="BA540" s="2" t="e">
        <f ca="1">_xll.BDH($C$528,"TOTAL_DEBT_5_YEAR_GROWTH","FQ2 2016","FQ2 2016","Currency=INR","Period=FQ","BEST_FPERIOD_OVERRIDE=FQ","FILING_STATUS=OR","EQY_CONSOLIDATED=Y","Sort=A","Dates=H","DateFormat=P","Fill=—","Direction=H","UseDPDF=Y")</f>
        <v>#NAME?</v>
      </c>
      <c r="BB540" s="2" t="e">
        <f ca="1">_xll.BDH($C$528,"GEO_GROW_TOT_SHRHLDR_EQY","FQ2 2016","FQ2 2016","Currency=INR","Period=FQ","BEST_FPERIOD_OVERRIDE=FQ","FILING_STATUS=OR","EQY_CONSOLIDATED=Y","Sort=A","Dates=H","DateFormat=P","Fill=—","Direction=H","UseDPDF=Y")</f>
        <v>#NAME?</v>
      </c>
      <c r="BC540" s="2" t="e">
        <f ca="1">_xll.BDH($C$528,"TOTAL_CAPITAL_5_YEAR_GROWTH","FQ2 2016","FQ2 2016","Currency=INR","Period=FQ","BEST_FPERIOD_OVERRIDE=FQ","FILING_STATUS=OR","EQY_CONSOLIDATED=Y","Sort=A","Dates=H","DateFormat=P","Fill=—","Direction=H","UseDPDF=Y")</f>
        <v>#NAME?</v>
      </c>
      <c r="BD540" s="2" t="e">
        <f ca="1">_xll.BDH($C$528,"GEO_GROW_BOOK_VAL","FQ2 2016","FQ2 2016","Currency=INR","Period=FQ","BEST_FPERIOD_OVERRIDE=FQ","FILING_STATUS=OR","EQY_CONSOLIDATED=Y","Sort=A","Dates=H","DateFormat=P","Fill=—","Direction=H","UseDPDF=Y")</f>
        <v>#NAME?</v>
      </c>
      <c r="BE540" s="2" t="e">
        <f ca="1">_xll.BDH($C$528,"GEO_GROW_CASH_OPER_ACT","FQ2 2016","FQ2 2016","Currency=INR","Period=FQ","BEST_FPERIOD_OVERRIDE=FQ","FILING_STATUS=OR","EQY_CONSOLIDATED=Y","Sort=A","Dates=H","DateFormat=P","Fill=—","Direction=H","UseDPDF=Y")</f>
        <v>#NAME?</v>
      </c>
      <c r="BF540" s="2" t="e">
        <f ca="1">_xll.BDH($C$528,"REVENUE_SEQUENTIAL_GROWTH","FQ2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40" s="2" t="e">
        <f ca="1">_xll.BDH($C$528,"EBITDA_SEQUENTIAL_GROWTH","FQ2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40" s="2" t="e">
        <f ca="1">_xll.BDH($C$528,"OPERATING_INCOME_SEQ_GROWTH","FQ2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40" s="2" t="e">
        <f ca="1">_xll.BDH($C$528,"NET_INCOME_TO_COMMON_SEQ_GROWTH","FQ2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40" s="2" t="e">
        <f ca="1">_xll.BDH($C$528,"EPS_DILUTED_SEQUENTIAL_GROWTH","FQ2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40" s="2" t="e">
        <f ca="1">_xll.BDH($C$528,"DPS_SEQUENTIAL_GROWTH","FQ2 2016","FQ2 2016","Currency=INR","Period=FQ","BEST_FPERIOD_OVERRIDE=FQ","FILING_STATUS=OR","EQY_CONSOLIDATED=Y","Sort=A","Dates=H","DateFormat=P","Fill=—","Direction=H","UseDPDF=Y")</f>
        <v>#NAME?</v>
      </c>
      <c r="BL540" s="2" t="e">
        <f ca="1">_xll.BDH($C$528,"ACCOUNTS_RECEIVABLE_SEQ_GROWTH","FQ2 2016","FQ2 2016","Currency=INR","Period=FQ","BEST_FPERIOD_OVERRIDE=FQ","FILING_STATUS=OR","EQY_CONSOLIDATED=Y","Sort=A","Dates=H","DateFormat=P","Fill=—","Direction=H","UseDPDF=Y")</f>
        <v>#NAME?</v>
      </c>
      <c r="BM540" s="2" t="e">
        <f ca="1">_xll.BDH($C$528,"INVENTORY_SEQUENTIAL_GROWTH","FQ2 2016","FQ2 2016","Currency=INR","Period=FQ","BEST_FPERIOD_OVERRIDE=FQ","FILING_STATUS=OR","EQY_CONSOLIDATED=Y","Sort=A","Dates=H","DateFormat=P","Fill=—","Direction=H","UseDPDF=Y")</f>
        <v>#NAME?</v>
      </c>
      <c r="BN540" s="2" t="e">
        <f ca="1">_xll.BDH($C$528,"FIXED_ASSETS_SEQUENTIAL_GROWTH","FQ2 2016","FQ2 2016","Currency=INR","Period=FQ","BEST_FPERIOD_OVERRIDE=FQ","FILING_STATUS=OR","EQY_CONSOLIDATED=Y","Sort=A","Dates=H","DateFormat=P","Fill=—","Direction=H","UseDPDF=Y")</f>
        <v>#NAME?</v>
      </c>
      <c r="BO540" s="2" t="e">
        <f ca="1">_xll.BDH($C$528,"TOTAL_ASSETS_SEQUENTIAL_GROWTH","FQ2 2016","FQ2 2016","Currency=INR","Period=FQ","BEST_FPERIOD_OVERRIDE=FQ","FILING_STATUS=OR","EQY_CONSOLIDATED=Y","Sort=A","Dates=H","DateFormat=P","Fill=—","Direction=H","UseDPDF=Y")</f>
        <v>#NAME?</v>
      </c>
      <c r="BP540" s="2" t="e">
        <f ca="1">_xll.BDH($C$528,"MODIFIED_WORKING_CPTL_SEQ_GRWTH","FQ2 2016","FQ2 2016","Currency=INR","Period=FQ","BEST_FPERIOD_OVERRIDE=FQ","FILING_STATUS=OR","EQY_CONSOLIDATED=Y","Sort=A","Dates=H","DateFormat=P","Fill=—","Direction=H","UseDPDF=Y")</f>
        <v>#NAME?</v>
      </c>
      <c r="BQ540" s="2" t="e">
        <f ca="1">_xll.BDH($C$528,"WORKING_CAPITAL_SEQ_GROWTH","FQ2 2016","FQ2 2016","Currency=INR","Period=FQ","BEST_FPERIOD_OVERRIDE=FQ","FILING_STATUS=OR","EQY_CONSOLIDATED=Y","Sort=A","Dates=H","DateFormat=P","Fill=—","Direction=H","UseDPDF=Y")</f>
        <v>#NAME?</v>
      </c>
      <c r="BR540" s="2" t="e">
        <f ca="1">_xll.BDH($C$528,"ACCOUNTS_PAYABLE_SEQ_GROWTH","FQ2 2016","FQ2 2016","Currency=INR","Period=FQ","BEST_FPERIOD_OVERRIDE=FQ","FILING_STATUS=OR","EQY_CONSOLIDATED=Y","Sort=A","Dates=H","DateFormat=P","Fill=—","Direction=H","UseDPDF=Y")</f>
        <v>#NAME?</v>
      </c>
      <c r="BS540" s="2" t="e">
        <f ca="1">_xll.BDH($C$528,"ST_DEBT_SEQUENTIAL_GROWTH","FQ2 2016","FQ2 2016","Currency=INR","Period=FQ","BEST_FPERIOD_OVERRIDE=FQ","FILING_STATUS=OR","EQY_CONSOLIDATED=Y","Sort=A","Dates=H","DateFormat=P","Fill=—","Direction=H","UseDPDF=Y")</f>
        <v>#NAME?</v>
      </c>
      <c r="BT540" s="2" t="e">
        <f ca="1">_xll.BDH($C$528,"TOTAL_DEBT_SEQUENTIAL_GROWTH","FQ2 2016","FQ2 2016","Currency=INR","Period=FQ","BEST_FPERIOD_OVERRIDE=FQ","FILING_STATUS=OR","EQY_CONSOLIDATED=Y","Sort=A","Dates=H","DateFormat=P","Fill=—","Direction=H","UseDPDF=Y")</f>
        <v>#NAME?</v>
      </c>
      <c r="BU540" s="2" t="e">
        <f ca="1">_xll.BDH($C$528,"TOTAL_EQUITY_SEQUENTIAL_GROWTH","FQ2 2016","FQ2 2016","Currency=INR","Period=FQ","BEST_FPERIOD_OVERRIDE=FQ","FILING_STATUS=OR","EQY_CONSOLIDATED=Y","Sort=A","Dates=H","DateFormat=P","Fill=—","Direction=H","UseDPDF=Y")</f>
        <v>#NAME?</v>
      </c>
      <c r="BV540" s="2" t="e">
        <f ca="1">_xll.BDH($C$528,"TOTAL_CAPITAL_SEQUENTIAL_GROWTH","FQ2 2016","FQ2 2016","Currency=INR","Period=FQ","BEST_FPERIOD_OVERRIDE=FQ","FILING_STATUS=OR","EQY_CONSOLIDATED=Y","Sort=A","Dates=H","DateFormat=P","Fill=—","Direction=H","UseDPDF=Y")</f>
        <v>#NAME?</v>
      </c>
      <c r="BW540" s="2" t="e">
        <f ca="1">_xll.BDH($C$528,"BPS_SEQUENTIAL_GROWTH","FQ2 2016","FQ2 2016","Currency=INR","Period=FQ","BEST_FPERIOD_OVERRIDE=FQ","FILING_STATUS=OR","EQY_CONSOLIDATED=Y","Sort=A","Dates=H","DateFormat=P","Fill=—","Direction=H","UseDPDF=Y")</f>
        <v>#NAME?</v>
      </c>
      <c r="BX540" s="2" t="e">
        <f ca="1">_xll.BDH($C$528,"CFO_SEQUENTIAL_GROWTH","FQ2 2016","FQ2 2016","Currency=INR","Period=FQ","BEST_FPERIOD_OVERRIDE=FQ","FILING_STATUS=OR","EQY_CONSOLIDATED=Y","Sort=A","Dates=H","DateFormat=P","Fill=—","Direction=H","UseDPDF=Y")</f>
        <v>#NAME?</v>
      </c>
      <c r="BY540" s="3" t="e">
        <f ca="1">_xll.BDH($C$528,"SHORT_AND_LONG_TERM_DEBT","FQ2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40" s="3" t="e">
        <f ca="1">_xll.BDH($C$528,"BS_ST_BORROW","FQ2 2016","FQ2 2016","Currency=INR","Period=FQ","BEST_FPERIOD_OVERRIDE=FQ","FILING_STATUS=OR","EQY_CONSOLIDATED=Y","SCALING_FORMAT=MLN","Sort=A","Dates=H","DateFormat=P","Fill=—","Direction=H","UseDPDF=Y")</f>
        <v>#NAME?</v>
      </c>
      <c r="CA540" s="3" t="e">
        <f ca="1">_xll.BDH($C$528,"BS_LT_BORROW","FQ2 2016","FQ2 2016","Currency=INR","Period=FQ","BEST_FPERIOD_OVERRIDE=FQ","FILING_STATUS=OR","EQY_CONSOLIDATED=Y","SCALING_FORMAT=MLN","Sort=A","Dates=H","DateFormat=P","Fill=—","Direction=H","UseDPDF=Y")</f>
        <v>#NAME?</v>
      </c>
      <c r="CB540" s="2" t="e">
        <f ca="1">_xll.BDH($C$528,"TOT_DEBT_TO_EBITDA","FQ2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40" s="2" t="e">
        <f ca="1">_xll.BDH($C$528,"NET_DEBT_TO_EBITDA","FQ2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40" s="2" t="e">
        <f ca="1">_xll.BDH($C$528,"TOTAL_DEBT_TO_EBIT","FQ2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40" s="2" t="e">
        <f ca="1">_xll.BDH($C$528,"NET_DEBT_TO_EBIT","FQ2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40" s="2" t="e">
        <f ca="1">_xll.BDH($C$528,"EBITDA_TO_INTEREST_EXPN","FQ2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40" s="2" t="e">
        <f ca="1">_xll.BDH($C$528,"COM_EQY_TO_TOT_ASSET","FQ2 2016","FQ2 2016","Currency=INR","Period=FQ","BEST_FPERIOD_OVERRIDE=FQ","FILING_STATUS=OR","EQY_CONSOLIDATED=Y","Sort=A","Dates=H","DateFormat=P","Fill=—","Direction=H","UseDPDF=Y")</f>
        <v>#NAME?</v>
      </c>
      <c r="CH540" s="2" t="e">
        <f ca="1">_xll.BDH($C$528,"LT_DEBT_TO_TOT_EQY","FQ2 2016","FQ2 2016","Currency=INR","Period=FQ","BEST_FPERIOD_OVERRIDE=FQ","FILING_STATUS=OR","EQY_CONSOLIDATED=Y","Sort=A","Dates=H","DateFormat=P","Fill=—","Direction=H","UseDPDF=Y")</f>
        <v>#NAME?</v>
      </c>
      <c r="CI540" s="2" t="e">
        <f ca="1">_xll.BDH($C$528,"LT_DEBT_TO_TOT_CAP","FQ2 2016","FQ2 2016","Currency=INR","Period=FQ","BEST_FPERIOD_OVERRIDE=FQ","FILING_STATUS=OR","EQY_CONSOLIDATED=Y","Sort=A","Dates=H","DateFormat=P","Fill=—","Direction=H","UseDPDF=Y")</f>
        <v>#NAME?</v>
      </c>
      <c r="CJ540" s="2" t="e">
        <f ca="1">_xll.BDH($C$528,"LT_DEBT_TO_TOT_ASSET","FQ2 2016","FQ2 2016","Currency=INR","Period=FQ","BEST_FPERIOD_OVERRIDE=FQ","FILING_STATUS=OR","EQY_CONSOLIDATED=Y","Sort=A","Dates=H","DateFormat=P","Fill=—","Direction=H","UseDPDF=Y")</f>
        <v>#NAME?</v>
      </c>
      <c r="CK540" s="2" t="e">
        <f ca="1">_xll.BDH($C$528,"TOT_DEBT_TO_TOT_EQY","FQ2 2016","FQ2 2016","Currency=INR","Period=FQ","BEST_FPERIOD_OVERRIDE=FQ","FILING_STATUS=OR","EQY_CONSOLIDATED=Y","Sort=A","Dates=H","DateFormat=P","Fill=—","Direction=H","UseDPDF=Y")</f>
        <v>#NAME?</v>
      </c>
      <c r="CL540" s="2" t="e">
        <f ca="1">_xll.BDH($C$528,"TOT_DEBT_TO_TOT_CAP","FQ2 2016","FQ2 2016","Currency=INR","Period=FQ","BEST_FPERIOD_OVERRIDE=FQ","FILING_STATUS=OR","EQY_CONSOLIDATED=Y","Sort=A","Dates=H","DateFormat=P","Fill=—","Direction=H","UseDPDF=Y")</f>
        <v>#NAME?</v>
      </c>
      <c r="CM540" s="2" t="e">
        <f ca="1">_xll.BDH($C$528,"TOT_DEBT_TO_TOT_ASSET","FQ2 2016","FQ2 2016","Currency=INR","Period=FQ","BEST_FPERIOD_OVERRIDE=FQ","FILING_STATUS=OR","EQY_CONSOLIDATED=Y","Sort=A","Dates=H","DateFormat=P","Fill=—","Direction=H","UseDPDF=Y")</f>
        <v>#NAME?</v>
      </c>
      <c r="CN540" s="2" t="e">
        <f ca="1">_xll.BDH($C$528,"NET_DEBT_TO_SHRHLDR_EQTY","FQ2 2016","FQ2 2016","Currency=INR","Period=FQ","BEST_FPERIOD_OVERRIDE=FQ","FILING_STATUS=OR","EQY_CONSOLIDATED=Y","Sort=A","Dates=H","DateFormat=P","Fill=—","Direction=H","UseDPDF=Y")</f>
        <v>#NAME?</v>
      </c>
      <c r="CO540" s="2" t="e">
        <f ca="1">_xll.BDH($C$528,"NET_DEBT_%_CAPITAL","FQ2 2016","FQ2 2016","Currency=INR","Period=FQ","BEST_FPERIOD_OVERRIDE=FQ","FILING_STATUS=OR","EQY_CONSOLIDATED=Y","Sort=A","Dates=H","DateFormat=P","Fill=—","Direction=H","UseDPDF=Y")</f>
        <v>#NAME?</v>
      </c>
      <c r="CP540" s="3" t="e">
        <f ca="1">_xll.BDH($C$528,"EBITDA","FQ2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40" s="3" t="e">
        <f ca="1">_xll.BDH($C$528,"EBITDA_AFTER_CAPEX","FQ2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40" s="3" t="e">
        <f ca="1">_xll.BDH($C$528,"IS_OPER_INC","FQ2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40" s="2" t="e">
        <f ca="1">_xll.BDH($C$528,"CASH_RATIO","FQ2 2016","FQ2 2016","Currency=INR","Period=FQ","BEST_FPERIOD_OVERRIDE=FQ","FILING_STATUS=OR","EQY_CONSOLIDATED=Y","Sort=A","Dates=H","DateFormat=P","Fill=—","Direction=H","UseDPDF=Y")</f>
        <v>#NAME?</v>
      </c>
      <c r="CT540" s="2" t="e">
        <f ca="1">_xll.BDH($C$528,"CUR_RATIO","FQ2 2016","FQ2 2016","Currency=INR","Period=FQ","BEST_FPERIOD_OVERRIDE=FQ","FILING_STATUS=OR","EQY_CONSOLIDATED=Y","Sort=A","Dates=H","DateFormat=P","Fill=—","Direction=H","UseDPDF=Y")</f>
        <v>#NAME?</v>
      </c>
      <c r="CU540" s="2" t="e">
        <f ca="1">_xll.BDH($C$528,"QUICK_RATIO","FQ2 2016","FQ2 2016","Currency=INR","Period=FQ","BEST_FPERIOD_OVERRIDE=FQ","FILING_STATUS=OR","EQY_CONSOLIDATED=Y","Sort=A","Dates=H","DateFormat=P","Fill=—","Direction=H","UseDPDF=Y")</f>
        <v>#NAME?</v>
      </c>
      <c r="CV540" s="2" t="e">
        <f ca="1">_xll.BDH($C$528,"ALTMAN_Z_SCORE","FQ2 2016","FQ2 2016","Currency=INR","Period=FQ","BEST_FPERIOD_OVERRIDE=FQ","FILING_STATUS=OR","EQY_CONSOLIDATED=Y","Sort=A","Dates=H","DateFormat=P","Fill=—","Direction=H","UseDPDF=Y")</f>
        <v>#NAME?</v>
      </c>
      <c r="CW540" s="4" t="e">
        <f ca="1">_xll.BDH($C$528,"ACCT_RCV_TURN","FQ2 2016","FQ2 2016","Currency=INR","Period=FQ","BEST_FPERIOD_OVERRIDE=FQ","FILING_STATUS=OR","EQY_CONSOLIDATED=Y","FA_ADJUSTED=GAAP","Sort=A","Dates=H","DateFormat=P","Fill=—","Direction=H","UseDPDF=Y")</f>
        <v>#NAME?</v>
      </c>
      <c r="CX540" s="2" t="e">
        <f ca="1">_xll.BDH($C$528,"ACCT_RCV_DAYS","FQ2 2016","FQ2 2016","Currency=INR","Period=FQ","BEST_FPERIOD_OVERRIDE=FQ","FILING_STATUS=OR","EQY_CONSOLIDATED=Y","FA_ADJUSTED=GAAP","Sort=A","Dates=H","DateFormat=P","Fill=—","Direction=H","UseDPDF=Y")</f>
        <v>#NAME?</v>
      </c>
      <c r="CY540" s="4" t="e">
        <f ca="1">_xll.BDH($C$528,"INVENT_TURN","FQ2 2016","FQ2 2016","Currency=INR","Period=FQ","BEST_FPERIOD_OVERRIDE=FQ","FILING_STATUS=OR","EQY_CONSOLIDATED=Y","FA_ADJUSTED=GAAP","Sort=A","Dates=H","DateFormat=P","Fill=—","Direction=H","UseDPDF=Y")</f>
        <v>#NAME?</v>
      </c>
      <c r="CZ540" s="2" t="e">
        <f ca="1">_xll.BDH($C$528,"INVENT_DAYS","FQ2 2016","FQ2 2016","Currency=INR","Period=FQ","BEST_FPERIOD_OVERRIDE=FQ","FILING_STATUS=OR","EQY_CONSOLIDATED=Y","FA_ADJUSTED=GAAP","Sort=A","Dates=H","DateFormat=P","Fill=—","Direction=H","UseDPDF=Y")</f>
        <v>#NAME?</v>
      </c>
      <c r="DA540" s="4" t="e">
        <f ca="1">_xll.BDH($C$528,"ACCOUNTS_PAYABLE_TURNOVER","FQ2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40" s="2" t="e">
        <f ca="1">_xll.BDH($C$528,"ACCOUNTS_PAYABLE_TURNOVER_DAYS","FQ2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40" s="4" t="e">
        <f ca="1">_xll.BDH($C$528,"CASH_CONVERSION_CYCLE","FQ2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40" s="4" t="e">
        <f ca="1">_xll.BDH($C$528,"INV_TO_CASH_DAYS","FQ2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40" s="5" t="e">
        <f ca="1">_xll.BDH($C$528,"BS_INVENTORIES","FQ2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40" s="3" t="e">
        <f ca="1">_xll.BDH($C$528,"INVTRY_RAW_MATERIALS","FQ2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40" s="3" t="e">
        <f ca="1">_xll.BDH($C$528,"INVTRY_IN_PROGRESS","FQ2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40" s="3" t="e">
        <f ca="1">_xll.BDH($C$528,"INVTRY_FINISHED_GOODS","FQ2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40" s="3" t="e">
        <f ca="1">_xll.BDH($C$528,"BS_OTHER_INV","FQ2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41" spans="1:113" x14ac:dyDescent="0.3">
      <c r="A541" s="6"/>
      <c r="B541" s="6"/>
      <c r="C541" s="6"/>
      <c r="D541" s="6"/>
      <c r="E541" t="s">
        <v>80</v>
      </c>
      <c r="F541" t="e">
        <f ca="1">_xll.BDH($C$528,"RETURN_COM_EQY","FQ3 2016","FQ3 2016","Currency=INR","Period=FQ","BEST_FPERIOD_OVERRIDE=FQ","FILING_STATUS=OR","EQY_CONSOLIDATED=Y","FA_ADJUSTED=GAAP","Sort=A","Dates=H","DateFormat=P","Fill=—","Direction=H","UseDPDF=Y")</f>
        <v>#NAME?</v>
      </c>
      <c r="G541" t="e">
        <f ca="1">_xll.BDH($C$528,"RETURN_ON_ASSET","FQ3 2016","FQ3 2016","Currency=INR","Period=FQ","BEST_FPERIOD_OVERRIDE=FQ","FILING_STATUS=OR","EQY_CONSOLIDATED=Y","FA_ADJUSTED=GAAP","Sort=A","Dates=H","DateFormat=P","Fill=—","Direction=H","UseDPDF=Y")</f>
        <v>#NAME?</v>
      </c>
      <c r="H541" t="e">
        <f ca="1">_xll.BDH($C$528,"RETURN_ON_CAP","FQ3 2016","FQ3 2016","Currency=INR","Period=FQ","BEST_FPERIOD_OVERRIDE=FQ","FILING_STATUS=OR","EQY_CONSOLIDATED=Y","FA_ADJUSTED=GAAP","Sort=A","Dates=H","DateFormat=P","Fill=—","Direction=H","UseDPDF=Y")</f>
        <v>#NAME?</v>
      </c>
      <c r="I541" t="e">
        <f ca="1">_xll.BDH($C$528,"RETURN_ON_INV_CAPITAL","FQ3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41" t="e">
        <f ca="1">_xll.BDH($C$528,"EBITDA_TO_REVENUE","FQ3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41" t="e">
        <f ca="1">_xll.BDH($C$528,"OPER_MARGIN","FQ3 2016","FQ3 2016","Currency=INR","Period=FQ","BEST_FPERIOD_OVERRIDE=FQ","FILING_STATUS=OR","EQY_CONSOLIDATED=Y","FA_ADJUSTED=GAAP","Sort=A","Dates=H","DateFormat=P","Fill=—","Direction=H","UseDPDF=Y")</f>
        <v>#NAME?</v>
      </c>
      <c r="L541" t="e">
        <f ca="1">_xll.BDH($C$528,"INCREMENTAL_OPERATING_MARGIN","FQ3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41" t="e">
        <f ca="1">_xll.BDH($C$528,"PRETAX_INC_TO_NET_SALES","FQ3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41" t="e">
        <f ca="1">_xll.BDH($C$528,"INC_BEF_XO_ITEMS_TO_NET_SALES","FQ3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41" t="e">
        <f ca="1">_xll.BDH($C$528,"PROF_MARGIN","FQ3 2016","FQ3 2016","Currency=INR","Period=FQ","BEST_FPERIOD_OVERRIDE=FQ","FILING_STATUS=OR","EQY_CONSOLIDATED=Y","FA_ADJUSTED=GAAP","Sort=A","Dates=H","DateFormat=P","Fill=—","Direction=H","UseDPDF=Y")</f>
        <v>#NAME?</v>
      </c>
      <c r="P541" t="e">
        <f ca="1">_xll.BDH($C$528,"NET_INCOME_TO_COMMON_MARGIN","FQ3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41" t="e">
        <f ca="1">_xll.BDH($C$528,"EFF_TAX_RATE","FQ3 2016","FQ3 2016","Currency=INR","Period=FQ","BEST_FPERIOD_OVERRIDE=FQ","FILING_STATUS=OR","EQY_CONSOLIDATED=Y","FA_ADJUSTED=GAAP","Sort=A","Dates=H","DateFormat=P","Fill=—","Direction=H","UseDPDF=Y")</f>
        <v>#NAME?</v>
      </c>
      <c r="R541" t="e">
        <f ca="1">_xll.BDH($C$528,"DVD_PAYOUT_RATIO","FQ3 2016","FQ3 2016","Currency=INR","Period=FQ","BEST_FPERIOD_OVERRIDE=FQ","FILING_STATUS=OR","EQY_CONSOLIDATED=Y","FA_ADJUSTED=GAAP","Sort=A","Dates=H","DateFormat=P","Fill=—","Direction=H","UseDPDF=Y")</f>
        <v>#NAME?</v>
      </c>
      <c r="S541" t="e">
        <f ca="1">_xll.BDH($C$528,"SUSTAIN_GROWTH_RT","FQ3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41" s="2" t="e">
        <f ca="1">_xll.BDH($C$528,"SALES_GROWTH","FQ3 2016","FQ3 2016","Currency=INR","Period=FQ","BEST_FPERIOD_OVERRIDE=FQ","FILING_STATUS=OR","EQY_CONSOLIDATED=Y","FA_ADJUSTED=GAAP","Sort=A","Dates=H","DateFormat=P","Fill=—","Direction=H","UseDPDF=Y")</f>
        <v>#NAME?</v>
      </c>
      <c r="U541" s="2" t="e">
        <f ca="1">_xll.BDH($C$528,"EBITDA_GROWTH","FQ3 2016","FQ3 2016","Currency=INR","Period=FQ","BEST_FPERIOD_OVERRIDE=FQ","FILING_STATUS=OR","EQY_CONSOLIDATED=Y","FA_ADJUSTED=GAAP","Sort=A","Dates=H","DateFormat=P","Fill=—","Direction=H","UseDPDF=Y")</f>
        <v>#NAME?</v>
      </c>
      <c r="V541" s="2" t="e">
        <f ca="1">_xll.BDH($C$528,"OPER_INC_GROWTH","FQ3 2016","FQ3 2016","Currency=INR","Period=FQ","BEST_FPERIOD_OVERRIDE=FQ","FILING_STATUS=OR","EQY_CONSOLIDATED=Y","FA_ADJUSTED=GAAP","Sort=A","Dates=H","DateFormat=P","Fill=—","Direction=H","UseDPDF=Y")</f>
        <v>#NAME?</v>
      </c>
      <c r="W541" s="2" t="e">
        <f ca="1">_xll.BDH($C$528,"EARN_FOR_COM_GROWTH","FQ3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41" s="2" t="e">
        <f ca="1">_xll.BDH($C$528,"DILUTED_EPS_AFT_XO_ITEMS_GROWTH","FQ3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41" s="2" t="e">
        <f ca="1">_xll.BDH($C$528,"DIVIDEND_PER_SHARE_1_YEAR_GROWTH","FQ3 2016","FQ3 2016","Currency=INR","Period=FQ","BEST_FPERIOD_OVERRIDE=FQ","FILING_STATUS=OR","EQY_CONSOLIDATED=Y","Sort=A","Dates=H","DateFormat=P","Fill=—","Direction=H","UseDPDF=Y")</f>
        <v>#NAME?</v>
      </c>
      <c r="Z541" s="2" t="e">
        <f ca="1">_xll.BDH($C$528,"ACCOUNTS_RECEIVABLE_GROWTH","FQ3 2016","FQ3 2016","Currency=INR","Period=FQ","BEST_FPERIOD_OVERRIDE=FQ","FILING_STATUS=OR","EQY_CONSOLIDATED=Y","Sort=A","Dates=H","DateFormat=P","Fill=—","Direction=H","UseDPDF=Y")</f>
        <v>#NAME?</v>
      </c>
      <c r="AA541" s="2" t="e">
        <f ca="1">_xll.BDH($C$528,"INVENTORY_GROWTH","FQ3 2016","FQ3 2016","Currency=INR","Period=FQ","BEST_FPERIOD_OVERRIDE=FQ","FILING_STATUS=OR","EQY_CONSOLIDATED=Y","Sort=A","Dates=H","DateFormat=P","Fill=—","Direction=H","UseDPDF=Y")</f>
        <v>#NAME?</v>
      </c>
      <c r="AB541" s="2" t="e">
        <f ca="1">_xll.BDH($C$528,"NET_FIXED_ASSETS_1_YEAR_GROWTH","FQ3 2016","FQ3 2016","Currency=INR","Period=FQ","BEST_FPERIOD_OVERRIDE=FQ","FILING_STATUS=OR","EQY_CONSOLIDATED=Y","Sort=A","Dates=H","DateFormat=P","Fill=—","Direction=H","UseDPDF=Y")</f>
        <v>#NAME?</v>
      </c>
      <c r="AC541" s="2" t="e">
        <f ca="1">_xll.BDH($C$528,"ASSET_GROWTH","FQ3 2016","FQ3 2016","Currency=INR","Period=FQ","BEST_FPERIOD_OVERRIDE=FQ","FILING_STATUS=OR","EQY_CONSOLIDATED=Y","Sort=A","Dates=H","DateFormat=P","Fill=—","Direction=H","UseDPDF=Y")</f>
        <v>#NAME?</v>
      </c>
      <c r="AD541" s="2" t="e">
        <f ca="1">_xll.BDH($C$528,"MODIFIED_WORK_CAP_GROWTH","FQ3 2016","FQ3 2016","Currency=INR","Period=FQ","BEST_FPERIOD_OVERRIDE=FQ","FILING_STATUS=OR","EQY_CONSOLIDATED=Y","Sort=A","Dates=H","DateFormat=P","Fill=—","Direction=H","UseDPDF=Y")</f>
        <v>#NAME?</v>
      </c>
      <c r="AE541" s="2" t="e">
        <f ca="1">_xll.BDH($C$528,"WORK_CAP_GROWTH","FQ3 2016","FQ3 2016","Currency=INR","Period=FQ","BEST_FPERIOD_OVERRIDE=FQ","FILING_STATUS=OR","EQY_CONSOLIDATED=Y","Sort=A","Dates=H","DateFormat=P","Fill=—","Direction=H","UseDPDF=Y")</f>
        <v>#NAME?</v>
      </c>
      <c r="AF541" s="2" t="e">
        <f ca="1">_xll.BDH($C$528,"ACCOUNTS_PAYABLE_GROWTH_1YR","FQ3 2016","FQ3 2016","Currency=INR","Period=FQ","BEST_FPERIOD_OVERRIDE=FQ","FILING_STATUS=OR","EQY_CONSOLIDATED=Y","Sort=A","Dates=H","DateFormat=P","Fill=—","Direction=H","UseDPDF=Y")</f>
        <v>#NAME?</v>
      </c>
      <c r="AG541" s="2" t="e">
        <f ca="1">_xll.BDH($C$528,"SHORT_TERM_DEBT_1_YEAR_GROWTH","FQ3 2016","FQ3 2016","Currency=INR","Period=FQ","BEST_FPERIOD_OVERRIDE=FQ","FILING_STATUS=OR","EQY_CONSOLIDATED=Y","Sort=A","Dates=H","DateFormat=P","Fill=—","Direction=H","UseDPDF=Y")</f>
        <v>#NAME?</v>
      </c>
      <c r="AH541" s="2" t="e">
        <f ca="1">_xll.BDH($C$528,"TOTAL_DEBT_1_YEAR_GROWTH","FQ3 2016","FQ3 2016","Currency=INR","Period=FQ","BEST_FPERIOD_OVERRIDE=FQ","FILING_STATUS=OR","EQY_CONSOLIDATED=Y","Sort=A","Dates=H","DateFormat=P","Fill=—","Direction=H","UseDPDF=Y")</f>
        <v>#NAME?</v>
      </c>
      <c r="AI541" s="2" t="e">
        <f ca="1">_xll.BDH($C$528,"TOTAL_EQUITY_1_YEAR_GROWTH","FQ3 2016","FQ3 2016","Currency=INR","Period=FQ","BEST_FPERIOD_OVERRIDE=FQ","FILING_STATUS=OR","EQY_CONSOLIDATED=Y","Sort=A","Dates=H","DateFormat=P","Fill=—","Direction=H","UseDPDF=Y")</f>
        <v>#NAME?</v>
      </c>
      <c r="AJ541" s="2" t="e">
        <f ca="1">_xll.BDH($C$528,"GROWTH_IN_CAP","FQ3 2016","FQ3 2016","Currency=INR","Period=FQ","BEST_FPERIOD_OVERRIDE=FQ","FILING_STATUS=OR","EQY_CONSOLIDATED=Y","Sort=A","Dates=H","DateFormat=P","Fill=—","Direction=H","UseDPDF=Y")</f>
        <v>#NAME?</v>
      </c>
      <c r="AK541" s="2" t="e">
        <f ca="1">_xll.BDH($C$528,"BVPS_GROWTH","FQ3 2016","FQ3 2016","Currency=INR","Period=FQ","BEST_FPERIOD_OVERRIDE=FQ","FILING_STATUS=OR","EQY_CONSOLIDATED=Y","Sort=A","Dates=H","DateFormat=P","Fill=—","Direction=H","UseDPDF=Y")</f>
        <v>#NAME?</v>
      </c>
      <c r="AL541" s="2" t="e">
        <f ca="1">_xll.BDH($C$528,"CASH_FLOW_GROWTH","FQ3 2016","FQ3 2016","Currency=INR","Period=FQ","BEST_FPERIOD_OVERRIDE=FQ","FILING_STATUS=OR","EQY_CONSOLIDATED=Y","Sort=A","Dates=H","DateFormat=P","Fill=—","Direction=H","UseDPDF=Y")</f>
        <v>#NAME?</v>
      </c>
      <c r="AM541" s="2" t="e">
        <f ca="1">_xll.BDH($C$528,"GEO_GROW_NET_SALES","FQ3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41" s="2" t="e">
        <f ca="1">_xll.BDH($C$528,"GEO_GROW_EBITDA","FQ3 2016","FQ3 2016","Currency=INR","Period=FQ","BEST_FPERIOD_OVERRIDE=FQ","FILING_STATUS=OR","EQY_CONSOLIDATED=Y","FA_ADJUSTED=GAAP","Sort=A","Dates=H","DateFormat=P","Fill=—","Direction=H","UseDPDF=Y")</f>
        <v>#NAME?</v>
      </c>
      <c r="AO541" s="2" t="e">
        <f ca="1">_xll.BDH($C$528,"GEO_GROW_OPER_INC","FQ3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41" s="2" t="e">
        <f ca="1">_xll.BDH($C$528,"NET_INCOME_TO_COMMON_5_YR_GROWTH","FQ3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41" s="2" t="e">
        <f ca="1">_xll.BDH($C$528,"5Y_GEO_GROWTH_DILUTED_EPS","FQ3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41" s="2" t="e">
        <f ca="1">_xll.BDH($C$528,"GEO_GROW_DVD_PER_SH","FQ3 2016","FQ3 2016","Currency=INR","Period=FQ","BEST_FPERIOD_OVERRIDE=FQ","FILING_STATUS=OR","EQY_CONSOLIDATED=Y","Sort=A","Dates=H","DateFormat=P","Fill=—","Direction=H","UseDPDF=Y")</f>
        <v>#NAME?</v>
      </c>
      <c r="AS541" s="2" t="e">
        <f ca="1">_xll.BDH($C$528,"ACCOUNTS_RECEIVABLE_5_YR_GROWTH","FQ3 2016","FQ3 2016","Currency=INR","Period=FQ","BEST_FPERIOD_OVERRIDE=FQ","FILING_STATUS=OR","EQY_CONSOLIDATED=Y","Sort=A","Dates=H","DateFormat=P","Fill=—","Direction=H","UseDPDF=Y")</f>
        <v>#NAME?</v>
      </c>
      <c r="AT541" s="2" t="e">
        <f ca="1">_xll.BDH($C$528,"INVENTORY_5_YEAR_GROWTH","FQ3 2016","FQ3 2016","Currency=INR","Period=FQ","BEST_FPERIOD_OVERRIDE=FQ","FILING_STATUS=OR","EQY_CONSOLIDATED=Y","Sort=A","Dates=H","DateFormat=P","Fill=—","Direction=H","UseDPDF=Y")</f>
        <v>#NAME?</v>
      </c>
      <c r="AU541" s="2" t="e">
        <f ca="1">_xll.BDH($C$528,"NET_FIXED_ASSETS_5_YEAR_GROWTH","FQ3 2016","FQ3 2016","Currency=INR","Period=FQ","BEST_FPERIOD_OVERRIDE=FQ","FILING_STATUS=OR","EQY_CONSOLIDATED=Y","Sort=A","Dates=H","DateFormat=P","Fill=—","Direction=H","UseDPDF=Y")</f>
        <v>#NAME?</v>
      </c>
      <c r="AV541" s="2" t="e">
        <f ca="1">_xll.BDH($C$528,"GEO_GROW_TOT_ASSET","FQ3 2016","FQ3 2016","Currency=INR","Period=FQ","BEST_FPERIOD_OVERRIDE=FQ","FILING_STATUS=OR","EQY_CONSOLIDATED=Y","Sort=A","Dates=H","DateFormat=P","Fill=—","Direction=H","UseDPDF=Y")</f>
        <v>#NAME?</v>
      </c>
      <c r="AW541" s="2" t="e">
        <f ca="1">_xll.BDH($C$528,"MODIFIED_WORKING_CPTL_5YR_GRWTH","FQ3 2016","FQ3 2016","Currency=INR","Period=FQ","BEST_FPERIOD_OVERRIDE=FQ","FILING_STATUS=OR","EQY_CONSOLIDATED=Y","Sort=A","Dates=H","DateFormat=P","Fill=—","Direction=H","UseDPDF=Y")</f>
        <v>#NAME?</v>
      </c>
      <c r="AX541" s="2" t="e">
        <f ca="1">_xll.BDH($C$528,"WORKING_CAPITAL_5_YEAR_GROWTH","FQ3 2016","FQ3 2016","Currency=INR","Period=FQ","BEST_FPERIOD_OVERRIDE=FQ","FILING_STATUS=OR","EQY_CONSOLIDATED=Y","Sort=A","Dates=H","DateFormat=P","Fill=—","Direction=H","UseDPDF=Y")</f>
        <v>#NAME?</v>
      </c>
      <c r="AY541" s="2" t="e">
        <f ca="1">_xll.BDH($C$528,"ACCOUNTS_PAYABLE_5_YEAR_GROWTH","FQ3 2016","FQ3 2016","Currency=INR","Period=FQ","BEST_FPERIOD_OVERRIDE=FQ","FILING_STATUS=OR","EQY_CONSOLIDATED=Y","Sort=A","Dates=H","DateFormat=P","Fill=—","Direction=H","UseDPDF=Y")</f>
        <v>#NAME?</v>
      </c>
      <c r="AZ541" s="2" t="e">
        <f ca="1">_xll.BDH($C$528,"SHORT_TERM_DEBT_5_YEAR_GROWTH","FQ3 2016","FQ3 2016","Currency=INR","Period=FQ","BEST_FPERIOD_OVERRIDE=FQ","FILING_STATUS=OR","EQY_CONSOLIDATED=Y","Sort=A","Dates=H","DateFormat=P","Fill=—","Direction=H","UseDPDF=Y")</f>
        <v>#NAME?</v>
      </c>
      <c r="BA541" s="2" t="e">
        <f ca="1">_xll.BDH($C$528,"TOTAL_DEBT_5_YEAR_GROWTH","FQ3 2016","FQ3 2016","Currency=INR","Period=FQ","BEST_FPERIOD_OVERRIDE=FQ","FILING_STATUS=OR","EQY_CONSOLIDATED=Y","Sort=A","Dates=H","DateFormat=P","Fill=—","Direction=H","UseDPDF=Y")</f>
        <v>#NAME?</v>
      </c>
      <c r="BB541" s="2" t="e">
        <f ca="1">_xll.BDH($C$528,"GEO_GROW_TOT_SHRHLDR_EQY","FQ3 2016","FQ3 2016","Currency=INR","Period=FQ","BEST_FPERIOD_OVERRIDE=FQ","FILING_STATUS=OR","EQY_CONSOLIDATED=Y","Sort=A","Dates=H","DateFormat=P","Fill=—","Direction=H","UseDPDF=Y")</f>
        <v>#NAME?</v>
      </c>
      <c r="BC541" s="2" t="e">
        <f ca="1">_xll.BDH($C$528,"TOTAL_CAPITAL_5_YEAR_GROWTH","FQ3 2016","FQ3 2016","Currency=INR","Period=FQ","BEST_FPERIOD_OVERRIDE=FQ","FILING_STATUS=OR","EQY_CONSOLIDATED=Y","Sort=A","Dates=H","DateFormat=P","Fill=—","Direction=H","UseDPDF=Y")</f>
        <v>#NAME?</v>
      </c>
      <c r="BD541" s="2" t="e">
        <f ca="1">_xll.BDH($C$528,"GEO_GROW_BOOK_VAL","FQ3 2016","FQ3 2016","Currency=INR","Period=FQ","BEST_FPERIOD_OVERRIDE=FQ","FILING_STATUS=OR","EQY_CONSOLIDATED=Y","Sort=A","Dates=H","DateFormat=P","Fill=—","Direction=H","UseDPDF=Y")</f>
        <v>#NAME?</v>
      </c>
      <c r="BE541" s="2" t="e">
        <f ca="1">_xll.BDH($C$528,"GEO_GROW_CASH_OPER_ACT","FQ3 2016","FQ3 2016","Currency=INR","Period=FQ","BEST_FPERIOD_OVERRIDE=FQ","FILING_STATUS=OR","EQY_CONSOLIDATED=Y","Sort=A","Dates=H","DateFormat=P","Fill=—","Direction=H","UseDPDF=Y")</f>
        <v>#NAME?</v>
      </c>
      <c r="BF541" s="2" t="e">
        <f ca="1">_xll.BDH($C$528,"REVENUE_SEQUENTIAL_GROWTH","FQ3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41" s="2" t="e">
        <f ca="1">_xll.BDH($C$528,"EBITDA_SEQUENTIAL_GROWTH","FQ3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41" s="2" t="e">
        <f ca="1">_xll.BDH($C$528,"OPERATING_INCOME_SEQ_GROWTH","FQ3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41" s="2" t="e">
        <f ca="1">_xll.BDH($C$528,"NET_INCOME_TO_COMMON_SEQ_GROWTH","FQ3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41" s="2" t="e">
        <f ca="1">_xll.BDH($C$528,"EPS_DILUTED_SEQUENTIAL_GROWTH","FQ3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41" s="2" t="e">
        <f ca="1">_xll.BDH($C$528,"DPS_SEQUENTIAL_GROWTH","FQ3 2016","FQ3 2016","Currency=INR","Period=FQ","BEST_FPERIOD_OVERRIDE=FQ","FILING_STATUS=OR","EQY_CONSOLIDATED=Y","Sort=A","Dates=H","DateFormat=P","Fill=—","Direction=H","UseDPDF=Y")</f>
        <v>#NAME?</v>
      </c>
      <c r="BL541" s="2" t="e">
        <f ca="1">_xll.BDH($C$528,"ACCOUNTS_RECEIVABLE_SEQ_GROWTH","FQ3 2016","FQ3 2016","Currency=INR","Period=FQ","BEST_FPERIOD_OVERRIDE=FQ","FILING_STATUS=OR","EQY_CONSOLIDATED=Y","Sort=A","Dates=H","DateFormat=P","Fill=—","Direction=H","UseDPDF=Y")</f>
        <v>#NAME?</v>
      </c>
      <c r="BM541" s="2" t="e">
        <f ca="1">_xll.BDH($C$528,"INVENTORY_SEQUENTIAL_GROWTH","FQ3 2016","FQ3 2016","Currency=INR","Period=FQ","BEST_FPERIOD_OVERRIDE=FQ","FILING_STATUS=OR","EQY_CONSOLIDATED=Y","Sort=A","Dates=H","DateFormat=P","Fill=—","Direction=H","UseDPDF=Y")</f>
        <v>#NAME?</v>
      </c>
      <c r="BN541" s="2" t="e">
        <f ca="1">_xll.BDH($C$528,"FIXED_ASSETS_SEQUENTIAL_GROWTH","FQ3 2016","FQ3 2016","Currency=INR","Period=FQ","BEST_FPERIOD_OVERRIDE=FQ","FILING_STATUS=OR","EQY_CONSOLIDATED=Y","Sort=A","Dates=H","DateFormat=P","Fill=—","Direction=H","UseDPDF=Y")</f>
        <v>#NAME?</v>
      </c>
      <c r="BO541" s="2" t="e">
        <f ca="1">_xll.BDH($C$528,"TOTAL_ASSETS_SEQUENTIAL_GROWTH","FQ3 2016","FQ3 2016","Currency=INR","Period=FQ","BEST_FPERIOD_OVERRIDE=FQ","FILING_STATUS=OR","EQY_CONSOLIDATED=Y","Sort=A","Dates=H","DateFormat=P","Fill=—","Direction=H","UseDPDF=Y")</f>
        <v>#NAME?</v>
      </c>
      <c r="BP541" s="2" t="e">
        <f ca="1">_xll.BDH($C$528,"MODIFIED_WORKING_CPTL_SEQ_GRWTH","FQ3 2016","FQ3 2016","Currency=INR","Period=FQ","BEST_FPERIOD_OVERRIDE=FQ","FILING_STATUS=OR","EQY_CONSOLIDATED=Y","Sort=A","Dates=H","DateFormat=P","Fill=—","Direction=H","UseDPDF=Y")</f>
        <v>#NAME?</v>
      </c>
      <c r="BQ541" s="2" t="e">
        <f ca="1">_xll.BDH($C$528,"WORKING_CAPITAL_SEQ_GROWTH","FQ3 2016","FQ3 2016","Currency=INR","Period=FQ","BEST_FPERIOD_OVERRIDE=FQ","FILING_STATUS=OR","EQY_CONSOLIDATED=Y","Sort=A","Dates=H","DateFormat=P","Fill=—","Direction=H","UseDPDF=Y")</f>
        <v>#NAME?</v>
      </c>
      <c r="BR541" s="2" t="e">
        <f ca="1">_xll.BDH($C$528,"ACCOUNTS_PAYABLE_SEQ_GROWTH","FQ3 2016","FQ3 2016","Currency=INR","Period=FQ","BEST_FPERIOD_OVERRIDE=FQ","FILING_STATUS=OR","EQY_CONSOLIDATED=Y","Sort=A","Dates=H","DateFormat=P","Fill=—","Direction=H","UseDPDF=Y")</f>
        <v>#NAME?</v>
      </c>
      <c r="BS541" s="2" t="e">
        <f ca="1">_xll.BDH($C$528,"ST_DEBT_SEQUENTIAL_GROWTH","FQ3 2016","FQ3 2016","Currency=INR","Period=FQ","BEST_FPERIOD_OVERRIDE=FQ","FILING_STATUS=OR","EQY_CONSOLIDATED=Y","Sort=A","Dates=H","DateFormat=P","Fill=—","Direction=H","UseDPDF=Y")</f>
        <v>#NAME?</v>
      </c>
      <c r="BT541" s="2" t="e">
        <f ca="1">_xll.BDH($C$528,"TOTAL_DEBT_SEQUENTIAL_GROWTH","FQ3 2016","FQ3 2016","Currency=INR","Period=FQ","BEST_FPERIOD_OVERRIDE=FQ","FILING_STATUS=OR","EQY_CONSOLIDATED=Y","Sort=A","Dates=H","DateFormat=P","Fill=—","Direction=H","UseDPDF=Y")</f>
        <v>#NAME?</v>
      </c>
      <c r="BU541" s="2" t="e">
        <f ca="1">_xll.BDH($C$528,"TOTAL_EQUITY_SEQUENTIAL_GROWTH","FQ3 2016","FQ3 2016","Currency=INR","Period=FQ","BEST_FPERIOD_OVERRIDE=FQ","FILING_STATUS=OR","EQY_CONSOLIDATED=Y","Sort=A","Dates=H","DateFormat=P","Fill=—","Direction=H","UseDPDF=Y")</f>
        <v>#NAME?</v>
      </c>
      <c r="BV541" s="2" t="e">
        <f ca="1">_xll.BDH($C$528,"TOTAL_CAPITAL_SEQUENTIAL_GROWTH","FQ3 2016","FQ3 2016","Currency=INR","Period=FQ","BEST_FPERIOD_OVERRIDE=FQ","FILING_STATUS=OR","EQY_CONSOLIDATED=Y","Sort=A","Dates=H","DateFormat=P","Fill=—","Direction=H","UseDPDF=Y")</f>
        <v>#NAME?</v>
      </c>
      <c r="BW541" s="2" t="e">
        <f ca="1">_xll.BDH($C$528,"BPS_SEQUENTIAL_GROWTH","FQ3 2016","FQ3 2016","Currency=INR","Period=FQ","BEST_FPERIOD_OVERRIDE=FQ","FILING_STATUS=OR","EQY_CONSOLIDATED=Y","Sort=A","Dates=H","DateFormat=P","Fill=—","Direction=H","UseDPDF=Y")</f>
        <v>#NAME?</v>
      </c>
      <c r="BX541" s="2" t="e">
        <f ca="1">_xll.BDH($C$528,"CFO_SEQUENTIAL_GROWTH","FQ3 2016","FQ3 2016","Currency=INR","Period=FQ","BEST_FPERIOD_OVERRIDE=FQ","FILING_STATUS=OR","EQY_CONSOLIDATED=Y","Sort=A","Dates=H","DateFormat=P","Fill=—","Direction=H","UseDPDF=Y")</f>
        <v>#NAME?</v>
      </c>
      <c r="BY541" s="3" t="e">
        <f ca="1">_xll.BDH($C$528,"SHORT_AND_LONG_TERM_DEBT","FQ3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41" s="3" t="e">
        <f ca="1">_xll.BDH($C$528,"BS_ST_BORROW","FQ3 2016","FQ3 2016","Currency=INR","Period=FQ","BEST_FPERIOD_OVERRIDE=FQ","FILING_STATUS=OR","EQY_CONSOLIDATED=Y","SCALING_FORMAT=MLN","Sort=A","Dates=H","DateFormat=P","Fill=—","Direction=H","UseDPDF=Y")</f>
        <v>#NAME?</v>
      </c>
      <c r="CA541" s="3" t="e">
        <f ca="1">_xll.BDH($C$528,"BS_LT_BORROW","FQ3 2016","FQ3 2016","Currency=INR","Period=FQ","BEST_FPERIOD_OVERRIDE=FQ","FILING_STATUS=OR","EQY_CONSOLIDATED=Y","SCALING_FORMAT=MLN","Sort=A","Dates=H","DateFormat=P","Fill=—","Direction=H","UseDPDF=Y")</f>
        <v>#NAME?</v>
      </c>
      <c r="CB541" s="2" t="e">
        <f ca="1">_xll.BDH($C$528,"TOT_DEBT_TO_EBITDA","FQ3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41" s="2" t="e">
        <f ca="1">_xll.BDH($C$528,"NET_DEBT_TO_EBITDA","FQ3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41" s="2" t="e">
        <f ca="1">_xll.BDH($C$528,"TOTAL_DEBT_TO_EBIT","FQ3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41" s="2" t="e">
        <f ca="1">_xll.BDH($C$528,"NET_DEBT_TO_EBIT","FQ3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41" s="2" t="e">
        <f ca="1">_xll.BDH($C$528,"EBITDA_TO_INTEREST_EXPN","FQ3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41" s="2" t="e">
        <f ca="1">_xll.BDH($C$528,"COM_EQY_TO_TOT_ASSET","FQ3 2016","FQ3 2016","Currency=INR","Period=FQ","BEST_FPERIOD_OVERRIDE=FQ","FILING_STATUS=OR","EQY_CONSOLIDATED=Y","Sort=A","Dates=H","DateFormat=P","Fill=—","Direction=H","UseDPDF=Y")</f>
        <v>#NAME?</v>
      </c>
      <c r="CH541" s="2" t="e">
        <f ca="1">_xll.BDH($C$528,"LT_DEBT_TO_TOT_EQY","FQ3 2016","FQ3 2016","Currency=INR","Period=FQ","BEST_FPERIOD_OVERRIDE=FQ","FILING_STATUS=OR","EQY_CONSOLIDATED=Y","Sort=A","Dates=H","DateFormat=P","Fill=—","Direction=H","UseDPDF=Y")</f>
        <v>#NAME?</v>
      </c>
      <c r="CI541" s="2" t="e">
        <f ca="1">_xll.BDH($C$528,"LT_DEBT_TO_TOT_CAP","FQ3 2016","FQ3 2016","Currency=INR","Period=FQ","BEST_FPERIOD_OVERRIDE=FQ","FILING_STATUS=OR","EQY_CONSOLIDATED=Y","Sort=A","Dates=H","DateFormat=P","Fill=—","Direction=H","UseDPDF=Y")</f>
        <v>#NAME?</v>
      </c>
      <c r="CJ541" s="2" t="e">
        <f ca="1">_xll.BDH($C$528,"LT_DEBT_TO_TOT_ASSET","FQ3 2016","FQ3 2016","Currency=INR","Period=FQ","BEST_FPERIOD_OVERRIDE=FQ","FILING_STATUS=OR","EQY_CONSOLIDATED=Y","Sort=A","Dates=H","DateFormat=P","Fill=—","Direction=H","UseDPDF=Y")</f>
        <v>#NAME?</v>
      </c>
      <c r="CK541" s="2" t="e">
        <f ca="1">_xll.BDH($C$528,"TOT_DEBT_TO_TOT_EQY","FQ3 2016","FQ3 2016","Currency=INR","Period=FQ","BEST_FPERIOD_OVERRIDE=FQ","FILING_STATUS=OR","EQY_CONSOLIDATED=Y","Sort=A","Dates=H","DateFormat=P","Fill=—","Direction=H","UseDPDF=Y")</f>
        <v>#NAME?</v>
      </c>
      <c r="CL541" s="2" t="e">
        <f ca="1">_xll.BDH($C$528,"TOT_DEBT_TO_TOT_CAP","FQ3 2016","FQ3 2016","Currency=INR","Period=FQ","BEST_FPERIOD_OVERRIDE=FQ","FILING_STATUS=OR","EQY_CONSOLIDATED=Y","Sort=A","Dates=H","DateFormat=P","Fill=—","Direction=H","UseDPDF=Y")</f>
        <v>#NAME?</v>
      </c>
      <c r="CM541" s="2" t="e">
        <f ca="1">_xll.BDH($C$528,"TOT_DEBT_TO_TOT_ASSET","FQ3 2016","FQ3 2016","Currency=INR","Period=FQ","BEST_FPERIOD_OVERRIDE=FQ","FILING_STATUS=OR","EQY_CONSOLIDATED=Y","Sort=A","Dates=H","DateFormat=P","Fill=—","Direction=H","UseDPDF=Y")</f>
        <v>#NAME?</v>
      </c>
      <c r="CN541" s="2" t="e">
        <f ca="1">_xll.BDH($C$528,"NET_DEBT_TO_SHRHLDR_EQTY","FQ3 2016","FQ3 2016","Currency=INR","Period=FQ","BEST_FPERIOD_OVERRIDE=FQ","FILING_STATUS=OR","EQY_CONSOLIDATED=Y","Sort=A","Dates=H","DateFormat=P","Fill=—","Direction=H","UseDPDF=Y")</f>
        <v>#NAME?</v>
      </c>
      <c r="CO541" s="2" t="e">
        <f ca="1">_xll.BDH($C$528,"NET_DEBT_%_CAPITAL","FQ3 2016","FQ3 2016","Currency=INR","Period=FQ","BEST_FPERIOD_OVERRIDE=FQ","FILING_STATUS=OR","EQY_CONSOLIDATED=Y","Sort=A","Dates=H","DateFormat=P","Fill=—","Direction=H","UseDPDF=Y")</f>
        <v>#NAME?</v>
      </c>
      <c r="CP541" s="3" t="e">
        <f ca="1">_xll.BDH($C$528,"EBITDA","FQ3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41" s="3" t="e">
        <f ca="1">_xll.BDH($C$528,"EBITDA_AFTER_CAPEX","FQ3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41" s="3" t="e">
        <f ca="1">_xll.BDH($C$528,"IS_OPER_INC","FQ3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41" s="2" t="e">
        <f ca="1">_xll.BDH($C$528,"CASH_RATIO","FQ3 2016","FQ3 2016","Currency=INR","Period=FQ","BEST_FPERIOD_OVERRIDE=FQ","FILING_STATUS=OR","EQY_CONSOLIDATED=Y","Sort=A","Dates=H","DateFormat=P","Fill=—","Direction=H","UseDPDF=Y")</f>
        <v>#NAME?</v>
      </c>
      <c r="CT541" s="2" t="e">
        <f ca="1">_xll.BDH($C$528,"CUR_RATIO","FQ3 2016","FQ3 2016","Currency=INR","Period=FQ","BEST_FPERIOD_OVERRIDE=FQ","FILING_STATUS=OR","EQY_CONSOLIDATED=Y","Sort=A","Dates=H","DateFormat=P","Fill=—","Direction=H","UseDPDF=Y")</f>
        <v>#NAME?</v>
      </c>
      <c r="CU541" s="2" t="e">
        <f ca="1">_xll.BDH($C$528,"QUICK_RATIO","FQ3 2016","FQ3 2016","Currency=INR","Period=FQ","BEST_FPERIOD_OVERRIDE=FQ","FILING_STATUS=OR","EQY_CONSOLIDATED=Y","Sort=A","Dates=H","DateFormat=P","Fill=—","Direction=H","UseDPDF=Y")</f>
        <v>#NAME?</v>
      </c>
      <c r="CV541" s="2" t="e">
        <f ca="1">_xll.BDH($C$528,"ALTMAN_Z_SCORE","FQ3 2016","FQ3 2016","Currency=INR","Period=FQ","BEST_FPERIOD_OVERRIDE=FQ","FILING_STATUS=OR","EQY_CONSOLIDATED=Y","Sort=A","Dates=H","DateFormat=P","Fill=—","Direction=H","UseDPDF=Y")</f>
        <v>#NAME?</v>
      </c>
      <c r="CW541" s="4" t="e">
        <f ca="1">_xll.BDH($C$528,"ACCT_RCV_TURN","FQ3 2016","FQ3 2016","Currency=INR","Period=FQ","BEST_FPERIOD_OVERRIDE=FQ","FILING_STATUS=OR","EQY_CONSOLIDATED=Y","FA_ADJUSTED=GAAP","Sort=A","Dates=H","DateFormat=P","Fill=—","Direction=H","UseDPDF=Y")</f>
        <v>#NAME?</v>
      </c>
      <c r="CX541" s="2" t="e">
        <f ca="1">_xll.BDH($C$528,"ACCT_RCV_DAYS","FQ3 2016","FQ3 2016","Currency=INR","Period=FQ","BEST_FPERIOD_OVERRIDE=FQ","FILING_STATUS=OR","EQY_CONSOLIDATED=Y","FA_ADJUSTED=GAAP","Sort=A","Dates=H","DateFormat=P","Fill=—","Direction=H","UseDPDF=Y")</f>
        <v>#NAME?</v>
      </c>
      <c r="CY541" s="4" t="e">
        <f ca="1">_xll.BDH($C$528,"INVENT_TURN","FQ3 2016","FQ3 2016","Currency=INR","Period=FQ","BEST_FPERIOD_OVERRIDE=FQ","FILING_STATUS=OR","EQY_CONSOLIDATED=Y","FA_ADJUSTED=GAAP","Sort=A","Dates=H","DateFormat=P","Fill=—","Direction=H","UseDPDF=Y")</f>
        <v>#NAME?</v>
      </c>
      <c r="CZ541" s="2" t="e">
        <f ca="1">_xll.BDH($C$528,"INVENT_DAYS","FQ3 2016","FQ3 2016","Currency=INR","Period=FQ","BEST_FPERIOD_OVERRIDE=FQ","FILING_STATUS=OR","EQY_CONSOLIDATED=Y","FA_ADJUSTED=GAAP","Sort=A","Dates=H","DateFormat=P","Fill=—","Direction=H","UseDPDF=Y")</f>
        <v>#NAME?</v>
      </c>
      <c r="DA541" s="4" t="e">
        <f ca="1">_xll.BDH($C$528,"ACCOUNTS_PAYABLE_TURNOVER","FQ3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41" s="2" t="e">
        <f ca="1">_xll.BDH($C$528,"ACCOUNTS_PAYABLE_TURNOVER_DAYS","FQ3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41" s="4" t="e">
        <f ca="1">_xll.BDH($C$528,"CASH_CONVERSION_CYCLE","FQ3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41" s="4" t="e">
        <f ca="1">_xll.BDH($C$528,"INV_TO_CASH_DAYS","FQ3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41" s="5" t="e">
        <f ca="1">_xll.BDH($C$528,"BS_INVENTORIES","FQ3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41" s="3" t="e">
        <f ca="1">_xll.BDH($C$528,"INVTRY_RAW_MATERIALS","FQ3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41" s="3" t="e">
        <f ca="1">_xll.BDH($C$528,"INVTRY_IN_PROGRESS","FQ3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41" s="3" t="e">
        <f ca="1">_xll.BDH($C$528,"INVTRY_FINISHED_GOODS","FQ3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41" s="3" t="e">
        <f ca="1">_xll.BDH($C$528,"BS_OTHER_INV","FQ3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42" spans="1:113" x14ac:dyDescent="0.3">
      <c r="A542" s="6"/>
      <c r="B542" s="6"/>
      <c r="C542" s="6"/>
      <c r="D542" s="6"/>
      <c r="E542" t="s">
        <v>81</v>
      </c>
      <c r="F542" t="e">
        <f ca="1">_xll.BDH($C$528,"RETURN_COM_EQY","FQ4 2016","FQ4 2016","Currency=INR","Period=FQ","BEST_FPERIOD_OVERRIDE=FQ","FILING_STATUS=OR","EQY_CONSOLIDATED=Y","FA_ADJUSTED=GAAP","Sort=A","Dates=H","DateFormat=P","Fill=—","Direction=H","UseDPDF=Y")</f>
        <v>#NAME?</v>
      </c>
      <c r="G542" t="e">
        <f ca="1">_xll.BDH($C$528,"RETURN_ON_ASSET","FQ4 2016","FQ4 2016","Currency=INR","Period=FQ","BEST_FPERIOD_OVERRIDE=FQ","FILING_STATUS=OR","EQY_CONSOLIDATED=Y","FA_ADJUSTED=GAAP","Sort=A","Dates=H","DateFormat=P","Fill=—","Direction=H","UseDPDF=Y")</f>
        <v>#NAME?</v>
      </c>
      <c r="H542" t="e">
        <f ca="1">_xll.BDH($C$528,"RETURN_ON_CAP","FQ4 2016","FQ4 2016","Currency=INR","Period=FQ","BEST_FPERIOD_OVERRIDE=FQ","FILING_STATUS=OR","EQY_CONSOLIDATED=Y","FA_ADJUSTED=GAAP","Sort=A","Dates=H","DateFormat=P","Fill=—","Direction=H","UseDPDF=Y")</f>
        <v>#NAME?</v>
      </c>
      <c r="I542" t="e">
        <f ca="1">_xll.BDH($C$528,"RETURN_ON_INV_CAPITAL","FQ4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42" t="e">
        <f ca="1">_xll.BDH($C$528,"EBITDA_TO_REVENUE","FQ4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42" t="e">
        <f ca="1">_xll.BDH($C$528,"OPER_MARGIN","FQ4 2016","FQ4 2016","Currency=INR","Period=FQ","BEST_FPERIOD_OVERRIDE=FQ","FILING_STATUS=OR","EQY_CONSOLIDATED=Y","FA_ADJUSTED=GAAP","Sort=A","Dates=H","DateFormat=P","Fill=—","Direction=H","UseDPDF=Y")</f>
        <v>#NAME?</v>
      </c>
      <c r="L542" t="e">
        <f ca="1">_xll.BDH($C$528,"INCREMENTAL_OPERATING_MARGIN","FQ4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42" t="e">
        <f ca="1">_xll.BDH($C$528,"PRETAX_INC_TO_NET_SALES","FQ4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42" t="e">
        <f ca="1">_xll.BDH($C$528,"INC_BEF_XO_ITEMS_TO_NET_SALES","FQ4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42" t="e">
        <f ca="1">_xll.BDH($C$528,"PROF_MARGIN","FQ4 2016","FQ4 2016","Currency=INR","Period=FQ","BEST_FPERIOD_OVERRIDE=FQ","FILING_STATUS=OR","EQY_CONSOLIDATED=Y","FA_ADJUSTED=GAAP","Sort=A","Dates=H","DateFormat=P","Fill=—","Direction=H","UseDPDF=Y")</f>
        <v>#NAME?</v>
      </c>
      <c r="P542" t="e">
        <f ca="1">_xll.BDH($C$528,"NET_INCOME_TO_COMMON_MARGIN","FQ4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42" t="e">
        <f ca="1">_xll.BDH($C$528,"EFF_TAX_RATE","FQ4 2016","FQ4 2016","Currency=INR","Period=FQ","BEST_FPERIOD_OVERRIDE=FQ","FILING_STATUS=OR","EQY_CONSOLIDATED=Y","FA_ADJUSTED=GAAP","Sort=A","Dates=H","DateFormat=P","Fill=—","Direction=H","UseDPDF=Y")</f>
        <v>#NAME?</v>
      </c>
      <c r="R542" t="e">
        <f ca="1">_xll.BDH($C$528,"DVD_PAYOUT_RATIO","FQ4 2016","FQ4 2016","Currency=INR","Period=FQ","BEST_FPERIOD_OVERRIDE=FQ","FILING_STATUS=OR","EQY_CONSOLIDATED=Y","FA_ADJUSTED=GAAP","Sort=A","Dates=H","DateFormat=P","Fill=—","Direction=H","UseDPDF=Y")</f>
        <v>#NAME?</v>
      </c>
      <c r="S542" t="e">
        <f ca="1">_xll.BDH($C$528,"SUSTAIN_GROWTH_RT","FQ4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42" s="2" t="e">
        <f ca="1">_xll.BDH($C$528,"SALES_GROWTH","FQ4 2016","FQ4 2016","Currency=INR","Period=FQ","BEST_FPERIOD_OVERRIDE=FQ","FILING_STATUS=OR","EQY_CONSOLIDATED=Y","FA_ADJUSTED=GAAP","Sort=A","Dates=H","DateFormat=P","Fill=—","Direction=H","UseDPDF=Y")</f>
        <v>#NAME?</v>
      </c>
      <c r="U542" s="2" t="e">
        <f ca="1">_xll.BDH($C$528,"EBITDA_GROWTH","FQ4 2016","FQ4 2016","Currency=INR","Period=FQ","BEST_FPERIOD_OVERRIDE=FQ","FILING_STATUS=OR","EQY_CONSOLIDATED=Y","FA_ADJUSTED=GAAP","Sort=A","Dates=H","DateFormat=P","Fill=—","Direction=H","UseDPDF=Y")</f>
        <v>#NAME?</v>
      </c>
      <c r="V542" s="2" t="e">
        <f ca="1">_xll.BDH($C$528,"OPER_INC_GROWTH","FQ4 2016","FQ4 2016","Currency=INR","Period=FQ","BEST_FPERIOD_OVERRIDE=FQ","FILING_STATUS=OR","EQY_CONSOLIDATED=Y","FA_ADJUSTED=GAAP","Sort=A","Dates=H","DateFormat=P","Fill=—","Direction=H","UseDPDF=Y")</f>
        <v>#NAME?</v>
      </c>
      <c r="W542" s="2" t="e">
        <f ca="1">_xll.BDH($C$528,"EARN_FOR_COM_GROWTH","FQ4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42" s="2" t="e">
        <f ca="1">_xll.BDH($C$528,"DILUTED_EPS_AFT_XO_ITEMS_GROWTH","FQ4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42" s="2" t="e">
        <f ca="1">_xll.BDH($C$528,"DIVIDEND_PER_SHARE_1_YEAR_GROWTH","FQ4 2016","FQ4 2016","Currency=INR","Period=FQ","BEST_FPERIOD_OVERRIDE=FQ","FILING_STATUS=OR","EQY_CONSOLIDATED=Y","Sort=A","Dates=H","DateFormat=P","Fill=—","Direction=H","UseDPDF=Y")</f>
        <v>#NAME?</v>
      </c>
      <c r="Z542" s="2" t="e">
        <f ca="1">_xll.BDH($C$528,"ACCOUNTS_RECEIVABLE_GROWTH","FQ4 2016","FQ4 2016","Currency=INR","Period=FQ","BEST_FPERIOD_OVERRIDE=FQ","FILING_STATUS=OR","EQY_CONSOLIDATED=Y","Sort=A","Dates=H","DateFormat=P","Fill=—","Direction=H","UseDPDF=Y")</f>
        <v>#NAME?</v>
      </c>
      <c r="AA542" s="2" t="e">
        <f ca="1">_xll.BDH($C$528,"INVENTORY_GROWTH","FQ4 2016","FQ4 2016","Currency=INR","Period=FQ","BEST_FPERIOD_OVERRIDE=FQ","FILING_STATUS=OR","EQY_CONSOLIDATED=Y","Sort=A","Dates=H","DateFormat=P","Fill=—","Direction=H","UseDPDF=Y")</f>
        <v>#NAME?</v>
      </c>
      <c r="AB542" s="2" t="e">
        <f ca="1">_xll.BDH($C$528,"NET_FIXED_ASSETS_1_YEAR_GROWTH","FQ4 2016","FQ4 2016","Currency=INR","Period=FQ","BEST_FPERIOD_OVERRIDE=FQ","FILING_STATUS=OR","EQY_CONSOLIDATED=Y","Sort=A","Dates=H","DateFormat=P","Fill=—","Direction=H","UseDPDF=Y")</f>
        <v>#NAME?</v>
      </c>
      <c r="AC542" s="2" t="e">
        <f ca="1">_xll.BDH($C$528,"ASSET_GROWTH","FQ4 2016","FQ4 2016","Currency=INR","Period=FQ","BEST_FPERIOD_OVERRIDE=FQ","FILING_STATUS=OR","EQY_CONSOLIDATED=Y","Sort=A","Dates=H","DateFormat=P","Fill=—","Direction=H","UseDPDF=Y")</f>
        <v>#NAME?</v>
      </c>
      <c r="AD542" s="2" t="e">
        <f ca="1">_xll.BDH($C$528,"MODIFIED_WORK_CAP_GROWTH","FQ4 2016","FQ4 2016","Currency=INR","Period=FQ","BEST_FPERIOD_OVERRIDE=FQ","FILING_STATUS=OR","EQY_CONSOLIDATED=Y","Sort=A","Dates=H","DateFormat=P","Fill=—","Direction=H","UseDPDF=Y")</f>
        <v>#NAME?</v>
      </c>
      <c r="AE542" s="2" t="e">
        <f ca="1">_xll.BDH($C$528,"WORK_CAP_GROWTH","FQ4 2016","FQ4 2016","Currency=INR","Period=FQ","BEST_FPERIOD_OVERRIDE=FQ","FILING_STATUS=OR","EQY_CONSOLIDATED=Y","Sort=A","Dates=H","DateFormat=P","Fill=—","Direction=H","UseDPDF=Y")</f>
        <v>#NAME?</v>
      </c>
      <c r="AF542" s="2" t="e">
        <f ca="1">_xll.BDH($C$528,"ACCOUNTS_PAYABLE_GROWTH_1YR","FQ4 2016","FQ4 2016","Currency=INR","Period=FQ","BEST_FPERIOD_OVERRIDE=FQ","FILING_STATUS=OR","EQY_CONSOLIDATED=Y","Sort=A","Dates=H","DateFormat=P","Fill=—","Direction=H","UseDPDF=Y")</f>
        <v>#NAME?</v>
      </c>
      <c r="AG542" s="2" t="e">
        <f ca="1">_xll.BDH($C$528,"SHORT_TERM_DEBT_1_YEAR_GROWTH","FQ4 2016","FQ4 2016","Currency=INR","Period=FQ","BEST_FPERIOD_OVERRIDE=FQ","FILING_STATUS=OR","EQY_CONSOLIDATED=Y","Sort=A","Dates=H","DateFormat=P","Fill=—","Direction=H","UseDPDF=Y")</f>
        <v>#NAME?</v>
      </c>
      <c r="AH542" s="2" t="e">
        <f ca="1">_xll.BDH($C$528,"TOTAL_DEBT_1_YEAR_GROWTH","FQ4 2016","FQ4 2016","Currency=INR","Period=FQ","BEST_FPERIOD_OVERRIDE=FQ","FILING_STATUS=OR","EQY_CONSOLIDATED=Y","Sort=A","Dates=H","DateFormat=P","Fill=—","Direction=H","UseDPDF=Y")</f>
        <v>#NAME?</v>
      </c>
      <c r="AI542" s="2" t="e">
        <f ca="1">_xll.BDH($C$528,"TOTAL_EQUITY_1_YEAR_GROWTH","FQ4 2016","FQ4 2016","Currency=INR","Period=FQ","BEST_FPERIOD_OVERRIDE=FQ","FILING_STATUS=OR","EQY_CONSOLIDATED=Y","Sort=A","Dates=H","DateFormat=P","Fill=—","Direction=H","UseDPDF=Y")</f>
        <v>#NAME?</v>
      </c>
      <c r="AJ542" s="2" t="e">
        <f ca="1">_xll.BDH($C$528,"GROWTH_IN_CAP","FQ4 2016","FQ4 2016","Currency=INR","Period=FQ","BEST_FPERIOD_OVERRIDE=FQ","FILING_STATUS=OR","EQY_CONSOLIDATED=Y","Sort=A","Dates=H","DateFormat=P","Fill=—","Direction=H","UseDPDF=Y")</f>
        <v>#NAME?</v>
      </c>
      <c r="AK542" s="2" t="e">
        <f ca="1">_xll.BDH($C$528,"BVPS_GROWTH","FQ4 2016","FQ4 2016","Currency=INR","Period=FQ","BEST_FPERIOD_OVERRIDE=FQ","FILING_STATUS=OR","EQY_CONSOLIDATED=Y","Sort=A","Dates=H","DateFormat=P","Fill=—","Direction=H","UseDPDF=Y")</f>
        <v>#NAME?</v>
      </c>
      <c r="AL542" s="2" t="e">
        <f ca="1">_xll.BDH($C$528,"CASH_FLOW_GROWTH","FQ4 2016","FQ4 2016","Currency=INR","Period=FQ","BEST_FPERIOD_OVERRIDE=FQ","FILING_STATUS=OR","EQY_CONSOLIDATED=Y","Sort=A","Dates=H","DateFormat=P","Fill=—","Direction=H","UseDPDF=Y")</f>
        <v>#NAME?</v>
      </c>
      <c r="AM542" s="2" t="e">
        <f ca="1">_xll.BDH($C$528,"GEO_GROW_NET_SALES","FQ4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42" s="2" t="e">
        <f ca="1">_xll.BDH($C$528,"GEO_GROW_EBITDA","FQ4 2016","FQ4 2016","Currency=INR","Period=FQ","BEST_FPERIOD_OVERRIDE=FQ","FILING_STATUS=OR","EQY_CONSOLIDATED=Y","FA_ADJUSTED=GAAP","Sort=A","Dates=H","DateFormat=P","Fill=—","Direction=H","UseDPDF=Y")</f>
        <v>#NAME?</v>
      </c>
      <c r="AO542" s="2" t="e">
        <f ca="1">_xll.BDH($C$528,"GEO_GROW_OPER_INC","FQ4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42" s="2" t="e">
        <f ca="1">_xll.BDH($C$528,"NET_INCOME_TO_COMMON_5_YR_GROWTH","FQ4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42" s="2" t="e">
        <f ca="1">_xll.BDH($C$528,"5Y_GEO_GROWTH_DILUTED_EPS","FQ4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42" s="2" t="e">
        <f ca="1">_xll.BDH($C$528,"GEO_GROW_DVD_PER_SH","FQ4 2016","FQ4 2016","Currency=INR","Period=FQ","BEST_FPERIOD_OVERRIDE=FQ","FILING_STATUS=OR","EQY_CONSOLIDATED=Y","Sort=A","Dates=H","DateFormat=P","Fill=—","Direction=H","UseDPDF=Y")</f>
        <v>#NAME?</v>
      </c>
      <c r="AS542" s="2" t="e">
        <f ca="1">_xll.BDH($C$528,"ACCOUNTS_RECEIVABLE_5_YR_GROWTH","FQ4 2016","FQ4 2016","Currency=INR","Period=FQ","BEST_FPERIOD_OVERRIDE=FQ","FILING_STATUS=OR","EQY_CONSOLIDATED=Y","Sort=A","Dates=H","DateFormat=P","Fill=—","Direction=H","UseDPDF=Y")</f>
        <v>#NAME?</v>
      </c>
      <c r="AT542" s="2" t="e">
        <f ca="1">_xll.BDH($C$528,"INVENTORY_5_YEAR_GROWTH","FQ4 2016","FQ4 2016","Currency=INR","Period=FQ","BEST_FPERIOD_OVERRIDE=FQ","FILING_STATUS=OR","EQY_CONSOLIDATED=Y","Sort=A","Dates=H","DateFormat=P","Fill=—","Direction=H","UseDPDF=Y")</f>
        <v>#NAME?</v>
      </c>
      <c r="AU542" s="2" t="e">
        <f ca="1">_xll.BDH($C$528,"NET_FIXED_ASSETS_5_YEAR_GROWTH","FQ4 2016","FQ4 2016","Currency=INR","Period=FQ","BEST_FPERIOD_OVERRIDE=FQ","FILING_STATUS=OR","EQY_CONSOLIDATED=Y","Sort=A","Dates=H","DateFormat=P","Fill=—","Direction=H","UseDPDF=Y")</f>
        <v>#NAME?</v>
      </c>
      <c r="AV542" s="2" t="e">
        <f ca="1">_xll.BDH($C$528,"GEO_GROW_TOT_ASSET","FQ4 2016","FQ4 2016","Currency=INR","Period=FQ","BEST_FPERIOD_OVERRIDE=FQ","FILING_STATUS=OR","EQY_CONSOLIDATED=Y","Sort=A","Dates=H","DateFormat=P","Fill=—","Direction=H","UseDPDF=Y")</f>
        <v>#NAME?</v>
      </c>
      <c r="AW542" s="2" t="e">
        <f ca="1">_xll.BDH($C$528,"MODIFIED_WORKING_CPTL_5YR_GRWTH","FQ4 2016","FQ4 2016","Currency=INR","Period=FQ","BEST_FPERIOD_OVERRIDE=FQ","FILING_STATUS=OR","EQY_CONSOLIDATED=Y","Sort=A","Dates=H","DateFormat=P","Fill=—","Direction=H","UseDPDF=Y")</f>
        <v>#NAME?</v>
      </c>
      <c r="AX542" s="2" t="e">
        <f ca="1">_xll.BDH($C$528,"WORKING_CAPITAL_5_YEAR_GROWTH","FQ4 2016","FQ4 2016","Currency=INR","Period=FQ","BEST_FPERIOD_OVERRIDE=FQ","FILING_STATUS=OR","EQY_CONSOLIDATED=Y","Sort=A","Dates=H","DateFormat=P","Fill=—","Direction=H","UseDPDF=Y")</f>
        <v>#NAME?</v>
      </c>
      <c r="AY542" s="2" t="e">
        <f ca="1">_xll.BDH($C$528,"ACCOUNTS_PAYABLE_5_YEAR_GROWTH","FQ4 2016","FQ4 2016","Currency=INR","Period=FQ","BEST_FPERIOD_OVERRIDE=FQ","FILING_STATUS=OR","EQY_CONSOLIDATED=Y","Sort=A","Dates=H","DateFormat=P","Fill=—","Direction=H","UseDPDF=Y")</f>
        <v>#NAME?</v>
      </c>
      <c r="AZ542" s="2" t="e">
        <f ca="1">_xll.BDH($C$528,"SHORT_TERM_DEBT_5_YEAR_GROWTH","FQ4 2016","FQ4 2016","Currency=INR","Period=FQ","BEST_FPERIOD_OVERRIDE=FQ","FILING_STATUS=OR","EQY_CONSOLIDATED=Y","Sort=A","Dates=H","DateFormat=P","Fill=—","Direction=H","UseDPDF=Y")</f>
        <v>#NAME?</v>
      </c>
      <c r="BA542" s="2" t="e">
        <f ca="1">_xll.BDH($C$528,"TOTAL_DEBT_5_YEAR_GROWTH","FQ4 2016","FQ4 2016","Currency=INR","Period=FQ","BEST_FPERIOD_OVERRIDE=FQ","FILING_STATUS=OR","EQY_CONSOLIDATED=Y","Sort=A","Dates=H","DateFormat=P","Fill=—","Direction=H","UseDPDF=Y")</f>
        <v>#NAME?</v>
      </c>
      <c r="BB542" s="2" t="e">
        <f ca="1">_xll.BDH($C$528,"GEO_GROW_TOT_SHRHLDR_EQY","FQ4 2016","FQ4 2016","Currency=INR","Period=FQ","BEST_FPERIOD_OVERRIDE=FQ","FILING_STATUS=OR","EQY_CONSOLIDATED=Y","Sort=A","Dates=H","DateFormat=P","Fill=—","Direction=H","UseDPDF=Y")</f>
        <v>#NAME?</v>
      </c>
      <c r="BC542" s="2" t="e">
        <f ca="1">_xll.BDH($C$528,"TOTAL_CAPITAL_5_YEAR_GROWTH","FQ4 2016","FQ4 2016","Currency=INR","Period=FQ","BEST_FPERIOD_OVERRIDE=FQ","FILING_STATUS=OR","EQY_CONSOLIDATED=Y","Sort=A","Dates=H","DateFormat=P","Fill=—","Direction=H","UseDPDF=Y")</f>
        <v>#NAME?</v>
      </c>
      <c r="BD542" s="2" t="e">
        <f ca="1">_xll.BDH($C$528,"GEO_GROW_BOOK_VAL","FQ4 2016","FQ4 2016","Currency=INR","Period=FQ","BEST_FPERIOD_OVERRIDE=FQ","FILING_STATUS=OR","EQY_CONSOLIDATED=Y","Sort=A","Dates=H","DateFormat=P","Fill=—","Direction=H","UseDPDF=Y")</f>
        <v>#NAME?</v>
      </c>
      <c r="BE542" s="2" t="e">
        <f ca="1">_xll.BDH($C$528,"GEO_GROW_CASH_OPER_ACT","FQ4 2016","FQ4 2016","Currency=INR","Period=FQ","BEST_FPERIOD_OVERRIDE=FQ","FILING_STATUS=OR","EQY_CONSOLIDATED=Y","Sort=A","Dates=H","DateFormat=P","Fill=—","Direction=H","UseDPDF=Y")</f>
        <v>#NAME?</v>
      </c>
      <c r="BF542" s="2" t="e">
        <f ca="1">_xll.BDH($C$528,"REVENUE_SEQUENTIAL_GROWTH","FQ4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42" s="2" t="e">
        <f ca="1">_xll.BDH($C$528,"EBITDA_SEQUENTIAL_GROWTH","FQ4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42" s="2" t="e">
        <f ca="1">_xll.BDH($C$528,"OPERATING_INCOME_SEQ_GROWTH","FQ4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42" s="2" t="e">
        <f ca="1">_xll.BDH($C$528,"NET_INCOME_TO_COMMON_SEQ_GROWTH","FQ4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42" s="2" t="e">
        <f ca="1">_xll.BDH($C$528,"EPS_DILUTED_SEQUENTIAL_GROWTH","FQ4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42" s="2" t="e">
        <f ca="1">_xll.BDH($C$528,"DPS_SEQUENTIAL_GROWTH","FQ4 2016","FQ4 2016","Currency=INR","Period=FQ","BEST_FPERIOD_OVERRIDE=FQ","FILING_STATUS=OR","EQY_CONSOLIDATED=Y","Sort=A","Dates=H","DateFormat=P","Fill=—","Direction=H","UseDPDF=Y")</f>
        <v>#NAME?</v>
      </c>
      <c r="BL542" s="2" t="e">
        <f ca="1">_xll.BDH($C$528,"ACCOUNTS_RECEIVABLE_SEQ_GROWTH","FQ4 2016","FQ4 2016","Currency=INR","Period=FQ","BEST_FPERIOD_OVERRIDE=FQ","FILING_STATUS=OR","EQY_CONSOLIDATED=Y","Sort=A","Dates=H","DateFormat=P","Fill=—","Direction=H","UseDPDF=Y")</f>
        <v>#NAME?</v>
      </c>
      <c r="BM542" s="2" t="e">
        <f ca="1">_xll.BDH($C$528,"INVENTORY_SEQUENTIAL_GROWTH","FQ4 2016","FQ4 2016","Currency=INR","Period=FQ","BEST_FPERIOD_OVERRIDE=FQ","FILING_STATUS=OR","EQY_CONSOLIDATED=Y","Sort=A","Dates=H","DateFormat=P","Fill=—","Direction=H","UseDPDF=Y")</f>
        <v>#NAME?</v>
      </c>
      <c r="BN542" s="2" t="e">
        <f ca="1">_xll.BDH($C$528,"FIXED_ASSETS_SEQUENTIAL_GROWTH","FQ4 2016","FQ4 2016","Currency=INR","Period=FQ","BEST_FPERIOD_OVERRIDE=FQ","FILING_STATUS=OR","EQY_CONSOLIDATED=Y","Sort=A","Dates=H","DateFormat=P","Fill=—","Direction=H","UseDPDF=Y")</f>
        <v>#NAME?</v>
      </c>
      <c r="BO542" s="2" t="e">
        <f ca="1">_xll.BDH($C$528,"TOTAL_ASSETS_SEQUENTIAL_GROWTH","FQ4 2016","FQ4 2016","Currency=INR","Period=FQ","BEST_FPERIOD_OVERRIDE=FQ","FILING_STATUS=OR","EQY_CONSOLIDATED=Y","Sort=A","Dates=H","DateFormat=P","Fill=—","Direction=H","UseDPDF=Y")</f>
        <v>#NAME?</v>
      </c>
      <c r="BP542" s="2" t="e">
        <f ca="1">_xll.BDH($C$528,"MODIFIED_WORKING_CPTL_SEQ_GRWTH","FQ4 2016","FQ4 2016","Currency=INR","Period=FQ","BEST_FPERIOD_OVERRIDE=FQ","FILING_STATUS=OR","EQY_CONSOLIDATED=Y","Sort=A","Dates=H","DateFormat=P","Fill=—","Direction=H","UseDPDF=Y")</f>
        <v>#NAME?</v>
      </c>
      <c r="BQ542" s="2" t="e">
        <f ca="1">_xll.BDH($C$528,"WORKING_CAPITAL_SEQ_GROWTH","FQ4 2016","FQ4 2016","Currency=INR","Period=FQ","BEST_FPERIOD_OVERRIDE=FQ","FILING_STATUS=OR","EQY_CONSOLIDATED=Y","Sort=A","Dates=H","DateFormat=P","Fill=—","Direction=H","UseDPDF=Y")</f>
        <v>#NAME?</v>
      </c>
      <c r="BR542" s="2" t="e">
        <f ca="1">_xll.BDH($C$528,"ACCOUNTS_PAYABLE_SEQ_GROWTH","FQ4 2016","FQ4 2016","Currency=INR","Period=FQ","BEST_FPERIOD_OVERRIDE=FQ","FILING_STATUS=OR","EQY_CONSOLIDATED=Y","Sort=A","Dates=H","DateFormat=P","Fill=—","Direction=H","UseDPDF=Y")</f>
        <v>#NAME?</v>
      </c>
      <c r="BS542" s="2" t="e">
        <f ca="1">_xll.BDH($C$528,"ST_DEBT_SEQUENTIAL_GROWTH","FQ4 2016","FQ4 2016","Currency=INR","Period=FQ","BEST_FPERIOD_OVERRIDE=FQ","FILING_STATUS=OR","EQY_CONSOLIDATED=Y","Sort=A","Dates=H","DateFormat=P","Fill=—","Direction=H","UseDPDF=Y")</f>
        <v>#NAME?</v>
      </c>
      <c r="BT542" s="2" t="e">
        <f ca="1">_xll.BDH($C$528,"TOTAL_DEBT_SEQUENTIAL_GROWTH","FQ4 2016","FQ4 2016","Currency=INR","Period=FQ","BEST_FPERIOD_OVERRIDE=FQ","FILING_STATUS=OR","EQY_CONSOLIDATED=Y","Sort=A","Dates=H","DateFormat=P","Fill=—","Direction=H","UseDPDF=Y")</f>
        <v>#NAME?</v>
      </c>
      <c r="BU542" s="2" t="e">
        <f ca="1">_xll.BDH($C$528,"TOTAL_EQUITY_SEQUENTIAL_GROWTH","FQ4 2016","FQ4 2016","Currency=INR","Period=FQ","BEST_FPERIOD_OVERRIDE=FQ","FILING_STATUS=OR","EQY_CONSOLIDATED=Y","Sort=A","Dates=H","DateFormat=P","Fill=—","Direction=H","UseDPDF=Y")</f>
        <v>#NAME?</v>
      </c>
      <c r="BV542" s="2" t="e">
        <f ca="1">_xll.BDH($C$528,"TOTAL_CAPITAL_SEQUENTIAL_GROWTH","FQ4 2016","FQ4 2016","Currency=INR","Period=FQ","BEST_FPERIOD_OVERRIDE=FQ","FILING_STATUS=OR","EQY_CONSOLIDATED=Y","Sort=A","Dates=H","DateFormat=P","Fill=—","Direction=H","UseDPDF=Y")</f>
        <v>#NAME?</v>
      </c>
      <c r="BW542" s="2" t="e">
        <f ca="1">_xll.BDH($C$528,"BPS_SEQUENTIAL_GROWTH","FQ4 2016","FQ4 2016","Currency=INR","Period=FQ","BEST_FPERIOD_OVERRIDE=FQ","FILING_STATUS=OR","EQY_CONSOLIDATED=Y","Sort=A","Dates=H","DateFormat=P","Fill=—","Direction=H","UseDPDF=Y")</f>
        <v>#NAME?</v>
      </c>
      <c r="BX542" s="2" t="e">
        <f ca="1">_xll.BDH($C$528,"CFO_SEQUENTIAL_GROWTH","FQ4 2016","FQ4 2016","Currency=INR","Period=FQ","BEST_FPERIOD_OVERRIDE=FQ","FILING_STATUS=OR","EQY_CONSOLIDATED=Y","Sort=A","Dates=H","DateFormat=P","Fill=—","Direction=H","UseDPDF=Y")</f>
        <v>#NAME?</v>
      </c>
      <c r="BY542" s="3" t="e">
        <f ca="1">_xll.BDH($C$528,"SHORT_AND_LONG_TERM_DEBT","FQ4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42" s="3" t="e">
        <f ca="1">_xll.BDH($C$528,"BS_ST_BORROW","FQ4 2016","FQ4 2016","Currency=INR","Period=FQ","BEST_FPERIOD_OVERRIDE=FQ","FILING_STATUS=OR","EQY_CONSOLIDATED=Y","SCALING_FORMAT=MLN","Sort=A","Dates=H","DateFormat=P","Fill=—","Direction=H","UseDPDF=Y")</f>
        <v>#NAME?</v>
      </c>
      <c r="CA542" s="3" t="e">
        <f ca="1">_xll.BDH($C$528,"BS_LT_BORROW","FQ4 2016","FQ4 2016","Currency=INR","Period=FQ","BEST_FPERIOD_OVERRIDE=FQ","FILING_STATUS=OR","EQY_CONSOLIDATED=Y","SCALING_FORMAT=MLN","Sort=A","Dates=H","DateFormat=P","Fill=—","Direction=H","UseDPDF=Y")</f>
        <v>#NAME?</v>
      </c>
      <c r="CB542" s="2" t="e">
        <f ca="1">_xll.BDH($C$528,"TOT_DEBT_TO_EBITDA","FQ4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42" s="2" t="e">
        <f ca="1">_xll.BDH($C$528,"NET_DEBT_TO_EBITDA","FQ4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42" s="2" t="e">
        <f ca="1">_xll.BDH($C$528,"TOTAL_DEBT_TO_EBIT","FQ4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42" s="2" t="e">
        <f ca="1">_xll.BDH($C$528,"NET_DEBT_TO_EBIT","FQ4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42" s="2" t="e">
        <f ca="1">_xll.BDH($C$528,"EBITDA_TO_INTEREST_EXPN","FQ4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42" s="2" t="e">
        <f ca="1">_xll.BDH($C$528,"COM_EQY_TO_TOT_ASSET","FQ4 2016","FQ4 2016","Currency=INR","Period=FQ","BEST_FPERIOD_OVERRIDE=FQ","FILING_STATUS=OR","EQY_CONSOLIDATED=Y","Sort=A","Dates=H","DateFormat=P","Fill=—","Direction=H","UseDPDF=Y")</f>
        <v>#NAME?</v>
      </c>
      <c r="CH542" s="2" t="e">
        <f ca="1">_xll.BDH($C$528,"LT_DEBT_TO_TOT_EQY","FQ4 2016","FQ4 2016","Currency=INR","Period=FQ","BEST_FPERIOD_OVERRIDE=FQ","FILING_STATUS=OR","EQY_CONSOLIDATED=Y","Sort=A","Dates=H","DateFormat=P","Fill=—","Direction=H","UseDPDF=Y")</f>
        <v>#NAME?</v>
      </c>
      <c r="CI542" s="2" t="e">
        <f ca="1">_xll.BDH($C$528,"LT_DEBT_TO_TOT_CAP","FQ4 2016","FQ4 2016","Currency=INR","Period=FQ","BEST_FPERIOD_OVERRIDE=FQ","FILING_STATUS=OR","EQY_CONSOLIDATED=Y","Sort=A","Dates=H","DateFormat=P","Fill=—","Direction=H","UseDPDF=Y")</f>
        <v>#NAME?</v>
      </c>
      <c r="CJ542" s="2" t="e">
        <f ca="1">_xll.BDH($C$528,"LT_DEBT_TO_TOT_ASSET","FQ4 2016","FQ4 2016","Currency=INR","Period=FQ","BEST_FPERIOD_OVERRIDE=FQ","FILING_STATUS=OR","EQY_CONSOLIDATED=Y","Sort=A","Dates=H","DateFormat=P","Fill=—","Direction=H","UseDPDF=Y")</f>
        <v>#NAME?</v>
      </c>
      <c r="CK542" s="2" t="e">
        <f ca="1">_xll.BDH($C$528,"TOT_DEBT_TO_TOT_EQY","FQ4 2016","FQ4 2016","Currency=INR","Period=FQ","BEST_FPERIOD_OVERRIDE=FQ","FILING_STATUS=OR","EQY_CONSOLIDATED=Y","Sort=A","Dates=H","DateFormat=P","Fill=—","Direction=H","UseDPDF=Y")</f>
        <v>#NAME?</v>
      </c>
      <c r="CL542" s="2" t="e">
        <f ca="1">_xll.BDH($C$528,"TOT_DEBT_TO_TOT_CAP","FQ4 2016","FQ4 2016","Currency=INR","Period=FQ","BEST_FPERIOD_OVERRIDE=FQ","FILING_STATUS=OR","EQY_CONSOLIDATED=Y","Sort=A","Dates=H","DateFormat=P","Fill=—","Direction=H","UseDPDF=Y")</f>
        <v>#NAME?</v>
      </c>
      <c r="CM542" s="2" t="e">
        <f ca="1">_xll.BDH($C$528,"TOT_DEBT_TO_TOT_ASSET","FQ4 2016","FQ4 2016","Currency=INR","Period=FQ","BEST_FPERIOD_OVERRIDE=FQ","FILING_STATUS=OR","EQY_CONSOLIDATED=Y","Sort=A","Dates=H","DateFormat=P","Fill=—","Direction=H","UseDPDF=Y")</f>
        <v>#NAME?</v>
      </c>
      <c r="CN542" s="2" t="e">
        <f ca="1">_xll.BDH($C$528,"NET_DEBT_TO_SHRHLDR_EQTY","FQ4 2016","FQ4 2016","Currency=INR","Period=FQ","BEST_FPERIOD_OVERRIDE=FQ","FILING_STATUS=OR","EQY_CONSOLIDATED=Y","Sort=A","Dates=H","DateFormat=P","Fill=—","Direction=H","UseDPDF=Y")</f>
        <v>#NAME?</v>
      </c>
      <c r="CO542" s="2" t="e">
        <f ca="1">_xll.BDH($C$528,"NET_DEBT_%_CAPITAL","FQ4 2016","FQ4 2016","Currency=INR","Period=FQ","BEST_FPERIOD_OVERRIDE=FQ","FILING_STATUS=OR","EQY_CONSOLIDATED=Y","Sort=A","Dates=H","DateFormat=P","Fill=—","Direction=H","UseDPDF=Y")</f>
        <v>#NAME?</v>
      </c>
      <c r="CP542" s="3" t="e">
        <f ca="1">_xll.BDH($C$528,"EBITDA","FQ4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42" s="3" t="e">
        <f ca="1">_xll.BDH($C$528,"EBITDA_AFTER_CAPEX","FQ4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42" s="3" t="e">
        <f ca="1">_xll.BDH($C$528,"IS_OPER_INC","FQ4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42" s="2" t="e">
        <f ca="1">_xll.BDH($C$528,"CASH_RATIO","FQ4 2016","FQ4 2016","Currency=INR","Period=FQ","BEST_FPERIOD_OVERRIDE=FQ","FILING_STATUS=OR","EQY_CONSOLIDATED=Y","Sort=A","Dates=H","DateFormat=P","Fill=—","Direction=H","UseDPDF=Y")</f>
        <v>#NAME?</v>
      </c>
      <c r="CT542" s="2" t="e">
        <f ca="1">_xll.BDH($C$528,"CUR_RATIO","FQ4 2016","FQ4 2016","Currency=INR","Period=FQ","BEST_FPERIOD_OVERRIDE=FQ","FILING_STATUS=OR","EQY_CONSOLIDATED=Y","Sort=A","Dates=H","DateFormat=P","Fill=—","Direction=H","UseDPDF=Y")</f>
        <v>#NAME?</v>
      </c>
      <c r="CU542" s="2" t="e">
        <f ca="1">_xll.BDH($C$528,"QUICK_RATIO","FQ4 2016","FQ4 2016","Currency=INR","Period=FQ","BEST_FPERIOD_OVERRIDE=FQ","FILING_STATUS=OR","EQY_CONSOLIDATED=Y","Sort=A","Dates=H","DateFormat=P","Fill=—","Direction=H","UseDPDF=Y")</f>
        <v>#NAME?</v>
      </c>
      <c r="CV542" s="2" t="e">
        <f ca="1">_xll.BDH($C$528,"ALTMAN_Z_SCORE","FQ4 2016","FQ4 2016","Currency=INR","Period=FQ","BEST_FPERIOD_OVERRIDE=FQ","FILING_STATUS=OR","EQY_CONSOLIDATED=Y","Sort=A","Dates=H","DateFormat=P","Fill=—","Direction=H","UseDPDF=Y")</f>
        <v>#NAME?</v>
      </c>
      <c r="CW542" s="4" t="e">
        <f ca="1">_xll.BDH($C$528,"ACCT_RCV_TURN","FQ4 2016","FQ4 2016","Currency=INR","Period=FQ","BEST_FPERIOD_OVERRIDE=FQ","FILING_STATUS=OR","EQY_CONSOLIDATED=Y","FA_ADJUSTED=GAAP","Sort=A","Dates=H","DateFormat=P","Fill=—","Direction=H","UseDPDF=Y")</f>
        <v>#NAME?</v>
      </c>
      <c r="CX542" s="2" t="e">
        <f ca="1">_xll.BDH($C$528,"ACCT_RCV_DAYS","FQ4 2016","FQ4 2016","Currency=INR","Period=FQ","BEST_FPERIOD_OVERRIDE=FQ","FILING_STATUS=OR","EQY_CONSOLIDATED=Y","FA_ADJUSTED=GAAP","Sort=A","Dates=H","DateFormat=P","Fill=—","Direction=H","UseDPDF=Y")</f>
        <v>#NAME?</v>
      </c>
      <c r="CY542" s="4" t="e">
        <f ca="1">_xll.BDH($C$528,"INVENT_TURN","FQ4 2016","FQ4 2016","Currency=INR","Period=FQ","BEST_FPERIOD_OVERRIDE=FQ","FILING_STATUS=OR","EQY_CONSOLIDATED=Y","FA_ADJUSTED=GAAP","Sort=A","Dates=H","DateFormat=P","Fill=—","Direction=H","UseDPDF=Y")</f>
        <v>#NAME?</v>
      </c>
      <c r="CZ542" s="2" t="e">
        <f ca="1">_xll.BDH($C$528,"INVENT_DAYS","FQ4 2016","FQ4 2016","Currency=INR","Period=FQ","BEST_FPERIOD_OVERRIDE=FQ","FILING_STATUS=OR","EQY_CONSOLIDATED=Y","FA_ADJUSTED=GAAP","Sort=A","Dates=H","DateFormat=P","Fill=—","Direction=H","UseDPDF=Y")</f>
        <v>#NAME?</v>
      </c>
      <c r="DA542" s="4" t="e">
        <f ca="1">_xll.BDH($C$528,"ACCOUNTS_PAYABLE_TURNOVER","FQ4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42" s="2" t="e">
        <f ca="1">_xll.BDH($C$528,"ACCOUNTS_PAYABLE_TURNOVER_DAYS","FQ4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42" s="4" t="e">
        <f ca="1">_xll.BDH($C$528,"CASH_CONVERSION_CYCLE","FQ4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42" s="4" t="e">
        <f ca="1">_xll.BDH($C$528,"INV_TO_CASH_DAYS","FQ4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42" s="5" t="e">
        <f ca="1">_xll.BDH($C$528,"BS_INVENTORIES","FQ4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42" s="3" t="e">
        <f ca="1">_xll.BDH($C$528,"INVTRY_RAW_MATERIALS","FQ4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42" s="3" t="e">
        <f ca="1">_xll.BDH($C$528,"INVTRY_IN_PROGRESS","FQ4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42" s="3" t="e">
        <f ca="1">_xll.BDH($C$528,"INVTRY_FINISHED_GOODS","FQ4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42" s="3" t="e">
        <f ca="1">_xll.BDH($C$528,"BS_OTHER_INV","FQ4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43" spans="1:113" x14ac:dyDescent="0.3">
      <c r="A543" s="6"/>
      <c r="B543" s="6"/>
      <c r="C543" s="6"/>
      <c r="D543" s="6" t="s">
        <v>84</v>
      </c>
      <c r="E543" t="s">
        <v>77</v>
      </c>
      <c r="F543" t="e">
        <f ca="1">_xll.BDH($C$528,"RETURN_COM_EQY","FY 2017","FY 2017","Currency=INR","Period=FY","BEST_FPERIOD_OVERRIDE=FY","FILING_STATUS=OR","EQY_CONSOLIDATED=Y","FA_ADJUSTED=GAAP","Sort=A","Dates=H","DateFormat=P","Fill=—","Direction=H","UseDPDF=Y")</f>
        <v>#NAME?</v>
      </c>
      <c r="G543" t="e">
        <f ca="1">_xll.BDH($C$528,"RETURN_ON_ASSET","FY 2017","FY 2017","Currency=INR","Period=FY","BEST_FPERIOD_OVERRIDE=FY","FILING_STATUS=OR","EQY_CONSOLIDATED=Y","FA_ADJUSTED=GAAP","Sort=A","Dates=H","DateFormat=P","Fill=—","Direction=H","UseDPDF=Y")</f>
        <v>#NAME?</v>
      </c>
      <c r="H543" t="e">
        <f ca="1">_xll.BDH($C$528,"RETURN_ON_CAP","FY 2017","FY 2017","Currency=INR","Period=FY","BEST_FPERIOD_OVERRIDE=FY","FILING_STATUS=OR","EQY_CONSOLIDATED=Y","FA_ADJUSTED=GAAP","Sort=A","Dates=H","DateFormat=P","Fill=—","Direction=H","UseDPDF=Y")</f>
        <v>#NAME?</v>
      </c>
      <c r="I543" t="e">
        <f ca="1">_xll.BDH($C$528,"RETURN_ON_INV_CAPITAL","FY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43" t="e">
        <f ca="1">_xll.BDH($C$528,"EBITDA_TO_REVENUE","FY 2017","FY 2017","Currency=INR","Period=FY","BEST_FPERIOD_OVERRIDE=FY","FILING_STATUS=OR","EQY_CONSOLIDATED=Y","FA_ADJUSTED=GAAP","Sort=A","Dates=H","DateFormat=P","Fill=—","Direction=H","UseDPDF=Y")</f>
        <v>#NAME?</v>
      </c>
      <c r="K543" t="e">
        <f ca="1">_xll.BDH($C$528,"OPER_MARGIN","FY 2017","FY 2017","Currency=INR","Period=FY","BEST_FPERIOD_OVERRIDE=FY","FILING_STATUS=OR","EQY_CONSOLIDATED=Y","FA_ADJUSTED=GAAP","Sort=A","Dates=H","DateFormat=P","Fill=—","Direction=H","UseDPDF=Y")</f>
        <v>#NAME?</v>
      </c>
      <c r="L543" t="e">
        <f ca="1">_xll.BDH($C$528,"INCREMENTAL_OPERATING_MARGIN","FY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43" t="e">
        <f ca="1">_xll.BDH($C$528,"PRETAX_INC_TO_NET_SALES","FY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43" t="e">
        <f ca="1">_xll.BDH($C$528,"INC_BEF_XO_ITEMS_TO_NET_SALES","FY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43" t="e">
        <f ca="1">_xll.BDH($C$528,"PROF_MARGIN","FY 2017","FY 2017","Currency=INR","Period=FY","BEST_FPERIOD_OVERRIDE=FY","FILING_STATUS=OR","EQY_CONSOLIDATED=Y","FA_ADJUSTED=GAAP","Sort=A","Dates=H","DateFormat=P","Fill=—","Direction=H","UseDPDF=Y")</f>
        <v>#NAME?</v>
      </c>
      <c r="P543" t="e">
        <f ca="1">_xll.BDH($C$528,"NET_INCOME_TO_COMMON_MARGIN","FY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43" t="e">
        <f ca="1">_xll.BDH($C$528,"EFF_TAX_RATE","FY 2017","FY 2017","Currency=INR","Period=FY","BEST_FPERIOD_OVERRIDE=FY","FILING_STATUS=OR","EQY_CONSOLIDATED=Y","FA_ADJUSTED=GAAP","Sort=A","Dates=H","DateFormat=P","Fill=—","Direction=H","UseDPDF=Y")</f>
        <v>#NAME?</v>
      </c>
      <c r="R543" t="e">
        <f ca="1">_xll.BDH($C$528,"DVD_PAYOUT_RATIO","FY 2017","FY 2017","Currency=INR","Period=FY","BEST_FPERIOD_OVERRIDE=FY","FILING_STATUS=OR","EQY_CONSOLIDATED=Y","FA_ADJUSTED=GAAP","Sort=A","Dates=H","DateFormat=P","Fill=—","Direction=H","UseDPDF=Y")</f>
        <v>#NAME?</v>
      </c>
      <c r="S543" t="e">
        <f ca="1">_xll.BDH($C$528,"SUSTAIN_GROWTH_RT","FY 2017","FY 2017","Currency=INR","Period=FY","BEST_FPERIOD_OVERRIDE=FY","FILING_STATUS=OR","EQY_CONSOLIDATED=Y","FA_ADJUSTED=GAAP","Sort=A","Dates=H","DateFormat=P","Fill=—","Direction=H","UseDPDF=Y")</f>
        <v>#NAME?</v>
      </c>
      <c r="T543" s="2" t="e">
        <f ca="1">_xll.BDH($C$528,"SALES_GROWTH","FY 2017","FY 2017","Currency=INR","Period=FY","BEST_FPERIOD_OVERRIDE=FY","FILING_STATUS=OR","EQY_CONSOLIDATED=Y","FA_ADJUSTED=GAAP","Sort=A","Dates=H","DateFormat=P","Fill=—","Direction=H","UseDPDF=Y")</f>
        <v>#NAME?</v>
      </c>
      <c r="U543" s="2" t="e">
        <f ca="1">_xll.BDH($C$528,"EBITDA_GROWTH","FY 2017","FY 2017","Currency=INR","Period=FY","BEST_FPERIOD_OVERRIDE=FY","FILING_STATUS=OR","EQY_CONSOLIDATED=Y","FA_ADJUSTED=GAAP","Sort=A","Dates=H","DateFormat=P","Fill=—","Direction=H","UseDPDF=Y")</f>
        <v>#NAME?</v>
      </c>
      <c r="V543" s="2" t="e">
        <f ca="1">_xll.BDH($C$528,"OPER_INC_GROWTH","FY 2017","FY 2017","Currency=INR","Period=FY","BEST_FPERIOD_OVERRIDE=FY","FILING_STATUS=OR","EQY_CONSOLIDATED=Y","FA_ADJUSTED=GAAP","Sort=A","Dates=H","DateFormat=P","Fill=—","Direction=H","UseDPDF=Y")</f>
        <v>#NAME?</v>
      </c>
      <c r="W543" s="2" t="e">
        <f ca="1">_xll.BDH($C$528,"EARN_FOR_COM_GROWTH","FY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43" s="2" t="e">
        <f ca="1">_xll.BDH($C$528,"DILUTED_EPS_AFT_XO_ITEMS_GROWTH","FY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43" s="2" t="e">
        <f ca="1">_xll.BDH($C$528,"DIVIDEND_PER_SHARE_1_YEAR_GROWTH","FY 2017","FY 2017","Currency=INR","Period=FY","BEST_FPERIOD_OVERRIDE=FY","FILING_STATUS=OR","EQY_CONSOLIDATED=Y","Sort=A","Dates=H","DateFormat=P","Fill=—","Direction=H","UseDPDF=Y")</f>
        <v>#NAME?</v>
      </c>
      <c r="Z543" s="2" t="e">
        <f ca="1">_xll.BDH($C$528,"ACCOUNTS_RECEIVABLE_GROWTH","FY 2017","FY 2017","Currency=INR","Period=FY","BEST_FPERIOD_OVERRIDE=FY","FILING_STATUS=OR","EQY_CONSOLIDATED=Y","Sort=A","Dates=H","DateFormat=P","Fill=—","Direction=H","UseDPDF=Y")</f>
        <v>#NAME?</v>
      </c>
      <c r="AA543" s="2" t="e">
        <f ca="1">_xll.BDH($C$528,"INVENTORY_GROWTH","FY 2017","FY 2017","Currency=INR","Period=FY","BEST_FPERIOD_OVERRIDE=FY","FILING_STATUS=OR","EQY_CONSOLIDATED=Y","Sort=A","Dates=H","DateFormat=P","Fill=—","Direction=H","UseDPDF=Y")</f>
        <v>#NAME?</v>
      </c>
      <c r="AB543" s="2" t="e">
        <f ca="1">_xll.BDH($C$528,"NET_FIXED_ASSETS_1_YEAR_GROWTH","FY 2017","FY 2017","Currency=INR","Period=FY","BEST_FPERIOD_OVERRIDE=FY","FILING_STATUS=OR","EQY_CONSOLIDATED=Y","Sort=A","Dates=H","DateFormat=P","Fill=—","Direction=H","UseDPDF=Y")</f>
        <v>#NAME?</v>
      </c>
      <c r="AC543" s="2" t="e">
        <f ca="1">_xll.BDH($C$528,"ASSET_GROWTH","FY 2017","FY 2017","Currency=INR","Period=FY","BEST_FPERIOD_OVERRIDE=FY","FILING_STATUS=OR","EQY_CONSOLIDATED=Y","Sort=A","Dates=H","DateFormat=P","Fill=—","Direction=H","UseDPDF=Y")</f>
        <v>#NAME?</v>
      </c>
      <c r="AD543" s="2" t="e">
        <f ca="1">_xll.BDH($C$528,"MODIFIED_WORK_CAP_GROWTH","FY 2017","FY 2017","Currency=INR","Period=FY","BEST_FPERIOD_OVERRIDE=FY","FILING_STATUS=OR","EQY_CONSOLIDATED=Y","Sort=A","Dates=H","DateFormat=P","Fill=—","Direction=H","UseDPDF=Y")</f>
        <v>#NAME?</v>
      </c>
      <c r="AE543" s="2" t="e">
        <f ca="1">_xll.BDH($C$528,"WORK_CAP_GROWTH","FY 2017","FY 2017","Currency=INR","Period=FY","BEST_FPERIOD_OVERRIDE=FY","FILING_STATUS=OR","EQY_CONSOLIDATED=Y","Sort=A","Dates=H","DateFormat=P","Fill=—","Direction=H","UseDPDF=Y")</f>
        <v>#NAME?</v>
      </c>
      <c r="AF543" s="2" t="e">
        <f ca="1">_xll.BDH($C$528,"ACCOUNTS_PAYABLE_GROWTH_1YR","FY 2017","FY 2017","Currency=INR","Period=FY","BEST_FPERIOD_OVERRIDE=FY","FILING_STATUS=OR","EQY_CONSOLIDATED=Y","Sort=A","Dates=H","DateFormat=P","Fill=—","Direction=H","UseDPDF=Y")</f>
        <v>#NAME?</v>
      </c>
      <c r="AG543" s="2" t="e">
        <f ca="1">_xll.BDH($C$528,"SHORT_TERM_DEBT_1_YEAR_GROWTH","FY 2017","FY 2017","Currency=INR","Period=FY","BEST_FPERIOD_OVERRIDE=FY","FILING_STATUS=OR","EQY_CONSOLIDATED=Y","Sort=A","Dates=H","DateFormat=P","Fill=—","Direction=H","UseDPDF=Y")</f>
        <v>#NAME?</v>
      </c>
      <c r="AH543" s="2" t="e">
        <f ca="1">_xll.BDH($C$528,"TOTAL_DEBT_1_YEAR_GROWTH","FY 2017","FY 2017","Currency=INR","Period=FY","BEST_FPERIOD_OVERRIDE=FY","FILING_STATUS=OR","EQY_CONSOLIDATED=Y","Sort=A","Dates=H","DateFormat=P","Fill=—","Direction=H","UseDPDF=Y")</f>
        <v>#NAME?</v>
      </c>
      <c r="AI543" s="2" t="e">
        <f ca="1">_xll.BDH($C$528,"TOTAL_EQUITY_1_YEAR_GROWTH","FY 2017","FY 2017","Currency=INR","Period=FY","BEST_FPERIOD_OVERRIDE=FY","FILING_STATUS=OR","EQY_CONSOLIDATED=Y","Sort=A","Dates=H","DateFormat=P","Fill=—","Direction=H","UseDPDF=Y")</f>
        <v>#NAME?</v>
      </c>
      <c r="AJ543" s="2" t="e">
        <f ca="1">_xll.BDH($C$528,"GROWTH_IN_CAP","FY 2017","FY 2017","Currency=INR","Period=FY","BEST_FPERIOD_OVERRIDE=FY","FILING_STATUS=OR","EQY_CONSOLIDATED=Y","Sort=A","Dates=H","DateFormat=P","Fill=—","Direction=H","UseDPDF=Y")</f>
        <v>#NAME?</v>
      </c>
      <c r="AK543" s="2" t="e">
        <f ca="1">_xll.BDH($C$528,"BVPS_GROWTH","FY 2017","FY 2017","Currency=INR","Period=FY","BEST_FPERIOD_OVERRIDE=FY","FILING_STATUS=OR","EQY_CONSOLIDATED=Y","Sort=A","Dates=H","DateFormat=P","Fill=—","Direction=H","UseDPDF=Y")</f>
        <v>#NAME?</v>
      </c>
      <c r="AL543" s="2" t="e">
        <f ca="1">_xll.BDH($C$528,"CASH_FLOW_GROWTH","FY 2017","FY 2017","Currency=INR","Period=FY","BEST_FPERIOD_OVERRIDE=FY","FILING_STATUS=OR","EQY_CONSOLIDATED=Y","Sort=A","Dates=H","DateFormat=P","Fill=—","Direction=H","UseDPDF=Y")</f>
        <v>#NAME?</v>
      </c>
      <c r="AM543" s="2" t="e">
        <f ca="1">_xll.BDH($C$528,"GEO_GROW_NET_SALES","FY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43" s="2" t="e">
        <f ca="1">_xll.BDH($C$528,"GEO_GROW_EBITDA","FY 2017","FY 2017","Currency=INR","Period=FY","BEST_FPERIOD_OVERRIDE=FY","FILING_STATUS=OR","EQY_CONSOLIDATED=Y","FA_ADJUSTED=GAAP","Sort=A","Dates=H","DateFormat=P","Fill=—","Direction=H","UseDPDF=Y")</f>
        <v>#NAME?</v>
      </c>
      <c r="AO543" s="2" t="e">
        <f ca="1">_xll.BDH($C$528,"GEO_GROW_OPER_INC","FY 2017","FY 2017","Currency=INR","Period=FY","BEST_FPERIOD_OVERRIDE=FY","FILING_STATUS=OR","EQY_CONSOLIDATED=Y","FA_ADJUSTED=GAAP","Sort=A","Dates=H","DateFormat=P","Fill=—","Direction=H","UseDPDF=Y")</f>
        <v>#NAME?</v>
      </c>
      <c r="AP543" s="2" t="e">
        <f ca="1">_xll.BDH($C$528,"NET_INCOME_TO_COMMON_5_YR_GROWTH","FY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43" s="2" t="e">
        <f ca="1">_xll.BDH($C$528,"5Y_GEO_GROWTH_DILUTED_EPS","FY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43" s="2" t="e">
        <f ca="1">_xll.BDH($C$528,"GEO_GROW_DVD_PER_SH","FY 2017","FY 2017","Currency=INR","Period=FY","BEST_FPERIOD_OVERRIDE=FY","FILING_STATUS=OR","EQY_CONSOLIDATED=Y","Sort=A","Dates=H","DateFormat=P","Fill=—","Direction=H","UseDPDF=Y")</f>
        <v>#NAME?</v>
      </c>
      <c r="AS543" s="2" t="e">
        <f ca="1">_xll.BDH($C$528,"ACCOUNTS_RECEIVABLE_5_YR_GROWTH","FY 2017","FY 2017","Currency=INR","Period=FY","BEST_FPERIOD_OVERRIDE=FY","FILING_STATUS=OR","EQY_CONSOLIDATED=Y","Sort=A","Dates=H","DateFormat=P","Fill=—","Direction=H","UseDPDF=Y")</f>
        <v>#NAME?</v>
      </c>
      <c r="AT543" s="2" t="e">
        <f ca="1">_xll.BDH($C$528,"INVENTORY_5_YEAR_GROWTH","FY 2017","FY 2017","Currency=INR","Period=FY","BEST_FPERIOD_OVERRIDE=FY","FILING_STATUS=OR","EQY_CONSOLIDATED=Y","Sort=A","Dates=H","DateFormat=P","Fill=—","Direction=H","UseDPDF=Y")</f>
        <v>#NAME?</v>
      </c>
      <c r="AU543" s="2" t="e">
        <f ca="1">_xll.BDH($C$528,"NET_FIXED_ASSETS_5_YEAR_GROWTH","FY 2017","FY 2017","Currency=INR","Period=FY","BEST_FPERIOD_OVERRIDE=FY","FILING_STATUS=OR","EQY_CONSOLIDATED=Y","Sort=A","Dates=H","DateFormat=P","Fill=—","Direction=H","UseDPDF=Y")</f>
        <v>#NAME?</v>
      </c>
      <c r="AV543" s="2" t="e">
        <f ca="1">_xll.BDH($C$528,"GEO_GROW_TOT_ASSET","FY 2017","FY 2017","Currency=INR","Period=FY","BEST_FPERIOD_OVERRIDE=FY","FILING_STATUS=OR","EQY_CONSOLIDATED=Y","Sort=A","Dates=H","DateFormat=P","Fill=—","Direction=H","UseDPDF=Y")</f>
        <v>#NAME?</v>
      </c>
      <c r="AW543" s="2" t="e">
        <f ca="1">_xll.BDH($C$528,"MODIFIED_WORKING_CPTL_5YR_GRWTH","FY 2017","FY 2017","Currency=INR","Period=FY","BEST_FPERIOD_OVERRIDE=FY","FILING_STATUS=OR","EQY_CONSOLIDATED=Y","Sort=A","Dates=H","DateFormat=P","Fill=—","Direction=H","UseDPDF=Y")</f>
        <v>#NAME?</v>
      </c>
      <c r="AX543" s="2" t="e">
        <f ca="1">_xll.BDH($C$528,"WORKING_CAPITAL_5_YEAR_GROWTH","FY 2017","FY 2017","Currency=INR","Period=FY","BEST_FPERIOD_OVERRIDE=FY","FILING_STATUS=OR","EQY_CONSOLIDATED=Y","Sort=A","Dates=H","DateFormat=P","Fill=—","Direction=H","UseDPDF=Y")</f>
        <v>#NAME?</v>
      </c>
      <c r="AY543" s="2" t="e">
        <f ca="1">_xll.BDH($C$528,"ACCOUNTS_PAYABLE_5_YEAR_GROWTH","FY 2017","FY 2017","Currency=INR","Period=FY","BEST_FPERIOD_OVERRIDE=FY","FILING_STATUS=OR","EQY_CONSOLIDATED=Y","Sort=A","Dates=H","DateFormat=P","Fill=—","Direction=H","UseDPDF=Y")</f>
        <v>#NAME?</v>
      </c>
      <c r="AZ543" s="2" t="e">
        <f ca="1">_xll.BDH($C$528,"SHORT_TERM_DEBT_5_YEAR_GROWTH","FY 2017","FY 2017","Currency=INR","Period=FY","BEST_FPERIOD_OVERRIDE=FY","FILING_STATUS=OR","EQY_CONSOLIDATED=Y","Sort=A","Dates=H","DateFormat=P","Fill=—","Direction=H","UseDPDF=Y")</f>
        <v>#NAME?</v>
      </c>
      <c r="BA543" s="2" t="e">
        <f ca="1">_xll.BDH($C$528,"TOTAL_DEBT_5_YEAR_GROWTH","FY 2017","FY 2017","Currency=INR","Period=FY","BEST_FPERIOD_OVERRIDE=FY","FILING_STATUS=OR","EQY_CONSOLIDATED=Y","Sort=A","Dates=H","DateFormat=P","Fill=—","Direction=H","UseDPDF=Y")</f>
        <v>#NAME?</v>
      </c>
      <c r="BB543" s="2" t="e">
        <f ca="1">_xll.BDH($C$528,"GEO_GROW_TOT_SHRHLDR_EQY","FY 2017","FY 2017","Currency=INR","Period=FY","BEST_FPERIOD_OVERRIDE=FY","FILING_STATUS=OR","EQY_CONSOLIDATED=Y","Sort=A","Dates=H","DateFormat=P","Fill=—","Direction=H","UseDPDF=Y")</f>
        <v>#NAME?</v>
      </c>
      <c r="BC543" s="2" t="e">
        <f ca="1">_xll.BDH($C$528,"TOTAL_CAPITAL_5_YEAR_GROWTH","FY 2017","FY 2017","Currency=INR","Period=FY","BEST_FPERIOD_OVERRIDE=FY","FILING_STATUS=OR","EQY_CONSOLIDATED=Y","Sort=A","Dates=H","DateFormat=P","Fill=—","Direction=H","UseDPDF=Y")</f>
        <v>#NAME?</v>
      </c>
      <c r="BD543" s="2" t="e">
        <f ca="1">_xll.BDH($C$528,"GEO_GROW_BOOK_VAL","FY 2017","FY 2017","Currency=INR","Period=FY","BEST_FPERIOD_OVERRIDE=FY","FILING_STATUS=OR","EQY_CONSOLIDATED=Y","Sort=A","Dates=H","DateFormat=P","Fill=—","Direction=H","UseDPDF=Y")</f>
        <v>#NAME?</v>
      </c>
      <c r="BE543" s="2" t="e">
        <f ca="1">_xll.BDH($C$528,"GEO_GROW_CASH_OPER_ACT","FY 2017","FY 2017","Currency=INR","Period=FY","BEST_FPERIOD_OVERRIDE=FY","FILING_STATUS=OR","EQY_CONSOLIDATED=Y","Sort=A","Dates=H","DateFormat=P","Fill=—","Direction=H","UseDPDF=Y")</f>
        <v>#NAME?</v>
      </c>
      <c r="BF543" s="2" t="e">
        <f ca="1">_xll.BDH($C$528,"REVENUE_SEQUENTIAL_GROWTH","FY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43" s="2" t="e">
        <f ca="1">_xll.BDH($C$528,"EBITDA_SEQUENTIAL_GROWTH","FY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43" s="2" t="e">
        <f ca="1">_xll.BDH($C$528,"OPERATING_INCOME_SEQ_GROWTH","FY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43" s="2" t="e">
        <f ca="1">_xll.BDH($C$528,"NET_INCOME_TO_COMMON_SEQ_GROWTH","FY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43" s="2" t="e">
        <f ca="1">_xll.BDH($C$528,"EPS_DILUTED_SEQUENTIAL_GROWTH","FY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43" s="2" t="e">
        <f ca="1">_xll.BDH($C$528,"DPS_SEQUENTIAL_GROWTH","FY 2017","FY 2017","Currency=INR","Period=FY","BEST_FPERIOD_OVERRIDE=FY","FILING_STATUS=OR","EQY_CONSOLIDATED=Y","Sort=A","Dates=H","DateFormat=P","Fill=—","Direction=H","UseDPDF=Y")</f>
        <v>#NAME?</v>
      </c>
      <c r="BL543" s="2" t="e">
        <f ca="1">_xll.BDH($C$528,"ACCOUNTS_RECEIVABLE_SEQ_GROWTH","FY 2017","FY 2017","Currency=INR","Period=FY","BEST_FPERIOD_OVERRIDE=FY","FILING_STATUS=OR","EQY_CONSOLIDATED=Y","Sort=A","Dates=H","DateFormat=P","Fill=—","Direction=H","UseDPDF=Y")</f>
        <v>#NAME?</v>
      </c>
      <c r="BM543" s="2" t="e">
        <f ca="1">_xll.BDH($C$528,"INVENTORY_SEQUENTIAL_GROWTH","FY 2017","FY 2017","Currency=INR","Period=FY","BEST_FPERIOD_OVERRIDE=FY","FILING_STATUS=OR","EQY_CONSOLIDATED=Y","Sort=A","Dates=H","DateFormat=P","Fill=—","Direction=H","UseDPDF=Y")</f>
        <v>#NAME?</v>
      </c>
      <c r="BN543" s="2" t="e">
        <f ca="1">_xll.BDH($C$528,"FIXED_ASSETS_SEQUENTIAL_GROWTH","FY 2017","FY 2017","Currency=INR","Period=FY","BEST_FPERIOD_OVERRIDE=FY","FILING_STATUS=OR","EQY_CONSOLIDATED=Y","Sort=A","Dates=H","DateFormat=P","Fill=—","Direction=H","UseDPDF=Y")</f>
        <v>#NAME?</v>
      </c>
      <c r="BO543" s="2" t="e">
        <f ca="1">_xll.BDH($C$528,"TOTAL_ASSETS_SEQUENTIAL_GROWTH","FY 2017","FY 2017","Currency=INR","Period=FY","BEST_FPERIOD_OVERRIDE=FY","FILING_STATUS=OR","EQY_CONSOLIDATED=Y","Sort=A","Dates=H","DateFormat=P","Fill=—","Direction=H","UseDPDF=Y")</f>
        <v>#NAME?</v>
      </c>
      <c r="BP543" s="2" t="e">
        <f ca="1">_xll.BDH($C$528,"MODIFIED_WORKING_CPTL_SEQ_GRWTH","FY 2017","FY 2017","Currency=INR","Period=FY","BEST_FPERIOD_OVERRIDE=FY","FILING_STATUS=OR","EQY_CONSOLIDATED=Y","Sort=A","Dates=H","DateFormat=P","Fill=—","Direction=H","UseDPDF=Y")</f>
        <v>#NAME?</v>
      </c>
      <c r="BQ543" s="2" t="e">
        <f ca="1">_xll.BDH($C$528,"WORKING_CAPITAL_SEQ_GROWTH","FY 2017","FY 2017","Currency=INR","Period=FY","BEST_FPERIOD_OVERRIDE=FY","FILING_STATUS=OR","EQY_CONSOLIDATED=Y","Sort=A","Dates=H","DateFormat=P","Fill=—","Direction=H","UseDPDF=Y")</f>
        <v>#NAME?</v>
      </c>
      <c r="BR543" s="2" t="e">
        <f ca="1">_xll.BDH($C$528,"ACCOUNTS_PAYABLE_SEQ_GROWTH","FY 2017","FY 2017","Currency=INR","Period=FY","BEST_FPERIOD_OVERRIDE=FY","FILING_STATUS=OR","EQY_CONSOLIDATED=Y","Sort=A","Dates=H","DateFormat=P","Fill=—","Direction=H","UseDPDF=Y")</f>
        <v>#NAME?</v>
      </c>
      <c r="BS543" s="2" t="e">
        <f ca="1">_xll.BDH($C$528,"ST_DEBT_SEQUENTIAL_GROWTH","FY 2017","FY 2017","Currency=INR","Period=FY","BEST_FPERIOD_OVERRIDE=FY","FILING_STATUS=OR","EQY_CONSOLIDATED=Y","Sort=A","Dates=H","DateFormat=P","Fill=—","Direction=H","UseDPDF=Y")</f>
        <v>#NAME?</v>
      </c>
      <c r="BT543" s="2" t="e">
        <f ca="1">_xll.BDH($C$528,"TOTAL_DEBT_SEQUENTIAL_GROWTH","FY 2017","FY 2017","Currency=INR","Period=FY","BEST_FPERIOD_OVERRIDE=FY","FILING_STATUS=OR","EQY_CONSOLIDATED=Y","Sort=A","Dates=H","DateFormat=P","Fill=—","Direction=H","UseDPDF=Y")</f>
        <v>#NAME?</v>
      </c>
      <c r="BU543" s="2" t="e">
        <f ca="1">_xll.BDH($C$528,"TOTAL_EQUITY_SEQUENTIAL_GROWTH","FY 2017","FY 2017","Currency=INR","Period=FY","BEST_FPERIOD_OVERRIDE=FY","FILING_STATUS=OR","EQY_CONSOLIDATED=Y","Sort=A","Dates=H","DateFormat=P","Fill=—","Direction=H","UseDPDF=Y")</f>
        <v>#NAME?</v>
      </c>
      <c r="BV543" s="2" t="e">
        <f ca="1">_xll.BDH($C$528,"TOTAL_CAPITAL_SEQUENTIAL_GROWTH","FY 2017","FY 2017","Currency=INR","Period=FY","BEST_FPERIOD_OVERRIDE=FY","FILING_STATUS=OR","EQY_CONSOLIDATED=Y","Sort=A","Dates=H","DateFormat=P","Fill=—","Direction=H","UseDPDF=Y")</f>
        <v>#NAME?</v>
      </c>
      <c r="BW543" s="2" t="e">
        <f ca="1">_xll.BDH($C$528,"BPS_SEQUENTIAL_GROWTH","FY 2017","FY 2017","Currency=INR","Period=FY","BEST_FPERIOD_OVERRIDE=FY","FILING_STATUS=OR","EQY_CONSOLIDATED=Y","Sort=A","Dates=H","DateFormat=P","Fill=—","Direction=H","UseDPDF=Y")</f>
        <v>#NAME?</v>
      </c>
      <c r="BX543" s="2" t="e">
        <f ca="1">_xll.BDH($C$528,"CFO_SEQUENTIAL_GROWTH","FY 2017","FY 2017","Currency=INR","Period=FY","BEST_FPERIOD_OVERRIDE=FY","FILING_STATUS=OR","EQY_CONSOLIDATED=Y","Sort=A","Dates=H","DateFormat=P","Fill=—","Direction=H","UseDPDF=Y")</f>
        <v>#NAME?</v>
      </c>
      <c r="BY543" s="3" t="e">
        <f ca="1">_xll.BDH($C$528,"SHORT_AND_LONG_TERM_DEBT","FY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43" s="3" t="e">
        <f ca="1">_xll.BDH($C$528,"BS_ST_BORROW","FY 2017","FY 2017","Currency=INR","Period=FY","BEST_FPERIOD_OVERRIDE=FY","FILING_STATUS=OR","EQY_CONSOLIDATED=Y","SCALING_FORMAT=MLN","Sort=A","Dates=H","DateFormat=P","Fill=—","Direction=H","UseDPDF=Y")</f>
        <v>#NAME?</v>
      </c>
      <c r="CA543" s="3" t="e">
        <f ca="1">_xll.BDH($C$528,"BS_LT_BORROW","FY 2017","FY 2017","Currency=INR","Period=FY","BEST_FPERIOD_OVERRIDE=FY","FILING_STATUS=OR","EQY_CONSOLIDATED=Y","SCALING_FORMAT=MLN","Sort=A","Dates=H","DateFormat=P","Fill=—","Direction=H","UseDPDF=Y")</f>
        <v>#NAME?</v>
      </c>
      <c r="CB543" s="2" t="e">
        <f ca="1">_xll.BDH($C$528,"TOT_DEBT_TO_EBITDA","FY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43" s="2" t="e">
        <f ca="1">_xll.BDH($C$528,"NET_DEBT_TO_EBITDA","FY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43" s="2" t="e">
        <f ca="1">_xll.BDH($C$528,"TOTAL_DEBT_TO_EBIT","FY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43" s="2" t="e">
        <f ca="1">_xll.BDH($C$528,"NET_DEBT_TO_EBIT","FY 2017","FY 2017","Currency=INR","Period=FY","BEST_FPERIOD_OVERRIDE=FY","FILING_STATUS=OR","EQY_CONSOLIDATED=Y","FA_ADJUSTED=GAAP","Sort=A","Dates=H","DateFormat=P","Fill=—","Direction=H","UseDPDF=Y")</f>
        <v>#NAME?</v>
      </c>
      <c r="CF543" s="2" t="e">
        <f ca="1">_xll.BDH($C$528,"EBITDA_TO_INTEREST_EXPN","FY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43" s="2" t="e">
        <f ca="1">_xll.BDH($C$528,"COM_EQY_TO_TOT_ASSET","FY 2017","FY 2017","Currency=INR","Period=FY","BEST_FPERIOD_OVERRIDE=FY","FILING_STATUS=OR","EQY_CONSOLIDATED=Y","Sort=A","Dates=H","DateFormat=P","Fill=—","Direction=H","UseDPDF=Y")</f>
        <v>#NAME?</v>
      </c>
      <c r="CH543" s="2" t="e">
        <f ca="1">_xll.BDH($C$528,"LT_DEBT_TO_TOT_EQY","FY 2017","FY 2017","Currency=INR","Period=FY","BEST_FPERIOD_OVERRIDE=FY","FILING_STATUS=OR","EQY_CONSOLIDATED=Y","Sort=A","Dates=H","DateFormat=P","Fill=—","Direction=H","UseDPDF=Y")</f>
        <v>#NAME?</v>
      </c>
      <c r="CI543" s="2" t="e">
        <f ca="1">_xll.BDH($C$528,"LT_DEBT_TO_TOT_CAP","FY 2017","FY 2017","Currency=INR","Period=FY","BEST_FPERIOD_OVERRIDE=FY","FILING_STATUS=OR","EQY_CONSOLIDATED=Y","Sort=A","Dates=H","DateFormat=P","Fill=—","Direction=H","UseDPDF=Y")</f>
        <v>#NAME?</v>
      </c>
      <c r="CJ543" s="2" t="e">
        <f ca="1">_xll.BDH($C$528,"LT_DEBT_TO_TOT_ASSET","FY 2017","FY 2017","Currency=INR","Period=FY","BEST_FPERIOD_OVERRIDE=FY","FILING_STATUS=OR","EQY_CONSOLIDATED=Y","Sort=A","Dates=H","DateFormat=P","Fill=—","Direction=H","UseDPDF=Y")</f>
        <v>#NAME?</v>
      </c>
      <c r="CK543" s="2" t="e">
        <f ca="1">_xll.BDH($C$528,"TOT_DEBT_TO_TOT_EQY","FY 2017","FY 2017","Currency=INR","Period=FY","BEST_FPERIOD_OVERRIDE=FY","FILING_STATUS=OR","EQY_CONSOLIDATED=Y","Sort=A","Dates=H","DateFormat=P","Fill=—","Direction=H","UseDPDF=Y")</f>
        <v>#NAME?</v>
      </c>
      <c r="CL543" s="2" t="e">
        <f ca="1">_xll.BDH($C$528,"TOT_DEBT_TO_TOT_CAP","FY 2017","FY 2017","Currency=INR","Period=FY","BEST_FPERIOD_OVERRIDE=FY","FILING_STATUS=OR","EQY_CONSOLIDATED=Y","Sort=A","Dates=H","DateFormat=P","Fill=—","Direction=H","UseDPDF=Y")</f>
        <v>#NAME?</v>
      </c>
      <c r="CM543" s="2" t="e">
        <f ca="1">_xll.BDH($C$528,"TOT_DEBT_TO_TOT_ASSET","FY 2017","FY 2017","Currency=INR","Period=FY","BEST_FPERIOD_OVERRIDE=FY","FILING_STATUS=OR","EQY_CONSOLIDATED=Y","Sort=A","Dates=H","DateFormat=P","Fill=—","Direction=H","UseDPDF=Y")</f>
        <v>#NAME?</v>
      </c>
      <c r="CN543" s="2" t="e">
        <f ca="1">_xll.BDH($C$528,"NET_DEBT_TO_SHRHLDR_EQTY","FY 2017","FY 2017","Currency=INR","Period=FY","BEST_FPERIOD_OVERRIDE=FY","FILING_STATUS=OR","EQY_CONSOLIDATED=Y","Sort=A","Dates=H","DateFormat=P","Fill=—","Direction=H","UseDPDF=Y")</f>
        <v>#NAME?</v>
      </c>
      <c r="CO543" s="2" t="e">
        <f ca="1">_xll.BDH($C$528,"NET_DEBT_%_CAPITAL","FY 2017","FY 2017","Currency=INR","Period=FY","BEST_FPERIOD_OVERRIDE=FY","FILING_STATUS=OR","EQY_CONSOLIDATED=Y","Sort=A","Dates=H","DateFormat=P","Fill=—","Direction=H","UseDPDF=Y")</f>
        <v>#NAME?</v>
      </c>
      <c r="CP543" s="3" t="e">
        <f ca="1">_xll.BDH($C$528,"EBITDA","FY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43" s="3" t="e">
        <f ca="1">_xll.BDH($C$528,"EBITDA_AFTER_CAPEX","FY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43" s="3" t="e">
        <f ca="1">_xll.BDH($C$528,"IS_OPER_INC","FY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43" s="2" t="e">
        <f ca="1">_xll.BDH($C$528,"CASH_RATIO","FY 2017","FY 2017","Currency=INR","Period=FY","BEST_FPERIOD_OVERRIDE=FY","FILING_STATUS=OR","EQY_CONSOLIDATED=Y","Sort=A","Dates=H","DateFormat=P","Fill=—","Direction=H","UseDPDF=Y")</f>
        <v>#NAME?</v>
      </c>
      <c r="CT543" s="2" t="e">
        <f ca="1">_xll.BDH($C$528,"CUR_RATIO","FY 2017","FY 2017","Currency=INR","Period=FY","BEST_FPERIOD_OVERRIDE=FY","FILING_STATUS=OR","EQY_CONSOLIDATED=Y","Sort=A","Dates=H","DateFormat=P","Fill=—","Direction=H","UseDPDF=Y")</f>
        <v>#NAME?</v>
      </c>
      <c r="CU543" s="2" t="e">
        <f ca="1">_xll.BDH($C$528,"QUICK_RATIO","FY 2017","FY 2017","Currency=INR","Period=FY","BEST_FPERIOD_OVERRIDE=FY","FILING_STATUS=OR","EQY_CONSOLIDATED=Y","Sort=A","Dates=H","DateFormat=P","Fill=—","Direction=H","UseDPDF=Y")</f>
        <v>#NAME?</v>
      </c>
      <c r="CV543" s="2" t="e">
        <f ca="1">_xll.BDH($C$528,"ALTMAN_Z_SCORE","FY 2017","FY 2017","Currency=INR","Period=FY","BEST_FPERIOD_OVERRIDE=FY","FILING_STATUS=OR","EQY_CONSOLIDATED=Y","Sort=A","Dates=H","DateFormat=P","Fill=—","Direction=H","UseDPDF=Y")</f>
        <v>#NAME?</v>
      </c>
      <c r="CW543" s="4" t="e">
        <f ca="1">_xll.BDH($C$528,"ACCT_RCV_TURN","FY 2017","FY 2017","Currency=INR","Period=FY","BEST_FPERIOD_OVERRIDE=FY","FILING_STATUS=OR","EQY_CONSOLIDATED=Y","FA_ADJUSTED=GAAP","Sort=A","Dates=H","DateFormat=P","Fill=—","Direction=H","UseDPDF=Y")</f>
        <v>#NAME?</v>
      </c>
      <c r="CX543" s="2" t="e">
        <f ca="1">_xll.BDH($C$528,"ACCT_RCV_DAYS","FY 2017","FY 2017","Currency=INR","Period=FY","BEST_FPERIOD_OVERRIDE=FY","FILING_STATUS=OR","EQY_CONSOLIDATED=Y","FA_ADJUSTED=GAAP","Sort=A","Dates=H","DateFormat=P","Fill=—","Direction=H","UseDPDF=Y")</f>
        <v>#NAME?</v>
      </c>
      <c r="CY543" s="4" t="e">
        <f ca="1">_xll.BDH($C$528,"INVENT_TURN","FY 2017","FY 2017","Currency=INR","Period=FY","BEST_FPERIOD_OVERRIDE=FY","FILING_STATUS=OR","EQY_CONSOLIDATED=Y","FA_ADJUSTED=GAAP","Sort=A","Dates=H","DateFormat=P","Fill=—","Direction=H","UseDPDF=Y")</f>
        <v>#NAME?</v>
      </c>
      <c r="CZ543" s="2" t="e">
        <f ca="1">_xll.BDH($C$528,"INVENT_DAYS","FY 2017","FY 2017","Currency=INR","Period=FY","BEST_FPERIOD_OVERRIDE=FY","FILING_STATUS=OR","EQY_CONSOLIDATED=Y","FA_ADJUSTED=GAAP","Sort=A","Dates=H","DateFormat=P","Fill=—","Direction=H","UseDPDF=Y")</f>
        <v>#NAME?</v>
      </c>
      <c r="DA543" s="4" t="e">
        <f ca="1">_xll.BDH($C$528,"ACCOUNTS_PAYABLE_TURNOVER","FY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43" s="2" t="e">
        <f ca="1">_xll.BDH($C$528,"ACCOUNTS_PAYABLE_TURNOVER_DAYS","FY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43" s="4" t="e">
        <f ca="1">_xll.BDH($C$528,"CASH_CONVERSION_CYCLE","FY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43" s="4" t="e">
        <f ca="1">_xll.BDH($C$528,"INV_TO_CASH_DAYS","FY 2017","FY 2017","Currency=INR","Period=FY","BEST_FPERIOD_OVERRIDE=FY","FILING_STATUS=OR","EQY_CONSOLIDATED=Y","FA_ADJUSTED=GAAP","Sort=A","Dates=H","DateFormat=P","Fill=—","Direction=H","UseDPDF=Y")</f>
        <v>#NAME?</v>
      </c>
      <c r="DE543" s="5" t="e">
        <f ca="1">_xll.BDH($C$528,"BS_INVENTORIES","FY 2017","FY 2017","Currency=INR","Period=FY","BEST_FPERIOD_OVERRIDE=FY","FILING_STATUS=OR","EQY_CONSOLIDATED=Y","SCALING_FORMAT=MLN","Sort=A","Dates=H","DateFormat=P","Fill=—","Direction=H","UseDPDF=Y")</f>
        <v>#NAME?</v>
      </c>
      <c r="DF543" s="3" t="e">
        <f ca="1">_xll.BDH($C$528,"INVTRY_RAW_MATERIALS","FY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43" s="3" t="e">
        <f ca="1">_xll.BDH($C$528,"INVTRY_IN_PROGRESS","FY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43" s="3" t="e">
        <f ca="1">_xll.BDH($C$528,"INVTRY_FINISHED_GOODS","FY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43" s="3" t="e">
        <f ca="1">_xll.BDH($C$528,"BS_OTHER_INV","FY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44" spans="1:113" x14ac:dyDescent="0.3">
      <c r="A544" s="6"/>
      <c r="B544" s="6"/>
      <c r="C544" s="6"/>
      <c r="D544" s="6"/>
      <c r="E544" t="s">
        <v>78</v>
      </c>
      <c r="F544" t="e">
        <f ca="1">_xll.BDH($C$528,"RETURN_COM_EQY","FQ1 2017","FQ1 2017","Currency=INR","Period=FQ","BEST_FPERIOD_OVERRIDE=FQ","FILING_STATUS=OR","EQY_CONSOLIDATED=Y","FA_ADJUSTED=GAAP","Sort=A","Dates=H","DateFormat=P","Fill=—","Direction=H","UseDPDF=Y")</f>
        <v>#NAME?</v>
      </c>
      <c r="G544" t="e">
        <f ca="1">_xll.BDH($C$528,"RETURN_ON_ASSET","FQ1 2017","FQ1 2017","Currency=INR","Period=FQ","BEST_FPERIOD_OVERRIDE=FQ","FILING_STATUS=OR","EQY_CONSOLIDATED=Y","FA_ADJUSTED=GAAP","Sort=A","Dates=H","DateFormat=P","Fill=—","Direction=H","UseDPDF=Y")</f>
        <v>#NAME?</v>
      </c>
      <c r="H544" t="e">
        <f ca="1">_xll.BDH($C$528,"RETURN_ON_CAP","FQ1 2017","FQ1 2017","Currency=INR","Period=FQ","BEST_FPERIOD_OVERRIDE=FQ","FILING_STATUS=OR","EQY_CONSOLIDATED=Y","FA_ADJUSTED=GAAP","Sort=A","Dates=H","DateFormat=P","Fill=—","Direction=H","UseDPDF=Y")</f>
        <v>#NAME?</v>
      </c>
      <c r="I544" t="e">
        <f ca="1">_xll.BDH($C$528,"RETURN_ON_INV_CAPITAL","FQ1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44" t="e">
        <f ca="1">_xll.BDH($C$528,"EBITDA_TO_REVENUE","FQ1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44" t="e">
        <f ca="1">_xll.BDH($C$528,"OPER_MARGIN","FQ1 2017","FQ1 2017","Currency=INR","Period=FQ","BEST_FPERIOD_OVERRIDE=FQ","FILING_STATUS=OR","EQY_CONSOLIDATED=Y","FA_ADJUSTED=GAAP","Sort=A","Dates=H","DateFormat=P","Fill=—","Direction=H","UseDPDF=Y")</f>
        <v>#NAME?</v>
      </c>
      <c r="L544" t="e">
        <f ca="1">_xll.BDH($C$528,"INCREMENTAL_OPERATING_MARGIN","FQ1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44" t="e">
        <f ca="1">_xll.BDH($C$528,"PRETAX_INC_TO_NET_SALES","FQ1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44" t="e">
        <f ca="1">_xll.BDH($C$528,"INC_BEF_XO_ITEMS_TO_NET_SALES","FQ1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44" t="e">
        <f ca="1">_xll.BDH($C$528,"PROF_MARGIN","FQ1 2017","FQ1 2017","Currency=INR","Period=FQ","BEST_FPERIOD_OVERRIDE=FQ","FILING_STATUS=OR","EQY_CONSOLIDATED=Y","FA_ADJUSTED=GAAP","Sort=A","Dates=H","DateFormat=P","Fill=—","Direction=H","UseDPDF=Y")</f>
        <v>#NAME?</v>
      </c>
      <c r="P544" t="e">
        <f ca="1">_xll.BDH($C$528,"NET_INCOME_TO_COMMON_MARGIN","FQ1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44" t="e">
        <f ca="1">_xll.BDH($C$528,"EFF_TAX_RATE","FQ1 2017","FQ1 2017","Currency=INR","Period=FQ","BEST_FPERIOD_OVERRIDE=FQ","FILING_STATUS=OR","EQY_CONSOLIDATED=Y","FA_ADJUSTED=GAAP","Sort=A","Dates=H","DateFormat=P","Fill=—","Direction=H","UseDPDF=Y")</f>
        <v>#NAME?</v>
      </c>
      <c r="R544" t="e">
        <f ca="1">_xll.BDH($C$528,"DVD_PAYOUT_RATIO","FQ1 2017","FQ1 2017","Currency=INR","Period=FQ","BEST_FPERIOD_OVERRIDE=FQ","FILING_STATUS=OR","EQY_CONSOLIDATED=Y","FA_ADJUSTED=GAAP","Sort=A","Dates=H","DateFormat=P","Fill=—","Direction=H","UseDPDF=Y")</f>
        <v>#NAME?</v>
      </c>
      <c r="S544" t="e">
        <f ca="1">_xll.BDH($C$528,"SUSTAIN_GROWTH_RT","FQ1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44" s="2" t="e">
        <f ca="1">_xll.BDH($C$528,"SALES_GROWTH","FQ1 2017","FQ1 2017","Currency=INR","Period=FQ","BEST_FPERIOD_OVERRIDE=FQ","FILING_STATUS=OR","EQY_CONSOLIDATED=Y","FA_ADJUSTED=GAAP","Sort=A","Dates=H","DateFormat=P","Fill=—","Direction=H","UseDPDF=Y")</f>
        <v>#NAME?</v>
      </c>
      <c r="U544" s="2" t="e">
        <f ca="1">_xll.BDH($C$528,"EBITDA_GROWTH","FQ1 2017","FQ1 2017","Currency=INR","Period=FQ","BEST_FPERIOD_OVERRIDE=FQ","FILING_STATUS=OR","EQY_CONSOLIDATED=Y","FA_ADJUSTED=GAAP","Sort=A","Dates=H","DateFormat=P","Fill=—","Direction=H","UseDPDF=Y")</f>
        <v>#NAME?</v>
      </c>
      <c r="V544" s="2" t="e">
        <f ca="1">_xll.BDH($C$528,"OPER_INC_GROWTH","FQ1 2017","FQ1 2017","Currency=INR","Period=FQ","BEST_FPERIOD_OVERRIDE=FQ","FILING_STATUS=OR","EQY_CONSOLIDATED=Y","FA_ADJUSTED=GAAP","Sort=A","Dates=H","DateFormat=P","Fill=—","Direction=H","UseDPDF=Y")</f>
        <v>#NAME?</v>
      </c>
      <c r="W544" s="2" t="e">
        <f ca="1">_xll.BDH($C$528,"EARN_FOR_COM_GROWTH","FQ1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44" s="2" t="e">
        <f ca="1">_xll.BDH($C$528,"DILUTED_EPS_AFT_XO_ITEMS_GROWTH","FQ1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44" s="2" t="e">
        <f ca="1">_xll.BDH($C$528,"DIVIDEND_PER_SHARE_1_YEAR_GROWTH","FQ1 2017","FQ1 2017","Currency=INR","Period=FQ","BEST_FPERIOD_OVERRIDE=FQ","FILING_STATUS=OR","EQY_CONSOLIDATED=Y","Sort=A","Dates=H","DateFormat=P","Fill=—","Direction=H","UseDPDF=Y")</f>
        <v>#NAME?</v>
      </c>
      <c r="Z544" s="2" t="e">
        <f ca="1">_xll.BDH($C$528,"ACCOUNTS_RECEIVABLE_GROWTH","FQ1 2017","FQ1 2017","Currency=INR","Period=FQ","BEST_FPERIOD_OVERRIDE=FQ","FILING_STATUS=OR","EQY_CONSOLIDATED=Y","Sort=A","Dates=H","DateFormat=P","Fill=—","Direction=H","UseDPDF=Y")</f>
        <v>#NAME?</v>
      </c>
      <c r="AA544" s="2" t="e">
        <f ca="1">_xll.BDH($C$528,"INVENTORY_GROWTH","FQ1 2017","FQ1 2017","Currency=INR","Period=FQ","BEST_FPERIOD_OVERRIDE=FQ","FILING_STATUS=OR","EQY_CONSOLIDATED=Y","Sort=A","Dates=H","DateFormat=P","Fill=—","Direction=H","UseDPDF=Y")</f>
        <v>#NAME?</v>
      </c>
      <c r="AB544" s="2" t="e">
        <f ca="1">_xll.BDH($C$528,"NET_FIXED_ASSETS_1_YEAR_GROWTH","FQ1 2017","FQ1 2017","Currency=INR","Period=FQ","BEST_FPERIOD_OVERRIDE=FQ","FILING_STATUS=OR","EQY_CONSOLIDATED=Y","Sort=A","Dates=H","DateFormat=P","Fill=—","Direction=H","UseDPDF=Y")</f>
        <v>#NAME?</v>
      </c>
      <c r="AC544" s="2" t="e">
        <f ca="1">_xll.BDH($C$528,"ASSET_GROWTH","FQ1 2017","FQ1 2017","Currency=INR","Period=FQ","BEST_FPERIOD_OVERRIDE=FQ","FILING_STATUS=OR","EQY_CONSOLIDATED=Y","Sort=A","Dates=H","DateFormat=P","Fill=—","Direction=H","UseDPDF=Y")</f>
        <v>#NAME?</v>
      </c>
      <c r="AD544" s="2" t="e">
        <f ca="1">_xll.BDH($C$528,"MODIFIED_WORK_CAP_GROWTH","FQ1 2017","FQ1 2017","Currency=INR","Period=FQ","BEST_FPERIOD_OVERRIDE=FQ","FILING_STATUS=OR","EQY_CONSOLIDATED=Y","Sort=A","Dates=H","DateFormat=P","Fill=—","Direction=H","UseDPDF=Y")</f>
        <v>#NAME?</v>
      </c>
      <c r="AE544" s="2" t="e">
        <f ca="1">_xll.BDH($C$528,"WORK_CAP_GROWTH","FQ1 2017","FQ1 2017","Currency=INR","Period=FQ","BEST_FPERIOD_OVERRIDE=FQ","FILING_STATUS=OR","EQY_CONSOLIDATED=Y","Sort=A","Dates=H","DateFormat=P","Fill=—","Direction=H","UseDPDF=Y")</f>
        <v>#NAME?</v>
      </c>
      <c r="AF544" s="2" t="e">
        <f ca="1">_xll.BDH($C$528,"ACCOUNTS_PAYABLE_GROWTH_1YR","FQ1 2017","FQ1 2017","Currency=INR","Period=FQ","BEST_FPERIOD_OVERRIDE=FQ","FILING_STATUS=OR","EQY_CONSOLIDATED=Y","Sort=A","Dates=H","DateFormat=P","Fill=—","Direction=H","UseDPDF=Y")</f>
        <v>#NAME?</v>
      </c>
      <c r="AG544" s="2" t="e">
        <f ca="1">_xll.BDH($C$528,"SHORT_TERM_DEBT_1_YEAR_GROWTH","FQ1 2017","FQ1 2017","Currency=INR","Period=FQ","BEST_FPERIOD_OVERRIDE=FQ","FILING_STATUS=OR","EQY_CONSOLIDATED=Y","Sort=A","Dates=H","DateFormat=P","Fill=—","Direction=H","UseDPDF=Y")</f>
        <v>#NAME?</v>
      </c>
      <c r="AH544" s="2" t="e">
        <f ca="1">_xll.BDH($C$528,"TOTAL_DEBT_1_YEAR_GROWTH","FQ1 2017","FQ1 2017","Currency=INR","Period=FQ","BEST_FPERIOD_OVERRIDE=FQ","FILING_STATUS=OR","EQY_CONSOLIDATED=Y","Sort=A","Dates=H","DateFormat=P","Fill=—","Direction=H","UseDPDF=Y")</f>
        <v>#NAME?</v>
      </c>
      <c r="AI544" s="2" t="e">
        <f ca="1">_xll.BDH($C$528,"TOTAL_EQUITY_1_YEAR_GROWTH","FQ1 2017","FQ1 2017","Currency=INR","Period=FQ","BEST_FPERIOD_OVERRIDE=FQ","FILING_STATUS=OR","EQY_CONSOLIDATED=Y","Sort=A","Dates=H","DateFormat=P","Fill=—","Direction=H","UseDPDF=Y")</f>
        <v>#NAME?</v>
      </c>
      <c r="AJ544" s="2" t="e">
        <f ca="1">_xll.BDH($C$528,"GROWTH_IN_CAP","FQ1 2017","FQ1 2017","Currency=INR","Period=FQ","BEST_FPERIOD_OVERRIDE=FQ","FILING_STATUS=OR","EQY_CONSOLIDATED=Y","Sort=A","Dates=H","DateFormat=P","Fill=—","Direction=H","UseDPDF=Y")</f>
        <v>#NAME?</v>
      </c>
      <c r="AK544" s="2" t="e">
        <f ca="1">_xll.BDH($C$528,"BVPS_GROWTH","FQ1 2017","FQ1 2017","Currency=INR","Period=FQ","BEST_FPERIOD_OVERRIDE=FQ","FILING_STATUS=OR","EQY_CONSOLIDATED=Y","Sort=A","Dates=H","DateFormat=P","Fill=—","Direction=H","UseDPDF=Y")</f>
        <v>#NAME?</v>
      </c>
      <c r="AL544" s="2" t="e">
        <f ca="1">_xll.BDH($C$528,"CASH_FLOW_GROWTH","FQ1 2017","FQ1 2017","Currency=INR","Period=FQ","BEST_FPERIOD_OVERRIDE=FQ","FILING_STATUS=OR","EQY_CONSOLIDATED=Y","Sort=A","Dates=H","DateFormat=P","Fill=—","Direction=H","UseDPDF=Y")</f>
        <v>#NAME?</v>
      </c>
      <c r="AM544" s="2" t="e">
        <f ca="1">_xll.BDH($C$528,"GEO_GROW_NET_SALES","FQ1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44" s="2" t="e">
        <f ca="1">_xll.BDH($C$528,"GEO_GROW_EBITDA","FQ1 2017","FQ1 2017","Currency=INR","Period=FQ","BEST_FPERIOD_OVERRIDE=FQ","FILING_STATUS=OR","EQY_CONSOLIDATED=Y","FA_ADJUSTED=GAAP","Sort=A","Dates=H","DateFormat=P","Fill=—","Direction=H","UseDPDF=Y")</f>
        <v>#NAME?</v>
      </c>
      <c r="AO544" s="2" t="e">
        <f ca="1">_xll.BDH($C$528,"GEO_GROW_OPER_INC","FQ1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44" s="2" t="e">
        <f ca="1">_xll.BDH($C$528,"NET_INCOME_TO_COMMON_5_YR_GROWTH","FQ1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44" s="2" t="e">
        <f ca="1">_xll.BDH($C$528,"5Y_GEO_GROWTH_DILUTED_EPS","FQ1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44" s="2" t="e">
        <f ca="1">_xll.BDH($C$528,"GEO_GROW_DVD_PER_SH","FQ1 2017","FQ1 2017","Currency=INR","Period=FQ","BEST_FPERIOD_OVERRIDE=FQ","FILING_STATUS=OR","EQY_CONSOLIDATED=Y","Sort=A","Dates=H","DateFormat=P","Fill=—","Direction=H","UseDPDF=Y")</f>
        <v>#NAME?</v>
      </c>
      <c r="AS544" s="2" t="e">
        <f ca="1">_xll.BDH($C$528,"ACCOUNTS_RECEIVABLE_5_YR_GROWTH","FQ1 2017","FQ1 2017","Currency=INR","Period=FQ","BEST_FPERIOD_OVERRIDE=FQ","FILING_STATUS=OR","EQY_CONSOLIDATED=Y","Sort=A","Dates=H","DateFormat=P","Fill=—","Direction=H","UseDPDF=Y")</f>
        <v>#NAME?</v>
      </c>
      <c r="AT544" s="2" t="e">
        <f ca="1">_xll.BDH($C$528,"INVENTORY_5_YEAR_GROWTH","FQ1 2017","FQ1 2017","Currency=INR","Period=FQ","BEST_FPERIOD_OVERRIDE=FQ","FILING_STATUS=OR","EQY_CONSOLIDATED=Y","Sort=A","Dates=H","DateFormat=P","Fill=—","Direction=H","UseDPDF=Y")</f>
        <v>#NAME?</v>
      </c>
      <c r="AU544" s="2" t="e">
        <f ca="1">_xll.BDH($C$528,"NET_FIXED_ASSETS_5_YEAR_GROWTH","FQ1 2017","FQ1 2017","Currency=INR","Period=FQ","BEST_FPERIOD_OVERRIDE=FQ","FILING_STATUS=OR","EQY_CONSOLIDATED=Y","Sort=A","Dates=H","DateFormat=P","Fill=—","Direction=H","UseDPDF=Y")</f>
        <v>#NAME?</v>
      </c>
      <c r="AV544" s="2" t="e">
        <f ca="1">_xll.BDH($C$528,"GEO_GROW_TOT_ASSET","FQ1 2017","FQ1 2017","Currency=INR","Period=FQ","BEST_FPERIOD_OVERRIDE=FQ","FILING_STATUS=OR","EQY_CONSOLIDATED=Y","Sort=A","Dates=H","DateFormat=P","Fill=—","Direction=H","UseDPDF=Y")</f>
        <v>#NAME?</v>
      </c>
      <c r="AW544" s="2" t="e">
        <f ca="1">_xll.BDH($C$528,"MODIFIED_WORKING_CPTL_5YR_GRWTH","FQ1 2017","FQ1 2017","Currency=INR","Period=FQ","BEST_FPERIOD_OVERRIDE=FQ","FILING_STATUS=OR","EQY_CONSOLIDATED=Y","Sort=A","Dates=H","DateFormat=P","Fill=—","Direction=H","UseDPDF=Y")</f>
        <v>#NAME?</v>
      </c>
      <c r="AX544" s="2" t="e">
        <f ca="1">_xll.BDH($C$528,"WORKING_CAPITAL_5_YEAR_GROWTH","FQ1 2017","FQ1 2017","Currency=INR","Period=FQ","BEST_FPERIOD_OVERRIDE=FQ","FILING_STATUS=OR","EQY_CONSOLIDATED=Y","Sort=A","Dates=H","DateFormat=P","Fill=—","Direction=H","UseDPDF=Y")</f>
        <v>#NAME?</v>
      </c>
      <c r="AY544" s="2" t="e">
        <f ca="1">_xll.BDH($C$528,"ACCOUNTS_PAYABLE_5_YEAR_GROWTH","FQ1 2017","FQ1 2017","Currency=INR","Period=FQ","BEST_FPERIOD_OVERRIDE=FQ","FILING_STATUS=OR","EQY_CONSOLIDATED=Y","Sort=A","Dates=H","DateFormat=P","Fill=—","Direction=H","UseDPDF=Y")</f>
        <v>#NAME?</v>
      </c>
      <c r="AZ544" s="2" t="e">
        <f ca="1">_xll.BDH($C$528,"SHORT_TERM_DEBT_5_YEAR_GROWTH","FQ1 2017","FQ1 2017","Currency=INR","Period=FQ","BEST_FPERIOD_OVERRIDE=FQ","FILING_STATUS=OR","EQY_CONSOLIDATED=Y","Sort=A","Dates=H","DateFormat=P","Fill=—","Direction=H","UseDPDF=Y")</f>
        <v>#NAME?</v>
      </c>
      <c r="BA544" s="2" t="e">
        <f ca="1">_xll.BDH($C$528,"TOTAL_DEBT_5_YEAR_GROWTH","FQ1 2017","FQ1 2017","Currency=INR","Period=FQ","BEST_FPERIOD_OVERRIDE=FQ","FILING_STATUS=OR","EQY_CONSOLIDATED=Y","Sort=A","Dates=H","DateFormat=P","Fill=—","Direction=H","UseDPDF=Y")</f>
        <v>#NAME?</v>
      </c>
      <c r="BB544" s="2" t="e">
        <f ca="1">_xll.BDH($C$528,"GEO_GROW_TOT_SHRHLDR_EQY","FQ1 2017","FQ1 2017","Currency=INR","Period=FQ","BEST_FPERIOD_OVERRIDE=FQ","FILING_STATUS=OR","EQY_CONSOLIDATED=Y","Sort=A","Dates=H","DateFormat=P","Fill=—","Direction=H","UseDPDF=Y")</f>
        <v>#NAME?</v>
      </c>
      <c r="BC544" s="2" t="e">
        <f ca="1">_xll.BDH($C$528,"TOTAL_CAPITAL_5_YEAR_GROWTH","FQ1 2017","FQ1 2017","Currency=INR","Period=FQ","BEST_FPERIOD_OVERRIDE=FQ","FILING_STATUS=OR","EQY_CONSOLIDATED=Y","Sort=A","Dates=H","DateFormat=P","Fill=—","Direction=H","UseDPDF=Y")</f>
        <v>#NAME?</v>
      </c>
      <c r="BD544" s="2" t="e">
        <f ca="1">_xll.BDH($C$528,"GEO_GROW_BOOK_VAL","FQ1 2017","FQ1 2017","Currency=INR","Period=FQ","BEST_FPERIOD_OVERRIDE=FQ","FILING_STATUS=OR","EQY_CONSOLIDATED=Y","Sort=A","Dates=H","DateFormat=P","Fill=—","Direction=H","UseDPDF=Y")</f>
        <v>#NAME?</v>
      </c>
      <c r="BE544" s="2" t="e">
        <f ca="1">_xll.BDH($C$528,"GEO_GROW_CASH_OPER_ACT","FQ1 2017","FQ1 2017","Currency=INR","Period=FQ","BEST_FPERIOD_OVERRIDE=FQ","FILING_STATUS=OR","EQY_CONSOLIDATED=Y","Sort=A","Dates=H","DateFormat=P","Fill=—","Direction=H","UseDPDF=Y")</f>
        <v>#NAME?</v>
      </c>
      <c r="BF544" s="2" t="e">
        <f ca="1">_xll.BDH($C$528,"REVENUE_SEQUENTIAL_GROWTH","FQ1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44" s="2" t="e">
        <f ca="1">_xll.BDH($C$528,"EBITDA_SEQUENTIAL_GROWTH","FQ1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44" s="2" t="e">
        <f ca="1">_xll.BDH($C$528,"OPERATING_INCOME_SEQ_GROWTH","FQ1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44" s="2" t="e">
        <f ca="1">_xll.BDH($C$528,"NET_INCOME_TO_COMMON_SEQ_GROWTH","FQ1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44" s="2" t="e">
        <f ca="1">_xll.BDH($C$528,"EPS_DILUTED_SEQUENTIAL_GROWTH","FQ1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44" s="2" t="e">
        <f ca="1">_xll.BDH($C$528,"DPS_SEQUENTIAL_GROWTH","FQ1 2017","FQ1 2017","Currency=INR","Period=FQ","BEST_FPERIOD_OVERRIDE=FQ","FILING_STATUS=OR","EQY_CONSOLIDATED=Y","Sort=A","Dates=H","DateFormat=P","Fill=—","Direction=H","UseDPDF=Y")</f>
        <v>#NAME?</v>
      </c>
      <c r="BL544" s="2" t="e">
        <f ca="1">_xll.BDH($C$528,"ACCOUNTS_RECEIVABLE_SEQ_GROWTH","FQ1 2017","FQ1 2017","Currency=INR","Period=FQ","BEST_FPERIOD_OVERRIDE=FQ","FILING_STATUS=OR","EQY_CONSOLIDATED=Y","Sort=A","Dates=H","DateFormat=P","Fill=—","Direction=H","UseDPDF=Y")</f>
        <v>#NAME?</v>
      </c>
      <c r="BM544" s="2" t="e">
        <f ca="1">_xll.BDH($C$528,"INVENTORY_SEQUENTIAL_GROWTH","FQ1 2017","FQ1 2017","Currency=INR","Period=FQ","BEST_FPERIOD_OVERRIDE=FQ","FILING_STATUS=OR","EQY_CONSOLIDATED=Y","Sort=A","Dates=H","DateFormat=P","Fill=—","Direction=H","UseDPDF=Y")</f>
        <v>#NAME?</v>
      </c>
      <c r="BN544" s="2" t="e">
        <f ca="1">_xll.BDH($C$528,"FIXED_ASSETS_SEQUENTIAL_GROWTH","FQ1 2017","FQ1 2017","Currency=INR","Period=FQ","BEST_FPERIOD_OVERRIDE=FQ","FILING_STATUS=OR","EQY_CONSOLIDATED=Y","Sort=A","Dates=H","DateFormat=P","Fill=—","Direction=H","UseDPDF=Y")</f>
        <v>#NAME?</v>
      </c>
      <c r="BO544" s="2" t="e">
        <f ca="1">_xll.BDH($C$528,"TOTAL_ASSETS_SEQUENTIAL_GROWTH","FQ1 2017","FQ1 2017","Currency=INR","Period=FQ","BEST_FPERIOD_OVERRIDE=FQ","FILING_STATUS=OR","EQY_CONSOLIDATED=Y","Sort=A","Dates=H","DateFormat=P","Fill=—","Direction=H","UseDPDF=Y")</f>
        <v>#NAME?</v>
      </c>
      <c r="BP544" s="2" t="e">
        <f ca="1">_xll.BDH($C$528,"MODIFIED_WORKING_CPTL_SEQ_GRWTH","FQ1 2017","FQ1 2017","Currency=INR","Period=FQ","BEST_FPERIOD_OVERRIDE=FQ","FILING_STATUS=OR","EQY_CONSOLIDATED=Y","Sort=A","Dates=H","DateFormat=P","Fill=—","Direction=H","UseDPDF=Y")</f>
        <v>#NAME?</v>
      </c>
      <c r="BQ544" s="2" t="e">
        <f ca="1">_xll.BDH($C$528,"WORKING_CAPITAL_SEQ_GROWTH","FQ1 2017","FQ1 2017","Currency=INR","Period=FQ","BEST_FPERIOD_OVERRIDE=FQ","FILING_STATUS=OR","EQY_CONSOLIDATED=Y","Sort=A","Dates=H","DateFormat=P","Fill=—","Direction=H","UseDPDF=Y")</f>
        <v>#NAME?</v>
      </c>
      <c r="BR544" s="2" t="e">
        <f ca="1">_xll.BDH($C$528,"ACCOUNTS_PAYABLE_SEQ_GROWTH","FQ1 2017","FQ1 2017","Currency=INR","Period=FQ","BEST_FPERIOD_OVERRIDE=FQ","FILING_STATUS=OR","EQY_CONSOLIDATED=Y","Sort=A","Dates=H","DateFormat=P","Fill=—","Direction=H","UseDPDF=Y")</f>
        <v>#NAME?</v>
      </c>
      <c r="BS544" s="2" t="e">
        <f ca="1">_xll.BDH($C$528,"ST_DEBT_SEQUENTIAL_GROWTH","FQ1 2017","FQ1 2017","Currency=INR","Period=FQ","BEST_FPERIOD_OVERRIDE=FQ","FILING_STATUS=OR","EQY_CONSOLIDATED=Y","Sort=A","Dates=H","DateFormat=P","Fill=—","Direction=H","UseDPDF=Y")</f>
        <v>#NAME?</v>
      </c>
      <c r="BT544" s="2" t="e">
        <f ca="1">_xll.BDH($C$528,"TOTAL_DEBT_SEQUENTIAL_GROWTH","FQ1 2017","FQ1 2017","Currency=INR","Period=FQ","BEST_FPERIOD_OVERRIDE=FQ","FILING_STATUS=OR","EQY_CONSOLIDATED=Y","Sort=A","Dates=H","DateFormat=P","Fill=—","Direction=H","UseDPDF=Y")</f>
        <v>#NAME?</v>
      </c>
      <c r="BU544" s="2" t="e">
        <f ca="1">_xll.BDH($C$528,"TOTAL_EQUITY_SEQUENTIAL_GROWTH","FQ1 2017","FQ1 2017","Currency=INR","Period=FQ","BEST_FPERIOD_OVERRIDE=FQ","FILING_STATUS=OR","EQY_CONSOLIDATED=Y","Sort=A","Dates=H","DateFormat=P","Fill=—","Direction=H","UseDPDF=Y")</f>
        <v>#NAME?</v>
      </c>
      <c r="BV544" s="2" t="e">
        <f ca="1">_xll.BDH($C$528,"TOTAL_CAPITAL_SEQUENTIAL_GROWTH","FQ1 2017","FQ1 2017","Currency=INR","Period=FQ","BEST_FPERIOD_OVERRIDE=FQ","FILING_STATUS=OR","EQY_CONSOLIDATED=Y","Sort=A","Dates=H","DateFormat=P","Fill=—","Direction=H","UseDPDF=Y")</f>
        <v>#NAME?</v>
      </c>
      <c r="BW544" s="2" t="e">
        <f ca="1">_xll.BDH($C$528,"BPS_SEQUENTIAL_GROWTH","FQ1 2017","FQ1 2017","Currency=INR","Period=FQ","BEST_FPERIOD_OVERRIDE=FQ","FILING_STATUS=OR","EQY_CONSOLIDATED=Y","Sort=A","Dates=H","DateFormat=P","Fill=—","Direction=H","UseDPDF=Y")</f>
        <v>#NAME?</v>
      </c>
      <c r="BX544" s="2" t="e">
        <f ca="1">_xll.BDH($C$528,"CFO_SEQUENTIAL_GROWTH","FQ1 2017","FQ1 2017","Currency=INR","Period=FQ","BEST_FPERIOD_OVERRIDE=FQ","FILING_STATUS=OR","EQY_CONSOLIDATED=Y","Sort=A","Dates=H","DateFormat=P","Fill=—","Direction=H","UseDPDF=Y")</f>
        <v>#NAME?</v>
      </c>
      <c r="BY544" s="3" t="e">
        <f ca="1">_xll.BDH($C$528,"SHORT_AND_LONG_TERM_DEBT","FQ1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44" s="3" t="e">
        <f ca="1">_xll.BDH($C$528,"BS_ST_BORROW","FQ1 2017","FQ1 2017","Currency=INR","Period=FQ","BEST_FPERIOD_OVERRIDE=FQ","FILING_STATUS=OR","EQY_CONSOLIDATED=Y","SCALING_FORMAT=MLN","Sort=A","Dates=H","DateFormat=P","Fill=—","Direction=H","UseDPDF=Y")</f>
        <v>#NAME?</v>
      </c>
      <c r="CA544" s="3" t="e">
        <f ca="1">_xll.BDH($C$528,"BS_LT_BORROW","FQ1 2017","FQ1 2017","Currency=INR","Period=FQ","BEST_FPERIOD_OVERRIDE=FQ","FILING_STATUS=OR","EQY_CONSOLIDATED=Y","SCALING_FORMAT=MLN","Sort=A","Dates=H","DateFormat=P","Fill=—","Direction=H","UseDPDF=Y")</f>
        <v>#NAME?</v>
      </c>
      <c r="CB544" s="2" t="e">
        <f ca="1">_xll.BDH($C$528,"TOT_DEBT_TO_EBITDA","FQ1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44" s="2" t="e">
        <f ca="1">_xll.BDH($C$528,"NET_DEBT_TO_EBITDA","FQ1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44" s="2" t="e">
        <f ca="1">_xll.BDH($C$528,"TOTAL_DEBT_TO_EBIT","FQ1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44" s="2" t="e">
        <f ca="1">_xll.BDH($C$528,"NET_DEBT_TO_EBIT","FQ1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44" s="2" t="e">
        <f ca="1">_xll.BDH($C$528,"EBITDA_TO_INTEREST_EXPN","FQ1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44" s="2" t="e">
        <f ca="1">_xll.BDH($C$528,"COM_EQY_TO_TOT_ASSET","FQ1 2017","FQ1 2017","Currency=INR","Period=FQ","BEST_FPERIOD_OVERRIDE=FQ","FILING_STATUS=OR","EQY_CONSOLIDATED=Y","Sort=A","Dates=H","DateFormat=P","Fill=—","Direction=H","UseDPDF=Y")</f>
        <v>#NAME?</v>
      </c>
      <c r="CH544" s="2" t="e">
        <f ca="1">_xll.BDH($C$528,"LT_DEBT_TO_TOT_EQY","FQ1 2017","FQ1 2017","Currency=INR","Period=FQ","BEST_FPERIOD_OVERRIDE=FQ","FILING_STATUS=OR","EQY_CONSOLIDATED=Y","Sort=A","Dates=H","DateFormat=P","Fill=—","Direction=H","UseDPDF=Y")</f>
        <v>#NAME?</v>
      </c>
      <c r="CI544" s="2" t="e">
        <f ca="1">_xll.BDH($C$528,"LT_DEBT_TO_TOT_CAP","FQ1 2017","FQ1 2017","Currency=INR","Period=FQ","BEST_FPERIOD_OVERRIDE=FQ","FILING_STATUS=OR","EQY_CONSOLIDATED=Y","Sort=A","Dates=H","DateFormat=P","Fill=—","Direction=H","UseDPDF=Y")</f>
        <v>#NAME?</v>
      </c>
      <c r="CJ544" s="2" t="e">
        <f ca="1">_xll.BDH($C$528,"LT_DEBT_TO_TOT_ASSET","FQ1 2017","FQ1 2017","Currency=INR","Period=FQ","BEST_FPERIOD_OVERRIDE=FQ","FILING_STATUS=OR","EQY_CONSOLIDATED=Y","Sort=A","Dates=H","DateFormat=P","Fill=—","Direction=H","UseDPDF=Y")</f>
        <v>#NAME?</v>
      </c>
      <c r="CK544" s="2" t="e">
        <f ca="1">_xll.BDH($C$528,"TOT_DEBT_TO_TOT_EQY","FQ1 2017","FQ1 2017","Currency=INR","Period=FQ","BEST_FPERIOD_OVERRIDE=FQ","FILING_STATUS=OR","EQY_CONSOLIDATED=Y","Sort=A","Dates=H","DateFormat=P","Fill=—","Direction=H","UseDPDF=Y")</f>
        <v>#NAME?</v>
      </c>
      <c r="CL544" s="2" t="e">
        <f ca="1">_xll.BDH($C$528,"TOT_DEBT_TO_TOT_CAP","FQ1 2017","FQ1 2017","Currency=INR","Period=FQ","BEST_FPERIOD_OVERRIDE=FQ","FILING_STATUS=OR","EQY_CONSOLIDATED=Y","Sort=A","Dates=H","DateFormat=P","Fill=—","Direction=H","UseDPDF=Y")</f>
        <v>#NAME?</v>
      </c>
      <c r="CM544" s="2" t="e">
        <f ca="1">_xll.BDH($C$528,"TOT_DEBT_TO_TOT_ASSET","FQ1 2017","FQ1 2017","Currency=INR","Period=FQ","BEST_FPERIOD_OVERRIDE=FQ","FILING_STATUS=OR","EQY_CONSOLIDATED=Y","Sort=A","Dates=H","DateFormat=P","Fill=—","Direction=H","UseDPDF=Y")</f>
        <v>#NAME?</v>
      </c>
      <c r="CN544" s="2" t="e">
        <f ca="1">_xll.BDH($C$528,"NET_DEBT_TO_SHRHLDR_EQTY","FQ1 2017","FQ1 2017","Currency=INR","Period=FQ","BEST_FPERIOD_OVERRIDE=FQ","FILING_STATUS=OR","EQY_CONSOLIDATED=Y","Sort=A","Dates=H","DateFormat=P","Fill=—","Direction=H","UseDPDF=Y")</f>
        <v>#NAME?</v>
      </c>
      <c r="CO544" s="2" t="e">
        <f ca="1">_xll.BDH($C$528,"NET_DEBT_%_CAPITAL","FQ1 2017","FQ1 2017","Currency=INR","Period=FQ","BEST_FPERIOD_OVERRIDE=FQ","FILING_STATUS=OR","EQY_CONSOLIDATED=Y","Sort=A","Dates=H","DateFormat=P","Fill=—","Direction=H","UseDPDF=Y")</f>
        <v>#NAME?</v>
      </c>
      <c r="CP544" s="3" t="e">
        <f ca="1">_xll.BDH($C$528,"EBITDA","FQ1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44" s="3" t="e">
        <f ca="1">_xll.BDH($C$528,"EBITDA_AFTER_CAPEX","FQ1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44" s="3" t="e">
        <f ca="1">_xll.BDH($C$528,"IS_OPER_INC","FQ1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44" s="2" t="e">
        <f ca="1">_xll.BDH($C$528,"CASH_RATIO","FQ1 2017","FQ1 2017","Currency=INR","Period=FQ","BEST_FPERIOD_OVERRIDE=FQ","FILING_STATUS=OR","EQY_CONSOLIDATED=Y","Sort=A","Dates=H","DateFormat=P","Fill=—","Direction=H","UseDPDF=Y")</f>
        <v>#NAME?</v>
      </c>
      <c r="CT544" s="2" t="e">
        <f ca="1">_xll.BDH($C$528,"CUR_RATIO","FQ1 2017","FQ1 2017","Currency=INR","Period=FQ","BEST_FPERIOD_OVERRIDE=FQ","FILING_STATUS=OR","EQY_CONSOLIDATED=Y","Sort=A","Dates=H","DateFormat=P","Fill=—","Direction=H","UseDPDF=Y")</f>
        <v>#NAME?</v>
      </c>
      <c r="CU544" s="2" t="e">
        <f ca="1">_xll.BDH($C$528,"QUICK_RATIO","FQ1 2017","FQ1 2017","Currency=INR","Period=FQ","BEST_FPERIOD_OVERRIDE=FQ","FILING_STATUS=OR","EQY_CONSOLIDATED=Y","Sort=A","Dates=H","DateFormat=P","Fill=—","Direction=H","UseDPDF=Y")</f>
        <v>#NAME?</v>
      </c>
      <c r="CV544" s="2" t="e">
        <f ca="1">_xll.BDH($C$528,"ALTMAN_Z_SCORE","FQ1 2017","FQ1 2017","Currency=INR","Period=FQ","BEST_FPERIOD_OVERRIDE=FQ","FILING_STATUS=OR","EQY_CONSOLIDATED=Y","Sort=A","Dates=H","DateFormat=P","Fill=—","Direction=H","UseDPDF=Y")</f>
        <v>#NAME?</v>
      </c>
      <c r="CW544" s="4" t="e">
        <f ca="1">_xll.BDH($C$528,"ACCT_RCV_TURN","FQ1 2017","FQ1 2017","Currency=INR","Period=FQ","BEST_FPERIOD_OVERRIDE=FQ","FILING_STATUS=OR","EQY_CONSOLIDATED=Y","FA_ADJUSTED=GAAP","Sort=A","Dates=H","DateFormat=P","Fill=—","Direction=H","UseDPDF=Y")</f>
        <v>#NAME?</v>
      </c>
      <c r="CX544" s="2" t="e">
        <f ca="1">_xll.BDH($C$528,"ACCT_RCV_DAYS","FQ1 2017","FQ1 2017","Currency=INR","Period=FQ","BEST_FPERIOD_OVERRIDE=FQ","FILING_STATUS=OR","EQY_CONSOLIDATED=Y","FA_ADJUSTED=GAAP","Sort=A","Dates=H","DateFormat=P","Fill=—","Direction=H","UseDPDF=Y")</f>
        <v>#NAME?</v>
      </c>
      <c r="CY544" s="4" t="e">
        <f ca="1">_xll.BDH($C$528,"INVENT_TURN","FQ1 2017","FQ1 2017","Currency=INR","Period=FQ","BEST_FPERIOD_OVERRIDE=FQ","FILING_STATUS=OR","EQY_CONSOLIDATED=Y","FA_ADJUSTED=GAAP","Sort=A","Dates=H","DateFormat=P","Fill=—","Direction=H","UseDPDF=Y")</f>
        <v>#NAME?</v>
      </c>
      <c r="CZ544" s="2" t="e">
        <f ca="1">_xll.BDH($C$528,"INVENT_DAYS","FQ1 2017","FQ1 2017","Currency=INR","Period=FQ","BEST_FPERIOD_OVERRIDE=FQ","FILING_STATUS=OR","EQY_CONSOLIDATED=Y","FA_ADJUSTED=GAAP","Sort=A","Dates=H","DateFormat=P","Fill=—","Direction=H","UseDPDF=Y")</f>
        <v>#NAME?</v>
      </c>
      <c r="DA544" s="4" t="e">
        <f ca="1">_xll.BDH($C$528,"ACCOUNTS_PAYABLE_TURNOVER","FQ1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44" s="2" t="e">
        <f ca="1">_xll.BDH($C$528,"ACCOUNTS_PAYABLE_TURNOVER_DAYS","FQ1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44" s="4" t="e">
        <f ca="1">_xll.BDH($C$528,"CASH_CONVERSION_CYCLE","FQ1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44" s="4" t="e">
        <f ca="1">_xll.BDH($C$528,"INV_TO_CASH_DAYS","FQ1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44" s="5" t="e">
        <f ca="1">_xll.BDH($C$528,"BS_INVENTORIES","FQ1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44" s="3" t="e">
        <f ca="1">_xll.BDH($C$528,"INVTRY_RAW_MATERIALS","FQ1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44" s="3" t="e">
        <f ca="1">_xll.BDH($C$528,"INVTRY_IN_PROGRESS","FQ1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44" s="3" t="e">
        <f ca="1">_xll.BDH($C$528,"INVTRY_FINISHED_GOODS","FQ1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44" s="3" t="e">
        <f ca="1">_xll.BDH($C$528,"BS_OTHER_INV","FQ1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45" spans="1:113" x14ac:dyDescent="0.3">
      <c r="A545" s="6"/>
      <c r="B545" s="6"/>
      <c r="C545" s="6"/>
      <c r="D545" s="6"/>
      <c r="E545" t="s">
        <v>79</v>
      </c>
      <c r="F545" t="e">
        <f ca="1">_xll.BDH($C$528,"RETURN_COM_EQY","FQ2 2017","FQ2 2017","Currency=INR","Period=FQ","BEST_FPERIOD_OVERRIDE=FQ","FILING_STATUS=OR","EQY_CONSOLIDATED=Y","FA_ADJUSTED=GAAP","Sort=A","Dates=H","DateFormat=P","Fill=—","Direction=H","UseDPDF=Y")</f>
        <v>#NAME?</v>
      </c>
      <c r="G545" t="e">
        <f ca="1">_xll.BDH($C$528,"RETURN_ON_ASSET","FQ2 2017","FQ2 2017","Currency=INR","Period=FQ","BEST_FPERIOD_OVERRIDE=FQ","FILING_STATUS=OR","EQY_CONSOLIDATED=Y","FA_ADJUSTED=GAAP","Sort=A","Dates=H","DateFormat=P","Fill=—","Direction=H","UseDPDF=Y")</f>
        <v>#NAME?</v>
      </c>
      <c r="H545" t="e">
        <f ca="1">_xll.BDH($C$528,"RETURN_ON_CAP","FQ2 2017","FQ2 2017","Currency=INR","Period=FQ","BEST_FPERIOD_OVERRIDE=FQ","FILING_STATUS=OR","EQY_CONSOLIDATED=Y","FA_ADJUSTED=GAAP","Sort=A","Dates=H","DateFormat=P","Fill=—","Direction=H","UseDPDF=Y")</f>
        <v>#NAME?</v>
      </c>
      <c r="I545" t="e">
        <f ca="1">_xll.BDH($C$528,"RETURN_ON_INV_CAPITAL","FQ2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45" t="e">
        <f ca="1">_xll.BDH($C$528,"EBITDA_TO_REVENUE","FQ2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45" t="e">
        <f ca="1">_xll.BDH($C$528,"OPER_MARGIN","FQ2 2017","FQ2 2017","Currency=INR","Period=FQ","BEST_FPERIOD_OVERRIDE=FQ","FILING_STATUS=OR","EQY_CONSOLIDATED=Y","FA_ADJUSTED=GAAP","Sort=A","Dates=H","DateFormat=P","Fill=—","Direction=H","UseDPDF=Y")</f>
        <v>#NAME?</v>
      </c>
      <c r="L545" t="e">
        <f ca="1">_xll.BDH($C$528,"INCREMENTAL_OPERATING_MARGIN","FQ2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45" t="e">
        <f ca="1">_xll.BDH($C$528,"PRETAX_INC_TO_NET_SALES","FQ2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45" t="e">
        <f ca="1">_xll.BDH($C$528,"INC_BEF_XO_ITEMS_TO_NET_SALES","FQ2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45" t="e">
        <f ca="1">_xll.BDH($C$528,"PROF_MARGIN","FQ2 2017","FQ2 2017","Currency=INR","Period=FQ","BEST_FPERIOD_OVERRIDE=FQ","FILING_STATUS=OR","EQY_CONSOLIDATED=Y","FA_ADJUSTED=GAAP","Sort=A","Dates=H","DateFormat=P","Fill=—","Direction=H","UseDPDF=Y")</f>
        <v>#NAME?</v>
      </c>
      <c r="P545" t="e">
        <f ca="1">_xll.BDH($C$528,"NET_INCOME_TO_COMMON_MARGIN","FQ2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45" t="e">
        <f ca="1">_xll.BDH($C$528,"EFF_TAX_RATE","FQ2 2017","FQ2 2017","Currency=INR","Period=FQ","BEST_FPERIOD_OVERRIDE=FQ","FILING_STATUS=OR","EQY_CONSOLIDATED=Y","FA_ADJUSTED=GAAP","Sort=A","Dates=H","DateFormat=P","Fill=—","Direction=H","UseDPDF=Y")</f>
        <v>#NAME?</v>
      </c>
      <c r="R545" t="e">
        <f ca="1">_xll.BDH($C$528,"DVD_PAYOUT_RATIO","FQ2 2017","FQ2 2017","Currency=INR","Period=FQ","BEST_FPERIOD_OVERRIDE=FQ","FILING_STATUS=OR","EQY_CONSOLIDATED=Y","FA_ADJUSTED=GAAP","Sort=A","Dates=H","DateFormat=P","Fill=—","Direction=H","UseDPDF=Y")</f>
        <v>#NAME?</v>
      </c>
      <c r="S545" t="e">
        <f ca="1">_xll.BDH($C$528,"SUSTAIN_GROWTH_RT","FQ2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45" s="2" t="e">
        <f ca="1">_xll.BDH($C$528,"SALES_GROWTH","FQ2 2017","FQ2 2017","Currency=INR","Period=FQ","BEST_FPERIOD_OVERRIDE=FQ","FILING_STATUS=OR","EQY_CONSOLIDATED=Y","FA_ADJUSTED=GAAP","Sort=A","Dates=H","DateFormat=P","Fill=—","Direction=H","UseDPDF=Y")</f>
        <v>#NAME?</v>
      </c>
      <c r="U545" s="2" t="e">
        <f ca="1">_xll.BDH($C$528,"EBITDA_GROWTH","FQ2 2017","FQ2 2017","Currency=INR","Period=FQ","BEST_FPERIOD_OVERRIDE=FQ","FILING_STATUS=OR","EQY_CONSOLIDATED=Y","FA_ADJUSTED=GAAP","Sort=A","Dates=H","DateFormat=P","Fill=—","Direction=H","UseDPDF=Y")</f>
        <v>#NAME?</v>
      </c>
      <c r="V545" s="2" t="e">
        <f ca="1">_xll.BDH($C$528,"OPER_INC_GROWTH","FQ2 2017","FQ2 2017","Currency=INR","Period=FQ","BEST_FPERIOD_OVERRIDE=FQ","FILING_STATUS=OR","EQY_CONSOLIDATED=Y","FA_ADJUSTED=GAAP","Sort=A","Dates=H","DateFormat=P","Fill=—","Direction=H","UseDPDF=Y")</f>
        <v>#NAME?</v>
      </c>
      <c r="W545" s="2" t="e">
        <f ca="1">_xll.BDH($C$528,"EARN_FOR_COM_GROWTH","FQ2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45" s="2" t="e">
        <f ca="1">_xll.BDH($C$528,"DILUTED_EPS_AFT_XO_ITEMS_GROWTH","FQ2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45" s="2" t="e">
        <f ca="1">_xll.BDH($C$528,"DIVIDEND_PER_SHARE_1_YEAR_GROWTH","FQ2 2017","FQ2 2017","Currency=INR","Period=FQ","BEST_FPERIOD_OVERRIDE=FQ","FILING_STATUS=OR","EQY_CONSOLIDATED=Y","Sort=A","Dates=H","DateFormat=P","Fill=—","Direction=H","UseDPDF=Y")</f>
        <v>#NAME?</v>
      </c>
      <c r="Z545" s="2" t="e">
        <f ca="1">_xll.BDH($C$528,"ACCOUNTS_RECEIVABLE_GROWTH","FQ2 2017","FQ2 2017","Currency=INR","Period=FQ","BEST_FPERIOD_OVERRIDE=FQ","FILING_STATUS=OR","EQY_CONSOLIDATED=Y","Sort=A","Dates=H","DateFormat=P","Fill=—","Direction=H","UseDPDF=Y")</f>
        <v>#NAME?</v>
      </c>
      <c r="AA545" s="2" t="e">
        <f ca="1">_xll.BDH($C$528,"INVENTORY_GROWTH","FQ2 2017","FQ2 2017","Currency=INR","Period=FQ","BEST_FPERIOD_OVERRIDE=FQ","FILING_STATUS=OR","EQY_CONSOLIDATED=Y","Sort=A","Dates=H","DateFormat=P","Fill=—","Direction=H","UseDPDF=Y")</f>
        <v>#NAME?</v>
      </c>
      <c r="AB545" s="2" t="e">
        <f ca="1">_xll.BDH($C$528,"NET_FIXED_ASSETS_1_YEAR_GROWTH","FQ2 2017","FQ2 2017","Currency=INR","Period=FQ","BEST_FPERIOD_OVERRIDE=FQ","FILING_STATUS=OR","EQY_CONSOLIDATED=Y","Sort=A","Dates=H","DateFormat=P","Fill=—","Direction=H","UseDPDF=Y")</f>
        <v>#NAME?</v>
      </c>
      <c r="AC545" s="2" t="e">
        <f ca="1">_xll.BDH($C$528,"ASSET_GROWTH","FQ2 2017","FQ2 2017","Currency=INR","Period=FQ","BEST_FPERIOD_OVERRIDE=FQ","FILING_STATUS=OR","EQY_CONSOLIDATED=Y","Sort=A","Dates=H","DateFormat=P","Fill=—","Direction=H","UseDPDF=Y")</f>
        <v>#NAME?</v>
      </c>
      <c r="AD545" s="2" t="e">
        <f ca="1">_xll.BDH($C$528,"MODIFIED_WORK_CAP_GROWTH","FQ2 2017","FQ2 2017","Currency=INR","Period=FQ","BEST_FPERIOD_OVERRIDE=FQ","FILING_STATUS=OR","EQY_CONSOLIDATED=Y","Sort=A","Dates=H","DateFormat=P","Fill=—","Direction=H","UseDPDF=Y")</f>
        <v>#NAME?</v>
      </c>
      <c r="AE545" s="2" t="e">
        <f ca="1">_xll.BDH($C$528,"WORK_CAP_GROWTH","FQ2 2017","FQ2 2017","Currency=INR","Period=FQ","BEST_FPERIOD_OVERRIDE=FQ","FILING_STATUS=OR","EQY_CONSOLIDATED=Y","Sort=A","Dates=H","DateFormat=P","Fill=—","Direction=H","UseDPDF=Y")</f>
        <v>#NAME?</v>
      </c>
      <c r="AF545" s="2" t="e">
        <f ca="1">_xll.BDH($C$528,"ACCOUNTS_PAYABLE_GROWTH_1YR","FQ2 2017","FQ2 2017","Currency=INR","Period=FQ","BEST_FPERIOD_OVERRIDE=FQ","FILING_STATUS=OR","EQY_CONSOLIDATED=Y","Sort=A","Dates=H","DateFormat=P","Fill=—","Direction=H","UseDPDF=Y")</f>
        <v>#NAME?</v>
      </c>
      <c r="AG545" s="2" t="e">
        <f ca="1">_xll.BDH($C$528,"SHORT_TERM_DEBT_1_YEAR_GROWTH","FQ2 2017","FQ2 2017","Currency=INR","Period=FQ","BEST_FPERIOD_OVERRIDE=FQ","FILING_STATUS=OR","EQY_CONSOLIDATED=Y","Sort=A","Dates=H","DateFormat=P","Fill=—","Direction=H","UseDPDF=Y")</f>
        <v>#NAME?</v>
      </c>
      <c r="AH545" s="2" t="e">
        <f ca="1">_xll.BDH($C$528,"TOTAL_DEBT_1_YEAR_GROWTH","FQ2 2017","FQ2 2017","Currency=INR","Period=FQ","BEST_FPERIOD_OVERRIDE=FQ","FILING_STATUS=OR","EQY_CONSOLIDATED=Y","Sort=A","Dates=H","DateFormat=P","Fill=—","Direction=H","UseDPDF=Y")</f>
        <v>#NAME?</v>
      </c>
      <c r="AI545" s="2" t="e">
        <f ca="1">_xll.BDH($C$528,"TOTAL_EQUITY_1_YEAR_GROWTH","FQ2 2017","FQ2 2017","Currency=INR","Period=FQ","BEST_FPERIOD_OVERRIDE=FQ","FILING_STATUS=OR","EQY_CONSOLIDATED=Y","Sort=A","Dates=H","DateFormat=P","Fill=—","Direction=H","UseDPDF=Y")</f>
        <v>#NAME?</v>
      </c>
      <c r="AJ545" s="2" t="e">
        <f ca="1">_xll.BDH($C$528,"GROWTH_IN_CAP","FQ2 2017","FQ2 2017","Currency=INR","Period=FQ","BEST_FPERIOD_OVERRIDE=FQ","FILING_STATUS=OR","EQY_CONSOLIDATED=Y","Sort=A","Dates=H","DateFormat=P","Fill=—","Direction=H","UseDPDF=Y")</f>
        <v>#NAME?</v>
      </c>
      <c r="AK545" s="2" t="e">
        <f ca="1">_xll.BDH($C$528,"BVPS_GROWTH","FQ2 2017","FQ2 2017","Currency=INR","Period=FQ","BEST_FPERIOD_OVERRIDE=FQ","FILING_STATUS=OR","EQY_CONSOLIDATED=Y","Sort=A","Dates=H","DateFormat=P","Fill=—","Direction=H","UseDPDF=Y")</f>
        <v>#NAME?</v>
      </c>
      <c r="AL545" s="2" t="e">
        <f ca="1">_xll.BDH($C$528,"CASH_FLOW_GROWTH","FQ2 2017","FQ2 2017","Currency=INR","Period=FQ","BEST_FPERIOD_OVERRIDE=FQ","FILING_STATUS=OR","EQY_CONSOLIDATED=Y","Sort=A","Dates=H","DateFormat=P","Fill=—","Direction=H","UseDPDF=Y")</f>
        <v>#NAME?</v>
      </c>
      <c r="AM545" s="2" t="e">
        <f ca="1">_xll.BDH($C$528,"GEO_GROW_NET_SALES","FQ2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45" s="2" t="e">
        <f ca="1">_xll.BDH($C$528,"GEO_GROW_EBITDA","FQ2 2017","FQ2 2017","Currency=INR","Period=FQ","BEST_FPERIOD_OVERRIDE=FQ","FILING_STATUS=OR","EQY_CONSOLIDATED=Y","FA_ADJUSTED=GAAP","Sort=A","Dates=H","DateFormat=P","Fill=—","Direction=H","UseDPDF=Y")</f>
        <v>#NAME?</v>
      </c>
      <c r="AO545" s="2" t="e">
        <f ca="1">_xll.BDH($C$528,"GEO_GROW_OPER_INC","FQ2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45" s="2" t="e">
        <f ca="1">_xll.BDH($C$528,"NET_INCOME_TO_COMMON_5_YR_GROWTH","FQ2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45" s="2" t="e">
        <f ca="1">_xll.BDH($C$528,"5Y_GEO_GROWTH_DILUTED_EPS","FQ2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45" s="2" t="e">
        <f ca="1">_xll.BDH($C$528,"GEO_GROW_DVD_PER_SH","FQ2 2017","FQ2 2017","Currency=INR","Period=FQ","BEST_FPERIOD_OVERRIDE=FQ","FILING_STATUS=OR","EQY_CONSOLIDATED=Y","Sort=A","Dates=H","DateFormat=P","Fill=—","Direction=H","UseDPDF=Y")</f>
        <v>#NAME?</v>
      </c>
      <c r="AS545" s="2" t="e">
        <f ca="1">_xll.BDH($C$528,"ACCOUNTS_RECEIVABLE_5_YR_GROWTH","FQ2 2017","FQ2 2017","Currency=INR","Period=FQ","BEST_FPERIOD_OVERRIDE=FQ","FILING_STATUS=OR","EQY_CONSOLIDATED=Y","Sort=A","Dates=H","DateFormat=P","Fill=—","Direction=H","UseDPDF=Y")</f>
        <v>#NAME?</v>
      </c>
      <c r="AT545" s="2" t="e">
        <f ca="1">_xll.BDH($C$528,"INVENTORY_5_YEAR_GROWTH","FQ2 2017","FQ2 2017","Currency=INR","Period=FQ","BEST_FPERIOD_OVERRIDE=FQ","FILING_STATUS=OR","EQY_CONSOLIDATED=Y","Sort=A","Dates=H","DateFormat=P","Fill=—","Direction=H","UseDPDF=Y")</f>
        <v>#NAME?</v>
      </c>
      <c r="AU545" s="2" t="e">
        <f ca="1">_xll.BDH($C$528,"NET_FIXED_ASSETS_5_YEAR_GROWTH","FQ2 2017","FQ2 2017","Currency=INR","Period=FQ","BEST_FPERIOD_OVERRIDE=FQ","FILING_STATUS=OR","EQY_CONSOLIDATED=Y","Sort=A","Dates=H","DateFormat=P","Fill=—","Direction=H","UseDPDF=Y")</f>
        <v>#NAME?</v>
      </c>
      <c r="AV545" s="2" t="e">
        <f ca="1">_xll.BDH($C$528,"GEO_GROW_TOT_ASSET","FQ2 2017","FQ2 2017","Currency=INR","Period=FQ","BEST_FPERIOD_OVERRIDE=FQ","FILING_STATUS=OR","EQY_CONSOLIDATED=Y","Sort=A","Dates=H","DateFormat=P","Fill=—","Direction=H","UseDPDF=Y")</f>
        <v>#NAME?</v>
      </c>
      <c r="AW545" s="2" t="e">
        <f ca="1">_xll.BDH($C$528,"MODIFIED_WORKING_CPTL_5YR_GRWTH","FQ2 2017","FQ2 2017","Currency=INR","Period=FQ","BEST_FPERIOD_OVERRIDE=FQ","FILING_STATUS=OR","EQY_CONSOLIDATED=Y","Sort=A","Dates=H","DateFormat=P","Fill=—","Direction=H","UseDPDF=Y")</f>
        <v>#NAME?</v>
      </c>
      <c r="AX545" s="2" t="e">
        <f ca="1">_xll.BDH($C$528,"WORKING_CAPITAL_5_YEAR_GROWTH","FQ2 2017","FQ2 2017","Currency=INR","Period=FQ","BEST_FPERIOD_OVERRIDE=FQ","FILING_STATUS=OR","EQY_CONSOLIDATED=Y","Sort=A","Dates=H","DateFormat=P","Fill=—","Direction=H","UseDPDF=Y")</f>
        <v>#NAME?</v>
      </c>
      <c r="AY545" s="2" t="e">
        <f ca="1">_xll.BDH($C$528,"ACCOUNTS_PAYABLE_5_YEAR_GROWTH","FQ2 2017","FQ2 2017","Currency=INR","Period=FQ","BEST_FPERIOD_OVERRIDE=FQ","FILING_STATUS=OR","EQY_CONSOLIDATED=Y","Sort=A","Dates=H","DateFormat=P","Fill=—","Direction=H","UseDPDF=Y")</f>
        <v>#NAME?</v>
      </c>
      <c r="AZ545" s="2" t="e">
        <f ca="1">_xll.BDH($C$528,"SHORT_TERM_DEBT_5_YEAR_GROWTH","FQ2 2017","FQ2 2017","Currency=INR","Period=FQ","BEST_FPERIOD_OVERRIDE=FQ","FILING_STATUS=OR","EQY_CONSOLIDATED=Y","Sort=A","Dates=H","DateFormat=P","Fill=—","Direction=H","UseDPDF=Y")</f>
        <v>#NAME?</v>
      </c>
      <c r="BA545" s="2" t="e">
        <f ca="1">_xll.BDH($C$528,"TOTAL_DEBT_5_YEAR_GROWTH","FQ2 2017","FQ2 2017","Currency=INR","Period=FQ","BEST_FPERIOD_OVERRIDE=FQ","FILING_STATUS=OR","EQY_CONSOLIDATED=Y","Sort=A","Dates=H","DateFormat=P","Fill=—","Direction=H","UseDPDF=Y")</f>
        <v>#NAME?</v>
      </c>
      <c r="BB545" s="2" t="e">
        <f ca="1">_xll.BDH($C$528,"GEO_GROW_TOT_SHRHLDR_EQY","FQ2 2017","FQ2 2017","Currency=INR","Period=FQ","BEST_FPERIOD_OVERRIDE=FQ","FILING_STATUS=OR","EQY_CONSOLIDATED=Y","Sort=A","Dates=H","DateFormat=P","Fill=—","Direction=H","UseDPDF=Y")</f>
        <v>#NAME?</v>
      </c>
      <c r="BC545" s="2" t="e">
        <f ca="1">_xll.BDH($C$528,"TOTAL_CAPITAL_5_YEAR_GROWTH","FQ2 2017","FQ2 2017","Currency=INR","Period=FQ","BEST_FPERIOD_OVERRIDE=FQ","FILING_STATUS=OR","EQY_CONSOLIDATED=Y","Sort=A","Dates=H","DateFormat=P","Fill=—","Direction=H","UseDPDF=Y")</f>
        <v>#NAME?</v>
      </c>
      <c r="BD545" s="2" t="e">
        <f ca="1">_xll.BDH($C$528,"GEO_GROW_BOOK_VAL","FQ2 2017","FQ2 2017","Currency=INR","Period=FQ","BEST_FPERIOD_OVERRIDE=FQ","FILING_STATUS=OR","EQY_CONSOLIDATED=Y","Sort=A","Dates=H","DateFormat=P","Fill=—","Direction=H","UseDPDF=Y")</f>
        <v>#NAME?</v>
      </c>
      <c r="BE545" s="2" t="e">
        <f ca="1">_xll.BDH($C$528,"GEO_GROW_CASH_OPER_ACT","FQ2 2017","FQ2 2017","Currency=INR","Period=FQ","BEST_FPERIOD_OVERRIDE=FQ","FILING_STATUS=OR","EQY_CONSOLIDATED=Y","Sort=A","Dates=H","DateFormat=P","Fill=—","Direction=H","UseDPDF=Y")</f>
        <v>#NAME?</v>
      </c>
      <c r="BF545" s="2" t="e">
        <f ca="1">_xll.BDH($C$528,"REVENUE_SEQUENTIAL_GROWTH","FQ2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45" s="2" t="e">
        <f ca="1">_xll.BDH($C$528,"EBITDA_SEQUENTIAL_GROWTH","FQ2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45" s="2" t="e">
        <f ca="1">_xll.BDH($C$528,"OPERATING_INCOME_SEQ_GROWTH","FQ2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45" s="2" t="e">
        <f ca="1">_xll.BDH($C$528,"NET_INCOME_TO_COMMON_SEQ_GROWTH","FQ2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45" s="2" t="e">
        <f ca="1">_xll.BDH($C$528,"EPS_DILUTED_SEQUENTIAL_GROWTH","FQ2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45" s="2" t="e">
        <f ca="1">_xll.BDH($C$528,"DPS_SEQUENTIAL_GROWTH","FQ2 2017","FQ2 2017","Currency=INR","Period=FQ","BEST_FPERIOD_OVERRIDE=FQ","FILING_STATUS=OR","EQY_CONSOLIDATED=Y","Sort=A","Dates=H","DateFormat=P","Fill=—","Direction=H","UseDPDF=Y")</f>
        <v>#NAME?</v>
      </c>
      <c r="BL545" s="2" t="e">
        <f ca="1">_xll.BDH($C$528,"ACCOUNTS_RECEIVABLE_SEQ_GROWTH","FQ2 2017","FQ2 2017","Currency=INR","Period=FQ","BEST_FPERIOD_OVERRIDE=FQ","FILING_STATUS=OR","EQY_CONSOLIDATED=Y","Sort=A","Dates=H","DateFormat=P","Fill=—","Direction=H","UseDPDF=Y")</f>
        <v>#NAME?</v>
      </c>
      <c r="BM545" s="2" t="e">
        <f ca="1">_xll.BDH($C$528,"INVENTORY_SEQUENTIAL_GROWTH","FQ2 2017","FQ2 2017","Currency=INR","Period=FQ","BEST_FPERIOD_OVERRIDE=FQ","FILING_STATUS=OR","EQY_CONSOLIDATED=Y","Sort=A","Dates=H","DateFormat=P","Fill=—","Direction=H","UseDPDF=Y")</f>
        <v>#NAME?</v>
      </c>
      <c r="BN545" s="2" t="e">
        <f ca="1">_xll.BDH($C$528,"FIXED_ASSETS_SEQUENTIAL_GROWTH","FQ2 2017","FQ2 2017","Currency=INR","Period=FQ","BEST_FPERIOD_OVERRIDE=FQ","FILING_STATUS=OR","EQY_CONSOLIDATED=Y","Sort=A","Dates=H","DateFormat=P","Fill=—","Direction=H","UseDPDF=Y")</f>
        <v>#NAME?</v>
      </c>
      <c r="BO545" s="2" t="e">
        <f ca="1">_xll.BDH($C$528,"TOTAL_ASSETS_SEQUENTIAL_GROWTH","FQ2 2017","FQ2 2017","Currency=INR","Period=FQ","BEST_FPERIOD_OVERRIDE=FQ","FILING_STATUS=OR","EQY_CONSOLIDATED=Y","Sort=A","Dates=H","DateFormat=P","Fill=—","Direction=H","UseDPDF=Y")</f>
        <v>#NAME?</v>
      </c>
      <c r="BP545" s="2" t="e">
        <f ca="1">_xll.BDH($C$528,"MODIFIED_WORKING_CPTL_SEQ_GRWTH","FQ2 2017","FQ2 2017","Currency=INR","Period=FQ","BEST_FPERIOD_OVERRIDE=FQ","FILING_STATUS=OR","EQY_CONSOLIDATED=Y","Sort=A","Dates=H","DateFormat=P","Fill=—","Direction=H","UseDPDF=Y")</f>
        <v>#NAME?</v>
      </c>
      <c r="BQ545" s="2" t="e">
        <f ca="1">_xll.BDH($C$528,"WORKING_CAPITAL_SEQ_GROWTH","FQ2 2017","FQ2 2017","Currency=INR","Period=FQ","BEST_FPERIOD_OVERRIDE=FQ","FILING_STATUS=OR","EQY_CONSOLIDATED=Y","Sort=A","Dates=H","DateFormat=P","Fill=—","Direction=H","UseDPDF=Y")</f>
        <v>#NAME?</v>
      </c>
      <c r="BR545" s="2" t="e">
        <f ca="1">_xll.BDH($C$528,"ACCOUNTS_PAYABLE_SEQ_GROWTH","FQ2 2017","FQ2 2017","Currency=INR","Period=FQ","BEST_FPERIOD_OVERRIDE=FQ","FILING_STATUS=OR","EQY_CONSOLIDATED=Y","Sort=A","Dates=H","DateFormat=P","Fill=—","Direction=H","UseDPDF=Y")</f>
        <v>#NAME?</v>
      </c>
      <c r="BS545" s="2" t="e">
        <f ca="1">_xll.BDH($C$528,"ST_DEBT_SEQUENTIAL_GROWTH","FQ2 2017","FQ2 2017","Currency=INR","Period=FQ","BEST_FPERIOD_OVERRIDE=FQ","FILING_STATUS=OR","EQY_CONSOLIDATED=Y","Sort=A","Dates=H","DateFormat=P","Fill=—","Direction=H","UseDPDF=Y")</f>
        <v>#NAME?</v>
      </c>
      <c r="BT545" s="2" t="e">
        <f ca="1">_xll.BDH($C$528,"TOTAL_DEBT_SEQUENTIAL_GROWTH","FQ2 2017","FQ2 2017","Currency=INR","Period=FQ","BEST_FPERIOD_OVERRIDE=FQ","FILING_STATUS=OR","EQY_CONSOLIDATED=Y","Sort=A","Dates=H","DateFormat=P","Fill=—","Direction=H","UseDPDF=Y")</f>
        <v>#NAME?</v>
      </c>
      <c r="BU545" s="2" t="e">
        <f ca="1">_xll.BDH($C$528,"TOTAL_EQUITY_SEQUENTIAL_GROWTH","FQ2 2017","FQ2 2017","Currency=INR","Period=FQ","BEST_FPERIOD_OVERRIDE=FQ","FILING_STATUS=OR","EQY_CONSOLIDATED=Y","Sort=A","Dates=H","DateFormat=P","Fill=—","Direction=H","UseDPDF=Y")</f>
        <v>#NAME?</v>
      </c>
      <c r="BV545" s="2" t="e">
        <f ca="1">_xll.BDH($C$528,"TOTAL_CAPITAL_SEQUENTIAL_GROWTH","FQ2 2017","FQ2 2017","Currency=INR","Period=FQ","BEST_FPERIOD_OVERRIDE=FQ","FILING_STATUS=OR","EQY_CONSOLIDATED=Y","Sort=A","Dates=H","DateFormat=P","Fill=—","Direction=H","UseDPDF=Y")</f>
        <v>#NAME?</v>
      </c>
      <c r="BW545" s="2" t="e">
        <f ca="1">_xll.BDH($C$528,"BPS_SEQUENTIAL_GROWTH","FQ2 2017","FQ2 2017","Currency=INR","Period=FQ","BEST_FPERIOD_OVERRIDE=FQ","FILING_STATUS=OR","EQY_CONSOLIDATED=Y","Sort=A","Dates=H","DateFormat=P","Fill=—","Direction=H","UseDPDF=Y")</f>
        <v>#NAME?</v>
      </c>
      <c r="BX545" s="2" t="e">
        <f ca="1">_xll.BDH($C$528,"CFO_SEQUENTIAL_GROWTH","FQ2 2017","FQ2 2017","Currency=INR","Period=FQ","BEST_FPERIOD_OVERRIDE=FQ","FILING_STATUS=OR","EQY_CONSOLIDATED=Y","Sort=A","Dates=H","DateFormat=P","Fill=—","Direction=H","UseDPDF=Y")</f>
        <v>#NAME?</v>
      </c>
      <c r="BY545" s="3" t="e">
        <f ca="1">_xll.BDH($C$528,"SHORT_AND_LONG_TERM_DEBT","FQ2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45" s="3" t="e">
        <f ca="1">_xll.BDH($C$528,"BS_ST_BORROW","FQ2 2017","FQ2 2017","Currency=INR","Period=FQ","BEST_FPERIOD_OVERRIDE=FQ","FILING_STATUS=OR","EQY_CONSOLIDATED=Y","SCALING_FORMAT=MLN","Sort=A","Dates=H","DateFormat=P","Fill=—","Direction=H","UseDPDF=Y")</f>
        <v>#NAME?</v>
      </c>
      <c r="CA545" s="3" t="e">
        <f ca="1">_xll.BDH($C$528,"BS_LT_BORROW","FQ2 2017","FQ2 2017","Currency=INR","Period=FQ","BEST_FPERIOD_OVERRIDE=FQ","FILING_STATUS=OR","EQY_CONSOLIDATED=Y","SCALING_FORMAT=MLN","Sort=A","Dates=H","DateFormat=P","Fill=—","Direction=H","UseDPDF=Y")</f>
        <v>#NAME?</v>
      </c>
      <c r="CB545" s="2" t="e">
        <f ca="1">_xll.BDH($C$528,"TOT_DEBT_TO_EBITDA","FQ2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45" s="2" t="e">
        <f ca="1">_xll.BDH($C$528,"NET_DEBT_TO_EBITDA","FQ2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45" s="2" t="e">
        <f ca="1">_xll.BDH($C$528,"TOTAL_DEBT_TO_EBIT","FQ2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45" s="2" t="e">
        <f ca="1">_xll.BDH($C$528,"NET_DEBT_TO_EBIT","FQ2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45" s="2" t="e">
        <f ca="1">_xll.BDH($C$528,"EBITDA_TO_INTEREST_EXPN","FQ2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45" s="2" t="e">
        <f ca="1">_xll.BDH($C$528,"COM_EQY_TO_TOT_ASSET","FQ2 2017","FQ2 2017","Currency=INR","Period=FQ","BEST_FPERIOD_OVERRIDE=FQ","FILING_STATUS=OR","EQY_CONSOLIDATED=Y","Sort=A","Dates=H","DateFormat=P","Fill=—","Direction=H","UseDPDF=Y")</f>
        <v>#NAME?</v>
      </c>
      <c r="CH545" s="2" t="e">
        <f ca="1">_xll.BDH($C$528,"LT_DEBT_TO_TOT_EQY","FQ2 2017","FQ2 2017","Currency=INR","Period=FQ","BEST_FPERIOD_OVERRIDE=FQ","FILING_STATUS=OR","EQY_CONSOLIDATED=Y","Sort=A","Dates=H","DateFormat=P","Fill=—","Direction=H","UseDPDF=Y")</f>
        <v>#NAME?</v>
      </c>
      <c r="CI545" s="2" t="e">
        <f ca="1">_xll.BDH($C$528,"LT_DEBT_TO_TOT_CAP","FQ2 2017","FQ2 2017","Currency=INR","Period=FQ","BEST_FPERIOD_OVERRIDE=FQ","FILING_STATUS=OR","EQY_CONSOLIDATED=Y","Sort=A","Dates=H","DateFormat=P","Fill=—","Direction=H","UseDPDF=Y")</f>
        <v>#NAME?</v>
      </c>
      <c r="CJ545" s="2" t="e">
        <f ca="1">_xll.BDH($C$528,"LT_DEBT_TO_TOT_ASSET","FQ2 2017","FQ2 2017","Currency=INR","Period=FQ","BEST_FPERIOD_OVERRIDE=FQ","FILING_STATUS=OR","EQY_CONSOLIDATED=Y","Sort=A","Dates=H","DateFormat=P","Fill=—","Direction=H","UseDPDF=Y")</f>
        <v>#NAME?</v>
      </c>
      <c r="CK545" s="2" t="e">
        <f ca="1">_xll.BDH($C$528,"TOT_DEBT_TO_TOT_EQY","FQ2 2017","FQ2 2017","Currency=INR","Period=FQ","BEST_FPERIOD_OVERRIDE=FQ","FILING_STATUS=OR","EQY_CONSOLIDATED=Y","Sort=A","Dates=H","DateFormat=P","Fill=—","Direction=H","UseDPDF=Y")</f>
        <v>#NAME?</v>
      </c>
      <c r="CL545" s="2" t="e">
        <f ca="1">_xll.BDH($C$528,"TOT_DEBT_TO_TOT_CAP","FQ2 2017","FQ2 2017","Currency=INR","Period=FQ","BEST_FPERIOD_OVERRIDE=FQ","FILING_STATUS=OR","EQY_CONSOLIDATED=Y","Sort=A","Dates=H","DateFormat=P","Fill=—","Direction=H","UseDPDF=Y")</f>
        <v>#NAME?</v>
      </c>
      <c r="CM545" s="2" t="e">
        <f ca="1">_xll.BDH($C$528,"TOT_DEBT_TO_TOT_ASSET","FQ2 2017","FQ2 2017","Currency=INR","Period=FQ","BEST_FPERIOD_OVERRIDE=FQ","FILING_STATUS=OR","EQY_CONSOLIDATED=Y","Sort=A","Dates=H","DateFormat=P","Fill=—","Direction=H","UseDPDF=Y")</f>
        <v>#NAME?</v>
      </c>
      <c r="CN545" s="2" t="e">
        <f ca="1">_xll.BDH($C$528,"NET_DEBT_TO_SHRHLDR_EQTY","FQ2 2017","FQ2 2017","Currency=INR","Period=FQ","BEST_FPERIOD_OVERRIDE=FQ","FILING_STATUS=OR","EQY_CONSOLIDATED=Y","Sort=A","Dates=H","DateFormat=P","Fill=—","Direction=H","UseDPDF=Y")</f>
        <v>#NAME?</v>
      </c>
      <c r="CO545" s="2" t="e">
        <f ca="1">_xll.BDH($C$528,"NET_DEBT_%_CAPITAL","FQ2 2017","FQ2 2017","Currency=INR","Period=FQ","BEST_FPERIOD_OVERRIDE=FQ","FILING_STATUS=OR","EQY_CONSOLIDATED=Y","Sort=A","Dates=H","DateFormat=P","Fill=—","Direction=H","UseDPDF=Y")</f>
        <v>#NAME?</v>
      </c>
      <c r="CP545" s="3" t="e">
        <f ca="1">_xll.BDH($C$528,"EBITDA","FQ2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45" s="3" t="e">
        <f ca="1">_xll.BDH($C$528,"EBITDA_AFTER_CAPEX","FQ2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45" s="3" t="e">
        <f ca="1">_xll.BDH($C$528,"IS_OPER_INC","FQ2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45" s="2" t="e">
        <f ca="1">_xll.BDH($C$528,"CASH_RATIO","FQ2 2017","FQ2 2017","Currency=INR","Period=FQ","BEST_FPERIOD_OVERRIDE=FQ","FILING_STATUS=OR","EQY_CONSOLIDATED=Y","Sort=A","Dates=H","DateFormat=P","Fill=—","Direction=H","UseDPDF=Y")</f>
        <v>#NAME?</v>
      </c>
      <c r="CT545" s="2" t="e">
        <f ca="1">_xll.BDH($C$528,"CUR_RATIO","FQ2 2017","FQ2 2017","Currency=INR","Period=FQ","BEST_FPERIOD_OVERRIDE=FQ","FILING_STATUS=OR","EQY_CONSOLIDATED=Y","Sort=A","Dates=H","DateFormat=P","Fill=—","Direction=H","UseDPDF=Y")</f>
        <v>#NAME?</v>
      </c>
      <c r="CU545" s="2" t="e">
        <f ca="1">_xll.BDH($C$528,"QUICK_RATIO","FQ2 2017","FQ2 2017","Currency=INR","Period=FQ","BEST_FPERIOD_OVERRIDE=FQ","FILING_STATUS=OR","EQY_CONSOLIDATED=Y","Sort=A","Dates=H","DateFormat=P","Fill=—","Direction=H","UseDPDF=Y")</f>
        <v>#NAME?</v>
      </c>
      <c r="CV545" s="2" t="e">
        <f ca="1">_xll.BDH($C$528,"ALTMAN_Z_SCORE","FQ2 2017","FQ2 2017","Currency=INR","Period=FQ","BEST_FPERIOD_OVERRIDE=FQ","FILING_STATUS=OR","EQY_CONSOLIDATED=Y","Sort=A","Dates=H","DateFormat=P","Fill=—","Direction=H","UseDPDF=Y")</f>
        <v>#NAME?</v>
      </c>
      <c r="CW545" s="4" t="e">
        <f ca="1">_xll.BDH($C$528,"ACCT_RCV_TURN","FQ2 2017","FQ2 2017","Currency=INR","Period=FQ","BEST_FPERIOD_OVERRIDE=FQ","FILING_STATUS=OR","EQY_CONSOLIDATED=Y","FA_ADJUSTED=GAAP","Sort=A","Dates=H","DateFormat=P","Fill=—","Direction=H","UseDPDF=Y")</f>
        <v>#NAME?</v>
      </c>
      <c r="CX545" s="2" t="e">
        <f ca="1">_xll.BDH($C$528,"ACCT_RCV_DAYS","FQ2 2017","FQ2 2017","Currency=INR","Period=FQ","BEST_FPERIOD_OVERRIDE=FQ","FILING_STATUS=OR","EQY_CONSOLIDATED=Y","FA_ADJUSTED=GAAP","Sort=A","Dates=H","DateFormat=P","Fill=—","Direction=H","UseDPDF=Y")</f>
        <v>#NAME?</v>
      </c>
      <c r="CY545" s="4" t="e">
        <f ca="1">_xll.BDH($C$528,"INVENT_TURN","FQ2 2017","FQ2 2017","Currency=INR","Period=FQ","BEST_FPERIOD_OVERRIDE=FQ","FILING_STATUS=OR","EQY_CONSOLIDATED=Y","FA_ADJUSTED=GAAP","Sort=A","Dates=H","DateFormat=P","Fill=—","Direction=H","UseDPDF=Y")</f>
        <v>#NAME?</v>
      </c>
      <c r="CZ545" s="2" t="e">
        <f ca="1">_xll.BDH($C$528,"INVENT_DAYS","FQ2 2017","FQ2 2017","Currency=INR","Period=FQ","BEST_FPERIOD_OVERRIDE=FQ","FILING_STATUS=OR","EQY_CONSOLIDATED=Y","FA_ADJUSTED=GAAP","Sort=A","Dates=H","DateFormat=P","Fill=—","Direction=H","UseDPDF=Y")</f>
        <v>#NAME?</v>
      </c>
      <c r="DA545" s="4" t="e">
        <f ca="1">_xll.BDH($C$528,"ACCOUNTS_PAYABLE_TURNOVER","FQ2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45" s="2" t="e">
        <f ca="1">_xll.BDH($C$528,"ACCOUNTS_PAYABLE_TURNOVER_DAYS","FQ2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45" s="4" t="e">
        <f ca="1">_xll.BDH($C$528,"CASH_CONVERSION_CYCLE","FQ2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45" s="4" t="e">
        <f ca="1">_xll.BDH($C$528,"INV_TO_CASH_DAYS","FQ2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45" s="5" t="e">
        <f ca="1">_xll.BDH($C$528,"BS_INVENTORIES","FQ2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45" s="3" t="e">
        <f ca="1">_xll.BDH($C$528,"INVTRY_RAW_MATERIALS","FQ2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45" s="3" t="e">
        <f ca="1">_xll.BDH($C$528,"INVTRY_IN_PROGRESS","FQ2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45" s="3" t="e">
        <f ca="1">_xll.BDH($C$528,"INVTRY_FINISHED_GOODS","FQ2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45" s="3" t="e">
        <f ca="1">_xll.BDH($C$528,"BS_OTHER_INV","FQ2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46" spans="1:113" x14ac:dyDescent="0.3">
      <c r="A546" s="6"/>
      <c r="B546" s="6"/>
      <c r="C546" s="6"/>
      <c r="D546" s="6"/>
      <c r="E546" t="s">
        <v>80</v>
      </c>
      <c r="F546" t="e">
        <f ca="1">_xll.BDH($C$528,"RETURN_COM_EQY","FQ3 2017","FQ3 2017","Currency=INR","Period=FQ","BEST_FPERIOD_OVERRIDE=FQ","FILING_STATUS=OR","EQY_CONSOLIDATED=Y","FA_ADJUSTED=GAAP","Sort=A","Dates=H","DateFormat=P","Fill=—","Direction=H","UseDPDF=Y")</f>
        <v>#NAME?</v>
      </c>
      <c r="G546" t="e">
        <f ca="1">_xll.BDH($C$528,"RETURN_ON_ASSET","FQ3 2017","FQ3 2017","Currency=INR","Period=FQ","BEST_FPERIOD_OVERRIDE=FQ","FILING_STATUS=OR","EQY_CONSOLIDATED=Y","FA_ADJUSTED=GAAP","Sort=A","Dates=H","DateFormat=P","Fill=—","Direction=H","UseDPDF=Y")</f>
        <v>#NAME?</v>
      </c>
      <c r="H546" t="e">
        <f ca="1">_xll.BDH($C$528,"RETURN_ON_CAP","FQ3 2017","FQ3 2017","Currency=INR","Period=FQ","BEST_FPERIOD_OVERRIDE=FQ","FILING_STATUS=OR","EQY_CONSOLIDATED=Y","FA_ADJUSTED=GAAP","Sort=A","Dates=H","DateFormat=P","Fill=—","Direction=H","UseDPDF=Y")</f>
        <v>#NAME?</v>
      </c>
      <c r="I546" t="e">
        <f ca="1">_xll.BDH($C$528,"RETURN_ON_INV_CAPITAL","FQ3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46" t="e">
        <f ca="1">_xll.BDH($C$528,"EBITDA_TO_REVENUE","FQ3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46" t="e">
        <f ca="1">_xll.BDH($C$528,"OPER_MARGIN","FQ3 2017","FQ3 2017","Currency=INR","Period=FQ","BEST_FPERIOD_OVERRIDE=FQ","FILING_STATUS=OR","EQY_CONSOLIDATED=Y","FA_ADJUSTED=GAAP","Sort=A","Dates=H","DateFormat=P","Fill=—","Direction=H","UseDPDF=Y")</f>
        <v>#NAME?</v>
      </c>
      <c r="L546" t="e">
        <f ca="1">_xll.BDH($C$528,"INCREMENTAL_OPERATING_MARGIN","FQ3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46" t="e">
        <f ca="1">_xll.BDH($C$528,"PRETAX_INC_TO_NET_SALES","FQ3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46" t="e">
        <f ca="1">_xll.BDH($C$528,"INC_BEF_XO_ITEMS_TO_NET_SALES","FQ3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46" t="e">
        <f ca="1">_xll.BDH($C$528,"PROF_MARGIN","FQ3 2017","FQ3 2017","Currency=INR","Period=FQ","BEST_FPERIOD_OVERRIDE=FQ","FILING_STATUS=OR","EQY_CONSOLIDATED=Y","FA_ADJUSTED=GAAP","Sort=A","Dates=H","DateFormat=P","Fill=—","Direction=H","UseDPDF=Y")</f>
        <v>#NAME?</v>
      </c>
      <c r="P546" t="e">
        <f ca="1">_xll.BDH($C$528,"NET_INCOME_TO_COMMON_MARGIN","FQ3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46" t="e">
        <f ca="1">_xll.BDH($C$528,"EFF_TAX_RATE","FQ3 2017","FQ3 2017","Currency=INR","Period=FQ","BEST_FPERIOD_OVERRIDE=FQ","FILING_STATUS=OR","EQY_CONSOLIDATED=Y","FA_ADJUSTED=GAAP","Sort=A","Dates=H","DateFormat=P","Fill=—","Direction=H","UseDPDF=Y")</f>
        <v>#NAME?</v>
      </c>
      <c r="R546" t="e">
        <f ca="1">_xll.BDH($C$528,"DVD_PAYOUT_RATIO","FQ3 2017","FQ3 2017","Currency=INR","Period=FQ","BEST_FPERIOD_OVERRIDE=FQ","FILING_STATUS=OR","EQY_CONSOLIDATED=Y","FA_ADJUSTED=GAAP","Sort=A","Dates=H","DateFormat=P","Fill=—","Direction=H","UseDPDF=Y")</f>
        <v>#NAME?</v>
      </c>
      <c r="S546" t="e">
        <f ca="1">_xll.BDH($C$528,"SUSTAIN_GROWTH_RT","FQ3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46" s="2" t="e">
        <f ca="1">_xll.BDH($C$528,"SALES_GROWTH","FQ3 2017","FQ3 2017","Currency=INR","Period=FQ","BEST_FPERIOD_OVERRIDE=FQ","FILING_STATUS=OR","EQY_CONSOLIDATED=Y","FA_ADJUSTED=GAAP","Sort=A","Dates=H","DateFormat=P","Fill=—","Direction=H","UseDPDF=Y")</f>
        <v>#NAME?</v>
      </c>
      <c r="U546" s="2" t="e">
        <f ca="1">_xll.BDH($C$528,"EBITDA_GROWTH","FQ3 2017","FQ3 2017","Currency=INR","Period=FQ","BEST_FPERIOD_OVERRIDE=FQ","FILING_STATUS=OR","EQY_CONSOLIDATED=Y","FA_ADJUSTED=GAAP","Sort=A","Dates=H","DateFormat=P","Fill=—","Direction=H","UseDPDF=Y")</f>
        <v>#NAME?</v>
      </c>
      <c r="V546" s="2" t="e">
        <f ca="1">_xll.BDH($C$528,"OPER_INC_GROWTH","FQ3 2017","FQ3 2017","Currency=INR","Period=FQ","BEST_FPERIOD_OVERRIDE=FQ","FILING_STATUS=OR","EQY_CONSOLIDATED=Y","FA_ADJUSTED=GAAP","Sort=A","Dates=H","DateFormat=P","Fill=—","Direction=H","UseDPDF=Y")</f>
        <v>#NAME?</v>
      </c>
      <c r="W546" s="2" t="e">
        <f ca="1">_xll.BDH($C$528,"EARN_FOR_COM_GROWTH","FQ3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46" s="2" t="e">
        <f ca="1">_xll.BDH($C$528,"DILUTED_EPS_AFT_XO_ITEMS_GROWTH","FQ3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46" s="2" t="e">
        <f ca="1">_xll.BDH($C$528,"DIVIDEND_PER_SHARE_1_YEAR_GROWTH","FQ3 2017","FQ3 2017","Currency=INR","Period=FQ","BEST_FPERIOD_OVERRIDE=FQ","FILING_STATUS=OR","EQY_CONSOLIDATED=Y","Sort=A","Dates=H","DateFormat=P","Fill=—","Direction=H","UseDPDF=Y")</f>
        <v>#NAME?</v>
      </c>
      <c r="Z546" s="2" t="e">
        <f ca="1">_xll.BDH($C$528,"ACCOUNTS_RECEIVABLE_GROWTH","FQ3 2017","FQ3 2017","Currency=INR","Period=FQ","BEST_FPERIOD_OVERRIDE=FQ","FILING_STATUS=OR","EQY_CONSOLIDATED=Y","Sort=A","Dates=H","DateFormat=P","Fill=—","Direction=H","UseDPDF=Y")</f>
        <v>#NAME?</v>
      </c>
      <c r="AA546" s="2" t="e">
        <f ca="1">_xll.BDH($C$528,"INVENTORY_GROWTH","FQ3 2017","FQ3 2017","Currency=INR","Period=FQ","BEST_FPERIOD_OVERRIDE=FQ","FILING_STATUS=OR","EQY_CONSOLIDATED=Y","Sort=A","Dates=H","DateFormat=P","Fill=—","Direction=H","UseDPDF=Y")</f>
        <v>#NAME?</v>
      </c>
      <c r="AB546" s="2" t="e">
        <f ca="1">_xll.BDH($C$528,"NET_FIXED_ASSETS_1_YEAR_GROWTH","FQ3 2017","FQ3 2017","Currency=INR","Period=FQ","BEST_FPERIOD_OVERRIDE=FQ","FILING_STATUS=OR","EQY_CONSOLIDATED=Y","Sort=A","Dates=H","DateFormat=P","Fill=—","Direction=H","UseDPDF=Y")</f>
        <v>#NAME?</v>
      </c>
      <c r="AC546" s="2" t="e">
        <f ca="1">_xll.BDH($C$528,"ASSET_GROWTH","FQ3 2017","FQ3 2017","Currency=INR","Period=FQ","BEST_FPERIOD_OVERRIDE=FQ","FILING_STATUS=OR","EQY_CONSOLIDATED=Y","Sort=A","Dates=H","DateFormat=P","Fill=—","Direction=H","UseDPDF=Y")</f>
        <v>#NAME?</v>
      </c>
      <c r="AD546" s="2" t="e">
        <f ca="1">_xll.BDH($C$528,"MODIFIED_WORK_CAP_GROWTH","FQ3 2017","FQ3 2017","Currency=INR","Period=FQ","BEST_FPERIOD_OVERRIDE=FQ","FILING_STATUS=OR","EQY_CONSOLIDATED=Y","Sort=A","Dates=H","DateFormat=P","Fill=—","Direction=H","UseDPDF=Y")</f>
        <v>#NAME?</v>
      </c>
      <c r="AE546" s="2" t="e">
        <f ca="1">_xll.BDH($C$528,"WORK_CAP_GROWTH","FQ3 2017","FQ3 2017","Currency=INR","Period=FQ","BEST_FPERIOD_OVERRIDE=FQ","FILING_STATUS=OR","EQY_CONSOLIDATED=Y","Sort=A","Dates=H","DateFormat=P","Fill=—","Direction=H","UseDPDF=Y")</f>
        <v>#NAME?</v>
      </c>
      <c r="AF546" s="2" t="e">
        <f ca="1">_xll.BDH($C$528,"ACCOUNTS_PAYABLE_GROWTH_1YR","FQ3 2017","FQ3 2017","Currency=INR","Period=FQ","BEST_FPERIOD_OVERRIDE=FQ","FILING_STATUS=OR","EQY_CONSOLIDATED=Y","Sort=A","Dates=H","DateFormat=P","Fill=—","Direction=H","UseDPDF=Y")</f>
        <v>#NAME?</v>
      </c>
      <c r="AG546" s="2" t="e">
        <f ca="1">_xll.BDH($C$528,"SHORT_TERM_DEBT_1_YEAR_GROWTH","FQ3 2017","FQ3 2017","Currency=INR","Period=FQ","BEST_FPERIOD_OVERRIDE=FQ","FILING_STATUS=OR","EQY_CONSOLIDATED=Y","Sort=A","Dates=H","DateFormat=P","Fill=—","Direction=H","UseDPDF=Y")</f>
        <v>#NAME?</v>
      </c>
      <c r="AH546" s="2" t="e">
        <f ca="1">_xll.BDH($C$528,"TOTAL_DEBT_1_YEAR_GROWTH","FQ3 2017","FQ3 2017","Currency=INR","Period=FQ","BEST_FPERIOD_OVERRIDE=FQ","FILING_STATUS=OR","EQY_CONSOLIDATED=Y","Sort=A","Dates=H","DateFormat=P","Fill=—","Direction=H","UseDPDF=Y")</f>
        <v>#NAME?</v>
      </c>
      <c r="AI546" s="2" t="e">
        <f ca="1">_xll.BDH($C$528,"TOTAL_EQUITY_1_YEAR_GROWTH","FQ3 2017","FQ3 2017","Currency=INR","Period=FQ","BEST_FPERIOD_OVERRIDE=FQ","FILING_STATUS=OR","EQY_CONSOLIDATED=Y","Sort=A","Dates=H","DateFormat=P","Fill=—","Direction=H","UseDPDF=Y")</f>
        <v>#NAME?</v>
      </c>
      <c r="AJ546" s="2" t="e">
        <f ca="1">_xll.BDH($C$528,"GROWTH_IN_CAP","FQ3 2017","FQ3 2017","Currency=INR","Period=FQ","BEST_FPERIOD_OVERRIDE=FQ","FILING_STATUS=OR","EQY_CONSOLIDATED=Y","Sort=A","Dates=H","DateFormat=P","Fill=—","Direction=H","UseDPDF=Y")</f>
        <v>#NAME?</v>
      </c>
      <c r="AK546" s="2" t="e">
        <f ca="1">_xll.BDH($C$528,"BVPS_GROWTH","FQ3 2017","FQ3 2017","Currency=INR","Period=FQ","BEST_FPERIOD_OVERRIDE=FQ","FILING_STATUS=OR","EQY_CONSOLIDATED=Y","Sort=A","Dates=H","DateFormat=P","Fill=—","Direction=H","UseDPDF=Y")</f>
        <v>#NAME?</v>
      </c>
      <c r="AL546" s="2" t="e">
        <f ca="1">_xll.BDH($C$528,"CASH_FLOW_GROWTH","FQ3 2017","FQ3 2017","Currency=INR","Period=FQ","BEST_FPERIOD_OVERRIDE=FQ","FILING_STATUS=OR","EQY_CONSOLIDATED=Y","Sort=A","Dates=H","DateFormat=P","Fill=—","Direction=H","UseDPDF=Y")</f>
        <v>#NAME?</v>
      </c>
      <c r="AM546" s="2" t="e">
        <f ca="1">_xll.BDH($C$528,"GEO_GROW_NET_SALES","FQ3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46" s="2" t="e">
        <f ca="1">_xll.BDH($C$528,"GEO_GROW_EBITDA","FQ3 2017","FQ3 2017","Currency=INR","Period=FQ","BEST_FPERIOD_OVERRIDE=FQ","FILING_STATUS=OR","EQY_CONSOLIDATED=Y","FA_ADJUSTED=GAAP","Sort=A","Dates=H","DateFormat=P","Fill=—","Direction=H","UseDPDF=Y")</f>
        <v>#NAME?</v>
      </c>
      <c r="AO546" s="2" t="e">
        <f ca="1">_xll.BDH($C$528,"GEO_GROW_OPER_INC","FQ3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46" s="2" t="e">
        <f ca="1">_xll.BDH($C$528,"NET_INCOME_TO_COMMON_5_YR_GROWTH","FQ3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46" s="2" t="e">
        <f ca="1">_xll.BDH($C$528,"5Y_GEO_GROWTH_DILUTED_EPS","FQ3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46" s="2" t="e">
        <f ca="1">_xll.BDH($C$528,"GEO_GROW_DVD_PER_SH","FQ3 2017","FQ3 2017","Currency=INR","Period=FQ","BEST_FPERIOD_OVERRIDE=FQ","FILING_STATUS=OR","EQY_CONSOLIDATED=Y","Sort=A","Dates=H","DateFormat=P","Fill=—","Direction=H","UseDPDF=Y")</f>
        <v>#NAME?</v>
      </c>
      <c r="AS546" s="2" t="e">
        <f ca="1">_xll.BDH($C$528,"ACCOUNTS_RECEIVABLE_5_YR_GROWTH","FQ3 2017","FQ3 2017","Currency=INR","Period=FQ","BEST_FPERIOD_OVERRIDE=FQ","FILING_STATUS=OR","EQY_CONSOLIDATED=Y","Sort=A","Dates=H","DateFormat=P","Fill=—","Direction=H","UseDPDF=Y")</f>
        <v>#NAME?</v>
      </c>
      <c r="AT546" s="2" t="e">
        <f ca="1">_xll.BDH($C$528,"INVENTORY_5_YEAR_GROWTH","FQ3 2017","FQ3 2017","Currency=INR","Period=FQ","BEST_FPERIOD_OVERRIDE=FQ","FILING_STATUS=OR","EQY_CONSOLIDATED=Y","Sort=A","Dates=H","DateFormat=P","Fill=—","Direction=H","UseDPDF=Y")</f>
        <v>#NAME?</v>
      </c>
      <c r="AU546" s="2" t="e">
        <f ca="1">_xll.BDH($C$528,"NET_FIXED_ASSETS_5_YEAR_GROWTH","FQ3 2017","FQ3 2017","Currency=INR","Period=FQ","BEST_FPERIOD_OVERRIDE=FQ","FILING_STATUS=OR","EQY_CONSOLIDATED=Y","Sort=A","Dates=H","DateFormat=P","Fill=—","Direction=H","UseDPDF=Y")</f>
        <v>#NAME?</v>
      </c>
      <c r="AV546" s="2" t="e">
        <f ca="1">_xll.BDH($C$528,"GEO_GROW_TOT_ASSET","FQ3 2017","FQ3 2017","Currency=INR","Period=FQ","BEST_FPERIOD_OVERRIDE=FQ","FILING_STATUS=OR","EQY_CONSOLIDATED=Y","Sort=A","Dates=H","DateFormat=P","Fill=—","Direction=H","UseDPDF=Y")</f>
        <v>#NAME?</v>
      </c>
      <c r="AW546" s="2" t="e">
        <f ca="1">_xll.BDH($C$528,"MODIFIED_WORKING_CPTL_5YR_GRWTH","FQ3 2017","FQ3 2017","Currency=INR","Period=FQ","BEST_FPERIOD_OVERRIDE=FQ","FILING_STATUS=OR","EQY_CONSOLIDATED=Y","Sort=A","Dates=H","DateFormat=P","Fill=—","Direction=H","UseDPDF=Y")</f>
        <v>#NAME?</v>
      </c>
      <c r="AX546" s="2" t="e">
        <f ca="1">_xll.BDH($C$528,"WORKING_CAPITAL_5_YEAR_GROWTH","FQ3 2017","FQ3 2017","Currency=INR","Period=FQ","BEST_FPERIOD_OVERRIDE=FQ","FILING_STATUS=OR","EQY_CONSOLIDATED=Y","Sort=A","Dates=H","DateFormat=P","Fill=—","Direction=H","UseDPDF=Y")</f>
        <v>#NAME?</v>
      </c>
      <c r="AY546" s="2" t="e">
        <f ca="1">_xll.BDH($C$528,"ACCOUNTS_PAYABLE_5_YEAR_GROWTH","FQ3 2017","FQ3 2017","Currency=INR","Period=FQ","BEST_FPERIOD_OVERRIDE=FQ","FILING_STATUS=OR","EQY_CONSOLIDATED=Y","Sort=A","Dates=H","DateFormat=P","Fill=—","Direction=H","UseDPDF=Y")</f>
        <v>#NAME?</v>
      </c>
      <c r="AZ546" s="2" t="e">
        <f ca="1">_xll.BDH($C$528,"SHORT_TERM_DEBT_5_YEAR_GROWTH","FQ3 2017","FQ3 2017","Currency=INR","Period=FQ","BEST_FPERIOD_OVERRIDE=FQ","FILING_STATUS=OR","EQY_CONSOLIDATED=Y","Sort=A","Dates=H","DateFormat=P","Fill=—","Direction=H","UseDPDF=Y")</f>
        <v>#NAME?</v>
      </c>
      <c r="BA546" s="2" t="e">
        <f ca="1">_xll.BDH($C$528,"TOTAL_DEBT_5_YEAR_GROWTH","FQ3 2017","FQ3 2017","Currency=INR","Period=FQ","BEST_FPERIOD_OVERRIDE=FQ","FILING_STATUS=OR","EQY_CONSOLIDATED=Y","Sort=A","Dates=H","DateFormat=P","Fill=—","Direction=H","UseDPDF=Y")</f>
        <v>#NAME?</v>
      </c>
      <c r="BB546" s="2" t="e">
        <f ca="1">_xll.BDH($C$528,"GEO_GROW_TOT_SHRHLDR_EQY","FQ3 2017","FQ3 2017","Currency=INR","Period=FQ","BEST_FPERIOD_OVERRIDE=FQ","FILING_STATUS=OR","EQY_CONSOLIDATED=Y","Sort=A","Dates=H","DateFormat=P","Fill=—","Direction=H","UseDPDF=Y")</f>
        <v>#NAME?</v>
      </c>
      <c r="BC546" s="2" t="e">
        <f ca="1">_xll.BDH($C$528,"TOTAL_CAPITAL_5_YEAR_GROWTH","FQ3 2017","FQ3 2017","Currency=INR","Period=FQ","BEST_FPERIOD_OVERRIDE=FQ","FILING_STATUS=OR","EQY_CONSOLIDATED=Y","Sort=A","Dates=H","DateFormat=P","Fill=—","Direction=H","UseDPDF=Y")</f>
        <v>#NAME?</v>
      </c>
      <c r="BD546" s="2" t="e">
        <f ca="1">_xll.BDH($C$528,"GEO_GROW_BOOK_VAL","FQ3 2017","FQ3 2017","Currency=INR","Period=FQ","BEST_FPERIOD_OVERRIDE=FQ","FILING_STATUS=OR","EQY_CONSOLIDATED=Y","Sort=A","Dates=H","DateFormat=P","Fill=—","Direction=H","UseDPDF=Y")</f>
        <v>#NAME?</v>
      </c>
      <c r="BE546" s="2" t="e">
        <f ca="1">_xll.BDH($C$528,"GEO_GROW_CASH_OPER_ACT","FQ3 2017","FQ3 2017","Currency=INR","Period=FQ","BEST_FPERIOD_OVERRIDE=FQ","FILING_STATUS=OR","EQY_CONSOLIDATED=Y","Sort=A","Dates=H","DateFormat=P","Fill=—","Direction=H","UseDPDF=Y")</f>
        <v>#NAME?</v>
      </c>
      <c r="BF546" s="2" t="e">
        <f ca="1">_xll.BDH($C$528,"REVENUE_SEQUENTIAL_GROWTH","FQ3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46" s="2" t="e">
        <f ca="1">_xll.BDH($C$528,"EBITDA_SEQUENTIAL_GROWTH","FQ3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46" s="2" t="e">
        <f ca="1">_xll.BDH($C$528,"OPERATING_INCOME_SEQ_GROWTH","FQ3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46" s="2" t="e">
        <f ca="1">_xll.BDH($C$528,"NET_INCOME_TO_COMMON_SEQ_GROWTH","FQ3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46" s="2" t="e">
        <f ca="1">_xll.BDH($C$528,"EPS_DILUTED_SEQUENTIAL_GROWTH","FQ3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46" s="2" t="e">
        <f ca="1">_xll.BDH($C$528,"DPS_SEQUENTIAL_GROWTH","FQ3 2017","FQ3 2017","Currency=INR","Period=FQ","BEST_FPERIOD_OVERRIDE=FQ","FILING_STATUS=OR","EQY_CONSOLIDATED=Y","Sort=A","Dates=H","DateFormat=P","Fill=—","Direction=H","UseDPDF=Y")</f>
        <v>#NAME?</v>
      </c>
      <c r="BL546" s="2" t="e">
        <f ca="1">_xll.BDH($C$528,"ACCOUNTS_RECEIVABLE_SEQ_GROWTH","FQ3 2017","FQ3 2017","Currency=INR","Period=FQ","BEST_FPERIOD_OVERRIDE=FQ","FILING_STATUS=OR","EQY_CONSOLIDATED=Y","Sort=A","Dates=H","DateFormat=P","Fill=—","Direction=H","UseDPDF=Y")</f>
        <v>#NAME?</v>
      </c>
      <c r="BM546" s="2" t="e">
        <f ca="1">_xll.BDH($C$528,"INVENTORY_SEQUENTIAL_GROWTH","FQ3 2017","FQ3 2017","Currency=INR","Period=FQ","BEST_FPERIOD_OVERRIDE=FQ","FILING_STATUS=OR","EQY_CONSOLIDATED=Y","Sort=A","Dates=H","DateFormat=P","Fill=—","Direction=H","UseDPDF=Y")</f>
        <v>#NAME?</v>
      </c>
      <c r="BN546" s="2" t="e">
        <f ca="1">_xll.BDH($C$528,"FIXED_ASSETS_SEQUENTIAL_GROWTH","FQ3 2017","FQ3 2017","Currency=INR","Period=FQ","BEST_FPERIOD_OVERRIDE=FQ","FILING_STATUS=OR","EQY_CONSOLIDATED=Y","Sort=A","Dates=H","DateFormat=P","Fill=—","Direction=H","UseDPDF=Y")</f>
        <v>#NAME?</v>
      </c>
      <c r="BO546" s="2" t="e">
        <f ca="1">_xll.BDH($C$528,"TOTAL_ASSETS_SEQUENTIAL_GROWTH","FQ3 2017","FQ3 2017","Currency=INR","Period=FQ","BEST_FPERIOD_OVERRIDE=FQ","FILING_STATUS=OR","EQY_CONSOLIDATED=Y","Sort=A","Dates=H","DateFormat=P","Fill=—","Direction=H","UseDPDF=Y")</f>
        <v>#NAME?</v>
      </c>
      <c r="BP546" s="2" t="e">
        <f ca="1">_xll.BDH($C$528,"MODIFIED_WORKING_CPTL_SEQ_GRWTH","FQ3 2017","FQ3 2017","Currency=INR","Period=FQ","BEST_FPERIOD_OVERRIDE=FQ","FILING_STATUS=OR","EQY_CONSOLIDATED=Y","Sort=A","Dates=H","DateFormat=P","Fill=—","Direction=H","UseDPDF=Y")</f>
        <v>#NAME?</v>
      </c>
      <c r="BQ546" s="2" t="e">
        <f ca="1">_xll.BDH($C$528,"WORKING_CAPITAL_SEQ_GROWTH","FQ3 2017","FQ3 2017","Currency=INR","Period=FQ","BEST_FPERIOD_OVERRIDE=FQ","FILING_STATUS=OR","EQY_CONSOLIDATED=Y","Sort=A","Dates=H","DateFormat=P","Fill=—","Direction=H","UseDPDF=Y")</f>
        <v>#NAME?</v>
      </c>
      <c r="BR546" s="2" t="e">
        <f ca="1">_xll.BDH($C$528,"ACCOUNTS_PAYABLE_SEQ_GROWTH","FQ3 2017","FQ3 2017","Currency=INR","Period=FQ","BEST_FPERIOD_OVERRIDE=FQ","FILING_STATUS=OR","EQY_CONSOLIDATED=Y","Sort=A","Dates=H","DateFormat=P","Fill=—","Direction=H","UseDPDF=Y")</f>
        <v>#NAME?</v>
      </c>
      <c r="BS546" s="2" t="e">
        <f ca="1">_xll.BDH($C$528,"ST_DEBT_SEQUENTIAL_GROWTH","FQ3 2017","FQ3 2017","Currency=INR","Period=FQ","BEST_FPERIOD_OVERRIDE=FQ","FILING_STATUS=OR","EQY_CONSOLIDATED=Y","Sort=A","Dates=H","DateFormat=P","Fill=—","Direction=H","UseDPDF=Y")</f>
        <v>#NAME?</v>
      </c>
      <c r="BT546" s="2" t="e">
        <f ca="1">_xll.BDH($C$528,"TOTAL_DEBT_SEQUENTIAL_GROWTH","FQ3 2017","FQ3 2017","Currency=INR","Period=FQ","BEST_FPERIOD_OVERRIDE=FQ","FILING_STATUS=OR","EQY_CONSOLIDATED=Y","Sort=A","Dates=H","DateFormat=P","Fill=—","Direction=H","UseDPDF=Y")</f>
        <v>#NAME?</v>
      </c>
      <c r="BU546" s="2" t="e">
        <f ca="1">_xll.BDH($C$528,"TOTAL_EQUITY_SEQUENTIAL_GROWTH","FQ3 2017","FQ3 2017","Currency=INR","Period=FQ","BEST_FPERIOD_OVERRIDE=FQ","FILING_STATUS=OR","EQY_CONSOLIDATED=Y","Sort=A","Dates=H","DateFormat=P","Fill=—","Direction=H","UseDPDF=Y")</f>
        <v>#NAME?</v>
      </c>
      <c r="BV546" s="2" t="e">
        <f ca="1">_xll.BDH($C$528,"TOTAL_CAPITAL_SEQUENTIAL_GROWTH","FQ3 2017","FQ3 2017","Currency=INR","Period=FQ","BEST_FPERIOD_OVERRIDE=FQ","FILING_STATUS=OR","EQY_CONSOLIDATED=Y","Sort=A","Dates=H","DateFormat=P","Fill=—","Direction=H","UseDPDF=Y")</f>
        <v>#NAME?</v>
      </c>
      <c r="BW546" s="2" t="e">
        <f ca="1">_xll.BDH($C$528,"BPS_SEQUENTIAL_GROWTH","FQ3 2017","FQ3 2017","Currency=INR","Period=FQ","BEST_FPERIOD_OVERRIDE=FQ","FILING_STATUS=OR","EQY_CONSOLIDATED=Y","Sort=A","Dates=H","DateFormat=P","Fill=—","Direction=H","UseDPDF=Y")</f>
        <v>#NAME?</v>
      </c>
      <c r="BX546" s="2" t="e">
        <f ca="1">_xll.BDH($C$528,"CFO_SEQUENTIAL_GROWTH","FQ3 2017","FQ3 2017","Currency=INR","Period=FQ","BEST_FPERIOD_OVERRIDE=FQ","FILING_STATUS=OR","EQY_CONSOLIDATED=Y","Sort=A","Dates=H","DateFormat=P","Fill=—","Direction=H","UseDPDF=Y")</f>
        <v>#NAME?</v>
      </c>
      <c r="BY546" s="3" t="e">
        <f ca="1">_xll.BDH($C$528,"SHORT_AND_LONG_TERM_DEBT","FQ3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46" s="3" t="e">
        <f ca="1">_xll.BDH($C$528,"BS_ST_BORROW","FQ3 2017","FQ3 2017","Currency=INR","Period=FQ","BEST_FPERIOD_OVERRIDE=FQ","FILING_STATUS=OR","EQY_CONSOLIDATED=Y","SCALING_FORMAT=MLN","Sort=A","Dates=H","DateFormat=P","Fill=—","Direction=H","UseDPDF=Y")</f>
        <v>#NAME?</v>
      </c>
      <c r="CA546" s="3" t="e">
        <f ca="1">_xll.BDH($C$528,"BS_LT_BORROW","FQ3 2017","FQ3 2017","Currency=INR","Period=FQ","BEST_FPERIOD_OVERRIDE=FQ","FILING_STATUS=OR","EQY_CONSOLIDATED=Y","SCALING_FORMAT=MLN","Sort=A","Dates=H","DateFormat=P","Fill=—","Direction=H","UseDPDF=Y")</f>
        <v>#NAME?</v>
      </c>
      <c r="CB546" s="2" t="e">
        <f ca="1">_xll.BDH($C$528,"TOT_DEBT_TO_EBITDA","FQ3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46" s="2" t="e">
        <f ca="1">_xll.BDH($C$528,"NET_DEBT_TO_EBITDA","FQ3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46" s="2" t="e">
        <f ca="1">_xll.BDH($C$528,"TOTAL_DEBT_TO_EBIT","FQ3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46" s="2" t="e">
        <f ca="1">_xll.BDH($C$528,"NET_DEBT_TO_EBIT","FQ3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46" s="2" t="e">
        <f ca="1">_xll.BDH($C$528,"EBITDA_TO_INTEREST_EXPN","FQ3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46" s="2" t="e">
        <f ca="1">_xll.BDH($C$528,"COM_EQY_TO_TOT_ASSET","FQ3 2017","FQ3 2017","Currency=INR","Period=FQ","BEST_FPERIOD_OVERRIDE=FQ","FILING_STATUS=OR","EQY_CONSOLIDATED=Y","Sort=A","Dates=H","DateFormat=P","Fill=—","Direction=H","UseDPDF=Y")</f>
        <v>#NAME?</v>
      </c>
      <c r="CH546" s="2" t="e">
        <f ca="1">_xll.BDH($C$528,"LT_DEBT_TO_TOT_EQY","FQ3 2017","FQ3 2017","Currency=INR","Period=FQ","BEST_FPERIOD_OVERRIDE=FQ","FILING_STATUS=OR","EQY_CONSOLIDATED=Y","Sort=A","Dates=H","DateFormat=P","Fill=—","Direction=H","UseDPDF=Y")</f>
        <v>#NAME?</v>
      </c>
      <c r="CI546" s="2" t="e">
        <f ca="1">_xll.BDH($C$528,"LT_DEBT_TO_TOT_CAP","FQ3 2017","FQ3 2017","Currency=INR","Period=FQ","BEST_FPERIOD_OVERRIDE=FQ","FILING_STATUS=OR","EQY_CONSOLIDATED=Y","Sort=A","Dates=H","DateFormat=P","Fill=—","Direction=H","UseDPDF=Y")</f>
        <v>#NAME?</v>
      </c>
      <c r="CJ546" s="2" t="e">
        <f ca="1">_xll.BDH($C$528,"LT_DEBT_TO_TOT_ASSET","FQ3 2017","FQ3 2017","Currency=INR","Period=FQ","BEST_FPERIOD_OVERRIDE=FQ","FILING_STATUS=OR","EQY_CONSOLIDATED=Y","Sort=A","Dates=H","DateFormat=P","Fill=—","Direction=H","UseDPDF=Y")</f>
        <v>#NAME?</v>
      </c>
      <c r="CK546" s="2" t="e">
        <f ca="1">_xll.BDH($C$528,"TOT_DEBT_TO_TOT_EQY","FQ3 2017","FQ3 2017","Currency=INR","Period=FQ","BEST_FPERIOD_OVERRIDE=FQ","FILING_STATUS=OR","EQY_CONSOLIDATED=Y","Sort=A","Dates=H","DateFormat=P","Fill=—","Direction=H","UseDPDF=Y")</f>
        <v>#NAME?</v>
      </c>
      <c r="CL546" s="2" t="e">
        <f ca="1">_xll.BDH($C$528,"TOT_DEBT_TO_TOT_CAP","FQ3 2017","FQ3 2017","Currency=INR","Period=FQ","BEST_FPERIOD_OVERRIDE=FQ","FILING_STATUS=OR","EQY_CONSOLIDATED=Y","Sort=A","Dates=H","DateFormat=P","Fill=—","Direction=H","UseDPDF=Y")</f>
        <v>#NAME?</v>
      </c>
      <c r="CM546" s="2" t="e">
        <f ca="1">_xll.BDH($C$528,"TOT_DEBT_TO_TOT_ASSET","FQ3 2017","FQ3 2017","Currency=INR","Period=FQ","BEST_FPERIOD_OVERRIDE=FQ","FILING_STATUS=OR","EQY_CONSOLIDATED=Y","Sort=A","Dates=H","DateFormat=P","Fill=—","Direction=H","UseDPDF=Y")</f>
        <v>#NAME?</v>
      </c>
      <c r="CN546" s="2" t="e">
        <f ca="1">_xll.BDH($C$528,"NET_DEBT_TO_SHRHLDR_EQTY","FQ3 2017","FQ3 2017","Currency=INR","Period=FQ","BEST_FPERIOD_OVERRIDE=FQ","FILING_STATUS=OR","EQY_CONSOLIDATED=Y","Sort=A","Dates=H","DateFormat=P","Fill=—","Direction=H","UseDPDF=Y")</f>
        <v>#NAME?</v>
      </c>
      <c r="CO546" s="2" t="e">
        <f ca="1">_xll.BDH($C$528,"NET_DEBT_%_CAPITAL","FQ3 2017","FQ3 2017","Currency=INR","Period=FQ","BEST_FPERIOD_OVERRIDE=FQ","FILING_STATUS=OR","EQY_CONSOLIDATED=Y","Sort=A","Dates=H","DateFormat=P","Fill=—","Direction=H","UseDPDF=Y")</f>
        <v>#NAME?</v>
      </c>
      <c r="CP546" s="3" t="e">
        <f ca="1">_xll.BDH($C$528,"EBITDA","FQ3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46" s="3" t="e">
        <f ca="1">_xll.BDH($C$528,"EBITDA_AFTER_CAPEX","FQ3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46" s="3" t="e">
        <f ca="1">_xll.BDH($C$528,"IS_OPER_INC","FQ3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46" s="2" t="e">
        <f ca="1">_xll.BDH($C$528,"CASH_RATIO","FQ3 2017","FQ3 2017","Currency=INR","Period=FQ","BEST_FPERIOD_OVERRIDE=FQ","FILING_STATUS=OR","EQY_CONSOLIDATED=Y","Sort=A","Dates=H","DateFormat=P","Fill=—","Direction=H","UseDPDF=Y")</f>
        <v>#NAME?</v>
      </c>
      <c r="CT546" s="2" t="e">
        <f ca="1">_xll.BDH($C$528,"CUR_RATIO","FQ3 2017","FQ3 2017","Currency=INR","Period=FQ","BEST_FPERIOD_OVERRIDE=FQ","FILING_STATUS=OR","EQY_CONSOLIDATED=Y","Sort=A","Dates=H","DateFormat=P","Fill=—","Direction=H","UseDPDF=Y")</f>
        <v>#NAME?</v>
      </c>
      <c r="CU546" s="2" t="e">
        <f ca="1">_xll.BDH($C$528,"QUICK_RATIO","FQ3 2017","FQ3 2017","Currency=INR","Period=FQ","BEST_FPERIOD_OVERRIDE=FQ","FILING_STATUS=OR","EQY_CONSOLIDATED=Y","Sort=A","Dates=H","DateFormat=P","Fill=—","Direction=H","UseDPDF=Y")</f>
        <v>#NAME?</v>
      </c>
      <c r="CV546" s="2" t="e">
        <f ca="1">_xll.BDH($C$528,"ALTMAN_Z_SCORE","FQ3 2017","FQ3 2017","Currency=INR","Period=FQ","BEST_FPERIOD_OVERRIDE=FQ","FILING_STATUS=OR","EQY_CONSOLIDATED=Y","Sort=A","Dates=H","DateFormat=P","Fill=—","Direction=H","UseDPDF=Y")</f>
        <v>#NAME?</v>
      </c>
      <c r="CW546" s="4" t="e">
        <f ca="1">_xll.BDH($C$528,"ACCT_RCV_TURN","FQ3 2017","FQ3 2017","Currency=INR","Period=FQ","BEST_FPERIOD_OVERRIDE=FQ","FILING_STATUS=OR","EQY_CONSOLIDATED=Y","FA_ADJUSTED=GAAP","Sort=A","Dates=H","DateFormat=P","Fill=—","Direction=H","UseDPDF=Y")</f>
        <v>#NAME?</v>
      </c>
      <c r="CX546" s="2" t="e">
        <f ca="1">_xll.BDH($C$528,"ACCT_RCV_DAYS","FQ3 2017","FQ3 2017","Currency=INR","Period=FQ","BEST_FPERIOD_OVERRIDE=FQ","FILING_STATUS=OR","EQY_CONSOLIDATED=Y","FA_ADJUSTED=GAAP","Sort=A","Dates=H","DateFormat=P","Fill=—","Direction=H","UseDPDF=Y")</f>
        <v>#NAME?</v>
      </c>
      <c r="CY546" s="4" t="e">
        <f ca="1">_xll.BDH($C$528,"INVENT_TURN","FQ3 2017","FQ3 2017","Currency=INR","Period=FQ","BEST_FPERIOD_OVERRIDE=FQ","FILING_STATUS=OR","EQY_CONSOLIDATED=Y","FA_ADJUSTED=GAAP","Sort=A","Dates=H","DateFormat=P","Fill=—","Direction=H","UseDPDF=Y")</f>
        <v>#NAME?</v>
      </c>
      <c r="CZ546" s="2" t="e">
        <f ca="1">_xll.BDH($C$528,"INVENT_DAYS","FQ3 2017","FQ3 2017","Currency=INR","Period=FQ","BEST_FPERIOD_OVERRIDE=FQ","FILING_STATUS=OR","EQY_CONSOLIDATED=Y","FA_ADJUSTED=GAAP","Sort=A","Dates=H","DateFormat=P","Fill=—","Direction=H","UseDPDF=Y")</f>
        <v>#NAME?</v>
      </c>
      <c r="DA546" s="4" t="e">
        <f ca="1">_xll.BDH($C$528,"ACCOUNTS_PAYABLE_TURNOVER","FQ3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46" s="2" t="e">
        <f ca="1">_xll.BDH($C$528,"ACCOUNTS_PAYABLE_TURNOVER_DAYS","FQ3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46" s="4" t="e">
        <f ca="1">_xll.BDH($C$528,"CASH_CONVERSION_CYCLE","FQ3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46" s="4" t="e">
        <f ca="1">_xll.BDH($C$528,"INV_TO_CASH_DAYS","FQ3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46" s="5" t="e">
        <f ca="1">_xll.BDH($C$528,"BS_INVENTORIES","FQ3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46" s="3" t="e">
        <f ca="1">_xll.BDH($C$528,"INVTRY_RAW_MATERIALS","FQ3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46" s="3" t="e">
        <f ca="1">_xll.BDH($C$528,"INVTRY_IN_PROGRESS","FQ3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46" s="3" t="e">
        <f ca="1">_xll.BDH($C$528,"INVTRY_FINISHED_GOODS","FQ3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46" s="3" t="e">
        <f ca="1">_xll.BDH($C$528,"BS_OTHER_INV","FQ3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47" spans="1:113" x14ac:dyDescent="0.3">
      <c r="A547" s="6"/>
      <c r="B547" s="6"/>
      <c r="C547" s="6"/>
      <c r="D547" s="6"/>
      <c r="E547" t="s">
        <v>81</v>
      </c>
      <c r="F547" t="e">
        <f ca="1">_xll.BDH($C$528,"RETURN_COM_EQY","FQ4 2017","FQ4 2017","Currency=INR","Period=FQ","BEST_FPERIOD_OVERRIDE=FQ","FILING_STATUS=OR","EQY_CONSOLIDATED=Y","FA_ADJUSTED=GAAP","Sort=A","Dates=H","DateFormat=P","Fill=—","Direction=H","UseDPDF=Y")</f>
        <v>#NAME?</v>
      </c>
      <c r="G547" t="e">
        <f ca="1">_xll.BDH($C$528,"RETURN_ON_ASSET","FQ4 2017","FQ4 2017","Currency=INR","Period=FQ","BEST_FPERIOD_OVERRIDE=FQ","FILING_STATUS=OR","EQY_CONSOLIDATED=Y","FA_ADJUSTED=GAAP","Sort=A","Dates=H","DateFormat=P","Fill=—","Direction=H","UseDPDF=Y")</f>
        <v>#NAME?</v>
      </c>
      <c r="H547" t="e">
        <f ca="1">_xll.BDH($C$528,"RETURN_ON_CAP","FQ4 2017","FQ4 2017","Currency=INR","Period=FQ","BEST_FPERIOD_OVERRIDE=FQ","FILING_STATUS=OR","EQY_CONSOLIDATED=Y","FA_ADJUSTED=GAAP","Sort=A","Dates=H","DateFormat=P","Fill=—","Direction=H","UseDPDF=Y")</f>
        <v>#NAME?</v>
      </c>
      <c r="I547" t="e">
        <f ca="1">_xll.BDH($C$528,"RETURN_ON_INV_CAPITAL","FQ4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47" t="e">
        <f ca="1">_xll.BDH($C$528,"EBITDA_TO_REVENUE","FQ4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47" t="e">
        <f ca="1">_xll.BDH($C$528,"OPER_MARGIN","FQ4 2017","FQ4 2017","Currency=INR","Period=FQ","BEST_FPERIOD_OVERRIDE=FQ","FILING_STATUS=OR","EQY_CONSOLIDATED=Y","FA_ADJUSTED=GAAP","Sort=A","Dates=H","DateFormat=P","Fill=—","Direction=H","UseDPDF=Y")</f>
        <v>#NAME?</v>
      </c>
      <c r="L547" t="e">
        <f ca="1">_xll.BDH($C$528,"INCREMENTAL_OPERATING_MARGIN","FQ4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47" t="e">
        <f ca="1">_xll.BDH($C$528,"PRETAX_INC_TO_NET_SALES","FQ4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47" t="e">
        <f ca="1">_xll.BDH($C$528,"INC_BEF_XO_ITEMS_TO_NET_SALES","FQ4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47" t="e">
        <f ca="1">_xll.BDH($C$528,"PROF_MARGIN","FQ4 2017","FQ4 2017","Currency=INR","Period=FQ","BEST_FPERIOD_OVERRIDE=FQ","FILING_STATUS=OR","EQY_CONSOLIDATED=Y","FA_ADJUSTED=GAAP","Sort=A","Dates=H","DateFormat=P","Fill=—","Direction=H","UseDPDF=Y")</f>
        <v>#NAME?</v>
      </c>
      <c r="P547" t="e">
        <f ca="1">_xll.BDH($C$528,"NET_INCOME_TO_COMMON_MARGIN","FQ4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47" t="e">
        <f ca="1">_xll.BDH($C$528,"EFF_TAX_RATE","FQ4 2017","FQ4 2017","Currency=INR","Period=FQ","BEST_FPERIOD_OVERRIDE=FQ","FILING_STATUS=OR","EQY_CONSOLIDATED=Y","FA_ADJUSTED=GAAP","Sort=A","Dates=H","DateFormat=P","Fill=—","Direction=H","UseDPDF=Y")</f>
        <v>#NAME?</v>
      </c>
      <c r="R547" t="e">
        <f ca="1">_xll.BDH($C$528,"DVD_PAYOUT_RATIO","FQ4 2017","FQ4 2017","Currency=INR","Period=FQ","BEST_FPERIOD_OVERRIDE=FQ","FILING_STATUS=OR","EQY_CONSOLIDATED=Y","FA_ADJUSTED=GAAP","Sort=A","Dates=H","DateFormat=P","Fill=—","Direction=H","UseDPDF=Y")</f>
        <v>#NAME?</v>
      </c>
      <c r="S547" t="e">
        <f ca="1">_xll.BDH($C$528,"SUSTAIN_GROWTH_RT","FQ4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47" s="2" t="e">
        <f ca="1">_xll.BDH($C$528,"SALES_GROWTH","FQ4 2017","FQ4 2017","Currency=INR","Period=FQ","BEST_FPERIOD_OVERRIDE=FQ","FILING_STATUS=OR","EQY_CONSOLIDATED=Y","FA_ADJUSTED=GAAP","Sort=A","Dates=H","DateFormat=P","Fill=—","Direction=H","UseDPDF=Y")</f>
        <v>#NAME?</v>
      </c>
      <c r="U547" s="2" t="e">
        <f ca="1">_xll.BDH($C$528,"EBITDA_GROWTH","FQ4 2017","FQ4 2017","Currency=INR","Period=FQ","BEST_FPERIOD_OVERRIDE=FQ","FILING_STATUS=OR","EQY_CONSOLIDATED=Y","FA_ADJUSTED=GAAP","Sort=A","Dates=H","DateFormat=P","Fill=—","Direction=H","UseDPDF=Y")</f>
        <v>#NAME?</v>
      </c>
      <c r="V547" s="2" t="e">
        <f ca="1">_xll.BDH($C$528,"OPER_INC_GROWTH","FQ4 2017","FQ4 2017","Currency=INR","Period=FQ","BEST_FPERIOD_OVERRIDE=FQ","FILING_STATUS=OR","EQY_CONSOLIDATED=Y","FA_ADJUSTED=GAAP","Sort=A","Dates=H","DateFormat=P","Fill=—","Direction=H","UseDPDF=Y")</f>
        <v>#NAME?</v>
      </c>
      <c r="W547" s="2" t="e">
        <f ca="1">_xll.BDH($C$528,"EARN_FOR_COM_GROWTH","FQ4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47" s="2" t="e">
        <f ca="1">_xll.BDH($C$528,"DILUTED_EPS_AFT_XO_ITEMS_GROWTH","FQ4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47" s="2" t="e">
        <f ca="1">_xll.BDH($C$528,"DIVIDEND_PER_SHARE_1_YEAR_GROWTH","FQ4 2017","FQ4 2017","Currency=INR","Period=FQ","BEST_FPERIOD_OVERRIDE=FQ","FILING_STATUS=OR","EQY_CONSOLIDATED=Y","Sort=A","Dates=H","DateFormat=P","Fill=—","Direction=H","UseDPDF=Y")</f>
        <v>#NAME?</v>
      </c>
      <c r="Z547" s="2" t="e">
        <f ca="1">_xll.BDH($C$528,"ACCOUNTS_RECEIVABLE_GROWTH","FQ4 2017","FQ4 2017","Currency=INR","Period=FQ","BEST_FPERIOD_OVERRIDE=FQ","FILING_STATUS=OR","EQY_CONSOLIDATED=Y","Sort=A","Dates=H","DateFormat=P","Fill=—","Direction=H","UseDPDF=Y")</f>
        <v>#NAME?</v>
      </c>
      <c r="AA547" s="2" t="e">
        <f ca="1">_xll.BDH($C$528,"INVENTORY_GROWTH","FQ4 2017","FQ4 2017","Currency=INR","Period=FQ","BEST_FPERIOD_OVERRIDE=FQ","FILING_STATUS=OR","EQY_CONSOLIDATED=Y","Sort=A","Dates=H","DateFormat=P","Fill=—","Direction=H","UseDPDF=Y")</f>
        <v>#NAME?</v>
      </c>
      <c r="AB547" s="2" t="e">
        <f ca="1">_xll.BDH($C$528,"NET_FIXED_ASSETS_1_YEAR_GROWTH","FQ4 2017","FQ4 2017","Currency=INR","Period=FQ","BEST_FPERIOD_OVERRIDE=FQ","FILING_STATUS=OR","EQY_CONSOLIDATED=Y","Sort=A","Dates=H","DateFormat=P","Fill=—","Direction=H","UseDPDF=Y")</f>
        <v>#NAME?</v>
      </c>
      <c r="AC547" s="2" t="e">
        <f ca="1">_xll.BDH($C$528,"ASSET_GROWTH","FQ4 2017","FQ4 2017","Currency=INR","Period=FQ","BEST_FPERIOD_OVERRIDE=FQ","FILING_STATUS=OR","EQY_CONSOLIDATED=Y","Sort=A","Dates=H","DateFormat=P","Fill=—","Direction=H","UseDPDF=Y")</f>
        <v>#NAME?</v>
      </c>
      <c r="AD547" s="2" t="e">
        <f ca="1">_xll.BDH($C$528,"MODIFIED_WORK_CAP_GROWTH","FQ4 2017","FQ4 2017","Currency=INR","Period=FQ","BEST_FPERIOD_OVERRIDE=FQ","FILING_STATUS=OR","EQY_CONSOLIDATED=Y","Sort=A","Dates=H","DateFormat=P","Fill=—","Direction=H","UseDPDF=Y")</f>
        <v>#NAME?</v>
      </c>
      <c r="AE547" s="2" t="e">
        <f ca="1">_xll.BDH($C$528,"WORK_CAP_GROWTH","FQ4 2017","FQ4 2017","Currency=INR","Period=FQ","BEST_FPERIOD_OVERRIDE=FQ","FILING_STATUS=OR","EQY_CONSOLIDATED=Y","Sort=A","Dates=H","DateFormat=P","Fill=—","Direction=H","UseDPDF=Y")</f>
        <v>#NAME?</v>
      </c>
      <c r="AF547" s="2" t="e">
        <f ca="1">_xll.BDH($C$528,"ACCOUNTS_PAYABLE_GROWTH_1YR","FQ4 2017","FQ4 2017","Currency=INR","Period=FQ","BEST_FPERIOD_OVERRIDE=FQ","FILING_STATUS=OR","EQY_CONSOLIDATED=Y","Sort=A","Dates=H","DateFormat=P","Fill=—","Direction=H","UseDPDF=Y")</f>
        <v>#NAME?</v>
      </c>
      <c r="AG547" s="2" t="e">
        <f ca="1">_xll.BDH($C$528,"SHORT_TERM_DEBT_1_YEAR_GROWTH","FQ4 2017","FQ4 2017","Currency=INR","Period=FQ","BEST_FPERIOD_OVERRIDE=FQ","FILING_STATUS=OR","EQY_CONSOLIDATED=Y","Sort=A","Dates=H","DateFormat=P","Fill=—","Direction=H","UseDPDF=Y")</f>
        <v>#NAME?</v>
      </c>
      <c r="AH547" s="2" t="e">
        <f ca="1">_xll.BDH($C$528,"TOTAL_DEBT_1_YEAR_GROWTH","FQ4 2017","FQ4 2017","Currency=INR","Period=FQ","BEST_FPERIOD_OVERRIDE=FQ","FILING_STATUS=OR","EQY_CONSOLIDATED=Y","Sort=A","Dates=H","DateFormat=P","Fill=—","Direction=H","UseDPDF=Y")</f>
        <v>#NAME?</v>
      </c>
      <c r="AI547" s="2" t="e">
        <f ca="1">_xll.BDH($C$528,"TOTAL_EQUITY_1_YEAR_GROWTH","FQ4 2017","FQ4 2017","Currency=INR","Period=FQ","BEST_FPERIOD_OVERRIDE=FQ","FILING_STATUS=OR","EQY_CONSOLIDATED=Y","Sort=A","Dates=H","DateFormat=P","Fill=—","Direction=H","UseDPDF=Y")</f>
        <v>#NAME?</v>
      </c>
      <c r="AJ547" s="2" t="e">
        <f ca="1">_xll.BDH($C$528,"GROWTH_IN_CAP","FQ4 2017","FQ4 2017","Currency=INR","Period=FQ","BEST_FPERIOD_OVERRIDE=FQ","FILING_STATUS=OR","EQY_CONSOLIDATED=Y","Sort=A","Dates=H","DateFormat=P","Fill=—","Direction=H","UseDPDF=Y")</f>
        <v>#NAME?</v>
      </c>
      <c r="AK547" s="2" t="e">
        <f ca="1">_xll.BDH($C$528,"BVPS_GROWTH","FQ4 2017","FQ4 2017","Currency=INR","Period=FQ","BEST_FPERIOD_OVERRIDE=FQ","FILING_STATUS=OR","EQY_CONSOLIDATED=Y","Sort=A","Dates=H","DateFormat=P","Fill=—","Direction=H","UseDPDF=Y")</f>
        <v>#NAME?</v>
      </c>
      <c r="AL547" s="2" t="e">
        <f ca="1">_xll.BDH($C$528,"CASH_FLOW_GROWTH","FQ4 2017","FQ4 2017","Currency=INR","Period=FQ","BEST_FPERIOD_OVERRIDE=FQ","FILING_STATUS=OR","EQY_CONSOLIDATED=Y","Sort=A","Dates=H","DateFormat=P","Fill=—","Direction=H","UseDPDF=Y")</f>
        <v>#NAME?</v>
      </c>
      <c r="AM547" s="2" t="e">
        <f ca="1">_xll.BDH($C$528,"GEO_GROW_NET_SALES","FQ4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47" s="2" t="e">
        <f ca="1">_xll.BDH($C$528,"GEO_GROW_EBITDA","FQ4 2017","FQ4 2017","Currency=INR","Period=FQ","BEST_FPERIOD_OVERRIDE=FQ","FILING_STATUS=OR","EQY_CONSOLIDATED=Y","FA_ADJUSTED=GAAP","Sort=A","Dates=H","DateFormat=P","Fill=—","Direction=H","UseDPDF=Y")</f>
        <v>#NAME?</v>
      </c>
      <c r="AO547" s="2" t="e">
        <f ca="1">_xll.BDH($C$528,"GEO_GROW_OPER_INC","FQ4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47" s="2" t="e">
        <f ca="1">_xll.BDH($C$528,"NET_INCOME_TO_COMMON_5_YR_GROWTH","FQ4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47" s="2" t="e">
        <f ca="1">_xll.BDH($C$528,"5Y_GEO_GROWTH_DILUTED_EPS","FQ4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47" s="2" t="e">
        <f ca="1">_xll.BDH($C$528,"GEO_GROW_DVD_PER_SH","FQ4 2017","FQ4 2017","Currency=INR","Period=FQ","BEST_FPERIOD_OVERRIDE=FQ","FILING_STATUS=OR","EQY_CONSOLIDATED=Y","Sort=A","Dates=H","DateFormat=P","Fill=—","Direction=H","UseDPDF=Y")</f>
        <v>#NAME?</v>
      </c>
      <c r="AS547" s="2" t="e">
        <f ca="1">_xll.BDH($C$528,"ACCOUNTS_RECEIVABLE_5_YR_GROWTH","FQ4 2017","FQ4 2017","Currency=INR","Period=FQ","BEST_FPERIOD_OVERRIDE=FQ","FILING_STATUS=OR","EQY_CONSOLIDATED=Y","Sort=A","Dates=H","DateFormat=P","Fill=—","Direction=H","UseDPDF=Y")</f>
        <v>#NAME?</v>
      </c>
      <c r="AT547" s="2" t="e">
        <f ca="1">_xll.BDH($C$528,"INVENTORY_5_YEAR_GROWTH","FQ4 2017","FQ4 2017","Currency=INR","Period=FQ","BEST_FPERIOD_OVERRIDE=FQ","FILING_STATUS=OR","EQY_CONSOLIDATED=Y","Sort=A","Dates=H","DateFormat=P","Fill=—","Direction=H","UseDPDF=Y")</f>
        <v>#NAME?</v>
      </c>
      <c r="AU547" s="2" t="e">
        <f ca="1">_xll.BDH($C$528,"NET_FIXED_ASSETS_5_YEAR_GROWTH","FQ4 2017","FQ4 2017","Currency=INR","Period=FQ","BEST_FPERIOD_OVERRIDE=FQ","FILING_STATUS=OR","EQY_CONSOLIDATED=Y","Sort=A","Dates=H","DateFormat=P","Fill=—","Direction=H","UseDPDF=Y")</f>
        <v>#NAME?</v>
      </c>
      <c r="AV547" s="2" t="e">
        <f ca="1">_xll.BDH($C$528,"GEO_GROW_TOT_ASSET","FQ4 2017","FQ4 2017","Currency=INR","Period=FQ","BEST_FPERIOD_OVERRIDE=FQ","FILING_STATUS=OR","EQY_CONSOLIDATED=Y","Sort=A","Dates=H","DateFormat=P","Fill=—","Direction=H","UseDPDF=Y")</f>
        <v>#NAME?</v>
      </c>
      <c r="AW547" s="2" t="e">
        <f ca="1">_xll.BDH($C$528,"MODIFIED_WORKING_CPTL_5YR_GRWTH","FQ4 2017","FQ4 2017","Currency=INR","Period=FQ","BEST_FPERIOD_OVERRIDE=FQ","FILING_STATUS=OR","EQY_CONSOLIDATED=Y","Sort=A","Dates=H","DateFormat=P","Fill=—","Direction=H","UseDPDF=Y")</f>
        <v>#NAME?</v>
      </c>
      <c r="AX547" s="2" t="e">
        <f ca="1">_xll.BDH($C$528,"WORKING_CAPITAL_5_YEAR_GROWTH","FQ4 2017","FQ4 2017","Currency=INR","Period=FQ","BEST_FPERIOD_OVERRIDE=FQ","FILING_STATUS=OR","EQY_CONSOLIDATED=Y","Sort=A","Dates=H","DateFormat=P","Fill=—","Direction=H","UseDPDF=Y")</f>
        <v>#NAME?</v>
      </c>
      <c r="AY547" s="2" t="e">
        <f ca="1">_xll.BDH($C$528,"ACCOUNTS_PAYABLE_5_YEAR_GROWTH","FQ4 2017","FQ4 2017","Currency=INR","Period=FQ","BEST_FPERIOD_OVERRIDE=FQ","FILING_STATUS=OR","EQY_CONSOLIDATED=Y","Sort=A","Dates=H","DateFormat=P","Fill=—","Direction=H","UseDPDF=Y")</f>
        <v>#NAME?</v>
      </c>
      <c r="AZ547" s="2" t="e">
        <f ca="1">_xll.BDH($C$528,"SHORT_TERM_DEBT_5_YEAR_GROWTH","FQ4 2017","FQ4 2017","Currency=INR","Period=FQ","BEST_FPERIOD_OVERRIDE=FQ","FILING_STATUS=OR","EQY_CONSOLIDATED=Y","Sort=A","Dates=H","DateFormat=P","Fill=—","Direction=H","UseDPDF=Y")</f>
        <v>#NAME?</v>
      </c>
      <c r="BA547" s="2" t="e">
        <f ca="1">_xll.BDH($C$528,"TOTAL_DEBT_5_YEAR_GROWTH","FQ4 2017","FQ4 2017","Currency=INR","Period=FQ","BEST_FPERIOD_OVERRIDE=FQ","FILING_STATUS=OR","EQY_CONSOLIDATED=Y","Sort=A","Dates=H","DateFormat=P","Fill=—","Direction=H","UseDPDF=Y")</f>
        <v>#NAME?</v>
      </c>
      <c r="BB547" s="2" t="e">
        <f ca="1">_xll.BDH($C$528,"GEO_GROW_TOT_SHRHLDR_EQY","FQ4 2017","FQ4 2017","Currency=INR","Period=FQ","BEST_FPERIOD_OVERRIDE=FQ","FILING_STATUS=OR","EQY_CONSOLIDATED=Y","Sort=A","Dates=H","DateFormat=P","Fill=—","Direction=H","UseDPDF=Y")</f>
        <v>#NAME?</v>
      </c>
      <c r="BC547" s="2" t="e">
        <f ca="1">_xll.BDH($C$528,"TOTAL_CAPITAL_5_YEAR_GROWTH","FQ4 2017","FQ4 2017","Currency=INR","Period=FQ","BEST_FPERIOD_OVERRIDE=FQ","FILING_STATUS=OR","EQY_CONSOLIDATED=Y","Sort=A","Dates=H","DateFormat=P","Fill=—","Direction=H","UseDPDF=Y")</f>
        <v>#NAME?</v>
      </c>
      <c r="BD547" s="2" t="e">
        <f ca="1">_xll.BDH($C$528,"GEO_GROW_BOOK_VAL","FQ4 2017","FQ4 2017","Currency=INR","Period=FQ","BEST_FPERIOD_OVERRIDE=FQ","FILING_STATUS=OR","EQY_CONSOLIDATED=Y","Sort=A","Dates=H","DateFormat=P","Fill=—","Direction=H","UseDPDF=Y")</f>
        <v>#NAME?</v>
      </c>
      <c r="BE547" s="2" t="e">
        <f ca="1">_xll.BDH($C$528,"GEO_GROW_CASH_OPER_ACT","FQ4 2017","FQ4 2017","Currency=INR","Period=FQ","BEST_FPERIOD_OVERRIDE=FQ","FILING_STATUS=OR","EQY_CONSOLIDATED=Y","Sort=A","Dates=H","DateFormat=P","Fill=—","Direction=H","UseDPDF=Y")</f>
        <v>#NAME?</v>
      </c>
      <c r="BF547" s="2" t="e">
        <f ca="1">_xll.BDH($C$528,"REVENUE_SEQUENTIAL_GROWTH","FQ4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47" s="2" t="e">
        <f ca="1">_xll.BDH($C$528,"EBITDA_SEQUENTIAL_GROWTH","FQ4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47" s="2" t="e">
        <f ca="1">_xll.BDH($C$528,"OPERATING_INCOME_SEQ_GROWTH","FQ4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47" s="2" t="e">
        <f ca="1">_xll.BDH($C$528,"NET_INCOME_TO_COMMON_SEQ_GROWTH","FQ4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47" s="2" t="e">
        <f ca="1">_xll.BDH($C$528,"EPS_DILUTED_SEQUENTIAL_GROWTH","FQ4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47" s="2" t="e">
        <f ca="1">_xll.BDH($C$528,"DPS_SEQUENTIAL_GROWTH","FQ4 2017","FQ4 2017","Currency=INR","Period=FQ","BEST_FPERIOD_OVERRIDE=FQ","FILING_STATUS=OR","EQY_CONSOLIDATED=Y","Sort=A","Dates=H","DateFormat=P","Fill=—","Direction=H","UseDPDF=Y")</f>
        <v>#NAME?</v>
      </c>
      <c r="BL547" s="2" t="e">
        <f ca="1">_xll.BDH($C$528,"ACCOUNTS_RECEIVABLE_SEQ_GROWTH","FQ4 2017","FQ4 2017","Currency=INR","Period=FQ","BEST_FPERIOD_OVERRIDE=FQ","FILING_STATUS=OR","EQY_CONSOLIDATED=Y","Sort=A","Dates=H","DateFormat=P","Fill=—","Direction=H","UseDPDF=Y")</f>
        <v>#NAME?</v>
      </c>
      <c r="BM547" s="2" t="e">
        <f ca="1">_xll.BDH($C$528,"INVENTORY_SEQUENTIAL_GROWTH","FQ4 2017","FQ4 2017","Currency=INR","Period=FQ","BEST_FPERIOD_OVERRIDE=FQ","FILING_STATUS=OR","EQY_CONSOLIDATED=Y","Sort=A","Dates=H","DateFormat=P","Fill=—","Direction=H","UseDPDF=Y")</f>
        <v>#NAME?</v>
      </c>
      <c r="BN547" s="2" t="e">
        <f ca="1">_xll.BDH($C$528,"FIXED_ASSETS_SEQUENTIAL_GROWTH","FQ4 2017","FQ4 2017","Currency=INR","Period=FQ","BEST_FPERIOD_OVERRIDE=FQ","FILING_STATUS=OR","EQY_CONSOLIDATED=Y","Sort=A","Dates=H","DateFormat=P","Fill=—","Direction=H","UseDPDF=Y")</f>
        <v>#NAME?</v>
      </c>
      <c r="BO547" s="2" t="e">
        <f ca="1">_xll.BDH($C$528,"TOTAL_ASSETS_SEQUENTIAL_GROWTH","FQ4 2017","FQ4 2017","Currency=INR","Period=FQ","BEST_FPERIOD_OVERRIDE=FQ","FILING_STATUS=OR","EQY_CONSOLIDATED=Y","Sort=A","Dates=H","DateFormat=P","Fill=—","Direction=H","UseDPDF=Y")</f>
        <v>#NAME?</v>
      </c>
      <c r="BP547" s="2" t="e">
        <f ca="1">_xll.BDH($C$528,"MODIFIED_WORKING_CPTL_SEQ_GRWTH","FQ4 2017","FQ4 2017","Currency=INR","Period=FQ","BEST_FPERIOD_OVERRIDE=FQ","FILING_STATUS=OR","EQY_CONSOLIDATED=Y","Sort=A","Dates=H","DateFormat=P","Fill=—","Direction=H","UseDPDF=Y")</f>
        <v>#NAME?</v>
      </c>
      <c r="BQ547" s="2" t="e">
        <f ca="1">_xll.BDH($C$528,"WORKING_CAPITAL_SEQ_GROWTH","FQ4 2017","FQ4 2017","Currency=INR","Period=FQ","BEST_FPERIOD_OVERRIDE=FQ","FILING_STATUS=OR","EQY_CONSOLIDATED=Y","Sort=A","Dates=H","DateFormat=P","Fill=—","Direction=H","UseDPDF=Y")</f>
        <v>#NAME?</v>
      </c>
      <c r="BR547" s="2" t="e">
        <f ca="1">_xll.BDH($C$528,"ACCOUNTS_PAYABLE_SEQ_GROWTH","FQ4 2017","FQ4 2017","Currency=INR","Period=FQ","BEST_FPERIOD_OVERRIDE=FQ","FILING_STATUS=OR","EQY_CONSOLIDATED=Y","Sort=A","Dates=H","DateFormat=P","Fill=—","Direction=H","UseDPDF=Y")</f>
        <v>#NAME?</v>
      </c>
      <c r="BS547" s="2" t="e">
        <f ca="1">_xll.BDH($C$528,"ST_DEBT_SEQUENTIAL_GROWTH","FQ4 2017","FQ4 2017","Currency=INR","Period=FQ","BEST_FPERIOD_OVERRIDE=FQ","FILING_STATUS=OR","EQY_CONSOLIDATED=Y","Sort=A","Dates=H","DateFormat=P","Fill=—","Direction=H","UseDPDF=Y")</f>
        <v>#NAME?</v>
      </c>
      <c r="BT547" s="2" t="e">
        <f ca="1">_xll.BDH($C$528,"TOTAL_DEBT_SEQUENTIAL_GROWTH","FQ4 2017","FQ4 2017","Currency=INR","Period=FQ","BEST_FPERIOD_OVERRIDE=FQ","FILING_STATUS=OR","EQY_CONSOLIDATED=Y","Sort=A","Dates=H","DateFormat=P","Fill=—","Direction=H","UseDPDF=Y")</f>
        <v>#NAME?</v>
      </c>
      <c r="BU547" s="2" t="e">
        <f ca="1">_xll.BDH($C$528,"TOTAL_EQUITY_SEQUENTIAL_GROWTH","FQ4 2017","FQ4 2017","Currency=INR","Period=FQ","BEST_FPERIOD_OVERRIDE=FQ","FILING_STATUS=OR","EQY_CONSOLIDATED=Y","Sort=A","Dates=H","DateFormat=P","Fill=—","Direction=H","UseDPDF=Y")</f>
        <v>#NAME?</v>
      </c>
      <c r="BV547" s="2" t="e">
        <f ca="1">_xll.BDH($C$528,"TOTAL_CAPITAL_SEQUENTIAL_GROWTH","FQ4 2017","FQ4 2017","Currency=INR","Period=FQ","BEST_FPERIOD_OVERRIDE=FQ","FILING_STATUS=OR","EQY_CONSOLIDATED=Y","Sort=A","Dates=H","DateFormat=P","Fill=—","Direction=H","UseDPDF=Y")</f>
        <v>#NAME?</v>
      </c>
      <c r="BW547" s="2" t="e">
        <f ca="1">_xll.BDH($C$528,"BPS_SEQUENTIAL_GROWTH","FQ4 2017","FQ4 2017","Currency=INR","Period=FQ","BEST_FPERIOD_OVERRIDE=FQ","FILING_STATUS=OR","EQY_CONSOLIDATED=Y","Sort=A","Dates=H","DateFormat=P","Fill=—","Direction=H","UseDPDF=Y")</f>
        <v>#NAME?</v>
      </c>
      <c r="BX547" s="2" t="e">
        <f ca="1">_xll.BDH($C$528,"CFO_SEQUENTIAL_GROWTH","FQ4 2017","FQ4 2017","Currency=INR","Period=FQ","BEST_FPERIOD_OVERRIDE=FQ","FILING_STATUS=OR","EQY_CONSOLIDATED=Y","Sort=A","Dates=H","DateFormat=P","Fill=—","Direction=H","UseDPDF=Y")</f>
        <v>#NAME?</v>
      </c>
      <c r="BY547" s="3" t="e">
        <f ca="1">_xll.BDH($C$528,"SHORT_AND_LONG_TERM_DEBT","FQ4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47" s="3" t="e">
        <f ca="1">_xll.BDH($C$528,"BS_ST_BORROW","FQ4 2017","FQ4 2017","Currency=INR","Period=FQ","BEST_FPERIOD_OVERRIDE=FQ","FILING_STATUS=OR","EQY_CONSOLIDATED=Y","SCALING_FORMAT=MLN","Sort=A","Dates=H","DateFormat=P","Fill=—","Direction=H","UseDPDF=Y")</f>
        <v>#NAME?</v>
      </c>
      <c r="CA547" s="3" t="e">
        <f ca="1">_xll.BDH($C$528,"BS_LT_BORROW","FQ4 2017","FQ4 2017","Currency=INR","Period=FQ","BEST_FPERIOD_OVERRIDE=FQ","FILING_STATUS=OR","EQY_CONSOLIDATED=Y","SCALING_FORMAT=MLN","Sort=A","Dates=H","DateFormat=P","Fill=—","Direction=H","UseDPDF=Y")</f>
        <v>#NAME?</v>
      </c>
      <c r="CB547" s="2" t="e">
        <f ca="1">_xll.BDH($C$528,"TOT_DEBT_TO_EBITDA","FQ4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47" s="2" t="e">
        <f ca="1">_xll.BDH($C$528,"NET_DEBT_TO_EBITDA","FQ4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47" s="2" t="e">
        <f ca="1">_xll.BDH($C$528,"TOTAL_DEBT_TO_EBIT","FQ4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47" s="2" t="e">
        <f ca="1">_xll.BDH($C$528,"NET_DEBT_TO_EBIT","FQ4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47" s="2" t="e">
        <f ca="1">_xll.BDH($C$528,"EBITDA_TO_INTEREST_EXPN","FQ4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47" s="2" t="e">
        <f ca="1">_xll.BDH($C$528,"COM_EQY_TO_TOT_ASSET","FQ4 2017","FQ4 2017","Currency=INR","Period=FQ","BEST_FPERIOD_OVERRIDE=FQ","FILING_STATUS=OR","EQY_CONSOLIDATED=Y","Sort=A","Dates=H","DateFormat=P","Fill=—","Direction=H","UseDPDF=Y")</f>
        <v>#NAME?</v>
      </c>
      <c r="CH547" s="2" t="e">
        <f ca="1">_xll.BDH($C$528,"LT_DEBT_TO_TOT_EQY","FQ4 2017","FQ4 2017","Currency=INR","Period=FQ","BEST_FPERIOD_OVERRIDE=FQ","FILING_STATUS=OR","EQY_CONSOLIDATED=Y","Sort=A","Dates=H","DateFormat=P","Fill=—","Direction=H","UseDPDF=Y")</f>
        <v>#NAME?</v>
      </c>
      <c r="CI547" s="2" t="e">
        <f ca="1">_xll.BDH($C$528,"LT_DEBT_TO_TOT_CAP","FQ4 2017","FQ4 2017","Currency=INR","Period=FQ","BEST_FPERIOD_OVERRIDE=FQ","FILING_STATUS=OR","EQY_CONSOLIDATED=Y","Sort=A","Dates=H","DateFormat=P","Fill=—","Direction=H","UseDPDF=Y")</f>
        <v>#NAME?</v>
      </c>
      <c r="CJ547" s="2" t="e">
        <f ca="1">_xll.BDH($C$528,"LT_DEBT_TO_TOT_ASSET","FQ4 2017","FQ4 2017","Currency=INR","Period=FQ","BEST_FPERIOD_OVERRIDE=FQ","FILING_STATUS=OR","EQY_CONSOLIDATED=Y","Sort=A","Dates=H","DateFormat=P","Fill=—","Direction=H","UseDPDF=Y")</f>
        <v>#NAME?</v>
      </c>
      <c r="CK547" s="2" t="e">
        <f ca="1">_xll.BDH($C$528,"TOT_DEBT_TO_TOT_EQY","FQ4 2017","FQ4 2017","Currency=INR","Period=FQ","BEST_FPERIOD_OVERRIDE=FQ","FILING_STATUS=OR","EQY_CONSOLIDATED=Y","Sort=A","Dates=H","DateFormat=P","Fill=—","Direction=H","UseDPDF=Y")</f>
        <v>#NAME?</v>
      </c>
      <c r="CL547" s="2" t="e">
        <f ca="1">_xll.BDH($C$528,"TOT_DEBT_TO_TOT_CAP","FQ4 2017","FQ4 2017","Currency=INR","Period=FQ","BEST_FPERIOD_OVERRIDE=FQ","FILING_STATUS=OR","EQY_CONSOLIDATED=Y","Sort=A","Dates=H","DateFormat=P","Fill=—","Direction=H","UseDPDF=Y")</f>
        <v>#NAME?</v>
      </c>
      <c r="CM547" s="2" t="e">
        <f ca="1">_xll.BDH($C$528,"TOT_DEBT_TO_TOT_ASSET","FQ4 2017","FQ4 2017","Currency=INR","Period=FQ","BEST_FPERIOD_OVERRIDE=FQ","FILING_STATUS=OR","EQY_CONSOLIDATED=Y","Sort=A","Dates=H","DateFormat=P","Fill=—","Direction=H","UseDPDF=Y")</f>
        <v>#NAME?</v>
      </c>
      <c r="CN547" s="2" t="e">
        <f ca="1">_xll.BDH($C$528,"NET_DEBT_TO_SHRHLDR_EQTY","FQ4 2017","FQ4 2017","Currency=INR","Period=FQ","BEST_FPERIOD_OVERRIDE=FQ","FILING_STATUS=OR","EQY_CONSOLIDATED=Y","Sort=A","Dates=H","DateFormat=P","Fill=—","Direction=H","UseDPDF=Y")</f>
        <v>#NAME?</v>
      </c>
      <c r="CO547" s="2" t="e">
        <f ca="1">_xll.BDH($C$528,"NET_DEBT_%_CAPITAL","FQ4 2017","FQ4 2017","Currency=INR","Period=FQ","BEST_FPERIOD_OVERRIDE=FQ","FILING_STATUS=OR","EQY_CONSOLIDATED=Y","Sort=A","Dates=H","DateFormat=P","Fill=—","Direction=H","UseDPDF=Y")</f>
        <v>#NAME?</v>
      </c>
      <c r="CP547" s="3" t="e">
        <f ca="1">_xll.BDH($C$528,"EBITDA","FQ4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47" s="3" t="e">
        <f ca="1">_xll.BDH($C$528,"EBITDA_AFTER_CAPEX","FQ4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47" s="3" t="e">
        <f ca="1">_xll.BDH($C$528,"IS_OPER_INC","FQ4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47" s="2" t="e">
        <f ca="1">_xll.BDH($C$528,"CASH_RATIO","FQ4 2017","FQ4 2017","Currency=INR","Period=FQ","BEST_FPERIOD_OVERRIDE=FQ","FILING_STATUS=OR","EQY_CONSOLIDATED=Y","Sort=A","Dates=H","DateFormat=P","Fill=—","Direction=H","UseDPDF=Y")</f>
        <v>#NAME?</v>
      </c>
      <c r="CT547" s="2" t="e">
        <f ca="1">_xll.BDH($C$528,"CUR_RATIO","FQ4 2017","FQ4 2017","Currency=INR","Period=FQ","BEST_FPERIOD_OVERRIDE=FQ","FILING_STATUS=OR","EQY_CONSOLIDATED=Y","Sort=A","Dates=H","DateFormat=P","Fill=—","Direction=H","UseDPDF=Y")</f>
        <v>#NAME?</v>
      </c>
      <c r="CU547" s="2" t="e">
        <f ca="1">_xll.BDH($C$528,"QUICK_RATIO","FQ4 2017","FQ4 2017","Currency=INR","Period=FQ","BEST_FPERIOD_OVERRIDE=FQ","FILING_STATUS=OR","EQY_CONSOLIDATED=Y","Sort=A","Dates=H","DateFormat=P","Fill=—","Direction=H","UseDPDF=Y")</f>
        <v>#NAME?</v>
      </c>
      <c r="CV547" s="2" t="e">
        <f ca="1">_xll.BDH($C$528,"ALTMAN_Z_SCORE","FQ4 2017","FQ4 2017","Currency=INR","Period=FQ","BEST_FPERIOD_OVERRIDE=FQ","FILING_STATUS=OR","EQY_CONSOLIDATED=Y","Sort=A","Dates=H","DateFormat=P","Fill=—","Direction=H","UseDPDF=Y")</f>
        <v>#NAME?</v>
      </c>
      <c r="CW547" s="4" t="e">
        <f ca="1">_xll.BDH($C$528,"ACCT_RCV_TURN","FQ4 2017","FQ4 2017","Currency=INR","Period=FQ","BEST_FPERIOD_OVERRIDE=FQ","FILING_STATUS=OR","EQY_CONSOLIDATED=Y","FA_ADJUSTED=GAAP","Sort=A","Dates=H","DateFormat=P","Fill=—","Direction=H","UseDPDF=Y")</f>
        <v>#NAME?</v>
      </c>
      <c r="CX547" s="2" t="e">
        <f ca="1">_xll.BDH($C$528,"ACCT_RCV_DAYS","FQ4 2017","FQ4 2017","Currency=INR","Period=FQ","BEST_FPERIOD_OVERRIDE=FQ","FILING_STATUS=OR","EQY_CONSOLIDATED=Y","FA_ADJUSTED=GAAP","Sort=A","Dates=H","DateFormat=P","Fill=—","Direction=H","UseDPDF=Y")</f>
        <v>#NAME?</v>
      </c>
      <c r="CY547" s="4" t="e">
        <f ca="1">_xll.BDH($C$528,"INVENT_TURN","FQ4 2017","FQ4 2017","Currency=INR","Period=FQ","BEST_FPERIOD_OVERRIDE=FQ","FILING_STATUS=OR","EQY_CONSOLIDATED=Y","FA_ADJUSTED=GAAP","Sort=A","Dates=H","DateFormat=P","Fill=—","Direction=H","UseDPDF=Y")</f>
        <v>#NAME?</v>
      </c>
      <c r="CZ547" s="2" t="e">
        <f ca="1">_xll.BDH($C$528,"INVENT_DAYS","FQ4 2017","FQ4 2017","Currency=INR","Period=FQ","BEST_FPERIOD_OVERRIDE=FQ","FILING_STATUS=OR","EQY_CONSOLIDATED=Y","FA_ADJUSTED=GAAP","Sort=A","Dates=H","DateFormat=P","Fill=—","Direction=H","UseDPDF=Y")</f>
        <v>#NAME?</v>
      </c>
      <c r="DA547" s="4" t="e">
        <f ca="1">_xll.BDH($C$528,"ACCOUNTS_PAYABLE_TURNOVER","FQ4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47" s="2" t="e">
        <f ca="1">_xll.BDH($C$528,"ACCOUNTS_PAYABLE_TURNOVER_DAYS","FQ4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47" s="4" t="e">
        <f ca="1">_xll.BDH($C$528,"CASH_CONVERSION_CYCLE","FQ4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47" s="4" t="e">
        <f ca="1">_xll.BDH($C$528,"INV_TO_CASH_DAYS","FQ4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47" s="5" t="e">
        <f ca="1">_xll.BDH($C$528,"BS_INVENTORIES","FQ4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47" s="3" t="e">
        <f ca="1">_xll.BDH($C$528,"INVTRY_RAW_MATERIALS","FQ4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47" s="3" t="e">
        <f ca="1">_xll.BDH($C$528,"INVTRY_IN_PROGRESS","FQ4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47" s="3" t="e">
        <f ca="1">_xll.BDH($C$528,"INVTRY_FINISHED_GOODS","FQ4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47" s="3" t="e">
        <f ca="1">_xll.BDH($C$528,"BS_OTHER_INV","FQ4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48" spans="1:113" x14ac:dyDescent="0.3">
      <c r="A548" s="6"/>
      <c r="B548" s="6"/>
      <c r="C548" s="6"/>
      <c r="D548" s="6" t="s">
        <v>85</v>
      </c>
      <c r="E548" t="s">
        <v>77</v>
      </c>
      <c r="F548" t="e">
        <f ca="1">_xll.BDH($C$528,"RETURN_COM_EQY","FY 2018","FY 2018","Currency=INR","Period=FY","BEST_FPERIOD_OVERRIDE=FY","FILING_STATUS=OR","EQY_CONSOLIDATED=Y","FA_ADJUSTED=GAAP","Sort=A","Dates=H","DateFormat=P","Fill=—","Direction=H","UseDPDF=Y")</f>
        <v>#NAME?</v>
      </c>
      <c r="G548" t="e">
        <f ca="1">_xll.BDH($C$528,"RETURN_ON_ASSET","FY 2018","FY 2018","Currency=INR","Period=FY","BEST_FPERIOD_OVERRIDE=FY","FILING_STATUS=OR","EQY_CONSOLIDATED=Y","FA_ADJUSTED=GAAP","Sort=A","Dates=H","DateFormat=P","Fill=—","Direction=H","UseDPDF=Y")</f>
        <v>#NAME?</v>
      </c>
      <c r="H548" t="e">
        <f ca="1">_xll.BDH($C$528,"RETURN_ON_CAP","FY 2018","FY 2018","Currency=INR","Period=FY","BEST_FPERIOD_OVERRIDE=FY","FILING_STATUS=OR","EQY_CONSOLIDATED=Y","FA_ADJUSTED=GAAP","Sort=A","Dates=H","DateFormat=P","Fill=—","Direction=H","UseDPDF=Y")</f>
        <v>#NAME?</v>
      </c>
      <c r="I548" t="e">
        <f ca="1">_xll.BDH($C$528,"RETURN_ON_INV_CAPITAL","FY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48" t="e">
        <f ca="1">_xll.BDH($C$528,"EBITDA_TO_REVENUE","FY 2018","FY 2018","Currency=INR","Period=FY","BEST_FPERIOD_OVERRIDE=FY","FILING_STATUS=OR","EQY_CONSOLIDATED=Y","FA_ADJUSTED=GAAP","Sort=A","Dates=H","DateFormat=P","Fill=—","Direction=H","UseDPDF=Y")</f>
        <v>#NAME?</v>
      </c>
      <c r="K548" t="e">
        <f ca="1">_xll.BDH($C$528,"OPER_MARGIN","FY 2018","FY 2018","Currency=INR","Period=FY","BEST_FPERIOD_OVERRIDE=FY","FILING_STATUS=OR","EQY_CONSOLIDATED=Y","FA_ADJUSTED=GAAP","Sort=A","Dates=H","DateFormat=P","Fill=—","Direction=H","UseDPDF=Y")</f>
        <v>#NAME?</v>
      </c>
      <c r="L548" t="e">
        <f ca="1">_xll.BDH($C$528,"INCREMENTAL_OPERATING_MARGIN","FY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48" t="e">
        <f ca="1">_xll.BDH($C$528,"PRETAX_INC_TO_NET_SALES","FY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48" t="e">
        <f ca="1">_xll.BDH($C$528,"INC_BEF_XO_ITEMS_TO_NET_SALES","FY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48" t="e">
        <f ca="1">_xll.BDH($C$528,"PROF_MARGIN","FY 2018","FY 2018","Currency=INR","Period=FY","BEST_FPERIOD_OVERRIDE=FY","FILING_STATUS=OR","EQY_CONSOLIDATED=Y","FA_ADJUSTED=GAAP","Sort=A","Dates=H","DateFormat=P","Fill=—","Direction=H","UseDPDF=Y")</f>
        <v>#NAME?</v>
      </c>
      <c r="P548" t="e">
        <f ca="1">_xll.BDH($C$528,"NET_INCOME_TO_COMMON_MARGIN","FY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48" t="e">
        <f ca="1">_xll.BDH($C$528,"EFF_TAX_RATE","FY 2018","FY 2018","Currency=INR","Period=FY","BEST_FPERIOD_OVERRIDE=FY","FILING_STATUS=OR","EQY_CONSOLIDATED=Y","FA_ADJUSTED=GAAP","Sort=A","Dates=H","DateFormat=P","Fill=—","Direction=H","UseDPDF=Y")</f>
        <v>#NAME?</v>
      </c>
      <c r="R548" t="e">
        <f ca="1">_xll.BDH($C$528,"DVD_PAYOUT_RATIO","FY 2018","FY 2018","Currency=INR","Period=FY","BEST_FPERIOD_OVERRIDE=FY","FILING_STATUS=OR","EQY_CONSOLIDATED=Y","FA_ADJUSTED=GAAP","Sort=A","Dates=H","DateFormat=P","Fill=—","Direction=H","UseDPDF=Y")</f>
        <v>#NAME?</v>
      </c>
      <c r="S548" t="e">
        <f ca="1">_xll.BDH($C$528,"SUSTAIN_GROWTH_RT","FY 2018","FY 2018","Currency=INR","Period=FY","BEST_FPERIOD_OVERRIDE=FY","FILING_STATUS=OR","EQY_CONSOLIDATED=Y","FA_ADJUSTED=GAAP","Sort=A","Dates=H","DateFormat=P","Fill=—","Direction=H","UseDPDF=Y")</f>
        <v>#NAME?</v>
      </c>
      <c r="T548" s="2" t="e">
        <f ca="1">_xll.BDH($C$528,"SALES_GROWTH","FY 2018","FY 2018","Currency=INR","Period=FY","BEST_FPERIOD_OVERRIDE=FY","FILING_STATUS=OR","EQY_CONSOLIDATED=Y","FA_ADJUSTED=GAAP","Sort=A","Dates=H","DateFormat=P","Fill=—","Direction=H","UseDPDF=Y")</f>
        <v>#NAME?</v>
      </c>
      <c r="U548" s="2" t="e">
        <f ca="1">_xll.BDH($C$528,"EBITDA_GROWTH","FY 2018","FY 2018","Currency=INR","Period=FY","BEST_FPERIOD_OVERRIDE=FY","FILING_STATUS=OR","EQY_CONSOLIDATED=Y","FA_ADJUSTED=GAAP","Sort=A","Dates=H","DateFormat=P","Fill=—","Direction=H","UseDPDF=Y")</f>
        <v>#NAME?</v>
      </c>
      <c r="V548" s="2" t="e">
        <f ca="1">_xll.BDH($C$528,"OPER_INC_GROWTH","FY 2018","FY 2018","Currency=INR","Period=FY","BEST_FPERIOD_OVERRIDE=FY","FILING_STATUS=OR","EQY_CONSOLIDATED=Y","FA_ADJUSTED=GAAP","Sort=A","Dates=H","DateFormat=P","Fill=—","Direction=H","UseDPDF=Y")</f>
        <v>#NAME?</v>
      </c>
      <c r="W548" s="2" t="e">
        <f ca="1">_xll.BDH($C$528,"EARN_FOR_COM_GROWTH","FY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48" s="2" t="e">
        <f ca="1">_xll.BDH($C$528,"DILUTED_EPS_AFT_XO_ITEMS_GROWTH","FY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48" s="2" t="e">
        <f ca="1">_xll.BDH($C$528,"DIVIDEND_PER_SHARE_1_YEAR_GROWTH","FY 2018","FY 2018","Currency=INR","Period=FY","BEST_FPERIOD_OVERRIDE=FY","FILING_STATUS=OR","EQY_CONSOLIDATED=Y","Sort=A","Dates=H","DateFormat=P","Fill=—","Direction=H","UseDPDF=Y")</f>
        <v>#NAME?</v>
      </c>
      <c r="Z548" s="2" t="e">
        <f ca="1">_xll.BDH($C$528,"ACCOUNTS_RECEIVABLE_GROWTH","FY 2018","FY 2018","Currency=INR","Period=FY","BEST_FPERIOD_OVERRIDE=FY","FILING_STATUS=OR","EQY_CONSOLIDATED=Y","Sort=A","Dates=H","DateFormat=P","Fill=—","Direction=H","UseDPDF=Y")</f>
        <v>#NAME?</v>
      </c>
      <c r="AA548" s="2" t="e">
        <f ca="1">_xll.BDH($C$528,"INVENTORY_GROWTH","FY 2018","FY 2018","Currency=INR","Period=FY","BEST_FPERIOD_OVERRIDE=FY","FILING_STATUS=OR","EQY_CONSOLIDATED=Y","Sort=A","Dates=H","DateFormat=P","Fill=—","Direction=H","UseDPDF=Y")</f>
        <v>#NAME?</v>
      </c>
      <c r="AB548" s="2" t="e">
        <f ca="1">_xll.BDH($C$528,"NET_FIXED_ASSETS_1_YEAR_GROWTH","FY 2018","FY 2018","Currency=INR","Period=FY","BEST_FPERIOD_OVERRIDE=FY","FILING_STATUS=OR","EQY_CONSOLIDATED=Y","Sort=A","Dates=H","DateFormat=P","Fill=—","Direction=H","UseDPDF=Y")</f>
        <v>#NAME?</v>
      </c>
      <c r="AC548" s="2" t="e">
        <f ca="1">_xll.BDH($C$528,"ASSET_GROWTH","FY 2018","FY 2018","Currency=INR","Period=FY","BEST_FPERIOD_OVERRIDE=FY","FILING_STATUS=OR","EQY_CONSOLIDATED=Y","Sort=A","Dates=H","DateFormat=P","Fill=—","Direction=H","UseDPDF=Y")</f>
        <v>#NAME?</v>
      </c>
      <c r="AD548" s="2" t="e">
        <f ca="1">_xll.BDH($C$528,"MODIFIED_WORK_CAP_GROWTH","FY 2018","FY 2018","Currency=INR","Period=FY","BEST_FPERIOD_OVERRIDE=FY","FILING_STATUS=OR","EQY_CONSOLIDATED=Y","Sort=A","Dates=H","DateFormat=P","Fill=—","Direction=H","UseDPDF=Y")</f>
        <v>#NAME?</v>
      </c>
      <c r="AE548" s="2" t="e">
        <f ca="1">_xll.BDH($C$528,"WORK_CAP_GROWTH","FY 2018","FY 2018","Currency=INR","Period=FY","BEST_FPERIOD_OVERRIDE=FY","FILING_STATUS=OR","EQY_CONSOLIDATED=Y","Sort=A","Dates=H","DateFormat=P","Fill=—","Direction=H","UseDPDF=Y")</f>
        <v>#NAME?</v>
      </c>
      <c r="AF548" s="2" t="e">
        <f ca="1">_xll.BDH($C$528,"ACCOUNTS_PAYABLE_GROWTH_1YR","FY 2018","FY 2018","Currency=INR","Period=FY","BEST_FPERIOD_OVERRIDE=FY","FILING_STATUS=OR","EQY_CONSOLIDATED=Y","Sort=A","Dates=H","DateFormat=P","Fill=—","Direction=H","UseDPDF=Y")</f>
        <v>#NAME?</v>
      </c>
      <c r="AG548" s="2" t="e">
        <f ca="1">_xll.BDH($C$528,"SHORT_TERM_DEBT_1_YEAR_GROWTH","FY 2018","FY 2018","Currency=INR","Period=FY","BEST_FPERIOD_OVERRIDE=FY","FILING_STATUS=OR","EQY_CONSOLIDATED=Y","Sort=A","Dates=H","DateFormat=P","Fill=—","Direction=H","UseDPDF=Y")</f>
        <v>#NAME?</v>
      </c>
      <c r="AH548" s="2" t="e">
        <f ca="1">_xll.BDH($C$528,"TOTAL_DEBT_1_YEAR_GROWTH","FY 2018","FY 2018","Currency=INR","Period=FY","BEST_FPERIOD_OVERRIDE=FY","FILING_STATUS=OR","EQY_CONSOLIDATED=Y","Sort=A","Dates=H","DateFormat=P","Fill=—","Direction=H","UseDPDF=Y")</f>
        <v>#NAME?</v>
      </c>
      <c r="AI548" s="2" t="e">
        <f ca="1">_xll.BDH($C$528,"TOTAL_EQUITY_1_YEAR_GROWTH","FY 2018","FY 2018","Currency=INR","Period=FY","BEST_FPERIOD_OVERRIDE=FY","FILING_STATUS=OR","EQY_CONSOLIDATED=Y","Sort=A","Dates=H","DateFormat=P","Fill=—","Direction=H","UseDPDF=Y")</f>
        <v>#NAME?</v>
      </c>
      <c r="AJ548" s="2" t="e">
        <f ca="1">_xll.BDH($C$528,"GROWTH_IN_CAP","FY 2018","FY 2018","Currency=INR","Period=FY","BEST_FPERIOD_OVERRIDE=FY","FILING_STATUS=OR","EQY_CONSOLIDATED=Y","Sort=A","Dates=H","DateFormat=P","Fill=—","Direction=H","UseDPDF=Y")</f>
        <v>#NAME?</v>
      </c>
      <c r="AK548" s="2" t="e">
        <f ca="1">_xll.BDH($C$528,"BVPS_GROWTH","FY 2018","FY 2018","Currency=INR","Period=FY","BEST_FPERIOD_OVERRIDE=FY","FILING_STATUS=OR","EQY_CONSOLIDATED=Y","Sort=A","Dates=H","DateFormat=P","Fill=—","Direction=H","UseDPDF=Y")</f>
        <v>#NAME?</v>
      </c>
      <c r="AL548" s="2" t="e">
        <f ca="1">_xll.BDH($C$528,"CASH_FLOW_GROWTH","FY 2018","FY 2018","Currency=INR","Period=FY","BEST_FPERIOD_OVERRIDE=FY","FILING_STATUS=OR","EQY_CONSOLIDATED=Y","Sort=A","Dates=H","DateFormat=P","Fill=—","Direction=H","UseDPDF=Y")</f>
        <v>#NAME?</v>
      </c>
      <c r="AM548" s="2" t="e">
        <f ca="1">_xll.BDH($C$528,"GEO_GROW_NET_SALES","FY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48" s="2" t="e">
        <f ca="1">_xll.BDH($C$528,"GEO_GROW_EBITDA","FY 2018","FY 2018","Currency=INR","Period=FY","BEST_FPERIOD_OVERRIDE=FY","FILING_STATUS=OR","EQY_CONSOLIDATED=Y","FA_ADJUSTED=GAAP","Sort=A","Dates=H","DateFormat=P","Fill=—","Direction=H","UseDPDF=Y")</f>
        <v>#NAME?</v>
      </c>
      <c r="AO548" s="2" t="e">
        <f ca="1">_xll.BDH($C$528,"GEO_GROW_OPER_INC","FY 2018","FY 2018","Currency=INR","Period=FY","BEST_FPERIOD_OVERRIDE=FY","FILING_STATUS=OR","EQY_CONSOLIDATED=Y","FA_ADJUSTED=GAAP","Sort=A","Dates=H","DateFormat=P","Fill=—","Direction=H","UseDPDF=Y")</f>
        <v>#NAME?</v>
      </c>
      <c r="AP548" s="2" t="e">
        <f ca="1">_xll.BDH($C$528,"NET_INCOME_TO_COMMON_5_YR_GROWTH","FY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48" s="2" t="e">
        <f ca="1">_xll.BDH($C$528,"5Y_GEO_GROWTH_DILUTED_EPS","FY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48" s="2" t="e">
        <f ca="1">_xll.BDH($C$528,"GEO_GROW_DVD_PER_SH","FY 2018","FY 2018","Currency=INR","Period=FY","BEST_FPERIOD_OVERRIDE=FY","FILING_STATUS=OR","EQY_CONSOLIDATED=Y","Sort=A","Dates=H","DateFormat=P","Fill=—","Direction=H","UseDPDF=Y")</f>
        <v>#NAME?</v>
      </c>
      <c r="AS548" s="2" t="e">
        <f ca="1">_xll.BDH($C$528,"ACCOUNTS_RECEIVABLE_5_YR_GROWTH","FY 2018","FY 2018","Currency=INR","Period=FY","BEST_FPERIOD_OVERRIDE=FY","FILING_STATUS=OR","EQY_CONSOLIDATED=Y","Sort=A","Dates=H","DateFormat=P","Fill=—","Direction=H","UseDPDF=Y")</f>
        <v>#NAME?</v>
      </c>
      <c r="AT548" s="2" t="e">
        <f ca="1">_xll.BDH($C$528,"INVENTORY_5_YEAR_GROWTH","FY 2018","FY 2018","Currency=INR","Period=FY","BEST_FPERIOD_OVERRIDE=FY","FILING_STATUS=OR","EQY_CONSOLIDATED=Y","Sort=A","Dates=H","DateFormat=P","Fill=—","Direction=H","UseDPDF=Y")</f>
        <v>#NAME?</v>
      </c>
      <c r="AU548" s="2" t="e">
        <f ca="1">_xll.BDH($C$528,"NET_FIXED_ASSETS_5_YEAR_GROWTH","FY 2018","FY 2018","Currency=INR","Period=FY","BEST_FPERIOD_OVERRIDE=FY","FILING_STATUS=OR","EQY_CONSOLIDATED=Y","Sort=A","Dates=H","DateFormat=P","Fill=—","Direction=H","UseDPDF=Y")</f>
        <v>#NAME?</v>
      </c>
      <c r="AV548" s="2" t="e">
        <f ca="1">_xll.BDH($C$528,"GEO_GROW_TOT_ASSET","FY 2018","FY 2018","Currency=INR","Period=FY","BEST_FPERIOD_OVERRIDE=FY","FILING_STATUS=OR","EQY_CONSOLIDATED=Y","Sort=A","Dates=H","DateFormat=P","Fill=—","Direction=H","UseDPDF=Y")</f>
        <v>#NAME?</v>
      </c>
      <c r="AW548" s="2" t="e">
        <f ca="1">_xll.BDH($C$528,"MODIFIED_WORKING_CPTL_5YR_GRWTH","FY 2018","FY 2018","Currency=INR","Period=FY","BEST_FPERIOD_OVERRIDE=FY","FILING_STATUS=OR","EQY_CONSOLIDATED=Y","Sort=A","Dates=H","DateFormat=P","Fill=—","Direction=H","UseDPDF=Y")</f>
        <v>#NAME?</v>
      </c>
      <c r="AX548" s="2" t="e">
        <f ca="1">_xll.BDH($C$528,"WORKING_CAPITAL_5_YEAR_GROWTH","FY 2018","FY 2018","Currency=INR","Period=FY","BEST_FPERIOD_OVERRIDE=FY","FILING_STATUS=OR","EQY_CONSOLIDATED=Y","Sort=A","Dates=H","DateFormat=P","Fill=—","Direction=H","UseDPDF=Y")</f>
        <v>#NAME?</v>
      </c>
      <c r="AY548" s="2" t="e">
        <f ca="1">_xll.BDH($C$528,"ACCOUNTS_PAYABLE_5_YEAR_GROWTH","FY 2018","FY 2018","Currency=INR","Period=FY","BEST_FPERIOD_OVERRIDE=FY","FILING_STATUS=OR","EQY_CONSOLIDATED=Y","Sort=A","Dates=H","DateFormat=P","Fill=—","Direction=H","UseDPDF=Y")</f>
        <v>#NAME?</v>
      </c>
      <c r="AZ548" s="2" t="e">
        <f ca="1">_xll.BDH($C$528,"SHORT_TERM_DEBT_5_YEAR_GROWTH","FY 2018","FY 2018","Currency=INR","Period=FY","BEST_FPERIOD_OVERRIDE=FY","FILING_STATUS=OR","EQY_CONSOLIDATED=Y","Sort=A","Dates=H","DateFormat=P","Fill=—","Direction=H","UseDPDF=Y")</f>
        <v>#NAME?</v>
      </c>
      <c r="BA548" s="2" t="e">
        <f ca="1">_xll.BDH($C$528,"TOTAL_DEBT_5_YEAR_GROWTH","FY 2018","FY 2018","Currency=INR","Period=FY","BEST_FPERIOD_OVERRIDE=FY","FILING_STATUS=OR","EQY_CONSOLIDATED=Y","Sort=A","Dates=H","DateFormat=P","Fill=—","Direction=H","UseDPDF=Y")</f>
        <v>#NAME?</v>
      </c>
      <c r="BB548" s="2" t="e">
        <f ca="1">_xll.BDH($C$528,"GEO_GROW_TOT_SHRHLDR_EQY","FY 2018","FY 2018","Currency=INR","Period=FY","BEST_FPERIOD_OVERRIDE=FY","FILING_STATUS=OR","EQY_CONSOLIDATED=Y","Sort=A","Dates=H","DateFormat=P","Fill=—","Direction=H","UseDPDF=Y")</f>
        <v>#NAME?</v>
      </c>
      <c r="BC548" s="2" t="e">
        <f ca="1">_xll.BDH($C$528,"TOTAL_CAPITAL_5_YEAR_GROWTH","FY 2018","FY 2018","Currency=INR","Period=FY","BEST_FPERIOD_OVERRIDE=FY","FILING_STATUS=OR","EQY_CONSOLIDATED=Y","Sort=A","Dates=H","DateFormat=P","Fill=—","Direction=H","UseDPDF=Y")</f>
        <v>#NAME?</v>
      </c>
      <c r="BD548" s="2" t="e">
        <f ca="1">_xll.BDH($C$528,"GEO_GROW_BOOK_VAL","FY 2018","FY 2018","Currency=INR","Period=FY","BEST_FPERIOD_OVERRIDE=FY","FILING_STATUS=OR","EQY_CONSOLIDATED=Y","Sort=A","Dates=H","DateFormat=P","Fill=—","Direction=H","UseDPDF=Y")</f>
        <v>#NAME?</v>
      </c>
      <c r="BE548" s="2" t="e">
        <f ca="1">_xll.BDH($C$528,"GEO_GROW_CASH_OPER_ACT","FY 2018","FY 2018","Currency=INR","Period=FY","BEST_FPERIOD_OVERRIDE=FY","FILING_STATUS=OR","EQY_CONSOLIDATED=Y","Sort=A","Dates=H","DateFormat=P","Fill=—","Direction=H","UseDPDF=Y")</f>
        <v>#NAME?</v>
      </c>
      <c r="BF548" s="2" t="e">
        <f ca="1">_xll.BDH($C$528,"REVENUE_SEQUENTIAL_GROWTH","FY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48" s="2" t="e">
        <f ca="1">_xll.BDH($C$528,"EBITDA_SEQUENTIAL_GROWTH","FY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48" s="2" t="e">
        <f ca="1">_xll.BDH($C$528,"OPERATING_INCOME_SEQ_GROWTH","FY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48" s="2" t="e">
        <f ca="1">_xll.BDH($C$528,"NET_INCOME_TO_COMMON_SEQ_GROWTH","FY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48" s="2" t="e">
        <f ca="1">_xll.BDH($C$528,"EPS_DILUTED_SEQUENTIAL_GROWTH","FY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48" s="2" t="e">
        <f ca="1">_xll.BDH($C$528,"DPS_SEQUENTIAL_GROWTH","FY 2018","FY 2018","Currency=INR","Period=FY","BEST_FPERIOD_OVERRIDE=FY","FILING_STATUS=OR","EQY_CONSOLIDATED=Y","Sort=A","Dates=H","DateFormat=P","Fill=—","Direction=H","UseDPDF=Y")</f>
        <v>#NAME?</v>
      </c>
      <c r="BL548" s="2" t="e">
        <f ca="1">_xll.BDH($C$528,"ACCOUNTS_RECEIVABLE_SEQ_GROWTH","FY 2018","FY 2018","Currency=INR","Period=FY","BEST_FPERIOD_OVERRIDE=FY","FILING_STATUS=OR","EQY_CONSOLIDATED=Y","Sort=A","Dates=H","DateFormat=P","Fill=—","Direction=H","UseDPDF=Y")</f>
        <v>#NAME?</v>
      </c>
      <c r="BM548" s="2" t="e">
        <f ca="1">_xll.BDH($C$528,"INVENTORY_SEQUENTIAL_GROWTH","FY 2018","FY 2018","Currency=INR","Period=FY","BEST_FPERIOD_OVERRIDE=FY","FILING_STATUS=OR","EQY_CONSOLIDATED=Y","Sort=A","Dates=H","DateFormat=P","Fill=—","Direction=H","UseDPDF=Y")</f>
        <v>#NAME?</v>
      </c>
      <c r="BN548" s="2" t="e">
        <f ca="1">_xll.BDH($C$528,"FIXED_ASSETS_SEQUENTIAL_GROWTH","FY 2018","FY 2018","Currency=INR","Period=FY","BEST_FPERIOD_OVERRIDE=FY","FILING_STATUS=OR","EQY_CONSOLIDATED=Y","Sort=A","Dates=H","DateFormat=P","Fill=—","Direction=H","UseDPDF=Y")</f>
        <v>#NAME?</v>
      </c>
      <c r="BO548" s="2" t="e">
        <f ca="1">_xll.BDH($C$528,"TOTAL_ASSETS_SEQUENTIAL_GROWTH","FY 2018","FY 2018","Currency=INR","Period=FY","BEST_FPERIOD_OVERRIDE=FY","FILING_STATUS=OR","EQY_CONSOLIDATED=Y","Sort=A","Dates=H","DateFormat=P","Fill=—","Direction=H","UseDPDF=Y")</f>
        <v>#NAME?</v>
      </c>
      <c r="BP548" s="2" t="e">
        <f ca="1">_xll.BDH($C$528,"MODIFIED_WORKING_CPTL_SEQ_GRWTH","FY 2018","FY 2018","Currency=INR","Period=FY","BEST_FPERIOD_OVERRIDE=FY","FILING_STATUS=OR","EQY_CONSOLIDATED=Y","Sort=A","Dates=H","DateFormat=P","Fill=—","Direction=H","UseDPDF=Y")</f>
        <v>#NAME?</v>
      </c>
      <c r="BQ548" s="2" t="e">
        <f ca="1">_xll.BDH($C$528,"WORKING_CAPITAL_SEQ_GROWTH","FY 2018","FY 2018","Currency=INR","Period=FY","BEST_FPERIOD_OVERRIDE=FY","FILING_STATUS=OR","EQY_CONSOLIDATED=Y","Sort=A","Dates=H","DateFormat=P","Fill=—","Direction=H","UseDPDF=Y")</f>
        <v>#NAME?</v>
      </c>
      <c r="BR548" s="2" t="e">
        <f ca="1">_xll.BDH($C$528,"ACCOUNTS_PAYABLE_SEQ_GROWTH","FY 2018","FY 2018","Currency=INR","Period=FY","BEST_FPERIOD_OVERRIDE=FY","FILING_STATUS=OR","EQY_CONSOLIDATED=Y","Sort=A","Dates=H","DateFormat=P","Fill=—","Direction=H","UseDPDF=Y")</f>
        <v>#NAME?</v>
      </c>
      <c r="BS548" s="2" t="e">
        <f ca="1">_xll.BDH($C$528,"ST_DEBT_SEQUENTIAL_GROWTH","FY 2018","FY 2018","Currency=INR","Period=FY","BEST_FPERIOD_OVERRIDE=FY","FILING_STATUS=OR","EQY_CONSOLIDATED=Y","Sort=A","Dates=H","DateFormat=P","Fill=—","Direction=H","UseDPDF=Y")</f>
        <v>#NAME?</v>
      </c>
      <c r="BT548" s="2" t="e">
        <f ca="1">_xll.BDH($C$528,"TOTAL_DEBT_SEQUENTIAL_GROWTH","FY 2018","FY 2018","Currency=INR","Period=FY","BEST_FPERIOD_OVERRIDE=FY","FILING_STATUS=OR","EQY_CONSOLIDATED=Y","Sort=A","Dates=H","DateFormat=P","Fill=—","Direction=H","UseDPDF=Y")</f>
        <v>#NAME?</v>
      </c>
      <c r="BU548" s="2" t="e">
        <f ca="1">_xll.BDH($C$528,"TOTAL_EQUITY_SEQUENTIAL_GROWTH","FY 2018","FY 2018","Currency=INR","Period=FY","BEST_FPERIOD_OVERRIDE=FY","FILING_STATUS=OR","EQY_CONSOLIDATED=Y","Sort=A","Dates=H","DateFormat=P","Fill=—","Direction=H","UseDPDF=Y")</f>
        <v>#NAME?</v>
      </c>
      <c r="BV548" s="2" t="e">
        <f ca="1">_xll.BDH($C$528,"TOTAL_CAPITAL_SEQUENTIAL_GROWTH","FY 2018","FY 2018","Currency=INR","Period=FY","BEST_FPERIOD_OVERRIDE=FY","FILING_STATUS=OR","EQY_CONSOLIDATED=Y","Sort=A","Dates=H","DateFormat=P","Fill=—","Direction=H","UseDPDF=Y")</f>
        <v>#NAME?</v>
      </c>
      <c r="BW548" s="2" t="e">
        <f ca="1">_xll.BDH($C$528,"BPS_SEQUENTIAL_GROWTH","FY 2018","FY 2018","Currency=INR","Period=FY","BEST_FPERIOD_OVERRIDE=FY","FILING_STATUS=OR","EQY_CONSOLIDATED=Y","Sort=A","Dates=H","DateFormat=P","Fill=—","Direction=H","UseDPDF=Y")</f>
        <v>#NAME?</v>
      </c>
      <c r="BX548" s="2" t="e">
        <f ca="1">_xll.BDH($C$528,"CFO_SEQUENTIAL_GROWTH","FY 2018","FY 2018","Currency=INR","Period=FY","BEST_FPERIOD_OVERRIDE=FY","FILING_STATUS=OR","EQY_CONSOLIDATED=Y","Sort=A","Dates=H","DateFormat=P","Fill=—","Direction=H","UseDPDF=Y")</f>
        <v>#NAME?</v>
      </c>
      <c r="BY548" s="3" t="e">
        <f ca="1">_xll.BDH($C$528,"SHORT_AND_LONG_TERM_DEBT","FY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48" s="3" t="e">
        <f ca="1">_xll.BDH($C$528,"BS_ST_BORROW","FY 2018","FY 2018","Currency=INR","Period=FY","BEST_FPERIOD_OVERRIDE=FY","FILING_STATUS=OR","EQY_CONSOLIDATED=Y","SCALING_FORMAT=MLN","Sort=A","Dates=H","DateFormat=P","Fill=—","Direction=H","UseDPDF=Y")</f>
        <v>#NAME?</v>
      </c>
      <c r="CA548" s="3" t="e">
        <f ca="1">_xll.BDH($C$528,"BS_LT_BORROW","FY 2018","FY 2018","Currency=INR","Period=FY","BEST_FPERIOD_OVERRIDE=FY","FILING_STATUS=OR","EQY_CONSOLIDATED=Y","SCALING_FORMAT=MLN","Sort=A","Dates=H","DateFormat=P","Fill=—","Direction=H","UseDPDF=Y")</f>
        <v>#NAME?</v>
      </c>
      <c r="CB548" s="2" t="e">
        <f ca="1">_xll.BDH($C$528,"TOT_DEBT_TO_EBITDA","FY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48" s="2" t="e">
        <f ca="1">_xll.BDH($C$528,"NET_DEBT_TO_EBITDA","FY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48" s="2" t="e">
        <f ca="1">_xll.BDH($C$528,"TOTAL_DEBT_TO_EBIT","FY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48" s="2" t="e">
        <f ca="1">_xll.BDH($C$528,"NET_DEBT_TO_EBIT","FY 2018","FY 2018","Currency=INR","Period=FY","BEST_FPERIOD_OVERRIDE=FY","FILING_STATUS=OR","EQY_CONSOLIDATED=Y","FA_ADJUSTED=GAAP","Sort=A","Dates=H","DateFormat=P","Fill=—","Direction=H","UseDPDF=Y")</f>
        <v>#NAME?</v>
      </c>
      <c r="CF548" s="2" t="e">
        <f ca="1">_xll.BDH($C$528,"EBITDA_TO_INTEREST_EXPN","FY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48" s="2" t="e">
        <f ca="1">_xll.BDH($C$528,"COM_EQY_TO_TOT_ASSET","FY 2018","FY 2018","Currency=INR","Period=FY","BEST_FPERIOD_OVERRIDE=FY","FILING_STATUS=OR","EQY_CONSOLIDATED=Y","Sort=A","Dates=H","DateFormat=P","Fill=—","Direction=H","UseDPDF=Y")</f>
        <v>#NAME?</v>
      </c>
      <c r="CH548" s="2" t="e">
        <f ca="1">_xll.BDH($C$528,"LT_DEBT_TO_TOT_EQY","FY 2018","FY 2018","Currency=INR","Period=FY","BEST_FPERIOD_OVERRIDE=FY","FILING_STATUS=OR","EQY_CONSOLIDATED=Y","Sort=A","Dates=H","DateFormat=P","Fill=—","Direction=H","UseDPDF=Y")</f>
        <v>#NAME?</v>
      </c>
      <c r="CI548" s="2" t="e">
        <f ca="1">_xll.BDH($C$528,"LT_DEBT_TO_TOT_CAP","FY 2018","FY 2018","Currency=INR","Period=FY","BEST_FPERIOD_OVERRIDE=FY","FILING_STATUS=OR","EQY_CONSOLIDATED=Y","Sort=A","Dates=H","DateFormat=P","Fill=—","Direction=H","UseDPDF=Y")</f>
        <v>#NAME?</v>
      </c>
      <c r="CJ548" s="2" t="e">
        <f ca="1">_xll.BDH($C$528,"LT_DEBT_TO_TOT_ASSET","FY 2018","FY 2018","Currency=INR","Period=FY","BEST_FPERIOD_OVERRIDE=FY","FILING_STATUS=OR","EQY_CONSOLIDATED=Y","Sort=A","Dates=H","DateFormat=P","Fill=—","Direction=H","UseDPDF=Y")</f>
        <v>#NAME?</v>
      </c>
      <c r="CK548" s="2" t="e">
        <f ca="1">_xll.BDH($C$528,"TOT_DEBT_TO_TOT_EQY","FY 2018","FY 2018","Currency=INR","Period=FY","BEST_FPERIOD_OVERRIDE=FY","FILING_STATUS=OR","EQY_CONSOLIDATED=Y","Sort=A","Dates=H","DateFormat=P","Fill=—","Direction=H","UseDPDF=Y")</f>
        <v>#NAME?</v>
      </c>
      <c r="CL548" s="2" t="e">
        <f ca="1">_xll.BDH($C$528,"TOT_DEBT_TO_TOT_CAP","FY 2018","FY 2018","Currency=INR","Period=FY","BEST_FPERIOD_OVERRIDE=FY","FILING_STATUS=OR","EQY_CONSOLIDATED=Y","Sort=A","Dates=H","DateFormat=P","Fill=—","Direction=H","UseDPDF=Y")</f>
        <v>#NAME?</v>
      </c>
      <c r="CM548" s="2" t="e">
        <f ca="1">_xll.BDH($C$528,"TOT_DEBT_TO_TOT_ASSET","FY 2018","FY 2018","Currency=INR","Period=FY","BEST_FPERIOD_OVERRIDE=FY","FILING_STATUS=OR","EQY_CONSOLIDATED=Y","Sort=A","Dates=H","DateFormat=P","Fill=—","Direction=H","UseDPDF=Y")</f>
        <v>#NAME?</v>
      </c>
      <c r="CN548" s="2" t="e">
        <f ca="1">_xll.BDH($C$528,"NET_DEBT_TO_SHRHLDR_EQTY","FY 2018","FY 2018","Currency=INR","Period=FY","BEST_FPERIOD_OVERRIDE=FY","FILING_STATUS=OR","EQY_CONSOLIDATED=Y","Sort=A","Dates=H","DateFormat=P","Fill=—","Direction=H","UseDPDF=Y")</f>
        <v>#NAME?</v>
      </c>
      <c r="CO548" s="2" t="e">
        <f ca="1">_xll.BDH($C$528,"NET_DEBT_%_CAPITAL","FY 2018","FY 2018","Currency=INR","Period=FY","BEST_FPERIOD_OVERRIDE=FY","FILING_STATUS=OR","EQY_CONSOLIDATED=Y","Sort=A","Dates=H","DateFormat=P","Fill=—","Direction=H","UseDPDF=Y")</f>
        <v>#NAME?</v>
      </c>
      <c r="CP548" s="3" t="e">
        <f ca="1">_xll.BDH($C$528,"EBITDA","FY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48" s="3" t="e">
        <f ca="1">_xll.BDH($C$528,"EBITDA_AFTER_CAPEX","FY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48" s="3" t="e">
        <f ca="1">_xll.BDH($C$528,"IS_OPER_INC","FY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48" s="2" t="e">
        <f ca="1">_xll.BDH($C$528,"CASH_RATIO","FY 2018","FY 2018","Currency=INR","Period=FY","BEST_FPERIOD_OVERRIDE=FY","FILING_STATUS=OR","EQY_CONSOLIDATED=Y","Sort=A","Dates=H","DateFormat=P","Fill=—","Direction=H","UseDPDF=Y")</f>
        <v>#NAME?</v>
      </c>
      <c r="CT548" s="2" t="e">
        <f ca="1">_xll.BDH($C$528,"CUR_RATIO","FY 2018","FY 2018","Currency=INR","Period=FY","BEST_FPERIOD_OVERRIDE=FY","FILING_STATUS=OR","EQY_CONSOLIDATED=Y","Sort=A","Dates=H","DateFormat=P","Fill=—","Direction=H","UseDPDF=Y")</f>
        <v>#NAME?</v>
      </c>
      <c r="CU548" s="2" t="e">
        <f ca="1">_xll.BDH($C$528,"QUICK_RATIO","FY 2018","FY 2018","Currency=INR","Period=FY","BEST_FPERIOD_OVERRIDE=FY","FILING_STATUS=OR","EQY_CONSOLIDATED=Y","Sort=A","Dates=H","DateFormat=P","Fill=—","Direction=H","UseDPDF=Y")</f>
        <v>#NAME?</v>
      </c>
      <c r="CV548" s="2" t="e">
        <f ca="1">_xll.BDH($C$528,"ALTMAN_Z_SCORE","FY 2018","FY 2018","Currency=INR","Period=FY","BEST_FPERIOD_OVERRIDE=FY","FILING_STATUS=OR","EQY_CONSOLIDATED=Y","Sort=A","Dates=H","DateFormat=P","Fill=—","Direction=H","UseDPDF=Y")</f>
        <v>#NAME?</v>
      </c>
      <c r="CW548" s="4" t="e">
        <f ca="1">_xll.BDH($C$528,"ACCT_RCV_TURN","FY 2018","FY 2018","Currency=INR","Period=FY","BEST_FPERIOD_OVERRIDE=FY","FILING_STATUS=OR","EQY_CONSOLIDATED=Y","FA_ADJUSTED=GAAP","Sort=A","Dates=H","DateFormat=P","Fill=—","Direction=H","UseDPDF=Y")</f>
        <v>#NAME?</v>
      </c>
      <c r="CX548" s="2" t="e">
        <f ca="1">_xll.BDH($C$528,"ACCT_RCV_DAYS","FY 2018","FY 2018","Currency=INR","Period=FY","BEST_FPERIOD_OVERRIDE=FY","FILING_STATUS=OR","EQY_CONSOLIDATED=Y","FA_ADJUSTED=GAAP","Sort=A","Dates=H","DateFormat=P","Fill=—","Direction=H","UseDPDF=Y")</f>
        <v>#NAME?</v>
      </c>
      <c r="CY548" s="4" t="e">
        <f ca="1">_xll.BDH($C$528,"INVENT_TURN","FY 2018","FY 2018","Currency=INR","Period=FY","BEST_FPERIOD_OVERRIDE=FY","FILING_STATUS=OR","EQY_CONSOLIDATED=Y","FA_ADJUSTED=GAAP","Sort=A","Dates=H","DateFormat=P","Fill=—","Direction=H","UseDPDF=Y")</f>
        <v>#NAME?</v>
      </c>
      <c r="CZ548" s="2" t="e">
        <f ca="1">_xll.BDH($C$528,"INVENT_DAYS","FY 2018","FY 2018","Currency=INR","Period=FY","BEST_FPERIOD_OVERRIDE=FY","FILING_STATUS=OR","EQY_CONSOLIDATED=Y","FA_ADJUSTED=GAAP","Sort=A","Dates=H","DateFormat=P","Fill=—","Direction=H","UseDPDF=Y")</f>
        <v>#NAME?</v>
      </c>
      <c r="DA548" s="4" t="e">
        <f ca="1">_xll.BDH($C$528,"ACCOUNTS_PAYABLE_TURNOVER","FY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48" s="2" t="e">
        <f ca="1">_xll.BDH($C$528,"ACCOUNTS_PAYABLE_TURNOVER_DAYS","FY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48" s="4" t="e">
        <f ca="1">_xll.BDH($C$528,"CASH_CONVERSION_CYCLE","FY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48" s="4" t="e">
        <f ca="1">_xll.BDH($C$528,"INV_TO_CASH_DAYS","FY 2018","FY 2018","Currency=INR","Period=FY","BEST_FPERIOD_OVERRIDE=FY","FILING_STATUS=OR","EQY_CONSOLIDATED=Y","FA_ADJUSTED=GAAP","Sort=A","Dates=H","DateFormat=P","Fill=—","Direction=H","UseDPDF=Y")</f>
        <v>#NAME?</v>
      </c>
      <c r="DE548" s="5" t="e">
        <f ca="1">_xll.BDH($C$528,"BS_INVENTORIES","FY 2018","FY 2018","Currency=INR","Period=FY","BEST_FPERIOD_OVERRIDE=FY","FILING_STATUS=OR","EQY_CONSOLIDATED=Y","SCALING_FORMAT=MLN","Sort=A","Dates=H","DateFormat=P","Fill=—","Direction=H","UseDPDF=Y")</f>
        <v>#NAME?</v>
      </c>
      <c r="DF548" s="3" t="e">
        <f ca="1">_xll.BDH($C$528,"INVTRY_RAW_MATERIALS","FY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48" s="3" t="e">
        <f ca="1">_xll.BDH($C$528,"INVTRY_IN_PROGRESS","FY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48" s="3" t="e">
        <f ca="1">_xll.BDH($C$528,"INVTRY_FINISHED_GOODS","FY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48" s="3" t="e">
        <f ca="1">_xll.BDH($C$528,"BS_OTHER_INV","FY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49" spans="1:113" x14ac:dyDescent="0.3">
      <c r="A549" s="6"/>
      <c r="B549" s="6"/>
      <c r="C549" s="6"/>
      <c r="D549" s="6"/>
      <c r="E549" t="s">
        <v>78</v>
      </c>
      <c r="F549" t="e">
        <f ca="1">_xll.BDH($C$528,"RETURN_COM_EQY","FQ1 2018","FQ1 2018","Currency=INR","Period=FQ","BEST_FPERIOD_OVERRIDE=FQ","FILING_STATUS=OR","EQY_CONSOLIDATED=Y","FA_ADJUSTED=GAAP","Sort=A","Dates=H","DateFormat=P","Fill=—","Direction=H","UseDPDF=Y")</f>
        <v>#NAME?</v>
      </c>
      <c r="G549" t="e">
        <f ca="1">_xll.BDH($C$528,"RETURN_ON_ASSET","FQ1 2018","FQ1 2018","Currency=INR","Period=FQ","BEST_FPERIOD_OVERRIDE=FQ","FILING_STATUS=OR","EQY_CONSOLIDATED=Y","FA_ADJUSTED=GAAP","Sort=A","Dates=H","DateFormat=P","Fill=—","Direction=H","UseDPDF=Y")</f>
        <v>#NAME?</v>
      </c>
      <c r="H549" t="e">
        <f ca="1">_xll.BDH($C$528,"RETURN_ON_CAP","FQ1 2018","FQ1 2018","Currency=INR","Period=FQ","BEST_FPERIOD_OVERRIDE=FQ","FILING_STATUS=OR","EQY_CONSOLIDATED=Y","FA_ADJUSTED=GAAP","Sort=A","Dates=H","DateFormat=P","Fill=—","Direction=H","UseDPDF=Y")</f>
        <v>#NAME?</v>
      </c>
      <c r="I549" t="e">
        <f ca="1">_xll.BDH($C$528,"RETURN_ON_INV_CAPITAL","FQ1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49" t="e">
        <f ca="1">_xll.BDH($C$528,"EBITDA_TO_REVENUE","FQ1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49" t="e">
        <f ca="1">_xll.BDH($C$528,"OPER_MARGIN","FQ1 2018","FQ1 2018","Currency=INR","Period=FQ","BEST_FPERIOD_OVERRIDE=FQ","FILING_STATUS=OR","EQY_CONSOLIDATED=Y","FA_ADJUSTED=GAAP","Sort=A","Dates=H","DateFormat=P","Fill=—","Direction=H","UseDPDF=Y")</f>
        <v>#NAME?</v>
      </c>
      <c r="L549" t="e">
        <f ca="1">_xll.BDH($C$528,"INCREMENTAL_OPERATING_MARGIN","FQ1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49" t="e">
        <f ca="1">_xll.BDH($C$528,"PRETAX_INC_TO_NET_SALES","FQ1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49" t="e">
        <f ca="1">_xll.BDH($C$528,"INC_BEF_XO_ITEMS_TO_NET_SALES","FQ1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49" t="e">
        <f ca="1">_xll.BDH($C$528,"PROF_MARGIN","FQ1 2018","FQ1 2018","Currency=INR","Period=FQ","BEST_FPERIOD_OVERRIDE=FQ","FILING_STATUS=OR","EQY_CONSOLIDATED=Y","FA_ADJUSTED=GAAP","Sort=A","Dates=H","DateFormat=P","Fill=—","Direction=H","UseDPDF=Y")</f>
        <v>#NAME?</v>
      </c>
      <c r="P549" t="e">
        <f ca="1">_xll.BDH($C$528,"NET_INCOME_TO_COMMON_MARGIN","FQ1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49" t="e">
        <f ca="1">_xll.BDH($C$528,"EFF_TAX_RATE","FQ1 2018","FQ1 2018","Currency=INR","Period=FQ","BEST_FPERIOD_OVERRIDE=FQ","FILING_STATUS=OR","EQY_CONSOLIDATED=Y","FA_ADJUSTED=GAAP","Sort=A","Dates=H","DateFormat=P","Fill=—","Direction=H","UseDPDF=Y")</f>
        <v>#NAME?</v>
      </c>
      <c r="R549" t="e">
        <f ca="1">_xll.BDH($C$528,"DVD_PAYOUT_RATIO","FQ1 2018","FQ1 2018","Currency=INR","Period=FQ","BEST_FPERIOD_OVERRIDE=FQ","FILING_STATUS=OR","EQY_CONSOLIDATED=Y","FA_ADJUSTED=GAAP","Sort=A","Dates=H","DateFormat=P","Fill=—","Direction=H","UseDPDF=Y")</f>
        <v>#NAME?</v>
      </c>
      <c r="S549" t="e">
        <f ca="1">_xll.BDH($C$528,"SUSTAIN_GROWTH_RT","FQ1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49" s="2" t="e">
        <f ca="1">_xll.BDH($C$528,"SALES_GROWTH","FQ1 2018","FQ1 2018","Currency=INR","Period=FQ","BEST_FPERIOD_OVERRIDE=FQ","FILING_STATUS=OR","EQY_CONSOLIDATED=Y","FA_ADJUSTED=GAAP","Sort=A","Dates=H","DateFormat=P","Fill=—","Direction=H","UseDPDF=Y")</f>
        <v>#NAME?</v>
      </c>
      <c r="U549" s="2" t="e">
        <f ca="1">_xll.BDH($C$528,"EBITDA_GROWTH","FQ1 2018","FQ1 2018","Currency=INR","Period=FQ","BEST_FPERIOD_OVERRIDE=FQ","FILING_STATUS=OR","EQY_CONSOLIDATED=Y","FA_ADJUSTED=GAAP","Sort=A","Dates=H","DateFormat=P","Fill=—","Direction=H","UseDPDF=Y")</f>
        <v>#NAME?</v>
      </c>
      <c r="V549" s="2" t="e">
        <f ca="1">_xll.BDH($C$528,"OPER_INC_GROWTH","FQ1 2018","FQ1 2018","Currency=INR","Period=FQ","BEST_FPERIOD_OVERRIDE=FQ","FILING_STATUS=OR","EQY_CONSOLIDATED=Y","FA_ADJUSTED=GAAP","Sort=A","Dates=H","DateFormat=P","Fill=—","Direction=H","UseDPDF=Y")</f>
        <v>#NAME?</v>
      </c>
      <c r="W549" s="2" t="e">
        <f ca="1">_xll.BDH($C$528,"EARN_FOR_COM_GROWTH","FQ1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49" s="2" t="e">
        <f ca="1">_xll.BDH($C$528,"DILUTED_EPS_AFT_XO_ITEMS_GROWTH","FQ1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49" s="2" t="e">
        <f ca="1">_xll.BDH($C$528,"DIVIDEND_PER_SHARE_1_YEAR_GROWTH","FQ1 2018","FQ1 2018","Currency=INR","Period=FQ","BEST_FPERIOD_OVERRIDE=FQ","FILING_STATUS=OR","EQY_CONSOLIDATED=Y","Sort=A","Dates=H","DateFormat=P","Fill=—","Direction=H","UseDPDF=Y")</f>
        <v>#NAME?</v>
      </c>
      <c r="Z549" s="2" t="e">
        <f ca="1">_xll.BDH($C$528,"ACCOUNTS_RECEIVABLE_GROWTH","FQ1 2018","FQ1 2018","Currency=INR","Period=FQ","BEST_FPERIOD_OVERRIDE=FQ","FILING_STATUS=OR","EQY_CONSOLIDATED=Y","Sort=A","Dates=H","DateFormat=P","Fill=—","Direction=H","UseDPDF=Y")</f>
        <v>#NAME?</v>
      </c>
      <c r="AA549" s="2" t="e">
        <f ca="1">_xll.BDH($C$528,"INVENTORY_GROWTH","FQ1 2018","FQ1 2018","Currency=INR","Period=FQ","BEST_FPERIOD_OVERRIDE=FQ","FILING_STATUS=OR","EQY_CONSOLIDATED=Y","Sort=A","Dates=H","DateFormat=P","Fill=—","Direction=H","UseDPDF=Y")</f>
        <v>#NAME?</v>
      </c>
      <c r="AB549" s="2" t="e">
        <f ca="1">_xll.BDH($C$528,"NET_FIXED_ASSETS_1_YEAR_GROWTH","FQ1 2018","FQ1 2018","Currency=INR","Period=FQ","BEST_FPERIOD_OVERRIDE=FQ","FILING_STATUS=OR","EQY_CONSOLIDATED=Y","Sort=A","Dates=H","DateFormat=P","Fill=—","Direction=H","UseDPDF=Y")</f>
        <v>#NAME?</v>
      </c>
      <c r="AC549" s="2" t="e">
        <f ca="1">_xll.BDH($C$528,"ASSET_GROWTH","FQ1 2018","FQ1 2018","Currency=INR","Period=FQ","BEST_FPERIOD_OVERRIDE=FQ","FILING_STATUS=OR","EQY_CONSOLIDATED=Y","Sort=A","Dates=H","DateFormat=P","Fill=—","Direction=H","UseDPDF=Y")</f>
        <v>#NAME?</v>
      </c>
      <c r="AD549" s="2" t="e">
        <f ca="1">_xll.BDH($C$528,"MODIFIED_WORK_CAP_GROWTH","FQ1 2018","FQ1 2018","Currency=INR","Period=FQ","BEST_FPERIOD_OVERRIDE=FQ","FILING_STATUS=OR","EQY_CONSOLIDATED=Y","Sort=A","Dates=H","DateFormat=P","Fill=—","Direction=H","UseDPDF=Y")</f>
        <v>#NAME?</v>
      </c>
      <c r="AE549" s="2" t="e">
        <f ca="1">_xll.BDH($C$528,"WORK_CAP_GROWTH","FQ1 2018","FQ1 2018","Currency=INR","Period=FQ","BEST_FPERIOD_OVERRIDE=FQ","FILING_STATUS=OR","EQY_CONSOLIDATED=Y","Sort=A","Dates=H","DateFormat=P","Fill=—","Direction=H","UseDPDF=Y")</f>
        <v>#NAME?</v>
      </c>
      <c r="AF549" s="2" t="e">
        <f ca="1">_xll.BDH($C$528,"ACCOUNTS_PAYABLE_GROWTH_1YR","FQ1 2018","FQ1 2018","Currency=INR","Period=FQ","BEST_FPERIOD_OVERRIDE=FQ","FILING_STATUS=OR","EQY_CONSOLIDATED=Y","Sort=A","Dates=H","DateFormat=P","Fill=—","Direction=H","UseDPDF=Y")</f>
        <v>#NAME?</v>
      </c>
      <c r="AG549" s="2" t="e">
        <f ca="1">_xll.BDH($C$528,"SHORT_TERM_DEBT_1_YEAR_GROWTH","FQ1 2018","FQ1 2018","Currency=INR","Period=FQ","BEST_FPERIOD_OVERRIDE=FQ","FILING_STATUS=OR","EQY_CONSOLIDATED=Y","Sort=A","Dates=H","DateFormat=P","Fill=—","Direction=H","UseDPDF=Y")</f>
        <v>#NAME?</v>
      </c>
      <c r="AH549" s="2" t="e">
        <f ca="1">_xll.BDH($C$528,"TOTAL_DEBT_1_YEAR_GROWTH","FQ1 2018","FQ1 2018","Currency=INR","Period=FQ","BEST_FPERIOD_OVERRIDE=FQ","FILING_STATUS=OR","EQY_CONSOLIDATED=Y","Sort=A","Dates=H","DateFormat=P","Fill=—","Direction=H","UseDPDF=Y")</f>
        <v>#NAME?</v>
      </c>
      <c r="AI549" s="2" t="e">
        <f ca="1">_xll.BDH($C$528,"TOTAL_EQUITY_1_YEAR_GROWTH","FQ1 2018","FQ1 2018","Currency=INR","Period=FQ","BEST_FPERIOD_OVERRIDE=FQ","FILING_STATUS=OR","EQY_CONSOLIDATED=Y","Sort=A","Dates=H","DateFormat=P","Fill=—","Direction=H","UseDPDF=Y")</f>
        <v>#NAME?</v>
      </c>
      <c r="AJ549" s="2" t="e">
        <f ca="1">_xll.BDH($C$528,"GROWTH_IN_CAP","FQ1 2018","FQ1 2018","Currency=INR","Period=FQ","BEST_FPERIOD_OVERRIDE=FQ","FILING_STATUS=OR","EQY_CONSOLIDATED=Y","Sort=A","Dates=H","DateFormat=P","Fill=—","Direction=H","UseDPDF=Y")</f>
        <v>#NAME?</v>
      </c>
      <c r="AK549" s="2" t="e">
        <f ca="1">_xll.BDH($C$528,"BVPS_GROWTH","FQ1 2018","FQ1 2018","Currency=INR","Period=FQ","BEST_FPERIOD_OVERRIDE=FQ","FILING_STATUS=OR","EQY_CONSOLIDATED=Y","Sort=A","Dates=H","DateFormat=P","Fill=—","Direction=H","UseDPDF=Y")</f>
        <v>#NAME?</v>
      </c>
      <c r="AL549" s="2" t="e">
        <f ca="1">_xll.BDH($C$528,"CASH_FLOW_GROWTH","FQ1 2018","FQ1 2018","Currency=INR","Period=FQ","BEST_FPERIOD_OVERRIDE=FQ","FILING_STATUS=OR","EQY_CONSOLIDATED=Y","Sort=A","Dates=H","DateFormat=P","Fill=—","Direction=H","UseDPDF=Y")</f>
        <v>#NAME?</v>
      </c>
      <c r="AM549" s="2" t="e">
        <f ca="1">_xll.BDH($C$528,"GEO_GROW_NET_SALES","FQ1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49" s="2" t="e">
        <f ca="1">_xll.BDH($C$528,"GEO_GROW_EBITDA","FQ1 2018","FQ1 2018","Currency=INR","Period=FQ","BEST_FPERIOD_OVERRIDE=FQ","FILING_STATUS=OR","EQY_CONSOLIDATED=Y","FA_ADJUSTED=GAAP","Sort=A","Dates=H","DateFormat=P","Fill=—","Direction=H","UseDPDF=Y")</f>
        <v>#NAME?</v>
      </c>
      <c r="AO549" s="2" t="e">
        <f ca="1">_xll.BDH($C$528,"GEO_GROW_OPER_INC","FQ1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49" s="2" t="e">
        <f ca="1">_xll.BDH($C$528,"NET_INCOME_TO_COMMON_5_YR_GROWTH","FQ1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49" s="2" t="e">
        <f ca="1">_xll.BDH($C$528,"5Y_GEO_GROWTH_DILUTED_EPS","FQ1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49" s="2" t="e">
        <f ca="1">_xll.BDH($C$528,"GEO_GROW_DVD_PER_SH","FQ1 2018","FQ1 2018","Currency=INR","Period=FQ","BEST_FPERIOD_OVERRIDE=FQ","FILING_STATUS=OR","EQY_CONSOLIDATED=Y","Sort=A","Dates=H","DateFormat=P","Fill=—","Direction=H","UseDPDF=Y")</f>
        <v>#NAME?</v>
      </c>
      <c r="AS549" s="2" t="e">
        <f ca="1">_xll.BDH($C$528,"ACCOUNTS_RECEIVABLE_5_YR_GROWTH","FQ1 2018","FQ1 2018","Currency=INR","Period=FQ","BEST_FPERIOD_OVERRIDE=FQ","FILING_STATUS=OR","EQY_CONSOLIDATED=Y","Sort=A","Dates=H","DateFormat=P","Fill=—","Direction=H","UseDPDF=Y")</f>
        <v>#NAME?</v>
      </c>
      <c r="AT549" s="2" t="e">
        <f ca="1">_xll.BDH($C$528,"INVENTORY_5_YEAR_GROWTH","FQ1 2018","FQ1 2018","Currency=INR","Period=FQ","BEST_FPERIOD_OVERRIDE=FQ","FILING_STATUS=OR","EQY_CONSOLIDATED=Y","Sort=A","Dates=H","DateFormat=P","Fill=—","Direction=H","UseDPDF=Y")</f>
        <v>#NAME?</v>
      </c>
      <c r="AU549" s="2" t="e">
        <f ca="1">_xll.BDH($C$528,"NET_FIXED_ASSETS_5_YEAR_GROWTH","FQ1 2018","FQ1 2018","Currency=INR","Period=FQ","BEST_FPERIOD_OVERRIDE=FQ","FILING_STATUS=OR","EQY_CONSOLIDATED=Y","Sort=A","Dates=H","DateFormat=P","Fill=—","Direction=H","UseDPDF=Y")</f>
        <v>#NAME?</v>
      </c>
      <c r="AV549" s="2" t="e">
        <f ca="1">_xll.BDH($C$528,"GEO_GROW_TOT_ASSET","FQ1 2018","FQ1 2018","Currency=INR","Period=FQ","BEST_FPERIOD_OVERRIDE=FQ","FILING_STATUS=OR","EQY_CONSOLIDATED=Y","Sort=A","Dates=H","DateFormat=P","Fill=—","Direction=H","UseDPDF=Y")</f>
        <v>#NAME?</v>
      </c>
      <c r="AW549" s="2" t="e">
        <f ca="1">_xll.BDH($C$528,"MODIFIED_WORKING_CPTL_5YR_GRWTH","FQ1 2018","FQ1 2018","Currency=INR","Period=FQ","BEST_FPERIOD_OVERRIDE=FQ","FILING_STATUS=OR","EQY_CONSOLIDATED=Y","Sort=A","Dates=H","DateFormat=P","Fill=—","Direction=H","UseDPDF=Y")</f>
        <v>#NAME?</v>
      </c>
      <c r="AX549" s="2" t="e">
        <f ca="1">_xll.BDH($C$528,"WORKING_CAPITAL_5_YEAR_GROWTH","FQ1 2018","FQ1 2018","Currency=INR","Period=FQ","BEST_FPERIOD_OVERRIDE=FQ","FILING_STATUS=OR","EQY_CONSOLIDATED=Y","Sort=A","Dates=H","DateFormat=P","Fill=—","Direction=H","UseDPDF=Y")</f>
        <v>#NAME?</v>
      </c>
      <c r="AY549" s="2" t="e">
        <f ca="1">_xll.BDH($C$528,"ACCOUNTS_PAYABLE_5_YEAR_GROWTH","FQ1 2018","FQ1 2018","Currency=INR","Period=FQ","BEST_FPERIOD_OVERRIDE=FQ","FILING_STATUS=OR","EQY_CONSOLIDATED=Y","Sort=A","Dates=H","DateFormat=P","Fill=—","Direction=H","UseDPDF=Y")</f>
        <v>#NAME?</v>
      </c>
      <c r="AZ549" s="2" t="e">
        <f ca="1">_xll.BDH($C$528,"SHORT_TERM_DEBT_5_YEAR_GROWTH","FQ1 2018","FQ1 2018","Currency=INR","Period=FQ","BEST_FPERIOD_OVERRIDE=FQ","FILING_STATUS=OR","EQY_CONSOLIDATED=Y","Sort=A","Dates=H","DateFormat=P","Fill=—","Direction=H","UseDPDF=Y")</f>
        <v>#NAME?</v>
      </c>
      <c r="BA549" s="2" t="e">
        <f ca="1">_xll.BDH($C$528,"TOTAL_DEBT_5_YEAR_GROWTH","FQ1 2018","FQ1 2018","Currency=INR","Period=FQ","BEST_FPERIOD_OVERRIDE=FQ","FILING_STATUS=OR","EQY_CONSOLIDATED=Y","Sort=A","Dates=H","DateFormat=P","Fill=—","Direction=H","UseDPDF=Y")</f>
        <v>#NAME?</v>
      </c>
      <c r="BB549" s="2" t="e">
        <f ca="1">_xll.BDH($C$528,"GEO_GROW_TOT_SHRHLDR_EQY","FQ1 2018","FQ1 2018","Currency=INR","Period=FQ","BEST_FPERIOD_OVERRIDE=FQ","FILING_STATUS=OR","EQY_CONSOLIDATED=Y","Sort=A","Dates=H","DateFormat=P","Fill=—","Direction=H","UseDPDF=Y")</f>
        <v>#NAME?</v>
      </c>
      <c r="BC549" s="2" t="e">
        <f ca="1">_xll.BDH($C$528,"TOTAL_CAPITAL_5_YEAR_GROWTH","FQ1 2018","FQ1 2018","Currency=INR","Period=FQ","BEST_FPERIOD_OVERRIDE=FQ","FILING_STATUS=OR","EQY_CONSOLIDATED=Y","Sort=A","Dates=H","DateFormat=P","Fill=—","Direction=H","UseDPDF=Y")</f>
        <v>#NAME?</v>
      </c>
      <c r="BD549" s="2" t="e">
        <f ca="1">_xll.BDH($C$528,"GEO_GROW_BOOK_VAL","FQ1 2018","FQ1 2018","Currency=INR","Period=FQ","BEST_FPERIOD_OVERRIDE=FQ","FILING_STATUS=OR","EQY_CONSOLIDATED=Y","Sort=A","Dates=H","DateFormat=P","Fill=—","Direction=H","UseDPDF=Y")</f>
        <v>#NAME?</v>
      </c>
      <c r="BE549" s="2" t="e">
        <f ca="1">_xll.BDH($C$528,"GEO_GROW_CASH_OPER_ACT","FQ1 2018","FQ1 2018","Currency=INR","Period=FQ","BEST_FPERIOD_OVERRIDE=FQ","FILING_STATUS=OR","EQY_CONSOLIDATED=Y","Sort=A","Dates=H","DateFormat=P","Fill=—","Direction=H","UseDPDF=Y")</f>
        <v>#NAME?</v>
      </c>
      <c r="BF549" s="2" t="e">
        <f ca="1">_xll.BDH($C$528,"REVENUE_SEQUENTIAL_GROWTH","FQ1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49" s="2" t="e">
        <f ca="1">_xll.BDH($C$528,"EBITDA_SEQUENTIAL_GROWTH","FQ1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49" s="2" t="e">
        <f ca="1">_xll.BDH($C$528,"OPERATING_INCOME_SEQ_GROWTH","FQ1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49" s="2" t="e">
        <f ca="1">_xll.BDH($C$528,"NET_INCOME_TO_COMMON_SEQ_GROWTH","FQ1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49" s="2" t="e">
        <f ca="1">_xll.BDH($C$528,"EPS_DILUTED_SEQUENTIAL_GROWTH","FQ1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49" s="2" t="e">
        <f ca="1">_xll.BDH($C$528,"DPS_SEQUENTIAL_GROWTH","FQ1 2018","FQ1 2018","Currency=INR","Period=FQ","BEST_FPERIOD_OVERRIDE=FQ","FILING_STATUS=OR","EQY_CONSOLIDATED=Y","Sort=A","Dates=H","DateFormat=P","Fill=—","Direction=H","UseDPDF=Y")</f>
        <v>#NAME?</v>
      </c>
      <c r="BL549" s="2" t="e">
        <f ca="1">_xll.BDH($C$528,"ACCOUNTS_RECEIVABLE_SEQ_GROWTH","FQ1 2018","FQ1 2018","Currency=INR","Period=FQ","BEST_FPERIOD_OVERRIDE=FQ","FILING_STATUS=OR","EQY_CONSOLIDATED=Y","Sort=A","Dates=H","DateFormat=P","Fill=—","Direction=H","UseDPDF=Y")</f>
        <v>#NAME?</v>
      </c>
      <c r="BM549" s="2" t="e">
        <f ca="1">_xll.BDH($C$528,"INVENTORY_SEQUENTIAL_GROWTH","FQ1 2018","FQ1 2018","Currency=INR","Period=FQ","BEST_FPERIOD_OVERRIDE=FQ","FILING_STATUS=OR","EQY_CONSOLIDATED=Y","Sort=A","Dates=H","DateFormat=P","Fill=—","Direction=H","UseDPDF=Y")</f>
        <v>#NAME?</v>
      </c>
      <c r="BN549" s="2" t="e">
        <f ca="1">_xll.BDH($C$528,"FIXED_ASSETS_SEQUENTIAL_GROWTH","FQ1 2018","FQ1 2018","Currency=INR","Period=FQ","BEST_FPERIOD_OVERRIDE=FQ","FILING_STATUS=OR","EQY_CONSOLIDATED=Y","Sort=A","Dates=H","DateFormat=P","Fill=—","Direction=H","UseDPDF=Y")</f>
        <v>#NAME?</v>
      </c>
      <c r="BO549" s="2" t="e">
        <f ca="1">_xll.BDH($C$528,"TOTAL_ASSETS_SEQUENTIAL_GROWTH","FQ1 2018","FQ1 2018","Currency=INR","Period=FQ","BEST_FPERIOD_OVERRIDE=FQ","FILING_STATUS=OR","EQY_CONSOLIDATED=Y","Sort=A","Dates=H","DateFormat=P","Fill=—","Direction=H","UseDPDF=Y")</f>
        <v>#NAME?</v>
      </c>
      <c r="BP549" s="2" t="e">
        <f ca="1">_xll.BDH($C$528,"MODIFIED_WORKING_CPTL_SEQ_GRWTH","FQ1 2018","FQ1 2018","Currency=INR","Period=FQ","BEST_FPERIOD_OVERRIDE=FQ","FILING_STATUS=OR","EQY_CONSOLIDATED=Y","Sort=A","Dates=H","DateFormat=P","Fill=—","Direction=H","UseDPDF=Y")</f>
        <v>#NAME?</v>
      </c>
      <c r="BQ549" s="2" t="e">
        <f ca="1">_xll.BDH($C$528,"WORKING_CAPITAL_SEQ_GROWTH","FQ1 2018","FQ1 2018","Currency=INR","Period=FQ","BEST_FPERIOD_OVERRIDE=FQ","FILING_STATUS=OR","EQY_CONSOLIDATED=Y","Sort=A","Dates=H","DateFormat=P","Fill=—","Direction=H","UseDPDF=Y")</f>
        <v>#NAME?</v>
      </c>
      <c r="BR549" s="2" t="e">
        <f ca="1">_xll.BDH($C$528,"ACCOUNTS_PAYABLE_SEQ_GROWTH","FQ1 2018","FQ1 2018","Currency=INR","Period=FQ","BEST_FPERIOD_OVERRIDE=FQ","FILING_STATUS=OR","EQY_CONSOLIDATED=Y","Sort=A","Dates=H","DateFormat=P","Fill=—","Direction=H","UseDPDF=Y")</f>
        <v>#NAME?</v>
      </c>
      <c r="BS549" s="2" t="e">
        <f ca="1">_xll.BDH($C$528,"ST_DEBT_SEQUENTIAL_GROWTH","FQ1 2018","FQ1 2018","Currency=INR","Period=FQ","BEST_FPERIOD_OVERRIDE=FQ","FILING_STATUS=OR","EQY_CONSOLIDATED=Y","Sort=A","Dates=H","DateFormat=P","Fill=—","Direction=H","UseDPDF=Y")</f>
        <v>#NAME?</v>
      </c>
      <c r="BT549" s="2" t="e">
        <f ca="1">_xll.BDH($C$528,"TOTAL_DEBT_SEQUENTIAL_GROWTH","FQ1 2018","FQ1 2018","Currency=INR","Period=FQ","BEST_FPERIOD_OVERRIDE=FQ","FILING_STATUS=OR","EQY_CONSOLIDATED=Y","Sort=A","Dates=H","DateFormat=P","Fill=—","Direction=H","UseDPDF=Y")</f>
        <v>#NAME?</v>
      </c>
      <c r="BU549" s="2" t="e">
        <f ca="1">_xll.BDH($C$528,"TOTAL_EQUITY_SEQUENTIAL_GROWTH","FQ1 2018","FQ1 2018","Currency=INR","Period=FQ","BEST_FPERIOD_OVERRIDE=FQ","FILING_STATUS=OR","EQY_CONSOLIDATED=Y","Sort=A","Dates=H","DateFormat=P","Fill=—","Direction=H","UseDPDF=Y")</f>
        <v>#NAME?</v>
      </c>
      <c r="BV549" s="2" t="e">
        <f ca="1">_xll.BDH($C$528,"TOTAL_CAPITAL_SEQUENTIAL_GROWTH","FQ1 2018","FQ1 2018","Currency=INR","Period=FQ","BEST_FPERIOD_OVERRIDE=FQ","FILING_STATUS=OR","EQY_CONSOLIDATED=Y","Sort=A","Dates=H","DateFormat=P","Fill=—","Direction=H","UseDPDF=Y")</f>
        <v>#NAME?</v>
      </c>
      <c r="BW549" s="2" t="e">
        <f ca="1">_xll.BDH($C$528,"BPS_SEQUENTIAL_GROWTH","FQ1 2018","FQ1 2018","Currency=INR","Period=FQ","BEST_FPERIOD_OVERRIDE=FQ","FILING_STATUS=OR","EQY_CONSOLIDATED=Y","Sort=A","Dates=H","DateFormat=P","Fill=—","Direction=H","UseDPDF=Y")</f>
        <v>#NAME?</v>
      </c>
      <c r="BX549" s="2" t="e">
        <f ca="1">_xll.BDH($C$528,"CFO_SEQUENTIAL_GROWTH","FQ1 2018","FQ1 2018","Currency=INR","Period=FQ","BEST_FPERIOD_OVERRIDE=FQ","FILING_STATUS=OR","EQY_CONSOLIDATED=Y","Sort=A","Dates=H","DateFormat=P","Fill=—","Direction=H","UseDPDF=Y")</f>
        <v>#NAME?</v>
      </c>
      <c r="BY549" s="3" t="e">
        <f ca="1">_xll.BDH($C$528,"SHORT_AND_LONG_TERM_DEBT","FQ1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49" s="3" t="e">
        <f ca="1">_xll.BDH($C$528,"BS_ST_BORROW","FQ1 2018","FQ1 2018","Currency=INR","Period=FQ","BEST_FPERIOD_OVERRIDE=FQ","FILING_STATUS=OR","EQY_CONSOLIDATED=Y","SCALING_FORMAT=MLN","Sort=A","Dates=H","DateFormat=P","Fill=—","Direction=H","UseDPDF=Y")</f>
        <v>#NAME?</v>
      </c>
      <c r="CA549" s="3" t="e">
        <f ca="1">_xll.BDH($C$528,"BS_LT_BORROW","FQ1 2018","FQ1 2018","Currency=INR","Period=FQ","BEST_FPERIOD_OVERRIDE=FQ","FILING_STATUS=OR","EQY_CONSOLIDATED=Y","SCALING_FORMAT=MLN","Sort=A","Dates=H","DateFormat=P","Fill=—","Direction=H","UseDPDF=Y")</f>
        <v>#NAME?</v>
      </c>
      <c r="CB549" s="2" t="e">
        <f ca="1">_xll.BDH($C$528,"TOT_DEBT_TO_EBITDA","FQ1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49" s="2" t="e">
        <f ca="1">_xll.BDH($C$528,"NET_DEBT_TO_EBITDA","FQ1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49" s="2" t="e">
        <f ca="1">_xll.BDH($C$528,"TOTAL_DEBT_TO_EBIT","FQ1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49" s="2" t="e">
        <f ca="1">_xll.BDH($C$528,"NET_DEBT_TO_EBIT","FQ1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49" s="2" t="e">
        <f ca="1">_xll.BDH($C$528,"EBITDA_TO_INTEREST_EXPN","FQ1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49" s="2" t="e">
        <f ca="1">_xll.BDH($C$528,"COM_EQY_TO_TOT_ASSET","FQ1 2018","FQ1 2018","Currency=INR","Period=FQ","BEST_FPERIOD_OVERRIDE=FQ","FILING_STATUS=OR","EQY_CONSOLIDATED=Y","Sort=A","Dates=H","DateFormat=P","Fill=—","Direction=H","UseDPDF=Y")</f>
        <v>#NAME?</v>
      </c>
      <c r="CH549" s="2" t="e">
        <f ca="1">_xll.BDH($C$528,"LT_DEBT_TO_TOT_EQY","FQ1 2018","FQ1 2018","Currency=INR","Period=FQ","BEST_FPERIOD_OVERRIDE=FQ","FILING_STATUS=OR","EQY_CONSOLIDATED=Y","Sort=A","Dates=H","DateFormat=P","Fill=—","Direction=H","UseDPDF=Y")</f>
        <v>#NAME?</v>
      </c>
      <c r="CI549" s="2" t="e">
        <f ca="1">_xll.BDH($C$528,"LT_DEBT_TO_TOT_CAP","FQ1 2018","FQ1 2018","Currency=INR","Period=FQ","BEST_FPERIOD_OVERRIDE=FQ","FILING_STATUS=OR","EQY_CONSOLIDATED=Y","Sort=A","Dates=H","DateFormat=P","Fill=—","Direction=H","UseDPDF=Y")</f>
        <v>#NAME?</v>
      </c>
      <c r="CJ549" s="2" t="e">
        <f ca="1">_xll.BDH($C$528,"LT_DEBT_TO_TOT_ASSET","FQ1 2018","FQ1 2018","Currency=INR","Period=FQ","BEST_FPERIOD_OVERRIDE=FQ","FILING_STATUS=OR","EQY_CONSOLIDATED=Y","Sort=A","Dates=H","DateFormat=P","Fill=—","Direction=H","UseDPDF=Y")</f>
        <v>#NAME?</v>
      </c>
      <c r="CK549" s="2" t="e">
        <f ca="1">_xll.BDH($C$528,"TOT_DEBT_TO_TOT_EQY","FQ1 2018","FQ1 2018","Currency=INR","Period=FQ","BEST_FPERIOD_OVERRIDE=FQ","FILING_STATUS=OR","EQY_CONSOLIDATED=Y","Sort=A","Dates=H","DateFormat=P","Fill=—","Direction=H","UseDPDF=Y")</f>
        <v>#NAME?</v>
      </c>
      <c r="CL549" s="2" t="e">
        <f ca="1">_xll.BDH($C$528,"TOT_DEBT_TO_TOT_CAP","FQ1 2018","FQ1 2018","Currency=INR","Period=FQ","BEST_FPERIOD_OVERRIDE=FQ","FILING_STATUS=OR","EQY_CONSOLIDATED=Y","Sort=A","Dates=H","DateFormat=P","Fill=—","Direction=H","UseDPDF=Y")</f>
        <v>#NAME?</v>
      </c>
      <c r="CM549" s="2" t="e">
        <f ca="1">_xll.BDH($C$528,"TOT_DEBT_TO_TOT_ASSET","FQ1 2018","FQ1 2018","Currency=INR","Period=FQ","BEST_FPERIOD_OVERRIDE=FQ","FILING_STATUS=OR","EQY_CONSOLIDATED=Y","Sort=A","Dates=H","DateFormat=P","Fill=—","Direction=H","UseDPDF=Y")</f>
        <v>#NAME?</v>
      </c>
      <c r="CN549" s="2" t="e">
        <f ca="1">_xll.BDH($C$528,"NET_DEBT_TO_SHRHLDR_EQTY","FQ1 2018","FQ1 2018","Currency=INR","Period=FQ","BEST_FPERIOD_OVERRIDE=FQ","FILING_STATUS=OR","EQY_CONSOLIDATED=Y","Sort=A","Dates=H","DateFormat=P","Fill=—","Direction=H","UseDPDF=Y")</f>
        <v>#NAME?</v>
      </c>
      <c r="CO549" s="2" t="e">
        <f ca="1">_xll.BDH($C$528,"NET_DEBT_%_CAPITAL","FQ1 2018","FQ1 2018","Currency=INR","Period=FQ","BEST_FPERIOD_OVERRIDE=FQ","FILING_STATUS=OR","EQY_CONSOLIDATED=Y","Sort=A","Dates=H","DateFormat=P","Fill=—","Direction=H","UseDPDF=Y")</f>
        <v>#NAME?</v>
      </c>
      <c r="CP549" s="3" t="e">
        <f ca="1">_xll.BDH($C$528,"EBITDA","FQ1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49" s="3" t="e">
        <f ca="1">_xll.BDH($C$528,"EBITDA_AFTER_CAPEX","FQ1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49" s="3" t="e">
        <f ca="1">_xll.BDH($C$528,"IS_OPER_INC","FQ1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49" s="2" t="e">
        <f ca="1">_xll.BDH($C$528,"CASH_RATIO","FQ1 2018","FQ1 2018","Currency=INR","Period=FQ","BEST_FPERIOD_OVERRIDE=FQ","FILING_STATUS=OR","EQY_CONSOLIDATED=Y","Sort=A","Dates=H","DateFormat=P","Fill=—","Direction=H","UseDPDF=Y")</f>
        <v>#NAME?</v>
      </c>
      <c r="CT549" s="2" t="e">
        <f ca="1">_xll.BDH($C$528,"CUR_RATIO","FQ1 2018","FQ1 2018","Currency=INR","Period=FQ","BEST_FPERIOD_OVERRIDE=FQ","FILING_STATUS=OR","EQY_CONSOLIDATED=Y","Sort=A","Dates=H","DateFormat=P","Fill=—","Direction=H","UseDPDF=Y")</f>
        <v>#NAME?</v>
      </c>
      <c r="CU549" s="2" t="e">
        <f ca="1">_xll.BDH($C$528,"QUICK_RATIO","FQ1 2018","FQ1 2018","Currency=INR","Period=FQ","BEST_FPERIOD_OVERRIDE=FQ","FILING_STATUS=OR","EQY_CONSOLIDATED=Y","Sort=A","Dates=H","DateFormat=P","Fill=—","Direction=H","UseDPDF=Y")</f>
        <v>#NAME?</v>
      </c>
      <c r="CV549" s="2" t="e">
        <f ca="1">_xll.BDH($C$528,"ALTMAN_Z_SCORE","FQ1 2018","FQ1 2018","Currency=INR","Period=FQ","BEST_FPERIOD_OVERRIDE=FQ","FILING_STATUS=OR","EQY_CONSOLIDATED=Y","Sort=A","Dates=H","DateFormat=P","Fill=—","Direction=H","UseDPDF=Y")</f>
        <v>#NAME?</v>
      </c>
      <c r="CW549" s="4" t="e">
        <f ca="1">_xll.BDH($C$528,"ACCT_RCV_TURN","FQ1 2018","FQ1 2018","Currency=INR","Period=FQ","BEST_FPERIOD_OVERRIDE=FQ","FILING_STATUS=OR","EQY_CONSOLIDATED=Y","FA_ADJUSTED=GAAP","Sort=A","Dates=H","DateFormat=P","Fill=—","Direction=H","UseDPDF=Y")</f>
        <v>#NAME?</v>
      </c>
      <c r="CX549" s="2" t="e">
        <f ca="1">_xll.BDH($C$528,"ACCT_RCV_DAYS","FQ1 2018","FQ1 2018","Currency=INR","Period=FQ","BEST_FPERIOD_OVERRIDE=FQ","FILING_STATUS=OR","EQY_CONSOLIDATED=Y","FA_ADJUSTED=GAAP","Sort=A","Dates=H","DateFormat=P","Fill=—","Direction=H","UseDPDF=Y")</f>
        <v>#NAME?</v>
      </c>
      <c r="CY549" s="4" t="e">
        <f ca="1">_xll.BDH($C$528,"INVENT_TURN","FQ1 2018","FQ1 2018","Currency=INR","Period=FQ","BEST_FPERIOD_OVERRIDE=FQ","FILING_STATUS=OR","EQY_CONSOLIDATED=Y","FA_ADJUSTED=GAAP","Sort=A","Dates=H","DateFormat=P","Fill=—","Direction=H","UseDPDF=Y")</f>
        <v>#NAME?</v>
      </c>
      <c r="CZ549" s="2" t="e">
        <f ca="1">_xll.BDH($C$528,"INVENT_DAYS","FQ1 2018","FQ1 2018","Currency=INR","Period=FQ","BEST_FPERIOD_OVERRIDE=FQ","FILING_STATUS=OR","EQY_CONSOLIDATED=Y","FA_ADJUSTED=GAAP","Sort=A","Dates=H","DateFormat=P","Fill=—","Direction=H","UseDPDF=Y")</f>
        <v>#NAME?</v>
      </c>
      <c r="DA549" s="4" t="e">
        <f ca="1">_xll.BDH($C$528,"ACCOUNTS_PAYABLE_TURNOVER","FQ1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49" s="2" t="e">
        <f ca="1">_xll.BDH($C$528,"ACCOUNTS_PAYABLE_TURNOVER_DAYS","FQ1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49" s="4" t="e">
        <f ca="1">_xll.BDH($C$528,"CASH_CONVERSION_CYCLE","FQ1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49" s="4" t="e">
        <f ca="1">_xll.BDH($C$528,"INV_TO_CASH_DAYS","FQ1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49" s="5" t="e">
        <f ca="1">_xll.BDH($C$528,"BS_INVENTORIES","FQ1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49" s="3" t="e">
        <f ca="1">_xll.BDH($C$528,"INVTRY_RAW_MATERIALS","FQ1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49" s="3" t="e">
        <f ca="1">_xll.BDH($C$528,"INVTRY_IN_PROGRESS","FQ1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49" s="3" t="e">
        <f ca="1">_xll.BDH($C$528,"INVTRY_FINISHED_GOODS","FQ1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49" s="3" t="e">
        <f ca="1">_xll.BDH($C$528,"BS_OTHER_INV","FQ1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50" spans="1:113" x14ac:dyDescent="0.3">
      <c r="A550" s="6"/>
      <c r="B550" s="6"/>
      <c r="C550" s="6"/>
      <c r="D550" s="6"/>
      <c r="E550" t="s">
        <v>79</v>
      </c>
      <c r="F550" t="e">
        <f ca="1">_xll.BDH($C$528,"RETURN_COM_EQY","FQ2 2018","FQ2 2018","Currency=INR","Period=FQ","BEST_FPERIOD_OVERRIDE=FQ","FILING_STATUS=OR","EQY_CONSOLIDATED=Y","FA_ADJUSTED=GAAP","Sort=A","Dates=H","DateFormat=P","Fill=—","Direction=H","UseDPDF=Y")</f>
        <v>#NAME?</v>
      </c>
      <c r="G550" t="e">
        <f ca="1">_xll.BDH($C$528,"RETURN_ON_ASSET","FQ2 2018","FQ2 2018","Currency=INR","Period=FQ","BEST_FPERIOD_OVERRIDE=FQ","FILING_STATUS=OR","EQY_CONSOLIDATED=Y","FA_ADJUSTED=GAAP","Sort=A","Dates=H","DateFormat=P","Fill=—","Direction=H","UseDPDF=Y")</f>
        <v>#NAME?</v>
      </c>
      <c r="H550" t="e">
        <f ca="1">_xll.BDH($C$528,"RETURN_ON_CAP","FQ2 2018","FQ2 2018","Currency=INR","Period=FQ","BEST_FPERIOD_OVERRIDE=FQ","FILING_STATUS=OR","EQY_CONSOLIDATED=Y","FA_ADJUSTED=GAAP","Sort=A","Dates=H","DateFormat=P","Fill=—","Direction=H","UseDPDF=Y")</f>
        <v>#NAME?</v>
      </c>
      <c r="I550" t="e">
        <f ca="1">_xll.BDH($C$528,"RETURN_ON_INV_CAPITAL","FQ2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50" t="e">
        <f ca="1">_xll.BDH($C$528,"EBITDA_TO_REVENUE","FQ2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550" t="e">
        <f ca="1">_xll.BDH($C$528,"OPER_MARGIN","FQ2 2018","FQ2 2018","Currency=INR","Period=FQ","BEST_FPERIOD_OVERRIDE=FQ","FILING_STATUS=OR","EQY_CONSOLIDATED=Y","FA_ADJUSTED=GAAP","Sort=A","Dates=H","DateFormat=P","Fill=—","Direction=H","UseDPDF=Y")</f>
        <v>#NAME?</v>
      </c>
      <c r="L550" t="e">
        <f ca="1">_xll.BDH($C$528,"INCREMENTAL_OPERATING_MARGIN","FQ2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50" t="e">
        <f ca="1">_xll.BDH($C$528,"PRETAX_INC_TO_NET_SALES","FQ2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50" t="e">
        <f ca="1">_xll.BDH($C$528,"INC_BEF_XO_ITEMS_TO_NET_SALES","FQ2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50" t="e">
        <f ca="1">_xll.BDH($C$528,"PROF_MARGIN","FQ2 2018","FQ2 2018","Currency=INR","Period=FQ","BEST_FPERIOD_OVERRIDE=FQ","FILING_STATUS=OR","EQY_CONSOLIDATED=Y","FA_ADJUSTED=GAAP","Sort=A","Dates=H","DateFormat=P","Fill=—","Direction=H","UseDPDF=Y")</f>
        <v>#NAME?</v>
      </c>
      <c r="P550" t="e">
        <f ca="1">_xll.BDH($C$528,"NET_INCOME_TO_COMMON_MARGIN","FQ2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50" t="e">
        <f ca="1">_xll.BDH($C$528,"EFF_TAX_RATE","FQ2 2018","FQ2 2018","Currency=INR","Period=FQ","BEST_FPERIOD_OVERRIDE=FQ","FILING_STATUS=OR","EQY_CONSOLIDATED=Y","FA_ADJUSTED=GAAP","Sort=A","Dates=H","DateFormat=P","Fill=—","Direction=H","UseDPDF=Y")</f>
        <v>#NAME?</v>
      </c>
      <c r="R550" t="e">
        <f ca="1">_xll.BDH($C$528,"DVD_PAYOUT_RATIO","FQ2 2018","FQ2 2018","Currency=INR","Period=FQ","BEST_FPERIOD_OVERRIDE=FQ","FILING_STATUS=OR","EQY_CONSOLIDATED=Y","FA_ADJUSTED=GAAP","Sort=A","Dates=H","DateFormat=P","Fill=—","Direction=H","UseDPDF=Y")</f>
        <v>#NAME?</v>
      </c>
      <c r="S550" t="e">
        <f ca="1">_xll.BDH($C$528,"SUSTAIN_GROWTH_RT","FQ2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550" s="2" t="e">
        <f ca="1">_xll.BDH($C$528,"SALES_GROWTH","FQ2 2018","FQ2 2018","Currency=INR","Period=FQ","BEST_FPERIOD_OVERRIDE=FQ","FILING_STATUS=OR","EQY_CONSOLIDATED=Y","FA_ADJUSTED=GAAP","Sort=A","Dates=H","DateFormat=P","Fill=—","Direction=H","UseDPDF=Y")</f>
        <v>#NAME?</v>
      </c>
      <c r="U550" s="2" t="e">
        <f ca="1">_xll.BDH($C$528,"EBITDA_GROWTH","FQ2 2018","FQ2 2018","Currency=INR","Period=FQ","BEST_FPERIOD_OVERRIDE=FQ","FILING_STATUS=OR","EQY_CONSOLIDATED=Y","FA_ADJUSTED=GAAP","Sort=A","Dates=H","DateFormat=P","Fill=—","Direction=H","UseDPDF=Y")</f>
        <v>#NAME?</v>
      </c>
      <c r="V550" s="2" t="e">
        <f ca="1">_xll.BDH($C$528,"OPER_INC_GROWTH","FQ2 2018","FQ2 2018","Currency=INR","Period=FQ","BEST_FPERIOD_OVERRIDE=FQ","FILING_STATUS=OR","EQY_CONSOLIDATED=Y","FA_ADJUSTED=GAAP","Sort=A","Dates=H","DateFormat=P","Fill=—","Direction=H","UseDPDF=Y")</f>
        <v>#NAME?</v>
      </c>
      <c r="W550" s="2" t="e">
        <f ca="1">_xll.BDH($C$528,"EARN_FOR_COM_GROWTH","FQ2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50" s="2" t="e">
        <f ca="1">_xll.BDH($C$528,"DILUTED_EPS_AFT_XO_ITEMS_GROWTH","FQ2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50" s="2" t="e">
        <f ca="1">_xll.BDH($C$528,"DIVIDEND_PER_SHARE_1_YEAR_GROWTH","FQ2 2018","FQ2 2018","Currency=INR","Period=FQ","BEST_FPERIOD_OVERRIDE=FQ","FILING_STATUS=OR","EQY_CONSOLIDATED=Y","Sort=A","Dates=H","DateFormat=P","Fill=—","Direction=H","UseDPDF=Y")</f>
        <v>#NAME?</v>
      </c>
      <c r="Z550" s="2" t="e">
        <f ca="1">_xll.BDH($C$528,"ACCOUNTS_RECEIVABLE_GROWTH","FQ2 2018","FQ2 2018","Currency=INR","Period=FQ","BEST_FPERIOD_OVERRIDE=FQ","FILING_STATUS=OR","EQY_CONSOLIDATED=Y","Sort=A","Dates=H","DateFormat=P","Fill=—","Direction=H","UseDPDF=Y")</f>
        <v>#NAME?</v>
      </c>
      <c r="AA550" s="2" t="e">
        <f ca="1">_xll.BDH($C$528,"INVENTORY_GROWTH","FQ2 2018","FQ2 2018","Currency=INR","Period=FQ","BEST_FPERIOD_OVERRIDE=FQ","FILING_STATUS=OR","EQY_CONSOLIDATED=Y","Sort=A","Dates=H","DateFormat=P","Fill=—","Direction=H","UseDPDF=Y")</f>
        <v>#NAME?</v>
      </c>
      <c r="AB550" s="2" t="e">
        <f ca="1">_xll.BDH($C$528,"NET_FIXED_ASSETS_1_YEAR_GROWTH","FQ2 2018","FQ2 2018","Currency=INR","Period=FQ","BEST_FPERIOD_OVERRIDE=FQ","FILING_STATUS=OR","EQY_CONSOLIDATED=Y","Sort=A","Dates=H","DateFormat=P","Fill=—","Direction=H","UseDPDF=Y")</f>
        <v>#NAME?</v>
      </c>
      <c r="AC550" s="2" t="e">
        <f ca="1">_xll.BDH($C$528,"ASSET_GROWTH","FQ2 2018","FQ2 2018","Currency=INR","Period=FQ","BEST_FPERIOD_OVERRIDE=FQ","FILING_STATUS=OR","EQY_CONSOLIDATED=Y","Sort=A","Dates=H","DateFormat=P","Fill=—","Direction=H","UseDPDF=Y")</f>
        <v>#NAME?</v>
      </c>
      <c r="AD550" s="2" t="e">
        <f ca="1">_xll.BDH($C$528,"MODIFIED_WORK_CAP_GROWTH","FQ2 2018","FQ2 2018","Currency=INR","Period=FQ","BEST_FPERIOD_OVERRIDE=FQ","FILING_STATUS=OR","EQY_CONSOLIDATED=Y","Sort=A","Dates=H","DateFormat=P","Fill=—","Direction=H","UseDPDF=Y")</f>
        <v>#NAME?</v>
      </c>
      <c r="AE550" s="2" t="e">
        <f ca="1">_xll.BDH($C$528,"WORK_CAP_GROWTH","FQ2 2018","FQ2 2018","Currency=INR","Period=FQ","BEST_FPERIOD_OVERRIDE=FQ","FILING_STATUS=OR","EQY_CONSOLIDATED=Y","Sort=A","Dates=H","DateFormat=P","Fill=—","Direction=H","UseDPDF=Y")</f>
        <v>#NAME?</v>
      </c>
      <c r="AF550" s="2" t="e">
        <f ca="1">_xll.BDH($C$528,"ACCOUNTS_PAYABLE_GROWTH_1YR","FQ2 2018","FQ2 2018","Currency=INR","Period=FQ","BEST_FPERIOD_OVERRIDE=FQ","FILING_STATUS=OR","EQY_CONSOLIDATED=Y","Sort=A","Dates=H","DateFormat=P","Fill=—","Direction=H","UseDPDF=Y")</f>
        <v>#NAME?</v>
      </c>
      <c r="AG550" s="2" t="e">
        <f ca="1">_xll.BDH($C$528,"SHORT_TERM_DEBT_1_YEAR_GROWTH","FQ2 2018","FQ2 2018","Currency=INR","Period=FQ","BEST_FPERIOD_OVERRIDE=FQ","FILING_STATUS=OR","EQY_CONSOLIDATED=Y","Sort=A","Dates=H","DateFormat=P","Fill=—","Direction=H","UseDPDF=Y")</f>
        <v>#NAME?</v>
      </c>
      <c r="AH550" s="2" t="e">
        <f ca="1">_xll.BDH($C$528,"TOTAL_DEBT_1_YEAR_GROWTH","FQ2 2018","FQ2 2018","Currency=INR","Period=FQ","BEST_FPERIOD_OVERRIDE=FQ","FILING_STATUS=OR","EQY_CONSOLIDATED=Y","Sort=A","Dates=H","DateFormat=P","Fill=—","Direction=H","UseDPDF=Y")</f>
        <v>#NAME?</v>
      </c>
      <c r="AI550" s="2" t="e">
        <f ca="1">_xll.BDH($C$528,"TOTAL_EQUITY_1_YEAR_GROWTH","FQ2 2018","FQ2 2018","Currency=INR","Period=FQ","BEST_FPERIOD_OVERRIDE=FQ","FILING_STATUS=OR","EQY_CONSOLIDATED=Y","Sort=A","Dates=H","DateFormat=P","Fill=—","Direction=H","UseDPDF=Y")</f>
        <v>#NAME?</v>
      </c>
      <c r="AJ550" s="2" t="e">
        <f ca="1">_xll.BDH($C$528,"GROWTH_IN_CAP","FQ2 2018","FQ2 2018","Currency=INR","Period=FQ","BEST_FPERIOD_OVERRIDE=FQ","FILING_STATUS=OR","EQY_CONSOLIDATED=Y","Sort=A","Dates=H","DateFormat=P","Fill=—","Direction=H","UseDPDF=Y")</f>
        <v>#NAME?</v>
      </c>
      <c r="AK550" s="2" t="e">
        <f ca="1">_xll.BDH($C$528,"BVPS_GROWTH","FQ2 2018","FQ2 2018","Currency=INR","Period=FQ","BEST_FPERIOD_OVERRIDE=FQ","FILING_STATUS=OR","EQY_CONSOLIDATED=Y","Sort=A","Dates=H","DateFormat=P","Fill=—","Direction=H","UseDPDF=Y")</f>
        <v>#NAME?</v>
      </c>
      <c r="AL550" s="2" t="e">
        <f ca="1">_xll.BDH($C$528,"CASH_FLOW_GROWTH","FQ2 2018","FQ2 2018","Currency=INR","Period=FQ","BEST_FPERIOD_OVERRIDE=FQ","FILING_STATUS=OR","EQY_CONSOLIDATED=Y","Sort=A","Dates=H","DateFormat=P","Fill=—","Direction=H","UseDPDF=Y")</f>
        <v>#NAME?</v>
      </c>
      <c r="AM550" s="2" t="e">
        <f ca="1">_xll.BDH($C$528,"GEO_GROW_NET_SALES","FQ2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50" s="2" t="e">
        <f ca="1">_xll.BDH($C$528,"GEO_GROW_EBITDA","FQ2 2018","FQ2 2018","Currency=INR","Period=FQ","BEST_FPERIOD_OVERRIDE=FQ","FILING_STATUS=OR","EQY_CONSOLIDATED=Y","FA_ADJUSTED=GAAP","Sort=A","Dates=H","DateFormat=P","Fill=—","Direction=H","UseDPDF=Y")</f>
        <v>#NAME?</v>
      </c>
      <c r="AO550" s="2" t="e">
        <f ca="1">_xll.BDH($C$528,"GEO_GROW_OPER_INC","FQ2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50" s="2" t="e">
        <f ca="1">_xll.BDH($C$528,"NET_INCOME_TO_COMMON_5_YR_GROWTH","FQ2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50" s="2" t="e">
        <f ca="1">_xll.BDH($C$528,"5Y_GEO_GROWTH_DILUTED_EPS","FQ2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50" s="2" t="e">
        <f ca="1">_xll.BDH($C$528,"GEO_GROW_DVD_PER_SH","FQ2 2018","FQ2 2018","Currency=INR","Period=FQ","BEST_FPERIOD_OVERRIDE=FQ","FILING_STATUS=OR","EQY_CONSOLIDATED=Y","Sort=A","Dates=H","DateFormat=P","Fill=—","Direction=H","UseDPDF=Y")</f>
        <v>#NAME?</v>
      </c>
      <c r="AS550" s="2" t="e">
        <f ca="1">_xll.BDH($C$528,"ACCOUNTS_RECEIVABLE_5_YR_GROWTH","FQ2 2018","FQ2 2018","Currency=INR","Period=FQ","BEST_FPERIOD_OVERRIDE=FQ","FILING_STATUS=OR","EQY_CONSOLIDATED=Y","Sort=A","Dates=H","DateFormat=P","Fill=—","Direction=H","UseDPDF=Y")</f>
        <v>#NAME?</v>
      </c>
      <c r="AT550" s="2" t="e">
        <f ca="1">_xll.BDH($C$528,"INVENTORY_5_YEAR_GROWTH","FQ2 2018","FQ2 2018","Currency=INR","Period=FQ","BEST_FPERIOD_OVERRIDE=FQ","FILING_STATUS=OR","EQY_CONSOLIDATED=Y","Sort=A","Dates=H","DateFormat=P","Fill=—","Direction=H","UseDPDF=Y")</f>
        <v>#NAME?</v>
      </c>
      <c r="AU550" s="2" t="e">
        <f ca="1">_xll.BDH($C$528,"NET_FIXED_ASSETS_5_YEAR_GROWTH","FQ2 2018","FQ2 2018","Currency=INR","Period=FQ","BEST_FPERIOD_OVERRIDE=FQ","FILING_STATUS=OR","EQY_CONSOLIDATED=Y","Sort=A","Dates=H","DateFormat=P","Fill=—","Direction=H","UseDPDF=Y")</f>
        <v>#NAME?</v>
      </c>
      <c r="AV550" s="2" t="e">
        <f ca="1">_xll.BDH($C$528,"GEO_GROW_TOT_ASSET","FQ2 2018","FQ2 2018","Currency=INR","Period=FQ","BEST_FPERIOD_OVERRIDE=FQ","FILING_STATUS=OR","EQY_CONSOLIDATED=Y","Sort=A","Dates=H","DateFormat=P","Fill=—","Direction=H","UseDPDF=Y")</f>
        <v>#NAME?</v>
      </c>
      <c r="AW550" s="2" t="e">
        <f ca="1">_xll.BDH($C$528,"MODIFIED_WORKING_CPTL_5YR_GRWTH","FQ2 2018","FQ2 2018","Currency=INR","Period=FQ","BEST_FPERIOD_OVERRIDE=FQ","FILING_STATUS=OR","EQY_CONSOLIDATED=Y","Sort=A","Dates=H","DateFormat=P","Fill=—","Direction=H","UseDPDF=Y")</f>
        <v>#NAME?</v>
      </c>
      <c r="AX550" s="2" t="e">
        <f ca="1">_xll.BDH($C$528,"WORKING_CAPITAL_5_YEAR_GROWTH","FQ2 2018","FQ2 2018","Currency=INR","Period=FQ","BEST_FPERIOD_OVERRIDE=FQ","FILING_STATUS=OR","EQY_CONSOLIDATED=Y","Sort=A","Dates=H","DateFormat=P","Fill=—","Direction=H","UseDPDF=Y")</f>
        <v>#NAME?</v>
      </c>
      <c r="AY550" s="2" t="e">
        <f ca="1">_xll.BDH($C$528,"ACCOUNTS_PAYABLE_5_YEAR_GROWTH","FQ2 2018","FQ2 2018","Currency=INR","Period=FQ","BEST_FPERIOD_OVERRIDE=FQ","FILING_STATUS=OR","EQY_CONSOLIDATED=Y","Sort=A","Dates=H","DateFormat=P","Fill=—","Direction=H","UseDPDF=Y")</f>
        <v>#NAME?</v>
      </c>
      <c r="AZ550" s="2" t="e">
        <f ca="1">_xll.BDH($C$528,"SHORT_TERM_DEBT_5_YEAR_GROWTH","FQ2 2018","FQ2 2018","Currency=INR","Period=FQ","BEST_FPERIOD_OVERRIDE=FQ","FILING_STATUS=OR","EQY_CONSOLIDATED=Y","Sort=A","Dates=H","DateFormat=P","Fill=—","Direction=H","UseDPDF=Y")</f>
        <v>#NAME?</v>
      </c>
      <c r="BA550" s="2" t="e">
        <f ca="1">_xll.BDH($C$528,"TOTAL_DEBT_5_YEAR_GROWTH","FQ2 2018","FQ2 2018","Currency=INR","Period=FQ","BEST_FPERIOD_OVERRIDE=FQ","FILING_STATUS=OR","EQY_CONSOLIDATED=Y","Sort=A","Dates=H","DateFormat=P","Fill=—","Direction=H","UseDPDF=Y")</f>
        <v>#NAME?</v>
      </c>
      <c r="BB550" s="2" t="e">
        <f ca="1">_xll.BDH($C$528,"GEO_GROW_TOT_SHRHLDR_EQY","FQ2 2018","FQ2 2018","Currency=INR","Period=FQ","BEST_FPERIOD_OVERRIDE=FQ","FILING_STATUS=OR","EQY_CONSOLIDATED=Y","Sort=A","Dates=H","DateFormat=P","Fill=—","Direction=H","UseDPDF=Y")</f>
        <v>#NAME?</v>
      </c>
      <c r="BC550" s="2" t="e">
        <f ca="1">_xll.BDH($C$528,"TOTAL_CAPITAL_5_YEAR_GROWTH","FQ2 2018","FQ2 2018","Currency=INR","Period=FQ","BEST_FPERIOD_OVERRIDE=FQ","FILING_STATUS=OR","EQY_CONSOLIDATED=Y","Sort=A","Dates=H","DateFormat=P","Fill=—","Direction=H","UseDPDF=Y")</f>
        <v>#NAME?</v>
      </c>
      <c r="BD550" s="2" t="e">
        <f ca="1">_xll.BDH($C$528,"GEO_GROW_BOOK_VAL","FQ2 2018","FQ2 2018","Currency=INR","Period=FQ","BEST_FPERIOD_OVERRIDE=FQ","FILING_STATUS=OR","EQY_CONSOLIDATED=Y","Sort=A","Dates=H","DateFormat=P","Fill=—","Direction=H","UseDPDF=Y")</f>
        <v>#NAME?</v>
      </c>
      <c r="BE550" s="2" t="e">
        <f ca="1">_xll.BDH($C$528,"GEO_GROW_CASH_OPER_ACT","FQ2 2018","FQ2 2018","Currency=INR","Period=FQ","BEST_FPERIOD_OVERRIDE=FQ","FILING_STATUS=OR","EQY_CONSOLIDATED=Y","Sort=A","Dates=H","DateFormat=P","Fill=—","Direction=H","UseDPDF=Y")</f>
        <v>#NAME?</v>
      </c>
      <c r="BF550" s="2" t="e">
        <f ca="1">_xll.BDH($C$528,"REVENUE_SEQUENTIAL_GROWTH","FQ2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50" s="2" t="e">
        <f ca="1">_xll.BDH($C$528,"EBITDA_SEQUENTIAL_GROWTH","FQ2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50" s="2" t="e">
        <f ca="1">_xll.BDH($C$528,"OPERATING_INCOME_SEQ_GROWTH","FQ2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50" s="2" t="e">
        <f ca="1">_xll.BDH($C$528,"NET_INCOME_TO_COMMON_SEQ_GROWTH","FQ2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50" s="2" t="e">
        <f ca="1">_xll.BDH($C$528,"EPS_DILUTED_SEQUENTIAL_GROWTH","FQ2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50" s="2" t="e">
        <f ca="1">_xll.BDH($C$528,"DPS_SEQUENTIAL_GROWTH","FQ2 2018","FQ2 2018","Currency=INR","Period=FQ","BEST_FPERIOD_OVERRIDE=FQ","FILING_STATUS=OR","EQY_CONSOLIDATED=Y","Sort=A","Dates=H","DateFormat=P","Fill=—","Direction=H","UseDPDF=Y")</f>
        <v>#NAME?</v>
      </c>
      <c r="BL550" s="2" t="e">
        <f ca="1">_xll.BDH($C$528,"ACCOUNTS_RECEIVABLE_SEQ_GROWTH","FQ2 2018","FQ2 2018","Currency=INR","Period=FQ","BEST_FPERIOD_OVERRIDE=FQ","FILING_STATUS=OR","EQY_CONSOLIDATED=Y","Sort=A","Dates=H","DateFormat=P","Fill=—","Direction=H","UseDPDF=Y")</f>
        <v>#NAME?</v>
      </c>
      <c r="BM550" s="2" t="e">
        <f ca="1">_xll.BDH($C$528,"INVENTORY_SEQUENTIAL_GROWTH","FQ2 2018","FQ2 2018","Currency=INR","Period=FQ","BEST_FPERIOD_OVERRIDE=FQ","FILING_STATUS=OR","EQY_CONSOLIDATED=Y","Sort=A","Dates=H","DateFormat=P","Fill=—","Direction=H","UseDPDF=Y")</f>
        <v>#NAME?</v>
      </c>
      <c r="BN550" s="2" t="e">
        <f ca="1">_xll.BDH($C$528,"FIXED_ASSETS_SEQUENTIAL_GROWTH","FQ2 2018","FQ2 2018","Currency=INR","Period=FQ","BEST_FPERIOD_OVERRIDE=FQ","FILING_STATUS=OR","EQY_CONSOLIDATED=Y","Sort=A","Dates=H","DateFormat=P","Fill=—","Direction=H","UseDPDF=Y")</f>
        <v>#NAME?</v>
      </c>
      <c r="BO550" s="2" t="e">
        <f ca="1">_xll.BDH($C$528,"TOTAL_ASSETS_SEQUENTIAL_GROWTH","FQ2 2018","FQ2 2018","Currency=INR","Period=FQ","BEST_FPERIOD_OVERRIDE=FQ","FILING_STATUS=OR","EQY_CONSOLIDATED=Y","Sort=A","Dates=H","DateFormat=P","Fill=—","Direction=H","UseDPDF=Y")</f>
        <v>#NAME?</v>
      </c>
      <c r="BP550" s="2" t="e">
        <f ca="1">_xll.BDH($C$528,"MODIFIED_WORKING_CPTL_SEQ_GRWTH","FQ2 2018","FQ2 2018","Currency=INR","Period=FQ","BEST_FPERIOD_OVERRIDE=FQ","FILING_STATUS=OR","EQY_CONSOLIDATED=Y","Sort=A","Dates=H","DateFormat=P","Fill=—","Direction=H","UseDPDF=Y")</f>
        <v>#NAME?</v>
      </c>
      <c r="BQ550" s="2" t="e">
        <f ca="1">_xll.BDH($C$528,"WORKING_CAPITAL_SEQ_GROWTH","FQ2 2018","FQ2 2018","Currency=INR","Period=FQ","BEST_FPERIOD_OVERRIDE=FQ","FILING_STATUS=OR","EQY_CONSOLIDATED=Y","Sort=A","Dates=H","DateFormat=P","Fill=—","Direction=H","UseDPDF=Y")</f>
        <v>#NAME?</v>
      </c>
      <c r="BR550" s="2" t="e">
        <f ca="1">_xll.BDH($C$528,"ACCOUNTS_PAYABLE_SEQ_GROWTH","FQ2 2018","FQ2 2018","Currency=INR","Period=FQ","BEST_FPERIOD_OVERRIDE=FQ","FILING_STATUS=OR","EQY_CONSOLIDATED=Y","Sort=A","Dates=H","DateFormat=P","Fill=—","Direction=H","UseDPDF=Y")</f>
        <v>#NAME?</v>
      </c>
      <c r="BS550" s="2" t="e">
        <f ca="1">_xll.BDH($C$528,"ST_DEBT_SEQUENTIAL_GROWTH","FQ2 2018","FQ2 2018","Currency=INR","Period=FQ","BEST_FPERIOD_OVERRIDE=FQ","FILING_STATUS=OR","EQY_CONSOLIDATED=Y","Sort=A","Dates=H","DateFormat=P","Fill=—","Direction=H","UseDPDF=Y")</f>
        <v>#NAME?</v>
      </c>
      <c r="BT550" s="2" t="e">
        <f ca="1">_xll.BDH($C$528,"TOTAL_DEBT_SEQUENTIAL_GROWTH","FQ2 2018","FQ2 2018","Currency=INR","Period=FQ","BEST_FPERIOD_OVERRIDE=FQ","FILING_STATUS=OR","EQY_CONSOLIDATED=Y","Sort=A","Dates=H","DateFormat=P","Fill=—","Direction=H","UseDPDF=Y")</f>
        <v>#NAME?</v>
      </c>
      <c r="BU550" s="2" t="e">
        <f ca="1">_xll.BDH($C$528,"TOTAL_EQUITY_SEQUENTIAL_GROWTH","FQ2 2018","FQ2 2018","Currency=INR","Period=FQ","BEST_FPERIOD_OVERRIDE=FQ","FILING_STATUS=OR","EQY_CONSOLIDATED=Y","Sort=A","Dates=H","DateFormat=P","Fill=—","Direction=H","UseDPDF=Y")</f>
        <v>#NAME?</v>
      </c>
      <c r="BV550" s="2" t="e">
        <f ca="1">_xll.BDH($C$528,"TOTAL_CAPITAL_SEQUENTIAL_GROWTH","FQ2 2018","FQ2 2018","Currency=INR","Period=FQ","BEST_FPERIOD_OVERRIDE=FQ","FILING_STATUS=OR","EQY_CONSOLIDATED=Y","Sort=A","Dates=H","DateFormat=P","Fill=—","Direction=H","UseDPDF=Y")</f>
        <v>#NAME?</v>
      </c>
      <c r="BW550" s="2" t="e">
        <f ca="1">_xll.BDH($C$528,"BPS_SEQUENTIAL_GROWTH","FQ2 2018","FQ2 2018","Currency=INR","Period=FQ","BEST_FPERIOD_OVERRIDE=FQ","FILING_STATUS=OR","EQY_CONSOLIDATED=Y","Sort=A","Dates=H","DateFormat=P","Fill=—","Direction=H","UseDPDF=Y")</f>
        <v>#NAME?</v>
      </c>
      <c r="BX550" s="2" t="e">
        <f ca="1">_xll.BDH($C$528,"CFO_SEQUENTIAL_GROWTH","FQ2 2018","FQ2 2018","Currency=INR","Period=FQ","BEST_FPERIOD_OVERRIDE=FQ","FILING_STATUS=OR","EQY_CONSOLIDATED=Y","Sort=A","Dates=H","DateFormat=P","Fill=—","Direction=H","UseDPDF=Y")</f>
        <v>#NAME?</v>
      </c>
      <c r="BY550" s="3" t="e">
        <f ca="1">_xll.BDH($C$528,"SHORT_AND_LONG_TERM_DEBT","FQ2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50" s="3" t="e">
        <f ca="1">_xll.BDH($C$528,"BS_ST_BORROW","FQ2 2018","FQ2 2018","Currency=INR","Period=FQ","BEST_FPERIOD_OVERRIDE=FQ","FILING_STATUS=OR","EQY_CONSOLIDATED=Y","SCALING_FORMAT=MLN","Sort=A","Dates=H","DateFormat=P","Fill=—","Direction=H","UseDPDF=Y")</f>
        <v>#NAME?</v>
      </c>
      <c r="CA550" s="3" t="e">
        <f ca="1">_xll.BDH($C$528,"BS_LT_BORROW","FQ2 2018","FQ2 2018","Currency=INR","Period=FQ","BEST_FPERIOD_OVERRIDE=FQ","FILING_STATUS=OR","EQY_CONSOLIDATED=Y","SCALING_FORMAT=MLN","Sort=A","Dates=H","DateFormat=P","Fill=—","Direction=H","UseDPDF=Y")</f>
        <v>#NAME?</v>
      </c>
      <c r="CB550" s="2" t="e">
        <f ca="1">_xll.BDH($C$528,"TOT_DEBT_TO_EBITDA","FQ2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50" s="2" t="e">
        <f ca="1">_xll.BDH($C$528,"NET_DEBT_TO_EBITDA","FQ2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50" s="2" t="e">
        <f ca="1">_xll.BDH($C$528,"TOTAL_DEBT_TO_EBIT","FQ2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50" s="2" t="e">
        <f ca="1">_xll.BDH($C$528,"NET_DEBT_TO_EBIT","FQ2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550" s="2" t="e">
        <f ca="1">_xll.BDH($C$528,"EBITDA_TO_INTEREST_EXPN","FQ2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50" s="2" t="e">
        <f ca="1">_xll.BDH($C$528,"COM_EQY_TO_TOT_ASSET","FQ2 2018","FQ2 2018","Currency=INR","Period=FQ","BEST_FPERIOD_OVERRIDE=FQ","FILING_STATUS=OR","EQY_CONSOLIDATED=Y","Sort=A","Dates=H","DateFormat=P","Fill=—","Direction=H","UseDPDF=Y")</f>
        <v>#NAME?</v>
      </c>
      <c r="CH550" s="2" t="e">
        <f ca="1">_xll.BDH($C$528,"LT_DEBT_TO_TOT_EQY","FQ2 2018","FQ2 2018","Currency=INR","Period=FQ","BEST_FPERIOD_OVERRIDE=FQ","FILING_STATUS=OR","EQY_CONSOLIDATED=Y","Sort=A","Dates=H","DateFormat=P","Fill=—","Direction=H","UseDPDF=Y")</f>
        <v>#NAME?</v>
      </c>
      <c r="CI550" s="2" t="e">
        <f ca="1">_xll.BDH($C$528,"LT_DEBT_TO_TOT_CAP","FQ2 2018","FQ2 2018","Currency=INR","Period=FQ","BEST_FPERIOD_OVERRIDE=FQ","FILING_STATUS=OR","EQY_CONSOLIDATED=Y","Sort=A","Dates=H","DateFormat=P","Fill=—","Direction=H","UseDPDF=Y")</f>
        <v>#NAME?</v>
      </c>
      <c r="CJ550" s="2" t="e">
        <f ca="1">_xll.BDH($C$528,"LT_DEBT_TO_TOT_ASSET","FQ2 2018","FQ2 2018","Currency=INR","Period=FQ","BEST_FPERIOD_OVERRIDE=FQ","FILING_STATUS=OR","EQY_CONSOLIDATED=Y","Sort=A","Dates=H","DateFormat=P","Fill=—","Direction=H","UseDPDF=Y")</f>
        <v>#NAME?</v>
      </c>
      <c r="CK550" s="2" t="e">
        <f ca="1">_xll.BDH($C$528,"TOT_DEBT_TO_TOT_EQY","FQ2 2018","FQ2 2018","Currency=INR","Period=FQ","BEST_FPERIOD_OVERRIDE=FQ","FILING_STATUS=OR","EQY_CONSOLIDATED=Y","Sort=A","Dates=H","DateFormat=P","Fill=—","Direction=H","UseDPDF=Y")</f>
        <v>#NAME?</v>
      </c>
      <c r="CL550" s="2" t="e">
        <f ca="1">_xll.BDH($C$528,"TOT_DEBT_TO_TOT_CAP","FQ2 2018","FQ2 2018","Currency=INR","Period=FQ","BEST_FPERIOD_OVERRIDE=FQ","FILING_STATUS=OR","EQY_CONSOLIDATED=Y","Sort=A","Dates=H","DateFormat=P","Fill=—","Direction=H","UseDPDF=Y")</f>
        <v>#NAME?</v>
      </c>
      <c r="CM550" s="2" t="e">
        <f ca="1">_xll.BDH($C$528,"TOT_DEBT_TO_TOT_ASSET","FQ2 2018","FQ2 2018","Currency=INR","Period=FQ","BEST_FPERIOD_OVERRIDE=FQ","FILING_STATUS=OR","EQY_CONSOLIDATED=Y","Sort=A","Dates=H","DateFormat=P","Fill=—","Direction=H","UseDPDF=Y")</f>
        <v>#NAME?</v>
      </c>
      <c r="CN550" s="2" t="e">
        <f ca="1">_xll.BDH($C$528,"NET_DEBT_TO_SHRHLDR_EQTY","FQ2 2018","FQ2 2018","Currency=INR","Period=FQ","BEST_FPERIOD_OVERRIDE=FQ","FILING_STATUS=OR","EQY_CONSOLIDATED=Y","Sort=A","Dates=H","DateFormat=P","Fill=—","Direction=H","UseDPDF=Y")</f>
        <v>#NAME?</v>
      </c>
      <c r="CO550" s="2" t="e">
        <f ca="1">_xll.BDH($C$528,"NET_DEBT_%_CAPITAL","FQ2 2018","FQ2 2018","Currency=INR","Period=FQ","BEST_FPERIOD_OVERRIDE=FQ","FILING_STATUS=OR","EQY_CONSOLIDATED=Y","Sort=A","Dates=H","DateFormat=P","Fill=—","Direction=H","UseDPDF=Y")</f>
        <v>#NAME?</v>
      </c>
      <c r="CP550" s="3" t="e">
        <f ca="1">_xll.BDH($C$528,"EBITDA","FQ2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50" s="3" t="e">
        <f ca="1">_xll.BDH($C$528,"EBITDA_AFTER_CAPEX","FQ2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50" s="3" t="e">
        <f ca="1">_xll.BDH($C$528,"IS_OPER_INC","FQ2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50" s="2" t="e">
        <f ca="1">_xll.BDH($C$528,"CASH_RATIO","FQ2 2018","FQ2 2018","Currency=INR","Period=FQ","BEST_FPERIOD_OVERRIDE=FQ","FILING_STATUS=OR","EQY_CONSOLIDATED=Y","Sort=A","Dates=H","DateFormat=P","Fill=—","Direction=H","UseDPDF=Y")</f>
        <v>#NAME?</v>
      </c>
      <c r="CT550" s="2" t="e">
        <f ca="1">_xll.BDH($C$528,"CUR_RATIO","FQ2 2018","FQ2 2018","Currency=INR","Period=FQ","BEST_FPERIOD_OVERRIDE=FQ","FILING_STATUS=OR","EQY_CONSOLIDATED=Y","Sort=A","Dates=H","DateFormat=P","Fill=—","Direction=H","UseDPDF=Y")</f>
        <v>#NAME?</v>
      </c>
      <c r="CU550" s="2" t="e">
        <f ca="1">_xll.BDH($C$528,"QUICK_RATIO","FQ2 2018","FQ2 2018","Currency=INR","Period=FQ","BEST_FPERIOD_OVERRIDE=FQ","FILING_STATUS=OR","EQY_CONSOLIDATED=Y","Sort=A","Dates=H","DateFormat=P","Fill=—","Direction=H","UseDPDF=Y")</f>
        <v>#NAME?</v>
      </c>
      <c r="CV550" s="2" t="e">
        <f ca="1">_xll.BDH($C$528,"ALTMAN_Z_SCORE","FQ2 2018","FQ2 2018","Currency=INR","Period=FQ","BEST_FPERIOD_OVERRIDE=FQ","FILING_STATUS=OR","EQY_CONSOLIDATED=Y","Sort=A","Dates=H","DateFormat=P","Fill=—","Direction=H","UseDPDF=Y")</f>
        <v>#NAME?</v>
      </c>
      <c r="CW550" s="4" t="e">
        <f ca="1">_xll.BDH($C$528,"ACCT_RCV_TURN","FQ2 2018","FQ2 2018","Currency=INR","Period=FQ","BEST_FPERIOD_OVERRIDE=FQ","FILING_STATUS=OR","EQY_CONSOLIDATED=Y","FA_ADJUSTED=GAAP","Sort=A","Dates=H","DateFormat=P","Fill=—","Direction=H","UseDPDF=Y")</f>
        <v>#NAME?</v>
      </c>
      <c r="CX550" s="2" t="e">
        <f ca="1">_xll.BDH($C$528,"ACCT_RCV_DAYS","FQ2 2018","FQ2 2018","Currency=INR","Period=FQ","BEST_FPERIOD_OVERRIDE=FQ","FILING_STATUS=OR","EQY_CONSOLIDATED=Y","FA_ADJUSTED=GAAP","Sort=A","Dates=H","DateFormat=P","Fill=—","Direction=H","UseDPDF=Y")</f>
        <v>#NAME?</v>
      </c>
      <c r="CY550" s="4" t="e">
        <f ca="1">_xll.BDH($C$528,"INVENT_TURN","FQ2 2018","FQ2 2018","Currency=INR","Period=FQ","BEST_FPERIOD_OVERRIDE=FQ","FILING_STATUS=OR","EQY_CONSOLIDATED=Y","FA_ADJUSTED=GAAP","Sort=A","Dates=H","DateFormat=P","Fill=—","Direction=H","UseDPDF=Y")</f>
        <v>#NAME?</v>
      </c>
      <c r="CZ550" s="2" t="e">
        <f ca="1">_xll.BDH($C$528,"INVENT_DAYS","FQ2 2018","FQ2 2018","Currency=INR","Period=FQ","BEST_FPERIOD_OVERRIDE=FQ","FILING_STATUS=OR","EQY_CONSOLIDATED=Y","FA_ADJUSTED=GAAP","Sort=A","Dates=H","DateFormat=P","Fill=—","Direction=H","UseDPDF=Y")</f>
        <v>#NAME?</v>
      </c>
      <c r="DA550" s="4" t="e">
        <f ca="1">_xll.BDH($C$528,"ACCOUNTS_PAYABLE_TURNOVER","FQ2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50" s="2" t="e">
        <f ca="1">_xll.BDH($C$528,"ACCOUNTS_PAYABLE_TURNOVER_DAYS","FQ2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50" s="4" t="e">
        <f ca="1">_xll.BDH($C$528,"CASH_CONVERSION_CYCLE","FQ2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50" s="4" t="e">
        <f ca="1">_xll.BDH($C$528,"INV_TO_CASH_DAYS","FQ2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550" s="5" t="e">
        <f ca="1">_xll.BDH($C$528,"BS_INVENTORIES","FQ2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550" s="3" t="e">
        <f ca="1">_xll.BDH($C$528,"INVTRY_RAW_MATERIALS","FQ2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50" s="3" t="e">
        <f ca="1">_xll.BDH($C$528,"INVTRY_IN_PROGRESS","FQ2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50" s="3" t="e">
        <f ca="1">_xll.BDH($C$528,"INVTRY_FINISHED_GOODS","FQ2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50" s="3" t="e">
        <f ca="1">_xll.BDH($C$528,"BS_OTHER_INV","FQ2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51" spans="1:113" x14ac:dyDescent="0.3">
      <c r="A551" s="6"/>
      <c r="B551" s="6"/>
      <c r="C551" s="6"/>
      <c r="D551" s="6"/>
      <c r="E551" t="s">
        <v>80</v>
      </c>
      <c r="F551" t="e">
        <f ca="1">_xll.BDH($C$528,"RETURN_COM_EQY","FQ3 2018","FQ3 2018","Currency=INR","Period=FQ","BEST_FPERIOD_OVERRIDE=FQ","FILING_STATUS=OR","EQY_CONSOLIDATED=Y","FA_ADJUSTED=GAAP","Sort=A","Dates=H","DateFormat=P","Fill=—","Direction=H","UseDPDF=Y")</f>
        <v>#NAME?</v>
      </c>
      <c r="G551" t="e">
        <f ca="1">_xll.BDH($C$528,"RETURN_ON_ASSET","FQ3 2018","FQ3 2018","Currency=INR","Period=FQ","BEST_FPERIOD_OVERRIDE=FQ","FILING_STATUS=OR","EQY_CONSOLIDATED=Y","FA_ADJUSTED=GAAP","Sort=A","Dates=H","DateFormat=P","Fill=—","Direction=H","UseDPDF=Y")</f>
        <v>#NAME?</v>
      </c>
      <c r="H551" t="e">
        <f ca="1">_xll.BDH($C$528,"RETURN_ON_CAP","FQ3 2018","FQ3 2018","Currency=INR","Period=FQ","BEST_FPERIOD_OVERRIDE=FQ","FILING_STATUS=OR","EQY_CONSOLIDATED=Y","FA_ADJUSTED=GAAP","Sort=A","Dates=H","DateFormat=P","Fill=—","Direction=H","UseDPDF=Y")</f>
        <v>#NAME?</v>
      </c>
      <c r="I551" t="e">
        <f ca="1">_xll.BDH($C$528,"RETURN_ON_INV_CAPITAL","FQ3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51" t="e">
        <f ca="1">_xll.BDH($C$528,"EBITDA_TO_REVENUE","FQ3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551" t="e">
        <f ca="1">_xll.BDH($C$528,"OPER_MARGIN","FQ3 2018","FQ3 2018","Currency=INR","Period=FQ","BEST_FPERIOD_OVERRIDE=FQ","FILING_STATUS=OR","EQY_CONSOLIDATED=Y","FA_ADJUSTED=GAAP","Sort=A","Dates=H","DateFormat=P","Fill=—","Direction=H","UseDPDF=Y")</f>
        <v>#NAME?</v>
      </c>
      <c r="L551" t="e">
        <f ca="1">_xll.BDH($C$528,"INCREMENTAL_OPERATING_MARGIN","FQ3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51" t="e">
        <f ca="1">_xll.BDH($C$528,"PRETAX_INC_TO_NET_SALES","FQ3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51" t="e">
        <f ca="1">_xll.BDH($C$528,"INC_BEF_XO_ITEMS_TO_NET_SALES","FQ3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51" t="e">
        <f ca="1">_xll.BDH($C$528,"PROF_MARGIN","FQ3 2018","FQ3 2018","Currency=INR","Period=FQ","BEST_FPERIOD_OVERRIDE=FQ","FILING_STATUS=OR","EQY_CONSOLIDATED=Y","FA_ADJUSTED=GAAP","Sort=A","Dates=H","DateFormat=P","Fill=—","Direction=H","UseDPDF=Y")</f>
        <v>#NAME?</v>
      </c>
      <c r="P551" t="e">
        <f ca="1">_xll.BDH($C$528,"NET_INCOME_TO_COMMON_MARGIN","FQ3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51" t="e">
        <f ca="1">_xll.BDH($C$528,"EFF_TAX_RATE","FQ3 2018","FQ3 2018","Currency=INR","Period=FQ","BEST_FPERIOD_OVERRIDE=FQ","FILING_STATUS=OR","EQY_CONSOLIDATED=Y","FA_ADJUSTED=GAAP","Sort=A","Dates=H","DateFormat=P","Fill=—","Direction=H","UseDPDF=Y")</f>
        <v>#NAME?</v>
      </c>
      <c r="R551" t="e">
        <f ca="1">_xll.BDH($C$528,"DVD_PAYOUT_RATIO","FQ3 2018","FQ3 2018","Currency=INR","Period=FQ","BEST_FPERIOD_OVERRIDE=FQ","FILING_STATUS=OR","EQY_CONSOLIDATED=Y","FA_ADJUSTED=GAAP","Sort=A","Dates=H","DateFormat=P","Fill=—","Direction=H","UseDPDF=Y")</f>
        <v>#NAME?</v>
      </c>
      <c r="S551" t="e">
        <f ca="1">_xll.BDH($C$528,"SUSTAIN_GROWTH_RT","FQ3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551" s="2" t="e">
        <f ca="1">_xll.BDH($C$528,"SALES_GROWTH","FQ3 2018","FQ3 2018","Currency=INR","Period=FQ","BEST_FPERIOD_OVERRIDE=FQ","FILING_STATUS=OR","EQY_CONSOLIDATED=Y","FA_ADJUSTED=GAAP","Sort=A","Dates=H","DateFormat=P","Fill=—","Direction=H","UseDPDF=Y")</f>
        <v>#NAME?</v>
      </c>
      <c r="U551" s="2" t="e">
        <f ca="1">_xll.BDH($C$528,"EBITDA_GROWTH","FQ3 2018","FQ3 2018","Currency=INR","Period=FQ","BEST_FPERIOD_OVERRIDE=FQ","FILING_STATUS=OR","EQY_CONSOLIDATED=Y","FA_ADJUSTED=GAAP","Sort=A","Dates=H","DateFormat=P","Fill=—","Direction=H","UseDPDF=Y")</f>
        <v>#NAME?</v>
      </c>
      <c r="V551" s="2" t="e">
        <f ca="1">_xll.BDH($C$528,"OPER_INC_GROWTH","FQ3 2018","FQ3 2018","Currency=INR","Period=FQ","BEST_FPERIOD_OVERRIDE=FQ","FILING_STATUS=OR","EQY_CONSOLIDATED=Y","FA_ADJUSTED=GAAP","Sort=A","Dates=H","DateFormat=P","Fill=—","Direction=H","UseDPDF=Y")</f>
        <v>#NAME?</v>
      </c>
      <c r="W551" s="2" t="e">
        <f ca="1">_xll.BDH($C$528,"EARN_FOR_COM_GROWTH","FQ3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51" s="2" t="e">
        <f ca="1">_xll.BDH($C$528,"DILUTED_EPS_AFT_XO_ITEMS_GROWTH","FQ3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51" s="2" t="e">
        <f ca="1">_xll.BDH($C$528,"DIVIDEND_PER_SHARE_1_YEAR_GROWTH","FQ3 2018","FQ3 2018","Currency=INR","Period=FQ","BEST_FPERIOD_OVERRIDE=FQ","FILING_STATUS=OR","EQY_CONSOLIDATED=Y","Sort=A","Dates=H","DateFormat=P","Fill=—","Direction=H","UseDPDF=Y")</f>
        <v>#NAME?</v>
      </c>
      <c r="Z551" s="2" t="e">
        <f ca="1">_xll.BDH($C$528,"ACCOUNTS_RECEIVABLE_GROWTH","FQ3 2018","FQ3 2018","Currency=INR","Period=FQ","BEST_FPERIOD_OVERRIDE=FQ","FILING_STATUS=OR","EQY_CONSOLIDATED=Y","Sort=A","Dates=H","DateFormat=P","Fill=—","Direction=H","UseDPDF=Y")</f>
        <v>#NAME?</v>
      </c>
      <c r="AA551" s="2" t="e">
        <f ca="1">_xll.BDH($C$528,"INVENTORY_GROWTH","FQ3 2018","FQ3 2018","Currency=INR","Period=FQ","BEST_FPERIOD_OVERRIDE=FQ","FILING_STATUS=OR","EQY_CONSOLIDATED=Y","Sort=A","Dates=H","DateFormat=P","Fill=—","Direction=H","UseDPDF=Y")</f>
        <v>#NAME?</v>
      </c>
      <c r="AB551" s="2" t="e">
        <f ca="1">_xll.BDH($C$528,"NET_FIXED_ASSETS_1_YEAR_GROWTH","FQ3 2018","FQ3 2018","Currency=INR","Period=FQ","BEST_FPERIOD_OVERRIDE=FQ","FILING_STATUS=OR","EQY_CONSOLIDATED=Y","Sort=A","Dates=H","DateFormat=P","Fill=—","Direction=H","UseDPDF=Y")</f>
        <v>#NAME?</v>
      </c>
      <c r="AC551" s="2" t="e">
        <f ca="1">_xll.BDH($C$528,"ASSET_GROWTH","FQ3 2018","FQ3 2018","Currency=INR","Period=FQ","BEST_FPERIOD_OVERRIDE=FQ","FILING_STATUS=OR","EQY_CONSOLIDATED=Y","Sort=A","Dates=H","DateFormat=P","Fill=—","Direction=H","UseDPDF=Y")</f>
        <v>#NAME?</v>
      </c>
      <c r="AD551" s="2" t="e">
        <f ca="1">_xll.BDH($C$528,"MODIFIED_WORK_CAP_GROWTH","FQ3 2018","FQ3 2018","Currency=INR","Period=FQ","BEST_FPERIOD_OVERRIDE=FQ","FILING_STATUS=OR","EQY_CONSOLIDATED=Y","Sort=A","Dates=H","DateFormat=P","Fill=—","Direction=H","UseDPDF=Y")</f>
        <v>#NAME?</v>
      </c>
      <c r="AE551" s="2" t="e">
        <f ca="1">_xll.BDH($C$528,"WORK_CAP_GROWTH","FQ3 2018","FQ3 2018","Currency=INR","Period=FQ","BEST_FPERIOD_OVERRIDE=FQ","FILING_STATUS=OR","EQY_CONSOLIDATED=Y","Sort=A","Dates=H","DateFormat=P","Fill=—","Direction=H","UseDPDF=Y")</f>
        <v>#NAME?</v>
      </c>
      <c r="AF551" s="2" t="e">
        <f ca="1">_xll.BDH($C$528,"ACCOUNTS_PAYABLE_GROWTH_1YR","FQ3 2018","FQ3 2018","Currency=INR","Period=FQ","BEST_FPERIOD_OVERRIDE=FQ","FILING_STATUS=OR","EQY_CONSOLIDATED=Y","Sort=A","Dates=H","DateFormat=P","Fill=—","Direction=H","UseDPDF=Y")</f>
        <v>#NAME?</v>
      </c>
      <c r="AG551" s="2" t="e">
        <f ca="1">_xll.BDH($C$528,"SHORT_TERM_DEBT_1_YEAR_GROWTH","FQ3 2018","FQ3 2018","Currency=INR","Period=FQ","BEST_FPERIOD_OVERRIDE=FQ","FILING_STATUS=OR","EQY_CONSOLIDATED=Y","Sort=A","Dates=H","DateFormat=P","Fill=—","Direction=H","UseDPDF=Y")</f>
        <v>#NAME?</v>
      </c>
      <c r="AH551" s="2" t="e">
        <f ca="1">_xll.BDH($C$528,"TOTAL_DEBT_1_YEAR_GROWTH","FQ3 2018","FQ3 2018","Currency=INR","Period=FQ","BEST_FPERIOD_OVERRIDE=FQ","FILING_STATUS=OR","EQY_CONSOLIDATED=Y","Sort=A","Dates=H","DateFormat=P","Fill=—","Direction=H","UseDPDF=Y")</f>
        <v>#NAME?</v>
      </c>
      <c r="AI551" s="2" t="e">
        <f ca="1">_xll.BDH($C$528,"TOTAL_EQUITY_1_YEAR_GROWTH","FQ3 2018","FQ3 2018","Currency=INR","Period=FQ","BEST_FPERIOD_OVERRIDE=FQ","FILING_STATUS=OR","EQY_CONSOLIDATED=Y","Sort=A","Dates=H","DateFormat=P","Fill=—","Direction=H","UseDPDF=Y")</f>
        <v>#NAME?</v>
      </c>
      <c r="AJ551" s="2" t="e">
        <f ca="1">_xll.BDH($C$528,"GROWTH_IN_CAP","FQ3 2018","FQ3 2018","Currency=INR","Period=FQ","BEST_FPERIOD_OVERRIDE=FQ","FILING_STATUS=OR","EQY_CONSOLIDATED=Y","Sort=A","Dates=H","DateFormat=P","Fill=—","Direction=H","UseDPDF=Y")</f>
        <v>#NAME?</v>
      </c>
      <c r="AK551" s="2" t="e">
        <f ca="1">_xll.BDH($C$528,"BVPS_GROWTH","FQ3 2018","FQ3 2018","Currency=INR","Period=FQ","BEST_FPERIOD_OVERRIDE=FQ","FILING_STATUS=OR","EQY_CONSOLIDATED=Y","Sort=A","Dates=H","DateFormat=P","Fill=—","Direction=H","UseDPDF=Y")</f>
        <v>#NAME?</v>
      </c>
      <c r="AL551" s="2" t="e">
        <f ca="1">_xll.BDH($C$528,"CASH_FLOW_GROWTH","FQ3 2018","FQ3 2018","Currency=INR","Period=FQ","BEST_FPERIOD_OVERRIDE=FQ","FILING_STATUS=OR","EQY_CONSOLIDATED=Y","Sort=A","Dates=H","DateFormat=P","Fill=—","Direction=H","UseDPDF=Y")</f>
        <v>#NAME?</v>
      </c>
      <c r="AM551" s="2" t="e">
        <f ca="1">_xll.BDH($C$528,"GEO_GROW_NET_SALES","FQ3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51" s="2" t="e">
        <f ca="1">_xll.BDH($C$528,"GEO_GROW_EBITDA","FQ3 2018","FQ3 2018","Currency=INR","Period=FQ","BEST_FPERIOD_OVERRIDE=FQ","FILING_STATUS=OR","EQY_CONSOLIDATED=Y","FA_ADJUSTED=GAAP","Sort=A","Dates=H","DateFormat=P","Fill=—","Direction=H","UseDPDF=Y")</f>
        <v>#NAME?</v>
      </c>
      <c r="AO551" s="2" t="e">
        <f ca="1">_xll.BDH($C$528,"GEO_GROW_OPER_INC","FQ3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51" s="2" t="e">
        <f ca="1">_xll.BDH($C$528,"NET_INCOME_TO_COMMON_5_YR_GROWTH","FQ3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51" s="2" t="e">
        <f ca="1">_xll.BDH($C$528,"5Y_GEO_GROWTH_DILUTED_EPS","FQ3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51" s="2" t="e">
        <f ca="1">_xll.BDH($C$528,"GEO_GROW_DVD_PER_SH","FQ3 2018","FQ3 2018","Currency=INR","Period=FQ","BEST_FPERIOD_OVERRIDE=FQ","FILING_STATUS=OR","EQY_CONSOLIDATED=Y","Sort=A","Dates=H","DateFormat=P","Fill=—","Direction=H","UseDPDF=Y")</f>
        <v>#NAME?</v>
      </c>
      <c r="AS551" s="2" t="e">
        <f ca="1">_xll.BDH($C$528,"ACCOUNTS_RECEIVABLE_5_YR_GROWTH","FQ3 2018","FQ3 2018","Currency=INR","Period=FQ","BEST_FPERIOD_OVERRIDE=FQ","FILING_STATUS=OR","EQY_CONSOLIDATED=Y","Sort=A","Dates=H","DateFormat=P","Fill=—","Direction=H","UseDPDF=Y")</f>
        <v>#NAME?</v>
      </c>
      <c r="AT551" s="2" t="e">
        <f ca="1">_xll.BDH($C$528,"INVENTORY_5_YEAR_GROWTH","FQ3 2018","FQ3 2018","Currency=INR","Period=FQ","BEST_FPERIOD_OVERRIDE=FQ","FILING_STATUS=OR","EQY_CONSOLIDATED=Y","Sort=A","Dates=H","DateFormat=P","Fill=—","Direction=H","UseDPDF=Y")</f>
        <v>#NAME?</v>
      </c>
      <c r="AU551" s="2" t="e">
        <f ca="1">_xll.BDH($C$528,"NET_FIXED_ASSETS_5_YEAR_GROWTH","FQ3 2018","FQ3 2018","Currency=INR","Period=FQ","BEST_FPERIOD_OVERRIDE=FQ","FILING_STATUS=OR","EQY_CONSOLIDATED=Y","Sort=A","Dates=H","DateFormat=P","Fill=—","Direction=H","UseDPDF=Y")</f>
        <v>#NAME?</v>
      </c>
      <c r="AV551" s="2" t="e">
        <f ca="1">_xll.BDH($C$528,"GEO_GROW_TOT_ASSET","FQ3 2018","FQ3 2018","Currency=INR","Period=FQ","BEST_FPERIOD_OVERRIDE=FQ","FILING_STATUS=OR","EQY_CONSOLIDATED=Y","Sort=A","Dates=H","DateFormat=P","Fill=—","Direction=H","UseDPDF=Y")</f>
        <v>#NAME?</v>
      </c>
      <c r="AW551" s="2" t="e">
        <f ca="1">_xll.BDH($C$528,"MODIFIED_WORKING_CPTL_5YR_GRWTH","FQ3 2018","FQ3 2018","Currency=INR","Period=FQ","BEST_FPERIOD_OVERRIDE=FQ","FILING_STATUS=OR","EQY_CONSOLIDATED=Y","Sort=A","Dates=H","DateFormat=P","Fill=—","Direction=H","UseDPDF=Y")</f>
        <v>#NAME?</v>
      </c>
      <c r="AX551" s="2" t="e">
        <f ca="1">_xll.BDH($C$528,"WORKING_CAPITAL_5_YEAR_GROWTH","FQ3 2018","FQ3 2018","Currency=INR","Period=FQ","BEST_FPERIOD_OVERRIDE=FQ","FILING_STATUS=OR","EQY_CONSOLIDATED=Y","Sort=A","Dates=H","DateFormat=P","Fill=—","Direction=H","UseDPDF=Y")</f>
        <v>#NAME?</v>
      </c>
      <c r="AY551" s="2" t="e">
        <f ca="1">_xll.BDH($C$528,"ACCOUNTS_PAYABLE_5_YEAR_GROWTH","FQ3 2018","FQ3 2018","Currency=INR","Period=FQ","BEST_FPERIOD_OVERRIDE=FQ","FILING_STATUS=OR","EQY_CONSOLIDATED=Y","Sort=A","Dates=H","DateFormat=P","Fill=—","Direction=H","UseDPDF=Y")</f>
        <v>#NAME?</v>
      </c>
      <c r="AZ551" s="2" t="e">
        <f ca="1">_xll.BDH($C$528,"SHORT_TERM_DEBT_5_YEAR_GROWTH","FQ3 2018","FQ3 2018","Currency=INR","Period=FQ","BEST_FPERIOD_OVERRIDE=FQ","FILING_STATUS=OR","EQY_CONSOLIDATED=Y","Sort=A","Dates=H","DateFormat=P","Fill=—","Direction=H","UseDPDF=Y")</f>
        <v>#NAME?</v>
      </c>
      <c r="BA551" s="2" t="e">
        <f ca="1">_xll.BDH($C$528,"TOTAL_DEBT_5_YEAR_GROWTH","FQ3 2018","FQ3 2018","Currency=INR","Period=FQ","BEST_FPERIOD_OVERRIDE=FQ","FILING_STATUS=OR","EQY_CONSOLIDATED=Y","Sort=A","Dates=H","DateFormat=P","Fill=—","Direction=H","UseDPDF=Y")</f>
        <v>#NAME?</v>
      </c>
      <c r="BB551" s="2" t="e">
        <f ca="1">_xll.BDH($C$528,"GEO_GROW_TOT_SHRHLDR_EQY","FQ3 2018","FQ3 2018","Currency=INR","Period=FQ","BEST_FPERIOD_OVERRIDE=FQ","FILING_STATUS=OR","EQY_CONSOLIDATED=Y","Sort=A","Dates=H","DateFormat=P","Fill=—","Direction=H","UseDPDF=Y")</f>
        <v>#NAME?</v>
      </c>
      <c r="BC551" s="2" t="e">
        <f ca="1">_xll.BDH($C$528,"TOTAL_CAPITAL_5_YEAR_GROWTH","FQ3 2018","FQ3 2018","Currency=INR","Period=FQ","BEST_FPERIOD_OVERRIDE=FQ","FILING_STATUS=OR","EQY_CONSOLIDATED=Y","Sort=A","Dates=H","DateFormat=P","Fill=—","Direction=H","UseDPDF=Y")</f>
        <v>#NAME?</v>
      </c>
      <c r="BD551" s="2" t="e">
        <f ca="1">_xll.BDH($C$528,"GEO_GROW_BOOK_VAL","FQ3 2018","FQ3 2018","Currency=INR","Period=FQ","BEST_FPERIOD_OVERRIDE=FQ","FILING_STATUS=OR","EQY_CONSOLIDATED=Y","Sort=A","Dates=H","DateFormat=P","Fill=—","Direction=H","UseDPDF=Y")</f>
        <v>#NAME?</v>
      </c>
      <c r="BE551" s="2" t="e">
        <f ca="1">_xll.BDH($C$528,"GEO_GROW_CASH_OPER_ACT","FQ3 2018","FQ3 2018","Currency=INR","Period=FQ","BEST_FPERIOD_OVERRIDE=FQ","FILING_STATUS=OR","EQY_CONSOLIDATED=Y","Sort=A","Dates=H","DateFormat=P","Fill=—","Direction=H","UseDPDF=Y")</f>
        <v>#NAME?</v>
      </c>
      <c r="BF551" s="2" t="e">
        <f ca="1">_xll.BDH($C$528,"REVENUE_SEQUENTIAL_GROWTH","FQ3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51" s="2" t="e">
        <f ca="1">_xll.BDH($C$528,"EBITDA_SEQUENTIAL_GROWTH","FQ3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51" s="2" t="e">
        <f ca="1">_xll.BDH($C$528,"OPERATING_INCOME_SEQ_GROWTH","FQ3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51" s="2" t="e">
        <f ca="1">_xll.BDH($C$528,"NET_INCOME_TO_COMMON_SEQ_GROWTH","FQ3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51" s="2" t="e">
        <f ca="1">_xll.BDH($C$528,"EPS_DILUTED_SEQUENTIAL_GROWTH","FQ3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51" s="2" t="e">
        <f ca="1">_xll.BDH($C$528,"DPS_SEQUENTIAL_GROWTH","FQ3 2018","FQ3 2018","Currency=INR","Period=FQ","BEST_FPERIOD_OVERRIDE=FQ","FILING_STATUS=OR","EQY_CONSOLIDATED=Y","Sort=A","Dates=H","DateFormat=P","Fill=—","Direction=H","UseDPDF=Y")</f>
        <v>#NAME?</v>
      </c>
      <c r="BL551" s="2" t="e">
        <f ca="1">_xll.BDH($C$528,"ACCOUNTS_RECEIVABLE_SEQ_GROWTH","FQ3 2018","FQ3 2018","Currency=INR","Period=FQ","BEST_FPERIOD_OVERRIDE=FQ","FILING_STATUS=OR","EQY_CONSOLIDATED=Y","Sort=A","Dates=H","DateFormat=P","Fill=—","Direction=H","UseDPDF=Y")</f>
        <v>#NAME?</v>
      </c>
      <c r="BM551" s="2" t="e">
        <f ca="1">_xll.BDH($C$528,"INVENTORY_SEQUENTIAL_GROWTH","FQ3 2018","FQ3 2018","Currency=INR","Period=FQ","BEST_FPERIOD_OVERRIDE=FQ","FILING_STATUS=OR","EQY_CONSOLIDATED=Y","Sort=A","Dates=H","DateFormat=P","Fill=—","Direction=H","UseDPDF=Y")</f>
        <v>#NAME?</v>
      </c>
      <c r="BN551" s="2" t="e">
        <f ca="1">_xll.BDH($C$528,"FIXED_ASSETS_SEQUENTIAL_GROWTH","FQ3 2018","FQ3 2018","Currency=INR","Period=FQ","BEST_FPERIOD_OVERRIDE=FQ","FILING_STATUS=OR","EQY_CONSOLIDATED=Y","Sort=A","Dates=H","DateFormat=P","Fill=—","Direction=H","UseDPDF=Y")</f>
        <v>#NAME?</v>
      </c>
      <c r="BO551" s="2" t="e">
        <f ca="1">_xll.BDH($C$528,"TOTAL_ASSETS_SEQUENTIAL_GROWTH","FQ3 2018","FQ3 2018","Currency=INR","Period=FQ","BEST_FPERIOD_OVERRIDE=FQ","FILING_STATUS=OR","EQY_CONSOLIDATED=Y","Sort=A","Dates=H","DateFormat=P","Fill=—","Direction=H","UseDPDF=Y")</f>
        <v>#NAME?</v>
      </c>
      <c r="BP551" s="2" t="e">
        <f ca="1">_xll.BDH($C$528,"MODIFIED_WORKING_CPTL_SEQ_GRWTH","FQ3 2018","FQ3 2018","Currency=INR","Period=FQ","BEST_FPERIOD_OVERRIDE=FQ","FILING_STATUS=OR","EQY_CONSOLIDATED=Y","Sort=A","Dates=H","DateFormat=P","Fill=—","Direction=H","UseDPDF=Y")</f>
        <v>#NAME?</v>
      </c>
      <c r="BQ551" s="2" t="e">
        <f ca="1">_xll.BDH($C$528,"WORKING_CAPITAL_SEQ_GROWTH","FQ3 2018","FQ3 2018","Currency=INR","Period=FQ","BEST_FPERIOD_OVERRIDE=FQ","FILING_STATUS=OR","EQY_CONSOLIDATED=Y","Sort=A","Dates=H","DateFormat=P","Fill=—","Direction=H","UseDPDF=Y")</f>
        <v>#NAME?</v>
      </c>
      <c r="BR551" s="2" t="e">
        <f ca="1">_xll.BDH($C$528,"ACCOUNTS_PAYABLE_SEQ_GROWTH","FQ3 2018","FQ3 2018","Currency=INR","Period=FQ","BEST_FPERIOD_OVERRIDE=FQ","FILING_STATUS=OR","EQY_CONSOLIDATED=Y","Sort=A","Dates=H","DateFormat=P","Fill=—","Direction=H","UseDPDF=Y")</f>
        <v>#NAME?</v>
      </c>
      <c r="BS551" s="2" t="e">
        <f ca="1">_xll.BDH($C$528,"ST_DEBT_SEQUENTIAL_GROWTH","FQ3 2018","FQ3 2018","Currency=INR","Period=FQ","BEST_FPERIOD_OVERRIDE=FQ","FILING_STATUS=OR","EQY_CONSOLIDATED=Y","Sort=A","Dates=H","DateFormat=P","Fill=—","Direction=H","UseDPDF=Y")</f>
        <v>#NAME?</v>
      </c>
      <c r="BT551" s="2" t="e">
        <f ca="1">_xll.BDH($C$528,"TOTAL_DEBT_SEQUENTIAL_GROWTH","FQ3 2018","FQ3 2018","Currency=INR","Period=FQ","BEST_FPERIOD_OVERRIDE=FQ","FILING_STATUS=OR","EQY_CONSOLIDATED=Y","Sort=A","Dates=H","DateFormat=P","Fill=—","Direction=H","UseDPDF=Y")</f>
        <v>#NAME?</v>
      </c>
      <c r="BU551" s="2" t="e">
        <f ca="1">_xll.BDH($C$528,"TOTAL_EQUITY_SEQUENTIAL_GROWTH","FQ3 2018","FQ3 2018","Currency=INR","Period=FQ","BEST_FPERIOD_OVERRIDE=FQ","FILING_STATUS=OR","EQY_CONSOLIDATED=Y","Sort=A","Dates=H","DateFormat=P","Fill=—","Direction=H","UseDPDF=Y")</f>
        <v>#NAME?</v>
      </c>
      <c r="BV551" s="2" t="e">
        <f ca="1">_xll.BDH($C$528,"TOTAL_CAPITAL_SEQUENTIAL_GROWTH","FQ3 2018","FQ3 2018","Currency=INR","Period=FQ","BEST_FPERIOD_OVERRIDE=FQ","FILING_STATUS=OR","EQY_CONSOLIDATED=Y","Sort=A","Dates=H","DateFormat=P","Fill=—","Direction=H","UseDPDF=Y")</f>
        <v>#NAME?</v>
      </c>
      <c r="BW551" s="2" t="e">
        <f ca="1">_xll.BDH($C$528,"BPS_SEQUENTIAL_GROWTH","FQ3 2018","FQ3 2018","Currency=INR","Period=FQ","BEST_FPERIOD_OVERRIDE=FQ","FILING_STATUS=OR","EQY_CONSOLIDATED=Y","Sort=A","Dates=H","DateFormat=P","Fill=—","Direction=H","UseDPDF=Y")</f>
        <v>#NAME?</v>
      </c>
      <c r="BX551" s="2" t="e">
        <f ca="1">_xll.BDH($C$528,"CFO_SEQUENTIAL_GROWTH","FQ3 2018","FQ3 2018","Currency=INR","Period=FQ","BEST_FPERIOD_OVERRIDE=FQ","FILING_STATUS=OR","EQY_CONSOLIDATED=Y","Sort=A","Dates=H","DateFormat=P","Fill=—","Direction=H","UseDPDF=Y")</f>
        <v>#NAME?</v>
      </c>
      <c r="BY551" s="3" t="e">
        <f ca="1">_xll.BDH($C$528,"SHORT_AND_LONG_TERM_DEBT","FQ3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51" s="3" t="e">
        <f ca="1">_xll.BDH($C$528,"BS_ST_BORROW","FQ3 2018","FQ3 2018","Currency=INR","Period=FQ","BEST_FPERIOD_OVERRIDE=FQ","FILING_STATUS=OR","EQY_CONSOLIDATED=Y","SCALING_FORMAT=MLN","Sort=A","Dates=H","DateFormat=P","Fill=—","Direction=H","UseDPDF=Y")</f>
        <v>#NAME?</v>
      </c>
      <c r="CA551" s="3" t="e">
        <f ca="1">_xll.BDH($C$528,"BS_LT_BORROW","FQ3 2018","FQ3 2018","Currency=INR","Period=FQ","BEST_FPERIOD_OVERRIDE=FQ","FILING_STATUS=OR","EQY_CONSOLIDATED=Y","SCALING_FORMAT=MLN","Sort=A","Dates=H","DateFormat=P","Fill=—","Direction=H","UseDPDF=Y")</f>
        <v>#NAME?</v>
      </c>
      <c r="CB551" s="2" t="e">
        <f ca="1">_xll.BDH($C$528,"TOT_DEBT_TO_EBITDA","FQ3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51" s="2" t="e">
        <f ca="1">_xll.BDH($C$528,"NET_DEBT_TO_EBITDA","FQ3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51" s="2" t="e">
        <f ca="1">_xll.BDH($C$528,"TOTAL_DEBT_TO_EBIT","FQ3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51" s="2" t="e">
        <f ca="1">_xll.BDH($C$528,"NET_DEBT_TO_EBIT","FQ3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551" s="2" t="e">
        <f ca="1">_xll.BDH($C$528,"EBITDA_TO_INTEREST_EXPN","FQ3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51" s="2" t="e">
        <f ca="1">_xll.BDH($C$528,"COM_EQY_TO_TOT_ASSET","FQ3 2018","FQ3 2018","Currency=INR","Period=FQ","BEST_FPERIOD_OVERRIDE=FQ","FILING_STATUS=OR","EQY_CONSOLIDATED=Y","Sort=A","Dates=H","DateFormat=P","Fill=—","Direction=H","UseDPDF=Y")</f>
        <v>#NAME?</v>
      </c>
      <c r="CH551" s="2" t="e">
        <f ca="1">_xll.BDH($C$528,"LT_DEBT_TO_TOT_EQY","FQ3 2018","FQ3 2018","Currency=INR","Period=FQ","BEST_FPERIOD_OVERRIDE=FQ","FILING_STATUS=OR","EQY_CONSOLIDATED=Y","Sort=A","Dates=H","DateFormat=P","Fill=—","Direction=H","UseDPDF=Y")</f>
        <v>#NAME?</v>
      </c>
      <c r="CI551" s="2" t="e">
        <f ca="1">_xll.BDH($C$528,"LT_DEBT_TO_TOT_CAP","FQ3 2018","FQ3 2018","Currency=INR","Period=FQ","BEST_FPERIOD_OVERRIDE=FQ","FILING_STATUS=OR","EQY_CONSOLIDATED=Y","Sort=A","Dates=H","DateFormat=P","Fill=—","Direction=H","UseDPDF=Y")</f>
        <v>#NAME?</v>
      </c>
      <c r="CJ551" s="2" t="e">
        <f ca="1">_xll.BDH($C$528,"LT_DEBT_TO_TOT_ASSET","FQ3 2018","FQ3 2018","Currency=INR","Period=FQ","BEST_FPERIOD_OVERRIDE=FQ","FILING_STATUS=OR","EQY_CONSOLIDATED=Y","Sort=A","Dates=H","DateFormat=P","Fill=—","Direction=H","UseDPDF=Y")</f>
        <v>#NAME?</v>
      </c>
      <c r="CK551" s="2" t="e">
        <f ca="1">_xll.BDH($C$528,"TOT_DEBT_TO_TOT_EQY","FQ3 2018","FQ3 2018","Currency=INR","Period=FQ","BEST_FPERIOD_OVERRIDE=FQ","FILING_STATUS=OR","EQY_CONSOLIDATED=Y","Sort=A","Dates=H","DateFormat=P","Fill=—","Direction=H","UseDPDF=Y")</f>
        <v>#NAME?</v>
      </c>
      <c r="CL551" s="2" t="e">
        <f ca="1">_xll.BDH($C$528,"TOT_DEBT_TO_TOT_CAP","FQ3 2018","FQ3 2018","Currency=INR","Period=FQ","BEST_FPERIOD_OVERRIDE=FQ","FILING_STATUS=OR","EQY_CONSOLIDATED=Y","Sort=A","Dates=H","DateFormat=P","Fill=—","Direction=H","UseDPDF=Y")</f>
        <v>#NAME?</v>
      </c>
      <c r="CM551" s="2" t="e">
        <f ca="1">_xll.BDH($C$528,"TOT_DEBT_TO_TOT_ASSET","FQ3 2018","FQ3 2018","Currency=INR","Period=FQ","BEST_FPERIOD_OVERRIDE=FQ","FILING_STATUS=OR","EQY_CONSOLIDATED=Y","Sort=A","Dates=H","DateFormat=P","Fill=—","Direction=H","UseDPDF=Y")</f>
        <v>#NAME?</v>
      </c>
      <c r="CN551" s="2" t="e">
        <f ca="1">_xll.BDH($C$528,"NET_DEBT_TO_SHRHLDR_EQTY","FQ3 2018","FQ3 2018","Currency=INR","Period=FQ","BEST_FPERIOD_OVERRIDE=FQ","FILING_STATUS=OR","EQY_CONSOLIDATED=Y","Sort=A","Dates=H","DateFormat=P","Fill=—","Direction=H","UseDPDF=Y")</f>
        <v>#NAME?</v>
      </c>
      <c r="CO551" s="2" t="e">
        <f ca="1">_xll.BDH($C$528,"NET_DEBT_%_CAPITAL","FQ3 2018","FQ3 2018","Currency=INR","Period=FQ","BEST_FPERIOD_OVERRIDE=FQ","FILING_STATUS=OR","EQY_CONSOLIDATED=Y","Sort=A","Dates=H","DateFormat=P","Fill=—","Direction=H","UseDPDF=Y")</f>
        <v>#NAME?</v>
      </c>
      <c r="CP551" s="3" t="e">
        <f ca="1">_xll.BDH($C$528,"EBITDA","FQ3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51" s="3" t="e">
        <f ca="1">_xll.BDH($C$528,"EBITDA_AFTER_CAPEX","FQ3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51" s="3" t="e">
        <f ca="1">_xll.BDH($C$528,"IS_OPER_INC","FQ3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51" s="2" t="e">
        <f ca="1">_xll.BDH($C$528,"CASH_RATIO","FQ3 2018","FQ3 2018","Currency=INR","Period=FQ","BEST_FPERIOD_OVERRIDE=FQ","FILING_STATUS=OR","EQY_CONSOLIDATED=Y","Sort=A","Dates=H","DateFormat=P","Fill=—","Direction=H","UseDPDF=Y")</f>
        <v>#NAME?</v>
      </c>
      <c r="CT551" s="2" t="e">
        <f ca="1">_xll.BDH($C$528,"CUR_RATIO","FQ3 2018","FQ3 2018","Currency=INR","Period=FQ","BEST_FPERIOD_OVERRIDE=FQ","FILING_STATUS=OR","EQY_CONSOLIDATED=Y","Sort=A","Dates=H","DateFormat=P","Fill=—","Direction=H","UseDPDF=Y")</f>
        <v>#NAME?</v>
      </c>
      <c r="CU551" s="2" t="e">
        <f ca="1">_xll.BDH($C$528,"QUICK_RATIO","FQ3 2018","FQ3 2018","Currency=INR","Period=FQ","BEST_FPERIOD_OVERRIDE=FQ","FILING_STATUS=OR","EQY_CONSOLIDATED=Y","Sort=A","Dates=H","DateFormat=P","Fill=—","Direction=H","UseDPDF=Y")</f>
        <v>#NAME?</v>
      </c>
      <c r="CV551" s="2" t="e">
        <f ca="1">_xll.BDH($C$528,"ALTMAN_Z_SCORE","FQ3 2018","FQ3 2018","Currency=INR","Period=FQ","BEST_FPERIOD_OVERRIDE=FQ","FILING_STATUS=OR","EQY_CONSOLIDATED=Y","Sort=A","Dates=H","DateFormat=P","Fill=—","Direction=H","UseDPDF=Y")</f>
        <v>#NAME?</v>
      </c>
      <c r="CW551" s="4" t="e">
        <f ca="1">_xll.BDH($C$528,"ACCT_RCV_TURN","FQ3 2018","FQ3 2018","Currency=INR","Period=FQ","BEST_FPERIOD_OVERRIDE=FQ","FILING_STATUS=OR","EQY_CONSOLIDATED=Y","FA_ADJUSTED=GAAP","Sort=A","Dates=H","DateFormat=P","Fill=—","Direction=H","UseDPDF=Y")</f>
        <v>#NAME?</v>
      </c>
      <c r="CX551" s="2" t="e">
        <f ca="1">_xll.BDH($C$528,"ACCT_RCV_DAYS","FQ3 2018","FQ3 2018","Currency=INR","Period=FQ","BEST_FPERIOD_OVERRIDE=FQ","FILING_STATUS=OR","EQY_CONSOLIDATED=Y","FA_ADJUSTED=GAAP","Sort=A","Dates=H","DateFormat=P","Fill=—","Direction=H","UseDPDF=Y")</f>
        <v>#NAME?</v>
      </c>
      <c r="CY551" s="4" t="e">
        <f ca="1">_xll.BDH($C$528,"INVENT_TURN","FQ3 2018","FQ3 2018","Currency=INR","Period=FQ","BEST_FPERIOD_OVERRIDE=FQ","FILING_STATUS=OR","EQY_CONSOLIDATED=Y","FA_ADJUSTED=GAAP","Sort=A","Dates=H","DateFormat=P","Fill=—","Direction=H","UseDPDF=Y")</f>
        <v>#NAME?</v>
      </c>
      <c r="CZ551" s="2" t="e">
        <f ca="1">_xll.BDH($C$528,"INVENT_DAYS","FQ3 2018","FQ3 2018","Currency=INR","Period=FQ","BEST_FPERIOD_OVERRIDE=FQ","FILING_STATUS=OR","EQY_CONSOLIDATED=Y","FA_ADJUSTED=GAAP","Sort=A","Dates=H","DateFormat=P","Fill=—","Direction=H","UseDPDF=Y")</f>
        <v>#NAME?</v>
      </c>
      <c r="DA551" s="4" t="e">
        <f ca="1">_xll.BDH($C$528,"ACCOUNTS_PAYABLE_TURNOVER","FQ3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51" s="2" t="e">
        <f ca="1">_xll.BDH($C$528,"ACCOUNTS_PAYABLE_TURNOVER_DAYS","FQ3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51" s="4" t="e">
        <f ca="1">_xll.BDH($C$528,"CASH_CONVERSION_CYCLE","FQ3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51" s="4" t="e">
        <f ca="1">_xll.BDH($C$528,"INV_TO_CASH_DAYS","FQ3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551" s="5" t="e">
        <f ca="1">_xll.BDH($C$528,"BS_INVENTORIES","FQ3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551" s="3" t="e">
        <f ca="1">_xll.BDH($C$528,"INVTRY_RAW_MATERIALS","FQ3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51" s="3" t="e">
        <f ca="1">_xll.BDH($C$528,"INVTRY_IN_PROGRESS","FQ3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51" s="3" t="e">
        <f ca="1">_xll.BDH($C$528,"INVTRY_FINISHED_GOODS","FQ3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51" s="3" t="e">
        <f ca="1">_xll.BDH($C$528,"BS_OTHER_INV","FQ3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52" spans="1:113" x14ac:dyDescent="0.3">
      <c r="A552" s="6"/>
      <c r="B552" s="6"/>
      <c r="C552" s="6"/>
      <c r="D552" s="6"/>
      <c r="E552" t="s">
        <v>81</v>
      </c>
      <c r="F552" t="e">
        <f ca="1">_xll.BDH($C$528,"RETURN_COM_EQY","FQ4 2018","FQ4 2018","Currency=INR","Period=FQ","BEST_FPERIOD_OVERRIDE=FQ","FILING_STATUS=OR","EQY_CONSOLIDATED=Y","FA_ADJUSTED=GAAP","Sort=A","Dates=H","DateFormat=P","Fill=—","Direction=H","UseDPDF=Y")</f>
        <v>#NAME?</v>
      </c>
      <c r="G552" t="e">
        <f ca="1">_xll.BDH($C$528,"RETURN_ON_ASSET","FQ4 2018","FQ4 2018","Currency=INR","Period=FQ","BEST_FPERIOD_OVERRIDE=FQ","FILING_STATUS=OR","EQY_CONSOLIDATED=Y","FA_ADJUSTED=GAAP","Sort=A","Dates=H","DateFormat=P","Fill=—","Direction=H","UseDPDF=Y")</f>
        <v>#NAME?</v>
      </c>
      <c r="H552" t="e">
        <f ca="1">_xll.BDH($C$528,"RETURN_ON_CAP","FQ4 2018","FQ4 2018","Currency=INR","Period=FQ","BEST_FPERIOD_OVERRIDE=FQ","FILING_STATUS=OR","EQY_CONSOLIDATED=Y","FA_ADJUSTED=GAAP","Sort=A","Dates=H","DateFormat=P","Fill=—","Direction=H","UseDPDF=Y")</f>
        <v>#NAME?</v>
      </c>
      <c r="I552" t="e">
        <f ca="1">_xll.BDH($C$528,"RETURN_ON_INV_CAPITAL","FQ4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52" t="e">
        <f ca="1">_xll.BDH($C$528,"EBITDA_TO_REVENUE","FQ4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552" t="e">
        <f ca="1">_xll.BDH($C$528,"OPER_MARGIN","FQ4 2018","FQ4 2018","Currency=INR","Period=FQ","BEST_FPERIOD_OVERRIDE=FQ","FILING_STATUS=OR","EQY_CONSOLIDATED=Y","FA_ADJUSTED=GAAP","Sort=A","Dates=H","DateFormat=P","Fill=—","Direction=H","UseDPDF=Y")</f>
        <v>#NAME?</v>
      </c>
      <c r="L552" t="e">
        <f ca="1">_xll.BDH($C$528,"INCREMENTAL_OPERATING_MARGIN","FQ4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52" t="e">
        <f ca="1">_xll.BDH($C$528,"PRETAX_INC_TO_NET_SALES","FQ4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52" t="e">
        <f ca="1">_xll.BDH($C$528,"INC_BEF_XO_ITEMS_TO_NET_SALES","FQ4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52" t="e">
        <f ca="1">_xll.BDH($C$528,"PROF_MARGIN","FQ4 2018","FQ4 2018","Currency=INR","Period=FQ","BEST_FPERIOD_OVERRIDE=FQ","FILING_STATUS=OR","EQY_CONSOLIDATED=Y","FA_ADJUSTED=GAAP","Sort=A","Dates=H","DateFormat=P","Fill=—","Direction=H","UseDPDF=Y")</f>
        <v>#NAME?</v>
      </c>
      <c r="P552" t="e">
        <f ca="1">_xll.BDH($C$528,"NET_INCOME_TO_COMMON_MARGIN","FQ4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52" t="e">
        <f ca="1">_xll.BDH($C$528,"EFF_TAX_RATE","FQ4 2018","FQ4 2018","Currency=INR","Period=FQ","BEST_FPERIOD_OVERRIDE=FQ","FILING_STATUS=OR","EQY_CONSOLIDATED=Y","FA_ADJUSTED=GAAP","Sort=A","Dates=H","DateFormat=P","Fill=—","Direction=H","UseDPDF=Y")</f>
        <v>#NAME?</v>
      </c>
      <c r="R552" t="e">
        <f ca="1">_xll.BDH($C$528,"DVD_PAYOUT_RATIO","FQ4 2018","FQ4 2018","Currency=INR","Period=FQ","BEST_FPERIOD_OVERRIDE=FQ","FILING_STATUS=OR","EQY_CONSOLIDATED=Y","FA_ADJUSTED=GAAP","Sort=A","Dates=H","DateFormat=P","Fill=—","Direction=H","UseDPDF=Y")</f>
        <v>#NAME?</v>
      </c>
      <c r="S552" t="e">
        <f ca="1">_xll.BDH($C$528,"SUSTAIN_GROWTH_RT","FQ4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552" s="2" t="e">
        <f ca="1">_xll.BDH($C$528,"SALES_GROWTH","FQ4 2018","FQ4 2018","Currency=INR","Period=FQ","BEST_FPERIOD_OVERRIDE=FQ","FILING_STATUS=OR","EQY_CONSOLIDATED=Y","FA_ADJUSTED=GAAP","Sort=A","Dates=H","DateFormat=P","Fill=—","Direction=H","UseDPDF=Y")</f>
        <v>#NAME?</v>
      </c>
      <c r="U552" s="2" t="e">
        <f ca="1">_xll.BDH($C$528,"EBITDA_GROWTH","FQ4 2018","FQ4 2018","Currency=INR","Period=FQ","BEST_FPERIOD_OVERRIDE=FQ","FILING_STATUS=OR","EQY_CONSOLIDATED=Y","FA_ADJUSTED=GAAP","Sort=A","Dates=H","DateFormat=P","Fill=—","Direction=H","UseDPDF=Y")</f>
        <v>#NAME?</v>
      </c>
      <c r="V552" s="2" t="e">
        <f ca="1">_xll.BDH($C$528,"OPER_INC_GROWTH","FQ4 2018","FQ4 2018","Currency=INR","Period=FQ","BEST_FPERIOD_OVERRIDE=FQ","FILING_STATUS=OR","EQY_CONSOLIDATED=Y","FA_ADJUSTED=GAAP","Sort=A","Dates=H","DateFormat=P","Fill=—","Direction=H","UseDPDF=Y")</f>
        <v>#NAME?</v>
      </c>
      <c r="W552" s="2" t="e">
        <f ca="1">_xll.BDH($C$528,"EARN_FOR_COM_GROWTH","FQ4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52" s="2" t="e">
        <f ca="1">_xll.BDH($C$528,"DILUTED_EPS_AFT_XO_ITEMS_GROWTH","FQ4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52" s="2" t="e">
        <f ca="1">_xll.BDH($C$528,"DIVIDEND_PER_SHARE_1_YEAR_GROWTH","FQ4 2018","FQ4 2018","Currency=INR","Period=FQ","BEST_FPERIOD_OVERRIDE=FQ","FILING_STATUS=OR","EQY_CONSOLIDATED=Y","Sort=A","Dates=H","DateFormat=P","Fill=—","Direction=H","UseDPDF=Y")</f>
        <v>#NAME?</v>
      </c>
      <c r="Z552" s="2" t="e">
        <f ca="1">_xll.BDH($C$528,"ACCOUNTS_RECEIVABLE_GROWTH","FQ4 2018","FQ4 2018","Currency=INR","Period=FQ","BEST_FPERIOD_OVERRIDE=FQ","FILING_STATUS=OR","EQY_CONSOLIDATED=Y","Sort=A","Dates=H","DateFormat=P","Fill=—","Direction=H","UseDPDF=Y")</f>
        <v>#NAME?</v>
      </c>
      <c r="AA552" s="2" t="e">
        <f ca="1">_xll.BDH($C$528,"INVENTORY_GROWTH","FQ4 2018","FQ4 2018","Currency=INR","Period=FQ","BEST_FPERIOD_OVERRIDE=FQ","FILING_STATUS=OR","EQY_CONSOLIDATED=Y","Sort=A","Dates=H","DateFormat=P","Fill=—","Direction=H","UseDPDF=Y")</f>
        <v>#NAME?</v>
      </c>
      <c r="AB552" s="2" t="e">
        <f ca="1">_xll.BDH($C$528,"NET_FIXED_ASSETS_1_YEAR_GROWTH","FQ4 2018","FQ4 2018","Currency=INR","Period=FQ","BEST_FPERIOD_OVERRIDE=FQ","FILING_STATUS=OR","EQY_CONSOLIDATED=Y","Sort=A","Dates=H","DateFormat=P","Fill=—","Direction=H","UseDPDF=Y")</f>
        <v>#NAME?</v>
      </c>
      <c r="AC552" s="2" t="e">
        <f ca="1">_xll.BDH($C$528,"ASSET_GROWTH","FQ4 2018","FQ4 2018","Currency=INR","Period=FQ","BEST_FPERIOD_OVERRIDE=FQ","FILING_STATUS=OR","EQY_CONSOLIDATED=Y","Sort=A","Dates=H","DateFormat=P","Fill=—","Direction=H","UseDPDF=Y")</f>
        <v>#NAME?</v>
      </c>
      <c r="AD552" s="2" t="e">
        <f ca="1">_xll.BDH($C$528,"MODIFIED_WORK_CAP_GROWTH","FQ4 2018","FQ4 2018","Currency=INR","Period=FQ","BEST_FPERIOD_OVERRIDE=FQ","FILING_STATUS=OR","EQY_CONSOLIDATED=Y","Sort=A","Dates=H","DateFormat=P","Fill=—","Direction=H","UseDPDF=Y")</f>
        <v>#NAME?</v>
      </c>
      <c r="AE552" s="2" t="e">
        <f ca="1">_xll.BDH($C$528,"WORK_CAP_GROWTH","FQ4 2018","FQ4 2018","Currency=INR","Period=FQ","BEST_FPERIOD_OVERRIDE=FQ","FILING_STATUS=OR","EQY_CONSOLIDATED=Y","Sort=A","Dates=H","DateFormat=P","Fill=—","Direction=H","UseDPDF=Y")</f>
        <v>#NAME?</v>
      </c>
      <c r="AF552" s="2" t="e">
        <f ca="1">_xll.BDH($C$528,"ACCOUNTS_PAYABLE_GROWTH_1YR","FQ4 2018","FQ4 2018","Currency=INR","Period=FQ","BEST_FPERIOD_OVERRIDE=FQ","FILING_STATUS=OR","EQY_CONSOLIDATED=Y","Sort=A","Dates=H","DateFormat=P","Fill=—","Direction=H","UseDPDF=Y")</f>
        <v>#NAME?</v>
      </c>
      <c r="AG552" s="2" t="e">
        <f ca="1">_xll.BDH($C$528,"SHORT_TERM_DEBT_1_YEAR_GROWTH","FQ4 2018","FQ4 2018","Currency=INR","Period=FQ","BEST_FPERIOD_OVERRIDE=FQ","FILING_STATUS=OR","EQY_CONSOLIDATED=Y","Sort=A","Dates=H","DateFormat=P","Fill=—","Direction=H","UseDPDF=Y")</f>
        <v>#NAME?</v>
      </c>
      <c r="AH552" s="2" t="e">
        <f ca="1">_xll.BDH($C$528,"TOTAL_DEBT_1_YEAR_GROWTH","FQ4 2018","FQ4 2018","Currency=INR","Period=FQ","BEST_FPERIOD_OVERRIDE=FQ","FILING_STATUS=OR","EQY_CONSOLIDATED=Y","Sort=A","Dates=H","DateFormat=P","Fill=—","Direction=H","UseDPDF=Y")</f>
        <v>#NAME?</v>
      </c>
      <c r="AI552" s="2" t="e">
        <f ca="1">_xll.BDH($C$528,"TOTAL_EQUITY_1_YEAR_GROWTH","FQ4 2018","FQ4 2018","Currency=INR","Period=FQ","BEST_FPERIOD_OVERRIDE=FQ","FILING_STATUS=OR","EQY_CONSOLIDATED=Y","Sort=A","Dates=H","DateFormat=P","Fill=—","Direction=H","UseDPDF=Y")</f>
        <v>#NAME?</v>
      </c>
      <c r="AJ552" s="2" t="e">
        <f ca="1">_xll.BDH($C$528,"GROWTH_IN_CAP","FQ4 2018","FQ4 2018","Currency=INR","Period=FQ","BEST_FPERIOD_OVERRIDE=FQ","FILING_STATUS=OR","EQY_CONSOLIDATED=Y","Sort=A","Dates=H","DateFormat=P","Fill=—","Direction=H","UseDPDF=Y")</f>
        <v>#NAME?</v>
      </c>
      <c r="AK552" s="2" t="e">
        <f ca="1">_xll.BDH($C$528,"BVPS_GROWTH","FQ4 2018","FQ4 2018","Currency=INR","Period=FQ","BEST_FPERIOD_OVERRIDE=FQ","FILING_STATUS=OR","EQY_CONSOLIDATED=Y","Sort=A","Dates=H","DateFormat=P","Fill=—","Direction=H","UseDPDF=Y")</f>
        <v>#NAME?</v>
      </c>
      <c r="AL552" s="2" t="e">
        <f ca="1">_xll.BDH($C$528,"CASH_FLOW_GROWTH","FQ4 2018","FQ4 2018","Currency=INR","Period=FQ","BEST_FPERIOD_OVERRIDE=FQ","FILING_STATUS=OR","EQY_CONSOLIDATED=Y","Sort=A","Dates=H","DateFormat=P","Fill=—","Direction=H","UseDPDF=Y")</f>
        <v>#NAME?</v>
      </c>
      <c r="AM552" s="2" t="e">
        <f ca="1">_xll.BDH($C$528,"GEO_GROW_NET_SALES","FQ4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52" s="2" t="e">
        <f ca="1">_xll.BDH($C$528,"GEO_GROW_EBITDA","FQ4 2018","FQ4 2018","Currency=INR","Period=FQ","BEST_FPERIOD_OVERRIDE=FQ","FILING_STATUS=OR","EQY_CONSOLIDATED=Y","FA_ADJUSTED=GAAP","Sort=A","Dates=H","DateFormat=P","Fill=—","Direction=H","UseDPDF=Y")</f>
        <v>#NAME?</v>
      </c>
      <c r="AO552" s="2" t="e">
        <f ca="1">_xll.BDH($C$528,"GEO_GROW_OPER_INC","FQ4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52" s="2" t="e">
        <f ca="1">_xll.BDH($C$528,"NET_INCOME_TO_COMMON_5_YR_GROWTH","FQ4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52" s="2" t="e">
        <f ca="1">_xll.BDH($C$528,"5Y_GEO_GROWTH_DILUTED_EPS","FQ4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52" s="2" t="e">
        <f ca="1">_xll.BDH($C$528,"GEO_GROW_DVD_PER_SH","FQ4 2018","FQ4 2018","Currency=INR","Period=FQ","BEST_FPERIOD_OVERRIDE=FQ","FILING_STATUS=OR","EQY_CONSOLIDATED=Y","Sort=A","Dates=H","DateFormat=P","Fill=—","Direction=H","UseDPDF=Y")</f>
        <v>#NAME?</v>
      </c>
      <c r="AS552" s="2" t="e">
        <f ca="1">_xll.BDH($C$528,"ACCOUNTS_RECEIVABLE_5_YR_GROWTH","FQ4 2018","FQ4 2018","Currency=INR","Period=FQ","BEST_FPERIOD_OVERRIDE=FQ","FILING_STATUS=OR","EQY_CONSOLIDATED=Y","Sort=A","Dates=H","DateFormat=P","Fill=—","Direction=H","UseDPDF=Y")</f>
        <v>#NAME?</v>
      </c>
      <c r="AT552" s="2" t="e">
        <f ca="1">_xll.BDH($C$528,"INVENTORY_5_YEAR_GROWTH","FQ4 2018","FQ4 2018","Currency=INR","Period=FQ","BEST_FPERIOD_OVERRIDE=FQ","FILING_STATUS=OR","EQY_CONSOLIDATED=Y","Sort=A","Dates=H","DateFormat=P","Fill=—","Direction=H","UseDPDF=Y")</f>
        <v>#NAME?</v>
      </c>
      <c r="AU552" s="2" t="e">
        <f ca="1">_xll.BDH($C$528,"NET_FIXED_ASSETS_5_YEAR_GROWTH","FQ4 2018","FQ4 2018","Currency=INR","Period=FQ","BEST_FPERIOD_OVERRIDE=FQ","FILING_STATUS=OR","EQY_CONSOLIDATED=Y","Sort=A","Dates=H","DateFormat=P","Fill=—","Direction=H","UseDPDF=Y")</f>
        <v>#NAME?</v>
      </c>
      <c r="AV552" s="2" t="e">
        <f ca="1">_xll.BDH($C$528,"GEO_GROW_TOT_ASSET","FQ4 2018","FQ4 2018","Currency=INR","Period=FQ","BEST_FPERIOD_OVERRIDE=FQ","FILING_STATUS=OR","EQY_CONSOLIDATED=Y","Sort=A","Dates=H","DateFormat=P","Fill=—","Direction=H","UseDPDF=Y")</f>
        <v>#NAME?</v>
      </c>
      <c r="AW552" s="2" t="e">
        <f ca="1">_xll.BDH($C$528,"MODIFIED_WORKING_CPTL_5YR_GRWTH","FQ4 2018","FQ4 2018","Currency=INR","Period=FQ","BEST_FPERIOD_OVERRIDE=FQ","FILING_STATUS=OR","EQY_CONSOLIDATED=Y","Sort=A","Dates=H","DateFormat=P","Fill=—","Direction=H","UseDPDF=Y")</f>
        <v>#NAME?</v>
      </c>
      <c r="AX552" s="2" t="e">
        <f ca="1">_xll.BDH($C$528,"WORKING_CAPITAL_5_YEAR_GROWTH","FQ4 2018","FQ4 2018","Currency=INR","Period=FQ","BEST_FPERIOD_OVERRIDE=FQ","FILING_STATUS=OR","EQY_CONSOLIDATED=Y","Sort=A","Dates=H","DateFormat=P","Fill=—","Direction=H","UseDPDF=Y")</f>
        <v>#NAME?</v>
      </c>
      <c r="AY552" s="2" t="e">
        <f ca="1">_xll.BDH($C$528,"ACCOUNTS_PAYABLE_5_YEAR_GROWTH","FQ4 2018","FQ4 2018","Currency=INR","Period=FQ","BEST_FPERIOD_OVERRIDE=FQ","FILING_STATUS=OR","EQY_CONSOLIDATED=Y","Sort=A","Dates=H","DateFormat=P","Fill=—","Direction=H","UseDPDF=Y")</f>
        <v>#NAME?</v>
      </c>
      <c r="AZ552" s="2" t="e">
        <f ca="1">_xll.BDH($C$528,"SHORT_TERM_DEBT_5_YEAR_GROWTH","FQ4 2018","FQ4 2018","Currency=INR","Period=FQ","BEST_FPERIOD_OVERRIDE=FQ","FILING_STATUS=OR","EQY_CONSOLIDATED=Y","Sort=A","Dates=H","DateFormat=P","Fill=—","Direction=H","UseDPDF=Y")</f>
        <v>#NAME?</v>
      </c>
      <c r="BA552" s="2" t="e">
        <f ca="1">_xll.BDH($C$528,"TOTAL_DEBT_5_YEAR_GROWTH","FQ4 2018","FQ4 2018","Currency=INR","Period=FQ","BEST_FPERIOD_OVERRIDE=FQ","FILING_STATUS=OR","EQY_CONSOLIDATED=Y","Sort=A","Dates=H","DateFormat=P","Fill=—","Direction=H","UseDPDF=Y")</f>
        <v>#NAME?</v>
      </c>
      <c r="BB552" s="2" t="e">
        <f ca="1">_xll.BDH($C$528,"GEO_GROW_TOT_SHRHLDR_EQY","FQ4 2018","FQ4 2018","Currency=INR","Period=FQ","BEST_FPERIOD_OVERRIDE=FQ","FILING_STATUS=OR","EQY_CONSOLIDATED=Y","Sort=A","Dates=H","DateFormat=P","Fill=—","Direction=H","UseDPDF=Y")</f>
        <v>#NAME?</v>
      </c>
      <c r="BC552" s="2" t="e">
        <f ca="1">_xll.BDH($C$528,"TOTAL_CAPITAL_5_YEAR_GROWTH","FQ4 2018","FQ4 2018","Currency=INR","Period=FQ","BEST_FPERIOD_OVERRIDE=FQ","FILING_STATUS=OR","EQY_CONSOLIDATED=Y","Sort=A","Dates=H","DateFormat=P","Fill=—","Direction=H","UseDPDF=Y")</f>
        <v>#NAME?</v>
      </c>
      <c r="BD552" s="2" t="e">
        <f ca="1">_xll.BDH($C$528,"GEO_GROW_BOOK_VAL","FQ4 2018","FQ4 2018","Currency=INR","Period=FQ","BEST_FPERIOD_OVERRIDE=FQ","FILING_STATUS=OR","EQY_CONSOLIDATED=Y","Sort=A","Dates=H","DateFormat=P","Fill=—","Direction=H","UseDPDF=Y")</f>
        <v>#NAME?</v>
      </c>
      <c r="BE552" s="2" t="e">
        <f ca="1">_xll.BDH($C$528,"GEO_GROW_CASH_OPER_ACT","FQ4 2018","FQ4 2018","Currency=INR","Period=FQ","BEST_FPERIOD_OVERRIDE=FQ","FILING_STATUS=OR","EQY_CONSOLIDATED=Y","Sort=A","Dates=H","DateFormat=P","Fill=—","Direction=H","UseDPDF=Y")</f>
        <v>#NAME?</v>
      </c>
      <c r="BF552" s="2" t="e">
        <f ca="1">_xll.BDH($C$528,"REVENUE_SEQUENTIAL_GROWTH","FQ4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52" s="2" t="e">
        <f ca="1">_xll.BDH($C$528,"EBITDA_SEQUENTIAL_GROWTH","FQ4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52" s="2" t="e">
        <f ca="1">_xll.BDH($C$528,"OPERATING_INCOME_SEQ_GROWTH","FQ4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52" s="2" t="e">
        <f ca="1">_xll.BDH($C$528,"NET_INCOME_TO_COMMON_SEQ_GROWTH","FQ4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52" s="2" t="e">
        <f ca="1">_xll.BDH($C$528,"EPS_DILUTED_SEQUENTIAL_GROWTH","FQ4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52" s="2" t="e">
        <f ca="1">_xll.BDH($C$528,"DPS_SEQUENTIAL_GROWTH","FQ4 2018","FQ4 2018","Currency=INR","Period=FQ","BEST_FPERIOD_OVERRIDE=FQ","FILING_STATUS=OR","EQY_CONSOLIDATED=Y","Sort=A","Dates=H","DateFormat=P","Fill=—","Direction=H","UseDPDF=Y")</f>
        <v>#NAME?</v>
      </c>
      <c r="BL552" s="2" t="e">
        <f ca="1">_xll.BDH($C$528,"ACCOUNTS_RECEIVABLE_SEQ_GROWTH","FQ4 2018","FQ4 2018","Currency=INR","Period=FQ","BEST_FPERIOD_OVERRIDE=FQ","FILING_STATUS=OR","EQY_CONSOLIDATED=Y","Sort=A","Dates=H","DateFormat=P","Fill=—","Direction=H","UseDPDF=Y")</f>
        <v>#NAME?</v>
      </c>
      <c r="BM552" s="2" t="e">
        <f ca="1">_xll.BDH($C$528,"INVENTORY_SEQUENTIAL_GROWTH","FQ4 2018","FQ4 2018","Currency=INR","Period=FQ","BEST_FPERIOD_OVERRIDE=FQ","FILING_STATUS=OR","EQY_CONSOLIDATED=Y","Sort=A","Dates=H","DateFormat=P","Fill=—","Direction=H","UseDPDF=Y")</f>
        <v>#NAME?</v>
      </c>
      <c r="BN552" s="2" t="e">
        <f ca="1">_xll.BDH($C$528,"FIXED_ASSETS_SEQUENTIAL_GROWTH","FQ4 2018","FQ4 2018","Currency=INR","Period=FQ","BEST_FPERIOD_OVERRIDE=FQ","FILING_STATUS=OR","EQY_CONSOLIDATED=Y","Sort=A","Dates=H","DateFormat=P","Fill=—","Direction=H","UseDPDF=Y")</f>
        <v>#NAME?</v>
      </c>
      <c r="BO552" s="2" t="e">
        <f ca="1">_xll.BDH($C$528,"TOTAL_ASSETS_SEQUENTIAL_GROWTH","FQ4 2018","FQ4 2018","Currency=INR","Period=FQ","BEST_FPERIOD_OVERRIDE=FQ","FILING_STATUS=OR","EQY_CONSOLIDATED=Y","Sort=A","Dates=H","DateFormat=P","Fill=—","Direction=H","UseDPDF=Y")</f>
        <v>#NAME?</v>
      </c>
      <c r="BP552" s="2" t="e">
        <f ca="1">_xll.BDH($C$528,"MODIFIED_WORKING_CPTL_SEQ_GRWTH","FQ4 2018","FQ4 2018","Currency=INR","Period=FQ","BEST_FPERIOD_OVERRIDE=FQ","FILING_STATUS=OR","EQY_CONSOLIDATED=Y","Sort=A","Dates=H","DateFormat=P","Fill=—","Direction=H","UseDPDF=Y")</f>
        <v>#NAME?</v>
      </c>
      <c r="BQ552" s="2" t="e">
        <f ca="1">_xll.BDH($C$528,"WORKING_CAPITAL_SEQ_GROWTH","FQ4 2018","FQ4 2018","Currency=INR","Period=FQ","BEST_FPERIOD_OVERRIDE=FQ","FILING_STATUS=OR","EQY_CONSOLIDATED=Y","Sort=A","Dates=H","DateFormat=P","Fill=—","Direction=H","UseDPDF=Y")</f>
        <v>#NAME?</v>
      </c>
      <c r="BR552" s="2" t="e">
        <f ca="1">_xll.BDH($C$528,"ACCOUNTS_PAYABLE_SEQ_GROWTH","FQ4 2018","FQ4 2018","Currency=INR","Period=FQ","BEST_FPERIOD_OVERRIDE=FQ","FILING_STATUS=OR","EQY_CONSOLIDATED=Y","Sort=A","Dates=H","DateFormat=P","Fill=—","Direction=H","UseDPDF=Y")</f>
        <v>#NAME?</v>
      </c>
      <c r="BS552" s="2" t="e">
        <f ca="1">_xll.BDH($C$528,"ST_DEBT_SEQUENTIAL_GROWTH","FQ4 2018","FQ4 2018","Currency=INR","Period=FQ","BEST_FPERIOD_OVERRIDE=FQ","FILING_STATUS=OR","EQY_CONSOLIDATED=Y","Sort=A","Dates=H","DateFormat=P","Fill=—","Direction=H","UseDPDF=Y")</f>
        <v>#NAME?</v>
      </c>
      <c r="BT552" s="2" t="e">
        <f ca="1">_xll.BDH($C$528,"TOTAL_DEBT_SEQUENTIAL_GROWTH","FQ4 2018","FQ4 2018","Currency=INR","Period=FQ","BEST_FPERIOD_OVERRIDE=FQ","FILING_STATUS=OR","EQY_CONSOLIDATED=Y","Sort=A","Dates=H","DateFormat=P","Fill=—","Direction=H","UseDPDF=Y")</f>
        <v>#NAME?</v>
      </c>
      <c r="BU552" s="2" t="e">
        <f ca="1">_xll.BDH($C$528,"TOTAL_EQUITY_SEQUENTIAL_GROWTH","FQ4 2018","FQ4 2018","Currency=INR","Period=FQ","BEST_FPERIOD_OVERRIDE=FQ","FILING_STATUS=OR","EQY_CONSOLIDATED=Y","Sort=A","Dates=H","DateFormat=P","Fill=—","Direction=H","UseDPDF=Y")</f>
        <v>#NAME?</v>
      </c>
      <c r="BV552" s="2" t="e">
        <f ca="1">_xll.BDH($C$528,"TOTAL_CAPITAL_SEQUENTIAL_GROWTH","FQ4 2018","FQ4 2018","Currency=INR","Period=FQ","BEST_FPERIOD_OVERRIDE=FQ","FILING_STATUS=OR","EQY_CONSOLIDATED=Y","Sort=A","Dates=H","DateFormat=P","Fill=—","Direction=H","UseDPDF=Y")</f>
        <v>#NAME?</v>
      </c>
      <c r="BW552" s="2" t="e">
        <f ca="1">_xll.BDH($C$528,"BPS_SEQUENTIAL_GROWTH","FQ4 2018","FQ4 2018","Currency=INR","Period=FQ","BEST_FPERIOD_OVERRIDE=FQ","FILING_STATUS=OR","EQY_CONSOLIDATED=Y","Sort=A","Dates=H","DateFormat=P","Fill=—","Direction=H","UseDPDF=Y")</f>
        <v>#NAME?</v>
      </c>
      <c r="BX552" s="2" t="e">
        <f ca="1">_xll.BDH($C$528,"CFO_SEQUENTIAL_GROWTH","FQ4 2018","FQ4 2018","Currency=INR","Period=FQ","BEST_FPERIOD_OVERRIDE=FQ","FILING_STATUS=OR","EQY_CONSOLIDATED=Y","Sort=A","Dates=H","DateFormat=P","Fill=—","Direction=H","UseDPDF=Y")</f>
        <v>#NAME?</v>
      </c>
      <c r="BY552" s="3" t="e">
        <f ca="1">_xll.BDH($C$528,"SHORT_AND_LONG_TERM_DEBT","FQ4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52" s="3" t="e">
        <f ca="1">_xll.BDH($C$528,"BS_ST_BORROW","FQ4 2018","FQ4 2018","Currency=INR","Period=FQ","BEST_FPERIOD_OVERRIDE=FQ","FILING_STATUS=OR","EQY_CONSOLIDATED=Y","SCALING_FORMAT=MLN","Sort=A","Dates=H","DateFormat=P","Fill=—","Direction=H","UseDPDF=Y")</f>
        <v>#NAME?</v>
      </c>
      <c r="CA552" s="3" t="e">
        <f ca="1">_xll.BDH($C$528,"BS_LT_BORROW","FQ4 2018","FQ4 2018","Currency=INR","Period=FQ","BEST_FPERIOD_OVERRIDE=FQ","FILING_STATUS=OR","EQY_CONSOLIDATED=Y","SCALING_FORMAT=MLN","Sort=A","Dates=H","DateFormat=P","Fill=—","Direction=H","UseDPDF=Y")</f>
        <v>#NAME?</v>
      </c>
      <c r="CB552" s="2" t="e">
        <f ca="1">_xll.BDH($C$528,"TOT_DEBT_TO_EBITDA","FQ4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52" s="2" t="e">
        <f ca="1">_xll.BDH($C$528,"NET_DEBT_TO_EBITDA","FQ4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52" s="2" t="e">
        <f ca="1">_xll.BDH($C$528,"TOTAL_DEBT_TO_EBIT","FQ4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52" s="2" t="e">
        <f ca="1">_xll.BDH($C$528,"NET_DEBT_TO_EBIT","FQ4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552" s="2" t="e">
        <f ca="1">_xll.BDH($C$528,"EBITDA_TO_INTEREST_EXPN","FQ4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52" s="2" t="e">
        <f ca="1">_xll.BDH($C$528,"COM_EQY_TO_TOT_ASSET","FQ4 2018","FQ4 2018","Currency=INR","Period=FQ","BEST_FPERIOD_OVERRIDE=FQ","FILING_STATUS=OR","EQY_CONSOLIDATED=Y","Sort=A","Dates=H","DateFormat=P","Fill=—","Direction=H","UseDPDF=Y")</f>
        <v>#NAME?</v>
      </c>
      <c r="CH552" s="2" t="e">
        <f ca="1">_xll.BDH($C$528,"LT_DEBT_TO_TOT_EQY","FQ4 2018","FQ4 2018","Currency=INR","Period=FQ","BEST_FPERIOD_OVERRIDE=FQ","FILING_STATUS=OR","EQY_CONSOLIDATED=Y","Sort=A","Dates=H","DateFormat=P","Fill=—","Direction=H","UseDPDF=Y")</f>
        <v>#NAME?</v>
      </c>
      <c r="CI552" s="2" t="e">
        <f ca="1">_xll.BDH($C$528,"LT_DEBT_TO_TOT_CAP","FQ4 2018","FQ4 2018","Currency=INR","Period=FQ","BEST_FPERIOD_OVERRIDE=FQ","FILING_STATUS=OR","EQY_CONSOLIDATED=Y","Sort=A","Dates=H","DateFormat=P","Fill=—","Direction=H","UseDPDF=Y")</f>
        <v>#NAME?</v>
      </c>
      <c r="CJ552" s="2" t="e">
        <f ca="1">_xll.BDH($C$528,"LT_DEBT_TO_TOT_ASSET","FQ4 2018","FQ4 2018","Currency=INR","Period=FQ","BEST_FPERIOD_OVERRIDE=FQ","FILING_STATUS=OR","EQY_CONSOLIDATED=Y","Sort=A","Dates=H","DateFormat=P","Fill=—","Direction=H","UseDPDF=Y")</f>
        <v>#NAME?</v>
      </c>
      <c r="CK552" s="2" t="e">
        <f ca="1">_xll.BDH($C$528,"TOT_DEBT_TO_TOT_EQY","FQ4 2018","FQ4 2018","Currency=INR","Period=FQ","BEST_FPERIOD_OVERRIDE=FQ","FILING_STATUS=OR","EQY_CONSOLIDATED=Y","Sort=A","Dates=H","DateFormat=P","Fill=—","Direction=H","UseDPDF=Y")</f>
        <v>#NAME?</v>
      </c>
      <c r="CL552" s="2" t="e">
        <f ca="1">_xll.BDH($C$528,"TOT_DEBT_TO_TOT_CAP","FQ4 2018","FQ4 2018","Currency=INR","Period=FQ","BEST_FPERIOD_OVERRIDE=FQ","FILING_STATUS=OR","EQY_CONSOLIDATED=Y","Sort=A","Dates=H","DateFormat=P","Fill=—","Direction=H","UseDPDF=Y")</f>
        <v>#NAME?</v>
      </c>
      <c r="CM552" s="2" t="e">
        <f ca="1">_xll.BDH($C$528,"TOT_DEBT_TO_TOT_ASSET","FQ4 2018","FQ4 2018","Currency=INR","Period=FQ","BEST_FPERIOD_OVERRIDE=FQ","FILING_STATUS=OR","EQY_CONSOLIDATED=Y","Sort=A","Dates=H","DateFormat=P","Fill=—","Direction=H","UseDPDF=Y")</f>
        <v>#NAME?</v>
      </c>
      <c r="CN552" s="2" t="e">
        <f ca="1">_xll.BDH($C$528,"NET_DEBT_TO_SHRHLDR_EQTY","FQ4 2018","FQ4 2018","Currency=INR","Period=FQ","BEST_FPERIOD_OVERRIDE=FQ","FILING_STATUS=OR","EQY_CONSOLIDATED=Y","Sort=A","Dates=H","DateFormat=P","Fill=—","Direction=H","UseDPDF=Y")</f>
        <v>#NAME?</v>
      </c>
      <c r="CO552" s="2" t="e">
        <f ca="1">_xll.BDH($C$528,"NET_DEBT_%_CAPITAL","FQ4 2018","FQ4 2018","Currency=INR","Period=FQ","BEST_FPERIOD_OVERRIDE=FQ","FILING_STATUS=OR","EQY_CONSOLIDATED=Y","Sort=A","Dates=H","DateFormat=P","Fill=—","Direction=H","UseDPDF=Y")</f>
        <v>#NAME?</v>
      </c>
      <c r="CP552" s="3" t="e">
        <f ca="1">_xll.BDH($C$528,"EBITDA","FQ4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52" s="3" t="e">
        <f ca="1">_xll.BDH($C$528,"EBITDA_AFTER_CAPEX","FQ4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52" s="3" t="e">
        <f ca="1">_xll.BDH($C$528,"IS_OPER_INC","FQ4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52" s="2" t="e">
        <f ca="1">_xll.BDH($C$528,"CASH_RATIO","FQ4 2018","FQ4 2018","Currency=INR","Period=FQ","BEST_FPERIOD_OVERRIDE=FQ","FILING_STATUS=OR","EQY_CONSOLIDATED=Y","Sort=A","Dates=H","DateFormat=P","Fill=—","Direction=H","UseDPDF=Y")</f>
        <v>#NAME?</v>
      </c>
      <c r="CT552" s="2" t="e">
        <f ca="1">_xll.BDH($C$528,"CUR_RATIO","FQ4 2018","FQ4 2018","Currency=INR","Period=FQ","BEST_FPERIOD_OVERRIDE=FQ","FILING_STATUS=OR","EQY_CONSOLIDATED=Y","Sort=A","Dates=H","DateFormat=P","Fill=—","Direction=H","UseDPDF=Y")</f>
        <v>#NAME?</v>
      </c>
      <c r="CU552" s="2" t="e">
        <f ca="1">_xll.BDH($C$528,"QUICK_RATIO","FQ4 2018","FQ4 2018","Currency=INR","Period=FQ","BEST_FPERIOD_OVERRIDE=FQ","FILING_STATUS=OR","EQY_CONSOLIDATED=Y","Sort=A","Dates=H","DateFormat=P","Fill=—","Direction=H","UseDPDF=Y")</f>
        <v>#NAME?</v>
      </c>
      <c r="CV552" s="2" t="e">
        <f ca="1">_xll.BDH($C$528,"ALTMAN_Z_SCORE","FQ4 2018","FQ4 2018","Currency=INR","Period=FQ","BEST_FPERIOD_OVERRIDE=FQ","FILING_STATUS=OR","EQY_CONSOLIDATED=Y","Sort=A","Dates=H","DateFormat=P","Fill=—","Direction=H","UseDPDF=Y")</f>
        <v>#NAME?</v>
      </c>
      <c r="CW552" s="4" t="e">
        <f ca="1">_xll.BDH($C$528,"ACCT_RCV_TURN","FQ4 2018","FQ4 2018","Currency=INR","Period=FQ","BEST_FPERIOD_OVERRIDE=FQ","FILING_STATUS=OR","EQY_CONSOLIDATED=Y","FA_ADJUSTED=GAAP","Sort=A","Dates=H","DateFormat=P","Fill=—","Direction=H","UseDPDF=Y")</f>
        <v>#NAME?</v>
      </c>
      <c r="CX552" s="2" t="e">
        <f ca="1">_xll.BDH($C$528,"ACCT_RCV_DAYS","FQ4 2018","FQ4 2018","Currency=INR","Period=FQ","BEST_FPERIOD_OVERRIDE=FQ","FILING_STATUS=OR","EQY_CONSOLIDATED=Y","FA_ADJUSTED=GAAP","Sort=A","Dates=H","DateFormat=P","Fill=—","Direction=H","UseDPDF=Y")</f>
        <v>#NAME?</v>
      </c>
      <c r="CY552" s="4" t="e">
        <f ca="1">_xll.BDH($C$528,"INVENT_TURN","FQ4 2018","FQ4 2018","Currency=INR","Period=FQ","BEST_FPERIOD_OVERRIDE=FQ","FILING_STATUS=OR","EQY_CONSOLIDATED=Y","FA_ADJUSTED=GAAP","Sort=A","Dates=H","DateFormat=P","Fill=—","Direction=H","UseDPDF=Y")</f>
        <v>#NAME?</v>
      </c>
      <c r="CZ552" s="2" t="e">
        <f ca="1">_xll.BDH($C$528,"INVENT_DAYS","FQ4 2018","FQ4 2018","Currency=INR","Period=FQ","BEST_FPERIOD_OVERRIDE=FQ","FILING_STATUS=OR","EQY_CONSOLIDATED=Y","FA_ADJUSTED=GAAP","Sort=A","Dates=H","DateFormat=P","Fill=—","Direction=H","UseDPDF=Y")</f>
        <v>#NAME?</v>
      </c>
      <c r="DA552" s="4" t="e">
        <f ca="1">_xll.BDH($C$528,"ACCOUNTS_PAYABLE_TURNOVER","FQ4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52" s="2" t="e">
        <f ca="1">_xll.BDH($C$528,"ACCOUNTS_PAYABLE_TURNOVER_DAYS","FQ4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52" s="4" t="e">
        <f ca="1">_xll.BDH($C$528,"CASH_CONVERSION_CYCLE","FQ4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52" s="4" t="e">
        <f ca="1">_xll.BDH($C$528,"INV_TO_CASH_DAYS","FQ4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552" s="5" t="e">
        <f ca="1">_xll.BDH($C$528,"BS_INVENTORIES","FQ4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552" s="3" t="e">
        <f ca="1">_xll.BDH($C$528,"INVTRY_RAW_MATERIALS","FQ4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52" s="3" t="e">
        <f ca="1">_xll.BDH($C$528,"INVTRY_IN_PROGRESS","FQ4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52" s="3" t="e">
        <f ca="1">_xll.BDH($C$528,"INVTRY_FINISHED_GOODS","FQ4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52" s="3" t="e">
        <f ca="1">_xll.BDH($C$528,"BS_OTHER_INV","FQ4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53" spans="1:113" x14ac:dyDescent="0.3">
      <c r="A553" s="6">
        <v>98</v>
      </c>
      <c r="B553" s="6" t="s">
        <v>127</v>
      </c>
      <c r="C553" s="6" t="s">
        <v>128</v>
      </c>
      <c r="D553" s="6" t="s">
        <v>76</v>
      </c>
      <c r="E553" t="s">
        <v>77</v>
      </c>
      <c r="F553" t="e">
        <f ca="1">_xll.BDH($C$553,"RETURN_COM_EQY","FY 2014","FY 2014","Currency=INR","Period=FY","BEST_FPERIOD_OVERRIDE=FY","FILING_STATUS=OR","EQY_CONSOLIDATED=Y","FA_ADJUSTED=GAAP","Sort=A","Dates=H","DateFormat=P","Fill=—","Direction=H","UseDPDF=Y")</f>
        <v>#NAME?</v>
      </c>
      <c r="G553" t="e">
        <f ca="1">_xll.BDH($C$553,"RETURN_ON_ASSET","FY 2014","FY 2014","Currency=INR","Period=FY","BEST_FPERIOD_OVERRIDE=FY","FILING_STATUS=OR","EQY_CONSOLIDATED=Y","FA_ADJUSTED=GAAP","Sort=A","Dates=H","DateFormat=P","Fill=—","Direction=H","UseDPDF=Y")</f>
        <v>#NAME?</v>
      </c>
      <c r="H553" t="e">
        <f ca="1">_xll.BDH($C$553,"RETURN_ON_CAP","FY 2014","FY 2014","Currency=INR","Period=FY","BEST_FPERIOD_OVERRIDE=FY","FILING_STATUS=OR","EQY_CONSOLIDATED=Y","FA_ADJUSTED=GAAP","Sort=A","Dates=H","DateFormat=P","Fill=—","Direction=H","UseDPDF=Y")</f>
        <v>#NAME?</v>
      </c>
      <c r="I553" t="e">
        <f ca="1">_xll.BDH($C$553,"RETURN_ON_INV_CAPITAL","FY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53" t="e">
        <f ca="1">_xll.BDH($C$553,"EBITDA_TO_REVENUE","FY 2014","FY 2014","Currency=INR","Period=FY","BEST_FPERIOD_OVERRIDE=FY","FILING_STATUS=OR","EQY_CONSOLIDATED=Y","FA_ADJUSTED=GAAP","Sort=A","Dates=H","DateFormat=P","Fill=—","Direction=H","UseDPDF=Y")</f>
        <v>#NAME?</v>
      </c>
      <c r="K553" t="e">
        <f ca="1">_xll.BDH($C$553,"OPER_MARGIN","FY 2014","FY 2014","Currency=INR","Period=FY","BEST_FPERIOD_OVERRIDE=FY","FILING_STATUS=OR","EQY_CONSOLIDATED=Y","FA_ADJUSTED=GAAP","Sort=A","Dates=H","DateFormat=P","Fill=—","Direction=H","UseDPDF=Y")</f>
        <v>#NAME?</v>
      </c>
      <c r="L553" t="e">
        <f ca="1">_xll.BDH($C$553,"INCREMENTAL_OPERATING_MARGIN","FY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53" t="e">
        <f ca="1">_xll.BDH($C$553,"PRETAX_INC_TO_NET_SALES","FY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53" t="e">
        <f ca="1">_xll.BDH($C$553,"INC_BEF_XO_ITEMS_TO_NET_SALES","FY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53" t="e">
        <f ca="1">_xll.BDH($C$553,"PROF_MARGIN","FY 2014","FY 2014","Currency=INR","Period=FY","BEST_FPERIOD_OVERRIDE=FY","FILING_STATUS=OR","EQY_CONSOLIDATED=Y","FA_ADJUSTED=GAAP","Sort=A","Dates=H","DateFormat=P","Fill=—","Direction=H","UseDPDF=Y")</f>
        <v>#NAME?</v>
      </c>
      <c r="P553" t="e">
        <f ca="1">_xll.BDH($C$553,"NET_INCOME_TO_COMMON_MARGIN","FY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53" t="e">
        <f ca="1">_xll.BDH($C$553,"EFF_TAX_RATE","FY 2014","FY 2014","Currency=INR","Period=FY","BEST_FPERIOD_OVERRIDE=FY","FILING_STATUS=OR","EQY_CONSOLIDATED=Y","FA_ADJUSTED=GAAP","Sort=A","Dates=H","DateFormat=P","Fill=—","Direction=H","UseDPDF=Y")</f>
        <v>#NAME?</v>
      </c>
      <c r="R553" t="e">
        <f ca="1">_xll.BDH($C$553,"DVD_PAYOUT_RATIO","FY 2014","FY 2014","Currency=INR","Period=FY","BEST_FPERIOD_OVERRIDE=FY","FILING_STATUS=OR","EQY_CONSOLIDATED=Y","FA_ADJUSTED=GAAP","Sort=A","Dates=H","DateFormat=P","Fill=—","Direction=H","UseDPDF=Y")</f>
        <v>#NAME?</v>
      </c>
      <c r="S553" t="e">
        <f ca="1">_xll.BDH($C$553,"SUSTAIN_GROWTH_RT","FY 2014","FY 2014","Currency=INR","Period=FY","BEST_FPERIOD_OVERRIDE=FY","FILING_STATUS=OR","EQY_CONSOLIDATED=Y","FA_ADJUSTED=GAAP","Sort=A","Dates=H","DateFormat=P","Fill=—","Direction=H","UseDPDF=Y")</f>
        <v>#NAME?</v>
      </c>
      <c r="T553" s="2" t="e">
        <f ca="1">_xll.BDH($C$553,"SALES_GROWTH","FY 2014","FY 2014","Currency=INR","Period=FY","BEST_FPERIOD_OVERRIDE=FY","FILING_STATUS=OR","EQY_CONSOLIDATED=Y","FA_ADJUSTED=GAAP","Sort=A","Dates=H","DateFormat=P","Fill=—","Direction=H","UseDPDF=Y")</f>
        <v>#NAME?</v>
      </c>
      <c r="U553" s="2" t="e">
        <f ca="1">_xll.BDH($C$553,"EBITDA_GROWTH","FY 2014","FY 2014","Currency=INR","Period=FY","BEST_FPERIOD_OVERRIDE=FY","FILING_STATUS=OR","EQY_CONSOLIDATED=Y","FA_ADJUSTED=GAAP","Sort=A","Dates=H","DateFormat=P","Fill=—","Direction=H","UseDPDF=Y")</f>
        <v>#NAME?</v>
      </c>
      <c r="V553" s="2" t="e">
        <f ca="1">_xll.BDH($C$553,"OPER_INC_GROWTH","FY 2014","FY 2014","Currency=INR","Period=FY","BEST_FPERIOD_OVERRIDE=FY","FILING_STATUS=OR","EQY_CONSOLIDATED=Y","FA_ADJUSTED=GAAP","Sort=A","Dates=H","DateFormat=P","Fill=—","Direction=H","UseDPDF=Y")</f>
        <v>#NAME?</v>
      </c>
      <c r="W553" s="2" t="e">
        <f ca="1">_xll.BDH($C$553,"EARN_FOR_COM_GROWTH","FY 2014","FY 2014","Currency=INR","Period=FY","BEST_FPERIOD_OVERRIDE=FY","FILING_STATUS=OR","EQY_CONSOLIDATED=Y","FA_ADJUSTED=GAAP","Sort=A","Dates=H","DateFormat=P","Fill=—","Direction=H","UseDPDF=Y")</f>
        <v>#NAME?</v>
      </c>
      <c r="X553" s="2" t="e">
        <f ca="1">_xll.BDH($C$553,"DILUTED_EPS_AFT_XO_ITEMS_GROWTH","FY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53" s="2" t="e">
        <f ca="1">_xll.BDH($C$553,"DIVIDEND_PER_SHARE_1_YEAR_GROWTH","FY 2014","FY 2014","Currency=INR","Period=FY","BEST_FPERIOD_OVERRIDE=FY","FILING_STATUS=OR","EQY_CONSOLIDATED=Y","Sort=A","Dates=H","DateFormat=P","Fill=—","Direction=H","UseDPDF=Y")</f>
        <v>#NAME?</v>
      </c>
      <c r="Z553" s="2" t="e">
        <f ca="1">_xll.BDH($C$553,"ACCOUNTS_RECEIVABLE_GROWTH","FY 2014","FY 2014","Currency=INR","Period=FY","BEST_FPERIOD_OVERRIDE=FY","FILING_STATUS=OR","EQY_CONSOLIDATED=Y","Sort=A","Dates=H","DateFormat=P","Fill=—","Direction=H","UseDPDF=Y")</f>
        <v>#NAME?</v>
      </c>
      <c r="AA553" s="2" t="e">
        <f ca="1">_xll.BDH($C$553,"INVENTORY_GROWTH","FY 2014","FY 2014","Currency=INR","Period=FY","BEST_FPERIOD_OVERRIDE=FY","FILING_STATUS=OR","EQY_CONSOLIDATED=Y","Sort=A","Dates=H","DateFormat=P","Fill=—","Direction=H","UseDPDF=Y")</f>
        <v>#NAME?</v>
      </c>
      <c r="AB553" s="2" t="e">
        <f ca="1">_xll.BDH($C$553,"NET_FIXED_ASSETS_1_YEAR_GROWTH","FY 2014","FY 2014","Currency=INR","Period=FY","BEST_FPERIOD_OVERRIDE=FY","FILING_STATUS=OR","EQY_CONSOLIDATED=Y","Sort=A","Dates=H","DateFormat=P","Fill=—","Direction=H","UseDPDF=Y")</f>
        <v>#NAME?</v>
      </c>
      <c r="AC553" s="2" t="e">
        <f ca="1">_xll.BDH($C$553,"ASSET_GROWTH","FY 2014","FY 2014","Currency=INR","Period=FY","BEST_FPERIOD_OVERRIDE=FY","FILING_STATUS=OR","EQY_CONSOLIDATED=Y","Sort=A","Dates=H","DateFormat=P","Fill=—","Direction=H","UseDPDF=Y")</f>
        <v>#NAME?</v>
      </c>
      <c r="AD553" s="2" t="e">
        <f ca="1">_xll.BDH($C$553,"MODIFIED_WORK_CAP_GROWTH","FY 2014","FY 2014","Currency=INR","Period=FY","BEST_FPERIOD_OVERRIDE=FY","FILING_STATUS=OR","EQY_CONSOLIDATED=Y","Sort=A","Dates=H","DateFormat=P","Fill=—","Direction=H","UseDPDF=Y")</f>
        <v>#NAME?</v>
      </c>
      <c r="AE553" s="2" t="e">
        <f ca="1">_xll.BDH($C$553,"WORK_CAP_GROWTH","FY 2014","FY 2014","Currency=INR","Period=FY","BEST_FPERIOD_OVERRIDE=FY","FILING_STATUS=OR","EQY_CONSOLIDATED=Y","Sort=A","Dates=H","DateFormat=P","Fill=—","Direction=H","UseDPDF=Y")</f>
        <v>#NAME?</v>
      </c>
      <c r="AF553" s="2" t="e">
        <f ca="1">_xll.BDH($C$553,"ACCOUNTS_PAYABLE_GROWTH_1YR","FY 2014","FY 2014","Currency=INR","Period=FY","BEST_FPERIOD_OVERRIDE=FY","FILING_STATUS=OR","EQY_CONSOLIDATED=Y","Sort=A","Dates=H","DateFormat=P","Fill=—","Direction=H","UseDPDF=Y")</f>
        <v>#NAME?</v>
      </c>
      <c r="AG553" s="2" t="e">
        <f ca="1">_xll.BDH($C$553,"SHORT_TERM_DEBT_1_YEAR_GROWTH","FY 2014","FY 2014","Currency=INR","Period=FY","BEST_FPERIOD_OVERRIDE=FY","FILING_STATUS=OR","EQY_CONSOLIDATED=Y","Sort=A","Dates=H","DateFormat=P","Fill=—","Direction=H","UseDPDF=Y")</f>
        <v>#NAME?</v>
      </c>
      <c r="AH553" s="2" t="e">
        <f ca="1">_xll.BDH($C$553,"TOTAL_DEBT_1_YEAR_GROWTH","FY 2014","FY 2014","Currency=INR","Period=FY","BEST_FPERIOD_OVERRIDE=FY","FILING_STATUS=OR","EQY_CONSOLIDATED=Y","Sort=A","Dates=H","DateFormat=P","Fill=—","Direction=H","UseDPDF=Y")</f>
        <v>#NAME?</v>
      </c>
      <c r="AI553" s="2" t="e">
        <f ca="1">_xll.BDH($C$553,"TOTAL_EQUITY_1_YEAR_GROWTH","FY 2014","FY 2014","Currency=INR","Period=FY","BEST_FPERIOD_OVERRIDE=FY","FILING_STATUS=OR","EQY_CONSOLIDATED=Y","Sort=A","Dates=H","DateFormat=P","Fill=—","Direction=H","UseDPDF=Y")</f>
        <v>#NAME?</v>
      </c>
      <c r="AJ553" s="2" t="e">
        <f ca="1">_xll.BDH($C$553,"GROWTH_IN_CAP","FY 2014","FY 2014","Currency=INR","Period=FY","BEST_FPERIOD_OVERRIDE=FY","FILING_STATUS=OR","EQY_CONSOLIDATED=Y","Sort=A","Dates=H","DateFormat=P","Fill=—","Direction=H","UseDPDF=Y")</f>
        <v>#NAME?</v>
      </c>
      <c r="AK553" s="2" t="e">
        <f ca="1">_xll.BDH($C$553,"BVPS_GROWTH","FY 2014","FY 2014","Currency=INR","Period=FY","BEST_FPERIOD_OVERRIDE=FY","FILING_STATUS=OR","EQY_CONSOLIDATED=Y","Sort=A","Dates=H","DateFormat=P","Fill=—","Direction=H","UseDPDF=Y")</f>
        <v>#NAME?</v>
      </c>
      <c r="AL553" s="2" t="e">
        <f ca="1">_xll.BDH($C$553,"CASH_FLOW_GROWTH","FY 2014","FY 2014","Currency=INR","Period=FY","BEST_FPERIOD_OVERRIDE=FY","FILING_STATUS=OR","EQY_CONSOLIDATED=Y","Sort=A","Dates=H","DateFormat=P","Fill=—","Direction=H","UseDPDF=Y")</f>
        <v>#NAME?</v>
      </c>
      <c r="AM553" s="2" t="e">
        <f ca="1">_xll.BDH($C$553,"GEO_GROW_NET_SALES","FY 2014","FY 2014","Currency=INR","Period=FY","BEST_FPERIOD_OVERRIDE=FY","FILING_STATUS=OR","EQY_CONSOLIDATED=Y","FA_ADJUSTED=GAAP","Sort=A","Dates=H","DateFormat=P","Fill=—","Direction=H","UseDPDF=Y")</f>
        <v>#NAME?</v>
      </c>
      <c r="AN553" s="2" t="e">
        <f ca="1">_xll.BDH($C$553,"GEO_GROW_EBITDA","FY 2014","FY 2014","Currency=INR","Period=FY","BEST_FPERIOD_OVERRIDE=FY","FILING_STATUS=OR","EQY_CONSOLIDATED=Y","FA_ADJUSTED=GAAP","Sort=A","Dates=H","DateFormat=P","Fill=—","Direction=H","UseDPDF=Y")</f>
        <v>#NAME?</v>
      </c>
      <c r="AO553" s="2" t="e">
        <f ca="1">_xll.BDH($C$553,"GEO_GROW_OPER_INC","FY 2014","FY 2014","Currency=INR","Period=FY","BEST_FPERIOD_OVERRIDE=FY","FILING_STATUS=OR","EQY_CONSOLIDATED=Y","FA_ADJUSTED=GAAP","Sort=A","Dates=H","DateFormat=P","Fill=—","Direction=H","UseDPDF=Y")</f>
        <v>#NAME?</v>
      </c>
      <c r="AP553" s="2" t="e">
        <f ca="1">_xll.BDH($C$553,"NET_INCOME_TO_COMMON_5_YR_GROWTH","FY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53" s="2" t="e">
        <f ca="1">_xll.BDH($C$553,"5Y_GEO_GROWTH_DILUTED_EPS","FY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53" s="2" t="e">
        <f ca="1">_xll.BDH($C$553,"GEO_GROW_DVD_PER_SH","FY 2014","FY 2014","Currency=INR","Period=FY","BEST_FPERIOD_OVERRIDE=FY","FILING_STATUS=OR","EQY_CONSOLIDATED=Y","Sort=A","Dates=H","DateFormat=P","Fill=—","Direction=H","UseDPDF=Y")</f>
        <v>#NAME?</v>
      </c>
      <c r="AS553" s="2" t="e">
        <f ca="1">_xll.BDH($C$553,"ACCOUNTS_RECEIVABLE_5_YR_GROWTH","FY 2014","FY 2014","Currency=INR","Period=FY","BEST_FPERIOD_OVERRIDE=FY","FILING_STATUS=OR","EQY_CONSOLIDATED=Y","Sort=A","Dates=H","DateFormat=P","Fill=—","Direction=H","UseDPDF=Y")</f>
        <v>#NAME?</v>
      </c>
      <c r="AT553" s="2" t="e">
        <f ca="1">_xll.BDH($C$553,"INVENTORY_5_YEAR_GROWTH","FY 2014","FY 2014","Currency=INR","Period=FY","BEST_FPERIOD_OVERRIDE=FY","FILING_STATUS=OR","EQY_CONSOLIDATED=Y","Sort=A","Dates=H","DateFormat=P","Fill=—","Direction=H","UseDPDF=Y")</f>
        <v>#NAME?</v>
      </c>
      <c r="AU553" s="2" t="e">
        <f ca="1">_xll.BDH($C$553,"NET_FIXED_ASSETS_5_YEAR_GROWTH","FY 2014","FY 2014","Currency=INR","Period=FY","BEST_FPERIOD_OVERRIDE=FY","FILING_STATUS=OR","EQY_CONSOLIDATED=Y","Sort=A","Dates=H","DateFormat=P","Fill=—","Direction=H","UseDPDF=Y")</f>
        <v>#NAME?</v>
      </c>
      <c r="AV553" s="2" t="e">
        <f ca="1">_xll.BDH($C$553,"GEO_GROW_TOT_ASSET","FY 2014","FY 2014","Currency=INR","Period=FY","BEST_FPERIOD_OVERRIDE=FY","FILING_STATUS=OR","EQY_CONSOLIDATED=Y","Sort=A","Dates=H","DateFormat=P","Fill=—","Direction=H","UseDPDF=Y")</f>
        <v>#NAME?</v>
      </c>
      <c r="AW553" s="2" t="e">
        <f ca="1">_xll.BDH($C$553,"MODIFIED_WORKING_CPTL_5YR_GRWTH","FY 2014","FY 2014","Currency=INR","Period=FY","BEST_FPERIOD_OVERRIDE=FY","FILING_STATUS=OR","EQY_CONSOLIDATED=Y","Sort=A","Dates=H","DateFormat=P","Fill=—","Direction=H","UseDPDF=Y")</f>
        <v>#NAME?</v>
      </c>
      <c r="AX553" s="2" t="e">
        <f ca="1">_xll.BDH($C$553,"WORKING_CAPITAL_5_YEAR_GROWTH","FY 2014","FY 2014","Currency=INR","Period=FY","BEST_FPERIOD_OVERRIDE=FY","FILING_STATUS=OR","EQY_CONSOLIDATED=Y","Sort=A","Dates=H","DateFormat=P","Fill=—","Direction=H","UseDPDF=Y")</f>
        <v>#NAME?</v>
      </c>
      <c r="AY553" s="2" t="e">
        <f ca="1">_xll.BDH($C$553,"ACCOUNTS_PAYABLE_5_YEAR_GROWTH","FY 2014","FY 2014","Currency=INR","Period=FY","BEST_FPERIOD_OVERRIDE=FY","FILING_STATUS=OR","EQY_CONSOLIDATED=Y","Sort=A","Dates=H","DateFormat=P","Fill=—","Direction=H","UseDPDF=Y")</f>
        <v>#NAME?</v>
      </c>
      <c r="AZ553" s="2" t="e">
        <f ca="1">_xll.BDH($C$553,"SHORT_TERM_DEBT_5_YEAR_GROWTH","FY 2014","FY 2014","Currency=INR","Period=FY","BEST_FPERIOD_OVERRIDE=FY","FILING_STATUS=OR","EQY_CONSOLIDATED=Y","Sort=A","Dates=H","DateFormat=P","Fill=—","Direction=H","UseDPDF=Y")</f>
        <v>#NAME?</v>
      </c>
      <c r="BA553" s="2" t="e">
        <f ca="1">_xll.BDH($C$553,"TOTAL_DEBT_5_YEAR_GROWTH","FY 2014","FY 2014","Currency=INR","Period=FY","BEST_FPERIOD_OVERRIDE=FY","FILING_STATUS=OR","EQY_CONSOLIDATED=Y","Sort=A","Dates=H","DateFormat=P","Fill=—","Direction=H","UseDPDF=Y")</f>
        <v>#NAME?</v>
      </c>
      <c r="BB553" s="2" t="e">
        <f ca="1">_xll.BDH($C$553,"GEO_GROW_TOT_SHRHLDR_EQY","FY 2014","FY 2014","Currency=INR","Period=FY","BEST_FPERIOD_OVERRIDE=FY","FILING_STATUS=OR","EQY_CONSOLIDATED=Y","Sort=A","Dates=H","DateFormat=P","Fill=—","Direction=H","UseDPDF=Y")</f>
        <v>#NAME?</v>
      </c>
      <c r="BC553" s="2" t="e">
        <f ca="1">_xll.BDH($C$553,"TOTAL_CAPITAL_5_YEAR_GROWTH","FY 2014","FY 2014","Currency=INR","Period=FY","BEST_FPERIOD_OVERRIDE=FY","FILING_STATUS=OR","EQY_CONSOLIDATED=Y","Sort=A","Dates=H","DateFormat=P","Fill=—","Direction=H","UseDPDF=Y")</f>
        <v>#NAME?</v>
      </c>
      <c r="BD553" s="2" t="e">
        <f ca="1">_xll.BDH($C$553,"GEO_GROW_BOOK_VAL","FY 2014","FY 2014","Currency=INR","Period=FY","BEST_FPERIOD_OVERRIDE=FY","FILING_STATUS=OR","EQY_CONSOLIDATED=Y","Sort=A","Dates=H","DateFormat=P","Fill=—","Direction=H","UseDPDF=Y")</f>
        <v>#NAME?</v>
      </c>
      <c r="BE553" s="2" t="e">
        <f ca="1">_xll.BDH($C$553,"GEO_GROW_CASH_OPER_ACT","FY 2014","FY 2014","Currency=INR","Period=FY","BEST_FPERIOD_OVERRIDE=FY","FILING_STATUS=OR","EQY_CONSOLIDATED=Y","Sort=A","Dates=H","DateFormat=P","Fill=—","Direction=H","UseDPDF=Y")</f>
        <v>#NAME?</v>
      </c>
      <c r="BF553" s="2" t="e">
        <f ca="1">_xll.BDH($C$553,"REVENUE_SEQUENTIAL_GROWTH","FY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53" s="2" t="e">
        <f ca="1">_xll.BDH($C$553,"EBITDA_SEQUENTIAL_GROWTH","FY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53" s="2" t="e">
        <f ca="1">_xll.BDH($C$553,"OPERATING_INCOME_SEQ_GROWTH","FY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53" s="2" t="e">
        <f ca="1">_xll.BDH($C$553,"NET_INCOME_TO_COMMON_SEQ_GROWTH","FY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53" s="2" t="e">
        <f ca="1">_xll.BDH($C$553,"EPS_DILUTED_SEQUENTIAL_GROWTH","FY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53" s="2" t="e">
        <f ca="1">_xll.BDH($C$553,"DPS_SEQUENTIAL_GROWTH","FY 2014","FY 2014","Currency=INR","Period=FY","BEST_FPERIOD_OVERRIDE=FY","FILING_STATUS=OR","EQY_CONSOLIDATED=Y","Sort=A","Dates=H","DateFormat=P","Fill=—","Direction=H","UseDPDF=Y")</f>
        <v>#NAME?</v>
      </c>
      <c r="BL553" s="2" t="e">
        <f ca="1">_xll.BDH($C$553,"ACCOUNTS_RECEIVABLE_SEQ_GROWTH","FY 2014","FY 2014","Currency=INR","Period=FY","BEST_FPERIOD_OVERRIDE=FY","FILING_STATUS=OR","EQY_CONSOLIDATED=Y","Sort=A","Dates=H","DateFormat=P","Fill=—","Direction=H","UseDPDF=Y")</f>
        <v>#NAME?</v>
      </c>
      <c r="BM553" s="2" t="e">
        <f ca="1">_xll.BDH($C$553,"INVENTORY_SEQUENTIAL_GROWTH","FY 2014","FY 2014","Currency=INR","Period=FY","BEST_FPERIOD_OVERRIDE=FY","FILING_STATUS=OR","EQY_CONSOLIDATED=Y","Sort=A","Dates=H","DateFormat=P","Fill=—","Direction=H","UseDPDF=Y")</f>
        <v>#NAME?</v>
      </c>
      <c r="BN553" s="2" t="e">
        <f ca="1">_xll.BDH($C$553,"FIXED_ASSETS_SEQUENTIAL_GROWTH","FY 2014","FY 2014","Currency=INR","Period=FY","BEST_FPERIOD_OVERRIDE=FY","FILING_STATUS=OR","EQY_CONSOLIDATED=Y","Sort=A","Dates=H","DateFormat=P","Fill=—","Direction=H","UseDPDF=Y")</f>
        <v>#NAME?</v>
      </c>
      <c r="BO553" s="2" t="e">
        <f ca="1">_xll.BDH($C$553,"TOTAL_ASSETS_SEQUENTIAL_GROWTH","FY 2014","FY 2014","Currency=INR","Period=FY","BEST_FPERIOD_OVERRIDE=FY","FILING_STATUS=OR","EQY_CONSOLIDATED=Y","Sort=A","Dates=H","DateFormat=P","Fill=—","Direction=H","UseDPDF=Y")</f>
        <v>#NAME?</v>
      </c>
      <c r="BP553" s="2" t="e">
        <f ca="1">_xll.BDH($C$553,"MODIFIED_WORKING_CPTL_SEQ_GRWTH","FY 2014","FY 2014","Currency=INR","Period=FY","BEST_FPERIOD_OVERRIDE=FY","FILING_STATUS=OR","EQY_CONSOLIDATED=Y","Sort=A","Dates=H","DateFormat=P","Fill=—","Direction=H","UseDPDF=Y")</f>
        <v>#NAME?</v>
      </c>
      <c r="BQ553" s="2" t="e">
        <f ca="1">_xll.BDH($C$553,"WORKING_CAPITAL_SEQ_GROWTH","FY 2014","FY 2014","Currency=INR","Period=FY","BEST_FPERIOD_OVERRIDE=FY","FILING_STATUS=OR","EQY_CONSOLIDATED=Y","Sort=A","Dates=H","DateFormat=P","Fill=—","Direction=H","UseDPDF=Y")</f>
        <v>#NAME?</v>
      </c>
      <c r="BR553" s="2" t="e">
        <f ca="1">_xll.BDH($C$553,"ACCOUNTS_PAYABLE_SEQ_GROWTH","FY 2014","FY 2014","Currency=INR","Period=FY","BEST_FPERIOD_OVERRIDE=FY","FILING_STATUS=OR","EQY_CONSOLIDATED=Y","Sort=A","Dates=H","DateFormat=P","Fill=—","Direction=H","UseDPDF=Y")</f>
        <v>#NAME?</v>
      </c>
      <c r="BS553" s="2" t="e">
        <f ca="1">_xll.BDH($C$553,"ST_DEBT_SEQUENTIAL_GROWTH","FY 2014","FY 2014","Currency=INR","Period=FY","BEST_FPERIOD_OVERRIDE=FY","FILING_STATUS=OR","EQY_CONSOLIDATED=Y","Sort=A","Dates=H","DateFormat=P","Fill=—","Direction=H","UseDPDF=Y")</f>
        <v>#NAME?</v>
      </c>
      <c r="BT553" s="2" t="e">
        <f ca="1">_xll.BDH($C$553,"TOTAL_DEBT_SEQUENTIAL_GROWTH","FY 2014","FY 2014","Currency=INR","Period=FY","BEST_FPERIOD_OVERRIDE=FY","FILING_STATUS=OR","EQY_CONSOLIDATED=Y","Sort=A","Dates=H","DateFormat=P","Fill=—","Direction=H","UseDPDF=Y")</f>
        <v>#NAME?</v>
      </c>
      <c r="BU553" s="2" t="e">
        <f ca="1">_xll.BDH($C$553,"TOTAL_EQUITY_SEQUENTIAL_GROWTH","FY 2014","FY 2014","Currency=INR","Period=FY","BEST_FPERIOD_OVERRIDE=FY","FILING_STATUS=OR","EQY_CONSOLIDATED=Y","Sort=A","Dates=H","DateFormat=P","Fill=—","Direction=H","UseDPDF=Y")</f>
        <v>#NAME?</v>
      </c>
      <c r="BV553" s="2" t="e">
        <f ca="1">_xll.BDH($C$553,"TOTAL_CAPITAL_SEQUENTIAL_GROWTH","FY 2014","FY 2014","Currency=INR","Period=FY","BEST_FPERIOD_OVERRIDE=FY","FILING_STATUS=OR","EQY_CONSOLIDATED=Y","Sort=A","Dates=H","DateFormat=P","Fill=—","Direction=H","UseDPDF=Y")</f>
        <v>#NAME?</v>
      </c>
      <c r="BW553" s="2" t="e">
        <f ca="1">_xll.BDH($C$553,"BPS_SEQUENTIAL_GROWTH","FY 2014","FY 2014","Currency=INR","Period=FY","BEST_FPERIOD_OVERRIDE=FY","FILING_STATUS=OR","EQY_CONSOLIDATED=Y","Sort=A","Dates=H","DateFormat=P","Fill=—","Direction=H","UseDPDF=Y")</f>
        <v>#NAME?</v>
      </c>
      <c r="BX553" s="2" t="e">
        <f ca="1">_xll.BDH($C$553,"CFO_SEQUENTIAL_GROWTH","FY 2014","FY 2014","Currency=INR","Period=FY","BEST_FPERIOD_OVERRIDE=FY","FILING_STATUS=OR","EQY_CONSOLIDATED=Y","Sort=A","Dates=H","DateFormat=P","Fill=—","Direction=H","UseDPDF=Y")</f>
        <v>#NAME?</v>
      </c>
      <c r="BY553" s="3" t="e">
        <f ca="1">_xll.BDH($C$553,"SHORT_AND_LONG_TERM_DEBT","FY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53" s="3" t="e">
        <f ca="1">_xll.BDH($C$553,"BS_ST_BORROW","FY 2014","FY 2014","Currency=INR","Period=FY","BEST_FPERIOD_OVERRIDE=FY","FILING_STATUS=OR","EQY_CONSOLIDATED=Y","SCALING_FORMAT=MLN","Sort=A","Dates=H","DateFormat=P","Fill=—","Direction=H","UseDPDF=Y")</f>
        <v>#NAME?</v>
      </c>
      <c r="CA553" s="3" t="e">
        <f ca="1">_xll.BDH($C$553,"BS_LT_BORROW","FY 2014","FY 2014","Currency=INR","Period=FY","BEST_FPERIOD_OVERRIDE=FY","FILING_STATUS=OR","EQY_CONSOLIDATED=Y","SCALING_FORMAT=MLN","Sort=A","Dates=H","DateFormat=P","Fill=—","Direction=H","UseDPDF=Y")</f>
        <v>#NAME?</v>
      </c>
      <c r="CB553" s="2" t="e">
        <f ca="1">_xll.BDH($C$553,"TOT_DEBT_TO_EBITDA","FY 2014","FY 2014","Currency=INR","Period=FY","BEST_FPERIOD_OVERRIDE=FY","FILING_STATUS=OR","EQY_CONSOLIDATED=Y","FA_ADJUSTED=GAAP","Sort=A","Dates=H","DateFormat=P","Fill=—","Direction=H","UseDPDF=Y")</f>
        <v>#NAME?</v>
      </c>
      <c r="CC553" s="2" t="e">
        <f ca="1">_xll.BDH($C$553,"NET_DEBT_TO_EBITDA","FY 2014","FY 2014","Currency=INR","Period=FY","BEST_FPERIOD_OVERRIDE=FY","FILING_STATUS=OR","EQY_CONSOLIDATED=Y","FA_ADJUSTED=GAAP","Sort=A","Dates=H","DateFormat=P","Fill=—","Direction=H","UseDPDF=Y")</f>
        <v>#NAME?</v>
      </c>
      <c r="CD553" s="2" t="e">
        <f ca="1">_xll.BDH($C$553,"TOTAL_DEBT_TO_EBIT","FY 2014","FY 2014","Currency=INR","Period=FY","BEST_FPERIOD_OVERRIDE=FY","FILING_STATUS=OR","EQY_CONSOLIDATED=Y","FA_ADJUSTED=GAAP","Sort=A","Dates=H","DateFormat=P","Fill=—","Direction=H","UseDPDF=Y")</f>
        <v>#NAME?</v>
      </c>
      <c r="CE553" s="2" t="e">
        <f ca="1">_xll.BDH($C$553,"NET_DEBT_TO_EBIT","FY 2014","FY 2014","Currency=INR","Period=FY","BEST_FPERIOD_OVERRIDE=FY","FILING_STATUS=OR","EQY_CONSOLIDATED=Y","FA_ADJUSTED=GAAP","Sort=A","Dates=H","DateFormat=P","Fill=—","Direction=H","UseDPDF=Y")</f>
        <v>#NAME?</v>
      </c>
      <c r="CF553" s="2" t="e">
        <f ca="1">_xll.BDH($C$553,"EBITDA_TO_INTEREST_EXPN","FY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53" s="2" t="e">
        <f ca="1">_xll.BDH($C$553,"COM_EQY_TO_TOT_ASSET","FY 2014","FY 2014","Currency=INR","Period=FY","BEST_FPERIOD_OVERRIDE=FY","FILING_STATUS=OR","EQY_CONSOLIDATED=Y","Sort=A","Dates=H","DateFormat=P","Fill=—","Direction=H","UseDPDF=Y")</f>
        <v>#NAME?</v>
      </c>
      <c r="CH553" s="2" t="e">
        <f ca="1">_xll.BDH($C$553,"LT_DEBT_TO_TOT_EQY","FY 2014","FY 2014","Currency=INR","Period=FY","BEST_FPERIOD_OVERRIDE=FY","FILING_STATUS=OR","EQY_CONSOLIDATED=Y","Sort=A","Dates=H","DateFormat=P","Fill=—","Direction=H","UseDPDF=Y")</f>
        <v>#NAME?</v>
      </c>
      <c r="CI553" s="2" t="e">
        <f ca="1">_xll.BDH($C$553,"LT_DEBT_TO_TOT_CAP","FY 2014","FY 2014","Currency=INR","Period=FY","BEST_FPERIOD_OVERRIDE=FY","FILING_STATUS=OR","EQY_CONSOLIDATED=Y","Sort=A","Dates=H","DateFormat=P","Fill=—","Direction=H","UseDPDF=Y")</f>
        <v>#NAME?</v>
      </c>
      <c r="CJ553" s="2" t="e">
        <f ca="1">_xll.BDH($C$553,"LT_DEBT_TO_TOT_ASSET","FY 2014","FY 2014","Currency=INR","Period=FY","BEST_FPERIOD_OVERRIDE=FY","FILING_STATUS=OR","EQY_CONSOLIDATED=Y","Sort=A","Dates=H","DateFormat=P","Fill=—","Direction=H","UseDPDF=Y")</f>
        <v>#NAME?</v>
      </c>
      <c r="CK553" s="2" t="e">
        <f ca="1">_xll.BDH($C$553,"TOT_DEBT_TO_TOT_EQY","FY 2014","FY 2014","Currency=INR","Period=FY","BEST_FPERIOD_OVERRIDE=FY","FILING_STATUS=OR","EQY_CONSOLIDATED=Y","Sort=A","Dates=H","DateFormat=P","Fill=—","Direction=H","UseDPDF=Y")</f>
        <v>#NAME?</v>
      </c>
      <c r="CL553" s="2" t="e">
        <f ca="1">_xll.BDH($C$553,"TOT_DEBT_TO_TOT_CAP","FY 2014","FY 2014","Currency=INR","Period=FY","BEST_FPERIOD_OVERRIDE=FY","FILING_STATUS=OR","EQY_CONSOLIDATED=Y","Sort=A","Dates=H","DateFormat=P","Fill=—","Direction=H","UseDPDF=Y")</f>
        <v>#NAME?</v>
      </c>
      <c r="CM553" s="2" t="e">
        <f ca="1">_xll.BDH($C$553,"TOT_DEBT_TO_TOT_ASSET","FY 2014","FY 2014","Currency=INR","Period=FY","BEST_FPERIOD_OVERRIDE=FY","FILING_STATUS=OR","EQY_CONSOLIDATED=Y","Sort=A","Dates=H","DateFormat=P","Fill=—","Direction=H","UseDPDF=Y")</f>
        <v>#NAME?</v>
      </c>
      <c r="CN553" s="2" t="e">
        <f ca="1">_xll.BDH($C$553,"NET_DEBT_TO_SHRHLDR_EQTY","FY 2014","FY 2014","Currency=INR","Period=FY","BEST_FPERIOD_OVERRIDE=FY","FILING_STATUS=OR","EQY_CONSOLIDATED=Y","Sort=A","Dates=H","DateFormat=P","Fill=—","Direction=H","UseDPDF=Y")</f>
        <v>#NAME?</v>
      </c>
      <c r="CO553" s="2" t="e">
        <f ca="1">_xll.BDH($C$553,"NET_DEBT_%_CAPITAL","FY 2014","FY 2014","Currency=INR","Period=FY","BEST_FPERIOD_OVERRIDE=FY","FILING_STATUS=OR","EQY_CONSOLIDATED=Y","Sort=A","Dates=H","DateFormat=P","Fill=—","Direction=H","UseDPDF=Y")</f>
        <v>#NAME?</v>
      </c>
      <c r="CP553" s="3" t="e">
        <f ca="1">_xll.BDH($C$553,"EBITDA","FY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53" s="3" t="e">
        <f ca="1">_xll.BDH($C$553,"EBITDA_AFTER_CAPEX","FY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53" s="3" t="e">
        <f ca="1">_xll.BDH($C$553,"IS_OPER_INC","FY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53" s="2" t="e">
        <f ca="1">_xll.BDH($C$553,"CASH_RATIO","FY 2014","FY 2014","Currency=INR","Period=FY","BEST_FPERIOD_OVERRIDE=FY","FILING_STATUS=OR","EQY_CONSOLIDATED=Y","Sort=A","Dates=H","DateFormat=P","Fill=—","Direction=H","UseDPDF=Y")</f>
        <v>#NAME?</v>
      </c>
      <c r="CT553" s="2" t="e">
        <f ca="1">_xll.BDH($C$553,"CUR_RATIO","FY 2014","FY 2014","Currency=INR","Period=FY","BEST_FPERIOD_OVERRIDE=FY","FILING_STATUS=OR","EQY_CONSOLIDATED=Y","Sort=A","Dates=H","DateFormat=P","Fill=—","Direction=H","UseDPDF=Y")</f>
        <v>#NAME?</v>
      </c>
      <c r="CU553" s="2" t="e">
        <f ca="1">_xll.BDH($C$553,"QUICK_RATIO","FY 2014","FY 2014","Currency=INR","Period=FY","BEST_FPERIOD_OVERRIDE=FY","FILING_STATUS=OR","EQY_CONSOLIDATED=Y","Sort=A","Dates=H","DateFormat=P","Fill=—","Direction=H","UseDPDF=Y")</f>
        <v>#NAME?</v>
      </c>
      <c r="CV553" s="2" t="e">
        <f ca="1">_xll.BDH($C$553,"ALTMAN_Z_SCORE","FY 2014","FY 2014","Currency=INR","Period=FY","BEST_FPERIOD_OVERRIDE=FY","FILING_STATUS=OR","EQY_CONSOLIDATED=Y","Sort=A","Dates=H","DateFormat=P","Fill=—","Direction=H","UseDPDF=Y")</f>
        <v>#NAME?</v>
      </c>
      <c r="CW553" s="4" t="e">
        <f ca="1">_xll.BDH($C$553,"ACCT_RCV_TURN","FY 2014","FY 2014","Currency=INR","Period=FY","BEST_FPERIOD_OVERRIDE=FY","FILING_STATUS=OR","EQY_CONSOLIDATED=Y","FA_ADJUSTED=GAAP","Sort=A","Dates=H","DateFormat=P","Fill=—","Direction=H","UseDPDF=Y")</f>
        <v>#NAME?</v>
      </c>
      <c r="CX553" s="2" t="e">
        <f ca="1">_xll.BDH($C$553,"ACCT_RCV_DAYS","FY 2014","FY 2014","Currency=INR","Period=FY","BEST_FPERIOD_OVERRIDE=FY","FILING_STATUS=OR","EQY_CONSOLIDATED=Y","FA_ADJUSTED=GAAP","Sort=A","Dates=H","DateFormat=P","Fill=—","Direction=H","UseDPDF=Y")</f>
        <v>#NAME?</v>
      </c>
      <c r="CY553" s="4" t="e">
        <f ca="1">_xll.BDH($C$553,"INVENT_TURN","FY 2014","FY 2014","Currency=INR","Period=FY","BEST_FPERIOD_OVERRIDE=FY","FILING_STATUS=OR","EQY_CONSOLIDATED=Y","FA_ADJUSTED=GAAP","Sort=A","Dates=H","DateFormat=P","Fill=—","Direction=H","UseDPDF=Y")</f>
        <v>#NAME?</v>
      </c>
      <c r="CZ553" s="2" t="e">
        <f ca="1">_xll.BDH($C$553,"INVENT_DAYS","FY 2014","FY 2014","Currency=INR","Period=FY","BEST_FPERIOD_OVERRIDE=FY","FILING_STATUS=OR","EQY_CONSOLIDATED=Y","FA_ADJUSTED=GAAP","Sort=A","Dates=H","DateFormat=P","Fill=—","Direction=H","UseDPDF=Y")</f>
        <v>#NAME?</v>
      </c>
      <c r="DA553" s="4" t="e">
        <f ca="1">_xll.BDH($C$553,"ACCOUNTS_PAYABLE_TURNOVER","FY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53" s="2" t="e">
        <f ca="1">_xll.BDH($C$553,"ACCOUNTS_PAYABLE_TURNOVER_DAYS","FY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53" s="4" t="e">
        <f ca="1">_xll.BDH($C$553,"CASH_CONVERSION_CYCLE","FY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53" s="4" t="e">
        <f ca="1">_xll.BDH($C$553,"INV_TO_CASH_DAYS","FY 2014","FY 2014","Currency=INR","Period=FY","BEST_FPERIOD_OVERRIDE=FY","FILING_STATUS=OR","EQY_CONSOLIDATED=Y","FA_ADJUSTED=GAAP","Sort=A","Dates=H","DateFormat=P","Fill=—","Direction=H","UseDPDF=Y")</f>
        <v>#NAME?</v>
      </c>
      <c r="DE553" s="5" t="e">
        <f ca="1">_xll.BDH($C$553,"BS_INVENTORIES","FY 2014","FY 2014","Currency=INR","Period=FY","BEST_FPERIOD_OVERRIDE=FY","FILING_STATUS=OR","EQY_CONSOLIDATED=Y","SCALING_FORMAT=MLN","Sort=A","Dates=H","DateFormat=P","Fill=—","Direction=H","UseDPDF=Y")</f>
        <v>#NAME?</v>
      </c>
      <c r="DF553" s="3" t="e">
        <f ca="1">_xll.BDH($C$553,"INVTRY_RAW_MATERIALS","FY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53" s="3" t="e">
        <f ca="1">_xll.BDH($C$553,"INVTRY_IN_PROGRESS","FY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53" s="3" t="e">
        <f ca="1">_xll.BDH($C$553,"INVTRY_FINISHED_GOODS","FY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53" s="3" t="e">
        <f ca="1">_xll.BDH($C$553,"BS_OTHER_INV","FY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54" spans="1:113" x14ac:dyDescent="0.3">
      <c r="A554" s="6"/>
      <c r="B554" s="6"/>
      <c r="C554" s="6"/>
      <c r="D554" s="6"/>
      <c r="E554" t="s">
        <v>78</v>
      </c>
      <c r="F554" t="e">
        <f ca="1">_xll.BDH($C$553,"RETURN_COM_EQY","FQ1 2014","FQ1 2014","Currency=INR","Period=FQ","BEST_FPERIOD_OVERRIDE=FQ","FILING_STATUS=OR","EQY_CONSOLIDATED=Y","FA_ADJUSTED=GAAP","Sort=A","Dates=H","DateFormat=P","Fill=—","Direction=H","UseDPDF=Y")</f>
        <v>#NAME?</v>
      </c>
      <c r="G554" t="e">
        <f ca="1">_xll.BDH($C$553,"RETURN_ON_ASSET","FQ1 2014","FQ1 2014","Currency=INR","Period=FQ","BEST_FPERIOD_OVERRIDE=FQ","FILING_STATUS=OR","EQY_CONSOLIDATED=Y","FA_ADJUSTED=GAAP","Sort=A","Dates=H","DateFormat=P","Fill=—","Direction=H","UseDPDF=Y")</f>
        <v>#NAME?</v>
      </c>
      <c r="H554" t="e">
        <f ca="1">_xll.BDH($C$553,"RETURN_ON_CAP","FQ1 2014","FQ1 2014","Currency=INR","Period=FQ","BEST_FPERIOD_OVERRIDE=FQ","FILING_STATUS=OR","EQY_CONSOLIDATED=Y","FA_ADJUSTED=GAAP","Sort=A","Dates=H","DateFormat=P","Fill=—","Direction=H","UseDPDF=Y")</f>
        <v>#NAME?</v>
      </c>
      <c r="I554" t="e">
        <f ca="1">_xll.BDH($C$553,"RETURN_ON_INV_CAPITAL","FQ1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54" t="e">
        <f ca="1">_xll.BDH($C$553,"EBITDA_TO_REVENUE","FQ1 2014","FQ1 2014","Currency=INR","Period=FQ","BEST_FPERIOD_OVERRIDE=FQ","FILING_STATUS=OR","EQY_CONSOLIDATED=Y","FA_ADJUSTED=GAAP","Sort=A","Dates=H","DateFormat=P","Fill=—","Direction=H","UseDPDF=Y")</f>
        <v>#NAME?</v>
      </c>
      <c r="K554" t="e">
        <f ca="1">_xll.BDH($C$553,"OPER_MARGIN","FQ1 2014","FQ1 2014","Currency=INR","Period=FQ","BEST_FPERIOD_OVERRIDE=FQ","FILING_STATUS=OR","EQY_CONSOLIDATED=Y","FA_ADJUSTED=GAAP","Sort=A","Dates=H","DateFormat=P","Fill=—","Direction=H","UseDPDF=Y")</f>
        <v>#NAME?</v>
      </c>
      <c r="L554" t="e">
        <f ca="1">_xll.BDH($C$553,"INCREMENTAL_OPERATING_MARGIN","FQ1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54" t="e">
        <f ca="1">_xll.BDH($C$553,"PRETAX_INC_TO_NET_SALES","FQ1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54" t="e">
        <f ca="1">_xll.BDH($C$553,"INC_BEF_XO_ITEMS_TO_NET_SALES","FQ1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54" t="e">
        <f ca="1">_xll.BDH($C$553,"PROF_MARGIN","FQ1 2014","FQ1 2014","Currency=INR","Period=FQ","BEST_FPERIOD_OVERRIDE=FQ","FILING_STATUS=OR","EQY_CONSOLIDATED=Y","FA_ADJUSTED=GAAP","Sort=A","Dates=H","DateFormat=P","Fill=—","Direction=H","UseDPDF=Y")</f>
        <v>#NAME?</v>
      </c>
      <c r="P554" t="e">
        <f ca="1">_xll.BDH($C$553,"NET_INCOME_TO_COMMON_MARGIN","FQ1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54" t="e">
        <f ca="1">_xll.BDH($C$553,"EFF_TAX_RATE","FQ1 2014","FQ1 2014","Currency=INR","Period=FQ","BEST_FPERIOD_OVERRIDE=FQ","FILING_STATUS=OR","EQY_CONSOLIDATED=Y","FA_ADJUSTED=GAAP","Sort=A","Dates=H","DateFormat=P","Fill=—","Direction=H","UseDPDF=Y")</f>
        <v>#NAME?</v>
      </c>
      <c r="R554" t="e">
        <f ca="1">_xll.BDH($C$553,"DVD_PAYOUT_RATIO","FQ1 2014","FQ1 2014","Currency=INR","Period=FQ","BEST_FPERIOD_OVERRIDE=FQ","FILING_STATUS=OR","EQY_CONSOLIDATED=Y","FA_ADJUSTED=GAAP","Sort=A","Dates=H","DateFormat=P","Fill=—","Direction=H","UseDPDF=Y")</f>
        <v>#NAME?</v>
      </c>
      <c r="S554" t="e">
        <f ca="1">_xll.BDH($C$553,"SUSTAIN_GROWTH_RT","FQ1 2014","FQ1 2014","Currency=INR","Period=FQ","BEST_FPERIOD_OVERRIDE=FQ","FILING_STATUS=OR","EQY_CONSOLIDATED=Y","FA_ADJUSTED=GAAP","Sort=A","Dates=H","DateFormat=P","Fill=—","Direction=H","UseDPDF=Y")</f>
        <v>#NAME?</v>
      </c>
      <c r="T554" s="2" t="e">
        <f ca="1">_xll.BDH($C$553,"SALES_GROWTH","FQ1 2014","FQ1 2014","Currency=INR","Period=FQ","BEST_FPERIOD_OVERRIDE=FQ","FILING_STATUS=OR","EQY_CONSOLIDATED=Y","FA_ADJUSTED=GAAP","Sort=A","Dates=H","DateFormat=P","Fill=—","Direction=H","UseDPDF=Y")</f>
        <v>#NAME?</v>
      </c>
      <c r="U554" s="2" t="e">
        <f ca="1">_xll.BDH($C$553,"EBITDA_GROWTH","FQ1 2014","FQ1 2014","Currency=INR","Period=FQ","BEST_FPERIOD_OVERRIDE=FQ","FILING_STATUS=OR","EQY_CONSOLIDATED=Y","FA_ADJUSTED=GAAP","Sort=A","Dates=H","DateFormat=P","Fill=—","Direction=H","UseDPDF=Y")</f>
        <v>#NAME?</v>
      </c>
      <c r="V554" s="2" t="e">
        <f ca="1">_xll.BDH($C$553,"OPER_INC_GROWTH","FQ1 2014","FQ1 2014","Currency=INR","Period=FQ","BEST_FPERIOD_OVERRIDE=FQ","FILING_STATUS=OR","EQY_CONSOLIDATED=Y","FA_ADJUSTED=GAAP","Sort=A","Dates=H","DateFormat=P","Fill=—","Direction=H","UseDPDF=Y")</f>
        <v>#NAME?</v>
      </c>
      <c r="W554" s="2" t="e">
        <f ca="1">_xll.BDH($C$553,"EARN_FOR_COM_GROWTH","FQ1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54" s="2" t="e">
        <f ca="1">_xll.BDH($C$553,"DILUTED_EPS_AFT_XO_ITEMS_GROWTH","FQ1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54" s="2" t="e">
        <f ca="1">_xll.BDH($C$553,"DIVIDEND_PER_SHARE_1_YEAR_GROWTH","FQ1 2014","FQ1 2014","Currency=INR","Period=FQ","BEST_FPERIOD_OVERRIDE=FQ","FILING_STATUS=OR","EQY_CONSOLIDATED=Y","Sort=A","Dates=H","DateFormat=P","Fill=—","Direction=H","UseDPDF=Y")</f>
        <v>#NAME?</v>
      </c>
      <c r="Z554" s="2" t="e">
        <f ca="1">_xll.BDH($C$553,"ACCOUNTS_RECEIVABLE_GROWTH","FQ1 2014","FQ1 2014","Currency=INR","Period=FQ","BEST_FPERIOD_OVERRIDE=FQ","FILING_STATUS=OR","EQY_CONSOLIDATED=Y","Sort=A","Dates=H","DateFormat=P","Fill=—","Direction=H","UseDPDF=Y")</f>
        <v>#NAME?</v>
      </c>
      <c r="AA554" s="2" t="e">
        <f ca="1">_xll.BDH($C$553,"INVENTORY_GROWTH","FQ1 2014","FQ1 2014","Currency=INR","Period=FQ","BEST_FPERIOD_OVERRIDE=FQ","FILING_STATUS=OR","EQY_CONSOLIDATED=Y","Sort=A","Dates=H","DateFormat=P","Fill=—","Direction=H","UseDPDF=Y")</f>
        <v>#NAME?</v>
      </c>
      <c r="AB554" s="2" t="e">
        <f ca="1">_xll.BDH($C$553,"NET_FIXED_ASSETS_1_YEAR_GROWTH","FQ1 2014","FQ1 2014","Currency=INR","Period=FQ","BEST_FPERIOD_OVERRIDE=FQ","FILING_STATUS=OR","EQY_CONSOLIDATED=Y","Sort=A","Dates=H","DateFormat=P","Fill=—","Direction=H","UseDPDF=Y")</f>
        <v>#NAME?</v>
      </c>
      <c r="AC554" s="2" t="e">
        <f ca="1">_xll.BDH($C$553,"ASSET_GROWTH","FQ1 2014","FQ1 2014","Currency=INR","Period=FQ","BEST_FPERIOD_OVERRIDE=FQ","FILING_STATUS=OR","EQY_CONSOLIDATED=Y","Sort=A","Dates=H","DateFormat=P","Fill=—","Direction=H","UseDPDF=Y")</f>
        <v>#NAME?</v>
      </c>
      <c r="AD554" s="2" t="e">
        <f ca="1">_xll.BDH($C$553,"MODIFIED_WORK_CAP_GROWTH","FQ1 2014","FQ1 2014","Currency=INR","Period=FQ","BEST_FPERIOD_OVERRIDE=FQ","FILING_STATUS=OR","EQY_CONSOLIDATED=Y","Sort=A","Dates=H","DateFormat=P","Fill=—","Direction=H","UseDPDF=Y")</f>
        <v>#NAME?</v>
      </c>
      <c r="AE554" s="2" t="e">
        <f ca="1">_xll.BDH($C$553,"WORK_CAP_GROWTH","FQ1 2014","FQ1 2014","Currency=INR","Period=FQ","BEST_FPERIOD_OVERRIDE=FQ","FILING_STATUS=OR","EQY_CONSOLIDATED=Y","Sort=A","Dates=H","DateFormat=P","Fill=—","Direction=H","UseDPDF=Y")</f>
        <v>#NAME?</v>
      </c>
      <c r="AF554" s="2" t="e">
        <f ca="1">_xll.BDH($C$553,"ACCOUNTS_PAYABLE_GROWTH_1YR","FQ1 2014","FQ1 2014","Currency=INR","Period=FQ","BEST_FPERIOD_OVERRIDE=FQ","FILING_STATUS=OR","EQY_CONSOLIDATED=Y","Sort=A","Dates=H","DateFormat=P","Fill=—","Direction=H","UseDPDF=Y")</f>
        <v>#NAME?</v>
      </c>
      <c r="AG554" s="2" t="e">
        <f ca="1">_xll.BDH($C$553,"SHORT_TERM_DEBT_1_YEAR_GROWTH","FQ1 2014","FQ1 2014","Currency=INR","Period=FQ","BEST_FPERIOD_OVERRIDE=FQ","FILING_STATUS=OR","EQY_CONSOLIDATED=Y","Sort=A","Dates=H","DateFormat=P","Fill=—","Direction=H","UseDPDF=Y")</f>
        <v>#NAME?</v>
      </c>
      <c r="AH554" s="2" t="e">
        <f ca="1">_xll.BDH($C$553,"TOTAL_DEBT_1_YEAR_GROWTH","FQ1 2014","FQ1 2014","Currency=INR","Period=FQ","BEST_FPERIOD_OVERRIDE=FQ","FILING_STATUS=OR","EQY_CONSOLIDATED=Y","Sort=A","Dates=H","DateFormat=P","Fill=—","Direction=H","UseDPDF=Y")</f>
        <v>#NAME?</v>
      </c>
      <c r="AI554" s="2" t="e">
        <f ca="1">_xll.BDH($C$553,"TOTAL_EQUITY_1_YEAR_GROWTH","FQ1 2014","FQ1 2014","Currency=INR","Period=FQ","BEST_FPERIOD_OVERRIDE=FQ","FILING_STATUS=OR","EQY_CONSOLIDATED=Y","Sort=A","Dates=H","DateFormat=P","Fill=—","Direction=H","UseDPDF=Y")</f>
        <v>#NAME?</v>
      </c>
      <c r="AJ554" s="2" t="e">
        <f ca="1">_xll.BDH($C$553,"GROWTH_IN_CAP","FQ1 2014","FQ1 2014","Currency=INR","Period=FQ","BEST_FPERIOD_OVERRIDE=FQ","FILING_STATUS=OR","EQY_CONSOLIDATED=Y","Sort=A","Dates=H","DateFormat=P","Fill=—","Direction=H","UseDPDF=Y")</f>
        <v>#NAME?</v>
      </c>
      <c r="AK554" s="2" t="e">
        <f ca="1">_xll.BDH($C$553,"BVPS_GROWTH","FQ1 2014","FQ1 2014","Currency=INR","Period=FQ","BEST_FPERIOD_OVERRIDE=FQ","FILING_STATUS=OR","EQY_CONSOLIDATED=Y","Sort=A","Dates=H","DateFormat=P","Fill=—","Direction=H","UseDPDF=Y")</f>
        <v>#NAME?</v>
      </c>
      <c r="AL554" s="2" t="e">
        <f ca="1">_xll.BDH($C$553,"CASH_FLOW_GROWTH","FQ1 2014","FQ1 2014","Currency=INR","Period=FQ","BEST_FPERIOD_OVERRIDE=FQ","FILING_STATUS=OR","EQY_CONSOLIDATED=Y","Sort=A","Dates=H","DateFormat=P","Fill=—","Direction=H","UseDPDF=Y")</f>
        <v>#NAME?</v>
      </c>
      <c r="AM554" s="2" t="e">
        <f ca="1">_xll.BDH($C$553,"GEO_GROW_NET_SALES","FQ1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54" s="2" t="e">
        <f ca="1">_xll.BDH($C$553,"GEO_GROW_EBITDA","FQ1 2014","FQ1 2014","Currency=INR","Period=FQ","BEST_FPERIOD_OVERRIDE=FQ","FILING_STATUS=OR","EQY_CONSOLIDATED=Y","FA_ADJUSTED=GAAP","Sort=A","Dates=H","DateFormat=P","Fill=—","Direction=H","UseDPDF=Y")</f>
        <v>#NAME?</v>
      </c>
      <c r="AO554" s="2" t="e">
        <f ca="1">_xll.BDH($C$553,"GEO_GROW_OPER_INC","FQ1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54" s="2" t="e">
        <f ca="1">_xll.BDH($C$553,"NET_INCOME_TO_COMMON_5_YR_GROWTH","FQ1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54" s="2" t="e">
        <f ca="1">_xll.BDH($C$553,"5Y_GEO_GROWTH_DILUTED_EPS","FQ1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54" s="2" t="e">
        <f ca="1">_xll.BDH($C$553,"GEO_GROW_DVD_PER_SH","FQ1 2014","FQ1 2014","Currency=INR","Period=FQ","BEST_FPERIOD_OVERRIDE=FQ","FILING_STATUS=OR","EQY_CONSOLIDATED=Y","Sort=A","Dates=H","DateFormat=P","Fill=—","Direction=H","UseDPDF=Y")</f>
        <v>#NAME?</v>
      </c>
      <c r="AS554" s="2" t="e">
        <f ca="1">_xll.BDH($C$553,"ACCOUNTS_RECEIVABLE_5_YR_GROWTH","FQ1 2014","FQ1 2014","Currency=INR","Period=FQ","BEST_FPERIOD_OVERRIDE=FQ","FILING_STATUS=OR","EQY_CONSOLIDATED=Y","Sort=A","Dates=H","DateFormat=P","Fill=—","Direction=H","UseDPDF=Y")</f>
        <v>#NAME?</v>
      </c>
      <c r="AT554" s="2" t="e">
        <f ca="1">_xll.BDH($C$553,"INVENTORY_5_YEAR_GROWTH","FQ1 2014","FQ1 2014","Currency=INR","Period=FQ","BEST_FPERIOD_OVERRIDE=FQ","FILING_STATUS=OR","EQY_CONSOLIDATED=Y","Sort=A","Dates=H","DateFormat=P","Fill=—","Direction=H","UseDPDF=Y")</f>
        <v>#NAME?</v>
      </c>
      <c r="AU554" s="2" t="e">
        <f ca="1">_xll.BDH($C$553,"NET_FIXED_ASSETS_5_YEAR_GROWTH","FQ1 2014","FQ1 2014","Currency=INR","Period=FQ","BEST_FPERIOD_OVERRIDE=FQ","FILING_STATUS=OR","EQY_CONSOLIDATED=Y","Sort=A","Dates=H","DateFormat=P","Fill=—","Direction=H","UseDPDF=Y")</f>
        <v>#NAME?</v>
      </c>
      <c r="AV554" s="2" t="e">
        <f ca="1">_xll.BDH($C$553,"GEO_GROW_TOT_ASSET","FQ1 2014","FQ1 2014","Currency=INR","Period=FQ","BEST_FPERIOD_OVERRIDE=FQ","FILING_STATUS=OR","EQY_CONSOLIDATED=Y","Sort=A","Dates=H","DateFormat=P","Fill=—","Direction=H","UseDPDF=Y")</f>
        <v>#NAME?</v>
      </c>
      <c r="AW554" s="2" t="e">
        <f ca="1">_xll.BDH($C$553,"MODIFIED_WORKING_CPTL_5YR_GRWTH","FQ1 2014","FQ1 2014","Currency=INR","Period=FQ","BEST_FPERIOD_OVERRIDE=FQ","FILING_STATUS=OR","EQY_CONSOLIDATED=Y","Sort=A","Dates=H","DateFormat=P","Fill=—","Direction=H","UseDPDF=Y")</f>
        <v>#NAME?</v>
      </c>
      <c r="AX554" s="2" t="e">
        <f ca="1">_xll.BDH($C$553,"WORKING_CAPITAL_5_YEAR_GROWTH","FQ1 2014","FQ1 2014","Currency=INR","Period=FQ","BEST_FPERIOD_OVERRIDE=FQ","FILING_STATUS=OR","EQY_CONSOLIDATED=Y","Sort=A","Dates=H","DateFormat=P","Fill=—","Direction=H","UseDPDF=Y")</f>
        <v>#NAME?</v>
      </c>
      <c r="AY554" s="2" t="e">
        <f ca="1">_xll.BDH($C$553,"ACCOUNTS_PAYABLE_5_YEAR_GROWTH","FQ1 2014","FQ1 2014","Currency=INR","Period=FQ","BEST_FPERIOD_OVERRIDE=FQ","FILING_STATUS=OR","EQY_CONSOLIDATED=Y","Sort=A","Dates=H","DateFormat=P","Fill=—","Direction=H","UseDPDF=Y")</f>
        <v>#NAME?</v>
      </c>
      <c r="AZ554" s="2" t="e">
        <f ca="1">_xll.BDH($C$553,"SHORT_TERM_DEBT_5_YEAR_GROWTH","FQ1 2014","FQ1 2014","Currency=INR","Period=FQ","BEST_FPERIOD_OVERRIDE=FQ","FILING_STATUS=OR","EQY_CONSOLIDATED=Y","Sort=A","Dates=H","DateFormat=P","Fill=—","Direction=H","UseDPDF=Y")</f>
        <v>#NAME?</v>
      </c>
      <c r="BA554" s="2" t="e">
        <f ca="1">_xll.BDH($C$553,"TOTAL_DEBT_5_YEAR_GROWTH","FQ1 2014","FQ1 2014","Currency=INR","Period=FQ","BEST_FPERIOD_OVERRIDE=FQ","FILING_STATUS=OR","EQY_CONSOLIDATED=Y","Sort=A","Dates=H","DateFormat=P","Fill=—","Direction=H","UseDPDF=Y")</f>
        <v>#NAME?</v>
      </c>
      <c r="BB554" s="2" t="e">
        <f ca="1">_xll.BDH($C$553,"GEO_GROW_TOT_SHRHLDR_EQY","FQ1 2014","FQ1 2014","Currency=INR","Period=FQ","BEST_FPERIOD_OVERRIDE=FQ","FILING_STATUS=OR","EQY_CONSOLIDATED=Y","Sort=A","Dates=H","DateFormat=P","Fill=—","Direction=H","UseDPDF=Y")</f>
        <v>#NAME?</v>
      </c>
      <c r="BC554" s="2" t="e">
        <f ca="1">_xll.BDH($C$553,"TOTAL_CAPITAL_5_YEAR_GROWTH","FQ1 2014","FQ1 2014","Currency=INR","Period=FQ","BEST_FPERIOD_OVERRIDE=FQ","FILING_STATUS=OR","EQY_CONSOLIDATED=Y","Sort=A","Dates=H","DateFormat=P","Fill=—","Direction=H","UseDPDF=Y")</f>
        <v>#NAME?</v>
      </c>
      <c r="BD554" s="2" t="e">
        <f ca="1">_xll.BDH($C$553,"GEO_GROW_BOOK_VAL","FQ1 2014","FQ1 2014","Currency=INR","Period=FQ","BEST_FPERIOD_OVERRIDE=FQ","FILING_STATUS=OR","EQY_CONSOLIDATED=Y","Sort=A","Dates=H","DateFormat=P","Fill=—","Direction=H","UseDPDF=Y")</f>
        <v>#NAME?</v>
      </c>
      <c r="BE554" s="2" t="e">
        <f ca="1">_xll.BDH($C$553,"GEO_GROW_CASH_OPER_ACT","FQ1 2014","FQ1 2014","Currency=INR","Period=FQ","BEST_FPERIOD_OVERRIDE=FQ","FILING_STATUS=OR","EQY_CONSOLIDATED=Y","Sort=A","Dates=H","DateFormat=P","Fill=—","Direction=H","UseDPDF=Y")</f>
        <v>#NAME?</v>
      </c>
      <c r="BF554" s="2" t="e">
        <f ca="1">_xll.BDH($C$553,"REVENUE_SEQUENTIAL_GROWTH","FQ1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54" s="2" t="e">
        <f ca="1">_xll.BDH($C$553,"EBITDA_SEQUENTIAL_GROWTH","FQ1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54" s="2" t="e">
        <f ca="1">_xll.BDH($C$553,"OPERATING_INCOME_SEQ_GROWTH","FQ1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54" s="2" t="e">
        <f ca="1">_xll.BDH($C$553,"NET_INCOME_TO_COMMON_SEQ_GROWTH","FQ1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54" s="2" t="e">
        <f ca="1">_xll.BDH($C$553,"EPS_DILUTED_SEQUENTIAL_GROWTH","FQ1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54" s="2" t="e">
        <f ca="1">_xll.BDH($C$553,"DPS_SEQUENTIAL_GROWTH","FQ1 2014","FQ1 2014","Currency=INR","Period=FQ","BEST_FPERIOD_OVERRIDE=FQ","FILING_STATUS=OR","EQY_CONSOLIDATED=Y","Sort=A","Dates=H","DateFormat=P","Fill=—","Direction=H","UseDPDF=Y")</f>
        <v>#NAME?</v>
      </c>
      <c r="BL554" s="2" t="e">
        <f ca="1">_xll.BDH($C$553,"ACCOUNTS_RECEIVABLE_SEQ_GROWTH","FQ1 2014","FQ1 2014","Currency=INR","Period=FQ","BEST_FPERIOD_OVERRIDE=FQ","FILING_STATUS=OR","EQY_CONSOLIDATED=Y","Sort=A","Dates=H","DateFormat=P","Fill=—","Direction=H","UseDPDF=Y")</f>
        <v>#NAME?</v>
      </c>
      <c r="BM554" s="2" t="e">
        <f ca="1">_xll.BDH($C$553,"INVENTORY_SEQUENTIAL_GROWTH","FQ1 2014","FQ1 2014","Currency=INR","Period=FQ","BEST_FPERIOD_OVERRIDE=FQ","FILING_STATUS=OR","EQY_CONSOLIDATED=Y","Sort=A","Dates=H","DateFormat=P","Fill=—","Direction=H","UseDPDF=Y")</f>
        <v>#NAME?</v>
      </c>
      <c r="BN554" s="2" t="e">
        <f ca="1">_xll.BDH($C$553,"FIXED_ASSETS_SEQUENTIAL_GROWTH","FQ1 2014","FQ1 2014","Currency=INR","Period=FQ","BEST_FPERIOD_OVERRIDE=FQ","FILING_STATUS=OR","EQY_CONSOLIDATED=Y","Sort=A","Dates=H","DateFormat=P","Fill=—","Direction=H","UseDPDF=Y")</f>
        <v>#NAME?</v>
      </c>
      <c r="BO554" s="2" t="e">
        <f ca="1">_xll.BDH($C$553,"TOTAL_ASSETS_SEQUENTIAL_GROWTH","FQ1 2014","FQ1 2014","Currency=INR","Period=FQ","BEST_FPERIOD_OVERRIDE=FQ","FILING_STATUS=OR","EQY_CONSOLIDATED=Y","Sort=A","Dates=H","DateFormat=P","Fill=—","Direction=H","UseDPDF=Y")</f>
        <v>#NAME?</v>
      </c>
      <c r="BP554" s="2" t="e">
        <f ca="1">_xll.BDH($C$553,"MODIFIED_WORKING_CPTL_SEQ_GRWTH","FQ1 2014","FQ1 2014","Currency=INR","Period=FQ","BEST_FPERIOD_OVERRIDE=FQ","FILING_STATUS=OR","EQY_CONSOLIDATED=Y","Sort=A","Dates=H","DateFormat=P","Fill=—","Direction=H","UseDPDF=Y")</f>
        <v>#NAME?</v>
      </c>
      <c r="BQ554" s="2" t="e">
        <f ca="1">_xll.BDH($C$553,"WORKING_CAPITAL_SEQ_GROWTH","FQ1 2014","FQ1 2014","Currency=INR","Period=FQ","BEST_FPERIOD_OVERRIDE=FQ","FILING_STATUS=OR","EQY_CONSOLIDATED=Y","Sort=A","Dates=H","DateFormat=P","Fill=—","Direction=H","UseDPDF=Y")</f>
        <v>#NAME?</v>
      </c>
      <c r="BR554" s="2" t="e">
        <f ca="1">_xll.BDH($C$553,"ACCOUNTS_PAYABLE_SEQ_GROWTH","FQ1 2014","FQ1 2014","Currency=INR","Period=FQ","BEST_FPERIOD_OVERRIDE=FQ","FILING_STATUS=OR","EQY_CONSOLIDATED=Y","Sort=A","Dates=H","DateFormat=P","Fill=—","Direction=H","UseDPDF=Y")</f>
        <v>#NAME?</v>
      </c>
      <c r="BS554" s="2" t="e">
        <f ca="1">_xll.BDH($C$553,"ST_DEBT_SEQUENTIAL_GROWTH","FQ1 2014","FQ1 2014","Currency=INR","Period=FQ","BEST_FPERIOD_OVERRIDE=FQ","FILING_STATUS=OR","EQY_CONSOLIDATED=Y","Sort=A","Dates=H","DateFormat=P","Fill=—","Direction=H","UseDPDF=Y")</f>
        <v>#NAME?</v>
      </c>
      <c r="BT554" s="2" t="e">
        <f ca="1">_xll.BDH($C$553,"TOTAL_DEBT_SEQUENTIAL_GROWTH","FQ1 2014","FQ1 2014","Currency=INR","Period=FQ","BEST_FPERIOD_OVERRIDE=FQ","FILING_STATUS=OR","EQY_CONSOLIDATED=Y","Sort=A","Dates=H","DateFormat=P","Fill=—","Direction=H","UseDPDF=Y")</f>
        <v>#NAME?</v>
      </c>
      <c r="BU554" s="2" t="e">
        <f ca="1">_xll.BDH($C$553,"TOTAL_EQUITY_SEQUENTIAL_GROWTH","FQ1 2014","FQ1 2014","Currency=INR","Period=FQ","BEST_FPERIOD_OVERRIDE=FQ","FILING_STATUS=OR","EQY_CONSOLIDATED=Y","Sort=A","Dates=H","DateFormat=P","Fill=—","Direction=H","UseDPDF=Y")</f>
        <v>#NAME?</v>
      </c>
      <c r="BV554" s="2" t="e">
        <f ca="1">_xll.BDH($C$553,"TOTAL_CAPITAL_SEQUENTIAL_GROWTH","FQ1 2014","FQ1 2014","Currency=INR","Period=FQ","BEST_FPERIOD_OVERRIDE=FQ","FILING_STATUS=OR","EQY_CONSOLIDATED=Y","Sort=A","Dates=H","DateFormat=P","Fill=—","Direction=H","UseDPDF=Y")</f>
        <v>#NAME?</v>
      </c>
      <c r="BW554" s="2" t="e">
        <f ca="1">_xll.BDH($C$553,"BPS_SEQUENTIAL_GROWTH","FQ1 2014","FQ1 2014","Currency=INR","Period=FQ","BEST_FPERIOD_OVERRIDE=FQ","FILING_STATUS=OR","EQY_CONSOLIDATED=Y","Sort=A","Dates=H","DateFormat=P","Fill=—","Direction=H","UseDPDF=Y")</f>
        <v>#NAME?</v>
      </c>
      <c r="BX554" s="2" t="e">
        <f ca="1">_xll.BDH($C$553,"CFO_SEQUENTIAL_GROWTH","FQ1 2014","FQ1 2014","Currency=INR","Period=FQ","BEST_FPERIOD_OVERRIDE=FQ","FILING_STATUS=OR","EQY_CONSOLIDATED=Y","Sort=A","Dates=H","DateFormat=P","Fill=—","Direction=H","UseDPDF=Y")</f>
        <v>#NAME?</v>
      </c>
      <c r="BY554" s="3" t="e">
        <f ca="1">_xll.BDH($C$553,"SHORT_AND_LONG_TERM_DEBT","FQ1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54" s="3" t="e">
        <f ca="1">_xll.BDH($C$553,"BS_ST_BORROW","FQ1 2014","FQ1 2014","Currency=INR","Period=FQ","BEST_FPERIOD_OVERRIDE=FQ","FILING_STATUS=OR","EQY_CONSOLIDATED=Y","SCALING_FORMAT=MLN","Sort=A","Dates=H","DateFormat=P","Fill=—","Direction=H","UseDPDF=Y")</f>
        <v>#NAME?</v>
      </c>
      <c r="CA554" s="3" t="e">
        <f ca="1">_xll.BDH($C$553,"BS_LT_BORROW","FQ1 2014","FQ1 2014","Currency=INR","Period=FQ","BEST_FPERIOD_OVERRIDE=FQ","FILING_STATUS=OR","EQY_CONSOLIDATED=Y","SCALING_FORMAT=MLN","Sort=A","Dates=H","DateFormat=P","Fill=—","Direction=H","UseDPDF=Y")</f>
        <v>#NAME?</v>
      </c>
      <c r="CB554" s="2" t="e">
        <f ca="1">_xll.BDH($C$553,"TOT_DEBT_TO_EBITDA","FQ1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54" s="2" t="e">
        <f ca="1">_xll.BDH($C$553,"NET_DEBT_TO_EBITDA","FQ1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54" s="2" t="e">
        <f ca="1">_xll.BDH($C$553,"TOTAL_DEBT_TO_EBIT","FQ1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54" s="2" t="e">
        <f ca="1">_xll.BDH($C$553,"NET_DEBT_TO_EBIT","FQ1 2014","FQ1 2014","Currency=INR","Period=FQ","BEST_FPERIOD_OVERRIDE=FQ","FILING_STATUS=OR","EQY_CONSOLIDATED=Y","FA_ADJUSTED=GAAP","Sort=A","Dates=H","DateFormat=P","Fill=—","Direction=H","UseDPDF=Y")</f>
        <v>#NAME?</v>
      </c>
      <c r="CF554" s="2" t="e">
        <f ca="1">_xll.BDH($C$553,"EBITDA_TO_INTEREST_EXPN","FQ1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54" s="2" t="e">
        <f ca="1">_xll.BDH($C$553,"COM_EQY_TO_TOT_ASSET","FQ1 2014","FQ1 2014","Currency=INR","Period=FQ","BEST_FPERIOD_OVERRIDE=FQ","FILING_STATUS=OR","EQY_CONSOLIDATED=Y","Sort=A","Dates=H","DateFormat=P","Fill=—","Direction=H","UseDPDF=Y")</f>
        <v>#NAME?</v>
      </c>
      <c r="CH554" s="2" t="e">
        <f ca="1">_xll.BDH($C$553,"LT_DEBT_TO_TOT_EQY","FQ1 2014","FQ1 2014","Currency=INR","Period=FQ","BEST_FPERIOD_OVERRIDE=FQ","FILING_STATUS=OR","EQY_CONSOLIDATED=Y","Sort=A","Dates=H","DateFormat=P","Fill=—","Direction=H","UseDPDF=Y")</f>
        <v>#NAME?</v>
      </c>
      <c r="CI554" s="2" t="e">
        <f ca="1">_xll.BDH($C$553,"LT_DEBT_TO_TOT_CAP","FQ1 2014","FQ1 2014","Currency=INR","Period=FQ","BEST_FPERIOD_OVERRIDE=FQ","FILING_STATUS=OR","EQY_CONSOLIDATED=Y","Sort=A","Dates=H","DateFormat=P","Fill=—","Direction=H","UseDPDF=Y")</f>
        <v>#NAME?</v>
      </c>
      <c r="CJ554" s="2" t="e">
        <f ca="1">_xll.BDH($C$553,"LT_DEBT_TO_TOT_ASSET","FQ1 2014","FQ1 2014","Currency=INR","Period=FQ","BEST_FPERIOD_OVERRIDE=FQ","FILING_STATUS=OR","EQY_CONSOLIDATED=Y","Sort=A","Dates=H","DateFormat=P","Fill=—","Direction=H","UseDPDF=Y")</f>
        <v>#NAME?</v>
      </c>
      <c r="CK554" s="2" t="e">
        <f ca="1">_xll.BDH($C$553,"TOT_DEBT_TO_TOT_EQY","FQ1 2014","FQ1 2014","Currency=INR","Period=FQ","BEST_FPERIOD_OVERRIDE=FQ","FILING_STATUS=OR","EQY_CONSOLIDATED=Y","Sort=A","Dates=H","DateFormat=P","Fill=—","Direction=H","UseDPDF=Y")</f>
        <v>#NAME?</v>
      </c>
      <c r="CL554" s="2" t="e">
        <f ca="1">_xll.BDH($C$553,"TOT_DEBT_TO_TOT_CAP","FQ1 2014","FQ1 2014","Currency=INR","Period=FQ","BEST_FPERIOD_OVERRIDE=FQ","FILING_STATUS=OR","EQY_CONSOLIDATED=Y","Sort=A","Dates=H","DateFormat=P","Fill=—","Direction=H","UseDPDF=Y")</f>
        <v>#NAME?</v>
      </c>
      <c r="CM554" s="2" t="e">
        <f ca="1">_xll.BDH($C$553,"TOT_DEBT_TO_TOT_ASSET","FQ1 2014","FQ1 2014","Currency=INR","Period=FQ","BEST_FPERIOD_OVERRIDE=FQ","FILING_STATUS=OR","EQY_CONSOLIDATED=Y","Sort=A","Dates=H","DateFormat=P","Fill=—","Direction=H","UseDPDF=Y")</f>
        <v>#NAME?</v>
      </c>
      <c r="CN554" s="2" t="e">
        <f ca="1">_xll.BDH($C$553,"NET_DEBT_TO_SHRHLDR_EQTY","FQ1 2014","FQ1 2014","Currency=INR","Period=FQ","BEST_FPERIOD_OVERRIDE=FQ","FILING_STATUS=OR","EQY_CONSOLIDATED=Y","Sort=A","Dates=H","DateFormat=P","Fill=—","Direction=H","UseDPDF=Y")</f>
        <v>#NAME?</v>
      </c>
      <c r="CO554" s="2" t="e">
        <f ca="1">_xll.BDH($C$553,"NET_DEBT_%_CAPITAL","FQ1 2014","FQ1 2014","Currency=INR","Period=FQ","BEST_FPERIOD_OVERRIDE=FQ","FILING_STATUS=OR","EQY_CONSOLIDATED=Y","Sort=A","Dates=H","DateFormat=P","Fill=—","Direction=H","UseDPDF=Y")</f>
        <v>#NAME?</v>
      </c>
      <c r="CP554" s="3" t="e">
        <f ca="1">_xll.BDH($C$553,"EBITDA","FQ1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54" s="3" t="e">
        <f ca="1">_xll.BDH($C$553,"EBITDA_AFTER_CAPEX","FQ1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54" s="3" t="e">
        <f ca="1">_xll.BDH($C$553,"IS_OPER_INC","FQ1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54" s="2" t="e">
        <f ca="1">_xll.BDH($C$553,"CASH_RATIO","FQ1 2014","FQ1 2014","Currency=INR","Period=FQ","BEST_FPERIOD_OVERRIDE=FQ","FILING_STATUS=OR","EQY_CONSOLIDATED=Y","Sort=A","Dates=H","DateFormat=P","Fill=—","Direction=H","UseDPDF=Y")</f>
        <v>#NAME?</v>
      </c>
      <c r="CT554" s="2" t="e">
        <f ca="1">_xll.BDH($C$553,"CUR_RATIO","FQ1 2014","FQ1 2014","Currency=INR","Period=FQ","BEST_FPERIOD_OVERRIDE=FQ","FILING_STATUS=OR","EQY_CONSOLIDATED=Y","Sort=A","Dates=H","DateFormat=P","Fill=—","Direction=H","UseDPDF=Y")</f>
        <v>#NAME?</v>
      </c>
      <c r="CU554" s="2" t="e">
        <f ca="1">_xll.BDH($C$553,"QUICK_RATIO","FQ1 2014","FQ1 2014","Currency=INR","Period=FQ","BEST_FPERIOD_OVERRIDE=FQ","FILING_STATUS=OR","EQY_CONSOLIDATED=Y","Sort=A","Dates=H","DateFormat=P","Fill=—","Direction=H","UseDPDF=Y")</f>
        <v>#NAME?</v>
      </c>
      <c r="CV554" s="2" t="e">
        <f ca="1">_xll.BDH($C$553,"ALTMAN_Z_SCORE","FQ1 2014","FQ1 2014","Currency=INR","Period=FQ","BEST_FPERIOD_OVERRIDE=FQ","FILING_STATUS=OR","EQY_CONSOLIDATED=Y","Sort=A","Dates=H","DateFormat=P","Fill=—","Direction=H","UseDPDF=Y")</f>
        <v>#NAME?</v>
      </c>
      <c r="CW554" s="4" t="e">
        <f ca="1">_xll.BDH($C$553,"ACCT_RCV_TURN","FQ1 2014","FQ1 2014","Currency=INR","Period=FQ","BEST_FPERIOD_OVERRIDE=FQ","FILING_STATUS=OR","EQY_CONSOLIDATED=Y","FA_ADJUSTED=GAAP","Sort=A","Dates=H","DateFormat=P","Fill=—","Direction=H","UseDPDF=Y")</f>
        <v>#NAME?</v>
      </c>
      <c r="CX554" s="2" t="e">
        <f ca="1">_xll.BDH($C$553,"ACCT_RCV_DAYS","FQ1 2014","FQ1 2014","Currency=INR","Period=FQ","BEST_FPERIOD_OVERRIDE=FQ","FILING_STATUS=OR","EQY_CONSOLIDATED=Y","FA_ADJUSTED=GAAP","Sort=A","Dates=H","DateFormat=P","Fill=—","Direction=H","UseDPDF=Y")</f>
        <v>#NAME?</v>
      </c>
      <c r="CY554" s="4" t="e">
        <f ca="1">_xll.BDH($C$553,"INVENT_TURN","FQ1 2014","FQ1 2014","Currency=INR","Period=FQ","BEST_FPERIOD_OVERRIDE=FQ","FILING_STATUS=OR","EQY_CONSOLIDATED=Y","FA_ADJUSTED=GAAP","Sort=A","Dates=H","DateFormat=P","Fill=—","Direction=H","UseDPDF=Y")</f>
        <v>#NAME?</v>
      </c>
      <c r="CZ554" s="2" t="e">
        <f ca="1">_xll.BDH($C$553,"INVENT_DAYS","FQ1 2014","FQ1 2014","Currency=INR","Period=FQ","BEST_FPERIOD_OVERRIDE=FQ","FILING_STATUS=OR","EQY_CONSOLIDATED=Y","FA_ADJUSTED=GAAP","Sort=A","Dates=H","DateFormat=P","Fill=—","Direction=H","UseDPDF=Y")</f>
        <v>#NAME?</v>
      </c>
      <c r="DA554" s="4" t="e">
        <f ca="1">_xll.BDH($C$553,"ACCOUNTS_PAYABLE_TURNOVER","FQ1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54" s="2" t="e">
        <f ca="1">_xll.BDH($C$553,"ACCOUNTS_PAYABLE_TURNOVER_DAYS","FQ1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54" s="4" t="e">
        <f ca="1">_xll.BDH($C$553,"CASH_CONVERSION_CYCLE","FQ1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54" s="4" t="e">
        <f ca="1">_xll.BDH($C$553,"INV_TO_CASH_DAYS","FQ1 2014","FQ1 2014","Currency=INR","Period=FQ","BEST_FPERIOD_OVERRIDE=FQ","FILING_STATUS=OR","EQY_CONSOLIDATED=Y","FA_ADJUSTED=GAAP","Sort=A","Dates=H","DateFormat=P","Fill=—","Direction=H","UseDPDF=Y")</f>
        <v>#NAME?</v>
      </c>
      <c r="DE554" s="5" t="e">
        <f ca="1">_xll.BDH($C$553,"BS_INVENTORIES","FQ1 2014","FQ1 2014","Currency=INR","Period=FQ","BEST_FPERIOD_OVERRIDE=FQ","FILING_STATUS=OR","EQY_CONSOLIDATED=Y","SCALING_FORMAT=MLN","Sort=A","Dates=H","DateFormat=P","Fill=—","Direction=H","UseDPDF=Y")</f>
        <v>#NAME?</v>
      </c>
      <c r="DF554" s="3" t="e">
        <f ca="1">_xll.BDH($C$553,"INVTRY_RAW_MATERIALS","FQ1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54" s="3" t="e">
        <f ca="1">_xll.BDH($C$553,"INVTRY_IN_PROGRESS","FQ1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54" s="3" t="e">
        <f ca="1">_xll.BDH($C$553,"INVTRY_FINISHED_GOODS","FQ1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54" s="3" t="e">
        <f ca="1">_xll.BDH($C$553,"BS_OTHER_INV","FQ1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55" spans="1:113" x14ac:dyDescent="0.3">
      <c r="A555" s="6"/>
      <c r="B555" s="6"/>
      <c r="C555" s="6"/>
      <c r="D555" s="6"/>
      <c r="E555" t="s">
        <v>79</v>
      </c>
      <c r="F555" t="e">
        <f ca="1">_xll.BDH($C$553,"RETURN_COM_EQY","FQ2 2014","FQ2 2014","Currency=INR","Period=FQ","BEST_FPERIOD_OVERRIDE=FQ","FILING_STATUS=OR","EQY_CONSOLIDATED=Y","FA_ADJUSTED=GAAP","Sort=A","Dates=H","DateFormat=P","Fill=—","Direction=H","UseDPDF=Y")</f>
        <v>#NAME?</v>
      </c>
      <c r="G555" t="e">
        <f ca="1">_xll.BDH($C$553,"RETURN_ON_ASSET","FQ2 2014","FQ2 2014","Currency=INR","Period=FQ","BEST_FPERIOD_OVERRIDE=FQ","FILING_STATUS=OR","EQY_CONSOLIDATED=Y","FA_ADJUSTED=GAAP","Sort=A","Dates=H","DateFormat=P","Fill=—","Direction=H","UseDPDF=Y")</f>
        <v>#NAME?</v>
      </c>
      <c r="H555" t="e">
        <f ca="1">_xll.BDH($C$553,"RETURN_ON_CAP","FQ2 2014","FQ2 2014","Currency=INR","Period=FQ","BEST_FPERIOD_OVERRIDE=FQ","FILING_STATUS=OR","EQY_CONSOLIDATED=Y","FA_ADJUSTED=GAAP","Sort=A","Dates=H","DateFormat=P","Fill=—","Direction=H","UseDPDF=Y")</f>
        <v>#NAME?</v>
      </c>
      <c r="I555" t="e">
        <f ca="1">_xll.BDH($C$553,"RETURN_ON_INV_CAPITAL","FQ2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55" t="e">
        <f ca="1">_xll.BDH($C$553,"EBITDA_TO_REVENUE","FQ2 2014","FQ2 2014","Currency=INR","Period=FQ","BEST_FPERIOD_OVERRIDE=FQ","FILING_STATUS=OR","EQY_CONSOLIDATED=Y","FA_ADJUSTED=GAAP","Sort=A","Dates=H","DateFormat=P","Fill=—","Direction=H","UseDPDF=Y")</f>
        <v>#NAME?</v>
      </c>
      <c r="K555" t="e">
        <f ca="1">_xll.BDH($C$553,"OPER_MARGIN","FQ2 2014","FQ2 2014","Currency=INR","Period=FQ","BEST_FPERIOD_OVERRIDE=FQ","FILING_STATUS=OR","EQY_CONSOLIDATED=Y","FA_ADJUSTED=GAAP","Sort=A","Dates=H","DateFormat=P","Fill=—","Direction=H","UseDPDF=Y")</f>
        <v>#NAME?</v>
      </c>
      <c r="L555" t="e">
        <f ca="1">_xll.BDH($C$553,"INCREMENTAL_OPERATING_MARGIN","FQ2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55" t="e">
        <f ca="1">_xll.BDH($C$553,"PRETAX_INC_TO_NET_SALES","FQ2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55" t="e">
        <f ca="1">_xll.BDH($C$553,"INC_BEF_XO_ITEMS_TO_NET_SALES","FQ2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55" t="e">
        <f ca="1">_xll.BDH($C$553,"PROF_MARGIN","FQ2 2014","FQ2 2014","Currency=INR","Period=FQ","BEST_FPERIOD_OVERRIDE=FQ","FILING_STATUS=OR","EQY_CONSOLIDATED=Y","FA_ADJUSTED=GAAP","Sort=A","Dates=H","DateFormat=P","Fill=—","Direction=H","UseDPDF=Y")</f>
        <v>#NAME?</v>
      </c>
      <c r="P555" t="e">
        <f ca="1">_xll.BDH($C$553,"NET_INCOME_TO_COMMON_MARGIN","FQ2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55" t="e">
        <f ca="1">_xll.BDH($C$553,"EFF_TAX_RATE","FQ2 2014","FQ2 2014","Currency=INR","Period=FQ","BEST_FPERIOD_OVERRIDE=FQ","FILING_STATUS=OR","EQY_CONSOLIDATED=Y","FA_ADJUSTED=GAAP","Sort=A","Dates=H","DateFormat=P","Fill=—","Direction=H","UseDPDF=Y")</f>
        <v>#NAME?</v>
      </c>
      <c r="R555" t="e">
        <f ca="1">_xll.BDH($C$553,"DVD_PAYOUT_RATIO","FQ2 2014","FQ2 2014","Currency=INR","Period=FQ","BEST_FPERIOD_OVERRIDE=FQ","FILING_STATUS=OR","EQY_CONSOLIDATED=Y","FA_ADJUSTED=GAAP","Sort=A","Dates=H","DateFormat=P","Fill=—","Direction=H","UseDPDF=Y")</f>
        <v>#NAME?</v>
      </c>
      <c r="S555" t="e">
        <f ca="1">_xll.BDH($C$553,"SUSTAIN_GROWTH_RT","FQ2 2014","FQ2 2014","Currency=INR","Period=FQ","BEST_FPERIOD_OVERRIDE=FQ","FILING_STATUS=OR","EQY_CONSOLIDATED=Y","FA_ADJUSTED=GAAP","Sort=A","Dates=H","DateFormat=P","Fill=—","Direction=H","UseDPDF=Y")</f>
        <v>#NAME?</v>
      </c>
      <c r="T555" s="2" t="e">
        <f ca="1">_xll.BDH($C$553,"SALES_GROWTH","FQ2 2014","FQ2 2014","Currency=INR","Period=FQ","BEST_FPERIOD_OVERRIDE=FQ","FILING_STATUS=OR","EQY_CONSOLIDATED=Y","FA_ADJUSTED=GAAP","Sort=A","Dates=H","DateFormat=P","Fill=—","Direction=H","UseDPDF=Y")</f>
        <v>#NAME?</v>
      </c>
      <c r="U555" s="2" t="e">
        <f ca="1">_xll.BDH($C$553,"EBITDA_GROWTH","FQ2 2014","FQ2 2014","Currency=INR","Period=FQ","BEST_FPERIOD_OVERRIDE=FQ","FILING_STATUS=OR","EQY_CONSOLIDATED=Y","FA_ADJUSTED=GAAP","Sort=A","Dates=H","DateFormat=P","Fill=—","Direction=H","UseDPDF=Y")</f>
        <v>#NAME?</v>
      </c>
      <c r="V555" s="2" t="e">
        <f ca="1">_xll.BDH($C$553,"OPER_INC_GROWTH","FQ2 2014","FQ2 2014","Currency=INR","Period=FQ","BEST_FPERIOD_OVERRIDE=FQ","FILING_STATUS=OR","EQY_CONSOLIDATED=Y","FA_ADJUSTED=GAAP","Sort=A","Dates=H","DateFormat=P","Fill=—","Direction=H","UseDPDF=Y")</f>
        <v>#NAME?</v>
      </c>
      <c r="W555" s="2" t="e">
        <f ca="1">_xll.BDH($C$553,"EARN_FOR_COM_GROWTH","FQ2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55" s="2" t="e">
        <f ca="1">_xll.BDH($C$553,"DILUTED_EPS_AFT_XO_ITEMS_GROWTH","FQ2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55" s="2" t="e">
        <f ca="1">_xll.BDH($C$553,"DIVIDEND_PER_SHARE_1_YEAR_GROWTH","FQ2 2014","FQ2 2014","Currency=INR","Period=FQ","BEST_FPERIOD_OVERRIDE=FQ","FILING_STATUS=OR","EQY_CONSOLIDATED=Y","Sort=A","Dates=H","DateFormat=P","Fill=—","Direction=H","UseDPDF=Y")</f>
        <v>#NAME?</v>
      </c>
      <c r="Z555" s="2" t="e">
        <f ca="1">_xll.BDH($C$553,"ACCOUNTS_RECEIVABLE_GROWTH","FQ2 2014","FQ2 2014","Currency=INR","Period=FQ","BEST_FPERIOD_OVERRIDE=FQ","FILING_STATUS=OR","EQY_CONSOLIDATED=Y","Sort=A","Dates=H","DateFormat=P","Fill=—","Direction=H","UseDPDF=Y")</f>
        <v>#NAME?</v>
      </c>
      <c r="AA555" s="2" t="e">
        <f ca="1">_xll.BDH($C$553,"INVENTORY_GROWTH","FQ2 2014","FQ2 2014","Currency=INR","Period=FQ","BEST_FPERIOD_OVERRIDE=FQ","FILING_STATUS=OR","EQY_CONSOLIDATED=Y","Sort=A","Dates=H","DateFormat=P","Fill=—","Direction=H","UseDPDF=Y")</f>
        <v>#NAME?</v>
      </c>
      <c r="AB555" s="2" t="e">
        <f ca="1">_xll.BDH($C$553,"NET_FIXED_ASSETS_1_YEAR_GROWTH","FQ2 2014","FQ2 2014","Currency=INR","Period=FQ","BEST_FPERIOD_OVERRIDE=FQ","FILING_STATUS=OR","EQY_CONSOLIDATED=Y","Sort=A","Dates=H","DateFormat=P","Fill=—","Direction=H","UseDPDF=Y")</f>
        <v>#NAME?</v>
      </c>
      <c r="AC555" s="2" t="e">
        <f ca="1">_xll.BDH($C$553,"ASSET_GROWTH","FQ2 2014","FQ2 2014","Currency=INR","Period=FQ","BEST_FPERIOD_OVERRIDE=FQ","FILING_STATUS=OR","EQY_CONSOLIDATED=Y","Sort=A","Dates=H","DateFormat=P","Fill=—","Direction=H","UseDPDF=Y")</f>
        <v>#NAME?</v>
      </c>
      <c r="AD555" s="2" t="e">
        <f ca="1">_xll.BDH($C$553,"MODIFIED_WORK_CAP_GROWTH","FQ2 2014","FQ2 2014","Currency=INR","Period=FQ","BEST_FPERIOD_OVERRIDE=FQ","FILING_STATUS=OR","EQY_CONSOLIDATED=Y","Sort=A","Dates=H","DateFormat=P","Fill=—","Direction=H","UseDPDF=Y")</f>
        <v>#NAME?</v>
      </c>
      <c r="AE555" s="2" t="e">
        <f ca="1">_xll.BDH($C$553,"WORK_CAP_GROWTH","FQ2 2014","FQ2 2014","Currency=INR","Period=FQ","BEST_FPERIOD_OVERRIDE=FQ","FILING_STATUS=OR","EQY_CONSOLIDATED=Y","Sort=A","Dates=H","DateFormat=P","Fill=—","Direction=H","UseDPDF=Y")</f>
        <v>#NAME?</v>
      </c>
      <c r="AF555" s="2" t="e">
        <f ca="1">_xll.BDH($C$553,"ACCOUNTS_PAYABLE_GROWTH_1YR","FQ2 2014","FQ2 2014","Currency=INR","Period=FQ","BEST_FPERIOD_OVERRIDE=FQ","FILING_STATUS=OR","EQY_CONSOLIDATED=Y","Sort=A","Dates=H","DateFormat=P","Fill=—","Direction=H","UseDPDF=Y")</f>
        <v>#NAME?</v>
      </c>
      <c r="AG555" s="2" t="e">
        <f ca="1">_xll.BDH($C$553,"SHORT_TERM_DEBT_1_YEAR_GROWTH","FQ2 2014","FQ2 2014","Currency=INR","Period=FQ","BEST_FPERIOD_OVERRIDE=FQ","FILING_STATUS=OR","EQY_CONSOLIDATED=Y","Sort=A","Dates=H","DateFormat=P","Fill=—","Direction=H","UseDPDF=Y")</f>
        <v>#NAME?</v>
      </c>
      <c r="AH555" s="2" t="e">
        <f ca="1">_xll.BDH($C$553,"TOTAL_DEBT_1_YEAR_GROWTH","FQ2 2014","FQ2 2014","Currency=INR","Period=FQ","BEST_FPERIOD_OVERRIDE=FQ","FILING_STATUS=OR","EQY_CONSOLIDATED=Y","Sort=A","Dates=H","DateFormat=P","Fill=—","Direction=H","UseDPDF=Y")</f>
        <v>#NAME?</v>
      </c>
      <c r="AI555" s="2" t="e">
        <f ca="1">_xll.BDH($C$553,"TOTAL_EQUITY_1_YEAR_GROWTH","FQ2 2014","FQ2 2014","Currency=INR","Period=FQ","BEST_FPERIOD_OVERRIDE=FQ","FILING_STATUS=OR","EQY_CONSOLIDATED=Y","Sort=A","Dates=H","DateFormat=P","Fill=—","Direction=H","UseDPDF=Y")</f>
        <v>#NAME?</v>
      </c>
      <c r="AJ555" s="2" t="e">
        <f ca="1">_xll.BDH($C$553,"GROWTH_IN_CAP","FQ2 2014","FQ2 2014","Currency=INR","Period=FQ","BEST_FPERIOD_OVERRIDE=FQ","FILING_STATUS=OR","EQY_CONSOLIDATED=Y","Sort=A","Dates=H","DateFormat=P","Fill=—","Direction=H","UseDPDF=Y")</f>
        <v>#NAME?</v>
      </c>
      <c r="AK555" s="2" t="e">
        <f ca="1">_xll.BDH($C$553,"BVPS_GROWTH","FQ2 2014","FQ2 2014","Currency=INR","Period=FQ","BEST_FPERIOD_OVERRIDE=FQ","FILING_STATUS=OR","EQY_CONSOLIDATED=Y","Sort=A","Dates=H","DateFormat=P","Fill=—","Direction=H","UseDPDF=Y")</f>
        <v>#NAME?</v>
      </c>
      <c r="AL555" s="2" t="e">
        <f ca="1">_xll.BDH($C$553,"CASH_FLOW_GROWTH","FQ2 2014","FQ2 2014","Currency=INR","Period=FQ","BEST_FPERIOD_OVERRIDE=FQ","FILING_STATUS=OR","EQY_CONSOLIDATED=Y","Sort=A","Dates=H","DateFormat=P","Fill=—","Direction=H","UseDPDF=Y")</f>
        <v>#NAME?</v>
      </c>
      <c r="AM555" s="2" t="e">
        <f ca="1">_xll.BDH($C$553,"GEO_GROW_NET_SALES","FQ2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55" s="2" t="e">
        <f ca="1">_xll.BDH($C$553,"GEO_GROW_EBITDA","FQ2 2014","FQ2 2014","Currency=INR","Period=FQ","BEST_FPERIOD_OVERRIDE=FQ","FILING_STATUS=OR","EQY_CONSOLIDATED=Y","FA_ADJUSTED=GAAP","Sort=A","Dates=H","DateFormat=P","Fill=—","Direction=H","UseDPDF=Y")</f>
        <v>#NAME?</v>
      </c>
      <c r="AO555" s="2" t="e">
        <f ca="1">_xll.BDH($C$553,"GEO_GROW_OPER_INC","FQ2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55" s="2" t="e">
        <f ca="1">_xll.BDH($C$553,"NET_INCOME_TO_COMMON_5_YR_GROWTH","FQ2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55" s="2" t="e">
        <f ca="1">_xll.BDH($C$553,"5Y_GEO_GROWTH_DILUTED_EPS","FQ2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55" s="2" t="e">
        <f ca="1">_xll.BDH($C$553,"GEO_GROW_DVD_PER_SH","FQ2 2014","FQ2 2014","Currency=INR","Period=FQ","BEST_FPERIOD_OVERRIDE=FQ","FILING_STATUS=OR","EQY_CONSOLIDATED=Y","Sort=A","Dates=H","DateFormat=P","Fill=—","Direction=H","UseDPDF=Y")</f>
        <v>#NAME?</v>
      </c>
      <c r="AS555" s="2" t="e">
        <f ca="1">_xll.BDH($C$553,"ACCOUNTS_RECEIVABLE_5_YR_GROWTH","FQ2 2014","FQ2 2014","Currency=INR","Period=FQ","BEST_FPERIOD_OVERRIDE=FQ","FILING_STATUS=OR","EQY_CONSOLIDATED=Y","Sort=A","Dates=H","DateFormat=P","Fill=—","Direction=H","UseDPDF=Y")</f>
        <v>#NAME?</v>
      </c>
      <c r="AT555" s="2" t="e">
        <f ca="1">_xll.BDH($C$553,"INVENTORY_5_YEAR_GROWTH","FQ2 2014","FQ2 2014","Currency=INR","Period=FQ","BEST_FPERIOD_OVERRIDE=FQ","FILING_STATUS=OR","EQY_CONSOLIDATED=Y","Sort=A","Dates=H","DateFormat=P","Fill=—","Direction=H","UseDPDF=Y")</f>
        <v>#NAME?</v>
      </c>
      <c r="AU555" s="2" t="e">
        <f ca="1">_xll.BDH($C$553,"NET_FIXED_ASSETS_5_YEAR_GROWTH","FQ2 2014","FQ2 2014","Currency=INR","Period=FQ","BEST_FPERIOD_OVERRIDE=FQ","FILING_STATUS=OR","EQY_CONSOLIDATED=Y","Sort=A","Dates=H","DateFormat=P","Fill=—","Direction=H","UseDPDF=Y")</f>
        <v>#NAME?</v>
      </c>
      <c r="AV555" s="2" t="e">
        <f ca="1">_xll.BDH($C$553,"GEO_GROW_TOT_ASSET","FQ2 2014","FQ2 2014","Currency=INR","Period=FQ","BEST_FPERIOD_OVERRIDE=FQ","FILING_STATUS=OR","EQY_CONSOLIDATED=Y","Sort=A","Dates=H","DateFormat=P","Fill=—","Direction=H","UseDPDF=Y")</f>
        <v>#NAME?</v>
      </c>
      <c r="AW555" s="2" t="e">
        <f ca="1">_xll.BDH($C$553,"MODIFIED_WORKING_CPTL_5YR_GRWTH","FQ2 2014","FQ2 2014","Currency=INR","Period=FQ","BEST_FPERIOD_OVERRIDE=FQ","FILING_STATUS=OR","EQY_CONSOLIDATED=Y","Sort=A","Dates=H","DateFormat=P","Fill=—","Direction=H","UseDPDF=Y")</f>
        <v>#NAME?</v>
      </c>
      <c r="AX555" s="2" t="e">
        <f ca="1">_xll.BDH($C$553,"WORKING_CAPITAL_5_YEAR_GROWTH","FQ2 2014","FQ2 2014","Currency=INR","Period=FQ","BEST_FPERIOD_OVERRIDE=FQ","FILING_STATUS=OR","EQY_CONSOLIDATED=Y","Sort=A","Dates=H","DateFormat=P","Fill=—","Direction=H","UseDPDF=Y")</f>
        <v>#NAME?</v>
      </c>
      <c r="AY555" s="2" t="e">
        <f ca="1">_xll.BDH($C$553,"ACCOUNTS_PAYABLE_5_YEAR_GROWTH","FQ2 2014","FQ2 2014","Currency=INR","Period=FQ","BEST_FPERIOD_OVERRIDE=FQ","FILING_STATUS=OR","EQY_CONSOLIDATED=Y","Sort=A","Dates=H","DateFormat=P","Fill=—","Direction=H","UseDPDF=Y")</f>
        <v>#NAME?</v>
      </c>
      <c r="AZ555" s="2" t="e">
        <f ca="1">_xll.BDH($C$553,"SHORT_TERM_DEBT_5_YEAR_GROWTH","FQ2 2014","FQ2 2014","Currency=INR","Period=FQ","BEST_FPERIOD_OVERRIDE=FQ","FILING_STATUS=OR","EQY_CONSOLIDATED=Y","Sort=A","Dates=H","DateFormat=P","Fill=—","Direction=H","UseDPDF=Y")</f>
        <v>#NAME?</v>
      </c>
      <c r="BA555" s="2" t="e">
        <f ca="1">_xll.BDH($C$553,"TOTAL_DEBT_5_YEAR_GROWTH","FQ2 2014","FQ2 2014","Currency=INR","Period=FQ","BEST_FPERIOD_OVERRIDE=FQ","FILING_STATUS=OR","EQY_CONSOLIDATED=Y","Sort=A","Dates=H","DateFormat=P","Fill=—","Direction=H","UseDPDF=Y")</f>
        <v>#NAME?</v>
      </c>
      <c r="BB555" s="2" t="e">
        <f ca="1">_xll.BDH($C$553,"GEO_GROW_TOT_SHRHLDR_EQY","FQ2 2014","FQ2 2014","Currency=INR","Period=FQ","BEST_FPERIOD_OVERRIDE=FQ","FILING_STATUS=OR","EQY_CONSOLIDATED=Y","Sort=A","Dates=H","DateFormat=P","Fill=—","Direction=H","UseDPDF=Y")</f>
        <v>#NAME?</v>
      </c>
      <c r="BC555" s="2" t="e">
        <f ca="1">_xll.BDH($C$553,"TOTAL_CAPITAL_5_YEAR_GROWTH","FQ2 2014","FQ2 2014","Currency=INR","Period=FQ","BEST_FPERIOD_OVERRIDE=FQ","FILING_STATUS=OR","EQY_CONSOLIDATED=Y","Sort=A","Dates=H","DateFormat=P","Fill=—","Direction=H","UseDPDF=Y")</f>
        <v>#NAME?</v>
      </c>
      <c r="BD555" s="2" t="e">
        <f ca="1">_xll.BDH($C$553,"GEO_GROW_BOOK_VAL","FQ2 2014","FQ2 2014","Currency=INR","Period=FQ","BEST_FPERIOD_OVERRIDE=FQ","FILING_STATUS=OR","EQY_CONSOLIDATED=Y","Sort=A","Dates=H","DateFormat=P","Fill=—","Direction=H","UseDPDF=Y")</f>
        <v>#NAME?</v>
      </c>
      <c r="BE555" s="2" t="e">
        <f ca="1">_xll.BDH($C$553,"GEO_GROW_CASH_OPER_ACT","FQ2 2014","FQ2 2014","Currency=INR","Period=FQ","BEST_FPERIOD_OVERRIDE=FQ","FILING_STATUS=OR","EQY_CONSOLIDATED=Y","Sort=A","Dates=H","DateFormat=P","Fill=—","Direction=H","UseDPDF=Y")</f>
        <v>#NAME?</v>
      </c>
      <c r="BF555" s="2" t="e">
        <f ca="1">_xll.BDH($C$553,"REVENUE_SEQUENTIAL_GROWTH","FQ2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55" s="2" t="e">
        <f ca="1">_xll.BDH($C$553,"EBITDA_SEQUENTIAL_GROWTH","FQ2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55" s="2" t="e">
        <f ca="1">_xll.BDH($C$553,"OPERATING_INCOME_SEQ_GROWTH","FQ2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55" s="2" t="e">
        <f ca="1">_xll.BDH($C$553,"NET_INCOME_TO_COMMON_SEQ_GROWTH","FQ2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55" s="2" t="e">
        <f ca="1">_xll.BDH($C$553,"EPS_DILUTED_SEQUENTIAL_GROWTH","FQ2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55" s="2" t="e">
        <f ca="1">_xll.BDH($C$553,"DPS_SEQUENTIAL_GROWTH","FQ2 2014","FQ2 2014","Currency=INR","Period=FQ","BEST_FPERIOD_OVERRIDE=FQ","FILING_STATUS=OR","EQY_CONSOLIDATED=Y","Sort=A","Dates=H","DateFormat=P","Fill=—","Direction=H","UseDPDF=Y")</f>
        <v>#NAME?</v>
      </c>
      <c r="BL555" s="2" t="e">
        <f ca="1">_xll.BDH($C$553,"ACCOUNTS_RECEIVABLE_SEQ_GROWTH","FQ2 2014","FQ2 2014","Currency=INR","Period=FQ","BEST_FPERIOD_OVERRIDE=FQ","FILING_STATUS=OR","EQY_CONSOLIDATED=Y","Sort=A","Dates=H","DateFormat=P","Fill=—","Direction=H","UseDPDF=Y")</f>
        <v>#NAME?</v>
      </c>
      <c r="BM555" s="2" t="e">
        <f ca="1">_xll.BDH($C$553,"INVENTORY_SEQUENTIAL_GROWTH","FQ2 2014","FQ2 2014","Currency=INR","Period=FQ","BEST_FPERIOD_OVERRIDE=FQ","FILING_STATUS=OR","EQY_CONSOLIDATED=Y","Sort=A","Dates=H","DateFormat=P","Fill=—","Direction=H","UseDPDF=Y")</f>
        <v>#NAME?</v>
      </c>
      <c r="BN555" s="2" t="e">
        <f ca="1">_xll.BDH($C$553,"FIXED_ASSETS_SEQUENTIAL_GROWTH","FQ2 2014","FQ2 2014","Currency=INR","Period=FQ","BEST_FPERIOD_OVERRIDE=FQ","FILING_STATUS=OR","EQY_CONSOLIDATED=Y","Sort=A","Dates=H","DateFormat=P","Fill=—","Direction=H","UseDPDF=Y")</f>
        <v>#NAME?</v>
      </c>
      <c r="BO555" s="2" t="e">
        <f ca="1">_xll.BDH($C$553,"TOTAL_ASSETS_SEQUENTIAL_GROWTH","FQ2 2014","FQ2 2014","Currency=INR","Period=FQ","BEST_FPERIOD_OVERRIDE=FQ","FILING_STATUS=OR","EQY_CONSOLIDATED=Y","Sort=A","Dates=H","DateFormat=P","Fill=—","Direction=H","UseDPDF=Y")</f>
        <v>#NAME?</v>
      </c>
      <c r="BP555" s="2" t="e">
        <f ca="1">_xll.BDH($C$553,"MODIFIED_WORKING_CPTL_SEQ_GRWTH","FQ2 2014","FQ2 2014","Currency=INR","Period=FQ","BEST_FPERIOD_OVERRIDE=FQ","FILING_STATUS=OR","EQY_CONSOLIDATED=Y","Sort=A","Dates=H","DateFormat=P","Fill=—","Direction=H","UseDPDF=Y")</f>
        <v>#NAME?</v>
      </c>
      <c r="BQ555" s="2" t="e">
        <f ca="1">_xll.BDH($C$553,"WORKING_CAPITAL_SEQ_GROWTH","FQ2 2014","FQ2 2014","Currency=INR","Period=FQ","BEST_FPERIOD_OVERRIDE=FQ","FILING_STATUS=OR","EQY_CONSOLIDATED=Y","Sort=A","Dates=H","DateFormat=P","Fill=—","Direction=H","UseDPDF=Y")</f>
        <v>#NAME?</v>
      </c>
      <c r="BR555" s="2" t="e">
        <f ca="1">_xll.BDH($C$553,"ACCOUNTS_PAYABLE_SEQ_GROWTH","FQ2 2014","FQ2 2014","Currency=INR","Period=FQ","BEST_FPERIOD_OVERRIDE=FQ","FILING_STATUS=OR","EQY_CONSOLIDATED=Y","Sort=A","Dates=H","DateFormat=P","Fill=—","Direction=H","UseDPDF=Y")</f>
        <v>#NAME?</v>
      </c>
      <c r="BS555" s="2" t="e">
        <f ca="1">_xll.BDH($C$553,"ST_DEBT_SEQUENTIAL_GROWTH","FQ2 2014","FQ2 2014","Currency=INR","Period=FQ","BEST_FPERIOD_OVERRIDE=FQ","FILING_STATUS=OR","EQY_CONSOLIDATED=Y","Sort=A","Dates=H","DateFormat=P","Fill=—","Direction=H","UseDPDF=Y")</f>
        <v>#NAME?</v>
      </c>
      <c r="BT555" s="2" t="e">
        <f ca="1">_xll.BDH($C$553,"TOTAL_DEBT_SEQUENTIAL_GROWTH","FQ2 2014","FQ2 2014","Currency=INR","Period=FQ","BEST_FPERIOD_OVERRIDE=FQ","FILING_STATUS=OR","EQY_CONSOLIDATED=Y","Sort=A","Dates=H","DateFormat=P","Fill=—","Direction=H","UseDPDF=Y")</f>
        <v>#NAME?</v>
      </c>
      <c r="BU555" s="2" t="e">
        <f ca="1">_xll.BDH($C$553,"TOTAL_EQUITY_SEQUENTIAL_GROWTH","FQ2 2014","FQ2 2014","Currency=INR","Period=FQ","BEST_FPERIOD_OVERRIDE=FQ","FILING_STATUS=OR","EQY_CONSOLIDATED=Y","Sort=A","Dates=H","DateFormat=P","Fill=—","Direction=H","UseDPDF=Y")</f>
        <v>#NAME?</v>
      </c>
      <c r="BV555" s="2" t="e">
        <f ca="1">_xll.BDH($C$553,"TOTAL_CAPITAL_SEQUENTIAL_GROWTH","FQ2 2014","FQ2 2014","Currency=INR","Period=FQ","BEST_FPERIOD_OVERRIDE=FQ","FILING_STATUS=OR","EQY_CONSOLIDATED=Y","Sort=A","Dates=H","DateFormat=P","Fill=—","Direction=H","UseDPDF=Y")</f>
        <v>#NAME?</v>
      </c>
      <c r="BW555" s="2" t="e">
        <f ca="1">_xll.BDH($C$553,"BPS_SEQUENTIAL_GROWTH","FQ2 2014","FQ2 2014","Currency=INR","Period=FQ","BEST_FPERIOD_OVERRIDE=FQ","FILING_STATUS=OR","EQY_CONSOLIDATED=Y","Sort=A","Dates=H","DateFormat=P","Fill=—","Direction=H","UseDPDF=Y")</f>
        <v>#NAME?</v>
      </c>
      <c r="BX555" s="2" t="e">
        <f ca="1">_xll.BDH($C$553,"CFO_SEQUENTIAL_GROWTH","FQ2 2014","FQ2 2014","Currency=INR","Period=FQ","BEST_FPERIOD_OVERRIDE=FQ","FILING_STATUS=OR","EQY_CONSOLIDATED=Y","Sort=A","Dates=H","DateFormat=P","Fill=—","Direction=H","UseDPDF=Y")</f>
        <v>#NAME?</v>
      </c>
      <c r="BY555" s="3" t="e">
        <f ca="1">_xll.BDH($C$553,"SHORT_AND_LONG_TERM_DEBT","FQ2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55" s="3" t="e">
        <f ca="1">_xll.BDH($C$553,"BS_ST_BORROW","FQ2 2014","FQ2 2014","Currency=INR","Period=FQ","BEST_FPERIOD_OVERRIDE=FQ","FILING_STATUS=OR","EQY_CONSOLIDATED=Y","SCALING_FORMAT=MLN","Sort=A","Dates=H","DateFormat=P","Fill=—","Direction=H","UseDPDF=Y")</f>
        <v>#NAME?</v>
      </c>
      <c r="CA555" s="3" t="e">
        <f ca="1">_xll.BDH($C$553,"BS_LT_BORROW","FQ2 2014","FQ2 2014","Currency=INR","Period=FQ","BEST_FPERIOD_OVERRIDE=FQ","FILING_STATUS=OR","EQY_CONSOLIDATED=Y","SCALING_FORMAT=MLN","Sort=A","Dates=H","DateFormat=P","Fill=—","Direction=H","UseDPDF=Y")</f>
        <v>#NAME?</v>
      </c>
      <c r="CB555" s="2" t="e">
        <f ca="1">_xll.BDH($C$553,"TOT_DEBT_TO_EBITDA","FQ2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55" s="2" t="e">
        <f ca="1">_xll.BDH($C$553,"NET_DEBT_TO_EBITDA","FQ2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55" s="2" t="e">
        <f ca="1">_xll.BDH($C$553,"TOTAL_DEBT_TO_EBIT","FQ2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55" s="2" t="e">
        <f ca="1">_xll.BDH($C$553,"NET_DEBT_TO_EBIT","FQ2 2014","FQ2 2014","Currency=INR","Period=FQ","BEST_FPERIOD_OVERRIDE=FQ","FILING_STATUS=OR","EQY_CONSOLIDATED=Y","FA_ADJUSTED=GAAP","Sort=A","Dates=H","DateFormat=P","Fill=—","Direction=H","UseDPDF=Y")</f>
        <v>#NAME?</v>
      </c>
      <c r="CF555" s="2" t="e">
        <f ca="1">_xll.BDH($C$553,"EBITDA_TO_INTEREST_EXPN","FQ2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55" s="2" t="e">
        <f ca="1">_xll.BDH($C$553,"COM_EQY_TO_TOT_ASSET","FQ2 2014","FQ2 2014","Currency=INR","Period=FQ","BEST_FPERIOD_OVERRIDE=FQ","FILING_STATUS=OR","EQY_CONSOLIDATED=Y","Sort=A","Dates=H","DateFormat=P","Fill=—","Direction=H","UseDPDF=Y")</f>
        <v>#NAME?</v>
      </c>
      <c r="CH555" s="2" t="e">
        <f ca="1">_xll.BDH($C$553,"LT_DEBT_TO_TOT_EQY","FQ2 2014","FQ2 2014","Currency=INR","Period=FQ","BEST_FPERIOD_OVERRIDE=FQ","FILING_STATUS=OR","EQY_CONSOLIDATED=Y","Sort=A","Dates=H","DateFormat=P","Fill=—","Direction=H","UseDPDF=Y")</f>
        <v>#NAME?</v>
      </c>
      <c r="CI555" s="2" t="e">
        <f ca="1">_xll.BDH($C$553,"LT_DEBT_TO_TOT_CAP","FQ2 2014","FQ2 2014","Currency=INR","Period=FQ","BEST_FPERIOD_OVERRIDE=FQ","FILING_STATUS=OR","EQY_CONSOLIDATED=Y","Sort=A","Dates=H","DateFormat=P","Fill=—","Direction=H","UseDPDF=Y")</f>
        <v>#NAME?</v>
      </c>
      <c r="CJ555" s="2" t="e">
        <f ca="1">_xll.BDH($C$553,"LT_DEBT_TO_TOT_ASSET","FQ2 2014","FQ2 2014","Currency=INR","Period=FQ","BEST_FPERIOD_OVERRIDE=FQ","FILING_STATUS=OR","EQY_CONSOLIDATED=Y","Sort=A","Dates=H","DateFormat=P","Fill=—","Direction=H","UseDPDF=Y")</f>
        <v>#NAME?</v>
      </c>
      <c r="CK555" s="2" t="e">
        <f ca="1">_xll.BDH($C$553,"TOT_DEBT_TO_TOT_EQY","FQ2 2014","FQ2 2014","Currency=INR","Period=FQ","BEST_FPERIOD_OVERRIDE=FQ","FILING_STATUS=OR","EQY_CONSOLIDATED=Y","Sort=A","Dates=H","DateFormat=P","Fill=—","Direction=H","UseDPDF=Y")</f>
        <v>#NAME?</v>
      </c>
      <c r="CL555" s="2" t="e">
        <f ca="1">_xll.BDH($C$553,"TOT_DEBT_TO_TOT_CAP","FQ2 2014","FQ2 2014","Currency=INR","Period=FQ","BEST_FPERIOD_OVERRIDE=FQ","FILING_STATUS=OR","EQY_CONSOLIDATED=Y","Sort=A","Dates=H","DateFormat=P","Fill=—","Direction=H","UseDPDF=Y")</f>
        <v>#NAME?</v>
      </c>
      <c r="CM555" s="2" t="e">
        <f ca="1">_xll.BDH($C$553,"TOT_DEBT_TO_TOT_ASSET","FQ2 2014","FQ2 2014","Currency=INR","Period=FQ","BEST_FPERIOD_OVERRIDE=FQ","FILING_STATUS=OR","EQY_CONSOLIDATED=Y","Sort=A","Dates=H","DateFormat=P","Fill=—","Direction=H","UseDPDF=Y")</f>
        <v>#NAME?</v>
      </c>
      <c r="CN555" s="2" t="e">
        <f ca="1">_xll.BDH($C$553,"NET_DEBT_TO_SHRHLDR_EQTY","FQ2 2014","FQ2 2014","Currency=INR","Period=FQ","BEST_FPERIOD_OVERRIDE=FQ","FILING_STATUS=OR","EQY_CONSOLIDATED=Y","Sort=A","Dates=H","DateFormat=P","Fill=—","Direction=H","UseDPDF=Y")</f>
        <v>#NAME?</v>
      </c>
      <c r="CO555" s="2" t="e">
        <f ca="1">_xll.BDH($C$553,"NET_DEBT_%_CAPITAL","FQ2 2014","FQ2 2014","Currency=INR","Period=FQ","BEST_FPERIOD_OVERRIDE=FQ","FILING_STATUS=OR","EQY_CONSOLIDATED=Y","Sort=A","Dates=H","DateFormat=P","Fill=—","Direction=H","UseDPDF=Y")</f>
        <v>#NAME?</v>
      </c>
      <c r="CP555" s="3" t="e">
        <f ca="1">_xll.BDH($C$553,"EBITDA","FQ2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55" s="3" t="e">
        <f ca="1">_xll.BDH($C$553,"EBITDA_AFTER_CAPEX","FQ2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55" s="3" t="e">
        <f ca="1">_xll.BDH($C$553,"IS_OPER_INC","FQ2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55" s="2" t="e">
        <f ca="1">_xll.BDH($C$553,"CASH_RATIO","FQ2 2014","FQ2 2014","Currency=INR","Period=FQ","BEST_FPERIOD_OVERRIDE=FQ","FILING_STATUS=OR","EQY_CONSOLIDATED=Y","Sort=A","Dates=H","DateFormat=P","Fill=—","Direction=H","UseDPDF=Y")</f>
        <v>#NAME?</v>
      </c>
      <c r="CT555" s="2" t="e">
        <f ca="1">_xll.BDH($C$553,"CUR_RATIO","FQ2 2014","FQ2 2014","Currency=INR","Period=FQ","BEST_FPERIOD_OVERRIDE=FQ","FILING_STATUS=OR","EQY_CONSOLIDATED=Y","Sort=A","Dates=H","DateFormat=P","Fill=—","Direction=H","UseDPDF=Y")</f>
        <v>#NAME?</v>
      </c>
      <c r="CU555" s="2" t="e">
        <f ca="1">_xll.BDH($C$553,"QUICK_RATIO","FQ2 2014","FQ2 2014","Currency=INR","Period=FQ","BEST_FPERIOD_OVERRIDE=FQ","FILING_STATUS=OR","EQY_CONSOLIDATED=Y","Sort=A","Dates=H","DateFormat=P","Fill=—","Direction=H","UseDPDF=Y")</f>
        <v>#NAME?</v>
      </c>
      <c r="CV555" s="2" t="e">
        <f ca="1">_xll.BDH($C$553,"ALTMAN_Z_SCORE","FQ2 2014","FQ2 2014","Currency=INR","Period=FQ","BEST_FPERIOD_OVERRIDE=FQ","FILING_STATUS=OR","EQY_CONSOLIDATED=Y","Sort=A","Dates=H","DateFormat=P","Fill=—","Direction=H","UseDPDF=Y")</f>
        <v>#NAME?</v>
      </c>
      <c r="CW555" s="4" t="e">
        <f ca="1">_xll.BDH($C$553,"ACCT_RCV_TURN","FQ2 2014","FQ2 2014","Currency=INR","Period=FQ","BEST_FPERIOD_OVERRIDE=FQ","FILING_STATUS=OR","EQY_CONSOLIDATED=Y","FA_ADJUSTED=GAAP","Sort=A","Dates=H","DateFormat=P","Fill=—","Direction=H","UseDPDF=Y")</f>
        <v>#NAME?</v>
      </c>
      <c r="CX555" s="2" t="e">
        <f ca="1">_xll.BDH($C$553,"ACCT_RCV_DAYS","FQ2 2014","FQ2 2014","Currency=INR","Period=FQ","BEST_FPERIOD_OVERRIDE=FQ","FILING_STATUS=OR","EQY_CONSOLIDATED=Y","FA_ADJUSTED=GAAP","Sort=A","Dates=H","DateFormat=P","Fill=—","Direction=H","UseDPDF=Y")</f>
        <v>#NAME?</v>
      </c>
      <c r="CY555" s="4" t="e">
        <f ca="1">_xll.BDH($C$553,"INVENT_TURN","FQ2 2014","FQ2 2014","Currency=INR","Period=FQ","BEST_FPERIOD_OVERRIDE=FQ","FILING_STATUS=OR","EQY_CONSOLIDATED=Y","FA_ADJUSTED=GAAP","Sort=A","Dates=H","DateFormat=P","Fill=—","Direction=H","UseDPDF=Y")</f>
        <v>#NAME?</v>
      </c>
      <c r="CZ555" s="2" t="e">
        <f ca="1">_xll.BDH($C$553,"INVENT_DAYS","FQ2 2014","FQ2 2014","Currency=INR","Period=FQ","BEST_FPERIOD_OVERRIDE=FQ","FILING_STATUS=OR","EQY_CONSOLIDATED=Y","FA_ADJUSTED=GAAP","Sort=A","Dates=H","DateFormat=P","Fill=—","Direction=H","UseDPDF=Y")</f>
        <v>#NAME?</v>
      </c>
      <c r="DA555" s="4" t="e">
        <f ca="1">_xll.BDH($C$553,"ACCOUNTS_PAYABLE_TURNOVER","FQ2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55" s="2" t="e">
        <f ca="1">_xll.BDH($C$553,"ACCOUNTS_PAYABLE_TURNOVER_DAYS","FQ2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55" s="4" t="e">
        <f ca="1">_xll.BDH($C$553,"CASH_CONVERSION_CYCLE","FQ2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55" s="4" t="e">
        <f ca="1">_xll.BDH($C$553,"INV_TO_CASH_DAYS","FQ2 2014","FQ2 2014","Currency=INR","Period=FQ","BEST_FPERIOD_OVERRIDE=FQ","FILING_STATUS=OR","EQY_CONSOLIDATED=Y","FA_ADJUSTED=GAAP","Sort=A","Dates=H","DateFormat=P","Fill=—","Direction=H","UseDPDF=Y")</f>
        <v>#NAME?</v>
      </c>
      <c r="DE555" s="5" t="e">
        <f ca="1">_xll.BDH($C$553,"BS_INVENTORIES","FQ2 2014","FQ2 2014","Currency=INR","Period=FQ","BEST_FPERIOD_OVERRIDE=FQ","FILING_STATUS=OR","EQY_CONSOLIDATED=Y","SCALING_FORMAT=MLN","Sort=A","Dates=H","DateFormat=P","Fill=—","Direction=H","UseDPDF=Y")</f>
        <v>#NAME?</v>
      </c>
      <c r="DF555" s="3" t="e">
        <f ca="1">_xll.BDH($C$553,"INVTRY_RAW_MATERIALS","FQ2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55" s="3" t="e">
        <f ca="1">_xll.BDH($C$553,"INVTRY_IN_PROGRESS","FQ2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55" s="3" t="e">
        <f ca="1">_xll.BDH($C$553,"INVTRY_FINISHED_GOODS","FQ2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55" s="3" t="e">
        <f ca="1">_xll.BDH($C$553,"BS_OTHER_INV","FQ2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56" spans="1:113" x14ac:dyDescent="0.3">
      <c r="A556" s="6"/>
      <c r="B556" s="6"/>
      <c r="C556" s="6"/>
      <c r="D556" s="6"/>
      <c r="E556" t="s">
        <v>80</v>
      </c>
      <c r="F556" t="e">
        <f ca="1">_xll.BDH($C$553,"RETURN_COM_EQY","FQ3 2014","FQ3 2014","Currency=INR","Period=FQ","BEST_FPERIOD_OVERRIDE=FQ","FILING_STATUS=OR","EQY_CONSOLIDATED=Y","FA_ADJUSTED=GAAP","Sort=A","Dates=H","DateFormat=P","Fill=—","Direction=H","UseDPDF=Y")</f>
        <v>#NAME?</v>
      </c>
      <c r="G556" t="e">
        <f ca="1">_xll.BDH($C$553,"RETURN_ON_ASSET","FQ3 2014","FQ3 2014","Currency=INR","Period=FQ","BEST_FPERIOD_OVERRIDE=FQ","FILING_STATUS=OR","EQY_CONSOLIDATED=Y","FA_ADJUSTED=GAAP","Sort=A","Dates=H","DateFormat=P","Fill=—","Direction=H","UseDPDF=Y")</f>
        <v>#NAME?</v>
      </c>
      <c r="H556" t="e">
        <f ca="1">_xll.BDH($C$553,"RETURN_ON_CAP","FQ3 2014","FQ3 2014","Currency=INR","Period=FQ","BEST_FPERIOD_OVERRIDE=FQ","FILING_STATUS=OR","EQY_CONSOLIDATED=Y","FA_ADJUSTED=GAAP","Sort=A","Dates=H","DateFormat=P","Fill=—","Direction=H","UseDPDF=Y")</f>
        <v>#NAME?</v>
      </c>
      <c r="I556" t="e">
        <f ca="1">_xll.BDH($C$553,"RETURN_ON_INV_CAPITAL","FQ3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56" t="e">
        <f ca="1">_xll.BDH($C$553,"EBITDA_TO_REVENUE","FQ3 2014","FQ3 2014","Currency=INR","Period=FQ","BEST_FPERIOD_OVERRIDE=FQ","FILING_STATUS=OR","EQY_CONSOLIDATED=Y","FA_ADJUSTED=GAAP","Sort=A","Dates=H","DateFormat=P","Fill=—","Direction=H","UseDPDF=Y")</f>
        <v>#NAME?</v>
      </c>
      <c r="K556" t="e">
        <f ca="1">_xll.BDH($C$553,"OPER_MARGIN","FQ3 2014","FQ3 2014","Currency=INR","Period=FQ","BEST_FPERIOD_OVERRIDE=FQ","FILING_STATUS=OR","EQY_CONSOLIDATED=Y","FA_ADJUSTED=GAAP","Sort=A","Dates=H","DateFormat=P","Fill=—","Direction=H","UseDPDF=Y")</f>
        <v>#NAME?</v>
      </c>
      <c r="L556" t="e">
        <f ca="1">_xll.BDH($C$553,"INCREMENTAL_OPERATING_MARGIN","FQ3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56" t="e">
        <f ca="1">_xll.BDH($C$553,"PRETAX_INC_TO_NET_SALES","FQ3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56" t="e">
        <f ca="1">_xll.BDH($C$553,"INC_BEF_XO_ITEMS_TO_NET_SALES","FQ3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56" t="e">
        <f ca="1">_xll.BDH($C$553,"PROF_MARGIN","FQ3 2014","FQ3 2014","Currency=INR","Period=FQ","BEST_FPERIOD_OVERRIDE=FQ","FILING_STATUS=OR","EQY_CONSOLIDATED=Y","FA_ADJUSTED=GAAP","Sort=A","Dates=H","DateFormat=P","Fill=—","Direction=H","UseDPDF=Y")</f>
        <v>#NAME?</v>
      </c>
      <c r="P556" t="e">
        <f ca="1">_xll.BDH($C$553,"NET_INCOME_TO_COMMON_MARGIN","FQ3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56" t="e">
        <f ca="1">_xll.BDH($C$553,"EFF_TAX_RATE","FQ3 2014","FQ3 2014","Currency=INR","Period=FQ","BEST_FPERIOD_OVERRIDE=FQ","FILING_STATUS=OR","EQY_CONSOLIDATED=Y","FA_ADJUSTED=GAAP","Sort=A","Dates=H","DateFormat=P","Fill=—","Direction=H","UseDPDF=Y")</f>
        <v>#NAME?</v>
      </c>
      <c r="R556" t="e">
        <f ca="1">_xll.BDH($C$553,"DVD_PAYOUT_RATIO","FQ3 2014","FQ3 2014","Currency=INR","Period=FQ","BEST_FPERIOD_OVERRIDE=FQ","FILING_STATUS=OR","EQY_CONSOLIDATED=Y","FA_ADJUSTED=GAAP","Sort=A","Dates=H","DateFormat=P","Fill=—","Direction=H","UseDPDF=Y")</f>
        <v>#NAME?</v>
      </c>
      <c r="S556" t="e">
        <f ca="1">_xll.BDH($C$553,"SUSTAIN_GROWTH_RT","FQ3 2014","FQ3 2014","Currency=INR","Period=FQ","BEST_FPERIOD_OVERRIDE=FQ","FILING_STATUS=OR","EQY_CONSOLIDATED=Y","FA_ADJUSTED=GAAP","Sort=A","Dates=H","DateFormat=P","Fill=—","Direction=H","UseDPDF=Y")</f>
        <v>#NAME?</v>
      </c>
      <c r="T556" s="2" t="e">
        <f ca="1">_xll.BDH($C$553,"SALES_GROWTH","FQ3 2014","FQ3 2014","Currency=INR","Period=FQ","BEST_FPERIOD_OVERRIDE=FQ","FILING_STATUS=OR","EQY_CONSOLIDATED=Y","FA_ADJUSTED=GAAP","Sort=A","Dates=H","DateFormat=P","Fill=—","Direction=H","UseDPDF=Y")</f>
        <v>#NAME?</v>
      </c>
      <c r="U556" s="2" t="e">
        <f ca="1">_xll.BDH($C$553,"EBITDA_GROWTH","FQ3 2014","FQ3 2014","Currency=INR","Period=FQ","BEST_FPERIOD_OVERRIDE=FQ","FILING_STATUS=OR","EQY_CONSOLIDATED=Y","FA_ADJUSTED=GAAP","Sort=A","Dates=H","DateFormat=P","Fill=—","Direction=H","UseDPDF=Y")</f>
        <v>#NAME?</v>
      </c>
      <c r="V556" s="2" t="e">
        <f ca="1">_xll.BDH($C$553,"OPER_INC_GROWTH","FQ3 2014","FQ3 2014","Currency=INR","Period=FQ","BEST_FPERIOD_OVERRIDE=FQ","FILING_STATUS=OR","EQY_CONSOLIDATED=Y","FA_ADJUSTED=GAAP","Sort=A","Dates=H","DateFormat=P","Fill=—","Direction=H","UseDPDF=Y")</f>
        <v>#NAME?</v>
      </c>
      <c r="W556" s="2" t="e">
        <f ca="1">_xll.BDH($C$553,"EARN_FOR_COM_GROWTH","FQ3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56" s="2" t="e">
        <f ca="1">_xll.BDH($C$553,"DILUTED_EPS_AFT_XO_ITEMS_GROWTH","FQ3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56" s="2" t="e">
        <f ca="1">_xll.BDH($C$553,"DIVIDEND_PER_SHARE_1_YEAR_GROWTH","FQ3 2014","FQ3 2014","Currency=INR","Period=FQ","BEST_FPERIOD_OVERRIDE=FQ","FILING_STATUS=OR","EQY_CONSOLIDATED=Y","Sort=A","Dates=H","DateFormat=P","Fill=—","Direction=H","UseDPDF=Y")</f>
        <v>#NAME?</v>
      </c>
      <c r="Z556" s="2" t="e">
        <f ca="1">_xll.BDH($C$553,"ACCOUNTS_RECEIVABLE_GROWTH","FQ3 2014","FQ3 2014","Currency=INR","Period=FQ","BEST_FPERIOD_OVERRIDE=FQ","FILING_STATUS=OR","EQY_CONSOLIDATED=Y","Sort=A","Dates=H","DateFormat=P","Fill=—","Direction=H","UseDPDF=Y")</f>
        <v>#NAME?</v>
      </c>
      <c r="AA556" s="2" t="e">
        <f ca="1">_xll.BDH($C$553,"INVENTORY_GROWTH","FQ3 2014","FQ3 2014","Currency=INR","Period=FQ","BEST_FPERIOD_OVERRIDE=FQ","FILING_STATUS=OR","EQY_CONSOLIDATED=Y","Sort=A","Dates=H","DateFormat=P","Fill=—","Direction=H","UseDPDF=Y")</f>
        <v>#NAME?</v>
      </c>
      <c r="AB556" s="2" t="e">
        <f ca="1">_xll.BDH($C$553,"NET_FIXED_ASSETS_1_YEAR_GROWTH","FQ3 2014","FQ3 2014","Currency=INR","Period=FQ","BEST_FPERIOD_OVERRIDE=FQ","FILING_STATUS=OR","EQY_CONSOLIDATED=Y","Sort=A","Dates=H","DateFormat=P","Fill=—","Direction=H","UseDPDF=Y")</f>
        <v>#NAME?</v>
      </c>
      <c r="AC556" s="2" t="e">
        <f ca="1">_xll.BDH($C$553,"ASSET_GROWTH","FQ3 2014","FQ3 2014","Currency=INR","Period=FQ","BEST_FPERIOD_OVERRIDE=FQ","FILING_STATUS=OR","EQY_CONSOLIDATED=Y","Sort=A","Dates=H","DateFormat=P","Fill=—","Direction=H","UseDPDF=Y")</f>
        <v>#NAME?</v>
      </c>
      <c r="AD556" s="2" t="e">
        <f ca="1">_xll.BDH($C$553,"MODIFIED_WORK_CAP_GROWTH","FQ3 2014","FQ3 2014","Currency=INR","Period=FQ","BEST_FPERIOD_OVERRIDE=FQ","FILING_STATUS=OR","EQY_CONSOLIDATED=Y","Sort=A","Dates=H","DateFormat=P","Fill=—","Direction=H","UseDPDF=Y")</f>
        <v>#NAME?</v>
      </c>
      <c r="AE556" s="2" t="e">
        <f ca="1">_xll.BDH($C$553,"WORK_CAP_GROWTH","FQ3 2014","FQ3 2014","Currency=INR","Period=FQ","BEST_FPERIOD_OVERRIDE=FQ","FILING_STATUS=OR","EQY_CONSOLIDATED=Y","Sort=A","Dates=H","DateFormat=P","Fill=—","Direction=H","UseDPDF=Y")</f>
        <v>#NAME?</v>
      </c>
      <c r="AF556" s="2" t="e">
        <f ca="1">_xll.BDH($C$553,"ACCOUNTS_PAYABLE_GROWTH_1YR","FQ3 2014","FQ3 2014","Currency=INR","Period=FQ","BEST_FPERIOD_OVERRIDE=FQ","FILING_STATUS=OR","EQY_CONSOLIDATED=Y","Sort=A","Dates=H","DateFormat=P","Fill=—","Direction=H","UseDPDF=Y")</f>
        <v>#NAME?</v>
      </c>
      <c r="AG556" s="2" t="e">
        <f ca="1">_xll.BDH($C$553,"SHORT_TERM_DEBT_1_YEAR_GROWTH","FQ3 2014","FQ3 2014","Currency=INR","Period=FQ","BEST_FPERIOD_OVERRIDE=FQ","FILING_STATUS=OR","EQY_CONSOLIDATED=Y","Sort=A","Dates=H","DateFormat=P","Fill=—","Direction=H","UseDPDF=Y")</f>
        <v>#NAME?</v>
      </c>
      <c r="AH556" s="2" t="e">
        <f ca="1">_xll.BDH($C$553,"TOTAL_DEBT_1_YEAR_GROWTH","FQ3 2014","FQ3 2014","Currency=INR","Period=FQ","BEST_FPERIOD_OVERRIDE=FQ","FILING_STATUS=OR","EQY_CONSOLIDATED=Y","Sort=A","Dates=H","DateFormat=P","Fill=—","Direction=H","UseDPDF=Y")</f>
        <v>#NAME?</v>
      </c>
      <c r="AI556" s="2" t="e">
        <f ca="1">_xll.BDH($C$553,"TOTAL_EQUITY_1_YEAR_GROWTH","FQ3 2014","FQ3 2014","Currency=INR","Period=FQ","BEST_FPERIOD_OVERRIDE=FQ","FILING_STATUS=OR","EQY_CONSOLIDATED=Y","Sort=A","Dates=H","DateFormat=P","Fill=—","Direction=H","UseDPDF=Y")</f>
        <v>#NAME?</v>
      </c>
      <c r="AJ556" s="2" t="e">
        <f ca="1">_xll.BDH($C$553,"GROWTH_IN_CAP","FQ3 2014","FQ3 2014","Currency=INR","Period=FQ","BEST_FPERIOD_OVERRIDE=FQ","FILING_STATUS=OR","EQY_CONSOLIDATED=Y","Sort=A","Dates=H","DateFormat=P","Fill=—","Direction=H","UseDPDF=Y")</f>
        <v>#NAME?</v>
      </c>
      <c r="AK556" s="2" t="e">
        <f ca="1">_xll.BDH($C$553,"BVPS_GROWTH","FQ3 2014","FQ3 2014","Currency=INR","Period=FQ","BEST_FPERIOD_OVERRIDE=FQ","FILING_STATUS=OR","EQY_CONSOLIDATED=Y","Sort=A","Dates=H","DateFormat=P","Fill=—","Direction=H","UseDPDF=Y")</f>
        <v>#NAME?</v>
      </c>
      <c r="AL556" s="2" t="e">
        <f ca="1">_xll.BDH($C$553,"CASH_FLOW_GROWTH","FQ3 2014","FQ3 2014","Currency=INR","Period=FQ","BEST_FPERIOD_OVERRIDE=FQ","FILING_STATUS=OR","EQY_CONSOLIDATED=Y","Sort=A","Dates=H","DateFormat=P","Fill=—","Direction=H","UseDPDF=Y")</f>
        <v>#NAME?</v>
      </c>
      <c r="AM556" s="2" t="e">
        <f ca="1">_xll.BDH($C$553,"GEO_GROW_NET_SALES","FQ3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56" s="2" t="e">
        <f ca="1">_xll.BDH($C$553,"GEO_GROW_EBITDA","FQ3 2014","FQ3 2014","Currency=INR","Period=FQ","BEST_FPERIOD_OVERRIDE=FQ","FILING_STATUS=OR","EQY_CONSOLIDATED=Y","FA_ADJUSTED=GAAP","Sort=A","Dates=H","DateFormat=P","Fill=—","Direction=H","UseDPDF=Y")</f>
        <v>#NAME?</v>
      </c>
      <c r="AO556" s="2" t="e">
        <f ca="1">_xll.BDH($C$553,"GEO_GROW_OPER_INC","FQ3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56" s="2" t="e">
        <f ca="1">_xll.BDH($C$553,"NET_INCOME_TO_COMMON_5_YR_GROWTH","FQ3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56" s="2" t="e">
        <f ca="1">_xll.BDH($C$553,"5Y_GEO_GROWTH_DILUTED_EPS","FQ3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56" s="2" t="e">
        <f ca="1">_xll.BDH($C$553,"GEO_GROW_DVD_PER_SH","FQ3 2014","FQ3 2014","Currency=INR","Period=FQ","BEST_FPERIOD_OVERRIDE=FQ","FILING_STATUS=OR","EQY_CONSOLIDATED=Y","Sort=A","Dates=H","DateFormat=P","Fill=—","Direction=H","UseDPDF=Y")</f>
        <v>#NAME?</v>
      </c>
      <c r="AS556" s="2" t="e">
        <f ca="1">_xll.BDH($C$553,"ACCOUNTS_RECEIVABLE_5_YR_GROWTH","FQ3 2014","FQ3 2014","Currency=INR","Period=FQ","BEST_FPERIOD_OVERRIDE=FQ","FILING_STATUS=OR","EQY_CONSOLIDATED=Y","Sort=A","Dates=H","DateFormat=P","Fill=—","Direction=H","UseDPDF=Y")</f>
        <v>#NAME?</v>
      </c>
      <c r="AT556" s="2" t="e">
        <f ca="1">_xll.BDH($C$553,"INVENTORY_5_YEAR_GROWTH","FQ3 2014","FQ3 2014","Currency=INR","Period=FQ","BEST_FPERIOD_OVERRIDE=FQ","FILING_STATUS=OR","EQY_CONSOLIDATED=Y","Sort=A","Dates=H","DateFormat=P","Fill=—","Direction=H","UseDPDF=Y")</f>
        <v>#NAME?</v>
      </c>
      <c r="AU556" s="2" t="e">
        <f ca="1">_xll.BDH($C$553,"NET_FIXED_ASSETS_5_YEAR_GROWTH","FQ3 2014","FQ3 2014","Currency=INR","Period=FQ","BEST_FPERIOD_OVERRIDE=FQ","FILING_STATUS=OR","EQY_CONSOLIDATED=Y","Sort=A","Dates=H","DateFormat=P","Fill=—","Direction=H","UseDPDF=Y")</f>
        <v>#NAME?</v>
      </c>
      <c r="AV556" s="2" t="e">
        <f ca="1">_xll.BDH($C$553,"GEO_GROW_TOT_ASSET","FQ3 2014","FQ3 2014","Currency=INR","Period=FQ","BEST_FPERIOD_OVERRIDE=FQ","FILING_STATUS=OR","EQY_CONSOLIDATED=Y","Sort=A","Dates=H","DateFormat=P","Fill=—","Direction=H","UseDPDF=Y")</f>
        <v>#NAME?</v>
      </c>
      <c r="AW556" s="2" t="e">
        <f ca="1">_xll.BDH($C$553,"MODIFIED_WORKING_CPTL_5YR_GRWTH","FQ3 2014","FQ3 2014","Currency=INR","Period=FQ","BEST_FPERIOD_OVERRIDE=FQ","FILING_STATUS=OR","EQY_CONSOLIDATED=Y","Sort=A","Dates=H","DateFormat=P","Fill=—","Direction=H","UseDPDF=Y")</f>
        <v>#NAME?</v>
      </c>
      <c r="AX556" s="2" t="e">
        <f ca="1">_xll.BDH($C$553,"WORKING_CAPITAL_5_YEAR_GROWTH","FQ3 2014","FQ3 2014","Currency=INR","Period=FQ","BEST_FPERIOD_OVERRIDE=FQ","FILING_STATUS=OR","EQY_CONSOLIDATED=Y","Sort=A","Dates=H","DateFormat=P","Fill=—","Direction=H","UseDPDF=Y")</f>
        <v>#NAME?</v>
      </c>
      <c r="AY556" s="2" t="e">
        <f ca="1">_xll.BDH($C$553,"ACCOUNTS_PAYABLE_5_YEAR_GROWTH","FQ3 2014","FQ3 2014","Currency=INR","Period=FQ","BEST_FPERIOD_OVERRIDE=FQ","FILING_STATUS=OR","EQY_CONSOLIDATED=Y","Sort=A","Dates=H","DateFormat=P","Fill=—","Direction=H","UseDPDF=Y")</f>
        <v>#NAME?</v>
      </c>
      <c r="AZ556" s="2" t="e">
        <f ca="1">_xll.BDH($C$553,"SHORT_TERM_DEBT_5_YEAR_GROWTH","FQ3 2014","FQ3 2014","Currency=INR","Period=FQ","BEST_FPERIOD_OVERRIDE=FQ","FILING_STATUS=OR","EQY_CONSOLIDATED=Y","Sort=A","Dates=H","DateFormat=P","Fill=—","Direction=H","UseDPDF=Y")</f>
        <v>#NAME?</v>
      </c>
      <c r="BA556" s="2" t="e">
        <f ca="1">_xll.BDH($C$553,"TOTAL_DEBT_5_YEAR_GROWTH","FQ3 2014","FQ3 2014","Currency=INR","Period=FQ","BEST_FPERIOD_OVERRIDE=FQ","FILING_STATUS=OR","EQY_CONSOLIDATED=Y","Sort=A","Dates=H","DateFormat=P","Fill=—","Direction=H","UseDPDF=Y")</f>
        <v>#NAME?</v>
      </c>
      <c r="BB556" s="2" t="e">
        <f ca="1">_xll.BDH($C$553,"GEO_GROW_TOT_SHRHLDR_EQY","FQ3 2014","FQ3 2014","Currency=INR","Period=FQ","BEST_FPERIOD_OVERRIDE=FQ","FILING_STATUS=OR","EQY_CONSOLIDATED=Y","Sort=A","Dates=H","DateFormat=P","Fill=—","Direction=H","UseDPDF=Y")</f>
        <v>#NAME?</v>
      </c>
      <c r="BC556" s="2" t="e">
        <f ca="1">_xll.BDH($C$553,"TOTAL_CAPITAL_5_YEAR_GROWTH","FQ3 2014","FQ3 2014","Currency=INR","Period=FQ","BEST_FPERIOD_OVERRIDE=FQ","FILING_STATUS=OR","EQY_CONSOLIDATED=Y","Sort=A","Dates=H","DateFormat=P","Fill=—","Direction=H","UseDPDF=Y")</f>
        <v>#NAME?</v>
      </c>
      <c r="BD556" s="2" t="e">
        <f ca="1">_xll.BDH($C$553,"GEO_GROW_BOOK_VAL","FQ3 2014","FQ3 2014","Currency=INR","Period=FQ","BEST_FPERIOD_OVERRIDE=FQ","FILING_STATUS=OR","EQY_CONSOLIDATED=Y","Sort=A","Dates=H","DateFormat=P","Fill=—","Direction=H","UseDPDF=Y")</f>
        <v>#NAME?</v>
      </c>
      <c r="BE556" s="2" t="e">
        <f ca="1">_xll.BDH($C$553,"GEO_GROW_CASH_OPER_ACT","FQ3 2014","FQ3 2014","Currency=INR","Period=FQ","BEST_FPERIOD_OVERRIDE=FQ","FILING_STATUS=OR","EQY_CONSOLIDATED=Y","Sort=A","Dates=H","DateFormat=P","Fill=—","Direction=H","UseDPDF=Y")</f>
        <v>#NAME?</v>
      </c>
      <c r="BF556" s="2" t="e">
        <f ca="1">_xll.BDH($C$553,"REVENUE_SEQUENTIAL_GROWTH","FQ3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56" s="2" t="e">
        <f ca="1">_xll.BDH($C$553,"EBITDA_SEQUENTIAL_GROWTH","FQ3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56" s="2" t="e">
        <f ca="1">_xll.BDH($C$553,"OPERATING_INCOME_SEQ_GROWTH","FQ3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56" s="2" t="e">
        <f ca="1">_xll.BDH($C$553,"NET_INCOME_TO_COMMON_SEQ_GROWTH","FQ3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56" s="2" t="e">
        <f ca="1">_xll.BDH($C$553,"EPS_DILUTED_SEQUENTIAL_GROWTH","FQ3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56" s="2" t="e">
        <f ca="1">_xll.BDH($C$553,"DPS_SEQUENTIAL_GROWTH","FQ3 2014","FQ3 2014","Currency=INR","Period=FQ","BEST_FPERIOD_OVERRIDE=FQ","FILING_STATUS=OR","EQY_CONSOLIDATED=Y","Sort=A","Dates=H","DateFormat=P","Fill=—","Direction=H","UseDPDF=Y")</f>
        <v>#NAME?</v>
      </c>
      <c r="BL556" s="2" t="e">
        <f ca="1">_xll.BDH($C$553,"ACCOUNTS_RECEIVABLE_SEQ_GROWTH","FQ3 2014","FQ3 2014","Currency=INR","Period=FQ","BEST_FPERIOD_OVERRIDE=FQ","FILING_STATUS=OR","EQY_CONSOLIDATED=Y","Sort=A","Dates=H","DateFormat=P","Fill=—","Direction=H","UseDPDF=Y")</f>
        <v>#NAME?</v>
      </c>
      <c r="BM556" s="2" t="e">
        <f ca="1">_xll.BDH($C$553,"INVENTORY_SEQUENTIAL_GROWTH","FQ3 2014","FQ3 2014","Currency=INR","Period=FQ","BEST_FPERIOD_OVERRIDE=FQ","FILING_STATUS=OR","EQY_CONSOLIDATED=Y","Sort=A","Dates=H","DateFormat=P","Fill=—","Direction=H","UseDPDF=Y")</f>
        <v>#NAME?</v>
      </c>
      <c r="BN556" s="2" t="e">
        <f ca="1">_xll.BDH($C$553,"FIXED_ASSETS_SEQUENTIAL_GROWTH","FQ3 2014","FQ3 2014","Currency=INR","Period=FQ","BEST_FPERIOD_OVERRIDE=FQ","FILING_STATUS=OR","EQY_CONSOLIDATED=Y","Sort=A","Dates=H","DateFormat=P","Fill=—","Direction=H","UseDPDF=Y")</f>
        <v>#NAME?</v>
      </c>
      <c r="BO556" s="2" t="e">
        <f ca="1">_xll.BDH($C$553,"TOTAL_ASSETS_SEQUENTIAL_GROWTH","FQ3 2014","FQ3 2014","Currency=INR","Period=FQ","BEST_FPERIOD_OVERRIDE=FQ","FILING_STATUS=OR","EQY_CONSOLIDATED=Y","Sort=A","Dates=H","DateFormat=P","Fill=—","Direction=H","UseDPDF=Y")</f>
        <v>#NAME?</v>
      </c>
      <c r="BP556" s="2" t="e">
        <f ca="1">_xll.BDH($C$553,"MODIFIED_WORKING_CPTL_SEQ_GRWTH","FQ3 2014","FQ3 2014","Currency=INR","Period=FQ","BEST_FPERIOD_OVERRIDE=FQ","FILING_STATUS=OR","EQY_CONSOLIDATED=Y","Sort=A","Dates=H","DateFormat=P","Fill=—","Direction=H","UseDPDF=Y")</f>
        <v>#NAME?</v>
      </c>
      <c r="BQ556" s="2" t="e">
        <f ca="1">_xll.BDH($C$553,"WORKING_CAPITAL_SEQ_GROWTH","FQ3 2014","FQ3 2014","Currency=INR","Period=FQ","BEST_FPERIOD_OVERRIDE=FQ","FILING_STATUS=OR","EQY_CONSOLIDATED=Y","Sort=A","Dates=H","DateFormat=P","Fill=—","Direction=H","UseDPDF=Y")</f>
        <v>#NAME?</v>
      </c>
      <c r="BR556" s="2" t="e">
        <f ca="1">_xll.BDH($C$553,"ACCOUNTS_PAYABLE_SEQ_GROWTH","FQ3 2014","FQ3 2014","Currency=INR","Period=FQ","BEST_FPERIOD_OVERRIDE=FQ","FILING_STATUS=OR","EQY_CONSOLIDATED=Y","Sort=A","Dates=H","DateFormat=P","Fill=—","Direction=H","UseDPDF=Y")</f>
        <v>#NAME?</v>
      </c>
      <c r="BS556" s="2" t="e">
        <f ca="1">_xll.BDH($C$553,"ST_DEBT_SEQUENTIAL_GROWTH","FQ3 2014","FQ3 2014","Currency=INR","Period=FQ","BEST_FPERIOD_OVERRIDE=FQ","FILING_STATUS=OR","EQY_CONSOLIDATED=Y","Sort=A","Dates=H","DateFormat=P","Fill=—","Direction=H","UseDPDF=Y")</f>
        <v>#NAME?</v>
      </c>
      <c r="BT556" s="2" t="e">
        <f ca="1">_xll.BDH($C$553,"TOTAL_DEBT_SEQUENTIAL_GROWTH","FQ3 2014","FQ3 2014","Currency=INR","Period=FQ","BEST_FPERIOD_OVERRIDE=FQ","FILING_STATUS=OR","EQY_CONSOLIDATED=Y","Sort=A","Dates=H","DateFormat=P","Fill=—","Direction=H","UseDPDF=Y")</f>
        <v>#NAME?</v>
      </c>
      <c r="BU556" s="2" t="e">
        <f ca="1">_xll.BDH($C$553,"TOTAL_EQUITY_SEQUENTIAL_GROWTH","FQ3 2014","FQ3 2014","Currency=INR","Period=FQ","BEST_FPERIOD_OVERRIDE=FQ","FILING_STATUS=OR","EQY_CONSOLIDATED=Y","Sort=A","Dates=H","DateFormat=P","Fill=—","Direction=H","UseDPDF=Y")</f>
        <v>#NAME?</v>
      </c>
      <c r="BV556" s="2" t="e">
        <f ca="1">_xll.BDH($C$553,"TOTAL_CAPITAL_SEQUENTIAL_GROWTH","FQ3 2014","FQ3 2014","Currency=INR","Period=FQ","BEST_FPERIOD_OVERRIDE=FQ","FILING_STATUS=OR","EQY_CONSOLIDATED=Y","Sort=A","Dates=H","DateFormat=P","Fill=—","Direction=H","UseDPDF=Y")</f>
        <v>#NAME?</v>
      </c>
      <c r="BW556" s="2" t="e">
        <f ca="1">_xll.BDH($C$553,"BPS_SEQUENTIAL_GROWTH","FQ3 2014","FQ3 2014","Currency=INR","Period=FQ","BEST_FPERIOD_OVERRIDE=FQ","FILING_STATUS=OR","EQY_CONSOLIDATED=Y","Sort=A","Dates=H","DateFormat=P","Fill=—","Direction=H","UseDPDF=Y")</f>
        <v>#NAME?</v>
      </c>
      <c r="BX556" s="2" t="e">
        <f ca="1">_xll.BDH($C$553,"CFO_SEQUENTIAL_GROWTH","FQ3 2014","FQ3 2014","Currency=INR","Period=FQ","BEST_FPERIOD_OVERRIDE=FQ","FILING_STATUS=OR","EQY_CONSOLIDATED=Y","Sort=A","Dates=H","DateFormat=P","Fill=—","Direction=H","UseDPDF=Y")</f>
        <v>#NAME?</v>
      </c>
      <c r="BY556" s="3" t="e">
        <f ca="1">_xll.BDH($C$553,"SHORT_AND_LONG_TERM_DEBT","FQ3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56" s="3" t="e">
        <f ca="1">_xll.BDH($C$553,"BS_ST_BORROW","FQ3 2014","FQ3 2014","Currency=INR","Period=FQ","BEST_FPERIOD_OVERRIDE=FQ","FILING_STATUS=OR","EQY_CONSOLIDATED=Y","SCALING_FORMAT=MLN","Sort=A","Dates=H","DateFormat=P","Fill=—","Direction=H","UseDPDF=Y")</f>
        <v>#NAME?</v>
      </c>
      <c r="CA556" s="3" t="e">
        <f ca="1">_xll.BDH($C$553,"BS_LT_BORROW","FQ3 2014","FQ3 2014","Currency=INR","Period=FQ","BEST_FPERIOD_OVERRIDE=FQ","FILING_STATUS=OR","EQY_CONSOLIDATED=Y","SCALING_FORMAT=MLN","Sort=A","Dates=H","DateFormat=P","Fill=—","Direction=H","UseDPDF=Y")</f>
        <v>#NAME?</v>
      </c>
      <c r="CB556" s="2" t="e">
        <f ca="1">_xll.BDH($C$553,"TOT_DEBT_TO_EBITDA","FQ3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56" s="2" t="e">
        <f ca="1">_xll.BDH($C$553,"NET_DEBT_TO_EBITDA","FQ3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56" s="2" t="e">
        <f ca="1">_xll.BDH($C$553,"TOTAL_DEBT_TO_EBIT","FQ3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56" s="2" t="e">
        <f ca="1">_xll.BDH($C$553,"NET_DEBT_TO_EBIT","FQ3 2014","FQ3 2014","Currency=INR","Period=FQ","BEST_FPERIOD_OVERRIDE=FQ","FILING_STATUS=OR","EQY_CONSOLIDATED=Y","FA_ADJUSTED=GAAP","Sort=A","Dates=H","DateFormat=P","Fill=—","Direction=H","UseDPDF=Y")</f>
        <v>#NAME?</v>
      </c>
      <c r="CF556" s="2" t="e">
        <f ca="1">_xll.BDH($C$553,"EBITDA_TO_INTEREST_EXPN","FQ3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56" s="2" t="e">
        <f ca="1">_xll.BDH($C$553,"COM_EQY_TO_TOT_ASSET","FQ3 2014","FQ3 2014","Currency=INR","Period=FQ","BEST_FPERIOD_OVERRIDE=FQ","FILING_STATUS=OR","EQY_CONSOLIDATED=Y","Sort=A","Dates=H","DateFormat=P","Fill=—","Direction=H","UseDPDF=Y")</f>
        <v>#NAME?</v>
      </c>
      <c r="CH556" s="2" t="e">
        <f ca="1">_xll.BDH($C$553,"LT_DEBT_TO_TOT_EQY","FQ3 2014","FQ3 2014","Currency=INR","Period=FQ","BEST_FPERIOD_OVERRIDE=FQ","FILING_STATUS=OR","EQY_CONSOLIDATED=Y","Sort=A","Dates=H","DateFormat=P","Fill=—","Direction=H","UseDPDF=Y")</f>
        <v>#NAME?</v>
      </c>
      <c r="CI556" s="2" t="e">
        <f ca="1">_xll.BDH($C$553,"LT_DEBT_TO_TOT_CAP","FQ3 2014","FQ3 2014","Currency=INR","Period=FQ","BEST_FPERIOD_OVERRIDE=FQ","FILING_STATUS=OR","EQY_CONSOLIDATED=Y","Sort=A","Dates=H","DateFormat=P","Fill=—","Direction=H","UseDPDF=Y")</f>
        <v>#NAME?</v>
      </c>
      <c r="CJ556" s="2" t="e">
        <f ca="1">_xll.BDH($C$553,"LT_DEBT_TO_TOT_ASSET","FQ3 2014","FQ3 2014","Currency=INR","Period=FQ","BEST_FPERIOD_OVERRIDE=FQ","FILING_STATUS=OR","EQY_CONSOLIDATED=Y","Sort=A","Dates=H","DateFormat=P","Fill=—","Direction=H","UseDPDF=Y")</f>
        <v>#NAME?</v>
      </c>
      <c r="CK556" s="2" t="e">
        <f ca="1">_xll.BDH($C$553,"TOT_DEBT_TO_TOT_EQY","FQ3 2014","FQ3 2014","Currency=INR","Period=FQ","BEST_FPERIOD_OVERRIDE=FQ","FILING_STATUS=OR","EQY_CONSOLIDATED=Y","Sort=A","Dates=H","DateFormat=P","Fill=—","Direction=H","UseDPDF=Y")</f>
        <v>#NAME?</v>
      </c>
      <c r="CL556" s="2" t="e">
        <f ca="1">_xll.BDH($C$553,"TOT_DEBT_TO_TOT_CAP","FQ3 2014","FQ3 2014","Currency=INR","Period=FQ","BEST_FPERIOD_OVERRIDE=FQ","FILING_STATUS=OR","EQY_CONSOLIDATED=Y","Sort=A","Dates=H","DateFormat=P","Fill=—","Direction=H","UseDPDF=Y")</f>
        <v>#NAME?</v>
      </c>
      <c r="CM556" s="2" t="e">
        <f ca="1">_xll.BDH($C$553,"TOT_DEBT_TO_TOT_ASSET","FQ3 2014","FQ3 2014","Currency=INR","Period=FQ","BEST_FPERIOD_OVERRIDE=FQ","FILING_STATUS=OR","EQY_CONSOLIDATED=Y","Sort=A","Dates=H","DateFormat=P","Fill=—","Direction=H","UseDPDF=Y")</f>
        <v>#NAME?</v>
      </c>
      <c r="CN556" s="2" t="e">
        <f ca="1">_xll.BDH($C$553,"NET_DEBT_TO_SHRHLDR_EQTY","FQ3 2014","FQ3 2014","Currency=INR","Period=FQ","BEST_FPERIOD_OVERRIDE=FQ","FILING_STATUS=OR","EQY_CONSOLIDATED=Y","Sort=A","Dates=H","DateFormat=P","Fill=—","Direction=H","UseDPDF=Y")</f>
        <v>#NAME?</v>
      </c>
      <c r="CO556" s="2" t="e">
        <f ca="1">_xll.BDH($C$553,"NET_DEBT_%_CAPITAL","FQ3 2014","FQ3 2014","Currency=INR","Period=FQ","BEST_FPERIOD_OVERRIDE=FQ","FILING_STATUS=OR","EQY_CONSOLIDATED=Y","Sort=A","Dates=H","DateFormat=P","Fill=—","Direction=H","UseDPDF=Y")</f>
        <v>#NAME?</v>
      </c>
      <c r="CP556" s="3" t="e">
        <f ca="1">_xll.BDH($C$553,"EBITDA","FQ3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56" s="3" t="e">
        <f ca="1">_xll.BDH($C$553,"EBITDA_AFTER_CAPEX","FQ3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56" s="3" t="e">
        <f ca="1">_xll.BDH($C$553,"IS_OPER_INC","FQ3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56" s="2" t="e">
        <f ca="1">_xll.BDH($C$553,"CASH_RATIO","FQ3 2014","FQ3 2014","Currency=INR","Period=FQ","BEST_FPERIOD_OVERRIDE=FQ","FILING_STATUS=OR","EQY_CONSOLIDATED=Y","Sort=A","Dates=H","DateFormat=P","Fill=—","Direction=H","UseDPDF=Y")</f>
        <v>#NAME?</v>
      </c>
      <c r="CT556" s="2" t="e">
        <f ca="1">_xll.BDH($C$553,"CUR_RATIO","FQ3 2014","FQ3 2014","Currency=INR","Period=FQ","BEST_FPERIOD_OVERRIDE=FQ","FILING_STATUS=OR","EQY_CONSOLIDATED=Y","Sort=A","Dates=H","DateFormat=P","Fill=—","Direction=H","UseDPDF=Y")</f>
        <v>#NAME?</v>
      </c>
      <c r="CU556" s="2" t="e">
        <f ca="1">_xll.BDH($C$553,"QUICK_RATIO","FQ3 2014","FQ3 2014","Currency=INR","Period=FQ","BEST_FPERIOD_OVERRIDE=FQ","FILING_STATUS=OR","EQY_CONSOLIDATED=Y","Sort=A","Dates=H","DateFormat=P","Fill=—","Direction=H","UseDPDF=Y")</f>
        <v>#NAME?</v>
      </c>
      <c r="CV556" s="2" t="e">
        <f ca="1">_xll.BDH($C$553,"ALTMAN_Z_SCORE","FQ3 2014","FQ3 2014","Currency=INR","Period=FQ","BEST_FPERIOD_OVERRIDE=FQ","FILING_STATUS=OR","EQY_CONSOLIDATED=Y","Sort=A","Dates=H","DateFormat=P","Fill=—","Direction=H","UseDPDF=Y")</f>
        <v>#NAME?</v>
      </c>
      <c r="CW556" s="4" t="e">
        <f ca="1">_xll.BDH($C$553,"ACCT_RCV_TURN","FQ3 2014","FQ3 2014","Currency=INR","Period=FQ","BEST_FPERIOD_OVERRIDE=FQ","FILING_STATUS=OR","EQY_CONSOLIDATED=Y","FA_ADJUSTED=GAAP","Sort=A","Dates=H","DateFormat=P","Fill=—","Direction=H","UseDPDF=Y")</f>
        <v>#NAME?</v>
      </c>
      <c r="CX556" s="2" t="e">
        <f ca="1">_xll.BDH($C$553,"ACCT_RCV_DAYS","FQ3 2014","FQ3 2014","Currency=INR","Period=FQ","BEST_FPERIOD_OVERRIDE=FQ","FILING_STATUS=OR","EQY_CONSOLIDATED=Y","FA_ADJUSTED=GAAP","Sort=A","Dates=H","DateFormat=P","Fill=—","Direction=H","UseDPDF=Y")</f>
        <v>#NAME?</v>
      </c>
      <c r="CY556" s="4" t="e">
        <f ca="1">_xll.BDH($C$553,"INVENT_TURN","FQ3 2014","FQ3 2014","Currency=INR","Period=FQ","BEST_FPERIOD_OVERRIDE=FQ","FILING_STATUS=OR","EQY_CONSOLIDATED=Y","FA_ADJUSTED=GAAP","Sort=A","Dates=H","DateFormat=P","Fill=—","Direction=H","UseDPDF=Y")</f>
        <v>#NAME?</v>
      </c>
      <c r="CZ556" s="2" t="e">
        <f ca="1">_xll.BDH($C$553,"INVENT_DAYS","FQ3 2014","FQ3 2014","Currency=INR","Period=FQ","BEST_FPERIOD_OVERRIDE=FQ","FILING_STATUS=OR","EQY_CONSOLIDATED=Y","FA_ADJUSTED=GAAP","Sort=A","Dates=H","DateFormat=P","Fill=—","Direction=H","UseDPDF=Y")</f>
        <v>#NAME?</v>
      </c>
      <c r="DA556" s="4" t="e">
        <f ca="1">_xll.BDH($C$553,"ACCOUNTS_PAYABLE_TURNOVER","FQ3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56" s="2" t="e">
        <f ca="1">_xll.BDH($C$553,"ACCOUNTS_PAYABLE_TURNOVER_DAYS","FQ3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56" s="4" t="e">
        <f ca="1">_xll.BDH($C$553,"CASH_CONVERSION_CYCLE","FQ3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56" s="4" t="e">
        <f ca="1">_xll.BDH($C$553,"INV_TO_CASH_DAYS","FQ3 2014","FQ3 2014","Currency=INR","Period=FQ","BEST_FPERIOD_OVERRIDE=FQ","FILING_STATUS=OR","EQY_CONSOLIDATED=Y","FA_ADJUSTED=GAAP","Sort=A","Dates=H","DateFormat=P","Fill=—","Direction=H","UseDPDF=Y")</f>
        <v>#NAME?</v>
      </c>
      <c r="DE556" s="5" t="e">
        <f ca="1">_xll.BDH($C$553,"BS_INVENTORIES","FQ3 2014","FQ3 2014","Currency=INR","Period=FQ","BEST_FPERIOD_OVERRIDE=FQ","FILING_STATUS=OR","EQY_CONSOLIDATED=Y","SCALING_FORMAT=MLN","Sort=A","Dates=H","DateFormat=P","Fill=—","Direction=H","UseDPDF=Y")</f>
        <v>#NAME?</v>
      </c>
      <c r="DF556" s="3" t="e">
        <f ca="1">_xll.BDH($C$553,"INVTRY_RAW_MATERIALS","FQ3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56" s="3" t="e">
        <f ca="1">_xll.BDH($C$553,"INVTRY_IN_PROGRESS","FQ3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56" s="3" t="e">
        <f ca="1">_xll.BDH($C$553,"INVTRY_FINISHED_GOODS","FQ3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56" s="3" t="e">
        <f ca="1">_xll.BDH($C$553,"BS_OTHER_INV","FQ3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57" spans="1:113" x14ac:dyDescent="0.3">
      <c r="A557" s="6"/>
      <c r="B557" s="6"/>
      <c r="C557" s="6"/>
      <c r="D557" s="6"/>
      <c r="E557" t="s">
        <v>81</v>
      </c>
      <c r="F557" t="e">
        <f ca="1">_xll.BDH($C$553,"RETURN_COM_EQY","FQ4 2014","FQ4 2014","Currency=INR","Period=FQ","BEST_FPERIOD_OVERRIDE=FQ","FILING_STATUS=OR","EQY_CONSOLIDATED=Y","FA_ADJUSTED=GAAP","Sort=A","Dates=H","DateFormat=P","Fill=—","Direction=H","UseDPDF=Y")</f>
        <v>#NAME?</v>
      </c>
      <c r="G557" t="e">
        <f ca="1">_xll.BDH($C$553,"RETURN_ON_ASSET","FQ4 2014","FQ4 2014","Currency=INR","Period=FQ","BEST_FPERIOD_OVERRIDE=FQ","FILING_STATUS=OR","EQY_CONSOLIDATED=Y","FA_ADJUSTED=GAAP","Sort=A","Dates=H","DateFormat=P","Fill=—","Direction=H","UseDPDF=Y")</f>
        <v>#NAME?</v>
      </c>
      <c r="H557" t="e">
        <f ca="1">_xll.BDH($C$553,"RETURN_ON_CAP","FQ4 2014","FQ4 2014","Currency=INR","Period=FQ","BEST_FPERIOD_OVERRIDE=FQ","FILING_STATUS=OR","EQY_CONSOLIDATED=Y","FA_ADJUSTED=GAAP","Sort=A","Dates=H","DateFormat=P","Fill=—","Direction=H","UseDPDF=Y")</f>
        <v>#NAME?</v>
      </c>
      <c r="I557" t="e">
        <f ca="1">_xll.BDH($C$553,"RETURN_ON_INV_CAPITAL","FQ4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57" t="e">
        <f ca="1">_xll.BDH($C$553,"EBITDA_TO_REVENUE","FQ4 2014","FQ4 2014","Currency=INR","Period=FQ","BEST_FPERIOD_OVERRIDE=FQ","FILING_STATUS=OR","EQY_CONSOLIDATED=Y","FA_ADJUSTED=GAAP","Sort=A","Dates=H","DateFormat=P","Fill=—","Direction=H","UseDPDF=Y")</f>
        <v>#NAME?</v>
      </c>
      <c r="K557" t="e">
        <f ca="1">_xll.BDH($C$553,"OPER_MARGIN","FQ4 2014","FQ4 2014","Currency=INR","Period=FQ","BEST_FPERIOD_OVERRIDE=FQ","FILING_STATUS=OR","EQY_CONSOLIDATED=Y","FA_ADJUSTED=GAAP","Sort=A","Dates=H","DateFormat=P","Fill=—","Direction=H","UseDPDF=Y")</f>
        <v>#NAME?</v>
      </c>
      <c r="L557" t="e">
        <f ca="1">_xll.BDH($C$553,"INCREMENTAL_OPERATING_MARGIN","FQ4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57" t="e">
        <f ca="1">_xll.BDH($C$553,"PRETAX_INC_TO_NET_SALES","FQ4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57" t="e">
        <f ca="1">_xll.BDH($C$553,"INC_BEF_XO_ITEMS_TO_NET_SALES","FQ4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57" t="e">
        <f ca="1">_xll.BDH($C$553,"PROF_MARGIN","FQ4 2014","FQ4 2014","Currency=INR","Period=FQ","BEST_FPERIOD_OVERRIDE=FQ","FILING_STATUS=OR","EQY_CONSOLIDATED=Y","FA_ADJUSTED=GAAP","Sort=A","Dates=H","DateFormat=P","Fill=—","Direction=H","UseDPDF=Y")</f>
        <v>#NAME?</v>
      </c>
      <c r="P557" t="e">
        <f ca="1">_xll.BDH($C$553,"NET_INCOME_TO_COMMON_MARGIN","FQ4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57" t="e">
        <f ca="1">_xll.BDH($C$553,"EFF_TAX_RATE","FQ4 2014","FQ4 2014","Currency=INR","Period=FQ","BEST_FPERIOD_OVERRIDE=FQ","FILING_STATUS=OR","EQY_CONSOLIDATED=Y","FA_ADJUSTED=GAAP","Sort=A","Dates=H","DateFormat=P","Fill=—","Direction=H","UseDPDF=Y")</f>
        <v>#NAME?</v>
      </c>
      <c r="R557" t="e">
        <f ca="1">_xll.BDH($C$553,"DVD_PAYOUT_RATIO","FQ4 2014","FQ4 2014","Currency=INR","Period=FQ","BEST_FPERIOD_OVERRIDE=FQ","FILING_STATUS=OR","EQY_CONSOLIDATED=Y","FA_ADJUSTED=GAAP","Sort=A","Dates=H","DateFormat=P","Fill=—","Direction=H","UseDPDF=Y")</f>
        <v>#NAME?</v>
      </c>
      <c r="S557" t="e">
        <f ca="1">_xll.BDH($C$553,"SUSTAIN_GROWTH_RT","FQ4 2014","FQ4 2014","Currency=INR","Period=FQ","BEST_FPERIOD_OVERRIDE=FQ","FILING_STATUS=OR","EQY_CONSOLIDATED=Y","FA_ADJUSTED=GAAP","Sort=A","Dates=H","DateFormat=P","Fill=—","Direction=H","UseDPDF=Y")</f>
        <v>#NAME?</v>
      </c>
      <c r="T557" s="2" t="e">
        <f ca="1">_xll.BDH($C$553,"SALES_GROWTH","FQ4 2014","FQ4 2014","Currency=INR","Period=FQ","BEST_FPERIOD_OVERRIDE=FQ","FILING_STATUS=OR","EQY_CONSOLIDATED=Y","FA_ADJUSTED=GAAP","Sort=A","Dates=H","DateFormat=P","Fill=—","Direction=H","UseDPDF=Y")</f>
        <v>#NAME?</v>
      </c>
      <c r="U557" s="2" t="e">
        <f ca="1">_xll.BDH($C$553,"EBITDA_GROWTH","FQ4 2014","FQ4 2014","Currency=INR","Period=FQ","BEST_FPERIOD_OVERRIDE=FQ","FILING_STATUS=OR","EQY_CONSOLIDATED=Y","FA_ADJUSTED=GAAP","Sort=A","Dates=H","DateFormat=P","Fill=—","Direction=H","UseDPDF=Y")</f>
        <v>#NAME?</v>
      </c>
      <c r="V557" s="2" t="e">
        <f ca="1">_xll.BDH($C$553,"OPER_INC_GROWTH","FQ4 2014","FQ4 2014","Currency=INR","Period=FQ","BEST_FPERIOD_OVERRIDE=FQ","FILING_STATUS=OR","EQY_CONSOLIDATED=Y","FA_ADJUSTED=GAAP","Sort=A","Dates=H","DateFormat=P","Fill=—","Direction=H","UseDPDF=Y")</f>
        <v>#NAME?</v>
      </c>
      <c r="W557" s="2" t="e">
        <f ca="1">_xll.BDH($C$553,"EARN_FOR_COM_GROWTH","FQ4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57" s="2" t="e">
        <f ca="1">_xll.BDH($C$553,"DILUTED_EPS_AFT_XO_ITEMS_GROWTH","FQ4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57" s="2" t="e">
        <f ca="1">_xll.BDH($C$553,"DIVIDEND_PER_SHARE_1_YEAR_GROWTH","FQ4 2014","FQ4 2014","Currency=INR","Period=FQ","BEST_FPERIOD_OVERRIDE=FQ","FILING_STATUS=OR","EQY_CONSOLIDATED=Y","Sort=A","Dates=H","DateFormat=P","Fill=—","Direction=H","UseDPDF=Y")</f>
        <v>#NAME?</v>
      </c>
      <c r="Z557" s="2" t="e">
        <f ca="1">_xll.BDH($C$553,"ACCOUNTS_RECEIVABLE_GROWTH","FQ4 2014","FQ4 2014","Currency=INR","Period=FQ","BEST_FPERIOD_OVERRIDE=FQ","FILING_STATUS=OR","EQY_CONSOLIDATED=Y","Sort=A","Dates=H","DateFormat=P","Fill=—","Direction=H","UseDPDF=Y")</f>
        <v>#NAME?</v>
      </c>
      <c r="AA557" s="2" t="e">
        <f ca="1">_xll.BDH($C$553,"INVENTORY_GROWTH","FQ4 2014","FQ4 2014","Currency=INR","Period=FQ","BEST_FPERIOD_OVERRIDE=FQ","FILING_STATUS=OR","EQY_CONSOLIDATED=Y","Sort=A","Dates=H","DateFormat=P","Fill=—","Direction=H","UseDPDF=Y")</f>
        <v>#NAME?</v>
      </c>
      <c r="AB557" s="2" t="e">
        <f ca="1">_xll.BDH($C$553,"NET_FIXED_ASSETS_1_YEAR_GROWTH","FQ4 2014","FQ4 2014","Currency=INR","Period=FQ","BEST_FPERIOD_OVERRIDE=FQ","FILING_STATUS=OR","EQY_CONSOLIDATED=Y","Sort=A","Dates=H","DateFormat=P","Fill=—","Direction=H","UseDPDF=Y")</f>
        <v>#NAME?</v>
      </c>
      <c r="AC557" s="2" t="e">
        <f ca="1">_xll.BDH($C$553,"ASSET_GROWTH","FQ4 2014","FQ4 2014","Currency=INR","Period=FQ","BEST_FPERIOD_OVERRIDE=FQ","FILING_STATUS=OR","EQY_CONSOLIDATED=Y","Sort=A","Dates=H","DateFormat=P","Fill=—","Direction=H","UseDPDF=Y")</f>
        <v>#NAME?</v>
      </c>
      <c r="AD557" s="2" t="e">
        <f ca="1">_xll.BDH($C$553,"MODIFIED_WORK_CAP_GROWTH","FQ4 2014","FQ4 2014","Currency=INR","Period=FQ","BEST_FPERIOD_OVERRIDE=FQ","FILING_STATUS=OR","EQY_CONSOLIDATED=Y","Sort=A","Dates=H","DateFormat=P","Fill=—","Direction=H","UseDPDF=Y")</f>
        <v>#NAME?</v>
      </c>
      <c r="AE557" s="2" t="e">
        <f ca="1">_xll.BDH($C$553,"WORK_CAP_GROWTH","FQ4 2014","FQ4 2014","Currency=INR","Period=FQ","BEST_FPERIOD_OVERRIDE=FQ","FILING_STATUS=OR","EQY_CONSOLIDATED=Y","Sort=A","Dates=H","DateFormat=P","Fill=—","Direction=H","UseDPDF=Y")</f>
        <v>#NAME?</v>
      </c>
      <c r="AF557" s="2" t="e">
        <f ca="1">_xll.BDH($C$553,"ACCOUNTS_PAYABLE_GROWTH_1YR","FQ4 2014","FQ4 2014","Currency=INR","Period=FQ","BEST_FPERIOD_OVERRIDE=FQ","FILING_STATUS=OR","EQY_CONSOLIDATED=Y","Sort=A","Dates=H","DateFormat=P","Fill=—","Direction=H","UseDPDF=Y")</f>
        <v>#NAME?</v>
      </c>
      <c r="AG557" s="2" t="e">
        <f ca="1">_xll.BDH($C$553,"SHORT_TERM_DEBT_1_YEAR_GROWTH","FQ4 2014","FQ4 2014","Currency=INR","Period=FQ","BEST_FPERIOD_OVERRIDE=FQ","FILING_STATUS=OR","EQY_CONSOLIDATED=Y","Sort=A","Dates=H","DateFormat=P","Fill=—","Direction=H","UseDPDF=Y")</f>
        <v>#NAME?</v>
      </c>
      <c r="AH557" s="2" t="e">
        <f ca="1">_xll.BDH($C$553,"TOTAL_DEBT_1_YEAR_GROWTH","FQ4 2014","FQ4 2014","Currency=INR","Period=FQ","BEST_FPERIOD_OVERRIDE=FQ","FILING_STATUS=OR","EQY_CONSOLIDATED=Y","Sort=A","Dates=H","DateFormat=P","Fill=—","Direction=H","UseDPDF=Y")</f>
        <v>#NAME?</v>
      </c>
      <c r="AI557" s="2" t="e">
        <f ca="1">_xll.BDH($C$553,"TOTAL_EQUITY_1_YEAR_GROWTH","FQ4 2014","FQ4 2014","Currency=INR","Period=FQ","BEST_FPERIOD_OVERRIDE=FQ","FILING_STATUS=OR","EQY_CONSOLIDATED=Y","Sort=A","Dates=H","DateFormat=P","Fill=—","Direction=H","UseDPDF=Y")</f>
        <v>#NAME?</v>
      </c>
      <c r="AJ557" s="2" t="e">
        <f ca="1">_xll.BDH($C$553,"GROWTH_IN_CAP","FQ4 2014","FQ4 2014","Currency=INR","Period=FQ","BEST_FPERIOD_OVERRIDE=FQ","FILING_STATUS=OR","EQY_CONSOLIDATED=Y","Sort=A","Dates=H","DateFormat=P","Fill=—","Direction=H","UseDPDF=Y")</f>
        <v>#NAME?</v>
      </c>
      <c r="AK557" s="2" t="e">
        <f ca="1">_xll.BDH($C$553,"BVPS_GROWTH","FQ4 2014","FQ4 2014","Currency=INR","Period=FQ","BEST_FPERIOD_OVERRIDE=FQ","FILING_STATUS=OR","EQY_CONSOLIDATED=Y","Sort=A","Dates=H","DateFormat=P","Fill=—","Direction=H","UseDPDF=Y")</f>
        <v>#NAME?</v>
      </c>
      <c r="AL557" s="2" t="e">
        <f ca="1">_xll.BDH($C$553,"CASH_FLOW_GROWTH","FQ4 2014","FQ4 2014","Currency=INR","Period=FQ","BEST_FPERIOD_OVERRIDE=FQ","FILING_STATUS=OR","EQY_CONSOLIDATED=Y","Sort=A","Dates=H","DateFormat=P","Fill=—","Direction=H","UseDPDF=Y")</f>
        <v>#NAME?</v>
      </c>
      <c r="AM557" s="2" t="e">
        <f ca="1">_xll.BDH($C$553,"GEO_GROW_NET_SALES","FQ4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57" s="2" t="e">
        <f ca="1">_xll.BDH($C$553,"GEO_GROW_EBITDA","FQ4 2014","FQ4 2014","Currency=INR","Period=FQ","BEST_FPERIOD_OVERRIDE=FQ","FILING_STATUS=OR","EQY_CONSOLIDATED=Y","FA_ADJUSTED=GAAP","Sort=A","Dates=H","DateFormat=P","Fill=—","Direction=H","UseDPDF=Y")</f>
        <v>#NAME?</v>
      </c>
      <c r="AO557" s="2" t="e">
        <f ca="1">_xll.BDH($C$553,"GEO_GROW_OPER_INC","FQ4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57" s="2" t="e">
        <f ca="1">_xll.BDH($C$553,"NET_INCOME_TO_COMMON_5_YR_GROWTH","FQ4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57" s="2" t="e">
        <f ca="1">_xll.BDH($C$553,"5Y_GEO_GROWTH_DILUTED_EPS","FQ4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57" s="2" t="e">
        <f ca="1">_xll.BDH($C$553,"GEO_GROW_DVD_PER_SH","FQ4 2014","FQ4 2014","Currency=INR","Period=FQ","BEST_FPERIOD_OVERRIDE=FQ","FILING_STATUS=OR","EQY_CONSOLIDATED=Y","Sort=A","Dates=H","DateFormat=P","Fill=—","Direction=H","UseDPDF=Y")</f>
        <v>#NAME?</v>
      </c>
      <c r="AS557" s="2" t="e">
        <f ca="1">_xll.BDH($C$553,"ACCOUNTS_RECEIVABLE_5_YR_GROWTH","FQ4 2014","FQ4 2014","Currency=INR","Period=FQ","BEST_FPERIOD_OVERRIDE=FQ","FILING_STATUS=OR","EQY_CONSOLIDATED=Y","Sort=A","Dates=H","DateFormat=P","Fill=—","Direction=H","UseDPDF=Y")</f>
        <v>#NAME?</v>
      </c>
      <c r="AT557" s="2" t="e">
        <f ca="1">_xll.BDH($C$553,"INVENTORY_5_YEAR_GROWTH","FQ4 2014","FQ4 2014","Currency=INR","Period=FQ","BEST_FPERIOD_OVERRIDE=FQ","FILING_STATUS=OR","EQY_CONSOLIDATED=Y","Sort=A","Dates=H","DateFormat=P","Fill=—","Direction=H","UseDPDF=Y")</f>
        <v>#NAME?</v>
      </c>
      <c r="AU557" s="2" t="e">
        <f ca="1">_xll.BDH($C$553,"NET_FIXED_ASSETS_5_YEAR_GROWTH","FQ4 2014","FQ4 2014","Currency=INR","Period=FQ","BEST_FPERIOD_OVERRIDE=FQ","FILING_STATUS=OR","EQY_CONSOLIDATED=Y","Sort=A","Dates=H","DateFormat=P","Fill=—","Direction=H","UseDPDF=Y")</f>
        <v>#NAME?</v>
      </c>
      <c r="AV557" s="2" t="e">
        <f ca="1">_xll.BDH($C$553,"GEO_GROW_TOT_ASSET","FQ4 2014","FQ4 2014","Currency=INR","Period=FQ","BEST_FPERIOD_OVERRIDE=FQ","FILING_STATUS=OR","EQY_CONSOLIDATED=Y","Sort=A","Dates=H","DateFormat=P","Fill=—","Direction=H","UseDPDF=Y")</f>
        <v>#NAME?</v>
      </c>
      <c r="AW557" s="2" t="e">
        <f ca="1">_xll.BDH($C$553,"MODIFIED_WORKING_CPTL_5YR_GRWTH","FQ4 2014","FQ4 2014","Currency=INR","Period=FQ","BEST_FPERIOD_OVERRIDE=FQ","FILING_STATUS=OR","EQY_CONSOLIDATED=Y","Sort=A","Dates=H","DateFormat=P","Fill=—","Direction=H","UseDPDF=Y")</f>
        <v>#NAME?</v>
      </c>
      <c r="AX557" s="2" t="e">
        <f ca="1">_xll.BDH($C$553,"WORKING_CAPITAL_5_YEAR_GROWTH","FQ4 2014","FQ4 2014","Currency=INR","Period=FQ","BEST_FPERIOD_OVERRIDE=FQ","FILING_STATUS=OR","EQY_CONSOLIDATED=Y","Sort=A","Dates=H","DateFormat=P","Fill=—","Direction=H","UseDPDF=Y")</f>
        <v>#NAME?</v>
      </c>
      <c r="AY557" s="2" t="e">
        <f ca="1">_xll.BDH($C$553,"ACCOUNTS_PAYABLE_5_YEAR_GROWTH","FQ4 2014","FQ4 2014","Currency=INR","Period=FQ","BEST_FPERIOD_OVERRIDE=FQ","FILING_STATUS=OR","EQY_CONSOLIDATED=Y","Sort=A","Dates=H","DateFormat=P","Fill=—","Direction=H","UseDPDF=Y")</f>
        <v>#NAME?</v>
      </c>
      <c r="AZ557" s="2" t="e">
        <f ca="1">_xll.BDH($C$553,"SHORT_TERM_DEBT_5_YEAR_GROWTH","FQ4 2014","FQ4 2014","Currency=INR","Period=FQ","BEST_FPERIOD_OVERRIDE=FQ","FILING_STATUS=OR","EQY_CONSOLIDATED=Y","Sort=A","Dates=H","DateFormat=P","Fill=—","Direction=H","UseDPDF=Y")</f>
        <v>#NAME?</v>
      </c>
      <c r="BA557" s="2" t="e">
        <f ca="1">_xll.BDH($C$553,"TOTAL_DEBT_5_YEAR_GROWTH","FQ4 2014","FQ4 2014","Currency=INR","Period=FQ","BEST_FPERIOD_OVERRIDE=FQ","FILING_STATUS=OR","EQY_CONSOLIDATED=Y","Sort=A","Dates=H","DateFormat=P","Fill=—","Direction=H","UseDPDF=Y")</f>
        <v>#NAME?</v>
      </c>
      <c r="BB557" s="2" t="e">
        <f ca="1">_xll.BDH($C$553,"GEO_GROW_TOT_SHRHLDR_EQY","FQ4 2014","FQ4 2014","Currency=INR","Period=FQ","BEST_FPERIOD_OVERRIDE=FQ","FILING_STATUS=OR","EQY_CONSOLIDATED=Y","Sort=A","Dates=H","DateFormat=P","Fill=—","Direction=H","UseDPDF=Y")</f>
        <v>#NAME?</v>
      </c>
      <c r="BC557" s="2" t="e">
        <f ca="1">_xll.BDH($C$553,"TOTAL_CAPITAL_5_YEAR_GROWTH","FQ4 2014","FQ4 2014","Currency=INR","Period=FQ","BEST_FPERIOD_OVERRIDE=FQ","FILING_STATUS=OR","EQY_CONSOLIDATED=Y","Sort=A","Dates=H","DateFormat=P","Fill=—","Direction=H","UseDPDF=Y")</f>
        <v>#NAME?</v>
      </c>
      <c r="BD557" s="2" t="e">
        <f ca="1">_xll.BDH($C$553,"GEO_GROW_BOOK_VAL","FQ4 2014","FQ4 2014","Currency=INR","Period=FQ","BEST_FPERIOD_OVERRIDE=FQ","FILING_STATUS=OR","EQY_CONSOLIDATED=Y","Sort=A","Dates=H","DateFormat=P","Fill=—","Direction=H","UseDPDF=Y")</f>
        <v>#NAME?</v>
      </c>
      <c r="BE557" s="2" t="e">
        <f ca="1">_xll.BDH($C$553,"GEO_GROW_CASH_OPER_ACT","FQ4 2014","FQ4 2014","Currency=INR","Period=FQ","BEST_FPERIOD_OVERRIDE=FQ","FILING_STATUS=OR","EQY_CONSOLIDATED=Y","Sort=A","Dates=H","DateFormat=P","Fill=—","Direction=H","UseDPDF=Y")</f>
        <v>#NAME?</v>
      </c>
      <c r="BF557" s="2" t="e">
        <f ca="1">_xll.BDH($C$553,"REVENUE_SEQUENTIAL_GROWTH","FQ4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57" s="2" t="e">
        <f ca="1">_xll.BDH($C$553,"EBITDA_SEQUENTIAL_GROWTH","FQ4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57" s="2" t="e">
        <f ca="1">_xll.BDH($C$553,"OPERATING_INCOME_SEQ_GROWTH","FQ4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57" s="2" t="e">
        <f ca="1">_xll.BDH($C$553,"NET_INCOME_TO_COMMON_SEQ_GROWTH","FQ4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57" s="2" t="e">
        <f ca="1">_xll.BDH($C$553,"EPS_DILUTED_SEQUENTIAL_GROWTH","FQ4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57" s="2" t="e">
        <f ca="1">_xll.BDH($C$553,"DPS_SEQUENTIAL_GROWTH","FQ4 2014","FQ4 2014","Currency=INR","Period=FQ","BEST_FPERIOD_OVERRIDE=FQ","FILING_STATUS=OR","EQY_CONSOLIDATED=Y","Sort=A","Dates=H","DateFormat=P","Fill=—","Direction=H","UseDPDF=Y")</f>
        <v>#NAME?</v>
      </c>
      <c r="BL557" s="2" t="e">
        <f ca="1">_xll.BDH($C$553,"ACCOUNTS_RECEIVABLE_SEQ_GROWTH","FQ4 2014","FQ4 2014","Currency=INR","Period=FQ","BEST_FPERIOD_OVERRIDE=FQ","FILING_STATUS=OR","EQY_CONSOLIDATED=Y","Sort=A","Dates=H","DateFormat=P","Fill=—","Direction=H","UseDPDF=Y")</f>
        <v>#NAME?</v>
      </c>
      <c r="BM557" s="2" t="e">
        <f ca="1">_xll.BDH($C$553,"INVENTORY_SEQUENTIAL_GROWTH","FQ4 2014","FQ4 2014","Currency=INR","Period=FQ","BEST_FPERIOD_OVERRIDE=FQ","FILING_STATUS=OR","EQY_CONSOLIDATED=Y","Sort=A","Dates=H","DateFormat=P","Fill=—","Direction=H","UseDPDF=Y")</f>
        <v>#NAME?</v>
      </c>
      <c r="BN557" s="2" t="e">
        <f ca="1">_xll.BDH($C$553,"FIXED_ASSETS_SEQUENTIAL_GROWTH","FQ4 2014","FQ4 2014","Currency=INR","Period=FQ","BEST_FPERIOD_OVERRIDE=FQ","FILING_STATUS=OR","EQY_CONSOLIDATED=Y","Sort=A","Dates=H","DateFormat=P","Fill=—","Direction=H","UseDPDF=Y")</f>
        <v>#NAME?</v>
      </c>
      <c r="BO557" s="2" t="e">
        <f ca="1">_xll.BDH($C$553,"TOTAL_ASSETS_SEQUENTIAL_GROWTH","FQ4 2014","FQ4 2014","Currency=INR","Period=FQ","BEST_FPERIOD_OVERRIDE=FQ","FILING_STATUS=OR","EQY_CONSOLIDATED=Y","Sort=A","Dates=H","DateFormat=P","Fill=—","Direction=H","UseDPDF=Y")</f>
        <v>#NAME?</v>
      </c>
      <c r="BP557" s="2" t="e">
        <f ca="1">_xll.BDH($C$553,"MODIFIED_WORKING_CPTL_SEQ_GRWTH","FQ4 2014","FQ4 2014","Currency=INR","Period=FQ","BEST_FPERIOD_OVERRIDE=FQ","FILING_STATUS=OR","EQY_CONSOLIDATED=Y","Sort=A","Dates=H","DateFormat=P","Fill=—","Direction=H","UseDPDF=Y")</f>
        <v>#NAME?</v>
      </c>
      <c r="BQ557" s="2" t="e">
        <f ca="1">_xll.BDH($C$553,"WORKING_CAPITAL_SEQ_GROWTH","FQ4 2014","FQ4 2014","Currency=INR","Period=FQ","BEST_FPERIOD_OVERRIDE=FQ","FILING_STATUS=OR","EQY_CONSOLIDATED=Y","Sort=A","Dates=H","DateFormat=P","Fill=—","Direction=H","UseDPDF=Y")</f>
        <v>#NAME?</v>
      </c>
      <c r="BR557" s="2" t="e">
        <f ca="1">_xll.BDH($C$553,"ACCOUNTS_PAYABLE_SEQ_GROWTH","FQ4 2014","FQ4 2014","Currency=INR","Period=FQ","BEST_FPERIOD_OVERRIDE=FQ","FILING_STATUS=OR","EQY_CONSOLIDATED=Y","Sort=A","Dates=H","DateFormat=P","Fill=—","Direction=H","UseDPDF=Y")</f>
        <v>#NAME?</v>
      </c>
      <c r="BS557" s="2" t="e">
        <f ca="1">_xll.BDH($C$553,"ST_DEBT_SEQUENTIAL_GROWTH","FQ4 2014","FQ4 2014","Currency=INR","Period=FQ","BEST_FPERIOD_OVERRIDE=FQ","FILING_STATUS=OR","EQY_CONSOLIDATED=Y","Sort=A","Dates=H","DateFormat=P","Fill=—","Direction=H","UseDPDF=Y")</f>
        <v>#NAME?</v>
      </c>
      <c r="BT557" s="2" t="e">
        <f ca="1">_xll.BDH($C$553,"TOTAL_DEBT_SEQUENTIAL_GROWTH","FQ4 2014","FQ4 2014","Currency=INR","Period=FQ","BEST_FPERIOD_OVERRIDE=FQ","FILING_STATUS=OR","EQY_CONSOLIDATED=Y","Sort=A","Dates=H","DateFormat=P","Fill=—","Direction=H","UseDPDF=Y")</f>
        <v>#NAME?</v>
      </c>
      <c r="BU557" s="2" t="e">
        <f ca="1">_xll.BDH($C$553,"TOTAL_EQUITY_SEQUENTIAL_GROWTH","FQ4 2014","FQ4 2014","Currency=INR","Period=FQ","BEST_FPERIOD_OVERRIDE=FQ","FILING_STATUS=OR","EQY_CONSOLIDATED=Y","Sort=A","Dates=H","DateFormat=P","Fill=—","Direction=H","UseDPDF=Y")</f>
        <v>#NAME?</v>
      </c>
      <c r="BV557" s="2" t="e">
        <f ca="1">_xll.BDH($C$553,"TOTAL_CAPITAL_SEQUENTIAL_GROWTH","FQ4 2014","FQ4 2014","Currency=INR","Period=FQ","BEST_FPERIOD_OVERRIDE=FQ","FILING_STATUS=OR","EQY_CONSOLIDATED=Y","Sort=A","Dates=H","DateFormat=P","Fill=—","Direction=H","UseDPDF=Y")</f>
        <v>#NAME?</v>
      </c>
      <c r="BW557" s="2" t="e">
        <f ca="1">_xll.BDH($C$553,"BPS_SEQUENTIAL_GROWTH","FQ4 2014","FQ4 2014","Currency=INR","Period=FQ","BEST_FPERIOD_OVERRIDE=FQ","FILING_STATUS=OR","EQY_CONSOLIDATED=Y","Sort=A","Dates=H","DateFormat=P","Fill=—","Direction=H","UseDPDF=Y")</f>
        <v>#NAME?</v>
      </c>
      <c r="BX557" s="2" t="e">
        <f ca="1">_xll.BDH($C$553,"CFO_SEQUENTIAL_GROWTH","FQ4 2014","FQ4 2014","Currency=INR","Period=FQ","BEST_FPERIOD_OVERRIDE=FQ","FILING_STATUS=OR","EQY_CONSOLIDATED=Y","Sort=A","Dates=H","DateFormat=P","Fill=—","Direction=H","UseDPDF=Y")</f>
        <v>#NAME?</v>
      </c>
      <c r="BY557" s="3" t="e">
        <f ca="1">_xll.BDH($C$553,"SHORT_AND_LONG_TERM_DEBT","FQ4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57" s="3" t="e">
        <f ca="1">_xll.BDH($C$553,"BS_ST_BORROW","FQ4 2014","FQ4 2014","Currency=INR","Period=FQ","BEST_FPERIOD_OVERRIDE=FQ","FILING_STATUS=OR","EQY_CONSOLIDATED=Y","SCALING_FORMAT=MLN","Sort=A","Dates=H","DateFormat=P","Fill=—","Direction=H","UseDPDF=Y")</f>
        <v>#NAME?</v>
      </c>
      <c r="CA557" s="3" t="e">
        <f ca="1">_xll.BDH($C$553,"BS_LT_BORROW","FQ4 2014","FQ4 2014","Currency=INR","Period=FQ","BEST_FPERIOD_OVERRIDE=FQ","FILING_STATUS=OR","EQY_CONSOLIDATED=Y","SCALING_FORMAT=MLN","Sort=A","Dates=H","DateFormat=P","Fill=—","Direction=H","UseDPDF=Y")</f>
        <v>#NAME?</v>
      </c>
      <c r="CB557" s="2" t="e">
        <f ca="1">_xll.BDH($C$553,"TOT_DEBT_TO_EBITDA","FQ4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57" s="2" t="e">
        <f ca="1">_xll.BDH($C$553,"NET_DEBT_TO_EBITDA","FQ4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57" s="2" t="e">
        <f ca="1">_xll.BDH($C$553,"TOTAL_DEBT_TO_EBIT","FQ4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57" s="2" t="e">
        <f ca="1">_xll.BDH($C$553,"NET_DEBT_TO_EBIT","FQ4 2014","FQ4 2014","Currency=INR","Period=FQ","BEST_FPERIOD_OVERRIDE=FQ","FILING_STATUS=OR","EQY_CONSOLIDATED=Y","FA_ADJUSTED=GAAP","Sort=A","Dates=H","DateFormat=P","Fill=—","Direction=H","UseDPDF=Y")</f>
        <v>#NAME?</v>
      </c>
      <c r="CF557" s="2" t="e">
        <f ca="1">_xll.BDH($C$553,"EBITDA_TO_INTEREST_EXPN","FQ4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57" s="2" t="e">
        <f ca="1">_xll.BDH($C$553,"COM_EQY_TO_TOT_ASSET","FQ4 2014","FQ4 2014","Currency=INR","Period=FQ","BEST_FPERIOD_OVERRIDE=FQ","FILING_STATUS=OR","EQY_CONSOLIDATED=Y","Sort=A","Dates=H","DateFormat=P","Fill=—","Direction=H","UseDPDF=Y")</f>
        <v>#NAME?</v>
      </c>
      <c r="CH557" s="2" t="e">
        <f ca="1">_xll.BDH($C$553,"LT_DEBT_TO_TOT_EQY","FQ4 2014","FQ4 2014","Currency=INR","Period=FQ","BEST_FPERIOD_OVERRIDE=FQ","FILING_STATUS=OR","EQY_CONSOLIDATED=Y","Sort=A","Dates=H","DateFormat=P","Fill=—","Direction=H","UseDPDF=Y")</f>
        <v>#NAME?</v>
      </c>
      <c r="CI557" s="2" t="e">
        <f ca="1">_xll.BDH($C$553,"LT_DEBT_TO_TOT_CAP","FQ4 2014","FQ4 2014","Currency=INR","Period=FQ","BEST_FPERIOD_OVERRIDE=FQ","FILING_STATUS=OR","EQY_CONSOLIDATED=Y","Sort=A","Dates=H","DateFormat=P","Fill=—","Direction=H","UseDPDF=Y")</f>
        <v>#NAME?</v>
      </c>
      <c r="CJ557" s="2" t="e">
        <f ca="1">_xll.BDH($C$553,"LT_DEBT_TO_TOT_ASSET","FQ4 2014","FQ4 2014","Currency=INR","Period=FQ","BEST_FPERIOD_OVERRIDE=FQ","FILING_STATUS=OR","EQY_CONSOLIDATED=Y","Sort=A","Dates=H","DateFormat=P","Fill=—","Direction=H","UseDPDF=Y")</f>
        <v>#NAME?</v>
      </c>
      <c r="CK557" s="2" t="e">
        <f ca="1">_xll.BDH($C$553,"TOT_DEBT_TO_TOT_EQY","FQ4 2014","FQ4 2014","Currency=INR","Period=FQ","BEST_FPERIOD_OVERRIDE=FQ","FILING_STATUS=OR","EQY_CONSOLIDATED=Y","Sort=A","Dates=H","DateFormat=P","Fill=—","Direction=H","UseDPDF=Y")</f>
        <v>#NAME?</v>
      </c>
      <c r="CL557" s="2" t="e">
        <f ca="1">_xll.BDH($C$553,"TOT_DEBT_TO_TOT_CAP","FQ4 2014","FQ4 2014","Currency=INR","Period=FQ","BEST_FPERIOD_OVERRIDE=FQ","FILING_STATUS=OR","EQY_CONSOLIDATED=Y","Sort=A","Dates=H","DateFormat=P","Fill=—","Direction=H","UseDPDF=Y")</f>
        <v>#NAME?</v>
      </c>
      <c r="CM557" s="2" t="e">
        <f ca="1">_xll.BDH($C$553,"TOT_DEBT_TO_TOT_ASSET","FQ4 2014","FQ4 2014","Currency=INR","Period=FQ","BEST_FPERIOD_OVERRIDE=FQ","FILING_STATUS=OR","EQY_CONSOLIDATED=Y","Sort=A","Dates=H","DateFormat=P","Fill=—","Direction=H","UseDPDF=Y")</f>
        <v>#NAME?</v>
      </c>
      <c r="CN557" s="2" t="e">
        <f ca="1">_xll.BDH($C$553,"NET_DEBT_TO_SHRHLDR_EQTY","FQ4 2014","FQ4 2014","Currency=INR","Period=FQ","BEST_FPERIOD_OVERRIDE=FQ","FILING_STATUS=OR","EQY_CONSOLIDATED=Y","Sort=A","Dates=H","DateFormat=P","Fill=—","Direction=H","UseDPDF=Y")</f>
        <v>#NAME?</v>
      </c>
      <c r="CO557" s="2" t="e">
        <f ca="1">_xll.BDH($C$553,"NET_DEBT_%_CAPITAL","FQ4 2014","FQ4 2014","Currency=INR","Period=FQ","BEST_FPERIOD_OVERRIDE=FQ","FILING_STATUS=OR","EQY_CONSOLIDATED=Y","Sort=A","Dates=H","DateFormat=P","Fill=—","Direction=H","UseDPDF=Y")</f>
        <v>#NAME?</v>
      </c>
      <c r="CP557" s="3" t="e">
        <f ca="1">_xll.BDH($C$553,"EBITDA","FQ4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57" s="3" t="e">
        <f ca="1">_xll.BDH($C$553,"EBITDA_AFTER_CAPEX","FQ4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57" s="3" t="e">
        <f ca="1">_xll.BDH($C$553,"IS_OPER_INC","FQ4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57" s="2" t="e">
        <f ca="1">_xll.BDH($C$553,"CASH_RATIO","FQ4 2014","FQ4 2014","Currency=INR","Period=FQ","BEST_FPERIOD_OVERRIDE=FQ","FILING_STATUS=OR","EQY_CONSOLIDATED=Y","Sort=A","Dates=H","DateFormat=P","Fill=—","Direction=H","UseDPDF=Y")</f>
        <v>#NAME?</v>
      </c>
      <c r="CT557" s="2" t="e">
        <f ca="1">_xll.BDH($C$553,"CUR_RATIO","FQ4 2014","FQ4 2014","Currency=INR","Period=FQ","BEST_FPERIOD_OVERRIDE=FQ","FILING_STATUS=OR","EQY_CONSOLIDATED=Y","Sort=A","Dates=H","DateFormat=P","Fill=—","Direction=H","UseDPDF=Y")</f>
        <v>#NAME?</v>
      </c>
      <c r="CU557" s="2" t="e">
        <f ca="1">_xll.BDH($C$553,"QUICK_RATIO","FQ4 2014","FQ4 2014","Currency=INR","Period=FQ","BEST_FPERIOD_OVERRIDE=FQ","FILING_STATUS=OR","EQY_CONSOLIDATED=Y","Sort=A","Dates=H","DateFormat=P","Fill=—","Direction=H","UseDPDF=Y")</f>
        <v>#NAME?</v>
      </c>
      <c r="CV557" s="2" t="e">
        <f ca="1">_xll.BDH($C$553,"ALTMAN_Z_SCORE","FQ4 2014","FQ4 2014","Currency=INR","Period=FQ","BEST_FPERIOD_OVERRIDE=FQ","FILING_STATUS=OR","EQY_CONSOLIDATED=Y","Sort=A","Dates=H","DateFormat=P","Fill=—","Direction=H","UseDPDF=Y")</f>
        <v>#NAME?</v>
      </c>
      <c r="CW557" s="4" t="e">
        <f ca="1">_xll.BDH($C$553,"ACCT_RCV_TURN","FQ4 2014","FQ4 2014","Currency=INR","Period=FQ","BEST_FPERIOD_OVERRIDE=FQ","FILING_STATUS=OR","EQY_CONSOLIDATED=Y","FA_ADJUSTED=GAAP","Sort=A","Dates=H","DateFormat=P","Fill=—","Direction=H","UseDPDF=Y")</f>
        <v>#NAME?</v>
      </c>
      <c r="CX557" s="2" t="e">
        <f ca="1">_xll.BDH($C$553,"ACCT_RCV_DAYS","FQ4 2014","FQ4 2014","Currency=INR","Period=FQ","BEST_FPERIOD_OVERRIDE=FQ","FILING_STATUS=OR","EQY_CONSOLIDATED=Y","FA_ADJUSTED=GAAP","Sort=A","Dates=H","DateFormat=P","Fill=—","Direction=H","UseDPDF=Y")</f>
        <v>#NAME?</v>
      </c>
      <c r="CY557" s="4" t="e">
        <f ca="1">_xll.BDH($C$553,"INVENT_TURN","FQ4 2014","FQ4 2014","Currency=INR","Period=FQ","BEST_FPERIOD_OVERRIDE=FQ","FILING_STATUS=OR","EQY_CONSOLIDATED=Y","FA_ADJUSTED=GAAP","Sort=A","Dates=H","DateFormat=P","Fill=—","Direction=H","UseDPDF=Y")</f>
        <v>#NAME?</v>
      </c>
      <c r="CZ557" s="2" t="e">
        <f ca="1">_xll.BDH($C$553,"INVENT_DAYS","FQ4 2014","FQ4 2014","Currency=INR","Period=FQ","BEST_FPERIOD_OVERRIDE=FQ","FILING_STATUS=OR","EQY_CONSOLIDATED=Y","FA_ADJUSTED=GAAP","Sort=A","Dates=H","DateFormat=P","Fill=—","Direction=H","UseDPDF=Y")</f>
        <v>#NAME?</v>
      </c>
      <c r="DA557" s="4" t="e">
        <f ca="1">_xll.BDH($C$553,"ACCOUNTS_PAYABLE_TURNOVER","FQ4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57" s="2" t="e">
        <f ca="1">_xll.BDH($C$553,"ACCOUNTS_PAYABLE_TURNOVER_DAYS","FQ4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57" s="4" t="e">
        <f ca="1">_xll.BDH($C$553,"CASH_CONVERSION_CYCLE","FQ4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57" s="4" t="e">
        <f ca="1">_xll.BDH($C$553,"INV_TO_CASH_DAYS","FQ4 2014","FQ4 2014","Currency=INR","Period=FQ","BEST_FPERIOD_OVERRIDE=FQ","FILING_STATUS=OR","EQY_CONSOLIDATED=Y","FA_ADJUSTED=GAAP","Sort=A","Dates=H","DateFormat=P","Fill=—","Direction=H","UseDPDF=Y")</f>
        <v>#NAME?</v>
      </c>
      <c r="DE557" s="5" t="e">
        <f ca="1">_xll.BDH($C$553,"BS_INVENTORIES","FQ4 2014","FQ4 2014","Currency=INR","Period=FQ","BEST_FPERIOD_OVERRIDE=FQ","FILING_STATUS=OR","EQY_CONSOLIDATED=Y","SCALING_FORMAT=MLN","Sort=A","Dates=H","DateFormat=P","Fill=—","Direction=H","UseDPDF=Y")</f>
        <v>#NAME?</v>
      </c>
      <c r="DF557" s="3" t="e">
        <f ca="1">_xll.BDH($C$553,"INVTRY_RAW_MATERIALS","FQ4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57" s="3" t="e">
        <f ca="1">_xll.BDH($C$553,"INVTRY_IN_PROGRESS","FQ4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57" s="3" t="e">
        <f ca="1">_xll.BDH($C$553,"INVTRY_FINISHED_GOODS","FQ4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57" s="3" t="e">
        <f ca="1">_xll.BDH($C$553,"BS_OTHER_INV","FQ4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58" spans="1:113" x14ac:dyDescent="0.3">
      <c r="A558" s="6"/>
      <c r="B558" s="6"/>
      <c r="C558" s="6"/>
      <c r="D558" s="6" t="s">
        <v>82</v>
      </c>
      <c r="E558" t="s">
        <v>77</v>
      </c>
      <c r="F558" t="e">
        <f ca="1">_xll.BDH($C$553,"RETURN_COM_EQY","FY 2015","FY 2015","Currency=INR","Period=FY","BEST_FPERIOD_OVERRIDE=FY","FILING_STATUS=OR","EQY_CONSOLIDATED=Y","FA_ADJUSTED=GAAP","Sort=A","Dates=H","DateFormat=P","Fill=—","Direction=H","UseDPDF=Y")</f>
        <v>#NAME?</v>
      </c>
      <c r="G558" t="e">
        <f ca="1">_xll.BDH($C$553,"RETURN_ON_ASSET","FY 2015","FY 2015","Currency=INR","Period=FY","BEST_FPERIOD_OVERRIDE=FY","FILING_STATUS=OR","EQY_CONSOLIDATED=Y","FA_ADJUSTED=GAAP","Sort=A","Dates=H","DateFormat=P","Fill=—","Direction=H","UseDPDF=Y")</f>
        <v>#NAME?</v>
      </c>
      <c r="H558" t="e">
        <f ca="1">_xll.BDH($C$553,"RETURN_ON_CAP","FY 2015","FY 2015","Currency=INR","Period=FY","BEST_FPERIOD_OVERRIDE=FY","FILING_STATUS=OR","EQY_CONSOLIDATED=Y","FA_ADJUSTED=GAAP","Sort=A","Dates=H","DateFormat=P","Fill=—","Direction=H","UseDPDF=Y")</f>
        <v>#NAME?</v>
      </c>
      <c r="I558" t="e">
        <f ca="1">_xll.BDH($C$553,"RETURN_ON_INV_CAPITAL","FY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58" t="e">
        <f ca="1">_xll.BDH($C$553,"EBITDA_TO_REVENUE","FY 2015","FY 2015","Currency=INR","Period=FY","BEST_FPERIOD_OVERRIDE=FY","FILING_STATUS=OR","EQY_CONSOLIDATED=Y","FA_ADJUSTED=GAAP","Sort=A","Dates=H","DateFormat=P","Fill=—","Direction=H","UseDPDF=Y")</f>
        <v>#NAME?</v>
      </c>
      <c r="K558" t="e">
        <f ca="1">_xll.BDH($C$553,"OPER_MARGIN","FY 2015","FY 2015","Currency=INR","Period=FY","BEST_FPERIOD_OVERRIDE=FY","FILING_STATUS=OR","EQY_CONSOLIDATED=Y","FA_ADJUSTED=GAAP","Sort=A","Dates=H","DateFormat=P","Fill=—","Direction=H","UseDPDF=Y")</f>
        <v>#NAME?</v>
      </c>
      <c r="L558" t="e">
        <f ca="1">_xll.BDH($C$553,"INCREMENTAL_OPERATING_MARGIN","FY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58" t="e">
        <f ca="1">_xll.BDH($C$553,"PRETAX_INC_TO_NET_SALES","FY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58" t="e">
        <f ca="1">_xll.BDH($C$553,"INC_BEF_XO_ITEMS_TO_NET_SALES","FY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58" t="e">
        <f ca="1">_xll.BDH($C$553,"PROF_MARGIN","FY 2015","FY 2015","Currency=INR","Period=FY","BEST_FPERIOD_OVERRIDE=FY","FILING_STATUS=OR","EQY_CONSOLIDATED=Y","FA_ADJUSTED=GAAP","Sort=A","Dates=H","DateFormat=P","Fill=—","Direction=H","UseDPDF=Y")</f>
        <v>#NAME?</v>
      </c>
      <c r="P558" t="e">
        <f ca="1">_xll.BDH($C$553,"NET_INCOME_TO_COMMON_MARGIN","FY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58" t="e">
        <f ca="1">_xll.BDH($C$553,"EFF_TAX_RATE","FY 2015","FY 2015","Currency=INR","Period=FY","BEST_FPERIOD_OVERRIDE=FY","FILING_STATUS=OR","EQY_CONSOLIDATED=Y","FA_ADJUSTED=GAAP","Sort=A","Dates=H","DateFormat=P","Fill=—","Direction=H","UseDPDF=Y")</f>
        <v>#NAME?</v>
      </c>
      <c r="R558" t="e">
        <f ca="1">_xll.BDH($C$553,"DVD_PAYOUT_RATIO","FY 2015","FY 2015","Currency=INR","Period=FY","BEST_FPERIOD_OVERRIDE=FY","FILING_STATUS=OR","EQY_CONSOLIDATED=Y","FA_ADJUSTED=GAAP","Sort=A","Dates=H","DateFormat=P","Fill=—","Direction=H","UseDPDF=Y")</f>
        <v>#NAME?</v>
      </c>
      <c r="S558" t="e">
        <f ca="1">_xll.BDH($C$553,"SUSTAIN_GROWTH_RT","FY 2015","FY 2015","Currency=INR","Period=FY","BEST_FPERIOD_OVERRIDE=FY","FILING_STATUS=OR","EQY_CONSOLIDATED=Y","FA_ADJUSTED=GAAP","Sort=A","Dates=H","DateFormat=P","Fill=—","Direction=H","UseDPDF=Y")</f>
        <v>#NAME?</v>
      </c>
      <c r="T558" s="2" t="e">
        <f ca="1">_xll.BDH($C$553,"SALES_GROWTH","FY 2015","FY 2015","Currency=INR","Period=FY","BEST_FPERIOD_OVERRIDE=FY","FILING_STATUS=OR","EQY_CONSOLIDATED=Y","FA_ADJUSTED=GAAP","Sort=A","Dates=H","DateFormat=P","Fill=—","Direction=H","UseDPDF=Y")</f>
        <v>#NAME?</v>
      </c>
      <c r="U558" s="2" t="e">
        <f ca="1">_xll.BDH($C$553,"EBITDA_GROWTH","FY 2015","FY 2015","Currency=INR","Period=FY","BEST_FPERIOD_OVERRIDE=FY","FILING_STATUS=OR","EQY_CONSOLIDATED=Y","FA_ADJUSTED=GAAP","Sort=A","Dates=H","DateFormat=P","Fill=—","Direction=H","UseDPDF=Y")</f>
        <v>#NAME?</v>
      </c>
      <c r="V558" s="2" t="e">
        <f ca="1">_xll.BDH($C$553,"OPER_INC_GROWTH","FY 2015","FY 2015","Currency=INR","Period=FY","BEST_FPERIOD_OVERRIDE=FY","FILING_STATUS=OR","EQY_CONSOLIDATED=Y","FA_ADJUSTED=GAAP","Sort=A","Dates=H","DateFormat=P","Fill=—","Direction=H","UseDPDF=Y")</f>
        <v>#NAME?</v>
      </c>
      <c r="W558" s="2" t="e">
        <f ca="1">_xll.BDH($C$553,"EARN_FOR_COM_GROWTH","FY 2015","FY 2015","Currency=INR","Period=FY","BEST_FPERIOD_OVERRIDE=FY","FILING_STATUS=OR","EQY_CONSOLIDATED=Y","FA_ADJUSTED=GAAP","Sort=A","Dates=H","DateFormat=P","Fill=—","Direction=H","UseDPDF=Y")</f>
        <v>#NAME?</v>
      </c>
      <c r="X558" s="2" t="e">
        <f ca="1">_xll.BDH($C$553,"DILUTED_EPS_AFT_XO_ITEMS_GROWTH","FY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58" s="2" t="e">
        <f ca="1">_xll.BDH($C$553,"DIVIDEND_PER_SHARE_1_YEAR_GROWTH","FY 2015","FY 2015","Currency=INR","Period=FY","BEST_FPERIOD_OVERRIDE=FY","FILING_STATUS=OR","EQY_CONSOLIDATED=Y","Sort=A","Dates=H","DateFormat=P","Fill=—","Direction=H","UseDPDF=Y")</f>
        <v>#NAME?</v>
      </c>
      <c r="Z558" s="2" t="e">
        <f ca="1">_xll.BDH($C$553,"ACCOUNTS_RECEIVABLE_GROWTH","FY 2015","FY 2015","Currency=INR","Period=FY","BEST_FPERIOD_OVERRIDE=FY","FILING_STATUS=OR","EQY_CONSOLIDATED=Y","Sort=A","Dates=H","DateFormat=P","Fill=—","Direction=H","UseDPDF=Y")</f>
        <v>#NAME?</v>
      </c>
      <c r="AA558" s="2" t="e">
        <f ca="1">_xll.BDH($C$553,"INVENTORY_GROWTH","FY 2015","FY 2015","Currency=INR","Period=FY","BEST_FPERIOD_OVERRIDE=FY","FILING_STATUS=OR","EQY_CONSOLIDATED=Y","Sort=A","Dates=H","DateFormat=P","Fill=—","Direction=H","UseDPDF=Y")</f>
        <v>#NAME?</v>
      </c>
      <c r="AB558" s="2" t="e">
        <f ca="1">_xll.BDH($C$553,"NET_FIXED_ASSETS_1_YEAR_GROWTH","FY 2015","FY 2015","Currency=INR","Period=FY","BEST_FPERIOD_OVERRIDE=FY","FILING_STATUS=OR","EQY_CONSOLIDATED=Y","Sort=A","Dates=H","DateFormat=P","Fill=—","Direction=H","UseDPDF=Y")</f>
        <v>#NAME?</v>
      </c>
      <c r="AC558" s="2" t="e">
        <f ca="1">_xll.BDH($C$553,"ASSET_GROWTH","FY 2015","FY 2015","Currency=INR","Period=FY","BEST_FPERIOD_OVERRIDE=FY","FILING_STATUS=OR","EQY_CONSOLIDATED=Y","Sort=A","Dates=H","DateFormat=P","Fill=—","Direction=H","UseDPDF=Y")</f>
        <v>#NAME?</v>
      </c>
      <c r="AD558" s="2" t="e">
        <f ca="1">_xll.BDH($C$553,"MODIFIED_WORK_CAP_GROWTH","FY 2015","FY 2015","Currency=INR","Period=FY","BEST_FPERIOD_OVERRIDE=FY","FILING_STATUS=OR","EQY_CONSOLIDATED=Y","Sort=A","Dates=H","DateFormat=P","Fill=—","Direction=H","UseDPDF=Y")</f>
        <v>#NAME?</v>
      </c>
      <c r="AE558" s="2" t="e">
        <f ca="1">_xll.BDH($C$553,"WORK_CAP_GROWTH","FY 2015","FY 2015","Currency=INR","Period=FY","BEST_FPERIOD_OVERRIDE=FY","FILING_STATUS=OR","EQY_CONSOLIDATED=Y","Sort=A","Dates=H","DateFormat=P","Fill=—","Direction=H","UseDPDF=Y")</f>
        <v>#NAME?</v>
      </c>
      <c r="AF558" s="2" t="e">
        <f ca="1">_xll.BDH($C$553,"ACCOUNTS_PAYABLE_GROWTH_1YR","FY 2015","FY 2015","Currency=INR","Period=FY","BEST_FPERIOD_OVERRIDE=FY","FILING_STATUS=OR","EQY_CONSOLIDATED=Y","Sort=A","Dates=H","DateFormat=P","Fill=—","Direction=H","UseDPDF=Y")</f>
        <v>#NAME?</v>
      </c>
      <c r="AG558" s="2" t="e">
        <f ca="1">_xll.BDH($C$553,"SHORT_TERM_DEBT_1_YEAR_GROWTH","FY 2015","FY 2015","Currency=INR","Period=FY","BEST_FPERIOD_OVERRIDE=FY","FILING_STATUS=OR","EQY_CONSOLIDATED=Y","Sort=A","Dates=H","DateFormat=P","Fill=—","Direction=H","UseDPDF=Y")</f>
        <v>#NAME?</v>
      </c>
      <c r="AH558" s="2" t="e">
        <f ca="1">_xll.BDH($C$553,"TOTAL_DEBT_1_YEAR_GROWTH","FY 2015","FY 2015","Currency=INR","Period=FY","BEST_FPERIOD_OVERRIDE=FY","FILING_STATUS=OR","EQY_CONSOLIDATED=Y","Sort=A","Dates=H","DateFormat=P","Fill=—","Direction=H","UseDPDF=Y")</f>
        <v>#NAME?</v>
      </c>
      <c r="AI558" s="2" t="e">
        <f ca="1">_xll.BDH($C$553,"TOTAL_EQUITY_1_YEAR_GROWTH","FY 2015","FY 2015","Currency=INR","Period=FY","BEST_FPERIOD_OVERRIDE=FY","FILING_STATUS=OR","EQY_CONSOLIDATED=Y","Sort=A","Dates=H","DateFormat=P","Fill=—","Direction=H","UseDPDF=Y")</f>
        <v>#NAME?</v>
      </c>
      <c r="AJ558" s="2" t="e">
        <f ca="1">_xll.BDH($C$553,"GROWTH_IN_CAP","FY 2015","FY 2015","Currency=INR","Period=FY","BEST_FPERIOD_OVERRIDE=FY","FILING_STATUS=OR","EQY_CONSOLIDATED=Y","Sort=A","Dates=H","DateFormat=P","Fill=—","Direction=H","UseDPDF=Y")</f>
        <v>#NAME?</v>
      </c>
      <c r="AK558" s="2" t="e">
        <f ca="1">_xll.BDH($C$553,"BVPS_GROWTH","FY 2015","FY 2015","Currency=INR","Period=FY","BEST_FPERIOD_OVERRIDE=FY","FILING_STATUS=OR","EQY_CONSOLIDATED=Y","Sort=A","Dates=H","DateFormat=P","Fill=—","Direction=H","UseDPDF=Y")</f>
        <v>#NAME?</v>
      </c>
      <c r="AL558" s="2" t="e">
        <f ca="1">_xll.BDH($C$553,"CASH_FLOW_GROWTH","FY 2015","FY 2015","Currency=INR","Period=FY","BEST_FPERIOD_OVERRIDE=FY","FILING_STATUS=OR","EQY_CONSOLIDATED=Y","Sort=A","Dates=H","DateFormat=P","Fill=—","Direction=H","UseDPDF=Y")</f>
        <v>#NAME?</v>
      </c>
      <c r="AM558" s="2" t="e">
        <f ca="1">_xll.BDH($C$553,"GEO_GROW_NET_SALES","FY 2015","FY 2015","Currency=INR","Period=FY","BEST_FPERIOD_OVERRIDE=FY","FILING_STATUS=OR","EQY_CONSOLIDATED=Y","FA_ADJUSTED=GAAP","Sort=A","Dates=H","DateFormat=P","Fill=—","Direction=H","UseDPDF=Y")</f>
        <v>#NAME?</v>
      </c>
      <c r="AN558" s="2" t="e">
        <f ca="1">_xll.BDH($C$553,"GEO_GROW_EBITDA","FY 2015","FY 2015","Currency=INR","Period=FY","BEST_FPERIOD_OVERRIDE=FY","FILING_STATUS=OR","EQY_CONSOLIDATED=Y","FA_ADJUSTED=GAAP","Sort=A","Dates=H","DateFormat=P","Fill=—","Direction=H","UseDPDF=Y")</f>
        <v>#NAME?</v>
      </c>
      <c r="AO558" s="2" t="e">
        <f ca="1">_xll.BDH($C$553,"GEO_GROW_OPER_INC","FY 2015","FY 2015","Currency=INR","Period=FY","BEST_FPERIOD_OVERRIDE=FY","FILING_STATUS=OR","EQY_CONSOLIDATED=Y","FA_ADJUSTED=GAAP","Sort=A","Dates=H","DateFormat=P","Fill=—","Direction=H","UseDPDF=Y")</f>
        <v>#NAME?</v>
      </c>
      <c r="AP558" s="2" t="e">
        <f ca="1">_xll.BDH($C$553,"NET_INCOME_TO_COMMON_5_YR_GROWTH","FY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58" s="2" t="e">
        <f ca="1">_xll.BDH($C$553,"5Y_GEO_GROWTH_DILUTED_EPS","FY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58" s="2" t="e">
        <f ca="1">_xll.BDH($C$553,"GEO_GROW_DVD_PER_SH","FY 2015","FY 2015","Currency=INR","Period=FY","BEST_FPERIOD_OVERRIDE=FY","FILING_STATUS=OR","EQY_CONSOLIDATED=Y","Sort=A","Dates=H","DateFormat=P","Fill=—","Direction=H","UseDPDF=Y")</f>
        <v>#NAME?</v>
      </c>
      <c r="AS558" s="2" t="e">
        <f ca="1">_xll.BDH($C$553,"ACCOUNTS_RECEIVABLE_5_YR_GROWTH","FY 2015","FY 2015","Currency=INR","Period=FY","BEST_FPERIOD_OVERRIDE=FY","FILING_STATUS=OR","EQY_CONSOLIDATED=Y","Sort=A","Dates=H","DateFormat=P","Fill=—","Direction=H","UseDPDF=Y")</f>
        <v>#NAME?</v>
      </c>
      <c r="AT558" s="2" t="e">
        <f ca="1">_xll.BDH($C$553,"INVENTORY_5_YEAR_GROWTH","FY 2015","FY 2015","Currency=INR","Period=FY","BEST_FPERIOD_OVERRIDE=FY","FILING_STATUS=OR","EQY_CONSOLIDATED=Y","Sort=A","Dates=H","DateFormat=P","Fill=—","Direction=H","UseDPDF=Y")</f>
        <v>#NAME?</v>
      </c>
      <c r="AU558" s="2" t="e">
        <f ca="1">_xll.BDH($C$553,"NET_FIXED_ASSETS_5_YEAR_GROWTH","FY 2015","FY 2015","Currency=INR","Period=FY","BEST_FPERIOD_OVERRIDE=FY","FILING_STATUS=OR","EQY_CONSOLIDATED=Y","Sort=A","Dates=H","DateFormat=P","Fill=—","Direction=H","UseDPDF=Y")</f>
        <v>#NAME?</v>
      </c>
      <c r="AV558" s="2" t="e">
        <f ca="1">_xll.BDH($C$553,"GEO_GROW_TOT_ASSET","FY 2015","FY 2015","Currency=INR","Period=FY","BEST_FPERIOD_OVERRIDE=FY","FILING_STATUS=OR","EQY_CONSOLIDATED=Y","Sort=A","Dates=H","DateFormat=P","Fill=—","Direction=H","UseDPDF=Y")</f>
        <v>#NAME?</v>
      </c>
      <c r="AW558" s="2" t="e">
        <f ca="1">_xll.BDH($C$553,"MODIFIED_WORKING_CPTL_5YR_GRWTH","FY 2015","FY 2015","Currency=INR","Period=FY","BEST_FPERIOD_OVERRIDE=FY","FILING_STATUS=OR","EQY_CONSOLIDATED=Y","Sort=A","Dates=H","DateFormat=P","Fill=—","Direction=H","UseDPDF=Y")</f>
        <v>#NAME?</v>
      </c>
      <c r="AX558" s="2" t="e">
        <f ca="1">_xll.BDH($C$553,"WORKING_CAPITAL_5_YEAR_GROWTH","FY 2015","FY 2015","Currency=INR","Period=FY","BEST_FPERIOD_OVERRIDE=FY","FILING_STATUS=OR","EQY_CONSOLIDATED=Y","Sort=A","Dates=H","DateFormat=P","Fill=—","Direction=H","UseDPDF=Y")</f>
        <v>#NAME?</v>
      </c>
      <c r="AY558" s="2" t="e">
        <f ca="1">_xll.BDH($C$553,"ACCOUNTS_PAYABLE_5_YEAR_GROWTH","FY 2015","FY 2015","Currency=INR","Period=FY","BEST_FPERIOD_OVERRIDE=FY","FILING_STATUS=OR","EQY_CONSOLIDATED=Y","Sort=A","Dates=H","DateFormat=P","Fill=—","Direction=H","UseDPDF=Y")</f>
        <v>#NAME?</v>
      </c>
      <c r="AZ558" s="2" t="e">
        <f ca="1">_xll.BDH($C$553,"SHORT_TERM_DEBT_5_YEAR_GROWTH","FY 2015","FY 2015","Currency=INR","Period=FY","BEST_FPERIOD_OVERRIDE=FY","FILING_STATUS=OR","EQY_CONSOLIDATED=Y","Sort=A","Dates=H","DateFormat=P","Fill=—","Direction=H","UseDPDF=Y")</f>
        <v>#NAME?</v>
      </c>
      <c r="BA558" s="2" t="e">
        <f ca="1">_xll.BDH($C$553,"TOTAL_DEBT_5_YEAR_GROWTH","FY 2015","FY 2015","Currency=INR","Period=FY","BEST_FPERIOD_OVERRIDE=FY","FILING_STATUS=OR","EQY_CONSOLIDATED=Y","Sort=A","Dates=H","DateFormat=P","Fill=—","Direction=H","UseDPDF=Y")</f>
        <v>#NAME?</v>
      </c>
      <c r="BB558" s="2" t="e">
        <f ca="1">_xll.BDH($C$553,"GEO_GROW_TOT_SHRHLDR_EQY","FY 2015","FY 2015","Currency=INR","Period=FY","BEST_FPERIOD_OVERRIDE=FY","FILING_STATUS=OR","EQY_CONSOLIDATED=Y","Sort=A","Dates=H","DateFormat=P","Fill=—","Direction=H","UseDPDF=Y")</f>
        <v>#NAME?</v>
      </c>
      <c r="BC558" s="2" t="e">
        <f ca="1">_xll.BDH($C$553,"TOTAL_CAPITAL_5_YEAR_GROWTH","FY 2015","FY 2015","Currency=INR","Period=FY","BEST_FPERIOD_OVERRIDE=FY","FILING_STATUS=OR","EQY_CONSOLIDATED=Y","Sort=A","Dates=H","DateFormat=P","Fill=—","Direction=H","UseDPDF=Y")</f>
        <v>#NAME?</v>
      </c>
      <c r="BD558" s="2" t="e">
        <f ca="1">_xll.BDH($C$553,"GEO_GROW_BOOK_VAL","FY 2015","FY 2015","Currency=INR","Period=FY","BEST_FPERIOD_OVERRIDE=FY","FILING_STATUS=OR","EQY_CONSOLIDATED=Y","Sort=A","Dates=H","DateFormat=P","Fill=—","Direction=H","UseDPDF=Y")</f>
        <v>#NAME?</v>
      </c>
      <c r="BE558" s="2" t="e">
        <f ca="1">_xll.BDH($C$553,"GEO_GROW_CASH_OPER_ACT","FY 2015","FY 2015","Currency=INR","Period=FY","BEST_FPERIOD_OVERRIDE=FY","FILING_STATUS=OR","EQY_CONSOLIDATED=Y","Sort=A","Dates=H","DateFormat=P","Fill=—","Direction=H","UseDPDF=Y")</f>
        <v>#NAME?</v>
      </c>
      <c r="BF558" s="2" t="e">
        <f ca="1">_xll.BDH($C$553,"REVENUE_SEQUENTIAL_GROWTH","FY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58" s="2" t="e">
        <f ca="1">_xll.BDH($C$553,"EBITDA_SEQUENTIAL_GROWTH","FY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58" s="2" t="e">
        <f ca="1">_xll.BDH($C$553,"OPERATING_INCOME_SEQ_GROWTH","FY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58" s="2" t="e">
        <f ca="1">_xll.BDH($C$553,"NET_INCOME_TO_COMMON_SEQ_GROWTH","FY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58" s="2" t="e">
        <f ca="1">_xll.BDH($C$553,"EPS_DILUTED_SEQUENTIAL_GROWTH","FY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58" s="2" t="e">
        <f ca="1">_xll.BDH($C$553,"DPS_SEQUENTIAL_GROWTH","FY 2015","FY 2015","Currency=INR","Period=FY","BEST_FPERIOD_OVERRIDE=FY","FILING_STATUS=OR","EQY_CONSOLIDATED=Y","Sort=A","Dates=H","DateFormat=P","Fill=—","Direction=H","UseDPDF=Y")</f>
        <v>#NAME?</v>
      </c>
      <c r="BL558" s="2" t="e">
        <f ca="1">_xll.BDH($C$553,"ACCOUNTS_RECEIVABLE_SEQ_GROWTH","FY 2015","FY 2015","Currency=INR","Period=FY","BEST_FPERIOD_OVERRIDE=FY","FILING_STATUS=OR","EQY_CONSOLIDATED=Y","Sort=A","Dates=H","DateFormat=P","Fill=—","Direction=H","UseDPDF=Y")</f>
        <v>#NAME?</v>
      </c>
      <c r="BM558" s="2" t="e">
        <f ca="1">_xll.BDH($C$553,"INVENTORY_SEQUENTIAL_GROWTH","FY 2015","FY 2015","Currency=INR","Period=FY","BEST_FPERIOD_OVERRIDE=FY","FILING_STATUS=OR","EQY_CONSOLIDATED=Y","Sort=A","Dates=H","DateFormat=P","Fill=—","Direction=H","UseDPDF=Y")</f>
        <v>#NAME?</v>
      </c>
      <c r="BN558" s="2" t="e">
        <f ca="1">_xll.BDH($C$553,"FIXED_ASSETS_SEQUENTIAL_GROWTH","FY 2015","FY 2015","Currency=INR","Period=FY","BEST_FPERIOD_OVERRIDE=FY","FILING_STATUS=OR","EQY_CONSOLIDATED=Y","Sort=A","Dates=H","DateFormat=P","Fill=—","Direction=H","UseDPDF=Y")</f>
        <v>#NAME?</v>
      </c>
      <c r="BO558" s="2" t="e">
        <f ca="1">_xll.BDH($C$553,"TOTAL_ASSETS_SEQUENTIAL_GROWTH","FY 2015","FY 2015","Currency=INR","Period=FY","BEST_FPERIOD_OVERRIDE=FY","FILING_STATUS=OR","EQY_CONSOLIDATED=Y","Sort=A","Dates=H","DateFormat=P","Fill=—","Direction=H","UseDPDF=Y")</f>
        <v>#NAME?</v>
      </c>
      <c r="BP558" s="2" t="e">
        <f ca="1">_xll.BDH($C$553,"MODIFIED_WORKING_CPTL_SEQ_GRWTH","FY 2015","FY 2015","Currency=INR","Period=FY","BEST_FPERIOD_OVERRIDE=FY","FILING_STATUS=OR","EQY_CONSOLIDATED=Y","Sort=A","Dates=H","DateFormat=P","Fill=—","Direction=H","UseDPDF=Y")</f>
        <v>#NAME?</v>
      </c>
      <c r="BQ558" s="2" t="e">
        <f ca="1">_xll.BDH($C$553,"WORKING_CAPITAL_SEQ_GROWTH","FY 2015","FY 2015","Currency=INR","Period=FY","BEST_FPERIOD_OVERRIDE=FY","FILING_STATUS=OR","EQY_CONSOLIDATED=Y","Sort=A","Dates=H","DateFormat=P","Fill=—","Direction=H","UseDPDF=Y")</f>
        <v>#NAME?</v>
      </c>
      <c r="BR558" s="2" t="e">
        <f ca="1">_xll.BDH($C$553,"ACCOUNTS_PAYABLE_SEQ_GROWTH","FY 2015","FY 2015","Currency=INR","Period=FY","BEST_FPERIOD_OVERRIDE=FY","FILING_STATUS=OR","EQY_CONSOLIDATED=Y","Sort=A","Dates=H","DateFormat=P","Fill=—","Direction=H","UseDPDF=Y")</f>
        <v>#NAME?</v>
      </c>
      <c r="BS558" s="2" t="e">
        <f ca="1">_xll.BDH($C$553,"ST_DEBT_SEQUENTIAL_GROWTH","FY 2015","FY 2015","Currency=INR","Period=FY","BEST_FPERIOD_OVERRIDE=FY","FILING_STATUS=OR","EQY_CONSOLIDATED=Y","Sort=A","Dates=H","DateFormat=P","Fill=—","Direction=H","UseDPDF=Y")</f>
        <v>#NAME?</v>
      </c>
      <c r="BT558" s="2" t="e">
        <f ca="1">_xll.BDH($C$553,"TOTAL_DEBT_SEQUENTIAL_GROWTH","FY 2015","FY 2015","Currency=INR","Period=FY","BEST_FPERIOD_OVERRIDE=FY","FILING_STATUS=OR","EQY_CONSOLIDATED=Y","Sort=A","Dates=H","DateFormat=P","Fill=—","Direction=H","UseDPDF=Y")</f>
        <v>#NAME?</v>
      </c>
      <c r="BU558" s="2" t="e">
        <f ca="1">_xll.BDH($C$553,"TOTAL_EQUITY_SEQUENTIAL_GROWTH","FY 2015","FY 2015","Currency=INR","Period=FY","BEST_FPERIOD_OVERRIDE=FY","FILING_STATUS=OR","EQY_CONSOLIDATED=Y","Sort=A","Dates=H","DateFormat=P","Fill=—","Direction=H","UseDPDF=Y")</f>
        <v>#NAME?</v>
      </c>
      <c r="BV558" s="2" t="e">
        <f ca="1">_xll.BDH($C$553,"TOTAL_CAPITAL_SEQUENTIAL_GROWTH","FY 2015","FY 2015","Currency=INR","Period=FY","BEST_FPERIOD_OVERRIDE=FY","FILING_STATUS=OR","EQY_CONSOLIDATED=Y","Sort=A","Dates=H","DateFormat=P","Fill=—","Direction=H","UseDPDF=Y")</f>
        <v>#NAME?</v>
      </c>
      <c r="BW558" s="2" t="e">
        <f ca="1">_xll.BDH($C$553,"BPS_SEQUENTIAL_GROWTH","FY 2015","FY 2015","Currency=INR","Period=FY","BEST_FPERIOD_OVERRIDE=FY","FILING_STATUS=OR","EQY_CONSOLIDATED=Y","Sort=A","Dates=H","DateFormat=P","Fill=—","Direction=H","UseDPDF=Y")</f>
        <v>#NAME?</v>
      </c>
      <c r="BX558" s="2" t="e">
        <f ca="1">_xll.BDH($C$553,"CFO_SEQUENTIAL_GROWTH","FY 2015","FY 2015","Currency=INR","Period=FY","BEST_FPERIOD_OVERRIDE=FY","FILING_STATUS=OR","EQY_CONSOLIDATED=Y","Sort=A","Dates=H","DateFormat=P","Fill=—","Direction=H","UseDPDF=Y")</f>
        <v>#NAME?</v>
      </c>
      <c r="BY558" s="3" t="e">
        <f ca="1">_xll.BDH($C$553,"SHORT_AND_LONG_TERM_DEBT","FY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58" s="3" t="e">
        <f ca="1">_xll.BDH($C$553,"BS_ST_BORROW","FY 2015","FY 2015","Currency=INR","Period=FY","BEST_FPERIOD_OVERRIDE=FY","FILING_STATUS=OR","EQY_CONSOLIDATED=Y","SCALING_FORMAT=MLN","Sort=A","Dates=H","DateFormat=P","Fill=—","Direction=H","UseDPDF=Y")</f>
        <v>#NAME?</v>
      </c>
      <c r="CA558" s="3" t="e">
        <f ca="1">_xll.BDH($C$553,"BS_LT_BORROW","FY 2015","FY 2015","Currency=INR","Period=FY","BEST_FPERIOD_OVERRIDE=FY","FILING_STATUS=OR","EQY_CONSOLIDATED=Y","SCALING_FORMAT=MLN","Sort=A","Dates=H","DateFormat=P","Fill=—","Direction=H","UseDPDF=Y")</f>
        <v>#NAME?</v>
      </c>
      <c r="CB558" s="2" t="e">
        <f ca="1">_xll.BDH($C$553,"TOT_DEBT_TO_EBITDA","FY 2015","FY 2015","Currency=INR","Period=FY","BEST_FPERIOD_OVERRIDE=FY","FILING_STATUS=OR","EQY_CONSOLIDATED=Y","FA_ADJUSTED=GAAP","Sort=A","Dates=H","DateFormat=P","Fill=—","Direction=H","UseDPDF=Y")</f>
        <v>#NAME?</v>
      </c>
      <c r="CC558" s="2" t="e">
        <f ca="1">_xll.BDH($C$553,"NET_DEBT_TO_EBITDA","FY 2015","FY 2015","Currency=INR","Period=FY","BEST_FPERIOD_OVERRIDE=FY","FILING_STATUS=OR","EQY_CONSOLIDATED=Y","FA_ADJUSTED=GAAP","Sort=A","Dates=H","DateFormat=P","Fill=—","Direction=H","UseDPDF=Y")</f>
        <v>#NAME?</v>
      </c>
      <c r="CD558" s="2" t="e">
        <f ca="1">_xll.BDH($C$553,"TOTAL_DEBT_TO_EBIT","FY 2015","FY 2015","Currency=INR","Period=FY","BEST_FPERIOD_OVERRIDE=FY","FILING_STATUS=OR","EQY_CONSOLIDATED=Y","FA_ADJUSTED=GAAP","Sort=A","Dates=H","DateFormat=P","Fill=—","Direction=H","UseDPDF=Y")</f>
        <v>#NAME?</v>
      </c>
      <c r="CE558" s="2" t="e">
        <f ca="1">_xll.BDH($C$553,"NET_DEBT_TO_EBIT","FY 2015","FY 2015","Currency=INR","Period=FY","BEST_FPERIOD_OVERRIDE=FY","FILING_STATUS=OR","EQY_CONSOLIDATED=Y","FA_ADJUSTED=GAAP","Sort=A","Dates=H","DateFormat=P","Fill=—","Direction=H","UseDPDF=Y")</f>
        <v>#NAME?</v>
      </c>
      <c r="CF558" s="2" t="e">
        <f ca="1">_xll.BDH($C$553,"EBITDA_TO_INTEREST_EXPN","FY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58" s="2" t="e">
        <f ca="1">_xll.BDH($C$553,"COM_EQY_TO_TOT_ASSET","FY 2015","FY 2015","Currency=INR","Period=FY","BEST_FPERIOD_OVERRIDE=FY","FILING_STATUS=OR","EQY_CONSOLIDATED=Y","Sort=A","Dates=H","DateFormat=P","Fill=—","Direction=H","UseDPDF=Y")</f>
        <v>#NAME?</v>
      </c>
      <c r="CH558" s="2" t="e">
        <f ca="1">_xll.BDH($C$553,"LT_DEBT_TO_TOT_EQY","FY 2015","FY 2015","Currency=INR","Period=FY","BEST_FPERIOD_OVERRIDE=FY","FILING_STATUS=OR","EQY_CONSOLIDATED=Y","Sort=A","Dates=H","DateFormat=P","Fill=—","Direction=H","UseDPDF=Y")</f>
        <v>#NAME?</v>
      </c>
      <c r="CI558" s="2" t="e">
        <f ca="1">_xll.BDH($C$553,"LT_DEBT_TO_TOT_CAP","FY 2015","FY 2015","Currency=INR","Period=FY","BEST_FPERIOD_OVERRIDE=FY","FILING_STATUS=OR","EQY_CONSOLIDATED=Y","Sort=A","Dates=H","DateFormat=P","Fill=—","Direction=H","UseDPDF=Y")</f>
        <v>#NAME?</v>
      </c>
      <c r="CJ558" s="2" t="e">
        <f ca="1">_xll.BDH($C$553,"LT_DEBT_TO_TOT_ASSET","FY 2015","FY 2015","Currency=INR","Period=FY","BEST_FPERIOD_OVERRIDE=FY","FILING_STATUS=OR","EQY_CONSOLIDATED=Y","Sort=A","Dates=H","DateFormat=P","Fill=—","Direction=H","UseDPDF=Y")</f>
        <v>#NAME?</v>
      </c>
      <c r="CK558" s="2" t="e">
        <f ca="1">_xll.BDH($C$553,"TOT_DEBT_TO_TOT_EQY","FY 2015","FY 2015","Currency=INR","Period=FY","BEST_FPERIOD_OVERRIDE=FY","FILING_STATUS=OR","EQY_CONSOLIDATED=Y","Sort=A","Dates=H","DateFormat=P","Fill=—","Direction=H","UseDPDF=Y")</f>
        <v>#NAME?</v>
      </c>
      <c r="CL558" s="2" t="e">
        <f ca="1">_xll.BDH($C$553,"TOT_DEBT_TO_TOT_CAP","FY 2015","FY 2015","Currency=INR","Period=FY","BEST_FPERIOD_OVERRIDE=FY","FILING_STATUS=OR","EQY_CONSOLIDATED=Y","Sort=A","Dates=H","DateFormat=P","Fill=—","Direction=H","UseDPDF=Y")</f>
        <v>#NAME?</v>
      </c>
      <c r="CM558" s="2" t="e">
        <f ca="1">_xll.BDH($C$553,"TOT_DEBT_TO_TOT_ASSET","FY 2015","FY 2015","Currency=INR","Period=FY","BEST_FPERIOD_OVERRIDE=FY","FILING_STATUS=OR","EQY_CONSOLIDATED=Y","Sort=A","Dates=H","DateFormat=P","Fill=—","Direction=H","UseDPDF=Y")</f>
        <v>#NAME?</v>
      </c>
      <c r="CN558" s="2" t="e">
        <f ca="1">_xll.BDH($C$553,"NET_DEBT_TO_SHRHLDR_EQTY","FY 2015","FY 2015","Currency=INR","Period=FY","BEST_FPERIOD_OVERRIDE=FY","FILING_STATUS=OR","EQY_CONSOLIDATED=Y","Sort=A","Dates=H","DateFormat=P","Fill=—","Direction=H","UseDPDF=Y")</f>
        <v>#NAME?</v>
      </c>
      <c r="CO558" s="2" t="e">
        <f ca="1">_xll.BDH($C$553,"NET_DEBT_%_CAPITAL","FY 2015","FY 2015","Currency=INR","Period=FY","BEST_FPERIOD_OVERRIDE=FY","FILING_STATUS=OR","EQY_CONSOLIDATED=Y","Sort=A","Dates=H","DateFormat=P","Fill=—","Direction=H","UseDPDF=Y")</f>
        <v>#NAME?</v>
      </c>
      <c r="CP558" s="3" t="e">
        <f ca="1">_xll.BDH($C$553,"EBITDA","FY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58" s="3" t="e">
        <f ca="1">_xll.BDH($C$553,"EBITDA_AFTER_CAPEX","FY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58" s="3" t="e">
        <f ca="1">_xll.BDH($C$553,"IS_OPER_INC","FY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58" s="2" t="e">
        <f ca="1">_xll.BDH($C$553,"CASH_RATIO","FY 2015","FY 2015","Currency=INR","Period=FY","BEST_FPERIOD_OVERRIDE=FY","FILING_STATUS=OR","EQY_CONSOLIDATED=Y","Sort=A","Dates=H","DateFormat=P","Fill=—","Direction=H","UseDPDF=Y")</f>
        <v>#NAME?</v>
      </c>
      <c r="CT558" s="2" t="e">
        <f ca="1">_xll.BDH($C$553,"CUR_RATIO","FY 2015","FY 2015","Currency=INR","Period=FY","BEST_FPERIOD_OVERRIDE=FY","FILING_STATUS=OR","EQY_CONSOLIDATED=Y","Sort=A","Dates=H","DateFormat=P","Fill=—","Direction=H","UseDPDF=Y")</f>
        <v>#NAME?</v>
      </c>
      <c r="CU558" s="2" t="e">
        <f ca="1">_xll.BDH($C$553,"QUICK_RATIO","FY 2015","FY 2015","Currency=INR","Period=FY","BEST_FPERIOD_OVERRIDE=FY","FILING_STATUS=OR","EQY_CONSOLIDATED=Y","Sort=A","Dates=H","DateFormat=P","Fill=—","Direction=H","UseDPDF=Y")</f>
        <v>#NAME?</v>
      </c>
      <c r="CV558" s="2" t="e">
        <f ca="1">_xll.BDH($C$553,"ALTMAN_Z_SCORE","FY 2015","FY 2015","Currency=INR","Period=FY","BEST_FPERIOD_OVERRIDE=FY","FILING_STATUS=OR","EQY_CONSOLIDATED=Y","Sort=A","Dates=H","DateFormat=P","Fill=—","Direction=H","UseDPDF=Y")</f>
        <v>#NAME?</v>
      </c>
      <c r="CW558" s="4" t="e">
        <f ca="1">_xll.BDH($C$553,"ACCT_RCV_TURN","FY 2015","FY 2015","Currency=INR","Period=FY","BEST_FPERIOD_OVERRIDE=FY","FILING_STATUS=OR","EQY_CONSOLIDATED=Y","FA_ADJUSTED=GAAP","Sort=A","Dates=H","DateFormat=P","Fill=—","Direction=H","UseDPDF=Y")</f>
        <v>#NAME?</v>
      </c>
      <c r="CX558" s="2" t="e">
        <f ca="1">_xll.BDH($C$553,"ACCT_RCV_DAYS","FY 2015","FY 2015","Currency=INR","Period=FY","BEST_FPERIOD_OVERRIDE=FY","FILING_STATUS=OR","EQY_CONSOLIDATED=Y","FA_ADJUSTED=GAAP","Sort=A","Dates=H","DateFormat=P","Fill=—","Direction=H","UseDPDF=Y")</f>
        <v>#NAME?</v>
      </c>
      <c r="CY558" s="4" t="e">
        <f ca="1">_xll.BDH($C$553,"INVENT_TURN","FY 2015","FY 2015","Currency=INR","Period=FY","BEST_FPERIOD_OVERRIDE=FY","FILING_STATUS=OR","EQY_CONSOLIDATED=Y","FA_ADJUSTED=GAAP","Sort=A","Dates=H","DateFormat=P","Fill=—","Direction=H","UseDPDF=Y")</f>
        <v>#NAME?</v>
      </c>
      <c r="CZ558" s="2" t="e">
        <f ca="1">_xll.BDH($C$553,"INVENT_DAYS","FY 2015","FY 2015","Currency=INR","Period=FY","BEST_FPERIOD_OVERRIDE=FY","FILING_STATUS=OR","EQY_CONSOLIDATED=Y","FA_ADJUSTED=GAAP","Sort=A","Dates=H","DateFormat=P","Fill=—","Direction=H","UseDPDF=Y")</f>
        <v>#NAME?</v>
      </c>
      <c r="DA558" s="4" t="e">
        <f ca="1">_xll.BDH($C$553,"ACCOUNTS_PAYABLE_TURNOVER","FY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58" s="2" t="e">
        <f ca="1">_xll.BDH($C$553,"ACCOUNTS_PAYABLE_TURNOVER_DAYS","FY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58" s="4" t="e">
        <f ca="1">_xll.BDH($C$553,"CASH_CONVERSION_CYCLE","FY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58" s="4" t="e">
        <f ca="1">_xll.BDH($C$553,"INV_TO_CASH_DAYS","FY 2015","FY 2015","Currency=INR","Period=FY","BEST_FPERIOD_OVERRIDE=FY","FILING_STATUS=OR","EQY_CONSOLIDATED=Y","FA_ADJUSTED=GAAP","Sort=A","Dates=H","DateFormat=P","Fill=—","Direction=H","UseDPDF=Y")</f>
        <v>#NAME?</v>
      </c>
      <c r="DE558" s="5" t="e">
        <f ca="1">_xll.BDH($C$553,"BS_INVENTORIES","FY 2015","FY 2015","Currency=INR","Period=FY","BEST_FPERIOD_OVERRIDE=FY","FILING_STATUS=OR","EQY_CONSOLIDATED=Y","SCALING_FORMAT=MLN","Sort=A","Dates=H","DateFormat=P","Fill=—","Direction=H","UseDPDF=Y")</f>
        <v>#NAME?</v>
      </c>
      <c r="DF558" s="3" t="e">
        <f ca="1">_xll.BDH($C$553,"INVTRY_RAW_MATERIALS","FY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58" s="3" t="e">
        <f ca="1">_xll.BDH($C$553,"INVTRY_IN_PROGRESS","FY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58" s="3" t="e">
        <f ca="1">_xll.BDH($C$553,"INVTRY_FINISHED_GOODS","FY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58" s="3" t="e">
        <f ca="1">_xll.BDH($C$553,"BS_OTHER_INV","FY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59" spans="1:113" x14ac:dyDescent="0.3">
      <c r="A559" s="6"/>
      <c r="B559" s="6"/>
      <c r="C559" s="6"/>
      <c r="D559" s="6"/>
      <c r="E559" t="s">
        <v>78</v>
      </c>
      <c r="F559" t="e">
        <f ca="1">_xll.BDH($C$553,"RETURN_COM_EQY","FQ1 2015","FQ1 2015","Currency=INR","Period=FQ","BEST_FPERIOD_OVERRIDE=FQ","FILING_STATUS=OR","EQY_CONSOLIDATED=Y","FA_ADJUSTED=GAAP","Sort=A","Dates=H","DateFormat=P","Fill=—","Direction=H","UseDPDF=Y")</f>
        <v>#NAME?</v>
      </c>
      <c r="G559" t="e">
        <f ca="1">_xll.BDH($C$553,"RETURN_ON_ASSET","FQ1 2015","FQ1 2015","Currency=INR","Period=FQ","BEST_FPERIOD_OVERRIDE=FQ","FILING_STATUS=OR","EQY_CONSOLIDATED=Y","FA_ADJUSTED=GAAP","Sort=A","Dates=H","DateFormat=P","Fill=—","Direction=H","UseDPDF=Y")</f>
        <v>#NAME?</v>
      </c>
      <c r="H559" t="e">
        <f ca="1">_xll.BDH($C$553,"RETURN_ON_CAP","FQ1 2015","FQ1 2015","Currency=INR","Period=FQ","BEST_FPERIOD_OVERRIDE=FQ","FILING_STATUS=OR","EQY_CONSOLIDATED=Y","FA_ADJUSTED=GAAP","Sort=A","Dates=H","DateFormat=P","Fill=—","Direction=H","UseDPDF=Y")</f>
        <v>#NAME?</v>
      </c>
      <c r="I559" t="e">
        <f ca="1">_xll.BDH($C$553,"RETURN_ON_INV_CAPITAL","FQ1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59" t="e">
        <f ca="1">_xll.BDH($C$553,"EBITDA_TO_REVENUE","FQ1 2015","FQ1 2015","Currency=INR","Period=FQ","BEST_FPERIOD_OVERRIDE=FQ","FILING_STATUS=OR","EQY_CONSOLIDATED=Y","FA_ADJUSTED=GAAP","Sort=A","Dates=H","DateFormat=P","Fill=—","Direction=H","UseDPDF=Y")</f>
        <v>#NAME?</v>
      </c>
      <c r="K559" t="e">
        <f ca="1">_xll.BDH($C$553,"OPER_MARGIN","FQ1 2015","FQ1 2015","Currency=INR","Period=FQ","BEST_FPERIOD_OVERRIDE=FQ","FILING_STATUS=OR","EQY_CONSOLIDATED=Y","FA_ADJUSTED=GAAP","Sort=A","Dates=H","DateFormat=P","Fill=—","Direction=H","UseDPDF=Y")</f>
        <v>#NAME?</v>
      </c>
      <c r="L559" t="e">
        <f ca="1">_xll.BDH($C$553,"INCREMENTAL_OPERATING_MARGIN","FQ1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59" t="e">
        <f ca="1">_xll.BDH($C$553,"PRETAX_INC_TO_NET_SALES","FQ1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59" t="e">
        <f ca="1">_xll.BDH($C$553,"INC_BEF_XO_ITEMS_TO_NET_SALES","FQ1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59" t="e">
        <f ca="1">_xll.BDH($C$553,"PROF_MARGIN","FQ1 2015","FQ1 2015","Currency=INR","Period=FQ","BEST_FPERIOD_OVERRIDE=FQ","FILING_STATUS=OR","EQY_CONSOLIDATED=Y","FA_ADJUSTED=GAAP","Sort=A","Dates=H","DateFormat=P","Fill=—","Direction=H","UseDPDF=Y")</f>
        <v>#NAME?</v>
      </c>
      <c r="P559" t="e">
        <f ca="1">_xll.BDH($C$553,"NET_INCOME_TO_COMMON_MARGIN","FQ1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59" t="e">
        <f ca="1">_xll.BDH($C$553,"EFF_TAX_RATE","FQ1 2015","FQ1 2015","Currency=INR","Period=FQ","BEST_FPERIOD_OVERRIDE=FQ","FILING_STATUS=OR","EQY_CONSOLIDATED=Y","FA_ADJUSTED=GAAP","Sort=A","Dates=H","DateFormat=P","Fill=—","Direction=H","UseDPDF=Y")</f>
        <v>#NAME?</v>
      </c>
      <c r="R559" t="e">
        <f ca="1">_xll.BDH($C$553,"DVD_PAYOUT_RATIO","FQ1 2015","FQ1 2015","Currency=INR","Period=FQ","BEST_FPERIOD_OVERRIDE=FQ","FILING_STATUS=OR","EQY_CONSOLIDATED=Y","FA_ADJUSTED=GAAP","Sort=A","Dates=H","DateFormat=P","Fill=—","Direction=H","UseDPDF=Y")</f>
        <v>#NAME?</v>
      </c>
      <c r="S559" t="e">
        <f ca="1">_xll.BDH($C$553,"SUSTAIN_GROWTH_RT","FQ1 2015","FQ1 2015","Currency=INR","Period=FQ","BEST_FPERIOD_OVERRIDE=FQ","FILING_STATUS=OR","EQY_CONSOLIDATED=Y","FA_ADJUSTED=GAAP","Sort=A","Dates=H","DateFormat=P","Fill=—","Direction=H","UseDPDF=Y")</f>
        <v>#NAME?</v>
      </c>
      <c r="T559" s="2" t="e">
        <f ca="1">_xll.BDH($C$553,"SALES_GROWTH","FQ1 2015","FQ1 2015","Currency=INR","Period=FQ","BEST_FPERIOD_OVERRIDE=FQ","FILING_STATUS=OR","EQY_CONSOLIDATED=Y","FA_ADJUSTED=GAAP","Sort=A","Dates=H","DateFormat=P","Fill=—","Direction=H","UseDPDF=Y")</f>
        <v>#NAME?</v>
      </c>
      <c r="U559" s="2" t="e">
        <f ca="1">_xll.BDH($C$553,"EBITDA_GROWTH","FQ1 2015","FQ1 2015","Currency=INR","Period=FQ","BEST_FPERIOD_OVERRIDE=FQ","FILING_STATUS=OR","EQY_CONSOLIDATED=Y","FA_ADJUSTED=GAAP","Sort=A","Dates=H","DateFormat=P","Fill=—","Direction=H","UseDPDF=Y")</f>
        <v>#NAME?</v>
      </c>
      <c r="V559" s="2" t="e">
        <f ca="1">_xll.BDH($C$553,"OPER_INC_GROWTH","FQ1 2015","FQ1 2015","Currency=INR","Period=FQ","BEST_FPERIOD_OVERRIDE=FQ","FILING_STATUS=OR","EQY_CONSOLIDATED=Y","FA_ADJUSTED=GAAP","Sort=A","Dates=H","DateFormat=P","Fill=—","Direction=H","UseDPDF=Y")</f>
        <v>#NAME?</v>
      </c>
      <c r="W559" s="2" t="e">
        <f ca="1">_xll.BDH($C$553,"EARN_FOR_COM_GROWTH","FQ1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59" s="2" t="e">
        <f ca="1">_xll.BDH($C$553,"DILUTED_EPS_AFT_XO_ITEMS_GROWTH","FQ1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59" s="2" t="e">
        <f ca="1">_xll.BDH($C$553,"DIVIDEND_PER_SHARE_1_YEAR_GROWTH","FQ1 2015","FQ1 2015","Currency=INR","Period=FQ","BEST_FPERIOD_OVERRIDE=FQ","FILING_STATUS=OR","EQY_CONSOLIDATED=Y","Sort=A","Dates=H","DateFormat=P","Fill=—","Direction=H","UseDPDF=Y")</f>
        <v>#NAME?</v>
      </c>
      <c r="Z559" s="2" t="e">
        <f ca="1">_xll.BDH($C$553,"ACCOUNTS_RECEIVABLE_GROWTH","FQ1 2015","FQ1 2015","Currency=INR","Period=FQ","BEST_FPERIOD_OVERRIDE=FQ","FILING_STATUS=OR","EQY_CONSOLIDATED=Y","Sort=A","Dates=H","DateFormat=P","Fill=—","Direction=H","UseDPDF=Y")</f>
        <v>#NAME?</v>
      </c>
      <c r="AA559" s="2" t="e">
        <f ca="1">_xll.BDH($C$553,"INVENTORY_GROWTH","FQ1 2015","FQ1 2015","Currency=INR","Period=FQ","BEST_FPERIOD_OVERRIDE=FQ","FILING_STATUS=OR","EQY_CONSOLIDATED=Y","Sort=A","Dates=H","DateFormat=P","Fill=—","Direction=H","UseDPDF=Y")</f>
        <v>#NAME?</v>
      </c>
      <c r="AB559" s="2" t="e">
        <f ca="1">_xll.BDH($C$553,"NET_FIXED_ASSETS_1_YEAR_GROWTH","FQ1 2015","FQ1 2015","Currency=INR","Period=FQ","BEST_FPERIOD_OVERRIDE=FQ","FILING_STATUS=OR","EQY_CONSOLIDATED=Y","Sort=A","Dates=H","DateFormat=P","Fill=—","Direction=H","UseDPDF=Y")</f>
        <v>#NAME?</v>
      </c>
      <c r="AC559" s="2" t="e">
        <f ca="1">_xll.BDH($C$553,"ASSET_GROWTH","FQ1 2015","FQ1 2015","Currency=INR","Period=FQ","BEST_FPERIOD_OVERRIDE=FQ","FILING_STATUS=OR","EQY_CONSOLIDATED=Y","Sort=A","Dates=H","DateFormat=P","Fill=—","Direction=H","UseDPDF=Y")</f>
        <v>#NAME?</v>
      </c>
      <c r="AD559" s="2" t="e">
        <f ca="1">_xll.BDH($C$553,"MODIFIED_WORK_CAP_GROWTH","FQ1 2015","FQ1 2015","Currency=INR","Period=FQ","BEST_FPERIOD_OVERRIDE=FQ","FILING_STATUS=OR","EQY_CONSOLIDATED=Y","Sort=A","Dates=H","DateFormat=P","Fill=—","Direction=H","UseDPDF=Y")</f>
        <v>#NAME?</v>
      </c>
      <c r="AE559" s="2" t="e">
        <f ca="1">_xll.BDH($C$553,"WORK_CAP_GROWTH","FQ1 2015","FQ1 2015","Currency=INR","Period=FQ","BEST_FPERIOD_OVERRIDE=FQ","FILING_STATUS=OR","EQY_CONSOLIDATED=Y","Sort=A","Dates=H","DateFormat=P","Fill=—","Direction=H","UseDPDF=Y")</f>
        <v>#NAME?</v>
      </c>
      <c r="AF559" s="2" t="e">
        <f ca="1">_xll.BDH($C$553,"ACCOUNTS_PAYABLE_GROWTH_1YR","FQ1 2015","FQ1 2015","Currency=INR","Period=FQ","BEST_FPERIOD_OVERRIDE=FQ","FILING_STATUS=OR","EQY_CONSOLIDATED=Y","Sort=A","Dates=H","DateFormat=P","Fill=—","Direction=H","UseDPDF=Y")</f>
        <v>#NAME?</v>
      </c>
      <c r="AG559" s="2" t="e">
        <f ca="1">_xll.BDH($C$553,"SHORT_TERM_DEBT_1_YEAR_GROWTH","FQ1 2015","FQ1 2015","Currency=INR","Period=FQ","BEST_FPERIOD_OVERRIDE=FQ","FILING_STATUS=OR","EQY_CONSOLIDATED=Y","Sort=A","Dates=H","DateFormat=P","Fill=—","Direction=H","UseDPDF=Y")</f>
        <v>#NAME?</v>
      </c>
      <c r="AH559" s="2" t="e">
        <f ca="1">_xll.BDH($C$553,"TOTAL_DEBT_1_YEAR_GROWTH","FQ1 2015","FQ1 2015","Currency=INR","Period=FQ","BEST_FPERIOD_OVERRIDE=FQ","FILING_STATUS=OR","EQY_CONSOLIDATED=Y","Sort=A","Dates=H","DateFormat=P","Fill=—","Direction=H","UseDPDF=Y")</f>
        <v>#NAME?</v>
      </c>
      <c r="AI559" s="2" t="e">
        <f ca="1">_xll.BDH($C$553,"TOTAL_EQUITY_1_YEAR_GROWTH","FQ1 2015","FQ1 2015","Currency=INR","Period=FQ","BEST_FPERIOD_OVERRIDE=FQ","FILING_STATUS=OR","EQY_CONSOLIDATED=Y","Sort=A","Dates=H","DateFormat=P","Fill=—","Direction=H","UseDPDF=Y")</f>
        <v>#NAME?</v>
      </c>
      <c r="AJ559" s="2" t="e">
        <f ca="1">_xll.BDH($C$553,"GROWTH_IN_CAP","FQ1 2015","FQ1 2015","Currency=INR","Period=FQ","BEST_FPERIOD_OVERRIDE=FQ","FILING_STATUS=OR","EQY_CONSOLIDATED=Y","Sort=A","Dates=H","DateFormat=P","Fill=—","Direction=H","UseDPDF=Y")</f>
        <v>#NAME?</v>
      </c>
      <c r="AK559" s="2" t="e">
        <f ca="1">_xll.BDH($C$553,"BVPS_GROWTH","FQ1 2015","FQ1 2015","Currency=INR","Period=FQ","BEST_FPERIOD_OVERRIDE=FQ","FILING_STATUS=OR","EQY_CONSOLIDATED=Y","Sort=A","Dates=H","DateFormat=P","Fill=—","Direction=H","UseDPDF=Y")</f>
        <v>#NAME?</v>
      </c>
      <c r="AL559" s="2" t="e">
        <f ca="1">_xll.BDH($C$553,"CASH_FLOW_GROWTH","FQ1 2015","FQ1 2015","Currency=INR","Period=FQ","BEST_FPERIOD_OVERRIDE=FQ","FILING_STATUS=OR","EQY_CONSOLIDATED=Y","Sort=A","Dates=H","DateFormat=P","Fill=—","Direction=H","UseDPDF=Y")</f>
        <v>#NAME?</v>
      </c>
      <c r="AM559" s="2" t="e">
        <f ca="1">_xll.BDH($C$553,"GEO_GROW_NET_SALES","FQ1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59" s="2" t="e">
        <f ca="1">_xll.BDH($C$553,"GEO_GROW_EBITDA","FQ1 2015","FQ1 2015","Currency=INR","Period=FQ","BEST_FPERIOD_OVERRIDE=FQ","FILING_STATUS=OR","EQY_CONSOLIDATED=Y","FA_ADJUSTED=GAAP","Sort=A","Dates=H","DateFormat=P","Fill=—","Direction=H","UseDPDF=Y")</f>
        <v>#NAME?</v>
      </c>
      <c r="AO559" s="2" t="e">
        <f ca="1">_xll.BDH($C$553,"GEO_GROW_OPER_INC","FQ1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59" s="2" t="e">
        <f ca="1">_xll.BDH($C$553,"NET_INCOME_TO_COMMON_5_YR_GROWTH","FQ1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59" s="2" t="e">
        <f ca="1">_xll.BDH($C$553,"5Y_GEO_GROWTH_DILUTED_EPS","FQ1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59" s="2" t="e">
        <f ca="1">_xll.BDH($C$553,"GEO_GROW_DVD_PER_SH","FQ1 2015","FQ1 2015","Currency=INR","Period=FQ","BEST_FPERIOD_OVERRIDE=FQ","FILING_STATUS=OR","EQY_CONSOLIDATED=Y","Sort=A","Dates=H","DateFormat=P","Fill=—","Direction=H","UseDPDF=Y")</f>
        <v>#NAME?</v>
      </c>
      <c r="AS559" s="2" t="e">
        <f ca="1">_xll.BDH($C$553,"ACCOUNTS_RECEIVABLE_5_YR_GROWTH","FQ1 2015","FQ1 2015","Currency=INR","Period=FQ","BEST_FPERIOD_OVERRIDE=FQ","FILING_STATUS=OR","EQY_CONSOLIDATED=Y","Sort=A","Dates=H","DateFormat=P","Fill=—","Direction=H","UseDPDF=Y")</f>
        <v>#NAME?</v>
      </c>
      <c r="AT559" s="2" t="e">
        <f ca="1">_xll.BDH($C$553,"INVENTORY_5_YEAR_GROWTH","FQ1 2015","FQ1 2015","Currency=INR","Period=FQ","BEST_FPERIOD_OVERRIDE=FQ","FILING_STATUS=OR","EQY_CONSOLIDATED=Y","Sort=A","Dates=H","DateFormat=P","Fill=—","Direction=H","UseDPDF=Y")</f>
        <v>#NAME?</v>
      </c>
      <c r="AU559" s="2" t="e">
        <f ca="1">_xll.BDH($C$553,"NET_FIXED_ASSETS_5_YEAR_GROWTH","FQ1 2015","FQ1 2015","Currency=INR","Period=FQ","BEST_FPERIOD_OVERRIDE=FQ","FILING_STATUS=OR","EQY_CONSOLIDATED=Y","Sort=A","Dates=H","DateFormat=P","Fill=—","Direction=H","UseDPDF=Y")</f>
        <v>#NAME?</v>
      </c>
      <c r="AV559" s="2" t="e">
        <f ca="1">_xll.BDH($C$553,"GEO_GROW_TOT_ASSET","FQ1 2015","FQ1 2015","Currency=INR","Period=FQ","BEST_FPERIOD_OVERRIDE=FQ","FILING_STATUS=OR","EQY_CONSOLIDATED=Y","Sort=A","Dates=H","DateFormat=P","Fill=—","Direction=H","UseDPDF=Y")</f>
        <v>#NAME?</v>
      </c>
      <c r="AW559" s="2" t="e">
        <f ca="1">_xll.BDH($C$553,"MODIFIED_WORKING_CPTL_5YR_GRWTH","FQ1 2015","FQ1 2015","Currency=INR","Period=FQ","BEST_FPERIOD_OVERRIDE=FQ","FILING_STATUS=OR","EQY_CONSOLIDATED=Y","Sort=A","Dates=H","DateFormat=P","Fill=—","Direction=H","UseDPDF=Y")</f>
        <v>#NAME?</v>
      </c>
      <c r="AX559" s="2" t="e">
        <f ca="1">_xll.BDH($C$553,"WORKING_CAPITAL_5_YEAR_GROWTH","FQ1 2015","FQ1 2015","Currency=INR","Period=FQ","BEST_FPERIOD_OVERRIDE=FQ","FILING_STATUS=OR","EQY_CONSOLIDATED=Y","Sort=A","Dates=H","DateFormat=P","Fill=—","Direction=H","UseDPDF=Y")</f>
        <v>#NAME?</v>
      </c>
      <c r="AY559" s="2" t="e">
        <f ca="1">_xll.BDH($C$553,"ACCOUNTS_PAYABLE_5_YEAR_GROWTH","FQ1 2015","FQ1 2015","Currency=INR","Period=FQ","BEST_FPERIOD_OVERRIDE=FQ","FILING_STATUS=OR","EQY_CONSOLIDATED=Y","Sort=A","Dates=H","DateFormat=P","Fill=—","Direction=H","UseDPDF=Y")</f>
        <v>#NAME?</v>
      </c>
      <c r="AZ559" s="2" t="e">
        <f ca="1">_xll.BDH($C$553,"SHORT_TERM_DEBT_5_YEAR_GROWTH","FQ1 2015","FQ1 2015","Currency=INR","Period=FQ","BEST_FPERIOD_OVERRIDE=FQ","FILING_STATUS=OR","EQY_CONSOLIDATED=Y","Sort=A","Dates=H","DateFormat=P","Fill=—","Direction=H","UseDPDF=Y")</f>
        <v>#NAME?</v>
      </c>
      <c r="BA559" s="2" t="e">
        <f ca="1">_xll.BDH($C$553,"TOTAL_DEBT_5_YEAR_GROWTH","FQ1 2015","FQ1 2015","Currency=INR","Period=FQ","BEST_FPERIOD_OVERRIDE=FQ","FILING_STATUS=OR","EQY_CONSOLIDATED=Y","Sort=A","Dates=H","DateFormat=P","Fill=—","Direction=H","UseDPDF=Y")</f>
        <v>#NAME?</v>
      </c>
      <c r="BB559" s="2" t="e">
        <f ca="1">_xll.BDH($C$553,"GEO_GROW_TOT_SHRHLDR_EQY","FQ1 2015","FQ1 2015","Currency=INR","Period=FQ","BEST_FPERIOD_OVERRIDE=FQ","FILING_STATUS=OR","EQY_CONSOLIDATED=Y","Sort=A","Dates=H","DateFormat=P","Fill=—","Direction=H","UseDPDF=Y")</f>
        <v>#NAME?</v>
      </c>
      <c r="BC559" s="2" t="e">
        <f ca="1">_xll.BDH($C$553,"TOTAL_CAPITAL_5_YEAR_GROWTH","FQ1 2015","FQ1 2015","Currency=INR","Period=FQ","BEST_FPERIOD_OVERRIDE=FQ","FILING_STATUS=OR","EQY_CONSOLIDATED=Y","Sort=A","Dates=H","DateFormat=P","Fill=—","Direction=H","UseDPDF=Y")</f>
        <v>#NAME?</v>
      </c>
      <c r="BD559" s="2" t="e">
        <f ca="1">_xll.BDH($C$553,"GEO_GROW_BOOK_VAL","FQ1 2015","FQ1 2015","Currency=INR","Period=FQ","BEST_FPERIOD_OVERRIDE=FQ","FILING_STATUS=OR","EQY_CONSOLIDATED=Y","Sort=A","Dates=H","DateFormat=P","Fill=—","Direction=H","UseDPDF=Y")</f>
        <v>#NAME?</v>
      </c>
      <c r="BE559" s="2" t="e">
        <f ca="1">_xll.BDH($C$553,"GEO_GROW_CASH_OPER_ACT","FQ1 2015","FQ1 2015","Currency=INR","Period=FQ","BEST_FPERIOD_OVERRIDE=FQ","FILING_STATUS=OR","EQY_CONSOLIDATED=Y","Sort=A","Dates=H","DateFormat=P","Fill=—","Direction=H","UseDPDF=Y")</f>
        <v>#NAME?</v>
      </c>
      <c r="BF559" s="2" t="e">
        <f ca="1">_xll.BDH($C$553,"REVENUE_SEQUENTIAL_GROWTH","FQ1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59" s="2" t="e">
        <f ca="1">_xll.BDH($C$553,"EBITDA_SEQUENTIAL_GROWTH","FQ1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59" s="2" t="e">
        <f ca="1">_xll.BDH($C$553,"OPERATING_INCOME_SEQ_GROWTH","FQ1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59" s="2" t="e">
        <f ca="1">_xll.BDH($C$553,"NET_INCOME_TO_COMMON_SEQ_GROWTH","FQ1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59" s="2" t="e">
        <f ca="1">_xll.BDH($C$553,"EPS_DILUTED_SEQUENTIAL_GROWTH","FQ1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59" s="2" t="e">
        <f ca="1">_xll.BDH($C$553,"DPS_SEQUENTIAL_GROWTH","FQ1 2015","FQ1 2015","Currency=INR","Period=FQ","BEST_FPERIOD_OVERRIDE=FQ","FILING_STATUS=OR","EQY_CONSOLIDATED=Y","Sort=A","Dates=H","DateFormat=P","Fill=—","Direction=H","UseDPDF=Y")</f>
        <v>#NAME?</v>
      </c>
      <c r="BL559" s="2" t="e">
        <f ca="1">_xll.BDH($C$553,"ACCOUNTS_RECEIVABLE_SEQ_GROWTH","FQ1 2015","FQ1 2015","Currency=INR","Period=FQ","BEST_FPERIOD_OVERRIDE=FQ","FILING_STATUS=OR","EQY_CONSOLIDATED=Y","Sort=A","Dates=H","DateFormat=P","Fill=—","Direction=H","UseDPDF=Y")</f>
        <v>#NAME?</v>
      </c>
      <c r="BM559" s="2" t="e">
        <f ca="1">_xll.BDH($C$553,"INVENTORY_SEQUENTIAL_GROWTH","FQ1 2015","FQ1 2015","Currency=INR","Period=FQ","BEST_FPERIOD_OVERRIDE=FQ","FILING_STATUS=OR","EQY_CONSOLIDATED=Y","Sort=A","Dates=H","DateFormat=P","Fill=—","Direction=H","UseDPDF=Y")</f>
        <v>#NAME?</v>
      </c>
      <c r="BN559" s="2" t="e">
        <f ca="1">_xll.BDH($C$553,"FIXED_ASSETS_SEQUENTIAL_GROWTH","FQ1 2015","FQ1 2015","Currency=INR","Period=FQ","BEST_FPERIOD_OVERRIDE=FQ","FILING_STATUS=OR","EQY_CONSOLIDATED=Y","Sort=A","Dates=H","DateFormat=P","Fill=—","Direction=H","UseDPDF=Y")</f>
        <v>#NAME?</v>
      </c>
      <c r="BO559" s="2" t="e">
        <f ca="1">_xll.BDH($C$553,"TOTAL_ASSETS_SEQUENTIAL_GROWTH","FQ1 2015","FQ1 2015","Currency=INR","Period=FQ","BEST_FPERIOD_OVERRIDE=FQ","FILING_STATUS=OR","EQY_CONSOLIDATED=Y","Sort=A","Dates=H","DateFormat=P","Fill=—","Direction=H","UseDPDF=Y")</f>
        <v>#NAME?</v>
      </c>
      <c r="BP559" s="2" t="e">
        <f ca="1">_xll.BDH($C$553,"MODIFIED_WORKING_CPTL_SEQ_GRWTH","FQ1 2015","FQ1 2015","Currency=INR","Period=FQ","BEST_FPERIOD_OVERRIDE=FQ","FILING_STATUS=OR","EQY_CONSOLIDATED=Y","Sort=A","Dates=H","DateFormat=P","Fill=—","Direction=H","UseDPDF=Y")</f>
        <v>#NAME?</v>
      </c>
      <c r="BQ559" s="2" t="e">
        <f ca="1">_xll.BDH($C$553,"WORKING_CAPITAL_SEQ_GROWTH","FQ1 2015","FQ1 2015","Currency=INR","Period=FQ","BEST_FPERIOD_OVERRIDE=FQ","FILING_STATUS=OR","EQY_CONSOLIDATED=Y","Sort=A","Dates=H","DateFormat=P","Fill=—","Direction=H","UseDPDF=Y")</f>
        <v>#NAME?</v>
      </c>
      <c r="BR559" s="2" t="e">
        <f ca="1">_xll.BDH($C$553,"ACCOUNTS_PAYABLE_SEQ_GROWTH","FQ1 2015","FQ1 2015","Currency=INR","Period=FQ","BEST_FPERIOD_OVERRIDE=FQ","FILING_STATUS=OR","EQY_CONSOLIDATED=Y","Sort=A","Dates=H","DateFormat=P","Fill=—","Direction=H","UseDPDF=Y")</f>
        <v>#NAME?</v>
      </c>
      <c r="BS559" s="2" t="e">
        <f ca="1">_xll.BDH($C$553,"ST_DEBT_SEQUENTIAL_GROWTH","FQ1 2015","FQ1 2015","Currency=INR","Period=FQ","BEST_FPERIOD_OVERRIDE=FQ","FILING_STATUS=OR","EQY_CONSOLIDATED=Y","Sort=A","Dates=H","DateFormat=P","Fill=—","Direction=H","UseDPDF=Y")</f>
        <v>#NAME?</v>
      </c>
      <c r="BT559" s="2" t="e">
        <f ca="1">_xll.BDH($C$553,"TOTAL_DEBT_SEQUENTIAL_GROWTH","FQ1 2015","FQ1 2015","Currency=INR","Period=FQ","BEST_FPERIOD_OVERRIDE=FQ","FILING_STATUS=OR","EQY_CONSOLIDATED=Y","Sort=A","Dates=H","DateFormat=P","Fill=—","Direction=H","UseDPDF=Y")</f>
        <v>#NAME?</v>
      </c>
      <c r="BU559" s="2" t="e">
        <f ca="1">_xll.BDH($C$553,"TOTAL_EQUITY_SEQUENTIAL_GROWTH","FQ1 2015","FQ1 2015","Currency=INR","Period=FQ","BEST_FPERIOD_OVERRIDE=FQ","FILING_STATUS=OR","EQY_CONSOLIDATED=Y","Sort=A","Dates=H","DateFormat=P","Fill=—","Direction=H","UseDPDF=Y")</f>
        <v>#NAME?</v>
      </c>
      <c r="BV559" s="2" t="e">
        <f ca="1">_xll.BDH($C$553,"TOTAL_CAPITAL_SEQUENTIAL_GROWTH","FQ1 2015","FQ1 2015","Currency=INR","Period=FQ","BEST_FPERIOD_OVERRIDE=FQ","FILING_STATUS=OR","EQY_CONSOLIDATED=Y","Sort=A","Dates=H","DateFormat=P","Fill=—","Direction=H","UseDPDF=Y")</f>
        <v>#NAME?</v>
      </c>
      <c r="BW559" s="2" t="e">
        <f ca="1">_xll.BDH($C$553,"BPS_SEQUENTIAL_GROWTH","FQ1 2015","FQ1 2015","Currency=INR","Period=FQ","BEST_FPERIOD_OVERRIDE=FQ","FILING_STATUS=OR","EQY_CONSOLIDATED=Y","Sort=A","Dates=H","DateFormat=P","Fill=—","Direction=H","UseDPDF=Y")</f>
        <v>#NAME?</v>
      </c>
      <c r="BX559" s="2" t="e">
        <f ca="1">_xll.BDH($C$553,"CFO_SEQUENTIAL_GROWTH","FQ1 2015","FQ1 2015","Currency=INR","Period=FQ","BEST_FPERIOD_OVERRIDE=FQ","FILING_STATUS=OR","EQY_CONSOLIDATED=Y","Sort=A","Dates=H","DateFormat=P","Fill=—","Direction=H","UseDPDF=Y")</f>
        <v>#NAME?</v>
      </c>
      <c r="BY559" s="3" t="e">
        <f ca="1">_xll.BDH($C$553,"SHORT_AND_LONG_TERM_DEBT","FQ1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59" s="3" t="e">
        <f ca="1">_xll.BDH($C$553,"BS_ST_BORROW","FQ1 2015","FQ1 2015","Currency=INR","Period=FQ","BEST_FPERIOD_OVERRIDE=FQ","FILING_STATUS=OR","EQY_CONSOLIDATED=Y","SCALING_FORMAT=MLN","Sort=A","Dates=H","DateFormat=P","Fill=—","Direction=H","UseDPDF=Y")</f>
        <v>#NAME?</v>
      </c>
      <c r="CA559" s="3" t="e">
        <f ca="1">_xll.BDH($C$553,"BS_LT_BORROW","FQ1 2015","FQ1 2015","Currency=INR","Period=FQ","BEST_FPERIOD_OVERRIDE=FQ","FILING_STATUS=OR","EQY_CONSOLIDATED=Y","SCALING_FORMAT=MLN","Sort=A","Dates=H","DateFormat=P","Fill=—","Direction=H","UseDPDF=Y")</f>
        <v>#NAME?</v>
      </c>
      <c r="CB559" s="2" t="e">
        <f ca="1">_xll.BDH($C$553,"TOT_DEBT_TO_EBITDA","FQ1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59" s="2" t="e">
        <f ca="1">_xll.BDH($C$553,"NET_DEBT_TO_EBITDA","FQ1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59" s="2" t="e">
        <f ca="1">_xll.BDH($C$553,"TOTAL_DEBT_TO_EBIT","FQ1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59" s="2" t="e">
        <f ca="1">_xll.BDH($C$553,"NET_DEBT_TO_EBIT","FQ1 2015","FQ1 2015","Currency=INR","Period=FQ","BEST_FPERIOD_OVERRIDE=FQ","FILING_STATUS=OR","EQY_CONSOLIDATED=Y","FA_ADJUSTED=GAAP","Sort=A","Dates=H","DateFormat=P","Fill=—","Direction=H","UseDPDF=Y")</f>
        <v>#NAME?</v>
      </c>
      <c r="CF559" s="2" t="e">
        <f ca="1">_xll.BDH($C$553,"EBITDA_TO_INTEREST_EXPN","FQ1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59" s="2" t="e">
        <f ca="1">_xll.BDH($C$553,"COM_EQY_TO_TOT_ASSET","FQ1 2015","FQ1 2015","Currency=INR","Period=FQ","BEST_FPERIOD_OVERRIDE=FQ","FILING_STATUS=OR","EQY_CONSOLIDATED=Y","Sort=A","Dates=H","DateFormat=P","Fill=—","Direction=H","UseDPDF=Y")</f>
        <v>#NAME?</v>
      </c>
      <c r="CH559" s="2" t="e">
        <f ca="1">_xll.BDH($C$553,"LT_DEBT_TO_TOT_EQY","FQ1 2015","FQ1 2015","Currency=INR","Period=FQ","BEST_FPERIOD_OVERRIDE=FQ","FILING_STATUS=OR","EQY_CONSOLIDATED=Y","Sort=A","Dates=H","DateFormat=P","Fill=—","Direction=H","UseDPDF=Y")</f>
        <v>#NAME?</v>
      </c>
      <c r="CI559" s="2" t="e">
        <f ca="1">_xll.BDH($C$553,"LT_DEBT_TO_TOT_CAP","FQ1 2015","FQ1 2015","Currency=INR","Period=FQ","BEST_FPERIOD_OVERRIDE=FQ","FILING_STATUS=OR","EQY_CONSOLIDATED=Y","Sort=A","Dates=H","DateFormat=P","Fill=—","Direction=H","UseDPDF=Y")</f>
        <v>#NAME?</v>
      </c>
      <c r="CJ559" s="2" t="e">
        <f ca="1">_xll.BDH($C$553,"LT_DEBT_TO_TOT_ASSET","FQ1 2015","FQ1 2015","Currency=INR","Period=FQ","BEST_FPERIOD_OVERRIDE=FQ","FILING_STATUS=OR","EQY_CONSOLIDATED=Y","Sort=A","Dates=H","DateFormat=P","Fill=—","Direction=H","UseDPDF=Y")</f>
        <v>#NAME?</v>
      </c>
      <c r="CK559" s="2" t="e">
        <f ca="1">_xll.BDH($C$553,"TOT_DEBT_TO_TOT_EQY","FQ1 2015","FQ1 2015","Currency=INR","Period=FQ","BEST_FPERIOD_OVERRIDE=FQ","FILING_STATUS=OR","EQY_CONSOLIDATED=Y","Sort=A","Dates=H","DateFormat=P","Fill=—","Direction=H","UseDPDF=Y")</f>
        <v>#NAME?</v>
      </c>
      <c r="CL559" s="2" t="e">
        <f ca="1">_xll.BDH($C$553,"TOT_DEBT_TO_TOT_CAP","FQ1 2015","FQ1 2015","Currency=INR","Period=FQ","BEST_FPERIOD_OVERRIDE=FQ","FILING_STATUS=OR","EQY_CONSOLIDATED=Y","Sort=A","Dates=H","DateFormat=P","Fill=—","Direction=H","UseDPDF=Y")</f>
        <v>#NAME?</v>
      </c>
      <c r="CM559" s="2" t="e">
        <f ca="1">_xll.BDH($C$553,"TOT_DEBT_TO_TOT_ASSET","FQ1 2015","FQ1 2015","Currency=INR","Period=FQ","BEST_FPERIOD_OVERRIDE=FQ","FILING_STATUS=OR","EQY_CONSOLIDATED=Y","Sort=A","Dates=H","DateFormat=P","Fill=—","Direction=H","UseDPDF=Y")</f>
        <v>#NAME?</v>
      </c>
      <c r="CN559" s="2" t="e">
        <f ca="1">_xll.BDH($C$553,"NET_DEBT_TO_SHRHLDR_EQTY","FQ1 2015","FQ1 2015","Currency=INR","Period=FQ","BEST_FPERIOD_OVERRIDE=FQ","FILING_STATUS=OR","EQY_CONSOLIDATED=Y","Sort=A","Dates=H","DateFormat=P","Fill=—","Direction=H","UseDPDF=Y")</f>
        <v>#NAME?</v>
      </c>
      <c r="CO559" s="2" t="e">
        <f ca="1">_xll.BDH($C$553,"NET_DEBT_%_CAPITAL","FQ1 2015","FQ1 2015","Currency=INR","Period=FQ","BEST_FPERIOD_OVERRIDE=FQ","FILING_STATUS=OR","EQY_CONSOLIDATED=Y","Sort=A","Dates=H","DateFormat=P","Fill=—","Direction=H","UseDPDF=Y")</f>
        <v>#NAME?</v>
      </c>
      <c r="CP559" s="3" t="e">
        <f ca="1">_xll.BDH($C$553,"EBITDA","FQ1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59" s="3" t="e">
        <f ca="1">_xll.BDH($C$553,"EBITDA_AFTER_CAPEX","FQ1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59" s="3" t="e">
        <f ca="1">_xll.BDH($C$553,"IS_OPER_INC","FQ1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59" s="2" t="e">
        <f ca="1">_xll.BDH($C$553,"CASH_RATIO","FQ1 2015","FQ1 2015","Currency=INR","Period=FQ","BEST_FPERIOD_OVERRIDE=FQ","FILING_STATUS=OR","EQY_CONSOLIDATED=Y","Sort=A","Dates=H","DateFormat=P","Fill=—","Direction=H","UseDPDF=Y")</f>
        <v>#NAME?</v>
      </c>
      <c r="CT559" s="2" t="e">
        <f ca="1">_xll.BDH($C$553,"CUR_RATIO","FQ1 2015","FQ1 2015","Currency=INR","Period=FQ","BEST_FPERIOD_OVERRIDE=FQ","FILING_STATUS=OR","EQY_CONSOLIDATED=Y","Sort=A","Dates=H","DateFormat=P","Fill=—","Direction=H","UseDPDF=Y")</f>
        <v>#NAME?</v>
      </c>
      <c r="CU559" s="2" t="e">
        <f ca="1">_xll.BDH($C$553,"QUICK_RATIO","FQ1 2015","FQ1 2015","Currency=INR","Period=FQ","BEST_FPERIOD_OVERRIDE=FQ","FILING_STATUS=OR","EQY_CONSOLIDATED=Y","Sort=A","Dates=H","DateFormat=P","Fill=—","Direction=H","UseDPDF=Y")</f>
        <v>#NAME?</v>
      </c>
      <c r="CV559" s="2" t="e">
        <f ca="1">_xll.BDH($C$553,"ALTMAN_Z_SCORE","FQ1 2015","FQ1 2015","Currency=INR","Period=FQ","BEST_FPERIOD_OVERRIDE=FQ","FILING_STATUS=OR","EQY_CONSOLIDATED=Y","Sort=A","Dates=H","DateFormat=P","Fill=—","Direction=H","UseDPDF=Y")</f>
        <v>#NAME?</v>
      </c>
      <c r="CW559" s="4" t="e">
        <f ca="1">_xll.BDH($C$553,"ACCT_RCV_TURN","FQ1 2015","FQ1 2015","Currency=INR","Period=FQ","BEST_FPERIOD_OVERRIDE=FQ","FILING_STATUS=OR","EQY_CONSOLIDATED=Y","FA_ADJUSTED=GAAP","Sort=A","Dates=H","DateFormat=P","Fill=—","Direction=H","UseDPDF=Y")</f>
        <v>#NAME?</v>
      </c>
      <c r="CX559" s="2" t="e">
        <f ca="1">_xll.BDH($C$553,"ACCT_RCV_DAYS","FQ1 2015","FQ1 2015","Currency=INR","Period=FQ","BEST_FPERIOD_OVERRIDE=FQ","FILING_STATUS=OR","EQY_CONSOLIDATED=Y","FA_ADJUSTED=GAAP","Sort=A","Dates=H","DateFormat=P","Fill=—","Direction=H","UseDPDF=Y")</f>
        <v>#NAME?</v>
      </c>
      <c r="CY559" s="4" t="e">
        <f ca="1">_xll.BDH($C$553,"INVENT_TURN","FQ1 2015","FQ1 2015","Currency=INR","Period=FQ","BEST_FPERIOD_OVERRIDE=FQ","FILING_STATUS=OR","EQY_CONSOLIDATED=Y","FA_ADJUSTED=GAAP","Sort=A","Dates=H","DateFormat=P","Fill=—","Direction=H","UseDPDF=Y")</f>
        <v>#NAME?</v>
      </c>
      <c r="CZ559" s="2" t="e">
        <f ca="1">_xll.BDH($C$553,"INVENT_DAYS","FQ1 2015","FQ1 2015","Currency=INR","Period=FQ","BEST_FPERIOD_OVERRIDE=FQ","FILING_STATUS=OR","EQY_CONSOLIDATED=Y","FA_ADJUSTED=GAAP","Sort=A","Dates=H","DateFormat=P","Fill=—","Direction=H","UseDPDF=Y")</f>
        <v>#NAME?</v>
      </c>
      <c r="DA559" s="4" t="e">
        <f ca="1">_xll.BDH($C$553,"ACCOUNTS_PAYABLE_TURNOVER","FQ1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59" s="2" t="e">
        <f ca="1">_xll.BDH($C$553,"ACCOUNTS_PAYABLE_TURNOVER_DAYS","FQ1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59" s="4" t="e">
        <f ca="1">_xll.BDH($C$553,"CASH_CONVERSION_CYCLE","FQ1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59" s="4" t="e">
        <f ca="1">_xll.BDH($C$553,"INV_TO_CASH_DAYS","FQ1 2015","FQ1 2015","Currency=INR","Period=FQ","BEST_FPERIOD_OVERRIDE=FQ","FILING_STATUS=OR","EQY_CONSOLIDATED=Y","FA_ADJUSTED=GAAP","Sort=A","Dates=H","DateFormat=P","Fill=—","Direction=H","UseDPDF=Y")</f>
        <v>#NAME?</v>
      </c>
      <c r="DE559" s="5" t="e">
        <f ca="1">_xll.BDH($C$553,"BS_INVENTORIES","FQ1 2015","FQ1 2015","Currency=INR","Period=FQ","BEST_FPERIOD_OVERRIDE=FQ","FILING_STATUS=OR","EQY_CONSOLIDATED=Y","SCALING_FORMAT=MLN","Sort=A","Dates=H","DateFormat=P","Fill=—","Direction=H","UseDPDF=Y")</f>
        <v>#NAME?</v>
      </c>
      <c r="DF559" s="3" t="e">
        <f ca="1">_xll.BDH($C$553,"INVTRY_RAW_MATERIALS","FQ1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59" s="3" t="e">
        <f ca="1">_xll.BDH($C$553,"INVTRY_IN_PROGRESS","FQ1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59" s="3" t="e">
        <f ca="1">_xll.BDH($C$553,"INVTRY_FINISHED_GOODS","FQ1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59" s="3" t="e">
        <f ca="1">_xll.BDH($C$553,"BS_OTHER_INV","FQ1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60" spans="1:113" x14ac:dyDescent="0.3">
      <c r="A560" s="6"/>
      <c r="B560" s="6"/>
      <c r="C560" s="6"/>
      <c r="D560" s="6"/>
      <c r="E560" t="s">
        <v>79</v>
      </c>
      <c r="F560" t="e">
        <f ca="1">_xll.BDH($C$553,"RETURN_COM_EQY","FQ2 2015","FQ2 2015","Currency=INR","Period=FQ","BEST_FPERIOD_OVERRIDE=FQ","FILING_STATUS=OR","EQY_CONSOLIDATED=Y","FA_ADJUSTED=GAAP","Sort=A","Dates=H","DateFormat=P","Fill=—","Direction=H","UseDPDF=Y")</f>
        <v>#NAME?</v>
      </c>
      <c r="G560" t="e">
        <f ca="1">_xll.BDH($C$553,"RETURN_ON_ASSET","FQ2 2015","FQ2 2015","Currency=INR","Period=FQ","BEST_FPERIOD_OVERRIDE=FQ","FILING_STATUS=OR","EQY_CONSOLIDATED=Y","FA_ADJUSTED=GAAP","Sort=A","Dates=H","DateFormat=P","Fill=—","Direction=H","UseDPDF=Y")</f>
        <v>#NAME?</v>
      </c>
      <c r="H560" t="e">
        <f ca="1">_xll.BDH($C$553,"RETURN_ON_CAP","FQ2 2015","FQ2 2015","Currency=INR","Period=FQ","BEST_FPERIOD_OVERRIDE=FQ","FILING_STATUS=OR","EQY_CONSOLIDATED=Y","FA_ADJUSTED=GAAP","Sort=A","Dates=H","DateFormat=P","Fill=—","Direction=H","UseDPDF=Y")</f>
        <v>#NAME?</v>
      </c>
      <c r="I560" t="e">
        <f ca="1">_xll.BDH($C$553,"RETURN_ON_INV_CAPITAL","FQ2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60" t="e">
        <f ca="1">_xll.BDH($C$553,"EBITDA_TO_REVENUE","FQ2 2015","FQ2 2015","Currency=INR","Period=FQ","BEST_FPERIOD_OVERRIDE=FQ","FILING_STATUS=OR","EQY_CONSOLIDATED=Y","FA_ADJUSTED=GAAP","Sort=A","Dates=H","DateFormat=P","Fill=—","Direction=H","UseDPDF=Y")</f>
        <v>#NAME?</v>
      </c>
      <c r="K560" t="e">
        <f ca="1">_xll.BDH($C$553,"OPER_MARGIN","FQ2 2015","FQ2 2015","Currency=INR","Period=FQ","BEST_FPERIOD_OVERRIDE=FQ","FILING_STATUS=OR","EQY_CONSOLIDATED=Y","FA_ADJUSTED=GAAP","Sort=A","Dates=H","DateFormat=P","Fill=—","Direction=H","UseDPDF=Y")</f>
        <v>#NAME?</v>
      </c>
      <c r="L560" t="e">
        <f ca="1">_xll.BDH($C$553,"INCREMENTAL_OPERATING_MARGIN","FQ2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60" t="e">
        <f ca="1">_xll.BDH($C$553,"PRETAX_INC_TO_NET_SALES","FQ2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60" t="e">
        <f ca="1">_xll.BDH($C$553,"INC_BEF_XO_ITEMS_TO_NET_SALES","FQ2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60" t="e">
        <f ca="1">_xll.BDH($C$553,"PROF_MARGIN","FQ2 2015","FQ2 2015","Currency=INR","Period=FQ","BEST_FPERIOD_OVERRIDE=FQ","FILING_STATUS=OR","EQY_CONSOLIDATED=Y","FA_ADJUSTED=GAAP","Sort=A","Dates=H","DateFormat=P","Fill=—","Direction=H","UseDPDF=Y")</f>
        <v>#NAME?</v>
      </c>
      <c r="P560" t="e">
        <f ca="1">_xll.BDH($C$553,"NET_INCOME_TO_COMMON_MARGIN","FQ2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60" t="e">
        <f ca="1">_xll.BDH($C$553,"EFF_TAX_RATE","FQ2 2015","FQ2 2015","Currency=INR","Period=FQ","BEST_FPERIOD_OVERRIDE=FQ","FILING_STATUS=OR","EQY_CONSOLIDATED=Y","FA_ADJUSTED=GAAP","Sort=A","Dates=H","DateFormat=P","Fill=—","Direction=H","UseDPDF=Y")</f>
        <v>#NAME?</v>
      </c>
      <c r="R560" t="e">
        <f ca="1">_xll.BDH($C$553,"DVD_PAYOUT_RATIO","FQ2 2015","FQ2 2015","Currency=INR","Period=FQ","BEST_FPERIOD_OVERRIDE=FQ","FILING_STATUS=OR","EQY_CONSOLIDATED=Y","FA_ADJUSTED=GAAP","Sort=A","Dates=H","DateFormat=P","Fill=—","Direction=H","UseDPDF=Y")</f>
        <v>#NAME?</v>
      </c>
      <c r="S560" t="e">
        <f ca="1">_xll.BDH($C$553,"SUSTAIN_GROWTH_RT","FQ2 2015","FQ2 2015","Currency=INR","Period=FQ","BEST_FPERIOD_OVERRIDE=FQ","FILING_STATUS=OR","EQY_CONSOLIDATED=Y","FA_ADJUSTED=GAAP","Sort=A","Dates=H","DateFormat=P","Fill=—","Direction=H","UseDPDF=Y")</f>
        <v>#NAME?</v>
      </c>
      <c r="T560" s="2" t="e">
        <f ca="1">_xll.BDH($C$553,"SALES_GROWTH","FQ2 2015","FQ2 2015","Currency=INR","Period=FQ","BEST_FPERIOD_OVERRIDE=FQ","FILING_STATUS=OR","EQY_CONSOLIDATED=Y","FA_ADJUSTED=GAAP","Sort=A","Dates=H","DateFormat=P","Fill=—","Direction=H","UseDPDF=Y")</f>
        <v>#NAME?</v>
      </c>
      <c r="U560" s="2" t="e">
        <f ca="1">_xll.BDH($C$553,"EBITDA_GROWTH","FQ2 2015","FQ2 2015","Currency=INR","Period=FQ","BEST_FPERIOD_OVERRIDE=FQ","FILING_STATUS=OR","EQY_CONSOLIDATED=Y","FA_ADJUSTED=GAAP","Sort=A","Dates=H","DateFormat=P","Fill=—","Direction=H","UseDPDF=Y")</f>
        <v>#NAME?</v>
      </c>
      <c r="V560" s="2" t="e">
        <f ca="1">_xll.BDH($C$553,"OPER_INC_GROWTH","FQ2 2015","FQ2 2015","Currency=INR","Period=FQ","BEST_FPERIOD_OVERRIDE=FQ","FILING_STATUS=OR","EQY_CONSOLIDATED=Y","FA_ADJUSTED=GAAP","Sort=A","Dates=H","DateFormat=P","Fill=—","Direction=H","UseDPDF=Y")</f>
        <v>#NAME?</v>
      </c>
      <c r="W560" s="2" t="e">
        <f ca="1">_xll.BDH($C$553,"EARN_FOR_COM_GROWTH","FQ2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60" s="2" t="e">
        <f ca="1">_xll.BDH($C$553,"DILUTED_EPS_AFT_XO_ITEMS_GROWTH","FQ2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60" s="2" t="e">
        <f ca="1">_xll.BDH($C$553,"DIVIDEND_PER_SHARE_1_YEAR_GROWTH","FQ2 2015","FQ2 2015","Currency=INR","Period=FQ","BEST_FPERIOD_OVERRIDE=FQ","FILING_STATUS=OR","EQY_CONSOLIDATED=Y","Sort=A","Dates=H","DateFormat=P","Fill=—","Direction=H","UseDPDF=Y")</f>
        <v>#NAME?</v>
      </c>
      <c r="Z560" s="2" t="e">
        <f ca="1">_xll.BDH($C$553,"ACCOUNTS_RECEIVABLE_GROWTH","FQ2 2015","FQ2 2015","Currency=INR","Period=FQ","BEST_FPERIOD_OVERRIDE=FQ","FILING_STATUS=OR","EQY_CONSOLIDATED=Y","Sort=A","Dates=H","DateFormat=P","Fill=—","Direction=H","UseDPDF=Y")</f>
        <v>#NAME?</v>
      </c>
      <c r="AA560" s="2" t="e">
        <f ca="1">_xll.BDH($C$553,"INVENTORY_GROWTH","FQ2 2015","FQ2 2015","Currency=INR","Period=FQ","BEST_FPERIOD_OVERRIDE=FQ","FILING_STATUS=OR","EQY_CONSOLIDATED=Y","Sort=A","Dates=H","DateFormat=P","Fill=—","Direction=H","UseDPDF=Y")</f>
        <v>#NAME?</v>
      </c>
      <c r="AB560" s="2" t="e">
        <f ca="1">_xll.BDH($C$553,"NET_FIXED_ASSETS_1_YEAR_GROWTH","FQ2 2015","FQ2 2015","Currency=INR","Period=FQ","BEST_FPERIOD_OVERRIDE=FQ","FILING_STATUS=OR","EQY_CONSOLIDATED=Y","Sort=A","Dates=H","DateFormat=P","Fill=—","Direction=H","UseDPDF=Y")</f>
        <v>#NAME?</v>
      </c>
      <c r="AC560" s="2" t="e">
        <f ca="1">_xll.BDH($C$553,"ASSET_GROWTH","FQ2 2015","FQ2 2015","Currency=INR","Period=FQ","BEST_FPERIOD_OVERRIDE=FQ","FILING_STATUS=OR","EQY_CONSOLIDATED=Y","Sort=A","Dates=H","DateFormat=P","Fill=—","Direction=H","UseDPDF=Y")</f>
        <v>#NAME?</v>
      </c>
      <c r="AD560" s="2" t="e">
        <f ca="1">_xll.BDH($C$553,"MODIFIED_WORK_CAP_GROWTH","FQ2 2015","FQ2 2015","Currency=INR","Period=FQ","BEST_FPERIOD_OVERRIDE=FQ","FILING_STATUS=OR","EQY_CONSOLIDATED=Y","Sort=A","Dates=H","DateFormat=P","Fill=—","Direction=H","UseDPDF=Y")</f>
        <v>#NAME?</v>
      </c>
      <c r="AE560" s="2" t="e">
        <f ca="1">_xll.BDH($C$553,"WORK_CAP_GROWTH","FQ2 2015","FQ2 2015","Currency=INR","Period=FQ","BEST_FPERIOD_OVERRIDE=FQ","FILING_STATUS=OR","EQY_CONSOLIDATED=Y","Sort=A","Dates=H","DateFormat=P","Fill=—","Direction=H","UseDPDF=Y")</f>
        <v>#NAME?</v>
      </c>
      <c r="AF560" s="2" t="e">
        <f ca="1">_xll.BDH($C$553,"ACCOUNTS_PAYABLE_GROWTH_1YR","FQ2 2015","FQ2 2015","Currency=INR","Period=FQ","BEST_FPERIOD_OVERRIDE=FQ","FILING_STATUS=OR","EQY_CONSOLIDATED=Y","Sort=A","Dates=H","DateFormat=P","Fill=—","Direction=H","UseDPDF=Y")</f>
        <v>#NAME?</v>
      </c>
      <c r="AG560" s="2" t="e">
        <f ca="1">_xll.BDH($C$553,"SHORT_TERM_DEBT_1_YEAR_GROWTH","FQ2 2015","FQ2 2015","Currency=INR","Period=FQ","BEST_FPERIOD_OVERRIDE=FQ","FILING_STATUS=OR","EQY_CONSOLIDATED=Y","Sort=A","Dates=H","DateFormat=P","Fill=—","Direction=H","UseDPDF=Y")</f>
        <v>#NAME?</v>
      </c>
      <c r="AH560" s="2" t="e">
        <f ca="1">_xll.BDH($C$553,"TOTAL_DEBT_1_YEAR_GROWTH","FQ2 2015","FQ2 2015","Currency=INR","Period=FQ","BEST_FPERIOD_OVERRIDE=FQ","FILING_STATUS=OR","EQY_CONSOLIDATED=Y","Sort=A","Dates=H","DateFormat=P","Fill=—","Direction=H","UseDPDF=Y")</f>
        <v>#NAME?</v>
      </c>
      <c r="AI560" s="2" t="e">
        <f ca="1">_xll.BDH($C$553,"TOTAL_EQUITY_1_YEAR_GROWTH","FQ2 2015","FQ2 2015","Currency=INR","Period=FQ","BEST_FPERIOD_OVERRIDE=FQ","FILING_STATUS=OR","EQY_CONSOLIDATED=Y","Sort=A","Dates=H","DateFormat=P","Fill=—","Direction=H","UseDPDF=Y")</f>
        <v>#NAME?</v>
      </c>
      <c r="AJ560" s="2" t="e">
        <f ca="1">_xll.BDH($C$553,"GROWTH_IN_CAP","FQ2 2015","FQ2 2015","Currency=INR","Period=FQ","BEST_FPERIOD_OVERRIDE=FQ","FILING_STATUS=OR","EQY_CONSOLIDATED=Y","Sort=A","Dates=H","DateFormat=P","Fill=—","Direction=H","UseDPDF=Y")</f>
        <v>#NAME?</v>
      </c>
      <c r="AK560" s="2" t="e">
        <f ca="1">_xll.BDH($C$553,"BVPS_GROWTH","FQ2 2015","FQ2 2015","Currency=INR","Period=FQ","BEST_FPERIOD_OVERRIDE=FQ","FILING_STATUS=OR","EQY_CONSOLIDATED=Y","Sort=A","Dates=H","DateFormat=P","Fill=—","Direction=H","UseDPDF=Y")</f>
        <v>#NAME?</v>
      </c>
      <c r="AL560" s="2" t="e">
        <f ca="1">_xll.BDH($C$553,"CASH_FLOW_GROWTH","FQ2 2015","FQ2 2015","Currency=INR","Period=FQ","BEST_FPERIOD_OVERRIDE=FQ","FILING_STATUS=OR","EQY_CONSOLIDATED=Y","Sort=A","Dates=H","DateFormat=P","Fill=—","Direction=H","UseDPDF=Y")</f>
        <v>#NAME?</v>
      </c>
      <c r="AM560" s="2" t="e">
        <f ca="1">_xll.BDH($C$553,"GEO_GROW_NET_SALES","FQ2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60" s="2" t="e">
        <f ca="1">_xll.BDH($C$553,"GEO_GROW_EBITDA","FQ2 2015","FQ2 2015","Currency=INR","Period=FQ","BEST_FPERIOD_OVERRIDE=FQ","FILING_STATUS=OR","EQY_CONSOLIDATED=Y","FA_ADJUSTED=GAAP","Sort=A","Dates=H","DateFormat=P","Fill=—","Direction=H","UseDPDF=Y")</f>
        <v>#NAME?</v>
      </c>
      <c r="AO560" s="2" t="e">
        <f ca="1">_xll.BDH($C$553,"GEO_GROW_OPER_INC","FQ2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60" s="2" t="e">
        <f ca="1">_xll.BDH($C$553,"NET_INCOME_TO_COMMON_5_YR_GROWTH","FQ2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60" s="2" t="e">
        <f ca="1">_xll.BDH($C$553,"5Y_GEO_GROWTH_DILUTED_EPS","FQ2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60" s="2" t="e">
        <f ca="1">_xll.BDH($C$553,"GEO_GROW_DVD_PER_SH","FQ2 2015","FQ2 2015","Currency=INR","Period=FQ","BEST_FPERIOD_OVERRIDE=FQ","FILING_STATUS=OR","EQY_CONSOLIDATED=Y","Sort=A","Dates=H","DateFormat=P","Fill=—","Direction=H","UseDPDF=Y")</f>
        <v>#NAME?</v>
      </c>
      <c r="AS560" s="2" t="e">
        <f ca="1">_xll.BDH($C$553,"ACCOUNTS_RECEIVABLE_5_YR_GROWTH","FQ2 2015","FQ2 2015","Currency=INR","Period=FQ","BEST_FPERIOD_OVERRIDE=FQ","FILING_STATUS=OR","EQY_CONSOLIDATED=Y","Sort=A","Dates=H","DateFormat=P","Fill=—","Direction=H","UseDPDF=Y")</f>
        <v>#NAME?</v>
      </c>
      <c r="AT560" s="2" t="e">
        <f ca="1">_xll.BDH($C$553,"INVENTORY_5_YEAR_GROWTH","FQ2 2015","FQ2 2015","Currency=INR","Period=FQ","BEST_FPERIOD_OVERRIDE=FQ","FILING_STATUS=OR","EQY_CONSOLIDATED=Y","Sort=A","Dates=H","DateFormat=P","Fill=—","Direction=H","UseDPDF=Y")</f>
        <v>#NAME?</v>
      </c>
      <c r="AU560" s="2" t="e">
        <f ca="1">_xll.BDH($C$553,"NET_FIXED_ASSETS_5_YEAR_GROWTH","FQ2 2015","FQ2 2015","Currency=INR","Period=FQ","BEST_FPERIOD_OVERRIDE=FQ","FILING_STATUS=OR","EQY_CONSOLIDATED=Y","Sort=A","Dates=H","DateFormat=P","Fill=—","Direction=H","UseDPDF=Y")</f>
        <v>#NAME?</v>
      </c>
      <c r="AV560" s="2" t="e">
        <f ca="1">_xll.BDH($C$553,"GEO_GROW_TOT_ASSET","FQ2 2015","FQ2 2015","Currency=INR","Period=FQ","BEST_FPERIOD_OVERRIDE=FQ","FILING_STATUS=OR","EQY_CONSOLIDATED=Y","Sort=A","Dates=H","DateFormat=P","Fill=—","Direction=H","UseDPDF=Y")</f>
        <v>#NAME?</v>
      </c>
      <c r="AW560" s="2" t="e">
        <f ca="1">_xll.BDH($C$553,"MODIFIED_WORKING_CPTL_5YR_GRWTH","FQ2 2015","FQ2 2015","Currency=INR","Period=FQ","BEST_FPERIOD_OVERRIDE=FQ","FILING_STATUS=OR","EQY_CONSOLIDATED=Y","Sort=A","Dates=H","DateFormat=P","Fill=—","Direction=H","UseDPDF=Y")</f>
        <v>#NAME?</v>
      </c>
      <c r="AX560" s="2" t="e">
        <f ca="1">_xll.BDH($C$553,"WORKING_CAPITAL_5_YEAR_GROWTH","FQ2 2015","FQ2 2015","Currency=INR","Period=FQ","BEST_FPERIOD_OVERRIDE=FQ","FILING_STATUS=OR","EQY_CONSOLIDATED=Y","Sort=A","Dates=H","DateFormat=P","Fill=—","Direction=H","UseDPDF=Y")</f>
        <v>#NAME?</v>
      </c>
      <c r="AY560" s="2" t="e">
        <f ca="1">_xll.BDH($C$553,"ACCOUNTS_PAYABLE_5_YEAR_GROWTH","FQ2 2015","FQ2 2015","Currency=INR","Period=FQ","BEST_FPERIOD_OVERRIDE=FQ","FILING_STATUS=OR","EQY_CONSOLIDATED=Y","Sort=A","Dates=H","DateFormat=P","Fill=—","Direction=H","UseDPDF=Y")</f>
        <v>#NAME?</v>
      </c>
      <c r="AZ560" s="2" t="e">
        <f ca="1">_xll.BDH($C$553,"SHORT_TERM_DEBT_5_YEAR_GROWTH","FQ2 2015","FQ2 2015","Currency=INR","Period=FQ","BEST_FPERIOD_OVERRIDE=FQ","FILING_STATUS=OR","EQY_CONSOLIDATED=Y","Sort=A","Dates=H","DateFormat=P","Fill=—","Direction=H","UseDPDF=Y")</f>
        <v>#NAME?</v>
      </c>
      <c r="BA560" s="2" t="e">
        <f ca="1">_xll.BDH($C$553,"TOTAL_DEBT_5_YEAR_GROWTH","FQ2 2015","FQ2 2015","Currency=INR","Period=FQ","BEST_FPERIOD_OVERRIDE=FQ","FILING_STATUS=OR","EQY_CONSOLIDATED=Y","Sort=A","Dates=H","DateFormat=P","Fill=—","Direction=H","UseDPDF=Y")</f>
        <v>#NAME?</v>
      </c>
      <c r="BB560" s="2" t="e">
        <f ca="1">_xll.BDH($C$553,"GEO_GROW_TOT_SHRHLDR_EQY","FQ2 2015","FQ2 2015","Currency=INR","Period=FQ","BEST_FPERIOD_OVERRIDE=FQ","FILING_STATUS=OR","EQY_CONSOLIDATED=Y","Sort=A","Dates=H","DateFormat=P","Fill=—","Direction=H","UseDPDF=Y")</f>
        <v>#NAME?</v>
      </c>
      <c r="BC560" s="2" t="e">
        <f ca="1">_xll.BDH($C$553,"TOTAL_CAPITAL_5_YEAR_GROWTH","FQ2 2015","FQ2 2015","Currency=INR","Period=FQ","BEST_FPERIOD_OVERRIDE=FQ","FILING_STATUS=OR","EQY_CONSOLIDATED=Y","Sort=A","Dates=H","DateFormat=P","Fill=—","Direction=H","UseDPDF=Y")</f>
        <v>#NAME?</v>
      </c>
      <c r="BD560" s="2" t="e">
        <f ca="1">_xll.BDH($C$553,"GEO_GROW_BOOK_VAL","FQ2 2015","FQ2 2015","Currency=INR","Period=FQ","BEST_FPERIOD_OVERRIDE=FQ","FILING_STATUS=OR","EQY_CONSOLIDATED=Y","Sort=A","Dates=H","DateFormat=P","Fill=—","Direction=H","UseDPDF=Y")</f>
        <v>#NAME?</v>
      </c>
      <c r="BE560" s="2" t="e">
        <f ca="1">_xll.BDH($C$553,"GEO_GROW_CASH_OPER_ACT","FQ2 2015","FQ2 2015","Currency=INR","Period=FQ","BEST_FPERIOD_OVERRIDE=FQ","FILING_STATUS=OR","EQY_CONSOLIDATED=Y","Sort=A","Dates=H","DateFormat=P","Fill=—","Direction=H","UseDPDF=Y")</f>
        <v>#NAME?</v>
      </c>
      <c r="BF560" s="2" t="e">
        <f ca="1">_xll.BDH($C$553,"REVENUE_SEQUENTIAL_GROWTH","FQ2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60" s="2" t="e">
        <f ca="1">_xll.BDH($C$553,"EBITDA_SEQUENTIAL_GROWTH","FQ2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60" s="2" t="e">
        <f ca="1">_xll.BDH($C$553,"OPERATING_INCOME_SEQ_GROWTH","FQ2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60" s="2" t="e">
        <f ca="1">_xll.BDH($C$553,"NET_INCOME_TO_COMMON_SEQ_GROWTH","FQ2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60" s="2" t="e">
        <f ca="1">_xll.BDH($C$553,"EPS_DILUTED_SEQUENTIAL_GROWTH","FQ2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60" s="2" t="e">
        <f ca="1">_xll.BDH($C$553,"DPS_SEQUENTIAL_GROWTH","FQ2 2015","FQ2 2015","Currency=INR","Period=FQ","BEST_FPERIOD_OVERRIDE=FQ","FILING_STATUS=OR","EQY_CONSOLIDATED=Y","Sort=A","Dates=H","DateFormat=P","Fill=—","Direction=H","UseDPDF=Y")</f>
        <v>#NAME?</v>
      </c>
      <c r="BL560" s="2" t="e">
        <f ca="1">_xll.BDH($C$553,"ACCOUNTS_RECEIVABLE_SEQ_GROWTH","FQ2 2015","FQ2 2015","Currency=INR","Period=FQ","BEST_FPERIOD_OVERRIDE=FQ","FILING_STATUS=OR","EQY_CONSOLIDATED=Y","Sort=A","Dates=H","DateFormat=P","Fill=—","Direction=H","UseDPDF=Y")</f>
        <v>#NAME?</v>
      </c>
      <c r="BM560" s="2" t="e">
        <f ca="1">_xll.BDH($C$553,"INVENTORY_SEQUENTIAL_GROWTH","FQ2 2015","FQ2 2015","Currency=INR","Period=FQ","BEST_FPERIOD_OVERRIDE=FQ","FILING_STATUS=OR","EQY_CONSOLIDATED=Y","Sort=A","Dates=H","DateFormat=P","Fill=—","Direction=H","UseDPDF=Y")</f>
        <v>#NAME?</v>
      </c>
      <c r="BN560" s="2" t="e">
        <f ca="1">_xll.BDH($C$553,"FIXED_ASSETS_SEQUENTIAL_GROWTH","FQ2 2015","FQ2 2015","Currency=INR","Period=FQ","BEST_FPERIOD_OVERRIDE=FQ","FILING_STATUS=OR","EQY_CONSOLIDATED=Y","Sort=A","Dates=H","DateFormat=P","Fill=—","Direction=H","UseDPDF=Y")</f>
        <v>#NAME?</v>
      </c>
      <c r="BO560" s="2" t="e">
        <f ca="1">_xll.BDH($C$553,"TOTAL_ASSETS_SEQUENTIAL_GROWTH","FQ2 2015","FQ2 2015","Currency=INR","Period=FQ","BEST_FPERIOD_OVERRIDE=FQ","FILING_STATUS=OR","EQY_CONSOLIDATED=Y","Sort=A","Dates=H","DateFormat=P","Fill=—","Direction=H","UseDPDF=Y")</f>
        <v>#NAME?</v>
      </c>
      <c r="BP560" s="2" t="e">
        <f ca="1">_xll.BDH($C$553,"MODIFIED_WORKING_CPTL_SEQ_GRWTH","FQ2 2015","FQ2 2015","Currency=INR","Period=FQ","BEST_FPERIOD_OVERRIDE=FQ","FILING_STATUS=OR","EQY_CONSOLIDATED=Y","Sort=A","Dates=H","DateFormat=P","Fill=—","Direction=H","UseDPDF=Y")</f>
        <v>#NAME?</v>
      </c>
      <c r="BQ560" s="2" t="e">
        <f ca="1">_xll.BDH($C$553,"WORKING_CAPITAL_SEQ_GROWTH","FQ2 2015","FQ2 2015","Currency=INR","Period=FQ","BEST_FPERIOD_OVERRIDE=FQ","FILING_STATUS=OR","EQY_CONSOLIDATED=Y","Sort=A","Dates=H","DateFormat=P","Fill=—","Direction=H","UseDPDF=Y")</f>
        <v>#NAME?</v>
      </c>
      <c r="BR560" s="2" t="e">
        <f ca="1">_xll.BDH($C$553,"ACCOUNTS_PAYABLE_SEQ_GROWTH","FQ2 2015","FQ2 2015","Currency=INR","Period=FQ","BEST_FPERIOD_OVERRIDE=FQ","FILING_STATUS=OR","EQY_CONSOLIDATED=Y","Sort=A","Dates=H","DateFormat=P","Fill=—","Direction=H","UseDPDF=Y")</f>
        <v>#NAME?</v>
      </c>
      <c r="BS560" s="2" t="e">
        <f ca="1">_xll.BDH($C$553,"ST_DEBT_SEQUENTIAL_GROWTH","FQ2 2015","FQ2 2015","Currency=INR","Period=FQ","BEST_FPERIOD_OVERRIDE=FQ","FILING_STATUS=OR","EQY_CONSOLIDATED=Y","Sort=A","Dates=H","DateFormat=P","Fill=—","Direction=H","UseDPDF=Y")</f>
        <v>#NAME?</v>
      </c>
      <c r="BT560" s="2" t="e">
        <f ca="1">_xll.BDH($C$553,"TOTAL_DEBT_SEQUENTIAL_GROWTH","FQ2 2015","FQ2 2015","Currency=INR","Period=FQ","BEST_FPERIOD_OVERRIDE=FQ","FILING_STATUS=OR","EQY_CONSOLIDATED=Y","Sort=A","Dates=H","DateFormat=P","Fill=—","Direction=H","UseDPDF=Y")</f>
        <v>#NAME?</v>
      </c>
      <c r="BU560" s="2" t="e">
        <f ca="1">_xll.BDH($C$553,"TOTAL_EQUITY_SEQUENTIAL_GROWTH","FQ2 2015","FQ2 2015","Currency=INR","Period=FQ","BEST_FPERIOD_OVERRIDE=FQ","FILING_STATUS=OR","EQY_CONSOLIDATED=Y","Sort=A","Dates=H","DateFormat=P","Fill=—","Direction=H","UseDPDF=Y")</f>
        <v>#NAME?</v>
      </c>
      <c r="BV560" s="2" t="e">
        <f ca="1">_xll.BDH($C$553,"TOTAL_CAPITAL_SEQUENTIAL_GROWTH","FQ2 2015","FQ2 2015","Currency=INR","Period=FQ","BEST_FPERIOD_OVERRIDE=FQ","FILING_STATUS=OR","EQY_CONSOLIDATED=Y","Sort=A","Dates=H","DateFormat=P","Fill=—","Direction=H","UseDPDF=Y")</f>
        <v>#NAME?</v>
      </c>
      <c r="BW560" s="2" t="e">
        <f ca="1">_xll.BDH($C$553,"BPS_SEQUENTIAL_GROWTH","FQ2 2015","FQ2 2015","Currency=INR","Period=FQ","BEST_FPERIOD_OVERRIDE=FQ","FILING_STATUS=OR","EQY_CONSOLIDATED=Y","Sort=A","Dates=H","DateFormat=P","Fill=—","Direction=H","UseDPDF=Y")</f>
        <v>#NAME?</v>
      </c>
      <c r="BX560" s="2" t="e">
        <f ca="1">_xll.BDH($C$553,"CFO_SEQUENTIAL_GROWTH","FQ2 2015","FQ2 2015","Currency=INR","Period=FQ","BEST_FPERIOD_OVERRIDE=FQ","FILING_STATUS=OR","EQY_CONSOLIDATED=Y","Sort=A","Dates=H","DateFormat=P","Fill=—","Direction=H","UseDPDF=Y")</f>
        <v>#NAME?</v>
      </c>
      <c r="BY560" s="3" t="e">
        <f ca="1">_xll.BDH($C$553,"SHORT_AND_LONG_TERM_DEBT","FQ2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60" s="3" t="e">
        <f ca="1">_xll.BDH($C$553,"BS_ST_BORROW","FQ2 2015","FQ2 2015","Currency=INR","Period=FQ","BEST_FPERIOD_OVERRIDE=FQ","FILING_STATUS=OR","EQY_CONSOLIDATED=Y","SCALING_FORMAT=MLN","Sort=A","Dates=H","DateFormat=P","Fill=—","Direction=H","UseDPDF=Y")</f>
        <v>#NAME?</v>
      </c>
      <c r="CA560" s="3" t="e">
        <f ca="1">_xll.BDH($C$553,"BS_LT_BORROW","FQ2 2015","FQ2 2015","Currency=INR","Period=FQ","BEST_FPERIOD_OVERRIDE=FQ","FILING_STATUS=OR","EQY_CONSOLIDATED=Y","SCALING_FORMAT=MLN","Sort=A","Dates=H","DateFormat=P","Fill=—","Direction=H","UseDPDF=Y")</f>
        <v>#NAME?</v>
      </c>
      <c r="CB560" s="2" t="e">
        <f ca="1">_xll.BDH($C$553,"TOT_DEBT_TO_EBITDA","FQ2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60" s="2" t="e">
        <f ca="1">_xll.BDH($C$553,"NET_DEBT_TO_EBITDA","FQ2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60" s="2" t="e">
        <f ca="1">_xll.BDH($C$553,"TOTAL_DEBT_TO_EBIT","FQ2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60" s="2" t="e">
        <f ca="1">_xll.BDH($C$553,"NET_DEBT_TO_EBIT","FQ2 2015","FQ2 2015","Currency=INR","Period=FQ","BEST_FPERIOD_OVERRIDE=FQ","FILING_STATUS=OR","EQY_CONSOLIDATED=Y","FA_ADJUSTED=GAAP","Sort=A","Dates=H","DateFormat=P","Fill=—","Direction=H","UseDPDF=Y")</f>
        <v>#NAME?</v>
      </c>
      <c r="CF560" s="2" t="e">
        <f ca="1">_xll.BDH($C$553,"EBITDA_TO_INTEREST_EXPN","FQ2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60" s="2" t="e">
        <f ca="1">_xll.BDH($C$553,"COM_EQY_TO_TOT_ASSET","FQ2 2015","FQ2 2015","Currency=INR","Period=FQ","BEST_FPERIOD_OVERRIDE=FQ","FILING_STATUS=OR","EQY_CONSOLIDATED=Y","Sort=A","Dates=H","DateFormat=P","Fill=—","Direction=H","UseDPDF=Y")</f>
        <v>#NAME?</v>
      </c>
      <c r="CH560" s="2" t="e">
        <f ca="1">_xll.BDH($C$553,"LT_DEBT_TO_TOT_EQY","FQ2 2015","FQ2 2015","Currency=INR","Period=FQ","BEST_FPERIOD_OVERRIDE=FQ","FILING_STATUS=OR","EQY_CONSOLIDATED=Y","Sort=A","Dates=H","DateFormat=P","Fill=—","Direction=H","UseDPDF=Y")</f>
        <v>#NAME?</v>
      </c>
      <c r="CI560" s="2" t="e">
        <f ca="1">_xll.BDH($C$553,"LT_DEBT_TO_TOT_CAP","FQ2 2015","FQ2 2015","Currency=INR","Period=FQ","BEST_FPERIOD_OVERRIDE=FQ","FILING_STATUS=OR","EQY_CONSOLIDATED=Y","Sort=A","Dates=H","DateFormat=P","Fill=—","Direction=H","UseDPDF=Y")</f>
        <v>#NAME?</v>
      </c>
      <c r="CJ560" s="2" t="e">
        <f ca="1">_xll.BDH($C$553,"LT_DEBT_TO_TOT_ASSET","FQ2 2015","FQ2 2015","Currency=INR","Period=FQ","BEST_FPERIOD_OVERRIDE=FQ","FILING_STATUS=OR","EQY_CONSOLIDATED=Y","Sort=A","Dates=H","DateFormat=P","Fill=—","Direction=H","UseDPDF=Y")</f>
        <v>#NAME?</v>
      </c>
      <c r="CK560" s="2" t="e">
        <f ca="1">_xll.BDH($C$553,"TOT_DEBT_TO_TOT_EQY","FQ2 2015","FQ2 2015","Currency=INR","Period=FQ","BEST_FPERIOD_OVERRIDE=FQ","FILING_STATUS=OR","EQY_CONSOLIDATED=Y","Sort=A","Dates=H","DateFormat=P","Fill=—","Direction=H","UseDPDF=Y")</f>
        <v>#NAME?</v>
      </c>
      <c r="CL560" s="2" t="e">
        <f ca="1">_xll.BDH($C$553,"TOT_DEBT_TO_TOT_CAP","FQ2 2015","FQ2 2015","Currency=INR","Period=FQ","BEST_FPERIOD_OVERRIDE=FQ","FILING_STATUS=OR","EQY_CONSOLIDATED=Y","Sort=A","Dates=H","DateFormat=P","Fill=—","Direction=H","UseDPDF=Y")</f>
        <v>#NAME?</v>
      </c>
      <c r="CM560" s="2" t="e">
        <f ca="1">_xll.BDH($C$553,"TOT_DEBT_TO_TOT_ASSET","FQ2 2015","FQ2 2015","Currency=INR","Period=FQ","BEST_FPERIOD_OVERRIDE=FQ","FILING_STATUS=OR","EQY_CONSOLIDATED=Y","Sort=A","Dates=H","DateFormat=P","Fill=—","Direction=H","UseDPDF=Y")</f>
        <v>#NAME?</v>
      </c>
      <c r="CN560" s="2" t="e">
        <f ca="1">_xll.BDH($C$553,"NET_DEBT_TO_SHRHLDR_EQTY","FQ2 2015","FQ2 2015","Currency=INR","Period=FQ","BEST_FPERIOD_OVERRIDE=FQ","FILING_STATUS=OR","EQY_CONSOLIDATED=Y","Sort=A","Dates=H","DateFormat=P","Fill=—","Direction=H","UseDPDF=Y")</f>
        <v>#NAME?</v>
      </c>
      <c r="CO560" s="2" t="e">
        <f ca="1">_xll.BDH($C$553,"NET_DEBT_%_CAPITAL","FQ2 2015","FQ2 2015","Currency=INR","Period=FQ","BEST_FPERIOD_OVERRIDE=FQ","FILING_STATUS=OR","EQY_CONSOLIDATED=Y","Sort=A","Dates=H","DateFormat=P","Fill=—","Direction=H","UseDPDF=Y")</f>
        <v>#NAME?</v>
      </c>
      <c r="CP560" s="3" t="e">
        <f ca="1">_xll.BDH($C$553,"EBITDA","FQ2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60" s="3" t="e">
        <f ca="1">_xll.BDH($C$553,"EBITDA_AFTER_CAPEX","FQ2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60" s="3" t="e">
        <f ca="1">_xll.BDH($C$553,"IS_OPER_INC","FQ2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60" s="2" t="e">
        <f ca="1">_xll.BDH($C$553,"CASH_RATIO","FQ2 2015","FQ2 2015","Currency=INR","Period=FQ","BEST_FPERIOD_OVERRIDE=FQ","FILING_STATUS=OR","EQY_CONSOLIDATED=Y","Sort=A","Dates=H","DateFormat=P","Fill=—","Direction=H","UseDPDF=Y")</f>
        <v>#NAME?</v>
      </c>
      <c r="CT560" s="2" t="e">
        <f ca="1">_xll.BDH($C$553,"CUR_RATIO","FQ2 2015","FQ2 2015","Currency=INR","Period=FQ","BEST_FPERIOD_OVERRIDE=FQ","FILING_STATUS=OR","EQY_CONSOLIDATED=Y","Sort=A","Dates=H","DateFormat=P","Fill=—","Direction=H","UseDPDF=Y")</f>
        <v>#NAME?</v>
      </c>
      <c r="CU560" s="2" t="e">
        <f ca="1">_xll.BDH($C$553,"QUICK_RATIO","FQ2 2015","FQ2 2015","Currency=INR","Period=FQ","BEST_FPERIOD_OVERRIDE=FQ","FILING_STATUS=OR","EQY_CONSOLIDATED=Y","Sort=A","Dates=H","DateFormat=P","Fill=—","Direction=H","UseDPDF=Y")</f>
        <v>#NAME?</v>
      </c>
      <c r="CV560" s="2" t="e">
        <f ca="1">_xll.BDH($C$553,"ALTMAN_Z_SCORE","FQ2 2015","FQ2 2015","Currency=INR","Period=FQ","BEST_FPERIOD_OVERRIDE=FQ","FILING_STATUS=OR","EQY_CONSOLIDATED=Y","Sort=A","Dates=H","DateFormat=P","Fill=—","Direction=H","UseDPDF=Y")</f>
        <v>#NAME?</v>
      </c>
      <c r="CW560" s="4" t="e">
        <f ca="1">_xll.BDH($C$553,"ACCT_RCV_TURN","FQ2 2015","FQ2 2015","Currency=INR","Period=FQ","BEST_FPERIOD_OVERRIDE=FQ","FILING_STATUS=OR","EQY_CONSOLIDATED=Y","FA_ADJUSTED=GAAP","Sort=A","Dates=H","DateFormat=P","Fill=—","Direction=H","UseDPDF=Y")</f>
        <v>#NAME?</v>
      </c>
      <c r="CX560" s="2" t="e">
        <f ca="1">_xll.BDH($C$553,"ACCT_RCV_DAYS","FQ2 2015","FQ2 2015","Currency=INR","Period=FQ","BEST_FPERIOD_OVERRIDE=FQ","FILING_STATUS=OR","EQY_CONSOLIDATED=Y","FA_ADJUSTED=GAAP","Sort=A","Dates=H","DateFormat=P","Fill=—","Direction=H","UseDPDF=Y")</f>
        <v>#NAME?</v>
      </c>
      <c r="CY560" s="4" t="e">
        <f ca="1">_xll.BDH($C$553,"INVENT_TURN","FQ2 2015","FQ2 2015","Currency=INR","Period=FQ","BEST_FPERIOD_OVERRIDE=FQ","FILING_STATUS=OR","EQY_CONSOLIDATED=Y","FA_ADJUSTED=GAAP","Sort=A","Dates=H","DateFormat=P","Fill=—","Direction=H","UseDPDF=Y")</f>
        <v>#NAME?</v>
      </c>
      <c r="CZ560" s="2" t="e">
        <f ca="1">_xll.BDH($C$553,"INVENT_DAYS","FQ2 2015","FQ2 2015","Currency=INR","Period=FQ","BEST_FPERIOD_OVERRIDE=FQ","FILING_STATUS=OR","EQY_CONSOLIDATED=Y","FA_ADJUSTED=GAAP","Sort=A","Dates=H","DateFormat=P","Fill=—","Direction=H","UseDPDF=Y")</f>
        <v>#NAME?</v>
      </c>
      <c r="DA560" s="4" t="e">
        <f ca="1">_xll.BDH($C$553,"ACCOUNTS_PAYABLE_TURNOVER","FQ2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60" s="2" t="e">
        <f ca="1">_xll.BDH($C$553,"ACCOUNTS_PAYABLE_TURNOVER_DAYS","FQ2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60" s="4" t="e">
        <f ca="1">_xll.BDH($C$553,"CASH_CONVERSION_CYCLE","FQ2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60" s="4" t="e">
        <f ca="1">_xll.BDH($C$553,"INV_TO_CASH_DAYS","FQ2 2015","FQ2 2015","Currency=INR","Period=FQ","BEST_FPERIOD_OVERRIDE=FQ","FILING_STATUS=OR","EQY_CONSOLIDATED=Y","FA_ADJUSTED=GAAP","Sort=A","Dates=H","DateFormat=P","Fill=—","Direction=H","UseDPDF=Y")</f>
        <v>#NAME?</v>
      </c>
      <c r="DE560" s="5" t="e">
        <f ca="1">_xll.BDH($C$553,"BS_INVENTORIES","FQ2 2015","FQ2 2015","Currency=INR","Period=FQ","BEST_FPERIOD_OVERRIDE=FQ","FILING_STATUS=OR","EQY_CONSOLIDATED=Y","SCALING_FORMAT=MLN","Sort=A","Dates=H","DateFormat=P","Fill=—","Direction=H","UseDPDF=Y")</f>
        <v>#NAME?</v>
      </c>
      <c r="DF560" s="3" t="e">
        <f ca="1">_xll.BDH($C$553,"INVTRY_RAW_MATERIALS","FQ2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60" s="3" t="e">
        <f ca="1">_xll.BDH($C$553,"INVTRY_IN_PROGRESS","FQ2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60" s="3" t="e">
        <f ca="1">_xll.BDH($C$553,"INVTRY_FINISHED_GOODS","FQ2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60" s="3" t="e">
        <f ca="1">_xll.BDH($C$553,"BS_OTHER_INV","FQ2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61" spans="1:113" x14ac:dyDescent="0.3">
      <c r="A561" s="6"/>
      <c r="B561" s="6"/>
      <c r="C561" s="6"/>
      <c r="D561" s="6"/>
      <c r="E561" t="s">
        <v>80</v>
      </c>
      <c r="F561" t="e">
        <f ca="1">_xll.BDH($C$553,"RETURN_COM_EQY","FQ3 2015","FQ3 2015","Currency=INR","Period=FQ","BEST_FPERIOD_OVERRIDE=FQ","FILING_STATUS=OR","EQY_CONSOLIDATED=Y","FA_ADJUSTED=GAAP","Sort=A","Dates=H","DateFormat=P","Fill=—","Direction=H","UseDPDF=Y")</f>
        <v>#NAME?</v>
      </c>
      <c r="G561" t="e">
        <f ca="1">_xll.BDH($C$553,"RETURN_ON_ASSET","FQ3 2015","FQ3 2015","Currency=INR","Period=FQ","BEST_FPERIOD_OVERRIDE=FQ","FILING_STATUS=OR","EQY_CONSOLIDATED=Y","FA_ADJUSTED=GAAP","Sort=A","Dates=H","DateFormat=P","Fill=—","Direction=H","UseDPDF=Y")</f>
        <v>#NAME?</v>
      </c>
      <c r="H561" t="e">
        <f ca="1">_xll.BDH($C$553,"RETURN_ON_CAP","FQ3 2015","FQ3 2015","Currency=INR","Period=FQ","BEST_FPERIOD_OVERRIDE=FQ","FILING_STATUS=OR","EQY_CONSOLIDATED=Y","FA_ADJUSTED=GAAP","Sort=A","Dates=H","DateFormat=P","Fill=—","Direction=H","UseDPDF=Y")</f>
        <v>#NAME?</v>
      </c>
      <c r="I561" t="e">
        <f ca="1">_xll.BDH($C$553,"RETURN_ON_INV_CAPITAL","FQ3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61" t="e">
        <f ca="1">_xll.BDH($C$553,"EBITDA_TO_REVENUE","FQ3 2015","FQ3 2015","Currency=INR","Period=FQ","BEST_FPERIOD_OVERRIDE=FQ","FILING_STATUS=OR","EQY_CONSOLIDATED=Y","FA_ADJUSTED=GAAP","Sort=A","Dates=H","DateFormat=P","Fill=—","Direction=H","UseDPDF=Y")</f>
        <v>#NAME?</v>
      </c>
      <c r="K561" t="e">
        <f ca="1">_xll.BDH($C$553,"OPER_MARGIN","FQ3 2015","FQ3 2015","Currency=INR","Period=FQ","BEST_FPERIOD_OVERRIDE=FQ","FILING_STATUS=OR","EQY_CONSOLIDATED=Y","FA_ADJUSTED=GAAP","Sort=A","Dates=H","DateFormat=P","Fill=—","Direction=H","UseDPDF=Y")</f>
        <v>#NAME?</v>
      </c>
      <c r="L561" t="e">
        <f ca="1">_xll.BDH($C$553,"INCREMENTAL_OPERATING_MARGIN","FQ3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61" t="e">
        <f ca="1">_xll.BDH($C$553,"PRETAX_INC_TO_NET_SALES","FQ3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61" t="e">
        <f ca="1">_xll.BDH($C$553,"INC_BEF_XO_ITEMS_TO_NET_SALES","FQ3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61" t="e">
        <f ca="1">_xll.BDH($C$553,"PROF_MARGIN","FQ3 2015","FQ3 2015","Currency=INR","Period=FQ","BEST_FPERIOD_OVERRIDE=FQ","FILING_STATUS=OR","EQY_CONSOLIDATED=Y","FA_ADJUSTED=GAAP","Sort=A","Dates=H","DateFormat=P","Fill=—","Direction=H","UseDPDF=Y")</f>
        <v>#NAME?</v>
      </c>
      <c r="P561" t="e">
        <f ca="1">_xll.BDH($C$553,"NET_INCOME_TO_COMMON_MARGIN","FQ3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61" t="e">
        <f ca="1">_xll.BDH($C$553,"EFF_TAX_RATE","FQ3 2015","FQ3 2015","Currency=INR","Period=FQ","BEST_FPERIOD_OVERRIDE=FQ","FILING_STATUS=OR","EQY_CONSOLIDATED=Y","FA_ADJUSTED=GAAP","Sort=A","Dates=H","DateFormat=P","Fill=—","Direction=H","UseDPDF=Y")</f>
        <v>#NAME?</v>
      </c>
      <c r="R561" t="e">
        <f ca="1">_xll.BDH($C$553,"DVD_PAYOUT_RATIO","FQ3 2015","FQ3 2015","Currency=INR","Period=FQ","BEST_FPERIOD_OVERRIDE=FQ","FILING_STATUS=OR","EQY_CONSOLIDATED=Y","FA_ADJUSTED=GAAP","Sort=A","Dates=H","DateFormat=P","Fill=—","Direction=H","UseDPDF=Y")</f>
        <v>#NAME?</v>
      </c>
      <c r="S561" t="e">
        <f ca="1">_xll.BDH($C$553,"SUSTAIN_GROWTH_RT","FQ3 2015","FQ3 2015","Currency=INR","Period=FQ","BEST_FPERIOD_OVERRIDE=FQ","FILING_STATUS=OR","EQY_CONSOLIDATED=Y","FA_ADJUSTED=GAAP","Sort=A","Dates=H","DateFormat=P","Fill=—","Direction=H","UseDPDF=Y")</f>
        <v>#NAME?</v>
      </c>
      <c r="T561" s="2" t="e">
        <f ca="1">_xll.BDH($C$553,"SALES_GROWTH","FQ3 2015","FQ3 2015","Currency=INR","Period=FQ","BEST_FPERIOD_OVERRIDE=FQ","FILING_STATUS=OR","EQY_CONSOLIDATED=Y","FA_ADJUSTED=GAAP","Sort=A","Dates=H","DateFormat=P","Fill=—","Direction=H","UseDPDF=Y")</f>
        <v>#NAME?</v>
      </c>
      <c r="U561" s="2" t="e">
        <f ca="1">_xll.BDH($C$553,"EBITDA_GROWTH","FQ3 2015","FQ3 2015","Currency=INR","Period=FQ","BEST_FPERIOD_OVERRIDE=FQ","FILING_STATUS=OR","EQY_CONSOLIDATED=Y","FA_ADJUSTED=GAAP","Sort=A","Dates=H","DateFormat=P","Fill=—","Direction=H","UseDPDF=Y")</f>
        <v>#NAME?</v>
      </c>
      <c r="V561" s="2" t="e">
        <f ca="1">_xll.BDH($C$553,"OPER_INC_GROWTH","FQ3 2015","FQ3 2015","Currency=INR","Period=FQ","BEST_FPERIOD_OVERRIDE=FQ","FILING_STATUS=OR","EQY_CONSOLIDATED=Y","FA_ADJUSTED=GAAP","Sort=A","Dates=H","DateFormat=P","Fill=—","Direction=H","UseDPDF=Y")</f>
        <v>#NAME?</v>
      </c>
      <c r="W561" s="2" t="e">
        <f ca="1">_xll.BDH($C$553,"EARN_FOR_COM_GROWTH","FQ3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61" s="2" t="e">
        <f ca="1">_xll.BDH($C$553,"DILUTED_EPS_AFT_XO_ITEMS_GROWTH","FQ3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61" s="2" t="e">
        <f ca="1">_xll.BDH($C$553,"DIVIDEND_PER_SHARE_1_YEAR_GROWTH","FQ3 2015","FQ3 2015","Currency=INR","Period=FQ","BEST_FPERIOD_OVERRIDE=FQ","FILING_STATUS=OR","EQY_CONSOLIDATED=Y","Sort=A","Dates=H","DateFormat=P","Fill=—","Direction=H","UseDPDF=Y")</f>
        <v>#NAME?</v>
      </c>
      <c r="Z561" s="2" t="e">
        <f ca="1">_xll.BDH($C$553,"ACCOUNTS_RECEIVABLE_GROWTH","FQ3 2015","FQ3 2015","Currency=INR","Period=FQ","BEST_FPERIOD_OVERRIDE=FQ","FILING_STATUS=OR","EQY_CONSOLIDATED=Y","Sort=A","Dates=H","DateFormat=P","Fill=—","Direction=H","UseDPDF=Y")</f>
        <v>#NAME?</v>
      </c>
      <c r="AA561" s="2" t="e">
        <f ca="1">_xll.BDH($C$553,"INVENTORY_GROWTH","FQ3 2015","FQ3 2015","Currency=INR","Period=FQ","BEST_FPERIOD_OVERRIDE=FQ","FILING_STATUS=OR","EQY_CONSOLIDATED=Y","Sort=A","Dates=H","DateFormat=P","Fill=—","Direction=H","UseDPDF=Y")</f>
        <v>#NAME?</v>
      </c>
      <c r="AB561" s="2" t="e">
        <f ca="1">_xll.BDH($C$553,"NET_FIXED_ASSETS_1_YEAR_GROWTH","FQ3 2015","FQ3 2015","Currency=INR","Period=FQ","BEST_FPERIOD_OVERRIDE=FQ","FILING_STATUS=OR","EQY_CONSOLIDATED=Y","Sort=A","Dates=H","DateFormat=P","Fill=—","Direction=H","UseDPDF=Y")</f>
        <v>#NAME?</v>
      </c>
      <c r="AC561" s="2" t="e">
        <f ca="1">_xll.BDH($C$553,"ASSET_GROWTH","FQ3 2015","FQ3 2015","Currency=INR","Period=FQ","BEST_FPERIOD_OVERRIDE=FQ","FILING_STATUS=OR","EQY_CONSOLIDATED=Y","Sort=A","Dates=H","DateFormat=P","Fill=—","Direction=H","UseDPDF=Y")</f>
        <v>#NAME?</v>
      </c>
      <c r="AD561" s="2" t="e">
        <f ca="1">_xll.BDH($C$553,"MODIFIED_WORK_CAP_GROWTH","FQ3 2015","FQ3 2015","Currency=INR","Period=FQ","BEST_FPERIOD_OVERRIDE=FQ","FILING_STATUS=OR","EQY_CONSOLIDATED=Y","Sort=A","Dates=H","DateFormat=P","Fill=—","Direction=H","UseDPDF=Y")</f>
        <v>#NAME?</v>
      </c>
      <c r="AE561" s="2" t="e">
        <f ca="1">_xll.BDH($C$553,"WORK_CAP_GROWTH","FQ3 2015","FQ3 2015","Currency=INR","Period=FQ","BEST_FPERIOD_OVERRIDE=FQ","FILING_STATUS=OR","EQY_CONSOLIDATED=Y","Sort=A","Dates=H","DateFormat=P","Fill=—","Direction=H","UseDPDF=Y")</f>
        <v>#NAME?</v>
      </c>
      <c r="AF561" s="2" t="e">
        <f ca="1">_xll.BDH($C$553,"ACCOUNTS_PAYABLE_GROWTH_1YR","FQ3 2015","FQ3 2015","Currency=INR","Period=FQ","BEST_FPERIOD_OVERRIDE=FQ","FILING_STATUS=OR","EQY_CONSOLIDATED=Y","Sort=A","Dates=H","DateFormat=P","Fill=—","Direction=H","UseDPDF=Y")</f>
        <v>#NAME?</v>
      </c>
      <c r="AG561" s="2" t="e">
        <f ca="1">_xll.BDH($C$553,"SHORT_TERM_DEBT_1_YEAR_GROWTH","FQ3 2015","FQ3 2015","Currency=INR","Period=FQ","BEST_FPERIOD_OVERRIDE=FQ","FILING_STATUS=OR","EQY_CONSOLIDATED=Y","Sort=A","Dates=H","DateFormat=P","Fill=—","Direction=H","UseDPDF=Y")</f>
        <v>#NAME?</v>
      </c>
      <c r="AH561" s="2" t="e">
        <f ca="1">_xll.BDH($C$553,"TOTAL_DEBT_1_YEAR_GROWTH","FQ3 2015","FQ3 2015","Currency=INR","Period=FQ","BEST_FPERIOD_OVERRIDE=FQ","FILING_STATUS=OR","EQY_CONSOLIDATED=Y","Sort=A","Dates=H","DateFormat=P","Fill=—","Direction=H","UseDPDF=Y")</f>
        <v>#NAME?</v>
      </c>
      <c r="AI561" s="2" t="e">
        <f ca="1">_xll.BDH($C$553,"TOTAL_EQUITY_1_YEAR_GROWTH","FQ3 2015","FQ3 2015","Currency=INR","Period=FQ","BEST_FPERIOD_OVERRIDE=FQ","FILING_STATUS=OR","EQY_CONSOLIDATED=Y","Sort=A","Dates=H","DateFormat=P","Fill=—","Direction=H","UseDPDF=Y")</f>
        <v>#NAME?</v>
      </c>
      <c r="AJ561" s="2" t="e">
        <f ca="1">_xll.BDH($C$553,"GROWTH_IN_CAP","FQ3 2015","FQ3 2015","Currency=INR","Period=FQ","BEST_FPERIOD_OVERRIDE=FQ","FILING_STATUS=OR","EQY_CONSOLIDATED=Y","Sort=A","Dates=H","DateFormat=P","Fill=—","Direction=H","UseDPDF=Y")</f>
        <v>#NAME?</v>
      </c>
      <c r="AK561" s="2" t="e">
        <f ca="1">_xll.BDH($C$553,"BVPS_GROWTH","FQ3 2015","FQ3 2015","Currency=INR","Period=FQ","BEST_FPERIOD_OVERRIDE=FQ","FILING_STATUS=OR","EQY_CONSOLIDATED=Y","Sort=A","Dates=H","DateFormat=P","Fill=—","Direction=H","UseDPDF=Y")</f>
        <v>#NAME?</v>
      </c>
      <c r="AL561" s="2" t="e">
        <f ca="1">_xll.BDH($C$553,"CASH_FLOW_GROWTH","FQ3 2015","FQ3 2015","Currency=INR","Period=FQ","BEST_FPERIOD_OVERRIDE=FQ","FILING_STATUS=OR","EQY_CONSOLIDATED=Y","Sort=A","Dates=H","DateFormat=P","Fill=—","Direction=H","UseDPDF=Y")</f>
        <v>#NAME?</v>
      </c>
      <c r="AM561" s="2" t="e">
        <f ca="1">_xll.BDH($C$553,"GEO_GROW_NET_SALES","FQ3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61" s="2" t="e">
        <f ca="1">_xll.BDH($C$553,"GEO_GROW_EBITDA","FQ3 2015","FQ3 2015","Currency=INR","Period=FQ","BEST_FPERIOD_OVERRIDE=FQ","FILING_STATUS=OR","EQY_CONSOLIDATED=Y","FA_ADJUSTED=GAAP","Sort=A","Dates=H","DateFormat=P","Fill=—","Direction=H","UseDPDF=Y")</f>
        <v>#NAME?</v>
      </c>
      <c r="AO561" s="2" t="e">
        <f ca="1">_xll.BDH($C$553,"GEO_GROW_OPER_INC","FQ3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61" s="2" t="e">
        <f ca="1">_xll.BDH($C$553,"NET_INCOME_TO_COMMON_5_YR_GROWTH","FQ3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61" s="2" t="e">
        <f ca="1">_xll.BDH($C$553,"5Y_GEO_GROWTH_DILUTED_EPS","FQ3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61" s="2" t="e">
        <f ca="1">_xll.BDH($C$553,"GEO_GROW_DVD_PER_SH","FQ3 2015","FQ3 2015","Currency=INR","Period=FQ","BEST_FPERIOD_OVERRIDE=FQ","FILING_STATUS=OR","EQY_CONSOLIDATED=Y","Sort=A","Dates=H","DateFormat=P","Fill=—","Direction=H","UseDPDF=Y")</f>
        <v>#NAME?</v>
      </c>
      <c r="AS561" s="2" t="e">
        <f ca="1">_xll.BDH($C$553,"ACCOUNTS_RECEIVABLE_5_YR_GROWTH","FQ3 2015","FQ3 2015","Currency=INR","Period=FQ","BEST_FPERIOD_OVERRIDE=FQ","FILING_STATUS=OR","EQY_CONSOLIDATED=Y","Sort=A","Dates=H","DateFormat=P","Fill=—","Direction=H","UseDPDF=Y")</f>
        <v>#NAME?</v>
      </c>
      <c r="AT561" s="2" t="e">
        <f ca="1">_xll.BDH($C$553,"INVENTORY_5_YEAR_GROWTH","FQ3 2015","FQ3 2015","Currency=INR","Period=FQ","BEST_FPERIOD_OVERRIDE=FQ","FILING_STATUS=OR","EQY_CONSOLIDATED=Y","Sort=A","Dates=H","DateFormat=P","Fill=—","Direction=H","UseDPDF=Y")</f>
        <v>#NAME?</v>
      </c>
      <c r="AU561" s="2" t="e">
        <f ca="1">_xll.BDH($C$553,"NET_FIXED_ASSETS_5_YEAR_GROWTH","FQ3 2015","FQ3 2015","Currency=INR","Period=FQ","BEST_FPERIOD_OVERRIDE=FQ","FILING_STATUS=OR","EQY_CONSOLIDATED=Y","Sort=A","Dates=H","DateFormat=P","Fill=—","Direction=H","UseDPDF=Y")</f>
        <v>#NAME?</v>
      </c>
      <c r="AV561" s="2" t="e">
        <f ca="1">_xll.BDH($C$553,"GEO_GROW_TOT_ASSET","FQ3 2015","FQ3 2015","Currency=INR","Period=FQ","BEST_FPERIOD_OVERRIDE=FQ","FILING_STATUS=OR","EQY_CONSOLIDATED=Y","Sort=A","Dates=H","DateFormat=P","Fill=—","Direction=H","UseDPDF=Y")</f>
        <v>#NAME?</v>
      </c>
      <c r="AW561" s="2" t="e">
        <f ca="1">_xll.BDH($C$553,"MODIFIED_WORKING_CPTL_5YR_GRWTH","FQ3 2015","FQ3 2015","Currency=INR","Period=FQ","BEST_FPERIOD_OVERRIDE=FQ","FILING_STATUS=OR","EQY_CONSOLIDATED=Y","Sort=A","Dates=H","DateFormat=P","Fill=—","Direction=H","UseDPDF=Y")</f>
        <v>#NAME?</v>
      </c>
      <c r="AX561" s="2" t="e">
        <f ca="1">_xll.BDH($C$553,"WORKING_CAPITAL_5_YEAR_GROWTH","FQ3 2015","FQ3 2015","Currency=INR","Period=FQ","BEST_FPERIOD_OVERRIDE=FQ","FILING_STATUS=OR","EQY_CONSOLIDATED=Y","Sort=A","Dates=H","DateFormat=P","Fill=—","Direction=H","UseDPDF=Y")</f>
        <v>#NAME?</v>
      </c>
      <c r="AY561" s="2" t="e">
        <f ca="1">_xll.BDH($C$553,"ACCOUNTS_PAYABLE_5_YEAR_GROWTH","FQ3 2015","FQ3 2015","Currency=INR","Period=FQ","BEST_FPERIOD_OVERRIDE=FQ","FILING_STATUS=OR","EQY_CONSOLIDATED=Y","Sort=A","Dates=H","DateFormat=P","Fill=—","Direction=H","UseDPDF=Y")</f>
        <v>#NAME?</v>
      </c>
      <c r="AZ561" s="2" t="e">
        <f ca="1">_xll.BDH($C$553,"SHORT_TERM_DEBT_5_YEAR_GROWTH","FQ3 2015","FQ3 2015","Currency=INR","Period=FQ","BEST_FPERIOD_OVERRIDE=FQ","FILING_STATUS=OR","EQY_CONSOLIDATED=Y","Sort=A","Dates=H","DateFormat=P","Fill=—","Direction=H","UseDPDF=Y")</f>
        <v>#NAME?</v>
      </c>
      <c r="BA561" s="2" t="e">
        <f ca="1">_xll.BDH($C$553,"TOTAL_DEBT_5_YEAR_GROWTH","FQ3 2015","FQ3 2015","Currency=INR","Period=FQ","BEST_FPERIOD_OVERRIDE=FQ","FILING_STATUS=OR","EQY_CONSOLIDATED=Y","Sort=A","Dates=H","DateFormat=P","Fill=—","Direction=H","UseDPDF=Y")</f>
        <v>#NAME?</v>
      </c>
      <c r="BB561" s="2" t="e">
        <f ca="1">_xll.BDH($C$553,"GEO_GROW_TOT_SHRHLDR_EQY","FQ3 2015","FQ3 2015","Currency=INR","Period=FQ","BEST_FPERIOD_OVERRIDE=FQ","FILING_STATUS=OR","EQY_CONSOLIDATED=Y","Sort=A","Dates=H","DateFormat=P","Fill=—","Direction=H","UseDPDF=Y")</f>
        <v>#NAME?</v>
      </c>
      <c r="BC561" s="2" t="e">
        <f ca="1">_xll.BDH($C$553,"TOTAL_CAPITAL_5_YEAR_GROWTH","FQ3 2015","FQ3 2015","Currency=INR","Period=FQ","BEST_FPERIOD_OVERRIDE=FQ","FILING_STATUS=OR","EQY_CONSOLIDATED=Y","Sort=A","Dates=H","DateFormat=P","Fill=—","Direction=H","UseDPDF=Y")</f>
        <v>#NAME?</v>
      </c>
      <c r="BD561" s="2" t="e">
        <f ca="1">_xll.BDH($C$553,"GEO_GROW_BOOK_VAL","FQ3 2015","FQ3 2015","Currency=INR","Period=FQ","BEST_FPERIOD_OVERRIDE=FQ","FILING_STATUS=OR","EQY_CONSOLIDATED=Y","Sort=A","Dates=H","DateFormat=P","Fill=—","Direction=H","UseDPDF=Y")</f>
        <v>#NAME?</v>
      </c>
      <c r="BE561" s="2" t="e">
        <f ca="1">_xll.BDH($C$553,"GEO_GROW_CASH_OPER_ACT","FQ3 2015","FQ3 2015","Currency=INR","Period=FQ","BEST_FPERIOD_OVERRIDE=FQ","FILING_STATUS=OR","EQY_CONSOLIDATED=Y","Sort=A","Dates=H","DateFormat=P","Fill=—","Direction=H","UseDPDF=Y")</f>
        <v>#NAME?</v>
      </c>
      <c r="BF561" s="2" t="e">
        <f ca="1">_xll.BDH($C$553,"REVENUE_SEQUENTIAL_GROWTH","FQ3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61" s="2" t="e">
        <f ca="1">_xll.BDH($C$553,"EBITDA_SEQUENTIAL_GROWTH","FQ3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61" s="2" t="e">
        <f ca="1">_xll.BDH($C$553,"OPERATING_INCOME_SEQ_GROWTH","FQ3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61" s="2" t="e">
        <f ca="1">_xll.BDH($C$553,"NET_INCOME_TO_COMMON_SEQ_GROWTH","FQ3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61" s="2" t="e">
        <f ca="1">_xll.BDH($C$553,"EPS_DILUTED_SEQUENTIAL_GROWTH","FQ3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61" s="2" t="e">
        <f ca="1">_xll.BDH($C$553,"DPS_SEQUENTIAL_GROWTH","FQ3 2015","FQ3 2015","Currency=INR","Period=FQ","BEST_FPERIOD_OVERRIDE=FQ","FILING_STATUS=OR","EQY_CONSOLIDATED=Y","Sort=A","Dates=H","DateFormat=P","Fill=—","Direction=H","UseDPDF=Y")</f>
        <v>#NAME?</v>
      </c>
      <c r="BL561" s="2" t="e">
        <f ca="1">_xll.BDH($C$553,"ACCOUNTS_RECEIVABLE_SEQ_GROWTH","FQ3 2015","FQ3 2015","Currency=INR","Period=FQ","BEST_FPERIOD_OVERRIDE=FQ","FILING_STATUS=OR","EQY_CONSOLIDATED=Y","Sort=A","Dates=H","DateFormat=P","Fill=—","Direction=H","UseDPDF=Y")</f>
        <v>#NAME?</v>
      </c>
      <c r="BM561" s="2" t="e">
        <f ca="1">_xll.BDH($C$553,"INVENTORY_SEQUENTIAL_GROWTH","FQ3 2015","FQ3 2015","Currency=INR","Period=FQ","BEST_FPERIOD_OVERRIDE=FQ","FILING_STATUS=OR","EQY_CONSOLIDATED=Y","Sort=A","Dates=H","DateFormat=P","Fill=—","Direction=H","UseDPDF=Y")</f>
        <v>#NAME?</v>
      </c>
      <c r="BN561" s="2" t="e">
        <f ca="1">_xll.BDH($C$553,"FIXED_ASSETS_SEQUENTIAL_GROWTH","FQ3 2015","FQ3 2015","Currency=INR","Period=FQ","BEST_FPERIOD_OVERRIDE=FQ","FILING_STATUS=OR","EQY_CONSOLIDATED=Y","Sort=A","Dates=H","DateFormat=P","Fill=—","Direction=H","UseDPDF=Y")</f>
        <v>#NAME?</v>
      </c>
      <c r="BO561" s="2" t="e">
        <f ca="1">_xll.BDH($C$553,"TOTAL_ASSETS_SEQUENTIAL_GROWTH","FQ3 2015","FQ3 2015","Currency=INR","Period=FQ","BEST_FPERIOD_OVERRIDE=FQ","FILING_STATUS=OR","EQY_CONSOLIDATED=Y","Sort=A","Dates=H","DateFormat=P","Fill=—","Direction=H","UseDPDF=Y")</f>
        <v>#NAME?</v>
      </c>
      <c r="BP561" s="2" t="e">
        <f ca="1">_xll.BDH($C$553,"MODIFIED_WORKING_CPTL_SEQ_GRWTH","FQ3 2015","FQ3 2015","Currency=INR","Period=FQ","BEST_FPERIOD_OVERRIDE=FQ","FILING_STATUS=OR","EQY_CONSOLIDATED=Y","Sort=A","Dates=H","DateFormat=P","Fill=—","Direction=H","UseDPDF=Y")</f>
        <v>#NAME?</v>
      </c>
      <c r="BQ561" s="2" t="e">
        <f ca="1">_xll.BDH($C$553,"WORKING_CAPITAL_SEQ_GROWTH","FQ3 2015","FQ3 2015","Currency=INR","Period=FQ","BEST_FPERIOD_OVERRIDE=FQ","FILING_STATUS=OR","EQY_CONSOLIDATED=Y","Sort=A","Dates=H","DateFormat=P","Fill=—","Direction=H","UseDPDF=Y")</f>
        <v>#NAME?</v>
      </c>
      <c r="BR561" s="2" t="e">
        <f ca="1">_xll.BDH($C$553,"ACCOUNTS_PAYABLE_SEQ_GROWTH","FQ3 2015","FQ3 2015","Currency=INR","Period=FQ","BEST_FPERIOD_OVERRIDE=FQ","FILING_STATUS=OR","EQY_CONSOLIDATED=Y","Sort=A","Dates=H","DateFormat=P","Fill=—","Direction=H","UseDPDF=Y")</f>
        <v>#NAME?</v>
      </c>
      <c r="BS561" s="2" t="e">
        <f ca="1">_xll.BDH($C$553,"ST_DEBT_SEQUENTIAL_GROWTH","FQ3 2015","FQ3 2015","Currency=INR","Period=FQ","BEST_FPERIOD_OVERRIDE=FQ","FILING_STATUS=OR","EQY_CONSOLIDATED=Y","Sort=A","Dates=H","DateFormat=P","Fill=—","Direction=H","UseDPDF=Y")</f>
        <v>#NAME?</v>
      </c>
      <c r="BT561" s="2" t="e">
        <f ca="1">_xll.BDH($C$553,"TOTAL_DEBT_SEQUENTIAL_GROWTH","FQ3 2015","FQ3 2015","Currency=INR","Period=FQ","BEST_FPERIOD_OVERRIDE=FQ","FILING_STATUS=OR","EQY_CONSOLIDATED=Y","Sort=A","Dates=H","DateFormat=P","Fill=—","Direction=H","UseDPDF=Y")</f>
        <v>#NAME?</v>
      </c>
      <c r="BU561" s="2" t="e">
        <f ca="1">_xll.BDH($C$553,"TOTAL_EQUITY_SEQUENTIAL_GROWTH","FQ3 2015","FQ3 2015","Currency=INR","Period=FQ","BEST_FPERIOD_OVERRIDE=FQ","FILING_STATUS=OR","EQY_CONSOLIDATED=Y","Sort=A","Dates=H","DateFormat=P","Fill=—","Direction=H","UseDPDF=Y")</f>
        <v>#NAME?</v>
      </c>
      <c r="BV561" s="2" t="e">
        <f ca="1">_xll.BDH($C$553,"TOTAL_CAPITAL_SEQUENTIAL_GROWTH","FQ3 2015","FQ3 2015","Currency=INR","Period=FQ","BEST_FPERIOD_OVERRIDE=FQ","FILING_STATUS=OR","EQY_CONSOLIDATED=Y","Sort=A","Dates=H","DateFormat=P","Fill=—","Direction=H","UseDPDF=Y")</f>
        <v>#NAME?</v>
      </c>
      <c r="BW561" s="2" t="e">
        <f ca="1">_xll.BDH($C$553,"BPS_SEQUENTIAL_GROWTH","FQ3 2015","FQ3 2015","Currency=INR","Period=FQ","BEST_FPERIOD_OVERRIDE=FQ","FILING_STATUS=OR","EQY_CONSOLIDATED=Y","Sort=A","Dates=H","DateFormat=P","Fill=—","Direction=H","UseDPDF=Y")</f>
        <v>#NAME?</v>
      </c>
      <c r="BX561" s="2" t="e">
        <f ca="1">_xll.BDH($C$553,"CFO_SEQUENTIAL_GROWTH","FQ3 2015","FQ3 2015","Currency=INR","Period=FQ","BEST_FPERIOD_OVERRIDE=FQ","FILING_STATUS=OR","EQY_CONSOLIDATED=Y","Sort=A","Dates=H","DateFormat=P","Fill=—","Direction=H","UseDPDF=Y")</f>
        <v>#NAME?</v>
      </c>
      <c r="BY561" s="3" t="e">
        <f ca="1">_xll.BDH($C$553,"SHORT_AND_LONG_TERM_DEBT","FQ3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61" s="3" t="e">
        <f ca="1">_xll.BDH($C$553,"BS_ST_BORROW","FQ3 2015","FQ3 2015","Currency=INR","Period=FQ","BEST_FPERIOD_OVERRIDE=FQ","FILING_STATUS=OR","EQY_CONSOLIDATED=Y","SCALING_FORMAT=MLN","Sort=A","Dates=H","DateFormat=P","Fill=—","Direction=H","UseDPDF=Y")</f>
        <v>#NAME?</v>
      </c>
      <c r="CA561" s="3" t="e">
        <f ca="1">_xll.BDH($C$553,"BS_LT_BORROW","FQ3 2015","FQ3 2015","Currency=INR","Period=FQ","BEST_FPERIOD_OVERRIDE=FQ","FILING_STATUS=OR","EQY_CONSOLIDATED=Y","SCALING_FORMAT=MLN","Sort=A","Dates=H","DateFormat=P","Fill=—","Direction=H","UseDPDF=Y")</f>
        <v>#NAME?</v>
      </c>
      <c r="CB561" s="2" t="e">
        <f ca="1">_xll.BDH($C$553,"TOT_DEBT_TO_EBITDA","FQ3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61" s="2" t="e">
        <f ca="1">_xll.BDH($C$553,"NET_DEBT_TO_EBITDA","FQ3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61" s="2" t="e">
        <f ca="1">_xll.BDH($C$553,"TOTAL_DEBT_TO_EBIT","FQ3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61" s="2" t="e">
        <f ca="1">_xll.BDH($C$553,"NET_DEBT_TO_EBIT","FQ3 2015","FQ3 2015","Currency=INR","Period=FQ","BEST_FPERIOD_OVERRIDE=FQ","FILING_STATUS=OR","EQY_CONSOLIDATED=Y","FA_ADJUSTED=GAAP","Sort=A","Dates=H","DateFormat=P","Fill=—","Direction=H","UseDPDF=Y")</f>
        <v>#NAME?</v>
      </c>
      <c r="CF561" s="2" t="e">
        <f ca="1">_xll.BDH($C$553,"EBITDA_TO_INTEREST_EXPN","FQ3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61" s="2" t="e">
        <f ca="1">_xll.BDH($C$553,"COM_EQY_TO_TOT_ASSET","FQ3 2015","FQ3 2015","Currency=INR","Period=FQ","BEST_FPERIOD_OVERRIDE=FQ","FILING_STATUS=OR","EQY_CONSOLIDATED=Y","Sort=A","Dates=H","DateFormat=P","Fill=—","Direction=H","UseDPDF=Y")</f>
        <v>#NAME?</v>
      </c>
      <c r="CH561" s="2" t="e">
        <f ca="1">_xll.BDH($C$553,"LT_DEBT_TO_TOT_EQY","FQ3 2015","FQ3 2015","Currency=INR","Period=FQ","BEST_FPERIOD_OVERRIDE=FQ","FILING_STATUS=OR","EQY_CONSOLIDATED=Y","Sort=A","Dates=H","DateFormat=P","Fill=—","Direction=H","UseDPDF=Y")</f>
        <v>#NAME?</v>
      </c>
      <c r="CI561" s="2" t="e">
        <f ca="1">_xll.BDH($C$553,"LT_DEBT_TO_TOT_CAP","FQ3 2015","FQ3 2015","Currency=INR","Period=FQ","BEST_FPERIOD_OVERRIDE=FQ","FILING_STATUS=OR","EQY_CONSOLIDATED=Y","Sort=A","Dates=H","DateFormat=P","Fill=—","Direction=H","UseDPDF=Y")</f>
        <v>#NAME?</v>
      </c>
      <c r="CJ561" s="2" t="e">
        <f ca="1">_xll.BDH($C$553,"LT_DEBT_TO_TOT_ASSET","FQ3 2015","FQ3 2015","Currency=INR","Period=FQ","BEST_FPERIOD_OVERRIDE=FQ","FILING_STATUS=OR","EQY_CONSOLIDATED=Y","Sort=A","Dates=H","DateFormat=P","Fill=—","Direction=H","UseDPDF=Y")</f>
        <v>#NAME?</v>
      </c>
      <c r="CK561" s="2" t="e">
        <f ca="1">_xll.BDH($C$553,"TOT_DEBT_TO_TOT_EQY","FQ3 2015","FQ3 2015","Currency=INR","Period=FQ","BEST_FPERIOD_OVERRIDE=FQ","FILING_STATUS=OR","EQY_CONSOLIDATED=Y","Sort=A","Dates=H","DateFormat=P","Fill=—","Direction=H","UseDPDF=Y")</f>
        <v>#NAME?</v>
      </c>
      <c r="CL561" s="2" t="e">
        <f ca="1">_xll.BDH($C$553,"TOT_DEBT_TO_TOT_CAP","FQ3 2015","FQ3 2015","Currency=INR","Period=FQ","BEST_FPERIOD_OVERRIDE=FQ","FILING_STATUS=OR","EQY_CONSOLIDATED=Y","Sort=A","Dates=H","DateFormat=P","Fill=—","Direction=H","UseDPDF=Y")</f>
        <v>#NAME?</v>
      </c>
      <c r="CM561" s="2" t="e">
        <f ca="1">_xll.BDH($C$553,"TOT_DEBT_TO_TOT_ASSET","FQ3 2015","FQ3 2015","Currency=INR","Period=FQ","BEST_FPERIOD_OVERRIDE=FQ","FILING_STATUS=OR","EQY_CONSOLIDATED=Y","Sort=A","Dates=H","DateFormat=P","Fill=—","Direction=H","UseDPDF=Y")</f>
        <v>#NAME?</v>
      </c>
      <c r="CN561" s="2" t="e">
        <f ca="1">_xll.BDH($C$553,"NET_DEBT_TO_SHRHLDR_EQTY","FQ3 2015","FQ3 2015","Currency=INR","Period=FQ","BEST_FPERIOD_OVERRIDE=FQ","FILING_STATUS=OR","EQY_CONSOLIDATED=Y","Sort=A","Dates=H","DateFormat=P","Fill=—","Direction=H","UseDPDF=Y")</f>
        <v>#NAME?</v>
      </c>
      <c r="CO561" s="2" t="e">
        <f ca="1">_xll.BDH($C$553,"NET_DEBT_%_CAPITAL","FQ3 2015","FQ3 2015","Currency=INR","Period=FQ","BEST_FPERIOD_OVERRIDE=FQ","FILING_STATUS=OR","EQY_CONSOLIDATED=Y","Sort=A","Dates=H","DateFormat=P","Fill=—","Direction=H","UseDPDF=Y")</f>
        <v>#NAME?</v>
      </c>
      <c r="CP561" s="3" t="e">
        <f ca="1">_xll.BDH($C$553,"EBITDA","FQ3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61" s="3" t="e">
        <f ca="1">_xll.BDH($C$553,"EBITDA_AFTER_CAPEX","FQ3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61" s="3" t="e">
        <f ca="1">_xll.BDH($C$553,"IS_OPER_INC","FQ3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61" s="2" t="e">
        <f ca="1">_xll.BDH($C$553,"CASH_RATIO","FQ3 2015","FQ3 2015","Currency=INR","Period=FQ","BEST_FPERIOD_OVERRIDE=FQ","FILING_STATUS=OR","EQY_CONSOLIDATED=Y","Sort=A","Dates=H","DateFormat=P","Fill=—","Direction=H","UseDPDF=Y")</f>
        <v>#NAME?</v>
      </c>
      <c r="CT561" s="2" t="e">
        <f ca="1">_xll.BDH($C$553,"CUR_RATIO","FQ3 2015","FQ3 2015","Currency=INR","Period=FQ","BEST_FPERIOD_OVERRIDE=FQ","FILING_STATUS=OR","EQY_CONSOLIDATED=Y","Sort=A","Dates=H","DateFormat=P","Fill=—","Direction=H","UseDPDF=Y")</f>
        <v>#NAME?</v>
      </c>
      <c r="CU561" s="2" t="e">
        <f ca="1">_xll.BDH($C$553,"QUICK_RATIO","FQ3 2015","FQ3 2015","Currency=INR","Period=FQ","BEST_FPERIOD_OVERRIDE=FQ","FILING_STATUS=OR","EQY_CONSOLIDATED=Y","Sort=A","Dates=H","DateFormat=P","Fill=—","Direction=H","UseDPDF=Y")</f>
        <v>#NAME?</v>
      </c>
      <c r="CV561" s="2" t="e">
        <f ca="1">_xll.BDH($C$553,"ALTMAN_Z_SCORE","FQ3 2015","FQ3 2015","Currency=INR","Period=FQ","BEST_FPERIOD_OVERRIDE=FQ","FILING_STATUS=OR","EQY_CONSOLIDATED=Y","Sort=A","Dates=H","DateFormat=P","Fill=—","Direction=H","UseDPDF=Y")</f>
        <v>#NAME?</v>
      </c>
      <c r="CW561" s="4" t="e">
        <f ca="1">_xll.BDH($C$553,"ACCT_RCV_TURN","FQ3 2015","FQ3 2015","Currency=INR","Period=FQ","BEST_FPERIOD_OVERRIDE=FQ","FILING_STATUS=OR","EQY_CONSOLIDATED=Y","FA_ADJUSTED=GAAP","Sort=A","Dates=H","DateFormat=P","Fill=—","Direction=H","UseDPDF=Y")</f>
        <v>#NAME?</v>
      </c>
      <c r="CX561" s="2" t="e">
        <f ca="1">_xll.BDH($C$553,"ACCT_RCV_DAYS","FQ3 2015","FQ3 2015","Currency=INR","Period=FQ","BEST_FPERIOD_OVERRIDE=FQ","FILING_STATUS=OR","EQY_CONSOLIDATED=Y","FA_ADJUSTED=GAAP","Sort=A","Dates=H","DateFormat=P","Fill=—","Direction=H","UseDPDF=Y")</f>
        <v>#NAME?</v>
      </c>
      <c r="CY561" s="4" t="e">
        <f ca="1">_xll.BDH($C$553,"INVENT_TURN","FQ3 2015","FQ3 2015","Currency=INR","Period=FQ","BEST_FPERIOD_OVERRIDE=FQ","FILING_STATUS=OR","EQY_CONSOLIDATED=Y","FA_ADJUSTED=GAAP","Sort=A","Dates=H","DateFormat=P","Fill=—","Direction=H","UseDPDF=Y")</f>
        <v>#NAME?</v>
      </c>
      <c r="CZ561" s="2" t="e">
        <f ca="1">_xll.BDH($C$553,"INVENT_DAYS","FQ3 2015","FQ3 2015","Currency=INR","Period=FQ","BEST_FPERIOD_OVERRIDE=FQ","FILING_STATUS=OR","EQY_CONSOLIDATED=Y","FA_ADJUSTED=GAAP","Sort=A","Dates=H","DateFormat=P","Fill=—","Direction=H","UseDPDF=Y")</f>
        <v>#NAME?</v>
      </c>
      <c r="DA561" s="4" t="e">
        <f ca="1">_xll.BDH($C$553,"ACCOUNTS_PAYABLE_TURNOVER","FQ3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61" s="2" t="e">
        <f ca="1">_xll.BDH($C$553,"ACCOUNTS_PAYABLE_TURNOVER_DAYS","FQ3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61" s="4" t="e">
        <f ca="1">_xll.BDH($C$553,"CASH_CONVERSION_CYCLE","FQ3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61" s="4" t="e">
        <f ca="1">_xll.BDH($C$553,"INV_TO_CASH_DAYS","FQ3 2015","FQ3 2015","Currency=INR","Period=FQ","BEST_FPERIOD_OVERRIDE=FQ","FILING_STATUS=OR","EQY_CONSOLIDATED=Y","FA_ADJUSTED=GAAP","Sort=A","Dates=H","DateFormat=P","Fill=—","Direction=H","UseDPDF=Y")</f>
        <v>#NAME?</v>
      </c>
      <c r="DE561" s="5" t="e">
        <f ca="1">_xll.BDH($C$553,"BS_INVENTORIES","FQ3 2015","FQ3 2015","Currency=INR","Period=FQ","BEST_FPERIOD_OVERRIDE=FQ","FILING_STATUS=OR","EQY_CONSOLIDATED=Y","SCALING_FORMAT=MLN","Sort=A","Dates=H","DateFormat=P","Fill=—","Direction=H","UseDPDF=Y")</f>
        <v>#NAME?</v>
      </c>
      <c r="DF561" s="3" t="e">
        <f ca="1">_xll.BDH($C$553,"INVTRY_RAW_MATERIALS","FQ3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61" s="3" t="e">
        <f ca="1">_xll.BDH($C$553,"INVTRY_IN_PROGRESS","FQ3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61" s="3" t="e">
        <f ca="1">_xll.BDH($C$553,"INVTRY_FINISHED_GOODS","FQ3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61" s="3" t="e">
        <f ca="1">_xll.BDH($C$553,"BS_OTHER_INV","FQ3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62" spans="1:113" x14ac:dyDescent="0.3">
      <c r="A562" s="6"/>
      <c r="B562" s="6"/>
      <c r="C562" s="6"/>
      <c r="D562" s="6"/>
      <c r="E562" t="s">
        <v>81</v>
      </c>
      <c r="F562" t="e">
        <f ca="1">_xll.BDH($C$553,"RETURN_COM_EQY","FQ4 2015","FQ4 2015","Currency=INR","Period=FQ","BEST_FPERIOD_OVERRIDE=FQ","FILING_STATUS=OR","EQY_CONSOLIDATED=Y","FA_ADJUSTED=GAAP","Sort=A","Dates=H","DateFormat=P","Fill=—","Direction=H","UseDPDF=Y")</f>
        <v>#NAME?</v>
      </c>
      <c r="G562" t="e">
        <f ca="1">_xll.BDH($C$553,"RETURN_ON_ASSET","FQ4 2015","FQ4 2015","Currency=INR","Period=FQ","BEST_FPERIOD_OVERRIDE=FQ","FILING_STATUS=OR","EQY_CONSOLIDATED=Y","FA_ADJUSTED=GAAP","Sort=A","Dates=H","DateFormat=P","Fill=—","Direction=H","UseDPDF=Y")</f>
        <v>#NAME?</v>
      </c>
      <c r="H562" t="e">
        <f ca="1">_xll.BDH($C$553,"RETURN_ON_CAP","FQ4 2015","FQ4 2015","Currency=INR","Period=FQ","BEST_FPERIOD_OVERRIDE=FQ","FILING_STATUS=OR","EQY_CONSOLIDATED=Y","FA_ADJUSTED=GAAP","Sort=A","Dates=H","DateFormat=P","Fill=—","Direction=H","UseDPDF=Y")</f>
        <v>#NAME?</v>
      </c>
      <c r="I562" t="e">
        <f ca="1">_xll.BDH($C$553,"RETURN_ON_INV_CAPITAL","FQ4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62" t="e">
        <f ca="1">_xll.BDH($C$553,"EBITDA_TO_REVENUE","FQ4 2015","FQ4 2015","Currency=INR","Period=FQ","BEST_FPERIOD_OVERRIDE=FQ","FILING_STATUS=OR","EQY_CONSOLIDATED=Y","FA_ADJUSTED=GAAP","Sort=A","Dates=H","DateFormat=P","Fill=—","Direction=H","UseDPDF=Y")</f>
        <v>#NAME?</v>
      </c>
      <c r="K562" t="e">
        <f ca="1">_xll.BDH($C$553,"OPER_MARGIN","FQ4 2015","FQ4 2015","Currency=INR","Period=FQ","BEST_FPERIOD_OVERRIDE=FQ","FILING_STATUS=OR","EQY_CONSOLIDATED=Y","FA_ADJUSTED=GAAP","Sort=A","Dates=H","DateFormat=P","Fill=—","Direction=H","UseDPDF=Y")</f>
        <v>#NAME?</v>
      </c>
      <c r="L562" t="e">
        <f ca="1">_xll.BDH($C$553,"INCREMENTAL_OPERATING_MARGIN","FQ4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62" t="e">
        <f ca="1">_xll.BDH($C$553,"PRETAX_INC_TO_NET_SALES","FQ4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62" t="e">
        <f ca="1">_xll.BDH($C$553,"INC_BEF_XO_ITEMS_TO_NET_SALES","FQ4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62" t="e">
        <f ca="1">_xll.BDH($C$553,"PROF_MARGIN","FQ4 2015","FQ4 2015","Currency=INR","Period=FQ","BEST_FPERIOD_OVERRIDE=FQ","FILING_STATUS=OR","EQY_CONSOLIDATED=Y","FA_ADJUSTED=GAAP","Sort=A","Dates=H","DateFormat=P","Fill=—","Direction=H","UseDPDF=Y")</f>
        <v>#NAME?</v>
      </c>
      <c r="P562" t="e">
        <f ca="1">_xll.BDH($C$553,"NET_INCOME_TO_COMMON_MARGIN","FQ4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62" t="e">
        <f ca="1">_xll.BDH($C$553,"EFF_TAX_RATE","FQ4 2015","FQ4 2015","Currency=INR","Period=FQ","BEST_FPERIOD_OVERRIDE=FQ","FILING_STATUS=OR","EQY_CONSOLIDATED=Y","FA_ADJUSTED=GAAP","Sort=A","Dates=H","DateFormat=P","Fill=—","Direction=H","UseDPDF=Y")</f>
        <v>#NAME?</v>
      </c>
      <c r="R562" t="e">
        <f ca="1">_xll.BDH($C$553,"DVD_PAYOUT_RATIO","FQ4 2015","FQ4 2015","Currency=INR","Period=FQ","BEST_FPERIOD_OVERRIDE=FQ","FILING_STATUS=OR","EQY_CONSOLIDATED=Y","FA_ADJUSTED=GAAP","Sort=A","Dates=H","DateFormat=P","Fill=—","Direction=H","UseDPDF=Y")</f>
        <v>#NAME?</v>
      </c>
      <c r="S562" t="e">
        <f ca="1">_xll.BDH($C$553,"SUSTAIN_GROWTH_RT","FQ4 2015","FQ4 2015","Currency=INR","Period=FQ","BEST_FPERIOD_OVERRIDE=FQ","FILING_STATUS=OR","EQY_CONSOLIDATED=Y","FA_ADJUSTED=GAAP","Sort=A","Dates=H","DateFormat=P","Fill=—","Direction=H","UseDPDF=Y")</f>
        <v>#NAME?</v>
      </c>
      <c r="T562" s="2" t="e">
        <f ca="1">_xll.BDH($C$553,"SALES_GROWTH","FQ4 2015","FQ4 2015","Currency=INR","Period=FQ","BEST_FPERIOD_OVERRIDE=FQ","FILING_STATUS=OR","EQY_CONSOLIDATED=Y","FA_ADJUSTED=GAAP","Sort=A","Dates=H","DateFormat=P","Fill=—","Direction=H","UseDPDF=Y")</f>
        <v>#NAME?</v>
      </c>
      <c r="U562" s="2" t="e">
        <f ca="1">_xll.BDH($C$553,"EBITDA_GROWTH","FQ4 2015","FQ4 2015","Currency=INR","Period=FQ","BEST_FPERIOD_OVERRIDE=FQ","FILING_STATUS=OR","EQY_CONSOLIDATED=Y","FA_ADJUSTED=GAAP","Sort=A","Dates=H","DateFormat=P","Fill=—","Direction=H","UseDPDF=Y")</f>
        <v>#NAME?</v>
      </c>
      <c r="V562" s="2" t="e">
        <f ca="1">_xll.BDH($C$553,"OPER_INC_GROWTH","FQ4 2015","FQ4 2015","Currency=INR","Period=FQ","BEST_FPERIOD_OVERRIDE=FQ","FILING_STATUS=OR","EQY_CONSOLIDATED=Y","FA_ADJUSTED=GAAP","Sort=A","Dates=H","DateFormat=P","Fill=—","Direction=H","UseDPDF=Y")</f>
        <v>#NAME?</v>
      </c>
      <c r="W562" s="2" t="e">
        <f ca="1">_xll.BDH($C$553,"EARN_FOR_COM_GROWTH","FQ4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62" s="2" t="e">
        <f ca="1">_xll.BDH($C$553,"DILUTED_EPS_AFT_XO_ITEMS_GROWTH","FQ4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62" s="2" t="e">
        <f ca="1">_xll.BDH($C$553,"DIVIDEND_PER_SHARE_1_YEAR_GROWTH","FQ4 2015","FQ4 2015","Currency=INR","Period=FQ","BEST_FPERIOD_OVERRIDE=FQ","FILING_STATUS=OR","EQY_CONSOLIDATED=Y","Sort=A","Dates=H","DateFormat=P","Fill=—","Direction=H","UseDPDF=Y")</f>
        <v>#NAME?</v>
      </c>
      <c r="Z562" s="2" t="e">
        <f ca="1">_xll.BDH($C$553,"ACCOUNTS_RECEIVABLE_GROWTH","FQ4 2015","FQ4 2015","Currency=INR","Period=FQ","BEST_FPERIOD_OVERRIDE=FQ","FILING_STATUS=OR","EQY_CONSOLIDATED=Y","Sort=A","Dates=H","DateFormat=P","Fill=—","Direction=H","UseDPDF=Y")</f>
        <v>#NAME?</v>
      </c>
      <c r="AA562" s="2" t="e">
        <f ca="1">_xll.BDH($C$553,"INVENTORY_GROWTH","FQ4 2015","FQ4 2015","Currency=INR","Period=FQ","BEST_FPERIOD_OVERRIDE=FQ","FILING_STATUS=OR","EQY_CONSOLIDATED=Y","Sort=A","Dates=H","DateFormat=P","Fill=—","Direction=H","UseDPDF=Y")</f>
        <v>#NAME?</v>
      </c>
      <c r="AB562" s="2" t="e">
        <f ca="1">_xll.BDH($C$553,"NET_FIXED_ASSETS_1_YEAR_GROWTH","FQ4 2015","FQ4 2015","Currency=INR","Period=FQ","BEST_FPERIOD_OVERRIDE=FQ","FILING_STATUS=OR","EQY_CONSOLIDATED=Y","Sort=A","Dates=H","DateFormat=P","Fill=—","Direction=H","UseDPDF=Y")</f>
        <v>#NAME?</v>
      </c>
      <c r="AC562" s="2" t="e">
        <f ca="1">_xll.BDH($C$553,"ASSET_GROWTH","FQ4 2015","FQ4 2015","Currency=INR","Period=FQ","BEST_FPERIOD_OVERRIDE=FQ","FILING_STATUS=OR","EQY_CONSOLIDATED=Y","Sort=A","Dates=H","DateFormat=P","Fill=—","Direction=H","UseDPDF=Y")</f>
        <v>#NAME?</v>
      </c>
      <c r="AD562" s="2" t="e">
        <f ca="1">_xll.BDH($C$553,"MODIFIED_WORK_CAP_GROWTH","FQ4 2015","FQ4 2015","Currency=INR","Period=FQ","BEST_FPERIOD_OVERRIDE=FQ","FILING_STATUS=OR","EQY_CONSOLIDATED=Y","Sort=A","Dates=H","DateFormat=P","Fill=—","Direction=H","UseDPDF=Y")</f>
        <v>#NAME?</v>
      </c>
      <c r="AE562" s="2" t="e">
        <f ca="1">_xll.BDH($C$553,"WORK_CAP_GROWTH","FQ4 2015","FQ4 2015","Currency=INR","Period=FQ","BEST_FPERIOD_OVERRIDE=FQ","FILING_STATUS=OR","EQY_CONSOLIDATED=Y","Sort=A","Dates=H","DateFormat=P","Fill=—","Direction=H","UseDPDF=Y")</f>
        <v>#NAME?</v>
      </c>
      <c r="AF562" s="2" t="e">
        <f ca="1">_xll.BDH($C$553,"ACCOUNTS_PAYABLE_GROWTH_1YR","FQ4 2015","FQ4 2015","Currency=INR","Period=FQ","BEST_FPERIOD_OVERRIDE=FQ","FILING_STATUS=OR","EQY_CONSOLIDATED=Y","Sort=A","Dates=H","DateFormat=P","Fill=—","Direction=H","UseDPDF=Y")</f>
        <v>#NAME?</v>
      </c>
      <c r="AG562" s="2" t="e">
        <f ca="1">_xll.BDH($C$553,"SHORT_TERM_DEBT_1_YEAR_GROWTH","FQ4 2015","FQ4 2015","Currency=INR","Period=FQ","BEST_FPERIOD_OVERRIDE=FQ","FILING_STATUS=OR","EQY_CONSOLIDATED=Y","Sort=A","Dates=H","DateFormat=P","Fill=—","Direction=H","UseDPDF=Y")</f>
        <v>#NAME?</v>
      </c>
      <c r="AH562" s="2" t="e">
        <f ca="1">_xll.BDH($C$553,"TOTAL_DEBT_1_YEAR_GROWTH","FQ4 2015","FQ4 2015","Currency=INR","Period=FQ","BEST_FPERIOD_OVERRIDE=FQ","FILING_STATUS=OR","EQY_CONSOLIDATED=Y","Sort=A","Dates=H","DateFormat=P","Fill=—","Direction=H","UseDPDF=Y")</f>
        <v>#NAME?</v>
      </c>
      <c r="AI562" s="2" t="e">
        <f ca="1">_xll.BDH($C$553,"TOTAL_EQUITY_1_YEAR_GROWTH","FQ4 2015","FQ4 2015","Currency=INR","Period=FQ","BEST_FPERIOD_OVERRIDE=FQ","FILING_STATUS=OR","EQY_CONSOLIDATED=Y","Sort=A","Dates=H","DateFormat=P","Fill=—","Direction=H","UseDPDF=Y")</f>
        <v>#NAME?</v>
      </c>
      <c r="AJ562" s="2" t="e">
        <f ca="1">_xll.BDH($C$553,"GROWTH_IN_CAP","FQ4 2015","FQ4 2015","Currency=INR","Period=FQ","BEST_FPERIOD_OVERRIDE=FQ","FILING_STATUS=OR","EQY_CONSOLIDATED=Y","Sort=A","Dates=H","DateFormat=P","Fill=—","Direction=H","UseDPDF=Y")</f>
        <v>#NAME?</v>
      </c>
      <c r="AK562" s="2" t="e">
        <f ca="1">_xll.BDH($C$553,"BVPS_GROWTH","FQ4 2015","FQ4 2015","Currency=INR","Period=FQ","BEST_FPERIOD_OVERRIDE=FQ","FILING_STATUS=OR","EQY_CONSOLIDATED=Y","Sort=A","Dates=H","DateFormat=P","Fill=—","Direction=H","UseDPDF=Y")</f>
        <v>#NAME?</v>
      </c>
      <c r="AL562" s="2" t="e">
        <f ca="1">_xll.BDH($C$553,"CASH_FLOW_GROWTH","FQ4 2015","FQ4 2015","Currency=INR","Period=FQ","BEST_FPERIOD_OVERRIDE=FQ","FILING_STATUS=OR","EQY_CONSOLIDATED=Y","Sort=A","Dates=H","DateFormat=P","Fill=—","Direction=H","UseDPDF=Y")</f>
        <v>#NAME?</v>
      </c>
      <c r="AM562" s="2" t="e">
        <f ca="1">_xll.BDH($C$553,"GEO_GROW_NET_SALES","FQ4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62" s="2" t="e">
        <f ca="1">_xll.BDH($C$553,"GEO_GROW_EBITDA","FQ4 2015","FQ4 2015","Currency=INR","Period=FQ","BEST_FPERIOD_OVERRIDE=FQ","FILING_STATUS=OR","EQY_CONSOLIDATED=Y","FA_ADJUSTED=GAAP","Sort=A","Dates=H","DateFormat=P","Fill=—","Direction=H","UseDPDF=Y")</f>
        <v>#NAME?</v>
      </c>
      <c r="AO562" s="2" t="e">
        <f ca="1">_xll.BDH($C$553,"GEO_GROW_OPER_INC","FQ4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62" s="2" t="e">
        <f ca="1">_xll.BDH($C$553,"NET_INCOME_TO_COMMON_5_YR_GROWTH","FQ4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62" s="2" t="e">
        <f ca="1">_xll.BDH($C$553,"5Y_GEO_GROWTH_DILUTED_EPS","FQ4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62" s="2" t="e">
        <f ca="1">_xll.BDH($C$553,"GEO_GROW_DVD_PER_SH","FQ4 2015","FQ4 2015","Currency=INR","Period=FQ","BEST_FPERIOD_OVERRIDE=FQ","FILING_STATUS=OR","EQY_CONSOLIDATED=Y","Sort=A","Dates=H","DateFormat=P","Fill=—","Direction=H","UseDPDF=Y")</f>
        <v>#NAME?</v>
      </c>
      <c r="AS562" s="2" t="e">
        <f ca="1">_xll.BDH($C$553,"ACCOUNTS_RECEIVABLE_5_YR_GROWTH","FQ4 2015","FQ4 2015","Currency=INR","Period=FQ","BEST_FPERIOD_OVERRIDE=FQ","FILING_STATUS=OR","EQY_CONSOLIDATED=Y","Sort=A","Dates=H","DateFormat=P","Fill=—","Direction=H","UseDPDF=Y")</f>
        <v>#NAME?</v>
      </c>
      <c r="AT562" s="2" t="e">
        <f ca="1">_xll.BDH($C$553,"INVENTORY_5_YEAR_GROWTH","FQ4 2015","FQ4 2015","Currency=INR","Period=FQ","BEST_FPERIOD_OVERRIDE=FQ","FILING_STATUS=OR","EQY_CONSOLIDATED=Y","Sort=A","Dates=H","DateFormat=P","Fill=—","Direction=H","UseDPDF=Y")</f>
        <v>#NAME?</v>
      </c>
      <c r="AU562" s="2" t="e">
        <f ca="1">_xll.BDH($C$553,"NET_FIXED_ASSETS_5_YEAR_GROWTH","FQ4 2015","FQ4 2015","Currency=INR","Period=FQ","BEST_FPERIOD_OVERRIDE=FQ","FILING_STATUS=OR","EQY_CONSOLIDATED=Y","Sort=A","Dates=H","DateFormat=P","Fill=—","Direction=H","UseDPDF=Y")</f>
        <v>#NAME?</v>
      </c>
      <c r="AV562" s="2" t="e">
        <f ca="1">_xll.BDH($C$553,"GEO_GROW_TOT_ASSET","FQ4 2015","FQ4 2015","Currency=INR","Period=FQ","BEST_FPERIOD_OVERRIDE=FQ","FILING_STATUS=OR","EQY_CONSOLIDATED=Y","Sort=A","Dates=H","DateFormat=P","Fill=—","Direction=H","UseDPDF=Y")</f>
        <v>#NAME?</v>
      </c>
      <c r="AW562" s="2" t="e">
        <f ca="1">_xll.BDH($C$553,"MODIFIED_WORKING_CPTL_5YR_GRWTH","FQ4 2015","FQ4 2015","Currency=INR","Period=FQ","BEST_FPERIOD_OVERRIDE=FQ","FILING_STATUS=OR","EQY_CONSOLIDATED=Y","Sort=A","Dates=H","DateFormat=P","Fill=—","Direction=H","UseDPDF=Y")</f>
        <v>#NAME?</v>
      </c>
      <c r="AX562" s="2" t="e">
        <f ca="1">_xll.BDH($C$553,"WORKING_CAPITAL_5_YEAR_GROWTH","FQ4 2015","FQ4 2015","Currency=INR","Period=FQ","BEST_FPERIOD_OVERRIDE=FQ","FILING_STATUS=OR","EQY_CONSOLIDATED=Y","Sort=A","Dates=H","DateFormat=P","Fill=—","Direction=H","UseDPDF=Y")</f>
        <v>#NAME?</v>
      </c>
      <c r="AY562" s="2" t="e">
        <f ca="1">_xll.BDH($C$553,"ACCOUNTS_PAYABLE_5_YEAR_GROWTH","FQ4 2015","FQ4 2015","Currency=INR","Period=FQ","BEST_FPERIOD_OVERRIDE=FQ","FILING_STATUS=OR","EQY_CONSOLIDATED=Y","Sort=A","Dates=H","DateFormat=P","Fill=—","Direction=H","UseDPDF=Y")</f>
        <v>#NAME?</v>
      </c>
      <c r="AZ562" s="2" t="e">
        <f ca="1">_xll.BDH($C$553,"SHORT_TERM_DEBT_5_YEAR_GROWTH","FQ4 2015","FQ4 2015","Currency=INR","Period=FQ","BEST_FPERIOD_OVERRIDE=FQ","FILING_STATUS=OR","EQY_CONSOLIDATED=Y","Sort=A","Dates=H","DateFormat=P","Fill=—","Direction=H","UseDPDF=Y")</f>
        <v>#NAME?</v>
      </c>
      <c r="BA562" s="2" t="e">
        <f ca="1">_xll.BDH($C$553,"TOTAL_DEBT_5_YEAR_GROWTH","FQ4 2015","FQ4 2015","Currency=INR","Period=FQ","BEST_FPERIOD_OVERRIDE=FQ","FILING_STATUS=OR","EQY_CONSOLIDATED=Y","Sort=A","Dates=H","DateFormat=P","Fill=—","Direction=H","UseDPDF=Y")</f>
        <v>#NAME?</v>
      </c>
      <c r="BB562" s="2" t="e">
        <f ca="1">_xll.BDH($C$553,"GEO_GROW_TOT_SHRHLDR_EQY","FQ4 2015","FQ4 2015","Currency=INR","Period=FQ","BEST_FPERIOD_OVERRIDE=FQ","FILING_STATUS=OR","EQY_CONSOLIDATED=Y","Sort=A","Dates=H","DateFormat=P","Fill=—","Direction=H","UseDPDF=Y")</f>
        <v>#NAME?</v>
      </c>
      <c r="BC562" s="2" t="e">
        <f ca="1">_xll.BDH($C$553,"TOTAL_CAPITAL_5_YEAR_GROWTH","FQ4 2015","FQ4 2015","Currency=INR","Period=FQ","BEST_FPERIOD_OVERRIDE=FQ","FILING_STATUS=OR","EQY_CONSOLIDATED=Y","Sort=A","Dates=H","DateFormat=P","Fill=—","Direction=H","UseDPDF=Y")</f>
        <v>#NAME?</v>
      </c>
      <c r="BD562" s="2" t="e">
        <f ca="1">_xll.BDH($C$553,"GEO_GROW_BOOK_VAL","FQ4 2015","FQ4 2015","Currency=INR","Period=FQ","BEST_FPERIOD_OVERRIDE=FQ","FILING_STATUS=OR","EQY_CONSOLIDATED=Y","Sort=A","Dates=H","DateFormat=P","Fill=—","Direction=H","UseDPDF=Y")</f>
        <v>#NAME?</v>
      </c>
      <c r="BE562" s="2" t="e">
        <f ca="1">_xll.BDH($C$553,"GEO_GROW_CASH_OPER_ACT","FQ4 2015","FQ4 2015","Currency=INR","Period=FQ","BEST_FPERIOD_OVERRIDE=FQ","FILING_STATUS=OR","EQY_CONSOLIDATED=Y","Sort=A","Dates=H","DateFormat=P","Fill=—","Direction=H","UseDPDF=Y")</f>
        <v>#NAME?</v>
      </c>
      <c r="BF562" s="2" t="e">
        <f ca="1">_xll.BDH($C$553,"REVENUE_SEQUENTIAL_GROWTH","FQ4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62" s="2" t="e">
        <f ca="1">_xll.BDH($C$553,"EBITDA_SEQUENTIAL_GROWTH","FQ4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62" s="2" t="e">
        <f ca="1">_xll.BDH($C$553,"OPERATING_INCOME_SEQ_GROWTH","FQ4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62" s="2" t="e">
        <f ca="1">_xll.BDH($C$553,"NET_INCOME_TO_COMMON_SEQ_GROWTH","FQ4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62" s="2" t="e">
        <f ca="1">_xll.BDH($C$553,"EPS_DILUTED_SEQUENTIAL_GROWTH","FQ4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62" s="2" t="e">
        <f ca="1">_xll.BDH($C$553,"DPS_SEQUENTIAL_GROWTH","FQ4 2015","FQ4 2015","Currency=INR","Period=FQ","BEST_FPERIOD_OVERRIDE=FQ","FILING_STATUS=OR","EQY_CONSOLIDATED=Y","Sort=A","Dates=H","DateFormat=P","Fill=—","Direction=H","UseDPDF=Y")</f>
        <v>#NAME?</v>
      </c>
      <c r="BL562" s="2" t="e">
        <f ca="1">_xll.BDH($C$553,"ACCOUNTS_RECEIVABLE_SEQ_GROWTH","FQ4 2015","FQ4 2015","Currency=INR","Period=FQ","BEST_FPERIOD_OVERRIDE=FQ","FILING_STATUS=OR","EQY_CONSOLIDATED=Y","Sort=A","Dates=H","DateFormat=P","Fill=—","Direction=H","UseDPDF=Y")</f>
        <v>#NAME?</v>
      </c>
      <c r="BM562" s="2" t="e">
        <f ca="1">_xll.BDH($C$553,"INVENTORY_SEQUENTIAL_GROWTH","FQ4 2015","FQ4 2015","Currency=INR","Period=FQ","BEST_FPERIOD_OVERRIDE=FQ","FILING_STATUS=OR","EQY_CONSOLIDATED=Y","Sort=A","Dates=H","DateFormat=P","Fill=—","Direction=H","UseDPDF=Y")</f>
        <v>#NAME?</v>
      </c>
      <c r="BN562" s="2" t="e">
        <f ca="1">_xll.BDH($C$553,"FIXED_ASSETS_SEQUENTIAL_GROWTH","FQ4 2015","FQ4 2015","Currency=INR","Period=FQ","BEST_FPERIOD_OVERRIDE=FQ","FILING_STATUS=OR","EQY_CONSOLIDATED=Y","Sort=A","Dates=H","DateFormat=P","Fill=—","Direction=H","UseDPDF=Y")</f>
        <v>#NAME?</v>
      </c>
      <c r="BO562" s="2" t="e">
        <f ca="1">_xll.BDH($C$553,"TOTAL_ASSETS_SEQUENTIAL_GROWTH","FQ4 2015","FQ4 2015","Currency=INR","Period=FQ","BEST_FPERIOD_OVERRIDE=FQ","FILING_STATUS=OR","EQY_CONSOLIDATED=Y","Sort=A","Dates=H","DateFormat=P","Fill=—","Direction=H","UseDPDF=Y")</f>
        <v>#NAME?</v>
      </c>
      <c r="BP562" s="2" t="e">
        <f ca="1">_xll.BDH($C$553,"MODIFIED_WORKING_CPTL_SEQ_GRWTH","FQ4 2015","FQ4 2015","Currency=INR","Period=FQ","BEST_FPERIOD_OVERRIDE=FQ","FILING_STATUS=OR","EQY_CONSOLIDATED=Y","Sort=A","Dates=H","DateFormat=P","Fill=—","Direction=H","UseDPDF=Y")</f>
        <v>#NAME?</v>
      </c>
      <c r="BQ562" s="2" t="e">
        <f ca="1">_xll.BDH($C$553,"WORKING_CAPITAL_SEQ_GROWTH","FQ4 2015","FQ4 2015","Currency=INR","Period=FQ","BEST_FPERIOD_OVERRIDE=FQ","FILING_STATUS=OR","EQY_CONSOLIDATED=Y","Sort=A","Dates=H","DateFormat=P","Fill=—","Direction=H","UseDPDF=Y")</f>
        <v>#NAME?</v>
      </c>
      <c r="BR562" s="2" t="e">
        <f ca="1">_xll.BDH($C$553,"ACCOUNTS_PAYABLE_SEQ_GROWTH","FQ4 2015","FQ4 2015","Currency=INR","Period=FQ","BEST_FPERIOD_OVERRIDE=FQ","FILING_STATUS=OR","EQY_CONSOLIDATED=Y","Sort=A","Dates=H","DateFormat=P","Fill=—","Direction=H","UseDPDF=Y")</f>
        <v>#NAME?</v>
      </c>
      <c r="BS562" s="2" t="e">
        <f ca="1">_xll.BDH($C$553,"ST_DEBT_SEQUENTIAL_GROWTH","FQ4 2015","FQ4 2015","Currency=INR","Period=FQ","BEST_FPERIOD_OVERRIDE=FQ","FILING_STATUS=OR","EQY_CONSOLIDATED=Y","Sort=A","Dates=H","DateFormat=P","Fill=—","Direction=H","UseDPDF=Y")</f>
        <v>#NAME?</v>
      </c>
      <c r="BT562" s="2" t="e">
        <f ca="1">_xll.BDH($C$553,"TOTAL_DEBT_SEQUENTIAL_GROWTH","FQ4 2015","FQ4 2015","Currency=INR","Period=FQ","BEST_FPERIOD_OVERRIDE=FQ","FILING_STATUS=OR","EQY_CONSOLIDATED=Y","Sort=A","Dates=H","DateFormat=P","Fill=—","Direction=H","UseDPDF=Y")</f>
        <v>#NAME?</v>
      </c>
      <c r="BU562" s="2" t="e">
        <f ca="1">_xll.BDH($C$553,"TOTAL_EQUITY_SEQUENTIAL_GROWTH","FQ4 2015","FQ4 2015","Currency=INR","Period=FQ","BEST_FPERIOD_OVERRIDE=FQ","FILING_STATUS=OR","EQY_CONSOLIDATED=Y","Sort=A","Dates=H","DateFormat=P","Fill=—","Direction=H","UseDPDF=Y")</f>
        <v>#NAME?</v>
      </c>
      <c r="BV562" s="2" t="e">
        <f ca="1">_xll.BDH($C$553,"TOTAL_CAPITAL_SEQUENTIAL_GROWTH","FQ4 2015","FQ4 2015","Currency=INR","Period=FQ","BEST_FPERIOD_OVERRIDE=FQ","FILING_STATUS=OR","EQY_CONSOLIDATED=Y","Sort=A","Dates=H","DateFormat=P","Fill=—","Direction=H","UseDPDF=Y")</f>
        <v>#NAME?</v>
      </c>
      <c r="BW562" s="2" t="e">
        <f ca="1">_xll.BDH($C$553,"BPS_SEQUENTIAL_GROWTH","FQ4 2015","FQ4 2015","Currency=INR","Period=FQ","BEST_FPERIOD_OVERRIDE=FQ","FILING_STATUS=OR","EQY_CONSOLIDATED=Y","Sort=A","Dates=H","DateFormat=P","Fill=—","Direction=H","UseDPDF=Y")</f>
        <v>#NAME?</v>
      </c>
      <c r="BX562" s="2" t="e">
        <f ca="1">_xll.BDH($C$553,"CFO_SEQUENTIAL_GROWTH","FQ4 2015","FQ4 2015","Currency=INR","Period=FQ","BEST_FPERIOD_OVERRIDE=FQ","FILING_STATUS=OR","EQY_CONSOLIDATED=Y","Sort=A","Dates=H","DateFormat=P","Fill=—","Direction=H","UseDPDF=Y")</f>
        <v>#NAME?</v>
      </c>
      <c r="BY562" s="3" t="e">
        <f ca="1">_xll.BDH($C$553,"SHORT_AND_LONG_TERM_DEBT","FQ4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62" s="3" t="e">
        <f ca="1">_xll.BDH($C$553,"BS_ST_BORROW","FQ4 2015","FQ4 2015","Currency=INR","Period=FQ","BEST_FPERIOD_OVERRIDE=FQ","FILING_STATUS=OR","EQY_CONSOLIDATED=Y","SCALING_FORMAT=MLN","Sort=A","Dates=H","DateFormat=P","Fill=—","Direction=H","UseDPDF=Y")</f>
        <v>#NAME?</v>
      </c>
      <c r="CA562" s="3" t="e">
        <f ca="1">_xll.BDH($C$553,"BS_LT_BORROW","FQ4 2015","FQ4 2015","Currency=INR","Period=FQ","BEST_FPERIOD_OVERRIDE=FQ","FILING_STATUS=OR","EQY_CONSOLIDATED=Y","SCALING_FORMAT=MLN","Sort=A","Dates=H","DateFormat=P","Fill=—","Direction=H","UseDPDF=Y")</f>
        <v>#NAME?</v>
      </c>
      <c r="CB562" s="2" t="e">
        <f ca="1">_xll.BDH($C$553,"TOT_DEBT_TO_EBITDA","FQ4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62" s="2" t="e">
        <f ca="1">_xll.BDH($C$553,"NET_DEBT_TO_EBITDA","FQ4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62" s="2" t="e">
        <f ca="1">_xll.BDH($C$553,"TOTAL_DEBT_TO_EBIT","FQ4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62" s="2" t="e">
        <f ca="1">_xll.BDH($C$553,"NET_DEBT_TO_EBIT","FQ4 2015","FQ4 2015","Currency=INR","Period=FQ","BEST_FPERIOD_OVERRIDE=FQ","FILING_STATUS=OR","EQY_CONSOLIDATED=Y","FA_ADJUSTED=GAAP","Sort=A","Dates=H","DateFormat=P","Fill=—","Direction=H","UseDPDF=Y")</f>
        <v>#NAME?</v>
      </c>
      <c r="CF562" s="2" t="e">
        <f ca="1">_xll.BDH($C$553,"EBITDA_TO_INTEREST_EXPN","FQ4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62" s="2" t="e">
        <f ca="1">_xll.BDH($C$553,"COM_EQY_TO_TOT_ASSET","FQ4 2015","FQ4 2015","Currency=INR","Period=FQ","BEST_FPERIOD_OVERRIDE=FQ","FILING_STATUS=OR","EQY_CONSOLIDATED=Y","Sort=A","Dates=H","DateFormat=P","Fill=—","Direction=H","UseDPDF=Y")</f>
        <v>#NAME?</v>
      </c>
      <c r="CH562" s="2" t="e">
        <f ca="1">_xll.BDH($C$553,"LT_DEBT_TO_TOT_EQY","FQ4 2015","FQ4 2015","Currency=INR","Period=FQ","BEST_FPERIOD_OVERRIDE=FQ","FILING_STATUS=OR","EQY_CONSOLIDATED=Y","Sort=A","Dates=H","DateFormat=P","Fill=—","Direction=H","UseDPDF=Y")</f>
        <v>#NAME?</v>
      </c>
      <c r="CI562" s="2" t="e">
        <f ca="1">_xll.BDH($C$553,"LT_DEBT_TO_TOT_CAP","FQ4 2015","FQ4 2015","Currency=INR","Period=FQ","BEST_FPERIOD_OVERRIDE=FQ","FILING_STATUS=OR","EQY_CONSOLIDATED=Y","Sort=A","Dates=H","DateFormat=P","Fill=—","Direction=H","UseDPDF=Y")</f>
        <v>#NAME?</v>
      </c>
      <c r="CJ562" s="2" t="e">
        <f ca="1">_xll.BDH($C$553,"LT_DEBT_TO_TOT_ASSET","FQ4 2015","FQ4 2015","Currency=INR","Period=FQ","BEST_FPERIOD_OVERRIDE=FQ","FILING_STATUS=OR","EQY_CONSOLIDATED=Y","Sort=A","Dates=H","DateFormat=P","Fill=—","Direction=H","UseDPDF=Y")</f>
        <v>#NAME?</v>
      </c>
      <c r="CK562" s="2" t="e">
        <f ca="1">_xll.BDH($C$553,"TOT_DEBT_TO_TOT_EQY","FQ4 2015","FQ4 2015","Currency=INR","Period=FQ","BEST_FPERIOD_OVERRIDE=FQ","FILING_STATUS=OR","EQY_CONSOLIDATED=Y","Sort=A","Dates=H","DateFormat=P","Fill=—","Direction=H","UseDPDF=Y")</f>
        <v>#NAME?</v>
      </c>
      <c r="CL562" s="2" t="e">
        <f ca="1">_xll.BDH($C$553,"TOT_DEBT_TO_TOT_CAP","FQ4 2015","FQ4 2015","Currency=INR","Period=FQ","BEST_FPERIOD_OVERRIDE=FQ","FILING_STATUS=OR","EQY_CONSOLIDATED=Y","Sort=A","Dates=H","DateFormat=P","Fill=—","Direction=H","UseDPDF=Y")</f>
        <v>#NAME?</v>
      </c>
      <c r="CM562" s="2" t="e">
        <f ca="1">_xll.BDH($C$553,"TOT_DEBT_TO_TOT_ASSET","FQ4 2015","FQ4 2015","Currency=INR","Period=FQ","BEST_FPERIOD_OVERRIDE=FQ","FILING_STATUS=OR","EQY_CONSOLIDATED=Y","Sort=A","Dates=H","DateFormat=P","Fill=—","Direction=H","UseDPDF=Y")</f>
        <v>#NAME?</v>
      </c>
      <c r="CN562" s="2" t="e">
        <f ca="1">_xll.BDH($C$553,"NET_DEBT_TO_SHRHLDR_EQTY","FQ4 2015","FQ4 2015","Currency=INR","Period=FQ","BEST_FPERIOD_OVERRIDE=FQ","FILING_STATUS=OR","EQY_CONSOLIDATED=Y","Sort=A","Dates=H","DateFormat=P","Fill=—","Direction=H","UseDPDF=Y")</f>
        <v>#NAME?</v>
      </c>
      <c r="CO562" s="2" t="e">
        <f ca="1">_xll.BDH($C$553,"NET_DEBT_%_CAPITAL","FQ4 2015","FQ4 2015","Currency=INR","Period=FQ","BEST_FPERIOD_OVERRIDE=FQ","FILING_STATUS=OR","EQY_CONSOLIDATED=Y","Sort=A","Dates=H","DateFormat=P","Fill=—","Direction=H","UseDPDF=Y")</f>
        <v>#NAME?</v>
      </c>
      <c r="CP562" s="3" t="e">
        <f ca="1">_xll.BDH($C$553,"EBITDA","FQ4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62" s="3" t="e">
        <f ca="1">_xll.BDH($C$553,"EBITDA_AFTER_CAPEX","FQ4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62" s="3" t="e">
        <f ca="1">_xll.BDH($C$553,"IS_OPER_INC","FQ4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62" s="2" t="e">
        <f ca="1">_xll.BDH($C$553,"CASH_RATIO","FQ4 2015","FQ4 2015","Currency=INR","Period=FQ","BEST_FPERIOD_OVERRIDE=FQ","FILING_STATUS=OR","EQY_CONSOLIDATED=Y","Sort=A","Dates=H","DateFormat=P","Fill=—","Direction=H","UseDPDF=Y")</f>
        <v>#NAME?</v>
      </c>
      <c r="CT562" s="2" t="e">
        <f ca="1">_xll.BDH($C$553,"CUR_RATIO","FQ4 2015","FQ4 2015","Currency=INR","Period=FQ","BEST_FPERIOD_OVERRIDE=FQ","FILING_STATUS=OR","EQY_CONSOLIDATED=Y","Sort=A","Dates=H","DateFormat=P","Fill=—","Direction=H","UseDPDF=Y")</f>
        <v>#NAME?</v>
      </c>
      <c r="CU562" s="2" t="e">
        <f ca="1">_xll.BDH($C$553,"QUICK_RATIO","FQ4 2015","FQ4 2015","Currency=INR","Period=FQ","BEST_FPERIOD_OVERRIDE=FQ","FILING_STATUS=OR","EQY_CONSOLIDATED=Y","Sort=A","Dates=H","DateFormat=P","Fill=—","Direction=H","UseDPDF=Y")</f>
        <v>#NAME?</v>
      </c>
      <c r="CV562" s="2" t="e">
        <f ca="1">_xll.BDH($C$553,"ALTMAN_Z_SCORE","FQ4 2015","FQ4 2015","Currency=INR","Period=FQ","BEST_FPERIOD_OVERRIDE=FQ","FILING_STATUS=OR","EQY_CONSOLIDATED=Y","Sort=A","Dates=H","DateFormat=P","Fill=—","Direction=H","UseDPDF=Y")</f>
        <v>#NAME?</v>
      </c>
      <c r="CW562" s="4" t="e">
        <f ca="1">_xll.BDH($C$553,"ACCT_RCV_TURN","FQ4 2015","FQ4 2015","Currency=INR","Period=FQ","BEST_FPERIOD_OVERRIDE=FQ","FILING_STATUS=OR","EQY_CONSOLIDATED=Y","FA_ADJUSTED=GAAP","Sort=A","Dates=H","DateFormat=P","Fill=—","Direction=H","UseDPDF=Y")</f>
        <v>#NAME?</v>
      </c>
      <c r="CX562" s="2" t="e">
        <f ca="1">_xll.BDH($C$553,"ACCT_RCV_DAYS","FQ4 2015","FQ4 2015","Currency=INR","Period=FQ","BEST_FPERIOD_OVERRIDE=FQ","FILING_STATUS=OR","EQY_CONSOLIDATED=Y","FA_ADJUSTED=GAAP","Sort=A","Dates=H","DateFormat=P","Fill=—","Direction=H","UseDPDF=Y")</f>
        <v>#NAME?</v>
      </c>
      <c r="CY562" s="4" t="e">
        <f ca="1">_xll.BDH($C$553,"INVENT_TURN","FQ4 2015","FQ4 2015","Currency=INR","Period=FQ","BEST_FPERIOD_OVERRIDE=FQ","FILING_STATUS=OR","EQY_CONSOLIDATED=Y","FA_ADJUSTED=GAAP","Sort=A","Dates=H","DateFormat=P","Fill=—","Direction=H","UseDPDF=Y")</f>
        <v>#NAME?</v>
      </c>
      <c r="CZ562" s="2" t="e">
        <f ca="1">_xll.BDH($C$553,"INVENT_DAYS","FQ4 2015","FQ4 2015","Currency=INR","Period=FQ","BEST_FPERIOD_OVERRIDE=FQ","FILING_STATUS=OR","EQY_CONSOLIDATED=Y","FA_ADJUSTED=GAAP","Sort=A","Dates=H","DateFormat=P","Fill=—","Direction=H","UseDPDF=Y")</f>
        <v>#NAME?</v>
      </c>
      <c r="DA562" s="4" t="e">
        <f ca="1">_xll.BDH($C$553,"ACCOUNTS_PAYABLE_TURNOVER","FQ4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62" s="2" t="e">
        <f ca="1">_xll.BDH($C$553,"ACCOUNTS_PAYABLE_TURNOVER_DAYS","FQ4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62" s="4" t="e">
        <f ca="1">_xll.BDH($C$553,"CASH_CONVERSION_CYCLE","FQ4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62" s="4" t="e">
        <f ca="1">_xll.BDH($C$553,"INV_TO_CASH_DAYS","FQ4 2015","FQ4 2015","Currency=INR","Period=FQ","BEST_FPERIOD_OVERRIDE=FQ","FILING_STATUS=OR","EQY_CONSOLIDATED=Y","FA_ADJUSTED=GAAP","Sort=A","Dates=H","DateFormat=P","Fill=—","Direction=H","UseDPDF=Y")</f>
        <v>#NAME?</v>
      </c>
      <c r="DE562" s="5" t="e">
        <f ca="1">_xll.BDH($C$553,"BS_INVENTORIES","FQ4 2015","FQ4 2015","Currency=INR","Period=FQ","BEST_FPERIOD_OVERRIDE=FQ","FILING_STATUS=OR","EQY_CONSOLIDATED=Y","SCALING_FORMAT=MLN","Sort=A","Dates=H","DateFormat=P","Fill=—","Direction=H","UseDPDF=Y")</f>
        <v>#NAME?</v>
      </c>
      <c r="DF562" s="3" t="e">
        <f ca="1">_xll.BDH($C$553,"INVTRY_RAW_MATERIALS","FQ4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62" s="3" t="e">
        <f ca="1">_xll.BDH($C$553,"INVTRY_IN_PROGRESS","FQ4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62" s="3" t="e">
        <f ca="1">_xll.BDH($C$553,"INVTRY_FINISHED_GOODS","FQ4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62" s="3" t="e">
        <f ca="1">_xll.BDH($C$553,"BS_OTHER_INV","FQ4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63" spans="1:113" x14ac:dyDescent="0.3">
      <c r="A563" s="6"/>
      <c r="B563" s="6"/>
      <c r="C563" s="6"/>
      <c r="D563" s="6" t="s">
        <v>83</v>
      </c>
      <c r="E563" t="s">
        <v>77</v>
      </c>
      <c r="F563" t="e">
        <f ca="1">_xll.BDH($C$553,"RETURN_COM_EQY","FY 2016","FY 2016","Currency=INR","Period=FY","BEST_FPERIOD_OVERRIDE=FY","FILING_STATUS=OR","EQY_CONSOLIDATED=Y","FA_ADJUSTED=GAAP","Sort=A","Dates=H","DateFormat=P","Fill=—","Direction=H","UseDPDF=Y")</f>
        <v>#NAME?</v>
      </c>
      <c r="G563" t="e">
        <f ca="1">_xll.BDH($C$553,"RETURN_ON_ASSET","FY 2016","FY 2016","Currency=INR","Period=FY","BEST_FPERIOD_OVERRIDE=FY","FILING_STATUS=OR","EQY_CONSOLIDATED=Y","FA_ADJUSTED=GAAP","Sort=A","Dates=H","DateFormat=P","Fill=—","Direction=H","UseDPDF=Y")</f>
        <v>#NAME?</v>
      </c>
      <c r="H563" t="e">
        <f ca="1">_xll.BDH($C$553,"RETURN_ON_CAP","FY 2016","FY 2016","Currency=INR","Period=FY","BEST_FPERIOD_OVERRIDE=FY","FILING_STATUS=OR","EQY_CONSOLIDATED=Y","FA_ADJUSTED=GAAP","Sort=A","Dates=H","DateFormat=P","Fill=—","Direction=H","UseDPDF=Y")</f>
        <v>#NAME?</v>
      </c>
      <c r="I563" t="e">
        <f ca="1">_xll.BDH($C$553,"RETURN_ON_INV_CAPITAL","FY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63" t="e">
        <f ca="1">_xll.BDH($C$553,"EBITDA_TO_REVENUE","FY 2016","FY 2016","Currency=INR","Period=FY","BEST_FPERIOD_OVERRIDE=FY","FILING_STATUS=OR","EQY_CONSOLIDATED=Y","FA_ADJUSTED=GAAP","Sort=A","Dates=H","DateFormat=P","Fill=—","Direction=H","UseDPDF=Y")</f>
        <v>#NAME?</v>
      </c>
      <c r="K563" t="e">
        <f ca="1">_xll.BDH($C$553,"OPER_MARGIN","FY 2016","FY 2016","Currency=INR","Period=FY","BEST_FPERIOD_OVERRIDE=FY","FILING_STATUS=OR","EQY_CONSOLIDATED=Y","FA_ADJUSTED=GAAP","Sort=A","Dates=H","DateFormat=P","Fill=—","Direction=H","UseDPDF=Y")</f>
        <v>#NAME?</v>
      </c>
      <c r="L563" t="e">
        <f ca="1">_xll.BDH($C$553,"INCREMENTAL_OPERATING_MARGIN","FY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63" t="e">
        <f ca="1">_xll.BDH($C$553,"PRETAX_INC_TO_NET_SALES","FY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63" t="e">
        <f ca="1">_xll.BDH($C$553,"INC_BEF_XO_ITEMS_TO_NET_SALES","FY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63" t="e">
        <f ca="1">_xll.BDH($C$553,"PROF_MARGIN","FY 2016","FY 2016","Currency=INR","Period=FY","BEST_FPERIOD_OVERRIDE=FY","FILING_STATUS=OR","EQY_CONSOLIDATED=Y","FA_ADJUSTED=GAAP","Sort=A","Dates=H","DateFormat=P","Fill=—","Direction=H","UseDPDF=Y")</f>
        <v>#NAME?</v>
      </c>
      <c r="P563" t="e">
        <f ca="1">_xll.BDH($C$553,"NET_INCOME_TO_COMMON_MARGIN","FY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63" t="e">
        <f ca="1">_xll.BDH($C$553,"EFF_TAX_RATE","FY 2016","FY 2016","Currency=INR","Period=FY","BEST_FPERIOD_OVERRIDE=FY","FILING_STATUS=OR","EQY_CONSOLIDATED=Y","FA_ADJUSTED=GAAP","Sort=A","Dates=H","DateFormat=P","Fill=—","Direction=H","UseDPDF=Y")</f>
        <v>#NAME?</v>
      </c>
      <c r="R563" t="e">
        <f ca="1">_xll.BDH($C$553,"DVD_PAYOUT_RATIO","FY 2016","FY 2016","Currency=INR","Period=FY","BEST_FPERIOD_OVERRIDE=FY","FILING_STATUS=OR","EQY_CONSOLIDATED=Y","FA_ADJUSTED=GAAP","Sort=A","Dates=H","DateFormat=P","Fill=—","Direction=H","UseDPDF=Y")</f>
        <v>#NAME?</v>
      </c>
      <c r="S563" t="e">
        <f ca="1">_xll.BDH($C$553,"SUSTAIN_GROWTH_RT","FY 2016","FY 2016","Currency=INR","Period=FY","BEST_FPERIOD_OVERRIDE=FY","FILING_STATUS=OR","EQY_CONSOLIDATED=Y","FA_ADJUSTED=GAAP","Sort=A","Dates=H","DateFormat=P","Fill=—","Direction=H","UseDPDF=Y")</f>
        <v>#NAME?</v>
      </c>
      <c r="T563" s="2" t="e">
        <f ca="1">_xll.BDH($C$553,"SALES_GROWTH","FY 2016","FY 2016","Currency=INR","Period=FY","BEST_FPERIOD_OVERRIDE=FY","FILING_STATUS=OR","EQY_CONSOLIDATED=Y","FA_ADJUSTED=GAAP","Sort=A","Dates=H","DateFormat=P","Fill=—","Direction=H","UseDPDF=Y")</f>
        <v>#NAME?</v>
      </c>
      <c r="U563" s="2" t="e">
        <f ca="1">_xll.BDH($C$553,"EBITDA_GROWTH","FY 2016","FY 2016","Currency=INR","Period=FY","BEST_FPERIOD_OVERRIDE=FY","FILING_STATUS=OR","EQY_CONSOLIDATED=Y","FA_ADJUSTED=GAAP","Sort=A","Dates=H","DateFormat=P","Fill=—","Direction=H","UseDPDF=Y")</f>
        <v>#NAME?</v>
      </c>
      <c r="V563" s="2" t="e">
        <f ca="1">_xll.BDH($C$553,"OPER_INC_GROWTH","FY 2016","FY 2016","Currency=INR","Period=FY","BEST_FPERIOD_OVERRIDE=FY","FILING_STATUS=OR","EQY_CONSOLIDATED=Y","FA_ADJUSTED=GAAP","Sort=A","Dates=H","DateFormat=P","Fill=—","Direction=H","UseDPDF=Y")</f>
        <v>#NAME?</v>
      </c>
      <c r="W563" s="2" t="e">
        <f ca="1">_xll.BDH($C$553,"EARN_FOR_COM_GROWTH","FY 2016","FY 2016","Currency=INR","Period=FY","BEST_FPERIOD_OVERRIDE=FY","FILING_STATUS=OR","EQY_CONSOLIDATED=Y","FA_ADJUSTED=GAAP","Sort=A","Dates=H","DateFormat=P","Fill=—","Direction=H","UseDPDF=Y")</f>
        <v>#NAME?</v>
      </c>
      <c r="X563" s="2" t="e">
        <f ca="1">_xll.BDH($C$553,"DILUTED_EPS_AFT_XO_ITEMS_GROWTH","FY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63" s="2" t="e">
        <f ca="1">_xll.BDH($C$553,"DIVIDEND_PER_SHARE_1_YEAR_GROWTH","FY 2016","FY 2016","Currency=INR","Period=FY","BEST_FPERIOD_OVERRIDE=FY","FILING_STATUS=OR","EQY_CONSOLIDATED=Y","Sort=A","Dates=H","DateFormat=P","Fill=—","Direction=H","UseDPDF=Y")</f>
        <v>#NAME?</v>
      </c>
      <c r="Z563" s="2" t="e">
        <f ca="1">_xll.BDH($C$553,"ACCOUNTS_RECEIVABLE_GROWTH","FY 2016","FY 2016","Currency=INR","Period=FY","BEST_FPERIOD_OVERRIDE=FY","FILING_STATUS=OR","EQY_CONSOLIDATED=Y","Sort=A","Dates=H","DateFormat=P","Fill=—","Direction=H","UseDPDF=Y")</f>
        <v>#NAME?</v>
      </c>
      <c r="AA563" s="2" t="e">
        <f ca="1">_xll.BDH($C$553,"INVENTORY_GROWTH","FY 2016","FY 2016","Currency=INR","Period=FY","BEST_FPERIOD_OVERRIDE=FY","FILING_STATUS=OR","EQY_CONSOLIDATED=Y","Sort=A","Dates=H","DateFormat=P","Fill=—","Direction=H","UseDPDF=Y")</f>
        <v>#NAME?</v>
      </c>
      <c r="AB563" s="2" t="e">
        <f ca="1">_xll.BDH($C$553,"NET_FIXED_ASSETS_1_YEAR_GROWTH","FY 2016","FY 2016","Currency=INR","Period=FY","BEST_FPERIOD_OVERRIDE=FY","FILING_STATUS=OR","EQY_CONSOLIDATED=Y","Sort=A","Dates=H","DateFormat=P","Fill=—","Direction=H","UseDPDF=Y")</f>
        <v>#NAME?</v>
      </c>
      <c r="AC563" s="2" t="e">
        <f ca="1">_xll.BDH($C$553,"ASSET_GROWTH","FY 2016","FY 2016","Currency=INR","Period=FY","BEST_FPERIOD_OVERRIDE=FY","FILING_STATUS=OR","EQY_CONSOLIDATED=Y","Sort=A","Dates=H","DateFormat=P","Fill=—","Direction=H","UseDPDF=Y")</f>
        <v>#NAME?</v>
      </c>
      <c r="AD563" s="2" t="e">
        <f ca="1">_xll.BDH($C$553,"MODIFIED_WORK_CAP_GROWTH","FY 2016","FY 2016","Currency=INR","Period=FY","BEST_FPERIOD_OVERRIDE=FY","FILING_STATUS=OR","EQY_CONSOLIDATED=Y","Sort=A","Dates=H","DateFormat=P","Fill=—","Direction=H","UseDPDF=Y")</f>
        <v>#NAME?</v>
      </c>
      <c r="AE563" s="2" t="e">
        <f ca="1">_xll.BDH($C$553,"WORK_CAP_GROWTH","FY 2016","FY 2016","Currency=INR","Period=FY","BEST_FPERIOD_OVERRIDE=FY","FILING_STATUS=OR","EQY_CONSOLIDATED=Y","Sort=A","Dates=H","DateFormat=P","Fill=—","Direction=H","UseDPDF=Y")</f>
        <v>#NAME?</v>
      </c>
      <c r="AF563" s="2" t="e">
        <f ca="1">_xll.BDH($C$553,"ACCOUNTS_PAYABLE_GROWTH_1YR","FY 2016","FY 2016","Currency=INR","Period=FY","BEST_FPERIOD_OVERRIDE=FY","FILING_STATUS=OR","EQY_CONSOLIDATED=Y","Sort=A","Dates=H","DateFormat=P","Fill=—","Direction=H","UseDPDF=Y")</f>
        <v>#NAME?</v>
      </c>
      <c r="AG563" s="2" t="e">
        <f ca="1">_xll.BDH($C$553,"SHORT_TERM_DEBT_1_YEAR_GROWTH","FY 2016","FY 2016","Currency=INR","Period=FY","BEST_FPERIOD_OVERRIDE=FY","FILING_STATUS=OR","EQY_CONSOLIDATED=Y","Sort=A","Dates=H","DateFormat=P","Fill=—","Direction=H","UseDPDF=Y")</f>
        <v>#NAME?</v>
      </c>
      <c r="AH563" s="2" t="e">
        <f ca="1">_xll.BDH($C$553,"TOTAL_DEBT_1_YEAR_GROWTH","FY 2016","FY 2016","Currency=INR","Period=FY","BEST_FPERIOD_OVERRIDE=FY","FILING_STATUS=OR","EQY_CONSOLIDATED=Y","Sort=A","Dates=H","DateFormat=P","Fill=—","Direction=H","UseDPDF=Y")</f>
        <v>#NAME?</v>
      </c>
      <c r="AI563" s="2" t="e">
        <f ca="1">_xll.BDH($C$553,"TOTAL_EQUITY_1_YEAR_GROWTH","FY 2016","FY 2016","Currency=INR","Period=FY","BEST_FPERIOD_OVERRIDE=FY","FILING_STATUS=OR","EQY_CONSOLIDATED=Y","Sort=A","Dates=H","DateFormat=P","Fill=—","Direction=H","UseDPDF=Y")</f>
        <v>#NAME?</v>
      </c>
      <c r="AJ563" s="2" t="e">
        <f ca="1">_xll.BDH($C$553,"GROWTH_IN_CAP","FY 2016","FY 2016","Currency=INR","Period=FY","BEST_FPERIOD_OVERRIDE=FY","FILING_STATUS=OR","EQY_CONSOLIDATED=Y","Sort=A","Dates=H","DateFormat=P","Fill=—","Direction=H","UseDPDF=Y")</f>
        <v>#NAME?</v>
      </c>
      <c r="AK563" s="2" t="e">
        <f ca="1">_xll.BDH($C$553,"BVPS_GROWTH","FY 2016","FY 2016","Currency=INR","Period=FY","BEST_FPERIOD_OVERRIDE=FY","FILING_STATUS=OR","EQY_CONSOLIDATED=Y","Sort=A","Dates=H","DateFormat=P","Fill=—","Direction=H","UseDPDF=Y")</f>
        <v>#NAME?</v>
      </c>
      <c r="AL563" s="2" t="e">
        <f ca="1">_xll.BDH($C$553,"CASH_FLOW_GROWTH","FY 2016","FY 2016","Currency=INR","Period=FY","BEST_FPERIOD_OVERRIDE=FY","FILING_STATUS=OR","EQY_CONSOLIDATED=Y","Sort=A","Dates=H","DateFormat=P","Fill=—","Direction=H","UseDPDF=Y")</f>
        <v>#NAME?</v>
      </c>
      <c r="AM563" s="2" t="e">
        <f ca="1">_xll.BDH($C$553,"GEO_GROW_NET_SALES","FY 2016","FY 2016","Currency=INR","Period=FY","BEST_FPERIOD_OVERRIDE=FY","FILING_STATUS=OR","EQY_CONSOLIDATED=Y","FA_ADJUSTED=GAAP","Sort=A","Dates=H","DateFormat=P","Fill=—","Direction=H","UseDPDF=Y")</f>
        <v>#NAME?</v>
      </c>
      <c r="AN563" s="2" t="e">
        <f ca="1">_xll.BDH($C$553,"GEO_GROW_EBITDA","FY 2016","FY 2016","Currency=INR","Period=FY","BEST_FPERIOD_OVERRIDE=FY","FILING_STATUS=OR","EQY_CONSOLIDATED=Y","FA_ADJUSTED=GAAP","Sort=A","Dates=H","DateFormat=P","Fill=—","Direction=H","UseDPDF=Y")</f>
        <v>#NAME?</v>
      </c>
      <c r="AO563" s="2" t="e">
        <f ca="1">_xll.BDH($C$553,"GEO_GROW_OPER_INC","FY 2016","FY 2016","Currency=INR","Period=FY","BEST_FPERIOD_OVERRIDE=FY","FILING_STATUS=OR","EQY_CONSOLIDATED=Y","FA_ADJUSTED=GAAP","Sort=A","Dates=H","DateFormat=P","Fill=—","Direction=H","UseDPDF=Y")</f>
        <v>#NAME?</v>
      </c>
      <c r="AP563" s="2" t="e">
        <f ca="1">_xll.BDH($C$553,"NET_INCOME_TO_COMMON_5_YR_GROWTH","FY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63" s="2" t="e">
        <f ca="1">_xll.BDH($C$553,"5Y_GEO_GROWTH_DILUTED_EPS","FY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63" s="2" t="e">
        <f ca="1">_xll.BDH($C$553,"GEO_GROW_DVD_PER_SH","FY 2016","FY 2016","Currency=INR","Period=FY","BEST_FPERIOD_OVERRIDE=FY","FILING_STATUS=OR","EQY_CONSOLIDATED=Y","Sort=A","Dates=H","DateFormat=P","Fill=—","Direction=H","UseDPDF=Y")</f>
        <v>#NAME?</v>
      </c>
      <c r="AS563" s="2" t="e">
        <f ca="1">_xll.BDH($C$553,"ACCOUNTS_RECEIVABLE_5_YR_GROWTH","FY 2016","FY 2016","Currency=INR","Period=FY","BEST_FPERIOD_OVERRIDE=FY","FILING_STATUS=OR","EQY_CONSOLIDATED=Y","Sort=A","Dates=H","DateFormat=P","Fill=—","Direction=H","UseDPDF=Y")</f>
        <v>#NAME?</v>
      </c>
      <c r="AT563" s="2" t="e">
        <f ca="1">_xll.BDH($C$553,"INVENTORY_5_YEAR_GROWTH","FY 2016","FY 2016","Currency=INR","Period=FY","BEST_FPERIOD_OVERRIDE=FY","FILING_STATUS=OR","EQY_CONSOLIDATED=Y","Sort=A","Dates=H","DateFormat=P","Fill=—","Direction=H","UseDPDF=Y")</f>
        <v>#NAME?</v>
      </c>
      <c r="AU563" s="2" t="e">
        <f ca="1">_xll.BDH($C$553,"NET_FIXED_ASSETS_5_YEAR_GROWTH","FY 2016","FY 2016","Currency=INR","Period=FY","BEST_FPERIOD_OVERRIDE=FY","FILING_STATUS=OR","EQY_CONSOLIDATED=Y","Sort=A","Dates=H","DateFormat=P","Fill=—","Direction=H","UseDPDF=Y")</f>
        <v>#NAME?</v>
      </c>
      <c r="AV563" s="2" t="e">
        <f ca="1">_xll.BDH($C$553,"GEO_GROW_TOT_ASSET","FY 2016","FY 2016","Currency=INR","Period=FY","BEST_FPERIOD_OVERRIDE=FY","FILING_STATUS=OR","EQY_CONSOLIDATED=Y","Sort=A","Dates=H","DateFormat=P","Fill=—","Direction=H","UseDPDF=Y")</f>
        <v>#NAME?</v>
      </c>
      <c r="AW563" s="2" t="e">
        <f ca="1">_xll.BDH($C$553,"MODIFIED_WORKING_CPTL_5YR_GRWTH","FY 2016","FY 2016","Currency=INR","Period=FY","BEST_FPERIOD_OVERRIDE=FY","FILING_STATUS=OR","EQY_CONSOLIDATED=Y","Sort=A","Dates=H","DateFormat=P","Fill=—","Direction=H","UseDPDF=Y")</f>
        <v>#NAME?</v>
      </c>
      <c r="AX563" s="2" t="e">
        <f ca="1">_xll.BDH($C$553,"WORKING_CAPITAL_5_YEAR_GROWTH","FY 2016","FY 2016","Currency=INR","Period=FY","BEST_FPERIOD_OVERRIDE=FY","FILING_STATUS=OR","EQY_CONSOLIDATED=Y","Sort=A","Dates=H","DateFormat=P","Fill=—","Direction=H","UseDPDF=Y")</f>
        <v>#NAME?</v>
      </c>
      <c r="AY563" s="2" t="e">
        <f ca="1">_xll.BDH($C$553,"ACCOUNTS_PAYABLE_5_YEAR_GROWTH","FY 2016","FY 2016","Currency=INR","Period=FY","BEST_FPERIOD_OVERRIDE=FY","FILING_STATUS=OR","EQY_CONSOLIDATED=Y","Sort=A","Dates=H","DateFormat=P","Fill=—","Direction=H","UseDPDF=Y")</f>
        <v>#NAME?</v>
      </c>
      <c r="AZ563" s="2" t="e">
        <f ca="1">_xll.BDH($C$553,"SHORT_TERM_DEBT_5_YEAR_GROWTH","FY 2016","FY 2016","Currency=INR","Period=FY","BEST_FPERIOD_OVERRIDE=FY","FILING_STATUS=OR","EQY_CONSOLIDATED=Y","Sort=A","Dates=H","DateFormat=P","Fill=—","Direction=H","UseDPDF=Y")</f>
        <v>#NAME?</v>
      </c>
      <c r="BA563" s="2" t="e">
        <f ca="1">_xll.BDH($C$553,"TOTAL_DEBT_5_YEAR_GROWTH","FY 2016","FY 2016","Currency=INR","Period=FY","BEST_FPERIOD_OVERRIDE=FY","FILING_STATUS=OR","EQY_CONSOLIDATED=Y","Sort=A","Dates=H","DateFormat=P","Fill=—","Direction=H","UseDPDF=Y")</f>
        <v>#NAME?</v>
      </c>
      <c r="BB563" s="2" t="e">
        <f ca="1">_xll.BDH($C$553,"GEO_GROW_TOT_SHRHLDR_EQY","FY 2016","FY 2016","Currency=INR","Period=FY","BEST_FPERIOD_OVERRIDE=FY","FILING_STATUS=OR","EQY_CONSOLIDATED=Y","Sort=A","Dates=H","DateFormat=P","Fill=—","Direction=H","UseDPDF=Y")</f>
        <v>#NAME?</v>
      </c>
      <c r="BC563" s="2" t="e">
        <f ca="1">_xll.BDH($C$553,"TOTAL_CAPITAL_5_YEAR_GROWTH","FY 2016","FY 2016","Currency=INR","Period=FY","BEST_FPERIOD_OVERRIDE=FY","FILING_STATUS=OR","EQY_CONSOLIDATED=Y","Sort=A","Dates=H","DateFormat=P","Fill=—","Direction=H","UseDPDF=Y")</f>
        <v>#NAME?</v>
      </c>
      <c r="BD563" s="2" t="e">
        <f ca="1">_xll.BDH($C$553,"GEO_GROW_BOOK_VAL","FY 2016","FY 2016","Currency=INR","Period=FY","BEST_FPERIOD_OVERRIDE=FY","FILING_STATUS=OR","EQY_CONSOLIDATED=Y","Sort=A","Dates=H","DateFormat=P","Fill=—","Direction=H","UseDPDF=Y")</f>
        <v>#NAME?</v>
      </c>
      <c r="BE563" s="2" t="e">
        <f ca="1">_xll.BDH($C$553,"GEO_GROW_CASH_OPER_ACT","FY 2016","FY 2016","Currency=INR","Period=FY","BEST_FPERIOD_OVERRIDE=FY","FILING_STATUS=OR","EQY_CONSOLIDATED=Y","Sort=A","Dates=H","DateFormat=P","Fill=—","Direction=H","UseDPDF=Y")</f>
        <v>#NAME?</v>
      </c>
      <c r="BF563" s="2" t="e">
        <f ca="1">_xll.BDH($C$553,"REVENUE_SEQUENTIAL_GROWTH","FY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63" s="2" t="e">
        <f ca="1">_xll.BDH($C$553,"EBITDA_SEQUENTIAL_GROWTH","FY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63" s="2" t="e">
        <f ca="1">_xll.BDH($C$553,"OPERATING_INCOME_SEQ_GROWTH","FY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63" s="2" t="e">
        <f ca="1">_xll.BDH($C$553,"NET_INCOME_TO_COMMON_SEQ_GROWTH","FY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63" s="2" t="e">
        <f ca="1">_xll.BDH($C$553,"EPS_DILUTED_SEQUENTIAL_GROWTH","FY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63" s="2" t="e">
        <f ca="1">_xll.BDH($C$553,"DPS_SEQUENTIAL_GROWTH","FY 2016","FY 2016","Currency=INR","Period=FY","BEST_FPERIOD_OVERRIDE=FY","FILING_STATUS=OR","EQY_CONSOLIDATED=Y","Sort=A","Dates=H","DateFormat=P","Fill=—","Direction=H","UseDPDF=Y")</f>
        <v>#NAME?</v>
      </c>
      <c r="BL563" s="2" t="e">
        <f ca="1">_xll.BDH($C$553,"ACCOUNTS_RECEIVABLE_SEQ_GROWTH","FY 2016","FY 2016","Currency=INR","Period=FY","BEST_FPERIOD_OVERRIDE=FY","FILING_STATUS=OR","EQY_CONSOLIDATED=Y","Sort=A","Dates=H","DateFormat=P","Fill=—","Direction=H","UseDPDF=Y")</f>
        <v>#NAME?</v>
      </c>
      <c r="BM563" s="2" t="e">
        <f ca="1">_xll.BDH($C$553,"INVENTORY_SEQUENTIAL_GROWTH","FY 2016","FY 2016","Currency=INR","Period=FY","BEST_FPERIOD_OVERRIDE=FY","FILING_STATUS=OR","EQY_CONSOLIDATED=Y","Sort=A","Dates=H","DateFormat=P","Fill=—","Direction=H","UseDPDF=Y")</f>
        <v>#NAME?</v>
      </c>
      <c r="BN563" s="2" t="e">
        <f ca="1">_xll.BDH($C$553,"FIXED_ASSETS_SEQUENTIAL_GROWTH","FY 2016","FY 2016","Currency=INR","Period=FY","BEST_FPERIOD_OVERRIDE=FY","FILING_STATUS=OR","EQY_CONSOLIDATED=Y","Sort=A","Dates=H","DateFormat=P","Fill=—","Direction=H","UseDPDF=Y")</f>
        <v>#NAME?</v>
      </c>
      <c r="BO563" s="2" t="e">
        <f ca="1">_xll.BDH($C$553,"TOTAL_ASSETS_SEQUENTIAL_GROWTH","FY 2016","FY 2016","Currency=INR","Period=FY","BEST_FPERIOD_OVERRIDE=FY","FILING_STATUS=OR","EQY_CONSOLIDATED=Y","Sort=A","Dates=H","DateFormat=P","Fill=—","Direction=H","UseDPDF=Y")</f>
        <v>#NAME?</v>
      </c>
      <c r="BP563" s="2" t="e">
        <f ca="1">_xll.BDH($C$553,"MODIFIED_WORKING_CPTL_SEQ_GRWTH","FY 2016","FY 2016","Currency=INR","Period=FY","BEST_FPERIOD_OVERRIDE=FY","FILING_STATUS=OR","EQY_CONSOLIDATED=Y","Sort=A","Dates=H","DateFormat=P","Fill=—","Direction=H","UseDPDF=Y")</f>
        <v>#NAME?</v>
      </c>
      <c r="BQ563" s="2" t="e">
        <f ca="1">_xll.BDH($C$553,"WORKING_CAPITAL_SEQ_GROWTH","FY 2016","FY 2016","Currency=INR","Period=FY","BEST_FPERIOD_OVERRIDE=FY","FILING_STATUS=OR","EQY_CONSOLIDATED=Y","Sort=A","Dates=H","DateFormat=P","Fill=—","Direction=H","UseDPDF=Y")</f>
        <v>#NAME?</v>
      </c>
      <c r="BR563" s="2" t="e">
        <f ca="1">_xll.BDH($C$553,"ACCOUNTS_PAYABLE_SEQ_GROWTH","FY 2016","FY 2016","Currency=INR","Period=FY","BEST_FPERIOD_OVERRIDE=FY","FILING_STATUS=OR","EQY_CONSOLIDATED=Y","Sort=A","Dates=H","DateFormat=P","Fill=—","Direction=H","UseDPDF=Y")</f>
        <v>#NAME?</v>
      </c>
      <c r="BS563" s="2" t="e">
        <f ca="1">_xll.BDH($C$553,"ST_DEBT_SEQUENTIAL_GROWTH","FY 2016","FY 2016","Currency=INR","Period=FY","BEST_FPERIOD_OVERRIDE=FY","FILING_STATUS=OR","EQY_CONSOLIDATED=Y","Sort=A","Dates=H","DateFormat=P","Fill=—","Direction=H","UseDPDF=Y")</f>
        <v>#NAME?</v>
      </c>
      <c r="BT563" s="2" t="e">
        <f ca="1">_xll.BDH($C$553,"TOTAL_DEBT_SEQUENTIAL_GROWTH","FY 2016","FY 2016","Currency=INR","Period=FY","BEST_FPERIOD_OVERRIDE=FY","FILING_STATUS=OR","EQY_CONSOLIDATED=Y","Sort=A","Dates=H","DateFormat=P","Fill=—","Direction=H","UseDPDF=Y")</f>
        <v>#NAME?</v>
      </c>
      <c r="BU563" s="2" t="e">
        <f ca="1">_xll.BDH($C$553,"TOTAL_EQUITY_SEQUENTIAL_GROWTH","FY 2016","FY 2016","Currency=INR","Period=FY","BEST_FPERIOD_OVERRIDE=FY","FILING_STATUS=OR","EQY_CONSOLIDATED=Y","Sort=A","Dates=H","DateFormat=P","Fill=—","Direction=H","UseDPDF=Y")</f>
        <v>#NAME?</v>
      </c>
      <c r="BV563" s="2" t="e">
        <f ca="1">_xll.BDH($C$553,"TOTAL_CAPITAL_SEQUENTIAL_GROWTH","FY 2016","FY 2016","Currency=INR","Period=FY","BEST_FPERIOD_OVERRIDE=FY","FILING_STATUS=OR","EQY_CONSOLIDATED=Y","Sort=A","Dates=H","DateFormat=P","Fill=—","Direction=H","UseDPDF=Y")</f>
        <v>#NAME?</v>
      </c>
      <c r="BW563" s="2" t="e">
        <f ca="1">_xll.BDH($C$553,"BPS_SEQUENTIAL_GROWTH","FY 2016","FY 2016","Currency=INR","Period=FY","BEST_FPERIOD_OVERRIDE=FY","FILING_STATUS=OR","EQY_CONSOLIDATED=Y","Sort=A","Dates=H","DateFormat=P","Fill=—","Direction=H","UseDPDF=Y")</f>
        <v>#NAME?</v>
      </c>
      <c r="BX563" s="2" t="e">
        <f ca="1">_xll.BDH($C$553,"CFO_SEQUENTIAL_GROWTH","FY 2016","FY 2016","Currency=INR","Period=FY","BEST_FPERIOD_OVERRIDE=FY","FILING_STATUS=OR","EQY_CONSOLIDATED=Y","Sort=A","Dates=H","DateFormat=P","Fill=—","Direction=H","UseDPDF=Y")</f>
        <v>#NAME?</v>
      </c>
      <c r="BY563" s="3" t="e">
        <f ca="1">_xll.BDH($C$553,"SHORT_AND_LONG_TERM_DEBT","FY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63" s="3" t="e">
        <f ca="1">_xll.BDH($C$553,"BS_ST_BORROW","FY 2016","FY 2016","Currency=INR","Period=FY","BEST_FPERIOD_OVERRIDE=FY","FILING_STATUS=OR","EQY_CONSOLIDATED=Y","SCALING_FORMAT=MLN","Sort=A","Dates=H","DateFormat=P","Fill=—","Direction=H","UseDPDF=Y")</f>
        <v>#NAME?</v>
      </c>
      <c r="CA563" s="3" t="e">
        <f ca="1">_xll.BDH($C$553,"BS_LT_BORROW","FY 2016","FY 2016","Currency=INR","Period=FY","BEST_FPERIOD_OVERRIDE=FY","FILING_STATUS=OR","EQY_CONSOLIDATED=Y","SCALING_FORMAT=MLN","Sort=A","Dates=H","DateFormat=P","Fill=—","Direction=H","UseDPDF=Y")</f>
        <v>#NAME?</v>
      </c>
      <c r="CB563" s="2" t="e">
        <f ca="1">_xll.BDH($C$553,"TOT_DEBT_TO_EBITDA","FY 2016","FY 2016","Currency=INR","Period=FY","BEST_FPERIOD_OVERRIDE=FY","FILING_STATUS=OR","EQY_CONSOLIDATED=Y","FA_ADJUSTED=GAAP","Sort=A","Dates=H","DateFormat=P","Fill=—","Direction=H","UseDPDF=Y")</f>
        <v>#NAME?</v>
      </c>
      <c r="CC563" s="2" t="e">
        <f ca="1">_xll.BDH($C$553,"NET_DEBT_TO_EBITDA","FY 2016","FY 2016","Currency=INR","Period=FY","BEST_FPERIOD_OVERRIDE=FY","FILING_STATUS=OR","EQY_CONSOLIDATED=Y","FA_ADJUSTED=GAAP","Sort=A","Dates=H","DateFormat=P","Fill=—","Direction=H","UseDPDF=Y")</f>
        <v>#NAME?</v>
      </c>
      <c r="CD563" s="2" t="e">
        <f ca="1">_xll.BDH($C$553,"TOTAL_DEBT_TO_EBIT","FY 2016","FY 2016","Currency=INR","Period=FY","BEST_FPERIOD_OVERRIDE=FY","FILING_STATUS=OR","EQY_CONSOLIDATED=Y","FA_ADJUSTED=GAAP","Sort=A","Dates=H","DateFormat=P","Fill=—","Direction=H","UseDPDF=Y")</f>
        <v>#NAME?</v>
      </c>
      <c r="CE563" s="2" t="e">
        <f ca="1">_xll.BDH($C$553,"NET_DEBT_TO_EBIT","FY 2016","FY 2016","Currency=INR","Period=FY","BEST_FPERIOD_OVERRIDE=FY","FILING_STATUS=OR","EQY_CONSOLIDATED=Y","FA_ADJUSTED=GAAP","Sort=A","Dates=H","DateFormat=P","Fill=—","Direction=H","UseDPDF=Y")</f>
        <v>#NAME?</v>
      </c>
      <c r="CF563" s="2" t="e">
        <f ca="1">_xll.BDH($C$553,"EBITDA_TO_INTEREST_EXPN","FY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63" s="2" t="e">
        <f ca="1">_xll.BDH($C$553,"COM_EQY_TO_TOT_ASSET","FY 2016","FY 2016","Currency=INR","Period=FY","BEST_FPERIOD_OVERRIDE=FY","FILING_STATUS=OR","EQY_CONSOLIDATED=Y","Sort=A","Dates=H","DateFormat=P","Fill=—","Direction=H","UseDPDF=Y")</f>
        <v>#NAME?</v>
      </c>
      <c r="CH563" s="2" t="e">
        <f ca="1">_xll.BDH($C$553,"LT_DEBT_TO_TOT_EQY","FY 2016","FY 2016","Currency=INR","Period=FY","BEST_FPERIOD_OVERRIDE=FY","FILING_STATUS=OR","EQY_CONSOLIDATED=Y","Sort=A","Dates=H","DateFormat=P","Fill=—","Direction=H","UseDPDF=Y")</f>
        <v>#NAME?</v>
      </c>
      <c r="CI563" s="2" t="e">
        <f ca="1">_xll.BDH($C$553,"LT_DEBT_TO_TOT_CAP","FY 2016","FY 2016","Currency=INR","Period=FY","BEST_FPERIOD_OVERRIDE=FY","FILING_STATUS=OR","EQY_CONSOLIDATED=Y","Sort=A","Dates=H","DateFormat=P","Fill=—","Direction=H","UseDPDF=Y")</f>
        <v>#NAME?</v>
      </c>
      <c r="CJ563" s="2" t="e">
        <f ca="1">_xll.BDH($C$553,"LT_DEBT_TO_TOT_ASSET","FY 2016","FY 2016","Currency=INR","Period=FY","BEST_FPERIOD_OVERRIDE=FY","FILING_STATUS=OR","EQY_CONSOLIDATED=Y","Sort=A","Dates=H","DateFormat=P","Fill=—","Direction=H","UseDPDF=Y")</f>
        <v>#NAME?</v>
      </c>
      <c r="CK563" s="2" t="e">
        <f ca="1">_xll.BDH($C$553,"TOT_DEBT_TO_TOT_EQY","FY 2016","FY 2016","Currency=INR","Period=FY","BEST_FPERIOD_OVERRIDE=FY","FILING_STATUS=OR","EQY_CONSOLIDATED=Y","Sort=A","Dates=H","DateFormat=P","Fill=—","Direction=H","UseDPDF=Y")</f>
        <v>#NAME?</v>
      </c>
      <c r="CL563" s="2" t="e">
        <f ca="1">_xll.BDH($C$553,"TOT_DEBT_TO_TOT_CAP","FY 2016","FY 2016","Currency=INR","Period=FY","BEST_FPERIOD_OVERRIDE=FY","FILING_STATUS=OR","EQY_CONSOLIDATED=Y","Sort=A","Dates=H","DateFormat=P","Fill=—","Direction=H","UseDPDF=Y")</f>
        <v>#NAME?</v>
      </c>
      <c r="CM563" s="2" t="e">
        <f ca="1">_xll.BDH($C$553,"TOT_DEBT_TO_TOT_ASSET","FY 2016","FY 2016","Currency=INR","Period=FY","BEST_FPERIOD_OVERRIDE=FY","FILING_STATUS=OR","EQY_CONSOLIDATED=Y","Sort=A","Dates=H","DateFormat=P","Fill=—","Direction=H","UseDPDF=Y")</f>
        <v>#NAME?</v>
      </c>
      <c r="CN563" s="2" t="e">
        <f ca="1">_xll.BDH($C$553,"NET_DEBT_TO_SHRHLDR_EQTY","FY 2016","FY 2016","Currency=INR","Period=FY","BEST_FPERIOD_OVERRIDE=FY","FILING_STATUS=OR","EQY_CONSOLIDATED=Y","Sort=A","Dates=H","DateFormat=P","Fill=—","Direction=H","UseDPDF=Y")</f>
        <v>#NAME?</v>
      </c>
      <c r="CO563" s="2" t="e">
        <f ca="1">_xll.BDH($C$553,"NET_DEBT_%_CAPITAL","FY 2016","FY 2016","Currency=INR","Period=FY","BEST_FPERIOD_OVERRIDE=FY","FILING_STATUS=OR","EQY_CONSOLIDATED=Y","Sort=A","Dates=H","DateFormat=P","Fill=—","Direction=H","UseDPDF=Y")</f>
        <v>#NAME?</v>
      </c>
      <c r="CP563" s="3" t="e">
        <f ca="1">_xll.BDH($C$553,"EBITDA","FY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63" s="3" t="e">
        <f ca="1">_xll.BDH($C$553,"EBITDA_AFTER_CAPEX","FY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63" s="3" t="e">
        <f ca="1">_xll.BDH($C$553,"IS_OPER_INC","FY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63" s="2" t="e">
        <f ca="1">_xll.BDH($C$553,"CASH_RATIO","FY 2016","FY 2016","Currency=INR","Period=FY","BEST_FPERIOD_OVERRIDE=FY","FILING_STATUS=OR","EQY_CONSOLIDATED=Y","Sort=A","Dates=H","DateFormat=P","Fill=—","Direction=H","UseDPDF=Y")</f>
        <v>#NAME?</v>
      </c>
      <c r="CT563" s="2" t="e">
        <f ca="1">_xll.BDH($C$553,"CUR_RATIO","FY 2016","FY 2016","Currency=INR","Period=FY","BEST_FPERIOD_OVERRIDE=FY","FILING_STATUS=OR","EQY_CONSOLIDATED=Y","Sort=A","Dates=H","DateFormat=P","Fill=—","Direction=H","UseDPDF=Y")</f>
        <v>#NAME?</v>
      </c>
      <c r="CU563" s="2" t="e">
        <f ca="1">_xll.BDH($C$553,"QUICK_RATIO","FY 2016","FY 2016","Currency=INR","Period=FY","BEST_FPERIOD_OVERRIDE=FY","FILING_STATUS=OR","EQY_CONSOLIDATED=Y","Sort=A","Dates=H","DateFormat=P","Fill=—","Direction=H","UseDPDF=Y")</f>
        <v>#NAME?</v>
      </c>
      <c r="CV563" s="2" t="e">
        <f ca="1">_xll.BDH($C$553,"ALTMAN_Z_SCORE","FY 2016","FY 2016","Currency=INR","Period=FY","BEST_FPERIOD_OVERRIDE=FY","FILING_STATUS=OR","EQY_CONSOLIDATED=Y","Sort=A","Dates=H","DateFormat=P","Fill=—","Direction=H","UseDPDF=Y")</f>
        <v>#NAME?</v>
      </c>
      <c r="CW563" s="4" t="e">
        <f ca="1">_xll.BDH($C$553,"ACCT_RCV_TURN","FY 2016","FY 2016","Currency=INR","Period=FY","BEST_FPERIOD_OVERRIDE=FY","FILING_STATUS=OR","EQY_CONSOLIDATED=Y","FA_ADJUSTED=GAAP","Sort=A","Dates=H","DateFormat=P","Fill=—","Direction=H","UseDPDF=Y")</f>
        <v>#NAME?</v>
      </c>
      <c r="CX563" s="2" t="e">
        <f ca="1">_xll.BDH($C$553,"ACCT_RCV_DAYS","FY 2016","FY 2016","Currency=INR","Period=FY","BEST_FPERIOD_OVERRIDE=FY","FILING_STATUS=OR","EQY_CONSOLIDATED=Y","FA_ADJUSTED=GAAP","Sort=A","Dates=H","DateFormat=P","Fill=—","Direction=H","UseDPDF=Y")</f>
        <v>#NAME?</v>
      </c>
      <c r="CY563" s="4" t="e">
        <f ca="1">_xll.BDH($C$553,"INVENT_TURN","FY 2016","FY 2016","Currency=INR","Period=FY","BEST_FPERIOD_OVERRIDE=FY","FILING_STATUS=OR","EQY_CONSOLIDATED=Y","FA_ADJUSTED=GAAP","Sort=A","Dates=H","DateFormat=P","Fill=—","Direction=H","UseDPDF=Y")</f>
        <v>#NAME?</v>
      </c>
      <c r="CZ563" s="2" t="e">
        <f ca="1">_xll.BDH($C$553,"INVENT_DAYS","FY 2016","FY 2016","Currency=INR","Period=FY","BEST_FPERIOD_OVERRIDE=FY","FILING_STATUS=OR","EQY_CONSOLIDATED=Y","FA_ADJUSTED=GAAP","Sort=A","Dates=H","DateFormat=P","Fill=—","Direction=H","UseDPDF=Y")</f>
        <v>#NAME?</v>
      </c>
      <c r="DA563" s="4" t="e">
        <f ca="1">_xll.BDH($C$553,"ACCOUNTS_PAYABLE_TURNOVER","FY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63" s="2" t="e">
        <f ca="1">_xll.BDH($C$553,"ACCOUNTS_PAYABLE_TURNOVER_DAYS","FY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63" s="4" t="e">
        <f ca="1">_xll.BDH($C$553,"CASH_CONVERSION_CYCLE","FY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63" s="4" t="e">
        <f ca="1">_xll.BDH($C$553,"INV_TO_CASH_DAYS","FY 2016","FY 2016","Currency=INR","Period=FY","BEST_FPERIOD_OVERRIDE=FY","FILING_STATUS=OR","EQY_CONSOLIDATED=Y","FA_ADJUSTED=GAAP","Sort=A","Dates=H","DateFormat=P","Fill=—","Direction=H","UseDPDF=Y")</f>
        <v>#NAME?</v>
      </c>
      <c r="DE563" s="5" t="e">
        <f ca="1">_xll.BDH($C$553,"BS_INVENTORIES","FY 2016","FY 2016","Currency=INR","Period=FY","BEST_FPERIOD_OVERRIDE=FY","FILING_STATUS=OR","EQY_CONSOLIDATED=Y","SCALING_FORMAT=MLN","Sort=A","Dates=H","DateFormat=P","Fill=—","Direction=H","UseDPDF=Y")</f>
        <v>#NAME?</v>
      </c>
      <c r="DF563" s="3" t="e">
        <f ca="1">_xll.BDH($C$553,"INVTRY_RAW_MATERIALS","FY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63" s="3" t="e">
        <f ca="1">_xll.BDH($C$553,"INVTRY_IN_PROGRESS","FY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63" s="3" t="e">
        <f ca="1">_xll.BDH($C$553,"INVTRY_FINISHED_GOODS","FY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63" s="3" t="e">
        <f ca="1">_xll.BDH($C$553,"BS_OTHER_INV","FY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64" spans="1:113" x14ac:dyDescent="0.3">
      <c r="A564" s="6"/>
      <c r="B564" s="6"/>
      <c r="C564" s="6"/>
      <c r="D564" s="6"/>
      <c r="E564" t="s">
        <v>78</v>
      </c>
      <c r="F564" t="e">
        <f ca="1">_xll.BDH($C$553,"RETURN_COM_EQY","FQ1 2016","FQ1 2016","Currency=INR","Period=FQ","BEST_FPERIOD_OVERRIDE=FQ","FILING_STATUS=OR","EQY_CONSOLIDATED=Y","FA_ADJUSTED=GAAP","Sort=A","Dates=H","DateFormat=P","Fill=—","Direction=H","UseDPDF=Y")</f>
        <v>#NAME?</v>
      </c>
      <c r="G564" t="e">
        <f ca="1">_xll.BDH($C$553,"RETURN_ON_ASSET","FQ1 2016","FQ1 2016","Currency=INR","Period=FQ","BEST_FPERIOD_OVERRIDE=FQ","FILING_STATUS=OR","EQY_CONSOLIDATED=Y","FA_ADJUSTED=GAAP","Sort=A","Dates=H","DateFormat=P","Fill=—","Direction=H","UseDPDF=Y")</f>
        <v>#NAME?</v>
      </c>
      <c r="H564" t="e">
        <f ca="1">_xll.BDH($C$553,"RETURN_ON_CAP","FQ1 2016","FQ1 2016","Currency=INR","Period=FQ","BEST_FPERIOD_OVERRIDE=FQ","FILING_STATUS=OR","EQY_CONSOLIDATED=Y","FA_ADJUSTED=GAAP","Sort=A","Dates=H","DateFormat=P","Fill=—","Direction=H","UseDPDF=Y")</f>
        <v>#NAME?</v>
      </c>
      <c r="I564" t="e">
        <f ca="1">_xll.BDH($C$553,"RETURN_ON_INV_CAPITAL","FQ1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64" t="e">
        <f ca="1">_xll.BDH($C$553,"EBITDA_TO_REVENUE","FQ1 2016","FQ1 2016","Currency=INR","Period=FQ","BEST_FPERIOD_OVERRIDE=FQ","FILING_STATUS=OR","EQY_CONSOLIDATED=Y","FA_ADJUSTED=GAAP","Sort=A","Dates=H","DateFormat=P","Fill=—","Direction=H","UseDPDF=Y")</f>
        <v>#NAME?</v>
      </c>
      <c r="K564" t="e">
        <f ca="1">_xll.BDH($C$553,"OPER_MARGIN","FQ1 2016","FQ1 2016","Currency=INR","Period=FQ","BEST_FPERIOD_OVERRIDE=FQ","FILING_STATUS=OR","EQY_CONSOLIDATED=Y","FA_ADJUSTED=GAAP","Sort=A","Dates=H","DateFormat=P","Fill=—","Direction=H","UseDPDF=Y")</f>
        <v>#NAME?</v>
      </c>
      <c r="L564" t="e">
        <f ca="1">_xll.BDH($C$553,"INCREMENTAL_OPERATING_MARGIN","FQ1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64" t="e">
        <f ca="1">_xll.BDH($C$553,"PRETAX_INC_TO_NET_SALES","FQ1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64" t="e">
        <f ca="1">_xll.BDH($C$553,"INC_BEF_XO_ITEMS_TO_NET_SALES","FQ1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64" t="e">
        <f ca="1">_xll.BDH($C$553,"PROF_MARGIN","FQ1 2016","FQ1 2016","Currency=INR","Period=FQ","BEST_FPERIOD_OVERRIDE=FQ","FILING_STATUS=OR","EQY_CONSOLIDATED=Y","FA_ADJUSTED=GAAP","Sort=A","Dates=H","DateFormat=P","Fill=—","Direction=H","UseDPDF=Y")</f>
        <v>#NAME?</v>
      </c>
      <c r="P564" t="e">
        <f ca="1">_xll.BDH($C$553,"NET_INCOME_TO_COMMON_MARGIN","FQ1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64" t="e">
        <f ca="1">_xll.BDH($C$553,"EFF_TAX_RATE","FQ1 2016","FQ1 2016","Currency=INR","Period=FQ","BEST_FPERIOD_OVERRIDE=FQ","FILING_STATUS=OR","EQY_CONSOLIDATED=Y","FA_ADJUSTED=GAAP","Sort=A","Dates=H","DateFormat=P","Fill=—","Direction=H","UseDPDF=Y")</f>
        <v>#NAME?</v>
      </c>
      <c r="R564" t="e">
        <f ca="1">_xll.BDH($C$553,"DVD_PAYOUT_RATIO","FQ1 2016","FQ1 2016","Currency=INR","Period=FQ","BEST_FPERIOD_OVERRIDE=FQ","FILING_STATUS=OR","EQY_CONSOLIDATED=Y","FA_ADJUSTED=GAAP","Sort=A","Dates=H","DateFormat=P","Fill=—","Direction=H","UseDPDF=Y")</f>
        <v>#NAME?</v>
      </c>
      <c r="S564" t="e">
        <f ca="1">_xll.BDH($C$553,"SUSTAIN_GROWTH_RT","FQ1 2016","FQ1 2016","Currency=INR","Period=FQ","BEST_FPERIOD_OVERRIDE=FQ","FILING_STATUS=OR","EQY_CONSOLIDATED=Y","FA_ADJUSTED=GAAP","Sort=A","Dates=H","DateFormat=P","Fill=—","Direction=H","UseDPDF=Y")</f>
        <v>#NAME?</v>
      </c>
      <c r="T564" s="2" t="e">
        <f ca="1">_xll.BDH($C$553,"SALES_GROWTH","FQ1 2016","FQ1 2016","Currency=INR","Period=FQ","BEST_FPERIOD_OVERRIDE=FQ","FILING_STATUS=OR","EQY_CONSOLIDATED=Y","FA_ADJUSTED=GAAP","Sort=A","Dates=H","DateFormat=P","Fill=—","Direction=H","UseDPDF=Y")</f>
        <v>#NAME?</v>
      </c>
      <c r="U564" s="2" t="e">
        <f ca="1">_xll.BDH($C$553,"EBITDA_GROWTH","FQ1 2016","FQ1 2016","Currency=INR","Period=FQ","BEST_FPERIOD_OVERRIDE=FQ","FILING_STATUS=OR","EQY_CONSOLIDATED=Y","FA_ADJUSTED=GAAP","Sort=A","Dates=H","DateFormat=P","Fill=—","Direction=H","UseDPDF=Y")</f>
        <v>#NAME?</v>
      </c>
      <c r="V564" s="2" t="e">
        <f ca="1">_xll.BDH($C$553,"OPER_INC_GROWTH","FQ1 2016","FQ1 2016","Currency=INR","Period=FQ","BEST_FPERIOD_OVERRIDE=FQ","FILING_STATUS=OR","EQY_CONSOLIDATED=Y","FA_ADJUSTED=GAAP","Sort=A","Dates=H","DateFormat=P","Fill=—","Direction=H","UseDPDF=Y")</f>
        <v>#NAME?</v>
      </c>
      <c r="W564" s="2" t="e">
        <f ca="1">_xll.BDH($C$553,"EARN_FOR_COM_GROWTH","FQ1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64" s="2" t="e">
        <f ca="1">_xll.BDH($C$553,"DILUTED_EPS_AFT_XO_ITEMS_GROWTH","FQ1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64" s="2" t="e">
        <f ca="1">_xll.BDH($C$553,"DIVIDEND_PER_SHARE_1_YEAR_GROWTH","FQ1 2016","FQ1 2016","Currency=INR","Period=FQ","BEST_FPERIOD_OVERRIDE=FQ","FILING_STATUS=OR","EQY_CONSOLIDATED=Y","Sort=A","Dates=H","DateFormat=P","Fill=—","Direction=H","UseDPDF=Y")</f>
        <v>#NAME?</v>
      </c>
      <c r="Z564" s="2" t="e">
        <f ca="1">_xll.BDH($C$553,"ACCOUNTS_RECEIVABLE_GROWTH","FQ1 2016","FQ1 2016","Currency=INR","Period=FQ","BEST_FPERIOD_OVERRIDE=FQ","FILING_STATUS=OR","EQY_CONSOLIDATED=Y","Sort=A","Dates=H","DateFormat=P","Fill=—","Direction=H","UseDPDF=Y")</f>
        <v>#NAME?</v>
      </c>
      <c r="AA564" s="2" t="e">
        <f ca="1">_xll.BDH($C$553,"INVENTORY_GROWTH","FQ1 2016","FQ1 2016","Currency=INR","Period=FQ","BEST_FPERIOD_OVERRIDE=FQ","FILING_STATUS=OR","EQY_CONSOLIDATED=Y","Sort=A","Dates=H","DateFormat=P","Fill=—","Direction=H","UseDPDF=Y")</f>
        <v>#NAME?</v>
      </c>
      <c r="AB564" s="2" t="e">
        <f ca="1">_xll.BDH($C$553,"NET_FIXED_ASSETS_1_YEAR_GROWTH","FQ1 2016","FQ1 2016","Currency=INR","Period=FQ","BEST_FPERIOD_OVERRIDE=FQ","FILING_STATUS=OR","EQY_CONSOLIDATED=Y","Sort=A","Dates=H","DateFormat=P","Fill=—","Direction=H","UseDPDF=Y")</f>
        <v>#NAME?</v>
      </c>
      <c r="AC564" s="2" t="e">
        <f ca="1">_xll.BDH($C$553,"ASSET_GROWTH","FQ1 2016","FQ1 2016","Currency=INR","Period=FQ","BEST_FPERIOD_OVERRIDE=FQ","FILING_STATUS=OR","EQY_CONSOLIDATED=Y","Sort=A","Dates=H","DateFormat=P","Fill=—","Direction=H","UseDPDF=Y")</f>
        <v>#NAME?</v>
      </c>
      <c r="AD564" s="2" t="e">
        <f ca="1">_xll.BDH($C$553,"MODIFIED_WORK_CAP_GROWTH","FQ1 2016","FQ1 2016","Currency=INR","Period=FQ","BEST_FPERIOD_OVERRIDE=FQ","FILING_STATUS=OR","EQY_CONSOLIDATED=Y","Sort=A","Dates=H","DateFormat=P","Fill=—","Direction=H","UseDPDF=Y")</f>
        <v>#NAME?</v>
      </c>
      <c r="AE564" s="2" t="e">
        <f ca="1">_xll.BDH($C$553,"WORK_CAP_GROWTH","FQ1 2016","FQ1 2016","Currency=INR","Period=FQ","BEST_FPERIOD_OVERRIDE=FQ","FILING_STATUS=OR","EQY_CONSOLIDATED=Y","Sort=A","Dates=H","DateFormat=P","Fill=—","Direction=H","UseDPDF=Y")</f>
        <v>#NAME?</v>
      </c>
      <c r="AF564" s="2" t="e">
        <f ca="1">_xll.BDH($C$553,"ACCOUNTS_PAYABLE_GROWTH_1YR","FQ1 2016","FQ1 2016","Currency=INR","Period=FQ","BEST_FPERIOD_OVERRIDE=FQ","FILING_STATUS=OR","EQY_CONSOLIDATED=Y","Sort=A","Dates=H","DateFormat=P","Fill=—","Direction=H","UseDPDF=Y")</f>
        <v>#NAME?</v>
      </c>
      <c r="AG564" s="2" t="e">
        <f ca="1">_xll.BDH($C$553,"SHORT_TERM_DEBT_1_YEAR_GROWTH","FQ1 2016","FQ1 2016","Currency=INR","Period=FQ","BEST_FPERIOD_OVERRIDE=FQ","FILING_STATUS=OR","EQY_CONSOLIDATED=Y","Sort=A","Dates=H","DateFormat=P","Fill=—","Direction=H","UseDPDF=Y")</f>
        <v>#NAME?</v>
      </c>
      <c r="AH564" s="2" t="e">
        <f ca="1">_xll.BDH($C$553,"TOTAL_DEBT_1_YEAR_GROWTH","FQ1 2016","FQ1 2016","Currency=INR","Period=FQ","BEST_FPERIOD_OVERRIDE=FQ","FILING_STATUS=OR","EQY_CONSOLIDATED=Y","Sort=A","Dates=H","DateFormat=P","Fill=—","Direction=H","UseDPDF=Y")</f>
        <v>#NAME?</v>
      </c>
      <c r="AI564" s="2" t="e">
        <f ca="1">_xll.BDH($C$553,"TOTAL_EQUITY_1_YEAR_GROWTH","FQ1 2016","FQ1 2016","Currency=INR","Period=FQ","BEST_FPERIOD_OVERRIDE=FQ","FILING_STATUS=OR","EQY_CONSOLIDATED=Y","Sort=A","Dates=H","DateFormat=P","Fill=—","Direction=H","UseDPDF=Y")</f>
        <v>#NAME?</v>
      </c>
      <c r="AJ564" s="2" t="e">
        <f ca="1">_xll.BDH($C$553,"GROWTH_IN_CAP","FQ1 2016","FQ1 2016","Currency=INR","Period=FQ","BEST_FPERIOD_OVERRIDE=FQ","FILING_STATUS=OR","EQY_CONSOLIDATED=Y","Sort=A","Dates=H","DateFormat=P","Fill=—","Direction=H","UseDPDF=Y")</f>
        <v>#NAME?</v>
      </c>
      <c r="AK564" s="2" t="e">
        <f ca="1">_xll.BDH($C$553,"BVPS_GROWTH","FQ1 2016","FQ1 2016","Currency=INR","Period=FQ","BEST_FPERIOD_OVERRIDE=FQ","FILING_STATUS=OR","EQY_CONSOLIDATED=Y","Sort=A","Dates=H","DateFormat=P","Fill=—","Direction=H","UseDPDF=Y")</f>
        <v>#NAME?</v>
      </c>
      <c r="AL564" s="2" t="e">
        <f ca="1">_xll.BDH($C$553,"CASH_FLOW_GROWTH","FQ1 2016","FQ1 2016","Currency=INR","Period=FQ","BEST_FPERIOD_OVERRIDE=FQ","FILING_STATUS=OR","EQY_CONSOLIDATED=Y","Sort=A","Dates=H","DateFormat=P","Fill=—","Direction=H","UseDPDF=Y")</f>
        <v>#NAME?</v>
      </c>
      <c r="AM564" s="2" t="e">
        <f ca="1">_xll.BDH($C$553,"GEO_GROW_NET_SALES","FQ1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64" s="2" t="e">
        <f ca="1">_xll.BDH($C$553,"GEO_GROW_EBITDA","FQ1 2016","FQ1 2016","Currency=INR","Period=FQ","BEST_FPERIOD_OVERRIDE=FQ","FILING_STATUS=OR","EQY_CONSOLIDATED=Y","FA_ADJUSTED=GAAP","Sort=A","Dates=H","DateFormat=P","Fill=—","Direction=H","UseDPDF=Y")</f>
        <v>#NAME?</v>
      </c>
      <c r="AO564" s="2" t="e">
        <f ca="1">_xll.BDH($C$553,"GEO_GROW_OPER_INC","FQ1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64" s="2" t="e">
        <f ca="1">_xll.BDH($C$553,"NET_INCOME_TO_COMMON_5_YR_GROWTH","FQ1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64" s="2" t="e">
        <f ca="1">_xll.BDH($C$553,"5Y_GEO_GROWTH_DILUTED_EPS","FQ1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64" s="2" t="e">
        <f ca="1">_xll.BDH($C$553,"GEO_GROW_DVD_PER_SH","FQ1 2016","FQ1 2016","Currency=INR","Period=FQ","BEST_FPERIOD_OVERRIDE=FQ","FILING_STATUS=OR","EQY_CONSOLIDATED=Y","Sort=A","Dates=H","DateFormat=P","Fill=—","Direction=H","UseDPDF=Y")</f>
        <v>#NAME?</v>
      </c>
      <c r="AS564" s="2" t="e">
        <f ca="1">_xll.BDH($C$553,"ACCOUNTS_RECEIVABLE_5_YR_GROWTH","FQ1 2016","FQ1 2016","Currency=INR","Period=FQ","BEST_FPERIOD_OVERRIDE=FQ","FILING_STATUS=OR","EQY_CONSOLIDATED=Y","Sort=A","Dates=H","DateFormat=P","Fill=—","Direction=H","UseDPDF=Y")</f>
        <v>#NAME?</v>
      </c>
      <c r="AT564" s="2" t="e">
        <f ca="1">_xll.BDH($C$553,"INVENTORY_5_YEAR_GROWTH","FQ1 2016","FQ1 2016","Currency=INR","Period=FQ","BEST_FPERIOD_OVERRIDE=FQ","FILING_STATUS=OR","EQY_CONSOLIDATED=Y","Sort=A","Dates=H","DateFormat=P","Fill=—","Direction=H","UseDPDF=Y")</f>
        <v>#NAME?</v>
      </c>
      <c r="AU564" s="2" t="e">
        <f ca="1">_xll.BDH($C$553,"NET_FIXED_ASSETS_5_YEAR_GROWTH","FQ1 2016","FQ1 2016","Currency=INR","Period=FQ","BEST_FPERIOD_OVERRIDE=FQ","FILING_STATUS=OR","EQY_CONSOLIDATED=Y","Sort=A","Dates=H","DateFormat=P","Fill=—","Direction=H","UseDPDF=Y")</f>
        <v>#NAME?</v>
      </c>
      <c r="AV564" s="2" t="e">
        <f ca="1">_xll.BDH($C$553,"GEO_GROW_TOT_ASSET","FQ1 2016","FQ1 2016","Currency=INR","Period=FQ","BEST_FPERIOD_OVERRIDE=FQ","FILING_STATUS=OR","EQY_CONSOLIDATED=Y","Sort=A","Dates=H","DateFormat=P","Fill=—","Direction=H","UseDPDF=Y")</f>
        <v>#NAME?</v>
      </c>
      <c r="AW564" s="2" t="e">
        <f ca="1">_xll.BDH($C$553,"MODIFIED_WORKING_CPTL_5YR_GRWTH","FQ1 2016","FQ1 2016","Currency=INR","Period=FQ","BEST_FPERIOD_OVERRIDE=FQ","FILING_STATUS=OR","EQY_CONSOLIDATED=Y","Sort=A","Dates=H","DateFormat=P","Fill=—","Direction=H","UseDPDF=Y")</f>
        <v>#NAME?</v>
      </c>
      <c r="AX564" s="2" t="e">
        <f ca="1">_xll.BDH($C$553,"WORKING_CAPITAL_5_YEAR_GROWTH","FQ1 2016","FQ1 2016","Currency=INR","Period=FQ","BEST_FPERIOD_OVERRIDE=FQ","FILING_STATUS=OR","EQY_CONSOLIDATED=Y","Sort=A","Dates=H","DateFormat=P","Fill=—","Direction=H","UseDPDF=Y")</f>
        <v>#NAME?</v>
      </c>
      <c r="AY564" s="2" t="e">
        <f ca="1">_xll.BDH($C$553,"ACCOUNTS_PAYABLE_5_YEAR_GROWTH","FQ1 2016","FQ1 2016","Currency=INR","Period=FQ","BEST_FPERIOD_OVERRIDE=FQ","FILING_STATUS=OR","EQY_CONSOLIDATED=Y","Sort=A","Dates=H","DateFormat=P","Fill=—","Direction=H","UseDPDF=Y")</f>
        <v>#NAME?</v>
      </c>
      <c r="AZ564" s="2" t="e">
        <f ca="1">_xll.BDH($C$553,"SHORT_TERM_DEBT_5_YEAR_GROWTH","FQ1 2016","FQ1 2016","Currency=INR","Period=FQ","BEST_FPERIOD_OVERRIDE=FQ","FILING_STATUS=OR","EQY_CONSOLIDATED=Y","Sort=A","Dates=H","DateFormat=P","Fill=—","Direction=H","UseDPDF=Y")</f>
        <v>#NAME?</v>
      </c>
      <c r="BA564" s="2" t="e">
        <f ca="1">_xll.BDH($C$553,"TOTAL_DEBT_5_YEAR_GROWTH","FQ1 2016","FQ1 2016","Currency=INR","Period=FQ","BEST_FPERIOD_OVERRIDE=FQ","FILING_STATUS=OR","EQY_CONSOLIDATED=Y","Sort=A","Dates=H","DateFormat=P","Fill=—","Direction=H","UseDPDF=Y")</f>
        <v>#NAME?</v>
      </c>
      <c r="BB564" s="2" t="e">
        <f ca="1">_xll.BDH($C$553,"GEO_GROW_TOT_SHRHLDR_EQY","FQ1 2016","FQ1 2016","Currency=INR","Period=FQ","BEST_FPERIOD_OVERRIDE=FQ","FILING_STATUS=OR","EQY_CONSOLIDATED=Y","Sort=A","Dates=H","DateFormat=P","Fill=—","Direction=H","UseDPDF=Y")</f>
        <v>#NAME?</v>
      </c>
      <c r="BC564" s="2" t="e">
        <f ca="1">_xll.BDH($C$553,"TOTAL_CAPITAL_5_YEAR_GROWTH","FQ1 2016","FQ1 2016","Currency=INR","Period=FQ","BEST_FPERIOD_OVERRIDE=FQ","FILING_STATUS=OR","EQY_CONSOLIDATED=Y","Sort=A","Dates=H","DateFormat=P","Fill=—","Direction=H","UseDPDF=Y")</f>
        <v>#NAME?</v>
      </c>
      <c r="BD564" s="2" t="e">
        <f ca="1">_xll.BDH($C$553,"GEO_GROW_BOOK_VAL","FQ1 2016","FQ1 2016","Currency=INR","Period=FQ","BEST_FPERIOD_OVERRIDE=FQ","FILING_STATUS=OR","EQY_CONSOLIDATED=Y","Sort=A","Dates=H","DateFormat=P","Fill=—","Direction=H","UseDPDF=Y")</f>
        <v>#NAME?</v>
      </c>
      <c r="BE564" s="2" t="e">
        <f ca="1">_xll.BDH($C$553,"GEO_GROW_CASH_OPER_ACT","FQ1 2016","FQ1 2016","Currency=INR","Period=FQ","BEST_FPERIOD_OVERRIDE=FQ","FILING_STATUS=OR","EQY_CONSOLIDATED=Y","Sort=A","Dates=H","DateFormat=P","Fill=—","Direction=H","UseDPDF=Y")</f>
        <v>#NAME?</v>
      </c>
      <c r="BF564" s="2" t="e">
        <f ca="1">_xll.BDH($C$553,"REVENUE_SEQUENTIAL_GROWTH","FQ1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64" s="2" t="e">
        <f ca="1">_xll.BDH($C$553,"EBITDA_SEQUENTIAL_GROWTH","FQ1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64" s="2" t="e">
        <f ca="1">_xll.BDH($C$553,"OPERATING_INCOME_SEQ_GROWTH","FQ1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64" s="2" t="e">
        <f ca="1">_xll.BDH($C$553,"NET_INCOME_TO_COMMON_SEQ_GROWTH","FQ1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64" s="2" t="e">
        <f ca="1">_xll.BDH($C$553,"EPS_DILUTED_SEQUENTIAL_GROWTH","FQ1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64" s="2" t="e">
        <f ca="1">_xll.BDH($C$553,"DPS_SEQUENTIAL_GROWTH","FQ1 2016","FQ1 2016","Currency=INR","Period=FQ","BEST_FPERIOD_OVERRIDE=FQ","FILING_STATUS=OR","EQY_CONSOLIDATED=Y","Sort=A","Dates=H","DateFormat=P","Fill=—","Direction=H","UseDPDF=Y")</f>
        <v>#NAME?</v>
      </c>
      <c r="BL564" s="2" t="e">
        <f ca="1">_xll.BDH($C$553,"ACCOUNTS_RECEIVABLE_SEQ_GROWTH","FQ1 2016","FQ1 2016","Currency=INR","Period=FQ","BEST_FPERIOD_OVERRIDE=FQ","FILING_STATUS=OR","EQY_CONSOLIDATED=Y","Sort=A","Dates=H","DateFormat=P","Fill=—","Direction=H","UseDPDF=Y")</f>
        <v>#NAME?</v>
      </c>
      <c r="BM564" s="2" t="e">
        <f ca="1">_xll.BDH($C$553,"INVENTORY_SEQUENTIAL_GROWTH","FQ1 2016","FQ1 2016","Currency=INR","Period=FQ","BEST_FPERIOD_OVERRIDE=FQ","FILING_STATUS=OR","EQY_CONSOLIDATED=Y","Sort=A","Dates=H","DateFormat=P","Fill=—","Direction=H","UseDPDF=Y")</f>
        <v>#NAME?</v>
      </c>
      <c r="BN564" s="2" t="e">
        <f ca="1">_xll.BDH($C$553,"FIXED_ASSETS_SEQUENTIAL_GROWTH","FQ1 2016","FQ1 2016","Currency=INR","Period=FQ","BEST_FPERIOD_OVERRIDE=FQ","FILING_STATUS=OR","EQY_CONSOLIDATED=Y","Sort=A","Dates=H","DateFormat=P","Fill=—","Direction=H","UseDPDF=Y")</f>
        <v>#NAME?</v>
      </c>
      <c r="BO564" s="2" t="e">
        <f ca="1">_xll.BDH($C$553,"TOTAL_ASSETS_SEQUENTIAL_GROWTH","FQ1 2016","FQ1 2016","Currency=INR","Period=FQ","BEST_FPERIOD_OVERRIDE=FQ","FILING_STATUS=OR","EQY_CONSOLIDATED=Y","Sort=A","Dates=H","DateFormat=P","Fill=—","Direction=H","UseDPDF=Y")</f>
        <v>#NAME?</v>
      </c>
      <c r="BP564" s="2" t="e">
        <f ca="1">_xll.BDH($C$553,"MODIFIED_WORKING_CPTL_SEQ_GRWTH","FQ1 2016","FQ1 2016","Currency=INR","Period=FQ","BEST_FPERIOD_OVERRIDE=FQ","FILING_STATUS=OR","EQY_CONSOLIDATED=Y","Sort=A","Dates=H","DateFormat=P","Fill=—","Direction=H","UseDPDF=Y")</f>
        <v>#NAME?</v>
      </c>
      <c r="BQ564" s="2" t="e">
        <f ca="1">_xll.BDH($C$553,"WORKING_CAPITAL_SEQ_GROWTH","FQ1 2016","FQ1 2016","Currency=INR","Period=FQ","BEST_FPERIOD_OVERRIDE=FQ","FILING_STATUS=OR","EQY_CONSOLIDATED=Y","Sort=A","Dates=H","DateFormat=P","Fill=—","Direction=H","UseDPDF=Y")</f>
        <v>#NAME?</v>
      </c>
      <c r="BR564" s="2" t="e">
        <f ca="1">_xll.BDH($C$553,"ACCOUNTS_PAYABLE_SEQ_GROWTH","FQ1 2016","FQ1 2016","Currency=INR","Period=FQ","BEST_FPERIOD_OVERRIDE=FQ","FILING_STATUS=OR","EQY_CONSOLIDATED=Y","Sort=A","Dates=H","DateFormat=P","Fill=—","Direction=H","UseDPDF=Y")</f>
        <v>#NAME?</v>
      </c>
      <c r="BS564" s="2" t="e">
        <f ca="1">_xll.BDH($C$553,"ST_DEBT_SEQUENTIAL_GROWTH","FQ1 2016","FQ1 2016","Currency=INR","Period=FQ","BEST_FPERIOD_OVERRIDE=FQ","FILING_STATUS=OR","EQY_CONSOLIDATED=Y","Sort=A","Dates=H","DateFormat=P","Fill=—","Direction=H","UseDPDF=Y")</f>
        <v>#NAME?</v>
      </c>
      <c r="BT564" s="2" t="e">
        <f ca="1">_xll.BDH($C$553,"TOTAL_DEBT_SEQUENTIAL_GROWTH","FQ1 2016","FQ1 2016","Currency=INR","Period=FQ","BEST_FPERIOD_OVERRIDE=FQ","FILING_STATUS=OR","EQY_CONSOLIDATED=Y","Sort=A","Dates=H","DateFormat=P","Fill=—","Direction=H","UseDPDF=Y")</f>
        <v>#NAME?</v>
      </c>
      <c r="BU564" s="2" t="e">
        <f ca="1">_xll.BDH($C$553,"TOTAL_EQUITY_SEQUENTIAL_GROWTH","FQ1 2016","FQ1 2016","Currency=INR","Period=FQ","BEST_FPERIOD_OVERRIDE=FQ","FILING_STATUS=OR","EQY_CONSOLIDATED=Y","Sort=A","Dates=H","DateFormat=P","Fill=—","Direction=H","UseDPDF=Y")</f>
        <v>#NAME?</v>
      </c>
      <c r="BV564" s="2" t="e">
        <f ca="1">_xll.BDH($C$553,"TOTAL_CAPITAL_SEQUENTIAL_GROWTH","FQ1 2016","FQ1 2016","Currency=INR","Period=FQ","BEST_FPERIOD_OVERRIDE=FQ","FILING_STATUS=OR","EQY_CONSOLIDATED=Y","Sort=A","Dates=H","DateFormat=P","Fill=—","Direction=H","UseDPDF=Y")</f>
        <v>#NAME?</v>
      </c>
      <c r="BW564" s="2" t="e">
        <f ca="1">_xll.BDH($C$553,"BPS_SEQUENTIAL_GROWTH","FQ1 2016","FQ1 2016","Currency=INR","Period=FQ","BEST_FPERIOD_OVERRIDE=FQ","FILING_STATUS=OR","EQY_CONSOLIDATED=Y","Sort=A","Dates=H","DateFormat=P","Fill=—","Direction=H","UseDPDF=Y")</f>
        <v>#NAME?</v>
      </c>
      <c r="BX564" s="2" t="e">
        <f ca="1">_xll.BDH($C$553,"CFO_SEQUENTIAL_GROWTH","FQ1 2016","FQ1 2016","Currency=INR","Period=FQ","BEST_FPERIOD_OVERRIDE=FQ","FILING_STATUS=OR","EQY_CONSOLIDATED=Y","Sort=A","Dates=H","DateFormat=P","Fill=—","Direction=H","UseDPDF=Y")</f>
        <v>#NAME?</v>
      </c>
      <c r="BY564" s="3" t="e">
        <f ca="1">_xll.BDH($C$553,"SHORT_AND_LONG_TERM_DEBT","FQ1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64" s="3" t="e">
        <f ca="1">_xll.BDH($C$553,"BS_ST_BORROW","FQ1 2016","FQ1 2016","Currency=INR","Period=FQ","BEST_FPERIOD_OVERRIDE=FQ","FILING_STATUS=OR","EQY_CONSOLIDATED=Y","SCALING_FORMAT=MLN","Sort=A","Dates=H","DateFormat=P","Fill=—","Direction=H","UseDPDF=Y")</f>
        <v>#NAME?</v>
      </c>
      <c r="CA564" s="3" t="e">
        <f ca="1">_xll.BDH($C$553,"BS_LT_BORROW","FQ1 2016","FQ1 2016","Currency=INR","Period=FQ","BEST_FPERIOD_OVERRIDE=FQ","FILING_STATUS=OR","EQY_CONSOLIDATED=Y","SCALING_FORMAT=MLN","Sort=A","Dates=H","DateFormat=P","Fill=—","Direction=H","UseDPDF=Y")</f>
        <v>#NAME?</v>
      </c>
      <c r="CB564" s="2" t="e">
        <f ca="1">_xll.BDH($C$553,"TOT_DEBT_TO_EBITDA","FQ1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64" s="2" t="e">
        <f ca="1">_xll.BDH($C$553,"NET_DEBT_TO_EBITDA","FQ1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64" s="2" t="e">
        <f ca="1">_xll.BDH($C$553,"TOTAL_DEBT_TO_EBIT","FQ1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64" s="2" t="e">
        <f ca="1">_xll.BDH($C$553,"NET_DEBT_TO_EBIT","FQ1 2016","FQ1 2016","Currency=INR","Period=FQ","BEST_FPERIOD_OVERRIDE=FQ","FILING_STATUS=OR","EQY_CONSOLIDATED=Y","FA_ADJUSTED=GAAP","Sort=A","Dates=H","DateFormat=P","Fill=—","Direction=H","UseDPDF=Y")</f>
        <v>#NAME?</v>
      </c>
      <c r="CF564" s="2" t="e">
        <f ca="1">_xll.BDH($C$553,"EBITDA_TO_INTEREST_EXPN","FQ1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64" s="2" t="e">
        <f ca="1">_xll.BDH($C$553,"COM_EQY_TO_TOT_ASSET","FQ1 2016","FQ1 2016","Currency=INR","Period=FQ","BEST_FPERIOD_OVERRIDE=FQ","FILING_STATUS=OR","EQY_CONSOLIDATED=Y","Sort=A","Dates=H","DateFormat=P","Fill=—","Direction=H","UseDPDF=Y")</f>
        <v>#NAME?</v>
      </c>
      <c r="CH564" s="2" t="e">
        <f ca="1">_xll.BDH($C$553,"LT_DEBT_TO_TOT_EQY","FQ1 2016","FQ1 2016","Currency=INR","Period=FQ","BEST_FPERIOD_OVERRIDE=FQ","FILING_STATUS=OR","EQY_CONSOLIDATED=Y","Sort=A","Dates=H","DateFormat=P","Fill=—","Direction=H","UseDPDF=Y")</f>
        <v>#NAME?</v>
      </c>
      <c r="CI564" s="2" t="e">
        <f ca="1">_xll.BDH($C$553,"LT_DEBT_TO_TOT_CAP","FQ1 2016","FQ1 2016","Currency=INR","Period=FQ","BEST_FPERIOD_OVERRIDE=FQ","FILING_STATUS=OR","EQY_CONSOLIDATED=Y","Sort=A","Dates=H","DateFormat=P","Fill=—","Direction=H","UseDPDF=Y")</f>
        <v>#NAME?</v>
      </c>
      <c r="CJ564" s="2" t="e">
        <f ca="1">_xll.BDH($C$553,"LT_DEBT_TO_TOT_ASSET","FQ1 2016","FQ1 2016","Currency=INR","Period=FQ","BEST_FPERIOD_OVERRIDE=FQ","FILING_STATUS=OR","EQY_CONSOLIDATED=Y","Sort=A","Dates=H","DateFormat=P","Fill=—","Direction=H","UseDPDF=Y")</f>
        <v>#NAME?</v>
      </c>
      <c r="CK564" s="2" t="e">
        <f ca="1">_xll.BDH($C$553,"TOT_DEBT_TO_TOT_EQY","FQ1 2016","FQ1 2016","Currency=INR","Period=FQ","BEST_FPERIOD_OVERRIDE=FQ","FILING_STATUS=OR","EQY_CONSOLIDATED=Y","Sort=A","Dates=H","DateFormat=P","Fill=—","Direction=H","UseDPDF=Y")</f>
        <v>#NAME?</v>
      </c>
      <c r="CL564" s="2" t="e">
        <f ca="1">_xll.BDH($C$553,"TOT_DEBT_TO_TOT_CAP","FQ1 2016","FQ1 2016","Currency=INR","Period=FQ","BEST_FPERIOD_OVERRIDE=FQ","FILING_STATUS=OR","EQY_CONSOLIDATED=Y","Sort=A","Dates=H","DateFormat=P","Fill=—","Direction=H","UseDPDF=Y")</f>
        <v>#NAME?</v>
      </c>
      <c r="CM564" s="2" t="e">
        <f ca="1">_xll.BDH($C$553,"TOT_DEBT_TO_TOT_ASSET","FQ1 2016","FQ1 2016","Currency=INR","Period=FQ","BEST_FPERIOD_OVERRIDE=FQ","FILING_STATUS=OR","EQY_CONSOLIDATED=Y","Sort=A","Dates=H","DateFormat=P","Fill=—","Direction=H","UseDPDF=Y")</f>
        <v>#NAME?</v>
      </c>
      <c r="CN564" s="2" t="e">
        <f ca="1">_xll.BDH($C$553,"NET_DEBT_TO_SHRHLDR_EQTY","FQ1 2016","FQ1 2016","Currency=INR","Period=FQ","BEST_FPERIOD_OVERRIDE=FQ","FILING_STATUS=OR","EQY_CONSOLIDATED=Y","Sort=A","Dates=H","DateFormat=P","Fill=—","Direction=H","UseDPDF=Y")</f>
        <v>#NAME?</v>
      </c>
      <c r="CO564" s="2" t="e">
        <f ca="1">_xll.BDH($C$553,"NET_DEBT_%_CAPITAL","FQ1 2016","FQ1 2016","Currency=INR","Period=FQ","BEST_FPERIOD_OVERRIDE=FQ","FILING_STATUS=OR","EQY_CONSOLIDATED=Y","Sort=A","Dates=H","DateFormat=P","Fill=—","Direction=H","UseDPDF=Y")</f>
        <v>#NAME?</v>
      </c>
      <c r="CP564" s="3" t="e">
        <f ca="1">_xll.BDH($C$553,"EBITDA","FQ1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64" s="3" t="e">
        <f ca="1">_xll.BDH($C$553,"EBITDA_AFTER_CAPEX","FQ1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64" s="3" t="e">
        <f ca="1">_xll.BDH($C$553,"IS_OPER_INC","FQ1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64" s="2" t="e">
        <f ca="1">_xll.BDH($C$553,"CASH_RATIO","FQ1 2016","FQ1 2016","Currency=INR","Period=FQ","BEST_FPERIOD_OVERRIDE=FQ","FILING_STATUS=OR","EQY_CONSOLIDATED=Y","Sort=A","Dates=H","DateFormat=P","Fill=—","Direction=H","UseDPDF=Y")</f>
        <v>#NAME?</v>
      </c>
      <c r="CT564" s="2" t="e">
        <f ca="1">_xll.BDH($C$553,"CUR_RATIO","FQ1 2016","FQ1 2016","Currency=INR","Period=FQ","BEST_FPERIOD_OVERRIDE=FQ","FILING_STATUS=OR","EQY_CONSOLIDATED=Y","Sort=A","Dates=H","DateFormat=P","Fill=—","Direction=H","UseDPDF=Y")</f>
        <v>#NAME?</v>
      </c>
      <c r="CU564" s="2" t="e">
        <f ca="1">_xll.BDH($C$553,"QUICK_RATIO","FQ1 2016","FQ1 2016","Currency=INR","Period=FQ","BEST_FPERIOD_OVERRIDE=FQ","FILING_STATUS=OR","EQY_CONSOLIDATED=Y","Sort=A","Dates=H","DateFormat=P","Fill=—","Direction=H","UseDPDF=Y")</f>
        <v>#NAME?</v>
      </c>
      <c r="CV564" s="2" t="e">
        <f ca="1">_xll.BDH($C$553,"ALTMAN_Z_SCORE","FQ1 2016","FQ1 2016","Currency=INR","Period=FQ","BEST_FPERIOD_OVERRIDE=FQ","FILING_STATUS=OR","EQY_CONSOLIDATED=Y","Sort=A","Dates=H","DateFormat=P","Fill=—","Direction=H","UseDPDF=Y")</f>
        <v>#NAME?</v>
      </c>
      <c r="CW564" s="4" t="e">
        <f ca="1">_xll.BDH($C$553,"ACCT_RCV_TURN","FQ1 2016","FQ1 2016","Currency=INR","Period=FQ","BEST_FPERIOD_OVERRIDE=FQ","FILING_STATUS=OR","EQY_CONSOLIDATED=Y","FA_ADJUSTED=GAAP","Sort=A","Dates=H","DateFormat=P","Fill=—","Direction=H","UseDPDF=Y")</f>
        <v>#NAME?</v>
      </c>
      <c r="CX564" s="2" t="e">
        <f ca="1">_xll.BDH($C$553,"ACCT_RCV_DAYS","FQ1 2016","FQ1 2016","Currency=INR","Period=FQ","BEST_FPERIOD_OVERRIDE=FQ","FILING_STATUS=OR","EQY_CONSOLIDATED=Y","FA_ADJUSTED=GAAP","Sort=A","Dates=H","DateFormat=P","Fill=—","Direction=H","UseDPDF=Y")</f>
        <v>#NAME?</v>
      </c>
      <c r="CY564" s="4" t="e">
        <f ca="1">_xll.BDH($C$553,"INVENT_TURN","FQ1 2016","FQ1 2016","Currency=INR","Period=FQ","BEST_FPERIOD_OVERRIDE=FQ","FILING_STATUS=OR","EQY_CONSOLIDATED=Y","FA_ADJUSTED=GAAP","Sort=A","Dates=H","DateFormat=P","Fill=—","Direction=H","UseDPDF=Y")</f>
        <v>#NAME?</v>
      </c>
      <c r="CZ564" s="2" t="e">
        <f ca="1">_xll.BDH($C$553,"INVENT_DAYS","FQ1 2016","FQ1 2016","Currency=INR","Period=FQ","BEST_FPERIOD_OVERRIDE=FQ","FILING_STATUS=OR","EQY_CONSOLIDATED=Y","FA_ADJUSTED=GAAP","Sort=A","Dates=H","DateFormat=P","Fill=—","Direction=H","UseDPDF=Y")</f>
        <v>#NAME?</v>
      </c>
      <c r="DA564" s="4" t="e">
        <f ca="1">_xll.BDH($C$553,"ACCOUNTS_PAYABLE_TURNOVER","FQ1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64" s="2" t="e">
        <f ca="1">_xll.BDH($C$553,"ACCOUNTS_PAYABLE_TURNOVER_DAYS","FQ1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64" s="4" t="e">
        <f ca="1">_xll.BDH($C$553,"CASH_CONVERSION_CYCLE","FQ1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64" s="4" t="e">
        <f ca="1">_xll.BDH($C$553,"INV_TO_CASH_DAYS","FQ1 2016","FQ1 2016","Currency=INR","Period=FQ","BEST_FPERIOD_OVERRIDE=FQ","FILING_STATUS=OR","EQY_CONSOLIDATED=Y","FA_ADJUSTED=GAAP","Sort=A","Dates=H","DateFormat=P","Fill=—","Direction=H","UseDPDF=Y")</f>
        <v>#NAME?</v>
      </c>
      <c r="DE564" s="5" t="e">
        <f ca="1">_xll.BDH($C$553,"BS_INVENTORIES","FQ1 2016","FQ1 2016","Currency=INR","Period=FQ","BEST_FPERIOD_OVERRIDE=FQ","FILING_STATUS=OR","EQY_CONSOLIDATED=Y","SCALING_FORMAT=MLN","Sort=A","Dates=H","DateFormat=P","Fill=—","Direction=H","UseDPDF=Y")</f>
        <v>#NAME?</v>
      </c>
      <c r="DF564" s="3" t="e">
        <f ca="1">_xll.BDH($C$553,"INVTRY_RAW_MATERIALS","FQ1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64" s="3" t="e">
        <f ca="1">_xll.BDH($C$553,"INVTRY_IN_PROGRESS","FQ1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64" s="3" t="e">
        <f ca="1">_xll.BDH($C$553,"INVTRY_FINISHED_GOODS","FQ1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64" s="3" t="e">
        <f ca="1">_xll.BDH($C$553,"BS_OTHER_INV","FQ1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65" spans="1:113" x14ac:dyDescent="0.3">
      <c r="A565" s="6"/>
      <c r="B565" s="6"/>
      <c r="C565" s="6"/>
      <c r="D565" s="6"/>
      <c r="E565" t="s">
        <v>79</v>
      </c>
      <c r="F565" t="e">
        <f ca="1">_xll.BDH($C$553,"RETURN_COM_EQY","FQ2 2016","FQ2 2016","Currency=INR","Period=FQ","BEST_FPERIOD_OVERRIDE=FQ","FILING_STATUS=OR","EQY_CONSOLIDATED=Y","FA_ADJUSTED=GAAP","Sort=A","Dates=H","DateFormat=P","Fill=—","Direction=H","UseDPDF=Y")</f>
        <v>#NAME?</v>
      </c>
      <c r="G565" t="e">
        <f ca="1">_xll.BDH($C$553,"RETURN_ON_ASSET","FQ2 2016","FQ2 2016","Currency=INR","Period=FQ","BEST_FPERIOD_OVERRIDE=FQ","FILING_STATUS=OR","EQY_CONSOLIDATED=Y","FA_ADJUSTED=GAAP","Sort=A","Dates=H","DateFormat=P","Fill=—","Direction=H","UseDPDF=Y")</f>
        <v>#NAME?</v>
      </c>
      <c r="H565" t="e">
        <f ca="1">_xll.BDH($C$553,"RETURN_ON_CAP","FQ2 2016","FQ2 2016","Currency=INR","Period=FQ","BEST_FPERIOD_OVERRIDE=FQ","FILING_STATUS=OR","EQY_CONSOLIDATED=Y","FA_ADJUSTED=GAAP","Sort=A","Dates=H","DateFormat=P","Fill=—","Direction=H","UseDPDF=Y")</f>
        <v>#NAME?</v>
      </c>
      <c r="I565" t="e">
        <f ca="1">_xll.BDH($C$553,"RETURN_ON_INV_CAPITAL","FQ2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65" t="e">
        <f ca="1">_xll.BDH($C$553,"EBITDA_TO_REVENUE","FQ2 2016","FQ2 2016","Currency=INR","Period=FQ","BEST_FPERIOD_OVERRIDE=FQ","FILING_STATUS=OR","EQY_CONSOLIDATED=Y","FA_ADJUSTED=GAAP","Sort=A","Dates=H","DateFormat=P","Fill=—","Direction=H","UseDPDF=Y")</f>
        <v>#NAME?</v>
      </c>
      <c r="K565" t="e">
        <f ca="1">_xll.BDH($C$553,"OPER_MARGIN","FQ2 2016","FQ2 2016","Currency=INR","Period=FQ","BEST_FPERIOD_OVERRIDE=FQ","FILING_STATUS=OR","EQY_CONSOLIDATED=Y","FA_ADJUSTED=GAAP","Sort=A","Dates=H","DateFormat=P","Fill=—","Direction=H","UseDPDF=Y")</f>
        <v>#NAME?</v>
      </c>
      <c r="L565" t="e">
        <f ca="1">_xll.BDH($C$553,"INCREMENTAL_OPERATING_MARGIN","FQ2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65" t="e">
        <f ca="1">_xll.BDH($C$553,"PRETAX_INC_TO_NET_SALES","FQ2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65" t="e">
        <f ca="1">_xll.BDH($C$553,"INC_BEF_XO_ITEMS_TO_NET_SALES","FQ2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65" t="e">
        <f ca="1">_xll.BDH($C$553,"PROF_MARGIN","FQ2 2016","FQ2 2016","Currency=INR","Period=FQ","BEST_FPERIOD_OVERRIDE=FQ","FILING_STATUS=OR","EQY_CONSOLIDATED=Y","FA_ADJUSTED=GAAP","Sort=A","Dates=H","DateFormat=P","Fill=—","Direction=H","UseDPDF=Y")</f>
        <v>#NAME?</v>
      </c>
      <c r="P565" t="e">
        <f ca="1">_xll.BDH($C$553,"NET_INCOME_TO_COMMON_MARGIN","FQ2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65" t="e">
        <f ca="1">_xll.BDH($C$553,"EFF_TAX_RATE","FQ2 2016","FQ2 2016","Currency=INR","Period=FQ","BEST_FPERIOD_OVERRIDE=FQ","FILING_STATUS=OR","EQY_CONSOLIDATED=Y","FA_ADJUSTED=GAAP","Sort=A","Dates=H","DateFormat=P","Fill=—","Direction=H","UseDPDF=Y")</f>
        <v>#NAME?</v>
      </c>
      <c r="R565" t="e">
        <f ca="1">_xll.BDH($C$553,"DVD_PAYOUT_RATIO","FQ2 2016","FQ2 2016","Currency=INR","Period=FQ","BEST_FPERIOD_OVERRIDE=FQ","FILING_STATUS=OR","EQY_CONSOLIDATED=Y","FA_ADJUSTED=GAAP","Sort=A","Dates=H","DateFormat=P","Fill=—","Direction=H","UseDPDF=Y")</f>
        <v>#NAME?</v>
      </c>
      <c r="S565" t="e">
        <f ca="1">_xll.BDH($C$553,"SUSTAIN_GROWTH_RT","FQ2 2016","FQ2 2016","Currency=INR","Period=FQ","BEST_FPERIOD_OVERRIDE=FQ","FILING_STATUS=OR","EQY_CONSOLIDATED=Y","FA_ADJUSTED=GAAP","Sort=A","Dates=H","DateFormat=P","Fill=—","Direction=H","UseDPDF=Y")</f>
        <v>#NAME?</v>
      </c>
      <c r="T565" s="2" t="e">
        <f ca="1">_xll.BDH($C$553,"SALES_GROWTH","FQ2 2016","FQ2 2016","Currency=INR","Period=FQ","BEST_FPERIOD_OVERRIDE=FQ","FILING_STATUS=OR","EQY_CONSOLIDATED=Y","FA_ADJUSTED=GAAP","Sort=A","Dates=H","DateFormat=P","Fill=—","Direction=H","UseDPDF=Y")</f>
        <v>#NAME?</v>
      </c>
      <c r="U565" s="2" t="e">
        <f ca="1">_xll.BDH($C$553,"EBITDA_GROWTH","FQ2 2016","FQ2 2016","Currency=INR","Period=FQ","BEST_FPERIOD_OVERRIDE=FQ","FILING_STATUS=OR","EQY_CONSOLIDATED=Y","FA_ADJUSTED=GAAP","Sort=A","Dates=H","DateFormat=P","Fill=—","Direction=H","UseDPDF=Y")</f>
        <v>#NAME?</v>
      </c>
      <c r="V565" s="2" t="e">
        <f ca="1">_xll.BDH($C$553,"OPER_INC_GROWTH","FQ2 2016","FQ2 2016","Currency=INR","Period=FQ","BEST_FPERIOD_OVERRIDE=FQ","FILING_STATUS=OR","EQY_CONSOLIDATED=Y","FA_ADJUSTED=GAAP","Sort=A","Dates=H","DateFormat=P","Fill=—","Direction=H","UseDPDF=Y")</f>
        <v>#NAME?</v>
      </c>
      <c r="W565" s="2" t="e">
        <f ca="1">_xll.BDH($C$553,"EARN_FOR_COM_GROWTH","FQ2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65" s="2" t="e">
        <f ca="1">_xll.BDH($C$553,"DILUTED_EPS_AFT_XO_ITEMS_GROWTH","FQ2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65" s="2" t="e">
        <f ca="1">_xll.BDH($C$553,"DIVIDEND_PER_SHARE_1_YEAR_GROWTH","FQ2 2016","FQ2 2016","Currency=INR","Period=FQ","BEST_FPERIOD_OVERRIDE=FQ","FILING_STATUS=OR","EQY_CONSOLIDATED=Y","Sort=A","Dates=H","DateFormat=P","Fill=—","Direction=H","UseDPDF=Y")</f>
        <v>#NAME?</v>
      </c>
      <c r="Z565" s="2" t="e">
        <f ca="1">_xll.BDH($C$553,"ACCOUNTS_RECEIVABLE_GROWTH","FQ2 2016","FQ2 2016","Currency=INR","Period=FQ","BEST_FPERIOD_OVERRIDE=FQ","FILING_STATUS=OR","EQY_CONSOLIDATED=Y","Sort=A","Dates=H","DateFormat=P","Fill=—","Direction=H","UseDPDF=Y")</f>
        <v>#NAME?</v>
      </c>
      <c r="AA565" s="2" t="e">
        <f ca="1">_xll.BDH($C$553,"INVENTORY_GROWTH","FQ2 2016","FQ2 2016","Currency=INR","Period=FQ","BEST_FPERIOD_OVERRIDE=FQ","FILING_STATUS=OR","EQY_CONSOLIDATED=Y","Sort=A","Dates=H","DateFormat=P","Fill=—","Direction=H","UseDPDF=Y")</f>
        <v>#NAME?</v>
      </c>
      <c r="AB565" s="2" t="e">
        <f ca="1">_xll.BDH($C$553,"NET_FIXED_ASSETS_1_YEAR_GROWTH","FQ2 2016","FQ2 2016","Currency=INR","Period=FQ","BEST_FPERIOD_OVERRIDE=FQ","FILING_STATUS=OR","EQY_CONSOLIDATED=Y","Sort=A","Dates=H","DateFormat=P","Fill=—","Direction=H","UseDPDF=Y")</f>
        <v>#NAME?</v>
      </c>
      <c r="AC565" s="2" t="e">
        <f ca="1">_xll.BDH($C$553,"ASSET_GROWTH","FQ2 2016","FQ2 2016","Currency=INR","Period=FQ","BEST_FPERIOD_OVERRIDE=FQ","FILING_STATUS=OR","EQY_CONSOLIDATED=Y","Sort=A","Dates=H","DateFormat=P","Fill=—","Direction=H","UseDPDF=Y")</f>
        <v>#NAME?</v>
      </c>
      <c r="AD565" s="2" t="e">
        <f ca="1">_xll.BDH($C$553,"MODIFIED_WORK_CAP_GROWTH","FQ2 2016","FQ2 2016","Currency=INR","Period=FQ","BEST_FPERIOD_OVERRIDE=FQ","FILING_STATUS=OR","EQY_CONSOLIDATED=Y","Sort=A","Dates=H","DateFormat=P","Fill=—","Direction=H","UseDPDF=Y")</f>
        <v>#NAME?</v>
      </c>
      <c r="AE565" s="2" t="e">
        <f ca="1">_xll.BDH($C$553,"WORK_CAP_GROWTH","FQ2 2016","FQ2 2016","Currency=INR","Period=FQ","BEST_FPERIOD_OVERRIDE=FQ","FILING_STATUS=OR","EQY_CONSOLIDATED=Y","Sort=A","Dates=H","DateFormat=P","Fill=—","Direction=H","UseDPDF=Y")</f>
        <v>#NAME?</v>
      </c>
      <c r="AF565" s="2" t="e">
        <f ca="1">_xll.BDH($C$553,"ACCOUNTS_PAYABLE_GROWTH_1YR","FQ2 2016","FQ2 2016","Currency=INR","Period=FQ","BEST_FPERIOD_OVERRIDE=FQ","FILING_STATUS=OR","EQY_CONSOLIDATED=Y","Sort=A","Dates=H","DateFormat=P","Fill=—","Direction=H","UseDPDF=Y")</f>
        <v>#NAME?</v>
      </c>
      <c r="AG565" s="2" t="e">
        <f ca="1">_xll.BDH($C$553,"SHORT_TERM_DEBT_1_YEAR_GROWTH","FQ2 2016","FQ2 2016","Currency=INR","Period=FQ","BEST_FPERIOD_OVERRIDE=FQ","FILING_STATUS=OR","EQY_CONSOLIDATED=Y","Sort=A","Dates=H","DateFormat=P","Fill=—","Direction=H","UseDPDF=Y")</f>
        <v>#NAME?</v>
      </c>
      <c r="AH565" s="2" t="e">
        <f ca="1">_xll.BDH($C$553,"TOTAL_DEBT_1_YEAR_GROWTH","FQ2 2016","FQ2 2016","Currency=INR","Period=FQ","BEST_FPERIOD_OVERRIDE=FQ","FILING_STATUS=OR","EQY_CONSOLIDATED=Y","Sort=A","Dates=H","DateFormat=P","Fill=—","Direction=H","UseDPDF=Y")</f>
        <v>#NAME?</v>
      </c>
      <c r="AI565" s="2" t="e">
        <f ca="1">_xll.BDH($C$553,"TOTAL_EQUITY_1_YEAR_GROWTH","FQ2 2016","FQ2 2016","Currency=INR","Period=FQ","BEST_FPERIOD_OVERRIDE=FQ","FILING_STATUS=OR","EQY_CONSOLIDATED=Y","Sort=A","Dates=H","DateFormat=P","Fill=—","Direction=H","UseDPDF=Y")</f>
        <v>#NAME?</v>
      </c>
      <c r="AJ565" s="2" t="e">
        <f ca="1">_xll.BDH($C$553,"GROWTH_IN_CAP","FQ2 2016","FQ2 2016","Currency=INR","Period=FQ","BEST_FPERIOD_OVERRIDE=FQ","FILING_STATUS=OR","EQY_CONSOLIDATED=Y","Sort=A","Dates=H","DateFormat=P","Fill=—","Direction=H","UseDPDF=Y")</f>
        <v>#NAME?</v>
      </c>
      <c r="AK565" s="2" t="e">
        <f ca="1">_xll.BDH($C$553,"BVPS_GROWTH","FQ2 2016","FQ2 2016","Currency=INR","Period=FQ","BEST_FPERIOD_OVERRIDE=FQ","FILING_STATUS=OR","EQY_CONSOLIDATED=Y","Sort=A","Dates=H","DateFormat=P","Fill=—","Direction=H","UseDPDF=Y")</f>
        <v>#NAME?</v>
      </c>
      <c r="AL565" s="2" t="e">
        <f ca="1">_xll.BDH($C$553,"CASH_FLOW_GROWTH","FQ2 2016","FQ2 2016","Currency=INR","Period=FQ","BEST_FPERIOD_OVERRIDE=FQ","FILING_STATUS=OR","EQY_CONSOLIDATED=Y","Sort=A","Dates=H","DateFormat=P","Fill=—","Direction=H","UseDPDF=Y")</f>
        <v>#NAME?</v>
      </c>
      <c r="AM565" s="2" t="e">
        <f ca="1">_xll.BDH($C$553,"GEO_GROW_NET_SALES","FQ2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65" s="2" t="e">
        <f ca="1">_xll.BDH($C$553,"GEO_GROW_EBITDA","FQ2 2016","FQ2 2016","Currency=INR","Period=FQ","BEST_FPERIOD_OVERRIDE=FQ","FILING_STATUS=OR","EQY_CONSOLIDATED=Y","FA_ADJUSTED=GAAP","Sort=A","Dates=H","DateFormat=P","Fill=—","Direction=H","UseDPDF=Y")</f>
        <v>#NAME?</v>
      </c>
      <c r="AO565" s="2" t="e">
        <f ca="1">_xll.BDH($C$553,"GEO_GROW_OPER_INC","FQ2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65" s="2" t="e">
        <f ca="1">_xll.BDH($C$553,"NET_INCOME_TO_COMMON_5_YR_GROWTH","FQ2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65" s="2" t="e">
        <f ca="1">_xll.BDH($C$553,"5Y_GEO_GROWTH_DILUTED_EPS","FQ2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65" s="2" t="e">
        <f ca="1">_xll.BDH($C$553,"GEO_GROW_DVD_PER_SH","FQ2 2016","FQ2 2016","Currency=INR","Period=FQ","BEST_FPERIOD_OVERRIDE=FQ","FILING_STATUS=OR","EQY_CONSOLIDATED=Y","Sort=A","Dates=H","DateFormat=P","Fill=—","Direction=H","UseDPDF=Y")</f>
        <v>#NAME?</v>
      </c>
      <c r="AS565" s="2" t="e">
        <f ca="1">_xll.BDH($C$553,"ACCOUNTS_RECEIVABLE_5_YR_GROWTH","FQ2 2016","FQ2 2016","Currency=INR","Period=FQ","BEST_FPERIOD_OVERRIDE=FQ","FILING_STATUS=OR","EQY_CONSOLIDATED=Y","Sort=A","Dates=H","DateFormat=P","Fill=—","Direction=H","UseDPDF=Y")</f>
        <v>#NAME?</v>
      </c>
      <c r="AT565" s="2" t="e">
        <f ca="1">_xll.BDH($C$553,"INVENTORY_5_YEAR_GROWTH","FQ2 2016","FQ2 2016","Currency=INR","Period=FQ","BEST_FPERIOD_OVERRIDE=FQ","FILING_STATUS=OR","EQY_CONSOLIDATED=Y","Sort=A","Dates=H","DateFormat=P","Fill=—","Direction=H","UseDPDF=Y")</f>
        <v>#NAME?</v>
      </c>
      <c r="AU565" s="2" t="e">
        <f ca="1">_xll.BDH($C$553,"NET_FIXED_ASSETS_5_YEAR_GROWTH","FQ2 2016","FQ2 2016","Currency=INR","Period=FQ","BEST_FPERIOD_OVERRIDE=FQ","FILING_STATUS=OR","EQY_CONSOLIDATED=Y","Sort=A","Dates=H","DateFormat=P","Fill=—","Direction=H","UseDPDF=Y")</f>
        <v>#NAME?</v>
      </c>
      <c r="AV565" s="2" t="e">
        <f ca="1">_xll.BDH($C$553,"GEO_GROW_TOT_ASSET","FQ2 2016","FQ2 2016","Currency=INR","Period=FQ","BEST_FPERIOD_OVERRIDE=FQ","FILING_STATUS=OR","EQY_CONSOLIDATED=Y","Sort=A","Dates=H","DateFormat=P","Fill=—","Direction=H","UseDPDF=Y")</f>
        <v>#NAME?</v>
      </c>
      <c r="AW565" s="2" t="e">
        <f ca="1">_xll.BDH($C$553,"MODIFIED_WORKING_CPTL_5YR_GRWTH","FQ2 2016","FQ2 2016","Currency=INR","Period=FQ","BEST_FPERIOD_OVERRIDE=FQ","FILING_STATUS=OR","EQY_CONSOLIDATED=Y","Sort=A","Dates=H","DateFormat=P","Fill=—","Direction=H","UseDPDF=Y")</f>
        <v>#NAME?</v>
      </c>
      <c r="AX565" s="2" t="e">
        <f ca="1">_xll.BDH($C$553,"WORKING_CAPITAL_5_YEAR_GROWTH","FQ2 2016","FQ2 2016","Currency=INR","Period=FQ","BEST_FPERIOD_OVERRIDE=FQ","FILING_STATUS=OR","EQY_CONSOLIDATED=Y","Sort=A","Dates=H","DateFormat=P","Fill=—","Direction=H","UseDPDF=Y")</f>
        <v>#NAME?</v>
      </c>
      <c r="AY565" s="2" t="e">
        <f ca="1">_xll.BDH($C$553,"ACCOUNTS_PAYABLE_5_YEAR_GROWTH","FQ2 2016","FQ2 2016","Currency=INR","Period=FQ","BEST_FPERIOD_OVERRIDE=FQ","FILING_STATUS=OR","EQY_CONSOLIDATED=Y","Sort=A","Dates=H","DateFormat=P","Fill=—","Direction=H","UseDPDF=Y")</f>
        <v>#NAME?</v>
      </c>
      <c r="AZ565" s="2" t="e">
        <f ca="1">_xll.BDH($C$553,"SHORT_TERM_DEBT_5_YEAR_GROWTH","FQ2 2016","FQ2 2016","Currency=INR","Period=FQ","BEST_FPERIOD_OVERRIDE=FQ","FILING_STATUS=OR","EQY_CONSOLIDATED=Y","Sort=A","Dates=H","DateFormat=P","Fill=—","Direction=H","UseDPDF=Y")</f>
        <v>#NAME?</v>
      </c>
      <c r="BA565" s="2" t="e">
        <f ca="1">_xll.BDH($C$553,"TOTAL_DEBT_5_YEAR_GROWTH","FQ2 2016","FQ2 2016","Currency=INR","Period=FQ","BEST_FPERIOD_OVERRIDE=FQ","FILING_STATUS=OR","EQY_CONSOLIDATED=Y","Sort=A","Dates=H","DateFormat=P","Fill=—","Direction=H","UseDPDF=Y")</f>
        <v>#NAME?</v>
      </c>
      <c r="BB565" s="2" t="e">
        <f ca="1">_xll.BDH($C$553,"GEO_GROW_TOT_SHRHLDR_EQY","FQ2 2016","FQ2 2016","Currency=INR","Period=FQ","BEST_FPERIOD_OVERRIDE=FQ","FILING_STATUS=OR","EQY_CONSOLIDATED=Y","Sort=A","Dates=H","DateFormat=P","Fill=—","Direction=H","UseDPDF=Y")</f>
        <v>#NAME?</v>
      </c>
      <c r="BC565" s="2" t="e">
        <f ca="1">_xll.BDH($C$553,"TOTAL_CAPITAL_5_YEAR_GROWTH","FQ2 2016","FQ2 2016","Currency=INR","Period=FQ","BEST_FPERIOD_OVERRIDE=FQ","FILING_STATUS=OR","EQY_CONSOLIDATED=Y","Sort=A","Dates=H","DateFormat=P","Fill=—","Direction=H","UseDPDF=Y")</f>
        <v>#NAME?</v>
      </c>
      <c r="BD565" s="2" t="e">
        <f ca="1">_xll.BDH($C$553,"GEO_GROW_BOOK_VAL","FQ2 2016","FQ2 2016","Currency=INR","Period=FQ","BEST_FPERIOD_OVERRIDE=FQ","FILING_STATUS=OR","EQY_CONSOLIDATED=Y","Sort=A","Dates=H","DateFormat=P","Fill=—","Direction=H","UseDPDF=Y")</f>
        <v>#NAME?</v>
      </c>
      <c r="BE565" s="2" t="e">
        <f ca="1">_xll.BDH($C$553,"GEO_GROW_CASH_OPER_ACT","FQ2 2016","FQ2 2016","Currency=INR","Period=FQ","BEST_FPERIOD_OVERRIDE=FQ","FILING_STATUS=OR","EQY_CONSOLIDATED=Y","Sort=A","Dates=H","DateFormat=P","Fill=—","Direction=H","UseDPDF=Y")</f>
        <v>#NAME?</v>
      </c>
      <c r="BF565" s="2" t="e">
        <f ca="1">_xll.BDH($C$553,"REVENUE_SEQUENTIAL_GROWTH","FQ2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65" s="2" t="e">
        <f ca="1">_xll.BDH($C$553,"EBITDA_SEQUENTIAL_GROWTH","FQ2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65" s="2" t="e">
        <f ca="1">_xll.BDH($C$553,"OPERATING_INCOME_SEQ_GROWTH","FQ2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65" s="2" t="e">
        <f ca="1">_xll.BDH($C$553,"NET_INCOME_TO_COMMON_SEQ_GROWTH","FQ2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65" s="2" t="e">
        <f ca="1">_xll.BDH($C$553,"EPS_DILUTED_SEQUENTIAL_GROWTH","FQ2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65" s="2" t="e">
        <f ca="1">_xll.BDH($C$553,"DPS_SEQUENTIAL_GROWTH","FQ2 2016","FQ2 2016","Currency=INR","Period=FQ","BEST_FPERIOD_OVERRIDE=FQ","FILING_STATUS=OR","EQY_CONSOLIDATED=Y","Sort=A","Dates=H","DateFormat=P","Fill=—","Direction=H","UseDPDF=Y")</f>
        <v>#NAME?</v>
      </c>
      <c r="BL565" s="2" t="e">
        <f ca="1">_xll.BDH($C$553,"ACCOUNTS_RECEIVABLE_SEQ_GROWTH","FQ2 2016","FQ2 2016","Currency=INR","Period=FQ","BEST_FPERIOD_OVERRIDE=FQ","FILING_STATUS=OR","EQY_CONSOLIDATED=Y","Sort=A","Dates=H","DateFormat=P","Fill=—","Direction=H","UseDPDF=Y")</f>
        <v>#NAME?</v>
      </c>
      <c r="BM565" s="2" t="e">
        <f ca="1">_xll.BDH($C$553,"INVENTORY_SEQUENTIAL_GROWTH","FQ2 2016","FQ2 2016","Currency=INR","Period=FQ","BEST_FPERIOD_OVERRIDE=FQ","FILING_STATUS=OR","EQY_CONSOLIDATED=Y","Sort=A","Dates=H","DateFormat=P","Fill=—","Direction=H","UseDPDF=Y")</f>
        <v>#NAME?</v>
      </c>
      <c r="BN565" s="2" t="e">
        <f ca="1">_xll.BDH($C$553,"FIXED_ASSETS_SEQUENTIAL_GROWTH","FQ2 2016","FQ2 2016","Currency=INR","Period=FQ","BEST_FPERIOD_OVERRIDE=FQ","FILING_STATUS=OR","EQY_CONSOLIDATED=Y","Sort=A","Dates=H","DateFormat=P","Fill=—","Direction=H","UseDPDF=Y")</f>
        <v>#NAME?</v>
      </c>
      <c r="BO565" s="2" t="e">
        <f ca="1">_xll.BDH($C$553,"TOTAL_ASSETS_SEQUENTIAL_GROWTH","FQ2 2016","FQ2 2016","Currency=INR","Period=FQ","BEST_FPERIOD_OVERRIDE=FQ","FILING_STATUS=OR","EQY_CONSOLIDATED=Y","Sort=A","Dates=H","DateFormat=P","Fill=—","Direction=H","UseDPDF=Y")</f>
        <v>#NAME?</v>
      </c>
      <c r="BP565" s="2" t="e">
        <f ca="1">_xll.BDH($C$553,"MODIFIED_WORKING_CPTL_SEQ_GRWTH","FQ2 2016","FQ2 2016","Currency=INR","Period=FQ","BEST_FPERIOD_OVERRIDE=FQ","FILING_STATUS=OR","EQY_CONSOLIDATED=Y","Sort=A","Dates=H","DateFormat=P","Fill=—","Direction=H","UseDPDF=Y")</f>
        <v>#NAME?</v>
      </c>
      <c r="BQ565" s="2" t="e">
        <f ca="1">_xll.BDH($C$553,"WORKING_CAPITAL_SEQ_GROWTH","FQ2 2016","FQ2 2016","Currency=INR","Period=FQ","BEST_FPERIOD_OVERRIDE=FQ","FILING_STATUS=OR","EQY_CONSOLIDATED=Y","Sort=A","Dates=H","DateFormat=P","Fill=—","Direction=H","UseDPDF=Y")</f>
        <v>#NAME?</v>
      </c>
      <c r="BR565" s="2" t="e">
        <f ca="1">_xll.BDH($C$553,"ACCOUNTS_PAYABLE_SEQ_GROWTH","FQ2 2016","FQ2 2016","Currency=INR","Period=FQ","BEST_FPERIOD_OVERRIDE=FQ","FILING_STATUS=OR","EQY_CONSOLIDATED=Y","Sort=A","Dates=H","DateFormat=P","Fill=—","Direction=H","UseDPDF=Y")</f>
        <v>#NAME?</v>
      </c>
      <c r="BS565" s="2" t="e">
        <f ca="1">_xll.BDH($C$553,"ST_DEBT_SEQUENTIAL_GROWTH","FQ2 2016","FQ2 2016","Currency=INR","Period=FQ","BEST_FPERIOD_OVERRIDE=FQ","FILING_STATUS=OR","EQY_CONSOLIDATED=Y","Sort=A","Dates=H","DateFormat=P","Fill=—","Direction=H","UseDPDF=Y")</f>
        <v>#NAME?</v>
      </c>
      <c r="BT565" s="2" t="e">
        <f ca="1">_xll.BDH($C$553,"TOTAL_DEBT_SEQUENTIAL_GROWTH","FQ2 2016","FQ2 2016","Currency=INR","Period=FQ","BEST_FPERIOD_OVERRIDE=FQ","FILING_STATUS=OR","EQY_CONSOLIDATED=Y","Sort=A","Dates=H","DateFormat=P","Fill=—","Direction=H","UseDPDF=Y")</f>
        <v>#NAME?</v>
      </c>
      <c r="BU565" s="2" t="e">
        <f ca="1">_xll.BDH($C$553,"TOTAL_EQUITY_SEQUENTIAL_GROWTH","FQ2 2016","FQ2 2016","Currency=INR","Period=FQ","BEST_FPERIOD_OVERRIDE=FQ","FILING_STATUS=OR","EQY_CONSOLIDATED=Y","Sort=A","Dates=H","DateFormat=P","Fill=—","Direction=H","UseDPDF=Y")</f>
        <v>#NAME?</v>
      </c>
      <c r="BV565" s="2" t="e">
        <f ca="1">_xll.BDH($C$553,"TOTAL_CAPITAL_SEQUENTIAL_GROWTH","FQ2 2016","FQ2 2016","Currency=INR","Period=FQ","BEST_FPERIOD_OVERRIDE=FQ","FILING_STATUS=OR","EQY_CONSOLIDATED=Y","Sort=A","Dates=H","DateFormat=P","Fill=—","Direction=H","UseDPDF=Y")</f>
        <v>#NAME?</v>
      </c>
      <c r="BW565" s="2" t="e">
        <f ca="1">_xll.BDH($C$553,"BPS_SEQUENTIAL_GROWTH","FQ2 2016","FQ2 2016","Currency=INR","Period=FQ","BEST_FPERIOD_OVERRIDE=FQ","FILING_STATUS=OR","EQY_CONSOLIDATED=Y","Sort=A","Dates=H","DateFormat=P","Fill=—","Direction=H","UseDPDF=Y")</f>
        <v>#NAME?</v>
      </c>
      <c r="BX565" s="2" t="e">
        <f ca="1">_xll.BDH($C$553,"CFO_SEQUENTIAL_GROWTH","FQ2 2016","FQ2 2016","Currency=INR","Period=FQ","BEST_FPERIOD_OVERRIDE=FQ","FILING_STATUS=OR","EQY_CONSOLIDATED=Y","Sort=A","Dates=H","DateFormat=P","Fill=—","Direction=H","UseDPDF=Y")</f>
        <v>#NAME?</v>
      </c>
      <c r="BY565" s="3" t="e">
        <f ca="1">_xll.BDH($C$553,"SHORT_AND_LONG_TERM_DEBT","FQ2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65" s="3" t="e">
        <f ca="1">_xll.BDH($C$553,"BS_ST_BORROW","FQ2 2016","FQ2 2016","Currency=INR","Period=FQ","BEST_FPERIOD_OVERRIDE=FQ","FILING_STATUS=OR","EQY_CONSOLIDATED=Y","SCALING_FORMAT=MLN","Sort=A","Dates=H","DateFormat=P","Fill=—","Direction=H","UseDPDF=Y")</f>
        <v>#NAME?</v>
      </c>
      <c r="CA565" s="3" t="e">
        <f ca="1">_xll.BDH($C$553,"BS_LT_BORROW","FQ2 2016","FQ2 2016","Currency=INR","Period=FQ","BEST_FPERIOD_OVERRIDE=FQ","FILING_STATUS=OR","EQY_CONSOLIDATED=Y","SCALING_FORMAT=MLN","Sort=A","Dates=H","DateFormat=P","Fill=—","Direction=H","UseDPDF=Y")</f>
        <v>#NAME?</v>
      </c>
      <c r="CB565" s="2" t="e">
        <f ca="1">_xll.BDH($C$553,"TOT_DEBT_TO_EBITDA","FQ2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65" s="2" t="e">
        <f ca="1">_xll.BDH($C$553,"NET_DEBT_TO_EBITDA","FQ2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65" s="2" t="e">
        <f ca="1">_xll.BDH($C$553,"TOTAL_DEBT_TO_EBIT","FQ2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65" s="2" t="e">
        <f ca="1">_xll.BDH($C$553,"NET_DEBT_TO_EBIT","FQ2 2016","FQ2 2016","Currency=INR","Period=FQ","BEST_FPERIOD_OVERRIDE=FQ","FILING_STATUS=OR","EQY_CONSOLIDATED=Y","FA_ADJUSTED=GAAP","Sort=A","Dates=H","DateFormat=P","Fill=—","Direction=H","UseDPDF=Y")</f>
        <v>#NAME?</v>
      </c>
      <c r="CF565" s="2" t="e">
        <f ca="1">_xll.BDH($C$553,"EBITDA_TO_INTEREST_EXPN","FQ2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65" s="2" t="e">
        <f ca="1">_xll.BDH($C$553,"COM_EQY_TO_TOT_ASSET","FQ2 2016","FQ2 2016","Currency=INR","Period=FQ","BEST_FPERIOD_OVERRIDE=FQ","FILING_STATUS=OR","EQY_CONSOLIDATED=Y","Sort=A","Dates=H","DateFormat=P","Fill=—","Direction=H","UseDPDF=Y")</f>
        <v>#NAME?</v>
      </c>
      <c r="CH565" s="2" t="e">
        <f ca="1">_xll.BDH($C$553,"LT_DEBT_TO_TOT_EQY","FQ2 2016","FQ2 2016","Currency=INR","Period=FQ","BEST_FPERIOD_OVERRIDE=FQ","FILING_STATUS=OR","EQY_CONSOLIDATED=Y","Sort=A","Dates=H","DateFormat=P","Fill=—","Direction=H","UseDPDF=Y")</f>
        <v>#NAME?</v>
      </c>
      <c r="CI565" s="2" t="e">
        <f ca="1">_xll.BDH($C$553,"LT_DEBT_TO_TOT_CAP","FQ2 2016","FQ2 2016","Currency=INR","Period=FQ","BEST_FPERIOD_OVERRIDE=FQ","FILING_STATUS=OR","EQY_CONSOLIDATED=Y","Sort=A","Dates=H","DateFormat=P","Fill=—","Direction=H","UseDPDF=Y")</f>
        <v>#NAME?</v>
      </c>
      <c r="CJ565" s="2" t="e">
        <f ca="1">_xll.BDH($C$553,"LT_DEBT_TO_TOT_ASSET","FQ2 2016","FQ2 2016","Currency=INR","Period=FQ","BEST_FPERIOD_OVERRIDE=FQ","FILING_STATUS=OR","EQY_CONSOLIDATED=Y","Sort=A","Dates=H","DateFormat=P","Fill=—","Direction=H","UseDPDF=Y")</f>
        <v>#NAME?</v>
      </c>
      <c r="CK565" s="2" t="e">
        <f ca="1">_xll.BDH($C$553,"TOT_DEBT_TO_TOT_EQY","FQ2 2016","FQ2 2016","Currency=INR","Period=FQ","BEST_FPERIOD_OVERRIDE=FQ","FILING_STATUS=OR","EQY_CONSOLIDATED=Y","Sort=A","Dates=H","DateFormat=P","Fill=—","Direction=H","UseDPDF=Y")</f>
        <v>#NAME?</v>
      </c>
      <c r="CL565" s="2" t="e">
        <f ca="1">_xll.BDH($C$553,"TOT_DEBT_TO_TOT_CAP","FQ2 2016","FQ2 2016","Currency=INR","Period=FQ","BEST_FPERIOD_OVERRIDE=FQ","FILING_STATUS=OR","EQY_CONSOLIDATED=Y","Sort=A","Dates=H","DateFormat=P","Fill=—","Direction=H","UseDPDF=Y")</f>
        <v>#NAME?</v>
      </c>
      <c r="CM565" s="2" t="e">
        <f ca="1">_xll.BDH($C$553,"TOT_DEBT_TO_TOT_ASSET","FQ2 2016","FQ2 2016","Currency=INR","Period=FQ","BEST_FPERIOD_OVERRIDE=FQ","FILING_STATUS=OR","EQY_CONSOLIDATED=Y","Sort=A","Dates=H","DateFormat=P","Fill=—","Direction=H","UseDPDF=Y")</f>
        <v>#NAME?</v>
      </c>
      <c r="CN565" s="2" t="e">
        <f ca="1">_xll.BDH($C$553,"NET_DEBT_TO_SHRHLDR_EQTY","FQ2 2016","FQ2 2016","Currency=INR","Period=FQ","BEST_FPERIOD_OVERRIDE=FQ","FILING_STATUS=OR","EQY_CONSOLIDATED=Y","Sort=A","Dates=H","DateFormat=P","Fill=—","Direction=H","UseDPDF=Y")</f>
        <v>#NAME?</v>
      </c>
      <c r="CO565" s="2" t="e">
        <f ca="1">_xll.BDH($C$553,"NET_DEBT_%_CAPITAL","FQ2 2016","FQ2 2016","Currency=INR","Period=FQ","BEST_FPERIOD_OVERRIDE=FQ","FILING_STATUS=OR","EQY_CONSOLIDATED=Y","Sort=A","Dates=H","DateFormat=P","Fill=—","Direction=H","UseDPDF=Y")</f>
        <v>#NAME?</v>
      </c>
      <c r="CP565" s="3" t="e">
        <f ca="1">_xll.BDH($C$553,"EBITDA","FQ2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65" s="3" t="e">
        <f ca="1">_xll.BDH($C$553,"EBITDA_AFTER_CAPEX","FQ2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65" s="3" t="e">
        <f ca="1">_xll.BDH($C$553,"IS_OPER_INC","FQ2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65" s="2" t="e">
        <f ca="1">_xll.BDH($C$553,"CASH_RATIO","FQ2 2016","FQ2 2016","Currency=INR","Period=FQ","BEST_FPERIOD_OVERRIDE=FQ","FILING_STATUS=OR","EQY_CONSOLIDATED=Y","Sort=A","Dates=H","DateFormat=P","Fill=—","Direction=H","UseDPDF=Y")</f>
        <v>#NAME?</v>
      </c>
      <c r="CT565" s="2" t="e">
        <f ca="1">_xll.BDH($C$553,"CUR_RATIO","FQ2 2016","FQ2 2016","Currency=INR","Period=FQ","BEST_FPERIOD_OVERRIDE=FQ","FILING_STATUS=OR","EQY_CONSOLIDATED=Y","Sort=A","Dates=H","DateFormat=P","Fill=—","Direction=H","UseDPDF=Y")</f>
        <v>#NAME?</v>
      </c>
      <c r="CU565" s="2" t="e">
        <f ca="1">_xll.BDH($C$553,"QUICK_RATIO","FQ2 2016","FQ2 2016","Currency=INR","Period=FQ","BEST_FPERIOD_OVERRIDE=FQ","FILING_STATUS=OR","EQY_CONSOLIDATED=Y","Sort=A","Dates=H","DateFormat=P","Fill=—","Direction=H","UseDPDF=Y")</f>
        <v>#NAME?</v>
      </c>
      <c r="CV565" s="2" t="e">
        <f ca="1">_xll.BDH($C$553,"ALTMAN_Z_SCORE","FQ2 2016","FQ2 2016","Currency=INR","Period=FQ","BEST_FPERIOD_OVERRIDE=FQ","FILING_STATUS=OR","EQY_CONSOLIDATED=Y","Sort=A","Dates=H","DateFormat=P","Fill=—","Direction=H","UseDPDF=Y")</f>
        <v>#NAME?</v>
      </c>
      <c r="CW565" s="4" t="e">
        <f ca="1">_xll.BDH($C$553,"ACCT_RCV_TURN","FQ2 2016","FQ2 2016","Currency=INR","Period=FQ","BEST_FPERIOD_OVERRIDE=FQ","FILING_STATUS=OR","EQY_CONSOLIDATED=Y","FA_ADJUSTED=GAAP","Sort=A","Dates=H","DateFormat=P","Fill=—","Direction=H","UseDPDF=Y")</f>
        <v>#NAME?</v>
      </c>
      <c r="CX565" s="2" t="e">
        <f ca="1">_xll.BDH($C$553,"ACCT_RCV_DAYS","FQ2 2016","FQ2 2016","Currency=INR","Period=FQ","BEST_FPERIOD_OVERRIDE=FQ","FILING_STATUS=OR","EQY_CONSOLIDATED=Y","FA_ADJUSTED=GAAP","Sort=A","Dates=H","DateFormat=P","Fill=—","Direction=H","UseDPDF=Y")</f>
        <v>#NAME?</v>
      </c>
      <c r="CY565" s="4" t="e">
        <f ca="1">_xll.BDH($C$553,"INVENT_TURN","FQ2 2016","FQ2 2016","Currency=INR","Period=FQ","BEST_FPERIOD_OVERRIDE=FQ","FILING_STATUS=OR","EQY_CONSOLIDATED=Y","FA_ADJUSTED=GAAP","Sort=A","Dates=H","DateFormat=P","Fill=—","Direction=H","UseDPDF=Y")</f>
        <v>#NAME?</v>
      </c>
      <c r="CZ565" s="2" t="e">
        <f ca="1">_xll.BDH($C$553,"INVENT_DAYS","FQ2 2016","FQ2 2016","Currency=INR","Period=FQ","BEST_FPERIOD_OVERRIDE=FQ","FILING_STATUS=OR","EQY_CONSOLIDATED=Y","FA_ADJUSTED=GAAP","Sort=A","Dates=H","DateFormat=P","Fill=—","Direction=H","UseDPDF=Y")</f>
        <v>#NAME?</v>
      </c>
      <c r="DA565" s="4" t="e">
        <f ca="1">_xll.BDH($C$553,"ACCOUNTS_PAYABLE_TURNOVER","FQ2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65" s="2" t="e">
        <f ca="1">_xll.BDH($C$553,"ACCOUNTS_PAYABLE_TURNOVER_DAYS","FQ2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65" s="4" t="e">
        <f ca="1">_xll.BDH($C$553,"CASH_CONVERSION_CYCLE","FQ2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65" s="4" t="e">
        <f ca="1">_xll.BDH($C$553,"INV_TO_CASH_DAYS","FQ2 2016","FQ2 2016","Currency=INR","Period=FQ","BEST_FPERIOD_OVERRIDE=FQ","FILING_STATUS=OR","EQY_CONSOLIDATED=Y","FA_ADJUSTED=GAAP","Sort=A","Dates=H","DateFormat=P","Fill=—","Direction=H","UseDPDF=Y")</f>
        <v>#NAME?</v>
      </c>
      <c r="DE565" s="5" t="e">
        <f ca="1">_xll.BDH($C$553,"BS_INVENTORIES","FQ2 2016","FQ2 2016","Currency=INR","Period=FQ","BEST_FPERIOD_OVERRIDE=FQ","FILING_STATUS=OR","EQY_CONSOLIDATED=Y","SCALING_FORMAT=MLN","Sort=A","Dates=H","DateFormat=P","Fill=—","Direction=H","UseDPDF=Y")</f>
        <v>#NAME?</v>
      </c>
      <c r="DF565" s="3" t="e">
        <f ca="1">_xll.BDH($C$553,"INVTRY_RAW_MATERIALS","FQ2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65" s="3" t="e">
        <f ca="1">_xll.BDH($C$553,"INVTRY_IN_PROGRESS","FQ2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65" s="3" t="e">
        <f ca="1">_xll.BDH($C$553,"INVTRY_FINISHED_GOODS","FQ2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65" s="3" t="e">
        <f ca="1">_xll.BDH($C$553,"BS_OTHER_INV","FQ2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66" spans="1:113" x14ac:dyDescent="0.3">
      <c r="A566" s="6"/>
      <c r="B566" s="6"/>
      <c r="C566" s="6"/>
      <c r="D566" s="6"/>
      <c r="E566" t="s">
        <v>80</v>
      </c>
      <c r="F566" t="e">
        <f ca="1">_xll.BDH($C$553,"RETURN_COM_EQY","FQ3 2016","FQ3 2016","Currency=INR","Period=FQ","BEST_FPERIOD_OVERRIDE=FQ","FILING_STATUS=OR","EQY_CONSOLIDATED=Y","FA_ADJUSTED=GAAP","Sort=A","Dates=H","DateFormat=P","Fill=—","Direction=H","UseDPDF=Y")</f>
        <v>#NAME?</v>
      </c>
      <c r="G566" t="e">
        <f ca="1">_xll.BDH($C$553,"RETURN_ON_ASSET","FQ3 2016","FQ3 2016","Currency=INR","Period=FQ","BEST_FPERIOD_OVERRIDE=FQ","FILING_STATUS=OR","EQY_CONSOLIDATED=Y","FA_ADJUSTED=GAAP","Sort=A","Dates=H","DateFormat=P","Fill=—","Direction=H","UseDPDF=Y")</f>
        <v>#NAME?</v>
      </c>
      <c r="H566" t="e">
        <f ca="1">_xll.BDH($C$553,"RETURN_ON_CAP","FQ3 2016","FQ3 2016","Currency=INR","Period=FQ","BEST_FPERIOD_OVERRIDE=FQ","FILING_STATUS=OR","EQY_CONSOLIDATED=Y","FA_ADJUSTED=GAAP","Sort=A","Dates=H","DateFormat=P","Fill=—","Direction=H","UseDPDF=Y")</f>
        <v>#NAME?</v>
      </c>
      <c r="I566" t="e">
        <f ca="1">_xll.BDH($C$553,"RETURN_ON_INV_CAPITAL","FQ3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66" t="e">
        <f ca="1">_xll.BDH($C$553,"EBITDA_TO_REVENUE","FQ3 2016","FQ3 2016","Currency=INR","Period=FQ","BEST_FPERIOD_OVERRIDE=FQ","FILING_STATUS=OR","EQY_CONSOLIDATED=Y","FA_ADJUSTED=GAAP","Sort=A","Dates=H","DateFormat=P","Fill=—","Direction=H","UseDPDF=Y")</f>
        <v>#NAME?</v>
      </c>
      <c r="K566" t="e">
        <f ca="1">_xll.BDH($C$553,"OPER_MARGIN","FQ3 2016","FQ3 2016","Currency=INR","Period=FQ","BEST_FPERIOD_OVERRIDE=FQ","FILING_STATUS=OR","EQY_CONSOLIDATED=Y","FA_ADJUSTED=GAAP","Sort=A","Dates=H","DateFormat=P","Fill=—","Direction=H","UseDPDF=Y")</f>
        <v>#NAME?</v>
      </c>
      <c r="L566" t="e">
        <f ca="1">_xll.BDH($C$553,"INCREMENTAL_OPERATING_MARGIN","FQ3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66" t="e">
        <f ca="1">_xll.BDH($C$553,"PRETAX_INC_TO_NET_SALES","FQ3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66" t="e">
        <f ca="1">_xll.BDH($C$553,"INC_BEF_XO_ITEMS_TO_NET_SALES","FQ3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66" t="e">
        <f ca="1">_xll.BDH($C$553,"PROF_MARGIN","FQ3 2016","FQ3 2016","Currency=INR","Period=FQ","BEST_FPERIOD_OVERRIDE=FQ","FILING_STATUS=OR","EQY_CONSOLIDATED=Y","FA_ADJUSTED=GAAP","Sort=A","Dates=H","DateFormat=P","Fill=—","Direction=H","UseDPDF=Y")</f>
        <v>#NAME?</v>
      </c>
      <c r="P566" t="e">
        <f ca="1">_xll.BDH($C$553,"NET_INCOME_TO_COMMON_MARGIN","FQ3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66" t="e">
        <f ca="1">_xll.BDH($C$553,"EFF_TAX_RATE","FQ3 2016","FQ3 2016","Currency=INR","Period=FQ","BEST_FPERIOD_OVERRIDE=FQ","FILING_STATUS=OR","EQY_CONSOLIDATED=Y","FA_ADJUSTED=GAAP","Sort=A","Dates=H","DateFormat=P","Fill=—","Direction=H","UseDPDF=Y")</f>
        <v>#NAME?</v>
      </c>
      <c r="R566" t="e">
        <f ca="1">_xll.BDH($C$553,"DVD_PAYOUT_RATIO","FQ3 2016","FQ3 2016","Currency=INR","Period=FQ","BEST_FPERIOD_OVERRIDE=FQ","FILING_STATUS=OR","EQY_CONSOLIDATED=Y","FA_ADJUSTED=GAAP","Sort=A","Dates=H","DateFormat=P","Fill=—","Direction=H","UseDPDF=Y")</f>
        <v>#NAME?</v>
      </c>
      <c r="S566" t="e">
        <f ca="1">_xll.BDH($C$553,"SUSTAIN_GROWTH_RT","FQ3 2016","FQ3 2016","Currency=INR","Period=FQ","BEST_FPERIOD_OVERRIDE=FQ","FILING_STATUS=OR","EQY_CONSOLIDATED=Y","FA_ADJUSTED=GAAP","Sort=A","Dates=H","DateFormat=P","Fill=—","Direction=H","UseDPDF=Y")</f>
        <v>#NAME?</v>
      </c>
      <c r="T566" s="2" t="e">
        <f ca="1">_xll.BDH($C$553,"SALES_GROWTH","FQ3 2016","FQ3 2016","Currency=INR","Period=FQ","BEST_FPERIOD_OVERRIDE=FQ","FILING_STATUS=OR","EQY_CONSOLIDATED=Y","FA_ADJUSTED=GAAP","Sort=A","Dates=H","DateFormat=P","Fill=—","Direction=H","UseDPDF=Y")</f>
        <v>#NAME?</v>
      </c>
      <c r="U566" s="2" t="e">
        <f ca="1">_xll.BDH($C$553,"EBITDA_GROWTH","FQ3 2016","FQ3 2016","Currency=INR","Period=FQ","BEST_FPERIOD_OVERRIDE=FQ","FILING_STATUS=OR","EQY_CONSOLIDATED=Y","FA_ADJUSTED=GAAP","Sort=A","Dates=H","DateFormat=P","Fill=—","Direction=H","UseDPDF=Y")</f>
        <v>#NAME?</v>
      </c>
      <c r="V566" s="2" t="e">
        <f ca="1">_xll.BDH($C$553,"OPER_INC_GROWTH","FQ3 2016","FQ3 2016","Currency=INR","Period=FQ","BEST_FPERIOD_OVERRIDE=FQ","FILING_STATUS=OR","EQY_CONSOLIDATED=Y","FA_ADJUSTED=GAAP","Sort=A","Dates=H","DateFormat=P","Fill=—","Direction=H","UseDPDF=Y")</f>
        <v>#NAME?</v>
      </c>
      <c r="W566" s="2" t="e">
        <f ca="1">_xll.BDH($C$553,"EARN_FOR_COM_GROWTH","FQ3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66" s="2" t="e">
        <f ca="1">_xll.BDH($C$553,"DILUTED_EPS_AFT_XO_ITEMS_GROWTH","FQ3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66" s="2" t="e">
        <f ca="1">_xll.BDH($C$553,"DIVIDEND_PER_SHARE_1_YEAR_GROWTH","FQ3 2016","FQ3 2016","Currency=INR","Period=FQ","BEST_FPERIOD_OVERRIDE=FQ","FILING_STATUS=OR","EQY_CONSOLIDATED=Y","Sort=A","Dates=H","DateFormat=P","Fill=—","Direction=H","UseDPDF=Y")</f>
        <v>#NAME?</v>
      </c>
      <c r="Z566" s="2" t="e">
        <f ca="1">_xll.BDH($C$553,"ACCOUNTS_RECEIVABLE_GROWTH","FQ3 2016","FQ3 2016","Currency=INR","Period=FQ","BEST_FPERIOD_OVERRIDE=FQ","FILING_STATUS=OR","EQY_CONSOLIDATED=Y","Sort=A","Dates=H","DateFormat=P","Fill=—","Direction=H","UseDPDF=Y")</f>
        <v>#NAME?</v>
      </c>
      <c r="AA566" s="2" t="e">
        <f ca="1">_xll.BDH($C$553,"INVENTORY_GROWTH","FQ3 2016","FQ3 2016","Currency=INR","Period=FQ","BEST_FPERIOD_OVERRIDE=FQ","FILING_STATUS=OR","EQY_CONSOLIDATED=Y","Sort=A","Dates=H","DateFormat=P","Fill=—","Direction=H","UseDPDF=Y")</f>
        <v>#NAME?</v>
      </c>
      <c r="AB566" s="2" t="e">
        <f ca="1">_xll.BDH($C$553,"NET_FIXED_ASSETS_1_YEAR_GROWTH","FQ3 2016","FQ3 2016","Currency=INR","Period=FQ","BEST_FPERIOD_OVERRIDE=FQ","FILING_STATUS=OR","EQY_CONSOLIDATED=Y","Sort=A","Dates=H","DateFormat=P","Fill=—","Direction=H","UseDPDF=Y")</f>
        <v>#NAME?</v>
      </c>
      <c r="AC566" s="2" t="e">
        <f ca="1">_xll.BDH($C$553,"ASSET_GROWTH","FQ3 2016","FQ3 2016","Currency=INR","Period=FQ","BEST_FPERIOD_OVERRIDE=FQ","FILING_STATUS=OR","EQY_CONSOLIDATED=Y","Sort=A","Dates=H","DateFormat=P","Fill=—","Direction=H","UseDPDF=Y")</f>
        <v>#NAME?</v>
      </c>
      <c r="AD566" s="2" t="e">
        <f ca="1">_xll.BDH($C$553,"MODIFIED_WORK_CAP_GROWTH","FQ3 2016","FQ3 2016","Currency=INR","Period=FQ","BEST_FPERIOD_OVERRIDE=FQ","FILING_STATUS=OR","EQY_CONSOLIDATED=Y","Sort=A","Dates=H","DateFormat=P","Fill=—","Direction=H","UseDPDF=Y")</f>
        <v>#NAME?</v>
      </c>
      <c r="AE566" s="2" t="e">
        <f ca="1">_xll.BDH($C$553,"WORK_CAP_GROWTH","FQ3 2016","FQ3 2016","Currency=INR","Period=FQ","BEST_FPERIOD_OVERRIDE=FQ","FILING_STATUS=OR","EQY_CONSOLIDATED=Y","Sort=A","Dates=H","DateFormat=P","Fill=—","Direction=H","UseDPDF=Y")</f>
        <v>#NAME?</v>
      </c>
      <c r="AF566" s="2" t="e">
        <f ca="1">_xll.BDH($C$553,"ACCOUNTS_PAYABLE_GROWTH_1YR","FQ3 2016","FQ3 2016","Currency=INR","Period=FQ","BEST_FPERIOD_OVERRIDE=FQ","FILING_STATUS=OR","EQY_CONSOLIDATED=Y","Sort=A","Dates=H","DateFormat=P","Fill=—","Direction=H","UseDPDF=Y")</f>
        <v>#NAME?</v>
      </c>
      <c r="AG566" s="2" t="e">
        <f ca="1">_xll.BDH($C$553,"SHORT_TERM_DEBT_1_YEAR_GROWTH","FQ3 2016","FQ3 2016","Currency=INR","Period=FQ","BEST_FPERIOD_OVERRIDE=FQ","FILING_STATUS=OR","EQY_CONSOLIDATED=Y","Sort=A","Dates=H","DateFormat=P","Fill=—","Direction=H","UseDPDF=Y")</f>
        <v>#NAME?</v>
      </c>
      <c r="AH566" s="2" t="e">
        <f ca="1">_xll.BDH($C$553,"TOTAL_DEBT_1_YEAR_GROWTH","FQ3 2016","FQ3 2016","Currency=INR","Period=FQ","BEST_FPERIOD_OVERRIDE=FQ","FILING_STATUS=OR","EQY_CONSOLIDATED=Y","Sort=A","Dates=H","DateFormat=P","Fill=—","Direction=H","UseDPDF=Y")</f>
        <v>#NAME?</v>
      </c>
      <c r="AI566" s="2" t="e">
        <f ca="1">_xll.BDH($C$553,"TOTAL_EQUITY_1_YEAR_GROWTH","FQ3 2016","FQ3 2016","Currency=INR","Period=FQ","BEST_FPERIOD_OVERRIDE=FQ","FILING_STATUS=OR","EQY_CONSOLIDATED=Y","Sort=A","Dates=H","DateFormat=P","Fill=—","Direction=H","UseDPDF=Y")</f>
        <v>#NAME?</v>
      </c>
      <c r="AJ566" s="2" t="e">
        <f ca="1">_xll.BDH($C$553,"GROWTH_IN_CAP","FQ3 2016","FQ3 2016","Currency=INR","Period=FQ","BEST_FPERIOD_OVERRIDE=FQ","FILING_STATUS=OR","EQY_CONSOLIDATED=Y","Sort=A","Dates=H","DateFormat=P","Fill=—","Direction=H","UseDPDF=Y")</f>
        <v>#NAME?</v>
      </c>
      <c r="AK566" s="2" t="e">
        <f ca="1">_xll.BDH($C$553,"BVPS_GROWTH","FQ3 2016","FQ3 2016","Currency=INR","Period=FQ","BEST_FPERIOD_OVERRIDE=FQ","FILING_STATUS=OR","EQY_CONSOLIDATED=Y","Sort=A","Dates=H","DateFormat=P","Fill=—","Direction=H","UseDPDF=Y")</f>
        <v>#NAME?</v>
      </c>
      <c r="AL566" s="2" t="e">
        <f ca="1">_xll.BDH($C$553,"CASH_FLOW_GROWTH","FQ3 2016","FQ3 2016","Currency=INR","Period=FQ","BEST_FPERIOD_OVERRIDE=FQ","FILING_STATUS=OR","EQY_CONSOLIDATED=Y","Sort=A","Dates=H","DateFormat=P","Fill=—","Direction=H","UseDPDF=Y")</f>
        <v>#NAME?</v>
      </c>
      <c r="AM566" s="2" t="e">
        <f ca="1">_xll.BDH($C$553,"GEO_GROW_NET_SALES","FQ3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66" s="2" t="e">
        <f ca="1">_xll.BDH($C$553,"GEO_GROW_EBITDA","FQ3 2016","FQ3 2016","Currency=INR","Period=FQ","BEST_FPERIOD_OVERRIDE=FQ","FILING_STATUS=OR","EQY_CONSOLIDATED=Y","FA_ADJUSTED=GAAP","Sort=A","Dates=H","DateFormat=P","Fill=—","Direction=H","UseDPDF=Y")</f>
        <v>#NAME?</v>
      </c>
      <c r="AO566" s="2" t="e">
        <f ca="1">_xll.BDH($C$553,"GEO_GROW_OPER_INC","FQ3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66" s="2" t="e">
        <f ca="1">_xll.BDH($C$553,"NET_INCOME_TO_COMMON_5_YR_GROWTH","FQ3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66" s="2" t="e">
        <f ca="1">_xll.BDH($C$553,"5Y_GEO_GROWTH_DILUTED_EPS","FQ3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66" s="2" t="e">
        <f ca="1">_xll.BDH($C$553,"GEO_GROW_DVD_PER_SH","FQ3 2016","FQ3 2016","Currency=INR","Period=FQ","BEST_FPERIOD_OVERRIDE=FQ","FILING_STATUS=OR","EQY_CONSOLIDATED=Y","Sort=A","Dates=H","DateFormat=P","Fill=—","Direction=H","UseDPDF=Y")</f>
        <v>#NAME?</v>
      </c>
      <c r="AS566" s="2" t="e">
        <f ca="1">_xll.BDH($C$553,"ACCOUNTS_RECEIVABLE_5_YR_GROWTH","FQ3 2016","FQ3 2016","Currency=INR","Period=FQ","BEST_FPERIOD_OVERRIDE=FQ","FILING_STATUS=OR","EQY_CONSOLIDATED=Y","Sort=A","Dates=H","DateFormat=P","Fill=—","Direction=H","UseDPDF=Y")</f>
        <v>#NAME?</v>
      </c>
      <c r="AT566" s="2" t="e">
        <f ca="1">_xll.BDH($C$553,"INVENTORY_5_YEAR_GROWTH","FQ3 2016","FQ3 2016","Currency=INR","Period=FQ","BEST_FPERIOD_OVERRIDE=FQ","FILING_STATUS=OR","EQY_CONSOLIDATED=Y","Sort=A","Dates=H","DateFormat=P","Fill=—","Direction=H","UseDPDF=Y")</f>
        <v>#NAME?</v>
      </c>
      <c r="AU566" s="2" t="e">
        <f ca="1">_xll.BDH($C$553,"NET_FIXED_ASSETS_5_YEAR_GROWTH","FQ3 2016","FQ3 2016","Currency=INR","Period=FQ","BEST_FPERIOD_OVERRIDE=FQ","FILING_STATUS=OR","EQY_CONSOLIDATED=Y","Sort=A","Dates=H","DateFormat=P","Fill=—","Direction=H","UseDPDF=Y")</f>
        <v>#NAME?</v>
      </c>
      <c r="AV566" s="2" t="e">
        <f ca="1">_xll.BDH($C$553,"GEO_GROW_TOT_ASSET","FQ3 2016","FQ3 2016","Currency=INR","Period=FQ","BEST_FPERIOD_OVERRIDE=FQ","FILING_STATUS=OR","EQY_CONSOLIDATED=Y","Sort=A","Dates=H","DateFormat=P","Fill=—","Direction=H","UseDPDF=Y")</f>
        <v>#NAME?</v>
      </c>
      <c r="AW566" s="2" t="e">
        <f ca="1">_xll.BDH($C$553,"MODIFIED_WORKING_CPTL_5YR_GRWTH","FQ3 2016","FQ3 2016","Currency=INR","Period=FQ","BEST_FPERIOD_OVERRIDE=FQ","FILING_STATUS=OR","EQY_CONSOLIDATED=Y","Sort=A","Dates=H","DateFormat=P","Fill=—","Direction=H","UseDPDF=Y")</f>
        <v>#NAME?</v>
      </c>
      <c r="AX566" s="2" t="e">
        <f ca="1">_xll.BDH($C$553,"WORKING_CAPITAL_5_YEAR_GROWTH","FQ3 2016","FQ3 2016","Currency=INR","Period=FQ","BEST_FPERIOD_OVERRIDE=FQ","FILING_STATUS=OR","EQY_CONSOLIDATED=Y","Sort=A","Dates=H","DateFormat=P","Fill=—","Direction=H","UseDPDF=Y")</f>
        <v>#NAME?</v>
      </c>
      <c r="AY566" s="2" t="e">
        <f ca="1">_xll.BDH($C$553,"ACCOUNTS_PAYABLE_5_YEAR_GROWTH","FQ3 2016","FQ3 2016","Currency=INR","Period=FQ","BEST_FPERIOD_OVERRIDE=FQ","FILING_STATUS=OR","EQY_CONSOLIDATED=Y","Sort=A","Dates=H","DateFormat=P","Fill=—","Direction=H","UseDPDF=Y")</f>
        <v>#NAME?</v>
      </c>
      <c r="AZ566" s="2" t="e">
        <f ca="1">_xll.BDH($C$553,"SHORT_TERM_DEBT_5_YEAR_GROWTH","FQ3 2016","FQ3 2016","Currency=INR","Period=FQ","BEST_FPERIOD_OVERRIDE=FQ","FILING_STATUS=OR","EQY_CONSOLIDATED=Y","Sort=A","Dates=H","DateFormat=P","Fill=—","Direction=H","UseDPDF=Y")</f>
        <v>#NAME?</v>
      </c>
      <c r="BA566" s="2" t="e">
        <f ca="1">_xll.BDH($C$553,"TOTAL_DEBT_5_YEAR_GROWTH","FQ3 2016","FQ3 2016","Currency=INR","Period=FQ","BEST_FPERIOD_OVERRIDE=FQ","FILING_STATUS=OR","EQY_CONSOLIDATED=Y","Sort=A","Dates=H","DateFormat=P","Fill=—","Direction=H","UseDPDF=Y")</f>
        <v>#NAME?</v>
      </c>
      <c r="BB566" s="2" t="e">
        <f ca="1">_xll.BDH($C$553,"GEO_GROW_TOT_SHRHLDR_EQY","FQ3 2016","FQ3 2016","Currency=INR","Period=FQ","BEST_FPERIOD_OVERRIDE=FQ","FILING_STATUS=OR","EQY_CONSOLIDATED=Y","Sort=A","Dates=H","DateFormat=P","Fill=—","Direction=H","UseDPDF=Y")</f>
        <v>#NAME?</v>
      </c>
      <c r="BC566" s="2" t="e">
        <f ca="1">_xll.BDH($C$553,"TOTAL_CAPITAL_5_YEAR_GROWTH","FQ3 2016","FQ3 2016","Currency=INR","Period=FQ","BEST_FPERIOD_OVERRIDE=FQ","FILING_STATUS=OR","EQY_CONSOLIDATED=Y","Sort=A","Dates=H","DateFormat=P","Fill=—","Direction=H","UseDPDF=Y")</f>
        <v>#NAME?</v>
      </c>
      <c r="BD566" s="2" t="e">
        <f ca="1">_xll.BDH($C$553,"GEO_GROW_BOOK_VAL","FQ3 2016","FQ3 2016","Currency=INR","Period=FQ","BEST_FPERIOD_OVERRIDE=FQ","FILING_STATUS=OR","EQY_CONSOLIDATED=Y","Sort=A","Dates=H","DateFormat=P","Fill=—","Direction=H","UseDPDF=Y")</f>
        <v>#NAME?</v>
      </c>
      <c r="BE566" s="2" t="e">
        <f ca="1">_xll.BDH($C$553,"GEO_GROW_CASH_OPER_ACT","FQ3 2016","FQ3 2016","Currency=INR","Period=FQ","BEST_FPERIOD_OVERRIDE=FQ","FILING_STATUS=OR","EQY_CONSOLIDATED=Y","Sort=A","Dates=H","DateFormat=P","Fill=—","Direction=H","UseDPDF=Y")</f>
        <v>#NAME?</v>
      </c>
      <c r="BF566" s="2" t="e">
        <f ca="1">_xll.BDH($C$553,"REVENUE_SEQUENTIAL_GROWTH","FQ3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66" s="2" t="e">
        <f ca="1">_xll.BDH($C$553,"EBITDA_SEQUENTIAL_GROWTH","FQ3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66" s="2" t="e">
        <f ca="1">_xll.BDH($C$553,"OPERATING_INCOME_SEQ_GROWTH","FQ3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66" s="2" t="e">
        <f ca="1">_xll.BDH($C$553,"NET_INCOME_TO_COMMON_SEQ_GROWTH","FQ3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66" s="2" t="e">
        <f ca="1">_xll.BDH($C$553,"EPS_DILUTED_SEQUENTIAL_GROWTH","FQ3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66" s="2" t="e">
        <f ca="1">_xll.BDH($C$553,"DPS_SEQUENTIAL_GROWTH","FQ3 2016","FQ3 2016","Currency=INR","Period=FQ","BEST_FPERIOD_OVERRIDE=FQ","FILING_STATUS=OR","EQY_CONSOLIDATED=Y","Sort=A","Dates=H","DateFormat=P","Fill=—","Direction=H","UseDPDF=Y")</f>
        <v>#NAME?</v>
      </c>
      <c r="BL566" s="2" t="e">
        <f ca="1">_xll.BDH($C$553,"ACCOUNTS_RECEIVABLE_SEQ_GROWTH","FQ3 2016","FQ3 2016","Currency=INR","Period=FQ","BEST_FPERIOD_OVERRIDE=FQ","FILING_STATUS=OR","EQY_CONSOLIDATED=Y","Sort=A","Dates=H","DateFormat=P","Fill=—","Direction=H","UseDPDF=Y")</f>
        <v>#NAME?</v>
      </c>
      <c r="BM566" s="2" t="e">
        <f ca="1">_xll.BDH($C$553,"INVENTORY_SEQUENTIAL_GROWTH","FQ3 2016","FQ3 2016","Currency=INR","Period=FQ","BEST_FPERIOD_OVERRIDE=FQ","FILING_STATUS=OR","EQY_CONSOLIDATED=Y","Sort=A","Dates=H","DateFormat=P","Fill=—","Direction=H","UseDPDF=Y")</f>
        <v>#NAME?</v>
      </c>
      <c r="BN566" s="2" t="e">
        <f ca="1">_xll.BDH($C$553,"FIXED_ASSETS_SEQUENTIAL_GROWTH","FQ3 2016","FQ3 2016","Currency=INR","Period=FQ","BEST_FPERIOD_OVERRIDE=FQ","FILING_STATUS=OR","EQY_CONSOLIDATED=Y","Sort=A","Dates=H","DateFormat=P","Fill=—","Direction=H","UseDPDF=Y")</f>
        <v>#NAME?</v>
      </c>
      <c r="BO566" s="2" t="e">
        <f ca="1">_xll.BDH($C$553,"TOTAL_ASSETS_SEQUENTIAL_GROWTH","FQ3 2016","FQ3 2016","Currency=INR","Period=FQ","BEST_FPERIOD_OVERRIDE=FQ","FILING_STATUS=OR","EQY_CONSOLIDATED=Y","Sort=A","Dates=H","DateFormat=P","Fill=—","Direction=H","UseDPDF=Y")</f>
        <v>#NAME?</v>
      </c>
      <c r="BP566" s="2" t="e">
        <f ca="1">_xll.BDH($C$553,"MODIFIED_WORKING_CPTL_SEQ_GRWTH","FQ3 2016","FQ3 2016","Currency=INR","Period=FQ","BEST_FPERIOD_OVERRIDE=FQ","FILING_STATUS=OR","EQY_CONSOLIDATED=Y","Sort=A","Dates=H","DateFormat=P","Fill=—","Direction=H","UseDPDF=Y")</f>
        <v>#NAME?</v>
      </c>
      <c r="BQ566" s="2" t="e">
        <f ca="1">_xll.BDH($C$553,"WORKING_CAPITAL_SEQ_GROWTH","FQ3 2016","FQ3 2016","Currency=INR","Period=FQ","BEST_FPERIOD_OVERRIDE=FQ","FILING_STATUS=OR","EQY_CONSOLIDATED=Y","Sort=A","Dates=H","DateFormat=P","Fill=—","Direction=H","UseDPDF=Y")</f>
        <v>#NAME?</v>
      </c>
      <c r="BR566" s="2" t="e">
        <f ca="1">_xll.BDH($C$553,"ACCOUNTS_PAYABLE_SEQ_GROWTH","FQ3 2016","FQ3 2016","Currency=INR","Period=FQ","BEST_FPERIOD_OVERRIDE=FQ","FILING_STATUS=OR","EQY_CONSOLIDATED=Y","Sort=A","Dates=H","DateFormat=P","Fill=—","Direction=H","UseDPDF=Y")</f>
        <v>#NAME?</v>
      </c>
      <c r="BS566" s="2" t="e">
        <f ca="1">_xll.BDH($C$553,"ST_DEBT_SEQUENTIAL_GROWTH","FQ3 2016","FQ3 2016","Currency=INR","Period=FQ","BEST_FPERIOD_OVERRIDE=FQ","FILING_STATUS=OR","EQY_CONSOLIDATED=Y","Sort=A","Dates=H","DateFormat=P","Fill=—","Direction=H","UseDPDF=Y")</f>
        <v>#NAME?</v>
      </c>
      <c r="BT566" s="2" t="e">
        <f ca="1">_xll.BDH($C$553,"TOTAL_DEBT_SEQUENTIAL_GROWTH","FQ3 2016","FQ3 2016","Currency=INR","Period=FQ","BEST_FPERIOD_OVERRIDE=FQ","FILING_STATUS=OR","EQY_CONSOLIDATED=Y","Sort=A","Dates=H","DateFormat=P","Fill=—","Direction=H","UseDPDF=Y")</f>
        <v>#NAME?</v>
      </c>
      <c r="BU566" s="2" t="e">
        <f ca="1">_xll.BDH($C$553,"TOTAL_EQUITY_SEQUENTIAL_GROWTH","FQ3 2016","FQ3 2016","Currency=INR","Period=FQ","BEST_FPERIOD_OVERRIDE=FQ","FILING_STATUS=OR","EQY_CONSOLIDATED=Y","Sort=A","Dates=H","DateFormat=P","Fill=—","Direction=H","UseDPDF=Y")</f>
        <v>#NAME?</v>
      </c>
      <c r="BV566" s="2" t="e">
        <f ca="1">_xll.BDH($C$553,"TOTAL_CAPITAL_SEQUENTIAL_GROWTH","FQ3 2016","FQ3 2016","Currency=INR","Period=FQ","BEST_FPERIOD_OVERRIDE=FQ","FILING_STATUS=OR","EQY_CONSOLIDATED=Y","Sort=A","Dates=H","DateFormat=P","Fill=—","Direction=H","UseDPDF=Y")</f>
        <v>#NAME?</v>
      </c>
      <c r="BW566" s="2" t="e">
        <f ca="1">_xll.BDH($C$553,"BPS_SEQUENTIAL_GROWTH","FQ3 2016","FQ3 2016","Currency=INR","Period=FQ","BEST_FPERIOD_OVERRIDE=FQ","FILING_STATUS=OR","EQY_CONSOLIDATED=Y","Sort=A","Dates=H","DateFormat=P","Fill=—","Direction=H","UseDPDF=Y")</f>
        <v>#NAME?</v>
      </c>
      <c r="BX566" s="2" t="e">
        <f ca="1">_xll.BDH($C$553,"CFO_SEQUENTIAL_GROWTH","FQ3 2016","FQ3 2016","Currency=INR","Period=FQ","BEST_FPERIOD_OVERRIDE=FQ","FILING_STATUS=OR","EQY_CONSOLIDATED=Y","Sort=A","Dates=H","DateFormat=P","Fill=—","Direction=H","UseDPDF=Y")</f>
        <v>#NAME?</v>
      </c>
      <c r="BY566" s="3" t="e">
        <f ca="1">_xll.BDH($C$553,"SHORT_AND_LONG_TERM_DEBT","FQ3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66" s="3" t="e">
        <f ca="1">_xll.BDH($C$553,"BS_ST_BORROW","FQ3 2016","FQ3 2016","Currency=INR","Period=FQ","BEST_FPERIOD_OVERRIDE=FQ","FILING_STATUS=OR","EQY_CONSOLIDATED=Y","SCALING_FORMAT=MLN","Sort=A","Dates=H","DateFormat=P","Fill=—","Direction=H","UseDPDF=Y")</f>
        <v>#NAME?</v>
      </c>
      <c r="CA566" s="3" t="e">
        <f ca="1">_xll.BDH($C$553,"BS_LT_BORROW","FQ3 2016","FQ3 2016","Currency=INR","Period=FQ","BEST_FPERIOD_OVERRIDE=FQ","FILING_STATUS=OR","EQY_CONSOLIDATED=Y","SCALING_FORMAT=MLN","Sort=A","Dates=H","DateFormat=P","Fill=—","Direction=H","UseDPDF=Y")</f>
        <v>#NAME?</v>
      </c>
      <c r="CB566" s="2" t="e">
        <f ca="1">_xll.BDH($C$553,"TOT_DEBT_TO_EBITDA","FQ3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66" s="2" t="e">
        <f ca="1">_xll.BDH($C$553,"NET_DEBT_TO_EBITDA","FQ3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66" s="2" t="e">
        <f ca="1">_xll.BDH($C$553,"TOTAL_DEBT_TO_EBIT","FQ3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66" s="2" t="e">
        <f ca="1">_xll.BDH($C$553,"NET_DEBT_TO_EBIT","FQ3 2016","FQ3 2016","Currency=INR","Period=FQ","BEST_FPERIOD_OVERRIDE=FQ","FILING_STATUS=OR","EQY_CONSOLIDATED=Y","FA_ADJUSTED=GAAP","Sort=A","Dates=H","DateFormat=P","Fill=—","Direction=H","UseDPDF=Y")</f>
        <v>#NAME?</v>
      </c>
      <c r="CF566" s="2" t="e">
        <f ca="1">_xll.BDH($C$553,"EBITDA_TO_INTEREST_EXPN","FQ3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66" s="2" t="e">
        <f ca="1">_xll.BDH($C$553,"COM_EQY_TO_TOT_ASSET","FQ3 2016","FQ3 2016","Currency=INR","Period=FQ","BEST_FPERIOD_OVERRIDE=FQ","FILING_STATUS=OR","EQY_CONSOLIDATED=Y","Sort=A","Dates=H","DateFormat=P","Fill=—","Direction=H","UseDPDF=Y")</f>
        <v>#NAME?</v>
      </c>
      <c r="CH566" s="2" t="e">
        <f ca="1">_xll.BDH($C$553,"LT_DEBT_TO_TOT_EQY","FQ3 2016","FQ3 2016","Currency=INR","Period=FQ","BEST_FPERIOD_OVERRIDE=FQ","FILING_STATUS=OR","EQY_CONSOLIDATED=Y","Sort=A","Dates=H","DateFormat=P","Fill=—","Direction=H","UseDPDF=Y")</f>
        <v>#NAME?</v>
      </c>
      <c r="CI566" s="2" t="e">
        <f ca="1">_xll.BDH($C$553,"LT_DEBT_TO_TOT_CAP","FQ3 2016","FQ3 2016","Currency=INR","Period=FQ","BEST_FPERIOD_OVERRIDE=FQ","FILING_STATUS=OR","EQY_CONSOLIDATED=Y","Sort=A","Dates=H","DateFormat=P","Fill=—","Direction=H","UseDPDF=Y")</f>
        <v>#NAME?</v>
      </c>
      <c r="CJ566" s="2" t="e">
        <f ca="1">_xll.BDH($C$553,"LT_DEBT_TO_TOT_ASSET","FQ3 2016","FQ3 2016","Currency=INR","Period=FQ","BEST_FPERIOD_OVERRIDE=FQ","FILING_STATUS=OR","EQY_CONSOLIDATED=Y","Sort=A","Dates=H","DateFormat=P","Fill=—","Direction=H","UseDPDF=Y")</f>
        <v>#NAME?</v>
      </c>
      <c r="CK566" s="2" t="e">
        <f ca="1">_xll.BDH($C$553,"TOT_DEBT_TO_TOT_EQY","FQ3 2016","FQ3 2016","Currency=INR","Period=FQ","BEST_FPERIOD_OVERRIDE=FQ","FILING_STATUS=OR","EQY_CONSOLIDATED=Y","Sort=A","Dates=H","DateFormat=P","Fill=—","Direction=H","UseDPDF=Y")</f>
        <v>#NAME?</v>
      </c>
      <c r="CL566" s="2" t="e">
        <f ca="1">_xll.BDH($C$553,"TOT_DEBT_TO_TOT_CAP","FQ3 2016","FQ3 2016","Currency=INR","Period=FQ","BEST_FPERIOD_OVERRIDE=FQ","FILING_STATUS=OR","EQY_CONSOLIDATED=Y","Sort=A","Dates=H","DateFormat=P","Fill=—","Direction=H","UseDPDF=Y")</f>
        <v>#NAME?</v>
      </c>
      <c r="CM566" s="2" t="e">
        <f ca="1">_xll.BDH($C$553,"TOT_DEBT_TO_TOT_ASSET","FQ3 2016","FQ3 2016","Currency=INR","Period=FQ","BEST_FPERIOD_OVERRIDE=FQ","FILING_STATUS=OR","EQY_CONSOLIDATED=Y","Sort=A","Dates=H","DateFormat=P","Fill=—","Direction=H","UseDPDF=Y")</f>
        <v>#NAME?</v>
      </c>
      <c r="CN566" s="2" t="e">
        <f ca="1">_xll.BDH($C$553,"NET_DEBT_TO_SHRHLDR_EQTY","FQ3 2016","FQ3 2016","Currency=INR","Period=FQ","BEST_FPERIOD_OVERRIDE=FQ","FILING_STATUS=OR","EQY_CONSOLIDATED=Y","Sort=A","Dates=H","DateFormat=P","Fill=—","Direction=H","UseDPDF=Y")</f>
        <v>#NAME?</v>
      </c>
      <c r="CO566" s="2" t="e">
        <f ca="1">_xll.BDH($C$553,"NET_DEBT_%_CAPITAL","FQ3 2016","FQ3 2016","Currency=INR","Period=FQ","BEST_FPERIOD_OVERRIDE=FQ","FILING_STATUS=OR","EQY_CONSOLIDATED=Y","Sort=A","Dates=H","DateFormat=P","Fill=—","Direction=H","UseDPDF=Y")</f>
        <v>#NAME?</v>
      </c>
      <c r="CP566" s="3" t="e">
        <f ca="1">_xll.BDH($C$553,"EBITDA","FQ3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66" s="3" t="e">
        <f ca="1">_xll.BDH($C$553,"EBITDA_AFTER_CAPEX","FQ3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66" s="3" t="e">
        <f ca="1">_xll.BDH($C$553,"IS_OPER_INC","FQ3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66" s="2" t="e">
        <f ca="1">_xll.BDH($C$553,"CASH_RATIO","FQ3 2016","FQ3 2016","Currency=INR","Period=FQ","BEST_FPERIOD_OVERRIDE=FQ","FILING_STATUS=OR","EQY_CONSOLIDATED=Y","Sort=A","Dates=H","DateFormat=P","Fill=—","Direction=H","UseDPDF=Y")</f>
        <v>#NAME?</v>
      </c>
      <c r="CT566" s="2" t="e">
        <f ca="1">_xll.BDH($C$553,"CUR_RATIO","FQ3 2016","FQ3 2016","Currency=INR","Period=FQ","BEST_FPERIOD_OVERRIDE=FQ","FILING_STATUS=OR","EQY_CONSOLIDATED=Y","Sort=A","Dates=H","DateFormat=P","Fill=—","Direction=H","UseDPDF=Y")</f>
        <v>#NAME?</v>
      </c>
      <c r="CU566" s="2" t="e">
        <f ca="1">_xll.BDH($C$553,"QUICK_RATIO","FQ3 2016","FQ3 2016","Currency=INR","Period=FQ","BEST_FPERIOD_OVERRIDE=FQ","FILING_STATUS=OR","EQY_CONSOLIDATED=Y","Sort=A","Dates=H","DateFormat=P","Fill=—","Direction=H","UseDPDF=Y")</f>
        <v>#NAME?</v>
      </c>
      <c r="CV566" s="2" t="e">
        <f ca="1">_xll.BDH($C$553,"ALTMAN_Z_SCORE","FQ3 2016","FQ3 2016","Currency=INR","Period=FQ","BEST_FPERIOD_OVERRIDE=FQ","FILING_STATUS=OR","EQY_CONSOLIDATED=Y","Sort=A","Dates=H","DateFormat=P","Fill=—","Direction=H","UseDPDF=Y")</f>
        <v>#NAME?</v>
      </c>
      <c r="CW566" s="4" t="e">
        <f ca="1">_xll.BDH($C$553,"ACCT_RCV_TURN","FQ3 2016","FQ3 2016","Currency=INR","Period=FQ","BEST_FPERIOD_OVERRIDE=FQ","FILING_STATUS=OR","EQY_CONSOLIDATED=Y","FA_ADJUSTED=GAAP","Sort=A","Dates=H","DateFormat=P","Fill=—","Direction=H","UseDPDF=Y")</f>
        <v>#NAME?</v>
      </c>
      <c r="CX566" s="2" t="e">
        <f ca="1">_xll.BDH($C$553,"ACCT_RCV_DAYS","FQ3 2016","FQ3 2016","Currency=INR","Period=FQ","BEST_FPERIOD_OVERRIDE=FQ","FILING_STATUS=OR","EQY_CONSOLIDATED=Y","FA_ADJUSTED=GAAP","Sort=A","Dates=H","DateFormat=P","Fill=—","Direction=H","UseDPDF=Y")</f>
        <v>#NAME?</v>
      </c>
      <c r="CY566" s="4" t="e">
        <f ca="1">_xll.BDH($C$553,"INVENT_TURN","FQ3 2016","FQ3 2016","Currency=INR","Period=FQ","BEST_FPERIOD_OVERRIDE=FQ","FILING_STATUS=OR","EQY_CONSOLIDATED=Y","FA_ADJUSTED=GAAP","Sort=A","Dates=H","DateFormat=P","Fill=—","Direction=H","UseDPDF=Y")</f>
        <v>#NAME?</v>
      </c>
      <c r="CZ566" s="2" t="e">
        <f ca="1">_xll.BDH($C$553,"INVENT_DAYS","FQ3 2016","FQ3 2016","Currency=INR","Period=FQ","BEST_FPERIOD_OVERRIDE=FQ","FILING_STATUS=OR","EQY_CONSOLIDATED=Y","FA_ADJUSTED=GAAP","Sort=A","Dates=H","DateFormat=P","Fill=—","Direction=H","UseDPDF=Y")</f>
        <v>#NAME?</v>
      </c>
      <c r="DA566" s="4" t="e">
        <f ca="1">_xll.BDH($C$553,"ACCOUNTS_PAYABLE_TURNOVER","FQ3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66" s="2" t="e">
        <f ca="1">_xll.BDH($C$553,"ACCOUNTS_PAYABLE_TURNOVER_DAYS","FQ3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66" s="4" t="e">
        <f ca="1">_xll.BDH($C$553,"CASH_CONVERSION_CYCLE","FQ3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66" s="4" t="e">
        <f ca="1">_xll.BDH($C$553,"INV_TO_CASH_DAYS","FQ3 2016","FQ3 2016","Currency=INR","Period=FQ","BEST_FPERIOD_OVERRIDE=FQ","FILING_STATUS=OR","EQY_CONSOLIDATED=Y","FA_ADJUSTED=GAAP","Sort=A","Dates=H","DateFormat=P","Fill=—","Direction=H","UseDPDF=Y")</f>
        <v>#NAME?</v>
      </c>
      <c r="DE566" s="5" t="e">
        <f ca="1">_xll.BDH($C$553,"BS_INVENTORIES","FQ3 2016","FQ3 2016","Currency=INR","Period=FQ","BEST_FPERIOD_OVERRIDE=FQ","FILING_STATUS=OR","EQY_CONSOLIDATED=Y","SCALING_FORMAT=MLN","Sort=A","Dates=H","DateFormat=P","Fill=—","Direction=H","UseDPDF=Y")</f>
        <v>#NAME?</v>
      </c>
      <c r="DF566" s="3" t="e">
        <f ca="1">_xll.BDH($C$553,"INVTRY_RAW_MATERIALS","FQ3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66" s="3" t="e">
        <f ca="1">_xll.BDH($C$553,"INVTRY_IN_PROGRESS","FQ3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66" s="3" t="e">
        <f ca="1">_xll.BDH($C$553,"INVTRY_FINISHED_GOODS","FQ3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66" s="3" t="e">
        <f ca="1">_xll.BDH($C$553,"BS_OTHER_INV","FQ3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67" spans="1:113" x14ac:dyDescent="0.3">
      <c r="A567" s="6"/>
      <c r="B567" s="6"/>
      <c r="C567" s="6"/>
      <c r="D567" s="6"/>
      <c r="E567" t="s">
        <v>81</v>
      </c>
      <c r="F567" t="e">
        <f ca="1">_xll.BDH($C$553,"RETURN_COM_EQY","FQ4 2016","FQ4 2016","Currency=INR","Period=FQ","BEST_FPERIOD_OVERRIDE=FQ","FILING_STATUS=OR","EQY_CONSOLIDATED=Y","FA_ADJUSTED=GAAP","Sort=A","Dates=H","DateFormat=P","Fill=—","Direction=H","UseDPDF=Y")</f>
        <v>#NAME?</v>
      </c>
      <c r="G567" t="e">
        <f ca="1">_xll.BDH($C$553,"RETURN_ON_ASSET","FQ4 2016","FQ4 2016","Currency=INR","Period=FQ","BEST_FPERIOD_OVERRIDE=FQ","FILING_STATUS=OR","EQY_CONSOLIDATED=Y","FA_ADJUSTED=GAAP","Sort=A","Dates=H","DateFormat=P","Fill=—","Direction=H","UseDPDF=Y")</f>
        <v>#NAME?</v>
      </c>
      <c r="H567" t="e">
        <f ca="1">_xll.BDH($C$553,"RETURN_ON_CAP","FQ4 2016","FQ4 2016","Currency=INR","Period=FQ","BEST_FPERIOD_OVERRIDE=FQ","FILING_STATUS=OR","EQY_CONSOLIDATED=Y","FA_ADJUSTED=GAAP","Sort=A","Dates=H","DateFormat=P","Fill=—","Direction=H","UseDPDF=Y")</f>
        <v>#NAME?</v>
      </c>
      <c r="I567" t="e">
        <f ca="1">_xll.BDH($C$553,"RETURN_ON_INV_CAPITAL","FQ4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67" t="e">
        <f ca="1">_xll.BDH($C$553,"EBITDA_TO_REVENUE","FQ4 2016","FQ4 2016","Currency=INR","Period=FQ","BEST_FPERIOD_OVERRIDE=FQ","FILING_STATUS=OR","EQY_CONSOLIDATED=Y","FA_ADJUSTED=GAAP","Sort=A","Dates=H","DateFormat=P","Fill=—","Direction=H","UseDPDF=Y")</f>
        <v>#NAME?</v>
      </c>
      <c r="K567" t="e">
        <f ca="1">_xll.BDH($C$553,"OPER_MARGIN","FQ4 2016","FQ4 2016","Currency=INR","Period=FQ","BEST_FPERIOD_OVERRIDE=FQ","FILING_STATUS=OR","EQY_CONSOLIDATED=Y","FA_ADJUSTED=GAAP","Sort=A","Dates=H","DateFormat=P","Fill=—","Direction=H","UseDPDF=Y")</f>
        <v>#NAME?</v>
      </c>
      <c r="L567" t="e">
        <f ca="1">_xll.BDH($C$553,"INCREMENTAL_OPERATING_MARGIN","FQ4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67" t="e">
        <f ca="1">_xll.BDH($C$553,"PRETAX_INC_TO_NET_SALES","FQ4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67" t="e">
        <f ca="1">_xll.BDH($C$553,"INC_BEF_XO_ITEMS_TO_NET_SALES","FQ4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67" t="e">
        <f ca="1">_xll.BDH($C$553,"PROF_MARGIN","FQ4 2016","FQ4 2016","Currency=INR","Period=FQ","BEST_FPERIOD_OVERRIDE=FQ","FILING_STATUS=OR","EQY_CONSOLIDATED=Y","FA_ADJUSTED=GAAP","Sort=A","Dates=H","DateFormat=P","Fill=—","Direction=H","UseDPDF=Y")</f>
        <v>#NAME?</v>
      </c>
      <c r="P567" t="e">
        <f ca="1">_xll.BDH($C$553,"NET_INCOME_TO_COMMON_MARGIN","FQ4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67" t="e">
        <f ca="1">_xll.BDH($C$553,"EFF_TAX_RATE","FQ4 2016","FQ4 2016","Currency=INR","Period=FQ","BEST_FPERIOD_OVERRIDE=FQ","FILING_STATUS=OR","EQY_CONSOLIDATED=Y","FA_ADJUSTED=GAAP","Sort=A","Dates=H","DateFormat=P","Fill=—","Direction=H","UseDPDF=Y")</f>
        <v>#NAME?</v>
      </c>
      <c r="R567" t="e">
        <f ca="1">_xll.BDH($C$553,"DVD_PAYOUT_RATIO","FQ4 2016","FQ4 2016","Currency=INR","Period=FQ","BEST_FPERIOD_OVERRIDE=FQ","FILING_STATUS=OR","EQY_CONSOLIDATED=Y","FA_ADJUSTED=GAAP","Sort=A","Dates=H","DateFormat=P","Fill=—","Direction=H","UseDPDF=Y")</f>
        <v>#NAME?</v>
      </c>
      <c r="S567" t="e">
        <f ca="1">_xll.BDH($C$553,"SUSTAIN_GROWTH_RT","FQ4 2016","FQ4 2016","Currency=INR","Period=FQ","BEST_FPERIOD_OVERRIDE=FQ","FILING_STATUS=OR","EQY_CONSOLIDATED=Y","FA_ADJUSTED=GAAP","Sort=A","Dates=H","DateFormat=P","Fill=—","Direction=H","UseDPDF=Y")</f>
        <v>#NAME?</v>
      </c>
      <c r="T567" s="2" t="e">
        <f ca="1">_xll.BDH($C$553,"SALES_GROWTH","FQ4 2016","FQ4 2016","Currency=INR","Period=FQ","BEST_FPERIOD_OVERRIDE=FQ","FILING_STATUS=OR","EQY_CONSOLIDATED=Y","FA_ADJUSTED=GAAP","Sort=A","Dates=H","DateFormat=P","Fill=—","Direction=H","UseDPDF=Y")</f>
        <v>#NAME?</v>
      </c>
      <c r="U567" s="2" t="e">
        <f ca="1">_xll.BDH($C$553,"EBITDA_GROWTH","FQ4 2016","FQ4 2016","Currency=INR","Period=FQ","BEST_FPERIOD_OVERRIDE=FQ","FILING_STATUS=OR","EQY_CONSOLIDATED=Y","FA_ADJUSTED=GAAP","Sort=A","Dates=H","DateFormat=P","Fill=—","Direction=H","UseDPDF=Y")</f>
        <v>#NAME?</v>
      </c>
      <c r="V567" s="2" t="e">
        <f ca="1">_xll.BDH($C$553,"OPER_INC_GROWTH","FQ4 2016","FQ4 2016","Currency=INR","Period=FQ","BEST_FPERIOD_OVERRIDE=FQ","FILING_STATUS=OR","EQY_CONSOLIDATED=Y","FA_ADJUSTED=GAAP","Sort=A","Dates=H","DateFormat=P","Fill=—","Direction=H","UseDPDF=Y")</f>
        <v>#NAME?</v>
      </c>
      <c r="W567" s="2" t="e">
        <f ca="1">_xll.BDH($C$553,"EARN_FOR_COM_GROWTH","FQ4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67" s="2" t="e">
        <f ca="1">_xll.BDH($C$553,"DILUTED_EPS_AFT_XO_ITEMS_GROWTH","FQ4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67" s="2" t="e">
        <f ca="1">_xll.BDH($C$553,"DIVIDEND_PER_SHARE_1_YEAR_GROWTH","FQ4 2016","FQ4 2016","Currency=INR","Period=FQ","BEST_FPERIOD_OVERRIDE=FQ","FILING_STATUS=OR","EQY_CONSOLIDATED=Y","Sort=A","Dates=H","DateFormat=P","Fill=—","Direction=H","UseDPDF=Y")</f>
        <v>#NAME?</v>
      </c>
      <c r="Z567" s="2" t="e">
        <f ca="1">_xll.BDH($C$553,"ACCOUNTS_RECEIVABLE_GROWTH","FQ4 2016","FQ4 2016","Currency=INR","Period=FQ","BEST_FPERIOD_OVERRIDE=FQ","FILING_STATUS=OR","EQY_CONSOLIDATED=Y","Sort=A","Dates=H","DateFormat=P","Fill=—","Direction=H","UseDPDF=Y")</f>
        <v>#NAME?</v>
      </c>
      <c r="AA567" s="2" t="e">
        <f ca="1">_xll.BDH($C$553,"INVENTORY_GROWTH","FQ4 2016","FQ4 2016","Currency=INR","Period=FQ","BEST_FPERIOD_OVERRIDE=FQ","FILING_STATUS=OR","EQY_CONSOLIDATED=Y","Sort=A","Dates=H","DateFormat=P","Fill=—","Direction=H","UseDPDF=Y")</f>
        <v>#NAME?</v>
      </c>
      <c r="AB567" s="2" t="e">
        <f ca="1">_xll.BDH($C$553,"NET_FIXED_ASSETS_1_YEAR_GROWTH","FQ4 2016","FQ4 2016","Currency=INR","Period=FQ","BEST_FPERIOD_OVERRIDE=FQ","FILING_STATUS=OR","EQY_CONSOLIDATED=Y","Sort=A","Dates=H","DateFormat=P","Fill=—","Direction=H","UseDPDF=Y")</f>
        <v>#NAME?</v>
      </c>
      <c r="AC567" s="2" t="e">
        <f ca="1">_xll.BDH($C$553,"ASSET_GROWTH","FQ4 2016","FQ4 2016","Currency=INR","Period=FQ","BEST_FPERIOD_OVERRIDE=FQ","FILING_STATUS=OR","EQY_CONSOLIDATED=Y","Sort=A","Dates=H","DateFormat=P","Fill=—","Direction=H","UseDPDF=Y")</f>
        <v>#NAME?</v>
      </c>
      <c r="AD567" s="2" t="e">
        <f ca="1">_xll.BDH($C$553,"MODIFIED_WORK_CAP_GROWTH","FQ4 2016","FQ4 2016","Currency=INR","Period=FQ","BEST_FPERIOD_OVERRIDE=FQ","FILING_STATUS=OR","EQY_CONSOLIDATED=Y","Sort=A","Dates=H","DateFormat=P","Fill=—","Direction=H","UseDPDF=Y")</f>
        <v>#NAME?</v>
      </c>
      <c r="AE567" s="2" t="e">
        <f ca="1">_xll.BDH($C$553,"WORK_CAP_GROWTH","FQ4 2016","FQ4 2016","Currency=INR","Period=FQ","BEST_FPERIOD_OVERRIDE=FQ","FILING_STATUS=OR","EQY_CONSOLIDATED=Y","Sort=A","Dates=H","DateFormat=P","Fill=—","Direction=H","UseDPDF=Y")</f>
        <v>#NAME?</v>
      </c>
      <c r="AF567" s="2" t="e">
        <f ca="1">_xll.BDH($C$553,"ACCOUNTS_PAYABLE_GROWTH_1YR","FQ4 2016","FQ4 2016","Currency=INR","Period=FQ","BEST_FPERIOD_OVERRIDE=FQ","FILING_STATUS=OR","EQY_CONSOLIDATED=Y","Sort=A","Dates=H","DateFormat=P","Fill=—","Direction=H","UseDPDF=Y")</f>
        <v>#NAME?</v>
      </c>
      <c r="AG567" s="2" t="e">
        <f ca="1">_xll.BDH($C$553,"SHORT_TERM_DEBT_1_YEAR_GROWTH","FQ4 2016","FQ4 2016","Currency=INR","Period=FQ","BEST_FPERIOD_OVERRIDE=FQ","FILING_STATUS=OR","EQY_CONSOLIDATED=Y","Sort=A","Dates=H","DateFormat=P","Fill=—","Direction=H","UseDPDF=Y")</f>
        <v>#NAME?</v>
      </c>
      <c r="AH567" s="2" t="e">
        <f ca="1">_xll.BDH($C$553,"TOTAL_DEBT_1_YEAR_GROWTH","FQ4 2016","FQ4 2016","Currency=INR","Period=FQ","BEST_FPERIOD_OVERRIDE=FQ","FILING_STATUS=OR","EQY_CONSOLIDATED=Y","Sort=A","Dates=H","DateFormat=P","Fill=—","Direction=H","UseDPDF=Y")</f>
        <v>#NAME?</v>
      </c>
      <c r="AI567" s="2" t="e">
        <f ca="1">_xll.BDH($C$553,"TOTAL_EQUITY_1_YEAR_GROWTH","FQ4 2016","FQ4 2016","Currency=INR","Period=FQ","BEST_FPERIOD_OVERRIDE=FQ","FILING_STATUS=OR","EQY_CONSOLIDATED=Y","Sort=A","Dates=H","DateFormat=P","Fill=—","Direction=H","UseDPDF=Y")</f>
        <v>#NAME?</v>
      </c>
      <c r="AJ567" s="2" t="e">
        <f ca="1">_xll.BDH($C$553,"GROWTH_IN_CAP","FQ4 2016","FQ4 2016","Currency=INR","Period=FQ","BEST_FPERIOD_OVERRIDE=FQ","FILING_STATUS=OR","EQY_CONSOLIDATED=Y","Sort=A","Dates=H","DateFormat=P","Fill=—","Direction=H","UseDPDF=Y")</f>
        <v>#NAME?</v>
      </c>
      <c r="AK567" s="2" t="e">
        <f ca="1">_xll.BDH($C$553,"BVPS_GROWTH","FQ4 2016","FQ4 2016","Currency=INR","Period=FQ","BEST_FPERIOD_OVERRIDE=FQ","FILING_STATUS=OR","EQY_CONSOLIDATED=Y","Sort=A","Dates=H","DateFormat=P","Fill=—","Direction=H","UseDPDF=Y")</f>
        <v>#NAME?</v>
      </c>
      <c r="AL567" s="2" t="e">
        <f ca="1">_xll.BDH($C$553,"CASH_FLOW_GROWTH","FQ4 2016","FQ4 2016","Currency=INR","Period=FQ","BEST_FPERIOD_OVERRIDE=FQ","FILING_STATUS=OR","EQY_CONSOLIDATED=Y","Sort=A","Dates=H","DateFormat=P","Fill=—","Direction=H","UseDPDF=Y")</f>
        <v>#NAME?</v>
      </c>
      <c r="AM567" s="2" t="e">
        <f ca="1">_xll.BDH($C$553,"GEO_GROW_NET_SALES","FQ4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67" s="2" t="e">
        <f ca="1">_xll.BDH($C$553,"GEO_GROW_EBITDA","FQ4 2016","FQ4 2016","Currency=INR","Period=FQ","BEST_FPERIOD_OVERRIDE=FQ","FILING_STATUS=OR","EQY_CONSOLIDATED=Y","FA_ADJUSTED=GAAP","Sort=A","Dates=H","DateFormat=P","Fill=—","Direction=H","UseDPDF=Y")</f>
        <v>#NAME?</v>
      </c>
      <c r="AO567" s="2" t="e">
        <f ca="1">_xll.BDH($C$553,"GEO_GROW_OPER_INC","FQ4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67" s="2" t="e">
        <f ca="1">_xll.BDH($C$553,"NET_INCOME_TO_COMMON_5_YR_GROWTH","FQ4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67" s="2" t="e">
        <f ca="1">_xll.BDH($C$553,"5Y_GEO_GROWTH_DILUTED_EPS","FQ4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67" s="2" t="e">
        <f ca="1">_xll.BDH($C$553,"GEO_GROW_DVD_PER_SH","FQ4 2016","FQ4 2016","Currency=INR","Period=FQ","BEST_FPERIOD_OVERRIDE=FQ","FILING_STATUS=OR","EQY_CONSOLIDATED=Y","Sort=A","Dates=H","DateFormat=P","Fill=—","Direction=H","UseDPDF=Y")</f>
        <v>#NAME?</v>
      </c>
      <c r="AS567" s="2" t="e">
        <f ca="1">_xll.BDH($C$553,"ACCOUNTS_RECEIVABLE_5_YR_GROWTH","FQ4 2016","FQ4 2016","Currency=INR","Period=FQ","BEST_FPERIOD_OVERRIDE=FQ","FILING_STATUS=OR","EQY_CONSOLIDATED=Y","Sort=A","Dates=H","DateFormat=P","Fill=—","Direction=H","UseDPDF=Y")</f>
        <v>#NAME?</v>
      </c>
      <c r="AT567" s="2" t="e">
        <f ca="1">_xll.BDH($C$553,"INVENTORY_5_YEAR_GROWTH","FQ4 2016","FQ4 2016","Currency=INR","Period=FQ","BEST_FPERIOD_OVERRIDE=FQ","FILING_STATUS=OR","EQY_CONSOLIDATED=Y","Sort=A","Dates=H","DateFormat=P","Fill=—","Direction=H","UseDPDF=Y")</f>
        <v>#NAME?</v>
      </c>
      <c r="AU567" s="2" t="e">
        <f ca="1">_xll.BDH($C$553,"NET_FIXED_ASSETS_5_YEAR_GROWTH","FQ4 2016","FQ4 2016","Currency=INR","Period=FQ","BEST_FPERIOD_OVERRIDE=FQ","FILING_STATUS=OR","EQY_CONSOLIDATED=Y","Sort=A","Dates=H","DateFormat=P","Fill=—","Direction=H","UseDPDF=Y")</f>
        <v>#NAME?</v>
      </c>
      <c r="AV567" s="2" t="e">
        <f ca="1">_xll.BDH($C$553,"GEO_GROW_TOT_ASSET","FQ4 2016","FQ4 2016","Currency=INR","Period=FQ","BEST_FPERIOD_OVERRIDE=FQ","FILING_STATUS=OR","EQY_CONSOLIDATED=Y","Sort=A","Dates=H","DateFormat=P","Fill=—","Direction=H","UseDPDF=Y")</f>
        <v>#NAME?</v>
      </c>
      <c r="AW567" s="2" t="e">
        <f ca="1">_xll.BDH($C$553,"MODIFIED_WORKING_CPTL_5YR_GRWTH","FQ4 2016","FQ4 2016","Currency=INR","Period=FQ","BEST_FPERIOD_OVERRIDE=FQ","FILING_STATUS=OR","EQY_CONSOLIDATED=Y","Sort=A","Dates=H","DateFormat=P","Fill=—","Direction=H","UseDPDF=Y")</f>
        <v>#NAME?</v>
      </c>
      <c r="AX567" s="2" t="e">
        <f ca="1">_xll.BDH($C$553,"WORKING_CAPITAL_5_YEAR_GROWTH","FQ4 2016","FQ4 2016","Currency=INR","Period=FQ","BEST_FPERIOD_OVERRIDE=FQ","FILING_STATUS=OR","EQY_CONSOLIDATED=Y","Sort=A","Dates=H","DateFormat=P","Fill=—","Direction=H","UseDPDF=Y")</f>
        <v>#NAME?</v>
      </c>
      <c r="AY567" s="2" t="e">
        <f ca="1">_xll.BDH($C$553,"ACCOUNTS_PAYABLE_5_YEAR_GROWTH","FQ4 2016","FQ4 2016","Currency=INR","Period=FQ","BEST_FPERIOD_OVERRIDE=FQ","FILING_STATUS=OR","EQY_CONSOLIDATED=Y","Sort=A","Dates=H","DateFormat=P","Fill=—","Direction=H","UseDPDF=Y")</f>
        <v>#NAME?</v>
      </c>
      <c r="AZ567" s="2" t="e">
        <f ca="1">_xll.BDH($C$553,"SHORT_TERM_DEBT_5_YEAR_GROWTH","FQ4 2016","FQ4 2016","Currency=INR","Period=FQ","BEST_FPERIOD_OVERRIDE=FQ","FILING_STATUS=OR","EQY_CONSOLIDATED=Y","Sort=A","Dates=H","DateFormat=P","Fill=—","Direction=H","UseDPDF=Y")</f>
        <v>#NAME?</v>
      </c>
      <c r="BA567" s="2" t="e">
        <f ca="1">_xll.BDH($C$553,"TOTAL_DEBT_5_YEAR_GROWTH","FQ4 2016","FQ4 2016","Currency=INR","Period=FQ","BEST_FPERIOD_OVERRIDE=FQ","FILING_STATUS=OR","EQY_CONSOLIDATED=Y","Sort=A","Dates=H","DateFormat=P","Fill=—","Direction=H","UseDPDF=Y")</f>
        <v>#NAME?</v>
      </c>
      <c r="BB567" s="2" t="e">
        <f ca="1">_xll.BDH($C$553,"GEO_GROW_TOT_SHRHLDR_EQY","FQ4 2016","FQ4 2016","Currency=INR","Period=FQ","BEST_FPERIOD_OVERRIDE=FQ","FILING_STATUS=OR","EQY_CONSOLIDATED=Y","Sort=A","Dates=H","DateFormat=P","Fill=—","Direction=H","UseDPDF=Y")</f>
        <v>#NAME?</v>
      </c>
      <c r="BC567" s="2" t="e">
        <f ca="1">_xll.BDH($C$553,"TOTAL_CAPITAL_5_YEAR_GROWTH","FQ4 2016","FQ4 2016","Currency=INR","Period=FQ","BEST_FPERIOD_OVERRIDE=FQ","FILING_STATUS=OR","EQY_CONSOLIDATED=Y","Sort=A","Dates=H","DateFormat=P","Fill=—","Direction=H","UseDPDF=Y")</f>
        <v>#NAME?</v>
      </c>
      <c r="BD567" s="2" t="e">
        <f ca="1">_xll.BDH($C$553,"GEO_GROW_BOOK_VAL","FQ4 2016","FQ4 2016","Currency=INR","Period=FQ","BEST_FPERIOD_OVERRIDE=FQ","FILING_STATUS=OR","EQY_CONSOLIDATED=Y","Sort=A","Dates=H","DateFormat=P","Fill=—","Direction=H","UseDPDF=Y")</f>
        <v>#NAME?</v>
      </c>
      <c r="BE567" s="2" t="e">
        <f ca="1">_xll.BDH($C$553,"GEO_GROW_CASH_OPER_ACT","FQ4 2016","FQ4 2016","Currency=INR","Period=FQ","BEST_FPERIOD_OVERRIDE=FQ","FILING_STATUS=OR","EQY_CONSOLIDATED=Y","Sort=A","Dates=H","DateFormat=P","Fill=—","Direction=H","UseDPDF=Y")</f>
        <v>#NAME?</v>
      </c>
      <c r="BF567" s="2" t="e">
        <f ca="1">_xll.BDH($C$553,"REVENUE_SEQUENTIAL_GROWTH","FQ4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67" s="2" t="e">
        <f ca="1">_xll.BDH($C$553,"EBITDA_SEQUENTIAL_GROWTH","FQ4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67" s="2" t="e">
        <f ca="1">_xll.BDH($C$553,"OPERATING_INCOME_SEQ_GROWTH","FQ4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67" s="2" t="e">
        <f ca="1">_xll.BDH($C$553,"NET_INCOME_TO_COMMON_SEQ_GROWTH","FQ4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67" s="2" t="e">
        <f ca="1">_xll.BDH($C$553,"EPS_DILUTED_SEQUENTIAL_GROWTH","FQ4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67" s="2" t="e">
        <f ca="1">_xll.BDH($C$553,"DPS_SEQUENTIAL_GROWTH","FQ4 2016","FQ4 2016","Currency=INR","Period=FQ","BEST_FPERIOD_OVERRIDE=FQ","FILING_STATUS=OR","EQY_CONSOLIDATED=Y","Sort=A","Dates=H","DateFormat=P","Fill=—","Direction=H","UseDPDF=Y")</f>
        <v>#NAME?</v>
      </c>
      <c r="BL567" s="2" t="e">
        <f ca="1">_xll.BDH($C$553,"ACCOUNTS_RECEIVABLE_SEQ_GROWTH","FQ4 2016","FQ4 2016","Currency=INR","Period=FQ","BEST_FPERIOD_OVERRIDE=FQ","FILING_STATUS=OR","EQY_CONSOLIDATED=Y","Sort=A","Dates=H","DateFormat=P","Fill=—","Direction=H","UseDPDF=Y")</f>
        <v>#NAME?</v>
      </c>
      <c r="BM567" s="2" t="e">
        <f ca="1">_xll.BDH($C$553,"INVENTORY_SEQUENTIAL_GROWTH","FQ4 2016","FQ4 2016","Currency=INR","Period=FQ","BEST_FPERIOD_OVERRIDE=FQ","FILING_STATUS=OR","EQY_CONSOLIDATED=Y","Sort=A","Dates=H","DateFormat=P","Fill=—","Direction=H","UseDPDF=Y")</f>
        <v>#NAME?</v>
      </c>
      <c r="BN567" s="2" t="e">
        <f ca="1">_xll.BDH($C$553,"FIXED_ASSETS_SEQUENTIAL_GROWTH","FQ4 2016","FQ4 2016","Currency=INR","Period=FQ","BEST_FPERIOD_OVERRIDE=FQ","FILING_STATUS=OR","EQY_CONSOLIDATED=Y","Sort=A","Dates=H","DateFormat=P","Fill=—","Direction=H","UseDPDF=Y")</f>
        <v>#NAME?</v>
      </c>
      <c r="BO567" s="2" t="e">
        <f ca="1">_xll.BDH($C$553,"TOTAL_ASSETS_SEQUENTIAL_GROWTH","FQ4 2016","FQ4 2016","Currency=INR","Period=FQ","BEST_FPERIOD_OVERRIDE=FQ","FILING_STATUS=OR","EQY_CONSOLIDATED=Y","Sort=A","Dates=H","DateFormat=P","Fill=—","Direction=H","UseDPDF=Y")</f>
        <v>#NAME?</v>
      </c>
      <c r="BP567" s="2" t="e">
        <f ca="1">_xll.BDH($C$553,"MODIFIED_WORKING_CPTL_SEQ_GRWTH","FQ4 2016","FQ4 2016","Currency=INR","Period=FQ","BEST_FPERIOD_OVERRIDE=FQ","FILING_STATUS=OR","EQY_CONSOLIDATED=Y","Sort=A","Dates=H","DateFormat=P","Fill=—","Direction=H","UseDPDF=Y")</f>
        <v>#NAME?</v>
      </c>
      <c r="BQ567" s="2" t="e">
        <f ca="1">_xll.BDH($C$553,"WORKING_CAPITAL_SEQ_GROWTH","FQ4 2016","FQ4 2016","Currency=INR","Period=FQ","BEST_FPERIOD_OVERRIDE=FQ","FILING_STATUS=OR","EQY_CONSOLIDATED=Y","Sort=A","Dates=H","DateFormat=P","Fill=—","Direction=H","UseDPDF=Y")</f>
        <v>#NAME?</v>
      </c>
      <c r="BR567" s="2" t="e">
        <f ca="1">_xll.BDH($C$553,"ACCOUNTS_PAYABLE_SEQ_GROWTH","FQ4 2016","FQ4 2016","Currency=INR","Period=FQ","BEST_FPERIOD_OVERRIDE=FQ","FILING_STATUS=OR","EQY_CONSOLIDATED=Y","Sort=A","Dates=H","DateFormat=P","Fill=—","Direction=H","UseDPDF=Y")</f>
        <v>#NAME?</v>
      </c>
      <c r="BS567" s="2" t="e">
        <f ca="1">_xll.BDH($C$553,"ST_DEBT_SEQUENTIAL_GROWTH","FQ4 2016","FQ4 2016","Currency=INR","Period=FQ","BEST_FPERIOD_OVERRIDE=FQ","FILING_STATUS=OR","EQY_CONSOLIDATED=Y","Sort=A","Dates=H","DateFormat=P","Fill=—","Direction=H","UseDPDF=Y")</f>
        <v>#NAME?</v>
      </c>
      <c r="BT567" s="2" t="e">
        <f ca="1">_xll.BDH($C$553,"TOTAL_DEBT_SEQUENTIAL_GROWTH","FQ4 2016","FQ4 2016","Currency=INR","Period=FQ","BEST_FPERIOD_OVERRIDE=FQ","FILING_STATUS=OR","EQY_CONSOLIDATED=Y","Sort=A","Dates=H","DateFormat=P","Fill=—","Direction=H","UseDPDF=Y")</f>
        <v>#NAME?</v>
      </c>
      <c r="BU567" s="2" t="e">
        <f ca="1">_xll.BDH($C$553,"TOTAL_EQUITY_SEQUENTIAL_GROWTH","FQ4 2016","FQ4 2016","Currency=INR","Period=FQ","BEST_FPERIOD_OVERRIDE=FQ","FILING_STATUS=OR","EQY_CONSOLIDATED=Y","Sort=A","Dates=H","DateFormat=P","Fill=—","Direction=H","UseDPDF=Y")</f>
        <v>#NAME?</v>
      </c>
      <c r="BV567" s="2" t="e">
        <f ca="1">_xll.BDH($C$553,"TOTAL_CAPITAL_SEQUENTIAL_GROWTH","FQ4 2016","FQ4 2016","Currency=INR","Period=FQ","BEST_FPERIOD_OVERRIDE=FQ","FILING_STATUS=OR","EQY_CONSOLIDATED=Y","Sort=A","Dates=H","DateFormat=P","Fill=—","Direction=H","UseDPDF=Y")</f>
        <v>#NAME?</v>
      </c>
      <c r="BW567" s="2" t="e">
        <f ca="1">_xll.BDH($C$553,"BPS_SEQUENTIAL_GROWTH","FQ4 2016","FQ4 2016","Currency=INR","Period=FQ","BEST_FPERIOD_OVERRIDE=FQ","FILING_STATUS=OR","EQY_CONSOLIDATED=Y","Sort=A","Dates=H","DateFormat=P","Fill=—","Direction=H","UseDPDF=Y")</f>
        <v>#NAME?</v>
      </c>
      <c r="BX567" s="2" t="e">
        <f ca="1">_xll.BDH($C$553,"CFO_SEQUENTIAL_GROWTH","FQ4 2016","FQ4 2016","Currency=INR","Period=FQ","BEST_FPERIOD_OVERRIDE=FQ","FILING_STATUS=OR","EQY_CONSOLIDATED=Y","Sort=A","Dates=H","DateFormat=P","Fill=—","Direction=H","UseDPDF=Y")</f>
        <v>#NAME?</v>
      </c>
      <c r="BY567" s="3" t="e">
        <f ca="1">_xll.BDH($C$553,"SHORT_AND_LONG_TERM_DEBT","FQ4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67" s="3" t="e">
        <f ca="1">_xll.BDH($C$553,"BS_ST_BORROW","FQ4 2016","FQ4 2016","Currency=INR","Period=FQ","BEST_FPERIOD_OVERRIDE=FQ","FILING_STATUS=OR","EQY_CONSOLIDATED=Y","SCALING_FORMAT=MLN","Sort=A","Dates=H","DateFormat=P","Fill=—","Direction=H","UseDPDF=Y")</f>
        <v>#NAME?</v>
      </c>
      <c r="CA567" s="3" t="e">
        <f ca="1">_xll.BDH($C$553,"BS_LT_BORROW","FQ4 2016","FQ4 2016","Currency=INR","Period=FQ","BEST_FPERIOD_OVERRIDE=FQ","FILING_STATUS=OR","EQY_CONSOLIDATED=Y","SCALING_FORMAT=MLN","Sort=A","Dates=H","DateFormat=P","Fill=—","Direction=H","UseDPDF=Y")</f>
        <v>#NAME?</v>
      </c>
      <c r="CB567" s="2" t="e">
        <f ca="1">_xll.BDH($C$553,"TOT_DEBT_TO_EBITDA","FQ4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67" s="2" t="e">
        <f ca="1">_xll.BDH($C$553,"NET_DEBT_TO_EBITDA","FQ4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67" s="2" t="e">
        <f ca="1">_xll.BDH($C$553,"TOTAL_DEBT_TO_EBIT","FQ4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67" s="2" t="e">
        <f ca="1">_xll.BDH($C$553,"NET_DEBT_TO_EBIT","FQ4 2016","FQ4 2016","Currency=INR","Period=FQ","BEST_FPERIOD_OVERRIDE=FQ","FILING_STATUS=OR","EQY_CONSOLIDATED=Y","FA_ADJUSTED=GAAP","Sort=A","Dates=H","DateFormat=P","Fill=—","Direction=H","UseDPDF=Y")</f>
        <v>#NAME?</v>
      </c>
      <c r="CF567" s="2" t="e">
        <f ca="1">_xll.BDH($C$553,"EBITDA_TO_INTEREST_EXPN","FQ4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67" s="2" t="e">
        <f ca="1">_xll.BDH($C$553,"COM_EQY_TO_TOT_ASSET","FQ4 2016","FQ4 2016","Currency=INR","Period=FQ","BEST_FPERIOD_OVERRIDE=FQ","FILING_STATUS=OR","EQY_CONSOLIDATED=Y","Sort=A","Dates=H","DateFormat=P","Fill=—","Direction=H","UseDPDF=Y")</f>
        <v>#NAME?</v>
      </c>
      <c r="CH567" s="2" t="e">
        <f ca="1">_xll.BDH($C$553,"LT_DEBT_TO_TOT_EQY","FQ4 2016","FQ4 2016","Currency=INR","Period=FQ","BEST_FPERIOD_OVERRIDE=FQ","FILING_STATUS=OR","EQY_CONSOLIDATED=Y","Sort=A","Dates=H","DateFormat=P","Fill=—","Direction=H","UseDPDF=Y")</f>
        <v>#NAME?</v>
      </c>
      <c r="CI567" s="2" t="e">
        <f ca="1">_xll.BDH($C$553,"LT_DEBT_TO_TOT_CAP","FQ4 2016","FQ4 2016","Currency=INR","Period=FQ","BEST_FPERIOD_OVERRIDE=FQ","FILING_STATUS=OR","EQY_CONSOLIDATED=Y","Sort=A","Dates=H","DateFormat=P","Fill=—","Direction=H","UseDPDF=Y")</f>
        <v>#NAME?</v>
      </c>
      <c r="CJ567" s="2" t="e">
        <f ca="1">_xll.BDH($C$553,"LT_DEBT_TO_TOT_ASSET","FQ4 2016","FQ4 2016","Currency=INR","Period=FQ","BEST_FPERIOD_OVERRIDE=FQ","FILING_STATUS=OR","EQY_CONSOLIDATED=Y","Sort=A","Dates=H","DateFormat=P","Fill=—","Direction=H","UseDPDF=Y")</f>
        <v>#NAME?</v>
      </c>
      <c r="CK567" s="2" t="e">
        <f ca="1">_xll.BDH($C$553,"TOT_DEBT_TO_TOT_EQY","FQ4 2016","FQ4 2016","Currency=INR","Period=FQ","BEST_FPERIOD_OVERRIDE=FQ","FILING_STATUS=OR","EQY_CONSOLIDATED=Y","Sort=A","Dates=H","DateFormat=P","Fill=—","Direction=H","UseDPDF=Y")</f>
        <v>#NAME?</v>
      </c>
      <c r="CL567" s="2" t="e">
        <f ca="1">_xll.BDH($C$553,"TOT_DEBT_TO_TOT_CAP","FQ4 2016","FQ4 2016","Currency=INR","Period=FQ","BEST_FPERIOD_OVERRIDE=FQ","FILING_STATUS=OR","EQY_CONSOLIDATED=Y","Sort=A","Dates=H","DateFormat=P","Fill=—","Direction=H","UseDPDF=Y")</f>
        <v>#NAME?</v>
      </c>
      <c r="CM567" s="2" t="e">
        <f ca="1">_xll.BDH($C$553,"TOT_DEBT_TO_TOT_ASSET","FQ4 2016","FQ4 2016","Currency=INR","Period=FQ","BEST_FPERIOD_OVERRIDE=FQ","FILING_STATUS=OR","EQY_CONSOLIDATED=Y","Sort=A","Dates=H","DateFormat=P","Fill=—","Direction=H","UseDPDF=Y")</f>
        <v>#NAME?</v>
      </c>
      <c r="CN567" s="2" t="e">
        <f ca="1">_xll.BDH($C$553,"NET_DEBT_TO_SHRHLDR_EQTY","FQ4 2016","FQ4 2016","Currency=INR","Period=FQ","BEST_FPERIOD_OVERRIDE=FQ","FILING_STATUS=OR","EQY_CONSOLIDATED=Y","Sort=A","Dates=H","DateFormat=P","Fill=—","Direction=H","UseDPDF=Y")</f>
        <v>#NAME?</v>
      </c>
      <c r="CO567" s="2" t="e">
        <f ca="1">_xll.BDH($C$553,"NET_DEBT_%_CAPITAL","FQ4 2016","FQ4 2016","Currency=INR","Period=FQ","BEST_FPERIOD_OVERRIDE=FQ","FILING_STATUS=OR","EQY_CONSOLIDATED=Y","Sort=A","Dates=H","DateFormat=P","Fill=—","Direction=H","UseDPDF=Y")</f>
        <v>#NAME?</v>
      </c>
      <c r="CP567" s="3" t="e">
        <f ca="1">_xll.BDH($C$553,"EBITDA","FQ4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67" s="3" t="e">
        <f ca="1">_xll.BDH($C$553,"EBITDA_AFTER_CAPEX","FQ4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67" s="3" t="e">
        <f ca="1">_xll.BDH($C$553,"IS_OPER_INC","FQ4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67" s="2" t="e">
        <f ca="1">_xll.BDH($C$553,"CASH_RATIO","FQ4 2016","FQ4 2016","Currency=INR","Period=FQ","BEST_FPERIOD_OVERRIDE=FQ","FILING_STATUS=OR","EQY_CONSOLIDATED=Y","Sort=A","Dates=H","DateFormat=P","Fill=—","Direction=H","UseDPDF=Y")</f>
        <v>#NAME?</v>
      </c>
      <c r="CT567" s="2" t="e">
        <f ca="1">_xll.BDH($C$553,"CUR_RATIO","FQ4 2016","FQ4 2016","Currency=INR","Period=FQ","BEST_FPERIOD_OVERRIDE=FQ","FILING_STATUS=OR","EQY_CONSOLIDATED=Y","Sort=A","Dates=H","DateFormat=P","Fill=—","Direction=H","UseDPDF=Y")</f>
        <v>#NAME?</v>
      </c>
      <c r="CU567" s="2" t="e">
        <f ca="1">_xll.BDH($C$553,"QUICK_RATIO","FQ4 2016","FQ4 2016","Currency=INR","Period=FQ","BEST_FPERIOD_OVERRIDE=FQ","FILING_STATUS=OR","EQY_CONSOLIDATED=Y","Sort=A","Dates=H","DateFormat=P","Fill=—","Direction=H","UseDPDF=Y")</f>
        <v>#NAME?</v>
      </c>
      <c r="CV567" s="2" t="e">
        <f ca="1">_xll.BDH($C$553,"ALTMAN_Z_SCORE","FQ4 2016","FQ4 2016","Currency=INR","Period=FQ","BEST_FPERIOD_OVERRIDE=FQ","FILING_STATUS=OR","EQY_CONSOLIDATED=Y","Sort=A","Dates=H","DateFormat=P","Fill=—","Direction=H","UseDPDF=Y")</f>
        <v>#NAME?</v>
      </c>
      <c r="CW567" s="4" t="e">
        <f ca="1">_xll.BDH($C$553,"ACCT_RCV_TURN","FQ4 2016","FQ4 2016","Currency=INR","Period=FQ","BEST_FPERIOD_OVERRIDE=FQ","FILING_STATUS=OR","EQY_CONSOLIDATED=Y","FA_ADJUSTED=GAAP","Sort=A","Dates=H","DateFormat=P","Fill=—","Direction=H","UseDPDF=Y")</f>
        <v>#NAME?</v>
      </c>
      <c r="CX567" s="2" t="e">
        <f ca="1">_xll.BDH($C$553,"ACCT_RCV_DAYS","FQ4 2016","FQ4 2016","Currency=INR","Period=FQ","BEST_FPERIOD_OVERRIDE=FQ","FILING_STATUS=OR","EQY_CONSOLIDATED=Y","FA_ADJUSTED=GAAP","Sort=A","Dates=H","DateFormat=P","Fill=—","Direction=H","UseDPDF=Y")</f>
        <v>#NAME?</v>
      </c>
      <c r="CY567" s="4" t="e">
        <f ca="1">_xll.BDH($C$553,"INVENT_TURN","FQ4 2016","FQ4 2016","Currency=INR","Period=FQ","BEST_FPERIOD_OVERRIDE=FQ","FILING_STATUS=OR","EQY_CONSOLIDATED=Y","FA_ADJUSTED=GAAP","Sort=A","Dates=H","DateFormat=P","Fill=—","Direction=H","UseDPDF=Y")</f>
        <v>#NAME?</v>
      </c>
      <c r="CZ567" s="2" t="e">
        <f ca="1">_xll.BDH($C$553,"INVENT_DAYS","FQ4 2016","FQ4 2016","Currency=INR","Period=FQ","BEST_FPERIOD_OVERRIDE=FQ","FILING_STATUS=OR","EQY_CONSOLIDATED=Y","FA_ADJUSTED=GAAP","Sort=A","Dates=H","DateFormat=P","Fill=—","Direction=H","UseDPDF=Y")</f>
        <v>#NAME?</v>
      </c>
      <c r="DA567" s="4" t="e">
        <f ca="1">_xll.BDH($C$553,"ACCOUNTS_PAYABLE_TURNOVER","FQ4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67" s="2" t="e">
        <f ca="1">_xll.BDH($C$553,"ACCOUNTS_PAYABLE_TURNOVER_DAYS","FQ4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67" s="4" t="e">
        <f ca="1">_xll.BDH($C$553,"CASH_CONVERSION_CYCLE","FQ4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67" s="4" t="e">
        <f ca="1">_xll.BDH($C$553,"INV_TO_CASH_DAYS","FQ4 2016","FQ4 2016","Currency=INR","Period=FQ","BEST_FPERIOD_OVERRIDE=FQ","FILING_STATUS=OR","EQY_CONSOLIDATED=Y","FA_ADJUSTED=GAAP","Sort=A","Dates=H","DateFormat=P","Fill=—","Direction=H","UseDPDF=Y")</f>
        <v>#NAME?</v>
      </c>
      <c r="DE567" s="5" t="e">
        <f ca="1">_xll.BDH($C$553,"BS_INVENTORIES","FQ4 2016","FQ4 2016","Currency=INR","Period=FQ","BEST_FPERIOD_OVERRIDE=FQ","FILING_STATUS=OR","EQY_CONSOLIDATED=Y","SCALING_FORMAT=MLN","Sort=A","Dates=H","DateFormat=P","Fill=—","Direction=H","UseDPDF=Y")</f>
        <v>#NAME?</v>
      </c>
      <c r="DF567" s="3" t="e">
        <f ca="1">_xll.BDH($C$553,"INVTRY_RAW_MATERIALS","FQ4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67" s="3" t="e">
        <f ca="1">_xll.BDH($C$553,"INVTRY_IN_PROGRESS","FQ4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67" s="3" t="e">
        <f ca="1">_xll.BDH($C$553,"INVTRY_FINISHED_GOODS","FQ4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67" s="3" t="e">
        <f ca="1">_xll.BDH($C$553,"BS_OTHER_INV","FQ4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68" spans="1:113" x14ac:dyDescent="0.3">
      <c r="A568" s="6"/>
      <c r="B568" s="6"/>
      <c r="C568" s="6"/>
      <c r="D568" s="6" t="s">
        <v>84</v>
      </c>
      <c r="E568" t="s">
        <v>77</v>
      </c>
      <c r="F568" t="e">
        <f ca="1">_xll.BDH($C$553,"RETURN_COM_EQY","FY 2017","FY 2017","Currency=INR","Period=FY","BEST_FPERIOD_OVERRIDE=FY","FILING_STATUS=OR","EQY_CONSOLIDATED=Y","FA_ADJUSTED=GAAP","Sort=A","Dates=H","DateFormat=P","Fill=—","Direction=H","UseDPDF=Y")</f>
        <v>#NAME?</v>
      </c>
      <c r="G568" t="e">
        <f ca="1">_xll.BDH($C$553,"RETURN_ON_ASSET","FY 2017","FY 2017","Currency=INR","Period=FY","BEST_FPERIOD_OVERRIDE=FY","FILING_STATUS=OR","EQY_CONSOLIDATED=Y","FA_ADJUSTED=GAAP","Sort=A","Dates=H","DateFormat=P","Fill=—","Direction=H","UseDPDF=Y")</f>
        <v>#NAME?</v>
      </c>
      <c r="H568" t="e">
        <f ca="1">_xll.BDH($C$553,"RETURN_ON_CAP","FY 2017","FY 2017","Currency=INR","Period=FY","BEST_FPERIOD_OVERRIDE=FY","FILING_STATUS=OR","EQY_CONSOLIDATED=Y","FA_ADJUSTED=GAAP","Sort=A","Dates=H","DateFormat=P","Fill=—","Direction=H","UseDPDF=Y")</f>
        <v>#NAME?</v>
      </c>
      <c r="I568" t="e">
        <f ca="1">_xll.BDH($C$553,"RETURN_ON_INV_CAPITAL","FY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68" t="e">
        <f ca="1">_xll.BDH($C$553,"EBITDA_TO_REVENUE","FY 2017","FY 2017","Currency=INR","Period=FY","BEST_FPERIOD_OVERRIDE=FY","FILING_STATUS=OR","EQY_CONSOLIDATED=Y","FA_ADJUSTED=GAAP","Sort=A","Dates=H","DateFormat=P","Fill=—","Direction=H","UseDPDF=Y")</f>
        <v>#NAME?</v>
      </c>
      <c r="K568" t="e">
        <f ca="1">_xll.BDH($C$553,"OPER_MARGIN","FY 2017","FY 2017","Currency=INR","Period=FY","BEST_FPERIOD_OVERRIDE=FY","FILING_STATUS=OR","EQY_CONSOLIDATED=Y","FA_ADJUSTED=GAAP","Sort=A","Dates=H","DateFormat=P","Fill=—","Direction=H","UseDPDF=Y")</f>
        <v>#NAME?</v>
      </c>
      <c r="L568" t="e">
        <f ca="1">_xll.BDH($C$553,"INCREMENTAL_OPERATING_MARGIN","FY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68" t="e">
        <f ca="1">_xll.BDH($C$553,"PRETAX_INC_TO_NET_SALES","FY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68" t="e">
        <f ca="1">_xll.BDH($C$553,"INC_BEF_XO_ITEMS_TO_NET_SALES","FY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68" t="e">
        <f ca="1">_xll.BDH($C$553,"PROF_MARGIN","FY 2017","FY 2017","Currency=INR","Period=FY","BEST_FPERIOD_OVERRIDE=FY","FILING_STATUS=OR","EQY_CONSOLIDATED=Y","FA_ADJUSTED=GAAP","Sort=A","Dates=H","DateFormat=P","Fill=—","Direction=H","UseDPDF=Y")</f>
        <v>#NAME?</v>
      </c>
      <c r="P568" t="e">
        <f ca="1">_xll.BDH($C$553,"NET_INCOME_TO_COMMON_MARGIN","FY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68" t="e">
        <f ca="1">_xll.BDH($C$553,"EFF_TAX_RATE","FY 2017","FY 2017","Currency=INR","Period=FY","BEST_FPERIOD_OVERRIDE=FY","FILING_STATUS=OR","EQY_CONSOLIDATED=Y","FA_ADJUSTED=GAAP","Sort=A","Dates=H","DateFormat=P","Fill=—","Direction=H","UseDPDF=Y")</f>
        <v>#NAME?</v>
      </c>
      <c r="R568" t="e">
        <f ca="1">_xll.BDH($C$553,"DVD_PAYOUT_RATIO","FY 2017","FY 2017","Currency=INR","Period=FY","BEST_FPERIOD_OVERRIDE=FY","FILING_STATUS=OR","EQY_CONSOLIDATED=Y","FA_ADJUSTED=GAAP","Sort=A","Dates=H","DateFormat=P","Fill=—","Direction=H","UseDPDF=Y")</f>
        <v>#NAME?</v>
      </c>
      <c r="S568" t="e">
        <f ca="1">_xll.BDH($C$553,"SUSTAIN_GROWTH_RT","FY 2017","FY 2017","Currency=INR","Period=FY","BEST_FPERIOD_OVERRIDE=FY","FILING_STATUS=OR","EQY_CONSOLIDATED=Y","FA_ADJUSTED=GAAP","Sort=A","Dates=H","DateFormat=P","Fill=—","Direction=H","UseDPDF=Y")</f>
        <v>#NAME?</v>
      </c>
      <c r="T568" s="2" t="e">
        <f ca="1">_xll.BDH($C$553,"SALES_GROWTH","FY 2017","FY 2017","Currency=INR","Period=FY","BEST_FPERIOD_OVERRIDE=FY","FILING_STATUS=OR","EQY_CONSOLIDATED=Y","FA_ADJUSTED=GAAP","Sort=A","Dates=H","DateFormat=P","Fill=—","Direction=H","UseDPDF=Y")</f>
        <v>#NAME?</v>
      </c>
      <c r="U568" s="2" t="e">
        <f ca="1">_xll.BDH($C$553,"EBITDA_GROWTH","FY 2017","FY 2017","Currency=INR","Period=FY","BEST_FPERIOD_OVERRIDE=FY","FILING_STATUS=OR","EQY_CONSOLIDATED=Y","FA_ADJUSTED=GAAP","Sort=A","Dates=H","DateFormat=P","Fill=—","Direction=H","UseDPDF=Y")</f>
        <v>#NAME?</v>
      </c>
      <c r="V568" s="2" t="e">
        <f ca="1">_xll.BDH($C$553,"OPER_INC_GROWTH","FY 2017","FY 2017","Currency=INR","Period=FY","BEST_FPERIOD_OVERRIDE=FY","FILING_STATUS=OR","EQY_CONSOLIDATED=Y","FA_ADJUSTED=GAAP","Sort=A","Dates=H","DateFormat=P","Fill=—","Direction=H","UseDPDF=Y")</f>
        <v>#NAME?</v>
      </c>
      <c r="W568" s="2" t="e">
        <f ca="1">_xll.BDH($C$553,"EARN_FOR_COM_GROWTH","FY 2017","FY 2017","Currency=INR","Period=FY","BEST_FPERIOD_OVERRIDE=FY","FILING_STATUS=OR","EQY_CONSOLIDATED=Y","FA_ADJUSTED=GAAP","Sort=A","Dates=H","DateFormat=P","Fill=—","Direction=H","UseDPDF=Y")</f>
        <v>#NAME?</v>
      </c>
      <c r="X568" s="2" t="e">
        <f ca="1">_xll.BDH($C$553,"DILUTED_EPS_AFT_XO_ITEMS_GROWTH","FY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68" s="2" t="e">
        <f ca="1">_xll.BDH($C$553,"DIVIDEND_PER_SHARE_1_YEAR_GROWTH","FY 2017","FY 2017","Currency=INR","Period=FY","BEST_FPERIOD_OVERRIDE=FY","FILING_STATUS=OR","EQY_CONSOLIDATED=Y","Sort=A","Dates=H","DateFormat=P","Fill=—","Direction=H","UseDPDF=Y")</f>
        <v>#NAME?</v>
      </c>
      <c r="Z568" s="2" t="e">
        <f ca="1">_xll.BDH($C$553,"ACCOUNTS_RECEIVABLE_GROWTH","FY 2017","FY 2017","Currency=INR","Period=FY","BEST_FPERIOD_OVERRIDE=FY","FILING_STATUS=OR","EQY_CONSOLIDATED=Y","Sort=A","Dates=H","DateFormat=P","Fill=—","Direction=H","UseDPDF=Y")</f>
        <v>#NAME?</v>
      </c>
      <c r="AA568" s="2" t="e">
        <f ca="1">_xll.BDH($C$553,"INVENTORY_GROWTH","FY 2017","FY 2017","Currency=INR","Period=FY","BEST_FPERIOD_OVERRIDE=FY","FILING_STATUS=OR","EQY_CONSOLIDATED=Y","Sort=A","Dates=H","DateFormat=P","Fill=—","Direction=H","UseDPDF=Y")</f>
        <v>#NAME?</v>
      </c>
      <c r="AB568" s="2" t="e">
        <f ca="1">_xll.BDH($C$553,"NET_FIXED_ASSETS_1_YEAR_GROWTH","FY 2017","FY 2017","Currency=INR","Period=FY","BEST_FPERIOD_OVERRIDE=FY","FILING_STATUS=OR","EQY_CONSOLIDATED=Y","Sort=A","Dates=H","DateFormat=P","Fill=—","Direction=H","UseDPDF=Y")</f>
        <v>#NAME?</v>
      </c>
      <c r="AC568" s="2" t="e">
        <f ca="1">_xll.BDH($C$553,"ASSET_GROWTH","FY 2017","FY 2017","Currency=INR","Period=FY","BEST_FPERIOD_OVERRIDE=FY","FILING_STATUS=OR","EQY_CONSOLIDATED=Y","Sort=A","Dates=H","DateFormat=P","Fill=—","Direction=H","UseDPDF=Y")</f>
        <v>#NAME?</v>
      </c>
      <c r="AD568" s="2" t="e">
        <f ca="1">_xll.BDH($C$553,"MODIFIED_WORK_CAP_GROWTH","FY 2017","FY 2017","Currency=INR","Period=FY","BEST_FPERIOD_OVERRIDE=FY","FILING_STATUS=OR","EQY_CONSOLIDATED=Y","Sort=A","Dates=H","DateFormat=P","Fill=—","Direction=H","UseDPDF=Y")</f>
        <v>#NAME?</v>
      </c>
      <c r="AE568" s="2" t="e">
        <f ca="1">_xll.BDH($C$553,"WORK_CAP_GROWTH","FY 2017","FY 2017","Currency=INR","Period=FY","BEST_FPERIOD_OVERRIDE=FY","FILING_STATUS=OR","EQY_CONSOLIDATED=Y","Sort=A","Dates=H","DateFormat=P","Fill=—","Direction=H","UseDPDF=Y")</f>
        <v>#NAME?</v>
      </c>
      <c r="AF568" s="2" t="e">
        <f ca="1">_xll.BDH($C$553,"ACCOUNTS_PAYABLE_GROWTH_1YR","FY 2017","FY 2017","Currency=INR","Period=FY","BEST_FPERIOD_OVERRIDE=FY","FILING_STATUS=OR","EQY_CONSOLIDATED=Y","Sort=A","Dates=H","DateFormat=P","Fill=—","Direction=H","UseDPDF=Y")</f>
        <v>#NAME?</v>
      </c>
      <c r="AG568" s="2" t="e">
        <f ca="1">_xll.BDH($C$553,"SHORT_TERM_DEBT_1_YEAR_GROWTH","FY 2017","FY 2017","Currency=INR","Period=FY","BEST_FPERIOD_OVERRIDE=FY","FILING_STATUS=OR","EQY_CONSOLIDATED=Y","Sort=A","Dates=H","DateFormat=P","Fill=—","Direction=H","UseDPDF=Y")</f>
        <v>#NAME?</v>
      </c>
      <c r="AH568" s="2" t="e">
        <f ca="1">_xll.BDH($C$553,"TOTAL_DEBT_1_YEAR_GROWTH","FY 2017","FY 2017","Currency=INR","Period=FY","BEST_FPERIOD_OVERRIDE=FY","FILING_STATUS=OR","EQY_CONSOLIDATED=Y","Sort=A","Dates=H","DateFormat=P","Fill=—","Direction=H","UseDPDF=Y")</f>
        <v>#NAME?</v>
      </c>
      <c r="AI568" s="2" t="e">
        <f ca="1">_xll.BDH($C$553,"TOTAL_EQUITY_1_YEAR_GROWTH","FY 2017","FY 2017","Currency=INR","Period=FY","BEST_FPERIOD_OVERRIDE=FY","FILING_STATUS=OR","EQY_CONSOLIDATED=Y","Sort=A","Dates=H","DateFormat=P","Fill=—","Direction=H","UseDPDF=Y")</f>
        <v>#NAME?</v>
      </c>
      <c r="AJ568" s="2" t="e">
        <f ca="1">_xll.BDH($C$553,"GROWTH_IN_CAP","FY 2017","FY 2017","Currency=INR","Period=FY","BEST_FPERIOD_OVERRIDE=FY","FILING_STATUS=OR","EQY_CONSOLIDATED=Y","Sort=A","Dates=H","DateFormat=P","Fill=—","Direction=H","UseDPDF=Y")</f>
        <v>#NAME?</v>
      </c>
      <c r="AK568" s="2" t="e">
        <f ca="1">_xll.BDH($C$553,"BVPS_GROWTH","FY 2017","FY 2017","Currency=INR","Period=FY","BEST_FPERIOD_OVERRIDE=FY","FILING_STATUS=OR","EQY_CONSOLIDATED=Y","Sort=A","Dates=H","DateFormat=P","Fill=—","Direction=H","UseDPDF=Y")</f>
        <v>#NAME?</v>
      </c>
      <c r="AL568" s="2" t="e">
        <f ca="1">_xll.BDH($C$553,"CASH_FLOW_GROWTH","FY 2017","FY 2017","Currency=INR","Period=FY","BEST_FPERIOD_OVERRIDE=FY","FILING_STATUS=OR","EQY_CONSOLIDATED=Y","Sort=A","Dates=H","DateFormat=P","Fill=—","Direction=H","UseDPDF=Y")</f>
        <v>#NAME?</v>
      </c>
      <c r="AM568" s="2" t="e">
        <f ca="1">_xll.BDH($C$553,"GEO_GROW_NET_SALES","FY 2017","FY 2017","Currency=INR","Period=FY","BEST_FPERIOD_OVERRIDE=FY","FILING_STATUS=OR","EQY_CONSOLIDATED=Y","FA_ADJUSTED=GAAP","Sort=A","Dates=H","DateFormat=P","Fill=—","Direction=H","UseDPDF=Y")</f>
        <v>#NAME?</v>
      </c>
      <c r="AN568" s="2" t="e">
        <f ca="1">_xll.BDH($C$553,"GEO_GROW_EBITDA","FY 2017","FY 2017","Currency=INR","Period=FY","BEST_FPERIOD_OVERRIDE=FY","FILING_STATUS=OR","EQY_CONSOLIDATED=Y","FA_ADJUSTED=GAAP","Sort=A","Dates=H","DateFormat=P","Fill=—","Direction=H","UseDPDF=Y")</f>
        <v>#NAME?</v>
      </c>
      <c r="AO568" s="2" t="e">
        <f ca="1">_xll.BDH($C$553,"GEO_GROW_OPER_INC","FY 2017","FY 2017","Currency=INR","Period=FY","BEST_FPERIOD_OVERRIDE=FY","FILING_STATUS=OR","EQY_CONSOLIDATED=Y","FA_ADJUSTED=GAAP","Sort=A","Dates=H","DateFormat=P","Fill=—","Direction=H","UseDPDF=Y")</f>
        <v>#NAME?</v>
      </c>
      <c r="AP568" s="2" t="e">
        <f ca="1">_xll.BDH($C$553,"NET_INCOME_TO_COMMON_5_YR_GROWTH","FY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68" s="2" t="e">
        <f ca="1">_xll.BDH($C$553,"5Y_GEO_GROWTH_DILUTED_EPS","FY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68" s="2" t="e">
        <f ca="1">_xll.BDH($C$553,"GEO_GROW_DVD_PER_SH","FY 2017","FY 2017","Currency=INR","Period=FY","BEST_FPERIOD_OVERRIDE=FY","FILING_STATUS=OR","EQY_CONSOLIDATED=Y","Sort=A","Dates=H","DateFormat=P","Fill=—","Direction=H","UseDPDF=Y")</f>
        <v>#NAME?</v>
      </c>
      <c r="AS568" s="2" t="e">
        <f ca="1">_xll.BDH($C$553,"ACCOUNTS_RECEIVABLE_5_YR_GROWTH","FY 2017","FY 2017","Currency=INR","Period=FY","BEST_FPERIOD_OVERRIDE=FY","FILING_STATUS=OR","EQY_CONSOLIDATED=Y","Sort=A","Dates=H","DateFormat=P","Fill=—","Direction=H","UseDPDF=Y")</f>
        <v>#NAME?</v>
      </c>
      <c r="AT568" s="2" t="e">
        <f ca="1">_xll.BDH($C$553,"INVENTORY_5_YEAR_GROWTH","FY 2017","FY 2017","Currency=INR","Period=FY","BEST_FPERIOD_OVERRIDE=FY","FILING_STATUS=OR","EQY_CONSOLIDATED=Y","Sort=A","Dates=H","DateFormat=P","Fill=—","Direction=H","UseDPDF=Y")</f>
        <v>#NAME?</v>
      </c>
      <c r="AU568" s="2" t="e">
        <f ca="1">_xll.BDH($C$553,"NET_FIXED_ASSETS_5_YEAR_GROWTH","FY 2017","FY 2017","Currency=INR","Period=FY","BEST_FPERIOD_OVERRIDE=FY","FILING_STATUS=OR","EQY_CONSOLIDATED=Y","Sort=A","Dates=H","DateFormat=P","Fill=—","Direction=H","UseDPDF=Y")</f>
        <v>#NAME?</v>
      </c>
      <c r="AV568" s="2" t="e">
        <f ca="1">_xll.BDH($C$553,"GEO_GROW_TOT_ASSET","FY 2017","FY 2017","Currency=INR","Period=FY","BEST_FPERIOD_OVERRIDE=FY","FILING_STATUS=OR","EQY_CONSOLIDATED=Y","Sort=A","Dates=H","DateFormat=P","Fill=—","Direction=H","UseDPDF=Y")</f>
        <v>#NAME?</v>
      </c>
      <c r="AW568" s="2" t="e">
        <f ca="1">_xll.BDH($C$553,"MODIFIED_WORKING_CPTL_5YR_GRWTH","FY 2017","FY 2017","Currency=INR","Period=FY","BEST_FPERIOD_OVERRIDE=FY","FILING_STATUS=OR","EQY_CONSOLIDATED=Y","Sort=A","Dates=H","DateFormat=P","Fill=—","Direction=H","UseDPDF=Y")</f>
        <v>#NAME?</v>
      </c>
      <c r="AX568" s="2" t="e">
        <f ca="1">_xll.BDH($C$553,"WORKING_CAPITAL_5_YEAR_GROWTH","FY 2017","FY 2017","Currency=INR","Period=FY","BEST_FPERIOD_OVERRIDE=FY","FILING_STATUS=OR","EQY_CONSOLIDATED=Y","Sort=A","Dates=H","DateFormat=P","Fill=—","Direction=H","UseDPDF=Y")</f>
        <v>#NAME?</v>
      </c>
      <c r="AY568" s="2" t="e">
        <f ca="1">_xll.BDH($C$553,"ACCOUNTS_PAYABLE_5_YEAR_GROWTH","FY 2017","FY 2017","Currency=INR","Period=FY","BEST_FPERIOD_OVERRIDE=FY","FILING_STATUS=OR","EQY_CONSOLIDATED=Y","Sort=A","Dates=H","DateFormat=P","Fill=—","Direction=H","UseDPDF=Y")</f>
        <v>#NAME?</v>
      </c>
      <c r="AZ568" s="2" t="e">
        <f ca="1">_xll.BDH($C$553,"SHORT_TERM_DEBT_5_YEAR_GROWTH","FY 2017","FY 2017","Currency=INR","Period=FY","BEST_FPERIOD_OVERRIDE=FY","FILING_STATUS=OR","EQY_CONSOLIDATED=Y","Sort=A","Dates=H","DateFormat=P","Fill=—","Direction=H","UseDPDF=Y")</f>
        <v>#NAME?</v>
      </c>
      <c r="BA568" s="2" t="e">
        <f ca="1">_xll.BDH($C$553,"TOTAL_DEBT_5_YEAR_GROWTH","FY 2017","FY 2017","Currency=INR","Period=FY","BEST_FPERIOD_OVERRIDE=FY","FILING_STATUS=OR","EQY_CONSOLIDATED=Y","Sort=A","Dates=H","DateFormat=P","Fill=—","Direction=H","UseDPDF=Y")</f>
        <v>#NAME?</v>
      </c>
      <c r="BB568" s="2" t="e">
        <f ca="1">_xll.BDH($C$553,"GEO_GROW_TOT_SHRHLDR_EQY","FY 2017","FY 2017","Currency=INR","Period=FY","BEST_FPERIOD_OVERRIDE=FY","FILING_STATUS=OR","EQY_CONSOLIDATED=Y","Sort=A","Dates=H","DateFormat=P","Fill=—","Direction=H","UseDPDF=Y")</f>
        <v>#NAME?</v>
      </c>
      <c r="BC568" s="2" t="e">
        <f ca="1">_xll.BDH($C$553,"TOTAL_CAPITAL_5_YEAR_GROWTH","FY 2017","FY 2017","Currency=INR","Period=FY","BEST_FPERIOD_OVERRIDE=FY","FILING_STATUS=OR","EQY_CONSOLIDATED=Y","Sort=A","Dates=H","DateFormat=P","Fill=—","Direction=H","UseDPDF=Y")</f>
        <v>#NAME?</v>
      </c>
      <c r="BD568" s="2" t="e">
        <f ca="1">_xll.BDH($C$553,"GEO_GROW_BOOK_VAL","FY 2017","FY 2017","Currency=INR","Period=FY","BEST_FPERIOD_OVERRIDE=FY","FILING_STATUS=OR","EQY_CONSOLIDATED=Y","Sort=A","Dates=H","DateFormat=P","Fill=—","Direction=H","UseDPDF=Y")</f>
        <v>#NAME?</v>
      </c>
      <c r="BE568" s="2" t="e">
        <f ca="1">_xll.BDH($C$553,"GEO_GROW_CASH_OPER_ACT","FY 2017","FY 2017","Currency=INR","Period=FY","BEST_FPERIOD_OVERRIDE=FY","FILING_STATUS=OR","EQY_CONSOLIDATED=Y","Sort=A","Dates=H","DateFormat=P","Fill=—","Direction=H","UseDPDF=Y")</f>
        <v>#NAME?</v>
      </c>
      <c r="BF568" s="2" t="e">
        <f ca="1">_xll.BDH($C$553,"REVENUE_SEQUENTIAL_GROWTH","FY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68" s="2" t="e">
        <f ca="1">_xll.BDH($C$553,"EBITDA_SEQUENTIAL_GROWTH","FY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68" s="2" t="e">
        <f ca="1">_xll.BDH($C$553,"OPERATING_INCOME_SEQ_GROWTH","FY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68" s="2" t="e">
        <f ca="1">_xll.BDH($C$553,"NET_INCOME_TO_COMMON_SEQ_GROWTH","FY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68" s="2" t="e">
        <f ca="1">_xll.BDH($C$553,"EPS_DILUTED_SEQUENTIAL_GROWTH","FY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68" s="2" t="e">
        <f ca="1">_xll.BDH($C$553,"DPS_SEQUENTIAL_GROWTH","FY 2017","FY 2017","Currency=INR","Period=FY","BEST_FPERIOD_OVERRIDE=FY","FILING_STATUS=OR","EQY_CONSOLIDATED=Y","Sort=A","Dates=H","DateFormat=P","Fill=—","Direction=H","UseDPDF=Y")</f>
        <v>#NAME?</v>
      </c>
      <c r="BL568" s="2" t="e">
        <f ca="1">_xll.BDH($C$553,"ACCOUNTS_RECEIVABLE_SEQ_GROWTH","FY 2017","FY 2017","Currency=INR","Period=FY","BEST_FPERIOD_OVERRIDE=FY","FILING_STATUS=OR","EQY_CONSOLIDATED=Y","Sort=A","Dates=H","DateFormat=P","Fill=—","Direction=H","UseDPDF=Y")</f>
        <v>#NAME?</v>
      </c>
      <c r="BM568" s="2" t="e">
        <f ca="1">_xll.BDH($C$553,"INVENTORY_SEQUENTIAL_GROWTH","FY 2017","FY 2017","Currency=INR","Period=FY","BEST_FPERIOD_OVERRIDE=FY","FILING_STATUS=OR","EQY_CONSOLIDATED=Y","Sort=A","Dates=H","DateFormat=P","Fill=—","Direction=H","UseDPDF=Y")</f>
        <v>#NAME?</v>
      </c>
      <c r="BN568" s="2" t="e">
        <f ca="1">_xll.BDH($C$553,"FIXED_ASSETS_SEQUENTIAL_GROWTH","FY 2017","FY 2017","Currency=INR","Period=FY","BEST_FPERIOD_OVERRIDE=FY","FILING_STATUS=OR","EQY_CONSOLIDATED=Y","Sort=A","Dates=H","DateFormat=P","Fill=—","Direction=H","UseDPDF=Y")</f>
        <v>#NAME?</v>
      </c>
      <c r="BO568" s="2" t="e">
        <f ca="1">_xll.BDH($C$553,"TOTAL_ASSETS_SEQUENTIAL_GROWTH","FY 2017","FY 2017","Currency=INR","Period=FY","BEST_FPERIOD_OVERRIDE=FY","FILING_STATUS=OR","EQY_CONSOLIDATED=Y","Sort=A","Dates=H","DateFormat=P","Fill=—","Direction=H","UseDPDF=Y")</f>
        <v>#NAME?</v>
      </c>
      <c r="BP568" s="2" t="e">
        <f ca="1">_xll.BDH($C$553,"MODIFIED_WORKING_CPTL_SEQ_GRWTH","FY 2017","FY 2017","Currency=INR","Period=FY","BEST_FPERIOD_OVERRIDE=FY","FILING_STATUS=OR","EQY_CONSOLIDATED=Y","Sort=A","Dates=H","DateFormat=P","Fill=—","Direction=H","UseDPDF=Y")</f>
        <v>#NAME?</v>
      </c>
      <c r="BQ568" s="2" t="e">
        <f ca="1">_xll.BDH($C$553,"WORKING_CAPITAL_SEQ_GROWTH","FY 2017","FY 2017","Currency=INR","Period=FY","BEST_FPERIOD_OVERRIDE=FY","FILING_STATUS=OR","EQY_CONSOLIDATED=Y","Sort=A","Dates=H","DateFormat=P","Fill=—","Direction=H","UseDPDF=Y")</f>
        <v>#NAME?</v>
      </c>
      <c r="BR568" s="2" t="e">
        <f ca="1">_xll.BDH($C$553,"ACCOUNTS_PAYABLE_SEQ_GROWTH","FY 2017","FY 2017","Currency=INR","Period=FY","BEST_FPERIOD_OVERRIDE=FY","FILING_STATUS=OR","EQY_CONSOLIDATED=Y","Sort=A","Dates=H","DateFormat=P","Fill=—","Direction=H","UseDPDF=Y")</f>
        <v>#NAME?</v>
      </c>
      <c r="BS568" s="2" t="e">
        <f ca="1">_xll.BDH($C$553,"ST_DEBT_SEQUENTIAL_GROWTH","FY 2017","FY 2017","Currency=INR","Period=FY","BEST_FPERIOD_OVERRIDE=FY","FILING_STATUS=OR","EQY_CONSOLIDATED=Y","Sort=A","Dates=H","DateFormat=P","Fill=—","Direction=H","UseDPDF=Y")</f>
        <v>#NAME?</v>
      </c>
      <c r="BT568" s="2" t="e">
        <f ca="1">_xll.BDH($C$553,"TOTAL_DEBT_SEQUENTIAL_GROWTH","FY 2017","FY 2017","Currency=INR","Period=FY","BEST_FPERIOD_OVERRIDE=FY","FILING_STATUS=OR","EQY_CONSOLIDATED=Y","Sort=A","Dates=H","DateFormat=P","Fill=—","Direction=H","UseDPDF=Y")</f>
        <v>#NAME?</v>
      </c>
      <c r="BU568" s="2" t="e">
        <f ca="1">_xll.BDH($C$553,"TOTAL_EQUITY_SEQUENTIAL_GROWTH","FY 2017","FY 2017","Currency=INR","Period=FY","BEST_FPERIOD_OVERRIDE=FY","FILING_STATUS=OR","EQY_CONSOLIDATED=Y","Sort=A","Dates=H","DateFormat=P","Fill=—","Direction=H","UseDPDF=Y")</f>
        <v>#NAME?</v>
      </c>
      <c r="BV568" s="2" t="e">
        <f ca="1">_xll.BDH($C$553,"TOTAL_CAPITAL_SEQUENTIAL_GROWTH","FY 2017","FY 2017","Currency=INR","Period=FY","BEST_FPERIOD_OVERRIDE=FY","FILING_STATUS=OR","EQY_CONSOLIDATED=Y","Sort=A","Dates=H","DateFormat=P","Fill=—","Direction=H","UseDPDF=Y")</f>
        <v>#NAME?</v>
      </c>
      <c r="BW568" s="2" t="e">
        <f ca="1">_xll.BDH($C$553,"BPS_SEQUENTIAL_GROWTH","FY 2017","FY 2017","Currency=INR","Period=FY","BEST_FPERIOD_OVERRIDE=FY","FILING_STATUS=OR","EQY_CONSOLIDATED=Y","Sort=A","Dates=H","DateFormat=P","Fill=—","Direction=H","UseDPDF=Y")</f>
        <v>#NAME?</v>
      </c>
      <c r="BX568" s="2" t="e">
        <f ca="1">_xll.BDH($C$553,"CFO_SEQUENTIAL_GROWTH","FY 2017","FY 2017","Currency=INR","Period=FY","BEST_FPERIOD_OVERRIDE=FY","FILING_STATUS=OR","EQY_CONSOLIDATED=Y","Sort=A","Dates=H","DateFormat=P","Fill=—","Direction=H","UseDPDF=Y")</f>
        <v>#NAME?</v>
      </c>
      <c r="BY568" s="3" t="e">
        <f ca="1">_xll.BDH($C$553,"SHORT_AND_LONG_TERM_DEBT","FY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68" s="3" t="e">
        <f ca="1">_xll.BDH($C$553,"BS_ST_BORROW","FY 2017","FY 2017","Currency=INR","Period=FY","BEST_FPERIOD_OVERRIDE=FY","FILING_STATUS=OR","EQY_CONSOLIDATED=Y","SCALING_FORMAT=MLN","Sort=A","Dates=H","DateFormat=P","Fill=—","Direction=H","UseDPDF=Y")</f>
        <v>#NAME?</v>
      </c>
      <c r="CA568" s="3" t="e">
        <f ca="1">_xll.BDH($C$553,"BS_LT_BORROW","FY 2017","FY 2017","Currency=INR","Period=FY","BEST_FPERIOD_OVERRIDE=FY","FILING_STATUS=OR","EQY_CONSOLIDATED=Y","SCALING_FORMAT=MLN","Sort=A","Dates=H","DateFormat=P","Fill=—","Direction=H","UseDPDF=Y")</f>
        <v>#NAME?</v>
      </c>
      <c r="CB568" s="2" t="e">
        <f ca="1">_xll.BDH($C$553,"TOT_DEBT_TO_EBITDA","FY 2017","FY 2017","Currency=INR","Period=FY","BEST_FPERIOD_OVERRIDE=FY","FILING_STATUS=OR","EQY_CONSOLIDATED=Y","FA_ADJUSTED=GAAP","Sort=A","Dates=H","DateFormat=P","Fill=—","Direction=H","UseDPDF=Y")</f>
        <v>#NAME?</v>
      </c>
      <c r="CC568" s="2" t="e">
        <f ca="1">_xll.BDH($C$553,"NET_DEBT_TO_EBITDA","FY 2017","FY 2017","Currency=INR","Period=FY","BEST_FPERIOD_OVERRIDE=FY","FILING_STATUS=OR","EQY_CONSOLIDATED=Y","FA_ADJUSTED=GAAP","Sort=A","Dates=H","DateFormat=P","Fill=—","Direction=H","UseDPDF=Y")</f>
        <v>#NAME?</v>
      </c>
      <c r="CD568" s="2" t="e">
        <f ca="1">_xll.BDH($C$553,"TOTAL_DEBT_TO_EBIT","FY 2017","FY 2017","Currency=INR","Period=FY","BEST_FPERIOD_OVERRIDE=FY","FILING_STATUS=OR","EQY_CONSOLIDATED=Y","FA_ADJUSTED=GAAP","Sort=A","Dates=H","DateFormat=P","Fill=—","Direction=H","UseDPDF=Y")</f>
        <v>#NAME?</v>
      </c>
      <c r="CE568" s="2" t="e">
        <f ca="1">_xll.BDH($C$553,"NET_DEBT_TO_EBIT","FY 2017","FY 2017","Currency=INR","Period=FY","BEST_FPERIOD_OVERRIDE=FY","FILING_STATUS=OR","EQY_CONSOLIDATED=Y","FA_ADJUSTED=GAAP","Sort=A","Dates=H","DateFormat=P","Fill=—","Direction=H","UseDPDF=Y")</f>
        <v>#NAME?</v>
      </c>
      <c r="CF568" s="2" t="e">
        <f ca="1">_xll.BDH($C$553,"EBITDA_TO_INTEREST_EXPN","FY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68" s="2" t="e">
        <f ca="1">_xll.BDH($C$553,"COM_EQY_TO_TOT_ASSET","FY 2017","FY 2017","Currency=INR","Period=FY","BEST_FPERIOD_OVERRIDE=FY","FILING_STATUS=OR","EQY_CONSOLIDATED=Y","Sort=A","Dates=H","DateFormat=P","Fill=—","Direction=H","UseDPDF=Y")</f>
        <v>#NAME?</v>
      </c>
      <c r="CH568" s="2" t="e">
        <f ca="1">_xll.BDH($C$553,"LT_DEBT_TO_TOT_EQY","FY 2017","FY 2017","Currency=INR","Period=FY","BEST_FPERIOD_OVERRIDE=FY","FILING_STATUS=OR","EQY_CONSOLIDATED=Y","Sort=A","Dates=H","DateFormat=P","Fill=—","Direction=H","UseDPDF=Y")</f>
        <v>#NAME?</v>
      </c>
      <c r="CI568" s="2" t="e">
        <f ca="1">_xll.BDH($C$553,"LT_DEBT_TO_TOT_CAP","FY 2017","FY 2017","Currency=INR","Period=FY","BEST_FPERIOD_OVERRIDE=FY","FILING_STATUS=OR","EQY_CONSOLIDATED=Y","Sort=A","Dates=H","DateFormat=P","Fill=—","Direction=H","UseDPDF=Y")</f>
        <v>#NAME?</v>
      </c>
      <c r="CJ568" s="2" t="e">
        <f ca="1">_xll.BDH($C$553,"LT_DEBT_TO_TOT_ASSET","FY 2017","FY 2017","Currency=INR","Period=FY","BEST_FPERIOD_OVERRIDE=FY","FILING_STATUS=OR","EQY_CONSOLIDATED=Y","Sort=A","Dates=H","DateFormat=P","Fill=—","Direction=H","UseDPDF=Y")</f>
        <v>#NAME?</v>
      </c>
      <c r="CK568" s="2" t="e">
        <f ca="1">_xll.BDH($C$553,"TOT_DEBT_TO_TOT_EQY","FY 2017","FY 2017","Currency=INR","Period=FY","BEST_FPERIOD_OVERRIDE=FY","FILING_STATUS=OR","EQY_CONSOLIDATED=Y","Sort=A","Dates=H","DateFormat=P","Fill=—","Direction=H","UseDPDF=Y")</f>
        <v>#NAME?</v>
      </c>
      <c r="CL568" s="2" t="e">
        <f ca="1">_xll.BDH($C$553,"TOT_DEBT_TO_TOT_CAP","FY 2017","FY 2017","Currency=INR","Period=FY","BEST_FPERIOD_OVERRIDE=FY","FILING_STATUS=OR","EQY_CONSOLIDATED=Y","Sort=A","Dates=H","DateFormat=P","Fill=—","Direction=H","UseDPDF=Y")</f>
        <v>#NAME?</v>
      </c>
      <c r="CM568" s="2" t="e">
        <f ca="1">_xll.BDH($C$553,"TOT_DEBT_TO_TOT_ASSET","FY 2017","FY 2017","Currency=INR","Period=FY","BEST_FPERIOD_OVERRIDE=FY","FILING_STATUS=OR","EQY_CONSOLIDATED=Y","Sort=A","Dates=H","DateFormat=P","Fill=—","Direction=H","UseDPDF=Y")</f>
        <v>#NAME?</v>
      </c>
      <c r="CN568" s="2" t="e">
        <f ca="1">_xll.BDH($C$553,"NET_DEBT_TO_SHRHLDR_EQTY","FY 2017","FY 2017","Currency=INR","Period=FY","BEST_FPERIOD_OVERRIDE=FY","FILING_STATUS=OR","EQY_CONSOLIDATED=Y","Sort=A","Dates=H","DateFormat=P","Fill=—","Direction=H","UseDPDF=Y")</f>
        <v>#NAME?</v>
      </c>
      <c r="CO568" s="2" t="e">
        <f ca="1">_xll.BDH($C$553,"NET_DEBT_%_CAPITAL","FY 2017","FY 2017","Currency=INR","Period=FY","BEST_FPERIOD_OVERRIDE=FY","FILING_STATUS=OR","EQY_CONSOLIDATED=Y","Sort=A","Dates=H","DateFormat=P","Fill=—","Direction=H","UseDPDF=Y")</f>
        <v>#NAME?</v>
      </c>
      <c r="CP568" s="3" t="e">
        <f ca="1">_xll.BDH($C$553,"EBITDA","FY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68" s="3" t="e">
        <f ca="1">_xll.BDH($C$553,"EBITDA_AFTER_CAPEX","FY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68" s="3" t="e">
        <f ca="1">_xll.BDH($C$553,"IS_OPER_INC","FY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68" s="2" t="e">
        <f ca="1">_xll.BDH($C$553,"CASH_RATIO","FY 2017","FY 2017","Currency=INR","Period=FY","BEST_FPERIOD_OVERRIDE=FY","FILING_STATUS=OR","EQY_CONSOLIDATED=Y","Sort=A","Dates=H","DateFormat=P","Fill=—","Direction=H","UseDPDF=Y")</f>
        <v>#NAME?</v>
      </c>
      <c r="CT568" s="2" t="e">
        <f ca="1">_xll.BDH($C$553,"CUR_RATIO","FY 2017","FY 2017","Currency=INR","Period=FY","BEST_FPERIOD_OVERRIDE=FY","FILING_STATUS=OR","EQY_CONSOLIDATED=Y","Sort=A","Dates=H","DateFormat=P","Fill=—","Direction=H","UseDPDF=Y")</f>
        <v>#NAME?</v>
      </c>
      <c r="CU568" s="2" t="e">
        <f ca="1">_xll.BDH($C$553,"QUICK_RATIO","FY 2017","FY 2017","Currency=INR","Period=FY","BEST_FPERIOD_OVERRIDE=FY","FILING_STATUS=OR","EQY_CONSOLIDATED=Y","Sort=A","Dates=H","DateFormat=P","Fill=—","Direction=H","UseDPDF=Y")</f>
        <v>#NAME?</v>
      </c>
      <c r="CV568" s="2" t="e">
        <f ca="1">_xll.BDH($C$553,"ALTMAN_Z_SCORE","FY 2017","FY 2017","Currency=INR","Period=FY","BEST_FPERIOD_OVERRIDE=FY","FILING_STATUS=OR","EQY_CONSOLIDATED=Y","Sort=A","Dates=H","DateFormat=P","Fill=—","Direction=H","UseDPDF=Y")</f>
        <v>#NAME?</v>
      </c>
      <c r="CW568" s="4" t="e">
        <f ca="1">_xll.BDH($C$553,"ACCT_RCV_TURN","FY 2017","FY 2017","Currency=INR","Period=FY","BEST_FPERIOD_OVERRIDE=FY","FILING_STATUS=OR","EQY_CONSOLIDATED=Y","FA_ADJUSTED=GAAP","Sort=A","Dates=H","DateFormat=P","Fill=—","Direction=H","UseDPDF=Y")</f>
        <v>#NAME?</v>
      </c>
      <c r="CX568" s="2" t="e">
        <f ca="1">_xll.BDH($C$553,"ACCT_RCV_DAYS","FY 2017","FY 2017","Currency=INR","Period=FY","BEST_FPERIOD_OVERRIDE=FY","FILING_STATUS=OR","EQY_CONSOLIDATED=Y","FA_ADJUSTED=GAAP","Sort=A","Dates=H","DateFormat=P","Fill=—","Direction=H","UseDPDF=Y")</f>
        <v>#NAME?</v>
      </c>
      <c r="CY568" s="4" t="e">
        <f ca="1">_xll.BDH($C$553,"INVENT_TURN","FY 2017","FY 2017","Currency=INR","Period=FY","BEST_FPERIOD_OVERRIDE=FY","FILING_STATUS=OR","EQY_CONSOLIDATED=Y","FA_ADJUSTED=GAAP","Sort=A","Dates=H","DateFormat=P","Fill=—","Direction=H","UseDPDF=Y")</f>
        <v>#NAME?</v>
      </c>
      <c r="CZ568" s="2" t="e">
        <f ca="1">_xll.BDH($C$553,"INVENT_DAYS","FY 2017","FY 2017","Currency=INR","Period=FY","BEST_FPERIOD_OVERRIDE=FY","FILING_STATUS=OR","EQY_CONSOLIDATED=Y","FA_ADJUSTED=GAAP","Sort=A","Dates=H","DateFormat=P","Fill=—","Direction=H","UseDPDF=Y")</f>
        <v>#NAME?</v>
      </c>
      <c r="DA568" s="4" t="e">
        <f ca="1">_xll.BDH($C$553,"ACCOUNTS_PAYABLE_TURNOVER","FY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68" s="2" t="e">
        <f ca="1">_xll.BDH($C$553,"ACCOUNTS_PAYABLE_TURNOVER_DAYS","FY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68" s="4" t="e">
        <f ca="1">_xll.BDH($C$553,"CASH_CONVERSION_CYCLE","FY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68" s="4" t="e">
        <f ca="1">_xll.BDH($C$553,"INV_TO_CASH_DAYS","FY 2017","FY 2017","Currency=INR","Period=FY","BEST_FPERIOD_OVERRIDE=FY","FILING_STATUS=OR","EQY_CONSOLIDATED=Y","FA_ADJUSTED=GAAP","Sort=A","Dates=H","DateFormat=P","Fill=—","Direction=H","UseDPDF=Y")</f>
        <v>#NAME?</v>
      </c>
      <c r="DE568" s="5" t="e">
        <f ca="1">_xll.BDH($C$553,"BS_INVENTORIES","FY 2017","FY 2017","Currency=INR","Period=FY","BEST_FPERIOD_OVERRIDE=FY","FILING_STATUS=OR","EQY_CONSOLIDATED=Y","SCALING_FORMAT=MLN","Sort=A","Dates=H","DateFormat=P","Fill=—","Direction=H","UseDPDF=Y")</f>
        <v>#NAME?</v>
      </c>
      <c r="DF568" s="3" t="e">
        <f ca="1">_xll.BDH($C$553,"INVTRY_RAW_MATERIALS","FY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68" s="3" t="e">
        <f ca="1">_xll.BDH($C$553,"INVTRY_IN_PROGRESS","FY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68" s="3" t="e">
        <f ca="1">_xll.BDH($C$553,"INVTRY_FINISHED_GOODS","FY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68" s="3" t="e">
        <f ca="1">_xll.BDH($C$553,"BS_OTHER_INV","FY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69" spans="1:113" x14ac:dyDescent="0.3">
      <c r="A569" s="6"/>
      <c r="B569" s="6"/>
      <c r="C569" s="6"/>
      <c r="D569" s="6"/>
      <c r="E569" t="s">
        <v>78</v>
      </c>
      <c r="F569" t="e">
        <f ca="1">_xll.BDH($C$553,"RETURN_COM_EQY","FQ1 2017","FQ1 2017","Currency=INR","Period=FQ","BEST_FPERIOD_OVERRIDE=FQ","FILING_STATUS=OR","EQY_CONSOLIDATED=Y","FA_ADJUSTED=GAAP","Sort=A","Dates=H","DateFormat=P","Fill=—","Direction=H","UseDPDF=Y")</f>
        <v>#NAME?</v>
      </c>
      <c r="G569" t="e">
        <f ca="1">_xll.BDH($C$553,"RETURN_ON_ASSET","FQ1 2017","FQ1 2017","Currency=INR","Period=FQ","BEST_FPERIOD_OVERRIDE=FQ","FILING_STATUS=OR","EQY_CONSOLIDATED=Y","FA_ADJUSTED=GAAP","Sort=A","Dates=H","DateFormat=P","Fill=—","Direction=H","UseDPDF=Y")</f>
        <v>#NAME?</v>
      </c>
      <c r="H569" t="e">
        <f ca="1">_xll.BDH($C$553,"RETURN_ON_CAP","FQ1 2017","FQ1 2017","Currency=INR","Period=FQ","BEST_FPERIOD_OVERRIDE=FQ","FILING_STATUS=OR","EQY_CONSOLIDATED=Y","FA_ADJUSTED=GAAP","Sort=A","Dates=H","DateFormat=P","Fill=—","Direction=H","UseDPDF=Y")</f>
        <v>#NAME?</v>
      </c>
      <c r="I569" t="e">
        <f ca="1">_xll.BDH($C$553,"RETURN_ON_INV_CAPITAL","FQ1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69" t="e">
        <f ca="1">_xll.BDH($C$553,"EBITDA_TO_REVENUE","FQ1 2017","FQ1 2017","Currency=INR","Period=FQ","BEST_FPERIOD_OVERRIDE=FQ","FILING_STATUS=OR","EQY_CONSOLIDATED=Y","FA_ADJUSTED=GAAP","Sort=A","Dates=H","DateFormat=P","Fill=—","Direction=H","UseDPDF=Y")</f>
        <v>#NAME?</v>
      </c>
      <c r="K569" t="e">
        <f ca="1">_xll.BDH($C$553,"OPER_MARGIN","FQ1 2017","FQ1 2017","Currency=INR","Period=FQ","BEST_FPERIOD_OVERRIDE=FQ","FILING_STATUS=OR","EQY_CONSOLIDATED=Y","FA_ADJUSTED=GAAP","Sort=A","Dates=H","DateFormat=P","Fill=—","Direction=H","UseDPDF=Y")</f>
        <v>#NAME?</v>
      </c>
      <c r="L569" t="e">
        <f ca="1">_xll.BDH($C$553,"INCREMENTAL_OPERATING_MARGIN","FQ1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69" t="e">
        <f ca="1">_xll.BDH($C$553,"PRETAX_INC_TO_NET_SALES","FQ1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69" t="e">
        <f ca="1">_xll.BDH($C$553,"INC_BEF_XO_ITEMS_TO_NET_SALES","FQ1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69" t="e">
        <f ca="1">_xll.BDH($C$553,"PROF_MARGIN","FQ1 2017","FQ1 2017","Currency=INR","Period=FQ","BEST_FPERIOD_OVERRIDE=FQ","FILING_STATUS=OR","EQY_CONSOLIDATED=Y","FA_ADJUSTED=GAAP","Sort=A","Dates=H","DateFormat=P","Fill=—","Direction=H","UseDPDF=Y")</f>
        <v>#NAME?</v>
      </c>
      <c r="P569" t="e">
        <f ca="1">_xll.BDH($C$553,"NET_INCOME_TO_COMMON_MARGIN","FQ1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69" t="e">
        <f ca="1">_xll.BDH($C$553,"EFF_TAX_RATE","FQ1 2017","FQ1 2017","Currency=INR","Period=FQ","BEST_FPERIOD_OVERRIDE=FQ","FILING_STATUS=OR","EQY_CONSOLIDATED=Y","FA_ADJUSTED=GAAP","Sort=A","Dates=H","DateFormat=P","Fill=—","Direction=H","UseDPDF=Y")</f>
        <v>#NAME?</v>
      </c>
      <c r="R569" t="e">
        <f ca="1">_xll.BDH($C$553,"DVD_PAYOUT_RATIO","FQ1 2017","FQ1 2017","Currency=INR","Period=FQ","BEST_FPERIOD_OVERRIDE=FQ","FILING_STATUS=OR","EQY_CONSOLIDATED=Y","FA_ADJUSTED=GAAP","Sort=A","Dates=H","DateFormat=P","Fill=—","Direction=H","UseDPDF=Y")</f>
        <v>#NAME?</v>
      </c>
      <c r="S569" t="e">
        <f ca="1">_xll.BDH($C$553,"SUSTAIN_GROWTH_RT","FQ1 2017","FQ1 2017","Currency=INR","Period=FQ","BEST_FPERIOD_OVERRIDE=FQ","FILING_STATUS=OR","EQY_CONSOLIDATED=Y","FA_ADJUSTED=GAAP","Sort=A","Dates=H","DateFormat=P","Fill=—","Direction=H","UseDPDF=Y")</f>
        <v>#NAME?</v>
      </c>
      <c r="T569" s="2" t="e">
        <f ca="1">_xll.BDH($C$553,"SALES_GROWTH","FQ1 2017","FQ1 2017","Currency=INR","Period=FQ","BEST_FPERIOD_OVERRIDE=FQ","FILING_STATUS=OR","EQY_CONSOLIDATED=Y","FA_ADJUSTED=GAAP","Sort=A","Dates=H","DateFormat=P","Fill=—","Direction=H","UseDPDF=Y")</f>
        <v>#NAME?</v>
      </c>
      <c r="U569" s="2" t="e">
        <f ca="1">_xll.BDH($C$553,"EBITDA_GROWTH","FQ1 2017","FQ1 2017","Currency=INR","Period=FQ","BEST_FPERIOD_OVERRIDE=FQ","FILING_STATUS=OR","EQY_CONSOLIDATED=Y","FA_ADJUSTED=GAAP","Sort=A","Dates=H","DateFormat=P","Fill=—","Direction=H","UseDPDF=Y")</f>
        <v>#NAME?</v>
      </c>
      <c r="V569" s="2" t="e">
        <f ca="1">_xll.BDH($C$553,"OPER_INC_GROWTH","FQ1 2017","FQ1 2017","Currency=INR","Period=FQ","BEST_FPERIOD_OVERRIDE=FQ","FILING_STATUS=OR","EQY_CONSOLIDATED=Y","FA_ADJUSTED=GAAP","Sort=A","Dates=H","DateFormat=P","Fill=—","Direction=H","UseDPDF=Y")</f>
        <v>#NAME?</v>
      </c>
      <c r="W569" s="2" t="e">
        <f ca="1">_xll.BDH($C$553,"EARN_FOR_COM_GROWTH","FQ1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69" s="2" t="e">
        <f ca="1">_xll.BDH($C$553,"DILUTED_EPS_AFT_XO_ITEMS_GROWTH","FQ1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69" s="2" t="e">
        <f ca="1">_xll.BDH($C$553,"DIVIDEND_PER_SHARE_1_YEAR_GROWTH","FQ1 2017","FQ1 2017","Currency=INR","Period=FQ","BEST_FPERIOD_OVERRIDE=FQ","FILING_STATUS=OR","EQY_CONSOLIDATED=Y","Sort=A","Dates=H","DateFormat=P","Fill=—","Direction=H","UseDPDF=Y")</f>
        <v>#NAME?</v>
      </c>
      <c r="Z569" s="2" t="e">
        <f ca="1">_xll.BDH($C$553,"ACCOUNTS_RECEIVABLE_GROWTH","FQ1 2017","FQ1 2017","Currency=INR","Period=FQ","BEST_FPERIOD_OVERRIDE=FQ","FILING_STATUS=OR","EQY_CONSOLIDATED=Y","Sort=A","Dates=H","DateFormat=P","Fill=—","Direction=H","UseDPDF=Y")</f>
        <v>#NAME?</v>
      </c>
      <c r="AA569" s="2" t="e">
        <f ca="1">_xll.BDH($C$553,"INVENTORY_GROWTH","FQ1 2017","FQ1 2017","Currency=INR","Period=FQ","BEST_FPERIOD_OVERRIDE=FQ","FILING_STATUS=OR","EQY_CONSOLIDATED=Y","Sort=A","Dates=H","DateFormat=P","Fill=—","Direction=H","UseDPDF=Y")</f>
        <v>#NAME?</v>
      </c>
      <c r="AB569" s="2" t="e">
        <f ca="1">_xll.BDH($C$553,"NET_FIXED_ASSETS_1_YEAR_GROWTH","FQ1 2017","FQ1 2017","Currency=INR","Period=FQ","BEST_FPERIOD_OVERRIDE=FQ","FILING_STATUS=OR","EQY_CONSOLIDATED=Y","Sort=A","Dates=H","DateFormat=P","Fill=—","Direction=H","UseDPDF=Y")</f>
        <v>#NAME?</v>
      </c>
      <c r="AC569" s="2" t="e">
        <f ca="1">_xll.BDH($C$553,"ASSET_GROWTH","FQ1 2017","FQ1 2017","Currency=INR","Period=FQ","BEST_FPERIOD_OVERRIDE=FQ","FILING_STATUS=OR","EQY_CONSOLIDATED=Y","Sort=A","Dates=H","DateFormat=P","Fill=—","Direction=H","UseDPDF=Y")</f>
        <v>#NAME?</v>
      </c>
      <c r="AD569" s="2" t="e">
        <f ca="1">_xll.BDH($C$553,"MODIFIED_WORK_CAP_GROWTH","FQ1 2017","FQ1 2017","Currency=INR","Period=FQ","BEST_FPERIOD_OVERRIDE=FQ","FILING_STATUS=OR","EQY_CONSOLIDATED=Y","Sort=A","Dates=H","DateFormat=P","Fill=—","Direction=H","UseDPDF=Y")</f>
        <v>#NAME?</v>
      </c>
      <c r="AE569" s="2" t="e">
        <f ca="1">_xll.BDH($C$553,"WORK_CAP_GROWTH","FQ1 2017","FQ1 2017","Currency=INR","Period=FQ","BEST_FPERIOD_OVERRIDE=FQ","FILING_STATUS=OR","EQY_CONSOLIDATED=Y","Sort=A","Dates=H","DateFormat=P","Fill=—","Direction=H","UseDPDF=Y")</f>
        <v>#NAME?</v>
      </c>
      <c r="AF569" s="2" t="e">
        <f ca="1">_xll.BDH($C$553,"ACCOUNTS_PAYABLE_GROWTH_1YR","FQ1 2017","FQ1 2017","Currency=INR","Period=FQ","BEST_FPERIOD_OVERRIDE=FQ","FILING_STATUS=OR","EQY_CONSOLIDATED=Y","Sort=A","Dates=H","DateFormat=P","Fill=—","Direction=H","UseDPDF=Y")</f>
        <v>#NAME?</v>
      </c>
      <c r="AG569" s="2" t="e">
        <f ca="1">_xll.BDH($C$553,"SHORT_TERM_DEBT_1_YEAR_GROWTH","FQ1 2017","FQ1 2017","Currency=INR","Period=FQ","BEST_FPERIOD_OVERRIDE=FQ","FILING_STATUS=OR","EQY_CONSOLIDATED=Y","Sort=A","Dates=H","DateFormat=P","Fill=—","Direction=H","UseDPDF=Y")</f>
        <v>#NAME?</v>
      </c>
      <c r="AH569" s="2" t="e">
        <f ca="1">_xll.BDH($C$553,"TOTAL_DEBT_1_YEAR_GROWTH","FQ1 2017","FQ1 2017","Currency=INR","Period=FQ","BEST_FPERIOD_OVERRIDE=FQ","FILING_STATUS=OR","EQY_CONSOLIDATED=Y","Sort=A","Dates=H","DateFormat=P","Fill=—","Direction=H","UseDPDF=Y")</f>
        <v>#NAME?</v>
      </c>
      <c r="AI569" s="2" t="e">
        <f ca="1">_xll.BDH($C$553,"TOTAL_EQUITY_1_YEAR_GROWTH","FQ1 2017","FQ1 2017","Currency=INR","Period=FQ","BEST_FPERIOD_OVERRIDE=FQ","FILING_STATUS=OR","EQY_CONSOLIDATED=Y","Sort=A","Dates=H","DateFormat=P","Fill=—","Direction=H","UseDPDF=Y")</f>
        <v>#NAME?</v>
      </c>
      <c r="AJ569" s="2" t="e">
        <f ca="1">_xll.BDH($C$553,"GROWTH_IN_CAP","FQ1 2017","FQ1 2017","Currency=INR","Period=FQ","BEST_FPERIOD_OVERRIDE=FQ","FILING_STATUS=OR","EQY_CONSOLIDATED=Y","Sort=A","Dates=H","DateFormat=P","Fill=—","Direction=H","UseDPDF=Y")</f>
        <v>#NAME?</v>
      </c>
      <c r="AK569" s="2" t="e">
        <f ca="1">_xll.BDH($C$553,"BVPS_GROWTH","FQ1 2017","FQ1 2017","Currency=INR","Period=FQ","BEST_FPERIOD_OVERRIDE=FQ","FILING_STATUS=OR","EQY_CONSOLIDATED=Y","Sort=A","Dates=H","DateFormat=P","Fill=—","Direction=H","UseDPDF=Y")</f>
        <v>#NAME?</v>
      </c>
      <c r="AL569" s="2" t="e">
        <f ca="1">_xll.BDH($C$553,"CASH_FLOW_GROWTH","FQ1 2017","FQ1 2017","Currency=INR","Period=FQ","BEST_FPERIOD_OVERRIDE=FQ","FILING_STATUS=OR","EQY_CONSOLIDATED=Y","Sort=A","Dates=H","DateFormat=P","Fill=—","Direction=H","UseDPDF=Y")</f>
        <v>#NAME?</v>
      </c>
      <c r="AM569" s="2" t="e">
        <f ca="1">_xll.BDH($C$553,"GEO_GROW_NET_SALES","FQ1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69" s="2" t="e">
        <f ca="1">_xll.BDH($C$553,"GEO_GROW_EBITDA","FQ1 2017","FQ1 2017","Currency=INR","Period=FQ","BEST_FPERIOD_OVERRIDE=FQ","FILING_STATUS=OR","EQY_CONSOLIDATED=Y","FA_ADJUSTED=GAAP","Sort=A","Dates=H","DateFormat=P","Fill=—","Direction=H","UseDPDF=Y")</f>
        <v>#NAME?</v>
      </c>
      <c r="AO569" s="2" t="e">
        <f ca="1">_xll.BDH($C$553,"GEO_GROW_OPER_INC","FQ1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69" s="2" t="e">
        <f ca="1">_xll.BDH($C$553,"NET_INCOME_TO_COMMON_5_YR_GROWTH","FQ1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69" s="2" t="e">
        <f ca="1">_xll.BDH($C$553,"5Y_GEO_GROWTH_DILUTED_EPS","FQ1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69" s="2" t="e">
        <f ca="1">_xll.BDH($C$553,"GEO_GROW_DVD_PER_SH","FQ1 2017","FQ1 2017","Currency=INR","Period=FQ","BEST_FPERIOD_OVERRIDE=FQ","FILING_STATUS=OR","EQY_CONSOLIDATED=Y","Sort=A","Dates=H","DateFormat=P","Fill=—","Direction=H","UseDPDF=Y")</f>
        <v>#NAME?</v>
      </c>
      <c r="AS569" s="2" t="e">
        <f ca="1">_xll.BDH($C$553,"ACCOUNTS_RECEIVABLE_5_YR_GROWTH","FQ1 2017","FQ1 2017","Currency=INR","Period=FQ","BEST_FPERIOD_OVERRIDE=FQ","FILING_STATUS=OR","EQY_CONSOLIDATED=Y","Sort=A","Dates=H","DateFormat=P","Fill=—","Direction=H","UseDPDF=Y")</f>
        <v>#NAME?</v>
      </c>
      <c r="AT569" s="2" t="e">
        <f ca="1">_xll.BDH($C$553,"INVENTORY_5_YEAR_GROWTH","FQ1 2017","FQ1 2017","Currency=INR","Period=FQ","BEST_FPERIOD_OVERRIDE=FQ","FILING_STATUS=OR","EQY_CONSOLIDATED=Y","Sort=A","Dates=H","DateFormat=P","Fill=—","Direction=H","UseDPDF=Y")</f>
        <v>#NAME?</v>
      </c>
      <c r="AU569" s="2" t="e">
        <f ca="1">_xll.BDH($C$553,"NET_FIXED_ASSETS_5_YEAR_GROWTH","FQ1 2017","FQ1 2017","Currency=INR","Period=FQ","BEST_FPERIOD_OVERRIDE=FQ","FILING_STATUS=OR","EQY_CONSOLIDATED=Y","Sort=A","Dates=H","DateFormat=P","Fill=—","Direction=H","UseDPDF=Y")</f>
        <v>#NAME?</v>
      </c>
      <c r="AV569" s="2" t="e">
        <f ca="1">_xll.BDH($C$553,"GEO_GROW_TOT_ASSET","FQ1 2017","FQ1 2017","Currency=INR","Period=FQ","BEST_FPERIOD_OVERRIDE=FQ","FILING_STATUS=OR","EQY_CONSOLIDATED=Y","Sort=A","Dates=H","DateFormat=P","Fill=—","Direction=H","UseDPDF=Y")</f>
        <v>#NAME?</v>
      </c>
      <c r="AW569" s="2" t="e">
        <f ca="1">_xll.BDH($C$553,"MODIFIED_WORKING_CPTL_5YR_GRWTH","FQ1 2017","FQ1 2017","Currency=INR","Period=FQ","BEST_FPERIOD_OVERRIDE=FQ","FILING_STATUS=OR","EQY_CONSOLIDATED=Y","Sort=A","Dates=H","DateFormat=P","Fill=—","Direction=H","UseDPDF=Y")</f>
        <v>#NAME?</v>
      </c>
      <c r="AX569" s="2" t="e">
        <f ca="1">_xll.BDH($C$553,"WORKING_CAPITAL_5_YEAR_GROWTH","FQ1 2017","FQ1 2017","Currency=INR","Period=FQ","BEST_FPERIOD_OVERRIDE=FQ","FILING_STATUS=OR","EQY_CONSOLIDATED=Y","Sort=A","Dates=H","DateFormat=P","Fill=—","Direction=H","UseDPDF=Y")</f>
        <v>#NAME?</v>
      </c>
      <c r="AY569" s="2" t="e">
        <f ca="1">_xll.BDH($C$553,"ACCOUNTS_PAYABLE_5_YEAR_GROWTH","FQ1 2017","FQ1 2017","Currency=INR","Period=FQ","BEST_FPERIOD_OVERRIDE=FQ","FILING_STATUS=OR","EQY_CONSOLIDATED=Y","Sort=A","Dates=H","DateFormat=P","Fill=—","Direction=H","UseDPDF=Y")</f>
        <v>#NAME?</v>
      </c>
      <c r="AZ569" s="2" t="e">
        <f ca="1">_xll.BDH($C$553,"SHORT_TERM_DEBT_5_YEAR_GROWTH","FQ1 2017","FQ1 2017","Currency=INR","Period=FQ","BEST_FPERIOD_OVERRIDE=FQ","FILING_STATUS=OR","EQY_CONSOLIDATED=Y","Sort=A","Dates=H","DateFormat=P","Fill=—","Direction=H","UseDPDF=Y")</f>
        <v>#NAME?</v>
      </c>
      <c r="BA569" s="2" t="e">
        <f ca="1">_xll.BDH($C$553,"TOTAL_DEBT_5_YEAR_GROWTH","FQ1 2017","FQ1 2017","Currency=INR","Period=FQ","BEST_FPERIOD_OVERRIDE=FQ","FILING_STATUS=OR","EQY_CONSOLIDATED=Y","Sort=A","Dates=H","DateFormat=P","Fill=—","Direction=H","UseDPDF=Y")</f>
        <v>#NAME?</v>
      </c>
      <c r="BB569" s="2" t="e">
        <f ca="1">_xll.BDH($C$553,"GEO_GROW_TOT_SHRHLDR_EQY","FQ1 2017","FQ1 2017","Currency=INR","Period=FQ","BEST_FPERIOD_OVERRIDE=FQ","FILING_STATUS=OR","EQY_CONSOLIDATED=Y","Sort=A","Dates=H","DateFormat=P","Fill=—","Direction=H","UseDPDF=Y")</f>
        <v>#NAME?</v>
      </c>
      <c r="BC569" s="2" t="e">
        <f ca="1">_xll.BDH($C$553,"TOTAL_CAPITAL_5_YEAR_GROWTH","FQ1 2017","FQ1 2017","Currency=INR","Period=FQ","BEST_FPERIOD_OVERRIDE=FQ","FILING_STATUS=OR","EQY_CONSOLIDATED=Y","Sort=A","Dates=H","DateFormat=P","Fill=—","Direction=H","UseDPDF=Y")</f>
        <v>#NAME?</v>
      </c>
      <c r="BD569" s="2" t="e">
        <f ca="1">_xll.BDH($C$553,"GEO_GROW_BOOK_VAL","FQ1 2017","FQ1 2017","Currency=INR","Period=FQ","BEST_FPERIOD_OVERRIDE=FQ","FILING_STATUS=OR","EQY_CONSOLIDATED=Y","Sort=A","Dates=H","DateFormat=P","Fill=—","Direction=H","UseDPDF=Y")</f>
        <v>#NAME?</v>
      </c>
      <c r="BE569" s="2" t="e">
        <f ca="1">_xll.BDH($C$553,"GEO_GROW_CASH_OPER_ACT","FQ1 2017","FQ1 2017","Currency=INR","Period=FQ","BEST_FPERIOD_OVERRIDE=FQ","FILING_STATUS=OR","EQY_CONSOLIDATED=Y","Sort=A","Dates=H","DateFormat=P","Fill=—","Direction=H","UseDPDF=Y")</f>
        <v>#NAME?</v>
      </c>
      <c r="BF569" s="2" t="e">
        <f ca="1">_xll.BDH($C$553,"REVENUE_SEQUENTIAL_GROWTH","FQ1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69" s="2" t="e">
        <f ca="1">_xll.BDH($C$553,"EBITDA_SEQUENTIAL_GROWTH","FQ1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69" s="2" t="e">
        <f ca="1">_xll.BDH($C$553,"OPERATING_INCOME_SEQ_GROWTH","FQ1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69" s="2" t="e">
        <f ca="1">_xll.BDH($C$553,"NET_INCOME_TO_COMMON_SEQ_GROWTH","FQ1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69" s="2" t="e">
        <f ca="1">_xll.BDH($C$553,"EPS_DILUTED_SEQUENTIAL_GROWTH","FQ1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69" s="2" t="e">
        <f ca="1">_xll.BDH($C$553,"DPS_SEQUENTIAL_GROWTH","FQ1 2017","FQ1 2017","Currency=INR","Period=FQ","BEST_FPERIOD_OVERRIDE=FQ","FILING_STATUS=OR","EQY_CONSOLIDATED=Y","Sort=A","Dates=H","DateFormat=P","Fill=—","Direction=H","UseDPDF=Y")</f>
        <v>#NAME?</v>
      </c>
      <c r="BL569" s="2" t="e">
        <f ca="1">_xll.BDH($C$553,"ACCOUNTS_RECEIVABLE_SEQ_GROWTH","FQ1 2017","FQ1 2017","Currency=INR","Period=FQ","BEST_FPERIOD_OVERRIDE=FQ","FILING_STATUS=OR","EQY_CONSOLIDATED=Y","Sort=A","Dates=H","DateFormat=P","Fill=—","Direction=H","UseDPDF=Y")</f>
        <v>#NAME?</v>
      </c>
      <c r="BM569" s="2" t="e">
        <f ca="1">_xll.BDH($C$553,"INVENTORY_SEQUENTIAL_GROWTH","FQ1 2017","FQ1 2017","Currency=INR","Period=FQ","BEST_FPERIOD_OVERRIDE=FQ","FILING_STATUS=OR","EQY_CONSOLIDATED=Y","Sort=A","Dates=H","DateFormat=P","Fill=—","Direction=H","UseDPDF=Y")</f>
        <v>#NAME?</v>
      </c>
      <c r="BN569" s="2" t="e">
        <f ca="1">_xll.BDH($C$553,"FIXED_ASSETS_SEQUENTIAL_GROWTH","FQ1 2017","FQ1 2017","Currency=INR","Period=FQ","BEST_FPERIOD_OVERRIDE=FQ","FILING_STATUS=OR","EQY_CONSOLIDATED=Y","Sort=A","Dates=H","DateFormat=P","Fill=—","Direction=H","UseDPDF=Y")</f>
        <v>#NAME?</v>
      </c>
      <c r="BO569" s="2" t="e">
        <f ca="1">_xll.BDH($C$553,"TOTAL_ASSETS_SEQUENTIAL_GROWTH","FQ1 2017","FQ1 2017","Currency=INR","Period=FQ","BEST_FPERIOD_OVERRIDE=FQ","FILING_STATUS=OR","EQY_CONSOLIDATED=Y","Sort=A","Dates=H","DateFormat=P","Fill=—","Direction=H","UseDPDF=Y")</f>
        <v>#NAME?</v>
      </c>
      <c r="BP569" s="2" t="e">
        <f ca="1">_xll.BDH($C$553,"MODIFIED_WORKING_CPTL_SEQ_GRWTH","FQ1 2017","FQ1 2017","Currency=INR","Period=FQ","BEST_FPERIOD_OVERRIDE=FQ","FILING_STATUS=OR","EQY_CONSOLIDATED=Y","Sort=A","Dates=H","DateFormat=P","Fill=—","Direction=H","UseDPDF=Y")</f>
        <v>#NAME?</v>
      </c>
      <c r="BQ569" s="2" t="e">
        <f ca="1">_xll.BDH($C$553,"WORKING_CAPITAL_SEQ_GROWTH","FQ1 2017","FQ1 2017","Currency=INR","Period=FQ","BEST_FPERIOD_OVERRIDE=FQ","FILING_STATUS=OR","EQY_CONSOLIDATED=Y","Sort=A","Dates=H","DateFormat=P","Fill=—","Direction=H","UseDPDF=Y")</f>
        <v>#NAME?</v>
      </c>
      <c r="BR569" s="2" t="e">
        <f ca="1">_xll.BDH($C$553,"ACCOUNTS_PAYABLE_SEQ_GROWTH","FQ1 2017","FQ1 2017","Currency=INR","Period=FQ","BEST_FPERIOD_OVERRIDE=FQ","FILING_STATUS=OR","EQY_CONSOLIDATED=Y","Sort=A","Dates=H","DateFormat=P","Fill=—","Direction=H","UseDPDF=Y")</f>
        <v>#NAME?</v>
      </c>
      <c r="BS569" s="2" t="e">
        <f ca="1">_xll.BDH($C$553,"ST_DEBT_SEQUENTIAL_GROWTH","FQ1 2017","FQ1 2017","Currency=INR","Period=FQ","BEST_FPERIOD_OVERRIDE=FQ","FILING_STATUS=OR","EQY_CONSOLIDATED=Y","Sort=A","Dates=H","DateFormat=P","Fill=—","Direction=H","UseDPDF=Y")</f>
        <v>#NAME?</v>
      </c>
      <c r="BT569" s="2" t="e">
        <f ca="1">_xll.BDH($C$553,"TOTAL_DEBT_SEQUENTIAL_GROWTH","FQ1 2017","FQ1 2017","Currency=INR","Period=FQ","BEST_FPERIOD_OVERRIDE=FQ","FILING_STATUS=OR","EQY_CONSOLIDATED=Y","Sort=A","Dates=H","DateFormat=P","Fill=—","Direction=H","UseDPDF=Y")</f>
        <v>#NAME?</v>
      </c>
      <c r="BU569" s="2" t="e">
        <f ca="1">_xll.BDH($C$553,"TOTAL_EQUITY_SEQUENTIAL_GROWTH","FQ1 2017","FQ1 2017","Currency=INR","Period=FQ","BEST_FPERIOD_OVERRIDE=FQ","FILING_STATUS=OR","EQY_CONSOLIDATED=Y","Sort=A","Dates=H","DateFormat=P","Fill=—","Direction=H","UseDPDF=Y")</f>
        <v>#NAME?</v>
      </c>
      <c r="BV569" s="2" t="e">
        <f ca="1">_xll.BDH($C$553,"TOTAL_CAPITAL_SEQUENTIAL_GROWTH","FQ1 2017","FQ1 2017","Currency=INR","Period=FQ","BEST_FPERIOD_OVERRIDE=FQ","FILING_STATUS=OR","EQY_CONSOLIDATED=Y","Sort=A","Dates=H","DateFormat=P","Fill=—","Direction=H","UseDPDF=Y")</f>
        <v>#NAME?</v>
      </c>
      <c r="BW569" s="2" t="e">
        <f ca="1">_xll.BDH($C$553,"BPS_SEQUENTIAL_GROWTH","FQ1 2017","FQ1 2017","Currency=INR","Period=FQ","BEST_FPERIOD_OVERRIDE=FQ","FILING_STATUS=OR","EQY_CONSOLIDATED=Y","Sort=A","Dates=H","DateFormat=P","Fill=—","Direction=H","UseDPDF=Y")</f>
        <v>#NAME?</v>
      </c>
      <c r="BX569" s="2" t="e">
        <f ca="1">_xll.BDH($C$553,"CFO_SEQUENTIAL_GROWTH","FQ1 2017","FQ1 2017","Currency=INR","Period=FQ","BEST_FPERIOD_OVERRIDE=FQ","FILING_STATUS=OR","EQY_CONSOLIDATED=Y","Sort=A","Dates=H","DateFormat=P","Fill=—","Direction=H","UseDPDF=Y")</f>
        <v>#NAME?</v>
      </c>
      <c r="BY569" s="3" t="e">
        <f ca="1">_xll.BDH($C$553,"SHORT_AND_LONG_TERM_DEBT","FQ1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69" s="3" t="e">
        <f ca="1">_xll.BDH($C$553,"BS_ST_BORROW","FQ1 2017","FQ1 2017","Currency=INR","Period=FQ","BEST_FPERIOD_OVERRIDE=FQ","FILING_STATUS=OR","EQY_CONSOLIDATED=Y","SCALING_FORMAT=MLN","Sort=A","Dates=H","DateFormat=P","Fill=—","Direction=H","UseDPDF=Y")</f>
        <v>#NAME?</v>
      </c>
      <c r="CA569" s="3" t="e">
        <f ca="1">_xll.BDH($C$553,"BS_LT_BORROW","FQ1 2017","FQ1 2017","Currency=INR","Period=FQ","BEST_FPERIOD_OVERRIDE=FQ","FILING_STATUS=OR","EQY_CONSOLIDATED=Y","SCALING_FORMAT=MLN","Sort=A","Dates=H","DateFormat=P","Fill=—","Direction=H","UseDPDF=Y")</f>
        <v>#NAME?</v>
      </c>
      <c r="CB569" s="2" t="e">
        <f ca="1">_xll.BDH($C$553,"TOT_DEBT_TO_EBITDA","FQ1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69" s="2" t="e">
        <f ca="1">_xll.BDH($C$553,"NET_DEBT_TO_EBITDA","FQ1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69" s="2" t="e">
        <f ca="1">_xll.BDH($C$553,"TOTAL_DEBT_TO_EBIT","FQ1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69" s="2" t="e">
        <f ca="1">_xll.BDH($C$553,"NET_DEBT_TO_EBIT","FQ1 2017","FQ1 2017","Currency=INR","Period=FQ","BEST_FPERIOD_OVERRIDE=FQ","FILING_STATUS=OR","EQY_CONSOLIDATED=Y","FA_ADJUSTED=GAAP","Sort=A","Dates=H","DateFormat=P","Fill=—","Direction=H","UseDPDF=Y")</f>
        <v>#NAME?</v>
      </c>
      <c r="CF569" s="2" t="e">
        <f ca="1">_xll.BDH($C$553,"EBITDA_TO_INTEREST_EXPN","FQ1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69" s="2" t="e">
        <f ca="1">_xll.BDH($C$553,"COM_EQY_TO_TOT_ASSET","FQ1 2017","FQ1 2017","Currency=INR","Period=FQ","BEST_FPERIOD_OVERRIDE=FQ","FILING_STATUS=OR","EQY_CONSOLIDATED=Y","Sort=A","Dates=H","DateFormat=P","Fill=—","Direction=H","UseDPDF=Y")</f>
        <v>#NAME?</v>
      </c>
      <c r="CH569" s="2" t="e">
        <f ca="1">_xll.BDH($C$553,"LT_DEBT_TO_TOT_EQY","FQ1 2017","FQ1 2017","Currency=INR","Period=FQ","BEST_FPERIOD_OVERRIDE=FQ","FILING_STATUS=OR","EQY_CONSOLIDATED=Y","Sort=A","Dates=H","DateFormat=P","Fill=—","Direction=H","UseDPDF=Y")</f>
        <v>#NAME?</v>
      </c>
      <c r="CI569" s="2" t="e">
        <f ca="1">_xll.BDH($C$553,"LT_DEBT_TO_TOT_CAP","FQ1 2017","FQ1 2017","Currency=INR","Period=FQ","BEST_FPERIOD_OVERRIDE=FQ","FILING_STATUS=OR","EQY_CONSOLIDATED=Y","Sort=A","Dates=H","DateFormat=P","Fill=—","Direction=H","UseDPDF=Y")</f>
        <v>#NAME?</v>
      </c>
      <c r="CJ569" s="2" t="e">
        <f ca="1">_xll.BDH($C$553,"LT_DEBT_TO_TOT_ASSET","FQ1 2017","FQ1 2017","Currency=INR","Period=FQ","BEST_FPERIOD_OVERRIDE=FQ","FILING_STATUS=OR","EQY_CONSOLIDATED=Y","Sort=A","Dates=H","DateFormat=P","Fill=—","Direction=H","UseDPDF=Y")</f>
        <v>#NAME?</v>
      </c>
      <c r="CK569" s="2" t="e">
        <f ca="1">_xll.BDH($C$553,"TOT_DEBT_TO_TOT_EQY","FQ1 2017","FQ1 2017","Currency=INR","Period=FQ","BEST_FPERIOD_OVERRIDE=FQ","FILING_STATUS=OR","EQY_CONSOLIDATED=Y","Sort=A","Dates=H","DateFormat=P","Fill=—","Direction=H","UseDPDF=Y")</f>
        <v>#NAME?</v>
      </c>
      <c r="CL569" s="2" t="e">
        <f ca="1">_xll.BDH($C$553,"TOT_DEBT_TO_TOT_CAP","FQ1 2017","FQ1 2017","Currency=INR","Period=FQ","BEST_FPERIOD_OVERRIDE=FQ","FILING_STATUS=OR","EQY_CONSOLIDATED=Y","Sort=A","Dates=H","DateFormat=P","Fill=—","Direction=H","UseDPDF=Y")</f>
        <v>#NAME?</v>
      </c>
      <c r="CM569" s="2" t="e">
        <f ca="1">_xll.BDH($C$553,"TOT_DEBT_TO_TOT_ASSET","FQ1 2017","FQ1 2017","Currency=INR","Period=FQ","BEST_FPERIOD_OVERRIDE=FQ","FILING_STATUS=OR","EQY_CONSOLIDATED=Y","Sort=A","Dates=H","DateFormat=P","Fill=—","Direction=H","UseDPDF=Y")</f>
        <v>#NAME?</v>
      </c>
      <c r="CN569" s="2" t="e">
        <f ca="1">_xll.BDH($C$553,"NET_DEBT_TO_SHRHLDR_EQTY","FQ1 2017","FQ1 2017","Currency=INR","Period=FQ","BEST_FPERIOD_OVERRIDE=FQ","FILING_STATUS=OR","EQY_CONSOLIDATED=Y","Sort=A","Dates=H","DateFormat=P","Fill=—","Direction=H","UseDPDF=Y")</f>
        <v>#NAME?</v>
      </c>
      <c r="CO569" s="2" t="e">
        <f ca="1">_xll.BDH($C$553,"NET_DEBT_%_CAPITAL","FQ1 2017","FQ1 2017","Currency=INR","Period=FQ","BEST_FPERIOD_OVERRIDE=FQ","FILING_STATUS=OR","EQY_CONSOLIDATED=Y","Sort=A","Dates=H","DateFormat=P","Fill=—","Direction=H","UseDPDF=Y")</f>
        <v>#NAME?</v>
      </c>
      <c r="CP569" s="3" t="e">
        <f ca="1">_xll.BDH($C$553,"EBITDA","FQ1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69" s="3" t="e">
        <f ca="1">_xll.BDH($C$553,"EBITDA_AFTER_CAPEX","FQ1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69" s="3" t="e">
        <f ca="1">_xll.BDH($C$553,"IS_OPER_INC","FQ1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69" s="2" t="e">
        <f ca="1">_xll.BDH($C$553,"CASH_RATIO","FQ1 2017","FQ1 2017","Currency=INR","Period=FQ","BEST_FPERIOD_OVERRIDE=FQ","FILING_STATUS=OR","EQY_CONSOLIDATED=Y","Sort=A","Dates=H","DateFormat=P","Fill=—","Direction=H","UseDPDF=Y")</f>
        <v>#NAME?</v>
      </c>
      <c r="CT569" s="2" t="e">
        <f ca="1">_xll.BDH($C$553,"CUR_RATIO","FQ1 2017","FQ1 2017","Currency=INR","Period=FQ","BEST_FPERIOD_OVERRIDE=FQ","FILING_STATUS=OR","EQY_CONSOLIDATED=Y","Sort=A","Dates=H","DateFormat=P","Fill=—","Direction=H","UseDPDF=Y")</f>
        <v>#NAME?</v>
      </c>
      <c r="CU569" s="2" t="e">
        <f ca="1">_xll.BDH($C$553,"QUICK_RATIO","FQ1 2017","FQ1 2017","Currency=INR","Period=FQ","BEST_FPERIOD_OVERRIDE=FQ","FILING_STATUS=OR","EQY_CONSOLIDATED=Y","Sort=A","Dates=H","DateFormat=P","Fill=—","Direction=H","UseDPDF=Y")</f>
        <v>#NAME?</v>
      </c>
      <c r="CV569" s="2" t="e">
        <f ca="1">_xll.BDH($C$553,"ALTMAN_Z_SCORE","FQ1 2017","FQ1 2017","Currency=INR","Period=FQ","BEST_FPERIOD_OVERRIDE=FQ","FILING_STATUS=OR","EQY_CONSOLIDATED=Y","Sort=A","Dates=H","DateFormat=P","Fill=—","Direction=H","UseDPDF=Y")</f>
        <v>#NAME?</v>
      </c>
      <c r="CW569" s="4" t="e">
        <f ca="1">_xll.BDH($C$553,"ACCT_RCV_TURN","FQ1 2017","FQ1 2017","Currency=INR","Period=FQ","BEST_FPERIOD_OVERRIDE=FQ","FILING_STATUS=OR","EQY_CONSOLIDATED=Y","FA_ADJUSTED=GAAP","Sort=A","Dates=H","DateFormat=P","Fill=—","Direction=H","UseDPDF=Y")</f>
        <v>#NAME?</v>
      </c>
      <c r="CX569" s="2" t="e">
        <f ca="1">_xll.BDH($C$553,"ACCT_RCV_DAYS","FQ1 2017","FQ1 2017","Currency=INR","Period=FQ","BEST_FPERIOD_OVERRIDE=FQ","FILING_STATUS=OR","EQY_CONSOLIDATED=Y","FA_ADJUSTED=GAAP","Sort=A","Dates=H","DateFormat=P","Fill=—","Direction=H","UseDPDF=Y")</f>
        <v>#NAME?</v>
      </c>
      <c r="CY569" s="4" t="e">
        <f ca="1">_xll.BDH($C$553,"INVENT_TURN","FQ1 2017","FQ1 2017","Currency=INR","Period=FQ","BEST_FPERIOD_OVERRIDE=FQ","FILING_STATUS=OR","EQY_CONSOLIDATED=Y","FA_ADJUSTED=GAAP","Sort=A","Dates=H","DateFormat=P","Fill=—","Direction=H","UseDPDF=Y")</f>
        <v>#NAME?</v>
      </c>
      <c r="CZ569" s="2" t="e">
        <f ca="1">_xll.BDH($C$553,"INVENT_DAYS","FQ1 2017","FQ1 2017","Currency=INR","Period=FQ","BEST_FPERIOD_OVERRIDE=FQ","FILING_STATUS=OR","EQY_CONSOLIDATED=Y","FA_ADJUSTED=GAAP","Sort=A","Dates=H","DateFormat=P","Fill=—","Direction=H","UseDPDF=Y")</f>
        <v>#NAME?</v>
      </c>
      <c r="DA569" s="4" t="e">
        <f ca="1">_xll.BDH($C$553,"ACCOUNTS_PAYABLE_TURNOVER","FQ1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69" s="2" t="e">
        <f ca="1">_xll.BDH($C$553,"ACCOUNTS_PAYABLE_TURNOVER_DAYS","FQ1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69" s="4" t="e">
        <f ca="1">_xll.BDH($C$553,"CASH_CONVERSION_CYCLE","FQ1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69" s="4" t="e">
        <f ca="1">_xll.BDH($C$553,"INV_TO_CASH_DAYS","FQ1 2017","FQ1 2017","Currency=INR","Period=FQ","BEST_FPERIOD_OVERRIDE=FQ","FILING_STATUS=OR","EQY_CONSOLIDATED=Y","FA_ADJUSTED=GAAP","Sort=A","Dates=H","DateFormat=P","Fill=—","Direction=H","UseDPDF=Y")</f>
        <v>#NAME?</v>
      </c>
      <c r="DE569" s="5" t="e">
        <f ca="1">_xll.BDH($C$553,"BS_INVENTORIES","FQ1 2017","FQ1 2017","Currency=INR","Period=FQ","BEST_FPERIOD_OVERRIDE=FQ","FILING_STATUS=OR","EQY_CONSOLIDATED=Y","SCALING_FORMAT=MLN","Sort=A","Dates=H","DateFormat=P","Fill=—","Direction=H","UseDPDF=Y")</f>
        <v>#NAME?</v>
      </c>
      <c r="DF569" s="3" t="e">
        <f ca="1">_xll.BDH($C$553,"INVTRY_RAW_MATERIALS","FQ1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69" s="3" t="e">
        <f ca="1">_xll.BDH($C$553,"INVTRY_IN_PROGRESS","FQ1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69" s="3" t="e">
        <f ca="1">_xll.BDH($C$553,"INVTRY_FINISHED_GOODS","FQ1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69" s="3" t="e">
        <f ca="1">_xll.BDH($C$553,"BS_OTHER_INV","FQ1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70" spans="1:113" x14ac:dyDescent="0.3">
      <c r="A570" s="6"/>
      <c r="B570" s="6"/>
      <c r="C570" s="6"/>
      <c r="D570" s="6"/>
      <c r="E570" t="s">
        <v>79</v>
      </c>
      <c r="F570" t="e">
        <f ca="1">_xll.BDH($C$553,"RETURN_COM_EQY","FQ2 2017","FQ2 2017","Currency=INR","Period=FQ","BEST_FPERIOD_OVERRIDE=FQ","FILING_STATUS=OR","EQY_CONSOLIDATED=Y","FA_ADJUSTED=GAAP","Sort=A","Dates=H","DateFormat=P","Fill=—","Direction=H","UseDPDF=Y")</f>
        <v>#NAME?</v>
      </c>
      <c r="G570" t="e">
        <f ca="1">_xll.BDH($C$553,"RETURN_ON_ASSET","FQ2 2017","FQ2 2017","Currency=INR","Period=FQ","BEST_FPERIOD_OVERRIDE=FQ","FILING_STATUS=OR","EQY_CONSOLIDATED=Y","FA_ADJUSTED=GAAP","Sort=A","Dates=H","DateFormat=P","Fill=—","Direction=H","UseDPDF=Y")</f>
        <v>#NAME?</v>
      </c>
      <c r="H570" t="e">
        <f ca="1">_xll.BDH($C$553,"RETURN_ON_CAP","FQ2 2017","FQ2 2017","Currency=INR","Period=FQ","BEST_FPERIOD_OVERRIDE=FQ","FILING_STATUS=OR","EQY_CONSOLIDATED=Y","FA_ADJUSTED=GAAP","Sort=A","Dates=H","DateFormat=P","Fill=—","Direction=H","UseDPDF=Y")</f>
        <v>#NAME?</v>
      </c>
      <c r="I570" t="e">
        <f ca="1">_xll.BDH($C$553,"RETURN_ON_INV_CAPITAL","FQ2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70" t="e">
        <f ca="1">_xll.BDH($C$553,"EBITDA_TO_REVENUE","FQ2 2017","FQ2 2017","Currency=INR","Period=FQ","BEST_FPERIOD_OVERRIDE=FQ","FILING_STATUS=OR","EQY_CONSOLIDATED=Y","FA_ADJUSTED=GAAP","Sort=A","Dates=H","DateFormat=P","Fill=—","Direction=H","UseDPDF=Y")</f>
        <v>#NAME?</v>
      </c>
      <c r="K570" t="e">
        <f ca="1">_xll.BDH($C$553,"OPER_MARGIN","FQ2 2017","FQ2 2017","Currency=INR","Period=FQ","BEST_FPERIOD_OVERRIDE=FQ","FILING_STATUS=OR","EQY_CONSOLIDATED=Y","FA_ADJUSTED=GAAP","Sort=A","Dates=H","DateFormat=P","Fill=—","Direction=H","UseDPDF=Y")</f>
        <v>#NAME?</v>
      </c>
      <c r="L570" t="e">
        <f ca="1">_xll.BDH($C$553,"INCREMENTAL_OPERATING_MARGIN","FQ2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70" t="e">
        <f ca="1">_xll.BDH($C$553,"PRETAX_INC_TO_NET_SALES","FQ2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70" t="e">
        <f ca="1">_xll.BDH($C$553,"INC_BEF_XO_ITEMS_TO_NET_SALES","FQ2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70" t="e">
        <f ca="1">_xll.BDH($C$553,"PROF_MARGIN","FQ2 2017","FQ2 2017","Currency=INR","Period=FQ","BEST_FPERIOD_OVERRIDE=FQ","FILING_STATUS=OR","EQY_CONSOLIDATED=Y","FA_ADJUSTED=GAAP","Sort=A","Dates=H","DateFormat=P","Fill=—","Direction=H","UseDPDF=Y")</f>
        <v>#NAME?</v>
      </c>
      <c r="P570" t="e">
        <f ca="1">_xll.BDH($C$553,"NET_INCOME_TO_COMMON_MARGIN","FQ2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70" t="e">
        <f ca="1">_xll.BDH($C$553,"EFF_TAX_RATE","FQ2 2017","FQ2 2017","Currency=INR","Period=FQ","BEST_FPERIOD_OVERRIDE=FQ","FILING_STATUS=OR","EQY_CONSOLIDATED=Y","FA_ADJUSTED=GAAP","Sort=A","Dates=H","DateFormat=P","Fill=—","Direction=H","UseDPDF=Y")</f>
        <v>#NAME?</v>
      </c>
      <c r="R570" t="e">
        <f ca="1">_xll.BDH($C$553,"DVD_PAYOUT_RATIO","FQ2 2017","FQ2 2017","Currency=INR","Period=FQ","BEST_FPERIOD_OVERRIDE=FQ","FILING_STATUS=OR","EQY_CONSOLIDATED=Y","FA_ADJUSTED=GAAP","Sort=A","Dates=H","DateFormat=P","Fill=—","Direction=H","UseDPDF=Y")</f>
        <v>#NAME?</v>
      </c>
      <c r="S570" t="e">
        <f ca="1">_xll.BDH($C$553,"SUSTAIN_GROWTH_RT","FQ2 2017","FQ2 2017","Currency=INR","Period=FQ","BEST_FPERIOD_OVERRIDE=FQ","FILING_STATUS=OR","EQY_CONSOLIDATED=Y","FA_ADJUSTED=GAAP","Sort=A","Dates=H","DateFormat=P","Fill=—","Direction=H","UseDPDF=Y")</f>
        <v>#NAME?</v>
      </c>
      <c r="T570" s="2" t="e">
        <f ca="1">_xll.BDH($C$553,"SALES_GROWTH","FQ2 2017","FQ2 2017","Currency=INR","Period=FQ","BEST_FPERIOD_OVERRIDE=FQ","FILING_STATUS=OR","EQY_CONSOLIDATED=Y","FA_ADJUSTED=GAAP","Sort=A","Dates=H","DateFormat=P","Fill=—","Direction=H","UseDPDF=Y")</f>
        <v>#NAME?</v>
      </c>
      <c r="U570" s="2" t="e">
        <f ca="1">_xll.BDH($C$553,"EBITDA_GROWTH","FQ2 2017","FQ2 2017","Currency=INR","Period=FQ","BEST_FPERIOD_OVERRIDE=FQ","FILING_STATUS=OR","EQY_CONSOLIDATED=Y","FA_ADJUSTED=GAAP","Sort=A","Dates=H","DateFormat=P","Fill=—","Direction=H","UseDPDF=Y")</f>
        <v>#NAME?</v>
      </c>
      <c r="V570" s="2" t="e">
        <f ca="1">_xll.BDH($C$553,"OPER_INC_GROWTH","FQ2 2017","FQ2 2017","Currency=INR","Period=FQ","BEST_FPERIOD_OVERRIDE=FQ","FILING_STATUS=OR","EQY_CONSOLIDATED=Y","FA_ADJUSTED=GAAP","Sort=A","Dates=H","DateFormat=P","Fill=—","Direction=H","UseDPDF=Y")</f>
        <v>#NAME?</v>
      </c>
      <c r="W570" s="2" t="e">
        <f ca="1">_xll.BDH($C$553,"EARN_FOR_COM_GROWTH","FQ2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70" s="2" t="e">
        <f ca="1">_xll.BDH($C$553,"DILUTED_EPS_AFT_XO_ITEMS_GROWTH","FQ2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70" s="2" t="e">
        <f ca="1">_xll.BDH($C$553,"DIVIDEND_PER_SHARE_1_YEAR_GROWTH","FQ2 2017","FQ2 2017","Currency=INR","Period=FQ","BEST_FPERIOD_OVERRIDE=FQ","FILING_STATUS=OR","EQY_CONSOLIDATED=Y","Sort=A","Dates=H","DateFormat=P","Fill=—","Direction=H","UseDPDF=Y")</f>
        <v>#NAME?</v>
      </c>
      <c r="Z570" s="2" t="e">
        <f ca="1">_xll.BDH($C$553,"ACCOUNTS_RECEIVABLE_GROWTH","FQ2 2017","FQ2 2017","Currency=INR","Period=FQ","BEST_FPERIOD_OVERRIDE=FQ","FILING_STATUS=OR","EQY_CONSOLIDATED=Y","Sort=A","Dates=H","DateFormat=P","Fill=—","Direction=H","UseDPDF=Y")</f>
        <v>#NAME?</v>
      </c>
      <c r="AA570" s="2" t="e">
        <f ca="1">_xll.BDH($C$553,"INVENTORY_GROWTH","FQ2 2017","FQ2 2017","Currency=INR","Period=FQ","BEST_FPERIOD_OVERRIDE=FQ","FILING_STATUS=OR","EQY_CONSOLIDATED=Y","Sort=A","Dates=H","DateFormat=P","Fill=—","Direction=H","UseDPDF=Y")</f>
        <v>#NAME?</v>
      </c>
      <c r="AB570" s="2" t="e">
        <f ca="1">_xll.BDH($C$553,"NET_FIXED_ASSETS_1_YEAR_GROWTH","FQ2 2017","FQ2 2017","Currency=INR","Period=FQ","BEST_FPERIOD_OVERRIDE=FQ","FILING_STATUS=OR","EQY_CONSOLIDATED=Y","Sort=A","Dates=H","DateFormat=P","Fill=—","Direction=H","UseDPDF=Y")</f>
        <v>#NAME?</v>
      </c>
      <c r="AC570" s="2" t="e">
        <f ca="1">_xll.BDH($C$553,"ASSET_GROWTH","FQ2 2017","FQ2 2017","Currency=INR","Period=FQ","BEST_FPERIOD_OVERRIDE=FQ","FILING_STATUS=OR","EQY_CONSOLIDATED=Y","Sort=A","Dates=H","DateFormat=P","Fill=—","Direction=H","UseDPDF=Y")</f>
        <v>#NAME?</v>
      </c>
      <c r="AD570" s="2" t="e">
        <f ca="1">_xll.BDH($C$553,"MODIFIED_WORK_CAP_GROWTH","FQ2 2017","FQ2 2017","Currency=INR","Period=FQ","BEST_FPERIOD_OVERRIDE=FQ","FILING_STATUS=OR","EQY_CONSOLIDATED=Y","Sort=A","Dates=H","DateFormat=P","Fill=—","Direction=H","UseDPDF=Y")</f>
        <v>#NAME?</v>
      </c>
      <c r="AE570" s="2" t="e">
        <f ca="1">_xll.BDH($C$553,"WORK_CAP_GROWTH","FQ2 2017","FQ2 2017","Currency=INR","Period=FQ","BEST_FPERIOD_OVERRIDE=FQ","FILING_STATUS=OR","EQY_CONSOLIDATED=Y","Sort=A","Dates=H","DateFormat=P","Fill=—","Direction=H","UseDPDF=Y")</f>
        <v>#NAME?</v>
      </c>
      <c r="AF570" s="2" t="e">
        <f ca="1">_xll.BDH($C$553,"ACCOUNTS_PAYABLE_GROWTH_1YR","FQ2 2017","FQ2 2017","Currency=INR","Period=FQ","BEST_FPERIOD_OVERRIDE=FQ","FILING_STATUS=OR","EQY_CONSOLIDATED=Y","Sort=A","Dates=H","DateFormat=P","Fill=—","Direction=H","UseDPDF=Y")</f>
        <v>#NAME?</v>
      </c>
      <c r="AG570" s="2" t="e">
        <f ca="1">_xll.BDH($C$553,"SHORT_TERM_DEBT_1_YEAR_GROWTH","FQ2 2017","FQ2 2017","Currency=INR","Period=FQ","BEST_FPERIOD_OVERRIDE=FQ","FILING_STATUS=OR","EQY_CONSOLIDATED=Y","Sort=A","Dates=H","DateFormat=P","Fill=—","Direction=H","UseDPDF=Y")</f>
        <v>#NAME?</v>
      </c>
      <c r="AH570" s="2" t="e">
        <f ca="1">_xll.BDH($C$553,"TOTAL_DEBT_1_YEAR_GROWTH","FQ2 2017","FQ2 2017","Currency=INR","Period=FQ","BEST_FPERIOD_OVERRIDE=FQ","FILING_STATUS=OR","EQY_CONSOLIDATED=Y","Sort=A","Dates=H","DateFormat=P","Fill=—","Direction=H","UseDPDF=Y")</f>
        <v>#NAME?</v>
      </c>
      <c r="AI570" s="2" t="e">
        <f ca="1">_xll.BDH($C$553,"TOTAL_EQUITY_1_YEAR_GROWTH","FQ2 2017","FQ2 2017","Currency=INR","Period=FQ","BEST_FPERIOD_OVERRIDE=FQ","FILING_STATUS=OR","EQY_CONSOLIDATED=Y","Sort=A","Dates=H","DateFormat=P","Fill=—","Direction=H","UseDPDF=Y")</f>
        <v>#NAME?</v>
      </c>
      <c r="AJ570" s="2" t="e">
        <f ca="1">_xll.BDH($C$553,"GROWTH_IN_CAP","FQ2 2017","FQ2 2017","Currency=INR","Period=FQ","BEST_FPERIOD_OVERRIDE=FQ","FILING_STATUS=OR","EQY_CONSOLIDATED=Y","Sort=A","Dates=H","DateFormat=P","Fill=—","Direction=H","UseDPDF=Y")</f>
        <v>#NAME?</v>
      </c>
      <c r="AK570" s="2" t="e">
        <f ca="1">_xll.BDH($C$553,"BVPS_GROWTH","FQ2 2017","FQ2 2017","Currency=INR","Period=FQ","BEST_FPERIOD_OVERRIDE=FQ","FILING_STATUS=OR","EQY_CONSOLIDATED=Y","Sort=A","Dates=H","DateFormat=P","Fill=—","Direction=H","UseDPDF=Y")</f>
        <v>#NAME?</v>
      </c>
      <c r="AL570" s="2" t="e">
        <f ca="1">_xll.BDH($C$553,"CASH_FLOW_GROWTH","FQ2 2017","FQ2 2017","Currency=INR","Period=FQ","BEST_FPERIOD_OVERRIDE=FQ","FILING_STATUS=OR","EQY_CONSOLIDATED=Y","Sort=A","Dates=H","DateFormat=P","Fill=—","Direction=H","UseDPDF=Y")</f>
        <v>#NAME?</v>
      </c>
      <c r="AM570" s="2" t="e">
        <f ca="1">_xll.BDH($C$553,"GEO_GROW_NET_SALES","FQ2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70" s="2" t="e">
        <f ca="1">_xll.BDH($C$553,"GEO_GROW_EBITDA","FQ2 2017","FQ2 2017","Currency=INR","Period=FQ","BEST_FPERIOD_OVERRIDE=FQ","FILING_STATUS=OR","EQY_CONSOLIDATED=Y","FA_ADJUSTED=GAAP","Sort=A","Dates=H","DateFormat=P","Fill=—","Direction=H","UseDPDF=Y")</f>
        <v>#NAME?</v>
      </c>
      <c r="AO570" s="2" t="e">
        <f ca="1">_xll.BDH($C$553,"GEO_GROW_OPER_INC","FQ2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70" s="2" t="e">
        <f ca="1">_xll.BDH($C$553,"NET_INCOME_TO_COMMON_5_YR_GROWTH","FQ2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70" s="2" t="e">
        <f ca="1">_xll.BDH($C$553,"5Y_GEO_GROWTH_DILUTED_EPS","FQ2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70" s="2" t="e">
        <f ca="1">_xll.BDH($C$553,"GEO_GROW_DVD_PER_SH","FQ2 2017","FQ2 2017","Currency=INR","Period=FQ","BEST_FPERIOD_OVERRIDE=FQ","FILING_STATUS=OR","EQY_CONSOLIDATED=Y","Sort=A","Dates=H","DateFormat=P","Fill=—","Direction=H","UseDPDF=Y")</f>
        <v>#NAME?</v>
      </c>
      <c r="AS570" s="2" t="e">
        <f ca="1">_xll.BDH($C$553,"ACCOUNTS_RECEIVABLE_5_YR_GROWTH","FQ2 2017","FQ2 2017","Currency=INR","Period=FQ","BEST_FPERIOD_OVERRIDE=FQ","FILING_STATUS=OR","EQY_CONSOLIDATED=Y","Sort=A","Dates=H","DateFormat=P","Fill=—","Direction=H","UseDPDF=Y")</f>
        <v>#NAME?</v>
      </c>
      <c r="AT570" s="2" t="e">
        <f ca="1">_xll.BDH($C$553,"INVENTORY_5_YEAR_GROWTH","FQ2 2017","FQ2 2017","Currency=INR","Period=FQ","BEST_FPERIOD_OVERRIDE=FQ","FILING_STATUS=OR","EQY_CONSOLIDATED=Y","Sort=A","Dates=H","DateFormat=P","Fill=—","Direction=H","UseDPDF=Y")</f>
        <v>#NAME?</v>
      </c>
      <c r="AU570" s="2" t="e">
        <f ca="1">_xll.BDH($C$553,"NET_FIXED_ASSETS_5_YEAR_GROWTH","FQ2 2017","FQ2 2017","Currency=INR","Period=FQ","BEST_FPERIOD_OVERRIDE=FQ","FILING_STATUS=OR","EQY_CONSOLIDATED=Y","Sort=A","Dates=H","DateFormat=P","Fill=—","Direction=H","UseDPDF=Y")</f>
        <v>#NAME?</v>
      </c>
      <c r="AV570" s="2" t="e">
        <f ca="1">_xll.BDH($C$553,"GEO_GROW_TOT_ASSET","FQ2 2017","FQ2 2017","Currency=INR","Period=FQ","BEST_FPERIOD_OVERRIDE=FQ","FILING_STATUS=OR","EQY_CONSOLIDATED=Y","Sort=A","Dates=H","DateFormat=P","Fill=—","Direction=H","UseDPDF=Y")</f>
        <v>#NAME?</v>
      </c>
      <c r="AW570" s="2" t="e">
        <f ca="1">_xll.BDH($C$553,"MODIFIED_WORKING_CPTL_5YR_GRWTH","FQ2 2017","FQ2 2017","Currency=INR","Period=FQ","BEST_FPERIOD_OVERRIDE=FQ","FILING_STATUS=OR","EQY_CONSOLIDATED=Y","Sort=A","Dates=H","DateFormat=P","Fill=—","Direction=H","UseDPDF=Y")</f>
        <v>#NAME?</v>
      </c>
      <c r="AX570" s="2" t="e">
        <f ca="1">_xll.BDH($C$553,"WORKING_CAPITAL_5_YEAR_GROWTH","FQ2 2017","FQ2 2017","Currency=INR","Period=FQ","BEST_FPERIOD_OVERRIDE=FQ","FILING_STATUS=OR","EQY_CONSOLIDATED=Y","Sort=A","Dates=H","DateFormat=P","Fill=—","Direction=H","UseDPDF=Y")</f>
        <v>#NAME?</v>
      </c>
      <c r="AY570" s="2" t="e">
        <f ca="1">_xll.BDH($C$553,"ACCOUNTS_PAYABLE_5_YEAR_GROWTH","FQ2 2017","FQ2 2017","Currency=INR","Period=FQ","BEST_FPERIOD_OVERRIDE=FQ","FILING_STATUS=OR","EQY_CONSOLIDATED=Y","Sort=A","Dates=H","DateFormat=P","Fill=—","Direction=H","UseDPDF=Y")</f>
        <v>#NAME?</v>
      </c>
      <c r="AZ570" s="2" t="e">
        <f ca="1">_xll.BDH($C$553,"SHORT_TERM_DEBT_5_YEAR_GROWTH","FQ2 2017","FQ2 2017","Currency=INR","Period=FQ","BEST_FPERIOD_OVERRIDE=FQ","FILING_STATUS=OR","EQY_CONSOLIDATED=Y","Sort=A","Dates=H","DateFormat=P","Fill=—","Direction=H","UseDPDF=Y")</f>
        <v>#NAME?</v>
      </c>
      <c r="BA570" s="2" t="e">
        <f ca="1">_xll.BDH($C$553,"TOTAL_DEBT_5_YEAR_GROWTH","FQ2 2017","FQ2 2017","Currency=INR","Period=FQ","BEST_FPERIOD_OVERRIDE=FQ","FILING_STATUS=OR","EQY_CONSOLIDATED=Y","Sort=A","Dates=H","DateFormat=P","Fill=—","Direction=H","UseDPDF=Y")</f>
        <v>#NAME?</v>
      </c>
      <c r="BB570" s="2" t="e">
        <f ca="1">_xll.BDH($C$553,"GEO_GROW_TOT_SHRHLDR_EQY","FQ2 2017","FQ2 2017","Currency=INR","Period=FQ","BEST_FPERIOD_OVERRIDE=FQ","FILING_STATUS=OR","EQY_CONSOLIDATED=Y","Sort=A","Dates=H","DateFormat=P","Fill=—","Direction=H","UseDPDF=Y")</f>
        <v>#NAME?</v>
      </c>
      <c r="BC570" s="2" t="e">
        <f ca="1">_xll.BDH($C$553,"TOTAL_CAPITAL_5_YEAR_GROWTH","FQ2 2017","FQ2 2017","Currency=INR","Period=FQ","BEST_FPERIOD_OVERRIDE=FQ","FILING_STATUS=OR","EQY_CONSOLIDATED=Y","Sort=A","Dates=H","DateFormat=P","Fill=—","Direction=H","UseDPDF=Y")</f>
        <v>#NAME?</v>
      </c>
      <c r="BD570" s="2" t="e">
        <f ca="1">_xll.BDH($C$553,"GEO_GROW_BOOK_VAL","FQ2 2017","FQ2 2017","Currency=INR","Period=FQ","BEST_FPERIOD_OVERRIDE=FQ","FILING_STATUS=OR","EQY_CONSOLIDATED=Y","Sort=A","Dates=H","DateFormat=P","Fill=—","Direction=H","UseDPDF=Y")</f>
        <v>#NAME?</v>
      </c>
      <c r="BE570" s="2" t="e">
        <f ca="1">_xll.BDH($C$553,"GEO_GROW_CASH_OPER_ACT","FQ2 2017","FQ2 2017","Currency=INR","Period=FQ","BEST_FPERIOD_OVERRIDE=FQ","FILING_STATUS=OR","EQY_CONSOLIDATED=Y","Sort=A","Dates=H","DateFormat=P","Fill=—","Direction=H","UseDPDF=Y")</f>
        <v>#NAME?</v>
      </c>
      <c r="BF570" s="2" t="e">
        <f ca="1">_xll.BDH($C$553,"REVENUE_SEQUENTIAL_GROWTH","FQ2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70" s="2" t="e">
        <f ca="1">_xll.BDH($C$553,"EBITDA_SEQUENTIAL_GROWTH","FQ2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70" s="2" t="e">
        <f ca="1">_xll.BDH($C$553,"OPERATING_INCOME_SEQ_GROWTH","FQ2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70" s="2" t="e">
        <f ca="1">_xll.BDH($C$553,"NET_INCOME_TO_COMMON_SEQ_GROWTH","FQ2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70" s="2" t="e">
        <f ca="1">_xll.BDH($C$553,"EPS_DILUTED_SEQUENTIAL_GROWTH","FQ2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70" s="2" t="e">
        <f ca="1">_xll.BDH($C$553,"DPS_SEQUENTIAL_GROWTH","FQ2 2017","FQ2 2017","Currency=INR","Period=FQ","BEST_FPERIOD_OVERRIDE=FQ","FILING_STATUS=OR","EQY_CONSOLIDATED=Y","Sort=A","Dates=H","DateFormat=P","Fill=—","Direction=H","UseDPDF=Y")</f>
        <v>#NAME?</v>
      </c>
      <c r="BL570" s="2" t="e">
        <f ca="1">_xll.BDH($C$553,"ACCOUNTS_RECEIVABLE_SEQ_GROWTH","FQ2 2017","FQ2 2017","Currency=INR","Period=FQ","BEST_FPERIOD_OVERRIDE=FQ","FILING_STATUS=OR","EQY_CONSOLIDATED=Y","Sort=A","Dates=H","DateFormat=P","Fill=—","Direction=H","UseDPDF=Y")</f>
        <v>#NAME?</v>
      </c>
      <c r="BM570" s="2" t="e">
        <f ca="1">_xll.BDH($C$553,"INVENTORY_SEQUENTIAL_GROWTH","FQ2 2017","FQ2 2017","Currency=INR","Period=FQ","BEST_FPERIOD_OVERRIDE=FQ","FILING_STATUS=OR","EQY_CONSOLIDATED=Y","Sort=A","Dates=H","DateFormat=P","Fill=—","Direction=H","UseDPDF=Y")</f>
        <v>#NAME?</v>
      </c>
      <c r="BN570" s="2" t="e">
        <f ca="1">_xll.BDH($C$553,"FIXED_ASSETS_SEQUENTIAL_GROWTH","FQ2 2017","FQ2 2017","Currency=INR","Period=FQ","BEST_FPERIOD_OVERRIDE=FQ","FILING_STATUS=OR","EQY_CONSOLIDATED=Y","Sort=A","Dates=H","DateFormat=P","Fill=—","Direction=H","UseDPDF=Y")</f>
        <v>#NAME?</v>
      </c>
      <c r="BO570" s="2" t="e">
        <f ca="1">_xll.BDH($C$553,"TOTAL_ASSETS_SEQUENTIAL_GROWTH","FQ2 2017","FQ2 2017","Currency=INR","Period=FQ","BEST_FPERIOD_OVERRIDE=FQ","FILING_STATUS=OR","EQY_CONSOLIDATED=Y","Sort=A","Dates=H","DateFormat=P","Fill=—","Direction=H","UseDPDF=Y")</f>
        <v>#NAME?</v>
      </c>
      <c r="BP570" s="2" t="e">
        <f ca="1">_xll.BDH($C$553,"MODIFIED_WORKING_CPTL_SEQ_GRWTH","FQ2 2017","FQ2 2017","Currency=INR","Period=FQ","BEST_FPERIOD_OVERRIDE=FQ","FILING_STATUS=OR","EQY_CONSOLIDATED=Y","Sort=A","Dates=H","DateFormat=P","Fill=—","Direction=H","UseDPDF=Y")</f>
        <v>#NAME?</v>
      </c>
      <c r="BQ570" s="2" t="e">
        <f ca="1">_xll.BDH($C$553,"WORKING_CAPITAL_SEQ_GROWTH","FQ2 2017","FQ2 2017","Currency=INR","Period=FQ","BEST_FPERIOD_OVERRIDE=FQ","FILING_STATUS=OR","EQY_CONSOLIDATED=Y","Sort=A","Dates=H","DateFormat=P","Fill=—","Direction=H","UseDPDF=Y")</f>
        <v>#NAME?</v>
      </c>
      <c r="BR570" s="2" t="e">
        <f ca="1">_xll.BDH($C$553,"ACCOUNTS_PAYABLE_SEQ_GROWTH","FQ2 2017","FQ2 2017","Currency=INR","Period=FQ","BEST_FPERIOD_OVERRIDE=FQ","FILING_STATUS=OR","EQY_CONSOLIDATED=Y","Sort=A","Dates=H","DateFormat=P","Fill=—","Direction=H","UseDPDF=Y")</f>
        <v>#NAME?</v>
      </c>
      <c r="BS570" s="2" t="e">
        <f ca="1">_xll.BDH($C$553,"ST_DEBT_SEQUENTIAL_GROWTH","FQ2 2017","FQ2 2017","Currency=INR","Period=FQ","BEST_FPERIOD_OVERRIDE=FQ","FILING_STATUS=OR","EQY_CONSOLIDATED=Y","Sort=A","Dates=H","DateFormat=P","Fill=—","Direction=H","UseDPDF=Y")</f>
        <v>#NAME?</v>
      </c>
      <c r="BT570" s="2" t="e">
        <f ca="1">_xll.BDH($C$553,"TOTAL_DEBT_SEQUENTIAL_GROWTH","FQ2 2017","FQ2 2017","Currency=INR","Period=FQ","BEST_FPERIOD_OVERRIDE=FQ","FILING_STATUS=OR","EQY_CONSOLIDATED=Y","Sort=A","Dates=H","DateFormat=P","Fill=—","Direction=H","UseDPDF=Y")</f>
        <v>#NAME?</v>
      </c>
      <c r="BU570" s="2" t="e">
        <f ca="1">_xll.BDH($C$553,"TOTAL_EQUITY_SEQUENTIAL_GROWTH","FQ2 2017","FQ2 2017","Currency=INR","Period=FQ","BEST_FPERIOD_OVERRIDE=FQ","FILING_STATUS=OR","EQY_CONSOLIDATED=Y","Sort=A","Dates=H","DateFormat=P","Fill=—","Direction=H","UseDPDF=Y")</f>
        <v>#NAME?</v>
      </c>
      <c r="BV570" s="2" t="e">
        <f ca="1">_xll.BDH($C$553,"TOTAL_CAPITAL_SEQUENTIAL_GROWTH","FQ2 2017","FQ2 2017","Currency=INR","Period=FQ","BEST_FPERIOD_OVERRIDE=FQ","FILING_STATUS=OR","EQY_CONSOLIDATED=Y","Sort=A","Dates=H","DateFormat=P","Fill=—","Direction=H","UseDPDF=Y")</f>
        <v>#NAME?</v>
      </c>
      <c r="BW570" s="2" t="e">
        <f ca="1">_xll.BDH($C$553,"BPS_SEQUENTIAL_GROWTH","FQ2 2017","FQ2 2017","Currency=INR","Period=FQ","BEST_FPERIOD_OVERRIDE=FQ","FILING_STATUS=OR","EQY_CONSOLIDATED=Y","Sort=A","Dates=H","DateFormat=P","Fill=—","Direction=H","UseDPDF=Y")</f>
        <v>#NAME?</v>
      </c>
      <c r="BX570" s="2" t="e">
        <f ca="1">_xll.BDH($C$553,"CFO_SEQUENTIAL_GROWTH","FQ2 2017","FQ2 2017","Currency=INR","Period=FQ","BEST_FPERIOD_OVERRIDE=FQ","FILING_STATUS=OR","EQY_CONSOLIDATED=Y","Sort=A","Dates=H","DateFormat=P","Fill=—","Direction=H","UseDPDF=Y")</f>
        <v>#NAME?</v>
      </c>
      <c r="BY570" s="3" t="e">
        <f ca="1">_xll.BDH($C$553,"SHORT_AND_LONG_TERM_DEBT","FQ2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70" s="3" t="e">
        <f ca="1">_xll.BDH($C$553,"BS_ST_BORROW","FQ2 2017","FQ2 2017","Currency=INR","Period=FQ","BEST_FPERIOD_OVERRIDE=FQ","FILING_STATUS=OR","EQY_CONSOLIDATED=Y","SCALING_FORMAT=MLN","Sort=A","Dates=H","DateFormat=P","Fill=—","Direction=H","UseDPDF=Y")</f>
        <v>#NAME?</v>
      </c>
      <c r="CA570" s="3" t="e">
        <f ca="1">_xll.BDH($C$553,"BS_LT_BORROW","FQ2 2017","FQ2 2017","Currency=INR","Period=FQ","BEST_FPERIOD_OVERRIDE=FQ","FILING_STATUS=OR","EQY_CONSOLIDATED=Y","SCALING_FORMAT=MLN","Sort=A","Dates=H","DateFormat=P","Fill=—","Direction=H","UseDPDF=Y")</f>
        <v>#NAME?</v>
      </c>
      <c r="CB570" s="2" t="e">
        <f ca="1">_xll.BDH($C$553,"TOT_DEBT_TO_EBITDA","FQ2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70" s="2" t="e">
        <f ca="1">_xll.BDH($C$553,"NET_DEBT_TO_EBITDA","FQ2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70" s="2" t="e">
        <f ca="1">_xll.BDH($C$553,"TOTAL_DEBT_TO_EBIT","FQ2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70" s="2" t="e">
        <f ca="1">_xll.BDH($C$553,"NET_DEBT_TO_EBIT","FQ2 2017","FQ2 2017","Currency=INR","Period=FQ","BEST_FPERIOD_OVERRIDE=FQ","FILING_STATUS=OR","EQY_CONSOLIDATED=Y","FA_ADJUSTED=GAAP","Sort=A","Dates=H","DateFormat=P","Fill=—","Direction=H","UseDPDF=Y")</f>
        <v>#NAME?</v>
      </c>
      <c r="CF570" s="2" t="e">
        <f ca="1">_xll.BDH($C$553,"EBITDA_TO_INTEREST_EXPN","FQ2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70" s="2" t="e">
        <f ca="1">_xll.BDH($C$553,"COM_EQY_TO_TOT_ASSET","FQ2 2017","FQ2 2017","Currency=INR","Period=FQ","BEST_FPERIOD_OVERRIDE=FQ","FILING_STATUS=OR","EQY_CONSOLIDATED=Y","Sort=A","Dates=H","DateFormat=P","Fill=—","Direction=H","UseDPDF=Y")</f>
        <v>#NAME?</v>
      </c>
      <c r="CH570" s="2" t="e">
        <f ca="1">_xll.BDH($C$553,"LT_DEBT_TO_TOT_EQY","FQ2 2017","FQ2 2017","Currency=INR","Period=FQ","BEST_FPERIOD_OVERRIDE=FQ","FILING_STATUS=OR","EQY_CONSOLIDATED=Y","Sort=A","Dates=H","DateFormat=P","Fill=—","Direction=H","UseDPDF=Y")</f>
        <v>#NAME?</v>
      </c>
      <c r="CI570" s="2" t="e">
        <f ca="1">_xll.BDH($C$553,"LT_DEBT_TO_TOT_CAP","FQ2 2017","FQ2 2017","Currency=INR","Period=FQ","BEST_FPERIOD_OVERRIDE=FQ","FILING_STATUS=OR","EQY_CONSOLIDATED=Y","Sort=A","Dates=H","DateFormat=P","Fill=—","Direction=H","UseDPDF=Y")</f>
        <v>#NAME?</v>
      </c>
      <c r="CJ570" s="2" t="e">
        <f ca="1">_xll.BDH($C$553,"LT_DEBT_TO_TOT_ASSET","FQ2 2017","FQ2 2017","Currency=INR","Period=FQ","BEST_FPERIOD_OVERRIDE=FQ","FILING_STATUS=OR","EQY_CONSOLIDATED=Y","Sort=A","Dates=H","DateFormat=P","Fill=—","Direction=H","UseDPDF=Y")</f>
        <v>#NAME?</v>
      </c>
      <c r="CK570" s="2" t="e">
        <f ca="1">_xll.BDH($C$553,"TOT_DEBT_TO_TOT_EQY","FQ2 2017","FQ2 2017","Currency=INR","Period=FQ","BEST_FPERIOD_OVERRIDE=FQ","FILING_STATUS=OR","EQY_CONSOLIDATED=Y","Sort=A","Dates=H","DateFormat=P","Fill=—","Direction=H","UseDPDF=Y")</f>
        <v>#NAME?</v>
      </c>
      <c r="CL570" s="2" t="e">
        <f ca="1">_xll.BDH($C$553,"TOT_DEBT_TO_TOT_CAP","FQ2 2017","FQ2 2017","Currency=INR","Period=FQ","BEST_FPERIOD_OVERRIDE=FQ","FILING_STATUS=OR","EQY_CONSOLIDATED=Y","Sort=A","Dates=H","DateFormat=P","Fill=—","Direction=H","UseDPDF=Y")</f>
        <v>#NAME?</v>
      </c>
      <c r="CM570" s="2" t="e">
        <f ca="1">_xll.BDH($C$553,"TOT_DEBT_TO_TOT_ASSET","FQ2 2017","FQ2 2017","Currency=INR","Period=FQ","BEST_FPERIOD_OVERRIDE=FQ","FILING_STATUS=OR","EQY_CONSOLIDATED=Y","Sort=A","Dates=H","DateFormat=P","Fill=—","Direction=H","UseDPDF=Y")</f>
        <v>#NAME?</v>
      </c>
      <c r="CN570" s="2" t="e">
        <f ca="1">_xll.BDH($C$553,"NET_DEBT_TO_SHRHLDR_EQTY","FQ2 2017","FQ2 2017","Currency=INR","Period=FQ","BEST_FPERIOD_OVERRIDE=FQ","FILING_STATUS=OR","EQY_CONSOLIDATED=Y","Sort=A","Dates=H","DateFormat=P","Fill=—","Direction=H","UseDPDF=Y")</f>
        <v>#NAME?</v>
      </c>
      <c r="CO570" s="2" t="e">
        <f ca="1">_xll.BDH($C$553,"NET_DEBT_%_CAPITAL","FQ2 2017","FQ2 2017","Currency=INR","Period=FQ","BEST_FPERIOD_OVERRIDE=FQ","FILING_STATUS=OR","EQY_CONSOLIDATED=Y","Sort=A","Dates=H","DateFormat=P","Fill=—","Direction=H","UseDPDF=Y")</f>
        <v>#NAME?</v>
      </c>
      <c r="CP570" s="3" t="e">
        <f ca="1">_xll.BDH($C$553,"EBITDA","FQ2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70" s="3" t="e">
        <f ca="1">_xll.BDH($C$553,"EBITDA_AFTER_CAPEX","FQ2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70" s="3" t="e">
        <f ca="1">_xll.BDH($C$553,"IS_OPER_INC","FQ2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70" s="2" t="e">
        <f ca="1">_xll.BDH($C$553,"CASH_RATIO","FQ2 2017","FQ2 2017","Currency=INR","Period=FQ","BEST_FPERIOD_OVERRIDE=FQ","FILING_STATUS=OR","EQY_CONSOLIDATED=Y","Sort=A","Dates=H","DateFormat=P","Fill=—","Direction=H","UseDPDF=Y")</f>
        <v>#NAME?</v>
      </c>
      <c r="CT570" s="2" t="e">
        <f ca="1">_xll.BDH($C$553,"CUR_RATIO","FQ2 2017","FQ2 2017","Currency=INR","Period=FQ","BEST_FPERIOD_OVERRIDE=FQ","FILING_STATUS=OR","EQY_CONSOLIDATED=Y","Sort=A","Dates=H","DateFormat=P","Fill=—","Direction=H","UseDPDF=Y")</f>
        <v>#NAME?</v>
      </c>
      <c r="CU570" s="2" t="e">
        <f ca="1">_xll.BDH($C$553,"QUICK_RATIO","FQ2 2017","FQ2 2017","Currency=INR","Period=FQ","BEST_FPERIOD_OVERRIDE=FQ","FILING_STATUS=OR","EQY_CONSOLIDATED=Y","Sort=A","Dates=H","DateFormat=P","Fill=—","Direction=H","UseDPDF=Y")</f>
        <v>#NAME?</v>
      </c>
      <c r="CV570" s="2" t="e">
        <f ca="1">_xll.BDH($C$553,"ALTMAN_Z_SCORE","FQ2 2017","FQ2 2017","Currency=INR","Period=FQ","BEST_FPERIOD_OVERRIDE=FQ","FILING_STATUS=OR","EQY_CONSOLIDATED=Y","Sort=A","Dates=H","DateFormat=P","Fill=—","Direction=H","UseDPDF=Y")</f>
        <v>#NAME?</v>
      </c>
      <c r="CW570" s="4" t="e">
        <f ca="1">_xll.BDH($C$553,"ACCT_RCV_TURN","FQ2 2017","FQ2 2017","Currency=INR","Period=FQ","BEST_FPERIOD_OVERRIDE=FQ","FILING_STATUS=OR","EQY_CONSOLIDATED=Y","FA_ADJUSTED=GAAP","Sort=A","Dates=H","DateFormat=P","Fill=—","Direction=H","UseDPDF=Y")</f>
        <v>#NAME?</v>
      </c>
      <c r="CX570" s="2" t="e">
        <f ca="1">_xll.BDH($C$553,"ACCT_RCV_DAYS","FQ2 2017","FQ2 2017","Currency=INR","Period=FQ","BEST_FPERIOD_OVERRIDE=FQ","FILING_STATUS=OR","EQY_CONSOLIDATED=Y","FA_ADJUSTED=GAAP","Sort=A","Dates=H","DateFormat=P","Fill=—","Direction=H","UseDPDF=Y")</f>
        <v>#NAME?</v>
      </c>
      <c r="CY570" s="4" t="e">
        <f ca="1">_xll.BDH($C$553,"INVENT_TURN","FQ2 2017","FQ2 2017","Currency=INR","Period=FQ","BEST_FPERIOD_OVERRIDE=FQ","FILING_STATUS=OR","EQY_CONSOLIDATED=Y","FA_ADJUSTED=GAAP","Sort=A","Dates=H","DateFormat=P","Fill=—","Direction=H","UseDPDF=Y")</f>
        <v>#NAME?</v>
      </c>
      <c r="CZ570" s="2" t="e">
        <f ca="1">_xll.BDH($C$553,"INVENT_DAYS","FQ2 2017","FQ2 2017","Currency=INR","Period=FQ","BEST_FPERIOD_OVERRIDE=FQ","FILING_STATUS=OR","EQY_CONSOLIDATED=Y","FA_ADJUSTED=GAAP","Sort=A","Dates=H","DateFormat=P","Fill=—","Direction=H","UseDPDF=Y")</f>
        <v>#NAME?</v>
      </c>
      <c r="DA570" s="4" t="e">
        <f ca="1">_xll.BDH($C$553,"ACCOUNTS_PAYABLE_TURNOVER","FQ2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70" s="2" t="e">
        <f ca="1">_xll.BDH($C$553,"ACCOUNTS_PAYABLE_TURNOVER_DAYS","FQ2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70" s="4" t="e">
        <f ca="1">_xll.BDH($C$553,"CASH_CONVERSION_CYCLE","FQ2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70" s="4" t="e">
        <f ca="1">_xll.BDH($C$553,"INV_TO_CASH_DAYS","FQ2 2017","FQ2 2017","Currency=INR","Period=FQ","BEST_FPERIOD_OVERRIDE=FQ","FILING_STATUS=OR","EQY_CONSOLIDATED=Y","FA_ADJUSTED=GAAP","Sort=A","Dates=H","DateFormat=P","Fill=—","Direction=H","UseDPDF=Y")</f>
        <v>#NAME?</v>
      </c>
      <c r="DE570" s="5" t="e">
        <f ca="1">_xll.BDH($C$553,"BS_INVENTORIES","FQ2 2017","FQ2 2017","Currency=INR","Period=FQ","BEST_FPERIOD_OVERRIDE=FQ","FILING_STATUS=OR","EQY_CONSOLIDATED=Y","SCALING_FORMAT=MLN","Sort=A","Dates=H","DateFormat=P","Fill=—","Direction=H","UseDPDF=Y")</f>
        <v>#NAME?</v>
      </c>
      <c r="DF570" s="3" t="e">
        <f ca="1">_xll.BDH($C$553,"INVTRY_RAW_MATERIALS","FQ2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70" s="3" t="e">
        <f ca="1">_xll.BDH($C$553,"INVTRY_IN_PROGRESS","FQ2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70" s="3" t="e">
        <f ca="1">_xll.BDH($C$553,"INVTRY_FINISHED_GOODS","FQ2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70" s="3" t="e">
        <f ca="1">_xll.BDH($C$553,"BS_OTHER_INV","FQ2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71" spans="1:113" x14ac:dyDescent="0.3">
      <c r="A571" s="6"/>
      <c r="B571" s="6"/>
      <c r="C571" s="6"/>
      <c r="D571" s="6"/>
      <c r="E571" t="s">
        <v>80</v>
      </c>
      <c r="F571" t="e">
        <f ca="1">_xll.BDH($C$553,"RETURN_COM_EQY","FQ3 2017","FQ3 2017","Currency=INR","Period=FQ","BEST_FPERIOD_OVERRIDE=FQ","FILING_STATUS=OR","EQY_CONSOLIDATED=Y","FA_ADJUSTED=GAAP","Sort=A","Dates=H","DateFormat=P","Fill=—","Direction=H","UseDPDF=Y")</f>
        <v>#NAME?</v>
      </c>
      <c r="G571" t="e">
        <f ca="1">_xll.BDH($C$553,"RETURN_ON_ASSET","FQ3 2017","FQ3 2017","Currency=INR","Period=FQ","BEST_FPERIOD_OVERRIDE=FQ","FILING_STATUS=OR","EQY_CONSOLIDATED=Y","FA_ADJUSTED=GAAP","Sort=A","Dates=H","DateFormat=P","Fill=—","Direction=H","UseDPDF=Y")</f>
        <v>#NAME?</v>
      </c>
      <c r="H571" t="e">
        <f ca="1">_xll.BDH($C$553,"RETURN_ON_CAP","FQ3 2017","FQ3 2017","Currency=INR","Period=FQ","BEST_FPERIOD_OVERRIDE=FQ","FILING_STATUS=OR","EQY_CONSOLIDATED=Y","FA_ADJUSTED=GAAP","Sort=A","Dates=H","DateFormat=P","Fill=—","Direction=H","UseDPDF=Y")</f>
        <v>#NAME?</v>
      </c>
      <c r="I571" t="e">
        <f ca="1">_xll.BDH($C$553,"RETURN_ON_INV_CAPITAL","FQ3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71" t="e">
        <f ca="1">_xll.BDH($C$553,"EBITDA_TO_REVENUE","FQ3 2017","FQ3 2017","Currency=INR","Period=FQ","BEST_FPERIOD_OVERRIDE=FQ","FILING_STATUS=OR","EQY_CONSOLIDATED=Y","FA_ADJUSTED=GAAP","Sort=A","Dates=H","DateFormat=P","Fill=—","Direction=H","UseDPDF=Y")</f>
        <v>#NAME?</v>
      </c>
      <c r="K571" t="e">
        <f ca="1">_xll.BDH($C$553,"OPER_MARGIN","FQ3 2017","FQ3 2017","Currency=INR","Period=FQ","BEST_FPERIOD_OVERRIDE=FQ","FILING_STATUS=OR","EQY_CONSOLIDATED=Y","FA_ADJUSTED=GAAP","Sort=A","Dates=H","DateFormat=P","Fill=—","Direction=H","UseDPDF=Y")</f>
        <v>#NAME?</v>
      </c>
      <c r="L571" t="e">
        <f ca="1">_xll.BDH($C$553,"INCREMENTAL_OPERATING_MARGIN","FQ3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71" t="e">
        <f ca="1">_xll.BDH($C$553,"PRETAX_INC_TO_NET_SALES","FQ3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71" t="e">
        <f ca="1">_xll.BDH($C$553,"INC_BEF_XO_ITEMS_TO_NET_SALES","FQ3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71" t="e">
        <f ca="1">_xll.BDH($C$553,"PROF_MARGIN","FQ3 2017","FQ3 2017","Currency=INR","Period=FQ","BEST_FPERIOD_OVERRIDE=FQ","FILING_STATUS=OR","EQY_CONSOLIDATED=Y","FA_ADJUSTED=GAAP","Sort=A","Dates=H","DateFormat=P","Fill=—","Direction=H","UseDPDF=Y")</f>
        <v>#NAME?</v>
      </c>
      <c r="P571" t="e">
        <f ca="1">_xll.BDH($C$553,"NET_INCOME_TO_COMMON_MARGIN","FQ3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71" t="e">
        <f ca="1">_xll.BDH($C$553,"EFF_TAX_RATE","FQ3 2017","FQ3 2017","Currency=INR","Period=FQ","BEST_FPERIOD_OVERRIDE=FQ","FILING_STATUS=OR","EQY_CONSOLIDATED=Y","FA_ADJUSTED=GAAP","Sort=A","Dates=H","DateFormat=P","Fill=—","Direction=H","UseDPDF=Y")</f>
        <v>#NAME?</v>
      </c>
      <c r="R571" t="e">
        <f ca="1">_xll.BDH($C$553,"DVD_PAYOUT_RATIO","FQ3 2017","FQ3 2017","Currency=INR","Period=FQ","BEST_FPERIOD_OVERRIDE=FQ","FILING_STATUS=OR","EQY_CONSOLIDATED=Y","FA_ADJUSTED=GAAP","Sort=A","Dates=H","DateFormat=P","Fill=—","Direction=H","UseDPDF=Y")</f>
        <v>#NAME?</v>
      </c>
      <c r="S571" t="e">
        <f ca="1">_xll.BDH($C$553,"SUSTAIN_GROWTH_RT","FQ3 2017","FQ3 2017","Currency=INR","Period=FQ","BEST_FPERIOD_OVERRIDE=FQ","FILING_STATUS=OR","EQY_CONSOLIDATED=Y","FA_ADJUSTED=GAAP","Sort=A","Dates=H","DateFormat=P","Fill=—","Direction=H","UseDPDF=Y")</f>
        <v>#NAME?</v>
      </c>
      <c r="T571" s="2" t="e">
        <f ca="1">_xll.BDH($C$553,"SALES_GROWTH","FQ3 2017","FQ3 2017","Currency=INR","Period=FQ","BEST_FPERIOD_OVERRIDE=FQ","FILING_STATUS=OR","EQY_CONSOLIDATED=Y","FA_ADJUSTED=GAAP","Sort=A","Dates=H","DateFormat=P","Fill=—","Direction=H","UseDPDF=Y")</f>
        <v>#NAME?</v>
      </c>
      <c r="U571" s="2" t="e">
        <f ca="1">_xll.BDH($C$553,"EBITDA_GROWTH","FQ3 2017","FQ3 2017","Currency=INR","Period=FQ","BEST_FPERIOD_OVERRIDE=FQ","FILING_STATUS=OR","EQY_CONSOLIDATED=Y","FA_ADJUSTED=GAAP","Sort=A","Dates=H","DateFormat=P","Fill=—","Direction=H","UseDPDF=Y")</f>
        <v>#NAME?</v>
      </c>
      <c r="V571" s="2" t="e">
        <f ca="1">_xll.BDH($C$553,"OPER_INC_GROWTH","FQ3 2017","FQ3 2017","Currency=INR","Period=FQ","BEST_FPERIOD_OVERRIDE=FQ","FILING_STATUS=OR","EQY_CONSOLIDATED=Y","FA_ADJUSTED=GAAP","Sort=A","Dates=H","DateFormat=P","Fill=—","Direction=H","UseDPDF=Y")</f>
        <v>#NAME?</v>
      </c>
      <c r="W571" s="2" t="e">
        <f ca="1">_xll.BDH($C$553,"EARN_FOR_COM_GROWTH","FQ3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71" s="2" t="e">
        <f ca="1">_xll.BDH($C$553,"DILUTED_EPS_AFT_XO_ITEMS_GROWTH","FQ3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71" s="2" t="e">
        <f ca="1">_xll.BDH($C$553,"DIVIDEND_PER_SHARE_1_YEAR_GROWTH","FQ3 2017","FQ3 2017","Currency=INR","Period=FQ","BEST_FPERIOD_OVERRIDE=FQ","FILING_STATUS=OR","EQY_CONSOLIDATED=Y","Sort=A","Dates=H","DateFormat=P","Fill=—","Direction=H","UseDPDF=Y")</f>
        <v>#NAME?</v>
      </c>
      <c r="Z571" s="2" t="e">
        <f ca="1">_xll.BDH($C$553,"ACCOUNTS_RECEIVABLE_GROWTH","FQ3 2017","FQ3 2017","Currency=INR","Period=FQ","BEST_FPERIOD_OVERRIDE=FQ","FILING_STATUS=OR","EQY_CONSOLIDATED=Y","Sort=A","Dates=H","DateFormat=P","Fill=—","Direction=H","UseDPDF=Y")</f>
        <v>#NAME?</v>
      </c>
      <c r="AA571" s="2" t="e">
        <f ca="1">_xll.BDH($C$553,"INVENTORY_GROWTH","FQ3 2017","FQ3 2017","Currency=INR","Period=FQ","BEST_FPERIOD_OVERRIDE=FQ","FILING_STATUS=OR","EQY_CONSOLIDATED=Y","Sort=A","Dates=H","DateFormat=P","Fill=—","Direction=H","UseDPDF=Y")</f>
        <v>#NAME?</v>
      </c>
      <c r="AB571" s="2" t="e">
        <f ca="1">_xll.BDH($C$553,"NET_FIXED_ASSETS_1_YEAR_GROWTH","FQ3 2017","FQ3 2017","Currency=INR","Period=FQ","BEST_FPERIOD_OVERRIDE=FQ","FILING_STATUS=OR","EQY_CONSOLIDATED=Y","Sort=A","Dates=H","DateFormat=P","Fill=—","Direction=H","UseDPDF=Y")</f>
        <v>#NAME?</v>
      </c>
      <c r="AC571" s="2" t="e">
        <f ca="1">_xll.BDH($C$553,"ASSET_GROWTH","FQ3 2017","FQ3 2017","Currency=INR","Period=FQ","BEST_FPERIOD_OVERRIDE=FQ","FILING_STATUS=OR","EQY_CONSOLIDATED=Y","Sort=A","Dates=H","DateFormat=P","Fill=—","Direction=H","UseDPDF=Y")</f>
        <v>#NAME?</v>
      </c>
      <c r="AD571" s="2" t="e">
        <f ca="1">_xll.BDH($C$553,"MODIFIED_WORK_CAP_GROWTH","FQ3 2017","FQ3 2017","Currency=INR","Period=FQ","BEST_FPERIOD_OVERRIDE=FQ","FILING_STATUS=OR","EQY_CONSOLIDATED=Y","Sort=A","Dates=H","DateFormat=P","Fill=—","Direction=H","UseDPDF=Y")</f>
        <v>#NAME?</v>
      </c>
      <c r="AE571" s="2" t="e">
        <f ca="1">_xll.BDH($C$553,"WORK_CAP_GROWTH","FQ3 2017","FQ3 2017","Currency=INR","Period=FQ","BEST_FPERIOD_OVERRIDE=FQ","FILING_STATUS=OR","EQY_CONSOLIDATED=Y","Sort=A","Dates=H","DateFormat=P","Fill=—","Direction=H","UseDPDF=Y")</f>
        <v>#NAME?</v>
      </c>
      <c r="AF571" s="2" t="e">
        <f ca="1">_xll.BDH($C$553,"ACCOUNTS_PAYABLE_GROWTH_1YR","FQ3 2017","FQ3 2017","Currency=INR","Period=FQ","BEST_FPERIOD_OVERRIDE=FQ","FILING_STATUS=OR","EQY_CONSOLIDATED=Y","Sort=A","Dates=H","DateFormat=P","Fill=—","Direction=H","UseDPDF=Y")</f>
        <v>#NAME?</v>
      </c>
      <c r="AG571" s="2" t="e">
        <f ca="1">_xll.BDH($C$553,"SHORT_TERM_DEBT_1_YEAR_GROWTH","FQ3 2017","FQ3 2017","Currency=INR","Period=FQ","BEST_FPERIOD_OVERRIDE=FQ","FILING_STATUS=OR","EQY_CONSOLIDATED=Y","Sort=A","Dates=H","DateFormat=P","Fill=—","Direction=H","UseDPDF=Y")</f>
        <v>#NAME?</v>
      </c>
      <c r="AH571" s="2" t="e">
        <f ca="1">_xll.BDH($C$553,"TOTAL_DEBT_1_YEAR_GROWTH","FQ3 2017","FQ3 2017","Currency=INR","Period=FQ","BEST_FPERIOD_OVERRIDE=FQ","FILING_STATUS=OR","EQY_CONSOLIDATED=Y","Sort=A","Dates=H","DateFormat=P","Fill=—","Direction=H","UseDPDF=Y")</f>
        <v>#NAME?</v>
      </c>
      <c r="AI571" s="2" t="e">
        <f ca="1">_xll.BDH($C$553,"TOTAL_EQUITY_1_YEAR_GROWTH","FQ3 2017","FQ3 2017","Currency=INR","Period=FQ","BEST_FPERIOD_OVERRIDE=FQ","FILING_STATUS=OR","EQY_CONSOLIDATED=Y","Sort=A","Dates=H","DateFormat=P","Fill=—","Direction=H","UseDPDF=Y")</f>
        <v>#NAME?</v>
      </c>
      <c r="AJ571" s="2" t="e">
        <f ca="1">_xll.BDH($C$553,"GROWTH_IN_CAP","FQ3 2017","FQ3 2017","Currency=INR","Period=FQ","BEST_FPERIOD_OVERRIDE=FQ","FILING_STATUS=OR","EQY_CONSOLIDATED=Y","Sort=A","Dates=H","DateFormat=P","Fill=—","Direction=H","UseDPDF=Y")</f>
        <v>#NAME?</v>
      </c>
      <c r="AK571" s="2" t="e">
        <f ca="1">_xll.BDH($C$553,"BVPS_GROWTH","FQ3 2017","FQ3 2017","Currency=INR","Period=FQ","BEST_FPERIOD_OVERRIDE=FQ","FILING_STATUS=OR","EQY_CONSOLIDATED=Y","Sort=A","Dates=H","DateFormat=P","Fill=—","Direction=H","UseDPDF=Y")</f>
        <v>#NAME?</v>
      </c>
      <c r="AL571" s="2" t="e">
        <f ca="1">_xll.BDH($C$553,"CASH_FLOW_GROWTH","FQ3 2017","FQ3 2017","Currency=INR","Period=FQ","BEST_FPERIOD_OVERRIDE=FQ","FILING_STATUS=OR","EQY_CONSOLIDATED=Y","Sort=A","Dates=H","DateFormat=P","Fill=—","Direction=H","UseDPDF=Y")</f>
        <v>#NAME?</v>
      </c>
      <c r="AM571" s="2" t="e">
        <f ca="1">_xll.BDH($C$553,"GEO_GROW_NET_SALES","FQ3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71" s="2" t="e">
        <f ca="1">_xll.BDH($C$553,"GEO_GROW_EBITDA","FQ3 2017","FQ3 2017","Currency=INR","Period=FQ","BEST_FPERIOD_OVERRIDE=FQ","FILING_STATUS=OR","EQY_CONSOLIDATED=Y","FA_ADJUSTED=GAAP","Sort=A","Dates=H","DateFormat=P","Fill=—","Direction=H","UseDPDF=Y")</f>
        <v>#NAME?</v>
      </c>
      <c r="AO571" s="2" t="e">
        <f ca="1">_xll.BDH($C$553,"GEO_GROW_OPER_INC","FQ3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71" s="2" t="e">
        <f ca="1">_xll.BDH($C$553,"NET_INCOME_TO_COMMON_5_YR_GROWTH","FQ3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71" s="2" t="e">
        <f ca="1">_xll.BDH($C$553,"5Y_GEO_GROWTH_DILUTED_EPS","FQ3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71" s="2" t="e">
        <f ca="1">_xll.BDH($C$553,"GEO_GROW_DVD_PER_SH","FQ3 2017","FQ3 2017","Currency=INR","Period=FQ","BEST_FPERIOD_OVERRIDE=FQ","FILING_STATUS=OR","EQY_CONSOLIDATED=Y","Sort=A","Dates=H","DateFormat=P","Fill=—","Direction=H","UseDPDF=Y")</f>
        <v>#NAME?</v>
      </c>
      <c r="AS571" s="2" t="e">
        <f ca="1">_xll.BDH($C$553,"ACCOUNTS_RECEIVABLE_5_YR_GROWTH","FQ3 2017","FQ3 2017","Currency=INR","Period=FQ","BEST_FPERIOD_OVERRIDE=FQ","FILING_STATUS=OR","EQY_CONSOLIDATED=Y","Sort=A","Dates=H","DateFormat=P","Fill=—","Direction=H","UseDPDF=Y")</f>
        <v>#NAME?</v>
      </c>
      <c r="AT571" s="2" t="e">
        <f ca="1">_xll.BDH($C$553,"INVENTORY_5_YEAR_GROWTH","FQ3 2017","FQ3 2017","Currency=INR","Period=FQ","BEST_FPERIOD_OVERRIDE=FQ","FILING_STATUS=OR","EQY_CONSOLIDATED=Y","Sort=A","Dates=H","DateFormat=P","Fill=—","Direction=H","UseDPDF=Y")</f>
        <v>#NAME?</v>
      </c>
      <c r="AU571" s="2" t="e">
        <f ca="1">_xll.BDH($C$553,"NET_FIXED_ASSETS_5_YEAR_GROWTH","FQ3 2017","FQ3 2017","Currency=INR","Period=FQ","BEST_FPERIOD_OVERRIDE=FQ","FILING_STATUS=OR","EQY_CONSOLIDATED=Y","Sort=A","Dates=H","DateFormat=P","Fill=—","Direction=H","UseDPDF=Y")</f>
        <v>#NAME?</v>
      </c>
      <c r="AV571" s="2" t="e">
        <f ca="1">_xll.BDH($C$553,"GEO_GROW_TOT_ASSET","FQ3 2017","FQ3 2017","Currency=INR","Period=FQ","BEST_FPERIOD_OVERRIDE=FQ","FILING_STATUS=OR","EQY_CONSOLIDATED=Y","Sort=A","Dates=H","DateFormat=P","Fill=—","Direction=H","UseDPDF=Y")</f>
        <v>#NAME?</v>
      </c>
      <c r="AW571" s="2" t="e">
        <f ca="1">_xll.BDH($C$553,"MODIFIED_WORKING_CPTL_5YR_GRWTH","FQ3 2017","FQ3 2017","Currency=INR","Period=FQ","BEST_FPERIOD_OVERRIDE=FQ","FILING_STATUS=OR","EQY_CONSOLIDATED=Y","Sort=A","Dates=H","DateFormat=P","Fill=—","Direction=H","UseDPDF=Y")</f>
        <v>#NAME?</v>
      </c>
      <c r="AX571" s="2" t="e">
        <f ca="1">_xll.BDH($C$553,"WORKING_CAPITAL_5_YEAR_GROWTH","FQ3 2017","FQ3 2017","Currency=INR","Period=FQ","BEST_FPERIOD_OVERRIDE=FQ","FILING_STATUS=OR","EQY_CONSOLIDATED=Y","Sort=A","Dates=H","DateFormat=P","Fill=—","Direction=H","UseDPDF=Y")</f>
        <v>#NAME?</v>
      </c>
      <c r="AY571" s="2" t="e">
        <f ca="1">_xll.BDH($C$553,"ACCOUNTS_PAYABLE_5_YEAR_GROWTH","FQ3 2017","FQ3 2017","Currency=INR","Period=FQ","BEST_FPERIOD_OVERRIDE=FQ","FILING_STATUS=OR","EQY_CONSOLIDATED=Y","Sort=A","Dates=H","DateFormat=P","Fill=—","Direction=H","UseDPDF=Y")</f>
        <v>#NAME?</v>
      </c>
      <c r="AZ571" s="2" t="e">
        <f ca="1">_xll.BDH($C$553,"SHORT_TERM_DEBT_5_YEAR_GROWTH","FQ3 2017","FQ3 2017","Currency=INR","Period=FQ","BEST_FPERIOD_OVERRIDE=FQ","FILING_STATUS=OR","EQY_CONSOLIDATED=Y","Sort=A","Dates=H","DateFormat=P","Fill=—","Direction=H","UseDPDF=Y")</f>
        <v>#NAME?</v>
      </c>
      <c r="BA571" s="2" t="e">
        <f ca="1">_xll.BDH($C$553,"TOTAL_DEBT_5_YEAR_GROWTH","FQ3 2017","FQ3 2017","Currency=INR","Period=FQ","BEST_FPERIOD_OVERRIDE=FQ","FILING_STATUS=OR","EQY_CONSOLIDATED=Y","Sort=A","Dates=H","DateFormat=P","Fill=—","Direction=H","UseDPDF=Y")</f>
        <v>#NAME?</v>
      </c>
      <c r="BB571" s="2" t="e">
        <f ca="1">_xll.BDH($C$553,"GEO_GROW_TOT_SHRHLDR_EQY","FQ3 2017","FQ3 2017","Currency=INR","Period=FQ","BEST_FPERIOD_OVERRIDE=FQ","FILING_STATUS=OR","EQY_CONSOLIDATED=Y","Sort=A","Dates=H","DateFormat=P","Fill=—","Direction=H","UseDPDF=Y")</f>
        <v>#NAME?</v>
      </c>
      <c r="BC571" s="2" t="e">
        <f ca="1">_xll.BDH($C$553,"TOTAL_CAPITAL_5_YEAR_GROWTH","FQ3 2017","FQ3 2017","Currency=INR","Period=FQ","BEST_FPERIOD_OVERRIDE=FQ","FILING_STATUS=OR","EQY_CONSOLIDATED=Y","Sort=A","Dates=H","DateFormat=P","Fill=—","Direction=H","UseDPDF=Y")</f>
        <v>#NAME?</v>
      </c>
      <c r="BD571" s="2" t="e">
        <f ca="1">_xll.BDH($C$553,"GEO_GROW_BOOK_VAL","FQ3 2017","FQ3 2017","Currency=INR","Period=FQ","BEST_FPERIOD_OVERRIDE=FQ","FILING_STATUS=OR","EQY_CONSOLIDATED=Y","Sort=A","Dates=H","DateFormat=P","Fill=—","Direction=H","UseDPDF=Y")</f>
        <v>#NAME?</v>
      </c>
      <c r="BE571" s="2" t="e">
        <f ca="1">_xll.BDH($C$553,"GEO_GROW_CASH_OPER_ACT","FQ3 2017","FQ3 2017","Currency=INR","Period=FQ","BEST_FPERIOD_OVERRIDE=FQ","FILING_STATUS=OR","EQY_CONSOLIDATED=Y","Sort=A","Dates=H","DateFormat=P","Fill=—","Direction=H","UseDPDF=Y")</f>
        <v>#NAME?</v>
      </c>
      <c r="BF571" s="2" t="e">
        <f ca="1">_xll.BDH($C$553,"REVENUE_SEQUENTIAL_GROWTH","FQ3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71" s="2" t="e">
        <f ca="1">_xll.BDH($C$553,"EBITDA_SEQUENTIAL_GROWTH","FQ3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71" s="2" t="e">
        <f ca="1">_xll.BDH($C$553,"OPERATING_INCOME_SEQ_GROWTH","FQ3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71" s="2" t="e">
        <f ca="1">_xll.BDH($C$553,"NET_INCOME_TO_COMMON_SEQ_GROWTH","FQ3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71" s="2" t="e">
        <f ca="1">_xll.BDH($C$553,"EPS_DILUTED_SEQUENTIAL_GROWTH","FQ3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71" s="2" t="e">
        <f ca="1">_xll.BDH($C$553,"DPS_SEQUENTIAL_GROWTH","FQ3 2017","FQ3 2017","Currency=INR","Period=FQ","BEST_FPERIOD_OVERRIDE=FQ","FILING_STATUS=OR","EQY_CONSOLIDATED=Y","Sort=A","Dates=H","DateFormat=P","Fill=—","Direction=H","UseDPDF=Y")</f>
        <v>#NAME?</v>
      </c>
      <c r="BL571" s="2" t="e">
        <f ca="1">_xll.BDH($C$553,"ACCOUNTS_RECEIVABLE_SEQ_GROWTH","FQ3 2017","FQ3 2017","Currency=INR","Period=FQ","BEST_FPERIOD_OVERRIDE=FQ","FILING_STATUS=OR","EQY_CONSOLIDATED=Y","Sort=A","Dates=H","DateFormat=P","Fill=—","Direction=H","UseDPDF=Y")</f>
        <v>#NAME?</v>
      </c>
      <c r="BM571" s="2" t="e">
        <f ca="1">_xll.BDH($C$553,"INVENTORY_SEQUENTIAL_GROWTH","FQ3 2017","FQ3 2017","Currency=INR","Period=FQ","BEST_FPERIOD_OVERRIDE=FQ","FILING_STATUS=OR","EQY_CONSOLIDATED=Y","Sort=A","Dates=H","DateFormat=P","Fill=—","Direction=H","UseDPDF=Y")</f>
        <v>#NAME?</v>
      </c>
      <c r="BN571" s="2" t="e">
        <f ca="1">_xll.BDH($C$553,"FIXED_ASSETS_SEQUENTIAL_GROWTH","FQ3 2017","FQ3 2017","Currency=INR","Period=FQ","BEST_FPERIOD_OVERRIDE=FQ","FILING_STATUS=OR","EQY_CONSOLIDATED=Y","Sort=A","Dates=H","DateFormat=P","Fill=—","Direction=H","UseDPDF=Y")</f>
        <v>#NAME?</v>
      </c>
      <c r="BO571" s="2" t="e">
        <f ca="1">_xll.BDH($C$553,"TOTAL_ASSETS_SEQUENTIAL_GROWTH","FQ3 2017","FQ3 2017","Currency=INR","Period=FQ","BEST_FPERIOD_OVERRIDE=FQ","FILING_STATUS=OR","EQY_CONSOLIDATED=Y","Sort=A","Dates=H","DateFormat=P","Fill=—","Direction=H","UseDPDF=Y")</f>
        <v>#NAME?</v>
      </c>
      <c r="BP571" s="2" t="e">
        <f ca="1">_xll.BDH($C$553,"MODIFIED_WORKING_CPTL_SEQ_GRWTH","FQ3 2017","FQ3 2017","Currency=INR","Period=FQ","BEST_FPERIOD_OVERRIDE=FQ","FILING_STATUS=OR","EQY_CONSOLIDATED=Y","Sort=A","Dates=H","DateFormat=P","Fill=—","Direction=H","UseDPDF=Y")</f>
        <v>#NAME?</v>
      </c>
      <c r="BQ571" s="2" t="e">
        <f ca="1">_xll.BDH($C$553,"WORKING_CAPITAL_SEQ_GROWTH","FQ3 2017","FQ3 2017","Currency=INR","Period=FQ","BEST_FPERIOD_OVERRIDE=FQ","FILING_STATUS=OR","EQY_CONSOLIDATED=Y","Sort=A","Dates=H","DateFormat=P","Fill=—","Direction=H","UseDPDF=Y")</f>
        <v>#NAME?</v>
      </c>
      <c r="BR571" s="2" t="e">
        <f ca="1">_xll.BDH($C$553,"ACCOUNTS_PAYABLE_SEQ_GROWTH","FQ3 2017","FQ3 2017","Currency=INR","Period=FQ","BEST_FPERIOD_OVERRIDE=FQ","FILING_STATUS=OR","EQY_CONSOLIDATED=Y","Sort=A","Dates=H","DateFormat=P","Fill=—","Direction=H","UseDPDF=Y")</f>
        <v>#NAME?</v>
      </c>
      <c r="BS571" s="2" t="e">
        <f ca="1">_xll.BDH($C$553,"ST_DEBT_SEQUENTIAL_GROWTH","FQ3 2017","FQ3 2017","Currency=INR","Period=FQ","BEST_FPERIOD_OVERRIDE=FQ","FILING_STATUS=OR","EQY_CONSOLIDATED=Y","Sort=A","Dates=H","DateFormat=P","Fill=—","Direction=H","UseDPDF=Y")</f>
        <v>#NAME?</v>
      </c>
      <c r="BT571" s="2" t="e">
        <f ca="1">_xll.BDH($C$553,"TOTAL_DEBT_SEQUENTIAL_GROWTH","FQ3 2017","FQ3 2017","Currency=INR","Period=FQ","BEST_FPERIOD_OVERRIDE=FQ","FILING_STATUS=OR","EQY_CONSOLIDATED=Y","Sort=A","Dates=H","DateFormat=P","Fill=—","Direction=H","UseDPDF=Y")</f>
        <v>#NAME?</v>
      </c>
      <c r="BU571" s="2" t="e">
        <f ca="1">_xll.BDH($C$553,"TOTAL_EQUITY_SEQUENTIAL_GROWTH","FQ3 2017","FQ3 2017","Currency=INR","Period=FQ","BEST_FPERIOD_OVERRIDE=FQ","FILING_STATUS=OR","EQY_CONSOLIDATED=Y","Sort=A","Dates=H","DateFormat=P","Fill=—","Direction=H","UseDPDF=Y")</f>
        <v>#NAME?</v>
      </c>
      <c r="BV571" s="2" t="e">
        <f ca="1">_xll.BDH($C$553,"TOTAL_CAPITAL_SEQUENTIAL_GROWTH","FQ3 2017","FQ3 2017","Currency=INR","Period=FQ","BEST_FPERIOD_OVERRIDE=FQ","FILING_STATUS=OR","EQY_CONSOLIDATED=Y","Sort=A","Dates=H","DateFormat=P","Fill=—","Direction=H","UseDPDF=Y")</f>
        <v>#NAME?</v>
      </c>
      <c r="BW571" s="2" t="e">
        <f ca="1">_xll.BDH($C$553,"BPS_SEQUENTIAL_GROWTH","FQ3 2017","FQ3 2017","Currency=INR","Period=FQ","BEST_FPERIOD_OVERRIDE=FQ","FILING_STATUS=OR","EQY_CONSOLIDATED=Y","Sort=A","Dates=H","DateFormat=P","Fill=—","Direction=H","UseDPDF=Y")</f>
        <v>#NAME?</v>
      </c>
      <c r="BX571" s="2" t="e">
        <f ca="1">_xll.BDH($C$553,"CFO_SEQUENTIAL_GROWTH","FQ3 2017","FQ3 2017","Currency=INR","Period=FQ","BEST_FPERIOD_OVERRIDE=FQ","FILING_STATUS=OR","EQY_CONSOLIDATED=Y","Sort=A","Dates=H","DateFormat=P","Fill=—","Direction=H","UseDPDF=Y")</f>
        <v>#NAME?</v>
      </c>
      <c r="BY571" s="3" t="e">
        <f ca="1">_xll.BDH($C$553,"SHORT_AND_LONG_TERM_DEBT","FQ3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71" s="3" t="e">
        <f ca="1">_xll.BDH($C$553,"BS_ST_BORROW","FQ3 2017","FQ3 2017","Currency=INR","Period=FQ","BEST_FPERIOD_OVERRIDE=FQ","FILING_STATUS=OR","EQY_CONSOLIDATED=Y","SCALING_FORMAT=MLN","Sort=A","Dates=H","DateFormat=P","Fill=—","Direction=H","UseDPDF=Y")</f>
        <v>#NAME?</v>
      </c>
      <c r="CA571" s="3" t="e">
        <f ca="1">_xll.BDH($C$553,"BS_LT_BORROW","FQ3 2017","FQ3 2017","Currency=INR","Period=FQ","BEST_FPERIOD_OVERRIDE=FQ","FILING_STATUS=OR","EQY_CONSOLIDATED=Y","SCALING_FORMAT=MLN","Sort=A","Dates=H","DateFormat=P","Fill=—","Direction=H","UseDPDF=Y")</f>
        <v>#NAME?</v>
      </c>
      <c r="CB571" s="2" t="e">
        <f ca="1">_xll.BDH($C$553,"TOT_DEBT_TO_EBITDA","FQ3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71" s="2" t="e">
        <f ca="1">_xll.BDH($C$553,"NET_DEBT_TO_EBITDA","FQ3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71" s="2" t="e">
        <f ca="1">_xll.BDH($C$553,"TOTAL_DEBT_TO_EBIT","FQ3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71" s="2" t="e">
        <f ca="1">_xll.BDH($C$553,"NET_DEBT_TO_EBIT","FQ3 2017","FQ3 2017","Currency=INR","Period=FQ","BEST_FPERIOD_OVERRIDE=FQ","FILING_STATUS=OR","EQY_CONSOLIDATED=Y","FA_ADJUSTED=GAAP","Sort=A","Dates=H","DateFormat=P","Fill=—","Direction=H","UseDPDF=Y")</f>
        <v>#NAME?</v>
      </c>
      <c r="CF571" s="2" t="e">
        <f ca="1">_xll.BDH($C$553,"EBITDA_TO_INTEREST_EXPN","FQ3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71" s="2" t="e">
        <f ca="1">_xll.BDH($C$553,"COM_EQY_TO_TOT_ASSET","FQ3 2017","FQ3 2017","Currency=INR","Period=FQ","BEST_FPERIOD_OVERRIDE=FQ","FILING_STATUS=OR","EQY_CONSOLIDATED=Y","Sort=A","Dates=H","DateFormat=P","Fill=—","Direction=H","UseDPDF=Y")</f>
        <v>#NAME?</v>
      </c>
      <c r="CH571" s="2" t="e">
        <f ca="1">_xll.BDH($C$553,"LT_DEBT_TO_TOT_EQY","FQ3 2017","FQ3 2017","Currency=INR","Period=FQ","BEST_FPERIOD_OVERRIDE=FQ","FILING_STATUS=OR","EQY_CONSOLIDATED=Y","Sort=A","Dates=H","DateFormat=P","Fill=—","Direction=H","UseDPDF=Y")</f>
        <v>#NAME?</v>
      </c>
      <c r="CI571" s="2" t="e">
        <f ca="1">_xll.BDH($C$553,"LT_DEBT_TO_TOT_CAP","FQ3 2017","FQ3 2017","Currency=INR","Period=FQ","BEST_FPERIOD_OVERRIDE=FQ","FILING_STATUS=OR","EQY_CONSOLIDATED=Y","Sort=A","Dates=H","DateFormat=P","Fill=—","Direction=H","UseDPDF=Y")</f>
        <v>#NAME?</v>
      </c>
      <c r="CJ571" s="2" t="e">
        <f ca="1">_xll.BDH($C$553,"LT_DEBT_TO_TOT_ASSET","FQ3 2017","FQ3 2017","Currency=INR","Period=FQ","BEST_FPERIOD_OVERRIDE=FQ","FILING_STATUS=OR","EQY_CONSOLIDATED=Y","Sort=A","Dates=H","DateFormat=P","Fill=—","Direction=H","UseDPDF=Y")</f>
        <v>#NAME?</v>
      </c>
      <c r="CK571" s="2" t="e">
        <f ca="1">_xll.BDH($C$553,"TOT_DEBT_TO_TOT_EQY","FQ3 2017","FQ3 2017","Currency=INR","Period=FQ","BEST_FPERIOD_OVERRIDE=FQ","FILING_STATUS=OR","EQY_CONSOLIDATED=Y","Sort=A","Dates=H","DateFormat=P","Fill=—","Direction=H","UseDPDF=Y")</f>
        <v>#NAME?</v>
      </c>
      <c r="CL571" s="2" t="e">
        <f ca="1">_xll.BDH($C$553,"TOT_DEBT_TO_TOT_CAP","FQ3 2017","FQ3 2017","Currency=INR","Period=FQ","BEST_FPERIOD_OVERRIDE=FQ","FILING_STATUS=OR","EQY_CONSOLIDATED=Y","Sort=A","Dates=H","DateFormat=P","Fill=—","Direction=H","UseDPDF=Y")</f>
        <v>#NAME?</v>
      </c>
      <c r="CM571" s="2" t="e">
        <f ca="1">_xll.BDH($C$553,"TOT_DEBT_TO_TOT_ASSET","FQ3 2017","FQ3 2017","Currency=INR","Period=FQ","BEST_FPERIOD_OVERRIDE=FQ","FILING_STATUS=OR","EQY_CONSOLIDATED=Y","Sort=A","Dates=H","DateFormat=P","Fill=—","Direction=H","UseDPDF=Y")</f>
        <v>#NAME?</v>
      </c>
      <c r="CN571" s="2" t="e">
        <f ca="1">_xll.BDH($C$553,"NET_DEBT_TO_SHRHLDR_EQTY","FQ3 2017","FQ3 2017","Currency=INR","Period=FQ","BEST_FPERIOD_OVERRIDE=FQ","FILING_STATUS=OR","EQY_CONSOLIDATED=Y","Sort=A","Dates=H","DateFormat=P","Fill=—","Direction=H","UseDPDF=Y")</f>
        <v>#NAME?</v>
      </c>
      <c r="CO571" s="2" t="e">
        <f ca="1">_xll.BDH($C$553,"NET_DEBT_%_CAPITAL","FQ3 2017","FQ3 2017","Currency=INR","Period=FQ","BEST_FPERIOD_OVERRIDE=FQ","FILING_STATUS=OR","EQY_CONSOLIDATED=Y","Sort=A","Dates=H","DateFormat=P","Fill=—","Direction=H","UseDPDF=Y")</f>
        <v>#NAME?</v>
      </c>
      <c r="CP571" s="3" t="e">
        <f ca="1">_xll.BDH($C$553,"EBITDA","FQ3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71" s="3" t="e">
        <f ca="1">_xll.BDH($C$553,"EBITDA_AFTER_CAPEX","FQ3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71" s="3" t="e">
        <f ca="1">_xll.BDH($C$553,"IS_OPER_INC","FQ3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71" s="2" t="e">
        <f ca="1">_xll.BDH($C$553,"CASH_RATIO","FQ3 2017","FQ3 2017","Currency=INR","Period=FQ","BEST_FPERIOD_OVERRIDE=FQ","FILING_STATUS=OR","EQY_CONSOLIDATED=Y","Sort=A","Dates=H","DateFormat=P","Fill=—","Direction=H","UseDPDF=Y")</f>
        <v>#NAME?</v>
      </c>
      <c r="CT571" s="2" t="e">
        <f ca="1">_xll.BDH($C$553,"CUR_RATIO","FQ3 2017","FQ3 2017","Currency=INR","Period=FQ","BEST_FPERIOD_OVERRIDE=FQ","FILING_STATUS=OR","EQY_CONSOLIDATED=Y","Sort=A","Dates=H","DateFormat=P","Fill=—","Direction=H","UseDPDF=Y")</f>
        <v>#NAME?</v>
      </c>
      <c r="CU571" s="2" t="e">
        <f ca="1">_xll.BDH($C$553,"QUICK_RATIO","FQ3 2017","FQ3 2017","Currency=INR","Period=FQ","BEST_FPERIOD_OVERRIDE=FQ","FILING_STATUS=OR","EQY_CONSOLIDATED=Y","Sort=A","Dates=H","DateFormat=P","Fill=—","Direction=H","UseDPDF=Y")</f>
        <v>#NAME?</v>
      </c>
      <c r="CV571" s="2" t="e">
        <f ca="1">_xll.BDH($C$553,"ALTMAN_Z_SCORE","FQ3 2017","FQ3 2017","Currency=INR","Period=FQ","BEST_FPERIOD_OVERRIDE=FQ","FILING_STATUS=OR","EQY_CONSOLIDATED=Y","Sort=A","Dates=H","DateFormat=P","Fill=—","Direction=H","UseDPDF=Y")</f>
        <v>#NAME?</v>
      </c>
      <c r="CW571" s="4" t="e">
        <f ca="1">_xll.BDH($C$553,"ACCT_RCV_TURN","FQ3 2017","FQ3 2017","Currency=INR","Period=FQ","BEST_FPERIOD_OVERRIDE=FQ","FILING_STATUS=OR","EQY_CONSOLIDATED=Y","FA_ADJUSTED=GAAP","Sort=A","Dates=H","DateFormat=P","Fill=—","Direction=H","UseDPDF=Y")</f>
        <v>#NAME?</v>
      </c>
      <c r="CX571" s="2" t="e">
        <f ca="1">_xll.BDH($C$553,"ACCT_RCV_DAYS","FQ3 2017","FQ3 2017","Currency=INR","Period=FQ","BEST_FPERIOD_OVERRIDE=FQ","FILING_STATUS=OR","EQY_CONSOLIDATED=Y","FA_ADJUSTED=GAAP","Sort=A","Dates=H","DateFormat=P","Fill=—","Direction=H","UseDPDF=Y")</f>
        <v>#NAME?</v>
      </c>
      <c r="CY571" s="4" t="e">
        <f ca="1">_xll.BDH($C$553,"INVENT_TURN","FQ3 2017","FQ3 2017","Currency=INR","Period=FQ","BEST_FPERIOD_OVERRIDE=FQ","FILING_STATUS=OR","EQY_CONSOLIDATED=Y","FA_ADJUSTED=GAAP","Sort=A","Dates=H","DateFormat=P","Fill=—","Direction=H","UseDPDF=Y")</f>
        <v>#NAME?</v>
      </c>
      <c r="CZ571" s="2" t="e">
        <f ca="1">_xll.BDH($C$553,"INVENT_DAYS","FQ3 2017","FQ3 2017","Currency=INR","Period=FQ","BEST_FPERIOD_OVERRIDE=FQ","FILING_STATUS=OR","EQY_CONSOLIDATED=Y","FA_ADJUSTED=GAAP","Sort=A","Dates=H","DateFormat=P","Fill=—","Direction=H","UseDPDF=Y")</f>
        <v>#NAME?</v>
      </c>
      <c r="DA571" s="4" t="e">
        <f ca="1">_xll.BDH($C$553,"ACCOUNTS_PAYABLE_TURNOVER","FQ3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71" s="2" t="e">
        <f ca="1">_xll.BDH($C$553,"ACCOUNTS_PAYABLE_TURNOVER_DAYS","FQ3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71" s="4" t="e">
        <f ca="1">_xll.BDH($C$553,"CASH_CONVERSION_CYCLE","FQ3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71" s="4" t="e">
        <f ca="1">_xll.BDH($C$553,"INV_TO_CASH_DAYS","FQ3 2017","FQ3 2017","Currency=INR","Period=FQ","BEST_FPERIOD_OVERRIDE=FQ","FILING_STATUS=OR","EQY_CONSOLIDATED=Y","FA_ADJUSTED=GAAP","Sort=A","Dates=H","DateFormat=P","Fill=—","Direction=H","UseDPDF=Y")</f>
        <v>#NAME?</v>
      </c>
      <c r="DE571" s="5" t="e">
        <f ca="1">_xll.BDH($C$553,"BS_INVENTORIES","FQ3 2017","FQ3 2017","Currency=INR","Period=FQ","BEST_FPERIOD_OVERRIDE=FQ","FILING_STATUS=OR","EQY_CONSOLIDATED=Y","SCALING_FORMAT=MLN","Sort=A","Dates=H","DateFormat=P","Fill=—","Direction=H","UseDPDF=Y")</f>
        <v>#NAME?</v>
      </c>
      <c r="DF571" s="3" t="e">
        <f ca="1">_xll.BDH($C$553,"INVTRY_RAW_MATERIALS","FQ3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71" s="3" t="e">
        <f ca="1">_xll.BDH($C$553,"INVTRY_IN_PROGRESS","FQ3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71" s="3" t="e">
        <f ca="1">_xll.BDH($C$553,"INVTRY_FINISHED_GOODS","FQ3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71" s="3" t="e">
        <f ca="1">_xll.BDH($C$553,"BS_OTHER_INV","FQ3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72" spans="1:113" x14ac:dyDescent="0.3">
      <c r="A572" s="6"/>
      <c r="B572" s="6"/>
      <c r="C572" s="6"/>
      <c r="D572" s="6"/>
      <c r="E572" t="s">
        <v>81</v>
      </c>
      <c r="F572" t="e">
        <f ca="1">_xll.BDH($C$553,"RETURN_COM_EQY","FQ4 2017","FQ4 2017","Currency=INR","Period=FQ","BEST_FPERIOD_OVERRIDE=FQ","FILING_STATUS=OR","EQY_CONSOLIDATED=Y","FA_ADJUSTED=GAAP","Sort=A","Dates=H","DateFormat=P","Fill=—","Direction=H","UseDPDF=Y")</f>
        <v>#NAME?</v>
      </c>
      <c r="G572" t="e">
        <f ca="1">_xll.BDH($C$553,"RETURN_ON_ASSET","FQ4 2017","FQ4 2017","Currency=INR","Period=FQ","BEST_FPERIOD_OVERRIDE=FQ","FILING_STATUS=OR","EQY_CONSOLIDATED=Y","FA_ADJUSTED=GAAP","Sort=A","Dates=H","DateFormat=P","Fill=—","Direction=H","UseDPDF=Y")</f>
        <v>#NAME?</v>
      </c>
      <c r="H572" t="e">
        <f ca="1">_xll.BDH($C$553,"RETURN_ON_CAP","FQ4 2017","FQ4 2017","Currency=INR","Period=FQ","BEST_FPERIOD_OVERRIDE=FQ","FILING_STATUS=OR","EQY_CONSOLIDATED=Y","FA_ADJUSTED=GAAP","Sort=A","Dates=H","DateFormat=P","Fill=—","Direction=H","UseDPDF=Y")</f>
        <v>#NAME?</v>
      </c>
      <c r="I572" t="e">
        <f ca="1">_xll.BDH($C$553,"RETURN_ON_INV_CAPITAL","FQ4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72" t="e">
        <f ca="1">_xll.BDH($C$553,"EBITDA_TO_REVENUE","FQ4 2017","FQ4 2017","Currency=INR","Period=FQ","BEST_FPERIOD_OVERRIDE=FQ","FILING_STATUS=OR","EQY_CONSOLIDATED=Y","FA_ADJUSTED=GAAP","Sort=A","Dates=H","DateFormat=P","Fill=—","Direction=H","UseDPDF=Y")</f>
        <v>#NAME?</v>
      </c>
      <c r="K572" t="e">
        <f ca="1">_xll.BDH($C$553,"OPER_MARGIN","FQ4 2017","FQ4 2017","Currency=INR","Period=FQ","BEST_FPERIOD_OVERRIDE=FQ","FILING_STATUS=OR","EQY_CONSOLIDATED=Y","FA_ADJUSTED=GAAP","Sort=A","Dates=H","DateFormat=P","Fill=—","Direction=H","UseDPDF=Y")</f>
        <v>#NAME?</v>
      </c>
      <c r="L572" t="e">
        <f ca="1">_xll.BDH($C$553,"INCREMENTAL_OPERATING_MARGIN","FQ4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72" t="e">
        <f ca="1">_xll.BDH($C$553,"PRETAX_INC_TO_NET_SALES","FQ4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72" t="e">
        <f ca="1">_xll.BDH($C$553,"INC_BEF_XO_ITEMS_TO_NET_SALES","FQ4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72" t="e">
        <f ca="1">_xll.BDH($C$553,"PROF_MARGIN","FQ4 2017","FQ4 2017","Currency=INR","Period=FQ","BEST_FPERIOD_OVERRIDE=FQ","FILING_STATUS=OR","EQY_CONSOLIDATED=Y","FA_ADJUSTED=GAAP","Sort=A","Dates=H","DateFormat=P","Fill=—","Direction=H","UseDPDF=Y")</f>
        <v>#NAME?</v>
      </c>
      <c r="P572" t="e">
        <f ca="1">_xll.BDH($C$553,"NET_INCOME_TO_COMMON_MARGIN","FQ4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72" t="e">
        <f ca="1">_xll.BDH($C$553,"EFF_TAX_RATE","FQ4 2017","FQ4 2017","Currency=INR","Period=FQ","BEST_FPERIOD_OVERRIDE=FQ","FILING_STATUS=OR","EQY_CONSOLIDATED=Y","FA_ADJUSTED=GAAP","Sort=A","Dates=H","DateFormat=P","Fill=—","Direction=H","UseDPDF=Y")</f>
        <v>#NAME?</v>
      </c>
      <c r="R572" t="e">
        <f ca="1">_xll.BDH($C$553,"DVD_PAYOUT_RATIO","FQ4 2017","FQ4 2017","Currency=INR","Period=FQ","BEST_FPERIOD_OVERRIDE=FQ","FILING_STATUS=OR","EQY_CONSOLIDATED=Y","FA_ADJUSTED=GAAP","Sort=A","Dates=H","DateFormat=P","Fill=—","Direction=H","UseDPDF=Y")</f>
        <v>#NAME?</v>
      </c>
      <c r="S572" t="e">
        <f ca="1">_xll.BDH($C$553,"SUSTAIN_GROWTH_RT","FQ4 2017","FQ4 2017","Currency=INR","Period=FQ","BEST_FPERIOD_OVERRIDE=FQ","FILING_STATUS=OR","EQY_CONSOLIDATED=Y","FA_ADJUSTED=GAAP","Sort=A","Dates=H","DateFormat=P","Fill=—","Direction=H","UseDPDF=Y")</f>
        <v>#NAME?</v>
      </c>
      <c r="T572" s="2" t="e">
        <f ca="1">_xll.BDH($C$553,"SALES_GROWTH","FQ4 2017","FQ4 2017","Currency=INR","Period=FQ","BEST_FPERIOD_OVERRIDE=FQ","FILING_STATUS=OR","EQY_CONSOLIDATED=Y","FA_ADJUSTED=GAAP","Sort=A","Dates=H","DateFormat=P","Fill=—","Direction=H","UseDPDF=Y")</f>
        <v>#NAME?</v>
      </c>
      <c r="U572" s="2" t="e">
        <f ca="1">_xll.BDH($C$553,"EBITDA_GROWTH","FQ4 2017","FQ4 2017","Currency=INR","Period=FQ","BEST_FPERIOD_OVERRIDE=FQ","FILING_STATUS=OR","EQY_CONSOLIDATED=Y","FA_ADJUSTED=GAAP","Sort=A","Dates=H","DateFormat=P","Fill=—","Direction=H","UseDPDF=Y")</f>
        <v>#NAME?</v>
      </c>
      <c r="V572" s="2" t="e">
        <f ca="1">_xll.BDH($C$553,"OPER_INC_GROWTH","FQ4 2017","FQ4 2017","Currency=INR","Period=FQ","BEST_FPERIOD_OVERRIDE=FQ","FILING_STATUS=OR","EQY_CONSOLIDATED=Y","FA_ADJUSTED=GAAP","Sort=A","Dates=H","DateFormat=P","Fill=—","Direction=H","UseDPDF=Y")</f>
        <v>#NAME?</v>
      </c>
      <c r="W572" s="2" t="e">
        <f ca="1">_xll.BDH($C$553,"EARN_FOR_COM_GROWTH","FQ4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72" s="2" t="e">
        <f ca="1">_xll.BDH($C$553,"DILUTED_EPS_AFT_XO_ITEMS_GROWTH","FQ4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72" s="2" t="e">
        <f ca="1">_xll.BDH($C$553,"DIVIDEND_PER_SHARE_1_YEAR_GROWTH","FQ4 2017","FQ4 2017","Currency=INR","Period=FQ","BEST_FPERIOD_OVERRIDE=FQ","FILING_STATUS=OR","EQY_CONSOLIDATED=Y","Sort=A","Dates=H","DateFormat=P","Fill=—","Direction=H","UseDPDF=Y")</f>
        <v>#NAME?</v>
      </c>
      <c r="Z572" s="2" t="e">
        <f ca="1">_xll.BDH($C$553,"ACCOUNTS_RECEIVABLE_GROWTH","FQ4 2017","FQ4 2017","Currency=INR","Period=FQ","BEST_FPERIOD_OVERRIDE=FQ","FILING_STATUS=OR","EQY_CONSOLIDATED=Y","Sort=A","Dates=H","DateFormat=P","Fill=—","Direction=H","UseDPDF=Y")</f>
        <v>#NAME?</v>
      </c>
      <c r="AA572" s="2" t="e">
        <f ca="1">_xll.BDH($C$553,"INVENTORY_GROWTH","FQ4 2017","FQ4 2017","Currency=INR","Period=FQ","BEST_FPERIOD_OVERRIDE=FQ","FILING_STATUS=OR","EQY_CONSOLIDATED=Y","Sort=A","Dates=H","DateFormat=P","Fill=—","Direction=H","UseDPDF=Y")</f>
        <v>#NAME?</v>
      </c>
      <c r="AB572" s="2" t="e">
        <f ca="1">_xll.BDH($C$553,"NET_FIXED_ASSETS_1_YEAR_GROWTH","FQ4 2017","FQ4 2017","Currency=INR","Period=FQ","BEST_FPERIOD_OVERRIDE=FQ","FILING_STATUS=OR","EQY_CONSOLIDATED=Y","Sort=A","Dates=H","DateFormat=P","Fill=—","Direction=H","UseDPDF=Y")</f>
        <v>#NAME?</v>
      </c>
      <c r="AC572" s="2" t="e">
        <f ca="1">_xll.BDH($C$553,"ASSET_GROWTH","FQ4 2017","FQ4 2017","Currency=INR","Period=FQ","BEST_FPERIOD_OVERRIDE=FQ","FILING_STATUS=OR","EQY_CONSOLIDATED=Y","Sort=A","Dates=H","DateFormat=P","Fill=—","Direction=H","UseDPDF=Y")</f>
        <v>#NAME?</v>
      </c>
      <c r="AD572" s="2" t="e">
        <f ca="1">_xll.BDH($C$553,"MODIFIED_WORK_CAP_GROWTH","FQ4 2017","FQ4 2017","Currency=INR","Period=FQ","BEST_FPERIOD_OVERRIDE=FQ","FILING_STATUS=OR","EQY_CONSOLIDATED=Y","Sort=A","Dates=H","DateFormat=P","Fill=—","Direction=H","UseDPDF=Y")</f>
        <v>#NAME?</v>
      </c>
      <c r="AE572" s="2" t="e">
        <f ca="1">_xll.BDH($C$553,"WORK_CAP_GROWTH","FQ4 2017","FQ4 2017","Currency=INR","Period=FQ","BEST_FPERIOD_OVERRIDE=FQ","FILING_STATUS=OR","EQY_CONSOLIDATED=Y","Sort=A","Dates=H","DateFormat=P","Fill=—","Direction=H","UseDPDF=Y")</f>
        <v>#NAME?</v>
      </c>
      <c r="AF572" s="2" t="e">
        <f ca="1">_xll.BDH($C$553,"ACCOUNTS_PAYABLE_GROWTH_1YR","FQ4 2017","FQ4 2017","Currency=INR","Period=FQ","BEST_FPERIOD_OVERRIDE=FQ","FILING_STATUS=OR","EQY_CONSOLIDATED=Y","Sort=A","Dates=H","DateFormat=P","Fill=—","Direction=H","UseDPDF=Y")</f>
        <v>#NAME?</v>
      </c>
      <c r="AG572" s="2" t="e">
        <f ca="1">_xll.BDH($C$553,"SHORT_TERM_DEBT_1_YEAR_GROWTH","FQ4 2017","FQ4 2017","Currency=INR","Period=FQ","BEST_FPERIOD_OVERRIDE=FQ","FILING_STATUS=OR","EQY_CONSOLIDATED=Y","Sort=A","Dates=H","DateFormat=P","Fill=—","Direction=H","UseDPDF=Y")</f>
        <v>#NAME?</v>
      </c>
      <c r="AH572" s="2" t="e">
        <f ca="1">_xll.BDH($C$553,"TOTAL_DEBT_1_YEAR_GROWTH","FQ4 2017","FQ4 2017","Currency=INR","Period=FQ","BEST_FPERIOD_OVERRIDE=FQ","FILING_STATUS=OR","EQY_CONSOLIDATED=Y","Sort=A","Dates=H","DateFormat=P","Fill=—","Direction=H","UseDPDF=Y")</f>
        <v>#NAME?</v>
      </c>
      <c r="AI572" s="2" t="e">
        <f ca="1">_xll.BDH($C$553,"TOTAL_EQUITY_1_YEAR_GROWTH","FQ4 2017","FQ4 2017","Currency=INR","Period=FQ","BEST_FPERIOD_OVERRIDE=FQ","FILING_STATUS=OR","EQY_CONSOLIDATED=Y","Sort=A","Dates=H","DateFormat=P","Fill=—","Direction=H","UseDPDF=Y")</f>
        <v>#NAME?</v>
      </c>
      <c r="AJ572" s="2" t="e">
        <f ca="1">_xll.BDH($C$553,"GROWTH_IN_CAP","FQ4 2017","FQ4 2017","Currency=INR","Period=FQ","BEST_FPERIOD_OVERRIDE=FQ","FILING_STATUS=OR","EQY_CONSOLIDATED=Y","Sort=A","Dates=H","DateFormat=P","Fill=—","Direction=H","UseDPDF=Y")</f>
        <v>#NAME?</v>
      </c>
      <c r="AK572" s="2" t="e">
        <f ca="1">_xll.BDH($C$553,"BVPS_GROWTH","FQ4 2017","FQ4 2017","Currency=INR","Period=FQ","BEST_FPERIOD_OVERRIDE=FQ","FILING_STATUS=OR","EQY_CONSOLIDATED=Y","Sort=A","Dates=H","DateFormat=P","Fill=—","Direction=H","UseDPDF=Y")</f>
        <v>#NAME?</v>
      </c>
      <c r="AL572" s="2" t="e">
        <f ca="1">_xll.BDH($C$553,"CASH_FLOW_GROWTH","FQ4 2017","FQ4 2017","Currency=INR","Period=FQ","BEST_FPERIOD_OVERRIDE=FQ","FILING_STATUS=OR","EQY_CONSOLIDATED=Y","Sort=A","Dates=H","DateFormat=P","Fill=—","Direction=H","UseDPDF=Y")</f>
        <v>#NAME?</v>
      </c>
      <c r="AM572" s="2" t="e">
        <f ca="1">_xll.BDH($C$553,"GEO_GROW_NET_SALES","FQ4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72" s="2" t="e">
        <f ca="1">_xll.BDH($C$553,"GEO_GROW_EBITDA","FQ4 2017","FQ4 2017","Currency=INR","Period=FQ","BEST_FPERIOD_OVERRIDE=FQ","FILING_STATUS=OR","EQY_CONSOLIDATED=Y","FA_ADJUSTED=GAAP","Sort=A","Dates=H","DateFormat=P","Fill=—","Direction=H","UseDPDF=Y")</f>
        <v>#NAME?</v>
      </c>
      <c r="AO572" s="2" t="e">
        <f ca="1">_xll.BDH($C$553,"GEO_GROW_OPER_INC","FQ4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72" s="2" t="e">
        <f ca="1">_xll.BDH($C$553,"NET_INCOME_TO_COMMON_5_YR_GROWTH","FQ4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72" s="2" t="e">
        <f ca="1">_xll.BDH($C$553,"5Y_GEO_GROWTH_DILUTED_EPS","FQ4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72" s="2" t="e">
        <f ca="1">_xll.BDH($C$553,"GEO_GROW_DVD_PER_SH","FQ4 2017","FQ4 2017","Currency=INR","Period=FQ","BEST_FPERIOD_OVERRIDE=FQ","FILING_STATUS=OR","EQY_CONSOLIDATED=Y","Sort=A","Dates=H","DateFormat=P","Fill=—","Direction=H","UseDPDF=Y")</f>
        <v>#NAME?</v>
      </c>
      <c r="AS572" s="2" t="e">
        <f ca="1">_xll.BDH($C$553,"ACCOUNTS_RECEIVABLE_5_YR_GROWTH","FQ4 2017","FQ4 2017","Currency=INR","Period=FQ","BEST_FPERIOD_OVERRIDE=FQ","FILING_STATUS=OR","EQY_CONSOLIDATED=Y","Sort=A","Dates=H","DateFormat=P","Fill=—","Direction=H","UseDPDF=Y")</f>
        <v>#NAME?</v>
      </c>
      <c r="AT572" s="2" t="e">
        <f ca="1">_xll.BDH($C$553,"INVENTORY_5_YEAR_GROWTH","FQ4 2017","FQ4 2017","Currency=INR","Period=FQ","BEST_FPERIOD_OVERRIDE=FQ","FILING_STATUS=OR","EQY_CONSOLIDATED=Y","Sort=A","Dates=H","DateFormat=P","Fill=—","Direction=H","UseDPDF=Y")</f>
        <v>#NAME?</v>
      </c>
      <c r="AU572" s="2" t="e">
        <f ca="1">_xll.BDH($C$553,"NET_FIXED_ASSETS_5_YEAR_GROWTH","FQ4 2017","FQ4 2017","Currency=INR","Period=FQ","BEST_FPERIOD_OVERRIDE=FQ","FILING_STATUS=OR","EQY_CONSOLIDATED=Y","Sort=A","Dates=H","DateFormat=P","Fill=—","Direction=H","UseDPDF=Y")</f>
        <v>#NAME?</v>
      </c>
      <c r="AV572" s="2" t="e">
        <f ca="1">_xll.BDH($C$553,"GEO_GROW_TOT_ASSET","FQ4 2017","FQ4 2017","Currency=INR","Period=FQ","BEST_FPERIOD_OVERRIDE=FQ","FILING_STATUS=OR","EQY_CONSOLIDATED=Y","Sort=A","Dates=H","DateFormat=P","Fill=—","Direction=H","UseDPDF=Y")</f>
        <v>#NAME?</v>
      </c>
      <c r="AW572" s="2" t="e">
        <f ca="1">_xll.BDH($C$553,"MODIFIED_WORKING_CPTL_5YR_GRWTH","FQ4 2017","FQ4 2017","Currency=INR","Period=FQ","BEST_FPERIOD_OVERRIDE=FQ","FILING_STATUS=OR","EQY_CONSOLIDATED=Y","Sort=A","Dates=H","DateFormat=P","Fill=—","Direction=H","UseDPDF=Y")</f>
        <v>#NAME?</v>
      </c>
      <c r="AX572" s="2" t="e">
        <f ca="1">_xll.BDH($C$553,"WORKING_CAPITAL_5_YEAR_GROWTH","FQ4 2017","FQ4 2017","Currency=INR","Period=FQ","BEST_FPERIOD_OVERRIDE=FQ","FILING_STATUS=OR","EQY_CONSOLIDATED=Y","Sort=A","Dates=H","DateFormat=P","Fill=—","Direction=H","UseDPDF=Y")</f>
        <v>#NAME?</v>
      </c>
      <c r="AY572" s="2" t="e">
        <f ca="1">_xll.BDH($C$553,"ACCOUNTS_PAYABLE_5_YEAR_GROWTH","FQ4 2017","FQ4 2017","Currency=INR","Period=FQ","BEST_FPERIOD_OVERRIDE=FQ","FILING_STATUS=OR","EQY_CONSOLIDATED=Y","Sort=A","Dates=H","DateFormat=P","Fill=—","Direction=H","UseDPDF=Y")</f>
        <v>#NAME?</v>
      </c>
      <c r="AZ572" s="2" t="e">
        <f ca="1">_xll.BDH($C$553,"SHORT_TERM_DEBT_5_YEAR_GROWTH","FQ4 2017","FQ4 2017","Currency=INR","Period=FQ","BEST_FPERIOD_OVERRIDE=FQ","FILING_STATUS=OR","EQY_CONSOLIDATED=Y","Sort=A","Dates=H","DateFormat=P","Fill=—","Direction=H","UseDPDF=Y")</f>
        <v>#NAME?</v>
      </c>
      <c r="BA572" s="2" t="e">
        <f ca="1">_xll.BDH($C$553,"TOTAL_DEBT_5_YEAR_GROWTH","FQ4 2017","FQ4 2017","Currency=INR","Period=FQ","BEST_FPERIOD_OVERRIDE=FQ","FILING_STATUS=OR","EQY_CONSOLIDATED=Y","Sort=A","Dates=H","DateFormat=P","Fill=—","Direction=H","UseDPDF=Y")</f>
        <v>#NAME?</v>
      </c>
      <c r="BB572" s="2" t="e">
        <f ca="1">_xll.BDH($C$553,"GEO_GROW_TOT_SHRHLDR_EQY","FQ4 2017","FQ4 2017","Currency=INR","Period=FQ","BEST_FPERIOD_OVERRIDE=FQ","FILING_STATUS=OR","EQY_CONSOLIDATED=Y","Sort=A","Dates=H","DateFormat=P","Fill=—","Direction=H","UseDPDF=Y")</f>
        <v>#NAME?</v>
      </c>
      <c r="BC572" s="2" t="e">
        <f ca="1">_xll.BDH($C$553,"TOTAL_CAPITAL_5_YEAR_GROWTH","FQ4 2017","FQ4 2017","Currency=INR","Period=FQ","BEST_FPERIOD_OVERRIDE=FQ","FILING_STATUS=OR","EQY_CONSOLIDATED=Y","Sort=A","Dates=H","DateFormat=P","Fill=—","Direction=H","UseDPDF=Y")</f>
        <v>#NAME?</v>
      </c>
      <c r="BD572" s="2" t="e">
        <f ca="1">_xll.BDH($C$553,"GEO_GROW_BOOK_VAL","FQ4 2017","FQ4 2017","Currency=INR","Period=FQ","BEST_FPERIOD_OVERRIDE=FQ","FILING_STATUS=OR","EQY_CONSOLIDATED=Y","Sort=A","Dates=H","DateFormat=P","Fill=—","Direction=H","UseDPDF=Y")</f>
        <v>#NAME?</v>
      </c>
      <c r="BE572" s="2" t="e">
        <f ca="1">_xll.BDH($C$553,"GEO_GROW_CASH_OPER_ACT","FQ4 2017","FQ4 2017","Currency=INR","Period=FQ","BEST_FPERIOD_OVERRIDE=FQ","FILING_STATUS=OR","EQY_CONSOLIDATED=Y","Sort=A","Dates=H","DateFormat=P","Fill=—","Direction=H","UseDPDF=Y")</f>
        <v>#NAME?</v>
      </c>
      <c r="BF572" s="2" t="e">
        <f ca="1">_xll.BDH($C$553,"REVENUE_SEQUENTIAL_GROWTH","FQ4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72" s="2" t="e">
        <f ca="1">_xll.BDH($C$553,"EBITDA_SEQUENTIAL_GROWTH","FQ4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72" s="2" t="e">
        <f ca="1">_xll.BDH($C$553,"OPERATING_INCOME_SEQ_GROWTH","FQ4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72" s="2" t="e">
        <f ca="1">_xll.BDH($C$553,"NET_INCOME_TO_COMMON_SEQ_GROWTH","FQ4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72" s="2" t="e">
        <f ca="1">_xll.BDH($C$553,"EPS_DILUTED_SEQUENTIAL_GROWTH","FQ4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72" s="2" t="e">
        <f ca="1">_xll.BDH($C$553,"DPS_SEQUENTIAL_GROWTH","FQ4 2017","FQ4 2017","Currency=INR","Period=FQ","BEST_FPERIOD_OVERRIDE=FQ","FILING_STATUS=OR","EQY_CONSOLIDATED=Y","Sort=A","Dates=H","DateFormat=P","Fill=—","Direction=H","UseDPDF=Y")</f>
        <v>#NAME?</v>
      </c>
      <c r="BL572" s="2" t="e">
        <f ca="1">_xll.BDH($C$553,"ACCOUNTS_RECEIVABLE_SEQ_GROWTH","FQ4 2017","FQ4 2017","Currency=INR","Period=FQ","BEST_FPERIOD_OVERRIDE=FQ","FILING_STATUS=OR","EQY_CONSOLIDATED=Y","Sort=A","Dates=H","DateFormat=P","Fill=—","Direction=H","UseDPDF=Y")</f>
        <v>#NAME?</v>
      </c>
      <c r="BM572" s="2" t="e">
        <f ca="1">_xll.BDH($C$553,"INVENTORY_SEQUENTIAL_GROWTH","FQ4 2017","FQ4 2017","Currency=INR","Period=FQ","BEST_FPERIOD_OVERRIDE=FQ","FILING_STATUS=OR","EQY_CONSOLIDATED=Y","Sort=A","Dates=H","DateFormat=P","Fill=—","Direction=H","UseDPDF=Y")</f>
        <v>#NAME?</v>
      </c>
      <c r="BN572" s="2" t="e">
        <f ca="1">_xll.BDH($C$553,"FIXED_ASSETS_SEQUENTIAL_GROWTH","FQ4 2017","FQ4 2017","Currency=INR","Period=FQ","BEST_FPERIOD_OVERRIDE=FQ","FILING_STATUS=OR","EQY_CONSOLIDATED=Y","Sort=A","Dates=H","DateFormat=P","Fill=—","Direction=H","UseDPDF=Y")</f>
        <v>#NAME?</v>
      </c>
      <c r="BO572" s="2" t="e">
        <f ca="1">_xll.BDH($C$553,"TOTAL_ASSETS_SEQUENTIAL_GROWTH","FQ4 2017","FQ4 2017","Currency=INR","Period=FQ","BEST_FPERIOD_OVERRIDE=FQ","FILING_STATUS=OR","EQY_CONSOLIDATED=Y","Sort=A","Dates=H","DateFormat=P","Fill=—","Direction=H","UseDPDF=Y")</f>
        <v>#NAME?</v>
      </c>
      <c r="BP572" s="2" t="e">
        <f ca="1">_xll.BDH($C$553,"MODIFIED_WORKING_CPTL_SEQ_GRWTH","FQ4 2017","FQ4 2017","Currency=INR","Period=FQ","BEST_FPERIOD_OVERRIDE=FQ","FILING_STATUS=OR","EQY_CONSOLIDATED=Y","Sort=A","Dates=H","DateFormat=P","Fill=—","Direction=H","UseDPDF=Y")</f>
        <v>#NAME?</v>
      </c>
      <c r="BQ572" s="2" t="e">
        <f ca="1">_xll.BDH($C$553,"WORKING_CAPITAL_SEQ_GROWTH","FQ4 2017","FQ4 2017","Currency=INR","Period=FQ","BEST_FPERIOD_OVERRIDE=FQ","FILING_STATUS=OR","EQY_CONSOLIDATED=Y","Sort=A","Dates=H","DateFormat=P","Fill=—","Direction=H","UseDPDF=Y")</f>
        <v>#NAME?</v>
      </c>
      <c r="BR572" s="2" t="e">
        <f ca="1">_xll.BDH($C$553,"ACCOUNTS_PAYABLE_SEQ_GROWTH","FQ4 2017","FQ4 2017","Currency=INR","Period=FQ","BEST_FPERIOD_OVERRIDE=FQ","FILING_STATUS=OR","EQY_CONSOLIDATED=Y","Sort=A","Dates=H","DateFormat=P","Fill=—","Direction=H","UseDPDF=Y")</f>
        <v>#NAME?</v>
      </c>
      <c r="BS572" s="2" t="e">
        <f ca="1">_xll.BDH($C$553,"ST_DEBT_SEQUENTIAL_GROWTH","FQ4 2017","FQ4 2017","Currency=INR","Period=FQ","BEST_FPERIOD_OVERRIDE=FQ","FILING_STATUS=OR","EQY_CONSOLIDATED=Y","Sort=A","Dates=H","DateFormat=P","Fill=—","Direction=H","UseDPDF=Y")</f>
        <v>#NAME?</v>
      </c>
      <c r="BT572" s="2" t="e">
        <f ca="1">_xll.BDH($C$553,"TOTAL_DEBT_SEQUENTIAL_GROWTH","FQ4 2017","FQ4 2017","Currency=INR","Period=FQ","BEST_FPERIOD_OVERRIDE=FQ","FILING_STATUS=OR","EQY_CONSOLIDATED=Y","Sort=A","Dates=H","DateFormat=P","Fill=—","Direction=H","UseDPDF=Y")</f>
        <v>#NAME?</v>
      </c>
      <c r="BU572" s="2" t="e">
        <f ca="1">_xll.BDH($C$553,"TOTAL_EQUITY_SEQUENTIAL_GROWTH","FQ4 2017","FQ4 2017","Currency=INR","Period=FQ","BEST_FPERIOD_OVERRIDE=FQ","FILING_STATUS=OR","EQY_CONSOLIDATED=Y","Sort=A","Dates=H","DateFormat=P","Fill=—","Direction=H","UseDPDF=Y")</f>
        <v>#NAME?</v>
      </c>
      <c r="BV572" s="2" t="e">
        <f ca="1">_xll.BDH($C$553,"TOTAL_CAPITAL_SEQUENTIAL_GROWTH","FQ4 2017","FQ4 2017","Currency=INR","Period=FQ","BEST_FPERIOD_OVERRIDE=FQ","FILING_STATUS=OR","EQY_CONSOLIDATED=Y","Sort=A","Dates=H","DateFormat=P","Fill=—","Direction=H","UseDPDF=Y")</f>
        <v>#NAME?</v>
      </c>
      <c r="BW572" s="2" t="e">
        <f ca="1">_xll.BDH($C$553,"BPS_SEQUENTIAL_GROWTH","FQ4 2017","FQ4 2017","Currency=INR","Period=FQ","BEST_FPERIOD_OVERRIDE=FQ","FILING_STATUS=OR","EQY_CONSOLIDATED=Y","Sort=A","Dates=H","DateFormat=P","Fill=—","Direction=H","UseDPDF=Y")</f>
        <v>#NAME?</v>
      </c>
      <c r="BX572" s="2" t="e">
        <f ca="1">_xll.BDH($C$553,"CFO_SEQUENTIAL_GROWTH","FQ4 2017","FQ4 2017","Currency=INR","Period=FQ","BEST_FPERIOD_OVERRIDE=FQ","FILING_STATUS=OR","EQY_CONSOLIDATED=Y","Sort=A","Dates=H","DateFormat=P","Fill=—","Direction=H","UseDPDF=Y")</f>
        <v>#NAME?</v>
      </c>
      <c r="BY572" s="3" t="e">
        <f ca="1">_xll.BDH($C$553,"SHORT_AND_LONG_TERM_DEBT","FQ4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72" s="3" t="e">
        <f ca="1">_xll.BDH($C$553,"BS_ST_BORROW","FQ4 2017","FQ4 2017","Currency=INR","Period=FQ","BEST_FPERIOD_OVERRIDE=FQ","FILING_STATUS=OR","EQY_CONSOLIDATED=Y","SCALING_FORMAT=MLN","Sort=A","Dates=H","DateFormat=P","Fill=—","Direction=H","UseDPDF=Y")</f>
        <v>#NAME?</v>
      </c>
      <c r="CA572" s="3" t="e">
        <f ca="1">_xll.BDH($C$553,"BS_LT_BORROW","FQ4 2017","FQ4 2017","Currency=INR","Period=FQ","BEST_FPERIOD_OVERRIDE=FQ","FILING_STATUS=OR","EQY_CONSOLIDATED=Y","SCALING_FORMAT=MLN","Sort=A","Dates=H","DateFormat=P","Fill=—","Direction=H","UseDPDF=Y")</f>
        <v>#NAME?</v>
      </c>
      <c r="CB572" s="2" t="e">
        <f ca="1">_xll.BDH($C$553,"TOT_DEBT_TO_EBITDA","FQ4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72" s="2" t="e">
        <f ca="1">_xll.BDH($C$553,"NET_DEBT_TO_EBITDA","FQ4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72" s="2" t="e">
        <f ca="1">_xll.BDH($C$553,"TOTAL_DEBT_TO_EBIT","FQ4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72" s="2" t="e">
        <f ca="1">_xll.BDH($C$553,"NET_DEBT_TO_EBIT","FQ4 2017","FQ4 2017","Currency=INR","Period=FQ","BEST_FPERIOD_OVERRIDE=FQ","FILING_STATUS=OR","EQY_CONSOLIDATED=Y","FA_ADJUSTED=GAAP","Sort=A","Dates=H","DateFormat=P","Fill=—","Direction=H","UseDPDF=Y")</f>
        <v>#NAME?</v>
      </c>
      <c r="CF572" s="2" t="e">
        <f ca="1">_xll.BDH($C$553,"EBITDA_TO_INTEREST_EXPN","FQ4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72" s="2" t="e">
        <f ca="1">_xll.BDH($C$553,"COM_EQY_TO_TOT_ASSET","FQ4 2017","FQ4 2017","Currency=INR","Period=FQ","BEST_FPERIOD_OVERRIDE=FQ","FILING_STATUS=OR","EQY_CONSOLIDATED=Y","Sort=A","Dates=H","DateFormat=P","Fill=—","Direction=H","UseDPDF=Y")</f>
        <v>#NAME?</v>
      </c>
      <c r="CH572" s="2" t="e">
        <f ca="1">_xll.BDH($C$553,"LT_DEBT_TO_TOT_EQY","FQ4 2017","FQ4 2017","Currency=INR","Period=FQ","BEST_FPERIOD_OVERRIDE=FQ","FILING_STATUS=OR","EQY_CONSOLIDATED=Y","Sort=A","Dates=H","DateFormat=P","Fill=—","Direction=H","UseDPDF=Y")</f>
        <v>#NAME?</v>
      </c>
      <c r="CI572" s="2" t="e">
        <f ca="1">_xll.BDH($C$553,"LT_DEBT_TO_TOT_CAP","FQ4 2017","FQ4 2017","Currency=INR","Period=FQ","BEST_FPERIOD_OVERRIDE=FQ","FILING_STATUS=OR","EQY_CONSOLIDATED=Y","Sort=A","Dates=H","DateFormat=P","Fill=—","Direction=H","UseDPDF=Y")</f>
        <v>#NAME?</v>
      </c>
      <c r="CJ572" s="2" t="e">
        <f ca="1">_xll.BDH($C$553,"LT_DEBT_TO_TOT_ASSET","FQ4 2017","FQ4 2017","Currency=INR","Period=FQ","BEST_FPERIOD_OVERRIDE=FQ","FILING_STATUS=OR","EQY_CONSOLIDATED=Y","Sort=A","Dates=H","DateFormat=P","Fill=—","Direction=H","UseDPDF=Y")</f>
        <v>#NAME?</v>
      </c>
      <c r="CK572" s="2" t="e">
        <f ca="1">_xll.BDH($C$553,"TOT_DEBT_TO_TOT_EQY","FQ4 2017","FQ4 2017","Currency=INR","Period=FQ","BEST_FPERIOD_OVERRIDE=FQ","FILING_STATUS=OR","EQY_CONSOLIDATED=Y","Sort=A","Dates=H","DateFormat=P","Fill=—","Direction=H","UseDPDF=Y")</f>
        <v>#NAME?</v>
      </c>
      <c r="CL572" s="2" t="e">
        <f ca="1">_xll.BDH($C$553,"TOT_DEBT_TO_TOT_CAP","FQ4 2017","FQ4 2017","Currency=INR","Period=FQ","BEST_FPERIOD_OVERRIDE=FQ","FILING_STATUS=OR","EQY_CONSOLIDATED=Y","Sort=A","Dates=H","DateFormat=P","Fill=—","Direction=H","UseDPDF=Y")</f>
        <v>#NAME?</v>
      </c>
      <c r="CM572" s="2" t="e">
        <f ca="1">_xll.BDH($C$553,"TOT_DEBT_TO_TOT_ASSET","FQ4 2017","FQ4 2017","Currency=INR","Period=FQ","BEST_FPERIOD_OVERRIDE=FQ","FILING_STATUS=OR","EQY_CONSOLIDATED=Y","Sort=A","Dates=H","DateFormat=P","Fill=—","Direction=H","UseDPDF=Y")</f>
        <v>#NAME?</v>
      </c>
      <c r="CN572" s="2" t="e">
        <f ca="1">_xll.BDH($C$553,"NET_DEBT_TO_SHRHLDR_EQTY","FQ4 2017","FQ4 2017","Currency=INR","Period=FQ","BEST_FPERIOD_OVERRIDE=FQ","FILING_STATUS=OR","EQY_CONSOLIDATED=Y","Sort=A","Dates=H","DateFormat=P","Fill=—","Direction=H","UseDPDF=Y")</f>
        <v>#NAME?</v>
      </c>
      <c r="CO572" s="2" t="e">
        <f ca="1">_xll.BDH($C$553,"NET_DEBT_%_CAPITAL","FQ4 2017","FQ4 2017","Currency=INR","Period=FQ","BEST_FPERIOD_OVERRIDE=FQ","FILING_STATUS=OR","EQY_CONSOLIDATED=Y","Sort=A","Dates=H","DateFormat=P","Fill=—","Direction=H","UseDPDF=Y")</f>
        <v>#NAME?</v>
      </c>
      <c r="CP572" s="3" t="e">
        <f ca="1">_xll.BDH($C$553,"EBITDA","FQ4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72" s="3" t="e">
        <f ca="1">_xll.BDH($C$553,"EBITDA_AFTER_CAPEX","FQ4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72" s="3" t="e">
        <f ca="1">_xll.BDH($C$553,"IS_OPER_INC","FQ4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72" s="2" t="e">
        <f ca="1">_xll.BDH($C$553,"CASH_RATIO","FQ4 2017","FQ4 2017","Currency=INR","Period=FQ","BEST_FPERIOD_OVERRIDE=FQ","FILING_STATUS=OR","EQY_CONSOLIDATED=Y","Sort=A","Dates=H","DateFormat=P","Fill=—","Direction=H","UseDPDF=Y")</f>
        <v>#NAME?</v>
      </c>
      <c r="CT572" s="2" t="e">
        <f ca="1">_xll.BDH($C$553,"CUR_RATIO","FQ4 2017","FQ4 2017","Currency=INR","Period=FQ","BEST_FPERIOD_OVERRIDE=FQ","FILING_STATUS=OR","EQY_CONSOLIDATED=Y","Sort=A","Dates=H","DateFormat=P","Fill=—","Direction=H","UseDPDF=Y")</f>
        <v>#NAME?</v>
      </c>
      <c r="CU572" s="2" t="e">
        <f ca="1">_xll.BDH($C$553,"QUICK_RATIO","FQ4 2017","FQ4 2017","Currency=INR","Period=FQ","BEST_FPERIOD_OVERRIDE=FQ","FILING_STATUS=OR","EQY_CONSOLIDATED=Y","Sort=A","Dates=H","DateFormat=P","Fill=—","Direction=H","UseDPDF=Y")</f>
        <v>#NAME?</v>
      </c>
      <c r="CV572" s="2" t="e">
        <f ca="1">_xll.BDH($C$553,"ALTMAN_Z_SCORE","FQ4 2017","FQ4 2017","Currency=INR","Period=FQ","BEST_FPERIOD_OVERRIDE=FQ","FILING_STATUS=OR","EQY_CONSOLIDATED=Y","Sort=A","Dates=H","DateFormat=P","Fill=—","Direction=H","UseDPDF=Y")</f>
        <v>#NAME?</v>
      </c>
      <c r="CW572" s="4" t="e">
        <f ca="1">_xll.BDH($C$553,"ACCT_RCV_TURN","FQ4 2017","FQ4 2017","Currency=INR","Period=FQ","BEST_FPERIOD_OVERRIDE=FQ","FILING_STATUS=OR","EQY_CONSOLIDATED=Y","FA_ADJUSTED=GAAP","Sort=A","Dates=H","DateFormat=P","Fill=—","Direction=H","UseDPDF=Y")</f>
        <v>#NAME?</v>
      </c>
      <c r="CX572" s="2" t="e">
        <f ca="1">_xll.BDH($C$553,"ACCT_RCV_DAYS","FQ4 2017","FQ4 2017","Currency=INR","Period=FQ","BEST_FPERIOD_OVERRIDE=FQ","FILING_STATUS=OR","EQY_CONSOLIDATED=Y","FA_ADJUSTED=GAAP","Sort=A","Dates=H","DateFormat=P","Fill=—","Direction=H","UseDPDF=Y")</f>
        <v>#NAME?</v>
      </c>
      <c r="CY572" s="4" t="e">
        <f ca="1">_xll.BDH($C$553,"INVENT_TURN","FQ4 2017","FQ4 2017","Currency=INR","Period=FQ","BEST_FPERIOD_OVERRIDE=FQ","FILING_STATUS=OR","EQY_CONSOLIDATED=Y","FA_ADJUSTED=GAAP","Sort=A","Dates=H","DateFormat=P","Fill=—","Direction=H","UseDPDF=Y")</f>
        <v>#NAME?</v>
      </c>
      <c r="CZ572" s="2" t="e">
        <f ca="1">_xll.BDH($C$553,"INVENT_DAYS","FQ4 2017","FQ4 2017","Currency=INR","Period=FQ","BEST_FPERIOD_OVERRIDE=FQ","FILING_STATUS=OR","EQY_CONSOLIDATED=Y","FA_ADJUSTED=GAAP","Sort=A","Dates=H","DateFormat=P","Fill=—","Direction=H","UseDPDF=Y")</f>
        <v>#NAME?</v>
      </c>
      <c r="DA572" s="4" t="e">
        <f ca="1">_xll.BDH($C$553,"ACCOUNTS_PAYABLE_TURNOVER","FQ4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72" s="2" t="e">
        <f ca="1">_xll.BDH($C$553,"ACCOUNTS_PAYABLE_TURNOVER_DAYS","FQ4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72" s="4" t="e">
        <f ca="1">_xll.BDH($C$553,"CASH_CONVERSION_CYCLE","FQ4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72" s="4" t="e">
        <f ca="1">_xll.BDH($C$553,"INV_TO_CASH_DAYS","FQ4 2017","FQ4 2017","Currency=INR","Period=FQ","BEST_FPERIOD_OVERRIDE=FQ","FILING_STATUS=OR","EQY_CONSOLIDATED=Y","FA_ADJUSTED=GAAP","Sort=A","Dates=H","DateFormat=P","Fill=—","Direction=H","UseDPDF=Y")</f>
        <v>#NAME?</v>
      </c>
      <c r="DE572" s="5" t="e">
        <f ca="1">_xll.BDH($C$553,"BS_INVENTORIES","FQ4 2017","FQ4 2017","Currency=INR","Period=FQ","BEST_FPERIOD_OVERRIDE=FQ","FILING_STATUS=OR","EQY_CONSOLIDATED=Y","SCALING_FORMAT=MLN","Sort=A","Dates=H","DateFormat=P","Fill=—","Direction=H","UseDPDF=Y")</f>
        <v>#NAME?</v>
      </c>
      <c r="DF572" s="3" t="e">
        <f ca="1">_xll.BDH($C$553,"INVTRY_RAW_MATERIALS","FQ4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72" s="3" t="e">
        <f ca="1">_xll.BDH($C$553,"INVTRY_IN_PROGRESS","FQ4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72" s="3" t="e">
        <f ca="1">_xll.BDH($C$553,"INVTRY_FINISHED_GOODS","FQ4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72" s="3" t="e">
        <f ca="1">_xll.BDH($C$553,"BS_OTHER_INV","FQ4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73" spans="1:113" x14ac:dyDescent="0.3">
      <c r="A573" s="6"/>
      <c r="B573" s="6"/>
      <c r="C573" s="6"/>
      <c r="D573" s="6" t="s">
        <v>85</v>
      </c>
      <c r="E573" t="s">
        <v>77</v>
      </c>
      <c r="F573" t="e">
        <f ca="1">_xll.BDH($C$553,"RETURN_COM_EQY","FY 2018","FY 2018","Currency=INR","Period=FY","BEST_FPERIOD_OVERRIDE=FY","FILING_STATUS=OR","EQY_CONSOLIDATED=Y","FA_ADJUSTED=GAAP","Sort=A","Dates=H","DateFormat=P","Fill=—","Direction=H","UseDPDF=Y")</f>
        <v>#NAME?</v>
      </c>
      <c r="G573" t="e">
        <f ca="1">_xll.BDH($C$553,"RETURN_ON_ASSET","FY 2018","FY 2018","Currency=INR","Period=FY","BEST_FPERIOD_OVERRIDE=FY","FILING_STATUS=OR","EQY_CONSOLIDATED=Y","FA_ADJUSTED=GAAP","Sort=A","Dates=H","DateFormat=P","Fill=—","Direction=H","UseDPDF=Y")</f>
        <v>#NAME?</v>
      </c>
      <c r="H573" t="e">
        <f ca="1">_xll.BDH($C$553,"RETURN_ON_CAP","FY 2018","FY 2018","Currency=INR","Period=FY","BEST_FPERIOD_OVERRIDE=FY","FILING_STATUS=OR","EQY_CONSOLIDATED=Y","FA_ADJUSTED=GAAP","Sort=A","Dates=H","DateFormat=P","Fill=—","Direction=H","UseDPDF=Y")</f>
        <v>#NAME?</v>
      </c>
      <c r="I573" t="e">
        <f ca="1">_xll.BDH($C$553,"RETURN_ON_INV_CAPITAL","FY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73" t="e">
        <f ca="1">_xll.BDH($C$553,"EBITDA_TO_REVENUE","FY 2018","FY 2018","Currency=INR","Period=FY","BEST_FPERIOD_OVERRIDE=FY","FILING_STATUS=OR","EQY_CONSOLIDATED=Y","FA_ADJUSTED=GAAP","Sort=A","Dates=H","DateFormat=P","Fill=—","Direction=H","UseDPDF=Y")</f>
        <v>#NAME?</v>
      </c>
      <c r="K573" t="e">
        <f ca="1">_xll.BDH($C$553,"OPER_MARGIN","FY 2018","FY 2018","Currency=INR","Period=FY","BEST_FPERIOD_OVERRIDE=FY","FILING_STATUS=OR","EQY_CONSOLIDATED=Y","FA_ADJUSTED=GAAP","Sort=A","Dates=H","DateFormat=P","Fill=—","Direction=H","UseDPDF=Y")</f>
        <v>#NAME?</v>
      </c>
      <c r="L573" t="e">
        <f ca="1">_xll.BDH($C$553,"INCREMENTAL_OPERATING_MARGIN","FY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73" t="e">
        <f ca="1">_xll.BDH($C$553,"PRETAX_INC_TO_NET_SALES","FY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73" t="e">
        <f ca="1">_xll.BDH($C$553,"INC_BEF_XO_ITEMS_TO_NET_SALES","FY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73" t="e">
        <f ca="1">_xll.BDH($C$553,"PROF_MARGIN","FY 2018","FY 2018","Currency=INR","Period=FY","BEST_FPERIOD_OVERRIDE=FY","FILING_STATUS=OR","EQY_CONSOLIDATED=Y","FA_ADJUSTED=GAAP","Sort=A","Dates=H","DateFormat=P","Fill=—","Direction=H","UseDPDF=Y")</f>
        <v>#NAME?</v>
      </c>
      <c r="P573" t="e">
        <f ca="1">_xll.BDH($C$553,"NET_INCOME_TO_COMMON_MARGIN","FY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73" t="e">
        <f ca="1">_xll.BDH($C$553,"EFF_TAX_RATE","FY 2018","FY 2018","Currency=INR","Period=FY","BEST_FPERIOD_OVERRIDE=FY","FILING_STATUS=OR","EQY_CONSOLIDATED=Y","FA_ADJUSTED=GAAP","Sort=A","Dates=H","DateFormat=P","Fill=—","Direction=H","UseDPDF=Y")</f>
        <v>#NAME?</v>
      </c>
      <c r="R573" t="e">
        <f ca="1">_xll.BDH($C$553,"DVD_PAYOUT_RATIO","FY 2018","FY 2018","Currency=INR","Period=FY","BEST_FPERIOD_OVERRIDE=FY","FILING_STATUS=OR","EQY_CONSOLIDATED=Y","FA_ADJUSTED=GAAP","Sort=A","Dates=H","DateFormat=P","Fill=—","Direction=H","UseDPDF=Y")</f>
        <v>#NAME?</v>
      </c>
      <c r="S573" t="e">
        <f ca="1">_xll.BDH($C$553,"SUSTAIN_GROWTH_RT","FY 2018","FY 2018","Currency=INR","Period=FY","BEST_FPERIOD_OVERRIDE=FY","FILING_STATUS=OR","EQY_CONSOLIDATED=Y","FA_ADJUSTED=GAAP","Sort=A","Dates=H","DateFormat=P","Fill=—","Direction=H","UseDPDF=Y")</f>
        <v>#NAME?</v>
      </c>
      <c r="T573" s="2" t="e">
        <f ca="1">_xll.BDH($C$553,"SALES_GROWTH","FY 2018","FY 2018","Currency=INR","Period=FY","BEST_FPERIOD_OVERRIDE=FY","FILING_STATUS=OR","EQY_CONSOLIDATED=Y","FA_ADJUSTED=GAAP","Sort=A","Dates=H","DateFormat=P","Fill=—","Direction=H","UseDPDF=Y")</f>
        <v>#NAME?</v>
      </c>
      <c r="U573" s="2" t="e">
        <f ca="1">_xll.BDH($C$553,"EBITDA_GROWTH","FY 2018","FY 2018","Currency=INR","Period=FY","BEST_FPERIOD_OVERRIDE=FY","FILING_STATUS=OR","EQY_CONSOLIDATED=Y","FA_ADJUSTED=GAAP","Sort=A","Dates=H","DateFormat=P","Fill=—","Direction=H","UseDPDF=Y")</f>
        <v>#NAME?</v>
      </c>
      <c r="V573" s="2" t="e">
        <f ca="1">_xll.BDH($C$553,"OPER_INC_GROWTH","FY 2018","FY 2018","Currency=INR","Period=FY","BEST_FPERIOD_OVERRIDE=FY","FILING_STATUS=OR","EQY_CONSOLIDATED=Y","FA_ADJUSTED=GAAP","Sort=A","Dates=H","DateFormat=P","Fill=—","Direction=H","UseDPDF=Y")</f>
        <v>#NAME?</v>
      </c>
      <c r="W573" s="2" t="e">
        <f ca="1">_xll.BDH($C$553,"EARN_FOR_COM_GROWTH","FY 2018","FY 2018","Currency=INR","Period=FY","BEST_FPERIOD_OVERRIDE=FY","FILING_STATUS=OR","EQY_CONSOLIDATED=Y","FA_ADJUSTED=GAAP","Sort=A","Dates=H","DateFormat=P","Fill=—","Direction=H","UseDPDF=Y")</f>
        <v>#NAME?</v>
      </c>
      <c r="X573" s="2" t="e">
        <f ca="1">_xll.BDH($C$553,"DILUTED_EPS_AFT_XO_ITEMS_GROWTH","FY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73" s="2" t="e">
        <f ca="1">_xll.BDH($C$553,"DIVIDEND_PER_SHARE_1_YEAR_GROWTH","FY 2018","FY 2018","Currency=INR","Period=FY","BEST_FPERIOD_OVERRIDE=FY","FILING_STATUS=OR","EQY_CONSOLIDATED=Y","Sort=A","Dates=H","DateFormat=P","Fill=—","Direction=H","UseDPDF=Y")</f>
        <v>#NAME?</v>
      </c>
      <c r="Z573" s="2" t="e">
        <f ca="1">_xll.BDH($C$553,"ACCOUNTS_RECEIVABLE_GROWTH","FY 2018","FY 2018","Currency=INR","Period=FY","BEST_FPERIOD_OVERRIDE=FY","FILING_STATUS=OR","EQY_CONSOLIDATED=Y","Sort=A","Dates=H","DateFormat=P","Fill=—","Direction=H","UseDPDF=Y")</f>
        <v>#NAME?</v>
      </c>
      <c r="AA573" s="2" t="e">
        <f ca="1">_xll.BDH($C$553,"INVENTORY_GROWTH","FY 2018","FY 2018","Currency=INR","Period=FY","BEST_FPERIOD_OVERRIDE=FY","FILING_STATUS=OR","EQY_CONSOLIDATED=Y","Sort=A","Dates=H","DateFormat=P","Fill=—","Direction=H","UseDPDF=Y")</f>
        <v>#NAME?</v>
      </c>
      <c r="AB573" s="2" t="e">
        <f ca="1">_xll.BDH($C$553,"NET_FIXED_ASSETS_1_YEAR_GROWTH","FY 2018","FY 2018","Currency=INR","Period=FY","BEST_FPERIOD_OVERRIDE=FY","FILING_STATUS=OR","EQY_CONSOLIDATED=Y","Sort=A","Dates=H","DateFormat=P","Fill=—","Direction=H","UseDPDF=Y")</f>
        <v>#NAME?</v>
      </c>
      <c r="AC573" s="2" t="e">
        <f ca="1">_xll.BDH($C$553,"ASSET_GROWTH","FY 2018","FY 2018","Currency=INR","Period=FY","BEST_FPERIOD_OVERRIDE=FY","FILING_STATUS=OR","EQY_CONSOLIDATED=Y","Sort=A","Dates=H","DateFormat=P","Fill=—","Direction=H","UseDPDF=Y")</f>
        <v>#NAME?</v>
      </c>
      <c r="AD573" s="2" t="e">
        <f ca="1">_xll.BDH($C$553,"MODIFIED_WORK_CAP_GROWTH","FY 2018","FY 2018","Currency=INR","Period=FY","BEST_FPERIOD_OVERRIDE=FY","FILING_STATUS=OR","EQY_CONSOLIDATED=Y","Sort=A","Dates=H","DateFormat=P","Fill=—","Direction=H","UseDPDF=Y")</f>
        <v>#NAME?</v>
      </c>
      <c r="AE573" s="2" t="e">
        <f ca="1">_xll.BDH($C$553,"WORK_CAP_GROWTH","FY 2018","FY 2018","Currency=INR","Period=FY","BEST_FPERIOD_OVERRIDE=FY","FILING_STATUS=OR","EQY_CONSOLIDATED=Y","Sort=A","Dates=H","DateFormat=P","Fill=—","Direction=H","UseDPDF=Y")</f>
        <v>#NAME?</v>
      </c>
      <c r="AF573" s="2" t="e">
        <f ca="1">_xll.BDH($C$553,"ACCOUNTS_PAYABLE_GROWTH_1YR","FY 2018","FY 2018","Currency=INR","Period=FY","BEST_FPERIOD_OVERRIDE=FY","FILING_STATUS=OR","EQY_CONSOLIDATED=Y","Sort=A","Dates=H","DateFormat=P","Fill=—","Direction=H","UseDPDF=Y")</f>
        <v>#NAME?</v>
      </c>
      <c r="AG573" s="2" t="e">
        <f ca="1">_xll.BDH($C$553,"SHORT_TERM_DEBT_1_YEAR_GROWTH","FY 2018","FY 2018","Currency=INR","Period=FY","BEST_FPERIOD_OVERRIDE=FY","FILING_STATUS=OR","EQY_CONSOLIDATED=Y","Sort=A","Dates=H","DateFormat=P","Fill=—","Direction=H","UseDPDF=Y")</f>
        <v>#NAME?</v>
      </c>
      <c r="AH573" s="2" t="e">
        <f ca="1">_xll.BDH($C$553,"TOTAL_DEBT_1_YEAR_GROWTH","FY 2018","FY 2018","Currency=INR","Period=FY","BEST_FPERIOD_OVERRIDE=FY","FILING_STATUS=OR","EQY_CONSOLIDATED=Y","Sort=A","Dates=H","DateFormat=P","Fill=—","Direction=H","UseDPDF=Y")</f>
        <v>#NAME?</v>
      </c>
      <c r="AI573" s="2" t="e">
        <f ca="1">_xll.BDH($C$553,"TOTAL_EQUITY_1_YEAR_GROWTH","FY 2018","FY 2018","Currency=INR","Period=FY","BEST_FPERIOD_OVERRIDE=FY","FILING_STATUS=OR","EQY_CONSOLIDATED=Y","Sort=A","Dates=H","DateFormat=P","Fill=—","Direction=H","UseDPDF=Y")</f>
        <v>#NAME?</v>
      </c>
      <c r="AJ573" s="2" t="e">
        <f ca="1">_xll.BDH($C$553,"GROWTH_IN_CAP","FY 2018","FY 2018","Currency=INR","Period=FY","BEST_FPERIOD_OVERRIDE=FY","FILING_STATUS=OR","EQY_CONSOLIDATED=Y","Sort=A","Dates=H","DateFormat=P","Fill=—","Direction=H","UseDPDF=Y")</f>
        <v>#NAME?</v>
      </c>
      <c r="AK573" s="2" t="e">
        <f ca="1">_xll.BDH($C$553,"BVPS_GROWTH","FY 2018","FY 2018","Currency=INR","Period=FY","BEST_FPERIOD_OVERRIDE=FY","FILING_STATUS=OR","EQY_CONSOLIDATED=Y","Sort=A","Dates=H","DateFormat=P","Fill=—","Direction=H","UseDPDF=Y")</f>
        <v>#NAME?</v>
      </c>
      <c r="AL573" s="2" t="e">
        <f ca="1">_xll.BDH($C$553,"CASH_FLOW_GROWTH","FY 2018","FY 2018","Currency=INR","Period=FY","BEST_FPERIOD_OVERRIDE=FY","FILING_STATUS=OR","EQY_CONSOLIDATED=Y","Sort=A","Dates=H","DateFormat=P","Fill=—","Direction=H","UseDPDF=Y")</f>
        <v>#NAME?</v>
      </c>
      <c r="AM573" s="2" t="e">
        <f ca="1">_xll.BDH($C$553,"GEO_GROW_NET_SALES","FY 2018","FY 2018","Currency=INR","Period=FY","BEST_FPERIOD_OVERRIDE=FY","FILING_STATUS=OR","EQY_CONSOLIDATED=Y","FA_ADJUSTED=GAAP","Sort=A","Dates=H","DateFormat=P","Fill=—","Direction=H","UseDPDF=Y")</f>
        <v>#NAME?</v>
      </c>
      <c r="AN573" s="2" t="e">
        <f ca="1">_xll.BDH($C$553,"GEO_GROW_EBITDA","FY 2018","FY 2018","Currency=INR","Period=FY","BEST_FPERIOD_OVERRIDE=FY","FILING_STATUS=OR","EQY_CONSOLIDATED=Y","FA_ADJUSTED=GAAP","Sort=A","Dates=H","DateFormat=P","Fill=—","Direction=H","UseDPDF=Y")</f>
        <v>#NAME?</v>
      </c>
      <c r="AO573" s="2" t="e">
        <f ca="1">_xll.BDH($C$553,"GEO_GROW_OPER_INC","FY 2018","FY 2018","Currency=INR","Period=FY","BEST_FPERIOD_OVERRIDE=FY","FILING_STATUS=OR","EQY_CONSOLIDATED=Y","FA_ADJUSTED=GAAP","Sort=A","Dates=H","DateFormat=P","Fill=—","Direction=H","UseDPDF=Y")</f>
        <v>#NAME?</v>
      </c>
      <c r="AP573" s="2" t="e">
        <f ca="1">_xll.BDH($C$553,"NET_INCOME_TO_COMMON_5_YR_GROWTH","FY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73" s="2" t="e">
        <f ca="1">_xll.BDH($C$553,"5Y_GEO_GROWTH_DILUTED_EPS","FY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73" s="2" t="e">
        <f ca="1">_xll.BDH($C$553,"GEO_GROW_DVD_PER_SH","FY 2018","FY 2018","Currency=INR","Period=FY","BEST_FPERIOD_OVERRIDE=FY","FILING_STATUS=OR","EQY_CONSOLIDATED=Y","Sort=A","Dates=H","DateFormat=P","Fill=—","Direction=H","UseDPDF=Y")</f>
        <v>#NAME?</v>
      </c>
      <c r="AS573" s="2" t="e">
        <f ca="1">_xll.BDH($C$553,"ACCOUNTS_RECEIVABLE_5_YR_GROWTH","FY 2018","FY 2018","Currency=INR","Period=FY","BEST_FPERIOD_OVERRIDE=FY","FILING_STATUS=OR","EQY_CONSOLIDATED=Y","Sort=A","Dates=H","DateFormat=P","Fill=—","Direction=H","UseDPDF=Y")</f>
        <v>#NAME?</v>
      </c>
      <c r="AT573" s="2" t="e">
        <f ca="1">_xll.BDH($C$553,"INVENTORY_5_YEAR_GROWTH","FY 2018","FY 2018","Currency=INR","Period=FY","BEST_FPERIOD_OVERRIDE=FY","FILING_STATUS=OR","EQY_CONSOLIDATED=Y","Sort=A","Dates=H","DateFormat=P","Fill=—","Direction=H","UseDPDF=Y")</f>
        <v>#NAME?</v>
      </c>
      <c r="AU573" s="2" t="e">
        <f ca="1">_xll.BDH($C$553,"NET_FIXED_ASSETS_5_YEAR_GROWTH","FY 2018","FY 2018","Currency=INR","Period=FY","BEST_FPERIOD_OVERRIDE=FY","FILING_STATUS=OR","EQY_CONSOLIDATED=Y","Sort=A","Dates=H","DateFormat=P","Fill=—","Direction=H","UseDPDF=Y")</f>
        <v>#NAME?</v>
      </c>
      <c r="AV573" s="2" t="e">
        <f ca="1">_xll.BDH($C$553,"GEO_GROW_TOT_ASSET","FY 2018","FY 2018","Currency=INR","Period=FY","BEST_FPERIOD_OVERRIDE=FY","FILING_STATUS=OR","EQY_CONSOLIDATED=Y","Sort=A","Dates=H","DateFormat=P","Fill=—","Direction=H","UseDPDF=Y")</f>
        <v>#NAME?</v>
      </c>
      <c r="AW573" s="2" t="e">
        <f ca="1">_xll.BDH($C$553,"MODIFIED_WORKING_CPTL_5YR_GRWTH","FY 2018","FY 2018","Currency=INR","Period=FY","BEST_FPERIOD_OVERRIDE=FY","FILING_STATUS=OR","EQY_CONSOLIDATED=Y","Sort=A","Dates=H","DateFormat=P","Fill=—","Direction=H","UseDPDF=Y")</f>
        <v>#NAME?</v>
      </c>
      <c r="AX573" s="2" t="e">
        <f ca="1">_xll.BDH($C$553,"WORKING_CAPITAL_5_YEAR_GROWTH","FY 2018","FY 2018","Currency=INR","Period=FY","BEST_FPERIOD_OVERRIDE=FY","FILING_STATUS=OR","EQY_CONSOLIDATED=Y","Sort=A","Dates=H","DateFormat=P","Fill=—","Direction=H","UseDPDF=Y")</f>
        <v>#NAME?</v>
      </c>
      <c r="AY573" s="2" t="e">
        <f ca="1">_xll.BDH($C$553,"ACCOUNTS_PAYABLE_5_YEAR_GROWTH","FY 2018","FY 2018","Currency=INR","Period=FY","BEST_FPERIOD_OVERRIDE=FY","FILING_STATUS=OR","EQY_CONSOLIDATED=Y","Sort=A","Dates=H","DateFormat=P","Fill=—","Direction=H","UseDPDF=Y")</f>
        <v>#NAME?</v>
      </c>
      <c r="AZ573" s="2" t="e">
        <f ca="1">_xll.BDH($C$553,"SHORT_TERM_DEBT_5_YEAR_GROWTH","FY 2018","FY 2018","Currency=INR","Period=FY","BEST_FPERIOD_OVERRIDE=FY","FILING_STATUS=OR","EQY_CONSOLIDATED=Y","Sort=A","Dates=H","DateFormat=P","Fill=—","Direction=H","UseDPDF=Y")</f>
        <v>#NAME?</v>
      </c>
      <c r="BA573" s="2" t="e">
        <f ca="1">_xll.BDH($C$553,"TOTAL_DEBT_5_YEAR_GROWTH","FY 2018","FY 2018","Currency=INR","Period=FY","BEST_FPERIOD_OVERRIDE=FY","FILING_STATUS=OR","EQY_CONSOLIDATED=Y","Sort=A","Dates=H","DateFormat=P","Fill=—","Direction=H","UseDPDF=Y")</f>
        <v>#NAME?</v>
      </c>
      <c r="BB573" s="2" t="e">
        <f ca="1">_xll.BDH($C$553,"GEO_GROW_TOT_SHRHLDR_EQY","FY 2018","FY 2018","Currency=INR","Period=FY","BEST_FPERIOD_OVERRIDE=FY","FILING_STATUS=OR","EQY_CONSOLIDATED=Y","Sort=A","Dates=H","DateFormat=P","Fill=—","Direction=H","UseDPDF=Y")</f>
        <v>#NAME?</v>
      </c>
      <c r="BC573" s="2" t="e">
        <f ca="1">_xll.BDH($C$553,"TOTAL_CAPITAL_5_YEAR_GROWTH","FY 2018","FY 2018","Currency=INR","Period=FY","BEST_FPERIOD_OVERRIDE=FY","FILING_STATUS=OR","EQY_CONSOLIDATED=Y","Sort=A","Dates=H","DateFormat=P","Fill=—","Direction=H","UseDPDF=Y")</f>
        <v>#NAME?</v>
      </c>
      <c r="BD573" s="2" t="e">
        <f ca="1">_xll.BDH($C$553,"GEO_GROW_BOOK_VAL","FY 2018","FY 2018","Currency=INR","Period=FY","BEST_FPERIOD_OVERRIDE=FY","FILING_STATUS=OR","EQY_CONSOLIDATED=Y","Sort=A","Dates=H","DateFormat=P","Fill=—","Direction=H","UseDPDF=Y")</f>
        <v>#NAME?</v>
      </c>
      <c r="BE573" s="2" t="e">
        <f ca="1">_xll.BDH($C$553,"GEO_GROW_CASH_OPER_ACT","FY 2018","FY 2018","Currency=INR","Period=FY","BEST_FPERIOD_OVERRIDE=FY","FILING_STATUS=OR","EQY_CONSOLIDATED=Y","Sort=A","Dates=H","DateFormat=P","Fill=—","Direction=H","UseDPDF=Y")</f>
        <v>#NAME?</v>
      </c>
      <c r="BF573" s="2" t="e">
        <f ca="1">_xll.BDH($C$553,"REVENUE_SEQUENTIAL_GROWTH","FY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73" s="2" t="e">
        <f ca="1">_xll.BDH($C$553,"EBITDA_SEQUENTIAL_GROWTH","FY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73" s="2" t="e">
        <f ca="1">_xll.BDH($C$553,"OPERATING_INCOME_SEQ_GROWTH","FY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73" s="2" t="e">
        <f ca="1">_xll.BDH($C$553,"NET_INCOME_TO_COMMON_SEQ_GROWTH","FY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73" s="2" t="e">
        <f ca="1">_xll.BDH($C$553,"EPS_DILUTED_SEQUENTIAL_GROWTH","FY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73" s="2" t="e">
        <f ca="1">_xll.BDH($C$553,"DPS_SEQUENTIAL_GROWTH","FY 2018","FY 2018","Currency=INR","Period=FY","BEST_FPERIOD_OVERRIDE=FY","FILING_STATUS=OR","EQY_CONSOLIDATED=Y","Sort=A","Dates=H","DateFormat=P","Fill=—","Direction=H","UseDPDF=Y")</f>
        <v>#NAME?</v>
      </c>
      <c r="BL573" s="2" t="e">
        <f ca="1">_xll.BDH($C$553,"ACCOUNTS_RECEIVABLE_SEQ_GROWTH","FY 2018","FY 2018","Currency=INR","Period=FY","BEST_FPERIOD_OVERRIDE=FY","FILING_STATUS=OR","EQY_CONSOLIDATED=Y","Sort=A","Dates=H","DateFormat=P","Fill=—","Direction=H","UseDPDF=Y")</f>
        <v>#NAME?</v>
      </c>
      <c r="BM573" s="2" t="e">
        <f ca="1">_xll.BDH($C$553,"INVENTORY_SEQUENTIAL_GROWTH","FY 2018","FY 2018","Currency=INR","Period=FY","BEST_FPERIOD_OVERRIDE=FY","FILING_STATUS=OR","EQY_CONSOLIDATED=Y","Sort=A","Dates=H","DateFormat=P","Fill=—","Direction=H","UseDPDF=Y")</f>
        <v>#NAME?</v>
      </c>
      <c r="BN573" s="2" t="e">
        <f ca="1">_xll.BDH($C$553,"FIXED_ASSETS_SEQUENTIAL_GROWTH","FY 2018","FY 2018","Currency=INR","Period=FY","BEST_FPERIOD_OVERRIDE=FY","FILING_STATUS=OR","EQY_CONSOLIDATED=Y","Sort=A","Dates=H","DateFormat=P","Fill=—","Direction=H","UseDPDF=Y")</f>
        <v>#NAME?</v>
      </c>
      <c r="BO573" s="2" t="e">
        <f ca="1">_xll.BDH($C$553,"TOTAL_ASSETS_SEQUENTIAL_GROWTH","FY 2018","FY 2018","Currency=INR","Period=FY","BEST_FPERIOD_OVERRIDE=FY","FILING_STATUS=OR","EQY_CONSOLIDATED=Y","Sort=A","Dates=H","DateFormat=P","Fill=—","Direction=H","UseDPDF=Y")</f>
        <v>#NAME?</v>
      </c>
      <c r="BP573" s="2" t="e">
        <f ca="1">_xll.BDH($C$553,"MODIFIED_WORKING_CPTL_SEQ_GRWTH","FY 2018","FY 2018","Currency=INR","Period=FY","BEST_FPERIOD_OVERRIDE=FY","FILING_STATUS=OR","EQY_CONSOLIDATED=Y","Sort=A","Dates=H","DateFormat=P","Fill=—","Direction=H","UseDPDF=Y")</f>
        <v>#NAME?</v>
      </c>
      <c r="BQ573" s="2" t="e">
        <f ca="1">_xll.BDH($C$553,"WORKING_CAPITAL_SEQ_GROWTH","FY 2018","FY 2018","Currency=INR","Period=FY","BEST_FPERIOD_OVERRIDE=FY","FILING_STATUS=OR","EQY_CONSOLIDATED=Y","Sort=A","Dates=H","DateFormat=P","Fill=—","Direction=H","UseDPDF=Y")</f>
        <v>#NAME?</v>
      </c>
      <c r="BR573" s="2" t="e">
        <f ca="1">_xll.BDH($C$553,"ACCOUNTS_PAYABLE_SEQ_GROWTH","FY 2018","FY 2018","Currency=INR","Period=FY","BEST_FPERIOD_OVERRIDE=FY","FILING_STATUS=OR","EQY_CONSOLIDATED=Y","Sort=A","Dates=H","DateFormat=P","Fill=—","Direction=H","UseDPDF=Y")</f>
        <v>#NAME?</v>
      </c>
      <c r="BS573" s="2" t="e">
        <f ca="1">_xll.BDH($C$553,"ST_DEBT_SEQUENTIAL_GROWTH","FY 2018","FY 2018","Currency=INR","Period=FY","BEST_FPERIOD_OVERRIDE=FY","FILING_STATUS=OR","EQY_CONSOLIDATED=Y","Sort=A","Dates=H","DateFormat=P","Fill=—","Direction=H","UseDPDF=Y")</f>
        <v>#NAME?</v>
      </c>
      <c r="BT573" s="2" t="e">
        <f ca="1">_xll.BDH($C$553,"TOTAL_DEBT_SEQUENTIAL_GROWTH","FY 2018","FY 2018","Currency=INR","Period=FY","BEST_FPERIOD_OVERRIDE=FY","FILING_STATUS=OR","EQY_CONSOLIDATED=Y","Sort=A","Dates=H","DateFormat=P","Fill=—","Direction=H","UseDPDF=Y")</f>
        <v>#NAME?</v>
      </c>
      <c r="BU573" s="2" t="e">
        <f ca="1">_xll.BDH($C$553,"TOTAL_EQUITY_SEQUENTIAL_GROWTH","FY 2018","FY 2018","Currency=INR","Period=FY","BEST_FPERIOD_OVERRIDE=FY","FILING_STATUS=OR","EQY_CONSOLIDATED=Y","Sort=A","Dates=H","DateFormat=P","Fill=—","Direction=H","UseDPDF=Y")</f>
        <v>#NAME?</v>
      </c>
      <c r="BV573" s="2" t="e">
        <f ca="1">_xll.BDH($C$553,"TOTAL_CAPITAL_SEQUENTIAL_GROWTH","FY 2018","FY 2018","Currency=INR","Period=FY","BEST_FPERIOD_OVERRIDE=FY","FILING_STATUS=OR","EQY_CONSOLIDATED=Y","Sort=A","Dates=H","DateFormat=P","Fill=—","Direction=H","UseDPDF=Y")</f>
        <v>#NAME?</v>
      </c>
      <c r="BW573" s="2" t="e">
        <f ca="1">_xll.BDH($C$553,"BPS_SEQUENTIAL_GROWTH","FY 2018","FY 2018","Currency=INR","Period=FY","BEST_FPERIOD_OVERRIDE=FY","FILING_STATUS=OR","EQY_CONSOLIDATED=Y","Sort=A","Dates=H","DateFormat=P","Fill=—","Direction=H","UseDPDF=Y")</f>
        <v>#NAME?</v>
      </c>
      <c r="BX573" s="2" t="e">
        <f ca="1">_xll.BDH($C$553,"CFO_SEQUENTIAL_GROWTH","FY 2018","FY 2018","Currency=INR","Period=FY","BEST_FPERIOD_OVERRIDE=FY","FILING_STATUS=OR","EQY_CONSOLIDATED=Y","Sort=A","Dates=H","DateFormat=P","Fill=—","Direction=H","UseDPDF=Y")</f>
        <v>#NAME?</v>
      </c>
      <c r="BY573" s="3" t="e">
        <f ca="1">_xll.BDH($C$553,"SHORT_AND_LONG_TERM_DEBT","FY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73" s="3" t="e">
        <f ca="1">_xll.BDH($C$553,"BS_ST_BORROW","FY 2018","FY 2018","Currency=INR","Period=FY","BEST_FPERIOD_OVERRIDE=FY","FILING_STATUS=OR","EQY_CONSOLIDATED=Y","SCALING_FORMAT=MLN","Sort=A","Dates=H","DateFormat=P","Fill=—","Direction=H","UseDPDF=Y")</f>
        <v>#NAME?</v>
      </c>
      <c r="CA573" s="3" t="e">
        <f ca="1">_xll.BDH($C$553,"BS_LT_BORROW","FY 2018","FY 2018","Currency=INR","Period=FY","BEST_FPERIOD_OVERRIDE=FY","FILING_STATUS=OR","EQY_CONSOLIDATED=Y","SCALING_FORMAT=MLN","Sort=A","Dates=H","DateFormat=P","Fill=—","Direction=H","UseDPDF=Y")</f>
        <v>#NAME?</v>
      </c>
      <c r="CB573" s="2" t="e">
        <f ca="1">_xll.BDH($C$553,"TOT_DEBT_TO_EBITDA","FY 2018","FY 2018","Currency=INR","Period=FY","BEST_FPERIOD_OVERRIDE=FY","FILING_STATUS=OR","EQY_CONSOLIDATED=Y","FA_ADJUSTED=GAAP","Sort=A","Dates=H","DateFormat=P","Fill=—","Direction=H","UseDPDF=Y")</f>
        <v>#NAME?</v>
      </c>
      <c r="CC573" s="2" t="e">
        <f ca="1">_xll.BDH($C$553,"NET_DEBT_TO_EBITDA","FY 2018","FY 2018","Currency=INR","Period=FY","BEST_FPERIOD_OVERRIDE=FY","FILING_STATUS=OR","EQY_CONSOLIDATED=Y","FA_ADJUSTED=GAAP","Sort=A","Dates=H","DateFormat=P","Fill=—","Direction=H","UseDPDF=Y")</f>
        <v>#NAME?</v>
      </c>
      <c r="CD573" s="2" t="e">
        <f ca="1">_xll.BDH($C$553,"TOTAL_DEBT_TO_EBIT","FY 2018","FY 2018","Currency=INR","Period=FY","BEST_FPERIOD_OVERRIDE=FY","FILING_STATUS=OR","EQY_CONSOLIDATED=Y","FA_ADJUSTED=GAAP","Sort=A","Dates=H","DateFormat=P","Fill=—","Direction=H","UseDPDF=Y")</f>
        <v>#NAME?</v>
      </c>
      <c r="CE573" s="2" t="e">
        <f ca="1">_xll.BDH($C$553,"NET_DEBT_TO_EBIT","FY 2018","FY 2018","Currency=INR","Period=FY","BEST_FPERIOD_OVERRIDE=FY","FILING_STATUS=OR","EQY_CONSOLIDATED=Y","FA_ADJUSTED=GAAP","Sort=A","Dates=H","DateFormat=P","Fill=—","Direction=H","UseDPDF=Y")</f>
        <v>#NAME?</v>
      </c>
      <c r="CF573" s="2" t="e">
        <f ca="1">_xll.BDH($C$553,"EBITDA_TO_INTEREST_EXPN","FY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73" s="2" t="e">
        <f ca="1">_xll.BDH($C$553,"COM_EQY_TO_TOT_ASSET","FY 2018","FY 2018","Currency=INR","Period=FY","BEST_FPERIOD_OVERRIDE=FY","FILING_STATUS=OR","EQY_CONSOLIDATED=Y","Sort=A","Dates=H","DateFormat=P","Fill=—","Direction=H","UseDPDF=Y")</f>
        <v>#NAME?</v>
      </c>
      <c r="CH573" s="2" t="e">
        <f ca="1">_xll.BDH($C$553,"LT_DEBT_TO_TOT_EQY","FY 2018","FY 2018","Currency=INR","Period=FY","BEST_FPERIOD_OVERRIDE=FY","FILING_STATUS=OR","EQY_CONSOLIDATED=Y","Sort=A","Dates=H","DateFormat=P","Fill=—","Direction=H","UseDPDF=Y")</f>
        <v>#NAME?</v>
      </c>
      <c r="CI573" s="2" t="e">
        <f ca="1">_xll.BDH($C$553,"LT_DEBT_TO_TOT_CAP","FY 2018","FY 2018","Currency=INR","Period=FY","BEST_FPERIOD_OVERRIDE=FY","FILING_STATUS=OR","EQY_CONSOLIDATED=Y","Sort=A","Dates=H","DateFormat=P","Fill=—","Direction=H","UseDPDF=Y")</f>
        <v>#NAME?</v>
      </c>
      <c r="CJ573" s="2" t="e">
        <f ca="1">_xll.BDH($C$553,"LT_DEBT_TO_TOT_ASSET","FY 2018","FY 2018","Currency=INR","Period=FY","BEST_FPERIOD_OVERRIDE=FY","FILING_STATUS=OR","EQY_CONSOLIDATED=Y","Sort=A","Dates=H","DateFormat=P","Fill=—","Direction=H","UseDPDF=Y")</f>
        <v>#NAME?</v>
      </c>
      <c r="CK573" s="2" t="e">
        <f ca="1">_xll.BDH($C$553,"TOT_DEBT_TO_TOT_EQY","FY 2018","FY 2018","Currency=INR","Period=FY","BEST_FPERIOD_OVERRIDE=FY","FILING_STATUS=OR","EQY_CONSOLIDATED=Y","Sort=A","Dates=H","DateFormat=P","Fill=—","Direction=H","UseDPDF=Y")</f>
        <v>#NAME?</v>
      </c>
      <c r="CL573" s="2" t="e">
        <f ca="1">_xll.BDH($C$553,"TOT_DEBT_TO_TOT_CAP","FY 2018","FY 2018","Currency=INR","Period=FY","BEST_FPERIOD_OVERRIDE=FY","FILING_STATUS=OR","EQY_CONSOLIDATED=Y","Sort=A","Dates=H","DateFormat=P","Fill=—","Direction=H","UseDPDF=Y")</f>
        <v>#NAME?</v>
      </c>
      <c r="CM573" s="2" t="e">
        <f ca="1">_xll.BDH($C$553,"TOT_DEBT_TO_TOT_ASSET","FY 2018","FY 2018","Currency=INR","Period=FY","BEST_FPERIOD_OVERRIDE=FY","FILING_STATUS=OR","EQY_CONSOLIDATED=Y","Sort=A","Dates=H","DateFormat=P","Fill=—","Direction=H","UseDPDF=Y")</f>
        <v>#NAME?</v>
      </c>
      <c r="CN573" s="2" t="e">
        <f ca="1">_xll.BDH($C$553,"NET_DEBT_TO_SHRHLDR_EQTY","FY 2018","FY 2018","Currency=INR","Period=FY","BEST_FPERIOD_OVERRIDE=FY","FILING_STATUS=OR","EQY_CONSOLIDATED=Y","Sort=A","Dates=H","DateFormat=P","Fill=—","Direction=H","UseDPDF=Y")</f>
        <v>#NAME?</v>
      </c>
      <c r="CO573" s="2" t="e">
        <f ca="1">_xll.BDH($C$553,"NET_DEBT_%_CAPITAL","FY 2018","FY 2018","Currency=INR","Period=FY","BEST_FPERIOD_OVERRIDE=FY","FILING_STATUS=OR","EQY_CONSOLIDATED=Y","Sort=A","Dates=H","DateFormat=P","Fill=—","Direction=H","UseDPDF=Y")</f>
        <v>#NAME?</v>
      </c>
      <c r="CP573" s="3" t="e">
        <f ca="1">_xll.BDH($C$553,"EBITDA","FY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73" s="3" t="e">
        <f ca="1">_xll.BDH($C$553,"EBITDA_AFTER_CAPEX","FY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73" s="3" t="e">
        <f ca="1">_xll.BDH($C$553,"IS_OPER_INC","FY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73" s="2" t="e">
        <f ca="1">_xll.BDH($C$553,"CASH_RATIO","FY 2018","FY 2018","Currency=INR","Period=FY","BEST_FPERIOD_OVERRIDE=FY","FILING_STATUS=OR","EQY_CONSOLIDATED=Y","Sort=A","Dates=H","DateFormat=P","Fill=—","Direction=H","UseDPDF=Y")</f>
        <v>#NAME?</v>
      </c>
      <c r="CT573" s="2" t="e">
        <f ca="1">_xll.BDH($C$553,"CUR_RATIO","FY 2018","FY 2018","Currency=INR","Period=FY","BEST_FPERIOD_OVERRIDE=FY","FILING_STATUS=OR","EQY_CONSOLIDATED=Y","Sort=A","Dates=H","DateFormat=P","Fill=—","Direction=H","UseDPDF=Y")</f>
        <v>#NAME?</v>
      </c>
      <c r="CU573" s="2" t="e">
        <f ca="1">_xll.BDH($C$553,"QUICK_RATIO","FY 2018","FY 2018","Currency=INR","Period=FY","BEST_FPERIOD_OVERRIDE=FY","FILING_STATUS=OR","EQY_CONSOLIDATED=Y","Sort=A","Dates=H","DateFormat=P","Fill=—","Direction=H","UseDPDF=Y")</f>
        <v>#NAME?</v>
      </c>
      <c r="CV573" s="2" t="e">
        <f ca="1">_xll.BDH($C$553,"ALTMAN_Z_SCORE","FY 2018","FY 2018","Currency=INR","Period=FY","BEST_FPERIOD_OVERRIDE=FY","FILING_STATUS=OR","EQY_CONSOLIDATED=Y","Sort=A","Dates=H","DateFormat=P","Fill=—","Direction=H","UseDPDF=Y")</f>
        <v>#NAME?</v>
      </c>
      <c r="CW573" s="4" t="e">
        <f ca="1">_xll.BDH($C$553,"ACCT_RCV_TURN","FY 2018","FY 2018","Currency=INR","Period=FY","BEST_FPERIOD_OVERRIDE=FY","FILING_STATUS=OR","EQY_CONSOLIDATED=Y","FA_ADJUSTED=GAAP","Sort=A","Dates=H","DateFormat=P","Fill=—","Direction=H","UseDPDF=Y")</f>
        <v>#NAME?</v>
      </c>
      <c r="CX573" s="2" t="e">
        <f ca="1">_xll.BDH($C$553,"ACCT_RCV_DAYS","FY 2018","FY 2018","Currency=INR","Period=FY","BEST_FPERIOD_OVERRIDE=FY","FILING_STATUS=OR","EQY_CONSOLIDATED=Y","FA_ADJUSTED=GAAP","Sort=A","Dates=H","DateFormat=P","Fill=—","Direction=H","UseDPDF=Y")</f>
        <v>#NAME?</v>
      </c>
      <c r="CY573" s="4" t="e">
        <f ca="1">_xll.BDH($C$553,"INVENT_TURN","FY 2018","FY 2018","Currency=INR","Period=FY","BEST_FPERIOD_OVERRIDE=FY","FILING_STATUS=OR","EQY_CONSOLIDATED=Y","FA_ADJUSTED=GAAP","Sort=A","Dates=H","DateFormat=P","Fill=—","Direction=H","UseDPDF=Y")</f>
        <v>#NAME?</v>
      </c>
      <c r="CZ573" s="2" t="e">
        <f ca="1">_xll.BDH($C$553,"INVENT_DAYS","FY 2018","FY 2018","Currency=INR","Period=FY","BEST_FPERIOD_OVERRIDE=FY","FILING_STATUS=OR","EQY_CONSOLIDATED=Y","FA_ADJUSTED=GAAP","Sort=A","Dates=H","DateFormat=P","Fill=—","Direction=H","UseDPDF=Y")</f>
        <v>#NAME?</v>
      </c>
      <c r="DA573" s="4" t="e">
        <f ca="1">_xll.BDH($C$553,"ACCOUNTS_PAYABLE_TURNOVER","FY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73" s="2" t="e">
        <f ca="1">_xll.BDH($C$553,"ACCOUNTS_PAYABLE_TURNOVER_DAYS","FY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73" s="4" t="e">
        <f ca="1">_xll.BDH($C$553,"CASH_CONVERSION_CYCLE","FY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73" s="4" t="e">
        <f ca="1">_xll.BDH($C$553,"INV_TO_CASH_DAYS","FY 2018","FY 2018","Currency=INR","Period=FY","BEST_FPERIOD_OVERRIDE=FY","FILING_STATUS=OR","EQY_CONSOLIDATED=Y","FA_ADJUSTED=GAAP","Sort=A","Dates=H","DateFormat=P","Fill=—","Direction=H","UseDPDF=Y")</f>
        <v>#NAME?</v>
      </c>
      <c r="DE573" s="5" t="e">
        <f ca="1">_xll.BDH($C$553,"BS_INVENTORIES","FY 2018","FY 2018","Currency=INR","Period=FY","BEST_FPERIOD_OVERRIDE=FY","FILING_STATUS=OR","EQY_CONSOLIDATED=Y","SCALING_FORMAT=MLN","Sort=A","Dates=H","DateFormat=P","Fill=—","Direction=H","UseDPDF=Y")</f>
        <v>#NAME?</v>
      </c>
      <c r="DF573" s="3" t="e">
        <f ca="1">_xll.BDH($C$553,"INVTRY_RAW_MATERIALS","FY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73" s="3" t="e">
        <f ca="1">_xll.BDH($C$553,"INVTRY_IN_PROGRESS","FY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73" s="3" t="e">
        <f ca="1">_xll.BDH($C$553,"INVTRY_FINISHED_GOODS","FY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73" s="3" t="e">
        <f ca="1">_xll.BDH($C$553,"BS_OTHER_INV","FY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74" spans="1:113" x14ac:dyDescent="0.3">
      <c r="A574" s="6"/>
      <c r="B574" s="6"/>
      <c r="C574" s="6"/>
      <c r="D574" s="6"/>
      <c r="E574" t="s">
        <v>78</v>
      </c>
      <c r="F574" t="e">
        <f ca="1">_xll.BDH($C$553,"RETURN_COM_EQY","FQ1 2018","FQ1 2018","Currency=INR","Period=FQ","BEST_FPERIOD_OVERRIDE=FQ","FILING_STATUS=OR","EQY_CONSOLIDATED=Y","FA_ADJUSTED=GAAP","Sort=A","Dates=H","DateFormat=P","Fill=—","Direction=H","UseDPDF=Y")</f>
        <v>#NAME?</v>
      </c>
      <c r="G574" t="e">
        <f ca="1">_xll.BDH($C$553,"RETURN_ON_ASSET","FQ1 2018","FQ1 2018","Currency=INR","Period=FQ","BEST_FPERIOD_OVERRIDE=FQ","FILING_STATUS=OR","EQY_CONSOLIDATED=Y","FA_ADJUSTED=GAAP","Sort=A","Dates=H","DateFormat=P","Fill=—","Direction=H","UseDPDF=Y")</f>
        <v>#NAME?</v>
      </c>
      <c r="H574" t="e">
        <f ca="1">_xll.BDH($C$553,"RETURN_ON_CAP","FQ1 2018","FQ1 2018","Currency=INR","Period=FQ","BEST_FPERIOD_OVERRIDE=FQ","FILING_STATUS=OR","EQY_CONSOLIDATED=Y","FA_ADJUSTED=GAAP","Sort=A","Dates=H","DateFormat=P","Fill=—","Direction=H","UseDPDF=Y")</f>
        <v>#NAME?</v>
      </c>
      <c r="I574" t="e">
        <f ca="1">_xll.BDH($C$553,"RETURN_ON_INV_CAPITAL","FQ1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74" t="e">
        <f ca="1">_xll.BDH($C$553,"EBITDA_TO_REVENUE","FQ1 2018","FQ1 2018","Currency=INR","Period=FQ","BEST_FPERIOD_OVERRIDE=FQ","FILING_STATUS=OR","EQY_CONSOLIDATED=Y","FA_ADJUSTED=GAAP","Sort=A","Dates=H","DateFormat=P","Fill=—","Direction=H","UseDPDF=Y")</f>
        <v>#NAME?</v>
      </c>
      <c r="K574" t="e">
        <f ca="1">_xll.BDH($C$553,"OPER_MARGIN","FQ1 2018","FQ1 2018","Currency=INR","Period=FQ","BEST_FPERIOD_OVERRIDE=FQ","FILING_STATUS=OR","EQY_CONSOLIDATED=Y","FA_ADJUSTED=GAAP","Sort=A","Dates=H","DateFormat=P","Fill=—","Direction=H","UseDPDF=Y")</f>
        <v>#NAME?</v>
      </c>
      <c r="L574" t="e">
        <f ca="1">_xll.BDH($C$553,"INCREMENTAL_OPERATING_MARGIN","FQ1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74" t="e">
        <f ca="1">_xll.BDH($C$553,"PRETAX_INC_TO_NET_SALES","FQ1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74" t="e">
        <f ca="1">_xll.BDH($C$553,"INC_BEF_XO_ITEMS_TO_NET_SALES","FQ1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74" t="e">
        <f ca="1">_xll.BDH($C$553,"PROF_MARGIN","FQ1 2018","FQ1 2018","Currency=INR","Period=FQ","BEST_FPERIOD_OVERRIDE=FQ","FILING_STATUS=OR","EQY_CONSOLIDATED=Y","FA_ADJUSTED=GAAP","Sort=A","Dates=H","DateFormat=P","Fill=—","Direction=H","UseDPDF=Y")</f>
        <v>#NAME?</v>
      </c>
      <c r="P574" t="e">
        <f ca="1">_xll.BDH($C$553,"NET_INCOME_TO_COMMON_MARGIN","FQ1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74" t="e">
        <f ca="1">_xll.BDH($C$553,"EFF_TAX_RATE","FQ1 2018","FQ1 2018","Currency=INR","Period=FQ","BEST_FPERIOD_OVERRIDE=FQ","FILING_STATUS=OR","EQY_CONSOLIDATED=Y","FA_ADJUSTED=GAAP","Sort=A","Dates=H","DateFormat=P","Fill=—","Direction=H","UseDPDF=Y")</f>
        <v>#NAME?</v>
      </c>
      <c r="R574" t="e">
        <f ca="1">_xll.BDH($C$553,"DVD_PAYOUT_RATIO","FQ1 2018","FQ1 2018","Currency=INR","Period=FQ","BEST_FPERIOD_OVERRIDE=FQ","FILING_STATUS=OR","EQY_CONSOLIDATED=Y","FA_ADJUSTED=GAAP","Sort=A","Dates=H","DateFormat=P","Fill=—","Direction=H","UseDPDF=Y")</f>
        <v>#NAME?</v>
      </c>
      <c r="S574" t="e">
        <f ca="1">_xll.BDH($C$553,"SUSTAIN_GROWTH_RT","FQ1 2018","FQ1 2018","Currency=INR","Period=FQ","BEST_FPERIOD_OVERRIDE=FQ","FILING_STATUS=OR","EQY_CONSOLIDATED=Y","FA_ADJUSTED=GAAP","Sort=A","Dates=H","DateFormat=P","Fill=—","Direction=H","UseDPDF=Y")</f>
        <v>#NAME?</v>
      </c>
      <c r="T574" s="2" t="e">
        <f ca="1">_xll.BDH($C$553,"SALES_GROWTH","FQ1 2018","FQ1 2018","Currency=INR","Period=FQ","BEST_FPERIOD_OVERRIDE=FQ","FILING_STATUS=OR","EQY_CONSOLIDATED=Y","FA_ADJUSTED=GAAP","Sort=A","Dates=H","DateFormat=P","Fill=—","Direction=H","UseDPDF=Y")</f>
        <v>#NAME?</v>
      </c>
      <c r="U574" s="2" t="e">
        <f ca="1">_xll.BDH($C$553,"EBITDA_GROWTH","FQ1 2018","FQ1 2018","Currency=INR","Period=FQ","BEST_FPERIOD_OVERRIDE=FQ","FILING_STATUS=OR","EQY_CONSOLIDATED=Y","FA_ADJUSTED=GAAP","Sort=A","Dates=H","DateFormat=P","Fill=—","Direction=H","UseDPDF=Y")</f>
        <v>#NAME?</v>
      </c>
      <c r="V574" s="2" t="e">
        <f ca="1">_xll.BDH($C$553,"OPER_INC_GROWTH","FQ1 2018","FQ1 2018","Currency=INR","Period=FQ","BEST_FPERIOD_OVERRIDE=FQ","FILING_STATUS=OR","EQY_CONSOLIDATED=Y","FA_ADJUSTED=GAAP","Sort=A","Dates=H","DateFormat=P","Fill=—","Direction=H","UseDPDF=Y")</f>
        <v>#NAME?</v>
      </c>
      <c r="W574" s="2" t="e">
        <f ca="1">_xll.BDH($C$553,"EARN_FOR_COM_GROWTH","FQ1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74" s="2" t="e">
        <f ca="1">_xll.BDH($C$553,"DILUTED_EPS_AFT_XO_ITEMS_GROWTH","FQ1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74" s="2" t="e">
        <f ca="1">_xll.BDH($C$553,"DIVIDEND_PER_SHARE_1_YEAR_GROWTH","FQ1 2018","FQ1 2018","Currency=INR","Period=FQ","BEST_FPERIOD_OVERRIDE=FQ","FILING_STATUS=OR","EQY_CONSOLIDATED=Y","Sort=A","Dates=H","DateFormat=P","Fill=—","Direction=H","UseDPDF=Y")</f>
        <v>#NAME?</v>
      </c>
      <c r="Z574" s="2" t="e">
        <f ca="1">_xll.BDH($C$553,"ACCOUNTS_RECEIVABLE_GROWTH","FQ1 2018","FQ1 2018","Currency=INR","Period=FQ","BEST_FPERIOD_OVERRIDE=FQ","FILING_STATUS=OR","EQY_CONSOLIDATED=Y","Sort=A","Dates=H","DateFormat=P","Fill=—","Direction=H","UseDPDF=Y")</f>
        <v>#NAME?</v>
      </c>
      <c r="AA574" s="2" t="e">
        <f ca="1">_xll.BDH($C$553,"INVENTORY_GROWTH","FQ1 2018","FQ1 2018","Currency=INR","Period=FQ","BEST_FPERIOD_OVERRIDE=FQ","FILING_STATUS=OR","EQY_CONSOLIDATED=Y","Sort=A","Dates=H","DateFormat=P","Fill=—","Direction=H","UseDPDF=Y")</f>
        <v>#NAME?</v>
      </c>
      <c r="AB574" s="2" t="e">
        <f ca="1">_xll.BDH($C$553,"NET_FIXED_ASSETS_1_YEAR_GROWTH","FQ1 2018","FQ1 2018","Currency=INR","Period=FQ","BEST_FPERIOD_OVERRIDE=FQ","FILING_STATUS=OR","EQY_CONSOLIDATED=Y","Sort=A","Dates=H","DateFormat=P","Fill=—","Direction=H","UseDPDF=Y")</f>
        <v>#NAME?</v>
      </c>
      <c r="AC574" s="2" t="e">
        <f ca="1">_xll.BDH($C$553,"ASSET_GROWTH","FQ1 2018","FQ1 2018","Currency=INR","Period=FQ","BEST_FPERIOD_OVERRIDE=FQ","FILING_STATUS=OR","EQY_CONSOLIDATED=Y","Sort=A","Dates=H","DateFormat=P","Fill=—","Direction=H","UseDPDF=Y")</f>
        <v>#NAME?</v>
      </c>
      <c r="AD574" s="2" t="e">
        <f ca="1">_xll.BDH($C$553,"MODIFIED_WORK_CAP_GROWTH","FQ1 2018","FQ1 2018","Currency=INR","Period=FQ","BEST_FPERIOD_OVERRIDE=FQ","FILING_STATUS=OR","EQY_CONSOLIDATED=Y","Sort=A","Dates=H","DateFormat=P","Fill=—","Direction=H","UseDPDF=Y")</f>
        <v>#NAME?</v>
      </c>
      <c r="AE574" s="2" t="e">
        <f ca="1">_xll.BDH($C$553,"WORK_CAP_GROWTH","FQ1 2018","FQ1 2018","Currency=INR","Period=FQ","BEST_FPERIOD_OVERRIDE=FQ","FILING_STATUS=OR","EQY_CONSOLIDATED=Y","Sort=A","Dates=H","DateFormat=P","Fill=—","Direction=H","UseDPDF=Y")</f>
        <v>#NAME?</v>
      </c>
      <c r="AF574" s="2" t="e">
        <f ca="1">_xll.BDH($C$553,"ACCOUNTS_PAYABLE_GROWTH_1YR","FQ1 2018","FQ1 2018","Currency=INR","Period=FQ","BEST_FPERIOD_OVERRIDE=FQ","FILING_STATUS=OR","EQY_CONSOLIDATED=Y","Sort=A","Dates=H","DateFormat=P","Fill=—","Direction=H","UseDPDF=Y")</f>
        <v>#NAME?</v>
      </c>
      <c r="AG574" s="2" t="e">
        <f ca="1">_xll.BDH($C$553,"SHORT_TERM_DEBT_1_YEAR_GROWTH","FQ1 2018","FQ1 2018","Currency=INR","Period=FQ","BEST_FPERIOD_OVERRIDE=FQ","FILING_STATUS=OR","EQY_CONSOLIDATED=Y","Sort=A","Dates=H","DateFormat=P","Fill=—","Direction=H","UseDPDF=Y")</f>
        <v>#NAME?</v>
      </c>
      <c r="AH574" s="2" t="e">
        <f ca="1">_xll.BDH($C$553,"TOTAL_DEBT_1_YEAR_GROWTH","FQ1 2018","FQ1 2018","Currency=INR","Period=FQ","BEST_FPERIOD_OVERRIDE=FQ","FILING_STATUS=OR","EQY_CONSOLIDATED=Y","Sort=A","Dates=H","DateFormat=P","Fill=—","Direction=H","UseDPDF=Y")</f>
        <v>#NAME?</v>
      </c>
      <c r="AI574" s="2" t="e">
        <f ca="1">_xll.BDH($C$553,"TOTAL_EQUITY_1_YEAR_GROWTH","FQ1 2018","FQ1 2018","Currency=INR","Period=FQ","BEST_FPERIOD_OVERRIDE=FQ","FILING_STATUS=OR","EQY_CONSOLIDATED=Y","Sort=A","Dates=H","DateFormat=P","Fill=—","Direction=H","UseDPDF=Y")</f>
        <v>#NAME?</v>
      </c>
      <c r="AJ574" s="2" t="e">
        <f ca="1">_xll.BDH($C$553,"GROWTH_IN_CAP","FQ1 2018","FQ1 2018","Currency=INR","Period=FQ","BEST_FPERIOD_OVERRIDE=FQ","FILING_STATUS=OR","EQY_CONSOLIDATED=Y","Sort=A","Dates=H","DateFormat=P","Fill=—","Direction=H","UseDPDF=Y")</f>
        <v>#NAME?</v>
      </c>
      <c r="AK574" s="2" t="e">
        <f ca="1">_xll.BDH($C$553,"BVPS_GROWTH","FQ1 2018","FQ1 2018","Currency=INR","Period=FQ","BEST_FPERIOD_OVERRIDE=FQ","FILING_STATUS=OR","EQY_CONSOLIDATED=Y","Sort=A","Dates=H","DateFormat=P","Fill=—","Direction=H","UseDPDF=Y")</f>
        <v>#NAME?</v>
      </c>
      <c r="AL574" s="2" t="e">
        <f ca="1">_xll.BDH($C$553,"CASH_FLOW_GROWTH","FQ1 2018","FQ1 2018","Currency=INR","Period=FQ","BEST_FPERIOD_OVERRIDE=FQ","FILING_STATUS=OR","EQY_CONSOLIDATED=Y","Sort=A","Dates=H","DateFormat=P","Fill=—","Direction=H","UseDPDF=Y")</f>
        <v>#NAME?</v>
      </c>
      <c r="AM574" s="2" t="e">
        <f ca="1">_xll.BDH($C$553,"GEO_GROW_NET_SALES","FQ1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74" s="2" t="e">
        <f ca="1">_xll.BDH($C$553,"GEO_GROW_EBITDA","FQ1 2018","FQ1 2018","Currency=INR","Period=FQ","BEST_FPERIOD_OVERRIDE=FQ","FILING_STATUS=OR","EQY_CONSOLIDATED=Y","FA_ADJUSTED=GAAP","Sort=A","Dates=H","DateFormat=P","Fill=—","Direction=H","UseDPDF=Y")</f>
        <v>#NAME?</v>
      </c>
      <c r="AO574" s="2" t="e">
        <f ca="1">_xll.BDH($C$553,"GEO_GROW_OPER_INC","FQ1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74" s="2" t="e">
        <f ca="1">_xll.BDH($C$553,"NET_INCOME_TO_COMMON_5_YR_GROWTH","FQ1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74" s="2" t="e">
        <f ca="1">_xll.BDH($C$553,"5Y_GEO_GROWTH_DILUTED_EPS","FQ1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74" s="2" t="e">
        <f ca="1">_xll.BDH($C$553,"GEO_GROW_DVD_PER_SH","FQ1 2018","FQ1 2018","Currency=INR","Period=FQ","BEST_FPERIOD_OVERRIDE=FQ","FILING_STATUS=OR","EQY_CONSOLIDATED=Y","Sort=A","Dates=H","DateFormat=P","Fill=—","Direction=H","UseDPDF=Y")</f>
        <v>#NAME?</v>
      </c>
      <c r="AS574" s="2" t="e">
        <f ca="1">_xll.BDH($C$553,"ACCOUNTS_RECEIVABLE_5_YR_GROWTH","FQ1 2018","FQ1 2018","Currency=INR","Period=FQ","BEST_FPERIOD_OVERRIDE=FQ","FILING_STATUS=OR","EQY_CONSOLIDATED=Y","Sort=A","Dates=H","DateFormat=P","Fill=—","Direction=H","UseDPDF=Y")</f>
        <v>#NAME?</v>
      </c>
      <c r="AT574" s="2" t="e">
        <f ca="1">_xll.BDH($C$553,"INVENTORY_5_YEAR_GROWTH","FQ1 2018","FQ1 2018","Currency=INR","Period=FQ","BEST_FPERIOD_OVERRIDE=FQ","FILING_STATUS=OR","EQY_CONSOLIDATED=Y","Sort=A","Dates=H","DateFormat=P","Fill=—","Direction=H","UseDPDF=Y")</f>
        <v>#NAME?</v>
      </c>
      <c r="AU574" s="2" t="e">
        <f ca="1">_xll.BDH($C$553,"NET_FIXED_ASSETS_5_YEAR_GROWTH","FQ1 2018","FQ1 2018","Currency=INR","Period=FQ","BEST_FPERIOD_OVERRIDE=FQ","FILING_STATUS=OR","EQY_CONSOLIDATED=Y","Sort=A","Dates=H","DateFormat=P","Fill=—","Direction=H","UseDPDF=Y")</f>
        <v>#NAME?</v>
      </c>
      <c r="AV574" s="2" t="e">
        <f ca="1">_xll.BDH($C$553,"GEO_GROW_TOT_ASSET","FQ1 2018","FQ1 2018","Currency=INR","Period=FQ","BEST_FPERIOD_OVERRIDE=FQ","FILING_STATUS=OR","EQY_CONSOLIDATED=Y","Sort=A","Dates=H","DateFormat=P","Fill=—","Direction=H","UseDPDF=Y")</f>
        <v>#NAME?</v>
      </c>
      <c r="AW574" s="2" t="e">
        <f ca="1">_xll.BDH($C$553,"MODIFIED_WORKING_CPTL_5YR_GRWTH","FQ1 2018","FQ1 2018","Currency=INR","Period=FQ","BEST_FPERIOD_OVERRIDE=FQ","FILING_STATUS=OR","EQY_CONSOLIDATED=Y","Sort=A","Dates=H","DateFormat=P","Fill=—","Direction=H","UseDPDF=Y")</f>
        <v>#NAME?</v>
      </c>
      <c r="AX574" s="2" t="e">
        <f ca="1">_xll.BDH($C$553,"WORKING_CAPITAL_5_YEAR_GROWTH","FQ1 2018","FQ1 2018","Currency=INR","Period=FQ","BEST_FPERIOD_OVERRIDE=FQ","FILING_STATUS=OR","EQY_CONSOLIDATED=Y","Sort=A","Dates=H","DateFormat=P","Fill=—","Direction=H","UseDPDF=Y")</f>
        <v>#NAME?</v>
      </c>
      <c r="AY574" s="2" t="e">
        <f ca="1">_xll.BDH($C$553,"ACCOUNTS_PAYABLE_5_YEAR_GROWTH","FQ1 2018","FQ1 2018","Currency=INR","Period=FQ","BEST_FPERIOD_OVERRIDE=FQ","FILING_STATUS=OR","EQY_CONSOLIDATED=Y","Sort=A","Dates=H","DateFormat=P","Fill=—","Direction=H","UseDPDF=Y")</f>
        <v>#NAME?</v>
      </c>
      <c r="AZ574" s="2" t="e">
        <f ca="1">_xll.BDH($C$553,"SHORT_TERM_DEBT_5_YEAR_GROWTH","FQ1 2018","FQ1 2018","Currency=INR","Period=FQ","BEST_FPERIOD_OVERRIDE=FQ","FILING_STATUS=OR","EQY_CONSOLIDATED=Y","Sort=A","Dates=H","DateFormat=P","Fill=—","Direction=H","UseDPDF=Y")</f>
        <v>#NAME?</v>
      </c>
      <c r="BA574" s="2" t="e">
        <f ca="1">_xll.BDH($C$553,"TOTAL_DEBT_5_YEAR_GROWTH","FQ1 2018","FQ1 2018","Currency=INR","Period=FQ","BEST_FPERIOD_OVERRIDE=FQ","FILING_STATUS=OR","EQY_CONSOLIDATED=Y","Sort=A","Dates=H","DateFormat=P","Fill=—","Direction=H","UseDPDF=Y")</f>
        <v>#NAME?</v>
      </c>
      <c r="BB574" s="2" t="e">
        <f ca="1">_xll.BDH($C$553,"GEO_GROW_TOT_SHRHLDR_EQY","FQ1 2018","FQ1 2018","Currency=INR","Period=FQ","BEST_FPERIOD_OVERRIDE=FQ","FILING_STATUS=OR","EQY_CONSOLIDATED=Y","Sort=A","Dates=H","DateFormat=P","Fill=—","Direction=H","UseDPDF=Y")</f>
        <v>#NAME?</v>
      </c>
      <c r="BC574" s="2" t="e">
        <f ca="1">_xll.BDH($C$553,"TOTAL_CAPITAL_5_YEAR_GROWTH","FQ1 2018","FQ1 2018","Currency=INR","Period=FQ","BEST_FPERIOD_OVERRIDE=FQ","FILING_STATUS=OR","EQY_CONSOLIDATED=Y","Sort=A","Dates=H","DateFormat=P","Fill=—","Direction=H","UseDPDF=Y")</f>
        <v>#NAME?</v>
      </c>
      <c r="BD574" s="2" t="e">
        <f ca="1">_xll.BDH($C$553,"GEO_GROW_BOOK_VAL","FQ1 2018","FQ1 2018","Currency=INR","Period=FQ","BEST_FPERIOD_OVERRIDE=FQ","FILING_STATUS=OR","EQY_CONSOLIDATED=Y","Sort=A","Dates=H","DateFormat=P","Fill=—","Direction=H","UseDPDF=Y")</f>
        <v>#NAME?</v>
      </c>
      <c r="BE574" s="2" t="e">
        <f ca="1">_xll.BDH($C$553,"GEO_GROW_CASH_OPER_ACT","FQ1 2018","FQ1 2018","Currency=INR","Period=FQ","BEST_FPERIOD_OVERRIDE=FQ","FILING_STATUS=OR","EQY_CONSOLIDATED=Y","Sort=A","Dates=H","DateFormat=P","Fill=—","Direction=H","UseDPDF=Y")</f>
        <v>#NAME?</v>
      </c>
      <c r="BF574" s="2" t="e">
        <f ca="1">_xll.BDH($C$553,"REVENUE_SEQUENTIAL_GROWTH","FQ1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74" s="2" t="e">
        <f ca="1">_xll.BDH($C$553,"EBITDA_SEQUENTIAL_GROWTH","FQ1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74" s="2" t="e">
        <f ca="1">_xll.BDH($C$553,"OPERATING_INCOME_SEQ_GROWTH","FQ1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74" s="2" t="e">
        <f ca="1">_xll.BDH($C$553,"NET_INCOME_TO_COMMON_SEQ_GROWTH","FQ1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74" s="2" t="e">
        <f ca="1">_xll.BDH($C$553,"EPS_DILUTED_SEQUENTIAL_GROWTH","FQ1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74" s="2" t="e">
        <f ca="1">_xll.BDH($C$553,"DPS_SEQUENTIAL_GROWTH","FQ1 2018","FQ1 2018","Currency=INR","Period=FQ","BEST_FPERIOD_OVERRIDE=FQ","FILING_STATUS=OR","EQY_CONSOLIDATED=Y","Sort=A","Dates=H","DateFormat=P","Fill=—","Direction=H","UseDPDF=Y")</f>
        <v>#NAME?</v>
      </c>
      <c r="BL574" s="2" t="e">
        <f ca="1">_xll.BDH($C$553,"ACCOUNTS_RECEIVABLE_SEQ_GROWTH","FQ1 2018","FQ1 2018","Currency=INR","Period=FQ","BEST_FPERIOD_OVERRIDE=FQ","FILING_STATUS=OR","EQY_CONSOLIDATED=Y","Sort=A","Dates=H","DateFormat=P","Fill=—","Direction=H","UseDPDF=Y")</f>
        <v>#NAME?</v>
      </c>
      <c r="BM574" s="2" t="e">
        <f ca="1">_xll.BDH($C$553,"INVENTORY_SEQUENTIAL_GROWTH","FQ1 2018","FQ1 2018","Currency=INR","Period=FQ","BEST_FPERIOD_OVERRIDE=FQ","FILING_STATUS=OR","EQY_CONSOLIDATED=Y","Sort=A","Dates=H","DateFormat=P","Fill=—","Direction=H","UseDPDF=Y")</f>
        <v>#NAME?</v>
      </c>
      <c r="BN574" s="2" t="e">
        <f ca="1">_xll.BDH($C$553,"FIXED_ASSETS_SEQUENTIAL_GROWTH","FQ1 2018","FQ1 2018","Currency=INR","Period=FQ","BEST_FPERIOD_OVERRIDE=FQ","FILING_STATUS=OR","EQY_CONSOLIDATED=Y","Sort=A","Dates=H","DateFormat=P","Fill=—","Direction=H","UseDPDF=Y")</f>
        <v>#NAME?</v>
      </c>
      <c r="BO574" s="2" t="e">
        <f ca="1">_xll.BDH($C$553,"TOTAL_ASSETS_SEQUENTIAL_GROWTH","FQ1 2018","FQ1 2018","Currency=INR","Period=FQ","BEST_FPERIOD_OVERRIDE=FQ","FILING_STATUS=OR","EQY_CONSOLIDATED=Y","Sort=A","Dates=H","DateFormat=P","Fill=—","Direction=H","UseDPDF=Y")</f>
        <v>#NAME?</v>
      </c>
      <c r="BP574" s="2" t="e">
        <f ca="1">_xll.BDH($C$553,"MODIFIED_WORKING_CPTL_SEQ_GRWTH","FQ1 2018","FQ1 2018","Currency=INR","Period=FQ","BEST_FPERIOD_OVERRIDE=FQ","FILING_STATUS=OR","EQY_CONSOLIDATED=Y","Sort=A","Dates=H","DateFormat=P","Fill=—","Direction=H","UseDPDF=Y")</f>
        <v>#NAME?</v>
      </c>
      <c r="BQ574" s="2" t="e">
        <f ca="1">_xll.BDH($C$553,"WORKING_CAPITAL_SEQ_GROWTH","FQ1 2018","FQ1 2018","Currency=INR","Period=FQ","BEST_FPERIOD_OVERRIDE=FQ","FILING_STATUS=OR","EQY_CONSOLIDATED=Y","Sort=A","Dates=H","DateFormat=P","Fill=—","Direction=H","UseDPDF=Y")</f>
        <v>#NAME?</v>
      </c>
      <c r="BR574" s="2" t="e">
        <f ca="1">_xll.BDH($C$553,"ACCOUNTS_PAYABLE_SEQ_GROWTH","FQ1 2018","FQ1 2018","Currency=INR","Period=FQ","BEST_FPERIOD_OVERRIDE=FQ","FILING_STATUS=OR","EQY_CONSOLIDATED=Y","Sort=A","Dates=H","DateFormat=P","Fill=—","Direction=H","UseDPDF=Y")</f>
        <v>#NAME?</v>
      </c>
      <c r="BS574" s="2" t="e">
        <f ca="1">_xll.BDH($C$553,"ST_DEBT_SEQUENTIAL_GROWTH","FQ1 2018","FQ1 2018","Currency=INR","Period=FQ","BEST_FPERIOD_OVERRIDE=FQ","FILING_STATUS=OR","EQY_CONSOLIDATED=Y","Sort=A","Dates=H","DateFormat=P","Fill=—","Direction=H","UseDPDF=Y")</f>
        <v>#NAME?</v>
      </c>
      <c r="BT574" s="2" t="e">
        <f ca="1">_xll.BDH($C$553,"TOTAL_DEBT_SEQUENTIAL_GROWTH","FQ1 2018","FQ1 2018","Currency=INR","Period=FQ","BEST_FPERIOD_OVERRIDE=FQ","FILING_STATUS=OR","EQY_CONSOLIDATED=Y","Sort=A","Dates=H","DateFormat=P","Fill=—","Direction=H","UseDPDF=Y")</f>
        <v>#NAME?</v>
      </c>
      <c r="BU574" s="2" t="e">
        <f ca="1">_xll.BDH($C$553,"TOTAL_EQUITY_SEQUENTIAL_GROWTH","FQ1 2018","FQ1 2018","Currency=INR","Period=FQ","BEST_FPERIOD_OVERRIDE=FQ","FILING_STATUS=OR","EQY_CONSOLIDATED=Y","Sort=A","Dates=H","DateFormat=P","Fill=—","Direction=H","UseDPDF=Y")</f>
        <v>#NAME?</v>
      </c>
      <c r="BV574" s="2" t="e">
        <f ca="1">_xll.BDH($C$553,"TOTAL_CAPITAL_SEQUENTIAL_GROWTH","FQ1 2018","FQ1 2018","Currency=INR","Period=FQ","BEST_FPERIOD_OVERRIDE=FQ","FILING_STATUS=OR","EQY_CONSOLIDATED=Y","Sort=A","Dates=H","DateFormat=P","Fill=—","Direction=H","UseDPDF=Y")</f>
        <v>#NAME?</v>
      </c>
      <c r="BW574" s="2" t="e">
        <f ca="1">_xll.BDH($C$553,"BPS_SEQUENTIAL_GROWTH","FQ1 2018","FQ1 2018","Currency=INR","Period=FQ","BEST_FPERIOD_OVERRIDE=FQ","FILING_STATUS=OR","EQY_CONSOLIDATED=Y","Sort=A","Dates=H","DateFormat=P","Fill=—","Direction=H","UseDPDF=Y")</f>
        <v>#NAME?</v>
      </c>
      <c r="BX574" s="2" t="e">
        <f ca="1">_xll.BDH($C$553,"CFO_SEQUENTIAL_GROWTH","FQ1 2018","FQ1 2018","Currency=INR","Period=FQ","BEST_FPERIOD_OVERRIDE=FQ","FILING_STATUS=OR","EQY_CONSOLIDATED=Y","Sort=A","Dates=H","DateFormat=P","Fill=—","Direction=H","UseDPDF=Y")</f>
        <v>#NAME?</v>
      </c>
      <c r="BY574" s="3" t="e">
        <f ca="1">_xll.BDH($C$553,"SHORT_AND_LONG_TERM_DEBT","FQ1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74" s="3" t="e">
        <f ca="1">_xll.BDH($C$553,"BS_ST_BORROW","FQ1 2018","FQ1 2018","Currency=INR","Period=FQ","BEST_FPERIOD_OVERRIDE=FQ","FILING_STATUS=OR","EQY_CONSOLIDATED=Y","SCALING_FORMAT=MLN","Sort=A","Dates=H","DateFormat=P","Fill=—","Direction=H","UseDPDF=Y")</f>
        <v>#NAME?</v>
      </c>
      <c r="CA574" s="3" t="e">
        <f ca="1">_xll.BDH($C$553,"BS_LT_BORROW","FQ1 2018","FQ1 2018","Currency=INR","Period=FQ","BEST_FPERIOD_OVERRIDE=FQ","FILING_STATUS=OR","EQY_CONSOLIDATED=Y","SCALING_FORMAT=MLN","Sort=A","Dates=H","DateFormat=P","Fill=—","Direction=H","UseDPDF=Y")</f>
        <v>#NAME?</v>
      </c>
      <c r="CB574" s="2" t="e">
        <f ca="1">_xll.BDH($C$553,"TOT_DEBT_TO_EBITDA","FQ1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74" s="2" t="e">
        <f ca="1">_xll.BDH($C$553,"NET_DEBT_TO_EBITDA","FQ1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74" s="2" t="e">
        <f ca="1">_xll.BDH($C$553,"TOTAL_DEBT_TO_EBIT","FQ1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74" s="2" t="e">
        <f ca="1">_xll.BDH($C$553,"NET_DEBT_TO_EBIT","FQ1 2018","FQ1 2018","Currency=INR","Period=FQ","BEST_FPERIOD_OVERRIDE=FQ","FILING_STATUS=OR","EQY_CONSOLIDATED=Y","FA_ADJUSTED=GAAP","Sort=A","Dates=H","DateFormat=P","Fill=—","Direction=H","UseDPDF=Y")</f>
        <v>#NAME?</v>
      </c>
      <c r="CF574" s="2" t="e">
        <f ca="1">_xll.BDH($C$553,"EBITDA_TO_INTEREST_EXPN","FQ1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74" s="2" t="e">
        <f ca="1">_xll.BDH($C$553,"COM_EQY_TO_TOT_ASSET","FQ1 2018","FQ1 2018","Currency=INR","Period=FQ","BEST_FPERIOD_OVERRIDE=FQ","FILING_STATUS=OR","EQY_CONSOLIDATED=Y","Sort=A","Dates=H","DateFormat=P","Fill=—","Direction=H","UseDPDF=Y")</f>
        <v>#NAME?</v>
      </c>
      <c r="CH574" s="2" t="e">
        <f ca="1">_xll.BDH($C$553,"LT_DEBT_TO_TOT_EQY","FQ1 2018","FQ1 2018","Currency=INR","Period=FQ","BEST_FPERIOD_OVERRIDE=FQ","FILING_STATUS=OR","EQY_CONSOLIDATED=Y","Sort=A","Dates=H","DateFormat=P","Fill=—","Direction=H","UseDPDF=Y")</f>
        <v>#NAME?</v>
      </c>
      <c r="CI574" s="2" t="e">
        <f ca="1">_xll.BDH($C$553,"LT_DEBT_TO_TOT_CAP","FQ1 2018","FQ1 2018","Currency=INR","Period=FQ","BEST_FPERIOD_OVERRIDE=FQ","FILING_STATUS=OR","EQY_CONSOLIDATED=Y","Sort=A","Dates=H","DateFormat=P","Fill=—","Direction=H","UseDPDF=Y")</f>
        <v>#NAME?</v>
      </c>
      <c r="CJ574" s="2" t="e">
        <f ca="1">_xll.BDH($C$553,"LT_DEBT_TO_TOT_ASSET","FQ1 2018","FQ1 2018","Currency=INR","Period=FQ","BEST_FPERIOD_OVERRIDE=FQ","FILING_STATUS=OR","EQY_CONSOLIDATED=Y","Sort=A","Dates=H","DateFormat=P","Fill=—","Direction=H","UseDPDF=Y")</f>
        <v>#NAME?</v>
      </c>
      <c r="CK574" s="2" t="e">
        <f ca="1">_xll.BDH($C$553,"TOT_DEBT_TO_TOT_EQY","FQ1 2018","FQ1 2018","Currency=INR","Period=FQ","BEST_FPERIOD_OVERRIDE=FQ","FILING_STATUS=OR","EQY_CONSOLIDATED=Y","Sort=A","Dates=H","DateFormat=P","Fill=—","Direction=H","UseDPDF=Y")</f>
        <v>#NAME?</v>
      </c>
      <c r="CL574" s="2" t="e">
        <f ca="1">_xll.BDH($C$553,"TOT_DEBT_TO_TOT_CAP","FQ1 2018","FQ1 2018","Currency=INR","Period=FQ","BEST_FPERIOD_OVERRIDE=FQ","FILING_STATUS=OR","EQY_CONSOLIDATED=Y","Sort=A","Dates=H","DateFormat=P","Fill=—","Direction=H","UseDPDF=Y")</f>
        <v>#NAME?</v>
      </c>
      <c r="CM574" s="2" t="e">
        <f ca="1">_xll.BDH($C$553,"TOT_DEBT_TO_TOT_ASSET","FQ1 2018","FQ1 2018","Currency=INR","Period=FQ","BEST_FPERIOD_OVERRIDE=FQ","FILING_STATUS=OR","EQY_CONSOLIDATED=Y","Sort=A","Dates=H","DateFormat=P","Fill=—","Direction=H","UseDPDF=Y")</f>
        <v>#NAME?</v>
      </c>
      <c r="CN574" s="2" t="e">
        <f ca="1">_xll.BDH($C$553,"NET_DEBT_TO_SHRHLDR_EQTY","FQ1 2018","FQ1 2018","Currency=INR","Period=FQ","BEST_FPERIOD_OVERRIDE=FQ","FILING_STATUS=OR","EQY_CONSOLIDATED=Y","Sort=A","Dates=H","DateFormat=P","Fill=—","Direction=H","UseDPDF=Y")</f>
        <v>#NAME?</v>
      </c>
      <c r="CO574" s="2" t="e">
        <f ca="1">_xll.BDH($C$553,"NET_DEBT_%_CAPITAL","FQ1 2018","FQ1 2018","Currency=INR","Period=FQ","BEST_FPERIOD_OVERRIDE=FQ","FILING_STATUS=OR","EQY_CONSOLIDATED=Y","Sort=A","Dates=H","DateFormat=P","Fill=—","Direction=H","UseDPDF=Y")</f>
        <v>#NAME?</v>
      </c>
      <c r="CP574" s="3" t="e">
        <f ca="1">_xll.BDH($C$553,"EBITDA","FQ1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74" s="3" t="e">
        <f ca="1">_xll.BDH($C$553,"EBITDA_AFTER_CAPEX","FQ1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74" s="3" t="e">
        <f ca="1">_xll.BDH($C$553,"IS_OPER_INC","FQ1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74" s="2" t="e">
        <f ca="1">_xll.BDH($C$553,"CASH_RATIO","FQ1 2018","FQ1 2018","Currency=INR","Period=FQ","BEST_FPERIOD_OVERRIDE=FQ","FILING_STATUS=OR","EQY_CONSOLIDATED=Y","Sort=A","Dates=H","DateFormat=P","Fill=—","Direction=H","UseDPDF=Y")</f>
        <v>#NAME?</v>
      </c>
      <c r="CT574" s="2" t="e">
        <f ca="1">_xll.BDH($C$553,"CUR_RATIO","FQ1 2018","FQ1 2018","Currency=INR","Period=FQ","BEST_FPERIOD_OVERRIDE=FQ","FILING_STATUS=OR","EQY_CONSOLIDATED=Y","Sort=A","Dates=H","DateFormat=P","Fill=—","Direction=H","UseDPDF=Y")</f>
        <v>#NAME?</v>
      </c>
      <c r="CU574" s="2" t="e">
        <f ca="1">_xll.BDH($C$553,"QUICK_RATIO","FQ1 2018","FQ1 2018","Currency=INR","Period=FQ","BEST_FPERIOD_OVERRIDE=FQ","FILING_STATUS=OR","EQY_CONSOLIDATED=Y","Sort=A","Dates=H","DateFormat=P","Fill=—","Direction=H","UseDPDF=Y")</f>
        <v>#NAME?</v>
      </c>
      <c r="CV574" s="2" t="e">
        <f ca="1">_xll.BDH($C$553,"ALTMAN_Z_SCORE","FQ1 2018","FQ1 2018","Currency=INR","Period=FQ","BEST_FPERIOD_OVERRIDE=FQ","FILING_STATUS=OR","EQY_CONSOLIDATED=Y","Sort=A","Dates=H","DateFormat=P","Fill=—","Direction=H","UseDPDF=Y")</f>
        <v>#NAME?</v>
      </c>
      <c r="CW574" s="4" t="e">
        <f ca="1">_xll.BDH($C$553,"ACCT_RCV_TURN","FQ1 2018","FQ1 2018","Currency=INR","Period=FQ","BEST_FPERIOD_OVERRIDE=FQ","FILING_STATUS=OR","EQY_CONSOLIDATED=Y","FA_ADJUSTED=GAAP","Sort=A","Dates=H","DateFormat=P","Fill=—","Direction=H","UseDPDF=Y")</f>
        <v>#NAME?</v>
      </c>
      <c r="CX574" s="2" t="e">
        <f ca="1">_xll.BDH($C$553,"ACCT_RCV_DAYS","FQ1 2018","FQ1 2018","Currency=INR","Period=FQ","BEST_FPERIOD_OVERRIDE=FQ","FILING_STATUS=OR","EQY_CONSOLIDATED=Y","FA_ADJUSTED=GAAP","Sort=A","Dates=H","DateFormat=P","Fill=—","Direction=H","UseDPDF=Y")</f>
        <v>#NAME?</v>
      </c>
      <c r="CY574" s="4" t="e">
        <f ca="1">_xll.BDH($C$553,"INVENT_TURN","FQ1 2018","FQ1 2018","Currency=INR","Period=FQ","BEST_FPERIOD_OVERRIDE=FQ","FILING_STATUS=OR","EQY_CONSOLIDATED=Y","FA_ADJUSTED=GAAP","Sort=A","Dates=H","DateFormat=P","Fill=—","Direction=H","UseDPDF=Y")</f>
        <v>#NAME?</v>
      </c>
      <c r="CZ574" s="2" t="e">
        <f ca="1">_xll.BDH($C$553,"INVENT_DAYS","FQ1 2018","FQ1 2018","Currency=INR","Period=FQ","BEST_FPERIOD_OVERRIDE=FQ","FILING_STATUS=OR","EQY_CONSOLIDATED=Y","FA_ADJUSTED=GAAP","Sort=A","Dates=H","DateFormat=P","Fill=—","Direction=H","UseDPDF=Y")</f>
        <v>#NAME?</v>
      </c>
      <c r="DA574" s="4" t="e">
        <f ca="1">_xll.BDH($C$553,"ACCOUNTS_PAYABLE_TURNOVER","FQ1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74" s="2" t="e">
        <f ca="1">_xll.BDH($C$553,"ACCOUNTS_PAYABLE_TURNOVER_DAYS","FQ1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74" s="4" t="e">
        <f ca="1">_xll.BDH($C$553,"CASH_CONVERSION_CYCLE","FQ1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74" s="4" t="e">
        <f ca="1">_xll.BDH($C$553,"INV_TO_CASH_DAYS","FQ1 2018","FQ1 2018","Currency=INR","Period=FQ","BEST_FPERIOD_OVERRIDE=FQ","FILING_STATUS=OR","EQY_CONSOLIDATED=Y","FA_ADJUSTED=GAAP","Sort=A","Dates=H","DateFormat=P","Fill=—","Direction=H","UseDPDF=Y")</f>
        <v>#NAME?</v>
      </c>
      <c r="DE574" s="5" t="e">
        <f ca="1">_xll.BDH($C$553,"BS_INVENTORIES","FQ1 2018","FQ1 2018","Currency=INR","Period=FQ","BEST_FPERIOD_OVERRIDE=FQ","FILING_STATUS=OR","EQY_CONSOLIDATED=Y","SCALING_FORMAT=MLN","Sort=A","Dates=H","DateFormat=P","Fill=—","Direction=H","UseDPDF=Y")</f>
        <v>#NAME?</v>
      </c>
      <c r="DF574" s="3" t="e">
        <f ca="1">_xll.BDH($C$553,"INVTRY_RAW_MATERIALS","FQ1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74" s="3" t="e">
        <f ca="1">_xll.BDH($C$553,"INVTRY_IN_PROGRESS","FQ1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74" s="3" t="e">
        <f ca="1">_xll.BDH($C$553,"INVTRY_FINISHED_GOODS","FQ1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74" s="3" t="e">
        <f ca="1">_xll.BDH($C$553,"BS_OTHER_INV","FQ1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575" spans="1:113" x14ac:dyDescent="0.3">
      <c r="A575" s="6"/>
      <c r="B575" s="6"/>
      <c r="C575" s="6"/>
      <c r="D575" s="6"/>
      <c r="E575" t="s">
        <v>79</v>
      </c>
      <c r="F575" t="e">
        <f ca="1">_xll.BDH($C$553,"RETURN_COM_EQY","FQ2 2018","FQ2 2018","Currency=INR","Period=FQ","BEST_FPERIOD_OVERRIDE=FQ","FILING_STATUS=OR","EQY_CONSOLIDATED=Y","FA_ADJUSTED=GAAP","Sort=A","Dates=H","DateFormat=P","Fill=—","Direction=H","UseDPDF=Y")</f>
        <v>#NAME?</v>
      </c>
      <c r="G575" t="e">
        <f ca="1">_xll.BDH($C$553,"RETURN_ON_ASSET","FQ2 2018","FQ2 2018","Currency=INR","Period=FQ","BEST_FPERIOD_OVERRIDE=FQ","FILING_STATUS=OR","EQY_CONSOLIDATED=Y","FA_ADJUSTED=GAAP","Sort=A","Dates=H","DateFormat=P","Fill=—","Direction=H","UseDPDF=Y")</f>
        <v>#NAME?</v>
      </c>
      <c r="H575" t="e">
        <f ca="1">_xll.BDH($C$553,"RETURN_ON_CAP","FQ2 2018","FQ2 2018","Currency=INR","Period=FQ","BEST_FPERIOD_OVERRIDE=FQ","FILING_STATUS=OR","EQY_CONSOLIDATED=Y","FA_ADJUSTED=GAAP","Sort=A","Dates=H","DateFormat=P","Fill=—","Direction=H","UseDPDF=Y")</f>
        <v>#NAME?</v>
      </c>
      <c r="I575" t="e">
        <f ca="1">_xll.BDH($C$553,"RETURN_ON_INV_CAPITAL","FQ2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575" t="e">
        <f ca="1">_xll.BDH($C$553,"EBITDA_TO_REVENUE","FQ2 2018","FQ2 2018","Currency=INR","Period=FQ","BEST_FPERIOD_OVERRIDE=FQ","FILING_STATUS=OR","EQY_CONSOLIDATED=Y","FA_ADJUSTED=GAAP","Sort=A","Dates=H","DateFormat=P","Fill=—","Direction=H","UseDPDF=Y")</f>
        <v>#NAME?</v>
      </c>
      <c r="K575" t="e">
        <f ca="1">_xll.BDH($C$553,"OPER_MARGIN","FQ2 2018","FQ2 2018","Currency=INR","Period=FQ","BEST_FPERIOD_OVERRIDE=FQ","FILING_STATUS=OR","EQY_CONSOLIDATED=Y","FA_ADJUSTED=GAAP","Sort=A","Dates=H","DateFormat=P","Fill=—","Direction=H","UseDPDF=Y")</f>
        <v>#NAME?</v>
      </c>
      <c r="L575" t="e">
        <f ca="1">_xll.BDH($C$553,"INCREMENTAL_OPERATING_MARGIN","FQ2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575" t="e">
        <f ca="1">_xll.BDH($C$553,"PRETAX_INC_TO_NET_SALES","FQ2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575" t="e">
        <f ca="1">_xll.BDH($C$553,"INC_BEF_XO_ITEMS_TO_NET_SALES","FQ2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575" t="e">
        <f ca="1">_xll.BDH($C$553,"PROF_MARGIN","FQ2 2018","FQ2 2018","Currency=INR","Period=FQ","BEST_FPERIOD_OVERRIDE=FQ","FILING_STATUS=OR","EQY_CONSOLIDATED=Y","FA_ADJUSTED=GAAP","Sort=A","Dates=H","DateFormat=P","Fill=—","Direction=H","UseDPDF=Y")</f>
        <v>#NAME?</v>
      </c>
      <c r="P575" t="e">
        <f ca="1">_xll.BDH($C$553,"NET_INCOME_TO_COMMON_MARGIN","FQ2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575" t="e">
        <f ca="1">_xll.BDH($C$553,"EFF_TAX_RATE","FQ2 2018","FQ2 2018","Currency=INR","Period=FQ","BEST_FPERIOD_OVERRIDE=FQ","FILING_STATUS=OR","EQY_CONSOLIDATED=Y","FA_ADJUSTED=GAAP","Sort=A","Dates=H","DateFormat=P","Fill=—","Direction=H","UseDPDF=Y")</f>
        <v>#NAME?</v>
      </c>
      <c r="R575" t="e">
        <f ca="1">_xll.BDH($C$553,"DVD_PAYOUT_RATIO","FQ2 2018","FQ2 2018","Currency=INR","Period=FQ","BEST_FPERIOD_OVERRIDE=FQ","FILING_STATUS=OR","EQY_CONSOLIDATED=Y","FA_ADJUSTED=GAAP","Sort=A","Dates=H","DateFormat=P","Fill=—","Direction=H","UseDPDF=Y")</f>
        <v>#NAME?</v>
      </c>
      <c r="S575" t="e">
        <f ca="1">_xll.BDH($C$553,"SUSTAIN_GROWTH_RT","FQ2 2018","FQ2 2018","Currency=INR","Period=FQ","BEST_FPERIOD_OVERRIDE=FQ","FILING_STATUS=OR","EQY_CONSOLIDATED=Y","FA_ADJUSTED=GAAP","Sort=A","Dates=H","DateFormat=P","Fill=—","Direction=H","UseDPDF=Y")</f>
        <v>#NAME?</v>
      </c>
      <c r="T575" s="2" t="e">
        <f ca="1">_xll.BDH($C$553,"SALES_GROWTH","FQ2 2018","FQ2 2018","Currency=INR","Period=FQ","BEST_FPERIOD_OVERRIDE=FQ","FILING_STATUS=OR","EQY_CONSOLIDATED=Y","FA_ADJUSTED=GAAP","Sort=A","Dates=H","DateFormat=P","Fill=—","Direction=H","UseDPDF=Y")</f>
        <v>#NAME?</v>
      </c>
      <c r="U575" s="2" t="e">
        <f ca="1">_xll.BDH($C$553,"EBITDA_GROWTH","FQ2 2018","FQ2 2018","Currency=INR","Period=FQ","BEST_FPERIOD_OVERRIDE=FQ","FILING_STATUS=OR","EQY_CONSOLIDATED=Y","FA_ADJUSTED=GAAP","Sort=A","Dates=H","DateFormat=P","Fill=—","Direction=H","UseDPDF=Y")</f>
        <v>#NAME?</v>
      </c>
      <c r="V575" s="2" t="e">
        <f ca="1">_xll.BDH($C$553,"OPER_INC_GROWTH","FQ2 2018","FQ2 2018","Currency=INR","Period=FQ","BEST_FPERIOD_OVERRIDE=FQ","FILING_STATUS=OR","EQY_CONSOLIDATED=Y","FA_ADJUSTED=GAAP","Sort=A","Dates=H","DateFormat=P","Fill=—","Direction=H","UseDPDF=Y")</f>
        <v>#NAME?</v>
      </c>
      <c r="W575" s="2" t="e">
        <f ca="1">_xll.BDH($C$553,"EARN_FOR_COM_GROWTH","FQ2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575" s="2" t="e">
        <f ca="1">_xll.BDH($C$553,"DILUTED_EPS_AFT_XO_ITEMS_GROWTH","FQ2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575" s="2" t="e">
        <f ca="1">_xll.BDH($C$553,"DIVIDEND_PER_SHARE_1_YEAR_GROWTH","FQ2 2018","FQ2 2018","Currency=INR","Period=FQ","BEST_FPERIOD_OVERRIDE=FQ","FILING_STATUS=OR","EQY_CONSOLIDATED=Y","Sort=A","Dates=H","DateFormat=P","Fill=—","Direction=H","UseDPDF=Y")</f>
        <v>#NAME?</v>
      </c>
      <c r="Z575" s="2" t="e">
        <f ca="1">_xll.BDH($C$553,"ACCOUNTS_RECEIVABLE_GROWTH","FQ2 2018","FQ2 2018","Currency=INR","Period=FQ","BEST_FPERIOD_OVERRIDE=FQ","FILING_STATUS=OR","EQY_CONSOLIDATED=Y","Sort=A","Dates=H","DateFormat=P","Fill=—","Direction=H","UseDPDF=Y")</f>
        <v>#NAME?</v>
      </c>
      <c r="AA575" s="2" t="e">
        <f ca="1">_xll.BDH($C$553,"INVENTORY_GROWTH","FQ2 2018","FQ2 2018","Currency=INR","Period=FQ","BEST_FPERIOD_OVERRIDE=FQ","FILING_STATUS=OR","EQY_CONSOLIDATED=Y","Sort=A","Dates=H","DateFormat=P","Fill=—","Direction=H","UseDPDF=Y")</f>
        <v>#NAME?</v>
      </c>
      <c r="AB575" s="2" t="e">
        <f ca="1">_xll.BDH($C$553,"NET_FIXED_ASSETS_1_YEAR_GROWTH","FQ2 2018","FQ2 2018","Currency=INR","Period=FQ","BEST_FPERIOD_OVERRIDE=FQ","FILING_STATUS=OR","EQY_CONSOLIDATED=Y","Sort=A","Dates=H","DateFormat=P","Fill=—","Direction=H","UseDPDF=Y")</f>
        <v>#NAME?</v>
      </c>
      <c r="AC575" s="2" t="e">
        <f ca="1">_xll.BDH($C$553,"ASSET_GROWTH","FQ2 2018","FQ2 2018","Currency=INR","Period=FQ","BEST_FPERIOD_OVERRIDE=FQ","FILING_STATUS=OR","EQY_CONSOLIDATED=Y","Sort=A","Dates=H","DateFormat=P","Fill=—","Direction=H","UseDPDF=Y")</f>
        <v>#NAME?</v>
      </c>
      <c r="AD575" s="2" t="e">
        <f ca="1">_xll.BDH($C$553,"MODIFIED_WORK_CAP_GROWTH","FQ2 2018","FQ2 2018","Currency=INR","Period=FQ","BEST_FPERIOD_OVERRIDE=FQ","FILING_STATUS=OR","EQY_CONSOLIDATED=Y","Sort=A","Dates=H","DateFormat=P","Fill=—","Direction=H","UseDPDF=Y")</f>
        <v>#NAME?</v>
      </c>
      <c r="AE575" s="2" t="e">
        <f ca="1">_xll.BDH($C$553,"WORK_CAP_GROWTH","FQ2 2018","FQ2 2018","Currency=INR","Period=FQ","BEST_FPERIOD_OVERRIDE=FQ","FILING_STATUS=OR","EQY_CONSOLIDATED=Y","Sort=A","Dates=H","DateFormat=P","Fill=—","Direction=H","UseDPDF=Y")</f>
        <v>#NAME?</v>
      </c>
      <c r="AF575" s="2" t="e">
        <f ca="1">_xll.BDH($C$553,"ACCOUNTS_PAYABLE_GROWTH_1YR","FQ2 2018","FQ2 2018","Currency=INR","Period=FQ","BEST_FPERIOD_OVERRIDE=FQ","FILING_STATUS=OR","EQY_CONSOLIDATED=Y","Sort=A","Dates=H","DateFormat=P","Fill=—","Direction=H","UseDPDF=Y")</f>
        <v>#NAME?</v>
      </c>
      <c r="AG575" s="2" t="e">
        <f ca="1">_xll.BDH($C$553,"SHORT_TERM_DEBT_1_YEAR_GROWTH","FQ2 2018","FQ2 2018","Currency=INR","Period=FQ","BEST_FPERIOD_OVERRIDE=FQ","FILING_STATUS=OR","EQY_CONSOLIDATED=Y","Sort=A","Dates=H","DateFormat=P","Fill=—","Direction=H","UseDPDF=Y")</f>
        <v>#NAME?</v>
      </c>
      <c r="AH575" s="2" t="e">
        <f ca="1">_xll.BDH($C$553,"TOTAL_DEBT_1_YEAR_GROWTH","FQ2 2018","FQ2 2018","Currency=INR","Period=FQ","BEST_FPERIOD_OVERRIDE=FQ","FILING_STATUS=OR","EQY_CONSOLIDATED=Y","Sort=A","Dates=H","DateFormat=P","Fill=—","Direction=H","UseDPDF=Y")</f>
        <v>#NAME?</v>
      </c>
      <c r="AI575" s="2" t="e">
        <f ca="1">_xll.BDH($C$553,"TOTAL_EQUITY_1_YEAR_GROWTH","FQ2 2018","FQ2 2018","Currency=INR","Period=FQ","BEST_FPERIOD_OVERRIDE=FQ","FILING_STATUS=OR","EQY_CONSOLIDATED=Y","Sort=A","Dates=H","DateFormat=P","Fill=—","Direction=H","UseDPDF=Y")</f>
        <v>#NAME?</v>
      </c>
      <c r="AJ575" s="2" t="e">
        <f ca="1">_xll.BDH($C$553,"GROWTH_IN_CAP","FQ2 2018","FQ2 2018","Currency=INR","Period=FQ","BEST_FPERIOD_OVERRIDE=FQ","FILING_STATUS=OR","EQY_CONSOLIDATED=Y","Sort=A","Dates=H","DateFormat=P","Fill=—","Direction=H","UseDPDF=Y")</f>
        <v>#NAME?</v>
      </c>
      <c r="AK575" s="2" t="e">
        <f ca="1">_xll.BDH($C$553,"BVPS_GROWTH","FQ2 2018","FQ2 2018","Currency=INR","Period=FQ","BEST_FPERIOD_OVERRIDE=FQ","FILING_STATUS=OR","EQY_CONSOLIDATED=Y","Sort=A","Dates=H","DateFormat=P","Fill=—","Direction=H","UseDPDF=Y")</f>
        <v>#NAME?</v>
      </c>
      <c r="AL575" s="2" t="e">
        <f ca="1">_xll.BDH($C$553,"CASH_FLOW_GROWTH","FQ2 2018","FQ2 2018","Currency=INR","Period=FQ","BEST_FPERIOD_OVERRIDE=FQ","FILING_STATUS=OR","EQY_CONSOLIDATED=Y","Sort=A","Dates=H","DateFormat=P","Fill=—","Direction=H","UseDPDF=Y")</f>
        <v>#NAME?</v>
      </c>
      <c r="AM575" s="2" t="e">
        <f ca="1">_xll.BDH($C$553,"GEO_GROW_NET_SALES","FQ2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575" s="2" t="e">
        <f ca="1">_xll.BDH($C$553,"GEO_GROW_EBITDA","FQ2 2018","FQ2 2018","Currency=INR","Period=FQ","BEST_FPERIOD_OVERRIDE=FQ","FILING_STATUS=OR","EQY_CONSOLIDATED=Y","FA_ADJUSTED=GAAP","Sort=A","Dates=H","DateFormat=P","Fill=—","Direction=H","UseDPDF=Y")</f>
        <v>#NAME?</v>
      </c>
      <c r="AO575" s="2" t="e">
        <f ca="1">_xll.BDH($C$553,"GEO_GROW_OPER_INC","FQ2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575" s="2" t="e">
        <f ca="1">_xll.BDH($C$553,"NET_INCOME_TO_COMMON_5_YR_GROWTH","FQ2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575" s="2" t="e">
        <f ca="1">_xll.BDH($C$553,"5Y_GEO_GROWTH_DILUTED_EPS","FQ2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575" s="2" t="e">
        <f ca="1">_xll.BDH($C$553,"GEO_GROW_DVD_PER_SH","FQ2 2018","FQ2 2018","Currency=INR","Period=FQ","BEST_FPERIOD_OVERRIDE=FQ","FILING_STATUS=OR","EQY_CONSOLIDATED=Y","Sort=A","Dates=H","DateFormat=P","Fill=—","Direction=H","UseDPDF=Y")</f>
        <v>#NAME?</v>
      </c>
      <c r="AS575" s="2" t="e">
        <f ca="1">_xll.BDH($C$553,"ACCOUNTS_RECEIVABLE_5_YR_GROWTH","FQ2 2018","FQ2 2018","Currency=INR","Period=FQ","BEST_FPERIOD_OVERRIDE=FQ","FILING_STATUS=OR","EQY_CONSOLIDATED=Y","Sort=A","Dates=H","DateFormat=P","Fill=—","Direction=H","UseDPDF=Y")</f>
        <v>#NAME?</v>
      </c>
      <c r="AT575" s="2" t="e">
        <f ca="1">_xll.BDH($C$553,"INVENTORY_5_YEAR_GROWTH","FQ2 2018","FQ2 2018","Currency=INR","Period=FQ","BEST_FPERIOD_OVERRIDE=FQ","FILING_STATUS=OR","EQY_CONSOLIDATED=Y","Sort=A","Dates=H","DateFormat=P","Fill=—","Direction=H","UseDPDF=Y")</f>
        <v>#NAME?</v>
      </c>
      <c r="AU575" s="2" t="e">
        <f ca="1">_xll.BDH($C$553,"NET_FIXED_ASSETS_5_YEAR_GROWTH","FQ2 2018","FQ2 2018","Currency=INR","Period=FQ","BEST_FPERIOD_OVERRIDE=FQ","FILING_STATUS=OR","EQY_CONSOLIDATED=Y","Sort=A","Dates=H","DateFormat=P","Fill=—","Direction=H","UseDPDF=Y")</f>
        <v>#NAME?</v>
      </c>
      <c r="AV575" s="2" t="e">
        <f ca="1">_xll.BDH($C$553,"GEO_GROW_TOT_ASSET","FQ2 2018","FQ2 2018","Currency=INR","Period=FQ","BEST_FPERIOD_OVERRIDE=FQ","FILING_STATUS=OR","EQY_CONSOLIDATED=Y","Sort=A","Dates=H","DateFormat=P","Fill=—","Direction=H","UseDPDF=Y")</f>
        <v>#NAME?</v>
      </c>
      <c r="AW575" s="2" t="e">
        <f ca="1">_xll.BDH($C$553,"MODIFIED_WORKING_CPTL_5YR_GRWTH","FQ2 2018","FQ2 2018","Currency=INR","Period=FQ","BEST_FPERIOD_OVERRIDE=FQ","FILING_STATUS=OR","EQY_CONSOLIDATED=Y","Sort=A","Dates=H","DateFormat=P","Fill=—","Direction=H","UseDPDF=Y")</f>
        <v>#NAME?</v>
      </c>
      <c r="AX575" s="2" t="e">
        <f ca="1">_xll.BDH($C$553,"WORKING_CAPITAL_5_YEAR_GROWTH","FQ2 2018","FQ2 2018","Currency=INR","Period=FQ","BEST_FPERIOD_OVERRIDE=FQ","FILING_STATUS=OR","EQY_CONSOLIDATED=Y","Sort=A","Dates=H","DateFormat=P","Fill=—","Direction=H","UseDPDF=Y")</f>
        <v>#NAME?</v>
      </c>
      <c r="AY575" s="2" t="e">
        <f ca="1">_xll.BDH($C$553,"ACCOUNTS_PAYABLE_5_YEAR_GROWTH","FQ2 2018","FQ2 2018","Currency=INR","Period=FQ","BEST_FPERIOD_OVERRIDE=FQ","FILING_STATUS=OR","EQY_CONSOLIDATED=Y","Sort=A","Dates=H","DateFormat=P","Fill=—","Direction=H","UseDPDF=Y")</f>
        <v>#NAME?</v>
      </c>
      <c r="AZ575" s="2" t="e">
        <f ca="1">_xll.BDH($C$553,"SHORT_TERM_DEBT_5_YEAR_GROWTH","FQ2 2018","FQ2 2018","Currency=INR","Period=FQ","BEST_FPERIOD_OVERRIDE=FQ","FILING_STATUS=OR","EQY_CONSOLIDATED=Y","Sort=A","Dates=H","DateFormat=P","Fill=—","Direction=H","UseDPDF=Y")</f>
        <v>#NAME?</v>
      </c>
      <c r="BA575" s="2" t="e">
        <f ca="1">_xll.BDH($C$553,"TOTAL_DEBT_5_YEAR_GROWTH","FQ2 2018","FQ2 2018","Currency=INR","Period=FQ","BEST_FPERIOD_OVERRIDE=FQ","FILING_STATUS=OR","EQY_CONSOLIDATED=Y","Sort=A","Dates=H","DateFormat=P","Fill=—","Direction=H","UseDPDF=Y")</f>
        <v>#NAME?</v>
      </c>
      <c r="BB575" s="2" t="e">
        <f ca="1">_xll.BDH($C$553,"GEO_GROW_TOT_SHRHLDR_EQY","FQ2 2018","FQ2 2018","Currency=INR","Period=FQ","BEST_FPERIOD_OVERRIDE=FQ","FILING_STATUS=OR","EQY_CONSOLIDATED=Y","Sort=A","Dates=H","DateFormat=P","Fill=—","Direction=H","UseDPDF=Y")</f>
        <v>#NAME?</v>
      </c>
      <c r="BC575" s="2" t="e">
        <f ca="1">_xll.BDH($C$553,"TOTAL_CAPITAL_5_YEAR_GROWTH","FQ2 2018","FQ2 2018","Currency=INR","Period=FQ","BEST_FPERIOD_OVERRIDE=FQ","FILING_STATUS=OR","EQY_CONSOLIDATED=Y","Sort=A","Dates=H","DateFormat=P","Fill=—","Direction=H","UseDPDF=Y")</f>
        <v>#NAME?</v>
      </c>
      <c r="BD575" s="2" t="e">
        <f ca="1">_xll.BDH($C$553,"GEO_GROW_BOOK_VAL","FQ2 2018","FQ2 2018","Currency=INR","Period=FQ","BEST_FPERIOD_OVERRIDE=FQ","FILING_STATUS=OR","EQY_CONSOLIDATED=Y","Sort=A","Dates=H","DateFormat=P","Fill=—","Direction=H","UseDPDF=Y")</f>
        <v>#NAME?</v>
      </c>
      <c r="BE575" s="2" t="e">
        <f ca="1">_xll.BDH($C$553,"GEO_GROW_CASH_OPER_ACT","FQ2 2018","FQ2 2018","Currency=INR","Period=FQ","BEST_FPERIOD_OVERRIDE=FQ","FILING_STATUS=OR","EQY_CONSOLIDATED=Y","Sort=A","Dates=H","DateFormat=P","Fill=—","Direction=H","UseDPDF=Y")</f>
        <v>#NAME?</v>
      </c>
      <c r="BF575" s="2" t="e">
        <f ca="1">_xll.BDH($C$553,"REVENUE_SEQUENTIAL_GROWTH","FQ2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575" s="2" t="e">
        <f ca="1">_xll.BDH($C$553,"EBITDA_SEQUENTIAL_GROWTH","FQ2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575" s="2" t="e">
        <f ca="1">_xll.BDH($C$553,"OPERATING_INCOME_SEQ_GROWTH","FQ2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575" s="2" t="e">
        <f ca="1">_xll.BDH($C$553,"NET_INCOME_TO_COMMON_SEQ_GROWTH","FQ2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575" s="2" t="e">
        <f ca="1">_xll.BDH($C$553,"EPS_DILUTED_SEQUENTIAL_GROWTH","FQ2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575" s="2" t="e">
        <f ca="1">_xll.BDH($C$553,"DPS_SEQUENTIAL_GROWTH","FQ2 2018","FQ2 2018","Currency=INR","Period=FQ","BEST_FPERIOD_OVERRIDE=FQ","FILING_STATUS=OR","EQY_CONSOLIDATED=Y","Sort=A","Dates=H","DateFormat=P","Fill=—","Direction=H","UseDPDF=Y")</f>
        <v>#NAME?</v>
      </c>
      <c r="BL575" s="2" t="e">
        <f ca="1">_xll.BDH($C$553,"ACCOUNTS_RECEIVABLE_SEQ_GROWTH","FQ2 2018","FQ2 2018","Currency=INR","Period=FQ","BEST_FPERIOD_OVERRIDE=FQ","FILING_STATUS=OR","EQY_CONSOLIDATED=Y","Sort=A","Dates=H","DateFormat=P","Fill=—","Direction=H","UseDPDF=Y")</f>
        <v>#NAME?</v>
      </c>
      <c r="BM575" s="2" t="e">
        <f ca="1">_xll.BDH($C$553,"INVENTORY_SEQUENTIAL_GROWTH","FQ2 2018","FQ2 2018","Currency=INR","Period=FQ","BEST_FPERIOD_OVERRIDE=FQ","FILING_STATUS=OR","EQY_CONSOLIDATED=Y","Sort=A","Dates=H","DateFormat=P","Fill=—","Direction=H","UseDPDF=Y")</f>
        <v>#NAME?</v>
      </c>
      <c r="BN575" s="2" t="e">
        <f ca="1">_xll.BDH($C$553,"FIXED_ASSETS_SEQUENTIAL_GROWTH","FQ2 2018","FQ2 2018","Currency=INR","Period=FQ","BEST_FPERIOD_OVERRIDE=FQ","FILING_STATUS=OR","EQY_CONSOLIDATED=Y","Sort=A","Dates=H","DateFormat=P","Fill=—","Direction=H","UseDPDF=Y")</f>
        <v>#NAME?</v>
      </c>
      <c r="BO575" s="2" t="e">
        <f ca="1">_xll.BDH($C$553,"TOTAL_ASSETS_SEQUENTIAL_GROWTH","FQ2 2018","FQ2 2018","Currency=INR","Period=FQ","BEST_FPERIOD_OVERRIDE=FQ","FILING_STATUS=OR","EQY_CONSOLIDATED=Y","Sort=A","Dates=H","DateFormat=P","Fill=—","Direction=H","UseDPDF=Y")</f>
        <v>#NAME?</v>
      </c>
      <c r="BP575" s="2" t="e">
        <f ca="1">_xll.BDH($C$553,"MODIFIED_WORKING_CPTL_SEQ_GRWTH","FQ2 2018","FQ2 2018","Currency=INR","Period=FQ","BEST_FPERIOD_OVERRIDE=FQ","FILING_STATUS=OR","EQY_CONSOLIDATED=Y","Sort=A","Dates=H","DateFormat=P","Fill=—","Direction=H","UseDPDF=Y")</f>
        <v>#NAME?</v>
      </c>
      <c r="BQ575" s="2" t="e">
        <f ca="1">_xll.BDH($C$553,"WORKING_CAPITAL_SEQ_GROWTH","FQ2 2018","FQ2 2018","Currency=INR","Period=FQ","BEST_FPERIOD_OVERRIDE=FQ","FILING_STATUS=OR","EQY_CONSOLIDATED=Y","Sort=A","Dates=H","DateFormat=P","Fill=—","Direction=H","UseDPDF=Y")</f>
        <v>#NAME?</v>
      </c>
      <c r="BR575" s="2" t="e">
        <f ca="1">_xll.BDH($C$553,"ACCOUNTS_PAYABLE_SEQ_GROWTH","FQ2 2018","FQ2 2018","Currency=INR","Period=FQ","BEST_FPERIOD_OVERRIDE=FQ","FILING_STATUS=OR","EQY_CONSOLIDATED=Y","Sort=A","Dates=H","DateFormat=P","Fill=—","Direction=H","UseDPDF=Y")</f>
        <v>#NAME?</v>
      </c>
      <c r="BS575" s="2" t="e">
        <f ca="1">_xll.BDH($C$553,"ST_DEBT_SEQUENTIAL_GROWTH","FQ2 2018","FQ2 2018","Currency=INR","Period=FQ","BEST_FPERIOD_OVERRIDE=FQ","FILING_STATUS=OR","EQY_CONSOLIDATED=Y","Sort=A","Dates=H","DateFormat=P","Fill=—","Direction=H","UseDPDF=Y")</f>
        <v>#NAME?</v>
      </c>
      <c r="BT575" s="2" t="e">
        <f ca="1">_xll.BDH($C$553,"TOTAL_DEBT_SEQUENTIAL_GROWTH","FQ2 2018","FQ2 2018","Currency=INR","Period=FQ","BEST_FPERIOD_OVERRIDE=FQ","FILING_STATUS=OR","EQY_CONSOLIDATED=Y","Sort=A","Dates=H","DateFormat=P","Fill=—","Direction=H","UseDPDF=Y")</f>
        <v>#NAME?</v>
      </c>
      <c r="BU575" s="2" t="e">
        <f ca="1">_xll.BDH($C$553,"TOTAL_EQUITY_SEQUENTIAL_GROWTH","FQ2 2018","FQ2 2018","Currency=INR","Period=FQ","BEST_FPERIOD_OVERRIDE=FQ","FILING_STATUS=OR","EQY_CONSOLIDATED=Y","Sort=A","Dates=H","DateFormat=P","Fill=—","Direction=H","UseDPDF=Y")</f>
        <v>#NAME?</v>
      </c>
      <c r="BV575" s="2" t="e">
        <f ca="1">_xll.BDH($C$553,"TOTAL_CAPITAL_SEQUENTIAL_GROWTH","FQ2 2018","FQ2 2018","Currency=INR","Period=FQ","BEST_FPERIOD_OVERRIDE=FQ","FILING_STATUS=OR","EQY_CONSOLIDATED=Y","Sort=A","Dates=H","DateFormat=P","Fill=—","Direction=H","UseDPDF=Y")</f>
        <v>#NAME?</v>
      </c>
      <c r="BW575" s="2" t="e">
        <f ca="1">_xll.BDH($C$553,"BPS_SEQUENTIAL_GROWTH","FQ2 2018","FQ2 2018","Currency=INR","Period=FQ","BEST_FPERIOD_OVERRIDE=FQ","FILING_STATUS=OR","EQY_CONSOLIDATED=Y","Sort=A","Dates=H","DateFormat=P","Fill=—","Direction=H","UseDPDF=Y")</f>
        <v>#NAME?</v>
      </c>
      <c r="BX575" s="2" t="e">
        <f ca="1">_xll.BDH($C$553,"CFO_SEQUENTIAL_GROWTH","FQ2 2018","FQ2 2018","Currency=INR","Period=FQ","BEST_FPERIOD_OVERRIDE=FQ","FILING_STATUS=OR","EQY_CONSOLIDATED=Y","Sort=A","Dates=H","DateFormat=P","Fill=—","Direction=H","UseDPDF=Y")</f>
        <v>#NAME?</v>
      </c>
      <c r="BY575" s="3" t="e">
        <f ca="1">_xll.BDH($C$553,"SHORT_AND_LONG_TERM_DEBT","FQ2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575" s="3" t="e">
        <f ca="1">_xll.BDH($C$553,"BS_ST_BORROW","FQ2 2018","FQ2 2018","Currency=INR","Period=FQ","BEST_FPERIOD_OVERRIDE=FQ","FILING_STATUS=OR","EQY_CONSOLIDATED=Y","SCALING_FORMAT=MLN","Sort=A","Dates=H","DateFormat=P","Fill=—","Direction=H","UseDPDF=Y")</f>
        <v>#NAME?</v>
      </c>
      <c r="CA575" s="3" t="e">
        <f ca="1">_xll.BDH($C$553,"BS_LT_BORROW","FQ2 2018","FQ2 2018","Currency=INR","Period=FQ","BEST_FPERIOD_OVERRIDE=FQ","FILING_STATUS=OR","EQY_CONSOLIDATED=Y","SCALING_FORMAT=MLN","Sort=A","Dates=H","DateFormat=P","Fill=—","Direction=H","UseDPDF=Y")</f>
        <v>#NAME?</v>
      </c>
      <c r="CB575" s="2" t="e">
        <f ca="1">_xll.BDH($C$553,"TOT_DEBT_TO_EBITDA","FQ2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575" s="2" t="e">
        <f ca="1">_xll.BDH($C$553,"NET_DEBT_TO_EBITDA","FQ2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575" s="2" t="e">
        <f ca="1">_xll.BDH($C$553,"TOTAL_DEBT_TO_EBIT","FQ2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575" s="2" t="e">
        <f ca="1">_xll.BDH($C$553,"NET_DEBT_TO_EBIT","FQ2 2018","FQ2 2018","Currency=INR","Period=FQ","BEST_FPERIOD_OVERRIDE=FQ","FILING_STATUS=OR","EQY_CONSOLIDATED=Y","FA_ADJUSTED=GAAP","Sort=A","Dates=H","DateFormat=P","Fill=—","Direction=H","UseDPDF=Y")</f>
        <v>#NAME?</v>
      </c>
      <c r="CF575" s="2" t="e">
        <f ca="1">_xll.BDH($C$553,"EBITDA_TO_INTEREST_EXPN","FQ2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575" s="2" t="e">
        <f ca="1">_xll.BDH($C$553,"COM_EQY_TO_TOT_ASSET","FQ2 2018","FQ2 2018","Currency=INR","Period=FQ","BEST_FPERIOD_OVERRIDE=FQ","FILING_STATUS=OR","EQY_CONSOLIDATED=Y","Sort=A","Dates=H","DateFormat=P","Fill=—","Direction=H","UseDPDF=Y")</f>
        <v>#NAME?</v>
      </c>
      <c r="CH575" s="2" t="e">
        <f ca="1">_xll.BDH($C$553,"LT_DEBT_TO_TOT_EQY","FQ2 2018","FQ2 2018","Currency=INR","Period=FQ","BEST_FPERIOD_OVERRIDE=FQ","FILING_STATUS=OR","EQY_CONSOLIDATED=Y","Sort=A","Dates=H","DateFormat=P","Fill=—","Direction=H","UseDPDF=Y")</f>
        <v>#NAME?</v>
      </c>
      <c r="CI575" s="2" t="e">
        <f ca="1">_xll.BDH($C$553,"LT_DEBT_TO_TOT_CAP","FQ2 2018","FQ2 2018","Currency=INR","Period=FQ","BEST_FPERIOD_OVERRIDE=FQ","FILING_STATUS=OR","EQY_CONSOLIDATED=Y","Sort=A","Dates=H","DateFormat=P","Fill=—","Direction=H","UseDPDF=Y")</f>
        <v>#NAME?</v>
      </c>
      <c r="CJ575" s="2" t="e">
        <f ca="1">_xll.BDH($C$553,"LT_DEBT_TO_TOT_ASSET","FQ2 2018","FQ2 2018","Currency=INR","Period=FQ","BEST_FPERIOD_OVERRIDE=FQ","FILING_STATUS=OR","EQY_CONSOLIDATED=Y","Sort=A","Dates=H","DateFormat=P","Fill=—","Direction=H","UseDPDF=Y")</f>
        <v>#NAME?</v>
      </c>
      <c r="CK575" s="2" t="e">
        <f ca="1">_xll.BDH($C$553,"TOT_DEBT_TO_TOT_EQY","FQ2 2018","FQ2 2018","Currency=INR","Period=FQ","BEST_FPERIOD_OVERRIDE=FQ","FILING_STATUS=OR","EQY_CONSOLIDATED=Y","Sort=A","Dates=H","DateFormat=P","Fill=—","Direction=H","UseDPDF=Y")</f>
        <v>#NAME?</v>
      </c>
      <c r="CL575" s="2" t="e">
        <f ca="1">_xll.BDH($C$553,"TOT_DEBT_TO_TOT_CAP","FQ2 2018","FQ2 2018","Currency=INR","Period=FQ","BEST_FPERIOD_OVERRIDE=FQ","FILING_STATUS=OR","EQY_CONSOLIDATED=Y","Sort=A","Dates=H","DateFormat=P","Fill=—","Direction=H","UseDPDF=Y")</f>
        <v>#NAME?</v>
      </c>
      <c r="CM575" s="2" t="e">
        <f ca="1">_xll.BDH($C$553,"TOT_DEBT_TO_TOT_ASSET","FQ2 2018","FQ2 2018","Currency=INR","Period=FQ","BEST_FPERIOD_OVERRIDE=FQ","FILING_STATUS=OR","EQY_CONSOLIDATED=Y","Sort=A","Dates=H","DateFormat=P","Fill=—","Direction=H","UseDPDF=Y")</f>
        <v>#NAME?</v>
      </c>
      <c r="CN575" s="2" t="e">
        <f ca="1">_xll.BDH($C$553,"NET_DEBT_TO_SHRHLDR_EQTY","FQ2 2018","FQ2 2018","Currency=INR","Period=FQ","BEST_FPERIOD_OVERRIDE=FQ","FILING_STATUS=OR","EQY_CONSOLIDATED=Y","Sort=A","Dates=H","DateFormat=P","Fill=—","Direction=H","UseDPDF=Y")</f>
        <v>#NAME?</v>
      </c>
      <c r="CO575" s="2" t="e">
        <f ca="1">_xll.BDH($C$553,"NET_DEBT_%_CAPITAL","FQ2 2018","FQ2 2018","Currency=INR","Period=FQ","BEST_FPERIOD_OVERRIDE=FQ","FILING_STATUS=OR","EQY_CONSOLIDATED=Y","Sort=A","Dates=H","DateFormat=P","Fill=—","Direction=H","UseDPDF=Y")</f>
        <v>#NAME?</v>
      </c>
      <c r="CP575" s="3" t="e">
        <f ca="1">_xll.BDH($C$553,"EBITDA","FQ2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575" s="3" t="e">
        <f ca="1">_xll.BDH($C$553,"EBITDA_AFTER_CAPEX","FQ2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575" s="3" t="e">
        <f ca="1">_xll.BDH($C$553,"IS_OPER_INC","FQ2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575" s="2" t="e">
        <f ca="1">_xll.BDH($C$553,"CASH_RATIO","FQ2 2018","FQ2 2018","Currency=INR","Period=FQ","BEST_FPERIOD_OVERRIDE=FQ","FILING_STATUS=OR","EQY_CONSOLIDATED=Y","Sort=A","Dates=H","DateFormat=P","Fill=—","Direction=H","UseDPDF=Y")</f>
        <v>#NAME?</v>
      </c>
      <c r="CT575" s="2" t="e">
        <f ca="1">_xll.BDH($C$553,"CUR_RATIO","FQ2 2018","FQ2 2018","Currency=INR","Period=FQ","BEST_FPERIOD_OVERRIDE=FQ","FILING_STATUS=OR","EQY_CONSOLIDATED=Y","Sort=A","Dates=H","DateFormat=P","Fill=—","Direction=H","UseDPDF=Y")</f>
        <v>#NAME?</v>
      </c>
      <c r="CU575" s="2" t="e">
        <f ca="1">_xll.BDH($C$553,"QUICK_RATIO","FQ2 2018","FQ2 2018","Currency=INR","Period=FQ","BEST_FPERIOD_OVERRIDE=FQ","FILING_STATUS=OR","EQY_CONSOLIDATED=Y","Sort=A","Dates=H","DateFormat=P","Fill=—","Direction=H","UseDPDF=Y")</f>
        <v>#NAME?</v>
      </c>
      <c r="CV575" s="2" t="e">
        <f ca="1">_xll.BDH($C$553,"ALTMAN_Z_SCORE","FQ2 2018","FQ2 2018","Currency=INR","Period=FQ","BEST_FPERIOD_OVERRIDE=FQ","FILING_STATUS=OR","EQY_CONSOLIDATED=Y","Sort=A","Dates=H","DateFormat=P","Fill=—","Direction=H","UseDPDF=Y")</f>
        <v>#NAME?</v>
      </c>
      <c r="CW575" s="4" t="e">
        <f ca="1">_xll.BDH($C$553,"ACCT_RCV_TURN","FQ2 2018","FQ2 2018","Currency=INR","Period=FQ","BEST_FPERIOD_OVERRIDE=FQ","FILING_STATUS=OR","EQY_CONSOLIDATED=Y","FA_ADJUSTED=GAAP","Sort=A","Dates=H","DateFormat=P","Fill=—","Direction=H","UseDPDF=Y")</f>
        <v>#NAME?</v>
      </c>
      <c r="CX575" s="2" t="e">
        <f ca="1">_xll.BDH($C$553,"ACCT_RCV_DAYS","FQ2 2018","FQ2 2018","Currency=INR","Period=FQ","BEST_FPERIOD_OVERRIDE=FQ","FILING_STATUS=OR","EQY_CONSOLIDATED=Y","FA_ADJUSTED=GAAP","Sort=A","Dates=H","DateFormat=P","Fill=—","Direction=H","UseDPDF=Y")</f>
        <v>#NAME?</v>
      </c>
      <c r="CY575" s="4" t="e">
        <f ca="1">_xll.BDH($C$553,"INVENT_TURN","FQ2 2018","FQ2 2018","Currency=INR","Period=FQ","BEST_FPERIOD_OVERRIDE=FQ","FILING_STATUS=OR","EQY_CONSOLIDATED=Y","FA_ADJUSTED=GAAP","Sort=A","Dates=H","DateFormat=P","Fill=—","Direction=H","UseDPDF=Y")</f>
        <v>#NAME?</v>
      </c>
      <c r="CZ575" s="2" t="e">
        <f ca="1">_xll.BDH($C$553,"INVENT_DAYS","FQ2 2018","FQ2 2018","Currency=INR","Period=FQ","BEST_FPERIOD_OVERRIDE=FQ","FILING_STATUS=OR","EQY_CONSOLIDATED=Y","FA_ADJUSTED=GAAP","Sort=A","Dates=H","DateFormat=P","Fill=—","Direction=H","UseDPDF=Y")</f>
        <v>#NAME?</v>
      </c>
      <c r="DA575" s="4" t="e">
        <f ca="1">_xll.BDH($C$553,"ACCOUNTS_PAYABLE_TURNOVER","FQ2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575" s="2" t="e">
        <f ca="1">_xll.BDH($C$553,"ACCOUNTS_PAYABLE_TURNOVER_DAYS","FQ2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575" s="4" t="e">
        <f ca="1">_xll.BDH($C$553,"CASH_CONVERSION_CYCLE","FQ2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575" s="4" t="e">
        <f ca="1">_xll.BDH($C$553,"INV_TO_CASH_DAYS","FQ2 2018","FQ2 2018","Currency=INR","Period=FQ","BEST_FPERIOD_OVERRIDE=FQ","FILING_STATUS=OR","EQY_CONSOLIDATED=Y","FA_ADJUSTED=GAAP","Sort=A","Dates=H","DateFormat=P","Fill=—","Direction=H","UseDPDF=Y")</f>
        <v>#NAME?</v>
      </c>
      <c r="DE575" s="5" t="e">
        <f ca="1">_xll.BDH($C$553,"BS_INVENTORIES","FQ2 2018","FQ2 2018","Currency=INR","Period=FQ","BEST_FPERIOD_OVERRIDE=FQ","FILING_STATUS=OR","EQY_CONSOLIDATED=Y","SCALING_FORMAT=MLN","Sort=A","Dates=H","DateFormat=P","Fill=—","Direction=H","UseDPDF=Y")</f>
        <v>#NAME?</v>
      </c>
      <c r="DF575" s="3" t="e">
        <f ca="1">_xll.BDH($C$553,"INVTRY_RAW_MATERIALS","FQ2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575" s="3" t="e">
        <f ca="1">_xll.BDH($C$553,"INVTRY_IN_PROGRESS","FQ2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575" s="3" t="e">
        <f ca="1">_xll.BDH($C$553,"INVTRY_FINISHED_GOODS","FQ2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575" s="3" t="e">
        <f ca="1">_xll.BDH($C$553,"BS_OTHER_INV","FQ2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576" spans="1:113" x14ac:dyDescent="0.3">
      <c r="A576" s="6"/>
      <c r="B576" s="6"/>
      <c r="C576" s="6"/>
      <c r="D576" s="6"/>
      <c r="E576" t="s">
        <v>80</v>
      </c>
      <c r="F576" t="e">
        <f ca="1">_xll.BDH($C$553,"RETURN_COM_EQY","FQ3 2018","FQ3 2018","Currency=INR","Period=FQ","BEST_FPERIOD_OVERRIDE=FQ","FILING_STATUS=OR","EQY_CONSOLIDATED=Y","FA_ADJUSTED=GAAP","Sort=A","Dates=H","DateFormat=P","Fill=—","Direction=H","UseDPDF=Y")</f>
        <v>#NAME?</v>
      </c>
      <c r="G576" t="e">
        <f ca="1">_xll.BDH($C$553,"RETURN_ON_ASSET","FQ3 2018","FQ3 2018","Currency=INR","Period=FQ","BEST_FPERIOD_OVERRIDE=FQ","FILING_STATUS=OR","EQY_CONSOLIDATED=Y","FA_ADJUSTED=GAAP","Sort=A","Dates=H","DateFormat=P","Fill=—","Direction=H","UseDPDF=Y")</f>
        <v>#NAME?</v>
      </c>
      <c r="H576" t="e">
        <f ca="1">_xll.BDH($C$553,"RETURN_ON_CAP","FQ3 2018","FQ3 2018","Currency=INR","Period=FQ","BEST_FPERIOD_OVERRIDE=FQ","FILING_STATUS=OR","EQY_CONSOLIDATED=Y","FA_ADJUSTED=GAAP","Sort=A","Dates=H","DateFormat=P","Fill=—","Direction=H","UseDPDF=Y")</f>
        <v>#NAME?</v>
      </c>
      <c r="I576" t="e">
        <f ca="1">_xll.BDH($C$553,"RETURN_ON_INV_CAPITAL","FQ3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576" t="e">
        <f ca="1">_xll.BDH($C$553,"EBITDA_TO_REVENUE","FQ3 2018","FQ3 2018","Currency=INR","Period=FQ","BEST_FPERIOD_OVERRIDE=FQ","FILING_STATUS=OR","EQY_CONSOLIDATED=Y","FA_ADJUSTED=GAAP","Sort=A","Dates=H","DateFormat=P","Fill=—","Direction=H","UseDPDF=Y")</f>
        <v>#NAME?</v>
      </c>
      <c r="K576" t="e">
        <f ca="1">_xll.BDH($C$553,"OPER_MARGIN","FQ3 2018","FQ3 2018","Currency=INR","Period=FQ","BEST_FPERIOD_OVERRIDE=FQ","FILING_STATUS=OR","EQY_CONSOLIDATED=Y","FA_ADJUSTED=GAAP","Sort=A","Dates=H","DateFormat=P","Fill=—","Direction=H","UseDPDF=Y")</f>
        <v>#NAME?</v>
      </c>
      <c r="L576" t="e">
        <f ca="1">_xll.BDH($C$553,"INCREMENTAL_OPERATING_MARGIN","FQ3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576" t="e">
        <f ca="1">_xll.BDH($C$553,"PRETAX_INC_TO_NET_SALES","FQ3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576" t="e">
        <f ca="1">_xll.BDH($C$553,"INC_BEF_XO_ITEMS_TO_NET_SALES","FQ3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576" t="e">
        <f ca="1">_xll.BDH($C$553,"PROF_MARGIN","FQ3 2018","FQ3 2018","Currency=INR","Period=FQ","BEST_FPERIOD_OVERRIDE=FQ","FILING_STATUS=OR","EQY_CONSOLIDATED=Y","FA_ADJUSTED=GAAP","Sort=A","Dates=H","DateFormat=P","Fill=—","Direction=H","UseDPDF=Y")</f>
        <v>#NAME?</v>
      </c>
      <c r="P576" t="e">
        <f ca="1">_xll.BDH($C$553,"NET_INCOME_TO_COMMON_MARGIN","FQ3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576" t="e">
        <f ca="1">_xll.BDH($C$553,"EFF_TAX_RATE","FQ3 2018","FQ3 2018","Currency=INR","Period=FQ","BEST_FPERIOD_OVERRIDE=FQ","FILING_STATUS=OR","EQY_CONSOLIDATED=Y","FA_ADJUSTED=GAAP","Sort=A","Dates=H","DateFormat=P","Fill=—","Direction=H","UseDPDF=Y")</f>
        <v>#NAME?</v>
      </c>
      <c r="R576" t="e">
        <f ca="1">_xll.BDH($C$553,"DVD_PAYOUT_RATIO","FQ3 2018","FQ3 2018","Currency=INR","Period=FQ","BEST_FPERIOD_OVERRIDE=FQ","FILING_STATUS=OR","EQY_CONSOLIDATED=Y","FA_ADJUSTED=GAAP","Sort=A","Dates=H","DateFormat=P","Fill=—","Direction=H","UseDPDF=Y")</f>
        <v>#NAME?</v>
      </c>
      <c r="S576" t="e">
        <f ca="1">_xll.BDH($C$553,"SUSTAIN_GROWTH_RT","FQ3 2018","FQ3 2018","Currency=INR","Period=FQ","BEST_FPERIOD_OVERRIDE=FQ","FILING_STATUS=OR","EQY_CONSOLIDATED=Y","FA_ADJUSTED=GAAP","Sort=A","Dates=H","DateFormat=P","Fill=—","Direction=H","UseDPDF=Y")</f>
        <v>#NAME?</v>
      </c>
      <c r="T576" s="2" t="e">
        <f ca="1">_xll.BDH($C$553,"SALES_GROWTH","FQ3 2018","FQ3 2018","Currency=INR","Period=FQ","BEST_FPERIOD_OVERRIDE=FQ","FILING_STATUS=OR","EQY_CONSOLIDATED=Y","FA_ADJUSTED=GAAP","Sort=A","Dates=H","DateFormat=P","Fill=—","Direction=H","UseDPDF=Y")</f>
        <v>#NAME?</v>
      </c>
      <c r="U576" s="2" t="e">
        <f ca="1">_xll.BDH($C$553,"EBITDA_GROWTH","FQ3 2018","FQ3 2018","Currency=INR","Period=FQ","BEST_FPERIOD_OVERRIDE=FQ","FILING_STATUS=OR","EQY_CONSOLIDATED=Y","FA_ADJUSTED=GAAP","Sort=A","Dates=H","DateFormat=P","Fill=—","Direction=H","UseDPDF=Y")</f>
        <v>#NAME?</v>
      </c>
      <c r="V576" s="2" t="e">
        <f ca="1">_xll.BDH($C$553,"OPER_INC_GROWTH","FQ3 2018","FQ3 2018","Currency=INR","Period=FQ","BEST_FPERIOD_OVERRIDE=FQ","FILING_STATUS=OR","EQY_CONSOLIDATED=Y","FA_ADJUSTED=GAAP","Sort=A","Dates=H","DateFormat=P","Fill=—","Direction=H","UseDPDF=Y")</f>
        <v>#NAME?</v>
      </c>
      <c r="W576" s="2" t="e">
        <f ca="1">_xll.BDH($C$553,"EARN_FOR_COM_GROWTH","FQ3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576" s="2" t="e">
        <f ca="1">_xll.BDH($C$553,"DILUTED_EPS_AFT_XO_ITEMS_GROWTH","FQ3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576" s="2" t="e">
        <f ca="1">_xll.BDH($C$553,"DIVIDEND_PER_SHARE_1_YEAR_GROWTH","FQ3 2018","FQ3 2018","Currency=INR","Period=FQ","BEST_FPERIOD_OVERRIDE=FQ","FILING_STATUS=OR","EQY_CONSOLIDATED=Y","Sort=A","Dates=H","DateFormat=P","Fill=—","Direction=H","UseDPDF=Y")</f>
        <v>#NAME?</v>
      </c>
      <c r="Z576" s="2" t="e">
        <f ca="1">_xll.BDH($C$553,"ACCOUNTS_RECEIVABLE_GROWTH","FQ3 2018","FQ3 2018","Currency=INR","Period=FQ","BEST_FPERIOD_OVERRIDE=FQ","FILING_STATUS=OR","EQY_CONSOLIDATED=Y","Sort=A","Dates=H","DateFormat=P","Fill=—","Direction=H","UseDPDF=Y")</f>
        <v>#NAME?</v>
      </c>
      <c r="AA576" s="2" t="e">
        <f ca="1">_xll.BDH($C$553,"INVENTORY_GROWTH","FQ3 2018","FQ3 2018","Currency=INR","Period=FQ","BEST_FPERIOD_OVERRIDE=FQ","FILING_STATUS=OR","EQY_CONSOLIDATED=Y","Sort=A","Dates=H","DateFormat=P","Fill=—","Direction=H","UseDPDF=Y")</f>
        <v>#NAME?</v>
      </c>
      <c r="AB576" s="2" t="e">
        <f ca="1">_xll.BDH($C$553,"NET_FIXED_ASSETS_1_YEAR_GROWTH","FQ3 2018","FQ3 2018","Currency=INR","Period=FQ","BEST_FPERIOD_OVERRIDE=FQ","FILING_STATUS=OR","EQY_CONSOLIDATED=Y","Sort=A","Dates=H","DateFormat=P","Fill=—","Direction=H","UseDPDF=Y")</f>
        <v>#NAME?</v>
      </c>
      <c r="AC576" s="2" t="e">
        <f ca="1">_xll.BDH($C$553,"ASSET_GROWTH","FQ3 2018","FQ3 2018","Currency=INR","Period=FQ","BEST_FPERIOD_OVERRIDE=FQ","FILING_STATUS=OR","EQY_CONSOLIDATED=Y","Sort=A","Dates=H","DateFormat=P","Fill=—","Direction=H","UseDPDF=Y")</f>
        <v>#NAME?</v>
      </c>
      <c r="AD576" s="2" t="e">
        <f ca="1">_xll.BDH($C$553,"MODIFIED_WORK_CAP_GROWTH","FQ3 2018","FQ3 2018","Currency=INR","Period=FQ","BEST_FPERIOD_OVERRIDE=FQ","FILING_STATUS=OR","EQY_CONSOLIDATED=Y","Sort=A","Dates=H","DateFormat=P","Fill=—","Direction=H","UseDPDF=Y")</f>
        <v>#NAME?</v>
      </c>
      <c r="AE576" s="2" t="e">
        <f ca="1">_xll.BDH($C$553,"WORK_CAP_GROWTH","FQ3 2018","FQ3 2018","Currency=INR","Period=FQ","BEST_FPERIOD_OVERRIDE=FQ","FILING_STATUS=OR","EQY_CONSOLIDATED=Y","Sort=A","Dates=H","DateFormat=P","Fill=—","Direction=H","UseDPDF=Y")</f>
        <v>#NAME?</v>
      </c>
      <c r="AF576" s="2" t="e">
        <f ca="1">_xll.BDH($C$553,"ACCOUNTS_PAYABLE_GROWTH_1YR","FQ3 2018","FQ3 2018","Currency=INR","Period=FQ","BEST_FPERIOD_OVERRIDE=FQ","FILING_STATUS=OR","EQY_CONSOLIDATED=Y","Sort=A","Dates=H","DateFormat=P","Fill=—","Direction=H","UseDPDF=Y")</f>
        <v>#NAME?</v>
      </c>
      <c r="AG576" s="2" t="e">
        <f ca="1">_xll.BDH($C$553,"SHORT_TERM_DEBT_1_YEAR_GROWTH","FQ3 2018","FQ3 2018","Currency=INR","Period=FQ","BEST_FPERIOD_OVERRIDE=FQ","FILING_STATUS=OR","EQY_CONSOLIDATED=Y","Sort=A","Dates=H","DateFormat=P","Fill=—","Direction=H","UseDPDF=Y")</f>
        <v>#NAME?</v>
      </c>
      <c r="AH576" s="2" t="e">
        <f ca="1">_xll.BDH($C$553,"TOTAL_DEBT_1_YEAR_GROWTH","FQ3 2018","FQ3 2018","Currency=INR","Period=FQ","BEST_FPERIOD_OVERRIDE=FQ","FILING_STATUS=OR","EQY_CONSOLIDATED=Y","Sort=A","Dates=H","DateFormat=P","Fill=—","Direction=H","UseDPDF=Y")</f>
        <v>#NAME?</v>
      </c>
      <c r="AI576" s="2" t="e">
        <f ca="1">_xll.BDH($C$553,"TOTAL_EQUITY_1_YEAR_GROWTH","FQ3 2018","FQ3 2018","Currency=INR","Period=FQ","BEST_FPERIOD_OVERRIDE=FQ","FILING_STATUS=OR","EQY_CONSOLIDATED=Y","Sort=A","Dates=H","DateFormat=P","Fill=—","Direction=H","UseDPDF=Y")</f>
        <v>#NAME?</v>
      </c>
      <c r="AJ576" s="2" t="e">
        <f ca="1">_xll.BDH($C$553,"GROWTH_IN_CAP","FQ3 2018","FQ3 2018","Currency=INR","Period=FQ","BEST_FPERIOD_OVERRIDE=FQ","FILING_STATUS=OR","EQY_CONSOLIDATED=Y","Sort=A","Dates=H","DateFormat=P","Fill=—","Direction=H","UseDPDF=Y")</f>
        <v>#NAME?</v>
      </c>
      <c r="AK576" s="2" t="e">
        <f ca="1">_xll.BDH($C$553,"BVPS_GROWTH","FQ3 2018","FQ3 2018","Currency=INR","Period=FQ","BEST_FPERIOD_OVERRIDE=FQ","FILING_STATUS=OR","EQY_CONSOLIDATED=Y","Sort=A","Dates=H","DateFormat=P","Fill=—","Direction=H","UseDPDF=Y")</f>
        <v>#NAME?</v>
      </c>
      <c r="AL576" s="2" t="e">
        <f ca="1">_xll.BDH($C$553,"CASH_FLOW_GROWTH","FQ3 2018","FQ3 2018","Currency=INR","Period=FQ","BEST_FPERIOD_OVERRIDE=FQ","FILING_STATUS=OR","EQY_CONSOLIDATED=Y","Sort=A","Dates=H","DateFormat=P","Fill=—","Direction=H","UseDPDF=Y")</f>
        <v>#NAME?</v>
      </c>
      <c r="AM576" s="2" t="e">
        <f ca="1">_xll.BDH($C$553,"GEO_GROW_NET_SALES","FQ3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576" s="2" t="e">
        <f ca="1">_xll.BDH($C$553,"GEO_GROW_EBITDA","FQ3 2018","FQ3 2018","Currency=INR","Period=FQ","BEST_FPERIOD_OVERRIDE=FQ","FILING_STATUS=OR","EQY_CONSOLIDATED=Y","FA_ADJUSTED=GAAP","Sort=A","Dates=H","DateFormat=P","Fill=—","Direction=H","UseDPDF=Y")</f>
        <v>#NAME?</v>
      </c>
      <c r="AO576" s="2" t="e">
        <f ca="1">_xll.BDH($C$553,"GEO_GROW_OPER_INC","FQ3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576" s="2" t="e">
        <f ca="1">_xll.BDH($C$553,"NET_INCOME_TO_COMMON_5_YR_GROWTH","FQ3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576" s="2" t="e">
        <f ca="1">_xll.BDH($C$553,"5Y_GEO_GROWTH_DILUTED_EPS","FQ3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576" s="2" t="e">
        <f ca="1">_xll.BDH($C$553,"GEO_GROW_DVD_PER_SH","FQ3 2018","FQ3 2018","Currency=INR","Period=FQ","BEST_FPERIOD_OVERRIDE=FQ","FILING_STATUS=OR","EQY_CONSOLIDATED=Y","Sort=A","Dates=H","DateFormat=P","Fill=—","Direction=H","UseDPDF=Y")</f>
        <v>#NAME?</v>
      </c>
      <c r="AS576" s="2" t="e">
        <f ca="1">_xll.BDH($C$553,"ACCOUNTS_RECEIVABLE_5_YR_GROWTH","FQ3 2018","FQ3 2018","Currency=INR","Period=FQ","BEST_FPERIOD_OVERRIDE=FQ","FILING_STATUS=OR","EQY_CONSOLIDATED=Y","Sort=A","Dates=H","DateFormat=P","Fill=—","Direction=H","UseDPDF=Y")</f>
        <v>#NAME?</v>
      </c>
      <c r="AT576" s="2" t="e">
        <f ca="1">_xll.BDH($C$553,"INVENTORY_5_YEAR_GROWTH","FQ3 2018","FQ3 2018","Currency=INR","Period=FQ","BEST_FPERIOD_OVERRIDE=FQ","FILING_STATUS=OR","EQY_CONSOLIDATED=Y","Sort=A","Dates=H","DateFormat=P","Fill=—","Direction=H","UseDPDF=Y")</f>
        <v>#NAME?</v>
      </c>
      <c r="AU576" s="2" t="e">
        <f ca="1">_xll.BDH($C$553,"NET_FIXED_ASSETS_5_YEAR_GROWTH","FQ3 2018","FQ3 2018","Currency=INR","Period=FQ","BEST_FPERIOD_OVERRIDE=FQ","FILING_STATUS=OR","EQY_CONSOLIDATED=Y","Sort=A","Dates=H","DateFormat=P","Fill=—","Direction=H","UseDPDF=Y")</f>
        <v>#NAME?</v>
      </c>
      <c r="AV576" s="2" t="e">
        <f ca="1">_xll.BDH($C$553,"GEO_GROW_TOT_ASSET","FQ3 2018","FQ3 2018","Currency=INR","Period=FQ","BEST_FPERIOD_OVERRIDE=FQ","FILING_STATUS=OR","EQY_CONSOLIDATED=Y","Sort=A","Dates=H","DateFormat=P","Fill=—","Direction=H","UseDPDF=Y")</f>
        <v>#NAME?</v>
      </c>
      <c r="AW576" s="2" t="e">
        <f ca="1">_xll.BDH($C$553,"MODIFIED_WORKING_CPTL_5YR_GRWTH","FQ3 2018","FQ3 2018","Currency=INR","Period=FQ","BEST_FPERIOD_OVERRIDE=FQ","FILING_STATUS=OR","EQY_CONSOLIDATED=Y","Sort=A","Dates=H","DateFormat=P","Fill=—","Direction=H","UseDPDF=Y")</f>
        <v>#NAME?</v>
      </c>
      <c r="AX576" s="2" t="e">
        <f ca="1">_xll.BDH($C$553,"WORKING_CAPITAL_5_YEAR_GROWTH","FQ3 2018","FQ3 2018","Currency=INR","Period=FQ","BEST_FPERIOD_OVERRIDE=FQ","FILING_STATUS=OR","EQY_CONSOLIDATED=Y","Sort=A","Dates=H","DateFormat=P","Fill=—","Direction=H","UseDPDF=Y")</f>
        <v>#NAME?</v>
      </c>
      <c r="AY576" s="2" t="e">
        <f ca="1">_xll.BDH($C$553,"ACCOUNTS_PAYABLE_5_YEAR_GROWTH","FQ3 2018","FQ3 2018","Currency=INR","Period=FQ","BEST_FPERIOD_OVERRIDE=FQ","FILING_STATUS=OR","EQY_CONSOLIDATED=Y","Sort=A","Dates=H","DateFormat=P","Fill=—","Direction=H","UseDPDF=Y")</f>
        <v>#NAME?</v>
      </c>
      <c r="AZ576" s="2" t="e">
        <f ca="1">_xll.BDH($C$553,"SHORT_TERM_DEBT_5_YEAR_GROWTH","FQ3 2018","FQ3 2018","Currency=INR","Period=FQ","BEST_FPERIOD_OVERRIDE=FQ","FILING_STATUS=OR","EQY_CONSOLIDATED=Y","Sort=A","Dates=H","DateFormat=P","Fill=—","Direction=H","UseDPDF=Y")</f>
        <v>#NAME?</v>
      </c>
      <c r="BA576" s="2" t="e">
        <f ca="1">_xll.BDH($C$553,"TOTAL_DEBT_5_YEAR_GROWTH","FQ3 2018","FQ3 2018","Currency=INR","Period=FQ","BEST_FPERIOD_OVERRIDE=FQ","FILING_STATUS=OR","EQY_CONSOLIDATED=Y","Sort=A","Dates=H","DateFormat=P","Fill=—","Direction=H","UseDPDF=Y")</f>
        <v>#NAME?</v>
      </c>
      <c r="BB576" s="2" t="e">
        <f ca="1">_xll.BDH($C$553,"GEO_GROW_TOT_SHRHLDR_EQY","FQ3 2018","FQ3 2018","Currency=INR","Period=FQ","BEST_FPERIOD_OVERRIDE=FQ","FILING_STATUS=OR","EQY_CONSOLIDATED=Y","Sort=A","Dates=H","DateFormat=P","Fill=—","Direction=H","UseDPDF=Y")</f>
        <v>#NAME?</v>
      </c>
      <c r="BC576" s="2" t="e">
        <f ca="1">_xll.BDH($C$553,"TOTAL_CAPITAL_5_YEAR_GROWTH","FQ3 2018","FQ3 2018","Currency=INR","Period=FQ","BEST_FPERIOD_OVERRIDE=FQ","FILING_STATUS=OR","EQY_CONSOLIDATED=Y","Sort=A","Dates=H","DateFormat=P","Fill=—","Direction=H","UseDPDF=Y")</f>
        <v>#NAME?</v>
      </c>
      <c r="BD576" s="2" t="e">
        <f ca="1">_xll.BDH($C$553,"GEO_GROW_BOOK_VAL","FQ3 2018","FQ3 2018","Currency=INR","Period=FQ","BEST_FPERIOD_OVERRIDE=FQ","FILING_STATUS=OR","EQY_CONSOLIDATED=Y","Sort=A","Dates=H","DateFormat=P","Fill=—","Direction=H","UseDPDF=Y")</f>
        <v>#NAME?</v>
      </c>
      <c r="BE576" s="2" t="e">
        <f ca="1">_xll.BDH($C$553,"GEO_GROW_CASH_OPER_ACT","FQ3 2018","FQ3 2018","Currency=INR","Period=FQ","BEST_FPERIOD_OVERRIDE=FQ","FILING_STATUS=OR","EQY_CONSOLIDATED=Y","Sort=A","Dates=H","DateFormat=P","Fill=—","Direction=H","UseDPDF=Y")</f>
        <v>#NAME?</v>
      </c>
      <c r="BF576" s="2" t="e">
        <f ca="1">_xll.BDH($C$553,"REVENUE_SEQUENTIAL_GROWTH","FQ3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576" s="2" t="e">
        <f ca="1">_xll.BDH($C$553,"EBITDA_SEQUENTIAL_GROWTH","FQ3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576" s="2" t="e">
        <f ca="1">_xll.BDH($C$553,"OPERATING_INCOME_SEQ_GROWTH","FQ3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576" s="2" t="e">
        <f ca="1">_xll.BDH($C$553,"NET_INCOME_TO_COMMON_SEQ_GROWTH","FQ3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576" s="2" t="e">
        <f ca="1">_xll.BDH($C$553,"EPS_DILUTED_SEQUENTIAL_GROWTH","FQ3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576" s="2" t="e">
        <f ca="1">_xll.BDH($C$553,"DPS_SEQUENTIAL_GROWTH","FQ3 2018","FQ3 2018","Currency=INR","Period=FQ","BEST_FPERIOD_OVERRIDE=FQ","FILING_STATUS=OR","EQY_CONSOLIDATED=Y","Sort=A","Dates=H","DateFormat=P","Fill=—","Direction=H","UseDPDF=Y")</f>
        <v>#NAME?</v>
      </c>
      <c r="BL576" s="2" t="e">
        <f ca="1">_xll.BDH($C$553,"ACCOUNTS_RECEIVABLE_SEQ_GROWTH","FQ3 2018","FQ3 2018","Currency=INR","Period=FQ","BEST_FPERIOD_OVERRIDE=FQ","FILING_STATUS=OR","EQY_CONSOLIDATED=Y","Sort=A","Dates=H","DateFormat=P","Fill=—","Direction=H","UseDPDF=Y")</f>
        <v>#NAME?</v>
      </c>
      <c r="BM576" s="2" t="e">
        <f ca="1">_xll.BDH($C$553,"INVENTORY_SEQUENTIAL_GROWTH","FQ3 2018","FQ3 2018","Currency=INR","Period=FQ","BEST_FPERIOD_OVERRIDE=FQ","FILING_STATUS=OR","EQY_CONSOLIDATED=Y","Sort=A","Dates=H","DateFormat=P","Fill=—","Direction=H","UseDPDF=Y")</f>
        <v>#NAME?</v>
      </c>
      <c r="BN576" s="2" t="e">
        <f ca="1">_xll.BDH($C$553,"FIXED_ASSETS_SEQUENTIAL_GROWTH","FQ3 2018","FQ3 2018","Currency=INR","Period=FQ","BEST_FPERIOD_OVERRIDE=FQ","FILING_STATUS=OR","EQY_CONSOLIDATED=Y","Sort=A","Dates=H","DateFormat=P","Fill=—","Direction=H","UseDPDF=Y")</f>
        <v>#NAME?</v>
      </c>
      <c r="BO576" s="2" t="e">
        <f ca="1">_xll.BDH($C$553,"TOTAL_ASSETS_SEQUENTIAL_GROWTH","FQ3 2018","FQ3 2018","Currency=INR","Period=FQ","BEST_FPERIOD_OVERRIDE=FQ","FILING_STATUS=OR","EQY_CONSOLIDATED=Y","Sort=A","Dates=H","DateFormat=P","Fill=—","Direction=H","UseDPDF=Y")</f>
        <v>#NAME?</v>
      </c>
      <c r="BP576" s="2" t="e">
        <f ca="1">_xll.BDH($C$553,"MODIFIED_WORKING_CPTL_SEQ_GRWTH","FQ3 2018","FQ3 2018","Currency=INR","Period=FQ","BEST_FPERIOD_OVERRIDE=FQ","FILING_STATUS=OR","EQY_CONSOLIDATED=Y","Sort=A","Dates=H","DateFormat=P","Fill=—","Direction=H","UseDPDF=Y")</f>
        <v>#NAME?</v>
      </c>
      <c r="BQ576" s="2" t="e">
        <f ca="1">_xll.BDH($C$553,"WORKING_CAPITAL_SEQ_GROWTH","FQ3 2018","FQ3 2018","Currency=INR","Period=FQ","BEST_FPERIOD_OVERRIDE=FQ","FILING_STATUS=OR","EQY_CONSOLIDATED=Y","Sort=A","Dates=H","DateFormat=P","Fill=—","Direction=H","UseDPDF=Y")</f>
        <v>#NAME?</v>
      </c>
      <c r="BR576" s="2" t="e">
        <f ca="1">_xll.BDH($C$553,"ACCOUNTS_PAYABLE_SEQ_GROWTH","FQ3 2018","FQ3 2018","Currency=INR","Period=FQ","BEST_FPERIOD_OVERRIDE=FQ","FILING_STATUS=OR","EQY_CONSOLIDATED=Y","Sort=A","Dates=H","DateFormat=P","Fill=—","Direction=H","UseDPDF=Y")</f>
        <v>#NAME?</v>
      </c>
      <c r="BS576" s="2" t="e">
        <f ca="1">_xll.BDH($C$553,"ST_DEBT_SEQUENTIAL_GROWTH","FQ3 2018","FQ3 2018","Currency=INR","Period=FQ","BEST_FPERIOD_OVERRIDE=FQ","FILING_STATUS=OR","EQY_CONSOLIDATED=Y","Sort=A","Dates=H","DateFormat=P","Fill=—","Direction=H","UseDPDF=Y")</f>
        <v>#NAME?</v>
      </c>
      <c r="BT576" s="2" t="e">
        <f ca="1">_xll.BDH($C$553,"TOTAL_DEBT_SEQUENTIAL_GROWTH","FQ3 2018","FQ3 2018","Currency=INR","Period=FQ","BEST_FPERIOD_OVERRIDE=FQ","FILING_STATUS=OR","EQY_CONSOLIDATED=Y","Sort=A","Dates=H","DateFormat=P","Fill=—","Direction=H","UseDPDF=Y")</f>
        <v>#NAME?</v>
      </c>
      <c r="BU576" s="2" t="e">
        <f ca="1">_xll.BDH($C$553,"TOTAL_EQUITY_SEQUENTIAL_GROWTH","FQ3 2018","FQ3 2018","Currency=INR","Period=FQ","BEST_FPERIOD_OVERRIDE=FQ","FILING_STATUS=OR","EQY_CONSOLIDATED=Y","Sort=A","Dates=H","DateFormat=P","Fill=—","Direction=H","UseDPDF=Y")</f>
        <v>#NAME?</v>
      </c>
      <c r="BV576" s="2" t="e">
        <f ca="1">_xll.BDH($C$553,"TOTAL_CAPITAL_SEQUENTIAL_GROWTH","FQ3 2018","FQ3 2018","Currency=INR","Period=FQ","BEST_FPERIOD_OVERRIDE=FQ","FILING_STATUS=OR","EQY_CONSOLIDATED=Y","Sort=A","Dates=H","DateFormat=P","Fill=—","Direction=H","UseDPDF=Y")</f>
        <v>#NAME?</v>
      </c>
      <c r="BW576" s="2" t="e">
        <f ca="1">_xll.BDH($C$553,"BPS_SEQUENTIAL_GROWTH","FQ3 2018","FQ3 2018","Currency=INR","Period=FQ","BEST_FPERIOD_OVERRIDE=FQ","FILING_STATUS=OR","EQY_CONSOLIDATED=Y","Sort=A","Dates=H","DateFormat=P","Fill=—","Direction=H","UseDPDF=Y")</f>
        <v>#NAME?</v>
      </c>
      <c r="BX576" s="2" t="e">
        <f ca="1">_xll.BDH($C$553,"CFO_SEQUENTIAL_GROWTH","FQ3 2018","FQ3 2018","Currency=INR","Period=FQ","BEST_FPERIOD_OVERRIDE=FQ","FILING_STATUS=OR","EQY_CONSOLIDATED=Y","Sort=A","Dates=H","DateFormat=P","Fill=—","Direction=H","UseDPDF=Y")</f>
        <v>#NAME?</v>
      </c>
      <c r="BY576" s="3" t="e">
        <f ca="1">_xll.BDH($C$553,"SHORT_AND_LONG_TERM_DEBT","FQ3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576" s="3" t="e">
        <f ca="1">_xll.BDH($C$553,"BS_ST_BORROW","FQ3 2018","FQ3 2018","Currency=INR","Period=FQ","BEST_FPERIOD_OVERRIDE=FQ","FILING_STATUS=OR","EQY_CONSOLIDATED=Y","SCALING_FORMAT=MLN","Sort=A","Dates=H","DateFormat=P","Fill=—","Direction=H","UseDPDF=Y")</f>
        <v>#NAME?</v>
      </c>
      <c r="CA576" s="3" t="e">
        <f ca="1">_xll.BDH($C$553,"BS_LT_BORROW","FQ3 2018","FQ3 2018","Currency=INR","Period=FQ","BEST_FPERIOD_OVERRIDE=FQ","FILING_STATUS=OR","EQY_CONSOLIDATED=Y","SCALING_FORMAT=MLN","Sort=A","Dates=H","DateFormat=P","Fill=—","Direction=H","UseDPDF=Y")</f>
        <v>#NAME?</v>
      </c>
      <c r="CB576" s="2" t="e">
        <f ca="1">_xll.BDH($C$553,"TOT_DEBT_TO_EBITDA","FQ3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576" s="2" t="e">
        <f ca="1">_xll.BDH($C$553,"NET_DEBT_TO_EBITDA","FQ3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576" s="2" t="e">
        <f ca="1">_xll.BDH($C$553,"TOTAL_DEBT_TO_EBIT","FQ3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576" s="2" t="e">
        <f ca="1">_xll.BDH($C$553,"NET_DEBT_TO_EBIT","FQ3 2018","FQ3 2018","Currency=INR","Period=FQ","BEST_FPERIOD_OVERRIDE=FQ","FILING_STATUS=OR","EQY_CONSOLIDATED=Y","FA_ADJUSTED=GAAP","Sort=A","Dates=H","DateFormat=P","Fill=—","Direction=H","UseDPDF=Y")</f>
        <v>#NAME?</v>
      </c>
      <c r="CF576" s="2" t="e">
        <f ca="1">_xll.BDH($C$553,"EBITDA_TO_INTEREST_EXPN","FQ3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576" s="2" t="e">
        <f ca="1">_xll.BDH($C$553,"COM_EQY_TO_TOT_ASSET","FQ3 2018","FQ3 2018","Currency=INR","Period=FQ","BEST_FPERIOD_OVERRIDE=FQ","FILING_STATUS=OR","EQY_CONSOLIDATED=Y","Sort=A","Dates=H","DateFormat=P","Fill=—","Direction=H","UseDPDF=Y")</f>
        <v>#NAME?</v>
      </c>
      <c r="CH576" s="2" t="e">
        <f ca="1">_xll.BDH($C$553,"LT_DEBT_TO_TOT_EQY","FQ3 2018","FQ3 2018","Currency=INR","Period=FQ","BEST_FPERIOD_OVERRIDE=FQ","FILING_STATUS=OR","EQY_CONSOLIDATED=Y","Sort=A","Dates=H","DateFormat=P","Fill=—","Direction=H","UseDPDF=Y")</f>
        <v>#NAME?</v>
      </c>
      <c r="CI576" s="2" t="e">
        <f ca="1">_xll.BDH($C$553,"LT_DEBT_TO_TOT_CAP","FQ3 2018","FQ3 2018","Currency=INR","Period=FQ","BEST_FPERIOD_OVERRIDE=FQ","FILING_STATUS=OR","EQY_CONSOLIDATED=Y","Sort=A","Dates=H","DateFormat=P","Fill=—","Direction=H","UseDPDF=Y")</f>
        <v>#NAME?</v>
      </c>
      <c r="CJ576" s="2" t="e">
        <f ca="1">_xll.BDH($C$553,"LT_DEBT_TO_TOT_ASSET","FQ3 2018","FQ3 2018","Currency=INR","Period=FQ","BEST_FPERIOD_OVERRIDE=FQ","FILING_STATUS=OR","EQY_CONSOLIDATED=Y","Sort=A","Dates=H","DateFormat=P","Fill=—","Direction=H","UseDPDF=Y")</f>
        <v>#NAME?</v>
      </c>
      <c r="CK576" s="2" t="e">
        <f ca="1">_xll.BDH($C$553,"TOT_DEBT_TO_TOT_EQY","FQ3 2018","FQ3 2018","Currency=INR","Period=FQ","BEST_FPERIOD_OVERRIDE=FQ","FILING_STATUS=OR","EQY_CONSOLIDATED=Y","Sort=A","Dates=H","DateFormat=P","Fill=—","Direction=H","UseDPDF=Y")</f>
        <v>#NAME?</v>
      </c>
      <c r="CL576" s="2" t="e">
        <f ca="1">_xll.BDH($C$553,"TOT_DEBT_TO_TOT_CAP","FQ3 2018","FQ3 2018","Currency=INR","Period=FQ","BEST_FPERIOD_OVERRIDE=FQ","FILING_STATUS=OR","EQY_CONSOLIDATED=Y","Sort=A","Dates=H","DateFormat=P","Fill=—","Direction=H","UseDPDF=Y")</f>
        <v>#NAME?</v>
      </c>
      <c r="CM576" s="2" t="e">
        <f ca="1">_xll.BDH($C$553,"TOT_DEBT_TO_TOT_ASSET","FQ3 2018","FQ3 2018","Currency=INR","Period=FQ","BEST_FPERIOD_OVERRIDE=FQ","FILING_STATUS=OR","EQY_CONSOLIDATED=Y","Sort=A","Dates=H","DateFormat=P","Fill=—","Direction=H","UseDPDF=Y")</f>
        <v>#NAME?</v>
      </c>
      <c r="CN576" s="2" t="e">
        <f ca="1">_xll.BDH($C$553,"NET_DEBT_TO_SHRHLDR_EQTY","FQ3 2018","FQ3 2018","Currency=INR","Period=FQ","BEST_FPERIOD_OVERRIDE=FQ","FILING_STATUS=OR","EQY_CONSOLIDATED=Y","Sort=A","Dates=H","DateFormat=P","Fill=—","Direction=H","UseDPDF=Y")</f>
        <v>#NAME?</v>
      </c>
      <c r="CO576" s="2" t="e">
        <f ca="1">_xll.BDH($C$553,"NET_DEBT_%_CAPITAL","FQ3 2018","FQ3 2018","Currency=INR","Period=FQ","BEST_FPERIOD_OVERRIDE=FQ","FILING_STATUS=OR","EQY_CONSOLIDATED=Y","Sort=A","Dates=H","DateFormat=P","Fill=—","Direction=H","UseDPDF=Y")</f>
        <v>#NAME?</v>
      </c>
      <c r="CP576" s="3" t="e">
        <f ca="1">_xll.BDH($C$553,"EBITDA","FQ3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576" s="3" t="e">
        <f ca="1">_xll.BDH($C$553,"EBITDA_AFTER_CAPEX","FQ3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576" s="3" t="e">
        <f ca="1">_xll.BDH($C$553,"IS_OPER_INC","FQ3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576" s="2" t="e">
        <f ca="1">_xll.BDH($C$553,"CASH_RATIO","FQ3 2018","FQ3 2018","Currency=INR","Period=FQ","BEST_FPERIOD_OVERRIDE=FQ","FILING_STATUS=OR","EQY_CONSOLIDATED=Y","Sort=A","Dates=H","DateFormat=P","Fill=—","Direction=H","UseDPDF=Y")</f>
        <v>#NAME?</v>
      </c>
      <c r="CT576" s="2" t="e">
        <f ca="1">_xll.BDH($C$553,"CUR_RATIO","FQ3 2018","FQ3 2018","Currency=INR","Period=FQ","BEST_FPERIOD_OVERRIDE=FQ","FILING_STATUS=OR","EQY_CONSOLIDATED=Y","Sort=A","Dates=H","DateFormat=P","Fill=—","Direction=H","UseDPDF=Y")</f>
        <v>#NAME?</v>
      </c>
      <c r="CU576" s="2" t="e">
        <f ca="1">_xll.BDH($C$553,"QUICK_RATIO","FQ3 2018","FQ3 2018","Currency=INR","Period=FQ","BEST_FPERIOD_OVERRIDE=FQ","FILING_STATUS=OR","EQY_CONSOLIDATED=Y","Sort=A","Dates=H","DateFormat=P","Fill=—","Direction=H","UseDPDF=Y")</f>
        <v>#NAME?</v>
      </c>
      <c r="CV576" s="2" t="e">
        <f ca="1">_xll.BDH($C$553,"ALTMAN_Z_SCORE","FQ3 2018","FQ3 2018","Currency=INR","Period=FQ","BEST_FPERIOD_OVERRIDE=FQ","FILING_STATUS=OR","EQY_CONSOLIDATED=Y","Sort=A","Dates=H","DateFormat=P","Fill=—","Direction=H","UseDPDF=Y")</f>
        <v>#NAME?</v>
      </c>
      <c r="CW576" s="4" t="e">
        <f ca="1">_xll.BDH($C$553,"ACCT_RCV_TURN","FQ3 2018","FQ3 2018","Currency=INR","Period=FQ","BEST_FPERIOD_OVERRIDE=FQ","FILING_STATUS=OR","EQY_CONSOLIDATED=Y","FA_ADJUSTED=GAAP","Sort=A","Dates=H","DateFormat=P","Fill=—","Direction=H","UseDPDF=Y")</f>
        <v>#NAME?</v>
      </c>
      <c r="CX576" s="2" t="e">
        <f ca="1">_xll.BDH($C$553,"ACCT_RCV_DAYS","FQ3 2018","FQ3 2018","Currency=INR","Period=FQ","BEST_FPERIOD_OVERRIDE=FQ","FILING_STATUS=OR","EQY_CONSOLIDATED=Y","FA_ADJUSTED=GAAP","Sort=A","Dates=H","DateFormat=P","Fill=—","Direction=H","UseDPDF=Y")</f>
        <v>#NAME?</v>
      </c>
      <c r="CY576" s="4" t="e">
        <f ca="1">_xll.BDH($C$553,"INVENT_TURN","FQ3 2018","FQ3 2018","Currency=INR","Period=FQ","BEST_FPERIOD_OVERRIDE=FQ","FILING_STATUS=OR","EQY_CONSOLIDATED=Y","FA_ADJUSTED=GAAP","Sort=A","Dates=H","DateFormat=P","Fill=—","Direction=H","UseDPDF=Y")</f>
        <v>#NAME?</v>
      </c>
      <c r="CZ576" s="2" t="e">
        <f ca="1">_xll.BDH($C$553,"INVENT_DAYS","FQ3 2018","FQ3 2018","Currency=INR","Period=FQ","BEST_FPERIOD_OVERRIDE=FQ","FILING_STATUS=OR","EQY_CONSOLIDATED=Y","FA_ADJUSTED=GAAP","Sort=A","Dates=H","DateFormat=P","Fill=—","Direction=H","UseDPDF=Y")</f>
        <v>#NAME?</v>
      </c>
      <c r="DA576" s="4" t="e">
        <f ca="1">_xll.BDH($C$553,"ACCOUNTS_PAYABLE_TURNOVER","FQ3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576" s="2" t="e">
        <f ca="1">_xll.BDH($C$553,"ACCOUNTS_PAYABLE_TURNOVER_DAYS","FQ3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576" s="4" t="e">
        <f ca="1">_xll.BDH($C$553,"CASH_CONVERSION_CYCLE","FQ3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576" s="4" t="e">
        <f ca="1">_xll.BDH($C$553,"INV_TO_CASH_DAYS","FQ3 2018","FQ3 2018","Currency=INR","Period=FQ","BEST_FPERIOD_OVERRIDE=FQ","FILING_STATUS=OR","EQY_CONSOLIDATED=Y","FA_ADJUSTED=GAAP","Sort=A","Dates=H","DateFormat=P","Fill=—","Direction=H","UseDPDF=Y")</f>
        <v>#NAME?</v>
      </c>
      <c r="DE576" s="5" t="e">
        <f ca="1">_xll.BDH($C$553,"BS_INVENTORIES","FQ3 2018","FQ3 2018","Currency=INR","Period=FQ","BEST_FPERIOD_OVERRIDE=FQ","FILING_STATUS=OR","EQY_CONSOLIDATED=Y","SCALING_FORMAT=MLN","Sort=A","Dates=H","DateFormat=P","Fill=—","Direction=H","UseDPDF=Y")</f>
        <v>#NAME?</v>
      </c>
      <c r="DF576" s="3" t="e">
        <f ca="1">_xll.BDH($C$553,"INVTRY_RAW_MATERIALS","FQ3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576" s="3" t="e">
        <f ca="1">_xll.BDH($C$553,"INVTRY_IN_PROGRESS","FQ3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576" s="3" t="e">
        <f ca="1">_xll.BDH($C$553,"INVTRY_FINISHED_GOODS","FQ3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576" s="3" t="e">
        <f ca="1">_xll.BDH($C$553,"BS_OTHER_INV","FQ3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577" spans="1:113" x14ac:dyDescent="0.3">
      <c r="A577" s="6"/>
      <c r="B577" s="6"/>
      <c r="C577" s="6"/>
      <c r="D577" s="6"/>
      <c r="E577" t="s">
        <v>81</v>
      </c>
      <c r="F577" t="e">
        <f ca="1">_xll.BDH($C$553,"RETURN_COM_EQY","FQ4 2018","FQ4 2018","Currency=INR","Period=FQ","BEST_FPERIOD_OVERRIDE=FQ","FILING_STATUS=OR","EQY_CONSOLIDATED=Y","FA_ADJUSTED=GAAP","Sort=A","Dates=H","DateFormat=P","Fill=—","Direction=H","UseDPDF=Y")</f>
        <v>#NAME?</v>
      </c>
      <c r="G577" t="e">
        <f ca="1">_xll.BDH($C$553,"RETURN_ON_ASSET","FQ4 2018","FQ4 2018","Currency=INR","Period=FQ","BEST_FPERIOD_OVERRIDE=FQ","FILING_STATUS=OR","EQY_CONSOLIDATED=Y","FA_ADJUSTED=GAAP","Sort=A","Dates=H","DateFormat=P","Fill=—","Direction=H","UseDPDF=Y")</f>
        <v>#NAME?</v>
      </c>
      <c r="H577" t="e">
        <f ca="1">_xll.BDH($C$553,"RETURN_ON_CAP","FQ4 2018","FQ4 2018","Currency=INR","Period=FQ","BEST_FPERIOD_OVERRIDE=FQ","FILING_STATUS=OR","EQY_CONSOLIDATED=Y","FA_ADJUSTED=GAAP","Sort=A","Dates=H","DateFormat=P","Fill=—","Direction=H","UseDPDF=Y")</f>
        <v>#NAME?</v>
      </c>
      <c r="I577" t="e">
        <f ca="1">_xll.BDH($C$553,"RETURN_ON_INV_CAPITAL","FQ4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577" t="e">
        <f ca="1">_xll.BDH($C$553,"EBITDA_TO_REVENUE","FQ4 2018","FQ4 2018","Currency=INR","Period=FQ","BEST_FPERIOD_OVERRIDE=FQ","FILING_STATUS=OR","EQY_CONSOLIDATED=Y","FA_ADJUSTED=GAAP","Sort=A","Dates=H","DateFormat=P","Fill=—","Direction=H","UseDPDF=Y")</f>
        <v>#NAME?</v>
      </c>
      <c r="K577" t="e">
        <f ca="1">_xll.BDH($C$553,"OPER_MARGIN","FQ4 2018","FQ4 2018","Currency=INR","Period=FQ","BEST_FPERIOD_OVERRIDE=FQ","FILING_STATUS=OR","EQY_CONSOLIDATED=Y","FA_ADJUSTED=GAAP","Sort=A","Dates=H","DateFormat=P","Fill=—","Direction=H","UseDPDF=Y")</f>
        <v>#NAME?</v>
      </c>
      <c r="L577" t="e">
        <f ca="1">_xll.BDH($C$553,"INCREMENTAL_OPERATING_MARGIN","FQ4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577" t="e">
        <f ca="1">_xll.BDH($C$553,"PRETAX_INC_TO_NET_SALES","FQ4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577" t="e">
        <f ca="1">_xll.BDH($C$553,"INC_BEF_XO_ITEMS_TO_NET_SALES","FQ4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577" t="e">
        <f ca="1">_xll.BDH($C$553,"PROF_MARGIN","FQ4 2018","FQ4 2018","Currency=INR","Period=FQ","BEST_FPERIOD_OVERRIDE=FQ","FILING_STATUS=OR","EQY_CONSOLIDATED=Y","FA_ADJUSTED=GAAP","Sort=A","Dates=H","DateFormat=P","Fill=—","Direction=H","UseDPDF=Y")</f>
        <v>#NAME?</v>
      </c>
      <c r="P577" t="e">
        <f ca="1">_xll.BDH($C$553,"NET_INCOME_TO_COMMON_MARGIN","FQ4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577" t="e">
        <f ca="1">_xll.BDH($C$553,"EFF_TAX_RATE","FQ4 2018","FQ4 2018","Currency=INR","Period=FQ","BEST_FPERIOD_OVERRIDE=FQ","FILING_STATUS=OR","EQY_CONSOLIDATED=Y","FA_ADJUSTED=GAAP","Sort=A","Dates=H","DateFormat=P","Fill=—","Direction=H","UseDPDF=Y")</f>
        <v>#NAME?</v>
      </c>
      <c r="R577" t="e">
        <f ca="1">_xll.BDH($C$553,"DVD_PAYOUT_RATIO","FQ4 2018","FQ4 2018","Currency=INR","Period=FQ","BEST_FPERIOD_OVERRIDE=FQ","FILING_STATUS=OR","EQY_CONSOLIDATED=Y","FA_ADJUSTED=GAAP","Sort=A","Dates=H","DateFormat=P","Fill=—","Direction=H","UseDPDF=Y")</f>
        <v>#NAME?</v>
      </c>
      <c r="S577" t="e">
        <f ca="1">_xll.BDH($C$553,"SUSTAIN_GROWTH_RT","FQ4 2018","FQ4 2018","Currency=INR","Period=FQ","BEST_FPERIOD_OVERRIDE=FQ","FILING_STATUS=OR","EQY_CONSOLIDATED=Y","FA_ADJUSTED=GAAP","Sort=A","Dates=H","DateFormat=P","Fill=—","Direction=H","UseDPDF=Y")</f>
        <v>#NAME?</v>
      </c>
      <c r="T577" s="2" t="e">
        <f ca="1">_xll.BDH($C$553,"SALES_GROWTH","FQ4 2018","FQ4 2018","Currency=INR","Period=FQ","BEST_FPERIOD_OVERRIDE=FQ","FILING_STATUS=OR","EQY_CONSOLIDATED=Y","FA_ADJUSTED=GAAP","Sort=A","Dates=H","DateFormat=P","Fill=—","Direction=H","UseDPDF=Y")</f>
        <v>#NAME?</v>
      </c>
      <c r="U577" s="2" t="e">
        <f ca="1">_xll.BDH($C$553,"EBITDA_GROWTH","FQ4 2018","FQ4 2018","Currency=INR","Period=FQ","BEST_FPERIOD_OVERRIDE=FQ","FILING_STATUS=OR","EQY_CONSOLIDATED=Y","FA_ADJUSTED=GAAP","Sort=A","Dates=H","DateFormat=P","Fill=—","Direction=H","UseDPDF=Y")</f>
        <v>#NAME?</v>
      </c>
      <c r="V577" s="2" t="e">
        <f ca="1">_xll.BDH($C$553,"OPER_INC_GROWTH","FQ4 2018","FQ4 2018","Currency=INR","Period=FQ","BEST_FPERIOD_OVERRIDE=FQ","FILING_STATUS=OR","EQY_CONSOLIDATED=Y","FA_ADJUSTED=GAAP","Sort=A","Dates=H","DateFormat=P","Fill=—","Direction=H","UseDPDF=Y")</f>
        <v>#NAME?</v>
      </c>
      <c r="W577" s="2" t="e">
        <f ca="1">_xll.BDH($C$553,"EARN_FOR_COM_GROWTH","FQ4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577" s="2" t="e">
        <f ca="1">_xll.BDH($C$553,"DILUTED_EPS_AFT_XO_ITEMS_GROWTH","FQ4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577" s="2" t="e">
        <f ca="1">_xll.BDH($C$553,"DIVIDEND_PER_SHARE_1_YEAR_GROWTH","FQ4 2018","FQ4 2018","Currency=INR","Period=FQ","BEST_FPERIOD_OVERRIDE=FQ","FILING_STATUS=OR","EQY_CONSOLIDATED=Y","Sort=A","Dates=H","DateFormat=P","Fill=—","Direction=H","UseDPDF=Y")</f>
        <v>#NAME?</v>
      </c>
      <c r="Z577" s="2" t="e">
        <f ca="1">_xll.BDH($C$553,"ACCOUNTS_RECEIVABLE_GROWTH","FQ4 2018","FQ4 2018","Currency=INR","Period=FQ","BEST_FPERIOD_OVERRIDE=FQ","FILING_STATUS=OR","EQY_CONSOLIDATED=Y","Sort=A","Dates=H","DateFormat=P","Fill=—","Direction=H","UseDPDF=Y")</f>
        <v>#NAME?</v>
      </c>
      <c r="AA577" s="2" t="e">
        <f ca="1">_xll.BDH($C$553,"INVENTORY_GROWTH","FQ4 2018","FQ4 2018","Currency=INR","Period=FQ","BEST_FPERIOD_OVERRIDE=FQ","FILING_STATUS=OR","EQY_CONSOLIDATED=Y","Sort=A","Dates=H","DateFormat=P","Fill=—","Direction=H","UseDPDF=Y")</f>
        <v>#NAME?</v>
      </c>
      <c r="AB577" s="2" t="e">
        <f ca="1">_xll.BDH($C$553,"NET_FIXED_ASSETS_1_YEAR_GROWTH","FQ4 2018","FQ4 2018","Currency=INR","Period=FQ","BEST_FPERIOD_OVERRIDE=FQ","FILING_STATUS=OR","EQY_CONSOLIDATED=Y","Sort=A","Dates=H","DateFormat=P","Fill=—","Direction=H","UseDPDF=Y")</f>
        <v>#NAME?</v>
      </c>
      <c r="AC577" s="2" t="e">
        <f ca="1">_xll.BDH($C$553,"ASSET_GROWTH","FQ4 2018","FQ4 2018","Currency=INR","Period=FQ","BEST_FPERIOD_OVERRIDE=FQ","FILING_STATUS=OR","EQY_CONSOLIDATED=Y","Sort=A","Dates=H","DateFormat=P","Fill=—","Direction=H","UseDPDF=Y")</f>
        <v>#NAME?</v>
      </c>
      <c r="AD577" s="2" t="e">
        <f ca="1">_xll.BDH($C$553,"MODIFIED_WORK_CAP_GROWTH","FQ4 2018","FQ4 2018","Currency=INR","Period=FQ","BEST_FPERIOD_OVERRIDE=FQ","FILING_STATUS=OR","EQY_CONSOLIDATED=Y","Sort=A","Dates=H","DateFormat=P","Fill=—","Direction=H","UseDPDF=Y")</f>
        <v>#NAME?</v>
      </c>
      <c r="AE577" s="2" t="e">
        <f ca="1">_xll.BDH($C$553,"WORK_CAP_GROWTH","FQ4 2018","FQ4 2018","Currency=INR","Period=FQ","BEST_FPERIOD_OVERRIDE=FQ","FILING_STATUS=OR","EQY_CONSOLIDATED=Y","Sort=A","Dates=H","DateFormat=P","Fill=—","Direction=H","UseDPDF=Y")</f>
        <v>#NAME?</v>
      </c>
      <c r="AF577" s="2" t="e">
        <f ca="1">_xll.BDH($C$553,"ACCOUNTS_PAYABLE_GROWTH_1YR","FQ4 2018","FQ4 2018","Currency=INR","Period=FQ","BEST_FPERIOD_OVERRIDE=FQ","FILING_STATUS=OR","EQY_CONSOLIDATED=Y","Sort=A","Dates=H","DateFormat=P","Fill=—","Direction=H","UseDPDF=Y")</f>
        <v>#NAME?</v>
      </c>
      <c r="AG577" s="2" t="e">
        <f ca="1">_xll.BDH($C$553,"SHORT_TERM_DEBT_1_YEAR_GROWTH","FQ4 2018","FQ4 2018","Currency=INR","Period=FQ","BEST_FPERIOD_OVERRIDE=FQ","FILING_STATUS=OR","EQY_CONSOLIDATED=Y","Sort=A","Dates=H","DateFormat=P","Fill=—","Direction=H","UseDPDF=Y")</f>
        <v>#NAME?</v>
      </c>
      <c r="AH577" s="2" t="e">
        <f ca="1">_xll.BDH($C$553,"TOTAL_DEBT_1_YEAR_GROWTH","FQ4 2018","FQ4 2018","Currency=INR","Period=FQ","BEST_FPERIOD_OVERRIDE=FQ","FILING_STATUS=OR","EQY_CONSOLIDATED=Y","Sort=A","Dates=H","DateFormat=P","Fill=—","Direction=H","UseDPDF=Y")</f>
        <v>#NAME?</v>
      </c>
      <c r="AI577" s="2" t="e">
        <f ca="1">_xll.BDH($C$553,"TOTAL_EQUITY_1_YEAR_GROWTH","FQ4 2018","FQ4 2018","Currency=INR","Period=FQ","BEST_FPERIOD_OVERRIDE=FQ","FILING_STATUS=OR","EQY_CONSOLIDATED=Y","Sort=A","Dates=H","DateFormat=P","Fill=—","Direction=H","UseDPDF=Y")</f>
        <v>#NAME?</v>
      </c>
      <c r="AJ577" s="2" t="e">
        <f ca="1">_xll.BDH($C$553,"GROWTH_IN_CAP","FQ4 2018","FQ4 2018","Currency=INR","Period=FQ","BEST_FPERIOD_OVERRIDE=FQ","FILING_STATUS=OR","EQY_CONSOLIDATED=Y","Sort=A","Dates=H","DateFormat=P","Fill=—","Direction=H","UseDPDF=Y")</f>
        <v>#NAME?</v>
      </c>
      <c r="AK577" s="2" t="e">
        <f ca="1">_xll.BDH($C$553,"BVPS_GROWTH","FQ4 2018","FQ4 2018","Currency=INR","Period=FQ","BEST_FPERIOD_OVERRIDE=FQ","FILING_STATUS=OR","EQY_CONSOLIDATED=Y","Sort=A","Dates=H","DateFormat=P","Fill=—","Direction=H","UseDPDF=Y")</f>
        <v>#NAME?</v>
      </c>
      <c r="AL577" s="2" t="e">
        <f ca="1">_xll.BDH($C$553,"CASH_FLOW_GROWTH","FQ4 2018","FQ4 2018","Currency=INR","Period=FQ","BEST_FPERIOD_OVERRIDE=FQ","FILING_STATUS=OR","EQY_CONSOLIDATED=Y","Sort=A","Dates=H","DateFormat=P","Fill=—","Direction=H","UseDPDF=Y")</f>
        <v>#NAME?</v>
      </c>
      <c r="AM577" s="2" t="e">
        <f ca="1">_xll.BDH($C$553,"GEO_GROW_NET_SALES","FQ4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577" s="2" t="e">
        <f ca="1">_xll.BDH($C$553,"GEO_GROW_EBITDA","FQ4 2018","FQ4 2018","Currency=INR","Period=FQ","BEST_FPERIOD_OVERRIDE=FQ","FILING_STATUS=OR","EQY_CONSOLIDATED=Y","FA_ADJUSTED=GAAP","Sort=A","Dates=H","DateFormat=P","Fill=—","Direction=H","UseDPDF=Y")</f>
        <v>#NAME?</v>
      </c>
      <c r="AO577" s="2" t="e">
        <f ca="1">_xll.BDH($C$553,"GEO_GROW_OPER_INC","FQ4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577" s="2" t="e">
        <f ca="1">_xll.BDH($C$553,"NET_INCOME_TO_COMMON_5_YR_GROWTH","FQ4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577" s="2" t="e">
        <f ca="1">_xll.BDH($C$553,"5Y_GEO_GROWTH_DILUTED_EPS","FQ4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577" s="2" t="e">
        <f ca="1">_xll.BDH($C$553,"GEO_GROW_DVD_PER_SH","FQ4 2018","FQ4 2018","Currency=INR","Period=FQ","BEST_FPERIOD_OVERRIDE=FQ","FILING_STATUS=OR","EQY_CONSOLIDATED=Y","Sort=A","Dates=H","DateFormat=P","Fill=—","Direction=H","UseDPDF=Y")</f>
        <v>#NAME?</v>
      </c>
      <c r="AS577" s="2" t="e">
        <f ca="1">_xll.BDH($C$553,"ACCOUNTS_RECEIVABLE_5_YR_GROWTH","FQ4 2018","FQ4 2018","Currency=INR","Period=FQ","BEST_FPERIOD_OVERRIDE=FQ","FILING_STATUS=OR","EQY_CONSOLIDATED=Y","Sort=A","Dates=H","DateFormat=P","Fill=—","Direction=H","UseDPDF=Y")</f>
        <v>#NAME?</v>
      </c>
      <c r="AT577" s="2" t="e">
        <f ca="1">_xll.BDH($C$553,"INVENTORY_5_YEAR_GROWTH","FQ4 2018","FQ4 2018","Currency=INR","Period=FQ","BEST_FPERIOD_OVERRIDE=FQ","FILING_STATUS=OR","EQY_CONSOLIDATED=Y","Sort=A","Dates=H","DateFormat=P","Fill=—","Direction=H","UseDPDF=Y")</f>
        <v>#NAME?</v>
      </c>
      <c r="AU577" s="2" t="e">
        <f ca="1">_xll.BDH($C$553,"NET_FIXED_ASSETS_5_YEAR_GROWTH","FQ4 2018","FQ4 2018","Currency=INR","Period=FQ","BEST_FPERIOD_OVERRIDE=FQ","FILING_STATUS=OR","EQY_CONSOLIDATED=Y","Sort=A","Dates=H","DateFormat=P","Fill=—","Direction=H","UseDPDF=Y")</f>
        <v>#NAME?</v>
      </c>
      <c r="AV577" s="2" t="e">
        <f ca="1">_xll.BDH($C$553,"GEO_GROW_TOT_ASSET","FQ4 2018","FQ4 2018","Currency=INR","Period=FQ","BEST_FPERIOD_OVERRIDE=FQ","FILING_STATUS=OR","EQY_CONSOLIDATED=Y","Sort=A","Dates=H","DateFormat=P","Fill=—","Direction=H","UseDPDF=Y")</f>
        <v>#NAME?</v>
      </c>
      <c r="AW577" s="2" t="e">
        <f ca="1">_xll.BDH($C$553,"MODIFIED_WORKING_CPTL_5YR_GRWTH","FQ4 2018","FQ4 2018","Currency=INR","Period=FQ","BEST_FPERIOD_OVERRIDE=FQ","FILING_STATUS=OR","EQY_CONSOLIDATED=Y","Sort=A","Dates=H","DateFormat=P","Fill=—","Direction=H","UseDPDF=Y")</f>
        <v>#NAME?</v>
      </c>
      <c r="AX577" s="2" t="e">
        <f ca="1">_xll.BDH($C$553,"WORKING_CAPITAL_5_YEAR_GROWTH","FQ4 2018","FQ4 2018","Currency=INR","Period=FQ","BEST_FPERIOD_OVERRIDE=FQ","FILING_STATUS=OR","EQY_CONSOLIDATED=Y","Sort=A","Dates=H","DateFormat=P","Fill=—","Direction=H","UseDPDF=Y")</f>
        <v>#NAME?</v>
      </c>
      <c r="AY577" s="2" t="e">
        <f ca="1">_xll.BDH($C$553,"ACCOUNTS_PAYABLE_5_YEAR_GROWTH","FQ4 2018","FQ4 2018","Currency=INR","Period=FQ","BEST_FPERIOD_OVERRIDE=FQ","FILING_STATUS=OR","EQY_CONSOLIDATED=Y","Sort=A","Dates=H","DateFormat=P","Fill=—","Direction=H","UseDPDF=Y")</f>
        <v>#NAME?</v>
      </c>
      <c r="AZ577" s="2" t="e">
        <f ca="1">_xll.BDH($C$553,"SHORT_TERM_DEBT_5_YEAR_GROWTH","FQ4 2018","FQ4 2018","Currency=INR","Period=FQ","BEST_FPERIOD_OVERRIDE=FQ","FILING_STATUS=OR","EQY_CONSOLIDATED=Y","Sort=A","Dates=H","DateFormat=P","Fill=—","Direction=H","UseDPDF=Y")</f>
        <v>#NAME?</v>
      </c>
      <c r="BA577" s="2" t="e">
        <f ca="1">_xll.BDH($C$553,"TOTAL_DEBT_5_YEAR_GROWTH","FQ4 2018","FQ4 2018","Currency=INR","Period=FQ","BEST_FPERIOD_OVERRIDE=FQ","FILING_STATUS=OR","EQY_CONSOLIDATED=Y","Sort=A","Dates=H","DateFormat=P","Fill=—","Direction=H","UseDPDF=Y")</f>
        <v>#NAME?</v>
      </c>
      <c r="BB577" s="2" t="e">
        <f ca="1">_xll.BDH($C$553,"GEO_GROW_TOT_SHRHLDR_EQY","FQ4 2018","FQ4 2018","Currency=INR","Period=FQ","BEST_FPERIOD_OVERRIDE=FQ","FILING_STATUS=OR","EQY_CONSOLIDATED=Y","Sort=A","Dates=H","DateFormat=P","Fill=—","Direction=H","UseDPDF=Y")</f>
        <v>#NAME?</v>
      </c>
      <c r="BC577" s="2" t="e">
        <f ca="1">_xll.BDH($C$553,"TOTAL_CAPITAL_5_YEAR_GROWTH","FQ4 2018","FQ4 2018","Currency=INR","Period=FQ","BEST_FPERIOD_OVERRIDE=FQ","FILING_STATUS=OR","EQY_CONSOLIDATED=Y","Sort=A","Dates=H","DateFormat=P","Fill=—","Direction=H","UseDPDF=Y")</f>
        <v>#NAME?</v>
      </c>
      <c r="BD577" s="2" t="e">
        <f ca="1">_xll.BDH($C$553,"GEO_GROW_BOOK_VAL","FQ4 2018","FQ4 2018","Currency=INR","Period=FQ","BEST_FPERIOD_OVERRIDE=FQ","FILING_STATUS=OR","EQY_CONSOLIDATED=Y","Sort=A","Dates=H","DateFormat=P","Fill=—","Direction=H","UseDPDF=Y")</f>
        <v>#NAME?</v>
      </c>
      <c r="BE577" s="2" t="e">
        <f ca="1">_xll.BDH($C$553,"GEO_GROW_CASH_OPER_ACT","FQ4 2018","FQ4 2018","Currency=INR","Period=FQ","BEST_FPERIOD_OVERRIDE=FQ","FILING_STATUS=OR","EQY_CONSOLIDATED=Y","Sort=A","Dates=H","DateFormat=P","Fill=—","Direction=H","UseDPDF=Y")</f>
        <v>#NAME?</v>
      </c>
      <c r="BF577" s="2" t="e">
        <f ca="1">_xll.BDH($C$553,"REVENUE_SEQUENTIAL_GROWTH","FQ4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577" s="2" t="e">
        <f ca="1">_xll.BDH($C$553,"EBITDA_SEQUENTIAL_GROWTH","FQ4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577" s="2" t="e">
        <f ca="1">_xll.BDH($C$553,"OPERATING_INCOME_SEQ_GROWTH","FQ4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577" s="2" t="e">
        <f ca="1">_xll.BDH($C$553,"NET_INCOME_TO_COMMON_SEQ_GROWTH","FQ4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577" s="2" t="e">
        <f ca="1">_xll.BDH($C$553,"EPS_DILUTED_SEQUENTIAL_GROWTH","FQ4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577" s="2" t="e">
        <f ca="1">_xll.BDH($C$553,"DPS_SEQUENTIAL_GROWTH","FQ4 2018","FQ4 2018","Currency=INR","Period=FQ","BEST_FPERIOD_OVERRIDE=FQ","FILING_STATUS=OR","EQY_CONSOLIDATED=Y","Sort=A","Dates=H","DateFormat=P","Fill=—","Direction=H","UseDPDF=Y")</f>
        <v>#NAME?</v>
      </c>
      <c r="BL577" s="2" t="e">
        <f ca="1">_xll.BDH($C$553,"ACCOUNTS_RECEIVABLE_SEQ_GROWTH","FQ4 2018","FQ4 2018","Currency=INR","Period=FQ","BEST_FPERIOD_OVERRIDE=FQ","FILING_STATUS=OR","EQY_CONSOLIDATED=Y","Sort=A","Dates=H","DateFormat=P","Fill=—","Direction=H","UseDPDF=Y")</f>
        <v>#NAME?</v>
      </c>
      <c r="BM577" s="2" t="e">
        <f ca="1">_xll.BDH($C$553,"INVENTORY_SEQUENTIAL_GROWTH","FQ4 2018","FQ4 2018","Currency=INR","Period=FQ","BEST_FPERIOD_OVERRIDE=FQ","FILING_STATUS=OR","EQY_CONSOLIDATED=Y","Sort=A","Dates=H","DateFormat=P","Fill=—","Direction=H","UseDPDF=Y")</f>
        <v>#NAME?</v>
      </c>
      <c r="BN577" s="2" t="e">
        <f ca="1">_xll.BDH($C$553,"FIXED_ASSETS_SEQUENTIAL_GROWTH","FQ4 2018","FQ4 2018","Currency=INR","Period=FQ","BEST_FPERIOD_OVERRIDE=FQ","FILING_STATUS=OR","EQY_CONSOLIDATED=Y","Sort=A","Dates=H","DateFormat=P","Fill=—","Direction=H","UseDPDF=Y")</f>
        <v>#NAME?</v>
      </c>
      <c r="BO577" s="2" t="e">
        <f ca="1">_xll.BDH($C$553,"TOTAL_ASSETS_SEQUENTIAL_GROWTH","FQ4 2018","FQ4 2018","Currency=INR","Period=FQ","BEST_FPERIOD_OVERRIDE=FQ","FILING_STATUS=OR","EQY_CONSOLIDATED=Y","Sort=A","Dates=H","DateFormat=P","Fill=—","Direction=H","UseDPDF=Y")</f>
        <v>#NAME?</v>
      </c>
      <c r="BP577" s="2" t="e">
        <f ca="1">_xll.BDH($C$553,"MODIFIED_WORKING_CPTL_SEQ_GRWTH","FQ4 2018","FQ4 2018","Currency=INR","Period=FQ","BEST_FPERIOD_OVERRIDE=FQ","FILING_STATUS=OR","EQY_CONSOLIDATED=Y","Sort=A","Dates=H","DateFormat=P","Fill=—","Direction=H","UseDPDF=Y")</f>
        <v>#NAME?</v>
      </c>
      <c r="BQ577" s="2" t="e">
        <f ca="1">_xll.BDH($C$553,"WORKING_CAPITAL_SEQ_GROWTH","FQ4 2018","FQ4 2018","Currency=INR","Period=FQ","BEST_FPERIOD_OVERRIDE=FQ","FILING_STATUS=OR","EQY_CONSOLIDATED=Y","Sort=A","Dates=H","DateFormat=P","Fill=—","Direction=H","UseDPDF=Y")</f>
        <v>#NAME?</v>
      </c>
      <c r="BR577" s="2" t="e">
        <f ca="1">_xll.BDH($C$553,"ACCOUNTS_PAYABLE_SEQ_GROWTH","FQ4 2018","FQ4 2018","Currency=INR","Period=FQ","BEST_FPERIOD_OVERRIDE=FQ","FILING_STATUS=OR","EQY_CONSOLIDATED=Y","Sort=A","Dates=H","DateFormat=P","Fill=—","Direction=H","UseDPDF=Y")</f>
        <v>#NAME?</v>
      </c>
      <c r="BS577" s="2" t="e">
        <f ca="1">_xll.BDH($C$553,"ST_DEBT_SEQUENTIAL_GROWTH","FQ4 2018","FQ4 2018","Currency=INR","Period=FQ","BEST_FPERIOD_OVERRIDE=FQ","FILING_STATUS=OR","EQY_CONSOLIDATED=Y","Sort=A","Dates=H","DateFormat=P","Fill=—","Direction=H","UseDPDF=Y")</f>
        <v>#NAME?</v>
      </c>
      <c r="BT577" s="2" t="e">
        <f ca="1">_xll.BDH($C$553,"TOTAL_DEBT_SEQUENTIAL_GROWTH","FQ4 2018","FQ4 2018","Currency=INR","Period=FQ","BEST_FPERIOD_OVERRIDE=FQ","FILING_STATUS=OR","EQY_CONSOLIDATED=Y","Sort=A","Dates=H","DateFormat=P","Fill=—","Direction=H","UseDPDF=Y")</f>
        <v>#NAME?</v>
      </c>
      <c r="BU577" s="2" t="e">
        <f ca="1">_xll.BDH($C$553,"TOTAL_EQUITY_SEQUENTIAL_GROWTH","FQ4 2018","FQ4 2018","Currency=INR","Period=FQ","BEST_FPERIOD_OVERRIDE=FQ","FILING_STATUS=OR","EQY_CONSOLIDATED=Y","Sort=A","Dates=H","DateFormat=P","Fill=—","Direction=H","UseDPDF=Y")</f>
        <v>#NAME?</v>
      </c>
      <c r="BV577" s="2" t="e">
        <f ca="1">_xll.BDH($C$553,"TOTAL_CAPITAL_SEQUENTIAL_GROWTH","FQ4 2018","FQ4 2018","Currency=INR","Period=FQ","BEST_FPERIOD_OVERRIDE=FQ","FILING_STATUS=OR","EQY_CONSOLIDATED=Y","Sort=A","Dates=H","DateFormat=P","Fill=—","Direction=H","UseDPDF=Y")</f>
        <v>#NAME?</v>
      </c>
      <c r="BW577" s="2" t="e">
        <f ca="1">_xll.BDH($C$553,"BPS_SEQUENTIAL_GROWTH","FQ4 2018","FQ4 2018","Currency=INR","Period=FQ","BEST_FPERIOD_OVERRIDE=FQ","FILING_STATUS=OR","EQY_CONSOLIDATED=Y","Sort=A","Dates=H","DateFormat=P","Fill=—","Direction=H","UseDPDF=Y")</f>
        <v>#NAME?</v>
      </c>
      <c r="BX577" s="2" t="e">
        <f ca="1">_xll.BDH($C$553,"CFO_SEQUENTIAL_GROWTH","FQ4 2018","FQ4 2018","Currency=INR","Period=FQ","BEST_FPERIOD_OVERRIDE=FQ","FILING_STATUS=OR","EQY_CONSOLIDATED=Y","Sort=A","Dates=H","DateFormat=P","Fill=—","Direction=H","UseDPDF=Y")</f>
        <v>#NAME?</v>
      </c>
      <c r="BY577" s="3" t="e">
        <f ca="1">_xll.BDH($C$553,"SHORT_AND_LONG_TERM_DEBT","FQ4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577" s="3" t="e">
        <f ca="1">_xll.BDH($C$553,"BS_ST_BORROW","FQ4 2018","FQ4 2018","Currency=INR","Period=FQ","BEST_FPERIOD_OVERRIDE=FQ","FILING_STATUS=OR","EQY_CONSOLIDATED=Y","SCALING_FORMAT=MLN","Sort=A","Dates=H","DateFormat=P","Fill=—","Direction=H","UseDPDF=Y")</f>
        <v>#NAME?</v>
      </c>
      <c r="CA577" s="3" t="e">
        <f ca="1">_xll.BDH($C$553,"BS_LT_BORROW","FQ4 2018","FQ4 2018","Currency=INR","Period=FQ","BEST_FPERIOD_OVERRIDE=FQ","FILING_STATUS=OR","EQY_CONSOLIDATED=Y","SCALING_FORMAT=MLN","Sort=A","Dates=H","DateFormat=P","Fill=—","Direction=H","UseDPDF=Y")</f>
        <v>#NAME?</v>
      </c>
      <c r="CB577" s="2" t="e">
        <f ca="1">_xll.BDH($C$553,"TOT_DEBT_TO_EBITDA","FQ4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577" s="2" t="e">
        <f ca="1">_xll.BDH($C$553,"NET_DEBT_TO_EBITDA","FQ4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577" s="2" t="e">
        <f ca="1">_xll.BDH($C$553,"TOTAL_DEBT_TO_EBIT","FQ4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577" s="2" t="e">
        <f ca="1">_xll.BDH($C$553,"NET_DEBT_TO_EBIT","FQ4 2018","FQ4 2018","Currency=INR","Period=FQ","BEST_FPERIOD_OVERRIDE=FQ","FILING_STATUS=OR","EQY_CONSOLIDATED=Y","FA_ADJUSTED=GAAP","Sort=A","Dates=H","DateFormat=P","Fill=—","Direction=H","UseDPDF=Y")</f>
        <v>#NAME?</v>
      </c>
      <c r="CF577" s="2" t="e">
        <f ca="1">_xll.BDH($C$553,"EBITDA_TO_INTEREST_EXPN","FQ4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577" s="2" t="e">
        <f ca="1">_xll.BDH($C$553,"COM_EQY_TO_TOT_ASSET","FQ4 2018","FQ4 2018","Currency=INR","Period=FQ","BEST_FPERIOD_OVERRIDE=FQ","FILING_STATUS=OR","EQY_CONSOLIDATED=Y","Sort=A","Dates=H","DateFormat=P","Fill=—","Direction=H","UseDPDF=Y")</f>
        <v>#NAME?</v>
      </c>
      <c r="CH577" s="2" t="e">
        <f ca="1">_xll.BDH($C$553,"LT_DEBT_TO_TOT_EQY","FQ4 2018","FQ4 2018","Currency=INR","Period=FQ","BEST_FPERIOD_OVERRIDE=FQ","FILING_STATUS=OR","EQY_CONSOLIDATED=Y","Sort=A","Dates=H","DateFormat=P","Fill=—","Direction=H","UseDPDF=Y")</f>
        <v>#NAME?</v>
      </c>
      <c r="CI577" s="2" t="e">
        <f ca="1">_xll.BDH($C$553,"LT_DEBT_TO_TOT_CAP","FQ4 2018","FQ4 2018","Currency=INR","Period=FQ","BEST_FPERIOD_OVERRIDE=FQ","FILING_STATUS=OR","EQY_CONSOLIDATED=Y","Sort=A","Dates=H","DateFormat=P","Fill=—","Direction=H","UseDPDF=Y")</f>
        <v>#NAME?</v>
      </c>
      <c r="CJ577" s="2" t="e">
        <f ca="1">_xll.BDH($C$553,"LT_DEBT_TO_TOT_ASSET","FQ4 2018","FQ4 2018","Currency=INR","Period=FQ","BEST_FPERIOD_OVERRIDE=FQ","FILING_STATUS=OR","EQY_CONSOLIDATED=Y","Sort=A","Dates=H","DateFormat=P","Fill=—","Direction=H","UseDPDF=Y")</f>
        <v>#NAME?</v>
      </c>
      <c r="CK577" s="2" t="e">
        <f ca="1">_xll.BDH($C$553,"TOT_DEBT_TO_TOT_EQY","FQ4 2018","FQ4 2018","Currency=INR","Period=FQ","BEST_FPERIOD_OVERRIDE=FQ","FILING_STATUS=OR","EQY_CONSOLIDATED=Y","Sort=A","Dates=H","DateFormat=P","Fill=—","Direction=H","UseDPDF=Y")</f>
        <v>#NAME?</v>
      </c>
      <c r="CL577" s="2" t="e">
        <f ca="1">_xll.BDH($C$553,"TOT_DEBT_TO_TOT_CAP","FQ4 2018","FQ4 2018","Currency=INR","Period=FQ","BEST_FPERIOD_OVERRIDE=FQ","FILING_STATUS=OR","EQY_CONSOLIDATED=Y","Sort=A","Dates=H","DateFormat=P","Fill=—","Direction=H","UseDPDF=Y")</f>
        <v>#NAME?</v>
      </c>
      <c r="CM577" s="2" t="e">
        <f ca="1">_xll.BDH($C$553,"TOT_DEBT_TO_TOT_ASSET","FQ4 2018","FQ4 2018","Currency=INR","Period=FQ","BEST_FPERIOD_OVERRIDE=FQ","FILING_STATUS=OR","EQY_CONSOLIDATED=Y","Sort=A","Dates=H","DateFormat=P","Fill=—","Direction=H","UseDPDF=Y")</f>
        <v>#NAME?</v>
      </c>
      <c r="CN577" s="2" t="e">
        <f ca="1">_xll.BDH($C$553,"NET_DEBT_TO_SHRHLDR_EQTY","FQ4 2018","FQ4 2018","Currency=INR","Period=FQ","BEST_FPERIOD_OVERRIDE=FQ","FILING_STATUS=OR","EQY_CONSOLIDATED=Y","Sort=A","Dates=H","DateFormat=P","Fill=—","Direction=H","UseDPDF=Y")</f>
        <v>#NAME?</v>
      </c>
      <c r="CO577" s="2" t="e">
        <f ca="1">_xll.BDH($C$553,"NET_DEBT_%_CAPITAL","FQ4 2018","FQ4 2018","Currency=INR","Period=FQ","BEST_FPERIOD_OVERRIDE=FQ","FILING_STATUS=OR","EQY_CONSOLIDATED=Y","Sort=A","Dates=H","DateFormat=P","Fill=—","Direction=H","UseDPDF=Y")</f>
        <v>#NAME?</v>
      </c>
      <c r="CP577" s="3" t="e">
        <f ca="1">_xll.BDH($C$553,"EBITDA","FQ4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577" s="3" t="e">
        <f ca="1">_xll.BDH($C$553,"EBITDA_AFTER_CAPEX","FQ4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577" s="3" t="e">
        <f ca="1">_xll.BDH($C$553,"IS_OPER_INC","FQ4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577" s="2" t="e">
        <f ca="1">_xll.BDH($C$553,"CASH_RATIO","FQ4 2018","FQ4 2018","Currency=INR","Period=FQ","BEST_FPERIOD_OVERRIDE=FQ","FILING_STATUS=OR","EQY_CONSOLIDATED=Y","Sort=A","Dates=H","DateFormat=P","Fill=—","Direction=H","UseDPDF=Y")</f>
        <v>#NAME?</v>
      </c>
      <c r="CT577" s="2" t="e">
        <f ca="1">_xll.BDH($C$553,"CUR_RATIO","FQ4 2018","FQ4 2018","Currency=INR","Period=FQ","BEST_FPERIOD_OVERRIDE=FQ","FILING_STATUS=OR","EQY_CONSOLIDATED=Y","Sort=A","Dates=H","DateFormat=P","Fill=—","Direction=H","UseDPDF=Y")</f>
        <v>#NAME?</v>
      </c>
      <c r="CU577" s="2" t="e">
        <f ca="1">_xll.BDH($C$553,"QUICK_RATIO","FQ4 2018","FQ4 2018","Currency=INR","Period=FQ","BEST_FPERIOD_OVERRIDE=FQ","FILING_STATUS=OR","EQY_CONSOLIDATED=Y","Sort=A","Dates=H","DateFormat=P","Fill=—","Direction=H","UseDPDF=Y")</f>
        <v>#NAME?</v>
      </c>
      <c r="CV577" s="2" t="e">
        <f ca="1">_xll.BDH($C$553,"ALTMAN_Z_SCORE","FQ4 2018","FQ4 2018","Currency=INR","Period=FQ","BEST_FPERIOD_OVERRIDE=FQ","FILING_STATUS=OR","EQY_CONSOLIDATED=Y","Sort=A","Dates=H","DateFormat=P","Fill=—","Direction=H","UseDPDF=Y")</f>
        <v>#NAME?</v>
      </c>
      <c r="CW577" s="4" t="e">
        <f ca="1">_xll.BDH($C$553,"ACCT_RCV_TURN","FQ4 2018","FQ4 2018","Currency=INR","Period=FQ","BEST_FPERIOD_OVERRIDE=FQ","FILING_STATUS=OR","EQY_CONSOLIDATED=Y","FA_ADJUSTED=GAAP","Sort=A","Dates=H","DateFormat=P","Fill=—","Direction=H","UseDPDF=Y")</f>
        <v>#NAME?</v>
      </c>
      <c r="CX577" s="2" t="e">
        <f ca="1">_xll.BDH($C$553,"ACCT_RCV_DAYS","FQ4 2018","FQ4 2018","Currency=INR","Period=FQ","BEST_FPERIOD_OVERRIDE=FQ","FILING_STATUS=OR","EQY_CONSOLIDATED=Y","FA_ADJUSTED=GAAP","Sort=A","Dates=H","DateFormat=P","Fill=—","Direction=H","UseDPDF=Y")</f>
        <v>#NAME?</v>
      </c>
      <c r="CY577" s="4" t="e">
        <f ca="1">_xll.BDH($C$553,"INVENT_TURN","FQ4 2018","FQ4 2018","Currency=INR","Period=FQ","BEST_FPERIOD_OVERRIDE=FQ","FILING_STATUS=OR","EQY_CONSOLIDATED=Y","FA_ADJUSTED=GAAP","Sort=A","Dates=H","DateFormat=P","Fill=—","Direction=H","UseDPDF=Y")</f>
        <v>#NAME?</v>
      </c>
      <c r="CZ577" s="2" t="e">
        <f ca="1">_xll.BDH($C$553,"INVENT_DAYS","FQ4 2018","FQ4 2018","Currency=INR","Period=FQ","BEST_FPERIOD_OVERRIDE=FQ","FILING_STATUS=OR","EQY_CONSOLIDATED=Y","FA_ADJUSTED=GAAP","Sort=A","Dates=H","DateFormat=P","Fill=—","Direction=H","UseDPDF=Y")</f>
        <v>#NAME?</v>
      </c>
      <c r="DA577" s="4" t="e">
        <f ca="1">_xll.BDH($C$553,"ACCOUNTS_PAYABLE_TURNOVER","FQ4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577" s="2" t="e">
        <f ca="1">_xll.BDH($C$553,"ACCOUNTS_PAYABLE_TURNOVER_DAYS","FQ4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577" s="4" t="e">
        <f ca="1">_xll.BDH($C$553,"CASH_CONVERSION_CYCLE","FQ4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577" s="4" t="e">
        <f ca="1">_xll.BDH($C$553,"INV_TO_CASH_DAYS","FQ4 2018","FQ4 2018","Currency=INR","Period=FQ","BEST_FPERIOD_OVERRIDE=FQ","FILING_STATUS=OR","EQY_CONSOLIDATED=Y","FA_ADJUSTED=GAAP","Sort=A","Dates=H","DateFormat=P","Fill=—","Direction=H","UseDPDF=Y")</f>
        <v>#NAME?</v>
      </c>
      <c r="DE577" s="5" t="e">
        <f ca="1">_xll.BDH($C$553,"BS_INVENTORIES","FQ4 2018","FQ4 2018","Currency=INR","Period=FQ","BEST_FPERIOD_OVERRIDE=FQ","FILING_STATUS=OR","EQY_CONSOLIDATED=Y","SCALING_FORMAT=MLN","Sort=A","Dates=H","DateFormat=P","Fill=—","Direction=H","UseDPDF=Y")</f>
        <v>#NAME?</v>
      </c>
      <c r="DF577" s="3" t="e">
        <f ca="1">_xll.BDH($C$553,"INVTRY_RAW_MATERIALS","FQ4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577" s="3" t="e">
        <f ca="1">_xll.BDH($C$553,"INVTRY_IN_PROGRESS","FQ4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577" s="3" t="e">
        <f ca="1">_xll.BDH($C$553,"INVTRY_FINISHED_GOODS","FQ4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577" s="3" t="e">
        <f ca="1">_xll.BDH($C$553,"BS_OTHER_INV","FQ4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578" spans="1:113" x14ac:dyDescent="0.3">
      <c r="A578" s="6">
        <v>99</v>
      </c>
      <c r="B578" s="6" t="s">
        <v>129</v>
      </c>
      <c r="C578" s="6" t="s">
        <v>130</v>
      </c>
      <c r="D578" s="6" t="s">
        <v>76</v>
      </c>
      <c r="E578" t="s">
        <v>77</v>
      </c>
      <c r="F578" t="e">
        <f ca="1">_xll.BDH($C$578,"RETURN_COM_EQY","FY 2014","FY 2014","Currency=INR","Period=FY","BEST_FPERIOD_OVERRIDE=FY","FILING_STATUS=OR","EQY_CONSOLIDATED=Y","FA_ADJUSTED=GAAP","Sort=A","Dates=H","DateFormat=P","Fill=—","Direction=H","UseDPDF=Y")</f>
        <v>#NAME?</v>
      </c>
      <c r="G578" t="e">
        <f ca="1">_xll.BDH($C$578,"RETURN_ON_ASSET","FY 2014","FY 2014","Currency=INR","Period=FY","BEST_FPERIOD_OVERRIDE=FY","FILING_STATUS=OR","EQY_CONSOLIDATED=Y","FA_ADJUSTED=GAAP","Sort=A","Dates=H","DateFormat=P","Fill=—","Direction=H","UseDPDF=Y")</f>
        <v>#NAME?</v>
      </c>
      <c r="H578" t="e">
        <f ca="1">_xll.BDH($C$578,"RETURN_ON_CAP","FY 2014","FY 2014","Currency=INR","Period=FY","BEST_FPERIOD_OVERRIDE=FY","FILING_STATUS=OR","EQY_CONSOLIDATED=Y","FA_ADJUSTED=GAAP","Sort=A","Dates=H","DateFormat=P","Fill=—","Direction=H","UseDPDF=Y")</f>
        <v>#NAME?</v>
      </c>
      <c r="I578" t="e">
        <f ca="1">_xll.BDH($C$578,"RETURN_ON_INV_CAPITAL","FY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578" t="e">
        <f ca="1">_xll.BDH($C$578,"EBITDA_TO_REVENUE","FY 2014","FY 2014","Currency=INR","Period=FY","BEST_FPERIOD_OVERRIDE=FY","FILING_STATUS=OR","EQY_CONSOLIDATED=Y","FA_ADJUSTED=GAAP","Sort=A","Dates=H","DateFormat=P","Fill=—","Direction=H","UseDPDF=Y")</f>
        <v>#NAME?</v>
      </c>
      <c r="K578" t="e">
        <f ca="1">_xll.BDH($C$578,"OPER_MARGIN","FY 2014","FY 2014","Currency=INR","Period=FY","BEST_FPERIOD_OVERRIDE=FY","FILING_STATUS=OR","EQY_CONSOLIDATED=Y","FA_ADJUSTED=GAAP","Sort=A","Dates=H","DateFormat=P","Fill=—","Direction=H","UseDPDF=Y")</f>
        <v>#NAME?</v>
      </c>
      <c r="L578" t="e">
        <f ca="1">_xll.BDH($C$578,"INCREMENTAL_OPERATING_MARGIN","FY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578" t="e">
        <f ca="1">_xll.BDH($C$578,"PRETAX_INC_TO_NET_SALES","FY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578" t="e">
        <f ca="1">_xll.BDH($C$578,"INC_BEF_XO_ITEMS_TO_NET_SALES","FY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578" t="e">
        <f ca="1">_xll.BDH($C$578,"PROF_MARGIN","FY 2014","FY 2014","Currency=INR","Period=FY","BEST_FPERIOD_OVERRIDE=FY","FILING_STATUS=OR","EQY_CONSOLIDATED=Y","FA_ADJUSTED=GAAP","Sort=A","Dates=H","DateFormat=P","Fill=—","Direction=H","UseDPDF=Y")</f>
        <v>#NAME?</v>
      </c>
      <c r="P578" t="e">
        <f ca="1">_xll.BDH($C$578,"NET_INCOME_TO_COMMON_MARGIN","FY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578" t="e">
        <f ca="1">_xll.BDH($C$578,"EFF_TAX_RATE","FY 2014","FY 2014","Currency=INR","Period=FY","BEST_FPERIOD_OVERRIDE=FY","FILING_STATUS=OR","EQY_CONSOLIDATED=Y","FA_ADJUSTED=GAAP","Sort=A","Dates=H","DateFormat=P","Fill=—","Direction=H","UseDPDF=Y")</f>
        <v>#NAME?</v>
      </c>
      <c r="R578" t="e">
        <f ca="1">_xll.BDH($C$578,"DVD_PAYOUT_RATIO","FY 2014","FY 2014","Currency=INR","Period=FY","BEST_FPERIOD_OVERRIDE=FY","FILING_STATUS=OR","EQY_CONSOLIDATED=Y","FA_ADJUSTED=GAAP","Sort=A","Dates=H","DateFormat=P","Fill=—","Direction=H","UseDPDF=Y")</f>
        <v>#NAME?</v>
      </c>
      <c r="S578" t="e">
        <f ca="1">_xll.BDH($C$578,"SUSTAIN_GROWTH_RT","FY 2014","FY 2014","Currency=INR","Period=FY","BEST_FPERIOD_OVERRIDE=FY","FILING_STATUS=OR","EQY_CONSOLIDATED=Y","FA_ADJUSTED=GAAP","Sort=A","Dates=H","DateFormat=P","Fill=—","Direction=H","UseDPDF=Y")</f>
        <v>#NAME?</v>
      </c>
      <c r="T578" s="2" t="e">
        <f ca="1">_xll.BDH($C$578,"SALES_GROWTH","FY 2014","FY 2014","Currency=INR","Period=FY","BEST_FPERIOD_OVERRIDE=FY","FILING_STATUS=OR","EQY_CONSOLIDATED=Y","FA_ADJUSTED=GAAP","Sort=A","Dates=H","DateFormat=P","Fill=—","Direction=H","UseDPDF=Y")</f>
        <v>#NAME?</v>
      </c>
      <c r="U578" s="2" t="e">
        <f ca="1">_xll.BDH($C$578,"EBITDA_GROWTH","FY 2014","FY 2014","Currency=INR","Period=FY","BEST_FPERIOD_OVERRIDE=FY","FILING_STATUS=OR","EQY_CONSOLIDATED=Y","FA_ADJUSTED=GAAP","Sort=A","Dates=H","DateFormat=P","Fill=—","Direction=H","UseDPDF=Y")</f>
        <v>#NAME?</v>
      </c>
      <c r="V578" s="2" t="e">
        <f ca="1">_xll.BDH($C$578,"OPER_INC_GROWTH","FY 2014","FY 2014","Currency=INR","Period=FY","BEST_FPERIOD_OVERRIDE=FY","FILING_STATUS=OR","EQY_CONSOLIDATED=Y","FA_ADJUSTED=GAAP","Sort=A","Dates=H","DateFormat=P","Fill=—","Direction=H","UseDPDF=Y")</f>
        <v>#NAME?</v>
      </c>
      <c r="W578" s="2" t="e">
        <f ca="1">_xll.BDH($C$578,"EARN_FOR_COM_GROWTH","FY 2014","FY 2014","Currency=INR","Period=FY","BEST_FPERIOD_OVERRIDE=FY","FILING_STATUS=OR","EQY_CONSOLIDATED=Y","FA_ADJUSTED=GAAP","Sort=A","Dates=H","DateFormat=P","Fill=—","Direction=H","UseDPDF=Y")</f>
        <v>#NAME?</v>
      </c>
      <c r="X578" s="2" t="e">
        <f ca="1">_xll.BDH($C$578,"DILUTED_EPS_AFT_XO_ITEMS_GROWTH","FY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578" s="2" t="e">
        <f ca="1">_xll.BDH($C$578,"DIVIDEND_PER_SHARE_1_YEAR_GROWTH","FY 2014","FY 2014","Currency=INR","Period=FY","BEST_FPERIOD_OVERRIDE=FY","FILING_STATUS=OR","EQY_CONSOLIDATED=Y","Sort=A","Dates=H","DateFormat=P","Fill=—","Direction=H","UseDPDF=Y")</f>
        <v>#NAME?</v>
      </c>
      <c r="Z578" s="2" t="e">
        <f ca="1">_xll.BDH($C$578,"ACCOUNTS_RECEIVABLE_GROWTH","FY 2014","FY 2014","Currency=INR","Period=FY","BEST_FPERIOD_OVERRIDE=FY","FILING_STATUS=OR","EQY_CONSOLIDATED=Y","Sort=A","Dates=H","DateFormat=P","Fill=—","Direction=H","UseDPDF=Y")</f>
        <v>#NAME?</v>
      </c>
      <c r="AA578" s="2" t="e">
        <f ca="1">_xll.BDH($C$578,"INVENTORY_GROWTH","FY 2014","FY 2014","Currency=INR","Period=FY","BEST_FPERIOD_OVERRIDE=FY","FILING_STATUS=OR","EQY_CONSOLIDATED=Y","Sort=A","Dates=H","DateFormat=P","Fill=—","Direction=H","UseDPDF=Y")</f>
        <v>#NAME?</v>
      </c>
      <c r="AB578" s="2" t="e">
        <f ca="1">_xll.BDH($C$578,"NET_FIXED_ASSETS_1_YEAR_GROWTH","FY 2014","FY 2014","Currency=INR","Period=FY","BEST_FPERIOD_OVERRIDE=FY","FILING_STATUS=OR","EQY_CONSOLIDATED=Y","Sort=A","Dates=H","DateFormat=P","Fill=—","Direction=H","UseDPDF=Y")</f>
        <v>#NAME?</v>
      </c>
      <c r="AC578" s="2" t="e">
        <f ca="1">_xll.BDH($C$578,"ASSET_GROWTH","FY 2014","FY 2014","Currency=INR","Period=FY","BEST_FPERIOD_OVERRIDE=FY","FILING_STATUS=OR","EQY_CONSOLIDATED=Y","Sort=A","Dates=H","DateFormat=P","Fill=—","Direction=H","UseDPDF=Y")</f>
        <v>#NAME?</v>
      </c>
      <c r="AD578" s="2" t="e">
        <f ca="1">_xll.BDH($C$578,"MODIFIED_WORK_CAP_GROWTH","FY 2014","FY 2014","Currency=INR","Period=FY","BEST_FPERIOD_OVERRIDE=FY","FILING_STATUS=OR","EQY_CONSOLIDATED=Y","Sort=A","Dates=H","DateFormat=P","Fill=—","Direction=H","UseDPDF=Y")</f>
        <v>#NAME?</v>
      </c>
      <c r="AE578" s="2" t="e">
        <f ca="1">_xll.BDH($C$578,"WORK_CAP_GROWTH","FY 2014","FY 2014","Currency=INR","Period=FY","BEST_FPERIOD_OVERRIDE=FY","FILING_STATUS=OR","EQY_CONSOLIDATED=Y","Sort=A","Dates=H","DateFormat=P","Fill=—","Direction=H","UseDPDF=Y")</f>
        <v>#NAME?</v>
      </c>
      <c r="AF578" s="2" t="e">
        <f ca="1">_xll.BDH($C$578,"ACCOUNTS_PAYABLE_GROWTH_1YR","FY 2014","FY 2014","Currency=INR","Period=FY","BEST_FPERIOD_OVERRIDE=FY","FILING_STATUS=OR","EQY_CONSOLIDATED=Y","Sort=A","Dates=H","DateFormat=P","Fill=—","Direction=H","UseDPDF=Y")</f>
        <v>#NAME?</v>
      </c>
      <c r="AG578" s="2" t="e">
        <f ca="1">_xll.BDH($C$578,"SHORT_TERM_DEBT_1_YEAR_GROWTH","FY 2014","FY 2014","Currency=INR","Period=FY","BEST_FPERIOD_OVERRIDE=FY","FILING_STATUS=OR","EQY_CONSOLIDATED=Y","Sort=A","Dates=H","DateFormat=P","Fill=—","Direction=H","UseDPDF=Y")</f>
        <v>#NAME?</v>
      </c>
      <c r="AH578" s="2" t="e">
        <f ca="1">_xll.BDH($C$578,"TOTAL_DEBT_1_YEAR_GROWTH","FY 2014","FY 2014","Currency=INR","Period=FY","BEST_FPERIOD_OVERRIDE=FY","FILING_STATUS=OR","EQY_CONSOLIDATED=Y","Sort=A","Dates=H","DateFormat=P","Fill=—","Direction=H","UseDPDF=Y")</f>
        <v>#NAME?</v>
      </c>
      <c r="AI578" s="2" t="e">
        <f ca="1">_xll.BDH($C$578,"TOTAL_EQUITY_1_YEAR_GROWTH","FY 2014","FY 2014","Currency=INR","Period=FY","BEST_FPERIOD_OVERRIDE=FY","FILING_STATUS=OR","EQY_CONSOLIDATED=Y","Sort=A","Dates=H","DateFormat=P","Fill=—","Direction=H","UseDPDF=Y")</f>
        <v>#NAME?</v>
      </c>
      <c r="AJ578" s="2" t="e">
        <f ca="1">_xll.BDH($C$578,"GROWTH_IN_CAP","FY 2014","FY 2014","Currency=INR","Period=FY","BEST_FPERIOD_OVERRIDE=FY","FILING_STATUS=OR","EQY_CONSOLIDATED=Y","Sort=A","Dates=H","DateFormat=P","Fill=—","Direction=H","UseDPDF=Y")</f>
        <v>#NAME?</v>
      </c>
      <c r="AK578" s="2" t="e">
        <f ca="1">_xll.BDH($C$578,"BVPS_GROWTH","FY 2014","FY 2014","Currency=INR","Period=FY","BEST_FPERIOD_OVERRIDE=FY","FILING_STATUS=OR","EQY_CONSOLIDATED=Y","Sort=A","Dates=H","DateFormat=P","Fill=—","Direction=H","UseDPDF=Y")</f>
        <v>#NAME?</v>
      </c>
      <c r="AL578" s="2" t="e">
        <f ca="1">_xll.BDH($C$578,"CASH_FLOW_GROWTH","FY 2014","FY 2014","Currency=INR","Period=FY","BEST_FPERIOD_OVERRIDE=FY","FILING_STATUS=OR","EQY_CONSOLIDATED=Y","Sort=A","Dates=H","DateFormat=P","Fill=—","Direction=H","UseDPDF=Y")</f>
        <v>#NAME?</v>
      </c>
      <c r="AM578" s="2" t="e">
        <f ca="1">_xll.BDH($C$578,"GEO_GROW_NET_SALES","FY 2014","FY 2014","Currency=INR","Period=FY","BEST_FPERIOD_OVERRIDE=FY","FILING_STATUS=OR","EQY_CONSOLIDATED=Y","FA_ADJUSTED=GAAP","Sort=A","Dates=H","DateFormat=P","Fill=—","Direction=H","UseDPDF=Y")</f>
        <v>#NAME?</v>
      </c>
      <c r="AN578" s="2" t="e">
        <f ca="1">_xll.BDH($C$578,"GEO_GROW_EBITDA","FY 2014","FY 2014","Currency=INR","Period=FY","BEST_FPERIOD_OVERRIDE=FY","FILING_STATUS=OR","EQY_CONSOLIDATED=Y","FA_ADJUSTED=GAAP","Sort=A","Dates=H","DateFormat=P","Fill=—","Direction=H","UseDPDF=Y")</f>
        <v>#NAME?</v>
      </c>
      <c r="AO578" s="2" t="e">
        <f ca="1">_xll.BDH($C$578,"GEO_GROW_OPER_INC","FY 2014","FY 2014","Currency=INR","Period=FY","BEST_FPERIOD_OVERRIDE=FY","FILING_STATUS=OR","EQY_CONSOLIDATED=Y","FA_ADJUSTED=GAAP","Sort=A","Dates=H","DateFormat=P","Fill=—","Direction=H","UseDPDF=Y")</f>
        <v>#NAME?</v>
      </c>
      <c r="AP578" s="2" t="e">
        <f ca="1">_xll.BDH($C$578,"NET_INCOME_TO_COMMON_5_YR_GROWTH","FY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578" s="2" t="e">
        <f ca="1">_xll.BDH($C$578,"5Y_GEO_GROWTH_DILUTED_EPS","FY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578" s="2" t="e">
        <f ca="1">_xll.BDH($C$578,"GEO_GROW_DVD_PER_SH","FY 2014","FY 2014","Currency=INR","Period=FY","BEST_FPERIOD_OVERRIDE=FY","FILING_STATUS=OR","EQY_CONSOLIDATED=Y","Sort=A","Dates=H","DateFormat=P","Fill=—","Direction=H","UseDPDF=Y")</f>
        <v>#NAME?</v>
      </c>
      <c r="AS578" s="2" t="e">
        <f ca="1">_xll.BDH($C$578,"ACCOUNTS_RECEIVABLE_5_YR_GROWTH","FY 2014","FY 2014","Currency=INR","Period=FY","BEST_FPERIOD_OVERRIDE=FY","FILING_STATUS=OR","EQY_CONSOLIDATED=Y","Sort=A","Dates=H","DateFormat=P","Fill=—","Direction=H","UseDPDF=Y")</f>
        <v>#NAME?</v>
      </c>
      <c r="AT578" s="2" t="e">
        <f ca="1">_xll.BDH($C$578,"INVENTORY_5_YEAR_GROWTH","FY 2014","FY 2014","Currency=INR","Period=FY","BEST_FPERIOD_OVERRIDE=FY","FILING_STATUS=OR","EQY_CONSOLIDATED=Y","Sort=A","Dates=H","DateFormat=P","Fill=—","Direction=H","UseDPDF=Y")</f>
        <v>#NAME?</v>
      </c>
      <c r="AU578" s="2" t="e">
        <f ca="1">_xll.BDH($C$578,"NET_FIXED_ASSETS_5_YEAR_GROWTH","FY 2014","FY 2014","Currency=INR","Period=FY","BEST_FPERIOD_OVERRIDE=FY","FILING_STATUS=OR","EQY_CONSOLIDATED=Y","Sort=A","Dates=H","DateFormat=P","Fill=—","Direction=H","UseDPDF=Y")</f>
        <v>#NAME?</v>
      </c>
      <c r="AV578" s="2" t="e">
        <f ca="1">_xll.BDH($C$578,"GEO_GROW_TOT_ASSET","FY 2014","FY 2014","Currency=INR","Period=FY","BEST_FPERIOD_OVERRIDE=FY","FILING_STATUS=OR","EQY_CONSOLIDATED=Y","Sort=A","Dates=H","DateFormat=P","Fill=—","Direction=H","UseDPDF=Y")</f>
        <v>#NAME?</v>
      </c>
      <c r="AW578" s="2" t="e">
        <f ca="1">_xll.BDH($C$578,"MODIFIED_WORKING_CPTL_5YR_GRWTH","FY 2014","FY 2014","Currency=INR","Period=FY","BEST_FPERIOD_OVERRIDE=FY","FILING_STATUS=OR","EQY_CONSOLIDATED=Y","Sort=A","Dates=H","DateFormat=P","Fill=—","Direction=H","UseDPDF=Y")</f>
        <v>#NAME?</v>
      </c>
      <c r="AX578" s="2" t="e">
        <f ca="1">_xll.BDH($C$578,"WORKING_CAPITAL_5_YEAR_GROWTH","FY 2014","FY 2014","Currency=INR","Period=FY","BEST_FPERIOD_OVERRIDE=FY","FILING_STATUS=OR","EQY_CONSOLIDATED=Y","Sort=A","Dates=H","DateFormat=P","Fill=—","Direction=H","UseDPDF=Y")</f>
        <v>#NAME?</v>
      </c>
      <c r="AY578" s="2" t="e">
        <f ca="1">_xll.BDH($C$578,"ACCOUNTS_PAYABLE_5_YEAR_GROWTH","FY 2014","FY 2014","Currency=INR","Period=FY","BEST_FPERIOD_OVERRIDE=FY","FILING_STATUS=OR","EQY_CONSOLIDATED=Y","Sort=A","Dates=H","DateFormat=P","Fill=—","Direction=H","UseDPDF=Y")</f>
        <v>#NAME?</v>
      </c>
      <c r="AZ578" s="2" t="e">
        <f ca="1">_xll.BDH($C$578,"SHORT_TERM_DEBT_5_YEAR_GROWTH","FY 2014","FY 2014","Currency=INR","Period=FY","BEST_FPERIOD_OVERRIDE=FY","FILING_STATUS=OR","EQY_CONSOLIDATED=Y","Sort=A","Dates=H","DateFormat=P","Fill=—","Direction=H","UseDPDF=Y")</f>
        <v>#NAME?</v>
      </c>
      <c r="BA578" s="2" t="e">
        <f ca="1">_xll.BDH($C$578,"TOTAL_DEBT_5_YEAR_GROWTH","FY 2014","FY 2014","Currency=INR","Period=FY","BEST_FPERIOD_OVERRIDE=FY","FILING_STATUS=OR","EQY_CONSOLIDATED=Y","Sort=A","Dates=H","DateFormat=P","Fill=—","Direction=H","UseDPDF=Y")</f>
        <v>#NAME?</v>
      </c>
      <c r="BB578" s="2" t="e">
        <f ca="1">_xll.BDH($C$578,"GEO_GROW_TOT_SHRHLDR_EQY","FY 2014","FY 2014","Currency=INR","Period=FY","BEST_FPERIOD_OVERRIDE=FY","FILING_STATUS=OR","EQY_CONSOLIDATED=Y","Sort=A","Dates=H","DateFormat=P","Fill=—","Direction=H","UseDPDF=Y")</f>
        <v>#NAME?</v>
      </c>
      <c r="BC578" s="2" t="e">
        <f ca="1">_xll.BDH($C$578,"TOTAL_CAPITAL_5_YEAR_GROWTH","FY 2014","FY 2014","Currency=INR","Period=FY","BEST_FPERIOD_OVERRIDE=FY","FILING_STATUS=OR","EQY_CONSOLIDATED=Y","Sort=A","Dates=H","DateFormat=P","Fill=—","Direction=H","UseDPDF=Y")</f>
        <v>#NAME?</v>
      </c>
      <c r="BD578" s="2" t="e">
        <f ca="1">_xll.BDH($C$578,"GEO_GROW_BOOK_VAL","FY 2014","FY 2014","Currency=INR","Period=FY","BEST_FPERIOD_OVERRIDE=FY","FILING_STATUS=OR","EQY_CONSOLIDATED=Y","Sort=A","Dates=H","DateFormat=P","Fill=—","Direction=H","UseDPDF=Y")</f>
        <v>#NAME?</v>
      </c>
      <c r="BE578" s="2" t="e">
        <f ca="1">_xll.BDH($C$578,"GEO_GROW_CASH_OPER_ACT","FY 2014","FY 2014","Currency=INR","Period=FY","BEST_FPERIOD_OVERRIDE=FY","FILING_STATUS=OR","EQY_CONSOLIDATED=Y","Sort=A","Dates=H","DateFormat=P","Fill=—","Direction=H","UseDPDF=Y")</f>
        <v>#NAME?</v>
      </c>
      <c r="BF578" s="2" t="e">
        <f ca="1">_xll.BDH($C$578,"REVENUE_SEQUENTIAL_GROWTH","FY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578" s="2" t="e">
        <f ca="1">_xll.BDH($C$578,"EBITDA_SEQUENTIAL_GROWTH","FY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578" s="2" t="e">
        <f ca="1">_xll.BDH($C$578,"OPERATING_INCOME_SEQ_GROWTH","FY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578" s="2" t="e">
        <f ca="1">_xll.BDH($C$578,"NET_INCOME_TO_COMMON_SEQ_GROWTH","FY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578" s="2" t="e">
        <f ca="1">_xll.BDH($C$578,"EPS_DILUTED_SEQUENTIAL_GROWTH","FY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578" s="2" t="e">
        <f ca="1">_xll.BDH($C$578,"DPS_SEQUENTIAL_GROWTH","FY 2014","FY 2014","Currency=INR","Period=FY","BEST_FPERIOD_OVERRIDE=FY","FILING_STATUS=OR","EQY_CONSOLIDATED=Y","Sort=A","Dates=H","DateFormat=P","Fill=—","Direction=H","UseDPDF=Y")</f>
        <v>#NAME?</v>
      </c>
      <c r="BL578" s="2" t="e">
        <f ca="1">_xll.BDH($C$578,"ACCOUNTS_RECEIVABLE_SEQ_GROWTH","FY 2014","FY 2014","Currency=INR","Period=FY","BEST_FPERIOD_OVERRIDE=FY","FILING_STATUS=OR","EQY_CONSOLIDATED=Y","Sort=A","Dates=H","DateFormat=P","Fill=—","Direction=H","UseDPDF=Y")</f>
        <v>#NAME?</v>
      </c>
      <c r="BM578" s="2" t="e">
        <f ca="1">_xll.BDH($C$578,"INVENTORY_SEQUENTIAL_GROWTH","FY 2014","FY 2014","Currency=INR","Period=FY","BEST_FPERIOD_OVERRIDE=FY","FILING_STATUS=OR","EQY_CONSOLIDATED=Y","Sort=A","Dates=H","DateFormat=P","Fill=—","Direction=H","UseDPDF=Y")</f>
        <v>#NAME?</v>
      </c>
      <c r="BN578" s="2" t="e">
        <f ca="1">_xll.BDH($C$578,"FIXED_ASSETS_SEQUENTIAL_GROWTH","FY 2014","FY 2014","Currency=INR","Period=FY","BEST_FPERIOD_OVERRIDE=FY","FILING_STATUS=OR","EQY_CONSOLIDATED=Y","Sort=A","Dates=H","DateFormat=P","Fill=—","Direction=H","UseDPDF=Y")</f>
        <v>#NAME?</v>
      </c>
      <c r="BO578" s="2" t="e">
        <f ca="1">_xll.BDH($C$578,"TOTAL_ASSETS_SEQUENTIAL_GROWTH","FY 2014","FY 2014","Currency=INR","Period=FY","BEST_FPERIOD_OVERRIDE=FY","FILING_STATUS=OR","EQY_CONSOLIDATED=Y","Sort=A","Dates=H","DateFormat=P","Fill=—","Direction=H","UseDPDF=Y")</f>
        <v>#NAME?</v>
      </c>
      <c r="BP578" s="2" t="e">
        <f ca="1">_xll.BDH($C$578,"MODIFIED_WORKING_CPTL_SEQ_GRWTH","FY 2014","FY 2014","Currency=INR","Period=FY","BEST_FPERIOD_OVERRIDE=FY","FILING_STATUS=OR","EQY_CONSOLIDATED=Y","Sort=A","Dates=H","DateFormat=P","Fill=—","Direction=H","UseDPDF=Y")</f>
        <v>#NAME?</v>
      </c>
      <c r="BQ578" s="2" t="e">
        <f ca="1">_xll.BDH($C$578,"WORKING_CAPITAL_SEQ_GROWTH","FY 2014","FY 2014","Currency=INR","Period=FY","BEST_FPERIOD_OVERRIDE=FY","FILING_STATUS=OR","EQY_CONSOLIDATED=Y","Sort=A","Dates=H","DateFormat=P","Fill=—","Direction=H","UseDPDF=Y")</f>
        <v>#NAME?</v>
      </c>
      <c r="BR578" s="2" t="e">
        <f ca="1">_xll.BDH($C$578,"ACCOUNTS_PAYABLE_SEQ_GROWTH","FY 2014","FY 2014","Currency=INR","Period=FY","BEST_FPERIOD_OVERRIDE=FY","FILING_STATUS=OR","EQY_CONSOLIDATED=Y","Sort=A","Dates=H","DateFormat=P","Fill=—","Direction=H","UseDPDF=Y")</f>
        <v>#NAME?</v>
      </c>
      <c r="BS578" s="2" t="e">
        <f ca="1">_xll.BDH($C$578,"ST_DEBT_SEQUENTIAL_GROWTH","FY 2014","FY 2014","Currency=INR","Period=FY","BEST_FPERIOD_OVERRIDE=FY","FILING_STATUS=OR","EQY_CONSOLIDATED=Y","Sort=A","Dates=H","DateFormat=P","Fill=—","Direction=H","UseDPDF=Y")</f>
        <v>#NAME?</v>
      </c>
      <c r="BT578" s="2" t="e">
        <f ca="1">_xll.BDH($C$578,"TOTAL_DEBT_SEQUENTIAL_GROWTH","FY 2014","FY 2014","Currency=INR","Period=FY","BEST_FPERIOD_OVERRIDE=FY","FILING_STATUS=OR","EQY_CONSOLIDATED=Y","Sort=A","Dates=H","DateFormat=P","Fill=—","Direction=H","UseDPDF=Y")</f>
        <v>#NAME?</v>
      </c>
      <c r="BU578" s="2" t="e">
        <f ca="1">_xll.BDH($C$578,"TOTAL_EQUITY_SEQUENTIAL_GROWTH","FY 2014","FY 2014","Currency=INR","Period=FY","BEST_FPERIOD_OVERRIDE=FY","FILING_STATUS=OR","EQY_CONSOLIDATED=Y","Sort=A","Dates=H","DateFormat=P","Fill=—","Direction=H","UseDPDF=Y")</f>
        <v>#NAME?</v>
      </c>
      <c r="BV578" s="2" t="e">
        <f ca="1">_xll.BDH($C$578,"TOTAL_CAPITAL_SEQUENTIAL_GROWTH","FY 2014","FY 2014","Currency=INR","Period=FY","BEST_FPERIOD_OVERRIDE=FY","FILING_STATUS=OR","EQY_CONSOLIDATED=Y","Sort=A","Dates=H","DateFormat=P","Fill=—","Direction=H","UseDPDF=Y")</f>
        <v>#NAME?</v>
      </c>
      <c r="BW578" s="2" t="e">
        <f ca="1">_xll.BDH($C$578,"BPS_SEQUENTIAL_GROWTH","FY 2014","FY 2014","Currency=INR","Period=FY","BEST_FPERIOD_OVERRIDE=FY","FILING_STATUS=OR","EQY_CONSOLIDATED=Y","Sort=A","Dates=H","DateFormat=P","Fill=—","Direction=H","UseDPDF=Y")</f>
        <v>#NAME?</v>
      </c>
      <c r="BX578" s="2" t="e">
        <f ca="1">_xll.BDH($C$578,"CFO_SEQUENTIAL_GROWTH","FY 2014","FY 2014","Currency=INR","Period=FY","BEST_FPERIOD_OVERRIDE=FY","FILING_STATUS=OR","EQY_CONSOLIDATED=Y","Sort=A","Dates=H","DateFormat=P","Fill=—","Direction=H","UseDPDF=Y")</f>
        <v>#NAME?</v>
      </c>
      <c r="BY578" s="3" t="e">
        <f ca="1">_xll.BDH($C$578,"SHORT_AND_LONG_TERM_DEBT","FY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578" s="3" t="e">
        <f ca="1">_xll.BDH($C$578,"BS_ST_BORROW","FY 2014","FY 2014","Currency=INR","Period=FY","BEST_FPERIOD_OVERRIDE=FY","FILING_STATUS=OR","EQY_CONSOLIDATED=Y","SCALING_FORMAT=MLN","Sort=A","Dates=H","DateFormat=P","Fill=—","Direction=H","UseDPDF=Y")</f>
        <v>#NAME?</v>
      </c>
      <c r="CA578" s="3" t="e">
        <f ca="1">_xll.BDH($C$578,"BS_LT_BORROW","FY 2014","FY 2014","Currency=INR","Period=FY","BEST_FPERIOD_OVERRIDE=FY","FILING_STATUS=OR","EQY_CONSOLIDATED=Y","SCALING_FORMAT=MLN","Sort=A","Dates=H","DateFormat=P","Fill=—","Direction=H","UseDPDF=Y")</f>
        <v>#NAME?</v>
      </c>
      <c r="CB578" s="2" t="e">
        <f ca="1">_xll.BDH($C$578,"TOT_DEBT_TO_EBITDA","FY 2014","FY 2014","Currency=INR","Period=FY","BEST_FPERIOD_OVERRIDE=FY","FILING_STATUS=OR","EQY_CONSOLIDATED=Y","FA_ADJUSTED=GAAP","Sort=A","Dates=H","DateFormat=P","Fill=—","Direction=H","UseDPDF=Y")</f>
        <v>#NAME?</v>
      </c>
      <c r="CC578" s="2" t="e">
        <f ca="1">_xll.BDH($C$578,"NET_DEBT_TO_EBITDA","FY 2014","FY 2014","Currency=INR","Period=FY","BEST_FPERIOD_OVERRIDE=FY","FILING_STATUS=OR","EQY_CONSOLIDATED=Y","FA_ADJUSTED=GAAP","Sort=A","Dates=H","DateFormat=P","Fill=—","Direction=H","UseDPDF=Y")</f>
        <v>#NAME?</v>
      </c>
      <c r="CD578" s="2" t="e">
        <f ca="1">_xll.BDH($C$578,"TOTAL_DEBT_TO_EBIT","FY 2014","FY 2014","Currency=INR","Period=FY","BEST_FPERIOD_OVERRIDE=FY","FILING_STATUS=OR","EQY_CONSOLIDATED=Y","FA_ADJUSTED=GAAP","Sort=A","Dates=H","DateFormat=P","Fill=—","Direction=H","UseDPDF=Y")</f>
        <v>#NAME?</v>
      </c>
      <c r="CE578" s="2" t="e">
        <f ca="1">_xll.BDH($C$578,"NET_DEBT_TO_EBIT","FY 2014","FY 2014","Currency=INR","Period=FY","BEST_FPERIOD_OVERRIDE=FY","FILING_STATUS=OR","EQY_CONSOLIDATED=Y","FA_ADJUSTED=GAAP","Sort=A","Dates=H","DateFormat=P","Fill=—","Direction=H","UseDPDF=Y")</f>
        <v>#NAME?</v>
      </c>
      <c r="CF578" s="2" t="e">
        <f ca="1">_xll.BDH($C$578,"EBITDA_TO_INTEREST_EXPN","FY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578" s="2" t="e">
        <f ca="1">_xll.BDH($C$578,"COM_EQY_TO_TOT_ASSET","FY 2014","FY 2014","Currency=INR","Period=FY","BEST_FPERIOD_OVERRIDE=FY","FILING_STATUS=OR","EQY_CONSOLIDATED=Y","Sort=A","Dates=H","DateFormat=P","Fill=—","Direction=H","UseDPDF=Y")</f>
        <v>#NAME?</v>
      </c>
      <c r="CH578" s="2" t="e">
        <f ca="1">_xll.BDH($C$578,"LT_DEBT_TO_TOT_EQY","FY 2014","FY 2014","Currency=INR","Period=FY","BEST_FPERIOD_OVERRIDE=FY","FILING_STATUS=OR","EQY_CONSOLIDATED=Y","Sort=A","Dates=H","DateFormat=P","Fill=—","Direction=H","UseDPDF=Y")</f>
        <v>#NAME?</v>
      </c>
      <c r="CI578" s="2" t="e">
        <f ca="1">_xll.BDH($C$578,"LT_DEBT_TO_TOT_CAP","FY 2014","FY 2014","Currency=INR","Period=FY","BEST_FPERIOD_OVERRIDE=FY","FILING_STATUS=OR","EQY_CONSOLIDATED=Y","Sort=A","Dates=H","DateFormat=P","Fill=—","Direction=H","UseDPDF=Y")</f>
        <v>#NAME?</v>
      </c>
      <c r="CJ578" s="2" t="e">
        <f ca="1">_xll.BDH($C$578,"LT_DEBT_TO_TOT_ASSET","FY 2014","FY 2014","Currency=INR","Period=FY","BEST_FPERIOD_OVERRIDE=FY","FILING_STATUS=OR","EQY_CONSOLIDATED=Y","Sort=A","Dates=H","DateFormat=P","Fill=—","Direction=H","UseDPDF=Y")</f>
        <v>#NAME?</v>
      </c>
      <c r="CK578" s="2" t="e">
        <f ca="1">_xll.BDH($C$578,"TOT_DEBT_TO_TOT_EQY","FY 2014","FY 2014","Currency=INR","Period=FY","BEST_FPERIOD_OVERRIDE=FY","FILING_STATUS=OR","EQY_CONSOLIDATED=Y","Sort=A","Dates=H","DateFormat=P","Fill=—","Direction=H","UseDPDF=Y")</f>
        <v>#NAME?</v>
      </c>
      <c r="CL578" s="2" t="e">
        <f ca="1">_xll.BDH($C$578,"TOT_DEBT_TO_TOT_CAP","FY 2014","FY 2014","Currency=INR","Period=FY","BEST_FPERIOD_OVERRIDE=FY","FILING_STATUS=OR","EQY_CONSOLIDATED=Y","Sort=A","Dates=H","DateFormat=P","Fill=—","Direction=H","UseDPDF=Y")</f>
        <v>#NAME?</v>
      </c>
      <c r="CM578" s="2" t="e">
        <f ca="1">_xll.BDH($C$578,"TOT_DEBT_TO_TOT_ASSET","FY 2014","FY 2014","Currency=INR","Period=FY","BEST_FPERIOD_OVERRIDE=FY","FILING_STATUS=OR","EQY_CONSOLIDATED=Y","Sort=A","Dates=H","DateFormat=P","Fill=—","Direction=H","UseDPDF=Y")</f>
        <v>#NAME?</v>
      </c>
      <c r="CN578" s="2" t="e">
        <f ca="1">_xll.BDH($C$578,"NET_DEBT_TO_SHRHLDR_EQTY","FY 2014","FY 2014","Currency=INR","Period=FY","BEST_FPERIOD_OVERRIDE=FY","FILING_STATUS=OR","EQY_CONSOLIDATED=Y","Sort=A","Dates=H","DateFormat=P","Fill=—","Direction=H","UseDPDF=Y")</f>
        <v>#NAME?</v>
      </c>
      <c r="CO578" s="2" t="e">
        <f ca="1">_xll.BDH($C$578,"NET_DEBT_%_CAPITAL","FY 2014","FY 2014","Currency=INR","Period=FY","BEST_FPERIOD_OVERRIDE=FY","FILING_STATUS=OR","EQY_CONSOLIDATED=Y","Sort=A","Dates=H","DateFormat=P","Fill=—","Direction=H","UseDPDF=Y")</f>
        <v>#NAME?</v>
      </c>
      <c r="CP578" s="3" t="e">
        <f ca="1">_xll.BDH($C$578,"EBITDA","FY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578" s="3" t="e">
        <f ca="1">_xll.BDH($C$578,"EBITDA_AFTER_CAPEX","FY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578" s="3" t="e">
        <f ca="1">_xll.BDH($C$578,"IS_OPER_INC","FY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578" s="2" t="e">
        <f ca="1">_xll.BDH($C$578,"CASH_RATIO","FY 2014","FY 2014","Currency=INR","Period=FY","BEST_FPERIOD_OVERRIDE=FY","FILING_STATUS=OR","EQY_CONSOLIDATED=Y","Sort=A","Dates=H","DateFormat=P","Fill=—","Direction=H","UseDPDF=Y")</f>
        <v>#NAME?</v>
      </c>
      <c r="CT578" s="2" t="e">
        <f ca="1">_xll.BDH($C$578,"CUR_RATIO","FY 2014","FY 2014","Currency=INR","Period=FY","BEST_FPERIOD_OVERRIDE=FY","FILING_STATUS=OR","EQY_CONSOLIDATED=Y","Sort=A","Dates=H","DateFormat=P","Fill=—","Direction=H","UseDPDF=Y")</f>
        <v>#NAME?</v>
      </c>
      <c r="CU578" s="2" t="e">
        <f ca="1">_xll.BDH($C$578,"QUICK_RATIO","FY 2014","FY 2014","Currency=INR","Period=FY","BEST_FPERIOD_OVERRIDE=FY","FILING_STATUS=OR","EQY_CONSOLIDATED=Y","Sort=A","Dates=H","DateFormat=P","Fill=—","Direction=H","UseDPDF=Y")</f>
        <v>#NAME?</v>
      </c>
      <c r="CV578" s="2" t="e">
        <f ca="1">_xll.BDH($C$578,"ALTMAN_Z_SCORE","FY 2014","FY 2014","Currency=INR","Period=FY","BEST_FPERIOD_OVERRIDE=FY","FILING_STATUS=OR","EQY_CONSOLIDATED=Y","Sort=A","Dates=H","DateFormat=P","Fill=—","Direction=H","UseDPDF=Y")</f>
        <v>#NAME?</v>
      </c>
      <c r="CW578" s="4" t="e">
        <f ca="1">_xll.BDH($C$578,"ACCT_RCV_TURN","FY 2014","FY 2014","Currency=INR","Period=FY","BEST_FPERIOD_OVERRIDE=FY","FILING_STATUS=OR","EQY_CONSOLIDATED=Y","FA_ADJUSTED=GAAP","Sort=A","Dates=H","DateFormat=P","Fill=—","Direction=H","UseDPDF=Y")</f>
        <v>#NAME?</v>
      </c>
      <c r="CX578" s="2" t="e">
        <f ca="1">_xll.BDH($C$578,"ACCT_RCV_DAYS","FY 2014","FY 2014","Currency=INR","Period=FY","BEST_FPERIOD_OVERRIDE=FY","FILING_STATUS=OR","EQY_CONSOLIDATED=Y","FA_ADJUSTED=GAAP","Sort=A","Dates=H","DateFormat=P","Fill=—","Direction=H","UseDPDF=Y")</f>
        <v>#NAME?</v>
      </c>
      <c r="CY578" s="4" t="e">
        <f ca="1">_xll.BDH($C$578,"INVENT_TURN","FY 2014","FY 2014","Currency=INR","Period=FY","BEST_FPERIOD_OVERRIDE=FY","FILING_STATUS=OR","EQY_CONSOLIDATED=Y","FA_ADJUSTED=GAAP","Sort=A","Dates=H","DateFormat=P","Fill=—","Direction=H","UseDPDF=Y")</f>
        <v>#NAME?</v>
      </c>
      <c r="CZ578" s="2" t="e">
        <f ca="1">_xll.BDH($C$578,"INVENT_DAYS","FY 2014","FY 2014","Currency=INR","Period=FY","BEST_FPERIOD_OVERRIDE=FY","FILING_STATUS=OR","EQY_CONSOLIDATED=Y","FA_ADJUSTED=GAAP","Sort=A","Dates=H","DateFormat=P","Fill=—","Direction=H","UseDPDF=Y")</f>
        <v>#NAME?</v>
      </c>
      <c r="DA578" s="4" t="e">
        <f ca="1">_xll.BDH($C$578,"ACCOUNTS_PAYABLE_TURNOVER","FY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578" s="2" t="e">
        <f ca="1">_xll.BDH($C$578,"ACCOUNTS_PAYABLE_TURNOVER_DAYS","FY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578" s="4" t="e">
        <f ca="1">_xll.BDH($C$578,"CASH_CONVERSION_CYCLE","FY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578" s="4" t="e">
        <f ca="1">_xll.BDH($C$578,"INV_TO_CASH_DAYS","FY 2014","FY 2014","Currency=INR","Period=FY","BEST_FPERIOD_OVERRIDE=FY","FILING_STATUS=OR","EQY_CONSOLIDATED=Y","FA_ADJUSTED=GAAP","Sort=A","Dates=H","DateFormat=P","Fill=—","Direction=H","UseDPDF=Y")</f>
        <v>#NAME?</v>
      </c>
      <c r="DE578" s="5" t="e">
        <f ca="1">_xll.BDH($C$578,"BS_INVENTORIES","FY 2014","FY 2014","Currency=INR","Period=FY","BEST_FPERIOD_OVERRIDE=FY","FILING_STATUS=OR","EQY_CONSOLIDATED=Y","SCALING_FORMAT=MLN","Sort=A","Dates=H","DateFormat=P","Fill=—","Direction=H","UseDPDF=Y")</f>
        <v>#NAME?</v>
      </c>
      <c r="DF578" s="3" t="e">
        <f ca="1">_xll.BDH($C$578,"INVTRY_RAW_MATERIALS","FY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578" s="3" t="e">
        <f ca="1">_xll.BDH($C$578,"INVTRY_IN_PROGRESS","FY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578" s="3" t="e">
        <f ca="1">_xll.BDH($C$578,"INVTRY_FINISHED_GOODS","FY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578" s="3" t="e">
        <f ca="1">_xll.BDH($C$578,"BS_OTHER_INV","FY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579" spans="1:113" x14ac:dyDescent="0.3">
      <c r="A579" s="6"/>
      <c r="B579" s="6"/>
      <c r="C579" s="6"/>
      <c r="D579" s="6"/>
      <c r="E579" t="s">
        <v>78</v>
      </c>
      <c r="F579" t="e">
        <f ca="1">_xll.BDH($C$578,"RETURN_COM_EQY","FQ1 2014","FQ1 2014","Currency=INR","Period=FQ","BEST_FPERIOD_OVERRIDE=FQ","FILING_STATUS=OR","EQY_CONSOLIDATED=Y","FA_ADJUSTED=GAAP","Sort=A","Dates=H","DateFormat=P","Fill=—","Direction=H","UseDPDF=Y")</f>
        <v>#NAME?</v>
      </c>
      <c r="G579" t="e">
        <f ca="1">_xll.BDH($C$578,"RETURN_ON_ASSET","FQ1 2014","FQ1 2014","Currency=INR","Period=FQ","BEST_FPERIOD_OVERRIDE=FQ","FILING_STATUS=OR","EQY_CONSOLIDATED=Y","FA_ADJUSTED=GAAP","Sort=A","Dates=H","DateFormat=P","Fill=—","Direction=H","UseDPDF=Y")</f>
        <v>#NAME?</v>
      </c>
      <c r="H579" t="e">
        <f ca="1">_xll.BDH($C$578,"RETURN_ON_CAP","FQ1 2014","FQ1 2014","Currency=INR","Period=FQ","BEST_FPERIOD_OVERRIDE=FQ","FILING_STATUS=OR","EQY_CONSOLIDATED=Y","FA_ADJUSTED=GAAP","Sort=A","Dates=H","DateFormat=P","Fill=—","Direction=H","UseDPDF=Y")</f>
        <v>#NAME?</v>
      </c>
      <c r="I579" t="e">
        <f ca="1">_xll.BDH($C$578,"RETURN_ON_INV_CAPITAL","FQ1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579" t="e">
        <f ca="1">_xll.BDH($C$578,"EBITDA_TO_REVENUE","FQ1 2014","FQ1 2014","Currency=INR","Period=FQ","BEST_FPERIOD_OVERRIDE=FQ","FILING_STATUS=OR","EQY_CONSOLIDATED=Y","FA_ADJUSTED=GAAP","Sort=A","Dates=H","DateFormat=P","Fill=—","Direction=H","UseDPDF=Y")</f>
        <v>#NAME?</v>
      </c>
      <c r="K579" t="e">
        <f ca="1">_xll.BDH($C$578,"OPER_MARGIN","FQ1 2014","FQ1 2014","Currency=INR","Period=FQ","BEST_FPERIOD_OVERRIDE=FQ","FILING_STATUS=OR","EQY_CONSOLIDATED=Y","FA_ADJUSTED=GAAP","Sort=A","Dates=H","DateFormat=P","Fill=—","Direction=H","UseDPDF=Y")</f>
        <v>#NAME?</v>
      </c>
      <c r="L579" t="e">
        <f ca="1">_xll.BDH($C$578,"INCREMENTAL_OPERATING_MARGIN","FQ1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579" t="e">
        <f ca="1">_xll.BDH($C$578,"PRETAX_INC_TO_NET_SALES","FQ1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579" t="e">
        <f ca="1">_xll.BDH($C$578,"INC_BEF_XO_ITEMS_TO_NET_SALES","FQ1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579" t="e">
        <f ca="1">_xll.BDH($C$578,"PROF_MARGIN","FQ1 2014","FQ1 2014","Currency=INR","Period=FQ","BEST_FPERIOD_OVERRIDE=FQ","FILING_STATUS=OR","EQY_CONSOLIDATED=Y","FA_ADJUSTED=GAAP","Sort=A","Dates=H","DateFormat=P","Fill=—","Direction=H","UseDPDF=Y")</f>
        <v>#NAME?</v>
      </c>
      <c r="P579" t="e">
        <f ca="1">_xll.BDH($C$578,"NET_INCOME_TO_COMMON_MARGIN","FQ1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579" t="e">
        <f ca="1">_xll.BDH($C$578,"EFF_TAX_RATE","FQ1 2014","FQ1 2014","Currency=INR","Period=FQ","BEST_FPERIOD_OVERRIDE=FQ","FILING_STATUS=OR","EQY_CONSOLIDATED=Y","FA_ADJUSTED=GAAP","Sort=A","Dates=H","DateFormat=P","Fill=—","Direction=H","UseDPDF=Y")</f>
        <v>#NAME?</v>
      </c>
      <c r="R579" t="e">
        <f ca="1">_xll.BDH($C$578,"DVD_PAYOUT_RATIO","FQ1 2014","FQ1 2014","Currency=INR","Period=FQ","BEST_FPERIOD_OVERRIDE=FQ","FILING_STATUS=OR","EQY_CONSOLIDATED=Y","FA_ADJUSTED=GAAP","Sort=A","Dates=H","DateFormat=P","Fill=—","Direction=H","UseDPDF=Y")</f>
        <v>#NAME?</v>
      </c>
      <c r="S579" t="e">
        <f ca="1">_xll.BDH($C$578,"SUSTAIN_GROWTH_RT","FQ1 2014","FQ1 2014","Currency=INR","Period=FQ","BEST_FPERIOD_OVERRIDE=FQ","FILING_STATUS=OR","EQY_CONSOLIDATED=Y","FA_ADJUSTED=GAAP","Sort=A","Dates=H","DateFormat=P","Fill=—","Direction=H","UseDPDF=Y")</f>
        <v>#NAME?</v>
      </c>
      <c r="T579" s="2" t="e">
        <f ca="1">_xll.BDH($C$578,"SALES_GROWTH","FQ1 2014","FQ1 2014","Currency=INR","Period=FQ","BEST_FPERIOD_OVERRIDE=FQ","FILING_STATUS=OR","EQY_CONSOLIDATED=Y","FA_ADJUSTED=GAAP","Sort=A","Dates=H","DateFormat=P","Fill=—","Direction=H","UseDPDF=Y")</f>
        <v>#NAME?</v>
      </c>
      <c r="U579" s="2" t="e">
        <f ca="1">_xll.BDH($C$578,"EBITDA_GROWTH","FQ1 2014","FQ1 2014","Currency=INR","Period=FQ","BEST_FPERIOD_OVERRIDE=FQ","FILING_STATUS=OR","EQY_CONSOLIDATED=Y","FA_ADJUSTED=GAAP","Sort=A","Dates=H","DateFormat=P","Fill=—","Direction=H","UseDPDF=Y")</f>
        <v>#NAME?</v>
      </c>
      <c r="V579" s="2" t="e">
        <f ca="1">_xll.BDH($C$578,"OPER_INC_GROWTH","FQ1 2014","FQ1 2014","Currency=INR","Period=FQ","BEST_FPERIOD_OVERRIDE=FQ","FILING_STATUS=OR","EQY_CONSOLIDATED=Y","FA_ADJUSTED=GAAP","Sort=A","Dates=H","DateFormat=P","Fill=—","Direction=H","UseDPDF=Y")</f>
        <v>#NAME?</v>
      </c>
      <c r="W579" s="2" t="e">
        <f ca="1">_xll.BDH($C$578,"EARN_FOR_COM_GROWTH","FQ1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579" s="2" t="e">
        <f ca="1">_xll.BDH($C$578,"DILUTED_EPS_AFT_XO_ITEMS_GROWTH","FQ1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579" s="2" t="e">
        <f ca="1">_xll.BDH($C$578,"DIVIDEND_PER_SHARE_1_YEAR_GROWTH","FQ1 2014","FQ1 2014","Currency=INR","Period=FQ","BEST_FPERIOD_OVERRIDE=FQ","FILING_STATUS=OR","EQY_CONSOLIDATED=Y","Sort=A","Dates=H","DateFormat=P","Fill=—","Direction=H","UseDPDF=Y")</f>
        <v>#NAME?</v>
      </c>
      <c r="Z579" s="2" t="e">
        <f ca="1">_xll.BDH($C$578,"ACCOUNTS_RECEIVABLE_GROWTH","FQ1 2014","FQ1 2014","Currency=INR","Period=FQ","BEST_FPERIOD_OVERRIDE=FQ","FILING_STATUS=OR","EQY_CONSOLIDATED=Y","Sort=A","Dates=H","DateFormat=P","Fill=—","Direction=H","UseDPDF=Y")</f>
        <v>#NAME?</v>
      </c>
      <c r="AA579" s="2" t="e">
        <f ca="1">_xll.BDH($C$578,"INVENTORY_GROWTH","FQ1 2014","FQ1 2014","Currency=INR","Period=FQ","BEST_FPERIOD_OVERRIDE=FQ","FILING_STATUS=OR","EQY_CONSOLIDATED=Y","Sort=A","Dates=H","DateFormat=P","Fill=—","Direction=H","UseDPDF=Y")</f>
        <v>#NAME?</v>
      </c>
      <c r="AB579" s="2" t="e">
        <f ca="1">_xll.BDH($C$578,"NET_FIXED_ASSETS_1_YEAR_GROWTH","FQ1 2014","FQ1 2014","Currency=INR","Period=FQ","BEST_FPERIOD_OVERRIDE=FQ","FILING_STATUS=OR","EQY_CONSOLIDATED=Y","Sort=A","Dates=H","DateFormat=P","Fill=—","Direction=H","UseDPDF=Y")</f>
        <v>#NAME?</v>
      </c>
      <c r="AC579" s="2" t="e">
        <f ca="1">_xll.BDH($C$578,"ASSET_GROWTH","FQ1 2014","FQ1 2014","Currency=INR","Period=FQ","BEST_FPERIOD_OVERRIDE=FQ","FILING_STATUS=OR","EQY_CONSOLIDATED=Y","Sort=A","Dates=H","DateFormat=P","Fill=—","Direction=H","UseDPDF=Y")</f>
        <v>#NAME?</v>
      </c>
      <c r="AD579" s="2" t="e">
        <f ca="1">_xll.BDH($C$578,"MODIFIED_WORK_CAP_GROWTH","FQ1 2014","FQ1 2014","Currency=INR","Period=FQ","BEST_FPERIOD_OVERRIDE=FQ","FILING_STATUS=OR","EQY_CONSOLIDATED=Y","Sort=A","Dates=H","DateFormat=P","Fill=—","Direction=H","UseDPDF=Y")</f>
        <v>#NAME?</v>
      </c>
      <c r="AE579" s="2" t="e">
        <f ca="1">_xll.BDH($C$578,"WORK_CAP_GROWTH","FQ1 2014","FQ1 2014","Currency=INR","Period=FQ","BEST_FPERIOD_OVERRIDE=FQ","FILING_STATUS=OR","EQY_CONSOLIDATED=Y","Sort=A","Dates=H","DateFormat=P","Fill=—","Direction=H","UseDPDF=Y")</f>
        <v>#NAME?</v>
      </c>
      <c r="AF579" s="2" t="e">
        <f ca="1">_xll.BDH($C$578,"ACCOUNTS_PAYABLE_GROWTH_1YR","FQ1 2014","FQ1 2014","Currency=INR","Period=FQ","BEST_FPERIOD_OVERRIDE=FQ","FILING_STATUS=OR","EQY_CONSOLIDATED=Y","Sort=A","Dates=H","DateFormat=P","Fill=—","Direction=H","UseDPDF=Y")</f>
        <v>#NAME?</v>
      </c>
      <c r="AG579" s="2" t="e">
        <f ca="1">_xll.BDH($C$578,"SHORT_TERM_DEBT_1_YEAR_GROWTH","FQ1 2014","FQ1 2014","Currency=INR","Period=FQ","BEST_FPERIOD_OVERRIDE=FQ","FILING_STATUS=OR","EQY_CONSOLIDATED=Y","Sort=A","Dates=H","DateFormat=P","Fill=—","Direction=H","UseDPDF=Y")</f>
        <v>#NAME?</v>
      </c>
      <c r="AH579" s="2" t="e">
        <f ca="1">_xll.BDH($C$578,"TOTAL_DEBT_1_YEAR_GROWTH","FQ1 2014","FQ1 2014","Currency=INR","Period=FQ","BEST_FPERIOD_OVERRIDE=FQ","FILING_STATUS=OR","EQY_CONSOLIDATED=Y","Sort=A","Dates=H","DateFormat=P","Fill=—","Direction=H","UseDPDF=Y")</f>
        <v>#NAME?</v>
      </c>
      <c r="AI579" s="2" t="e">
        <f ca="1">_xll.BDH($C$578,"TOTAL_EQUITY_1_YEAR_GROWTH","FQ1 2014","FQ1 2014","Currency=INR","Period=FQ","BEST_FPERIOD_OVERRIDE=FQ","FILING_STATUS=OR","EQY_CONSOLIDATED=Y","Sort=A","Dates=H","DateFormat=P","Fill=—","Direction=H","UseDPDF=Y")</f>
        <v>#NAME?</v>
      </c>
      <c r="AJ579" s="2" t="e">
        <f ca="1">_xll.BDH($C$578,"GROWTH_IN_CAP","FQ1 2014","FQ1 2014","Currency=INR","Period=FQ","BEST_FPERIOD_OVERRIDE=FQ","FILING_STATUS=OR","EQY_CONSOLIDATED=Y","Sort=A","Dates=H","DateFormat=P","Fill=—","Direction=H","UseDPDF=Y")</f>
        <v>#NAME?</v>
      </c>
      <c r="AK579" s="2" t="e">
        <f ca="1">_xll.BDH($C$578,"BVPS_GROWTH","FQ1 2014","FQ1 2014","Currency=INR","Period=FQ","BEST_FPERIOD_OVERRIDE=FQ","FILING_STATUS=OR","EQY_CONSOLIDATED=Y","Sort=A","Dates=H","DateFormat=P","Fill=—","Direction=H","UseDPDF=Y")</f>
        <v>#NAME?</v>
      </c>
      <c r="AL579" s="2" t="e">
        <f ca="1">_xll.BDH($C$578,"CASH_FLOW_GROWTH","FQ1 2014","FQ1 2014","Currency=INR","Period=FQ","BEST_FPERIOD_OVERRIDE=FQ","FILING_STATUS=OR","EQY_CONSOLIDATED=Y","Sort=A","Dates=H","DateFormat=P","Fill=—","Direction=H","UseDPDF=Y")</f>
        <v>#NAME?</v>
      </c>
      <c r="AM579" s="2" t="e">
        <f ca="1">_xll.BDH($C$578,"GEO_GROW_NET_SALES","FQ1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579" s="2" t="e">
        <f ca="1">_xll.BDH($C$578,"GEO_GROW_EBITDA","FQ1 2014","FQ1 2014","Currency=INR","Period=FQ","BEST_FPERIOD_OVERRIDE=FQ","FILING_STATUS=OR","EQY_CONSOLIDATED=Y","FA_ADJUSTED=GAAP","Sort=A","Dates=H","DateFormat=P","Fill=—","Direction=H","UseDPDF=Y")</f>
        <v>#NAME?</v>
      </c>
      <c r="AO579" s="2" t="e">
        <f ca="1">_xll.BDH($C$578,"GEO_GROW_OPER_INC","FQ1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579" s="2" t="e">
        <f ca="1">_xll.BDH($C$578,"NET_INCOME_TO_COMMON_5_YR_GROWTH","FQ1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579" s="2" t="e">
        <f ca="1">_xll.BDH($C$578,"5Y_GEO_GROWTH_DILUTED_EPS","FQ1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579" s="2" t="e">
        <f ca="1">_xll.BDH($C$578,"GEO_GROW_DVD_PER_SH","FQ1 2014","FQ1 2014","Currency=INR","Period=FQ","BEST_FPERIOD_OVERRIDE=FQ","FILING_STATUS=OR","EQY_CONSOLIDATED=Y","Sort=A","Dates=H","DateFormat=P","Fill=—","Direction=H","UseDPDF=Y")</f>
        <v>#NAME?</v>
      </c>
      <c r="AS579" s="2" t="e">
        <f ca="1">_xll.BDH($C$578,"ACCOUNTS_RECEIVABLE_5_YR_GROWTH","FQ1 2014","FQ1 2014","Currency=INR","Period=FQ","BEST_FPERIOD_OVERRIDE=FQ","FILING_STATUS=OR","EQY_CONSOLIDATED=Y","Sort=A","Dates=H","DateFormat=P","Fill=—","Direction=H","UseDPDF=Y")</f>
        <v>#NAME?</v>
      </c>
      <c r="AT579" s="2" t="e">
        <f ca="1">_xll.BDH($C$578,"INVENTORY_5_YEAR_GROWTH","FQ1 2014","FQ1 2014","Currency=INR","Period=FQ","BEST_FPERIOD_OVERRIDE=FQ","FILING_STATUS=OR","EQY_CONSOLIDATED=Y","Sort=A","Dates=H","DateFormat=P","Fill=—","Direction=H","UseDPDF=Y")</f>
        <v>#NAME?</v>
      </c>
      <c r="AU579" s="2" t="e">
        <f ca="1">_xll.BDH($C$578,"NET_FIXED_ASSETS_5_YEAR_GROWTH","FQ1 2014","FQ1 2014","Currency=INR","Period=FQ","BEST_FPERIOD_OVERRIDE=FQ","FILING_STATUS=OR","EQY_CONSOLIDATED=Y","Sort=A","Dates=H","DateFormat=P","Fill=—","Direction=H","UseDPDF=Y")</f>
        <v>#NAME?</v>
      </c>
      <c r="AV579" s="2" t="e">
        <f ca="1">_xll.BDH($C$578,"GEO_GROW_TOT_ASSET","FQ1 2014","FQ1 2014","Currency=INR","Period=FQ","BEST_FPERIOD_OVERRIDE=FQ","FILING_STATUS=OR","EQY_CONSOLIDATED=Y","Sort=A","Dates=H","DateFormat=P","Fill=—","Direction=H","UseDPDF=Y")</f>
        <v>#NAME?</v>
      </c>
      <c r="AW579" s="2" t="e">
        <f ca="1">_xll.BDH($C$578,"MODIFIED_WORKING_CPTL_5YR_GRWTH","FQ1 2014","FQ1 2014","Currency=INR","Period=FQ","BEST_FPERIOD_OVERRIDE=FQ","FILING_STATUS=OR","EQY_CONSOLIDATED=Y","Sort=A","Dates=H","DateFormat=P","Fill=—","Direction=H","UseDPDF=Y")</f>
        <v>#NAME?</v>
      </c>
      <c r="AX579" s="2" t="e">
        <f ca="1">_xll.BDH($C$578,"WORKING_CAPITAL_5_YEAR_GROWTH","FQ1 2014","FQ1 2014","Currency=INR","Period=FQ","BEST_FPERIOD_OVERRIDE=FQ","FILING_STATUS=OR","EQY_CONSOLIDATED=Y","Sort=A","Dates=H","DateFormat=P","Fill=—","Direction=H","UseDPDF=Y")</f>
        <v>#NAME?</v>
      </c>
      <c r="AY579" s="2" t="e">
        <f ca="1">_xll.BDH($C$578,"ACCOUNTS_PAYABLE_5_YEAR_GROWTH","FQ1 2014","FQ1 2014","Currency=INR","Period=FQ","BEST_FPERIOD_OVERRIDE=FQ","FILING_STATUS=OR","EQY_CONSOLIDATED=Y","Sort=A","Dates=H","DateFormat=P","Fill=—","Direction=H","UseDPDF=Y")</f>
        <v>#NAME?</v>
      </c>
      <c r="AZ579" s="2" t="e">
        <f ca="1">_xll.BDH($C$578,"SHORT_TERM_DEBT_5_YEAR_GROWTH","FQ1 2014","FQ1 2014","Currency=INR","Period=FQ","BEST_FPERIOD_OVERRIDE=FQ","FILING_STATUS=OR","EQY_CONSOLIDATED=Y","Sort=A","Dates=H","DateFormat=P","Fill=—","Direction=H","UseDPDF=Y")</f>
        <v>#NAME?</v>
      </c>
      <c r="BA579" s="2" t="e">
        <f ca="1">_xll.BDH($C$578,"TOTAL_DEBT_5_YEAR_GROWTH","FQ1 2014","FQ1 2014","Currency=INR","Period=FQ","BEST_FPERIOD_OVERRIDE=FQ","FILING_STATUS=OR","EQY_CONSOLIDATED=Y","Sort=A","Dates=H","DateFormat=P","Fill=—","Direction=H","UseDPDF=Y")</f>
        <v>#NAME?</v>
      </c>
      <c r="BB579" s="2" t="e">
        <f ca="1">_xll.BDH($C$578,"GEO_GROW_TOT_SHRHLDR_EQY","FQ1 2014","FQ1 2014","Currency=INR","Period=FQ","BEST_FPERIOD_OVERRIDE=FQ","FILING_STATUS=OR","EQY_CONSOLIDATED=Y","Sort=A","Dates=H","DateFormat=P","Fill=—","Direction=H","UseDPDF=Y")</f>
        <v>#NAME?</v>
      </c>
      <c r="BC579" s="2" t="e">
        <f ca="1">_xll.BDH($C$578,"TOTAL_CAPITAL_5_YEAR_GROWTH","FQ1 2014","FQ1 2014","Currency=INR","Period=FQ","BEST_FPERIOD_OVERRIDE=FQ","FILING_STATUS=OR","EQY_CONSOLIDATED=Y","Sort=A","Dates=H","DateFormat=P","Fill=—","Direction=H","UseDPDF=Y")</f>
        <v>#NAME?</v>
      </c>
      <c r="BD579" s="2" t="e">
        <f ca="1">_xll.BDH($C$578,"GEO_GROW_BOOK_VAL","FQ1 2014","FQ1 2014","Currency=INR","Period=FQ","BEST_FPERIOD_OVERRIDE=FQ","FILING_STATUS=OR","EQY_CONSOLIDATED=Y","Sort=A","Dates=H","DateFormat=P","Fill=—","Direction=H","UseDPDF=Y")</f>
        <v>#NAME?</v>
      </c>
      <c r="BE579" s="2" t="e">
        <f ca="1">_xll.BDH($C$578,"GEO_GROW_CASH_OPER_ACT","FQ1 2014","FQ1 2014","Currency=INR","Period=FQ","BEST_FPERIOD_OVERRIDE=FQ","FILING_STATUS=OR","EQY_CONSOLIDATED=Y","Sort=A","Dates=H","DateFormat=P","Fill=—","Direction=H","UseDPDF=Y")</f>
        <v>#NAME?</v>
      </c>
      <c r="BF579" s="2" t="e">
        <f ca="1">_xll.BDH($C$578,"REVENUE_SEQUENTIAL_GROWTH","FQ1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579" s="2" t="e">
        <f ca="1">_xll.BDH($C$578,"EBITDA_SEQUENTIAL_GROWTH","FQ1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579" s="2" t="e">
        <f ca="1">_xll.BDH($C$578,"OPERATING_INCOME_SEQ_GROWTH","FQ1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579" s="2" t="e">
        <f ca="1">_xll.BDH($C$578,"NET_INCOME_TO_COMMON_SEQ_GROWTH","FQ1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579" s="2" t="e">
        <f ca="1">_xll.BDH($C$578,"EPS_DILUTED_SEQUENTIAL_GROWTH","FQ1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579" s="2" t="e">
        <f ca="1">_xll.BDH($C$578,"DPS_SEQUENTIAL_GROWTH","FQ1 2014","FQ1 2014","Currency=INR","Period=FQ","BEST_FPERIOD_OVERRIDE=FQ","FILING_STATUS=OR","EQY_CONSOLIDATED=Y","Sort=A","Dates=H","DateFormat=P","Fill=—","Direction=H","UseDPDF=Y")</f>
        <v>#NAME?</v>
      </c>
      <c r="BL579" s="2" t="e">
        <f ca="1">_xll.BDH($C$578,"ACCOUNTS_RECEIVABLE_SEQ_GROWTH","FQ1 2014","FQ1 2014","Currency=INR","Period=FQ","BEST_FPERIOD_OVERRIDE=FQ","FILING_STATUS=OR","EQY_CONSOLIDATED=Y","Sort=A","Dates=H","DateFormat=P","Fill=—","Direction=H","UseDPDF=Y")</f>
        <v>#NAME?</v>
      </c>
      <c r="BM579" s="2" t="e">
        <f ca="1">_xll.BDH($C$578,"INVENTORY_SEQUENTIAL_GROWTH","FQ1 2014","FQ1 2014","Currency=INR","Period=FQ","BEST_FPERIOD_OVERRIDE=FQ","FILING_STATUS=OR","EQY_CONSOLIDATED=Y","Sort=A","Dates=H","DateFormat=P","Fill=—","Direction=H","UseDPDF=Y")</f>
        <v>#NAME?</v>
      </c>
      <c r="BN579" s="2" t="e">
        <f ca="1">_xll.BDH($C$578,"FIXED_ASSETS_SEQUENTIAL_GROWTH","FQ1 2014","FQ1 2014","Currency=INR","Period=FQ","BEST_FPERIOD_OVERRIDE=FQ","FILING_STATUS=OR","EQY_CONSOLIDATED=Y","Sort=A","Dates=H","DateFormat=P","Fill=—","Direction=H","UseDPDF=Y")</f>
        <v>#NAME?</v>
      </c>
      <c r="BO579" s="2" t="e">
        <f ca="1">_xll.BDH($C$578,"TOTAL_ASSETS_SEQUENTIAL_GROWTH","FQ1 2014","FQ1 2014","Currency=INR","Period=FQ","BEST_FPERIOD_OVERRIDE=FQ","FILING_STATUS=OR","EQY_CONSOLIDATED=Y","Sort=A","Dates=H","DateFormat=P","Fill=—","Direction=H","UseDPDF=Y")</f>
        <v>#NAME?</v>
      </c>
      <c r="BP579" s="2" t="e">
        <f ca="1">_xll.BDH($C$578,"MODIFIED_WORKING_CPTL_SEQ_GRWTH","FQ1 2014","FQ1 2014","Currency=INR","Period=FQ","BEST_FPERIOD_OVERRIDE=FQ","FILING_STATUS=OR","EQY_CONSOLIDATED=Y","Sort=A","Dates=H","DateFormat=P","Fill=—","Direction=H","UseDPDF=Y")</f>
        <v>#NAME?</v>
      </c>
      <c r="BQ579" s="2" t="e">
        <f ca="1">_xll.BDH($C$578,"WORKING_CAPITAL_SEQ_GROWTH","FQ1 2014","FQ1 2014","Currency=INR","Period=FQ","BEST_FPERIOD_OVERRIDE=FQ","FILING_STATUS=OR","EQY_CONSOLIDATED=Y","Sort=A","Dates=H","DateFormat=P","Fill=—","Direction=H","UseDPDF=Y")</f>
        <v>#NAME?</v>
      </c>
      <c r="BR579" s="2" t="e">
        <f ca="1">_xll.BDH($C$578,"ACCOUNTS_PAYABLE_SEQ_GROWTH","FQ1 2014","FQ1 2014","Currency=INR","Period=FQ","BEST_FPERIOD_OVERRIDE=FQ","FILING_STATUS=OR","EQY_CONSOLIDATED=Y","Sort=A","Dates=H","DateFormat=P","Fill=—","Direction=H","UseDPDF=Y")</f>
        <v>#NAME?</v>
      </c>
      <c r="BS579" s="2" t="e">
        <f ca="1">_xll.BDH($C$578,"ST_DEBT_SEQUENTIAL_GROWTH","FQ1 2014","FQ1 2014","Currency=INR","Period=FQ","BEST_FPERIOD_OVERRIDE=FQ","FILING_STATUS=OR","EQY_CONSOLIDATED=Y","Sort=A","Dates=H","DateFormat=P","Fill=—","Direction=H","UseDPDF=Y")</f>
        <v>#NAME?</v>
      </c>
      <c r="BT579" s="2" t="e">
        <f ca="1">_xll.BDH($C$578,"TOTAL_DEBT_SEQUENTIAL_GROWTH","FQ1 2014","FQ1 2014","Currency=INR","Period=FQ","BEST_FPERIOD_OVERRIDE=FQ","FILING_STATUS=OR","EQY_CONSOLIDATED=Y","Sort=A","Dates=H","DateFormat=P","Fill=—","Direction=H","UseDPDF=Y")</f>
        <v>#NAME?</v>
      </c>
      <c r="BU579" s="2" t="e">
        <f ca="1">_xll.BDH($C$578,"TOTAL_EQUITY_SEQUENTIAL_GROWTH","FQ1 2014","FQ1 2014","Currency=INR","Period=FQ","BEST_FPERIOD_OVERRIDE=FQ","FILING_STATUS=OR","EQY_CONSOLIDATED=Y","Sort=A","Dates=H","DateFormat=P","Fill=—","Direction=H","UseDPDF=Y")</f>
        <v>#NAME?</v>
      </c>
      <c r="BV579" s="2" t="e">
        <f ca="1">_xll.BDH($C$578,"TOTAL_CAPITAL_SEQUENTIAL_GROWTH","FQ1 2014","FQ1 2014","Currency=INR","Period=FQ","BEST_FPERIOD_OVERRIDE=FQ","FILING_STATUS=OR","EQY_CONSOLIDATED=Y","Sort=A","Dates=H","DateFormat=P","Fill=—","Direction=H","UseDPDF=Y")</f>
        <v>#NAME?</v>
      </c>
      <c r="BW579" s="2" t="e">
        <f ca="1">_xll.BDH($C$578,"BPS_SEQUENTIAL_GROWTH","FQ1 2014","FQ1 2014","Currency=INR","Period=FQ","BEST_FPERIOD_OVERRIDE=FQ","FILING_STATUS=OR","EQY_CONSOLIDATED=Y","Sort=A","Dates=H","DateFormat=P","Fill=—","Direction=H","UseDPDF=Y")</f>
        <v>#NAME?</v>
      </c>
      <c r="BX579" s="2" t="e">
        <f ca="1">_xll.BDH($C$578,"CFO_SEQUENTIAL_GROWTH","FQ1 2014","FQ1 2014","Currency=INR","Period=FQ","BEST_FPERIOD_OVERRIDE=FQ","FILING_STATUS=OR","EQY_CONSOLIDATED=Y","Sort=A","Dates=H","DateFormat=P","Fill=—","Direction=H","UseDPDF=Y")</f>
        <v>#NAME?</v>
      </c>
      <c r="BY579" s="3" t="e">
        <f ca="1">_xll.BDH($C$578,"SHORT_AND_LONG_TERM_DEBT","FQ1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579" s="3" t="e">
        <f ca="1">_xll.BDH($C$578,"BS_ST_BORROW","FQ1 2014","FQ1 2014","Currency=INR","Period=FQ","BEST_FPERIOD_OVERRIDE=FQ","FILING_STATUS=OR","EQY_CONSOLIDATED=Y","SCALING_FORMAT=MLN","Sort=A","Dates=H","DateFormat=P","Fill=—","Direction=H","UseDPDF=Y")</f>
        <v>#NAME?</v>
      </c>
      <c r="CA579" s="3" t="e">
        <f ca="1">_xll.BDH($C$578,"BS_LT_BORROW","FQ1 2014","FQ1 2014","Currency=INR","Period=FQ","BEST_FPERIOD_OVERRIDE=FQ","FILING_STATUS=OR","EQY_CONSOLIDATED=Y","SCALING_FORMAT=MLN","Sort=A","Dates=H","DateFormat=P","Fill=—","Direction=H","UseDPDF=Y")</f>
        <v>#NAME?</v>
      </c>
      <c r="CB579" s="2" t="e">
        <f ca="1">_xll.BDH($C$578,"TOT_DEBT_TO_EBITDA","FQ1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579" s="2" t="e">
        <f ca="1">_xll.BDH($C$578,"NET_DEBT_TO_EBITDA","FQ1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579" s="2" t="e">
        <f ca="1">_xll.BDH($C$578,"TOTAL_DEBT_TO_EBIT","FQ1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579" s="2" t="e">
        <f ca="1">_xll.BDH($C$578,"NET_DEBT_TO_EBIT","FQ1 2014","FQ1 2014","Currency=INR","Period=FQ","BEST_FPERIOD_OVERRIDE=FQ","FILING_STATUS=OR","EQY_CONSOLIDATED=Y","FA_ADJUSTED=GAAP","Sort=A","Dates=H","DateFormat=P","Fill=—","Direction=H","UseDPDF=Y")</f>
        <v>#NAME?</v>
      </c>
      <c r="CF579" s="2" t="e">
        <f ca="1">_xll.BDH($C$578,"EBITDA_TO_INTEREST_EXPN","FQ1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579" s="2" t="e">
        <f ca="1">_xll.BDH($C$578,"COM_EQY_TO_TOT_ASSET","FQ1 2014","FQ1 2014","Currency=INR","Period=FQ","BEST_FPERIOD_OVERRIDE=FQ","FILING_STATUS=OR","EQY_CONSOLIDATED=Y","Sort=A","Dates=H","DateFormat=P","Fill=—","Direction=H","UseDPDF=Y")</f>
        <v>#NAME?</v>
      </c>
      <c r="CH579" s="2" t="e">
        <f ca="1">_xll.BDH($C$578,"LT_DEBT_TO_TOT_EQY","FQ1 2014","FQ1 2014","Currency=INR","Period=FQ","BEST_FPERIOD_OVERRIDE=FQ","FILING_STATUS=OR","EQY_CONSOLIDATED=Y","Sort=A","Dates=H","DateFormat=P","Fill=—","Direction=H","UseDPDF=Y")</f>
        <v>#NAME?</v>
      </c>
      <c r="CI579" s="2" t="e">
        <f ca="1">_xll.BDH($C$578,"LT_DEBT_TO_TOT_CAP","FQ1 2014","FQ1 2014","Currency=INR","Period=FQ","BEST_FPERIOD_OVERRIDE=FQ","FILING_STATUS=OR","EQY_CONSOLIDATED=Y","Sort=A","Dates=H","DateFormat=P","Fill=—","Direction=H","UseDPDF=Y")</f>
        <v>#NAME?</v>
      </c>
      <c r="CJ579" s="2" t="e">
        <f ca="1">_xll.BDH($C$578,"LT_DEBT_TO_TOT_ASSET","FQ1 2014","FQ1 2014","Currency=INR","Period=FQ","BEST_FPERIOD_OVERRIDE=FQ","FILING_STATUS=OR","EQY_CONSOLIDATED=Y","Sort=A","Dates=H","DateFormat=P","Fill=—","Direction=H","UseDPDF=Y")</f>
        <v>#NAME?</v>
      </c>
      <c r="CK579" s="2" t="e">
        <f ca="1">_xll.BDH($C$578,"TOT_DEBT_TO_TOT_EQY","FQ1 2014","FQ1 2014","Currency=INR","Period=FQ","BEST_FPERIOD_OVERRIDE=FQ","FILING_STATUS=OR","EQY_CONSOLIDATED=Y","Sort=A","Dates=H","DateFormat=P","Fill=—","Direction=H","UseDPDF=Y")</f>
        <v>#NAME?</v>
      </c>
      <c r="CL579" s="2" t="e">
        <f ca="1">_xll.BDH($C$578,"TOT_DEBT_TO_TOT_CAP","FQ1 2014","FQ1 2014","Currency=INR","Period=FQ","BEST_FPERIOD_OVERRIDE=FQ","FILING_STATUS=OR","EQY_CONSOLIDATED=Y","Sort=A","Dates=H","DateFormat=P","Fill=—","Direction=H","UseDPDF=Y")</f>
        <v>#NAME?</v>
      </c>
      <c r="CM579" s="2" t="e">
        <f ca="1">_xll.BDH($C$578,"TOT_DEBT_TO_TOT_ASSET","FQ1 2014","FQ1 2014","Currency=INR","Period=FQ","BEST_FPERIOD_OVERRIDE=FQ","FILING_STATUS=OR","EQY_CONSOLIDATED=Y","Sort=A","Dates=H","DateFormat=P","Fill=—","Direction=H","UseDPDF=Y")</f>
        <v>#NAME?</v>
      </c>
      <c r="CN579" s="2" t="e">
        <f ca="1">_xll.BDH($C$578,"NET_DEBT_TO_SHRHLDR_EQTY","FQ1 2014","FQ1 2014","Currency=INR","Period=FQ","BEST_FPERIOD_OVERRIDE=FQ","FILING_STATUS=OR","EQY_CONSOLIDATED=Y","Sort=A","Dates=H","DateFormat=P","Fill=—","Direction=H","UseDPDF=Y")</f>
        <v>#NAME?</v>
      </c>
      <c r="CO579" s="2" t="e">
        <f ca="1">_xll.BDH($C$578,"NET_DEBT_%_CAPITAL","FQ1 2014","FQ1 2014","Currency=INR","Period=FQ","BEST_FPERIOD_OVERRIDE=FQ","FILING_STATUS=OR","EQY_CONSOLIDATED=Y","Sort=A","Dates=H","DateFormat=P","Fill=—","Direction=H","UseDPDF=Y")</f>
        <v>#NAME?</v>
      </c>
      <c r="CP579" s="3" t="e">
        <f ca="1">_xll.BDH($C$578,"EBITDA","FQ1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579" s="3" t="e">
        <f ca="1">_xll.BDH($C$578,"EBITDA_AFTER_CAPEX","FQ1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579" s="3" t="e">
        <f ca="1">_xll.BDH($C$578,"IS_OPER_INC","FQ1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579" s="2" t="e">
        <f ca="1">_xll.BDH($C$578,"CASH_RATIO","FQ1 2014","FQ1 2014","Currency=INR","Period=FQ","BEST_FPERIOD_OVERRIDE=FQ","FILING_STATUS=OR","EQY_CONSOLIDATED=Y","Sort=A","Dates=H","DateFormat=P","Fill=—","Direction=H","UseDPDF=Y")</f>
        <v>#NAME?</v>
      </c>
      <c r="CT579" s="2" t="e">
        <f ca="1">_xll.BDH($C$578,"CUR_RATIO","FQ1 2014","FQ1 2014","Currency=INR","Period=FQ","BEST_FPERIOD_OVERRIDE=FQ","FILING_STATUS=OR","EQY_CONSOLIDATED=Y","Sort=A","Dates=H","DateFormat=P","Fill=—","Direction=H","UseDPDF=Y")</f>
        <v>#NAME?</v>
      </c>
      <c r="CU579" s="2" t="e">
        <f ca="1">_xll.BDH($C$578,"QUICK_RATIO","FQ1 2014","FQ1 2014","Currency=INR","Period=FQ","BEST_FPERIOD_OVERRIDE=FQ","FILING_STATUS=OR","EQY_CONSOLIDATED=Y","Sort=A","Dates=H","DateFormat=P","Fill=—","Direction=H","UseDPDF=Y")</f>
        <v>#NAME?</v>
      </c>
      <c r="CV579" s="2" t="e">
        <f ca="1">_xll.BDH($C$578,"ALTMAN_Z_SCORE","FQ1 2014","FQ1 2014","Currency=INR","Period=FQ","BEST_FPERIOD_OVERRIDE=FQ","FILING_STATUS=OR","EQY_CONSOLIDATED=Y","Sort=A","Dates=H","DateFormat=P","Fill=—","Direction=H","UseDPDF=Y")</f>
        <v>#NAME?</v>
      </c>
      <c r="CW579" s="4" t="e">
        <f ca="1">_xll.BDH($C$578,"ACCT_RCV_TURN","FQ1 2014","FQ1 2014","Currency=INR","Period=FQ","BEST_FPERIOD_OVERRIDE=FQ","FILING_STATUS=OR","EQY_CONSOLIDATED=Y","FA_ADJUSTED=GAAP","Sort=A","Dates=H","DateFormat=P","Fill=—","Direction=H","UseDPDF=Y")</f>
        <v>#NAME?</v>
      </c>
      <c r="CX579" s="2" t="e">
        <f ca="1">_xll.BDH($C$578,"ACCT_RCV_DAYS","FQ1 2014","FQ1 2014","Currency=INR","Period=FQ","BEST_FPERIOD_OVERRIDE=FQ","FILING_STATUS=OR","EQY_CONSOLIDATED=Y","FA_ADJUSTED=GAAP","Sort=A","Dates=H","DateFormat=P","Fill=—","Direction=H","UseDPDF=Y")</f>
        <v>#NAME?</v>
      </c>
      <c r="CY579" s="4" t="e">
        <f ca="1">_xll.BDH($C$578,"INVENT_TURN","FQ1 2014","FQ1 2014","Currency=INR","Period=FQ","BEST_FPERIOD_OVERRIDE=FQ","FILING_STATUS=OR","EQY_CONSOLIDATED=Y","FA_ADJUSTED=GAAP","Sort=A","Dates=H","DateFormat=P","Fill=—","Direction=H","UseDPDF=Y")</f>
        <v>#NAME?</v>
      </c>
      <c r="CZ579" s="2" t="e">
        <f ca="1">_xll.BDH($C$578,"INVENT_DAYS","FQ1 2014","FQ1 2014","Currency=INR","Period=FQ","BEST_FPERIOD_OVERRIDE=FQ","FILING_STATUS=OR","EQY_CONSOLIDATED=Y","FA_ADJUSTED=GAAP","Sort=A","Dates=H","DateFormat=P","Fill=—","Direction=H","UseDPDF=Y")</f>
        <v>#NAME?</v>
      </c>
      <c r="DA579" s="4" t="e">
        <f ca="1">_xll.BDH($C$578,"ACCOUNTS_PAYABLE_TURNOVER","FQ1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579" s="2" t="e">
        <f ca="1">_xll.BDH($C$578,"ACCOUNTS_PAYABLE_TURNOVER_DAYS","FQ1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579" s="4" t="e">
        <f ca="1">_xll.BDH($C$578,"CASH_CONVERSION_CYCLE","FQ1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579" s="4" t="e">
        <f ca="1">_xll.BDH($C$578,"INV_TO_CASH_DAYS","FQ1 2014","FQ1 2014","Currency=INR","Period=FQ","BEST_FPERIOD_OVERRIDE=FQ","FILING_STATUS=OR","EQY_CONSOLIDATED=Y","FA_ADJUSTED=GAAP","Sort=A","Dates=H","DateFormat=P","Fill=—","Direction=H","UseDPDF=Y")</f>
        <v>#NAME?</v>
      </c>
      <c r="DE579" s="5" t="e">
        <f ca="1">_xll.BDH($C$578,"BS_INVENTORIES","FQ1 2014","FQ1 2014","Currency=INR","Period=FQ","BEST_FPERIOD_OVERRIDE=FQ","FILING_STATUS=OR","EQY_CONSOLIDATED=Y","SCALING_FORMAT=MLN","Sort=A","Dates=H","DateFormat=P","Fill=—","Direction=H","UseDPDF=Y")</f>
        <v>#NAME?</v>
      </c>
      <c r="DF579" s="3" t="e">
        <f ca="1">_xll.BDH($C$578,"INVTRY_RAW_MATERIALS","FQ1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579" s="3" t="e">
        <f ca="1">_xll.BDH($C$578,"INVTRY_IN_PROGRESS","FQ1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579" s="3" t="e">
        <f ca="1">_xll.BDH($C$578,"INVTRY_FINISHED_GOODS","FQ1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579" s="3" t="e">
        <f ca="1">_xll.BDH($C$578,"BS_OTHER_INV","FQ1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580" spans="1:113" x14ac:dyDescent="0.3">
      <c r="A580" s="6"/>
      <c r="B580" s="6"/>
      <c r="C580" s="6"/>
      <c r="D580" s="6"/>
      <c r="E580" t="s">
        <v>79</v>
      </c>
      <c r="F580" t="e">
        <f ca="1">_xll.BDH($C$578,"RETURN_COM_EQY","FQ2 2014","FQ2 2014","Currency=INR","Period=FQ","BEST_FPERIOD_OVERRIDE=FQ","FILING_STATUS=OR","EQY_CONSOLIDATED=Y","FA_ADJUSTED=GAAP","Sort=A","Dates=H","DateFormat=P","Fill=—","Direction=H","UseDPDF=Y")</f>
        <v>#NAME?</v>
      </c>
      <c r="G580" t="e">
        <f ca="1">_xll.BDH($C$578,"RETURN_ON_ASSET","FQ2 2014","FQ2 2014","Currency=INR","Period=FQ","BEST_FPERIOD_OVERRIDE=FQ","FILING_STATUS=OR","EQY_CONSOLIDATED=Y","FA_ADJUSTED=GAAP","Sort=A","Dates=H","DateFormat=P","Fill=—","Direction=H","UseDPDF=Y")</f>
        <v>#NAME?</v>
      </c>
      <c r="H580" t="e">
        <f ca="1">_xll.BDH($C$578,"RETURN_ON_CAP","FQ2 2014","FQ2 2014","Currency=INR","Period=FQ","BEST_FPERIOD_OVERRIDE=FQ","FILING_STATUS=OR","EQY_CONSOLIDATED=Y","FA_ADJUSTED=GAAP","Sort=A","Dates=H","DateFormat=P","Fill=—","Direction=H","UseDPDF=Y")</f>
        <v>#NAME?</v>
      </c>
      <c r="I580" t="e">
        <f ca="1">_xll.BDH($C$578,"RETURN_ON_INV_CAPITAL","FQ2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580" t="e">
        <f ca="1">_xll.BDH($C$578,"EBITDA_TO_REVENUE","FQ2 2014","FQ2 2014","Currency=INR","Period=FQ","BEST_FPERIOD_OVERRIDE=FQ","FILING_STATUS=OR","EQY_CONSOLIDATED=Y","FA_ADJUSTED=GAAP","Sort=A","Dates=H","DateFormat=P","Fill=—","Direction=H","UseDPDF=Y")</f>
        <v>#NAME?</v>
      </c>
      <c r="K580" t="e">
        <f ca="1">_xll.BDH($C$578,"OPER_MARGIN","FQ2 2014","FQ2 2014","Currency=INR","Period=FQ","BEST_FPERIOD_OVERRIDE=FQ","FILING_STATUS=OR","EQY_CONSOLIDATED=Y","FA_ADJUSTED=GAAP","Sort=A","Dates=H","DateFormat=P","Fill=—","Direction=H","UseDPDF=Y")</f>
        <v>#NAME?</v>
      </c>
      <c r="L580" t="e">
        <f ca="1">_xll.BDH($C$578,"INCREMENTAL_OPERATING_MARGIN","FQ2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580" t="e">
        <f ca="1">_xll.BDH($C$578,"PRETAX_INC_TO_NET_SALES","FQ2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580" t="e">
        <f ca="1">_xll.BDH($C$578,"INC_BEF_XO_ITEMS_TO_NET_SALES","FQ2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580" t="e">
        <f ca="1">_xll.BDH($C$578,"PROF_MARGIN","FQ2 2014","FQ2 2014","Currency=INR","Period=FQ","BEST_FPERIOD_OVERRIDE=FQ","FILING_STATUS=OR","EQY_CONSOLIDATED=Y","FA_ADJUSTED=GAAP","Sort=A","Dates=H","DateFormat=P","Fill=—","Direction=H","UseDPDF=Y")</f>
        <v>#NAME?</v>
      </c>
      <c r="P580" t="e">
        <f ca="1">_xll.BDH($C$578,"NET_INCOME_TO_COMMON_MARGIN","FQ2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580" t="e">
        <f ca="1">_xll.BDH($C$578,"EFF_TAX_RATE","FQ2 2014","FQ2 2014","Currency=INR","Period=FQ","BEST_FPERIOD_OVERRIDE=FQ","FILING_STATUS=OR","EQY_CONSOLIDATED=Y","FA_ADJUSTED=GAAP","Sort=A","Dates=H","DateFormat=P","Fill=—","Direction=H","UseDPDF=Y")</f>
        <v>#NAME?</v>
      </c>
      <c r="R580" t="e">
        <f ca="1">_xll.BDH($C$578,"DVD_PAYOUT_RATIO","FQ2 2014","FQ2 2014","Currency=INR","Period=FQ","BEST_FPERIOD_OVERRIDE=FQ","FILING_STATUS=OR","EQY_CONSOLIDATED=Y","FA_ADJUSTED=GAAP","Sort=A","Dates=H","DateFormat=P","Fill=—","Direction=H","UseDPDF=Y")</f>
        <v>#NAME?</v>
      </c>
      <c r="S580" t="e">
        <f ca="1">_xll.BDH($C$578,"SUSTAIN_GROWTH_RT","FQ2 2014","FQ2 2014","Currency=INR","Period=FQ","BEST_FPERIOD_OVERRIDE=FQ","FILING_STATUS=OR","EQY_CONSOLIDATED=Y","FA_ADJUSTED=GAAP","Sort=A","Dates=H","DateFormat=P","Fill=—","Direction=H","UseDPDF=Y")</f>
        <v>#NAME?</v>
      </c>
      <c r="T580" s="2" t="e">
        <f ca="1">_xll.BDH($C$578,"SALES_GROWTH","FQ2 2014","FQ2 2014","Currency=INR","Period=FQ","BEST_FPERIOD_OVERRIDE=FQ","FILING_STATUS=OR","EQY_CONSOLIDATED=Y","FA_ADJUSTED=GAAP","Sort=A","Dates=H","DateFormat=P","Fill=—","Direction=H","UseDPDF=Y")</f>
        <v>#NAME?</v>
      </c>
      <c r="U580" s="2" t="e">
        <f ca="1">_xll.BDH($C$578,"EBITDA_GROWTH","FQ2 2014","FQ2 2014","Currency=INR","Period=FQ","BEST_FPERIOD_OVERRIDE=FQ","FILING_STATUS=OR","EQY_CONSOLIDATED=Y","FA_ADJUSTED=GAAP","Sort=A","Dates=H","DateFormat=P","Fill=—","Direction=H","UseDPDF=Y")</f>
        <v>#NAME?</v>
      </c>
      <c r="V580" s="2" t="e">
        <f ca="1">_xll.BDH($C$578,"OPER_INC_GROWTH","FQ2 2014","FQ2 2014","Currency=INR","Period=FQ","BEST_FPERIOD_OVERRIDE=FQ","FILING_STATUS=OR","EQY_CONSOLIDATED=Y","FA_ADJUSTED=GAAP","Sort=A","Dates=H","DateFormat=P","Fill=—","Direction=H","UseDPDF=Y")</f>
        <v>#NAME?</v>
      </c>
      <c r="W580" s="2" t="e">
        <f ca="1">_xll.BDH($C$578,"EARN_FOR_COM_GROWTH","FQ2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580" s="2" t="e">
        <f ca="1">_xll.BDH($C$578,"DILUTED_EPS_AFT_XO_ITEMS_GROWTH","FQ2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580" s="2" t="e">
        <f ca="1">_xll.BDH($C$578,"DIVIDEND_PER_SHARE_1_YEAR_GROWTH","FQ2 2014","FQ2 2014","Currency=INR","Period=FQ","BEST_FPERIOD_OVERRIDE=FQ","FILING_STATUS=OR","EQY_CONSOLIDATED=Y","Sort=A","Dates=H","DateFormat=P","Fill=—","Direction=H","UseDPDF=Y")</f>
        <v>#NAME?</v>
      </c>
      <c r="Z580" s="2" t="e">
        <f ca="1">_xll.BDH($C$578,"ACCOUNTS_RECEIVABLE_GROWTH","FQ2 2014","FQ2 2014","Currency=INR","Period=FQ","BEST_FPERIOD_OVERRIDE=FQ","FILING_STATUS=OR","EQY_CONSOLIDATED=Y","Sort=A","Dates=H","DateFormat=P","Fill=—","Direction=H","UseDPDF=Y")</f>
        <v>#NAME?</v>
      </c>
      <c r="AA580" s="2" t="e">
        <f ca="1">_xll.BDH($C$578,"INVENTORY_GROWTH","FQ2 2014","FQ2 2014","Currency=INR","Period=FQ","BEST_FPERIOD_OVERRIDE=FQ","FILING_STATUS=OR","EQY_CONSOLIDATED=Y","Sort=A","Dates=H","DateFormat=P","Fill=—","Direction=H","UseDPDF=Y")</f>
        <v>#NAME?</v>
      </c>
      <c r="AB580" s="2" t="e">
        <f ca="1">_xll.BDH($C$578,"NET_FIXED_ASSETS_1_YEAR_GROWTH","FQ2 2014","FQ2 2014","Currency=INR","Period=FQ","BEST_FPERIOD_OVERRIDE=FQ","FILING_STATUS=OR","EQY_CONSOLIDATED=Y","Sort=A","Dates=H","DateFormat=P","Fill=—","Direction=H","UseDPDF=Y")</f>
        <v>#NAME?</v>
      </c>
      <c r="AC580" s="2" t="e">
        <f ca="1">_xll.BDH($C$578,"ASSET_GROWTH","FQ2 2014","FQ2 2014","Currency=INR","Period=FQ","BEST_FPERIOD_OVERRIDE=FQ","FILING_STATUS=OR","EQY_CONSOLIDATED=Y","Sort=A","Dates=H","DateFormat=P","Fill=—","Direction=H","UseDPDF=Y")</f>
        <v>#NAME?</v>
      </c>
      <c r="AD580" s="2" t="e">
        <f ca="1">_xll.BDH($C$578,"MODIFIED_WORK_CAP_GROWTH","FQ2 2014","FQ2 2014","Currency=INR","Period=FQ","BEST_FPERIOD_OVERRIDE=FQ","FILING_STATUS=OR","EQY_CONSOLIDATED=Y","Sort=A","Dates=H","DateFormat=P","Fill=—","Direction=H","UseDPDF=Y")</f>
        <v>#NAME?</v>
      </c>
      <c r="AE580" s="2" t="e">
        <f ca="1">_xll.BDH($C$578,"WORK_CAP_GROWTH","FQ2 2014","FQ2 2014","Currency=INR","Period=FQ","BEST_FPERIOD_OVERRIDE=FQ","FILING_STATUS=OR","EQY_CONSOLIDATED=Y","Sort=A","Dates=H","DateFormat=P","Fill=—","Direction=H","UseDPDF=Y")</f>
        <v>#NAME?</v>
      </c>
      <c r="AF580" s="2" t="e">
        <f ca="1">_xll.BDH($C$578,"ACCOUNTS_PAYABLE_GROWTH_1YR","FQ2 2014","FQ2 2014","Currency=INR","Period=FQ","BEST_FPERIOD_OVERRIDE=FQ","FILING_STATUS=OR","EQY_CONSOLIDATED=Y","Sort=A","Dates=H","DateFormat=P","Fill=—","Direction=H","UseDPDF=Y")</f>
        <v>#NAME?</v>
      </c>
      <c r="AG580" s="2" t="e">
        <f ca="1">_xll.BDH($C$578,"SHORT_TERM_DEBT_1_YEAR_GROWTH","FQ2 2014","FQ2 2014","Currency=INR","Period=FQ","BEST_FPERIOD_OVERRIDE=FQ","FILING_STATUS=OR","EQY_CONSOLIDATED=Y","Sort=A","Dates=H","DateFormat=P","Fill=—","Direction=H","UseDPDF=Y")</f>
        <v>#NAME?</v>
      </c>
      <c r="AH580" s="2" t="e">
        <f ca="1">_xll.BDH($C$578,"TOTAL_DEBT_1_YEAR_GROWTH","FQ2 2014","FQ2 2014","Currency=INR","Period=FQ","BEST_FPERIOD_OVERRIDE=FQ","FILING_STATUS=OR","EQY_CONSOLIDATED=Y","Sort=A","Dates=H","DateFormat=P","Fill=—","Direction=H","UseDPDF=Y")</f>
        <v>#NAME?</v>
      </c>
      <c r="AI580" s="2" t="e">
        <f ca="1">_xll.BDH($C$578,"TOTAL_EQUITY_1_YEAR_GROWTH","FQ2 2014","FQ2 2014","Currency=INR","Period=FQ","BEST_FPERIOD_OVERRIDE=FQ","FILING_STATUS=OR","EQY_CONSOLIDATED=Y","Sort=A","Dates=H","DateFormat=P","Fill=—","Direction=H","UseDPDF=Y")</f>
        <v>#NAME?</v>
      </c>
      <c r="AJ580" s="2" t="e">
        <f ca="1">_xll.BDH($C$578,"GROWTH_IN_CAP","FQ2 2014","FQ2 2014","Currency=INR","Period=FQ","BEST_FPERIOD_OVERRIDE=FQ","FILING_STATUS=OR","EQY_CONSOLIDATED=Y","Sort=A","Dates=H","DateFormat=P","Fill=—","Direction=H","UseDPDF=Y")</f>
        <v>#NAME?</v>
      </c>
      <c r="AK580" s="2" t="e">
        <f ca="1">_xll.BDH($C$578,"BVPS_GROWTH","FQ2 2014","FQ2 2014","Currency=INR","Period=FQ","BEST_FPERIOD_OVERRIDE=FQ","FILING_STATUS=OR","EQY_CONSOLIDATED=Y","Sort=A","Dates=H","DateFormat=P","Fill=—","Direction=H","UseDPDF=Y")</f>
        <v>#NAME?</v>
      </c>
      <c r="AL580" s="2" t="e">
        <f ca="1">_xll.BDH($C$578,"CASH_FLOW_GROWTH","FQ2 2014","FQ2 2014","Currency=INR","Period=FQ","BEST_FPERIOD_OVERRIDE=FQ","FILING_STATUS=OR","EQY_CONSOLIDATED=Y","Sort=A","Dates=H","DateFormat=P","Fill=—","Direction=H","UseDPDF=Y")</f>
        <v>#NAME?</v>
      </c>
      <c r="AM580" s="2" t="e">
        <f ca="1">_xll.BDH($C$578,"GEO_GROW_NET_SALES","FQ2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580" s="2" t="e">
        <f ca="1">_xll.BDH($C$578,"GEO_GROW_EBITDA","FQ2 2014","FQ2 2014","Currency=INR","Period=FQ","BEST_FPERIOD_OVERRIDE=FQ","FILING_STATUS=OR","EQY_CONSOLIDATED=Y","FA_ADJUSTED=GAAP","Sort=A","Dates=H","DateFormat=P","Fill=—","Direction=H","UseDPDF=Y")</f>
        <v>#NAME?</v>
      </c>
      <c r="AO580" s="2" t="e">
        <f ca="1">_xll.BDH($C$578,"GEO_GROW_OPER_INC","FQ2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580" s="2" t="e">
        <f ca="1">_xll.BDH($C$578,"NET_INCOME_TO_COMMON_5_YR_GROWTH","FQ2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580" s="2" t="e">
        <f ca="1">_xll.BDH($C$578,"5Y_GEO_GROWTH_DILUTED_EPS","FQ2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580" s="2" t="e">
        <f ca="1">_xll.BDH($C$578,"GEO_GROW_DVD_PER_SH","FQ2 2014","FQ2 2014","Currency=INR","Period=FQ","BEST_FPERIOD_OVERRIDE=FQ","FILING_STATUS=OR","EQY_CONSOLIDATED=Y","Sort=A","Dates=H","DateFormat=P","Fill=—","Direction=H","UseDPDF=Y")</f>
        <v>#NAME?</v>
      </c>
      <c r="AS580" s="2" t="e">
        <f ca="1">_xll.BDH($C$578,"ACCOUNTS_RECEIVABLE_5_YR_GROWTH","FQ2 2014","FQ2 2014","Currency=INR","Period=FQ","BEST_FPERIOD_OVERRIDE=FQ","FILING_STATUS=OR","EQY_CONSOLIDATED=Y","Sort=A","Dates=H","DateFormat=P","Fill=—","Direction=H","UseDPDF=Y")</f>
        <v>#NAME?</v>
      </c>
      <c r="AT580" s="2" t="e">
        <f ca="1">_xll.BDH($C$578,"INVENTORY_5_YEAR_GROWTH","FQ2 2014","FQ2 2014","Currency=INR","Period=FQ","BEST_FPERIOD_OVERRIDE=FQ","FILING_STATUS=OR","EQY_CONSOLIDATED=Y","Sort=A","Dates=H","DateFormat=P","Fill=—","Direction=H","UseDPDF=Y")</f>
        <v>#NAME?</v>
      </c>
      <c r="AU580" s="2" t="e">
        <f ca="1">_xll.BDH($C$578,"NET_FIXED_ASSETS_5_YEAR_GROWTH","FQ2 2014","FQ2 2014","Currency=INR","Period=FQ","BEST_FPERIOD_OVERRIDE=FQ","FILING_STATUS=OR","EQY_CONSOLIDATED=Y","Sort=A","Dates=H","DateFormat=P","Fill=—","Direction=H","UseDPDF=Y")</f>
        <v>#NAME?</v>
      </c>
      <c r="AV580" s="2" t="e">
        <f ca="1">_xll.BDH($C$578,"GEO_GROW_TOT_ASSET","FQ2 2014","FQ2 2014","Currency=INR","Period=FQ","BEST_FPERIOD_OVERRIDE=FQ","FILING_STATUS=OR","EQY_CONSOLIDATED=Y","Sort=A","Dates=H","DateFormat=P","Fill=—","Direction=H","UseDPDF=Y")</f>
        <v>#NAME?</v>
      </c>
      <c r="AW580" s="2" t="e">
        <f ca="1">_xll.BDH($C$578,"MODIFIED_WORKING_CPTL_5YR_GRWTH","FQ2 2014","FQ2 2014","Currency=INR","Period=FQ","BEST_FPERIOD_OVERRIDE=FQ","FILING_STATUS=OR","EQY_CONSOLIDATED=Y","Sort=A","Dates=H","DateFormat=P","Fill=—","Direction=H","UseDPDF=Y")</f>
        <v>#NAME?</v>
      </c>
      <c r="AX580" s="2" t="e">
        <f ca="1">_xll.BDH($C$578,"WORKING_CAPITAL_5_YEAR_GROWTH","FQ2 2014","FQ2 2014","Currency=INR","Period=FQ","BEST_FPERIOD_OVERRIDE=FQ","FILING_STATUS=OR","EQY_CONSOLIDATED=Y","Sort=A","Dates=H","DateFormat=P","Fill=—","Direction=H","UseDPDF=Y")</f>
        <v>#NAME?</v>
      </c>
      <c r="AY580" s="2" t="e">
        <f ca="1">_xll.BDH($C$578,"ACCOUNTS_PAYABLE_5_YEAR_GROWTH","FQ2 2014","FQ2 2014","Currency=INR","Period=FQ","BEST_FPERIOD_OVERRIDE=FQ","FILING_STATUS=OR","EQY_CONSOLIDATED=Y","Sort=A","Dates=H","DateFormat=P","Fill=—","Direction=H","UseDPDF=Y")</f>
        <v>#NAME?</v>
      </c>
      <c r="AZ580" s="2" t="e">
        <f ca="1">_xll.BDH($C$578,"SHORT_TERM_DEBT_5_YEAR_GROWTH","FQ2 2014","FQ2 2014","Currency=INR","Period=FQ","BEST_FPERIOD_OVERRIDE=FQ","FILING_STATUS=OR","EQY_CONSOLIDATED=Y","Sort=A","Dates=H","DateFormat=P","Fill=—","Direction=H","UseDPDF=Y")</f>
        <v>#NAME?</v>
      </c>
      <c r="BA580" s="2" t="e">
        <f ca="1">_xll.BDH($C$578,"TOTAL_DEBT_5_YEAR_GROWTH","FQ2 2014","FQ2 2014","Currency=INR","Period=FQ","BEST_FPERIOD_OVERRIDE=FQ","FILING_STATUS=OR","EQY_CONSOLIDATED=Y","Sort=A","Dates=H","DateFormat=P","Fill=—","Direction=H","UseDPDF=Y")</f>
        <v>#NAME?</v>
      </c>
      <c r="BB580" s="2" t="e">
        <f ca="1">_xll.BDH($C$578,"GEO_GROW_TOT_SHRHLDR_EQY","FQ2 2014","FQ2 2014","Currency=INR","Period=FQ","BEST_FPERIOD_OVERRIDE=FQ","FILING_STATUS=OR","EQY_CONSOLIDATED=Y","Sort=A","Dates=H","DateFormat=P","Fill=—","Direction=H","UseDPDF=Y")</f>
        <v>#NAME?</v>
      </c>
      <c r="BC580" s="2" t="e">
        <f ca="1">_xll.BDH($C$578,"TOTAL_CAPITAL_5_YEAR_GROWTH","FQ2 2014","FQ2 2014","Currency=INR","Period=FQ","BEST_FPERIOD_OVERRIDE=FQ","FILING_STATUS=OR","EQY_CONSOLIDATED=Y","Sort=A","Dates=H","DateFormat=P","Fill=—","Direction=H","UseDPDF=Y")</f>
        <v>#NAME?</v>
      </c>
      <c r="BD580" s="2" t="e">
        <f ca="1">_xll.BDH($C$578,"GEO_GROW_BOOK_VAL","FQ2 2014","FQ2 2014","Currency=INR","Period=FQ","BEST_FPERIOD_OVERRIDE=FQ","FILING_STATUS=OR","EQY_CONSOLIDATED=Y","Sort=A","Dates=H","DateFormat=P","Fill=—","Direction=H","UseDPDF=Y")</f>
        <v>#NAME?</v>
      </c>
      <c r="BE580" s="2" t="e">
        <f ca="1">_xll.BDH($C$578,"GEO_GROW_CASH_OPER_ACT","FQ2 2014","FQ2 2014","Currency=INR","Period=FQ","BEST_FPERIOD_OVERRIDE=FQ","FILING_STATUS=OR","EQY_CONSOLIDATED=Y","Sort=A","Dates=H","DateFormat=P","Fill=—","Direction=H","UseDPDF=Y")</f>
        <v>#NAME?</v>
      </c>
      <c r="BF580" s="2" t="e">
        <f ca="1">_xll.BDH($C$578,"REVENUE_SEQUENTIAL_GROWTH","FQ2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580" s="2" t="e">
        <f ca="1">_xll.BDH($C$578,"EBITDA_SEQUENTIAL_GROWTH","FQ2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580" s="2" t="e">
        <f ca="1">_xll.BDH($C$578,"OPERATING_INCOME_SEQ_GROWTH","FQ2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580" s="2" t="e">
        <f ca="1">_xll.BDH($C$578,"NET_INCOME_TO_COMMON_SEQ_GROWTH","FQ2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580" s="2" t="e">
        <f ca="1">_xll.BDH($C$578,"EPS_DILUTED_SEQUENTIAL_GROWTH","FQ2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580" s="2" t="e">
        <f ca="1">_xll.BDH($C$578,"DPS_SEQUENTIAL_GROWTH","FQ2 2014","FQ2 2014","Currency=INR","Period=FQ","BEST_FPERIOD_OVERRIDE=FQ","FILING_STATUS=OR","EQY_CONSOLIDATED=Y","Sort=A","Dates=H","DateFormat=P","Fill=—","Direction=H","UseDPDF=Y")</f>
        <v>#NAME?</v>
      </c>
      <c r="BL580" s="2" t="e">
        <f ca="1">_xll.BDH($C$578,"ACCOUNTS_RECEIVABLE_SEQ_GROWTH","FQ2 2014","FQ2 2014","Currency=INR","Period=FQ","BEST_FPERIOD_OVERRIDE=FQ","FILING_STATUS=OR","EQY_CONSOLIDATED=Y","Sort=A","Dates=H","DateFormat=P","Fill=—","Direction=H","UseDPDF=Y")</f>
        <v>#NAME?</v>
      </c>
      <c r="BM580" s="2" t="e">
        <f ca="1">_xll.BDH($C$578,"INVENTORY_SEQUENTIAL_GROWTH","FQ2 2014","FQ2 2014","Currency=INR","Period=FQ","BEST_FPERIOD_OVERRIDE=FQ","FILING_STATUS=OR","EQY_CONSOLIDATED=Y","Sort=A","Dates=H","DateFormat=P","Fill=—","Direction=H","UseDPDF=Y")</f>
        <v>#NAME?</v>
      </c>
      <c r="BN580" s="2" t="e">
        <f ca="1">_xll.BDH($C$578,"FIXED_ASSETS_SEQUENTIAL_GROWTH","FQ2 2014","FQ2 2014","Currency=INR","Period=FQ","BEST_FPERIOD_OVERRIDE=FQ","FILING_STATUS=OR","EQY_CONSOLIDATED=Y","Sort=A","Dates=H","DateFormat=P","Fill=—","Direction=H","UseDPDF=Y")</f>
        <v>#NAME?</v>
      </c>
      <c r="BO580" s="2" t="e">
        <f ca="1">_xll.BDH($C$578,"TOTAL_ASSETS_SEQUENTIAL_GROWTH","FQ2 2014","FQ2 2014","Currency=INR","Period=FQ","BEST_FPERIOD_OVERRIDE=FQ","FILING_STATUS=OR","EQY_CONSOLIDATED=Y","Sort=A","Dates=H","DateFormat=P","Fill=—","Direction=H","UseDPDF=Y")</f>
        <v>#NAME?</v>
      </c>
      <c r="BP580" s="2" t="e">
        <f ca="1">_xll.BDH($C$578,"MODIFIED_WORKING_CPTL_SEQ_GRWTH","FQ2 2014","FQ2 2014","Currency=INR","Period=FQ","BEST_FPERIOD_OVERRIDE=FQ","FILING_STATUS=OR","EQY_CONSOLIDATED=Y","Sort=A","Dates=H","DateFormat=P","Fill=—","Direction=H","UseDPDF=Y")</f>
        <v>#NAME?</v>
      </c>
      <c r="BQ580" s="2" t="e">
        <f ca="1">_xll.BDH($C$578,"WORKING_CAPITAL_SEQ_GROWTH","FQ2 2014","FQ2 2014","Currency=INR","Period=FQ","BEST_FPERIOD_OVERRIDE=FQ","FILING_STATUS=OR","EQY_CONSOLIDATED=Y","Sort=A","Dates=H","DateFormat=P","Fill=—","Direction=H","UseDPDF=Y")</f>
        <v>#NAME?</v>
      </c>
      <c r="BR580" s="2" t="e">
        <f ca="1">_xll.BDH($C$578,"ACCOUNTS_PAYABLE_SEQ_GROWTH","FQ2 2014","FQ2 2014","Currency=INR","Period=FQ","BEST_FPERIOD_OVERRIDE=FQ","FILING_STATUS=OR","EQY_CONSOLIDATED=Y","Sort=A","Dates=H","DateFormat=P","Fill=—","Direction=H","UseDPDF=Y")</f>
        <v>#NAME?</v>
      </c>
      <c r="BS580" s="2" t="e">
        <f ca="1">_xll.BDH($C$578,"ST_DEBT_SEQUENTIAL_GROWTH","FQ2 2014","FQ2 2014","Currency=INR","Period=FQ","BEST_FPERIOD_OVERRIDE=FQ","FILING_STATUS=OR","EQY_CONSOLIDATED=Y","Sort=A","Dates=H","DateFormat=P","Fill=—","Direction=H","UseDPDF=Y")</f>
        <v>#NAME?</v>
      </c>
      <c r="BT580" s="2" t="e">
        <f ca="1">_xll.BDH($C$578,"TOTAL_DEBT_SEQUENTIAL_GROWTH","FQ2 2014","FQ2 2014","Currency=INR","Period=FQ","BEST_FPERIOD_OVERRIDE=FQ","FILING_STATUS=OR","EQY_CONSOLIDATED=Y","Sort=A","Dates=H","DateFormat=P","Fill=—","Direction=H","UseDPDF=Y")</f>
        <v>#NAME?</v>
      </c>
      <c r="BU580" s="2" t="e">
        <f ca="1">_xll.BDH($C$578,"TOTAL_EQUITY_SEQUENTIAL_GROWTH","FQ2 2014","FQ2 2014","Currency=INR","Period=FQ","BEST_FPERIOD_OVERRIDE=FQ","FILING_STATUS=OR","EQY_CONSOLIDATED=Y","Sort=A","Dates=H","DateFormat=P","Fill=—","Direction=H","UseDPDF=Y")</f>
        <v>#NAME?</v>
      </c>
      <c r="BV580" s="2" t="e">
        <f ca="1">_xll.BDH($C$578,"TOTAL_CAPITAL_SEQUENTIAL_GROWTH","FQ2 2014","FQ2 2014","Currency=INR","Period=FQ","BEST_FPERIOD_OVERRIDE=FQ","FILING_STATUS=OR","EQY_CONSOLIDATED=Y","Sort=A","Dates=H","DateFormat=P","Fill=—","Direction=H","UseDPDF=Y")</f>
        <v>#NAME?</v>
      </c>
      <c r="BW580" s="2" t="e">
        <f ca="1">_xll.BDH($C$578,"BPS_SEQUENTIAL_GROWTH","FQ2 2014","FQ2 2014","Currency=INR","Period=FQ","BEST_FPERIOD_OVERRIDE=FQ","FILING_STATUS=OR","EQY_CONSOLIDATED=Y","Sort=A","Dates=H","DateFormat=P","Fill=—","Direction=H","UseDPDF=Y")</f>
        <v>#NAME?</v>
      </c>
      <c r="BX580" s="2" t="e">
        <f ca="1">_xll.BDH($C$578,"CFO_SEQUENTIAL_GROWTH","FQ2 2014","FQ2 2014","Currency=INR","Period=FQ","BEST_FPERIOD_OVERRIDE=FQ","FILING_STATUS=OR","EQY_CONSOLIDATED=Y","Sort=A","Dates=H","DateFormat=P","Fill=—","Direction=H","UseDPDF=Y")</f>
        <v>#NAME?</v>
      </c>
      <c r="BY580" s="3" t="e">
        <f ca="1">_xll.BDH($C$578,"SHORT_AND_LONG_TERM_DEBT","FQ2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580" s="3" t="e">
        <f ca="1">_xll.BDH($C$578,"BS_ST_BORROW","FQ2 2014","FQ2 2014","Currency=INR","Period=FQ","BEST_FPERIOD_OVERRIDE=FQ","FILING_STATUS=OR","EQY_CONSOLIDATED=Y","SCALING_FORMAT=MLN","Sort=A","Dates=H","DateFormat=P","Fill=—","Direction=H","UseDPDF=Y")</f>
        <v>#NAME?</v>
      </c>
      <c r="CA580" s="3" t="e">
        <f ca="1">_xll.BDH($C$578,"BS_LT_BORROW","FQ2 2014","FQ2 2014","Currency=INR","Period=FQ","BEST_FPERIOD_OVERRIDE=FQ","FILING_STATUS=OR","EQY_CONSOLIDATED=Y","SCALING_FORMAT=MLN","Sort=A","Dates=H","DateFormat=P","Fill=—","Direction=H","UseDPDF=Y")</f>
        <v>#NAME?</v>
      </c>
      <c r="CB580" s="2" t="e">
        <f ca="1">_xll.BDH($C$578,"TOT_DEBT_TO_EBITDA","FQ2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580" s="2" t="e">
        <f ca="1">_xll.BDH($C$578,"NET_DEBT_TO_EBITDA","FQ2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580" s="2" t="e">
        <f ca="1">_xll.BDH($C$578,"TOTAL_DEBT_TO_EBIT","FQ2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580" s="2" t="e">
        <f ca="1">_xll.BDH($C$578,"NET_DEBT_TO_EBIT","FQ2 2014","FQ2 2014","Currency=INR","Period=FQ","BEST_FPERIOD_OVERRIDE=FQ","FILING_STATUS=OR","EQY_CONSOLIDATED=Y","FA_ADJUSTED=GAAP","Sort=A","Dates=H","DateFormat=P","Fill=—","Direction=H","UseDPDF=Y")</f>
        <v>#NAME?</v>
      </c>
      <c r="CF580" s="2" t="e">
        <f ca="1">_xll.BDH($C$578,"EBITDA_TO_INTEREST_EXPN","FQ2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580" s="2" t="e">
        <f ca="1">_xll.BDH($C$578,"COM_EQY_TO_TOT_ASSET","FQ2 2014","FQ2 2014","Currency=INR","Period=FQ","BEST_FPERIOD_OVERRIDE=FQ","FILING_STATUS=OR","EQY_CONSOLIDATED=Y","Sort=A","Dates=H","DateFormat=P","Fill=—","Direction=H","UseDPDF=Y")</f>
        <v>#NAME?</v>
      </c>
      <c r="CH580" s="2" t="e">
        <f ca="1">_xll.BDH($C$578,"LT_DEBT_TO_TOT_EQY","FQ2 2014","FQ2 2014","Currency=INR","Period=FQ","BEST_FPERIOD_OVERRIDE=FQ","FILING_STATUS=OR","EQY_CONSOLIDATED=Y","Sort=A","Dates=H","DateFormat=P","Fill=—","Direction=H","UseDPDF=Y")</f>
        <v>#NAME?</v>
      </c>
      <c r="CI580" s="2" t="e">
        <f ca="1">_xll.BDH($C$578,"LT_DEBT_TO_TOT_CAP","FQ2 2014","FQ2 2014","Currency=INR","Period=FQ","BEST_FPERIOD_OVERRIDE=FQ","FILING_STATUS=OR","EQY_CONSOLIDATED=Y","Sort=A","Dates=H","DateFormat=P","Fill=—","Direction=H","UseDPDF=Y")</f>
        <v>#NAME?</v>
      </c>
      <c r="CJ580" s="2" t="e">
        <f ca="1">_xll.BDH($C$578,"LT_DEBT_TO_TOT_ASSET","FQ2 2014","FQ2 2014","Currency=INR","Period=FQ","BEST_FPERIOD_OVERRIDE=FQ","FILING_STATUS=OR","EQY_CONSOLIDATED=Y","Sort=A","Dates=H","DateFormat=P","Fill=—","Direction=H","UseDPDF=Y")</f>
        <v>#NAME?</v>
      </c>
      <c r="CK580" s="2" t="e">
        <f ca="1">_xll.BDH($C$578,"TOT_DEBT_TO_TOT_EQY","FQ2 2014","FQ2 2014","Currency=INR","Period=FQ","BEST_FPERIOD_OVERRIDE=FQ","FILING_STATUS=OR","EQY_CONSOLIDATED=Y","Sort=A","Dates=H","DateFormat=P","Fill=—","Direction=H","UseDPDF=Y")</f>
        <v>#NAME?</v>
      </c>
      <c r="CL580" s="2" t="e">
        <f ca="1">_xll.BDH($C$578,"TOT_DEBT_TO_TOT_CAP","FQ2 2014","FQ2 2014","Currency=INR","Period=FQ","BEST_FPERIOD_OVERRIDE=FQ","FILING_STATUS=OR","EQY_CONSOLIDATED=Y","Sort=A","Dates=H","DateFormat=P","Fill=—","Direction=H","UseDPDF=Y")</f>
        <v>#NAME?</v>
      </c>
      <c r="CM580" s="2" t="e">
        <f ca="1">_xll.BDH($C$578,"TOT_DEBT_TO_TOT_ASSET","FQ2 2014","FQ2 2014","Currency=INR","Period=FQ","BEST_FPERIOD_OVERRIDE=FQ","FILING_STATUS=OR","EQY_CONSOLIDATED=Y","Sort=A","Dates=H","DateFormat=P","Fill=—","Direction=H","UseDPDF=Y")</f>
        <v>#NAME?</v>
      </c>
      <c r="CN580" s="2" t="e">
        <f ca="1">_xll.BDH($C$578,"NET_DEBT_TO_SHRHLDR_EQTY","FQ2 2014","FQ2 2014","Currency=INR","Period=FQ","BEST_FPERIOD_OVERRIDE=FQ","FILING_STATUS=OR","EQY_CONSOLIDATED=Y","Sort=A","Dates=H","DateFormat=P","Fill=—","Direction=H","UseDPDF=Y")</f>
        <v>#NAME?</v>
      </c>
      <c r="CO580" s="2" t="e">
        <f ca="1">_xll.BDH($C$578,"NET_DEBT_%_CAPITAL","FQ2 2014","FQ2 2014","Currency=INR","Period=FQ","BEST_FPERIOD_OVERRIDE=FQ","FILING_STATUS=OR","EQY_CONSOLIDATED=Y","Sort=A","Dates=H","DateFormat=P","Fill=—","Direction=H","UseDPDF=Y")</f>
        <v>#NAME?</v>
      </c>
      <c r="CP580" s="3" t="e">
        <f ca="1">_xll.BDH($C$578,"EBITDA","FQ2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580" s="3" t="e">
        <f ca="1">_xll.BDH($C$578,"EBITDA_AFTER_CAPEX","FQ2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580" s="3" t="e">
        <f ca="1">_xll.BDH($C$578,"IS_OPER_INC","FQ2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580" s="2" t="e">
        <f ca="1">_xll.BDH($C$578,"CASH_RATIO","FQ2 2014","FQ2 2014","Currency=INR","Period=FQ","BEST_FPERIOD_OVERRIDE=FQ","FILING_STATUS=OR","EQY_CONSOLIDATED=Y","Sort=A","Dates=H","DateFormat=P","Fill=—","Direction=H","UseDPDF=Y")</f>
        <v>#NAME?</v>
      </c>
      <c r="CT580" s="2" t="e">
        <f ca="1">_xll.BDH($C$578,"CUR_RATIO","FQ2 2014","FQ2 2014","Currency=INR","Period=FQ","BEST_FPERIOD_OVERRIDE=FQ","FILING_STATUS=OR","EQY_CONSOLIDATED=Y","Sort=A","Dates=H","DateFormat=P","Fill=—","Direction=H","UseDPDF=Y")</f>
        <v>#NAME?</v>
      </c>
      <c r="CU580" s="2" t="e">
        <f ca="1">_xll.BDH($C$578,"QUICK_RATIO","FQ2 2014","FQ2 2014","Currency=INR","Period=FQ","BEST_FPERIOD_OVERRIDE=FQ","FILING_STATUS=OR","EQY_CONSOLIDATED=Y","Sort=A","Dates=H","DateFormat=P","Fill=—","Direction=H","UseDPDF=Y")</f>
        <v>#NAME?</v>
      </c>
      <c r="CV580" s="2" t="e">
        <f ca="1">_xll.BDH($C$578,"ALTMAN_Z_SCORE","FQ2 2014","FQ2 2014","Currency=INR","Period=FQ","BEST_FPERIOD_OVERRIDE=FQ","FILING_STATUS=OR","EQY_CONSOLIDATED=Y","Sort=A","Dates=H","DateFormat=P","Fill=—","Direction=H","UseDPDF=Y")</f>
        <v>#NAME?</v>
      </c>
      <c r="CW580" s="4" t="e">
        <f ca="1">_xll.BDH($C$578,"ACCT_RCV_TURN","FQ2 2014","FQ2 2014","Currency=INR","Period=FQ","BEST_FPERIOD_OVERRIDE=FQ","FILING_STATUS=OR","EQY_CONSOLIDATED=Y","FA_ADJUSTED=GAAP","Sort=A","Dates=H","DateFormat=P","Fill=—","Direction=H","UseDPDF=Y")</f>
        <v>#NAME?</v>
      </c>
      <c r="CX580" s="2" t="e">
        <f ca="1">_xll.BDH($C$578,"ACCT_RCV_DAYS","FQ2 2014","FQ2 2014","Currency=INR","Period=FQ","BEST_FPERIOD_OVERRIDE=FQ","FILING_STATUS=OR","EQY_CONSOLIDATED=Y","FA_ADJUSTED=GAAP","Sort=A","Dates=H","DateFormat=P","Fill=—","Direction=H","UseDPDF=Y")</f>
        <v>#NAME?</v>
      </c>
      <c r="CY580" s="4" t="e">
        <f ca="1">_xll.BDH($C$578,"INVENT_TURN","FQ2 2014","FQ2 2014","Currency=INR","Period=FQ","BEST_FPERIOD_OVERRIDE=FQ","FILING_STATUS=OR","EQY_CONSOLIDATED=Y","FA_ADJUSTED=GAAP","Sort=A","Dates=H","DateFormat=P","Fill=—","Direction=H","UseDPDF=Y")</f>
        <v>#NAME?</v>
      </c>
      <c r="CZ580" s="2" t="e">
        <f ca="1">_xll.BDH($C$578,"INVENT_DAYS","FQ2 2014","FQ2 2014","Currency=INR","Period=FQ","BEST_FPERIOD_OVERRIDE=FQ","FILING_STATUS=OR","EQY_CONSOLIDATED=Y","FA_ADJUSTED=GAAP","Sort=A","Dates=H","DateFormat=P","Fill=—","Direction=H","UseDPDF=Y")</f>
        <v>#NAME?</v>
      </c>
      <c r="DA580" s="4" t="e">
        <f ca="1">_xll.BDH($C$578,"ACCOUNTS_PAYABLE_TURNOVER","FQ2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580" s="2" t="e">
        <f ca="1">_xll.BDH($C$578,"ACCOUNTS_PAYABLE_TURNOVER_DAYS","FQ2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580" s="4" t="e">
        <f ca="1">_xll.BDH($C$578,"CASH_CONVERSION_CYCLE","FQ2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580" s="4" t="e">
        <f ca="1">_xll.BDH($C$578,"INV_TO_CASH_DAYS","FQ2 2014","FQ2 2014","Currency=INR","Period=FQ","BEST_FPERIOD_OVERRIDE=FQ","FILING_STATUS=OR","EQY_CONSOLIDATED=Y","FA_ADJUSTED=GAAP","Sort=A","Dates=H","DateFormat=P","Fill=—","Direction=H","UseDPDF=Y")</f>
        <v>#NAME?</v>
      </c>
      <c r="DE580" s="5" t="e">
        <f ca="1">_xll.BDH($C$578,"BS_INVENTORIES","FQ2 2014","FQ2 2014","Currency=INR","Period=FQ","BEST_FPERIOD_OVERRIDE=FQ","FILING_STATUS=OR","EQY_CONSOLIDATED=Y","SCALING_FORMAT=MLN","Sort=A","Dates=H","DateFormat=P","Fill=—","Direction=H","UseDPDF=Y")</f>
        <v>#NAME?</v>
      </c>
      <c r="DF580" s="3" t="e">
        <f ca="1">_xll.BDH($C$578,"INVTRY_RAW_MATERIALS","FQ2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580" s="3" t="e">
        <f ca="1">_xll.BDH($C$578,"INVTRY_IN_PROGRESS","FQ2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580" s="3" t="e">
        <f ca="1">_xll.BDH($C$578,"INVTRY_FINISHED_GOODS","FQ2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580" s="3" t="e">
        <f ca="1">_xll.BDH($C$578,"BS_OTHER_INV","FQ2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581" spans="1:113" x14ac:dyDescent="0.3">
      <c r="A581" s="6"/>
      <c r="B581" s="6"/>
      <c r="C581" s="6"/>
      <c r="D581" s="6"/>
      <c r="E581" t="s">
        <v>80</v>
      </c>
      <c r="F581" t="e">
        <f ca="1">_xll.BDH($C$578,"RETURN_COM_EQY","FQ3 2014","FQ3 2014","Currency=INR","Period=FQ","BEST_FPERIOD_OVERRIDE=FQ","FILING_STATUS=OR","EQY_CONSOLIDATED=Y","FA_ADJUSTED=GAAP","Sort=A","Dates=H","DateFormat=P","Fill=—","Direction=H","UseDPDF=Y")</f>
        <v>#NAME?</v>
      </c>
      <c r="G581" t="e">
        <f ca="1">_xll.BDH($C$578,"RETURN_ON_ASSET","FQ3 2014","FQ3 2014","Currency=INR","Period=FQ","BEST_FPERIOD_OVERRIDE=FQ","FILING_STATUS=OR","EQY_CONSOLIDATED=Y","FA_ADJUSTED=GAAP","Sort=A","Dates=H","DateFormat=P","Fill=—","Direction=H","UseDPDF=Y")</f>
        <v>#NAME?</v>
      </c>
      <c r="H581" t="e">
        <f ca="1">_xll.BDH($C$578,"RETURN_ON_CAP","FQ3 2014","FQ3 2014","Currency=INR","Period=FQ","BEST_FPERIOD_OVERRIDE=FQ","FILING_STATUS=OR","EQY_CONSOLIDATED=Y","FA_ADJUSTED=GAAP","Sort=A","Dates=H","DateFormat=P","Fill=—","Direction=H","UseDPDF=Y")</f>
        <v>#NAME?</v>
      </c>
      <c r="I581" t="e">
        <f ca="1">_xll.BDH($C$578,"RETURN_ON_INV_CAPITAL","FQ3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581" t="e">
        <f ca="1">_xll.BDH($C$578,"EBITDA_TO_REVENUE","FQ3 2014","FQ3 2014","Currency=INR","Period=FQ","BEST_FPERIOD_OVERRIDE=FQ","FILING_STATUS=OR","EQY_CONSOLIDATED=Y","FA_ADJUSTED=GAAP","Sort=A","Dates=H","DateFormat=P","Fill=—","Direction=H","UseDPDF=Y")</f>
        <v>#NAME?</v>
      </c>
      <c r="K581" t="e">
        <f ca="1">_xll.BDH($C$578,"OPER_MARGIN","FQ3 2014","FQ3 2014","Currency=INR","Period=FQ","BEST_FPERIOD_OVERRIDE=FQ","FILING_STATUS=OR","EQY_CONSOLIDATED=Y","FA_ADJUSTED=GAAP","Sort=A","Dates=H","DateFormat=P","Fill=—","Direction=H","UseDPDF=Y")</f>
        <v>#NAME?</v>
      </c>
      <c r="L581" t="e">
        <f ca="1">_xll.BDH($C$578,"INCREMENTAL_OPERATING_MARGIN","FQ3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581" t="e">
        <f ca="1">_xll.BDH($C$578,"PRETAX_INC_TO_NET_SALES","FQ3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581" t="e">
        <f ca="1">_xll.BDH($C$578,"INC_BEF_XO_ITEMS_TO_NET_SALES","FQ3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581" t="e">
        <f ca="1">_xll.BDH($C$578,"PROF_MARGIN","FQ3 2014","FQ3 2014","Currency=INR","Period=FQ","BEST_FPERIOD_OVERRIDE=FQ","FILING_STATUS=OR","EQY_CONSOLIDATED=Y","FA_ADJUSTED=GAAP","Sort=A","Dates=H","DateFormat=P","Fill=—","Direction=H","UseDPDF=Y")</f>
        <v>#NAME?</v>
      </c>
      <c r="P581" t="e">
        <f ca="1">_xll.BDH($C$578,"NET_INCOME_TO_COMMON_MARGIN","FQ3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581" t="e">
        <f ca="1">_xll.BDH($C$578,"EFF_TAX_RATE","FQ3 2014","FQ3 2014","Currency=INR","Period=FQ","BEST_FPERIOD_OVERRIDE=FQ","FILING_STATUS=OR","EQY_CONSOLIDATED=Y","FA_ADJUSTED=GAAP","Sort=A","Dates=H","DateFormat=P","Fill=—","Direction=H","UseDPDF=Y")</f>
        <v>#NAME?</v>
      </c>
      <c r="R581" t="e">
        <f ca="1">_xll.BDH($C$578,"DVD_PAYOUT_RATIO","FQ3 2014","FQ3 2014","Currency=INR","Period=FQ","BEST_FPERIOD_OVERRIDE=FQ","FILING_STATUS=OR","EQY_CONSOLIDATED=Y","FA_ADJUSTED=GAAP","Sort=A","Dates=H","DateFormat=P","Fill=—","Direction=H","UseDPDF=Y")</f>
        <v>#NAME?</v>
      </c>
      <c r="S581" t="e">
        <f ca="1">_xll.BDH($C$578,"SUSTAIN_GROWTH_RT","FQ3 2014","FQ3 2014","Currency=INR","Period=FQ","BEST_FPERIOD_OVERRIDE=FQ","FILING_STATUS=OR","EQY_CONSOLIDATED=Y","FA_ADJUSTED=GAAP","Sort=A","Dates=H","DateFormat=P","Fill=—","Direction=H","UseDPDF=Y")</f>
        <v>#NAME?</v>
      </c>
      <c r="T581" s="2" t="e">
        <f ca="1">_xll.BDH($C$578,"SALES_GROWTH","FQ3 2014","FQ3 2014","Currency=INR","Period=FQ","BEST_FPERIOD_OVERRIDE=FQ","FILING_STATUS=OR","EQY_CONSOLIDATED=Y","FA_ADJUSTED=GAAP","Sort=A","Dates=H","DateFormat=P","Fill=—","Direction=H","UseDPDF=Y")</f>
        <v>#NAME?</v>
      </c>
      <c r="U581" s="2" t="e">
        <f ca="1">_xll.BDH($C$578,"EBITDA_GROWTH","FQ3 2014","FQ3 2014","Currency=INR","Period=FQ","BEST_FPERIOD_OVERRIDE=FQ","FILING_STATUS=OR","EQY_CONSOLIDATED=Y","FA_ADJUSTED=GAAP","Sort=A","Dates=H","DateFormat=P","Fill=—","Direction=H","UseDPDF=Y")</f>
        <v>#NAME?</v>
      </c>
      <c r="V581" s="2" t="e">
        <f ca="1">_xll.BDH($C$578,"OPER_INC_GROWTH","FQ3 2014","FQ3 2014","Currency=INR","Period=FQ","BEST_FPERIOD_OVERRIDE=FQ","FILING_STATUS=OR","EQY_CONSOLIDATED=Y","FA_ADJUSTED=GAAP","Sort=A","Dates=H","DateFormat=P","Fill=—","Direction=H","UseDPDF=Y")</f>
        <v>#NAME?</v>
      </c>
      <c r="W581" s="2" t="e">
        <f ca="1">_xll.BDH($C$578,"EARN_FOR_COM_GROWTH","FQ3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581" s="2" t="e">
        <f ca="1">_xll.BDH($C$578,"DILUTED_EPS_AFT_XO_ITEMS_GROWTH","FQ3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581" s="2" t="e">
        <f ca="1">_xll.BDH($C$578,"DIVIDEND_PER_SHARE_1_YEAR_GROWTH","FQ3 2014","FQ3 2014","Currency=INR","Period=FQ","BEST_FPERIOD_OVERRIDE=FQ","FILING_STATUS=OR","EQY_CONSOLIDATED=Y","Sort=A","Dates=H","DateFormat=P","Fill=—","Direction=H","UseDPDF=Y")</f>
        <v>#NAME?</v>
      </c>
      <c r="Z581" s="2" t="e">
        <f ca="1">_xll.BDH($C$578,"ACCOUNTS_RECEIVABLE_GROWTH","FQ3 2014","FQ3 2014","Currency=INR","Period=FQ","BEST_FPERIOD_OVERRIDE=FQ","FILING_STATUS=OR","EQY_CONSOLIDATED=Y","Sort=A","Dates=H","DateFormat=P","Fill=—","Direction=H","UseDPDF=Y")</f>
        <v>#NAME?</v>
      </c>
      <c r="AA581" s="2" t="e">
        <f ca="1">_xll.BDH($C$578,"INVENTORY_GROWTH","FQ3 2014","FQ3 2014","Currency=INR","Period=FQ","BEST_FPERIOD_OVERRIDE=FQ","FILING_STATUS=OR","EQY_CONSOLIDATED=Y","Sort=A","Dates=H","DateFormat=P","Fill=—","Direction=H","UseDPDF=Y")</f>
        <v>#NAME?</v>
      </c>
      <c r="AB581" s="2" t="e">
        <f ca="1">_xll.BDH($C$578,"NET_FIXED_ASSETS_1_YEAR_GROWTH","FQ3 2014","FQ3 2014","Currency=INR","Period=FQ","BEST_FPERIOD_OVERRIDE=FQ","FILING_STATUS=OR","EQY_CONSOLIDATED=Y","Sort=A","Dates=H","DateFormat=P","Fill=—","Direction=H","UseDPDF=Y")</f>
        <v>#NAME?</v>
      </c>
      <c r="AC581" s="2" t="e">
        <f ca="1">_xll.BDH($C$578,"ASSET_GROWTH","FQ3 2014","FQ3 2014","Currency=INR","Period=FQ","BEST_FPERIOD_OVERRIDE=FQ","FILING_STATUS=OR","EQY_CONSOLIDATED=Y","Sort=A","Dates=H","DateFormat=P","Fill=—","Direction=H","UseDPDF=Y")</f>
        <v>#NAME?</v>
      </c>
      <c r="AD581" s="2" t="e">
        <f ca="1">_xll.BDH($C$578,"MODIFIED_WORK_CAP_GROWTH","FQ3 2014","FQ3 2014","Currency=INR","Period=FQ","BEST_FPERIOD_OVERRIDE=FQ","FILING_STATUS=OR","EQY_CONSOLIDATED=Y","Sort=A","Dates=H","DateFormat=P","Fill=—","Direction=H","UseDPDF=Y")</f>
        <v>#NAME?</v>
      </c>
      <c r="AE581" s="2" t="e">
        <f ca="1">_xll.BDH($C$578,"WORK_CAP_GROWTH","FQ3 2014","FQ3 2014","Currency=INR","Period=FQ","BEST_FPERIOD_OVERRIDE=FQ","FILING_STATUS=OR","EQY_CONSOLIDATED=Y","Sort=A","Dates=H","DateFormat=P","Fill=—","Direction=H","UseDPDF=Y")</f>
        <v>#NAME?</v>
      </c>
      <c r="AF581" s="2" t="e">
        <f ca="1">_xll.BDH($C$578,"ACCOUNTS_PAYABLE_GROWTH_1YR","FQ3 2014","FQ3 2014","Currency=INR","Period=FQ","BEST_FPERIOD_OVERRIDE=FQ","FILING_STATUS=OR","EQY_CONSOLIDATED=Y","Sort=A","Dates=H","DateFormat=P","Fill=—","Direction=H","UseDPDF=Y")</f>
        <v>#NAME?</v>
      </c>
      <c r="AG581" s="2" t="e">
        <f ca="1">_xll.BDH($C$578,"SHORT_TERM_DEBT_1_YEAR_GROWTH","FQ3 2014","FQ3 2014","Currency=INR","Period=FQ","BEST_FPERIOD_OVERRIDE=FQ","FILING_STATUS=OR","EQY_CONSOLIDATED=Y","Sort=A","Dates=H","DateFormat=P","Fill=—","Direction=H","UseDPDF=Y")</f>
        <v>#NAME?</v>
      </c>
      <c r="AH581" s="2" t="e">
        <f ca="1">_xll.BDH($C$578,"TOTAL_DEBT_1_YEAR_GROWTH","FQ3 2014","FQ3 2014","Currency=INR","Period=FQ","BEST_FPERIOD_OVERRIDE=FQ","FILING_STATUS=OR","EQY_CONSOLIDATED=Y","Sort=A","Dates=H","DateFormat=P","Fill=—","Direction=H","UseDPDF=Y")</f>
        <v>#NAME?</v>
      </c>
      <c r="AI581" s="2" t="e">
        <f ca="1">_xll.BDH($C$578,"TOTAL_EQUITY_1_YEAR_GROWTH","FQ3 2014","FQ3 2014","Currency=INR","Period=FQ","BEST_FPERIOD_OVERRIDE=FQ","FILING_STATUS=OR","EQY_CONSOLIDATED=Y","Sort=A","Dates=H","DateFormat=P","Fill=—","Direction=H","UseDPDF=Y")</f>
        <v>#NAME?</v>
      </c>
      <c r="AJ581" s="2" t="e">
        <f ca="1">_xll.BDH($C$578,"GROWTH_IN_CAP","FQ3 2014","FQ3 2014","Currency=INR","Period=FQ","BEST_FPERIOD_OVERRIDE=FQ","FILING_STATUS=OR","EQY_CONSOLIDATED=Y","Sort=A","Dates=H","DateFormat=P","Fill=—","Direction=H","UseDPDF=Y")</f>
        <v>#NAME?</v>
      </c>
      <c r="AK581" s="2" t="e">
        <f ca="1">_xll.BDH($C$578,"BVPS_GROWTH","FQ3 2014","FQ3 2014","Currency=INR","Period=FQ","BEST_FPERIOD_OVERRIDE=FQ","FILING_STATUS=OR","EQY_CONSOLIDATED=Y","Sort=A","Dates=H","DateFormat=P","Fill=—","Direction=H","UseDPDF=Y")</f>
        <v>#NAME?</v>
      </c>
      <c r="AL581" s="2" t="e">
        <f ca="1">_xll.BDH($C$578,"CASH_FLOW_GROWTH","FQ3 2014","FQ3 2014","Currency=INR","Period=FQ","BEST_FPERIOD_OVERRIDE=FQ","FILING_STATUS=OR","EQY_CONSOLIDATED=Y","Sort=A","Dates=H","DateFormat=P","Fill=—","Direction=H","UseDPDF=Y")</f>
        <v>#NAME?</v>
      </c>
      <c r="AM581" s="2" t="e">
        <f ca="1">_xll.BDH($C$578,"GEO_GROW_NET_SALES","FQ3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581" s="2" t="e">
        <f ca="1">_xll.BDH($C$578,"GEO_GROW_EBITDA","FQ3 2014","FQ3 2014","Currency=INR","Period=FQ","BEST_FPERIOD_OVERRIDE=FQ","FILING_STATUS=OR","EQY_CONSOLIDATED=Y","FA_ADJUSTED=GAAP","Sort=A","Dates=H","DateFormat=P","Fill=—","Direction=H","UseDPDF=Y")</f>
        <v>#NAME?</v>
      </c>
      <c r="AO581" s="2" t="e">
        <f ca="1">_xll.BDH($C$578,"GEO_GROW_OPER_INC","FQ3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581" s="2" t="e">
        <f ca="1">_xll.BDH($C$578,"NET_INCOME_TO_COMMON_5_YR_GROWTH","FQ3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581" s="2" t="e">
        <f ca="1">_xll.BDH($C$578,"5Y_GEO_GROWTH_DILUTED_EPS","FQ3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581" s="2" t="e">
        <f ca="1">_xll.BDH($C$578,"GEO_GROW_DVD_PER_SH","FQ3 2014","FQ3 2014","Currency=INR","Period=FQ","BEST_FPERIOD_OVERRIDE=FQ","FILING_STATUS=OR","EQY_CONSOLIDATED=Y","Sort=A","Dates=H","DateFormat=P","Fill=—","Direction=H","UseDPDF=Y")</f>
        <v>#NAME?</v>
      </c>
      <c r="AS581" s="2" t="e">
        <f ca="1">_xll.BDH($C$578,"ACCOUNTS_RECEIVABLE_5_YR_GROWTH","FQ3 2014","FQ3 2014","Currency=INR","Period=FQ","BEST_FPERIOD_OVERRIDE=FQ","FILING_STATUS=OR","EQY_CONSOLIDATED=Y","Sort=A","Dates=H","DateFormat=P","Fill=—","Direction=H","UseDPDF=Y")</f>
        <v>#NAME?</v>
      </c>
      <c r="AT581" s="2" t="e">
        <f ca="1">_xll.BDH($C$578,"INVENTORY_5_YEAR_GROWTH","FQ3 2014","FQ3 2014","Currency=INR","Period=FQ","BEST_FPERIOD_OVERRIDE=FQ","FILING_STATUS=OR","EQY_CONSOLIDATED=Y","Sort=A","Dates=H","DateFormat=P","Fill=—","Direction=H","UseDPDF=Y")</f>
        <v>#NAME?</v>
      </c>
      <c r="AU581" s="2" t="e">
        <f ca="1">_xll.BDH($C$578,"NET_FIXED_ASSETS_5_YEAR_GROWTH","FQ3 2014","FQ3 2014","Currency=INR","Period=FQ","BEST_FPERIOD_OVERRIDE=FQ","FILING_STATUS=OR","EQY_CONSOLIDATED=Y","Sort=A","Dates=H","DateFormat=P","Fill=—","Direction=H","UseDPDF=Y")</f>
        <v>#NAME?</v>
      </c>
      <c r="AV581" s="2" t="e">
        <f ca="1">_xll.BDH($C$578,"GEO_GROW_TOT_ASSET","FQ3 2014","FQ3 2014","Currency=INR","Period=FQ","BEST_FPERIOD_OVERRIDE=FQ","FILING_STATUS=OR","EQY_CONSOLIDATED=Y","Sort=A","Dates=H","DateFormat=P","Fill=—","Direction=H","UseDPDF=Y")</f>
        <v>#NAME?</v>
      </c>
      <c r="AW581" s="2" t="e">
        <f ca="1">_xll.BDH($C$578,"MODIFIED_WORKING_CPTL_5YR_GRWTH","FQ3 2014","FQ3 2014","Currency=INR","Period=FQ","BEST_FPERIOD_OVERRIDE=FQ","FILING_STATUS=OR","EQY_CONSOLIDATED=Y","Sort=A","Dates=H","DateFormat=P","Fill=—","Direction=H","UseDPDF=Y")</f>
        <v>#NAME?</v>
      </c>
      <c r="AX581" s="2" t="e">
        <f ca="1">_xll.BDH($C$578,"WORKING_CAPITAL_5_YEAR_GROWTH","FQ3 2014","FQ3 2014","Currency=INR","Period=FQ","BEST_FPERIOD_OVERRIDE=FQ","FILING_STATUS=OR","EQY_CONSOLIDATED=Y","Sort=A","Dates=H","DateFormat=P","Fill=—","Direction=H","UseDPDF=Y")</f>
        <v>#NAME?</v>
      </c>
      <c r="AY581" s="2" t="e">
        <f ca="1">_xll.BDH($C$578,"ACCOUNTS_PAYABLE_5_YEAR_GROWTH","FQ3 2014","FQ3 2014","Currency=INR","Period=FQ","BEST_FPERIOD_OVERRIDE=FQ","FILING_STATUS=OR","EQY_CONSOLIDATED=Y","Sort=A","Dates=H","DateFormat=P","Fill=—","Direction=H","UseDPDF=Y")</f>
        <v>#NAME?</v>
      </c>
      <c r="AZ581" s="2" t="e">
        <f ca="1">_xll.BDH($C$578,"SHORT_TERM_DEBT_5_YEAR_GROWTH","FQ3 2014","FQ3 2014","Currency=INR","Period=FQ","BEST_FPERIOD_OVERRIDE=FQ","FILING_STATUS=OR","EQY_CONSOLIDATED=Y","Sort=A","Dates=H","DateFormat=P","Fill=—","Direction=H","UseDPDF=Y")</f>
        <v>#NAME?</v>
      </c>
      <c r="BA581" s="2" t="e">
        <f ca="1">_xll.BDH($C$578,"TOTAL_DEBT_5_YEAR_GROWTH","FQ3 2014","FQ3 2014","Currency=INR","Period=FQ","BEST_FPERIOD_OVERRIDE=FQ","FILING_STATUS=OR","EQY_CONSOLIDATED=Y","Sort=A","Dates=H","DateFormat=P","Fill=—","Direction=H","UseDPDF=Y")</f>
        <v>#NAME?</v>
      </c>
      <c r="BB581" s="2" t="e">
        <f ca="1">_xll.BDH($C$578,"GEO_GROW_TOT_SHRHLDR_EQY","FQ3 2014","FQ3 2014","Currency=INR","Period=FQ","BEST_FPERIOD_OVERRIDE=FQ","FILING_STATUS=OR","EQY_CONSOLIDATED=Y","Sort=A","Dates=H","DateFormat=P","Fill=—","Direction=H","UseDPDF=Y")</f>
        <v>#NAME?</v>
      </c>
      <c r="BC581" s="2" t="e">
        <f ca="1">_xll.BDH($C$578,"TOTAL_CAPITAL_5_YEAR_GROWTH","FQ3 2014","FQ3 2014","Currency=INR","Period=FQ","BEST_FPERIOD_OVERRIDE=FQ","FILING_STATUS=OR","EQY_CONSOLIDATED=Y","Sort=A","Dates=H","DateFormat=P","Fill=—","Direction=H","UseDPDF=Y")</f>
        <v>#NAME?</v>
      </c>
      <c r="BD581" s="2" t="e">
        <f ca="1">_xll.BDH($C$578,"GEO_GROW_BOOK_VAL","FQ3 2014","FQ3 2014","Currency=INR","Period=FQ","BEST_FPERIOD_OVERRIDE=FQ","FILING_STATUS=OR","EQY_CONSOLIDATED=Y","Sort=A","Dates=H","DateFormat=P","Fill=—","Direction=H","UseDPDF=Y")</f>
        <v>#NAME?</v>
      </c>
      <c r="BE581" s="2" t="e">
        <f ca="1">_xll.BDH($C$578,"GEO_GROW_CASH_OPER_ACT","FQ3 2014","FQ3 2014","Currency=INR","Period=FQ","BEST_FPERIOD_OVERRIDE=FQ","FILING_STATUS=OR","EQY_CONSOLIDATED=Y","Sort=A","Dates=H","DateFormat=P","Fill=—","Direction=H","UseDPDF=Y")</f>
        <v>#NAME?</v>
      </c>
      <c r="BF581" s="2" t="e">
        <f ca="1">_xll.BDH($C$578,"REVENUE_SEQUENTIAL_GROWTH","FQ3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581" s="2" t="e">
        <f ca="1">_xll.BDH($C$578,"EBITDA_SEQUENTIAL_GROWTH","FQ3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581" s="2" t="e">
        <f ca="1">_xll.BDH($C$578,"OPERATING_INCOME_SEQ_GROWTH","FQ3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581" s="2" t="e">
        <f ca="1">_xll.BDH($C$578,"NET_INCOME_TO_COMMON_SEQ_GROWTH","FQ3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581" s="2" t="e">
        <f ca="1">_xll.BDH($C$578,"EPS_DILUTED_SEQUENTIAL_GROWTH","FQ3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581" s="2" t="e">
        <f ca="1">_xll.BDH($C$578,"DPS_SEQUENTIAL_GROWTH","FQ3 2014","FQ3 2014","Currency=INR","Period=FQ","BEST_FPERIOD_OVERRIDE=FQ","FILING_STATUS=OR","EQY_CONSOLIDATED=Y","Sort=A","Dates=H","DateFormat=P","Fill=—","Direction=H","UseDPDF=Y")</f>
        <v>#NAME?</v>
      </c>
      <c r="BL581" s="2" t="e">
        <f ca="1">_xll.BDH($C$578,"ACCOUNTS_RECEIVABLE_SEQ_GROWTH","FQ3 2014","FQ3 2014","Currency=INR","Period=FQ","BEST_FPERIOD_OVERRIDE=FQ","FILING_STATUS=OR","EQY_CONSOLIDATED=Y","Sort=A","Dates=H","DateFormat=P","Fill=—","Direction=H","UseDPDF=Y")</f>
        <v>#NAME?</v>
      </c>
      <c r="BM581" s="2" t="e">
        <f ca="1">_xll.BDH($C$578,"INVENTORY_SEQUENTIAL_GROWTH","FQ3 2014","FQ3 2014","Currency=INR","Period=FQ","BEST_FPERIOD_OVERRIDE=FQ","FILING_STATUS=OR","EQY_CONSOLIDATED=Y","Sort=A","Dates=H","DateFormat=P","Fill=—","Direction=H","UseDPDF=Y")</f>
        <v>#NAME?</v>
      </c>
      <c r="BN581" s="2" t="e">
        <f ca="1">_xll.BDH($C$578,"FIXED_ASSETS_SEQUENTIAL_GROWTH","FQ3 2014","FQ3 2014","Currency=INR","Period=FQ","BEST_FPERIOD_OVERRIDE=FQ","FILING_STATUS=OR","EQY_CONSOLIDATED=Y","Sort=A","Dates=H","DateFormat=P","Fill=—","Direction=H","UseDPDF=Y")</f>
        <v>#NAME?</v>
      </c>
      <c r="BO581" s="2" t="e">
        <f ca="1">_xll.BDH($C$578,"TOTAL_ASSETS_SEQUENTIAL_GROWTH","FQ3 2014","FQ3 2014","Currency=INR","Period=FQ","BEST_FPERIOD_OVERRIDE=FQ","FILING_STATUS=OR","EQY_CONSOLIDATED=Y","Sort=A","Dates=H","DateFormat=P","Fill=—","Direction=H","UseDPDF=Y")</f>
        <v>#NAME?</v>
      </c>
      <c r="BP581" s="2" t="e">
        <f ca="1">_xll.BDH($C$578,"MODIFIED_WORKING_CPTL_SEQ_GRWTH","FQ3 2014","FQ3 2014","Currency=INR","Period=FQ","BEST_FPERIOD_OVERRIDE=FQ","FILING_STATUS=OR","EQY_CONSOLIDATED=Y","Sort=A","Dates=H","DateFormat=P","Fill=—","Direction=H","UseDPDF=Y")</f>
        <v>#NAME?</v>
      </c>
      <c r="BQ581" s="2" t="e">
        <f ca="1">_xll.BDH($C$578,"WORKING_CAPITAL_SEQ_GROWTH","FQ3 2014","FQ3 2014","Currency=INR","Period=FQ","BEST_FPERIOD_OVERRIDE=FQ","FILING_STATUS=OR","EQY_CONSOLIDATED=Y","Sort=A","Dates=H","DateFormat=P","Fill=—","Direction=H","UseDPDF=Y")</f>
        <v>#NAME?</v>
      </c>
      <c r="BR581" s="2" t="e">
        <f ca="1">_xll.BDH($C$578,"ACCOUNTS_PAYABLE_SEQ_GROWTH","FQ3 2014","FQ3 2014","Currency=INR","Period=FQ","BEST_FPERIOD_OVERRIDE=FQ","FILING_STATUS=OR","EQY_CONSOLIDATED=Y","Sort=A","Dates=H","DateFormat=P","Fill=—","Direction=H","UseDPDF=Y")</f>
        <v>#NAME?</v>
      </c>
      <c r="BS581" s="2" t="e">
        <f ca="1">_xll.BDH($C$578,"ST_DEBT_SEQUENTIAL_GROWTH","FQ3 2014","FQ3 2014","Currency=INR","Period=FQ","BEST_FPERIOD_OVERRIDE=FQ","FILING_STATUS=OR","EQY_CONSOLIDATED=Y","Sort=A","Dates=H","DateFormat=P","Fill=—","Direction=H","UseDPDF=Y")</f>
        <v>#NAME?</v>
      </c>
      <c r="BT581" s="2" t="e">
        <f ca="1">_xll.BDH($C$578,"TOTAL_DEBT_SEQUENTIAL_GROWTH","FQ3 2014","FQ3 2014","Currency=INR","Period=FQ","BEST_FPERIOD_OVERRIDE=FQ","FILING_STATUS=OR","EQY_CONSOLIDATED=Y","Sort=A","Dates=H","DateFormat=P","Fill=—","Direction=H","UseDPDF=Y")</f>
        <v>#NAME?</v>
      </c>
      <c r="BU581" s="2" t="e">
        <f ca="1">_xll.BDH($C$578,"TOTAL_EQUITY_SEQUENTIAL_GROWTH","FQ3 2014","FQ3 2014","Currency=INR","Period=FQ","BEST_FPERIOD_OVERRIDE=FQ","FILING_STATUS=OR","EQY_CONSOLIDATED=Y","Sort=A","Dates=H","DateFormat=P","Fill=—","Direction=H","UseDPDF=Y")</f>
        <v>#NAME?</v>
      </c>
      <c r="BV581" s="2" t="e">
        <f ca="1">_xll.BDH($C$578,"TOTAL_CAPITAL_SEQUENTIAL_GROWTH","FQ3 2014","FQ3 2014","Currency=INR","Period=FQ","BEST_FPERIOD_OVERRIDE=FQ","FILING_STATUS=OR","EQY_CONSOLIDATED=Y","Sort=A","Dates=H","DateFormat=P","Fill=—","Direction=H","UseDPDF=Y")</f>
        <v>#NAME?</v>
      </c>
      <c r="BW581" s="2" t="e">
        <f ca="1">_xll.BDH($C$578,"BPS_SEQUENTIAL_GROWTH","FQ3 2014","FQ3 2014","Currency=INR","Period=FQ","BEST_FPERIOD_OVERRIDE=FQ","FILING_STATUS=OR","EQY_CONSOLIDATED=Y","Sort=A","Dates=H","DateFormat=P","Fill=—","Direction=H","UseDPDF=Y")</f>
        <v>#NAME?</v>
      </c>
      <c r="BX581" s="2" t="e">
        <f ca="1">_xll.BDH($C$578,"CFO_SEQUENTIAL_GROWTH","FQ3 2014","FQ3 2014","Currency=INR","Period=FQ","BEST_FPERIOD_OVERRIDE=FQ","FILING_STATUS=OR","EQY_CONSOLIDATED=Y","Sort=A","Dates=H","DateFormat=P","Fill=—","Direction=H","UseDPDF=Y")</f>
        <v>#NAME?</v>
      </c>
      <c r="BY581" s="3" t="e">
        <f ca="1">_xll.BDH($C$578,"SHORT_AND_LONG_TERM_DEBT","FQ3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581" s="3" t="e">
        <f ca="1">_xll.BDH($C$578,"BS_ST_BORROW","FQ3 2014","FQ3 2014","Currency=INR","Period=FQ","BEST_FPERIOD_OVERRIDE=FQ","FILING_STATUS=OR","EQY_CONSOLIDATED=Y","SCALING_FORMAT=MLN","Sort=A","Dates=H","DateFormat=P","Fill=—","Direction=H","UseDPDF=Y")</f>
        <v>#NAME?</v>
      </c>
      <c r="CA581" s="3" t="e">
        <f ca="1">_xll.BDH($C$578,"BS_LT_BORROW","FQ3 2014","FQ3 2014","Currency=INR","Period=FQ","BEST_FPERIOD_OVERRIDE=FQ","FILING_STATUS=OR","EQY_CONSOLIDATED=Y","SCALING_FORMAT=MLN","Sort=A","Dates=H","DateFormat=P","Fill=—","Direction=H","UseDPDF=Y")</f>
        <v>#NAME?</v>
      </c>
      <c r="CB581" s="2" t="e">
        <f ca="1">_xll.BDH($C$578,"TOT_DEBT_TO_EBITDA","FQ3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581" s="2" t="e">
        <f ca="1">_xll.BDH($C$578,"NET_DEBT_TO_EBITDA","FQ3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581" s="2" t="e">
        <f ca="1">_xll.BDH($C$578,"TOTAL_DEBT_TO_EBIT","FQ3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581" s="2" t="e">
        <f ca="1">_xll.BDH($C$578,"NET_DEBT_TO_EBIT","FQ3 2014","FQ3 2014","Currency=INR","Period=FQ","BEST_FPERIOD_OVERRIDE=FQ","FILING_STATUS=OR","EQY_CONSOLIDATED=Y","FA_ADJUSTED=GAAP","Sort=A","Dates=H","DateFormat=P","Fill=—","Direction=H","UseDPDF=Y")</f>
        <v>#NAME?</v>
      </c>
      <c r="CF581" s="2" t="e">
        <f ca="1">_xll.BDH($C$578,"EBITDA_TO_INTEREST_EXPN","FQ3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581" s="2" t="e">
        <f ca="1">_xll.BDH($C$578,"COM_EQY_TO_TOT_ASSET","FQ3 2014","FQ3 2014","Currency=INR","Period=FQ","BEST_FPERIOD_OVERRIDE=FQ","FILING_STATUS=OR","EQY_CONSOLIDATED=Y","Sort=A","Dates=H","DateFormat=P","Fill=—","Direction=H","UseDPDF=Y")</f>
        <v>#NAME?</v>
      </c>
      <c r="CH581" s="2" t="e">
        <f ca="1">_xll.BDH($C$578,"LT_DEBT_TO_TOT_EQY","FQ3 2014","FQ3 2014","Currency=INR","Period=FQ","BEST_FPERIOD_OVERRIDE=FQ","FILING_STATUS=OR","EQY_CONSOLIDATED=Y","Sort=A","Dates=H","DateFormat=P","Fill=—","Direction=H","UseDPDF=Y")</f>
        <v>#NAME?</v>
      </c>
      <c r="CI581" s="2" t="e">
        <f ca="1">_xll.BDH($C$578,"LT_DEBT_TO_TOT_CAP","FQ3 2014","FQ3 2014","Currency=INR","Period=FQ","BEST_FPERIOD_OVERRIDE=FQ","FILING_STATUS=OR","EQY_CONSOLIDATED=Y","Sort=A","Dates=H","DateFormat=P","Fill=—","Direction=H","UseDPDF=Y")</f>
        <v>#NAME?</v>
      </c>
      <c r="CJ581" s="2" t="e">
        <f ca="1">_xll.BDH($C$578,"LT_DEBT_TO_TOT_ASSET","FQ3 2014","FQ3 2014","Currency=INR","Period=FQ","BEST_FPERIOD_OVERRIDE=FQ","FILING_STATUS=OR","EQY_CONSOLIDATED=Y","Sort=A","Dates=H","DateFormat=P","Fill=—","Direction=H","UseDPDF=Y")</f>
        <v>#NAME?</v>
      </c>
      <c r="CK581" s="2" t="e">
        <f ca="1">_xll.BDH($C$578,"TOT_DEBT_TO_TOT_EQY","FQ3 2014","FQ3 2014","Currency=INR","Period=FQ","BEST_FPERIOD_OVERRIDE=FQ","FILING_STATUS=OR","EQY_CONSOLIDATED=Y","Sort=A","Dates=H","DateFormat=P","Fill=—","Direction=H","UseDPDF=Y")</f>
        <v>#NAME?</v>
      </c>
      <c r="CL581" s="2" t="e">
        <f ca="1">_xll.BDH($C$578,"TOT_DEBT_TO_TOT_CAP","FQ3 2014","FQ3 2014","Currency=INR","Period=FQ","BEST_FPERIOD_OVERRIDE=FQ","FILING_STATUS=OR","EQY_CONSOLIDATED=Y","Sort=A","Dates=H","DateFormat=P","Fill=—","Direction=H","UseDPDF=Y")</f>
        <v>#NAME?</v>
      </c>
      <c r="CM581" s="2" t="e">
        <f ca="1">_xll.BDH($C$578,"TOT_DEBT_TO_TOT_ASSET","FQ3 2014","FQ3 2014","Currency=INR","Period=FQ","BEST_FPERIOD_OVERRIDE=FQ","FILING_STATUS=OR","EQY_CONSOLIDATED=Y","Sort=A","Dates=H","DateFormat=P","Fill=—","Direction=H","UseDPDF=Y")</f>
        <v>#NAME?</v>
      </c>
      <c r="CN581" s="2" t="e">
        <f ca="1">_xll.BDH($C$578,"NET_DEBT_TO_SHRHLDR_EQTY","FQ3 2014","FQ3 2014","Currency=INR","Period=FQ","BEST_FPERIOD_OVERRIDE=FQ","FILING_STATUS=OR","EQY_CONSOLIDATED=Y","Sort=A","Dates=H","DateFormat=P","Fill=—","Direction=H","UseDPDF=Y")</f>
        <v>#NAME?</v>
      </c>
      <c r="CO581" s="2" t="e">
        <f ca="1">_xll.BDH($C$578,"NET_DEBT_%_CAPITAL","FQ3 2014","FQ3 2014","Currency=INR","Period=FQ","BEST_FPERIOD_OVERRIDE=FQ","FILING_STATUS=OR","EQY_CONSOLIDATED=Y","Sort=A","Dates=H","DateFormat=P","Fill=—","Direction=H","UseDPDF=Y")</f>
        <v>#NAME?</v>
      </c>
      <c r="CP581" s="3" t="e">
        <f ca="1">_xll.BDH($C$578,"EBITDA","FQ3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581" s="3" t="e">
        <f ca="1">_xll.BDH($C$578,"EBITDA_AFTER_CAPEX","FQ3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581" s="3" t="e">
        <f ca="1">_xll.BDH($C$578,"IS_OPER_INC","FQ3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581" s="2" t="e">
        <f ca="1">_xll.BDH($C$578,"CASH_RATIO","FQ3 2014","FQ3 2014","Currency=INR","Period=FQ","BEST_FPERIOD_OVERRIDE=FQ","FILING_STATUS=OR","EQY_CONSOLIDATED=Y","Sort=A","Dates=H","DateFormat=P","Fill=—","Direction=H","UseDPDF=Y")</f>
        <v>#NAME?</v>
      </c>
      <c r="CT581" s="2" t="e">
        <f ca="1">_xll.BDH($C$578,"CUR_RATIO","FQ3 2014","FQ3 2014","Currency=INR","Period=FQ","BEST_FPERIOD_OVERRIDE=FQ","FILING_STATUS=OR","EQY_CONSOLIDATED=Y","Sort=A","Dates=H","DateFormat=P","Fill=—","Direction=H","UseDPDF=Y")</f>
        <v>#NAME?</v>
      </c>
      <c r="CU581" s="2" t="e">
        <f ca="1">_xll.BDH($C$578,"QUICK_RATIO","FQ3 2014","FQ3 2014","Currency=INR","Period=FQ","BEST_FPERIOD_OVERRIDE=FQ","FILING_STATUS=OR","EQY_CONSOLIDATED=Y","Sort=A","Dates=H","DateFormat=P","Fill=—","Direction=H","UseDPDF=Y")</f>
        <v>#NAME?</v>
      </c>
      <c r="CV581" s="2" t="e">
        <f ca="1">_xll.BDH($C$578,"ALTMAN_Z_SCORE","FQ3 2014","FQ3 2014","Currency=INR","Period=FQ","BEST_FPERIOD_OVERRIDE=FQ","FILING_STATUS=OR","EQY_CONSOLIDATED=Y","Sort=A","Dates=H","DateFormat=P","Fill=—","Direction=H","UseDPDF=Y")</f>
        <v>#NAME?</v>
      </c>
      <c r="CW581" s="4" t="e">
        <f ca="1">_xll.BDH($C$578,"ACCT_RCV_TURN","FQ3 2014","FQ3 2014","Currency=INR","Period=FQ","BEST_FPERIOD_OVERRIDE=FQ","FILING_STATUS=OR","EQY_CONSOLIDATED=Y","FA_ADJUSTED=GAAP","Sort=A","Dates=H","DateFormat=P","Fill=—","Direction=H","UseDPDF=Y")</f>
        <v>#NAME?</v>
      </c>
      <c r="CX581" s="2" t="e">
        <f ca="1">_xll.BDH($C$578,"ACCT_RCV_DAYS","FQ3 2014","FQ3 2014","Currency=INR","Period=FQ","BEST_FPERIOD_OVERRIDE=FQ","FILING_STATUS=OR","EQY_CONSOLIDATED=Y","FA_ADJUSTED=GAAP","Sort=A","Dates=H","DateFormat=P","Fill=—","Direction=H","UseDPDF=Y")</f>
        <v>#NAME?</v>
      </c>
      <c r="CY581" s="4" t="e">
        <f ca="1">_xll.BDH($C$578,"INVENT_TURN","FQ3 2014","FQ3 2014","Currency=INR","Period=FQ","BEST_FPERIOD_OVERRIDE=FQ","FILING_STATUS=OR","EQY_CONSOLIDATED=Y","FA_ADJUSTED=GAAP","Sort=A","Dates=H","DateFormat=P","Fill=—","Direction=H","UseDPDF=Y")</f>
        <v>#NAME?</v>
      </c>
      <c r="CZ581" s="2" t="e">
        <f ca="1">_xll.BDH($C$578,"INVENT_DAYS","FQ3 2014","FQ3 2014","Currency=INR","Period=FQ","BEST_FPERIOD_OVERRIDE=FQ","FILING_STATUS=OR","EQY_CONSOLIDATED=Y","FA_ADJUSTED=GAAP","Sort=A","Dates=H","DateFormat=P","Fill=—","Direction=H","UseDPDF=Y")</f>
        <v>#NAME?</v>
      </c>
      <c r="DA581" s="4" t="e">
        <f ca="1">_xll.BDH($C$578,"ACCOUNTS_PAYABLE_TURNOVER","FQ3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581" s="2" t="e">
        <f ca="1">_xll.BDH($C$578,"ACCOUNTS_PAYABLE_TURNOVER_DAYS","FQ3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581" s="4" t="e">
        <f ca="1">_xll.BDH($C$578,"CASH_CONVERSION_CYCLE","FQ3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581" s="4" t="e">
        <f ca="1">_xll.BDH($C$578,"INV_TO_CASH_DAYS","FQ3 2014","FQ3 2014","Currency=INR","Period=FQ","BEST_FPERIOD_OVERRIDE=FQ","FILING_STATUS=OR","EQY_CONSOLIDATED=Y","FA_ADJUSTED=GAAP","Sort=A","Dates=H","DateFormat=P","Fill=—","Direction=H","UseDPDF=Y")</f>
        <v>#NAME?</v>
      </c>
      <c r="DE581" s="5" t="e">
        <f ca="1">_xll.BDH($C$578,"BS_INVENTORIES","FQ3 2014","FQ3 2014","Currency=INR","Period=FQ","BEST_FPERIOD_OVERRIDE=FQ","FILING_STATUS=OR","EQY_CONSOLIDATED=Y","SCALING_FORMAT=MLN","Sort=A","Dates=H","DateFormat=P","Fill=—","Direction=H","UseDPDF=Y")</f>
        <v>#NAME?</v>
      </c>
      <c r="DF581" s="3" t="e">
        <f ca="1">_xll.BDH($C$578,"INVTRY_RAW_MATERIALS","FQ3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581" s="3" t="e">
        <f ca="1">_xll.BDH($C$578,"INVTRY_IN_PROGRESS","FQ3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581" s="3" t="e">
        <f ca="1">_xll.BDH($C$578,"INVTRY_FINISHED_GOODS","FQ3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581" s="3" t="e">
        <f ca="1">_xll.BDH($C$578,"BS_OTHER_INV","FQ3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582" spans="1:113" x14ac:dyDescent="0.3">
      <c r="A582" s="6"/>
      <c r="B582" s="6"/>
      <c r="C582" s="6"/>
      <c r="D582" s="6"/>
      <c r="E582" t="s">
        <v>81</v>
      </c>
      <c r="F582" t="e">
        <f ca="1">_xll.BDH($C$578,"RETURN_COM_EQY","FQ4 2014","FQ4 2014","Currency=INR","Period=FQ","BEST_FPERIOD_OVERRIDE=FQ","FILING_STATUS=OR","EQY_CONSOLIDATED=Y","FA_ADJUSTED=GAAP","Sort=A","Dates=H","DateFormat=P","Fill=—","Direction=H","UseDPDF=Y")</f>
        <v>#NAME?</v>
      </c>
      <c r="G582" t="e">
        <f ca="1">_xll.BDH($C$578,"RETURN_ON_ASSET","FQ4 2014","FQ4 2014","Currency=INR","Period=FQ","BEST_FPERIOD_OVERRIDE=FQ","FILING_STATUS=OR","EQY_CONSOLIDATED=Y","FA_ADJUSTED=GAAP","Sort=A","Dates=H","DateFormat=P","Fill=—","Direction=H","UseDPDF=Y")</f>
        <v>#NAME?</v>
      </c>
      <c r="H582" t="e">
        <f ca="1">_xll.BDH($C$578,"RETURN_ON_CAP","FQ4 2014","FQ4 2014","Currency=INR","Period=FQ","BEST_FPERIOD_OVERRIDE=FQ","FILING_STATUS=OR","EQY_CONSOLIDATED=Y","FA_ADJUSTED=GAAP","Sort=A","Dates=H","DateFormat=P","Fill=—","Direction=H","UseDPDF=Y")</f>
        <v>#NAME?</v>
      </c>
      <c r="I582" t="e">
        <f ca="1">_xll.BDH($C$578,"RETURN_ON_INV_CAPITAL","FQ4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582" t="e">
        <f ca="1">_xll.BDH($C$578,"EBITDA_TO_REVENUE","FQ4 2014","FQ4 2014","Currency=INR","Period=FQ","BEST_FPERIOD_OVERRIDE=FQ","FILING_STATUS=OR","EQY_CONSOLIDATED=Y","FA_ADJUSTED=GAAP","Sort=A","Dates=H","DateFormat=P","Fill=—","Direction=H","UseDPDF=Y")</f>
        <v>#NAME?</v>
      </c>
      <c r="K582" t="e">
        <f ca="1">_xll.BDH($C$578,"OPER_MARGIN","FQ4 2014","FQ4 2014","Currency=INR","Period=FQ","BEST_FPERIOD_OVERRIDE=FQ","FILING_STATUS=OR","EQY_CONSOLIDATED=Y","FA_ADJUSTED=GAAP","Sort=A","Dates=H","DateFormat=P","Fill=—","Direction=H","UseDPDF=Y")</f>
        <v>#NAME?</v>
      </c>
      <c r="L582" t="e">
        <f ca="1">_xll.BDH($C$578,"INCREMENTAL_OPERATING_MARGIN","FQ4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582" t="e">
        <f ca="1">_xll.BDH($C$578,"PRETAX_INC_TO_NET_SALES","FQ4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582" t="e">
        <f ca="1">_xll.BDH($C$578,"INC_BEF_XO_ITEMS_TO_NET_SALES","FQ4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582" t="e">
        <f ca="1">_xll.BDH($C$578,"PROF_MARGIN","FQ4 2014","FQ4 2014","Currency=INR","Period=FQ","BEST_FPERIOD_OVERRIDE=FQ","FILING_STATUS=OR","EQY_CONSOLIDATED=Y","FA_ADJUSTED=GAAP","Sort=A","Dates=H","DateFormat=P","Fill=—","Direction=H","UseDPDF=Y")</f>
        <v>#NAME?</v>
      </c>
      <c r="P582" t="e">
        <f ca="1">_xll.BDH($C$578,"NET_INCOME_TO_COMMON_MARGIN","FQ4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582" t="e">
        <f ca="1">_xll.BDH($C$578,"EFF_TAX_RATE","FQ4 2014","FQ4 2014","Currency=INR","Period=FQ","BEST_FPERIOD_OVERRIDE=FQ","FILING_STATUS=OR","EQY_CONSOLIDATED=Y","FA_ADJUSTED=GAAP","Sort=A","Dates=H","DateFormat=P","Fill=—","Direction=H","UseDPDF=Y")</f>
        <v>#NAME?</v>
      </c>
      <c r="R582" t="e">
        <f ca="1">_xll.BDH($C$578,"DVD_PAYOUT_RATIO","FQ4 2014","FQ4 2014","Currency=INR","Period=FQ","BEST_FPERIOD_OVERRIDE=FQ","FILING_STATUS=OR","EQY_CONSOLIDATED=Y","FA_ADJUSTED=GAAP","Sort=A","Dates=H","DateFormat=P","Fill=—","Direction=H","UseDPDF=Y")</f>
        <v>#NAME?</v>
      </c>
      <c r="S582" t="e">
        <f ca="1">_xll.BDH($C$578,"SUSTAIN_GROWTH_RT","FQ4 2014","FQ4 2014","Currency=INR","Period=FQ","BEST_FPERIOD_OVERRIDE=FQ","FILING_STATUS=OR","EQY_CONSOLIDATED=Y","FA_ADJUSTED=GAAP","Sort=A","Dates=H","DateFormat=P","Fill=—","Direction=H","UseDPDF=Y")</f>
        <v>#NAME?</v>
      </c>
      <c r="T582" s="2" t="e">
        <f ca="1">_xll.BDH($C$578,"SALES_GROWTH","FQ4 2014","FQ4 2014","Currency=INR","Period=FQ","BEST_FPERIOD_OVERRIDE=FQ","FILING_STATUS=OR","EQY_CONSOLIDATED=Y","FA_ADJUSTED=GAAP","Sort=A","Dates=H","DateFormat=P","Fill=—","Direction=H","UseDPDF=Y")</f>
        <v>#NAME?</v>
      </c>
      <c r="U582" s="2" t="e">
        <f ca="1">_xll.BDH($C$578,"EBITDA_GROWTH","FQ4 2014","FQ4 2014","Currency=INR","Period=FQ","BEST_FPERIOD_OVERRIDE=FQ","FILING_STATUS=OR","EQY_CONSOLIDATED=Y","FA_ADJUSTED=GAAP","Sort=A","Dates=H","DateFormat=P","Fill=—","Direction=H","UseDPDF=Y")</f>
        <v>#NAME?</v>
      </c>
      <c r="V582" s="2" t="e">
        <f ca="1">_xll.BDH($C$578,"OPER_INC_GROWTH","FQ4 2014","FQ4 2014","Currency=INR","Period=FQ","BEST_FPERIOD_OVERRIDE=FQ","FILING_STATUS=OR","EQY_CONSOLIDATED=Y","FA_ADJUSTED=GAAP","Sort=A","Dates=H","DateFormat=P","Fill=—","Direction=H","UseDPDF=Y")</f>
        <v>#NAME?</v>
      </c>
      <c r="W582" s="2" t="e">
        <f ca="1">_xll.BDH($C$578,"EARN_FOR_COM_GROWTH","FQ4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582" s="2" t="e">
        <f ca="1">_xll.BDH($C$578,"DILUTED_EPS_AFT_XO_ITEMS_GROWTH","FQ4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582" s="2" t="e">
        <f ca="1">_xll.BDH($C$578,"DIVIDEND_PER_SHARE_1_YEAR_GROWTH","FQ4 2014","FQ4 2014","Currency=INR","Period=FQ","BEST_FPERIOD_OVERRIDE=FQ","FILING_STATUS=OR","EQY_CONSOLIDATED=Y","Sort=A","Dates=H","DateFormat=P","Fill=—","Direction=H","UseDPDF=Y")</f>
        <v>#NAME?</v>
      </c>
      <c r="Z582" s="2" t="e">
        <f ca="1">_xll.BDH($C$578,"ACCOUNTS_RECEIVABLE_GROWTH","FQ4 2014","FQ4 2014","Currency=INR","Period=FQ","BEST_FPERIOD_OVERRIDE=FQ","FILING_STATUS=OR","EQY_CONSOLIDATED=Y","Sort=A","Dates=H","DateFormat=P","Fill=—","Direction=H","UseDPDF=Y")</f>
        <v>#NAME?</v>
      </c>
      <c r="AA582" s="2" t="e">
        <f ca="1">_xll.BDH($C$578,"INVENTORY_GROWTH","FQ4 2014","FQ4 2014","Currency=INR","Period=FQ","BEST_FPERIOD_OVERRIDE=FQ","FILING_STATUS=OR","EQY_CONSOLIDATED=Y","Sort=A","Dates=H","DateFormat=P","Fill=—","Direction=H","UseDPDF=Y")</f>
        <v>#NAME?</v>
      </c>
      <c r="AB582" s="2" t="e">
        <f ca="1">_xll.BDH($C$578,"NET_FIXED_ASSETS_1_YEAR_GROWTH","FQ4 2014","FQ4 2014","Currency=INR","Period=FQ","BEST_FPERIOD_OVERRIDE=FQ","FILING_STATUS=OR","EQY_CONSOLIDATED=Y","Sort=A","Dates=H","DateFormat=P","Fill=—","Direction=H","UseDPDF=Y")</f>
        <v>#NAME?</v>
      </c>
      <c r="AC582" s="2" t="e">
        <f ca="1">_xll.BDH($C$578,"ASSET_GROWTH","FQ4 2014","FQ4 2014","Currency=INR","Period=FQ","BEST_FPERIOD_OVERRIDE=FQ","FILING_STATUS=OR","EQY_CONSOLIDATED=Y","Sort=A","Dates=H","DateFormat=P","Fill=—","Direction=H","UseDPDF=Y")</f>
        <v>#NAME?</v>
      </c>
      <c r="AD582" s="2" t="e">
        <f ca="1">_xll.BDH($C$578,"MODIFIED_WORK_CAP_GROWTH","FQ4 2014","FQ4 2014","Currency=INR","Period=FQ","BEST_FPERIOD_OVERRIDE=FQ","FILING_STATUS=OR","EQY_CONSOLIDATED=Y","Sort=A","Dates=H","DateFormat=P","Fill=—","Direction=H","UseDPDF=Y")</f>
        <v>#NAME?</v>
      </c>
      <c r="AE582" s="2" t="e">
        <f ca="1">_xll.BDH($C$578,"WORK_CAP_GROWTH","FQ4 2014","FQ4 2014","Currency=INR","Period=FQ","BEST_FPERIOD_OVERRIDE=FQ","FILING_STATUS=OR","EQY_CONSOLIDATED=Y","Sort=A","Dates=H","DateFormat=P","Fill=—","Direction=H","UseDPDF=Y")</f>
        <v>#NAME?</v>
      </c>
      <c r="AF582" s="2" t="e">
        <f ca="1">_xll.BDH($C$578,"ACCOUNTS_PAYABLE_GROWTH_1YR","FQ4 2014","FQ4 2014","Currency=INR","Period=FQ","BEST_FPERIOD_OVERRIDE=FQ","FILING_STATUS=OR","EQY_CONSOLIDATED=Y","Sort=A","Dates=H","DateFormat=P","Fill=—","Direction=H","UseDPDF=Y")</f>
        <v>#NAME?</v>
      </c>
      <c r="AG582" s="2" t="e">
        <f ca="1">_xll.BDH($C$578,"SHORT_TERM_DEBT_1_YEAR_GROWTH","FQ4 2014","FQ4 2014","Currency=INR","Period=FQ","BEST_FPERIOD_OVERRIDE=FQ","FILING_STATUS=OR","EQY_CONSOLIDATED=Y","Sort=A","Dates=H","DateFormat=P","Fill=—","Direction=H","UseDPDF=Y")</f>
        <v>#NAME?</v>
      </c>
      <c r="AH582" s="2" t="e">
        <f ca="1">_xll.BDH($C$578,"TOTAL_DEBT_1_YEAR_GROWTH","FQ4 2014","FQ4 2014","Currency=INR","Period=FQ","BEST_FPERIOD_OVERRIDE=FQ","FILING_STATUS=OR","EQY_CONSOLIDATED=Y","Sort=A","Dates=H","DateFormat=P","Fill=—","Direction=H","UseDPDF=Y")</f>
        <v>#NAME?</v>
      </c>
      <c r="AI582" s="2" t="e">
        <f ca="1">_xll.BDH($C$578,"TOTAL_EQUITY_1_YEAR_GROWTH","FQ4 2014","FQ4 2014","Currency=INR","Period=FQ","BEST_FPERIOD_OVERRIDE=FQ","FILING_STATUS=OR","EQY_CONSOLIDATED=Y","Sort=A","Dates=H","DateFormat=P","Fill=—","Direction=H","UseDPDF=Y")</f>
        <v>#NAME?</v>
      </c>
      <c r="AJ582" s="2" t="e">
        <f ca="1">_xll.BDH($C$578,"GROWTH_IN_CAP","FQ4 2014","FQ4 2014","Currency=INR","Period=FQ","BEST_FPERIOD_OVERRIDE=FQ","FILING_STATUS=OR","EQY_CONSOLIDATED=Y","Sort=A","Dates=H","DateFormat=P","Fill=—","Direction=H","UseDPDF=Y")</f>
        <v>#NAME?</v>
      </c>
      <c r="AK582" s="2" t="e">
        <f ca="1">_xll.BDH($C$578,"BVPS_GROWTH","FQ4 2014","FQ4 2014","Currency=INR","Period=FQ","BEST_FPERIOD_OVERRIDE=FQ","FILING_STATUS=OR","EQY_CONSOLIDATED=Y","Sort=A","Dates=H","DateFormat=P","Fill=—","Direction=H","UseDPDF=Y")</f>
        <v>#NAME?</v>
      </c>
      <c r="AL582" s="2" t="e">
        <f ca="1">_xll.BDH($C$578,"CASH_FLOW_GROWTH","FQ4 2014","FQ4 2014","Currency=INR","Period=FQ","BEST_FPERIOD_OVERRIDE=FQ","FILING_STATUS=OR","EQY_CONSOLIDATED=Y","Sort=A","Dates=H","DateFormat=P","Fill=—","Direction=H","UseDPDF=Y")</f>
        <v>#NAME?</v>
      </c>
      <c r="AM582" s="2" t="e">
        <f ca="1">_xll.BDH($C$578,"GEO_GROW_NET_SALES","FQ4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582" s="2" t="e">
        <f ca="1">_xll.BDH($C$578,"GEO_GROW_EBITDA","FQ4 2014","FQ4 2014","Currency=INR","Period=FQ","BEST_FPERIOD_OVERRIDE=FQ","FILING_STATUS=OR","EQY_CONSOLIDATED=Y","FA_ADJUSTED=GAAP","Sort=A","Dates=H","DateFormat=P","Fill=—","Direction=H","UseDPDF=Y")</f>
        <v>#NAME?</v>
      </c>
      <c r="AO582" s="2" t="e">
        <f ca="1">_xll.BDH($C$578,"GEO_GROW_OPER_INC","FQ4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582" s="2" t="e">
        <f ca="1">_xll.BDH($C$578,"NET_INCOME_TO_COMMON_5_YR_GROWTH","FQ4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582" s="2" t="e">
        <f ca="1">_xll.BDH($C$578,"5Y_GEO_GROWTH_DILUTED_EPS","FQ4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582" s="2" t="e">
        <f ca="1">_xll.BDH($C$578,"GEO_GROW_DVD_PER_SH","FQ4 2014","FQ4 2014","Currency=INR","Period=FQ","BEST_FPERIOD_OVERRIDE=FQ","FILING_STATUS=OR","EQY_CONSOLIDATED=Y","Sort=A","Dates=H","DateFormat=P","Fill=—","Direction=H","UseDPDF=Y")</f>
        <v>#NAME?</v>
      </c>
      <c r="AS582" s="2" t="e">
        <f ca="1">_xll.BDH($C$578,"ACCOUNTS_RECEIVABLE_5_YR_GROWTH","FQ4 2014","FQ4 2014","Currency=INR","Period=FQ","BEST_FPERIOD_OVERRIDE=FQ","FILING_STATUS=OR","EQY_CONSOLIDATED=Y","Sort=A","Dates=H","DateFormat=P","Fill=—","Direction=H","UseDPDF=Y")</f>
        <v>#NAME?</v>
      </c>
      <c r="AT582" s="2" t="e">
        <f ca="1">_xll.BDH($C$578,"INVENTORY_5_YEAR_GROWTH","FQ4 2014","FQ4 2014","Currency=INR","Period=FQ","BEST_FPERIOD_OVERRIDE=FQ","FILING_STATUS=OR","EQY_CONSOLIDATED=Y","Sort=A","Dates=H","DateFormat=P","Fill=—","Direction=H","UseDPDF=Y")</f>
        <v>#NAME?</v>
      </c>
      <c r="AU582" s="2" t="e">
        <f ca="1">_xll.BDH($C$578,"NET_FIXED_ASSETS_5_YEAR_GROWTH","FQ4 2014","FQ4 2014","Currency=INR","Period=FQ","BEST_FPERIOD_OVERRIDE=FQ","FILING_STATUS=OR","EQY_CONSOLIDATED=Y","Sort=A","Dates=H","DateFormat=P","Fill=—","Direction=H","UseDPDF=Y")</f>
        <v>#NAME?</v>
      </c>
      <c r="AV582" s="2" t="e">
        <f ca="1">_xll.BDH($C$578,"GEO_GROW_TOT_ASSET","FQ4 2014","FQ4 2014","Currency=INR","Period=FQ","BEST_FPERIOD_OVERRIDE=FQ","FILING_STATUS=OR","EQY_CONSOLIDATED=Y","Sort=A","Dates=H","DateFormat=P","Fill=—","Direction=H","UseDPDF=Y")</f>
        <v>#NAME?</v>
      </c>
      <c r="AW582" s="2" t="e">
        <f ca="1">_xll.BDH($C$578,"MODIFIED_WORKING_CPTL_5YR_GRWTH","FQ4 2014","FQ4 2014","Currency=INR","Period=FQ","BEST_FPERIOD_OVERRIDE=FQ","FILING_STATUS=OR","EQY_CONSOLIDATED=Y","Sort=A","Dates=H","DateFormat=P","Fill=—","Direction=H","UseDPDF=Y")</f>
        <v>#NAME?</v>
      </c>
      <c r="AX582" s="2" t="e">
        <f ca="1">_xll.BDH($C$578,"WORKING_CAPITAL_5_YEAR_GROWTH","FQ4 2014","FQ4 2014","Currency=INR","Period=FQ","BEST_FPERIOD_OVERRIDE=FQ","FILING_STATUS=OR","EQY_CONSOLIDATED=Y","Sort=A","Dates=H","DateFormat=P","Fill=—","Direction=H","UseDPDF=Y")</f>
        <v>#NAME?</v>
      </c>
      <c r="AY582" s="2" t="e">
        <f ca="1">_xll.BDH($C$578,"ACCOUNTS_PAYABLE_5_YEAR_GROWTH","FQ4 2014","FQ4 2014","Currency=INR","Period=FQ","BEST_FPERIOD_OVERRIDE=FQ","FILING_STATUS=OR","EQY_CONSOLIDATED=Y","Sort=A","Dates=H","DateFormat=P","Fill=—","Direction=H","UseDPDF=Y")</f>
        <v>#NAME?</v>
      </c>
      <c r="AZ582" s="2" t="e">
        <f ca="1">_xll.BDH($C$578,"SHORT_TERM_DEBT_5_YEAR_GROWTH","FQ4 2014","FQ4 2014","Currency=INR","Period=FQ","BEST_FPERIOD_OVERRIDE=FQ","FILING_STATUS=OR","EQY_CONSOLIDATED=Y","Sort=A","Dates=H","DateFormat=P","Fill=—","Direction=H","UseDPDF=Y")</f>
        <v>#NAME?</v>
      </c>
      <c r="BA582" s="2" t="e">
        <f ca="1">_xll.BDH($C$578,"TOTAL_DEBT_5_YEAR_GROWTH","FQ4 2014","FQ4 2014","Currency=INR","Period=FQ","BEST_FPERIOD_OVERRIDE=FQ","FILING_STATUS=OR","EQY_CONSOLIDATED=Y","Sort=A","Dates=H","DateFormat=P","Fill=—","Direction=H","UseDPDF=Y")</f>
        <v>#NAME?</v>
      </c>
      <c r="BB582" s="2" t="e">
        <f ca="1">_xll.BDH($C$578,"GEO_GROW_TOT_SHRHLDR_EQY","FQ4 2014","FQ4 2014","Currency=INR","Period=FQ","BEST_FPERIOD_OVERRIDE=FQ","FILING_STATUS=OR","EQY_CONSOLIDATED=Y","Sort=A","Dates=H","DateFormat=P","Fill=—","Direction=H","UseDPDF=Y")</f>
        <v>#NAME?</v>
      </c>
      <c r="BC582" s="2" t="e">
        <f ca="1">_xll.BDH($C$578,"TOTAL_CAPITAL_5_YEAR_GROWTH","FQ4 2014","FQ4 2014","Currency=INR","Period=FQ","BEST_FPERIOD_OVERRIDE=FQ","FILING_STATUS=OR","EQY_CONSOLIDATED=Y","Sort=A","Dates=H","DateFormat=P","Fill=—","Direction=H","UseDPDF=Y")</f>
        <v>#NAME?</v>
      </c>
      <c r="BD582" s="2" t="e">
        <f ca="1">_xll.BDH($C$578,"GEO_GROW_BOOK_VAL","FQ4 2014","FQ4 2014","Currency=INR","Period=FQ","BEST_FPERIOD_OVERRIDE=FQ","FILING_STATUS=OR","EQY_CONSOLIDATED=Y","Sort=A","Dates=H","DateFormat=P","Fill=—","Direction=H","UseDPDF=Y")</f>
        <v>#NAME?</v>
      </c>
      <c r="BE582" s="2" t="e">
        <f ca="1">_xll.BDH($C$578,"GEO_GROW_CASH_OPER_ACT","FQ4 2014","FQ4 2014","Currency=INR","Period=FQ","BEST_FPERIOD_OVERRIDE=FQ","FILING_STATUS=OR","EQY_CONSOLIDATED=Y","Sort=A","Dates=H","DateFormat=P","Fill=—","Direction=H","UseDPDF=Y")</f>
        <v>#NAME?</v>
      </c>
      <c r="BF582" s="2" t="e">
        <f ca="1">_xll.BDH($C$578,"REVENUE_SEQUENTIAL_GROWTH","FQ4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582" s="2" t="e">
        <f ca="1">_xll.BDH($C$578,"EBITDA_SEQUENTIAL_GROWTH","FQ4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582" s="2" t="e">
        <f ca="1">_xll.BDH($C$578,"OPERATING_INCOME_SEQ_GROWTH","FQ4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582" s="2" t="e">
        <f ca="1">_xll.BDH($C$578,"NET_INCOME_TO_COMMON_SEQ_GROWTH","FQ4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582" s="2" t="e">
        <f ca="1">_xll.BDH($C$578,"EPS_DILUTED_SEQUENTIAL_GROWTH","FQ4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582" s="2" t="e">
        <f ca="1">_xll.BDH($C$578,"DPS_SEQUENTIAL_GROWTH","FQ4 2014","FQ4 2014","Currency=INR","Period=FQ","BEST_FPERIOD_OVERRIDE=FQ","FILING_STATUS=OR","EQY_CONSOLIDATED=Y","Sort=A","Dates=H","DateFormat=P","Fill=—","Direction=H","UseDPDF=Y")</f>
        <v>#NAME?</v>
      </c>
      <c r="BL582" s="2" t="e">
        <f ca="1">_xll.BDH($C$578,"ACCOUNTS_RECEIVABLE_SEQ_GROWTH","FQ4 2014","FQ4 2014","Currency=INR","Period=FQ","BEST_FPERIOD_OVERRIDE=FQ","FILING_STATUS=OR","EQY_CONSOLIDATED=Y","Sort=A","Dates=H","DateFormat=P","Fill=—","Direction=H","UseDPDF=Y")</f>
        <v>#NAME?</v>
      </c>
      <c r="BM582" s="2" t="e">
        <f ca="1">_xll.BDH($C$578,"INVENTORY_SEQUENTIAL_GROWTH","FQ4 2014","FQ4 2014","Currency=INR","Period=FQ","BEST_FPERIOD_OVERRIDE=FQ","FILING_STATUS=OR","EQY_CONSOLIDATED=Y","Sort=A","Dates=H","DateFormat=P","Fill=—","Direction=H","UseDPDF=Y")</f>
        <v>#NAME?</v>
      </c>
      <c r="BN582" s="2" t="e">
        <f ca="1">_xll.BDH($C$578,"FIXED_ASSETS_SEQUENTIAL_GROWTH","FQ4 2014","FQ4 2014","Currency=INR","Period=FQ","BEST_FPERIOD_OVERRIDE=FQ","FILING_STATUS=OR","EQY_CONSOLIDATED=Y","Sort=A","Dates=H","DateFormat=P","Fill=—","Direction=H","UseDPDF=Y")</f>
        <v>#NAME?</v>
      </c>
      <c r="BO582" s="2" t="e">
        <f ca="1">_xll.BDH($C$578,"TOTAL_ASSETS_SEQUENTIAL_GROWTH","FQ4 2014","FQ4 2014","Currency=INR","Period=FQ","BEST_FPERIOD_OVERRIDE=FQ","FILING_STATUS=OR","EQY_CONSOLIDATED=Y","Sort=A","Dates=H","DateFormat=P","Fill=—","Direction=H","UseDPDF=Y")</f>
        <v>#NAME?</v>
      </c>
      <c r="BP582" s="2" t="e">
        <f ca="1">_xll.BDH($C$578,"MODIFIED_WORKING_CPTL_SEQ_GRWTH","FQ4 2014","FQ4 2014","Currency=INR","Period=FQ","BEST_FPERIOD_OVERRIDE=FQ","FILING_STATUS=OR","EQY_CONSOLIDATED=Y","Sort=A","Dates=H","DateFormat=P","Fill=—","Direction=H","UseDPDF=Y")</f>
        <v>#NAME?</v>
      </c>
      <c r="BQ582" s="2" t="e">
        <f ca="1">_xll.BDH($C$578,"WORKING_CAPITAL_SEQ_GROWTH","FQ4 2014","FQ4 2014","Currency=INR","Period=FQ","BEST_FPERIOD_OVERRIDE=FQ","FILING_STATUS=OR","EQY_CONSOLIDATED=Y","Sort=A","Dates=H","DateFormat=P","Fill=—","Direction=H","UseDPDF=Y")</f>
        <v>#NAME?</v>
      </c>
      <c r="BR582" s="2" t="e">
        <f ca="1">_xll.BDH($C$578,"ACCOUNTS_PAYABLE_SEQ_GROWTH","FQ4 2014","FQ4 2014","Currency=INR","Period=FQ","BEST_FPERIOD_OVERRIDE=FQ","FILING_STATUS=OR","EQY_CONSOLIDATED=Y","Sort=A","Dates=H","DateFormat=P","Fill=—","Direction=H","UseDPDF=Y")</f>
        <v>#NAME?</v>
      </c>
      <c r="BS582" s="2" t="e">
        <f ca="1">_xll.BDH($C$578,"ST_DEBT_SEQUENTIAL_GROWTH","FQ4 2014","FQ4 2014","Currency=INR","Period=FQ","BEST_FPERIOD_OVERRIDE=FQ","FILING_STATUS=OR","EQY_CONSOLIDATED=Y","Sort=A","Dates=H","DateFormat=P","Fill=—","Direction=H","UseDPDF=Y")</f>
        <v>#NAME?</v>
      </c>
      <c r="BT582" s="2" t="e">
        <f ca="1">_xll.BDH($C$578,"TOTAL_DEBT_SEQUENTIAL_GROWTH","FQ4 2014","FQ4 2014","Currency=INR","Period=FQ","BEST_FPERIOD_OVERRIDE=FQ","FILING_STATUS=OR","EQY_CONSOLIDATED=Y","Sort=A","Dates=H","DateFormat=P","Fill=—","Direction=H","UseDPDF=Y")</f>
        <v>#NAME?</v>
      </c>
      <c r="BU582" s="2" t="e">
        <f ca="1">_xll.BDH($C$578,"TOTAL_EQUITY_SEQUENTIAL_GROWTH","FQ4 2014","FQ4 2014","Currency=INR","Period=FQ","BEST_FPERIOD_OVERRIDE=FQ","FILING_STATUS=OR","EQY_CONSOLIDATED=Y","Sort=A","Dates=H","DateFormat=P","Fill=—","Direction=H","UseDPDF=Y")</f>
        <v>#NAME?</v>
      </c>
      <c r="BV582" s="2" t="e">
        <f ca="1">_xll.BDH($C$578,"TOTAL_CAPITAL_SEQUENTIAL_GROWTH","FQ4 2014","FQ4 2014","Currency=INR","Period=FQ","BEST_FPERIOD_OVERRIDE=FQ","FILING_STATUS=OR","EQY_CONSOLIDATED=Y","Sort=A","Dates=H","DateFormat=P","Fill=—","Direction=H","UseDPDF=Y")</f>
        <v>#NAME?</v>
      </c>
      <c r="BW582" s="2" t="e">
        <f ca="1">_xll.BDH($C$578,"BPS_SEQUENTIAL_GROWTH","FQ4 2014","FQ4 2014","Currency=INR","Period=FQ","BEST_FPERIOD_OVERRIDE=FQ","FILING_STATUS=OR","EQY_CONSOLIDATED=Y","Sort=A","Dates=H","DateFormat=P","Fill=—","Direction=H","UseDPDF=Y")</f>
        <v>#NAME?</v>
      </c>
      <c r="BX582" s="2" t="e">
        <f ca="1">_xll.BDH($C$578,"CFO_SEQUENTIAL_GROWTH","FQ4 2014","FQ4 2014","Currency=INR","Period=FQ","BEST_FPERIOD_OVERRIDE=FQ","FILING_STATUS=OR","EQY_CONSOLIDATED=Y","Sort=A","Dates=H","DateFormat=P","Fill=—","Direction=H","UseDPDF=Y")</f>
        <v>#NAME?</v>
      </c>
      <c r="BY582" s="3" t="e">
        <f ca="1">_xll.BDH($C$578,"SHORT_AND_LONG_TERM_DEBT","FQ4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582" s="3" t="e">
        <f ca="1">_xll.BDH($C$578,"BS_ST_BORROW","FQ4 2014","FQ4 2014","Currency=INR","Period=FQ","BEST_FPERIOD_OVERRIDE=FQ","FILING_STATUS=OR","EQY_CONSOLIDATED=Y","SCALING_FORMAT=MLN","Sort=A","Dates=H","DateFormat=P","Fill=—","Direction=H","UseDPDF=Y")</f>
        <v>#NAME?</v>
      </c>
      <c r="CA582" s="3" t="e">
        <f ca="1">_xll.BDH($C$578,"BS_LT_BORROW","FQ4 2014","FQ4 2014","Currency=INR","Period=FQ","BEST_FPERIOD_OVERRIDE=FQ","FILING_STATUS=OR","EQY_CONSOLIDATED=Y","SCALING_FORMAT=MLN","Sort=A","Dates=H","DateFormat=P","Fill=—","Direction=H","UseDPDF=Y")</f>
        <v>#NAME?</v>
      </c>
      <c r="CB582" s="2" t="e">
        <f ca="1">_xll.BDH($C$578,"TOT_DEBT_TO_EBITDA","FQ4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582" s="2" t="e">
        <f ca="1">_xll.BDH($C$578,"NET_DEBT_TO_EBITDA","FQ4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582" s="2" t="e">
        <f ca="1">_xll.BDH($C$578,"TOTAL_DEBT_TO_EBIT","FQ4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582" s="2" t="e">
        <f ca="1">_xll.BDH($C$578,"NET_DEBT_TO_EBIT","FQ4 2014","FQ4 2014","Currency=INR","Period=FQ","BEST_FPERIOD_OVERRIDE=FQ","FILING_STATUS=OR","EQY_CONSOLIDATED=Y","FA_ADJUSTED=GAAP","Sort=A","Dates=H","DateFormat=P","Fill=—","Direction=H","UseDPDF=Y")</f>
        <v>#NAME?</v>
      </c>
      <c r="CF582" s="2" t="e">
        <f ca="1">_xll.BDH($C$578,"EBITDA_TO_INTEREST_EXPN","FQ4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582" s="2" t="e">
        <f ca="1">_xll.BDH($C$578,"COM_EQY_TO_TOT_ASSET","FQ4 2014","FQ4 2014","Currency=INR","Period=FQ","BEST_FPERIOD_OVERRIDE=FQ","FILING_STATUS=OR","EQY_CONSOLIDATED=Y","Sort=A","Dates=H","DateFormat=P","Fill=—","Direction=H","UseDPDF=Y")</f>
        <v>#NAME?</v>
      </c>
      <c r="CH582" s="2" t="e">
        <f ca="1">_xll.BDH($C$578,"LT_DEBT_TO_TOT_EQY","FQ4 2014","FQ4 2014","Currency=INR","Period=FQ","BEST_FPERIOD_OVERRIDE=FQ","FILING_STATUS=OR","EQY_CONSOLIDATED=Y","Sort=A","Dates=H","DateFormat=P","Fill=—","Direction=H","UseDPDF=Y")</f>
        <v>#NAME?</v>
      </c>
      <c r="CI582" s="2" t="e">
        <f ca="1">_xll.BDH($C$578,"LT_DEBT_TO_TOT_CAP","FQ4 2014","FQ4 2014","Currency=INR","Period=FQ","BEST_FPERIOD_OVERRIDE=FQ","FILING_STATUS=OR","EQY_CONSOLIDATED=Y","Sort=A","Dates=H","DateFormat=P","Fill=—","Direction=H","UseDPDF=Y")</f>
        <v>#NAME?</v>
      </c>
      <c r="CJ582" s="2" t="e">
        <f ca="1">_xll.BDH($C$578,"LT_DEBT_TO_TOT_ASSET","FQ4 2014","FQ4 2014","Currency=INR","Period=FQ","BEST_FPERIOD_OVERRIDE=FQ","FILING_STATUS=OR","EQY_CONSOLIDATED=Y","Sort=A","Dates=H","DateFormat=P","Fill=—","Direction=H","UseDPDF=Y")</f>
        <v>#NAME?</v>
      </c>
      <c r="CK582" s="2" t="e">
        <f ca="1">_xll.BDH($C$578,"TOT_DEBT_TO_TOT_EQY","FQ4 2014","FQ4 2014","Currency=INR","Period=FQ","BEST_FPERIOD_OVERRIDE=FQ","FILING_STATUS=OR","EQY_CONSOLIDATED=Y","Sort=A","Dates=H","DateFormat=P","Fill=—","Direction=H","UseDPDF=Y")</f>
        <v>#NAME?</v>
      </c>
      <c r="CL582" s="2" t="e">
        <f ca="1">_xll.BDH($C$578,"TOT_DEBT_TO_TOT_CAP","FQ4 2014","FQ4 2014","Currency=INR","Period=FQ","BEST_FPERIOD_OVERRIDE=FQ","FILING_STATUS=OR","EQY_CONSOLIDATED=Y","Sort=A","Dates=H","DateFormat=P","Fill=—","Direction=H","UseDPDF=Y")</f>
        <v>#NAME?</v>
      </c>
      <c r="CM582" s="2" t="e">
        <f ca="1">_xll.BDH($C$578,"TOT_DEBT_TO_TOT_ASSET","FQ4 2014","FQ4 2014","Currency=INR","Period=FQ","BEST_FPERIOD_OVERRIDE=FQ","FILING_STATUS=OR","EQY_CONSOLIDATED=Y","Sort=A","Dates=H","DateFormat=P","Fill=—","Direction=H","UseDPDF=Y")</f>
        <v>#NAME?</v>
      </c>
      <c r="CN582" s="2" t="e">
        <f ca="1">_xll.BDH($C$578,"NET_DEBT_TO_SHRHLDR_EQTY","FQ4 2014","FQ4 2014","Currency=INR","Period=FQ","BEST_FPERIOD_OVERRIDE=FQ","FILING_STATUS=OR","EQY_CONSOLIDATED=Y","Sort=A","Dates=H","DateFormat=P","Fill=—","Direction=H","UseDPDF=Y")</f>
        <v>#NAME?</v>
      </c>
      <c r="CO582" s="2" t="e">
        <f ca="1">_xll.BDH($C$578,"NET_DEBT_%_CAPITAL","FQ4 2014","FQ4 2014","Currency=INR","Period=FQ","BEST_FPERIOD_OVERRIDE=FQ","FILING_STATUS=OR","EQY_CONSOLIDATED=Y","Sort=A","Dates=H","DateFormat=P","Fill=—","Direction=H","UseDPDF=Y")</f>
        <v>#NAME?</v>
      </c>
      <c r="CP582" s="3" t="e">
        <f ca="1">_xll.BDH($C$578,"EBITDA","FQ4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582" s="3" t="e">
        <f ca="1">_xll.BDH($C$578,"EBITDA_AFTER_CAPEX","FQ4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582" s="3" t="e">
        <f ca="1">_xll.BDH($C$578,"IS_OPER_INC","FQ4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582" s="2" t="e">
        <f ca="1">_xll.BDH($C$578,"CASH_RATIO","FQ4 2014","FQ4 2014","Currency=INR","Period=FQ","BEST_FPERIOD_OVERRIDE=FQ","FILING_STATUS=OR","EQY_CONSOLIDATED=Y","Sort=A","Dates=H","DateFormat=P","Fill=—","Direction=H","UseDPDF=Y")</f>
        <v>#NAME?</v>
      </c>
      <c r="CT582" s="2" t="e">
        <f ca="1">_xll.BDH($C$578,"CUR_RATIO","FQ4 2014","FQ4 2014","Currency=INR","Period=FQ","BEST_FPERIOD_OVERRIDE=FQ","FILING_STATUS=OR","EQY_CONSOLIDATED=Y","Sort=A","Dates=H","DateFormat=P","Fill=—","Direction=H","UseDPDF=Y")</f>
        <v>#NAME?</v>
      </c>
      <c r="CU582" s="2" t="e">
        <f ca="1">_xll.BDH($C$578,"QUICK_RATIO","FQ4 2014","FQ4 2014","Currency=INR","Period=FQ","BEST_FPERIOD_OVERRIDE=FQ","FILING_STATUS=OR","EQY_CONSOLIDATED=Y","Sort=A","Dates=H","DateFormat=P","Fill=—","Direction=H","UseDPDF=Y")</f>
        <v>#NAME?</v>
      </c>
      <c r="CV582" s="2" t="e">
        <f ca="1">_xll.BDH($C$578,"ALTMAN_Z_SCORE","FQ4 2014","FQ4 2014","Currency=INR","Period=FQ","BEST_FPERIOD_OVERRIDE=FQ","FILING_STATUS=OR","EQY_CONSOLIDATED=Y","Sort=A","Dates=H","DateFormat=P","Fill=—","Direction=H","UseDPDF=Y")</f>
        <v>#NAME?</v>
      </c>
      <c r="CW582" s="4" t="e">
        <f ca="1">_xll.BDH($C$578,"ACCT_RCV_TURN","FQ4 2014","FQ4 2014","Currency=INR","Period=FQ","BEST_FPERIOD_OVERRIDE=FQ","FILING_STATUS=OR","EQY_CONSOLIDATED=Y","FA_ADJUSTED=GAAP","Sort=A","Dates=H","DateFormat=P","Fill=—","Direction=H","UseDPDF=Y")</f>
        <v>#NAME?</v>
      </c>
      <c r="CX582" s="2" t="e">
        <f ca="1">_xll.BDH($C$578,"ACCT_RCV_DAYS","FQ4 2014","FQ4 2014","Currency=INR","Period=FQ","BEST_FPERIOD_OVERRIDE=FQ","FILING_STATUS=OR","EQY_CONSOLIDATED=Y","FA_ADJUSTED=GAAP","Sort=A","Dates=H","DateFormat=P","Fill=—","Direction=H","UseDPDF=Y")</f>
        <v>#NAME?</v>
      </c>
      <c r="CY582" s="4" t="e">
        <f ca="1">_xll.BDH($C$578,"INVENT_TURN","FQ4 2014","FQ4 2014","Currency=INR","Period=FQ","BEST_FPERIOD_OVERRIDE=FQ","FILING_STATUS=OR","EQY_CONSOLIDATED=Y","FA_ADJUSTED=GAAP","Sort=A","Dates=H","DateFormat=P","Fill=—","Direction=H","UseDPDF=Y")</f>
        <v>#NAME?</v>
      </c>
      <c r="CZ582" s="2" t="e">
        <f ca="1">_xll.BDH($C$578,"INVENT_DAYS","FQ4 2014","FQ4 2014","Currency=INR","Period=FQ","BEST_FPERIOD_OVERRIDE=FQ","FILING_STATUS=OR","EQY_CONSOLIDATED=Y","FA_ADJUSTED=GAAP","Sort=A","Dates=H","DateFormat=P","Fill=—","Direction=H","UseDPDF=Y")</f>
        <v>#NAME?</v>
      </c>
      <c r="DA582" s="4" t="e">
        <f ca="1">_xll.BDH($C$578,"ACCOUNTS_PAYABLE_TURNOVER","FQ4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582" s="2" t="e">
        <f ca="1">_xll.BDH($C$578,"ACCOUNTS_PAYABLE_TURNOVER_DAYS","FQ4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582" s="4" t="e">
        <f ca="1">_xll.BDH($C$578,"CASH_CONVERSION_CYCLE","FQ4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582" s="4" t="e">
        <f ca="1">_xll.BDH($C$578,"INV_TO_CASH_DAYS","FQ4 2014","FQ4 2014","Currency=INR","Period=FQ","BEST_FPERIOD_OVERRIDE=FQ","FILING_STATUS=OR","EQY_CONSOLIDATED=Y","FA_ADJUSTED=GAAP","Sort=A","Dates=H","DateFormat=P","Fill=—","Direction=H","UseDPDF=Y")</f>
        <v>#NAME?</v>
      </c>
      <c r="DE582" s="5" t="e">
        <f ca="1">_xll.BDH($C$578,"BS_INVENTORIES","FQ4 2014","FQ4 2014","Currency=INR","Period=FQ","BEST_FPERIOD_OVERRIDE=FQ","FILING_STATUS=OR","EQY_CONSOLIDATED=Y","SCALING_FORMAT=MLN","Sort=A","Dates=H","DateFormat=P","Fill=—","Direction=H","UseDPDF=Y")</f>
        <v>#NAME?</v>
      </c>
      <c r="DF582" s="3" t="e">
        <f ca="1">_xll.BDH($C$578,"INVTRY_RAW_MATERIALS","FQ4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582" s="3" t="e">
        <f ca="1">_xll.BDH($C$578,"INVTRY_IN_PROGRESS","FQ4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582" s="3" t="e">
        <f ca="1">_xll.BDH($C$578,"INVTRY_FINISHED_GOODS","FQ4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582" s="3" t="e">
        <f ca="1">_xll.BDH($C$578,"BS_OTHER_INV","FQ4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583" spans="1:113" x14ac:dyDescent="0.3">
      <c r="A583" s="6"/>
      <c r="B583" s="6"/>
      <c r="C583" s="6"/>
      <c r="D583" s="6" t="s">
        <v>82</v>
      </c>
      <c r="E583" t="s">
        <v>77</v>
      </c>
      <c r="F583" t="e">
        <f ca="1">_xll.BDH($C$578,"RETURN_COM_EQY","FY 2015","FY 2015","Currency=INR","Period=FY","BEST_FPERIOD_OVERRIDE=FY","FILING_STATUS=OR","EQY_CONSOLIDATED=Y","FA_ADJUSTED=GAAP","Sort=A","Dates=H","DateFormat=P","Fill=—","Direction=H","UseDPDF=Y")</f>
        <v>#NAME?</v>
      </c>
      <c r="G583" t="e">
        <f ca="1">_xll.BDH($C$578,"RETURN_ON_ASSET","FY 2015","FY 2015","Currency=INR","Period=FY","BEST_FPERIOD_OVERRIDE=FY","FILING_STATUS=OR","EQY_CONSOLIDATED=Y","FA_ADJUSTED=GAAP","Sort=A","Dates=H","DateFormat=P","Fill=—","Direction=H","UseDPDF=Y")</f>
        <v>#NAME?</v>
      </c>
      <c r="H583" t="e">
        <f ca="1">_xll.BDH($C$578,"RETURN_ON_CAP","FY 2015","FY 2015","Currency=INR","Period=FY","BEST_FPERIOD_OVERRIDE=FY","FILING_STATUS=OR","EQY_CONSOLIDATED=Y","FA_ADJUSTED=GAAP","Sort=A","Dates=H","DateFormat=P","Fill=—","Direction=H","UseDPDF=Y")</f>
        <v>#NAME?</v>
      </c>
      <c r="I583" t="e">
        <f ca="1">_xll.BDH($C$578,"RETURN_ON_INV_CAPITAL","FY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583" t="e">
        <f ca="1">_xll.BDH($C$578,"EBITDA_TO_REVENUE","FY 2015","FY 2015","Currency=INR","Period=FY","BEST_FPERIOD_OVERRIDE=FY","FILING_STATUS=OR","EQY_CONSOLIDATED=Y","FA_ADJUSTED=GAAP","Sort=A","Dates=H","DateFormat=P","Fill=—","Direction=H","UseDPDF=Y")</f>
        <v>#NAME?</v>
      </c>
      <c r="K583" t="e">
        <f ca="1">_xll.BDH($C$578,"OPER_MARGIN","FY 2015","FY 2015","Currency=INR","Period=FY","BEST_FPERIOD_OVERRIDE=FY","FILING_STATUS=OR","EQY_CONSOLIDATED=Y","FA_ADJUSTED=GAAP","Sort=A","Dates=H","DateFormat=P","Fill=—","Direction=H","UseDPDF=Y")</f>
        <v>#NAME?</v>
      </c>
      <c r="L583" t="e">
        <f ca="1">_xll.BDH($C$578,"INCREMENTAL_OPERATING_MARGIN","FY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583" t="e">
        <f ca="1">_xll.BDH($C$578,"PRETAX_INC_TO_NET_SALES","FY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583" t="e">
        <f ca="1">_xll.BDH($C$578,"INC_BEF_XO_ITEMS_TO_NET_SALES","FY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583" t="e">
        <f ca="1">_xll.BDH($C$578,"PROF_MARGIN","FY 2015","FY 2015","Currency=INR","Period=FY","BEST_FPERIOD_OVERRIDE=FY","FILING_STATUS=OR","EQY_CONSOLIDATED=Y","FA_ADJUSTED=GAAP","Sort=A","Dates=H","DateFormat=P","Fill=—","Direction=H","UseDPDF=Y")</f>
        <v>#NAME?</v>
      </c>
      <c r="P583" t="e">
        <f ca="1">_xll.BDH($C$578,"NET_INCOME_TO_COMMON_MARGIN","FY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583" t="e">
        <f ca="1">_xll.BDH($C$578,"EFF_TAX_RATE","FY 2015","FY 2015","Currency=INR","Period=FY","BEST_FPERIOD_OVERRIDE=FY","FILING_STATUS=OR","EQY_CONSOLIDATED=Y","FA_ADJUSTED=GAAP","Sort=A","Dates=H","DateFormat=P","Fill=—","Direction=H","UseDPDF=Y")</f>
        <v>#NAME?</v>
      </c>
      <c r="R583" t="e">
        <f ca="1">_xll.BDH($C$578,"DVD_PAYOUT_RATIO","FY 2015","FY 2015","Currency=INR","Period=FY","BEST_FPERIOD_OVERRIDE=FY","FILING_STATUS=OR","EQY_CONSOLIDATED=Y","FA_ADJUSTED=GAAP","Sort=A","Dates=H","DateFormat=P","Fill=—","Direction=H","UseDPDF=Y")</f>
        <v>#NAME?</v>
      </c>
      <c r="S583" t="e">
        <f ca="1">_xll.BDH($C$578,"SUSTAIN_GROWTH_RT","FY 2015","FY 2015","Currency=INR","Period=FY","BEST_FPERIOD_OVERRIDE=FY","FILING_STATUS=OR","EQY_CONSOLIDATED=Y","FA_ADJUSTED=GAAP","Sort=A","Dates=H","DateFormat=P","Fill=—","Direction=H","UseDPDF=Y")</f>
        <v>#NAME?</v>
      </c>
      <c r="T583" s="2" t="e">
        <f ca="1">_xll.BDH($C$578,"SALES_GROWTH","FY 2015","FY 2015","Currency=INR","Period=FY","BEST_FPERIOD_OVERRIDE=FY","FILING_STATUS=OR","EQY_CONSOLIDATED=Y","FA_ADJUSTED=GAAP","Sort=A","Dates=H","DateFormat=P","Fill=—","Direction=H","UseDPDF=Y")</f>
        <v>#NAME?</v>
      </c>
      <c r="U583" s="2" t="e">
        <f ca="1">_xll.BDH($C$578,"EBITDA_GROWTH","FY 2015","FY 2015","Currency=INR","Period=FY","BEST_FPERIOD_OVERRIDE=FY","FILING_STATUS=OR","EQY_CONSOLIDATED=Y","FA_ADJUSTED=GAAP","Sort=A","Dates=H","DateFormat=P","Fill=—","Direction=H","UseDPDF=Y")</f>
        <v>#NAME?</v>
      </c>
      <c r="V583" s="2" t="e">
        <f ca="1">_xll.BDH($C$578,"OPER_INC_GROWTH","FY 2015","FY 2015","Currency=INR","Period=FY","BEST_FPERIOD_OVERRIDE=FY","FILING_STATUS=OR","EQY_CONSOLIDATED=Y","FA_ADJUSTED=GAAP","Sort=A","Dates=H","DateFormat=P","Fill=—","Direction=H","UseDPDF=Y")</f>
        <v>#NAME?</v>
      </c>
      <c r="W583" s="2" t="e">
        <f ca="1">_xll.BDH($C$578,"EARN_FOR_COM_GROWTH","FY 2015","FY 2015","Currency=INR","Period=FY","BEST_FPERIOD_OVERRIDE=FY","FILING_STATUS=OR","EQY_CONSOLIDATED=Y","FA_ADJUSTED=GAAP","Sort=A","Dates=H","DateFormat=P","Fill=—","Direction=H","UseDPDF=Y")</f>
        <v>#NAME?</v>
      </c>
      <c r="X583" s="2" t="e">
        <f ca="1">_xll.BDH($C$578,"DILUTED_EPS_AFT_XO_ITEMS_GROWTH","FY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583" s="2" t="e">
        <f ca="1">_xll.BDH($C$578,"DIVIDEND_PER_SHARE_1_YEAR_GROWTH","FY 2015","FY 2015","Currency=INR","Period=FY","BEST_FPERIOD_OVERRIDE=FY","FILING_STATUS=OR","EQY_CONSOLIDATED=Y","Sort=A","Dates=H","DateFormat=P","Fill=—","Direction=H","UseDPDF=Y")</f>
        <v>#NAME?</v>
      </c>
      <c r="Z583" s="2" t="e">
        <f ca="1">_xll.BDH($C$578,"ACCOUNTS_RECEIVABLE_GROWTH","FY 2015","FY 2015","Currency=INR","Period=FY","BEST_FPERIOD_OVERRIDE=FY","FILING_STATUS=OR","EQY_CONSOLIDATED=Y","Sort=A","Dates=H","DateFormat=P","Fill=—","Direction=H","UseDPDF=Y")</f>
        <v>#NAME?</v>
      </c>
      <c r="AA583" s="2" t="e">
        <f ca="1">_xll.BDH($C$578,"INVENTORY_GROWTH","FY 2015","FY 2015","Currency=INR","Period=FY","BEST_FPERIOD_OVERRIDE=FY","FILING_STATUS=OR","EQY_CONSOLIDATED=Y","Sort=A","Dates=H","DateFormat=P","Fill=—","Direction=H","UseDPDF=Y")</f>
        <v>#NAME?</v>
      </c>
      <c r="AB583" s="2" t="e">
        <f ca="1">_xll.BDH($C$578,"NET_FIXED_ASSETS_1_YEAR_GROWTH","FY 2015","FY 2015","Currency=INR","Period=FY","BEST_FPERIOD_OVERRIDE=FY","FILING_STATUS=OR","EQY_CONSOLIDATED=Y","Sort=A","Dates=H","DateFormat=P","Fill=—","Direction=H","UseDPDF=Y")</f>
        <v>#NAME?</v>
      </c>
      <c r="AC583" s="2" t="e">
        <f ca="1">_xll.BDH($C$578,"ASSET_GROWTH","FY 2015","FY 2015","Currency=INR","Period=FY","BEST_FPERIOD_OVERRIDE=FY","FILING_STATUS=OR","EQY_CONSOLIDATED=Y","Sort=A","Dates=H","DateFormat=P","Fill=—","Direction=H","UseDPDF=Y")</f>
        <v>#NAME?</v>
      </c>
      <c r="AD583" s="2" t="e">
        <f ca="1">_xll.BDH($C$578,"MODIFIED_WORK_CAP_GROWTH","FY 2015","FY 2015","Currency=INR","Period=FY","BEST_FPERIOD_OVERRIDE=FY","FILING_STATUS=OR","EQY_CONSOLIDATED=Y","Sort=A","Dates=H","DateFormat=P","Fill=—","Direction=H","UseDPDF=Y")</f>
        <v>#NAME?</v>
      </c>
      <c r="AE583" s="2" t="e">
        <f ca="1">_xll.BDH($C$578,"WORK_CAP_GROWTH","FY 2015","FY 2015","Currency=INR","Period=FY","BEST_FPERIOD_OVERRIDE=FY","FILING_STATUS=OR","EQY_CONSOLIDATED=Y","Sort=A","Dates=H","DateFormat=P","Fill=—","Direction=H","UseDPDF=Y")</f>
        <v>#NAME?</v>
      </c>
      <c r="AF583" s="2" t="e">
        <f ca="1">_xll.BDH($C$578,"ACCOUNTS_PAYABLE_GROWTH_1YR","FY 2015","FY 2015","Currency=INR","Period=FY","BEST_FPERIOD_OVERRIDE=FY","FILING_STATUS=OR","EQY_CONSOLIDATED=Y","Sort=A","Dates=H","DateFormat=P","Fill=—","Direction=H","UseDPDF=Y")</f>
        <v>#NAME?</v>
      </c>
      <c r="AG583" s="2" t="e">
        <f ca="1">_xll.BDH($C$578,"SHORT_TERM_DEBT_1_YEAR_GROWTH","FY 2015","FY 2015","Currency=INR","Period=FY","BEST_FPERIOD_OVERRIDE=FY","FILING_STATUS=OR","EQY_CONSOLIDATED=Y","Sort=A","Dates=H","DateFormat=P","Fill=—","Direction=H","UseDPDF=Y")</f>
        <v>#NAME?</v>
      </c>
      <c r="AH583" s="2" t="e">
        <f ca="1">_xll.BDH($C$578,"TOTAL_DEBT_1_YEAR_GROWTH","FY 2015","FY 2015","Currency=INR","Period=FY","BEST_FPERIOD_OVERRIDE=FY","FILING_STATUS=OR","EQY_CONSOLIDATED=Y","Sort=A","Dates=H","DateFormat=P","Fill=—","Direction=H","UseDPDF=Y")</f>
        <v>#NAME?</v>
      </c>
      <c r="AI583" s="2" t="e">
        <f ca="1">_xll.BDH($C$578,"TOTAL_EQUITY_1_YEAR_GROWTH","FY 2015","FY 2015","Currency=INR","Period=FY","BEST_FPERIOD_OVERRIDE=FY","FILING_STATUS=OR","EQY_CONSOLIDATED=Y","Sort=A","Dates=H","DateFormat=P","Fill=—","Direction=H","UseDPDF=Y")</f>
        <v>#NAME?</v>
      </c>
      <c r="AJ583" s="2" t="e">
        <f ca="1">_xll.BDH($C$578,"GROWTH_IN_CAP","FY 2015","FY 2015","Currency=INR","Period=FY","BEST_FPERIOD_OVERRIDE=FY","FILING_STATUS=OR","EQY_CONSOLIDATED=Y","Sort=A","Dates=H","DateFormat=P","Fill=—","Direction=H","UseDPDF=Y")</f>
        <v>#NAME?</v>
      </c>
      <c r="AK583" s="2" t="e">
        <f ca="1">_xll.BDH($C$578,"BVPS_GROWTH","FY 2015","FY 2015","Currency=INR","Period=FY","BEST_FPERIOD_OVERRIDE=FY","FILING_STATUS=OR","EQY_CONSOLIDATED=Y","Sort=A","Dates=H","DateFormat=P","Fill=—","Direction=H","UseDPDF=Y")</f>
        <v>#NAME?</v>
      </c>
      <c r="AL583" s="2" t="e">
        <f ca="1">_xll.BDH($C$578,"CASH_FLOW_GROWTH","FY 2015","FY 2015","Currency=INR","Period=FY","BEST_FPERIOD_OVERRIDE=FY","FILING_STATUS=OR","EQY_CONSOLIDATED=Y","Sort=A","Dates=H","DateFormat=P","Fill=—","Direction=H","UseDPDF=Y")</f>
        <v>#NAME?</v>
      </c>
      <c r="AM583" s="2" t="e">
        <f ca="1">_xll.BDH($C$578,"GEO_GROW_NET_SALES","FY 2015","FY 2015","Currency=INR","Period=FY","BEST_FPERIOD_OVERRIDE=FY","FILING_STATUS=OR","EQY_CONSOLIDATED=Y","FA_ADJUSTED=GAAP","Sort=A","Dates=H","DateFormat=P","Fill=—","Direction=H","UseDPDF=Y")</f>
        <v>#NAME?</v>
      </c>
      <c r="AN583" s="2" t="e">
        <f ca="1">_xll.BDH($C$578,"GEO_GROW_EBITDA","FY 2015","FY 2015","Currency=INR","Period=FY","BEST_FPERIOD_OVERRIDE=FY","FILING_STATUS=OR","EQY_CONSOLIDATED=Y","FA_ADJUSTED=GAAP","Sort=A","Dates=H","DateFormat=P","Fill=—","Direction=H","UseDPDF=Y")</f>
        <v>#NAME?</v>
      </c>
      <c r="AO583" s="2" t="e">
        <f ca="1">_xll.BDH($C$578,"GEO_GROW_OPER_INC","FY 2015","FY 2015","Currency=INR","Period=FY","BEST_FPERIOD_OVERRIDE=FY","FILING_STATUS=OR","EQY_CONSOLIDATED=Y","FA_ADJUSTED=GAAP","Sort=A","Dates=H","DateFormat=P","Fill=—","Direction=H","UseDPDF=Y")</f>
        <v>#NAME?</v>
      </c>
      <c r="AP583" s="2" t="e">
        <f ca="1">_xll.BDH($C$578,"NET_INCOME_TO_COMMON_5_YR_GROWTH","FY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583" s="2" t="e">
        <f ca="1">_xll.BDH($C$578,"5Y_GEO_GROWTH_DILUTED_EPS","FY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583" s="2" t="e">
        <f ca="1">_xll.BDH($C$578,"GEO_GROW_DVD_PER_SH","FY 2015","FY 2015","Currency=INR","Period=FY","BEST_FPERIOD_OVERRIDE=FY","FILING_STATUS=OR","EQY_CONSOLIDATED=Y","Sort=A","Dates=H","DateFormat=P","Fill=—","Direction=H","UseDPDF=Y")</f>
        <v>#NAME?</v>
      </c>
      <c r="AS583" s="2" t="e">
        <f ca="1">_xll.BDH($C$578,"ACCOUNTS_RECEIVABLE_5_YR_GROWTH","FY 2015","FY 2015","Currency=INR","Period=FY","BEST_FPERIOD_OVERRIDE=FY","FILING_STATUS=OR","EQY_CONSOLIDATED=Y","Sort=A","Dates=H","DateFormat=P","Fill=—","Direction=H","UseDPDF=Y")</f>
        <v>#NAME?</v>
      </c>
      <c r="AT583" s="2" t="e">
        <f ca="1">_xll.BDH($C$578,"INVENTORY_5_YEAR_GROWTH","FY 2015","FY 2015","Currency=INR","Period=FY","BEST_FPERIOD_OVERRIDE=FY","FILING_STATUS=OR","EQY_CONSOLIDATED=Y","Sort=A","Dates=H","DateFormat=P","Fill=—","Direction=H","UseDPDF=Y")</f>
        <v>#NAME?</v>
      </c>
      <c r="AU583" s="2" t="e">
        <f ca="1">_xll.BDH($C$578,"NET_FIXED_ASSETS_5_YEAR_GROWTH","FY 2015","FY 2015","Currency=INR","Period=FY","BEST_FPERIOD_OVERRIDE=FY","FILING_STATUS=OR","EQY_CONSOLIDATED=Y","Sort=A","Dates=H","DateFormat=P","Fill=—","Direction=H","UseDPDF=Y")</f>
        <v>#NAME?</v>
      </c>
      <c r="AV583" s="2" t="e">
        <f ca="1">_xll.BDH($C$578,"GEO_GROW_TOT_ASSET","FY 2015","FY 2015","Currency=INR","Period=FY","BEST_FPERIOD_OVERRIDE=FY","FILING_STATUS=OR","EQY_CONSOLIDATED=Y","Sort=A","Dates=H","DateFormat=P","Fill=—","Direction=H","UseDPDF=Y")</f>
        <v>#NAME?</v>
      </c>
      <c r="AW583" s="2" t="e">
        <f ca="1">_xll.BDH($C$578,"MODIFIED_WORKING_CPTL_5YR_GRWTH","FY 2015","FY 2015","Currency=INR","Period=FY","BEST_FPERIOD_OVERRIDE=FY","FILING_STATUS=OR","EQY_CONSOLIDATED=Y","Sort=A","Dates=H","DateFormat=P","Fill=—","Direction=H","UseDPDF=Y")</f>
        <v>#NAME?</v>
      </c>
      <c r="AX583" s="2" t="e">
        <f ca="1">_xll.BDH($C$578,"WORKING_CAPITAL_5_YEAR_GROWTH","FY 2015","FY 2015","Currency=INR","Period=FY","BEST_FPERIOD_OVERRIDE=FY","FILING_STATUS=OR","EQY_CONSOLIDATED=Y","Sort=A","Dates=H","DateFormat=P","Fill=—","Direction=H","UseDPDF=Y")</f>
        <v>#NAME?</v>
      </c>
      <c r="AY583" s="2" t="e">
        <f ca="1">_xll.BDH($C$578,"ACCOUNTS_PAYABLE_5_YEAR_GROWTH","FY 2015","FY 2015","Currency=INR","Period=FY","BEST_FPERIOD_OVERRIDE=FY","FILING_STATUS=OR","EQY_CONSOLIDATED=Y","Sort=A","Dates=H","DateFormat=P","Fill=—","Direction=H","UseDPDF=Y")</f>
        <v>#NAME?</v>
      </c>
      <c r="AZ583" s="2" t="e">
        <f ca="1">_xll.BDH($C$578,"SHORT_TERM_DEBT_5_YEAR_GROWTH","FY 2015","FY 2015","Currency=INR","Period=FY","BEST_FPERIOD_OVERRIDE=FY","FILING_STATUS=OR","EQY_CONSOLIDATED=Y","Sort=A","Dates=H","DateFormat=P","Fill=—","Direction=H","UseDPDF=Y")</f>
        <v>#NAME?</v>
      </c>
      <c r="BA583" s="2" t="e">
        <f ca="1">_xll.BDH($C$578,"TOTAL_DEBT_5_YEAR_GROWTH","FY 2015","FY 2015","Currency=INR","Period=FY","BEST_FPERIOD_OVERRIDE=FY","FILING_STATUS=OR","EQY_CONSOLIDATED=Y","Sort=A","Dates=H","DateFormat=P","Fill=—","Direction=H","UseDPDF=Y")</f>
        <v>#NAME?</v>
      </c>
      <c r="BB583" s="2" t="e">
        <f ca="1">_xll.BDH($C$578,"GEO_GROW_TOT_SHRHLDR_EQY","FY 2015","FY 2015","Currency=INR","Period=FY","BEST_FPERIOD_OVERRIDE=FY","FILING_STATUS=OR","EQY_CONSOLIDATED=Y","Sort=A","Dates=H","DateFormat=P","Fill=—","Direction=H","UseDPDF=Y")</f>
        <v>#NAME?</v>
      </c>
      <c r="BC583" s="2" t="e">
        <f ca="1">_xll.BDH($C$578,"TOTAL_CAPITAL_5_YEAR_GROWTH","FY 2015","FY 2015","Currency=INR","Period=FY","BEST_FPERIOD_OVERRIDE=FY","FILING_STATUS=OR","EQY_CONSOLIDATED=Y","Sort=A","Dates=H","DateFormat=P","Fill=—","Direction=H","UseDPDF=Y")</f>
        <v>#NAME?</v>
      </c>
      <c r="BD583" s="2" t="e">
        <f ca="1">_xll.BDH($C$578,"GEO_GROW_BOOK_VAL","FY 2015","FY 2015","Currency=INR","Period=FY","BEST_FPERIOD_OVERRIDE=FY","FILING_STATUS=OR","EQY_CONSOLIDATED=Y","Sort=A","Dates=H","DateFormat=P","Fill=—","Direction=H","UseDPDF=Y")</f>
        <v>#NAME?</v>
      </c>
      <c r="BE583" s="2" t="e">
        <f ca="1">_xll.BDH($C$578,"GEO_GROW_CASH_OPER_ACT","FY 2015","FY 2015","Currency=INR","Period=FY","BEST_FPERIOD_OVERRIDE=FY","FILING_STATUS=OR","EQY_CONSOLIDATED=Y","Sort=A","Dates=H","DateFormat=P","Fill=—","Direction=H","UseDPDF=Y")</f>
        <v>#NAME?</v>
      </c>
      <c r="BF583" s="2" t="e">
        <f ca="1">_xll.BDH($C$578,"REVENUE_SEQUENTIAL_GROWTH","FY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583" s="2" t="e">
        <f ca="1">_xll.BDH($C$578,"EBITDA_SEQUENTIAL_GROWTH","FY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583" s="2" t="e">
        <f ca="1">_xll.BDH($C$578,"OPERATING_INCOME_SEQ_GROWTH","FY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583" s="2" t="e">
        <f ca="1">_xll.BDH($C$578,"NET_INCOME_TO_COMMON_SEQ_GROWTH","FY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583" s="2" t="e">
        <f ca="1">_xll.BDH($C$578,"EPS_DILUTED_SEQUENTIAL_GROWTH","FY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583" s="2" t="e">
        <f ca="1">_xll.BDH($C$578,"DPS_SEQUENTIAL_GROWTH","FY 2015","FY 2015","Currency=INR","Period=FY","BEST_FPERIOD_OVERRIDE=FY","FILING_STATUS=OR","EQY_CONSOLIDATED=Y","Sort=A","Dates=H","DateFormat=P","Fill=—","Direction=H","UseDPDF=Y")</f>
        <v>#NAME?</v>
      </c>
      <c r="BL583" s="2" t="e">
        <f ca="1">_xll.BDH($C$578,"ACCOUNTS_RECEIVABLE_SEQ_GROWTH","FY 2015","FY 2015","Currency=INR","Period=FY","BEST_FPERIOD_OVERRIDE=FY","FILING_STATUS=OR","EQY_CONSOLIDATED=Y","Sort=A","Dates=H","DateFormat=P","Fill=—","Direction=H","UseDPDF=Y")</f>
        <v>#NAME?</v>
      </c>
      <c r="BM583" s="2" t="e">
        <f ca="1">_xll.BDH($C$578,"INVENTORY_SEQUENTIAL_GROWTH","FY 2015","FY 2015","Currency=INR","Period=FY","BEST_FPERIOD_OVERRIDE=FY","FILING_STATUS=OR","EQY_CONSOLIDATED=Y","Sort=A","Dates=H","DateFormat=P","Fill=—","Direction=H","UseDPDF=Y")</f>
        <v>#NAME?</v>
      </c>
      <c r="BN583" s="2" t="e">
        <f ca="1">_xll.BDH($C$578,"FIXED_ASSETS_SEQUENTIAL_GROWTH","FY 2015","FY 2015","Currency=INR","Period=FY","BEST_FPERIOD_OVERRIDE=FY","FILING_STATUS=OR","EQY_CONSOLIDATED=Y","Sort=A","Dates=H","DateFormat=P","Fill=—","Direction=H","UseDPDF=Y")</f>
        <v>#NAME?</v>
      </c>
      <c r="BO583" s="2" t="e">
        <f ca="1">_xll.BDH($C$578,"TOTAL_ASSETS_SEQUENTIAL_GROWTH","FY 2015","FY 2015","Currency=INR","Period=FY","BEST_FPERIOD_OVERRIDE=FY","FILING_STATUS=OR","EQY_CONSOLIDATED=Y","Sort=A","Dates=H","DateFormat=P","Fill=—","Direction=H","UseDPDF=Y")</f>
        <v>#NAME?</v>
      </c>
      <c r="BP583" s="2" t="e">
        <f ca="1">_xll.BDH($C$578,"MODIFIED_WORKING_CPTL_SEQ_GRWTH","FY 2015","FY 2015","Currency=INR","Period=FY","BEST_FPERIOD_OVERRIDE=FY","FILING_STATUS=OR","EQY_CONSOLIDATED=Y","Sort=A","Dates=H","DateFormat=P","Fill=—","Direction=H","UseDPDF=Y")</f>
        <v>#NAME?</v>
      </c>
      <c r="BQ583" s="2" t="e">
        <f ca="1">_xll.BDH($C$578,"WORKING_CAPITAL_SEQ_GROWTH","FY 2015","FY 2015","Currency=INR","Period=FY","BEST_FPERIOD_OVERRIDE=FY","FILING_STATUS=OR","EQY_CONSOLIDATED=Y","Sort=A","Dates=H","DateFormat=P","Fill=—","Direction=H","UseDPDF=Y")</f>
        <v>#NAME?</v>
      </c>
      <c r="BR583" s="2" t="e">
        <f ca="1">_xll.BDH($C$578,"ACCOUNTS_PAYABLE_SEQ_GROWTH","FY 2015","FY 2015","Currency=INR","Period=FY","BEST_FPERIOD_OVERRIDE=FY","FILING_STATUS=OR","EQY_CONSOLIDATED=Y","Sort=A","Dates=H","DateFormat=P","Fill=—","Direction=H","UseDPDF=Y")</f>
        <v>#NAME?</v>
      </c>
      <c r="BS583" s="2" t="e">
        <f ca="1">_xll.BDH($C$578,"ST_DEBT_SEQUENTIAL_GROWTH","FY 2015","FY 2015","Currency=INR","Period=FY","BEST_FPERIOD_OVERRIDE=FY","FILING_STATUS=OR","EQY_CONSOLIDATED=Y","Sort=A","Dates=H","DateFormat=P","Fill=—","Direction=H","UseDPDF=Y")</f>
        <v>#NAME?</v>
      </c>
      <c r="BT583" s="2" t="e">
        <f ca="1">_xll.BDH($C$578,"TOTAL_DEBT_SEQUENTIAL_GROWTH","FY 2015","FY 2015","Currency=INR","Period=FY","BEST_FPERIOD_OVERRIDE=FY","FILING_STATUS=OR","EQY_CONSOLIDATED=Y","Sort=A","Dates=H","DateFormat=P","Fill=—","Direction=H","UseDPDF=Y")</f>
        <v>#NAME?</v>
      </c>
      <c r="BU583" s="2" t="e">
        <f ca="1">_xll.BDH($C$578,"TOTAL_EQUITY_SEQUENTIAL_GROWTH","FY 2015","FY 2015","Currency=INR","Period=FY","BEST_FPERIOD_OVERRIDE=FY","FILING_STATUS=OR","EQY_CONSOLIDATED=Y","Sort=A","Dates=H","DateFormat=P","Fill=—","Direction=H","UseDPDF=Y")</f>
        <v>#NAME?</v>
      </c>
      <c r="BV583" s="2" t="e">
        <f ca="1">_xll.BDH($C$578,"TOTAL_CAPITAL_SEQUENTIAL_GROWTH","FY 2015","FY 2015","Currency=INR","Period=FY","BEST_FPERIOD_OVERRIDE=FY","FILING_STATUS=OR","EQY_CONSOLIDATED=Y","Sort=A","Dates=H","DateFormat=P","Fill=—","Direction=H","UseDPDF=Y")</f>
        <v>#NAME?</v>
      </c>
      <c r="BW583" s="2" t="e">
        <f ca="1">_xll.BDH($C$578,"BPS_SEQUENTIAL_GROWTH","FY 2015","FY 2015","Currency=INR","Period=FY","BEST_FPERIOD_OVERRIDE=FY","FILING_STATUS=OR","EQY_CONSOLIDATED=Y","Sort=A","Dates=H","DateFormat=P","Fill=—","Direction=H","UseDPDF=Y")</f>
        <v>#NAME?</v>
      </c>
      <c r="BX583" s="2" t="e">
        <f ca="1">_xll.BDH($C$578,"CFO_SEQUENTIAL_GROWTH","FY 2015","FY 2015","Currency=INR","Period=FY","BEST_FPERIOD_OVERRIDE=FY","FILING_STATUS=OR","EQY_CONSOLIDATED=Y","Sort=A","Dates=H","DateFormat=P","Fill=—","Direction=H","UseDPDF=Y")</f>
        <v>#NAME?</v>
      </c>
      <c r="BY583" s="3" t="e">
        <f ca="1">_xll.BDH($C$578,"SHORT_AND_LONG_TERM_DEBT","FY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583" s="3" t="e">
        <f ca="1">_xll.BDH($C$578,"BS_ST_BORROW","FY 2015","FY 2015","Currency=INR","Period=FY","BEST_FPERIOD_OVERRIDE=FY","FILING_STATUS=OR","EQY_CONSOLIDATED=Y","SCALING_FORMAT=MLN","Sort=A","Dates=H","DateFormat=P","Fill=—","Direction=H","UseDPDF=Y")</f>
        <v>#NAME?</v>
      </c>
      <c r="CA583" s="3" t="e">
        <f ca="1">_xll.BDH($C$578,"BS_LT_BORROW","FY 2015","FY 2015","Currency=INR","Period=FY","BEST_FPERIOD_OVERRIDE=FY","FILING_STATUS=OR","EQY_CONSOLIDATED=Y","SCALING_FORMAT=MLN","Sort=A","Dates=H","DateFormat=P","Fill=—","Direction=H","UseDPDF=Y")</f>
        <v>#NAME?</v>
      </c>
      <c r="CB583" s="2" t="e">
        <f ca="1">_xll.BDH($C$578,"TOT_DEBT_TO_EBITDA","FY 2015","FY 2015","Currency=INR","Period=FY","BEST_FPERIOD_OVERRIDE=FY","FILING_STATUS=OR","EQY_CONSOLIDATED=Y","FA_ADJUSTED=GAAP","Sort=A","Dates=H","DateFormat=P","Fill=—","Direction=H","UseDPDF=Y")</f>
        <v>#NAME?</v>
      </c>
      <c r="CC583" s="2" t="e">
        <f ca="1">_xll.BDH($C$578,"NET_DEBT_TO_EBITDA","FY 2015","FY 2015","Currency=INR","Period=FY","BEST_FPERIOD_OVERRIDE=FY","FILING_STATUS=OR","EQY_CONSOLIDATED=Y","FA_ADJUSTED=GAAP","Sort=A","Dates=H","DateFormat=P","Fill=—","Direction=H","UseDPDF=Y")</f>
        <v>#NAME?</v>
      </c>
      <c r="CD583" s="2" t="e">
        <f ca="1">_xll.BDH($C$578,"TOTAL_DEBT_TO_EBIT","FY 2015","FY 2015","Currency=INR","Period=FY","BEST_FPERIOD_OVERRIDE=FY","FILING_STATUS=OR","EQY_CONSOLIDATED=Y","FA_ADJUSTED=GAAP","Sort=A","Dates=H","DateFormat=P","Fill=—","Direction=H","UseDPDF=Y")</f>
        <v>#NAME?</v>
      </c>
      <c r="CE583" s="2" t="e">
        <f ca="1">_xll.BDH($C$578,"NET_DEBT_TO_EBIT","FY 2015","FY 2015","Currency=INR","Period=FY","BEST_FPERIOD_OVERRIDE=FY","FILING_STATUS=OR","EQY_CONSOLIDATED=Y","FA_ADJUSTED=GAAP","Sort=A","Dates=H","DateFormat=P","Fill=—","Direction=H","UseDPDF=Y")</f>
        <v>#NAME?</v>
      </c>
      <c r="CF583" s="2" t="e">
        <f ca="1">_xll.BDH($C$578,"EBITDA_TO_INTEREST_EXPN","FY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583" s="2" t="e">
        <f ca="1">_xll.BDH($C$578,"COM_EQY_TO_TOT_ASSET","FY 2015","FY 2015","Currency=INR","Period=FY","BEST_FPERIOD_OVERRIDE=FY","FILING_STATUS=OR","EQY_CONSOLIDATED=Y","Sort=A","Dates=H","DateFormat=P","Fill=—","Direction=H","UseDPDF=Y")</f>
        <v>#NAME?</v>
      </c>
      <c r="CH583" s="2" t="e">
        <f ca="1">_xll.BDH($C$578,"LT_DEBT_TO_TOT_EQY","FY 2015","FY 2015","Currency=INR","Period=FY","BEST_FPERIOD_OVERRIDE=FY","FILING_STATUS=OR","EQY_CONSOLIDATED=Y","Sort=A","Dates=H","DateFormat=P","Fill=—","Direction=H","UseDPDF=Y")</f>
        <v>#NAME?</v>
      </c>
      <c r="CI583" s="2" t="e">
        <f ca="1">_xll.BDH($C$578,"LT_DEBT_TO_TOT_CAP","FY 2015","FY 2015","Currency=INR","Period=FY","BEST_FPERIOD_OVERRIDE=FY","FILING_STATUS=OR","EQY_CONSOLIDATED=Y","Sort=A","Dates=H","DateFormat=P","Fill=—","Direction=H","UseDPDF=Y")</f>
        <v>#NAME?</v>
      </c>
      <c r="CJ583" s="2" t="e">
        <f ca="1">_xll.BDH($C$578,"LT_DEBT_TO_TOT_ASSET","FY 2015","FY 2015","Currency=INR","Period=FY","BEST_FPERIOD_OVERRIDE=FY","FILING_STATUS=OR","EQY_CONSOLIDATED=Y","Sort=A","Dates=H","DateFormat=P","Fill=—","Direction=H","UseDPDF=Y")</f>
        <v>#NAME?</v>
      </c>
      <c r="CK583" s="2" t="e">
        <f ca="1">_xll.BDH($C$578,"TOT_DEBT_TO_TOT_EQY","FY 2015","FY 2015","Currency=INR","Period=FY","BEST_FPERIOD_OVERRIDE=FY","FILING_STATUS=OR","EQY_CONSOLIDATED=Y","Sort=A","Dates=H","DateFormat=P","Fill=—","Direction=H","UseDPDF=Y")</f>
        <v>#NAME?</v>
      </c>
      <c r="CL583" s="2" t="e">
        <f ca="1">_xll.BDH($C$578,"TOT_DEBT_TO_TOT_CAP","FY 2015","FY 2015","Currency=INR","Period=FY","BEST_FPERIOD_OVERRIDE=FY","FILING_STATUS=OR","EQY_CONSOLIDATED=Y","Sort=A","Dates=H","DateFormat=P","Fill=—","Direction=H","UseDPDF=Y")</f>
        <v>#NAME?</v>
      </c>
      <c r="CM583" s="2" t="e">
        <f ca="1">_xll.BDH($C$578,"TOT_DEBT_TO_TOT_ASSET","FY 2015","FY 2015","Currency=INR","Period=FY","BEST_FPERIOD_OVERRIDE=FY","FILING_STATUS=OR","EQY_CONSOLIDATED=Y","Sort=A","Dates=H","DateFormat=P","Fill=—","Direction=H","UseDPDF=Y")</f>
        <v>#NAME?</v>
      </c>
      <c r="CN583" s="2" t="e">
        <f ca="1">_xll.BDH($C$578,"NET_DEBT_TO_SHRHLDR_EQTY","FY 2015","FY 2015","Currency=INR","Period=FY","BEST_FPERIOD_OVERRIDE=FY","FILING_STATUS=OR","EQY_CONSOLIDATED=Y","Sort=A","Dates=H","DateFormat=P","Fill=—","Direction=H","UseDPDF=Y")</f>
        <v>#NAME?</v>
      </c>
      <c r="CO583" s="2" t="e">
        <f ca="1">_xll.BDH($C$578,"NET_DEBT_%_CAPITAL","FY 2015","FY 2015","Currency=INR","Period=FY","BEST_FPERIOD_OVERRIDE=FY","FILING_STATUS=OR","EQY_CONSOLIDATED=Y","Sort=A","Dates=H","DateFormat=P","Fill=—","Direction=H","UseDPDF=Y")</f>
        <v>#NAME?</v>
      </c>
      <c r="CP583" s="3" t="e">
        <f ca="1">_xll.BDH($C$578,"EBITDA","FY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583" s="3" t="e">
        <f ca="1">_xll.BDH($C$578,"EBITDA_AFTER_CAPEX","FY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583" s="3" t="e">
        <f ca="1">_xll.BDH($C$578,"IS_OPER_INC","FY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583" s="2" t="e">
        <f ca="1">_xll.BDH($C$578,"CASH_RATIO","FY 2015","FY 2015","Currency=INR","Period=FY","BEST_FPERIOD_OVERRIDE=FY","FILING_STATUS=OR","EQY_CONSOLIDATED=Y","Sort=A","Dates=H","DateFormat=P","Fill=—","Direction=H","UseDPDF=Y")</f>
        <v>#NAME?</v>
      </c>
      <c r="CT583" s="2" t="e">
        <f ca="1">_xll.BDH($C$578,"CUR_RATIO","FY 2015","FY 2015","Currency=INR","Period=FY","BEST_FPERIOD_OVERRIDE=FY","FILING_STATUS=OR","EQY_CONSOLIDATED=Y","Sort=A","Dates=H","DateFormat=P","Fill=—","Direction=H","UseDPDF=Y")</f>
        <v>#NAME?</v>
      </c>
      <c r="CU583" s="2" t="e">
        <f ca="1">_xll.BDH($C$578,"QUICK_RATIO","FY 2015","FY 2015","Currency=INR","Period=FY","BEST_FPERIOD_OVERRIDE=FY","FILING_STATUS=OR","EQY_CONSOLIDATED=Y","Sort=A","Dates=H","DateFormat=P","Fill=—","Direction=H","UseDPDF=Y")</f>
        <v>#NAME?</v>
      </c>
      <c r="CV583" s="2" t="e">
        <f ca="1">_xll.BDH($C$578,"ALTMAN_Z_SCORE","FY 2015","FY 2015","Currency=INR","Period=FY","BEST_FPERIOD_OVERRIDE=FY","FILING_STATUS=OR","EQY_CONSOLIDATED=Y","Sort=A","Dates=H","DateFormat=P","Fill=—","Direction=H","UseDPDF=Y")</f>
        <v>#NAME?</v>
      </c>
      <c r="CW583" s="4" t="e">
        <f ca="1">_xll.BDH($C$578,"ACCT_RCV_TURN","FY 2015","FY 2015","Currency=INR","Period=FY","BEST_FPERIOD_OVERRIDE=FY","FILING_STATUS=OR","EQY_CONSOLIDATED=Y","FA_ADJUSTED=GAAP","Sort=A","Dates=H","DateFormat=P","Fill=—","Direction=H","UseDPDF=Y")</f>
        <v>#NAME?</v>
      </c>
      <c r="CX583" s="2" t="e">
        <f ca="1">_xll.BDH($C$578,"ACCT_RCV_DAYS","FY 2015","FY 2015","Currency=INR","Period=FY","BEST_FPERIOD_OVERRIDE=FY","FILING_STATUS=OR","EQY_CONSOLIDATED=Y","FA_ADJUSTED=GAAP","Sort=A","Dates=H","DateFormat=P","Fill=—","Direction=H","UseDPDF=Y")</f>
        <v>#NAME?</v>
      </c>
      <c r="CY583" s="4" t="e">
        <f ca="1">_xll.BDH($C$578,"INVENT_TURN","FY 2015","FY 2015","Currency=INR","Period=FY","BEST_FPERIOD_OVERRIDE=FY","FILING_STATUS=OR","EQY_CONSOLIDATED=Y","FA_ADJUSTED=GAAP","Sort=A","Dates=H","DateFormat=P","Fill=—","Direction=H","UseDPDF=Y")</f>
        <v>#NAME?</v>
      </c>
      <c r="CZ583" s="2" t="e">
        <f ca="1">_xll.BDH($C$578,"INVENT_DAYS","FY 2015","FY 2015","Currency=INR","Period=FY","BEST_FPERIOD_OVERRIDE=FY","FILING_STATUS=OR","EQY_CONSOLIDATED=Y","FA_ADJUSTED=GAAP","Sort=A","Dates=H","DateFormat=P","Fill=—","Direction=H","UseDPDF=Y")</f>
        <v>#NAME?</v>
      </c>
      <c r="DA583" s="4" t="e">
        <f ca="1">_xll.BDH($C$578,"ACCOUNTS_PAYABLE_TURNOVER","FY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583" s="2" t="e">
        <f ca="1">_xll.BDH($C$578,"ACCOUNTS_PAYABLE_TURNOVER_DAYS","FY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583" s="4" t="e">
        <f ca="1">_xll.BDH($C$578,"CASH_CONVERSION_CYCLE","FY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583" s="4" t="e">
        <f ca="1">_xll.BDH($C$578,"INV_TO_CASH_DAYS","FY 2015","FY 2015","Currency=INR","Period=FY","BEST_FPERIOD_OVERRIDE=FY","FILING_STATUS=OR","EQY_CONSOLIDATED=Y","FA_ADJUSTED=GAAP","Sort=A","Dates=H","DateFormat=P","Fill=—","Direction=H","UseDPDF=Y")</f>
        <v>#NAME?</v>
      </c>
      <c r="DE583" s="5" t="e">
        <f ca="1">_xll.BDH($C$578,"BS_INVENTORIES","FY 2015","FY 2015","Currency=INR","Period=FY","BEST_FPERIOD_OVERRIDE=FY","FILING_STATUS=OR","EQY_CONSOLIDATED=Y","SCALING_FORMAT=MLN","Sort=A","Dates=H","DateFormat=P","Fill=—","Direction=H","UseDPDF=Y")</f>
        <v>#NAME?</v>
      </c>
      <c r="DF583" s="3" t="e">
        <f ca="1">_xll.BDH($C$578,"INVTRY_RAW_MATERIALS","FY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583" s="3" t="e">
        <f ca="1">_xll.BDH($C$578,"INVTRY_IN_PROGRESS","FY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583" s="3" t="e">
        <f ca="1">_xll.BDH($C$578,"INVTRY_FINISHED_GOODS","FY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583" s="3" t="e">
        <f ca="1">_xll.BDH($C$578,"BS_OTHER_INV","FY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584" spans="1:113" x14ac:dyDescent="0.3">
      <c r="A584" s="6"/>
      <c r="B584" s="6"/>
      <c r="C584" s="6"/>
      <c r="D584" s="6"/>
      <c r="E584" t="s">
        <v>78</v>
      </c>
      <c r="F584" t="e">
        <f ca="1">_xll.BDH($C$578,"RETURN_COM_EQY","FQ1 2015","FQ1 2015","Currency=INR","Period=FQ","BEST_FPERIOD_OVERRIDE=FQ","FILING_STATUS=OR","EQY_CONSOLIDATED=Y","FA_ADJUSTED=GAAP","Sort=A","Dates=H","DateFormat=P","Fill=—","Direction=H","UseDPDF=Y")</f>
        <v>#NAME?</v>
      </c>
      <c r="G584" t="e">
        <f ca="1">_xll.BDH($C$578,"RETURN_ON_ASSET","FQ1 2015","FQ1 2015","Currency=INR","Period=FQ","BEST_FPERIOD_OVERRIDE=FQ","FILING_STATUS=OR","EQY_CONSOLIDATED=Y","FA_ADJUSTED=GAAP","Sort=A","Dates=H","DateFormat=P","Fill=—","Direction=H","UseDPDF=Y")</f>
        <v>#NAME?</v>
      </c>
      <c r="H584" t="e">
        <f ca="1">_xll.BDH($C$578,"RETURN_ON_CAP","FQ1 2015","FQ1 2015","Currency=INR","Period=FQ","BEST_FPERIOD_OVERRIDE=FQ","FILING_STATUS=OR","EQY_CONSOLIDATED=Y","FA_ADJUSTED=GAAP","Sort=A","Dates=H","DateFormat=P","Fill=—","Direction=H","UseDPDF=Y")</f>
        <v>#NAME?</v>
      </c>
      <c r="I584" t="e">
        <f ca="1">_xll.BDH($C$578,"RETURN_ON_INV_CAPITAL","FQ1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584" t="e">
        <f ca="1">_xll.BDH($C$578,"EBITDA_TO_REVENUE","FQ1 2015","FQ1 2015","Currency=INR","Period=FQ","BEST_FPERIOD_OVERRIDE=FQ","FILING_STATUS=OR","EQY_CONSOLIDATED=Y","FA_ADJUSTED=GAAP","Sort=A","Dates=H","DateFormat=P","Fill=—","Direction=H","UseDPDF=Y")</f>
        <v>#NAME?</v>
      </c>
      <c r="K584" t="e">
        <f ca="1">_xll.BDH($C$578,"OPER_MARGIN","FQ1 2015","FQ1 2015","Currency=INR","Period=FQ","BEST_FPERIOD_OVERRIDE=FQ","FILING_STATUS=OR","EQY_CONSOLIDATED=Y","FA_ADJUSTED=GAAP","Sort=A","Dates=H","DateFormat=P","Fill=—","Direction=H","UseDPDF=Y")</f>
        <v>#NAME?</v>
      </c>
      <c r="L584" t="e">
        <f ca="1">_xll.BDH($C$578,"INCREMENTAL_OPERATING_MARGIN","FQ1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584" t="e">
        <f ca="1">_xll.BDH($C$578,"PRETAX_INC_TO_NET_SALES","FQ1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584" t="e">
        <f ca="1">_xll.BDH($C$578,"INC_BEF_XO_ITEMS_TO_NET_SALES","FQ1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584" t="e">
        <f ca="1">_xll.BDH($C$578,"PROF_MARGIN","FQ1 2015","FQ1 2015","Currency=INR","Period=FQ","BEST_FPERIOD_OVERRIDE=FQ","FILING_STATUS=OR","EQY_CONSOLIDATED=Y","FA_ADJUSTED=GAAP","Sort=A","Dates=H","DateFormat=P","Fill=—","Direction=H","UseDPDF=Y")</f>
        <v>#NAME?</v>
      </c>
      <c r="P584" t="e">
        <f ca="1">_xll.BDH($C$578,"NET_INCOME_TO_COMMON_MARGIN","FQ1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584" t="e">
        <f ca="1">_xll.BDH($C$578,"EFF_TAX_RATE","FQ1 2015","FQ1 2015","Currency=INR","Period=FQ","BEST_FPERIOD_OVERRIDE=FQ","FILING_STATUS=OR","EQY_CONSOLIDATED=Y","FA_ADJUSTED=GAAP","Sort=A","Dates=H","DateFormat=P","Fill=—","Direction=H","UseDPDF=Y")</f>
        <v>#NAME?</v>
      </c>
      <c r="R584" t="e">
        <f ca="1">_xll.BDH($C$578,"DVD_PAYOUT_RATIO","FQ1 2015","FQ1 2015","Currency=INR","Period=FQ","BEST_FPERIOD_OVERRIDE=FQ","FILING_STATUS=OR","EQY_CONSOLIDATED=Y","FA_ADJUSTED=GAAP","Sort=A","Dates=H","DateFormat=P","Fill=—","Direction=H","UseDPDF=Y")</f>
        <v>#NAME?</v>
      </c>
      <c r="S584" t="e">
        <f ca="1">_xll.BDH($C$578,"SUSTAIN_GROWTH_RT","FQ1 2015","FQ1 2015","Currency=INR","Period=FQ","BEST_FPERIOD_OVERRIDE=FQ","FILING_STATUS=OR","EQY_CONSOLIDATED=Y","FA_ADJUSTED=GAAP","Sort=A","Dates=H","DateFormat=P","Fill=—","Direction=H","UseDPDF=Y")</f>
        <v>#NAME?</v>
      </c>
      <c r="T584" s="2" t="e">
        <f ca="1">_xll.BDH($C$578,"SALES_GROWTH","FQ1 2015","FQ1 2015","Currency=INR","Period=FQ","BEST_FPERIOD_OVERRIDE=FQ","FILING_STATUS=OR","EQY_CONSOLIDATED=Y","FA_ADJUSTED=GAAP","Sort=A","Dates=H","DateFormat=P","Fill=—","Direction=H","UseDPDF=Y")</f>
        <v>#NAME?</v>
      </c>
      <c r="U584" s="2" t="e">
        <f ca="1">_xll.BDH($C$578,"EBITDA_GROWTH","FQ1 2015","FQ1 2015","Currency=INR","Period=FQ","BEST_FPERIOD_OVERRIDE=FQ","FILING_STATUS=OR","EQY_CONSOLIDATED=Y","FA_ADJUSTED=GAAP","Sort=A","Dates=H","DateFormat=P","Fill=—","Direction=H","UseDPDF=Y")</f>
        <v>#NAME?</v>
      </c>
      <c r="V584" s="2" t="e">
        <f ca="1">_xll.BDH($C$578,"OPER_INC_GROWTH","FQ1 2015","FQ1 2015","Currency=INR","Period=FQ","BEST_FPERIOD_OVERRIDE=FQ","FILING_STATUS=OR","EQY_CONSOLIDATED=Y","FA_ADJUSTED=GAAP","Sort=A","Dates=H","DateFormat=P","Fill=—","Direction=H","UseDPDF=Y")</f>
        <v>#NAME?</v>
      </c>
      <c r="W584" s="2" t="e">
        <f ca="1">_xll.BDH($C$578,"EARN_FOR_COM_GROWTH","FQ1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584" s="2" t="e">
        <f ca="1">_xll.BDH($C$578,"DILUTED_EPS_AFT_XO_ITEMS_GROWTH","FQ1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584" s="2" t="e">
        <f ca="1">_xll.BDH($C$578,"DIVIDEND_PER_SHARE_1_YEAR_GROWTH","FQ1 2015","FQ1 2015","Currency=INR","Period=FQ","BEST_FPERIOD_OVERRIDE=FQ","FILING_STATUS=OR","EQY_CONSOLIDATED=Y","Sort=A","Dates=H","DateFormat=P","Fill=—","Direction=H","UseDPDF=Y")</f>
        <v>#NAME?</v>
      </c>
      <c r="Z584" s="2" t="e">
        <f ca="1">_xll.BDH($C$578,"ACCOUNTS_RECEIVABLE_GROWTH","FQ1 2015","FQ1 2015","Currency=INR","Period=FQ","BEST_FPERIOD_OVERRIDE=FQ","FILING_STATUS=OR","EQY_CONSOLIDATED=Y","Sort=A","Dates=H","DateFormat=P","Fill=—","Direction=H","UseDPDF=Y")</f>
        <v>#NAME?</v>
      </c>
      <c r="AA584" s="2" t="e">
        <f ca="1">_xll.BDH($C$578,"INVENTORY_GROWTH","FQ1 2015","FQ1 2015","Currency=INR","Period=FQ","BEST_FPERIOD_OVERRIDE=FQ","FILING_STATUS=OR","EQY_CONSOLIDATED=Y","Sort=A","Dates=H","DateFormat=P","Fill=—","Direction=H","UseDPDF=Y")</f>
        <v>#NAME?</v>
      </c>
      <c r="AB584" s="2" t="e">
        <f ca="1">_xll.BDH($C$578,"NET_FIXED_ASSETS_1_YEAR_GROWTH","FQ1 2015","FQ1 2015","Currency=INR","Period=FQ","BEST_FPERIOD_OVERRIDE=FQ","FILING_STATUS=OR","EQY_CONSOLIDATED=Y","Sort=A","Dates=H","DateFormat=P","Fill=—","Direction=H","UseDPDF=Y")</f>
        <v>#NAME?</v>
      </c>
      <c r="AC584" s="2" t="e">
        <f ca="1">_xll.BDH($C$578,"ASSET_GROWTH","FQ1 2015","FQ1 2015","Currency=INR","Period=FQ","BEST_FPERIOD_OVERRIDE=FQ","FILING_STATUS=OR","EQY_CONSOLIDATED=Y","Sort=A","Dates=H","DateFormat=P","Fill=—","Direction=H","UseDPDF=Y")</f>
        <v>#NAME?</v>
      </c>
      <c r="AD584" s="2" t="e">
        <f ca="1">_xll.BDH($C$578,"MODIFIED_WORK_CAP_GROWTH","FQ1 2015","FQ1 2015","Currency=INR","Period=FQ","BEST_FPERIOD_OVERRIDE=FQ","FILING_STATUS=OR","EQY_CONSOLIDATED=Y","Sort=A","Dates=H","DateFormat=P","Fill=—","Direction=H","UseDPDF=Y")</f>
        <v>#NAME?</v>
      </c>
      <c r="AE584" s="2" t="e">
        <f ca="1">_xll.BDH($C$578,"WORK_CAP_GROWTH","FQ1 2015","FQ1 2015","Currency=INR","Period=FQ","BEST_FPERIOD_OVERRIDE=FQ","FILING_STATUS=OR","EQY_CONSOLIDATED=Y","Sort=A","Dates=H","DateFormat=P","Fill=—","Direction=H","UseDPDF=Y")</f>
        <v>#NAME?</v>
      </c>
      <c r="AF584" s="2" t="e">
        <f ca="1">_xll.BDH($C$578,"ACCOUNTS_PAYABLE_GROWTH_1YR","FQ1 2015","FQ1 2015","Currency=INR","Period=FQ","BEST_FPERIOD_OVERRIDE=FQ","FILING_STATUS=OR","EQY_CONSOLIDATED=Y","Sort=A","Dates=H","DateFormat=P","Fill=—","Direction=H","UseDPDF=Y")</f>
        <v>#NAME?</v>
      </c>
      <c r="AG584" s="2" t="e">
        <f ca="1">_xll.BDH($C$578,"SHORT_TERM_DEBT_1_YEAR_GROWTH","FQ1 2015","FQ1 2015","Currency=INR","Period=FQ","BEST_FPERIOD_OVERRIDE=FQ","FILING_STATUS=OR","EQY_CONSOLIDATED=Y","Sort=A","Dates=H","DateFormat=P","Fill=—","Direction=H","UseDPDF=Y")</f>
        <v>#NAME?</v>
      </c>
      <c r="AH584" s="2" t="e">
        <f ca="1">_xll.BDH($C$578,"TOTAL_DEBT_1_YEAR_GROWTH","FQ1 2015","FQ1 2015","Currency=INR","Period=FQ","BEST_FPERIOD_OVERRIDE=FQ","FILING_STATUS=OR","EQY_CONSOLIDATED=Y","Sort=A","Dates=H","DateFormat=P","Fill=—","Direction=H","UseDPDF=Y")</f>
        <v>#NAME?</v>
      </c>
      <c r="AI584" s="2" t="e">
        <f ca="1">_xll.BDH($C$578,"TOTAL_EQUITY_1_YEAR_GROWTH","FQ1 2015","FQ1 2015","Currency=INR","Period=FQ","BEST_FPERIOD_OVERRIDE=FQ","FILING_STATUS=OR","EQY_CONSOLIDATED=Y","Sort=A","Dates=H","DateFormat=P","Fill=—","Direction=H","UseDPDF=Y")</f>
        <v>#NAME?</v>
      </c>
      <c r="AJ584" s="2" t="e">
        <f ca="1">_xll.BDH($C$578,"GROWTH_IN_CAP","FQ1 2015","FQ1 2015","Currency=INR","Period=FQ","BEST_FPERIOD_OVERRIDE=FQ","FILING_STATUS=OR","EQY_CONSOLIDATED=Y","Sort=A","Dates=H","DateFormat=P","Fill=—","Direction=H","UseDPDF=Y")</f>
        <v>#NAME?</v>
      </c>
      <c r="AK584" s="2" t="e">
        <f ca="1">_xll.BDH($C$578,"BVPS_GROWTH","FQ1 2015","FQ1 2015","Currency=INR","Period=FQ","BEST_FPERIOD_OVERRIDE=FQ","FILING_STATUS=OR","EQY_CONSOLIDATED=Y","Sort=A","Dates=H","DateFormat=P","Fill=—","Direction=H","UseDPDF=Y")</f>
        <v>#NAME?</v>
      </c>
      <c r="AL584" s="2" t="e">
        <f ca="1">_xll.BDH($C$578,"CASH_FLOW_GROWTH","FQ1 2015","FQ1 2015","Currency=INR","Period=FQ","BEST_FPERIOD_OVERRIDE=FQ","FILING_STATUS=OR","EQY_CONSOLIDATED=Y","Sort=A","Dates=H","DateFormat=P","Fill=—","Direction=H","UseDPDF=Y")</f>
        <v>#NAME?</v>
      </c>
      <c r="AM584" s="2" t="e">
        <f ca="1">_xll.BDH($C$578,"GEO_GROW_NET_SALES","FQ1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584" s="2" t="e">
        <f ca="1">_xll.BDH($C$578,"GEO_GROW_EBITDA","FQ1 2015","FQ1 2015","Currency=INR","Period=FQ","BEST_FPERIOD_OVERRIDE=FQ","FILING_STATUS=OR","EQY_CONSOLIDATED=Y","FA_ADJUSTED=GAAP","Sort=A","Dates=H","DateFormat=P","Fill=—","Direction=H","UseDPDF=Y")</f>
        <v>#NAME?</v>
      </c>
      <c r="AO584" s="2" t="e">
        <f ca="1">_xll.BDH($C$578,"GEO_GROW_OPER_INC","FQ1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584" s="2" t="e">
        <f ca="1">_xll.BDH($C$578,"NET_INCOME_TO_COMMON_5_YR_GROWTH","FQ1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584" s="2" t="e">
        <f ca="1">_xll.BDH($C$578,"5Y_GEO_GROWTH_DILUTED_EPS","FQ1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584" s="2" t="e">
        <f ca="1">_xll.BDH($C$578,"GEO_GROW_DVD_PER_SH","FQ1 2015","FQ1 2015","Currency=INR","Period=FQ","BEST_FPERIOD_OVERRIDE=FQ","FILING_STATUS=OR","EQY_CONSOLIDATED=Y","Sort=A","Dates=H","DateFormat=P","Fill=—","Direction=H","UseDPDF=Y")</f>
        <v>#NAME?</v>
      </c>
      <c r="AS584" s="2" t="e">
        <f ca="1">_xll.BDH($C$578,"ACCOUNTS_RECEIVABLE_5_YR_GROWTH","FQ1 2015","FQ1 2015","Currency=INR","Period=FQ","BEST_FPERIOD_OVERRIDE=FQ","FILING_STATUS=OR","EQY_CONSOLIDATED=Y","Sort=A","Dates=H","DateFormat=P","Fill=—","Direction=H","UseDPDF=Y")</f>
        <v>#NAME?</v>
      </c>
      <c r="AT584" s="2" t="e">
        <f ca="1">_xll.BDH($C$578,"INVENTORY_5_YEAR_GROWTH","FQ1 2015","FQ1 2015","Currency=INR","Period=FQ","BEST_FPERIOD_OVERRIDE=FQ","FILING_STATUS=OR","EQY_CONSOLIDATED=Y","Sort=A","Dates=H","DateFormat=P","Fill=—","Direction=H","UseDPDF=Y")</f>
        <v>#NAME?</v>
      </c>
      <c r="AU584" s="2" t="e">
        <f ca="1">_xll.BDH($C$578,"NET_FIXED_ASSETS_5_YEAR_GROWTH","FQ1 2015","FQ1 2015","Currency=INR","Period=FQ","BEST_FPERIOD_OVERRIDE=FQ","FILING_STATUS=OR","EQY_CONSOLIDATED=Y","Sort=A","Dates=H","DateFormat=P","Fill=—","Direction=H","UseDPDF=Y")</f>
        <v>#NAME?</v>
      </c>
      <c r="AV584" s="2" t="e">
        <f ca="1">_xll.BDH($C$578,"GEO_GROW_TOT_ASSET","FQ1 2015","FQ1 2015","Currency=INR","Period=FQ","BEST_FPERIOD_OVERRIDE=FQ","FILING_STATUS=OR","EQY_CONSOLIDATED=Y","Sort=A","Dates=H","DateFormat=P","Fill=—","Direction=H","UseDPDF=Y")</f>
        <v>#NAME?</v>
      </c>
      <c r="AW584" s="2" t="e">
        <f ca="1">_xll.BDH($C$578,"MODIFIED_WORKING_CPTL_5YR_GRWTH","FQ1 2015","FQ1 2015","Currency=INR","Period=FQ","BEST_FPERIOD_OVERRIDE=FQ","FILING_STATUS=OR","EQY_CONSOLIDATED=Y","Sort=A","Dates=H","DateFormat=P","Fill=—","Direction=H","UseDPDF=Y")</f>
        <v>#NAME?</v>
      </c>
      <c r="AX584" s="2" t="e">
        <f ca="1">_xll.BDH($C$578,"WORKING_CAPITAL_5_YEAR_GROWTH","FQ1 2015","FQ1 2015","Currency=INR","Period=FQ","BEST_FPERIOD_OVERRIDE=FQ","FILING_STATUS=OR","EQY_CONSOLIDATED=Y","Sort=A","Dates=H","DateFormat=P","Fill=—","Direction=H","UseDPDF=Y")</f>
        <v>#NAME?</v>
      </c>
      <c r="AY584" s="2" t="e">
        <f ca="1">_xll.BDH($C$578,"ACCOUNTS_PAYABLE_5_YEAR_GROWTH","FQ1 2015","FQ1 2015","Currency=INR","Period=FQ","BEST_FPERIOD_OVERRIDE=FQ","FILING_STATUS=OR","EQY_CONSOLIDATED=Y","Sort=A","Dates=H","DateFormat=P","Fill=—","Direction=H","UseDPDF=Y")</f>
        <v>#NAME?</v>
      </c>
      <c r="AZ584" s="2" t="e">
        <f ca="1">_xll.BDH($C$578,"SHORT_TERM_DEBT_5_YEAR_GROWTH","FQ1 2015","FQ1 2015","Currency=INR","Period=FQ","BEST_FPERIOD_OVERRIDE=FQ","FILING_STATUS=OR","EQY_CONSOLIDATED=Y","Sort=A","Dates=H","DateFormat=P","Fill=—","Direction=H","UseDPDF=Y")</f>
        <v>#NAME?</v>
      </c>
      <c r="BA584" s="2" t="e">
        <f ca="1">_xll.BDH($C$578,"TOTAL_DEBT_5_YEAR_GROWTH","FQ1 2015","FQ1 2015","Currency=INR","Period=FQ","BEST_FPERIOD_OVERRIDE=FQ","FILING_STATUS=OR","EQY_CONSOLIDATED=Y","Sort=A","Dates=H","DateFormat=P","Fill=—","Direction=H","UseDPDF=Y")</f>
        <v>#NAME?</v>
      </c>
      <c r="BB584" s="2" t="e">
        <f ca="1">_xll.BDH($C$578,"GEO_GROW_TOT_SHRHLDR_EQY","FQ1 2015","FQ1 2015","Currency=INR","Period=FQ","BEST_FPERIOD_OVERRIDE=FQ","FILING_STATUS=OR","EQY_CONSOLIDATED=Y","Sort=A","Dates=H","DateFormat=P","Fill=—","Direction=H","UseDPDF=Y")</f>
        <v>#NAME?</v>
      </c>
      <c r="BC584" s="2" t="e">
        <f ca="1">_xll.BDH($C$578,"TOTAL_CAPITAL_5_YEAR_GROWTH","FQ1 2015","FQ1 2015","Currency=INR","Period=FQ","BEST_FPERIOD_OVERRIDE=FQ","FILING_STATUS=OR","EQY_CONSOLIDATED=Y","Sort=A","Dates=H","DateFormat=P","Fill=—","Direction=H","UseDPDF=Y")</f>
        <v>#NAME?</v>
      </c>
      <c r="BD584" s="2" t="e">
        <f ca="1">_xll.BDH($C$578,"GEO_GROW_BOOK_VAL","FQ1 2015","FQ1 2015","Currency=INR","Period=FQ","BEST_FPERIOD_OVERRIDE=FQ","FILING_STATUS=OR","EQY_CONSOLIDATED=Y","Sort=A","Dates=H","DateFormat=P","Fill=—","Direction=H","UseDPDF=Y")</f>
        <v>#NAME?</v>
      </c>
      <c r="BE584" s="2" t="e">
        <f ca="1">_xll.BDH($C$578,"GEO_GROW_CASH_OPER_ACT","FQ1 2015","FQ1 2015","Currency=INR","Period=FQ","BEST_FPERIOD_OVERRIDE=FQ","FILING_STATUS=OR","EQY_CONSOLIDATED=Y","Sort=A","Dates=H","DateFormat=P","Fill=—","Direction=H","UseDPDF=Y")</f>
        <v>#NAME?</v>
      </c>
      <c r="BF584" s="2" t="e">
        <f ca="1">_xll.BDH($C$578,"REVENUE_SEQUENTIAL_GROWTH","FQ1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584" s="2" t="e">
        <f ca="1">_xll.BDH($C$578,"EBITDA_SEQUENTIAL_GROWTH","FQ1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584" s="2" t="e">
        <f ca="1">_xll.BDH($C$578,"OPERATING_INCOME_SEQ_GROWTH","FQ1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584" s="2" t="e">
        <f ca="1">_xll.BDH($C$578,"NET_INCOME_TO_COMMON_SEQ_GROWTH","FQ1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584" s="2" t="e">
        <f ca="1">_xll.BDH($C$578,"EPS_DILUTED_SEQUENTIAL_GROWTH","FQ1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584" s="2" t="e">
        <f ca="1">_xll.BDH($C$578,"DPS_SEQUENTIAL_GROWTH","FQ1 2015","FQ1 2015","Currency=INR","Period=FQ","BEST_FPERIOD_OVERRIDE=FQ","FILING_STATUS=OR","EQY_CONSOLIDATED=Y","Sort=A","Dates=H","DateFormat=P","Fill=—","Direction=H","UseDPDF=Y")</f>
        <v>#NAME?</v>
      </c>
      <c r="BL584" s="2" t="e">
        <f ca="1">_xll.BDH($C$578,"ACCOUNTS_RECEIVABLE_SEQ_GROWTH","FQ1 2015","FQ1 2015","Currency=INR","Period=FQ","BEST_FPERIOD_OVERRIDE=FQ","FILING_STATUS=OR","EQY_CONSOLIDATED=Y","Sort=A","Dates=H","DateFormat=P","Fill=—","Direction=H","UseDPDF=Y")</f>
        <v>#NAME?</v>
      </c>
      <c r="BM584" s="2" t="e">
        <f ca="1">_xll.BDH($C$578,"INVENTORY_SEQUENTIAL_GROWTH","FQ1 2015","FQ1 2015","Currency=INR","Period=FQ","BEST_FPERIOD_OVERRIDE=FQ","FILING_STATUS=OR","EQY_CONSOLIDATED=Y","Sort=A","Dates=H","DateFormat=P","Fill=—","Direction=H","UseDPDF=Y")</f>
        <v>#NAME?</v>
      </c>
      <c r="BN584" s="2" t="e">
        <f ca="1">_xll.BDH($C$578,"FIXED_ASSETS_SEQUENTIAL_GROWTH","FQ1 2015","FQ1 2015","Currency=INR","Period=FQ","BEST_FPERIOD_OVERRIDE=FQ","FILING_STATUS=OR","EQY_CONSOLIDATED=Y","Sort=A","Dates=H","DateFormat=P","Fill=—","Direction=H","UseDPDF=Y")</f>
        <v>#NAME?</v>
      </c>
      <c r="BO584" s="2" t="e">
        <f ca="1">_xll.BDH($C$578,"TOTAL_ASSETS_SEQUENTIAL_GROWTH","FQ1 2015","FQ1 2015","Currency=INR","Period=FQ","BEST_FPERIOD_OVERRIDE=FQ","FILING_STATUS=OR","EQY_CONSOLIDATED=Y","Sort=A","Dates=H","DateFormat=P","Fill=—","Direction=H","UseDPDF=Y")</f>
        <v>#NAME?</v>
      </c>
      <c r="BP584" s="2" t="e">
        <f ca="1">_xll.BDH($C$578,"MODIFIED_WORKING_CPTL_SEQ_GRWTH","FQ1 2015","FQ1 2015","Currency=INR","Period=FQ","BEST_FPERIOD_OVERRIDE=FQ","FILING_STATUS=OR","EQY_CONSOLIDATED=Y","Sort=A","Dates=H","DateFormat=P","Fill=—","Direction=H","UseDPDF=Y")</f>
        <v>#NAME?</v>
      </c>
      <c r="BQ584" s="2" t="e">
        <f ca="1">_xll.BDH($C$578,"WORKING_CAPITAL_SEQ_GROWTH","FQ1 2015","FQ1 2015","Currency=INR","Period=FQ","BEST_FPERIOD_OVERRIDE=FQ","FILING_STATUS=OR","EQY_CONSOLIDATED=Y","Sort=A","Dates=H","DateFormat=P","Fill=—","Direction=H","UseDPDF=Y")</f>
        <v>#NAME?</v>
      </c>
      <c r="BR584" s="2" t="e">
        <f ca="1">_xll.BDH($C$578,"ACCOUNTS_PAYABLE_SEQ_GROWTH","FQ1 2015","FQ1 2015","Currency=INR","Period=FQ","BEST_FPERIOD_OVERRIDE=FQ","FILING_STATUS=OR","EQY_CONSOLIDATED=Y","Sort=A","Dates=H","DateFormat=P","Fill=—","Direction=H","UseDPDF=Y")</f>
        <v>#NAME?</v>
      </c>
      <c r="BS584" s="2" t="e">
        <f ca="1">_xll.BDH($C$578,"ST_DEBT_SEQUENTIAL_GROWTH","FQ1 2015","FQ1 2015","Currency=INR","Period=FQ","BEST_FPERIOD_OVERRIDE=FQ","FILING_STATUS=OR","EQY_CONSOLIDATED=Y","Sort=A","Dates=H","DateFormat=P","Fill=—","Direction=H","UseDPDF=Y")</f>
        <v>#NAME?</v>
      </c>
      <c r="BT584" s="2" t="e">
        <f ca="1">_xll.BDH($C$578,"TOTAL_DEBT_SEQUENTIAL_GROWTH","FQ1 2015","FQ1 2015","Currency=INR","Period=FQ","BEST_FPERIOD_OVERRIDE=FQ","FILING_STATUS=OR","EQY_CONSOLIDATED=Y","Sort=A","Dates=H","DateFormat=P","Fill=—","Direction=H","UseDPDF=Y")</f>
        <v>#NAME?</v>
      </c>
      <c r="BU584" s="2" t="e">
        <f ca="1">_xll.BDH($C$578,"TOTAL_EQUITY_SEQUENTIAL_GROWTH","FQ1 2015","FQ1 2015","Currency=INR","Period=FQ","BEST_FPERIOD_OVERRIDE=FQ","FILING_STATUS=OR","EQY_CONSOLIDATED=Y","Sort=A","Dates=H","DateFormat=P","Fill=—","Direction=H","UseDPDF=Y")</f>
        <v>#NAME?</v>
      </c>
      <c r="BV584" s="2" t="e">
        <f ca="1">_xll.BDH($C$578,"TOTAL_CAPITAL_SEQUENTIAL_GROWTH","FQ1 2015","FQ1 2015","Currency=INR","Period=FQ","BEST_FPERIOD_OVERRIDE=FQ","FILING_STATUS=OR","EQY_CONSOLIDATED=Y","Sort=A","Dates=H","DateFormat=P","Fill=—","Direction=H","UseDPDF=Y")</f>
        <v>#NAME?</v>
      </c>
      <c r="BW584" s="2" t="e">
        <f ca="1">_xll.BDH($C$578,"BPS_SEQUENTIAL_GROWTH","FQ1 2015","FQ1 2015","Currency=INR","Period=FQ","BEST_FPERIOD_OVERRIDE=FQ","FILING_STATUS=OR","EQY_CONSOLIDATED=Y","Sort=A","Dates=H","DateFormat=P","Fill=—","Direction=H","UseDPDF=Y")</f>
        <v>#NAME?</v>
      </c>
      <c r="BX584" s="2" t="e">
        <f ca="1">_xll.BDH($C$578,"CFO_SEQUENTIAL_GROWTH","FQ1 2015","FQ1 2015","Currency=INR","Period=FQ","BEST_FPERIOD_OVERRIDE=FQ","FILING_STATUS=OR","EQY_CONSOLIDATED=Y","Sort=A","Dates=H","DateFormat=P","Fill=—","Direction=H","UseDPDF=Y")</f>
        <v>#NAME?</v>
      </c>
      <c r="BY584" s="3" t="e">
        <f ca="1">_xll.BDH($C$578,"SHORT_AND_LONG_TERM_DEBT","FQ1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584" s="3" t="e">
        <f ca="1">_xll.BDH($C$578,"BS_ST_BORROW","FQ1 2015","FQ1 2015","Currency=INR","Period=FQ","BEST_FPERIOD_OVERRIDE=FQ","FILING_STATUS=OR","EQY_CONSOLIDATED=Y","SCALING_FORMAT=MLN","Sort=A","Dates=H","DateFormat=P","Fill=—","Direction=H","UseDPDF=Y")</f>
        <v>#NAME?</v>
      </c>
      <c r="CA584" s="3" t="e">
        <f ca="1">_xll.BDH($C$578,"BS_LT_BORROW","FQ1 2015","FQ1 2015","Currency=INR","Period=FQ","BEST_FPERIOD_OVERRIDE=FQ","FILING_STATUS=OR","EQY_CONSOLIDATED=Y","SCALING_FORMAT=MLN","Sort=A","Dates=H","DateFormat=P","Fill=—","Direction=H","UseDPDF=Y")</f>
        <v>#NAME?</v>
      </c>
      <c r="CB584" s="2" t="e">
        <f ca="1">_xll.BDH($C$578,"TOT_DEBT_TO_EBITDA","FQ1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584" s="2" t="e">
        <f ca="1">_xll.BDH($C$578,"NET_DEBT_TO_EBITDA","FQ1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584" s="2" t="e">
        <f ca="1">_xll.BDH($C$578,"TOTAL_DEBT_TO_EBIT","FQ1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584" s="2" t="e">
        <f ca="1">_xll.BDH($C$578,"NET_DEBT_TO_EBIT","FQ1 2015","FQ1 2015","Currency=INR","Period=FQ","BEST_FPERIOD_OVERRIDE=FQ","FILING_STATUS=OR","EQY_CONSOLIDATED=Y","FA_ADJUSTED=GAAP","Sort=A","Dates=H","DateFormat=P","Fill=—","Direction=H","UseDPDF=Y")</f>
        <v>#NAME?</v>
      </c>
      <c r="CF584" s="2" t="e">
        <f ca="1">_xll.BDH($C$578,"EBITDA_TO_INTEREST_EXPN","FQ1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584" s="2" t="e">
        <f ca="1">_xll.BDH($C$578,"COM_EQY_TO_TOT_ASSET","FQ1 2015","FQ1 2015","Currency=INR","Period=FQ","BEST_FPERIOD_OVERRIDE=FQ","FILING_STATUS=OR","EQY_CONSOLIDATED=Y","Sort=A","Dates=H","DateFormat=P","Fill=—","Direction=H","UseDPDF=Y")</f>
        <v>#NAME?</v>
      </c>
      <c r="CH584" s="2" t="e">
        <f ca="1">_xll.BDH($C$578,"LT_DEBT_TO_TOT_EQY","FQ1 2015","FQ1 2015","Currency=INR","Period=FQ","BEST_FPERIOD_OVERRIDE=FQ","FILING_STATUS=OR","EQY_CONSOLIDATED=Y","Sort=A","Dates=H","DateFormat=P","Fill=—","Direction=H","UseDPDF=Y")</f>
        <v>#NAME?</v>
      </c>
      <c r="CI584" s="2" t="e">
        <f ca="1">_xll.BDH($C$578,"LT_DEBT_TO_TOT_CAP","FQ1 2015","FQ1 2015","Currency=INR","Period=FQ","BEST_FPERIOD_OVERRIDE=FQ","FILING_STATUS=OR","EQY_CONSOLIDATED=Y","Sort=A","Dates=H","DateFormat=P","Fill=—","Direction=H","UseDPDF=Y")</f>
        <v>#NAME?</v>
      </c>
      <c r="CJ584" s="2" t="e">
        <f ca="1">_xll.BDH($C$578,"LT_DEBT_TO_TOT_ASSET","FQ1 2015","FQ1 2015","Currency=INR","Period=FQ","BEST_FPERIOD_OVERRIDE=FQ","FILING_STATUS=OR","EQY_CONSOLIDATED=Y","Sort=A","Dates=H","DateFormat=P","Fill=—","Direction=H","UseDPDF=Y")</f>
        <v>#NAME?</v>
      </c>
      <c r="CK584" s="2" t="e">
        <f ca="1">_xll.BDH($C$578,"TOT_DEBT_TO_TOT_EQY","FQ1 2015","FQ1 2015","Currency=INR","Period=FQ","BEST_FPERIOD_OVERRIDE=FQ","FILING_STATUS=OR","EQY_CONSOLIDATED=Y","Sort=A","Dates=H","DateFormat=P","Fill=—","Direction=H","UseDPDF=Y")</f>
        <v>#NAME?</v>
      </c>
      <c r="CL584" s="2" t="e">
        <f ca="1">_xll.BDH($C$578,"TOT_DEBT_TO_TOT_CAP","FQ1 2015","FQ1 2015","Currency=INR","Period=FQ","BEST_FPERIOD_OVERRIDE=FQ","FILING_STATUS=OR","EQY_CONSOLIDATED=Y","Sort=A","Dates=H","DateFormat=P","Fill=—","Direction=H","UseDPDF=Y")</f>
        <v>#NAME?</v>
      </c>
      <c r="CM584" s="2" t="e">
        <f ca="1">_xll.BDH($C$578,"TOT_DEBT_TO_TOT_ASSET","FQ1 2015","FQ1 2015","Currency=INR","Period=FQ","BEST_FPERIOD_OVERRIDE=FQ","FILING_STATUS=OR","EQY_CONSOLIDATED=Y","Sort=A","Dates=H","DateFormat=P","Fill=—","Direction=H","UseDPDF=Y")</f>
        <v>#NAME?</v>
      </c>
      <c r="CN584" s="2" t="e">
        <f ca="1">_xll.BDH($C$578,"NET_DEBT_TO_SHRHLDR_EQTY","FQ1 2015","FQ1 2015","Currency=INR","Period=FQ","BEST_FPERIOD_OVERRIDE=FQ","FILING_STATUS=OR","EQY_CONSOLIDATED=Y","Sort=A","Dates=H","DateFormat=P","Fill=—","Direction=H","UseDPDF=Y")</f>
        <v>#NAME?</v>
      </c>
      <c r="CO584" s="2" t="e">
        <f ca="1">_xll.BDH($C$578,"NET_DEBT_%_CAPITAL","FQ1 2015","FQ1 2015","Currency=INR","Period=FQ","BEST_FPERIOD_OVERRIDE=FQ","FILING_STATUS=OR","EQY_CONSOLIDATED=Y","Sort=A","Dates=H","DateFormat=P","Fill=—","Direction=H","UseDPDF=Y")</f>
        <v>#NAME?</v>
      </c>
      <c r="CP584" s="3" t="e">
        <f ca="1">_xll.BDH($C$578,"EBITDA","FQ1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584" s="3" t="e">
        <f ca="1">_xll.BDH($C$578,"EBITDA_AFTER_CAPEX","FQ1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584" s="3" t="e">
        <f ca="1">_xll.BDH($C$578,"IS_OPER_INC","FQ1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584" s="2" t="e">
        <f ca="1">_xll.BDH($C$578,"CASH_RATIO","FQ1 2015","FQ1 2015","Currency=INR","Period=FQ","BEST_FPERIOD_OVERRIDE=FQ","FILING_STATUS=OR","EQY_CONSOLIDATED=Y","Sort=A","Dates=H","DateFormat=P","Fill=—","Direction=H","UseDPDF=Y")</f>
        <v>#NAME?</v>
      </c>
      <c r="CT584" s="2" t="e">
        <f ca="1">_xll.BDH($C$578,"CUR_RATIO","FQ1 2015","FQ1 2015","Currency=INR","Period=FQ","BEST_FPERIOD_OVERRIDE=FQ","FILING_STATUS=OR","EQY_CONSOLIDATED=Y","Sort=A","Dates=H","DateFormat=P","Fill=—","Direction=H","UseDPDF=Y")</f>
        <v>#NAME?</v>
      </c>
      <c r="CU584" s="2" t="e">
        <f ca="1">_xll.BDH($C$578,"QUICK_RATIO","FQ1 2015","FQ1 2015","Currency=INR","Period=FQ","BEST_FPERIOD_OVERRIDE=FQ","FILING_STATUS=OR","EQY_CONSOLIDATED=Y","Sort=A","Dates=H","DateFormat=P","Fill=—","Direction=H","UseDPDF=Y")</f>
        <v>#NAME?</v>
      </c>
      <c r="CV584" s="2" t="e">
        <f ca="1">_xll.BDH($C$578,"ALTMAN_Z_SCORE","FQ1 2015","FQ1 2015","Currency=INR","Period=FQ","BEST_FPERIOD_OVERRIDE=FQ","FILING_STATUS=OR","EQY_CONSOLIDATED=Y","Sort=A","Dates=H","DateFormat=P","Fill=—","Direction=H","UseDPDF=Y")</f>
        <v>#NAME?</v>
      </c>
      <c r="CW584" s="4" t="e">
        <f ca="1">_xll.BDH($C$578,"ACCT_RCV_TURN","FQ1 2015","FQ1 2015","Currency=INR","Period=FQ","BEST_FPERIOD_OVERRIDE=FQ","FILING_STATUS=OR","EQY_CONSOLIDATED=Y","FA_ADJUSTED=GAAP","Sort=A","Dates=H","DateFormat=P","Fill=—","Direction=H","UseDPDF=Y")</f>
        <v>#NAME?</v>
      </c>
      <c r="CX584" s="2" t="e">
        <f ca="1">_xll.BDH($C$578,"ACCT_RCV_DAYS","FQ1 2015","FQ1 2015","Currency=INR","Period=FQ","BEST_FPERIOD_OVERRIDE=FQ","FILING_STATUS=OR","EQY_CONSOLIDATED=Y","FA_ADJUSTED=GAAP","Sort=A","Dates=H","DateFormat=P","Fill=—","Direction=H","UseDPDF=Y")</f>
        <v>#NAME?</v>
      </c>
      <c r="CY584" s="4" t="e">
        <f ca="1">_xll.BDH($C$578,"INVENT_TURN","FQ1 2015","FQ1 2015","Currency=INR","Period=FQ","BEST_FPERIOD_OVERRIDE=FQ","FILING_STATUS=OR","EQY_CONSOLIDATED=Y","FA_ADJUSTED=GAAP","Sort=A","Dates=H","DateFormat=P","Fill=—","Direction=H","UseDPDF=Y")</f>
        <v>#NAME?</v>
      </c>
      <c r="CZ584" s="2" t="e">
        <f ca="1">_xll.BDH($C$578,"INVENT_DAYS","FQ1 2015","FQ1 2015","Currency=INR","Period=FQ","BEST_FPERIOD_OVERRIDE=FQ","FILING_STATUS=OR","EQY_CONSOLIDATED=Y","FA_ADJUSTED=GAAP","Sort=A","Dates=H","DateFormat=P","Fill=—","Direction=H","UseDPDF=Y")</f>
        <v>#NAME?</v>
      </c>
      <c r="DA584" s="4" t="e">
        <f ca="1">_xll.BDH($C$578,"ACCOUNTS_PAYABLE_TURNOVER","FQ1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584" s="2" t="e">
        <f ca="1">_xll.BDH($C$578,"ACCOUNTS_PAYABLE_TURNOVER_DAYS","FQ1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584" s="4" t="e">
        <f ca="1">_xll.BDH($C$578,"CASH_CONVERSION_CYCLE","FQ1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584" s="4" t="e">
        <f ca="1">_xll.BDH($C$578,"INV_TO_CASH_DAYS","FQ1 2015","FQ1 2015","Currency=INR","Period=FQ","BEST_FPERIOD_OVERRIDE=FQ","FILING_STATUS=OR","EQY_CONSOLIDATED=Y","FA_ADJUSTED=GAAP","Sort=A","Dates=H","DateFormat=P","Fill=—","Direction=H","UseDPDF=Y")</f>
        <v>#NAME?</v>
      </c>
      <c r="DE584" s="5" t="e">
        <f ca="1">_xll.BDH($C$578,"BS_INVENTORIES","FQ1 2015","FQ1 2015","Currency=INR","Period=FQ","BEST_FPERIOD_OVERRIDE=FQ","FILING_STATUS=OR","EQY_CONSOLIDATED=Y","SCALING_FORMAT=MLN","Sort=A","Dates=H","DateFormat=P","Fill=—","Direction=H","UseDPDF=Y")</f>
        <v>#NAME?</v>
      </c>
      <c r="DF584" s="3" t="e">
        <f ca="1">_xll.BDH($C$578,"INVTRY_RAW_MATERIALS","FQ1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584" s="3" t="e">
        <f ca="1">_xll.BDH($C$578,"INVTRY_IN_PROGRESS","FQ1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584" s="3" t="e">
        <f ca="1">_xll.BDH($C$578,"INVTRY_FINISHED_GOODS","FQ1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584" s="3" t="e">
        <f ca="1">_xll.BDH($C$578,"BS_OTHER_INV","FQ1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585" spans="1:113" x14ac:dyDescent="0.3">
      <c r="A585" s="6"/>
      <c r="B585" s="6"/>
      <c r="C585" s="6"/>
      <c r="D585" s="6"/>
      <c r="E585" t="s">
        <v>79</v>
      </c>
      <c r="F585" t="e">
        <f ca="1">_xll.BDH($C$578,"RETURN_COM_EQY","FQ2 2015","FQ2 2015","Currency=INR","Period=FQ","BEST_FPERIOD_OVERRIDE=FQ","FILING_STATUS=OR","EQY_CONSOLIDATED=Y","FA_ADJUSTED=GAAP","Sort=A","Dates=H","DateFormat=P","Fill=—","Direction=H","UseDPDF=Y")</f>
        <v>#NAME?</v>
      </c>
      <c r="G585" t="e">
        <f ca="1">_xll.BDH($C$578,"RETURN_ON_ASSET","FQ2 2015","FQ2 2015","Currency=INR","Period=FQ","BEST_FPERIOD_OVERRIDE=FQ","FILING_STATUS=OR","EQY_CONSOLIDATED=Y","FA_ADJUSTED=GAAP","Sort=A","Dates=H","DateFormat=P","Fill=—","Direction=H","UseDPDF=Y")</f>
        <v>#NAME?</v>
      </c>
      <c r="H585" t="e">
        <f ca="1">_xll.BDH($C$578,"RETURN_ON_CAP","FQ2 2015","FQ2 2015","Currency=INR","Period=FQ","BEST_FPERIOD_OVERRIDE=FQ","FILING_STATUS=OR","EQY_CONSOLIDATED=Y","FA_ADJUSTED=GAAP","Sort=A","Dates=H","DateFormat=P","Fill=—","Direction=H","UseDPDF=Y")</f>
        <v>#NAME?</v>
      </c>
      <c r="I585" t="e">
        <f ca="1">_xll.BDH($C$578,"RETURN_ON_INV_CAPITAL","FQ2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585" t="e">
        <f ca="1">_xll.BDH($C$578,"EBITDA_TO_REVENUE","FQ2 2015","FQ2 2015","Currency=INR","Period=FQ","BEST_FPERIOD_OVERRIDE=FQ","FILING_STATUS=OR","EQY_CONSOLIDATED=Y","FA_ADJUSTED=GAAP","Sort=A","Dates=H","DateFormat=P","Fill=—","Direction=H","UseDPDF=Y")</f>
        <v>#NAME?</v>
      </c>
      <c r="K585" t="e">
        <f ca="1">_xll.BDH($C$578,"OPER_MARGIN","FQ2 2015","FQ2 2015","Currency=INR","Period=FQ","BEST_FPERIOD_OVERRIDE=FQ","FILING_STATUS=OR","EQY_CONSOLIDATED=Y","FA_ADJUSTED=GAAP","Sort=A","Dates=H","DateFormat=P","Fill=—","Direction=H","UseDPDF=Y")</f>
        <v>#NAME?</v>
      </c>
      <c r="L585" t="e">
        <f ca="1">_xll.BDH($C$578,"INCREMENTAL_OPERATING_MARGIN","FQ2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585" t="e">
        <f ca="1">_xll.BDH($C$578,"PRETAX_INC_TO_NET_SALES","FQ2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585" t="e">
        <f ca="1">_xll.BDH($C$578,"INC_BEF_XO_ITEMS_TO_NET_SALES","FQ2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585" t="e">
        <f ca="1">_xll.BDH($C$578,"PROF_MARGIN","FQ2 2015","FQ2 2015","Currency=INR","Period=FQ","BEST_FPERIOD_OVERRIDE=FQ","FILING_STATUS=OR","EQY_CONSOLIDATED=Y","FA_ADJUSTED=GAAP","Sort=A","Dates=H","DateFormat=P","Fill=—","Direction=H","UseDPDF=Y")</f>
        <v>#NAME?</v>
      </c>
      <c r="P585" t="e">
        <f ca="1">_xll.BDH($C$578,"NET_INCOME_TO_COMMON_MARGIN","FQ2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585" t="e">
        <f ca="1">_xll.BDH($C$578,"EFF_TAX_RATE","FQ2 2015","FQ2 2015","Currency=INR","Period=FQ","BEST_FPERIOD_OVERRIDE=FQ","FILING_STATUS=OR","EQY_CONSOLIDATED=Y","FA_ADJUSTED=GAAP","Sort=A","Dates=H","DateFormat=P","Fill=—","Direction=H","UseDPDF=Y")</f>
        <v>#NAME?</v>
      </c>
      <c r="R585" t="e">
        <f ca="1">_xll.BDH($C$578,"DVD_PAYOUT_RATIO","FQ2 2015","FQ2 2015","Currency=INR","Period=FQ","BEST_FPERIOD_OVERRIDE=FQ","FILING_STATUS=OR","EQY_CONSOLIDATED=Y","FA_ADJUSTED=GAAP","Sort=A","Dates=H","DateFormat=P","Fill=—","Direction=H","UseDPDF=Y")</f>
        <v>#NAME?</v>
      </c>
      <c r="S585" t="e">
        <f ca="1">_xll.BDH($C$578,"SUSTAIN_GROWTH_RT","FQ2 2015","FQ2 2015","Currency=INR","Period=FQ","BEST_FPERIOD_OVERRIDE=FQ","FILING_STATUS=OR","EQY_CONSOLIDATED=Y","FA_ADJUSTED=GAAP","Sort=A","Dates=H","DateFormat=P","Fill=—","Direction=H","UseDPDF=Y")</f>
        <v>#NAME?</v>
      </c>
      <c r="T585" s="2" t="e">
        <f ca="1">_xll.BDH($C$578,"SALES_GROWTH","FQ2 2015","FQ2 2015","Currency=INR","Period=FQ","BEST_FPERIOD_OVERRIDE=FQ","FILING_STATUS=OR","EQY_CONSOLIDATED=Y","FA_ADJUSTED=GAAP","Sort=A","Dates=H","DateFormat=P","Fill=—","Direction=H","UseDPDF=Y")</f>
        <v>#NAME?</v>
      </c>
      <c r="U585" s="2" t="e">
        <f ca="1">_xll.BDH($C$578,"EBITDA_GROWTH","FQ2 2015","FQ2 2015","Currency=INR","Period=FQ","BEST_FPERIOD_OVERRIDE=FQ","FILING_STATUS=OR","EQY_CONSOLIDATED=Y","FA_ADJUSTED=GAAP","Sort=A","Dates=H","DateFormat=P","Fill=—","Direction=H","UseDPDF=Y")</f>
        <v>#NAME?</v>
      </c>
      <c r="V585" s="2" t="e">
        <f ca="1">_xll.BDH($C$578,"OPER_INC_GROWTH","FQ2 2015","FQ2 2015","Currency=INR","Period=FQ","BEST_FPERIOD_OVERRIDE=FQ","FILING_STATUS=OR","EQY_CONSOLIDATED=Y","FA_ADJUSTED=GAAP","Sort=A","Dates=H","DateFormat=P","Fill=—","Direction=H","UseDPDF=Y")</f>
        <v>#NAME?</v>
      </c>
      <c r="W585" s="2" t="e">
        <f ca="1">_xll.BDH($C$578,"EARN_FOR_COM_GROWTH","FQ2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585" s="2" t="e">
        <f ca="1">_xll.BDH($C$578,"DILUTED_EPS_AFT_XO_ITEMS_GROWTH","FQ2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585" s="2" t="e">
        <f ca="1">_xll.BDH($C$578,"DIVIDEND_PER_SHARE_1_YEAR_GROWTH","FQ2 2015","FQ2 2015","Currency=INR","Period=FQ","BEST_FPERIOD_OVERRIDE=FQ","FILING_STATUS=OR","EQY_CONSOLIDATED=Y","Sort=A","Dates=H","DateFormat=P","Fill=—","Direction=H","UseDPDF=Y")</f>
        <v>#NAME?</v>
      </c>
      <c r="Z585" s="2" t="e">
        <f ca="1">_xll.BDH($C$578,"ACCOUNTS_RECEIVABLE_GROWTH","FQ2 2015","FQ2 2015","Currency=INR","Period=FQ","BEST_FPERIOD_OVERRIDE=FQ","FILING_STATUS=OR","EQY_CONSOLIDATED=Y","Sort=A","Dates=H","DateFormat=P","Fill=—","Direction=H","UseDPDF=Y")</f>
        <v>#NAME?</v>
      </c>
      <c r="AA585" s="2" t="e">
        <f ca="1">_xll.BDH($C$578,"INVENTORY_GROWTH","FQ2 2015","FQ2 2015","Currency=INR","Period=FQ","BEST_FPERIOD_OVERRIDE=FQ","FILING_STATUS=OR","EQY_CONSOLIDATED=Y","Sort=A","Dates=H","DateFormat=P","Fill=—","Direction=H","UseDPDF=Y")</f>
        <v>#NAME?</v>
      </c>
      <c r="AB585" s="2" t="e">
        <f ca="1">_xll.BDH($C$578,"NET_FIXED_ASSETS_1_YEAR_GROWTH","FQ2 2015","FQ2 2015","Currency=INR","Period=FQ","BEST_FPERIOD_OVERRIDE=FQ","FILING_STATUS=OR","EQY_CONSOLIDATED=Y","Sort=A","Dates=H","DateFormat=P","Fill=—","Direction=H","UseDPDF=Y")</f>
        <v>#NAME?</v>
      </c>
      <c r="AC585" s="2" t="e">
        <f ca="1">_xll.BDH($C$578,"ASSET_GROWTH","FQ2 2015","FQ2 2015","Currency=INR","Period=FQ","BEST_FPERIOD_OVERRIDE=FQ","FILING_STATUS=OR","EQY_CONSOLIDATED=Y","Sort=A","Dates=H","DateFormat=P","Fill=—","Direction=H","UseDPDF=Y")</f>
        <v>#NAME?</v>
      </c>
      <c r="AD585" s="2" t="e">
        <f ca="1">_xll.BDH($C$578,"MODIFIED_WORK_CAP_GROWTH","FQ2 2015","FQ2 2015","Currency=INR","Period=FQ","BEST_FPERIOD_OVERRIDE=FQ","FILING_STATUS=OR","EQY_CONSOLIDATED=Y","Sort=A","Dates=H","DateFormat=P","Fill=—","Direction=H","UseDPDF=Y")</f>
        <v>#NAME?</v>
      </c>
      <c r="AE585" s="2" t="e">
        <f ca="1">_xll.BDH($C$578,"WORK_CAP_GROWTH","FQ2 2015","FQ2 2015","Currency=INR","Period=FQ","BEST_FPERIOD_OVERRIDE=FQ","FILING_STATUS=OR","EQY_CONSOLIDATED=Y","Sort=A","Dates=H","DateFormat=P","Fill=—","Direction=H","UseDPDF=Y")</f>
        <v>#NAME?</v>
      </c>
      <c r="AF585" s="2" t="e">
        <f ca="1">_xll.BDH($C$578,"ACCOUNTS_PAYABLE_GROWTH_1YR","FQ2 2015","FQ2 2015","Currency=INR","Period=FQ","BEST_FPERIOD_OVERRIDE=FQ","FILING_STATUS=OR","EQY_CONSOLIDATED=Y","Sort=A","Dates=H","DateFormat=P","Fill=—","Direction=H","UseDPDF=Y")</f>
        <v>#NAME?</v>
      </c>
      <c r="AG585" s="2" t="e">
        <f ca="1">_xll.BDH($C$578,"SHORT_TERM_DEBT_1_YEAR_GROWTH","FQ2 2015","FQ2 2015","Currency=INR","Period=FQ","BEST_FPERIOD_OVERRIDE=FQ","FILING_STATUS=OR","EQY_CONSOLIDATED=Y","Sort=A","Dates=H","DateFormat=P","Fill=—","Direction=H","UseDPDF=Y")</f>
        <v>#NAME?</v>
      </c>
      <c r="AH585" s="2" t="e">
        <f ca="1">_xll.BDH($C$578,"TOTAL_DEBT_1_YEAR_GROWTH","FQ2 2015","FQ2 2015","Currency=INR","Period=FQ","BEST_FPERIOD_OVERRIDE=FQ","FILING_STATUS=OR","EQY_CONSOLIDATED=Y","Sort=A","Dates=H","DateFormat=P","Fill=—","Direction=H","UseDPDF=Y")</f>
        <v>#NAME?</v>
      </c>
      <c r="AI585" s="2" t="e">
        <f ca="1">_xll.BDH($C$578,"TOTAL_EQUITY_1_YEAR_GROWTH","FQ2 2015","FQ2 2015","Currency=INR","Period=FQ","BEST_FPERIOD_OVERRIDE=FQ","FILING_STATUS=OR","EQY_CONSOLIDATED=Y","Sort=A","Dates=H","DateFormat=P","Fill=—","Direction=H","UseDPDF=Y")</f>
        <v>#NAME?</v>
      </c>
      <c r="AJ585" s="2" t="e">
        <f ca="1">_xll.BDH($C$578,"GROWTH_IN_CAP","FQ2 2015","FQ2 2015","Currency=INR","Period=FQ","BEST_FPERIOD_OVERRIDE=FQ","FILING_STATUS=OR","EQY_CONSOLIDATED=Y","Sort=A","Dates=H","DateFormat=P","Fill=—","Direction=H","UseDPDF=Y")</f>
        <v>#NAME?</v>
      </c>
      <c r="AK585" s="2" t="e">
        <f ca="1">_xll.BDH($C$578,"BVPS_GROWTH","FQ2 2015","FQ2 2015","Currency=INR","Period=FQ","BEST_FPERIOD_OVERRIDE=FQ","FILING_STATUS=OR","EQY_CONSOLIDATED=Y","Sort=A","Dates=H","DateFormat=P","Fill=—","Direction=H","UseDPDF=Y")</f>
        <v>#NAME?</v>
      </c>
      <c r="AL585" s="2" t="e">
        <f ca="1">_xll.BDH($C$578,"CASH_FLOW_GROWTH","FQ2 2015","FQ2 2015","Currency=INR","Period=FQ","BEST_FPERIOD_OVERRIDE=FQ","FILING_STATUS=OR","EQY_CONSOLIDATED=Y","Sort=A","Dates=H","DateFormat=P","Fill=—","Direction=H","UseDPDF=Y")</f>
        <v>#NAME?</v>
      </c>
      <c r="AM585" s="2" t="e">
        <f ca="1">_xll.BDH($C$578,"GEO_GROW_NET_SALES","FQ2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585" s="2" t="e">
        <f ca="1">_xll.BDH($C$578,"GEO_GROW_EBITDA","FQ2 2015","FQ2 2015","Currency=INR","Period=FQ","BEST_FPERIOD_OVERRIDE=FQ","FILING_STATUS=OR","EQY_CONSOLIDATED=Y","FA_ADJUSTED=GAAP","Sort=A","Dates=H","DateFormat=P","Fill=—","Direction=H","UseDPDF=Y")</f>
        <v>#NAME?</v>
      </c>
      <c r="AO585" s="2" t="e">
        <f ca="1">_xll.BDH($C$578,"GEO_GROW_OPER_INC","FQ2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585" s="2" t="e">
        <f ca="1">_xll.BDH($C$578,"NET_INCOME_TO_COMMON_5_YR_GROWTH","FQ2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585" s="2" t="e">
        <f ca="1">_xll.BDH($C$578,"5Y_GEO_GROWTH_DILUTED_EPS","FQ2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585" s="2" t="e">
        <f ca="1">_xll.BDH($C$578,"GEO_GROW_DVD_PER_SH","FQ2 2015","FQ2 2015","Currency=INR","Period=FQ","BEST_FPERIOD_OVERRIDE=FQ","FILING_STATUS=OR","EQY_CONSOLIDATED=Y","Sort=A","Dates=H","DateFormat=P","Fill=—","Direction=H","UseDPDF=Y")</f>
        <v>#NAME?</v>
      </c>
      <c r="AS585" s="2" t="e">
        <f ca="1">_xll.BDH($C$578,"ACCOUNTS_RECEIVABLE_5_YR_GROWTH","FQ2 2015","FQ2 2015","Currency=INR","Period=FQ","BEST_FPERIOD_OVERRIDE=FQ","FILING_STATUS=OR","EQY_CONSOLIDATED=Y","Sort=A","Dates=H","DateFormat=P","Fill=—","Direction=H","UseDPDF=Y")</f>
        <v>#NAME?</v>
      </c>
      <c r="AT585" s="2" t="e">
        <f ca="1">_xll.BDH($C$578,"INVENTORY_5_YEAR_GROWTH","FQ2 2015","FQ2 2015","Currency=INR","Period=FQ","BEST_FPERIOD_OVERRIDE=FQ","FILING_STATUS=OR","EQY_CONSOLIDATED=Y","Sort=A","Dates=H","DateFormat=P","Fill=—","Direction=H","UseDPDF=Y")</f>
        <v>#NAME?</v>
      </c>
      <c r="AU585" s="2" t="e">
        <f ca="1">_xll.BDH($C$578,"NET_FIXED_ASSETS_5_YEAR_GROWTH","FQ2 2015","FQ2 2015","Currency=INR","Period=FQ","BEST_FPERIOD_OVERRIDE=FQ","FILING_STATUS=OR","EQY_CONSOLIDATED=Y","Sort=A","Dates=H","DateFormat=P","Fill=—","Direction=H","UseDPDF=Y")</f>
        <v>#NAME?</v>
      </c>
      <c r="AV585" s="2" t="e">
        <f ca="1">_xll.BDH($C$578,"GEO_GROW_TOT_ASSET","FQ2 2015","FQ2 2015","Currency=INR","Period=FQ","BEST_FPERIOD_OVERRIDE=FQ","FILING_STATUS=OR","EQY_CONSOLIDATED=Y","Sort=A","Dates=H","DateFormat=P","Fill=—","Direction=H","UseDPDF=Y")</f>
        <v>#NAME?</v>
      </c>
      <c r="AW585" s="2" t="e">
        <f ca="1">_xll.BDH($C$578,"MODIFIED_WORKING_CPTL_5YR_GRWTH","FQ2 2015","FQ2 2015","Currency=INR","Period=FQ","BEST_FPERIOD_OVERRIDE=FQ","FILING_STATUS=OR","EQY_CONSOLIDATED=Y","Sort=A","Dates=H","DateFormat=P","Fill=—","Direction=H","UseDPDF=Y")</f>
        <v>#NAME?</v>
      </c>
      <c r="AX585" s="2" t="e">
        <f ca="1">_xll.BDH($C$578,"WORKING_CAPITAL_5_YEAR_GROWTH","FQ2 2015","FQ2 2015","Currency=INR","Period=FQ","BEST_FPERIOD_OVERRIDE=FQ","FILING_STATUS=OR","EQY_CONSOLIDATED=Y","Sort=A","Dates=H","DateFormat=P","Fill=—","Direction=H","UseDPDF=Y")</f>
        <v>#NAME?</v>
      </c>
      <c r="AY585" s="2" t="e">
        <f ca="1">_xll.BDH($C$578,"ACCOUNTS_PAYABLE_5_YEAR_GROWTH","FQ2 2015","FQ2 2015","Currency=INR","Period=FQ","BEST_FPERIOD_OVERRIDE=FQ","FILING_STATUS=OR","EQY_CONSOLIDATED=Y","Sort=A","Dates=H","DateFormat=P","Fill=—","Direction=H","UseDPDF=Y")</f>
        <v>#NAME?</v>
      </c>
      <c r="AZ585" s="2" t="e">
        <f ca="1">_xll.BDH($C$578,"SHORT_TERM_DEBT_5_YEAR_GROWTH","FQ2 2015","FQ2 2015","Currency=INR","Period=FQ","BEST_FPERIOD_OVERRIDE=FQ","FILING_STATUS=OR","EQY_CONSOLIDATED=Y","Sort=A","Dates=H","DateFormat=P","Fill=—","Direction=H","UseDPDF=Y")</f>
        <v>#NAME?</v>
      </c>
      <c r="BA585" s="2" t="e">
        <f ca="1">_xll.BDH($C$578,"TOTAL_DEBT_5_YEAR_GROWTH","FQ2 2015","FQ2 2015","Currency=INR","Period=FQ","BEST_FPERIOD_OVERRIDE=FQ","FILING_STATUS=OR","EQY_CONSOLIDATED=Y","Sort=A","Dates=H","DateFormat=P","Fill=—","Direction=H","UseDPDF=Y")</f>
        <v>#NAME?</v>
      </c>
      <c r="BB585" s="2" t="e">
        <f ca="1">_xll.BDH($C$578,"GEO_GROW_TOT_SHRHLDR_EQY","FQ2 2015","FQ2 2015","Currency=INR","Period=FQ","BEST_FPERIOD_OVERRIDE=FQ","FILING_STATUS=OR","EQY_CONSOLIDATED=Y","Sort=A","Dates=H","DateFormat=P","Fill=—","Direction=H","UseDPDF=Y")</f>
        <v>#NAME?</v>
      </c>
      <c r="BC585" s="2" t="e">
        <f ca="1">_xll.BDH($C$578,"TOTAL_CAPITAL_5_YEAR_GROWTH","FQ2 2015","FQ2 2015","Currency=INR","Period=FQ","BEST_FPERIOD_OVERRIDE=FQ","FILING_STATUS=OR","EQY_CONSOLIDATED=Y","Sort=A","Dates=H","DateFormat=P","Fill=—","Direction=H","UseDPDF=Y")</f>
        <v>#NAME?</v>
      </c>
      <c r="BD585" s="2" t="e">
        <f ca="1">_xll.BDH($C$578,"GEO_GROW_BOOK_VAL","FQ2 2015","FQ2 2015","Currency=INR","Period=FQ","BEST_FPERIOD_OVERRIDE=FQ","FILING_STATUS=OR","EQY_CONSOLIDATED=Y","Sort=A","Dates=H","DateFormat=P","Fill=—","Direction=H","UseDPDF=Y")</f>
        <v>#NAME?</v>
      </c>
      <c r="BE585" s="2" t="e">
        <f ca="1">_xll.BDH($C$578,"GEO_GROW_CASH_OPER_ACT","FQ2 2015","FQ2 2015","Currency=INR","Period=FQ","BEST_FPERIOD_OVERRIDE=FQ","FILING_STATUS=OR","EQY_CONSOLIDATED=Y","Sort=A","Dates=H","DateFormat=P","Fill=—","Direction=H","UseDPDF=Y")</f>
        <v>#NAME?</v>
      </c>
      <c r="BF585" s="2" t="e">
        <f ca="1">_xll.BDH($C$578,"REVENUE_SEQUENTIAL_GROWTH","FQ2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585" s="2" t="e">
        <f ca="1">_xll.BDH($C$578,"EBITDA_SEQUENTIAL_GROWTH","FQ2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585" s="2" t="e">
        <f ca="1">_xll.BDH($C$578,"OPERATING_INCOME_SEQ_GROWTH","FQ2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585" s="2" t="e">
        <f ca="1">_xll.BDH($C$578,"NET_INCOME_TO_COMMON_SEQ_GROWTH","FQ2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585" s="2" t="e">
        <f ca="1">_xll.BDH($C$578,"EPS_DILUTED_SEQUENTIAL_GROWTH","FQ2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585" s="2" t="e">
        <f ca="1">_xll.BDH($C$578,"DPS_SEQUENTIAL_GROWTH","FQ2 2015","FQ2 2015","Currency=INR","Period=FQ","BEST_FPERIOD_OVERRIDE=FQ","FILING_STATUS=OR","EQY_CONSOLIDATED=Y","Sort=A","Dates=H","DateFormat=P","Fill=—","Direction=H","UseDPDF=Y")</f>
        <v>#NAME?</v>
      </c>
      <c r="BL585" s="2" t="e">
        <f ca="1">_xll.BDH($C$578,"ACCOUNTS_RECEIVABLE_SEQ_GROWTH","FQ2 2015","FQ2 2015","Currency=INR","Period=FQ","BEST_FPERIOD_OVERRIDE=FQ","FILING_STATUS=OR","EQY_CONSOLIDATED=Y","Sort=A","Dates=H","DateFormat=P","Fill=—","Direction=H","UseDPDF=Y")</f>
        <v>#NAME?</v>
      </c>
      <c r="BM585" s="2" t="e">
        <f ca="1">_xll.BDH($C$578,"INVENTORY_SEQUENTIAL_GROWTH","FQ2 2015","FQ2 2015","Currency=INR","Period=FQ","BEST_FPERIOD_OVERRIDE=FQ","FILING_STATUS=OR","EQY_CONSOLIDATED=Y","Sort=A","Dates=H","DateFormat=P","Fill=—","Direction=H","UseDPDF=Y")</f>
        <v>#NAME?</v>
      </c>
      <c r="BN585" s="2" t="e">
        <f ca="1">_xll.BDH($C$578,"FIXED_ASSETS_SEQUENTIAL_GROWTH","FQ2 2015","FQ2 2015","Currency=INR","Period=FQ","BEST_FPERIOD_OVERRIDE=FQ","FILING_STATUS=OR","EQY_CONSOLIDATED=Y","Sort=A","Dates=H","DateFormat=P","Fill=—","Direction=H","UseDPDF=Y")</f>
        <v>#NAME?</v>
      </c>
      <c r="BO585" s="2" t="e">
        <f ca="1">_xll.BDH($C$578,"TOTAL_ASSETS_SEQUENTIAL_GROWTH","FQ2 2015","FQ2 2015","Currency=INR","Period=FQ","BEST_FPERIOD_OVERRIDE=FQ","FILING_STATUS=OR","EQY_CONSOLIDATED=Y","Sort=A","Dates=H","DateFormat=P","Fill=—","Direction=H","UseDPDF=Y")</f>
        <v>#NAME?</v>
      </c>
      <c r="BP585" s="2" t="e">
        <f ca="1">_xll.BDH($C$578,"MODIFIED_WORKING_CPTL_SEQ_GRWTH","FQ2 2015","FQ2 2015","Currency=INR","Period=FQ","BEST_FPERIOD_OVERRIDE=FQ","FILING_STATUS=OR","EQY_CONSOLIDATED=Y","Sort=A","Dates=H","DateFormat=P","Fill=—","Direction=H","UseDPDF=Y")</f>
        <v>#NAME?</v>
      </c>
      <c r="BQ585" s="2" t="e">
        <f ca="1">_xll.BDH($C$578,"WORKING_CAPITAL_SEQ_GROWTH","FQ2 2015","FQ2 2015","Currency=INR","Period=FQ","BEST_FPERIOD_OVERRIDE=FQ","FILING_STATUS=OR","EQY_CONSOLIDATED=Y","Sort=A","Dates=H","DateFormat=P","Fill=—","Direction=H","UseDPDF=Y")</f>
        <v>#NAME?</v>
      </c>
      <c r="BR585" s="2" t="e">
        <f ca="1">_xll.BDH($C$578,"ACCOUNTS_PAYABLE_SEQ_GROWTH","FQ2 2015","FQ2 2015","Currency=INR","Period=FQ","BEST_FPERIOD_OVERRIDE=FQ","FILING_STATUS=OR","EQY_CONSOLIDATED=Y","Sort=A","Dates=H","DateFormat=P","Fill=—","Direction=H","UseDPDF=Y")</f>
        <v>#NAME?</v>
      </c>
      <c r="BS585" s="2" t="e">
        <f ca="1">_xll.BDH($C$578,"ST_DEBT_SEQUENTIAL_GROWTH","FQ2 2015","FQ2 2015","Currency=INR","Period=FQ","BEST_FPERIOD_OVERRIDE=FQ","FILING_STATUS=OR","EQY_CONSOLIDATED=Y","Sort=A","Dates=H","DateFormat=P","Fill=—","Direction=H","UseDPDF=Y")</f>
        <v>#NAME?</v>
      </c>
      <c r="BT585" s="2" t="e">
        <f ca="1">_xll.BDH($C$578,"TOTAL_DEBT_SEQUENTIAL_GROWTH","FQ2 2015","FQ2 2015","Currency=INR","Period=FQ","BEST_FPERIOD_OVERRIDE=FQ","FILING_STATUS=OR","EQY_CONSOLIDATED=Y","Sort=A","Dates=H","DateFormat=P","Fill=—","Direction=H","UseDPDF=Y")</f>
        <v>#NAME?</v>
      </c>
      <c r="BU585" s="2" t="e">
        <f ca="1">_xll.BDH($C$578,"TOTAL_EQUITY_SEQUENTIAL_GROWTH","FQ2 2015","FQ2 2015","Currency=INR","Period=FQ","BEST_FPERIOD_OVERRIDE=FQ","FILING_STATUS=OR","EQY_CONSOLIDATED=Y","Sort=A","Dates=H","DateFormat=P","Fill=—","Direction=H","UseDPDF=Y")</f>
        <v>#NAME?</v>
      </c>
      <c r="BV585" s="2" t="e">
        <f ca="1">_xll.BDH($C$578,"TOTAL_CAPITAL_SEQUENTIAL_GROWTH","FQ2 2015","FQ2 2015","Currency=INR","Period=FQ","BEST_FPERIOD_OVERRIDE=FQ","FILING_STATUS=OR","EQY_CONSOLIDATED=Y","Sort=A","Dates=H","DateFormat=P","Fill=—","Direction=H","UseDPDF=Y")</f>
        <v>#NAME?</v>
      </c>
      <c r="BW585" s="2" t="e">
        <f ca="1">_xll.BDH($C$578,"BPS_SEQUENTIAL_GROWTH","FQ2 2015","FQ2 2015","Currency=INR","Period=FQ","BEST_FPERIOD_OVERRIDE=FQ","FILING_STATUS=OR","EQY_CONSOLIDATED=Y","Sort=A","Dates=H","DateFormat=P","Fill=—","Direction=H","UseDPDF=Y")</f>
        <v>#NAME?</v>
      </c>
      <c r="BX585" s="2" t="e">
        <f ca="1">_xll.BDH($C$578,"CFO_SEQUENTIAL_GROWTH","FQ2 2015","FQ2 2015","Currency=INR","Period=FQ","BEST_FPERIOD_OVERRIDE=FQ","FILING_STATUS=OR","EQY_CONSOLIDATED=Y","Sort=A","Dates=H","DateFormat=P","Fill=—","Direction=H","UseDPDF=Y")</f>
        <v>#NAME?</v>
      </c>
      <c r="BY585" s="3" t="e">
        <f ca="1">_xll.BDH($C$578,"SHORT_AND_LONG_TERM_DEBT","FQ2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585" s="3" t="e">
        <f ca="1">_xll.BDH($C$578,"BS_ST_BORROW","FQ2 2015","FQ2 2015","Currency=INR","Period=FQ","BEST_FPERIOD_OVERRIDE=FQ","FILING_STATUS=OR","EQY_CONSOLIDATED=Y","SCALING_FORMAT=MLN","Sort=A","Dates=H","DateFormat=P","Fill=—","Direction=H","UseDPDF=Y")</f>
        <v>#NAME?</v>
      </c>
      <c r="CA585" s="3" t="e">
        <f ca="1">_xll.BDH($C$578,"BS_LT_BORROW","FQ2 2015","FQ2 2015","Currency=INR","Period=FQ","BEST_FPERIOD_OVERRIDE=FQ","FILING_STATUS=OR","EQY_CONSOLIDATED=Y","SCALING_FORMAT=MLN","Sort=A","Dates=H","DateFormat=P","Fill=—","Direction=H","UseDPDF=Y")</f>
        <v>#NAME?</v>
      </c>
      <c r="CB585" s="2" t="e">
        <f ca="1">_xll.BDH($C$578,"TOT_DEBT_TO_EBITDA","FQ2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585" s="2" t="e">
        <f ca="1">_xll.BDH($C$578,"NET_DEBT_TO_EBITDA","FQ2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585" s="2" t="e">
        <f ca="1">_xll.BDH($C$578,"TOTAL_DEBT_TO_EBIT","FQ2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585" s="2" t="e">
        <f ca="1">_xll.BDH($C$578,"NET_DEBT_TO_EBIT","FQ2 2015","FQ2 2015","Currency=INR","Period=FQ","BEST_FPERIOD_OVERRIDE=FQ","FILING_STATUS=OR","EQY_CONSOLIDATED=Y","FA_ADJUSTED=GAAP","Sort=A","Dates=H","DateFormat=P","Fill=—","Direction=H","UseDPDF=Y")</f>
        <v>#NAME?</v>
      </c>
      <c r="CF585" s="2" t="e">
        <f ca="1">_xll.BDH($C$578,"EBITDA_TO_INTEREST_EXPN","FQ2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585" s="2" t="e">
        <f ca="1">_xll.BDH($C$578,"COM_EQY_TO_TOT_ASSET","FQ2 2015","FQ2 2015","Currency=INR","Period=FQ","BEST_FPERIOD_OVERRIDE=FQ","FILING_STATUS=OR","EQY_CONSOLIDATED=Y","Sort=A","Dates=H","DateFormat=P","Fill=—","Direction=H","UseDPDF=Y")</f>
        <v>#NAME?</v>
      </c>
      <c r="CH585" s="2" t="e">
        <f ca="1">_xll.BDH($C$578,"LT_DEBT_TO_TOT_EQY","FQ2 2015","FQ2 2015","Currency=INR","Period=FQ","BEST_FPERIOD_OVERRIDE=FQ","FILING_STATUS=OR","EQY_CONSOLIDATED=Y","Sort=A","Dates=H","DateFormat=P","Fill=—","Direction=H","UseDPDF=Y")</f>
        <v>#NAME?</v>
      </c>
      <c r="CI585" s="2" t="e">
        <f ca="1">_xll.BDH($C$578,"LT_DEBT_TO_TOT_CAP","FQ2 2015","FQ2 2015","Currency=INR","Period=FQ","BEST_FPERIOD_OVERRIDE=FQ","FILING_STATUS=OR","EQY_CONSOLIDATED=Y","Sort=A","Dates=H","DateFormat=P","Fill=—","Direction=H","UseDPDF=Y")</f>
        <v>#NAME?</v>
      </c>
      <c r="CJ585" s="2" t="e">
        <f ca="1">_xll.BDH($C$578,"LT_DEBT_TO_TOT_ASSET","FQ2 2015","FQ2 2015","Currency=INR","Period=FQ","BEST_FPERIOD_OVERRIDE=FQ","FILING_STATUS=OR","EQY_CONSOLIDATED=Y","Sort=A","Dates=H","DateFormat=P","Fill=—","Direction=H","UseDPDF=Y")</f>
        <v>#NAME?</v>
      </c>
      <c r="CK585" s="2" t="e">
        <f ca="1">_xll.BDH($C$578,"TOT_DEBT_TO_TOT_EQY","FQ2 2015","FQ2 2015","Currency=INR","Period=FQ","BEST_FPERIOD_OVERRIDE=FQ","FILING_STATUS=OR","EQY_CONSOLIDATED=Y","Sort=A","Dates=H","DateFormat=P","Fill=—","Direction=H","UseDPDF=Y")</f>
        <v>#NAME?</v>
      </c>
      <c r="CL585" s="2" t="e">
        <f ca="1">_xll.BDH($C$578,"TOT_DEBT_TO_TOT_CAP","FQ2 2015","FQ2 2015","Currency=INR","Period=FQ","BEST_FPERIOD_OVERRIDE=FQ","FILING_STATUS=OR","EQY_CONSOLIDATED=Y","Sort=A","Dates=H","DateFormat=P","Fill=—","Direction=H","UseDPDF=Y")</f>
        <v>#NAME?</v>
      </c>
      <c r="CM585" s="2" t="e">
        <f ca="1">_xll.BDH($C$578,"TOT_DEBT_TO_TOT_ASSET","FQ2 2015","FQ2 2015","Currency=INR","Period=FQ","BEST_FPERIOD_OVERRIDE=FQ","FILING_STATUS=OR","EQY_CONSOLIDATED=Y","Sort=A","Dates=H","DateFormat=P","Fill=—","Direction=H","UseDPDF=Y")</f>
        <v>#NAME?</v>
      </c>
      <c r="CN585" s="2" t="e">
        <f ca="1">_xll.BDH($C$578,"NET_DEBT_TO_SHRHLDR_EQTY","FQ2 2015","FQ2 2015","Currency=INR","Period=FQ","BEST_FPERIOD_OVERRIDE=FQ","FILING_STATUS=OR","EQY_CONSOLIDATED=Y","Sort=A","Dates=H","DateFormat=P","Fill=—","Direction=H","UseDPDF=Y")</f>
        <v>#NAME?</v>
      </c>
      <c r="CO585" s="2" t="e">
        <f ca="1">_xll.BDH($C$578,"NET_DEBT_%_CAPITAL","FQ2 2015","FQ2 2015","Currency=INR","Period=FQ","BEST_FPERIOD_OVERRIDE=FQ","FILING_STATUS=OR","EQY_CONSOLIDATED=Y","Sort=A","Dates=H","DateFormat=P","Fill=—","Direction=H","UseDPDF=Y")</f>
        <v>#NAME?</v>
      </c>
      <c r="CP585" s="3" t="e">
        <f ca="1">_xll.BDH($C$578,"EBITDA","FQ2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585" s="3" t="e">
        <f ca="1">_xll.BDH($C$578,"EBITDA_AFTER_CAPEX","FQ2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585" s="3" t="e">
        <f ca="1">_xll.BDH($C$578,"IS_OPER_INC","FQ2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585" s="2" t="e">
        <f ca="1">_xll.BDH($C$578,"CASH_RATIO","FQ2 2015","FQ2 2015","Currency=INR","Period=FQ","BEST_FPERIOD_OVERRIDE=FQ","FILING_STATUS=OR","EQY_CONSOLIDATED=Y","Sort=A","Dates=H","DateFormat=P","Fill=—","Direction=H","UseDPDF=Y")</f>
        <v>#NAME?</v>
      </c>
      <c r="CT585" s="2" t="e">
        <f ca="1">_xll.BDH($C$578,"CUR_RATIO","FQ2 2015","FQ2 2015","Currency=INR","Period=FQ","BEST_FPERIOD_OVERRIDE=FQ","FILING_STATUS=OR","EQY_CONSOLIDATED=Y","Sort=A","Dates=H","DateFormat=P","Fill=—","Direction=H","UseDPDF=Y")</f>
        <v>#NAME?</v>
      </c>
      <c r="CU585" s="2" t="e">
        <f ca="1">_xll.BDH($C$578,"QUICK_RATIO","FQ2 2015","FQ2 2015","Currency=INR","Period=FQ","BEST_FPERIOD_OVERRIDE=FQ","FILING_STATUS=OR","EQY_CONSOLIDATED=Y","Sort=A","Dates=H","DateFormat=P","Fill=—","Direction=H","UseDPDF=Y")</f>
        <v>#NAME?</v>
      </c>
      <c r="CV585" s="2" t="e">
        <f ca="1">_xll.BDH($C$578,"ALTMAN_Z_SCORE","FQ2 2015","FQ2 2015","Currency=INR","Period=FQ","BEST_FPERIOD_OVERRIDE=FQ","FILING_STATUS=OR","EQY_CONSOLIDATED=Y","Sort=A","Dates=H","DateFormat=P","Fill=—","Direction=H","UseDPDF=Y")</f>
        <v>#NAME?</v>
      </c>
      <c r="CW585" s="4" t="e">
        <f ca="1">_xll.BDH($C$578,"ACCT_RCV_TURN","FQ2 2015","FQ2 2015","Currency=INR","Period=FQ","BEST_FPERIOD_OVERRIDE=FQ","FILING_STATUS=OR","EQY_CONSOLIDATED=Y","FA_ADJUSTED=GAAP","Sort=A","Dates=H","DateFormat=P","Fill=—","Direction=H","UseDPDF=Y")</f>
        <v>#NAME?</v>
      </c>
      <c r="CX585" s="2" t="e">
        <f ca="1">_xll.BDH($C$578,"ACCT_RCV_DAYS","FQ2 2015","FQ2 2015","Currency=INR","Period=FQ","BEST_FPERIOD_OVERRIDE=FQ","FILING_STATUS=OR","EQY_CONSOLIDATED=Y","FA_ADJUSTED=GAAP","Sort=A","Dates=H","DateFormat=P","Fill=—","Direction=H","UseDPDF=Y")</f>
        <v>#NAME?</v>
      </c>
      <c r="CY585" s="4" t="e">
        <f ca="1">_xll.BDH($C$578,"INVENT_TURN","FQ2 2015","FQ2 2015","Currency=INR","Period=FQ","BEST_FPERIOD_OVERRIDE=FQ","FILING_STATUS=OR","EQY_CONSOLIDATED=Y","FA_ADJUSTED=GAAP","Sort=A","Dates=H","DateFormat=P","Fill=—","Direction=H","UseDPDF=Y")</f>
        <v>#NAME?</v>
      </c>
      <c r="CZ585" s="2" t="e">
        <f ca="1">_xll.BDH($C$578,"INVENT_DAYS","FQ2 2015","FQ2 2015","Currency=INR","Period=FQ","BEST_FPERIOD_OVERRIDE=FQ","FILING_STATUS=OR","EQY_CONSOLIDATED=Y","FA_ADJUSTED=GAAP","Sort=A","Dates=H","DateFormat=P","Fill=—","Direction=H","UseDPDF=Y")</f>
        <v>#NAME?</v>
      </c>
      <c r="DA585" s="4" t="e">
        <f ca="1">_xll.BDH($C$578,"ACCOUNTS_PAYABLE_TURNOVER","FQ2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585" s="2" t="e">
        <f ca="1">_xll.BDH($C$578,"ACCOUNTS_PAYABLE_TURNOVER_DAYS","FQ2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585" s="4" t="e">
        <f ca="1">_xll.BDH($C$578,"CASH_CONVERSION_CYCLE","FQ2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585" s="4" t="e">
        <f ca="1">_xll.BDH($C$578,"INV_TO_CASH_DAYS","FQ2 2015","FQ2 2015","Currency=INR","Period=FQ","BEST_FPERIOD_OVERRIDE=FQ","FILING_STATUS=OR","EQY_CONSOLIDATED=Y","FA_ADJUSTED=GAAP","Sort=A","Dates=H","DateFormat=P","Fill=—","Direction=H","UseDPDF=Y")</f>
        <v>#NAME?</v>
      </c>
      <c r="DE585" s="5" t="e">
        <f ca="1">_xll.BDH($C$578,"BS_INVENTORIES","FQ2 2015","FQ2 2015","Currency=INR","Period=FQ","BEST_FPERIOD_OVERRIDE=FQ","FILING_STATUS=OR","EQY_CONSOLIDATED=Y","SCALING_FORMAT=MLN","Sort=A","Dates=H","DateFormat=P","Fill=—","Direction=H","UseDPDF=Y")</f>
        <v>#NAME?</v>
      </c>
      <c r="DF585" s="3" t="e">
        <f ca="1">_xll.BDH($C$578,"INVTRY_RAW_MATERIALS","FQ2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585" s="3" t="e">
        <f ca="1">_xll.BDH($C$578,"INVTRY_IN_PROGRESS","FQ2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585" s="3" t="e">
        <f ca="1">_xll.BDH($C$578,"INVTRY_FINISHED_GOODS","FQ2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585" s="3" t="e">
        <f ca="1">_xll.BDH($C$578,"BS_OTHER_INV","FQ2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586" spans="1:113" x14ac:dyDescent="0.3">
      <c r="A586" s="6"/>
      <c r="B586" s="6"/>
      <c r="C586" s="6"/>
      <c r="D586" s="6"/>
      <c r="E586" t="s">
        <v>80</v>
      </c>
      <c r="F586" t="e">
        <f ca="1">_xll.BDH($C$578,"RETURN_COM_EQY","FQ3 2015","FQ3 2015","Currency=INR","Period=FQ","BEST_FPERIOD_OVERRIDE=FQ","FILING_STATUS=OR","EQY_CONSOLIDATED=Y","FA_ADJUSTED=GAAP","Sort=A","Dates=H","DateFormat=P","Fill=—","Direction=H","UseDPDF=Y")</f>
        <v>#NAME?</v>
      </c>
      <c r="G586" t="e">
        <f ca="1">_xll.BDH($C$578,"RETURN_ON_ASSET","FQ3 2015","FQ3 2015","Currency=INR","Period=FQ","BEST_FPERIOD_OVERRIDE=FQ","FILING_STATUS=OR","EQY_CONSOLIDATED=Y","FA_ADJUSTED=GAAP","Sort=A","Dates=H","DateFormat=P","Fill=—","Direction=H","UseDPDF=Y")</f>
        <v>#NAME?</v>
      </c>
      <c r="H586" t="e">
        <f ca="1">_xll.BDH($C$578,"RETURN_ON_CAP","FQ3 2015","FQ3 2015","Currency=INR","Period=FQ","BEST_FPERIOD_OVERRIDE=FQ","FILING_STATUS=OR","EQY_CONSOLIDATED=Y","FA_ADJUSTED=GAAP","Sort=A","Dates=H","DateFormat=P","Fill=—","Direction=H","UseDPDF=Y")</f>
        <v>#NAME?</v>
      </c>
      <c r="I586" t="e">
        <f ca="1">_xll.BDH($C$578,"RETURN_ON_INV_CAPITAL","FQ3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586" t="e">
        <f ca="1">_xll.BDH($C$578,"EBITDA_TO_REVENUE","FQ3 2015","FQ3 2015","Currency=INR","Period=FQ","BEST_FPERIOD_OVERRIDE=FQ","FILING_STATUS=OR","EQY_CONSOLIDATED=Y","FA_ADJUSTED=GAAP","Sort=A","Dates=H","DateFormat=P","Fill=—","Direction=H","UseDPDF=Y")</f>
        <v>#NAME?</v>
      </c>
      <c r="K586" t="e">
        <f ca="1">_xll.BDH($C$578,"OPER_MARGIN","FQ3 2015","FQ3 2015","Currency=INR","Period=FQ","BEST_FPERIOD_OVERRIDE=FQ","FILING_STATUS=OR","EQY_CONSOLIDATED=Y","FA_ADJUSTED=GAAP","Sort=A","Dates=H","DateFormat=P","Fill=—","Direction=H","UseDPDF=Y")</f>
        <v>#NAME?</v>
      </c>
      <c r="L586" t="e">
        <f ca="1">_xll.BDH($C$578,"INCREMENTAL_OPERATING_MARGIN","FQ3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586" t="e">
        <f ca="1">_xll.BDH($C$578,"PRETAX_INC_TO_NET_SALES","FQ3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586" t="e">
        <f ca="1">_xll.BDH($C$578,"INC_BEF_XO_ITEMS_TO_NET_SALES","FQ3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586" t="e">
        <f ca="1">_xll.BDH($C$578,"PROF_MARGIN","FQ3 2015","FQ3 2015","Currency=INR","Period=FQ","BEST_FPERIOD_OVERRIDE=FQ","FILING_STATUS=OR","EQY_CONSOLIDATED=Y","FA_ADJUSTED=GAAP","Sort=A","Dates=H","DateFormat=P","Fill=—","Direction=H","UseDPDF=Y")</f>
        <v>#NAME?</v>
      </c>
      <c r="P586" t="e">
        <f ca="1">_xll.BDH($C$578,"NET_INCOME_TO_COMMON_MARGIN","FQ3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586" t="e">
        <f ca="1">_xll.BDH($C$578,"EFF_TAX_RATE","FQ3 2015","FQ3 2015","Currency=INR","Period=FQ","BEST_FPERIOD_OVERRIDE=FQ","FILING_STATUS=OR","EQY_CONSOLIDATED=Y","FA_ADJUSTED=GAAP","Sort=A","Dates=H","DateFormat=P","Fill=—","Direction=H","UseDPDF=Y")</f>
        <v>#NAME?</v>
      </c>
      <c r="R586" t="e">
        <f ca="1">_xll.BDH($C$578,"DVD_PAYOUT_RATIO","FQ3 2015","FQ3 2015","Currency=INR","Period=FQ","BEST_FPERIOD_OVERRIDE=FQ","FILING_STATUS=OR","EQY_CONSOLIDATED=Y","FA_ADJUSTED=GAAP","Sort=A","Dates=H","DateFormat=P","Fill=—","Direction=H","UseDPDF=Y")</f>
        <v>#NAME?</v>
      </c>
      <c r="S586" t="e">
        <f ca="1">_xll.BDH($C$578,"SUSTAIN_GROWTH_RT","FQ3 2015","FQ3 2015","Currency=INR","Period=FQ","BEST_FPERIOD_OVERRIDE=FQ","FILING_STATUS=OR","EQY_CONSOLIDATED=Y","FA_ADJUSTED=GAAP","Sort=A","Dates=H","DateFormat=P","Fill=—","Direction=H","UseDPDF=Y")</f>
        <v>#NAME?</v>
      </c>
      <c r="T586" s="2" t="e">
        <f ca="1">_xll.BDH($C$578,"SALES_GROWTH","FQ3 2015","FQ3 2015","Currency=INR","Period=FQ","BEST_FPERIOD_OVERRIDE=FQ","FILING_STATUS=OR","EQY_CONSOLIDATED=Y","FA_ADJUSTED=GAAP","Sort=A","Dates=H","DateFormat=P","Fill=—","Direction=H","UseDPDF=Y")</f>
        <v>#NAME?</v>
      </c>
      <c r="U586" s="2" t="e">
        <f ca="1">_xll.BDH($C$578,"EBITDA_GROWTH","FQ3 2015","FQ3 2015","Currency=INR","Period=FQ","BEST_FPERIOD_OVERRIDE=FQ","FILING_STATUS=OR","EQY_CONSOLIDATED=Y","FA_ADJUSTED=GAAP","Sort=A","Dates=H","DateFormat=P","Fill=—","Direction=H","UseDPDF=Y")</f>
        <v>#NAME?</v>
      </c>
      <c r="V586" s="2" t="e">
        <f ca="1">_xll.BDH($C$578,"OPER_INC_GROWTH","FQ3 2015","FQ3 2015","Currency=INR","Period=FQ","BEST_FPERIOD_OVERRIDE=FQ","FILING_STATUS=OR","EQY_CONSOLIDATED=Y","FA_ADJUSTED=GAAP","Sort=A","Dates=H","DateFormat=P","Fill=—","Direction=H","UseDPDF=Y")</f>
        <v>#NAME?</v>
      </c>
      <c r="W586" s="2" t="e">
        <f ca="1">_xll.BDH($C$578,"EARN_FOR_COM_GROWTH","FQ3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586" s="2" t="e">
        <f ca="1">_xll.BDH($C$578,"DILUTED_EPS_AFT_XO_ITEMS_GROWTH","FQ3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586" s="2" t="e">
        <f ca="1">_xll.BDH($C$578,"DIVIDEND_PER_SHARE_1_YEAR_GROWTH","FQ3 2015","FQ3 2015","Currency=INR","Period=FQ","BEST_FPERIOD_OVERRIDE=FQ","FILING_STATUS=OR","EQY_CONSOLIDATED=Y","Sort=A","Dates=H","DateFormat=P","Fill=—","Direction=H","UseDPDF=Y")</f>
        <v>#NAME?</v>
      </c>
      <c r="Z586" s="2" t="e">
        <f ca="1">_xll.BDH($C$578,"ACCOUNTS_RECEIVABLE_GROWTH","FQ3 2015","FQ3 2015","Currency=INR","Period=FQ","BEST_FPERIOD_OVERRIDE=FQ","FILING_STATUS=OR","EQY_CONSOLIDATED=Y","Sort=A","Dates=H","DateFormat=P","Fill=—","Direction=H","UseDPDF=Y")</f>
        <v>#NAME?</v>
      </c>
      <c r="AA586" s="2" t="e">
        <f ca="1">_xll.BDH($C$578,"INVENTORY_GROWTH","FQ3 2015","FQ3 2015","Currency=INR","Period=FQ","BEST_FPERIOD_OVERRIDE=FQ","FILING_STATUS=OR","EQY_CONSOLIDATED=Y","Sort=A","Dates=H","DateFormat=P","Fill=—","Direction=H","UseDPDF=Y")</f>
        <v>#NAME?</v>
      </c>
      <c r="AB586" s="2" t="e">
        <f ca="1">_xll.BDH($C$578,"NET_FIXED_ASSETS_1_YEAR_GROWTH","FQ3 2015","FQ3 2015","Currency=INR","Period=FQ","BEST_FPERIOD_OVERRIDE=FQ","FILING_STATUS=OR","EQY_CONSOLIDATED=Y","Sort=A","Dates=H","DateFormat=P","Fill=—","Direction=H","UseDPDF=Y")</f>
        <v>#NAME?</v>
      </c>
      <c r="AC586" s="2" t="e">
        <f ca="1">_xll.BDH($C$578,"ASSET_GROWTH","FQ3 2015","FQ3 2015","Currency=INR","Period=FQ","BEST_FPERIOD_OVERRIDE=FQ","FILING_STATUS=OR","EQY_CONSOLIDATED=Y","Sort=A","Dates=H","DateFormat=P","Fill=—","Direction=H","UseDPDF=Y")</f>
        <v>#NAME?</v>
      </c>
      <c r="AD586" s="2" t="e">
        <f ca="1">_xll.BDH($C$578,"MODIFIED_WORK_CAP_GROWTH","FQ3 2015","FQ3 2015","Currency=INR","Period=FQ","BEST_FPERIOD_OVERRIDE=FQ","FILING_STATUS=OR","EQY_CONSOLIDATED=Y","Sort=A","Dates=H","DateFormat=P","Fill=—","Direction=H","UseDPDF=Y")</f>
        <v>#NAME?</v>
      </c>
      <c r="AE586" s="2" t="e">
        <f ca="1">_xll.BDH($C$578,"WORK_CAP_GROWTH","FQ3 2015","FQ3 2015","Currency=INR","Period=FQ","BEST_FPERIOD_OVERRIDE=FQ","FILING_STATUS=OR","EQY_CONSOLIDATED=Y","Sort=A","Dates=H","DateFormat=P","Fill=—","Direction=H","UseDPDF=Y")</f>
        <v>#NAME?</v>
      </c>
      <c r="AF586" s="2" t="e">
        <f ca="1">_xll.BDH($C$578,"ACCOUNTS_PAYABLE_GROWTH_1YR","FQ3 2015","FQ3 2015","Currency=INR","Period=FQ","BEST_FPERIOD_OVERRIDE=FQ","FILING_STATUS=OR","EQY_CONSOLIDATED=Y","Sort=A","Dates=H","DateFormat=P","Fill=—","Direction=H","UseDPDF=Y")</f>
        <v>#NAME?</v>
      </c>
      <c r="AG586" s="2" t="e">
        <f ca="1">_xll.BDH($C$578,"SHORT_TERM_DEBT_1_YEAR_GROWTH","FQ3 2015","FQ3 2015","Currency=INR","Period=FQ","BEST_FPERIOD_OVERRIDE=FQ","FILING_STATUS=OR","EQY_CONSOLIDATED=Y","Sort=A","Dates=H","DateFormat=P","Fill=—","Direction=H","UseDPDF=Y")</f>
        <v>#NAME?</v>
      </c>
      <c r="AH586" s="2" t="e">
        <f ca="1">_xll.BDH($C$578,"TOTAL_DEBT_1_YEAR_GROWTH","FQ3 2015","FQ3 2015","Currency=INR","Period=FQ","BEST_FPERIOD_OVERRIDE=FQ","FILING_STATUS=OR","EQY_CONSOLIDATED=Y","Sort=A","Dates=H","DateFormat=P","Fill=—","Direction=H","UseDPDF=Y")</f>
        <v>#NAME?</v>
      </c>
      <c r="AI586" s="2" t="e">
        <f ca="1">_xll.BDH($C$578,"TOTAL_EQUITY_1_YEAR_GROWTH","FQ3 2015","FQ3 2015","Currency=INR","Period=FQ","BEST_FPERIOD_OVERRIDE=FQ","FILING_STATUS=OR","EQY_CONSOLIDATED=Y","Sort=A","Dates=H","DateFormat=P","Fill=—","Direction=H","UseDPDF=Y")</f>
        <v>#NAME?</v>
      </c>
      <c r="AJ586" s="2" t="e">
        <f ca="1">_xll.BDH($C$578,"GROWTH_IN_CAP","FQ3 2015","FQ3 2015","Currency=INR","Period=FQ","BEST_FPERIOD_OVERRIDE=FQ","FILING_STATUS=OR","EQY_CONSOLIDATED=Y","Sort=A","Dates=H","DateFormat=P","Fill=—","Direction=H","UseDPDF=Y")</f>
        <v>#NAME?</v>
      </c>
      <c r="AK586" s="2" t="e">
        <f ca="1">_xll.BDH($C$578,"BVPS_GROWTH","FQ3 2015","FQ3 2015","Currency=INR","Period=FQ","BEST_FPERIOD_OVERRIDE=FQ","FILING_STATUS=OR","EQY_CONSOLIDATED=Y","Sort=A","Dates=H","DateFormat=P","Fill=—","Direction=H","UseDPDF=Y")</f>
        <v>#NAME?</v>
      </c>
      <c r="AL586" s="2" t="e">
        <f ca="1">_xll.BDH($C$578,"CASH_FLOW_GROWTH","FQ3 2015","FQ3 2015","Currency=INR","Period=FQ","BEST_FPERIOD_OVERRIDE=FQ","FILING_STATUS=OR","EQY_CONSOLIDATED=Y","Sort=A","Dates=H","DateFormat=P","Fill=—","Direction=H","UseDPDF=Y")</f>
        <v>#NAME?</v>
      </c>
      <c r="AM586" s="2" t="e">
        <f ca="1">_xll.BDH($C$578,"GEO_GROW_NET_SALES","FQ3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586" s="2" t="e">
        <f ca="1">_xll.BDH($C$578,"GEO_GROW_EBITDA","FQ3 2015","FQ3 2015","Currency=INR","Period=FQ","BEST_FPERIOD_OVERRIDE=FQ","FILING_STATUS=OR","EQY_CONSOLIDATED=Y","FA_ADJUSTED=GAAP","Sort=A","Dates=H","DateFormat=P","Fill=—","Direction=H","UseDPDF=Y")</f>
        <v>#NAME?</v>
      </c>
      <c r="AO586" s="2" t="e">
        <f ca="1">_xll.BDH($C$578,"GEO_GROW_OPER_INC","FQ3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586" s="2" t="e">
        <f ca="1">_xll.BDH($C$578,"NET_INCOME_TO_COMMON_5_YR_GROWTH","FQ3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586" s="2" t="e">
        <f ca="1">_xll.BDH($C$578,"5Y_GEO_GROWTH_DILUTED_EPS","FQ3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586" s="2" t="e">
        <f ca="1">_xll.BDH($C$578,"GEO_GROW_DVD_PER_SH","FQ3 2015","FQ3 2015","Currency=INR","Period=FQ","BEST_FPERIOD_OVERRIDE=FQ","FILING_STATUS=OR","EQY_CONSOLIDATED=Y","Sort=A","Dates=H","DateFormat=P","Fill=—","Direction=H","UseDPDF=Y")</f>
        <v>#NAME?</v>
      </c>
      <c r="AS586" s="2" t="e">
        <f ca="1">_xll.BDH($C$578,"ACCOUNTS_RECEIVABLE_5_YR_GROWTH","FQ3 2015","FQ3 2015","Currency=INR","Period=FQ","BEST_FPERIOD_OVERRIDE=FQ","FILING_STATUS=OR","EQY_CONSOLIDATED=Y","Sort=A","Dates=H","DateFormat=P","Fill=—","Direction=H","UseDPDF=Y")</f>
        <v>#NAME?</v>
      </c>
      <c r="AT586" s="2" t="e">
        <f ca="1">_xll.BDH($C$578,"INVENTORY_5_YEAR_GROWTH","FQ3 2015","FQ3 2015","Currency=INR","Period=FQ","BEST_FPERIOD_OVERRIDE=FQ","FILING_STATUS=OR","EQY_CONSOLIDATED=Y","Sort=A","Dates=H","DateFormat=P","Fill=—","Direction=H","UseDPDF=Y")</f>
        <v>#NAME?</v>
      </c>
      <c r="AU586" s="2" t="e">
        <f ca="1">_xll.BDH($C$578,"NET_FIXED_ASSETS_5_YEAR_GROWTH","FQ3 2015","FQ3 2015","Currency=INR","Period=FQ","BEST_FPERIOD_OVERRIDE=FQ","FILING_STATUS=OR","EQY_CONSOLIDATED=Y","Sort=A","Dates=H","DateFormat=P","Fill=—","Direction=H","UseDPDF=Y")</f>
        <v>#NAME?</v>
      </c>
      <c r="AV586" s="2" t="e">
        <f ca="1">_xll.BDH($C$578,"GEO_GROW_TOT_ASSET","FQ3 2015","FQ3 2015","Currency=INR","Period=FQ","BEST_FPERIOD_OVERRIDE=FQ","FILING_STATUS=OR","EQY_CONSOLIDATED=Y","Sort=A","Dates=H","DateFormat=P","Fill=—","Direction=H","UseDPDF=Y")</f>
        <v>#NAME?</v>
      </c>
      <c r="AW586" s="2" t="e">
        <f ca="1">_xll.BDH($C$578,"MODIFIED_WORKING_CPTL_5YR_GRWTH","FQ3 2015","FQ3 2015","Currency=INR","Period=FQ","BEST_FPERIOD_OVERRIDE=FQ","FILING_STATUS=OR","EQY_CONSOLIDATED=Y","Sort=A","Dates=H","DateFormat=P","Fill=—","Direction=H","UseDPDF=Y")</f>
        <v>#NAME?</v>
      </c>
      <c r="AX586" s="2" t="e">
        <f ca="1">_xll.BDH($C$578,"WORKING_CAPITAL_5_YEAR_GROWTH","FQ3 2015","FQ3 2015","Currency=INR","Period=FQ","BEST_FPERIOD_OVERRIDE=FQ","FILING_STATUS=OR","EQY_CONSOLIDATED=Y","Sort=A","Dates=H","DateFormat=P","Fill=—","Direction=H","UseDPDF=Y")</f>
        <v>#NAME?</v>
      </c>
      <c r="AY586" s="2" t="e">
        <f ca="1">_xll.BDH($C$578,"ACCOUNTS_PAYABLE_5_YEAR_GROWTH","FQ3 2015","FQ3 2015","Currency=INR","Period=FQ","BEST_FPERIOD_OVERRIDE=FQ","FILING_STATUS=OR","EQY_CONSOLIDATED=Y","Sort=A","Dates=H","DateFormat=P","Fill=—","Direction=H","UseDPDF=Y")</f>
        <v>#NAME?</v>
      </c>
      <c r="AZ586" s="2" t="e">
        <f ca="1">_xll.BDH($C$578,"SHORT_TERM_DEBT_5_YEAR_GROWTH","FQ3 2015","FQ3 2015","Currency=INR","Period=FQ","BEST_FPERIOD_OVERRIDE=FQ","FILING_STATUS=OR","EQY_CONSOLIDATED=Y","Sort=A","Dates=H","DateFormat=P","Fill=—","Direction=H","UseDPDF=Y")</f>
        <v>#NAME?</v>
      </c>
      <c r="BA586" s="2" t="e">
        <f ca="1">_xll.BDH($C$578,"TOTAL_DEBT_5_YEAR_GROWTH","FQ3 2015","FQ3 2015","Currency=INR","Period=FQ","BEST_FPERIOD_OVERRIDE=FQ","FILING_STATUS=OR","EQY_CONSOLIDATED=Y","Sort=A","Dates=H","DateFormat=P","Fill=—","Direction=H","UseDPDF=Y")</f>
        <v>#NAME?</v>
      </c>
      <c r="BB586" s="2" t="e">
        <f ca="1">_xll.BDH($C$578,"GEO_GROW_TOT_SHRHLDR_EQY","FQ3 2015","FQ3 2015","Currency=INR","Period=FQ","BEST_FPERIOD_OVERRIDE=FQ","FILING_STATUS=OR","EQY_CONSOLIDATED=Y","Sort=A","Dates=H","DateFormat=P","Fill=—","Direction=H","UseDPDF=Y")</f>
        <v>#NAME?</v>
      </c>
      <c r="BC586" s="2" t="e">
        <f ca="1">_xll.BDH($C$578,"TOTAL_CAPITAL_5_YEAR_GROWTH","FQ3 2015","FQ3 2015","Currency=INR","Period=FQ","BEST_FPERIOD_OVERRIDE=FQ","FILING_STATUS=OR","EQY_CONSOLIDATED=Y","Sort=A","Dates=H","DateFormat=P","Fill=—","Direction=H","UseDPDF=Y")</f>
        <v>#NAME?</v>
      </c>
      <c r="BD586" s="2" t="e">
        <f ca="1">_xll.BDH($C$578,"GEO_GROW_BOOK_VAL","FQ3 2015","FQ3 2015","Currency=INR","Period=FQ","BEST_FPERIOD_OVERRIDE=FQ","FILING_STATUS=OR","EQY_CONSOLIDATED=Y","Sort=A","Dates=H","DateFormat=P","Fill=—","Direction=H","UseDPDF=Y")</f>
        <v>#NAME?</v>
      </c>
      <c r="BE586" s="2" t="e">
        <f ca="1">_xll.BDH($C$578,"GEO_GROW_CASH_OPER_ACT","FQ3 2015","FQ3 2015","Currency=INR","Period=FQ","BEST_FPERIOD_OVERRIDE=FQ","FILING_STATUS=OR","EQY_CONSOLIDATED=Y","Sort=A","Dates=H","DateFormat=P","Fill=—","Direction=H","UseDPDF=Y")</f>
        <v>#NAME?</v>
      </c>
      <c r="BF586" s="2" t="e">
        <f ca="1">_xll.BDH($C$578,"REVENUE_SEQUENTIAL_GROWTH","FQ3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586" s="2" t="e">
        <f ca="1">_xll.BDH($C$578,"EBITDA_SEQUENTIAL_GROWTH","FQ3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586" s="2" t="e">
        <f ca="1">_xll.BDH($C$578,"OPERATING_INCOME_SEQ_GROWTH","FQ3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586" s="2" t="e">
        <f ca="1">_xll.BDH($C$578,"NET_INCOME_TO_COMMON_SEQ_GROWTH","FQ3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586" s="2" t="e">
        <f ca="1">_xll.BDH($C$578,"EPS_DILUTED_SEQUENTIAL_GROWTH","FQ3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586" s="2" t="e">
        <f ca="1">_xll.BDH($C$578,"DPS_SEQUENTIAL_GROWTH","FQ3 2015","FQ3 2015","Currency=INR","Period=FQ","BEST_FPERIOD_OVERRIDE=FQ","FILING_STATUS=OR","EQY_CONSOLIDATED=Y","Sort=A","Dates=H","DateFormat=P","Fill=—","Direction=H","UseDPDF=Y")</f>
        <v>#NAME?</v>
      </c>
      <c r="BL586" s="2" t="e">
        <f ca="1">_xll.BDH($C$578,"ACCOUNTS_RECEIVABLE_SEQ_GROWTH","FQ3 2015","FQ3 2015","Currency=INR","Period=FQ","BEST_FPERIOD_OVERRIDE=FQ","FILING_STATUS=OR","EQY_CONSOLIDATED=Y","Sort=A","Dates=H","DateFormat=P","Fill=—","Direction=H","UseDPDF=Y")</f>
        <v>#NAME?</v>
      </c>
      <c r="BM586" s="2" t="e">
        <f ca="1">_xll.BDH($C$578,"INVENTORY_SEQUENTIAL_GROWTH","FQ3 2015","FQ3 2015","Currency=INR","Period=FQ","BEST_FPERIOD_OVERRIDE=FQ","FILING_STATUS=OR","EQY_CONSOLIDATED=Y","Sort=A","Dates=H","DateFormat=P","Fill=—","Direction=H","UseDPDF=Y")</f>
        <v>#NAME?</v>
      </c>
      <c r="BN586" s="2" t="e">
        <f ca="1">_xll.BDH($C$578,"FIXED_ASSETS_SEQUENTIAL_GROWTH","FQ3 2015","FQ3 2015","Currency=INR","Period=FQ","BEST_FPERIOD_OVERRIDE=FQ","FILING_STATUS=OR","EQY_CONSOLIDATED=Y","Sort=A","Dates=H","DateFormat=P","Fill=—","Direction=H","UseDPDF=Y")</f>
        <v>#NAME?</v>
      </c>
      <c r="BO586" s="2" t="e">
        <f ca="1">_xll.BDH($C$578,"TOTAL_ASSETS_SEQUENTIAL_GROWTH","FQ3 2015","FQ3 2015","Currency=INR","Period=FQ","BEST_FPERIOD_OVERRIDE=FQ","FILING_STATUS=OR","EQY_CONSOLIDATED=Y","Sort=A","Dates=H","DateFormat=P","Fill=—","Direction=H","UseDPDF=Y")</f>
        <v>#NAME?</v>
      </c>
      <c r="BP586" s="2" t="e">
        <f ca="1">_xll.BDH($C$578,"MODIFIED_WORKING_CPTL_SEQ_GRWTH","FQ3 2015","FQ3 2015","Currency=INR","Period=FQ","BEST_FPERIOD_OVERRIDE=FQ","FILING_STATUS=OR","EQY_CONSOLIDATED=Y","Sort=A","Dates=H","DateFormat=P","Fill=—","Direction=H","UseDPDF=Y")</f>
        <v>#NAME?</v>
      </c>
      <c r="BQ586" s="2" t="e">
        <f ca="1">_xll.BDH($C$578,"WORKING_CAPITAL_SEQ_GROWTH","FQ3 2015","FQ3 2015","Currency=INR","Period=FQ","BEST_FPERIOD_OVERRIDE=FQ","FILING_STATUS=OR","EQY_CONSOLIDATED=Y","Sort=A","Dates=H","DateFormat=P","Fill=—","Direction=H","UseDPDF=Y")</f>
        <v>#NAME?</v>
      </c>
      <c r="BR586" s="2" t="e">
        <f ca="1">_xll.BDH($C$578,"ACCOUNTS_PAYABLE_SEQ_GROWTH","FQ3 2015","FQ3 2015","Currency=INR","Period=FQ","BEST_FPERIOD_OVERRIDE=FQ","FILING_STATUS=OR","EQY_CONSOLIDATED=Y","Sort=A","Dates=H","DateFormat=P","Fill=—","Direction=H","UseDPDF=Y")</f>
        <v>#NAME?</v>
      </c>
      <c r="BS586" s="2" t="e">
        <f ca="1">_xll.BDH($C$578,"ST_DEBT_SEQUENTIAL_GROWTH","FQ3 2015","FQ3 2015","Currency=INR","Period=FQ","BEST_FPERIOD_OVERRIDE=FQ","FILING_STATUS=OR","EQY_CONSOLIDATED=Y","Sort=A","Dates=H","DateFormat=P","Fill=—","Direction=H","UseDPDF=Y")</f>
        <v>#NAME?</v>
      </c>
      <c r="BT586" s="2" t="e">
        <f ca="1">_xll.BDH($C$578,"TOTAL_DEBT_SEQUENTIAL_GROWTH","FQ3 2015","FQ3 2015","Currency=INR","Period=FQ","BEST_FPERIOD_OVERRIDE=FQ","FILING_STATUS=OR","EQY_CONSOLIDATED=Y","Sort=A","Dates=H","DateFormat=P","Fill=—","Direction=H","UseDPDF=Y")</f>
        <v>#NAME?</v>
      </c>
      <c r="BU586" s="2" t="e">
        <f ca="1">_xll.BDH($C$578,"TOTAL_EQUITY_SEQUENTIAL_GROWTH","FQ3 2015","FQ3 2015","Currency=INR","Period=FQ","BEST_FPERIOD_OVERRIDE=FQ","FILING_STATUS=OR","EQY_CONSOLIDATED=Y","Sort=A","Dates=H","DateFormat=P","Fill=—","Direction=H","UseDPDF=Y")</f>
        <v>#NAME?</v>
      </c>
      <c r="BV586" s="2" t="e">
        <f ca="1">_xll.BDH($C$578,"TOTAL_CAPITAL_SEQUENTIAL_GROWTH","FQ3 2015","FQ3 2015","Currency=INR","Period=FQ","BEST_FPERIOD_OVERRIDE=FQ","FILING_STATUS=OR","EQY_CONSOLIDATED=Y","Sort=A","Dates=H","DateFormat=P","Fill=—","Direction=H","UseDPDF=Y")</f>
        <v>#NAME?</v>
      </c>
      <c r="BW586" s="2" t="e">
        <f ca="1">_xll.BDH($C$578,"BPS_SEQUENTIAL_GROWTH","FQ3 2015","FQ3 2015","Currency=INR","Period=FQ","BEST_FPERIOD_OVERRIDE=FQ","FILING_STATUS=OR","EQY_CONSOLIDATED=Y","Sort=A","Dates=H","DateFormat=P","Fill=—","Direction=H","UseDPDF=Y")</f>
        <v>#NAME?</v>
      </c>
      <c r="BX586" s="2" t="e">
        <f ca="1">_xll.BDH($C$578,"CFO_SEQUENTIAL_GROWTH","FQ3 2015","FQ3 2015","Currency=INR","Period=FQ","BEST_FPERIOD_OVERRIDE=FQ","FILING_STATUS=OR","EQY_CONSOLIDATED=Y","Sort=A","Dates=H","DateFormat=P","Fill=—","Direction=H","UseDPDF=Y")</f>
        <v>#NAME?</v>
      </c>
      <c r="BY586" s="3" t="e">
        <f ca="1">_xll.BDH($C$578,"SHORT_AND_LONG_TERM_DEBT","FQ3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586" s="3" t="e">
        <f ca="1">_xll.BDH($C$578,"BS_ST_BORROW","FQ3 2015","FQ3 2015","Currency=INR","Period=FQ","BEST_FPERIOD_OVERRIDE=FQ","FILING_STATUS=OR","EQY_CONSOLIDATED=Y","SCALING_FORMAT=MLN","Sort=A","Dates=H","DateFormat=P","Fill=—","Direction=H","UseDPDF=Y")</f>
        <v>#NAME?</v>
      </c>
      <c r="CA586" s="3" t="e">
        <f ca="1">_xll.BDH($C$578,"BS_LT_BORROW","FQ3 2015","FQ3 2015","Currency=INR","Period=FQ","BEST_FPERIOD_OVERRIDE=FQ","FILING_STATUS=OR","EQY_CONSOLIDATED=Y","SCALING_FORMAT=MLN","Sort=A","Dates=H","DateFormat=P","Fill=—","Direction=H","UseDPDF=Y")</f>
        <v>#NAME?</v>
      </c>
      <c r="CB586" s="2" t="e">
        <f ca="1">_xll.BDH($C$578,"TOT_DEBT_TO_EBITDA","FQ3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586" s="2" t="e">
        <f ca="1">_xll.BDH($C$578,"NET_DEBT_TO_EBITDA","FQ3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586" s="2" t="e">
        <f ca="1">_xll.BDH($C$578,"TOTAL_DEBT_TO_EBIT","FQ3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586" s="2" t="e">
        <f ca="1">_xll.BDH($C$578,"NET_DEBT_TO_EBIT","FQ3 2015","FQ3 2015","Currency=INR","Period=FQ","BEST_FPERIOD_OVERRIDE=FQ","FILING_STATUS=OR","EQY_CONSOLIDATED=Y","FA_ADJUSTED=GAAP","Sort=A","Dates=H","DateFormat=P","Fill=—","Direction=H","UseDPDF=Y")</f>
        <v>#NAME?</v>
      </c>
      <c r="CF586" s="2" t="e">
        <f ca="1">_xll.BDH($C$578,"EBITDA_TO_INTEREST_EXPN","FQ3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586" s="2" t="e">
        <f ca="1">_xll.BDH($C$578,"COM_EQY_TO_TOT_ASSET","FQ3 2015","FQ3 2015","Currency=INR","Period=FQ","BEST_FPERIOD_OVERRIDE=FQ","FILING_STATUS=OR","EQY_CONSOLIDATED=Y","Sort=A","Dates=H","DateFormat=P","Fill=—","Direction=H","UseDPDF=Y")</f>
        <v>#NAME?</v>
      </c>
      <c r="CH586" s="2" t="e">
        <f ca="1">_xll.BDH($C$578,"LT_DEBT_TO_TOT_EQY","FQ3 2015","FQ3 2015","Currency=INR","Period=FQ","BEST_FPERIOD_OVERRIDE=FQ","FILING_STATUS=OR","EQY_CONSOLIDATED=Y","Sort=A","Dates=H","DateFormat=P","Fill=—","Direction=H","UseDPDF=Y")</f>
        <v>#NAME?</v>
      </c>
      <c r="CI586" s="2" t="e">
        <f ca="1">_xll.BDH($C$578,"LT_DEBT_TO_TOT_CAP","FQ3 2015","FQ3 2015","Currency=INR","Period=FQ","BEST_FPERIOD_OVERRIDE=FQ","FILING_STATUS=OR","EQY_CONSOLIDATED=Y","Sort=A","Dates=H","DateFormat=P","Fill=—","Direction=H","UseDPDF=Y")</f>
        <v>#NAME?</v>
      </c>
      <c r="CJ586" s="2" t="e">
        <f ca="1">_xll.BDH($C$578,"LT_DEBT_TO_TOT_ASSET","FQ3 2015","FQ3 2015","Currency=INR","Period=FQ","BEST_FPERIOD_OVERRIDE=FQ","FILING_STATUS=OR","EQY_CONSOLIDATED=Y","Sort=A","Dates=H","DateFormat=P","Fill=—","Direction=H","UseDPDF=Y")</f>
        <v>#NAME?</v>
      </c>
      <c r="CK586" s="2" t="e">
        <f ca="1">_xll.BDH($C$578,"TOT_DEBT_TO_TOT_EQY","FQ3 2015","FQ3 2015","Currency=INR","Period=FQ","BEST_FPERIOD_OVERRIDE=FQ","FILING_STATUS=OR","EQY_CONSOLIDATED=Y","Sort=A","Dates=H","DateFormat=P","Fill=—","Direction=H","UseDPDF=Y")</f>
        <v>#NAME?</v>
      </c>
      <c r="CL586" s="2" t="e">
        <f ca="1">_xll.BDH($C$578,"TOT_DEBT_TO_TOT_CAP","FQ3 2015","FQ3 2015","Currency=INR","Period=FQ","BEST_FPERIOD_OVERRIDE=FQ","FILING_STATUS=OR","EQY_CONSOLIDATED=Y","Sort=A","Dates=H","DateFormat=P","Fill=—","Direction=H","UseDPDF=Y")</f>
        <v>#NAME?</v>
      </c>
      <c r="CM586" s="2" t="e">
        <f ca="1">_xll.BDH($C$578,"TOT_DEBT_TO_TOT_ASSET","FQ3 2015","FQ3 2015","Currency=INR","Period=FQ","BEST_FPERIOD_OVERRIDE=FQ","FILING_STATUS=OR","EQY_CONSOLIDATED=Y","Sort=A","Dates=H","DateFormat=P","Fill=—","Direction=H","UseDPDF=Y")</f>
        <v>#NAME?</v>
      </c>
      <c r="CN586" s="2" t="e">
        <f ca="1">_xll.BDH($C$578,"NET_DEBT_TO_SHRHLDR_EQTY","FQ3 2015","FQ3 2015","Currency=INR","Period=FQ","BEST_FPERIOD_OVERRIDE=FQ","FILING_STATUS=OR","EQY_CONSOLIDATED=Y","Sort=A","Dates=H","DateFormat=P","Fill=—","Direction=H","UseDPDF=Y")</f>
        <v>#NAME?</v>
      </c>
      <c r="CO586" s="2" t="e">
        <f ca="1">_xll.BDH($C$578,"NET_DEBT_%_CAPITAL","FQ3 2015","FQ3 2015","Currency=INR","Period=FQ","BEST_FPERIOD_OVERRIDE=FQ","FILING_STATUS=OR","EQY_CONSOLIDATED=Y","Sort=A","Dates=H","DateFormat=P","Fill=—","Direction=H","UseDPDF=Y")</f>
        <v>#NAME?</v>
      </c>
      <c r="CP586" s="3" t="e">
        <f ca="1">_xll.BDH($C$578,"EBITDA","FQ3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586" s="3" t="e">
        <f ca="1">_xll.BDH($C$578,"EBITDA_AFTER_CAPEX","FQ3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586" s="3" t="e">
        <f ca="1">_xll.BDH($C$578,"IS_OPER_INC","FQ3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586" s="2" t="e">
        <f ca="1">_xll.BDH($C$578,"CASH_RATIO","FQ3 2015","FQ3 2015","Currency=INR","Period=FQ","BEST_FPERIOD_OVERRIDE=FQ","FILING_STATUS=OR","EQY_CONSOLIDATED=Y","Sort=A","Dates=H","DateFormat=P","Fill=—","Direction=H","UseDPDF=Y")</f>
        <v>#NAME?</v>
      </c>
      <c r="CT586" s="2" t="e">
        <f ca="1">_xll.BDH($C$578,"CUR_RATIO","FQ3 2015","FQ3 2015","Currency=INR","Period=FQ","BEST_FPERIOD_OVERRIDE=FQ","FILING_STATUS=OR","EQY_CONSOLIDATED=Y","Sort=A","Dates=H","DateFormat=P","Fill=—","Direction=H","UseDPDF=Y")</f>
        <v>#NAME?</v>
      </c>
      <c r="CU586" s="2" t="e">
        <f ca="1">_xll.BDH($C$578,"QUICK_RATIO","FQ3 2015","FQ3 2015","Currency=INR","Period=FQ","BEST_FPERIOD_OVERRIDE=FQ","FILING_STATUS=OR","EQY_CONSOLIDATED=Y","Sort=A","Dates=H","DateFormat=P","Fill=—","Direction=H","UseDPDF=Y")</f>
        <v>#NAME?</v>
      </c>
      <c r="CV586" s="2" t="e">
        <f ca="1">_xll.BDH($C$578,"ALTMAN_Z_SCORE","FQ3 2015","FQ3 2015","Currency=INR","Period=FQ","BEST_FPERIOD_OVERRIDE=FQ","FILING_STATUS=OR","EQY_CONSOLIDATED=Y","Sort=A","Dates=H","DateFormat=P","Fill=—","Direction=H","UseDPDF=Y")</f>
        <v>#NAME?</v>
      </c>
      <c r="CW586" s="4" t="e">
        <f ca="1">_xll.BDH($C$578,"ACCT_RCV_TURN","FQ3 2015","FQ3 2015","Currency=INR","Period=FQ","BEST_FPERIOD_OVERRIDE=FQ","FILING_STATUS=OR","EQY_CONSOLIDATED=Y","FA_ADJUSTED=GAAP","Sort=A","Dates=H","DateFormat=P","Fill=—","Direction=H","UseDPDF=Y")</f>
        <v>#NAME?</v>
      </c>
      <c r="CX586" s="2" t="e">
        <f ca="1">_xll.BDH($C$578,"ACCT_RCV_DAYS","FQ3 2015","FQ3 2015","Currency=INR","Period=FQ","BEST_FPERIOD_OVERRIDE=FQ","FILING_STATUS=OR","EQY_CONSOLIDATED=Y","FA_ADJUSTED=GAAP","Sort=A","Dates=H","DateFormat=P","Fill=—","Direction=H","UseDPDF=Y")</f>
        <v>#NAME?</v>
      </c>
      <c r="CY586" s="4" t="e">
        <f ca="1">_xll.BDH($C$578,"INVENT_TURN","FQ3 2015","FQ3 2015","Currency=INR","Period=FQ","BEST_FPERIOD_OVERRIDE=FQ","FILING_STATUS=OR","EQY_CONSOLIDATED=Y","FA_ADJUSTED=GAAP","Sort=A","Dates=H","DateFormat=P","Fill=—","Direction=H","UseDPDF=Y")</f>
        <v>#NAME?</v>
      </c>
      <c r="CZ586" s="2" t="e">
        <f ca="1">_xll.BDH($C$578,"INVENT_DAYS","FQ3 2015","FQ3 2015","Currency=INR","Period=FQ","BEST_FPERIOD_OVERRIDE=FQ","FILING_STATUS=OR","EQY_CONSOLIDATED=Y","FA_ADJUSTED=GAAP","Sort=A","Dates=H","DateFormat=P","Fill=—","Direction=H","UseDPDF=Y")</f>
        <v>#NAME?</v>
      </c>
      <c r="DA586" s="4" t="e">
        <f ca="1">_xll.BDH($C$578,"ACCOUNTS_PAYABLE_TURNOVER","FQ3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586" s="2" t="e">
        <f ca="1">_xll.BDH($C$578,"ACCOUNTS_PAYABLE_TURNOVER_DAYS","FQ3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586" s="4" t="e">
        <f ca="1">_xll.BDH($C$578,"CASH_CONVERSION_CYCLE","FQ3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586" s="4" t="e">
        <f ca="1">_xll.BDH($C$578,"INV_TO_CASH_DAYS","FQ3 2015","FQ3 2015","Currency=INR","Period=FQ","BEST_FPERIOD_OVERRIDE=FQ","FILING_STATUS=OR","EQY_CONSOLIDATED=Y","FA_ADJUSTED=GAAP","Sort=A","Dates=H","DateFormat=P","Fill=—","Direction=H","UseDPDF=Y")</f>
        <v>#NAME?</v>
      </c>
      <c r="DE586" s="5" t="e">
        <f ca="1">_xll.BDH($C$578,"BS_INVENTORIES","FQ3 2015","FQ3 2015","Currency=INR","Period=FQ","BEST_FPERIOD_OVERRIDE=FQ","FILING_STATUS=OR","EQY_CONSOLIDATED=Y","SCALING_FORMAT=MLN","Sort=A","Dates=H","DateFormat=P","Fill=—","Direction=H","UseDPDF=Y")</f>
        <v>#NAME?</v>
      </c>
      <c r="DF586" s="3" t="e">
        <f ca="1">_xll.BDH($C$578,"INVTRY_RAW_MATERIALS","FQ3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586" s="3" t="e">
        <f ca="1">_xll.BDH($C$578,"INVTRY_IN_PROGRESS","FQ3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586" s="3" t="e">
        <f ca="1">_xll.BDH($C$578,"INVTRY_FINISHED_GOODS","FQ3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586" s="3" t="e">
        <f ca="1">_xll.BDH($C$578,"BS_OTHER_INV","FQ3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587" spans="1:113" x14ac:dyDescent="0.3">
      <c r="A587" s="6"/>
      <c r="B587" s="6"/>
      <c r="C587" s="6"/>
      <c r="D587" s="6"/>
      <c r="E587" t="s">
        <v>81</v>
      </c>
      <c r="F587" t="e">
        <f ca="1">_xll.BDH($C$578,"RETURN_COM_EQY","FQ4 2015","FQ4 2015","Currency=INR","Period=FQ","BEST_FPERIOD_OVERRIDE=FQ","FILING_STATUS=OR","EQY_CONSOLIDATED=Y","FA_ADJUSTED=GAAP","Sort=A","Dates=H","DateFormat=P","Fill=—","Direction=H","UseDPDF=Y")</f>
        <v>#NAME?</v>
      </c>
      <c r="G587" t="e">
        <f ca="1">_xll.BDH($C$578,"RETURN_ON_ASSET","FQ4 2015","FQ4 2015","Currency=INR","Period=FQ","BEST_FPERIOD_OVERRIDE=FQ","FILING_STATUS=OR","EQY_CONSOLIDATED=Y","FA_ADJUSTED=GAAP","Sort=A","Dates=H","DateFormat=P","Fill=—","Direction=H","UseDPDF=Y")</f>
        <v>#NAME?</v>
      </c>
      <c r="H587" t="e">
        <f ca="1">_xll.BDH($C$578,"RETURN_ON_CAP","FQ4 2015","FQ4 2015","Currency=INR","Period=FQ","BEST_FPERIOD_OVERRIDE=FQ","FILING_STATUS=OR","EQY_CONSOLIDATED=Y","FA_ADJUSTED=GAAP","Sort=A","Dates=H","DateFormat=P","Fill=—","Direction=H","UseDPDF=Y")</f>
        <v>#NAME?</v>
      </c>
      <c r="I587" t="e">
        <f ca="1">_xll.BDH($C$578,"RETURN_ON_INV_CAPITAL","FQ4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587" t="e">
        <f ca="1">_xll.BDH($C$578,"EBITDA_TO_REVENUE","FQ4 2015","FQ4 2015","Currency=INR","Period=FQ","BEST_FPERIOD_OVERRIDE=FQ","FILING_STATUS=OR","EQY_CONSOLIDATED=Y","FA_ADJUSTED=GAAP","Sort=A","Dates=H","DateFormat=P","Fill=—","Direction=H","UseDPDF=Y")</f>
        <v>#NAME?</v>
      </c>
      <c r="K587" t="e">
        <f ca="1">_xll.BDH($C$578,"OPER_MARGIN","FQ4 2015","FQ4 2015","Currency=INR","Period=FQ","BEST_FPERIOD_OVERRIDE=FQ","FILING_STATUS=OR","EQY_CONSOLIDATED=Y","FA_ADJUSTED=GAAP","Sort=A","Dates=H","DateFormat=P","Fill=—","Direction=H","UseDPDF=Y")</f>
        <v>#NAME?</v>
      </c>
      <c r="L587" t="e">
        <f ca="1">_xll.BDH($C$578,"INCREMENTAL_OPERATING_MARGIN","FQ4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587" t="e">
        <f ca="1">_xll.BDH($C$578,"PRETAX_INC_TO_NET_SALES","FQ4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587" t="e">
        <f ca="1">_xll.BDH($C$578,"INC_BEF_XO_ITEMS_TO_NET_SALES","FQ4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587" t="e">
        <f ca="1">_xll.BDH($C$578,"PROF_MARGIN","FQ4 2015","FQ4 2015","Currency=INR","Period=FQ","BEST_FPERIOD_OVERRIDE=FQ","FILING_STATUS=OR","EQY_CONSOLIDATED=Y","FA_ADJUSTED=GAAP","Sort=A","Dates=H","DateFormat=P","Fill=—","Direction=H","UseDPDF=Y")</f>
        <v>#NAME?</v>
      </c>
      <c r="P587" t="e">
        <f ca="1">_xll.BDH($C$578,"NET_INCOME_TO_COMMON_MARGIN","FQ4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587" t="e">
        <f ca="1">_xll.BDH($C$578,"EFF_TAX_RATE","FQ4 2015","FQ4 2015","Currency=INR","Period=FQ","BEST_FPERIOD_OVERRIDE=FQ","FILING_STATUS=OR","EQY_CONSOLIDATED=Y","FA_ADJUSTED=GAAP","Sort=A","Dates=H","DateFormat=P","Fill=—","Direction=H","UseDPDF=Y")</f>
        <v>#NAME?</v>
      </c>
      <c r="R587" t="e">
        <f ca="1">_xll.BDH($C$578,"DVD_PAYOUT_RATIO","FQ4 2015","FQ4 2015","Currency=INR","Period=FQ","BEST_FPERIOD_OVERRIDE=FQ","FILING_STATUS=OR","EQY_CONSOLIDATED=Y","FA_ADJUSTED=GAAP","Sort=A","Dates=H","DateFormat=P","Fill=—","Direction=H","UseDPDF=Y")</f>
        <v>#NAME?</v>
      </c>
      <c r="S587" t="e">
        <f ca="1">_xll.BDH($C$578,"SUSTAIN_GROWTH_RT","FQ4 2015","FQ4 2015","Currency=INR","Period=FQ","BEST_FPERIOD_OVERRIDE=FQ","FILING_STATUS=OR","EQY_CONSOLIDATED=Y","FA_ADJUSTED=GAAP","Sort=A","Dates=H","DateFormat=P","Fill=—","Direction=H","UseDPDF=Y")</f>
        <v>#NAME?</v>
      </c>
      <c r="T587" s="2" t="e">
        <f ca="1">_xll.BDH($C$578,"SALES_GROWTH","FQ4 2015","FQ4 2015","Currency=INR","Period=FQ","BEST_FPERIOD_OVERRIDE=FQ","FILING_STATUS=OR","EQY_CONSOLIDATED=Y","FA_ADJUSTED=GAAP","Sort=A","Dates=H","DateFormat=P","Fill=—","Direction=H","UseDPDF=Y")</f>
        <v>#NAME?</v>
      </c>
      <c r="U587" s="2" t="e">
        <f ca="1">_xll.BDH($C$578,"EBITDA_GROWTH","FQ4 2015","FQ4 2015","Currency=INR","Period=FQ","BEST_FPERIOD_OVERRIDE=FQ","FILING_STATUS=OR","EQY_CONSOLIDATED=Y","FA_ADJUSTED=GAAP","Sort=A","Dates=H","DateFormat=P","Fill=—","Direction=H","UseDPDF=Y")</f>
        <v>#NAME?</v>
      </c>
      <c r="V587" s="2" t="e">
        <f ca="1">_xll.BDH($C$578,"OPER_INC_GROWTH","FQ4 2015","FQ4 2015","Currency=INR","Period=FQ","BEST_FPERIOD_OVERRIDE=FQ","FILING_STATUS=OR","EQY_CONSOLIDATED=Y","FA_ADJUSTED=GAAP","Sort=A","Dates=H","DateFormat=P","Fill=—","Direction=H","UseDPDF=Y")</f>
        <v>#NAME?</v>
      </c>
      <c r="W587" s="2" t="e">
        <f ca="1">_xll.BDH($C$578,"EARN_FOR_COM_GROWTH","FQ4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587" s="2" t="e">
        <f ca="1">_xll.BDH($C$578,"DILUTED_EPS_AFT_XO_ITEMS_GROWTH","FQ4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587" s="2" t="e">
        <f ca="1">_xll.BDH($C$578,"DIVIDEND_PER_SHARE_1_YEAR_GROWTH","FQ4 2015","FQ4 2015","Currency=INR","Period=FQ","BEST_FPERIOD_OVERRIDE=FQ","FILING_STATUS=OR","EQY_CONSOLIDATED=Y","Sort=A","Dates=H","DateFormat=P","Fill=—","Direction=H","UseDPDF=Y")</f>
        <v>#NAME?</v>
      </c>
      <c r="Z587" s="2" t="e">
        <f ca="1">_xll.BDH($C$578,"ACCOUNTS_RECEIVABLE_GROWTH","FQ4 2015","FQ4 2015","Currency=INR","Period=FQ","BEST_FPERIOD_OVERRIDE=FQ","FILING_STATUS=OR","EQY_CONSOLIDATED=Y","Sort=A","Dates=H","DateFormat=P","Fill=—","Direction=H","UseDPDF=Y")</f>
        <v>#NAME?</v>
      </c>
      <c r="AA587" s="2" t="e">
        <f ca="1">_xll.BDH($C$578,"INVENTORY_GROWTH","FQ4 2015","FQ4 2015","Currency=INR","Period=FQ","BEST_FPERIOD_OVERRIDE=FQ","FILING_STATUS=OR","EQY_CONSOLIDATED=Y","Sort=A","Dates=H","DateFormat=P","Fill=—","Direction=H","UseDPDF=Y")</f>
        <v>#NAME?</v>
      </c>
      <c r="AB587" s="2" t="e">
        <f ca="1">_xll.BDH($C$578,"NET_FIXED_ASSETS_1_YEAR_GROWTH","FQ4 2015","FQ4 2015","Currency=INR","Period=FQ","BEST_FPERIOD_OVERRIDE=FQ","FILING_STATUS=OR","EQY_CONSOLIDATED=Y","Sort=A","Dates=H","DateFormat=P","Fill=—","Direction=H","UseDPDF=Y")</f>
        <v>#NAME?</v>
      </c>
      <c r="AC587" s="2" t="e">
        <f ca="1">_xll.BDH($C$578,"ASSET_GROWTH","FQ4 2015","FQ4 2015","Currency=INR","Period=FQ","BEST_FPERIOD_OVERRIDE=FQ","FILING_STATUS=OR","EQY_CONSOLIDATED=Y","Sort=A","Dates=H","DateFormat=P","Fill=—","Direction=H","UseDPDF=Y")</f>
        <v>#NAME?</v>
      </c>
      <c r="AD587" s="2" t="e">
        <f ca="1">_xll.BDH($C$578,"MODIFIED_WORK_CAP_GROWTH","FQ4 2015","FQ4 2015","Currency=INR","Period=FQ","BEST_FPERIOD_OVERRIDE=FQ","FILING_STATUS=OR","EQY_CONSOLIDATED=Y","Sort=A","Dates=H","DateFormat=P","Fill=—","Direction=H","UseDPDF=Y")</f>
        <v>#NAME?</v>
      </c>
      <c r="AE587" s="2" t="e">
        <f ca="1">_xll.BDH($C$578,"WORK_CAP_GROWTH","FQ4 2015","FQ4 2015","Currency=INR","Period=FQ","BEST_FPERIOD_OVERRIDE=FQ","FILING_STATUS=OR","EQY_CONSOLIDATED=Y","Sort=A","Dates=H","DateFormat=P","Fill=—","Direction=H","UseDPDF=Y")</f>
        <v>#NAME?</v>
      </c>
      <c r="AF587" s="2" t="e">
        <f ca="1">_xll.BDH($C$578,"ACCOUNTS_PAYABLE_GROWTH_1YR","FQ4 2015","FQ4 2015","Currency=INR","Period=FQ","BEST_FPERIOD_OVERRIDE=FQ","FILING_STATUS=OR","EQY_CONSOLIDATED=Y","Sort=A","Dates=H","DateFormat=P","Fill=—","Direction=H","UseDPDF=Y")</f>
        <v>#NAME?</v>
      </c>
      <c r="AG587" s="2" t="e">
        <f ca="1">_xll.BDH($C$578,"SHORT_TERM_DEBT_1_YEAR_GROWTH","FQ4 2015","FQ4 2015","Currency=INR","Period=FQ","BEST_FPERIOD_OVERRIDE=FQ","FILING_STATUS=OR","EQY_CONSOLIDATED=Y","Sort=A","Dates=H","DateFormat=P","Fill=—","Direction=H","UseDPDF=Y")</f>
        <v>#NAME?</v>
      </c>
      <c r="AH587" s="2" t="e">
        <f ca="1">_xll.BDH($C$578,"TOTAL_DEBT_1_YEAR_GROWTH","FQ4 2015","FQ4 2015","Currency=INR","Period=FQ","BEST_FPERIOD_OVERRIDE=FQ","FILING_STATUS=OR","EQY_CONSOLIDATED=Y","Sort=A","Dates=H","DateFormat=P","Fill=—","Direction=H","UseDPDF=Y")</f>
        <v>#NAME?</v>
      </c>
      <c r="AI587" s="2" t="e">
        <f ca="1">_xll.BDH($C$578,"TOTAL_EQUITY_1_YEAR_GROWTH","FQ4 2015","FQ4 2015","Currency=INR","Period=FQ","BEST_FPERIOD_OVERRIDE=FQ","FILING_STATUS=OR","EQY_CONSOLIDATED=Y","Sort=A","Dates=H","DateFormat=P","Fill=—","Direction=H","UseDPDF=Y")</f>
        <v>#NAME?</v>
      </c>
      <c r="AJ587" s="2" t="e">
        <f ca="1">_xll.BDH($C$578,"GROWTH_IN_CAP","FQ4 2015","FQ4 2015","Currency=INR","Period=FQ","BEST_FPERIOD_OVERRIDE=FQ","FILING_STATUS=OR","EQY_CONSOLIDATED=Y","Sort=A","Dates=H","DateFormat=P","Fill=—","Direction=H","UseDPDF=Y")</f>
        <v>#NAME?</v>
      </c>
      <c r="AK587" s="2" t="e">
        <f ca="1">_xll.BDH($C$578,"BVPS_GROWTH","FQ4 2015","FQ4 2015","Currency=INR","Period=FQ","BEST_FPERIOD_OVERRIDE=FQ","FILING_STATUS=OR","EQY_CONSOLIDATED=Y","Sort=A","Dates=H","DateFormat=P","Fill=—","Direction=H","UseDPDF=Y")</f>
        <v>#NAME?</v>
      </c>
      <c r="AL587" s="2" t="e">
        <f ca="1">_xll.BDH($C$578,"CASH_FLOW_GROWTH","FQ4 2015","FQ4 2015","Currency=INR","Period=FQ","BEST_FPERIOD_OVERRIDE=FQ","FILING_STATUS=OR","EQY_CONSOLIDATED=Y","Sort=A","Dates=H","DateFormat=P","Fill=—","Direction=H","UseDPDF=Y")</f>
        <v>#NAME?</v>
      </c>
      <c r="AM587" s="2" t="e">
        <f ca="1">_xll.BDH($C$578,"GEO_GROW_NET_SALES","FQ4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587" s="2" t="e">
        <f ca="1">_xll.BDH($C$578,"GEO_GROW_EBITDA","FQ4 2015","FQ4 2015","Currency=INR","Period=FQ","BEST_FPERIOD_OVERRIDE=FQ","FILING_STATUS=OR","EQY_CONSOLIDATED=Y","FA_ADJUSTED=GAAP","Sort=A","Dates=H","DateFormat=P","Fill=—","Direction=H","UseDPDF=Y")</f>
        <v>#NAME?</v>
      </c>
      <c r="AO587" s="2" t="e">
        <f ca="1">_xll.BDH($C$578,"GEO_GROW_OPER_INC","FQ4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587" s="2" t="e">
        <f ca="1">_xll.BDH($C$578,"NET_INCOME_TO_COMMON_5_YR_GROWTH","FQ4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587" s="2" t="e">
        <f ca="1">_xll.BDH($C$578,"5Y_GEO_GROWTH_DILUTED_EPS","FQ4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587" s="2" t="e">
        <f ca="1">_xll.BDH($C$578,"GEO_GROW_DVD_PER_SH","FQ4 2015","FQ4 2015","Currency=INR","Period=FQ","BEST_FPERIOD_OVERRIDE=FQ","FILING_STATUS=OR","EQY_CONSOLIDATED=Y","Sort=A","Dates=H","DateFormat=P","Fill=—","Direction=H","UseDPDF=Y")</f>
        <v>#NAME?</v>
      </c>
      <c r="AS587" s="2" t="e">
        <f ca="1">_xll.BDH($C$578,"ACCOUNTS_RECEIVABLE_5_YR_GROWTH","FQ4 2015","FQ4 2015","Currency=INR","Period=FQ","BEST_FPERIOD_OVERRIDE=FQ","FILING_STATUS=OR","EQY_CONSOLIDATED=Y","Sort=A","Dates=H","DateFormat=P","Fill=—","Direction=H","UseDPDF=Y")</f>
        <v>#NAME?</v>
      </c>
      <c r="AT587" s="2" t="e">
        <f ca="1">_xll.BDH($C$578,"INVENTORY_5_YEAR_GROWTH","FQ4 2015","FQ4 2015","Currency=INR","Period=FQ","BEST_FPERIOD_OVERRIDE=FQ","FILING_STATUS=OR","EQY_CONSOLIDATED=Y","Sort=A","Dates=H","DateFormat=P","Fill=—","Direction=H","UseDPDF=Y")</f>
        <v>#NAME?</v>
      </c>
      <c r="AU587" s="2" t="e">
        <f ca="1">_xll.BDH($C$578,"NET_FIXED_ASSETS_5_YEAR_GROWTH","FQ4 2015","FQ4 2015","Currency=INR","Period=FQ","BEST_FPERIOD_OVERRIDE=FQ","FILING_STATUS=OR","EQY_CONSOLIDATED=Y","Sort=A","Dates=H","DateFormat=P","Fill=—","Direction=H","UseDPDF=Y")</f>
        <v>#NAME?</v>
      </c>
      <c r="AV587" s="2" t="e">
        <f ca="1">_xll.BDH($C$578,"GEO_GROW_TOT_ASSET","FQ4 2015","FQ4 2015","Currency=INR","Period=FQ","BEST_FPERIOD_OVERRIDE=FQ","FILING_STATUS=OR","EQY_CONSOLIDATED=Y","Sort=A","Dates=H","DateFormat=P","Fill=—","Direction=H","UseDPDF=Y")</f>
        <v>#NAME?</v>
      </c>
      <c r="AW587" s="2" t="e">
        <f ca="1">_xll.BDH($C$578,"MODIFIED_WORKING_CPTL_5YR_GRWTH","FQ4 2015","FQ4 2015","Currency=INR","Period=FQ","BEST_FPERIOD_OVERRIDE=FQ","FILING_STATUS=OR","EQY_CONSOLIDATED=Y","Sort=A","Dates=H","DateFormat=P","Fill=—","Direction=H","UseDPDF=Y")</f>
        <v>#NAME?</v>
      </c>
      <c r="AX587" s="2" t="e">
        <f ca="1">_xll.BDH($C$578,"WORKING_CAPITAL_5_YEAR_GROWTH","FQ4 2015","FQ4 2015","Currency=INR","Period=FQ","BEST_FPERIOD_OVERRIDE=FQ","FILING_STATUS=OR","EQY_CONSOLIDATED=Y","Sort=A","Dates=H","DateFormat=P","Fill=—","Direction=H","UseDPDF=Y")</f>
        <v>#NAME?</v>
      </c>
      <c r="AY587" s="2" t="e">
        <f ca="1">_xll.BDH($C$578,"ACCOUNTS_PAYABLE_5_YEAR_GROWTH","FQ4 2015","FQ4 2015","Currency=INR","Period=FQ","BEST_FPERIOD_OVERRIDE=FQ","FILING_STATUS=OR","EQY_CONSOLIDATED=Y","Sort=A","Dates=H","DateFormat=P","Fill=—","Direction=H","UseDPDF=Y")</f>
        <v>#NAME?</v>
      </c>
      <c r="AZ587" s="2" t="e">
        <f ca="1">_xll.BDH($C$578,"SHORT_TERM_DEBT_5_YEAR_GROWTH","FQ4 2015","FQ4 2015","Currency=INR","Period=FQ","BEST_FPERIOD_OVERRIDE=FQ","FILING_STATUS=OR","EQY_CONSOLIDATED=Y","Sort=A","Dates=H","DateFormat=P","Fill=—","Direction=H","UseDPDF=Y")</f>
        <v>#NAME?</v>
      </c>
      <c r="BA587" s="2" t="e">
        <f ca="1">_xll.BDH($C$578,"TOTAL_DEBT_5_YEAR_GROWTH","FQ4 2015","FQ4 2015","Currency=INR","Period=FQ","BEST_FPERIOD_OVERRIDE=FQ","FILING_STATUS=OR","EQY_CONSOLIDATED=Y","Sort=A","Dates=H","DateFormat=P","Fill=—","Direction=H","UseDPDF=Y")</f>
        <v>#NAME?</v>
      </c>
      <c r="BB587" s="2" t="e">
        <f ca="1">_xll.BDH($C$578,"GEO_GROW_TOT_SHRHLDR_EQY","FQ4 2015","FQ4 2015","Currency=INR","Period=FQ","BEST_FPERIOD_OVERRIDE=FQ","FILING_STATUS=OR","EQY_CONSOLIDATED=Y","Sort=A","Dates=H","DateFormat=P","Fill=—","Direction=H","UseDPDF=Y")</f>
        <v>#NAME?</v>
      </c>
      <c r="BC587" s="2" t="e">
        <f ca="1">_xll.BDH($C$578,"TOTAL_CAPITAL_5_YEAR_GROWTH","FQ4 2015","FQ4 2015","Currency=INR","Period=FQ","BEST_FPERIOD_OVERRIDE=FQ","FILING_STATUS=OR","EQY_CONSOLIDATED=Y","Sort=A","Dates=H","DateFormat=P","Fill=—","Direction=H","UseDPDF=Y")</f>
        <v>#NAME?</v>
      </c>
      <c r="BD587" s="2" t="e">
        <f ca="1">_xll.BDH($C$578,"GEO_GROW_BOOK_VAL","FQ4 2015","FQ4 2015","Currency=INR","Period=FQ","BEST_FPERIOD_OVERRIDE=FQ","FILING_STATUS=OR","EQY_CONSOLIDATED=Y","Sort=A","Dates=H","DateFormat=P","Fill=—","Direction=H","UseDPDF=Y")</f>
        <v>#NAME?</v>
      </c>
      <c r="BE587" s="2" t="e">
        <f ca="1">_xll.BDH($C$578,"GEO_GROW_CASH_OPER_ACT","FQ4 2015","FQ4 2015","Currency=INR","Period=FQ","BEST_FPERIOD_OVERRIDE=FQ","FILING_STATUS=OR","EQY_CONSOLIDATED=Y","Sort=A","Dates=H","DateFormat=P","Fill=—","Direction=H","UseDPDF=Y")</f>
        <v>#NAME?</v>
      </c>
      <c r="BF587" s="2" t="e">
        <f ca="1">_xll.BDH($C$578,"REVENUE_SEQUENTIAL_GROWTH","FQ4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587" s="2" t="e">
        <f ca="1">_xll.BDH($C$578,"EBITDA_SEQUENTIAL_GROWTH","FQ4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587" s="2" t="e">
        <f ca="1">_xll.BDH($C$578,"OPERATING_INCOME_SEQ_GROWTH","FQ4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587" s="2" t="e">
        <f ca="1">_xll.BDH($C$578,"NET_INCOME_TO_COMMON_SEQ_GROWTH","FQ4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587" s="2" t="e">
        <f ca="1">_xll.BDH($C$578,"EPS_DILUTED_SEQUENTIAL_GROWTH","FQ4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587" s="2" t="e">
        <f ca="1">_xll.BDH($C$578,"DPS_SEQUENTIAL_GROWTH","FQ4 2015","FQ4 2015","Currency=INR","Period=FQ","BEST_FPERIOD_OVERRIDE=FQ","FILING_STATUS=OR","EQY_CONSOLIDATED=Y","Sort=A","Dates=H","DateFormat=P","Fill=—","Direction=H","UseDPDF=Y")</f>
        <v>#NAME?</v>
      </c>
      <c r="BL587" s="2" t="e">
        <f ca="1">_xll.BDH($C$578,"ACCOUNTS_RECEIVABLE_SEQ_GROWTH","FQ4 2015","FQ4 2015","Currency=INR","Period=FQ","BEST_FPERIOD_OVERRIDE=FQ","FILING_STATUS=OR","EQY_CONSOLIDATED=Y","Sort=A","Dates=H","DateFormat=P","Fill=—","Direction=H","UseDPDF=Y")</f>
        <v>#NAME?</v>
      </c>
      <c r="BM587" s="2" t="e">
        <f ca="1">_xll.BDH($C$578,"INVENTORY_SEQUENTIAL_GROWTH","FQ4 2015","FQ4 2015","Currency=INR","Period=FQ","BEST_FPERIOD_OVERRIDE=FQ","FILING_STATUS=OR","EQY_CONSOLIDATED=Y","Sort=A","Dates=H","DateFormat=P","Fill=—","Direction=H","UseDPDF=Y")</f>
        <v>#NAME?</v>
      </c>
      <c r="BN587" s="2" t="e">
        <f ca="1">_xll.BDH($C$578,"FIXED_ASSETS_SEQUENTIAL_GROWTH","FQ4 2015","FQ4 2015","Currency=INR","Period=FQ","BEST_FPERIOD_OVERRIDE=FQ","FILING_STATUS=OR","EQY_CONSOLIDATED=Y","Sort=A","Dates=H","DateFormat=P","Fill=—","Direction=H","UseDPDF=Y")</f>
        <v>#NAME?</v>
      </c>
      <c r="BO587" s="2" t="e">
        <f ca="1">_xll.BDH($C$578,"TOTAL_ASSETS_SEQUENTIAL_GROWTH","FQ4 2015","FQ4 2015","Currency=INR","Period=FQ","BEST_FPERIOD_OVERRIDE=FQ","FILING_STATUS=OR","EQY_CONSOLIDATED=Y","Sort=A","Dates=H","DateFormat=P","Fill=—","Direction=H","UseDPDF=Y")</f>
        <v>#NAME?</v>
      </c>
      <c r="BP587" s="2" t="e">
        <f ca="1">_xll.BDH($C$578,"MODIFIED_WORKING_CPTL_SEQ_GRWTH","FQ4 2015","FQ4 2015","Currency=INR","Period=FQ","BEST_FPERIOD_OVERRIDE=FQ","FILING_STATUS=OR","EQY_CONSOLIDATED=Y","Sort=A","Dates=H","DateFormat=P","Fill=—","Direction=H","UseDPDF=Y")</f>
        <v>#NAME?</v>
      </c>
      <c r="BQ587" s="2" t="e">
        <f ca="1">_xll.BDH($C$578,"WORKING_CAPITAL_SEQ_GROWTH","FQ4 2015","FQ4 2015","Currency=INR","Period=FQ","BEST_FPERIOD_OVERRIDE=FQ","FILING_STATUS=OR","EQY_CONSOLIDATED=Y","Sort=A","Dates=H","DateFormat=P","Fill=—","Direction=H","UseDPDF=Y")</f>
        <v>#NAME?</v>
      </c>
      <c r="BR587" s="2" t="e">
        <f ca="1">_xll.BDH($C$578,"ACCOUNTS_PAYABLE_SEQ_GROWTH","FQ4 2015","FQ4 2015","Currency=INR","Period=FQ","BEST_FPERIOD_OVERRIDE=FQ","FILING_STATUS=OR","EQY_CONSOLIDATED=Y","Sort=A","Dates=H","DateFormat=P","Fill=—","Direction=H","UseDPDF=Y")</f>
        <v>#NAME?</v>
      </c>
      <c r="BS587" s="2" t="e">
        <f ca="1">_xll.BDH($C$578,"ST_DEBT_SEQUENTIAL_GROWTH","FQ4 2015","FQ4 2015","Currency=INR","Period=FQ","BEST_FPERIOD_OVERRIDE=FQ","FILING_STATUS=OR","EQY_CONSOLIDATED=Y","Sort=A","Dates=H","DateFormat=P","Fill=—","Direction=H","UseDPDF=Y")</f>
        <v>#NAME?</v>
      </c>
      <c r="BT587" s="2" t="e">
        <f ca="1">_xll.BDH($C$578,"TOTAL_DEBT_SEQUENTIAL_GROWTH","FQ4 2015","FQ4 2015","Currency=INR","Period=FQ","BEST_FPERIOD_OVERRIDE=FQ","FILING_STATUS=OR","EQY_CONSOLIDATED=Y","Sort=A","Dates=H","DateFormat=P","Fill=—","Direction=H","UseDPDF=Y")</f>
        <v>#NAME?</v>
      </c>
      <c r="BU587" s="2" t="e">
        <f ca="1">_xll.BDH($C$578,"TOTAL_EQUITY_SEQUENTIAL_GROWTH","FQ4 2015","FQ4 2015","Currency=INR","Period=FQ","BEST_FPERIOD_OVERRIDE=FQ","FILING_STATUS=OR","EQY_CONSOLIDATED=Y","Sort=A","Dates=H","DateFormat=P","Fill=—","Direction=H","UseDPDF=Y")</f>
        <v>#NAME?</v>
      </c>
      <c r="BV587" s="2" t="e">
        <f ca="1">_xll.BDH($C$578,"TOTAL_CAPITAL_SEQUENTIAL_GROWTH","FQ4 2015","FQ4 2015","Currency=INR","Period=FQ","BEST_FPERIOD_OVERRIDE=FQ","FILING_STATUS=OR","EQY_CONSOLIDATED=Y","Sort=A","Dates=H","DateFormat=P","Fill=—","Direction=H","UseDPDF=Y")</f>
        <v>#NAME?</v>
      </c>
      <c r="BW587" s="2" t="e">
        <f ca="1">_xll.BDH($C$578,"BPS_SEQUENTIAL_GROWTH","FQ4 2015","FQ4 2015","Currency=INR","Period=FQ","BEST_FPERIOD_OVERRIDE=FQ","FILING_STATUS=OR","EQY_CONSOLIDATED=Y","Sort=A","Dates=H","DateFormat=P","Fill=—","Direction=H","UseDPDF=Y")</f>
        <v>#NAME?</v>
      </c>
      <c r="BX587" s="2" t="e">
        <f ca="1">_xll.BDH($C$578,"CFO_SEQUENTIAL_GROWTH","FQ4 2015","FQ4 2015","Currency=INR","Period=FQ","BEST_FPERIOD_OVERRIDE=FQ","FILING_STATUS=OR","EQY_CONSOLIDATED=Y","Sort=A","Dates=H","DateFormat=P","Fill=—","Direction=H","UseDPDF=Y")</f>
        <v>#NAME?</v>
      </c>
      <c r="BY587" s="3" t="e">
        <f ca="1">_xll.BDH($C$578,"SHORT_AND_LONG_TERM_DEBT","FQ4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587" s="3" t="e">
        <f ca="1">_xll.BDH($C$578,"BS_ST_BORROW","FQ4 2015","FQ4 2015","Currency=INR","Period=FQ","BEST_FPERIOD_OVERRIDE=FQ","FILING_STATUS=OR","EQY_CONSOLIDATED=Y","SCALING_FORMAT=MLN","Sort=A","Dates=H","DateFormat=P","Fill=—","Direction=H","UseDPDF=Y")</f>
        <v>#NAME?</v>
      </c>
      <c r="CA587" s="3" t="e">
        <f ca="1">_xll.BDH($C$578,"BS_LT_BORROW","FQ4 2015","FQ4 2015","Currency=INR","Period=FQ","BEST_FPERIOD_OVERRIDE=FQ","FILING_STATUS=OR","EQY_CONSOLIDATED=Y","SCALING_FORMAT=MLN","Sort=A","Dates=H","DateFormat=P","Fill=—","Direction=H","UseDPDF=Y")</f>
        <v>#NAME?</v>
      </c>
      <c r="CB587" s="2" t="e">
        <f ca="1">_xll.BDH($C$578,"TOT_DEBT_TO_EBITDA","FQ4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587" s="2" t="e">
        <f ca="1">_xll.BDH($C$578,"NET_DEBT_TO_EBITDA","FQ4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587" s="2" t="e">
        <f ca="1">_xll.BDH($C$578,"TOTAL_DEBT_TO_EBIT","FQ4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587" s="2" t="e">
        <f ca="1">_xll.BDH($C$578,"NET_DEBT_TO_EBIT","FQ4 2015","FQ4 2015","Currency=INR","Period=FQ","BEST_FPERIOD_OVERRIDE=FQ","FILING_STATUS=OR","EQY_CONSOLIDATED=Y","FA_ADJUSTED=GAAP","Sort=A","Dates=H","DateFormat=P","Fill=—","Direction=H","UseDPDF=Y")</f>
        <v>#NAME?</v>
      </c>
      <c r="CF587" s="2" t="e">
        <f ca="1">_xll.BDH($C$578,"EBITDA_TO_INTEREST_EXPN","FQ4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587" s="2" t="e">
        <f ca="1">_xll.BDH($C$578,"COM_EQY_TO_TOT_ASSET","FQ4 2015","FQ4 2015","Currency=INR","Period=FQ","BEST_FPERIOD_OVERRIDE=FQ","FILING_STATUS=OR","EQY_CONSOLIDATED=Y","Sort=A","Dates=H","DateFormat=P","Fill=—","Direction=H","UseDPDF=Y")</f>
        <v>#NAME?</v>
      </c>
      <c r="CH587" s="2" t="e">
        <f ca="1">_xll.BDH($C$578,"LT_DEBT_TO_TOT_EQY","FQ4 2015","FQ4 2015","Currency=INR","Period=FQ","BEST_FPERIOD_OVERRIDE=FQ","FILING_STATUS=OR","EQY_CONSOLIDATED=Y","Sort=A","Dates=H","DateFormat=P","Fill=—","Direction=H","UseDPDF=Y")</f>
        <v>#NAME?</v>
      </c>
      <c r="CI587" s="2" t="e">
        <f ca="1">_xll.BDH($C$578,"LT_DEBT_TO_TOT_CAP","FQ4 2015","FQ4 2015","Currency=INR","Period=FQ","BEST_FPERIOD_OVERRIDE=FQ","FILING_STATUS=OR","EQY_CONSOLIDATED=Y","Sort=A","Dates=H","DateFormat=P","Fill=—","Direction=H","UseDPDF=Y")</f>
        <v>#NAME?</v>
      </c>
      <c r="CJ587" s="2" t="e">
        <f ca="1">_xll.BDH($C$578,"LT_DEBT_TO_TOT_ASSET","FQ4 2015","FQ4 2015","Currency=INR","Period=FQ","BEST_FPERIOD_OVERRIDE=FQ","FILING_STATUS=OR","EQY_CONSOLIDATED=Y","Sort=A","Dates=H","DateFormat=P","Fill=—","Direction=H","UseDPDF=Y")</f>
        <v>#NAME?</v>
      </c>
      <c r="CK587" s="2" t="e">
        <f ca="1">_xll.BDH($C$578,"TOT_DEBT_TO_TOT_EQY","FQ4 2015","FQ4 2015","Currency=INR","Period=FQ","BEST_FPERIOD_OVERRIDE=FQ","FILING_STATUS=OR","EQY_CONSOLIDATED=Y","Sort=A","Dates=H","DateFormat=P","Fill=—","Direction=H","UseDPDF=Y")</f>
        <v>#NAME?</v>
      </c>
      <c r="CL587" s="2" t="e">
        <f ca="1">_xll.BDH($C$578,"TOT_DEBT_TO_TOT_CAP","FQ4 2015","FQ4 2015","Currency=INR","Period=FQ","BEST_FPERIOD_OVERRIDE=FQ","FILING_STATUS=OR","EQY_CONSOLIDATED=Y","Sort=A","Dates=H","DateFormat=P","Fill=—","Direction=H","UseDPDF=Y")</f>
        <v>#NAME?</v>
      </c>
      <c r="CM587" s="2" t="e">
        <f ca="1">_xll.BDH($C$578,"TOT_DEBT_TO_TOT_ASSET","FQ4 2015","FQ4 2015","Currency=INR","Period=FQ","BEST_FPERIOD_OVERRIDE=FQ","FILING_STATUS=OR","EQY_CONSOLIDATED=Y","Sort=A","Dates=H","DateFormat=P","Fill=—","Direction=H","UseDPDF=Y")</f>
        <v>#NAME?</v>
      </c>
      <c r="CN587" s="2" t="e">
        <f ca="1">_xll.BDH($C$578,"NET_DEBT_TO_SHRHLDR_EQTY","FQ4 2015","FQ4 2015","Currency=INR","Period=FQ","BEST_FPERIOD_OVERRIDE=FQ","FILING_STATUS=OR","EQY_CONSOLIDATED=Y","Sort=A","Dates=H","DateFormat=P","Fill=—","Direction=H","UseDPDF=Y")</f>
        <v>#NAME?</v>
      </c>
      <c r="CO587" s="2" t="e">
        <f ca="1">_xll.BDH($C$578,"NET_DEBT_%_CAPITAL","FQ4 2015","FQ4 2015","Currency=INR","Period=FQ","BEST_FPERIOD_OVERRIDE=FQ","FILING_STATUS=OR","EQY_CONSOLIDATED=Y","Sort=A","Dates=H","DateFormat=P","Fill=—","Direction=H","UseDPDF=Y")</f>
        <v>#NAME?</v>
      </c>
      <c r="CP587" s="3" t="e">
        <f ca="1">_xll.BDH($C$578,"EBITDA","FQ4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587" s="3" t="e">
        <f ca="1">_xll.BDH($C$578,"EBITDA_AFTER_CAPEX","FQ4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587" s="3" t="e">
        <f ca="1">_xll.BDH($C$578,"IS_OPER_INC","FQ4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587" s="2" t="e">
        <f ca="1">_xll.BDH($C$578,"CASH_RATIO","FQ4 2015","FQ4 2015","Currency=INR","Period=FQ","BEST_FPERIOD_OVERRIDE=FQ","FILING_STATUS=OR","EQY_CONSOLIDATED=Y","Sort=A","Dates=H","DateFormat=P","Fill=—","Direction=H","UseDPDF=Y")</f>
        <v>#NAME?</v>
      </c>
      <c r="CT587" s="2" t="e">
        <f ca="1">_xll.BDH($C$578,"CUR_RATIO","FQ4 2015","FQ4 2015","Currency=INR","Period=FQ","BEST_FPERIOD_OVERRIDE=FQ","FILING_STATUS=OR","EQY_CONSOLIDATED=Y","Sort=A","Dates=H","DateFormat=P","Fill=—","Direction=H","UseDPDF=Y")</f>
        <v>#NAME?</v>
      </c>
      <c r="CU587" s="2" t="e">
        <f ca="1">_xll.BDH($C$578,"QUICK_RATIO","FQ4 2015","FQ4 2015","Currency=INR","Period=FQ","BEST_FPERIOD_OVERRIDE=FQ","FILING_STATUS=OR","EQY_CONSOLIDATED=Y","Sort=A","Dates=H","DateFormat=P","Fill=—","Direction=H","UseDPDF=Y")</f>
        <v>#NAME?</v>
      </c>
      <c r="CV587" s="2" t="e">
        <f ca="1">_xll.BDH($C$578,"ALTMAN_Z_SCORE","FQ4 2015","FQ4 2015","Currency=INR","Period=FQ","BEST_FPERIOD_OVERRIDE=FQ","FILING_STATUS=OR","EQY_CONSOLIDATED=Y","Sort=A","Dates=H","DateFormat=P","Fill=—","Direction=H","UseDPDF=Y")</f>
        <v>#NAME?</v>
      </c>
      <c r="CW587" s="4" t="e">
        <f ca="1">_xll.BDH($C$578,"ACCT_RCV_TURN","FQ4 2015","FQ4 2015","Currency=INR","Period=FQ","BEST_FPERIOD_OVERRIDE=FQ","FILING_STATUS=OR","EQY_CONSOLIDATED=Y","FA_ADJUSTED=GAAP","Sort=A","Dates=H","DateFormat=P","Fill=—","Direction=H","UseDPDF=Y")</f>
        <v>#NAME?</v>
      </c>
      <c r="CX587" s="2" t="e">
        <f ca="1">_xll.BDH($C$578,"ACCT_RCV_DAYS","FQ4 2015","FQ4 2015","Currency=INR","Period=FQ","BEST_FPERIOD_OVERRIDE=FQ","FILING_STATUS=OR","EQY_CONSOLIDATED=Y","FA_ADJUSTED=GAAP","Sort=A","Dates=H","DateFormat=P","Fill=—","Direction=H","UseDPDF=Y")</f>
        <v>#NAME?</v>
      </c>
      <c r="CY587" s="4" t="e">
        <f ca="1">_xll.BDH($C$578,"INVENT_TURN","FQ4 2015","FQ4 2015","Currency=INR","Period=FQ","BEST_FPERIOD_OVERRIDE=FQ","FILING_STATUS=OR","EQY_CONSOLIDATED=Y","FA_ADJUSTED=GAAP","Sort=A","Dates=H","DateFormat=P","Fill=—","Direction=H","UseDPDF=Y")</f>
        <v>#NAME?</v>
      </c>
      <c r="CZ587" s="2" t="e">
        <f ca="1">_xll.BDH($C$578,"INVENT_DAYS","FQ4 2015","FQ4 2015","Currency=INR","Period=FQ","BEST_FPERIOD_OVERRIDE=FQ","FILING_STATUS=OR","EQY_CONSOLIDATED=Y","FA_ADJUSTED=GAAP","Sort=A","Dates=H","DateFormat=P","Fill=—","Direction=H","UseDPDF=Y")</f>
        <v>#NAME?</v>
      </c>
      <c r="DA587" s="4" t="e">
        <f ca="1">_xll.BDH($C$578,"ACCOUNTS_PAYABLE_TURNOVER","FQ4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587" s="2" t="e">
        <f ca="1">_xll.BDH($C$578,"ACCOUNTS_PAYABLE_TURNOVER_DAYS","FQ4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587" s="4" t="e">
        <f ca="1">_xll.BDH($C$578,"CASH_CONVERSION_CYCLE","FQ4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587" s="4" t="e">
        <f ca="1">_xll.BDH($C$578,"INV_TO_CASH_DAYS","FQ4 2015","FQ4 2015","Currency=INR","Period=FQ","BEST_FPERIOD_OVERRIDE=FQ","FILING_STATUS=OR","EQY_CONSOLIDATED=Y","FA_ADJUSTED=GAAP","Sort=A","Dates=H","DateFormat=P","Fill=—","Direction=H","UseDPDF=Y")</f>
        <v>#NAME?</v>
      </c>
      <c r="DE587" s="5" t="e">
        <f ca="1">_xll.BDH($C$578,"BS_INVENTORIES","FQ4 2015","FQ4 2015","Currency=INR","Period=FQ","BEST_FPERIOD_OVERRIDE=FQ","FILING_STATUS=OR","EQY_CONSOLIDATED=Y","SCALING_FORMAT=MLN","Sort=A","Dates=H","DateFormat=P","Fill=—","Direction=H","UseDPDF=Y")</f>
        <v>#NAME?</v>
      </c>
      <c r="DF587" s="3" t="e">
        <f ca="1">_xll.BDH($C$578,"INVTRY_RAW_MATERIALS","FQ4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587" s="3" t="e">
        <f ca="1">_xll.BDH($C$578,"INVTRY_IN_PROGRESS","FQ4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587" s="3" t="e">
        <f ca="1">_xll.BDH($C$578,"INVTRY_FINISHED_GOODS","FQ4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587" s="3" t="e">
        <f ca="1">_xll.BDH($C$578,"BS_OTHER_INV","FQ4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588" spans="1:113" x14ac:dyDescent="0.3">
      <c r="A588" s="6"/>
      <c r="B588" s="6"/>
      <c r="C588" s="6"/>
      <c r="D588" s="6" t="s">
        <v>83</v>
      </c>
      <c r="E588" t="s">
        <v>77</v>
      </c>
      <c r="F588" t="e">
        <f ca="1">_xll.BDH($C$578,"RETURN_COM_EQY","FY 2016","FY 2016","Currency=INR","Period=FY","BEST_FPERIOD_OVERRIDE=FY","FILING_STATUS=OR","EQY_CONSOLIDATED=Y","FA_ADJUSTED=GAAP","Sort=A","Dates=H","DateFormat=P","Fill=—","Direction=H","UseDPDF=Y")</f>
        <v>#NAME?</v>
      </c>
      <c r="G588" t="e">
        <f ca="1">_xll.BDH($C$578,"RETURN_ON_ASSET","FY 2016","FY 2016","Currency=INR","Period=FY","BEST_FPERIOD_OVERRIDE=FY","FILING_STATUS=OR","EQY_CONSOLIDATED=Y","FA_ADJUSTED=GAAP","Sort=A","Dates=H","DateFormat=P","Fill=—","Direction=H","UseDPDF=Y")</f>
        <v>#NAME?</v>
      </c>
      <c r="H588" t="e">
        <f ca="1">_xll.BDH($C$578,"RETURN_ON_CAP","FY 2016","FY 2016","Currency=INR","Period=FY","BEST_FPERIOD_OVERRIDE=FY","FILING_STATUS=OR","EQY_CONSOLIDATED=Y","FA_ADJUSTED=GAAP","Sort=A","Dates=H","DateFormat=P","Fill=—","Direction=H","UseDPDF=Y")</f>
        <v>#NAME?</v>
      </c>
      <c r="I588" t="e">
        <f ca="1">_xll.BDH($C$578,"RETURN_ON_INV_CAPITAL","FY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588" t="e">
        <f ca="1">_xll.BDH($C$578,"EBITDA_TO_REVENUE","FY 2016","FY 2016","Currency=INR","Period=FY","BEST_FPERIOD_OVERRIDE=FY","FILING_STATUS=OR","EQY_CONSOLIDATED=Y","FA_ADJUSTED=GAAP","Sort=A","Dates=H","DateFormat=P","Fill=—","Direction=H","UseDPDF=Y")</f>
        <v>#NAME?</v>
      </c>
      <c r="K588" t="e">
        <f ca="1">_xll.BDH($C$578,"OPER_MARGIN","FY 2016","FY 2016","Currency=INR","Period=FY","BEST_FPERIOD_OVERRIDE=FY","FILING_STATUS=OR","EQY_CONSOLIDATED=Y","FA_ADJUSTED=GAAP","Sort=A","Dates=H","DateFormat=P","Fill=—","Direction=H","UseDPDF=Y")</f>
        <v>#NAME?</v>
      </c>
      <c r="L588" t="e">
        <f ca="1">_xll.BDH($C$578,"INCREMENTAL_OPERATING_MARGIN","FY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588" t="e">
        <f ca="1">_xll.BDH($C$578,"PRETAX_INC_TO_NET_SALES","FY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588" t="e">
        <f ca="1">_xll.BDH($C$578,"INC_BEF_XO_ITEMS_TO_NET_SALES","FY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588" t="e">
        <f ca="1">_xll.BDH($C$578,"PROF_MARGIN","FY 2016","FY 2016","Currency=INR","Period=FY","BEST_FPERIOD_OVERRIDE=FY","FILING_STATUS=OR","EQY_CONSOLIDATED=Y","FA_ADJUSTED=GAAP","Sort=A","Dates=H","DateFormat=P","Fill=—","Direction=H","UseDPDF=Y")</f>
        <v>#NAME?</v>
      </c>
      <c r="P588" t="e">
        <f ca="1">_xll.BDH($C$578,"NET_INCOME_TO_COMMON_MARGIN","FY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588" t="e">
        <f ca="1">_xll.BDH($C$578,"EFF_TAX_RATE","FY 2016","FY 2016","Currency=INR","Period=FY","BEST_FPERIOD_OVERRIDE=FY","FILING_STATUS=OR","EQY_CONSOLIDATED=Y","FA_ADJUSTED=GAAP","Sort=A","Dates=H","DateFormat=P","Fill=—","Direction=H","UseDPDF=Y")</f>
        <v>#NAME?</v>
      </c>
      <c r="R588" t="e">
        <f ca="1">_xll.BDH($C$578,"DVD_PAYOUT_RATIO","FY 2016","FY 2016","Currency=INR","Period=FY","BEST_FPERIOD_OVERRIDE=FY","FILING_STATUS=OR","EQY_CONSOLIDATED=Y","FA_ADJUSTED=GAAP","Sort=A","Dates=H","DateFormat=P","Fill=—","Direction=H","UseDPDF=Y")</f>
        <v>#NAME?</v>
      </c>
      <c r="S588" t="e">
        <f ca="1">_xll.BDH($C$578,"SUSTAIN_GROWTH_RT","FY 2016","FY 2016","Currency=INR","Period=FY","BEST_FPERIOD_OVERRIDE=FY","FILING_STATUS=OR","EQY_CONSOLIDATED=Y","FA_ADJUSTED=GAAP","Sort=A","Dates=H","DateFormat=P","Fill=—","Direction=H","UseDPDF=Y")</f>
        <v>#NAME?</v>
      </c>
      <c r="T588" s="2" t="e">
        <f ca="1">_xll.BDH($C$578,"SALES_GROWTH","FY 2016","FY 2016","Currency=INR","Period=FY","BEST_FPERIOD_OVERRIDE=FY","FILING_STATUS=OR","EQY_CONSOLIDATED=Y","FA_ADJUSTED=GAAP","Sort=A","Dates=H","DateFormat=P","Fill=—","Direction=H","UseDPDF=Y")</f>
        <v>#NAME?</v>
      </c>
      <c r="U588" s="2" t="e">
        <f ca="1">_xll.BDH($C$578,"EBITDA_GROWTH","FY 2016","FY 2016","Currency=INR","Period=FY","BEST_FPERIOD_OVERRIDE=FY","FILING_STATUS=OR","EQY_CONSOLIDATED=Y","FA_ADJUSTED=GAAP","Sort=A","Dates=H","DateFormat=P","Fill=—","Direction=H","UseDPDF=Y")</f>
        <v>#NAME?</v>
      </c>
      <c r="V588" s="2" t="e">
        <f ca="1">_xll.BDH($C$578,"OPER_INC_GROWTH","FY 2016","FY 2016","Currency=INR","Period=FY","BEST_FPERIOD_OVERRIDE=FY","FILING_STATUS=OR","EQY_CONSOLIDATED=Y","FA_ADJUSTED=GAAP","Sort=A","Dates=H","DateFormat=P","Fill=—","Direction=H","UseDPDF=Y")</f>
        <v>#NAME?</v>
      </c>
      <c r="W588" s="2" t="e">
        <f ca="1">_xll.BDH($C$578,"EARN_FOR_COM_GROWTH","FY 2016","FY 2016","Currency=INR","Period=FY","BEST_FPERIOD_OVERRIDE=FY","FILING_STATUS=OR","EQY_CONSOLIDATED=Y","FA_ADJUSTED=GAAP","Sort=A","Dates=H","DateFormat=P","Fill=—","Direction=H","UseDPDF=Y")</f>
        <v>#NAME?</v>
      </c>
      <c r="X588" s="2" t="e">
        <f ca="1">_xll.BDH($C$578,"DILUTED_EPS_AFT_XO_ITEMS_GROWTH","FY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588" s="2" t="e">
        <f ca="1">_xll.BDH($C$578,"DIVIDEND_PER_SHARE_1_YEAR_GROWTH","FY 2016","FY 2016","Currency=INR","Period=FY","BEST_FPERIOD_OVERRIDE=FY","FILING_STATUS=OR","EQY_CONSOLIDATED=Y","Sort=A","Dates=H","DateFormat=P","Fill=—","Direction=H","UseDPDF=Y")</f>
        <v>#NAME?</v>
      </c>
      <c r="Z588" s="2" t="e">
        <f ca="1">_xll.BDH($C$578,"ACCOUNTS_RECEIVABLE_GROWTH","FY 2016","FY 2016","Currency=INR","Period=FY","BEST_FPERIOD_OVERRIDE=FY","FILING_STATUS=OR","EQY_CONSOLIDATED=Y","Sort=A","Dates=H","DateFormat=P","Fill=—","Direction=H","UseDPDF=Y")</f>
        <v>#NAME?</v>
      </c>
      <c r="AA588" s="2" t="e">
        <f ca="1">_xll.BDH($C$578,"INVENTORY_GROWTH","FY 2016","FY 2016","Currency=INR","Period=FY","BEST_FPERIOD_OVERRIDE=FY","FILING_STATUS=OR","EQY_CONSOLIDATED=Y","Sort=A","Dates=H","DateFormat=P","Fill=—","Direction=H","UseDPDF=Y")</f>
        <v>#NAME?</v>
      </c>
      <c r="AB588" s="2" t="e">
        <f ca="1">_xll.BDH($C$578,"NET_FIXED_ASSETS_1_YEAR_GROWTH","FY 2016","FY 2016","Currency=INR","Period=FY","BEST_FPERIOD_OVERRIDE=FY","FILING_STATUS=OR","EQY_CONSOLIDATED=Y","Sort=A","Dates=H","DateFormat=P","Fill=—","Direction=H","UseDPDF=Y")</f>
        <v>#NAME?</v>
      </c>
      <c r="AC588" s="2" t="e">
        <f ca="1">_xll.BDH($C$578,"ASSET_GROWTH","FY 2016","FY 2016","Currency=INR","Period=FY","BEST_FPERIOD_OVERRIDE=FY","FILING_STATUS=OR","EQY_CONSOLIDATED=Y","Sort=A","Dates=H","DateFormat=P","Fill=—","Direction=H","UseDPDF=Y")</f>
        <v>#NAME?</v>
      </c>
      <c r="AD588" s="2" t="e">
        <f ca="1">_xll.BDH($C$578,"MODIFIED_WORK_CAP_GROWTH","FY 2016","FY 2016","Currency=INR","Period=FY","BEST_FPERIOD_OVERRIDE=FY","FILING_STATUS=OR","EQY_CONSOLIDATED=Y","Sort=A","Dates=H","DateFormat=P","Fill=—","Direction=H","UseDPDF=Y")</f>
        <v>#NAME?</v>
      </c>
      <c r="AE588" s="2" t="e">
        <f ca="1">_xll.BDH($C$578,"WORK_CAP_GROWTH","FY 2016","FY 2016","Currency=INR","Period=FY","BEST_FPERIOD_OVERRIDE=FY","FILING_STATUS=OR","EQY_CONSOLIDATED=Y","Sort=A","Dates=H","DateFormat=P","Fill=—","Direction=H","UseDPDF=Y")</f>
        <v>#NAME?</v>
      </c>
      <c r="AF588" s="2" t="e">
        <f ca="1">_xll.BDH($C$578,"ACCOUNTS_PAYABLE_GROWTH_1YR","FY 2016","FY 2016","Currency=INR","Period=FY","BEST_FPERIOD_OVERRIDE=FY","FILING_STATUS=OR","EQY_CONSOLIDATED=Y","Sort=A","Dates=H","DateFormat=P","Fill=—","Direction=H","UseDPDF=Y")</f>
        <v>#NAME?</v>
      </c>
      <c r="AG588" s="2" t="e">
        <f ca="1">_xll.BDH($C$578,"SHORT_TERM_DEBT_1_YEAR_GROWTH","FY 2016","FY 2016","Currency=INR","Period=FY","BEST_FPERIOD_OVERRIDE=FY","FILING_STATUS=OR","EQY_CONSOLIDATED=Y","Sort=A","Dates=H","DateFormat=P","Fill=—","Direction=H","UseDPDF=Y")</f>
        <v>#NAME?</v>
      </c>
      <c r="AH588" s="2" t="e">
        <f ca="1">_xll.BDH($C$578,"TOTAL_DEBT_1_YEAR_GROWTH","FY 2016","FY 2016","Currency=INR","Period=FY","BEST_FPERIOD_OVERRIDE=FY","FILING_STATUS=OR","EQY_CONSOLIDATED=Y","Sort=A","Dates=H","DateFormat=P","Fill=—","Direction=H","UseDPDF=Y")</f>
        <v>#NAME?</v>
      </c>
      <c r="AI588" s="2" t="e">
        <f ca="1">_xll.BDH($C$578,"TOTAL_EQUITY_1_YEAR_GROWTH","FY 2016","FY 2016","Currency=INR","Period=FY","BEST_FPERIOD_OVERRIDE=FY","FILING_STATUS=OR","EQY_CONSOLIDATED=Y","Sort=A","Dates=H","DateFormat=P","Fill=—","Direction=H","UseDPDF=Y")</f>
        <v>#NAME?</v>
      </c>
      <c r="AJ588" s="2" t="e">
        <f ca="1">_xll.BDH($C$578,"GROWTH_IN_CAP","FY 2016","FY 2016","Currency=INR","Period=FY","BEST_FPERIOD_OVERRIDE=FY","FILING_STATUS=OR","EQY_CONSOLIDATED=Y","Sort=A","Dates=H","DateFormat=P","Fill=—","Direction=H","UseDPDF=Y")</f>
        <v>#NAME?</v>
      </c>
      <c r="AK588" s="2" t="e">
        <f ca="1">_xll.BDH($C$578,"BVPS_GROWTH","FY 2016","FY 2016","Currency=INR","Period=FY","BEST_FPERIOD_OVERRIDE=FY","FILING_STATUS=OR","EQY_CONSOLIDATED=Y","Sort=A","Dates=H","DateFormat=P","Fill=—","Direction=H","UseDPDF=Y")</f>
        <v>#NAME?</v>
      </c>
      <c r="AL588" s="2" t="e">
        <f ca="1">_xll.BDH($C$578,"CASH_FLOW_GROWTH","FY 2016","FY 2016","Currency=INR","Period=FY","BEST_FPERIOD_OVERRIDE=FY","FILING_STATUS=OR","EQY_CONSOLIDATED=Y","Sort=A","Dates=H","DateFormat=P","Fill=—","Direction=H","UseDPDF=Y")</f>
        <v>#NAME?</v>
      </c>
      <c r="AM588" s="2" t="e">
        <f ca="1">_xll.BDH($C$578,"GEO_GROW_NET_SALES","FY 2016","FY 2016","Currency=INR","Period=FY","BEST_FPERIOD_OVERRIDE=FY","FILING_STATUS=OR","EQY_CONSOLIDATED=Y","FA_ADJUSTED=GAAP","Sort=A","Dates=H","DateFormat=P","Fill=—","Direction=H","UseDPDF=Y")</f>
        <v>#NAME?</v>
      </c>
      <c r="AN588" s="2" t="e">
        <f ca="1">_xll.BDH($C$578,"GEO_GROW_EBITDA","FY 2016","FY 2016","Currency=INR","Period=FY","BEST_FPERIOD_OVERRIDE=FY","FILING_STATUS=OR","EQY_CONSOLIDATED=Y","FA_ADJUSTED=GAAP","Sort=A","Dates=H","DateFormat=P","Fill=—","Direction=H","UseDPDF=Y")</f>
        <v>#NAME?</v>
      </c>
      <c r="AO588" s="2" t="e">
        <f ca="1">_xll.BDH($C$578,"GEO_GROW_OPER_INC","FY 2016","FY 2016","Currency=INR","Period=FY","BEST_FPERIOD_OVERRIDE=FY","FILING_STATUS=OR","EQY_CONSOLIDATED=Y","FA_ADJUSTED=GAAP","Sort=A","Dates=H","DateFormat=P","Fill=—","Direction=H","UseDPDF=Y")</f>
        <v>#NAME?</v>
      </c>
      <c r="AP588" s="2" t="e">
        <f ca="1">_xll.BDH($C$578,"NET_INCOME_TO_COMMON_5_YR_GROWTH","FY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588" s="2" t="e">
        <f ca="1">_xll.BDH($C$578,"5Y_GEO_GROWTH_DILUTED_EPS","FY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588" s="2" t="e">
        <f ca="1">_xll.BDH($C$578,"GEO_GROW_DVD_PER_SH","FY 2016","FY 2016","Currency=INR","Period=FY","BEST_FPERIOD_OVERRIDE=FY","FILING_STATUS=OR","EQY_CONSOLIDATED=Y","Sort=A","Dates=H","DateFormat=P","Fill=—","Direction=H","UseDPDF=Y")</f>
        <v>#NAME?</v>
      </c>
      <c r="AS588" s="2" t="e">
        <f ca="1">_xll.BDH($C$578,"ACCOUNTS_RECEIVABLE_5_YR_GROWTH","FY 2016","FY 2016","Currency=INR","Period=FY","BEST_FPERIOD_OVERRIDE=FY","FILING_STATUS=OR","EQY_CONSOLIDATED=Y","Sort=A","Dates=H","DateFormat=P","Fill=—","Direction=H","UseDPDF=Y")</f>
        <v>#NAME?</v>
      </c>
      <c r="AT588" s="2" t="e">
        <f ca="1">_xll.BDH($C$578,"INVENTORY_5_YEAR_GROWTH","FY 2016","FY 2016","Currency=INR","Period=FY","BEST_FPERIOD_OVERRIDE=FY","FILING_STATUS=OR","EQY_CONSOLIDATED=Y","Sort=A","Dates=H","DateFormat=P","Fill=—","Direction=H","UseDPDF=Y")</f>
        <v>#NAME?</v>
      </c>
      <c r="AU588" s="2" t="e">
        <f ca="1">_xll.BDH($C$578,"NET_FIXED_ASSETS_5_YEAR_GROWTH","FY 2016","FY 2016","Currency=INR","Period=FY","BEST_FPERIOD_OVERRIDE=FY","FILING_STATUS=OR","EQY_CONSOLIDATED=Y","Sort=A","Dates=H","DateFormat=P","Fill=—","Direction=H","UseDPDF=Y")</f>
        <v>#NAME?</v>
      </c>
      <c r="AV588" s="2" t="e">
        <f ca="1">_xll.BDH($C$578,"GEO_GROW_TOT_ASSET","FY 2016","FY 2016","Currency=INR","Period=FY","BEST_FPERIOD_OVERRIDE=FY","FILING_STATUS=OR","EQY_CONSOLIDATED=Y","Sort=A","Dates=H","DateFormat=P","Fill=—","Direction=H","UseDPDF=Y")</f>
        <v>#NAME?</v>
      </c>
      <c r="AW588" s="2" t="e">
        <f ca="1">_xll.BDH($C$578,"MODIFIED_WORKING_CPTL_5YR_GRWTH","FY 2016","FY 2016","Currency=INR","Period=FY","BEST_FPERIOD_OVERRIDE=FY","FILING_STATUS=OR","EQY_CONSOLIDATED=Y","Sort=A","Dates=H","DateFormat=P","Fill=—","Direction=H","UseDPDF=Y")</f>
        <v>#NAME?</v>
      </c>
      <c r="AX588" s="2" t="e">
        <f ca="1">_xll.BDH($C$578,"WORKING_CAPITAL_5_YEAR_GROWTH","FY 2016","FY 2016","Currency=INR","Period=FY","BEST_FPERIOD_OVERRIDE=FY","FILING_STATUS=OR","EQY_CONSOLIDATED=Y","Sort=A","Dates=H","DateFormat=P","Fill=—","Direction=H","UseDPDF=Y")</f>
        <v>#NAME?</v>
      </c>
      <c r="AY588" s="2" t="e">
        <f ca="1">_xll.BDH($C$578,"ACCOUNTS_PAYABLE_5_YEAR_GROWTH","FY 2016","FY 2016","Currency=INR","Period=FY","BEST_FPERIOD_OVERRIDE=FY","FILING_STATUS=OR","EQY_CONSOLIDATED=Y","Sort=A","Dates=H","DateFormat=P","Fill=—","Direction=H","UseDPDF=Y")</f>
        <v>#NAME?</v>
      </c>
      <c r="AZ588" s="2" t="e">
        <f ca="1">_xll.BDH($C$578,"SHORT_TERM_DEBT_5_YEAR_GROWTH","FY 2016","FY 2016","Currency=INR","Period=FY","BEST_FPERIOD_OVERRIDE=FY","FILING_STATUS=OR","EQY_CONSOLIDATED=Y","Sort=A","Dates=H","DateFormat=P","Fill=—","Direction=H","UseDPDF=Y")</f>
        <v>#NAME?</v>
      </c>
      <c r="BA588" s="2" t="e">
        <f ca="1">_xll.BDH($C$578,"TOTAL_DEBT_5_YEAR_GROWTH","FY 2016","FY 2016","Currency=INR","Period=FY","BEST_FPERIOD_OVERRIDE=FY","FILING_STATUS=OR","EQY_CONSOLIDATED=Y","Sort=A","Dates=H","DateFormat=P","Fill=—","Direction=H","UseDPDF=Y")</f>
        <v>#NAME?</v>
      </c>
      <c r="BB588" s="2" t="e">
        <f ca="1">_xll.BDH($C$578,"GEO_GROW_TOT_SHRHLDR_EQY","FY 2016","FY 2016","Currency=INR","Period=FY","BEST_FPERIOD_OVERRIDE=FY","FILING_STATUS=OR","EQY_CONSOLIDATED=Y","Sort=A","Dates=H","DateFormat=P","Fill=—","Direction=H","UseDPDF=Y")</f>
        <v>#NAME?</v>
      </c>
      <c r="BC588" s="2" t="e">
        <f ca="1">_xll.BDH($C$578,"TOTAL_CAPITAL_5_YEAR_GROWTH","FY 2016","FY 2016","Currency=INR","Period=FY","BEST_FPERIOD_OVERRIDE=FY","FILING_STATUS=OR","EQY_CONSOLIDATED=Y","Sort=A","Dates=H","DateFormat=P","Fill=—","Direction=H","UseDPDF=Y")</f>
        <v>#NAME?</v>
      </c>
      <c r="BD588" s="2" t="e">
        <f ca="1">_xll.BDH($C$578,"GEO_GROW_BOOK_VAL","FY 2016","FY 2016","Currency=INR","Period=FY","BEST_FPERIOD_OVERRIDE=FY","FILING_STATUS=OR","EQY_CONSOLIDATED=Y","Sort=A","Dates=H","DateFormat=P","Fill=—","Direction=H","UseDPDF=Y")</f>
        <v>#NAME?</v>
      </c>
      <c r="BE588" s="2" t="e">
        <f ca="1">_xll.BDH($C$578,"GEO_GROW_CASH_OPER_ACT","FY 2016","FY 2016","Currency=INR","Period=FY","BEST_FPERIOD_OVERRIDE=FY","FILING_STATUS=OR","EQY_CONSOLIDATED=Y","Sort=A","Dates=H","DateFormat=P","Fill=—","Direction=H","UseDPDF=Y")</f>
        <v>#NAME?</v>
      </c>
      <c r="BF588" s="2" t="e">
        <f ca="1">_xll.BDH($C$578,"REVENUE_SEQUENTIAL_GROWTH","FY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588" s="2" t="e">
        <f ca="1">_xll.BDH($C$578,"EBITDA_SEQUENTIAL_GROWTH","FY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588" s="2" t="e">
        <f ca="1">_xll.BDH($C$578,"OPERATING_INCOME_SEQ_GROWTH","FY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588" s="2" t="e">
        <f ca="1">_xll.BDH($C$578,"NET_INCOME_TO_COMMON_SEQ_GROWTH","FY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588" s="2" t="e">
        <f ca="1">_xll.BDH($C$578,"EPS_DILUTED_SEQUENTIAL_GROWTH","FY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588" s="2" t="e">
        <f ca="1">_xll.BDH($C$578,"DPS_SEQUENTIAL_GROWTH","FY 2016","FY 2016","Currency=INR","Period=FY","BEST_FPERIOD_OVERRIDE=FY","FILING_STATUS=OR","EQY_CONSOLIDATED=Y","Sort=A","Dates=H","DateFormat=P","Fill=—","Direction=H","UseDPDF=Y")</f>
        <v>#NAME?</v>
      </c>
      <c r="BL588" s="2" t="e">
        <f ca="1">_xll.BDH($C$578,"ACCOUNTS_RECEIVABLE_SEQ_GROWTH","FY 2016","FY 2016","Currency=INR","Period=FY","BEST_FPERIOD_OVERRIDE=FY","FILING_STATUS=OR","EQY_CONSOLIDATED=Y","Sort=A","Dates=H","DateFormat=P","Fill=—","Direction=H","UseDPDF=Y")</f>
        <v>#NAME?</v>
      </c>
      <c r="BM588" s="2" t="e">
        <f ca="1">_xll.BDH($C$578,"INVENTORY_SEQUENTIAL_GROWTH","FY 2016","FY 2016","Currency=INR","Period=FY","BEST_FPERIOD_OVERRIDE=FY","FILING_STATUS=OR","EQY_CONSOLIDATED=Y","Sort=A","Dates=H","DateFormat=P","Fill=—","Direction=H","UseDPDF=Y")</f>
        <v>#NAME?</v>
      </c>
      <c r="BN588" s="2" t="e">
        <f ca="1">_xll.BDH($C$578,"FIXED_ASSETS_SEQUENTIAL_GROWTH","FY 2016","FY 2016","Currency=INR","Period=FY","BEST_FPERIOD_OVERRIDE=FY","FILING_STATUS=OR","EQY_CONSOLIDATED=Y","Sort=A","Dates=H","DateFormat=P","Fill=—","Direction=H","UseDPDF=Y")</f>
        <v>#NAME?</v>
      </c>
      <c r="BO588" s="2" t="e">
        <f ca="1">_xll.BDH($C$578,"TOTAL_ASSETS_SEQUENTIAL_GROWTH","FY 2016","FY 2016","Currency=INR","Period=FY","BEST_FPERIOD_OVERRIDE=FY","FILING_STATUS=OR","EQY_CONSOLIDATED=Y","Sort=A","Dates=H","DateFormat=P","Fill=—","Direction=H","UseDPDF=Y")</f>
        <v>#NAME?</v>
      </c>
      <c r="BP588" s="2" t="e">
        <f ca="1">_xll.BDH($C$578,"MODIFIED_WORKING_CPTL_SEQ_GRWTH","FY 2016","FY 2016","Currency=INR","Period=FY","BEST_FPERIOD_OVERRIDE=FY","FILING_STATUS=OR","EQY_CONSOLIDATED=Y","Sort=A","Dates=H","DateFormat=P","Fill=—","Direction=H","UseDPDF=Y")</f>
        <v>#NAME?</v>
      </c>
      <c r="BQ588" s="2" t="e">
        <f ca="1">_xll.BDH($C$578,"WORKING_CAPITAL_SEQ_GROWTH","FY 2016","FY 2016","Currency=INR","Period=FY","BEST_FPERIOD_OVERRIDE=FY","FILING_STATUS=OR","EQY_CONSOLIDATED=Y","Sort=A","Dates=H","DateFormat=P","Fill=—","Direction=H","UseDPDF=Y")</f>
        <v>#NAME?</v>
      </c>
      <c r="BR588" s="2" t="e">
        <f ca="1">_xll.BDH($C$578,"ACCOUNTS_PAYABLE_SEQ_GROWTH","FY 2016","FY 2016","Currency=INR","Period=FY","BEST_FPERIOD_OVERRIDE=FY","FILING_STATUS=OR","EQY_CONSOLIDATED=Y","Sort=A","Dates=H","DateFormat=P","Fill=—","Direction=H","UseDPDF=Y")</f>
        <v>#NAME?</v>
      </c>
      <c r="BS588" s="2" t="e">
        <f ca="1">_xll.BDH($C$578,"ST_DEBT_SEQUENTIAL_GROWTH","FY 2016","FY 2016","Currency=INR","Period=FY","BEST_FPERIOD_OVERRIDE=FY","FILING_STATUS=OR","EQY_CONSOLIDATED=Y","Sort=A","Dates=H","DateFormat=P","Fill=—","Direction=H","UseDPDF=Y")</f>
        <v>#NAME?</v>
      </c>
      <c r="BT588" s="2" t="e">
        <f ca="1">_xll.BDH($C$578,"TOTAL_DEBT_SEQUENTIAL_GROWTH","FY 2016","FY 2016","Currency=INR","Period=FY","BEST_FPERIOD_OVERRIDE=FY","FILING_STATUS=OR","EQY_CONSOLIDATED=Y","Sort=A","Dates=H","DateFormat=P","Fill=—","Direction=H","UseDPDF=Y")</f>
        <v>#NAME?</v>
      </c>
      <c r="BU588" s="2" t="e">
        <f ca="1">_xll.BDH($C$578,"TOTAL_EQUITY_SEQUENTIAL_GROWTH","FY 2016","FY 2016","Currency=INR","Period=FY","BEST_FPERIOD_OVERRIDE=FY","FILING_STATUS=OR","EQY_CONSOLIDATED=Y","Sort=A","Dates=H","DateFormat=P","Fill=—","Direction=H","UseDPDF=Y")</f>
        <v>#NAME?</v>
      </c>
      <c r="BV588" s="2" t="e">
        <f ca="1">_xll.BDH($C$578,"TOTAL_CAPITAL_SEQUENTIAL_GROWTH","FY 2016","FY 2016","Currency=INR","Period=FY","BEST_FPERIOD_OVERRIDE=FY","FILING_STATUS=OR","EQY_CONSOLIDATED=Y","Sort=A","Dates=H","DateFormat=P","Fill=—","Direction=H","UseDPDF=Y")</f>
        <v>#NAME?</v>
      </c>
      <c r="BW588" s="2" t="e">
        <f ca="1">_xll.BDH($C$578,"BPS_SEQUENTIAL_GROWTH","FY 2016","FY 2016","Currency=INR","Period=FY","BEST_FPERIOD_OVERRIDE=FY","FILING_STATUS=OR","EQY_CONSOLIDATED=Y","Sort=A","Dates=H","DateFormat=P","Fill=—","Direction=H","UseDPDF=Y")</f>
        <v>#NAME?</v>
      </c>
      <c r="BX588" s="2" t="e">
        <f ca="1">_xll.BDH($C$578,"CFO_SEQUENTIAL_GROWTH","FY 2016","FY 2016","Currency=INR","Period=FY","BEST_FPERIOD_OVERRIDE=FY","FILING_STATUS=OR","EQY_CONSOLIDATED=Y","Sort=A","Dates=H","DateFormat=P","Fill=—","Direction=H","UseDPDF=Y")</f>
        <v>#NAME?</v>
      </c>
      <c r="BY588" s="3" t="e">
        <f ca="1">_xll.BDH($C$578,"SHORT_AND_LONG_TERM_DEBT","FY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588" s="3" t="e">
        <f ca="1">_xll.BDH($C$578,"BS_ST_BORROW","FY 2016","FY 2016","Currency=INR","Period=FY","BEST_FPERIOD_OVERRIDE=FY","FILING_STATUS=OR","EQY_CONSOLIDATED=Y","SCALING_FORMAT=MLN","Sort=A","Dates=H","DateFormat=P","Fill=—","Direction=H","UseDPDF=Y")</f>
        <v>#NAME?</v>
      </c>
      <c r="CA588" s="3" t="e">
        <f ca="1">_xll.BDH($C$578,"BS_LT_BORROW","FY 2016","FY 2016","Currency=INR","Period=FY","BEST_FPERIOD_OVERRIDE=FY","FILING_STATUS=OR","EQY_CONSOLIDATED=Y","SCALING_FORMAT=MLN","Sort=A","Dates=H","DateFormat=P","Fill=—","Direction=H","UseDPDF=Y")</f>
        <v>#NAME?</v>
      </c>
      <c r="CB588" s="2" t="e">
        <f ca="1">_xll.BDH($C$578,"TOT_DEBT_TO_EBITDA","FY 2016","FY 2016","Currency=INR","Period=FY","BEST_FPERIOD_OVERRIDE=FY","FILING_STATUS=OR","EQY_CONSOLIDATED=Y","FA_ADJUSTED=GAAP","Sort=A","Dates=H","DateFormat=P","Fill=—","Direction=H","UseDPDF=Y")</f>
        <v>#NAME?</v>
      </c>
      <c r="CC588" s="2" t="e">
        <f ca="1">_xll.BDH($C$578,"NET_DEBT_TO_EBITDA","FY 2016","FY 2016","Currency=INR","Period=FY","BEST_FPERIOD_OVERRIDE=FY","FILING_STATUS=OR","EQY_CONSOLIDATED=Y","FA_ADJUSTED=GAAP","Sort=A","Dates=H","DateFormat=P","Fill=—","Direction=H","UseDPDF=Y")</f>
        <v>#NAME?</v>
      </c>
      <c r="CD588" s="2" t="e">
        <f ca="1">_xll.BDH($C$578,"TOTAL_DEBT_TO_EBIT","FY 2016","FY 2016","Currency=INR","Period=FY","BEST_FPERIOD_OVERRIDE=FY","FILING_STATUS=OR","EQY_CONSOLIDATED=Y","FA_ADJUSTED=GAAP","Sort=A","Dates=H","DateFormat=P","Fill=—","Direction=H","UseDPDF=Y")</f>
        <v>#NAME?</v>
      </c>
      <c r="CE588" s="2" t="e">
        <f ca="1">_xll.BDH($C$578,"NET_DEBT_TO_EBIT","FY 2016","FY 2016","Currency=INR","Period=FY","BEST_FPERIOD_OVERRIDE=FY","FILING_STATUS=OR","EQY_CONSOLIDATED=Y","FA_ADJUSTED=GAAP","Sort=A","Dates=H","DateFormat=P","Fill=—","Direction=H","UseDPDF=Y")</f>
        <v>#NAME?</v>
      </c>
      <c r="CF588" s="2" t="e">
        <f ca="1">_xll.BDH($C$578,"EBITDA_TO_INTEREST_EXPN","FY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588" s="2" t="e">
        <f ca="1">_xll.BDH($C$578,"COM_EQY_TO_TOT_ASSET","FY 2016","FY 2016","Currency=INR","Period=FY","BEST_FPERIOD_OVERRIDE=FY","FILING_STATUS=OR","EQY_CONSOLIDATED=Y","Sort=A","Dates=H","DateFormat=P","Fill=—","Direction=H","UseDPDF=Y")</f>
        <v>#NAME?</v>
      </c>
      <c r="CH588" s="2" t="e">
        <f ca="1">_xll.BDH($C$578,"LT_DEBT_TO_TOT_EQY","FY 2016","FY 2016","Currency=INR","Period=FY","BEST_FPERIOD_OVERRIDE=FY","FILING_STATUS=OR","EQY_CONSOLIDATED=Y","Sort=A","Dates=H","DateFormat=P","Fill=—","Direction=H","UseDPDF=Y")</f>
        <v>#NAME?</v>
      </c>
      <c r="CI588" s="2" t="e">
        <f ca="1">_xll.BDH($C$578,"LT_DEBT_TO_TOT_CAP","FY 2016","FY 2016","Currency=INR","Period=FY","BEST_FPERIOD_OVERRIDE=FY","FILING_STATUS=OR","EQY_CONSOLIDATED=Y","Sort=A","Dates=H","DateFormat=P","Fill=—","Direction=H","UseDPDF=Y")</f>
        <v>#NAME?</v>
      </c>
      <c r="CJ588" s="2" t="e">
        <f ca="1">_xll.BDH($C$578,"LT_DEBT_TO_TOT_ASSET","FY 2016","FY 2016","Currency=INR","Period=FY","BEST_FPERIOD_OVERRIDE=FY","FILING_STATUS=OR","EQY_CONSOLIDATED=Y","Sort=A","Dates=H","DateFormat=P","Fill=—","Direction=H","UseDPDF=Y")</f>
        <v>#NAME?</v>
      </c>
      <c r="CK588" s="2" t="e">
        <f ca="1">_xll.BDH($C$578,"TOT_DEBT_TO_TOT_EQY","FY 2016","FY 2016","Currency=INR","Period=FY","BEST_FPERIOD_OVERRIDE=FY","FILING_STATUS=OR","EQY_CONSOLIDATED=Y","Sort=A","Dates=H","DateFormat=P","Fill=—","Direction=H","UseDPDF=Y")</f>
        <v>#NAME?</v>
      </c>
      <c r="CL588" s="2" t="e">
        <f ca="1">_xll.BDH($C$578,"TOT_DEBT_TO_TOT_CAP","FY 2016","FY 2016","Currency=INR","Period=FY","BEST_FPERIOD_OVERRIDE=FY","FILING_STATUS=OR","EQY_CONSOLIDATED=Y","Sort=A","Dates=H","DateFormat=P","Fill=—","Direction=H","UseDPDF=Y")</f>
        <v>#NAME?</v>
      </c>
      <c r="CM588" s="2" t="e">
        <f ca="1">_xll.BDH($C$578,"TOT_DEBT_TO_TOT_ASSET","FY 2016","FY 2016","Currency=INR","Period=FY","BEST_FPERIOD_OVERRIDE=FY","FILING_STATUS=OR","EQY_CONSOLIDATED=Y","Sort=A","Dates=H","DateFormat=P","Fill=—","Direction=H","UseDPDF=Y")</f>
        <v>#NAME?</v>
      </c>
      <c r="CN588" s="2" t="e">
        <f ca="1">_xll.BDH($C$578,"NET_DEBT_TO_SHRHLDR_EQTY","FY 2016","FY 2016","Currency=INR","Period=FY","BEST_FPERIOD_OVERRIDE=FY","FILING_STATUS=OR","EQY_CONSOLIDATED=Y","Sort=A","Dates=H","DateFormat=P","Fill=—","Direction=H","UseDPDF=Y")</f>
        <v>#NAME?</v>
      </c>
      <c r="CO588" s="2" t="e">
        <f ca="1">_xll.BDH($C$578,"NET_DEBT_%_CAPITAL","FY 2016","FY 2016","Currency=INR","Period=FY","BEST_FPERIOD_OVERRIDE=FY","FILING_STATUS=OR","EQY_CONSOLIDATED=Y","Sort=A","Dates=H","DateFormat=P","Fill=—","Direction=H","UseDPDF=Y")</f>
        <v>#NAME?</v>
      </c>
      <c r="CP588" s="3" t="e">
        <f ca="1">_xll.BDH($C$578,"EBITDA","FY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588" s="3" t="e">
        <f ca="1">_xll.BDH($C$578,"EBITDA_AFTER_CAPEX","FY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588" s="3" t="e">
        <f ca="1">_xll.BDH($C$578,"IS_OPER_INC","FY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588" s="2" t="e">
        <f ca="1">_xll.BDH($C$578,"CASH_RATIO","FY 2016","FY 2016","Currency=INR","Period=FY","BEST_FPERIOD_OVERRIDE=FY","FILING_STATUS=OR","EQY_CONSOLIDATED=Y","Sort=A","Dates=H","DateFormat=P","Fill=—","Direction=H","UseDPDF=Y")</f>
        <v>#NAME?</v>
      </c>
      <c r="CT588" s="2" t="e">
        <f ca="1">_xll.BDH($C$578,"CUR_RATIO","FY 2016","FY 2016","Currency=INR","Period=FY","BEST_FPERIOD_OVERRIDE=FY","FILING_STATUS=OR","EQY_CONSOLIDATED=Y","Sort=A","Dates=H","DateFormat=P","Fill=—","Direction=H","UseDPDF=Y")</f>
        <v>#NAME?</v>
      </c>
      <c r="CU588" s="2" t="e">
        <f ca="1">_xll.BDH($C$578,"QUICK_RATIO","FY 2016","FY 2016","Currency=INR","Period=FY","BEST_FPERIOD_OVERRIDE=FY","FILING_STATUS=OR","EQY_CONSOLIDATED=Y","Sort=A","Dates=H","DateFormat=P","Fill=—","Direction=H","UseDPDF=Y")</f>
        <v>#NAME?</v>
      </c>
      <c r="CV588" s="2" t="e">
        <f ca="1">_xll.BDH($C$578,"ALTMAN_Z_SCORE","FY 2016","FY 2016","Currency=INR","Period=FY","BEST_FPERIOD_OVERRIDE=FY","FILING_STATUS=OR","EQY_CONSOLIDATED=Y","Sort=A","Dates=H","DateFormat=P","Fill=—","Direction=H","UseDPDF=Y")</f>
        <v>#NAME?</v>
      </c>
      <c r="CW588" s="4" t="e">
        <f ca="1">_xll.BDH($C$578,"ACCT_RCV_TURN","FY 2016","FY 2016","Currency=INR","Period=FY","BEST_FPERIOD_OVERRIDE=FY","FILING_STATUS=OR","EQY_CONSOLIDATED=Y","FA_ADJUSTED=GAAP","Sort=A","Dates=H","DateFormat=P","Fill=—","Direction=H","UseDPDF=Y")</f>
        <v>#NAME?</v>
      </c>
      <c r="CX588" s="2" t="e">
        <f ca="1">_xll.BDH($C$578,"ACCT_RCV_DAYS","FY 2016","FY 2016","Currency=INR","Period=FY","BEST_FPERIOD_OVERRIDE=FY","FILING_STATUS=OR","EQY_CONSOLIDATED=Y","FA_ADJUSTED=GAAP","Sort=A","Dates=H","DateFormat=P","Fill=—","Direction=H","UseDPDF=Y")</f>
        <v>#NAME?</v>
      </c>
      <c r="CY588" s="4" t="e">
        <f ca="1">_xll.BDH($C$578,"INVENT_TURN","FY 2016","FY 2016","Currency=INR","Period=FY","BEST_FPERIOD_OVERRIDE=FY","FILING_STATUS=OR","EQY_CONSOLIDATED=Y","FA_ADJUSTED=GAAP","Sort=A","Dates=H","DateFormat=P","Fill=—","Direction=H","UseDPDF=Y")</f>
        <v>#NAME?</v>
      </c>
      <c r="CZ588" s="2" t="e">
        <f ca="1">_xll.BDH($C$578,"INVENT_DAYS","FY 2016","FY 2016","Currency=INR","Period=FY","BEST_FPERIOD_OVERRIDE=FY","FILING_STATUS=OR","EQY_CONSOLIDATED=Y","FA_ADJUSTED=GAAP","Sort=A","Dates=H","DateFormat=P","Fill=—","Direction=H","UseDPDF=Y")</f>
        <v>#NAME?</v>
      </c>
      <c r="DA588" s="4" t="e">
        <f ca="1">_xll.BDH($C$578,"ACCOUNTS_PAYABLE_TURNOVER","FY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588" s="2" t="e">
        <f ca="1">_xll.BDH($C$578,"ACCOUNTS_PAYABLE_TURNOVER_DAYS","FY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588" s="4" t="e">
        <f ca="1">_xll.BDH($C$578,"CASH_CONVERSION_CYCLE","FY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588" s="4" t="e">
        <f ca="1">_xll.BDH($C$578,"INV_TO_CASH_DAYS","FY 2016","FY 2016","Currency=INR","Period=FY","BEST_FPERIOD_OVERRIDE=FY","FILING_STATUS=OR","EQY_CONSOLIDATED=Y","FA_ADJUSTED=GAAP","Sort=A","Dates=H","DateFormat=P","Fill=—","Direction=H","UseDPDF=Y")</f>
        <v>#NAME?</v>
      </c>
      <c r="DE588" s="5" t="e">
        <f ca="1">_xll.BDH($C$578,"BS_INVENTORIES","FY 2016","FY 2016","Currency=INR","Period=FY","BEST_FPERIOD_OVERRIDE=FY","FILING_STATUS=OR","EQY_CONSOLIDATED=Y","SCALING_FORMAT=MLN","Sort=A","Dates=H","DateFormat=P","Fill=—","Direction=H","UseDPDF=Y")</f>
        <v>#NAME?</v>
      </c>
      <c r="DF588" s="3" t="e">
        <f ca="1">_xll.BDH($C$578,"INVTRY_RAW_MATERIALS","FY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588" s="3" t="e">
        <f ca="1">_xll.BDH($C$578,"INVTRY_IN_PROGRESS","FY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588" s="3" t="e">
        <f ca="1">_xll.BDH($C$578,"INVTRY_FINISHED_GOODS","FY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588" s="3" t="e">
        <f ca="1">_xll.BDH($C$578,"BS_OTHER_INV","FY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589" spans="1:113" x14ac:dyDescent="0.3">
      <c r="A589" s="6"/>
      <c r="B589" s="6"/>
      <c r="C589" s="6"/>
      <c r="D589" s="6"/>
      <c r="E589" t="s">
        <v>78</v>
      </c>
      <c r="F589" t="e">
        <f ca="1">_xll.BDH($C$578,"RETURN_COM_EQY","FQ1 2016","FQ1 2016","Currency=INR","Period=FQ","BEST_FPERIOD_OVERRIDE=FQ","FILING_STATUS=OR","EQY_CONSOLIDATED=Y","FA_ADJUSTED=GAAP","Sort=A","Dates=H","DateFormat=P","Fill=—","Direction=H","UseDPDF=Y")</f>
        <v>#NAME?</v>
      </c>
      <c r="G589" t="e">
        <f ca="1">_xll.BDH($C$578,"RETURN_ON_ASSET","FQ1 2016","FQ1 2016","Currency=INR","Period=FQ","BEST_FPERIOD_OVERRIDE=FQ","FILING_STATUS=OR","EQY_CONSOLIDATED=Y","FA_ADJUSTED=GAAP","Sort=A","Dates=H","DateFormat=P","Fill=—","Direction=H","UseDPDF=Y")</f>
        <v>#NAME?</v>
      </c>
      <c r="H589" t="e">
        <f ca="1">_xll.BDH($C$578,"RETURN_ON_CAP","FQ1 2016","FQ1 2016","Currency=INR","Period=FQ","BEST_FPERIOD_OVERRIDE=FQ","FILING_STATUS=OR","EQY_CONSOLIDATED=Y","FA_ADJUSTED=GAAP","Sort=A","Dates=H","DateFormat=P","Fill=—","Direction=H","UseDPDF=Y")</f>
        <v>#NAME?</v>
      </c>
      <c r="I589" t="e">
        <f ca="1">_xll.BDH($C$578,"RETURN_ON_INV_CAPITAL","FQ1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589" t="e">
        <f ca="1">_xll.BDH($C$578,"EBITDA_TO_REVENUE","FQ1 2016","FQ1 2016","Currency=INR","Period=FQ","BEST_FPERIOD_OVERRIDE=FQ","FILING_STATUS=OR","EQY_CONSOLIDATED=Y","FA_ADJUSTED=GAAP","Sort=A","Dates=H","DateFormat=P","Fill=—","Direction=H","UseDPDF=Y")</f>
        <v>#NAME?</v>
      </c>
      <c r="K589" t="e">
        <f ca="1">_xll.BDH($C$578,"OPER_MARGIN","FQ1 2016","FQ1 2016","Currency=INR","Period=FQ","BEST_FPERIOD_OVERRIDE=FQ","FILING_STATUS=OR","EQY_CONSOLIDATED=Y","FA_ADJUSTED=GAAP","Sort=A","Dates=H","DateFormat=P","Fill=—","Direction=H","UseDPDF=Y")</f>
        <v>#NAME?</v>
      </c>
      <c r="L589" t="e">
        <f ca="1">_xll.BDH($C$578,"INCREMENTAL_OPERATING_MARGIN","FQ1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589" t="e">
        <f ca="1">_xll.BDH($C$578,"PRETAX_INC_TO_NET_SALES","FQ1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589" t="e">
        <f ca="1">_xll.BDH($C$578,"INC_BEF_XO_ITEMS_TO_NET_SALES","FQ1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589" t="e">
        <f ca="1">_xll.BDH($C$578,"PROF_MARGIN","FQ1 2016","FQ1 2016","Currency=INR","Period=FQ","BEST_FPERIOD_OVERRIDE=FQ","FILING_STATUS=OR","EQY_CONSOLIDATED=Y","FA_ADJUSTED=GAAP","Sort=A","Dates=H","DateFormat=P","Fill=—","Direction=H","UseDPDF=Y")</f>
        <v>#NAME?</v>
      </c>
      <c r="P589" t="e">
        <f ca="1">_xll.BDH($C$578,"NET_INCOME_TO_COMMON_MARGIN","FQ1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589" t="e">
        <f ca="1">_xll.BDH($C$578,"EFF_TAX_RATE","FQ1 2016","FQ1 2016","Currency=INR","Period=FQ","BEST_FPERIOD_OVERRIDE=FQ","FILING_STATUS=OR","EQY_CONSOLIDATED=Y","FA_ADJUSTED=GAAP","Sort=A","Dates=H","DateFormat=P","Fill=—","Direction=H","UseDPDF=Y")</f>
        <v>#NAME?</v>
      </c>
      <c r="R589" t="e">
        <f ca="1">_xll.BDH($C$578,"DVD_PAYOUT_RATIO","FQ1 2016","FQ1 2016","Currency=INR","Period=FQ","BEST_FPERIOD_OVERRIDE=FQ","FILING_STATUS=OR","EQY_CONSOLIDATED=Y","FA_ADJUSTED=GAAP","Sort=A","Dates=H","DateFormat=P","Fill=—","Direction=H","UseDPDF=Y")</f>
        <v>#NAME?</v>
      </c>
      <c r="S589" t="e">
        <f ca="1">_xll.BDH($C$578,"SUSTAIN_GROWTH_RT","FQ1 2016","FQ1 2016","Currency=INR","Period=FQ","BEST_FPERIOD_OVERRIDE=FQ","FILING_STATUS=OR","EQY_CONSOLIDATED=Y","FA_ADJUSTED=GAAP","Sort=A","Dates=H","DateFormat=P","Fill=—","Direction=H","UseDPDF=Y")</f>
        <v>#NAME?</v>
      </c>
      <c r="T589" s="2" t="e">
        <f ca="1">_xll.BDH($C$578,"SALES_GROWTH","FQ1 2016","FQ1 2016","Currency=INR","Period=FQ","BEST_FPERIOD_OVERRIDE=FQ","FILING_STATUS=OR","EQY_CONSOLIDATED=Y","FA_ADJUSTED=GAAP","Sort=A","Dates=H","DateFormat=P","Fill=—","Direction=H","UseDPDF=Y")</f>
        <v>#NAME?</v>
      </c>
      <c r="U589" s="2" t="e">
        <f ca="1">_xll.BDH($C$578,"EBITDA_GROWTH","FQ1 2016","FQ1 2016","Currency=INR","Period=FQ","BEST_FPERIOD_OVERRIDE=FQ","FILING_STATUS=OR","EQY_CONSOLIDATED=Y","FA_ADJUSTED=GAAP","Sort=A","Dates=H","DateFormat=P","Fill=—","Direction=H","UseDPDF=Y")</f>
        <v>#NAME?</v>
      </c>
      <c r="V589" s="2" t="e">
        <f ca="1">_xll.BDH($C$578,"OPER_INC_GROWTH","FQ1 2016","FQ1 2016","Currency=INR","Period=FQ","BEST_FPERIOD_OVERRIDE=FQ","FILING_STATUS=OR","EQY_CONSOLIDATED=Y","FA_ADJUSTED=GAAP","Sort=A","Dates=H","DateFormat=P","Fill=—","Direction=H","UseDPDF=Y")</f>
        <v>#NAME?</v>
      </c>
      <c r="W589" s="2" t="e">
        <f ca="1">_xll.BDH($C$578,"EARN_FOR_COM_GROWTH","FQ1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589" s="2" t="e">
        <f ca="1">_xll.BDH($C$578,"DILUTED_EPS_AFT_XO_ITEMS_GROWTH","FQ1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589" s="2" t="e">
        <f ca="1">_xll.BDH($C$578,"DIVIDEND_PER_SHARE_1_YEAR_GROWTH","FQ1 2016","FQ1 2016","Currency=INR","Period=FQ","BEST_FPERIOD_OVERRIDE=FQ","FILING_STATUS=OR","EQY_CONSOLIDATED=Y","Sort=A","Dates=H","DateFormat=P","Fill=—","Direction=H","UseDPDF=Y")</f>
        <v>#NAME?</v>
      </c>
      <c r="Z589" s="2" t="e">
        <f ca="1">_xll.BDH($C$578,"ACCOUNTS_RECEIVABLE_GROWTH","FQ1 2016","FQ1 2016","Currency=INR","Period=FQ","BEST_FPERIOD_OVERRIDE=FQ","FILING_STATUS=OR","EQY_CONSOLIDATED=Y","Sort=A","Dates=H","DateFormat=P","Fill=—","Direction=H","UseDPDF=Y")</f>
        <v>#NAME?</v>
      </c>
      <c r="AA589" s="2" t="e">
        <f ca="1">_xll.BDH($C$578,"INVENTORY_GROWTH","FQ1 2016","FQ1 2016","Currency=INR","Period=FQ","BEST_FPERIOD_OVERRIDE=FQ","FILING_STATUS=OR","EQY_CONSOLIDATED=Y","Sort=A","Dates=H","DateFormat=P","Fill=—","Direction=H","UseDPDF=Y")</f>
        <v>#NAME?</v>
      </c>
      <c r="AB589" s="2" t="e">
        <f ca="1">_xll.BDH($C$578,"NET_FIXED_ASSETS_1_YEAR_GROWTH","FQ1 2016","FQ1 2016","Currency=INR","Period=FQ","BEST_FPERIOD_OVERRIDE=FQ","FILING_STATUS=OR","EQY_CONSOLIDATED=Y","Sort=A","Dates=H","DateFormat=P","Fill=—","Direction=H","UseDPDF=Y")</f>
        <v>#NAME?</v>
      </c>
      <c r="AC589" s="2" t="e">
        <f ca="1">_xll.BDH($C$578,"ASSET_GROWTH","FQ1 2016","FQ1 2016","Currency=INR","Period=FQ","BEST_FPERIOD_OVERRIDE=FQ","FILING_STATUS=OR","EQY_CONSOLIDATED=Y","Sort=A","Dates=H","DateFormat=P","Fill=—","Direction=H","UseDPDF=Y")</f>
        <v>#NAME?</v>
      </c>
      <c r="AD589" s="2" t="e">
        <f ca="1">_xll.BDH($C$578,"MODIFIED_WORK_CAP_GROWTH","FQ1 2016","FQ1 2016","Currency=INR","Period=FQ","BEST_FPERIOD_OVERRIDE=FQ","FILING_STATUS=OR","EQY_CONSOLIDATED=Y","Sort=A","Dates=H","DateFormat=P","Fill=—","Direction=H","UseDPDF=Y")</f>
        <v>#NAME?</v>
      </c>
      <c r="AE589" s="2" t="e">
        <f ca="1">_xll.BDH($C$578,"WORK_CAP_GROWTH","FQ1 2016","FQ1 2016","Currency=INR","Period=FQ","BEST_FPERIOD_OVERRIDE=FQ","FILING_STATUS=OR","EQY_CONSOLIDATED=Y","Sort=A","Dates=H","DateFormat=P","Fill=—","Direction=H","UseDPDF=Y")</f>
        <v>#NAME?</v>
      </c>
      <c r="AF589" s="2" t="e">
        <f ca="1">_xll.BDH($C$578,"ACCOUNTS_PAYABLE_GROWTH_1YR","FQ1 2016","FQ1 2016","Currency=INR","Period=FQ","BEST_FPERIOD_OVERRIDE=FQ","FILING_STATUS=OR","EQY_CONSOLIDATED=Y","Sort=A","Dates=H","DateFormat=P","Fill=—","Direction=H","UseDPDF=Y")</f>
        <v>#NAME?</v>
      </c>
      <c r="AG589" s="2" t="e">
        <f ca="1">_xll.BDH($C$578,"SHORT_TERM_DEBT_1_YEAR_GROWTH","FQ1 2016","FQ1 2016","Currency=INR","Period=FQ","BEST_FPERIOD_OVERRIDE=FQ","FILING_STATUS=OR","EQY_CONSOLIDATED=Y","Sort=A","Dates=H","DateFormat=P","Fill=—","Direction=H","UseDPDF=Y")</f>
        <v>#NAME?</v>
      </c>
      <c r="AH589" s="2" t="e">
        <f ca="1">_xll.BDH($C$578,"TOTAL_DEBT_1_YEAR_GROWTH","FQ1 2016","FQ1 2016","Currency=INR","Period=FQ","BEST_FPERIOD_OVERRIDE=FQ","FILING_STATUS=OR","EQY_CONSOLIDATED=Y","Sort=A","Dates=H","DateFormat=P","Fill=—","Direction=H","UseDPDF=Y")</f>
        <v>#NAME?</v>
      </c>
      <c r="AI589" s="2" t="e">
        <f ca="1">_xll.BDH($C$578,"TOTAL_EQUITY_1_YEAR_GROWTH","FQ1 2016","FQ1 2016","Currency=INR","Period=FQ","BEST_FPERIOD_OVERRIDE=FQ","FILING_STATUS=OR","EQY_CONSOLIDATED=Y","Sort=A","Dates=H","DateFormat=P","Fill=—","Direction=H","UseDPDF=Y")</f>
        <v>#NAME?</v>
      </c>
      <c r="AJ589" s="2" t="e">
        <f ca="1">_xll.BDH($C$578,"GROWTH_IN_CAP","FQ1 2016","FQ1 2016","Currency=INR","Period=FQ","BEST_FPERIOD_OVERRIDE=FQ","FILING_STATUS=OR","EQY_CONSOLIDATED=Y","Sort=A","Dates=H","DateFormat=P","Fill=—","Direction=H","UseDPDF=Y")</f>
        <v>#NAME?</v>
      </c>
      <c r="AK589" s="2" t="e">
        <f ca="1">_xll.BDH($C$578,"BVPS_GROWTH","FQ1 2016","FQ1 2016","Currency=INR","Period=FQ","BEST_FPERIOD_OVERRIDE=FQ","FILING_STATUS=OR","EQY_CONSOLIDATED=Y","Sort=A","Dates=H","DateFormat=P","Fill=—","Direction=H","UseDPDF=Y")</f>
        <v>#NAME?</v>
      </c>
      <c r="AL589" s="2" t="e">
        <f ca="1">_xll.BDH($C$578,"CASH_FLOW_GROWTH","FQ1 2016","FQ1 2016","Currency=INR","Period=FQ","BEST_FPERIOD_OVERRIDE=FQ","FILING_STATUS=OR","EQY_CONSOLIDATED=Y","Sort=A","Dates=H","DateFormat=P","Fill=—","Direction=H","UseDPDF=Y")</f>
        <v>#NAME?</v>
      </c>
      <c r="AM589" s="2" t="e">
        <f ca="1">_xll.BDH($C$578,"GEO_GROW_NET_SALES","FQ1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589" s="2" t="e">
        <f ca="1">_xll.BDH($C$578,"GEO_GROW_EBITDA","FQ1 2016","FQ1 2016","Currency=INR","Period=FQ","BEST_FPERIOD_OVERRIDE=FQ","FILING_STATUS=OR","EQY_CONSOLIDATED=Y","FA_ADJUSTED=GAAP","Sort=A","Dates=H","DateFormat=P","Fill=—","Direction=H","UseDPDF=Y")</f>
        <v>#NAME?</v>
      </c>
      <c r="AO589" s="2" t="e">
        <f ca="1">_xll.BDH($C$578,"GEO_GROW_OPER_INC","FQ1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589" s="2" t="e">
        <f ca="1">_xll.BDH($C$578,"NET_INCOME_TO_COMMON_5_YR_GROWTH","FQ1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589" s="2" t="e">
        <f ca="1">_xll.BDH($C$578,"5Y_GEO_GROWTH_DILUTED_EPS","FQ1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589" s="2" t="e">
        <f ca="1">_xll.BDH($C$578,"GEO_GROW_DVD_PER_SH","FQ1 2016","FQ1 2016","Currency=INR","Period=FQ","BEST_FPERIOD_OVERRIDE=FQ","FILING_STATUS=OR","EQY_CONSOLIDATED=Y","Sort=A","Dates=H","DateFormat=P","Fill=—","Direction=H","UseDPDF=Y")</f>
        <v>#NAME?</v>
      </c>
      <c r="AS589" s="2" t="e">
        <f ca="1">_xll.BDH($C$578,"ACCOUNTS_RECEIVABLE_5_YR_GROWTH","FQ1 2016","FQ1 2016","Currency=INR","Period=FQ","BEST_FPERIOD_OVERRIDE=FQ","FILING_STATUS=OR","EQY_CONSOLIDATED=Y","Sort=A","Dates=H","DateFormat=P","Fill=—","Direction=H","UseDPDF=Y")</f>
        <v>#NAME?</v>
      </c>
      <c r="AT589" s="2" t="e">
        <f ca="1">_xll.BDH($C$578,"INVENTORY_5_YEAR_GROWTH","FQ1 2016","FQ1 2016","Currency=INR","Period=FQ","BEST_FPERIOD_OVERRIDE=FQ","FILING_STATUS=OR","EQY_CONSOLIDATED=Y","Sort=A","Dates=H","DateFormat=P","Fill=—","Direction=H","UseDPDF=Y")</f>
        <v>#NAME?</v>
      </c>
      <c r="AU589" s="2" t="e">
        <f ca="1">_xll.BDH($C$578,"NET_FIXED_ASSETS_5_YEAR_GROWTH","FQ1 2016","FQ1 2016","Currency=INR","Period=FQ","BEST_FPERIOD_OVERRIDE=FQ","FILING_STATUS=OR","EQY_CONSOLIDATED=Y","Sort=A","Dates=H","DateFormat=P","Fill=—","Direction=H","UseDPDF=Y")</f>
        <v>#NAME?</v>
      </c>
      <c r="AV589" s="2" t="e">
        <f ca="1">_xll.BDH($C$578,"GEO_GROW_TOT_ASSET","FQ1 2016","FQ1 2016","Currency=INR","Period=FQ","BEST_FPERIOD_OVERRIDE=FQ","FILING_STATUS=OR","EQY_CONSOLIDATED=Y","Sort=A","Dates=H","DateFormat=P","Fill=—","Direction=H","UseDPDF=Y")</f>
        <v>#NAME?</v>
      </c>
      <c r="AW589" s="2" t="e">
        <f ca="1">_xll.BDH($C$578,"MODIFIED_WORKING_CPTL_5YR_GRWTH","FQ1 2016","FQ1 2016","Currency=INR","Period=FQ","BEST_FPERIOD_OVERRIDE=FQ","FILING_STATUS=OR","EQY_CONSOLIDATED=Y","Sort=A","Dates=H","DateFormat=P","Fill=—","Direction=H","UseDPDF=Y")</f>
        <v>#NAME?</v>
      </c>
      <c r="AX589" s="2" t="e">
        <f ca="1">_xll.BDH($C$578,"WORKING_CAPITAL_5_YEAR_GROWTH","FQ1 2016","FQ1 2016","Currency=INR","Period=FQ","BEST_FPERIOD_OVERRIDE=FQ","FILING_STATUS=OR","EQY_CONSOLIDATED=Y","Sort=A","Dates=H","DateFormat=P","Fill=—","Direction=H","UseDPDF=Y")</f>
        <v>#NAME?</v>
      </c>
      <c r="AY589" s="2" t="e">
        <f ca="1">_xll.BDH($C$578,"ACCOUNTS_PAYABLE_5_YEAR_GROWTH","FQ1 2016","FQ1 2016","Currency=INR","Period=FQ","BEST_FPERIOD_OVERRIDE=FQ","FILING_STATUS=OR","EQY_CONSOLIDATED=Y","Sort=A","Dates=H","DateFormat=P","Fill=—","Direction=H","UseDPDF=Y")</f>
        <v>#NAME?</v>
      </c>
      <c r="AZ589" s="2" t="e">
        <f ca="1">_xll.BDH($C$578,"SHORT_TERM_DEBT_5_YEAR_GROWTH","FQ1 2016","FQ1 2016","Currency=INR","Period=FQ","BEST_FPERIOD_OVERRIDE=FQ","FILING_STATUS=OR","EQY_CONSOLIDATED=Y","Sort=A","Dates=H","DateFormat=P","Fill=—","Direction=H","UseDPDF=Y")</f>
        <v>#NAME?</v>
      </c>
      <c r="BA589" s="2" t="e">
        <f ca="1">_xll.BDH($C$578,"TOTAL_DEBT_5_YEAR_GROWTH","FQ1 2016","FQ1 2016","Currency=INR","Period=FQ","BEST_FPERIOD_OVERRIDE=FQ","FILING_STATUS=OR","EQY_CONSOLIDATED=Y","Sort=A","Dates=H","DateFormat=P","Fill=—","Direction=H","UseDPDF=Y")</f>
        <v>#NAME?</v>
      </c>
      <c r="BB589" s="2" t="e">
        <f ca="1">_xll.BDH($C$578,"GEO_GROW_TOT_SHRHLDR_EQY","FQ1 2016","FQ1 2016","Currency=INR","Period=FQ","BEST_FPERIOD_OVERRIDE=FQ","FILING_STATUS=OR","EQY_CONSOLIDATED=Y","Sort=A","Dates=H","DateFormat=P","Fill=—","Direction=H","UseDPDF=Y")</f>
        <v>#NAME?</v>
      </c>
      <c r="BC589" s="2" t="e">
        <f ca="1">_xll.BDH($C$578,"TOTAL_CAPITAL_5_YEAR_GROWTH","FQ1 2016","FQ1 2016","Currency=INR","Period=FQ","BEST_FPERIOD_OVERRIDE=FQ","FILING_STATUS=OR","EQY_CONSOLIDATED=Y","Sort=A","Dates=H","DateFormat=P","Fill=—","Direction=H","UseDPDF=Y")</f>
        <v>#NAME?</v>
      </c>
      <c r="BD589" s="2" t="e">
        <f ca="1">_xll.BDH($C$578,"GEO_GROW_BOOK_VAL","FQ1 2016","FQ1 2016","Currency=INR","Period=FQ","BEST_FPERIOD_OVERRIDE=FQ","FILING_STATUS=OR","EQY_CONSOLIDATED=Y","Sort=A","Dates=H","DateFormat=P","Fill=—","Direction=H","UseDPDF=Y")</f>
        <v>#NAME?</v>
      </c>
      <c r="BE589" s="2" t="e">
        <f ca="1">_xll.BDH($C$578,"GEO_GROW_CASH_OPER_ACT","FQ1 2016","FQ1 2016","Currency=INR","Period=FQ","BEST_FPERIOD_OVERRIDE=FQ","FILING_STATUS=OR","EQY_CONSOLIDATED=Y","Sort=A","Dates=H","DateFormat=P","Fill=—","Direction=H","UseDPDF=Y")</f>
        <v>#NAME?</v>
      </c>
      <c r="BF589" s="2" t="e">
        <f ca="1">_xll.BDH($C$578,"REVENUE_SEQUENTIAL_GROWTH","FQ1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589" s="2" t="e">
        <f ca="1">_xll.BDH($C$578,"EBITDA_SEQUENTIAL_GROWTH","FQ1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589" s="2" t="e">
        <f ca="1">_xll.BDH($C$578,"OPERATING_INCOME_SEQ_GROWTH","FQ1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589" s="2" t="e">
        <f ca="1">_xll.BDH($C$578,"NET_INCOME_TO_COMMON_SEQ_GROWTH","FQ1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589" s="2" t="e">
        <f ca="1">_xll.BDH($C$578,"EPS_DILUTED_SEQUENTIAL_GROWTH","FQ1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589" s="2" t="e">
        <f ca="1">_xll.BDH($C$578,"DPS_SEQUENTIAL_GROWTH","FQ1 2016","FQ1 2016","Currency=INR","Period=FQ","BEST_FPERIOD_OVERRIDE=FQ","FILING_STATUS=OR","EQY_CONSOLIDATED=Y","Sort=A","Dates=H","DateFormat=P","Fill=—","Direction=H","UseDPDF=Y")</f>
        <v>#NAME?</v>
      </c>
      <c r="BL589" s="2" t="e">
        <f ca="1">_xll.BDH($C$578,"ACCOUNTS_RECEIVABLE_SEQ_GROWTH","FQ1 2016","FQ1 2016","Currency=INR","Period=FQ","BEST_FPERIOD_OVERRIDE=FQ","FILING_STATUS=OR","EQY_CONSOLIDATED=Y","Sort=A","Dates=H","DateFormat=P","Fill=—","Direction=H","UseDPDF=Y")</f>
        <v>#NAME?</v>
      </c>
      <c r="BM589" s="2" t="e">
        <f ca="1">_xll.BDH($C$578,"INVENTORY_SEQUENTIAL_GROWTH","FQ1 2016","FQ1 2016","Currency=INR","Period=FQ","BEST_FPERIOD_OVERRIDE=FQ","FILING_STATUS=OR","EQY_CONSOLIDATED=Y","Sort=A","Dates=H","DateFormat=P","Fill=—","Direction=H","UseDPDF=Y")</f>
        <v>#NAME?</v>
      </c>
      <c r="BN589" s="2" t="e">
        <f ca="1">_xll.BDH($C$578,"FIXED_ASSETS_SEQUENTIAL_GROWTH","FQ1 2016","FQ1 2016","Currency=INR","Period=FQ","BEST_FPERIOD_OVERRIDE=FQ","FILING_STATUS=OR","EQY_CONSOLIDATED=Y","Sort=A","Dates=H","DateFormat=P","Fill=—","Direction=H","UseDPDF=Y")</f>
        <v>#NAME?</v>
      </c>
      <c r="BO589" s="2" t="e">
        <f ca="1">_xll.BDH($C$578,"TOTAL_ASSETS_SEQUENTIAL_GROWTH","FQ1 2016","FQ1 2016","Currency=INR","Period=FQ","BEST_FPERIOD_OVERRIDE=FQ","FILING_STATUS=OR","EQY_CONSOLIDATED=Y","Sort=A","Dates=H","DateFormat=P","Fill=—","Direction=H","UseDPDF=Y")</f>
        <v>#NAME?</v>
      </c>
      <c r="BP589" s="2" t="e">
        <f ca="1">_xll.BDH($C$578,"MODIFIED_WORKING_CPTL_SEQ_GRWTH","FQ1 2016","FQ1 2016","Currency=INR","Period=FQ","BEST_FPERIOD_OVERRIDE=FQ","FILING_STATUS=OR","EQY_CONSOLIDATED=Y","Sort=A","Dates=H","DateFormat=P","Fill=—","Direction=H","UseDPDF=Y")</f>
        <v>#NAME?</v>
      </c>
      <c r="BQ589" s="2" t="e">
        <f ca="1">_xll.BDH($C$578,"WORKING_CAPITAL_SEQ_GROWTH","FQ1 2016","FQ1 2016","Currency=INR","Period=FQ","BEST_FPERIOD_OVERRIDE=FQ","FILING_STATUS=OR","EQY_CONSOLIDATED=Y","Sort=A","Dates=H","DateFormat=P","Fill=—","Direction=H","UseDPDF=Y")</f>
        <v>#NAME?</v>
      </c>
      <c r="BR589" s="2" t="e">
        <f ca="1">_xll.BDH($C$578,"ACCOUNTS_PAYABLE_SEQ_GROWTH","FQ1 2016","FQ1 2016","Currency=INR","Period=FQ","BEST_FPERIOD_OVERRIDE=FQ","FILING_STATUS=OR","EQY_CONSOLIDATED=Y","Sort=A","Dates=H","DateFormat=P","Fill=—","Direction=H","UseDPDF=Y")</f>
        <v>#NAME?</v>
      </c>
      <c r="BS589" s="2" t="e">
        <f ca="1">_xll.BDH($C$578,"ST_DEBT_SEQUENTIAL_GROWTH","FQ1 2016","FQ1 2016","Currency=INR","Period=FQ","BEST_FPERIOD_OVERRIDE=FQ","FILING_STATUS=OR","EQY_CONSOLIDATED=Y","Sort=A","Dates=H","DateFormat=P","Fill=—","Direction=H","UseDPDF=Y")</f>
        <v>#NAME?</v>
      </c>
      <c r="BT589" s="2" t="e">
        <f ca="1">_xll.BDH($C$578,"TOTAL_DEBT_SEQUENTIAL_GROWTH","FQ1 2016","FQ1 2016","Currency=INR","Period=FQ","BEST_FPERIOD_OVERRIDE=FQ","FILING_STATUS=OR","EQY_CONSOLIDATED=Y","Sort=A","Dates=H","DateFormat=P","Fill=—","Direction=H","UseDPDF=Y")</f>
        <v>#NAME?</v>
      </c>
      <c r="BU589" s="2" t="e">
        <f ca="1">_xll.BDH($C$578,"TOTAL_EQUITY_SEQUENTIAL_GROWTH","FQ1 2016","FQ1 2016","Currency=INR","Period=FQ","BEST_FPERIOD_OVERRIDE=FQ","FILING_STATUS=OR","EQY_CONSOLIDATED=Y","Sort=A","Dates=H","DateFormat=P","Fill=—","Direction=H","UseDPDF=Y")</f>
        <v>#NAME?</v>
      </c>
      <c r="BV589" s="2" t="e">
        <f ca="1">_xll.BDH($C$578,"TOTAL_CAPITAL_SEQUENTIAL_GROWTH","FQ1 2016","FQ1 2016","Currency=INR","Period=FQ","BEST_FPERIOD_OVERRIDE=FQ","FILING_STATUS=OR","EQY_CONSOLIDATED=Y","Sort=A","Dates=H","DateFormat=P","Fill=—","Direction=H","UseDPDF=Y")</f>
        <v>#NAME?</v>
      </c>
      <c r="BW589" s="2" t="e">
        <f ca="1">_xll.BDH($C$578,"BPS_SEQUENTIAL_GROWTH","FQ1 2016","FQ1 2016","Currency=INR","Period=FQ","BEST_FPERIOD_OVERRIDE=FQ","FILING_STATUS=OR","EQY_CONSOLIDATED=Y","Sort=A","Dates=H","DateFormat=P","Fill=—","Direction=H","UseDPDF=Y")</f>
        <v>#NAME?</v>
      </c>
      <c r="BX589" s="2" t="e">
        <f ca="1">_xll.BDH($C$578,"CFO_SEQUENTIAL_GROWTH","FQ1 2016","FQ1 2016","Currency=INR","Period=FQ","BEST_FPERIOD_OVERRIDE=FQ","FILING_STATUS=OR","EQY_CONSOLIDATED=Y","Sort=A","Dates=H","DateFormat=P","Fill=—","Direction=H","UseDPDF=Y")</f>
        <v>#NAME?</v>
      </c>
      <c r="BY589" s="3" t="e">
        <f ca="1">_xll.BDH($C$578,"SHORT_AND_LONG_TERM_DEBT","FQ1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589" s="3" t="e">
        <f ca="1">_xll.BDH($C$578,"BS_ST_BORROW","FQ1 2016","FQ1 2016","Currency=INR","Period=FQ","BEST_FPERIOD_OVERRIDE=FQ","FILING_STATUS=OR","EQY_CONSOLIDATED=Y","SCALING_FORMAT=MLN","Sort=A","Dates=H","DateFormat=P","Fill=—","Direction=H","UseDPDF=Y")</f>
        <v>#NAME?</v>
      </c>
      <c r="CA589" s="3" t="e">
        <f ca="1">_xll.BDH($C$578,"BS_LT_BORROW","FQ1 2016","FQ1 2016","Currency=INR","Period=FQ","BEST_FPERIOD_OVERRIDE=FQ","FILING_STATUS=OR","EQY_CONSOLIDATED=Y","SCALING_FORMAT=MLN","Sort=A","Dates=H","DateFormat=P","Fill=—","Direction=H","UseDPDF=Y")</f>
        <v>#NAME?</v>
      </c>
      <c r="CB589" s="2" t="e">
        <f ca="1">_xll.BDH($C$578,"TOT_DEBT_TO_EBITDA","FQ1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589" s="2" t="e">
        <f ca="1">_xll.BDH($C$578,"NET_DEBT_TO_EBITDA","FQ1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589" s="2" t="e">
        <f ca="1">_xll.BDH($C$578,"TOTAL_DEBT_TO_EBIT","FQ1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589" s="2" t="e">
        <f ca="1">_xll.BDH($C$578,"NET_DEBT_TO_EBIT","FQ1 2016","FQ1 2016","Currency=INR","Period=FQ","BEST_FPERIOD_OVERRIDE=FQ","FILING_STATUS=OR","EQY_CONSOLIDATED=Y","FA_ADJUSTED=GAAP","Sort=A","Dates=H","DateFormat=P","Fill=—","Direction=H","UseDPDF=Y")</f>
        <v>#NAME?</v>
      </c>
      <c r="CF589" s="2" t="e">
        <f ca="1">_xll.BDH($C$578,"EBITDA_TO_INTEREST_EXPN","FQ1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589" s="2" t="e">
        <f ca="1">_xll.BDH($C$578,"COM_EQY_TO_TOT_ASSET","FQ1 2016","FQ1 2016","Currency=INR","Period=FQ","BEST_FPERIOD_OVERRIDE=FQ","FILING_STATUS=OR","EQY_CONSOLIDATED=Y","Sort=A","Dates=H","DateFormat=P","Fill=—","Direction=H","UseDPDF=Y")</f>
        <v>#NAME?</v>
      </c>
      <c r="CH589" s="2" t="e">
        <f ca="1">_xll.BDH($C$578,"LT_DEBT_TO_TOT_EQY","FQ1 2016","FQ1 2016","Currency=INR","Period=FQ","BEST_FPERIOD_OVERRIDE=FQ","FILING_STATUS=OR","EQY_CONSOLIDATED=Y","Sort=A","Dates=H","DateFormat=P","Fill=—","Direction=H","UseDPDF=Y")</f>
        <v>#NAME?</v>
      </c>
      <c r="CI589" s="2" t="e">
        <f ca="1">_xll.BDH($C$578,"LT_DEBT_TO_TOT_CAP","FQ1 2016","FQ1 2016","Currency=INR","Period=FQ","BEST_FPERIOD_OVERRIDE=FQ","FILING_STATUS=OR","EQY_CONSOLIDATED=Y","Sort=A","Dates=H","DateFormat=P","Fill=—","Direction=H","UseDPDF=Y")</f>
        <v>#NAME?</v>
      </c>
      <c r="CJ589" s="2" t="e">
        <f ca="1">_xll.BDH($C$578,"LT_DEBT_TO_TOT_ASSET","FQ1 2016","FQ1 2016","Currency=INR","Period=FQ","BEST_FPERIOD_OVERRIDE=FQ","FILING_STATUS=OR","EQY_CONSOLIDATED=Y","Sort=A","Dates=H","DateFormat=P","Fill=—","Direction=H","UseDPDF=Y")</f>
        <v>#NAME?</v>
      </c>
      <c r="CK589" s="2" t="e">
        <f ca="1">_xll.BDH($C$578,"TOT_DEBT_TO_TOT_EQY","FQ1 2016","FQ1 2016","Currency=INR","Period=FQ","BEST_FPERIOD_OVERRIDE=FQ","FILING_STATUS=OR","EQY_CONSOLIDATED=Y","Sort=A","Dates=H","DateFormat=P","Fill=—","Direction=H","UseDPDF=Y")</f>
        <v>#NAME?</v>
      </c>
      <c r="CL589" s="2" t="e">
        <f ca="1">_xll.BDH($C$578,"TOT_DEBT_TO_TOT_CAP","FQ1 2016","FQ1 2016","Currency=INR","Period=FQ","BEST_FPERIOD_OVERRIDE=FQ","FILING_STATUS=OR","EQY_CONSOLIDATED=Y","Sort=A","Dates=H","DateFormat=P","Fill=—","Direction=H","UseDPDF=Y")</f>
        <v>#NAME?</v>
      </c>
      <c r="CM589" s="2" t="e">
        <f ca="1">_xll.BDH($C$578,"TOT_DEBT_TO_TOT_ASSET","FQ1 2016","FQ1 2016","Currency=INR","Period=FQ","BEST_FPERIOD_OVERRIDE=FQ","FILING_STATUS=OR","EQY_CONSOLIDATED=Y","Sort=A","Dates=H","DateFormat=P","Fill=—","Direction=H","UseDPDF=Y")</f>
        <v>#NAME?</v>
      </c>
      <c r="CN589" s="2" t="e">
        <f ca="1">_xll.BDH($C$578,"NET_DEBT_TO_SHRHLDR_EQTY","FQ1 2016","FQ1 2016","Currency=INR","Period=FQ","BEST_FPERIOD_OVERRIDE=FQ","FILING_STATUS=OR","EQY_CONSOLIDATED=Y","Sort=A","Dates=H","DateFormat=P","Fill=—","Direction=H","UseDPDF=Y")</f>
        <v>#NAME?</v>
      </c>
      <c r="CO589" s="2" t="e">
        <f ca="1">_xll.BDH($C$578,"NET_DEBT_%_CAPITAL","FQ1 2016","FQ1 2016","Currency=INR","Period=FQ","BEST_FPERIOD_OVERRIDE=FQ","FILING_STATUS=OR","EQY_CONSOLIDATED=Y","Sort=A","Dates=H","DateFormat=P","Fill=—","Direction=H","UseDPDF=Y")</f>
        <v>#NAME?</v>
      </c>
      <c r="CP589" s="3" t="e">
        <f ca="1">_xll.BDH($C$578,"EBITDA","FQ1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589" s="3" t="e">
        <f ca="1">_xll.BDH($C$578,"EBITDA_AFTER_CAPEX","FQ1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589" s="3" t="e">
        <f ca="1">_xll.BDH($C$578,"IS_OPER_INC","FQ1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589" s="2" t="e">
        <f ca="1">_xll.BDH($C$578,"CASH_RATIO","FQ1 2016","FQ1 2016","Currency=INR","Period=FQ","BEST_FPERIOD_OVERRIDE=FQ","FILING_STATUS=OR","EQY_CONSOLIDATED=Y","Sort=A","Dates=H","DateFormat=P","Fill=—","Direction=H","UseDPDF=Y")</f>
        <v>#NAME?</v>
      </c>
      <c r="CT589" s="2" t="e">
        <f ca="1">_xll.BDH($C$578,"CUR_RATIO","FQ1 2016","FQ1 2016","Currency=INR","Period=FQ","BEST_FPERIOD_OVERRIDE=FQ","FILING_STATUS=OR","EQY_CONSOLIDATED=Y","Sort=A","Dates=H","DateFormat=P","Fill=—","Direction=H","UseDPDF=Y")</f>
        <v>#NAME?</v>
      </c>
      <c r="CU589" s="2" t="e">
        <f ca="1">_xll.BDH($C$578,"QUICK_RATIO","FQ1 2016","FQ1 2016","Currency=INR","Period=FQ","BEST_FPERIOD_OVERRIDE=FQ","FILING_STATUS=OR","EQY_CONSOLIDATED=Y","Sort=A","Dates=H","DateFormat=P","Fill=—","Direction=H","UseDPDF=Y")</f>
        <v>#NAME?</v>
      </c>
      <c r="CV589" s="2" t="e">
        <f ca="1">_xll.BDH($C$578,"ALTMAN_Z_SCORE","FQ1 2016","FQ1 2016","Currency=INR","Period=FQ","BEST_FPERIOD_OVERRIDE=FQ","FILING_STATUS=OR","EQY_CONSOLIDATED=Y","Sort=A","Dates=H","DateFormat=P","Fill=—","Direction=H","UseDPDF=Y")</f>
        <v>#NAME?</v>
      </c>
      <c r="CW589" s="4" t="e">
        <f ca="1">_xll.BDH($C$578,"ACCT_RCV_TURN","FQ1 2016","FQ1 2016","Currency=INR","Period=FQ","BEST_FPERIOD_OVERRIDE=FQ","FILING_STATUS=OR","EQY_CONSOLIDATED=Y","FA_ADJUSTED=GAAP","Sort=A","Dates=H","DateFormat=P","Fill=—","Direction=H","UseDPDF=Y")</f>
        <v>#NAME?</v>
      </c>
      <c r="CX589" s="2" t="e">
        <f ca="1">_xll.BDH($C$578,"ACCT_RCV_DAYS","FQ1 2016","FQ1 2016","Currency=INR","Period=FQ","BEST_FPERIOD_OVERRIDE=FQ","FILING_STATUS=OR","EQY_CONSOLIDATED=Y","FA_ADJUSTED=GAAP","Sort=A","Dates=H","DateFormat=P","Fill=—","Direction=H","UseDPDF=Y")</f>
        <v>#NAME?</v>
      </c>
      <c r="CY589" s="4" t="e">
        <f ca="1">_xll.BDH($C$578,"INVENT_TURN","FQ1 2016","FQ1 2016","Currency=INR","Period=FQ","BEST_FPERIOD_OVERRIDE=FQ","FILING_STATUS=OR","EQY_CONSOLIDATED=Y","FA_ADJUSTED=GAAP","Sort=A","Dates=H","DateFormat=P","Fill=—","Direction=H","UseDPDF=Y")</f>
        <v>#NAME?</v>
      </c>
      <c r="CZ589" s="2" t="e">
        <f ca="1">_xll.BDH($C$578,"INVENT_DAYS","FQ1 2016","FQ1 2016","Currency=INR","Period=FQ","BEST_FPERIOD_OVERRIDE=FQ","FILING_STATUS=OR","EQY_CONSOLIDATED=Y","FA_ADJUSTED=GAAP","Sort=A","Dates=H","DateFormat=P","Fill=—","Direction=H","UseDPDF=Y")</f>
        <v>#NAME?</v>
      </c>
      <c r="DA589" s="4" t="e">
        <f ca="1">_xll.BDH($C$578,"ACCOUNTS_PAYABLE_TURNOVER","FQ1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589" s="2" t="e">
        <f ca="1">_xll.BDH($C$578,"ACCOUNTS_PAYABLE_TURNOVER_DAYS","FQ1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589" s="4" t="e">
        <f ca="1">_xll.BDH($C$578,"CASH_CONVERSION_CYCLE","FQ1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589" s="4" t="e">
        <f ca="1">_xll.BDH($C$578,"INV_TO_CASH_DAYS","FQ1 2016","FQ1 2016","Currency=INR","Period=FQ","BEST_FPERIOD_OVERRIDE=FQ","FILING_STATUS=OR","EQY_CONSOLIDATED=Y","FA_ADJUSTED=GAAP","Sort=A","Dates=H","DateFormat=P","Fill=—","Direction=H","UseDPDF=Y")</f>
        <v>#NAME?</v>
      </c>
      <c r="DE589" s="5" t="e">
        <f ca="1">_xll.BDH($C$578,"BS_INVENTORIES","FQ1 2016","FQ1 2016","Currency=INR","Period=FQ","BEST_FPERIOD_OVERRIDE=FQ","FILING_STATUS=OR","EQY_CONSOLIDATED=Y","SCALING_FORMAT=MLN","Sort=A","Dates=H","DateFormat=P","Fill=—","Direction=H","UseDPDF=Y")</f>
        <v>#NAME?</v>
      </c>
      <c r="DF589" s="3" t="e">
        <f ca="1">_xll.BDH($C$578,"INVTRY_RAW_MATERIALS","FQ1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589" s="3" t="e">
        <f ca="1">_xll.BDH($C$578,"INVTRY_IN_PROGRESS","FQ1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589" s="3" t="e">
        <f ca="1">_xll.BDH($C$578,"INVTRY_FINISHED_GOODS","FQ1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589" s="3" t="e">
        <f ca="1">_xll.BDH($C$578,"BS_OTHER_INV","FQ1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590" spans="1:113" x14ac:dyDescent="0.3">
      <c r="A590" s="6"/>
      <c r="B590" s="6"/>
      <c r="C590" s="6"/>
      <c r="D590" s="6"/>
      <c r="E590" t="s">
        <v>79</v>
      </c>
      <c r="F590" t="e">
        <f ca="1">_xll.BDH($C$578,"RETURN_COM_EQY","FQ2 2016","FQ2 2016","Currency=INR","Period=FQ","BEST_FPERIOD_OVERRIDE=FQ","FILING_STATUS=OR","EQY_CONSOLIDATED=Y","FA_ADJUSTED=GAAP","Sort=A","Dates=H","DateFormat=P","Fill=—","Direction=H","UseDPDF=Y")</f>
        <v>#NAME?</v>
      </c>
      <c r="G590" t="e">
        <f ca="1">_xll.BDH($C$578,"RETURN_ON_ASSET","FQ2 2016","FQ2 2016","Currency=INR","Period=FQ","BEST_FPERIOD_OVERRIDE=FQ","FILING_STATUS=OR","EQY_CONSOLIDATED=Y","FA_ADJUSTED=GAAP","Sort=A","Dates=H","DateFormat=P","Fill=—","Direction=H","UseDPDF=Y")</f>
        <v>#NAME?</v>
      </c>
      <c r="H590" t="e">
        <f ca="1">_xll.BDH($C$578,"RETURN_ON_CAP","FQ2 2016","FQ2 2016","Currency=INR","Period=FQ","BEST_FPERIOD_OVERRIDE=FQ","FILING_STATUS=OR","EQY_CONSOLIDATED=Y","FA_ADJUSTED=GAAP","Sort=A","Dates=H","DateFormat=P","Fill=—","Direction=H","UseDPDF=Y")</f>
        <v>#NAME?</v>
      </c>
      <c r="I590" t="e">
        <f ca="1">_xll.BDH($C$578,"RETURN_ON_INV_CAPITAL","FQ2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590" t="e">
        <f ca="1">_xll.BDH($C$578,"EBITDA_TO_REVENUE","FQ2 2016","FQ2 2016","Currency=INR","Period=FQ","BEST_FPERIOD_OVERRIDE=FQ","FILING_STATUS=OR","EQY_CONSOLIDATED=Y","FA_ADJUSTED=GAAP","Sort=A","Dates=H","DateFormat=P","Fill=—","Direction=H","UseDPDF=Y")</f>
        <v>#NAME?</v>
      </c>
      <c r="K590" t="e">
        <f ca="1">_xll.BDH($C$578,"OPER_MARGIN","FQ2 2016","FQ2 2016","Currency=INR","Period=FQ","BEST_FPERIOD_OVERRIDE=FQ","FILING_STATUS=OR","EQY_CONSOLIDATED=Y","FA_ADJUSTED=GAAP","Sort=A","Dates=H","DateFormat=P","Fill=—","Direction=H","UseDPDF=Y")</f>
        <v>#NAME?</v>
      </c>
      <c r="L590" t="e">
        <f ca="1">_xll.BDH($C$578,"INCREMENTAL_OPERATING_MARGIN","FQ2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590" t="e">
        <f ca="1">_xll.BDH($C$578,"PRETAX_INC_TO_NET_SALES","FQ2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590" t="e">
        <f ca="1">_xll.BDH($C$578,"INC_BEF_XO_ITEMS_TO_NET_SALES","FQ2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590" t="e">
        <f ca="1">_xll.BDH($C$578,"PROF_MARGIN","FQ2 2016","FQ2 2016","Currency=INR","Period=FQ","BEST_FPERIOD_OVERRIDE=FQ","FILING_STATUS=OR","EQY_CONSOLIDATED=Y","FA_ADJUSTED=GAAP","Sort=A","Dates=H","DateFormat=P","Fill=—","Direction=H","UseDPDF=Y")</f>
        <v>#NAME?</v>
      </c>
      <c r="P590" t="e">
        <f ca="1">_xll.BDH($C$578,"NET_INCOME_TO_COMMON_MARGIN","FQ2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590" t="e">
        <f ca="1">_xll.BDH($C$578,"EFF_TAX_RATE","FQ2 2016","FQ2 2016","Currency=INR","Period=FQ","BEST_FPERIOD_OVERRIDE=FQ","FILING_STATUS=OR","EQY_CONSOLIDATED=Y","FA_ADJUSTED=GAAP","Sort=A","Dates=H","DateFormat=P","Fill=—","Direction=H","UseDPDF=Y")</f>
        <v>#NAME?</v>
      </c>
      <c r="R590" t="e">
        <f ca="1">_xll.BDH($C$578,"DVD_PAYOUT_RATIO","FQ2 2016","FQ2 2016","Currency=INR","Period=FQ","BEST_FPERIOD_OVERRIDE=FQ","FILING_STATUS=OR","EQY_CONSOLIDATED=Y","FA_ADJUSTED=GAAP","Sort=A","Dates=H","DateFormat=P","Fill=—","Direction=H","UseDPDF=Y")</f>
        <v>#NAME?</v>
      </c>
      <c r="S590" t="e">
        <f ca="1">_xll.BDH($C$578,"SUSTAIN_GROWTH_RT","FQ2 2016","FQ2 2016","Currency=INR","Period=FQ","BEST_FPERIOD_OVERRIDE=FQ","FILING_STATUS=OR","EQY_CONSOLIDATED=Y","FA_ADJUSTED=GAAP","Sort=A","Dates=H","DateFormat=P","Fill=—","Direction=H","UseDPDF=Y")</f>
        <v>#NAME?</v>
      </c>
      <c r="T590" s="2" t="e">
        <f ca="1">_xll.BDH($C$578,"SALES_GROWTH","FQ2 2016","FQ2 2016","Currency=INR","Period=FQ","BEST_FPERIOD_OVERRIDE=FQ","FILING_STATUS=OR","EQY_CONSOLIDATED=Y","FA_ADJUSTED=GAAP","Sort=A","Dates=H","DateFormat=P","Fill=—","Direction=H","UseDPDF=Y")</f>
        <v>#NAME?</v>
      </c>
      <c r="U590" s="2" t="e">
        <f ca="1">_xll.BDH($C$578,"EBITDA_GROWTH","FQ2 2016","FQ2 2016","Currency=INR","Period=FQ","BEST_FPERIOD_OVERRIDE=FQ","FILING_STATUS=OR","EQY_CONSOLIDATED=Y","FA_ADJUSTED=GAAP","Sort=A","Dates=H","DateFormat=P","Fill=—","Direction=H","UseDPDF=Y")</f>
        <v>#NAME?</v>
      </c>
      <c r="V590" s="2" t="e">
        <f ca="1">_xll.BDH($C$578,"OPER_INC_GROWTH","FQ2 2016","FQ2 2016","Currency=INR","Period=FQ","BEST_FPERIOD_OVERRIDE=FQ","FILING_STATUS=OR","EQY_CONSOLIDATED=Y","FA_ADJUSTED=GAAP","Sort=A","Dates=H","DateFormat=P","Fill=—","Direction=H","UseDPDF=Y")</f>
        <v>#NAME?</v>
      </c>
      <c r="W590" s="2" t="e">
        <f ca="1">_xll.BDH($C$578,"EARN_FOR_COM_GROWTH","FQ2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590" s="2" t="e">
        <f ca="1">_xll.BDH($C$578,"DILUTED_EPS_AFT_XO_ITEMS_GROWTH","FQ2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590" s="2" t="e">
        <f ca="1">_xll.BDH($C$578,"DIVIDEND_PER_SHARE_1_YEAR_GROWTH","FQ2 2016","FQ2 2016","Currency=INR","Period=FQ","BEST_FPERIOD_OVERRIDE=FQ","FILING_STATUS=OR","EQY_CONSOLIDATED=Y","Sort=A","Dates=H","DateFormat=P","Fill=—","Direction=H","UseDPDF=Y")</f>
        <v>#NAME?</v>
      </c>
      <c r="Z590" s="2" t="e">
        <f ca="1">_xll.BDH($C$578,"ACCOUNTS_RECEIVABLE_GROWTH","FQ2 2016","FQ2 2016","Currency=INR","Period=FQ","BEST_FPERIOD_OVERRIDE=FQ","FILING_STATUS=OR","EQY_CONSOLIDATED=Y","Sort=A","Dates=H","DateFormat=P","Fill=—","Direction=H","UseDPDF=Y")</f>
        <v>#NAME?</v>
      </c>
      <c r="AA590" s="2" t="e">
        <f ca="1">_xll.BDH($C$578,"INVENTORY_GROWTH","FQ2 2016","FQ2 2016","Currency=INR","Period=FQ","BEST_FPERIOD_OVERRIDE=FQ","FILING_STATUS=OR","EQY_CONSOLIDATED=Y","Sort=A","Dates=H","DateFormat=P","Fill=—","Direction=H","UseDPDF=Y")</f>
        <v>#NAME?</v>
      </c>
      <c r="AB590" s="2" t="e">
        <f ca="1">_xll.BDH($C$578,"NET_FIXED_ASSETS_1_YEAR_GROWTH","FQ2 2016","FQ2 2016","Currency=INR","Period=FQ","BEST_FPERIOD_OVERRIDE=FQ","FILING_STATUS=OR","EQY_CONSOLIDATED=Y","Sort=A","Dates=H","DateFormat=P","Fill=—","Direction=H","UseDPDF=Y")</f>
        <v>#NAME?</v>
      </c>
      <c r="AC590" s="2" t="e">
        <f ca="1">_xll.BDH($C$578,"ASSET_GROWTH","FQ2 2016","FQ2 2016","Currency=INR","Period=FQ","BEST_FPERIOD_OVERRIDE=FQ","FILING_STATUS=OR","EQY_CONSOLIDATED=Y","Sort=A","Dates=H","DateFormat=P","Fill=—","Direction=H","UseDPDF=Y")</f>
        <v>#NAME?</v>
      </c>
      <c r="AD590" s="2" t="e">
        <f ca="1">_xll.BDH($C$578,"MODIFIED_WORK_CAP_GROWTH","FQ2 2016","FQ2 2016","Currency=INR","Period=FQ","BEST_FPERIOD_OVERRIDE=FQ","FILING_STATUS=OR","EQY_CONSOLIDATED=Y","Sort=A","Dates=H","DateFormat=P","Fill=—","Direction=H","UseDPDF=Y")</f>
        <v>#NAME?</v>
      </c>
      <c r="AE590" s="2" t="e">
        <f ca="1">_xll.BDH($C$578,"WORK_CAP_GROWTH","FQ2 2016","FQ2 2016","Currency=INR","Period=FQ","BEST_FPERIOD_OVERRIDE=FQ","FILING_STATUS=OR","EQY_CONSOLIDATED=Y","Sort=A","Dates=H","DateFormat=P","Fill=—","Direction=H","UseDPDF=Y")</f>
        <v>#NAME?</v>
      </c>
      <c r="AF590" s="2" t="e">
        <f ca="1">_xll.BDH($C$578,"ACCOUNTS_PAYABLE_GROWTH_1YR","FQ2 2016","FQ2 2016","Currency=INR","Period=FQ","BEST_FPERIOD_OVERRIDE=FQ","FILING_STATUS=OR","EQY_CONSOLIDATED=Y","Sort=A","Dates=H","DateFormat=P","Fill=—","Direction=H","UseDPDF=Y")</f>
        <v>#NAME?</v>
      </c>
      <c r="AG590" s="2" t="e">
        <f ca="1">_xll.BDH($C$578,"SHORT_TERM_DEBT_1_YEAR_GROWTH","FQ2 2016","FQ2 2016","Currency=INR","Period=FQ","BEST_FPERIOD_OVERRIDE=FQ","FILING_STATUS=OR","EQY_CONSOLIDATED=Y","Sort=A","Dates=H","DateFormat=P","Fill=—","Direction=H","UseDPDF=Y")</f>
        <v>#NAME?</v>
      </c>
      <c r="AH590" s="2" t="e">
        <f ca="1">_xll.BDH($C$578,"TOTAL_DEBT_1_YEAR_GROWTH","FQ2 2016","FQ2 2016","Currency=INR","Period=FQ","BEST_FPERIOD_OVERRIDE=FQ","FILING_STATUS=OR","EQY_CONSOLIDATED=Y","Sort=A","Dates=H","DateFormat=P","Fill=—","Direction=H","UseDPDF=Y")</f>
        <v>#NAME?</v>
      </c>
      <c r="AI590" s="2" t="e">
        <f ca="1">_xll.BDH($C$578,"TOTAL_EQUITY_1_YEAR_GROWTH","FQ2 2016","FQ2 2016","Currency=INR","Period=FQ","BEST_FPERIOD_OVERRIDE=FQ","FILING_STATUS=OR","EQY_CONSOLIDATED=Y","Sort=A","Dates=H","DateFormat=P","Fill=—","Direction=H","UseDPDF=Y")</f>
        <v>#NAME?</v>
      </c>
      <c r="AJ590" s="2" t="e">
        <f ca="1">_xll.BDH($C$578,"GROWTH_IN_CAP","FQ2 2016","FQ2 2016","Currency=INR","Period=FQ","BEST_FPERIOD_OVERRIDE=FQ","FILING_STATUS=OR","EQY_CONSOLIDATED=Y","Sort=A","Dates=H","DateFormat=P","Fill=—","Direction=H","UseDPDF=Y")</f>
        <v>#NAME?</v>
      </c>
      <c r="AK590" s="2" t="e">
        <f ca="1">_xll.BDH($C$578,"BVPS_GROWTH","FQ2 2016","FQ2 2016","Currency=INR","Period=FQ","BEST_FPERIOD_OVERRIDE=FQ","FILING_STATUS=OR","EQY_CONSOLIDATED=Y","Sort=A","Dates=H","DateFormat=P","Fill=—","Direction=H","UseDPDF=Y")</f>
        <v>#NAME?</v>
      </c>
      <c r="AL590" s="2" t="e">
        <f ca="1">_xll.BDH($C$578,"CASH_FLOW_GROWTH","FQ2 2016","FQ2 2016","Currency=INR","Period=FQ","BEST_FPERIOD_OVERRIDE=FQ","FILING_STATUS=OR","EQY_CONSOLIDATED=Y","Sort=A","Dates=H","DateFormat=P","Fill=—","Direction=H","UseDPDF=Y")</f>
        <v>#NAME?</v>
      </c>
      <c r="AM590" s="2" t="e">
        <f ca="1">_xll.BDH($C$578,"GEO_GROW_NET_SALES","FQ2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590" s="2" t="e">
        <f ca="1">_xll.BDH($C$578,"GEO_GROW_EBITDA","FQ2 2016","FQ2 2016","Currency=INR","Period=FQ","BEST_FPERIOD_OVERRIDE=FQ","FILING_STATUS=OR","EQY_CONSOLIDATED=Y","FA_ADJUSTED=GAAP","Sort=A","Dates=H","DateFormat=P","Fill=—","Direction=H","UseDPDF=Y")</f>
        <v>#NAME?</v>
      </c>
      <c r="AO590" s="2" t="e">
        <f ca="1">_xll.BDH($C$578,"GEO_GROW_OPER_INC","FQ2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590" s="2" t="e">
        <f ca="1">_xll.BDH($C$578,"NET_INCOME_TO_COMMON_5_YR_GROWTH","FQ2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590" s="2" t="e">
        <f ca="1">_xll.BDH($C$578,"5Y_GEO_GROWTH_DILUTED_EPS","FQ2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590" s="2" t="e">
        <f ca="1">_xll.BDH($C$578,"GEO_GROW_DVD_PER_SH","FQ2 2016","FQ2 2016","Currency=INR","Period=FQ","BEST_FPERIOD_OVERRIDE=FQ","FILING_STATUS=OR","EQY_CONSOLIDATED=Y","Sort=A","Dates=H","DateFormat=P","Fill=—","Direction=H","UseDPDF=Y")</f>
        <v>#NAME?</v>
      </c>
      <c r="AS590" s="2" t="e">
        <f ca="1">_xll.BDH($C$578,"ACCOUNTS_RECEIVABLE_5_YR_GROWTH","FQ2 2016","FQ2 2016","Currency=INR","Period=FQ","BEST_FPERIOD_OVERRIDE=FQ","FILING_STATUS=OR","EQY_CONSOLIDATED=Y","Sort=A","Dates=H","DateFormat=P","Fill=—","Direction=H","UseDPDF=Y")</f>
        <v>#NAME?</v>
      </c>
      <c r="AT590" s="2" t="e">
        <f ca="1">_xll.BDH($C$578,"INVENTORY_5_YEAR_GROWTH","FQ2 2016","FQ2 2016","Currency=INR","Period=FQ","BEST_FPERIOD_OVERRIDE=FQ","FILING_STATUS=OR","EQY_CONSOLIDATED=Y","Sort=A","Dates=H","DateFormat=P","Fill=—","Direction=H","UseDPDF=Y")</f>
        <v>#NAME?</v>
      </c>
      <c r="AU590" s="2" t="e">
        <f ca="1">_xll.BDH($C$578,"NET_FIXED_ASSETS_5_YEAR_GROWTH","FQ2 2016","FQ2 2016","Currency=INR","Period=FQ","BEST_FPERIOD_OVERRIDE=FQ","FILING_STATUS=OR","EQY_CONSOLIDATED=Y","Sort=A","Dates=H","DateFormat=P","Fill=—","Direction=H","UseDPDF=Y")</f>
        <v>#NAME?</v>
      </c>
      <c r="AV590" s="2" t="e">
        <f ca="1">_xll.BDH($C$578,"GEO_GROW_TOT_ASSET","FQ2 2016","FQ2 2016","Currency=INR","Period=FQ","BEST_FPERIOD_OVERRIDE=FQ","FILING_STATUS=OR","EQY_CONSOLIDATED=Y","Sort=A","Dates=H","DateFormat=P","Fill=—","Direction=H","UseDPDF=Y")</f>
        <v>#NAME?</v>
      </c>
      <c r="AW590" s="2" t="e">
        <f ca="1">_xll.BDH($C$578,"MODIFIED_WORKING_CPTL_5YR_GRWTH","FQ2 2016","FQ2 2016","Currency=INR","Period=FQ","BEST_FPERIOD_OVERRIDE=FQ","FILING_STATUS=OR","EQY_CONSOLIDATED=Y","Sort=A","Dates=H","DateFormat=P","Fill=—","Direction=H","UseDPDF=Y")</f>
        <v>#NAME?</v>
      </c>
      <c r="AX590" s="2" t="e">
        <f ca="1">_xll.BDH($C$578,"WORKING_CAPITAL_5_YEAR_GROWTH","FQ2 2016","FQ2 2016","Currency=INR","Period=FQ","BEST_FPERIOD_OVERRIDE=FQ","FILING_STATUS=OR","EQY_CONSOLIDATED=Y","Sort=A","Dates=H","DateFormat=P","Fill=—","Direction=H","UseDPDF=Y")</f>
        <v>#NAME?</v>
      </c>
      <c r="AY590" s="2" t="e">
        <f ca="1">_xll.BDH($C$578,"ACCOUNTS_PAYABLE_5_YEAR_GROWTH","FQ2 2016","FQ2 2016","Currency=INR","Period=FQ","BEST_FPERIOD_OVERRIDE=FQ","FILING_STATUS=OR","EQY_CONSOLIDATED=Y","Sort=A","Dates=H","DateFormat=P","Fill=—","Direction=H","UseDPDF=Y")</f>
        <v>#NAME?</v>
      </c>
      <c r="AZ590" s="2" t="e">
        <f ca="1">_xll.BDH($C$578,"SHORT_TERM_DEBT_5_YEAR_GROWTH","FQ2 2016","FQ2 2016","Currency=INR","Period=FQ","BEST_FPERIOD_OVERRIDE=FQ","FILING_STATUS=OR","EQY_CONSOLIDATED=Y","Sort=A","Dates=H","DateFormat=P","Fill=—","Direction=H","UseDPDF=Y")</f>
        <v>#NAME?</v>
      </c>
      <c r="BA590" s="2" t="e">
        <f ca="1">_xll.BDH($C$578,"TOTAL_DEBT_5_YEAR_GROWTH","FQ2 2016","FQ2 2016","Currency=INR","Period=FQ","BEST_FPERIOD_OVERRIDE=FQ","FILING_STATUS=OR","EQY_CONSOLIDATED=Y","Sort=A","Dates=H","DateFormat=P","Fill=—","Direction=H","UseDPDF=Y")</f>
        <v>#NAME?</v>
      </c>
      <c r="BB590" s="2" t="e">
        <f ca="1">_xll.BDH($C$578,"GEO_GROW_TOT_SHRHLDR_EQY","FQ2 2016","FQ2 2016","Currency=INR","Period=FQ","BEST_FPERIOD_OVERRIDE=FQ","FILING_STATUS=OR","EQY_CONSOLIDATED=Y","Sort=A","Dates=H","DateFormat=P","Fill=—","Direction=H","UseDPDF=Y")</f>
        <v>#NAME?</v>
      </c>
      <c r="BC590" s="2" t="e">
        <f ca="1">_xll.BDH($C$578,"TOTAL_CAPITAL_5_YEAR_GROWTH","FQ2 2016","FQ2 2016","Currency=INR","Period=FQ","BEST_FPERIOD_OVERRIDE=FQ","FILING_STATUS=OR","EQY_CONSOLIDATED=Y","Sort=A","Dates=H","DateFormat=P","Fill=—","Direction=H","UseDPDF=Y")</f>
        <v>#NAME?</v>
      </c>
      <c r="BD590" s="2" t="e">
        <f ca="1">_xll.BDH($C$578,"GEO_GROW_BOOK_VAL","FQ2 2016","FQ2 2016","Currency=INR","Period=FQ","BEST_FPERIOD_OVERRIDE=FQ","FILING_STATUS=OR","EQY_CONSOLIDATED=Y","Sort=A","Dates=H","DateFormat=P","Fill=—","Direction=H","UseDPDF=Y")</f>
        <v>#NAME?</v>
      </c>
      <c r="BE590" s="2" t="e">
        <f ca="1">_xll.BDH($C$578,"GEO_GROW_CASH_OPER_ACT","FQ2 2016","FQ2 2016","Currency=INR","Period=FQ","BEST_FPERIOD_OVERRIDE=FQ","FILING_STATUS=OR","EQY_CONSOLIDATED=Y","Sort=A","Dates=H","DateFormat=P","Fill=—","Direction=H","UseDPDF=Y")</f>
        <v>#NAME?</v>
      </c>
      <c r="BF590" s="2" t="e">
        <f ca="1">_xll.BDH($C$578,"REVENUE_SEQUENTIAL_GROWTH","FQ2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590" s="2" t="e">
        <f ca="1">_xll.BDH($C$578,"EBITDA_SEQUENTIAL_GROWTH","FQ2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590" s="2" t="e">
        <f ca="1">_xll.BDH($C$578,"OPERATING_INCOME_SEQ_GROWTH","FQ2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590" s="2" t="e">
        <f ca="1">_xll.BDH($C$578,"NET_INCOME_TO_COMMON_SEQ_GROWTH","FQ2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590" s="2" t="e">
        <f ca="1">_xll.BDH($C$578,"EPS_DILUTED_SEQUENTIAL_GROWTH","FQ2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590" s="2" t="e">
        <f ca="1">_xll.BDH($C$578,"DPS_SEQUENTIAL_GROWTH","FQ2 2016","FQ2 2016","Currency=INR","Period=FQ","BEST_FPERIOD_OVERRIDE=FQ","FILING_STATUS=OR","EQY_CONSOLIDATED=Y","Sort=A","Dates=H","DateFormat=P","Fill=—","Direction=H","UseDPDF=Y")</f>
        <v>#NAME?</v>
      </c>
      <c r="BL590" s="2" t="e">
        <f ca="1">_xll.BDH($C$578,"ACCOUNTS_RECEIVABLE_SEQ_GROWTH","FQ2 2016","FQ2 2016","Currency=INR","Period=FQ","BEST_FPERIOD_OVERRIDE=FQ","FILING_STATUS=OR","EQY_CONSOLIDATED=Y","Sort=A","Dates=H","DateFormat=P","Fill=—","Direction=H","UseDPDF=Y")</f>
        <v>#NAME?</v>
      </c>
      <c r="BM590" s="2" t="e">
        <f ca="1">_xll.BDH($C$578,"INVENTORY_SEQUENTIAL_GROWTH","FQ2 2016","FQ2 2016","Currency=INR","Period=FQ","BEST_FPERIOD_OVERRIDE=FQ","FILING_STATUS=OR","EQY_CONSOLIDATED=Y","Sort=A","Dates=H","DateFormat=P","Fill=—","Direction=H","UseDPDF=Y")</f>
        <v>#NAME?</v>
      </c>
      <c r="BN590" s="2" t="e">
        <f ca="1">_xll.BDH($C$578,"FIXED_ASSETS_SEQUENTIAL_GROWTH","FQ2 2016","FQ2 2016","Currency=INR","Period=FQ","BEST_FPERIOD_OVERRIDE=FQ","FILING_STATUS=OR","EQY_CONSOLIDATED=Y","Sort=A","Dates=H","DateFormat=P","Fill=—","Direction=H","UseDPDF=Y")</f>
        <v>#NAME?</v>
      </c>
      <c r="BO590" s="2" t="e">
        <f ca="1">_xll.BDH($C$578,"TOTAL_ASSETS_SEQUENTIAL_GROWTH","FQ2 2016","FQ2 2016","Currency=INR","Period=FQ","BEST_FPERIOD_OVERRIDE=FQ","FILING_STATUS=OR","EQY_CONSOLIDATED=Y","Sort=A","Dates=H","DateFormat=P","Fill=—","Direction=H","UseDPDF=Y")</f>
        <v>#NAME?</v>
      </c>
      <c r="BP590" s="2" t="e">
        <f ca="1">_xll.BDH($C$578,"MODIFIED_WORKING_CPTL_SEQ_GRWTH","FQ2 2016","FQ2 2016","Currency=INR","Period=FQ","BEST_FPERIOD_OVERRIDE=FQ","FILING_STATUS=OR","EQY_CONSOLIDATED=Y","Sort=A","Dates=H","DateFormat=P","Fill=—","Direction=H","UseDPDF=Y")</f>
        <v>#NAME?</v>
      </c>
      <c r="BQ590" s="2" t="e">
        <f ca="1">_xll.BDH($C$578,"WORKING_CAPITAL_SEQ_GROWTH","FQ2 2016","FQ2 2016","Currency=INR","Period=FQ","BEST_FPERIOD_OVERRIDE=FQ","FILING_STATUS=OR","EQY_CONSOLIDATED=Y","Sort=A","Dates=H","DateFormat=P","Fill=—","Direction=H","UseDPDF=Y")</f>
        <v>#NAME?</v>
      </c>
      <c r="BR590" s="2" t="e">
        <f ca="1">_xll.BDH($C$578,"ACCOUNTS_PAYABLE_SEQ_GROWTH","FQ2 2016","FQ2 2016","Currency=INR","Period=FQ","BEST_FPERIOD_OVERRIDE=FQ","FILING_STATUS=OR","EQY_CONSOLIDATED=Y","Sort=A","Dates=H","DateFormat=P","Fill=—","Direction=H","UseDPDF=Y")</f>
        <v>#NAME?</v>
      </c>
      <c r="BS590" s="2" t="e">
        <f ca="1">_xll.BDH($C$578,"ST_DEBT_SEQUENTIAL_GROWTH","FQ2 2016","FQ2 2016","Currency=INR","Period=FQ","BEST_FPERIOD_OVERRIDE=FQ","FILING_STATUS=OR","EQY_CONSOLIDATED=Y","Sort=A","Dates=H","DateFormat=P","Fill=—","Direction=H","UseDPDF=Y")</f>
        <v>#NAME?</v>
      </c>
      <c r="BT590" s="2" t="e">
        <f ca="1">_xll.BDH($C$578,"TOTAL_DEBT_SEQUENTIAL_GROWTH","FQ2 2016","FQ2 2016","Currency=INR","Period=FQ","BEST_FPERIOD_OVERRIDE=FQ","FILING_STATUS=OR","EQY_CONSOLIDATED=Y","Sort=A","Dates=H","DateFormat=P","Fill=—","Direction=H","UseDPDF=Y")</f>
        <v>#NAME?</v>
      </c>
      <c r="BU590" s="2" t="e">
        <f ca="1">_xll.BDH($C$578,"TOTAL_EQUITY_SEQUENTIAL_GROWTH","FQ2 2016","FQ2 2016","Currency=INR","Period=FQ","BEST_FPERIOD_OVERRIDE=FQ","FILING_STATUS=OR","EQY_CONSOLIDATED=Y","Sort=A","Dates=H","DateFormat=P","Fill=—","Direction=H","UseDPDF=Y")</f>
        <v>#NAME?</v>
      </c>
      <c r="BV590" s="2" t="e">
        <f ca="1">_xll.BDH($C$578,"TOTAL_CAPITAL_SEQUENTIAL_GROWTH","FQ2 2016","FQ2 2016","Currency=INR","Period=FQ","BEST_FPERIOD_OVERRIDE=FQ","FILING_STATUS=OR","EQY_CONSOLIDATED=Y","Sort=A","Dates=H","DateFormat=P","Fill=—","Direction=H","UseDPDF=Y")</f>
        <v>#NAME?</v>
      </c>
      <c r="BW590" s="2" t="e">
        <f ca="1">_xll.BDH($C$578,"BPS_SEQUENTIAL_GROWTH","FQ2 2016","FQ2 2016","Currency=INR","Period=FQ","BEST_FPERIOD_OVERRIDE=FQ","FILING_STATUS=OR","EQY_CONSOLIDATED=Y","Sort=A","Dates=H","DateFormat=P","Fill=—","Direction=H","UseDPDF=Y")</f>
        <v>#NAME?</v>
      </c>
      <c r="BX590" s="2" t="e">
        <f ca="1">_xll.BDH($C$578,"CFO_SEQUENTIAL_GROWTH","FQ2 2016","FQ2 2016","Currency=INR","Period=FQ","BEST_FPERIOD_OVERRIDE=FQ","FILING_STATUS=OR","EQY_CONSOLIDATED=Y","Sort=A","Dates=H","DateFormat=P","Fill=—","Direction=H","UseDPDF=Y")</f>
        <v>#NAME?</v>
      </c>
      <c r="BY590" s="3" t="e">
        <f ca="1">_xll.BDH($C$578,"SHORT_AND_LONG_TERM_DEBT","FQ2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590" s="3" t="e">
        <f ca="1">_xll.BDH($C$578,"BS_ST_BORROW","FQ2 2016","FQ2 2016","Currency=INR","Period=FQ","BEST_FPERIOD_OVERRIDE=FQ","FILING_STATUS=OR","EQY_CONSOLIDATED=Y","SCALING_FORMAT=MLN","Sort=A","Dates=H","DateFormat=P","Fill=—","Direction=H","UseDPDF=Y")</f>
        <v>#NAME?</v>
      </c>
      <c r="CA590" s="3" t="e">
        <f ca="1">_xll.BDH($C$578,"BS_LT_BORROW","FQ2 2016","FQ2 2016","Currency=INR","Period=FQ","BEST_FPERIOD_OVERRIDE=FQ","FILING_STATUS=OR","EQY_CONSOLIDATED=Y","SCALING_FORMAT=MLN","Sort=A","Dates=H","DateFormat=P","Fill=—","Direction=H","UseDPDF=Y")</f>
        <v>#NAME?</v>
      </c>
      <c r="CB590" s="2" t="e">
        <f ca="1">_xll.BDH($C$578,"TOT_DEBT_TO_EBITDA","FQ2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590" s="2" t="e">
        <f ca="1">_xll.BDH($C$578,"NET_DEBT_TO_EBITDA","FQ2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590" s="2" t="e">
        <f ca="1">_xll.BDH($C$578,"TOTAL_DEBT_TO_EBIT","FQ2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590" s="2" t="e">
        <f ca="1">_xll.BDH($C$578,"NET_DEBT_TO_EBIT","FQ2 2016","FQ2 2016","Currency=INR","Period=FQ","BEST_FPERIOD_OVERRIDE=FQ","FILING_STATUS=OR","EQY_CONSOLIDATED=Y","FA_ADJUSTED=GAAP","Sort=A","Dates=H","DateFormat=P","Fill=—","Direction=H","UseDPDF=Y")</f>
        <v>#NAME?</v>
      </c>
      <c r="CF590" s="2" t="e">
        <f ca="1">_xll.BDH($C$578,"EBITDA_TO_INTEREST_EXPN","FQ2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590" s="2" t="e">
        <f ca="1">_xll.BDH($C$578,"COM_EQY_TO_TOT_ASSET","FQ2 2016","FQ2 2016","Currency=INR","Period=FQ","BEST_FPERIOD_OVERRIDE=FQ","FILING_STATUS=OR","EQY_CONSOLIDATED=Y","Sort=A","Dates=H","DateFormat=P","Fill=—","Direction=H","UseDPDF=Y")</f>
        <v>#NAME?</v>
      </c>
      <c r="CH590" s="2" t="e">
        <f ca="1">_xll.BDH($C$578,"LT_DEBT_TO_TOT_EQY","FQ2 2016","FQ2 2016","Currency=INR","Period=FQ","BEST_FPERIOD_OVERRIDE=FQ","FILING_STATUS=OR","EQY_CONSOLIDATED=Y","Sort=A","Dates=H","DateFormat=P","Fill=—","Direction=H","UseDPDF=Y")</f>
        <v>#NAME?</v>
      </c>
      <c r="CI590" s="2" t="e">
        <f ca="1">_xll.BDH($C$578,"LT_DEBT_TO_TOT_CAP","FQ2 2016","FQ2 2016","Currency=INR","Period=FQ","BEST_FPERIOD_OVERRIDE=FQ","FILING_STATUS=OR","EQY_CONSOLIDATED=Y","Sort=A","Dates=H","DateFormat=P","Fill=—","Direction=H","UseDPDF=Y")</f>
        <v>#NAME?</v>
      </c>
      <c r="CJ590" s="2" t="e">
        <f ca="1">_xll.BDH($C$578,"LT_DEBT_TO_TOT_ASSET","FQ2 2016","FQ2 2016","Currency=INR","Period=FQ","BEST_FPERIOD_OVERRIDE=FQ","FILING_STATUS=OR","EQY_CONSOLIDATED=Y","Sort=A","Dates=H","DateFormat=P","Fill=—","Direction=H","UseDPDF=Y")</f>
        <v>#NAME?</v>
      </c>
      <c r="CK590" s="2" t="e">
        <f ca="1">_xll.BDH($C$578,"TOT_DEBT_TO_TOT_EQY","FQ2 2016","FQ2 2016","Currency=INR","Period=FQ","BEST_FPERIOD_OVERRIDE=FQ","FILING_STATUS=OR","EQY_CONSOLIDATED=Y","Sort=A","Dates=H","DateFormat=P","Fill=—","Direction=H","UseDPDF=Y")</f>
        <v>#NAME?</v>
      </c>
      <c r="CL590" s="2" t="e">
        <f ca="1">_xll.BDH($C$578,"TOT_DEBT_TO_TOT_CAP","FQ2 2016","FQ2 2016","Currency=INR","Period=FQ","BEST_FPERIOD_OVERRIDE=FQ","FILING_STATUS=OR","EQY_CONSOLIDATED=Y","Sort=A","Dates=H","DateFormat=P","Fill=—","Direction=H","UseDPDF=Y")</f>
        <v>#NAME?</v>
      </c>
      <c r="CM590" s="2" t="e">
        <f ca="1">_xll.BDH($C$578,"TOT_DEBT_TO_TOT_ASSET","FQ2 2016","FQ2 2016","Currency=INR","Period=FQ","BEST_FPERIOD_OVERRIDE=FQ","FILING_STATUS=OR","EQY_CONSOLIDATED=Y","Sort=A","Dates=H","DateFormat=P","Fill=—","Direction=H","UseDPDF=Y")</f>
        <v>#NAME?</v>
      </c>
      <c r="CN590" s="2" t="e">
        <f ca="1">_xll.BDH($C$578,"NET_DEBT_TO_SHRHLDR_EQTY","FQ2 2016","FQ2 2016","Currency=INR","Period=FQ","BEST_FPERIOD_OVERRIDE=FQ","FILING_STATUS=OR","EQY_CONSOLIDATED=Y","Sort=A","Dates=H","DateFormat=P","Fill=—","Direction=H","UseDPDF=Y")</f>
        <v>#NAME?</v>
      </c>
      <c r="CO590" s="2" t="e">
        <f ca="1">_xll.BDH($C$578,"NET_DEBT_%_CAPITAL","FQ2 2016","FQ2 2016","Currency=INR","Period=FQ","BEST_FPERIOD_OVERRIDE=FQ","FILING_STATUS=OR","EQY_CONSOLIDATED=Y","Sort=A","Dates=H","DateFormat=P","Fill=—","Direction=H","UseDPDF=Y")</f>
        <v>#NAME?</v>
      </c>
      <c r="CP590" s="3" t="e">
        <f ca="1">_xll.BDH($C$578,"EBITDA","FQ2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590" s="3" t="e">
        <f ca="1">_xll.BDH($C$578,"EBITDA_AFTER_CAPEX","FQ2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590" s="3" t="e">
        <f ca="1">_xll.BDH($C$578,"IS_OPER_INC","FQ2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590" s="2" t="e">
        <f ca="1">_xll.BDH($C$578,"CASH_RATIO","FQ2 2016","FQ2 2016","Currency=INR","Period=FQ","BEST_FPERIOD_OVERRIDE=FQ","FILING_STATUS=OR","EQY_CONSOLIDATED=Y","Sort=A","Dates=H","DateFormat=P","Fill=—","Direction=H","UseDPDF=Y")</f>
        <v>#NAME?</v>
      </c>
      <c r="CT590" s="2" t="e">
        <f ca="1">_xll.BDH($C$578,"CUR_RATIO","FQ2 2016","FQ2 2016","Currency=INR","Period=FQ","BEST_FPERIOD_OVERRIDE=FQ","FILING_STATUS=OR","EQY_CONSOLIDATED=Y","Sort=A","Dates=H","DateFormat=P","Fill=—","Direction=H","UseDPDF=Y")</f>
        <v>#NAME?</v>
      </c>
      <c r="CU590" s="2" t="e">
        <f ca="1">_xll.BDH($C$578,"QUICK_RATIO","FQ2 2016","FQ2 2016","Currency=INR","Period=FQ","BEST_FPERIOD_OVERRIDE=FQ","FILING_STATUS=OR","EQY_CONSOLIDATED=Y","Sort=A","Dates=H","DateFormat=P","Fill=—","Direction=H","UseDPDF=Y")</f>
        <v>#NAME?</v>
      </c>
      <c r="CV590" s="2" t="e">
        <f ca="1">_xll.BDH($C$578,"ALTMAN_Z_SCORE","FQ2 2016","FQ2 2016","Currency=INR","Period=FQ","BEST_FPERIOD_OVERRIDE=FQ","FILING_STATUS=OR","EQY_CONSOLIDATED=Y","Sort=A","Dates=H","DateFormat=P","Fill=—","Direction=H","UseDPDF=Y")</f>
        <v>#NAME?</v>
      </c>
      <c r="CW590" s="4" t="e">
        <f ca="1">_xll.BDH($C$578,"ACCT_RCV_TURN","FQ2 2016","FQ2 2016","Currency=INR","Period=FQ","BEST_FPERIOD_OVERRIDE=FQ","FILING_STATUS=OR","EQY_CONSOLIDATED=Y","FA_ADJUSTED=GAAP","Sort=A","Dates=H","DateFormat=P","Fill=—","Direction=H","UseDPDF=Y")</f>
        <v>#NAME?</v>
      </c>
      <c r="CX590" s="2" t="e">
        <f ca="1">_xll.BDH($C$578,"ACCT_RCV_DAYS","FQ2 2016","FQ2 2016","Currency=INR","Period=FQ","BEST_FPERIOD_OVERRIDE=FQ","FILING_STATUS=OR","EQY_CONSOLIDATED=Y","FA_ADJUSTED=GAAP","Sort=A","Dates=H","DateFormat=P","Fill=—","Direction=H","UseDPDF=Y")</f>
        <v>#NAME?</v>
      </c>
      <c r="CY590" s="4" t="e">
        <f ca="1">_xll.BDH($C$578,"INVENT_TURN","FQ2 2016","FQ2 2016","Currency=INR","Period=FQ","BEST_FPERIOD_OVERRIDE=FQ","FILING_STATUS=OR","EQY_CONSOLIDATED=Y","FA_ADJUSTED=GAAP","Sort=A","Dates=H","DateFormat=P","Fill=—","Direction=H","UseDPDF=Y")</f>
        <v>#NAME?</v>
      </c>
      <c r="CZ590" s="2" t="e">
        <f ca="1">_xll.BDH($C$578,"INVENT_DAYS","FQ2 2016","FQ2 2016","Currency=INR","Period=FQ","BEST_FPERIOD_OVERRIDE=FQ","FILING_STATUS=OR","EQY_CONSOLIDATED=Y","FA_ADJUSTED=GAAP","Sort=A","Dates=H","DateFormat=P","Fill=—","Direction=H","UseDPDF=Y")</f>
        <v>#NAME?</v>
      </c>
      <c r="DA590" s="4" t="e">
        <f ca="1">_xll.BDH($C$578,"ACCOUNTS_PAYABLE_TURNOVER","FQ2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590" s="2" t="e">
        <f ca="1">_xll.BDH($C$578,"ACCOUNTS_PAYABLE_TURNOVER_DAYS","FQ2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590" s="4" t="e">
        <f ca="1">_xll.BDH($C$578,"CASH_CONVERSION_CYCLE","FQ2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590" s="4" t="e">
        <f ca="1">_xll.BDH($C$578,"INV_TO_CASH_DAYS","FQ2 2016","FQ2 2016","Currency=INR","Period=FQ","BEST_FPERIOD_OVERRIDE=FQ","FILING_STATUS=OR","EQY_CONSOLIDATED=Y","FA_ADJUSTED=GAAP","Sort=A","Dates=H","DateFormat=P","Fill=—","Direction=H","UseDPDF=Y")</f>
        <v>#NAME?</v>
      </c>
      <c r="DE590" s="5" t="e">
        <f ca="1">_xll.BDH($C$578,"BS_INVENTORIES","FQ2 2016","FQ2 2016","Currency=INR","Period=FQ","BEST_FPERIOD_OVERRIDE=FQ","FILING_STATUS=OR","EQY_CONSOLIDATED=Y","SCALING_FORMAT=MLN","Sort=A","Dates=H","DateFormat=P","Fill=—","Direction=H","UseDPDF=Y")</f>
        <v>#NAME?</v>
      </c>
      <c r="DF590" s="3" t="e">
        <f ca="1">_xll.BDH($C$578,"INVTRY_RAW_MATERIALS","FQ2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590" s="3" t="e">
        <f ca="1">_xll.BDH($C$578,"INVTRY_IN_PROGRESS","FQ2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590" s="3" t="e">
        <f ca="1">_xll.BDH($C$578,"INVTRY_FINISHED_GOODS","FQ2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590" s="3" t="e">
        <f ca="1">_xll.BDH($C$578,"BS_OTHER_INV","FQ2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591" spans="1:113" x14ac:dyDescent="0.3">
      <c r="A591" s="6"/>
      <c r="B591" s="6"/>
      <c r="C591" s="6"/>
      <c r="D591" s="6"/>
      <c r="E591" t="s">
        <v>80</v>
      </c>
      <c r="F591" t="e">
        <f ca="1">_xll.BDH($C$578,"RETURN_COM_EQY","FQ3 2016","FQ3 2016","Currency=INR","Period=FQ","BEST_FPERIOD_OVERRIDE=FQ","FILING_STATUS=OR","EQY_CONSOLIDATED=Y","FA_ADJUSTED=GAAP","Sort=A","Dates=H","DateFormat=P","Fill=—","Direction=H","UseDPDF=Y")</f>
        <v>#NAME?</v>
      </c>
      <c r="G591" t="e">
        <f ca="1">_xll.BDH($C$578,"RETURN_ON_ASSET","FQ3 2016","FQ3 2016","Currency=INR","Period=FQ","BEST_FPERIOD_OVERRIDE=FQ","FILING_STATUS=OR","EQY_CONSOLIDATED=Y","FA_ADJUSTED=GAAP","Sort=A","Dates=H","DateFormat=P","Fill=—","Direction=H","UseDPDF=Y")</f>
        <v>#NAME?</v>
      </c>
      <c r="H591" t="e">
        <f ca="1">_xll.BDH($C$578,"RETURN_ON_CAP","FQ3 2016","FQ3 2016","Currency=INR","Period=FQ","BEST_FPERIOD_OVERRIDE=FQ","FILING_STATUS=OR","EQY_CONSOLIDATED=Y","FA_ADJUSTED=GAAP","Sort=A","Dates=H","DateFormat=P","Fill=—","Direction=H","UseDPDF=Y")</f>
        <v>#NAME?</v>
      </c>
      <c r="I591" t="e">
        <f ca="1">_xll.BDH($C$578,"RETURN_ON_INV_CAPITAL","FQ3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591" t="e">
        <f ca="1">_xll.BDH($C$578,"EBITDA_TO_REVENUE","FQ3 2016","FQ3 2016","Currency=INR","Period=FQ","BEST_FPERIOD_OVERRIDE=FQ","FILING_STATUS=OR","EQY_CONSOLIDATED=Y","FA_ADJUSTED=GAAP","Sort=A","Dates=H","DateFormat=P","Fill=—","Direction=H","UseDPDF=Y")</f>
        <v>#NAME?</v>
      </c>
      <c r="K591" t="e">
        <f ca="1">_xll.BDH($C$578,"OPER_MARGIN","FQ3 2016","FQ3 2016","Currency=INR","Period=FQ","BEST_FPERIOD_OVERRIDE=FQ","FILING_STATUS=OR","EQY_CONSOLIDATED=Y","FA_ADJUSTED=GAAP","Sort=A","Dates=H","DateFormat=P","Fill=—","Direction=H","UseDPDF=Y")</f>
        <v>#NAME?</v>
      </c>
      <c r="L591" t="e">
        <f ca="1">_xll.BDH($C$578,"INCREMENTAL_OPERATING_MARGIN","FQ3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591" t="e">
        <f ca="1">_xll.BDH($C$578,"PRETAX_INC_TO_NET_SALES","FQ3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591" t="e">
        <f ca="1">_xll.BDH($C$578,"INC_BEF_XO_ITEMS_TO_NET_SALES","FQ3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591" t="e">
        <f ca="1">_xll.BDH($C$578,"PROF_MARGIN","FQ3 2016","FQ3 2016","Currency=INR","Period=FQ","BEST_FPERIOD_OVERRIDE=FQ","FILING_STATUS=OR","EQY_CONSOLIDATED=Y","FA_ADJUSTED=GAAP","Sort=A","Dates=H","DateFormat=P","Fill=—","Direction=H","UseDPDF=Y")</f>
        <v>#NAME?</v>
      </c>
      <c r="P591" t="e">
        <f ca="1">_xll.BDH($C$578,"NET_INCOME_TO_COMMON_MARGIN","FQ3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591" t="e">
        <f ca="1">_xll.BDH($C$578,"EFF_TAX_RATE","FQ3 2016","FQ3 2016","Currency=INR","Period=FQ","BEST_FPERIOD_OVERRIDE=FQ","FILING_STATUS=OR","EQY_CONSOLIDATED=Y","FA_ADJUSTED=GAAP","Sort=A","Dates=H","DateFormat=P","Fill=—","Direction=H","UseDPDF=Y")</f>
        <v>#NAME?</v>
      </c>
      <c r="R591" t="e">
        <f ca="1">_xll.BDH($C$578,"DVD_PAYOUT_RATIO","FQ3 2016","FQ3 2016","Currency=INR","Period=FQ","BEST_FPERIOD_OVERRIDE=FQ","FILING_STATUS=OR","EQY_CONSOLIDATED=Y","FA_ADJUSTED=GAAP","Sort=A","Dates=H","DateFormat=P","Fill=—","Direction=H","UseDPDF=Y")</f>
        <v>#NAME?</v>
      </c>
      <c r="S591" t="e">
        <f ca="1">_xll.BDH($C$578,"SUSTAIN_GROWTH_RT","FQ3 2016","FQ3 2016","Currency=INR","Period=FQ","BEST_FPERIOD_OVERRIDE=FQ","FILING_STATUS=OR","EQY_CONSOLIDATED=Y","FA_ADJUSTED=GAAP","Sort=A","Dates=H","DateFormat=P","Fill=—","Direction=H","UseDPDF=Y")</f>
        <v>#NAME?</v>
      </c>
      <c r="T591" s="2" t="e">
        <f ca="1">_xll.BDH($C$578,"SALES_GROWTH","FQ3 2016","FQ3 2016","Currency=INR","Period=FQ","BEST_FPERIOD_OVERRIDE=FQ","FILING_STATUS=OR","EQY_CONSOLIDATED=Y","FA_ADJUSTED=GAAP","Sort=A","Dates=H","DateFormat=P","Fill=—","Direction=H","UseDPDF=Y")</f>
        <v>#NAME?</v>
      </c>
      <c r="U591" s="2" t="e">
        <f ca="1">_xll.BDH($C$578,"EBITDA_GROWTH","FQ3 2016","FQ3 2016","Currency=INR","Period=FQ","BEST_FPERIOD_OVERRIDE=FQ","FILING_STATUS=OR","EQY_CONSOLIDATED=Y","FA_ADJUSTED=GAAP","Sort=A","Dates=H","DateFormat=P","Fill=—","Direction=H","UseDPDF=Y")</f>
        <v>#NAME?</v>
      </c>
      <c r="V591" s="2" t="e">
        <f ca="1">_xll.BDH($C$578,"OPER_INC_GROWTH","FQ3 2016","FQ3 2016","Currency=INR","Period=FQ","BEST_FPERIOD_OVERRIDE=FQ","FILING_STATUS=OR","EQY_CONSOLIDATED=Y","FA_ADJUSTED=GAAP","Sort=A","Dates=H","DateFormat=P","Fill=—","Direction=H","UseDPDF=Y")</f>
        <v>#NAME?</v>
      </c>
      <c r="W591" s="2" t="e">
        <f ca="1">_xll.BDH($C$578,"EARN_FOR_COM_GROWTH","FQ3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591" s="2" t="e">
        <f ca="1">_xll.BDH($C$578,"DILUTED_EPS_AFT_XO_ITEMS_GROWTH","FQ3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591" s="2" t="e">
        <f ca="1">_xll.BDH($C$578,"DIVIDEND_PER_SHARE_1_YEAR_GROWTH","FQ3 2016","FQ3 2016","Currency=INR","Period=FQ","BEST_FPERIOD_OVERRIDE=FQ","FILING_STATUS=OR","EQY_CONSOLIDATED=Y","Sort=A","Dates=H","DateFormat=P","Fill=—","Direction=H","UseDPDF=Y")</f>
        <v>#NAME?</v>
      </c>
      <c r="Z591" s="2" t="e">
        <f ca="1">_xll.BDH($C$578,"ACCOUNTS_RECEIVABLE_GROWTH","FQ3 2016","FQ3 2016","Currency=INR","Period=FQ","BEST_FPERIOD_OVERRIDE=FQ","FILING_STATUS=OR","EQY_CONSOLIDATED=Y","Sort=A","Dates=H","DateFormat=P","Fill=—","Direction=H","UseDPDF=Y")</f>
        <v>#NAME?</v>
      </c>
      <c r="AA591" s="2" t="e">
        <f ca="1">_xll.BDH($C$578,"INVENTORY_GROWTH","FQ3 2016","FQ3 2016","Currency=INR","Period=FQ","BEST_FPERIOD_OVERRIDE=FQ","FILING_STATUS=OR","EQY_CONSOLIDATED=Y","Sort=A","Dates=H","DateFormat=P","Fill=—","Direction=H","UseDPDF=Y")</f>
        <v>#NAME?</v>
      </c>
      <c r="AB591" s="2" t="e">
        <f ca="1">_xll.BDH($C$578,"NET_FIXED_ASSETS_1_YEAR_GROWTH","FQ3 2016","FQ3 2016","Currency=INR","Period=FQ","BEST_FPERIOD_OVERRIDE=FQ","FILING_STATUS=OR","EQY_CONSOLIDATED=Y","Sort=A","Dates=H","DateFormat=P","Fill=—","Direction=H","UseDPDF=Y")</f>
        <v>#NAME?</v>
      </c>
      <c r="AC591" s="2" t="e">
        <f ca="1">_xll.BDH($C$578,"ASSET_GROWTH","FQ3 2016","FQ3 2016","Currency=INR","Period=FQ","BEST_FPERIOD_OVERRIDE=FQ","FILING_STATUS=OR","EQY_CONSOLIDATED=Y","Sort=A","Dates=H","DateFormat=P","Fill=—","Direction=H","UseDPDF=Y")</f>
        <v>#NAME?</v>
      </c>
      <c r="AD591" s="2" t="e">
        <f ca="1">_xll.BDH($C$578,"MODIFIED_WORK_CAP_GROWTH","FQ3 2016","FQ3 2016","Currency=INR","Period=FQ","BEST_FPERIOD_OVERRIDE=FQ","FILING_STATUS=OR","EQY_CONSOLIDATED=Y","Sort=A","Dates=H","DateFormat=P","Fill=—","Direction=H","UseDPDF=Y")</f>
        <v>#NAME?</v>
      </c>
      <c r="AE591" s="2" t="e">
        <f ca="1">_xll.BDH($C$578,"WORK_CAP_GROWTH","FQ3 2016","FQ3 2016","Currency=INR","Period=FQ","BEST_FPERIOD_OVERRIDE=FQ","FILING_STATUS=OR","EQY_CONSOLIDATED=Y","Sort=A","Dates=H","DateFormat=P","Fill=—","Direction=H","UseDPDF=Y")</f>
        <v>#NAME?</v>
      </c>
      <c r="AF591" s="2" t="e">
        <f ca="1">_xll.BDH($C$578,"ACCOUNTS_PAYABLE_GROWTH_1YR","FQ3 2016","FQ3 2016","Currency=INR","Period=FQ","BEST_FPERIOD_OVERRIDE=FQ","FILING_STATUS=OR","EQY_CONSOLIDATED=Y","Sort=A","Dates=H","DateFormat=P","Fill=—","Direction=H","UseDPDF=Y")</f>
        <v>#NAME?</v>
      </c>
      <c r="AG591" s="2" t="e">
        <f ca="1">_xll.BDH($C$578,"SHORT_TERM_DEBT_1_YEAR_GROWTH","FQ3 2016","FQ3 2016","Currency=INR","Period=FQ","BEST_FPERIOD_OVERRIDE=FQ","FILING_STATUS=OR","EQY_CONSOLIDATED=Y","Sort=A","Dates=H","DateFormat=P","Fill=—","Direction=H","UseDPDF=Y")</f>
        <v>#NAME?</v>
      </c>
      <c r="AH591" s="2" t="e">
        <f ca="1">_xll.BDH($C$578,"TOTAL_DEBT_1_YEAR_GROWTH","FQ3 2016","FQ3 2016","Currency=INR","Period=FQ","BEST_FPERIOD_OVERRIDE=FQ","FILING_STATUS=OR","EQY_CONSOLIDATED=Y","Sort=A","Dates=H","DateFormat=P","Fill=—","Direction=H","UseDPDF=Y")</f>
        <v>#NAME?</v>
      </c>
      <c r="AI591" s="2" t="e">
        <f ca="1">_xll.BDH($C$578,"TOTAL_EQUITY_1_YEAR_GROWTH","FQ3 2016","FQ3 2016","Currency=INR","Period=FQ","BEST_FPERIOD_OVERRIDE=FQ","FILING_STATUS=OR","EQY_CONSOLIDATED=Y","Sort=A","Dates=H","DateFormat=P","Fill=—","Direction=H","UseDPDF=Y")</f>
        <v>#NAME?</v>
      </c>
      <c r="AJ591" s="2" t="e">
        <f ca="1">_xll.BDH($C$578,"GROWTH_IN_CAP","FQ3 2016","FQ3 2016","Currency=INR","Period=FQ","BEST_FPERIOD_OVERRIDE=FQ","FILING_STATUS=OR","EQY_CONSOLIDATED=Y","Sort=A","Dates=H","DateFormat=P","Fill=—","Direction=H","UseDPDF=Y")</f>
        <v>#NAME?</v>
      </c>
      <c r="AK591" s="2" t="e">
        <f ca="1">_xll.BDH($C$578,"BVPS_GROWTH","FQ3 2016","FQ3 2016","Currency=INR","Period=FQ","BEST_FPERIOD_OVERRIDE=FQ","FILING_STATUS=OR","EQY_CONSOLIDATED=Y","Sort=A","Dates=H","DateFormat=P","Fill=—","Direction=H","UseDPDF=Y")</f>
        <v>#NAME?</v>
      </c>
      <c r="AL591" s="2" t="e">
        <f ca="1">_xll.BDH($C$578,"CASH_FLOW_GROWTH","FQ3 2016","FQ3 2016","Currency=INR","Period=FQ","BEST_FPERIOD_OVERRIDE=FQ","FILING_STATUS=OR","EQY_CONSOLIDATED=Y","Sort=A","Dates=H","DateFormat=P","Fill=—","Direction=H","UseDPDF=Y")</f>
        <v>#NAME?</v>
      </c>
      <c r="AM591" s="2" t="e">
        <f ca="1">_xll.BDH($C$578,"GEO_GROW_NET_SALES","FQ3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591" s="2" t="e">
        <f ca="1">_xll.BDH($C$578,"GEO_GROW_EBITDA","FQ3 2016","FQ3 2016","Currency=INR","Period=FQ","BEST_FPERIOD_OVERRIDE=FQ","FILING_STATUS=OR","EQY_CONSOLIDATED=Y","FA_ADJUSTED=GAAP","Sort=A","Dates=H","DateFormat=P","Fill=—","Direction=H","UseDPDF=Y")</f>
        <v>#NAME?</v>
      </c>
      <c r="AO591" s="2" t="e">
        <f ca="1">_xll.BDH($C$578,"GEO_GROW_OPER_INC","FQ3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591" s="2" t="e">
        <f ca="1">_xll.BDH($C$578,"NET_INCOME_TO_COMMON_5_YR_GROWTH","FQ3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591" s="2" t="e">
        <f ca="1">_xll.BDH($C$578,"5Y_GEO_GROWTH_DILUTED_EPS","FQ3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591" s="2" t="e">
        <f ca="1">_xll.BDH($C$578,"GEO_GROW_DVD_PER_SH","FQ3 2016","FQ3 2016","Currency=INR","Period=FQ","BEST_FPERIOD_OVERRIDE=FQ","FILING_STATUS=OR","EQY_CONSOLIDATED=Y","Sort=A","Dates=H","DateFormat=P","Fill=—","Direction=H","UseDPDF=Y")</f>
        <v>#NAME?</v>
      </c>
      <c r="AS591" s="2" t="e">
        <f ca="1">_xll.BDH($C$578,"ACCOUNTS_RECEIVABLE_5_YR_GROWTH","FQ3 2016","FQ3 2016","Currency=INR","Period=FQ","BEST_FPERIOD_OVERRIDE=FQ","FILING_STATUS=OR","EQY_CONSOLIDATED=Y","Sort=A","Dates=H","DateFormat=P","Fill=—","Direction=H","UseDPDF=Y")</f>
        <v>#NAME?</v>
      </c>
      <c r="AT591" s="2" t="e">
        <f ca="1">_xll.BDH($C$578,"INVENTORY_5_YEAR_GROWTH","FQ3 2016","FQ3 2016","Currency=INR","Period=FQ","BEST_FPERIOD_OVERRIDE=FQ","FILING_STATUS=OR","EQY_CONSOLIDATED=Y","Sort=A","Dates=H","DateFormat=P","Fill=—","Direction=H","UseDPDF=Y")</f>
        <v>#NAME?</v>
      </c>
      <c r="AU591" s="2" t="e">
        <f ca="1">_xll.BDH($C$578,"NET_FIXED_ASSETS_5_YEAR_GROWTH","FQ3 2016","FQ3 2016","Currency=INR","Period=FQ","BEST_FPERIOD_OVERRIDE=FQ","FILING_STATUS=OR","EQY_CONSOLIDATED=Y","Sort=A","Dates=H","DateFormat=P","Fill=—","Direction=H","UseDPDF=Y")</f>
        <v>#NAME?</v>
      </c>
      <c r="AV591" s="2" t="e">
        <f ca="1">_xll.BDH($C$578,"GEO_GROW_TOT_ASSET","FQ3 2016","FQ3 2016","Currency=INR","Period=FQ","BEST_FPERIOD_OVERRIDE=FQ","FILING_STATUS=OR","EQY_CONSOLIDATED=Y","Sort=A","Dates=H","DateFormat=P","Fill=—","Direction=H","UseDPDF=Y")</f>
        <v>#NAME?</v>
      </c>
      <c r="AW591" s="2" t="e">
        <f ca="1">_xll.BDH($C$578,"MODIFIED_WORKING_CPTL_5YR_GRWTH","FQ3 2016","FQ3 2016","Currency=INR","Period=FQ","BEST_FPERIOD_OVERRIDE=FQ","FILING_STATUS=OR","EQY_CONSOLIDATED=Y","Sort=A","Dates=H","DateFormat=P","Fill=—","Direction=H","UseDPDF=Y")</f>
        <v>#NAME?</v>
      </c>
      <c r="AX591" s="2" t="e">
        <f ca="1">_xll.BDH($C$578,"WORKING_CAPITAL_5_YEAR_GROWTH","FQ3 2016","FQ3 2016","Currency=INR","Period=FQ","BEST_FPERIOD_OVERRIDE=FQ","FILING_STATUS=OR","EQY_CONSOLIDATED=Y","Sort=A","Dates=H","DateFormat=P","Fill=—","Direction=H","UseDPDF=Y")</f>
        <v>#NAME?</v>
      </c>
      <c r="AY591" s="2" t="e">
        <f ca="1">_xll.BDH($C$578,"ACCOUNTS_PAYABLE_5_YEAR_GROWTH","FQ3 2016","FQ3 2016","Currency=INR","Period=FQ","BEST_FPERIOD_OVERRIDE=FQ","FILING_STATUS=OR","EQY_CONSOLIDATED=Y","Sort=A","Dates=H","DateFormat=P","Fill=—","Direction=H","UseDPDF=Y")</f>
        <v>#NAME?</v>
      </c>
      <c r="AZ591" s="2" t="e">
        <f ca="1">_xll.BDH($C$578,"SHORT_TERM_DEBT_5_YEAR_GROWTH","FQ3 2016","FQ3 2016","Currency=INR","Period=FQ","BEST_FPERIOD_OVERRIDE=FQ","FILING_STATUS=OR","EQY_CONSOLIDATED=Y","Sort=A","Dates=H","DateFormat=P","Fill=—","Direction=H","UseDPDF=Y")</f>
        <v>#NAME?</v>
      </c>
      <c r="BA591" s="2" t="e">
        <f ca="1">_xll.BDH($C$578,"TOTAL_DEBT_5_YEAR_GROWTH","FQ3 2016","FQ3 2016","Currency=INR","Period=FQ","BEST_FPERIOD_OVERRIDE=FQ","FILING_STATUS=OR","EQY_CONSOLIDATED=Y","Sort=A","Dates=H","DateFormat=P","Fill=—","Direction=H","UseDPDF=Y")</f>
        <v>#NAME?</v>
      </c>
      <c r="BB591" s="2" t="e">
        <f ca="1">_xll.BDH($C$578,"GEO_GROW_TOT_SHRHLDR_EQY","FQ3 2016","FQ3 2016","Currency=INR","Period=FQ","BEST_FPERIOD_OVERRIDE=FQ","FILING_STATUS=OR","EQY_CONSOLIDATED=Y","Sort=A","Dates=H","DateFormat=P","Fill=—","Direction=H","UseDPDF=Y")</f>
        <v>#NAME?</v>
      </c>
      <c r="BC591" s="2" t="e">
        <f ca="1">_xll.BDH($C$578,"TOTAL_CAPITAL_5_YEAR_GROWTH","FQ3 2016","FQ3 2016","Currency=INR","Period=FQ","BEST_FPERIOD_OVERRIDE=FQ","FILING_STATUS=OR","EQY_CONSOLIDATED=Y","Sort=A","Dates=H","DateFormat=P","Fill=—","Direction=H","UseDPDF=Y")</f>
        <v>#NAME?</v>
      </c>
      <c r="BD591" s="2" t="e">
        <f ca="1">_xll.BDH($C$578,"GEO_GROW_BOOK_VAL","FQ3 2016","FQ3 2016","Currency=INR","Period=FQ","BEST_FPERIOD_OVERRIDE=FQ","FILING_STATUS=OR","EQY_CONSOLIDATED=Y","Sort=A","Dates=H","DateFormat=P","Fill=—","Direction=H","UseDPDF=Y")</f>
        <v>#NAME?</v>
      </c>
      <c r="BE591" s="2" t="e">
        <f ca="1">_xll.BDH($C$578,"GEO_GROW_CASH_OPER_ACT","FQ3 2016","FQ3 2016","Currency=INR","Period=FQ","BEST_FPERIOD_OVERRIDE=FQ","FILING_STATUS=OR","EQY_CONSOLIDATED=Y","Sort=A","Dates=H","DateFormat=P","Fill=—","Direction=H","UseDPDF=Y")</f>
        <v>#NAME?</v>
      </c>
      <c r="BF591" s="2" t="e">
        <f ca="1">_xll.BDH($C$578,"REVENUE_SEQUENTIAL_GROWTH","FQ3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591" s="2" t="e">
        <f ca="1">_xll.BDH($C$578,"EBITDA_SEQUENTIAL_GROWTH","FQ3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591" s="2" t="e">
        <f ca="1">_xll.BDH($C$578,"OPERATING_INCOME_SEQ_GROWTH","FQ3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591" s="2" t="e">
        <f ca="1">_xll.BDH($C$578,"NET_INCOME_TO_COMMON_SEQ_GROWTH","FQ3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591" s="2" t="e">
        <f ca="1">_xll.BDH($C$578,"EPS_DILUTED_SEQUENTIAL_GROWTH","FQ3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591" s="2" t="e">
        <f ca="1">_xll.BDH($C$578,"DPS_SEQUENTIAL_GROWTH","FQ3 2016","FQ3 2016","Currency=INR","Period=FQ","BEST_FPERIOD_OVERRIDE=FQ","FILING_STATUS=OR","EQY_CONSOLIDATED=Y","Sort=A","Dates=H","DateFormat=P","Fill=—","Direction=H","UseDPDF=Y")</f>
        <v>#NAME?</v>
      </c>
      <c r="BL591" s="2" t="e">
        <f ca="1">_xll.BDH($C$578,"ACCOUNTS_RECEIVABLE_SEQ_GROWTH","FQ3 2016","FQ3 2016","Currency=INR","Period=FQ","BEST_FPERIOD_OVERRIDE=FQ","FILING_STATUS=OR","EQY_CONSOLIDATED=Y","Sort=A","Dates=H","DateFormat=P","Fill=—","Direction=H","UseDPDF=Y")</f>
        <v>#NAME?</v>
      </c>
      <c r="BM591" s="2" t="e">
        <f ca="1">_xll.BDH($C$578,"INVENTORY_SEQUENTIAL_GROWTH","FQ3 2016","FQ3 2016","Currency=INR","Period=FQ","BEST_FPERIOD_OVERRIDE=FQ","FILING_STATUS=OR","EQY_CONSOLIDATED=Y","Sort=A","Dates=H","DateFormat=P","Fill=—","Direction=H","UseDPDF=Y")</f>
        <v>#NAME?</v>
      </c>
      <c r="BN591" s="2" t="e">
        <f ca="1">_xll.BDH($C$578,"FIXED_ASSETS_SEQUENTIAL_GROWTH","FQ3 2016","FQ3 2016","Currency=INR","Period=FQ","BEST_FPERIOD_OVERRIDE=FQ","FILING_STATUS=OR","EQY_CONSOLIDATED=Y","Sort=A","Dates=H","DateFormat=P","Fill=—","Direction=H","UseDPDF=Y")</f>
        <v>#NAME?</v>
      </c>
      <c r="BO591" s="2" t="e">
        <f ca="1">_xll.BDH($C$578,"TOTAL_ASSETS_SEQUENTIAL_GROWTH","FQ3 2016","FQ3 2016","Currency=INR","Period=FQ","BEST_FPERIOD_OVERRIDE=FQ","FILING_STATUS=OR","EQY_CONSOLIDATED=Y","Sort=A","Dates=H","DateFormat=P","Fill=—","Direction=H","UseDPDF=Y")</f>
        <v>#NAME?</v>
      </c>
      <c r="BP591" s="2" t="e">
        <f ca="1">_xll.BDH($C$578,"MODIFIED_WORKING_CPTL_SEQ_GRWTH","FQ3 2016","FQ3 2016","Currency=INR","Period=FQ","BEST_FPERIOD_OVERRIDE=FQ","FILING_STATUS=OR","EQY_CONSOLIDATED=Y","Sort=A","Dates=H","DateFormat=P","Fill=—","Direction=H","UseDPDF=Y")</f>
        <v>#NAME?</v>
      </c>
      <c r="BQ591" s="2" t="e">
        <f ca="1">_xll.BDH($C$578,"WORKING_CAPITAL_SEQ_GROWTH","FQ3 2016","FQ3 2016","Currency=INR","Period=FQ","BEST_FPERIOD_OVERRIDE=FQ","FILING_STATUS=OR","EQY_CONSOLIDATED=Y","Sort=A","Dates=H","DateFormat=P","Fill=—","Direction=H","UseDPDF=Y")</f>
        <v>#NAME?</v>
      </c>
      <c r="BR591" s="2" t="e">
        <f ca="1">_xll.BDH($C$578,"ACCOUNTS_PAYABLE_SEQ_GROWTH","FQ3 2016","FQ3 2016","Currency=INR","Period=FQ","BEST_FPERIOD_OVERRIDE=FQ","FILING_STATUS=OR","EQY_CONSOLIDATED=Y","Sort=A","Dates=H","DateFormat=P","Fill=—","Direction=H","UseDPDF=Y")</f>
        <v>#NAME?</v>
      </c>
      <c r="BS591" s="2" t="e">
        <f ca="1">_xll.BDH($C$578,"ST_DEBT_SEQUENTIAL_GROWTH","FQ3 2016","FQ3 2016","Currency=INR","Period=FQ","BEST_FPERIOD_OVERRIDE=FQ","FILING_STATUS=OR","EQY_CONSOLIDATED=Y","Sort=A","Dates=H","DateFormat=P","Fill=—","Direction=H","UseDPDF=Y")</f>
        <v>#NAME?</v>
      </c>
      <c r="BT591" s="2" t="e">
        <f ca="1">_xll.BDH($C$578,"TOTAL_DEBT_SEQUENTIAL_GROWTH","FQ3 2016","FQ3 2016","Currency=INR","Period=FQ","BEST_FPERIOD_OVERRIDE=FQ","FILING_STATUS=OR","EQY_CONSOLIDATED=Y","Sort=A","Dates=H","DateFormat=P","Fill=—","Direction=H","UseDPDF=Y")</f>
        <v>#NAME?</v>
      </c>
      <c r="BU591" s="2" t="e">
        <f ca="1">_xll.BDH($C$578,"TOTAL_EQUITY_SEQUENTIAL_GROWTH","FQ3 2016","FQ3 2016","Currency=INR","Period=FQ","BEST_FPERIOD_OVERRIDE=FQ","FILING_STATUS=OR","EQY_CONSOLIDATED=Y","Sort=A","Dates=H","DateFormat=P","Fill=—","Direction=H","UseDPDF=Y")</f>
        <v>#NAME?</v>
      </c>
      <c r="BV591" s="2" t="e">
        <f ca="1">_xll.BDH($C$578,"TOTAL_CAPITAL_SEQUENTIAL_GROWTH","FQ3 2016","FQ3 2016","Currency=INR","Period=FQ","BEST_FPERIOD_OVERRIDE=FQ","FILING_STATUS=OR","EQY_CONSOLIDATED=Y","Sort=A","Dates=H","DateFormat=P","Fill=—","Direction=H","UseDPDF=Y")</f>
        <v>#NAME?</v>
      </c>
      <c r="BW591" s="2" t="e">
        <f ca="1">_xll.BDH($C$578,"BPS_SEQUENTIAL_GROWTH","FQ3 2016","FQ3 2016","Currency=INR","Period=FQ","BEST_FPERIOD_OVERRIDE=FQ","FILING_STATUS=OR","EQY_CONSOLIDATED=Y","Sort=A","Dates=H","DateFormat=P","Fill=—","Direction=H","UseDPDF=Y")</f>
        <v>#NAME?</v>
      </c>
      <c r="BX591" s="2" t="e">
        <f ca="1">_xll.BDH($C$578,"CFO_SEQUENTIAL_GROWTH","FQ3 2016","FQ3 2016","Currency=INR","Period=FQ","BEST_FPERIOD_OVERRIDE=FQ","FILING_STATUS=OR","EQY_CONSOLIDATED=Y","Sort=A","Dates=H","DateFormat=P","Fill=—","Direction=H","UseDPDF=Y")</f>
        <v>#NAME?</v>
      </c>
      <c r="BY591" s="3" t="e">
        <f ca="1">_xll.BDH($C$578,"SHORT_AND_LONG_TERM_DEBT","FQ3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591" s="3" t="e">
        <f ca="1">_xll.BDH($C$578,"BS_ST_BORROW","FQ3 2016","FQ3 2016","Currency=INR","Period=FQ","BEST_FPERIOD_OVERRIDE=FQ","FILING_STATUS=OR","EQY_CONSOLIDATED=Y","SCALING_FORMAT=MLN","Sort=A","Dates=H","DateFormat=P","Fill=—","Direction=H","UseDPDF=Y")</f>
        <v>#NAME?</v>
      </c>
      <c r="CA591" s="3" t="e">
        <f ca="1">_xll.BDH($C$578,"BS_LT_BORROW","FQ3 2016","FQ3 2016","Currency=INR","Period=FQ","BEST_FPERIOD_OVERRIDE=FQ","FILING_STATUS=OR","EQY_CONSOLIDATED=Y","SCALING_FORMAT=MLN","Sort=A","Dates=H","DateFormat=P","Fill=—","Direction=H","UseDPDF=Y")</f>
        <v>#NAME?</v>
      </c>
      <c r="CB591" s="2" t="e">
        <f ca="1">_xll.BDH($C$578,"TOT_DEBT_TO_EBITDA","FQ3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591" s="2" t="e">
        <f ca="1">_xll.BDH($C$578,"NET_DEBT_TO_EBITDA","FQ3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591" s="2" t="e">
        <f ca="1">_xll.BDH($C$578,"TOTAL_DEBT_TO_EBIT","FQ3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591" s="2" t="e">
        <f ca="1">_xll.BDH($C$578,"NET_DEBT_TO_EBIT","FQ3 2016","FQ3 2016","Currency=INR","Period=FQ","BEST_FPERIOD_OVERRIDE=FQ","FILING_STATUS=OR","EQY_CONSOLIDATED=Y","FA_ADJUSTED=GAAP","Sort=A","Dates=H","DateFormat=P","Fill=—","Direction=H","UseDPDF=Y")</f>
        <v>#NAME?</v>
      </c>
      <c r="CF591" s="2" t="e">
        <f ca="1">_xll.BDH($C$578,"EBITDA_TO_INTEREST_EXPN","FQ3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591" s="2" t="e">
        <f ca="1">_xll.BDH($C$578,"COM_EQY_TO_TOT_ASSET","FQ3 2016","FQ3 2016","Currency=INR","Period=FQ","BEST_FPERIOD_OVERRIDE=FQ","FILING_STATUS=OR","EQY_CONSOLIDATED=Y","Sort=A","Dates=H","DateFormat=P","Fill=—","Direction=H","UseDPDF=Y")</f>
        <v>#NAME?</v>
      </c>
      <c r="CH591" s="2" t="e">
        <f ca="1">_xll.BDH($C$578,"LT_DEBT_TO_TOT_EQY","FQ3 2016","FQ3 2016","Currency=INR","Period=FQ","BEST_FPERIOD_OVERRIDE=FQ","FILING_STATUS=OR","EQY_CONSOLIDATED=Y","Sort=A","Dates=H","DateFormat=P","Fill=—","Direction=H","UseDPDF=Y")</f>
        <v>#NAME?</v>
      </c>
      <c r="CI591" s="2" t="e">
        <f ca="1">_xll.BDH($C$578,"LT_DEBT_TO_TOT_CAP","FQ3 2016","FQ3 2016","Currency=INR","Period=FQ","BEST_FPERIOD_OVERRIDE=FQ","FILING_STATUS=OR","EQY_CONSOLIDATED=Y","Sort=A","Dates=H","DateFormat=P","Fill=—","Direction=H","UseDPDF=Y")</f>
        <v>#NAME?</v>
      </c>
      <c r="CJ591" s="2" t="e">
        <f ca="1">_xll.BDH($C$578,"LT_DEBT_TO_TOT_ASSET","FQ3 2016","FQ3 2016","Currency=INR","Period=FQ","BEST_FPERIOD_OVERRIDE=FQ","FILING_STATUS=OR","EQY_CONSOLIDATED=Y","Sort=A","Dates=H","DateFormat=P","Fill=—","Direction=H","UseDPDF=Y")</f>
        <v>#NAME?</v>
      </c>
      <c r="CK591" s="2" t="e">
        <f ca="1">_xll.BDH($C$578,"TOT_DEBT_TO_TOT_EQY","FQ3 2016","FQ3 2016","Currency=INR","Period=FQ","BEST_FPERIOD_OVERRIDE=FQ","FILING_STATUS=OR","EQY_CONSOLIDATED=Y","Sort=A","Dates=H","DateFormat=P","Fill=—","Direction=H","UseDPDF=Y")</f>
        <v>#NAME?</v>
      </c>
      <c r="CL591" s="2" t="e">
        <f ca="1">_xll.BDH($C$578,"TOT_DEBT_TO_TOT_CAP","FQ3 2016","FQ3 2016","Currency=INR","Period=FQ","BEST_FPERIOD_OVERRIDE=FQ","FILING_STATUS=OR","EQY_CONSOLIDATED=Y","Sort=A","Dates=H","DateFormat=P","Fill=—","Direction=H","UseDPDF=Y")</f>
        <v>#NAME?</v>
      </c>
      <c r="CM591" s="2" t="e">
        <f ca="1">_xll.BDH($C$578,"TOT_DEBT_TO_TOT_ASSET","FQ3 2016","FQ3 2016","Currency=INR","Period=FQ","BEST_FPERIOD_OVERRIDE=FQ","FILING_STATUS=OR","EQY_CONSOLIDATED=Y","Sort=A","Dates=H","DateFormat=P","Fill=—","Direction=H","UseDPDF=Y")</f>
        <v>#NAME?</v>
      </c>
      <c r="CN591" s="2" t="e">
        <f ca="1">_xll.BDH($C$578,"NET_DEBT_TO_SHRHLDR_EQTY","FQ3 2016","FQ3 2016","Currency=INR","Period=FQ","BEST_FPERIOD_OVERRIDE=FQ","FILING_STATUS=OR","EQY_CONSOLIDATED=Y","Sort=A","Dates=H","DateFormat=P","Fill=—","Direction=H","UseDPDF=Y")</f>
        <v>#NAME?</v>
      </c>
      <c r="CO591" s="2" t="e">
        <f ca="1">_xll.BDH($C$578,"NET_DEBT_%_CAPITAL","FQ3 2016","FQ3 2016","Currency=INR","Period=FQ","BEST_FPERIOD_OVERRIDE=FQ","FILING_STATUS=OR","EQY_CONSOLIDATED=Y","Sort=A","Dates=H","DateFormat=P","Fill=—","Direction=H","UseDPDF=Y")</f>
        <v>#NAME?</v>
      </c>
      <c r="CP591" s="3" t="e">
        <f ca="1">_xll.BDH($C$578,"EBITDA","FQ3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591" s="3" t="e">
        <f ca="1">_xll.BDH($C$578,"EBITDA_AFTER_CAPEX","FQ3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591" s="3" t="e">
        <f ca="1">_xll.BDH($C$578,"IS_OPER_INC","FQ3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591" s="2" t="e">
        <f ca="1">_xll.BDH($C$578,"CASH_RATIO","FQ3 2016","FQ3 2016","Currency=INR","Period=FQ","BEST_FPERIOD_OVERRIDE=FQ","FILING_STATUS=OR","EQY_CONSOLIDATED=Y","Sort=A","Dates=H","DateFormat=P","Fill=—","Direction=H","UseDPDF=Y")</f>
        <v>#NAME?</v>
      </c>
      <c r="CT591" s="2" t="e">
        <f ca="1">_xll.BDH($C$578,"CUR_RATIO","FQ3 2016","FQ3 2016","Currency=INR","Period=FQ","BEST_FPERIOD_OVERRIDE=FQ","FILING_STATUS=OR","EQY_CONSOLIDATED=Y","Sort=A","Dates=H","DateFormat=P","Fill=—","Direction=H","UseDPDF=Y")</f>
        <v>#NAME?</v>
      </c>
      <c r="CU591" s="2" t="e">
        <f ca="1">_xll.BDH($C$578,"QUICK_RATIO","FQ3 2016","FQ3 2016","Currency=INR","Period=FQ","BEST_FPERIOD_OVERRIDE=FQ","FILING_STATUS=OR","EQY_CONSOLIDATED=Y","Sort=A","Dates=H","DateFormat=P","Fill=—","Direction=H","UseDPDF=Y")</f>
        <v>#NAME?</v>
      </c>
      <c r="CV591" s="2" t="e">
        <f ca="1">_xll.BDH($C$578,"ALTMAN_Z_SCORE","FQ3 2016","FQ3 2016","Currency=INR","Period=FQ","BEST_FPERIOD_OVERRIDE=FQ","FILING_STATUS=OR","EQY_CONSOLIDATED=Y","Sort=A","Dates=H","DateFormat=P","Fill=—","Direction=H","UseDPDF=Y")</f>
        <v>#NAME?</v>
      </c>
      <c r="CW591" s="4" t="e">
        <f ca="1">_xll.BDH($C$578,"ACCT_RCV_TURN","FQ3 2016","FQ3 2016","Currency=INR","Period=FQ","BEST_FPERIOD_OVERRIDE=FQ","FILING_STATUS=OR","EQY_CONSOLIDATED=Y","FA_ADJUSTED=GAAP","Sort=A","Dates=H","DateFormat=P","Fill=—","Direction=H","UseDPDF=Y")</f>
        <v>#NAME?</v>
      </c>
      <c r="CX591" s="2" t="e">
        <f ca="1">_xll.BDH($C$578,"ACCT_RCV_DAYS","FQ3 2016","FQ3 2016","Currency=INR","Period=FQ","BEST_FPERIOD_OVERRIDE=FQ","FILING_STATUS=OR","EQY_CONSOLIDATED=Y","FA_ADJUSTED=GAAP","Sort=A","Dates=H","DateFormat=P","Fill=—","Direction=H","UseDPDF=Y")</f>
        <v>#NAME?</v>
      </c>
      <c r="CY591" s="4" t="e">
        <f ca="1">_xll.BDH($C$578,"INVENT_TURN","FQ3 2016","FQ3 2016","Currency=INR","Period=FQ","BEST_FPERIOD_OVERRIDE=FQ","FILING_STATUS=OR","EQY_CONSOLIDATED=Y","FA_ADJUSTED=GAAP","Sort=A","Dates=H","DateFormat=P","Fill=—","Direction=H","UseDPDF=Y")</f>
        <v>#NAME?</v>
      </c>
      <c r="CZ591" s="2" t="e">
        <f ca="1">_xll.BDH($C$578,"INVENT_DAYS","FQ3 2016","FQ3 2016","Currency=INR","Period=FQ","BEST_FPERIOD_OVERRIDE=FQ","FILING_STATUS=OR","EQY_CONSOLIDATED=Y","FA_ADJUSTED=GAAP","Sort=A","Dates=H","DateFormat=P","Fill=—","Direction=H","UseDPDF=Y")</f>
        <v>#NAME?</v>
      </c>
      <c r="DA591" s="4" t="e">
        <f ca="1">_xll.BDH($C$578,"ACCOUNTS_PAYABLE_TURNOVER","FQ3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591" s="2" t="e">
        <f ca="1">_xll.BDH($C$578,"ACCOUNTS_PAYABLE_TURNOVER_DAYS","FQ3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591" s="4" t="e">
        <f ca="1">_xll.BDH($C$578,"CASH_CONVERSION_CYCLE","FQ3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591" s="4" t="e">
        <f ca="1">_xll.BDH($C$578,"INV_TO_CASH_DAYS","FQ3 2016","FQ3 2016","Currency=INR","Period=FQ","BEST_FPERIOD_OVERRIDE=FQ","FILING_STATUS=OR","EQY_CONSOLIDATED=Y","FA_ADJUSTED=GAAP","Sort=A","Dates=H","DateFormat=P","Fill=—","Direction=H","UseDPDF=Y")</f>
        <v>#NAME?</v>
      </c>
      <c r="DE591" s="5" t="e">
        <f ca="1">_xll.BDH($C$578,"BS_INVENTORIES","FQ3 2016","FQ3 2016","Currency=INR","Period=FQ","BEST_FPERIOD_OVERRIDE=FQ","FILING_STATUS=OR","EQY_CONSOLIDATED=Y","SCALING_FORMAT=MLN","Sort=A","Dates=H","DateFormat=P","Fill=—","Direction=H","UseDPDF=Y")</f>
        <v>#NAME?</v>
      </c>
      <c r="DF591" s="3" t="e">
        <f ca="1">_xll.BDH($C$578,"INVTRY_RAW_MATERIALS","FQ3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591" s="3" t="e">
        <f ca="1">_xll.BDH($C$578,"INVTRY_IN_PROGRESS","FQ3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591" s="3" t="e">
        <f ca="1">_xll.BDH($C$578,"INVTRY_FINISHED_GOODS","FQ3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591" s="3" t="e">
        <f ca="1">_xll.BDH($C$578,"BS_OTHER_INV","FQ3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592" spans="1:113" x14ac:dyDescent="0.3">
      <c r="A592" s="6"/>
      <c r="B592" s="6"/>
      <c r="C592" s="6"/>
      <c r="D592" s="6"/>
      <c r="E592" t="s">
        <v>81</v>
      </c>
      <c r="F592" t="e">
        <f ca="1">_xll.BDH($C$578,"RETURN_COM_EQY","FQ4 2016","FQ4 2016","Currency=INR","Period=FQ","BEST_FPERIOD_OVERRIDE=FQ","FILING_STATUS=OR","EQY_CONSOLIDATED=Y","FA_ADJUSTED=GAAP","Sort=A","Dates=H","DateFormat=P","Fill=—","Direction=H","UseDPDF=Y")</f>
        <v>#NAME?</v>
      </c>
      <c r="G592" t="e">
        <f ca="1">_xll.BDH($C$578,"RETURN_ON_ASSET","FQ4 2016","FQ4 2016","Currency=INR","Period=FQ","BEST_FPERIOD_OVERRIDE=FQ","FILING_STATUS=OR","EQY_CONSOLIDATED=Y","FA_ADJUSTED=GAAP","Sort=A","Dates=H","DateFormat=P","Fill=—","Direction=H","UseDPDF=Y")</f>
        <v>#NAME?</v>
      </c>
      <c r="H592" t="e">
        <f ca="1">_xll.BDH($C$578,"RETURN_ON_CAP","FQ4 2016","FQ4 2016","Currency=INR","Period=FQ","BEST_FPERIOD_OVERRIDE=FQ","FILING_STATUS=OR","EQY_CONSOLIDATED=Y","FA_ADJUSTED=GAAP","Sort=A","Dates=H","DateFormat=P","Fill=—","Direction=H","UseDPDF=Y")</f>
        <v>#NAME?</v>
      </c>
      <c r="I592" t="e">
        <f ca="1">_xll.BDH($C$578,"RETURN_ON_INV_CAPITAL","FQ4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592" t="e">
        <f ca="1">_xll.BDH($C$578,"EBITDA_TO_REVENUE","FQ4 2016","FQ4 2016","Currency=INR","Period=FQ","BEST_FPERIOD_OVERRIDE=FQ","FILING_STATUS=OR","EQY_CONSOLIDATED=Y","FA_ADJUSTED=GAAP","Sort=A","Dates=H","DateFormat=P","Fill=—","Direction=H","UseDPDF=Y")</f>
        <v>#NAME?</v>
      </c>
      <c r="K592" t="e">
        <f ca="1">_xll.BDH($C$578,"OPER_MARGIN","FQ4 2016","FQ4 2016","Currency=INR","Period=FQ","BEST_FPERIOD_OVERRIDE=FQ","FILING_STATUS=OR","EQY_CONSOLIDATED=Y","FA_ADJUSTED=GAAP","Sort=A","Dates=H","DateFormat=P","Fill=—","Direction=H","UseDPDF=Y")</f>
        <v>#NAME?</v>
      </c>
      <c r="L592" t="e">
        <f ca="1">_xll.BDH($C$578,"INCREMENTAL_OPERATING_MARGIN","FQ4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592" t="e">
        <f ca="1">_xll.BDH($C$578,"PRETAX_INC_TO_NET_SALES","FQ4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592" t="e">
        <f ca="1">_xll.BDH($C$578,"INC_BEF_XO_ITEMS_TO_NET_SALES","FQ4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592" t="e">
        <f ca="1">_xll.BDH($C$578,"PROF_MARGIN","FQ4 2016","FQ4 2016","Currency=INR","Period=FQ","BEST_FPERIOD_OVERRIDE=FQ","FILING_STATUS=OR","EQY_CONSOLIDATED=Y","FA_ADJUSTED=GAAP","Sort=A","Dates=H","DateFormat=P","Fill=—","Direction=H","UseDPDF=Y")</f>
        <v>#NAME?</v>
      </c>
      <c r="P592" t="e">
        <f ca="1">_xll.BDH($C$578,"NET_INCOME_TO_COMMON_MARGIN","FQ4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592" t="e">
        <f ca="1">_xll.BDH($C$578,"EFF_TAX_RATE","FQ4 2016","FQ4 2016","Currency=INR","Period=FQ","BEST_FPERIOD_OVERRIDE=FQ","FILING_STATUS=OR","EQY_CONSOLIDATED=Y","FA_ADJUSTED=GAAP","Sort=A","Dates=H","DateFormat=P","Fill=—","Direction=H","UseDPDF=Y")</f>
        <v>#NAME?</v>
      </c>
      <c r="R592" t="e">
        <f ca="1">_xll.BDH($C$578,"DVD_PAYOUT_RATIO","FQ4 2016","FQ4 2016","Currency=INR","Period=FQ","BEST_FPERIOD_OVERRIDE=FQ","FILING_STATUS=OR","EQY_CONSOLIDATED=Y","FA_ADJUSTED=GAAP","Sort=A","Dates=H","DateFormat=P","Fill=—","Direction=H","UseDPDF=Y")</f>
        <v>#NAME?</v>
      </c>
      <c r="S592" t="e">
        <f ca="1">_xll.BDH($C$578,"SUSTAIN_GROWTH_RT","FQ4 2016","FQ4 2016","Currency=INR","Period=FQ","BEST_FPERIOD_OVERRIDE=FQ","FILING_STATUS=OR","EQY_CONSOLIDATED=Y","FA_ADJUSTED=GAAP","Sort=A","Dates=H","DateFormat=P","Fill=—","Direction=H","UseDPDF=Y")</f>
        <v>#NAME?</v>
      </c>
      <c r="T592" s="2" t="e">
        <f ca="1">_xll.BDH($C$578,"SALES_GROWTH","FQ4 2016","FQ4 2016","Currency=INR","Period=FQ","BEST_FPERIOD_OVERRIDE=FQ","FILING_STATUS=OR","EQY_CONSOLIDATED=Y","FA_ADJUSTED=GAAP","Sort=A","Dates=H","DateFormat=P","Fill=—","Direction=H","UseDPDF=Y")</f>
        <v>#NAME?</v>
      </c>
      <c r="U592" s="2" t="e">
        <f ca="1">_xll.BDH($C$578,"EBITDA_GROWTH","FQ4 2016","FQ4 2016","Currency=INR","Period=FQ","BEST_FPERIOD_OVERRIDE=FQ","FILING_STATUS=OR","EQY_CONSOLIDATED=Y","FA_ADJUSTED=GAAP","Sort=A","Dates=H","DateFormat=P","Fill=—","Direction=H","UseDPDF=Y")</f>
        <v>#NAME?</v>
      </c>
      <c r="V592" s="2" t="e">
        <f ca="1">_xll.BDH($C$578,"OPER_INC_GROWTH","FQ4 2016","FQ4 2016","Currency=INR","Period=FQ","BEST_FPERIOD_OVERRIDE=FQ","FILING_STATUS=OR","EQY_CONSOLIDATED=Y","FA_ADJUSTED=GAAP","Sort=A","Dates=H","DateFormat=P","Fill=—","Direction=H","UseDPDF=Y")</f>
        <v>#NAME?</v>
      </c>
      <c r="W592" s="2" t="e">
        <f ca="1">_xll.BDH($C$578,"EARN_FOR_COM_GROWTH","FQ4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592" s="2" t="e">
        <f ca="1">_xll.BDH($C$578,"DILUTED_EPS_AFT_XO_ITEMS_GROWTH","FQ4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592" s="2" t="e">
        <f ca="1">_xll.BDH($C$578,"DIVIDEND_PER_SHARE_1_YEAR_GROWTH","FQ4 2016","FQ4 2016","Currency=INR","Period=FQ","BEST_FPERIOD_OVERRIDE=FQ","FILING_STATUS=OR","EQY_CONSOLIDATED=Y","Sort=A","Dates=H","DateFormat=P","Fill=—","Direction=H","UseDPDF=Y")</f>
        <v>#NAME?</v>
      </c>
      <c r="Z592" s="2" t="e">
        <f ca="1">_xll.BDH($C$578,"ACCOUNTS_RECEIVABLE_GROWTH","FQ4 2016","FQ4 2016","Currency=INR","Period=FQ","BEST_FPERIOD_OVERRIDE=FQ","FILING_STATUS=OR","EQY_CONSOLIDATED=Y","Sort=A","Dates=H","DateFormat=P","Fill=—","Direction=H","UseDPDF=Y")</f>
        <v>#NAME?</v>
      </c>
      <c r="AA592" s="2" t="e">
        <f ca="1">_xll.BDH($C$578,"INVENTORY_GROWTH","FQ4 2016","FQ4 2016","Currency=INR","Period=FQ","BEST_FPERIOD_OVERRIDE=FQ","FILING_STATUS=OR","EQY_CONSOLIDATED=Y","Sort=A","Dates=H","DateFormat=P","Fill=—","Direction=H","UseDPDF=Y")</f>
        <v>#NAME?</v>
      </c>
      <c r="AB592" s="2" t="e">
        <f ca="1">_xll.BDH($C$578,"NET_FIXED_ASSETS_1_YEAR_GROWTH","FQ4 2016","FQ4 2016","Currency=INR","Period=FQ","BEST_FPERIOD_OVERRIDE=FQ","FILING_STATUS=OR","EQY_CONSOLIDATED=Y","Sort=A","Dates=H","DateFormat=P","Fill=—","Direction=H","UseDPDF=Y")</f>
        <v>#NAME?</v>
      </c>
      <c r="AC592" s="2" t="e">
        <f ca="1">_xll.BDH($C$578,"ASSET_GROWTH","FQ4 2016","FQ4 2016","Currency=INR","Period=FQ","BEST_FPERIOD_OVERRIDE=FQ","FILING_STATUS=OR","EQY_CONSOLIDATED=Y","Sort=A","Dates=H","DateFormat=P","Fill=—","Direction=H","UseDPDF=Y")</f>
        <v>#NAME?</v>
      </c>
      <c r="AD592" s="2" t="e">
        <f ca="1">_xll.BDH($C$578,"MODIFIED_WORK_CAP_GROWTH","FQ4 2016","FQ4 2016","Currency=INR","Period=FQ","BEST_FPERIOD_OVERRIDE=FQ","FILING_STATUS=OR","EQY_CONSOLIDATED=Y","Sort=A","Dates=H","DateFormat=P","Fill=—","Direction=H","UseDPDF=Y")</f>
        <v>#NAME?</v>
      </c>
      <c r="AE592" s="2" t="e">
        <f ca="1">_xll.BDH($C$578,"WORK_CAP_GROWTH","FQ4 2016","FQ4 2016","Currency=INR","Period=FQ","BEST_FPERIOD_OVERRIDE=FQ","FILING_STATUS=OR","EQY_CONSOLIDATED=Y","Sort=A","Dates=H","DateFormat=P","Fill=—","Direction=H","UseDPDF=Y")</f>
        <v>#NAME?</v>
      </c>
      <c r="AF592" s="2" t="e">
        <f ca="1">_xll.BDH($C$578,"ACCOUNTS_PAYABLE_GROWTH_1YR","FQ4 2016","FQ4 2016","Currency=INR","Period=FQ","BEST_FPERIOD_OVERRIDE=FQ","FILING_STATUS=OR","EQY_CONSOLIDATED=Y","Sort=A","Dates=H","DateFormat=P","Fill=—","Direction=H","UseDPDF=Y")</f>
        <v>#NAME?</v>
      </c>
      <c r="AG592" s="2" t="e">
        <f ca="1">_xll.BDH($C$578,"SHORT_TERM_DEBT_1_YEAR_GROWTH","FQ4 2016","FQ4 2016","Currency=INR","Period=FQ","BEST_FPERIOD_OVERRIDE=FQ","FILING_STATUS=OR","EQY_CONSOLIDATED=Y","Sort=A","Dates=H","DateFormat=P","Fill=—","Direction=H","UseDPDF=Y")</f>
        <v>#NAME?</v>
      </c>
      <c r="AH592" s="2" t="e">
        <f ca="1">_xll.BDH($C$578,"TOTAL_DEBT_1_YEAR_GROWTH","FQ4 2016","FQ4 2016","Currency=INR","Period=FQ","BEST_FPERIOD_OVERRIDE=FQ","FILING_STATUS=OR","EQY_CONSOLIDATED=Y","Sort=A","Dates=H","DateFormat=P","Fill=—","Direction=H","UseDPDF=Y")</f>
        <v>#NAME?</v>
      </c>
      <c r="AI592" s="2" t="e">
        <f ca="1">_xll.BDH($C$578,"TOTAL_EQUITY_1_YEAR_GROWTH","FQ4 2016","FQ4 2016","Currency=INR","Period=FQ","BEST_FPERIOD_OVERRIDE=FQ","FILING_STATUS=OR","EQY_CONSOLIDATED=Y","Sort=A","Dates=H","DateFormat=P","Fill=—","Direction=H","UseDPDF=Y")</f>
        <v>#NAME?</v>
      </c>
      <c r="AJ592" s="2" t="e">
        <f ca="1">_xll.BDH($C$578,"GROWTH_IN_CAP","FQ4 2016","FQ4 2016","Currency=INR","Period=FQ","BEST_FPERIOD_OVERRIDE=FQ","FILING_STATUS=OR","EQY_CONSOLIDATED=Y","Sort=A","Dates=H","DateFormat=P","Fill=—","Direction=H","UseDPDF=Y")</f>
        <v>#NAME?</v>
      </c>
      <c r="AK592" s="2" t="e">
        <f ca="1">_xll.BDH($C$578,"BVPS_GROWTH","FQ4 2016","FQ4 2016","Currency=INR","Period=FQ","BEST_FPERIOD_OVERRIDE=FQ","FILING_STATUS=OR","EQY_CONSOLIDATED=Y","Sort=A","Dates=H","DateFormat=P","Fill=—","Direction=H","UseDPDF=Y")</f>
        <v>#NAME?</v>
      </c>
      <c r="AL592" s="2" t="e">
        <f ca="1">_xll.BDH($C$578,"CASH_FLOW_GROWTH","FQ4 2016","FQ4 2016","Currency=INR","Period=FQ","BEST_FPERIOD_OVERRIDE=FQ","FILING_STATUS=OR","EQY_CONSOLIDATED=Y","Sort=A","Dates=H","DateFormat=P","Fill=—","Direction=H","UseDPDF=Y")</f>
        <v>#NAME?</v>
      </c>
      <c r="AM592" s="2" t="e">
        <f ca="1">_xll.BDH($C$578,"GEO_GROW_NET_SALES","FQ4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592" s="2" t="e">
        <f ca="1">_xll.BDH($C$578,"GEO_GROW_EBITDA","FQ4 2016","FQ4 2016","Currency=INR","Period=FQ","BEST_FPERIOD_OVERRIDE=FQ","FILING_STATUS=OR","EQY_CONSOLIDATED=Y","FA_ADJUSTED=GAAP","Sort=A","Dates=H","DateFormat=P","Fill=—","Direction=H","UseDPDF=Y")</f>
        <v>#NAME?</v>
      </c>
      <c r="AO592" s="2" t="e">
        <f ca="1">_xll.BDH($C$578,"GEO_GROW_OPER_INC","FQ4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592" s="2" t="e">
        <f ca="1">_xll.BDH($C$578,"NET_INCOME_TO_COMMON_5_YR_GROWTH","FQ4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592" s="2" t="e">
        <f ca="1">_xll.BDH($C$578,"5Y_GEO_GROWTH_DILUTED_EPS","FQ4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592" s="2" t="e">
        <f ca="1">_xll.BDH($C$578,"GEO_GROW_DVD_PER_SH","FQ4 2016","FQ4 2016","Currency=INR","Period=FQ","BEST_FPERIOD_OVERRIDE=FQ","FILING_STATUS=OR","EQY_CONSOLIDATED=Y","Sort=A","Dates=H","DateFormat=P","Fill=—","Direction=H","UseDPDF=Y")</f>
        <v>#NAME?</v>
      </c>
      <c r="AS592" s="2" t="e">
        <f ca="1">_xll.BDH($C$578,"ACCOUNTS_RECEIVABLE_5_YR_GROWTH","FQ4 2016","FQ4 2016","Currency=INR","Period=FQ","BEST_FPERIOD_OVERRIDE=FQ","FILING_STATUS=OR","EQY_CONSOLIDATED=Y","Sort=A","Dates=H","DateFormat=P","Fill=—","Direction=H","UseDPDF=Y")</f>
        <v>#NAME?</v>
      </c>
      <c r="AT592" s="2" t="e">
        <f ca="1">_xll.BDH($C$578,"INVENTORY_5_YEAR_GROWTH","FQ4 2016","FQ4 2016","Currency=INR","Period=FQ","BEST_FPERIOD_OVERRIDE=FQ","FILING_STATUS=OR","EQY_CONSOLIDATED=Y","Sort=A","Dates=H","DateFormat=P","Fill=—","Direction=H","UseDPDF=Y")</f>
        <v>#NAME?</v>
      </c>
      <c r="AU592" s="2" t="e">
        <f ca="1">_xll.BDH($C$578,"NET_FIXED_ASSETS_5_YEAR_GROWTH","FQ4 2016","FQ4 2016","Currency=INR","Period=FQ","BEST_FPERIOD_OVERRIDE=FQ","FILING_STATUS=OR","EQY_CONSOLIDATED=Y","Sort=A","Dates=H","DateFormat=P","Fill=—","Direction=H","UseDPDF=Y")</f>
        <v>#NAME?</v>
      </c>
      <c r="AV592" s="2" t="e">
        <f ca="1">_xll.BDH($C$578,"GEO_GROW_TOT_ASSET","FQ4 2016","FQ4 2016","Currency=INR","Period=FQ","BEST_FPERIOD_OVERRIDE=FQ","FILING_STATUS=OR","EQY_CONSOLIDATED=Y","Sort=A","Dates=H","DateFormat=P","Fill=—","Direction=H","UseDPDF=Y")</f>
        <v>#NAME?</v>
      </c>
      <c r="AW592" s="2" t="e">
        <f ca="1">_xll.BDH($C$578,"MODIFIED_WORKING_CPTL_5YR_GRWTH","FQ4 2016","FQ4 2016","Currency=INR","Period=FQ","BEST_FPERIOD_OVERRIDE=FQ","FILING_STATUS=OR","EQY_CONSOLIDATED=Y","Sort=A","Dates=H","DateFormat=P","Fill=—","Direction=H","UseDPDF=Y")</f>
        <v>#NAME?</v>
      </c>
      <c r="AX592" s="2" t="e">
        <f ca="1">_xll.BDH($C$578,"WORKING_CAPITAL_5_YEAR_GROWTH","FQ4 2016","FQ4 2016","Currency=INR","Period=FQ","BEST_FPERIOD_OVERRIDE=FQ","FILING_STATUS=OR","EQY_CONSOLIDATED=Y","Sort=A","Dates=H","DateFormat=P","Fill=—","Direction=H","UseDPDF=Y")</f>
        <v>#NAME?</v>
      </c>
      <c r="AY592" s="2" t="e">
        <f ca="1">_xll.BDH($C$578,"ACCOUNTS_PAYABLE_5_YEAR_GROWTH","FQ4 2016","FQ4 2016","Currency=INR","Period=FQ","BEST_FPERIOD_OVERRIDE=FQ","FILING_STATUS=OR","EQY_CONSOLIDATED=Y","Sort=A","Dates=H","DateFormat=P","Fill=—","Direction=H","UseDPDF=Y")</f>
        <v>#NAME?</v>
      </c>
      <c r="AZ592" s="2" t="e">
        <f ca="1">_xll.BDH($C$578,"SHORT_TERM_DEBT_5_YEAR_GROWTH","FQ4 2016","FQ4 2016","Currency=INR","Period=FQ","BEST_FPERIOD_OVERRIDE=FQ","FILING_STATUS=OR","EQY_CONSOLIDATED=Y","Sort=A","Dates=H","DateFormat=P","Fill=—","Direction=H","UseDPDF=Y")</f>
        <v>#NAME?</v>
      </c>
      <c r="BA592" s="2" t="e">
        <f ca="1">_xll.BDH($C$578,"TOTAL_DEBT_5_YEAR_GROWTH","FQ4 2016","FQ4 2016","Currency=INR","Period=FQ","BEST_FPERIOD_OVERRIDE=FQ","FILING_STATUS=OR","EQY_CONSOLIDATED=Y","Sort=A","Dates=H","DateFormat=P","Fill=—","Direction=H","UseDPDF=Y")</f>
        <v>#NAME?</v>
      </c>
      <c r="BB592" s="2" t="e">
        <f ca="1">_xll.BDH($C$578,"GEO_GROW_TOT_SHRHLDR_EQY","FQ4 2016","FQ4 2016","Currency=INR","Period=FQ","BEST_FPERIOD_OVERRIDE=FQ","FILING_STATUS=OR","EQY_CONSOLIDATED=Y","Sort=A","Dates=H","DateFormat=P","Fill=—","Direction=H","UseDPDF=Y")</f>
        <v>#NAME?</v>
      </c>
      <c r="BC592" s="2" t="e">
        <f ca="1">_xll.BDH($C$578,"TOTAL_CAPITAL_5_YEAR_GROWTH","FQ4 2016","FQ4 2016","Currency=INR","Period=FQ","BEST_FPERIOD_OVERRIDE=FQ","FILING_STATUS=OR","EQY_CONSOLIDATED=Y","Sort=A","Dates=H","DateFormat=P","Fill=—","Direction=H","UseDPDF=Y")</f>
        <v>#NAME?</v>
      </c>
      <c r="BD592" s="2" t="e">
        <f ca="1">_xll.BDH($C$578,"GEO_GROW_BOOK_VAL","FQ4 2016","FQ4 2016","Currency=INR","Period=FQ","BEST_FPERIOD_OVERRIDE=FQ","FILING_STATUS=OR","EQY_CONSOLIDATED=Y","Sort=A","Dates=H","DateFormat=P","Fill=—","Direction=H","UseDPDF=Y")</f>
        <v>#NAME?</v>
      </c>
      <c r="BE592" s="2" t="e">
        <f ca="1">_xll.BDH($C$578,"GEO_GROW_CASH_OPER_ACT","FQ4 2016","FQ4 2016","Currency=INR","Period=FQ","BEST_FPERIOD_OVERRIDE=FQ","FILING_STATUS=OR","EQY_CONSOLIDATED=Y","Sort=A","Dates=H","DateFormat=P","Fill=—","Direction=H","UseDPDF=Y")</f>
        <v>#NAME?</v>
      </c>
      <c r="BF592" s="2" t="e">
        <f ca="1">_xll.BDH($C$578,"REVENUE_SEQUENTIAL_GROWTH","FQ4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592" s="2" t="e">
        <f ca="1">_xll.BDH($C$578,"EBITDA_SEQUENTIAL_GROWTH","FQ4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592" s="2" t="e">
        <f ca="1">_xll.BDH($C$578,"OPERATING_INCOME_SEQ_GROWTH","FQ4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592" s="2" t="e">
        <f ca="1">_xll.BDH($C$578,"NET_INCOME_TO_COMMON_SEQ_GROWTH","FQ4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592" s="2" t="e">
        <f ca="1">_xll.BDH($C$578,"EPS_DILUTED_SEQUENTIAL_GROWTH","FQ4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592" s="2" t="e">
        <f ca="1">_xll.BDH($C$578,"DPS_SEQUENTIAL_GROWTH","FQ4 2016","FQ4 2016","Currency=INR","Period=FQ","BEST_FPERIOD_OVERRIDE=FQ","FILING_STATUS=OR","EQY_CONSOLIDATED=Y","Sort=A","Dates=H","DateFormat=P","Fill=—","Direction=H","UseDPDF=Y")</f>
        <v>#NAME?</v>
      </c>
      <c r="BL592" s="2" t="e">
        <f ca="1">_xll.BDH($C$578,"ACCOUNTS_RECEIVABLE_SEQ_GROWTH","FQ4 2016","FQ4 2016","Currency=INR","Period=FQ","BEST_FPERIOD_OVERRIDE=FQ","FILING_STATUS=OR","EQY_CONSOLIDATED=Y","Sort=A","Dates=H","DateFormat=P","Fill=—","Direction=H","UseDPDF=Y")</f>
        <v>#NAME?</v>
      </c>
      <c r="BM592" s="2" t="e">
        <f ca="1">_xll.BDH($C$578,"INVENTORY_SEQUENTIAL_GROWTH","FQ4 2016","FQ4 2016","Currency=INR","Period=FQ","BEST_FPERIOD_OVERRIDE=FQ","FILING_STATUS=OR","EQY_CONSOLIDATED=Y","Sort=A","Dates=H","DateFormat=P","Fill=—","Direction=H","UseDPDF=Y")</f>
        <v>#NAME?</v>
      </c>
      <c r="BN592" s="2" t="e">
        <f ca="1">_xll.BDH($C$578,"FIXED_ASSETS_SEQUENTIAL_GROWTH","FQ4 2016","FQ4 2016","Currency=INR","Period=FQ","BEST_FPERIOD_OVERRIDE=FQ","FILING_STATUS=OR","EQY_CONSOLIDATED=Y","Sort=A","Dates=H","DateFormat=P","Fill=—","Direction=H","UseDPDF=Y")</f>
        <v>#NAME?</v>
      </c>
      <c r="BO592" s="2" t="e">
        <f ca="1">_xll.BDH($C$578,"TOTAL_ASSETS_SEQUENTIAL_GROWTH","FQ4 2016","FQ4 2016","Currency=INR","Period=FQ","BEST_FPERIOD_OVERRIDE=FQ","FILING_STATUS=OR","EQY_CONSOLIDATED=Y","Sort=A","Dates=H","DateFormat=P","Fill=—","Direction=H","UseDPDF=Y")</f>
        <v>#NAME?</v>
      </c>
      <c r="BP592" s="2" t="e">
        <f ca="1">_xll.BDH($C$578,"MODIFIED_WORKING_CPTL_SEQ_GRWTH","FQ4 2016","FQ4 2016","Currency=INR","Period=FQ","BEST_FPERIOD_OVERRIDE=FQ","FILING_STATUS=OR","EQY_CONSOLIDATED=Y","Sort=A","Dates=H","DateFormat=P","Fill=—","Direction=H","UseDPDF=Y")</f>
        <v>#NAME?</v>
      </c>
      <c r="BQ592" s="2" t="e">
        <f ca="1">_xll.BDH($C$578,"WORKING_CAPITAL_SEQ_GROWTH","FQ4 2016","FQ4 2016","Currency=INR","Period=FQ","BEST_FPERIOD_OVERRIDE=FQ","FILING_STATUS=OR","EQY_CONSOLIDATED=Y","Sort=A","Dates=H","DateFormat=P","Fill=—","Direction=H","UseDPDF=Y")</f>
        <v>#NAME?</v>
      </c>
      <c r="BR592" s="2" t="e">
        <f ca="1">_xll.BDH($C$578,"ACCOUNTS_PAYABLE_SEQ_GROWTH","FQ4 2016","FQ4 2016","Currency=INR","Period=FQ","BEST_FPERIOD_OVERRIDE=FQ","FILING_STATUS=OR","EQY_CONSOLIDATED=Y","Sort=A","Dates=H","DateFormat=P","Fill=—","Direction=H","UseDPDF=Y")</f>
        <v>#NAME?</v>
      </c>
      <c r="BS592" s="2" t="e">
        <f ca="1">_xll.BDH($C$578,"ST_DEBT_SEQUENTIAL_GROWTH","FQ4 2016","FQ4 2016","Currency=INR","Period=FQ","BEST_FPERIOD_OVERRIDE=FQ","FILING_STATUS=OR","EQY_CONSOLIDATED=Y","Sort=A","Dates=H","DateFormat=P","Fill=—","Direction=H","UseDPDF=Y")</f>
        <v>#NAME?</v>
      </c>
      <c r="BT592" s="2" t="e">
        <f ca="1">_xll.BDH($C$578,"TOTAL_DEBT_SEQUENTIAL_GROWTH","FQ4 2016","FQ4 2016","Currency=INR","Period=FQ","BEST_FPERIOD_OVERRIDE=FQ","FILING_STATUS=OR","EQY_CONSOLIDATED=Y","Sort=A","Dates=H","DateFormat=P","Fill=—","Direction=H","UseDPDF=Y")</f>
        <v>#NAME?</v>
      </c>
      <c r="BU592" s="2" t="e">
        <f ca="1">_xll.BDH($C$578,"TOTAL_EQUITY_SEQUENTIAL_GROWTH","FQ4 2016","FQ4 2016","Currency=INR","Period=FQ","BEST_FPERIOD_OVERRIDE=FQ","FILING_STATUS=OR","EQY_CONSOLIDATED=Y","Sort=A","Dates=H","DateFormat=P","Fill=—","Direction=H","UseDPDF=Y")</f>
        <v>#NAME?</v>
      </c>
      <c r="BV592" s="2" t="e">
        <f ca="1">_xll.BDH($C$578,"TOTAL_CAPITAL_SEQUENTIAL_GROWTH","FQ4 2016","FQ4 2016","Currency=INR","Period=FQ","BEST_FPERIOD_OVERRIDE=FQ","FILING_STATUS=OR","EQY_CONSOLIDATED=Y","Sort=A","Dates=H","DateFormat=P","Fill=—","Direction=H","UseDPDF=Y")</f>
        <v>#NAME?</v>
      </c>
      <c r="BW592" s="2" t="e">
        <f ca="1">_xll.BDH($C$578,"BPS_SEQUENTIAL_GROWTH","FQ4 2016","FQ4 2016","Currency=INR","Period=FQ","BEST_FPERIOD_OVERRIDE=FQ","FILING_STATUS=OR","EQY_CONSOLIDATED=Y","Sort=A","Dates=H","DateFormat=P","Fill=—","Direction=H","UseDPDF=Y")</f>
        <v>#NAME?</v>
      </c>
      <c r="BX592" s="2" t="e">
        <f ca="1">_xll.BDH($C$578,"CFO_SEQUENTIAL_GROWTH","FQ4 2016","FQ4 2016","Currency=INR","Period=FQ","BEST_FPERIOD_OVERRIDE=FQ","FILING_STATUS=OR","EQY_CONSOLIDATED=Y","Sort=A","Dates=H","DateFormat=P","Fill=—","Direction=H","UseDPDF=Y")</f>
        <v>#NAME?</v>
      </c>
      <c r="BY592" s="3" t="e">
        <f ca="1">_xll.BDH($C$578,"SHORT_AND_LONG_TERM_DEBT","FQ4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592" s="3" t="e">
        <f ca="1">_xll.BDH($C$578,"BS_ST_BORROW","FQ4 2016","FQ4 2016","Currency=INR","Period=FQ","BEST_FPERIOD_OVERRIDE=FQ","FILING_STATUS=OR","EQY_CONSOLIDATED=Y","SCALING_FORMAT=MLN","Sort=A","Dates=H","DateFormat=P","Fill=—","Direction=H","UseDPDF=Y")</f>
        <v>#NAME?</v>
      </c>
      <c r="CA592" s="3" t="e">
        <f ca="1">_xll.BDH($C$578,"BS_LT_BORROW","FQ4 2016","FQ4 2016","Currency=INR","Period=FQ","BEST_FPERIOD_OVERRIDE=FQ","FILING_STATUS=OR","EQY_CONSOLIDATED=Y","SCALING_FORMAT=MLN","Sort=A","Dates=H","DateFormat=P","Fill=—","Direction=H","UseDPDF=Y")</f>
        <v>#NAME?</v>
      </c>
      <c r="CB592" s="2" t="e">
        <f ca="1">_xll.BDH($C$578,"TOT_DEBT_TO_EBITDA","FQ4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592" s="2" t="e">
        <f ca="1">_xll.BDH($C$578,"NET_DEBT_TO_EBITDA","FQ4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592" s="2" t="e">
        <f ca="1">_xll.BDH($C$578,"TOTAL_DEBT_TO_EBIT","FQ4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592" s="2" t="e">
        <f ca="1">_xll.BDH($C$578,"NET_DEBT_TO_EBIT","FQ4 2016","FQ4 2016","Currency=INR","Period=FQ","BEST_FPERIOD_OVERRIDE=FQ","FILING_STATUS=OR","EQY_CONSOLIDATED=Y","FA_ADJUSTED=GAAP","Sort=A","Dates=H","DateFormat=P","Fill=—","Direction=H","UseDPDF=Y")</f>
        <v>#NAME?</v>
      </c>
      <c r="CF592" s="2" t="e">
        <f ca="1">_xll.BDH($C$578,"EBITDA_TO_INTEREST_EXPN","FQ4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592" s="2" t="e">
        <f ca="1">_xll.BDH($C$578,"COM_EQY_TO_TOT_ASSET","FQ4 2016","FQ4 2016","Currency=INR","Period=FQ","BEST_FPERIOD_OVERRIDE=FQ","FILING_STATUS=OR","EQY_CONSOLIDATED=Y","Sort=A","Dates=H","DateFormat=P","Fill=—","Direction=H","UseDPDF=Y")</f>
        <v>#NAME?</v>
      </c>
      <c r="CH592" s="2" t="e">
        <f ca="1">_xll.BDH($C$578,"LT_DEBT_TO_TOT_EQY","FQ4 2016","FQ4 2016","Currency=INR","Period=FQ","BEST_FPERIOD_OVERRIDE=FQ","FILING_STATUS=OR","EQY_CONSOLIDATED=Y","Sort=A","Dates=H","DateFormat=P","Fill=—","Direction=H","UseDPDF=Y")</f>
        <v>#NAME?</v>
      </c>
      <c r="CI592" s="2" t="e">
        <f ca="1">_xll.BDH($C$578,"LT_DEBT_TO_TOT_CAP","FQ4 2016","FQ4 2016","Currency=INR","Period=FQ","BEST_FPERIOD_OVERRIDE=FQ","FILING_STATUS=OR","EQY_CONSOLIDATED=Y","Sort=A","Dates=H","DateFormat=P","Fill=—","Direction=H","UseDPDF=Y")</f>
        <v>#NAME?</v>
      </c>
      <c r="CJ592" s="2" t="e">
        <f ca="1">_xll.BDH($C$578,"LT_DEBT_TO_TOT_ASSET","FQ4 2016","FQ4 2016","Currency=INR","Period=FQ","BEST_FPERIOD_OVERRIDE=FQ","FILING_STATUS=OR","EQY_CONSOLIDATED=Y","Sort=A","Dates=H","DateFormat=P","Fill=—","Direction=H","UseDPDF=Y")</f>
        <v>#NAME?</v>
      </c>
      <c r="CK592" s="2" t="e">
        <f ca="1">_xll.BDH($C$578,"TOT_DEBT_TO_TOT_EQY","FQ4 2016","FQ4 2016","Currency=INR","Period=FQ","BEST_FPERIOD_OVERRIDE=FQ","FILING_STATUS=OR","EQY_CONSOLIDATED=Y","Sort=A","Dates=H","DateFormat=P","Fill=—","Direction=H","UseDPDF=Y")</f>
        <v>#NAME?</v>
      </c>
      <c r="CL592" s="2" t="e">
        <f ca="1">_xll.BDH($C$578,"TOT_DEBT_TO_TOT_CAP","FQ4 2016","FQ4 2016","Currency=INR","Period=FQ","BEST_FPERIOD_OVERRIDE=FQ","FILING_STATUS=OR","EQY_CONSOLIDATED=Y","Sort=A","Dates=H","DateFormat=P","Fill=—","Direction=H","UseDPDF=Y")</f>
        <v>#NAME?</v>
      </c>
      <c r="CM592" s="2" t="e">
        <f ca="1">_xll.BDH($C$578,"TOT_DEBT_TO_TOT_ASSET","FQ4 2016","FQ4 2016","Currency=INR","Period=FQ","BEST_FPERIOD_OVERRIDE=FQ","FILING_STATUS=OR","EQY_CONSOLIDATED=Y","Sort=A","Dates=H","DateFormat=P","Fill=—","Direction=H","UseDPDF=Y")</f>
        <v>#NAME?</v>
      </c>
      <c r="CN592" s="2" t="e">
        <f ca="1">_xll.BDH($C$578,"NET_DEBT_TO_SHRHLDR_EQTY","FQ4 2016","FQ4 2016","Currency=INR","Period=FQ","BEST_FPERIOD_OVERRIDE=FQ","FILING_STATUS=OR","EQY_CONSOLIDATED=Y","Sort=A","Dates=H","DateFormat=P","Fill=—","Direction=H","UseDPDF=Y")</f>
        <v>#NAME?</v>
      </c>
      <c r="CO592" s="2" t="e">
        <f ca="1">_xll.BDH($C$578,"NET_DEBT_%_CAPITAL","FQ4 2016","FQ4 2016","Currency=INR","Period=FQ","BEST_FPERIOD_OVERRIDE=FQ","FILING_STATUS=OR","EQY_CONSOLIDATED=Y","Sort=A","Dates=H","DateFormat=P","Fill=—","Direction=H","UseDPDF=Y")</f>
        <v>#NAME?</v>
      </c>
      <c r="CP592" s="3" t="e">
        <f ca="1">_xll.BDH($C$578,"EBITDA","FQ4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592" s="3" t="e">
        <f ca="1">_xll.BDH($C$578,"EBITDA_AFTER_CAPEX","FQ4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592" s="3" t="e">
        <f ca="1">_xll.BDH($C$578,"IS_OPER_INC","FQ4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592" s="2" t="e">
        <f ca="1">_xll.BDH($C$578,"CASH_RATIO","FQ4 2016","FQ4 2016","Currency=INR","Period=FQ","BEST_FPERIOD_OVERRIDE=FQ","FILING_STATUS=OR","EQY_CONSOLIDATED=Y","Sort=A","Dates=H","DateFormat=P","Fill=—","Direction=H","UseDPDF=Y")</f>
        <v>#NAME?</v>
      </c>
      <c r="CT592" s="2" t="e">
        <f ca="1">_xll.BDH($C$578,"CUR_RATIO","FQ4 2016","FQ4 2016","Currency=INR","Period=FQ","BEST_FPERIOD_OVERRIDE=FQ","FILING_STATUS=OR","EQY_CONSOLIDATED=Y","Sort=A","Dates=H","DateFormat=P","Fill=—","Direction=H","UseDPDF=Y")</f>
        <v>#NAME?</v>
      </c>
      <c r="CU592" s="2" t="e">
        <f ca="1">_xll.BDH($C$578,"QUICK_RATIO","FQ4 2016","FQ4 2016","Currency=INR","Period=FQ","BEST_FPERIOD_OVERRIDE=FQ","FILING_STATUS=OR","EQY_CONSOLIDATED=Y","Sort=A","Dates=H","DateFormat=P","Fill=—","Direction=H","UseDPDF=Y")</f>
        <v>#NAME?</v>
      </c>
      <c r="CV592" s="2" t="e">
        <f ca="1">_xll.BDH($C$578,"ALTMAN_Z_SCORE","FQ4 2016","FQ4 2016","Currency=INR","Period=FQ","BEST_FPERIOD_OVERRIDE=FQ","FILING_STATUS=OR","EQY_CONSOLIDATED=Y","Sort=A","Dates=H","DateFormat=P","Fill=—","Direction=H","UseDPDF=Y")</f>
        <v>#NAME?</v>
      </c>
      <c r="CW592" s="4" t="e">
        <f ca="1">_xll.BDH($C$578,"ACCT_RCV_TURN","FQ4 2016","FQ4 2016","Currency=INR","Period=FQ","BEST_FPERIOD_OVERRIDE=FQ","FILING_STATUS=OR","EQY_CONSOLIDATED=Y","FA_ADJUSTED=GAAP","Sort=A","Dates=H","DateFormat=P","Fill=—","Direction=H","UseDPDF=Y")</f>
        <v>#NAME?</v>
      </c>
      <c r="CX592" s="2" t="e">
        <f ca="1">_xll.BDH($C$578,"ACCT_RCV_DAYS","FQ4 2016","FQ4 2016","Currency=INR","Period=FQ","BEST_FPERIOD_OVERRIDE=FQ","FILING_STATUS=OR","EQY_CONSOLIDATED=Y","FA_ADJUSTED=GAAP","Sort=A","Dates=H","DateFormat=P","Fill=—","Direction=H","UseDPDF=Y")</f>
        <v>#NAME?</v>
      </c>
      <c r="CY592" s="4" t="e">
        <f ca="1">_xll.BDH($C$578,"INVENT_TURN","FQ4 2016","FQ4 2016","Currency=INR","Period=FQ","BEST_FPERIOD_OVERRIDE=FQ","FILING_STATUS=OR","EQY_CONSOLIDATED=Y","FA_ADJUSTED=GAAP","Sort=A","Dates=H","DateFormat=P","Fill=—","Direction=H","UseDPDF=Y")</f>
        <v>#NAME?</v>
      </c>
      <c r="CZ592" s="2" t="e">
        <f ca="1">_xll.BDH($C$578,"INVENT_DAYS","FQ4 2016","FQ4 2016","Currency=INR","Period=FQ","BEST_FPERIOD_OVERRIDE=FQ","FILING_STATUS=OR","EQY_CONSOLIDATED=Y","FA_ADJUSTED=GAAP","Sort=A","Dates=H","DateFormat=P","Fill=—","Direction=H","UseDPDF=Y")</f>
        <v>#NAME?</v>
      </c>
      <c r="DA592" s="4" t="e">
        <f ca="1">_xll.BDH($C$578,"ACCOUNTS_PAYABLE_TURNOVER","FQ4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592" s="2" t="e">
        <f ca="1">_xll.BDH($C$578,"ACCOUNTS_PAYABLE_TURNOVER_DAYS","FQ4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592" s="4" t="e">
        <f ca="1">_xll.BDH($C$578,"CASH_CONVERSION_CYCLE","FQ4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592" s="4" t="e">
        <f ca="1">_xll.BDH($C$578,"INV_TO_CASH_DAYS","FQ4 2016","FQ4 2016","Currency=INR","Period=FQ","BEST_FPERIOD_OVERRIDE=FQ","FILING_STATUS=OR","EQY_CONSOLIDATED=Y","FA_ADJUSTED=GAAP","Sort=A","Dates=H","DateFormat=P","Fill=—","Direction=H","UseDPDF=Y")</f>
        <v>#NAME?</v>
      </c>
      <c r="DE592" s="5" t="e">
        <f ca="1">_xll.BDH($C$578,"BS_INVENTORIES","FQ4 2016","FQ4 2016","Currency=INR","Period=FQ","BEST_FPERIOD_OVERRIDE=FQ","FILING_STATUS=OR","EQY_CONSOLIDATED=Y","SCALING_FORMAT=MLN","Sort=A","Dates=H","DateFormat=P","Fill=—","Direction=H","UseDPDF=Y")</f>
        <v>#NAME?</v>
      </c>
      <c r="DF592" s="3" t="e">
        <f ca="1">_xll.BDH($C$578,"INVTRY_RAW_MATERIALS","FQ4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592" s="3" t="e">
        <f ca="1">_xll.BDH($C$578,"INVTRY_IN_PROGRESS","FQ4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592" s="3" t="e">
        <f ca="1">_xll.BDH($C$578,"INVTRY_FINISHED_GOODS","FQ4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592" s="3" t="e">
        <f ca="1">_xll.BDH($C$578,"BS_OTHER_INV","FQ4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593" spans="1:113" x14ac:dyDescent="0.3">
      <c r="A593" s="6"/>
      <c r="B593" s="6"/>
      <c r="C593" s="6"/>
      <c r="D593" s="6" t="s">
        <v>84</v>
      </c>
      <c r="E593" t="s">
        <v>77</v>
      </c>
      <c r="F593" t="e">
        <f ca="1">_xll.BDH($C$578,"RETURN_COM_EQY","FY 2017","FY 2017","Currency=INR","Period=FY","BEST_FPERIOD_OVERRIDE=FY","FILING_STATUS=OR","EQY_CONSOLIDATED=Y","FA_ADJUSTED=GAAP","Sort=A","Dates=H","DateFormat=P","Fill=—","Direction=H","UseDPDF=Y")</f>
        <v>#NAME?</v>
      </c>
      <c r="G593" t="e">
        <f ca="1">_xll.BDH($C$578,"RETURN_ON_ASSET","FY 2017","FY 2017","Currency=INR","Period=FY","BEST_FPERIOD_OVERRIDE=FY","FILING_STATUS=OR","EQY_CONSOLIDATED=Y","FA_ADJUSTED=GAAP","Sort=A","Dates=H","DateFormat=P","Fill=—","Direction=H","UseDPDF=Y")</f>
        <v>#NAME?</v>
      </c>
      <c r="H593" t="e">
        <f ca="1">_xll.BDH($C$578,"RETURN_ON_CAP","FY 2017","FY 2017","Currency=INR","Period=FY","BEST_FPERIOD_OVERRIDE=FY","FILING_STATUS=OR","EQY_CONSOLIDATED=Y","FA_ADJUSTED=GAAP","Sort=A","Dates=H","DateFormat=P","Fill=—","Direction=H","UseDPDF=Y")</f>
        <v>#NAME?</v>
      </c>
      <c r="I593" t="e">
        <f ca="1">_xll.BDH($C$578,"RETURN_ON_INV_CAPITAL","FY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593" t="e">
        <f ca="1">_xll.BDH($C$578,"EBITDA_TO_REVENUE","FY 2017","FY 2017","Currency=INR","Period=FY","BEST_FPERIOD_OVERRIDE=FY","FILING_STATUS=OR","EQY_CONSOLIDATED=Y","FA_ADJUSTED=GAAP","Sort=A","Dates=H","DateFormat=P","Fill=—","Direction=H","UseDPDF=Y")</f>
        <v>#NAME?</v>
      </c>
      <c r="K593" t="e">
        <f ca="1">_xll.BDH($C$578,"OPER_MARGIN","FY 2017","FY 2017","Currency=INR","Period=FY","BEST_FPERIOD_OVERRIDE=FY","FILING_STATUS=OR","EQY_CONSOLIDATED=Y","FA_ADJUSTED=GAAP","Sort=A","Dates=H","DateFormat=P","Fill=—","Direction=H","UseDPDF=Y")</f>
        <v>#NAME?</v>
      </c>
      <c r="L593" t="e">
        <f ca="1">_xll.BDH($C$578,"INCREMENTAL_OPERATING_MARGIN","FY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593" t="e">
        <f ca="1">_xll.BDH($C$578,"PRETAX_INC_TO_NET_SALES","FY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593" t="e">
        <f ca="1">_xll.BDH($C$578,"INC_BEF_XO_ITEMS_TO_NET_SALES","FY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593" t="e">
        <f ca="1">_xll.BDH($C$578,"PROF_MARGIN","FY 2017","FY 2017","Currency=INR","Period=FY","BEST_FPERIOD_OVERRIDE=FY","FILING_STATUS=OR","EQY_CONSOLIDATED=Y","FA_ADJUSTED=GAAP","Sort=A","Dates=H","DateFormat=P","Fill=—","Direction=H","UseDPDF=Y")</f>
        <v>#NAME?</v>
      </c>
      <c r="P593" t="e">
        <f ca="1">_xll.BDH($C$578,"NET_INCOME_TO_COMMON_MARGIN","FY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593" t="e">
        <f ca="1">_xll.BDH($C$578,"EFF_TAX_RATE","FY 2017","FY 2017","Currency=INR","Period=FY","BEST_FPERIOD_OVERRIDE=FY","FILING_STATUS=OR","EQY_CONSOLIDATED=Y","FA_ADJUSTED=GAAP","Sort=A","Dates=H","DateFormat=P","Fill=—","Direction=H","UseDPDF=Y")</f>
        <v>#NAME?</v>
      </c>
      <c r="R593" t="e">
        <f ca="1">_xll.BDH($C$578,"DVD_PAYOUT_RATIO","FY 2017","FY 2017","Currency=INR","Period=FY","BEST_FPERIOD_OVERRIDE=FY","FILING_STATUS=OR","EQY_CONSOLIDATED=Y","FA_ADJUSTED=GAAP","Sort=A","Dates=H","DateFormat=P","Fill=—","Direction=H","UseDPDF=Y")</f>
        <v>#NAME?</v>
      </c>
      <c r="S593" t="e">
        <f ca="1">_xll.BDH($C$578,"SUSTAIN_GROWTH_RT","FY 2017","FY 2017","Currency=INR","Period=FY","BEST_FPERIOD_OVERRIDE=FY","FILING_STATUS=OR","EQY_CONSOLIDATED=Y","FA_ADJUSTED=GAAP","Sort=A","Dates=H","DateFormat=P","Fill=—","Direction=H","UseDPDF=Y")</f>
        <v>#NAME?</v>
      </c>
      <c r="T593" s="2" t="e">
        <f ca="1">_xll.BDH($C$578,"SALES_GROWTH","FY 2017","FY 2017","Currency=INR","Period=FY","BEST_FPERIOD_OVERRIDE=FY","FILING_STATUS=OR","EQY_CONSOLIDATED=Y","FA_ADJUSTED=GAAP","Sort=A","Dates=H","DateFormat=P","Fill=—","Direction=H","UseDPDF=Y")</f>
        <v>#NAME?</v>
      </c>
      <c r="U593" s="2" t="e">
        <f ca="1">_xll.BDH($C$578,"EBITDA_GROWTH","FY 2017","FY 2017","Currency=INR","Period=FY","BEST_FPERIOD_OVERRIDE=FY","FILING_STATUS=OR","EQY_CONSOLIDATED=Y","FA_ADJUSTED=GAAP","Sort=A","Dates=H","DateFormat=P","Fill=—","Direction=H","UseDPDF=Y")</f>
        <v>#NAME?</v>
      </c>
      <c r="V593" s="2" t="e">
        <f ca="1">_xll.BDH($C$578,"OPER_INC_GROWTH","FY 2017","FY 2017","Currency=INR","Period=FY","BEST_FPERIOD_OVERRIDE=FY","FILING_STATUS=OR","EQY_CONSOLIDATED=Y","FA_ADJUSTED=GAAP","Sort=A","Dates=H","DateFormat=P","Fill=—","Direction=H","UseDPDF=Y")</f>
        <v>#NAME?</v>
      </c>
      <c r="W593" s="2" t="e">
        <f ca="1">_xll.BDH($C$578,"EARN_FOR_COM_GROWTH","FY 2017","FY 2017","Currency=INR","Period=FY","BEST_FPERIOD_OVERRIDE=FY","FILING_STATUS=OR","EQY_CONSOLIDATED=Y","FA_ADJUSTED=GAAP","Sort=A","Dates=H","DateFormat=P","Fill=—","Direction=H","UseDPDF=Y")</f>
        <v>#NAME?</v>
      </c>
      <c r="X593" s="2" t="e">
        <f ca="1">_xll.BDH($C$578,"DILUTED_EPS_AFT_XO_ITEMS_GROWTH","FY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593" s="2" t="e">
        <f ca="1">_xll.BDH($C$578,"DIVIDEND_PER_SHARE_1_YEAR_GROWTH","FY 2017","FY 2017","Currency=INR","Period=FY","BEST_FPERIOD_OVERRIDE=FY","FILING_STATUS=OR","EQY_CONSOLIDATED=Y","Sort=A","Dates=H","DateFormat=P","Fill=—","Direction=H","UseDPDF=Y")</f>
        <v>#NAME?</v>
      </c>
      <c r="Z593" s="2" t="e">
        <f ca="1">_xll.BDH($C$578,"ACCOUNTS_RECEIVABLE_GROWTH","FY 2017","FY 2017","Currency=INR","Period=FY","BEST_FPERIOD_OVERRIDE=FY","FILING_STATUS=OR","EQY_CONSOLIDATED=Y","Sort=A","Dates=H","DateFormat=P","Fill=—","Direction=H","UseDPDF=Y")</f>
        <v>#NAME?</v>
      </c>
      <c r="AA593" s="2" t="e">
        <f ca="1">_xll.BDH($C$578,"INVENTORY_GROWTH","FY 2017","FY 2017","Currency=INR","Period=FY","BEST_FPERIOD_OVERRIDE=FY","FILING_STATUS=OR","EQY_CONSOLIDATED=Y","Sort=A","Dates=H","DateFormat=P","Fill=—","Direction=H","UseDPDF=Y")</f>
        <v>#NAME?</v>
      </c>
      <c r="AB593" s="2" t="e">
        <f ca="1">_xll.BDH($C$578,"NET_FIXED_ASSETS_1_YEAR_GROWTH","FY 2017","FY 2017","Currency=INR","Period=FY","BEST_FPERIOD_OVERRIDE=FY","FILING_STATUS=OR","EQY_CONSOLIDATED=Y","Sort=A","Dates=H","DateFormat=P","Fill=—","Direction=H","UseDPDF=Y")</f>
        <v>#NAME?</v>
      </c>
      <c r="AC593" s="2" t="e">
        <f ca="1">_xll.BDH($C$578,"ASSET_GROWTH","FY 2017","FY 2017","Currency=INR","Period=FY","BEST_FPERIOD_OVERRIDE=FY","FILING_STATUS=OR","EQY_CONSOLIDATED=Y","Sort=A","Dates=H","DateFormat=P","Fill=—","Direction=H","UseDPDF=Y")</f>
        <v>#NAME?</v>
      </c>
      <c r="AD593" s="2" t="e">
        <f ca="1">_xll.BDH($C$578,"MODIFIED_WORK_CAP_GROWTH","FY 2017","FY 2017","Currency=INR","Period=FY","BEST_FPERIOD_OVERRIDE=FY","FILING_STATUS=OR","EQY_CONSOLIDATED=Y","Sort=A","Dates=H","DateFormat=P","Fill=—","Direction=H","UseDPDF=Y")</f>
        <v>#NAME?</v>
      </c>
      <c r="AE593" s="2" t="e">
        <f ca="1">_xll.BDH($C$578,"WORK_CAP_GROWTH","FY 2017","FY 2017","Currency=INR","Period=FY","BEST_FPERIOD_OVERRIDE=FY","FILING_STATUS=OR","EQY_CONSOLIDATED=Y","Sort=A","Dates=H","DateFormat=P","Fill=—","Direction=H","UseDPDF=Y")</f>
        <v>#NAME?</v>
      </c>
      <c r="AF593" s="2" t="e">
        <f ca="1">_xll.BDH($C$578,"ACCOUNTS_PAYABLE_GROWTH_1YR","FY 2017","FY 2017","Currency=INR","Period=FY","BEST_FPERIOD_OVERRIDE=FY","FILING_STATUS=OR","EQY_CONSOLIDATED=Y","Sort=A","Dates=H","DateFormat=P","Fill=—","Direction=H","UseDPDF=Y")</f>
        <v>#NAME?</v>
      </c>
      <c r="AG593" s="2" t="e">
        <f ca="1">_xll.BDH($C$578,"SHORT_TERM_DEBT_1_YEAR_GROWTH","FY 2017","FY 2017","Currency=INR","Period=FY","BEST_FPERIOD_OVERRIDE=FY","FILING_STATUS=OR","EQY_CONSOLIDATED=Y","Sort=A","Dates=H","DateFormat=P","Fill=—","Direction=H","UseDPDF=Y")</f>
        <v>#NAME?</v>
      </c>
      <c r="AH593" s="2" t="e">
        <f ca="1">_xll.BDH($C$578,"TOTAL_DEBT_1_YEAR_GROWTH","FY 2017","FY 2017","Currency=INR","Period=FY","BEST_FPERIOD_OVERRIDE=FY","FILING_STATUS=OR","EQY_CONSOLIDATED=Y","Sort=A","Dates=H","DateFormat=P","Fill=—","Direction=H","UseDPDF=Y")</f>
        <v>#NAME?</v>
      </c>
      <c r="AI593" s="2" t="e">
        <f ca="1">_xll.BDH($C$578,"TOTAL_EQUITY_1_YEAR_GROWTH","FY 2017","FY 2017","Currency=INR","Period=FY","BEST_FPERIOD_OVERRIDE=FY","FILING_STATUS=OR","EQY_CONSOLIDATED=Y","Sort=A","Dates=H","DateFormat=P","Fill=—","Direction=H","UseDPDF=Y")</f>
        <v>#NAME?</v>
      </c>
      <c r="AJ593" s="2" t="e">
        <f ca="1">_xll.BDH($C$578,"GROWTH_IN_CAP","FY 2017","FY 2017","Currency=INR","Period=FY","BEST_FPERIOD_OVERRIDE=FY","FILING_STATUS=OR","EQY_CONSOLIDATED=Y","Sort=A","Dates=H","DateFormat=P","Fill=—","Direction=H","UseDPDF=Y")</f>
        <v>#NAME?</v>
      </c>
      <c r="AK593" s="2" t="e">
        <f ca="1">_xll.BDH($C$578,"BVPS_GROWTH","FY 2017","FY 2017","Currency=INR","Period=FY","BEST_FPERIOD_OVERRIDE=FY","FILING_STATUS=OR","EQY_CONSOLIDATED=Y","Sort=A","Dates=H","DateFormat=P","Fill=—","Direction=H","UseDPDF=Y")</f>
        <v>#NAME?</v>
      </c>
      <c r="AL593" s="2" t="e">
        <f ca="1">_xll.BDH($C$578,"CASH_FLOW_GROWTH","FY 2017","FY 2017","Currency=INR","Period=FY","BEST_FPERIOD_OVERRIDE=FY","FILING_STATUS=OR","EQY_CONSOLIDATED=Y","Sort=A","Dates=H","DateFormat=P","Fill=—","Direction=H","UseDPDF=Y")</f>
        <v>#NAME?</v>
      </c>
      <c r="AM593" s="2" t="e">
        <f ca="1">_xll.BDH($C$578,"GEO_GROW_NET_SALES","FY 2017","FY 2017","Currency=INR","Period=FY","BEST_FPERIOD_OVERRIDE=FY","FILING_STATUS=OR","EQY_CONSOLIDATED=Y","FA_ADJUSTED=GAAP","Sort=A","Dates=H","DateFormat=P","Fill=—","Direction=H","UseDPDF=Y")</f>
        <v>#NAME?</v>
      </c>
      <c r="AN593" s="2" t="e">
        <f ca="1">_xll.BDH($C$578,"GEO_GROW_EBITDA","FY 2017","FY 2017","Currency=INR","Period=FY","BEST_FPERIOD_OVERRIDE=FY","FILING_STATUS=OR","EQY_CONSOLIDATED=Y","FA_ADJUSTED=GAAP","Sort=A","Dates=H","DateFormat=P","Fill=—","Direction=H","UseDPDF=Y")</f>
        <v>#NAME?</v>
      </c>
      <c r="AO593" s="2" t="e">
        <f ca="1">_xll.BDH($C$578,"GEO_GROW_OPER_INC","FY 2017","FY 2017","Currency=INR","Period=FY","BEST_FPERIOD_OVERRIDE=FY","FILING_STATUS=OR","EQY_CONSOLIDATED=Y","FA_ADJUSTED=GAAP","Sort=A","Dates=H","DateFormat=P","Fill=—","Direction=H","UseDPDF=Y")</f>
        <v>#NAME?</v>
      </c>
      <c r="AP593" s="2" t="e">
        <f ca="1">_xll.BDH($C$578,"NET_INCOME_TO_COMMON_5_YR_GROWTH","FY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593" s="2" t="e">
        <f ca="1">_xll.BDH($C$578,"5Y_GEO_GROWTH_DILUTED_EPS","FY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593" s="2" t="e">
        <f ca="1">_xll.BDH($C$578,"GEO_GROW_DVD_PER_SH","FY 2017","FY 2017","Currency=INR","Period=FY","BEST_FPERIOD_OVERRIDE=FY","FILING_STATUS=OR","EQY_CONSOLIDATED=Y","Sort=A","Dates=H","DateFormat=P","Fill=—","Direction=H","UseDPDF=Y")</f>
        <v>#NAME?</v>
      </c>
      <c r="AS593" s="2" t="e">
        <f ca="1">_xll.BDH($C$578,"ACCOUNTS_RECEIVABLE_5_YR_GROWTH","FY 2017","FY 2017","Currency=INR","Period=FY","BEST_FPERIOD_OVERRIDE=FY","FILING_STATUS=OR","EQY_CONSOLIDATED=Y","Sort=A","Dates=H","DateFormat=P","Fill=—","Direction=H","UseDPDF=Y")</f>
        <v>#NAME?</v>
      </c>
      <c r="AT593" s="2" t="e">
        <f ca="1">_xll.BDH($C$578,"INVENTORY_5_YEAR_GROWTH","FY 2017","FY 2017","Currency=INR","Period=FY","BEST_FPERIOD_OVERRIDE=FY","FILING_STATUS=OR","EQY_CONSOLIDATED=Y","Sort=A","Dates=H","DateFormat=P","Fill=—","Direction=H","UseDPDF=Y")</f>
        <v>#NAME?</v>
      </c>
      <c r="AU593" s="2" t="e">
        <f ca="1">_xll.BDH($C$578,"NET_FIXED_ASSETS_5_YEAR_GROWTH","FY 2017","FY 2017","Currency=INR","Period=FY","BEST_FPERIOD_OVERRIDE=FY","FILING_STATUS=OR","EQY_CONSOLIDATED=Y","Sort=A","Dates=H","DateFormat=P","Fill=—","Direction=H","UseDPDF=Y")</f>
        <v>#NAME?</v>
      </c>
      <c r="AV593" s="2" t="e">
        <f ca="1">_xll.BDH($C$578,"GEO_GROW_TOT_ASSET","FY 2017","FY 2017","Currency=INR","Period=FY","BEST_FPERIOD_OVERRIDE=FY","FILING_STATUS=OR","EQY_CONSOLIDATED=Y","Sort=A","Dates=H","DateFormat=P","Fill=—","Direction=H","UseDPDF=Y")</f>
        <v>#NAME?</v>
      </c>
      <c r="AW593" s="2" t="e">
        <f ca="1">_xll.BDH($C$578,"MODIFIED_WORKING_CPTL_5YR_GRWTH","FY 2017","FY 2017","Currency=INR","Period=FY","BEST_FPERIOD_OVERRIDE=FY","FILING_STATUS=OR","EQY_CONSOLIDATED=Y","Sort=A","Dates=H","DateFormat=P","Fill=—","Direction=H","UseDPDF=Y")</f>
        <v>#NAME?</v>
      </c>
      <c r="AX593" s="2" t="e">
        <f ca="1">_xll.BDH($C$578,"WORKING_CAPITAL_5_YEAR_GROWTH","FY 2017","FY 2017","Currency=INR","Period=FY","BEST_FPERIOD_OVERRIDE=FY","FILING_STATUS=OR","EQY_CONSOLIDATED=Y","Sort=A","Dates=H","DateFormat=P","Fill=—","Direction=H","UseDPDF=Y")</f>
        <v>#NAME?</v>
      </c>
      <c r="AY593" s="2" t="e">
        <f ca="1">_xll.BDH($C$578,"ACCOUNTS_PAYABLE_5_YEAR_GROWTH","FY 2017","FY 2017","Currency=INR","Period=FY","BEST_FPERIOD_OVERRIDE=FY","FILING_STATUS=OR","EQY_CONSOLIDATED=Y","Sort=A","Dates=H","DateFormat=P","Fill=—","Direction=H","UseDPDF=Y")</f>
        <v>#NAME?</v>
      </c>
      <c r="AZ593" s="2" t="e">
        <f ca="1">_xll.BDH($C$578,"SHORT_TERM_DEBT_5_YEAR_GROWTH","FY 2017","FY 2017","Currency=INR","Period=FY","BEST_FPERIOD_OVERRIDE=FY","FILING_STATUS=OR","EQY_CONSOLIDATED=Y","Sort=A","Dates=H","DateFormat=P","Fill=—","Direction=H","UseDPDF=Y")</f>
        <v>#NAME?</v>
      </c>
      <c r="BA593" s="2" t="e">
        <f ca="1">_xll.BDH($C$578,"TOTAL_DEBT_5_YEAR_GROWTH","FY 2017","FY 2017","Currency=INR","Period=FY","BEST_FPERIOD_OVERRIDE=FY","FILING_STATUS=OR","EQY_CONSOLIDATED=Y","Sort=A","Dates=H","DateFormat=P","Fill=—","Direction=H","UseDPDF=Y")</f>
        <v>#NAME?</v>
      </c>
      <c r="BB593" s="2" t="e">
        <f ca="1">_xll.BDH($C$578,"GEO_GROW_TOT_SHRHLDR_EQY","FY 2017","FY 2017","Currency=INR","Period=FY","BEST_FPERIOD_OVERRIDE=FY","FILING_STATUS=OR","EQY_CONSOLIDATED=Y","Sort=A","Dates=H","DateFormat=P","Fill=—","Direction=H","UseDPDF=Y")</f>
        <v>#NAME?</v>
      </c>
      <c r="BC593" s="2" t="e">
        <f ca="1">_xll.BDH($C$578,"TOTAL_CAPITAL_5_YEAR_GROWTH","FY 2017","FY 2017","Currency=INR","Period=FY","BEST_FPERIOD_OVERRIDE=FY","FILING_STATUS=OR","EQY_CONSOLIDATED=Y","Sort=A","Dates=H","DateFormat=P","Fill=—","Direction=H","UseDPDF=Y")</f>
        <v>#NAME?</v>
      </c>
      <c r="BD593" s="2" t="e">
        <f ca="1">_xll.BDH($C$578,"GEO_GROW_BOOK_VAL","FY 2017","FY 2017","Currency=INR","Period=FY","BEST_FPERIOD_OVERRIDE=FY","FILING_STATUS=OR","EQY_CONSOLIDATED=Y","Sort=A","Dates=H","DateFormat=P","Fill=—","Direction=H","UseDPDF=Y")</f>
        <v>#NAME?</v>
      </c>
      <c r="BE593" s="2" t="e">
        <f ca="1">_xll.BDH($C$578,"GEO_GROW_CASH_OPER_ACT","FY 2017","FY 2017","Currency=INR","Period=FY","BEST_FPERIOD_OVERRIDE=FY","FILING_STATUS=OR","EQY_CONSOLIDATED=Y","Sort=A","Dates=H","DateFormat=P","Fill=—","Direction=H","UseDPDF=Y")</f>
        <v>#NAME?</v>
      </c>
      <c r="BF593" s="2" t="e">
        <f ca="1">_xll.BDH($C$578,"REVENUE_SEQUENTIAL_GROWTH","FY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593" s="2" t="e">
        <f ca="1">_xll.BDH($C$578,"EBITDA_SEQUENTIAL_GROWTH","FY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593" s="2" t="e">
        <f ca="1">_xll.BDH($C$578,"OPERATING_INCOME_SEQ_GROWTH","FY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593" s="2" t="e">
        <f ca="1">_xll.BDH($C$578,"NET_INCOME_TO_COMMON_SEQ_GROWTH","FY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593" s="2" t="e">
        <f ca="1">_xll.BDH($C$578,"EPS_DILUTED_SEQUENTIAL_GROWTH","FY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593" s="2" t="e">
        <f ca="1">_xll.BDH($C$578,"DPS_SEQUENTIAL_GROWTH","FY 2017","FY 2017","Currency=INR","Period=FY","BEST_FPERIOD_OVERRIDE=FY","FILING_STATUS=OR","EQY_CONSOLIDATED=Y","Sort=A","Dates=H","DateFormat=P","Fill=—","Direction=H","UseDPDF=Y")</f>
        <v>#NAME?</v>
      </c>
      <c r="BL593" s="2" t="e">
        <f ca="1">_xll.BDH($C$578,"ACCOUNTS_RECEIVABLE_SEQ_GROWTH","FY 2017","FY 2017","Currency=INR","Period=FY","BEST_FPERIOD_OVERRIDE=FY","FILING_STATUS=OR","EQY_CONSOLIDATED=Y","Sort=A","Dates=H","DateFormat=P","Fill=—","Direction=H","UseDPDF=Y")</f>
        <v>#NAME?</v>
      </c>
      <c r="BM593" s="2" t="e">
        <f ca="1">_xll.BDH($C$578,"INVENTORY_SEQUENTIAL_GROWTH","FY 2017","FY 2017","Currency=INR","Period=FY","BEST_FPERIOD_OVERRIDE=FY","FILING_STATUS=OR","EQY_CONSOLIDATED=Y","Sort=A","Dates=H","DateFormat=P","Fill=—","Direction=H","UseDPDF=Y")</f>
        <v>#NAME?</v>
      </c>
      <c r="BN593" s="2" t="e">
        <f ca="1">_xll.BDH($C$578,"FIXED_ASSETS_SEQUENTIAL_GROWTH","FY 2017","FY 2017","Currency=INR","Period=FY","BEST_FPERIOD_OVERRIDE=FY","FILING_STATUS=OR","EQY_CONSOLIDATED=Y","Sort=A","Dates=H","DateFormat=P","Fill=—","Direction=H","UseDPDF=Y")</f>
        <v>#NAME?</v>
      </c>
      <c r="BO593" s="2" t="e">
        <f ca="1">_xll.BDH($C$578,"TOTAL_ASSETS_SEQUENTIAL_GROWTH","FY 2017","FY 2017","Currency=INR","Period=FY","BEST_FPERIOD_OVERRIDE=FY","FILING_STATUS=OR","EQY_CONSOLIDATED=Y","Sort=A","Dates=H","DateFormat=P","Fill=—","Direction=H","UseDPDF=Y")</f>
        <v>#NAME?</v>
      </c>
      <c r="BP593" s="2" t="e">
        <f ca="1">_xll.BDH($C$578,"MODIFIED_WORKING_CPTL_SEQ_GRWTH","FY 2017","FY 2017","Currency=INR","Period=FY","BEST_FPERIOD_OVERRIDE=FY","FILING_STATUS=OR","EQY_CONSOLIDATED=Y","Sort=A","Dates=H","DateFormat=P","Fill=—","Direction=H","UseDPDF=Y")</f>
        <v>#NAME?</v>
      </c>
      <c r="BQ593" s="2" t="e">
        <f ca="1">_xll.BDH($C$578,"WORKING_CAPITAL_SEQ_GROWTH","FY 2017","FY 2017","Currency=INR","Period=FY","BEST_FPERIOD_OVERRIDE=FY","FILING_STATUS=OR","EQY_CONSOLIDATED=Y","Sort=A","Dates=H","DateFormat=P","Fill=—","Direction=H","UseDPDF=Y")</f>
        <v>#NAME?</v>
      </c>
      <c r="BR593" s="2" t="e">
        <f ca="1">_xll.BDH($C$578,"ACCOUNTS_PAYABLE_SEQ_GROWTH","FY 2017","FY 2017","Currency=INR","Period=FY","BEST_FPERIOD_OVERRIDE=FY","FILING_STATUS=OR","EQY_CONSOLIDATED=Y","Sort=A","Dates=H","DateFormat=P","Fill=—","Direction=H","UseDPDF=Y")</f>
        <v>#NAME?</v>
      </c>
      <c r="BS593" s="2" t="e">
        <f ca="1">_xll.BDH($C$578,"ST_DEBT_SEQUENTIAL_GROWTH","FY 2017","FY 2017","Currency=INR","Period=FY","BEST_FPERIOD_OVERRIDE=FY","FILING_STATUS=OR","EQY_CONSOLIDATED=Y","Sort=A","Dates=H","DateFormat=P","Fill=—","Direction=H","UseDPDF=Y")</f>
        <v>#NAME?</v>
      </c>
      <c r="BT593" s="2" t="e">
        <f ca="1">_xll.BDH($C$578,"TOTAL_DEBT_SEQUENTIAL_GROWTH","FY 2017","FY 2017","Currency=INR","Period=FY","BEST_FPERIOD_OVERRIDE=FY","FILING_STATUS=OR","EQY_CONSOLIDATED=Y","Sort=A","Dates=H","DateFormat=P","Fill=—","Direction=H","UseDPDF=Y")</f>
        <v>#NAME?</v>
      </c>
      <c r="BU593" s="2" t="e">
        <f ca="1">_xll.BDH($C$578,"TOTAL_EQUITY_SEQUENTIAL_GROWTH","FY 2017","FY 2017","Currency=INR","Period=FY","BEST_FPERIOD_OVERRIDE=FY","FILING_STATUS=OR","EQY_CONSOLIDATED=Y","Sort=A","Dates=H","DateFormat=P","Fill=—","Direction=H","UseDPDF=Y")</f>
        <v>#NAME?</v>
      </c>
      <c r="BV593" s="2" t="e">
        <f ca="1">_xll.BDH($C$578,"TOTAL_CAPITAL_SEQUENTIAL_GROWTH","FY 2017","FY 2017","Currency=INR","Period=FY","BEST_FPERIOD_OVERRIDE=FY","FILING_STATUS=OR","EQY_CONSOLIDATED=Y","Sort=A","Dates=H","DateFormat=P","Fill=—","Direction=H","UseDPDF=Y")</f>
        <v>#NAME?</v>
      </c>
      <c r="BW593" s="2" t="e">
        <f ca="1">_xll.BDH($C$578,"BPS_SEQUENTIAL_GROWTH","FY 2017","FY 2017","Currency=INR","Period=FY","BEST_FPERIOD_OVERRIDE=FY","FILING_STATUS=OR","EQY_CONSOLIDATED=Y","Sort=A","Dates=H","DateFormat=P","Fill=—","Direction=H","UseDPDF=Y")</f>
        <v>#NAME?</v>
      </c>
      <c r="BX593" s="2" t="e">
        <f ca="1">_xll.BDH($C$578,"CFO_SEQUENTIAL_GROWTH","FY 2017","FY 2017","Currency=INR","Period=FY","BEST_FPERIOD_OVERRIDE=FY","FILING_STATUS=OR","EQY_CONSOLIDATED=Y","Sort=A","Dates=H","DateFormat=P","Fill=—","Direction=H","UseDPDF=Y")</f>
        <v>#NAME?</v>
      </c>
      <c r="BY593" s="3" t="e">
        <f ca="1">_xll.BDH($C$578,"SHORT_AND_LONG_TERM_DEBT","FY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593" s="3" t="e">
        <f ca="1">_xll.BDH($C$578,"BS_ST_BORROW","FY 2017","FY 2017","Currency=INR","Period=FY","BEST_FPERIOD_OVERRIDE=FY","FILING_STATUS=OR","EQY_CONSOLIDATED=Y","SCALING_FORMAT=MLN","Sort=A","Dates=H","DateFormat=P","Fill=—","Direction=H","UseDPDF=Y")</f>
        <v>#NAME?</v>
      </c>
      <c r="CA593" s="3" t="e">
        <f ca="1">_xll.BDH($C$578,"BS_LT_BORROW","FY 2017","FY 2017","Currency=INR","Period=FY","BEST_FPERIOD_OVERRIDE=FY","FILING_STATUS=OR","EQY_CONSOLIDATED=Y","SCALING_FORMAT=MLN","Sort=A","Dates=H","DateFormat=P","Fill=—","Direction=H","UseDPDF=Y")</f>
        <v>#NAME?</v>
      </c>
      <c r="CB593" s="2" t="e">
        <f ca="1">_xll.BDH($C$578,"TOT_DEBT_TO_EBITDA","FY 2017","FY 2017","Currency=INR","Period=FY","BEST_FPERIOD_OVERRIDE=FY","FILING_STATUS=OR","EQY_CONSOLIDATED=Y","FA_ADJUSTED=GAAP","Sort=A","Dates=H","DateFormat=P","Fill=—","Direction=H","UseDPDF=Y")</f>
        <v>#NAME?</v>
      </c>
      <c r="CC593" s="2" t="e">
        <f ca="1">_xll.BDH($C$578,"NET_DEBT_TO_EBITDA","FY 2017","FY 2017","Currency=INR","Period=FY","BEST_FPERIOD_OVERRIDE=FY","FILING_STATUS=OR","EQY_CONSOLIDATED=Y","FA_ADJUSTED=GAAP","Sort=A","Dates=H","DateFormat=P","Fill=—","Direction=H","UseDPDF=Y")</f>
        <v>#NAME?</v>
      </c>
      <c r="CD593" s="2" t="e">
        <f ca="1">_xll.BDH($C$578,"TOTAL_DEBT_TO_EBIT","FY 2017","FY 2017","Currency=INR","Period=FY","BEST_FPERIOD_OVERRIDE=FY","FILING_STATUS=OR","EQY_CONSOLIDATED=Y","FA_ADJUSTED=GAAP","Sort=A","Dates=H","DateFormat=P","Fill=—","Direction=H","UseDPDF=Y")</f>
        <v>#NAME?</v>
      </c>
      <c r="CE593" s="2" t="e">
        <f ca="1">_xll.BDH($C$578,"NET_DEBT_TO_EBIT","FY 2017","FY 2017","Currency=INR","Period=FY","BEST_FPERIOD_OVERRIDE=FY","FILING_STATUS=OR","EQY_CONSOLIDATED=Y","FA_ADJUSTED=GAAP","Sort=A","Dates=H","DateFormat=P","Fill=—","Direction=H","UseDPDF=Y")</f>
        <v>#NAME?</v>
      </c>
      <c r="CF593" s="2" t="e">
        <f ca="1">_xll.BDH($C$578,"EBITDA_TO_INTEREST_EXPN","FY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593" s="2" t="e">
        <f ca="1">_xll.BDH($C$578,"COM_EQY_TO_TOT_ASSET","FY 2017","FY 2017","Currency=INR","Period=FY","BEST_FPERIOD_OVERRIDE=FY","FILING_STATUS=OR","EQY_CONSOLIDATED=Y","Sort=A","Dates=H","DateFormat=P","Fill=—","Direction=H","UseDPDF=Y")</f>
        <v>#NAME?</v>
      </c>
      <c r="CH593" s="2" t="e">
        <f ca="1">_xll.BDH($C$578,"LT_DEBT_TO_TOT_EQY","FY 2017","FY 2017","Currency=INR","Period=FY","BEST_FPERIOD_OVERRIDE=FY","FILING_STATUS=OR","EQY_CONSOLIDATED=Y","Sort=A","Dates=H","DateFormat=P","Fill=—","Direction=H","UseDPDF=Y")</f>
        <v>#NAME?</v>
      </c>
      <c r="CI593" s="2" t="e">
        <f ca="1">_xll.BDH($C$578,"LT_DEBT_TO_TOT_CAP","FY 2017","FY 2017","Currency=INR","Period=FY","BEST_FPERIOD_OVERRIDE=FY","FILING_STATUS=OR","EQY_CONSOLIDATED=Y","Sort=A","Dates=H","DateFormat=P","Fill=—","Direction=H","UseDPDF=Y")</f>
        <v>#NAME?</v>
      </c>
      <c r="CJ593" s="2" t="e">
        <f ca="1">_xll.BDH($C$578,"LT_DEBT_TO_TOT_ASSET","FY 2017","FY 2017","Currency=INR","Period=FY","BEST_FPERIOD_OVERRIDE=FY","FILING_STATUS=OR","EQY_CONSOLIDATED=Y","Sort=A","Dates=H","DateFormat=P","Fill=—","Direction=H","UseDPDF=Y")</f>
        <v>#NAME?</v>
      </c>
      <c r="CK593" s="2" t="e">
        <f ca="1">_xll.BDH($C$578,"TOT_DEBT_TO_TOT_EQY","FY 2017","FY 2017","Currency=INR","Period=FY","BEST_FPERIOD_OVERRIDE=FY","FILING_STATUS=OR","EQY_CONSOLIDATED=Y","Sort=A","Dates=H","DateFormat=P","Fill=—","Direction=H","UseDPDF=Y")</f>
        <v>#NAME?</v>
      </c>
      <c r="CL593" s="2" t="e">
        <f ca="1">_xll.BDH($C$578,"TOT_DEBT_TO_TOT_CAP","FY 2017","FY 2017","Currency=INR","Period=FY","BEST_FPERIOD_OVERRIDE=FY","FILING_STATUS=OR","EQY_CONSOLIDATED=Y","Sort=A","Dates=H","DateFormat=P","Fill=—","Direction=H","UseDPDF=Y")</f>
        <v>#NAME?</v>
      </c>
      <c r="CM593" s="2" t="e">
        <f ca="1">_xll.BDH($C$578,"TOT_DEBT_TO_TOT_ASSET","FY 2017","FY 2017","Currency=INR","Period=FY","BEST_FPERIOD_OVERRIDE=FY","FILING_STATUS=OR","EQY_CONSOLIDATED=Y","Sort=A","Dates=H","DateFormat=P","Fill=—","Direction=H","UseDPDF=Y")</f>
        <v>#NAME?</v>
      </c>
      <c r="CN593" s="2" t="e">
        <f ca="1">_xll.BDH($C$578,"NET_DEBT_TO_SHRHLDR_EQTY","FY 2017","FY 2017","Currency=INR","Period=FY","BEST_FPERIOD_OVERRIDE=FY","FILING_STATUS=OR","EQY_CONSOLIDATED=Y","Sort=A","Dates=H","DateFormat=P","Fill=—","Direction=H","UseDPDF=Y")</f>
        <v>#NAME?</v>
      </c>
      <c r="CO593" s="2" t="e">
        <f ca="1">_xll.BDH($C$578,"NET_DEBT_%_CAPITAL","FY 2017","FY 2017","Currency=INR","Period=FY","BEST_FPERIOD_OVERRIDE=FY","FILING_STATUS=OR","EQY_CONSOLIDATED=Y","Sort=A","Dates=H","DateFormat=P","Fill=—","Direction=H","UseDPDF=Y")</f>
        <v>#NAME?</v>
      </c>
      <c r="CP593" s="3" t="e">
        <f ca="1">_xll.BDH($C$578,"EBITDA","FY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593" s="3" t="e">
        <f ca="1">_xll.BDH($C$578,"EBITDA_AFTER_CAPEX","FY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593" s="3" t="e">
        <f ca="1">_xll.BDH($C$578,"IS_OPER_INC","FY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593" s="2" t="e">
        <f ca="1">_xll.BDH($C$578,"CASH_RATIO","FY 2017","FY 2017","Currency=INR","Period=FY","BEST_FPERIOD_OVERRIDE=FY","FILING_STATUS=OR","EQY_CONSOLIDATED=Y","Sort=A","Dates=H","DateFormat=P","Fill=—","Direction=H","UseDPDF=Y")</f>
        <v>#NAME?</v>
      </c>
      <c r="CT593" s="2" t="e">
        <f ca="1">_xll.BDH($C$578,"CUR_RATIO","FY 2017","FY 2017","Currency=INR","Period=FY","BEST_FPERIOD_OVERRIDE=FY","FILING_STATUS=OR","EQY_CONSOLIDATED=Y","Sort=A","Dates=H","DateFormat=P","Fill=—","Direction=H","UseDPDF=Y")</f>
        <v>#NAME?</v>
      </c>
      <c r="CU593" s="2" t="e">
        <f ca="1">_xll.BDH($C$578,"QUICK_RATIO","FY 2017","FY 2017","Currency=INR","Period=FY","BEST_FPERIOD_OVERRIDE=FY","FILING_STATUS=OR","EQY_CONSOLIDATED=Y","Sort=A","Dates=H","DateFormat=P","Fill=—","Direction=H","UseDPDF=Y")</f>
        <v>#NAME?</v>
      </c>
      <c r="CV593" s="2" t="e">
        <f ca="1">_xll.BDH($C$578,"ALTMAN_Z_SCORE","FY 2017","FY 2017","Currency=INR","Period=FY","BEST_FPERIOD_OVERRIDE=FY","FILING_STATUS=OR","EQY_CONSOLIDATED=Y","Sort=A","Dates=H","DateFormat=P","Fill=—","Direction=H","UseDPDF=Y")</f>
        <v>#NAME?</v>
      </c>
      <c r="CW593" s="4" t="e">
        <f ca="1">_xll.BDH($C$578,"ACCT_RCV_TURN","FY 2017","FY 2017","Currency=INR","Period=FY","BEST_FPERIOD_OVERRIDE=FY","FILING_STATUS=OR","EQY_CONSOLIDATED=Y","FA_ADJUSTED=GAAP","Sort=A","Dates=H","DateFormat=P","Fill=—","Direction=H","UseDPDF=Y")</f>
        <v>#NAME?</v>
      </c>
      <c r="CX593" s="2" t="e">
        <f ca="1">_xll.BDH($C$578,"ACCT_RCV_DAYS","FY 2017","FY 2017","Currency=INR","Period=FY","BEST_FPERIOD_OVERRIDE=FY","FILING_STATUS=OR","EQY_CONSOLIDATED=Y","FA_ADJUSTED=GAAP","Sort=A","Dates=H","DateFormat=P","Fill=—","Direction=H","UseDPDF=Y")</f>
        <v>#NAME?</v>
      </c>
      <c r="CY593" s="4" t="e">
        <f ca="1">_xll.BDH($C$578,"INVENT_TURN","FY 2017","FY 2017","Currency=INR","Period=FY","BEST_FPERIOD_OVERRIDE=FY","FILING_STATUS=OR","EQY_CONSOLIDATED=Y","FA_ADJUSTED=GAAP","Sort=A","Dates=H","DateFormat=P","Fill=—","Direction=H","UseDPDF=Y")</f>
        <v>#NAME?</v>
      </c>
      <c r="CZ593" s="2" t="e">
        <f ca="1">_xll.BDH($C$578,"INVENT_DAYS","FY 2017","FY 2017","Currency=INR","Period=FY","BEST_FPERIOD_OVERRIDE=FY","FILING_STATUS=OR","EQY_CONSOLIDATED=Y","FA_ADJUSTED=GAAP","Sort=A","Dates=H","DateFormat=P","Fill=—","Direction=H","UseDPDF=Y")</f>
        <v>#NAME?</v>
      </c>
      <c r="DA593" s="4" t="e">
        <f ca="1">_xll.BDH($C$578,"ACCOUNTS_PAYABLE_TURNOVER","FY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593" s="2" t="e">
        <f ca="1">_xll.BDH($C$578,"ACCOUNTS_PAYABLE_TURNOVER_DAYS","FY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593" s="4" t="e">
        <f ca="1">_xll.BDH($C$578,"CASH_CONVERSION_CYCLE","FY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593" s="4" t="e">
        <f ca="1">_xll.BDH($C$578,"INV_TO_CASH_DAYS","FY 2017","FY 2017","Currency=INR","Period=FY","BEST_FPERIOD_OVERRIDE=FY","FILING_STATUS=OR","EQY_CONSOLIDATED=Y","FA_ADJUSTED=GAAP","Sort=A","Dates=H","DateFormat=P","Fill=—","Direction=H","UseDPDF=Y")</f>
        <v>#NAME?</v>
      </c>
      <c r="DE593" s="5" t="e">
        <f ca="1">_xll.BDH($C$578,"BS_INVENTORIES","FY 2017","FY 2017","Currency=INR","Period=FY","BEST_FPERIOD_OVERRIDE=FY","FILING_STATUS=OR","EQY_CONSOLIDATED=Y","SCALING_FORMAT=MLN","Sort=A","Dates=H","DateFormat=P","Fill=—","Direction=H","UseDPDF=Y")</f>
        <v>#NAME?</v>
      </c>
      <c r="DF593" s="3" t="e">
        <f ca="1">_xll.BDH($C$578,"INVTRY_RAW_MATERIALS","FY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593" s="3" t="e">
        <f ca="1">_xll.BDH($C$578,"INVTRY_IN_PROGRESS","FY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593" s="3" t="e">
        <f ca="1">_xll.BDH($C$578,"INVTRY_FINISHED_GOODS","FY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593" s="3" t="e">
        <f ca="1">_xll.BDH($C$578,"BS_OTHER_INV","FY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594" spans="1:113" x14ac:dyDescent="0.3">
      <c r="A594" s="6"/>
      <c r="B594" s="6"/>
      <c r="C594" s="6"/>
      <c r="D594" s="6"/>
      <c r="E594" t="s">
        <v>78</v>
      </c>
      <c r="F594" t="e">
        <f ca="1">_xll.BDH($C$578,"RETURN_COM_EQY","FQ1 2017","FQ1 2017","Currency=INR","Period=FQ","BEST_FPERIOD_OVERRIDE=FQ","FILING_STATUS=OR","EQY_CONSOLIDATED=Y","FA_ADJUSTED=GAAP","Sort=A","Dates=H","DateFormat=P","Fill=—","Direction=H","UseDPDF=Y")</f>
        <v>#NAME?</v>
      </c>
      <c r="G594" t="e">
        <f ca="1">_xll.BDH($C$578,"RETURN_ON_ASSET","FQ1 2017","FQ1 2017","Currency=INR","Period=FQ","BEST_FPERIOD_OVERRIDE=FQ","FILING_STATUS=OR","EQY_CONSOLIDATED=Y","FA_ADJUSTED=GAAP","Sort=A","Dates=H","DateFormat=P","Fill=—","Direction=H","UseDPDF=Y")</f>
        <v>#NAME?</v>
      </c>
      <c r="H594" t="e">
        <f ca="1">_xll.BDH($C$578,"RETURN_ON_CAP","FQ1 2017","FQ1 2017","Currency=INR","Period=FQ","BEST_FPERIOD_OVERRIDE=FQ","FILING_STATUS=OR","EQY_CONSOLIDATED=Y","FA_ADJUSTED=GAAP","Sort=A","Dates=H","DateFormat=P","Fill=—","Direction=H","UseDPDF=Y")</f>
        <v>#NAME?</v>
      </c>
      <c r="I594" t="e">
        <f ca="1">_xll.BDH($C$578,"RETURN_ON_INV_CAPITAL","FQ1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594" t="e">
        <f ca="1">_xll.BDH($C$578,"EBITDA_TO_REVENUE","FQ1 2017","FQ1 2017","Currency=INR","Period=FQ","BEST_FPERIOD_OVERRIDE=FQ","FILING_STATUS=OR","EQY_CONSOLIDATED=Y","FA_ADJUSTED=GAAP","Sort=A","Dates=H","DateFormat=P","Fill=—","Direction=H","UseDPDF=Y")</f>
        <v>#NAME?</v>
      </c>
      <c r="K594" t="e">
        <f ca="1">_xll.BDH($C$578,"OPER_MARGIN","FQ1 2017","FQ1 2017","Currency=INR","Period=FQ","BEST_FPERIOD_OVERRIDE=FQ","FILING_STATUS=OR","EQY_CONSOLIDATED=Y","FA_ADJUSTED=GAAP","Sort=A","Dates=H","DateFormat=P","Fill=—","Direction=H","UseDPDF=Y")</f>
        <v>#NAME?</v>
      </c>
      <c r="L594" t="e">
        <f ca="1">_xll.BDH($C$578,"INCREMENTAL_OPERATING_MARGIN","FQ1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594" t="e">
        <f ca="1">_xll.BDH($C$578,"PRETAX_INC_TO_NET_SALES","FQ1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594" t="e">
        <f ca="1">_xll.BDH($C$578,"INC_BEF_XO_ITEMS_TO_NET_SALES","FQ1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594" t="e">
        <f ca="1">_xll.BDH($C$578,"PROF_MARGIN","FQ1 2017","FQ1 2017","Currency=INR","Period=FQ","BEST_FPERIOD_OVERRIDE=FQ","FILING_STATUS=OR","EQY_CONSOLIDATED=Y","FA_ADJUSTED=GAAP","Sort=A","Dates=H","DateFormat=P","Fill=—","Direction=H","UseDPDF=Y")</f>
        <v>#NAME?</v>
      </c>
      <c r="P594" t="e">
        <f ca="1">_xll.BDH($C$578,"NET_INCOME_TO_COMMON_MARGIN","FQ1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594" t="e">
        <f ca="1">_xll.BDH($C$578,"EFF_TAX_RATE","FQ1 2017","FQ1 2017","Currency=INR","Period=FQ","BEST_FPERIOD_OVERRIDE=FQ","FILING_STATUS=OR","EQY_CONSOLIDATED=Y","FA_ADJUSTED=GAAP","Sort=A","Dates=H","DateFormat=P","Fill=—","Direction=H","UseDPDF=Y")</f>
        <v>#NAME?</v>
      </c>
      <c r="R594" t="e">
        <f ca="1">_xll.BDH($C$578,"DVD_PAYOUT_RATIO","FQ1 2017","FQ1 2017","Currency=INR","Period=FQ","BEST_FPERIOD_OVERRIDE=FQ","FILING_STATUS=OR","EQY_CONSOLIDATED=Y","FA_ADJUSTED=GAAP","Sort=A","Dates=H","DateFormat=P","Fill=—","Direction=H","UseDPDF=Y")</f>
        <v>#NAME?</v>
      </c>
      <c r="S594" t="e">
        <f ca="1">_xll.BDH($C$578,"SUSTAIN_GROWTH_RT","FQ1 2017","FQ1 2017","Currency=INR","Period=FQ","BEST_FPERIOD_OVERRIDE=FQ","FILING_STATUS=OR","EQY_CONSOLIDATED=Y","FA_ADJUSTED=GAAP","Sort=A","Dates=H","DateFormat=P","Fill=—","Direction=H","UseDPDF=Y")</f>
        <v>#NAME?</v>
      </c>
      <c r="T594" s="2" t="e">
        <f ca="1">_xll.BDH($C$578,"SALES_GROWTH","FQ1 2017","FQ1 2017","Currency=INR","Period=FQ","BEST_FPERIOD_OVERRIDE=FQ","FILING_STATUS=OR","EQY_CONSOLIDATED=Y","FA_ADJUSTED=GAAP","Sort=A","Dates=H","DateFormat=P","Fill=—","Direction=H","UseDPDF=Y")</f>
        <v>#NAME?</v>
      </c>
      <c r="U594" s="2" t="e">
        <f ca="1">_xll.BDH($C$578,"EBITDA_GROWTH","FQ1 2017","FQ1 2017","Currency=INR","Period=FQ","BEST_FPERIOD_OVERRIDE=FQ","FILING_STATUS=OR","EQY_CONSOLIDATED=Y","FA_ADJUSTED=GAAP","Sort=A","Dates=H","DateFormat=P","Fill=—","Direction=H","UseDPDF=Y")</f>
        <v>#NAME?</v>
      </c>
      <c r="V594" s="2" t="e">
        <f ca="1">_xll.BDH($C$578,"OPER_INC_GROWTH","FQ1 2017","FQ1 2017","Currency=INR","Period=FQ","BEST_FPERIOD_OVERRIDE=FQ","FILING_STATUS=OR","EQY_CONSOLIDATED=Y","FA_ADJUSTED=GAAP","Sort=A","Dates=H","DateFormat=P","Fill=—","Direction=H","UseDPDF=Y")</f>
        <v>#NAME?</v>
      </c>
      <c r="W594" s="2" t="e">
        <f ca="1">_xll.BDH($C$578,"EARN_FOR_COM_GROWTH","FQ1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594" s="2" t="e">
        <f ca="1">_xll.BDH($C$578,"DILUTED_EPS_AFT_XO_ITEMS_GROWTH","FQ1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594" s="2" t="e">
        <f ca="1">_xll.BDH($C$578,"DIVIDEND_PER_SHARE_1_YEAR_GROWTH","FQ1 2017","FQ1 2017","Currency=INR","Period=FQ","BEST_FPERIOD_OVERRIDE=FQ","FILING_STATUS=OR","EQY_CONSOLIDATED=Y","Sort=A","Dates=H","DateFormat=P","Fill=—","Direction=H","UseDPDF=Y")</f>
        <v>#NAME?</v>
      </c>
      <c r="Z594" s="2" t="e">
        <f ca="1">_xll.BDH($C$578,"ACCOUNTS_RECEIVABLE_GROWTH","FQ1 2017","FQ1 2017","Currency=INR","Period=FQ","BEST_FPERIOD_OVERRIDE=FQ","FILING_STATUS=OR","EQY_CONSOLIDATED=Y","Sort=A","Dates=H","DateFormat=P","Fill=—","Direction=H","UseDPDF=Y")</f>
        <v>#NAME?</v>
      </c>
      <c r="AA594" s="2" t="e">
        <f ca="1">_xll.BDH($C$578,"INVENTORY_GROWTH","FQ1 2017","FQ1 2017","Currency=INR","Period=FQ","BEST_FPERIOD_OVERRIDE=FQ","FILING_STATUS=OR","EQY_CONSOLIDATED=Y","Sort=A","Dates=H","DateFormat=P","Fill=—","Direction=H","UseDPDF=Y")</f>
        <v>#NAME?</v>
      </c>
      <c r="AB594" s="2" t="e">
        <f ca="1">_xll.BDH($C$578,"NET_FIXED_ASSETS_1_YEAR_GROWTH","FQ1 2017","FQ1 2017","Currency=INR","Period=FQ","BEST_FPERIOD_OVERRIDE=FQ","FILING_STATUS=OR","EQY_CONSOLIDATED=Y","Sort=A","Dates=H","DateFormat=P","Fill=—","Direction=H","UseDPDF=Y")</f>
        <v>#NAME?</v>
      </c>
      <c r="AC594" s="2" t="e">
        <f ca="1">_xll.BDH($C$578,"ASSET_GROWTH","FQ1 2017","FQ1 2017","Currency=INR","Period=FQ","BEST_FPERIOD_OVERRIDE=FQ","FILING_STATUS=OR","EQY_CONSOLIDATED=Y","Sort=A","Dates=H","DateFormat=P","Fill=—","Direction=H","UseDPDF=Y")</f>
        <v>#NAME?</v>
      </c>
      <c r="AD594" s="2" t="e">
        <f ca="1">_xll.BDH($C$578,"MODIFIED_WORK_CAP_GROWTH","FQ1 2017","FQ1 2017","Currency=INR","Period=FQ","BEST_FPERIOD_OVERRIDE=FQ","FILING_STATUS=OR","EQY_CONSOLIDATED=Y","Sort=A","Dates=H","DateFormat=P","Fill=—","Direction=H","UseDPDF=Y")</f>
        <v>#NAME?</v>
      </c>
      <c r="AE594" s="2" t="e">
        <f ca="1">_xll.BDH($C$578,"WORK_CAP_GROWTH","FQ1 2017","FQ1 2017","Currency=INR","Period=FQ","BEST_FPERIOD_OVERRIDE=FQ","FILING_STATUS=OR","EQY_CONSOLIDATED=Y","Sort=A","Dates=H","DateFormat=P","Fill=—","Direction=H","UseDPDF=Y")</f>
        <v>#NAME?</v>
      </c>
      <c r="AF594" s="2" t="e">
        <f ca="1">_xll.BDH($C$578,"ACCOUNTS_PAYABLE_GROWTH_1YR","FQ1 2017","FQ1 2017","Currency=INR","Period=FQ","BEST_FPERIOD_OVERRIDE=FQ","FILING_STATUS=OR","EQY_CONSOLIDATED=Y","Sort=A","Dates=H","DateFormat=P","Fill=—","Direction=H","UseDPDF=Y")</f>
        <v>#NAME?</v>
      </c>
      <c r="AG594" s="2" t="e">
        <f ca="1">_xll.BDH($C$578,"SHORT_TERM_DEBT_1_YEAR_GROWTH","FQ1 2017","FQ1 2017","Currency=INR","Period=FQ","BEST_FPERIOD_OVERRIDE=FQ","FILING_STATUS=OR","EQY_CONSOLIDATED=Y","Sort=A","Dates=H","DateFormat=P","Fill=—","Direction=H","UseDPDF=Y")</f>
        <v>#NAME?</v>
      </c>
      <c r="AH594" s="2" t="e">
        <f ca="1">_xll.BDH($C$578,"TOTAL_DEBT_1_YEAR_GROWTH","FQ1 2017","FQ1 2017","Currency=INR","Period=FQ","BEST_FPERIOD_OVERRIDE=FQ","FILING_STATUS=OR","EQY_CONSOLIDATED=Y","Sort=A","Dates=H","DateFormat=P","Fill=—","Direction=H","UseDPDF=Y")</f>
        <v>#NAME?</v>
      </c>
      <c r="AI594" s="2" t="e">
        <f ca="1">_xll.BDH($C$578,"TOTAL_EQUITY_1_YEAR_GROWTH","FQ1 2017","FQ1 2017","Currency=INR","Period=FQ","BEST_FPERIOD_OVERRIDE=FQ","FILING_STATUS=OR","EQY_CONSOLIDATED=Y","Sort=A","Dates=H","DateFormat=P","Fill=—","Direction=H","UseDPDF=Y")</f>
        <v>#NAME?</v>
      </c>
      <c r="AJ594" s="2" t="e">
        <f ca="1">_xll.BDH($C$578,"GROWTH_IN_CAP","FQ1 2017","FQ1 2017","Currency=INR","Period=FQ","BEST_FPERIOD_OVERRIDE=FQ","FILING_STATUS=OR","EQY_CONSOLIDATED=Y","Sort=A","Dates=H","DateFormat=P","Fill=—","Direction=H","UseDPDF=Y")</f>
        <v>#NAME?</v>
      </c>
      <c r="AK594" s="2" t="e">
        <f ca="1">_xll.BDH($C$578,"BVPS_GROWTH","FQ1 2017","FQ1 2017","Currency=INR","Period=FQ","BEST_FPERIOD_OVERRIDE=FQ","FILING_STATUS=OR","EQY_CONSOLIDATED=Y","Sort=A","Dates=H","DateFormat=P","Fill=—","Direction=H","UseDPDF=Y")</f>
        <v>#NAME?</v>
      </c>
      <c r="AL594" s="2" t="e">
        <f ca="1">_xll.BDH($C$578,"CASH_FLOW_GROWTH","FQ1 2017","FQ1 2017","Currency=INR","Period=FQ","BEST_FPERIOD_OVERRIDE=FQ","FILING_STATUS=OR","EQY_CONSOLIDATED=Y","Sort=A","Dates=H","DateFormat=P","Fill=—","Direction=H","UseDPDF=Y")</f>
        <v>#NAME?</v>
      </c>
      <c r="AM594" s="2" t="e">
        <f ca="1">_xll.BDH($C$578,"GEO_GROW_NET_SALES","FQ1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594" s="2" t="e">
        <f ca="1">_xll.BDH($C$578,"GEO_GROW_EBITDA","FQ1 2017","FQ1 2017","Currency=INR","Period=FQ","BEST_FPERIOD_OVERRIDE=FQ","FILING_STATUS=OR","EQY_CONSOLIDATED=Y","FA_ADJUSTED=GAAP","Sort=A","Dates=H","DateFormat=P","Fill=—","Direction=H","UseDPDF=Y")</f>
        <v>#NAME?</v>
      </c>
      <c r="AO594" s="2" t="e">
        <f ca="1">_xll.BDH($C$578,"GEO_GROW_OPER_INC","FQ1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594" s="2" t="e">
        <f ca="1">_xll.BDH($C$578,"NET_INCOME_TO_COMMON_5_YR_GROWTH","FQ1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594" s="2" t="e">
        <f ca="1">_xll.BDH($C$578,"5Y_GEO_GROWTH_DILUTED_EPS","FQ1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594" s="2" t="e">
        <f ca="1">_xll.BDH($C$578,"GEO_GROW_DVD_PER_SH","FQ1 2017","FQ1 2017","Currency=INR","Period=FQ","BEST_FPERIOD_OVERRIDE=FQ","FILING_STATUS=OR","EQY_CONSOLIDATED=Y","Sort=A","Dates=H","DateFormat=P","Fill=—","Direction=H","UseDPDF=Y")</f>
        <v>#NAME?</v>
      </c>
      <c r="AS594" s="2" t="e">
        <f ca="1">_xll.BDH($C$578,"ACCOUNTS_RECEIVABLE_5_YR_GROWTH","FQ1 2017","FQ1 2017","Currency=INR","Period=FQ","BEST_FPERIOD_OVERRIDE=FQ","FILING_STATUS=OR","EQY_CONSOLIDATED=Y","Sort=A","Dates=H","DateFormat=P","Fill=—","Direction=H","UseDPDF=Y")</f>
        <v>#NAME?</v>
      </c>
      <c r="AT594" s="2" t="e">
        <f ca="1">_xll.BDH($C$578,"INVENTORY_5_YEAR_GROWTH","FQ1 2017","FQ1 2017","Currency=INR","Period=FQ","BEST_FPERIOD_OVERRIDE=FQ","FILING_STATUS=OR","EQY_CONSOLIDATED=Y","Sort=A","Dates=H","DateFormat=P","Fill=—","Direction=H","UseDPDF=Y")</f>
        <v>#NAME?</v>
      </c>
      <c r="AU594" s="2" t="e">
        <f ca="1">_xll.BDH($C$578,"NET_FIXED_ASSETS_5_YEAR_GROWTH","FQ1 2017","FQ1 2017","Currency=INR","Period=FQ","BEST_FPERIOD_OVERRIDE=FQ","FILING_STATUS=OR","EQY_CONSOLIDATED=Y","Sort=A","Dates=H","DateFormat=P","Fill=—","Direction=H","UseDPDF=Y")</f>
        <v>#NAME?</v>
      </c>
      <c r="AV594" s="2" t="e">
        <f ca="1">_xll.BDH($C$578,"GEO_GROW_TOT_ASSET","FQ1 2017","FQ1 2017","Currency=INR","Period=FQ","BEST_FPERIOD_OVERRIDE=FQ","FILING_STATUS=OR","EQY_CONSOLIDATED=Y","Sort=A","Dates=H","DateFormat=P","Fill=—","Direction=H","UseDPDF=Y")</f>
        <v>#NAME?</v>
      </c>
      <c r="AW594" s="2" t="e">
        <f ca="1">_xll.BDH($C$578,"MODIFIED_WORKING_CPTL_5YR_GRWTH","FQ1 2017","FQ1 2017","Currency=INR","Period=FQ","BEST_FPERIOD_OVERRIDE=FQ","FILING_STATUS=OR","EQY_CONSOLIDATED=Y","Sort=A","Dates=H","DateFormat=P","Fill=—","Direction=H","UseDPDF=Y")</f>
        <v>#NAME?</v>
      </c>
      <c r="AX594" s="2" t="e">
        <f ca="1">_xll.BDH($C$578,"WORKING_CAPITAL_5_YEAR_GROWTH","FQ1 2017","FQ1 2017","Currency=INR","Period=FQ","BEST_FPERIOD_OVERRIDE=FQ","FILING_STATUS=OR","EQY_CONSOLIDATED=Y","Sort=A","Dates=H","DateFormat=P","Fill=—","Direction=H","UseDPDF=Y")</f>
        <v>#NAME?</v>
      </c>
      <c r="AY594" s="2" t="e">
        <f ca="1">_xll.BDH($C$578,"ACCOUNTS_PAYABLE_5_YEAR_GROWTH","FQ1 2017","FQ1 2017","Currency=INR","Period=FQ","BEST_FPERIOD_OVERRIDE=FQ","FILING_STATUS=OR","EQY_CONSOLIDATED=Y","Sort=A","Dates=H","DateFormat=P","Fill=—","Direction=H","UseDPDF=Y")</f>
        <v>#NAME?</v>
      </c>
      <c r="AZ594" s="2" t="e">
        <f ca="1">_xll.BDH($C$578,"SHORT_TERM_DEBT_5_YEAR_GROWTH","FQ1 2017","FQ1 2017","Currency=INR","Period=FQ","BEST_FPERIOD_OVERRIDE=FQ","FILING_STATUS=OR","EQY_CONSOLIDATED=Y","Sort=A","Dates=H","DateFormat=P","Fill=—","Direction=H","UseDPDF=Y")</f>
        <v>#NAME?</v>
      </c>
      <c r="BA594" s="2" t="e">
        <f ca="1">_xll.BDH($C$578,"TOTAL_DEBT_5_YEAR_GROWTH","FQ1 2017","FQ1 2017","Currency=INR","Period=FQ","BEST_FPERIOD_OVERRIDE=FQ","FILING_STATUS=OR","EQY_CONSOLIDATED=Y","Sort=A","Dates=H","DateFormat=P","Fill=—","Direction=H","UseDPDF=Y")</f>
        <v>#NAME?</v>
      </c>
      <c r="BB594" s="2" t="e">
        <f ca="1">_xll.BDH($C$578,"GEO_GROW_TOT_SHRHLDR_EQY","FQ1 2017","FQ1 2017","Currency=INR","Period=FQ","BEST_FPERIOD_OVERRIDE=FQ","FILING_STATUS=OR","EQY_CONSOLIDATED=Y","Sort=A","Dates=H","DateFormat=P","Fill=—","Direction=H","UseDPDF=Y")</f>
        <v>#NAME?</v>
      </c>
      <c r="BC594" s="2" t="e">
        <f ca="1">_xll.BDH($C$578,"TOTAL_CAPITAL_5_YEAR_GROWTH","FQ1 2017","FQ1 2017","Currency=INR","Period=FQ","BEST_FPERIOD_OVERRIDE=FQ","FILING_STATUS=OR","EQY_CONSOLIDATED=Y","Sort=A","Dates=H","DateFormat=P","Fill=—","Direction=H","UseDPDF=Y")</f>
        <v>#NAME?</v>
      </c>
      <c r="BD594" s="2" t="e">
        <f ca="1">_xll.BDH($C$578,"GEO_GROW_BOOK_VAL","FQ1 2017","FQ1 2017","Currency=INR","Period=FQ","BEST_FPERIOD_OVERRIDE=FQ","FILING_STATUS=OR","EQY_CONSOLIDATED=Y","Sort=A","Dates=H","DateFormat=P","Fill=—","Direction=H","UseDPDF=Y")</f>
        <v>#NAME?</v>
      </c>
      <c r="BE594" s="2" t="e">
        <f ca="1">_xll.BDH($C$578,"GEO_GROW_CASH_OPER_ACT","FQ1 2017","FQ1 2017","Currency=INR","Period=FQ","BEST_FPERIOD_OVERRIDE=FQ","FILING_STATUS=OR","EQY_CONSOLIDATED=Y","Sort=A","Dates=H","DateFormat=P","Fill=—","Direction=H","UseDPDF=Y")</f>
        <v>#NAME?</v>
      </c>
      <c r="BF594" s="2" t="e">
        <f ca="1">_xll.BDH($C$578,"REVENUE_SEQUENTIAL_GROWTH","FQ1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594" s="2" t="e">
        <f ca="1">_xll.BDH($C$578,"EBITDA_SEQUENTIAL_GROWTH","FQ1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594" s="2" t="e">
        <f ca="1">_xll.BDH($C$578,"OPERATING_INCOME_SEQ_GROWTH","FQ1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594" s="2" t="e">
        <f ca="1">_xll.BDH($C$578,"NET_INCOME_TO_COMMON_SEQ_GROWTH","FQ1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594" s="2" t="e">
        <f ca="1">_xll.BDH($C$578,"EPS_DILUTED_SEQUENTIAL_GROWTH","FQ1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594" s="2" t="e">
        <f ca="1">_xll.BDH($C$578,"DPS_SEQUENTIAL_GROWTH","FQ1 2017","FQ1 2017","Currency=INR","Period=FQ","BEST_FPERIOD_OVERRIDE=FQ","FILING_STATUS=OR","EQY_CONSOLIDATED=Y","Sort=A","Dates=H","DateFormat=P","Fill=—","Direction=H","UseDPDF=Y")</f>
        <v>#NAME?</v>
      </c>
      <c r="BL594" s="2" t="e">
        <f ca="1">_xll.BDH($C$578,"ACCOUNTS_RECEIVABLE_SEQ_GROWTH","FQ1 2017","FQ1 2017","Currency=INR","Period=FQ","BEST_FPERIOD_OVERRIDE=FQ","FILING_STATUS=OR","EQY_CONSOLIDATED=Y","Sort=A","Dates=H","DateFormat=P","Fill=—","Direction=H","UseDPDF=Y")</f>
        <v>#NAME?</v>
      </c>
      <c r="BM594" s="2" t="e">
        <f ca="1">_xll.BDH($C$578,"INVENTORY_SEQUENTIAL_GROWTH","FQ1 2017","FQ1 2017","Currency=INR","Period=FQ","BEST_FPERIOD_OVERRIDE=FQ","FILING_STATUS=OR","EQY_CONSOLIDATED=Y","Sort=A","Dates=H","DateFormat=P","Fill=—","Direction=H","UseDPDF=Y")</f>
        <v>#NAME?</v>
      </c>
      <c r="BN594" s="2" t="e">
        <f ca="1">_xll.BDH($C$578,"FIXED_ASSETS_SEQUENTIAL_GROWTH","FQ1 2017","FQ1 2017","Currency=INR","Period=FQ","BEST_FPERIOD_OVERRIDE=FQ","FILING_STATUS=OR","EQY_CONSOLIDATED=Y","Sort=A","Dates=H","DateFormat=P","Fill=—","Direction=H","UseDPDF=Y")</f>
        <v>#NAME?</v>
      </c>
      <c r="BO594" s="2" t="e">
        <f ca="1">_xll.BDH($C$578,"TOTAL_ASSETS_SEQUENTIAL_GROWTH","FQ1 2017","FQ1 2017","Currency=INR","Period=FQ","BEST_FPERIOD_OVERRIDE=FQ","FILING_STATUS=OR","EQY_CONSOLIDATED=Y","Sort=A","Dates=H","DateFormat=P","Fill=—","Direction=H","UseDPDF=Y")</f>
        <v>#NAME?</v>
      </c>
      <c r="BP594" s="2" t="e">
        <f ca="1">_xll.BDH($C$578,"MODIFIED_WORKING_CPTL_SEQ_GRWTH","FQ1 2017","FQ1 2017","Currency=INR","Period=FQ","BEST_FPERIOD_OVERRIDE=FQ","FILING_STATUS=OR","EQY_CONSOLIDATED=Y","Sort=A","Dates=H","DateFormat=P","Fill=—","Direction=H","UseDPDF=Y")</f>
        <v>#NAME?</v>
      </c>
      <c r="BQ594" s="2" t="e">
        <f ca="1">_xll.BDH($C$578,"WORKING_CAPITAL_SEQ_GROWTH","FQ1 2017","FQ1 2017","Currency=INR","Period=FQ","BEST_FPERIOD_OVERRIDE=FQ","FILING_STATUS=OR","EQY_CONSOLIDATED=Y","Sort=A","Dates=H","DateFormat=P","Fill=—","Direction=H","UseDPDF=Y")</f>
        <v>#NAME?</v>
      </c>
      <c r="BR594" s="2" t="e">
        <f ca="1">_xll.BDH($C$578,"ACCOUNTS_PAYABLE_SEQ_GROWTH","FQ1 2017","FQ1 2017","Currency=INR","Period=FQ","BEST_FPERIOD_OVERRIDE=FQ","FILING_STATUS=OR","EQY_CONSOLIDATED=Y","Sort=A","Dates=H","DateFormat=P","Fill=—","Direction=H","UseDPDF=Y")</f>
        <v>#NAME?</v>
      </c>
      <c r="BS594" s="2" t="e">
        <f ca="1">_xll.BDH($C$578,"ST_DEBT_SEQUENTIAL_GROWTH","FQ1 2017","FQ1 2017","Currency=INR","Period=FQ","BEST_FPERIOD_OVERRIDE=FQ","FILING_STATUS=OR","EQY_CONSOLIDATED=Y","Sort=A","Dates=H","DateFormat=P","Fill=—","Direction=H","UseDPDF=Y")</f>
        <v>#NAME?</v>
      </c>
      <c r="BT594" s="2" t="e">
        <f ca="1">_xll.BDH($C$578,"TOTAL_DEBT_SEQUENTIAL_GROWTH","FQ1 2017","FQ1 2017","Currency=INR","Period=FQ","BEST_FPERIOD_OVERRIDE=FQ","FILING_STATUS=OR","EQY_CONSOLIDATED=Y","Sort=A","Dates=H","DateFormat=P","Fill=—","Direction=H","UseDPDF=Y")</f>
        <v>#NAME?</v>
      </c>
      <c r="BU594" s="2" t="e">
        <f ca="1">_xll.BDH($C$578,"TOTAL_EQUITY_SEQUENTIAL_GROWTH","FQ1 2017","FQ1 2017","Currency=INR","Period=FQ","BEST_FPERIOD_OVERRIDE=FQ","FILING_STATUS=OR","EQY_CONSOLIDATED=Y","Sort=A","Dates=H","DateFormat=P","Fill=—","Direction=H","UseDPDF=Y")</f>
        <v>#NAME?</v>
      </c>
      <c r="BV594" s="2" t="e">
        <f ca="1">_xll.BDH($C$578,"TOTAL_CAPITAL_SEQUENTIAL_GROWTH","FQ1 2017","FQ1 2017","Currency=INR","Period=FQ","BEST_FPERIOD_OVERRIDE=FQ","FILING_STATUS=OR","EQY_CONSOLIDATED=Y","Sort=A","Dates=H","DateFormat=P","Fill=—","Direction=H","UseDPDF=Y")</f>
        <v>#NAME?</v>
      </c>
      <c r="BW594" s="2" t="e">
        <f ca="1">_xll.BDH($C$578,"BPS_SEQUENTIAL_GROWTH","FQ1 2017","FQ1 2017","Currency=INR","Period=FQ","BEST_FPERIOD_OVERRIDE=FQ","FILING_STATUS=OR","EQY_CONSOLIDATED=Y","Sort=A","Dates=H","DateFormat=P","Fill=—","Direction=H","UseDPDF=Y")</f>
        <v>#NAME?</v>
      </c>
      <c r="BX594" s="2" t="e">
        <f ca="1">_xll.BDH($C$578,"CFO_SEQUENTIAL_GROWTH","FQ1 2017","FQ1 2017","Currency=INR","Period=FQ","BEST_FPERIOD_OVERRIDE=FQ","FILING_STATUS=OR","EQY_CONSOLIDATED=Y","Sort=A","Dates=H","DateFormat=P","Fill=—","Direction=H","UseDPDF=Y")</f>
        <v>#NAME?</v>
      </c>
      <c r="BY594" s="3" t="e">
        <f ca="1">_xll.BDH($C$578,"SHORT_AND_LONG_TERM_DEBT","FQ1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594" s="3" t="e">
        <f ca="1">_xll.BDH($C$578,"BS_ST_BORROW","FQ1 2017","FQ1 2017","Currency=INR","Period=FQ","BEST_FPERIOD_OVERRIDE=FQ","FILING_STATUS=OR","EQY_CONSOLIDATED=Y","SCALING_FORMAT=MLN","Sort=A","Dates=H","DateFormat=P","Fill=—","Direction=H","UseDPDF=Y")</f>
        <v>#NAME?</v>
      </c>
      <c r="CA594" s="3" t="e">
        <f ca="1">_xll.BDH($C$578,"BS_LT_BORROW","FQ1 2017","FQ1 2017","Currency=INR","Period=FQ","BEST_FPERIOD_OVERRIDE=FQ","FILING_STATUS=OR","EQY_CONSOLIDATED=Y","SCALING_FORMAT=MLN","Sort=A","Dates=H","DateFormat=P","Fill=—","Direction=H","UseDPDF=Y")</f>
        <v>#NAME?</v>
      </c>
      <c r="CB594" s="2" t="e">
        <f ca="1">_xll.BDH($C$578,"TOT_DEBT_TO_EBITDA","FQ1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594" s="2" t="e">
        <f ca="1">_xll.BDH($C$578,"NET_DEBT_TO_EBITDA","FQ1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594" s="2" t="e">
        <f ca="1">_xll.BDH($C$578,"TOTAL_DEBT_TO_EBIT","FQ1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594" s="2" t="e">
        <f ca="1">_xll.BDH($C$578,"NET_DEBT_TO_EBIT","FQ1 2017","FQ1 2017","Currency=INR","Period=FQ","BEST_FPERIOD_OVERRIDE=FQ","FILING_STATUS=OR","EQY_CONSOLIDATED=Y","FA_ADJUSTED=GAAP","Sort=A","Dates=H","DateFormat=P","Fill=—","Direction=H","UseDPDF=Y")</f>
        <v>#NAME?</v>
      </c>
      <c r="CF594" s="2" t="e">
        <f ca="1">_xll.BDH($C$578,"EBITDA_TO_INTEREST_EXPN","FQ1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594" s="2" t="e">
        <f ca="1">_xll.BDH($C$578,"COM_EQY_TO_TOT_ASSET","FQ1 2017","FQ1 2017","Currency=INR","Period=FQ","BEST_FPERIOD_OVERRIDE=FQ","FILING_STATUS=OR","EQY_CONSOLIDATED=Y","Sort=A","Dates=H","DateFormat=P","Fill=—","Direction=H","UseDPDF=Y")</f>
        <v>#NAME?</v>
      </c>
      <c r="CH594" s="2" t="e">
        <f ca="1">_xll.BDH($C$578,"LT_DEBT_TO_TOT_EQY","FQ1 2017","FQ1 2017","Currency=INR","Period=FQ","BEST_FPERIOD_OVERRIDE=FQ","FILING_STATUS=OR","EQY_CONSOLIDATED=Y","Sort=A","Dates=H","DateFormat=P","Fill=—","Direction=H","UseDPDF=Y")</f>
        <v>#NAME?</v>
      </c>
      <c r="CI594" s="2" t="e">
        <f ca="1">_xll.BDH($C$578,"LT_DEBT_TO_TOT_CAP","FQ1 2017","FQ1 2017","Currency=INR","Period=FQ","BEST_FPERIOD_OVERRIDE=FQ","FILING_STATUS=OR","EQY_CONSOLIDATED=Y","Sort=A","Dates=H","DateFormat=P","Fill=—","Direction=H","UseDPDF=Y")</f>
        <v>#NAME?</v>
      </c>
      <c r="CJ594" s="2" t="e">
        <f ca="1">_xll.BDH($C$578,"LT_DEBT_TO_TOT_ASSET","FQ1 2017","FQ1 2017","Currency=INR","Period=FQ","BEST_FPERIOD_OVERRIDE=FQ","FILING_STATUS=OR","EQY_CONSOLIDATED=Y","Sort=A","Dates=H","DateFormat=P","Fill=—","Direction=H","UseDPDF=Y")</f>
        <v>#NAME?</v>
      </c>
      <c r="CK594" s="2" t="e">
        <f ca="1">_xll.BDH($C$578,"TOT_DEBT_TO_TOT_EQY","FQ1 2017","FQ1 2017","Currency=INR","Period=FQ","BEST_FPERIOD_OVERRIDE=FQ","FILING_STATUS=OR","EQY_CONSOLIDATED=Y","Sort=A","Dates=H","DateFormat=P","Fill=—","Direction=H","UseDPDF=Y")</f>
        <v>#NAME?</v>
      </c>
      <c r="CL594" s="2" t="e">
        <f ca="1">_xll.BDH($C$578,"TOT_DEBT_TO_TOT_CAP","FQ1 2017","FQ1 2017","Currency=INR","Period=FQ","BEST_FPERIOD_OVERRIDE=FQ","FILING_STATUS=OR","EQY_CONSOLIDATED=Y","Sort=A","Dates=H","DateFormat=P","Fill=—","Direction=H","UseDPDF=Y")</f>
        <v>#NAME?</v>
      </c>
      <c r="CM594" s="2" t="e">
        <f ca="1">_xll.BDH($C$578,"TOT_DEBT_TO_TOT_ASSET","FQ1 2017","FQ1 2017","Currency=INR","Period=FQ","BEST_FPERIOD_OVERRIDE=FQ","FILING_STATUS=OR","EQY_CONSOLIDATED=Y","Sort=A","Dates=H","DateFormat=P","Fill=—","Direction=H","UseDPDF=Y")</f>
        <v>#NAME?</v>
      </c>
      <c r="CN594" s="2" t="e">
        <f ca="1">_xll.BDH($C$578,"NET_DEBT_TO_SHRHLDR_EQTY","FQ1 2017","FQ1 2017","Currency=INR","Period=FQ","BEST_FPERIOD_OVERRIDE=FQ","FILING_STATUS=OR","EQY_CONSOLIDATED=Y","Sort=A","Dates=H","DateFormat=P","Fill=—","Direction=H","UseDPDF=Y")</f>
        <v>#NAME?</v>
      </c>
      <c r="CO594" s="2" t="e">
        <f ca="1">_xll.BDH($C$578,"NET_DEBT_%_CAPITAL","FQ1 2017","FQ1 2017","Currency=INR","Period=FQ","BEST_FPERIOD_OVERRIDE=FQ","FILING_STATUS=OR","EQY_CONSOLIDATED=Y","Sort=A","Dates=H","DateFormat=P","Fill=—","Direction=H","UseDPDF=Y")</f>
        <v>#NAME?</v>
      </c>
      <c r="CP594" s="3" t="e">
        <f ca="1">_xll.BDH($C$578,"EBITDA","FQ1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594" s="3" t="e">
        <f ca="1">_xll.BDH($C$578,"EBITDA_AFTER_CAPEX","FQ1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594" s="3" t="e">
        <f ca="1">_xll.BDH($C$578,"IS_OPER_INC","FQ1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594" s="2" t="e">
        <f ca="1">_xll.BDH($C$578,"CASH_RATIO","FQ1 2017","FQ1 2017","Currency=INR","Period=FQ","BEST_FPERIOD_OVERRIDE=FQ","FILING_STATUS=OR","EQY_CONSOLIDATED=Y","Sort=A","Dates=H","DateFormat=P","Fill=—","Direction=H","UseDPDF=Y")</f>
        <v>#NAME?</v>
      </c>
      <c r="CT594" s="2" t="e">
        <f ca="1">_xll.BDH($C$578,"CUR_RATIO","FQ1 2017","FQ1 2017","Currency=INR","Period=FQ","BEST_FPERIOD_OVERRIDE=FQ","FILING_STATUS=OR","EQY_CONSOLIDATED=Y","Sort=A","Dates=H","DateFormat=P","Fill=—","Direction=H","UseDPDF=Y")</f>
        <v>#NAME?</v>
      </c>
      <c r="CU594" s="2" t="e">
        <f ca="1">_xll.BDH($C$578,"QUICK_RATIO","FQ1 2017","FQ1 2017","Currency=INR","Period=FQ","BEST_FPERIOD_OVERRIDE=FQ","FILING_STATUS=OR","EQY_CONSOLIDATED=Y","Sort=A","Dates=H","DateFormat=P","Fill=—","Direction=H","UseDPDF=Y")</f>
        <v>#NAME?</v>
      </c>
      <c r="CV594" s="2" t="e">
        <f ca="1">_xll.BDH($C$578,"ALTMAN_Z_SCORE","FQ1 2017","FQ1 2017","Currency=INR","Period=FQ","BEST_FPERIOD_OVERRIDE=FQ","FILING_STATUS=OR","EQY_CONSOLIDATED=Y","Sort=A","Dates=H","DateFormat=P","Fill=—","Direction=H","UseDPDF=Y")</f>
        <v>#NAME?</v>
      </c>
      <c r="CW594" s="4" t="e">
        <f ca="1">_xll.BDH($C$578,"ACCT_RCV_TURN","FQ1 2017","FQ1 2017","Currency=INR","Period=FQ","BEST_FPERIOD_OVERRIDE=FQ","FILING_STATUS=OR","EQY_CONSOLIDATED=Y","FA_ADJUSTED=GAAP","Sort=A","Dates=H","DateFormat=P","Fill=—","Direction=H","UseDPDF=Y")</f>
        <v>#NAME?</v>
      </c>
      <c r="CX594" s="2" t="e">
        <f ca="1">_xll.BDH($C$578,"ACCT_RCV_DAYS","FQ1 2017","FQ1 2017","Currency=INR","Period=FQ","BEST_FPERIOD_OVERRIDE=FQ","FILING_STATUS=OR","EQY_CONSOLIDATED=Y","FA_ADJUSTED=GAAP","Sort=A","Dates=H","DateFormat=P","Fill=—","Direction=H","UseDPDF=Y")</f>
        <v>#NAME?</v>
      </c>
      <c r="CY594" s="4" t="e">
        <f ca="1">_xll.BDH($C$578,"INVENT_TURN","FQ1 2017","FQ1 2017","Currency=INR","Period=FQ","BEST_FPERIOD_OVERRIDE=FQ","FILING_STATUS=OR","EQY_CONSOLIDATED=Y","FA_ADJUSTED=GAAP","Sort=A","Dates=H","DateFormat=P","Fill=—","Direction=H","UseDPDF=Y")</f>
        <v>#NAME?</v>
      </c>
      <c r="CZ594" s="2" t="e">
        <f ca="1">_xll.BDH($C$578,"INVENT_DAYS","FQ1 2017","FQ1 2017","Currency=INR","Period=FQ","BEST_FPERIOD_OVERRIDE=FQ","FILING_STATUS=OR","EQY_CONSOLIDATED=Y","FA_ADJUSTED=GAAP","Sort=A","Dates=H","DateFormat=P","Fill=—","Direction=H","UseDPDF=Y")</f>
        <v>#NAME?</v>
      </c>
      <c r="DA594" s="4" t="e">
        <f ca="1">_xll.BDH($C$578,"ACCOUNTS_PAYABLE_TURNOVER","FQ1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594" s="2" t="e">
        <f ca="1">_xll.BDH($C$578,"ACCOUNTS_PAYABLE_TURNOVER_DAYS","FQ1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594" s="4" t="e">
        <f ca="1">_xll.BDH($C$578,"CASH_CONVERSION_CYCLE","FQ1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594" s="4" t="e">
        <f ca="1">_xll.BDH($C$578,"INV_TO_CASH_DAYS","FQ1 2017","FQ1 2017","Currency=INR","Period=FQ","BEST_FPERIOD_OVERRIDE=FQ","FILING_STATUS=OR","EQY_CONSOLIDATED=Y","FA_ADJUSTED=GAAP","Sort=A","Dates=H","DateFormat=P","Fill=—","Direction=H","UseDPDF=Y")</f>
        <v>#NAME?</v>
      </c>
      <c r="DE594" s="5" t="e">
        <f ca="1">_xll.BDH($C$578,"BS_INVENTORIES","FQ1 2017","FQ1 2017","Currency=INR","Period=FQ","BEST_FPERIOD_OVERRIDE=FQ","FILING_STATUS=OR","EQY_CONSOLIDATED=Y","SCALING_FORMAT=MLN","Sort=A","Dates=H","DateFormat=P","Fill=—","Direction=H","UseDPDF=Y")</f>
        <v>#NAME?</v>
      </c>
      <c r="DF594" s="3" t="e">
        <f ca="1">_xll.BDH($C$578,"INVTRY_RAW_MATERIALS","FQ1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594" s="3" t="e">
        <f ca="1">_xll.BDH($C$578,"INVTRY_IN_PROGRESS","FQ1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594" s="3" t="e">
        <f ca="1">_xll.BDH($C$578,"INVTRY_FINISHED_GOODS","FQ1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594" s="3" t="e">
        <f ca="1">_xll.BDH($C$578,"BS_OTHER_INV","FQ1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595" spans="1:113" x14ac:dyDescent="0.3">
      <c r="A595" s="6"/>
      <c r="B595" s="6"/>
      <c r="C595" s="6"/>
      <c r="D595" s="6"/>
      <c r="E595" t="s">
        <v>79</v>
      </c>
      <c r="F595" t="e">
        <f ca="1">_xll.BDH($C$578,"RETURN_COM_EQY","FQ2 2017","FQ2 2017","Currency=INR","Period=FQ","BEST_FPERIOD_OVERRIDE=FQ","FILING_STATUS=OR","EQY_CONSOLIDATED=Y","FA_ADJUSTED=GAAP","Sort=A","Dates=H","DateFormat=P","Fill=—","Direction=H","UseDPDF=Y")</f>
        <v>#NAME?</v>
      </c>
      <c r="G595" t="e">
        <f ca="1">_xll.BDH($C$578,"RETURN_ON_ASSET","FQ2 2017","FQ2 2017","Currency=INR","Period=FQ","BEST_FPERIOD_OVERRIDE=FQ","FILING_STATUS=OR","EQY_CONSOLIDATED=Y","FA_ADJUSTED=GAAP","Sort=A","Dates=H","DateFormat=P","Fill=—","Direction=H","UseDPDF=Y")</f>
        <v>#NAME?</v>
      </c>
      <c r="H595" t="e">
        <f ca="1">_xll.BDH($C$578,"RETURN_ON_CAP","FQ2 2017","FQ2 2017","Currency=INR","Period=FQ","BEST_FPERIOD_OVERRIDE=FQ","FILING_STATUS=OR","EQY_CONSOLIDATED=Y","FA_ADJUSTED=GAAP","Sort=A","Dates=H","DateFormat=P","Fill=—","Direction=H","UseDPDF=Y")</f>
        <v>#NAME?</v>
      </c>
      <c r="I595" t="e">
        <f ca="1">_xll.BDH($C$578,"RETURN_ON_INV_CAPITAL","FQ2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595" t="e">
        <f ca="1">_xll.BDH($C$578,"EBITDA_TO_REVENUE","FQ2 2017","FQ2 2017","Currency=INR","Period=FQ","BEST_FPERIOD_OVERRIDE=FQ","FILING_STATUS=OR","EQY_CONSOLIDATED=Y","FA_ADJUSTED=GAAP","Sort=A","Dates=H","DateFormat=P","Fill=—","Direction=H","UseDPDF=Y")</f>
        <v>#NAME?</v>
      </c>
      <c r="K595" t="e">
        <f ca="1">_xll.BDH($C$578,"OPER_MARGIN","FQ2 2017","FQ2 2017","Currency=INR","Period=FQ","BEST_FPERIOD_OVERRIDE=FQ","FILING_STATUS=OR","EQY_CONSOLIDATED=Y","FA_ADJUSTED=GAAP","Sort=A","Dates=H","DateFormat=P","Fill=—","Direction=H","UseDPDF=Y")</f>
        <v>#NAME?</v>
      </c>
      <c r="L595" t="e">
        <f ca="1">_xll.BDH($C$578,"INCREMENTAL_OPERATING_MARGIN","FQ2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595" t="e">
        <f ca="1">_xll.BDH($C$578,"PRETAX_INC_TO_NET_SALES","FQ2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595" t="e">
        <f ca="1">_xll.BDH($C$578,"INC_BEF_XO_ITEMS_TO_NET_SALES","FQ2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595" t="e">
        <f ca="1">_xll.BDH($C$578,"PROF_MARGIN","FQ2 2017","FQ2 2017","Currency=INR","Period=FQ","BEST_FPERIOD_OVERRIDE=FQ","FILING_STATUS=OR","EQY_CONSOLIDATED=Y","FA_ADJUSTED=GAAP","Sort=A","Dates=H","DateFormat=P","Fill=—","Direction=H","UseDPDF=Y")</f>
        <v>#NAME?</v>
      </c>
      <c r="P595" t="e">
        <f ca="1">_xll.BDH($C$578,"NET_INCOME_TO_COMMON_MARGIN","FQ2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595" t="e">
        <f ca="1">_xll.BDH($C$578,"EFF_TAX_RATE","FQ2 2017","FQ2 2017","Currency=INR","Period=FQ","BEST_FPERIOD_OVERRIDE=FQ","FILING_STATUS=OR","EQY_CONSOLIDATED=Y","FA_ADJUSTED=GAAP","Sort=A","Dates=H","DateFormat=P","Fill=—","Direction=H","UseDPDF=Y")</f>
        <v>#NAME?</v>
      </c>
      <c r="R595" t="e">
        <f ca="1">_xll.BDH($C$578,"DVD_PAYOUT_RATIO","FQ2 2017","FQ2 2017","Currency=INR","Period=FQ","BEST_FPERIOD_OVERRIDE=FQ","FILING_STATUS=OR","EQY_CONSOLIDATED=Y","FA_ADJUSTED=GAAP","Sort=A","Dates=H","DateFormat=P","Fill=—","Direction=H","UseDPDF=Y")</f>
        <v>#NAME?</v>
      </c>
      <c r="S595" t="e">
        <f ca="1">_xll.BDH($C$578,"SUSTAIN_GROWTH_RT","FQ2 2017","FQ2 2017","Currency=INR","Period=FQ","BEST_FPERIOD_OVERRIDE=FQ","FILING_STATUS=OR","EQY_CONSOLIDATED=Y","FA_ADJUSTED=GAAP","Sort=A","Dates=H","DateFormat=P","Fill=—","Direction=H","UseDPDF=Y")</f>
        <v>#NAME?</v>
      </c>
      <c r="T595" s="2" t="e">
        <f ca="1">_xll.BDH($C$578,"SALES_GROWTH","FQ2 2017","FQ2 2017","Currency=INR","Period=FQ","BEST_FPERIOD_OVERRIDE=FQ","FILING_STATUS=OR","EQY_CONSOLIDATED=Y","FA_ADJUSTED=GAAP","Sort=A","Dates=H","DateFormat=P","Fill=—","Direction=H","UseDPDF=Y")</f>
        <v>#NAME?</v>
      </c>
      <c r="U595" s="2" t="e">
        <f ca="1">_xll.BDH($C$578,"EBITDA_GROWTH","FQ2 2017","FQ2 2017","Currency=INR","Period=FQ","BEST_FPERIOD_OVERRIDE=FQ","FILING_STATUS=OR","EQY_CONSOLIDATED=Y","FA_ADJUSTED=GAAP","Sort=A","Dates=H","DateFormat=P","Fill=—","Direction=H","UseDPDF=Y")</f>
        <v>#NAME?</v>
      </c>
      <c r="V595" s="2" t="e">
        <f ca="1">_xll.BDH($C$578,"OPER_INC_GROWTH","FQ2 2017","FQ2 2017","Currency=INR","Period=FQ","BEST_FPERIOD_OVERRIDE=FQ","FILING_STATUS=OR","EQY_CONSOLIDATED=Y","FA_ADJUSTED=GAAP","Sort=A","Dates=H","DateFormat=P","Fill=—","Direction=H","UseDPDF=Y")</f>
        <v>#NAME?</v>
      </c>
      <c r="W595" s="2" t="e">
        <f ca="1">_xll.BDH($C$578,"EARN_FOR_COM_GROWTH","FQ2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595" s="2" t="e">
        <f ca="1">_xll.BDH($C$578,"DILUTED_EPS_AFT_XO_ITEMS_GROWTH","FQ2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595" s="2" t="e">
        <f ca="1">_xll.BDH($C$578,"DIVIDEND_PER_SHARE_1_YEAR_GROWTH","FQ2 2017","FQ2 2017","Currency=INR","Period=FQ","BEST_FPERIOD_OVERRIDE=FQ","FILING_STATUS=OR","EQY_CONSOLIDATED=Y","Sort=A","Dates=H","DateFormat=P","Fill=—","Direction=H","UseDPDF=Y")</f>
        <v>#NAME?</v>
      </c>
      <c r="Z595" s="2" t="e">
        <f ca="1">_xll.BDH($C$578,"ACCOUNTS_RECEIVABLE_GROWTH","FQ2 2017","FQ2 2017","Currency=INR","Period=FQ","BEST_FPERIOD_OVERRIDE=FQ","FILING_STATUS=OR","EQY_CONSOLIDATED=Y","Sort=A","Dates=H","DateFormat=P","Fill=—","Direction=H","UseDPDF=Y")</f>
        <v>#NAME?</v>
      </c>
      <c r="AA595" s="2" t="e">
        <f ca="1">_xll.BDH($C$578,"INVENTORY_GROWTH","FQ2 2017","FQ2 2017","Currency=INR","Period=FQ","BEST_FPERIOD_OVERRIDE=FQ","FILING_STATUS=OR","EQY_CONSOLIDATED=Y","Sort=A","Dates=H","DateFormat=P","Fill=—","Direction=H","UseDPDF=Y")</f>
        <v>#NAME?</v>
      </c>
      <c r="AB595" s="2" t="e">
        <f ca="1">_xll.BDH($C$578,"NET_FIXED_ASSETS_1_YEAR_GROWTH","FQ2 2017","FQ2 2017","Currency=INR","Period=FQ","BEST_FPERIOD_OVERRIDE=FQ","FILING_STATUS=OR","EQY_CONSOLIDATED=Y","Sort=A","Dates=H","DateFormat=P","Fill=—","Direction=H","UseDPDF=Y")</f>
        <v>#NAME?</v>
      </c>
      <c r="AC595" s="2" t="e">
        <f ca="1">_xll.BDH($C$578,"ASSET_GROWTH","FQ2 2017","FQ2 2017","Currency=INR","Period=FQ","BEST_FPERIOD_OVERRIDE=FQ","FILING_STATUS=OR","EQY_CONSOLIDATED=Y","Sort=A","Dates=H","DateFormat=P","Fill=—","Direction=H","UseDPDF=Y")</f>
        <v>#NAME?</v>
      </c>
      <c r="AD595" s="2" t="e">
        <f ca="1">_xll.BDH($C$578,"MODIFIED_WORK_CAP_GROWTH","FQ2 2017","FQ2 2017","Currency=INR","Period=FQ","BEST_FPERIOD_OVERRIDE=FQ","FILING_STATUS=OR","EQY_CONSOLIDATED=Y","Sort=A","Dates=H","DateFormat=P","Fill=—","Direction=H","UseDPDF=Y")</f>
        <v>#NAME?</v>
      </c>
      <c r="AE595" s="2" t="e">
        <f ca="1">_xll.BDH($C$578,"WORK_CAP_GROWTH","FQ2 2017","FQ2 2017","Currency=INR","Period=FQ","BEST_FPERIOD_OVERRIDE=FQ","FILING_STATUS=OR","EQY_CONSOLIDATED=Y","Sort=A","Dates=H","DateFormat=P","Fill=—","Direction=H","UseDPDF=Y")</f>
        <v>#NAME?</v>
      </c>
      <c r="AF595" s="2" t="e">
        <f ca="1">_xll.BDH($C$578,"ACCOUNTS_PAYABLE_GROWTH_1YR","FQ2 2017","FQ2 2017","Currency=INR","Period=FQ","BEST_FPERIOD_OVERRIDE=FQ","FILING_STATUS=OR","EQY_CONSOLIDATED=Y","Sort=A","Dates=H","DateFormat=P","Fill=—","Direction=H","UseDPDF=Y")</f>
        <v>#NAME?</v>
      </c>
      <c r="AG595" s="2" t="e">
        <f ca="1">_xll.BDH($C$578,"SHORT_TERM_DEBT_1_YEAR_GROWTH","FQ2 2017","FQ2 2017","Currency=INR","Period=FQ","BEST_FPERIOD_OVERRIDE=FQ","FILING_STATUS=OR","EQY_CONSOLIDATED=Y","Sort=A","Dates=H","DateFormat=P","Fill=—","Direction=H","UseDPDF=Y")</f>
        <v>#NAME?</v>
      </c>
      <c r="AH595" s="2" t="e">
        <f ca="1">_xll.BDH($C$578,"TOTAL_DEBT_1_YEAR_GROWTH","FQ2 2017","FQ2 2017","Currency=INR","Period=FQ","BEST_FPERIOD_OVERRIDE=FQ","FILING_STATUS=OR","EQY_CONSOLIDATED=Y","Sort=A","Dates=H","DateFormat=P","Fill=—","Direction=H","UseDPDF=Y")</f>
        <v>#NAME?</v>
      </c>
      <c r="AI595" s="2" t="e">
        <f ca="1">_xll.BDH($C$578,"TOTAL_EQUITY_1_YEAR_GROWTH","FQ2 2017","FQ2 2017","Currency=INR","Period=FQ","BEST_FPERIOD_OVERRIDE=FQ","FILING_STATUS=OR","EQY_CONSOLIDATED=Y","Sort=A","Dates=H","DateFormat=P","Fill=—","Direction=H","UseDPDF=Y")</f>
        <v>#NAME?</v>
      </c>
      <c r="AJ595" s="2" t="e">
        <f ca="1">_xll.BDH($C$578,"GROWTH_IN_CAP","FQ2 2017","FQ2 2017","Currency=INR","Period=FQ","BEST_FPERIOD_OVERRIDE=FQ","FILING_STATUS=OR","EQY_CONSOLIDATED=Y","Sort=A","Dates=H","DateFormat=P","Fill=—","Direction=H","UseDPDF=Y")</f>
        <v>#NAME?</v>
      </c>
      <c r="AK595" s="2" t="e">
        <f ca="1">_xll.BDH($C$578,"BVPS_GROWTH","FQ2 2017","FQ2 2017","Currency=INR","Period=FQ","BEST_FPERIOD_OVERRIDE=FQ","FILING_STATUS=OR","EQY_CONSOLIDATED=Y","Sort=A","Dates=H","DateFormat=P","Fill=—","Direction=H","UseDPDF=Y")</f>
        <v>#NAME?</v>
      </c>
      <c r="AL595" s="2" t="e">
        <f ca="1">_xll.BDH($C$578,"CASH_FLOW_GROWTH","FQ2 2017","FQ2 2017","Currency=INR","Period=FQ","BEST_FPERIOD_OVERRIDE=FQ","FILING_STATUS=OR","EQY_CONSOLIDATED=Y","Sort=A","Dates=H","DateFormat=P","Fill=—","Direction=H","UseDPDF=Y")</f>
        <v>#NAME?</v>
      </c>
      <c r="AM595" s="2" t="e">
        <f ca="1">_xll.BDH($C$578,"GEO_GROW_NET_SALES","FQ2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595" s="2" t="e">
        <f ca="1">_xll.BDH($C$578,"GEO_GROW_EBITDA","FQ2 2017","FQ2 2017","Currency=INR","Period=FQ","BEST_FPERIOD_OVERRIDE=FQ","FILING_STATUS=OR","EQY_CONSOLIDATED=Y","FA_ADJUSTED=GAAP","Sort=A","Dates=H","DateFormat=P","Fill=—","Direction=H","UseDPDF=Y")</f>
        <v>#NAME?</v>
      </c>
      <c r="AO595" s="2" t="e">
        <f ca="1">_xll.BDH($C$578,"GEO_GROW_OPER_INC","FQ2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595" s="2" t="e">
        <f ca="1">_xll.BDH($C$578,"NET_INCOME_TO_COMMON_5_YR_GROWTH","FQ2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595" s="2" t="e">
        <f ca="1">_xll.BDH($C$578,"5Y_GEO_GROWTH_DILUTED_EPS","FQ2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595" s="2" t="e">
        <f ca="1">_xll.BDH($C$578,"GEO_GROW_DVD_PER_SH","FQ2 2017","FQ2 2017","Currency=INR","Period=FQ","BEST_FPERIOD_OVERRIDE=FQ","FILING_STATUS=OR","EQY_CONSOLIDATED=Y","Sort=A","Dates=H","DateFormat=P","Fill=—","Direction=H","UseDPDF=Y")</f>
        <v>#NAME?</v>
      </c>
      <c r="AS595" s="2" t="e">
        <f ca="1">_xll.BDH($C$578,"ACCOUNTS_RECEIVABLE_5_YR_GROWTH","FQ2 2017","FQ2 2017","Currency=INR","Period=FQ","BEST_FPERIOD_OVERRIDE=FQ","FILING_STATUS=OR","EQY_CONSOLIDATED=Y","Sort=A","Dates=H","DateFormat=P","Fill=—","Direction=H","UseDPDF=Y")</f>
        <v>#NAME?</v>
      </c>
      <c r="AT595" s="2" t="e">
        <f ca="1">_xll.BDH($C$578,"INVENTORY_5_YEAR_GROWTH","FQ2 2017","FQ2 2017","Currency=INR","Period=FQ","BEST_FPERIOD_OVERRIDE=FQ","FILING_STATUS=OR","EQY_CONSOLIDATED=Y","Sort=A","Dates=H","DateFormat=P","Fill=—","Direction=H","UseDPDF=Y")</f>
        <v>#NAME?</v>
      </c>
      <c r="AU595" s="2" t="e">
        <f ca="1">_xll.BDH($C$578,"NET_FIXED_ASSETS_5_YEAR_GROWTH","FQ2 2017","FQ2 2017","Currency=INR","Period=FQ","BEST_FPERIOD_OVERRIDE=FQ","FILING_STATUS=OR","EQY_CONSOLIDATED=Y","Sort=A","Dates=H","DateFormat=P","Fill=—","Direction=H","UseDPDF=Y")</f>
        <v>#NAME?</v>
      </c>
      <c r="AV595" s="2" t="e">
        <f ca="1">_xll.BDH($C$578,"GEO_GROW_TOT_ASSET","FQ2 2017","FQ2 2017","Currency=INR","Period=FQ","BEST_FPERIOD_OVERRIDE=FQ","FILING_STATUS=OR","EQY_CONSOLIDATED=Y","Sort=A","Dates=H","DateFormat=P","Fill=—","Direction=H","UseDPDF=Y")</f>
        <v>#NAME?</v>
      </c>
      <c r="AW595" s="2" t="e">
        <f ca="1">_xll.BDH($C$578,"MODIFIED_WORKING_CPTL_5YR_GRWTH","FQ2 2017","FQ2 2017","Currency=INR","Period=FQ","BEST_FPERIOD_OVERRIDE=FQ","FILING_STATUS=OR","EQY_CONSOLIDATED=Y","Sort=A","Dates=H","DateFormat=P","Fill=—","Direction=H","UseDPDF=Y")</f>
        <v>#NAME?</v>
      </c>
      <c r="AX595" s="2" t="e">
        <f ca="1">_xll.BDH($C$578,"WORKING_CAPITAL_5_YEAR_GROWTH","FQ2 2017","FQ2 2017","Currency=INR","Period=FQ","BEST_FPERIOD_OVERRIDE=FQ","FILING_STATUS=OR","EQY_CONSOLIDATED=Y","Sort=A","Dates=H","DateFormat=P","Fill=—","Direction=H","UseDPDF=Y")</f>
        <v>#NAME?</v>
      </c>
      <c r="AY595" s="2" t="e">
        <f ca="1">_xll.BDH($C$578,"ACCOUNTS_PAYABLE_5_YEAR_GROWTH","FQ2 2017","FQ2 2017","Currency=INR","Period=FQ","BEST_FPERIOD_OVERRIDE=FQ","FILING_STATUS=OR","EQY_CONSOLIDATED=Y","Sort=A","Dates=H","DateFormat=P","Fill=—","Direction=H","UseDPDF=Y")</f>
        <v>#NAME?</v>
      </c>
      <c r="AZ595" s="2" t="e">
        <f ca="1">_xll.BDH($C$578,"SHORT_TERM_DEBT_5_YEAR_GROWTH","FQ2 2017","FQ2 2017","Currency=INR","Period=FQ","BEST_FPERIOD_OVERRIDE=FQ","FILING_STATUS=OR","EQY_CONSOLIDATED=Y","Sort=A","Dates=H","DateFormat=P","Fill=—","Direction=H","UseDPDF=Y")</f>
        <v>#NAME?</v>
      </c>
      <c r="BA595" s="2" t="e">
        <f ca="1">_xll.BDH($C$578,"TOTAL_DEBT_5_YEAR_GROWTH","FQ2 2017","FQ2 2017","Currency=INR","Period=FQ","BEST_FPERIOD_OVERRIDE=FQ","FILING_STATUS=OR","EQY_CONSOLIDATED=Y","Sort=A","Dates=H","DateFormat=P","Fill=—","Direction=H","UseDPDF=Y")</f>
        <v>#NAME?</v>
      </c>
      <c r="BB595" s="2" t="e">
        <f ca="1">_xll.BDH($C$578,"GEO_GROW_TOT_SHRHLDR_EQY","FQ2 2017","FQ2 2017","Currency=INR","Period=FQ","BEST_FPERIOD_OVERRIDE=FQ","FILING_STATUS=OR","EQY_CONSOLIDATED=Y","Sort=A","Dates=H","DateFormat=P","Fill=—","Direction=H","UseDPDF=Y")</f>
        <v>#NAME?</v>
      </c>
      <c r="BC595" s="2" t="e">
        <f ca="1">_xll.BDH($C$578,"TOTAL_CAPITAL_5_YEAR_GROWTH","FQ2 2017","FQ2 2017","Currency=INR","Period=FQ","BEST_FPERIOD_OVERRIDE=FQ","FILING_STATUS=OR","EQY_CONSOLIDATED=Y","Sort=A","Dates=H","DateFormat=P","Fill=—","Direction=H","UseDPDF=Y")</f>
        <v>#NAME?</v>
      </c>
      <c r="BD595" s="2" t="e">
        <f ca="1">_xll.BDH($C$578,"GEO_GROW_BOOK_VAL","FQ2 2017","FQ2 2017","Currency=INR","Period=FQ","BEST_FPERIOD_OVERRIDE=FQ","FILING_STATUS=OR","EQY_CONSOLIDATED=Y","Sort=A","Dates=H","DateFormat=P","Fill=—","Direction=H","UseDPDF=Y")</f>
        <v>#NAME?</v>
      </c>
      <c r="BE595" s="2" t="e">
        <f ca="1">_xll.BDH($C$578,"GEO_GROW_CASH_OPER_ACT","FQ2 2017","FQ2 2017","Currency=INR","Period=FQ","BEST_FPERIOD_OVERRIDE=FQ","FILING_STATUS=OR","EQY_CONSOLIDATED=Y","Sort=A","Dates=H","DateFormat=P","Fill=—","Direction=H","UseDPDF=Y")</f>
        <v>#NAME?</v>
      </c>
      <c r="BF595" s="2" t="e">
        <f ca="1">_xll.BDH($C$578,"REVENUE_SEQUENTIAL_GROWTH","FQ2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595" s="2" t="e">
        <f ca="1">_xll.BDH($C$578,"EBITDA_SEQUENTIAL_GROWTH","FQ2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595" s="2" t="e">
        <f ca="1">_xll.BDH($C$578,"OPERATING_INCOME_SEQ_GROWTH","FQ2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595" s="2" t="e">
        <f ca="1">_xll.BDH($C$578,"NET_INCOME_TO_COMMON_SEQ_GROWTH","FQ2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595" s="2" t="e">
        <f ca="1">_xll.BDH($C$578,"EPS_DILUTED_SEQUENTIAL_GROWTH","FQ2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595" s="2" t="e">
        <f ca="1">_xll.BDH($C$578,"DPS_SEQUENTIAL_GROWTH","FQ2 2017","FQ2 2017","Currency=INR","Period=FQ","BEST_FPERIOD_OVERRIDE=FQ","FILING_STATUS=OR","EQY_CONSOLIDATED=Y","Sort=A","Dates=H","DateFormat=P","Fill=—","Direction=H","UseDPDF=Y")</f>
        <v>#NAME?</v>
      </c>
      <c r="BL595" s="2" t="e">
        <f ca="1">_xll.BDH($C$578,"ACCOUNTS_RECEIVABLE_SEQ_GROWTH","FQ2 2017","FQ2 2017","Currency=INR","Period=FQ","BEST_FPERIOD_OVERRIDE=FQ","FILING_STATUS=OR","EQY_CONSOLIDATED=Y","Sort=A","Dates=H","DateFormat=P","Fill=—","Direction=H","UseDPDF=Y")</f>
        <v>#NAME?</v>
      </c>
      <c r="BM595" s="2" t="e">
        <f ca="1">_xll.BDH($C$578,"INVENTORY_SEQUENTIAL_GROWTH","FQ2 2017","FQ2 2017","Currency=INR","Period=FQ","BEST_FPERIOD_OVERRIDE=FQ","FILING_STATUS=OR","EQY_CONSOLIDATED=Y","Sort=A","Dates=H","DateFormat=P","Fill=—","Direction=H","UseDPDF=Y")</f>
        <v>#NAME?</v>
      </c>
      <c r="BN595" s="2" t="e">
        <f ca="1">_xll.BDH($C$578,"FIXED_ASSETS_SEQUENTIAL_GROWTH","FQ2 2017","FQ2 2017","Currency=INR","Period=FQ","BEST_FPERIOD_OVERRIDE=FQ","FILING_STATUS=OR","EQY_CONSOLIDATED=Y","Sort=A","Dates=H","DateFormat=P","Fill=—","Direction=H","UseDPDF=Y")</f>
        <v>#NAME?</v>
      </c>
      <c r="BO595" s="2" t="e">
        <f ca="1">_xll.BDH($C$578,"TOTAL_ASSETS_SEQUENTIAL_GROWTH","FQ2 2017","FQ2 2017","Currency=INR","Period=FQ","BEST_FPERIOD_OVERRIDE=FQ","FILING_STATUS=OR","EQY_CONSOLIDATED=Y","Sort=A","Dates=H","DateFormat=P","Fill=—","Direction=H","UseDPDF=Y")</f>
        <v>#NAME?</v>
      </c>
      <c r="BP595" s="2" t="e">
        <f ca="1">_xll.BDH($C$578,"MODIFIED_WORKING_CPTL_SEQ_GRWTH","FQ2 2017","FQ2 2017","Currency=INR","Period=FQ","BEST_FPERIOD_OVERRIDE=FQ","FILING_STATUS=OR","EQY_CONSOLIDATED=Y","Sort=A","Dates=H","DateFormat=P","Fill=—","Direction=H","UseDPDF=Y")</f>
        <v>#NAME?</v>
      </c>
      <c r="BQ595" s="2" t="e">
        <f ca="1">_xll.BDH($C$578,"WORKING_CAPITAL_SEQ_GROWTH","FQ2 2017","FQ2 2017","Currency=INR","Period=FQ","BEST_FPERIOD_OVERRIDE=FQ","FILING_STATUS=OR","EQY_CONSOLIDATED=Y","Sort=A","Dates=H","DateFormat=P","Fill=—","Direction=H","UseDPDF=Y")</f>
        <v>#NAME?</v>
      </c>
      <c r="BR595" s="2" t="e">
        <f ca="1">_xll.BDH($C$578,"ACCOUNTS_PAYABLE_SEQ_GROWTH","FQ2 2017","FQ2 2017","Currency=INR","Period=FQ","BEST_FPERIOD_OVERRIDE=FQ","FILING_STATUS=OR","EQY_CONSOLIDATED=Y","Sort=A","Dates=H","DateFormat=P","Fill=—","Direction=H","UseDPDF=Y")</f>
        <v>#NAME?</v>
      </c>
      <c r="BS595" s="2" t="e">
        <f ca="1">_xll.BDH($C$578,"ST_DEBT_SEQUENTIAL_GROWTH","FQ2 2017","FQ2 2017","Currency=INR","Period=FQ","BEST_FPERIOD_OVERRIDE=FQ","FILING_STATUS=OR","EQY_CONSOLIDATED=Y","Sort=A","Dates=H","DateFormat=P","Fill=—","Direction=H","UseDPDF=Y")</f>
        <v>#NAME?</v>
      </c>
      <c r="BT595" s="2" t="e">
        <f ca="1">_xll.BDH($C$578,"TOTAL_DEBT_SEQUENTIAL_GROWTH","FQ2 2017","FQ2 2017","Currency=INR","Period=FQ","BEST_FPERIOD_OVERRIDE=FQ","FILING_STATUS=OR","EQY_CONSOLIDATED=Y","Sort=A","Dates=H","DateFormat=P","Fill=—","Direction=H","UseDPDF=Y")</f>
        <v>#NAME?</v>
      </c>
      <c r="BU595" s="2" t="e">
        <f ca="1">_xll.BDH($C$578,"TOTAL_EQUITY_SEQUENTIAL_GROWTH","FQ2 2017","FQ2 2017","Currency=INR","Period=FQ","BEST_FPERIOD_OVERRIDE=FQ","FILING_STATUS=OR","EQY_CONSOLIDATED=Y","Sort=A","Dates=H","DateFormat=P","Fill=—","Direction=H","UseDPDF=Y")</f>
        <v>#NAME?</v>
      </c>
      <c r="BV595" s="2" t="e">
        <f ca="1">_xll.BDH($C$578,"TOTAL_CAPITAL_SEQUENTIAL_GROWTH","FQ2 2017","FQ2 2017","Currency=INR","Period=FQ","BEST_FPERIOD_OVERRIDE=FQ","FILING_STATUS=OR","EQY_CONSOLIDATED=Y","Sort=A","Dates=H","DateFormat=P","Fill=—","Direction=H","UseDPDF=Y")</f>
        <v>#NAME?</v>
      </c>
      <c r="BW595" s="2" t="e">
        <f ca="1">_xll.BDH($C$578,"BPS_SEQUENTIAL_GROWTH","FQ2 2017","FQ2 2017","Currency=INR","Period=FQ","BEST_FPERIOD_OVERRIDE=FQ","FILING_STATUS=OR","EQY_CONSOLIDATED=Y","Sort=A","Dates=H","DateFormat=P","Fill=—","Direction=H","UseDPDF=Y")</f>
        <v>#NAME?</v>
      </c>
      <c r="BX595" s="2" t="e">
        <f ca="1">_xll.BDH($C$578,"CFO_SEQUENTIAL_GROWTH","FQ2 2017","FQ2 2017","Currency=INR","Period=FQ","BEST_FPERIOD_OVERRIDE=FQ","FILING_STATUS=OR","EQY_CONSOLIDATED=Y","Sort=A","Dates=H","DateFormat=P","Fill=—","Direction=H","UseDPDF=Y")</f>
        <v>#NAME?</v>
      </c>
      <c r="BY595" s="3" t="e">
        <f ca="1">_xll.BDH($C$578,"SHORT_AND_LONG_TERM_DEBT","FQ2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595" s="3" t="e">
        <f ca="1">_xll.BDH($C$578,"BS_ST_BORROW","FQ2 2017","FQ2 2017","Currency=INR","Period=FQ","BEST_FPERIOD_OVERRIDE=FQ","FILING_STATUS=OR","EQY_CONSOLIDATED=Y","SCALING_FORMAT=MLN","Sort=A","Dates=H","DateFormat=P","Fill=—","Direction=H","UseDPDF=Y")</f>
        <v>#NAME?</v>
      </c>
      <c r="CA595" s="3" t="e">
        <f ca="1">_xll.BDH($C$578,"BS_LT_BORROW","FQ2 2017","FQ2 2017","Currency=INR","Period=FQ","BEST_FPERIOD_OVERRIDE=FQ","FILING_STATUS=OR","EQY_CONSOLIDATED=Y","SCALING_FORMAT=MLN","Sort=A","Dates=H","DateFormat=P","Fill=—","Direction=H","UseDPDF=Y")</f>
        <v>#NAME?</v>
      </c>
      <c r="CB595" s="2" t="e">
        <f ca="1">_xll.BDH($C$578,"TOT_DEBT_TO_EBITDA","FQ2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595" s="2" t="e">
        <f ca="1">_xll.BDH($C$578,"NET_DEBT_TO_EBITDA","FQ2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595" s="2" t="e">
        <f ca="1">_xll.BDH($C$578,"TOTAL_DEBT_TO_EBIT","FQ2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595" s="2" t="e">
        <f ca="1">_xll.BDH($C$578,"NET_DEBT_TO_EBIT","FQ2 2017","FQ2 2017","Currency=INR","Period=FQ","BEST_FPERIOD_OVERRIDE=FQ","FILING_STATUS=OR","EQY_CONSOLIDATED=Y","FA_ADJUSTED=GAAP","Sort=A","Dates=H","DateFormat=P","Fill=—","Direction=H","UseDPDF=Y")</f>
        <v>#NAME?</v>
      </c>
      <c r="CF595" s="2" t="e">
        <f ca="1">_xll.BDH($C$578,"EBITDA_TO_INTEREST_EXPN","FQ2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595" s="2" t="e">
        <f ca="1">_xll.BDH($C$578,"COM_EQY_TO_TOT_ASSET","FQ2 2017","FQ2 2017","Currency=INR","Period=FQ","BEST_FPERIOD_OVERRIDE=FQ","FILING_STATUS=OR","EQY_CONSOLIDATED=Y","Sort=A","Dates=H","DateFormat=P","Fill=—","Direction=H","UseDPDF=Y")</f>
        <v>#NAME?</v>
      </c>
      <c r="CH595" s="2" t="e">
        <f ca="1">_xll.BDH($C$578,"LT_DEBT_TO_TOT_EQY","FQ2 2017","FQ2 2017","Currency=INR","Period=FQ","BEST_FPERIOD_OVERRIDE=FQ","FILING_STATUS=OR","EQY_CONSOLIDATED=Y","Sort=A","Dates=H","DateFormat=P","Fill=—","Direction=H","UseDPDF=Y")</f>
        <v>#NAME?</v>
      </c>
      <c r="CI595" s="2" t="e">
        <f ca="1">_xll.BDH($C$578,"LT_DEBT_TO_TOT_CAP","FQ2 2017","FQ2 2017","Currency=INR","Period=FQ","BEST_FPERIOD_OVERRIDE=FQ","FILING_STATUS=OR","EQY_CONSOLIDATED=Y","Sort=A","Dates=H","DateFormat=P","Fill=—","Direction=H","UseDPDF=Y")</f>
        <v>#NAME?</v>
      </c>
      <c r="CJ595" s="2" t="e">
        <f ca="1">_xll.BDH($C$578,"LT_DEBT_TO_TOT_ASSET","FQ2 2017","FQ2 2017","Currency=INR","Period=FQ","BEST_FPERIOD_OVERRIDE=FQ","FILING_STATUS=OR","EQY_CONSOLIDATED=Y","Sort=A","Dates=H","DateFormat=P","Fill=—","Direction=H","UseDPDF=Y")</f>
        <v>#NAME?</v>
      </c>
      <c r="CK595" s="2" t="e">
        <f ca="1">_xll.BDH($C$578,"TOT_DEBT_TO_TOT_EQY","FQ2 2017","FQ2 2017","Currency=INR","Period=FQ","BEST_FPERIOD_OVERRIDE=FQ","FILING_STATUS=OR","EQY_CONSOLIDATED=Y","Sort=A","Dates=H","DateFormat=P","Fill=—","Direction=H","UseDPDF=Y")</f>
        <v>#NAME?</v>
      </c>
      <c r="CL595" s="2" t="e">
        <f ca="1">_xll.BDH($C$578,"TOT_DEBT_TO_TOT_CAP","FQ2 2017","FQ2 2017","Currency=INR","Period=FQ","BEST_FPERIOD_OVERRIDE=FQ","FILING_STATUS=OR","EQY_CONSOLIDATED=Y","Sort=A","Dates=H","DateFormat=P","Fill=—","Direction=H","UseDPDF=Y")</f>
        <v>#NAME?</v>
      </c>
      <c r="CM595" s="2" t="e">
        <f ca="1">_xll.BDH($C$578,"TOT_DEBT_TO_TOT_ASSET","FQ2 2017","FQ2 2017","Currency=INR","Period=FQ","BEST_FPERIOD_OVERRIDE=FQ","FILING_STATUS=OR","EQY_CONSOLIDATED=Y","Sort=A","Dates=H","DateFormat=P","Fill=—","Direction=H","UseDPDF=Y")</f>
        <v>#NAME?</v>
      </c>
      <c r="CN595" s="2" t="e">
        <f ca="1">_xll.BDH($C$578,"NET_DEBT_TO_SHRHLDR_EQTY","FQ2 2017","FQ2 2017","Currency=INR","Period=FQ","BEST_FPERIOD_OVERRIDE=FQ","FILING_STATUS=OR","EQY_CONSOLIDATED=Y","Sort=A","Dates=H","DateFormat=P","Fill=—","Direction=H","UseDPDF=Y")</f>
        <v>#NAME?</v>
      </c>
      <c r="CO595" s="2" t="e">
        <f ca="1">_xll.BDH($C$578,"NET_DEBT_%_CAPITAL","FQ2 2017","FQ2 2017","Currency=INR","Period=FQ","BEST_FPERIOD_OVERRIDE=FQ","FILING_STATUS=OR","EQY_CONSOLIDATED=Y","Sort=A","Dates=H","DateFormat=P","Fill=—","Direction=H","UseDPDF=Y")</f>
        <v>#NAME?</v>
      </c>
      <c r="CP595" s="3" t="e">
        <f ca="1">_xll.BDH($C$578,"EBITDA","FQ2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595" s="3" t="e">
        <f ca="1">_xll.BDH($C$578,"EBITDA_AFTER_CAPEX","FQ2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595" s="3" t="e">
        <f ca="1">_xll.BDH($C$578,"IS_OPER_INC","FQ2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595" s="2" t="e">
        <f ca="1">_xll.BDH($C$578,"CASH_RATIO","FQ2 2017","FQ2 2017","Currency=INR","Period=FQ","BEST_FPERIOD_OVERRIDE=FQ","FILING_STATUS=OR","EQY_CONSOLIDATED=Y","Sort=A","Dates=H","DateFormat=P","Fill=—","Direction=H","UseDPDF=Y")</f>
        <v>#NAME?</v>
      </c>
      <c r="CT595" s="2" t="e">
        <f ca="1">_xll.BDH($C$578,"CUR_RATIO","FQ2 2017","FQ2 2017","Currency=INR","Period=FQ","BEST_FPERIOD_OVERRIDE=FQ","FILING_STATUS=OR","EQY_CONSOLIDATED=Y","Sort=A","Dates=H","DateFormat=P","Fill=—","Direction=H","UseDPDF=Y")</f>
        <v>#NAME?</v>
      </c>
      <c r="CU595" s="2" t="e">
        <f ca="1">_xll.BDH($C$578,"QUICK_RATIO","FQ2 2017","FQ2 2017","Currency=INR","Period=FQ","BEST_FPERIOD_OVERRIDE=FQ","FILING_STATUS=OR","EQY_CONSOLIDATED=Y","Sort=A","Dates=H","DateFormat=P","Fill=—","Direction=H","UseDPDF=Y")</f>
        <v>#NAME?</v>
      </c>
      <c r="CV595" s="2" t="e">
        <f ca="1">_xll.BDH($C$578,"ALTMAN_Z_SCORE","FQ2 2017","FQ2 2017","Currency=INR","Period=FQ","BEST_FPERIOD_OVERRIDE=FQ","FILING_STATUS=OR","EQY_CONSOLIDATED=Y","Sort=A","Dates=H","DateFormat=P","Fill=—","Direction=H","UseDPDF=Y")</f>
        <v>#NAME?</v>
      </c>
      <c r="CW595" s="4" t="e">
        <f ca="1">_xll.BDH($C$578,"ACCT_RCV_TURN","FQ2 2017","FQ2 2017","Currency=INR","Period=FQ","BEST_FPERIOD_OVERRIDE=FQ","FILING_STATUS=OR","EQY_CONSOLIDATED=Y","FA_ADJUSTED=GAAP","Sort=A","Dates=H","DateFormat=P","Fill=—","Direction=H","UseDPDF=Y")</f>
        <v>#NAME?</v>
      </c>
      <c r="CX595" s="2" t="e">
        <f ca="1">_xll.BDH($C$578,"ACCT_RCV_DAYS","FQ2 2017","FQ2 2017","Currency=INR","Period=FQ","BEST_FPERIOD_OVERRIDE=FQ","FILING_STATUS=OR","EQY_CONSOLIDATED=Y","FA_ADJUSTED=GAAP","Sort=A","Dates=H","DateFormat=P","Fill=—","Direction=H","UseDPDF=Y")</f>
        <v>#NAME?</v>
      </c>
      <c r="CY595" s="4" t="e">
        <f ca="1">_xll.BDH($C$578,"INVENT_TURN","FQ2 2017","FQ2 2017","Currency=INR","Period=FQ","BEST_FPERIOD_OVERRIDE=FQ","FILING_STATUS=OR","EQY_CONSOLIDATED=Y","FA_ADJUSTED=GAAP","Sort=A","Dates=H","DateFormat=P","Fill=—","Direction=H","UseDPDF=Y")</f>
        <v>#NAME?</v>
      </c>
      <c r="CZ595" s="2" t="e">
        <f ca="1">_xll.BDH($C$578,"INVENT_DAYS","FQ2 2017","FQ2 2017","Currency=INR","Period=FQ","BEST_FPERIOD_OVERRIDE=FQ","FILING_STATUS=OR","EQY_CONSOLIDATED=Y","FA_ADJUSTED=GAAP","Sort=A","Dates=H","DateFormat=P","Fill=—","Direction=H","UseDPDF=Y")</f>
        <v>#NAME?</v>
      </c>
      <c r="DA595" s="4" t="e">
        <f ca="1">_xll.BDH($C$578,"ACCOUNTS_PAYABLE_TURNOVER","FQ2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595" s="2" t="e">
        <f ca="1">_xll.BDH($C$578,"ACCOUNTS_PAYABLE_TURNOVER_DAYS","FQ2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595" s="4" t="e">
        <f ca="1">_xll.BDH($C$578,"CASH_CONVERSION_CYCLE","FQ2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595" s="4" t="e">
        <f ca="1">_xll.BDH($C$578,"INV_TO_CASH_DAYS","FQ2 2017","FQ2 2017","Currency=INR","Period=FQ","BEST_FPERIOD_OVERRIDE=FQ","FILING_STATUS=OR","EQY_CONSOLIDATED=Y","FA_ADJUSTED=GAAP","Sort=A","Dates=H","DateFormat=P","Fill=—","Direction=H","UseDPDF=Y")</f>
        <v>#NAME?</v>
      </c>
      <c r="DE595" s="5" t="e">
        <f ca="1">_xll.BDH($C$578,"BS_INVENTORIES","FQ2 2017","FQ2 2017","Currency=INR","Period=FQ","BEST_FPERIOD_OVERRIDE=FQ","FILING_STATUS=OR","EQY_CONSOLIDATED=Y","SCALING_FORMAT=MLN","Sort=A","Dates=H","DateFormat=P","Fill=—","Direction=H","UseDPDF=Y")</f>
        <v>#NAME?</v>
      </c>
      <c r="DF595" s="3" t="e">
        <f ca="1">_xll.BDH($C$578,"INVTRY_RAW_MATERIALS","FQ2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595" s="3" t="e">
        <f ca="1">_xll.BDH($C$578,"INVTRY_IN_PROGRESS","FQ2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595" s="3" t="e">
        <f ca="1">_xll.BDH($C$578,"INVTRY_FINISHED_GOODS","FQ2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595" s="3" t="e">
        <f ca="1">_xll.BDH($C$578,"BS_OTHER_INV","FQ2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596" spans="1:113" x14ac:dyDescent="0.3">
      <c r="A596" s="6"/>
      <c r="B596" s="6"/>
      <c r="C596" s="6"/>
      <c r="D596" s="6"/>
      <c r="E596" t="s">
        <v>80</v>
      </c>
      <c r="F596" t="e">
        <f ca="1">_xll.BDH($C$578,"RETURN_COM_EQY","FQ3 2017","FQ3 2017","Currency=INR","Period=FQ","BEST_FPERIOD_OVERRIDE=FQ","FILING_STATUS=OR","EQY_CONSOLIDATED=Y","FA_ADJUSTED=GAAP","Sort=A","Dates=H","DateFormat=P","Fill=—","Direction=H","UseDPDF=Y")</f>
        <v>#NAME?</v>
      </c>
      <c r="G596" t="e">
        <f ca="1">_xll.BDH($C$578,"RETURN_ON_ASSET","FQ3 2017","FQ3 2017","Currency=INR","Period=FQ","BEST_FPERIOD_OVERRIDE=FQ","FILING_STATUS=OR","EQY_CONSOLIDATED=Y","FA_ADJUSTED=GAAP","Sort=A","Dates=H","DateFormat=P","Fill=—","Direction=H","UseDPDF=Y")</f>
        <v>#NAME?</v>
      </c>
      <c r="H596" t="e">
        <f ca="1">_xll.BDH($C$578,"RETURN_ON_CAP","FQ3 2017","FQ3 2017","Currency=INR","Period=FQ","BEST_FPERIOD_OVERRIDE=FQ","FILING_STATUS=OR","EQY_CONSOLIDATED=Y","FA_ADJUSTED=GAAP","Sort=A","Dates=H","DateFormat=P","Fill=—","Direction=H","UseDPDF=Y")</f>
        <v>#NAME?</v>
      </c>
      <c r="I596" t="e">
        <f ca="1">_xll.BDH($C$578,"RETURN_ON_INV_CAPITAL","FQ3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596" t="e">
        <f ca="1">_xll.BDH($C$578,"EBITDA_TO_REVENUE","FQ3 2017","FQ3 2017","Currency=INR","Period=FQ","BEST_FPERIOD_OVERRIDE=FQ","FILING_STATUS=OR","EQY_CONSOLIDATED=Y","FA_ADJUSTED=GAAP","Sort=A","Dates=H","DateFormat=P","Fill=—","Direction=H","UseDPDF=Y")</f>
        <v>#NAME?</v>
      </c>
      <c r="K596" t="e">
        <f ca="1">_xll.BDH($C$578,"OPER_MARGIN","FQ3 2017","FQ3 2017","Currency=INR","Period=FQ","BEST_FPERIOD_OVERRIDE=FQ","FILING_STATUS=OR","EQY_CONSOLIDATED=Y","FA_ADJUSTED=GAAP","Sort=A","Dates=H","DateFormat=P","Fill=—","Direction=H","UseDPDF=Y")</f>
        <v>#NAME?</v>
      </c>
      <c r="L596" t="e">
        <f ca="1">_xll.BDH($C$578,"INCREMENTAL_OPERATING_MARGIN","FQ3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596" t="e">
        <f ca="1">_xll.BDH($C$578,"PRETAX_INC_TO_NET_SALES","FQ3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596" t="e">
        <f ca="1">_xll.BDH($C$578,"INC_BEF_XO_ITEMS_TO_NET_SALES","FQ3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596" t="e">
        <f ca="1">_xll.BDH($C$578,"PROF_MARGIN","FQ3 2017","FQ3 2017","Currency=INR","Period=FQ","BEST_FPERIOD_OVERRIDE=FQ","FILING_STATUS=OR","EQY_CONSOLIDATED=Y","FA_ADJUSTED=GAAP","Sort=A","Dates=H","DateFormat=P","Fill=—","Direction=H","UseDPDF=Y")</f>
        <v>#NAME?</v>
      </c>
      <c r="P596" t="e">
        <f ca="1">_xll.BDH($C$578,"NET_INCOME_TO_COMMON_MARGIN","FQ3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596" t="e">
        <f ca="1">_xll.BDH($C$578,"EFF_TAX_RATE","FQ3 2017","FQ3 2017","Currency=INR","Period=FQ","BEST_FPERIOD_OVERRIDE=FQ","FILING_STATUS=OR","EQY_CONSOLIDATED=Y","FA_ADJUSTED=GAAP","Sort=A","Dates=H","DateFormat=P","Fill=—","Direction=H","UseDPDF=Y")</f>
        <v>#NAME?</v>
      </c>
      <c r="R596" t="e">
        <f ca="1">_xll.BDH($C$578,"DVD_PAYOUT_RATIO","FQ3 2017","FQ3 2017","Currency=INR","Period=FQ","BEST_FPERIOD_OVERRIDE=FQ","FILING_STATUS=OR","EQY_CONSOLIDATED=Y","FA_ADJUSTED=GAAP","Sort=A","Dates=H","DateFormat=P","Fill=—","Direction=H","UseDPDF=Y")</f>
        <v>#NAME?</v>
      </c>
      <c r="S596" t="e">
        <f ca="1">_xll.BDH($C$578,"SUSTAIN_GROWTH_RT","FQ3 2017","FQ3 2017","Currency=INR","Period=FQ","BEST_FPERIOD_OVERRIDE=FQ","FILING_STATUS=OR","EQY_CONSOLIDATED=Y","FA_ADJUSTED=GAAP","Sort=A","Dates=H","DateFormat=P","Fill=—","Direction=H","UseDPDF=Y")</f>
        <v>#NAME?</v>
      </c>
      <c r="T596" s="2" t="e">
        <f ca="1">_xll.BDH($C$578,"SALES_GROWTH","FQ3 2017","FQ3 2017","Currency=INR","Period=FQ","BEST_FPERIOD_OVERRIDE=FQ","FILING_STATUS=OR","EQY_CONSOLIDATED=Y","FA_ADJUSTED=GAAP","Sort=A","Dates=H","DateFormat=P","Fill=—","Direction=H","UseDPDF=Y")</f>
        <v>#NAME?</v>
      </c>
      <c r="U596" s="2" t="e">
        <f ca="1">_xll.BDH($C$578,"EBITDA_GROWTH","FQ3 2017","FQ3 2017","Currency=INR","Period=FQ","BEST_FPERIOD_OVERRIDE=FQ","FILING_STATUS=OR","EQY_CONSOLIDATED=Y","FA_ADJUSTED=GAAP","Sort=A","Dates=H","DateFormat=P","Fill=—","Direction=H","UseDPDF=Y")</f>
        <v>#NAME?</v>
      </c>
      <c r="V596" s="2" t="e">
        <f ca="1">_xll.BDH($C$578,"OPER_INC_GROWTH","FQ3 2017","FQ3 2017","Currency=INR","Period=FQ","BEST_FPERIOD_OVERRIDE=FQ","FILING_STATUS=OR","EQY_CONSOLIDATED=Y","FA_ADJUSTED=GAAP","Sort=A","Dates=H","DateFormat=P","Fill=—","Direction=H","UseDPDF=Y")</f>
        <v>#NAME?</v>
      </c>
      <c r="W596" s="2" t="e">
        <f ca="1">_xll.BDH($C$578,"EARN_FOR_COM_GROWTH","FQ3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596" s="2" t="e">
        <f ca="1">_xll.BDH($C$578,"DILUTED_EPS_AFT_XO_ITEMS_GROWTH","FQ3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596" s="2" t="e">
        <f ca="1">_xll.BDH($C$578,"DIVIDEND_PER_SHARE_1_YEAR_GROWTH","FQ3 2017","FQ3 2017","Currency=INR","Period=FQ","BEST_FPERIOD_OVERRIDE=FQ","FILING_STATUS=OR","EQY_CONSOLIDATED=Y","Sort=A","Dates=H","DateFormat=P","Fill=—","Direction=H","UseDPDF=Y")</f>
        <v>#NAME?</v>
      </c>
      <c r="Z596" s="2" t="e">
        <f ca="1">_xll.BDH($C$578,"ACCOUNTS_RECEIVABLE_GROWTH","FQ3 2017","FQ3 2017","Currency=INR","Period=FQ","BEST_FPERIOD_OVERRIDE=FQ","FILING_STATUS=OR","EQY_CONSOLIDATED=Y","Sort=A","Dates=H","DateFormat=P","Fill=—","Direction=H","UseDPDF=Y")</f>
        <v>#NAME?</v>
      </c>
      <c r="AA596" s="2" t="e">
        <f ca="1">_xll.BDH($C$578,"INVENTORY_GROWTH","FQ3 2017","FQ3 2017","Currency=INR","Period=FQ","BEST_FPERIOD_OVERRIDE=FQ","FILING_STATUS=OR","EQY_CONSOLIDATED=Y","Sort=A","Dates=H","DateFormat=P","Fill=—","Direction=H","UseDPDF=Y")</f>
        <v>#NAME?</v>
      </c>
      <c r="AB596" s="2" t="e">
        <f ca="1">_xll.BDH($C$578,"NET_FIXED_ASSETS_1_YEAR_GROWTH","FQ3 2017","FQ3 2017","Currency=INR","Period=FQ","BEST_FPERIOD_OVERRIDE=FQ","FILING_STATUS=OR","EQY_CONSOLIDATED=Y","Sort=A","Dates=H","DateFormat=P","Fill=—","Direction=H","UseDPDF=Y")</f>
        <v>#NAME?</v>
      </c>
      <c r="AC596" s="2" t="e">
        <f ca="1">_xll.BDH($C$578,"ASSET_GROWTH","FQ3 2017","FQ3 2017","Currency=INR","Period=FQ","BEST_FPERIOD_OVERRIDE=FQ","FILING_STATUS=OR","EQY_CONSOLIDATED=Y","Sort=A","Dates=H","DateFormat=P","Fill=—","Direction=H","UseDPDF=Y")</f>
        <v>#NAME?</v>
      </c>
      <c r="AD596" s="2" t="e">
        <f ca="1">_xll.BDH($C$578,"MODIFIED_WORK_CAP_GROWTH","FQ3 2017","FQ3 2017","Currency=INR","Period=FQ","BEST_FPERIOD_OVERRIDE=FQ","FILING_STATUS=OR","EQY_CONSOLIDATED=Y","Sort=A","Dates=H","DateFormat=P","Fill=—","Direction=H","UseDPDF=Y")</f>
        <v>#NAME?</v>
      </c>
      <c r="AE596" s="2" t="e">
        <f ca="1">_xll.BDH($C$578,"WORK_CAP_GROWTH","FQ3 2017","FQ3 2017","Currency=INR","Period=FQ","BEST_FPERIOD_OVERRIDE=FQ","FILING_STATUS=OR","EQY_CONSOLIDATED=Y","Sort=A","Dates=H","DateFormat=P","Fill=—","Direction=H","UseDPDF=Y")</f>
        <v>#NAME?</v>
      </c>
      <c r="AF596" s="2" t="e">
        <f ca="1">_xll.BDH($C$578,"ACCOUNTS_PAYABLE_GROWTH_1YR","FQ3 2017","FQ3 2017","Currency=INR","Period=FQ","BEST_FPERIOD_OVERRIDE=FQ","FILING_STATUS=OR","EQY_CONSOLIDATED=Y","Sort=A","Dates=H","DateFormat=P","Fill=—","Direction=H","UseDPDF=Y")</f>
        <v>#NAME?</v>
      </c>
      <c r="AG596" s="2" t="e">
        <f ca="1">_xll.BDH($C$578,"SHORT_TERM_DEBT_1_YEAR_GROWTH","FQ3 2017","FQ3 2017","Currency=INR","Period=FQ","BEST_FPERIOD_OVERRIDE=FQ","FILING_STATUS=OR","EQY_CONSOLIDATED=Y","Sort=A","Dates=H","DateFormat=P","Fill=—","Direction=H","UseDPDF=Y")</f>
        <v>#NAME?</v>
      </c>
      <c r="AH596" s="2" t="e">
        <f ca="1">_xll.BDH($C$578,"TOTAL_DEBT_1_YEAR_GROWTH","FQ3 2017","FQ3 2017","Currency=INR","Period=FQ","BEST_FPERIOD_OVERRIDE=FQ","FILING_STATUS=OR","EQY_CONSOLIDATED=Y","Sort=A","Dates=H","DateFormat=P","Fill=—","Direction=H","UseDPDF=Y")</f>
        <v>#NAME?</v>
      </c>
      <c r="AI596" s="2" t="e">
        <f ca="1">_xll.BDH($C$578,"TOTAL_EQUITY_1_YEAR_GROWTH","FQ3 2017","FQ3 2017","Currency=INR","Period=FQ","BEST_FPERIOD_OVERRIDE=FQ","FILING_STATUS=OR","EQY_CONSOLIDATED=Y","Sort=A","Dates=H","DateFormat=P","Fill=—","Direction=H","UseDPDF=Y")</f>
        <v>#NAME?</v>
      </c>
      <c r="AJ596" s="2" t="e">
        <f ca="1">_xll.BDH($C$578,"GROWTH_IN_CAP","FQ3 2017","FQ3 2017","Currency=INR","Period=FQ","BEST_FPERIOD_OVERRIDE=FQ","FILING_STATUS=OR","EQY_CONSOLIDATED=Y","Sort=A","Dates=H","DateFormat=P","Fill=—","Direction=H","UseDPDF=Y")</f>
        <v>#NAME?</v>
      </c>
      <c r="AK596" s="2" t="e">
        <f ca="1">_xll.BDH($C$578,"BVPS_GROWTH","FQ3 2017","FQ3 2017","Currency=INR","Period=FQ","BEST_FPERIOD_OVERRIDE=FQ","FILING_STATUS=OR","EQY_CONSOLIDATED=Y","Sort=A","Dates=H","DateFormat=P","Fill=—","Direction=H","UseDPDF=Y")</f>
        <v>#NAME?</v>
      </c>
      <c r="AL596" s="2" t="e">
        <f ca="1">_xll.BDH($C$578,"CASH_FLOW_GROWTH","FQ3 2017","FQ3 2017","Currency=INR","Period=FQ","BEST_FPERIOD_OVERRIDE=FQ","FILING_STATUS=OR","EQY_CONSOLIDATED=Y","Sort=A","Dates=H","DateFormat=P","Fill=—","Direction=H","UseDPDF=Y")</f>
        <v>#NAME?</v>
      </c>
      <c r="AM596" s="2" t="e">
        <f ca="1">_xll.BDH($C$578,"GEO_GROW_NET_SALES","FQ3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596" s="2" t="e">
        <f ca="1">_xll.BDH($C$578,"GEO_GROW_EBITDA","FQ3 2017","FQ3 2017","Currency=INR","Period=FQ","BEST_FPERIOD_OVERRIDE=FQ","FILING_STATUS=OR","EQY_CONSOLIDATED=Y","FA_ADJUSTED=GAAP","Sort=A","Dates=H","DateFormat=P","Fill=—","Direction=H","UseDPDF=Y")</f>
        <v>#NAME?</v>
      </c>
      <c r="AO596" s="2" t="e">
        <f ca="1">_xll.BDH($C$578,"GEO_GROW_OPER_INC","FQ3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596" s="2" t="e">
        <f ca="1">_xll.BDH($C$578,"NET_INCOME_TO_COMMON_5_YR_GROWTH","FQ3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596" s="2" t="e">
        <f ca="1">_xll.BDH($C$578,"5Y_GEO_GROWTH_DILUTED_EPS","FQ3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596" s="2" t="e">
        <f ca="1">_xll.BDH($C$578,"GEO_GROW_DVD_PER_SH","FQ3 2017","FQ3 2017","Currency=INR","Period=FQ","BEST_FPERIOD_OVERRIDE=FQ","FILING_STATUS=OR","EQY_CONSOLIDATED=Y","Sort=A","Dates=H","DateFormat=P","Fill=—","Direction=H","UseDPDF=Y")</f>
        <v>#NAME?</v>
      </c>
      <c r="AS596" s="2" t="e">
        <f ca="1">_xll.BDH($C$578,"ACCOUNTS_RECEIVABLE_5_YR_GROWTH","FQ3 2017","FQ3 2017","Currency=INR","Period=FQ","BEST_FPERIOD_OVERRIDE=FQ","FILING_STATUS=OR","EQY_CONSOLIDATED=Y","Sort=A","Dates=H","DateFormat=P","Fill=—","Direction=H","UseDPDF=Y")</f>
        <v>#NAME?</v>
      </c>
      <c r="AT596" s="2" t="e">
        <f ca="1">_xll.BDH($C$578,"INVENTORY_5_YEAR_GROWTH","FQ3 2017","FQ3 2017","Currency=INR","Period=FQ","BEST_FPERIOD_OVERRIDE=FQ","FILING_STATUS=OR","EQY_CONSOLIDATED=Y","Sort=A","Dates=H","DateFormat=P","Fill=—","Direction=H","UseDPDF=Y")</f>
        <v>#NAME?</v>
      </c>
      <c r="AU596" s="2" t="e">
        <f ca="1">_xll.BDH($C$578,"NET_FIXED_ASSETS_5_YEAR_GROWTH","FQ3 2017","FQ3 2017","Currency=INR","Period=FQ","BEST_FPERIOD_OVERRIDE=FQ","FILING_STATUS=OR","EQY_CONSOLIDATED=Y","Sort=A","Dates=H","DateFormat=P","Fill=—","Direction=H","UseDPDF=Y")</f>
        <v>#NAME?</v>
      </c>
      <c r="AV596" s="2" t="e">
        <f ca="1">_xll.BDH($C$578,"GEO_GROW_TOT_ASSET","FQ3 2017","FQ3 2017","Currency=INR","Period=FQ","BEST_FPERIOD_OVERRIDE=FQ","FILING_STATUS=OR","EQY_CONSOLIDATED=Y","Sort=A","Dates=H","DateFormat=P","Fill=—","Direction=H","UseDPDF=Y")</f>
        <v>#NAME?</v>
      </c>
      <c r="AW596" s="2" t="e">
        <f ca="1">_xll.BDH($C$578,"MODIFIED_WORKING_CPTL_5YR_GRWTH","FQ3 2017","FQ3 2017","Currency=INR","Period=FQ","BEST_FPERIOD_OVERRIDE=FQ","FILING_STATUS=OR","EQY_CONSOLIDATED=Y","Sort=A","Dates=H","DateFormat=P","Fill=—","Direction=H","UseDPDF=Y")</f>
        <v>#NAME?</v>
      </c>
      <c r="AX596" s="2" t="e">
        <f ca="1">_xll.BDH($C$578,"WORKING_CAPITAL_5_YEAR_GROWTH","FQ3 2017","FQ3 2017","Currency=INR","Period=FQ","BEST_FPERIOD_OVERRIDE=FQ","FILING_STATUS=OR","EQY_CONSOLIDATED=Y","Sort=A","Dates=H","DateFormat=P","Fill=—","Direction=H","UseDPDF=Y")</f>
        <v>#NAME?</v>
      </c>
      <c r="AY596" s="2" t="e">
        <f ca="1">_xll.BDH($C$578,"ACCOUNTS_PAYABLE_5_YEAR_GROWTH","FQ3 2017","FQ3 2017","Currency=INR","Period=FQ","BEST_FPERIOD_OVERRIDE=FQ","FILING_STATUS=OR","EQY_CONSOLIDATED=Y","Sort=A","Dates=H","DateFormat=P","Fill=—","Direction=H","UseDPDF=Y")</f>
        <v>#NAME?</v>
      </c>
      <c r="AZ596" s="2" t="e">
        <f ca="1">_xll.BDH($C$578,"SHORT_TERM_DEBT_5_YEAR_GROWTH","FQ3 2017","FQ3 2017","Currency=INR","Period=FQ","BEST_FPERIOD_OVERRIDE=FQ","FILING_STATUS=OR","EQY_CONSOLIDATED=Y","Sort=A","Dates=H","DateFormat=P","Fill=—","Direction=H","UseDPDF=Y")</f>
        <v>#NAME?</v>
      </c>
      <c r="BA596" s="2" t="e">
        <f ca="1">_xll.BDH($C$578,"TOTAL_DEBT_5_YEAR_GROWTH","FQ3 2017","FQ3 2017","Currency=INR","Period=FQ","BEST_FPERIOD_OVERRIDE=FQ","FILING_STATUS=OR","EQY_CONSOLIDATED=Y","Sort=A","Dates=H","DateFormat=P","Fill=—","Direction=H","UseDPDF=Y")</f>
        <v>#NAME?</v>
      </c>
      <c r="BB596" s="2" t="e">
        <f ca="1">_xll.BDH($C$578,"GEO_GROW_TOT_SHRHLDR_EQY","FQ3 2017","FQ3 2017","Currency=INR","Period=FQ","BEST_FPERIOD_OVERRIDE=FQ","FILING_STATUS=OR","EQY_CONSOLIDATED=Y","Sort=A","Dates=H","DateFormat=P","Fill=—","Direction=H","UseDPDF=Y")</f>
        <v>#NAME?</v>
      </c>
      <c r="BC596" s="2" t="e">
        <f ca="1">_xll.BDH($C$578,"TOTAL_CAPITAL_5_YEAR_GROWTH","FQ3 2017","FQ3 2017","Currency=INR","Period=FQ","BEST_FPERIOD_OVERRIDE=FQ","FILING_STATUS=OR","EQY_CONSOLIDATED=Y","Sort=A","Dates=H","DateFormat=P","Fill=—","Direction=H","UseDPDF=Y")</f>
        <v>#NAME?</v>
      </c>
      <c r="BD596" s="2" t="e">
        <f ca="1">_xll.BDH($C$578,"GEO_GROW_BOOK_VAL","FQ3 2017","FQ3 2017","Currency=INR","Period=FQ","BEST_FPERIOD_OVERRIDE=FQ","FILING_STATUS=OR","EQY_CONSOLIDATED=Y","Sort=A","Dates=H","DateFormat=P","Fill=—","Direction=H","UseDPDF=Y")</f>
        <v>#NAME?</v>
      </c>
      <c r="BE596" s="2" t="e">
        <f ca="1">_xll.BDH($C$578,"GEO_GROW_CASH_OPER_ACT","FQ3 2017","FQ3 2017","Currency=INR","Period=FQ","BEST_FPERIOD_OVERRIDE=FQ","FILING_STATUS=OR","EQY_CONSOLIDATED=Y","Sort=A","Dates=H","DateFormat=P","Fill=—","Direction=H","UseDPDF=Y")</f>
        <v>#NAME?</v>
      </c>
      <c r="BF596" s="2" t="e">
        <f ca="1">_xll.BDH($C$578,"REVENUE_SEQUENTIAL_GROWTH","FQ3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596" s="2" t="e">
        <f ca="1">_xll.BDH($C$578,"EBITDA_SEQUENTIAL_GROWTH","FQ3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596" s="2" t="e">
        <f ca="1">_xll.BDH($C$578,"OPERATING_INCOME_SEQ_GROWTH","FQ3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596" s="2" t="e">
        <f ca="1">_xll.BDH($C$578,"NET_INCOME_TO_COMMON_SEQ_GROWTH","FQ3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596" s="2" t="e">
        <f ca="1">_xll.BDH($C$578,"EPS_DILUTED_SEQUENTIAL_GROWTH","FQ3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596" s="2" t="e">
        <f ca="1">_xll.BDH($C$578,"DPS_SEQUENTIAL_GROWTH","FQ3 2017","FQ3 2017","Currency=INR","Period=FQ","BEST_FPERIOD_OVERRIDE=FQ","FILING_STATUS=OR","EQY_CONSOLIDATED=Y","Sort=A","Dates=H","DateFormat=P","Fill=—","Direction=H","UseDPDF=Y")</f>
        <v>#NAME?</v>
      </c>
      <c r="BL596" s="2" t="e">
        <f ca="1">_xll.BDH($C$578,"ACCOUNTS_RECEIVABLE_SEQ_GROWTH","FQ3 2017","FQ3 2017","Currency=INR","Period=FQ","BEST_FPERIOD_OVERRIDE=FQ","FILING_STATUS=OR","EQY_CONSOLIDATED=Y","Sort=A","Dates=H","DateFormat=P","Fill=—","Direction=H","UseDPDF=Y")</f>
        <v>#NAME?</v>
      </c>
      <c r="BM596" s="2" t="e">
        <f ca="1">_xll.BDH($C$578,"INVENTORY_SEQUENTIAL_GROWTH","FQ3 2017","FQ3 2017","Currency=INR","Period=FQ","BEST_FPERIOD_OVERRIDE=FQ","FILING_STATUS=OR","EQY_CONSOLIDATED=Y","Sort=A","Dates=H","DateFormat=P","Fill=—","Direction=H","UseDPDF=Y")</f>
        <v>#NAME?</v>
      </c>
      <c r="BN596" s="2" t="e">
        <f ca="1">_xll.BDH($C$578,"FIXED_ASSETS_SEQUENTIAL_GROWTH","FQ3 2017","FQ3 2017","Currency=INR","Period=FQ","BEST_FPERIOD_OVERRIDE=FQ","FILING_STATUS=OR","EQY_CONSOLIDATED=Y","Sort=A","Dates=H","DateFormat=P","Fill=—","Direction=H","UseDPDF=Y")</f>
        <v>#NAME?</v>
      </c>
      <c r="BO596" s="2" t="e">
        <f ca="1">_xll.BDH($C$578,"TOTAL_ASSETS_SEQUENTIAL_GROWTH","FQ3 2017","FQ3 2017","Currency=INR","Period=FQ","BEST_FPERIOD_OVERRIDE=FQ","FILING_STATUS=OR","EQY_CONSOLIDATED=Y","Sort=A","Dates=H","DateFormat=P","Fill=—","Direction=H","UseDPDF=Y")</f>
        <v>#NAME?</v>
      </c>
      <c r="BP596" s="2" t="e">
        <f ca="1">_xll.BDH($C$578,"MODIFIED_WORKING_CPTL_SEQ_GRWTH","FQ3 2017","FQ3 2017","Currency=INR","Period=FQ","BEST_FPERIOD_OVERRIDE=FQ","FILING_STATUS=OR","EQY_CONSOLIDATED=Y","Sort=A","Dates=H","DateFormat=P","Fill=—","Direction=H","UseDPDF=Y")</f>
        <v>#NAME?</v>
      </c>
      <c r="BQ596" s="2" t="e">
        <f ca="1">_xll.BDH($C$578,"WORKING_CAPITAL_SEQ_GROWTH","FQ3 2017","FQ3 2017","Currency=INR","Period=FQ","BEST_FPERIOD_OVERRIDE=FQ","FILING_STATUS=OR","EQY_CONSOLIDATED=Y","Sort=A","Dates=H","DateFormat=P","Fill=—","Direction=H","UseDPDF=Y")</f>
        <v>#NAME?</v>
      </c>
      <c r="BR596" s="2" t="e">
        <f ca="1">_xll.BDH($C$578,"ACCOUNTS_PAYABLE_SEQ_GROWTH","FQ3 2017","FQ3 2017","Currency=INR","Period=FQ","BEST_FPERIOD_OVERRIDE=FQ","FILING_STATUS=OR","EQY_CONSOLIDATED=Y","Sort=A","Dates=H","DateFormat=P","Fill=—","Direction=H","UseDPDF=Y")</f>
        <v>#NAME?</v>
      </c>
      <c r="BS596" s="2" t="e">
        <f ca="1">_xll.BDH($C$578,"ST_DEBT_SEQUENTIAL_GROWTH","FQ3 2017","FQ3 2017","Currency=INR","Period=FQ","BEST_FPERIOD_OVERRIDE=FQ","FILING_STATUS=OR","EQY_CONSOLIDATED=Y","Sort=A","Dates=H","DateFormat=P","Fill=—","Direction=H","UseDPDF=Y")</f>
        <v>#NAME?</v>
      </c>
      <c r="BT596" s="2" t="e">
        <f ca="1">_xll.BDH($C$578,"TOTAL_DEBT_SEQUENTIAL_GROWTH","FQ3 2017","FQ3 2017","Currency=INR","Period=FQ","BEST_FPERIOD_OVERRIDE=FQ","FILING_STATUS=OR","EQY_CONSOLIDATED=Y","Sort=A","Dates=H","DateFormat=P","Fill=—","Direction=H","UseDPDF=Y")</f>
        <v>#NAME?</v>
      </c>
      <c r="BU596" s="2" t="e">
        <f ca="1">_xll.BDH($C$578,"TOTAL_EQUITY_SEQUENTIAL_GROWTH","FQ3 2017","FQ3 2017","Currency=INR","Period=FQ","BEST_FPERIOD_OVERRIDE=FQ","FILING_STATUS=OR","EQY_CONSOLIDATED=Y","Sort=A","Dates=H","DateFormat=P","Fill=—","Direction=H","UseDPDF=Y")</f>
        <v>#NAME?</v>
      </c>
      <c r="BV596" s="2" t="e">
        <f ca="1">_xll.BDH($C$578,"TOTAL_CAPITAL_SEQUENTIAL_GROWTH","FQ3 2017","FQ3 2017","Currency=INR","Period=FQ","BEST_FPERIOD_OVERRIDE=FQ","FILING_STATUS=OR","EQY_CONSOLIDATED=Y","Sort=A","Dates=H","DateFormat=P","Fill=—","Direction=H","UseDPDF=Y")</f>
        <v>#NAME?</v>
      </c>
      <c r="BW596" s="2" t="e">
        <f ca="1">_xll.BDH($C$578,"BPS_SEQUENTIAL_GROWTH","FQ3 2017","FQ3 2017","Currency=INR","Period=FQ","BEST_FPERIOD_OVERRIDE=FQ","FILING_STATUS=OR","EQY_CONSOLIDATED=Y","Sort=A","Dates=H","DateFormat=P","Fill=—","Direction=H","UseDPDF=Y")</f>
        <v>#NAME?</v>
      </c>
      <c r="BX596" s="2" t="e">
        <f ca="1">_xll.BDH($C$578,"CFO_SEQUENTIAL_GROWTH","FQ3 2017","FQ3 2017","Currency=INR","Period=FQ","BEST_FPERIOD_OVERRIDE=FQ","FILING_STATUS=OR","EQY_CONSOLIDATED=Y","Sort=A","Dates=H","DateFormat=P","Fill=—","Direction=H","UseDPDF=Y")</f>
        <v>#NAME?</v>
      </c>
      <c r="BY596" s="3" t="e">
        <f ca="1">_xll.BDH($C$578,"SHORT_AND_LONG_TERM_DEBT","FQ3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596" s="3" t="e">
        <f ca="1">_xll.BDH($C$578,"BS_ST_BORROW","FQ3 2017","FQ3 2017","Currency=INR","Period=FQ","BEST_FPERIOD_OVERRIDE=FQ","FILING_STATUS=OR","EQY_CONSOLIDATED=Y","SCALING_FORMAT=MLN","Sort=A","Dates=H","DateFormat=P","Fill=—","Direction=H","UseDPDF=Y")</f>
        <v>#NAME?</v>
      </c>
      <c r="CA596" s="3" t="e">
        <f ca="1">_xll.BDH($C$578,"BS_LT_BORROW","FQ3 2017","FQ3 2017","Currency=INR","Period=FQ","BEST_FPERIOD_OVERRIDE=FQ","FILING_STATUS=OR","EQY_CONSOLIDATED=Y","SCALING_FORMAT=MLN","Sort=A","Dates=H","DateFormat=P","Fill=—","Direction=H","UseDPDF=Y")</f>
        <v>#NAME?</v>
      </c>
      <c r="CB596" s="2" t="e">
        <f ca="1">_xll.BDH($C$578,"TOT_DEBT_TO_EBITDA","FQ3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596" s="2" t="e">
        <f ca="1">_xll.BDH($C$578,"NET_DEBT_TO_EBITDA","FQ3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596" s="2" t="e">
        <f ca="1">_xll.BDH($C$578,"TOTAL_DEBT_TO_EBIT","FQ3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596" s="2" t="e">
        <f ca="1">_xll.BDH($C$578,"NET_DEBT_TO_EBIT","FQ3 2017","FQ3 2017","Currency=INR","Period=FQ","BEST_FPERIOD_OVERRIDE=FQ","FILING_STATUS=OR","EQY_CONSOLIDATED=Y","FA_ADJUSTED=GAAP","Sort=A","Dates=H","DateFormat=P","Fill=—","Direction=H","UseDPDF=Y")</f>
        <v>#NAME?</v>
      </c>
      <c r="CF596" s="2" t="e">
        <f ca="1">_xll.BDH($C$578,"EBITDA_TO_INTEREST_EXPN","FQ3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596" s="2" t="e">
        <f ca="1">_xll.BDH($C$578,"COM_EQY_TO_TOT_ASSET","FQ3 2017","FQ3 2017","Currency=INR","Period=FQ","BEST_FPERIOD_OVERRIDE=FQ","FILING_STATUS=OR","EQY_CONSOLIDATED=Y","Sort=A","Dates=H","DateFormat=P","Fill=—","Direction=H","UseDPDF=Y")</f>
        <v>#NAME?</v>
      </c>
      <c r="CH596" s="2" t="e">
        <f ca="1">_xll.BDH($C$578,"LT_DEBT_TO_TOT_EQY","FQ3 2017","FQ3 2017","Currency=INR","Period=FQ","BEST_FPERIOD_OVERRIDE=FQ","FILING_STATUS=OR","EQY_CONSOLIDATED=Y","Sort=A","Dates=H","DateFormat=P","Fill=—","Direction=H","UseDPDF=Y")</f>
        <v>#NAME?</v>
      </c>
      <c r="CI596" s="2" t="e">
        <f ca="1">_xll.BDH($C$578,"LT_DEBT_TO_TOT_CAP","FQ3 2017","FQ3 2017","Currency=INR","Period=FQ","BEST_FPERIOD_OVERRIDE=FQ","FILING_STATUS=OR","EQY_CONSOLIDATED=Y","Sort=A","Dates=H","DateFormat=P","Fill=—","Direction=H","UseDPDF=Y")</f>
        <v>#NAME?</v>
      </c>
      <c r="CJ596" s="2" t="e">
        <f ca="1">_xll.BDH($C$578,"LT_DEBT_TO_TOT_ASSET","FQ3 2017","FQ3 2017","Currency=INR","Period=FQ","BEST_FPERIOD_OVERRIDE=FQ","FILING_STATUS=OR","EQY_CONSOLIDATED=Y","Sort=A","Dates=H","DateFormat=P","Fill=—","Direction=H","UseDPDF=Y")</f>
        <v>#NAME?</v>
      </c>
      <c r="CK596" s="2" t="e">
        <f ca="1">_xll.BDH($C$578,"TOT_DEBT_TO_TOT_EQY","FQ3 2017","FQ3 2017","Currency=INR","Period=FQ","BEST_FPERIOD_OVERRIDE=FQ","FILING_STATUS=OR","EQY_CONSOLIDATED=Y","Sort=A","Dates=H","DateFormat=P","Fill=—","Direction=H","UseDPDF=Y")</f>
        <v>#NAME?</v>
      </c>
      <c r="CL596" s="2" t="e">
        <f ca="1">_xll.BDH($C$578,"TOT_DEBT_TO_TOT_CAP","FQ3 2017","FQ3 2017","Currency=INR","Period=FQ","BEST_FPERIOD_OVERRIDE=FQ","FILING_STATUS=OR","EQY_CONSOLIDATED=Y","Sort=A","Dates=H","DateFormat=P","Fill=—","Direction=H","UseDPDF=Y")</f>
        <v>#NAME?</v>
      </c>
      <c r="CM596" s="2" t="e">
        <f ca="1">_xll.BDH($C$578,"TOT_DEBT_TO_TOT_ASSET","FQ3 2017","FQ3 2017","Currency=INR","Period=FQ","BEST_FPERIOD_OVERRIDE=FQ","FILING_STATUS=OR","EQY_CONSOLIDATED=Y","Sort=A","Dates=H","DateFormat=P","Fill=—","Direction=H","UseDPDF=Y")</f>
        <v>#NAME?</v>
      </c>
      <c r="CN596" s="2" t="e">
        <f ca="1">_xll.BDH($C$578,"NET_DEBT_TO_SHRHLDR_EQTY","FQ3 2017","FQ3 2017","Currency=INR","Period=FQ","BEST_FPERIOD_OVERRIDE=FQ","FILING_STATUS=OR","EQY_CONSOLIDATED=Y","Sort=A","Dates=H","DateFormat=P","Fill=—","Direction=H","UseDPDF=Y")</f>
        <v>#NAME?</v>
      </c>
      <c r="CO596" s="2" t="e">
        <f ca="1">_xll.BDH($C$578,"NET_DEBT_%_CAPITAL","FQ3 2017","FQ3 2017","Currency=INR","Period=FQ","BEST_FPERIOD_OVERRIDE=FQ","FILING_STATUS=OR","EQY_CONSOLIDATED=Y","Sort=A","Dates=H","DateFormat=P","Fill=—","Direction=H","UseDPDF=Y")</f>
        <v>#NAME?</v>
      </c>
      <c r="CP596" s="3" t="e">
        <f ca="1">_xll.BDH($C$578,"EBITDA","FQ3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596" s="3" t="e">
        <f ca="1">_xll.BDH($C$578,"EBITDA_AFTER_CAPEX","FQ3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596" s="3" t="e">
        <f ca="1">_xll.BDH($C$578,"IS_OPER_INC","FQ3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596" s="2" t="e">
        <f ca="1">_xll.BDH($C$578,"CASH_RATIO","FQ3 2017","FQ3 2017","Currency=INR","Period=FQ","BEST_FPERIOD_OVERRIDE=FQ","FILING_STATUS=OR","EQY_CONSOLIDATED=Y","Sort=A","Dates=H","DateFormat=P","Fill=—","Direction=H","UseDPDF=Y")</f>
        <v>#NAME?</v>
      </c>
      <c r="CT596" s="2" t="e">
        <f ca="1">_xll.BDH($C$578,"CUR_RATIO","FQ3 2017","FQ3 2017","Currency=INR","Period=FQ","BEST_FPERIOD_OVERRIDE=FQ","FILING_STATUS=OR","EQY_CONSOLIDATED=Y","Sort=A","Dates=H","DateFormat=P","Fill=—","Direction=H","UseDPDF=Y")</f>
        <v>#NAME?</v>
      </c>
      <c r="CU596" s="2" t="e">
        <f ca="1">_xll.BDH($C$578,"QUICK_RATIO","FQ3 2017","FQ3 2017","Currency=INR","Period=FQ","BEST_FPERIOD_OVERRIDE=FQ","FILING_STATUS=OR","EQY_CONSOLIDATED=Y","Sort=A","Dates=H","DateFormat=P","Fill=—","Direction=H","UseDPDF=Y")</f>
        <v>#NAME?</v>
      </c>
      <c r="CV596" s="2" t="e">
        <f ca="1">_xll.BDH($C$578,"ALTMAN_Z_SCORE","FQ3 2017","FQ3 2017","Currency=INR","Period=FQ","BEST_FPERIOD_OVERRIDE=FQ","FILING_STATUS=OR","EQY_CONSOLIDATED=Y","Sort=A","Dates=H","DateFormat=P","Fill=—","Direction=H","UseDPDF=Y")</f>
        <v>#NAME?</v>
      </c>
      <c r="CW596" s="4" t="e">
        <f ca="1">_xll.BDH($C$578,"ACCT_RCV_TURN","FQ3 2017","FQ3 2017","Currency=INR","Period=FQ","BEST_FPERIOD_OVERRIDE=FQ","FILING_STATUS=OR","EQY_CONSOLIDATED=Y","FA_ADJUSTED=GAAP","Sort=A","Dates=H","DateFormat=P","Fill=—","Direction=H","UseDPDF=Y")</f>
        <v>#NAME?</v>
      </c>
      <c r="CX596" s="2" t="e">
        <f ca="1">_xll.BDH($C$578,"ACCT_RCV_DAYS","FQ3 2017","FQ3 2017","Currency=INR","Period=FQ","BEST_FPERIOD_OVERRIDE=FQ","FILING_STATUS=OR","EQY_CONSOLIDATED=Y","FA_ADJUSTED=GAAP","Sort=A","Dates=H","DateFormat=P","Fill=—","Direction=H","UseDPDF=Y")</f>
        <v>#NAME?</v>
      </c>
      <c r="CY596" s="4" t="e">
        <f ca="1">_xll.BDH($C$578,"INVENT_TURN","FQ3 2017","FQ3 2017","Currency=INR","Period=FQ","BEST_FPERIOD_OVERRIDE=FQ","FILING_STATUS=OR","EQY_CONSOLIDATED=Y","FA_ADJUSTED=GAAP","Sort=A","Dates=H","DateFormat=P","Fill=—","Direction=H","UseDPDF=Y")</f>
        <v>#NAME?</v>
      </c>
      <c r="CZ596" s="2" t="e">
        <f ca="1">_xll.BDH($C$578,"INVENT_DAYS","FQ3 2017","FQ3 2017","Currency=INR","Period=FQ","BEST_FPERIOD_OVERRIDE=FQ","FILING_STATUS=OR","EQY_CONSOLIDATED=Y","FA_ADJUSTED=GAAP","Sort=A","Dates=H","DateFormat=P","Fill=—","Direction=H","UseDPDF=Y")</f>
        <v>#NAME?</v>
      </c>
      <c r="DA596" s="4" t="e">
        <f ca="1">_xll.BDH($C$578,"ACCOUNTS_PAYABLE_TURNOVER","FQ3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596" s="2" t="e">
        <f ca="1">_xll.BDH($C$578,"ACCOUNTS_PAYABLE_TURNOVER_DAYS","FQ3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596" s="4" t="e">
        <f ca="1">_xll.BDH($C$578,"CASH_CONVERSION_CYCLE","FQ3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596" s="4" t="e">
        <f ca="1">_xll.BDH($C$578,"INV_TO_CASH_DAYS","FQ3 2017","FQ3 2017","Currency=INR","Period=FQ","BEST_FPERIOD_OVERRIDE=FQ","FILING_STATUS=OR","EQY_CONSOLIDATED=Y","FA_ADJUSTED=GAAP","Sort=A","Dates=H","DateFormat=P","Fill=—","Direction=H","UseDPDF=Y")</f>
        <v>#NAME?</v>
      </c>
      <c r="DE596" s="5" t="e">
        <f ca="1">_xll.BDH($C$578,"BS_INVENTORIES","FQ3 2017","FQ3 2017","Currency=INR","Period=FQ","BEST_FPERIOD_OVERRIDE=FQ","FILING_STATUS=OR","EQY_CONSOLIDATED=Y","SCALING_FORMAT=MLN","Sort=A","Dates=H","DateFormat=P","Fill=—","Direction=H","UseDPDF=Y")</f>
        <v>#NAME?</v>
      </c>
      <c r="DF596" s="3" t="e">
        <f ca="1">_xll.BDH($C$578,"INVTRY_RAW_MATERIALS","FQ3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596" s="3" t="e">
        <f ca="1">_xll.BDH($C$578,"INVTRY_IN_PROGRESS","FQ3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596" s="3" t="e">
        <f ca="1">_xll.BDH($C$578,"INVTRY_FINISHED_GOODS","FQ3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596" s="3" t="e">
        <f ca="1">_xll.BDH($C$578,"BS_OTHER_INV","FQ3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597" spans="1:113" x14ac:dyDescent="0.3">
      <c r="A597" s="6"/>
      <c r="B597" s="6"/>
      <c r="C597" s="6"/>
      <c r="D597" s="6"/>
      <c r="E597" t="s">
        <v>81</v>
      </c>
      <c r="F597" t="e">
        <f ca="1">_xll.BDH($C$578,"RETURN_COM_EQY","FQ4 2017","FQ4 2017","Currency=INR","Period=FQ","BEST_FPERIOD_OVERRIDE=FQ","FILING_STATUS=OR","EQY_CONSOLIDATED=Y","FA_ADJUSTED=GAAP","Sort=A","Dates=H","DateFormat=P","Fill=—","Direction=H","UseDPDF=Y")</f>
        <v>#NAME?</v>
      </c>
      <c r="G597" t="e">
        <f ca="1">_xll.BDH($C$578,"RETURN_ON_ASSET","FQ4 2017","FQ4 2017","Currency=INR","Period=FQ","BEST_FPERIOD_OVERRIDE=FQ","FILING_STATUS=OR","EQY_CONSOLIDATED=Y","FA_ADJUSTED=GAAP","Sort=A","Dates=H","DateFormat=P","Fill=—","Direction=H","UseDPDF=Y")</f>
        <v>#NAME?</v>
      </c>
      <c r="H597" t="e">
        <f ca="1">_xll.BDH($C$578,"RETURN_ON_CAP","FQ4 2017","FQ4 2017","Currency=INR","Period=FQ","BEST_FPERIOD_OVERRIDE=FQ","FILING_STATUS=OR","EQY_CONSOLIDATED=Y","FA_ADJUSTED=GAAP","Sort=A","Dates=H","DateFormat=P","Fill=—","Direction=H","UseDPDF=Y")</f>
        <v>#NAME?</v>
      </c>
      <c r="I597" t="e">
        <f ca="1">_xll.BDH($C$578,"RETURN_ON_INV_CAPITAL","FQ4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597" t="e">
        <f ca="1">_xll.BDH($C$578,"EBITDA_TO_REVENUE","FQ4 2017","FQ4 2017","Currency=INR","Period=FQ","BEST_FPERIOD_OVERRIDE=FQ","FILING_STATUS=OR","EQY_CONSOLIDATED=Y","FA_ADJUSTED=GAAP","Sort=A","Dates=H","DateFormat=P","Fill=—","Direction=H","UseDPDF=Y")</f>
        <v>#NAME?</v>
      </c>
      <c r="K597" t="e">
        <f ca="1">_xll.BDH($C$578,"OPER_MARGIN","FQ4 2017","FQ4 2017","Currency=INR","Period=FQ","BEST_FPERIOD_OVERRIDE=FQ","FILING_STATUS=OR","EQY_CONSOLIDATED=Y","FA_ADJUSTED=GAAP","Sort=A","Dates=H","DateFormat=P","Fill=—","Direction=H","UseDPDF=Y")</f>
        <v>#NAME?</v>
      </c>
      <c r="L597" t="e">
        <f ca="1">_xll.BDH($C$578,"INCREMENTAL_OPERATING_MARGIN","FQ4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597" t="e">
        <f ca="1">_xll.BDH($C$578,"PRETAX_INC_TO_NET_SALES","FQ4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597" t="e">
        <f ca="1">_xll.BDH($C$578,"INC_BEF_XO_ITEMS_TO_NET_SALES","FQ4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597" t="e">
        <f ca="1">_xll.BDH($C$578,"PROF_MARGIN","FQ4 2017","FQ4 2017","Currency=INR","Period=FQ","BEST_FPERIOD_OVERRIDE=FQ","FILING_STATUS=OR","EQY_CONSOLIDATED=Y","FA_ADJUSTED=GAAP","Sort=A","Dates=H","DateFormat=P","Fill=—","Direction=H","UseDPDF=Y")</f>
        <v>#NAME?</v>
      </c>
      <c r="P597" t="e">
        <f ca="1">_xll.BDH($C$578,"NET_INCOME_TO_COMMON_MARGIN","FQ4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597" t="e">
        <f ca="1">_xll.BDH($C$578,"EFF_TAX_RATE","FQ4 2017","FQ4 2017","Currency=INR","Period=FQ","BEST_FPERIOD_OVERRIDE=FQ","FILING_STATUS=OR","EQY_CONSOLIDATED=Y","FA_ADJUSTED=GAAP","Sort=A","Dates=H","DateFormat=P","Fill=—","Direction=H","UseDPDF=Y")</f>
        <v>#NAME?</v>
      </c>
      <c r="R597" t="e">
        <f ca="1">_xll.BDH($C$578,"DVD_PAYOUT_RATIO","FQ4 2017","FQ4 2017","Currency=INR","Period=FQ","BEST_FPERIOD_OVERRIDE=FQ","FILING_STATUS=OR","EQY_CONSOLIDATED=Y","FA_ADJUSTED=GAAP","Sort=A","Dates=H","DateFormat=P","Fill=—","Direction=H","UseDPDF=Y")</f>
        <v>#NAME?</v>
      </c>
      <c r="S597" t="e">
        <f ca="1">_xll.BDH($C$578,"SUSTAIN_GROWTH_RT","FQ4 2017","FQ4 2017","Currency=INR","Period=FQ","BEST_FPERIOD_OVERRIDE=FQ","FILING_STATUS=OR","EQY_CONSOLIDATED=Y","FA_ADJUSTED=GAAP","Sort=A","Dates=H","DateFormat=P","Fill=—","Direction=H","UseDPDF=Y")</f>
        <v>#NAME?</v>
      </c>
      <c r="T597" s="2" t="e">
        <f ca="1">_xll.BDH($C$578,"SALES_GROWTH","FQ4 2017","FQ4 2017","Currency=INR","Period=FQ","BEST_FPERIOD_OVERRIDE=FQ","FILING_STATUS=OR","EQY_CONSOLIDATED=Y","FA_ADJUSTED=GAAP","Sort=A","Dates=H","DateFormat=P","Fill=—","Direction=H","UseDPDF=Y")</f>
        <v>#NAME?</v>
      </c>
      <c r="U597" s="2" t="e">
        <f ca="1">_xll.BDH($C$578,"EBITDA_GROWTH","FQ4 2017","FQ4 2017","Currency=INR","Period=FQ","BEST_FPERIOD_OVERRIDE=FQ","FILING_STATUS=OR","EQY_CONSOLIDATED=Y","FA_ADJUSTED=GAAP","Sort=A","Dates=H","DateFormat=P","Fill=—","Direction=H","UseDPDF=Y")</f>
        <v>#NAME?</v>
      </c>
      <c r="V597" s="2" t="e">
        <f ca="1">_xll.BDH($C$578,"OPER_INC_GROWTH","FQ4 2017","FQ4 2017","Currency=INR","Period=FQ","BEST_FPERIOD_OVERRIDE=FQ","FILING_STATUS=OR","EQY_CONSOLIDATED=Y","FA_ADJUSTED=GAAP","Sort=A","Dates=H","DateFormat=P","Fill=—","Direction=H","UseDPDF=Y")</f>
        <v>#NAME?</v>
      </c>
      <c r="W597" s="2" t="e">
        <f ca="1">_xll.BDH($C$578,"EARN_FOR_COM_GROWTH","FQ4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597" s="2" t="e">
        <f ca="1">_xll.BDH($C$578,"DILUTED_EPS_AFT_XO_ITEMS_GROWTH","FQ4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597" s="2" t="e">
        <f ca="1">_xll.BDH($C$578,"DIVIDEND_PER_SHARE_1_YEAR_GROWTH","FQ4 2017","FQ4 2017","Currency=INR","Period=FQ","BEST_FPERIOD_OVERRIDE=FQ","FILING_STATUS=OR","EQY_CONSOLIDATED=Y","Sort=A","Dates=H","DateFormat=P","Fill=—","Direction=H","UseDPDF=Y")</f>
        <v>#NAME?</v>
      </c>
      <c r="Z597" s="2" t="e">
        <f ca="1">_xll.BDH($C$578,"ACCOUNTS_RECEIVABLE_GROWTH","FQ4 2017","FQ4 2017","Currency=INR","Period=FQ","BEST_FPERIOD_OVERRIDE=FQ","FILING_STATUS=OR","EQY_CONSOLIDATED=Y","Sort=A","Dates=H","DateFormat=P","Fill=—","Direction=H","UseDPDF=Y")</f>
        <v>#NAME?</v>
      </c>
      <c r="AA597" s="2" t="e">
        <f ca="1">_xll.BDH($C$578,"INVENTORY_GROWTH","FQ4 2017","FQ4 2017","Currency=INR","Period=FQ","BEST_FPERIOD_OVERRIDE=FQ","FILING_STATUS=OR","EQY_CONSOLIDATED=Y","Sort=A","Dates=H","DateFormat=P","Fill=—","Direction=H","UseDPDF=Y")</f>
        <v>#NAME?</v>
      </c>
      <c r="AB597" s="2" t="e">
        <f ca="1">_xll.BDH($C$578,"NET_FIXED_ASSETS_1_YEAR_GROWTH","FQ4 2017","FQ4 2017","Currency=INR","Period=FQ","BEST_FPERIOD_OVERRIDE=FQ","FILING_STATUS=OR","EQY_CONSOLIDATED=Y","Sort=A","Dates=H","DateFormat=P","Fill=—","Direction=H","UseDPDF=Y")</f>
        <v>#NAME?</v>
      </c>
      <c r="AC597" s="2" t="e">
        <f ca="1">_xll.BDH($C$578,"ASSET_GROWTH","FQ4 2017","FQ4 2017","Currency=INR","Period=FQ","BEST_FPERIOD_OVERRIDE=FQ","FILING_STATUS=OR","EQY_CONSOLIDATED=Y","Sort=A","Dates=H","DateFormat=P","Fill=—","Direction=H","UseDPDF=Y")</f>
        <v>#NAME?</v>
      </c>
      <c r="AD597" s="2" t="e">
        <f ca="1">_xll.BDH($C$578,"MODIFIED_WORK_CAP_GROWTH","FQ4 2017","FQ4 2017","Currency=INR","Period=FQ","BEST_FPERIOD_OVERRIDE=FQ","FILING_STATUS=OR","EQY_CONSOLIDATED=Y","Sort=A","Dates=H","DateFormat=P","Fill=—","Direction=H","UseDPDF=Y")</f>
        <v>#NAME?</v>
      </c>
      <c r="AE597" s="2" t="e">
        <f ca="1">_xll.BDH($C$578,"WORK_CAP_GROWTH","FQ4 2017","FQ4 2017","Currency=INR","Period=FQ","BEST_FPERIOD_OVERRIDE=FQ","FILING_STATUS=OR","EQY_CONSOLIDATED=Y","Sort=A","Dates=H","DateFormat=P","Fill=—","Direction=H","UseDPDF=Y")</f>
        <v>#NAME?</v>
      </c>
      <c r="AF597" s="2" t="e">
        <f ca="1">_xll.BDH($C$578,"ACCOUNTS_PAYABLE_GROWTH_1YR","FQ4 2017","FQ4 2017","Currency=INR","Period=FQ","BEST_FPERIOD_OVERRIDE=FQ","FILING_STATUS=OR","EQY_CONSOLIDATED=Y","Sort=A","Dates=H","DateFormat=P","Fill=—","Direction=H","UseDPDF=Y")</f>
        <v>#NAME?</v>
      </c>
      <c r="AG597" s="2" t="e">
        <f ca="1">_xll.BDH($C$578,"SHORT_TERM_DEBT_1_YEAR_GROWTH","FQ4 2017","FQ4 2017","Currency=INR","Period=FQ","BEST_FPERIOD_OVERRIDE=FQ","FILING_STATUS=OR","EQY_CONSOLIDATED=Y","Sort=A","Dates=H","DateFormat=P","Fill=—","Direction=H","UseDPDF=Y")</f>
        <v>#NAME?</v>
      </c>
      <c r="AH597" s="2" t="e">
        <f ca="1">_xll.BDH($C$578,"TOTAL_DEBT_1_YEAR_GROWTH","FQ4 2017","FQ4 2017","Currency=INR","Period=FQ","BEST_FPERIOD_OVERRIDE=FQ","FILING_STATUS=OR","EQY_CONSOLIDATED=Y","Sort=A","Dates=H","DateFormat=P","Fill=—","Direction=H","UseDPDF=Y")</f>
        <v>#NAME?</v>
      </c>
      <c r="AI597" s="2" t="e">
        <f ca="1">_xll.BDH($C$578,"TOTAL_EQUITY_1_YEAR_GROWTH","FQ4 2017","FQ4 2017","Currency=INR","Period=FQ","BEST_FPERIOD_OVERRIDE=FQ","FILING_STATUS=OR","EQY_CONSOLIDATED=Y","Sort=A","Dates=H","DateFormat=P","Fill=—","Direction=H","UseDPDF=Y")</f>
        <v>#NAME?</v>
      </c>
      <c r="AJ597" s="2" t="e">
        <f ca="1">_xll.BDH($C$578,"GROWTH_IN_CAP","FQ4 2017","FQ4 2017","Currency=INR","Period=FQ","BEST_FPERIOD_OVERRIDE=FQ","FILING_STATUS=OR","EQY_CONSOLIDATED=Y","Sort=A","Dates=H","DateFormat=P","Fill=—","Direction=H","UseDPDF=Y")</f>
        <v>#NAME?</v>
      </c>
      <c r="AK597" s="2" t="e">
        <f ca="1">_xll.BDH($C$578,"BVPS_GROWTH","FQ4 2017","FQ4 2017","Currency=INR","Period=FQ","BEST_FPERIOD_OVERRIDE=FQ","FILING_STATUS=OR","EQY_CONSOLIDATED=Y","Sort=A","Dates=H","DateFormat=P","Fill=—","Direction=H","UseDPDF=Y")</f>
        <v>#NAME?</v>
      </c>
      <c r="AL597" s="2" t="e">
        <f ca="1">_xll.BDH($C$578,"CASH_FLOW_GROWTH","FQ4 2017","FQ4 2017","Currency=INR","Period=FQ","BEST_FPERIOD_OVERRIDE=FQ","FILING_STATUS=OR","EQY_CONSOLIDATED=Y","Sort=A","Dates=H","DateFormat=P","Fill=—","Direction=H","UseDPDF=Y")</f>
        <v>#NAME?</v>
      </c>
      <c r="AM597" s="2" t="e">
        <f ca="1">_xll.BDH($C$578,"GEO_GROW_NET_SALES","FQ4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597" s="2" t="e">
        <f ca="1">_xll.BDH($C$578,"GEO_GROW_EBITDA","FQ4 2017","FQ4 2017","Currency=INR","Period=FQ","BEST_FPERIOD_OVERRIDE=FQ","FILING_STATUS=OR","EQY_CONSOLIDATED=Y","FA_ADJUSTED=GAAP","Sort=A","Dates=H","DateFormat=P","Fill=—","Direction=H","UseDPDF=Y")</f>
        <v>#NAME?</v>
      </c>
      <c r="AO597" s="2" t="e">
        <f ca="1">_xll.BDH($C$578,"GEO_GROW_OPER_INC","FQ4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597" s="2" t="e">
        <f ca="1">_xll.BDH($C$578,"NET_INCOME_TO_COMMON_5_YR_GROWTH","FQ4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597" s="2" t="e">
        <f ca="1">_xll.BDH($C$578,"5Y_GEO_GROWTH_DILUTED_EPS","FQ4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597" s="2" t="e">
        <f ca="1">_xll.BDH($C$578,"GEO_GROW_DVD_PER_SH","FQ4 2017","FQ4 2017","Currency=INR","Period=FQ","BEST_FPERIOD_OVERRIDE=FQ","FILING_STATUS=OR","EQY_CONSOLIDATED=Y","Sort=A","Dates=H","DateFormat=P","Fill=—","Direction=H","UseDPDF=Y")</f>
        <v>#NAME?</v>
      </c>
      <c r="AS597" s="2" t="e">
        <f ca="1">_xll.BDH($C$578,"ACCOUNTS_RECEIVABLE_5_YR_GROWTH","FQ4 2017","FQ4 2017","Currency=INR","Period=FQ","BEST_FPERIOD_OVERRIDE=FQ","FILING_STATUS=OR","EQY_CONSOLIDATED=Y","Sort=A","Dates=H","DateFormat=P","Fill=—","Direction=H","UseDPDF=Y")</f>
        <v>#NAME?</v>
      </c>
      <c r="AT597" s="2" t="e">
        <f ca="1">_xll.BDH($C$578,"INVENTORY_5_YEAR_GROWTH","FQ4 2017","FQ4 2017","Currency=INR","Period=FQ","BEST_FPERIOD_OVERRIDE=FQ","FILING_STATUS=OR","EQY_CONSOLIDATED=Y","Sort=A","Dates=H","DateFormat=P","Fill=—","Direction=H","UseDPDF=Y")</f>
        <v>#NAME?</v>
      </c>
      <c r="AU597" s="2" t="e">
        <f ca="1">_xll.BDH($C$578,"NET_FIXED_ASSETS_5_YEAR_GROWTH","FQ4 2017","FQ4 2017","Currency=INR","Period=FQ","BEST_FPERIOD_OVERRIDE=FQ","FILING_STATUS=OR","EQY_CONSOLIDATED=Y","Sort=A","Dates=H","DateFormat=P","Fill=—","Direction=H","UseDPDF=Y")</f>
        <v>#NAME?</v>
      </c>
      <c r="AV597" s="2" t="e">
        <f ca="1">_xll.BDH($C$578,"GEO_GROW_TOT_ASSET","FQ4 2017","FQ4 2017","Currency=INR","Period=FQ","BEST_FPERIOD_OVERRIDE=FQ","FILING_STATUS=OR","EQY_CONSOLIDATED=Y","Sort=A","Dates=H","DateFormat=P","Fill=—","Direction=H","UseDPDF=Y")</f>
        <v>#NAME?</v>
      </c>
      <c r="AW597" s="2" t="e">
        <f ca="1">_xll.BDH($C$578,"MODIFIED_WORKING_CPTL_5YR_GRWTH","FQ4 2017","FQ4 2017","Currency=INR","Period=FQ","BEST_FPERIOD_OVERRIDE=FQ","FILING_STATUS=OR","EQY_CONSOLIDATED=Y","Sort=A","Dates=H","DateFormat=P","Fill=—","Direction=H","UseDPDF=Y")</f>
        <v>#NAME?</v>
      </c>
      <c r="AX597" s="2" t="e">
        <f ca="1">_xll.BDH($C$578,"WORKING_CAPITAL_5_YEAR_GROWTH","FQ4 2017","FQ4 2017","Currency=INR","Period=FQ","BEST_FPERIOD_OVERRIDE=FQ","FILING_STATUS=OR","EQY_CONSOLIDATED=Y","Sort=A","Dates=H","DateFormat=P","Fill=—","Direction=H","UseDPDF=Y")</f>
        <v>#NAME?</v>
      </c>
      <c r="AY597" s="2" t="e">
        <f ca="1">_xll.BDH($C$578,"ACCOUNTS_PAYABLE_5_YEAR_GROWTH","FQ4 2017","FQ4 2017","Currency=INR","Period=FQ","BEST_FPERIOD_OVERRIDE=FQ","FILING_STATUS=OR","EQY_CONSOLIDATED=Y","Sort=A","Dates=H","DateFormat=P","Fill=—","Direction=H","UseDPDF=Y")</f>
        <v>#NAME?</v>
      </c>
      <c r="AZ597" s="2" t="e">
        <f ca="1">_xll.BDH($C$578,"SHORT_TERM_DEBT_5_YEAR_GROWTH","FQ4 2017","FQ4 2017","Currency=INR","Period=FQ","BEST_FPERIOD_OVERRIDE=FQ","FILING_STATUS=OR","EQY_CONSOLIDATED=Y","Sort=A","Dates=H","DateFormat=P","Fill=—","Direction=H","UseDPDF=Y")</f>
        <v>#NAME?</v>
      </c>
      <c r="BA597" s="2" t="e">
        <f ca="1">_xll.BDH($C$578,"TOTAL_DEBT_5_YEAR_GROWTH","FQ4 2017","FQ4 2017","Currency=INR","Period=FQ","BEST_FPERIOD_OVERRIDE=FQ","FILING_STATUS=OR","EQY_CONSOLIDATED=Y","Sort=A","Dates=H","DateFormat=P","Fill=—","Direction=H","UseDPDF=Y")</f>
        <v>#NAME?</v>
      </c>
      <c r="BB597" s="2" t="e">
        <f ca="1">_xll.BDH($C$578,"GEO_GROW_TOT_SHRHLDR_EQY","FQ4 2017","FQ4 2017","Currency=INR","Period=FQ","BEST_FPERIOD_OVERRIDE=FQ","FILING_STATUS=OR","EQY_CONSOLIDATED=Y","Sort=A","Dates=H","DateFormat=P","Fill=—","Direction=H","UseDPDF=Y")</f>
        <v>#NAME?</v>
      </c>
      <c r="BC597" s="2" t="e">
        <f ca="1">_xll.BDH($C$578,"TOTAL_CAPITAL_5_YEAR_GROWTH","FQ4 2017","FQ4 2017","Currency=INR","Period=FQ","BEST_FPERIOD_OVERRIDE=FQ","FILING_STATUS=OR","EQY_CONSOLIDATED=Y","Sort=A","Dates=H","DateFormat=P","Fill=—","Direction=H","UseDPDF=Y")</f>
        <v>#NAME?</v>
      </c>
      <c r="BD597" s="2" t="e">
        <f ca="1">_xll.BDH($C$578,"GEO_GROW_BOOK_VAL","FQ4 2017","FQ4 2017","Currency=INR","Period=FQ","BEST_FPERIOD_OVERRIDE=FQ","FILING_STATUS=OR","EQY_CONSOLIDATED=Y","Sort=A","Dates=H","DateFormat=P","Fill=—","Direction=H","UseDPDF=Y")</f>
        <v>#NAME?</v>
      </c>
      <c r="BE597" s="2" t="e">
        <f ca="1">_xll.BDH($C$578,"GEO_GROW_CASH_OPER_ACT","FQ4 2017","FQ4 2017","Currency=INR","Period=FQ","BEST_FPERIOD_OVERRIDE=FQ","FILING_STATUS=OR","EQY_CONSOLIDATED=Y","Sort=A","Dates=H","DateFormat=P","Fill=—","Direction=H","UseDPDF=Y")</f>
        <v>#NAME?</v>
      </c>
      <c r="BF597" s="2" t="e">
        <f ca="1">_xll.BDH($C$578,"REVENUE_SEQUENTIAL_GROWTH","FQ4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597" s="2" t="e">
        <f ca="1">_xll.BDH($C$578,"EBITDA_SEQUENTIAL_GROWTH","FQ4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597" s="2" t="e">
        <f ca="1">_xll.BDH($C$578,"OPERATING_INCOME_SEQ_GROWTH","FQ4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597" s="2" t="e">
        <f ca="1">_xll.BDH($C$578,"NET_INCOME_TO_COMMON_SEQ_GROWTH","FQ4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597" s="2" t="e">
        <f ca="1">_xll.BDH($C$578,"EPS_DILUTED_SEQUENTIAL_GROWTH","FQ4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597" s="2" t="e">
        <f ca="1">_xll.BDH($C$578,"DPS_SEQUENTIAL_GROWTH","FQ4 2017","FQ4 2017","Currency=INR","Period=FQ","BEST_FPERIOD_OVERRIDE=FQ","FILING_STATUS=OR","EQY_CONSOLIDATED=Y","Sort=A","Dates=H","DateFormat=P","Fill=—","Direction=H","UseDPDF=Y")</f>
        <v>#NAME?</v>
      </c>
      <c r="BL597" s="2" t="e">
        <f ca="1">_xll.BDH($C$578,"ACCOUNTS_RECEIVABLE_SEQ_GROWTH","FQ4 2017","FQ4 2017","Currency=INR","Period=FQ","BEST_FPERIOD_OVERRIDE=FQ","FILING_STATUS=OR","EQY_CONSOLIDATED=Y","Sort=A","Dates=H","DateFormat=P","Fill=—","Direction=H","UseDPDF=Y")</f>
        <v>#NAME?</v>
      </c>
      <c r="BM597" s="2" t="e">
        <f ca="1">_xll.BDH($C$578,"INVENTORY_SEQUENTIAL_GROWTH","FQ4 2017","FQ4 2017","Currency=INR","Period=FQ","BEST_FPERIOD_OVERRIDE=FQ","FILING_STATUS=OR","EQY_CONSOLIDATED=Y","Sort=A","Dates=H","DateFormat=P","Fill=—","Direction=H","UseDPDF=Y")</f>
        <v>#NAME?</v>
      </c>
      <c r="BN597" s="2" t="e">
        <f ca="1">_xll.BDH($C$578,"FIXED_ASSETS_SEQUENTIAL_GROWTH","FQ4 2017","FQ4 2017","Currency=INR","Period=FQ","BEST_FPERIOD_OVERRIDE=FQ","FILING_STATUS=OR","EQY_CONSOLIDATED=Y","Sort=A","Dates=H","DateFormat=P","Fill=—","Direction=H","UseDPDF=Y")</f>
        <v>#NAME?</v>
      </c>
      <c r="BO597" s="2" t="e">
        <f ca="1">_xll.BDH($C$578,"TOTAL_ASSETS_SEQUENTIAL_GROWTH","FQ4 2017","FQ4 2017","Currency=INR","Period=FQ","BEST_FPERIOD_OVERRIDE=FQ","FILING_STATUS=OR","EQY_CONSOLIDATED=Y","Sort=A","Dates=H","DateFormat=P","Fill=—","Direction=H","UseDPDF=Y")</f>
        <v>#NAME?</v>
      </c>
      <c r="BP597" s="2" t="e">
        <f ca="1">_xll.BDH($C$578,"MODIFIED_WORKING_CPTL_SEQ_GRWTH","FQ4 2017","FQ4 2017","Currency=INR","Period=FQ","BEST_FPERIOD_OVERRIDE=FQ","FILING_STATUS=OR","EQY_CONSOLIDATED=Y","Sort=A","Dates=H","DateFormat=P","Fill=—","Direction=H","UseDPDF=Y")</f>
        <v>#NAME?</v>
      </c>
      <c r="BQ597" s="2" t="e">
        <f ca="1">_xll.BDH($C$578,"WORKING_CAPITAL_SEQ_GROWTH","FQ4 2017","FQ4 2017","Currency=INR","Period=FQ","BEST_FPERIOD_OVERRIDE=FQ","FILING_STATUS=OR","EQY_CONSOLIDATED=Y","Sort=A","Dates=H","DateFormat=P","Fill=—","Direction=H","UseDPDF=Y")</f>
        <v>#NAME?</v>
      </c>
      <c r="BR597" s="2" t="e">
        <f ca="1">_xll.BDH($C$578,"ACCOUNTS_PAYABLE_SEQ_GROWTH","FQ4 2017","FQ4 2017","Currency=INR","Period=FQ","BEST_FPERIOD_OVERRIDE=FQ","FILING_STATUS=OR","EQY_CONSOLIDATED=Y","Sort=A","Dates=H","DateFormat=P","Fill=—","Direction=H","UseDPDF=Y")</f>
        <v>#NAME?</v>
      </c>
      <c r="BS597" s="2" t="e">
        <f ca="1">_xll.BDH($C$578,"ST_DEBT_SEQUENTIAL_GROWTH","FQ4 2017","FQ4 2017","Currency=INR","Period=FQ","BEST_FPERIOD_OVERRIDE=FQ","FILING_STATUS=OR","EQY_CONSOLIDATED=Y","Sort=A","Dates=H","DateFormat=P","Fill=—","Direction=H","UseDPDF=Y")</f>
        <v>#NAME?</v>
      </c>
      <c r="BT597" s="2" t="e">
        <f ca="1">_xll.BDH($C$578,"TOTAL_DEBT_SEQUENTIAL_GROWTH","FQ4 2017","FQ4 2017","Currency=INR","Period=FQ","BEST_FPERIOD_OVERRIDE=FQ","FILING_STATUS=OR","EQY_CONSOLIDATED=Y","Sort=A","Dates=H","DateFormat=P","Fill=—","Direction=H","UseDPDF=Y")</f>
        <v>#NAME?</v>
      </c>
      <c r="BU597" s="2" t="e">
        <f ca="1">_xll.BDH($C$578,"TOTAL_EQUITY_SEQUENTIAL_GROWTH","FQ4 2017","FQ4 2017","Currency=INR","Period=FQ","BEST_FPERIOD_OVERRIDE=FQ","FILING_STATUS=OR","EQY_CONSOLIDATED=Y","Sort=A","Dates=H","DateFormat=P","Fill=—","Direction=H","UseDPDF=Y")</f>
        <v>#NAME?</v>
      </c>
      <c r="BV597" s="2" t="e">
        <f ca="1">_xll.BDH($C$578,"TOTAL_CAPITAL_SEQUENTIAL_GROWTH","FQ4 2017","FQ4 2017","Currency=INR","Period=FQ","BEST_FPERIOD_OVERRIDE=FQ","FILING_STATUS=OR","EQY_CONSOLIDATED=Y","Sort=A","Dates=H","DateFormat=P","Fill=—","Direction=H","UseDPDF=Y")</f>
        <v>#NAME?</v>
      </c>
      <c r="BW597" s="2" t="e">
        <f ca="1">_xll.BDH($C$578,"BPS_SEQUENTIAL_GROWTH","FQ4 2017","FQ4 2017","Currency=INR","Period=FQ","BEST_FPERIOD_OVERRIDE=FQ","FILING_STATUS=OR","EQY_CONSOLIDATED=Y","Sort=A","Dates=H","DateFormat=P","Fill=—","Direction=H","UseDPDF=Y")</f>
        <v>#NAME?</v>
      </c>
      <c r="BX597" s="2" t="e">
        <f ca="1">_xll.BDH($C$578,"CFO_SEQUENTIAL_GROWTH","FQ4 2017","FQ4 2017","Currency=INR","Period=FQ","BEST_FPERIOD_OVERRIDE=FQ","FILING_STATUS=OR","EQY_CONSOLIDATED=Y","Sort=A","Dates=H","DateFormat=P","Fill=—","Direction=H","UseDPDF=Y")</f>
        <v>#NAME?</v>
      </c>
      <c r="BY597" s="3" t="e">
        <f ca="1">_xll.BDH($C$578,"SHORT_AND_LONG_TERM_DEBT","FQ4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597" s="3" t="e">
        <f ca="1">_xll.BDH($C$578,"BS_ST_BORROW","FQ4 2017","FQ4 2017","Currency=INR","Period=FQ","BEST_FPERIOD_OVERRIDE=FQ","FILING_STATUS=OR","EQY_CONSOLIDATED=Y","SCALING_FORMAT=MLN","Sort=A","Dates=H","DateFormat=P","Fill=—","Direction=H","UseDPDF=Y")</f>
        <v>#NAME?</v>
      </c>
      <c r="CA597" s="3" t="e">
        <f ca="1">_xll.BDH($C$578,"BS_LT_BORROW","FQ4 2017","FQ4 2017","Currency=INR","Period=FQ","BEST_FPERIOD_OVERRIDE=FQ","FILING_STATUS=OR","EQY_CONSOLIDATED=Y","SCALING_FORMAT=MLN","Sort=A","Dates=H","DateFormat=P","Fill=—","Direction=H","UseDPDF=Y")</f>
        <v>#NAME?</v>
      </c>
      <c r="CB597" s="2" t="e">
        <f ca="1">_xll.BDH($C$578,"TOT_DEBT_TO_EBITDA","FQ4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597" s="2" t="e">
        <f ca="1">_xll.BDH($C$578,"NET_DEBT_TO_EBITDA","FQ4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597" s="2" t="e">
        <f ca="1">_xll.BDH($C$578,"TOTAL_DEBT_TO_EBIT","FQ4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597" s="2" t="e">
        <f ca="1">_xll.BDH($C$578,"NET_DEBT_TO_EBIT","FQ4 2017","FQ4 2017","Currency=INR","Period=FQ","BEST_FPERIOD_OVERRIDE=FQ","FILING_STATUS=OR","EQY_CONSOLIDATED=Y","FA_ADJUSTED=GAAP","Sort=A","Dates=H","DateFormat=P","Fill=—","Direction=H","UseDPDF=Y")</f>
        <v>#NAME?</v>
      </c>
      <c r="CF597" s="2" t="e">
        <f ca="1">_xll.BDH($C$578,"EBITDA_TO_INTEREST_EXPN","FQ4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597" s="2" t="e">
        <f ca="1">_xll.BDH($C$578,"COM_EQY_TO_TOT_ASSET","FQ4 2017","FQ4 2017","Currency=INR","Period=FQ","BEST_FPERIOD_OVERRIDE=FQ","FILING_STATUS=OR","EQY_CONSOLIDATED=Y","Sort=A","Dates=H","DateFormat=P","Fill=—","Direction=H","UseDPDF=Y")</f>
        <v>#NAME?</v>
      </c>
      <c r="CH597" s="2" t="e">
        <f ca="1">_xll.BDH($C$578,"LT_DEBT_TO_TOT_EQY","FQ4 2017","FQ4 2017","Currency=INR","Period=FQ","BEST_FPERIOD_OVERRIDE=FQ","FILING_STATUS=OR","EQY_CONSOLIDATED=Y","Sort=A","Dates=H","DateFormat=P","Fill=—","Direction=H","UseDPDF=Y")</f>
        <v>#NAME?</v>
      </c>
      <c r="CI597" s="2" t="e">
        <f ca="1">_xll.BDH($C$578,"LT_DEBT_TO_TOT_CAP","FQ4 2017","FQ4 2017","Currency=INR","Period=FQ","BEST_FPERIOD_OVERRIDE=FQ","FILING_STATUS=OR","EQY_CONSOLIDATED=Y","Sort=A","Dates=H","DateFormat=P","Fill=—","Direction=H","UseDPDF=Y")</f>
        <v>#NAME?</v>
      </c>
      <c r="CJ597" s="2" t="e">
        <f ca="1">_xll.BDH($C$578,"LT_DEBT_TO_TOT_ASSET","FQ4 2017","FQ4 2017","Currency=INR","Period=FQ","BEST_FPERIOD_OVERRIDE=FQ","FILING_STATUS=OR","EQY_CONSOLIDATED=Y","Sort=A","Dates=H","DateFormat=P","Fill=—","Direction=H","UseDPDF=Y")</f>
        <v>#NAME?</v>
      </c>
      <c r="CK597" s="2" t="e">
        <f ca="1">_xll.BDH($C$578,"TOT_DEBT_TO_TOT_EQY","FQ4 2017","FQ4 2017","Currency=INR","Period=FQ","BEST_FPERIOD_OVERRIDE=FQ","FILING_STATUS=OR","EQY_CONSOLIDATED=Y","Sort=A","Dates=H","DateFormat=P","Fill=—","Direction=H","UseDPDF=Y")</f>
        <v>#NAME?</v>
      </c>
      <c r="CL597" s="2" t="e">
        <f ca="1">_xll.BDH($C$578,"TOT_DEBT_TO_TOT_CAP","FQ4 2017","FQ4 2017","Currency=INR","Period=FQ","BEST_FPERIOD_OVERRIDE=FQ","FILING_STATUS=OR","EQY_CONSOLIDATED=Y","Sort=A","Dates=H","DateFormat=P","Fill=—","Direction=H","UseDPDF=Y")</f>
        <v>#NAME?</v>
      </c>
      <c r="CM597" s="2" t="e">
        <f ca="1">_xll.BDH($C$578,"TOT_DEBT_TO_TOT_ASSET","FQ4 2017","FQ4 2017","Currency=INR","Period=FQ","BEST_FPERIOD_OVERRIDE=FQ","FILING_STATUS=OR","EQY_CONSOLIDATED=Y","Sort=A","Dates=H","DateFormat=P","Fill=—","Direction=H","UseDPDF=Y")</f>
        <v>#NAME?</v>
      </c>
      <c r="CN597" s="2" t="e">
        <f ca="1">_xll.BDH($C$578,"NET_DEBT_TO_SHRHLDR_EQTY","FQ4 2017","FQ4 2017","Currency=INR","Period=FQ","BEST_FPERIOD_OVERRIDE=FQ","FILING_STATUS=OR","EQY_CONSOLIDATED=Y","Sort=A","Dates=H","DateFormat=P","Fill=—","Direction=H","UseDPDF=Y")</f>
        <v>#NAME?</v>
      </c>
      <c r="CO597" s="2" t="e">
        <f ca="1">_xll.BDH($C$578,"NET_DEBT_%_CAPITAL","FQ4 2017","FQ4 2017","Currency=INR","Period=FQ","BEST_FPERIOD_OVERRIDE=FQ","FILING_STATUS=OR","EQY_CONSOLIDATED=Y","Sort=A","Dates=H","DateFormat=P","Fill=—","Direction=H","UseDPDF=Y")</f>
        <v>#NAME?</v>
      </c>
      <c r="CP597" s="3" t="e">
        <f ca="1">_xll.BDH($C$578,"EBITDA","FQ4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597" s="3" t="e">
        <f ca="1">_xll.BDH($C$578,"EBITDA_AFTER_CAPEX","FQ4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597" s="3" t="e">
        <f ca="1">_xll.BDH($C$578,"IS_OPER_INC","FQ4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597" s="2" t="e">
        <f ca="1">_xll.BDH($C$578,"CASH_RATIO","FQ4 2017","FQ4 2017","Currency=INR","Period=FQ","BEST_FPERIOD_OVERRIDE=FQ","FILING_STATUS=OR","EQY_CONSOLIDATED=Y","Sort=A","Dates=H","DateFormat=P","Fill=—","Direction=H","UseDPDF=Y")</f>
        <v>#NAME?</v>
      </c>
      <c r="CT597" s="2" t="e">
        <f ca="1">_xll.BDH($C$578,"CUR_RATIO","FQ4 2017","FQ4 2017","Currency=INR","Period=FQ","BEST_FPERIOD_OVERRIDE=FQ","FILING_STATUS=OR","EQY_CONSOLIDATED=Y","Sort=A","Dates=H","DateFormat=P","Fill=—","Direction=H","UseDPDF=Y")</f>
        <v>#NAME?</v>
      </c>
      <c r="CU597" s="2" t="e">
        <f ca="1">_xll.BDH($C$578,"QUICK_RATIO","FQ4 2017","FQ4 2017","Currency=INR","Period=FQ","BEST_FPERIOD_OVERRIDE=FQ","FILING_STATUS=OR","EQY_CONSOLIDATED=Y","Sort=A","Dates=H","DateFormat=P","Fill=—","Direction=H","UseDPDF=Y")</f>
        <v>#NAME?</v>
      </c>
      <c r="CV597" s="2" t="e">
        <f ca="1">_xll.BDH($C$578,"ALTMAN_Z_SCORE","FQ4 2017","FQ4 2017","Currency=INR","Period=FQ","BEST_FPERIOD_OVERRIDE=FQ","FILING_STATUS=OR","EQY_CONSOLIDATED=Y","Sort=A","Dates=H","DateFormat=P","Fill=—","Direction=H","UseDPDF=Y")</f>
        <v>#NAME?</v>
      </c>
      <c r="CW597" s="4" t="e">
        <f ca="1">_xll.BDH($C$578,"ACCT_RCV_TURN","FQ4 2017","FQ4 2017","Currency=INR","Period=FQ","BEST_FPERIOD_OVERRIDE=FQ","FILING_STATUS=OR","EQY_CONSOLIDATED=Y","FA_ADJUSTED=GAAP","Sort=A","Dates=H","DateFormat=P","Fill=—","Direction=H","UseDPDF=Y")</f>
        <v>#NAME?</v>
      </c>
      <c r="CX597" s="2" t="e">
        <f ca="1">_xll.BDH($C$578,"ACCT_RCV_DAYS","FQ4 2017","FQ4 2017","Currency=INR","Period=FQ","BEST_FPERIOD_OVERRIDE=FQ","FILING_STATUS=OR","EQY_CONSOLIDATED=Y","FA_ADJUSTED=GAAP","Sort=A","Dates=H","DateFormat=P","Fill=—","Direction=H","UseDPDF=Y")</f>
        <v>#NAME?</v>
      </c>
      <c r="CY597" s="4" t="e">
        <f ca="1">_xll.BDH($C$578,"INVENT_TURN","FQ4 2017","FQ4 2017","Currency=INR","Period=FQ","BEST_FPERIOD_OVERRIDE=FQ","FILING_STATUS=OR","EQY_CONSOLIDATED=Y","FA_ADJUSTED=GAAP","Sort=A","Dates=H","DateFormat=P","Fill=—","Direction=H","UseDPDF=Y")</f>
        <v>#NAME?</v>
      </c>
      <c r="CZ597" s="2" t="e">
        <f ca="1">_xll.BDH($C$578,"INVENT_DAYS","FQ4 2017","FQ4 2017","Currency=INR","Period=FQ","BEST_FPERIOD_OVERRIDE=FQ","FILING_STATUS=OR","EQY_CONSOLIDATED=Y","FA_ADJUSTED=GAAP","Sort=A","Dates=H","DateFormat=P","Fill=—","Direction=H","UseDPDF=Y")</f>
        <v>#NAME?</v>
      </c>
      <c r="DA597" s="4" t="e">
        <f ca="1">_xll.BDH($C$578,"ACCOUNTS_PAYABLE_TURNOVER","FQ4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597" s="2" t="e">
        <f ca="1">_xll.BDH($C$578,"ACCOUNTS_PAYABLE_TURNOVER_DAYS","FQ4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597" s="4" t="e">
        <f ca="1">_xll.BDH($C$578,"CASH_CONVERSION_CYCLE","FQ4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597" s="4" t="e">
        <f ca="1">_xll.BDH($C$578,"INV_TO_CASH_DAYS","FQ4 2017","FQ4 2017","Currency=INR","Period=FQ","BEST_FPERIOD_OVERRIDE=FQ","FILING_STATUS=OR","EQY_CONSOLIDATED=Y","FA_ADJUSTED=GAAP","Sort=A","Dates=H","DateFormat=P","Fill=—","Direction=H","UseDPDF=Y")</f>
        <v>#NAME?</v>
      </c>
      <c r="DE597" s="5" t="e">
        <f ca="1">_xll.BDH($C$578,"BS_INVENTORIES","FQ4 2017","FQ4 2017","Currency=INR","Period=FQ","BEST_FPERIOD_OVERRIDE=FQ","FILING_STATUS=OR","EQY_CONSOLIDATED=Y","SCALING_FORMAT=MLN","Sort=A","Dates=H","DateFormat=P","Fill=—","Direction=H","UseDPDF=Y")</f>
        <v>#NAME?</v>
      </c>
      <c r="DF597" s="3" t="e">
        <f ca="1">_xll.BDH($C$578,"INVTRY_RAW_MATERIALS","FQ4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597" s="3" t="e">
        <f ca="1">_xll.BDH($C$578,"INVTRY_IN_PROGRESS","FQ4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597" s="3" t="e">
        <f ca="1">_xll.BDH($C$578,"INVTRY_FINISHED_GOODS","FQ4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597" s="3" t="e">
        <f ca="1">_xll.BDH($C$578,"BS_OTHER_INV","FQ4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598" spans="1:113" x14ac:dyDescent="0.3">
      <c r="A598" s="6"/>
      <c r="B598" s="6"/>
      <c r="C598" s="6"/>
      <c r="D598" s="6" t="s">
        <v>85</v>
      </c>
      <c r="E598" t="s">
        <v>77</v>
      </c>
      <c r="F598" t="e">
        <f ca="1">_xll.BDH($C$578,"RETURN_COM_EQY","FY 2018","FY 2018","Currency=INR","Period=FY","BEST_FPERIOD_OVERRIDE=FY","FILING_STATUS=OR","EQY_CONSOLIDATED=Y","FA_ADJUSTED=GAAP","Sort=A","Dates=H","DateFormat=P","Fill=—","Direction=H","UseDPDF=Y")</f>
        <v>#NAME?</v>
      </c>
      <c r="G598" t="e">
        <f ca="1">_xll.BDH($C$578,"RETURN_ON_ASSET","FY 2018","FY 2018","Currency=INR","Period=FY","BEST_FPERIOD_OVERRIDE=FY","FILING_STATUS=OR","EQY_CONSOLIDATED=Y","FA_ADJUSTED=GAAP","Sort=A","Dates=H","DateFormat=P","Fill=—","Direction=H","UseDPDF=Y")</f>
        <v>#NAME?</v>
      </c>
      <c r="H598" t="e">
        <f ca="1">_xll.BDH($C$578,"RETURN_ON_CAP","FY 2018","FY 2018","Currency=INR","Period=FY","BEST_FPERIOD_OVERRIDE=FY","FILING_STATUS=OR","EQY_CONSOLIDATED=Y","FA_ADJUSTED=GAAP","Sort=A","Dates=H","DateFormat=P","Fill=—","Direction=H","UseDPDF=Y")</f>
        <v>#NAME?</v>
      </c>
      <c r="I598" t="e">
        <f ca="1">_xll.BDH($C$578,"RETURN_ON_INV_CAPITAL","FY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598" t="e">
        <f ca="1">_xll.BDH($C$578,"EBITDA_TO_REVENUE","FY 2018","FY 2018","Currency=INR","Period=FY","BEST_FPERIOD_OVERRIDE=FY","FILING_STATUS=OR","EQY_CONSOLIDATED=Y","FA_ADJUSTED=GAAP","Sort=A","Dates=H","DateFormat=P","Fill=—","Direction=H","UseDPDF=Y")</f>
        <v>#NAME?</v>
      </c>
      <c r="K598" t="e">
        <f ca="1">_xll.BDH($C$578,"OPER_MARGIN","FY 2018","FY 2018","Currency=INR","Period=FY","BEST_FPERIOD_OVERRIDE=FY","FILING_STATUS=OR","EQY_CONSOLIDATED=Y","FA_ADJUSTED=GAAP","Sort=A","Dates=H","DateFormat=P","Fill=—","Direction=H","UseDPDF=Y")</f>
        <v>#NAME?</v>
      </c>
      <c r="L598" t="e">
        <f ca="1">_xll.BDH($C$578,"INCREMENTAL_OPERATING_MARGIN","FY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598" t="e">
        <f ca="1">_xll.BDH($C$578,"PRETAX_INC_TO_NET_SALES","FY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598" t="e">
        <f ca="1">_xll.BDH($C$578,"INC_BEF_XO_ITEMS_TO_NET_SALES","FY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598" t="e">
        <f ca="1">_xll.BDH($C$578,"PROF_MARGIN","FY 2018","FY 2018","Currency=INR","Period=FY","BEST_FPERIOD_OVERRIDE=FY","FILING_STATUS=OR","EQY_CONSOLIDATED=Y","FA_ADJUSTED=GAAP","Sort=A","Dates=H","DateFormat=P","Fill=—","Direction=H","UseDPDF=Y")</f>
        <v>#NAME?</v>
      </c>
      <c r="P598" t="e">
        <f ca="1">_xll.BDH($C$578,"NET_INCOME_TO_COMMON_MARGIN","FY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598" t="e">
        <f ca="1">_xll.BDH($C$578,"EFF_TAX_RATE","FY 2018","FY 2018","Currency=INR","Period=FY","BEST_FPERIOD_OVERRIDE=FY","FILING_STATUS=OR","EQY_CONSOLIDATED=Y","FA_ADJUSTED=GAAP","Sort=A","Dates=H","DateFormat=P","Fill=—","Direction=H","UseDPDF=Y")</f>
        <v>#NAME?</v>
      </c>
      <c r="R598" t="e">
        <f ca="1">_xll.BDH($C$578,"DVD_PAYOUT_RATIO","FY 2018","FY 2018","Currency=INR","Period=FY","BEST_FPERIOD_OVERRIDE=FY","FILING_STATUS=OR","EQY_CONSOLIDATED=Y","FA_ADJUSTED=GAAP","Sort=A","Dates=H","DateFormat=P","Fill=—","Direction=H","UseDPDF=Y")</f>
        <v>#NAME?</v>
      </c>
      <c r="S598" t="e">
        <f ca="1">_xll.BDH($C$578,"SUSTAIN_GROWTH_RT","FY 2018","FY 2018","Currency=INR","Period=FY","BEST_FPERIOD_OVERRIDE=FY","FILING_STATUS=OR","EQY_CONSOLIDATED=Y","FA_ADJUSTED=GAAP","Sort=A","Dates=H","DateFormat=P","Fill=—","Direction=H","UseDPDF=Y")</f>
        <v>#NAME?</v>
      </c>
      <c r="T598" s="2" t="e">
        <f ca="1">_xll.BDH($C$578,"SALES_GROWTH","FY 2018","FY 2018","Currency=INR","Period=FY","BEST_FPERIOD_OVERRIDE=FY","FILING_STATUS=OR","EQY_CONSOLIDATED=Y","FA_ADJUSTED=GAAP","Sort=A","Dates=H","DateFormat=P","Fill=—","Direction=H","UseDPDF=Y")</f>
        <v>#NAME?</v>
      </c>
      <c r="U598" s="2" t="e">
        <f ca="1">_xll.BDH($C$578,"EBITDA_GROWTH","FY 2018","FY 2018","Currency=INR","Period=FY","BEST_FPERIOD_OVERRIDE=FY","FILING_STATUS=OR","EQY_CONSOLIDATED=Y","FA_ADJUSTED=GAAP","Sort=A","Dates=H","DateFormat=P","Fill=—","Direction=H","UseDPDF=Y")</f>
        <v>#NAME?</v>
      </c>
      <c r="V598" s="2" t="e">
        <f ca="1">_xll.BDH($C$578,"OPER_INC_GROWTH","FY 2018","FY 2018","Currency=INR","Period=FY","BEST_FPERIOD_OVERRIDE=FY","FILING_STATUS=OR","EQY_CONSOLIDATED=Y","FA_ADJUSTED=GAAP","Sort=A","Dates=H","DateFormat=P","Fill=—","Direction=H","UseDPDF=Y")</f>
        <v>#NAME?</v>
      </c>
      <c r="W598" s="2" t="e">
        <f ca="1">_xll.BDH($C$578,"EARN_FOR_COM_GROWTH","FY 2018","FY 2018","Currency=INR","Period=FY","BEST_FPERIOD_OVERRIDE=FY","FILING_STATUS=OR","EQY_CONSOLIDATED=Y","FA_ADJUSTED=GAAP","Sort=A","Dates=H","DateFormat=P","Fill=—","Direction=H","UseDPDF=Y")</f>
        <v>#NAME?</v>
      </c>
      <c r="X598" s="2" t="e">
        <f ca="1">_xll.BDH($C$578,"DILUTED_EPS_AFT_XO_ITEMS_GROWTH","FY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598" s="2" t="e">
        <f ca="1">_xll.BDH($C$578,"DIVIDEND_PER_SHARE_1_YEAR_GROWTH","FY 2018","FY 2018","Currency=INR","Period=FY","BEST_FPERIOD_OVERRIDE=FY","FILING_STATUS=OR","EQY_CONSOLIDATED=Y","Sort=A","Dates=H","DateFormat=P","Fill=—","Direction=H","UseDPDF=Y")</f>
        <v>#NAME?</v>
      </c>
      <c r="Z598" s="2" t="e">
        <f ca="1">_xll.BDH($C$578,"ACCOUNTS_RECEIVABLE_GROWTH","FY 2018","FY 2018","Currency=INR","Period=FY","BEST_FPERIOD_OVERRIDE=FY","FILING_STATUS=OR","EQY_CONSOLIDATED=Y","Sort=A","Dates=H","DateFormat=P","Fill=—","Direction=H","UseDPDF=Y")</f>
        <v>#NAME?</v>
      </c>
      <c r="AA598" s="2" t="e">
        <f ca="1">_xll.BDH($C$578,"INVENTORY_GROWTH","FY 2018","FY 2018","Currency=INR","Period=FY","BEST_FPERIOD_OVERRIDE=FY","FILING_STATUS=OR","EQY_CONSOLIDATED=Y","Sort=A","Dates=H","DateFormat=P","Fill=—","Direction=H","UseDPDF=Y")</f>
        <v>#NAME?</v>
      </c>
      <c r="AB598" s="2" t="e">
        <f ca="1">_xll.BDH($C$578,"NET_FIXED_ASSETS_1_YEAR_GROWTH","FY 2018","FY 2018","Currency=INR","Period=FY","BEST_FPERIOD_OVERRIDE=FY","FILING_STATUS=OR","EQY_CONSOLIDATED=Y","Sort=A","Dates=H","DateFormat=P","Fill=—","Direction=H","UseDPDF=Y")</f>
        <v>#NAME?</v>
      </c>
      <c r="AC598" s="2" t="e">
        <f ca="1">_xll.BDH($C$578,"ASSET_GROWTH","FY 2018","FY 2018","Currency=INR","Period=FY","BEST_FPERIOD_OVERRIDE=FY","FILING_STATUS=OR","EQY_CONSOLIDATED=Y","Sort=A","Dates=H","DateFormat=P","Fill=—","Direction=H","UseDPDF=Y")</f>
        <v>#NAME?</v>
      </c>
      <c r="AD598" s="2" t="e">
        <f ca="1">_xll.BDH($C$578,"MODIFIED_WORK_CAP_GROWTH","FY 2018","FY 2018","Currency=INR","Period=FY","BEST_FPERIOD_OVERRIDE=FY","FILING_STATUS=OR","EQY_CONSOLIDATED=Y","Sort=A","Dates=H","DateFormat=P","Fill=—","Direction=H","UseDPDF=Y")</f>
        <v>#NAME?</v>
      </c>
      <c r="AE598" s="2" t="e">
        <f ca="1">_xll.BDH($C$578,"WORK_CAP_GROWTH","FY 2018","FY 2018","Currency=INR","Period=FY","BEST_FPERIOD_OVERRIDE=FY","FILING_STATUS=OR","EQY_CONSOLIDATED=Y","Sort=A","Dates=H","DateFormat=P","Fill=—","Direction=H","UseDPDF=Y")</f>
        <v>#NAME?</v>
      </c>
      <c r="AF598" s="2" t="e">
        <f ca="1">_xll.BDH($C$578,"ACCOUNTS_PAYABLE_GROWTH_1YR","FY 2018","FY 2018","Currency=INR","Period=FY","BEST_FPERIOD_OVERRIDE=FY","FILING_STATUS=OR","EQY_CONSOLIDATED=Y","Sort=A","Dates=H","DateFormat=P","Fill=—","Direction=H","UseDPDF=Y")</f>
        <v>#NAME?</v>
      </c>
      <c r="AG598" s="2" t="e">
        <f ca="1">_xll.BDH($C$578,"SHORT_TERM_DEBT_1_YEAR_GROWTH","FY 2018","FY 2018","Currency=INR","Period=FY","BEST_FPERIOD_OVERRIDE=FY","FILING_STATUS=OR","EQY_CONSOLIDATED=Y","Sort=A","Dates=H","DateFormat=P","Fill=—","Direction=H","UseDPDF=Y")</f>
        <v>#NAME?</v>
      </c>
      <c r="AH598" s="2" t="e">
        <f ca="1">_xll.BDH($C$578,"TOTAL_DEBT_1_YEAR_GROWTH","FY 2018","FY 2018","Currency=INR","Period=FY","BEST_FPERIOD_OVERRIDE=FY","FILING_STATUS=OR","EQY_CONSOLIDATED=Y","Sort=A","Dates=H","DateFormat=P","Fill=—","Direction=H","UseDPDF=Y")</f>
        <v>#NAME?</v>
      </c>
      <c r="AI598" s="2" t="e">
        <f ca="1">_xll.BDH($C$578,"TOTAL_EQUITY_1_YEAR_GROWTH","FY 2018","FY 2018","Currency=INR","Period=FY","BEST_FPERIOD_OVERRIDE=FY","FILING_STATUS=OR","EQY_CONSOLIDATED=Y","Sort=A","Dates=H","DateFormat=P","Fill=—","Direction=H","UseDPDF=Y")</f>
        <v>#NAME?</v>
      </c>
      <c r="AJ598" s="2" t="e">
        <f ca="1">_xll.BDH($C$578,"GROWTH_IN_CAP","FY 2018","FY 2018","Currency=INR","Period=FY","BEST_FPERIOD_OVERRIDE=FY","FILING_STATUS=OR","EQY_CONSOLIDATED=Y","Sort=A","Dates=H","DateFormat=P","Fill=—","Direction=H","UseDPDF=Y")</f>
        <v>#NAME?</v>
      </c>
      <c r="AK598" s="2" t="e">
        <f ca="1">_xll.BDH($C$578,"BVPS_GROWTH","FY 2018","FY 2018","Currency=INR","Period=FY","BEST_FPERIOD_OVERRIDE=FY","FILING_STATUS=OR","EQY_CONSOLIDATED=Y","Sort=A","Dates=H","DateFormat=P","Fill=—","Direction=H","UseDPDF=Y")</f>
        <v>#NAME?</v>
      </c>
      <c r="AL598" s="2" t="e">
        <f ca="1">_xll.BDH($C$578,"CASH_FLOW_GROWTH","FY 2018","FY 2018","Currency=INR","Period=FY","BEST_FPERIOD_OVERRIDE=FY","FILING_STATUS=OR","EQY_CONSOLIDATED=Y","Sort=A","Dates=H","DateFormat=P","Fill=—","Direction=H","UseDPDF=Y")</f>
        <v>#NAME?</v>
      </c>
      <c r="AM598" s="2" t="e">
        <f ca="1">_xll.BDH($C$578,"GEO_GROW_NET_SALES","FY 2018","FY 2018","Currency=INR","Period=FY","BEST_FPERIOD_OVERRIDE=FY","FILING_STATUS=OR","EQY_CONSOLIDATED=Y","FA_ADJUSTED=GAAP","Sort=A","Dates=H","DateFormat=P","Fill=—","Direction=H","UseDPDF=Y")</f>
        <v>#NAME?</v>
      </c>
      <c r="AN598" s="2" t="e">
        <f ca="1">_xll.BDH($C$578,"GEO_GROW_EBITDA","FY 2018","FY 2018","Currency=INR","Period=FY","BEST_FPERIOD_OVERRIDE=FY","FILING_STATUS=OR","EQY_CONSOLIDATED=Y","FA_ADJUSTED=GAAP","Sort=A","Dates=H","DateFormat=P","Fill=—","Direction=H","UseDPDF=Y")</f>
        <v>#NAME?</v>
      </c>
      <c r="AO598" s="2" t="e">
        <f ca="1">_xll.BDH($C$578,"GEO_GROW_OPER_INC","FY 2018","FY 2018","Currency=INR","Period=FY","BEST_FPERIOD_OVERRIDE=FY","FILING_STATUS=OR","EQY_CONSOLIDATED=Y","FA_ADJUSTED=GAAP","Sort=A","Dates=H","DateFormat=P","Fill=—","Direction=H","UseDPDF=Y")</f>
        <v>#NAME?</v>
      </c>
      <c r="AP598" s="2" t="e">
        <f ca="1">_xll.BDH($C$578,"NET_INCOME_TO_COMMON_5_YR_GROWTH","FY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598" s="2" t="e">
        <f ca="1">_xll.BDH($C$578,"5Y_GEO_GROWTH_DILUTED_EPS","FY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598" s="2" t="e">
        <f ca="1">_xll.BDH($C$578,"GEO_GROW_DVD_PER_SH","FY 2018","FY 2018","Currency=INR","Period=FY","BEST_FPERIOD_OVERRIDE=FY","FILING_STATUS=OR","EQY_CONSOLIDATED=Y","Sort=A","Dates=H","DateFormat=P","Fill=—","Direction=H","UseDPDF=Y")</f>
        <v>#NAME?</v>
      </c>
      <c r="AS598" s="2" t="e">
        <f ca="1">_xll.BDH($C$578,"ACCOUNTS_RECEIVABLE_5_YR_GROWTH","FY 2018","FY 2018","Currency=INR","Period=FY","BEST_FPERIOD_OVERRIDE=FY","FILING_STATUS=OR","EQY_CONSOLIDATED=Y","Sort=A","Dates=H","DateFormat=P","Fill=—","Direction=H","UseDPDF=Y")</f>
        <v>#NAME?</v>
      </c>
      <c r="AT598" s="2" t="e">
        <f ca="1">_xll.BDH($C$578,"INVENTORY_5_YEAR_GROWTH","FY 2018","FY 2018","Currency=INR","Period=FY","BEST_FPERIOD_OVERRIDE=FY","FILING_STATUS=OR","EQY_CONSOLIDATED=Y","Sort=A","Dates=H","DateFormat=P","Fill=—","Direction=H","UseDPDF=Y")</f>
        <v>#NAME?</v>
      </c>
      <c r="AU598" s="2" t="e">
        <f ca="1">_xll.BDH($C$578,"NET_FIXED_ASSETS_5_YEAR_GROWTH","FY 2018","FY 2018","Currency=INR","Period=FY","BEST_FPERIOD_OVERRIDE=FY","FILING_STATUS=OR","EQY_CONSOLIDATED=Y","Sort=A","Dates=H","DateFormat=P","Fill=—","Direction=H","UseDPDF=Y")</f>
        <v>#NAME?</v>
      </c>
      <c r="AV598" s="2" t="e">
        <f ca="1">_xll.BDH($C$578,"GEO_GROW_TOT_ASSET","FY 2018","FY 2018","Currency=INR","Period=FY","BEST_FPERIOD_OVERRIDE=FY","FILING_STATUS=OR","EQY_CONSOLIDATED=Y","Sort=A","Dates=H","DateFormat=P","Fill=—","Direction=H","UseDPDF=Y")</f>
        <v>#NAME?</v>
      </c>
      <c r="AW598" s="2" t="e">
        <f ca="1">_xll.BDH($C$578,"MODIFIED_WORKING_CPTL_5YR_GRWTH","FY 2018","FY 2018","Currency=INR","Period=FY","BEST_FPERIOD_OVERRIDE=FY","FILING_STATUS=OR","EQY_CONSOLIDATED=Y","Sort=A","Dates=H","DateFormat=P","Fill=—","Direction=H","UseDPDF=Y")</f>
        <v>#NAME?</v>
      </c>
      <c r="AX598" s="2" t="e">
        <f ca="1">_xll.BDH($C$578,"WORKING_CAPITAL_5_YEAR_GROWTH","FY 2018","FY 2018","Currency=INR","Period=FY","BEST_FPERIOD_OVERRIDE=FY","FILING_STATUS=OR","EQY_CONSOLIDATED=Y","Sort=A","Dates=H","DateFormat=P","Fill=—","Direction=H","UseDPDF=Y")</f>
        <v>#NAME?</v>
      </c>
      <c r="AY598" s="2" t="e">
        <f ca="1">_xll.BDH($C$578,"ACCOUNTS_PAYABLE_5_YEAR_GROWTH","FY 2018","FY 2018","Currency=INR","Period=FY","BEST_FPERIOD_OVERRIDE=FY","FILING_STATUS=OR","EQY_CONSOLIDATED=Y","Sort=A","Dates=H","DateFormat=P","Fill=—","Direction=H","UseDPDF=Y")</f>
        <v>#NAME?</v>
      </c>
      <c r="AZ598" s="2" t="e">
        <f ca="1">_xll.BDH($C$578,"SHORT_TERM_DEBT_5_YEAR_GROWTH","FY 2018","FY 2018","Currency=INR","Period=FY","BEST_FPERIOD_OVERRIDE=FY","FILING_STATUS=OR","EQY_CONSOLIDATED=Y","Sort=A","Dates=H","DateFormat=P","Fill=—","Direction=H","UseDPDF=Y")</f>
        <v>#NAME?</v>
      </c>
      <c r="BA598" s="2" t="e">
        <f ca="1">_xll.BDH($C$578,"TOTAL_DEBT_5_YEAR_GROWTH","FY 2018","FY 2018","Currency=INR","Period=FY","BEST_FPERIOD_OVERRIDE=FY","FILING_STATUS=OR","EQY_CONSOLIDATED=Y","Sort=A","Dates=H","DateFormat=P","Fill=—","Direction=H","UseDPDF=Y")</f>
        <v>#NAME?</v>
      </c>
      <c r="BB598" s="2" t="e">
        <f ca="1">_xll.BDH($C$578,"GEO_GROW_TOT_SHRHLDR_EQY","FY 2018","FY 2018","Currency=INR","Period=FY","BEST_FPERIOD_OVERRIDE=FY","FILING_STATUS=OR","EQY_CONSOLIDATED=Y","Sort=A","Dates=H","DateFormat=P","Fill=—","Direction=H","UseDPDF=Y")</f>
        <v>#NAME?</v>
      </c>
      <c r="BC598" s="2" t="e">
        <f ca="1">_xll.BDH($C$578,"TOTAL_CAPITAL_5_YEAR_GROWTH","FY 2018","FY 2018","Currency=INR","Period=FY","BEST_FPERIOD_OVERRIDE=FY","FILING_STATUS=OR","EQY_CONSOLIDATED=Y","Sort=A","Dates=H","DateFormat=P","Fill=—","Direction=H","UseDPDF=Y")</f>
        <v>#NAME?</v>
      </c>
      <c r="BD598" s="2" t="e">
        <f ca="1">_xll.BDH($C$578,"GEO_GROW_BOOK_VAL","FY 2018","FY 2018","Currency=INR","Period=FY","BEST_FPERIOD_OVERRIDE=FY","FILING_STATUS=OR","EQY_CONSOLIDATED=Y","Sort=A","Dates=H","DateFormat=P","Fill=—","Direction=H","UseDPDF=Y")</f>
        <v>#NAME?</v>
      </c>
      <c r="BE598" s="2" t="e">
        <f ca="1">_xll.BDH($C$578,"GEO_GROW_CASH_OPER_ACT","FY 2018","FY 2018","Currency=INR","Period=FY","BEST_FPERIOD_OVERRIDE=FY","FILING_STATUS=OR","EQY_CONSOLIDATED=Y","Sort=A","Dates=H","DateFormat=P","Fill=—","Direction=H","UseDPDF=Y")</f>
        <v>#NAME?</v>
      </c>
      <c r="BF598" s="2" t="e">
        <f ca="1">_xll.BDH($C$578,"REVENUE_SEQUENTIAL_GROWTH","FY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598" s="2" t="e">
        <f ca="1">_xll.BDH($C$578,"EBITDA_SEQUENTIAL_GROWTH","FY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598" s="2" t="e">
        <f ca="1">_xll.BDH($C$578,"OPERATING_INCOME_SEQ_GROWTH","FY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598" s="2" t="e">
        <f ca="1">_xll.BDH($C$578,"NET_INCOME_TO_COMMON_SEQ_GROWTH","FY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598" s="2" t="e">
        <f ca="1">_xll.BDH($C$578,"EPS_DILUTED_SEQUENTIAL_GROWTH","FY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598" s="2" t="e">
        <f ca="1">_xll.BDH($C$578,"DPS_SEQUENTIAL_GROWTH","FY 2018","FY 2018","Currency=INR","Period=FY","BEST_FPERIOD_OVERRIDE=FY","FILING_STATUS=OR","EQY_CONSOLIDATED=Y","Sort=A","Dates=H","DateFormat=P","Fill=—","Direction=H","UseDPDF=Y")</f>
        <v>#NAME?</v>
      </c>
      <c r="BL598" s="2" t="e">
        <f ca="1">_xll.BDH($C$578,"ACCOUNTS_RECEIVABLE_SEQ_GROWTH","FY 2018","FY 2018","Currency=INR","Period=FY","BEST_FPERIOD_OVERRIDE=FY","FILING_STATUS=OR","EQY_CONSOLIDATED=Y","Sort=A","Dates=H","DateFormat=P","Fill=—","Direction=H","UseDPDF=Y")</f>
        <v>#NAME?</v>
      </c>
      <c r="BM598" s="2" t="e">
        <f ca="1">_xll.BDH($C$578,"INVENTORY_SEQUENTIAL_GROWTH","FY 2018","FY 2018","Currency=INR","Period=FY","BEST_FPERIOD_OVERRIDE=FY","FILING_STATUS=OR","EQY_CONSOLIDATED=Y","Sort=A","Dates=H","DateFormat=P","Fill=—","Direction=H","UseDPDF=Y")</f>
        <v>#NAME?</v>
      </c>
      <c r="BN598" s="2" t="e">
        <f ca="1">_xll.BDH($C$578,"FIXED_ASSETS_SEQUENTIAL_GROWTH","FY 2018","FY 2018","Currency=INR","Period=FY","BEST_FPERIOD_OVERRIDE=FY","FILING_STATUS=OR","EQY_CONSOLIDATED=Y","Sort=A","Dates=H","DateFormat=P","Fill=—","Direction=H","UseDPDF=Y")</f>
        <v>#NAME?</v>
      </c>
      <c r="BO598" s="2" t="e">
        <f ca="1">_xll.BDH($C$578,"TOTAL_ASSETS_SEQUENTIAL_GROWTH","FY 2018","FY 2018","Currency=INR","Period=FY","BEST_FPERIOD_OVERRIDE=FY","FILING_STATUS=OR","EQY_CONSOLIDATED=Y","Sort=A","Dates=H","DateFormat=P","Fill=—","Direction=H","UseDPDF=Y")</f>
        <v>#NAME?</v>
      </c>
      <c r="BP598" s="2" t="e">
        <f ca="1">_xll.BDH($C$578,"MODIFIED_WORKING_CPTL_SEQ_GRWTH","FY 2018","FY 2018","Currency=INR","Period=FY","BEST_FPERIOD_OVERRIDE=FY","FILING_STATUS=OR","EQY_CONSOLIDATED=Y","Sort=A","Dates=H","DateFormat=P","Fill=—","Direction=H","UseDPDF=Y")</f>
        <v>#NAME?</v>
      </c>
      <c r="BQ598" s="2" t="e">
        <f ca="1">_xll.BDH($C$578,"WORKING_CAPITAL_SEQ_GROWTH","FY 2018","FY 2018","Currency=INR","Period=FY","BEST_FPERIOD_OVERRIDE=FY","FILING_STATUS=OR","EQY_CONSOLIDATED=Y","Sort=A","Dates=H","DateFormat=P","Fill=—","Direction=H","UseDPDF=Y")</f>
        <v>#NAME?</v>
      </c>
      <c r="BR598" s="2" t="e">
        <f ca="1">_xll.BDH($C$578,"ACCOUNTS_PAYABLE_SEQ_GROWTH","FY 2018","FY 2018","Currency=INR","Period=FY","BEST_FPERIOD_OVERRIDE=FY","FILING_STATUS=OR","EQY_CONSOLIDATED=Y","Sort=A","Dates=H","DateFormat=P","Fill=—","Direction=H","UseDPDF=Y")</f>
        <v>#NAME?</v>
      </c>
      <c r="BS598" s="2" t="e">
        <f ca="1">_xll.BDH($C$578,"ST_DEBT_SEQUENTIAL_GROWTH","FY 2018","FY 2018","Currency=INR","Period=FY","BEST_FPERIOD_OVERRIDE=FY","FILING_STATUS=OR","EQY_CONSOLIDATED=Y","Sort=A","Dates=H","DateFormat=P","Fill=—","Direction=H","UseDPDF=Y")</f>
        <v>#NAME?</v>
      </c>
      <c r="BT598" s="2" t="e">
        <f ca="1">_xll.BDH($C$578,"TOTAL_DEBT_SEQUENTIAL_GROWTH","FY 2018","FY 2018","Currency=INR","Period=FY","BEST_FPERIOD_OVERRIDE=FY","FILING_STATUS=OR","EQY_CONSOLIDATED=Y","Sort=A","Dates=H","DateFormat=P","Fill=—","Direction=H","UseDPDF=Y")</f>
        <v>#NAME?</v>
      </c>
      <c r="BU598" s="2" t="e">
        <f ca="1">_xll.BDH($C$578,"TOTAL_EQUITY_SEQUENTIAL_GROWTH","FY 2018","FY 2018","Currency=INR","Period=FY","BEST_FPERIOD_OVERRIDE=FY","FILING_STATUS=OR","EQY_CONSOLIDATED=Y","Sort=A","Dates=H","DateFormat=P","Fill=—","Direction=H","UseDPDF=Y")</f>
        <v>#NAME?</v>
      </c>
      <c r="BV598" s="2" t="e">
        <f ca="1">_xll.BDH($C$578,"TOTAL_CAPITAL_SEQUENTIAL_GROWTH","FY 2018","FY 2018","Currency=INR","Period=FY","BEST_FPERIOD_OVERRIDE=FY","FILING_STATUS=OR","EQY_CONSOLIDATED=Y","Sort=A","Dates=H","DateFormat=P","Fill=—","Direction=H","UseDPDF=Y")</f>
        <v>#NAME?</v>
      </c>
      <c r="BW598" s="2" t="e">
        <f ca="1">_xll.BDH($C$578,"BPS_SEQUENTIAL_GROWTH","FY 2018","FY 2018","Currency=INR","Period=FY","BEST_FPERIOD_OVERRIDE=FY","FILING_STATUS=OR","EQY_CONSOLIDATED=Y","Sort=A","Dates=H","DateFormat=P","Fill=—","Direction=H","UseDPDF=Y")</f>
        <v>#NAME?</v>
      </c>
      <c r="BX598" s="2" t="e">
        <f ca="1">_xll.BDH($C$578,"CFO_SEQUENTIAL_GROWTH","FY 2018","FY 2018","Currency=INR","Period=FY","BEST_FPERIOD_OVERRIDE=FY","FILING_STATUS=OR","EQY_CONSOLIDATED=Y","Sort=A","Dates=H","DateFormat=P","Fill=—","Direction=H","UseDPDF=Y")</f>
        <v>#NAME?</v>
      </c>
      <c r="BY598" s="3" t="e">
        <f ca="1">_xll.BDH($C$578,"SHORT_AND_LONG_TERM_DEBT","FY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598" s="3" t="e">
        <f ca="1">_xll.BDH($C$578,"BS_ST_BORROW","FY 2018","FY 2018","Currency=INR","Period=FY","BEST_FPERIOD_OVERRIDE=FY","FILING_STATUS=OR","EQY_CONSOLIDATED=Y","SCALING_FORMAT=MLN","Sort=A","Dates=H","DateFormat=P","Fill=—","Direction=H","UseDPDF=Y")</f>
        <v>#NAME?</v>
      </c>
      <c r="CA598" s="3" t="e">
        <f ca="1">_xll.BDH($C$578,"BS_LT_BORROW","FY 2018","FY 2018","Currency=INR","Period=FY","BEST_FPERIOD_OVERRIDE=FY","FILING_STATUS=OR","EQY_CONSOLIDATED=Y","SCALING_FORMAT=MLN","Sort=A","Dates=H","DateFormat=P","Fill=—","Direction=H","UseDPDF=Y")</f>
        <v>#NAME?</v>
      </c>
      <c r="CB598" s="2" t="e">
        <f ca="1">_xll.BDH($C$578,"TOT_DEBT_TO_EBITDA","FY 2018","FY 2018","Currency=INR","Period=FY","BEST_FPERIOD_OVERRIDE=FY","FILING_STATUS=OR","EQY_CONSOLIDATED=Y","FA_ADJUSTED=GAAP","Sort=A","Dates=H","DateFormat=P","Fill=—","Direction=H","UseDPDF=Y")</f>
        <v>#NAME?</v>
      </c>
      <c r="CC598" s="2" t="e">
        <f ca="1">_xll.BDH($C$578,"NET_DEBT_TO_EBITDA","FY 2018","FY 2018","Currency=INR","Period=FY","BEST_FPERIOD_OVERRIDE=FY","FILING_STATUS=OR","EQY_CONSOLIDATED=Y","FA_ADJUSTED=GAAP","Sort=A","Dates=H","DateFormat=P","Fill=—","Direction=H","UseDPDF=Y")</f>
        <v>#NAME?</v>
      </c>
      <c r="CD598" s="2" t="e">
        <f ca="1">_xll.BDH($C$578,"TOTAL_DEBT_TO_EBIT","FY 2018","FY 2018","Currency=INR","Period=FY","BEST_FPERIOD_OVERRIDE=FY","FILING_STATUS=OR","EQY_CONSOLIDATED=Y","FA_ADJUSTED=GAAP","Sort=A","Dates=H","DateFormat=P","Fill=—","Direction=H","UseDPDF=Y")</f>
        <v>#NAME?</v>
      </c>
      <c r="CE598" s="2" t="e">
        <f ca="1">_xll.BDH($C$578,"NET_DEBT_TO_EBIT","FY 2018","FY 2018","Currency=INR","Period=FY","BEST_FPERIOD_OVERRIDE=FY","FILING_STATUS=OR","EQY_CONSOLIDATED=Y","FA_ADJUSTED=GAAP","Sort=A","Dates=H","DateFormat=P","Fill=—","Direction=H","UseDPDF=Y")</f>
        <v>#NAME?</v>
      </c>
      <c r="CF598" s="2" t="e">
        <f ca="1">_xll.BDH($C$578,"EBITDA_TO_INTEREST_EXPN","FY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598" s="2" t="e">
        <f ca="1">_xll.BDH($C$578,"COM_EQY_TO_TOT_ASSET","FY 2018","FY 2018","Currency=INR","Period=FY","BEST_FPERIOD_OVERRIDE=FY","FILING_STATUS=OR","EQY_CONSOLIDATED=Y","Sort=A","Dates=H","DateFormat=P","Fill=—","Direction=H","UseDPDF=Y")</f>
        <v>#NAME?</v>
      </c>
      <c r="CH598" s="2" t="e">
        <f ca="1">_xll.BDH($C$578,"LT_DEBT_TO_TOT_EQY","FY 2018","FY 2018","Currency=INR","Period=FY","BEST_FPERIOD_OVERRIDE=FY","FILING_STATUS=OR","EQY_CONSOLIDATED=Y","Sort=A","Dates=H","DateFormat=P","Fill=—","Direction=H","UseDPDF=Y")</f>
        <v>#NAME?</v>
      </c>
      <c r="CI598" s="2" t="e">
        <f ca="1">_xll.BDH($C$578,"LT_DEBT_TO_TOT_CAP","FY 2018","FY 2018","Currency=INR","Period=FY","BEST_FPERIOD_OVERRIDE=FY","FILING_STATUS=OR","EQY_CONSOLIDATED=Y","Sort=A","Dates=H","DateFormat=P","Fill=—","Direction=H","UseDPDF=Y")</f>
        <v>#NAME?</v>
      </c>
      <c r="CJ598" s="2" t="e">
        <f ca="1">_xll.BDH($C$578,"LT_DEBT_TO_TOT_ASSET","FY 2018","FY 2018","Currency=INR","Period=FY","BEST_FPERIOD_OVERRIDE=FY","FILING_STATUS=OR","EQY_CONSOLIDATED=Y","Sort=A","Dates=H","DateFormat=P","Fill=—","Direction=H","UseDPDF=Y")</f>
        <v>#NAME?</v>
      </c>
      <c r="CK598" s="2" t="e">
        <f ca="1">_xll.BDH($C$578,"TOT_DEBT_TO_TOT_EQY","FY 2018","FY 2018","Currency=INR","Period=FY","BEST_FPERIOD_OVERRIDE=FY","FILING_STATUS=OR","EQY_CONSOLIDATED=Y","Sort=A","Dates=H","DateFormat=P","Fill=—","Direction=H","UseDPDF=Y")</f>
        <v>#NAME?</v>
      </c>
      <c r="CL598" s="2" t="e">
        <f ca="1">_xll.BDH($C$578,"TOT_DEBT_TO_TOT_CAP","FY 2018","FY 2018","Currency=INR","Period=FY","BEST_FPERIOD_OVERRIDE=FY","FILING_STATUS=OR","EQY_CONSOLIDATED=Y","Sort=A","Dates=H","DateFormat=P","Fill=—","Direction=H","UseDPDF=Y")</f>
        <v>#NAME?</v>
      </c>
      <c r="CM598" s="2" t="e">
        <f ca="1">_xll.BDH($C$578,"TOT_DEBT_TO_TOT_ASSET","FY 2018","FY 2018","Currency=INR","Period=FY","BEST_FPERIOD_OVERRIDE=FY","FILING_STATUS=OR","EQY_CONSOLIDATED=Y","Sort=A","Dates=H","DateFormat=P","Fill=—","Direction=H","UseDPDF=Y")</f>
        <v>#NAME?</v>
      </c>
      <c r="CN598" s="2" t="e">
        <f ca="1">_xll.BDH($C$578,"NET_DEBT_TO_SHRHLDR_EQTY","FY 2018","FY 2018","Currency=INR","Period=FY","BEST_FPERIOD_OVERRIDE=FY","FILING_STATUS=OR","EQY_CONSOLIDATED=Y","Sort=A","Dates=H","DateFormat=P","Fill=—","Direction=H","UseDPDF=Y")</f>
        <v>#NAME?</v>
      </c>
      <c r="CO598" s="2" t="e">
        <f ca="1">_xll.BDH($C$578,"NET_DEBT_%_CAPITAL","FY 2018","FY 2018","Currency=INR","Period=FY","BEST_FPERIOD_OVERRIDE=FY","FILING_STATUS=OR","EQY_CONSOLIDATED=Y","Sort=A","Dates=H","DateFormat=P","Fill=—","Direction=H","UseDPDF=Y")</f>
        <v>#NAME?</v>
      </c>
      <c r="CP598" s="3" t="e">
        <f ca="1">_xll.BDH($C$578,"EBITDA","FY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598" s="3" t="e">
        <f ca="1">_xll.BDH($C$578,"EBITDA_AFTER_CAPEX","FY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598" s="3" t="e">
        <f ca="1">_xll.BDH($C$578,"IS_OPER_INC","FY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598" s="2" t="e">
        <f ca="1">_xll.BDH($C$578,"CASH_RATIO","FY 2018","FY 2018","Currency=INR","Period=FY","BEST_FPERIOD_OVERRIDE=FY","FILING_STATUS=OR","EQY_CONSOLIDATED=Y","Sort=A","Dates=H","DateFormat=P","Fill=—","Direction=H","UseDPDF=Y")</f>
        <v>#NAME?</v>
      </c>
      <c r="CT598" s="2" t="e">
        <f ca="1">_xll.BDH($C$578,"CUR_RATIO","FY 2018","FY 2018","Currency=INR","Period=FY","BEST_FPERIOD_OVERRIDE=FY","FILING_STATUS=OR","EQY_CONSOLIDATED=Y","Sort=A","Dates=H","DateFormat=P","Fill=—","Direction=H","UseDPDF=Y")</f>
        <v>#NAME?</v>
      </c>
      <c r="CU598" s="2" t="e">
        <f ca="1">_xll.BDH($C$578,"QUICK_RATIO","FY 2018","FY 2018","Currency=INR","Period=FY","BEST_FPERIOD_OVERRIDE=FY","FILING_STATUS=OR","EQY_CONSOLIDATED=Y","Sort=A","Dates=H","DateFormat=P","Fill=—","Direction=H","UseDPDF=Y")</f>
        <v>#NAME?</v>
      </c>
      <c r="CV598" s="2" t="e">
        <f ca="1">_xll.BDH($C$578,"ALTMAN_Z_SCORE","FY 2018","FY 2018","Currency=INR","Period=FY","BEST_FPERIOD_OVERRIDE=FY","FILING_STATUS=OR","EQY_CONSOLIDATED=Y","Sort=A","Dates=H","DateFormat=P","Fill=—","Direction=H","UseDPDF=Y")</f>
        <v>#NAME?</v>
      </c>
      <c r="CW598" s="4" t="e">
        <f ca="1">_xll.BDH($C$578,"ACCT_RCV_TURN","FY 2018","FY 2018","Currency=INR","Period=FY","BEST_FPERIOD_OVERRIDE=FY","FILING_STATUS=OR","EQY_CONSOLIDATED=Y","FA_ADJUSTED=GAAP","Sort=A","Dates=H","DateFormat=P","Fill=—","Direction=H","UseDPDF=Y")</f>
        <v>#NAME?</v>
      </c>
      <c r="CX598" s="2" t="e">
        <f ca="1">_xll.BDH($C$578,"ACCT_RCV_DAYS","FY 2018","FY 2018","Currency=INR","Period=FY","BEST_FPERIOD_OVERRIDE=FY","FILING_STATUS=OR","EQY_CONSOLIDATED=Y","FA_ADJUSTED=GAAP","Sort=A","Dates=H","DateFormat=P","Fill=—","Direction=H","UseDPDF=Y")</f>
        <v>#NAME?</v>
      </c>
      <c r="CY598" s="4" t="e">
        <f ca="1">_xll.BDH($C$578,"INVENT_TURN","FY 2018","FY 2018","Currency=INR","Period=FY","BEST_FPERIOD_OVERRIDE=FY","FILING_STATUS=OR","EQY_CONSOLIDATED=Y","FA_ADJUSTED=GAAP","Sort=A","Dates=H","DateFormat=P","Fill=—","Direction=H","UseDPDF=Y")</f>
        <v>#NAME?</v>
      </c>
      <c r="CZ598" s="2" t="e">
        <f ca="1">_xll.BDH($C$578,"INVENT_DAYS","FY 2018","FY 2018","Currency=INR","Period=FY","BEST_FPERIOD_OVERRIDE=FY","FILING_STATUS=OR","EQY_CONSOLIDATED=Y","FA_ADJUSTED=GAAP","Sort=A","Dates=H","DateFormat=P","Fill=—","Direction=H","UseDPDF=Y")</f>
        <v>#NAME?</v>
      </c>
      <c r="DA598" s="4" t="e">
        <f ca="1">_xll.BDH($C$578,"ACCOUNTS_PAYABLE_TURNOVER","FY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598" s="2" t="e">
        <f ca="1">_xll.BDH($C$578,"ACCOUNTS_PAYABLE_TURNOVER_DAYS","FY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598" s="4" t="e">
        <f ca="1">_xll.BDH($C$578,"CASH_CONVERSION_CYCLE","FY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598" s="4" t="e">
        <f ca="1">_xll.BDH($C$578,"INV_TO_CASH_DAYS","FY 2018","FY 2018","Currency=INR","Period=FY","BEST_FPERIOD_OVERRIDE=FY","FILING_STATUS=OR","EQY_CONSOLIDATED=Y","FA_ADJUSTED=GAAP","Sort=A","Dates=H","DateFormat=P","Fill=—","Direction=H","UseDPDF=Y")</f>
        <v>#NAME?</v>
      </c>
      <c r="DE598" s="5" t="e">
        <f ca="1">_xll.BDH($C$578,"BS_INVENTORIES","FY 2018","FY 2018","Currency=INR","Period=FY","BEST_FPERIOD_OVERRIDE=FY","FILING_STATUS=OR","EQY_CONSOLIDATED=Y","SCALING_FORMAT=MLN","Sort=A","Dates=H","DateFormat=P","Fill=—","Direction=H","UseDPDF=Y")</f>
        <v>#NAME?</v>
      </c>
      <c r="DF598" s="3" t="e">
        <f ca="1">_xll.BDH($C$578,"INVTRY_RAW_MATERIALS","FY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598" s="3" t="e">
        <f ca="1">_xll.BDH($C$578,"INVTRY_IN_PROGRESS","FY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598" s="3" t="e">
        <f ca="1">_xll.BDH($C$578,"INVTRY_FINISHED_GOODS","FY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598" s="3" t="e">
        <f ca="1">_xll.BDH($C$578,"BS_OTHER_INV","FY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599" spans="1:113" x14ac:dyDescent="0.3">
      <c r="A599" s="6"/>
      <c r="B599" s="6"/>
      <c r="C599" s="6"/>
      <c r="D599" s="6"/>
      <c r="E599" t="s">
        <v>78</v>
      </c>
      <c r="F599" t="e">
        <f ca="1">_xll.BDH($C$578,"RETURN_COM_EQY","FQ1 2018","FQ1 2018","Currency=INR","Period=FQ","BEST_FPERIOD_OVERRIDE=FQ","FILING_STATUS=OR","EQY_CONSOLIDATED=Y","FA_ADJUSTED=GAAP","Sort=A","Dates=H","DateFormat=P","Fill=—","Direction=H","UseDPDF=Y")</f>
        <v>#NAME?</v>
      </c>
      <c r="G599" t="e">
        <f ca="1">_xll.BDH($C$578,"RETURN_ON_ASSET","FQ1 2018","FQ1 2018","Currency=INR","Period=FQ","BEST_FPERIOD_OVERRIDE=FQ","FILING_STATUS=OR","EQY_CONSOLIDATED=Y","FA_ADJUSTED=GAAP","Sort=A","Dates=H","DateFormat=P","Fill=—","Direction=H","UseDPDF=Y")</f>
        <v>#NAME?</v>
      </c>
      <c r="H599" t="e">
        <f ca="1">_xll.BDH($C$578,"RETURN_ON_CAP","FQ1 2018","FQ1 2018","Currency=INR","Period=FQ","BEST_FPERIOD_OVERRIDE=FQ","FILING_STATUS=OR","EQY_CONSOLIDATED=Y","FA_ADJUSTED=GAAP","Sort=A","Dates=H","DateFormat=P","Fill=—","Direction=H","UseDPDF=Y")</f>
        <v>#NAME?</v>
      </c>
      <c r="I599" t="e">
        <f ca="1">_xll.BDH($C$578,"RETURN_ON_INV_CAPITAL","FQ1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599" t="e">
        <f ca="1">_xll.BDH($C$578,"EBITDA_TO_REVENUE","FQ1 2018","FQ1 2018","Currency=INR","Period=FQ","BEST_FPERIOD_OVERRIDE=FQ","FILING_STATUS=OR","EQY_CONSOLIDATED=Y","FA_ADJUSTED=GAAP","Sort=A","Dates=H","DateFormat=P","Fill=—","Direction=H","UseDPDF=Y")</f>
        <v>#NAME?</v>
      </c>
      <c r="K599" t="e">
        <f ca="1">_xll.BDH($C$578,"OPER_MARGIN","FQ1 2018","FQ1 2018","Currency=INR","Period=FQ","BEST_FPERIOD_OVERRIDE=FQ","FILING_STATUS=OR","EQY_CONSOLIDATED=Y","FA_ADJUSTED=GAAP","Sort=A","Dates=H","DateFormat=P","Fill=—","Direction=H","UseDPDF=Y")</f>
        <v>#NAME?</v>
      </c>
      <c r="L599" t="e">
        <f ca="1">_xll.BDH($C$578,"INCREMENTAL_OPERATING_MARGIN","FQ1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599" t="e">
        <f ca="1">_xll.BDH($C$578,"PRETAX_INC_TO_NET_SALES","FQ1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599" t="e">
        <f ca="1">_xll.BDH($C$578,"INC_BEF_XO_ITEMS_TO_NET_SALES","FQ1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599" t="e">
        <f ca="1">_xll.BDH($C$578,"PROF_MARGIN","FQ1 2018","FQ1 2018","Currency=INR","Period=FQ","BEST_FPERIOD_OVERRIDE=FQ","FILING_STATUS=OR","EQY_CONSOLIDATED=Y","FA_ADJUSTED=GAAP","Sort=A","Dates=H","DateFormat=P","Fill=—","Direction=H","UseDPDF=Y")</f>
        <v>#NAME?</v>
      </c>
      <c r="P599" t="e">
        <f ca="1">_xll.BDH($C$578,"NET_INCOME_TO_COMMON_MARGIN","FQ1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599" t="e">
        <f ca="1">_xll.BDH($C$578,"EFF_TAX_RATE","FQ1 2018","FQ1 2018","Currency=INR","Period=FQ","BEST_FPERIOD_OVERRIDE=FQ","FILING_STATUS=OR","EQY_CONSOLIDATED=Y","FA_ADJUSTED=GAAP","Sort=A","Dates=H","DateFormat=P","Fill=—","Direction=H","UseDPDF=Y")</f>
        <v>#NAME?</v>
      </c>
      <c r="R599" t="e">
        <f ca="1">_xll.BDH($C$578,"DVD_PAYOUT_RATIO","FQ1 2018","FQ1 2018","Currency=INR","Period=FQ","BEST_FPERIOD_OVERRIDE=FQ","FILING_STATUS=OR","EQY_CONSOLIDATED=Y","FA_ADJUSTED=GAAP","Sort=A","Dates=H","DateFormat=P","Fill=—","Direction=H","UseDPDF=Y")</f>
        <v>#NAME?</v>
      </c>
      <c r="S599" t="e">
        <f ca="1">_xll.BDH($C$578,"SUSTAIN_GROWTH_RT","FQ1 2018","FQ1 2018","Currency=INR","Period=FQ","BEST_FPERIOD_OVERRIDE=FQ","FILING_STATUS=OR","EQY_CONSOLIDATED=Y","FA_ADJUSTED=GAAP","Sort=A","Dates=H","DateFormat=P","Fill=—","Direction=H","UseDPDF=Y")</f>
        <v>#NAME?</v>
      </c>
      <c r="T599" s="2" t="e">
        <f ca="1">_xll.BDH($C$578,"SALES_GROWTH","FQ1 2018","FQ1 2018","Currency=INR","Period=FQ","BEST_FPERIOD_OVERRIDE=FQ","FILING_STATUS=OR","EQY_CONSOLIDATED=Y","FA_ADJUSTED=GAAP","Sort=A","Dates=H","DateFormat=P","Fill=—","Direction=H","UseDPDF=Y")</f>
        <v>#NAME?</v>
      </c>
      <c r="U599" s="2" t="e">
        <f ca="1">_xll.BDH($C$578,"EBITDA_GROWTH","FQ1 2018","FQ1 2018","Currency=INR","Period=FQ","BEST_FPERIOD_OVERRIDE=FQ","FILING_STATUS=OR","EQY_CONSOLIDATED=Y","FA_ADJUSTED=GAAP","Sort=A","Dates=H","DateFormat=P","Fill=—","Direction=H","UseDPDF=Y")</f>
        <v>#NAME?</v>
      </c>
      <c r="V599" s="2" t="e">
        <f ca="1">_xll.BDH($C$578,"OPER_INC_GROWTH","FQ1 2018","FQ1 2018","Currency=INR","Period=FQ","BEST_FPERIOD_OVERRIDE=FQ","FILING_STATUS=OR","EQY_CONSOLIDATED=Y","FA_ADJUSTED=GAAP","Sort=A","Dates=H","DateFormat=P","Fill=—","Direction=H","UseDPDF=Y")</f>
        <v>#NAME?</v>
      </c>
      <c r="W599" s="2" t="e">
        <f ca="1">_xll.BDH($C$578,"EARN_FOR_COM_GROWTH","FQ1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599" s="2" t="e">
        <f ca="1">_xll.BDH($C$578,"DILUTED_EPS_AFT_XO_ITEMS_GROWTH","FQ1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599" s="2" t="e">
        <f ca="1">_xll.BDH($C$578,"DIVIDEND_PER_SHARE_1_YEAR_GROWTH","FQ1 2018","FQ1 2018","Currency=INR","Period=FQ","BEST_FPERIOD_OVERRIDE=FQ","FILING_STATUS=OR","EQY_CONSOLIDATED=Y","Sort=A","Dates=H","DateFormat=P","Fill=—","Direction=H","UseDPDF=Y")</f>
        <v>#NAME?</v>
      </c>
      <c r="Z599" s="2" t="e">
        <f ca="1">_xll.BDH($C$578,"ACCOUNTS_RECEIVABLE_GROWTH","FQ1 2018","FQ1 2018","Currency=INR","Period=FQ","BEST_FPERIOD_OVERRIDE=FQ","FILING_STATUS=OR","EQY_CONSOLIDATED=Y","Sort=A","Dates=H","DateFormat=P","Fill=—","Direction=H","UseDPDF=Y")</f>
        <v>#NAME?</v>
      </c>
      <c r="AA599" s="2" t="e">
        <f ca="1">_xll.BDH($C$578,"INVENTORY_GROWTH","FQ1 2018","FQ1 2018","Currency=INR","Period=FQ","BEST_FPERIOD_OVERRIDE=FQ","FILING_STATUS=OR","EQY_CONSOLIDATED=Y","Sort=A","Dates=H","DateFormat=P","Fill=—","Direction=H","UseDPDF=Y")</f>
        <v>#NAME?</v>
      </c>
      <c r="AB599" s="2" t="e">
        <f ca="1">_xll.BDH($C$578,"NET_FIXED_ASSETS_1_YEAR_GROWTH","FQ1 2018","FQ1 2018","Currency=INR","Period=FQ","BEST_FPERIOD_OVERRIDE=FQ","FILING_STATUS=OR","EQY_CONSOLIDATED=Y","Sort=A","Dates=H","DateFormat=P","Fill=—","Direction=H","UseDPDF=Y")</f>
        <v>#NAME?</v>
      </c>
      <c r="AC599" s="2" t="e">
        <f ca="1">_xll.BDH($C$578,"ASSET_GROWTH","FQ1 2018","FQ1 2018","Currency=INR","Period=FQ","BEST_FPERIOD_OVERRIDE=FQ","FILING_STATUS=OR","EQY_CONSOLIDATED=Y","Sort=A","Dates=H","DateFormat=P","Fill=—","Direction=H","UseDPDF=Y")</f>
        <v>#NAME?</v>
      </c>
      <c r="AD599" s="2" t="e">
        <f ca="1">_xll.BDH($C$578,"MODIFIED_WORK_CAP_GROWTH","FQ1 2018","FQ1 2018","Currency=INR","Period=FQ","BEST_FPERIOD_OVERRIDE=FQ","FILING_STATUS=OR","EQY_CONSOLIDATED=Y","Sort=A","Dates=H","DateFormat=P","Fill=—","Direction=H","UseDPDF=Y")</f>
        <v>#NAME?</v>
      </c>
      <c r="AE599" s="2" t="e">
        <f ca="1">_xll.BDH($C$578,"WORK_CAP_GROWTH","FQ1 2018","FQ1 2018","Currency=INR","Period=FQ","BEST_FPERIOD_OVERRIDE=FQ","FILING_STATUS=OR","EQY_CONSOLIDATED=Y","Sort=A","Dates=H","DateFormat=P","Fill=—","Direction=H","UseDPDF=Y")</f>
        <v>#NAME?</v>
      </c>
      <c r="AF599" s="2" t="e">
        <f ca="1">_xll.BDH($C$578,"ACCOUNTS_PAYABLE_GROWTH_1YR","FQ1 2018","FQ1 2018","Currency=INR","Period=FQ","BEST_FPERIOD_OVERRIDE=FQ","FILING_STATUS=OR","EQY_CONSOLIDATED=Y","Sort=A","Dates=H","DateFormat=P","Fill=—","Direction=H","UseDPDF=Y")</f>
        <v>#NAME?</v>
      </c>
      <c r="AG599" s="2" t="e">
        <f ca="1">_xll.BDH($C$578,"SHORT_TERM_DEBT_1_YEAR_GROWTH","FQ1 2018","FQ1 2018","Currency=INR","Period=FQ","BEST_FPERIOD_OVERRIDE=FQ","FILING_STATUS=OR","EQY_CONSOLIDATED=Y","Sort=A","Dates=H","DateFormat=P","Fill=—","Direction=H","UseDPDF=Y")</f>
        <v>#NAME?</v>
      </c>
      <c r="AH599" s="2" t="e">
        <f ca="1">_xll.BDH($C$578,"TOTAL_DEBT_1_YEAR_GROWTH","FQ1 2018","FQ1 2018","Currency=INR","Period=FQ","BEST_FPERIOD_OVERRIDE=FQ","FILING_STATUS=OR","EQY_CONSOLIDATED=Y","Sort=A","Dates=H","DateFormat=P","Fill=—","Direction=H","UseDPDF=Y")</f>
        <v>#NAME?</v>
      </c>
      <c r="AI599" s="2" t="e">
        <f ca="1">_xll.BDH($C$578,"TOTAL_EQUITY_1_YEAR_GROWTH","FQ1 2018","FQ1 2018","Currency=INR","Period=FQ","BEST_FPERIOD_OVERRIDE=FQ","FILING_STATUS=OR","EQY_CONSOLIDATED=Y","Sort=A","Dates=H","DateFormat=P","Fill=—","Direction=H","UseDPDF=Y")</f>
        <v>#NAME?</v>
      </c>
      <c r="AJ599" s="2" t="e">
        <f ca="1">_xll.BDH($C$578,"GROWTH_IN_CAP","FQ1 2018","FQ1 2018","Currency=INR","Period=FQ","BEST_FPERIOD_OVERRIDE=FQ","FILING_STATUS=OR","EQY_CONSOLIDATED=Y","Sort=A","Dates=H","DateFormat=P","Fill=—","Direction=H","UseDPDF=Y")</f>
        <v>#NAME?</v>
      </c>
      <c r="AK599" s="2" t="e">
        <f ca="1">_xll.BDH($C$578,"BVPS_GROWTH","FQ1 2018","FQ1 2018","Currency=INR","Period=FQ","BEST_FPERIOD_OVERRIDE=FQ","FILING_STATUS=OR","EQY_CONSOLIDATED=Y","Sort=A","Dates=H","DateFormat=P","Fill=—","Direction=H","UseDPDF=Y")</f>
        <v>#NAME?</v>
      </c>
      <c r="AL599" s="2" t="e">
        <f ca="1">_xll.BDH($C$578,"CASH_FLOW_GROWTH","FQ1 2018","FQ1 2018","Currency=INR","Period=FQ","BEST_FPERIOD_OVERRIDE=FQ","FILING_STATUS=OR","EQY_CONSOLIDATED=Y","Sort=A","Dates=H","DateFormat=P","Fill=—","Direction=H","UseDPDF=Y")</f>
        <v>#NAME?</v>
      </c>
      <c r="AM599" s="2" t="e">
        <f ca="1">_xll.BDH($C$578,"GEO_GROW_NET_SALES","FQ1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599" s="2" t="e">
        <f ca="1">_xll.BDH($C$578,"GEO_GROW_EBITDA","FQ1 2018","FQ1 2018","Currency=INR","Period=FQ","BEST_FPERIOD_OVERRIDE=FQ","FILING_STATUS=OR","EQY_CONSOLIDATED=Y","FA_ADJUSTED=GAAP","Sort=A","Dates=H","DateFormat=P","Fill=—","Direction=H","UseDPDF=Y")</f>
        <v>#NAME?</v>
      </c>
      <c r="AO599" s="2" t="e">
        <f ca="1">_xll.BDH($C$578,"GEO_GROW_OPER_INC","FQ1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599" s="2" t="e">
        <f ca="1">_xll.BDH($C$578,"NET_INCOME_TO_COMMON_5_YR_GROWTH","FQ1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599" s="2" t="e">
        <f ca="1">_xll.BDH($C$578,"5Y_GEO_GROWTH_DILUTED_EPS","FQ1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599" s="2" t="e">
        <f ca="1">_xll.BDH($C$578,"GEO_GROW_DVD_PER_SH","FQ1 2018","FQ1 2018","Currency=INR","Period=FQ","BEST_FPERIOD_OVERRIDE=FQ","FILING_STATUS=OR","EQY_CONSOLIDATED=Y","Sort=A","Dates=H","DateFormat=P","Fill=—","Direction=H","UseDPDF=Y")</f>
        <v>#NAME?</v>
      </c>
      <c r="AS599" s="2" t="e">
        <f ca="1">_xll.BDH($C$578,"ACCOUNTS_RECEIVABLE_5_YR_GROWTH","FQ1 2018","FQ1 2018","Currency=INR","Period=FQ","BEST_FPERIOD_OVERRIDE=FQ","FILING_STATUS=OR","EQY_CONSOLIDATED=Y","Sort=A","Dates=H","DateFormat=P","Fill=—","Direction=H","UseDPDF=Y")</f>
        <v>#NAME?</v>
      </c>
      <c r="AT599" s="2" t="e">
        <f ca="1">_xll.BDH($C$578,"INVENTORY_5_YEAR_GROWTH","FQ1 2018","FQ1 2018","Currency=INR","Period=FQ","BEST_FPERIOD_OVERRIDE=FQ","FILING_STATUS=OR","EQY_CONSOLIDATED=Y","Sort=A","Dates=H","DateFormat=P","Fill=—","Direction=H","UseDPDF=Y")</f>
        <v>#NAME?</v>
      </c>
      <c r="AU599" s="2" t="e">
        <f ca="1">_xll.BDH($C$578,"NET_FIXED_ASSETS_5_YEAR_GROWTH","FQ1 2018","FQ1 2018","Currency=INR","Period=FQ","BEST_FPERIOD_OVERRIDE=FQ","FILING_STATUS=OR","EQY_CONSOLIDATED=Y","Sort=A","Dates=H","DateFormat=P","Fill=—","Direction=H","UseDPDF=Y")</f>
        <v>#NAME?</v>
      </c>
      <c r="AV599" s="2" t="e">
        <f ca="1">_xll.BDH($C$578,"GEO_GROW_TOT_ASSET","FQ1 2018","FQ1 2018","Currency=INR","Period=FQ","BEST_FPERIOD_OVERRIDE=FQ","FILING_STATUS=OR","EQY_CONSOLIDATED=Y","Sort=A","Dates=H","DateFormat=P","Fill=—","Direction=H","UseDPDF=Y")</f>
        <v>#NAME?</v>
      </c>
      <c r="AW599" s="2" t="e">
        <f ca="1">_xll.BDH($C$578,"MODIFIED_WORKING_CPTL_5YR_GRWTH","FQ1 2018","FQ1 2018","Currency=INR","Period=FQ","BEST_FPERIOD_OVERRIDE=FQ","FILING_STATUS=OR","EQY_CONSOLIDATED=Y","Sort=A","Dates=H","DateFormat=P","Fill=—","Direction=H","UseDPDF=Y")</f>
        <v>#NAME?</v>
      </c>
      <c r="AX599" s="2" t="e">
        <f ca="1">_xll.BDH($C$578,"WORKING_CAPITAL_5_YEAR_GROWTH","FQ1 2018","FQ1 2018","Currency=INR","Period=FQ","BEST_FPERIOD_OVERRIDE=FQ","FILING_STATUS=OR","EQY_CONSOLIDATED=Y","Sort=A","Dates=H","DateFormat=P","Fill=—","Direction=H","UseDPDF=Y")</f>
        <v>#NAME?</v>
      </c>
      <c r="AY599" s="2" t="e">
        <f ca="1">_xll.BDH($C$578,"ACCOUNTS_PAYABLE_5_YEAR_GROWTH","FQ1 2018","FQ1 2018","Currency=INR","Period=FQ","BEST_FPERIOD_OVERRIDE=FQ","FILING_STATUS=OR","EQY_CONSOLIDATED=Y","Sort=A","Dates=H","DateFormat=P","Fill=—","Direction=H","UseDPDF=Y")</f>
        <v>#NAME?</v>
      </c>
      <c r="AZ599" s="2" t="e">
        <f ca="1">_xll.BDH($C$578,"SHORT_TERM_DEBT_5_YEAR_GROWTH","FQ1 2018","FQ1 2018","Currency=INR","Period=FQ","BEST_FPERIOD_OVERRIDE=FQ","FILING_STATUS=OR","EQY_CONSOLIDATED=Y","Sort=A","Dates=H","DateFormat=P","Fill=—","Direction=H","UseDPDF=Y")</f>
        <v>#NAME?</v>
      </c>
      <c r="BA599" s="2" t="e">
        <f ca="1">_xll.BDH($C$578,"TOTAL_DEBT_5_YEAR_GROWTH","FQ1 2018","FQ1 2018","Currency=INR","Period=FQ","BEST_FPERIOD_OVERRIDE=FQ","FILING_STATUS=OR","EQY_CONSOLIDATED=Y","Sort=A","Dates=H","DateFormat=P","Fill=—","Direction=H","UseDPDF=Y")</f>
        <v>#NAME?</v>
      </c>
      <c r="BB599" s="2" t="e">
        <f ca="1">_xll.BDH($C$578,"GEO_GROW_TOT_SHRHLDR_EQY","FQ1 2018","FQ1 2018","Currency=INR","Period=FQ","BEST_FPERIOD_OVERRIDE=FQ","FILING_STATUS=OR","EQY_CONSOLIDATED=Y","Sort=A","Dates=H","DateFormat=P","Fill=—","Direction=H","UseDPDF=Y")</f>
        <v>#NAME?</v>
      </c>
      <c r="BC599" s="2" t="e">
        <f ca="1">_xll.BDH($C$578,"TOTAL_CAPITAL_5_YEAR_GROWTH","FQ1 2018","FQ1 2018","Currency=INR","Period=FQ","BEST_FPERIOD_OVERRIDE=FQ","FILING_STATUS=OR","EQY_CONSOLIDATED=Y","Sort=A","Dates=H","DateFormat=P","Fill=—","Direction=H","UseDPDF=Y")</f>
        <v>#NAME?</v>
      </c>
      <c r="BD599" s="2" t="e">
        <f ca="1">_xll.BDH($C$578,"GEO_GROW_BOOK_VAL","FQ1 2018","FQ1 2018","Currency=INR","Period=FQ","BEST_FPERIOD_OVERRIDE=FQ","FILING_STATUS=OR","EQY_CONSOLIDATED=Y","Sort=A","Dates=H","DateFormat=P","Fill=—","Direction=H","UseDPDF=Y")</f>
        <v>#NAME?</v>
      </c>
      <c r="BE599" s="2" t="e">
        <f ca="1">_xll.BDH($C$578,"GEO_GROW_CASH_OPER_ACT","FQ1 2018","FQ1 2018","Currency=INR","Period=FQ","BEST_FPERIOD_OVERRIDE=FQ","FILING_STATUS=OR","EQY_CONSOLIDATED=Y","Sort=A","Dates=H","DateFormat=P","Fill=—","Direction=H","UseDPDF=Y")</f>
        <v>#NAME?</v>
      </c>
      <c r="BF599" s="2" t="e">
        <f ca="1">_xll.BDH($C$578,"REVENUE_SEQUENTIAL_GROWTH","FQ1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599" s="2" t="e">
        <f ca="1">_xll.BDH($C$578,"EBITDA_SEQUENTIAL_GROWTH","FQ1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599" s="2" t="e">
        <f ca="1">_xll.BDH($C$578,"OPERATING_INCOME_SEQ_GROWTH","FQ1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599" s="2" t="e">
        <f ca="1">_xll.BDH($C$578,"NET_INCOME_TO_COMMON_SEQ_GROWTH","FQ1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599" s="2" t="e">
        <f ca="1">_xll.BDH($C$578,"EPS_DILUTED_SEQUENTIAL_GROWTH","FQ1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599" s="2" t="e">
        <f ca="1">_xll.BDH($C$578,"DPS_SEQUENTIAL_GROWTH","FQ1 2018","FQ1 2018","Currency=INR","Period=FQ","BEST_FPERIOD_OVERRIDE=FQ","FILING_STATUS=OR","EQY_CONSOLIDATED=Y","Sort=A","Dates=H","DateFormat=P","Fill=—","Direction=H","UseDPDF=Y")</f>
        <v>#NAME?</v>
      </c>
      <c r="BL599" s="2" t="e">
        <f ca="1">_xll.BDH($C$578,"ACCOUNTS_RECEIVABLE_SEQ_GROWTH","FQ1 2018","FQ1 2018","Currency=INR","Period=FQ","BEST_FPERIOD_OVERRIDE=FQ","FILING_STATUS=OR","EQY_CONSOLIDATED=Y","Sort=A","Dates=H","DateFormat=P","Fill=—","Direction=H","UseDPDF=Y")</f>
        <v>#NAME?</v>
      </c>
      <c r="BM599" s="2" t="e">
        <f ca="1">_xll.BDH($C$578,"INVENTORY_SEQUENTIAL_GROWTH","FQ1 2018","FQ1 2018","Currency=INR","Period=FQ","BEST_FPERIOD_OVERRIDE=FQ","FILING_STATUS=OR","EQY_CONSOLIDATED=Y","Sort=A","Dates=H","DateFormat=P","Fill=—","Direction=H","UseDPDF=Y")</f>
        <v>#NAME?</v>
      </c>
      <c r="BN599" s="2" t="e">
        <f ca="1">_xll.BDH($C$578,"FIXED_ASSETS_SEQUENTIAL_GROWTH","FQ1 2018","FQ1 2018","Currency=INR","Period=FQ","BEST_FPERIOD_OVERRIDE=FQ","FILING_STATUS=OR","EQY_CONSOLIDATED=Y","Sort=A","Dates=H","DateFormat=P","Fill=—","Direction=H","UseDPDF=Y")</f>
        <v>#NAME?</v>
      </c>
      <c r="BO599" s="2" t="e">
        <f ca="1">_xll.BDH($C$578,"TOTAL_ASSETS_SEQUENTIAL_GROWTH","FQ1 2018","FQ1 2018","Currency=INR","Period=FQ","BEST_FPERIOD_OVERRIDE=FQ","FILING_STATUS=OR","EQY_CONSOLIDATED=Y","Sort=A","Dates=H","DateFormat=P","Fill=—","Direction=H","UseDPDF=Y")</f>
        <v>#NAME?</v>
      </c>
      <c r="BP599" s="2" t="e">
        <f ca="1">_xll.BDH($C$578,"MODIFIED_WORKING_CPTL_SEQ_GRWTH","FQ1 2018","FQ1 2018","Currency=INR","Period=FQ","BEST_FPERIOD_OVERRIDE=FQ","FILING_STATUS=OR","EQY_CONSOLIDATED=Y","Sort=A","Dates=H","DateFormat=P","Fill=—","Direction=H","UseDPDF=Y")</f>
        <v>#NAME?</v>
      </c>
      <c r="BQ599" s="2" t="e">
        <f ca="1">_xll.BDH($C$578,"WORKING_CAPITAL_SEQ_GROWTH","FQ1 2018","FQ1 2018","Currency=INR","Period=FQ","BEST_FPERIOD_OVERRIDE=FQ","FILING_STATUS=OR","EQY_CONSOLIDATED=Y","Sort=A","Dates=H","DateFormat=P","Fill=—","Direction=H","UseDPDF=Y")</f>
        <v>#NAME?</v>
      </c>
      <c r="BR599" s="2" t="e">
        <f ca="1">_xll.BDH($C$578,"ACCOUNTS_PAYABLE_SEQ_GROWTH","FQ1 2018","FQ1 2018","Currency=INR","Period=FQ","BEST_FPERIOD_OVERRIDE=FQ","FILING_STATUS=OR","EQY_CONSOLIDATED=Y","Sort=A","Dates=H","DateFormat=P","Fill=—","Direction=H","UseDPDF=Y")</f>
        <v>#NAME?</v>
      </c>
      <c r="BS599" s="2" t="e">
        <f ca="1">_xll.BDH($C$578,"ST_DEBT_SEQUENTIAL_GROWTH","FQ1 2018","FQ1 2018","Currency=INR","Period=FQ","BEST_FPERIOD_OVERRIDE=FQ","FILING_STATUS=OR","EQY_CONSOLIDATED=Y","Sort=A","Dates=H","DateFormat=P","Fill=—","Direction=H","UseDPDF=Y")</f>
        <v>#NAME?</v>
      </c>
      <c r="BT599" s="2" t="e">
        <f ca="1">_xll.BDH($C$578,"TOTAL_DEBT_SEQUENTIAL_GROWTH","FQ1 2018","FQ1 2018","Currency=INR","Period=FQ","BEST_FPERIOD_OVERRIDE=FQ","FILING_STATUS=OR","EQY_CONSOLIDATED=Y","Sort=A","Dates=H","DateFormat=P","Fill=—","Direction=H","UseDPDF=Y")</f>
        <v>#NAME?</v>
      </c>
      <c r="BU599" s="2" t="e">
        <f ca="1">_xll.BDH($C$578,"TOTAL_EQUITY_SEQUENTIAL_GROWTH","FQ1 2018","FQ1 2018","Currency=INR","Period=FQ","BEST_FPERIOD_OVERRIDE=FQ","FILING_STATUS=OR","EQY_CONSOLIDATED=Y","Sort=A","Dates=H","DateFormat=P","Fill=—","Direction=H","UseDPDF=Y")</f>
        <v>#NAME?</v>
      </c>
      <c r="BV599" s="2" t="e">
        <f ca="1">_xll.BDH($C$578,"TOTAL_CAPITAL_SEQUENTIAL_GROWTH","FQ1 2018","FQ1 2018","Currency=INR","Period=FQ","BEST_FPERIOD_OVERRIDE=FQ","FILING_STATUS=OR","EQY_CONSOLIDATED=Y","Sort=A","Dates=H","DateFormat=P","Fill=—","Direction=H","UseDPDF=Y")</f>
        <v>#NAME?</v>
      </c>
      <c r="BW599" s="2" t="e">
        <f ca="1">_xll.BDH($C$578,"BPS_SEQUENTIAL_GROWTH","FQ1 2018","FQ1 2018","Currency=INR","Period=FQ","BEST_FPERIOD_OVERRIDE=FQ","FILING_STATUS=OR","EQY_CONSOLIDATED=Y","Sort=A","Dates=H","DateFormat=P","Fill=—","Direction=H","UseDPDF=Y")</f>
        <v>#NAME?</v>
      </c>
      <c r="BX599" s="2" t="e">
        <f ca="1">_xll.BDH($C$578,"CFO_SEQUENTIAL_GROWTH","FQ1 2018","FQ1 2018","Currency=INR","Period=FQ","BEST_FPERIOD_OVERRIDE=FQ","FILING_STATUS=OR","EQY_CONSOLIDATED=Y","Sort=A","Dates=H","DateFormat=P","Fill=—","Direction=H","UseDPDF=Y")</f>
        <v>#NAME?</v>
      </c>
      <c r="BY599" s="3" t="e">
        <f ca="1">_xll.BDH($C$578,"SHORT_AND_LONG_TERM_DEBT","FQ1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599" s="3" t="e">
        <f ca="1">_xll.BDH($C$578,"BS_ST_BORROW","FQ1 2018","FQ1 2018","Currency=INR","Period=FQ","BEST_FPERIOD_OVERRIDE=FQ","FILING_STATUS=OR","EQY_CONSOLIDATED=Y","SCALING_FORMAT=MLN","Sort=A","Dates=H","DateFormat=P","Fill=—","Direction=H","UseDPDF=Y")</f>
        <v>#NAME?</v>
      </c>
      <c r="CA599" s="3" t="e">
        <f ca="1">_xll.BDH($C$578,"BS_LT_BORROW","FQ1 2018","FQ1 2018","Currency=INR","Period=FQ","BEST_FPERIOD_OVERRIDE=FQ","FILING_STATUS=OR","EQY_CONSOLIDATED=Y","SCALING_FORMAT=MLN","Sort=A","Dates=H","DateFormat=P","Fill=—","Direction=H","UseDPDF=Y")</f>
        <v>#NAME?</v>
      </c>
      <c r="CB599" s="2" t="e">
        <f ca="1">_xll.BDH($C$578,"TOT_DEBT_TO_EBITDA","FQ1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599" s="2" t="e">
        <f ca="1">_xll.BDH($C$578,"NET_DEBT_TO_EBITDA","FQ1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599" s="2" t="e">
        <f ca="1">_xll.BDH($C$578,"TOTAL_DEBT_TO_EBIT","FQ1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599" s="2" t="e">
        <f ca="1">_xll.BDH($C$578,"NET_DEBT_TO_EBIT","FQ1 2018","FQ1 2018","Currency=INR","Period=FQ","BEST_FPERIOD_OVERRIDE=FQ","FILING_STATUS=OR","EQY_CONSOLIDATED=Y","FA_ADJUSTED=GAAP","Sort=A","Dates=H","DateFormat=P","Fill=—","Direction=H","UseDPDF=Y")</f>
        <v>#NAME?</v>
      </c>
      <c r="CF599" s="2" t="e">
        <f ca="1">_xll.BDH($C$578,"EBITDA_TO_INTEREST_EXPN","FQ1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599" s="2" t="e">
        <f ca="1">_xll.BDH($C$578,"COM_EQY_TO_TOT_ASSET","FQ1 2018","FQ1 2018","Currency=INR","Period=FQ","BEST_FPERIOD_OVERRIDE=FQ","FILING_STATUS=OR","EQY_CONSOLIDATED=Y","Sort=A","Dates=H","DateFormat=P","Fill=—","Direction=H","UseDPDF=Y")</f>
        <v>#NAME?</v>
      </c>
      <c r="CH599" s="2" t="e">
        <f ca="1">_xll.BDH($C$578,"LT_DEBT_TO_TOT_EQY","FQ1 2018","FQ1 2018","Currency=INR","Period=FQ","BEST_FPERIOD_OVERRIDE=FQ","FILING_STATUS=OR","EQY_CONSOLIDATED=Y","Sort=A","Dates=H","DateFormat=P","Fill=—","Direction=H","UseDPDF=Y")</f>
        <v>#NAME?</v>
      </c>
      <c r="CI599" s="2" t="e">
        <f ca="1">_xll.BDH($C$578,"LT_DEBT_TO_TOT_CAP","FQ1 2018","FQ1 2018","Currency=INR","Period=FQ","BEST_FPERIOD_OVERRIDE=FQ","FILING_STATUS=OR","EQY_CONSOLIDATED=Y","Sort=A","Dates=H","DateFormat=P","Fill=—","Direction=H","UseDPDF=Y")</f>
        <v>#NAME?</v>
      </c>
      <c r="CJ599" s="2" t="e">
        <f ca="1">_xll.BDH($C$578,"LT_DEBT_TO_TOT_ASSET","FQ1 2018","FQ1 2018","Currency=INR","Period=FQ","BEST_FPERIOD_OVERRIDE=FQ","FILING_STATUS=OR","EQY_CONSOLIDATED=Y","Sort=A","Dates=H","DateFormat=P","Fill=—","Direction=H","UseDPDF=Y")</f>
        <v>#NAME?</v>
      </c>
      <c r="CK599" s="2" t="e">
        <f ca="1">_xll.BDH($C$578,"TOT_DEBT_TO_TOT_EQY","FQ1 2018","FQ1 2018","Currency=INR","Period=FQ","BEST_FPERIOD_OVERRIDE=FQ","FILING_STATUS=OR","EQY_CONSOLIDATED=Y","Sort=A","Dates=H","DateFormat=P","Fill=—","Direction=H","UseDPDF=Y")</f>
        <v>#NAME?</v>
      </c>
      <c r="CL599" s="2" t="e">
        <f ca="1">_xll.BDH($C$578,"TOT_DEBT_TO_TOT_CAP","FQ1 2018","FQ1 2018","Currency=INR","Period=FQ","BEST_FPERIOD_OVERRIDE=FQ","FILING_STATUS=OR","EQY_CONSOLIDATED=Y","Sort=A","Dates=H","DateFormat=P","Fill=—","Direction=H","UseDPDF=Y")</f>
        <v>#NAME?</v>
      </c>
      <c r="CM599" s="2" t="e">
        <f ca="1">_xll.BDH($C$578,"TOT_DEBT_TO_TOT_ASSET","FQ1 2018","FQ1 2018","Currency=INR","Period=FQ","BEST_FPERIOD_OVERRIDE=FQ","FILING_STATUS=OR","EQY_CONSOLIDATED=Y","Sort=A","Dates=H","DateFormat=P","Fill=—","Direction=H","UseDPDF=Y")</f>
        <v>#NAME?</v>
      </c>
      <c r="CN599" s="2" t="e">
        <f ca="1">_xll.BDH($C$578,"NET_DEBT_TO_SHRHLDR_EQTY","FQ1 2018","FQ1 2018","Currency=INR","Period=FQ","BEST_FPERIOD_OVERRIDE=FQ","FILING_STATUS=OR","EQY_CONSOLIDATED=Y","Sort=A","Dates=H","DateFormat=P","Fill=—","Direction=H","UseDPDF=Y")</f>
        <v>#NAME?</v>
      </c>
      <c r="CO599" s="2" t="e">
        <f ca="1">_xll.BDH($C$578,"NET_DEBT_%_CAPITAL","FQ1 2018","FQ1 2018","Currency=INR","Period=FQ","BEST_FPERIOD_OVERRIDE=FQ","FILING_STATUS=OR","EQY_CONSOLIDATED=Y","Sort=A","Dates=H","DateFormat=P","Fill=—","Direction=H","UseDPDF=Y")</f>
        <v>#NAME?</v>
      </c>
      <c r="CP599" s="3" t="e">
        <f ca="1">_xll.BDH($C$578,"EBITDA","FQ1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599" s="3" t="e">
        <f ca="1">_xll.BDH($C$578,"EBITDA_AFTER_CAPEX","FQ1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599" s="3" t="e">
        <f ca="1">_xll.BDH($C$578,"IS_OPER_INC","FQ1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599" s="2" t="e">
        <f ca="1">_xll.BDH($C$578,"CASH_RATIO","FQ1 2018","FQ1 2018","Currency=INR","Period=FQ","BEST_FPERIOD_OVERRIDE=FQ","FILING_STATUS=OR","EQY_CONSOLIDATED=Y","Sort=A","Dates=H","DateFormat=P","Fill=—","Direction=H","UseDPDF=Y")</f>
        <v>#NAME?</v>
      </c>
      <c r="CT599" s="2" t="e">
        <f ca="1">_xll.BDH($C$578,"CUR_RATIO","FQ1 2018","FQ1 2018","Currency=INR","Period=FQ","BEST_FPERIOD_OVERRIDE=FQ","FILING_STATUS=OR","EQY_CONSOLIDATED=Y","Sort=A","Dates=H","DateFormat=P","Fill=—","Direction=H","UseDPDF=Y")</f>
        <v>#NAME?</v>
      </c>
      <c r="CU599" s="2" t="e">
        <f ca="1">_xll.BDH($C$578,"QUICK_RATIO","FQ1 2018","FQ1 2018","Currency=INR","Period=FQ","BEST_FPERIOD_OVERRIDE=FQ","FILING_STATUS=OR","EQY_CONSOLIDATED=Y","Sort=A","Dates=H","DateFormat=P","Fill=—","Direction=H","UseDPDF=Y")</f>
        <v>#NAME?</v>
      </c>
      <c r="CV599" s="2" t="e">
        <f ca="1">_xll.BDH($C$578,"ALTMAN_Z_SCORE","FQ1 2018","FQ1 2018","Currency=INR","Period=FQ","BEST_FPERIOD_OVERRIDE=FQ","FILING_STATUS=OR","EQY_CONSOLIDATED=Y","Sort=A","Dates=H","DateFormat=P","Fill=—","Direction=H","UseDPDF=Y")</f>
        <v>#NAME?</v>
      </c>
      <c r="CW599" s="4" t="e">
        <f ca="1">_xll.BDH($C$578,"ACCT_RCV_TURN","FQ1 2018","FQ1 2018","Currency=INR","Period=FQ","BEST_FPERIOD_OVERRIDE=FQ","FILING_STATUS=OR","EQY_CONSOLIDATED=Y","FA_ADJUSTED=GAAP","Sort=A","Dates=H","DateFormat=P","Fill=—","Direction=H","UseDPDF=Y")</f>
        <v>#NAME?</v>
      </c>
      <c r="CX599" s="2" t="e">
        <f ca="1">_xll.BDH($C$578,"ACCT_RCV_DAYS","FQ1 2018","FQ1 2018","Currency=INR","Period=FQ","BEST_FPERIOD_OVERRIDE=FQ","FILING_STATUS=OR","EQY_CONSOLIDATED=Y","FA_ADJUSTED=GAAP","Sort=A","Dates=H","DateFormat=P","Fill=—","Direction=H","UseDPDF=Y")</f>
        <v>#NAME?</v>
      </c>
      <c r="CY599" s="4" t="e">
        <f ca="1">_xll.BDH($C$578,"INVENT_TURN","FQ1 2018","FQ1 2018","Currency=INR","Period=FQ","BEST_FPERIOD_OVERRIDE=FQ","FILING_STATUS=OR","EQY_CONSOLIDATED=Y","FA_ADJUSTED=GAAP","Sort=A","Dates=H","DateFormat=P","Fill=—","Direction=H","UseDPDF=Y")</f>
        <v>#NAME?</v>
      </c>
      <c r="CZ599" s="2" t="e">
        <f ca="1">_xll.BDH($C$578,"INVENT_DAYS","FQ1 2018","FQ1 2018","Currency=INR","Period=FQ","BEST_FPERIOD_OVERRIDE=FQ","FILING_STATUS=OR","EQY_CONSOLIDATED=Y","FA_ADJUSTED=GAAP","Sort=A","Dates=H","DateFormat=P","Fill=—","Direction=H","UseDPDF=Y")</f>
        <v>#NAME?</v>
      </c>
      <c r="DA599" s="4" t="e">
        <f ca="1">_xll.BDH($C$578,"ACCOUNTS_PAYABLE_TURNOVER","FQ1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599" s="2" t="e">
        <f ca="1">_xll.BDH($C$578,"ACCOUNTS_PAYABLE_TURNOVER_DAYS","FQ1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599" s="4" t="e">
        <f ca="1">_xll.BDH($C$578,"CASH_CONVERSION_CYCLE","FQ1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599" s="4" t="e">
        <f ca="1">_xll.BDH($C$578,"INV_TO_CASH_DAYS","FQ1 2018","FQ1 2018","Currency=INR","Period=FQ","BEST_FPERIOD_OVERRIDE=FQ","FILING_STATUS=OR","EQY_CONSOLIDATED=Y","FA_ADJUSTED=GAAP","Sort=A","Dates=H","DateFormat=P","Fill=—","Direction=H","UseDPDF=Y")</f>
        <v>#NAME?</v>
      </c>
      <c r="DE599" s="5" t="e">
        <f ca="1">_xll.BDH($C$578,"BS_INVENTORIES","FQ1 2018","FQ1 2018","Currency=INR","Period=FQ","BEST_FPERIOD_OVERRIDE=FQ","FILING_STATUS=OR","EQY_CONSOLIDATED=Y","SCALING_FORMAT=MLN","Sort=A","Dates=H","DateFormat=P","Fill=—","Direction=H","UseDPDF=Y")</f>
        <v>#NAME?</v>
      </c>
      <c r="DF599" s="3" t="e">
        <f ca="1">_xll.BDH($C$578,"INVTRY_RAW_MATERIALS","FQ1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599" s="3" t="e">
        <f ca="1">_xll.BDH($C$578,"INVTRY_IN_PROGRESS","FQ1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599" s="3" t="e">
        <f ca="1">_xll.BDH($C$578,"INVTRY_FINISHED_GOODS","FQ1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599" s="3" t="e">
        <f ca="1">_xll.BDH($C$578,"BS_OTHER_INV","FQ1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00" spans="1:113" x14ac:dyDescent="0.3">
      <c r="A600" s="6"/>
      <c r="B600" s="6"/>
      <c r="C600" s="6"/>
      <c r="D600" s="6"/>
      <c r="E600" t="s">
        <v>79</v>
      </c>
      <c r="F600" t="e">
        <f ca="1">_xll.BDH($C$578,"RETURN_COM_EQY","FQ2 2018","FQ2 2018","Currency=INR","Period=FQ","BEST_FPERIOD_OVERRIDE=FQ","FILING_STATUS=OR","EQY_CONSOLIDATED=Y","FA_ADJUSTED=GAAP","Sort=A","Dates=H","DateFormat=P","Fill=—","Direction=H","UseDPDF=Y")</f>
        <v>#NAME?</v>
      </c>
      <c r="G600" t="e">
        <f ca="1">_xll.BDH($C$578,"RETURN_ON_ASSET","FQ2 2018","FQ2 2018","Currency=INR","Period=FQ","BEST_FPERIOD_OVERRIDE=FQ","FILING_STATUS=OR","EQY_CONSOLIDATED=Y","FA_ADJUSTED=GAAP","Sort=A","Dates=H","DateFormat=P","Fill=—","Direction=H","UseDPDF=Y")</f>
        <v>#NAME?</v>
      </c>
      <c r="H600" t="e">
        <f ca="1">_xll.BDH($C$578,"RETURN_ON_CAP","FQ2 2018","FQ2 2018","Currency=INR","Period=FQ","BEST_FPERIOD_OVERRIDE=FQ","FILING_STATUS=OR","EQY_CONSOLIDATED=Y","FA_ADJUSTED=GAAP","Sort=A","Dates=H","DateFormat=P","Fill=—","Direction=H","UseDPDF=Y")</f>
        <v>#NAME?</v>
      </c>
      <c r="I600" t="e">
        <f ca="1">_xll.BDH($C$578,"RETURN_ON_INV_CAPITAL","FQ2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00" t="e">
        <f ca="1">_xll.BDH($C$578,"EBITDA_TO_REVENUE","FQ2 2018","FQ2 2018","Currency=INR","Period=FQ","BEST_FPERIOD_OVERRIDE=FQ","FILING_STATUS=OR","EQY_CONSOLIDATED=Y","FA_ADJUSTED=GAAP","Sort=A","Dates=H","DateFormat=P","Fill=—","Direction=H","UseDPDF=Y")</f>
        <v>#NAME?</v>
      </c>
      <c r="K600" t="e">
        <f ca="1">_xll.BDH($C$578,"OPER_MARGIN","FQ2 2018","FQ2 2018","Currency=INR","Period=FQ","BEST_FPERIOD_OVERRIDE=FQ","FILING_STATUS=OR","EQY_CONSOLIDATED=Y","FA_ADJUSTED=GAAP","Sort=A","Dates=H","DateFormat=P","Fill=—","Direction=H","UseDPDF=Y")</f>
        <v>#NAME?</v>
      </c>
      <c r="L600" t="e">
        <f ca="1">_xll.BDH($C$578,"INCREMENTAL_OPERATING_MARGIN","FQ2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00" t="e">
        <f ca="1">_xll.BDH($C$578,"PRETAX_INC_TO_NET_SALES","FQ2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00" t="e">
        <f ca="1">_xll.BDH($C$578,"INC_BEF_XO_ITEMS_TO_NET_SALES","FQ2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00" t="e">
        <f ca="1">_xll.BDH($C$578,"PROF_MARGIN","FQ2 2018","FQ2 2018","Currency=INR","Period=FQ","BEST_FPERIOD_OVERRIDE=FQ","FILING_STATUS=OR","EQY_CONSOLIDATED=Y","FA_ADJUSTED=GAAP","Sort=A","Dates=H","DateFormat=P","Fill=—","Direction=H","UseDPDF=Y")</f>
        <v>#NAME?</v>
      </c>
      <c r="P600" t="e">
        <f ca="1">_xll.BDH($C$578,"NET_INCOME_TO_COMMON_MARGIN","FQ2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00" t="e">
        <f ca="1">_xll.BDH($C$578,"EFF_TAX_RATE","FQ2 2018","FQ2 2018","Currency=INR","Period=FQ","BEST_FPERIOD_OVERRIDE=FQ","FILING_STATUS=OR","EQY_CONSOLIDATED=Y","FA_ADJUSTED=GAAP","Sort=A","Dates=H","DateFormat=P","Fill=—","Direction=H","UseDPDF=Y")</f>
        <v>#NAME?</v>
      </c>
      <c r="R600" t="e">
        <f ca="1">_xll.BDH($C$578,"DVD_PAYOUT_RATIO","FQ2 2018","FQ2 2018","Currency=INR","Period=FQ","BEST_FPERIOD_OVERRIDE=FQ","FILING_STATUS=OR","EQY_CONSOLIDATED=Y","FA_ADJUSTED=GAAP","Sort=A","Dates=H","DateFormat=P","Fill=—","Direction=H","UseDPDF=Y")</f>
        <v>#NAME?</v>
      </c>
      <c r="S600" t="e">
        <f ca="1">_xll.BDH($C$578,"SUSTAIN_GROWTH_RT","FQ2 2018","FQ2 2018","Currency=INR","Period=FQ","BEST_FPERIOD_OVERRIDE=FQ","FILING_STATUS=OR","EQY_CONSOLIDATED=Y","FA_ADJUSTED=GAAP","Sort=A","Dates=H","DateFormat=P","Fill=—","Direction=H","UseDPDF=Y")</f>
        <v>#NAME?</v>
      </c>
      <c r="T600" s="2" t="e">
        <f ca="1">_xll.BDH($C$578,"SALES_GROWTH","FQ2 2018","FQ2 2018","Currency=INR","Period=FQ","BEST_FPERIOD_OVERRIDE=FQ","FILING_STATUS=OR","EQY_CONSOLIDATED=Y","FA_ADJUSTED=GAAP","Sort=A","Dates=H","DateFormat=P","Fill=—","Direction=H","UseDPDF=Y")</f>
        <v>#NAME?</v>
      </c>
      <c r="U600" s="2" t="e">
        <f ca="1">_xll.BDH($C$578,"EBITDA_GROWTH","FQ2 2018","FQ2 2018","Currency=INR","Period=FQ","BEST_FPERIOD_OVERRIDE=FQ","FILING_STATUS=OR","EQY_CONSOLIDATED=Y","FA_ADJUSTED=GAAP","Sort=A","Dates=H","DateFormat=P","Fill=—","Direction=H","UseDPDF=Y")</f>
        <v>#NAME?</v>
      </c>
      <c r="V600" s="2" t="e">
        <f ca="1">_xll.BDH($C$578,"OPER_INC_GROWTH","FQ2 2018","FQ2 2018","Currency=INR","Period=FQ","BEST_FPERIOD_OVERRIDE=FQ","FILING_STATUS=OR","EQY_CONSOLIDATED=Y","FA_ADJUSTED=GAAP","Sort=A","Dates=H","DateFormat=P","Fill=—","Direction=H","UseDPDF=Y")</f>
        <v>#NAME?</v>
      </c>
      <c r="W600" s="2" t="e">
        <f ca="1">_xll.BDH($C$578,"EARN_FOR_COM_GROWTH","FQ2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00" s="2" t="e">
        <f ca="1">_xll.BDH($C$578,"DILUTED_EPS_AFT_XO_ITEMS_GROWTH","FQ2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00" s="2" t="e">
        <f ca="1">_xll.BDH($C$578,"DIVIDEND_PER_SHARE_1_YEAR_GROWTH","FQ2 2018","FQ2 2018","Currency=INR","Period=FQ","BEST_FPERIOD_OVERRIDE=FQ","FILING_STATUS=OR","EQY_CONSOLIDATED=Y","Sort=A","Dates=H","DateFormat=P","Fill=—","Direction=H","UseDPDF=Y")</f>
        <v>#NAME?</v>
      </c>
      <c r="Z600" s="2" t="e">
        <f ca="1">_xll.BDH($C$578,"ACCOUNTS_RECEIVABLE_GROWTH","FQ2 2018","FQ2 2018","Currency=INR","Period=FQ","BEST_FPERIOD_OVERRIDE=FQ","FILING_STATUS=OR","EQY_CONSOLIDATED=Y","Sort=A","Dates=H","DateFormat=P","Fill=—","Direction=H","UseDPDF=Y")</f>
        <v>#NAME?</v>
      </c>
      <c r="AA600" s="2" t="e">
        <f ca="1">_xll.BDH($C$578,"INVENTORY_GROWTH","FQ2 2018","FQ2 2018","Currency=INR","Period=FQ","BEST_FPERIOD_OVERRIDE=FQ","FILING_STATUS=OR","EQY_CONSOLIDATED=Y","Sort=A","Dates=H","DateFormat=P","Fill=—","Direction=H","UseDPDF=Y")</f>
        <v>#NAME?</v>
      </c>
      <c r="AB600" s="2" t="e">
        <f ca="1">_xll.BDH($C$578,"NET_FIXED_ASSETS_1_YEAR_GROWTH","FQ2 2018","FQ2 2018","Currency=INR","Period=FQ","BEST_FPERIOD_OVERRIDE=FQ","FILING_STATUS=OR","EQY_CONSOLIDATED=Y","Sort=A","Dates=H","DateFormat=P","Fill=—","Direction=H","UseDPDF=Y")</f>
        <v>#NAME?</v>
      </c>
      <c r="AC600" s="2" t="e">
        <f ca="1">_xll.BDH($C$578,"ASSET_GROWTH","FQ2 2018","FQ2 2018","Currency=INR","Period=FQ","BEST_FPERIOD_OVERRIDE=FQ","FILING_STATUS=OR","EQY_CONSOLIDATED=Y","Sort=A","Dates=H","DateFormat=P","Fill=—","Direction=H","UseDPDF=Y")</f>
        <v>#NAME?</v>
      </c>
      <c r="AD600" s="2" t="e">
        <f ca="1">_xll.BDH($C$578,"MODIFIED_WORK_CAP_GROWTH","FQ2 2018","FQ2 2018","Currency=INR","Period=FQ","BEST_FPERIOD_OVERRIDE=FQ","FILING_STATUS=OR","EQY_CONSOLIDATED=Y","Sort=A","Dates=H","DateFormat=P","Fill=—","Direction=H","UseDPDF=Y")</f>
        <v>#NAME?</v>
      </c>
      <c r="AE600" s="2" t="e">
        <f ca="1">_xll.BDH($C$578,"WORK_CAP_GROWTH","FQ2 2018","FQ2 2018","Currency=INR","Period=FQ","BEST_FPERIOD_OVERRIDE=FQ","FILING_STATUS=OR","EQY_CONSOLIDATED=Y","Sort=A","Dates=H","DateFormat=P","Fill=—","Direction=H","UseDPDF=Y")</f>
        <v>#NAME?</v>
      </c>
      <c r="AF600" s="2" t="e">
        <f ca="1">_xll.BDH($C$578,"ACCOUNTS_PAYABLE_GROWTH_1YR","FQ2 2018","FQ2 2018","Currency=INR","Period=FQ","BEST_FPERIOD_OVERRIDE=FQ","FILING_STATUS=OR","EQY_CONSOLIDATED=Y","Sort=A","Dates=H","DateFormat=P","Fill=—","Direction=H","UseDPDF=Y")</f>
        <v>#NAME?</v>
      </c>
      <c r="AG600" s="2" t="e">
        <f ca="1">_xll.BDH($C$578,"SHORT_TERM_DEBT_1_YEAR_GROWTH","FQ2 2018","FQ2 2018","Currency=INR","Period=FQ","BEST_FPERIOD_OVERRIDE=FQ","FILING_STATUS=OR","EQY_CONSOLIDATED=Y","Sort=A","Dates=H","DateFormat=P","Fill=—","Direction=H","UseDPDF=Y")</f>
        <v>#NAME?</v>
      </c>
      <c r="AH600" s="2" t="e">
        <f ca="1">_xll.BDH($C$578,"TOTAL_DEBT_1_YEAR_GROWTH","FQ2 2018","FQ2 2018","Currency=INR","Period=FQ","BEST_FPERIOD_OVERRIDE=FQ","FILING_STATUS=OR","EQY_CONSOLIDATED=Y","Sort=A","Dates=H","DateFormat=P","Fill=—","Direction=H","UseDPDF=Y")</f>
        <v>#NAME?</v>
      </c>
      <c r="AI600" s="2" t="e">
        <f ca="1">_xll.BDH($C$578,"TOTAL_EQUITY_1_YEAR_GROWTH","FQ2 2018","FQ2 2018","Currency=INR","Period=FQ","BEST_FPERIOD_OVERRIDE=FQ","FILING_STATUS=OR","EQY_CONSOLIDATED=Y","Sort=A","Dates=H","DateFormat=P","Fill=—","Direction=H","UseDPDF=Y")</f>
        <v>#NAME?</v>
      </c>
      <c r="AJ600" s="2" t="e">
        <f ca="1">_xll.BDH($C$578,"GROWTH_IN_CAP","FQ2 2018","FQ2 2018","Currency=INR","Period=FQ","BEST_FPERIOD_OVERRIDE=FQ","FILING_STATUS=OR","EQY_CONSOLIDATED=Y","Sort=A","Dates=H","DateFormat=P","Fill=—","Direction=H","UseDPDF=Y")</f>
        <v>#NAME?</v>
      </c>
      <c r="AK600" s="2" t="e">
        <f ca="1">_xll.BDH($C$578,"BVPS_GROWTH","FQ2 2018","FQ2 2018","Currency=INR","Period=FQ","BEST_FPERIOD_OVERRIDE=FQ","FILING_STATUS=OR","EQY_CONSOLIDATED=Y","Sort=A","Dates=H","DateFormat=P","Fill=—","Direction=H","UseDPDF=Y")</f>
        <v>#NAME?</v>
      </c>
      <c r="AL600" s="2" t="e">
        <f ca="1">_xll.BDH($C$578,"CASH_FLOW_GROWTH","FQ2 2018","FQ2 2018","Currency=INR","Period=FQ","BEST_FPERIOD_OVERRIDE=FQ","FILING_STATUS=OR","EQY_CONSOLIDATED=Y","Sort=A","Dates=H","DateFormat=P","Fill=—","Direction=H","UseDPDF=Y")</f>
        <v>#NAME?</v>
      </c>
      <c r="AM600" s="2" t="e">
        <f ca="1">_xll.BDH($C$578,"GEO_GROW_NET_SALES","FQ2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00" s="2" t="e">
        <f ca="1">_xll.BDH($C$578,"GEO_GROW_EBITDA","FQ2 2018","FQ2 2018","Currency=INR","Period=FQ","BEST_FPERIOD_OVERRIDE=FQ","FILING_STATUS=OR","EQY_CONSOLIDATED=Y","FA_ADJUSTED=GAAP","Sort=A","Dates=H","DateFormat=P","Fill=—","Direction=H","UseDPDF=Y")</f>
        <v>#NAME?</v>
      </c>
      <c r="AO600" s="2" t="e">
        <f ca="1">_xll.BDH($C$578,"GEO_GROW_OPER_INC","FQ2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00" s="2" t="e">
        <f ca="1">_xll.BDH($C$578,"NET_INCOME_TO_COMMON_5_YR_GROWTH","FQ2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00" s="2" t="e">
        <f ca="1">_xll.BDH($C$578,"5Y_GEO_GROWTH_DILUTED_EPS","FQ2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00" s="2" t="e">
        <f ca="1">_xll.BDH($C$578,"GEO_GROW_DVD_PER_SH","FQ2 2018","FQ2 2018","Currency=INR","Period=FQ","BEST_FPERIOD_OVERRIDE=FQ","FILING_STATUS=OR","EQY_CONSOLIDATED=Y","Sort=A","Dates=H","DateFormat=P","Fill=—","Direction=H","UseDPDF=Y")</f>
        <v>#NAME?</v>
      </c>
      <c r="AS600" s="2" t="e">
        <f ca="1">_xll.BDH($C$578,"ACCOUNTS_RECEIVABLE_5_YR_GROWTH","FQ2 2018","FQ2 2018","Currency=INR","Period=FQ","BEST_FPERIOD_OVERRIDE=FQ","FILING_STATUS=OR","EQY_CONSOLIDATED=Y","Sort=A","Dates=H","DateFormat=P","Fill=—","Direction=H","UseDPDF=Y")</f>
        <v>#NAME?</v>
      </c>
      <c r="AT600" s="2" t="e">
        <f ca="1">_xll.BDH($C$578,"INVENTORY_5_YEAR_GROWTH","FQ2 2018","FQ2 2018","Currency=INR","Period=FQ","BEST_FPERIOD_OVERRIDE=FQ","FILING_STATUS=OR","EQY_CONSOLIDATED=Y","Sort=A","Dates=H","DateFormat=P","Fill=—","Direction=H","UseDPDF=Y")</f>
        <v>#NAME?</v>
      </c>
      <c r="AU600" s="2" t="e">
        <f ca="1">_xll.BDH($C$578,"NET_FIXED_ASSETS_5_YEAR_GROWTH","FQ2 2018","FQ2 2018","Currency=INR","Period=FQ","BEST_FPERIOD_OVERRIDE=FQ","FILING_STATUS=OR","EQY_CONSOLIDATED=Y","Sort=A","Dates=H","DateFormat=P","Fill=—","Direction=H","UseDPDF=Y")</f>
        <v>#NAME?</v>
      </c>
      <c r="AV600" s="2" t="e">
        <f ca="1">_xll.BDH($C$578,"GEO_GROW_TOT_ASSET","FQ2 2018","FQ2 2018","Currency=INR","Period=FQ","BEST_FPERIOD_OVERRIDE=FQ","FILING_STATUS=OR","EQY_CONSOLIDATED=Y","Sort=A","Dates=H","DateFormat=P","Fill=—","Direction=H","UseDPDF=Y")</f>
        <v>#NAME?</v>
      </c>
      <c r="AW600" s="2" t="e">
        <f ca="1">_xll.BDH($C$578,"MODIFIED_WORKING_CPTL_5YR_GRWTH","FQ2 2018","FQ2 2018","Currency=INR","Period=FQ","BEST_FPERIOD_OVERRIDE=FQ","FILING_STATUS=OR","EQY_CONSOLIDATED=Y","Sort=A","Dates=H","DateFormat=P","Fill=—","Direction=H","UseDPDF=Y")</f>
        <v>#NAME?</v>
      </c>
      <c r="AX600" s="2" t="e">
        <f ca="1">_xll.BDH($C$578,"WORKING_CAPITAL_5_YEAR_GROWTH","FQ2 2018","FQ2 2018","Currency=INR","Period=FQ","BEST_FPERIOD_OVERRIDE=FQ","FILING_STATUS=OR","EQY_CONSOLIDATED=Y","Sort=A","Dates=H","DateFormat=P","Fill=—","Direction=H","UseDPDF=Y")</f>
        <v>#NAME?</v>
      </c>
      <c r="AY600" s="2" t="e">
        <f ca="1">_xll.BDH($C$578,"ACCOUNTS_PAYABLE_5_YEAR_GROWTH","FQ2 2018","FQ2 2018","Currency=INR","Period=FQ","BEST_FPERIOD_OVERRIDE=FQ","FILING_STATUS=OR","EQY_CONSOLIDATED=Y","Sort=A","Dates=H","DateFormat=P","Fill=—","Direction=H","UseDPDF=Y")</f>
        <v>#NAME?</v>
      </c>
      <c r="AZ600" s="2" t="e">
        <f ca="1">_xll.BDH($C$578,"SHORT_TERM_DEBT_5_YEAR_GROWTH","FQ2 2018","FQ2 2018","Currency=INR","Period=FQ","BEST_FPERIOD_OVERRIDE=FQ","FILING_STATUS=OR","EQY_CONSOLIDATED=Y","Sort=A","Dates=H","DateFormat=P","Fill=—","Direction=H","UseDPDF=Y")</f>
        <v>#NAME?</v>
      </c>
      <c r="BA600" s="2" t="e">
        <f ca="1">_xll.BDH($C$578,"TOTAL_DEBT_5_YEAR_GROWTH","FQ2 2018","FQ2 2018","Currency=INR","Period=FQ","BEST_FPERIOD_OVERRIDE=FQ","FILING_STATUS=OR","EQY_CONSOLIDATED=Y","Sort=A","Dates=H","DateFormat=P","Fill=—","Direction=H","UseDPDF=Y")</f>
        <v>#NAME?</v>
      </c>
      <c r="BB600" s="2" t="e">
        <f ca="1">_xll.BDH($C$578,"GEO_GROW_TOT_SHRHLDR_EQY","FQ2 2018","FQ2 2018","Currency=INR","Period=FQ","BEST_FPERIOD_OVERRIDE=FQ","FILING_STATUS=OR","EQY_CONSOLIDATED=Y","Sort=A","Dates=H","DateFormat=P","Fill=—","Direction=H","UseDPDF=Y")</f>
        <v>#NAME?</v>
      </c>
      <c r="BC600" s="2" t="e">
        <f ca="1">_xll.BDH($C$578,"TOTAL_CAPITAL_5_YEAR_GROWTH","FQ2 2018","FQ2 2018","Currency=INR","Period=FQ","BEST_FPERIOD_OVERRIDE=FQ","FILING_STATUS=OR","EQY_CONSOLIDATED=Y","Sort=A","Dates=H","DateFormat=P","Fill=—","Direction=H","UseDPDF=Y")</f>
        <v>#NAME?</v>
      </c>
      <c r="BD600" s="2" t="e">
        <f ca="1">_xll.BDH($C$578,"GEO_GROW_BOOK_VAL","FQ2 2018","FQ2 2018","Currency=INR","Period=FQ","BEST_FPERIOD_OVERRIDE=FQ","FILING_STATUS=OR","EQY_CONSOLIDATED=Y","Sort=A","Dates=H","DateFormat=P","Fill=—","Direction=H","UseDPDF=Y")</f>
        <v>#NAME?</v>
      </c>
      <c r="BE600" s="2" t="e">
        <f ca="1">_xll.BDH($C$578,"GEO_GROW_CASH_OPER_ACT","FQ2 2018","FQ2 2018","Currency=INR","Period=FQ","BEST_FPERIOD_OVERRIDE=FQ","FILING_STATUS=OR","EQY_CONSOLIDATED=Y","Sort=A","Dates=H","DateFormat=P","Fill=—","Direction=H","UseDPDF=Y")</f>
        <v>#NAME?</v>
      </c>
      <c r="BF600" s="2" t="e">
        <f ca="1">_xll.BDH($C$578,"REVENUE_SEQUENTIAL_GROWTH","FQ2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00" s="2" t="e">
        <f ca="1">_xll.BDH($C$578,"EBITDA_SEQUENTIAL_GROWTH","FQ2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00" s="2" t="e">
        <f ca="1">_xll.BDH($C$578,"OPERATING_INCOME_SEQ_GROWTH","FQ2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00" s="2" t="e">
        <f ca="1">_xll.BDH($C$578,"NET_INCOME_TO_COMMON_SEQ_GROWTH","FQ2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00" s="2" t="e">
        <f ca="1">_xll.BDH($C$578,"EPS_DILUTED_SEQUENTIAL_GROWTH","FQ2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00" s="2" t="e">
        <f ca="1">_xll.BDH($C$578,"DPS_SEQUENTIAL_GROWTH","FQ2 2018","FQ2 2018","Currency=INR","Period=FQ","BEST_FPERIOD_OVERRIDE=FQ","FILING_STATUS=OR","EQY_CONSOLIDATED=Y","Sort=A","Dates=H","DateFormat=P","Fill=—","Direction=H","UseDPDF=Y")</f>
        <v>#NAME?</v>
      </c>
      <c r="BL600" s="2" t="e">
        <f ca="1">_xll.BDH($C$578,"ACCOUNTS_RECEIVABLE_SEQ_GROWTH","FQ2 2018","FQ2 2018","Currency=INR","Period=FQ","BEST_FPERIOD_OVERRIDE=FQ","FILING_STATUS=OR","EQY_CONSOLIDATED=Y","Sort=A","Dates=H","DateFormat=P","Fill=—","Direction=H","UseDPDF=Y")</f>
        <v>#NAME?</v>
      </c>
      <c r="BM600" s="2" t="e">
        <f ca="1">_xll.BDH($C$578,"INVENTORY_SEQUENTIAL_GROWTH","FQ2 2018","FQ2 2018","Currency=INR","Period=FQ","BEST_FPERIOD_OVERRIDE=FQ","FILING_STATUS=OR","EQY_CONSOLIDATED=Y","Sort=A","Dates=H","DateFormat=P","Fill=—","Direction=H","UseDPDF=Y")</f>
        <v>#NAME?</v>
      </c>
      <c r="BN600" s="2" t="e">
        <f ca="1">_xll.BDH($C$578,"FIXED_ASSETS_SEQUENTIAL_GROWTH","FQ2 2018","FQ2 2018","Currency=INR","Period=FQ","BEST_FPERIOD_OVERRIDE=FQ","FILING_STATUS=OR","EQY_CONSOLIDATED=Y","Sort=A","Dates=H","DateFormat=P","Fill=—","Direction=H","UseDPDF=Y")</f>
        <v>#NAME?</v>
      </c>
      <c r="BO600" s="2" t="e">
        <f ca="1">_xll.BDH($C$578,"TOTAL_ASSETS_SEQUENTIAL_GROWTH","FQ2 2018","FQ2 2018","Currency=INR","Period=FQ","BEST_FPERIOD_OVERRIDE=FQ","FILING_STATUS=OR","EQY_CONSOLIDATED=Y","Sort=A","Dates=H","DateFormat=P","Fill=—","Direction=H","UseDPDF=Y")</f>
        <v>#NAME?</v>
      </c>
      <c r="BP600" s="2" t="e">
        <f ca="1">_xll.BDH($C$578,"MODIFIED_WORKING_CPTL_SEQ_GRWTH","FQ2 2018","FQ2 2018","Currency=INR","Period=FQ","BEST_FPERIOD_OVERRIDE=FQ","FILING_STATUS=OR","EQY_CONSOLIDATED=Y","Sort=A","Dates=H","DateFormat=P","Fill=—","Direction=H","UseDPDF=Y")</f>
        <v>#NAME?</v>
      </c>
      <c r="BQ600" s="2" t="e">
        <f ca="1">_xll.BDH($C$578,"WORKING_CAPITAL_SEQ_GROWTH","FQ2 2018","FQ2 2018","Currency=INR","Period=FQ","BEST_FPERIOD_OVERRIDE=FQ","FILING_STATUS=OR","EQY_CONSOLIDATED=Y","Sort=A","Dates=H","DateFormat=P","Fill=—","Direction=H","UseDPDF=Y")</f>
        <v>#NAME?</v>
      </c>
      <c r="BR600" s="2" t="e">
        <f ca="1">_xll.BDH($C$578,"ACCOUNTS_PAYABLE_SEQ_GROWTH","FQ2 2018","FQ2 2018","Currency=INR","Period=FQ","BEST_FPERIOD_OVERRIDE=FQ","FILING_STATUS=OR","EQY_CONSOLIDATED=Y","Sort=A","Dates=H","DateFormat=P","Fill=—","Direction=H","UseDPDF=Y")</f>
        <v>#NAME?</v>
      </c>
      <c r="BS600" s="2" t="e">
        <f ca="1">_xll.BDH($C$578,"ST_DEBT_SEQUENTIAL_GROWTH","FQ2 2018","FQ2 2018","Currency=INR","Period=FQ","BEST_FPERIOD_OVERRIDE=FQ","FILING_STATUS=OR","EQY_CONSOLIDATED=Y","Sort=A","Dates=H","DateFormat=P","Fill=—","Direction=H","UseDPDF=Y")</f>
        <v>#NAME?</v>
      </c>
      <c r="BT600" s="2" t="e">
        <f ca="1">_xll.BDH($C$578,"TOTAL_DEBT_SEQUENTIAL_GROWTH","FQ2 2018","FQ2 2018","Currency=INR","Period=FQ","BEST_FPERIOD_OVERRIDE=FQ","FILING_STATUS=OR","EQY_CONSOLIDATED=Y","Sort=A","Dates=H","DateFormat=P","Fill=—","Direction=H","UseDPDF=Y")</f>
        <v>#NAME?</v>
      </c>
      <c r="BU600" s="2" t="e">
        <f ca="1">_xll.BDH($C$578,"TOTAL_EQUITY_SEQUENTIAL_GROWTH","FQ2 2018","FQ2 2018","Currency=INR","Period=FQ","BEST_FPERIOD_OVERRIDE=FQ","FILING_STATUS=OR","EQY_CONSOLIDATED=Y","Sort=A","Dates=H","DateFormat=P","Fill=—","Direction=H","UseDPDF=Y")</f>
        <v>#NAME?</v>
      </c>
      <c r="BV600" s="2" t="e">
        <f ca="1">_xll.BDH($C$578,"TOTAL_CAPITAL_SEQUENTIAL_GROWTH","FQ2 2018","FQ2 2018","Currency=INR","Period=FQ","BEST_FPERIOD_OVERRIDE=FQ","FILING_STATUS=OR","EQY_CONSOLIDATED=Y","Sort=A","Dates=H","DateFormat=P","Fill=—","Direction=H","UseDPDF=Y")</f>
        <v>#NAME?</v>
      </c>
      <c r="BW600" s="2" t="e">
        <f ca="1">_xll.BDH($C$578,"BPS_SEQUENTIAL_GROWTH","FQ2 2018","FQ2 2018","Currency=INR","Period=FQ","BEST_FPERIOD_OVERRIDE=FQ","FILING_STATUS=OR","EQY_CONSOLIDATED=Y","Sort=A","Dates=H","DateFormat=P","Fill=—","Direction=H","UseDPDF=Y")</f>
        <v>#NAME?</v>
      </c>
      <c r="BX600" s="2" t="e">
        <f ca="1">_xll.BDH($C$578,"CFO_SEQUENTIAL_GROWTH","FQ2 2018","FQ2 2018","Currency=INR","Period=FQ","BEST_FPERIOD_OVERRIDE=FQ","FILING_STATUS=OR","EQY_CONSOLIDATED=Y","Sort=A","Dates=H","DateFormat=P","Fill=—","Direction=H","UseDPDF=Y")</f>
        <v>#NAME?</v>
      </c>
      <c r="BY600" s="3" t="e">
        <f ca="1">_xll.BDH($C$578,"SHORT_AND_LONG_TERM_DEBT","FQ2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00" s="3" t="e">
        <f ca="1">_xll.BDH($C$578,"BS_ST_BORROW","FQ2 2018","FQ2 2018","Currency=INR","Period=FQ","BEST_FPERIOD_OVERRIDE=FQ","FILING_STATUS=OR","EQY_CONSOLIDATED=Y","SCALING_FORMAT=MLN","Sort=A","Dates=H","DateFormat=P","Fill=—","Direction=H","UseDPDF=Y")</f>
        <v>#NAME?</v>
      </c>
      <c r="CA600" s="3" t="e">
        <f ca="1">_xll.BDH($C$578,"BS_LT_BORROW","FQ2 2018","FQ2 2018","Currency=INR","Period=FQ","BEST_FPERIOD_OVERRIDE=FQ","FILING_STATUS=OR","EQY_CONSOLIDATED=Y","SCALING_FORMAT=MLN","Sort=A","Dates=H","DateFormat=P","Fill=—","Direction=H","UseDPDF=Y")</f>
        <v>#NAME?</v>
      </c>
      <c r="CB600" s="2" t="e">
        <f ca="1">_xll.BDH($C$578,"TOT_DEBT_TO_EBITDA","FQ2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00" s="2" t="e">
        <f ca="1">_xll.BDH($C$578,"NET_DEBT_TO_EBITDA","FQ2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00" s="2" t="e">
        <f ca="1">_xll.BDH($C$578,"TOTAL_DEBT_TO_EBIT","FQ2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00" s="2" t="e">
        <f ca="1">_xll.BDH($C$578,"NET_DEBT_TO_EBIT","FQ2 2018","FQ2 2018","Currency=INR","Period=FQ","BEST_FPERIOD_OVERRIDE=FQ","FILING_STATUS=OR","EQY_CONSOLIDATED=Y","FA_ADJUSTED=GAAP","Sort=A","Dates=H","DateFormat=P","Fill=—","Direction=H","UseDPDF=Y")</f>
        <v>#NAME?</v>
      </c>
      <c r="CF600" s="2" t="e">
        <f ca="1">_xll.BDH($C$578,"EBITDA_TO_INTEREST_EXPN","FQ2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00" s="2" t="e">
        <f ca="1">_xll.BDH($C$578,"COM_EQY_TO_TOT_ASSET","FQ2 2018","FQ2 2018","Currency=INR","Period=FQ","BEST_FPERIOD_OVERRIDE=FQ","FILING_STATUS=OR","EQY_CONSOLIDATED=Y","Sort=A","Dates=H","DateFormat=P","Fill=—","Direction=H","UseDPDF=Y")</f>
        <v>#NAME?</v>
      </c>
      <c r="CH600" s="2" t="e">
        <f ca="1">_xll.BDH($C$578,"LT_DEBT_TO_TOT_EQY","FQ2 2018","FQ2 2018","Currency=INR","Period=FQ","BEST_FPERIOD_OVERRIDE=FQ","FILING_STATUS=OR","EQY_CONSOLIDATED=Y","Sort=A","Dates=H","DateFormat=P","Fill=—","Direction=H","UseDPDF=Y")</f>
        <v>#NAME?</v>
      </c>
      <c r="CI600" s="2" t="e">
        <f ca="1">_xll.BDH($C$578,"LT_DEBT_TO_TOT_CAP","FQ2 2018","FQ2 2018","Currency=INR","Period=FQ","BEST_FPERIOD_OVERRIDE=FQ","FILING_STATUS=OR","EQY_CONSOLIDATED=Y","Sort=A","Dates=H","DateFormat=P","Fill=—","Direction=H","UseDPDF=Y")</f>
        <v>#NAME?</v>
      </c>
      <c r="CJ600" s="2" t="e">
        <f ca="1">_xll.BDH($C$578,"LT_DEBT_TO_TOT_ASSET","FQ2 2018","FQ2 2018","Currency=INR","Period=FQ","BEST_FPERIOD_OVERRIDE=FQ","FILING_STATUS=OR","EQY_CONSOLIDATED=Y","Sort=A","Dates=H","DateFormat=P","Fill=—","Direction=H","UseDPDF=Y")</f>
        <v>#NAME?</v>
      </c>
      <c r="CK600" s="2" t="e">
        <f ca="1">_xll.BDH($C$578,"TOT_DEBT_TO_TOT_EQY","FQ2 2018","FQ2 2018","Currency=INR","Period=FQ","BEST_FPERIOD_OVERRIDE=FQ","FILING_STATUS=OR","EQY_CONSOLIDATED=Y","Sort=A","Dates=H","DateFormat=P","Fill=—","Direction=H","UseDPDF=Y")</f>
        <v>#NAME?</v>
      </c>
      <c r="CL600" s="2" t="e">
        <f ca="1">_xll.BDH($C$578,"TOT_DEBT_TO_TOT_CAP","FQ2 2018","FQ2 2018","Currency=INR","Period=FQ","BEST_FPERIOD_OVERRIDE=FQ","FILING_STATUS=OR","EQY_CONSOLIDATED=Y","Sort=A","Dates=H","DateFormat=P","Fill=—","Direction=H","UseDPDF=Y")</f>
        <v>#NAME?</v>
      </c>
      <c r="CM600" s="2" t="e">
        <f ca="1">_xll.BDH($C$578,"TOT_DEBT_TO_TOT_ASSET","FQ2 2018","FQ2 2018","Currency=INR","Period=FQ","BEST_FPERIOD_OVERRIDE=FQ","FILING_STATUS=OR","EQY_CONSOLIDATED=Y","Sort=A","Dates=H","DateFormat=P","Fill=—","Direction=H","UseDPDF=Y")</f>
        <v>#NAME?</v>
      </c>
      <c r="CN600" s="2" t="e">
        <f ca="1">_xll.BDH($C$578,"NET_DEBT_TO_SHRHLDR_EQTY","FQ2 2018","FQ2 2018","Currency=INR","Period=FQ","BEST_FPERIOD_OVERRIDE=FQ","FILING_STATUS=OR","EQY_CONSOLIDATED=Y","Sort=A","Dates=H","DateFormat=P","Fill=—","Direction=H","UseDPDF=Y")</f>
        <v>#NAME?</v>
      </c>
      <c r="CO600" s="2" t="e">
        <f ca="1">_xll.BDH($C$578,"NET_DEBT_%_CAPITAL","FQ2 2018","FQ2 2018","Currency=INR","Period=FQ","BEST_FPERIOD_OVERRIDE=FQ","FILING_STATUS=OR","EQY_CONSOLIDATED=Y","Sort=A","Dates=H","DateFormat=P","Fill=—","Direction=H","UseDPDF=Y")</f>
        <v>#NAME?</v>
      </c>
      <c r="CP600" s="3" t="e">
        <f ca="1">_xll.BDH($C$578,"EBITDA","FQ2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00" s="3" t="e">
        <f ca="1">_xll.BDH($C$578,"EBITDA_AFTER_CAPEX","FQ2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00" s="3" t="e">
        <f ca="1">_xll.BDH($C$578,"IS_OPER_INC","FQ2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00" s="2" t="e">
        <f ca="1">_xll.BDH($C$578,"CASH_RATIO","FQ2 2018","FQ2 2018","Currency=INR","Period=FQ","BEST_FPERIOD_OVERRIDE=FQ","FILING_STATUS=OR","EQY_CONSOLIDATED=Y","Sort=A","Dates=H","DateFormat=P","Fill=—","Direction=H","UseDPDF=Y")</f>
        <v>#NAME?</v>
      </c>
      <c r="CT600" s="2" t="e">
        <f ca="1">_xll.BDH($C$578,"CUR_RATIO","FQ2 2018","FQ2 2018","Currency=INR","Period=FQ","BEST_FPERIOD_OVERRIDE=FQ","FILING_STATUS=OR","EQY_CONSOLIDATED=Y","Sort=A","Dates=H","DateFormat=P","Fill=—","Direction=H","UseDPDF=Y")</f>
        <v>#NAME?</v>
      </c>
      <c r="CU600" s="2" t="e">
        <f ca="1">_xll.BDH($C$578,"QUICK_RATIO","FQ2 2018","FQ2 2018","Currency=INR","Period=FQ","BEST_FPERIOD_OVERRIDE=FQ","FILING_STATUS=OR","EQY_CONSOLIDATED=Y","Sort=A","Dates=H","DateFormat=P","Fill=—","Direction=H","UseDPDF=Y")</f>
        <v>#NAME?</v>
      </c>
      <c r="CV600" s="2" t="e">
        <f ca="1">_xll.BDH($C$578,"ALTMAN_Z_SCORE","FQ2 2018","FQ2 2018","Currency=INR","Period=FQ","BEST_FPERIOD_OVERRIDE=FQ","FILING_STATUS=OR","EQY_CONSOLIDATED=Y","Sort=A","Dates=H","DateFormat=P","Fill=—","Direction=H","UseDPDF=Y")</f>
        <v>#NAME?</v>
      </c>
      <c r="CW600" s="4" t="e">
        <f ca="1">_xll.BDH($C$578,"ACCT_RCV_TURN","FQ2 2018","FQ2 2018","Currency=INR","Period=FQ","BEST_FPERIOD_OVERRIDE=FQ","FILING_STATUS=OR","EQY_CONSOLIDATED=Y","FA_ADJUSTED=GAAP","Sort=A","Dates=H","DateFormat=P","Fill=—","Direction=H","UseDPDF=Y")</f>
        <v>#NAME?</v>
      </c>
      <c r="CX600" s="2" t="e">
        <f ca="1">_xll.BDH($C$578,"ACCT_RCV_DAYS","FQ2 2018","FQ2 2018","Currency=INR","Period=FQ","BEST_FPERIOD_OVERRIDE=FQ","FILING_STATUS=OR","EQY_CONSOLIDATED=Y","FA_ADJUSTED=GAAP","Sort=A","Dates=H","DateFormat=P","Fill=—","Direction=H","UseDPDF=Y")</f>
        <v>#NAME?</v>
      </c>
      <c r="CY600" s="4" t="e">
        <f ca="1">_xll.BDH($C$578,"INVENT_TURN","FQ2 2018","FQ2 2018","Currency=INR","Period=FQ","BEST_FPERIOD_OVERRIDE=FQ","FILING_STATUS=OR","EQY_CONSOLIDATED=Y","FA_ADJUSTED=GAAP","Sort=A","Dates=H","DateFormat=P","Fill=—","Direction=H","UseDPDF=Y")</f>
        <v>#NAME?</v>
      </c>
      <c r="CZ600" s="2" t="e">
        <f ca="1">_xll.BDH($C$578,"INVENT_DAYS","FQ2 2018","FQ2 2018","Currency=INR","Period=FQ","BEST_FPERIOD_OVERRIDE=FQ","FILING_STATUS=OR","EQY_CONSOLIDATED=Y","FA_ADJUSTED=GAAP","Sort=A","Dates=H","DateFormat=P","Fill=—","Direction=H","UseDPDF=Y")</f>
        <v>#NAME?</v>
      </c>
      <c r="DA600" s="4" t="e">
        <f ca="1">_xll.BDH($C$578,"ACCOUNTS_PAYABLE_TURNOVER","FQ2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00" s="2" t="e">
        <f ca="1">_xll.BDH($C$578,"ACCOUNTS_PAYABLE_TURNOVER_DAYS","FQ2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00" s="4" t="e">
        <f ca="1">_xll.BDH($C$578,"CASH_CONVERSION_CYCLE","FQ2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00" s="4" t="e">
        <f ca="1">_xll.BDH($C$578,"INV_TO_CASH_DAYS","FQ2 2018","FQ2 2018","Currency=INR","Period=FQ","BEST_FPERIOD_OVERRIDE=FQ","FILING_STATUS=OR","EQY_CONSOLIDATED=Y","FA_ADJUSTED=GAAP","Sort=A","Dates=H","DateFormat=P","Fill=—","Direction=H","UseDPDF=Y")</f>
        <v>#NAME?</v>
      </c>
      <c r="DE600" s="5" t="e">
        <f ca="1">_xll.BDH($C$578,"BS_INVENTORIES","FQ2 2018","FQ2 2018","Currency=INR","Period=FQ","BEST_FPERIOD_OVERRIDE=FQ","FILING_STATUS=OR","EQY_CONSOLIDATED=Y","SCALING_FORMAT=MLN","Sort=A","Dates=H","DateFormat=P","Fill=—","Direction=H","UseDPDF=Y")</f>
        <v>#NAME?</v>
      </c>
      <c r="DF600" s="3" t="e">
        <f ca="1">_xll.BDH($C$578,"INVTRY_RAW_MATERIALS","FQ2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00" s="3" t="e">
        <f ca="1">_xll.BDH($C$578,"INVTRY_IN_PROGRESS","FQ2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00" s="3" t="e">
        <f ca="1">_xll.BDH($C$578,"INVTRY_FINISHED_GOODS","FQ2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00" s="3" t="e">
        <f ca="1">_xll.BDH($C$578,"BS_OTHER_INV","FQ2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01" spans="1:113" x14ac:dyDescent="0.3">
      <c r="A601" s="6"/>
      <c r="B601" s="6"/>
      <c r="C601" s="6"/>
      <c r="D601" s="6"/>
      <c r="E601" t="s">
        <v>80</v>
      </c>
      <c r="F601" t="e">
        <f ca="1">_xll.BDH($C$578,"RETURN_COM_EQY","FQ3 2018","FQ3 2018","Currency=INR","Period=FQ","BEST_FPERIOD_OVERRIDE=FQ","FILING_STATUS=OR","EQY_CONSOLIDATED=Y","FA_ADJUSTED=GAAP","Sort=A","Dates=H","DateFormat=P","Fill=—","Direction=H","UseDPDF=Y")</f>
        <v>#NAME?</v>
      </c>
      <c r="G601" t="e">
        <f ca="1">_xll.BDH($C$578,"RETURN_ON_ASSET","FQ3 2018","FQ3 2018","Currency=INR","Period=FQ","BEST_FPERIOD_OVERRIDE=FQ","FILING_STATUS=OR","EQY_CONSOLIDATED=Y","FA_ADJUSTED=GAAP","Sort=A","Dates=H","DateFormat=P","Fill=—","Direction=H","UseDPDF=Y")</f>
        <v>#NAME?</v>
      </c>
      <c r="H601" t="e">
        <f ca="1">_xll.BDH($C$578,"RETURN_ON_CAP","FQ3 2018","FQ3 2018","Currency=INR","Period=FQ","BEST_FPERIOD_OVERRIDE=FQ","FILING_STATUS=OR","EQY_CONSOLIDATED=Y","FA_ADJUSTED=GAAP","Sort=A","Dates=H","DateFormat=P","Fill=—","Direction=H","UseDPDF=Y")</f>
        <v>#NAME?</v>
      </c>
      <c r="I601" t="e">
        <f ca="1">_xll.BDH($C$578,"RETURN_ON_INV_CAPITAL","FQ3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01" t="e">
        <f ca="1">_xll.BDH($C$578,"EBITDA_TO_REVENUE","FQ3 2018","FQ3 2018","Currency=INR","Period=FQ","BEST_FPERIOD_OVERRIDE=FQ","FILING_STATUS=OR","EQY_CONSOLIDATED=Y","FA_ADJUSTED=GAAP","Sort=A","Dates=H","DateFormat=P","Fill=—","Direction=H","UseDPDF=Y")</f>
        <v>#NAME?</v>
      </c>
      <c r="K601" t="e">
        <f ca="1">_xll.BDH($C$578,"OPER_MARGIN","FQ3 2018","FQ3 2018","Currency=INR","Period=FQ","BEST_FPERIOD_OVERRIDE=FQ","FILING_STATUS=OR","EQY_CONSOLIDATED=Y","FA_ADJUSTED=GAAP","Sort=A","Dates=H","DateFormat=P","Fill=—","Direction=H","UseDPDF=Y")</f>
        <v>#NAME?</v>
      </c>
      <c r="L601" t="e">
        <f ca="1">_xll.BDH($C$578,"INCREMENTAL_OPERATING_MARGIN","FQ3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01" t="e">
        <f ca="1">_xll.BDH($C$578,"PRETAX_INC_TO_NET_SALES","FQ3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01" t="e">
        <f ca="1">_xll.BDH($C$578,"INC_BEF_XO_ITEMS_TO_NET_SALES","FQ3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01" t="e">
        <f ca="1">_xll.BDH($C$578,"PROF_MARGIN","FQ3 2018","FQ3 2018","Currency=INR","Period=FQ","BEST_FPERIOD_OVERRIDE=FQ","FILING_STATUS=OR","EQY_CONSOLIDATED=Y","FA_ADJUSTED=GAAP","Sort=A","Dates=H","DateFormat=P","Fill=—","Direction=H","UseDPDF=Y")</f>
        <v>#NAME?</v>
      </c>
      <c r="P601" t="e">
        <f ca="1">_xll.BDH($C$578,"NET_INCOME_TO_COMMON_MARGIN","FQ3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01" t="e">
        <f ca="1">_xll.BDH($C$578,"EFF_TAX_RATE","FQ3 2018","FQ3 2018","Currency=INR","Period=FQ","BEST_FPERIOD_OVERRIDE=FQ","FILING_STATUS=OR","EQY_CONSOLIDATED=Y","FA_ADJUSTED=GAAP","Sort=A","Dates=H","DateFormat=P","Fill=—","Direction=H","UseDPDF=Y")</f>
        <v>#NAME?</v>
      </c>
      <c r="R601" t="e">
        <f ca="1">_xll.BDH($C$578,"DVD_PAYOUT_RATIO","FQ3 2018","FQ3 2018","Currency=INR","Period=FQ","BEST_FPERIOD_OVERRIDE=FQ","FILING_STATUS=OR","EQY_CONSOLIDATED=Y","FA_ADJUSTED=GAAP","Sort=A","Dates=H","DateFormat=P","Fill=—","Direction=H","UseDPDF=Y")</f>
        <v>#NAME?</v>
      </c>
      <c r="S601" t="e">
        <f ca="1">_xll.BDH($C$578,"SUSTAIN_GROWTH_RT","FQ3 2018","FQ3 2018","Currency=INR","Period=FQ","BEST_FPERIOD_OVERRIDE=FQ","FILING_STATUS=OR","EQY_CONSOLIDATED=Y","FA_ADJUSTED=GAAP","Sort=A","Dates=H","DateFormat=P","Fill=—","Direction=H","UseDPDF=Y")</f>
        <v>#NAME?</v>
      </c>
      <c r="T601" s="2" t="e">
        <f ca="1">_xll.BDH($C$578,"SALES_GROWTH","FQ3 2018","FQ3 2018","Currency=INR","Period=FQ","BEST_FPERIOD_OVERRIDE=FQ","FILING_STATUS=OR","EQY_CONSOLIDATED=Y","FA_ADJUSTED=GAAP","Sort=A","Dates=H","DateFormat=P","Fill=—","Direction=H","UseDPDF=Y")</f>
        <v>#NAME?</v>
      </c>
      <c r="U601" s="2" t="e">
        <f ca="1">_xll.BDH($C$578,"EBITDA_GROWTH","FQ3 2018","FQ3 2018","Currency=INR","Period=FQ","BEST_FPERIOD_OVERRIDE=FQ","FILING_STATUS=OR","EQY_CONSOLIDATED=Y","FA_ADJUSTED=GAAP","Sort=A","Dates=H","DateFormat=P","Fill=—","Direction=H","UseDPDF=Y")</f>
        <v>#NAME?</v>
      </c>
      <c r="V601" s="2" t="e">
        <f ca="1">_xll.BDH($C$578,"OPER_INC_GROWTH","FQ3 2018","FQ3 2018","Currency=INR","Period=FQ","BEST_FPERIOD_OVERRIDE=FQ","FILING_STATUS=OR","EQY_CONSOLIDATED=Y","FA_ADJUSTED=GAAP","Sort=A","Dates=H","DateFormat=P","Fill=—","Direction=H","UseDPDF=Y")</f>
        <v>#NAME?</v>
      </c>
      <c r="W601" s="2" t="e">
        <f ca="1">_xll.BDH($C$578,"EARN_FOR_COM_GROWTH","FQ3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01" s="2" t="e">
        <f ca="1">_xll.BDH($C$578,"DILUTED_EPS_AFT_XO_ITEMS_GROWTH","FQ3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01" s="2" t="e">
        <f ca="1">_xll.BDH($C$578,"DIVIDEND_PER_SHARE_1_YEAR_GROWTH","FQ3 2018","FQ3 2018","Currency=INR","Period=FQ","BEST_FPERIOD_OVERRIDE=FQ","FILING_STATUS=OR","EQY_CONSOLIDATED=Y","Sort=A","Dates=H","DateFormat=P","Fill=—","Direction=H","UseDPDF=Y")</f>
        <v>#NAME?</v>
      </c>
      <c r="Z601" s="2" t="e">
        <f ca="1">_xll.BDH($C$578,"ACCOUNTS_RECEIVABLE_GROWTH","FQ3 2018","FQ3 2018","Currency=INR","Period=FQ","BEST_FPERIOD_OVERRIDE=FQ","FILING_STATUS=OR","EQY_CONSOLIDATED=Y","Sort=A","Dates=H","DateFormat=P","Fill=—","Direction=H","UseDPDF=Y")</f>
        <v>#NAME?</v>
      </c>
      <c r="AA601" s="2" t="e">
        <f ca="1">_xll.BDH($C$578,"INVENTORY_GROWTH","FQ3 2018","FQ3 2018","Currency=INR","Period=FQ","BEST_FPERIOD_OVERRIDE=FQ","FILING_STATUS=OR","EQY_CONSOLIDATED=Y","Sort=A","Dates=H","DateFormat=P","Fill=—","Direction=H","UseDPDF=Y")</f>
        <v>#NAME?</v>
      </c>
      <c r="AB601" s="2" t="e">
        <f ca="1">_xll.BDH($C$578,"NET_FIXED_ASSETS_1_YEAR_GROWTH","FQ3 2018","FQ3 2018","Currency=INR","Period=FQ","BEST_FPERIOD_OVERRIDE=FQ","FILING_STATUS=OR","EQY_CONSOLIDATED=Y","Sort=A","Dates=H","DateFormat=P","Fill=—","Direction=H","UseDPDF=Y")</f>
        <v>#NAME?</v>
      </c>
      <c r="AC601" s="2" t="e">
        <f ca="1">_xll.BDH($C$578,"ASSET_GROWTH","FQ3 2018","FQ3 2018","Currency=INR","Period=FQ","BEST_FPERIOD_OVERRIDE=FQ","FILING_STATUS=OR","EQY_CONSOLIDATED=Y","Sort=A","Dates=H","DateFormat=P","Fill=—","Direction=H","UseDPDF=Y")</f>
        <v>#NAME?</v>
      </c>
      <c r="AD601" s="2" t="e">
        <f ca="1">_xll.BDH($C$578,"MODIFIED_WORK_CAP_GROWTH","FQ3 2018","FQ3 2018","Currency=INR","Period=FQ","BEST_FPERIOD_OVERRIDE=FQ","FILING_STATUS=OR","EQY_CONSOLIDATED=Y","Sort=A","Dates=H","DateFormat=P","Fill=—","Direction=H","UseDPDF=Y")</f>
        <v>#NAME?</v>
      </c>
      <c r="AE601" s="2" t="e">
        <f ca="1">_xll.BDH($C$578,"WORK_CAP_GROWTH","FQ3 2018","FQ3 2018","Currency=INR","Period=FQ","BEST_FPERIOD_OVERRIDE=FQ","FILING_STATUS=OR","EQY_CONSOLIDATED=Y","Sort=A","Dates=H","DateFormat=P","Fill=—","Direction=H","UseDPDF=Y")</f>
        <v>#NAME?</v>
      </c>
      <c r="AF601" s="2" t="e">
        <f ca="1">_xll.BDH($C$578,"ACCOUNTS_PAYABLE_GROWTH_1YR","FQ3 2018","FQ3 2018","Currency=INR","Period=FQ","BEST_FPERIOD_OVERRIDE=FQ","FILING_STATUS=OR","EQY_CONSOLIDATED=Y","Sort=A","Dates=H","DateFormat=P","Fill=—","Direction=H","UseDPDF=Y")</f>
        <v>#NAME?</v>
      </c>
      <c r="AG601" s="2" t="e">
        <f ca="1">_xll.BDH($C$578,"SHORT_TERM_DEBT_1_YEAR_GROWTH","FQ3 2018","FQ3 2018","Currency=INR","Period=FQ","BEST_FPERIOD_OVERRIDE=FQ","FILING_STATUS=OR","EQY_CONSOLIDATED=Y","Sort=A","Dates=H","DateFormat=P","Fill=—","Direction=H","UseDPDF=Y")</f>
        <v>#NAME?</v>
      </c>
      <c r="AH601" s="2" t="e">
        <f ca="1">_xll.BDH($C$578,"TOTAL_DEBT_1_YEAR_GROWTH","FQ3 2018","FQ3 2018","Currency=INR","Period=FQ","BEST_FPERIOD_OVERRIDE=FQ","FILING_STATUS=OR","EQY_CONSOLIDATED=Y","Sort=A","Dates=H","DateFormat=P","Fill=—","Direction=H","UseDPDF=Y")</f>
        <v>#NAME?</v>
      </c>
      <c r="AI601" s="2" t="e">
        <f ca="1">_xll.BDH($C$578,"TOTAL_EQUITY_1_YEAR_GROWTH","FQ3 2018","FQ3 2018","Currency=INR","Period=FQ","BEST_FPERIOD_OVERRIDE=FQ","FILING_STATUS=OR","EQY_CONSOLIDATED=Y","Sort=A","Dates=H","DateFormat=P","Fill=—","Direction=H","UseDPDF=Y")</f>
        <v>#NAME?</v>
      </c>
      <c r="AJ601" s="2" t="e">
        <f ca="1">_xll.BDH($C$578,"GROWTH_IN_CAP","FQ3 2018","FQ3 2018","Currency=INR","Period=FQ","BEST_FPERIOD_OVERRIDE=FQ","FILING_STATUS=OR","EQY_CONSOLIDATED=Y","Sort=A","Dates=H","DateFormat=P","Fill=—","Direction=H","UseDPDF=Y")</f>
        <v>#NAME?</v>
      </c>
      <c r="AK601" s="2" t="e">
        <f ca="1">_xll.BDH($C$578,"BVPS_GROWTH","FQ3 2018","FQ3 2018","Currency=INR","Period=FQ","BEST_FPERIOD_OVERRIDE=FQ","FILING_STATUS=OR","EQY_CONSOLIDATED=Y","Sort=A","Dates=H","DateFormat=P","Fill=—","Direction=H","UseDPDF=Y")</f>
        <v>#NAME?</v>
      </c>
      <c r="AL601" s="2" t="e">
        <f ca="1">_xll.BDH($C$578,"CASH_FLOW_GROWTH","FQ3 2018","FQ3 2018","Currency=INR","Period=FQ","BEST_FPERIOD_OVERRIDE=FQ","FILING_STATUS=OR","EQY_CONSOLIDATED=Y","Sort=A","Dates=H","DateFormat=P","Fill=—","Direction=H","UseDPDF=Y")</f>
        <v>#NAME?</v>
      </c>
      <c r="AM601" s="2" t="e">
        <f ca="1">_xll.BDH($C$578,"GEO_GROW_NET_SALES","FQ3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01" s="2" t="e">
        <f ca="1">_xll.BDH($C$578,"GEO_GROW_EBITDA","FQ3 2018","FQ3 2018","Currency=INR","Period=FQ","BEST_FPERIOD_OVERRIDE=FQ","FILING_STATUS=OR","EQY_CONSOLIDATED=Y","FA_ADJUSTED=GAAP","Sort=A","Dates=H","DateFormat=P","Fill=—","Direction=H","UseDPDF=Y")</f>
        <v>#NAME?</v>
      </c>
      <c r="AO601" s="2" t="e">
        <f ca="1">_xll.BDH($C$578,"GEO_GROW_OPER_INC","FQ3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01" s="2" t="e">
        <f ca="1">_xll.BDH($C$578,"NET_INCOME_TO_COMMON_5_YR_GROWTH","FQ3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01" s="2" t="e">
        <f ca="1">_xll.BDH($C$578,"5Y_GEO_GROWTH_DILUTED_EPS","FQ3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01" s="2" t="e">
        <f ca="1">_xll.BDH($C$578,"GEO_GROW_DVD_PER_SH","FQ3 2018","FQ3 2018","Currency=INR","Period=FQ","BEST_FPERIOD_OVERRIDE=FQ","FILING_STATUS=OR","EQY_CONSOLIDATED=Y","Sort=A","Dates=H","DateFormat=P","Fill=—","Direction=H","UseDPDF=Y")</f>
        <v>#NAME?</v>
      </c>
      <c r="AS601" s="2" t="e">
        <f ca="1">_xll.BDH($C$578,"ACCOUNTS_RECEIVABLE_5_YR_GROWTH","FQ3 2018","FQ3 2018","Currency=INR","Period=FQ","BEST_FPERIOD_OVERRIDE=FQ","FILING_STATUS=OR","EQY_CONSOLIDATED=Y","Sort=A","Dates=H","DateFormat=P","Fill=—","Direction=H","UseDPDF=Y")</f>
        <v>#NAME?</v>
      </c>
      <c r="AT601" s="2" t="e">
        <f ca="1">_xll.BDH($C$578,"INVENTORY_5_YEAR_GROWTH","FQ3 2018","FQ3 2018","Currency=INR","Period=FQ","BEST_FPERIOD_OVERRIDE=FQ","FILING_STATUS=OR","EQY_CONSOLIDATED=Y","Sort=A","Dates=H","DateFormat=P","Fill=—","Direction=H","UseDPDF=Y")</f>
        <v>#NAME?</v>
      </c>
      <c r="AU601" s="2" t="e">
        <f ca="1">_xll.BDH($C$578,"NET_FIXED_ASSETS_5_YEAR_GROWTH","FQ3 2018","FQ3 2018","Currency=INR","Period=FQ","BEST_FPERIOD_OVERRIDE=FQ","FILING_STATUS=OR","EQY_CONSOLIDATED=Y","Sort=A","Dates=H","DateFormat=P","Fill=—","Direction=H","UseDPDF=Y")</f>
        <v>#NAME?</v>
      </c>
      <c r="AV601" s="2" t="e">
        <f ca="1">_xll.BDH($C$578,"GEO_GROW_TOT_ASSET","FQ3 2018","FQ3 2018","Currency=INR","Period=FQ","BEST_FPERIOD_OVERRIDE=FQ","FILING_STATUS=OR","EQY_CONSOLIDATED=Y","Sort=A","Dates=H","DateFormat=P","Fill=—","Direction=H","UseDPDF=Y")</f>
        <v>#NAME?</v>
      </c>
      <c r="AW601" s="2" t="e">
        <f ca="1">_xll.BDH($C$578,"MODIFIED_WORKING_CPTL_5YR_GRWTH","FQ3 2018","FQ3 2018","Currency=INR","Period=FQ","BEST_FPERIOD_OVERRIDE=FQ","FILING_STATUS=OR","EQY_CONSOLIDATED=Y","Sort=A","Dates=H","DateFormat=P","Fill=—","Direction=H","UseDPDF=Y")</f>
        <v>#NAME?</v>
      </c>
      <c r="AX601" s="2" t="e">
        <f ca="1">_xll.BDH($C$578,"WORKING_CAPITAL_5_YEAR_GROWTH","FQ3 2018","FQ3 2018","Currency=INR","Period=FQ","BEST_FPERIOD_OVERRIDE=FQ","FILING_STATUS=OR","EQY_CONSOLIDATED=Y","Sort=A","Dates=H","DateFormat=P","Fill=—","Direction=H","UseDPDF=Y")</f>
        <v>#NAME?</v>
      </c>
      <c r="AY601" s="2" t="e">
        <f ca="1">_xll.BDH($C$578,"ACCOUNTS_PAYABLE_5_YEAR_GROWTH","FQ3 2018","FQ3 2018","Currency=INR","Period=FQ","BEST_FPERIOD_OVERRIDE=FQ","FILING_STATUS=OR","EQY_CONSOLIDATED=Y","Sort=A","Dates=H","DateFormat=P","Fill=—","Direction=H","UseDPDF=Y")</f>
        <v>#NAME?</v>
      </c>
      <c r="AZ601" s="2" t="e">
        <f ca="1">_xll.BDH($C$578,"SHORT_TERM_DEBT_5_YEAR_GROWTH","FQ3 2018","FQ3 2018","Currency=INR","Period=FQ","BEST_FPERIOD_OVERRIDE=FQ","FILING_STATUS=OR","EQY_CONSOLIDATED=Y","Sort=A","Dates=H","DateFormat=P","Fill=—","Direction=H","UseDPDF=Y")</f>
        <v>#NAME?</v>
      </c>
      <c r="BA601" s="2" t="e">
        <f ca="1">_xll.BDH($C$578,"TOTAL_DEBT_5_YEAR_GROWTH","FQ3 2018","FQ3 2018","Currency=INR","Period=FQ","BEST_FPERIOD_OVERRIDE=FQ","FILING_STATUS=OR","EQY_CONSOLIDATED=Y","Sort=A","Dates=H","DateFormat=P","Fill=—","Direction=H","UseDPDF=Y")</f>
        <v>#NAME?</v>
      </c>
      <c r="BB601" s="2" t="e">
        <f ca="1">_xll.BDH($C$578,"GEO_GROW_TOT_SHRHLDR_EQY","FQ3 2018","FQ3 2018","Currency=INR","Period=FQ","BEST_FPERIOD_OVERRIDE=FQ","FILING_STATUS=OR","EQY_CONSOLIDATED=Y","Sort=A","Dates=H","DateFormat=P","Fill=—","Direction=H","UseDPDF=Y")</f>
        <v>#NAME?</v>
      </c>
      <c r="BC601" s="2" t="e">
        <f ca="1">_xll.BDH($C$578,"TOTAL_CAPITAL_5_YEAR_GROWTH","FQ3 2018","FQ3 2018","Currency=INR","Period=FQ","BEST_FPERIOD_OVERRIDE=FQ","FILING_STATUS=OR","EQY_CONSOLIDATED=Y","Sort=A","Dates=H","DateFormat=P","Fill=—","Direction=H","UseDPDF=Y")</f>
        <v>#NAME?</v>
      </c>
      <c r="BD601" s="2" t="e">
        <f ca="1">_xll.BDH($C$578,"GEO_GROW_BOOK_VAL","FQ3 2018","FQ3 2018","Currency=INR","Period=FQ","BEST_FPERIOD_OVERRIDE=FQ","FILING_STATUS=OR","EQY_CONSOLIDATED=Y","Sort=A","Dates=H","DateFormat=P","Fill=—","Direction=H","UseDPDF=Y")</f>
        <v>#NAME?</v>
      </c>
      <c r="BE601" s="2" t="e">
        <f ca="1">_xll.BDH($C$578,"GEO_GROW_CASH_OPER_ACT","FQ3 2018","FQ3 2018","Currency=INR","Period=FQ","BEST_FPERIOD_OVERRIDE=FQ","FILING_STATUS=OR","EQY_CONSOLIDATED=Y","Sort=A","Dates=H","DateFormat=P","Fill=—","Direction=H","UseDPDF=Y")</f>
        <v>#NAME?</v>
      </c>
      <c r="BF601" s="2" t="e">
        <f ca="1">_xll.BDH($C$578,"REVENUE_SEQUENTIAL_GROWTH","FQ3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01" s="2" t="e">
        <f ca="1">_xll.BDH($C$578,"EBITDA_SEQUENTIAL_GROWTH","FQ3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01" s="2" t="e">
        <f ca="1">_xll.BDH($C$578,"OPERATING_INCOME_SEQ_GROWTH","FQ3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01" s="2" t="e">
        <f ca="1">_xll.BDH($C$578,"NET_INCOME_TO_COMMON_SEQ_GROWTH","FQ3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01" s="2" t="e">
        <f ca="1">_xll.BDH($C$578,"EPS_DILUTED_SEQUENTIAL_GROWTH","FQ3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01" s="2" t="e">
        <f ca="1">_xll.BDH($C$578,"DPS_SEQUENTIAL_GROWTH","FQ3 2018","FQ3 2018","Currency=INR","Period=FQ","BEST_FPERIOD_OVERRIDE=FQ","FILING_STATUS=OR","EQY_CONSOLIDATED=Y","Sort=A","Dates=H","DateFormat=P","Fill=—","Direction=H","UseDPDF=Y")</f>
        <v>#NAME?</v>
      </c>
      <c r="BL601" s="2" t="e">
        <f ca="1">_xll.BDH($C$578,"ACCOUNTS_RECEIVABLE_SEQ_GROWTH","FQ3 2018","FQ3 2018","Currency=INR","Period=FQ","BEST_FPERIOD_OVERRIDE=FQ","FILING_STATUS=OR","EQY_CONSOLIDATED=Y","Sort=A","Dates=H","DateFormat=P","Fill=—","Direction=H","UseDPDF=Y")</f>
        <v>#NAME?</v>
      </c>
      <c r="BM601" s="2" t="e">
        <f ca="1">_xll.BDH($C$578,"INVENTORY_SEQUENTIAL_GROWTH","FQ3 2018","FQ3 2018","Currency=INR","Period=FQ","BEST_FPERIOD_OVERRIDE=FQ","FILING_STATUS=OR","EQY_CONSOLIDATED=Y","Sort=A","Dates=H","DateFormat=P","Fill=—","Direction=H","UseDPDF=Y")</f>
        <v>#NAME?</v>
      </c>
      <c r="BN601" s="2" t="e">
        <f ca="1">_xll.BDH($C$578,"FIXED_ASSETS_SEQUENTIAL_GROWTH","FQ3 2018","FQ3 2018","Currency=INR","Period=FQ","BEST_FPERIOD_OVERRIDE=FQ","FILING_STATUS=OR","EQY_CONSOLIDATED=Y","Sort=A","Dates=H","DateFormat=P","Fill=—","Direction=H","UseDPDF=Y")</f>
        <v>#NAME?</v>
      </c>
      <c r="BO601" s="2" t="e">
        <f ca="1">_xll.BDH($C$578,"TOTAL_ASSETS_SEQUENTIAL_GROWTH","FQ3 2018","FQ3 2018","Currency=INR","Period=FQ","BEST_FPERIOD_OVERRIDE=FQ","FILING_STATUS=OR","EQY_CONSOLIDATED=Y","Sort=A","Dates=H","DateFormat=P","Fill=—","Direction=H","UseDPDF=Y")</f>
        <v>#NAME?</v>
      </c>
      <c r="BP601" s="2" t="e">
        <f ca="1">_xll.BDH($C$578,"MODIFIED_WORKING_CPTL_SEQ_GRWTH","FQ3 2018","FQ3 2018","Currency=INR","Period=FQ","BEST_FPERIOD_OVERRIDE=FQ","FILING_STATUS=OR","EQY_CONSOLIDATED=Y","Sort=A","Dates=H","DateFormat=P","Fill=—","Direction=H","UseDPDF=Y")</f>
        <v>#NAME?</v>
      </c>
      <c r="BQ601" s="2" t="e">
        <f ca="1">_xll.BDH($C$578,"WORKING_CAPITAL_SEQ_GROWTH","FQ3 2018","FQ3 2018","Currency=INR","Period=FQ","BEST_FPERIOD_OVERRIDE=FQ","FILING_STATUS=OR","EQY_CONSOLIDATED=Y","Sort=A","Dates=H","DateFormat=P","Fill=—","Direction=H","UseDPDF=Y")</f>
        <v>#NAME?</v>
      </c>
      <c r="BR601" s="2" t="e">
        <f ca="1">_xll.BDH($C$578,"ACCOUNTS_PAYABLE_SEQ_GROWTH","FQ3 2018","FQ3 2018","Currency=INR","Period=FQ","BEST_FPERIOD_OVERRIDE=FQ","FILING_STATUS=OR","EQY_CONSOLIDATED=Y","Sort=A","Dates=H","DateFormat=P","Fill=—","Direction=H","UseDPDF=Y")</f>
        <v>#NAME?</v>
      </c>
      <c r="BS601" s="2" t="e">
        <f ca="1">_xll.BDH($C$578,"ST_DEBT_SEQUENTIAL_GROWTH","FQ3 2018","FQ3 2018","Currency=INR","Period=FQ","BEST_FPERIOD_OVERRIDE=FQ","FILING_STATUS=OR","EQY_CONSOLIDATED=Y","Sort=A","Dates=H","DateFormat=P","Fill=—","Direction=H","UseDPDF=Y")</f>
        <v>#NAME?</v>
      </c>
      <c r="BT601" s="2" t="e">
        <f ca="1">_xll.BDH($C$578,"TOTAL_DEBT_SEQUENTIAL_GROWTH","FQ3 2018","FQ3 2018","Currency=INR","Period=FQ","BEST_FPERIOD_OVERRIDE=FQ","FILING_STATUS=OR","EQY_CONSOLIDATED=Y","Sort=A","Dates=H","DateFormat=P","Fill=—","Direction=H","UseDPDF=Y")</f>
        <v>#NAME?</v>
      </c>
      <c r="BU601" s="2" t="e">
        <f ca="1">_xll.BDH($C$578,"TOTAL_EQUITY_SEQUENTIAL_GROWTH","FQ3 2018","FQ3 2018","Currency=INR","Period=FQ","BEST_FPERIOD_OVERRIDE=FQ","FILING_STATUS=OR","EQY_CONSOLIDATED=Y","Sort=A","Dates=H","DateFormat=P","Fill=—","Direction=H","UseDPDF=Y")</f>
        <v>#NAME?</v>
      </c>
      <c r="BV601" s="2" t="e">
        <f ca="1">_xll.BDH($C$578,"TOTAL_CAPITAL_SEQUENTIAL_GROWTH","FQ3 2018","FQ3 2018","Currency=INR","Period=FQ","BEST_FPERIOD_OVERRIDE=FQ","FILING_STATUS=OR","EQY_CONSOLIDATED=Y","Sort=A","Dates=H","DateFormat=P","Fill=—","Direction=H","UseDPDF=Y")</f>
        <v>#NAME?</v>
      </c>
      <c r="BW601" s="2" t="e">
        <f ca="1">_xll.BDH($C$578,"BPS_SEQUENTIAL_GROWTH","FQ3 2018","FQ3 2018","Currency=INR","Period=FQ","BEST_FPERIOD_OVERRIDE=FQ","FILING_STATUS=OR","EQY_CONSOLIDATED=Y","Sort=A","Dates=H","DateFormat=P","Fill=—","Direction=H","UseDPDF=Y")</f>
        <v>#NAME?</v>
      </c>
      <c r="BX601" s="2" t="e">
        <f ca="1">_xll.BDH($C$578,"CFO_SEQUENTIAL_GROWTH","FQ3 2018","FQ3 2018","Currency=INR","Period=FQ","BEST_FPERIOD_OVERRIDE=FQ","FILING_STATUS=OR","EQY_CONSOLIDATED=Y","Sort=A","Dates=H","DateFormat=P","Fill=—","Direction=H","UseDPDF=Y")</f>
        <v>#NAME?</v>
      </c>
      <c r="BY601" s="3" t="e">
        <f ca="1">_xll.BDH($C$578,"SHORT_AND_LONG_TERM_DEBT","FQ3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01" s="3" t="e">
        <f ca="1">_xll.BDH($C$578,"BS_ST_BORROW","FQ3 2018","FQ3 2018","Currency=INR","Period=FQ","BEST_FPERIOD_OVERRIDE=FQ","FILING_STATUS=OR","EQY_CONSOLIDATED=Y","SCALING_FORMAT=MLN","Sort=A","Dates=H","DateFormat=P","Fill=—","Direction=H","UseDPDF=Y")</f>
        <v>#NAME?</v>
      </c>
      <c r="CA601" s="3" t="e">
        <f ca="1">_xll.BDH($C$578,"BS_LT_BORROW","FQ3 2018","FQ3 2018","Currency=INR","Period=FQ","BEST_FPERIOD_OVERRIDE=FQ","FILING_STATUS=OR","EQY_CONSOLIDATED=Y","SCALING_FORMAT=MLN","Sort=A","Dates=H","DateFormat=P","Fill=—","Direction=H","UseDPDF=Y")</f>
        <v>#NAME?</v>
      </c>
      <c r="CB601" s="2" t="e">
        <f ca="1">_xll.BDH($C$578,"TOT_DEBT_TO_EBITDA","FQ3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01" s="2" t="e">
        <f ca="1">_xll.BDH($C$578,"NET_DEBT_TO_EBITDA","FQ3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01" s="2" t="e">
        <f ca="1">_xll.BDH($C$578,"TOTAL_DEBT_TO_EBIT","FQ3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01" s="2" t="e">
        <f ca="1">_xll.BDH($C$578,"NET_DEBT_TO_EBIT","FQ3 2018","FQ3 2018","Currency=INR","Period=FQ","BEST_FPERIOD_OVERRIDE=FQ","FILING_STATUS=OR","EQY_CONSOLIDATED=Y","FA_ADJUSTED=GAAP","Sort=A","Dates=H","DateFormat=P","Fill=—","Direction=H","UseDPDF=Y")</f>
        <v>#NAME?</v>
      </c>
      <c r="CF601" s="2" t="e">
        <f ca="1">_xll.BDH($C$578,"EBITDA_TO_INTEREST_EXPN","FQ3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01" s="2" t="e">
        <f ca="1">_xll.BDH($C$578,"COM_EQY_TO_TOT_ASSET","FQ3 2018","FQ3 2018","Currency=INR","Period=FQ","BEST_FPERIOD_OVERRIDE=FQ","FILING_STATUS=OR","EQY_CONSOLIDATED=Y","Sort=A","Dates=H","DateFormat=P","Fill=—","Direction=H","UseDPDF=Y")</f>
        <v>#NAME?</v>
      </c>
      <c r="CH601" s="2" t="e">
        <f ca="1">_xll.BDH($C$578,"LT_DEBT_TO_TOT_EQY","FQ3 2018","FQ3 2018","Currency=INR","Period=FQ","BEST_FPERIOD_OVERRIDE=FQ","FILING_STATUS=OR","EQY_CONSOLIDATED=Y","Sort=A","Dates=H","DateFormat=P","Fill=—","Direction=H","UseDPDF=Y")</f>
        <v>#NAME?</v>
      </c>
      <c r="CI601" s="2" t="e">
        <f ca="1">_xll.BDH($C$578,"LT_DEBT_TO_TOT_CAP","FQ3 2018","FQ3 2018","Currency=INR","Period=FQ","BEST_FPERIOD_OVERRIDE=FQ","FILING_STATUS=OR","EQY_CONSOLIDATED=Y","Sort=A","Dates=H","DateFormat=P","Fill=—","Direction=H","UseDPDF=Y")</f>
        <v>#NAME?</v>
      </c>
      <c r="CJ601" s="2" t="e">
        <f ca="1">_xll.BDH($C$578,"LT_DEBT_TO_TOT_ASSET","FQ3 2018","FQ3 2018","Currency=INR","Period=FQ","BEST_FPERIOD_OVERRIDE=FQ","FILING_STATUS=OR","EQY_CONSOLIDATED=Y","Sort=A","Dates=H","DateFormat=P","Fill=—","Direction=H","UseDPDF=Y")</f>
        <v>#NAME?</v>
      </c>
      <c r="CK601" s="2" t="e">
        <f ca="1">_xll.BDH($C$578,"TOT_DEBT_TO_TOT_EQY","FQ3 2018","FQ3 2018","Currency=INR","Period=FQ","BEST_FPERIOD_OVERRIDE=FQ","FILING_STATUS=OR","EQY_CONSOLIDATED=Y","Sort=A","Dates=H","DateFormat=P","Fill=—","Direction=H","UseDPDF=Y")</f>
        <v>#NAME?</v>
      </c>
      <c r="CL601" s="2" t="e">
        <f ca="1">_xll.BDH($C$578,"TOT_DEBT_TO_TOT_CAP","FQ3 2018","FQ3 2018","Currency=INR","Period=FQ","BEST_FPERIOD_OVERRIDE=FQ","FILING_STATUS=OR","EQY_CONSOLIDATED=Y","Sort=A","Dates=H","DateFormat=P","Fill=—","Direction=H","UseDPDF=Y")</f>
        <v>#NAME?</v>
      </c>
      <c r="CM601" s="2" t="e">
        <f ca="1">_xll.BDH($C$578,"TOT_DEBT_TO_TOT_ASSET","FQ3 2018","FQ3 2018","Currency=INR","Period=FQ","BEST_FPERIOD_OVERRIDE=FQ","FILING_STATUS=OR","EQY_CONSOLIDATED=Y","Sort=A","Dates=H","DateFormat=P","Fill=—","Direction=H","UseDPDF=Y")</f>
        <v>#NAME?</v>
      </c>
      <c r="CN601" s="2" t="e">
        <f ca="1">_xll.BDH($C$578,"NET_DEBT_TO_SHRHLDR_EQTY","FQ3 2018","FQ3 2018","Currency=INR","Period=FQ","BEST_FPERIOD_OVERRIDE=FQ","FILING_STATUS=OR","EQY_CONSOLIDATED=Y","Sort=A","Dates=H","DateFormat=P","Fill=—","Direction=H","UseDPDF=Y")</f>
        <v>#NAME?</v>
      </c>
      <c r="CO601" s="2" t="e">
        <f ca="1">_xll.BDH($C$578,"NET_DEBT_%_CAPITAL","FQ3 2018","FQ3 2018","Currency=INR","Period=FQ","BEST_FPERIOD_OVERRIDE=FQ","FILING_STATUS=OR","EQY_CONSOLIDATED=Y","Sort=A","Dates=H","DateFormat=P","Fill=—","Direction=H","UseDPDF=Y")</f>
        <v>#NAME?</v>
      </c>
      <c r="CP601" s="3" t="e">
        <f ca="1">_xll.BDH($C$578,"EBITDA","FQ3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01" s="3" t="e">
        <f ca="1">_xll.BDH($C$578,"EBITDA_AFTER_CAPEX","FQ3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01" s="3" t="e">
        <f ca="1">_xll.BDH($C$578,"IS_OPER_INC","FQ3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01" s="2" t="e">
        <f ca="1">_xll.BDH($C$578,"CASH_RATIO","FQ3 2018","FQ3 2018","Currency=INR","Period=FQ","BEST_FPERIOD_OVERRIDE=FQ","FILING_STATUS=OR","EQY_CONSOLIDATED=Y","Sort=A","Dates=H","DateFormat=P","Fill=—","Direction=H","UseDPDF=Y")</f>
        <v>#NAME?</v>
      </c>
      <c r="CT601" s="2" t="e">
        <f ca="1">_xll.BDH($C$578,"CUR_RATIO","FQ3 2018","FQ3 2018","Currency=INR","Period=FQ","BEST_FPERIOD_OVERRIDE=FQ","FILING_STATUS=OR","EQY_CONSOLIDATED=Y","Sort=A","Dates=H","DateFormat=P","Fill=—","Direction=H","UseDPDF=Y")</f>
        <v>#NAME?</v>
      </c>
      <c r="CU601" s="2" t="e">
        <f ca="1">_xll.BDH($C$578,"QUICK_RATIO","FQ3 2018","FQ3 2018","Currency=INR","Period=FQ","BEST_FPERIOD_OVERRIDE=FQ","FILING_STATUS=OR","EQY_CONSOLIDATED=Y","Sort=A","Dates=H","DateFormat=P","Fill=—","Direction=H","UseDPDF=Y")</f>
        <v>#NAME?</v>
      </c>
      <c r="CV601" s="2" t="e">
        <f ca="1">_xll.BDH($C$578,"ALTMAN_Z_SCORE","FQ3 2018","FQ3 2018","Currency=INR","Period=FQ","BEST_FPERIOD_OVERRIDE=FQ","FILING_STATUS=OR","EQY_CONSOLIDATED=Y","Sort=A","Dates=H","DateFormat=P","Fill=—","Direction=H","UseDPDF=Y")</f>
        <v>#NAME?</v>
      </c>
      <c r="CW601" s="4" t="e">
        <f ca="1">_xll.BDH($C$578,"ACCT_RCV_TURN","FQ3 2018","FQ3 2018","Currency=INR","Period=FQ","BEST_FPERIOD_OVERRIDE=FQ","FILING_STATUS=OR","EQY_CONSOLIDATED=Y","FA_ADJUSTED=GAAP","Sort=A","Dates=H","DateFormat=P","Fill=—","Direction=H","UseDPDF=Y")</f>
        <v>#NAME?</v>
      </c>
      <c r="CX601" s="2" t="e">
        <f ca="1">_xll.BDH($C$578,"ACCT_RCV_DAYS","FQ3 2018","FQ3 2018","Currency=INR","Period=FQ","BEST_FPERIOD_OVERRIDE=FQ","FILING_STATUS=OR","EQY_CONSOLIDATED=Y","FA_ADJUSTED=GAAP","Sort=A","Dates=H","DateFormat=P","Fill=—","Direction=H","UseDPDF=Y")</f>
        <v>#NAME?</v>
      </c>
      <c r="CY601" s="4" t="e">
        <f ca="1">_xll.BDH($C$578,"INVENT_TURN","FQ3 2018","FQ3 2018","Currency=INR","Period=FQ","BEST_FPERIOD_OVERRIDE=FQ","FILING_STATUS=OR","EQY_CONSOLIDATED=Y","FA_ADJUSTED=GAAP","Sort=A","Dates=H","DateFormat=P","Fill=—","Direction=H","UseDPDF=Y")</f>
        <v>#NAME?</v>
      </c>
      <c r="CZ601" s="2" t="e">
        <f ca="1">_xll.BDH($C$578,"INVENT_DAYS","FQ3 2018","FQ3 2018","Currency=INR","Period=FQ","BEST_FPERIOD_OVERRIDE=FQ","FILING_STATUS=OR","EQY_CONSOLIDATED=Y","FA_ADJUSTED=GAAP","Sort=A","Dates=H","DateFormat=P","Fill=—","Direction=H","UseDPDF=Y")</f>
        <v>#NAME?</v>
      </c>
      <c r="DA601" s="4" t="e">
        <f ca="1">_xll.BDH($C$578,"ACCOUNTS_PAYABLE_TURNOVER","FQ3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01" s="2" t="e">
        <f ca="1">_xll.BDH($C$578,"ACCOUNTS_PAYABLE_TURNOVER_DAYS","FQ3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01" s="4" t="e">
        <f ca="1">_xll.BDH($C$578,"CASH_CONVERSION_CYCLE","FQ3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01" s="4" t="e">
        <f ca="1">_xll.BDH($C$578,"INV_TO_CASH_DAYS","FQ3 2018","FQ3 2018","Currency=INR","Period=FQ","BEST_FPERIOD_OVERRIDE=FQ","FILING_STATUS=OR","EQY_CONSOLIDATED=Y","FA_ADJUSTED=GAAP","Sort=A","Dates=H","DateFormat=P","Fill=—","Direction=H","UseDPDF=Y")</f>
        <v>#NAME?</v>
      </c>
      <c r="DE601" s="5" t="e">
        <f ca="1">_xll.BDH($C$578,"BS_INVENTORIES","FQ3 2018","FQ3 2018","Currency=INR","Period=FQ","BEST_FPERIOD_OVERRIDE=FQ","FILING_STATUS=OR","EQY_CONSOLIDATED=Y","SCALING_FORMAT=MLN","Sort=A","Dates=H","DateFormat=P","Fill=—","Direction=H","UseDPDF=Y")</f>
        <v>#NAME?</v>
      </c>
      <c r="DF601" s="3" t="e">
        <f ca="1">_xll.BDH($C$578,"INVTRY_RAW_MATERIALS","FQ3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01" s="3" t="e">
        <f ca="1">_xll.BDH($C$578,"INVTRY_IN_PROGRESS","FQ3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01" s="3" t="e">
        <f ca="1">_xll.BDH($C$578,"INVTRY_FINISHED_GOODS","FQ3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01" s="3" t="e">
        <f ca="1">_xll.BDH($C$578,"BS_OTHER_INV","FQ3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02" spans="1:113" x14ac:dyDescent="0.3">
      <c r="A602" s="6"/>
      <c r="B602" s="6"/>
      <c r="C602" s="6"/>
      <c r="D602" s="6"/>
      <c r="E602" t="s">
        <v>81</v>
      </c>
      <c r="F602" t="e">
        <f ca="1">_xll.BDH($C$578,"RETURN_COM_EQY","FQ4 2018","FQ4 2018","Currency=INR","Period=FQ","BEST_FPERIOD_OVERRIDE=FQ","FILING_STATUS=OR","EQY_CONSOLIDATED=Y","FA_ADJUSTED=GAAP","Sort=A","Dates=H","DateFormat=P","Fill=—","Direction=H","UseDPDF=Y")</f>
        <v>#NAME?</v>
      </c>
      <c r="G602" t="e">
        <f ca="1">_xll.BDH($C$578,"RETURN_ON_ASSET","FQ4 2018","FQ4 2018","Currency=INR","Period=FQ","BEST_FPERIOD_OVERRIDE=FQ","FILING_STATUS=OR","EQY_CONSOLIDATED=Y","FA_ADJUSTED=GAAP","Sort=A","Dates=H","DateFormat=P","Fill=—","Direction=H","UseDPDF=Y")</f>
        <v>#NAME?</v>
      </c>
      <c r="H602" t="e">
        <f ca="1">_xll.BDH($C$578,"RETURN_ON_CAP","FQ4 2018","FQ4 2018","Currency=INR","Period=FQ","BEST_FPERIOD_OVERRIDE=FQ","FILING_STATUS=OR","EQY_CONSOLIDATED=Y","FA_ADJUSTED=GAAP","Sort=A","Dates=H","DateFormat=P","Fill=—","Direction=H","UseDPDF=Y")</f>
        <v>#NAME?</v>
      </c>
      <c r="I602" t="e">
        <f ca="1">_xll.BDH($C$578,"RETURN_ON_INV_CAPITAL","FQ4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02" t="e">
        <f ca="1">_xll.BDH($C$578,"EBITDA_TO_REVENUE","FQ4 2018","FQ4 2018","Currency=INR","Period=FQ","BEST_FPERIOD_OVERRIDE=FQ","FILING_STATUS=OR","EQY_CONSOLIDATED=Y","FA_ADJUSTED=GAAP","Sort=A","Dates=H","DateFormat=P","Fill=—","Direction=H","UseDPDF=Y")</f>
        <v>#NAME?</v>
      </c>
      <c r="K602" t="e">
        <f ca="1">_xll.BDH($C$578,"OPER_MARGIN","FQ4 2018","FQ4 2018","Currency=INR","Period=FQ","BEST_FPERIOD_OVERRIDE=FQ","FILING_STATUS=OR","EQY_CONSOLIDATED=Y","FA_ADJUSTED=GAAP","Sort=A","Dates=H","DateFormat=P","Fill=—","Direction=H","UseDPDF=Y")</f>
        <v>#NAME?</v>
      </c>
      <c r="L602" t="e">
        <f ca="1">_xll.BDH($C$578,"INCREMENTAL_OPERATING_MARGIN","FQ4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02" t="e">
        <f ca="1">_xll.BDH($C$578,"PRETAX_INC_TO_NET_SALES","FQ4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02" t="e">
        <f ca="1">_xll.BDH($C$578,"INC_BEF_XO_ITEMS_TO_NET_SALES","FQ4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02" t="e">
        <f ca="1">_xll.BDH($C$578,"PROF_MARGIN","FQ4 2018","FQ4 2018","Currency=INR","Period=FQ","BEST_FPERIOD_OVERRIDE=FQ","FILING_STATUS=OR","EQY_CONSOLIDATED=Y","FA_ADJUSTED=GAAP","Sort=A","Dates=H","DateFormat=P","Fill=—","Direction=H","UseDPDF=Y")</f>
        <v>#NAME?</v>
      </c>
      <c r="P602" t="e">
        <f ca="1">_xll.BDH($C$578,"NET_INCOME_TO_COMMON_MARGIN","FQ4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02" t="e">
        <f ca="1">_xll.BDH($C$578,"EFF_TAX_RATE","FQ4 2018","FQ4 2018","Currency=INR","Period=FQ","BEST_FPERIOD_OVERRIDE=FQ","FILING_STATUS=OR","EQY_CONSOLIDATED=Y","FA_ADJUSTED=GAAP","Sort=A","Dates=H","DateFormat=P","Fill=—","Direction=H","UseDPDF=Y")</f>
        <v>#NAME?</v>
      </c>
      <c r="R602" t="e">
        <f ca="1">_xll.BDH($C$578,"DVD_PAYOUT_RATIO","FQ4 2018","FQ4 2018","Currency=INR","Period=FQ","BEST_FPERIOD_OVERRIDE=FQ","FILING_STATUS=OR","EQY_CONSOLIDATED=Y","FA_ADJUSTED=GAAP","Sort=A","Dates=H","DateFormat=P","Fill=—","Direction=H","UseDPDF=Y")</f>
        <v>#NAME?</v>
      </c>
      <c r="S602" t="e">
        <f ca="1">_xll.BDH($C$578,"SUSTAIN_GROWTH_RT","FQ4 2018","FQ4 2018","Currency=INR","Period=FQ","BEST_FPERIOD_OVERRIDE=FQ","FILING_STATUS=OR","EQY_CONSOLIDATED=Y","FA_ADJUSTED=GAAP","Sort=A","Dates=H","DateFormat=P","Fill=—","Direction=H","UseDPDF=Y")</f>
        <v>#NAME?</v>
      </c>
      <c r="T602" s="2" t="e">
        <f ca="1">_xll.BDH($C$578,"SALES_GROWTH","FQ4 2018","FQ4 2018","Currency=INR","Period=FQ","BEST_FPERIOD_OVERRIDE=FQ","FILING_STATUS=OR","EQY_CONSOLIDATED=Y","FA_ADJUSTED=GAAP","Sort=A","Dates=H","DateFormat=P","Fill=—","Direction=H","UseDPDF=Y")</f>
        <v>#NAME?</v>
      </c>
      <c r="U602" s="2" t="e">
        <f ca="1">_xll.BDH($C$578,"EBITDA_GROWTH","FQ4 2018","FQ4 2018","Currency=INR","Period=FQ","BEST_FPERIOD_OVERRIDE=FQ","FILING_STATUS=OR","EQY_CONSOLIDATED=Y","FA_ADJUSTED=GAAP","Sort=A","Dates=H","DateFormat=P","Fill=—","Direction=H","UseDPDF=Y")</f>
        <v>#NAME?</v>
      </c>
      <c r="V602" s="2" t="e">
        <f ca="1">_xll.BDH($C$578,"OPER_INC_GROWTH","FQ4 2018","FQ4 2018","Currency=INR","Period=FQ","BEST_FPERIOD_OVERRIDE=FQ","FILING_STATUS=OR","EQY_CONSOLIDATED=Y","FA_ADJUSTED=GAAP","Sort=A","Dates=H","DateFormat=P","Fill=—","Direction=H","UseDPDF=Y")</f>
        <v>#NAME?</v>
      </c>
      <c r="W602" s="2" t="e">
        <f ca="1">_xll.BDH($C$578,"EARN_FOR_COM_GROWTH","FQ4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02" s="2" t="e">
        <f ca="1">_xll.BDH($C$578,"DILUTED_EPS_AFT_XO_ITEMS_GROWTH","FQ4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02" s="2" t="e">
        <f ca="1">_xll.BDH($C$578,"DIVIDEND_PER_SHARE_1_YEAR_GROWTH","FQ4 2018","FQ4 2018","Currency=INR","Period=FQ","BEST_FPERIOD_OVERRIDE=FQ","FILING_STATUS=OR","EQY_CONSOLIDATED=Y","Sort=A","Dates=H","DateFormat=P","Fill=—","Direction=H","UseDPDF=Y")</f>
        <v>#NAME?</v>
      </c>
      <c r="Z602" s="2" t="e">
        <f ca="1">_xll.BDH($C$578,"ACCOUNTS_RECEIVABLE_GROWTH","FQ4 2018","FQ4 2018","Currency=INR","Period=FQ","BEST_FPERIOD_OVERRIDE=FQ","FILING_STATUS=OR","EQY_CONSOLIDATED=Y","Sort=A","Dates=H","DateFormat=P","Fill=—","Direction=H","UseDPDF=Y")</f>
        <v>#NAME?</v>
      </c>
      <c r="AA602" s="2" t="e">
        <f ca="1">_xll.BDH($C$578,"INVENTORY_GROWTH","FQ4 2018","FQ4 2018","Currency=INR","Period=FQ","BEST_FPERIOD_OVERRIDE=FQ","FILING_STATUS=OR","EQY_CONSOLIDATED=Y","Sort=A","Dates=H","DateFormat=P","Fill=—","Direction=H","UseDPDF=Y")</f>
        <v>#NAME?</v>
      </c>
      <c r="AB602" s="2" t="e">
        <f ca="1">_xll.BDH($C$578,"NET_FIXED_ASSETS_1_YEAR_GROWTH","FQ4 2018","FQ4 2018","Currency=INR","Period=FQ","BEST_FPERIOD_OVERRIDE=FQ","FILING_STATUS=OR","EQY_CONSOLIDATED=Y","Sort=A","Dates=H","DateFormat=P","Fill=—","Direction=H","UseDPDF=Y")</f>
        <v>#NAME?</v>
      </c>
      <c r="AC602" s="2" t="e">
        <f ca="1">_xll.BDH($C$578,"ASSET_GROWTH","FQ4 2018","FQ4 2018","Currency=INR","Period=FQ","BEST_FPERIOD_OVERRIDE=FQ","FILING_STATUS=OR","EQY_CONSOLIDATED=Y","Sort=A","Dates=H","DateFormat=P","Fill=—","Direction=H","UseDPDF=Y")</f>
        <v>#NAME?</v>
      </c>
      <c r="AD602" s="2" t="e">
        <f ca="1">_xll.BDH($C$578,"MODIFIED_WORK_CAP_GROWTH","FQ4 2018","FQ4 2018","Currency=INR","Period=FQ","BEST_FPERIOD_OVERRIDE=FQ","FILING_STATUS=OR","EQY_CONSOLIDATED=Y","Sort=A","Dates=H","DateFormat=P","Fill=—","Direction=H","UseDPDF=Y")</f>
        <v>#NAME?</v>
      </c>
      <c r="AE602" s="2" t="e">
        <f ca="1">_xll.BDH($C$578,"WORK_CAP_GROWTH","FQ4 2018","FQ4 2018","Currency=INR","Period=FQ","BEST_FPERIOD_OVERRIDE=FQ","FILING_STATUS=OR","EQY_CONSOLIDATED=Y","Sort=A","Dates=H","DateFormat=P","Fill=—","Direction=H","UseDPDF=Y")</f>
        <v>#NAME?</v>
      </c>
      <c r="AF602" s="2" t="e">
        <f ca="1">_xll.BDH($C$578,"ACCOUNTS_PAYABLE_GROWTH_1YR","FQ4 2018","FQ4 2018","Currency=INR","Period=FQ","BEST_FPERIOD_OVERRIDE=FQ","FILING_STATUS=OR","EQY_CONSOLIDATED=Y","Sort=A","Dates=H","DateFormat=P","Fill=—","Direction=H","UseDPDF=Y")</f>
        <v>#NAME?</v>
      </c>
      <c r="AG602" s="2" t="e">
        <f ca="1">_xll.BDH($C$578,"SHORT_TERM_DEBT_1_YEAR_GROWTH","FQ4 2018","FQ4 2018","Currency=INR","Period=FQ","BEST_FPERIOD_OVERRIDE=FQ","FILING_STATUS=OR","EQY_CONSOLIDATED=Y","Sort=A","Dates=H","DateFormat=P","Fill=—","Direction=H","UseDPDF=Y")</f>
        <v>#NAME?</v>
      </c>
      <c r="AH602" s="2" t="e">
        <f ca="1">_xll.BDH($C$578,"TOTAL_DEBT_1_YEAR_GROWTH","FQ4 2018","FQ4 2018","Currency=INR","Period=FQ","BEST_FPERIOD_OVERRIDE=FQ","FILING_STATUS=OR","EQY_CONSOLIDATED=Y","Sort=A","Dates=H","DateFormat=P","Fill=—","Direction=H","UseDPDF=Y")</f>
        <v>#NAME?</v>
      </c>
      <c r="AI602" s="2" t="e">
        <f ca="1">_xll.BDH($C$578,"TOTAL_EQUITY_1_YEAR_GROWTH","FQ4 2018","FQ4 2018","Currency=INR","Period=FQ","BEST_FPERIOD_OVERRIDE=FQ","FILING_STATUS=OR","EQY_CONSOLIDATED=Y","Sort=A","Dates=H","DateFormat=P","Fill=—","Direction=H","UseDPDF=Y")</f>
        <v>#NAME?</v>
      </c>
      <c r="AJ602" s="2" t="e">
        <f ca="1">_xll.BDH($C$578,"GROWTH_IN_CAP","FQ4 2018","FQ4 2018","Currency=INR","Period=FQ","BEST_FPERIOD_OVERRIDE=FQ","FILING_STATUS=OR","EQY_CONSOLIDATED=Y","Sort=A","Dates=H","DateFormat=P","Fill=—","Direction=H","UseDPDF=Y")</f>
        <v>#NAME?</v>
      </c>
      <c r="AK602" s="2" t="e">
        <f ca="1">_xll.BDH($C$578,"BVPS_GROWTH","FQ4 2018","FQ4 2018","Currency=INR","Period=FQ","BEST_FPERIOD_OVERRIDE=FQ","FILING_STATUS=OR","EQY_CONSOLIDATED=Y","Sort=A","Dates=H","DateFormat=P","Fill=—","Direction=H","UseDPDF=Y")</f>
        <v>#NAME?</v>
      </c>
      <c r="AL602" s="2" t="e">
        <f ca="1">_xll.BDH($C$578,"CASH_FLOW_GROWTH","FQ4 2018","FQ4 2018","Currency=INR","Period=FQ","BEST_FPERIOD_OVERRIDE=FQ","FILING_STATUS=OR","EQY_CONSOLIDATED=Y","Sort=A","Dates=H","DateFormat=P","Fill=—","Direction=H","UseDPDF=Y")</f>
        <v>#NAME?</v>
      </c>
      <c r="AM602" s="2" t="e">
        <f ca="1">_xll.BDH($C$578,"GEO_GROW_NET_SALES","FQ4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02" s="2" t="e">
        <f ca="1">_xll.BDH($C$578,"GEO_GROW_EBITDA","FQ4 2018","FQ4 2018","Currency=INR","Period=FQ","BEST_FPERIOD_OVERRIDE=FQ","FILING_STATUS=OR","EQY_CONSOLIDATED=Y","FA_ADJUSTED=GAAP","Sort=A","Dates=H","DateFormat=P","Fill=—","Direction=H","UseDPDF=Y")</f>
        <v>#NAME?</v>
      </c>
      <c r="AO602" s="2" t="e">
        <f ca="1">_xll.BDH($C$578,"GEO_GROW_OPER_INC","FQ4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02" s="2" t="e">
        <f ca="1">_xll.BDH($C$578,"NET_INCOME_TO_COMMON_5_YR_GROWTH","FQ4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02" s="2" t="e">
        <f ca="1">_xll.BDH($C$578,"5Y_GEO_GROWTH_DILUTED_EPS","FQ4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02" s="2" t="e">
        <f ca="1">_xll.BDH($C$578,"GEO_GROW_DVD_PER_SH","FQ4 2018","FQ4 2018","Currency=INR","Period=FQ","BEST_FPERIOD_OVERRIDE=FQ","FILING_STATUS=OR","EQY_CONSOLIDATED=Y","Sort=A","Dates=H","DateFormat=P","Fill=—","Direction=H","UseDPDF=Y")</f>
        <v>#NAME?</v>
      </c>
      <c r="AS602" s="2" t="e">
        <f ca="1">_xll.BDH($C$578,"ACCOUNTS_RECEIVABLE_5_YR_GROWTH","FQ4 2018","FQ4 2018","Currency=INR","Period=FQ","BEST_FPERIOD_OVERRIDE=FQ","FILING_STATUS=OR","EQY_CONSOLIDATED=Y","Sort=A","Dates=H","DateFormat=P","Fill=—","Direction=H","UseDPDF=Y")</f>
        <v>#NAME?</v>
      </c>
      <c r="AT602" s="2" t="e">
        <f ca="1">_xll.BDH($C$578,"INVENTORY_5_YEAR_GROWTH","FQ4 2018","FQ4 2018","Currency=INR","Period=FQ","BEST_FPERIOD_OVERRIDE=FQ","FILING_STATUS=OR","EQY_CONSOLIDATED=Y","Sort=A","Dates=H","DateFormat=P","Fill=—","Direction=H","UseDPDF=Y")</f>
        <v>#NAME?</v>
      </c>
      <c r="AU602" s="2" t="e">
        <f ca="1">_xll.BDH($C$578,"NET_FIXED_ASSETS_5_YEAR_GROWTH","FQ4 2018","FQ4 2018","Currency=INR","Period=FQ","BEST_FPERIOD_OVERRIDE=FQ","FILING_STATUS=OR","EQY_CONSOLIDATED=Y","Sort=A","Dates=H","DateFormat=P","Fill=—","Direction=H","UseDPDF=Y")</f>
        <v>#NAME?</v>
      </c>
      <c r="AV602" s="2" t="e">
        <f ca="1">_xll.BDH($C$578,"GEO_GROW_TOT_ASSET","FQ4 2018","FQ4 2018","Currency=INR","Period=FQ","BEST_FPERIOD_OVERRIDE=FQ","FILING_STATUS=OR","EQY_CONSOLIDATED=Y","Sort=A","Dates=H","DateFormat=P","Fill=—","Direction=H","UseDPDF=Y")</f>
        <v>#NAME?</v>
      </c>
      <c r="AW602" s="2" t="e">
        <f ca="1">_xll.BDH($C$578,"MODIFIED_WORKING_CPTL_5YR_GRWTH","FQ4 2018","FQ4 2018","Currency=INR","Period=FQ","BEST_FPERIOD_OVERRIDE=FQ","FILING_STATUS=OR","EQY_CONSOLIDATED=Y","Sort=A","Dates=H","DateFormat=P","Fill=—","Direction=H","UseDPDF=Y")</f>
        <v>#NAME?</v>
      </c>
      <c r="AX602" s="2" t="e">
        <f ca="1">_xll.BDH($C$578,"WORKING_CAPITAL_5_YEAR_GROWTH","FQ4 2018","FQ4 2018","Currency=INR","Period=FQ","BEST_FPERIOD_OVERRIDE=FQ","FILING_STATUS=OR","EQY_CONSOLIDATED=Y","Sort=A","Dates=H","DateFormat=P","Fill=—","Direction=H","UseDPDF=Y")</f>
        <v>#NAME?</v>
      </c>
      <c r="AY602" s="2" t="e">
        <f ca="1">_xll.BDH($C$578,"ACCOUNTS_PAYABLE_5_YEAR_GROWTH","FQ4 2018","FQ4 2018","Currency=INR","Period=FQ","BEST_FPERIOD_OVERRIDE=FQ","FILING_STATUS=OR","EQY_CONSOLIDATED=Y","Sort=A","Dates=H","DateFormat=P","Fill=—","Direction=H","UseDPDF=Y")</f>
        <v>#NAME?</v>
      </c>
      <c r="AZ602" s="2" t="e">
        <f ca="1">_xll.BDH($C$578,"SHORT_TERM_DEBT_5_YEAR_GROWTH","FQ4 2018","FQ4 2018","Currency=INR","Period=FQ","BEST_FPERIOD_OVERRIDE=FQ","FILING_STATUS=OR","EQY_CONSOLIDATED=Y","Sort=A","Dates=H","DateFormat=P","Fill=—","Direction=H","UseDPDF=Y")</f>
        <v>#NAME?</v>
      </c>
      <c r="BA602" s="2" t="e">
        <f ca="1">_xll.BDH($C$578,"TOTAL_DEBT_5_YEAR_GROWTH","FQ4 2018","FQ4 2018","Currency=INR","Period=FQ","BEST_FPERIOD_OVERRIDE=FQ","FILING_STATUS=OR","EQY_CONSOLIDATED=Y","Sort=A","Dates=H","DateFormat=P","Fill=—","Direction=H","UseDPDF=Y")</f>
        <v>#NAME?</v>
      </c>
      <c r="BB602" s="2" t="e">
        <f ca="1">_xll.BDH($C$578,"GEO_GROW_TOT_SHRHLDR_EQY","FQ4 2018","FQ4 2018","Currency=INR","Period=FQ","BEST_FPERIOD_OVERRIDE=FQ","FILING_STATUS=OR","EQY_CONSOLIDATED=Y","Sort=A","Dates=H","DateFormat=P","Fill=—","Direction=H","UseDPDF=Y")</f>
        <v>#NAME?</v>
      </c>
      <c r="BC602" s="2" t="e">
        <f ca="1">_xll.BDH($C$578,"TOTAL_CAPITAL_5_YEAR_GROWTH","FQ4 2018","FQ4 2018","Currency=INR","Period=FQ","BEST_FPERIOD_OVERRIDE=FQ","FILING_STATUS=OR","EQY_CONSOLIDATED=Y","Sort=A","Dates=H","DateFormat=P","Fill=—","Direction=H","UseDPDF=Y")</f>
        <v>#NAME?</v>
      </c>
      <c r="BD602" s="2" t="e">
        <f ca="1">_xll.BDH($C$578,"GEO_GROW_BOOK_VAL","FQ4 2018","FQ4 2018","Currency=INR","Period=FQ","BEST_FPERIOD_OVERRIDE=FQ","FILING_STATUS=OR","EQY_CONSOLIDATED=Y","Sort=A","Dates=H","DateFormat=P","Fill=—","Direction=H","UseDPDF=Y")</f>
        <v>#NAME?</v>
      </c>
      <c r="BE602" s="2" t="e">
        <f ca="1">_xll.BDH($C$578,"GEO_GROW_CASH_OPER_ACT","FQ4 2018","FQ4 2018","Currency=INR","Period=FQ","BEST_FPERIOD_OVERRIDE=FQ","FILING_STATUS=OR","EQY_CONSOLIDATED=Y","Sort=A","Dates=H","DateFormat=P","Fill=—","Direction=H","UseDPDF=Y")</f>
        <v>#NAME?</v>
      </c>
      <c r="BF602" s="2" t="e">
        <f ca="1">_xll.BDH($C$578,"REVENUE_SEQUENTIAL_GROWTH","FQ4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02" s="2" t="e">
        <f ca="1">_xll.BDH($C$578,"EBITDA_SEQUENTIAL_GROWTH","FQ4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02" s="2" t="e">
        <f ca="1">_xll.BDH($C$578,"OPERATING_INCOME_SEQ_GROWTH","FQ4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02" s="2" t="e">
        <f ca="1">_xll.BDH($C$578,"NET_INCOME_TO_COMMON_SEQ_GROWTH","FQ4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02" s="2" t="e">
        <f ca="1">_xll.BDH($C$578,"EPS_DILUTED_SEQUENTIAL_GROWTH","FQ4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02" s="2" t="e">
        <f ca="1">_xll.BDH($C$578,"DPS_SEQUENTIAL_GROWTH","FQ4 2018","FQ4 2018","Currency=INR","Period=FQ","BEST_FPERIOD_OVERRIDE=FQ","FILING_STATUS=OR","EQY_CONSOLIDATED=Y","Sort=A","Dates=H","DateFormat=P","Fill=—","Direction=H","UseDPDF=Y")</f>
        <v>#NAME?</v>
      </c>
      <c r="BL602" s="2" t="e">
        <f ca="1">_xll.BDH($C$578,"ACCOUNTS_RECEIVABLE_SEQ_GROWTH","FQ4 2018","FQ4 2018","Currency=INR","Period=FQ","BEST_FPERIOD_OVERRIDE=FQ","FILING_STATUS=OR","EQY_CONSOLIDATED=Y","Sort=A","Dates=H","DateFormat=P","Fill=—","Direction=H","UseDPDF=Y")</f>
        <v>#NAME?</v>
      </c>
      <c r="BM602" s="2" t="e">
        <f ca="1">_xll.BDH($C$578,"INVENTORY_SEQUENTIAL_GROWTH","FQ4 2018","FQ4 2018","Currency=INR","Period=FQ","BEST_FPERIOD_OVERRIDE=FQ","FILING_STATUS=OR","EQY_CONSOLIDATED=Y","Sort=A","Dates=H","DateFormat=P","Fill=—","Direction=H","UseDPDF=Y")</f>
        <v>#NAME?</v>
      </c>
      <c r="BN602" s="2" t="e">
        <f ca="1">_xll.BDH($C$578,"FIXED_ASSETS_SEQUENTIAL_GROWTH","FQ4 2018","FQ4 2018","Currency=INR","Period=FQ","BEST_FPERIOD_OVERRIDE=FQ","FILING_STATUS=OR","EQY_CONSOLIDATED=Y","Sort=A","Dates=H","DateFormat=P","Fill=—","Direction=H","UseDPDF=Y")</f>
        <v>#NAME?</v>
      </c>
      <c r="BO602" s="2" t="e">
        <f ca="1">_xll.BDH($C$578,"TOTAL_ASSETS_SEQUENTIAL_GROWTH","FQ4 2018","FQ4 2018","Currency=INR","Period=FQ","BEST_FPERIOD_OVERRIDE=FQ","FILING_STATUS=OR","EQY_CONSOLIDATED=Y","Sort=A","Dates=H","DateFormat=P","Fill=—","Direction=H","UseDPDF=Y")</f>
        <v>#NAME?</v>
      </c>
      <c r="BP602" s="2" t="e">
        <f ca="1">_xll.BDH($C$578,"MODIFIED_WORKING_CPTL_SEQ_GRWTH","FQ4 2018","FQ4 2018","Currency=INR","Period=FQ","BEST_FPERIOD_OVERRIDE=FQ","FILING_STATUS=OR","EQY_CONSOLIDATED=Y","Sort=A","Dates=H","DateFormat=P","Fill=—","Direction=H","UseDPDF=Y")</f>
        <v>#NAME?</v>
      </c>
      <c r="BQ602" s="2" t="e">
        <f ca="1">_xll.BDH($C$578,"WORKING_CAPITAL_SEQ_GROWTH","FQ4 2018","FQ4 2018","Currency=INR","Period=FQ","BEST_FPERIOD_OVERRIDE=FQ","FILING_STATUS=OR","EQY_CONSOLIDATED=Y","Sort=A","Dates=H","DateFormat=P","Fill=—","Direction=H","UseDPDF=Y")</f>
        <v>#NAME?</v>
      </c>
      <c r="BR602" s="2" t="e">
        <f ca="1">_xll.BDH($C$578,"ACCOUNTS_PAYABLE_SEQ_GROWTH","FQ4 2018","FQ4 2018","Currency=INR","Period=FQ","BEST_FPERIOD_OVERRIDE=FQ","FILING_STATUS=OR","EQY_CONSOLIDATED=Y","Sort=A","Dates=H","DateFormat=P","Fill=—","Direction=H","UseDPDF=Y")</f>
        <v>#NAME?</v>
      </c>
      <c r="BS602" s="2" t="e">
        <f ca="1">_xll.BDH($C$578,"ST_DEBT_SEQUENTIAL_GROWTH","FQ4 2018","FQ4 2018","Currency=INR","Period=FQ","BEST_FPERIOD_OVERRIDE=FQ","FILING_STATUS=OR","EQY_CONSOLIDATED=Y","Sort=A","Dates=H","DateFormat=P","Fill=—","Direction=H","UseDPDF=Y")</f>
        <v>#NAME?</v>
      </c>
      <c r="BT602" s="2" t="e">
        <f ca="1">_xll.BDH($C$578,"TOTAL_DEBT_SEQUENTIAL_GROWTH","FQ4 2018","FQ4 2018","Currency=INR","Period=FQ","BEST_FPERIOD_OVERRIDE=FQ","FILING_STATUS=OR","EQY_CONSOLIDATED=Y","Sort=A","Dates=H","DateFormat=P","Fill=—","Direction=H","UseDPDF=Y")</f>
        <v>#NAME?</v>
      </c>
      <c r="BU602" s="2" t="e">
        <f ca="1">_xll.BDH($C$578,"TOTAL_EQUITY_SEQUENTIAL_GROWTH","FQ4 2018","FQ4 2018","Currency=INR","Period=FQ","BEST_FPERIOD_OVERRIDE=FQ","FILING_STATUS=OR","EQY_CONSOLIDATED=Y","Sort=A","Dates=H","DateFormat=P","Fill=—","Direction=H","UseDPDF=Y")</f>
        <v>#NAME?</v>
      </c>
      <c r="BV602" s="2" t="e">
        <f ca="1">_xll.BDH($C$578,"TOTAL_CAPITAL_SEQUENTIAL_GROWTH","FQ4 2018","FQ4 2018","Currency=INR","Period=FQ","BEST_FPERIOD_OVERRIDE=FQ","FILING_STATUS=OR","EQY_CONSOLIDATED=Y","Sort=A","Dates=H","DateFormat=P","Fill=—","Direction=H","UseDPDF=Y")</f>
        <v>#NAME?</v>
      </c>
      <c r="BW602" s="2" t="e">
        <f ca="1">_xll.BDH($C$578,"BPS_SEQUENTIAL_GROWTH","FQ4 2018","FQ4 2018","Currency=INR","Period=FQ","BEST_FPERIOD_OVERRIDE=FQ","FILING_STATUS=OR","EQY_CONSOLIDATED=Y","Sort=A","Dates=H","DateFormat=P","Fill=—","Direction=H","UseDPDF=Y")</f>
        <v>#NAME?</v>
      </c>
      <c r="BX602" s="2" t="e">
        <f ca="1">_xll.BDH($C$578,"CFO_SEQUENTIAL_GROWTH","FQ4 2018","FQ4 2018","Currency=INR","Period=FQ","BEST_FPERIOD_OVERRIDE=FQ","FILING_STATUS=OR","EQY_CONSOLIDATED=Y","Sort=A","Dates=H","DateFormat=P","Fill=—","Direction=H","UseDPDF=Y")</f>
        <v>#NAME?</v>
      </c>
      <c r="BY602" s="3" t="e">
        <f ca="1">_xll.BDH($C$578,"SHORT_AND_LONG_TERM_DEBT","FQ4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02" s="3" t="e">
        <f ca="1">_xll.BDH($C$578,"BS_ST_BORROW","FQ4 2018","FQ4 2018","Currency=INR","Period=FQ","BEST_FPERIOD_OVERRIDE=FQ","FILING_STATUS=OR","EQY_CONSOLIDATED=Y","SCALING_FORMAT=MLN","Sort=A","Dates=H","DateFormat=P","Fill=—","Direction=H","UseDPDF=Y")</f>
        <v>#NAME?</v>
      </c>
      <c r="CA602" s="3" t="e">
        <f ca="1">_xll.BDH($C$578,"BS_LT_BORROW","FQ4 2018","FQ4 2018","Currency=INR","Period=FQ","BEST_FPERIOD_OVERRIDE=FQ","FILING_STATUS=OR","EQY_CONSOLIDATED=Y","SCALING_FORMAT=MLN","Sort=A","Dates=H","DateFormat=P","Fill=—","Direction=H","UseDPDF=Y")</f>
        <v>#NAME?</v>
      </c>
      <c r="CB602" s="2" t="e">
        <f ca="1">_xll.BDH($C$578,"TOT_DEBT_TO_EBITDA","FQ4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02" s="2" t="e">
        <f ca="1">_xll.BDH($C$578,"NET_DEBT_TO_EBITDA","FQ4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02" s="2" t="e">
        <f ca="1">_xll.BDH($C$578,"TOTAL_DEBT_TO_EBIT","FQ4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02" s="2" t="e">
        <f ca="1">_xll.BDH($C$578,"NET_DEBT_TO_EBIT","FQ4 2018","FQ4 2018","Currency=INR","Period=FQ","BEST_FPERIOD_OVERRIDE=FQ","FILING_STATUS=OR","EQY_CONSOLIDATED=Y","FA_ADJUSTED=GAAP","Sort=A","Dates=H","DateFormat=P","Fill=—","Direction=H","UseDPDF=Y")</f>
        <v>#NAME?</v>
      </c>
      <c r="CF602" s="2" t="e">
        <f ca="1">_xll.BDH($C$578,"EBITDA_TO_INTEREST_EXPN","FQ4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02" s="2" t="e">
        <f ca="1">_xll.BDH($C$578,"COM_EQY_TO_TOT_ASSET","FQ4 2018","FQ4 2018","Currency=INR","Period=FQ","BEST_FPERIOD_OVERRIDE=FQ","FILING_STATUS=OR","EQY_CONSOLIDATED=Y","Sort=A","Dates=H","DateFormat=P","Fill=—","Direction=H","UseDPDF=Y")</f>
        <v>#NAME?</v>
      </c>
      <c r="CH602" s="2" t="e">
        <f ca="1">_xll.BDH($C$578,"LT_DEBT_TO_TOT_EQY","FQ4 2018","FQ4 2018","Currency=INR","Period=FQ","BEST_FPERIOD_OVERRIDE=FQ","FILING_STATUS=OR","EQY_CONSOLIDATED=Y","Sort=A","Dates=H","DateFormat=P","Fill=—","Direction=H","UseDPDF=Y")</f>
        <v>#NAME?</v>
      </c>
      <c r="CI602" s="2" t="e">
        <f ca="1">_xll.BDH($C$578,"LT_DEBT_TO_TOT_CAP","FQ4 2018","FQ4 2018","Currency=INR","Period=FQ","BEST_FPERIOD_OVERRIDE=FQ","FILING_STATUS=OR","EQY_CONSOLIDATED=Y","Sort=A","Dates=H","DateFormat=P","Fill=—","Direction=H","UseDPDF=Y")</f>
        <v>#NAME?</v>
      </c>
      <c r="CJ602" s="2" t="e">
        <f ca="1">_xll.BDH($C$578,"LT_DEBT_TO_TOT_ASSET","FQ4 2018","FQ4 2018","Currency=INR","Period=FQ","BEST_FPERIOD_OVERRIDE=FQ","FILING_STATUS=OR","EQY_CONSOLIDATED=Y","Sort=A","Dates=H","DateFormat=P","Fill=—","Direction=H","UseDPDF=Y")</f>
        <v>#NAME?</v>
      </c>
      <c r="CK602" s="2" t="e">
        <f ca="1">_xll.BDH($C$578,"TOT_DEBT_TO_TOT_EQY","FQ4 2018","FQ4 2018","Currency=INR","Period=FQ","BEST_FPERIOD_OVERRIDE=FQ","FILING_STATUS=OR","EQY_CONSOLIDATED=Y","Sort=A","Dates=H","DateFormat=P","Fill=—","Direction=H","UseDPDF=Y")</f>
        <v>#NAME?</v>
      </c>
      <c r="CL602" s="2" t="e">
        <f ca="1">_xll.BDH($C$578,"TOT_DEBT_TO_TOT_CAP","FQ4 2018","FQ4 2018","Currency=INR","Period=FQ","BEST_FPERIOD_OVERRIDE=FQ","FILING_STATUS=OR","EQY_CONSOLIDATED=Y","Sort=A","Dates=H","DateFormat=P","Fill=—","Direction=H","UseDPDF=Y")</f>
        <v>#NAME?</v>
      </c>
      <c r="CM602" s="2" t="e">
        <f ca="1">_xll.BDH($C$578,"TOT_DEBT_TO_TOT_ASSET","FQ4 2018","FQ4 2018","Currency=INR","Period=FQ","BEST_FPERIOD_OVERRIDE=FQ","FILING_STATUS=OR","EQY_CONSOLIDATED=Y","Sort=A","Dates=H","DateFormat=P","Fill=—","Direction=H","UseDPDF=Y")</f>
        <v>#NAME?</v>
      </c>
      <c r="CN602" s="2" t="e">
        <f ca="1">_xll.BDH($C$578,"NET_DEBT_TO_SHRHLDR_EQTY","FQ4 2018","FQ4 2018","Currency=INR","Period=FQ","BEST_FPERIOD_OVERRIDE=FQ","FILING_STATUS=OR","EQY_CONSOLIDATED=Y","Sort=A","Dates=H","DateFormat=P","Fill=—","Direction=H","UseDPDF=Y")</f>
        <v>#NAME?</v>
      </c>
      <c r="CO602" s="2" t="e">
        <f ca="1">_xll.BDH($C$578,"NET_DEBT_%_CAPITAL","FQ4 2018","FQ4 2018","Currency=INR","Period=FQ","BEST_FPERIOD_OVERRIDE=FQ","FILING_STATUS=OR","EQY_CONSOLIDATED=Y","Sort=A","Dates=H","DateFormat=P","Fill=—","Direction=H","UseDPDF=Y")</f>
        <v>#NAME?</v>
      </c>
      <c r="CP602" s="3" t="e">
        <f ca="1">_xll.BDH($C$578,"EBITDA","FQ4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02" s="3" t="e">
        <f ca="1">_xll.BDH($C$578,"EBITDA_AFTER_CAPEX","FQ4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02" s="3" t="e">
        <f ca="1">_xll.BDH($C$578,"IS_OPER_INC","FQ4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02" s="2" t="e">
        <f ca="1">_xll.BDH($C$578,"CASH_RATIO","FQ4 2018","FQ4 2018","Currency=INR","Period=FQ","BEST_FPERIOD_OVERRIDE=FQ","FILING_STATUS=OR","EQY_CONSOLIDATED=Y","Sort=A","Dates=H","DateFormat=P","Fill=—","Direction=H","UseDPDF=Y")</f>
        <v>#NAME?</v>
      </c>
      <c r="CT602" s="2" t="e">
        <f ca="1">_xll.BDH($C$578,"CUR_RATIO","FQ4 2018","FQ4 2018","Currency=INR","Period=FQ","BEST_FPERIOD_OVERRIDE=FQ","FILING_STATUS=OR","EQY_CONSOLIDATED=Y","Sort=A","Dates=H","DateFormat=P","Fill=—","Direction=H","UseDPDF=Y")</f>
        <v>#NAME?</v>
      </c>
      <c r="CU602" s="2" t="e">
        <f ca="1">_xll.BDH($C$578,"QUICK_RATIO","FQ4 2018","FQ4 2018","Currency=INR","Period=FQ","BEST_FPERIOD_OVERRIDE=FQ","FILING_STATUS=OR","EQY_CONSOLIDATED=Y","Sort=A","Dates=H","DateFormat=P","Fill=—","Direction=H","UseDPDF=Y")</f>
        <v>#NAME?</v>
      </c>
      <c r="CV602" s="2" t="e">
        <f ca="1">_xll.BDH($C$578,"ALTMAN_Z_SCORE","FQ4 2018","FQ4 2018","Currency=INR","Period=FQ","BEST_FPERIOD_OVERRIDE=FQ","FILING_STATUS=OR","EQY_CONSOLIDATED=Y","Sort=A","Dates=H","DateFormat=P","Fill=—","Direction=H","UseDPDF=Y")</f>
        <v>#NAME?</v>
      </c>
      <c r="CW602" s="4" t="e">
        <f ca="1">_xll.BDH($C$578,"ACCT_RCV_TURN","FQ4 2018","FQ4 2018","Currency=INR","Period=FQ","BEST_FPERIOD_OVERRIDE=FQ","FILING_STATUS=OR","EQY_CONSOLIDATED=Y","FA_ADJUSTED=GAAP","Sort=A","Dates=H","DateFormat=P","Fill=—","Direction=H","UseDPDF=Y")</f>
        <v>#NAME?</v>
      </c>
      <c r="CX602" s="2" t="e">
        <f ca="1">_xll.BDH($C$578,"ACCT_RCV_DAYS","FQ4 2018","FQ4 2018","Currency=INR","Period=FQ","BEST_FPERIOD_OVERRIDE=FQ","FILING_STATUS=OR","EQY_CONSOLIDATED=Y","FA_ADJUSTED=GAAP","Sort=A","Dates=H","DateFormat=P","Fill=—","Direction=H","UseDPDF=Y")</f>
        <v>#NAME?</v>
      </c>
      <c r="CY602" s="4" t="e">
        <f ca="1">_xll.BDH($C$578,"INVENT_TURN","FQ4 2018","FQ4 2018","Currency=INR","Period=FQ","BEST_FPERIOD_OVERRIDE=FQ","FILING_STATUS=OR","EQY_CONSOLIDATED=Y","FA_ADJUSTED=GAAP","Sort=A","Dates=H","DateFormat=P","Fill=—","Direction=H","UseDPDF=Y")</f>
        <v>#NAME?</v>
      </c>
      <c r="CZ602" s="2" t="e">
        <f ca="1">_xll.BDH($C$578,"INVENT_DAYS","FQ4 2018","FQ4 2018","Currency=INR","Period=FQ","BEST_FPERIOD_OVERRIDE=FQ","FILING_STATUS=OR","EQY_CONSOLIDATED=Y","FA_ADJUSTED=GAAP","Sort=A","Dates=H","DateFormat=P","Fill=—","Direction=H","UseDPDF=Y")</f>
        <v>#NAME?</v>
      </c>
      <c r="DA602" s="4" t="e">
        <f ca="1">_xll.BDH($C$578,"ACCOUNTS_PAYABLE_TURNOVER","FQ4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02" s="2" t="e">
        <f ca="1">_xll.BDH($C$578,"ACCOUNTS_PAYABLE_TURNOVER_DAYS","FQ4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02" s="4" t="e">
        <f ca="1">_xll.BDH($C$578,"CASH_CONVERSION_CYCLE","FQ4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02" s="4" t="e">
        <f ca="1">_xll.BDH($C$578,"INV_TO_CASH_DAYS","FQ4 2018","FQ4 2018","Currency=INR","Period=FQ","BEST_FPERIOD_OVERRIDE=FQ","FILING_STATUS=OR","EQY_CONSOLIDATED=Y","FA_ADJUSTED=GAAP","Sort=A","Dates=H","DateFormat=P","Fill=—","Direction=H","UseDPDF=Y")</f>
        <v>#NAME?</v>
      </c>
      <c r="DE602" s="5" t="e">
        <f ca="1">_xll.BDH($C$578,"BS_INVENTORIES","FQ4 2018","FQ4 2018","Currency=INR","Period=FQ","BEST_FPERIOD_OVERRIDE=FQ","FILING_STATUS=OR","EQY_CONSOLIDATED=Y","SCALING_FORMAT=MLN","Sort=A","Dates=H","DateFormat=P","Fill=—","Direction=H","UseDPDF=Y")</f>
        <v>#NAME?</v>
      </c>
      <c r="DF602" s="3" t="e">
        <f ca="1">_xll.BDH($C$578,"INVTRY_RAW_MATERIALS","FQ4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02" s="3" t="e">
        <f ca="1">_xll.BDH($C$578,"INVTRY_IN_PROGRESS","FQ4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02" s="3" t="e">
        <f ca="1">_xll.BDH($C$578,"INVTRY_FINISHED_GOODS","FQ4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02" s="3" t="e">
        <f ca="1">_xll.BDH($C$578,"BS_OTHER_INV","FQ4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603" spans="1:113" x14ac:dyDescent="0.3">
      <c r="A603" s="6">
        <v>100</v>
      </c>
      <c r="B603" s="6" t="s">
        <v>131</v>
      </c>
      <c r="C603" s="6" t="s">
        <v>132</v>
      </c>
      <c r="D603" s="6" t="s">
        <v>76</v>
      </c>
      <c r="E603" t="s">
        <v>77</v>
      </c>
      <c r="F603" t="e">
        <f ca="1">_xll.BDH($C$603,"RETURN_COM_EQY","FY 2014","FY 2014","Currency=INR","Period=FY","BEST_FPERIOD_OVERRIDE=FY","FILING_STATUS=OR","EQY_CONSOLIDATED=Y","FA_ADJUSTED=GAAP","Sort=A","Dates=H","DateFormat=P","Fill=—","Direction=H","UseDPDF=Y")</f>
        <v>#NAME?</v>
      </c>
      <c r="G603" t="e">
        <f ca="1">_xll.BDH($C$603,"RETURN_ON_ASSET","FY 2014","FY 2014","Currency=INR","Period=FY","BEST_FPERIOD_OVERRIDE=FY","FILING_STATUS=OR","EQY_CONSOLIDATED=Y","FA_ADJUSTED=GAAP","Sort=A","Dates=H","DateFormat=P","Fill=—","Direction=H","UseDPDF=Y")</f>
        <v>#NAME?</v>
      </c>
      <c r="H603" t="e">
        <f ca="1">_xll.BDH($C$603,"RETURN_ON_CAP","FY 2014","FY 2014","Currency=INR","Period=FY","BEST_FPERIOD_OVERRIDE=FY","FILING_STATUS=OR","EQY_CONSOLIDATED=Y","FA_ADJUSTED=GAAP","Sort=A","Dates=H","DateFormat=P","Fill=—","Direction=H","UseDPDF=Y")</f>
        <v>#NAME?</v>
      </c>
      <c r="I603" t="e">
        <f ca="1">_xll.BDH($C$603,"RETURN_ON_INV_CAPITAL","FY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603" t="e">
        <f ca="1">_xll.BDH($C$603,"EBITDA_TO_REVENUE","FY 2014","FY 2014","Currency=INR","Period=FY","BEST_FPERIOD_OVERRIDE=FY","FILING_STATUS=OR","EQY_CONSOLIDATED=Y","FA_ADJUSTED=GAAP","Sort=A","Dates=H","DateFormat=P","Fill=—","Direction=H","UseDPDF=Y")</f>
        <v>#NAME?</v>
      </c>
      <c r="K603" t="e">
        <f ca="1">_xll.BDH($C$603,"OPER_MARGIN","FY 2014","FY 2014","Currency=INR","Period=FY","BEST_FPERIOD_OVERRIDE=FY","FILING_STATUS=OR","EQY_CONSOLIDATED=Y","FA_ADJUSTED=GAAP","Sort=A","Dates=H","DateFormat=P","Fill=—","Direction=H","UseDPDF=Y")</f>
        <v>#NAME?</v>
      </c>
      <c r="L603" t="e">
        <f ca="1">_xll.BDH($C$603,"INCREMENTAL_OPERATING_MARGIN","FY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603" t="e">
        <f ca="1">_xll.BDH($C$603,"PRETAX_INC_TO_NET_SALES","FY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603" t="e">
        <f ca="1">_xll.BDH($C$603,"INC_BEF_XO_ITEMS_TO_NET_SALES","FY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603" t="e">
        <f ca="1">_xll.BDH($C$603,"PROF_MARGIN","FY 2014","FY 2014","Currency=INR","Period=FY","BEST_FPERIOD_OVERRIDE=FY","FILING_STATUS=OR","EQY_CONSOLIDATED=Y","FA_ADJUSTED=GAAP","Sort=A","Dates=H","DateFormat=P","Fill=—","Direction=H","UseDPDF=Y")</f>
        <v>#NAME?</v>
      </c>
      <c r="P603" t="e">
        <f ca="1">_xll.BDH($C$603,"NET_INCOME_TO_COMMON_MARGIN","FY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603" t="e">
        <f ca="1">_xll.BDH($C$603,"EFF_TAX_RATE","FY 2014","FY 2014","Currency=INR","Period=FY","BEST_FPERIOD_OVERRIDE=FY","FILING_STATUS=OR","EQY_CONSOLIDATED=Y","FA_ADJUSTED=GAAP","Sort=A","Dates=H","DateFormat=P","Fill=—","Direction=H","UseDPDF=Y")</f>
        <v>#NAME?</v>
      </c>
      <c r="R603" t="e">
        <f ca="1">_xll.BDH($C$603,"DVD_PAYOUT_RATIO","FY 2014","FY 2014","Currency=INR","Period=FY","BEST_FPERIOD_OVERRIDE=FY","FILING_STATUS=OR","EQY_CONSOLIDATED=Y","FA_ADJUSTED=GAAP","Sort=A","Dates=H","DateFormat=P","Fill=—","Direction=H","UseDPDF=Y")</f>
        <v>#NAME?</v>
      </c>
      <c r="S603" t="e">
        <f ca="1">_xll.BDH($C$603,"SUSTAIN_GROWTH_RT","FY 2014","FY 2014","Currency=INR","Period=FY","BEST_FPERIOD_OVERRIDE=FY","FILING_STATUS=OR","EQY_CONSOLIDATED=Y","FA_ADJUSTED=GAAP","Sort=A","Dates=H","DateFormat=P","Fill=—","Direction=H","UseDPDF=Y")</f>
        <v>#NAME?</v>
      </c>
      <c r="T603" s="2" t="e">
        <f ca="1">_xll.BDH($C$603,"SALES_GROWTH","FY 2014","FY 2014","Currency=INR","Period=FY","BEST_FPERIOD_OVERRIDE=FY","FILING_STATUS=OR","EQY_CONSOLIDATED=Y","FA_ADJUSTED=GAAP","Sort=A","Dates=H","DateFormat=P","Fill=—","Direction=H","UseDPDF=Y")</f>
        <v>#NAME?</v>
      </c>
      <c r="U603" s="2" t="e">
        <f ca="1">_xll.BDH($C$603,"EBITDA_GROWTH","FY 2014","FY 2014","Currency=INR","Period=FY","BEST_FPERIOD_OVERRIDE=FY","FILING_STATUS=OR","EQY_CONSOLIDATED=Y","FA_ADJUSTED=GAAP","Sort=A","Dates=H","DateFormat=P","Fill=—","Direction=H","UseDPDF=Y")</f>
        <v>#NAME?</v>
      </c>
      <c r="V603" s="2" t="e">
        <f ca="1">_xll.BDH($C$603,"OPER_INC_GROWTH","FY 2014","FY 2014","Currency=INR","Period=FY","BEST_FPERIOD_OVERRIDE=FY","FILING_STATUS=OR","EQY_CONSOLIDATED=Y","FA_ADJUSTED=GAAP","Sort=A","Dates=H","DateFormat=P","Fill=—","Direction=H","UseDPDF=Y")</f>
        <v>#NAME?</v>
      </c>
      <c r="W603" s="2" t="e">
        <f ca="1">_xll.BDH($C$603,"EARN_FOR_COM_GROWTH","FY 2014","FY 2014","Currency=INR","Period=FY","BEST_FPERIOD_OVERRIDE=FY","FILING_STATUS=OR","EQY_CONSOLIDATED=Y","FA_ADJUSTED=GAAP","Sort=A","Dates=H","DateFormat=P","Fill=—","Direction=H","UseDPDF=Y")</f>
        <v>#NAME?</v>
      </c>
      <c r="X603" s="2" t="e">
        <f ca="1">_xll.BDH($C$603,"DILUTED_EPS_AFT_XO_ITEMS_GROWTH","FY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603" s="2" t="e">
        <f ca="1">_xll.BDH($C$603,"DIVIDEND_PER_SHARE_1_YEAR_GROWTH","FY 2014","FY 2014","Currency=INR","Period=FY","BEST_FPERIOD_OVERRIDE=FY","FILING_STATUS=OR","EQY_CONSOLIDATED=Y","Sort=A","Dates=H","DateFormat=P","Fill=—","Direction=H","UseDPDF=Y")</f>
        <v>#NAME?</v>
      </c>
      <c r="Z603" s="2" t="e">
        <f ca="1">_xll.BDH($C$603,"ACCOUNTS_RECEIVABLE_GROWTH","FY 2014","FY 2014","Currency=INR","Period=FY","BEST_FPERIOD_OVERRIDE=FY","FILING_STATUS=OR","EQY_CONSOLIDATED=Y","Sort=A","Dates=H","DateFormat=P","Fill=—","Direction=H","UseDPDF=Y")</f>
        <v>#NAME?</v>
      </c>
      <c r="AA603" s="2" t="e">
        <f ca="1">_xll.BDH($C$603,"INVENTORY_GROWTH","FY 2014","FY 2014","Currency=INR","Period=FY","BEST_FPERIOD_OVERRIDE=FY","FILING_STATUS=OR","EQY_CONSOLIDATED=Y","Sort=A","Dates=H","DateFormat=P","Fill=—","Direction=H","UseDPDF=Y")</f>
        <v>#NAME?</v>
      </c>
      <c r="AB603" s="2" t="e">
        <f ca="1">_xll.BDH($C$603,"NET_FIXED_ASSETS_1_YEAR_GROWTH","FY 2014","FY 2014","Currency=INR","Period=FY","BEST_FPERIOD_OVERRIDE=FY","FILING_STATUS=OR","EQY_CONSOLIDATED=Y","Sort=A","Dates=H","DateFormat=P","Fill=—","Direction=H","UseDPDF=Y")</f>
        <v>#NAME?</v>
      </c>
      <c r="AC603" s="2" t="e">
        <f ca="1">_xll.BDH($C$603,"ASSET_GROWTH","FY 2014","FY 2014","Currency=INR","Period=FY","BEST_FPERIOD_OVERRIDE=FY","FILING_STATUS=OR","EQY_CONSOLIDATED=Y","Sort=A","Dates=H","DateFormat=P","Fill=—","Direction=H","UseDPDF=Y")</f>
        <v>#NAME?</v>
      </c>
      <c r="AD603" s="2" t="e">
        <f ca="1">_xll.BDH($C$603,"MODIFIED_WORK_CAP_GROWTH","FY 2014","FY 2014","Currency=INR","Period=FY","BEST_FPERIOD_OVERRIDE=FY","FILING_STATUS=OR","EQY_CONSOLIDATED=Y","Sort=A","Dates=H","DateFormat=P","Fill=—","Direction=H","UseDPDF=Y")</f>
        <v>#NAME?</v>
      </c>
      <c r="AE603" s="2" t="e">
        <f ca="1">_xll.BDH($C$603,"WORK_CAP_GROWTH","FY 2014","FY 2014","Currency=INR","Period=FY","BEST_FPERIOD_OVERRIDE=FY","FILING_STATUS=OR","EQY_CONSOLIDATED=Y","Sort=A","Dates=H","DateFormat=P","Fill=—","Direction=H","UseDPDF=Y")</f>
        <v>#NAME?</v>
      </c>
      <c r="AF603" s="2" t="e">
        <f ca="1">_xll.BDH($C$603,"ACCOUNTS_PAYABLE_GROWTH_1YR","FY 2014","FY 2014","Currency=INR","Period=FY","BEST_FPERIOD_OVERRIDE=FY","FILING_STATUS=OR","EQY_CONSOLIDATED=Y","Sort=A","Dates=H","DateFormat=P","Fill=—","Direction=H","UseDPDF=Y")</f>
        <v>#NAME?</v>
      </c>
      <c r="AG603" s="2" t="e">
        <f ca="1">_xll.BDH($C$603,"SHORT_TERM_DEBT_1_YEAR_GROWTH","FY 2014","FY 2014","Currency=INR","Period=FY","BEST_FPERIOD_OVERRIDE=FY","FILING_STATUS=OR","EQY_CONSOLIDATED=Y","Sort=A","Dates=H","DateFormat=P","Fill=—","Direction=H","UseDPDF=Y")</f>
        <v>#NAME?</v>
      </c>
      <c r="AH603" s="2" t="e">
        <f ca="1">_xll.BDH($C$603,"TOTAL_DEBT_1_YEAR_GROWTH","FY 2014","FY 2014","Currency=INR","Period=FY","BEST_FPERIOD_OVERRIDE=FY","FILING_STATUS=OR","EQY_CONSOLIDATED=Y","Sort=A","Dates=H","DateFormat=P","Fill=—","Direction=H","UseDPDF=Y")</f>
        <v>#NAME?</v>
      </c>
      <c r="AI603" s="2" t="e">
        <f ca="1">_xll.BDH($C$603,"TOTAL_EQUITY_1_YEAR_GROWTH","FY 2014","FY 2014","Currency=INR","Period=FY","BEST_FPERIOD_OVERRIDE=FY","FILING_STATUS=OR","EQY_CONSOLIDATED=Y","Sort=A","Dates=H","DateFormat=P","Fill=—","Direction=H","UseDPDF=Y")</f>
        <v>#NAME?</v>
      </c>
      <c r="AJ603" s="2" t="e">
        <f ca="1">_xll.BDH($C$603,"GROWTH_IN_CAP","FY 2014","FY 2014","Currency=INR","Period=FY","BEST_FPERIOD_OVERRIDE=FY","FILING_STATUS=OR","EQY_CONSOLIDATED=Y","Sort=A","Dates=H","DateFormat=P","Fill=—","Direction=H","UseDPDF=Y")</f>
        <v>#NAME?</v>
      </c>
      <c r="AK603" s="2" t="e">
        <f ca="1">_xll.BDH($C$603,"BVPS_GROWTH","FY 2014","FY 2014","Currency=INR","Period=FY","BEST_FPERIOD_OVERRIDE=FY","FILING_STATUS=OR","EQY_CONSOLIDATED=Y","Sort=A","Dates=H","DateFormat=P","Fill=—","Direction=H","UseDPDF=Y")</f>
        <v>#NAME?</v>
      </c>
      <c r="AL603" s="2" t="e">
        <f ca="1">_xll.BDH($C$603,"CASH_FLOW_GROWTH","FY 2014","FY 2014","Currency=INR","Period=FY","BEST_FPERIOD_OVERRIDE=FY","FILING_STATUS=OR","EQY_CONSOLIDATED=Y","Sort=A","Dates=H","DateFormat=P","Fill=—","Direction=H","UseDPDF=Y")</f>
        <v>#NAME?</v>
      </c>
      <c r="AM603" s="2" t="e">
        <f ca="1">_xll.BDH($C$603,"GEO_GROW_NET_SALES","FY 2014","FY 2014","Currency=INR","Period=FY","BEST_FPERIOD_OVERRIDE=FY","FILING_STATUS=OR","EQY_CONSOLIDATED=Y","FA_ADJUSTED=GAAP","Sort=A","Dates=H","DateFormat=P","Fill=—","Direction=H","UseDPDF=Y")</f>
        <v>#NAME?</v>
      </c>
      <c r="AN603" s="2" t="e">
        <f ca="1">_xll.BDH($C$603,"GEO_GROW_EBITDA","FY 2014","FY 2014","Currency=INR","Period=FY","BEST_FPERIOD_OVERRIDE=FY","FILING_STATUS=OR","EQY_CONSOLIDATED=Y","FA_ADJUSTED=GAAP","Sort=A","Dates=H","DateFormat=P","Fill=—","Direction=H","UseDPDF=Y")</f>
        <v>#NAME?</v>
      </c>
      <c r="AO603" s="2" t="e">
        <f ca="1">_xll.BDH($C$603,"GEO_GROW_OPER_INC","FY 2014","FY 2014","Currency=INR","Period=FY","BEST_FPERIOD_OVERRIDE=FY","FILING_STATUS=OR","EQY_CONSOLIDATED=Y","FA_ADJUSTED=GAAP","Sort=A","Dates=H","DateFormat=P","Fill=—","Direction=H","UseDPDF=Y")</f>
        <v>#NAME?</v>
      </c>
      <c r="AP603" s="2" t="e">
        <f ca="1">_xll.BDH($C$603,"NET_INCOME_TO_COMMON_5_YR_GROWTH","FY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603" s="2" t="e">
        <f ca="1">_xll.BDH($C$603,"5Y_GEO_GROWTH_DILUTED_EPS","FY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603" s="2" t="e">
        <f ca="1">_xll.BDH($C$603,"GEO_GROW_DVD_PER_SH","FY 2014","FY 2014","Currency=INR","Period=FY","BEST_FPERIOD_OVERRIDE=FY","FILING_STATUS=OR","EQY_CONSOLIDATED=Y","Sort=A","Dates=H","DateFormat=P","Fill=—","Direction=H","UseDPDF=Y")</f>
        <v>#NAME?</v>
      </c>
      <c r="AS603" s="2" t="e">
        <f ca="1">_xll.BDH($C$603,"ACCOUNTS_RECEIVABLE_5_YR_GROWTH","FY 2014","FY 2014","Currency=INR","Period=FY","BEST_FPERIOD_OVERRIDE=FY","FILING_STATUS=OR","EQY_CONSOLIDATED=Y","Sort=A","Dates=H","DateFormat=P","Fill=—","Direction=H","UseDPDF=Y")</f>
        <v>#NAME?</v>
      </c>
      <c r="AT603" s="2" t="e">
        <f ca="1">_xll.BDH($C$603,"INVENTORY_5_YEAR_GROWTH","FY 2014","FY 2014","Currency=INR","Period=FY","BEST_FPERIOD_OVERRIDE=FY","FILING_STATUS=OR","EQY_CONSOLIDATED=Y","Sort=A","Dates=H","DateFormat=P","Fill=—","Direction=H","UseDPDF=Y")</f>
        <v>#NAME?</v>
      </c>
      <c r="AU603" s="2" t="e">
        <f ca="1">_xll.BDH($C$603,"NET_FIXED_ASSETS_5_YEAR_GROWTH","FY 2014","FY 2014","Currency=INR","Period=FY","BEST_FPERIOD_OVERRIDE=FY","FILING_STATUS=OR","EQY_CONSOLIDATED=Y","Sort=A","Dates=H","DateFormat=P","Fill=—","Direction=H","UseDPDF=Y")</f>
        <v>#NAME?</v>
      </c>
      <c r="AV603" s="2" t="e">
        <f ca="1">_xll.BDH($C$603,"GEO_GROW_TOT_ASSET","FY 2014","FY 2014","Currency=INR","Period=FY","BEST_FPERIOD_OVERRIDE=FY","FILING_STATUS=OR","EQY_CONSOLIDATED=Y","Sort=A","Dates=H","DateFormat=P","Fill=—","Direction=H","UseDPDF=Y")</f>
        <v>#NAME?</v>
      </c>
      <c r="AW603" s="2" t="e">
        <f ca="1">_xll.BDH($C$603,"MODIFIED_WORKING_CPTL_5YR_GRWTH","FY 2014","FY 2014","Currency=INR","Period=FY","BEST_FPERIOD_OVERRIDE=FY","FILING_STATUS=OR","EQY_CONSOLIDATED=Y","Sort=A","Dates=H","DateFormat=P","Fill=—","Direction=H","UseDPDF=Y")</f>
        <v>#NAME?</v>
      </c>
      <c r="AX603" s="2" t="e">
        <f ca="1">_xll.BDH($C$603,"WORKING_CAPITAL_5_YEAR_GROWTH","FY 2014","FY 2014","Currency=INR","Period=FY","BEST_FPERIOD_OVERRIDE=FY","FILING_STATUS=OR","EQY_CONSOLIDATED=Y","Sort=A","Dates=H","DateFormat=P","Fill=—","Direction=H","UseDPDF=Y")</f>
        <v>#NAME?</v>
      </c>
      <c r="AY603" s="2" t="e">
        <f ca="1">_xll.BDH($C$603,"ACCOUNTS_PAYABLE_5_YEAR_GROWTH","FY 2014","FY 2014","Currency=INR","Period=FY","BEST_FPERIOD_OVERRIDE=FY","FILING_STATUS=OR","EQY_CONSOLIDATED=Y","Sort=A","Dates=H","DateFormat=P","Fill=—","Direction=H","UseDPDF=Y")</f>
        <v>#NAME?</v>
      </c>
      <c r="AZ603" s="2" t="e">
        <f ca="1">_xll.BDH($C$603,"SHORT_TERM_DEBT_5_YEAR_GROWTH","FY 2014","FY 2014","Currency=INR","Period=FY","BEST_FPERIOD_OVERRIDE=FY","FILING_STATUS=OR","EQY_CONSOLIDATED=Y","Sort=A","Dates=H","DateFormat=P","Fill=—","Direction=H","UseDPDF=Y")</f>
        <v>#NAME?</v>
      </c>
      <c r="BA603" s="2" t="e">
        <f ca="1">_xll.BDH($C$603,"TOTAL_DEBT_5_YEAR_GROWTH","FY 2014","FY 2014","Currency=INR","Period=FY","BEST_FPERIOD_OVERRIDE=FY","FILING_STATUS=OR","EQY_CONSOLIDATED=Y","Sort=A","Dates=H","DateFormat=P","Fill=—","Direction=H","UseDPDF=Y")</f>
        <v>#NAME?</v>
      </c>
      <c r="BB603" s="2" t="e">
        <f ca="1">_xll.BDH($C$603,"GEO_GROW_TOT_SHRHLDR_EQY","FY 2014","FY 2014","Currency=INR","Period=FY","BEST_FPERIOD_OVERRIDE=FY","FILING_STATUS=OR","EQY_CONSOLIDATED=Y","Sort=A","Dates=H","DateFormat=P","Fill=—","Direction=H","UseDPDF=Y")</f>
        <v>#NAME?</v>
      </c>
      <c r="BC603" s="2" t="e">
        <f ca="1">_xll.BDH($C$603,"TOTAL_CAPITAL_5_YEAR_GROWTH","FY 2014","FY 2014","Currency=INR","Period=FY","BEST_FPERIOD_OVERRIDE=FY","FILING_STATUS=OR","EQY_CONSOLIDATED=Y","Sort=A","Dates=H","DateFormat=P","Fill=—","Direction=H","UseDPDF=Y")</f>
        <v>#NAME?</v>
      </c>
      <c r="BD603" s="2" t="e">
        <f ca="1">_xll.BDH($C$603,"GEO_GROW_BOOK_VAL","FY 2014","FY 2014","Currency=INR","Period=FY","BEST_FPERIOD_OVERRIDE=FY","FILING_STATUS=OR","EQY_CONSOLIDATED=Y","Sort=A","Dates=H","DateFormat=P","Fill=—","Direction=H","UseDPDF=Y")</f>
        <v>#NAME?</v>
      </c>
      <c r="BE603" s="2" t="e">
        <f ca="1">_xll.BDH($C$603,"GEO_GROW_CASH_OPER_ACT","FY 2014","FY 2014","Currency=INR","Period=FY","BEST_FPERIOD_OVERRIDE=FY","FILING_STATUS=OR","EQY_CONSOLIDATED=Y","Sort=A","Dates=H","DateFormat=P","Fill=—","Direction=H","UseDPDF=Y")</f>
        <v>#NAME?</v>
      </c>
      <c r="BF603" s="2" t="e">
        <f ca="1">_xll.BDH($C$603,"REVENUE_SEQUENTIAL_GROWTH","FY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603" s="2" t="e">
        <f ca="1">_xll.BDH($C$603,"EBITDA_SEQUENTIAL_GROWTH","FY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603" s="2" t="e">
        <f ca="1">_xll.BDH($C$603,"OPERATING_INCOME_SEQ_GROWTH","FY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603" s="2" t="e">
        <f ca="1">_xll.BDH($C$603,"NET_INCOME_TO_COMMON_SEQ_GROWTH","FY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603" s="2" t="e">
        <f ca="1">_xll.BDH($C$603,"EPS_DILUTED_SEQUENTIAL_GROWTH","FY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603" s="2" t="e">
        <f ca="1">_xll.BDH($C$603,"DPS_SEQUENTIAL_GROWTH","FY 2014","FY 2014","Currency=INR","Period=FY","BEST_FPERIOD_OVERRIDE=FY","FILING_STATUS=OR","EQY_CONSOLIDATED=Y","Sort=A","Dates=H","DateFormat=P","Fill=—","Direction=H","UseDPDF=Y")</f>
        <v>#NAME?</v>
      </c>
      <c r="BL603" s="2" t="e">
        <f ca="1">_xll.BDH($C$603,"ACCOUNTS_RECEIVABLE_SEQ_GROWTH","FY 2014","FY 2014","Currency=INR","Period=FY","BEST_FPERIOD_OVERRIDE=FY","FILING_STATUS=OR","EQY_CONSOLIDATED=Y","Sort=A","Dates=H","DateFormat=P","Fill=—","Direction=H","UseDPDF=Y")</f>
        <v>#NAME?</v>
      </c>
      <c r="BM603" s="2" t="e">
        <f ca="1">_xll.BDH($C$603,"INVENTORY_SEQUENTIAL_GROWTH","FY 2014","FY 2014","Currency=INR","Period=FY","BEST_FPERIOD_OVERRIDE=FY","FILING_STATUS=OR","EQY_CONSOLIDATED=Y","Sort=A","Dates=H","DateFormat=P","Fill=—","Direction=H","UseDPDF=Y")</f>
        <v>#NAME?</v>
      </c>
      <c r="BN603" s="2" t="e">
        <f ca="1">_xll.BDH($C$603,"FIXED_ASSETS_SEQUENTIAL_GROWTH","FY 2014","FY 2014","Currency=INR","Period=FY","BEST_FPERIOD_OVERRIDE=FY","FILING_STATUS=OR","EQY_CONSOLIDATED=Y","Sort=A","Dates=H","DateFormat=P","Fill=—","Direction=H","UseDPDF=Y")</f>
        <v>#NAME?</v>
      </c>
      <c r="BO603" s="2" t="e">
        <f ca="1">_xll.BDH($C$603,"TOTAL_ASSETS_SEQUENTIAL_GROWTH","FY 2014","FY 2014","Currency=INR","Period=FY","BEST_FPERIOD_OVERRIDE=FY","FILING_STATUS=OR","EQY_CONSOLIDATED=Y","Sort=A","Dates=H","DateFormat=P","Fill=—","Direction=H","UseDPDF=Y")</f>
        <v>#NAME?</v>
      </c>
      <c r="BP603" s="2" t="e">
        <f ca="1">_xll.BDH($C$603,"MODIFIED_WORKING_CPTL_SEQ_GRWTH","FY 2014","FY 2014","Currency=INR","Period=FY","BEST_FPERIOD_OVERRIDE=FY","FILING_STATUS=OR","EQY_CONSOLIDATED=Y","Sort=A","Dates=H","DateFormat=P","Fill=—","Direction=H","UseDPDF=Y")</f>
        <v>#NAME?</v>
      </c>
      <c r="BQ603" s="2" t="e">
        <f ca="1">_xll.BDH($C$603,"WORKING_CAPITAL_SEQ_GROWTH","FY 2014","FY 2014","Currency=INR","Period=FY","BEST_FPERIOD_OVERRIDE=FY","FILING_STATUS=OR","EQY_CONSOLIDATED=Y","Sort=A","Dates=H","DateFormat=P","Fill=—","Direction=H","UseDPDF=Y")</f>
        <v>#NAME?</v>
      </c>
      <c r="BR603" s="2" t="e">
        <f ca="1">_xll.BDH($C$603,"ACCOUNTS_PAYABLE_SEQ_GROWTH","FY 2014","FY 2014","Currency=INR","Period=FY","BEST_FPERIOD_OVERRIDE=FY","FILING_STATUS=OR","EQY_CONSOLIDATED=Y","Sort=A","Dates=H","DateFormat=P","Fill=—","Direction=H","UseDPDF=Y")</f>
        <v>#NAME?</v>
      </c>
      <c r="BS603" s="2" t="e">
        <f ca="1">_xll.BDH($C$603,"ST_DEBT_SEQUENTIAL_GROWTH","FY 2014","FY 2014","Currency=INR","Period=FY","BEST_FPERIOD_OVERRIDE=FY","FILING_STATUS=OR","EQY_CONSOLIDATED=Y","Sort=A","Dates=H","DateFormat=P","Fill=—","Direction=H","UseDPDF=Y")</f>
        <v>#NAME?</v>
      </c>
      <c r="BT603" s="2" t="e">
        <f ca="1">_xll.BDH($C$603,"TOTAL_DEBT_SEQUENTIAL_GROWTH","FY 2014","FY 2014","Currency=INR","Period=FY","BEST_FPERIOD_OVERRIDE=FY","FILING_STATUS=OR","EQY_CONSOLIDATED=Y","Sort=A","Dates=H","DateFormat=P","Fill=—","Direction=H","UseDPDF=Y")</f>
        <v>#NAME?</v>
      </c>
      <c r="BU603" s="2" t="e">
        <f ca="1">_xll.BDH($C$603,"TOTAL_EQUITY_SEQUENTIAL_GROWTH","FY 2014","FY 2014","Currency=INR","Period=FY","BEST_FPERIOD_OVERRIDE=FY","FILING_STATUS=OR","EQY_CONSOLIDATED=Y","Sort=A","Dates=H","DateFormat=P","Fill=—","Direction=H","UseDPDF=Y")</f>
        <v>#NAME?</v>
      </c>
      <c r="BV603" s="2" t="e">
        <f ca="1">_xll.BDH($C$603,"TOTAL_CAPITAL_SEQUENTIAL_GROWTH","FY 2014","FY 2014","Currency=INR","Period=FY","BEST_FPERIOD_OVERRIDE=FY","FILING_STATUS=OR","EQY_CONSOLIDATED=Y","Sort=A","Dates=H","DateFormat=P","Fill=—","Direction=H","UseDPDF=Y")</f>
        <v>#NAME?</v>
      </c>
      <c r="BW603" s="2" t="e">
        <f ca="1">_xll.BDH($C$603,"BPS_SEQUENTIAL_GROWTH","FY 2014","FY 2014","Currency=INR","Period=FY","BEST_FPERIOD_OVERRIDE=FY","FILING_STATUS=OR","EQY_CONSOLIDATED=Y","Sort=A","Dates=H","DateFormat=P","Fill=—","Direction=H","UseDPDF=Y")</f>
        <v>#NAME?</v>
      </c>
      <c r="BX603" s="2" t="e">
        <f ca="1">_xll.BDH($C$603,"CFO_SEQUENTIAL_GROWTH","FY 2014","FY 2014","Currency=INR","Period=FY","BEST_FPERIOD_OVERRIDE=FY","FILING_STATUS=OR","EQY_CONSOLIDATED=Y","Sort=A","Dates=H","DateFormat=P","Fill=—","Direction=H","UseDPDF=Y")</f>
        <v>#NAME?</v>
      </c>
      <c r="BY603" s="3" t="e">
        <f ca="1">_xll.BDH($C$603,"SHORT_AND_LONG_TERM_DEBT","FY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603" s="3" t="e">
        <f ca="1">_xll.BDH($C$603,"BS_ST_BORROW","FY 2014","FY 2014","Currency=INR","Period=FY","BEST_FPERIOD_OVERRIDE=FY","FILING_STATUS=OR","EQY_CONSOLIDATED=Y","SCALING_FORMAT=MLN","Sort=A","Dates=H","DateFormat=P","Fill=—","Direction=H","UseDPDF=Y")</f>
        <v>#NAME?</v>
      </c>
      <c r="CA603" s="3" t="e">
        <f ca="1">_xll.BDH($C$603,"BS_LT_BORROW","FY 2014","FY 2014","Currency=INR","Period=FY","BEST_FPERIOD_OVERRIDE=FY","FILING_STATUS=OR","EQY_CONSOLIDATED=Y","SCALING_FORMAT=MLN","Sort=A","Dates=H","DateFormat=P","Fill=—","Direction=H","UseDPDF=Y")</f>
        <v>#NAME?</v>
      </c>
      <c r="CB603" s="2" t="e">
        <f ca="1">_xll.BDH($C$603,"TOT_DEBT_TO_EBITDA","FY 2014","FY 2014","Currency=INR","Period=FY","BEST_FPERIOD_OVERRIDE=FY","FILING_STATUS=OR","EQY_CONSOLIDATED=Y","FA_ADJUSTED=GAAP","Sort=A","Dates=H","DateFormat=P","Fill=—","Direction=H","UseDPDF=Y")</f>
        <v>#NAME?</v>
      </c>
      <c r="CC603" s="2" t="e">
        <f ca="1">_xll.BDH($C$603,"NET_DEBT_TO_EBITDA","FY 2014","FY 2014","Currency=INR","Period=FY","BEST_FPERIOD_OVERRIDE=FY","FILING_STATUS=OR","EQY_CONSOLIDATED=Y","FA_ADJUSTED=GAAP","Sort=A","Dates=H","DateFormat=P","Fill=—","Direction=H","UseDPDF=Y")</f>
        <v>#NAME?</v>
      </c>
      <c r="CD603" s="2" t="e">
        <f ca="1">_xll.BDH($C$603,"TOTAL_DEBT_TO_EBIT","FY 2014","FY 2014","Currency=INR","Period=FY","BEST_FPERIOD_OVERRIDE=FY","FILING_STATUS=OR","EQY_CONSOLIDATED=Y","FA_ADJUSTED=GAAP","Sort=A","Dates=H","DateFormat=P","Fill=—","Direction=H","UseDPDF=Y")</f>
        <v>#NAME?</v>
      </c>
      <c r="CE603" s="2" t="e">
        <f ca="1">_xll.BDH($C$603,"NET_DEBT_TO_EBIT","FY 2014","FY 2014","Currency=INR","Period=FY","BEST_FPERIOD_OVERRIDE=FY","FILING_STATUS=OR","EQY_CONSOLIDATED=Y","FA_ADJUSTED=GAAP","Sort=A","Dates=H","DateFormat=P","Fill=—","Direction=H","UseDPDF=Y")</f>
        <v>#NAME?</v>
      </c>
      <c r="CF603" s="2" t="e">
        <f ca="1">_xll.BDH($C$603,"EBITDA_TO_INTEREST_EXPN","FY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603" s="2" t="e">
        <f ca="1">_xll.BDH($C$603,"COM_EQY_TO_TOT_ASSET","FY 2014","FY 2014","Currency=INR","Period=FY","BEST_FPERIOD_OVERRIDE=FY","FILING_STATUS=OR","EQY_CONSOLIDATED=Y","Sort=A","Dates=H","DateFormat=P","Fill=—","Direction=H","UseDPDF=Y")</f>
        <v>#NAME?</v>
      </c>
      <c r="CH603" s="2" t="e">
        <f ca="1">_xll.BDH($C$603,"LT_DEBT_TO_TOT_EQY","FY 2014","FY 2014","Currency=INR","Period=FY","BEST_FPERIOD_OVERRIDE=FY","FILING_STATUS=OR","EQY_CONSOLIDATED=Y","Sort=A","Dates=H","DateFormat=P","Fill=—","Direction=H","UseDPDF=Y")</f>
        <v>#NAME?</v>
      </c>
      <c r="CI603" s="2" t="e">
        <f ca="1">_xll.BDH($C$603,"LT_DEBT_TO_TOT_CAP","FY 2014","FY 2014","Currency=INR","Period=FY","BEST_FPERIOD_OVERRIDE=FY","FILING_STATUS=OR","EQY_CONSOLIDATED=Y","Sort=A","Dates=H","DateFormat=P","Fill=—","Direction=H","UseDPDF=Y")</f>
        <v>#NAME?</v>
      </c>
      <c r="CJ603" s="2" t="e">
        <f ca="1">_xll.BDH($C$603,"LT_DEBT_TO_TOT_ASSET","FY 2014","FY 2014","Currency=INR","Period=FY","BEST_FPERIOD_OVERRIDE=FY","FILING_STATUS=OR","EQY_CONSOLIDATED=Y","Sort=A","Dates=H","DateFormat=P","Fill=—","Direction=H","UseDPDF=Y")</f>
        <v>#NAME?</v>
      </c>
      <c r="CK603" s="2" t="e">
        <f ca="1">_xll.BDH($C$603,"TOT_DEBT_TO_TOT_EQY","FY 2014","FY 2014","Currency=INR","Period=FY","BEST_FPERIOD_OVERRIDE=FY","FILING_STATUS=OR","EQY_CONSOLIDATED=Y","Sort=A","Dates=H","DateFormat=P","Fill=—","Direction=H","UseDPDF=Y")</f>
        <v>#NAME?</v>
      </c>
      <c r="CL603" s="2" t="e">
        <f ca="1">_xll.BDH($C$603,"TOT_DEBT_TO_TOT_CAP","FY 2014","FY 2014","Currency=INR","Period=FY","BEST_FPERIOD_OVERRIDE=FY","FILING_STATUS=OR","EQY_CONSOLIDATED=Y","Sort=A","Dates=H","DateFormat=P","Fill=—","Direction=H","UseDPDF=Y")</f>
        <v>#NAME?</v>
      </c>
      <c r="CM603" s="2" t="e">
        <f ca="1">_xll.BDH($C$603,"TOT_DEBT_TO_TOT_ASSET","FY 2014","FY 2014","Currency=INR","Period=FY","BEST_FPERIOD_OVERRIDE=FY","FILING_STATUS=OR","EQY_CONSOLIDATED=Y","Sort=A","Dates=H","DateFormat=P","Fill=—","Direction=H","UseDPDF=Y")</f>
        <v>#NAME?</v>
      </c>
      <c r="CN603" s="2" t="e">
        <f ca="1">_xll.BDH($C$603,"NET_DEBT_TO_SHRHLDR_EQTY","FY 2014","FY 2014","Currency=INR","Period=FY","BEST_FPERIOD_OVERRIDE=FY","FILING_STATUS=OR","EQY_CONSOLIDATED=Y","Sort=A","Dates=H","DateFormat=P","Fill=—","Direction=H","UseDPDF=Y")</f>
        <v>#NAME?</v>
      </c>
      <c r="CO603" s="2" t="e">
        <f ca="1">_xll.BDH($C$603,"NET_DEBT_%_CAPITAL","FY 2014","FY 2014","Currency=INR","Period=FY","BEST_FPERIOD_OVERRIDE=FY","FILING_STATUS=OR","EQY_CONSOLIDATED=Y","Sort=A","Dates=H","DateFormat=P","Fill=—","Direction=H","UseDPDF=Y")</f>
        <v>#NAME?</v>
      </c>
      <c r="CP603" s="3" t="e">
        <f ca="1">_xll.BDH($C$603,"EBITDA","FY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603" s="3" t="e">
        <f ca="1">_xll.BDH($C$603,"EBITDA_AFTER_CAPEX","FY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603" s="3" t="e">
        <f ca="1">_xll.BDH($C$603,"IS_OPER_INC","FY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603" s="2" t="e">
        <f ca="1">_xll.BDH($C$603,"CASH_RATIO","FY 2014","FY 2014","Currency=INR","Period=FY","BEST_FPERIOD_OVERRIDE=FY","FILING_STATUS=OR","EQY_CONSOLIDATED=Y","Sort=A","Dates=H","DateFormat=P","Fill=—","Direction=H","UseDPDF=Y")</f>
        <v>#NAME?</v>
      </c>
      <c r="CT603" s="2" t="e">
        <f ca="1">_xll.BDH($C$603,"CUR_RATIO","FY 2014","FY 2014","Currency=INR","Period=FY","BEST_FPERIOD_OVERRIDE=FY","FILING_STATUS=OR","EQY_CONSOLIDATED=Y","Sort=A","Dates=H","DateFormat=P","Fill=—","Direction=H","UseDPDF=Y")</f>
        <v>#NAME?</v>
      </c>
      <c r="CU603" s="2" t="e">
        <f ca="1">_xll.BDH($C$603,"QUICK_RATIO","FY 2014","FY 2014","Currency=INR","Period=FY","BEST_FPERIOD_OVERRIDE=FY","FILING_STATUS=OR","EQY_CONSOLIDATED=Y","Sort=A","Dates=H","DateFormat=P","Fill=—","Direction=H","UseDPDF=Y")</f>
        <v>#NAME?</v>
      </c>
      <c r="CV603" s="2" t="e">
        <f ca="1">_xll.BDH($C$603,"ALTMAN_Z_SCORE","FY 2014","FY 2014","Currency=INR","Period=FY","BEST_FPERIOD_OVERRIDE=FY","FILING_STATUS=OR","EQY_CONSOLIDATED=Y","Sort=A","Dates=H","DateFormat=P","Fill=—","Direction=H","UseDPDF=Y")</f>
        <v>#NAME?</v>
      </c>
      <c r="CW603" s="4" t="e">
        <f ca="1">_xll.BDH($C$603,"ACCT_RCV_TURN","FY 2014","FY 2014","Currency=INR","Period=FY","BEST_FPERIOD_OVERRIDE=FY","FILING_STATUS=OR","EQY_CONSOLIDATED=Y","FA_ADJUSTED=GAAP","Sort=A","Dates=H","DateFormat=P","Fill=—","Direction=H","UseDPDF=Y")</f>
        <v>#NAME?</v>
      </c>
      <c r="CX603" s="2" t="e">
        <f ca="1">_xll.BDH($C$603,"ACCT_RCV_DAYS","FY 2014","FY 2014","Currency=INR","Period=FY","BEST_FPERIOD_OVERRIDE=FY","FILING_STATUS=OR","EQY_CONSOLIDATED=Y","FA_ADJUSTED=GAAP","Sort=A","Dates=H","DateFormat=P","Fill=—","Direction=H","UseDPDF=Y")</f>
        <v>#NAME?</v>
      </c>
      <c r="CY603" s="4" t="e">
        <f ca="1">_xll.BDH($C$603,"INVENT_TURN","FY 2014","FY 2014","Currency=INR","Period=FY","BEST_FPERIOD_OVERRIDE=FY","FILING_STATUS=OR","EQY_CONSOLIDATED=Y","FA_ADJUSTED=GAAP","Sort=A","Dates=H","DateFormat=P","Fill=—","Direction=H","UseDPDF=Y")</f>
        <v>#NAME?</v>
      </c>
      <c r="CZ603" s="2" t="e">
        <f ca="1">_xll.BDH($C$603,"INVENT_DAYS","FY 2014","FY 2014","Currency=INR","Period=FY","BEST_FPERIOD_OVERRIDE=FY","FILING_STATUS=OR","EQY_CONSOLIDATED=Y","FA_ADJUSTED=GAAP","Sort=A","Dates=H","DateFormat=P","Fill=—","Direction=H","UseDPDF=Y")</f>
        <v>#NAME?</v>
      </c>
      <c r="DA603" s="4" t="e">
        <f ca="1">_xll.BDH($C$603,"ACCOUNTS_PAYABLE_TURNOVER","FY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603" s="2" t="e">
        <f ca="1">_xll.BDH($C$603,"ACCOUNTS_PAYABLE_TURNOVER_DAYS","FY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603" s="4" t="e">
        <f ca="1">_xll.BDH($C$603,"CASH_CONVERSION_CYCLE","FY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603" s="4" t="e">
        <f ca="1">_xll.BDH($C$603,"INV_TO_CASH_DAYS","FY 2014","FY 2014","Currency=INR","Period=FY","BEST_FPERIOD_OVERRIDE=FY","FILING_STATUS=OR","EQY_CONSOLIDATED=Y","FA_ADJUSTED=GAAP","Sort=A","Dates=H","DateFormat=P","Fill=—","Direction=H","UseDPDF=Y")</f>
        <v>#NAME?</v>
      </c>
      <c r="DE603" s="5" t="e">
        <f ca="1">_xll.BDH($C$603,"BS_INVENTORIES","FY 2014","FY 2014","Currency=INR","Period=FY","BEST_FPERIOD_OVERRIDE=FY","FILING_STATUS=OR","EQY_CONSOLIDATED=Y","SCALING_FORMAT=MLN","Sort=A","Dates=H","DateFormat=P","Fill=—","Direction=H","UseDPDF=Y")</f>
        <v>#NAME?</v>
      </c>
      <c r="DF603" s="3" t="e">
        <f ca="1">_xll.BDH($C$603,"INVTRY_RAW_MATERIALS","FY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603" s="3" t="e">
        <f ca="1">_xll.BDH($C$603,"INVTRY_IN_PROGRESS","FY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603" s="3" t="e">
        <f ca="1">_xll.BDH($C$603,"INVTRY_FINISHED_GOODS","FY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603" s="3" t="e">
        <f ca="1">_xll.BDH($C$603,"BS_OTHER_INV","FY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604" spans="1:113" x14ac:dyDescent="0.3">
      <c r="A604" s="6"/>
      <c r="B604" s="6"/>
      <c r="C604" s="6"/>
      <c r="D604" s="6"/>
      <c r="E604" t="s">
        <v>78</v>
      </c>
      <c r="F604" t="e">
        <f ca="1">_xll.BDH($C$603,"RETURN_COM_EQY","FQ1 2014","FQ1 2014","Currency=INR","Period=FQ","BEST_FPERIOD_OVERRIDE=FQ","FILING_STATUS=OR","EQY_CONSOLIDATED=Y","FA_ADJUSTED=GAAP","Sort=A","Dates=H","DateFormat=P","Fill=—","Direction=H","UseDPDF=Y")</f>
        <v>#NAME?</v>
      </c>
      <c r="G604" t="e">
        <f ca="1">_xll.BDH($C$603,"RETURN_ON_ASSET","FQ1 2014","FQ1 2014","Currency=INR","Period=FQ","BEST_FPERIOD_OVERRIDE=FQ","FILING_STATUS=OR","EQY_CONSOLIDATED=Y","FA_ADJUSTED=GAAP","Sort=A","Dates=H","DateFormat=P","Fill=—","Direction=H","UseDPDF=Y")</f>
        <v>#NAME?</v>
      </c>
      <c r="H604" t="e">
        <f ca="1">_xll.BDH($C$603,"RETURN_ON_CAP","FQ1 2014","FQ1 2014","Currency=INR","Period=FQ","BEST_FPERIOD_OVERRIDE=FQ","FILING_STATUS=OR","EQY_CONSOLIDATED=Y","FA_ADJUSTED=GAAP","Sort=A","Dates=H","DateFormat=P","Fill=—","Direction=H","UseDPDF=Y")</f>
        <v>#NAME?</v>
      </c>
      <c r="I604" t="e">
        <f ca="1">_xll.BDH($C$603,"RETURN_ON_INV_CAPITAL","FQ1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604" t="e">
        <f ca="1">_xll.BDH($C$603,"EBITDA_TO_REVENUE","FQ1 2014","FQ1 2014","Currency=INR","Period=FQ","BEST_FPERIOD_OVERRIDE=FQ","FILING_STATUS=OR","EQY_CONSOLIDATED=Y","FA_ADJUSTED=GAAP","Sort=A","Dates=H","DateFormat=P","Fill=—","Direction=H","UseDPDF=Y")</f>
        <v>#NAME?</v>
      </c>
      <c r="K604" t="e">
        <f ca="1">_xll.BDH($C$603,"OPER_MARGIN","FQ1 2014","FQ1 2014","Currency=INR","Period=FQ","BEST_FPERIOD_OVERRIDE=FQ","FILING_STATUS=OR","EQY_CONSOLIDATED=Y","FA_ADJUSTED=GAAP","Sort=A","Dates=H","DateFormat=P","Fill=—","Direction=H","UseDPDF=Y")</f>
        <v>#NAME?</v>
      </c>
      <c r="L604" t="e">
        <f ca="1">_xll.BDH($C$603,"INCREMENTAL_OPERATING_MARGIN","FQ1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604" t="e">
        <f ca="1">_xll.BDH($C$603,"PRETAX_INC_TO_NET_SALES","FQ1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604" t="e">
        <f ca="1">_xll.BDH($C$603,"INC_BEF_XO_ITEMS_TO_NET_SALES","FQ1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604" t="e">
        <f ca="1">_xll.BDH($C$603,"PROF_MARGIN","FQ1 2014","FQ1 2014","Currency=INR","Period=FQ","BEST_FPERIOD_OVERRIDE=FQ","FILING_STATUS=OR","EQY_CONSOLIDATED=Y","FA_ADJUSTED=GAAP","Sort=A","Dates=H","DateFormat=P","Fill=—","Direction=H","UseDPDF=Y")</f>
        <v>#NAME?</v>
      </c>
      <c r="P604" t="e">
        <f ca="1">_xll.BDH($C$603,"NET_INCOME_TO_COMMON_MARGIN","FQ1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604" t="e">
        <f ca="1">_xll.BDH($C$603,"EFF_TAX_RATE","FQ1 2014","FQ1 2014","Currency=INR","Period=FQ","BEST_FPERIOD_OVERRIDE=FQ","FILING_STATUS=OR","EQY_CONSOLIDATED=Y","FA_ADJUSTED=GAAP","Sort=A","Dates=H","DateFormat=P","Fill=—","Direction=H","UseDPDF=Y")</f>
        <v>#NAME?</v>
      </c>
      <c r="R604" t="e">
        <f ca="1">_xll.BDH($C$603,"DVD_PAYOUT_RATIO","FQ1 2014","FQ1 2014","Currency=INR","Period=FQ","BEST_FPERIOD_OVERRIDE=FQ","FILING_STATUS=OR","EQY_CONSOLIDATED=Y","FA_ADJUSTED=GAAP","Sort=A","Dates=H","DateFormat=P","Fill=—","Direction=H","UseDPDF=Y")</f>
        <v>#NAME?</v>
      </c>
      <c r="S604" t="e">
        <f ca="1">_xll.BDH($C$603,"SUSTAIN_GROWTH_RT","FQ1 2014","FQ1 2014","Currency=INR","Period=FQ","BEST_FPERIOD_OVERRIDE=FQ","FILING_STATUS=OR","EQY_CONSOLIDATED=Y","FA_ADJUSTED=GAAP","Sort=A","Dates=H","DateFormat=P","Fill=—","Direction=H","UseDPDF=Y")</f>
        <v>#NAME?</v>
      </c>
      <c r="T604" s="2" t="e">
        <f ca="1">_xll.BDH($C$603,"SALES_GROWTH","FQ1 2014","FQ1 2014","Currency=INR","Period=FQ","BEST_FPERIOD_OVERRIDE=FQ","FILING_STATUS=OR","EQY_CONSOLIDATED=Y","FA_ADJUSTED=GAAP","Sort=A","Dates=H","DateFormat=P","Fill=—","Direction=H","UseDPDF=Y")</f>
        <v>#NAME?</v>
      </c>
      <c r="U604" s="2" t="e">
        <f ca="1">_xll.BDH($C$603,"EBITDA_GROWTH","FQ1 2014","FQ1 2014","Currency=INR","Period=FQ","BEST_FPERIOD_OVERRIDE=FQ","FILING_STATUS=OR","EQY_CONSOLIDATED=Y","FA_ADJUSTED=GAAP","Sort=A","Dates=H","DateFormat=P","Fill=—","Direction=H","UseDPDF=Y")</f>
        <v>#NAME?</v>
      </c>
      <c r="V604" s="2" t="e">
        <f ca="1">_xll.BDH($C$603,"OPER_INC_GROWTH","FQ1 2014","FQ1 2014","Currency=INR","Period=FQ","BEST_FPERIOD_OVERRIDE=FQ","FILING_STATUS=OR","EQY_CONSOLIDATED=Y","FA_ADJUSTED=GAAP","Sort=A","Dates=H","DateFormat=P","Fill=—","Direction=H","UseDPDF=Y")</f>
        <v>#NAME?</v>
      </c>
      <c r="W604" s="2" t="e">
        <f ca="1">_xll.BDH($C$603,"EARN_FOR_COM_GROWTH","FQ1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604" s="2" t="e">
        <f ca="1">_xll.BDH($C$603,"DILUTED_EPS_AFT_XO_ITEMS_GROWTH","FQ1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604" s="2" t="e">
        <f ca="1">_xll.BDH($C$603,"DIVIDEND_PER_SHARE_1_YEAR_GROWTH","FQ1 2014","FQ1 2014","Currency=INR","Period=FQ","BEST_FPERIOD_OVERRIDE=FQ","FILING_STATUS=OR","EQY_CONSOLIDATED=Y","Sort=A","Dates=H","DateFormat=P","Fill=—","Direction=H","UseDPDF=Y")</f>
        <v>#NAME?</v>
      </c>
      <c r="Z604" s="2" t="e">
        <f ca="1">_xll.BDH($C$603,"ACCOUNTS_RECEIVABLE_GROWTH","FQ1 2014","FQ1 2014","Currency=INR","Period=FQ","BEST_FPERIOD_OVERRIDE=FQ","FILING_STATUS=OR","EQY_CONSOLIDATED=Y","Sort=A","Dates=H","DateFormat=P","Fill=—","Direction=H","UseDPDF=Y")</f>
        <v>#NAME?</v>
      </c>
      <c r="AA604" s="2" t="e">
        <f ca="1">_xll.BDH($C$603,"INVENTORY_GROWTH","FQ1 2014","FQ1 2014","Currency=INR","Period=FQ","BEST_FPERIOD_OVERRIDE=FQ","FILING_STATUS=OR","EQY_CONSOLIDATED=Y","Sort=A","Dates=H","DateFormat=P","Fill=—","Direction=H","UseDPDF=Y")</f>
        <v>#NAME?</v>
      </c>
      <c r="AB604" s="2" t="e">
        <f ca="1">_xll.BDH($C$603,"NET_FIXED_ASSETS_1_YEAR_GROWTH","FQ1 2014","FQ1 2014","Currency=INR","Period=FQ","BEST_FPERIOD_OVERRIDE=FQ","FILING_STATUS=OR","EQY_CONSOLIDATED=Y","Sort=A","Dates=H","DateFormat=P","Fill=—","Direction=H","UseDPDF=Y")</f>
        <v>#NAME?</v>
      </c>
      <c r="AC604" s="2" t="e">
        <f ca="1">_xll.BDH($C$603,"ASSET_GROWTH","FQ1 2014","FQ1 2014","Currency=INR","Period=FQ","BEST_FPERIOD_OVERRIDE=FQ","FILING_STATUS=OR","EQY_CONSOLIDATED=Y","Sort=A","Dates=H","DateFormat=P","Fill=—","Direction=H","UseDPDF=Y")</f>
        <v>#NAME?</v>
      </c>
      <c r="AD604" s="2" t="e">
        <f ca="1">_xll.BDH($C$603,"MODIFIED_WORK_CAP_GROWTH","FQ1 2014","FQ1 2014","Currency=INR","Period=FQ","BEST_FPERIOD_OVERRIDE=FQ","FILING_STATUS=OR","EQY_CONSOLIDATED=Y","Sort=A","Dates=H","DateFormat=P","Fill=—","Direction=H","UseDPDF=Y")</f>
        <v>#NAME?</v>
      </c>
      <c r="AE604" s="2" t="e">
        <f ca="1">_xll.BDH($C$603,"WORK_CAP_GROWTH","FQ1 2014","FQ1 2014","Currency=INR","Period=FQ","BEST_FPERIOD_OVERRIDE=FQ","FILING_STATUS=OR","EQY_CONSOLIDATED=Y","Sort=A","Dates=H","DateFormat=P","Fill=—","Direction=H","UseDPDF=Y")</f>
        <v>#NAME?</v>
      </c>
      <c r="AF604" s="2" t="e">
        <f ca="1">_xll.BDH($C$603,"ACCOUNTS_PAYABLE_GROWTH_1YR","FQ1 2014","FQ1 2014","Currency=INR","Period=FQ","BEST_FPERIOD_OVERRIDE=FQ","FILING_STATUS=OR","EQY_CONSOLIDATED=Y","Sort=A","Dates=H","DateFormat=P","Fill=—","Direction=H","UseDPDF=Y")</f>
        <v>#NAME?</v>
      </c>
      <c r="AG604" s="2" t="e">
        <f ca="1">_xll.BDH($C$603,"SHORT_TERM_DEBT_1_YEAR_GROWTH","FQ1 2014","FQ1 2014","Currency=INR","Period=FQ","BEST_FPERIOD_OVERRIDE=FQ","FILING_STATUS=OR","EQY_CONSOLIDATED=Y","Sort=A","Dates=H","DateFormat=P","Fill=—","Direction=H","UseDPDF=Y")</f>
        <v>#NAME?</v>
      </c>
      <c r="AH604" s="2" t="e">
        <f ca="1">_xll.BDH($C$603,"TOTAL_DEBT_1_YEAR_GROWTH","FQ1 2014","FQ1 2014","Currency=INR","Period=FQ","BEST_FPERIOD_OVERRIDE=FQ","FILING_STATUS=OR","EQY_CONSOLIDATED=Y","Sort=A","Dates=H","DateFormat=P","Fill=—","Direction=H","UseDPDF=Y")</f>
        <v>#NAME?</v>
      </c>
      <c r="AI604" s="2" t="e">
        <f ca="1">_xll.BDH($C$603,"TOTAL_EQUITY_1_YEAR_GROWTH","FQ1 2014","FQ1 2014","Currency=INR","Period=FQ","BEST_FPERIOD_OVERRIDE=FQ","FILING_STATUS=OR","EQY_CONSOLIDATED=Y","Sort=A","Dates=H","DateFormat=P","Fill=—","Direction=H","UseDPDF=Y")</f>
        <v>#NAME?</v>
      </c>
      <c r="AJ604" s="2" t="e">
        <f ca="1">_xll.BDH($C$603,"GROWTH_IN_CAP","FQ1 2014","FQ1 2014","Currency=INR","Period=FQ","BEST_FPERIOD_OVERRIDE=FQ","FILING_STATUS=OR","EQY_CONSOLIDATED=Y","Sort=A","Dates=H","DateFormat=P","Fill=—","Direction=H","UseDPDF=Y")</f>
        <v>#NAME?</v>
      </c>
      <c r="AK604" s="2" t="e">
        <f ca="1">_xll.BDH($C$603,"BVPS_GROWTH","FQ1 2014","FQ1 2014","Currency=INR","Period=FQ","BEST_FPERIOD_OVERRIDE=FQ","FILING_STATUS=OR","EQY_CONSOLIDATED=Y","Sort=A","Dates=H","DateFormat=P","Fill=—","Direction=H","UseDPDF=Y")</f>
        <v>#NAME?</v>
      </c>
      <c r="AL604" s="2" t="e">
        <f ca="1">_xll.BDH($C$603,"CASH_FLOW_GROWTH","FQ1 2014","FQ1 2014","Currency=INR","Period=FQ","BEST_FPERIOD_OVERRIDE=FQ","FILING_STATUS=OR","EQY_CONSOLIDATED=Y","Sort=A","Dates=H","DateFormat=P","Fill=—","Direction=H","UseDPDF=Y")</f>
        <v>#NAME?</v>
      </c>
      <c r="AM604" s="2" t="e">
        <f ca="1">_xll.BDH($C$603,"GEO_GROW_NET_SALES","FQ1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604" s="2" t="e">
        <f ca="1">_xll.BDH($C$603,"GEO_GROW_EBITDA","FQ1 2014","FQ1 2014","Currency=INR","Period=FQ","BEST_FPERIOD_OVERRIDE=FQ","FILING_STATUS=OR","EQY_CONSOLIDATED=Y","FA_ADJUSTED=GAAP","Sort=A","Dates=H","DateFormat=P","Fill=—","Direction=H","UseDPDF=Y")</f>
        <v>#NAME?</v>
      </c>
      <c r="AO604" s="2" t="e">
        <f ca="1">_xll.BDH($C$603,"GEO_GROW_OPER_INC","FQ1 2014","FQ1 2014","Currency=INR","Period=FQ","BEST_FPERIOD_OVERRIDE=FQ","FILING_STATUS=OR","EQY_CONSOLIDATED=Y","FA_ADJUSTED=GAAP","Sort=A","Dates=H","DateFormat=P","Fill=—","Direction=H","UseDPDF=Y")</f>
        <v>#NAME?</v>
      </c>
      <c r="AP604" s="2" t="e">
        <f ca="1">_xll.BDH($C$603,"NET_INCOME_TO_COMMON_5_YR_GROWTH","FQ1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604" s="2" t="e">
        <f ca="1">_xll.BDH($C$603,"5Y_GEO_GROWTH_DILUTED_EPS","FQ1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604" s="2" t="e">
        <f ca="1">_xll.BDH($C$603,"GEO_GROW_DVD_PER_SH","FQ1 2014","FQ1 2014","Currency=INR","Period=FQ","BEST_FPERIOD_OVERRIDE=FQ","FILING_STATUS=OR","EQY_CONSOLIDATED=Y","Sort=A","Dates=H","DateFormat=P","Fill=—","Direction=H","UseDPDF=Y")</f>
        <v>#NAME?</v>
      </c>
      <c r="AS604" s="2" t="e">
        <f ca="1">_xll.BDH($C$603,"ACCOUNTS_RECEIVABLE_5_YR_GROWTH","FQ1 2014","FQ1 2014","Currency=INR","Period=FQ","BEST_FPERIOD_OVERRIDE=FQ","FILING_STATUS=OR","EQY_CONSOLIDATED=Y","Sort=A","Dates=H","DateFormat=P","Fill=—","Direction=H","UseDPDF=Y")</f>
        <v>#NAME?</v>
      </c>
      <c r="AT604" s="2" t="e">
        <f ca="1">_xll.BDH($C$603,"INVENTORY_5_YEAR_GROWTH","FQ1 2014","FQ1 2014","Currency=INR","Period=FQ","BEST_FPERIOD_OVERRIDE=FQ","FILING_STATUS=OR","EQY_CONSOLIDATED=Y","Sort=A","Dates=H","DateFormat=P","Fill=—","Direction=H","UseDPDF=Y")</f>
        <v>#NAME?</v>
      </c>
      <c r="AU604" s="2" t="e">
        <f ca="1">_xll.BDH($C$603,"NET_FIXED_ASSETS_5_YEAR_GROWTH","FQ1 2014","FQ1 2014","Currency=INR","Period=FQ","BEST_FPERIOD_OVERRIDE=FQ","FILING_STATUS=OR","EQY_CONSOLIDATED=Y","Sort=A","Dates=H","DateFormat=P","Fill=—","Direction=H","UseDPDF=Y")</f>
        <v>#NAME?</v>
      </c>
      <c r="AV604" s="2" t="e">
        <f ca="1">_xll.BDH($C$603,"GEO_GROW_TOT_ASSET","FQ1 2014","FQ1 2014","Currency=INR","Period=FQ","BEST_FPERIOD_OVERRIDE=FQ","FILING_STATUS=OR","EQY_CONSOLIDATED=Y","Sort=A","Dates=H","DateFormat=P","Fill=—","Direction=H","UseDPDF=Y")</f>
        <v>#NAME?</v>
      </c>
      <c r="AW604" s="2" t="e">
        <f ca="1">_xll.BDH($C$603,"MODIFIED_WORKING_CPTL_5YR_GRWTH","FQ1 2014","FQ1 2014","Currency=INR","Period=FQ","BEST_FPERIOD_OVERRIDE=FQ","FILING_STATUS=OR","EQY_CONSOLIDATED=Y","Sort=A","Dates=H","DateFormat=P","Fill=—","Direction=H","UseDPDF=Y")</f>
        <v>#NAME?</v>
      </c>
      <c r="AX604" s="2" t="e">
        <f ca="1">_xll.BDH($C$603,"WORKING_CAPITAL_5_YEAR_GROWTH","FQ1 2014","FQ1 2014","Currency=INR","Period=FQ","BEST_FPERIOD_OVERRIDE=FQ","FILING_STATUS=OR","EQY_CONSOLIDATED=Y","Sort=A","Dates=H","DateFormat=P","Fill=—","Direction=H","UseDPDF=Y")</f>
        <v>#NAME?</v>
      </c>
      <c r="AY604" s="2" t="e">
        <f ca="1">_xll.BDH($C$603,"ACCOUNTS_PAYABLE_5_YEAR_GROWTH","FQ1 2014","FQ1 2014","Currency=INR","Period=FQ","BEST_FPERIOD_OVERRIDE=FQ","FILING_STATUS=OR","EQY_CONSOLIDATED=Y","Sort=A","Dates=H","DateFormat=P","Fill=—","Direction=H","UseDPDF=Y")</f>
        <v>#NAME?</v>
      </c>
      <c r="AZ604" s="2" t="e">
        <f ca="1">_xll.BDH($C$603,"SHORT_TERM_DEBT_5_YEAR_GROWTH","FQ1 2014","FQ1 2014","Currency=INR","Period=FQ","BEST_FPERIOD_OVERRIDE=FQ","FILING_STATUS=OR","EQY_CONSOLIDATED=Y","Sort=A","Dates=H","DateFormat=P","Fill=—","Direction=H","UseDPDF=Y")</f>
        <v>#NAME?</v>
      </c>
      <c r="BA604" s="2" t="e">
        <f ca="1">_xll.BDH($C$603,"TOTAL_DEBT_5_YEAR_GROWTH","FQ1 2014","FQ1 2014","Currency=INR","Period=FQ","BEST_FPERIOD_OVERRIDE=FQ","FILING_STATUS=OR","EQY_CONSOLIDATED=Y","Sort=A","Dates=H","DateFormat=P","Fill=—","Direction=H","UseDPDF=Y")</f>
        <v>#NAME?</v>
      </c>
      <c r="BB604" s="2" t="e">
        <f ca="1">_xll.BDH($C$603,"GEO_GROW_TOT_SHRHLDR_EQY","FQ1 2014","FQ1 2014","Currency=INR","Period=FQ","BEST_FPERIOD_OVERRIDE=FQ","FILING_STATUS=OR","EQY_CONSOLIDATED=Y","Sort=A","Dates=H","DateFormat=P","Fill=—","Direction=H","UseDPDF=Y")</f>
        <v>#NAME?</v>
      </c>
      <c r="BC604" s="2" t="e">
        <f ca="1">_xll.BDH($C$603,"TOTAL_CAPITAL_5_YEAR_GROWTH","FQ1 2014","FQ1 2014","Currency=INR","Period=FQ","BEST_FPERIOD_OVERRIDE=FQ","FILING_STATUS=OR","EQY_CONSOLIDATED=Y","Sort=A","Dates=H","DateFormat=P","Fill=—","Direction=H","UseDPDF=Y")</f>
        <v>#NAME?</v>
      </c>
      <c r="BD604" s="2" t="e">
        <f ca="1">_xll.BDH($C$603,"GEO_GROW_BOOK_VAL","FQ1 2014","FQ1 2014","Currency=INR","Period=FQ","BEST_FPERIOD_OVERRIDE=FQ","FILING_STATUS=OR","EQY_CONSOLIDATED=Y","Sort=A","Dates=H","DateFormat=P","Fill=—","Direction=H","UseDPDF=Y")</f>
        <v>#NAME?</v>
      </c>
      <c r="BE604" s="2" t="e">
        <f ca="1">_xll.BDH($C$603,"GEO_GROW_CASH_OPER_ACT","FQ1 2014","FQ1 2014","Currency=INR","Period=FQ","BEST_FPERIOD_OVERRIDE=FQ","FILING_STATUS=OR","EQY_CONSOLIDATED=Y","Sort=A","Dates=H","DateFormat=P","Fill=—","Direction=H","UseDPDF=Y")</f>
        <v>#NAME?</v>
      </c>
      <c r="BF604" s="2" t="e">
        <f ca="1">_xll.BDH($C$603,"REVENUE_SEQUENTIAL_GROWTH","FQ1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604" s="2" t="e">
        <f ca="1">_xll.BDH($C$603,"EBITDA_SEQUENTIAL_GROWTH","FQ1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604" s="2" t="e">
        <f ca="1">_xll.BDH($C$603,"OPERATING_INCOME_SEQ_GROWTH","FQ1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604" s="2" t="e">
        <f ca="1">_xll.BDH($C$603,"NET_INCOME_TO_COMMON_SEQ_GROWTH","FQ1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604" s="2" t="e">
        <f ca="1">_xll.BDH($C$603,"EPS_DILUTED_SEQUENTIAL_GROWTH","FQ1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604" s="2" t="e">
        <f ca="1">_xll.BDH($C$603,"DPS_SEQUENTIAL_GROWTH","FQ1 2014","FQ1 2014","Currency=INR","Period=FQ","BEST_FPERIOD_OVERRIDE=FQ","FILING_STATUS=OR","EQY_CONSOLIDATED=Y","Sort=A","Dates=H","DateFormat=P","Fill=—","Direction=H","UseDPDF=Y")</f>
        <v>#NAME?</v>
      </c>
      <c r="BL604" s="2" t="e">
        <f ca="1">_xll.BDH($C$603,"ACCOUNTS_RECEIVABLE_SEQ_GROWTH","FQ1 2014","FQ1 2014","Currency=INR","Period=FQ","BEST_FPERIOD_OVERRIDE=FQ","FILING_STATUS=OR","EQY_CONSOLIDATED=Y","Sort=A","Dates=H","DateFormat=P","Fill=—","Direction=H","UseDPDF=Y")</f>
        <v>#NAME?</v>
      </c>
      <c r="BM604" s="2" t="e">
        <f ca="1">_xll.BDH($C$603,"INVENTORY_SEQUENTIAL_GROWTH","FQ1 2014","FQ1 2014","Currency=INR","Period=FQ","BEST_FPERIOD_OVERRIDE=FQ","FILING_STATUS=OR","EQY_CONSOLIDATED=Y","Sort=A","Dates=H","DateFormat=P","Fill=—","Direction=H","UseDPDF=Y")</f>
        <v>#NAME?</v>
      </c>
      <c r="BN604" s="2" t="e">
        <f ca="1">_xll.BDH($C$603,"FIXED_ASSETS_SEQUENTIAL_GROWTH","FQ1 2014","FQ1 2014","Currency=INR","Period=FQ","BEST_FPERIOD_OVERRIDE=FQ","FILING_STATUS=OR","EQY_CONSOLIDATED=Y","Sort=A","Dates=H","DateFormat=P","Fill=—","Direction=H","UseDPDF=Y")</f>
        <v>#NAME?</v>
      </c>
      <c r="BO604" s="2" t="e">
        <f ca="1">_xll.BDH($C$603,"TOTAL_ASSETS_SEQUENTIAL_GROWTH","FQ1 2014","FQ1 2014","Currency=INR","Period=FQ","BEST_FPERIOD_OVERRIDE=FQ","FILING_STATUS=OR","EQY_CONSOLIDATED=Y","Sort=A","Dates=H","DateFormat=P","Fill=—","Direction=H","UseDPDF=Y")</f>
        <v>#NAME?</v>
      </c>
      <c r="BP604" s="2" t="e">
        <f ca="1">_xll.BDH($C$603,"MODIFIED_WORKING_CPTL_SEQ_GRWTH","FQ1 2014","FQ1 2014","Currency=INR","Period=FQ","BEST_FPERIOD_OVERRIDE=FQ","FILING_STATUS=OR","EQY_CONSOLIDATED=Y","Sort=A","Dates=H","DateFormat=P","Fill=—","Direction=H","UseDPDF=Y")</f>
        <v>#NAME?</v>
      </c>
      <c r="BQ604" s="2" t="e">
        <f ca="1">_xll.BDH($C$603,"WORKING_CAPITAL_SEQ_GROWTH","FQ1 2014","FQ1 2014","Currency=INR","Period=FQ","BEST_FPERIOD_OVERRIDE=FQ","FILING_STATUS=OR","EQY_CONSOLIDATED=Y","Sort=A","Dates=H","DateFormat=P","Fill=—","Direction=H","UseDPDF=Y")</f>
        <v>#NAME?</v>
      </c>
      <c r="BR604" s="2" t="e">
        <f ca="1">_xll.BDH($C$603,"ACCOUNTS_PAYABLE_SEQ_GROWTH","FQ1 2014","FQ1 2014","Currency=INR","Period=FQ","BEST_FPERIOD_OVERRIDE=FQ","FILING_STATUS=OR","EQY_CONSOLIDATED=Y","Sort=A","Dates=H","DateFormat=P","Fill=—","Direction=H","UseDPDF=Y")</f>
        <v>#NAME?</v>
      </c>
      <c r="BS604" s="2" t="e">
        <f ca="1">_xll.BDH($C$603,"ST_DEBT_SEQUENTIAL_GROWTH","FQ1 2014","FQ1 2014","Currency=INR","Period=FQ","BEST_FPERIOD_OVERRIDE=FQ","FILING_STATUS=OR","EQY_CONSOLIDATED=Y","Sort=A","Dates=H","DateFormat=P","Fill=—","Direction=H","UseDPDF=Y")</f>
        <v>#NAME?</v>
      </c>
      <c r="BT604" s="2" t="e">
        <f ca="1">_xll.BDH($C$603,"TOTAL_DEBT_SEQUENTIAL_GROWTH","FQ1 2014","FQ1 2014","Currency=INR","Period=FQ","BEST_FPERIOD_OVERRIDE=FQ","FILING_STATUS=OR","EQY_CONSOLIDATED=Y","Sort=A","Dates=H","DateFormat=P","Fill=—","Direction=H","UseDPDF=Y")</f>
        <v>#NAME?</v>
      </c>
      <c r="BU604" s="2" t="e">
        <f ca="1">_xll.BDH($C$603,"TOTAL_EQUITY_SEQUENTIAL_GROWTH","FQ1 2014","FQ1 2014","Currency=INR","Period=FQ","BEST_FPERIOD_OVERRIDE=FQ","FILING_STATUS=OR","EQY_CONSOLIDATED=Y","Sort=A","Dates=H","DateFormat=P","Fill=—","Direction=H","UseDPDF=Y")</f>
        <v>#NAME?</v>
      </c>
      <c r="BV604" s="2" t="e">
        <f ca="1">_xll.BDH($C$603,"TOTAL_CAPITAL_SEQUENTIAL_GROWTH","FQ1 2014","FQ1 2014","Currency=INR","Period=FQ","BEST_FPERIOD_OVERRIDE=FQ","FILING_STATUS=OR","EQY_CONSOLIDATED=Y","Sort=A","Dates=H","DateFormat=P","Fill=—","Direction=H","UseDPDF=Y")</f>
        <v>#NAME?</v>
      </c>
      <c r="BW604" s="2" t="e">
        <f ca="1">_xll.BDH($C$603,"BPS_SEQUENTIAL_GROWTH","FQ1 2014","FQ1 2014","Currency=INR","Period=FQ","BEST_FPERIOD_OVERRIDE=FQ","FILING_STATUS=OR","EQY_CONSOLIDATED=Y","Sort=A","Dates=H","DateFormat=P","Fill=—","Direction=H","UseDPDF=Y")</f>
        <v>#NAME?</v>
      </c>
      <c r="BX604" s="2" t="e">
        <f ca="1">_xll.BDH($C$603,"CFO_SEQUENTIAL_GROWTH","FQ1 2014","FQ1 2014","Currency=INR","Period=FQ","BEST_FPERIOD_OVERRIDE=FQ","FILING_STATUS=OR","EQY_CONSOLIDATED=Y","Sort=A","Dates=H","DateFormat=P","Fill=—","Direction=H","UseDPDF=Y")</f>
        <v>#NAME?</v>
      </c>
      <c r="BY604" s="3" t="e">
        <f ca="1">_xll.BDH($C$603,"SHORT_AND_LONG_TERM_DEBT","FQ1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604" s="3" t="e">
        <f ca="1">_xll.BDH($C$603,"BS_ST_BORROW","FQ1 2014","FQ1 2014","Currency=INR","Period=FQ","BEST_FPERIOD_OVERRIDE=FQ","FILING_STATUS=OR","EQY_CONSOLIDATED=Y","SCALING_FORMAT=MLN","Sort=A","Dates=H","DateFormat=P","Fill=—","Direction=H","UseDPDF=Y")</f>
        <v>#NAME?</v>
      </c>
      <c r="CA604" s="3" t="e">
        <f ca="1">_xll.BDH($C$603,"BS_LT_BORROW","FQ1 2014","FQ1 2014","Currency=INR","Period=FQ","BEST_FPERIOD_OVERRIDE=FQ","FILING_STATUS=OR","EQY_CONSOLIDATED=Y","SCALING_FORMAT=MLN","Sort=A","Dates=H","DateFormat=P","Fill=—","Direction=H","UseDPDF=Y")</f>
        <v>#NAME?</v>
      </c>
      <c r="CB604" s="2" t="e">
        <f ca="1">_xll.BDH($C$603,"TOT_DEBT_TO_EBITDA","FQ1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604" s="2" t="e">
        <f ca="1">_xll.BDH($C$603,"NET_DEBT_TO_EBITDA","FQ1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604" s="2" t="e">
        <f ca="1">_xll.BDH($C$603,"TOTAL_DEBT_TO_EBIT","FQ1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604" s="2" t="e">
        <f ca="1">_xll.BDH($C$603,"NET_DEBT_TO_EBIT","FQ1 2014","FQ1 2014","Currency=INR","Period=FQ","BEST_FPERIOD_OVERRIDE=FQ","FILING_STATUS=OR","EQY_CONSOLIDATED=Y","FA_ADJUSTED=GAAP","Sort=A","Dates=H","DateFormat=P","Fill=—","Direction=H","UseDPDF=Y")</f>
        <v>#NAME?</v>
      </c>
      <c r="CF604" s="2" t="e">
        <f ca="1">_xll.BDH($C$603,"EBITDA_TO_INTEREST_EXPN","FQ1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604" s="2" t="e">
        <f ca="1">_xll.BDH($C$603,"COM_EQY_TO_TOT_ASSET","FQ1 2014","FQ1 2014","Currency=INR","Period=FQ","BEST_FPERIOD_OVERRIDE=FQ","FILING_STATUS=OR","EQY_CONSOLIDATED=Y","Sort=A","Dates=H","DateFormat=P","Fill=—","Direction=H","UseDPDF=Y")</f>
        <v>#NAME?</v>
      </c>
      <c r="CH604" s="2" t="e">
        <f ca="1">_xll.BDH($C$603,"LT_DEBT_TO_TOT_EQY","FQ1 2014","FQ1 2014","Currency=INR","Period=FQ","BEST_FPERIOD_OVERRIDE=FQ","FILING_STATUS=OR","EQY_CONSOLIDATED=Y","Sort=A","Dates=H","DateFormat=P","Fill=—","Direction=H","UseDPDF=Y")</f>
        <v>#NAME?</v>
      </c>
      <c r="CI604" s="2" t="e">
        <f ca="1">_xll.BDH($C$603,"LT_DEBT_TO_TOT_CAP","FQ1 2014","FQ1 2014","Currency=INR","Period=FQ","BEST_FPERIOD_OVERRIDE=FQ","FILING_STATUS=OR","EQY_CONSOLIDATED=Y","Sort=A","Dates=H","DateFormat=P","Fill=—","Direction=H","UseDPDF=Y")</f>
        <v>#NAME?</v>
      </c>
      <c r="CJ604" s="2" t="e">
        <f ca="1">_xll.BDH($C$603,"LT_DEBT_TO_TOT_ASSET","FQ1 2014","FQ1 2014","Currency=INR","Period=FQ","BEST_FPERIOD_OVERRIDE=FQ","FILING_STATUS=OR","EQY_CONSOLIDATED=Y","Sort=A","Dates=H","DateFormat=P","Fill=—","Direction=H","UseDPDF=Y")</f>
        <v>#NAME?</v>
      </c>
      <c r="CK604" s="2" t="e">
        <f ca="1">_xll.BDH($C$603,"TOT_DEBT_TO_TOT_EQY","FQ1 2014","FQ1 2014","Currency=INR","Period=FQ","BEST_FPERIOD_OVERRIDE=FQ","FILING_STATUS=OR","EQY_CONSOLIDATED=Y","Sort=A","Dates=H","DateFormat=P","Fill=—","Direction=H","UseDPDF=Y")</f>
        <v>#NAME?</v>
      </c>
      <c r="CL604" s="2" t="e">
        <f ca="1">_xll.BDH($C$603,"TOT_DEBT_TO_TOT_CAP","FQ1 2014","FQ1 2014","Currency=INR","Period=FQ","BEST_FPERIOD_OVERRIDE=FQ","FILING_STATUS=OR","EQY_CONSOLIDATED=Y","Sort=A","Dates=H","DateFormat=P","Fill=—","Direction=H","UseDPDF=Y")</f>
        <v>#NAME?</v>
      </c>
      <c r="CM604" s="2" t="e">
        <f ca="1">_xll.BDH($C$603,"TOT_DEBT_TO_TOT_ASSET","FQ1 2014","FQ1 2014","Currency=INR","Period=FQ","BEST_FPERIOD_OVERRIDE=FQ","FILING_STATUS=OR","EQY_CONSOLIDATED=Y","Sort=A","Dates=H","DateFormat=P","Fill=—","Direction=H","UseDPDF=Y")</f>
        <v>#NAME?</v>
      </c>
      <c r="CN604" s="2" t="e">
        <f ca="1">_xll.BDH($C$603,"NET_DEBT_TO_SHRHLDR_EQTY","FQ1 2014","FQ1 2014","Currency=INR","Period=FQ","BEST_FPERIOD_OVERRIDE=FQ","FILING_STATUS=OR","EQY_CONSOLIDATED=Y","Sort=A","Dates=H","DateFormat=P","Fill=—","Direction=H","UseDPDF=Y")</f>
        <v>#NAME?</v>
      </c>
      <c r="CO604" s="2" t="e">
        <f ca="1">_xll.BDH($C$603,"NET_DEBT_%_CAPITAL","FQ1 2014","FQ1 2014","Currency=INR","Period=FQ","BEST_FPERIOD_OVERRIDE=FQ","FILING_STATUS=OR","EQY_CONSOLIDATED=Y","Sort=A","Dates=H","DateFormat=P","Fill=—","Direction=H","UseDPDF=Y")</f>
        <v>#NAME?</v>
      </c>
      <c r="CP604" s="3" t="e">
        <f ca="1">_xll.BDH($C$603,"EBITDA","FQ1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604" s="3" t="e">
        <f ca="1">_xll.BDH($C$603,"EBITDA_AFTER_CAPEX","FQ1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604" s="3" t="e">
        <f ca="1">_xll.BDH($C$603,"IS_OPER_INC","FQ1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604" s="2" t="e">
        <f ca="1">_xll.BDH($C$603,"CASH_RATIO","FQ1 2014","FQ1 2014","Currency=INR","Period=FQ","BEST_FPERIOD_OVERRIDE=FQ","FILING_STATUS=OR","EQY_CONSOLIDATED=Y","Sort=A","Dates=H","DateFormat=P","Fill=—","Direction=H","UseDPDF=Y")</f>
        <v>#NAME?</v>
      </c>
      <c r="CT604" s="2" t="e">
        <f ca="1">_xll.BDH($C$603,"CUR_RATIO","FQ1 2014","FQ1 2014","Currency=INR","Period=FQ","BEST_FPERIOD_OVERRIDE=FQ","FILING_STATUS=OR","EQY_CONSOLIDATED=Y","Sort=A","Dates=H","DateFormat=P","Fill=—","Direction=H","UseDPDF=Y")</f>
        <v>#NAME?</v>
      </c>
      <c r="CU604" s="2" t="e">
        <f ca="1">_xll.BDH($C$603,"QUICK_RATIO","FQ1 2014","FQ1 2014","Currency=INR","Period=FQ","BEST_FPERIOD_OVERRIDE=FQ","FILING_STATUS=OR","EQY_CONSOLIDATED=Y","Sort=A","Dates=H","DateFormat=P","Fill=—","Direction=H","UseDPDF=Y")</f>
        <v>#NAME?</v>
      </c>
      <c r="CV604" s="2" t="e">
        <f ca="1">_xll.BDH($C$603,"ALTMAN_Z_SCORE","FQ1 2014","FQ1 2014","Currency=INR","Period=FQ","BEST_FPERIOD_OVERRIDE=FQ","FILING_STATUS=OR","EQY_CONSOLIDATED=Y","Sort=A","Dates=H","DateFormat=P","Fill=—","Direction=H","UseDPDF=Y")</f>
        <v>#NAME?</v>
      </c>
      <c r="CW604" s="4" t="e">
        <f ca="1">_xll.BDH($C$603,"ACCT_RCV_TURN","FQ1 2014","FQ1 2014","Currency=INR","Period=FQ","BEST_FPERIOD_OVERRIDE=FQ","FILING_STATUS=OR","EQY_CONSOLIDATED=Y","FA_ADJUSTED=GAAP","Sort=A","Dates=H","DateFormat=P","Fill=—","Direction=H","UseDPDF=Y")</f>
        <v>#NAME?</v>
      </c>
      <c r="CX604" s="2" t="e">
        <f ca="1">_xll.BDH($C$603,"ACCT_RCV_DAYS","FQ1 2014","FQ1 2014","Currency=INR","Period=FQ","BEST_FPERIOD_OVERRIDE=FQ","FILING_STATUS=OR","EQY_CONSOLIDATED=Y","FA_ADJUSTED=GAAP","Sort=A","Dates=H","DateFormat=P","Fill=—","Direction=H","UseDPDF=Y")</f>
        <v>#NAME?</v>
      </c>
      <c r="CY604" s="4" t="e">
        <f ca="1">_xll.BDH($C$603,"INVENT_TURN","FQ1 2014","FQ1 2014","Currency=INR","Period=FQ","BEST_FPERIOD_OVERRIDE=FQ","FILING_STATUS=OR","EQY_CONSOLIDATED=Y","FA_ADJUSTED=GAAP","Sort=A","Dates=H","DateFormat=P","Fill=—","Direction=H","UseDPDF=Y")</f>
        <v>#NAME?</v>
      </c>
      <c r="CZ604" s="2" t="e">
        <f ca="1">_xll.BDH($C$603,"INVENT_DAYS","FQ1 2014","FQ1 2014","Currency=INR","Period=FQ","BEST_FPERIOD_OVERRIDE=FQ","FILING_STATUS=OR","EQY_CONSOLIDATED=Y","FA_ADJUSTED=GAAP","Sort=A","Dates=H","DateFormat=P","Fill=—","Direction=H","UseDPDF=Y")</f>
        <v>#NAME?</v>
      </c>
      <c r="DA604" s="4" t="e">
        <f ca="1">_xll.BDH($C$603,"ACCOUNTS_PAYABLE_TURNOVER","FQ1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604" s="2" t="e">
        <f ca="1">_xll.BDH($C$603,"ACCOUNTS_PAYABLE_TURNOVER_DAYS","FQ1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604" s="4" t="e">
        <f ca="1">_xll.BDH($C$603,"CASH_CONVERSION_CYCLE","FQ1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604" s="4" t="e">
        <f ca="1">_xll.BDH($C$603,"INV_TO_CASH_DAYS","FQ1 2014","FQ1 2014","Currency=INR","Period=FQ","BEST_FPERIOD_OVERRIDE=FQ","FILING_STATUS=OR","EQY_CONSOLIDATED=Y","FA_ADJUSTED=GAAP","Sort=A","Dates=H","DateFormat=P","Fill=—","Direction=H","UseDPDF=Y")</f>
        <v>#NAME?</v>
      </c>
      <c r="DE604" s="5" t="e">
        <f ca="1">_xll.BDH($C$603,"BS_INVENTORIES","FQ1 2014","FQ1 2014","Currency=INR","Period=FQ","BEST_FPERIOD_OVERRIDE=FQ","FILING_STATUS=OR","EQY_CONSOLIDATED=Y","SCALING_FORMAT=MLN","Sort=A","Dates=H","DateFormat=P","Fill=—","Direction=H","UseDPDF=Y")</f>
        <v>#NAME?</v>
      </c>
      <c r="DF604" s="3" t="e">
        <f ca="1">_xll.BDH($C$603,"INVTRY_RAW_MATERIALS","FQ1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604" s="3" t="e">
        <f ca="1">_xll.BDH($C$603,"INVTRY_IN_PROGRESS","FQ1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604" s="3" t="e">
        <f ca="1">_xll.BDH($C$603,"INVTRY_FINISHED_GOODS","FQ1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604" s="3" t="e">
        <f ca="1">_xll.BDH($C$603,"BS_OTHER_INV","FQ1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605" spans="1:113" x14ac:dyDescent="0.3">
      <c r="A605" s="6"/>
      <c r="B605" s="6"/>
      <c r="C605" s="6"/>
      <c r="D605" s="6"/>
      <c r="E605" t="s">
        <v>79</v>
      </c>
      <c r="F605" t="e">
        <f ca="1">_xll.BDH($C$603,"RETURN_COM_EQY","FQ2 2014","FQ2 2014","Currency=INR","Period=FQ","BEST_FPERIOD_OVERRIDE=FQ","FILING_STATUS=OR","EQY_CONSOLIDATED=Y","FA_ADJUSTED=GAAP","Sort=A","Dates=H","DateFormat=P","Fill=—","Direction=H","UseDPDF=Y")</f>
        <v>#NAME?</v>
      </c>
      <c r="G605" t="e">
        <f ca="1">_xll.BDH($C$603,"RETURN_ON_ASSET","FQ2 2014","FQ2 2014","Currency=INR","Period=FQ","BEST_FPERIOD_OVERRIDE=FQ","FILING_STATUS=OR","EQY_CONSOLIDATED=Y","FA_ADJUSTED=GAAP","Sort=A","Dates=H","DateFormat=P","Fill=—","Direction=H","UseDPDF=Y")</f>
        <v>#NAME?</v>
      </c>
      <c r="H605" t="e">
        <f ca="1">_xll.BDH($C$603,"RETURN_ON_CAP","FQ2 2014","FQ2 2014","Currency=INR","Period=FQ","BEST_FPERIOD_OVERRIDE=FQ","FILING_STATUS=OR","EQY_CONSOLIDATED=Y","FA_ADJUSTED=GAAP","Sort=A","Dates=H","DateFormat=P","Fill=—","Direction=H","UseDPDF=Y")</f>
        <v>#NAME?</v>
      </c>
      <c r="I605" t="e">
        <f ca="1">_xll.BDH($C$603,"RETURN_ON_INV_CAPITAL","FQ2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605" t="e">
        <f ca="1">_xll.BDH($C$603,"EBITDA_TO_REVENUE","FQ2 2014","FQ2 2014","Currency=INR","Period=FQ","BEST_FPERIOD_OVERRIDE=FQ","FILING_STATUS=OR","EQY_CONSOLIDATED=Y","FA_ADJUSTED=GAAP","Sort=A","Dates=H","DateFormat=P","Fill=—","Direction=H","UseDPDF=Y")</f>
        <v>#NAME?</v>
      </c>
      <c r="K605" t="e">
        <f ca="1">_xll.BDH($C$603,"OPER_MARGIN","FQ2 2014","FQ2 2014","Currency=INR","Period=FQ","BEST_FPERIOD_OVERRIDE=FQ","FILING_STATUS=OR","EQY_CONSOLIDATED=Y","FA_ADJUSTED=GAAP","Sort=A","Dates=H","DateFormat=P","Fill=—","Direction=H","UseDPDF=Y")</f>
        <v>#NAME?</v>
      </c>
      <c r="L605" t="e">
        <f ca="1">_xll.BDH($C$603,"INCREMENTAL_OPERATING_MARGIN","FQ2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605" t="e">
        <f ca="1">_xll.BDH($C$603,"PRETAX_INC_TO_NET_SALES","FQ2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605" t="e">
        <f ca="1">_xll.BDH($C$603,"INC_BEF_XO_ITEMS_TO_NET_SALES","FQ2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605" t="e">
        <f ca="1">_xll.BDH($C$603,"PROF_MARGIN","FQ2 2014","FQ2 2014","Currency=INR","Period=FQ","BEST_FPERIOD_OVERRIDE=FQ","FILING_STATUS=OR","EQY_CONSOLIDATED=Y","FA_ADJUSTED=GAAP","Sort=A","Dates=H","DateFormat=P","Fill=—","Direction=H","UseDPDF=Y")</f>
        <v>#NAME?</v>
      </c>
      <c r="P605" t="e">
        <f ca="1">_xll.BDH($C$603,"NET_INCOME_TO_COMMON_MARGIN","FQ2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605" t="e">
        <f ca="1">_xll.BDH($C$603,"EFF_TAX_RATE","FQ2 2014","FQ2 2014","Currency=INR","Period=FQ","BEST_FPERIOD_OVERRIDE=FQ","FILING_STATUS=OR","EQY_CONSOLIDATED=Y","FA_ADJUSTED=GAAP","Sort=A","Dates=H","DateFormat=P","Fill=—","Direction=H","UseDPDF=Y")</f>
        <v>#NAME?</v>
      </c>
      <c r="R605" t="e">
        <f ca="1">_xll.BDH($C$603,"DVD_PAYOUT_RATIO","FQ2 2014","FQ2 2014","Currency=INR","Period=FQ","BEST_FPERIOD_OVERRIDE=FQ","FILING_STATUS=OR","EQY_CONSOLIDATED=Y","FA_ADJUSTED=GAAP","Sort=A","Dates=H","DateFormat=P","Fill=—","Direction=H","UseDPDF=Y")</f>
        <v>#NAME?</v>
      </c>
      <c r="S605" t="e">
        <f ca="1">_xll.BDH($C$603,"SUSTAIN_GROWTH_RT","FQ2 2014","FQ2 2014","Currency=INR","Period=FQ","BEST_FPERIOD_OVERRIDE=FQ","FILING_STATUS=OR","EQY_CONSOLIDATED=Y","FA_ADJUSTED=GAAP","Sort=A","Dates=H","DateFormat=P","Fill=—","Direction=H","UseDPDF=Y")</f>
        <v>#NAME?</v>
      </c>
      <c r="T605" s="2" t="e">
        <f ca="1">_xll.BDH($C$603,"SALES_GROWTH","FQ2 2014","FQ2 2014","Currency=INR","Period=FQ","BEST_FPERIOD_OVERRIDE=FQ","FILING_STATUS=OR","EQY_CONSOLIDATED=Y","FA_ADJUSTED=GAAP","Sort=A","Dates=H","DateFormat=P","Fill=—","Direction=H","UseDPDF=Y")</f>
        <v>#NAME?</v>
      </c>
      <c r="U605" s="2" t="e">
        <f ca="1">_xll.BDH($C$603,"EBITDA_GROWTH","FQ2 2014","FQ2 2014","Currency=INR","Period=FQ","BEST_FPERIOD_OVERRIDE=FQ","FILING_STATUS=OR","EQY_CONSOLIDATED=Y","FA_ADJUSTED=GAAP","Sort=A","Dates=H","DateFormat=P","Fill=—","Direction=H","UseDPDF=Y")</f>
        <v>#NAME?</v>
      </c>
      <c r="V605" s="2" t="e">
        <f ca="1">_xll.BDH($C$603,"OPER_INC_GROWTH","FQ2 2014","FQ2 2014","Currency=INR","Period=FQ","BEST_FPERIOD_OVERRIDE=FQ","FILING_STATUS=OR","EQY_CONSOLIDATED=Y","FA_ADJUSTED=GAAP","Sort=A","Dates=H","DateFormat=P","Fill=—","Direction=H","UseDPDF=Y")</f>
        <v>#NAME?</v>
      </c>
      <c r="W605" s="2" t="e">
        <f ca="1">_xll.BDH($C$603,"EARN_FOR_COM_GROWTH","FQ2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605" s="2" t="e">
        <f ca="1">_xll.BDH($C$603,"DILUTED_EPS_AFT_XO_ITEMS_GROWTH","FQ2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605" s="2" t="e">
        <f ca="1">_xll.BDH($C$603,"DIVIDEND_PER_SHARE_1_YEAR_GROWTH","FQ2 2014","FQ2 2014","Currency=INR","Period=FQ","BEST_FPERIOD_OVERRIDE=FQ","FILING_STATUS=OR","EQY_CONSOLIDATED=Y","Sort=A","Dates=H","DateFormat=P","Fill=—","Direction=H","UseDPDF=Y")</f>
        <v>#NAME?</v>
      </c>
      <c r="Z605" s="2" t="e">
        <f ca="1">_xll.BDH($C$603,"ACCOUNTS_RECEIVABLE_GROWTH","FQ2 2014","FQ2 2014","Currency=INR","Period=FQ","BEST_FPERIOD_OVERRIDE=FQ","FILING_STATUS=OR","EQY_CONSOLIDATED=Y","Sort=A","Dates=H","DateFormat=P","Fill=—","Direction=H","UseDPDF=Y")</f>
        <v>#NAME?</v>
      </c>
      <c r="AA605" s="2" t="e">
        <f ca="1">_xll.BDH($C$603,"INVENTORY_GROWTH","FQ2 2014","FQ2 2014","Currency=INR","Period=FQ","BEST_FPERIOD_OVERRIDE=FQ","FILING_STATUS=OR","EQY_CONSOLIDATED=Y","Sort=A","Dates=H","DateFormat=P","Fill=—","Direction=H","UseDPDF=Y")</f>
        <v>#NAME?</v>
      </c>
      <c r="AB605" s="2" t="e">
        <f ca="1">_xll.BDH($C$603,"NET_FIXED_ASSETS_1_YEAR_GROWTH","FQ2 2014","FQ2 2014","Currency=INR","Period=FQ","BEST_FPERIOD_OVERRIDE=FQ","FILING_STATUS=OR","EQY_CONSOLIDATED=Y","Sort=A","Dates=H","DateFormat=P","Fill=—","Direction=H","UseDPDF=Y")</f>
        <v>#NAME?</v>
      </c>
      <c r="AC605" s="2" t="e">
        <f ca="1">_xll.BDH($C$603,"ASSET_GROWTH","FQ2 2014","FQ2 2014","Currency=INR","Period=FQ","BEST_FPERIOD_OVERRIDE=FQ","FILING_STATUS=OR","EQY_CONSOLIDATED=Y","Sort=A","Dates=H","DateFormat=P","Fill=—","Direction=H","UseDPDF=Y")</f>
        <v>#NAME?</v>
      </c>
      <c r="AD605" s="2" t="e">
        <f ca="1">_xll.BDH($C$603,"MODIFIED_WORK_CAP_GROWTH","FQ2 2014","FQ2 2014","Currency=INR","Period=FQ","BEST_FPERIOD_OVERRIDE=FQ","FILING_STATUS=OR","EQY_CONSOLIDATED=Y","Sort=A","Dates=H","DateFormat=P","Fill=—","Direction=H","UseDPDF=Y")</f>
        <v>#NAME?</v>
      </c>
      <c r="AE605" s="2" t="e">
        <f ca="1">_xll.BDH($C$603,"WORK_CAP_GROWTH","FQ2 2014","FQ2 2014","Currency=INR","Period=FQ","BEST_FPERIOD_OVERRIDE=FQ","FILING_STATUS=OR","EQY_CONSOLIDATED=Y","Sort=A","Dates=H","DateFormat=P","Fill=—","Direction=H","UseDPDF=Y")</f>
        <v>#NAME?</v>
      </c>
      <c r="AF605" s="2" t="e">
        <f ca="1">_xll.BDH($C$603,"ACCOUNTS_PAYABLE_GROWTH_1YR","FQ2 2014","FQ2 2014","Currency=INR","Period=FQ","BEST_FPERIOD_OVERRIDE=FQ","FILING_STATUS=OR","EQY_CONSOLIDATED=Y","Sort=A","Dates=H","DateFormat=P","Fill=—","Direction=H","UseDPDF=Y")</f>
        <v>#NAME?</v>
      </c>
      <c r="AG605" s="2" t="e">
        <f ca="1">_xll.BDH($C$603,"SHORT_TERM_DEBT_1_YEAR_GROWTH","FQ2 2014","FQ2 2014","Currency=INR","Period=FQ","BEST_FPERIOD_OVERRIDE=FQ","FILING_STATUS=OR","EQY_CONSOLIDATED=Y","Sort=A","Dates=H","DateFormat=P","Fill=—","Direction=H","UseDPDF=Y")</f>
        <v>#NAME?</v>
      </c>
      <c r="AH605" s="2" t="e">
        <f ca="1">_xll.BDH($C$603,"TOTAL_DEBT_1_YEAR_GROWTH","FQ2 2014","FQ2 2014","Currency=INR","Period=FQ","BEST_FPERIOD_OVERRIDE=FQ","FILING_STATUS=OR","EQY_CONSOLIDATED=Y","Sort=A","Dates=H","DateFormat=P","Fill=—","Direction=H","UseDPDF=Y")</f>
        <v>#NAME?</v>
      </c>
      <c r="AI605" s="2" t="e">
        <f ca="1">_xll.BDH($C$603,"TOTAL_EQUITY_1_YEAR_GROWTH","FQ2 2014","FQ2 2014","Currency=INR","Period=FQ","BEST_FPERIOD_OVERRIDE=FQ","FILING_STATUS=OR","EQY_CONSOLIDATED=Y","Sort=A","Dates=H","DateFormat=P","Fill=—","Direction=H","UseDPDF=Y")</f>
        <v>#NAME?</v>
      </c>
      <c r="AJ605" s="2" t="e">
        <f ca="1">_xll.BDH($C$603,"GROWTH_IN_CAP","FQ2 2014","FQ2 2014","Currency=INR","Period=FQ","BEST_FPERIOD_OVERRIDE=FQ","FILING_STATUS=OR","EQY_CONSOLIDATED=Y","Sort=A","Dates=H","DateFormat=P","Fill=—","Direction=H","UseDPDF=Y")</f>
        <v>#NAME?</v>
      </c>
      <c r="AK605" s="2" t="e">
        <f ca="1">_xll.BDH($C$603,"BVPS_GROWTH","FQ2 2014","FQ2 2014","Currency=INR","Period=FQ","BEST_FPERIOD_OVERRIDE=FQ","FILING_STATUS=OR","EQY_CONSOLIDATED=Y","Sort=A","Dates=H","DateFormat=P","Fill=—","Direction=H","UseDPDF=Y")</f>
        <v>#NAME?</v>
      </c>
      <c r="AL605" s="2" t="e">
        <f ca="1">_xll.BDH($C$603,"CASH_FLOW_GROWTH","FQ2 2014","FQ2 2014","Currency=INR","Period=FQ","BEST_FPERIOD_OVERRIDE=FQ","FILING_STATUS=OR","EQY_CONSOLIDATED=Y","Sort=A","Dates=H","DateFormat=P","Fill=—","Direction=H","UseDPDF=Y")</f>
        <v>#NAME?</v>
      </c>
      <c r="AM605" s="2" t="e">
        <f ca="1">_xll.BDH($C$603,"GEO_GROW_NET_SALES","FQ2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605" s="2" t="e">
        <f ca="1">_xll.BDH($C$603,"GEO_GROW_EBITDA","FQ2 2014","FQ2 2014","Currency=INR","Period=FQ","BEST_FPERIOD_OVERRIDE=FQ","FILING_STATUS=OR","EQY_CONSOLIDATED=Y","FA_ADJUSTED=GAAP","Sort=A","Dates=H","DateFormat=P","Fill=—","Direction=H","UseDPDF=Y")</f>
        <v>#NAME?</v>
      </c>
      <c r="AO605" s="2" t="e">
        <f ca="1">_xll.BDH($C$603,"GEO_GROW_OPER_INC","FQ2 2014","FQ2 2014","Currency=INR","Period=FQ","BEST_FPERIOD_OVERRIDE=FQ","FILING_STATUS=OR","EQY_CONSOLIDATED=Y","FA_ADJUSTED=GAAP","Sort=A","Dates=H","DateFormat=P","Fill=—","Direction=H","UseDPDF=Y")</f>
        <v>#NAME?</v>
      </c>
      <c r="AP605" s="2" t="e">
        <f ca="1">_xll.BDH($C$603,"NET_INCOME_TO_COMMON_5_YR_GROWTH","FQ2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605" s="2" t="e">
        <f ca="1">_xll.BDH($C$603,"5Y_GEO_GROWTH_DILUTED_EPS","FQ2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605" s="2" t="e">
        <f ca="1">_xll.BDH($C$603,"GEO_GROW_DVD_PER_SH","FQ2 2014","FQ2 2014","Currency=INR","Period=FQ","BEST_FPERIOD_OVERRIDE=FQ","FILING_STATUS=OR","EQY_CONSOLIDATED=Y","Sort=A","Dates=H","DateFormat=P","Fill=—","Direction=H","UseDPDF=Y")</f>
        <v>#NAME?</v>
      </c>
      <c r="AS605" s="2" t="e">
        <f ca="1">_xll.BDH($C$603,"ACCOUNTS_RECEIVABLE_5_YR_GROWTH","FQ2 2014","FQ2 2014","Currency=INR","Period=FQ","BEST_FPERIOD_OVERRIDE=FQ","FILING_STATUS=OR","EQY_CONSOLIDATED=Y","Sort=A","Dates=H","DateFormat=P","Fill=—","Direction=H","UseDPDF=Y")</f>
        <v>#NAME?</v>
      </c>
      <c r="AT605" s="2" t="e">
        <f ca="1">_xll.BDH($C$603,"INVENTORY_5_YEAR_GROWTH","FQ2 2014","FQ2 2014","Currency=INR","Period=FQ","BEST_FPERIOD_OVERRIDE=FQ","FILING_STATUS=OR","EQY_CONSOLIDATED=Y","Sort=A","Dates=H","DateFormat=P","Fill=—","Direction=H","UseDPDF=Y")</f>
        <v>#NAME?</v>
      </c>
      <c r="AU605" s="2" t="e">
        <f ca="1">_xll.BDH($C$603,"NET_FIXED_ASSETS_5_YEAR_GROWTH","FQ2 2014","FQ2 2014","Currency=INR","Period=FQ","BEST_FPERIOD_OVERRIDE=FQ","FILING_STATUS=OR","EQY_CONSOLIDATED=Y","Sort=A","Dates=H","DateFormat=P","Fill=—","Direction=H","UseDPDF=Y")</f>
        <v>#NAME?</v>
      </c>
      <c r="AV605" s="2" t="e">
        <f ca="1">_xll.BDH($C$603,"GEO_GROW_TOT_ASSET","FQ2 2014","FQ2 2014","Currency=INR","Period=FQ","BEST_FPERIOD_OVERRIDE=FQ","FILING_STATUS=OR","EQY_CONSOLIDATED=Y","Sort=A","Dates=H","DateFormat=P","Fill=—","Direction=H","UseDPDF=Y")</f>
        <v>#NAME?</v>
      </c>
      <c r="AW605" s="2" t="e">
        <f ca="1">_xll.BDH($C$603,"MODIFIED_WORKING_CPTL_5YR_GRWTH","FQ2 2014","FQ2 2014","Currency=INR","Period=FQ","BEST_FPERIOD_OVERRIDE=FQ","FILING_STATUS=OR","EQY_CONSOLIDATED=Y","Sort=A","Dates=H","DateFormat=P","Fill=—","Direction=H","UseDPDF=Y")</f>
        <v>#NAME?</v>
      </c>
      <c r="AX605" s="2" t="e">
        <f ca="1">_xll.BDH($C$603,"WORKING_CAPITAL_5_YEAR_GROWTH","FQ2 2014","FQ2 2014","Currency=INR","Period=FQ","BEST_FPERIOD_OVERRIDE=FQ","FILING_STATUS=OR","EQY_CONSOLIDATED=Y","Sort=A","Dates=H","DateFormat=P","Fill=—","Direction=H","UseDPDF=Y")</f>
        <v>#NAME?</v>
      </c>
      <c r="AY605" s="2" t="e">
        <f ca="1">_xll.BDH($C$603,"ACCOUNTS_PAYABLE_5_YEAR_GROWTH","FQ2 2014","FQ2 2014","Currency=INR","Period=FQ","BEST_FPERIOD_OVERRIDE=FQ","FILING_STATUS=OR","EQY_CONSOLIDATED=Y","Sort=A","Dates=H","DateFormat=P","Fill=—","Direction=H","UseDPDF=Y")</f>
        <v>#NAME?</v>
      </c>
      <c r="AZ605" s="2" t="e">
        <f ca="1">_xll.BDH($C$603,"SHORT_TERM_DEBT_5_YEAR_GROWTH","FQ2 2014","FQ2 2014","Currency=INR","Period=FQ","BEST_FPERIOD_OVERRIDE=FQ","FILING_STATUS=OR","EQY_CONSOLIDATED=Y","Sort=A","Dates=H","DateFormat=P","Fill=—","Direction=H","UseDPDF=Y")</f>
        <v>#NAME?</v>
      </c>
      <c r="BA605" s="2" t="e">
        <f ca="1">_xll.BDH($C$603,"TOTAL_DEBT_5_YEAR_GROWTH","FQ2 2014","FQ2 2014","Currency=INR","Period=FQ","BEST_FPERIOD_OVERRIDE=FQ","FILING_STATUS=OR","EQY_CONSOLIDATED=Y","Sort=A","Dates=H","DateFormat=P","Fill=—","Direction=H","UseDPDF=Y")</f>
        <v>#NAME?</v>
      </c>
      <c r="BB605" s="2" t="e">
        <f ca="1">_xll.BDH($C$603,"GEO_GROW_TOT_SHRHLDR_EQY","FQ2 2014","FQ2 2014","Currency=INR","Period=FQ","BEST_FPERIOD_OVERRIDE=FQ","FILING_STATUS=OR","EQY_CONSOLIDATED=Y","Sort=A","Dates=H","DateFormat=P","Fill=—","Direction=H","UseDPDF=Y")</f>
        <v>#NAME?</v>
      </c>
      <c r="BC605" s="2" t="e">
        <f ca="1">_xll.BDH($C$603,"TOTAL_CAPITAL_5_YEAR_GROWTH","FQ2 2014","FQ2 2014","Currency=INR","Period=FQ","BEST_FPERIOD_OVERRIDE=FQ","FILING_STATUS=OR","EQY_CONSOLIDATED=Y","Sort=A","Dates=H","DateFormat=P","Fill=—","Direction=H","UseDPDF=Y")</f>
        <v>#NAME?</v>
      </c>
      <c r="BD605" s="2" t="e">
        <f ca="1">_xll.BDH($C$603,"GEO_GROW_BOOK_VAL","FQ2 2014","FQ2 2014","Currency=INR","Period=FQ","BEST_FPERIOD_OVERRIDE=FQ","FILING_STATUS=OR","EQY_CONSOLIDATED=Y","Sort=A","Dates=H","DateFormat=P","Fill=—","Direction=H","UseDPDF=Y")</f>
        <v>#NAME?</v>
      </c>
      <c r="BE605" s="2" t="e">
        <f ca="1">_xll.BDH($C$603,"GEO_GROW_CASH_OPER_ACT","FQ2 2014","FQ2 2014","Currency=INR","Period=FQ","BEST_FPERIOD_OVERRIDE=FQ","FILING_STATUS=OR","EQY_CONSOLIDATED=Y","Sort=A","Dates=H","DateFormat=P","Fill=—","Direction=H","UseDPDF=Y")</f>
        <v>#NAME?</v>
      </c>
      <c r="BF605" s="2" t="e">
        <f ca="1">_xll.BDH($C$603,"REVENUE_SEQUENTIAL_GROWTH","FQ2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605" s="2" t="e">
        <f ca="1">_xll.BDH($C$603,"EBITDA_SEQUENTIAL_GROWTH","FQ2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605" s="2" t="e">
        <f ca="1">_xll.BDH($C$603,"OPERATING_INCOME_SEQ_GROWTH","FQ2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605" s="2" t="e">
        <f ca="1">_xll.BDH($C$603,"NET_INCOME_TO_COMMON_SEQ_GROWTH","FQ2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605" s="2" t="e">
        <f ca="1">_xll.BDH($C$603,"EPS_DILUTED_SEQUENTIAL_GROWTH","FQ2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605" s="2" t="e">
        <f ca="1">_xll.BDH($C$603,"DPS_SEQUENTIAL_GROWTH","FQ2 2014","FQ2 2014","Currency=INR","Period=FQ","BEST_FPERIOD_OVERRIDE=FQ","FILING_STATUS=OR","EQY_CONSOLIDATED=Y","Sort=A","Dates=H","DateFormat=P","Fill=—","Direction=H","UseDPDF=Y")</f>
        <v>#NAME?</v>
      </c>
      <c r="BL605" s="2" t="e">
        <f ca="1">_xll.BDH($C$603,"ACCOUNTS_RECEIVABLE_SEQ_GROWTH","FQ2 2014","FQ2 2014","Currency=INR","Period=FQ","BEST_FPERIOD_OVERRIDE=FQ","FILING_STATUS=OR","EQY_CONSOLIDATED=Y","Sort=A","Dates=H","DateFormat=P","Fill=—","Direction=H","UseDPDF=Y")</f>
        <v>#NAME?</v>
      </c>
      <c r="BM605" s="2" t="e">
        <f ca="1">_xll.BDH($C$603,"INVENTORY_SEQUENTIAL_GROWTH","FQ2 2014","FQ2 2014","Currency=INR","Period=FQ","BEST_FPERIOD_OVERRIDE=FQ","FILING_STATUS=OR","EQY_CONSOLIDATED=Y","Sort=A","Dates=H","DateFormat=P","Fill=—","Direction=H","UseDPDF=Y")</f>
        <v>#NAME?</v>
      </c>
      <c r="BN605" s="2" t="e">
        <f ca="1">_xll.BDH($C$603,"FIXED_ASSETS_SEQUENTIAL_GROWTH","FQ2 2014","FQ2 2014","Currency=INR","Period=FQ","BEST_FPERIOD_OVERRIDE=FQ","FILING_STATUS=OR","EQY_CONSOLIDATED=Y","Sort=A","Dates=H","DateFormat=P","Fill=—","Direction=H","UseDPDF=Y")</f>
        <v>#NAME?</v>
      </c>
      <c r="BO605" s="2" t="e">
        <f ca="1">_xll.BDH($C$603,"TOTAL_ASSETS_SEQUENTIAL_GROWTH","FQ2 2014","FQ2 2014","Currency=INR","Period=FQ","BEST_FPERIOD_OVERRIDE=FQ","FILING_STATUS=OR","EQY_CONSOLIDATED=Y","Sort=A","Dates=H","DateFormat=P","Fill=—","Direction=H","UseDPDF=Y")</f>
        <v>#NAME?</v>
      </c>
      <c r="BP605" s="2" t="e">
        <f ca="1">_xll.BDH($C$603,"MODIFIED_WORKING_CPTL_SEQ_GRWTH","FQ2 2014","FQ2 2014","Currency=INR","Period=FQ","BEST_FPERIOD_OVERRIDE=FQ","FILING_STATUS=OR","EQY_CONSOLIDATED=Y","Sort=A","Dates=H","DateFormat=P","Fill=—","Direction=H","UseDPDF=Y")</f>
        <v>#NAME?</v>
      </c>
      <c r="BQ605" s="2" t="e">
        <f ca="1">_xll.BDH($C$603,"WORKING_CAPITAL_SEQ_GROWTH","FQ2 2014","FQ2 2014","Currency=INR","Period=FQ","BEST_FPERIOD_OVERRIDE=FQ","FILING_STATUS=OR","EQY_CONSOLIDATED=Y","Sort=A","Dates=H","DateFormat=P","Fill=—","Direction=H","UseDPDF=Y")</f>
        <v>#NAME?</v>
      </c>
      <c r="BR605" s="2" t="e">
        <f ca="1">_xll.BDH($C$603,"ACCOUNTS_PAYABLE_SEQ_GROWTH","FQ2 2014","FQ2 2014","Currency=INR","Period=FQ","BEST_FPERIOD_OVERRIDE=FQ","FILING_STATUS=OR","EQY_CONSOLIDATED=Y","Sort=A","Dates=H","DateFormat=P","Fill=—","Direction=H","UseDPDF=Y")</f>
        <v>#NAME?</v>
      </c>
      <c r="BS605" s="2" t="e">
        <f ca="1">_xll.BDH($C$603,"ST_DEBT_SEQUENTIAL_GROWTH","FQ2 2014","FQ2 2014","Currency=INR","Period=FQ","BEST_FPERIOD_OVERRIDE=FQ","FILING_STATUS=OR","EQY_CONSOLIDATED=Y","Sort=A","Dates=H","DateFormat=P","Fill=—","Direction=H","UseDPDF=Y")</f>
        <v>#NAME?</v>
      </c>
      <c r="BT605" s="2" t="e">
        <f ca="1">_xll.BDH($C$603,"TOTAL_DEBT_SEQUENTIAL_GROWTH","FQ2 2014","FQ2 2014","Currency=INR","Period=FQ","BEST_FPERIOD_OVERRIDE=FQ","FILING_STATUS=OR","EQY_CONSOLIDATED=Y","Sort=A","Dates=H","DateFormat=P","Fill=—","Direction=H","UseDPDF=Y")</f>
        <v>#NAME?</v>
      </c>
      <c r="BU605" s="2" t="e">
        <f ca="1">_xll.BDH($C$603,"TOTAL_EQUITY_SEQUENTIAL_GROWTH","FQ2 2014","FQ2 2014","Currency=INR","Period=FQ","BEST_FPERIOD_OVERRIDE=FQ","FILING_STATUS=OR","EQY_CONSOLIDATED=Y","Sort=A","Dates=H","DateFormat=P","Fill=—","Direction=H","UseDPDF=Y")</f>
        <v>#NAME?</v>
      </c>
      <c r="BV605" s="2" t="e">
        <f ca="1">_xll.BDH($C$603,"TOTAL_CAPITAL_SEQUENTIAL_GROWTH","FQ2 2014","FQ2 2014","Currency=INR","Period=FQ","BEST_FPERIOD_OVERRIDE=FQ","FILING_STATUS=OR","EQY_CONSOLIDATED=Y","Sort=A","Dates=H","DateFormat=P","Fill=—","Direction=H","UseDPDF=Y")</f>
        <v>#NAME?</v>
      </c>
      <c r="BW605" s="2" t="e">
        <f ca="1">_xll.BDH($C$603,"BPS_SEQUENTIAL_GROWTH","FQ2 2014","FQ2 2014","Currency=INR","Period=FQ","BEST_FPERIOD_OVERRIDE=FQ","FILING_STATUS=OR","EQY_CONSOLIDATED=Y","Sort=A","Dates=H","DateFormat=P","Fill=—","Direction=H","UseDPDF=Y")</f>
        <v>#NAME?</v>
      </c>
      <c r="BX605" s="2" t="e">
        <f ca="1">_xll.BDH($C$603,"CFO_SEQUENTIAL_GROWTH","FQ2 2014","FQ2 2014","Currency=INR","Period=FQ","BEST_FPERIOD_OVERRIDE=FQ","FILING_STATUS=OR","EQY_CONSOLIDATED=Y","Sort=A","Dates=H","DateFormat=P","Fill=—","Direction=H","UseDPDF=Y")</f>
        <v>#NAME?</v>
      </c>
      <c r="BY605" s="3" t="e">
        <f ca="1">_xll.BDH($C$603,"SHORT_AND_LONG_TERM_DEBT","FQ2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605" s="3" t="e">
        <f ca="1">_xll.BDH($C$603,"BS_ST_BORROW","FQ2 2014","FQ2 2014","Currency=INR","Period=FQ","BEST_FPERIOD_OVERRIDE=FQ","FILING_STATUS=OR","EQY_CONSOLIDATED=Y","SCALING_FORMAT=MLN","Sort=A","Dates=H","DateFormat=P","Fill=—","Direction=H","UseDPDF=Y")</f>
        <v>#NAME?</v>
      </c>
      <c r="CA605" s="3" t="e">
        <f ca="1">_xll.BDH($C$603,"BS_LT_BORROW","FQ2 2014","FQ2 2014","Currency=INR","Period=FQ","BEST_FPERIOD_OVERRIDE=FQ","FILING_STATUS=OR","EQY_CONSOLIDATED=Y","SCALING_FORMAT=MLN","Sort=A","Dates=H","DateFormat=P","Fill=—","Direction=H","UseDPDF=Y")</f>
        <v>#NAME?</v>
      </c>
      <c r="CB605" s="2" t="e">
        <f ca="1">_xll.BDH($C$603,"TOT_DEBT_TO_EBITDA","FQ2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605" s="2" t="e">
        <f ca="1">_xll.BDH($C$603,"NET_DEBT_TO_EBITDA","FQ2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605" s="2" t="e">
        <f ca="1">_xll.BDH($C$603,"TOTAL_DEBT_TO_EBIT","FQ2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605" s="2" t="e">
        <f ca="1">_xll.BDH($C$603,"NET_DEBT_TO_EBIT","FQ2 2014","FQ2 2014","Currency=INR","Period=FQ","BEST_FPERIOD_OVERRIDE=FQ","FILING_STATUS=OR","EQY_CONSOLIDATED=Y","FA_ADJUSTED=GAAP","Sort=A","Dates=H","DateFormat=P","Fill=—","Direction=H","UseDPDF=Y")</f>
        <v>#NAME?</v>
      </c>
      <c r="CF605" s="2" t="e">
        <f ca="1">_xll.BDH($C$603,"EBITDA_TO_INTEREST_EXPN","FQ2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605" s="2" t="e">
        <f ca="1">_xll.BDH($C$603,"COM_EQY_TO_TOT_ASSET","FQ2 2014","FQ2 2014","Currency=INR","Period=FQ","BEST_FPERIOD_OVERRIDE=FQ","FILING_STATUS=OR","EQY_CONSOLIDATED=Y","Sort=A","Dates=H","DateFormat=P","Fill=—","Direction=H","UseDPDF=Y")</f>
        <v>#NAME?</v>
      </c>
      <c r="CH605" s="2" t="e">
        <f ca="1">_xll.BDH($C$603,"LT_DEBT_TO_TOT_EQY","FQ2 2014","FQ2 2014","Currency=INR","Period=FQ","BEST_FPERIOD_OVERRIDE=FQ","FILING_STATUS=OR","EQY_CONSOLIDATED=Y","Sort=A","Dates=H","DateFormat=P","Fill=—","Direction=H","UseDPDF=Y")</f>
        <v>#NAME?</v>
      </c>
      <c r="CI605" s="2" t="e">
        <f ca="1">_xll.BDH($C$603,"LT_DEBT_TO_TOT_CAP","FQ2 2014","FQ2 2014","Currency=INR","Period=FQ","BEST_FPERIOD_OVERRIDE=FQ","FILING_STATUS=OR","EQY_CONSOLIDATED=Y","Sort=A","Dates=H","DateFormat=P","Fill=—","Direction=H","UseDPDF=Y")</f>
        <v>#NAME?</v>
      </c>
      <c r="CJ605" s="2" t="e">
        <f ca="1">_xll.BDH($C$603,"LT_DEBT_TO_TOT_ASSET","FQ2 2014","FQ2 2014","Currency=INR","Period=FQ","BEST_FPERIOD_OVERRIDE=FQ","FILING_STATUS=OR","EQY_CONSOLIDATED=Y","Sort=A","Dates=H","DateFormat=P","Fill=—","Direction=H","UseDPDF=Y")</f>
        <v>#NAME?</v>
      </c>
      <c r="CK605" s="2" t="e">
        <f ca="1">_xll.BDH($C$603,"TOT_DEBT_TO_TOT_EQY","FQ2 2014","FQ2 2014","Currency=INR","Period=FQ","BEST_FPERIOD_OVERRIDE=FQ","FILING_STATUS=OR","EQY_CONSOLIDATED=Y","Sort=A","Dates=H","DateFormat=P","Fill=—","Direction=H","UseDPDF=Y")</f>
        <v>#NAME?</v>
      </c>
      <c r="CL605" s="2" t="e">
        <f ca="1">_xll.BDH($C$603,"TOT_DEBT_TO_TOT_CAP","FQ2 2014","FQ2 2014","Currency=INR","Period=FQ","BEST_FPERIOD_OVERRIDE=FQ","FILING_STATUS=OR","EQY_CONSOLIDATED=Y","Sort=A","Dates=H","DateFormat=P","Fill=—","Direction=H","UseDPDF=Y")</f>
        <v>#NAME?</v>
      </c>
      <c r="CM605" s="2" t="e">
        <f ca="1">_xll.BDH($C$603,"TOT_DEBT_TO_TOT_ASSET","FQ2 2014","FQ2 2014","Currency=INR","Period=FQ","BEST_FPERIOD_OVERRIDE=FQ","FILING_STATUS=OR","EQY_CONSOLIDATED=Y","Sort=A","Dates=H","DateFormat=P","Fill=—","Direction=H","UseDPDF=Y")</f>
        <v>#NAME?</v>
      </c>
      <c r="CN605" s="2" t="e">
        <f ca="1">_xll.BDH($C$603,"NET_DEBT_TO_SHRHLDR_EQTY","FQ2 2014","FQ2 2014","Currency=INR","Period=FQ","BEST_FPERIOD_OVERRIDE=FQ","FILING_STATUS=OR","EQY_CONSOLIDATED=Y","Sort=A","Dates=H","DateFormat=P","Fill=—","Direction=H","UseDPDF=Y")</f>
        <v>#NAME?</v>
      </c>
      <c r="CO605" s="2" t="e">
        <f ca="1">_xll.BDH($C$603,"NET_DEBT_%_CAPITAL","FQ2 2014","FQ2 2014","Currency=INR","Period=FQ","BEST_FPERIOD_OVERRIDE=FQ","FILING_STATUS=OR","EQY_CONSOLIDATED=Y","Sort=A","Dates=H","DateFormat=P","Fill=—","Direction=H","UseDPDF=Y")</f>
        <v>#NAME?</v>
      </c>
      <c r="CP605" s="3" t="e">
        <f ca="1">_xll.BDH($C$603,"EBITDA","FQ2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605" s="3" t="e">
        <f ca="1">_xll.BDH($C$603,"EBITDA_AFTER_CAPEX","FQ2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605" s="3" t="e">
        <f ca="1">_xll.BDH($C$603,"IS_OPER_INC","FQ2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605" s="2" t="e">
        <f ca="1">_xll.BDH($C$603,"CASH_RATIO","FQ2 2014","FQ2 2014","Currency=INR","Period=FQ","BEST_FPERIOD_OVERRIDE=FQ","FILING_STATUS=OR","EQY_CONSOLIDATED=Y","Sort=A","Dates=H","DateFormat=P","Fill=—","Direction=H","UseDPDF=Y")</f>
        <v>#NAME?</v>
      </c>
      <c r="CT605" s="2" t="e">
        <f ca="1">_xll.BDH($C$603,"CUR_RATIO","FQ2 2014","FQ2 2014","Currency=INR","Period=FQ","BEST_FPERIOD_OVERRIDE=FQ","FILING_STATUS=OR","EQY_CONSOLIDATED=Y","Sort=A","Dates=H","DateFormat=P","Fill=—","Direction=H","UseDPDF=Y")</f>
        <v>#NAME?</v>
      </c>
      <c r="CU605" s="2" t="e">
        <f ca="1">_xll.BDH($C$603,"QUICK_RATIO","FQ2 2014","FQ2 2014","Currency=INR","Period=FQ","BEST_FPERIOD_OVERRIDE=FQ","FILING_STATUS=OR","EQY_CONSOLIDATED=Y","Sort=A","Dates=H","DateFormat=P","Fill=—","Direction=H","UseDPDF=Y")</f>
        <v>#NAME?</v>
      </c>
      <c r="CV605" s="2" t="e">
        <f ca="1">_xll.BDH($C$603,"ALTMAN_Z_SCORE","FQ2 2014","FQ2 2014","Currency=INR","Period=FQ","BEST_FPERIOD_OVERRIDE=FQ","FILING_STATUS=OR","EQY_CONSOLIDATED=Y","Sort=A","Dates=H","DateFormat=P","Fill=—","Direction=H","UseDPDF=Y")</f>
        <v>#NAME?</v>
      </c>
      <c r="CW605" s="4" t="e">
        <f ca="1">_xll.BDH($C$603,"ACCT_RCV_TURN","FQ2 2014","FQ2 2014","Currency=INR","Period=FQ","BEST_FPERIOD_OVERRIDE=FQ","FILING_STATUS=OR","EQY_CONSOLIDATED=Y","FA_ADJUSTED=GAAP","Sort=A","Dates=H","DateFormat=P","Fill=—","Direction=H","UseDPDF=Y")</f>
        <v>#NAME?</v>
      </c>
      <c r="CX605" s="2" t="e">
        <f ca="1">_xll.BDH($C$603,"ACCT_RCV_DAYS","FQ2 2014","FQ2 2014","Currency=INR","Period=FQ","BEST_FPERIOD_OVERRIDE=FQ","FILING_STATUS=OR","EQY_CONSOLIDATED=Y","FA_ADJUSTED=GAAP","Sort=A","Dates=H","DateFormat=P","Fill=—","Direction=H","UseDPDF=Y")</f>
        <v>#NAME?</v>
      </c>
      <c r="CY605" s="4" t="e">
        <f ca="1">_xll.BDH($C$603,"INVENT_TURN","FQ2 2014","FQ2 2014","Currency=INR","Period=FQ","BEST_FPERIOD_OVERRIDE=FQ","FILING_STATUS=OR","EQY_CONSOLIDATED=Y","FA_ADJUSTED=GAAP","Sort=A","Dates=H","DateFormat=P","Fill=—","Direction=H","UseDPDF=Y")</f>
        <v>#NAME?</v>
      </c>
      <c r="CZ605" s="2" t="e">
        <f ca="1">_xll.BDH($C$603,"INVENT_DAYS","FQ2 2014","FQ2 2014","Currency=INR","Period=FQ","BEST_FPERIOD_OVERRIDE=FQ","FILING_STATUS=OR","EQY_CONSOLIDATED=Y","FA_ADJUSTED=GAAP","Sort=A","Dates=H","DateFormat=P","Fill=—","Direction=H","UseDPDF=Y")</f>
        <v>#NAME?</v>
      </c>
      <c r="DA605" s="4" t="e">
        <f ca="1">_xll.BDH($C$603,"ACCOUNTS_PAYABLE_TURNOVER","FQ2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605" s="2" t="e">
        <f ca="1">_xll.BDH($C$603,"ACCOUNTS_PAYABLE_TURNOVER_DAYS","FQ2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605" s="4" t="e">
        <f ca="1">_xll.BDH($C$603,"CASH_CONVERSION_CYCLE","FQ2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605" s="4" t="e">
        <f ca="1">_xll.BDH($C$603,"INV_TO_CASH_DAYS","FQ2 2014","FQ2 2014","Currency=INR","Period=FQ","BEST_FPERIOD_OVERRIDE=FQ","FILING_STATUS=OR","EQY_CONSOLIDATED=Y","FA_ADJUSTED=GAAP","Sort=A","Dates=H","DateFormat=P","Fill=—","Direction=H","UseDPDF=Y")</f>
        <v>#NAME?</v>
      </c>
      <c r="DE605" s="5" t="e">
        <f ca="1">_xll.BDH($C$603,"BS_INVENTORIES","FQ2 2014","FQ2 2014","Currency=INR","Period=FQ","BEST_FPERIOD_OVERRIDE=FQ","FILING_STATUS=OR","EQY_CONSOLIDATED=Y","SCALING_FORMAT=MLN","Sort=A","Dates=H","DateFormat=P","Fill=—","Direction=H","UseDPDF=Y")</f>
        <v>#NAME?</v>
      </c>
      <c r="DF605" s="3" t="e">
        <f ca="1">_xll.BDH($C$603,"INVTRY_RAW_MATERIALS","FQ2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605" s="3" t="e">
        <f ca="1">_xll.BDH($C$603,"INVTRY_IN_PROGRESS","FQ2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605" s="3" t="e">
        <f ca="1">_xll.BDH($C$603,"INVTRY_FINISHED_GOODS","FQ2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605" s="3" t="e">
        <f ca="1">_xll.BDH($C$603,"BS_OTHER_INV","FQ2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06" spans="1:113" x14ac:dyDescent="0.3">
      <c r="A606" s="6"/>
      <c r="B606" s="6"/>
      <c r="C606" s="6"/>
      <c r="D606" s="6"/>
      <c r="E606" t="s">
        <v>80</v>
      </c>
      <c r="F606" t="e">
        <f ca="1">_xll.BDH($C$603,"RETURN_COM_EQY","FQ3 2014","FQ3 2014","Currency=INR","Period=FQ","BEST_FPERIOD_OVERRIDE=FQ","FILING_STATUS=OR","EQY_CONSOLIDATED=Y","FA_ADJUSTED=GAAP","Sort=A","Dates=H","DateFormat=P","Fill=—","Direction=H","UseDPDF=Y")</f>
        <v>#NAME?</v>
      </c>
      <c r="G606" t="e">
        <f ca="1">_xll.BDH($C$603,"RETURN_ON_ASSET","FQ3 2014","FQ3 2014","Currency=INR","Period=FQ","BEST_FPERIOD_OVERRIDE=FQ","FILING_STATUS=OR","EQY_CONSOLIDATED=Y","FA_ADJUSTED=GAAP","Sort=A","Dates=H","DateFormat=P","Fill=—","Direction=H","UseDPDF=Y")</f>
        <v>#NAME?</v>
      </c>
      <c r="H606" t="e">
        <f ca="1">_xll.BDH($C$603,"RETURN_ON_CAP","FQ3 2014","FQ3 2014","Currency=INR","Period=FQ","BEST_FPERIOD_OVERRIDE=FQ","FILING_STATUS=OR","EQY_CONSOLIDATED=Y","FA_ADJUSTED=GAAP","Sort=A","Dates=H","DateFormat=P","Fill=—","Direction=H","UseDPDF=Y")</f>
        <v>#NAME?</v>
      </c>
      <c r="I606" t="e">
        <f ca="1">_xll.BDH($C$603,"RETURN_ON_INV_CAPITAL","FQ3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06" t="e">
        <f ca="1">_xll.BDH($C$603,"EBITDA_TO_REVENUE","FQ3 2014","FQ3 2014","Currency=INR","Period=FQ","BEST_FPERIOD_OVERRIDE=FQ","FILING_STATUS=OR","EQY_CONSOLIDATED=Y","FA_ADJUSTED=GAAP","Sort=A","Dates=H","DateFormat=P","Fill=—","Direction=H","UseDPDF=Y")</f>
        <v>#NAME?</v>
      </c>
      <c r="K606" t="e">
        <f ca="1">_xll.BDH($C$603,"OPER_MARGIN","FQ3 2014","FQ3 2014","Currency=INR","Period=FQ","BEST_FPERIOD_OVERRIDE=FQ","FILING_STATUS=OR","EQY_CONSOLIDATED=Y","FA_ADJUSTED=GAAP","Sort=A","Dates=H","DateFormat=P","Fill=—","Direction=H","UseDPDF=Y")</f>
        <v>#NAME?</v>
      </c>
      <c r="L606" t="e">
        <f ca="1">_xll.BDH($C$603,"INCREMENTAL_OPERATING_MARGIN","FQ3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06" t="e">
        <f ca="1">_xll.BDH($C$603,"PRETAX_INC_TO_NET_SALES","FQ3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06" t="e">
        <f ca="1">_xll.BDH($C$603,"INC_BEF_XO_ITEMS_TO_NET_SALES","FQ3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06" t="e">
        <f ca="1">_xll.BDH($C$603,"PROF_MARGIN","FQ3 2014","FQ3 2014","Currency=INR","Period=FQ","BEST_FPERIOD_OVERRIDE=FQ","FILING_STATUS=OR","EQY_CONSOLIDATED=Y","FA_ADJUSTED=GAAP","Sort=A","Dates=H","DateFormat=P","Fill=—","Direction=H","UseDPDF=Y")</f>
        <v>#NAME?</v>
      </c>
      <c r="P606" t="e">
        <f ca="1">_xll.BDH($C$603,"NET_INCOME_TO_COMMON_MARGIN","FQ3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06" t="e">
        <f ca="1">_xll.BDH($C$603,"EFF_TAX_RATE","FQ3 2014","FQ3 2014","Currency=INR","Period=FQ","BEST_FPERIOD_OVERRIDE=FQ","FILING_STATUS=OR","EQY_CONSOLIDATED=Y","FA_ADJUSTED=GAAP","Sort=A","Dates=H","DateFormat=P","Fill=—","Direction=H","UseDPDF=Y")</f>
        <v>#NAME?</v>
      </c>
      <c r="R606" t="e">
        <f ca="1">_xll.BDH($C$603,"DVD_PAYOUT_RATIO","FQ3 2014","FQ3 2014","Currency=INR","Period=FQ","BEST_FPERIOD_OVERRIDE=FQ","FILING_STATUS=OR","EQY_CONSOLIDATED=Y","FA_ADJUSTED=GAAP","Sort=A","Dates=H","DateFormat=P","Fill=—","Direction=H","UseDPDF=Y")</f>
        <v>#NAME?</v>
      </c>
      <c r="S606" t="e">
        <f ca="1">_xll.BDH($C$603,"SUSTAIN_GROWTH_RT","FQ3 2014","FQ3 2014","Currency=INR","Period=FQ","BEST_FPERIOD_OVERRIDE=FQ","FILING_STATUS=OR","EQY_CONSOLIDATED=Y","FA_ADJUSTED=GAAP","Sort=A","Dates=H","DateFormat=P","Fill=—","Direction=H","UseDPDF=Y")</f>
        <v>#NAME?</v>
      </c>
      <c r="T606" s="2" t="e">
        <f ca="1">_xll.BDH($C$603,"SALES_GROWTH","FQ3 2014","FQ3 2014","Currency=INR","Period=FQ","BEST_FPERIOD_OVERRIDE=FQ","FILING_STATUS=OR","EQY_CONSOLIDATED=Y","FA_ADJUSTED=GAAP","Sort=A","Dates=H","DateFormat=P","Fill=—","Direction=H","UseDPDF=Y")</f>
        <v>#NAME?</v>
      </c>
      <c r="U606" s="2" t="e">
        <f ca="1">_xll.BDH($C$603,"EBITDA_GROWTH","FQ3 2014","FQ3 2014","Currency=INR","Period=FQ","BEST_FPERIOD_OVERRIDE=FQ","FILING_STATUS=OR","EQY_CONSOLIDATED=Y","FA_ADJUSTED=GAAP","Sort=A","Dates=H","DateFormat=P","Fill=—","Direction=H","UseDPDF=Y")</f>
        <v>#NAME?</v>
      </c>
      <c r="V606" s="2" t="e">
        <f ca="1">_xll.BDH($C$603,"OPER_INC_GROWTH","FQ3 2014","FQ3 2014","Currency=INR","Period=FQ","BEST_FPERIOD_OVERRIDE=FQ","FILING_STATUS=OR","EQY_CONSOLIDATED=Y","FA_ADJUSTED=GAAP","Sort=A","Dates=H","DateFormat=P","Fill=—","Direction=H","UseDPDF=Y")</f>
        <v>#NAME?</v>
      </c>
      <c r="W606" s="2" t="e">
        <f ca="1">_xll.BDH($C$603,"EARN_FOR_COM_GROWTH","FQ3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06" s="2" t="e">
        <f ca="1">_xll.BDH($C$603,"DILUTED_EPS_AFT_XO_ITEMS_GROWTH","FQ3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06" s="2" t="e">
        <f ca="1">_xll.BDH($C$603,"DIVIDEND_PER_SHARE_1_YEAR_GROWTH","FQ3 2014","FQ3 2014","Currency=INR","Period=FQ","BEST_FPERIOD_OVERRIDE=FQ","FILING_STATUS=OR","EQY_CONSOLIDATED=Y","Sort=A","Dates=H","DateFormat=P","Fill=—","Direction=H","UseDPDF=Y")</f>
        <v>#NAME?</v>
      </c>
      <c r="Z606" s="2" t="e">
        <f ca="1">_xll.BDH($C$603,"ACCOUNTS_RECEIVABLE_GROWTH","FQ3 2014","FQ3 2014","Currency=INR","Period=FQ","BEST_FPERIOD_OVERRIDE=FQ","FILING_STATUS=OR","EQY_CONSOLIDATED=Y","Sort=A","Dates=H","DateFormat=P","Fill=—","Direction=H","UseDPDF=Y")</f>
        <v>#NAME?</v>
      </c>
      <c r="AA606" s="2" t="e">
        <f ca="1">_xll.BDH($C$603,"INVENTORY_GROWTH","FQ3 2014","FQ3 2014","Currency=INR","Period=FQ","BEST_FPERIOD_OVERRIDE=FQ","FILING_STATUS=OR","EQY_CONSOLIDATED=Y","Sort=A","Dates=H","DateFormat=P","Fill=—","Direction=H","UseDPDF=Y")</f>
        <v>#NAME?</v>
      </c>
      <c r="AB606" s="2" t="e">
        <f ca="1">_xll.BDH($C$603,"NET_FIXED_ASSETS_1_YEAR_GROWTH","FQ3 2014","FQ3 2014","Currency=INR","Period=FQ","BEST_FPERIOD_OVERRIDE=FQ","FILING_STATUS=OR","EQY_CONSOLIDATED=Y","Sort=A","Dates=H","DateFormat=P","Fill=—","Direction=H","UseDPDF=Y")</f>
        <v>#NAME?</v>
      </c>
      <c r="AC606" s="2" t="e">
        <f ca="1">_xll.BDH($C$603,"ASSET_GROWTH","FQ3 2014","FQ3 2014","Currency=INR","Period=FQ","BEST_FPERIOD_OVERRIDE=FQ","FILING_STATUS=OR","EQY_CONSOLIDATED=Y","Sort=A","Dates=H","DateFormat=P","Fill=—","Direction=H","UseDPDF=Y")</f>
        <v>#NAME?</v>
      </c>
      <c r="AD606" s="2" t="e">
        <f ca="1">_xll.BDH($C$603,"MODIFIED_WORK_CAP_GROWTH","FQ3 2014","FQ3 2014","Currency=INR","Period=FQ","BEST_FPERIOD_OVERRIDE=FQ","FILING_STATUS=OR","EQY_CONSOLIDATED=Y","Sort=A","Dates=H","DateFormat=P","Fill=—","Direction=H","UseDPDF=Y")</f>
        <v>#NAME?</v>
      </c>
      <c r="AE606" s="2" t="e">
        <f ca="1">_xll.BDH($C$603,"WORK_CAP_GROWTH","FQ3 2014","FQ3 2014","Currency=INR","Period=FQ","BEST_FPERIOD_OVERRIDE=FQ","FILING_STATUS=OR","EQY_CONSOLIDATED=Y","Sort=A","Dates=H","DateFormat=P","Fill=—","Direction=H","UseDPDF=Y")</f>
        <v>#NAME?</v>
      </c>
      <c r="AF606" s="2" t="e">
        <f ca="1">_xll.BDH($C$603,"ACCOUNTS_PAYABLE_GROWTH_1YR","FQ3 2014","FQ3 2014","Currency=INR","Period=FQ","BEST_FPERIOD_OVERRIDE=FQ","FILING_STATUS=OR","EQY_CONSOLIDATED=Y","Sort=A","Dates=H","DateFormat=P","Fill=—","Direction=H","UseDPDF=Y")</f>
        <v>#NAME?</v>
      </c>
      <c r="AG606" s="2" t="e">
        <f ca="1">_xll.BDH($C$603,"SHORT_TERM_DEBT_1_YEAR_GROWTH","FQ3 2014","FQ3 2014","Currency=INR","Period=FQ","BEST_FPERIOD_OVERRIDE=FQ","FILING_STATUS=OR","EQY_CONSOLIDATED=Y","Sort=A","Dates=H","DateFormat=P","Fill=—","Direction=H","UseDPDF=Y")</f>
        <v>#NAME?</v>
      </c>
      <c r="AH606" s="2" t="e">
        <f ca="1">_xll.BDH($C$603,"TOTAL_DEBT_1_YEAR_GROWTH","FQ3 2014","FQ3 2014","Currency=INR","Period=FQ","BEST_FPERIOD_OVERRIDE=FQ","FILING_STATUS=OR","EQY_CONSOLIDATED=Y","Sort=A","Dates=H","DateFormat=P","Fill=—","Direction=H","UseDPDF=Y")</f>
        <v>#NAME?</v>
      </c>
      <c r="AI606" s="2" t="e">
        <f ca="1">_xll.BDH($C$603,"TOTAL_EQUITY_1_YEAR_GROWTH","FQ3 2014","FQ3 2014","Currency=INR","Period=FQ","BEST_FPERIOD_OVERRIDE=FQ","FILING_STATUS=OR","EQY_CONSOLIDATED=Y","Sort=A","Dates=H","DateFormat=P","Fill=—","Direction=H","UseDPDF=Y")</f>
        <v>#NAME?</v>
      </c>
      <c r="AJ606" s="2" t="e">
        <f ca="1">_xll.BDH($C$603,"GROWTH_IN_CAP","FQ3 2014","FQ3 2014","Currency=INR","Period=FQ","BEST_FPERIOD_OVERRIDE=FQ","FILING_STATUS=OR","EQY_CONSOLIDATED=Y","Sort=A","Dates=H","DateFormat=P","Fill=—","Direction=H","UseDPDF=Y")</f>
        <v>#NAME?</v>
      </c>
      <c r="AK606" s="2" t="e">
        <f ca="1">_xll.BDH($C$603,"BVPS_GROWTH","FQ3 2014","FQ3 2014","Currency=INR","Period=FQ","BEST_FPERIOD_OVERRIDE=FQ","FILING_STATUS=OR","EQY_CONSOLIDATED=Y","Sort=A","Dates=H","DateFormat=P","Fill=—","Direction=H","UseDPDF=Y")</f>
        <v>#NAME?</v>
      </c>
      <c r="AL606" s="2" t="e">
        <f ca="1">_xll.BDH($C$603,"CASH_FLOW_GROWTH","FQ3 2014","FQ3 2014","Currency=INR","Period=FQ","BEST_FPERIOD_OVERRIDE=FQ","FILING_STATUS=OR","EQY_CONSOLIDATED=Y","Sort=A","Dates=H","DateFormat=P","Fill=—","Direction=H","UseDPDF=Y")</f>
        <v>#NAME?</v>
      </c>
      <c r="AM606" s="2" t="e">
        <f ca="1">_xll.BDH($C$603,"GEO_GROW_NET_SALES","FQ3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06" s="2" t="e">
        <f ca="1">_xll.BDH($C$603,"GEO_GROW_EBITDA","FQ3 2014","FQ3 2014","Currency=INR","Period=FQ","BEST_FPERIOD_OVERRIDE=FQ","FILING_STATUS=OR","EQY_CONSOLIDATED=Y","FA_ADJUSTED=GAAP","Sort=A","Dates=H","DateFormat=P","Fill=—","Direction=H","UseDPDF=Y")</f>
        <v>#NAME?</v>
      </c>
      <c r="AO606" s="2" t="e">
        <f ca="1">_xll.BDH($C$603,"GEO_GROW_OPER_INC","FQ3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06" s="2" t="e">
        <f ca="1">_xll.BDH($C$603,"NET_INCOME_TO_COMMON_5_YR_GROWTH","FQ3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06" s="2" t="e">
        <f ca="1">_xll.BDH($C$603,"5Y_GEO_GROWTH_DILUTED_EPS","FQ3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06" s="2" t="e">
        <f ca="1">_xll.BDH($C$603,"GEO_GROW_DVD_PER_SH","FQ3 2014","FQ3 2014","Currency=INR","Period=FQ","BEST_FPERIOD_OVERRIDE=FQ","FILING_STATUS=OR","EQY_CONSOLIDATED=Y","Sort=A","Dates=H","DateFormat=P","Fill=—","Direction=H","UseDPDF=Y")</f>
        <v>#NAME?</v>
      </c>
      <c r="AS606" s="2" t="e">
        <f ca="1">_xll.BDH($C$603,"ACCOUNTS_RECEIVABLE_5_YR_GROWTH","FQ3 2014","FQ3 2014","Currency=INR","Period=FQ","BEST_FPERIOD_OVERRIDE=FQ","FILING_STATUS=OR","EQY_CONSOLIDATED=Y","Sort=A","Dates=H","DateFormat=P","Fill=—","Direction=H","UseDPDF=Y")</f>
        <v>#NAME?</v>
      </c>
      <c r="AT606" s="2" t="e">
        <f ca="1">_xll.BDH($C$603,"INVENTORY_5_YEAR_GROWTH","FQ3 2014","FQ3 2014","Currency=INR","Period=FQ","BEST_FPERIOD_OVERRIDE=FQ","FILING_STATUS=OR","EQY_CONSOLIDATED=Y","Sort=A","Dates=H","DateFormat=P","Fill=—","Direction=H","UseDPDF=Y")</f>
        <v>#NAME?</v>
      </c>
      <c r="AU606" s="2" t="e">
        <f ca="1">_xll.BDH($C$603,"NET_FIXED_ASSETS_5_YEAR_GROWTH","FQ3 2014","FQ3 2014","Currency=INR","Period=FQ","BEST_FPERIOD_OVERRIDE=FQ","FILING_STATUS=OR","EQY_CONSOLIDATED=Y","Sort=A","Dates=H","DateFormat=P","Fill=—","Direction=H","UseDPDF=Y")</f>
        <v>#NAME?</v>
      </c>
      <c r="AV606" s="2" t="e">
        <f ca="1">_xll.BDH($C$603,"GEO_GROW_TOT_ASSET","FQ3 2014","FQ3 2014","Currency=INR","Period=FQ","BEST_FPERIOD_OVERRIDE=FQ","FILING_STATUS=OR","EQY_CONSOLIDATED=Y","Sort=A","Dates=H","DateFormat=P","Fill=—","Direction=H","UseDPDF=Y")</f>
        <v>#NAME?</v>
      </c>
      <c r="AW606" s="2" t="e">
        <f ca="1">_xll.BDH($C$603,"MODIFIED_WORKING_CPTL_5YR_GRWTH","FQ3 2014","FQ3 2014","Currency=INR","Period=FQ","BEST_FPERIOD_OVERRIDE=FQ","FILING_STATUS=OR","EQY_CONSOLIDATED=Y","Sort=A","Dates=H","DateFormat=P","Fill=—","Direction=H","UseDPDF=Y")</f>
        <v>#NAME?</v>
      </c>
      <c r="AX606" s="2" t="e">
        <f ca="1">_xll.BDH($C$603,"WORKING_CAPITAL_5_YEAR_GROWTH","FQ3 2014","FQ3 2014","Currency=INR","Period=FQ","BEST_FPERIOD_OVERRIDE=FQ","FILING_STATUS=OR","EQY_CONSOLIDATED=Y","Sort=A","Dates=H","DateFormat=P","Fill=—","Direction=H","UseDPDF=Y")</f>
        <v>#NAME?</v>
      </c>
      <c r="AY606" s="2" t="e">
        <f ca="1">_xll.BDH($C$603,"ACCOUNTS_PAYABLE_5_YEAR_GROWTH","FQ3 2014","FQ3 2014","Currency=INR","Period=FQ","BEST_FPERIOD_OVERRIDE=FQ","FILING_STATUS=OR","EQY_CONSOLIDATED=Y","Sort=A","Dates=H","DateFormat=P","Fill=—","Direction=H","UseDPDF=Y")</f>
        <v>#NAME?</v>
      </c>
      <c r="AZ606" s="2" t="e">
        <f ca="1">_xll.BDH($C$603,"SHORT_TERM_DEBT_5_YEAR_GROWTH","FQ3 2014","FQ3 2014","Currency=INR","Period=FQ","BEST_FPERIOD_OVERRIDE=FQ","FILING_STATUS=OR","EQY_CONSOLIDATED=Y","Sort=A","Dates=H","DateFormat=P","Fill=—","Direction=H","UseDPDF=Y")</f>
        <v>#NAME?</v>
      </c>
      <c r="BA606" s="2" t="e">
        <f ca="1">_xll.BDH($C$603,"TOTAL_DEBT_5_YEAR_GROWTH","FQ3 2014","FQ3 2014","Currency=INR","Period=FQ","BEST_FPERIOD_OVERRIDE=FQ","FILING_STATUS=OR","EQY_CONSOLIDATED=Y","Sort=A","Dates=H","DateFormat=P","Fill=—","Direction=H","UseDPDF=Y")</f>
        <v>#NAME?</v>
      </c>
      <c r="BB606" s="2" t="e">
        <f ca="1">_xll.BDH($C$603,"GEO_GROW_TOT_SHRHLDR_EQY","FQ3 2014","FQ3 2014","Currency=INR","Period=FQ","BEST_FPERIOD_OVERRIDE=FQ","FILING_STATUS=OR","EQY_CONSOLIDATED=Y","Sort=A","Dates=H","DateFormat=P","Fill=—","Direction=H","UseDPDF=Y")</f>
        <v>#NAME?</v>
      </c>
      <c r="BC606" s="2" t="e">
        <f ca="1">_xll.BDH($C$603,"TOTAL_CAPITAL_5_YEAR_GROWTH","FQ3 2014","FQ3 2014","Currency=INR","Period=FQ","BEST_FPERIOD_OVERRIDE=FQ","FILING_STATUS=OR","EQY_CONSOLIDATED=Y","Sort=A","Dates=H","DateFormat=P","Fill=—","Direction=H","UseDPDF=Y")</f>
        <v>#NAME?</v>
      </c>
      <c r="BD606" s="2" t="e">
        <f ca="1">_xll.BDH($C$603,"GEO_GROW_BOOK_VAL","FQ3 2014","FQ3 2014","Currency=INR","Period=FQ","BEST_FPERIOD_OVERRIDE=FQ","FILING_STATUS=OR","EQY_CONSOLIDATED=Y","Sort=A","Dates=H","DateFormat=P","Fill=—","Direction=H","UseDPDF=Y")</f>
        <v>#NAME?</v>
      </c>
      <c r="BE606" s="2" t="e">
        <f ca="1">_xll.BDH($C$603,"GEO_GROW_CASH_OPER_ACT","FQ3 2014","FQ3 2014","Currency=INR","Period=FQ","BEST_FPERIOD_OVERRIDE=FQ","FILING_STATUS=OR","EQY_CONSOLIDATED=Y","Sort=A","Dates=H","DateFormat=P","Fill=—","Direction=H","UseDPDF=Y")</f>
        <v>#NAME?</v>
      </c>
      <c r="BF606" s="2" t="e">
        <f ca="1">_xll.BDH($C$603,"REVENUE_SEQUENTIAL_GROWTH","FQ3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06" s="2" t="e">
        <f ca="1">_xll.BDH($C$603,"EBITDA_SEQUENTIAL_GROWTH","FQ3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06" s="2" t="e">
        <f ca="1">_xll.BDH($C$603,"OPERATING_INCOME_SEQ_GROWTH","FQ3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06" s="2" t="e">
        <f ca="1">_xll.BDH($C$603,"NET_INCOME_TO_COMMON_SEQ_GROWTH","FQ3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06" s="2" t="e">
        <f ca="1">_xll.BDH($C$603,"EPS_DILUTED_SEQUENTIAL_GROWTH","FQ3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06" s="2" t="e">
        <f ca="1">_xll.BDH($C$603,"DPS_SEQUENTIAL_GROWTH","FQ3 2014","FQ3 2014","Currency=INR","Period=FQ","BEST_FPERIOD_OVERRIDE=FQ","FILING_STATUS=OR","EQY_CONSOLIDATED=Y","Sort=A","Dates=H","DateFormat=P","Fill=—","Direction=H","UseDPDF=Y")</f>
        <v>#NAME?</v>
      </c>
      <c r="BL606" s="2" t="e">
        <f ca="1">_xll.BDH($C$603,"ACCOUNTS_RECEIVABLE_SEQ_GROWTH","FQ3 2014","FQ3 2014","Currency=INR","Period=FQ","BEST_FPERIOD_OVERRIDE=FQ","FILING_STATUS=OR","EQY_CONSOLIDATED=Y","Sort=A","Dates=H","DateFormat=P","Fill=—","Direction=H","UseDPDF=Y")</f>
        <v>#NAME?</v>
      </c>
      <c r="BM606" s="2" t="e">
        <f ca="1">_xll.BDH($C$603,"INVENTORY_SEQUENTIAL_GROWTH","FQ3 2014","FQ3 2014","Currency=INR","Period=FQ","BEST_FPERIOD_OVERRIDE=FQ","FILING_STATUS=OR","EQY_CONSOLIDATED=Y","Sort=A","Dates=H","DateFormat=P","Fill=—","Direction=H","UseDPDF=Y")</f>
        <v>#NAME?</v>
      </c>
      <c r="BN606" s="2" t="e">
        <f ca="1">_xll.BDH($C$603,"FIXED_ASSETS_SEQUENTIAL_GROWTH","FQ3 2014","FQ3 2014","Currency=INR","Period=FQ","BEST_FPERIOD_OVERRIDE=FQ","FILING_STATUS=OR","EQY_CONSOLIDATED=Y","Sort=A","Dates=H","DateFormat=P","Fill=—","Direction=H","UseDPDF=Y")</f>
        <v>#NAME?</v>
      </c>
      <c r="BO606" s="2" t="e">
        <f ca="1">_xll.BDH($C$603,"TOTAL_ASSETS_SEQUENTIAL_GROWTH","FQ3 2014","FQ3 2014","Currency=INR","Period=FQ","BEST_FPERIOD_OVERRIDE=FQ","FILING_STATUS=OR","EQY_CONSOLIDATED=Y","Sort=A","Dates=H","DateFormat=P","Fill=—","Direction=H","UseDPDF=Y")</f>
        <v>#NAME?</v>
      </c>
      <c r="BP606" s="2" t="e">
        <f ca="1">_xll.BDH($C$603,"MODIFIED_WORKING_CPTL_SEQ_GRWTH","FQ3 2014","FQ3 2014","Currency=INR","Period=FQ","BEST_FPERIOD_OVERRIDE=FQ","FILING_STATUS=OR","EQY_CONSOLIDATED=Y","Sort=A","Dates=H","DateFormat=P","Fill=—","Direction=H","UseDPDF=Y")</f>
        <v>#NAME?</v>
      </c>
      <c r="BQ606" s="2" t="e">
        <f ca="1">_xll.BDH($C$603,"WORKING_CAPITAL_SEQ_GROWTH","FQ3 2014","FQ3 2014","Currency=INR","Period=FQ","BEST_FPERIOD_OVERRIDE=FQ","FILING_STATUS=OR","EQY_CONSOLIDATED=Y","Sort=A","Dates=H","DateFormat=P","Fill=—","Direction=H","UseDPDF=Y")</f>
        <v>#NAME?</v>
      </c>
      <c r="BR606" s="2" t="e">
        <f ca="1">_xll.BDH($C$603,"ACCOUNTS_PAYABLE_SEQ_GROWTH","FQ3 2014","FQ3 2014","Currency=INR","Period=FQ","BEST_FPERIOD_OVERRIDE=FQ","FILING_STATUS=OR","EQY_CONSOLIDATED=Y","Sort=A","Dates=H","DateFormat=P","Fill=—","Direction=H","UseDPDF=Y")</f>
        <v>#NAME?</v>
      </c>
      <c r="BS606" s="2" t="e">
        <f ca="1">_xll.BDH($C$603,"ST_DEBT_SEQUENTIAL_GROWTH","FQ3 2014","FQ3 2014","Currency=INR","Period=FQ","BEST_FPERIOD_OVERRIDE=FQ","FILING_STATUS=OR","EQY_CONSOLIDATED=Y","Sort=A","Dates=H","DateFormat=P","Fill=—","Direction=H","UseDPDF=Y")</f>
        <v>#NAME?</v>
      </c>
      <c r="BT606" s="2" t="e">
        <f ca="1">_xll.BDH($C$603,"TOTAL_DEBT_SEQUENTIAL_GROWTH","FQ3 2014","FQ3 2014","Currency=INR","Period=FQ","BEST_FPERIOD_OVERRIDE=FQ","FILING_STATUS=OR","EQY_CONSOLIDATED=Y","Sort=A","Dates=H","DateFormat=P","Fill=—","Direction=H","UseDPDF=Y")</f>
        <v>#NAME?</v>
      </c>
      <c r="BU606" s="2" t="e">
        <f ca="1">_xll.BDH($C$603,"TOTAL_EQUITY_SEQUENTIAL_GROWTH","FQ3 2014","FQ3 2014","Currency=INR","Period=FQ","BEST_FPERIOD_OVERRIDE=FQ","FILING_STATUS=OR","EQY_CONSOLIDATED=Y","Sort=A","Dates=H","DateFormat=P","Fill=—","Direction=H","UseDPDF=Y")</f>
        <v>#NAME?</v>
      </c>
      <c r="BV606" s="2" t="e">
        <f ca="1">_xll.BDH($C$603,"TOTAL_CAPITAL_SEQUENTIAL_GROWTH","FQ3 2014","FQ3 2014","Currency=INR","Period=FQ","BEST_FPERIOD_OVERRIDE=FQ","FILING_STATUS=OR","EQY_CONSOLIDATED=Y","Sort=A","Dates=H","DateFormat=P","Fill=—","Direction=H","UseDPDF=Y")</f>
        <v>#NAME?</v>
      </c>
      <c r="BW606" s="2" t="e">
        <f ca="1">_xll.BDH($C$603,"BPS_SEQUENTIAL_GROWTH","FQ3 2014","FQ3 2014","Currency=INR","Period=FQ","BEST_FPERIOD_OVERRIDE=FQ","FILING_STATUS=OR","EQY_CONSOLIDATED=Y","Sort=A","Dates=H","DateFormat=P","Fill=—","Direction=H","UseDPDF=Y")</f>
        <v>#NAME?</v>
      </c>
      <c r="BX606" s="2" t="e">
        <f ca="1">_xll.BDH($C$603,"CFO_SEQUENTIAL_GROWTH","FQ3 2014","FQ3 2014","Currency=INR","Period=FQ","BEST_FPERIOD_OVERRIDE=FQ","FILING_STATUS=OR","EQY_CONSOLIDATED=Y","Sort=A","Dates=H","DateFormat=P","Fill=—","Direction=H","UseDPDF=Y")</f>
        <v>#NAME?</v>
      </c>
      <c r="BY606" s="3" t="e">
        <f ca="1">_xll.BDH($C$603,"SHORT_AND_LONG_TERM_DEBT","FQ3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06" s="3" t="e">
        <f ca="1">_xll.BDH($C$603,"BS_ST_BORROW","FQ3 2014","FQ3 2014","Currency=INR","Period=FQ","BEST_FPERIOD_OVERRIDE=FQ","FILING_STATUS=OR","EQY_CONSOLIDATED=Y","SCALING_FORMAT=MLN","Sort=A","Dates=H","DateFormat=P","Fill=—","Direction=H","UseDPDF=Y")</f>
        <v>#NAME?</v>
      </c>
      <c r="CA606" s="3" t="e">
        <f ca="1">_xll.BDH($C$603,"BS_LT_BORROW","FQ3 2014","FQ3 2014","Currency=INR","Period=FQ","BEST_FPERIOD_OVERRIDE=FQ","FILING_STATUS=OR","EQY_CONSOLIDATED=Y","SCALING_FORMAT=MLN","Sort=A","Dates=H","DateFormat=P","Fill=—","Direction=H","UseDPDF=Y")</f>
        <v>#NAME?</v>
      </c>
      <c r="CB606" s="2" t="e">
        <f ca="1">_xll.BDH($C$603,"TOT_DEBT_TO_EBITDA","FQ3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06" s="2" t="e">
        <f ca="1">_xll.BDH($C$603,"NET_DEBT_TO_EBITDA","FQ3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06" s="2" t="e">
        <f ca="1">_xll.BDH($C$603,"TOTAL_DEBT_TO_EBIT","FQ3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06" s="2" t="e">
        <f ca="1">_xll.BDH($C$603,"NET_DEBT_TO_EBIT","FQ3 2014","FQ3 2014","Currency=INR","Period=FQ","BEST_FPERIOD_OVERRIDE=FQ","FILING_STATUS=OR","EQY_CONSOLIDATED=Y","FA_ADJUSTED=GAAP","Sort=A","Dates=H","DateFormat=P","Fill=—","Direction=H","UseDPDF=Y")</f>
        <v>#NAME?</v>
      </c>
      <c r="CF606" s="2" t="e">
        <f ca="1">_xll.BDH($C$603,"EBITDA_TO_INTEREST_EXPN","FQ3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06" s="2" t="e">
        <f ca="1">_xll.BDH($C$603,"COM_EQY_TO_TOT_ASSET","FQ3 2014","FQ3 2014","Currency=INR","Period=FQ","BEST_FPERIOD_OVERRIDE=FQ","FILING_STATUS=OR","EQY_CONSOLIDATED=Y","Sort=A","Dates=H","DateFormat=P","Fill=—","Direction=H","UseDPDF=Y")</f>
        <v>#NAME?</v>
      </c>
      <c r="CH606" s="2" t="e">
        <f ca="1">_xll.BDH($C$603,"LT_DEBT_TO_TOT_EQY","FQ3 2014","FQ3 2014","Currency=INR","Period=FQ","BEST_FPERIOD_OVERRIDE=FQ","FILING_STATUS=OR","EQY_CONSOLIDATED=Y","Sort=A","Dates=H","DateFormat=P","Fill=—","Direction=H","UseDPDF=Y")</f>
        <v>#NAME?</v>
      </c>
      <c r="CI606" s="2" t="e">
        <f ca="1">_xll.BDH($C$603,"LT_DEBT_TO_TOT_CAP","FQ3 2014","FQ3 2014","Currency=INR","Period=FQ","BEST_FPERIOD_OVERRIDE=FQ","FILING_STATUS=OR","EQY_CONSOLIDATED=Y","Sort=A","Dates=H","DateFormat=P","Fill=—","Direction=H","UseDPDF=Y")</f>
        <v>#NAME?</v>
      </c>
      <c r="CJ606" s="2" t="e">
        <f ca="1">_xll.BDH($C$603,"LT_DEBT_TO_TOT_ASSET","FQ3 2014","FQ3 2014","Currency=INR","Period=FQ","BEST_FPERIOD_OVERRIDE=FQ","FILING_STATUS=OR","EQY_CONSOLIDATED=Y","Sort=A","Dates=H","DateFormat=P","Fill=—","Direction=H","UseDPDF=Y")</f>
        <v>#NAME?</v>
      </c>
      <c r="CK606" s="2" t="e">
        <f ca="1">_xll.BDH($C$603,"TOT_DEBT_TO_TOT_EQY","FQ3 2014","FQ3 2014","Currency=INR","Period=FQ","BEST_FPERIOD_OVERRIDE=FQ","FILING_STATUS=OR","EQY_CONSOLIDATED=Y","Sort=A","Dates=H","DateFormat=P","Fill=—","Direction=H","UseDPDF=Y")</f>
        <v>#NAME?</v>
      </c>
      <c r="CL606" s="2" t="e">
        <f ca="1">_xll.BDH($C$603,"TOT_DEBT_TO_TOT_CAP","FQ3 2014","FQ3 2014","Currency=INR","Period=FQ","BEST_FPERIOD_OVERRIDE=FQ","FILING_STATUS=OR","EQY_CONSOLIDATED=Y","Sort=A","Dates=H","DateFormat=P","Fill=—","Direction=H","UseDPDF=Y")</f>
        <v>#NAME?</v>
      </c>
      <c r="CM606" s="2" t="e">
        <f ca="1">_xll.BDH($C$603,"TOT_DEBT_TO_TOT_ASSET","FQ3 2014","FQ3 2014","Currency=INR","Period=FQ","BEST_FPERIOD_OVERRIDE=FQ","FILING_STATUS=OR","EQY_CONSOLIDATED=Y","Sort=A","Dates=H","DateFormat=P","Fill=—","Direction=H","UseDPDF=Y")</f>
        <v>#NAME?</v>
      </c>
      <c r="CN606" s="2" t="e">
        <f ca="1">_xll.BDH($C$603,"NET_DEBT_TO_SHRHLDR_EQTY","FQ3 2014","FQ3 2014","Currency=INR","Period=FQ","BEST_FPERIOD_OVERRIDE=FQ","FILING_STATUS=OR","EQY_CONSOLIDATED=Y","Sort=A","Dates=H","DateFormat=P","Fill=—","Direction=H","UseDPDF=Y")</f>
        <v>#NAME?</v>
      </c>
      <c r="CO606" s="2" t="e">
        <f ca="1">_xll.BDH($C$603,"NET_DEBT_%_CAPITAL","FQ3 2014","FQ3 2014","Currency=INR","Period=FQ","BEST_FPERIOD_OVERRIDE=FQ","FILING_STATUS=OR","EQY_CONSOLIDATED=Y","Sort=A","Dates=H","DateFormat=P","Fill=—","Direction=H","UseDPDF=Y")</f>
        <v>#NAME?</v>
      </c>
      <c r="CP606" s="3" t="e">
        <f ca="1">_xll.BDH($C$603,"EBITDA","FQ3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06" s="3" t="e">
        <f ca="1">_xll.BDH($C$603,"EBITDA_AFTER_CAPEX","FQ3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06" s="3" t="e">
        <f ca="1">_xll.BDH($C$603,"IS_OPER_INC","FQ3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06" s="2" t="e">
        <f ca="1">_xll.BDH($C$603,"CASH_RATIO","FQ3 2014","FQ3 2014","Currency=INR","Period=FQ","BEST_FPERIOD_OVERRIDE=FQ","FILING_STATUS=OR","EQY_CONSOLIDATED=Y","Sort=A","Dates=H","DateFormat=P","Fill=—","Direction=H","UseDPDF=Y")</f>
        <v>#NAME?</v>
      </c>
      <c r="CT606" s="2" t="e">
        <f ca="1">_xll.BDH($C$603,"CUR_RATIO","FQ3 2014","FQ3 2014","Currency=INR","Period=FQ","BEST_FPERIOD_OVERRIDE=FQ","FILING_STATUS=OR","EQY_CONSOLIDATED=Y","Sort=A","Dates=H","DateFormat=P","Fill=—","Direction=H","UseDPDF=Y")</f>
        <v>#NAME?</v>
      </c>
      <c r="CU606" s="2" t="e">
        <f ca="1">_xll.BDH($C$603,"QUICK_RATIO","FQ3 2014","FQ3 2014","Currency=INR","Period=FQ","BEST_FPERIOD_OVERRIDE=FQ","FILING_STATUS=OR","EQY_CONSOLIDATED=Y","Sort=A","Dates=H","DateFormat=P","Fill=—","Direction=H","UseDPDF=Y")</f>
        <v>#NAME?</v>
      </c>
      <c r="CV606" s="2" t="e">
        <f ca="1">_xll.BDH($C$603,"ALTMAN_Z_SCORE","FQ3 2014","FQ3 2014","Currency=INR","Period=FQ","BEST_FPERIOD_OVERRIDE=FQ","FILING_STATUS=OR","EQY_CONSOLIDATED=Y","Sort=A","Dates=H","DateFormat=P","Fill=—","Direction=H","UseDPDF=Y")</f>
        <v>#NAME?</v>
      </c>
      <c r="CW606" s="4" t="e">
        <f ca="1">_xll.BDH($C$603,"ACCT_RCV_TURN","FQ3 2014","FQ3 2014","Currency=INR","Period=FQ","BEST_FPERIOD_OVERRIDE=FQ","FILING_STATUS=OR","EQY_CONSOLIDATED=Y","FA_ADJUSTED=GAAP","Sort=A","Dates=H","DateFormat=P","Fill=—","Direction=H","UseDPDF=Y")</f>
        <v>#NAME?</v>
      </c>
      <c r="CX606" s="2" t="e">
        <f ca="1">_xll.BDH($C$603,"ACCT_RCV_DAYS","FQ3 2014","FQ3 2014","Currency=INR","Period=FQ","BEST_FPERIOD_OVERRIDE=FQ","FILING_STATUS=OR","EQY_CONSOLIDATED=Y","FA_ADJUSTED=GAAP","Sort=A","Dates=H","DateFormat=P","Fill=—","Direction=H","UseDPDF=Y")</f>
        <v>#NAME?</v>
      </c>
      <c r="CY606" s="4" t="e">
        <f ca="1">_xll.BDH($C$603,"INVENT_TURN","FQ3 2014","FQ3 2014","Currency=INR","Period=FQ","BEST_FPERIOD_OVERRIDE=FQ","FILING_STATUS=OR","EQY_CONSOLIDATED=Y","FA_ADJUSTED=GAAP","Sort=A","Dates=H","DateFormat=P","Fill=—","Direction=H","UseDPDF=Y")</f>
        <v>#NAME?</v>
      </c>
      <c r="CZ606" s="2" t="e">
        <f ca="1">_xll.BDH($C$603,"INVENT_DAYS","FQ3 2014","FQ3 2014","Currency=INR","Period=FQ","BEST_FPERIOD_OVERRIDE=FQ","FILING_STATUS=OR","EQY_CONSOLIDATED=Y","FA_ADJUSTED=GAAP","Sort=A","Dates=H","DateFormat=P","Fill=—","Direction=H","UseDPDF=Y")</f>
        <v>#NAME?</v>
      </c>
      <c r="DA606" s="4" t="e">
        <f ca="1">_xll.BDH($C$603,"ACCOUNTS_PAYABLE_TURNOVER","FQ3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06" s="2" t="e">
        <f ca="1">_xll.BDH($C$603,"ACCOUNTS_PAYABLE_TURNOVER_DAYS","FQ3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06" s="4" t="e">
        <f ca="1">_xll.BDH($C$603,"CASH_CONVERSION_CYCLE","FQ3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06" s="4" t="e">
        <f ca="1">_xll.BDH($C$603,"INV_TO_CASH_DAYS","FQ3 2014","FQ3 2014","Currency=INR","Period=FQ","BEST_FPERIOD_OVERRIDE=FQ","FILING_STATUS=OR","EQY_CONSOLIDATED=Y","FA_ADJUSTED=GAAP","Sort=A","Dates=H","DateFormat=P","Fill=—","Direction=H","UseDPDF=Y")</f>
        <v>#NAME?</v>
      </c>
      <c r="DE606" s="5" t="e">
        <f ca="1">_xll.BDH($C$603,"BS_INVENTORIES","FQ3 2014","FQ3 2014","Currency=INR","Period=FQ","BEST_FPERIOD_OVERRIDE=FQ","FILING_STATUS=OR","EQY_CONSOLIDATED=Y","SCALING_FORMAT=MLN","Sort=A","Dates=H","DateFormat=P","Fill=—","Direction=H","UseDPDF=Y")</f>
        <v>#NAME?</v>
      </c>
      <c r="DF606" s="3" t="e">
        <f ca="1">_xll.BDH($C$603,"INVTRY_RAW_MATERIALS","FQ3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06" s="3" t="e">
        <f ca="1">_xll.BDH($C$603,"INVTRY_IN_PROGRESS","FQ3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06" s="3" t="e">
        <f ca="1">_xll.BDH($C$603,"INVTRY_FINISHED_GOODS","FQ3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06" s="3" t="e">
        <f ca="1">_xll.BDH($C$603,"BS_OTHER_INV","FQ3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607" spans="1:113" x14ac:dyDescent="0.3">
      <c r="A607" s="6"/>
      <c r="B607" s="6"/>
      <c r="C607" s="6"/>
      <c r="D607" s="6"/>
      <c r="E607" t="s">
        <v>81</v>
      </c>
      <c r="F607" t="e">
        <f ca="1">_xll.BDH($C$603,"RETURN_COM_EQY","FQ4 2014","FQ4 2014","Currency=INR","Period=FQ","BEST_FPERIOD_OVERRIDE=FQ","FILING_STATUS=OR","EQY_CONSOLIDATED=Y","FA_ADJUSTED=GAAP","Sort=A","Dates=H","DateFormat=P","Fill=—","Direction=H","UseDPDF=Y")</f>
        <v>#NAME?</v>
      </c>
      <c r="G607" t="e">
        <f ca="1">_xll.BDH($C$603,"RETURN_ON_ASSET","FQ4 2014","FQ4 2014","Currency=INR","Period=FQ","BEST_FPERIOD_OVERRIDE=FQ","FILING_STATUS=OR","EQY_CONSOLIDATED=Y","FA_ADJUSTED=GAAP","Sort=A","Dates=H","DateFormat=P","Fill=—","Direction=H","UseDPDF=Y")</f>
        <v>#NAME?</v>
      </c>
      <c r="H607" t="e">
        <f ca="1">_xll.BDH($C$603,"RETURN_ON_CAP","FQ4 2014","FQ4 2014","Currency=INR","Period=FQ","BEST_FPERIOD_OVERRIDE=FQ","FILING_STATUS=OR","EQY_CONSOLIDATED=Y","FA_ADJUSTED=GAAP","Sort=A","Dates=H","DateFormat=P","Fill=—","Direction=H","UseDPDF=Y")</f>
        <v>#NAME?</v>
      </c>
      <c r="I607" t="e">
        <f ca="1">_xll.BDH($C$603,"RETURN_ON_INV_CAPITAL","FQ4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607" t="e">
        <f ca="1">_xll.BDH($C$603,"EBITDA_TO_REVENUE","FQ4 2014","FQ4 2014","Currency=INR","Period=FQ","BEST_FPERIOD_OVERRIDE=FQ","FILING_STATUS=OR","EQY_CONSOLIDATED=Y","FA_ADJUSTED=GAAP","Sort=A","Dates=H","DateFormat=P","Fill=—","Direction=H","UseDPDF=Y")</f>
        <v>#NAME?</v>
      </c>
      <c r="K607" t="e">
        <f ca="1">_xll.BDH($C$603,"OPER_MARGIN","FQ4 2014","FQ4 2014","Currency=INR","Period=FQ","BEST_FPERIOD_OVERRIDE=FQ","FILING_STATUS=OR","EQY_CONSOLIDATED=Y","FA_ADJUSTED=GAAP","Sort=A","Dates=H","DateFormat=P","Fill=—","Direction=H","UseDPDF=Y")</f>
        <v>#NAME?</v>
      </c>
      <c r="L607" t="e">
        <f ca="1">_xll.BDH($C$603,"INCREMENTAL_OPERATING_MARGIN","FQ4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607" t="e">
        <f ca="1">_xll.BDH($C$603,"PRETAX_INC_TO_NET_SALES","FQ4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607" t="e">
        <f ca="1">_xll.BDH($C$603,"INC_BEF_XO_ITEMS_TO_NET_SALES","FQ4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607" t="e">
        <f ca="1">_xll.BDH($C$603,"PROF_MARGIN","FQ4 2014","FQ4 2014","Currency=INR","Period=FQ","BEST_FPERIOD_OVERRIDE=FQ","FILING_STATUS=OR","EQY_CONSOLIDATED=Y","FA_ADJUSTED=GAAP","Sort=A","Dates=H","DateFormat=P","Fill=—","Direction=H","UseDPDF=Y")</f>
        <v>#NAME?</v>
      </c>
      <c r="P607" t="e">
        <f ca="1">_xll.BDH($C$603,"NET_INCOME_TO_COMMON_MARGIN","FQ4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607" t="e">
        <f ca="1">_xll.BDH($C$603,"EFF_TAX_RATE","FQ4 2014","FQ4 2014","Currency=INR","Period=FQ","BEST_FPERIOD_OVERRIDE=FQ","FILING_STATUS=OR","EQY_CONSOLIDATED=Y","FA_ADJUSTED=GAAP","Sort=A","Dates=H","DateFormat=P","Fill=—","Direction=H","UseDPDF=Y")</f>
        <v>#NAME?</v>
      </c>
      <c r="R607" t="e">
        <f ca="1">_xll.BDH($C$603,"DVD_PAYOUT_RATIO","FQ4 2014","FQ4 2014","Currency=INR","Period=FQ","BEST_FPERIOD_OVERRIDE=FQ","FILING_STATUS=OR","EQY_CONSOLIDATED=Y","FA_ADJUSTED=GAAP","Sort=A","Dates=H","DateFormat=P","Fill=—","Direction=H","UseDPDF=Y")</f>
        <v>#NAME?</v>
      </c>
      <c r="S607" t="e">
        <f ca="1">_xll.BDH($C$603,"SUSTAIN_GROWTH_RT","FQ4 2014","FQ4 2014","Currency=INR","Period=FQ","BEST_FPERIOD_OVERRIDE=FQ","FILING_STATUS=OR","EQY_CONSOLIDATED=Y","FA_ADJUSTED=GAAP","Sort=A","Dates=H","DateFormat=P","Fill=—","Direction=H","UseDPDF=Y")</f>
        <v>#NAME?</v>
      </c>
      <c r="T607" s="2" t="e">
        <f ca="1">_xll.BDH($C$603,"SALES_GROWTH","FQ4 2014","FQ4 2014","Currency=INR","Period=FQ","BEST_FPERIOD_OVERRIDE=FQ","FILING_STATUS=OR","EQY_CONSOLIDATED=Y","FA_ADJUSTED=GAAP","Sort=A","Dates=H","DateFormat=P","Fill=—","Direction=H","UseDPDF=Y")</f>
        <v>#NAME?</v>
      </c>
      <c r="U607" s="2" t="e">
        <f ca="1">_xll.BDH($C$603,"EBITDA_GROWTH","FQ4 2014","FQ4 2014","Currency=INR","Period=FQ","BEST_FPERIOD_OVERRIDE=FQ","FILING_STATUS=OR","EQY_CONSOLIDATED=Y","FA_ADJUSTED=GAAP","Sort=A","Dates=H","DateFormat=P","Fill=—","Direction=H","UseDPDF=Y")</f>
        <v>#NAME?</v>
      </c>
      <c r="V607" s="2" t="e">
        <f ca="1">_xll.BDH($C$603,"OPER_INC_GROWTH","FQ4 2014","FQ4 2014","Currency=INR","Period=FQ","BEST_FPERIOD_OVERRIDE=FQ","FILING_STATUS=OR","EQY_CONSOLIDATED=Y","FA_ADJUSTED=GAAP","Sort=A","Dates=H","DateFormat=P","Fill=—","Direction=H","UseDPDF=Y")</f>
        <v>#NAME?</v>
      </c>
      <c r="W607" s="2" t="e">
        <f ca="1">_xll.BDH($C$603,"EARN_FOR_COM_GROWTH","FQ4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607" s="2" t="e">
        <f ca="1">_xll.BDH($C$603,"DILUTED_EPS_AFT_XO_ITEMS_GROWTH","FQ4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607" s="2" t="e">
        <f ca="1">_xll.BDH($C$603,"DIVIDEND_PER_SHARE_1_YEAR_GROWTH","FQ4 2014","FQ4 2014","Currency=INR","Period=FQ","BEST_FPERIOD_OVERRIDE=FQ","FILING_STATUS=OR","EQY_CONSOLIDATED=Y","Sort=A","Dates=H","DateFormat=P","Fill=—","Direction=H","UseDPDF=Y")</f>
        <v>#NAME?</v>
      </c>
      <c r="Z607" s="2" t="e">
        <f ca="1">_xll.BDH($C$603,"ACCOUNTS_RECEIVABLE_GROWTH","FQ4 2014","FQ4 2014","Currency=INR","Period=FQ","BEST_FPERIOD_OVERRIDE=FQ","FILING_STATUS=OR","EQY_CONSOLIDATED=Y","Sort=A","Dates=H","DateFormat=P","Fill=—","Direction=H","UseDPDF=Y")</f>
        <v>#NAME?</v>
      </c>
      <c r="AA607" s="2" t="e">
        <f ca="1">_xll.BDH($C$603,"INVENTORY_GROWTH","FQ4 2014","FQ4 2014","Currency=INR","Period=FQ","BEST_FPERIOD_OVERRIDE=FQ","FILING_STATUS=OR","EQY_CONSOLIDATED=Y","Sort=A","Dates=H","DateFormat=P","Fill=—","Direction=H","UseDPDF=Y")</f>
        <v>#NAME?</v>
      </c>
      <c r="AB607" s="2" t="e">
        <f ca="1">_xll.BDH($C$603,"NET_FIXED_ASSETS_1_YEAR_GROWTH","FQ4 2014","FQ4 2014","Currency=INR","Period=FQ","BEST_FPERIOD_OVERRIDE=FQ","FILING_STATUS=OR","EQY_CONSOLIDATED=Y","Sort=A","Dates=H","DateFormat=P","Fill=—","Direction=H","UseDPDF=Y")</f>
        <v>#NAME?</v>
      </c>
      <c r="AC607" s="2" t="e">
        <f ca="1">_xll.BDH($C$603,"ASSET_GROWTH","FQ4 2014","FQ4 2014","Currency=INR","Period=FQ","BEST_FPERIOD_OVERRIDE=FQ","FILING_STATUS=OR","EQY_CONSOLIDATED=Y","Sort=A","Dates=H","DateFormat=P","Fill=—","Direction=H","UseDPDF=Y")</f>
        <v>#NAME?</v>
      </c>
      <c r="AD607" s="2" t="e">
        <f ca="1">_xll.BDH($C$603,"MODIFIED_WORK_CAP_GROWTH","FQ4 2014","FQ4 2014","Currency=INR","Period=FQ","BEST_FPERIOD_OVERRIDE=FQ","FILING_STATUS=OR","EQY_CONSOLIDATED=Y","Sort=A","Dates=H","DateFormat=P","Fill=—","Direction=H","UseDPDF=Y")</f>
        <v>#NAME?</v>
      </c>
      <c r="AE607" s="2" t="e">
        <f ca="1">_xll.BDH($C$603,"WORK_CAP_GROWTH","FQ4 2014","FQ4 2014","Currency=INR","Period=FQ","BEST_FPERIOD_OVERRIDE=FQ","FILING_STATUS=OR","EQY_CONSOLIDATED=Y","Sort=A","Dates=H","DateFormat=P","Fill=—","Direction=H","UseDPDF=Y")</f>
        <v>#NAME?</v>
      </c>
      <c r="AF607" s="2" t="e">
        <f ca="1">_xll.BDH($C$603,"ACCOUNTS_PAYABLE_GROWTH_1YR","FQ4 2014","FQ4 2014","Currency=INR","Period=FQ","BEST_FPERIOD_OVERRIDE=FQ","FILING_STATUS=OR","EQY_CONSOLIDATED=Y","Sort=A","Dates=H","DateFormat=P","Fill=—","Direction=H","UseDPDF=Y")</f>
        <v>#NAME?</v>
      </c>
      <c r="AG607" s="2" t="e">
        <f ca="1">_xll.BDH($C$603,"SHORT_TERM_DEBT_1_YEAR_GROWTH","FQ4 2014","FQ4 2014","Currency=INR","Period=FQ","BEST_FPERIOD_OVERRIDE=FQ","FILING_STATUS=OR","EQY_CONSOLIDATED=Y","Sort=A","Dates=H","DateFormat=P","Fill=—","Direction=H","UseDPDF=Y")</f>
        <v>#NAME?</v>
      </c>
      <c r="AH607" s="2" t="e">
        <f ca="1">_xll.BDH($C$603,"TOTAL_DEBT_1_YEAR_GROWTH","FQ4 2014","FQ4 2014","Currency=INR","Period=FQ","BEST_FPERIOD_OVERRIDE=FQ","FILING_STATUS=OR","EQY_CONSOLIDATED=Y","Sort=A","Dates=H","DateFormat=P","Fill=—","Direction=H","UseDPDF=Y")</f>
        <v>#NAME?</v>
      </c>
      <c r="AI607" s="2" t="e">
        <f ca="1">_xll.BDH($C$603,"TOTAL_EQUITY_1_YEAR_GROWTH","FQ4 2014","FQ4 2014","Currency=INR","Period=FQ","BEST_FPERIOD_OVERRIDE=FQ","FILING_STATUS=OR","EQY_CONSOLIDATED=Y","Sort=A","Dates=H","DateFormat=P","Fill=—","Direction=H","UseDPDF=Y")</f>
        <v>#NAME?</v>
      </c>
      <c r="AJ607" s="2" t="e">
        <f ca="1">_xll.BDH($C$603,"GROWTH_IN_CAP","FQ4 2014","FQ4 2014","Currency=INR","Period=FQ","BEST_FPERIOD_OVERRIDE=FQ","FILING_STATUS=OR","EQY_CONSOLIDATED=Y","Sort=A","Dates=H","DateFormat=P","Fill=—","Direction=H","UseDPDF=Y")</f>
        <v>#NAME?</v>
      </c>
      <c r="AK607" s="2" t="e">
        <f ca="1">_xll.BDH($C$603,"BVPS_GROWTH","FQ4 2014","FQ4 2014","Currency=INR","Period=FQ","BEST_FPERIOD_OVERRIDE=FQ","FILING_STATUS=OR","EQY_CONSOLIDATED=Y","Sort=A","Dates=H","DateFormat=P","Fill=—","Direction=H","UseDPDF=Y")</f>
        <v>#NAME?</v>
      </c>
      <c r="AL607" s="2" t="e">
        <f ca="1">_xll.BDH($C$603,"CASH_FLOW_GROWTH","FQ4 2014","FQ4 2014","Currency=INR","Period=FQ","BEST_FPERIOD_OVERRIDE=FQ","FILING_STATUS=OR","EQY_CONSOLIDATED=Y","Sort=A","Dates=H","DateFormat=P","Fill=—","Direction=H","UseDPDF=Y")</f>
        <v>#NAME?</v>
      </c>
      <c r="AM607" s="2" t="e">
        <f ca="1">_xll.BDH($C$603,"GEO_GROW_NET_SALES","FQ4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607" s="2" t="e">
        <f ca="1">_xll.BDH($C$603,"GEO_GROW_EBITDA","FQ4 2014","FQ4 2014","Currency=INR","Period=FQ","BEST_FPERIOD_OVERRIDE=FQ","FILING_STATUS=OR","EQY_CONSOLIDATED=Y","FA_ADJUSTED=GAAP","Sort=A","Dates=H","DateFormat=P","Fill=—","Direction=H","UseDPDF=Y")</f>
        <v>#NAME?</v>
      </c>
      <c r="AO607" s="2" t="e">
        <f ca="1">_xll.BDH($C$603,"GEO_GROW_OPER_INC","FQ4 2014","FQ4 2014","Currency=INR","Period=FQ","BEST_FPERIOD_OVERRIDE=FQ","FILING_STATUS=OR","EQY_CONSOLIDATED=Y","FA_ADJUSTED=GAAP","Sort=A","Dates=H","DateFormat=P","Fill=—","Direction=H","UseDPDF=Y")</f>
        <v>#NAME?</v>
      </c>
      <c r="AP607" s="2" t="e">
        <f ca="1">_xll.BDH($C$603,"NET_INCOME_TO_COMMON_5_YR_GROWTH","FQ4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607" s="2" t="e">
        <f ca="1">_xll.BDH($C$603,"5Y_GEO_GROWTH_DILUTED_EPS","FQ4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607" s="2" t="e">
        <f ca="1">_xll.BDH($C$603,"GEO_GROW_DVD_PER_SH","FQ4 2014","FQ4 2014","Currency=INR","Period=FQ","BEST_FPERIOD_OVERRIDE=FQ","FILING_STATUS=OR","EQY_CONSOLIDATED=Y","Sort=A","Dates=H","DateFormat=P","Fill=—","Direction=H","UseDPDF=Y")</f>
        <v>#NAME?</v>
      </c>
      <c r="AS607" s="2" t="e">
        <f ca="1">_xll.BDH($C$603,"ACCOUNTS_RECEIVABLE_5_YR_GROWTH","FQ4 2014","FQ4 2014","Currency=INR","Period=FQ","BEST_FPERIOD_OVERRIDE=FQ","FILING_STATUS=OR","EQY_CONSOLIDATED=Y","Sort=A","Dates=H","DateFormat=P","Fill=—","Direction=H","UseDPDF=Y")</f>
        <v>#NAME?</v>
      </c>
      <c r="AT607" s="2" t="e">
        <f ca="1">_xll.BDH($C$603,"INVENTORY_5_YEAR_GROWTH","FQ4 2014","FQ4 2014","Currency=INR","Period=FQ","BEST_FPERIOD_OVERRIDE=FQ","FILING_STATUS=OR","EQY_CONSOLIDATED=Y","Sort=A","Dates=H","DateFormat=P","Fill=—","Direction=H","UseDPDF=Y")</f>
        <v>#NAME?</v>
      </c>
      <c r="AU607" s="2" t="e">
        <f ca="1">_xll.BDH($C$603,"NET_FIXED_ASSETS_5_YEAR_GROWTH","FQ4 2014","FQ4 2014","Currency=INR","Period=FQ","BEST_FPERIOD_OVERRIDE=FQ","FILING_STATUS=OR","EQY_CONSOLIDATED=Y","Sort=A","Dates=H","DateFormat=P","Fill=—","Direction=H","UseDPDF=Y")</f>
        <v>#NAME?</v>
      </c>
      <c r="AV607" s="2" t="e">
        <f ca="1">_xll.BDH($C$603,"GEO_GROW_TOT_ASSET","FQ4 2014","FQ4 2014","Currency=INR","Period=FQ","BEST_FPERIOD_OVERRIDE=FQ","FILING_STATUS=OR","EQY_CONSOLIDATED=Y","Sort=A","Dates=H","DateFormat=P","Fill=—","Direction=H","UseDPDF=Y")</f>
        <v>#NAME?</v>
      </c>
      <c r="AW607" s="2" t="e">
        <f ca="1">_xll.BDH($C$603,"MODIFIED_WORKING_CPTL_5YR_GRWTH","FQ4 2014","FQ4 2014","Currency=INR","Period=FQ","BEST_FPERIOD_OVERRIDE=FQ","FILING_STATUS=OR","EQY_CONSOLIDATED=Y","Sort=A","Dates=H","DateFormat=P","Fill=—","Direction=H","UseDPDF=Y")</f>
        <v>#NAME?</v>
      </c>
      <c r="AX607" s="2" t="e">
        <f ca="1">_xll.BDH($C$603,"WORKING_CAPITAL_5_YEAR_GROWTH","FQ4 2014","FQ4 2014","Currency=INR","Period=FQ","BEST_FPERIOD_OVERRIDE=FQ","FILING_STATUS=OR","EQY_CONSOLIDATED=Y","Sort=A","Dates=H","DateFormat=P","Fill=—","Direction=H","UseDPDF=Y")</f>
        <v>#NAME?</v>
      </c>
      <c r="AY607" s="2" t="e">
        <f ca="1">_xll.BDH($C$603,"ACCOUNTS_PAYABLE_5_YEAR_GROWTH","FQ4 2014","FQ4 2014","Currency=INR","Period=FQ","BEST_FPERIOD_OVERRIDE=FQ","FILING_STATUS=OR","EQY_CONSOLIDATED=Y","Sort=A","Dates=H","DateFormat=P","Fill=—","Direction=H","UseDPDF=Y")</f>
        <v>#NAME?</v>
      </c>
      <c r="AZ607" s="2" t="e">
        <f ca="1">_xll.BDH($C$603,"SHORT_TERM_DEBT_5_YEAR_GROWTH","FQ4 2014","FQ4 2014","Currency=INR","Period=FQ","BEST_FPERIOD_OVERRIDE=FQ","FILING_STATUS=OR","EQY_CONSOLIDATED=Y","Sort=A","Dates=H","DateFormat=P","Fill=—","Direction=H","UseDPDF=Y")</f>
        <v>#NAME?</v>
      </c>
      <c r="BA607" s="2" t="e">
        <f ca="1">_xll.BDH($C$603,"TOTAL_DEBT_5_YEAR_GROWTH","FQ4 2014","FQ4 2014","Currency=INR","Period=FQ","BEST_FPERIOD_OVERRIDE=FQ","FILING_STATUS=OR","EQY_CONSOLIDATED=Y","Sort=A","Dates=H","DateFormat=P","Fill=—","Direction=H","UseDPDF=Y")</f>
        <v>#NAME?</v>
      </c>
      <c r="BB607" s="2" t="e">
        <f ca="1">_xll.BDH($C$603,"GEO_GROW_TOT_SHRHLDR_EQY","FQ4 2014","FQ4 2014","Currency=INR","Period=FQ","BEST_FPERIOD_OVERRIDE=FQ","FILING_STATUS=OR","EQY_CONSOLIDATED=Y","Sort=A","Dates=H","DateFormat=P","Fill=—","Direction=H","UseDPDF=Y")</f>
        <v>#NAME?</v>
      </c>
      <c r="BC607" s="2" t="e">
        <f ca="1">_xll.BDH($C$603,"TOTAL_CAPITAL_5_YEAR_GROWTH","FQ4 2014","FQ4 2014","Currency=INR","Period=FQ","BEST_FPERIOD_OVERRIDE=FQ","FILING_STATUS=OR","EQY_CONSOLIDATED=Y","Sort=A","Dates=H","DateFormat=P","Fill=—","Direction=H","UseDPDF=Y")</f>
        <v>#NAME?</v>
      </c>
      <c r="BD607" s="2" t="e">
        <f ca="1">_xll.BDH($C$603,"GEO_GROW_BOOK_VAL","FQ4 2014","FQ4 2014","Currency=INR","Period=FQ","BEST_FPERIOD_OVERRIDE=FQ","FILING_STATUS=OR","EQY_CONSOLIDATED=Y","Sort=A","Dates=H","DateFormat=P","Fill=—","Direction=H","UseDPDF=Y")</f>
        <v>#NAME?</v>
      </c>
      <c r="BE607" s="2" t="e">
        <f ca="1">_xll.BDH($C$603,"GEO_GROW_CASH_OPER_ACT","FQ4 2014","FQ4 2014","Currency=INR","Period=FQ","BEST_FPERIOD_OVERRIDE=FQ","FILING_STATUS=OR","EQY_CONSOLIDATED=Y","Sort=A","Dates=H","DateFormat=P","Fill=—","Direction=H","UseDPDF=Y")</f>
        <v>#NAME?</v>
      </c>
      <c r="BF607" s="2" t="e">
        <f ca="1">_xll.BDH($C$603,"REVENUE_SEQUENTIAL_GROWTH","FQ4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607" s="2" t="e">
        <f ca="1">_xll.BDH($C$603,"EBITDA_SEQUENTIAL_GROWTH","FQ4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607" s="2" t="e">
        <f ca="1">_xll.BDH($C$603,"OPERATING_INCOME_SEQ_GROWTH","FQ4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607" s="2" t="e">
        <f ca="1">_xll.BDH($C$603,"NET_INCOME_TO_COMMON_SEQ_GROWTH","FQ4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607" s="2" t="e">
        <f ca="1">_xll.BDH($C$603,"EPS_DILUTED_SEQUENTIAL_GROWTH","FQ4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607" s="2" t="e">
        <f ca="1">_xll.BDH($C$603,"DPS_SEQUENTIAL_GROWTH","FQ4 2014","FQ4 2014","Currency=INR","Period=FQ","BEST_FPERIOD_OVERRIDE=FQ","FILING_STATUS=OR","EQY_CONSOLIDATED=Y","Sort=A","Dates=H","DateFormat=P","Fill=—","Direction=H","UseDPDF=Y")</f>
        <v>#NAME?</v>
      </c>
      <c r="BL607" s="2" t="e">
        <f ca="1">_xll.BDH($C$603,"ACCOUNTS_RECEIVABLE_SEQ_GROWTH","FQ4 2014","FQ4 2014","Currency=INR","Period=FQ","BEST_FPERIOD_OVERRIDE=FQ","FILING_STATUS=OR","EQY_CONSOLIDATED=Y","Sort=A","Dates=H","DateFormat=P","Fill=—","Direction=H","UseDPDF=Y")</f>
        <v>#NAME?</v>
      </c>
      <c r="BM607" s="2" t="e">
        <f ca="1">_xll.BDH($C$603,"INVENTORY_SEQUENTIAL_GROWTH","FQ4 2014","FQ4 2014","Currency=INR","Period=FQ","BEST_FPERIOD_OVERRIDE=FQ","FILING_STATUS=OR","EQY_CONSOLIDATED=Y","Sort=A","Dates=H","DateFormat=P","Fill=—","Direction=H","UseDPDF=Y")</f>
        <v>#NAME?</v>
      </c>
      <c r="BN607" s="2" t="e">
        <f ca="1">_xll.BDH($C$603,"FIXED_ASSETS_SEQUENTIAL_GROWTH","FQ4 2014","FQ4 2014","Currency=INR","Period=FQ","BEST_FPERIOD_OVERRIDE=FQ","FILING_STATUS=OR","EQY_CONSOLIDATED=Y","Sort=A","Dates=H","DateFormat=P","Fill=—","Direction=H","UseDPDF=Y")</f>
        <v>#NAME?</v>
      </c>
      <c r="BO607" s="2" t="e">
        <f ca="1">_xll.BDH($C$603,"TOTAL_ASSETS_SEQUENTIAL_GROWTH","FQ4 2014","FQ4 2014","Currency=INR","Period=FQ","BEST_FPERIOD_OVERRIDE=FQ","FILING_STATUS=OR","EQY_CONSOLIDATED=Y","Sort=A","Dates=H","DateFormat=P","Fill=—","Direction=H","UseDPDF=Y")</f>
        <v>#NAME?</v>
      </c>
      <c r="BP607" s="2" t="e">
        <f ca="1">_xll.BDH($C$603,"MODIFIED_WORKING_CPTL_SEQ_GRWTH","FQ4 2014","FQ4 2014","Currency=INR","Period=FQ","BEST_FPERIOD_OVERRIDE=FQ","FILING_STATUS=OR","EQY_CONSOLIDATED=Y","Sort=A","Dates=H","DateFormat=P","Fill=—","Direction=H","UseDPDF=Y")</f>
        <v>#NAME?</v>
      </c>
      <c r="BQ607" s="2" t="e">
        <f ca="1">_xll.BDH($C$603,"WORKING_CAPITAL_SEQ_GROWTH","FQ4 2014","FQ4 2014","Currency=INR","Period=FQ","BEST_FPERIOD_OVERRIDE=FQ","FILING_STATUS=OR","EQY_CONSOLIDATED=Y","Sort=A","Dates=H","DateFormat=P","Fill=—","Direction=H","UseDPDF=Y")</f>
        <v>#NAME?</v>
      </c>
      <c r="BR607" s="2" t="e">
        <f ca="1">_xll.BDH($C$603,"ACCOUNTS_PAYABLE_SEQ_GROWTH","FQ4 2014","FQ4 2014","Currency=INR","Period=FQ","BEST_FPERIOD_OVERRIDE=FQ","FILING_STATUS=OR","EQY_CONSOLIDATED=Y","Sort=A","Dates=H","DateFormat=P","Fill=—","Direction=H","UseDPDF=Y")</f>
        <v>#NAME?</v>
      </c>
      <c r="BS607" s="2" t="e">
        <f ca="1">_xll.BDH($C$603,"ST_DEBT_SEQUENTIAL_GROWTH","FQ4 2014","FQ4 2014","Currency=INR","Period=FQ","BEST_FPERIOD_OVERRIDE=FQ","FILING_STATUS=OR","EQY_CONSOLIDATED=Y","Sort=A","Dates=H","DateFormat=P","Fill=—","Direction=H","UseDPDF=Y")</f>
        <v>#NAME?</v>
      </c>
      <c r="BT607" s="2" t="e">
        <f ca="1">_xll.BDH($C$603,"TOTAL_DEBT_SEQUENTIAL_GROWTH","FQ4 2014","FQ4 2014","Currency=INR","Period=FQ","BEST_FPERIOD_OVERRIDE=FQ","FILING_STATUS=OR","EQY_CONSOLIDATED=Y","Sort=A","Dates=H","DateFormat=P","Fill=—","Direction=H","UseDPDF=Y")</f>
        <v>#NAME?</v>
      </c>
      <c r="BU607" s="2" t="e">
        <f ca="1">_xll.BDH($C$603,"TOTAL_EQUITY_SEQUENTIAL_GROWTH","FQ4 2014","FQ4 2014","Currency=INR","Period=FQ","BEST_FPERIOD_OVERRIDE=FQ","FILING_STATUS=OR","EQY_CONSOLIDATED=Y","Sort=A","Dates=H","DateFormat=P","Fill=—","Direction=H","UseDPDF=Y")</f>
        <v>#NAME?</v>
      </c>
      <c r="BV607" s="2" t="e">
        <f ca="1">_xll.BDH($C$603,"TOTAL_CAPITAL_SEQUENTIAL_GROWTH","FQ4 2014","FQ4 2014","Currency=INR","Period=FQ","BEST_FPERIOD_OVERRIDE=FQ","FILING_STATUS=OR","EQY_CONSOLIDATED=Y","Sort=A","Dates=H","DateFormat=P","Fill=—","Direction=H","UseDPDF=Y")</f>
        <v>#NAME?</v>
      </c>
      <c r="BW607" s="2" t="e">
        <f ca="1">_xll.BDH($C$603,"BPS_SEQUENTIAL_GROWTH","FQ4 2014","FQ4 2014","Currency=INR","Period=FQ","BEST_FPERIOD_OVERRIDE=FQ","FILING_STATUS=OR","EQY_CONSOLIDATED=Y","Sort=A","Dates=H","DateFormat=P","Fill=—","Direction=H","UseDPDF=Y")</f>
        <v>#NAME?</v>
      </c>
      <c r="BX607" s="2" t="e">
        <f ca="1">_xll.BDH($C$603,"CFO_SEQUENTIAL_GROWTH","FQ4 2014","FQ4 2014","Currency=INR","Period=FQ","BEST_FPERIOD_OVERRIDE=FQ","FILING_STATUS=OR","EQY_CONSOLIDATED=Y","Sort=A","Dates=H","DateFormat=P","Fill=—","Direction=H","UseDPDF=Y")</f>
        <v>#NAME?</v>
      </c>
      <c r="BY607" s="3" t="e">
        <f ca="1">_xll.BDH($C$603,"SHORT_AND_LONG_TERM_DEBT","FQ4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607" s="3" t="e">
        <f ca="1">_xll.BDH($C$603,"BS_ST_BORROW","FQ4 2014","FQ4 2014","Currency=INR","Period=FQ","BEST_FPERIOD_OVERRIDE=FQ","FILING_STATUS=OR","EQY_CONSOLIDATED=Y","SCALING_FORMAT=MLN","Sort=A","Dates=H","DateFormat=P","Fill=—","Direction=H","UseDPDF=Y")</f>
        <v>#NAME?</v>
      </c>
      <c r="CA607" s="3" t="e">
        <f ca="1">_xll.BDH($C$603,"BS_LT_BORROW","FQ4 2014","FQ4 2014","Currency=INR","Period=FQ","BEST_FPERIOD_OVERRIDE=FQ","FILING_STATUS=OR","EQY_CONSOLIDATED=Y","SCALING_FORMAT=MLN","Sort=A","Dates=H","DateFormat=P","Fill=—","Direction=H","UseDPDF=Y")</f>
        <v>#NAME?</v>
      </c>
      <c r="CB607" s="2" t="e">
        <f ca="1">_xll.BDH($C$603,"TOT_DEBT_TO_EBITDA","FQ4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607" s="2" t="e">
        <f ca="1">_xll.BDH($C$603,"NET_DEBT_TO_EBITDA","FQ4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607" s="2" t="e">
        <f ca="1">_xll.BDH($C$603,"TOTAL_DEBT_TO_EBIT","FQ4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607" s="2" t="e">
        <f ca="1">_xll.BDH($C$603,"NET_DEBT_TO_EBIT","FQ4 2014","FQ4 2014","Currency=INR","Period=FQ","BEST_FPERIOD_OVERRIDE=FQ","FILING_STATUS=OR","EQY_CONSOLIDATED=Y","FA_ADJUSTED=GAAP","Sort=A","Dates=H","DateFormat=P","Fill=—","Direction=H","UseDPDF=Y")</f>
        <v>#NAME?</v>
      </c>
      <c r="CF607" s="2" t="e">
        <f ca="1">_xll.BDH($C$603,"EBITDA_TO_INTEREST_EXPN","FQ4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607" s="2" t="e">
        <f ca="1">_xll.BDH($C$603,"COM_EQY_TO_TOT_ASSET","FQ4 2014","FQ4 2014","Currency=INR","Period=FQ","BEST_FPERIOD_OVERRIDE=FQ","FILING_STATUS=OR","EQY_CONSOLIDATED=Y","Sort=A","Dates=H","DateFormat=P","Fill=—","Direction=H","UseDPDF=Y")</f>
        <v>#NAME?</v>
      </c>
      <c r="CH607" s="2" t="e">
        <f ca="1">_xll.BDH($C$603,"LT_DEBT_TO_TOT_EQY","FQ4 2014","FQ4 2014","Currency=INR","Period=FQ","BEST_FPERIOD_OVERRIDE=FQ","FILING_STATUS=OR","EQY_CONSOLIDATED=Y","Sort=A","Dates=H","DateFormat=P","Fill=—","Direction=H","UseDPDF=Y")</f>
        <v>#NAME?</v>
      </c>
      <c r="CI607" s="2" t="e">
        <f ca="1">_xll.BDH($C$603,"LT_DEBT_TO_TOT_CAP","FQ4 2014","FQ4 2014","Currency=INR","Period=FQ","BEST_FPERIOD_OVERRIDE=FQ","FILING_STATUS=OR","EQY_CONSOLIDATED=Y","Sort=A","Dates=H","DateFormat=P","Fill=—","Direction=H","UseDPDF=Y")</f>
        <v>#NAME?</v>
      </c>
      <c r="CJ607" s="2" t="e">
        <f ca="1">_xll.BDH($C$603,"LT_DEBT_TO_TOT_ASSET","FQ4 2014","FQ4 2014","Currency=INR","Period=FQ","BEST_FPERIOD_OVERRIDE=FQ","FILING_STATUS=OR","EQY_CONSOLIDATED=Y","Sort=A","Dates=H","DateFormat=P","Fill=—","Direction=H","UseDPDF=Y")</f>
        <v>#NAME?</v>
      </c>
      <c r="CK607" s="2" t="e">
        <f ca="1">_xll.BDH($C$603,"TOT_DEBT_TO_TOT_EQY","FQ4 2014","FQ4 2014","Currency=INR","Period=FQ","BEST_FPERIOD_OVERRIDE=FQ","FILING_STATUS=OR","EQY_CONSOLIDATED=Y","Sort=A","Dates=H","DateFormat=P","Fill=—","Direction=H","UseDPDF=Y")</f>
        <v>#NAME?</v>
      </c>
      <c r="CL607" s="2" t="e">
        <f ca="1">_xll.BDH($C$603,"TOT_DEBT_TO_TOT_CAP","FQ4 2014","FQ4 2014","Currency=INR","Period=FQ","BEST_FPERIOD_OVERRIDE=FQ","FILING_STATUS=OR","EQY_CONSOLIDATED=Y","Sort=A","Dates=H","DateFormat=P","Fill=—","Direction=H","UseDPDF=Y")</f>
        <v>#NAME?</v>
      </c>
      <c r="CM607" s="2" t="e">
        <f ca="1">_xll.BDH($C$603,"TOT_DEBT_TO_TOT_ASSET","FQ4 2014","FQ4 2014","Currency=INR","Period=FQ","BEST_FPERIOD_OVERRIDE=FQ","FILING_STATUS=OR","EQY_CONSOLIDATED=Y","Sort=A","Dates=H","DateFormat=P","Fill=—","Direction=H","UseDPDF=Y")</f>
        <v>#NAME?</v>
      </c>
      <c r="CN607" s="2" t="e">
        <f ca="1">_xll.BDH($C$603,"NET_DEBT_TO_SHRHLDR_EQTY","FQ4 2014","FQ4 2014","Currency=INR","Period=FQ","BEST_FPERIOD_OVERRIDE=FQ","FILING_STATUS=OR","EQY_CONSOLIDATED=Y","Sort=A","Dates=H","DateFormat=P","Fill=—","Direction=H","UseDPDF=Y")</f>
        <v>#NAME?</v>
      </c>
      <c r="CO607" s="2" t="e">
        <f ca="1">_xll.BDH($C$603,"NET_DEBT_%_CAPITAL","FQ4 2014","FQ4 2014","Currency=INR","Period=FQ","BEST_FPERIOD_OVERRIDE=FQ","FILING_STATUS=OR","EQY_CONSOLIDATED=Y","Sort=A","Dates=H","DateFormat=P","Fill=—","Direction=H","UseDPDF=Y")</f>
        <v>#NAME?</v>
      </c>
      <c r="CP607" s="3" t="e">
        <f ca="1">_xll.BDH($C$603,"EBITDA","FQ4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607" s="3" t="e">
        <f ca="1">_xll.BDH($C$603,"EBITDA_AFTER_CAPEX","FQ4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607" s="3" t="e">
        <f ca="1">_xll.BDH($C$603,"IS_OPER_INC","FQ4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607" s="2" t="e">
        <f ca="1">_xll.BDH($C$603,"CASH_RATIO","FQ4 2014","FQ4 2014","Currency=INR","Period=FQ","BEST_FPERIOD_OVERRIDE=FQ","FILING_STATUS=OR","EQY_CONSOLIDATED=Y","Sort=A","Dates=H","DateFormat=P","Fill=—","Direction=H","UseDPDF=Y")</f>
        <v>#NAME?</v>
      </c>
      <c r="CT607" s="2" t="e">
        <f ca="1">_xll.BDH($C$603,"CUR_RATIO","FQ4 2014","FQ4 2014","Currency=INR","Period=FQ","BEST_FPERIOD_OVERRIDE=FQ","FILING_STATUS=OR","EQY_CONSOLIDATED=Y","Sort=A","Dates=H","DateFormat=P","Fill=—","Direction=H","UseDPDF=Y")</f>
        <v>#NAME?</v>
      </c>
      <c r="CU607" s="2" t="e">
        <f ca="1">_xll.BDH($C$603,"QUICK_RATIO","FQ4 2014","FQ4 2014","Currency=INR","Period=FQ","BEST_FPERIOD_OVERRIDE=FQ","FILING_STATUS=OR","EQY_CONSOLIDATED=Y","Sort=A","Dates=H","DateFormat=P","Fill=—","Direction=H","UseDPDF=Y")</f>
        <v>#NAME?</v>
      </c>
      <c r="CV607" s="2" t="e">
        <f ca="1">_xll.BDH($C$603,"ALTMAN_Z_SCORE","FQ4 2014","FQ4 2014","Currency=INR","Period=FQ","BEST_FPERIOD_OVERRIDE=FQ","FILING_STATUS=OR","EQY_CONSOLIDATED=Y","Sort=A","Dates=H","DateFormat=P","Fill=—","Direction=H","UseDPDF=Y")</f>
        <v>#NAME?</v>
      </c>
      <c r="CW607" s="4" t="e">
        <f ca="1">_xll.BDH($C$603,"ACCT_RCV_TURN","FQ4 2014","FQ4 2014","Currency=INR","Period=FQ","BEST_FPERIOD_OVERRIDE=FQ","FILING_STATUS=OR","EQY_CONSOLIDATED=Y","FA_ADJUSTED=GAAP","Sort=A","Dates=H","DateFormat=P","Fill=—","Direction=H","UseDPDF=Y")</f>
        <v>#NAME?</v>
      </c>
      <c r="CX607" s="2" t="e">
        <f ca="1">_xll.BDH($C$603,"ACCT_RCV_DAYS","FQ4 2014","FQ4 2014","Currency=INR","Period=FQ","BEST_FPERIOD_OVERRIDE=FQ","FILING_STATUS=OR","EQY_CONSOLIDATED=Y","FA_ADJUSTED=GAAP","Sort=A","Dates=H","DateFormat=P","Fill=—","Direction=H","UseDPDF=Y")</f>
        <v>#NAME?</v>
      </c>
      <c r="CY607" s="4" t="e">
        <f ca="1">_xll.BDH($C$603,"INVENT_TURN","FQ4 2014","FQ4 2014","Currency=INR","Period=FQ","BEST_FPERIOD_OVERRIDE=FQ","FILING_STATUS=OR","EQY_CONSOLIDATED=Y","FA_ADJUSTED=GAAP","Sort=A","Dates=H","DateFormat=P","Fill=—","Direction=H","UseDPDF=Y")</f>
        <v>#NAME?</v>
      </c>
      <c r="CZ607" s="2" t="e">
        <f ca="1">_xll.BDH($C$603,"INVENT_DAYS","FQ4 2014","FQ4 2014","Currency=INR","Period=FQ","BEST_FPERIOD_OVERRIDE=FQ","FILING_STATUS=OR","EQY_CONSOLIDATED=Y","FA_ADJUSTED=GAAP","Sort=A","Dates=H","DateFormat=P","Fill=—","Direction=H","UseDPDF=Y")</f>
        <v>#NAME?</v>
      </c>
      <c r="DA607" s="4" t="e">
        <f ca="1">_xll.BDH($C$603,"ACCOUNTS_PAYABLE_TURNOVER","FQ4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607" s="2" t="e">
        <f ca="1">_xll.BDH($C$603,"ACCOUNTS_PAYABLE_TURNOVER_DAYS","FQ4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607" s="4" t="e">
        <f ca="1">_xll.BDH($C$603,"CASH_CONVERSION_CYCLE","FQ4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607" s="4" t="e">
        <f ca="1">_xll.BDH($C$603,"INV_TO_CASH_DAYS","FQ4 2014","FQ4 2014","Currency=INR","Period=FQ","BEST_FPERIOD_OVERRIDE=FQ","FILING_STATUS=OR","EQY_CONSOLIDATED=Y","FA_ADJUSTED=GAAP","Sort=A","Dates=H","DateFormat=P","Fill=—","Direction=H","UseDPDF=Y")</f>
        <v>#NAME?</v>
      </c>
      <c r="DE607" s="5" t="e">
        <f ca="1">_xll.BDH($C$603,"BS_INVENTORIES","FQ4 2014","FQ4 2014","Currency=INR","Period=FQ","BEST_FPERIOD_OVERRIDE=FQ","FILING_STATUS=OR","EQY_CONSOLIDATED=Y","SCALING_FORMAT=MLN","Sort=A","Dates=H","DateFormat=P","Fill=—","Direction=H","UseDPDF=Y")</f>
        <v>#NAME?</v>
      </c>
      <c r="DF607" s="3" t="e">
        <f ca="1">_xll.BDH($C$603,"INVTRY_RAW_MATERIALS","FQ4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607" s="3" t="e">
        <f ca="1">_xll.BDH($C$603,"INVTRY_IN_PROGRESS","FQ4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607" s="3" t="e">
        <f ca="1">_xll.BDH($C$603,"INVTRY_FINISHED_GOODS","FQ4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607" s="3" t="e">
        <f ca="1">_xll.BDH($C$603,"BS_OTHER_INV","FQ4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608" spans="1:113" x14ac:dyDescent="0.3">
      <c r="A608" s="6"/>
      <c r="B608" s="6"/>
      <c r="C608" s="6"/>
      <c r="D608" s="6" t="s">
        <v>82</v>
      </c>
      <c r="E608" t="s">
        <v>77</v>
      </c>
      <c r="F608" t="e">
        <f ca="1">_xll.BDH($C$603,"RETURN_COM_EQY","FY 2015","FY 2015","Currency=INR","Period=FY","BEST_FPERIOD_OVERRIDE=FY","FILING_STATUS=OR","EQY_CONSOLIDATED=Y","FA_ADJUSTED=GAAP","Sort=A","Dates=H","DateFormat=P","Fill=—","Direction=H","UseDPDF=Y")</f>
        <v>#NAME?</v>
      </c>
      <c r="G608" t="e">
        <f ca="1">_xll.BDH($C$603,"RETURN_ON_ASSET","FY 2015","FY 2015","Currency=INR","Period=FY","BEST_FPERIOD_OVERRIDE=FY","FILING_STATUS=OR","EQY_CONSOLIDATED=Y","FA_ADJUSTED=GAAP","Sort=A","Dates=H","DateFormat=P","Fill=—","Direction=H","UseDPDF=Y")</f>
        <v>#NAME?</v>
      </c>
      <c r="H608" t="e">
        <f ca="1">_xll.BDH($C$603,"RETURN_ON_CAP","FY 2015","FY 2015","Currency=INR","Period=FY","BEST_FPERIOD_OVERRIDE=FY","FILING_STATUS=OR","EQY_CONSOLIDATED=Y","FA_ADJUSTED=GAAP","Sort=A","Dates=H","DateFormat=P","Fill=—","Direction=H","UseDPDF=Y")</f>
        <v>#NAME?</v>
      </c>
      <c r="I608" t="e">
        <f ca="1">_xll.BDH($C$603,"RETURN_ON_INV_CAPITAL","FY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608" t="e">
        <f ca="1">_xll.BDH($C$603,"EBITDA_TO_REVENUE","FY 2015","FY 2015","Currency=INR","Period=FY","BEST_FPERIOD_OVERRIDE=FY","FILING_STATUS=OR","EQY_CONSOLIDATED=Y","FA_ADJUSTED=GAAP","Sort=A","Dates=H","DateFormat=P","Fill=—","Direction=H","UseDPDF=Y")</f>
        <v>#NAME?</v>
      </c>
      <c r="K608" t="e">
        <f ca="1">_xll.BDH($C$603,"OPER_MARGIN","FY 2015","FY 2015","Currency=INR","Period=FY","BEST_FPERIOD_OVERRIDE=FY","FILING_STATUS=OR","EQY_CONSOLIDATED=Y","FA_ADJUSTED=GAAP","Sort=A","Dates=H","DateFormat=P","Fill=—","Direction=H","UseDPDF=Y")</f>
        <v>#NAME?</v>
      </c>
      <c r="L608" t="e">
        <f ca="1">_xll.BDH($C$603,"INCREMENTAL_OPERATING_MARGIN","FY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608" t="e">
        <f ca="1">_xll.BDH($C$603,"PRETAX_INC_TO_NET_SALES","FY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608" t="e">
        <f ca="1">_xll.BDH($C$603,"INC_BEF_XO_ITEMS_TO_NET_SALES","FY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608" t="e">
        <f ca="1">_xll.BDH($C$603,"PROF_MARGIN","FY 2015","FY 2015","Currency=INR","Period=FY","BEST_FPERIOD_OVERRIDE=FY","FILING_STATUS=OR","EQY_CONSOLIDATED=Y","FA_ADJUSTED=GAAP","Sort=A","Dates=H","DateFormat=P","Fill=—","Direction=H","UseDPDF=Y")</f>
        <v>#NAME?</v>
      </c>
      <c r="P608" t="e">
        <f ca="1">_xll.BDH($C$603,"NET_INCOME_TO_COMMON_MARGIN","FY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608" t="e">
        <f ca="1">_xll.BDH($C$603,"EFF_TAX_RATE","FY 2015","FY 2015","Currency=INR","Period=FY","BEST_FPERIOD_OVERRIDE=FY","FILING_STATUS=OR","EQY_CONSOLIDATED=Y","FA_ADJUSTED=GAAP","Sort=A","Dates=H","DateFormat=P","Fill=—","Direction=H","UseDPDF=Y")</f>
        <v>#NAME?</v>
      </c>
      <c r="R608" t="e">
        <f ca="1">_xll.BDH($C$603,"DVD_PAYOUT_RATIO","FY 2015","FY 2015","Currency=INR","Period=FY","BEST_FPERIOD_OVERRIDE=FY","FILING_STATUS=OR","EQY_CONSOLIDATED=Y","FA_ADJUSTED=GAAP","Sort=A","Dates=H","DateFormat=P","Fill=—","Direction=H","UseDPDF=Y")</f>
        <v>#NAME?</v>
      </c>
      <c r="S608" t="e">
        <f ca="1">_xll.BDH($C$603,"SUSTAIN_GROWTH_RT","FY 2015","FY 2015","Currency=INR","Period=FY","BEST_FPERIOD_OVERRIDE=FY","FILING_STATUS=OR","EQY_CONSOLIDATED=Y","FA_ADJUSTED=GAAP","Sort=A","Dates=H","DateFormat=P","Fill=—","Direction=H","UseDPDF=Y")</f>
        <v>#NAME?</v>
      </c>
      <c r="T608" s="2" t="e">
        <f ca="1">_xll.BDH($C$603,"SALES_GROWTH","FY 2015","FY 2015","Currency=INR","Period=FY","BEST_FPERIOD_OVERRIDE=FY","FILING_STATUS=OR","EQY_CONSOLIDATED=Y","FA_ADJUSTED=GAAP","Sort=A","Dates=H","DateFormat=P","Fill=—","Direction=H","UseDPDF=Y")</f>
        <v>#NAME?</v>
      </c>
      <c r="U608" s="2" t="e">
        <f ca="1">_xll.BDH($C$603,"EBITDA_GROWTH","FY 2015","FY 2015","Currency=INR","Period=FY","BEST_FPERIOD_OVERRIDE=FY","FILING_STATUS=OR","EQY_CONSOLIDATED=Y","FA_ADJUSTED=GAAP","Sort=A","Dates=H","DateFormat=P","Fill=—","Direction=H","UseDPDF=Y")</f>
        <v>#NAME?</v>
      </c>
      <c r="V608" s="2" t="e">
        <f ca="1">_xll.BDH($C$603,"OPER_INC_GROWTH","FY 2015","FY 2015","Currency=INR","Period=FY","BEST_FPERIOD_OVERRIDE=FY","FILING_STATUS=OR","EQY_CONSOLIDATED=Y","FA_ADJUSTED=GAAP","Sort=A","Dates=H","DateFormat=P","Fill=—","Direction=H","UseDPDF=Y")</f>
        <v>#NAME?</v>
      </c>
      <c r="W608" s="2" t="e">
        <f ca="1">_xll.BDH($C$603,"EARN_FOR_COM_GROWTH","FY 2015","FY 2015","Currency=INR","Period=FY","BEST_FPERIOD_OVERRIDE=FY","FILING_STATUS=OR","EQY_CONSOLIDATED=Y","FA_ADJUSTED=GAAP","Sort=A","Dates=H","DateFormat=P","Fill=—","Direction=H","UseDPDF=Y")</f>
        <v>#NAME?</v>
      </c>
      <c r="X608" s="2" t="e">
        <f ca="1">_xll.BDH($C$603,"DILUTED_EPS_AFT_XO_ITEMS_GROWTH","FY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608" s="2" t="e">
        <f ca="1">_xll.BDH($C$603,"DIVIDEND_PER_SHARE_1_YEAR_GROWTH","FY 2015","FY 2015","Currency=INR","Period=FY","BEST_FPERIOD_OVERRIDE=FY","FILING_STATUS=OR","EQY_CONSOLIDATED=Y","Sort=A","Dates=H","DateFormat=P","Fill=—","Direction=H","UseDPDF=Y")</f>
        <v>#NAME?</v>
      </c>
      <c r="Z608" s="2" t="e">
        <f ca="1">_xll.BDH($C$603,"ACCOUNTS_RECEIVABLE_GROWTH","FY 2015","FY 2015","Currency=INR","Period=FY","BEST_FPERIOD_OVERRIDE=FY","FILING_STATUS=OR","EQY_CONSOLIDATED=Y","Sort=A","Dates=H","DateFormat=P","Fill=—","Direction=H","UseDPDF=Y")</f>
        <v>#NAME?</v>
      </c>
      <c r="AA608" s="2" t="e">
        <f ca="1">_xll.BDH($C$603,"INVENTORY_GROWTH","FY 2015","FY 2015","Currency=INR","Period=FY","BEST_FPERIOD_OVERRIDE=FY","FILING_STATUS=OR","EQY_CONSOLIDATED=Y","Sort=A","Dates=H","DateFormat=P","Fill=—","Direction=H","UseDPDF=Y")</f>
        <v>#NAME?</v>
      </c>
      <c r="AB608" s="2" t="e">
        <f ca="1">_xll.BDH($C$603,"NET_FIXED_ASSETS_1_YEAR_GROWTH","FY 2015","FY 2015","Currency=INR","Period=FY","BEST_FPERIOD_OVERRIDE=FY","FILING_STATUS=OR","EQY_CONSOLIDATED=Y","Sort=A","Dates=H","DateFormat=P","Fill=—","Direction=H","UseDPDF=Y")</f>
        <v>#NAME?</v>
      </c>
      <c r="AC608" s="2" t="e">
        <f ca="1">_xll.BDH($C$603,"ASSET_GROWTH","FY 2015","FY 2015","Currency=INR","Period=FY","BEST_FPERIOD_OVERRIDE=FY","FILING_STATUS=OR","EQY_CONSOLIDATED=Y","Sort=A","Dates=H","DateFormat=P","Fill=—","Direction=H","UseDPDF=Y")</f>
        <v>#NAME?</v>
      </c>
      <c r="AD608" s="2" t="e">
        <f ca="1">_xll.BDH($C$603,"MODIFIED_WORK_CAP_GROWTH","FY 2015","FY 2015","Currency=INR","Period=FY","BEST_FPERIOD_OVERRIDE=FY","FILING_STATUS=OR","EQY_CONSOLIDATED=Y","Sort=A","Dates=H","DateFormat=P","Fill=—","Direction=H","UseDPDF=Y")</f>
        <v>#NAME?</v>
      </c>
      <c r="AE608" s="2" t="e">
        <f ca="1">_xll.BDH($C$603,"WORK_CAP_GROWTH","FY 2015","FY 2015","Currency=INR","Period=FY","BEST_FPERIOD_OVERRIDE=FY","FILING_STATUS=OR","EQY_CONSOLIDATED=Y","Sort=A","Dates=H","DateFormat=P","Fill=—","Direction=H","UseDPDF=Y")</f>
        <v>#NAME?</v>
      </c>
      <c r="AF608" s="2" t="e">
        <f ca="1">_xll.BDH($C$603,"ACCOUNTS_PAYABLE_GROWTH_1YR","FY 2015","FY 2015","Currency=INR","Period=FY","BEST_FPERIOD_OVERRIDE=FY","FILING_STATUS=OR","EQY_CONSOLIDATED=Y","Sort=A","Dates=H","DateFormat=P","Fill=—","Direction=H","UseDPDF=Y")</f>
        <v>#NAME?</v>
      </c>
      <c r="AG608" s="2" t="e">
        <f ca="1">_xll.BDH($C$603,"SHORT_TERM_DEBT_1_YEAR_GROWTH","FY 2015","FY 2015","Currency=INR","Period=FY","BEST_FPERIOD_OVERRIDE=FY","FILING_STATUS=OR","EQY_CONSOLIDATED=Y","Sort=A","Dates=H","DateFormat=P","Fill=—","Direction=H","UseDPDF=Y")</f>
        <v>#NAME?</v>
      </c>
      <c r="AH608" s="2" t="e">
        <f ca="1">_xll.BDH($C$603,"TOTAL_DEBT_1_YEAR_GROWTH","FY 2015","FY 2015","Currency=INR","Period=FY","BEST_FPERIOD_OVERRIDE=FY","FILING_STATUS=OR","EQY_CONSOLIDATED=Y","Sort=A","Dates=H","DateFormat=P","Fill=—","Direction=H","UseDPDF=Y")</f>
        <v>#NAME?</v>
      </c>
      <c r="AI608" s="2" t="e">
        <f ca="1">_xll.BDH($C$603,"TOTAL_EQUITY_1_YEAR_GROWTH","FY 2015","FY 2015","Currency=INR","Period=FY","BEST_FPERIOD_OVERRIDE=FY","FILING_STATUS=OR","EQY_CONSOLIDATED=Y","Sort=A","Dates=H","DateFormat=P","Fill=—","Direction=H","UseDPDF=Y")</f>
        <v>#NAME?</v>
      </c>
      <c r="AJ608" s="2" t="e">
        <f ca="1">_xll.BDH($C$603,"GROWTH_IN_CAP","FY 2015","FY 2015","Currency=INR","Period=FY","BEST_FPERIOD_OVERRIDE=FY","FILING_STATUS=OR","EQY_CONSOLIDATED=Y","Sort=A","Dates=H","DateFormat=P","Fill=—","Direction=H","UseDPDF=Y")</f>
        <v>#NAME?</v>
      </c>
      <c r="AK608" s="2" t="e">
        <f ca="1">_xll.BDH($C$603,"BVPS_GROWTH","FY 2015","FY 2015","Currency=INR","Period=FY","BEST_FPERIOD_OVERRIDE=FY","FILING_STATUS=OR","EQY_CONSOLIDATED=Y","Sort=A","Dates=H","DateFormat=P","Fill=—","Direction=H","UseDPDF=Y")</f>
        <v>#NAME?</v>
      </c>
      <c r="AL608" s="2" t="e">
        <f ca="1">_xll.BDH($C$603,"CASH_FLOW_GROWTH","FY 2015","FY 2015","Currency=INR","Period=FY","BEST_FPERIOD_OVERRIDE=FY","FILING_STATUS=OR","EQY_CONSOLIDATED=Y","Sort=A","Dates=H","DateFormat=P","Fill=—","Direction=H","UseDPDF=Y")</f>
        <v>#NAME?</v>
      </c>
      <c r="AM608" s="2" t="e">
        <f ca="1">_xll.BDH($C$603,"GEO_GROW_NET_SALES","FY 2015","FY 2015","Currency=INR","Period=FY","BEST_FPERIOD_OVERRIDE=FY","FILING_STATUS=OR","EQY_CONSOLIDATED=Y","FA_ADJUSTED=GAAP","Sort=A","Dates=H","DateFormat=P","Fill=—","Direction=H","UseDPDF=Y")</f>
        <v>#NAME?</v>
      </c>
      <c r="AN608" s="2" t="e">
        <f ca="1">_xll.BDH($C$603,"GEO_GROW_EBITDA","FY 2015","FY 2015","Currency=INR","Period=FY","BEST_FPERIOD_OVERRIDE=FY","FILING_STATUS=OR","EQY_CONSOLIDATED=Y","FA_ADJUSTED=GAAP","Sort=A","Dates=H","DateFormat=P","Fill=—","Direction=H","UseDPDF=Y")</f>
        <v>#NAME?</v>
      </c>
      <c r="AO608" s="2" t="e">
        <f ca="1">_xll.BDH($C$603,"GEO_GROW_OPER_INC","FY 2015","FY 2015","Currency=INR","Period=FY","BEST_FPERIOD_OVERRIDE=FY","FILING_STATUS=OR","EQY_CONSOLIDATED=Y","FA_ADJUSTED=GAAP","Sort=A","Dates=H","DateFormat=P","Fill=—","Direction=H","UseDPDF=Y")</f>
        <v>#NAME?</v>
      </c>
      <c r="AP608" s="2" t="e">
        <f ca="1">_xll.BDH($C$603,"NET_INCOME_TO_COMMON_5_YR_GROWTH","FY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608" s="2" t="e">
        <f ca="1">_xll.BDH($C$603,"5Y_GEO_GROWTH_DILUTED_EPS","FY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608" s="2" t="e">
        <f ca="1">_xll.BDH($C$603,"GEO_GROW_DVD_PER_SH","FY 2015","FY 2015","Currency=INR","Period=FY","BEST_FPERIOD_OVERRIDE=FY","FILING_STATUS=OR","EQY_CONSOLIDATED=Y","Sort=A","Dates=H","DateFormat=P","Fill=—","Direction=H","UseDPDF=Y")</f>
        <v>#NAME?</v>
      </c>
      <c r="AS608" s="2" t="e">
        <f ca="1">_xll.BDH($C$603,"ACCOUNTS_RECEIVABLE_5_YR_GROWTH","FY 2015","FY 2015","Currency=INR","Period=FY","BEST_FPERIOD_OVERRIDE=FY","FILING_STATUS=OR","EQY_CONSOLIDATED=Y","Sort=A","Dates=H","DateFormat=P","Fill=—","Direction=H","UseDPDF=Y")</f>
        <v>#NAME?</v>
      </c>
      <c r="AT608" s="2" t="e">
        <f ca="1">_xll.BDH($C$603,"INVENTORY_5_YEAR_GROWTH","FY 2015","FY 2015","Currency=INR","Period=FY","BEST_FPERIOD_OVERRIDE=FY","FILING_STATUS=OR","EQY_CONSOLIDATED=Y","Sort=A","Dates=H","DateFormat=P","Fill=—","Direction=H","UseDPDF=Y")</f>
        <v>#NAME?</v>
      </c>
      <c r="AU608" s="2" t="e">
        <f ca="1">_xll.BDH($C$603,"NET_FIXED_ASSETS_5_YEAR_GROWTH","FY 2015","FY 2015","Currency=INR","Period=FY","BEST_FPERIOD_OVERRIDE=FY","FILING_STATUS=OR","EQY_CONSOLIDATED=Y","Sort=A","Dates=H","DateFormat=P","Fill=—","Direction=H","UseDPDF=Y")</f>
        <v>#NAME?</v>
      </c>
      <c r="AV608" s="2" t="e">
        <f ca="1">_xll.BDH($C$603,"GEO_GROW_TOT_ASSET","FY 2015","FY 2015","Currency=INR","Period=FY","BEST_FPERIOD_OVERRIDE=FY","FILING_STATUS=OR","EQY_CONSOLIDATED=Y","Sort=A","Dates=H","DateFormat=P","Fill=—","Direction=H","UseDPDF=Y")</f>
        <v>#NAME?</v>
      </c>
      <c r="AW608" s="2" t="e">
        <f ca="1">_xll.BDH($C$603,"MODIFIED_WORKING_CPTL_5YR_GRWTH","FY 2015","FY 2015","Currency=INR","Period=FY","BEST_FPERIOD_OVERRIDE=FY","FILING_STATUS=OR","EQY_CONSOLIDATED=Y","Sort=A","Dates=H","DateFormat=P","Fill=—","Direction=H","UseDPDF=Y")</f>
        <v>#NAME?</v>
      </c>
      <c r="AX608" s="2" t="e">
        <f ca="1">_xll.BDH($C$603,"WORKING_CAPITAL_5_YEAR_GROWTH","FY 2015","FY 2015","Currency=INR","Period=FY","BEST_FPERIOD_OVERRIDE=FY","FILING_STATUS=OR","EQY_CONSOLIDATED=Y","Sort=A","Dates=H","DateFormat=P","Fill=—","Direction=H","UseDPDF=Y")</f>
        <v>#NAME?</v>
      </c>
      <c r="AY608" s="2" t="e">
        <f ca="1">_xll.BDH($C$603,"ACCOUNTS_PAYABLE_5_YEAR_GROWTH","FY 2015","FY 2015","Currency=INR","Period=FY","BEST_FPERIOD_OVERRIDE=FY","FILING_STATUS=OR","EQY_CONSOLIDATED=Y","Sort=A","Dates=H","DateFormat=P","Fill=—","Direction=H","UseDPDF=Y")</f>
        <v>#NAME?</v>
      </c>
      <c r="AZ608" s="2" t="e">
        <f ca="1">_xll.BDH($C$603,"SHORT_TERM_DEBT_5_YEAR_GROWTH","FY 2015","FY 2015","Currency=INR","Period=FY","BEST_FPERIOD_OVERRIDE=FY","FILING_STATUS=OR","EQY_CONSOLIDATED=Y","Sort=A","Dates=H","DateFormat=P","Fill=—","Direction=H","UseDPDF=Y")</f>
        <v>#NAME?</v>
      </c>
      <c r="BA608" s="2" t="e">
        <f ca="1">_xll.BDH($C$603,"TOTAL_DEBT_5_YEAR_GROWTH","FY 2015","FY 2015","Currency=INR","Period=FY","BEST_FPERIOD_OVERRIDE=FY","FILING_STATUS=OR","EQY_CONSOLIDATED=Y","Sort=A","Dates=H","DateFormat=P","Fill=—","Direction=H","UseDPDF=Y")</f>
        <v>#NAME?</v>
      </c>
      <c r="BB608" s="2" t="e">
        <f ca="1">_xll.BDH($C$603,"GEO_GROW_TOT_SHRHLDR_EQY","FY 2015","FY 2015","Currency=INR","Period=FY","BEST_FPERIOD_OVERRIDE=FY","FILING_STATUS=OR","EQY_CONSOLIDATED=Y","Sort=A","Dates=H","DateFormat=P","Fill=—","Direction=H","UseDPDF=Y")</f>
        <v>#NAME?</v>
      </c>
      <c r="BC608" s="2" t="e">
        <f ca="1">_xll.BDH($C$603,"TOTAL_CAPITAL_5_YEAR_GROWTH","FY 2015","FY 2015","Currency=INR","Period=FY","BEST_FPERIOD_OVERRIDE=FY","FILING_STATUS=OR","EQY_CONSOLIDATED=Y","Sort=A","Dates=H","DateFormat=P","Fill=—","Direction=H","UseDPDF=Y")</f>
        <v>#NAME?</v>
      </c>
      <c r="BD608" s="2" t="e">
        <f ca="1">_xll.BDH($C$603,"GEO_GROW_BOOK_VAL","FY 2015","FY 2015","Currency=INR","Period=FY","BEST_FPERIOD_OVERRIDE=FY","FILING_STATUS=OR","EQY_CONSOLIDATED=Y","Sort=A","Dates=H","DateFormat=P","Fill=—","Direction=H","UseDPDF=Y")</f>
        <v>#NAME?</v>
      </c>
      <c r="BE608" s="2" t="e">
        <f ca="1">_xll.BDH($C$603,"GEO_GROW_CASH_OPER_ACT","FY 2015","FY 2015","Currency=INR","Period=FY","BEST_FPERIOD_OVERRIDE=FY","FILING_STATUS=OR","EQY_CONSOLIDATED=Y","Sort=A","Dates=H","DateFormat=P","Fill=—","Direction=H","UseDPDF=Y")</f>
        <v>#NAME?</v>
      </c>
      <c r="BF608" s="2" t="e">
        <f ca="1">_xll.BDH($C$603,"REVENUE_SEQUENTIAL_GROWTH","FY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608" s="2" t="e">
        <f ca="1">_xll.BDH($C$603,"EBITDA_SEQUENTIAL_GROWTH","FY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608" s="2" t="e">
        <f ca="1">_xll.BDH($C$603,"OPERATING_INCOME_SEQ_GROWTH","FY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608" s="2" t="e">
        <f ca="1">_xll.BDH($C$603,"NET_INCOME_TO_COMMON_SEQ_GROWTH","FY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608" s="2" t="e">
        <f ca="1">_xll.BDH($C$603,"EPS_DILUTED_SEQUENTIAL_GROWTH","FY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608" s="2" t="e">
        <f ca="1">_xll.BDH($C$603,"DPS_SEQUENTIAL_GROWTH","FY 2015","FY 2015","Currency=INR","Period=FY","BEST_FPERIOD_OVERRIDE=FY","FILING_STATUS=OR","EQY_CONSOLIDATED=Y","Sort=A","Dates=H","DateFormat=P","Fill=—","Direction=H","UseDPDF=Y")</f>
        <v>#NAME?</v>
      </c>
      <c r="BL608" s="2" t="e">
        <f ca="1">_xll.BDH($C$603,"ACCOUNTS_RECEIVABLE_SEQ_GROWTH","FY 2015","FY 2015","Currency=INR","Period=FY","BEST_FPERIOD_OVERRIDE=FY","FILING_STATUS=OR","EQY_CONSOLIDATED=Y","Sort=A","Dates=H","DateFormat=P","Fill=—","Direction=H","UseDPDF=Y")</f>
        <v>#NAME?</v>
      </c>
      <c r="BM608" s="2" t="e">
        <f ca="1">_xll.BDH($C$603,"INVENTORY_SEQUENTIAL_GROWTH","FY 2015","FY 2015","Currency=INR","Period=FY","BEST_FPERIOD_OVERRIDE=FY","FILING_STATUS=OR","EQY_CONSOLIDATED=Y","Sort=A","Dates=H","DateFormat=P","Fill=—","Direction=H","UseDPDF=Y")</f>
        <v>#NAME?</v>
      </c>
      <c r="BN608" s="2" t="e">
        <f ca="1">_xll.BDH($C$603,"FIXED_ASSETS_SEQUENTIAL_GROWTH","FY 2015","FY 2015","Currency=INR","Period=FY","BEST_FPERIOD_OVERRIDE=FY","FILING_STATUS=OR","EQY_CONSOLIDATED=Y","Sort=A","Dates=H","DateFormat=P","Fill=—","Direction=H","UseDPDF=Y")</f>
        <v>#NAME?</v>
      </c>
      <c r="BO608" s="2" t="e">
        <f ca="1">_xll.BDH($C$603,"TOTAL_ASSETS_SEQUENTIAL_GROWTH","FY 2015","FY 2015","Currency=INR","Period=FY","BEST_FPERIOD_OVERRIDE=FY","FILING_STATUS=OR","EQY_CONSOLIDATED=Y","Sort=A","Dates=H","DateFormat=P","Fill=—","Direction=H","UseDPDF=Y")</f>
        <v>#NAME?</v>
      </c>
      <c r="BP608" s="2" t="e">
        <f ca="1">_xll.BDH($C$603,"MODIFIED_WORKING_CPTL_SEQ_GRWTH","FY 2015","FY 2015","Currency=INR","Period=FY","BEST_FPERIOD_OVERRIDE=FY","FILING_STATUS=OR","EQY_CONSOLIDATED=Y","Sort=A","Dates=H","DateFormat=P","Fill=—","Direction=H","UseDPDF=Y")</f>
        <v>#NAME?</v>
      </c>
      <c r="BQ608" s="2" t="e">
        <f ca="1">_xll.BDH($C$603,"WORKING_CAPITAL_SEQ_GROWTH","FY 2015","FY 2015","Currency=INR","Period=FY","BEST_FPERIOD_OVERRIDE=FY","FILING_STATUS=OR","EQY_CONSOLIDATED=Y","Sort=A","Dates=H","DateFormat=P","Fill=—","Direction=H","UseDPDF=Y")</f>
        <v>#NAME?</v>
      </c>
      <c r="BR608" s="2" t="e">
        <f ca="1">_xll.BDH($C$603,"ACCOUNTS_PAYABLE_SEQ_GROWTH","FY 2015","FY 2015","Currency=INR","Period=FY","BEST_FPERIOD_OVERRIDE=FY","FILING_STATUS=OR","EQY_CONSOLIDATED=Y","Sort=A","Dates=H","DateFormat=P","Fill=—","Direction=H","UseDPDF=Y")</f>
        <v>#NAME?</v>
      </c>
      <c r="BS608" s="2" t="e">
        <f ca="1">_xll.BDH($C$603,"ST_DEBT_SEQUENTIAL_GROWTH","FY 2015","FY 2015","Currency=INR","Period=FY","BEST_FPERIOD_OVERRIDE=FY","FILING_STATUS=OR","EQY_CONSOLIDATED=Y","Sort=A","Dates=H","DateFormat=P","Fill=—","Direction=H","UseDPDF=Y")</f>
        <v>#NAME?</v>
      </c>
      <c r="BT608" s="2" t="e">
        <f ca="1">_xll.BDH($C$603,"TOTAL_DEBT_SEQUENTIAL_GROWTH","FY 2015","FY 2015","Currency=INR","Period=FY","BEST_FPERIOD_OVERRIDE=FY","FILING_STATUS=OR","EQY_CONSOLIDATED=Y","Sort=A","Dates=H","DateFormat=P","Fill=—","Direction=H","UseDPDF=Y")</f>
        <v>#NAME?</v>
      </c>
      <c r="BU608" s="2" t="e">
        <f ca="1">_xll.BDH($C$603,"TOTAL_EQUITY_SEQUENTIAL_GROWTH","FY 2015","FY 2015","Currency=INR","Period=FY","BEST_FPERIOD_OVERRIDE=FY","FILING_STATUS=OR","EQY_CONSOLIDATED=Y","Sort=A","Dates=H","DateFormat=P","Fill=—","Direction=H","UseDPDF=Y")</f>
        <v>#NAME?</v>
      </c>
      <c r="BV608" s="2" t="e">
        <f ca="1">_xll.BDH($C$603,"TOTAL_CAPITAL_SEQUENTIAL_GROWTH","FY 2015","FY 2015","Currency=INR","Period=FY","BEST_FPERIOD_OVERRIDE=FY","FILING_STATUS=OR","EQY_CONSOLIDATED=Y","Sort=A","Dates=H","DateFormat=P","Fill=—","Direction=H","UseDPDF=Y")</f>
        <v>#NAME?</v>
      </c>
      <c r="BW608" s="2" t="e">
        <f ca="1">_xll.BDH($C$603,"BPS_SEQUENTIAL_GROWTH","FY 2015","FY 2015","Currency=INR","Period=FY","BEST_FPERIOD_OVERRIDE=FY","FILING_STATUS=OR","EQY_CONSOLIDATED=Y","Sort=A","Dates=H","DateFormat=P","Fill=—","Direction=H","UseDPDF=Y")</f>
        <v>#NAME?</v>
      </c>
      <c r="BX608" s="2" t="e">
        <f ca="1">_xll.BDH($C$603,"CFO_SEQUENTIAL_GROWTH","FY 2015","FY 2015","Currency=INR","Period=FY","BEST_FPERIOD_OVERRIDE=FY","FILING_STATUS=OR","EQY_CONSOLIDATED=Y","Sort=A","Dates=H","DateFormat=P","Fill=—","Direction=H","UseDPDF=Y")</f>
        <v>#NAME?</v>
      </c>
      <c r="BY608" s="3" t="e">
        <f ca="1">_xll.BDH($C$603,"SHORT_AND_LONG_TERM_DEBT","FY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608" s="3" t="e">
        <f ca="1">_xll.BDH($C$603,"BS_ST_BORROW","FY 2015","FY 2015","Currency=INR","Period=FY","BEST_FPERIOD_OVERRIDE=FY","FILING_STATUS=OR","EQY_CONSOLIDATED=Y","SCALING_FORMAT=MLN","Sort=A","Dates=H","DateFormat=P","Fill=—","Direction=H","UseDPDF=Y")</f>
        <v>#NAME?</v>
      </c>
      <c r="CA608" s="3" t="e">
        <f ca="1">_xll.BDH($C$603,"BS_LT_BORROW","FY 2015","FY 2015","Currency=INR","Period=FY","BEST_FPERIOD_OVERRIDE=FY","FILING_STATUS=OR","EQY_CONSOLIDATED=Y","SCALING_FORMAT=MLN","Sort=A","Dates=H","DateFormat=P","Fill=—","Direction=H","UseDPDF=Y")</f>
        <v>#NAME?</v>
      </c>
      <c r="CB608" s="2" t="e">
        <f ca="1">_xll.BDH($C$603,"TOT_DEBT_TO_EBITDA","FY 2015","FY 2015","Currency=INR","Period=FY","BEST_FPERIOD_OVERRIDE=FY","FILING_STATUS=OR","EQY_CONSOLIDATED=Y","FA_ADJUSTED=GAAP","Sort=A","Dates=H","DateFormat=P","Fill=—","Direction=H","UseDPDF=Y")</f>
        <v>#NAME?</v>
      </c>
      <c r="CC608" s="2" t="e">
        <f ca="1">_xll.BDH($C$603,"NET_DEBT_TO_EBITDA","FY 2015","FY 2015","Currency=INR","Period=FY","BEST_FPERIOD_OVERRIDE=FY","FILING_STATUS=OR","EQY_CONSOLIDATED=Y","FA_ADJUSTED=GAAP","Sort=A","Dates=H","DateFormat=P","Fill=—","Direction=H","UseDPDF=Y")</f>
        <v>#NAME?</v>
      </c>
      <c r="CD608" s="2" t="e">
        <f ca="1">_xll.BDH($C$603,"TOTAL_DEBT_TO_EBIT","FY 2015","FY 2015","Currency=INR","Period=FY","BEST_FPERIOD_OVERRIDE=FY","FILING_STATUS=OR","EQY_CONSOLIDATED=Y","FA_ADJUSTED=GAAP","Sort=A","Dates=H","DateFormat=P","Fill=—","Direction=H","UseDPDF=Y")</f>
        <v>#NAME?</v>
      </c>
      <c r="CE608" s="2" t="e">
        <f ca="1">_xll.BDH($C$603,"NET_DEBT_TO_EBIT","FY 2015","FY 2015","Currency=INR","Period=FY","BEST_FPERIOD_OVERRIDE=FY","FILING_STATUS=OR","EQY_CONSOLIDATED=Y","FA_ADJUSTED=GAAP","Sort=A","Dates=H","DateFormat=P","Fill=—","Direction=H","UseDPDF=Y")</f>
        <v>#NAME?</v>
      </c>
      <c r="CF608" s="2" t="e">
        <f ca="1">_xll.BDH($C$603,"EBITDA_TO_INTEREST_EXPN","FY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608" s="2" t="e">
        <f ca="1">_xll.BDH($C$603,"COM_EQY_TO_TOT_ASSET","FY 2015","FY 2015","Currency=INR","Period=FY","BEST_FPERIOD_OVERRIDE=FY","FILING_STATUS=OR","EQY_CONSOLIDATED=Y","Sort=A","Dates=H","DateFormat=P","Fill=—","Direction=H","UseDPDF=Y")</f>
        <v>#NAME?</v>
      </c>
      <c r="CH608" s="2" t="e">
        <f ca="1">_xll.BDH($C$603,"LT_DEBT_TO_TOT_EQY","FY 2015","FY 2015","Currency=INR","Period=FY","BEST_FPERIOD_OVERRIDE=FY","FILING_STATUS=OR","EQY_CONSOLIDATED=Y","Sort=A","Dates=H","DateFormat=P","Fill=—","Direction=H","UseDPDF=Y")</f>
        <v>#NAME?</v>
      </c>
      <c r="CI608" s="2" t="e">
        <f ca="1">_xll.BDH($C$603,"LT_DEBT_TO_TOT_CAP","FY 2015","FY 2015","Currency=INR","Period=FY","BEST_FPERIOD_OVERRIDE=FY","FILING_STATUS=OR","EQY_CONSOLIDATED=Y","Sort=A","Dates=H","DateFormat=P","Fill=—","Direction=H","UseDPDF=Y")</f>
        <v>#NAME?</v>
      </c>
      <c r="CJ608" s="2" t="e">
        <f ca="1">_xll.BDH($C$603,"LT_DEBT_TO_TOT_ASSET","FY 2015","FY 2015","Currency=INR","Period=FY","BEST_FPERIOD_OVERRIDE=FY","FILING_STATUS=OR","EQY_CONSOLIDATED=Y","Sort=A","Dates=H","DateFormat=P","Fill=—","Direction=H","UseDPDF=Y")</f>
        <v>#NAME?</v>
      </c>
      <c r="CK608" s="2" t="e">
        <f ca="1">_xll.BDH($C$603,"TOT_DEBT_TO_TOT_EQY","FY 2015","FY 2015","Currency=INR","Period=FY","BEST_FPERIOD_OVERRIDE=FY","FILING_STATUS=OR","EQY_CONSOLIDATED=Y","Sort=A","Dates=H","DateFormat=P","Fill=—","Direction=H","UseDPDF=Y")</f>
        <v>#NAME?</v>
      </c>
      <c r="CL608" s="2" t="e">
        <f ca="1">_xll.BDH($C$603,"TOT_DEBT_TO_TOT_CAP","FY 2015","FY 2015","Currency=INR","Period=FY","BEST_FPERIOD_OVERRIDE=FY","FILING_STATUS=OR","EQY_CONSOLIDATED=Y","Sort=A","Dates=H","DateFormat=P","Fill=—","Direction=H","UseDPDF=Y")</f>
        <v>#NAME?</v>
      </c>
      <c r="CM608" s="2" t="e">
        <f ca="1">_xll.BDH($C$603,"TOT_DEBT_TO_TOT_ASSET","FY 2015","FY 2015","Currency=INR","Period=FY","BEST_FPERIOD_OVERRIDE=FY","FILING_STATUS=OR","EQY_CONSOLIDATED=Y","Sort=A","Dates=H","DateFormat=P","Fill=—","Direction=H","UseDPDF=Y")</f>
        <v>#NAME?</v>
      </c>
      <c r="CN608" s="2" t="e">
        <f ca="1">_xll.BDH($C$603,"NET_DEBT_TO_SHRHLDR_EQTY","FY 2015","FY 2015","Currency=INR","Period=FY","BEST_FPERIOD_OVERRIDE=FY","FILING_STATUS=OR","EQY_CONSOLIDATED=Y","Sort=A","Dates=H","DateFormat=P","Fill=—","Direction=H","UseDPDF=Y")</f>
        <v>#NAME?</v>
      </c>
      <c r="CO608" s="2" t="e">
        <f ca="1">_xll.BDH($C$603,"NET_DEBT_%_CAPITAL","FY 2015","FY 2015","Currency=INR","Period=FY","BEST_FPERIOD_OVERRIDE=FY","FILING_STATUS=OR","EQY_CONSOLIDATED=Y","Sort=A","Dates=H","DateFormat=P","Fill=—","Direction=H","UseDPDF=Y")</f>
        <v>#NAME?</v>
      </c>
      <c r="CP608" s="3" t="e">
        <f ca="1">_xll.BDH($C$603,"EBITDA","FY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608" s="3" t="e">
        <f ca="1">_xll.BDH($C$603,"EBITDA_AFTER_CAPEX","FY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608" s="3" t="e">
        <f ca="1">_xll.BDH($C$603,"IS_OPER_INC","FY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608" s="2" t="e">
        <f ca="1">_xll.BDH($C$603,"CASH_RATIO","FY 2015","FY 2015","Currency=INR","Period=FY","BEST_FPERIOD_OVERRIDE=FY","FILING_STATUS=OR","EQY_CONSOLIDATED=Y","Sort=A","Dates=H","DateFormat=P","Fill=—","Direction=H","UseDPDF=Y")</f>
        <v>#NAME?</v>
      </c>
      <c r="CT608" s="2" t="e">
        <f ca="1">_xll.BDH($C$603,"CUR_RATIO","FY 2015","FY 2015","Currency=INR","Period=FY","BEST_FPERIOD_OVERRIDE=FY","FILING_STATUS=OR","EQY_CONSOLIDATED=Y","Sort=A","Dates=H","DateFormat=P","Fill=—","Direction=H","UseDPDF=Y")</f>
        <v>#NAME?</v>
      </c>
      <c r="CU608" s="2" t="e">
        <f ca="1">_xll.BDH($C$603,"QUICK_RATIO","FY 2015","FY 2015","Currency=INR","Period=FY","BEST_FPERIOD_OVERRIDE=FY","FILING_STATUS=OR","EQY_CONSOLIDATED=Y","Sort=A","Dates=H","DateFormat=P","Fill=—","Direction=H","UseDPDF=Y")</f>
        <v>#NAME?</v>
      </c>
      <c r="CV608" s="2" t="e">
        <f ca="1">_xll.BDH($C$603,"ALTMAN_Z_SCORE","FY 2015","FY 2015","Currency=INR","Period=FY","BEST_FPERIOD_OVERRIDE=FY","FILING_STATUS=OR","EQY_CONSOLIDATED=Y","Sort=A","Dates=H","DateFormat=P","Fill=—","Direction=H","UseDPDF=Y")</f>
        <v>#NAME?</v>
      </c>
      <c r="CW608" s="4" t="e">
        <f ca="1">_xll.BDH($C$603,"ACCT_RCV_TURN","FY 2015","FY 2015","Currency=INR","Period=FY","BEST_FPERIOD_OVERRIDE=FY","FILING_STATUS=OR","EQY_CONSOLIDATED=Y","FA_ADJUSTED=GAAP","Sort=A","Dates=H","DateFormat=P","Fill=—","Direction=H","UseDPDF=Y")</f>
        <v>#NAME?</v>
      </c>
      <c r="CX608" s="2" t="e">
        <f ca="1">_xll.BDH($C$603,"ACCT_RCV_DAYS","FY 2015","FY 2015","Currency=INR","Period=FY","BEST_FPERIOD_OVERRIDE=FY","FILING_STATUS=OR","EQY_CONSOLIDATED=Y","FA_ADJUSTED=GAAP","Sort=A","Dates=H","DateFormat=P","Fill=—","Direction=H","UseDPDF=Y")</f>
        <v>#NAME?</v>
      </c>
      <c r="CY608" s="4" t="e">
        <f ca="1">_xll.BDH($C$603,"INVENT_TURN","FY 2015","FY 2015","Currency=INR","Period=FY","BEST_FPERIOD_OVERRIDE=FY","FILING_STATUS=OR","EQY_CONSOLIDATED=Y","FA_ADJUSTED=GAAP","Sort=A","Dates=H","DateFormat=P","Fill=—","Direction=H","UseDPDF=Y")</f>
        <v>#NAME?</v>
      </c>
      <c r="CZ608" s="2" t="e">
        <f ca="1">_xll.BDH($C$603,"INVENT_DAYS","FY 2015","FY 2015","Currency=INR","Period=FY","BEST_FPERIOD_OVERRIDE=FY","FILING_STATUS=OR","EQY_CONSOLIDATED=Y","FA_ADJUSTED=GAAP","Sort=A","Dates=H","DateFormat=P","Fill=—","Direction=H","UseDPDF=Y")</f>
        <v>#NAME?</v>
      </c>
      <c r="DA608" s="4" t="e">
        <f ca="1">_xll.BDH($C$603,"ACCOUNTS_PAYABLE_TURNOVER","FY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608" s="2" t="e">
        <f ca="1">_xll.BDH($C$603,"ACCOUNTS_PAYABLE_TURNOVER_DAYS","FY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608" s="4" t="e">
        <f ca="1">_xll.BDH($C$603,"CASH_CONVERSION_CYCLE","FY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608" s="4" t="e">
        <f ca="1">_xll.BDH($C$603,"INV_TO_CASH_DAYS","FY 2015","FY 2015","Currency=INR","Period=FY","BEST_FPERIOD_OVERRIDE=FY","FILING_STATUS=OR","EQY_CONSOLIDATED=Y","FA_ADJUSTED=GAAP","Sort=A","Dates=H","DateFormat=P","Fill=—","Direction=H","UseDPDF=Y")</f>
        <v>#NAME?</v>
      </c>
      <c r="DE608" s="5" t="e">
        <f ca="1">_xll.BDH($C$603,"BS_INVENTORIES","FY 2015","FY 2015","Currency=INR","Period=FY","BEST_FPERIOD_OVERRIDE=FY","FILING_STATUS=OR","EQY_CONSOLIDATED=Y","SCALING_FORMAT=MLN","Sort=A","Dates=H","DateFormat=P","Fill=—","Direction=H","UseDPDF=Y")</f>
        <v>#NAME?</v>
      </c>
      <c r="DF608" s="3" t="e">
        <f ca="1">_xll.BDH($C$603,"INVTRY_RAW_MATERIALS","FY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608" s="3" t="e">
        <f ca="1">_xll.BDH($C$603,"INVTRY_IN_PROGRESS","FY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608" s="3" t="e">
        <f ca="1">_xll.BDH($C$603,"INVTRY_FINISHED_GOODS","FY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608" s="3" t="e">
        <f ca="1">_xll.BDH($C$603,"BS_OTHER_INV","FY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609" spans="1:113" x14ac:dyDescent="0.3">
      <c r="A609" s="6"/>
      <c r="B609" s="6"/>
      <c r="C609" s="6"/>
      <c r="D609" s="6"/>
      <c r="E609" t="s">
        <v>78</v>
      </c>
      <c r="F609" t="e">
        <f ca="1">_xll.BDH($C$603,"RETURN_COM_EQY","FQ1 2015","FQ1 2015","Currency=INR","Period=FQ","BEST_FPERIOD_OVERRIDE=FQ","FILING_STATUS=OR","EQY_CONSOLIDATED=Y","FA_ADJUSTED=GAAP","Sort=A","Dates=H","DateFormat=P","Fill=—","Direction=H","UseDPDF=Y")</f>
        <v>#NAME?</v>
      </c>
      <c r="G609" t="e">
        <f ca="1">_xll.BDH($C$603,"RETURN_ON_ASSET","FQ1 2015","FQ1 2015","Currency=INR","Period=FQ","BEST_FPERIOD_OVERRIDE=FQ","FILING_STATUS=OR","EQY_CONSOLIDATED=Y","FA_ADJUSTED=GAAP","Sort=A","Dates=H","DateFormat=P","Fill=—","Direction=H","UseDPDF=Y")</f>
        <v>#NAME?</v>
      </c>
      <c r="H609" t="e">
        <f ca="1">_xll.BDH($C$603,"RETURN_ON_CAP","FQ1 2015","FQ1 2015","Currency=INR","Period=FQ","BEST_FPERIOD_OVERRIDE=FQ","FILING_STATUS=OR","EQY_CONSOLIDATED=Y","FA_ADJUSTED=GAAP","Sort=A","Dates=H","DateFormat=P","Fill=—","Direction=H","UseDPDF=Y")</f>
        <v>#NAME?</v>
      </c>
      <c r="I609" t="e">
        <f ca="1">_xll.BDH($C$603,"RETURN_ON_INV_CAPITAL","FQ1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609" t="e">
        <f ca="1">_xll.BDH($C$603,"EBITDA_TO_REVENUE","FQ1 2015","FQ1 2015","Currency=INR","Period=FQ","BEST_FPERIOD_OVERRIDE=FQ","FILING_STATUS=OR","EQY_CONSOLIDATED=Y","FA_ADJUSTED=GAAP","Sort=A","Dates=H","DateFormat=P","Fill=—","Direction=H","UseDPDF=Y")</f>
        <v>#NAME?</v>
      </c>
      <c r="K609" t="e">
        <f ca="1">_xll.BDH($C$603,"OPER_MARGIN","FQ1 2015","FQ1 2015","Currency=INR","Period=FQ","BEST_FPERIOD_OVERRIDE=FQ","FILING_STATUS=OR","EQY_CONSOLIDATED=Y","FA_ADJUSTED=GAAP","Sort=A","Dates=H","DateFormat=P","Fill=—","Direction=H","UseDPDF=Y")</f>
        <v>#NAME?</v>
      </c>
      <c r="L609" t="e">
        <f ca="1">_xll.BDH($C$603,"INCREMENTAL_OPERATING_MARGIN","FQ1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609" t="e">
        <f ca="1">_xll.BDH($C$603,"PRETAX_INC_TO_NET_SALES","FQ1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609" t="e">
        <f ca="1">_xll.BDH($C$603,"INC_BEF_XO_ITEMS_TO_NET_SALES","FQ1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609" t="e">
        <f ca="1">_xll.BDH($C$603,"PROF_MARGIN","FQ1 2015","FQ1 2015","Currency=INR","Period=FQ","BEST_FPERIOD_OVERRIDE=FQ","FILING_STATUS=OR","EQY_CONSOLIDATED=Y","FA_ADJUSTED=GAAP","Sort=A","Dates=H","DateFormat=P","Fill=—","Direction=H","UseDPDF=Y")</f>
        <v>#NAME?</v>
      </c>
      <c r="P609" t="e">
        <f ca="1">_xll.BDH($C$603,"NET_INCOME_TO_COMMON_MARGIN","FQ1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609" t="e">
        <f ca="1">_xll.BDH($C$603,"EFF_TAX_RATE","FQ1 2015","FQ1 2015","Currency=INR","Period=FQ","BEST_FPERIOD_OVERRIDE=FQ","FILING_STATUS=OR","EQY_CONSOLIDATED=Y","FA_ADJUSTED=GAAP","Sort=A","Dates=H","DateFormat=P","Fill=—","Direction=H","UseDPDF=Y")</f>
        <v>#NAME?</v>
      </c>
      <c r="R609" t="e">
        <f ca="1">_xll.BDH($C$603,"DVD_PAYOUT_RATIO","FQ1 2015","FQ1 2015","Currency=INR","Period=FQ","BEST_FPERIOD_OVERRIDE=FQ","FILING_STATUS=OR","EQY_CONSOLIDATED=Y","FA_ADJUSTED=GAAP","Sort=A","Dates=H","DateFormat=P","Fill=—","Direction=H","UseDPDF=Y")</f>
        <v>#NAME?</v>
      </c>
      <c r="S609" t="e">
        <f ca="1">_xll.BDH($C$603,"SUSTAIN_GROWTH_RT","FQ1 2015","FQ1 2015","Currency=INR","Period=FQ","BEST_FPERIOD_OVERRIDE=FQ","FILING_STATUS=OR","EQY_CONSOLIDATED=Y","FA_ADJUSTED=GAAP","Sort=A","Dates=H","DateFormat=P","Fill=—","Direction=H","UseDPDF=Y")</f>
        <v>#NAME?</v>
      </c>
      <c r="T609" s="2" t="e">
        <f ca="1">_xll.BDH($C$603,"SALES_GROWTH","FQ1 2015","FQ1 2015","Currency=INR","Period=FQ","BEST_FPERIOD_OVERRIDE=FQ","FILING_STATUS=OR","EQY_CONSOLIDATED=Y","FA_ADJUSTED=GAAP","Sort=A","Dates=H","DateFormat=P","Fill=—","Direction=H","UseDPDF=Y")</f>
        <v>#NAME?</v>
      </c>
      <c r="U609" s="2" t="e">
        <f ca="1">_xll.BDH($C$603,"EBITDA_GROWTH","FQ1 2015","FQ1 2015","Currency=INR","Period=FQ","BEST_FPERIOD_OVERRIDE=FQ","FILING_STATUS=OR","EQY_CONSOLIDATED=Y","FA_ADJUSTED=GAAP","Sort=A","Dates=H","DateFormat=P","Fill=—","Direction=H","UseDPDF=Y")</f>
        <v>#NAME?</v>
      </c>
      <c r="V609" s="2" t="e">
        <f ca="1">_xll.BDH($C$603,"OPER_INC_GROWTH","FQ1 2015","FQ1 2015","Currency=INR","Period=FQ","BEST_FPERIOD_OVERRIDE=FQ","FILING_STATUS=OR","EQY_CONSOLIDATED=Y","FA_ADJUSTED=GAAP","Sort=A","Dates=H","DateFormat=P","Fill=—","Direction=H","UseDPDF=Y")</f>
        <v>#NAME?</v>
      </c>
      <c r="W609" s="2" t="e">
        <f ca="1">_xll.BDH($C$603,"EARN_FOR_COM_GROWTH","FQ1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609" s="2" t="e">
        <f ca="1">_xll.BDH($C$603,"DILUTED_EPS_AFT_XO_ITEMS_GROWTH","FQ1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609" s="2" t="e">
        <f ca="1">_xll.BDH($C$603,"DIVIDEND_PER_SHARE_1_YEAR_GROWTH","FQ1 2015","FQ1 2015","Currency=INR","Period=FQ","BEST_FPERIOD_OVERRIDE=FQ","FILING_STATUS=OR","EQY_CONSOLIDATED=Y","Sort=A","Dates=H","DateFormat=P","Fill=—","Direction=H","UseDPDF=Y")</f>
        <v>#NAME?</v>
      </c>
      <c r="Z609" s="2" t="e">
        <f ca="1">_xll.BDH($C$603,"ACCOUNTS_RECEIVABLE_GROWTH","FQ1 2015","FQ1 2015","Currency=INR","Period=FQ","BEST_FPERIOD_OVERRIDE=FQ","FILING_STATUS=OR","EQY_CONSOLIDATED=Y","Sort=A","Dates=H","DateFormat=P","Fill=—","Direction=H","UseDPDF=Y")</f>
        <v>#NAME?</v>
      </c>
      <c r="AA609" s="2" t="e">
        <f ca="1">_xll.BDH($C$603,"INVENTORY_GROWTH","FQ1 2015","FQ1 2015","Currency=INR","Period=FQ","BEST_FPERIOD_OVERRIDE=FQ","FILING_STATUS=OR","EQY_CONSOLIDATED=Y","Sort=A","Dates=H","DateFormat=P","Fill=—","Direction=H","UseDPDF=Y")</f>
        <v>#NAME?</v>
      </c>
      <c r="AB609" s="2" t="e">
        <f ca="1">_xll.BDH($C$603,"NET_FIXED_ASSETS_1_YEAR_GROWTH","FQ1 2015","FQ1 2015","Currency=INR","Period=FQ","BEST_FPERIOD_OVERRIDE=FQ","FILING_STATUS=OR","EQY_CONSOLIDATED=Y","Sort=A","Dates=H","DateFormat=P","Fill=—","Direction=H","UseDPDF=Y")</f>
        <v>#NAME?</v>
      </c>
      <c r="AC609" s="2" t="e">
        <f ca="1">_xll.BDH($C$603,"ASSET_GROWTH","FQ1 2015","FQ1 2015","Currency=INR","Period=FQ","BEST_FPERIOD_OVERRIDE=FQ","FILING_STATUS=OR","EQY_CONSOLIDATED=Y","Sort=A","Dates=H","DateFormat=P","Fill=—","Direction=H","UseDPDF=Y")</f>
        <v>#NAME?</v>
      </c>
      <c r="AD609" s="2" t="e">
        <f ca="1">_xll.BDH($C$603,"MODIFIED_WORK_CAP_GROWTH","FQ1 2015","FQ1 2015","Currency=INR","Period=FQ","BEST_FPERIOD_OVERRIDE=FQ","FILING_STATUS=OR","EQY_CONSOLIDATED=Y","Sort=A","Dates=H","DateFormat=P","Fill=—","Direction=H","UseDPDF=Y")</f>
        <v>#NAME?</v>
      </c>
      <c r="AE609" s="2" t="e">
        <f ca="1">_xll.BDH($C$603,"WORK_CAP_GROWTH","FQ1 2015","FQ1 2015","Currency=INR","Period=FQ","BEST_FPERIOD_OVERRIDE=FQ","FILING_STATUS=OR","EQY_CONSOLIDATED=Y","Sort=A","Dates=H","DateFormat=P","Fill=—","Direction=H","UseDPDF=Y")</f>
        <v>#NAME?</v>
      </c>
      <c r="AF609" s="2" t="e">
        <f ca="1">_xll.BDH($C$603,"ACCOUNTS_PAYABLE_GROWTH_1YR","FQ1 2015","FQ1 2015","Currency=INR","Period=FQ","BEST_FPERIOD_OVERRIDE=FQ","FILING_STATUS=OR","EQY_CONSOLIDATED=Y","Sort=A","Dates=H","DateFormat=P","Fill=—","Direction=H","UseDPDF=Y")</f>
        <v>#NAME?</v>
      </c>
      <c r="AG609" s="2" t="e">
        <f ca="1">_xll.BDH($C$603,"SHORT_TERM_DEBT_1_YEAR_GROWTH","FQ1 2015","FQ1 2015","Currency=INR","Period=FQ","BEST_FPERIOD_OVERRIDE=FQ","FILING_STATUS=OR","EQY_CONSOLIDATED=Y","Sort=A","Dates=H","DateFormat=P","Fill=—","Direction=H","UseDPDF=Y")</f>
        <v>#NAME?</v>
      </c>
      <c r="AH609" s="2" t="e">
        <f ca="1">_xll.BDH($C$603,"TOTAL_DEBT_1_YEAR_GROWTH","FQ1 2015","FQ1 2015","Currency=INR","Period=FQ","BEST_FPERIOD_OVERRIDE=FQ","FILING_STATUS=OR","EQY_CONSOLIDATED=Y","Sort=A","Dates=H","DateFormat=P","Fill=—","Direction=H","UseDPDF=Y")</f>
        <v>#NAME?</v>
      </c>
      <c r="AI609" s="2" t="e">
        <f ca="1">_xll.BDH($C$603,"TOTAL_EQUITY_1_YEAR_GROWTH","FQ1 2015","FQ1 2015","Currency=INR","Period=FQ","BEST_FPERIOD_OVERRIDE=FQ","FILING_STATUS=OR","EQY_CONSOLIDATED=Y","Sort=A","Dates=H","DateFormat=P","Fill=—","Direction=H","UseDPDF=Y")</f>
        <v>#NAME?</v>
      </c>
      <c r="AJ609" s="2" t="e">
        <f ca="1">_xll.BDH($C$603,"GROWTH_IN_CAP","FQ1 2015","FQ1 2015","Currency=INR","Period=FQ","BEST_FPERIOD_OVERRIDE=FQ","FILING_STATUS=OR","EQY_CONSOLIDATED=Y","Sort=A","Dates=H","DateFormat=P","Fill=—","Direction=H","UseDPDF=Y")</f>
        <v>#NAME?</v>
      </c>
      <c r="AK609" s="2" t="e">
        <f ca="1">_xll.BDH($C$603,"BVPS_GROWTH","FQ1 2015","FQ1 2015","Currency=INR","Period=FQ","BEST_FPERIOD_OVERRIDE=FQ","FILING_STATUS=OR","EQY_CONSOLIDATED=Y","Sort=A","Dates=H","DateFormat=P","Fill=—","Direction=H","UseDPDF=Y")</f>
        <v>#NAME?</v>
      </c>
      <c r="AL609" s="2" t="e">
        <f ca="1">_xll.BDH($C$603,"CASH_FLOW_GROWTH","FQ1 2015","FQ1 2015","Currency=INR","Period=FQ","BEST_FPERIOD_OVERRIDE=FQ","FILING_STATUS=OR","EQY_CONSOLIDATED=Y","Sort=A","Dates=H","DateFormat=P","Fill=—","Direction=H","UseDPDF=Y")</f>
        <v>#NAME?</v>
      </c>
      <c r="AM609" s="2" t="e">
        <f ca="1">_xll.BDH($C$603,"GEO_GROW_NET_SALES","FQ1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609" s="2" t="e">
        <f ca="1">_xll.BDH($C$603,"GEO_GROW_EBITDA","FQ1 2015","FQ1 2015","Currency=INR","Period=FQ","BEST_FPERIOD_OVERRIDE=FQ","FILING_STATUS=OR","EQY_CONSOLIDATED=Y","FA_ADJUSTED=GAAP","Sort=A","Dates=H","DateFormat=P","Fill=—","Direction=H","UseDPDF=Y")</f>
        <v>#NAME?</v>
      </c>
      <c r="AO609" s="2" t="e">
        <f ca="1">_xll.BDH($C$603,"GEO_GROW_OPER_INC","FQ1 2015","FQ1 2015","Currency=INR","Period=FQ","BEST_FPERIOD_OVERRIDE=FQ","FILING_STATUS=OR","EQY_CONSOLIDATED=Y","FA_ADJUSTED=GAAP","Sort=A","Dates=H","DateFormat=P","Fill=—","Direction=H","UseDPDF=Y")</f>
        <v>#NAME?</v>
      </c>
      <c r="AP609" s="2" t="e">
        <f ca="1">_xll.BDH($C$603,"NET_INCOME_TO_COMMON_5_YR_GROWTH","FQ1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609" s="2" t="e">
        <f ca="1">_xll.BDH($C$603,"5Y_GEO_GROWTH_DILUTED_EPS","FQ1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609" s="2" t="e">
        <f ca="1">_xll.BDH($C$603,"GEO_GROW_DVD_PER_SH","FQ1 2015","FQ1 2015","Currency=INR","Period=FQ","BEST_FPERIOD_OVERRIDE=FQ","FILING_STATUS=OR","EQY_CONSOLIDATED=Y","Sort=A","Dates=H","DateFormat=P","Fill=—","Direction=H","UseDPDF=Y")</f>
        <v>#NAME?</v>
      </c>
      <c r="AS609" s="2" t="e">
        <f ca="1">_xll.BDH($C$603,"ACCOUNTS_RECEIVABLE_5_YR_GROWTH","FQ1 2015","FQ1 2015","Currency=INR","Period=FQ","BEST_FPERIOD_OVERRIDE=FQ","FILING_STATUS=OR","EQY_CONSOLIDATED=Y","Sort=A","Dates=H","DateFormat=P","Fill=—","Direction=H","UseDPDF=Y")</f>
        <v>#NAME?</v>
      </c>
      <c r="AT609" s="2" t="e">
        <f ca="1">_xll.BDH($C$603,"INVENTORY_5_YEAR_GROWTH","FQ1 2015","FQ1 2015","Currency=INR","Period=FQ","BEST_FPERIOD_OVERRIDE=FQ","FILING_STATUS=OR","EQY_CONSOLIDATED=Y","Sort=A","Dates=H","DateFormat=P","Fill=—","Direction=H","UseDPDF=Y")</f>
        <v>#NAME?</v>
      </c>
      <c r="AU609" s="2" t="e">
        <f ca="1">_xll.BDH($C$603,"NET_FIXED_ASSETS_5_YEAR_GROWTH","FQ1 2015","FQ1 2015","Currency=INR","Period=FQ","BEST_FPERIOD_OVERRIDE=FQ","FILING_STATUS=OR","EQY_CONSOLIDATED=Y","Sort=A","Dates=H","DateFormat=P","Fill=—","Direction=H","UseDPDF=Y")</f>
        <v>#NAME?</v>
      </c>
      <c r="AV609" s="2" t="e">
        <f ca="1">_xll.BDH($C$603,"GEO_GROW_TOT_ASSET","FQ1 2015","FQ1 2015","Currency=INR","Period=FQ","BEST_FPERIOD_OVERRIDE=FQ","FILING_STATUS=OR","EQY_CONSOLIDATED=Y","Sort=A","Dates=H","DateFormat=P","Fill=—","Direction=H","UseDPDF=Y")</f>
        <v>#NAME?</v>
      </c>
      <c r="AW609" s="2" t="e">
        <f ca="1">_xll.BDH($C$603,"MODIFIED_WORKING_CPTL_5YR_GRWTH","FQ1 2015","FQ1 2015","Currency=INR","Period=FQ","BEST_FPERIOD_OVERRIDE=FQ","FILING_STATUS=OR","EQY_CONSOLIDATED=Y","Sort=A","Dates=H","DateFormat=P","Fill=—","Direction=H","UseDPDF=Y")</f>
        <v>#NAME?</v>
      </c>
      <c r="AX609" s="2" t="e">
        <f ca="1">_xll.BDH($C$603,"WORKING_CAPITAL_5_YEAR_GROWTH","FQ1 2015","FQ1 2015","Currency=INR","Period=FQ","BEST_FPERIOD_OVERRIDE=FQ","FILING_STATUS=OR","EQY_CONSOLIDATED=Y","Sort=A","Dates=H","DateFormat=P","Fill=—","Direction=H","UseDPDF=Y")</f>
        <v>#NAME?</v>
      </c>
      <c r="AY609" s="2" t="e">
        <f ca="1">_xll.BDH($C$603,"ACCOUNTS_PAYABLE_5_YEAR_GROWTH","FQ1 2015","FQ1 2015","Currency=INR","Period=FQ","BEST_FPERIOD_OVERRIDE=FQ","FILING_STATUS=OR","EQY_CONSOLIDATED=Y","Sort=A","Dates=H","DateFormat=P","Fill=—","Direction=H","UseDPDF=Y")</f>
        <v>#NAME?</v>
      </c>
      <c r="AZ609" s="2" t="e">
        <f ca="1">_xll.BDH($C$603,"SHORT_TERM_DEBT_5_YEAR_GROWTH","FQ1 2015","FQ1 2015","Currency=INR","Period=FQ","BEST_FPERIOD_OVERRIDE=FQ","FILING_STATUS=OR","EQY_CONSOLIDATED=Y","Sort=A","Dates=H","DateFormat=P","Fill=—","Direction=H","UseDPDF=Y")</f>
        <v>#NAME?</v>
      </c>
      <c r="BA609" s="2" t="e">
        <f ca="1">_xll.BDH($C$603,"TOTAL_DEBT_5_YEAR_GROWTH","FQ1 2015","FQ1 2015","Currency=INR","Period=FQ","BEST_FPERIOD_OVERRIDE=FQ","FILING_STATUS=OR","EQY_CONSOLIDATED=Y","Sort=A","Dates=H","DateFormat=P","Fill=—","Direction=H","UseDPDF=Y")</f>
        <v>#NAME?</v>
      </c>
      <c r="BB609" s="2" t="e">
        <f ca="1">_xll.BDH($C$603,"GEO_GROW_TOT_SHRHLDR_EQY","FQ1 2015","FQ1 2015","Currency=INR","Period=FQ","BEST_FPERIOD_OVERRIDE=FQ","FILING_STATUS=OR","EQY_CONSOLIDATED=Y","Sort=A","Dates=H","DateFormat=P","Fill=—","Direction=H","UseDPDF=Y")</f>
        <v>#NAME?</v>
      </c>
      <c r="BC609" s="2" t="e">
        <f ca="1">_xll.BDH($C$603,"TOTAL_CAPITAL_5_YEAR_GROWTH","FQ1 2015","FQ1 2015","Currency=INR","Period=FQ","BEST_FPERIOD_OVERRIDE=FQ","FILING_STATUS=OR","EQY_CONSOLIDATED=Y","Sort=A","Dates=H","DateFormat=P","Fill=—","Direction=H","UseDPDF=Y")</f>
        <v>#NAME?</v>
      </c>
      <c r="BD609" s="2" t="e">
        <f ca="1">_xll.BDH($C$603,"GEO_GROW_BOOK_VAL","FQ1 2015","FQ1 2015","Currency=INR","Period=FQ","BEST_FPERIOD_OVERRIDE=FQ","FILING_STATUS=OR","EQY_CONSOLIDATED=Y","Sort=A","Dates=H","DateFormat=P","Fill=—","Direction=H","UseDPDF=Y")</f>
        <v>#NAME?</v>
      </c>
      <c r="BE609" s="2" t="e">
        <f ca="1">_xll.BDH($C$603,"GEO_GROW_CASH_OPER_ACT","FQ1 2015","FQ1 2015","Currency=INR","Period=FQ","BEST_FPERIOD_OVERRIDE=FQ","FILING_STATUS=OR","EQY_CONSOLIDATED=Y","Sort=A","Dates=H","DateFormat=P","Fill=—","Direction=H","UseDPDF=Y")</f>
        <v>#NAME?</v>
      </c>
      <c r="BF609" s="2" t="e">
        <f ca="1">_xll.BDH($C$603,"REVENUE_SEQUENTIAL_GROWTH","FQ1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609" s="2" t="e">
        <f ca="1">_xll.BDH($C$603,"EBITDA_SEQUENTIAL_GROWTH","FQ1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609" s="2" t="e">
        <f ca="1">_xll.BDH($C$603,"OPERATING_INCOME_SEQ_GROWTH","FQ1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609" s="2" t="e">
        <f ca="1">_xll.BDH($C$603,"NET_INCOME_TO_COMMON_SEQ_GROWTH","FQ1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609" s="2" t="e">
        <f ca="1">_xll.BDH($C$603,"EPS_DILUTED_SEQUENTIAL_GROWTH","FQ1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609" s="2" t="e">
        <f ca="1">_xll.BDH($C$603,"DPS_SEQUENTIAL_GROWTH","FQ1 2015","FQ1 2015","Currency=INR","Period=FQ","BEST_FPERIOD_OVERRIDE=FQ","FILING_STATUS=OR","EQY_CONSOLIDATED=Y","Sort=A","Dates=H","DateFormat=P","Fill=—","Direction=H","UseDPDF=Y")</f>
        <v>#NAME?</v>
      </c>
      <c r="BL609" s="2" t="e">
        <f ca="1">_xll.BDH($C$603,"ACCOUNTS_RECEIVABLE_SEQ_GROWTH","FQ1 2015","FQ1 2015","Currency=INR","Period=FQ","BEST_FPERIOD_OVERRIDE=FQ","FILING_STATUS=OR","EQY_CONSOLIDATED=Y","Sort=A","Dates=H","DateFormat=P","Fill=—","Direction=H","UseDPDF=Y")</f>
        <v>#NAME?</v>
      </c>
      <c r="BM609" s="2" t="e">
        <f ca="1">_xll.BDH($C$603,"INVENTORY_SEQUENTIAL_GROWTH","FQ1 2015","FQ1 2015","Currency=INR","Period=FQ","BEST_FPERIOD_OVERRIDE=FQ","FILING_STATUS=OR","EQY_CONSOLIDATED=Y","Sort=A","Dates=H","DateFormat=P","Fill=—","Direction=H","UseDPDF=Y")</f>
        <v>#NAME?</v>
      </c>
      <c r="BN609" s="2" t="e">
        <f ca="1">_xll.BDH($C$603,"FIXED_ASSETS_SEQUENTIAL_GROWTH","FQ1 2015","FQ1 2015","Currency=INR","Period=FQ","BEST_FPERIOD_OVERRIDE=FQ","FILING_STATUS=OR","EQY_CONSOLIDATED=Y","Sort=A","Dates=H","DateFormat=P","Fill=—","Direction=H","UseDPDF=Y")</f>
        <v>#NAME?</v>
      </c>
      <c r="BO609" s="2" t="e">
        <f ca="1">_xll.BDH($C$603,"TOTAL_ASSETS_SEQUENTIAL_GROWTH","FQ1 2015","FQ1 2015","Currency=INR","Period=FQ","BEST_FPERIOD_OVERRIDE=FQ","FILING_STATUS=OR","EQY_CONSOLIDATED=Y","Sort=A","Dates=H","DateFormat=P","Fill=—","Direction=H","UseDPDF=Y")</f>
        <v>#NAME?</v>
      </c>
      <c r="BP609" s="2" t="e">
        <f ca="1">_xll.BDH($C$603,"MODIFIED_WORKING_CPTL_SEQ_GRWTH","FQ1 2015","FQ1 2015","Currency=INR","Period=FQ","BEST_FPERIOD_OVERRIDE=FQ","FILING_STATUS=OR","EQY_CONSOLIDATED=Y","Sort=A","Dates=H","DateFormat=P","Fill=—","Direction=H","UseDPDF=Y")</f>
        <v>#NAME?</v>
      </c>
      <c r="BQ609" s="2" t="e">
        <f ca="1">_xll.BDH($C$603,"WORKING_CAPITAL_SEQ_GROWTH","FQ1 2015","FQ1 2015","Currency=INR","Period=FQ","BEST_FPERIOD_OVERRIDE=FQ","FILING_STATUS=OR","EQY_CONSOLIDATED=Y","Sort=A","Dates=H","DateFormat=P","Fill=—","Direction=H","UseDPDF=Y")</f>
        <v>#NAME?</v>
      </c>
      <c r="BR609" s="2" t="e">
        <f ca="1">_xll.BDH($C$603,"ACCOUNTS_PAYABLE_SEQ_GROWTH","FQ1 2015","FQ1 2015","Currency=INR","Period=FQ","BEST_FPERIOD_OVERRIDE=FQ","FILING_STATUS=OR","EQY_CONSOLIDATED=Y","Sort=A","Dates=H","DateFormat=P","Fill=—","Direction=H","UseDPDF=Y")</f>
        <v>#NAME?</v>
      </c>
      <c r="BS609" s="2" t="e">
        <f ca="1">_xll.BDH($C$603,"ST_DEBT_SEQUENTIAL_GROWTH","FQ1 2015","FQ1 2015","Currency=INR","Period=FQ","BEST_FPERIOD_OVERRIDE=FQ","FILING_STATUS=OR","EQY_CONSOLIDATED=Y","Sort=A","Dates=H","DateFormat=P","Fill=—","Direction=H","UseDPDF=Y")</f>
        <v>#NAME?</v>
      </c>
      <c r="BT609" s="2" t="e">
        <f ca="1">_xll.BDH($C$603,"TOTAL_DEBT_SEQUENTIAL_GROWTH","FQ1 2015","FQ1 2015","Currency=INR","Period=FQ","BEST_FPERIOD_OVERRIDE=FQ","FILING_STATUS=OR","EQY_CONSOLIDATED=Y","Sort=A","Dates=H","DateFormat=P","Fill=—","Direction=H","UseDPDF=Y")</f>
        <v>#NAME?</v>
      </c>
      <c r="BU609" s="2" t="e">
        <f ca="1">_xll.BDH($C$603,"TOTAL_EQUITY_SEQUENTIAL_GROWTH","FQ1 2015","FQ1 2015","Currency=INR","Period=FQ","BEST_FPERIOD_OVERRIDE=FQ","FILING_STATUS=OR","EQY_CONSOLIDATED=Y","Sort=A","Dates=H","DateFormat=P","Fill=—","Direction=H","UseDPDF=Y")</f>
        <v>#NAME?</v>
      </c>
      <c r="BV609" s="2" t="e">
        <f ca="1">_xll.BDH($C$603,"TOTAL_CAPITAL_SEQUENTIAL_GROWTH","FQ1 2015","FQ1 2015","Currency=INR","Period=FQ","BEST_FPERIOD_OVERRIDE=FQ","FILING_STATUS=OR","EQY_CONSOLIDATED=Y","Sort=A","Dates=H","DateFormat=P","Fill=—","Direction=H","UseDPDF=Y")</f>
        <v>#NAME?</v>
      </c>
      <c r="BW609" s="2" t="e">
        <f ca="1">_xll.BDH($C$603,"BPS_SEQUENTIAL_GROWTH","FQ1 2015","FQ1 2015","Currency=INR","Period=FQ","BEST_FPERIOD_OVERRIDE=FQ","FILING_STATUS=OR","EQY_CONSOLIDATED=Y","Sort=A","Dates=H","DateFormat=P","Fill=—","Direction=H","UseDPDF=Y")</f>
        <v>#NAME?</v>
      </c>
      <c r="BX609" s="2" t="e">
        <f ca="1">_xll.BDH($C$603,"CFO_SEQUENTIAL_GROWTH","FQ1 2015","FQ1 2015","Currency=INR","Period=FQ","BEST_FPERIOD_OVERRIDE=FQ","FILING_STATUS=OR","EQY_CONSOLIDATED=Y","Sort=A","Dates=H","DateFormat=P","Fill=—","Direction=H","UseDPDF=Y")</f>
        <v>#NAME?</v>
      </c>
      <c r="BY609" s="3" t="e">
        <f ca="1">_xll.BDH($C$603,"SHORT_AND_LONG_TERM_DEBT","FQ1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609" s="3" t="e">
        <f ca="1">_xll.BDH($C$603,"BS_ST_BORROW","FQ1 2015","FQ1 2015","Currency=INR","Period=FQ","BEST_FPERIOD_OVERRIDE=FQ","FILING_STATUS=OR","EQY_CONSOLIDATED=Y","SCALING_FORMAT=MLN","Sort=A","Dates=H","DateFormat=P","Fill=—","Direction=H","UseDPDF=Y")</f>
        <v>#NAME?</v>
      </c>
      <c r="CA609" s="3" t="e">
        <f ca="1">_xll.BDH($C$603,"BS_LT_BORROW","FQ1 2015","FQ1 2015","Currency=INR","Period=FQ","BEST_FPERIOD_OVERRIDE=FQ","FILING_STATUS=OR","EQY_CONSOLIDATED=Y","SCALING_FORMAT=MLN","Sort=A","Dates=H","DateFormat=P","Fill=—","Direction=H","UseDPDF=Y")</f>
        <v>#NAME?</v>
      </c>
      <c r="CB609" s="2" t="e">
        <f ca="1">_xll.BDH($C$603,"TOT_DEBT_TO_EBITDA","FQ1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609" s="2" t="e">
        <f ca="1">_xll.BDH($C$603,"NET_DEBT_TO_EBITDA","FQ1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609" s="2" t="e">
        <f ca="1">_xll.BDH($C$603,"TOTAL_DEBT_TO_EBIT","FQ1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609" s="2" t="e">
        <f ca="1">_xll.BDH($C$603,"NET_DEBT_TO_EBIT","FQ1 2015","FQ1 2015","Currency=INR","Period=FQ","BEST_FPERIOD_OVERRIDE=FQ","FILING_STATUS=OR","EQY_CONSOLIDATED=Y","FA_ADJUSTED=GAAP","Sort=A","Dates=H","DateFormat=P","Fill=—","Direction=H","UseDPDF=Y")</f>
        <v>#NAME?</v>
      </c>
      <c r="CF609" s="2" t="e">
        <f ca="1">_xll.BDH($C$603,"EBITDA_TO_INTEREST_EXPN","FQ1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609" s="2" t="e">
        <f ca="1">_xll.BDH($C$603,"COM_EQY_TO_TOT_ASSET","FQ1 2015","FQ1 2015","Currency=INR","Period=FQ","BEST_FPERIOD_OVERRIDE=FQ","FILING_STATUS=OR","EQY_CONSOLIDATED=Y","Sort=A","Dates=H","DateFormat=P","Fill=—","Direction=H","UseDPDF=Y")</f>
        <v>#NAME?</v>
      </c>
      <c r="CH609" s="2" t="e">
        <f ca="1">_xll.BDH($C$603,"LT_DEBT_TO_TOT_EQY","FQ1 2015","FQ1 2015","Currency=INR","Period=FQ","BEST_FPERIOD_OVERRIDE=FQ","FILING_STATUS=OR","EQY_CONSOLIDATED=Y","Sort=A","Dates=H","DateFormat=P","Fill=—","Direction=H","UseDPDF=Y")</f>
        <v>#NAME?</v>
      </c>
      <c r="CI609" s="2" t="e">
        <f ca="1">_xll.BDH($C$603,"LT_DEBT_TO_TOT_CAP","FQ1 2015","FQ1 2015","Currency=INR","Period=FQ","BEST_FPERIOD_OVERRIDE=FQ","FILING_STATUS=OR","EQY_CONSOLIDATED=Y","Sort=A","Dates=H","DateFormat=P","Fill=—","Direction=H","UseDPDF=Y")</f>
        <v>#NAME?</v>
      </c>
      <c r="CJ609" s="2" t="e">
        <f ca="1">_xll.BDH($C$603,"LT_DEBT_TO_TOT_ASSET","FQ1 2015","FQ1 2015","Currency=INR","Period=FQ","BEST_FPERIOD_OVERRIDE=FQ","FILING_STATUS=OR","EQY_CONSOLIDATED=Y","Sort=A","Dates=H","DateFormat=P","Fill=—","Direction=H","UseDPDF=Y")</f>
        <v>#NAME?</v>
      </c>
      <c r="CK609" s="2" t="e">
        <f ca="1">_xll.BDH($C$603,"TOT_DEBT_TO_TOT_EQY","FQ1 2015","FQ1 2015","Currency=INR","Period=FQ","BEST_FPERIOD_OVERRIDE=FQ","FILING_STATUS=OR","EQY_CONSOLIDATED=Y","Sort=A","Dates=H","DateFormat=P","Fill=—","Direction=H","UseDPDF=Y")</f>
        <v>#NAME?</v>
      </c>
      <c r="CL609" s="2" t="e">
        <f ca="1">_xll.BDH($C$603,"TOT_DEBT_TO_TOT_CAP","FQ1 2015","FQ1 2015","Currency=INR","Period=FQ","BEST_FPERIOD_OVERRIDE=FQ","FILING_STATUS=OR","EQY_CONSOLIDATED=Y","Sort=A","Dates=H","DateFormat=P","Fill=—","Direction=H","UseDPDF=Y")</f>
        <v>#NAME?</v>
      </c>
      <c r="CM609" s="2" t="e">
        <f ca="1">_xll.BDH($C$603,"TOT_DEBT_TO_TOT_ASSET","FQ1 2015","FQ1 2015","Currency=INR","Period=FQ","BEST_FPERIOD_OVERRIDE=FQ","FILING_STATUS=OR","EQY_CONSOLIDATED=Y","Sort=A","Dates=H","DateFormat=P","Fill=—","Direction=H","UseDPDF=Y")</f>
        <v>#NAME?</v>
      </c>
      <c r="CN609" s="2" t="e">
        <f ca="1">_xll.BDH($C$603,"NET_DEBT_TO_SHRHLDR_EQTY","FQ1 2015","FQ1 2015","Currency=INR","Period=FQ","BEST_FPERIOD_OVERRIDE=FQ","FILING_STATUS=OR","EQY_CONSOLIDATED=Y","Sort=A","Dates=H","DateFormat=P","Fill=—","Direction=H","UseDPDF=Y")</f>
        <v>#NAME?</v>
      </c>
      <c r="CO609" s="2" t="e">
        <f ca="1">_xll.BDH($C$603,"NET_DEBT_%_CAPITAL","FQ1 2015","FQ1 2015","Currency=INR","Period=FQ","BEST_FPERIOD_OVERRIDE=FQ","FILING_STATUS=OR","EQY_CONSOLIDATED=Y","Sort=A","Dates=H","DateFormat=P","Fill=—","Direction=H","UseDPDF=Y")</f>
        <v>#NAME?</v>
      </c>
      <c r="CP609" s="3" t="e">
        <f ca="1">_xll.BDH($C$603,"EBITDA","FQ1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609" s="3" t="e">
        <f ca="1">_xll.BDH($C$603,"EBITDA_AFTER_CAPEX","FQ1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609" s="3" t="e">
        <f ca="1">_xll.BDH($C$603,"IS_OPER_INC","FQ1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609" s="2" t="e">
        <f ca="1">_xll.BDH($C$603,"CASH_RATIO","FQ1 2015","FQ1 2015","Currency=INR","Period=FQ","BEST_FPERIOD_OVERRIDE=FQ","FILING_STATUS=OR","EQY_CONSOLIDATED=Y","Sort=A","Dates=H","DateFormat=P","Fill=—","Direction=H","UseDPDF=Y")</f>
        <v>#NAME?</v>
      </c>
      <c r="CT609" s="2" t="e">
        <f ca="1">_xll.BDH($C$603,"CUR_RATIO","FQ1 2015","FQ1 2015","Currency=INR","Period=FQ","BEST_FPERIOD_OVERRIDE=FQ","FILING_STATUS=OR","EQY_CONSOLIDATED=Y","Sort=A","Dates=H","DateFormat=P","Fill=—","Direction=H","UseDPDF=Y")</f>
        <v>#NAME?</v>
      </c>
      <c r="CU609" s="2" t="e">
        <f ca="1">_xll.BDH($C$603,"QUICK_RATIO","FQ1 2015","FQ1 2015","Currency=INR","Period=FQ","BEST_FPERIOD_OVERRIDE=FQ","FILING_STATUS=OR","EQY_CONSOLIDATED=Y","Sort=A","Dates=H","DateFormat=P","Fill=—","Direction=H","UseDPDF=Y")</f>
        <v>#NAME?</v>
      </c>
      <c r="CV609" s="2" t="e">
        <f ca="1">_xll.BDH($C$603,"ALTMAN_Z_SCORE","FQ1 2015","FQ1 2015","Currency=INR","Period=FQ","BEST_FPERIOD_OVERRIDE=FQ","FILING_STATUS=OR","EQY_CONSOLIDATED=Y","Sort=A","Dates=H","DateFormat=P","Fill=—","Direction=H","UseDPDF=Y")</f>
        <v>#NAME?</v>
      </c>
      <c r="CW609" s="4" t="e">
        <f ca="1">_xll.BDH($C$603,"ACCT_RCV_TURN","FQ1 2015","FQ1 2015","Currency=INR","Period=FQ","BEST_FPERIOD_OVERRIDE=FQ","FILING_STATUS=OR","EQY_CONSOLIDATED=Y","FA_ADJUSTED=GAAP","Sort=A","Dates=H","DateFormat=P","Fill=—","Direction=H","UseDPDF=Y")</f>
        <v>#NAME?</v>
      </c>
      <c r="CX609" s="2" t="e">
        <f ca="1">_xll.BDH($C$603,"ACCT_RCV_DAYS","FQ1 2015","FQ1 2015","Currency=INR","Period=FQ","BEST_FPERIOD_OVERRIDE=FQ","FILING_STATUS=OR","EQY_CONSOLIDATED=Y","FA_ADJUSTED=GAAP","Sort=A","Dates=H","DateFormat=P","Fill=—","Direction=H","UseDPDF=Y")</f>
        <v>#NAME?</v>
      </c>
      <c r="CY609" s="4" t="e">
        <f ca="1">_xll.BDH($C$603,"INVENT_TURN","FQ1 2015","FQ1 2015","Currency=INR","Period=FQ","BEST_FPERIOD_OVERRIDE=FQ","FILING_STATUS=OR","EQY_CONSOLIDATED=Y","FA_ADJUSTED=GAAP","Sort=A","Dates=H","DateFormat=P","Fill=—","Direction=H","UseDPDF=Y")</f>
        <v>#NAME?</v>
      </c>
      <c r="CZ609" s="2" t="e">
        <f ca="1">_xll.BDH($C$603,"INVENT_DAYS","FQ1 2015","FQ1 2015","Currency=INR","Period=FQ","BEST_FPERIOD_OVERRIDE=FQ","FILING_STATUS=OR","EQY_CONSOLIDATED=Y","FA_ADJUSTED=GAAP","Sort=A","Dates=H","DateFormat=P","Fill=—","Direction=H","UseDPDF=Y")</f>
        <v>#NAME?</v>
      </c>
      <c r="DA609" s="4" t="e">
        <f ca="1">_xll.BDH($C$603,"ACCOUNTS_PAYABLE_TURNOVER","FQ1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609" s="2" t="e">
        <f ca="1">_xll.BDH($C$603,"ACCOUNTS_PAYABLE_TURNOVER_DAYS","FQ1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609" s="4" t="e">
        <f ca="1">_xll.BDH($C$603,"CASH_CONVERSION_CYCLE","FQ1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609" s="4" t="e">
        <f ca="1">_xll.BDH($C$603,"INV_TO_CASH_DAYS","FQ1 2015","FQ1 2015","Currency=INR","Period=FQ","BEST_FPERIOD_OVERRIDE=FQ","FILING_STATUS=OR","EQY_CONSOLIDATED=Y","FA_ADJUSTED=GAAP","Sort=A","Dates=H","DateFormat=P","Fill=—","Direction=H","UseDPDF=Y")</f>
        <v>#NAME?</v>
      </c>
      <c r="DE609" s="5" t="e">
        <f ca="1">_xll.BDH($C$603,"BS_INVENTORIES","FQ1 2015","FQ1 2015","Currency=INR","Period=FQ","BEST_FPERIOD_OVERRIDE=FQ","FILING_STATUS=OR","EQY_CONSOLIDATED=Y","SCALING_FORMAT=MLN","Sort=A","Dates=H","DateFormat=P","Fill=—","Direction=H","UseDPDF=Y")</f>
        <v>#NAME?</v>
      </c>
      <c r="DF609" s="3" t="e">
        <f ca="1">_xll.BDH($C$603,"INVTRY_RAW_MATERIALS","FQ1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609" s="3" t="e">
        <f ca="1">_xll.BDH($C$603,"INVTRY_IN_PROGRESS","FQ1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609" s="3" t="e">
        <f ca="1">_xll.BDH($C$603,"INVTRY_FINISHED_GOODS","FQ1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609" s="3" t="e">
        <f ca="1">_xll.BDH($C$603,"BS_OTHER_INV","FQ1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10" spans="1:113" x14ac:dyDescent="0.3">
      <c r="A610" s="6"/>
      <c r="B610" s="6"/>
      <c r="C610" s="6"/>
      <c r="D610" s="6"/>
      <c r="E610" t="s">
        <v>79</v>
      </c>
      <c r="F610" t="e">
        <f ca="1">_xll.BDH($C$603,"RETURN_COM_EQY","FQ2 2015","FQ2 2015","Currency=INR","Period=FQ","BEST_FPERIOD_OVERRIDE=FQ","FILING_STATUS=OR","EQY_CONSOLIDATED=Y","FA_ADJUSTED=GAAP","Sort=A","Dates=H","DateFormat=P","Fill=—","Direction=H","UseDPDF=Y")</f>
        <v>#NAME?</v>
      </c>
      <c r="G610" t="e">
        <f ca="1">_xll.BDH($C$603,"RETURN_ON_ASSET","FQ2 2015","FQ2 2015","Currency=INR","Period=FQ","BEST_FPERIOD_OVERRIDE=FQ","FILING_STATUS=OR","EQY_CONSOLIDATED=Y","FA_ADJUSTED=GAAP","Sort=A","Dates=H","DateFormat=P","Fill=—","Direction=H","UseDPDF=Y")</f>
        <v>#NAME?</v>
      </c>
      <c r="H610" t="e">
        <f ca="1">_xll.BDH($C$603,"RETURN_ON_CAP","FQ2 2015","FQ2 2015","Currency=INR","Period=FQ","BEST_FPERIOD_OVERRIDE=FQ","FILING_STATUS=OR","EQY_CONSOLIDATED=Y","FA_ADJUSTED=GAAP","Sort=A","Dates=H","DateFormat=P","Fill=—","Direction=H","UseDPDF=Y")</f>
        <v>#NAME?</v>
      </c>
      <c r="I610" t="e">
        <f ca="1">_xll.BDH($C$603,"RETURN_ON_INV_CAPITAL","FQ2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10" t="e">
        <f ca="1">_xll.BDH($C$603,"EBITDA_TO_REVENUE","FQ2 2015","FQ2 2015","Currency=INR","Period=FQ","BEST_FPERIOD_OVERRIDE=FQ","FILING_STATUS=OR","EQY_CONSOLIDATED=Y","FA_ADJUSTED=GAAP","Sort=A","Dates=H","DateFormat=P","Fill=—","Direction=H","UseDPDF=Y")</f>
        <v>#NAME?</v>
      </c>
      <c r="K610" t="e">
        <f ca="1">_xll.BDH($C$603,"OPER_MARGIN","FQ2 2015","FQ2 2015","Currency=INR","Period=FQ","BEST_FPERIOD_OVERRIDE=FQ","FILING_STATUS=OR","EQY_CONSOLIDATED=Y","FA_ADJUSTED=GAAP","Sort=A","Dates=H","DateFormat=P","Fill=—","Direction=H","UseDPDF=Y")</f>
        <v>#NAME?</v>
      </c>
      <c r="L610" t="e">
        <f ca="1">_xll.BDH($C$603,"INCREMENTAL_OPERATING_MARGIN","FQ2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10" t="e">
        <f ca="1">_xll.BDH($C$603,"PRETAX_INC_TO_NET_SALES","FQ2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10" t="e">
        <f ca="1">_xll.BDH($C$603,"INC_BEF_XO_ITEMS_TO_NET_SALES","FQ2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10" t="e">
        <f ca="1">_xll.BDH($C$603,"PROF_MARGIN","FQ2 2015","FQ2 2015","Currency=INR","Period=FQ","BEST_FPERIOD_OVERRIDE=FQ","FILING_STATUS=OR","EQY_CONSOLIDATED=Y","FA_ADJUSTED=GAAP","Sort=A","Dates=H","DateFormat=P","Fill=—","Direction=H","UseDPDF=Y")</f>
        <v>#NAME?</v>
      </c>
      <c r="P610" t="e">
        <f ca="1">_xll.BDH($C$603,"NET_INCOME_TO_COMMON_MARGIN","FQ2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10" t="e">
        <f ca="1">_xll.BDH($C$603,"EFF_TAX_RATE","FQ2 2015","FQ2 2015","Currency=INR","Period=FQ","BEST_FPERIOD_OVERRIDE=FQ","FILING_STATUS=OR","EQY_CONSOLIDATED=Y","FA_ADJUSTED=GAAP","Sort=A","Dates=H","DateFormat=P","Fill=—","Direction=H","UseDPDF=Y")</f>
        <v>#NAME?</v>
      </c>
      <c r="R610" t="e">
        <f ca="1">_xll.BDH($C$603,"DVD_PAYOUT_RATIO","FQ2 2015","FQ2 2015","Currency=INR","Period=FQ","BEST_FPERIOD_OVERRIDE=FQ","FILING_STATUS=OR","EQY_CONSOLIDATED=Y","FA_ADJUSTED=GAAP","Sort=A","Dates=H","DateFormat=P","Fill=—","Direction=H","UseDPDF=Y")</f>
        <v>#NAME?</v>
      </c>
      <c r="S610" t="e">
        <f ca="1">_xll.BDH($C$603,"SUSTAIN_GROWTH_RT","FQ2 2015","FQ2 2015","Currency=INR","Period=FQ","BEST_FPERIOD_OVERRIDE=FQ","FILING_STATUS=OR","EQY_CONSOLIDATED=Y","FA_ADJUSTED=GAAP","Sort=A","Dates=H","DateFormat=P","Fill=—","Direction=H","UseDPDF=Y")</f>
        <v>#NAME?</v>
      </c>
      <c r="T610" s="2" t="e">
        <f ca="1">_xll.BDH($C$603,"SALES_GROWTH","FQ2 2015","FQ2 2015","Currency=INR","Period=FQ","BEST_FPERIOD_OVERRIDE=FQ","FILING_STATUS=OR","EQY_CONSOLIDATED=Y","FA_ADJUSTED=GAAP","Sort=A","Dates=H","DateFormat=P","Fill=—","Direction=H","UseDPDF=Y")</f>
        <v>#NAME?</v>
      </c>
      <c r="U610" s="2" t="e">
        <f ca="1">_xll.BDH($C$603,"EBITDA_GROWTH","FQ2 2015","FQ2 2015","Currency=INR","Period=FQ","BEST_FPERIOD_OVERRIDE=FQ","FILING_STATUS=OR","EQY_CONSOLIDATED=Y","FA_ADJUSTED=GAAP","Sort=A","Dates=H","DateFormat=P","Fill=—","Direction=H","UseDPDF=Y")</f>
        <v>#NAME?</v>
      </c>
      <c r="V610" s="2" t="e">
        <f ca="1">_xll.BDH($C$603,"OPER_INC_GROWTH","FQ2 2015","FQ2 2015","Currency=INR","Period=FQ","BEST_FPERIOD_OVERRIDE=FQ","FILING_STATUS=OR","EQY_CONSOLIDATED=Y","FA_ADJUSTED=GAAP","Sort=A","Dates=H","DateFormat=P","Fill=—","Direction=H","UseDPDF=Y")</f>
        <v>#NAME?</v>
      </c>
      <c r="W610" s="2" t="e">
        <f ca="1">_xll.BDH($C$603,"EARN_FOR_COM_GROWTH","FQ2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10" s="2" t="e">
        <f ca="1">_xll.BDH($C$603,"DILUTED_EPS_AFT_XO_ITEMS_GROWTH","FQ2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10" s="2" t="e">
        <f ca="1">_xll.BDH($C$603,"DIVIDEND_PER_SHARE_1_YEAR_GROWTH","FQ2 2015","FQ2 2015","Currency=INR","Period=FQ","BEST_FPERIOD_OVERRIDE=FQ","FILING_STATUS=OR","EQY_CONSOLIDATED=Y","Sort=A","Dates=H","DateFormat=P","Fill=—","Direction=H","UseDPDF=Y")</f>
        <v>#NAME?</v>
      </c>
      <c r="Z610" s="2" t="e">
        <f ca="1">_xll.BDH($C$603,"ACCOUNTS_RECEIVABLE_GROWTH","FQ2 2015","FQ2 2015","Currency=INR","Period=FQ","BEST_FPERIOD_OVERRIDE=FQ","FILING_STATUS=OR","EQY_CONSOLIDATED=Y","Sort=A","Dates=H","DateFormat=P","Fill=—","Direction=H","UseDPDF=Y")</f>
        <v>#NAME?</v>
      </c>
      <c r="AA610" s="2" t="e">
        <f ca="1">_xll.BDH($C$603,"INVENTORY_GROWTH","FQ2 2015","FQ2 2015","Currency=INR","Period=FQ","BEST_FPERIOD_OVERRIDE=FQ","FILING_STATUS=OR","EQY_CONSOLIDATED=Y","Sort=A","Dates=H","DateFormat=P","Fill=—","Direction=H","UseDPDF=Y")</f>
        <v>#NAME?</v>
      </c>
      <c r="AB610" s="2" t="e">
        <f ca="1">_xll.BDH($C$603,"NET_FIXED_ASSETS_1_YEAR_GROWTH","FQ2 2015","FQ2 2015","Currency=INR","Period=FQ","BEST_FPERIOD_OVERRIDE=FQ","FILING_STATUS=OR","EQY_CONSOLIDATED=Y","Sort=A","Dates=H","DateFormat=P","Fill=—","Direction=H","UseDPDF=Y")</f>
        <v>#NAME?</v>
      </c>
      <c r="AC610" s="2" t="e">
        <f ca="1">_xll.BDH($C$603,"ASSET_GROWTH","FQ2 2015","FQ2 2015","Currency=INR","Period=FQ","BEST_FPERIOD_OVERRIDE=FQ","FILING_STATUS=OR","EQY_CONSOLIDATED=Y","Sort=A","Dates=H","DateFormat=P","Fill=—","Direction=H","UseDPDF=Y")</f>
        <v>#NAME?</v>
      </c>
      <c r="AD610" s="2" t="e">
        <f ca="1">_xll.BDH($C$603,"MODIFIED_WORK_CAP_GROWTH","FQ2 2015","FQ2 2015","Currency=INR","Period=FQ","BEST_FPERIOD_OVERRIDE=FQ","FILING_STATUS=OR","EQY_CONSOLIDATED=Y","Sort=A","Dates=H","DateFormat=P","Fill=—","Direction=H","UseDPDF=Y")</f>
        <v>#NAME?</v>
      </c>
      <c r="AE610" s="2" t="e">
        <f ca="1">_xll.BDH($C$603,"WORK_CAP_GROWTH","FQ2 2015","FQ2 2015","Currency=INR","Period=FQ","BEST_FPERIOD_OVERRIDE=FQ","FILING_STATUS=OR","EQY_CONSOLIDATED=Y","Sort=A","Dates=H","DateFormat=P","Fill=—","Direction=H","UseDPDF=Y")</f>
        <v>#NAME?</v>
      </c>
      <c r="AF610" s="2" t="e">
        <f ca="1">_xll.BDH($C$603,"ACCOUNTS_PAYABLE_GROWTH_1YR","FQ2 2015","FQ2 2015","Currency=INR","Period=FQ","BEST_FPERIOD_OVERRIDE=FQ","FILING_STATUS=OR","EQY_CONSOLIDATED=Y","Sort=A","Dates=H","DateFormat=P","Fill=—","Direction=H","UseDPDF=Y")</f>
        <v>#NAME?</v>
      </c>
      <c r="AG610" s="2" t="e">
        <f ca="1">_xll.BDH($C$603,"SHORT_TERM_DEBT_1_YEAR_GROWTH","FQ2 2015","FQ2 2015","Currency=INR","Period=FQ","BEST_FPERIOD_OVERRIDE=FQ","FILING_STATUS=OR","EQY_CONSOLIDATED=Y","Sort=A","Dates=H","DateFormat=P","Fill=—","Direction=H","UseDPDF=Y")</f>
        <v>#NAME?</v>
      </c>
      <c r="AH610" s="2" t="e">
        <f ca="1">_xll.BDH($C$603,"TOTAL_DEBT_1_YEAR_GROWTH","FQ2 2015","FQ2 2015","Currency=INR","Period=FQ","BEST_FPERIOD_OVERRIDE=FQ","FILING_STATUS=OR","EQY_CONSOLIDATED=Y","Sort=A","Dates=H","DateFormat=P","Fill=—","Direction=H","UseDPDF=Y")</f>
        <v>#NAME?</v>
      </c>
      <c r="AI610" s="2" t="e">
        <f ca="1">_xll.BDH($C$603,"TOTAL_EQUITY_1_YEAR_GROWTH","FQ2 2015","FQ2 2015","Currency=INR","Period=FQ","BEST_FPERIOD_OVERRIDE=FQ","FILING_STATUS=OR","EQY_CONSOLIDATED=Y","Sort=A","Dates=H","DateFormat=P","Fill=—","Direction=H","UseDPDF=Y")</f>
        <v>#NAME?</v>
      </c>
      <c r="AJ610" s="2" t="e">
        <f ca="1">_xll.BDH($C$603,"GROWTH_IN_CAP","FQ2 2015","FQ2 2015","Currency=INR","Period=FQ","BEST_FPERIOD_OVERRIDE=FQ","FILING_STATUS=OR","EQY_CONSOLIDATED=Y","Sort=A","Dates=H","DateFormat=P","Fill=—","Direction=H","UseDPDF=Y")</f>
        <v>#NAME?</v>
      </c>
      <c r="AK610" s="2" t="e">
        <f ca="1">_xll.BDH($C$603,"BVPS_GROWTH","FQ2 2015","FQ2 2015","Currency=INR","Period=FQ","BEST_FPERIOD_OVERRIDE=FQ","FILING_STATUS=OR","EQY_CONSOLIDATED=Y","Sort=A","Dates=H","DateFormat=P","Fill=—","Direction=H","UseDPDF=Y")</f>
        <v>#NAME?</v>
      </c>
      <c r="AL610" s="2" t="e">
        <f ca="1">_xll.BDH($C$603,"CASH_FLOW_GROWTH","FQ2 2015","FQ2 2015","Currency=INR","Period=FQ","BEST_FPERIOD_OVERRIDE=FQ","FILING_STATUS=OR","EQY_CONSOLIDATED=Y","Sort=A","Dates=H","DateFormat=P","Fill=—","Direction=H","UseDPDF=Y")</f>
        <v>#NAME?</v>
      </c>
      <c r="AM610" s="2" t="e">
        <f ca="1">_xll.BDH($C$603,"GEO_GROW_NET_SALES","FQ2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10" s="2" t="e">
        <f ca="1">_xll.BDH($C$603,"GEO_GROW_EBITDA","FQ2 2015","FQ2 2015","Currency=INR","Period=FQ","BEST_FPERIOD_OVERRIDE=FQ","FILING_STATUS=OR","EQY_CONSOLIDATED=Y","FA_ADJUSTED=GAAP","Sort=A","Dates=H","DateFormat=P","Fill=—","Direction=H","UseDPDF=Y")</f>
        <v>#NAME?</v>
      </c>
      <c r="AO610" s="2" t="e">
        <f ca="1">_xll.BDH($C$603,"GEO_GROW_OPER_INC","FQ2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10" s="2" t="e">
        <f ca="1">_xll.BDH($C$603,"NET_INCOME_TO_COMMON_5_YR_GROWTH","FQ2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10" s="2" t="e">
        <f ca="1">_xll.BDH($C$603,"5Y_GEO_GROWTH_DILUTED_EPS","FQ2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10" s="2" t="e">
        <f ca="1">_xll.BDH($C$603,"GEO_GROW_DVD_PER_SH","FQ2 2015","FQ2 2015","Currency=INR","Period=FQ","BEST_FPERIOD_OVERRIDE=FQ","FILING_STATUS=OR","EQY_CONSOLIDATED=Y","Sort=A","Dates=H","DateFormat=P","Fill=—","Direction=H","UseDPDF=Y")</f>
        <v>#NAME?</v>
      </c>
      <c r="AS610" s="2" t="e">
        <f ca="1">_xll.BDH($C$603,"ACCOUNTS_RECEIVABLE_5_YR_GROWTH","FQ2 2015","FQ2 2015","Currency=INR","Period=FQ","BEST_FPERIOD_OVERRIDE=FQ","FILING_STATUS=OR","EQY_CONSOLIDATED=Y","Sort=A","Dates=H","DateFormat=P","Fill=—","Direction=H","UseDPDF=Y")</f>
        <v>#NAME?</v>
      </c>
      <c r="AT610" s="2" t="e">
        <f ca="1">_xll.BDH($C$603,"INVENTORY_5_YEAR_GROWTH","FQ2 2015","FQ2 2015","Currency=INR","Period=FQ","BEST_FPERIOD_OVERRIDE=FQ","FILING_STATUS=OR","EQY_CONSOLIDATED=Y","Sort=A","Dates=H","DateFormat=P","Fill=—","Direction=H","UseDPDF=Y")</f>
        <v>#NAME?</v>
      </c>
      <c r="AU610" s="2" t="e">
        <f ca="1">_xll.BDH($C$603,"NET_FIXED_ASSETS_5_YEAR_GROWTH","FQ2 2015","FQ2 2015","Currency=INR","Period=FQ","BEST_FPERIOD_OVERRIDE=FQ","FILING_STATUS=OR","EQY_CONSOLIDATED=Y","Sort=A","Dates=H","DateFormat=P","Fill=—","Direction=H","UseDPDF=Y")</f>
        <v>#NAME?</v>
      </c>
      <c r="AV610" s="2" t="e">
        <f ca="1">_xll.BDH($C$603,"GEO_GROW_TOT_ASSET","FQ2 2015","FQ2 2015","Currency=INR","Period=FQ","BEST_FPERIOD_OVERRIDE=FQ","FILING_STATUS=OR","EQY_CONSOLIDATED=Y","Sort=A","Dates=H","DateFormat=P","Fill=—","Direction=H","UseDPDF=Y")</f>
        <v>#NAME?</v>
      </c>
      <c r="AW610" s="2" t="e">
        <f ca="1">_xll.BDH($C$603,"MODIFIED_WORKING_CPTL_5YR_GRWTH","FQ2 2015","FQ2 2015","Currency=INR","Period=FQ","BEST_FPERIOD_OVERRIDE=FQ","FILING_STATUS=OR","EQY_CONSOLIDATED=Y","Sort=A","Dates=H","DateFormat=P","Fill=—","Direction=H","UseDPDF=Y")</f>
        <v>#NAME?</v>
      </c>
      <c r="AX610" s="2" t="e">
        <f ca="1">_xll.BDH($C$603,"WORKING_CAPITAL_5_YEAR_GROWTH","FQ2 2015","FQ2 2015","Currency=INR","Period=FQ","BEST_FPERIOD_OVERRIDE=FQ","FILING_STATUS=OR","EQY_CONSOLIDATED=Y","Sort=A","Dates=H","DateFormat=P","Fill=—","Direction=H","UseDPDF=Y")</f>
        <v>#NAME?</v>
      </c>
      <c r="AY610" s="2" t="e">
        <f ca="1">_xll.BDH($C$603,"ACCOUNTS_PAYABLE_5_YEAR_GROWTH","FQ2 2015","FQ2 2015","Currency=INR","Period=FQ","BEST_FPERIOD_OVERRIDE=FQ","FILING_STATUS=OR","EQY_CONSOLIDATED=Y","Sort=A","Dates=H","DateFormat=P","Fill=—","Direction=H","UseDPDF=Y")</f>
        <v>#NAME?</v>
      </c>
      <c r="AZ610" s="2" t="e">
        <f ca="1">_xll.BDH($C$603,"SHORT_TERM_DEBT_5_YEAR_GROWTH","FQ2 2015","FQ2 2015","Currency=INR","Period=FQ","BEST_FPERIOD_OVERRIDE=FQ","FILING_STATUS=OR","EQY_CONSOLIDATED=Y","Sort=A","Dates=H","DateFormat=P","Fill=—","Direction=H","UseDPDF=Y")</f>
        <v>#NAME?</v>
      </c>
      <c r="BA610" s="2" t="e">
        <f ca="1">_xll.BDH($C$603,"TOTAL_DEBT_5_YEAR_GROWTH","FQ2 2015","FQ2 2015","Currency=INR","Period=FQ","BEST_FPERIOD_OVERRIDE=FQ","FILING_STATUS=OR","EQY_CONSOLIDATED=Y","Sort=A","Dates=H","DateFormat=P","Fill=—","Direction=H","UseDPDF=Y")</f>
        <v>#NAME?</v>
      </c>
      <c r="BB610" s="2" t="e">
        <f ca="1">_xll.BDH($C$603,"GEO_GROW_TOT_SHRHLDR_EQY","FQ2 2015","FQ2 2015","Currency=INR","Period=FQ","BEST_FPERIOD_OVERRIDE=FQ","FILING_STATUS=OR","EQY_CONSOLIDATED=Y","Sort=A","Dates=H","DateFormat=P","Fill=—","Direction=H","UseDPDF=Y")</f>
        <v>#NAME?</v>
      </c>
      <c r="BC610" s="2" t="e">
        <f ca="1">_xll.BDH($C$603,"TOTAL_CAPITAL_5_YEAR_GROWTH","FQ2 2015","FQ2 2015","Currency=INR","Period=FQ","BEST_FPERIOD_OVERRIDE=FQ","FILING_STATUS=OR","EQY_CONSOLIDATED=Y","Sort=A","Dates=H","DateFormat=P","Fill=—","Direction=H","UseDPDF=Y")</f>
        <v>#NAME?</v>
      </c>
      <c r="BD610" s="2" t="e">
        <f ca="1">_xll.BDH($C$603,"GEO_GROW_BOOK_VAL","FQ2 2015","FQ2 2015","Currency=INR","Period=FQ","BEST_FPERIOD_OVERRIDE=FQ","FILING_STATUS=OR","EQY_CONSOLIDATED=Y","Sort=A","Dates=H","DateFormat=P","Fill=—","Direction=H","UseDPDF=Y")</f>
        <v>#NAME?</v>
      </c>
      <c r="BE610" s="2" t="e">
        <f ca="1">_xll.BDH($C$603,"GEO_GROW_CASH_OPER_ACT","FQ2 2015","FQ2 2015","Currency=INR","Period=FQ","BEST_FPERIOD_OVERRIDE=FQ","FILING_STATUS=OR","EQY_CONSOLIDATED=Y","Sort=A","Dates=H","DateFormat=P","Fill=—","Direction=H","UseDPDF=Y")</f>
        <v>#NAME?</v>
      </c>
      <c r="BF610" s="2" t="e">
        <f ca="1">_xll.BDH($C$603,"REVENUE_SEQUENTIAL_GROWTH","FQ2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10" s="2" t="e">
        <f ca="1">_xll.BDH($C$603,"EBITDA_SEQUENTIAL_GROWTH","FQ2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10" s="2" t="e">
        <f ca="1">_xll.BDH($C$603,"OPERATING_INCOME_SEQ_GROWTH","FQ2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10" s="2" t="e">
        <f ca="1">_xll.BDH($C$603,"NET_INCOME_TO_COMMON_SEQ_GROWTH","FQ2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10" s="2" t="e">
        <f ca="1">_xll.BDH($C$603,"EPS_DILUTED_SEQUENTIAL_GROWTH","FQ2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10" s="2" t="e">
        <f ca="1">_xll.BDH($C$603,"DPS_SEQUENTIAL_GROWTH","FQ2 2015","FQ2 2015","Currency=INR","Period=FQ","BEST_FPERIOD_OVERRIDE=FQ","FILING_STATUS=OR","EQY_CONSOLIDATED=Y","Sort=A","Dates=H","DateFormat=P","Fill=—","Direction=H","UseDPDF=Y")</f>
        <v>#NAME?</v>
      </c>
      <c r="BL610" s="2" t="e">
        <f ca="1">_xll.BDH($C$603,"ACCOUNTS_RECEIVABLE_SEQ_GROWTH","FQ2 2015","FQ2 2015","Currency=INR","Period=FQ","BEST_FPERIOD_OVERRIDE=FQ","FILING_STATUS=OR","EQY_CONSOLIDATED=Y","Sort=A","Dates=H","DateFormat=P","Fill=—","Direction=H","UseDPDF=Y")</f>
        <v>#NAME?</v>
      </c>
      <c r="BM610" s="2" t="e">
        <f ca="1">_xll.BDH($C$603,"INVENTORY_SEQUENTIAL_GROWTH","FQ2 2015","FQ2 2015","Currency=INR","Period=FQ","BEST_FPERIOD_OVERRIDE=FQ","FILING_STATUS=OR","EQY_CONSOLIDATED=Y","Sort=A","Dates=H","DateFormat=P","Fill=—","Direction=H","UseDPDF=Y")</f>
        <v>#NAME?</v>
      </c>
      <c r="BN610" s="2" t="e">
        <f ca="1">_xll.BDH($C$603,"FIXED_ASSETS_SEQUENTIAL_GROWTH","FQ2 2015","FQ2 2015","Currency=INR","Period=FQ","BEST_FPERIOD_OVERRIDE=FQ","FILING_STATUS=OR","EQY_CONSOLIDATED=Y","Sort=A","Dates=H","DateFormat=P","Fill=—","Direction=H","UseDPDF=Y")</f>
        <v>#NAME?</v>
      </c>
      <c r="BO610" s="2" t="e">
        <f ca="1">_xll.BDH($C$603,"TOTAL_ASSETS_SEQUENTIAL_GROWTH","FQ2 2015","FQ2 2015","Currency=INR","Period=FQ","BEST_FPERIOD_OVERRIDE=FQ","FILING_STATUS=OR","EQY_CONSOLIDATED=Y","Sort=A","Dates=H","DateFormat=P","Fill=—","Direction=H","UseDPDF=Y")</f>
        <v>#NAME?</v>
      </c>
      <c r="BP610" s="2" t="e">
        <f ca="1">_xll.BDH($C$603,"MODIFIED_WORKING_CPTL_SEQ_GRWTH","FQ2 2015","FQ2 2015","Currency=INR","Period=FQ","BEST_FPERIOD_OVERRIDE=FQ","FILING_STATUS=OR","EQY_CONSOLIDATED=Y","Sort=A","Dates=H","DateFormat=P","Fill=—","Direction=H","UseDPDF=Y")</f>
        <v>#NAME?</v>
      </c>
      <c r="BQ610" s="2" t="e">
        <f ca="1">_xll.BDH($C$603,"WORKING_CAPITAL_SEQ_GROWTH","FQ2 2015","FQ2 2015","Currency=INR","Period=FQ","BEST_FPERIOD_OVERRIDE=FQ","FILING_STATUS=OR","EQY_CONSOLIDATED=Y","Sort=A","Dates=H","DateFormat=P","Fill=—","Direction=H","UseDPDF=Y")</f>
        <v>#NAME?</v>
      </c>
      <c r="BR610" s="2" t="e">
        <f ca="1">_xll.BDH($C$603,"ACCOUNTS_PAYABLE_SEQ_GROWTH","FQ2 2015","FQ2 2015","Currency=INR","Period=FQ","BEST_FPERIOD_OVERRIDE=FQ","FILING_STATUS=OR","EQY_CONSOLIDATED=Y","Sort=A","Dates=H","DateFormat=P","Fill=—","Direction=H","UseDPDF=Y")</f>
        <v>#NAME?</v>
      </c>
      <c r="BS610" s="2" t="e">
        <f ca="1">_xll.BDH($C$603,"ST_DEBT_SEQUENTIAL_GROWTH","FQ2 2015","FQ2 2015","Currency=INR","Period=FQ","BEST_FPERIOD_OVERRIDE=FQ","FILING_STATUS=OR","EQY_CONSOLIDATED=Y","Sort=A","Dates=H","DateFormat=P","Fill=—","Direction=H","UseDPDF=Y")</f>
        <v>#NAME?</v>
      </c>
      <c r="BT610" s="2" t="e">
        <f ca="1">_xll.BDH($C$603,"TOTAL_DEBT_SEQUENTIAL_GROWTH","FQ2 2015","FQ2 2015","Currency=INR","Period=FQ","BEST_FPERIOD_OVERRIDE=FQ","FILING_STATUS=OR","EQY_CONSOLIDATED=Y","Sort=A","Dates=H","DateFormat=P","Fill=—","Direction=H","UseDPDF=Y")</f>
        <v>#NAME?</v>
      </c>
      <c r="BU610" s="2" t="e">
        <f ca="1">_xll.BDH($C$603,"TOTAL_EQUITY_SEQUENTIAL_GROWTH","FQ2 2015","FQ2 2015","Currency=INR","Period=FQ","BEST_FPERIOD_OVERRIDE=FQ","FILING_STATUS=OR","EQY_CONSOLIDATED=Y","Sort=A","Dates=H","DateFormat=P","Fill=—","Direction=H","UseDPDF=Y")</f>
        <v>#NAME?</v>
      </c>
      <c r="BV610" s="2" t="e">
        <f ca="1">_xll.BDH($C$603,"TOTAL_CAPITAL_SEQUENTIAL_GROWTH","FQ2 2015","FQ2 2015","Currency=INR","Period=FQ","BEST_FPERIOD_OVERRIDE=FQ","FILING_STATUS=OR","EQY_CONSOLIDATED=Y","Sort=A","Dates=H","DateFormat=P","Fill=—","Direction=H","UseDPDF=Y")</f>
        <v>#NAME?</v>
      </c>
      <c r="BW610" s="2" t="e">
        <f ca="1">_xll.BDH($C$603,"BPS_SEQUENTIAL_GROWTH","FQ2 2015","FQ2 2015","Currency=INR","Period=FQ","BEST_FPERIOD_OVERRIDE=FQ","FILING_STATUS=OR","EQY_CONSOLIDATED=Y","Sort=A","Dates=H","DateFormat=P","Fill=—","Direction=H","UseDPDF=Y")</f>
        <v>#NAME?</v>
      </c>
      <c r="BX610" s="2" t="e">
        <f ca="1">_xll.BDH($C$603,"CFO_SEQUENTIAL_GROWTH","FQ2 2015","FQ2 2015","Currency=INR","Period=FQ","BEST_FPERIOD_OVERRIDE=FQ","FILING_STATUS=OR","EQY_CONSOLIDATED=Y","Sort=A","Dates=H","DateFormat=P","Fill=—","Direction=H","UseDPDF=Y")</f>
        <v>#NAME?</v>
      </c>
      <c r="BY610" s="3" t="e">
        <f ca="1">_xll.BDH($C$603,"SHORT_AND_LONG_TERM_DEBT","FQ2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10" s="3" t="e">
        <f ca="1">_xll.BDH($C$603,"BS_ST_BORROW","FQ2 2015","FQ2 2015","Currency=INR","Period=FQ","BEST_FPERIOD_OVERRIDE=FQ","FILING_STATUS=OR","EQY_CONSOLIDATED=Y","SCALING_FORMAT=MLN","Sort=A","Dates=H","DateFormat=P","Fill=—","Direction=H","UseDPDF=Y")</f>
        <v>#NAME?</v>
      </c>
      <c r="CA610" s="3" t="e">
        <f ca="1">_xll.BDH($C$603,"BS_LT_BORROW","FQ2 2015","FQ2 2015","Currency=INR","Period=FQ","BEST_FPERIOD_OVERRIDE=FQ","FILING_STATUS=OR","EQY_CONSOLIDATED=Y","SCALING_FORMAT=MLN","Sort=A","Dates=H","DateFormat=P","Fill=—","Direction=H","UseDPDF=Y")</f>
        <v>#NAME?</v>
      </c>
      <c r="CB610" s="2" t="e">
        <f ca="1">_xll.BDH($C$603,"TOT_DEBT_TO_EBITDA","FQ2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10" s="2" t="e">
        <f ca="1">_xll.BDH($C$603,"NET_DEBT_TO_EBITDA","FQ2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10" s="2" t="e">
        <f ca="1">_xll.BDH($C$603,"TOTAL_DEBT_TO_EBIT","FQ2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10" s="2" t="e">
        <f ca="1">_xll.BDH($C$603,"NET_DEBT_TO_EBIT","FQ2 2015","FQ2 2015","Currency=INR","Period=FQ","BEST_FPERIOD_OVERRIDE=FQ","FILING_STATUS=OR","EQY_CONSOLIDATED=Y","FA_ADJUSTED=GAAP","Sort=A","Dates=H","DateFormat=P","Fill=—","Direction=H","UseDPDF=Y")</f>
        <v>#NAME?</v>
      </c>
      <c r="CF610" s="2" t="e">
        <f ca="1">_xll.BDH($C$603,"EBITDA_TO_INTEREST_EXPN","FQ2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10" s="2" t="e">
        <f ca="1">_xll.BDH($C$603,"COM_EQY_TO_TOT_ASSET","FQ2 2015","FQ2 2015","Currency=INR","Period=FQ","BEST_FPERIOD_OVERRIDE=FQ","FILING_STATUS=OR","EQY_CONSOLIDATED=Y","Sort=A","Dates=H","DateFormat=P","Fill=—","Direction=H","UseDPDF=Y")</f>
        <v>#NAME?</v>
      </c>
      <c r="CH610" s="2" t="e">
        <f ca="1">_xll.BDH($C$603,"LT_DEBT_TO_TOT_EQY","FQ2 2015","FQ2 2015","Currency=INR","Period=FQ","BEST_FPERIOD_OVERRIDE=FQ","FILING_STATUS=OR","EQY_CONSOLIDATED=Y","Sort=A","Dates=H","DateFormat=P","Fill=—","Direction=H","UseDPDF=Y")</f>
        <v>#NAME?</v>
      </c>
      <c r="CI610" s="2" t="e">
        <f ca="1">_xll.BDH($C$603,"LT_DEBT_TO_TOT_CAP","FQ2 2015","FQ2 2015","Currency=INR","Period=FQ","BEST_FPERIOD_OVERRIDE=FQ","FILING_STATUS=OR","EQY_CONSOLIDATED=Y","Sort=A","Dates=H","DateFormat=P","Fill=—","Direction=H","UseDPDF=Y")</f>
        <v>#NAME?</v>
      </c>
      <c r="CJ610" s="2" t="e">
        <f ca="1">_xll.BDH($C$603,"LT_DEBT_TO_TOT_ASSET","FQ2 2015","FQ2 2015","Currency=INR","Period=FQ","BEST_FPERIOD_OVERRIDE=FQ","FILING_STATUS=OR","EQY_CONSOLIDATED=Y","Sort=A","Dates=H","DateFormat=P","Fill=—","Direction=H","UseDPDF=Y")</f>
        <v>#NAME?</v>
      </c>
      <c r="CK610" s="2" t="e">
        <f ca="1">_xll.BDH($C$603,"TOT_DEBT_TO_TOT_EQY","FQ2 2015","FQ2 2015","Currency=INR","Period=FQ","BEST_FPERIOD_OVERRIDE=FQ","FILING_STATUS=OR","EQY_CONSOLIDATED=Y","Sort=A","Dates=H","DateFormat=P","Fill=—","Direction=H","UseDPDF=Y")</f>
        <v>#NAME?</v>
      </c>
      <c r="CL610" s="2" t="e">
        <f ca="1">_xll.BDH($C$603,"TOT_DEBT_TO_TOT_CAP","FQ2 2015","FQ2 2015","Currency=INR","Period=FQ","BEST_FPERIOD_OVERRIDE=FQ","FILING_STATUS=OR","EQY_CONSOLIDATED=Y","Sort=A","Dates=H","DateFormat=P","Fill=—","Direction=H","UseDPDF=Y")</f>
        <v>#NAME?</v>
      </c>
      <c r="CM610" s="2" t="e">
        <f ca="1">_xll.BDH($C$603,"TOT_DEBT_TO_TOT_ASSET","FQ2 2015","FQ2 2015","Currency=INR","Period=FQ","BEST_FPERIOD_OVERRIDE=FQ","FILING_STATUS=OR","EQY_CONSOLIDATED=Y","Sort=A","Dates=H","DateFormat=P","Fill=—","Direction=H","UseDPDF=Y")</f>
        <v>#NAME?</v>
      </c>
      <c r="CN610" s="2" t="e">
        <f ca="1">_xll.BDH($C$603,"NET_DEBT_TO_SHRHLDR_EQTY","FQ2 2015","FQ2 2015","Currency=INR","Period=FQ","BEST_FPERIOD_OVERRIDE=FQ","FILING_STATUS=OR","EQY_CONSOLIDATED=Y","Sort=A","Dates=H","DateFormat=P","Fill=—","Direction=H","UseDPDF=Y")</f>
        <v>#NAME?</v>
      </c>
      <c r="CO610" s="2" t="e">
        <f ca="1">_xll.BDH($C$603,"NET_DEBT_%_CAPITAL","FQ2 2015","FQ2 2015","Currency=INR","Period=FQ","BEST_FPERIOD_OVERRIDE=FQ","FILING_STATUS=OR","EQY_CONSOLIDATED=Y","Sort=A","Dates=H","DateFormat=P","Fill=—","Direction=H","UseDPDF=Y")</f>
        <v>#NAME?</v>
      </c>
      <c r="CP610" s="3" t="e">
        <f ca="1">_xll.BDH($C$603,"EBITDA","FQ2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10" s="3" t="e">
        <f ca="1">_xll.BDH($C$603,"EBITDA_AFTER_CAPEX","FQ2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10" s="3" t="e">
        <f ca="1">_xll.BDH($C$603,"IS_OPER_INC","FQ2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10" s="2" t="e">
        <f ca="1">_xll.BDH($C$603,"CASH_RATIO","FQ2 2015","FQ2 2015","Currency=INR","Period=FQ","BEST_FPERIOD_OVERRIDE=FQ","FILING_STATUS=OR","EQY_CONSOLIDATED=Y","Sort=A","Dates=H","DateFormat=P","Fill=—","Direction=H","UseDPDF=Y")</f>
        <v>#NAME?</v>
      </c>
      <c r="CT610" s="2" t="e">
        <f ca="1">_xll.BDH($C$603,"CUR_RATIO","FQ2 2015","FQ2 2015","Currency=INR","Period=FQ","BEST_FPERIOD_OVERRIDE=FQ","FILING_STATUS=OR","EQY_CONSOLIDATED=Y","Sort=A","Dates=H","DateFormat=P","Fill=—","Direction=H","UseDPDF=Y")</f>
        <v>#NAME?</v>
      </c>
      <c r="CU610" s="2" t="e">
        <f ca="1">_xll.BDH($C$603,"QUICK_RATIO","FQ2 2015","FQ2 2015","Currency=INR","Period=FQ","BEST_FPERIOD_OVERRIDE=FQ","FILING_STATUS=OR","EQY_CONSOLIDATED=Y","Sort=A","Dates=H","DateFormat=P","Fill=—","Direction=H","UseDPDF=Y")</f>
        <v>#NAME?</v>
      </c>
      <c r="CV610" s="2" t="e">
        <f ca="1">_xll.BDH($C$603,"ALTMAN_Z_SCORE","FQ2 2015","FQ2 2015","Currency=INR","Period=FQ","BEST_FPERIOD_OVERRIDE=FQ","FILING_STATUS=OR","EQY_CONSOLIDATED=Y","Sort=A","Dates=H","DateFormat=P","Fill=—","Direction=H","UseDPDF=Y")</f>
        <v>#NAME?</v>
      </c>
      <c r="CW610" s="4" t="e">
        <f ca="1">_xll.BDH($C$603,"ACCT_RCV_TURN","FQ2 2015","FQ2 2015","Currency=INR","Period=FQ","BEST_FPERIOD_OVERRIDE=FQ","FILING_STATUS=OR","EQY_CONSOLIDATED=Y","FA_ADJUSTED=GAAP","Sort=A","Dates=H","DateFormat=P","Fill=—","Direction=H","UseDPDF=Y")</f>
        <v>#NAME?</v>
      </c>
      <c r="CX610" s="2" t="e">
        <f ca="1">_xll.BDH($C$603,"ACCT_RCV_DAYS","FQ2 2015","FQ2 2015","Currency=INR","Period=FQ","BEST_FPERIOD_OVERRIDE=FQ","FILING_STATUS=OR","EQY_CONSOLIDATED=Y","FA_ADJUSTED=GAAP","Sort=A","Dates=H","DateFormat=P","Fill=—","Direction=H","UseDPDF=Y")</f>
        <v>#NAME?</v>
      </c>
      <c r="CY610" s="4" t="e">
        <f ca="1">_xll.BDH($C$603,"INVENT_TURN","FQ2 2015","FQ2 2015","Currency=INR","Period=FQ","BEST_FPERIOD_OVERRIDE=FQ","FILING_STATUS=OR","EQY_CONSOLIDATED=Y","FA_ADJUSTED=GAAP","Sort=A","Dates=H","DateFormat=P","Fill=—","Direction=H","UseDPDF=Y")</f>
        <v>#NAME?</v>
      </c>
      <c r="CZ610" s="2" t="e">
        <f ca="1">_xll.BDH($C$603,"INVENT_DAYS","FQ2 2015","FQ2 2015","Currency=INR","Period=FQ","BEST_FPERIOD_OVERRIDE=FQ","FILING_STATUS=OR","EQY_CONSOLIDATED=Y","FA_ADJUSTED=GAAP","Sort=A","Dates=H","DateFormat=P","Fill=—","Direction=H","UseDPDF=Y")</f>
        <v>#NAME?</v>
      </c>
      <c r="DA610" s="4" t="e">
        <f ca="1">_xll.BDH($C$603,"ACCOUNTS_PAYABLE_TURNOVER","FQ2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10" s="2" t="e">
        <f ca="1">_xll.BDH($C$603,"ACCOUNTS_PAYABLE_TURNOVER_DAYS","FQ2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10" s="4" t="e">
        <f ca="1">_xll.BDH($C$603,"CASH_CONVERSION_CYCLE","FQ2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10" s="4" t="e">
        <f ca="1">_xll.BDH($C$603,"INV_TO_CASH_DAYS","FQ2 2015","FQ2 2015","Currency=INR","Period=FQ","BEST_FPERIOD_OVERRIDE=FQ","FILING_STATUS=OR","EQY_CONSOLIDATED=Y","FA_ADJUSTED=GAAP","Sort=A","Dates=H","DateFormat=P","Fill=—","Direction=H","UseDPDF=Y")</f>
        <v>#NAME?</v>
      </c>
      <c r="DE610" s="5" t="e">
        <f ca="1">_xll.BDH($C$603,"BS_INVENTORIES","FQ2 2015","FQ2 2015","Currency=INR","Period=FQ","BEST_FPERIOD_OVERRIDE=FQ","FILING_STATUS=OR","EQY_CONSOLIDATED=Y","SCALING_FORMAT=MLN","Sort=A","Dates=H","DateFormat=P","Fill=—","Direction=H","UseDPDF=Y")</f>
        <v>#NAME?</v>
      </c>
      <c r="DF610" s="3" t="e">
        <f ca="1">_xll.BDH($C$603,"INVTRY_RAW_MATERIALS","FQ2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10" s="3" t="e">
        <f ca="1">_xll.BDH($C$603,"INVTRY_IN_PROGRESS","FQ2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10" s="3" t="e">
        <f ca="1">_xll.BDH($C$603,"INVTRY_FINISHED_GOODS","FQ2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10" s="3" t="e">
        <f ca="1">_xll.BDH($C$603,"BS_OTHER_INV","FQ2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11" spans="1:113" x14ac:dyDescent="0.3">
      <c r="A611" s="6"/>
      <c r="B611" s="6"/>
      <c r="C611" s="6"/>
      <c r="D611" s="6"/>
      <c r="E611" t="s">
        <v>80</v>
      </c>
      <c r="F611" t="e">
        <f ca="1">_xll.BDH($C$603,"RETURN_COM_EQY","FQ3 2015","FQ3 2015","Currency=INR","Period=FQ","BEST_FPERIOD_OVERRIDE=FQ","FILING_STATUS=OR","EQY_CONSOLIDATED=Y","FA_ADJUSTED=GAAP","Sort=A","Dates=H","DateFormat=P","Fill=—","Direction=H","UseDPDF=Y")</f>
        <v>#NAME?</v>
      </c>
      <c r="G611" t="e">
        <f ca="1">_xll.BDH($C$603,"RETURN_ON_ASSET","FQ3 2015","FQ3 2015","Currency=INR","Period=FQ","BEST_FPERIOD_OVERRIDE=FQ","FILING_STATUS=OR","EQY_CONSOLIDATED=Y","FA_ADJUSTED=GAAP","Sort=A","Dates=H","DateFormat=P","Fill=—","Direction=H","UseDPDF=Y")</f>
        <v>#NAME?</v>
      </c>
      <c r="H611" t="e">
        <f ca="1">_xll.BDH($C$603,"RETURN_ON_CAP","FQ3 2015","FQ3 2015","Currency=INR","Period=FQ","BEST_FPERIOD_OVERRIDE=FQ","FILING_STATUS=OR","EQY_CONSOLIDATED=Y","FA_ADJUSTED=GAAP","Sort=A","Dates=H","DateFormat=P","Fill=—","Direction=H","UseDPDF=Y")</f>
        <v>#NAME?</v>
      </c>
      <c r="I611" t="e">
        <f ca="1">_xll.BDH($C$603,"RETURN_ON_INV_CAPITAL","FQ3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11" t="e">
        <f ca="1">_xll.BDH($C$603,"EBITDA_TO_REVENUE","FQ3 2015","FQ3 2015","Currency=INR","Period=FQ","BEST_FPERIOD_OVERRIDE=FQ","FILING_STATUS=OR","EQY_CONSOLIDATED=Y","FA_ADJUSTED=GAAP","Sort=A","Dates=H","DateFormat=P","Fill=—","Direction=H","UseDPDF=Y")</f>
        <v>#NAME?</v>
      </c>
      <c r="K611" t="e">
        <f ca="1">_xll.BDH($C$603,"OPER_MARGIN","FQ3 2015","FQ3 2015","Currency=INR","Period=FQ","BEST_FPERIOD_OVERRIDE=FQ","FILING_STATUS=OR","EQY_CONSOLIDATED=Y","FA_ADJUSTED=GAAP","Sort=A","Dates=H","DateFormat=P","Fill=—","Direction=H","UseDPDF=Y")</f>
        <v>#NAME?</v>
      </c>
      <c r="L611" t="e">
        <f ca="1">_xll.BDH($C$603,"INCREMENTAL_OPERATING_MARGIN","FQ3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11" t="e">
        <f ca="1">_xll.BDH($C$603,"PRETAX_INC_TO_NET_SALES","FQ3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11" t="e">
        <f ca="1">_xll.BDH($C$603,"INC_BEF_XO_ITEMS_TO_NET_SALES","FQ3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11" t="e">
        <f ca="1">_xll.BDH($C$603,"PROF_MARGIN","FQ3 2015","FQ3 2015","Currency=INR","Period=FQ","BEST_FPERIOD_OVERRIDE=FQ","FILING_STATUS=OR","EQY_CONSOLIDATED=Y","FA_ADJUSTED=GAAP","Sort=A","Dates=H","DateFormat=P","Fill=—","Direction=H","UseDPDF=Y")</f>
        <v>#NAME?</v>
      </c>
      <c r="P611" t="e">
        <f ca="1">_xll.BDH($C$603,"NET_INCOME_TO_COMMON_MARGIN","FQ3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11" t="e">
        <f ca="1">_xll.BDH($C$603,"EFF_TAX_RATE","FQ3 2015","FQ3 2015","Currency=INR","Period=FQ","BEST_FPERIOD_OVERRIDE=FQ","FILING_STATUS=OR","EQY_CONSOLIDATED=Y","FA_ADJUSTED=GAAP","Sort=A","Dates=H","DateFormat=P","Fill=—","Direction=H","UseDPDF=Y")</f>
        <v>#NAME?</v>
      </c>
      <c r="R611" t="e">
        <f ca="1">_xll.BDH($C$603,"DVD_PAYOUT_RATIO","FQ3 2015","FQ3 2015","Currency=INR","Period=FQ","BEST_FPERIOD_OVERRIDE=FQ","FILING_STATUS=OR","EQY_CONSOLIDATED=Y","FA_ADJUSTED=GAAP","Sort=A","Dates=H","DateFormat=P","Fill=—","Direction=H","UseDPDF=Y")</f>
        <v>#NAME?</v>
      </c>
      <c r="S611" t="e">
        <f ca="1">_xll.BDH($C$603,"SUSTAIN_GROWTH_RT","FQ3 2015","FQ3 2015","Currency=INR","Period=FQ","BEST_FPERIOD_OVERRIDE=FQ","FILING_STATUS=OR","EQY_CONSOLIDATED=Y","FA_ADJUSTED=GAAP","Sort=A","Dates=H","DateFormat=P","Fill=—","Direction=H","UseDPDF=Y")</f>
        <v>#NAME?</v>
      </c>
      <c r="T611" s="2" t="e">
        <f ca="1">_xll.BDH($C$603,"SALES_GROWTH","FQ3 2015","FQ3 2015","Currency=INR","Period=FQ","BEST_FPERIOD_OVERRIDE=FQ","FILING_STATUS=OR","EQY_CONSOLIDATED=Y","FA_ADJUSTED=GAAP","Sort=A","Dates=H","DateFormat=P","Fill=—","Direction=H","UseDPDF=Y")</f>
        <v>#NAME?</v>
      </c>
      <c r="U611" s="2" t="e">
        <f ca="1">_xll.BDH($C$603,"EBITDA_GROWTH","FQ3 2015","FQ3 2015","Currency=INR","Period=FQ","BEST_FPERIOD_OVERRIDE=FQ","FILING_STATUS=OR","EQY_CONSOLIDATED=Y","FA_ADJUSTED=GAAP","Sort=A","Dates=H","DateFormat=P","Fill=—","Direction=H","UseDPDF=Y")</f>
        <v>#NAME?</v>
      </c>
      <c r="V611" s="2" t="e">
        <f ca="1">_xll.BDH($C$603,"OPER_INC_GROWTH","FQ3 2015","FQ3 2015","Currency=INR","Period=FQ","BEST_FPERIOD_OVERRIDE=FQ","FILING_STATUS=OR","EQY_CONSOLIDATED=Y","FA_ADJUSTED=GAAP","Sort=A","Dates=H","DateFormat=P","Fill=—","Direction=H","UseDPDF=Y")</f>
        <v>#NAME?</v>
      </c>
      <c r="W611" s="2" t="e">
        <f ca="1">_xll.BDH($C$603,"EARN_FOR_COM_GROWTH","FQ3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11" s="2" t="e">
        <f ca="1">_xll.BDH($C$603,"DILUTED_EPS_AFT_XO_ITEMS_GROWTH","FQ3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11" s="2" t="e">
        <f ca="1">_xll.BDH($C$603,"DIVIDEND_PER_SHARE_1_YEAR_GROWTH","FQ3 2015","FQ3 2015","Currency=INR","Period=FQ","BEST_FPERIOD_OVERRIDE=FQ","FILING_STATUS=OR","EQY_CONSOLIDATED=Y","Sort=A","Dates=H","DateFormat=P","Fill=—","Direction=H","UseDPDF=Y")</f>
        <v>#NAME?</v>
      </c>
      <c r="Z611" s="2" t="e">
        <f ca="1">_xll.BDH($C$603,"ACCOUNTS_RECEIVABLE_GROWTH","FQ3 2015","FQ3 2015","Currency=INR","Period=FQ","BEST_FPERIOD_OVERRIDE=FQ","FILING_STATUS=OR","EQY_CONSOLIDATED=Y","Sort=A","Dates=H","DateFormat=P","Fill=—","Direction=H","UseDPDF=Y")</f>
        <v>#NAME?</v>
      </c>
      <c r="AA611" s="2" t="e">
        <f ca="1">_xll.BDH($C$603,"INVENTORY_GROWTH","FQ3 2015","FQ3 2015","Currency=INR","Period=FQ","BEST_FPERIOD_OVERRIDE=FQ","FILING_STATUS=OR","EQY_CONSOLIDATED=Y","Sort=A","Dates=H","DateFormat=P","Fill=—","Direction=H","UseDPDF=Y")</f>
        <v>#NAME?</v>
      </c>
      <c r="AB611" s="2" t="e">
        <f ca="1">_xll.BDH($C$603,"NET_FIXED_ASSETS_1_YEAR_GROWTH","FQ3 2015","FQ3 2015","Currency=INR","Period=FQ","BEST_FPERIOD_OVERRIDE=FQ","FILING_STATUS=OR","EQY_CONSOLIDATED=Y","Sort=A","Dates=H","DateFormat=P","Fill=—","Direction=H","UseDPDF=Y")</f>
        <v>#NAME?</v>
      </c>
      <c r="AC611" s="2" t="e">
        <f ca="1">_xll.BDH($C$603,"ASSET_GROWTH","FQ3 2015","FQ3 2015","Currency=INR","Period=FQ","BEST_FPERIOD_OVERRIDE=FQ","FILING_STATUS=OR","EQY_CONSOLIDATED=Y","Sort=A","Dates=H","DateFormat=P","Fill=—","Direction=H","UseDPDF=Y")</f>
        <v>#NAME?</v>
      </c>
      <c r="AD611" s="2" t="e">
        <f ca="1">_xll.BDH($C$603,"MODIFIED_WORK_CAP_GROWTH","FQ3 2015","FQ3 2015","Currency=INR","Period=FQ","BEST_FPERIOD_OVERRIDE=FQ","FILING_STATUS=OR","EQY_CONSOLIDATED=Y","Sort=A","Dates=H","DateFormat=P","Fill=—","Direction=H","UseDPDF=Y")</f>
        <v>#NAME?</v>
      </c>
      <c r="AE611" s="2" t="e">
        <f ca="1">_xll.BDH($C$603,"WORK_CAP_GROWTH","FQ3 2015","FQ3 2015","Currency=INR","Period=FQ","BEST_FPERIOD_OVERRIDE=FQ","FILING_STATUS=OR","EQY_CONSOLIDATED=Y","Sort=A","Dates=H","DateFormat=P","Fill=—","Direction=H","UseDPDF=Y")</f>
        <v>#NAME?</v>
      </c>
      <c r="AF611" s="2" t="e">
        <f ca="1">_xll.BDH($C$603,"ACCOUNTS_PAYABLE_GROWTH_1YR","FQ3 2015","FQ3 2015","Currency=INR","Period=FQ","BEST_FPERIOD_OVERRIDE=FQ","FILING_STATUS=OR","EQY_CONSOLIDATED=Y","Sort=A","Dates=H","DateFormat=P","Fill=—","Direction=H","UseDPDF=Y")</f>
        <v>#NAME?</v>
      </c>
      <c r="AG611" s="2" t="e">
        <f ca="1">_xll.BDH($C$603,"SHORT_TERM_DEBT_1_YEAR_GROWTH","FQ3 2015","FQ3 2015","Currency=INR","Period=FQ","BEST_FPERIOD_OVERRIDE=FQ","FILING_STATUS=OR","EQY_CONSOLIDATED=Y","Sort=A","Dates=H","DateFormat=P","Fill=—","Direction=H","UseDPDF=Y")</f>
        <v>#NAME?</v>
      </c>
      <c r="AH611" s="2" t="e">
        <f ca="1">_xll.BDH($C$603,"TOTAL_DEBT_1_YEAR_GROWTH","FQ3 2015","FQ3 2015","Currency=INR","Period=FQ","BEST_FPERIOD_OVERRIDE=FQ","FILING_STATUS=OR","EQY_CONSOLIDATED=Y","Sort=A","Dates=H","DateFormat=P","Fill=—","Direction=H","UseDPDF=Y")</f>
        <v>#NAME?</v>
      </c>
      <c r="AI611" s="2" t="e">
        <f ca="1">_xll.BDH($C$603,"TOTAL_EQUITY_1_YEAR_GROWTH","FQ3 2015","FQ3 2015","Currency=INR","Period=FQ","BEST_FPERIOD_OVERRIDE=FQ","FILING_STATUS=OR","EQY_CONSOLIDATED=Y","Sort=A","Dates=H","DateFormat=P","Fill=—","Direction=H","UseDPDF=Y")</f>
        <v>#NAME?</v>
      </c>
      <c r="AJ611" s="2" t="e">
        <f ca="1">_xll.BDH($C$603,"GROWTH_IN_CAP","FQ3 2015","FQ3 2015","Currency=INR","Period=FQ","BEST_FPERIOD_OVERRIDE=FQ","FILING_STATUS=OR","EQY_CONSOLIDATED=Y","Sort=A","Dates=H","DateFormat=P","Fill=—","Direction=H","UseDPDF=Y")</f>
        <v>#NAME?</v>
      </c>
      <c r="AK611" s="2" t="e">
        <f ca="1">_xll.BDH($C$603,"BVPS_GROWTH","FQ3 2015","FQ3 2015","Currency=INR","Period=FQ","BEST_FPERIOD_OVERRIDE=FQ","FILING_STATUS=OR","EQY_CONSOLIDATED=Y","Sort=A","Dates=H","DateFormat=P","Fill=—","Direction=H","UseDPDF=Y")</f>
        <v>#NAME?</v>
      </c>
      <c r="AL611" s="2" t="e">
        <f ca="1">_xll.BDH($C$603,"CASH_FLOW_GROWTH","FQ3 2015","FQ3 2015","Currency=INR","Period=FQ","BEST_FPERIOD_OVERRIDE=FQ","FILING_STATUS=OR","EQY_CONSOLIDATED=Y","Sort=A","Dates=H","DateFormat=P","Fill=—","Direction=H","UseDPDF=Y")</f>
        <v>#NAME?</v>
      </c>
      <c r="AM611" s="2" t="e">
        <f ca="1">_xll.BDH($C$603,"GEO_GROW_NET_SALES","FQ3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11" s="2" t="e">
        <f ca="1">_xll.BDH($C$603,"GEO_GROW_EBITDA","FQ3 2015","FQ3 2015","Currency=INR","Period=FQ","BEST_FPERIOD_OVERRIDE=FQ","FILING_STATUS=OR","EQY_CONSOLIDATED=Y","FA_ADJUSTED=GAAP","Sort=A","Dates=H","DateFormat=P","Fill=—","Direction=H","UseDPDF=Y")</f>
        <v>#NAME?</v>
      </c>
      <c r="AO611" s="2" t="e">
        <f ca="1">_xll.BDH($C$603,"GEO_GROW_OPER_INC","FQ3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11" s="2" t="e">
        <f ca="1">_xll.BDH($C$603,"NET_INCOME_TO_COMMON_5_YR_GROWTH","FQ3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11" s="2" t="e">
        <f ca="1">_xll.BDH($C$603,"5Y_GEO_GROWTH_DILUTED_EPS","FQ3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11" s="2" t="e">
        <f ca="1">_xll.BDH($C$603,"GEO_GROW_DVD_PER_SH","FQ3 2015","FQ3 2015","Currency=INR","Period=FQ","BEST_FPERIOD_OVERRIDE=FQ","FILING_STATUS=OR","EQY_CONSOLIDATED=Y","Sort=A","Dates=H","DateFormat=P","Fill=—","Direction=H","UseDPDF=Y")</f>
        <v>#NAME?</v>
      </c>
      <c r="AS611" s="2" t="e">
        <f ca="1">_xll.BDH($C$603,"ACCOUNTS_RECEIVABLE_5_YR_GROWTH","FQ3 2015","FQ3 2015","Currency=INR","Period=FQ","BEST_FPERIOD_OVERRIDE=FQ","FILING_STATUS=OR","EQY_CONSOLIDATED=Y","Sort=A","Dates=H","DateFormat=P","Fill=—","Direction=H","UseDPDF=Y")</f>
        <v>#NAME?</v>
      </c>
      <c r="AT611" s="2" t="e">
        <f ca="1">_xll.BDH($C$603,"INVENTORY_5_YEAR_GROWTH","FQ3 2015","FQ3 2015","Currency=INR","Period=FQ","BEST_FPERIOD_OVERRIDE=FQ","FILING_STATUS=OR","EQY_CONSOLIDATED=Y","Sort=A","Dates=H","DateFormat=P","Fill=—","Direction=H","UseDPDF=Y")</f>
        <v>#NAME?</v>
      </c>
      <c r="AU611" s="2" t="e">
        <f ca="1">_xll.BDH($C$603,"NET_FIXED_ASSETS_5_YEAR_GROWTH","FQ3 2015","FQ3 2015","Currency=INR","Period=FQ","BEST_FPERIOD_OVERRIDE=FQ","FILING_STATUS=OR","EQY_CONSOLIDATED=Y","Sort=A","Dates=H","DateFormat=P","Fill=—","Direction=H","UseDPDF=Y")</f>
        <v>#NAME?</v>
      </c>
      <c r="AV611" s="2" t="e">
        <f ca="1">_xll.BDH($C$603,"GEO_GROW_TOT_ASSET","FQ3 2015","FQ3 2015","Currency=INR","Period=FQ","BEST_FPERIOD_OVERRIDE=FQ","FILING_STATUS=OR","EQY_CONSOLIDATED=Y","Sort=A","Dates=H","DateFormat=P","Fill=—","Direction=H","UseDPDF=Y")</f>
        <v>#NAME?</v>
      </c>
      <c r="AW611" s="2" t="e">
        <f ca="1">_xll.BDH($C$603,"MODIFIED_WORKING_CPTL_5YR_GRWTH","FQ3 2015","FQ3 2015","Currency=INR","Period=FQ","BEST_FPERIOD_OVERRIDE=FQ","FILING_STATUS=OR","EQY_CONSOLIDATED=Y","Sort=A","Dates=H","DateFormat=P","Fill=—","Direction=H","UseDPDF=Y")</f>
        <v>#NAME?</v>
      </c>
      <c r="AX611" s="2" t="e">
        <f ca="1">_xll.BDH($C$603,"WORKING_CAPITAL_5_YEAR_GROWTH","FQ3 2015","FQ3 2015","Currency=INR","Period=FQ","BEST_FPERIOD_OVERRIDE=FQ","FILING_STATUS=OR","EQY_CONSOLIDATED=Y","Sort=A","Dates=H","DateFormat=P","Fill=—","Direction=H","UseDPDF=Y")</f>
        <v>#NAME?</v>
      </c>
      <c r="AY611" s="2" t="e">
        <f ca="1">_xll.BDH($C$603,"ACCOUNTS_PAYABLE_5_YEAR_GROWTH","FQ3 2015","FQ3 2015","Currency=INR","Period=FQ","BEST_FPERIOD_OVERRIDE=FQ","FILING_STATUS=OR","EQY_CONSOLIDATED=Y","Sort=A","Dates=H","DateFormat=P","Fill=—","Direction=H","UseDPDF=Y")</f>
        <v>#NAME?</v>
      </c>
      <c r="AZ611" s="2" t="e">
        <f ca="1">_xll.BDH($C$603,"SHORT_TERM_DEBT_5_YEAR_GROWTH","FQ3 2015","FQ3 2015","Currency=INR","Period=FQ","BEST_FPERIOD_OVERRIDE=FQ","FILING_STATUS=OR","EQY_CONSOLIDATED=Y","Sort=A","Dates=H","DateFormat=P","Fill=—","Direction=H","UseDPDF=Y")</f>
        <v>#NAME?</v>
      </c>
      <c r="BA611" s="2" t="e">
        <f ca="1">_xll.BDH($C$603,"TOTAL_DEBT_5_YEAR_GROWTH","FQ3 2015","FQ3 2015","Currency=INR","Period=FQ","BEST_FPERIOD_OVERRIDE=FQ","FILING_STATUS=OR","EQY_CONSOLIDATED=Y","Sort=A","Dates=H","DateFormat=P","Fill=—","Direction=H","UseDPDF=Y")</f>
        <v>#NAME?</v>
      </c>
      <c r="BB611" s="2" t="e">
        <f ca="1">_xll.BDH($C$603,"GEO_GROW_TOT_SHRHLDR_EQY","FQ3 2015","FQ3 2015","Currency=INR","Period=FQ","BEST_FPERIOD_OVERRIDE=FQ","FILING_STATUS=OR","EQY_CONSOLIDATED=Y","Sort=A","Dates=H","DateFormat=P","Fill=—","Direction=H","UseDPDF=Y")</f>
        <v>#NAME?</v>
      </c>
      <c r="BC611" s="2" t="e">
        <f ca="1">_xll.BDH($C$603,"TOTAL_CAPITAL_5_YEAR_GROWTH","FQ3 2015","FQ3 2015","Currency=INR","Period=FQ","BEST_FPERIOD_OVERRIDE=FQ","FILING_STATUS=OR","EQY_CONSOLIDATED=Y","Sort=A","Dates=H","DateFormat=P","Fill=—","Direction=H","UseDPDF=Y")</f>
        <v>#NAME?</v>
      </c>
      <c r="BD611" s="2" t="e">
        <f ca="1">_xll.BDH($C$603,"GEO_GROW_BOOK_VAL","FQ3 2015","FQ3 2015","Currency=INR","Period=FQ","BEST_FPERIOD_OVERRIDE=FQ","FILING_STATUS=OR","EQY_CONSOLIDATED=Y","Sort=A","Dates=H","DateFormat=P","Fill=—","Direction=H","UseDPDF=Y")</f>
        <v>#NAME?</v>
      </c>
      <c r="BE611" s="2" t="e">
        <f ca="1">_xll.BDH($C$603,"GEO_GROW_CASH_OPER_ACT","FQ3 2015","FQ3 2015","Currency=INR","Period=FQ","BEST_FPERIOD_OVERRIDE=FQ","FILING_STATUS=OR","EQY_CONSOLIDATED=Y","Sort=A","Dates=H","DateFormat=P","Fill=—","Direction=H","UseDPDF=Y")</f>
        <v>#NAME?</v>
      </c>
      <c r="BF611" s="2" t="e">
        <f ca="1">_xll.BDH($C$603,"REVENUE_SEQUENTIAL_GROWTH","FQ3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11" s="2" t="e">
        <f ca="1">_xll.BDH($C$603,"EBITDA_SEQUENTIAL_GROWTH","FQ3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11" s="2" t="e">
        <f ca="1">_xll.BDH($C$603,"OPERATING_INCOME_SEQ_GROWTH","FQ3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11" s="2" t="e">
        <f ca="1">_xll.BDH($C$603,"NET_INCOME_TO_COMMON_SEQ_GROWTH","FQ3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11" s="2" t="e">
        <f ca="1">_xll.BDH($C$603,"EPS_DILUTED_SEQUENTIAL_GROWTH","FQ3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11" s="2" t="e">
        <f ca="1">_xll.BDH($C$603,"DPS_SEQUENTIAL_GROWTH","FQ3 2015","FQ3 2015","Currency=INR","Period=FQ","BEST_FPERIOD_OVERRIDE=FQ","FILING_STATUS=OR","EQY_CONSOLIDATED=Y","Sort=A","Dates=H","DateFormat=P","Fill=—","Direction=H","UseDPDF=Y")</f>
        <v>#NAME?</v>
      </c>
      <c r="BL611" s="2" t="e">
        <f ca="1">_xll.BDH($C$603,"ACCOUNTS_RECEIVABLE_SEQ_GROWTH","FQ3 2015","FQ3 2015","Currency=INR","Period=FQ","BEST_FPERIOD_OVERRIDE=FQ","FILING_STATUS=OR","EQY_CONSOLIDATED=Y","Sort=A","Dates=H","DateFormat=P","Fill=—","Direction=H","UseDPDF=Y")</f>
        <v>#NAME?</v>
      </c>
      <c r="BM611" s="2" t="e">
        <f ca="1">_xll.BDH($C$603,"INVENTORY_SEQUENTIAL_GROWTH","FQ3 2015","FQ3 2015","Currency=INR","Period=FQ","BEST_FPERIOD_OVERRIDE=FQ","FILING_STATUS=OR","EQY_CONSOLIDATED=Y","Sort=A","Dates=H","DateFormat=P","Fill=—","Direction=H","UseDPDF=Y")</f>
        <v>#NAME?</v>
      </c>
      <c r="BN611" s="2" t="e">
        <f ca="1">_xll.BDH($C$603,"FIXED_ASSETS_SEQUENTIAL_GROWTH","FQ3 2015","FQ3 2015","Currency=INR","Period=FQ","BEST_FPERIOD_OVERRIDE=FQ","FILING_STATUS=OR","EQY_CONSOLIDATED=Y","Sort=A","Dates=H","DateFormat=P","Fill=—","Direction=H","UseDPDF=Y")</f>
        <v>#NAME?</v>
      </c>
      <c r="BO611" s="2" t="e">
        <f ca="1">_xll.BDH($C$603,"TOTAL_ASSETS_SEQUENTIAL_GROWTH","FQ3 2015","FQ3 2015","Currency=INR","Period=FQ","BEST_FPERIOD_OVERRIDE=FQ","FILING_STATUS=OR","EQY_CONSOLIDATED=Y","Sort=A","Dates=H","DateFormat=P","Fill=—","Direction=H","UseDPDF=Y")</f>
        <v>#NAME?</v>
      </c>
      <c r="BP611" s="2" t="e">
        <f ca="1">_xll.BDH($C$603,"MODIFIED_WORKING_CPTL_SEQ_GRWTH","FQ3 2015","FQ3 2015","Currency=INR","Period=FQ","BEST_FPERIOD_OVERRIDE=FQ","FILING_STATUS=OR","EQY_CONSOLIDATED=Y","Sort=A","Dates=H","DateFormat=P","Fill=—","Direction=H","UseDPDF=Y")</f>
        <v>#NAME?</v>
      </c>
      <c r="BQ611" s="2" t="e">
        <f ca="1">_xll.BDH($C$603,"WORKING_CAPITAL_SEQ_GROWTH","FQ3 2015","FQ3 2015","Currency=INR","Period=FQ","BEST_FPERIOD_OVERRIDE=FQ","FILING_STATUS=OR","EQY_CONSOLIDATED=Y","Sort=A","Dates=H","DateFormat=P","Fill=—","Direction=H","UseDPDF=Y")</f>
        <v>#NAME?</v>
      </c>
      <c r="BR611" s="2" t="e">
        <f ca="1">_xll.BDH($C$603,"ACCOUNTS_PAYABLE_SEQ_GROWTH","FQ3 2015","FQ3 2015","Currency=INR","Period=FQ","BEST_FPERIOD_OVERRIDE=FQ","FILING_STATUS=OR","EQY_CONSOLIDATED=Y","Sort=A","Dates=H","DateFormat=P","Fill=—","Direction=H","UseDPDF=Y")</f>
        <v>#NAME?</v>
      </c>
      <c r="BS611" s="2" t="e">
        <f ca="1">_xll.BDH($C$603,"ST_DEBT_SEQUENTIAL_GROWTH","FQ3 2015","FQ3 2015","Currency=INR","Period=FQ","BEST_FPERIOD_OVERRIDE=FQ","FILING_STATUS=OR","EQY_CONSOLIDATED=Y","Sort=A","Dates=H","DateFormat=P","Fill=—","Direction=H","UseDPDF=Y")</f>
        <v>#NAME?</v>
      </c>
      <c r="BT611" s="2" t="e">
        <f ca="1">_xll.BDH($C$603,"TOTAL_DEBT_SEQUENTIAL_GROWTH","FQ3 2015","FQ3 2015","Currency=INR","Period=FQ","BEST_FPERIOD_OVERRIDE=FQ","FILING_STATUS=OR","EQY_CONSOLIDATED=Y","Sort=A","Dates=H","DateFormat=P","Fill=—","Direction=H","UseDPDF=Y")</f>
        <v>#NAME?</v>
      </c>
      <c r="BU611" s="2" t="e">
        <f ca="1">_xll.BDH($C$603,"TOTAL_EQUITY_SEQUENTIAL_GROWTH","FQ3 2015","FQ3 2015","Currency=INR","Period=FQ","BEST_FPERIOD_OVERRIDE=FQ","FILING_STATUS=OR","EQY_CONSOLIDATED=Y","Sort=A","Dates=H","DateFormat=P","Fill=—","Direction=H","UseDPDF=Y")</f>
        <v>#NAME?</v>
      </c>
      <c r="BV611" s="2" t="e">
        <f ca="1">_xll.BDH($C$603,"TOTAL_CAPITAL_SEQUENTIAL_GROWTH","FQ3 2015","FQ3 2015","Currency=INR","Period=FQ","BEST_FPERIOD_OVERRIDE=FQ","FILING_STATUS=OR","EQY_CONSOLIDATED=Y","Sort=A","Dates=H","DateFormat=P","Fill=—","Direction=H","UseDPDF=Y")</f>
        <v>#NAME?</v>
      </c>
      <c r="BW611" s="2" t="e">
        <f ca="1">_xll.BDH($C$603,"BPS_SEQUENTIAL_GROWTH","FQ3 2015","FQ3 2015","Currency=INR","Period=FQ","BEST_FPERIOD_OVERRIDE=FQ","FILING_STATUS=OR","EQY_CONSOLIDATED=Y","Sort=A","Dates=H","DateFormat=P","Fill=—","Direction=H","UseDPDF=Y")</f>
        <v>#NAME?</v>
      </c>
      <c r="BX611" s="2" t="e">
        <f ca="1">_xll.BDH($C$603,"CFO_SEQUENTIAL_GROWTH","FQ3 2015","FQ3 2015","Currency=INR","Period=FQ","BEST_FPERIOD_OVERRIDE=FQ","FILING_STATUS=OR","EQY_CONSOLIDATED=Y","Sort=A","Dates=H","DateFormat=P","Fill=—","Direction=H","UseDPDF=Y")</f>
        <v>#NAME?</v>
      </c>
      <c r="BY611" s="3" t="e">
        <f ca="1">_xll.BDH($C$603,"SHORT_AND_LONG_TERM_DEBT","FQ3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11" s="3" t="e">
        <f ca="1">_xll.BDH($C$603,"BS_ST_BORROW","FQ3 2015","FQ3 2015","Currency=INR","Period=FQ","BEST_FPERIOD_OVERRIDE=FQ","FILING_STATUS=OR","EQY_CONSOLIDATED=Y","SCALING_FORMAT=MLN","Sort=A","Dates=H","DateFormat=P","Fill=—","Direction=H","UseDPDF=Y")</f>
        <v>#NAME?</v>
      </c>
      <c r="CA611" s="3" t="e">
        <f ca="1">_xll.BDH($C$603,"BS_LT_BORROW","FQ3 2015","FQ3 2015","Currency=INR","Period=FQ","BEST_FPERIOD_OVERRIDE=FQ","FILING_STATUS=OR","EQY_CONSOLIDATED=Y","SCALING_FORMAT=MLN","Sort=A","Dates=H","DateFormat=P","Fill=—","Direction=H","UseDPDF=Y")</f>
        <v>#NAME?</v>
      </c>
      <c r="CB611" s="2" t="e">
        <f ca="1">_xll.BDH($C$603,"TOT_DEBT_TO_EBITDA","FQ3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11" s="2" t="e">
        <f ca="1">_xll.BDH($C$603,"NET_DEBT_TO_EBITDA","FQ3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11" s="2" t="e">
        <f ca="1">_xll.BDH($C$603,"TOTAL_DEBT_TO_EBIT","FQ3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11" s="2" t="e">
        <f ca="1">_xll.BDH($C$603,"NET_DEBT_TO_EBIT","FQ3 2015","FQ3 2015","Currency=INR","Period=FQ","BEST_FPERIOD_OVERRIDE=FQ","FILING_STATUS=OR","EQY_CONSOLIDATED=Y","FA_ADJUSTED=GAAP","Sort=A","Dates=H","DateFormat=P","Fill=—","Direction=H","UseDPDF=Y")</f>
        <v>#NAME?</v>
      </c>
      <c r="CF611" s="2" t="e">
        <f ca="1">_xll.BDH($C$603,"EBITDA_TO_INTEREST_EXPN","FQ3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11" s="2" t="e">
        <f ca="1">_xll.BDH($C$603,"COM_EQY_TO_TOT_ASSET","FQ3 2015","FQ3 2015","Currency=INR","Period=FQ","BEST_FPERIOD_OVERRIDE=FQ","FILING_STATUS=OR","EQY_CONSOLIDATED=Y","Sort=A","Dates=H","DateFormat=P","Fill=—","Direction=H","UseDPDF=Y")</f>
        <v>#NAME?</v>
      </c>
      <c r="CH611" s="2" t="e">
        <f ca="1">_xll.BDH($C$603,"LT_DEBT_TO_TOT_EQY","FQ3 2015","FQ3 2015","Currency=INR","Period=FQ","BEST_FPERIOD_OVERRIDE=FQ","FILING_STATUS=OR","EQY_CONSOLIDATED=Y","Sort=A","Dates=H","DateFormat=P","Fill=—","Direction=H","UseDPDF=Y")</f>
        <v>#NAME?</v>
      </c>
      <c r="CI611" s="2" t="e">
        <f ca="1">_xll.BDH($C$603,"LT_DEBT_TO_TOT_CAP","FQ3 2015","FQ3 2015","Currency=INR","Period=FQ","BEST_FPERIOD_OVERRIDE=FQ","FILING_STATUS=OR","EQY_CONSOLIDATED=Y","Sort=A","Dates=H","DateFormat=P","Fill=—","Direction=H","UseDPDF=Y")</f>
        <v>#NAME?</v>
      </c>
      <c r="CJ611" s="2" t="e">
        <f ca="1">_xll.BDH($C$603,"LT_DEBT_TO_TOT_ASSET","FQ3 2015","FQ3 2015","Currency=INR","Period=FQ","BEST_FPERIOD_OVERRIDE=FQ","FILING_STATUS=OR","EQY_CONSOLIDATED=Y","Sort=A","Dates=H","DateFormat=P","Fill=—","Direction=H","UseDPDF=Y")</f>
        <v>#NAME?</v>
      </c>
      <c r="CK611" s="2" t="e">
        <f ca="1">_xll.BDH($C$603,"TOT_DEBT_TO_TOT_EQY","FQ3 2015","FQ3 2015","Currency=INR","Period=FQ","BEST_FPERIOD_OVERRIDE=FQ","FILING_STATUS=OR","EQY_CONSOLIDATED=Y","Sort=A","Dates=H","DateFormat=P","Fill=—","Direction=H","UseDPDF=Y")</f>
        <v>#NAME?</v>
      </c>
      <c r="CL611" s="2" t="e">
        <f ca="1">_xll.BDH($C$603,"TOT_DEBT_TO_TOT_CAP","FQ3 2015","FQ3 2015","Currency=INR","Period=FQ","BEST_FPERIOD_OVERRIDE=FQ","FILING_STATUS=OR","EQY_CONSOLIDATED=Y","Sort=A","Dates=H","DateFormat=P","Fill=—","Direction=H","UseDPDF=Y")</f>
        <v>#NAME?</v>
      </c>
      <c r="CM611" s="2" t="e">
        <f ca="1">_xll.BDH($C$603,"TOT_DEBT_TO_TOT_ASSET","FQ3 2015","FQ3 2015","Currency=INR","Period=FQ","BEST_FPERIOD_OVERRIDE=FQ","FILING_STATUS=OR","EQY_CONSOLIDATED=Y","Sort=A","Dates=H","DateFormat=P","Fill=—","Direction=H","UseDPDF=Y")</f>
        <v>#NAME?</v>
      </c>
      <c r="CN611" s="2" t="e">
        <f ca="1">_xll.BDH($C$603,"NET_DEBT_TO_SHRHLDR_EQTY","FQ3 2015","FQ3 2015","Currency=INR","Period=FQ","BEST_FPERIOD_OVERRIDE=FQ","FILING_STATUS=OR","EQY_CONSOLIDATED=Y","Sort=A","Dates=H","DateFormat=P","Fill=—","Direction=H","UseDPDF=Y")</f>
        <v>#NAME?</v>
      </c>
      <c r="CO611" s="2" t="e">
        <f ca="1">_xll.BDH($C$603,"NET_DEBT_%_CAPITAL","FQ3 2015","FQ3 2015","Currency=INR","Period=FQ","BEST_FPERIOD_OVERRIDE=FQ","FILING_STATUS=OR","EQY_CONSOLIDATED=Y","Sort=A","Dates=H","DateFormat=P","Fill=—","Direction=H","UseDPDF=Y")</f>
        <v>#NAME?</v>
      </c>
      <c r="CP611" s="3" t="e">
        <f ca="1">_xll.BDH($C$603,"EBITDA","FQ3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11" s="3" t="e">
        <f ca="1">_xll.BDH($C$603,"EBITDA_AFTER_CAPEX","FQ3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11" s="3" t="e">
        <f ca="1">_xll.BDH($C$603,"IS_OPER_INC","FQ3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11" s="2" t="e">
        <f ca="1">_xll.BDH($C$603,"CASH_RATIO","FQ3 2015","FQ3 2015","Currency=INR","Period=FQ","BEST_FPERIOD_OVERRIDE=FQ","FILING_STATUS=OR","EQY_CONSOLIDATED=Y","Sort=A","Dates=H","DateFormat=P","Fill=—","Direction=H","UseDPDF=Y")</f>
        <v>#NAME?</v>
      </c>
      <c r="CT611" s="2" t="e">
        <f ca="1">_xll.BDH($C$603,"CUR_RATIO","FQ3 2015","FQ3 2015","Currency=INR","Period=FQ","BEST_FPERIOD_OVERRIDE=FQ","FILING_STATUS=OR","EQY_CONSOLIDATED=Y","Sort=A","Dates=H","DateFormat=P","Fill=—","Direction=H","UseDPDF=Y")</f>
        <v>#NAME?</v>
      </c>
      <c r="CU611" s="2" t="e">
        <f ca="1">_xll.BDH($C$603,"QUICK_RATIO","FQ3 2015","FQ3 2015","Currency=INR","Period=FQ","BEST_FPERIOD_OVERRIDE=FQ","FILING_STATUS=OR","EQY_CONSOLIDATED=Y","Sort=A","Dates=H","DateFormat=P","Fill=—","Direction=H","UseDPDF=Y")</f>
        <v>#NAME?</v>
      </c>
      <c r="CV611" s="2" t="e">
        <f ca="1">_xll.BDH($C$603,"ALTMAN_Z_SCORE","FQ3 2015","FQ3 2015","Currency=INR","Period=FQ","BEST_FPERIOD_OVERRIDE=FQ","FILING_STATUS=OR","EQY_CONSOLIDATED=Y","Sort=A","Dates=H","DateFormat=P","Fill=—","Direction=H","UseDPDF=Y")</f>
        <v>#NAME?</v>
      </c>
      <c r="CW611" s="4" t="e">
        <f ca="1">_xll.BDH($C$603,"ACCT_RCV_TURN","FQ3 2015","FQ3 2015","Currency=INR","Period=FQ","BEST_FPERIOD_OVERRIDE=FQ","FILING_STATUS=OR","EQY_CONSOLIDATED=Y","FA_ADJUSTED=GAAP","Sort=A","Dates=H","DateFormat=P","Fill=—","Direction=H","UseDPDF=Y")</f>
        <v>#NAME?</v>
      </c>
      <c r="CX611" s="2" t="e">
        <f ca="1">_xll.BDH($C$603,"ACCT_RCV_DAYS","FQ3 2015","FQ3 2015","Currency=INR","Period=FQ","BEST_FPERIOD_OVERRIDE=FQ","FILING_STATUS=OR","EQY_CONSOLIDATED=Y","FA_ADJUSTED=GAAP","Sort=A","Dates=H","DateFormat=P","Fill=—","Direction=H","UseDPDF=Y")</f>
        <v>#NAME?</v>
      </c>
      <c r="CY611" s="4" t="e">
        <f ca="1">_xll.BDH($C$603,"INVENT_TURN","FQ3 2015","FQ3 2015","Currency=INR","Period=FQ","BEST_FPERIOD_OVERRIDE=FQ","FILING_STATUS=OR","EQY_CONSOLIDATED=Y","FA_ADJUSTED=GAAP","Sort=A","Dates=H","DateFormat=P","Fill=—","Direction=H","UseDPDF=Y")</f>
        <v>#NAME?</v>
      </c>
      <c r="CZ611" s="2" t="e">
        <f ca="1">_xll.BDH($C$603,"INVENT_DAYS","FQ3 2015","FQ3 2015","Currency=INR","Period=FQ","BEST_FPERIOD_OVERRIDE=FQ","FILING_STATUS=OR","EQY_CONSOLIDATED=Y","FA_ADJUSTED=GAAP","Sort=A","Dates=H","DateFormat=P","Fill=—","Direction=H","UseDPDF=Y")</f>
        <v>#NAME?</v>
      </c>
      <c r="DA611" s="4" t="e">
        <f ca="1">_xll.BDH($C$603,"ACCOUNTS_PAYABLE_TURNOVER","FQ3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11" s="2" t="e">
        <f ca="1">_xll.BDH($C$603,"ACCOUNTS_PAYABLE_TURNOVER_DAYS","FQ3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11" s="4" t="e">
        <f ca="1">_xll.BDH($C$603,"CASH_CONVERSION_CYCLE","FQ3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11" s="4" t="e">
        <f ca="1">_xll.BDH($C$603,"INV_TO_CASH_DAYS","FQ3 2015","FQ3 2015","Currency=INR","Period=FQ","BEST_FPERIOD_OVERRIDE=FQ","FILING_STATUS=OR","EQY_CONSOLIDATED=Y","FA_ADJUSTED=GAAP","Sort=A","Dates=H","DateFormat=P","Fill=—","Direction=H","UseDPDF=Y")</f>
        <v>#NAME?</v>
      </c>
      <c r="DE611" s="5" t="e">
        <f ca="1">_xll.BDH($C$603,"BS_INVENTORIES","FQ3 2015","FQ3 2015","Currency=INR","Period=FQ","BEST_FPERIOD_OVERRIDE=FQ","FILING_STATUS=OR","EQY_CONSOLIDATED=Y","SCALING_FORMAT=MLN","Sort=A","Dates=H","DateFormat=P","Fill=—","Direction=H","UseDPDF=Y")</f>
        <v>#NAME?</v>
      </c>
      <c r="DF611" s="3" t="e">
        <f ca="1">_xll.BDH($C$603,"INVTRY_RAW_MATERIALS","FQ3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11" s="3" t="e">
        <f ca="1">_xll.BDH($C$603,"INVTRY_IN_PROGRESS","FQ3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11" s="3" t="e">
        <f ca="1">_xll.BDH($C$603,"INVTRY_FINISHED_GOODS","FQ3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11" s="3" t="e">
        <f ca="1">_xll.BDH($C$603,"BS_OTHER_INV","FQ3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12" spans="1:113" x14ac:dyDescent="0.3">
      <c r="A612" s="6"/>
      <c r="B612" s="6"/>
      <c r="C612" s="6"/>
      <c r="D612" s="6"/>
      <c r="E612" t="s">
        <v>81</v>
      </c>
      <c r="F612" t="e">
        <f ca="1">_xll.BDH($C$603,"RETURN_COM_EQY","FQ4 2015","FQ4 2015","Currency=INR","Period=FQ","BEST_FPERIOD_OVERRIDE=FQ","FILING_STATUS=OR","EQY_CONSOLIDATED=Y","FA_ADJUSTED=GAAP","Sort=A","Dates=H","DateFormat=P","Fill=—","Direction=H","UseDPDF=Y")</f>
        <v>#NAME?</v>
      </c>
      <c r="G612" t="e">
        <f ca="1">_xll.BDH($C$603,"RETURN_ON_ASSET","FQ4 2015","FQ4 2015","Currency=INR","Period=FQ","BEST_FPERIOD_OVERRIDE=FQ","FILING_STATUS=OR","EQY_CONSOLIDATED=Y","FA_ADJUSTED=GAAP","Sort=A","Dates=H","DateFormat=P","Fill=—","Direction=H","UseDPDF=Y")</f>
        <v>#NAME?</v>
      </c>
      <c r="H612" t="e">
        <f ca="1">_xll.BDH($C$603,"RETURN_ON_CAP","FQ4 2015","FQ4 2015","Currency=INR","Period=FQ","BEST_FPERIOD_OVERRIDE=FQ","FILING_STATUS=OR","EQY_CONSOLIDATED=Y","FA_ADJUSTED=GAAP","Sort=A","Dates=H","DateFormat=P","Fill=—","Direction=H","UseDPDF=Y")</f>
        <v>#NAME?</v>
      </c>
      <c r="I612" t="e">
        <f ca="1">_xll.BDH($C$603,"RETURN_ON_INV_CAPITAL","FQ4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12" t="e">
        <f ca="1">_xll.BDH($C$603,"EBITDA_TO_REVENUE","FQ4 2015","FQ4 2015","Currency=INR","Period=FQ","BEST_FPERIOD_OVERRIDE=FQ","FILING_STATUS=OR","EQY_CONSOLIDATED=Y","FA_ADJUSTED=GAAP","Sort=A","Dates=H","DateFormat=P","Fill=—","Direction=H","UseDPDF=Y")</f>
        <v>#NAME?</v>
      </c>
      <c r="K612" t="e">
        <f ca="1">_xll.BDH($C$603,"OPER_MARGIN","FQ4 2015","FQ4 2015","Currency=INR","Period=FQ","BEST_FPERIOD_OVERRIDE=FQ","FILING_STATUS=OR","EQY_CONSOLIDATED=Y","FA_ADJUSTED=GAAP","Sort=A","Dates=H","DateFormat=P","Fill=—","Direction=H","UseDPDF=Y")</f>
        <v>#NAME?</v>
      </c>
      <c r="L612" t="e">
        <f ca="1">_xll.BDH($C$603,"INCREMENTAL_OPERATING_MARGIN","FQ4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12" t="e">
        <f ca="1">_xll.BDH($C$603,"PRETAX_INC_TO_NET_SALES","FQ4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12" t="e">
        <f ca="1">_xll.BDH($C$603,"INC_BEF_XO_ITEMS_TO_NET_SALES","FQ4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12" t="e">
        <f ca="1">_xll.BDH($C$603,"PROF_MARGIN","FQ4 2015","FQ4 2015","Currency=INR","Period=FQ","BEST_FPERIOD_OVERRIDE=FQ","FILING_STATUS=OR","EQY_CONSOLIDATED=Y","FA_ADJUSTED=GAAP","Sort=A","Dates=H","DateFormat=P","Fill=—","Direction=H","UseDPDF=Y")</f>
        <v>#NAME?</v>
      </c>
      <c r="P612" t="e">
        <f ca="1">_xll.BDH($C$603,"NET_INCOME_TO_COMMON_MARGIN","FQ4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12" t="e">
        <f ca="1">_xll.BDH($C$603,"EFF_TAX_RATE","FQ4 2015","FQ4 2015","Currency=INR","Period=FQ","BEST_FPERIOD_OVERRIDE=FQ","FILING_STATUS=OR","EQY_CONSOLIDATED=Y","FA_ADJUSTED=GAAP","Sort=A","Dates=H","DateFormat=P","Fill=—","Direction=H","UseDPDF=Y")</f>
        <v>#NAME?</v>
      </c>
      <c r="R612" t="e">
        <f ca="1">_xll.BDH($C$603,"DVD_PAYOUT_RATIO","FQ4 2015","FQ4 2015","Currency=INR","Period=FQ","BEST_FPERIOD_OVERRIDE=FQ","FILING_STATUS=OR","EQY_CONSOLIDATED=Y","FA_ADJUSTED=GAAP","Sort=A","Dates=H","DateFormat=P","Fill=—","Direction=H","UseDPDF=Y")</f>
        <v>#NAME?</v>
      </c>
      <c r="S612" t="e">
        <f ca="1">_xll.BDH($C$603,"SUSTAIN_GROWTH_RT","FQ4 2015","FQ4 2015","Currency=INR","Period=FQ","BEST_FPERIOD_OVERRIDE=FQ","FILING_STATUS=OR","EQY_CONSOLIDATED=Y","FA_ADJUSTED=GAAP","Sort=A","Dates=H","DateFormat=P","Fill=—","Direction=H","UseDPDF=Y")</f>
        <v>#NAME?</v>
      </c>
      <c r="T612" s="2" t="e">
        <f ca="1">_xll.BDH($C$603,"SALES_GROWTH","FQ4 2015","FQ4 2015","Currency=INR","Period=FQ","BEST_FPERIOD_OVERRIDE=FQ","FILING_STATUS=OR","EQY_CONSOLIDATED=Y","FA_ADJUSTED=GAAP","Sort=A","Dates=H","DateFormat=P","Fill=—","Direction=H","UseDPDF=Y")</f>
        <v>#NAME?</v>
      </c>
      <c r="U612" s="2" t="e">
        <f ca="1">_xll.BDH($C$603,"EBITDA_GROWTH","FQ4 2015","FQ4 2015","Currency=INR","Period=FQ","BEST_FPERIOD_OVERRIDE=FQ","FILING_STATUS=OR","EQY_CONSOLIDATED=Y","FA_ADJUSTED=GAAP","Sort=A","Dates=H","DateFormat=P","Fill=—","Direction=H","UseDPDF=Y")</f>
        <v>#NAME?</v>
      </c>
      <c r="V612" s="2" t="e">
        <f ca="1">_xll.BDH($C$603,"OPER_INC_GROWTH","FQ4 2015","FQ4 2015","Currency=INR","Period=FQ","BEST_FPERIOD_OVERRIDE=FQ","FILING_STATUS=OR","EQY_CONSOLIDATED=Y","FA_ADJUSTED=GAAP","Sort=A","Dates=H","DateFormat=P","Fill=—","Direction=H","UseDPDF=Y")</f>
        <v>#NAME?</v>
      </c>
      <c r="W612" s="2" t="e">
        <f ca="1">_xll.BDH($C$603,"EARN_FOR_COM_GROWTH","FQ4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12" s="2" t="e">
        <f ca="1">_xll.BDH($C$603,"DILUTED_EPS_AFT_XO_ITEMS_GROWTH","FQ4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12" s="2" t="e">
        <f ca="1">_xll.BDH($C$603,"DIVIDEND_PER_SHARE_1_YEAR_GROWTH","FQ4 2015","FQ4 2015","Currency=INR","Period=FQ","BEST_FPERIOD_OVERRIDE=FQ","FILING_STATUS=OR","EQY_CONSOLIDATED=Y","Sort=A","Dates=H","DateFormat=P","Fill=—","Direction=H","UseDPDF=Y")</f>
        <v>#NAME?</v>
      </c>
      <c r="Z612" s="2" t="e">
        <f ca="1">_xll.BDH($C$603,"ACCOUNTS_RECEIVABLE_GROWTH","FQ4 2015","FQ4 2015","Currency=INR","Period=FQ","BEST_FPERIOD_OVERRIDE=FQ","FILING_STATUS=OR","EQY_CONSOLIDATED=Y","Sort=A","Dates=H","DateFormat=P","Fill=—","Direction=H","UseDPDF=Y")</f>
        <v>#NAME?</v>
      </c>
      <c r="AA612" s="2" t="e">
        <f ca="1">_xll.BDH($C$603,"INVENTORY_GROWTH","FQ4 2015","FQ4 2015","Currency=INR","Period=FQ","BEST_FPERIOD_OVERRIDE=FQ","FILING_STATUS=OR","EQY_CONSOLIDATED=Y","Sort=A","Dates=H","DateFormat=P","Fill=—","Direction=H","UseDPDF=Y")</f>
        <v>#NAME?</v>
      </c>
      <c r="AB612" s="2" t="e">
        <f ca="1">_xll.BDH($C$603,"NET_FIXED_ASSETS_1_YEAR_GROWTH","FQ4 2015","FQ4 2015","Currency=INR","Period=FQ","BEST_FPERIOD_OVERRIDE=FQ","FILING_STATUS=OR","EQY_CONSOLIDATED=Y","Sort=A","Dates=H","DateFormat=P","Fill=—","Direction=H","UseDPDF=Y")</f>
        <v>#NAME?</v>
      </c>
      <c r="AC612" s="2" t="e">
        <f ca="1">_xll.BDH($C$603,"ASSET_GROWTH","FQ4 2015","FQ4 2015","Currency=INR","Period=FQ","BEST_FPERIOD_OVERRIDE=FQ","FILING_STATUS=OR","EQY_CONSOLIDATED=Y","Sort=A","Dates=H","DateFormat=P","Fill=—","Direction=H","UseDPDF=Y")</f>
        <v>#NAME?</v>
      </c>
      <c r="AD612" s="2" t="e">
        <f ca="1">_xll.BDH($C$603,"MODIFIED_WORK_CAP_GROWTH","FQ4 2015","FQ4 2015","Currency=INR","Period=FQ","BEST_FPERIOD_OVERRIDE=FQ","FILING_STATUS=OR","EQY_CONSOLIDATED=Y","Sort=A","Dates=H","DateFormat=P","Fill=—","Direction=H","UseDPDF=Y")</f>
        <v>#NAME?</v>
      </c>
      <c r="AE612" s="2" t="e">
        <f ca="1">_xll.BDH($C$603,"WORK_CAP_GROWTH","FQ4 2015","FQ4 2015","Currency=INR","Period=FQ","BEST_FPERIOD_OVERRIDE=FQ","FILING_STATUS=OR","EQY_CONSOLIDATED=Y","Sort=A","Dates=H","DateFormat=P","Fill=—","Direction=H","UseDPDF=Y")</f>
        <v>#NAME?</v>
      </c>
      <c r="AF612" s="2" t="e">
        <f ca="1">_xll.BDH($C$603,"ACCOUNTS_PAYABLE_GROWTH_1YR","FQ4 2015","FQ4 2015","Currency=INR","Period=FQ","BEST_FPERIOD_OVERRIDE=FQ","FILING_STATUS=OR","EQY_CONSOLIDATED=Y","Sort=A","Dates=H","DateFormat=P","Fill=—","Direction=H","UseDPDF=Y")</f>
        <v>#NAME?</v>
      </c>
      <c r="AG612" s="2" t="e">
        <f ca="1">_xll.BDH($C$603,"SHORT_TERM_DEBT_1_YEAR_GROWTH","FQ4 2015","FQ4 2015","Currency=INR","Period=FQ","BEST_FPERIOD_OVERRIDE=FQ","FILING_STATUS=OR","EQY_CONSOLIDATED=Y","Sort=A","Dates=H","DateFormat=P","Fill=—","Direction=H","UseDPDF=Y")</f>
        <v>#NAME?</v>
      </c>
      <c r="AH612" s="2" t="e">
        <f ca="1">_xll.BDH($C$603,"TOTAL_DEBT_1_YEAR_GROWTH","FQ4 2015","FQ4 2015","Currency=INR","Period=FQ","BEST_FPERIOD_OVERRIDE=FQ","FILING_STATUS=OR","EQY_CONSOLIDATED=Y","Sort=A","Dates=H","DateFormat=P","Fill=—","Direction=H","UseDPDF=Y")</f>
        <v>#NAME?</v>
      </c>
      <c r="AI612" s="2" t="e">
        <f ca="1">_xll.BDH($C$603,"TOTAL_EQUITY_1_YEAR_GROWTH","FQ4 2015","FQ4 2015","Currency=INR","Period=FQ","BEST_FPERIOD_OVERRIDE=FQ","FILING_STATUS=OR","EQY_CONSOLIDATED=Y","Sort=A","Dates=H","DateFormat=P","Fill=—","Direction=H","UseDPDF=Y")</f>
        <v>#NAME?</v>
      </c>
      <c r="AJ612" s="2" t="e">
        <f ca="1">_xll.BDH($C$603,"GROWTH_IN_CAP","FQ4 2015","FQ4 2015","Currency=INR","Period=FQ","BEST_FPERIOD_OVERRIDE=FQ","FILING_STATUS=OR","EQY_CONSOLIDATED=Y","Sort=A","Dates=H","DateFormat=P","Fill=—","Direction=H","UseDPDF=Y")</f>
        <v>#NAME?</v>
      </c>
      <c r="AK612" s="2" t="e">
        <f ca="1">_xll.BDH($C$603,"BVPS_GROWTH","FQ4 2015","FQ4 2015","Currency=INR","Period=FQ","BEST_FPERIOD_OVERRIDE=FQ","FILING_STATUS=OR","EQY_CONSOLIDATED=Y","Sort=A","Dates=H","DateFormat=P","Fill=—","Direction=H","UseDPDF=Y")</f>
        <v>#NAME?</v>
      </c>
      <c r="AL612" s="2" t="e">
        <f ca="1">_xll.BDH($C$603,"CASH_FLOW_GROWTH","FQ4 2015","FQ4 2015","Currency=INR","Period=FQ","BEST_FPERIOD_OVERRIDE=FQ","FILING_STATUS=OR","EQY_CONSOLIDATED=Y","Sort=A","Dates=H","DateFormat=P","Fill=—","Direction=H","UseDPDF=Y")</f>
        <v>#NAME?</v>
      </c>
      <c r="AM612" s="2" t="e">
        <f ca="1">_xll.BDH($C$603,"GEO_GROW_NET_SALES","FQ4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12" s="2" t="e">
        <f ca="1">_xll.BDH($C$603,"GEO_GROW_EBITDA","FQ4 2015","FQ4 2015","Currency=INR","Period=FQ","BEST_FPERIOD_OVERRIDE=FQ","FILING_STATUS=OR","EQY_CONSOLIDATED=Y","FA_ADJUSTED=GAAP","Sort=A","Dates=H","DateFormat=P","Fill=—","Direction=H","UseDPDF=Y")</f>
        <v>#NAME?</v>
      </c>
      <c r="AO612" s="2" t="e">
        <f ca="1">_xll.BDH($C$603,"GEO_GROW_OPER_INC","FQ4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12" s="2" t="e">
        <f ca="1">_xll.BDH($C$603,"NET_INCOME_TO_COMMON_5_YR_GROWTH","FQ4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12" s="2" t="e">
        <f ca="1">_xll.BDH($C$603,"5Y_GEO_GROWTH_DILUTED_EPS","FQ4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12" s="2" t="e">
        <f ca="1">_xll.BDH($C$603,"GEO_GROW_DVD_PER_SH","FQ4 2015","FQ4 2015","Currency=INR","Period=FQ","BEST_FPERIOD_OVERRIDE=FQ","FILING_STATUS=OR","EQY_CONSOLIDATED=Y","Sort=A","Dates=H","DateFormat=P","Fill=—","Direction=H","UseDPDF=Y")</f>
        <v>#NAME?</v>
      </c>
      <c r="AS612" s="2" t="e">
        <f ca="1">_xll.BDH($C$603,"ACCOUNTS_RECEIVABLE_5_YR_GROWTH","FQ4 2015","FQ4 2015","Currency=INR","Period=FQ","BEST_FPERIOD_OVERRIDE=FQ","FILING_STATUS=OR","EQY_CONSOLIDATED=Y","Sort=A","Dates=H","DateFormat=P","Fill=—","Direction=H","UseDPDF=Y")</f>
        <v>#NAME?</v>
      </c>
      <c r="AT612" s="2" t="e">
        <f ca="1">_xll.BDH($C$603,"INVENTORY_5_YEAR_GROWTH","FQ4 2015","FQ4 2015","Currency=INR","Period=FQ","BEST_FPERIOD_OVERRIDE=FQ","FILING_STATUS=OR","EQY_CONSOLIDATED=Y","Sort=A","Dates=H","DateFormat=P","Fill=—","Direction=H","UseDPDF=Y")</f>
        <v>#NAME?</v>
      </c>
      <c r="AU612" s="2" t="e">
        <f ca="1">_xll.BDH($C$603,"NET_FIXED_ASSETS_5_YEAR_GROWTH","FQ4 2015","FQ4 2015","Currency=INR","Period=FQ","BEST_FPERIOD_OVERRIDE=FQ","FILING_STATUS=OR","EQY_CONSOLIDATED=Y","Sort=A","Dates=H","DateFormat=P","Fill=—","Direction=H","UseDPDF=Y")</f>
        <v>#NAME?</v>
      </c>
      <c r="AV612" s="2" t="e">
        <f ca="1">_xll.BDH($C$603,"GEO_GROW_TOT_ASSET","FQ4 2015","FQ4 2015","Currency=INR","Period=FQ","BEST_FPERIOD_OVERRIDE=FQ","FILING_STATUS=OR","EQY_CONSOLIDATED=Y","Sort=A","Dates=H","DateFormat=P","Fill=—","Direction=H","UseDPDF=Y")</f>
        <v>#NAME?</v>
      </c>
      <c r="AW612" s="2" t="e">
        <f ca="1">_xll.BDH($C$603,"MODIFIED_WORKING_CPTL_5YR_GRWTH","FQ4 2015","FQ4 2015","Currency=INR","Period=FQ","BEST_FPERIOD_OVERRIDE=FQ","FILING_STATUS=OR","EQY_CONSOLIDATED=Y","Sort=A","Dates=H","DateFormat=P","Fill=—","Direction=H","UseDPDF=Y")</f>
        <v>#NAME?</v>
      </c>
      <c r="AX612" s="2" t="e">
        <f ca="1">_xll.BDH($C$603,"WORKING_CAPITAL_5_YEAR_GROWTH","FQ4 2015","FQ4 2015","Currency=INR","Period=FQ","BEST_FPERIOD_OVERRIDE=FQ","FILING_STATUS=OR","EQY_CONSOLIDATED=Y","Sort=A","Dates=H","DateFormat=P","Fill=—","Direction=H","UseDPDF=Y")</f>
        <v>#NAME?</v>
      </c>
      <c r="AY612" s="2" t="e">
        <f ca="1">_xll.BDH($C$603,"ACCOUNTS_PAYABLE_5_YEAR_GROWTH","FQ4 2015","FQ4 2015","Currency=INR","Period=FQ","BEST_FPERIOD_OVERRIDE=FQ","FILING_STATUS=OR","EQY_CONSOLIDATED=Y","Sort=A","Dates=H","DateFormat=P","Fill=—","Direction=H","UseDPDF=Y")</f>
        <v>#NAME?</v>
      </c>
      <c r="AZ612" s="2" t="e">
        <f ca="1">_xll.BDH($C$603,"SHORT_TERM_DEBT_5_YEAR_GROWTH","FQ4 2015","FQ4 2015","Currency=INR","Period=FQ","BEST_FPERIOD_OVERRIDE=FQ","FILING_STATUS=OR","EQY_CONSOLIDATED=Y","Sort=A","Dates=H","DateFormat=P","Fill=—","Direction=H","UseDPDF=Y")</f>
        <v>#NAME?</v>
      </c>
      <c r="BA612" s="2" t="e">
        <f ca="1">_xll.BDH($C$603,"TOTAL_DEBT_5_YEAR_GROWTH","FQ4 2015","FQ4 2015","Currency=INR","Period=FQ","BEST_FPERIOD_OVERRIDE=FQ","FILING_STATUS=OR","EQY_CONSOLIDATED=Y","Sort=A","Dates=H","DateFormat=P","Fill=—","Direction=H","UseDPDF=Y")</f>
        <v>#NAME?</v>
      </c>
      <c r="BB612" s="2" t="e">
        <f ca="1">_xll.BDH($C$603,"GEO_GROW_TOT_SHRHLDR_EQY","FQ4 2015","FQ4 2015","Currency=INR","Period=FQ","BEST_FPERIOD_OVERRIDE=FQ","FILING_STATUS=OR","EQY_CONSOLIDATED=Y","Sort=A","Dates=H","DateFormat=P","Fill=—","Direction=H","UseDPDF=Y")</f>
        <v>#NAME?</v>
      </c>
      <c r="BC612" s="2" t="e">
        <f ca="1">_xll.BDH($C$603,"TOTAL_CAPITAL_5_YEAR_GROWTH","FQ4 2015","FQ4 2015","Currency=INR","Period=FQ","BEST_FPERIOD_OVERRIDE=FQ","FILING_STATUS=OR","EQY_CONSOLIDATED=Y","Sort=A","Dates=H","DateFormat=P","Fill=—","Direction=H","UseDPDF=Y")</f>
        <v>#NAME?</v>
      </c>
      <c r="BD612" s="2" t="e">
        <f ca="1">_xll.BDH($C$603,"GEO_GROW_BOOK_VAL","FQ4 2015","FQ4 2015","Currency=INR","Period=FQ","BEST_FPERIOD_OVERRIDE=FQ","FILING_STATUS=OR","EQY_CONSOLIDATED=Y","Sort=A","Dates=H","DateFormat=P","Fill=—","Direction=H","UseDPDF=Y")</f>
        <v>#NAME?</v>
      </c>
      <c r="BE612" s="2" t="e">
        <f ca="1">_xll.BDH($C$603,"GEO_GROW_CASH_OPER_ACT","FQ4 2015","FQ4 2015","Currency=INR","Period=FQ","BEST_FPERIOD_OVERRIDE=FQ","FILING_STATUS=OR","EQY_CONSOLIDATED=Y","Sort=A","Dates=H","DateFormat=P","Fill=—","Direction=H","UseDPDF=Y")</f>
        <v>#NAME?</v>
      </c>
      <c r="BF612" s="2" t="e">
        <f ca="1">_xll.BDH($C$603,"REVENUE_SEQUENTIAL_GROWTH","FQ4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12" s="2" t="e">
        <f ca="1">_xll.BDH($C$603,"EBITDA_SEQUENTIAL_GROWTH","FQ4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12" s="2" t="e">
        <f ca="1">_xll.BDH($C$603,"OPERATING_INCOME_SEQ_GROWTH","FQ4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12" s="2" t="e">
        <f ca="1">_xll.BDH($C$603,"NET_INCOME_TO_COMMON_SEQ_GROWTH","FQ4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12" s="2" t="e">
        <f ca="1">_xll.BDH($C$603,"EPS_DILUTED_SEQUENTIAL_GROWTH","FQ4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12" s="2" t="e">
        <f ca="1">_xll.BDH($C$603,"DPS_SEQUENTIAL_GROWTH","FQ4 2015","FQ4 2015","Currency=INR","Period=FQ","BEST_FPERIOD_OVERRIDE=FQ","FILING_STATUS=OR","EQY_CONSOLIDATED=Y","Sort=A","Dates=H","DateFormat=P","Fill=—","Direction=H","UseDPDF=Y")</f>
        <v>#NAME?</v>
      </c>
      <c r="BL612" s="2" t="e">
        <f ca="1">_xll.BDH($C$603,"ACCOUNTS_RECEIVABLE_SEQ_GROWTH","FQ4 2015","FQ4 2015","Currency=INR","Period=FQ","BEST_FPERIOD_OVERRIDE=FQ","FILING_STATUS=OR","EQY_CONSOLIDATED=Y","Sort=A","Dates=H","DateFormat=P","Fill=—","Direction=H","UseDPDF=Y")</f>
        <v>#NAME?</v>
      </c>
      <c r="BM612" s="2" t="e">
        <f ca="1">_xll.BDH($C$603,"INVENTORY_SEQUENTIAL_GROWTH","FQ4 2015","FQ4 2015","Currency=INR","Period=FQ","BEST_FPERIOD_OVERRIDE=FQ","FILING_STATUS=OR","EQY_CONSOLIDATED=Y","Sort=A","Dates=H","DateFormat=P","Fill=—","Direction=H","UseDPDF=Y")</f>
        <v>#NAME?</v>
      </c>
      <c r="BN612" s="2" t="e">
        <f ca="1">_xll.BDH($C$603,"FIXED_ASSETS_SEQUENTIAL_GROWTH","FQ4 2015","FQ4 2015","Currency=INR","Period=FQ","BEST_FPERIOD_OVERRIDE=FQ","FILING_STATUS=OR","EQY_CONSOLIDATED=Y","Sort=A","Dates=H","DateFormat=P","Fill=—","Direction=H","UseDPDF=Y")</f>
        <v>#NAME?</v>
      </c>
      <c r="BO612" s="2" t="e">
        <f ca="1">_xll.BDH($C$603,"TOTAL_ASSETS_SEQUENTIAL_GROWTH","FQ4 2015","FQ4 2015","Currency=INR","Period=FQ","BEST_FPERIOD_OVERRIDE=FQ","FILING_STATUS=OR","EQY_CONSOLIDATED=Y","Sort=A","Dates=H","DateFormat=P","Fill=—","Direction=H","UseDPDF=Y")</f>
        <v>#NAME?</v>
      </c>
      <c r="BP612" s="2" t="e">
        <f ca="1">_xll.BDH($C$603,"MODIFIED_WORKING_CPTL_SEQ_GRWTH","FQ4 2015","FQ4 2015","Currency=INR","Period=FQ","BEST_FPERIOD_OVERRIDE=FQ","FILING_STATUS=OR","EQY_CONSOLIDATED=Y","Sort=A","Dates=H","DateFormat=P","Fill=—","Direction=H","UseDPDF=Y")</f>
        <v>#NAME?</v>
      </c>
      <c r="BQ612" s="2" t="e">
        <f ca="1">_xll.BDH($C$603,"WORKING_CAPITAL_SEQ_GROWTH","FQ4 2015","FQ4 2015","Currency=INR","Period=FQ","BEST_FPERIOD_OVERRIDE=FQ","FILING_STATUS=OR","EQY_CONSOLIDATED=Y","Sort=A","Dates=H","DateFormat=P","Fill=—","Direction=H","UseDPDF=Y")</f>
        <v>#NAME?</v>
      </c>
      <c r="BR612" s="2" t="e">
        <f ca="1">_xll.BDH($C$603,"ACCOUNTS_PAYABLE_SEQ_GROWTH","FQ4 2015","FQ4 2015","Currency=INR","Period=FQ","BEST_FPERIOD_OVERRIDE=FQ","FILING_STATUS=OR","EQY_CONSOLIDATED=Y","Sort=A","Dates=H","DateFormat=P","Fill=—","Direction=H","UseDPDF=Y")</f>
        <v>#NAME?</v>
      </c>
      <c r="BS612" s="2" t="e">
        <f ca="1">_xll.BDH($C$603,"ST_DEBT_SEQUENTIAL_GROWTH","FQ4 2015","FQ4 2015","Currency=INR","Period=FQ","BEST_FPERIOD_OVERRIDE=FQ","FILING_STATUS=OR","EQY_CONSOLIDATED=Y","Sort=A","Dates=H","DateFormat=P","Fill=—","Direction=H","UseDPDF=Y")</f>
        <v>#NAME?</v>
      </c>
      <c r="BT612" s="2" t="e">
        <f ca="1">_xll.BDH($C$603,"TOTAL_DEBT_SEQUENTIAL_GROWTH","FQ4 2015","FQ4 2015","Currency=INR","Period=FQ","BEST_FPERIOD_OVERRIDE=FQ","FILING_STATUS=OR","EQY_CONSOLIDATED=Y","Sort=A","Dates=H","DateFormat=P","Fill=—","Direction=H","UseDPDF=Y")</f>
        <v>#NAME?</v>
      </c>
      <c r="BU612" s="2" t="e">
        <f ca="1">_xll.BDH($C$603,"TOTAL_EQUITY_SEQUENTIAL_GROWTH","FQ4 2015","FQ4 2015","Currency=INR","Period=FQ","BEST_FPERIOD_OVERRIDE=FQ","FILING_STATUS=OR","EQY_CONSOLIDATED=Y","Sort=A","Dates=H","DateFormat=P","Fill=—","Direction=H","UseDPDF=Y")</f>
        <v>#NAME?</v>
      </c>
      <c r="BV612" s="2" t="e">
        <f ca="1">_xll.BDH($C$603,"TOTAL_CAPITAL_SEQUENTIAL_GROWTH","FQ4 2015","FQ4 2015","Currency=INR","Period=FQ","BEST_FPERIOD_OVERRIDE=FQ","FILING_STATUS=OR","EQY_CONSOLIDATED=Y","Sort=A","Dates=H","DateFormat=P","Fill=—","Direction=H","UseDPDF=Y")</f>
        <v>#NAME?</v>
      </c>
      <c r="BW612" s="2" t="e">
        <f ca="1">_xll.BDH($C$603,"BPS_SEQUENTIAL_GROWTH","FQ4 2015","FQ4 2015","Currency=INR","Period=FQ","BEST_FPERIOD_OVERRIDE=FQ","FILING_STATUS=OR","EQY_CONSOLIDATED=Y","Sort=A","Dates=H","DateFormat=P","Fill=—","Direction=H","UseDPDF=Y")</f>
        <v>#NAME?</v>
      </c>
      <c r="BX612" s="2" t="e">
        <f ca="1">_xll.BDH($C$603,"CFO_SEQUENTIAL_GROWTH","FQ4 2015","FQ4 2015","Currency=INR","Period=FQ","BEST_FPERIOD_OVERRIDE=FQ","FILING_STATUS=OR","EQY_CONSOLIDATED=Y","Sort=A","Dates=H","DateFormat=P","Fill=—","Direction=H","UseDPDF=Y")</f>
        <v>#NAME?</v>
      </c>
      <c r="BY612" s="3" t="e">
        <f ca="1">_xll.BDH($C$603,"SHORT_AND_LONG_TERM_DEBT","FQ4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12" s="3" t="e">
        <f ca="1">_xll.BDH($C$603,"BS_ST_BORROW","FQ4 2015","FQ4 2015","Currency=INR","Period=FQ","BEST_FPERIOD_OVERRIDE=FQ","FILING_STATUS=OR","EQY_CONSOLIDATED=Y","SCALING_FORMAT=MLN","Sort=A","Dates=H","DateFormat=P","Fill=—","Direction=H","UseDPDF=Y")</f>
        <v>#NAME?</v>
      </c>
      <c r="CA612" s="3" t="e">
        <f ca="1">_xll.BDH($C$603,"BS_LT_BORROW","FQ4 2015","FQ4 2015","Currency=INR","Period=FQ","BEST_FPERIOD_OVERRIDE=FQ","FILING_STATUS=OR","EQY_CONSOLIDATED=Y","SCALING_FORMAT=MLN","Sort=A","Dates=H","DateFormat=P","Fill=—","Direction=H","UseDPDF=Y")</f>
        <v>#NAME?</v>
      </c>
      <c r="CB612" s="2" t="e">
        <f ca="1">_xll.BDH($C$603,"TOT_DEBT_TO_EBITDA","FQ4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12" s="2" t="e">
        <f ca="1">_xll.BDH($C$603,"NET_DEBT_TO_EBITDA","FQ4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12" s="2" t="e">
        <f ca="1">_xll.BDH($C$603,"TOTAL_DEBT_TO_EBIT","FQ4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12" s="2" t="e">
        <f ca="1">_xll.BDH($C$603,"NET_DEBT_TO_EBIT","FQ4 2015","FQ4 2015","Currency=INR","Period=FQ","BEST_FPERIOD_OVERRIDE=FQ","FILING_STATUS=OR","EQY_CONSOLIDATED=Y","FA_ADJUSTED=GAAP","Sort=A","Dates=H","DateFormat=P","Fill=—","Direction=H","UseDPDF=Y")</f>
        <v>#NAME?</v>
      </c>
      <c r="CF612" s="2" t="e">
        <f ca="1">_xll.BDH($C$603,"EBITDA_TO_INTEREST_EXPN","FQ4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12" s="2" t="e">
        <f ca="1">_xll.BDH($C$603,"COM_EQY_TO_TOT_ASSET","FQ4 2015","FQ4 2015","Currency=INR","Period=FQ","BEST_FPERIOD_OVERRIDE=FQ","FILING_STATUS=OR","EQY_CONSOLIDATED=Y","Sort=A","Dates=H","DateFormat=P","Fill=—","Direction=H","UseDPDF=Y")</f>
        <v>#NAME?</v>
      </c>
      <c r="CH612" s="2" t="e">
        <f ca="1">_xll.BDH($C$603,"LT_DEBT_TO_TOT_EQY","FQ4 2015","FQ4 2015","Currency=INR","Period=FQ","BEST_FPERIOD_OVERRIDE=FQ","FILING_STATUS=OR","EQY_CONSOLIDATED=Y","Sort=A","Dates=H","DateFormat=P","Fill=—","Direction=H","UseDPDF=Y")</f>
        <v>#NAME?</v>
      </c>
      <c r="CI612" s="2" t="e">
        <f ca="1">_xll.BDH($C$603,"LT_DEBT_TO_TOT_CAP","FQ4 2015","FQ4 2015","Currency=INR","Period=FQ","BEST_FPERIOD_OVERRIDE=FQ","FILING_STATUS=OR","EQY_CONSOLIDATED=Y","Sort=A","Dates=H","DateFormat=P","Fill=—","Direction=H","UseDPDF=Y")</f>
        <v>#NAME?</v>
      </c>
      <c r="CJ612" s="2" t="e">
        <f ca="1">_xll.BDH($C$603,"LT_DEBT_TO_TOT_ASSET","FQ4 2015","FQ4 2015","Currency=INR","Period=FQ","BEST_FPERIOD_OVERRIDE=FQ","FILING_STATUS=OR","EQY_CONSOLIDATED=Y","Sort=A","Dates=H","DateFormat=P","Fill=—","Direction=H","UseDPDF=Y")</f>
        <v>#NAME?</v>
      </c>
      <c r="CK612" s="2" t="e">
        <f ca="1">_xll.BDH($C$603,"TOT_DEBT_TO_TOT_EQY","FQ4 2015","FQ4 2015","Currency=INR","Period=FQ","BEST_FPERIOD_OVERRIDE=FQ","FILING_STATUS=OR","EQY_CONSOLIDATED=Y","Sort=A","Dates=H","DateFormat=P","Fill=—","Direction=H","UseDPDF=Y")</f>
        <v>#NAME?</v>
      </c>
      <c r="CL612" s="2" t="e">
        <f ca="1">_xll.BDH($C$603,"TOT_DEBT_TO_TOT_CAP","FQ4 2015","FQ4 2015","Currency=INR","Period=FQ","BEST_FPERIOD_OVERRIDE=FQ","FILING_STATUS=OR","EQY_CONSOLIDATED=Y","Sort=A","Dates=H","DateFormat=P","Fill=—","Direction=H","UseDPDF=Y")</f>
        <v>#NAME?</v>
      </c>
      <c r="CM612" s="2" t="e">
        <f ca="1">_xll.BDH($C$603,"TOT_DEBT_TO_TOT_ASSET","FQ4 2015","FQ4 2015","Currency=INR","Period=FQ","BEST_FPERIOD_OVERRIDE=FQ","FILING_STATUS=OR","EQY_CONSOLIDATED=Y","Sort=A","Dates=H","DateFormat=P","Fill=—","Direction=H","UseDPDF=Y")</f>
        <v>#NAME?</v>
      </c>
      <c r="CN612" s="2" t="e">
        <f ca="1">_xll.BDH($C$603,"NET_DEBT_TO_SHRHLDR_EQTY","FQ4 2015","FQ4 2015","Currency=INR","Period=FQ","BEST_FPERIOD_OVERRIDE=FQ","FILING_STATUS=OR","EQY_CONSOLIDATED=Y","Sort=A","Dates=H","DateFormat=P","Fill=—","Direction=H","UseDPDF=Y")</f>
        <v>#NAME?</v>
      </c>
      <c r="CO612" s="2" t="e">
        <f ca="1">_xll.BDH($C$603,"NET_DEBT_%_CAPITAL","FQ4 2015","FQ4 2015","Currency=INR","Period=FQ","BEST_FPERIOD_OVERRIDE=FQ","FILING_STATUS=OR","EQY_CONSOLIDATED=Y","Sort=A","Dates=H","DateFormat=P","Fill=—","Direction=H","UseDPDF=Y")</f>
        <v>#NAME?</v>
      </c>
      <c r="CP612" s="3" t="e">
        <f ca="1">_xll.BDH($C$603,"EBITDA","FQ4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12" s="3" t="e">
        <f ca="1">_xll.BDH($C$603,"EBITDA_AFTER_CAPEX","FQ4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12" s="3" t="e">
        <f ca="1">_xll.BDH($C$603,"IS_OPER_INC","FQ4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12" s="2" t="e">
        <f ca="1">_xll.BDH($C$603,"CASH_RATIO","FQ4 2015","FQ4 2015","Currency=INR","Period=FQ","BEST_FPERIOD_OVERRIDE=FQ","FILING_STATUS=OR","EQY_CONSOLIDATED=Y","Sort=A","Dates=H","DateFormat=P","Fill=—","Direction=H","UseDPDF=Y")</f>
        <v>#NAME?</v>
      </c>
      <c r="CT612" s="2" t="e">
        <f ca="1">_xll.BDH($C$603,"CUR_RATIO","FQ4 2015","FQ4 2015","Currency=INR","Period=FQ","BEST_FPERIOD_OVERRIDE=FQ","FILING_STATUS=OR","EQY_CONSOLIDATED=Y","Sort=A","Dates=H","DateFormat=P","Fill=—","Direction=H","UseDPDF=Y")</f>
        <v>#NAME?</v>
      </c>
      <c r="CU612" s="2" t="e">
        <f ca="1">_xll.BDH($C$603,"QUICK_RATIO","FQ4 2015","FQ4 2015","Currency=INR","Period=FQ","BEST_FPERIOD_OVERRIDE=FQ","FILING_STATUS=OR","EQY_CONSOLIDATED=Y","Sort=A","Dates=H","DateFormat=P","Fill=—","Direction=H","UseDPDF=Y")</f>
        <v>#NAME?</v>
      </c>
      <c r="CV612" s="2" t="e">
        <f ca="1">_xll.BDH($C$603,"ALTMAN_Z_SCORE","FQ4 2015","FQ4 2015","Currency=INR","Period=FQ","BEST_FPERIOD_OVERRIDE=FQ","FILING_STATUS=OR","EQY_CONSOLIDATED=Y","Sort=A","Dates=H","DateFormat=P","Fill=—","Direction=H","UseDPDF=Y")</f>
        <v>#NAME?</v>
      </c>
      <c r="CW612" s="4" t="e">
        <f ca="1">_xll.BDH($C$603,"ACCT_RCV_TURN","FQ4 2015","FQ4 2015","Currency=INR","Period=FQ","BEST_FPERIOD_OVERRIDE=FQ","FILING_STATUS=OR","EQY_CONSOLIDATED=Y","FA_ADJUSTED=GAAP","Sort=A","Dates=H","DateFormat=P","Fill=—","Direction=H","UseDPDF=Y")</f>
        <v>#NAME?</v>
      </c>
      <c r="CX612" s="2" t="e">
        <f ca="1">_xll.BDH($C$603,"ACCT_RCV_DAYS","FQ4 2015","FQ4 2015","Currency=INR","Period=FQ","BEST_FPERIOD_OVERRIDE=FQ","FILING_STATUS=OR","EQY_CONSOLIDATED=Y","FA_ADJUSTED=GAAP","Sort=A","Dates=H","DateFormat=P","Fill=—","Direction=H","UseDPDF=Y")</f>
        <v>#NAME?</v>
      </c>
      <c r="CY612" s="4" t="e">
        <f ca="1">_xll.BDH($C$603,"INVENT_TURN","FQ4 2015","FQ4 2015","Currency=INR","Period=FQ","BEST_FPERIOD_OVERRIDE=FQ","FILING_STATUS=OR","EQY_CONSOLIDATED=Y","FA_ADJUSTED=GAAP","Sort=A","Dates=H","DateFormat=P","Fill=—","Direction=H","UseDPDF=Y")</f>
        <v>#NAME?</v>
      </c>
      <c r="CZ612" s="2" t="e">
        <f ca="1">_xll.BDH($C$603,"INVENT_DAYS","FQ4 2015","FQ4 2015","Currency=INR","Period=FQ","BEST_FPERIOD_OVERRIDE=FQ","FILING_STATUS=OR","EQY_CONSOLIDATED=Y","FA_ADJUSTED=GAAP","Sort=A","Dates=H","DateFormat=P","Fill=—","Direction=H","UseDPDF=Y")</f>
        <v>#NAME?</v>
      </c>
      <c r="DA612" s="4" t="e">
        <f ca="1">_xll.BDH($C$603,"ACCOUNTS_PAYABLE_TURNOVER","FQ4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12" s="2" t="e">
        <f ca="1">_xll.BDH($C$603,"ACCOUNTS_PAYABLE_TURNOVER_DAYS","FQ4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12" s="4" t="e">
        <f ca="1">_xll.BDH($C$603,"CASH_CONVERSION_CYCLE","FQ4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12" s="4" t="e">
        <f ca="1">_xll.BDH($C$603,"INV_TO_CASH_DAYS","FQ4 2015","FQ4 2015","Currency=INR","Period=FQ","BEST_FPERIOD_OVERRIDE=FQ","FILING_STATUS=OR","EQY_CONSOLIDATED=Y","FA_ADJUSTED=GAAP","Sort=A","Dates=H","DateFormat=P","Fill=—","Direction=H","UseDPDF=Y")</f>
        <v>#NAME?</v>
      </c>
      <c r="DE612" s="5" t="e">
        <f ca="1">_xll.BDH($C$603,"BS_INVENTORIES","FQ4 2015","FQ4 2015","Currency=INR","Period=FQ","BEST_FPERIOD_OVERRIDE=FQ","FILING_STATUS=OR","EQY_CONSOLIDATED=Y","SCALING_FORMAT=MLN","Sort=A","Dates=H","DateFormat=P","Fill=—","Direction=H","UseDPDF=Y")</f>
        <v>#NAME?</v>
      </c>
      <c r="DF612" s="3" t="e">
        <f ca="1">_xll.BDH($C$603,"INVTRY_RAW_MATERIALS","FQ4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12" s="3" t="e">
        <f ca="1">_xll.BDH($C$603,"INVTRY_IN_PROGRESS","FQ4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12" s="3" t="e">
        <f ca="1">_xll.BDH($C$603,"INVTRY_FINISHED_GOODS","FQ4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12" s="3" t="e">
        <f ca="1">_xll.BDH($C$603,"BS_OTHER_INV","FQ4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13" spans="1:113" x14ac:dyDescent="0.3">
      <c r="A613" s="6"/>
      <c r="B613" s="6"/>
      <c r="C613" s="6"/>
      <c r="D613" s="6" t="s">
        <v>83</v>
      </c>
      <c r="E613" t="s">
        <v>77</v>
      </c>
      <c r="F613" t="e">
        <f ca="1">_xll.BDH($C$603,"RETURN_COM_EQY","FY 2016","FY 2016","Currency=INR","Period=FY","BEST_FPERIOD_OVERRIDE=FY","FILING_STATUS=OR","EQY_CONSOLIDATED=Y","FA_ADJUSTED=GAAP","Sort=A","Dates=H","DateFormat=P","Fill=—","Direction=H","UseDPDF=Y")</f>
        <v>#NAME?</v>
      </c>
      <c r="G613" t="e">
        <f ca="1">_xll.BDH($C$603,"RETURN_ON_ASSET","FY 2016","FY 2016","Currency=INR","Period=FY","BEST_FPERIOD_OVERRIDE=FY","FILING_STATUS=OR","EQY_CONSOLIDATED=Y","FA_ADJUSTED=GAAP","Sort=A","Dates=H","DateFormat=P","Fill=—","Direction=H","UseDPDF=Y")</f>
        <v>#NAME?</v>
      </c>
      <c r="H613" t="e">
        <f ca="1">_xll.BDH($C$603,"RETURN_ON_CAP","FY 2016","FY 2016","Currency=INR","Period=FY","BEST_FPERIOD_OVERRIDE=FY","FILING_STATUS=OR","EQY_CONSOLIDATED=Y","FA_ADJUSTED=GAAP","Sort=A","Dates=H","DateFormat=P","Fill=—","Direction=H","UseDPDF=Y")</f>
        <v>#NAME?</v>
      </c>
      <c r="I613" t="e">
        <f ca="1">_xll.BDH($C$603,"RETURN_ON_INV_CAPITAL","FY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13" t="e">
        <f ca="1">_xll.BDH($C$603,"EBITDA_TO_REVENUE","FY 2016","FY 2016","Currency=INR","Period=FY","BEST_FPERIOD_OVERRIDE=FY","FILING_STATUS=OR","EQY_CONSOLIDATED=Y","FA_ADJUSTED=GAAP","Sort=A","Dates=H","DateFormat=P","Fill=—","Direction=H","UseDPDF=Y")</f>
        <v>#NAME?</v>
      </c>
      <c r="K613" t="e">
        <f ca="1">_xll.BDH($C$603,"OPER_MARGIN","FY 2016","FY 2016","Currency=INR","Period=FY","BEST_FPERIOD_OVERRIDE=FY","FILING_STATUS=OR","EQY_CONSOLIDATED=Y","FA_ADJUSTED=GAAP","Sort=A","Dates=H","DateFormat=P","Fill=—","Direction=H","UseDPDF=Y")</f>
        <v>#NAME?</v>
      </c>
      <c r="L613" t="e">
        <f ca="1">_xll.BDH($C$603,"INCREMENTAL_OPERATING_MARGIN","FY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13" t="e">
        <f ca="1">_xll.BDH($C$603,"PRETAX_INC_TO_NET_SALES","FY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13" t="e">
        <f ca="1">_xll.BDH($C$603,"INC_BEF_XO_ITEMS_TO_NET_SALES","FY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13" t="e">
        <f ca="1">_xll.BDH($C$603,"PROF_MARGIN","FY 2016","FY 2016","Currency=INR","Period=FY","BEST_FPERIOD_OVERRIDE=FY","FILING_STATUS=OR","EQY_CONSOLIDATED=Y","FA_ADJUSTED=GAAP","Sort=A","Dates=H","DateFormat=P","Fill=—","Direction=H","UseDPDF=Y")</f>
        <v>#NAME?</v>
      </c>
      <c r="P613" t="e">
        <f ca="1">_xll.BDH($C$603,"NET_INCOME_TO_COMMON_MARGIN","FY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13" t="e">
        <f ca="1">_xll.BDH($C$603,"EFF_TAX_RATE","FY 2016","FY 2016","Currency=INR","Period=FY","BEST_FPERIOD_OVERRIDE=FY","FILING_STATUS=OR","EQY_CONSOLIDATED=Y","FA_ADJUSTED=GAAP","Sort=A","Dates=H","DateFormat=P","Fill=—","Direction=H","UseDPDF=Y")</f>
        <v>#NAME?</v>
      </c>
      <c r="R613" t="e">
        <f ca="1">_xll.BDH($C$603,"DVD_PAYOUT_RATIO","FY 2016","FY 2016","Currency=INR","Period=FY","BEST_FPERIOD_OVERRIDE=FY","FILING_STATUS=OR","EQY_CONSOLIDATED=Y","FA_ADJUSTED=GAAP","Sort=A","Dates=H","DateFormat=P","Fill=—","Direction=H","UseDPDF=Y")</f>
        <v>#NAME?</v>
      </c>
      <c r="S613" t="e">
        <f ca="1">_xll.BDH($C$603,"SUSTAIN_GROWTH_RT","FY 2016","FY 2016","Currency=INR","Period=FY","BEST_FPERIOD_OVERRIDE=FY","FILING_STATUS=OR","EQY_CONSOLIDATED=Y","FA_ADJUSTED=GAAP","Sort=A","Dates=H","DateFormat=P","Fill=—","Direction=H","UseDPDF=Y")</f>
        <v>#NAME?</v>
      </c>
      <c r="T613" s="2" t="e">
        <f ca="1">_xll.BDH($C$603,"SALES_GROWTH","FY 2016","FY 2016","Currency=INR","Period=FY","BEST_FPERIOD_OVERRIDE=FY","FILING_STATUS=OR","EQY_CONSOLIDATED=Y","FA_ADJUSTED=GAAP","Sort=A","Dates=H","DateFormat=P","Fill=—","Direction=H","UseDPDF=Y")</f>
        <v>#NAME?</v>
      </c>
      <c r="U613" s="2" t="e">
        <f ca="1">_xll.BDH($C$603,"EBITDA_GROWTH","FY 2016","FY 2016","Currency=INR","Period=FY","BEST_FPERIOD_OVERRIDE=FY","FILING_STATUS=OR","EQY_CONSOLIDATED=Y","FA_ADJUSTED=GAAP","Sort=A","Dates=H","DateFormat=P","Fill=—","Direction=H","UseDPDF=Y")</f>
        <v>#NAME?</v>
      </c>
      <c r="V613" s="2" t="e">
        <f ca="1">_xll.BDH($C$603,"OPER_INC_GROWTH","FY 2016","FY 2016","Currency=INR","Period=FY","BEST_FPERIOD_OVERRIDE=FY","FILING_STATUS=OR","EQY_CONSOLIDATED=Y","FA_ADJUSTED=GAAP","Sort=A","Dates=H","DateFormat=P","Fill=—","Direction=H","UseDPDF=Y")</f>
        <v>#NAME?</v>
      </c>
      <c r="W613" s="2" t="e">
        <f ca="1">_xll.BDH($C$603,"EARN_FOR_COM_GROWTH","FY 2016","FY 2016","Currency=INR","Period=FY","BEST_FPERIOD_OVERRIDE=FY","FILING_STATUS=OR","EQY_CONSOLIDATED=Y","FA_ADJUSTED=GAAP","Sort=A","Dates=H","DateFormat=P","Fill=—","Direction=H","UseDPDF=Y")</f>
        <v>#NAME?</v>
      </c>
      <c r="X613" s="2" t="e">
        <f ca="1">_xll.BDH($C$603,"DILUTED_EPS_AFT_XO_ITEMS_GROWTH","FY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13" s="2" t="e">
        <f ca="1">_xll.BDH($C$603,"DIVIDEND_PER_SHARE_1_YEAR_GROWTH","FY 2016","FY 2016","Currency=INR","Period=FY","BEST_FPERIOD_OVERRIDE=FY","FILING_STATUS=OR","EQY_CONSOLIDATED=Y","Sort=A","Dates=H","DateFormat=P","Fill=—","Direction=H","UseDPDF=Y")</f>
        <v>#NAME?</v>
      </c>
      <c r="Z613" s="2" t="e">
        <f ca="1">_xll.BDH($C$603,"ACCOUNTS_RECEIVABLE_GROWTH","FY 2016","FY 2016","Currency=INR","Period=FY","BEST_FPERIOD_OVERRIDE=FY","FILING_STATUS=OR","EQY_CONSOLIDATED=Y","Sort=A","Dates=H","DateFormat=P","Fill=—","Direction=H","UseDPDF=Y")</f>
        <v>#NAME?</v>
      </c>
      <c r="AA613" s="2" t="e">
        <f ca="1">_xll.BDH($C$603,"INVENTORY_GROWTH","FY 2016","FY 2016","Currency=INR","Period=FY","BEST_FPERIOD_OVERRIDE=FY","FILING_STATUS=OR","EQY_CONSOLIDATED=Y","Sort=A","Dates=H","DateFormat=P","Fill=—","Direction=H","UseDPDF=Y")</f>
        <v>#NAME?</v>
      </c>
      <c r="AB613" s="2" t="e">
        <f ca="1">_xll.BDH($C$603,"NET_FIXED_ASSETS_1_YEAR_GROWTH","FY 2016","FY 2016","Currency=INR","Period=FY","BEST_FPERIOD_OVERRIDE=FY","FILING_STATUS=OR","EQY_CONSOLIDATED=Y","Sort=A","Dates=H","DateFormat=P","Fill=—","Direction=H","UseDPDF=Y")</f>
        <v>#NAME?</v>
      </c>
      <c r="AC613" s="2" t="e">
        <f ca="1">_xll.BDH($C$603,"ASSET_GROWTH","FY 2016","FY 2016","Currency=INR","Period=FY","BEST_FPERIOD_OVERRIDE=FY","FILING_STATUS=OR","EQY_CONSOLIDATED=Y","Sort=A","Dates=H","DateFormat=P","Fill=—","Direction=H","UseDPDF=Y")</f>
        <v>#NAME?</v>
      </c>
      <c r="AD613" s="2" t="e">
        <f ca="1">_xll.BDH($C$603,"MODIFIED_WORK_CAP_GROWTH","FY 2016","FY 2016","Currency=INR","Period=FY","BEST_FPERIOD_OVERRIDE=FY","FILING_STATUS=OR","EQY_CONSOLIDATED=Y","Sort=A","Dates=H","DateFormat=P","Fill=—","Direction=H","UseDPDF=Y")</f>
        <v>#NAME?</v>
      </c>
      <c r="AE613" s="2" t="e">
        <f ca="1">_xll.BDH($C$603,"WORK_CAP_GROWTH","FY 2016","FY 2016","Currency=INR","Period=FY","BEST_FPERIOD_OVERRIDE=FY","FILING_STATUS=OR","EQY_CONSOLIDATED=Y","Sort=A","Dates=H","DateFormat=P","Fill=—","Direction=H","UseDPDF=Y")</f>
        <v>#NAME?</v>
      </c>
      <c r="AF613" s="2" t="e">
        <f ca="1">_xll.BDH($C$603,"ACCOUNTS_PAYABLE_GROWTH_1YR","FY 2016","FY 2016","Currency=INR","Period=FY","BEST_FPERIOD_OVERRIDE=FY","FILING_STATUS=OR","EQY_CONSOLIDATED=Y","Sort=A","Dates=H","DateFormat=P","Fill=—","Direction=H","UseDPDF=Y")</f>
        <v>#NAME?</v>
      </c>
      <c r="AG613" s="2" t="e">
        <f ca="1">_xll.BDH($C$603,"SHORT_TERM_DEBT_1_YEAR_GROWTH","FY 2016","FY 2016","Currency=INR","Period=FY","BEST_FPERIOD_OVERRIDE=FY","FILING_STATUS=OR","EQY_CONSOLIDATED=Y","Sort=A","Dates=H","DateFormat=P","Fill=—","Direction=H","UseDPDF=Y")</f>
        <v>#NAME?</v>
      </c>
      <c r="AH613" s="2" t="e">
        <f ca="1">_xll.BDH($C$603,"TOTAL_DEBT_1_YEAR_GROWTH","FY 2016","FY 2016","Currency=INR","Period=FY","BEST_FPERIOD_OVERRIDE=FY","FILING_STATUS=OR","EQY_CONSOLIDATED=Y","Sort=A","Dates=H","DateFormat=P","Fill=—","Direction=H","UseDPDF=Y")</f>
        <v>#NAME?</v>
      </c>
      <c r="AI613" s="2" t="e">
        <f ca="1">_xll.BDH($C$603,"TOTAL_EQUITY_1_YEAR_GROWTH","FY 2016","FY 2016","Currency=INR","Period=FY","BEST_FPERIOD_OVERRIDE=FY","FILING_STATUS=OR","EQY_CONSOLIDATED=Y","Sort=A","Dates=H","DateFormat=P","Fill=—","Direction=H","UseDPDF=Y")</f>
        <v>#NAME?</v>
      </c>
      <c r="AJ613" s="2" t="e">
        <f ca="1">_xll.BDH($C$603,"GROWTH_IN_CAP","FY 2016","FY 2016","Currency=INR","Period=FY","BEST_FPERIOD_OVERRIDE=FY","FILING_STATUS=OR","EQY_CONSOLIDATED=Y","Sort=A","Dates=H","DateFormat=P","Fill=—","Direction=H","UseDPDF=Y")</f>
        <v>#NAME?</v>
      </c>
      <c r="AK613" s="2" t="e">
        <f ca="1">_xll.BDH($C$603,"BVPS_GROWTH","FY 2016","FY 2016","Currency=INR","Period=FY","BEST_FPERIOD_OVERRIDE=FY","FILING_STATUS=OR","EQY_CONSOLIDATED=Y","Sort=A","Dates=H","DateFormat=P","Fill=—","Direction=H","UseDPDF=Y")</f>
        <v>#NAME?</v>
      </c>
      <c r="AL613" s="2" t="e">
        <f ca="1">_xll.BDH($C$603,"CASH_FLOW_GROWTH","FY 2016","FY 2016","Currency=INR","Period=FY","BEST_FPERIOD_OVERRIDE=FY","FILING_STATUS=OR","EQY_CONSOLIDATED=Y","Sort=A","Dates=H","DateFormat=P","Fill=—","Direction=H","UseDPDF=Y")</f>
        <v>#NAME?</v>
      </c>
      <c r="AM613" s="2" t="e">
        <f ca="1">_xll.BDH($C$603,"GEO_GROW_NET_SALES","FY 2016","FY 2016","Currency=INR","Period=FY","BEST_FPERIOD_OVERRIDE=FY","FILING_STATUS=OR","EQY_CONSOLIDATED=Y","FA_ADJUSTED=GAAP","Sort=A","Dates=H","DateFormat=P","Fill=—","Direction=H","UseDPDF=Y")</f>
        <v>#NAME?</v>
      </c>
      <c r="AN613" s="2" t="e">
        <f ca="1">_xll.BDH($C$603,"GEO_GROW_EBITDA","FY 2016","FY 2016","Currency=INR","Period=FY","BEST_FPERIOD_OVERRIDE=FY","FILING_STATUS=OR","EQY_CONSOLIDATED=Y","FA_ADJUSTED=GAAP","Sort=A","Dates=H","DateFormat=P","Fill=—","Direction=H","UseDPDF=Y")</f>
        <v>#NAME?</v>
      </c>
      <c r="AO613" s="2" t="e">
        <f ca="1">_xll.BDH($C$603,"GEO_GROW_OPER_INC","FY 2016","FY 2016","Currency=INR","Period=FY","BEST_FPERIOD_OVERRIDE=FY","FILING_STATUS=OR","EQY_CONSOLIDATED=Y","FA_ADJUSTED=GAAP","Sort=A","Dates=H","DateFormat=P","Fill=—","Direction=H","UseDPDF=Y")</f>
        <v>#NAME?</v>
      </c>
      <c r="AP613" s="2" t="e">
        <f ca="1">_xll.BDH($C$603,"NET_INCOME_TO_COMMON_5_YR_GROWTH","FY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13" s="2" t="e">
        <f ca="1">_xll.BDH($C$603,"5Y_GEO_GROWTH_DILUTED_EPS","FY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13" s="2" t="e">
        <f ca="1">_xll.BDH($C$603,"GEO_GROW_DVD_PER_SH","FY 2016","FY 2016","Currency=INR","Period=FY","BEST_FPERIOD_OVERRIDE=FY","FILING_STATUS=OR","EQY_CONSOLIDATED=Y","Sort=A","Dates=H","DateFormat=P","Fill=—","Direction=H","UseDPDF=Y")</f>
        <v>#NAME?</v>
      </c>
      <c r="AS613" s="2" t="e">
        <f ca="1">_xll.BDH($C$603,"ACCOUNTS_RECEIVABLE_5_YR_GROWTH","FY 2016","FY 2016","Currency=INR","Period=FY","BEST_FPERIOD_OVERRIDE=FY","FILING_STATUS=OR","EQY_CONSOLIDATED=Y","Sort=A","Dates=H","DateFormat=P","Fill=—","Direction=H","UseDPDF=Y")</f>
        <v>#NAME?</v>
      </c>
      <c r="AT613" s="2" t="e">
        <f ca="1">_xll.BDH($C$603,"INVENTORY_5_YEAR_GROWTH","FY 2016","FY 2016","Currency=INR","Period=FY","BEST_FPERIOD_OVERRIDE=FY","FILING_STATUS=OR","EQY_CONSOLIDATED=Y","Sort=A","Dates=H","DateFormat=P","Fill=—","Direction=H","UseDPDF=Y")</f>
        <v>#NAME?</v>
      </c>
      <c r="AU613" s="2" t="e">
        <f ca="1">_xll.BDH($C$603,"NET_FIXED_ASSETS_5_YEAR_GROWTH","FY 2016","FY 2016","Currency=INR","Period=FY","BEST_FPERIOD_OVERRIDE=FY","FILING_STATUS=OR","EQY_CONSOLIDATED=Y","Sort=A","Dates=H","DateFormat=P","Fill=—","Direction=H","UseDPDF=Y")</f>
        <v>#NAME?</v>
      </c>
      <c r="AV613" s="2" t="e">
        <f ca="1">_xll.BDH($C$603,"GEO_GROW_TOT_ASSET","FY 2016","FY 2016","Currency=INR","Period=FY","BEST_FPERIOD_OVERRIDE=FY","FILING_STATUS=OR","EQY_CONSOLIDATED=Y","Sort=A","Dates=H","DateFormat=P","Fill=—","Direction=H","UseDPDF=Y")</f>
        <v>#NAME?</v>
      </c>
      <c r="AW613" s="2" t="e">
        <f ca="1">_xll.BDH($C$603,"MODIFIED_WORKING_CPTL_5YR_GRWTH","FY 2016","FY 2016","Currency=INR","Period=FY","BEST_FPERIOD_OVERRIDE=FY","FILING_STATUS=OR","EQY_CONSOLIDATED=Y","Sort=A","Dates=H","DateFormat=P","Fill=—","Direction=H","UseDPDF=Y")</f>
        <v>#NAME?</v>
      </c>
      <c r="AX613" s="2" t="e">
        <f ca="1">_xll.BDH($C$603,"WORKING_CAPITAL_5_YEAR_GROWTH","FY 2016","FY 2016","Currency=INR","Period=FY","BEST_FPERIOD_OVERRIDE=FY","FILING_STATUS=OR","EQY_CONSOLIDATED=Y","Sort=A","Dates=H","DateFormat=P","Fill=—","Direction=H","UseDPDF=Y")</f>
        <v>#NAME?</v>
      </c>
      <c r="AY613" s="2" t="e">
        <f ca="1">_xll.BDH($C$603,"ACCOUNTS_PAYABLE_5_YEAR_GROWTH","FY 2016","FY 2016","Currency=INR","Period=FY","BEST_FPERIOD_OVERRIDE=FY","FILING_STATUS=OR","EQY_CONSOLIDATED=Y","Sort=A","Dates=H","DateFormat=P","Fill=—","Direction=H","UseDPDF=Y")</f>
        <v>#NAME?</v>
      </c>
      <c r="AZ613" s="2" t="e">
        <f ca="1">_xll.BDH($C$603,"SHORT_TERM_DEBT_5_YEAR_GROWTH","FY 2016","FY 2016","Currency=INR","Period=FY","BEST_FPERIOD_OVERRIDE=FY","FILING_STATUS=OR","EQY_CONSOLIDATED=Y","Sort=A","Dates=H","DateFormat=P","Fill=—","Direction=H","UseDPDF=Y")</f>
        <v>#NAME?</v>
      </c>
      <c r="BA613" s="2" t="e">
        <f ca="1">_xll.BDH($C$603,"TOTAL_DEBT_5_YEAR_GROWTH","FY 2016","FY 2016","Currency=INR","Period=FY","BEST_FPERIOD_OVERRIDE=FY","FILING_STATUS=OR","EQY_CONSOLIDATED=Y","Sort=A","Dates=H","DateFormat=P","Fill=—","Direction=H","UseDPDF=Y")</f>
        <v>#NAME?</v>
      </c>
      <c r="BB613" s="2" t="e">
        <f ca="1">_xll.BDH($C$603,"GEO_GROW_TOT_SHRHLDR_EQY","FY 2016","FY 2016","Currency=INR","Period=FY","BEST_FPERIOD_OVERRIDE=FY","FILING_STATUS=OR","EQY_CONSOLIDATED=Y","Sort=A","Dates=H","DateFormat=P","Fill=—","Direction=H","UseDPDF=Y")</f>
        <v>#NAME?</v>
      </c>
      <c r="BC613" s="2" t="e">
        <f ca="1">_xll.BDH($C$603,"TOTAL_CAPITAL_5_YEAR_GROWTH","FY 2016","FY 2016","Currency=INR","Period=FY","BEST_FPERIOD_OVERRIDE=FY","FILING_STATUS=OR","EQY_CONSOLIDATED=Y","Sort=A","Dates=H","DateFormat=P","Fill=—","Direction=H","UseDPDF=Y")</f>
        <v>#NAME?</v>
      </c>
      <c r="BD613" s="2" t="e">
        <f ca="1">_xll.BDH($C$603,"GEO_GROW_BOOK_VAL","FY 2016","FY 2016","Currency=INR","Period=FY","BEST_FPERIOD_OVERRIDE=FY","FILING_STATUS=OR","EQY_CONSOLIDATED=Y","Sort=A","Dates=H","DateFormat=P","Fill=—","Direction=H","UseDPDF=Y")</f>
        <v>#NAME?</v>
      </c>
      <c r="BE613" s="2" t="e">
        <f ca="1">_xll.BDH($C$603,"GEO_GROW_CASH_OPER_ACT","FY 2016","FY 2016","Currency=INR","Period=FY","BEST_FPERIOD_OVERRIDE=FY","FILING_STATUS=OR","EQY_CONSOLIDATED=Y","Sort=A","Dates=H","DateFormat=P","Fill=—","Direction=H","UseDPDF=Y")</f>
        <v>#NAME?</v>
      </c>
      <c r="BF613" s="2" t="e">
        <f ca="1">_xll.BDH($C$603,"REVENUE_SEQUENTIAL_GROWTH","FY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13" s="2" t="e">
        <f ca="1">_xll.BDH($C$603,"EBITDA_SEQUENTIAL_GROWTH","FY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13" s="2" t="e">
        <f ca="1">_xll.BDH($C$603,"OPERATING_INCOME_SEQ_GROWTH","FY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13" s="2" t="e">
        <f ca="1">_xll.BDH($C$603,"NET_INCOME_TO_COMMON_SEQ_GROWTH","FY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13" s="2" t="e">
        <f ca="1">_xll.BDH($C$603,"EPS_DILUTED_SEQUENTIAL_GROWTH","FY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13" s="2" t="e">
        <f ca="1">_xll.BDH($C$603,"DPS_SEQUENTIAL_GROWTH","FY 2016","FY 2016","Currency=INR","Period=FY","BEST_FPERIOD_OVERRIDE=FY","FILING_STATUS=OR","EQY_CONSOLIDATED=Y","Sort=A","Dates=H","DateFormat=P","Fill=—","Direction=H","UseDPDF=Y")</f>
        <v>#NAME?</v>
      </c>
      <c r="BL613" s="2" t="e">
        <f ca="1">_xll.BDH($C$603,"ACCOUNTS_RECEIVABLE_SEQ_GROWTH","FY 2016","FY 2016","Currency=INR","Period=FY","BEST_FPERIOD_OVERRIDE=FY","FILING_STATUS=OR","EQY_CONSOLIDATED=Y","Sort=A","Dates=H","DateFormat=P","Fill=—","Direction=H","UseDPDF=Y")</f>
        <v>#NAME?</v>
      </c>
      <c r="BM613" s="2" t="e">
        <f ca="1">_xll.BDH($C$603,"INVENTORY_SEQUENTIAL_GROWTH","FY 2016","FY 2016","Currency=INR","Period=FY","BEST_FPERIOD_OVERRIDE=FY","FILING_STATUS=OR","EQY_CONSOLIDATED=Y","Sort=A","Dates=H","DateFormat=P","Fill=—","Direction=H","UseDPDF=Y")</f>
        <v>#NAME?</v>
      </c>
      <c r="BN613" s="2" t="e">
        <f ca="1">_xll.BDH($C$603,"FIXED_ASSETS_SEQUENTIAL_GROWTH","FY 2016","FY 2016","Currency=INR","Period=FY","BEST_FPERIOD_OVERRIDE=FY","FILING_STATUS=OR","EQY_CONSOLIDATED=Y","Sort=A","Dates=H","DateFormat=P","Fill=—","Direction=H","UseDPDF=Y")</f>
        <v>#NAME?</v>
      </c>
      <c r="BO613" s="2" t="e">
        <f ca="1">_xll.BDH($C$603,"TOTAL_ASSETS_SEQUENTIAL_GROWTH","FY 2016","FY 2016","Currency=INR","Period=FY","BEST_FPERIOD_OVERRIDE=FY","FILING_STATUS=OR","EQY_CONSOLIDATED=Y","Sort=A","Dates=H","DateFormat=P","Fill=—","Direction=H","UseDPDF=Y")</f>
        <v>#NAME?</v>
      </c>
      <c r="BP613" s="2" t="e">
        <f ca="1">_xll.BDH($C$603,"MODIFIED_WORKING_CPTL_SEQ_GRWTH","FY 2016","FY 2016","Currency=INR","Period=FY","BEST_FPERIOD_OVERRIDE=FY","FILING_STATUS=OR","EQY_CONSOLIDATED=Y","Sort=A","Dates=H","DateFormat=P","Fill=—","Direction=H","UseDPDF=Y")</f>
        <v>#NAME?</v>
      </c>
      <c r="BQ613" s="2" t="e">
        <f ca="1">_xll.BDH($C$603,"WORKING_CAPITAL_SEQ_GROWTH","FY 2016","FY 2016","Currency=INR","Period=FY","BEST_FPERIOD_OVERRIDE=FY","FILING_STATUS=OR","EQY_CONSOLIDATED=Y","Sort=A","Dates=H","DateFormat=P","Fill=—","Direction=H","UseDPDF=Y")</f>
        <v>#NAME?</v>
      </c>
      <c r="BR613" s="2" t="e">
        <f ca="1">_xll.BDH($C$603,"ACCOUNTS_PAYABLE_SEQ_GROWTH","FY 2016","FY 2016","Currency=INR","Period=FY","BEST_FPERIOD_OVERRIDE=FY","FILING_STATUS=OR","EQY_CONSOLIDATED=Y","Sort=A","Dates=H","DateFormat=P","Fill=—","Direction=H","UseDPDF=Y")</f>
        <v>#NAME?</v>
      </c>
      <c r="BS613" s="2" t="e">
        <f ca="1">_xll.BDH($C$603,"ST_DEBT_SEQUENTIAL_GROWTH","FY 2016","FY 2016","Currency=INR","Period=FY","BEST_FPERIOD_OVERRIDE=FY","FILING_STATUS=OR","EQY_CONSOLIDATED=Y","Sort=A","Dates=H","DateFormat=P","Fill=—","Direction=H","UseDPDF=Y")</f>
        <v>#NAME?</v>
      </c>
      <c r="BT613" s="2" t="e">
        <f ca="1">_xll.BDH($C$603,"TOTAL_DEBT_SEQUENTIAL_GROWTH","FY 2016","FY 2016","Currency=INR","Period=FY","BEST_FPERIOD_OVERRIDE=FY","FILING_STATUS=OR","EQY_CONSOLIDATED=Y","Sort=A","Dates=H","DateFormat=P","Fill=—","Direction=H","UseDPDF=Y")</f>
        <v>#NAME?</v>
      </c>
      <c r="BU613" s="2" t="e">
        <f ca="1">_xll.BDH($C$603,"TOTAL_EQUITY_SEQUENTIAL_GROWTH","FY 2016","FY 2016","Currency=INR","Period=FY","BEST_FPERIOD_OVERRIDE=FY","FILING_STATUS=OR","EQY_CONSOLIDATED=Y","Sort=A","Dates=H","DateFormat=P","Fill=—","Direction=H","UseDPDF=Y")</f>
        <v>#NAME?</v>
      </c>
      <c r="BV613" s="2" t="e">
        <f ca="1">_xll.BDH($C$603,"TOTAL_CAPITAL_SEQUENTIAL_GROWTH","FY 2016","FY 2016","Currency=INR","Period=FY","BEST_FPERIOD_OVERRIDE=FY","FILING_STATUS=OR","EQY_CONSOLIDATED=Y","Sort=A","Dates=H","DateFormat=P","Fill=—","Direction=H","UseDPDF=Y")</f>
        <v>#NAME?</v>
      </c>
      <c r="BW613" s="2" t="e">
        <f ca="1">_xll.BDH($C$603,"BPS_SEQUENTIAL_GROWTH","FY 2016","FY 2016","Currency=INR","Period=FY","BEST_FPERIOD_OVERRIDE=FY","FILING_STATUS=OR","EQY_CONSOLIDATED=Y","Sort=A","Dates=H","DateFormat=P","Fill=—","Direction=H","UseDPDF=Y")</f>
        <v>#NAME?</v>
      </c>
      <c r="BX613" s="2" t="e">
        <f ca="1">_xll.BDH($C$603,"CFO_SEQUENTIAL_GROWTH","FY 2016","FY 2016","Currency=INR","Period=FY","BEST_FPERIOD_OVERRIDE=FY","FILING_STATUS=OR","EQY_CONSOLIDATED=Y","Sort=A","Dates=H","DateFormat=P","Fill=—","Direction=H","UseDPDF=Y")</f>
        <v>#NAME?</v>
      </c>
      <c r="BY613" s="3" t="e">
        <f ca="1">_xll.BDH($C$603,"SHORT_AND_LONG_TERM_DEBT","FY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13" s="3" t="e">
        <f ca="1">_xll.BDH($C$603,"BS_ST_BORROW","FY 2016","FY 2016","Currency=INR","Period=FY","BEST_FPERIOD_OVERRIDE=FY","FILING_STATUS=OR","EQY_CONSOLIDATED=Y","SCALING_FORMAT=MLN","Sort=A","Dates=H","DateFormat=P","Fill=—","Direction=H","UseDPDF=Y")</f>
        <v>#NAME?</v>
      </c>
      <c r="CA613" s="3" t="e">
        <f ca="1">_xll.BDH($C$603,"BS_LT_BORROW","FY 2016","FY 2016","Currency=INR","Period=FY","BEST_FPERIOD_OVERRIDE=FY","FILING_STATUS=OR","EQY_CONSOLIDATED=Y","SCALING_FORMAT=MLN","Sort=A","Dates=H","DateFormat=P","Fill=—","Direction=H","UseDPDF=Y")</f>
        <v>#NAME?</v>
      </c>
      <c r="CB613" s="2" t="e">
        <f ca="1">_xll.BDH($C$603,"TOT_DEBT_TO_EBITDA","FY 2016","FY 2016","Currency=INR","Period=FY","BEST_FPERIOD_OVERRIDE=FY","FILING_STATUS=OR","EQY_CONSOLIDATED=Y","FA_ADJUSTED=GAAP","Sort=A","Dates=H","DateFormat=P","Fill=—","Direction=H","UseDPDF=Y")</f>
        <v>#NAME?</v>
      </c>
      <c r="CC613" s="2" t="e">
        <f ca="1">_xll.BDH($C$603,"NET_DEBT_TO_EBITDA","FY 2016","FY 2016","Currency=INR","Period=FY","BEST_FPERIOD_OVERRIDE=FY","FILING_STATUS=OR","EQY_CONSOLIDATED=Y","FA_ADJUSTED=GAAP","Sort=A","Dates=H","DateFormat=P","Fill=—","Direction=H","UseDPDF=Y")</f>
        <v>#NAME?</v>
      </c>
      <c r="CD613" s="2" t="e">
        <f ca="1">_xll.BDH($C$603,"TOTAL_DEBT_TO_EBIT","FY 2016","FY 2016","Currency=INR","Period=FY","BEST_FPERIOD_OVERRIDE=FY","FILING_STATUS=OR","EQY_CONSOLIDATED=Y","FA_ADJUSTED=GAAP","Sort=A","Dates=H","DateFormat=P","Fill=—","Direction=H","UseDPDF=Y")</f>
        <v>#NAME?</v>
      </c>
      <c r="CE613" s="2" t="e">
        <f ca="1">_xll.BDH($C$603,"NET_DEBT_TO_EBIT","FY 2016","FY 2016","Currency=INR","Period=FY","BEST_FPERIOD_OVERRIDE=FY","FILING_STATUS=OR","EQY_CONSOLIDATED=Y","FA_ADJUSTED=GAAP","Sort=A","Dates=H","DateFormat=P","Fill=—","Direction=H","UseDPDF=Y")</f>
        <v>#NAME?</v>
      </c>
      <c r="CF613" s="2" t="e">
        <f ca="1">_xll.BDH($C$603,"EBITDA_TO_INTEREST_EXPN","FY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13" s="2" t="e">
        <f ca="1">_xll.BDH($C$603,"COM_EQY_TO_TOT_ASSET","FY 2016","FY 2016","Currency=INR","Period=FY","BEST_FPERIOD_OVERRIDE=FY","FILING_STATUS=OR","EQY_CONSOLIDATED=Y","Sort=A","Dates=H","DateFormat=P","Fill=—","Direction=H","UseDPDF=Y")</f>
        <v>#NAME?</v>
      </c>
      <c r="CH613" s="2" t="e">
        <f ca="1">_xll.BDH($C$603,"LT_DEBT_TO_TOT_EQY","FY 2016","FY 2016","Currency=INR","Period=FY","BEST_FPERIOD_OVERRIDE=FY","FILING_STATUS=OR","EQY_CONSOLIDATED=Y","Sort=A","Dates=H","DateFormat=P","Fill=—","Direction=H","UseDPDF=Y")</f>
        <v>#NAME?</v>
      </c>
      <c r="CI613" s="2" t="e">
        <f ca="1">_xll.BDH($C$603,"LT_DEBT_TO_TOT_CAP","FY 2016","FY 2016","Currency=INR","Period=FY","BEST_FPERIOD_OVERRIDE=FY","FILING_STATUS=OR","EQY_CONSOLIDATED=Y","Sort=A","Dates=H","DateFormat=P","Fill=—","Direction=H","UseDPDF=Y")</f>
        <v>#NAME?</v>
      </c>
      <c r="CJ613" s="2" t="e">
        <f ca="1">_xll.BDH($C$603,"LT_DEBT_TO_TOT_ASSET","FY 2016","FY 2016","Currency=INR","Period=FY","BEST_FPERIOD_OVERRIDE=FY","FILING_STATUS=OR","EQY_CONSOLIDATED=Y","Sort=A","Dates=H","DateFormat=P","Fill=—","Direction=H","UseDPDF=Y")</f>
        <v>#NAME?</v>
      </c>
      <c r="CK613" s="2" t="e">
        <f ca="1">_xll.BDH($C$603,"TOT_DEBT_TO_TOT_EQY","FY 2016","FY 2016","Currency=INR","Period=FY","BEST_FPERIOD_OVERRIDE=FY","FILING_STATUS=OR","EQY_CONSOLIDATED=Y","Sort=A","Dates=H","DateFormat=P","Fill=—","Direction=H","UseDPDF=Y")</f>
        <v>#NAME?</v>
      </c>
      <c r="CL613" s="2" t="e">
        <f ca="1">_xll.BDH($C$603,"TOT_DEBT_TO_TOT_CAP","FY 2016","FY 2016","Currency=INR","Period=FY","BEST_FPERIOD_OVERRIDE=FY","FILING_STATUS=OR","EQY_CONSOLIDATED=Y","Sort=A","Dates=H","DateFormat=P","Fill=—","Direction=H","UseDPDF=Y")</f>
        <v>#NAME?</v>
      </c>
      <c r="CM613" s="2" t="e">
        <f ca="1">_xll.BDH($C$603,"TOT_DEBT_TO_TOT_ASSET","FY 2016","FY 2016","Currency=INR","Period=FY","BEST_FPERIOD_OVERRIDE=FY","FILING_STATUS=OR","EQY_CONSOLIDATED=Y","Sort=A","Dates=H","DateFormat=P","Fill=—","Direction=H","UseDPDF=Y")</f>
        <v>#NAME?</v>
      </c>
      <c r="CN613" s="2" t="e">
        <f ca="1">_xll.BDH($C$603,"NET_DEBT_TO_SHRHLDR_EQTY","FY 2016","FY 2016","Currency=INR","Period=FY","BEST_FPERIOD_OVERRIDE=FY","FILING_STATUS=OR","EQY_CONSOLIDATED=Y","Sort=A","Dates=H","DateFormat=P","Fill=—","Direction=H","UseDPDF=Y")</f>
        <v>#NAME?</v>
      </c>
      <c r="CO613" s="2" t="e">
        <f ca="1">_xll.BDH($C$603,"NET_DEBT_%_CAPITAL","FY 2016","FY 2016","Currency=INR","Period=FY","BEST_FPERIOD_OVERRIDE=FY","FILING_STATUS=OR","EQY_CONSOLIDATED=Y","Sort=A","Dates=H","DateFormat=P","Fill=—","Direction=H","UseDPDF=Y")</f>
        <v>#NAME?</v>
      </c>
      <c r="CP613" s="3" t="e">
        <f ca="1">_xll.BDH($C$603,"EBITDA","FY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13" s="3" t="e">
        <f ca="1">_xll.BDH($C$603,"EBITDA_AFTER_CAPEX","FY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13" s="3" t="e">
        <f ca="1">_xll.BDH($C$603,"IS_OPER_INC","FY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13" s="2" t="e">
        <f ca="1">_xll.BDH($C$603,"CASH_RATIO","FY 2016","FY 2016","Currency=INR","Period=FY","BEST_FPERIOD_OVERRIDE=FY","FILING_STATUS=OR","EQY_CONSOLIDATED=Y","Sort=A","Dates=H","DateFormat=P","Fill=—","Direction=H","UseDPDF=Y")</f>
        <v>#NAME?</v>
      </c>
      <c r="CT613" s="2" t="e">
        <f ca="1">_xll.BDH($C$603,"CUR_RATIO","FY 2016","FY 2016","Currency=INR","Period=FY","BEST_FPERIOD_OVERRIDE=FY","FILING_STATUS=OR","EQY_CONSOLIDATED=Y","Sort=A","Dates=H","DateFormat=P","Fill=—","Direction=H","UseDPDF=Y")</f>
        <v>#NAME?</v>
      </c>
      <c r="CU613" s="2" t="e">
        <f ca="1">_xll.BDH($C$603,"QUICK_RATIO","FY 2016","FY 2016","Currency=INR","Period=FY","BEST_FPERIOD_OVERRIDE=FY","FILING_STATUS=OR","EQY_CONSOLIDATED=Y","Sort=A","Dates=H","DateFormat=P","Fill=—","Direction=H","UseDPDF=Y")</f>
        <v>#NAME?</v>
      </c>
      <c r="CV613" s="2" t="e">
        <f ca="1">_xll.BDH($C$603,"ALTMAN_Z_SCORE","FY 2016","FY 2016","Currency=INR","Period=FY","BEST_FPERIOD_OVERRIDE=FY","FILING_STATUS=OR","EQY_CONSOLIDATED=Y","Sort=A","Dates=H","DateFormat=P","Fill=—","Direction=H","UseDPDF=Y")</f>
        <v>#NAME?</v>
      </c>
      <c r="CW613" s="4" t="e">
        <f ca="1">_xll.BDH($C$603,"ACCT_RCV_TURN","FY 2016","FY 2016","Currency=INR","Period=FY","BEST_FPERIOD_OVERRIDE=FY","FILING_STATUS=OR","EQY_CONSOLIDATED=Y","FA_ADJUSTED=GAAP","Sort=A","Dates=H","DateFormat=P","Fill=—","Direction=H","UseDPDF=Y")</f>
        <v>#NAME?</v>
      </c>
      <c r="CX613" s="2" t="e">
        <f ca="1">_xll.BDH($C$603,"ACCT_RCV_DAYS","FY 2016","FY 2016","Currency=INR","Period=FY","BEST_FPERIOD_OVERRIDE=FY","FILING_STATUS=OR","EQY_CONSOLIDATED=Y","FA_ADJUSTED=GAAP","Sort=A","Dates=H","DateFormat=P","Fill=—","Direction=H","UseDPDF=Y")</f>
        <v>#NAME?</v>
      </c>
      <c r="CY613" s="4" t="e">
        <f ca="1">_xll.BDH($C$603,"INVENT_TURN","FY 2016","FY 2016","Currency=INR","Period=FY","BEST_FPERIOD_OVERRIDE=FY","FILING_STATUS=OR","EQY_CONSOLIDATED=Y","FA_ADJUSTED=GAAP","Sort=A","Dates=H","DateFormat=P","Fill=—","Direction=H","UseDPDF=Y")</f>
        <v>#NAME?</v>
      </c>
      <c r="CZ613" s="2" t="e">
        <f ca="1">_xll.BDH($C$603,"INVENT_DAYS","FY 2016","FY 2016","Currency=INR","Period=FY","BEST_FPERIOD_OVERRIDE=FY","FILING_STATUS=OR","EQY_CONSOLIDATED=Y","FA_ADJUSTED=GAAP","Sort=A","Dates=H","DateFormat=P","Fill=—","Direction=H","UseDPDF=Y")</f>
        <v>#NAME?</v>
      </c>
      <c r="DA613" s="4" t="e">
        <f ca="1">_xll.BDH($C$603,"ACCOUNTS_PAYABLE_TURNOVER","FY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13" s="2" t="e">
        <f ca="1">_xll.BDH($C$603,"ACCOUNTS_PAYABLE_TURNOVER_DAYS","FY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13" s="4" t="e">
        <f ca="1">_xll.BDH($C$603,"CASH_CONVERSION_CYCLE","FY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13" s="4" t="e">
        <f ca="1">_xll.BDH($C$603,"INV_TO_CASH_DAYS","FY 2016","FY 2016","Currency=INR","Period=FY","BEST_FPERIOD_OVERRIDE=FY","FILING_STATUS=OR","EQY_CONSOLIDATED=Y","FA_ADJUSTED=GAAP","Sort=A","Dates=H","DateFormat=P","Fill=—","Direction=H","UseDPDF=Y")</f>
        <v>#NAME?</v>
      </c>
      <c r="DE613" s="5" t="e">
        <f ca="1">_xll.BDH($C$603,"BS_INVENTORIES","FY 2016","FY 2016","Currency=INR","Period=FY","BEST_FPERIOD_OVERRIDE=FY","FILING_STATUS=OR","EQY_CONSOLIDATED=Y","SCALING_FORMAT=MLN","Sort=A","Dates=H","DateFormat=P","Fill=—","Direction=H","UseDPDF=Y")</f>
        <v>#NAME?</v>
      </c>
      <c r="DF613" s="3" t="e">
        <f ca="1">_xll.BDH($C$603,"INVTRY_RAW_MATERIALS","FY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13" s="3" t="e">
        <f ca="1">_xll.BDH($C$603,"INVTRY_IN_PROGRESS","FY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13" s="3" t="e">
        <f ca="1">_xll.BDH($C$603,"INVTRY_FINISHED_GOODS","FY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13" s="3" t="e">
        <f ca="1">_xll.BDH($C$603,"BS_OTHER_INV","FY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14" spans="1:113" x14ac:dyDescent="0.3">
      <c r="A614" s="6"/>
      <c r="B614" s="6"/>
      <c r="C614" s="6"/>
      <c r="D614" s="6"/>
      <c r="E614" t="s">
        <v>78</v>
      </c>
      <c r="F614" t="e">
        <f ca="1">_xll.BDH($C$603,"RETURN_COM_EQY","FQ1 2016","FQ1 2016","Currency=INR","Period=FQ","BEST_FPERIOD_OVERRIDE=FQ","FILING_STATUS=OR","EQY_CONSOLIDATED=Y","FA_ADJUSTED=GAAP","Sort=A","Dates=H","DateFormat=P","Fill=—","Direction=H","UseDPDF=Y")</f>
        <v>#NAME?</v>
      </c>
      <c r="G614" t="e">
        <f ca="1">_xll.BDH($C$603,"RETURN_ON_ASSET","FQ1 2016","FQ1 2016","Currency=INR","Period=FQ","BEST_FPERIOD_OVERRIDE=FQ","FILING_STATUS=OR","EQY_CONSOLIDATED=Y","FA_ADJUSTED=GAAP","Sort=A","Dates=H","DateFormat=P","Fill=—","Direction=H","UseDPDF=Y")</f>
        <v>#NAME?</v>
      </c>
      <c r="H614" t="e">
        <f ca="1">_xll.BDH($C$603,"RETURN_ON_CAP","FQ1 2016","FQ1 2016","Currency=INR","Period=FQ","BEST_FPERIOD_OVERRIDE=FQ","FILING_STATUS=OR","EQY_CONSOLIDATED=Y","FA_ADJUSTED=GAAP","Sort=A","Dates=H","DateFormat=P","Fill=—","Direction=H","UseDPDF=Y")</f>
        <v>#NAME?</v>
      </c>
      <c r="I614" t="e">
        <f ca="1">_xll.BDH($C$603,"RETURN_ON_INV_CAPITAL","FQ1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14" t="e">
        <f ca="1">_xll.BDH($C$603,"EBITDA_TO_REVENUE","FQ1 2016","FQ1 2016","Currency=INR","Period=FQ","BEST_FPERIOD_OVERRIDE=FQ","FILING_STATUS=OR","EQY_CONSOLIDATED=Y","FA_ADJUSTED=GAAP","Sort=A","Dates=H","DateFormat=P","Fill=—","Direction=H","UseDPDF=Y")</f>
        <v>#NAME?</v>
      </c>
      <c r="K614" t="e">
        <f ca="1">_xll.BDH($C$603,"OPER_MARGIN","FQ1 2016","FQ1 2016","Currency=INR","Period=FQ","BEST_FPERIOD_OVERRIDE=FQ","FILING_STATUS=OR","EQY_CONSOLIDATED=Y","FA_ADJUSTED=GAAP","Sort=A","Dates=H","DateFormat=P","Fill=—","Direction=H","UseDPDF=Y")</f>
        <v>#NAME?</v>
      </c>
      <c r="L614" t="e">
        <f ca="1">_xll.BDH($C$603,"INCREMENTAL_OPERATING_MARGIN","FQ1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14" t="e">
        <f ca="1">_xll.BDH($C$603,"PRETAX_INC_TO_NET_SALES","FQ1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14" t="e">
        <f ca="1">_xll.BDH($C$603,"INC_BEF_XO_ITEMS_TO_NET_SALES","FQ1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14" t="e">
        <f ca="1">_xll.BDH($C$603,"PROF_MARGIN","FQ1 2016","FQ1 2016","Currency=INR","Period=FQ","BEST_FPERIOD_OVERRIDE=FQ","FILING_STATUS=OR","EQY_CONSOLIDATED=Y","FA_ADJUSTED=GAAP","Sort=A","Dates=H","DateFormat=P","Fill=—","Direction=H","UseDPDF=Y")</f>
        <v>#NAME?</v>
      </c>
      <c r="P614" t="e">
        <f ca="1">_xll.BDH($C$603,"NET_INCOME_TO_COMMON_MARGIN","FQ1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14" t="e">
        <f ca="1">_xll.BDH($C$603,"EFF_TAX_RATE","FQ1 2016","FQ1 2016","Currency=INR","Period=FQ","BEST_FPERIOD_OVERRIDE=FQ","FILING_STATUS=OR","EQY_CONSOLIDATED=Y","FA_ADJUSTED=GAAP","Sort=A","Dates=H","DateFormat=P","Fill=—","Direction=H","UseDPDF=Y")</f>
        <v>#NAME?</v>
      </c>
      <c r="R614" t="e">
        <f ca="1">_xll.BDH($C$603,"DVD_PAYOUT_RATIO","FQ1 2016","FQ1 2016","Currency=INR","Period=FQ","BEST_FPERIOD_OVERRIDE=FQ","FILING_STATUS=OR","EQY_CONSOLIDATED=Y","FA_ADJUSTED=GAAP","Sort=A","Dates=H","DateFormat=P","Fill=—","Direction=H","UseDPDF=Y")</f>
        <v>#NAME?</v>
      </c>
      <c r="S614" t="e">
        <f ca="1">_xll.BDH($C$603,"SUSTAIN_GROWTH_RT","FQ1 2016","FQ1 2016","Currency=INR","Period=FQ","BEST_FPERIOD_OVERRIDE=FQ","FILING_STATUS=OR","EQY_CONSOLIDATED=Y","FA_ADJUSTED=GAAP","Sort=A","Dates=H","DateFormat=P","Fill=—","Direction=H","UseDPDF=Y")</f>
        <v>#NAME?</v>
      </c>
      <c r="T614" s="2" t="e">
        <f ca="1">_xll.BDH($C$603,"SALES_GROWTH","FQ1 2016","FQ1 2016","Currency=INR","Period=FQ","BEST_FPERIOD_OVERRIDE=FQ","FILING_STATUS=OR","EQY_CONSOLIDATED=Y","FA_ADJUSTED=GAAP","Sort=A","Dates=H","DateFormat=P","Fill=—","Direction=H","UseDPDF=Y")</f>
        <v>#NAME?</v>
      </c>
      <c r="U614" s="2" t="e">
        <f ca="1">_xll.BDH($C$603,"EBITDA_GROWTH","FQ1 2016","FQ1 2016","Currency=INR","Period=FQ","BEST_FPERIOD_OVERRIDE=FQ","FILING_STATUS=OR","EQY_CONSOLIDATED=Y","FA_ADJUSTED=GAAP","Sort=A","Dates=H","DateFormat=P","Fill=—","Direction=H","UseDPDF=Y")</f>
        <v>#NAME?</v>
      </c>
      <c r="V614" s="2" t="e">
        <f ca="1">_xll.BDH($C$603,"OPER_INC_GROWTH","FQ1 2016","FQ1 2016","Currency=INR","Period=FQ","BEST_FPERIOD_OVERRIDE=FQ","FILING_STATUS=OR","EQY_CONSOLIDATED=Y","FA_ADJUSTED=GAAP","Sort=A","Dates=H","DateFormat=P","Fill=—","Direction=H","UseDPDF=Y")</f>
        <v>#NAME?</v>
      </c>
      <c r="W614" s="2" t="e">
        <f ca="1">_xll.BDH($C$603,"EARN_FOR_COM_GROWTH","FQ1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14" s="2" t="e">
        <f ca="1">_xll.BDH($C$603,"DILUTED_EPS_AFT_XO_ITEMS_GROWTH","FQ1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14" s="2" t="e">
        <f ca="1">_xll.BDH($C$603,"DIVIDEND_PER_SHARE_1_YEAR_GROWTH","FQ1 2016","FQ1 2016","Currency=INR","Period=FQ","BEST_FPERIOD_OVERRIDE=FQ","FILING_STATUS=OR","EQY_CONSOLIDATED=Y","Sort=A","Dates=H","DateFormat=P","Fill=—","Direction=H","UseDPDF=Y")</f>
        <v>#NAME?</v>
      </c>
      <c r="Z614" s="2" t="e">
        <f ca="1">_xll.BDH($C$603,"ACCOUNTS_RECEIVABLE_GROWTH","FQ1 2016","FQ1 2016","Currency=INR","Period=FQ","BEST_FPERIOD_OVERRIDE=FQ","FILING_STATUS=OR","EQY_CONSOLIDATED=Y","Sort=A","Dates=H","DateFormat=P","Fill=—","Direction=H","UseDPDF=Y")</f>
        <v>#NAME?</v>
      </c>
      <c r="AA614" s="2" t="e">
        <f ca="1">_xll.BDH($C$603,"INVENTORY_GROWTH","FQ1 2016","FQ1 2016","Currency=INR","Period=FQ","BEST_FPERIOD_OVERRIDE=FQ","FILING_STATUS=OR","EQY_CONSOLIDATED=Y","Sort=A","Dates=H","DateFormat=P","Fill=—","Direction=H","UseDPDF=Y")</f>
        <v>#NAME?</v>
      </c>
      <c r="AB614" s="2" t="e">
        <f ca="1">_xll.BDH($C$603,"NET_FIXED_ASSETS_1_YEAR_GROWTH","FQ1 2016","FQ1 2016","Currency=INR","Period=FQ","BEST_FPERIOD_OVERRIDE=FQ","FILING_STATUS=OR","EQY_CONSOLIDATED=Y","Sort=A","Dates=H","DateFormat=P","Fill=—","Direction=H","UseDPDF=Y")</f>
        <v>#NAME?</v>
      </c>
      <c r="AC614" s="2" t="e">
        <f ca="1">_xll.BDH($C$603,"ASSET_GROWTH","FQ1 2016","FQ1 2016","Currency=INR","Period=FQ","BEST_FPERIOD_OVERRIDE=FQ","FILING_STATUS=OR","EQY_CONSOLIDATED=Y","Sort=A","Dates=H","DateFormat=P","Fill=—","Direction=H","UseDPDF=Y")</f>
        <v>#NAME?</v>
      </c>
      <c r="AD614" s="2" t="e">
        <f ca="1">_xll.BDH($C$603,"MODIFIED_WORK_CAP_GROWTH","FQ1 2016","FQ1 2016","Currency=INR","Period=FQ","BEST_FPERIOD_OVERRIDE=FQ","FILING_STATUS=OR","EQY_CONSOLIDATED=Y","Sort=A","Dates=H","DateFormat=P","Fill=—","Direction=H","UseDPDF=Y")</f>
        <v>#NAME?</v>
      </c>
      <c r="AE614" s="2" t="e">
        <f ca="1">_xll.BDH($C$603,"WORK_CAP_GROWTH","FQ1 2016","FQ1 2016","Currency=INR","Period=FQ","BEST_FPERIOD_OVERRIDE=FQ","FILING_STATUS=OR","EQY_CONSOLIDATED=Y","Sort=A","Dates=H","DateFormat=P","Fill=—","Direction=H","UseDPDF=Y")</f>
        <v>#NAME?</v>
      </c>
      <c r="AF614" s="2" t="e">
        <f ca="1">_xll.BDH($C$603,"ACCOUNTS_PAYABLE_GROWTH_1YR","FQ1 2016","FQ1 2016","Currency=INR","Period=FQ","BEST_FPERIOD_OVERRIDE=FQ","FILING_STATUS=OR","EQY_CONSOLIDATED=Y","Sort=A","Dates=H","DateFormat=P","Fill=—","Direction=H","UseDPDF=Y")</f>
        <v>#NAME?</v>
      </c>
      <c r="AG614" s="2" t="e">
        <f ca="1">_xll.BDH($C$603,"SHORT_TERM_DEBT_1_YEAR_GROWTH","FQ1 2016","FQ1 2016","Currency=INR","Period=FQ","BEST_FPERIOD_OVERRIDE=FQ","FILING_STATUS=OR","EQY_CONSOLIDATED=Y","Sort=A","Dates=H","DateFormat=P","Fill=—","Direction=H","UseDPDF=Y")</f>
        <v>#NAME?</v>
      </c>
      <c r="AH614" s="2" t="e">
        <f ca="1">_xll.BDH($C$603,"TOTAL_DEBT_1_YEAR_GROWTH","FQ1 2016","FQ1 2016","Currency=INR","Period=FQ","BEST_FPERIOD_OVERRIDE=FQ","FILING_STATUS=OR","EQY_CONSOLIDATED=Y","Sort=A","Dates=H","DateFormat=P","Fill=—","Direction=H","UseDPDF=Y")</f>
        <v>#NAME?</v>
      </c>
      <c r="AI614" s="2" t="e">
        <f ca="1">_xll.BDH($C$603,"TOTAL_EQUITY_1_YEAR_GROWTH","FQ1 2016","FQ1 2016","Currency=INR","Period=FQ","BEST_FPERIOD_OVERRIDE=FQ","FILING_STATUS=OR","EQY_CONSOLIDATED=Y","Sort=A","Dates=H","DateFormat=P","Fill=—","Direction=H","UseDPDF=Y")</f>
        <v>#NAME?</v>
      </c>
      <c r="AJ614" s="2" t="e">
        <f ca="1">_xll.BDH($C$603,"GROWTH_IN_CAP","FQ1 2016","FQ1 2016","Currency=INR","Period=FQ","BEST_FPERIOD_OVERRIDE=FQ","FILING_STATUS=OR","EQY_CONSOLIDATED=Y","Sort=A","Dates=H","DateFormat=P","Fill=—","Direction=H","UseDPDF=Y")</f>
        <v>#NAME?</v>
      </c>
      <c r="AK614" s="2" t="e">
        <f ca="1">_xll.BDH($C$603,"BVPS_GROWTH","FQ1 2016","FQ1 2016","Currency=INR","Period=FQ","BEST_FPERIOD_OVERRIDE=FQ","FILING_STATUS=OR","EQY_CONSOLIDATED=Y","Sort=A","Dates=H","DateFormat=P","Fill=—","Direction=H","UseDPDF=Y")</f>
        <v>#NAME?</v>
      </c>
      <c r="AL614" s="2" t="e">
        <f ca="1">_xll.BDH($C$603,"CASH_FLOW_GROWTH","FQ1 2016","FQ1 2016","Currency=INR","Period=FQ","BEST_FPERIOD_OVERRIDE=FQ","FILING_STATUS=OR","EQY_CONSOLIDATED=Y","Sort=A","Dates=H","DateFormat=P","Fill=—","Direction=H","UseDPDF=Y")</f>
        <v>#NAME?</v>
      </c>
      <c r="AM614" s="2" t="e">
        <f ca="1">_xll.BDH($C$603,"GEO_GROW_NET_SALES","FQ1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14" s="2" t="e">
        <f ca="1">_xll.BDH($C$603,"GEO_GROW_EBITDA","FQ1 2016","FQ1 2016","Currency=INR","Period=FQ","BEST_FPERIOD_OVERRIDE=FQ","FILING_STATUS=OR","EQY_CONSOLIDATED=Y","FA_ADJUSTED=GAAP","Sort=A","Dates=H","DateFormat=P","Fill=—","Direction=H","UseDPDF=Y")</f>
        <v>#NAME?</v>
      </c>
      <c r="AO614" s="2" t="e">
        <f ca="1">_xll.BDH($C$603,"GEO_GROW_OPER_INC","FQ1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14" s="2" t="e">
        <f ca="1">_xll.BDH($C$603,"NET_INCOME_TO_COMMON_5_YR_GROWTH","FQ1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14" s="2" t="e">
        <f ca="1">_xll.BDH($C$603,"5Y_GEO_GROWTH_DILUTED_EPS","FQ1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14" s="2" t="e">
        <f ca="1">_xll.BDH($C$603,"GEO_GROW_DVD_PER_SH","FQ1 2016","FQ1 2016","Currency=INR","Period=FQ","BEST_FPERIOD_OVERRIDE=FQ","FILING_STATUS=OR","EQY_CONSOLIDATED=Y","Sort=A","Dates=H","DateFormat=P","Fill=—","Direction=H","UseDPDF=Y")</f>
        <v>#NAME?</v>
      </c>
      <c r="AS614" s="2" t="e">
        <f ca="1">_xll.BDH($C$603,"ACCOUNTS_RECEIVABLE_5_YR_GROWTH","FQ1 2016","FQ1 2016","Currency=INR","Period=FQ","BEST_FPERIOD_OVERRIDE=FQ","FILING_STATUS=OR","EQY_CONSOLIDATED=Y","Sort=A","Dates=H","DateFormat=P","Fill=—","Direction=H","UseDPDF=Y")</f>
        <v>#NAME?</v>
      </c>
      <c r="AT614" s="2" t="e">
        <f ca="1">_xll.BDH($C$603,"INVENTORY_5_YEAR_GROWTH","FQ1 2016","FQ1 2016","Currency=INR","Period=FQ","BEST_FPERIOD_OVERRIDE=FQ","FILING_STATUS=OR","EQY_CONSOLIDATED=Y","Sort=A","Dates=H","DateFormat=P","Fill=—","Direction=H","UseDPDF=Y")</f>
        <v>#NAME?</v>
      </c>
      <c r="AU614" s="2" t="e">
        <f ca="1">_xll.BDH($C$603,"NET_FIXED_ASSETS_5_YEAR_GROWTH","FQ1 2016","FQ1 2016","Currency=INR","Period=FQ","BEST_FPERIOD_OVERRIDE=FQ","FILING_STATUS=OR","EQY_CONSOLIDATED=Y","Sort=A","Dates=H","DateFormat=P","Fill=—","Direction=H","UseDPDF=Y")</f>
        <v>#NAME?</v>
      </c>
      <c r="AV614" s="2" t="e">
        <f ca="1">_xll.BDH($C$603,"GEO_GROW_TOT_ASSET","FQ1 2016","FQ1 2016","Currency=INR","Period=FQ","BEST_FPERIOD_OVERRIDE=FQ","FILING_STATUS=OR","EQY_CONSOLIDATED=Y","Sort=A","Dates=H","DateFormat=P","Fill=—","Direction=H","UseDPDF=Y")</f>
        <v>#NAME?</v>
      </c>
      <c r="AW614" s="2" t="e">
        <f ca="1">_xll.BDH($C$603,"MODIFIED_WORKING_CPTL_5YR_GRWTH","FQ1 2016","FQ1 2016","Currency=INR","Period=FQ","BEST_FPERIOD_OVERRIDE=FQ","FILING_STATUS=OR","EQY_CONSOLIDATED=Y","Sort=A","Dates=H","DateFormat=P","Fill=—","Direction=H","UseDPDF=Y")</f>
        <v>#NAME?</v>
      </c>
      <c r="AX614" s="2" t="e">
        <f ca="1">_xll.BDH($C$603,"WORKING_CAPITAL_5_YEAR_GROWTH","FQ1 2016","FQ1 2016","Currency=INR","Period=FQ","BEST_FPERIOD_OVERRIDE=FQ","FILING_STATUS=OR","EQY_CONSOLIDATED=Y","Sort=A","Dates=H","DateFormat=P","Fill=—","Direction=H","UseDPDF=Y")</f>
        <v>#NAME?</v>
      </c>
      <c r="AY614" s="2" t="e">
        <f ca="1">_xll.BDH($C$603,"ACCOUNTS_PAYABLE_5_YEAR_GROWTH","FQ1 2016","FQ1 2016","Currency=INR","Period=FQ","BEST_FPERIOD_OVERRIDE=FQ","FILING_STATUS=OR","EQY_CONSOLIDATED=Y","Sort=A","Dates=H","DateFormat=P","Fill=—","Direction=H","UseDPDF=Y")</f>
        <v>#NAME?</v>
      </c>
      <c r="AZ614" s="2" t="e">
        <f ca="1">_xll.BDH($C$603,"SHORT_TERM_DEBT_5_YEAR_GROWTH","FQ1 2016","FQ1 2016","Currency=INR","Period=FQ","BEST_FPERIOD_OVERRIDE=FQ","FILING_STATUS=OR","EQY_CONSOLIDATED=Y","Sort=A","Dates=H","DateFormat=P","Fill=—","Direction=H","UseDPDF=Y")</f>
        <v>#NAME?</v>
      </c>
      <c r="BA614" s="2" t="e">
        <f ca="1">_xll.BDH($C$603,"TOTAL_DEBT_5_YEAR_GROWTH","FQ1 2016","FQ1 2016","Currency=INR","Period=FQ","BEST_FPERIOD_OVERRIDE=FQ","FILING_STATUS=OR","EQY_CONSOLIDATED=Y","Sort=A","Dates=H","DateFormat=P","Fill=—","Direction=H","UseDPDF=Y")</f>
        <v>#NAME?</v>
      </c>
      <c r="BB614" s="2" t="e">
        <f ca="1">_xll.BDH($C$603,"GEO_GROW_TOT_SHRHLDR_EQY","FQ1 2016","FQ1 2016","Currency=INR","Period=FQ","BEST_FPERIOD_OVERRIDE=FQ","FILING_STATUS=OR","EQY_CONSOLIDATED=Y","Sort=A","Dates=H","DateFormat=P","Fill=—","Direction=H","UseDPDF=Y")</f>
        <v>#NAME?</v>
      </c>
      <c r="BC614" s="2" t="e">
        <f ca="1">_xll.BDH($C$603,"TOTAL_CAPITAL_5_YEAR_GROWTH","FQ1 2016","FQ1 2016","Currency=INR","Period=FQ","BEST_FPERIOD_OVERRIDE=FQ","FILING_STATUS=OR","EQY_CONSOLIDATED=Y","Sort=A","Dates=H","DateFormat=P","Fill=—","Direction=H","UseDPDF=Y")</f>
        <v>#NAME?</v>
      </c>
      <c r="BD614" s="2" t="e">
        <f ca="1">_xll.BDH($C$603,"GEO_GROW_BOOK_VAL","FQ1 2016","FQ1 2016","Currency=INR","Period=FQ","BEST_FPERIOD_OVERRIDE=FQ","FILING_STATUS=OR","EQY_CONSOLIDATED=Y","Sort=A","Dates=H","DateFormat=P","Fill=—","Direction=H","UseDPDF=Y")</f>
        <v>#NAME?</v>
      </c>
      <c r="BE614" s="2" t="e">
        <f ca="1">_xll.BDH($C$603,"GEO_GROW_CASH_OPER_ACT","FQ1 2016","FQ1 2016","Currency=INR","Period=FQ","BEST_FPERIOD_OVERRIDE=FQ","FILING_STATUS=OR","EQY_CONSOLIDATED=Y","Sort=A","Dates=H","DateFormat=P","Fill=—","Direction=H","UseDPDF=Y")</f>
        <v>#NAME?</v>
      </c>
      <c r="BF614" s="2" t="e">
        <f ca="1">_xll.BDH($C$603,"REVENUE_SEQUENTIAL_GROWTH","FQ1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14" s="2" t="e">
        <f ca="1">_xll.BDH($C$603,"EBITDA_SEQUENTIAL_GROWTH","FQ1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14" s="2" t="e">
        <f ca="1">_xll.BDH($C$603,"OPERATING_INCOME_SEQ_GROWTH","FQ1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14" s="2" t="e">
        <f ca="1">_xll.BDH($C$603,"NET_INCOME_TO_COMMON_SEQ_GROWTH","FQ1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14" s="2" t="e">
        <f ca="1">_xll.BDH($C$603,"EPS_DILUTED_SEQUENTIAL_GROWTH","FQ1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14" s="2" t="e">
        <f ca="1">_xll.BDH($C$603,"DPS_SEQUENTIAL_GROWTH","FQ1 2016","FQ1 2016","Currency=INR","Period=FQ","BEST_FPERIOD_OVERRIDE=FQ","FILING_STATUS=OR","EQY_CONSOLIDATED=Y","Sort=A","Dates=H","DateFormat=P","Fill=—","Direction=H","UseDPDF=Y")</f>
        <v>#NAME?</v>
      </c>
      <c r="BL614" s="2" t="e">
        <f ca="1">_xll.BDH($C$603,"ACCOUNTS_RECEIVABLE_SEQ_GROWTH","FQ1 2016","FQ1 2016","Currency=INR","Period=FQ","BEST_FPERIOD_OVERRIDE=FQ","FILING_STATUS=OR","EQY_CONSOLIDATED=Y","Sort=A","Dates=H","DateFormat=P","Fill=—","Direction=H","UseDPDF=Y")</f>
        <v>#NAME?</v>
      </c>
      <c r="BM614" s="2" t="e">
        <f ca="1">_xll.BDH($C$603,"INVENTORY_SEQUENTIAL_GROWTH","FQ1 2016","FQ1 2016","Currency=INR","Period=FQ","BEST_FPERIOD_OVERRIDE=FQ","FILING_STATUS=OR","EQY_CONSOLIDATED=Y","Sort=A","Dates=H","DateFormat=P","Fill=—","Direction=H","UseDPDF=Y")</f>
        <v>#NAME?</v>
      </c>
      <c r="BN614" s="2" t="e">
        <f ca="1">_xll.BDH($C$603,"FIXED_ASSETS_SEQUENTIAL_GROWTH","FQ1 2016","FQ1 2016","Currency=INR","Period=FQ","BEST_FPERIOD_OVERRIDE=FQ","FILING_STATUS=OR","EQY_CONSOLIDATED=Y","Sort=A","Dates=H","DateFormat=P","Fill=—","Direction=H","UseDPDF=Y")</f>
        <v>#NAME?</v>
      </c>
      <c r="BO614" s="2" t="e">
        <f ca="1">_xll.BDH($C$603,"TOTAL_ASSETS_SEQUENTIAL_GROWTH","FQ1 2016","FQ1 2016","Currency=INR","Period=FQ","BEST_FPERIOD_OVERRIDE=FQ","FILING_STATUS=OR","EQY_CONSOLIDATED=Y","Sort=A","Dates=H","DateFormat=P","Fill=—","Direction=H","UseDPDF=Y")</f>
        <v>#NAME?</v>
      </c>
      <c r="BP614" s="2" t="e">
        <f ca="1">_xll.BDH($C$603,"MODIFIED_WORKING_CPTL_SEQ_GRWTH","FQ1 2016","FQ1 2016","Currency=INR","Period=FQ","BEST_FPERIOD_OVERRIDE=FQ","FILING_STATUS=OR","EQY_CONSOLIDATED=Y","Sort=A","Dates=H","DateFormat=P","Fill=—","Direction=H","UseDPDF=Y")</f>
        <v>#NAME?</v>
      </c>
      <c r="BQ614" s="2" t="e">
        <f ca="1">_xll.BDH($C$603,"WORKING_CAPITAL_SEQ_GROWTH","FQ1 2016","FQ1 2016","Currency=INR","Period=FQ","BEST_FPERIOD_OVERRIDE=FQ","FILING_STATUS=OR","EQY_CONSOLIDATED=Y","Sort=A","Dates=H","DateFormat=P","Fill=—","Direction=H","UseDPDF=Y")</f>
        <v>#NAME?</v>
      </c>
      <c r="BR614" s="2" t="e">
        <f ca="1">_xll.BDH($C$603,"ACCOUNTS_PAYABLE_SEQ_GROWTH","FQ1 2016","FQ1 2016","Currency=INR","Period=FQ","BEST_FPERIOD_OVERRIDE=FQ","FILING_STATUS=OR","EQY_CONSOLIDATED=Y","Sort=A","Dates=H","DateFormat=P","Fill=—","Direction=H","UseDPDF=Y")</f>
        <v>#NAME?</v>
      </c>
      <c r="BS614" s="2" t="e">
        <f ca="1">_xll.BDH($C$603,"ST_DEBT_SEQUENTIAL_GROWTH","FQ1 2016","FQ1 2016","Currency=INR","Period=FQ","BEST_FPERIOD_OVERRIDE=FQ","FILING_STATUS=OR","EQY_CONSOLIDATED=Y","Sort=A","Dates=H","DateFormat=P","Fill=—","Direction=H","UseDPDF=Y")</f>
        <v>#NAME?</v>
      </c>
      <c r="BT614" s="2" t="e">
        <f ca="1">_xll.BDH($C$603,"TOTAL_DEBT_SEQUENTIAL_GROWTH","FQ1 2016","FQ1 2016","Currency=INR","Period=FQ","BEST_FPERIOD_OVERRIDE=FQ","FILING_STATUS=OR","EQY_CONSOLIDATED=Y","Sort=A","Dates=H","DateFormat=P","Fill=—","Direction=H","UseDPDF=Y")</f>
        <v>#NAME?</v>
      </c>
      <c r="BU614" s="2" t="e">
        <f ca="1">_xll.BDH($C$603,"TOTAL_EQUITY_SEQUENTIAL_GROWTH","FQ1 2016","FQ1 2016","Currency=INR","Period=FQ","BEST_FPERIOD_OVERRIDE=FQ","FILING_STATUS=OR","EQY_CONSOLIDATED=Y","Sort=A","Dates=H","DateFormat=P","Fill=—","Direction=H","UseDPDF=Y")</f>
        <v>#NAME?</v>
      </c>
      <c r="BV614" s="2" t="e">
        <f ca="1">_xll.BDH($C$603,"TOTAL_CAPITAL_SEQUENTIAL_GROWTH","FQ1 2016","FQ1 2016","Currency=INR","Period=FQ","BEST_FPERIOD_OVERRIDE=FQ","FILING_STATUS=OR","EQY_CONSOLIDATED=Y","Sort=A","Dates=H","DateFormat=P","Fill=—","Direction=H","UseDPDF=Y")</f>
        <v>#NAME?</v>
      </c>
      <c r="BW614" s="2" t="e">
        <f ca="1">_xll.BDH($C$603,"BPS_SEQUENTIAL_GROWTH","FQ1 2016","FQ1 2016","Currency=INR","Period=FQ","BEST_FPERIOD_OVERRIDE=FQ","FILING_STATUS=OR","EQY_CONSOLIDATED=Y","Sort=A","Dates=H","DateFormat=P","Fill=—","Direction=H","UseDPDF=Y")</f>
        <v>#NAME?</v>
      </c>
      <c r="BX614" s="2" t="e">
        <f ca="1">_xll.BDH($C$603,"CFO_SEQUENTIAL_GROWTH","FQ1 2016","FQ1 2016","Currency=INR","Period=FQ","BEST_FPERIOD_OVERRIDE=FQ","FILING_STATUS=OR","EQY_CONSOLIDATED=Y","Sort=A","Dates=H","DateFormat=P","Fill=—","Direction=H","UseDPDF=Y")</f>
        <v>#NAME?</v>
      </c>
      <c r="BY614" s="3" t="e">
        <f ca="1">_xll.BDH($C$603,"SHORT_AND_LONG_TERM_DEBT","FQ1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14" s="3" t="e">
        <f ca="1">_xll.BDH($C$603,"BS_ST_BORROW","FQ1 2016","FQ1 2016","Currency=INR","Period=FQ","BEST_FPERIOD_OVERRIDE=FQ","FILING_STATUS=OR","EQY_CONSOLIDATED=Y","SCALING_FORMAT=MLN","Sort=A","Dates=H","DateFormat=P","Fill=—","Direction=H","UseDPDF=Y")</f>
        <v>#NAME?</v>
      </c>
      <c r="CA614" s="3" t="e">
        <f ca="1">_xll.BDH($C$603,"BS_LT_BORROW","FQ1 2016","FQ1 2016","Currency=INR","Period=FQ","BEST_FPERIOD_OVERRIDE=FQ","FILING_STATUS=OR","EQY_CONSOLIDATED=Y","SCALING_FORMAT=MLN","Sort=A","Dates=H","DateFormat=P","Fill=—","Direction=H","UseDPDF=Y")</f>
        <v>#NAME?</v>
      </c>
      <c r="CB614" s="2" t="e">
        <f ca="1">_xll.BDH($C$603,"TOT_DEBT_TO_EBITDA","FQ1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14" s="2" t="e">
        <f ca="1">_xll.BDH($C$603,"NET_DEBT_TO_EBITDA","FQ1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14" s="2" t="e">
        <f ca="1">_xll.BDH($C$603,"TOTAL_DEBT_TO_EBIT","FQ1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14" s="2" t="e">
        <f ca="1">_xll.BDH($C$603,"NET_DEBT_TO_EBIT","FQ1 2016","FQ1 2016","Currency=INR","Period=FQ","BEST_FPERIOD_OVERRIDE=FQ","FILING_STATUS=OR","EQY_CONSOLIDATED=Y","FA_ADJUSTED=GAAP","Sort=A","Dates=H","DateFormat=P","Fill=—","Direction=H","UseDPDF=Y")</f>
        <v>#NAME?</v>
      </c>
      <c r="CF614" s="2" t="e">
        <f ca="1">_xll.BDH($C$603,"EBITDA_TO_INTEREST_EXPN","FQ1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14" s="2" t="e">
        <f ca="1">_xll.BDH($C$603,"COM_EQY_TO_TOT_ASSET","FQ1 2016","FQ1 2016","Currency=INR","Period=FQ","BEST_FPERIOD_OVERRIDE=FQ","FILING_STATUS=OR","EQY_CONSOLIDATED=Y","Sort=A","Dates=H","DateFormat=P","Fill=—","Direction=H","UseDPDF=Y")</f>
        <v>#NAME?</v>
      </c>
      <c r="CH614" s="2" t="e">
        <f ca="1">_xll.BDH($C$603,"LT_DEBT_TO_TOT_EQY","FQ1 2016","FQ1 2016","Currency=INR","Period=FQ","BEST_FPERIOD_OVERRIDE=FQ","FILING_STATUS=OR","EQY_CONSOLIDATED=Y","Sort=A","Dates=H","DateFormat=P","Fill=—","Direction=H","UseDPDF=Y")</f>
        <v>#NAME?</v>
      </c>
      <c r="CI614" s="2" t="e">
        <f ca="1">_xll.BDH($C$603,"LT_DEBT_TO_TOT_CAP","FQ1 2016","FQ1 2016","Currency=INR","Period=FQ","BEST_FPERIOD_OVERRIDE=FQ","FILING_STATUS=OR","EQY_CONSOLIDATED=Y","Sort=A","Dates=H","DateFormat=P","Fill=—","Direction=H","UseDPDF=Y")</f>
        <v>#NAME?</v>
      </c>
      <c r="CJ614" s="2" t="e">
        <f ca="1">_xll.BDH($C$603,"LT_DEBT_TO_TOT_ASSET","FQ1 2016","FQ1 2016","Currency=INR","Period=FQ","BEST_FPERIOD_OVERRIDE=FQ","FILING_STATUS=OR","EQY_CONSOLIDATED=Y","Sort=A","Dates=H","DateFormat=P","Fill=—","Direction=H","UseDPDF=Y")</f>
        <v>#NAME?</v>
      </c>
      <c r="CK614" s="2" t="e">
        <f ca="1">_xll.BDH($C$603,"TOT_DEBT_TO_TOT_EQY","FQ1 2016","FQ1 2016","Currency=INR","Period=FQ","BEST_FPERIOD_OVERRIDE=FQ","FILING_STATUS=OR","EQY_CONSOLIDATED=Y","Sort=A","Dates=H","DateFormat=P","Fill=—","Direction=H","UseDPDF=Y")</f>
        <v>#NAME?</v>
      </c>
      <c r="CL614" s="2" t="e">
        <f ca="1">_xll.BDH($C$603,"TOT_DEBT_TO_TOT_CAP","FQ1 2016","FQ1 2016","Currency=INR","Period=FQ","BEST_FPERIOD_OVERRIDE=FQ","FILING_STATUS=OR","EQY_CONSOLIDATED=Y","Sort=A","Dates=H","DateFormat=P","Fill=—","Direction=H","UseDPDF=Y")</f>
        <v>#NAME?</v>
      </c>
      <c r="CM614" s="2" t="e">
        <f ca="1">_xll.BDH($C$603,"TOT_DEBT_TO_TOT_ASSET","FQ1 2016","FQ1 2016","Currency=INR","Period=FQ","BEST_FPERIOD_OVERRIDE=FQ","FILING_STATUS=OR","EQY_CONSOLIDATED=Y","Sort=A","Dates=H","DateFormat=P","Fill=—","Direction=H","UseDPDF=Y")</f>
        <v>#NAME?</v>
      </c>
      <c r="CN614" s="2" t="e">
        <f ca="1">_xll.BDH($C$603,"NET_DEBT_TO_SHRHLDR_EQTY","FQ1 2016","FQ1 2016","Currency=INR","Period=FQ","BEST_FPERIOD_OVERRIDE=FQ","FILING_STATUS=OR","EQY_CONSOLIDATED=Y","Sort=A","Dates=H","DateFormat=P","Fill=—","Direction=H","UseDPDF=Y")</f>
        <v>#NAME?</v>
      </c>
      <c r="CO614" s="2" t="e">
        <f ca="1">_xll.BDH($C$603,"NET_DEBT_%_CAPITAL","FQ1 2016","FQ1 2016","Currency=INR","Period=FQ","BEST_FPERIOD_OVERRIDE=FQ","FILING_STATUS=OR","EQY_CONSOLIDATED=Y","Sort=A","Dates=H","DateFormat=P","Fill=—","Direction=H","UseDPDF=Y")</f>
        <v>#NAME?</v>
      </c>
      <c r="CP614" s="3" t="e">
        <f ca="1">_xll.BDH($C$603,"EBITDA","FQ1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14" s="3" t="e">
        <f ca="1">_xll.BDH($C$603,"EBITDA_AFTER_CAPEX","FQ1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14" s="3" t="e">
        <f ca="1">_xll.BDH($C$603,"IS_OPER_INC","FQ1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14" s="2" t="e">
        <f ca="1">_xll.BDH($C$603,"CASH_RATIO","FQ1 2016","FQ1 2016","Currency=INR","Period=FQ","BEST_FPERIOD_OVERRIDE=FQ","FILING_STATUS=OR","EQY_CONSOLIDATED=Y","Sort=A","Dates=H","DateFormat=P","Fill=—","Direction=H","UseDPDF=Y")</f>
        <v>#NAME?</v>
      </c>
      <c r="CT614" s="2" t="e">
        <f ca="1">_xll.BDH($C$603,"CUR_RATIO","FQ1 2016","FQ1 2016","Currency=INR","Period=FQ","BEST_FPERIOD_OVERRIDE=FQ","FILING_STATUS=OR","EQY_CONSOLIDATED=Y","Sort=A","Dates=H","DateFormat=P","Fill=—","Direction=H","UseDPDF=Y")</f>
        <v>#NAME?</v>
      </c>
      <c r="CU614" s="2" t="e">
        <f ca="1">_xll.BDH($C$603,"QUICK_RATIO","FQ1 2016","FQ1 2016","Currency=INR","Period=FQ","BEST_FPERIOD_OVERRIDE=FQ","FILING_STATUS=OR","EQY_CONSOLIDATED=Y","Sort=A","Dates=H","DateFormat=P","Fill=—","Direction=H","UseDPDF=Y")</f>
        <v>#NAME?</v>
      </c>
      <c r="CV614" s="2" t="e">
        <f ca="1">_xll.BDH($C$603,"ALTMAN_Z_SCORE","FQ1 2016","FQ1 2016","Currency=INR","Period=FQ","BEST_FPERIOD_OVERRIDE=FQ","FILING_STATUS=OR","EQY_CONSOLIDATED=Y","Sort=A","Dates=H","DateFormat=P","Fill=—","Direction=H","UseDPDF=Y")</f>
        <v>#NAME?</v>
      </c>
      <c r="CW614" s="4" t="e">
        <f ca="1">_xll.BDH($C$603,"ACCT_RCV_TURN","FQ1 2016","FQ1 2016","Currency=INR","Period=FQ","BEST_FPERIOD_OVERRIDE=FQ","FILING_STATUS=OR","EQY_CONSOLIDATED=Y","FA_ADJUSTED=GAAP","Sort=A","Dates=H","DateFormat=P","Fill=—","Direction=H","UseDPDF=Y")</f>
        <v>#NAME?</v>
      </c>
      <c r="CX614" s="2" t="e">
        <f ca="1">_xll.BDH($C$603,"ACCT_RCV_DAYS","FQ1 2016","FQ1 2016","Currency=INR","Period=FQ","BEST_FPERIOD_OVERRIDE=FQ","FILING_STATUS=OR","EQY_CONSOLIDATED=Y","FA_ADJUSTED=GAAP","Sort=A","Dates=H","DateFormat=P","Fill=—","Direction=H","UseDPDF=Y")</f>
        <v>#NAME?</v>
      </c>
      <c r="CY614" s="4" t="e">
        <f ca="1">_xll.BDH($C$603,"INVENT_TURN","FQ1 2016","FQ1 2016","Currency=INR","Period=FQ","BEST_FPERIOD_OVERRIDE=FQ","FILING_STATUS=OR","EQY_CONSOLIDATED=Y","FA_ADJUSTED=GAAP","Sort=A","Dates=H","DateFormat=P","Fill=—","Direction=H","UseDPDF=Y")</f>
        <v>#NAME?</v>
      </c>
      <c r="CZ614" s="2" t="e">
        <f ca="1">_xll.BDH($C$603,"INVENT_DAYS","FQ1 2016","FQ1 2016","Currency=INR","Period=FQ","BEST_FPERIOD_OVERRIDE=FQ","FILING_STATUS=OR","EQY_CONSOLIDATED=Y","FA_ADJUSTED=GAAP","Sort=A","Dates=H","DateFormat=P","Fill=—","Direction=H","UseDPDF=Y")</f>
        <v>#NAME?</v>
      </c>
      <c r="DA614" s="4" t="e">
        <f ca="1">_xll.BDH($C$603,"ACCOUNTS_PAYABLE_TURNOVER","FQ1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14" s="2" t="e">
        <f ca="1">_xll.BDH($C$603,"ACCOUNTS_PAYABLE_TURNOVER_DAYS","FQ1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14" s="4" t="e">
        <f ca="1">_xll.BDH($C$603,"CASH_CONVERSION_CYCLE","FQ1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14" s="4" t="e">
        <f ca="1">_xll.BDH($C$603,"INV_TO_CASH_DAYS","FQ1 2016","FQ1 2016","Currency=INR","Period=FQ","BEST_FPERIOD_OVERRIDE=FQ","FILING_STATUS=OR","EQY_CONSOLIDATED=Y","FA_ADJUSTED=GAAP","Sort=A","Dates=H","DateFormat=P","Fill=—","Direction=H","UseDPDF=Y")</f>
        <v>#NAME?</v>
      </c>
      <c r="DE614" s="5" t="e">
        <f ca="1">_xll.BDH($C$603,"BS_INVENTORIES","FQ1 2016","FQ1 2016","Currency=INR","Period=FQ","BEST_FPERIOD_OVERRIDE=FQ","FILING_STATUS=OR","EQY_CONSOLIDATED=Y","SCALING_FORMAT=MLN","Sort=A","Dates=H","DateFormat=P","Fill=—","Direction=H","UseDPDF=Y")</f>
        <v>#NAME?</v>
      </c>
      <c r="DF614" s="3" t="e">
        <f ca="1">_xll.BDH($C$603,"INVTRY_RAW_MATERIALS","FQ1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14" s="3" t="e">
        <f ca="1">_xll.BDH($C$603,"INVTRY_IN_PROGRESS","FQ1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14" s="3" t="e">
        <f ca="1">_xll.BDH($C$603,"INVTRY_FINISHED_GOODS","FQ1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14" s="3" t="e">
        <f ca="1">_xll.BDH($C$603,"BS_OTHER_INV","FQ1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15" spans="1:113" x14ac:dyDescent="0.3">
      <c r="A615" s="6"/>
      <c r="B615" s="6"/>
      <c r="C615" s="6"/>
      <c r="D615" s="6"/>
      <c r="E615" t="s">
        <v>79</v>
      </c>
      <c r="F615" t="e">
        <f ca="1">_xll.BDH($C$603,"RETURN_COM_EQY","FQ2 2016","FQ2 2016","Currency=INR","Period=FQ","BEST_FPERIOD_OVERRIDE=FQ","FILING_STATUS=OR","EQY_CONSOLIDATED=Y","FA_ADJUSTED=GAAP","Sort=A","Dates=H","DateFormat=P","Fill=—","Direction=H","UseDPDF=Y")</f>
        <v>#NAME?</v>
      </c>
      <c r="G615" t="e">
        <f ca="1">_xll.BDH($C$603,"RETURN_ON_ASSET","FQ2 2016","FQ2 2016","Currency=INR","Period=FQ","BEST_FPERIOD_OVERRIDE=FQ","FILING_STATUS=OR","EQY_CONSOLIDATED=Y","FA_ADJUSTED=GAAP","Sort=A","Dates=H","DateFormat=P","Fill=—","Direction=H","UseDPDF=Y")</f>
        <v>#NAME?</v>
      </c>
      <c r="H615" t="e">
        <f ca="1">_xll.BDH($C$603,"RETURN_ON_CAP","FQ2 2016","FQ2 2016","Currency=INR","Period=FQ","BEST_FPERIOD_OVERRIDE=FQ","FILING_STATUS=OR","EQY_CONSOLIDATED=Y","FA_ADJUSTED=GAAP","Sort=A","Dates=H","DateFormat=P","Fill=—","Direction=H","UseDPDF=Y")</f>
        <v>#NAME?</v>
      </c>
      <c r="I615" t="e">
        <f ca="1">_xll.BDH($C$603,"RETURN_ON_INV_CAPITAL","FQ2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15" t="e">
        <f ca="1">_xll.BDH($C$603,"EBITDA_TO_REVENUE","FQ2 2016","FQ2 2016","Currency=INR","Period=FQ","BEST_FPERIOD_OVERRIDE=FQ","FILING_STATUS=OR","EQY_CONSOLIDATED=Y","FA_ADJUSTED=GAAP","Sort=A","Dates=H","DateFormat=P","Fill=—","Direction=H","UseDPDF=Y")</f>
        <v>#NAME?</v>
      </c>
      <c r="K615" t="e">
        <f ca="1">_xll.BDH($C$603,"OPER_MARGIN","FQ2 2016","FQ2 2016","Currency=INR","Period=FQ","BEST_FPERIOD_OVERRIDE=FQ","FILING_STATUS=OR","EQY_CONSOLIDATED=Y","FA_ADJUSTED=GAAP","Sort=A","Dates=H","DateFormat=P","Fill=—","Direction=H","UseDPDF=Y")</f>
        <v>#NAME?</v>
      </c>
      <c r="L615" t="e">
        <f ca="1">_xll.BDH($C$603,"INCREMENTAL_OPERATING_MARGIN","FQ2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15" t="e">
        <f ca="1">_xll.BDH($C$603,"PRETAX_INC_TO_NET_SALES","FQ2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15" t="e">
        <f ca="1">_xll.BDH($C$603,"INC_BEF_XO_ITEMS_TO_NET_SALES","FQ2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15" t="e">
        <f ca="1">_xll.BDH($C$603,"PROF_MARGIN","FQ2 2016","FQ2 2016","Currency=INR","Period=FQ","BEST_FPERIOD_OVERRIDE=FQ","FILING_STATUS=OR","EQY_CONSOLIDATED=Y","FA_ADJUSTED=GAAP","Sort=A","Dates=H","DateFormat=P","Fill=—","Direction=H","UseDPDF=Y")</f>
        <v>#NAME?</v>
      </c>
      <c r="P615" t="e">
        <f ca="1">_xll.BDH($C$603,"NET_INCOME_TO_COMMON_MARGIN","FQ2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15" t="e">
        <f ca="1">_xll.BDH($C$603,"EFF_TAX_RATE","FQ2 2016","FQ2 2016","Currency=INR","Period=FQ","BEST_FPERIOD_OVERRIDE=FQ","FILING_STATUS=OR","EQY_CONSOLIDATED=Y","FA_ADJUSTED=GAAP","Sort=A","Dates=H","DateFormat=P","Fill=—","Direction=H","UseDPDF=Y")</f>
        <v>#NAME?</v>
      </c>
      <c r="R615" t="e">
        <f ca="1">_xll.BDH($C$603,"DVD_PAYOUT_RATIO","FQ2 2016","FQ2 2016","Currency=INR","Period=FQ","BEST_FPERIOD_OVERRIDE=FQ","FILING_STATUS=OR","EQY_CONSOLIDATED=Y","FA_ADJUSTED=GAAP","Sort=A","Dates=H","DateFormat=P","Fill=—","Direction=H","UseDPDF=Y")</f>
        <v>#NAME?</v>
      </c>
      <c r="S615" t="e">
        <f ca="1">_xll.BDH($C$603,"SUSTAIN_GROWTH_RT","FQ2 2016","FQ2 2016","Currency=INR","Period=FQ","BEST_FPERIOD_OVERRIDE=FQ","FILING_STATUS=OR","EQY_CONSOLIDATED=Y","FA_ADJUSTED=GAAP","Sort=A","Dates=H","DateFormat=P","Fill=—","Direction=H","UseDPDF=Y")</f>
        <v>#NAME?</v>
      </c>
      <c r="T615" s="2" t="e">
        <f ca="1">_xll.BDH($C$603,"SALES_GROWTH","FQ2 2016","FQ2 2016","Currency=INR","Period=FQ","BEST_FPERIOD_OVERRIDE=FQ","FILING_STATUS=OR","EQY_CONSOLIDATED=Y","FA_ADJUSTED=GAAP","Sort=A","Dates=H","DateFormat=P","Fill=—","Direction=H","UseDPDF=Y")</f>
        <v>#NAME?</v>
      </c>
      <c r="U615" s="2" t="e">
        <f ca="1">_xll.BDH($C$603,"EBITDA_GROWTH","FQ2 2016","FQ2 2016","Currency=INR","Period=FQ","BEST_FPERIOD_OVERRIDE=FQ","FILING_STATUS=OR","EQY_CONSOLIDATED=Y","FA_ADJUSTED=GAAP","Sort=A","Dates=H","DateFormat=P","Fill=—","Direction=H","UseDPDF=Y")</f>
        <v>#NAME?</v>
      </c>
      <c r="V615" s="2" t="e">
        <f ca="1">_xll.BDH($C$603,"OPER_INC_GROWTH","FQ2 2016","FQ2 2016","Currency=INR","Period=FQ","BEST_FPERIOD_OVERRIDE=FQ","FILING_STATUS=OR","EQY_CONSOLIDATED=Y","FA_ADJUSTED=GAAP","Sort=A","Dates=H","DateFormat=P","Fill=—","Direction=H","UseDPDF=Y")</f>
        <v>#NAME?</v>
      </c>
      <c r="W615" s="2" t="e">
        <f ca="1">_xll.BDH($C$603,"EARN_FOR_COM_GROWTH","FQ2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15" s="2" t="e">
        <f ca="1">_xll.BDH($C$603,"DILUTED_EPS_AFT_XO_ITEMS_GROWTH","FQ2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15" s="2" t="e">
        <f ca="1">_xll.BDH($C$603,"DIVIDEND_PER_SHARE_1_YEAR_GROWTH","FQ2 2016","FQ2 2016","Currency=INR","Period=FQ","BEST_FPERIOD_OVERRIDE=FQ","FILING_STATUS=OR","EQY_CONSOLIDATED=Y","Sort=A","Dates=H","DateFormat=P","Fill=—","Direction=H","UseDPDF=Y")</f>
        <v>#NAME?</v>
      </c>
      <c r="Z615" s="2" t="e">
        <f ca="1">_xll.BDH($C$603,"ACCOUNTS_RECEIVABLE_GROWTH","FQ2 2016","FQ2 2016","Currency=INR","Period=FQ","BEST_FPERIOD_OVERRIDE=FQ","FILING_STATUS=OR","EQY_CONSOLIDATED=Y","Sort=A","Dates=H","DateFormat=P","Fill=—","Direction=H","UseDPDF=Y")</f>
        <v>#NAME?</v>
      </c>
      <c r="AA615" s="2" t="e">
        <f ca="1">_xll.BDH($C$603,"INVENTORY_GROWTH","FQ2 2016","FQ2 2016","Currency=INR","Period=FQ","BEST_FPERIOD_OVERRIDE=FQ","FILING_STATUS=OR","EQY_CONSOLIDATED=Y","Sort=A","Dates=H","DateFormat=P","Fill=—","Direction=H","UseDPDF=Y")</f>
        <v>#NAME?</v>
      </c>
      <c r="AB615" s="2" t="e">
        <f ca="1">_xll.BDH($C$603,"NET_FIXED_ASSETS_1_YEAR_GROWTH","FQ2 2016","FQ2 2016","Currency=INR","Period=FQ","BEST_FPERIOD_OVERRIDE=FQ","FILING_STATUS=OR","EQY_CONSOLIDATED=Y","Sort=A","Dates=H","DateFormat=P","Fill=—","Direction=H","UseDPDF=Y")</f>
        <v>#NAME?</v>
      </c>
      <c r="AC615" s="2" t="e">
        <f ca="1">_xll.BDH($C$603,"ASSET_GROWTH","FQ2 2016","FQ2 2016","Currency=INR","Period=FQ","BEST_FPERIOD_OVERRIDE=FQ","FILING_STATUS=OR","EQY_CONSOLIDATED=Y","Sort=A","Dates=H","DateFormat=P","Fill=—","Direction=H","UseDPDF=Y")</f>
        <v>#NAME?</v>
      </c>
      <c r="AD615" s="2" t="e">
        <f ca="1">_xll.BDH($C$603,"MODIFIED_WORK_CAP_GROWTH","FQ2 2016","FQ2 2016","Currency=INR","Period=FQ","BEST_FPERIOD_OVERRIDE=FQ","FILING_STATUS=OR","EQY_CONSOLIDATED=Y","Sort=A","Dates=H","DateFormat=P","Fill=—","Direction=H","UseDPDF=Y")</f>
        <v>#NAME?</v>
      </c>
      <c r="AE615" s="2" t="e">
        <f ca="1">_xll.BDH($C$603,"WORK_CAP_GROWTH","FQ2 2016","FQ2 2016","Currency=INR","Period=FQ","BEST_FPERIOD_OVERRIDE=FQ","FILING_STATUS=OR","EQY_CONSOLIDATED=Y","Sort=A","Dates=H","DateFormat=P","Fill=—","Direction=H","UseDPDF=Y")</f>
        <v>#NAME?</v>
      </c>
      <c r="AF615" s="2" t="e">
        <f ca="1">_xll.BDH($C$603,"ACCOUNTS_PAYABLE_GROWTH_1YR","FQ2 2016","FQ2 2016","Currency=INR","Period=FQ","BEST_FPERIOD_OVERRIDE=FQ","FILING_STATUS=OR","EQY_CONSOLIDATED=Y","Sort=A","Dates=H","DateFormat=P","Fill=—","Direction=H","UseDPDF=Y")</f>
        <v>#NAME?</v>
      </c>
      <c r="AG615" s="2" t="e">
        <f ca="1">_xll.BDH($C$603,"SHORT_TERM_DEBT_1_YEAR_GROWTH","FQ2 2016","FQ2 2016","Currency=INR","Period=FQ","BEST_FPERIOD_OVERRIDE=FQ","FILING_STATUS=OR","EQY_CONSOLIDATED=Y","Sort=A","Dates=H","DateFormat=P","Fill=—","Direction=H","UseDPDF=Y")</f>
        <v>#NAME?</v>
      </c>
      <c r="AH615" s="2" t="e">
        <f ca="1">_xll.BDH($C$603,"TOTAL_DEBT_1_YEAR_GROWTH","FQ2 2016","FQ2 2016","Currency=INR","Period=FQ","BEST_FPERIOD_OVERRIDE=FQ","FILING_STATUS=OR","EQY_CONSOLIDATED=Y","Sort=A","Dates=H","DateFormat=P","Fill=—","Direction=H","UseDPDF=Y")</f>
        <v>#NAME?</v>
      </c>
      <c r="AI615" s="2" t="e">
        <f ca="1">_xll.BDH($C$603,"TOTAL_EQUITY_1_YEAR_GROWTH","FQ2 2016","FQ2 2016","Currency=INR","Period=FQ","BEST_FPERIOD_OVERRIDE=FQ","FILING_STATUS=OR","EQY_CONSOLIDATED=Y","Sort=A","Dates=H","DateFormat=P","Fill=—","Direction=H","UseDPDF=Y")</f>
        <v>#NAME?</v>
      </c>
      <c r="AJ615" s="2" t="e">
        <f ca="1">_xll.BDH($C$603,"GROWTH_IN_CAP","FQ2 2016","FQ2 2016","Currency=INR","Period=FQ","BEST_FPERIOD_OVERRIDE=FQ","FILING_STATUS=OR","EQY_CONSOLIDATED=Y","Sort=A","Dates=H","DateFormat=P","Fill=—","Direction=H","UseDPDF=Y")</f>
        <v>#NAME?</v>
      </c>
      <c r="AK615" s="2" t="e">
        <f ca="1">_xll.BDH($C$603,"BVPS_GROWTH","FQ2 2016","FQ2 2016","Currency=INR","Period=FQ","BEST_FPERIOD_OVERRIDE=FQ","FILING_STATUS=OR","EQY_CONSOLIDATED=Y","Sort=A","Dates=H","DateFormat=P","Fill=—","Direction=H","UseDPDF=Y")</f>
        <v>#NAME?</v>
      </c>
      <c r="AL615" s="2" t="e">
        <f ca="1">_xll.BDH($C$603,"CASH_FLOW_GROWTH","FQ2 2016","FQ2 2016","Currency=INR","Period=FQ","BEST_FPERIOD_OVERRIDE=FQ","FILING_STATUS=OR","EQY_CONSOLIDATED=Y","Sort=A","Dates=H","DateFormat=P","Fill=—","Direction=H","UseDPDF=Y")</f>
        <v>#NAME?</v>
      </c>
      <c r="AM615" s="2" t="e">
        <f ca="1">_xll.BDH($C$603,"GEO_GROW_NET_SALES","FQ2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15" s="2" t="e">
        <f ca="1">_xll.BDH($C$603,"GEO_GROW_EBITDA","FQ2 2016","FQ2 2016","Currency=INR","Period=FQ","BEST_FPERIOD_OVERRIDE=FQ","FILING_STATUS=OR","EQY_CONSOLIDATED=Y","FA_ADJUSTED=GAAP","Sort=A","Dates=H","DateFormat=P","Fill=—","Direction=H","UseDPDF=Y")</f>
        <v>#NAME?</v>
      </c>
      <c r="AO615" s="2" t="e">
        <f ca="1">_xll.BDH($C$603,"GEO_GROW_OPER_INC","FQ2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15" s="2" t="e">
        <f ca="1">_xll.BDH($C$603,"NET_INCOME_TO_COMMON_5_YR_GROWTH","FQ2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15" s="2" t="e">
        <f ca="1">_xll.BDH($C$603,"5Y_GEO_GROWTH_DILUTED_EPS","FQ2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15" s="2" t="e">
        <f ca="1">_xll.BDH($C$603,"GEO_GROW_DVD_PER_SH","FQ2 2016","FQ2 2016","Currency=INR","Period=FQ","BEST_FPERIOD_OVERRIDE=FQ","FILING_STATUS=OR","EQY_CONSOLIDATED=Y","Sort=A","Dates=H","DateFormat=P","Fill=—","Direction=H","UseDPDF=Y")</f>
        <v>#NAME?</v>
      </c>
      <c r="AS615" s="2" t="e">
        <f ca="1">_xll.BDH($C$603,"ACCOUNTS_RECEIVABLE_5_YR_GROWTH","FQ2 2016","FQ2 2016","Currency=INR","Period=FQ","BEST_FPERIOD_OVERRIDE=FQ","FILING_STATUS=OR","EQY_CONSOLIDATED=Y","Sort=A","Dates=H","DateFormat=P","Fill=—","Direction=H","UseDPDF=Y")</f>
        <v>#NAME?</v>
      </c>
      <c r="AT615" s="2" t="e">
        <f ca="1">_xll.BDH($C$603,"INVENTORY_5_YEAR_GROWTH","FQ2 2016","FQ2 2016","Currency=INR","Period=FQ","BEST_FPERIOD_OVERRIDE=FQ","FILING_STATUS=OR","EQY_CONSOLIDATED=Y","Sort=A","Dates=H","DateFormat=P","Fill=—","Direction=H","UseDPDF=Y")</f>
        <v>#NAME?</v>
      </c>
      <c r="AU615" s="2" t="e">
        <f ca="1">_xll.BDH($C$603,"NET_FIXED_ASSETS_5_YEAR_GROWTH","FQ2 2016","FQ2 2016","Currency=INR","Period=FQ","BEST_FPERIOD_OVERRIDE=FQ","FILING_STATUS=OR","EQY_CONSOLIDATED=Y","Sort=A","Dates=H","DateFormat=P","Fill=—","Direction=H","UseDPDF=Y")</f>
        <v>#NAME?</v>
      </c>
      <c r="AV615" s="2" t="e">
        <f ca="1">_xll.BDH($C$603,"GEO_GROW_TOT_ASSET","FQ2 2016","FQ2 2016","Currency=INR","Period=FQ","BEST_FPERIOD_OVERRIDE=FQ","FILING_STATUS=OR","EQY_CONSOLIDATED=Y","Sort=A","Dates=H","DateFormat=P","Fill=—","Direction=H","UseDPDF=Y")</f>
        <v>#NAME?</v>
      </c>
      <c r="AW615" s="2" t="e">
        <f ca="1">_xll.BDH($C$603,"MODIFIED_WORKING_CPTL_5YR_GRWTH","FQ2 2016","FQ2 2016","Currency=INR","Period=FQ","BEST_FPERIOD_OVERRIDE=FQ","FILING_STATUS=OR","EQY_CONSOLIDATED=Y","Sort=A","Dates=H","DateFormat=P","Fill=—","Direction=H","UseDPDF=Y")</f>
        <v>#NAME?</v>
      </c>
      <c r="AX615" s="2" t="e">
        <f ca="1">_xll.BDH($C$603,"WORKING_CAPITAL_5_YEAR_GROWTH","FQ2 2016","FQ2 2016","Currency=INR","Period=FQ","BEST_FPERIOD_OVERRIDE=FQ","FILING_STATUS=OR","EQY_CONSOLIDATED=Y","Sort=A","Dates=H","DateFormat=P","Fill=—","Direction=H","UseDPDF=Y")</f>
        <v>#NAME?</v>
      </c>
      <c r="AY615" s="2" t="e">
        <f ca="1">_xll.BDH($C$603,"ACCOUNTS_PAYABLE_5_YEAR_GROWTH","FQ2 2016","FQ2 2016","Currency=INR","Period=FQ","BEST_FPERIOD_OVERRIDE=FQ","FILING_STATUS=OR","EQY_CONSOLIDATED=Y","Sort=A","Dates=H","DateFormat=P","Fill=—","Direction=H","UseDPDF=Y")</f>
        <v>#NAME?</v>
      </c>
      <c r="AZ615" s="2" t="e">
        <f ca="1">_xll.BDH($C$603,"SHORT_TERM_DEBT_5_YEAR_GROWTH","FQ2 2016","FQ2 2016","Currency=INR","Period=FQ","BEST_FPERIOD_OVERRIDE=FQ","FILING_STATUS=OR","EQY_CONSOLIDATED=Y","Sort=A","Dates=H","DateFormat=P","Fill=—","Direction=H","UseDPDF=Y")</f>
        <v>#NAME?</v>
      </c>
      <c r="BA615" s="2" t="e">
        <f ca="1">_xll.BDH($C$603,"TOTAL_DEBT_5_YEAR_GROWTH","FQ2 2016","FQ2 2016","Currency=INR","Period=FQ","BEST_FPERIOD_OVERRIDE=FQ","FILING_STATUS=OR","EQY_CONSOLIDATED=Y","Sort=A","Dates=H","DateFormat=P","Fill=—","Direction=H","UseDPDF=Y")</f>
        <v>#NAME?</v>
      </c>
      <c r="BB615" s="2" t="e">
        <f ca="1">_xll.BDH($C$603,"GEO_GROW_TOT_SHRHLDR_EQY","FQ2 2016","FQ2 2016","Currency=INR","Period=FQ","BEST_FPERIOD_OVERRIDE=FQ","FILING_STATUS=OR","EQY_CONSOLIDATED=Y","Sort=A","Dates=H","DateFormat=P","Fill=—","Direction=H","UseDPDF=Y")</f>
        <v>#NAME?</v>
      </c>
      <c r="BC615" s="2" t="e">
        <f ca="1">_xll.BDH($C$603,"TOTAL_CAPITAL_5_YEAR_GROWTH","FQ2 2016","FQ2 2016","Currency=INR","Period=FQ","BEST_FPERIOD_OVERRIDE=FQ","FILING_STATUS=OR","EQY_CONSOLIDATED=Y","Sort=A","Dates=H","DateFormat=P","Fill=—","Direction=H","UseDPDF=Y")</f>
        <v>#NAME?</v>
      </c>
      <c r="BD615" s="2" t="e">
        <f ca="1">_xll.BDH($C$603,"GEO_GROW_BOOK_VAL","FQ2 2016","FQ2 2016","Currency=INR","Period=FQ","BEST_FPERIOD_OVERRIDE=FQ","FILING_STATUS=OR","EQY_CONSOLIDATED=Y","Sort=A","Dates=H","DateFormat=P","Fill=—","Direction=H","UseDPDF=Y")</f>
        <v>#NAME?</v>
      </c>
      <c r="BE615" s="2" t="e">
        <f ca="1">_xll.BDH($C$603,"GEO_GROW_CASH_OPER_ACT","FQ2 2016","FQ2 2016","Currency=INR","Period=FQ","BEST_FPERIOD_OVERRIDE=FQ","FILING_STATUS=OR","EQY_CONSOLIDATED=Y","Sort=A","Dates=H","DateFormat=P","Fill=—","Direction=H","UseDPDF=Y")</f>
        <v>#NAME?</v>
      </c>
      <c r="BF615" s="2" t="e">
        <f ca="1">_xll.BDH($C$603,"REVENUE_SEQUENTIAL_GROWTH","FQ2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15" s="2" t="e">
        <f ca="1">_xll.BDH($C$603,"EBITDA_SEQUENTIAL_GROWTH","FQ2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15" s="2" t="e">
        <f ca="1">_xll.BDH($C$603,"OPERATING_INCOME_SEQ_GROWTH","FQ2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15" s="2" t="e">
        <f ca="1">_xll.BDH($C$603,"NET_INCOME_TO_COMMON_SEQ_GROWTH","FQ2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15" s="2" t="e">
        <f ca="1">_xll.BDH($C$603,"EPS_DILUTED_SEQUENTIAL_GROWTH","FQ2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15" s="2" t="e">
        <f ca="1">_xll.BDH($C$603,"DPS_SEQUENTIAL_GROWTH","FQ2 2016","FQ2 2016","Currency=INR","Period=FQ","BEST_FPERIOD_OVERRIDE=FQ","FILING_STATUS=OR","EQY_CONSOLIDATED=Y","Sort=A","Dates=H","DateFormat=P","Fill=—","Direction=H","UseDPDF=Y")</f>
        <v>#NAME?</v>
      </c>
      <c r="BL615" s="2" t="e">
        <f ca="1">_xll.BDH($C$603,"ACCOUNTS_RECEIVABLE_SEQ_GROWTH","FQ2 2016","FQ2 2016","Currency=INR","Period=FQ","BEST_FPERIOD_OVERRIDE=FQ","FILING_STATUS=OR","EQY_CONSOLIDATED=Y","Sort=A","Dates=H","DateFormat=P","Fill=—","Direction=H","UseDPDF=Y")</f>
        <v>#NAME?</v>
      </c>
      <c r="BM615" s="2" t="e">
        <f ca="1">_xll.BDH($C$603,"INVENTORY_SEQUENTIAL_GROWTH","FQ2 2016","FQ2 2016","Currency=INR","Period=FQ","BEST_FPERIOD_OVERRIDE=FQ","FILING_STATUS=OR","EQY_CONSOLIDATED=Y","Sort=A","Dates=H","DateFormat=P","Fill=—","Direction=H","UseDPDF=Y")</f>
        <v>#NAME?</v>
      </c>
      <c r="BN615" s="2" t="e">
        <f ca="1">_xll.BDH($C$603,"FIXED_ASSETS_SEQUENTIAL_GROWTH","FQ2 2016","FQ2 2016","Currency=INR","Period=FQ","BEST_FPERIOD_OVERRIDE=FQ","FILING_STATUS=OR","EQY_CONSOLIDATED=Y","Sort=A","Dates=H","DateFormat=P","Fill=—","Direction=H","UseDPDF=Y")</f>
        <v>#NAME?</v>
      </c>
      <c r="BO615" s="2" t="e">
        <f ca="1">_xll.BDH($C$603,"TOTAL_ASSETS_SEQUENTIAL_GROWTH","FQ2 2016","FQ2 2016","Currency=INR","Period=FQ","BEST_FPERIOD_OVERRIDE=FQ","FILING_STATUS=OR","EQY_CONSOLIDATED=Y","Sort=A","Dates=H","DateFormat=P","Fill=—","Direction=H","UseDPDF=Y")</f>
        <v>#NAME?</v>
      </c>
      <c r="BP615" s="2" t="e">
        <f ca="1">_xll.BDH($C$603,"MODIFIED_WORKING_CPTL_SEQ_GRWTH","FQ2 2016","FQ2 2016","Currency=INR","Period=FQ","BEST_FPERIOD_OVERRIDE=FQ","FILING_STATUS=OR","EQY_CONSOLIDATED=Y","Sort=A","Dates=H","DateFormat=P","Fill=—","Direction=H","UseDPDF=Y")</f>
        <v>#NAME?</v>
      </c>
      <c r="BQ615" s="2" t="e">
        <f ca="1">_xll.BDH($C$603,"WORKING_CAPITAL_SEQ_GROWTH","FQ2 2016","FQ2 2016","Currency=INR","Period=FQ","BEST_FPERIOD_OVERRIDE=FQ","FILING_STATUS=OR","EQY_CONSOLIDATED=Y","Sort=A","Dates=H","DateFormat=P","Fill=—","Direction=H","UseDPDF=Y")</f>
        <v>#NAME?</v>
      </c>
      <c r="BR615" s="2" t="e">
        <f ca="1">_xll.BDH($C$603,"ACCOUNTS_PAYABLE_SEQ_GROWTH","FQ2 2016","FQ2 2016","Currency=INR","Period=FQ","BEST_FPERIOD_OVERRIDE=FQ","FILING_STATUS=OR","EQY_CONSOLIDATED=Y","Sort=A","Dates=H","DateFormat=P","Fill=—","Direction=H","UseDPDF=Y")</f>
        <v>#NAME?</v>
      </c>
      <c r="BS615" s="2" t="e">
        <f ca="1">_xll.BDH($C$603,"ST_DEBT_SEQUENTIAL_GROWTH","FQ2 2016","FQ2 2016","Currency=INR","Period=FQ","BEST_FPERIOD_OVERRIDE=FQ","FILING_STATUS=OR","EQY_CONSOLIDATED=Y","Sort=A","Dates=H","DateFormat=P","Fill=—","Direction=H","UseDPDF=Y")</f>
        <v>#NAME?</v>
      </c>
      <c r="BT615" s="2" t="e">
        <f ca="1">_xll.BDH($C$603,"TOTAL_DEBT_SEQUENTIAL_GROWTH","FQ2 2016","FQ2 2016","Currency=INR","Period=FQ","BEST_FPERIOD_OVERRIDE=FQ","FILING_STATUS=OR","EQY_CONSOLIDATED=Y","Sort=A","Dates=H","DateFormat=P","Fill=—","Direction=H","UseDPDF=Y")</f>
        <v>#NAME?</v>
      </c>
      <c r="BU615" s="2" t="e">
        <f ca="1">_xll.BDH($C$603,"TOTAL_EQUITY_SEQUENTIAL_GROWTH","FQ2 2016","FQ2 2016","Currency=INR","Period=FQ","BEST_FPERIOD_OVERRIDE=FQ","FILING_STATUS=OR","EQY_CONSOLIDATED=Y","Sort=A","Dates=H","DateFormat=P","Fill=—","Direction=H","UseDPDF=Y")</f>
        <v>#NAME?</v>
      </c>
      <c r="BV615" s="2" t="e">
        <f ca="1">_xll.BDH($C$603,"TOTAL_CAPITAL_SEQUENTIAL_GROWTH","FQ2 2016","FQ2 2016","Currency=INR","Period=FQ","BEST_FPERIOD_OVERRIDE=FQ","FILING_STATUS=OR","EQY_CONSOLIDATED=Y","Sort=A","Dates=H","DateFormat=P","Fill=—","Direction=H","UseDPDF=Y")</f>
        <v>#NAME?</v>
      </c>
      <c r="BW615" s="2" t="e">
        <f ca="1">_xll.BDH($C$603,"BPS_SEQUENTIAL_GROWTH","FQ2 2016","FQ2 2016","Currency=INR","Period=FQ","BEST_FPERIOD_OVERRIDE=FQ","FILING_STATUS=OR","EQY_CONSOLIDATED=Y","Sort=A","Dates=H","DateFormat=P","Fill=—","Direction=H","UseDPDF=Y")</f>
        <v>#NAME?</v>
      </c>
      <c r="BX615" s="2" t="e">
        <f ca="1">_xll.BDH($C$603,"CFO_SEQUENTIAL_GROWTH","FQ2 2016","FQ2 2016","Currency=INR","Period=FQ","BEST_FPERIOD_OVERRIDE=FQ","FILING_STATUS=OR","EQY_CONSOLIDATED=Y","Sort=A","Dates=H","DateFormat=P","Fill=—","Direction=H","UseDPDF=Y")</f>
        <v>#NAME?</v>
      </c>
      <c r="BY615" s="3" t="e">
        <f ca="1">_xll.BDH($C$603,"SHORT_AND_LONG_TERM_DEBT","FQ2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15" s="3" t="e">
        <f ca="1">_xll.BDH($C$603,"BS_ST_BORROW","FQ2 2016","FQ2 2016","Currency=INR","Period=FQ","BEST_FPERIOD_OVERRIDE=FQ","FILING_STATUS=OR","EQY_CONSOLIDATED=Y","SCALING_FORMAT=MLN","Sort=A","Dates=H","DateFormat=P","Fill=—","Direction=H","UseDPDF=Y")</f>
        <v>#NAME?</v>
      </c>
      <c r="CA615" s="3" t="e">
        <f ca="1">_xll.BDH($C$603,"BS_LT_BORROW","FQ2 2016","FQ2 2016","Currency=INR","Period=FQ","BEST_FPERIOD_OVERRIDE=FQ","FILING_STATUS=OR","EQY_CONSOLIDATED=Y","SCALING_FORMAT=MLN","Sort=A","Dates=H","DateFormat=P","Fill=—","Direction=H","UseDPDF=Y")</f>
        <v>#NAME?</v>
      </c>
      <c r="CB615" s="2" t="e">
        <f ca="1">_xll.BDH($C$603,"TOT_DEBT_TO_EBITDA","FQ2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15" s="2" t="e">
        <f ca="1">_xll.BDH($C$603,"NET_DEBT_TO_EBITDA","FQ2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15" s="2" t="e">
        <f ca="1">_xll.BDH($C$603,"TOTAL_DEBT_TO_EBIT","FQ2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15" s="2" t="e">
        <f ca="1">_xll.BDH($C$603,"NET_DEBT_TO_EBIT","FQ2 2016","FQ2 2016","Currency=INR","Period=FQ","BEST_FPERIOD_OVERRIDE=FQ","FILING_STATUS=OR","EQY_CONSOLIDATED=Y","FA_ADJUSTED=GAAP","Sort=A","Dates=H","DateFormat=P","Fill=—","Direction=H","UseDPDF=Y")</f>
        <v>#NAME?</v>
      </c>
      <c r="CF615" s="2" t="e">
        <f ca="1">_xll.BDH($C$603,"EBITDA_TO_INTEREST_EXPN","FQ2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15" s="2" t="e">
        <f ca="1">_xll.BDH($C$603,"COM_EQY_TO_TOT_ASSET","FQ2 2016","FQ2 2016","Currency=INR","Period=FQ","BEST_FPERIOD_OVERRIDE=FQ","FILING_STATUS=OR","EQY_CONSOLIDATED=Y","Sort=A","Dates=H","DateFormat=P","Fill=—","Direction=H","UseDPDF=Y")</f>
        <v>#NAME?</v>
      </c>
      <c r="CH615" s="2" t="e">
        <f ca="1">_xll.BDH($C$603,"LT_DEBT_TO_TOT_EQY","FQ2 2016","FQ2 2016","Currency=INR","Period=FQ","BEST_FPERIOD_OVERRIDE=FQ","FILING_STATUS=OR","EQY_CONSOLIDATED=Y","Sort=A","Dates=H","DateFormat=P","Fill=—","Direction=H","UseDPDF=Y")</f>
        <v>#NAME?</v>
      </c>
      <c r="CI615" s="2" t="e">
        <f ca="1">_xll.BDH($C$603,"LT_DEBT_TO_TOT_CAP","FQ2 2016","FQ2 2016","Currency=INR","Period=FQ","BEST_FPERIOD_OVERRIDE=FQ","FILING_STATUS=OR","EQY_CONSOLIDATED=Y","Sort=A","Dates=H","DateFormat=P","Fill=—","Direction=H","UseDPDF=Y")</f>
        <v>#NAME?</v>
      </c>
      <c r="CJ615" s="2" t="e">
        <f ca="1">_xll.BDH($C$603,"LT_DEBT_TO_TOT_ASSET","FQ2 2016","FQ2 2016","Currency=INR","Period=FQ","BEST_FPERIOD_OVERRIDE=FQ","FILING_STATUS=OR","EQY_CONSOLIDATED=Y","Sort=A","Dates=H","DateFormat=P","Fill=—","Direction=H","UseDPDF=Y")</f>
        <v>#NAME?</v>
      </c>
      <c r="CK615" s="2" t="e">
        <f ca="1">_xll.BDH($C$603,"TOT_DEBT_TO_TOT_EQY","FQ2 2016","FQ2 2016","Currency=INR","Period=FQ","BEST_FPERIOD_OVERRIDE=FQ","FILING_STATUS=OR","EQY_CONSOLIDATED=Y","Sort=A","Dates=H","DateFormat=P","Fill=—","Direction=H","UseDPDF=Y")</f>
        <v>#NAME?</v>
      </c>
      <c r="CL615" s="2" t="e">
        <f ca="1">_xll.BDH($C$603,"TOT_DEBT_TO_TOT_CAP","FQ2 2016","FQ2 2016","Currency=INR","Period=FQ","BEST_FPERIOD_OVERRIDE=FQ","FILING_STATUS=OR","EQY_CONSOLIDATED=Y","Sort=A","Dates=H","DateFormat=P","Fill=—","Direction=H","UseDPDF=Y")</f>
        <v>#NAME?</v>
      </c>
      <c r="CM615" s="2" t="e">
        <f ca="1">_xll.BDH($C$603,"TOT_DEBT_TO_TOT_ASSET","FQ2 2016","FQ2 2016","Currency=INR","Period=FQ","BEST_FPERIOD_OVERRIDE=FQ","FILING_STATUS=OR","EQY_CONSOLIDATED=Y","Sort=A","Dates=H","DateFormat=P","Fill=—","Direction=H","UseDPDF=Y")</f>
        <v>#NAME?</v>
      </c>
      <c r="CN615" s="2" t="e">
        <f ca="1">_xll.BDH($C$603,"NET_DEBT_TO_SHRHLDR_EQTY","FQ2 2016","FQ2 2016","Currency=INR","Period=FQ","BEST_FPERIOD_OVERRIDE=FQ","FILING_STATUS=OR","EQY_CONSOLIDATED=Y","Sort=A","Dates=H","DateFormat=P","Fill=—","Direction=H","UseDPDF=Y")</f>
        <v>#NAME?</v>
      </c>
      <c r="CO615" s="2" t="e">
        <f ca="1">_xll.BDH($C$603,"NET_DEBT_%_CAPITAL","FQ2 2016","FQ2 2016","Currency=INR","Period=FQ","BEST_FPERIOD_OVERRIDE=FQ","FILING_STATUS=OR","EQY_CONSOLIDATED=Y","Sort=A","Dates=H","DateFormat=P","Fill=—","Direction=H","UseDPDF=Y")</f>
        <v>#NAME?</v>
      </c>
      <c r="CP615" s="3" t="e">
        <f ca="1">_xll.BDH($C$603,"EBITDA","FQ2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15" s="3" t="e">
        <f ca="1">_xll.BDH($C$603,"EBITDA_AFTER_CAPEX","FQ2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15" s="3" t="e">
        <f ca="1">_xll.BDH($C$603,"IS_OPER_INC","FQ2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15" s="2" t="e">
        <f ca="1">_xll.BDH($C$603,"CASH_RATIO","FQ2 2016","FQ2 2016","Currency=INR","Period=FQ","BEST_FPERIOD_OVERRIDE=FQ","FILING_STATUS=OR","EQY_CONSOLIDATED=Y","Sort=A","Dates=H","DateFormat=P","Fill=—","Direction=H","UseDPDF=Y")</f>
        <v>#NAME?</v>
      </c>
      <c r="CT615" s="2" t="e">
        <f ca="1">_xll.BDH($C$603,"CUR_RATIO","FQ2 2016","FQ2 2016","Currency=INR","Period=FQ","BEST_FPERIOD_OVERRIDE=FQ","FILING_STATUS=OR","EQY_CONSOLIDATED=Y","Sort=A","Dates=H","DateFormat=P","Fill=—","Direction=H","UseDPDF=Y")</f>
        <v>#NAME?</v>
      </c>
      <c r="CU615" s="2" t="e">
        <f ca="1">_xll.BDH($C$603,"QUICK_RATIO","FQ2 2016","FQ2 2016","Currency=INR","Period=FQ","BEST_FPERIOD_OVERRIDE=FQ","FILING_STATUS=OR","EQY_CONSOLIDATED=Y","Sort=A","Dates=H","DateFormat=P","Fill=—","Direction=H","UseDPDF=Y")</f>
        <v>#NAME?</v>
      </c>
      <c r="CV615" s="2" t="e">
        <f ca="1">_xll.BDH($C$603,"ALTMAN_Z_SCORE","FQ2 2016","FQ2 2016","Currency=INR","Period=FQ","BEST_FPERIOD_OVERRIDE=FQ","FILING_STATUS=OR","EQY_CONSOLIDATED=Y","Sort=A","Dates=H","DateFormat=P","Fill=—","Direction=H","UseDPDF=Y")</f>
        <v>#NAME?</v>
      </c>
      <c r="CW615" s="4" t="e">
        <f ca="1">_xll.BDH($C$603,"ACCT_RCV_TURN","FQ2 2016","FQ2 2016","Currency=INR","Period=FQ","BEST_FPERIOD_OVERRIDE=FQ","FILING_STATUS=OR","EQY_CONSOLIDATED=Y","FA_ADJUSTED=GAAP","Sort=A","Dates=H","DateFormat=P","Fill=—","Direction=H","UseDPDF=Y")</f>
        <v>#NAME?</v>
      </c>
      <c r="CX615" s="2" t="e">
        <f ca="1">_xll.BDH($C$603,"ACCT_RCV_DAYS","FQ2 2016","FQ2 2016","Currency=INR","Period=FQ","BEST_FPERIOD_OVERRIDE=FQ","FILING_STATUS=OR","EQY_CONSOLIDATED=Y","FA_ADJUSTED=GAAP","Sort=A","Dates=H","DateFormat=P","Fill=—","Direction=H","UseDPDF=Y")</f>
        <v>#NAME?</v>
      </c>
      <c r="CY615" s="4" t="e">
        <f ca="1">_xll.BDH($C$603,"INVENT_TURN","FQ2 2016","FQ2 2016","Currency=INR","Period=FQ","BEST_FPERIOD_OVERRIDE=FQ","FILING_STATUS=OR","EQY_CONSOLIDATED=Y","FA_ADJUSTED=GAAP","Sort=A","Dates=H","DateFormat=P","Fill=—","Direction=H","UseDPDF=Y")</f>
        <v>#NAME?</v>
      </c>
      <c r="CZ615" s="2" t="e">
        <f ca="1">_xll.BDH($C$603,"INVENT_DAYS","FQ2 2016","FQ2 2016","Currency=INR","Period=FQ","BEST_FPERIOD_OVERRIDE=FQ","FILING_STATUS=OR","EQY_CONSOLIDATED=Y","FA_ADJUSTED=GAAP","Sort=A","Dates=H","DateFormat=P","Fill=—","Direction=H","UseDPDF=Y")</f>
        <v>#NAME?</v>
      </c>
      <c r="DA615" s="4" t="e">
        <f ca="1">_xll.BDH($C$603,"ACCOUNTS_PAYABLE_TURNOVER","FQ2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15" s="2" t="e">
        <f ca="1">_xll.BDH($C$603,"ACCOUNTS_PAYABLE_TURNOVER_DAYS","FQ2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15" s="4" t="e">
        <f ca="1">_xll.BDH($C$603,"CASH_CONVERSION_CYCLE","FQ2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15" s="4" t="e">
        <f ca="1">_xll.BDH($C$603,"INV_TO_CASH_DAYS","FQ2 2016","FQ2 2016","Currency=INR","Period=FQ","BEST_FPERIOD_OVERRIDE=FQ","FILING_STATUS=OR","EQY_CONSOLIDATED=Y","FA_ADJUSTED=GAAP","Sort=A","Dates=H","DateFormat=P","Fill=—","Direction=H","UseDPDF=Y")</f>
        <v>#NAME?</v>
      </c>
      <c r="DE615" s="5" t="e">
        <f ca="1">_xll.BDH($C$603,"BS_INVENTORIES","FQ2 2016","FQ2 2016","Currency=INR","Period=FQ","BEST_FPERIOD_OVERRIDE=FQ","FILING_STATUS=OR","EQY_CONSOLIDATED=Y","SCALING_FORMAT=MLN","Sort=A","Dates=H","DateFormat=P","Fill=—","Direction=H","UseDPDF=Y")</f>
        <v>#NAME?</v>
      </c>
      <c r="DF615" s="3" t="e">
        <f ca="1">_xll.BDH($C$603,"INVTRY_RAW_MATERIALS","FQ2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15" s="3" t="e">
        <f ca="1">_xll.BDH($C$603,"INVTRY_IN_PROGRESS","FQ2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15" s="3" t="e">
        <f ca="1">_xll.BDH($C$603,"INVTRY_FINISHED_GOODS","FQ2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15" s="3" t="e">
        <f ca="1">_xll.BDH($C$603,"BS_OTHER_INV","FQ2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16" spans="1:113" x14ac:dyDescent="0.3">
      <c r="A616" s="6"/>
      <c r="B616" s="6"/>
      <c r="C616" s="6"/>
      <c r="D616" s="6"/>
      <c r="E616" t="s">
        <v>80</v>
      </c>
      <c r="F616" t="e">
        <f ca="1">_xll.BDH($C$603,"RETURN_COM_EQY","FQ3 2016","FQ3 2016","Currency=INR","Period=FQ","BEST_FPERIOD_OVERRIDE=FQ","FILING_STATUS=OR","EQY_CONSOLIDATED=Y","FA_ADJUSTED=GAAP","Sort=A","Dates=H","DateFormat=P","Fill=—","Direction=H","UseDPDF=Y")</f>
        <v>#NAME?</v>
      </c>
      <c r="G616" t="e">
        <f ca="1">_xll.BDH($C$603,"RETURN_ON_ASSET","FQ3 2016","FQ3 2016","Currency=INR","Period=FQ","BEST_FPERIOD_OVERRIDE=FQ","FILING_STATUS=OR","EQY_CONSOLIDATED=Y","FA_ADJUSTED=GAAP","Sort=A","Dates=H","DateFormat=P","Fill=—","Direction=H","UseDPDF=Y")</f>
        <v>#NAME?</v>
      </c>
      <c r="H616" t="e">
        <f ca="1">_xll.BDH($C$603,"RETURN_ON_CAP","FQ3 2016","FQ3 2016","Currency=INR","Period=FQ","BEST_FPERIOD_OVERRIDE=FQ","FILING_STATUS=OR","EQY_CONSOLIDATED=Y","FA_ADJUSTED=GAAP","Sort=A","Dates=H","DateFormat=P","Fill=—","Direction=H","UseDPDF=Y")</f>
        <v>#NAME?</v>
      </c>
      <c r="I616" t="e">
        <f ca="1">_xll.BDH($C$603,"RETURN_ON_INV_CAPITAL","FQ3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16" t="e">
        <f ca="1">_xll.BDH($C$603,"EBITDA_TO_REVENUE","FQ3 2016","FQ3 2016","Currency=INR","Period=FQ","BEST_FPERIOD_OVERRIDE=FQ","FILING_STATUS=OR","EQY_CONSOLIDATED=Y","FA_ADJUSTED=GAAP","Sort=A","Dates=H","DateFormat=P","Fill=—","Direction=H","UseDPDF=Y")</f>
        <v>#NAME?</v>
      </c>
      <c r="K616" t="e">
        <f ca="1">_xll.BDH($C$603,"OPER_MARGIN","FQ3 2016","FQ3 2016","Currency=INR","Period=FQ","BEST_FPERIOD_OVERRIDE=FQ","FILING_STATUS=OR","EQY_CONSOLIDATED=Y","FA_ADJUSTED=GAAP","Sort=A","Dates=H","DateFormat=P","Fill=—","Direction=H","UseDPDF=Y")</f>
        <v>#NAME?</v>
      </c>
      <c r="L616" t="e">
        <f ca="1">_xll.BDH($C$603,"INCREMENTAL_OPERATING_MARGIN","FQ3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16" t="e">
        <f ca="1">_xll.BDH($C$603,"PRETAX_INC_TO_NET_SALES","FQ3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16" t="e">
        <f ca="1">_xll.BDH($C$603,"INC_BEF_XO_ITEMS_TO_NET_SALES","FQ3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16" t="e">
        <f ca="1">_xll.BDH($C$603,"PROF_MARGIN","FQ3 2016","FQ3 2016","Currency=INR","Period=FQ","BEST_FPERIOD_OVERRIDE=FQ","FILING_STATUS=OR","EQY_CONSOLIDATED=Y","FA_ADJUSTED=GAAP","Sort=A","Dates=H","DateFormat=P","Fill=—","Direction=H","UseDPDF=Y")</f>
        <v>#NAME?</v>
      </c>
      <c r="P616" t="e">
        <f ca="1">_xll.BDH($C$603,"NET_INCOME_TO_COMMON_MARGIN","FQ3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16" t="e">
        <f ca="1">_xll.BDH($C$603,"EFF_TAX_RATE","FQ3 2016","FQ3 2016","Currency=INR","Period=FQ","BEST_FPERIOD_OVERRIDE=FQ","FILING_STATUS=OR","EQY_CONSOLIDATED=Y","FA_ADJUSTED=GAAP","Sort=A","Dates=H","DateFormat=P","Fill=—","Direction=H","UseDPDF=Y")</f>
        <v>#NAME?</v>
      </c>
      <c r="R616" t="e">
        <f ca="1">_xll.BDH($C$603,"DVD_PAYOUT_RATIO","FQ3 2016","FQ3 2016","Currency=INR","Period=FQ","BEST_FPERIOD_OVERRIDE=FQ","FILING_STATUS=OR","EQY_CONSOLIDATED=Y","FA_ADJUSTED=GAAP","Sort=A","Dates=H","DateFormat=P","Fill=—","Direction=H","UseDPDF=Y")</f>
        <v>#NAME?</v>
      </c>
      <c r="S616" t="e">
        <f ca="1">_xll.BDH($C$603,"SUSTAIN_GROWTH_RT","FQ3 2016","FQ3 2016","Currency=INR","Period=FQ","BEST_FPERIOD_OVERRIDE=FQ","FILING_STATUS=OR","EQY_CONSOLIDATED=Y","FA_ADJUSTED=GAAP","Sort=A","Dates=H","DateFormat=P","Fill=—","Direction=H","UseDPDF=Y")</f>
        <v>#NAME?</v>
      </c>
      <c r="T616" s="2" t="e">
        <f ca="1">_xll.BDH($C$603,"SALES_GROWTH","FQ3 2016","FQ3 2016","Currency=INR","Period=FQ","BEST_FPERIOD_OVERRIDE=FQ","FILING_STATUS=OR","EQY_CONSOLIDATED=Y","FA_ADJUSTED=GAAP","Sort=A","Dates=H","DateFormat=P","Fill=—","Direction=H","UseDPDF=Y")</f>
        <v>#NAME?</v>
      </c>
      <c r="U616" s="2" t="e">
        <f ca="1">_xll.BDH($C$603,"EBITDA_GROWTH","FQ3 2016","FQ3 2016","Currency=INR","Period=FQ","BEST_FPERIOD_OVERRIDE=FQ","FILING_STATUS=OR","EQY_CONSOLIDATED=Y","FA_ADJUSTED=GAAP","Sort=A","Dates=H","DateFormat=P","Fill=—","Direction=H","UseDPDF=Y")</f>
        <v>#NAME?</v>
      </c>
      <c r="V616" s="2" t="e">
        <f ca="1">_xll.BDH($C$603,"OPER_INC_GROWTH","FQ3 2016","FQ3 2016","Currency=INR","Period=FQ","BEST_FPERIOD_OVERRIDE=FQ","FILING_STATUS=OR","EQY_CONSOLIDATED=Y","FA_ADJUSTED=GAAP","Sort=A","Dates=H","DateFormat=P","Fill=—","Direction=H","UseDPDF=Y")</f>
        <v>#NAME?</v>
      </c>
      <c r="W616" s="2" t="e">
        <f ca="1">_xll.BDH($C$603,"EARN_FOR_COM_GROWTH","FQ3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16" s="2" t="e">
        <f ca="1">_xll.BDH($C$603,"DILUTED_EPS_AFT_XO_ITEMS_GROWTH","FQ3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16" s="2" t="e">
        <f ca="1">_xll.BDH($C$603,"DIVIDEND_PER_SHARE_1_YEAR_GROWTH","FQ3 2016","FQ3 2016","Currency=INR","Period=FQ","BEST_FPERIOD_OVERRIDE=FQ","FILING_STATUS=OR","EQY_CONSOLIDATED=Y","Sort=A","Dates=H","DateFormat=P","Fill=—","Direction=H","UseDPDF=Y")</f>
        <v>#NAME?</v>
      </c>
      <c r="Z616" s="2" t="e">
        <f ca="1">_xll.BDH($C$603,"ACCOUNTS_RECEIVABLE_GROWTH","FQ3 2016","FQ3 2016","Currency=INR","Period=FQ","BEST_FPERIOD_OVERRIDE=FQ","FILING_STATUS=OR","EQY_CONSOLIDATED=Y","Sort=A","Dates=H","DateFormat=P","Fill=—","Direction=H","UseDPDF=Y")</f>
        <v>#NAME?</v>
      </c>
      <c r="AA616" s="2" t="e">
        <f ca="1">_xll.BDH($C$603,"INVENTORY_GROWTH","FQ3 2016","FQ3 2016","Currency=INR","Period=FQ","BEST_FPERIOD_OVERRIDE=FQ","FILING_STATUS=OR","EQY_CONSOLIDATED=Y","Sort=A","Dates=H","DateFormat=P","Fill=—","Direction=H","UseDPDF=Y")</f>
        <v>#NAME?</v>
      </c>
      <c r="AB616" s="2" t="e">
        <f ca="1">_xll.BDH($C$603,"NET_FIXED_ASSETS_1_YEAR_GROWTH","FQ3 2016","FQ3 2016","Currency=INR","Period=FQ","BEST_FPERIOD_OVERRIDE=FQ","FILING_STATUS=OR","EQY_CONSOLIDATED=Y","Sort=A","Dates=H","DateFormat=P","Fill=—","Direction=H","UseDPDF=Y")</f>
        <v>#NAME?</v>
      </c>
      <c r="AC616" s="2" t="e">
        <f ca="1">_xll.BDH($C$603,"ASSET_GROWTH","FQ3 2016","FQ3 2016","Currency=INR","Period=FQ","BEST_FPERIOD_OVERRIDE=FQ","FILING_STATUS=OR","EQY_CONSOLIDATED=Y","Sort=A","Dates=H","DateFormat=P","Fill=—","Direction=H","UseDPDF=Y")</f>
        <v>#NAME?</v>
      </c>
      <c r="AD616" s="2" t="e">
        <f ca="1">_xll.BDH($C$603,"MODIFIED_WORK_CAP_GROWTH","FQ3 2016","FQ3 2016","Currency=INR","Period=FQ","BEST_FPERIOD_OVERRIDE=FQ","FILING_STATUS=OR","EQY_CONSOLIDATED=Y","Sort=A","Dates=H","DateFormat=P","Fill=—","Direction=H","UseDPDF=Y")</f>
        <v>#NAME?</v>
      </c>
      <c r="AE616" s="2" t="e">
        <f ca="1">_xll.BDH($C$603,"WORK_CAP_GROWTH","FQ3 2016","FQ3 2016","Currency=INR","Period=FQ","BEST_FPERIOD_OVERRIDE=FQ","FILING_STATUS=OR","EQY_CONSOLIDATED=Y","Sort=A","Dates=H","DateFormat=P","Fill=—","Direction=H","UseDPDF=Y")</f>
        <v>#NAME?</v>
      </c>
      <c r="AF616" s="2" t="e">
        <f ca="1">_xll.BDH($C$603,"ACCOUNTS_PAYABLE_GROWTH_1YR","FQ3 2016","FQ3 2016","Currency=INR","Period=FQ","BEST_FPERIOD_OVERRIDE=FQ","FILING_STATUS=OR","EQY_CONSOLIDATED=Y","Sort=A","Dates=H","DateFormat=P","Fill=—","Direction=H","UseDPDF=Y")</f>
        <v>#NAME?</v>
      </c>
      <c r="AG616" s="2" t="e">
        <f ca="1">_xll.BDH($C$603,"SHORT_TERM_DEBT_1_YEAR_GROWTH","FQ3 2016","FQ3 2016","Currency=INR","Period=FQ","BEST_FPERIOD_OVERRIDE=FQ","FILING_STATUS=OR","EQY_CONSOLIDATED=Y","Sort=A","Dates=H","DateFormat=P","Fill=—","Direction=H","UseDPDF=Y")</f>
        <v>#NAME?</v>
      </c>
      <c r="AH616" s="2" t="e">
        <f ca="1">_xll.BDH($C$603,"TOTAL_DEBT_1_YEAR_GROWTH","FQ3 2016","FQ3 2016","Currency=INR","Period=FQ","BEST_FPERIOD_OVERRIDE=FQ","FILING_STATUS=OR","EQY_CONSOLIDATED=Y","Sort=A","Dates=H","DateFormat=P","Fill=—","Direction=H","UseDPDF=Y")</f>
        <v>#NAME?</v>
      </c>
      <c r="AI616" s="2" t="e">
        <f ca="1">_xll.BDH($C$603,"TOTAL_EQUITY_1_YEAR_GROWTH","FQ3 2016","FQ3 2016","Currency=INR","Period=FQ","BEST_FPERIOD_OVERRIDE=FQ","FILING_STATUS=OR","EQY_CONSOLIDATED=Y","Sort=A","Dates=H","DateFormat=P","Fill=—","Direction=H","UseDPDF=Y")</f>
        <v>#NAME?</v>
      </c>
      <c r="AJ616" s="2" t="e">
        <f ca="1">_xll.BDH($C$603,"GROWTH_IN_CAP","FQ3 2016","FQ3 2016","Currency=INR","Period=FQ","BEST_FPERIOD_OVERRIDE=FQ","FILING_STATUS=OR","EQY_CONSOLIDATED=Y","Sort=A","Dates=H","DateFormat=P","Fill=—","Direction=H","UseDPDF=Y")</f>
        <v>#NAME?</v>
      </c>
      <c r="AK616" s="2" t="e">
        <f ca="1">_xll.BDH($C$603,"BVPS_GROWTH","FQ3 2016","FQ3 2016","Currency=INR","Period=FQ","BEST_FPERIOD_OVERRIDE=FQ","FILING_STATUS=OR","EQY_CONSOLIDATED=Y","Sort=A","Dates=H","DateFormat=P","Fill=—","Direction=H","UseDPDF=Y")</f>
        <v>#NAME?</v>
      </c>
      <c r="AL616" s="2" t="e">
        <f ca="1">_xll.BDH($C$603,"CASH_FLOW_GROWTH","FQ3 2016","FQ3 2016","Currency=INR","Period=FQ","BEST_FPERIOD_OVERRIDE=FQ","FILING_STATUS=OR","EQY_CONSOLIDATED=Y","Sort=A","Dates=H","DateFormat=P","Fill=—","Direction=H","UseDPDF=Y")</f>
        <v>#NAME?</v>
      </c>
      <c r="AM616" s="2" t="e">
        <f ca="1">_xll.BDH($C$603,"GEO_GROW_NET_SALES","FQ3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16" s="2" t="e">
        <f ca="1">_xll.BDH($C$603,"GEO_GROW_EBITDA","FQ3 2016","FQ3 2016","Currency=INR","Period=FQ","BEST_FPERIOD_OVERRIDE=FQ","FILING_STATUS=OR","EQY_CONSOLIDATED=Y","FA_ADJUSTED=GAAP","Sort=A","Dates=H","DateFormat=P","Fill=—","Direction=H","UseDPDF=Y")</f>
        <v>#NAME?</v>
      </c>
      <c r="AO616" s="2" t="e">
        <f ca="1">_xll.BDH($C$603,"GEO_GROW_OPER_INC","FQ3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16" s="2" t="e">
        <f ca="1">_xll.BDH($C$603,"NET_INCOME_TO_COMMON_5_YR_GROWTH","FQ3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16" s="2" t="e">
        <f ca="1">_xll.BDH($C$603,"5Y_GEO_GROWTH_DILUTED_EPS","FQ3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16" s="2" t="e">
        <f ca="1">_xll.BDH($C$603,"GEO_GROW_DVD_PER_SH","FQ3 2016","FQ3 2016","Currency=INR","Period=FQ","BEST_FPERIOD_OVERRIDE=FQ","FILING_STATUS=OR","EQY_CONSOLIDATED=Y","Sort=A","Dates=H","DateFormat=P","Fill=—","Direction=H","UseDPDF=Y")</f>
        <v>#NAME?</v>
      </c>
      <c r="AS616" s="2" t="e">
        <f ca="1">_xll.BDH($C$603,"ACCOUNTS_RECEIVABLE_5_YR_GROWTH","FQ3 2016","FQ3 2016","Currency=INR","Period=FQ","BEST_FPERIOD_OVERRIDE=FQ","FILING_STATUS=OR","EQY_CONSOLIDATED=Y","Sort=A","Dates=H","DateFormat=P","Fill=—","Direction=H","UseDPDF=Y")</f>
        <v>#NAME?</v>
      </c>
      <c r="AT616" s="2" t="e">
        <f ca="1">_xll.BDH($C$603,"INVENTORY_5_YEAR_GROWTH","FQ3 2016","FQ3 2016","Currency=INR","Period=FQ","BEST_FPERIOD_OVERRIDE=FQ","FILING_STATUS=OR","EQY_CONSOLIDATED=Y","Sort=A","Dates=H","DateFormat=P","Fill=—","Direction=H","UseDPDF=Y")</f>
        <v>#NAME?</v>
      </c>
      <c r="AU616" s="2" t="e">
        <f ca="1">_xll.BDH($C$603,"NET_FIXED_ASSETS_5_YEAR_GROWTH","FQ3 2016","FQ3 2016","Currency=INR","Period=FQ","BEST_FPERIOD_OVERRIDE=FQ","FILING_STATUS=OR","EQY_CONSOLIDATED=Y","Sort=A","Dates=H","DateFormat=P","Fill=—","Direction=H","UseDPDF=Y")</f>
        <v>#NAME?</v>
      </c>
      <c r="AV616" s="2" t="e">
        <f ca="1">_xll.BDH($C$603,"GEO_GROW_TOT_ASSET","FQ3 2016","FQ3 2016","Currency=INR","Period=FQ","BEST_FPERIOD_OVERRIDE=FQ","FILING_STATUS=OR","EQY_CONSOLIDATED=Y","Sort=A","Dates=H","DateFormat=P","Fill=—","Direction=H","UseDPDF=Y")</f>
        <v>#NAME?</v>
      </c>
      <c r="AW616" s="2" t="e">
        <f ca="1">_xll.BDH($C$603,"MODIFIED_WORKING_CPTL_5YR_GRWTH","FQ3 2016","FQ3 2016","Currency=INR","Period=FQ","BEST_FPERIOD_OVERRIDE=FQ","FILING_STATUS=OR","EQY_CONSOLIDATED=Y","Sort=A","Dates=H","DateFormat=P","Fill=—","Direction=H","UseDPDF=Y")</f>
        <v>#NAME?</v>
      </c>
      <c r="AX616" s="2" t="e">
        <f ca="1">_xll.BDH($C$603,"WORKING_CAPITAL_5_YEAR_GROWTH","FQ3 2016","FQ3 2016","Currency=INR","Period=FQ","BEST_FPERIOD_OVERRIDE=FQ","FILING_STATUS=OR","EQY_CONSOLIDATED=Y","Sort=A","Dates=H","DateFormat=P","Fill=—","Direction=H","UseDPDF=Y")</f>
        <v>#NAME?</v>
      </c>
      <c r="AY616" s="2" t="e">
        <f ca="1">_xll.BDH($C$603,"ACCOUNTS_PAYABLE_5_YEAR_GROWTH","FQ3 2016","FQ3 2016","Currency=INR","Period=FQ","BEST_FPERIOD_OVERRIDE=FQ","FILING_STATUS=OR","EQY_CONSOLIDATED=Y","Sort=A","Dates=H","DateFormat=P","Fill=—","Direction=H","UseDPDF=Y")</f>
        <v>#NAME?</v>
      </c>
      <c r="AZ616" s="2" t="e">
        <f ca="1">_xll.BDH($C$603,"SHORT_TERM_DEBT_5_YEAR_GROWTH","FQ3 2016","FQ3 2016","Currency=INR","Period=FQ","BEST_FPERIOD_OVERRIDE=FQ","FILING_STATUS=OR","EQY_CONSOLIDATED=Y","Sort=A","Dates=H","DateFormat=P","Fill=—","Direction=H","UseDPDF=Y")</f>
        <v>#NAME?</v>
      </c>
      <c r="BA616" s="2" t="e">
        <f ca="1">_xll.BDH($C$603,"TOTAL_DEBT_5_YEAR_GROWTH","FQ3 2016","FQ3 2016","Currency=INR","Period=FQ","BEST_FPERIOD_OVERRIDE=FQ","FILING_STATUS=OR","EQY_CONSOLIDATED=Y","Sort=A","Dates=H","DateFormat=P","Fill=—","Direction=H","UseDPDF=Y")</f>
        <v>#NAME?</v>
      </c>
      <c r="BB616" s="2" t="e">
        <f ca="1">_xll.BDH($C$603,"GEO_GROW_TOT_SHRHLDR_EQY","FQ3 2016","FQ3 2016","Currency=INR","Period=FQ","BEST_FPERIOD_OVERRIDE=FQ","FILING_STATUS=OR","EQY_CONSOLIDATED=Y","Sort=A","Dates=H","DateFormat=P","Fill=—","Direction=H","UseDPDF=Y")</f>
        <v>#NAME?</v>
      </c>
      <c r="BC616" s="2" t="e">
        <f ca="1">_xll.BDH($C$603,"TOTAL_CAPITAL_5_YEAR_GROWTH","FQ3 2016","FQ3 2016","Currency=INR","Period=FQ","BEST_FPERIOD_OVERRIDE=FQ","FILING_STATUS=OR","EQY_CONSOLIDATED=Y","Sort=A","Dates=H","DateFormat=P","Fill=—","Direction=H","UseDPDF=Y")</f>
        <v>#NAME?</v>
      </c>
      <c r="BD616" s="2" t="e">
        <f ca="1">_xll.BDH($C$603,"GEO_GROW_BOOK_VAL","FQ3 2016","FQ3 2016","Currency=INR","Period=FQ","BEST_FPERIOD_OVERRIDE=FQ","FILING_STATUS=OR","EQY_CONSOLIDATED=Y","Sort=A","Dates=H","DateFormat=P","Fill=—","Direction=H","UseDPDF=Y")</f>
        <v>#NAME?</v>
      </c>
      <c r="BE616" s="2" t="e">
        <f ca="1">_xll.BDH($C$603,"GEO_GROW_CASH_OPER_ACT","FQ3 2016","FQ3 2016","Currency=INR","Period=FQ","BEST_FPERIOD_OVERRIDE=FQ","FILING_STATUS=OR","EQY_CONSOLIDATED=Y","Sort=A","Dates=H","DateFormat=P","Fill=—","Direction=H","UseDPDF=Y")</f>
        <v>#NAME?</v>
      </c>
      <c r="BF616" s="2" t="e">
        <f ca="1">_xll.BDH($C$603,"REVENUE_SEQUENTIAL_GROWTH","FQ3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16" s="2" t="e">
        <f ca="1">_xll.BDH($C$603,"EBITDA_SEQUENTIAL_GROWTH","FQ3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16" s="2" t="e">
        <f ca="1">_xll.BDH($C$603,"OPERATING_INCOME_SEQ_GROWTH","FQ3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16" s="2" t="e">
        <f ca="1">_xll.BDH($C$603,"NET_INCOME_TO_COMMON_SEQ_GROWTH","FQ3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16" s="2" t="e">
        <f ca="1">_xll.BDH($C$603,"EPS_DILUTED_SEQUENTIAL_GROWTH","FQ3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16" s="2" t="e">
        <f ca="1">_xll.BDH($C$603,"DPS_SEQUENTIAL_GROWTH","FQ3 2016","FQ3 2016","Currency=INR","Period=FQ","BEST_FPERIOD_OVERRIDE=FQ","FILING_STATUS=OR","EQY_CONSOLIDATED=Y","Sort=A","Dates=H","DateFormat=P","Fill=—","Direction=H","UseDPDF=Y")</f>
        <v>#NAME?</v>
      </c>
      <c r="BL616" s="2" t="e">
        <f ca="1">_xll.BDH($C$603,"ACCOUNTS_RECEIVABLE_SEQ_GROWTH","FQ3 2016","FQ3 2016","Currency=INR","Period=FQ","BEST_FPERIOD_OVERRIDE=FQ","FILING_STATUS=OR","EQY_CONSOLIDATED=Y","Sort=A","Dates=H","DateFormat=P","Fill=—","Direction=H","UseDPDF=Y")</f>
        <v>#NAME?</v>
      </c>
      <c r="BM616" s="2" t="e">
        <f ca="1">_xll.BDH($C$603,"INVENTORY_SEQUENTIAL_GROWTH","FQ3 2016","FQ3 2016","Currency=INR","Period=FQ","BEST_FPERIOD_OVERRIDE=FQ","FILING_STATUS=OR","EQY_CONSOLIDATED=Y","Sort=A","Dates=H","DateFormat=P","Fill=—","Direction=H","UseDPDF=Y")</f>
        <v>#NAME?</v>
      </c>
      <c r="BN616" s="2" t="e">
        <f ca="1">_xll.BDH($C$603,"FIXED_ASSETS_SEQUENTIAL_GROWTH","FQ3 2016","FQ3 2016","Currency=INR","Period=FQ","BEST_FPERIOD_OVERRIDE=FQ","FILING_STATUS=OR","EQY_CONSOLIDATED=Y","Sort=A","Dates=H","DateFormat=P","Fill=—","Direction=H","UseDPDF=Y")</f>
        <v>#NAME?</v>
      </c>
      <c r="BO616" s="2" t="e">
        <f ca="1">_xll.BDH($C$603,"TOTAL_ASSETS_SEQUENTIAL_GROWTH","FQ3 2016","FQ3 2016","Currency=INR","Period=FQ","BEST_FPERIOD_OVERRIDE=FQ","FILING_STATUS=OR","EQY_CONSOLIDATED=Y","Sort=A","Dates=H","DateFormat=P","Fill=—","Direction=H","UseDPDF=Y")</f>
        <v>#NAME?</v>
      </c>
      <c r="BP616" s="2" t="e">
        <f ca="1">_xll.BDH($C$603,"MODIFIED_WORKING_CPTL_SEQ_GRWTH","FQ3 2016","FQ3 2016","Currency=INR","Period=FQ","BEST_FPERIOD_OVERRIDE=FQ","FILING_STATUS=OR","EQY_CONSOLIDATED=Y","Sort=A","Dates=H","DateFormat=P","Fill=—","Direction=H","UseDPDF=Y")</f>
        <v>#NAME?</v>
      </c>
      <c r="BQ616" s="2" t="e">
        <f ca="1">_xll.BDH($C$603,"WORKING_CAPITAL_SEQ_GROWTH","FQ3 2016","FQ3 2016","Currency=INR","Period=FQ","BEST_FPERIOD_OVERRIDE=FQ","FILING_STATUS=OR","EQY_CONSOLIDATED=Y","Sort=A","Dates=H","DateFormat=P","Fill=—","Direction=H","UseDPDF=Y")</f>
        <v>#NAME?</v>
      </c>
      <c r="BR616" s="2" t="e">
        <f ca="1">_xll.BDH($C$603,"ACCOUNTS_PAYABLE_SEQ_GROWTH","FQ3 2016","FQ3 2016","Currency=INR","Period=FQ","BEST_FPERIOD_OVERRIDE=FQ","FILING_STATUS=OR","EQY_CONSOLIDATED=Y","Sort=A","Dates=H","DateFormat=P","Fill=—","Direction=H","UseDPDF=Y")</f>
        <v>#NAME?</v>
      </c>
      <c r="BS616" s="2" t="e">
        <f ca="1">_xll.BDH($C$603,"ST_DEBT_SEQUENTIAL_GROWTH","FQ3 2016","FQ3 2016","Currency=INR","Period=FQ","BEST_FPERIOD_OVERRIDE=FQ","FILING_STATUS=OR","EQY_CONSOLIDATED=Y","Sort=A","Dates=H","DateFormat=P","Fill=—","Direction=H","UseDPDF=Y")</f>
        <v>#NAME?</v>
      </c>
      <c r="BT616" s="2" t="e">
        <f ca="1">_xll.BDH($C$603,"TOTAL_DEBT_SEQUENTIAL_GROWTH","FQ3 2016","FQ3 2016","Currency=INR","Period=FQ","BEST_FPERIOD_OVERRIDE=FQ","FILING_STATUS=OR","EQY_CONSOLIDATED=Y","Sort=A","Dates=H","DateFormat=P","Fill=—","Direction=H","UseDPDF=Y")</f>
        <v>#NAME?</v>
      </c>
      <c r="BU616" s="2" t="e">
        <f ca="1">_xll.BDH($C$603,"TOTAL_EQUITY_SEQUENTIAL_GROWTH","FQ3 2016","FQ3 2016","Currency=INR","Period=FQ","BEST_FPERIOD_OVERRIDE=FQ","FILING_STATUS=OR","EQY_CONSOLIDATED=Y","Sort=A","Dates=H","DateFormat=P","Fill=—","Direction=H","UseDPDF=Y")</f>
        <v>#NAME?</v>
      </c>
      <c r="BV616" s="2" t="e">
        <f ca="1">_xll.BDH($C$603,"TOTAL_CAPITAL_SEQUENTIAL_GROWTH","FQ3 2016","FQ3 2016","Currency=INR","Period=FQ","BEST_FPERIOD_OVERRIDE=FQ","FILING_STATUS=OR","EQY_CONSOLIDATED=Y","Sort=A","Dates=H","DateFormat=P","Fill=—","Direction=H","UseDPDF=Y")</f>
        <v>#NAME?</v>
      </c>
      <c r="BW616" s="2" t="e">
        <f ca="1">_xll.BDH($C$603,"BPS_SEQUENTIAL_GROWTH","FQ3 2016","FQ3 2016","Currency=INR","Period=FQ","BEST_FPERIOD_OVERRIDE=FQ","FILING_STATUS=OR","EQY_CONSOLIDATED=Y","Sort=A","Dates=H","DateFormat=P","Fill=—","Direction=H","UseDPDF=Y")</f>
        <v>#NAME?</v>
      </c>
      <c r="BX616" s="2" t="e">
        <f ca="1">_xll.BDH($C$603,"CFO_SEQUENTIAL_GROWTH","FQ3 2016","FQ3 2016","Currency=INR","Period=FQ","BEST_FPERIOD_OVERRIDE=FQ","FILING_STATUS=OR","EQY_CONSOLIDATED=Y","Sort=A","Dates=H","DateFormat=P","Fill=—","Direction=H","UseDPDF=Y")</f>
        <v>#NAME?</v>
      </c>
      <c r="BY616" s="3" t="e">
        <f ca="1">_xll.BDH($C$603,"SHORT_AND_LONG_TERM_DEBT","FQ3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16" s="3" t="e">
        <f ca="1">_xll.BDH($C$603,"BS_ST_BORROW","FQ3 2016","FQ3 2016","Currency=INR","Period=FQ","BEST_FPERIOD_OVERRIDE=FQ","FILING_STATUS=OR","EQY_CONSOLIDATED=Y","SCALING_FORMAT=MLN","Sort=A","Dates=H","DateFormat=P","Fill=—","Direction=H","UseDPDF=Y")</f>
        <v>#NAME?</v>
      </c>
      <c r="CA616" s="3" t="e">
        <f ca="1">_xll.BDH($C$603,"BS_LT_BORROW","FQ3 2016","FQ3 2016","Currency=INR","Period=FQ","BEST_FPERIOD_OVERRIDE=FQ","FILING_STATUS=OR","EQY_CONSOLIDATED=Y","SCALING_FORMAT=MLN","Sort=A","Dates=H","DateFormat=P","Fill=—","Direction=H","UseDPDF=Y")</f>
        <v>#NAME?</v>
      </c>
      <c r="CB616" s="2" t="e">
        <f ca="1">_xll.BDH($C$603,"TOT_DEBT_TO_EBITDA","FQ3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16" s="2" t="e">
        <f ca="1">_xll.BDH($C$603,"NET_DEBT_TO_EBITDA","FQ3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16" s="2" t="e">
        <f ca="1">_xll.BDH($C$603,"TOTAL_DEBT_TO_EBIT","FQ3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16" s="2" t="e">
        <f ca="1">_xll.BDH($C$603,"NET_DEBT_TO_EBIT","FQ3 2016","FQ3 2016","Currency=INR","Period=FQ","BEST_FPERIOD_OVERRIDE=FQ","FILING_STATUS=OR","EQY_CONSOLIDATED=Y","FA_ADJUSTED=GAAP","Sort=A","Dates=H","DateFormat=P","Fill=—","Direction=H","UseDPDF=Y")</f>
        <v>#NAME?</v>
      </c>
      <c r="CF616" s="2" t="e">
        <f ca="1">_xll.BDH($C$603,"EBITDA_TO_INTEREST_EXPN","FQ3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16" s="2" t="e">
        <f ca="1">_xll.BDH($C$603,"COM_EQY_TO_TOT_ASSET","FQ3 2016","FQ3 2016","Currency=INR","Period=FQ","BEST_FPERIOD_OVERRIDE=FQ","FILING_STATUS=OR","EQY_CONSOLIDATED=Y","Sort=A","Dates=H","DateFormat=P","Fill=—","Direction=H","UseDPDF=Y")</f>
        <v>#NAME?</v>
      </c>
      <c r="CH616" s="2" t="e">
        <f ca="1">_xll.BDH($C$603,"LT_DEBT_TO_TOT_EQY","FQ3 2016","FQ3 2016","Currency=INR","Period=FQ","BEST_FPERIOD_OVERRIDE=FQ","FILING_STATUS=OR","EQY_CONSOLIDATED=Y","Sort=A","Dates=H","DateFormat=P","Fill=—","Direction=H","UseDPDF=Y")</f>
        <v>#NAME?</v>
      </c>
      <c r="CI616" s="2" t="e">
        <f ca="1">_xll.BDH($C$603,"LT_DEBT_TO_TOT_CAP","FQ3 2016","FQ3 2016","Currency=INR","Period=FQ","BEST_FPERIOD_OVERRIDE=FQ","FILING_STATUS=OR","EQY_CONSOLIDATED=Y","Sort=A","Dates=H","DateFormat=P","Fill=—","Direction=H","UseDPDF=Y")</f>
        <v>#NAME?</v>
      </c>
      <c r="CJ616" s="2" t="e">
        <f ca="1">_xll.BDH($C$603,"LT_DEBT_TO_TOT_ASSET","FQ3 2016","FQ3 2016","Currency=INR","Period=FQ","BEST_FPERIOD_OVERRIDE=FQ","FILING_STATUS=OR","EQY_CONSOLIDATED=Y","Sort=A","Dates=H","DateFormat=P","Fill=—","Direction=H","UseDPDF=Y")</f>
        <v>#NAME?</v>
      </c>
      <c r="CK616" s="2" t="e">
        <f ca="1">_xll.BDH($C$603,"TOT_DEBT_TO_TOT_EQY","FQ3 2016","FQ3 2016","Currency=INR","Period=FQ","BEST_FPERIOD_OVERRIDE=FQ","FILING_STATUS=OR","EQY_CONSOLIDATED=Y","Sort=A","Dates=H","DateFormat=P","Fill=—","Direction=H","UseDPDF=Y")</f>
        <v>#NAME?</v>
      </c>
      <c r="CL616" s="2" t="e">
        <f ca="1">_xll.BDH($C$603,"TOT_DEBT_TO_TOT_CAP","FQ3 2016","FQ3 2016","Currency=INR","Period=FQ","BEST_FPERIOD_OVERRIDE=FQ","FILING_STATUS=OR","EQY_CONSOLIDATED=Y","Sort=A","Dates=H","DateFormat=P","Fill=—","Direction=H","UseDPDF=Y")</f>
        <v>#NAME?</v>
      </c>
      <c r="CM616" s="2" t="e">
        <f ca="1">_xll.BDH($C$603,"TOT_DEBT_TO_TOT_ASSET","FQ3 2016","FQ3 2016","Currency=INR","Period=FQ","BEST_FPERIOD_OVERRIDE=FQ","FILING_STATUS=OR","EQY_CONSOLIDATED=Y","Sort=A","Dates=H","DateFormat=P","Fill=—","Direction=H","UseDPDF=Y")</f>
        <v>#NAME?</v>
      </c>
      <c r="CN616" s="2" t="e">
        <f ca="1">_xll.BDH($C$603,"NET_DEBT_TO_SHRHLDR_EQTY","FQ3 2016","FQ3 2016","Currency=INR","Period=FQ","BEST_FPERIOD_OVERRIDE=FQ","FILING_STATUS=OR","EQY_CONSOLIDATED=Y","Sort=A","Dates=H","DateFormat=P","Fill=—","Direction=H","UseDPDF=Y")</f>
        <v>#NAME?</v>
      </c>
      <c r="CO616" s="2" t="e">
        <f ca="1">_xll.BDH($C$603,"NET_DEBT_%_CAPITAL","FQ3 2016","FQ3 2016","Currency=INR","Period=FQ","BEST_FPERIOD_OVERRIDE=FQ","FILING_STATUS=OR","EQY_CONSOLIDATED=Y","Sort=A","Dates=H","DateFormat=P","Fill=—","Direction=H","UseDPDF=Y")</f>
        <v>#NAME?</v>
      </c>
      <c r="CP616" s="3" t="e">
        <f ca="1">_xll.BDH($C$603,"EBITDA","FQ3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16" s="3" t="e">
        <f ca="1">_xll.BDH($C$603,"EBITDA_AFTER_CAPEX","FQ3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16" s="3" t="e">
        <f ca="1">_xll.BDH($C$603,"IS_OPER_INC","FQ3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16" s="2" t="e">
        <f ca="1">_xll.BDH($C$603,"CASH_RATIO","FQ3 2016","FQ3 2016","Currency=INR","Period=FQ","BEST_FPERIOD_OVERRIDE=FQ","FILING_STATUS=OR","EQY_CONSOLIDATED=Y","Sort=A","Dates=H","DateFormat=P","Fill=—","Direction=H","UseDPDF=Y")</f>
        <v>#NAME?</v>
      </c>
      <c r="CT616" s="2" t="e">
        <f ca="1">_xll.BDH($C$603,"CUR_RATIO","FQ3 2016","FQ3 2016","Currency=INR","Period=FQ","BEST_FPERIOD_OVERRIDE=FQ","FILING_STATUS=OR","EQY_CONSOLIDATED=Y","Sort=A","Dates=H","DateFormat=P","Fill=—","Direction=H","UseDPDF=Y")</f>
        <v>#NAME?</v>
      </c>
      <c r="CU616" s="2" t="e">
        <f ca="1">_xll.BDH($C$603,"QUICK_RATIO","FQ3 2016","FQ3 2016","Currency=INR","Period=FQ","BEST_FPERIOD_OVERRIDE=FQ","FILING_STATUS=OR","EQY_CONSOLIDATED=Y","Sort=A","Dates=H","DateFormat=P","Fill=—","Direction=H","UseDPDF=Y")</f>
        <v>#NAME?</v>
      </c>
      <c r="CV616" s="2" t="e">
        <f ca="1">_xll.BDH($C$603,"ALTMAN_Z_SCORE","FQ3 2016","FQ3 2016","Currency=INR","Period=FQ","BEST_FPERIOD_OVERRIDE=FQ","FILING_STATUS=OR","EQY_CONSOLIDATED=Y","Sort=A","Dates=H","DateFormat=P","Fill=—","Direction=H","UseDPDF=Y")</f>
        <v>#NAME?</v>
      </c>
      <c r="CW616" s="4" t="e">
        <f ca="1">_xll.BDH($C$603,"ACCT_RCV_TURN","FQ3 2016","FQ3 2016","Currency=INR","Period=FQ","BEST_FPERIOD_OVERRIDE=FQ","FILING_STATUS=OR","EQY_CONSOLIDATED=Y","FA_ADJUSTED=GAAP","Sort=A","Dates=H","DateFormat=P","Fill=—","Direction=H","UseDPDF=Y")</f>
        <v>#NAME?</v>
      </c>
      <c r="CX616" s="2" t="e">
        <f ca="1">_xll.BDH($C$603,"ACCT_RCV_DAYS","FQ3 2016","FQ3 2016","Currency=INR","Period=FQ","BEST_FPERIOD_OVERRIDE=FQ","FILING_STATUS=OR","EQY_CONSOLIDATED=Y","FA_ADJUSTED=GAAP","Sort=A","Dates=H","DateFormat=P","Fill=—","Direction=H","UseDPDF=Y")</f>
        <v>#NAME?</v>
      </c>
      <c r="CY616" s="4" t="e">
        <f ca="1">_xll.BDH($C$603,"INVENT_TURN","FQ3 2016","FQ3 2016","Currency=INR","Period=FQ","BEST_FPERIOD_OVERRIDE=FQ","FILING_STATUS=OR","EQY_CONSOLIDATED=Y","FA_ADJUSTED=GAAP","Sort=A","Dates=H","DateFormat=P","Fill=—","Direction=H","UseDPDF=Y")</f>
        <v>#NAME?</v>
      </c>
      <c r="CZ616" s="2" t="e">
        <f ca="1">_xll.BDH($C$603,"INVENT_DAYS","FQ3 2016","FQ3 2016","Currency=INR","Period=FQ","BEST_FPERIOD_OVERRIDE=FQ","FILING_STATUS=OR","EQY_CONSOLIDATED=Y","FA_ADJUSTED=GAAP","Sort=A","Dates=H","DateFormat=P","Fill=—","Direction=H","UseDPDF=Y")</f>
        <v>#NAME?</v>
      </c>
      <c r="DA616" s="4" t="e">
        <f ca="1">_xll.BDH($C$603,"ACCOUNTS_PAYABLE_TURNOVER","FQ3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16" s="2" t="e">
        <f ca="1">_xll.BDH($C$603,"ACCOUNTS_PAYABLE_TURNOVER_DAYS","FQ3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16" s="4" t="e">
        <f ca="1">_xll.BDH($C$603,"CASH_CONVERSION_CYCLE","FQ3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16" s="4" t="e">
        <f ca="1">_xll.BDH($C$603,"INV_TO_CASH_DAYS","FQ3 2016","FQ3 2016","Currency=INR","Period=FQ","BEST_FPERIOD_OVERRIDE=FQ","FILING_STATUS=OR","EQY_CONSOLIDATED=Y","FA_ADJUSTED=GAAP","Sort=A","Dates=H","DateFormat=P","Fill=—","Direction=H","UseDPDF=Y")</f>
        <v>#NAME?</v>
      </c>
      <c r="DE616" s="5" t="e">
        <f ca="1">_xll.BDH($C$603,"BS_INVENTORIES","FQ3 2016","FQ3 2016","Currency=INR","Period=FQ","BEST_FPERIOD_OVERRIDE=FQ","FILING_STATUS=OR","EQY_CONSOLIDATED=Y","SCALING_FORMAT=MLN","Sort=A","Dates=H","DateFormat=P","Fill=—","Direction=H","UseDPDF=Y")</f>
        <v>#NAME?</v>
      </c>
      <c r="DF616" s="3" t="e">
        <f ca="1">_xll.BDH($C$603,"INVTRY_RAW_MATERIALS","FQ3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16" s="3" t="e">
        <f ca="1">_xll.BDH($C$603,"INVTRY_IN_PROGRESS","FQ3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16" s="3" t="e">
        <f ca="1">_xll.BDH($C$603,"INVTRY_FINISHED_GOODS","FQ3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16" s="3" t="e">
        <f ca="1">_xll.BDH($C$603,"BS_OTHER_INV","FQ3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17" spans="1:113" x14ac:dyDescent="0.3">
      <c r="A617" s="6"/>
      <c r="B617" s="6"/>
      <c r="C617" s="6"/>
      <c r="D617" s="6"/>
      <c r="E617" t="s">
        <v>81</v>
      </c>
      <c r="F617" t="e">
        <f ca="1">_xll.BDH($C$603,"RETURN_COM_EQY","FQ4 2016","FQ4 2016","Currency=INR","Period=FQ","BEST_FPERIOD_OVERRIDE=FQ","FILING_STATUS=OR","EQY_CONSOLIDATED=Y","FA_ADJUSTED=GAAP","Sort=A","Dates=H","DateFormat=P","Fill=—","Direction=H","UseDPDF=Y")</f>
        <v>#NAME?</v>
      </c>
      <c r="G617" t="e">
        <f ca="1">_xll.BDH($C$603,"RETURN_ON_ASSET","FQ4 2016","FQ4 2016","Currency=INR","Period=FQ","BEST_FPERIOD_OVERRIDE=FQ","FILING_STATUS=OR","EQY_CONSOLIDATED=Y","FA_ADJUSTED=GAAP","Sort=A","Dates=H","DateFormat=P","Fill=—","Direction=H","UseDPDF=Y")</f>
        <v>#NAME?</v>
      </c>
      <c r="H617" t="e">
        <f ca="1">_xll.BDH($C$603,"RETURN_ON_CAP","FQ4 2016","FQ4 2016","Currency=INR","Period=FQ","BEST_FPERIOD_OVERRIDE=FQ","FILING_STATUS=OR","EQY_CONSOLIDATED=Y","FA_ADJUSTED=GAAP","Sort=A","Dates=H","DateFormat=P","Fill=—","Direction=H","UseDPDF=Y")</f>
        <v>#NAME?</v>
      </c>
      <c r="I617" t="e">
        <f ca="1">_xll.BDH($C$603,"RETURN_ON_INV_CAPITAL","FQ4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17" t="e">
        <f ca="1">_xll.BDH($C$603,"EBITDA_TO_REVENUE","FQ4 2016","FQ4 2016","Currency=INR","Period=FQ","BEST_FPERIOD_OVERRIDE=FQ","FILING_STATUS=OR","EQY_CONSOLIDATED=Y","FA_ADJUSTED=GAAP","Sort=A","Dates=H","DateFormat=P","Fill=—","Direction=H","UseDPDF=Y")</f>
        <v>#NAME?</v>
      </c>
      <c r="K617" t="e">
        <f ca="1">_xll.BDH($C$603,"OPER_MARGIN","FQ4 2016","FQ4 2016","Currency=INR","Period=FQ","BEST_FPERIOD_OVERRIDE=FQ","FILING_STATUS=OR","EQY_CONSOLIDATED=Y","FA_ADJUSTED=GAAP","Sort=A","Dates=H","DateFormat=P","Fill=—","Direction=H","UseDPDF=Y")</f>
        <v>#NAME?</v>
      </c>
      <c r="L617" t="e">
        <f ca="1">_xll.BDH($C$603,"INCREMENTAL_OPERATING_MARGIN","FQ4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17" t="e">
        <f ca="1">_xll.BDH($C$603,"PRETAX_INC_TO_NET_SALES","FQ4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17" t="e">
        <f ca="1">_xll.BDH($C$603,"INC_BEF_XO_ITEMS_TO_NET_SALES","FQ4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17" t="e">
        <f ca="1">_xll.BDH($C$603,"PROF_MARGIN","FQ4 2016","FQ4 2016","Currency=INR","Period=FQ","BEST_FPERIOD_OVERRIDE=FQ","FILING_STATUS=OR","EQY_CONSOLIDATED=Y","FA_ADJUSTED=GAAP","Sort=A","Dates=H","DateFormat=P","Fill=—","Direction=H","UseDPDF=Y")</f>
        <v>#NAME?</v>
      </c>
      <c r="P617" t="e">
        <f ca="1">_xll.BDH($C$603,"NET_INCOME_TO_COMMON_MARGIN","FQ4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17" t="e">
        <f ca="1">_xll.BDH($C$603,"EFF_TAX_RATE","FQ4 2016","FQ4 2016","Currency=INR","Period=FQ","BEST_FPERIOD_OVERRIDE=FQ","FILING_STATUS=OR","EQY_CONSOLIDATED=Y","FA_ADJUSTED=GAAP","Sort=A","Dates=H","DateFormat=P","Fill=—","Direction=H","UseDPDF=Y")</f>
        <v>#NAME?</v>
      </c>
      <c r="R617" t="e">
        <f ca="1">_xll.BDH($C$603,"DVD_PAYOUT_RATIO","FQ4 2016","FQ4 2016","Currency=INR","Period=FQ","BEST_FPERIOD_OVERRIDE=FQ","FILING_STATUS=OR","EQY_CONSOLIDATED=Y","FA_ADJUSTED=GAAP","Sort=A","Dates=H","DateFormat=P","Fill=—","Direction=H","UseDPDF=Y")</f>
        <v>#NAME?</v>
      </c>
      <c r="S617" t="e">
        <f ca="1">_xll.BDH($C$603,"SUSTAIN_GROWTH_RT","FQ4 2016","FQ4 2016","Currency=INR","Period=FQ","BEST_FPERIOD_OVERRIDE=FQ","FILING_STATUS=OR","EQY_CONSOLIDATED=Y","FA_ADJUSTED=GAAP","Sort=A","Dates=H","DateFormat=P","Fill=—","Direction=H","UseDPDF=Y")</f>
        <v>#NAME?</v>
      </c>
      <c r="T617" s="2" t="e">
        <f ca="1">_xll.BDH($C$603,"SALES_GROWTH","FQ4 2016","FQ4 2016","Currency=INR","Period=FQ","BEST_FPERIOD_OVERRIDE=FQ","FILING_STATUS=OR","EQY_CONSOLIDATED=Y","FA_ADJUSTED=GAAP","Sort=A","Dates=H","DateFormat=P","Fill=—","Direction=H","UseDPDF=Y")</f>
        <v>#NAME?</v>
      </c>
      <c r="U617" s="2" t="e">
        <f ca="1">_xll.BDH($C$603,"EBITDA_GROWTH","FQ4 2016","FQ4 2016","Currency=INR","Period=FQ","BEST_FPERIOD_OVERRIDE=FQ","FILING_STATUS=OR","EQY_CONSOLIDATED=Y","FA_ADJUSTED=GAAP","Sort=A","Dates=H","DateFormat=P","Fill=—","Direction=H","UseDPDF=Y")</f>
        <v>#NAME?</v>
      </c>
      <c r="V617" s="2" t="e">
        <f ca="1">_xll.BDH($C$603,"OPER_INC_GROWTH","FQ4 2016","FQ4 2016","Currency=INR","Period=FQ","BEST_FPERIOD_OVERRIDE=FQ","FILING_STATUS=OR","EQY_CONSOLIDATED=Y","FA_ADJUSTED=GAAP","Sort=A","Dates=H","DateFormat=P","Fill=—","Direction=H","UseDPDF=Y")</f>
        <v>#NAME?</v>
      </c>
      <c r="W617" s="2" t="e">
        <f ca="1">_xll.BDH($C$603,"EARN_FOR_COM_GROWTH","FQ4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17" s="2" t="e">
        <f ca="1">_xll.BDH($C$603,"DILUTED_EPS_AFT_XO_ITEMS_GROWTH","FQ4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17" s="2" t="e">
        <f ca="1">_xll.BDH($C$603,"DIVIDEND_PER_SHARE_1_YEAR_GROWTH","FQ4 2016","FQ4 2016","Currency=INR","Period=FQ","BEST_FPERIOD_OVERRIDE=FQ","FILING_STATUS=OR","EQY_CONSOLIDATED=Y","Sort=A","Dates=H","DateFormat=P","Fill=—","Direction=H","UseDPDF=Y")</f>
        <v>#NAME?</v>
      </c>
      <c r="Z617" s="2" t="e">
        <f ca="1">_xll.BDH($C$603,"ACCOUNTS_RECEIVABLE_GROWTH","FQ4 2016","FQ4 2016","Currency=INR","Period=FQ","BEST_FPERIOD_OVERRIDE=FQ","FILING_STATUS=OR","EQY_CONSOLIDATED=Y","Sort=A","Dates=H","DateFormat=P","Fill=—","Direction=H","UseDPDF=Y")</f>
        <v>#NAME?</v>
      </c>
      <c r="AA617" s="2" t="e">
        <f ca="1">_xll.BDH($C$603,"INVENTORY_GROWTH","FQ4 2016","FQ4 2016","Currency=INR","Period=FQ","BEST_FPERIOD_OVERRIDE=FQ","FILING_STATUS=OR","EQY_CONSOLIDATED=Y","Sort=A","Dates=H","DateFormat=P","Fill=—","Direction=H","UseDPDF=Y")</f>
        <v>#NAME?</v>
      </c>
      <c r="AB617" s="2" t="e">
        <f ca="1">_xll.BDH($C$603,"NET_FIXED_ASSETS_1_YEAR_GROWTH","FQ4 2016","FQ4 2016","Currency=INR","Period=FQ","BEST_FPERIOD_OVERRIDE=FQ","FILING_STATUS=OR","EQY_CONSOLIDATED=Y","Sort=A","Dates=H","DateFormat=P","Fill=—","Direction=H","UseDPDF=Y")</f>
        <v>#NAME?</v>
      </c>
      <c r="AC617" s="2" t="e">
        <f ca="1">_xll.BDH($C$603,"ASSET_GROWTH","FQ4 2016","FQ4 2016","Currency=INR","Period=FQ","BEST_FPERIOD_OVERRIDE=FQ","FILING_STATUS=OR","EQY_CONSOLIDATED=Y","Sort=A","Dates=H","DateFormat=P","Fill=—","Direction=H","UseDPDF=Y")</f>
        <v>#NAME?</v>
      </c>
      <c r="AD617" s="2" t="e">
        <f ca="1">_xll.BDH($C$603,"MODIFIED_WORK_CAP_GROWTH","FQ4 2016","FQ4 2016","Currency=INR","Period=FQ","BEST_FPERIOD_OVERRIDE=FQ","FILING_STATUS=OR","EQY_CONSOLIDATED=Y","Sort=A","Dates=H","DateFormat=P","Fill=—","Direction=H","UseDPDF=Y")</f>
        <v>#NAME?</v>
      </c>
      <c r="AE617" s="2" t="e">
        <f ca="1">_xll.BDH($C$603,"WORK_CAP_GROWTH","FQ4 2016","FQ4 2016","Currency=INR","Period=FQ","BEST_FPERIOD_OVERRIDE=FQ","FILING_STATUS=OR","EQY_CONSOLIDATED=Y","Sort=A","Dates=H","DateFormat=P","Fill=—","Direction=H","UseDPDF=Y")</f>
        <v>#NAME?</v>
      </c>
      <c r="AF617" s="2" t="e">
        <f ca="1">_xll.BDH($C$603,"ACCOUNTS_PAYABLE_GROWTH_1YR","FQ4 2016","FQ4 2016","Currency=INR","Period=FQ","BEST_FPERIOD_OVERRIDE=FQ","FILING_STATUS=OR","EQY_CONSOLIDATED=Y","Sort=A","Dates=H","DateFormat=P","Fill=—","Direction=H","UseDPDF=Y")</f>
        <v>#NAME?</v>
      </c>
      <c r="AG617" s="2" t="e">
        <f ca="1">_xll.BDH($C$603,"SHORT_TERM_DEBT_1_YEAR_GROWTH","FQ4 2016","FQ4 2016","Currency=INR","Period=FQ","BEST_FPERIOD_OVERRIDE=FQ","FILING_STATUS=OR","EQY_CONSOLIDATED=Y","Sort=A","Dates=H","DateFormat=P","Fill=—","Direction=H","UseDPDF=Y")</f>
        <v>#NAME?</v>
      </c>
      <c r="AH617" s="2" t="e">
        <f ca="1">_xll.BDH($C$603,"TOTAL_DEBT_1_YEAR_GROWTH","FQ4 2016","FQ4 2016","Currency=INR","Period=FQ","BEST_FPERIOD_OVERRIDE=FQ","FILING_STATUS=OR","EQY_CONSOLIDATED=Y","Sort=A","Dates=H","DateFormat=P","Fill=—","Direction=H","UseDPDF=Y")</f>
        <v>#NAME?</v>
      </c>
      <c r="AI617" s="2" t="e">
        <f ca="1">_xll.BDH($C$603,"TOTAL_EQUITY_1_YEAR_GROWTH","FQ4 2016","FQ4 2016","Currency=INR","Period=FQ","BEST_FPERIOD_OVERRIDE=FQ","FILING_STATUS=OR","EQY_CONSOLIDATED=Y","Sort=A","Dates=H","DateFormat=P","Fill=—","Direction=H","UseDPDF=Y")</f>
        <v>#NAME?</v>
      </c>
      <c r="AJ617" s="2" t="e">
        <f ca="1">_xll.BDH($C$603,"GROWTH_IN_CAP","FQ4 2016","FQ4 2016","Currency=INR","Period=FQ","BEST_FPERIOD_OVERRIDE=FQ","FILING_STATUS=OR","EQY_CONSOLIDATED=Y","Sort=A","Dates=H","DateFormat=P","Fill=—","Direction=H","UseDPDF=Y")</f>
        <v>#NAME?</v>
      </c>
      <c r="AK617" s="2" t="e">
        <f ca="1">_xll.BDH($C$603,"BVPS_GROWTH","FQ4 2016","FQ4 2016","Currency=INR","Period=FQ","BEST_FPERIOD_OVERRIDE=FQ","FILING_STATUS=OR","EQY_CONSOLIDATED=Y","Sort=A","Dates=H","DateFormat=P","Fill=—","Direction=H","UseDPDF=Y")</f>
        <v>#NAME?</v>
      </c>
      <c r="AL617" s="2" t="e">
        <f ca="1">_xll.BDH($C$603,"CASH_FLOW_GROWTH","FQ4 2016","FQ4 2016","Currency=INR","Period=FQ","BEST_FPERIOD_OVERRIDE=FQ","FILING_STATUS=OR","EQY_CONSOLIDATED=Y","Sort=A","Dates=H","DateFormat=P","Fill=—","Direction=H","UseDPDF=Y")</f>
        <v>#NAME?</v>
      </c>
      <c r="AM617" s="2" t="e">
        <f ca="1">_xll.BDH($C$603,"GEO_GROW_NET_SALES","FQ4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17" s="2" t="e">
        <f ca="1">_xll.BDH($C$603,"GEO_GROW_EBITDA","FQ4 2016","FQ4 2016","Currency=INR","Period=FQ","BEST_FPERIOD_OVERRIDE=FQ","FILING_STATUS=OR","EQY_CONSOLIDATED=Y","FA_ADJUSTED=GAAP","Sort=A","Dates=H","DateFormat=P","Fill=—","Direction=H","UseDPDF=Y")</f>
        <v>#NAME?</v>
      </c>
      <c r="AO617" s="2" t="e">
        <f ca="1">_xll.BDH($C$603,"GEO_GROW_OPER_INC","FQ4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17" s="2" t="e">
        <f ca="1">_xll.BDH($C$603,"NET_INCOME_TO_COMMON_5_YR_GROWTH","FQ4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17" s="2" t="e">
        <f ca="1">_xll.BDH($C$603,"5Y_GEO_GROWTH_DILUTED_EPS","FQ4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17" s="2" t="e">
        <f ca="1">_xll.BDH($C$603,"GEO_GROW_DVD_PER_SH","FQ4 2016","FQ4 2016","Currency=INR","Period=FQ","BEST_FPERIOD_OVERRIDE=FQ","FILING_STATUS=OR","EQY_CONSOLIDATED=Y","Sort=A","Dates=H","DateFormat=P","Fill=—","Direction=H","UseDPDF=Y")</f>
        <v>#NAME?</v>
      </c>
      <c r="AS617" s="2" t="e">
        <f ca="1">_xll.BDH($C$603,"ACCOUNTS_RECEIVABLE_5_YR_GROWTH","FQ4 2016","FQ4 2016","Currency=INR","Period=FQ","BEST_FPERIOD_OVERRIDE=FQ","FILING_STATUS=OR","EQY_CONSOLIDATED=Y","Sort=A","Dates=H","DateFormat=P","Fill=—","Direction=H","UseDPDF=Y")</f>
        <v>#NAME?</v>
      </c>
      <c r="AT617" s="2" t="e">
        <f ca="1">_xll.BDH($C$603,"INVENTORY_5_YEAR_GROWTH","FQ4 2016","FQ4 2016","Currency=INR","Period=FQ","BEST_FPERIOD_OVERRIDE=FQ","FILING_STATUS=OR","EQY_CONSOLIDATED=Y","Sort=A","Dates=H","DateFormat=P","Fill=—","Direction=H","UseDPDF=Y")</f>
        <v>#NAME?</v>
      </c>
      <c r="AU617" s="2" t="e">
        <f ca="1">_xll.BDH($C$603,"NET_FIXED_ASSETS_5_YEAR_GROWTH","FQ4 2016","FQ4 2016","Currency=INR","Period=FQ","BEST_FPERIOD_OVERRIDE=FQ","FILING_STATUS=OR","EQY_CONSOLIDATED=Y","Sort=A","Dates=H","DateFormat=P","Fill=—","Direction=H","UseDPDF=Y")</f>
        <v>#NAME?</v>
      </c>
      <c r="AV617" s="2" t="e">
        <f ca="1">_xll.BDH($C$603,"GEO_GROW_TOT_ASSET","FQ4 2016","FQ4 2016","Currency=INR","Period=FQ","BEST_FPERIOD_OVERRIDE=FQ","FILING_STATUS=OR","EQY_CONSOLIDATED=Y","Sort=A","Dates=H","DateFormat=P","Fill=—","Direction=H","UseDPDF=Y")</f>
        <v>#NAME?</v>
      </c>
      <c r="AW617" s="2" t="e">
        <f ca="1">_xll.BDH($C$603,"MODIFIED_WORKING_CPTL_5YR_GRWTH","FQ4 2016","FQ4 2016","Currency=INR","Period=FQ","BEST_FPERIOD_OVERRIDE=FQ","FILING_STATUS=OR","EQY_CONSOLIDATED=Y","Sort=A","Dates=H","DateFormat=P","Fill=—","Direction=H","UseDPDF=Y")</f>
        <v>#NAME?</v>
      </c>
      <c r="AX617" s="2" t="e">
        <f ca="1">_xll.BDH($C$603,"WORKING_CAPITAL_5_YEAR_GROWTH","FQ4 2016","FQ4 2016","Currency=INR","Period=FQ","BEST_FPERIOD_OVERRIDE=FQ","FILING_STATUS=OR","EQY_CONSOLIDATED=Y","Sort=A","Dates=H","DateFormat=P","Fill=—","Direction=H","UseDPDF=Y")</f>
        <v>#NAME?</v>
      </c>
      <c r="AY617" s="2" t="e">
        <f ca="1">_xll.BDH($C$603,"ACCOUNTS_PAYABLE_5_YEAR_GROWTH","FQ4 2016","FQ4 2016","Currency=INR","Period=FQ","BEST_FPERIOD_OVERRIDE=FQ","FILING_STATUS=OR","EQY_CONSOLIDATED=Y","Sort=A","Dates=H","DateFormat=P","Fill=—","Direction=H","UseDPDF=Y")</f>
        <v>#NAME?</v>
      </c>
      <c r="AZ617" s="2" t="e">
        <f ca="1">_xll.BDH($C$603,"SHORT_TERM_DEBT_5_YEAR_GROWTH","FQ4 2016","FQ4 2016","Currency=INR","Period=FQ","BEST_FPERIOD_OVERRIDE=FQ","FILING_STATUS=OR","EQY_CONSOLIDATED=Y","Sort=A","Dates=H","DateFormat=P","Fill=—","Direction=H","UseDPDF=Y")</f>
        <v>#NAME?</v>
      </c>
      <c r="BA617" s="2" t="e">
        <f ca="1">_xll.BDH($C$603,"TOTAL_DEBT_5_YEAR_GROWTH","FQ4 2016","FQ4 2016","Currency=INR","Period=FQ","BEST_FPERIOD_OVERRIDE=FQ","FILING_STATUS=OR","EQY_CONSOLIDATED=Y","Sort=A","Dates=H","DateFormat=P","Fill=—","Direction=H","UseDPDF=Y")</f>
        <v>#NAME?</v>
      </c>
      <c r="BB617" s="2" t="e">
        <f ca="1">_xll.BDH($C$603,"GEO_GROW_TOT_SHRHLDR_EQY","FQ4 2016","FQ4 2016","Currency=INR","Period=FQ","BEST_FPERIOD_OVERRIDE=FQ","FILING_STATUS=OR","EQY_CONSOLIDATED=Y","Sort=A","Dates=H","DateFormat=P","Fill=—","Direction=H","UseDPDF=Y")</f>
        <v>#NAME?</v>
      </c>
      <c r="BC617" s="2" t="e">
        <f ca="1">_xll.BDH($C$603,"TOTAL_CAPITAL_5_YEAR_GROWTH","FQ4 2016","FQ4 2016","Currency=INR","Period=FQ","BEST_FPERIOD_OVERRIDE=FQ","FILING_STATUS=OR","EQY_CONSOLIDATED=Y","Sort=A","Dates=H","DateFormat=P","Fill=—","Direction=H","UseDPDF=Y")</f>
        <v>#NAME?</v>
      </c>
      <c r="BD617" s="2" t="e">
        <f ca="1">_xll.BDH($C$603,"GEO_GROW_BOOK_VAL","FQ4 2016","FQ4 2016","Currency=INR","Period=FQ","BEST_FPERIOD_OVERRIDE=FQ","FILING_STATUS=OR","EQY_CONSOLIDATED=Y","Sort=A","Dates=H","DateFormat=P","Fill=—","Direction=H","UseDPDF=Y")</f>
        <v>#NAME?</v>
      </c>
      <c r="BE617" s="2" t="e">
        <f ca="1">_xll.BDH($C$603,"GEO_GROW_CASH_OPER_ACT","FQ4 2016","FQ4 2016","Currency=INR","Period=FQ","BEST_FPERIOD_OVERRIDE=FQ","FILING_STATUS=OR","EQY_CONSOLIDATED=Y","Sort=A","Dates=H","DateFormat=P","Fill=—","Direction=H","UseDPDF=Y")</f>
        <v>#NAME?</v>
      </c>
      <c r="BF617" s="2" t="e">
        <f ca="1">_xll.BDH($C$603,"REVENUE_SEQUENTIAL_GROWTH","FQ4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17" s="2" t="e">
        <f ca="1">_xll.BDH($C$603,"EBITDA_SEQUENTIAL_GROWTH","FQ4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17" s="2" t="e">
        <f ca="1">_xll.BDH($C$603,"OPERATING_INCOME_SEQ_GROWTH","FQ4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17" s="2" t="e">
        <f ca="1">_xll.BDH($C$603,"NET_INCOME_TO_COMMON_SEQ_GROWTH","FQ4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17" s="2" t="e">
        <f ca="1">_xll.BDH($C$603,"EPS_DILUTED_SEQUENTIAL_GROWTH","FQ4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17" s="2" t="e">
        <f ca="1">_xll.BDH($C$603,"DPS_SEQUENTIAL_GROWTH","FQ4 2016","FQ4 2016","Currency=INR","Period=FQ","BEST_FPERIOD_OVERRIDE=FQ","FILING_STATUS=OR","EQY_CONSOLIDATED=Y","Sort=A","Dates=H","DateFormat=P","Fill=—","Direction=H","UseDPDF=Y")</f>
        <v>#NAME?</v>
      </c>
      <c r="BL617" s="2" t="e">
        <f ca="1">_xll.BDH($C$603,"ACCOUNTS_RECEIVABLE_SEQ_GROWTH","FQ4 2016","FQ4 2016","Currency=INR","Period=FQ","BEST_FPERIOD_OVERRIDE=FQ","FILING_STATUS=OR","EQY_CONSOLIDATED=Y","Sort=A","Dates=H","DateFormat=P","Fill=—","Direction=H","UseDPDF=Y")</f>
        <v>#NAME?</v>
      </c>
      <c r="BM617" s="2" t="e">
        <f ca="1">_xll.BDH($C$603,"INVENTORY_SEQUENTIAL_GROWTH","FQ4 2016","FQ4 2016","Currency=INR","Period=FQ","BEST_FPERIOD_OVERRIDE=FQ","FILING_STATUS=OR","EQY_CONSOLIDATED=Y","Sort=A","Dates=H","DateFormat=P","Fill=—","Direction=H","UseDPDF=Y")</f>
        <v>#NAME?</v>
      </c>
      <c r="BN617" s="2" t="e">
        <f ca="1">_xll.BDH($C$603,"FIXED_ASSETS_SEQUENTIAL_GROWTH","FQ4 2016","FQ4 2016","Currency=INR","Period=FQ","BEST_FPERIOD_OVERRIDE=FQ","FILING_STATUS=OR","EQY_CONSOLIDATED=Y","Sort=A","Dates=H","DateFormat=P","Fill=—","Direction=H","UseDPDF=Y")</f>
        <v>#NAME?</v>
      </c>
      <c r="BO617" s="2" t="e">
        <f ca="1">_xll.BDH($C$603,"TOTAL_ASSETS_SEQUENTIAL_GROWTH","FQ4 2016","FQ4 2016","Currency=INR","Period=FQ","BEST_FPERIOD_OVERRIDE=FQ","FILING_STATUS=OR","EQY_CONSOLIDATED=Y","Sort=A","Dates=H","DateFormat=P","Fill=—","Direction=H","UseDPDF=Y")</f>
        <v>#NAME?</v>
      </c>
      <c r="BP617" s="2" t="e">
        <f ca="1">_xll.BDH($C$603,"MODIFIED_WORKING_CPTL_SEQ_GRWTH","FQ4 2016","FQ4 2016","Currency=INR","Period=FQ","BEST_FPERIOD_OVERRIDE=FQ","FILING_STATUS=OR","EQY_CONSOLIDATED=Y","Sort=A","Dates=H","DateFormat=P","Fill=—","Direction=H","UseDPDF=Y")</f>
        <v>#NAME?</v>
      </c>
      <c r="BQ617" s="2" t="e">
        <f ca="1">_xll.BDH($C$603,"WORKING_CAPITAL_SEQ_GROWTH","FQ4 2016","FQ4 2016","Currency=INR","Period=FQ","BEST_FPERIOD_OVERRIDE=FQ","FILING_STATUS=OR","EQY_CONSOLIDATED=Y","Sort=A","Dates=H","DateFormat=P","Fill=—","Direction=H","UseDPDF=Y")</f>
        <v>#NAME?</v>
      </c>
      <c r="BR617" s="2" t="e">
        <f ca="1">_xll.BDH($C$603,"ACCOUNTS_PAYABLE_SEQ_GROWTH","FQ4 2016","FQ4 2016","Currency=INR","Period=FQ","BEST_FPERIOD_OVERRIDE=FQ","FILING_STATUS=OR","EQY_CONSOLIDATED=Y","Sort=A","Dates=H","DateFormat=P","Fill=—","Direction=H","UseDPDF=Y")</f>
        <v>#NAME?</v>
      </c>
      <c r="BS617" s="2" t="e">
        <f ca="1">_xll.BDH($C$603,"ST_DEBT_SEQUENTIAL_GROWTH","FQ4 2016","FQ4 2016","Currency=INR","Period=FQ","BEST_FPERIOD_OVERRIDE=FQ","FILING_STATUS=OR","EQY_CONSOLIDATED=Y","Sort=A","Dates=H","DateFormat=P","Fill=—","Direction=H","UseDPDF=Y")</f>
        <v>#NAME?</v>
      </c>
      <c r="BT617" s="2" t="e">
        <f ca="1">_xll.BDH($C$603,"TOTAL_DEBT_SEQUENTIAL_GROWTH","FQ4 2016","FQ4 2016","Currency=INR","Period=FQ","BEST_FPERIOD_OVERRIDE=FQ","FILING_STATUS=OR","EQY_CONSOLIDATED=Y","Sort=A","Dates=H","DateFormat=P","Fill=—","Direction=H","UseDPDF=Y")</f>
        <v>#NAME?</v>
      </c>
      <c r="BU617" s="2" t="e">
        <f ca="1">_xll.BDH($C$603,"TOTAL_EQUITY_SEQUENTIAL_GROWTH","FQ4 2016","FQ4 2016","Currency=INR","Period=FQ","BEST_FPERIOD_OVERRIDE=FQ","FILING_STATUS=OR","EQY_CONSOLIDATED=Y","Sort=A","Dates=H","DateFormat=P","Fill=—","Direction=H","UseDPDF=Y")</f>
        <v>#NAME?</v>
      </c>
      <c r="BV617" s="2" t="e">
        <f ca="1">_xll.BDH($C$603,"TOTAL_CAPITAL_SEQUENTIAL_GROWTH","FQ4 2016","FQ4 2016","Currency=INR","Period=FQ","BEST_FPERIOD_OVERRIDE=FQ","FILING_STATUS=OR","EQY_CONSOLIDATED=Y","Sort=A","Dates=H","DateFormat=P","Fill=—","Direction=H","UseDPDF=Y")</f>
        <v>#NAME?</v>
      </c>
      <c r="BW617" s="2" t="e">
        <f ca="1">_xll.BDH($C$603,"BPS_SEQUENTIAL_GROWTH","FQ4 2016","FQ4 2016","Currency=INR","Period=FQ","BEST_FPERIOD_OVERRIDE=FQ","FILING_STATUS=OR","EQY_CONSOLIDATED=Y","Sort=A","Dates=H","DateFormat=P","Fill=—","Direction=H","UseDPDF=Y")</f>
        <v>#NAME?</v>
      </c>
      <c r="BX617" s="2" t="e">
        <f ca="1">_xll.BDH($C$603,"CFO_SEQUENTIAL_GROWTH","FQ4 2016","FQ4 2016","Currency=INR","Period=FQ","BEST_FPERIOD_OVERRIDE=FQ","FILING_STATUS=OR","EQY_CONSOLIDATED=Y","Sort=A","Dates=H","DateFormat=P","Fill=—","Direction=H","UseDPDF=Y")</f>
        <v>#NAME?</v>
      </c>
      <c r="BY617" s="3" t="e">
        <f ca="1">_xll.BDH($C$603,"SHORT_AND_LONG_TERM_DEBT","FQ4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17" s="3" t="e">
        <f ca="1">_xll.BDH($C$603,"BS_ST_BORROW","FQ4 2016","FQ4 2016","Currency=INR","Period=FQ","BEST_FPERIOD_OVERRIDE=FQ","FILING_STATUS=OR","EQY_CONSOLIDATED=Y","SCALING_FORMAT=MLN","Sort=A","Dates=H","DateFormat=P","Fill=—","Direction=H","UseDPDF=Y")</f>
        <v>#NAME?</v>
      </c>
      <c r="CA617" s="3" t="e">
        <f ca="1">_xll.BDH($C$603,"BS_LT_BORROW","FQ4 2016","FQ4 2016","Currency=INR","Period=FQ","BEST_FPERIOD_OVERRIDE=FQ","FILING_STATUS=OR","EQY_CONSOLIDATED=Y","SCALING_FORMAT=MLN","Sort=A","Dates=H","DateFormat=P","Fill=—","Direction=H","UseDPDF=Y")</f>
        <v>#NAME?</v>
      </c>
      <c r="CB617" s="2" t="e">
        <f ca="1">_xll.BDH($C$603,"TOT_DEBT_TO_EBITDA","FQ4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17" s="2" t="e">
        <f ca="1">_xll.BDH($C$603,"NET_DEBT_TO_EBITDA","FQ4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17" s="2" t="e">
        <f ca="1">_xll.BDH($C$603,"TOTAL_DEBT_TO_EBIT","FQ4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17" s="2" t="e">
        <f ca="1">_xll.BDH($C$603,"NET_DEBT_TO_EBIT","FQ4 2016","FQ4 2016","Currency=INR","Period=FQ","BEST_FPERIOD_OVERRIDE=FQ","FILING_STATUS=OR","EQY_CONSOLIDATED=Y","FA_ADJUSTED=GAAP","Sort=A","Dates=H","DateFormat=P","Fill=—","Direction=H","UseDPDF=Y")</f>
        <v>#NAME?</v>
      </c>
      <c r="CF617" s="2" t="e">
        <f ca="1">_xll.BDH($C$603,"EBITDA_TO_INTEREST_EXPN","FQ4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17" s="2" t="e">
        <f ca="1">_xll.BDH($C$603,"COM_EQY_TO_TOT_ASSET","FQ4 2016","FQ4 2016","Currency=INR","Period=FQ","BEST_FPERIOD_OVERRIDE=FQ","FILING_STATUS=OR","EQY_CONSOLIDATED=Y","Sort=A","Dates=H","DateFormat=P","Fill=—","Direction=H","UseDPDF=Y")</f>
        <v>#NAME?</v>
      </c>
      <c r="CH617" s="2" t="e">
        <f ca="1">_xll.BDH($C$603,"LT_DEBT_TO_TOT_EQY","FQ4 2016","FQ4 2016","Currency=INR","Period=FQ","BEST_FPERIOD_OVERRIDE=FQ","FILING_STATUS=OR","EQY_CONSOLIDATED=Y","Sort=A","Dates=H","DateFormat=P","Fill=—","Direction=H","UseDPDF=Y")</f>
        <v>#NAME?</v>
      </c>
      <c r="CI617" s="2" t="e">
        <f ca="1">_xll.BDH($C$603,"LT_DEBT_TO_TOT_CAP","FQ4 2016","FQ4 2016","Currency=INR","Period=FQ","BEST_FPERIOD_OVERRIDE=FQ","FILING_STATUS=OR","EQY_CONSOLIDATED=Y","Sort=A","Dates=H","DateFormat=P","Fill=—","Direction=H","UseDPDF=Y")</f>
        <v>#NAME?</v>
      </c>
      <c r="CJ617" s="2" t="e">
        <f ca="1">_xll.BDH($C$603,"LT_DEBT_TO_TOT_ASSET","FQ4 2016","FQ4 2016","Currency=INR","Period=FQ","BEST_FPERIOD_OVERRIDE=FQ","FILING_STATUS=OR","EQY_CONSOLIDATED=Y","Sort=A","Dates=H","DateFormat=P","Fill=—","Direction=H","UseDPDF=Y")</f>
        <v>#NAME?</v>
      </c>
      <c r="CK617" s="2" t="e">
        <f ca="1">_xll.BDH($C$603,"TOT_DEBT_TO_TOT_EQY","FQ4 2016","FQ4 2016","Currency=INR","Period=FQ","BEST_FPERIOD_OVERRIDE=FQ","FILING_STATUS=OR","EQY_CONSOLIDATED=Y","Sort=A","Dates=H","DateFormat=P","Fill=—","Direction=H","UseDPDF=Y")</f>
        <v>#NAME?</v>
      </c>
      <c r="CL617" s="2" t="e">
        <f ca="1">_xll.BDH($C$603,"TOT_DEBT_TO_TOT_CAP","FQ4 2016","FQ4 2016","Currency=INR","Period=FQ","BEST_FPERIOD_OVERRIDE=FQ","FILING_STATUS=OR","EQY_CONSOLIDATED=Y","Sort=A","Dates=H","DateFormat=P","Fill=—","Direction=H","UseDPDF=Y")</f>
        <v>#NAME?</v>
      </c>
      <c r="CM617" s="2" t="e">
        <f ca="1">_xll.BDH($C$603,"TOT_DEBT_TO_TOT_ASSET","FQ4 2016","FQ4 2016","Currency=INR","Period=FQ","BEST_FPERIOD_OVERRIDE=FQ","FILING_STATUS=OR","EQY_CONSOLIDATED=Y","Sort=A","Dates=H","DateFormat=P","Fill=—","Direction=H","UseDPDF=Y")</f>
        <v>#NAME?</v>
      </c>
      <c r="CN617" s="2" t="e">
        <f ca="1">_xll.BDH($C$603,"NET_DEBT_TO_SHRHLDR_EQTY","FQ4 2016","FQ4 2016","Currency=INR","Period=FQ","BEST_FPERIOD_OVERRIDE=FQ","FILING_STATUS=OR","EQY_CONSOLIDATED=Y","Sort=A","Dates=H","DateFormat=P","Fill=—","Direction=H","UseDPDF=Y")</f>
        <v>#NAME?</v>
      </c>
      <c r="CO617" s="2" t="e">
        <f ca="1">_xll.BDH($C$603,"NET_DEBT_%_CAPITAL","FQ4 2016","FQ4 2016","Currency=INR","Period=FQ","BEST_FPERIOD_OVERRIDE=FQ","FILING_STATUS=OR","EQY_CONSOLIDATED=Y","Sort=A","Dates=H","DateFormat=P","Fill=—","Direction=H","UseDPDF=Y")</f>
        <v>#NAME?</v>
      </c>
      <c r="CP617" s="3" t="e">
        <f ca="1">_xll.BDH($C$603,"EBITDA","FQ4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17" s="3" t="e">
        <f ca="1">_xll.BDH($C$603,"EBITDA_AFTER_CAPEX","FQ4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17" s="3" t="e">
        <f ca="1">_xll.BDH($C$603,"IS_OPER_INC","FQ4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17" s="2" t="e">
        <f ca="1">_xll.BDH($C$603,"CASH_RATIO","FQ4 2016","FQ4 2016","Currency=INR","Period=FQ","BEST_FPERIOD_OVERRIDE=FQ","FILING_STATUS=OR","EQY_CONSOLIDATED=Y","Sort=A","Dates=H","DateFormat=P","Fill=—","Direction=H","UseDPDF=Y")</f>
        <v>#NAME?</v>
      </c>
      <c r="CT617" s="2" t="e">
        <f ca="1">_xll.BDH($C$603,"CUR_RATIO","FQ4 2016","FQ4 2016","Currency=INR","Period=FQ","BEST_FPERIOD_OVERRIDE=FQ","FILING_STATUS=OR","EQY_CONSOLIDATED=Y","Sort=A","Dates=H","DateFormat=P","Fill=—","Direction=H","UseDPDF=Y")</f>
        <v>#NAME?</v>
      </c>
      <c r="CU617" s="2" t="e">
        <f ca="1">_xll.BDH($C$603,"QUICK_RATIO","FQ4 2016","FQ4 2016","Currency=INR","Period=FQ","BEST_FPERIOD_OVERRIDE=FQ","FILING_STATUS=OR","EQY_CONSOLIDATED=Y","Sort=A","Dates=H","DateFormat=P","Fill=—","Direction=H","UseDPDF=Y")</f>
        <v>#NAME?</v>
      </c>
      <c r="CV617" s="2" t="e">
        <f ca="1">_xll.BDH($C$603,"ALTMAN_Z_SCORE","FQ4 2016","FQ4 2016","Currency=INR","Period=FQ","BEST_FPERIOD_OVERRIDE=FQ","FILING_STATUS=OR","EQY_CONSOLIDATED=Y","Sort=A","Dates=H","DateFormat=P","Fill=—","Direction=H","UseDPDF=Y")</f>
        <v>#NAME?</v>
      </c>
      <c r="CW617" s="4" t="e">
        <f ca="1">_xll.BDH($C$603,"ACCT_RCV_TURN","FQ4 2016","FQ4 2016","Currency=INR","Period=FQ","BEST_FPERIOD_OVERRIDE=FQ","FILING_STATUS=OR","EQY_CONSOLIDATED=Y","FA_ADJUSTED=GAAP","Sort=A","Dates=H","DateFormat=P","Fill=—","Direction=H","UseDPDF=Y")</f>
        <v>#NAME?</v>
      </c>
      <c r="CX617" s="2" t="e">
        <f ca="1">_xll.BDH($C$603,"ACCT_RCV_DAYS","FQ4 2016","FQ4 2016","Currency=INR","Period=FQ","BEST_FPERIOD_OVERRIDE=FQ","FILING_STATUS=OR","EQY_CONSOLIDATED=Y","FA_ADJUSTED=GAAP","Sort=A","Dates=H","DateFormat=P","Fill=—","Direction=H","UseDPDF=Y")</f>
        <v>#NAME?</v>
      </c>
      <c r="CY617" s="4" t="e">
        <f ca="1">_xll.BDH($C$603,"INVENT_TURN","FQ4 2016","FQ4 2016","Currency=INR","Period=FQ","BEST_FPERIOD_OVERRIDE=FQ","FILING_STATUS=OR","EQY_CONSOLIDATED=Y","FA_ADJUSTED=GAAP","Sort=A","Dates=H","DateFormat=P","Fill=—","Direction=H","UseDPDF=Y")</f>
        <v>#NAME?</v>
      </c>
      <c r="CZ617" s="2" t="e">
        <f ca="1">_xll.BDH($C$603,"INVENT_DAYS","FQ4 2016","FQ4 2016","Currency=INR","Period=FQ","BEST_FPERIOD_OVERRIDE=FQ","FILING_STATUS=OR","EQY_CONSOLIDATED=Y","FA_ADJUSTED=GAAP","Sort=A","Dates=H","DateFormat=P","Fill=—","Direction=H","UseDPDF=Y")</f>
        <v>#NAME?</v>
      </c>
      <c r="DA617" s="4" t="e">
        <f ca="1">_xll.BDH($C$603,"ACCOUNTS_PAYABLE_TURNOVER","FQ4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17" s="2" t="e">
        <f ca="1">_xll.BDH($C$603,"ACCOUNTS_PAYABLE_TURNOVER_DAYS","FQ4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17" s="4" t="e">
        <f ca="1">_xll.BDH($C$603,"CASH_CONVERSION_CYCLE","FQ4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17" s="4" t="e">
        <f ca="1">_xll.BDH($C$603,"INV_TO_CASH_DAYS","FQ4 2016","FQ4 2016","Currency=INR","Period=FQ","BEST_FPERIOD_OVERRIDE=FQ","FILING_STATUS=OR","EQY_CONSOLIDATED=Y","FA_ADJUSTED=GAAP","Sort=A","Dates=H","DateFormat=P","Fill=—","Direction=H","UseDPDF=Y")</f>
        <v>#NAME?</v>
      </c>
      <c r="DE617" s="5" t="e">
        <f ca="1">_xll.BDH($C$603,"BS_INVENTORIES","FQ4 2016","FQ4 2016","Currency=INR","Period=FQ","BEST_FPERIOD_OVERRIDE=FQ","FILING_STATUS=OR","EQY_CONSOLIDATED=Y","SCALING_FORMAT=MLN","Sort=A","Dates=H","DateFormat=P","Fill=—","Direction=H","UseDPDF=Y")</f>
        <v>#NAME?</v>
      </c>
      <c r="DF617" s="3" t="e">
        <f ca="1">_xll.BDH($C$603,"INVTRY_RAW_MATERIALS","FQ4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17" s="3" t="e">
        <f ca="1">_xll.BDH($C$603,"INVTRY_IN_PROGRESS","FQ4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17" s="3" t="e">
        <f ca="1">_xll.BDH($C$603,"INVTRY_FINISHED_GOODS","FQ4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17" s="3" t="e">
        <f ca="1">_xll.BDH($C$603,"BS_OTHER_INV","FQ4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18" spans="1:113" x14ac:dyDescent="0.3">
      <c r="A618" s="6"/>
      <c r="B618" s="6"/>
      <c r="C618" s="6"/>
      <c r="D618" s="6" t="s">
        <v>84</v>
      </c>
      <c r="E618" t="s">
        <v>77</v>
      </c>
      <c r="F618" t="e">
        <f ca="1">_xll.BDH($C$603,"RETURN_COM_EQY","FY 2017","FY 2017","Currency=INR","Period=FY","BEST_FPERIOD_OVERRIDE=FY","FILING_STATUS=OR","EQY_CONSOLIDATED=Y","FA_ADJUSTED=GAAP","Sort=A","Dates=H","DateFormat=P","Fill=—","Direction=H","UseDPDF=Y")</f>
        <v>#NAME?</v>
      </c>
      <c r="G618" t="e">
        <f ca="1">_xll.BDH($C$603,"RETURN_ON_ASSET","FY 2017","FY 2017","Currency=INR","Period=FY","BEST_FPERIOD_OVERRIDE=FY","FILING_STATUS=OR","EQY_CONSOLIDATED=Y","FA_ADJUSTED=GAAP","Sort=A","Dates=H","DateFormat=P","Fill=—","Direction=H","UseDPDF=Y")</f>
        <v>#NAME?</v>
      </c>
      <c r="H618" t="e">
        <f ca="1">_xll.BDH($C$603,"RETURN_ON_CAP","FY 2017","FY 2017","Currency=INR","Period=FY","BEST_FPERIOD_OVERRIDE=FY","FILING_STATUS=OR","EQY_CONSOLIDATED=Y","FA_ADJUSTED=GAAP","Sort=A","Dates=H","DateFormat=P","Fill=—","Direction=H","UseDPDF=Y")</f>
        <v>#NAME?</v>
      </c>
      <c r="I618" t="e">
        <f ca="1">_xll.BDH($C$603,"RETURN_ON_INV_CAPITAL","FY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18" t="e">
        <f ca="1">_xll.BDH($C$603,"EBITDA_TO_REVENUE","FY 2017","FY 2017","Currency=INR","Period=FY","BEST_FPERIOD_OVERRIDE=FY","FILING_STATUS=OR","EQY_CONSOLIDATED=Y","FA_ADJUSTED=GAAP","Sort=A","Dates=H","DateFormat=P","Fill=—","Direction=H","UseDPDF=Y")</f>
        <v>#NAME?</v>
      </c>
      <c r="K618" t="e">
        <f ca="1">_xll.BDH($C$603,"OPER_MARGIN","FY 2017","FY 2017","Currency=INR","Period=FY","BEST_FPERIOD_OVERRIDE=FY","FILING_STATUS=OR","EQY_CONSOLIDATED=Y","FA_ADJUSTED=GAAP","Sort=A","Dates=H","DateFormat=P","Fill=—","Direction=H","UseDPDF=Y")</f>
        <v>#NAME?</v>
      </c>
      <c r="L618" t="e">
        <f ca="1">_xll.BDH($C$603,"INCREMENTAL_OPERATING_MARGIN","FY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18" t="e">
        <f ca="1">_xll.BDH($C$603,"PRETAX_INC_TO_NET_SALES","FY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18" t="e">
        <f ca="1">_xll.BDH($C$603,"INC_BEF_XO_ITEMS_TO_NET_SALES","FY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18" t="e">
        <f ca="1">_xll.BDH($C$603,"PROF_MARGIN","FY 2017","FY 2017","Currency=INR","Period=FY","BEST_FPERIOD_OVERRIDE=FY","FILING_STATUS=OR","EQY_CONSOLIDATED=Y","FA_ADJUSTED=GAAP","Sort=A","Dates=H","DateFormat=P","Fill=—","Direction=H","UseDPDF=Y")</f>
        <v>#NAME?</v>
      </c>
      <c r="P618" t="e">
        <f ca="1">_xll.BDH($C$603,"NET_INCOME_TO_COMMON_MARGIN","FY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18" t="e">
        <f ca="1">_xll.BDH($C$603,"EFF_TAX_RATE","FY 2017","FY 2017","Currency=INR","Period=FY","BEST_FPERIOD_OVERRIDE=FY","FILING_STATUS=OR","EQY_CONSOLIDATED=Y","FA_ADJUSTED=GAAP","Sort=A","Dates=H","DateFormat=P","Fill=—","Direction=H","UseDPDF=Y")</f>
        <v>#NAME?</v>
      </c>
      <c r="R618" t="e">
        <f ca="1">_xll.BDH($C$603,"DVD_PAYOUT_RATIO","FY 2017","FY 2017","Currency=INR","Period=FY","BEST_FPERIOD_OVERRIDE=FY","FILING_STATUS=OR","EQY_CONSOLIDATED=Y","FA_ADJUSTED=GAAP","Sort=A","Dates=H","DateFormat=P","Fill=—","Direction=H","UseDPDF=Y")</f>
        <v>#NAME?</v>
      </c>
      <c r="S618" t="e">
        <f ca="1">_xll.BDH($C$603,"SUSTAIN_GROWTH_RT","FY 2017","FY 2017","Currency=INR","Period=FY","BEST_FPERIOD_OVERRIDE=FY","FILING_STATUS=OR","EQY_CONSOLIDATED=Y","FA_ADJUSTED=GAAP","Sort=A","Dates=H","DateFormat=P","Fill=—","Direction=H","UseDPDF=Y")</f>
        <v>#NAME?</v>
      </c>
      <c r="T618" s="2" t="e">
        <f ca="1">_xll.BDH($C$603,"SALES_GROWTH","FY 2017","FY 2017","Currency=INR","Period=FY","BEST_FPERIOD_OVERRIDE=FY","FILING_STATUS=OR","EQY_CONSOLIDATED=Y","FA_ADJUSTED=GAAP","Sort=A","Dates=H","DateFormat=P","Fill=—","Direction=H","UseDPDF=Y")</f>
        <v>#NAME?</v>
      </c>
      <c r="U618" s="2" t="e">
        <f ca="1">_xll.BDH($C$603,"EBITDA_GROWTH","FY 2017","FY 2017","Currency=INR","Period=FY","BEST_FPERIOD_OVERRIDE=FY","FILING_STATUS=OR","EQY_CONSOLIDATED=Y","FA_ADJUSTED=GAAP","Sort=A","Dates=H","DateFormat=P","Fill=—","Direction=H","UseDPDF=Y")</f>
        <v>#NAME?</v>
      </c>
      <c r="V618" s="2" t="e">
        <f ca="1">_xll.BDH($C$603,"OPER_INC_GROWTH","FY 2017","FY 2017","Currency=INR","Period=FY","BEST_FPERIOD_OVERRIDE=FY","FILING_STATUS=OR","EQY_CONSOLIDATED=Y","FA_ADJUSTED=GAAP","Sort=A","Dates=H","DateFormat=P","Fill=—","Direction=H","UseDPDF=Y")</f>
        <v>#NAME?</v>
      </c>
      <c r="W618" s="2" t="e">
        <f ca="1">_xll.BDH($C$603,"EARN_FOR_COM_GROWTH","FY 2017","FY 2017","Currency=INR","Period=FY","BEST_FPERIOD_OVERRIDE=FY","FILING_STATUS=OR","EQY_CONSOLIDATED=Y","FA_ADJUSTED=GAAP","Sort=A","Dates=H","DateFormat=P","Fill=—","Direction=H","UseDPDF=Y")</f>
        <v>#NAME?</v>
      </c>
      <c r="X618" s="2" t="e">
        <f ca="1">_xll.BDH($C$603,"DILUTED_EPS_AFT_XO_ITEMS_GROWTH","FY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18" s="2" t="e">
        <f ca="1">_xll.BDH($C$603,"DIVIDEND_PER_SHARE_1_YEAR_GROWTH","FY 2017","FY 2017","Currency=INR","Period=FY","BEST_FPERIOD_OVERRIDE=FY","FILING_STATUS=OR","EQY_CONSOLIDATED=Y","Sort=A","Dates=H","DateFormat=P","Fill=—","Direction=H","UseDPDF=Y")</f>
        <v>#NAME?</v>
      </c>
      <c r="Z618" s="2" t="e">
        <f ca="1">_xll.BDH($C$603,"ACCOUNTS_RECEIVABLE_GROWTH","FY 2017","FY 2017","Currency=INR","Period=FY","BEST_FPERIOD_OVERRIDE=FY","FILING_STATUS=OR","EQY_CONSOLIDATED=Y","Sort=A","Dates=H","DateFormat=P","Fill=—","Direction=H","UseDPDF=Y")</f>
        <v>#NAME?</v>
      </c>
      <c r="AA618" s="2" t="e">
        <f ca="1">_xll.BDH($C$603,"INVENTORY_GROWTH","FY 2017","FY 2017","Currency=INR","Period=FY","BEST_FPERIOD_OVERRIDE=FY","FILING_STATUS=OR","EQY_CONSOLIDATED=Y","Sort=A","Dates=H","DateFormat=P","Fill=—","Direction=H","UseDPDF=Y")</f>
        <v>#NAME?</v>
      </c>
      <c r="AB618" s="2" t="e">
        <f ca="1">_xll.BDH($C$603,"NET_FIXED_ASSETS_1_YEAR_GROWTH","FY 2017","FY 2017","Currency=INR","Period=FY","BEST_FPERIOD_OVERRIDE=FY","FILING_STATUS=OR","EQY_CONSOLIDATED=Y","Sort=A","Dates=H","DateFormat=P","Fill=—","Direction=H","UseDPDF=Y")</f>
        <v>#NAME?</v>
      </c>
      <c r="AC618" s="2" t="e">
        <f ca="1">_xll.BDH($C$603,"ASSET_GROWTH","FY 2017","FY 2017","Currency=INR","Period=FY","BEST_FPERIOD_OVERRIDE=FY","FILING_STATUS=OR","EQY_CONSOLIDATED=Y","Sort=A","Dates=H","DateFormat=P","Fill=—","Direction=H","UseDPDF=Y")</f>
        <v>#NAME?</v>
      </c>
      <c r="AD618" s="2" t="e">
        <f ca="1">_xll.BDH($C$603,"MODIFIED_WORK_CAP_GROWTH","FY 2017","FY 2017","Currency=INR","Period=FY","BEST_FPERIOD_OVERRIDE=FY","FILING_STATUS=OR","EQY_CONSOLIDATED=Y","Sort=A","Dates=H","DateFormat=P","Fill=—","Direction=H","UseDPDF=Y")</f>
        <v>#NAME?</v>
      </c>
      <c r="AE618" s="2" t="e">
        <f ca="1">_xll.BDH($C$603,"WORK_CAP_GROWTH","FY 2017","FY 2017","Currency=INR","Period=FY","BEST_FPERIOD_OVERRIDE=FY","FILING_STATUS=OR","EQY_CONSOLIDATED=Y","Sort=A","Dates=H","DateFormat=P","Fill=—","Direction=H","UseDPDF=Y")</f>
        <v>#NAME?</v>
      </c>
      <c r="AF618" s="2" t="e">
        <f ca="1">_xll.BDH($C$603,"ACCOUNTS_PAYABLE_GROWTH_1YR","FY 2017","FY 2017","Currency=INR","Period=FY","BEST_FPERIOD_OVERRIDE=FY","FILING_STATUS=OR","EQY_CONSOLIDATED=Y","Sort=A","Dates=H","DateFormat=P","Fill=—","Direction=H","UseDPDF=Y")</f>
        <v>#NAME?</v>
      </c>
      <c r="AG618" s="2" t="e">
        <f ca="1">_xll.BDH($C$603,"SHORT_TERM_DEBT_1_YEAR_GROWTH","FY 2017","FY 2017","Currency=INR","Period=FY","BEST_FPERIOD_OVERRIDE=FY","FILING_STATUS=OR","EQY_CONSOLIDATED=Y","Sort=A","Dates=H","DateFormat=P","Fill=—","Direction=H","UseDPDF=Y")</f>
        <v>#NAME?</v>
      </c>
      <c r="AH618" s="2" t="e">
        <f ca="1">_xll.BDH($C$603,"TOTAL_DEBT_1_YEAR_GROWTH","FY 2017","FY 2017","Currency=INR","Period=FY","BEST_FPERIOD_OVERRIDE=FY","FILING_STATUS=OR","EQY_CONSOLIDATED=Y","Sort=A","Dates=H","DateFormat=P","Fill=—","Direction=H","UseDPDF=Y")</f>
        <v>#NAME?</v>
      </c>
      <c r="AI618" s="2" t="e">
        <f ca="1">_xll.BDH($C$603,"TOTAL_EQUITY_1_YEAR_GROWTH","FY 2017","FY 2017","Currency=INR","Period=FY","BEST_FPERIOD_OVERRIDE=FY","FILING_STATUS=OR","EQY_CONSOLIDATED=Y","Sort=A","Dates=H","DateFormat=P","Fill=—","Direction=H","UseDPDF=Y")</f>
        <v>#NAME?</v>
      </c>
      <c r="AJ618" s="2" t="e">
        <f ca="1">_xll.BDH($C$603,"GROWTH_IN_CAP","FY 2017","FY 2017","Currency=INR","Period=FY","BEST_FPERIOD_OVERRIDE=FY","FILING_STATUS=OR","EQY_CONSOLIDATED=Y","Sort=A","Dates=H","DateFormat=P","Fill=—","Direction=H","UseDPDF=Y")</f>
        <v>#NAME?</v>
      </c>
      <c r="AK618" s="2" t="e">
        <f ca="1">_xll.BDH($C$603,"BVPS_GROWTH","FY 2017","FY 2017","Currency=INR","Period=FY","BEST_FPERIOD_OVERRIDE=FY","FILING_STATUS=OR","EQY_CONSOLIDATED=Y","Sort=A","Dates=H","DateFormat=P","Fill=—","Direction=H","UseDPDF=Y")</f>
        <v>#NAME?</v>
      </c>
      <c r="AL618" s="2" t="e">
        <f ca="1">_xll.BDH($C$603,"CASH_FLOW_GROWTH","FY 2017","FY 2017","Currency=INR","Period=FY","BEST_FPERIOD_OVERRIDE=FY","FILING_STATUS=OR","EQY_CONSOLIDATED=Y","Sort=A","Dates=H","DateFormat=P","Fill=—","Direction=H","UseDPDF=Y")</f>
        <v>#NAME?</v>
      </c>
      <c r="AM618" s="2" t="e">
        <f ca="1">_xll.BDH($C$603,"GEO_GROW_NET_SALES","FY 2017","FY 2017","Currency=INR","Period=FY","BEST_FPERIOD_OVERRIDE=FY","FILING_STATUS=OR","EQY_CONSOLIDATED=Y","FA_ADJUSTED=GAAP","Sort=A","Dates=H","DateFormat=P","Fill=—","Direction=H","UseDPDF=Y")</f>
        <v>#NAME?</v>
      </c>
      <c r="AN618" s="2" t="e">
        <f ca="1">_xll.BDH($C$603,"GEO_GROW_EBITDA","FY 2017","FY 2017","Currency=INR","Period=FY","BEST_FPERIOD_OVERRIDE=FY","FILING_STATUS=OR","EQY_CONSOLIDATED=Y","FA_ADJUSTED=GAAP","Sort=A","Dates=H","DateFormat=P","Fill=—","Direction=H","UseDPDF=Y")</f>
        <v>#NAME?</v>
      </c>
      <c r="AO618" s="2" t="e">
        <f ca="1">_xll.BDH($C$603,"GEO_GROW_OPER_INC","FY 2017","FY 2017","Currency=INR","Period=FY","BEST_FPERIOD_OVERRIDE=FY","FILING_STATUS=OR","EQY_CONSOLIDATED=Y","FA_ADJUSTED=GAAP","Sort=A","Dates=H","DateFormat=P","Fill=—","Direction=H","UseDPDF=Y")</f>
        <v>#NAME?</v>
      </c>
      <c r="AP618" s="2" t="e">
        <f ca="1">_xll.BDH($C$603,"NET_INCOME_TO_COMMON_5_YR_GROWTH","FY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18" s="2" t="e">
        <f ca="1">_xll.BDH($C$603,"5Y_GEO_GROWTH_DILUTED_EPS","FY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18" s="2" t="e">
        <f ca="1">_xll.BDH($C$603,"GEO_GROW_DVD_PER_SH","FY 2017","FY 2017","Currency=INR","Period=FY","BEST_FPERIOD_OVERRIDE=FY","FILING_STATUS=OR","EQY_CONSOLIDATED=Y","Sort=A","Dates=H","DateFormat=P","Fill=—","Direction=H","UseDPDF=Y")</f>
        <v>#NAME?</v>
      </c>
      <c r="AS618" s="2" t="e">
        <f ca="1">_xll.BDH($C$603,"ACCOUNTS_RECEIVABLE_5_YR_GROWTH","FY 2017","FY 2017","Currency=INR","Period=FY","BEST_FPERIOD_OVERRIDE=FY","FILING_STATUS=OR","EQY_CONSOLIDATED=Y","Sort=A","Dates=H","DateFormat=P","Fill=—","Direction=H","UseDPDF=Y")</f>
        <v>#NAME?</v>
      </c>
      <c r="AT618" s="2" t="e">
        <f ca="1">_xll.BDH($C$603,"INVENTORY_5_YEAR_GROWTH","FY 2017","FY 2017","Currency=INR","Period=FY","BEST_FPERIOD_OVERRIDE=FY","FILING_STATUS=OR","EQY_CONSOLIDATED=Y","Sort=A","Dates=H","DateFormat=P","Fill=—","Direction=H","UseDPDF=Y")</f>
        <v>#NAME?</v>
      </c>
      <c r="AU618" s="2" t="e">
        <f ca="1">_xll.BDH($C$603,"NET_FIXED_ASSETS_5_YEAR_GROWTH","FY 2017","FY 2017","Currency=INR","Period=FY","BEST_FPERIOD_OVERRIDE=FY","FILING_STATUS=OR","EQY_CONSOLIDATED=Y","Sort=A","Dates=H","DateFormat=P","Fill=—","Direction=H","UseDPDF=Y")</f>
        <v>#NAME?</v>
      </c>
      <c r="AV618" s="2" t="e">
        <f ca="1">_xll.BDH($C$603,"GEO_GROW_TOT_ASSET","FY 2017","FY 2017","Currency=INR","Period=FY","BEST_FPERIOD_OVERRIDE=FY","FILING_STATUS=OR","EQY_CONSOLIDATED=Y","Sort=A","Dates=H","DateFormat=P","Fill=—","Direction=H","UseDPDF=Y")</f>
        <v>#NAME?</v>
      </c>
      <c r="AW618" s="2" t="e">
        <f ca="1">_xll.BDH($C$603,"MODIFIED_WORKING_CPTL_5YR_GRWTH","FY 2017","FY 2017","Currency=INR","Period=FY","BEST_FPERIOD_OVERRIDE=FY","FILING_STATUS=OR","EQY_CONSOLIDATED=Y","Sort=A","Dates=H","DateFormat=P","Fill=—","Direction=H","UseDPDF=Y")</f>
        <v>#NAME?</v>
      </c>
      <c r="AX618" s="2" t="e">
        <f ca="1">_xll.BDH($C$603,"WORKING_CAPITAL_5_YEAR_GROWTH","FY 2017","FY 2017","Currency=INR","Period=FY","BEST_FPERIOD_OVERRIDE=FY","FILING_STATUS=OR","EQY_CONSOLIDATED=Y","Sort=A","Dates=H","DateFormat=P","Fill=—","Direction=H","UseDPDF=Y")</f>
        <v>#NAME?</v>
      </c>
      <c r="AY618" s="2" t="e">
        <f ca="1">_xll.BDH($C$603,"ACCOUNTS_PAYABLE_5_YEAR_GROWTH","FY 2017","FY 2017","Currency=INR","Period=FY","BEST_FPERIOD_OVERRIDE=FY","FILING_STATUS=OR","EQY_CONSOLIDATED=Y","Sort=A","Dates=H","DateFormat=P","Fill=—","Direction=H","UseDPDF=Y")</f>
        <v>#NAME?</v>
      </c>
      <c r="AZ618" s="2" t="e">
        <f ca="1">_xll.BDH($C$603,"SHORT_TERM_DEBT_5_YEAR_GROWTH","FY 2017","FY 2017","Currency=INR","Period=FY","BEST_FPERIOD_OVERRIDE=FY","FILING_STATUS=OR","EQY_CONSOLIDATED=Y","Sort=A","Dates=H","DateFormat=P","Fill=—","Direction=H","UseDPDF=Y")</f>
        <v>#NAME?</v>
      </c>
      <c r="BA618" s="2" t="e">
        <f ca="1">_xll.BDH($C$603,"TOTAL_DEBT_5_YEAR_GROWTH","FY 2017","FY 2017","Currency=INR","Period=FY","BEST_FPERIOD_OVERRIDE=FY","FILING_STATUS=OR","EQY_CONSOLIDATED=Y","Sort=A","Dates=H","DateFormat=P","Fill=—","Direction=H","UseDPDF=Y")</f>
        <v>#NAME?</v>
      </c>
      <c r="BB618" s="2" t="e">
        <f ca="1">_xll.BDH($C$603,"GEO_GROW_TOT_SHRHLDR_EQY","FY 2017","FY 2017","Currency=INR","Period=FY","BEST_FPERIOD_OVERRIDE=FY","FILING_STATUS=OR","EQY_CONSOLIDATED=Y","Sort=A","Dates=H","DateFormat=P","Fill=—","Direction=H","UseDPDF=Y")</f>
        <v>#NAME?</v>
      </c>
      <c r="BC618" s="2" t="e">
        <f ca="1">_xll.BDH($C$603,"TOTAL_CAPITAL_5_YEAR_GROWTH","FY 2017","FY 2017","Currency=INR","Period=FY","BEST_FPERIOD_OVERRIDE=FY","FILING_STATUS=OR","EQY_CONSOLIDATED=Y","Sort=A","Dates=H","DateFormat=P","Fill=—","Direction=H","UseDPDF=Y")</f>
        <v>#NAME?</v>
      </c>
      <c r="BD618" s="2" t="e">
        <f ca="1">_xll.BDH($C$603,"GEO_GROW_BOOK_VAL","FY 2017","FY 2017","Currency=INR","Period=FY","BEST_FPERIOD_OVERRIDE=FY","FILING_STATUS=OR","EQY_CONSOLIDATED=Y","Sort=A","Dates=H","DateFormat=P","Fill=—","Direction=H","UseDPDF=Y")</f>
        <v>#NAME?</v>
      </c>
      <c r="BE618" s="2" t="e">
        <f ca="1">_xll.BDH($C$603,"GEO_GROW_CASH_OPER_ACT","FY 2017","FY 2017","Currency=INR","Period=FY","BEST_FPERIOD_OVERRIDE=FY","FILING_STATUS=OR","EQY_CONSOLIDATED=Y","Sort=A","Dates=H","DateFormat=P","Fill=—","Direction=H","UseDPDF=Y")</f>
        <v>#NAME?</v>
      </c>
      <c r="BF618" s="2" t="e">
        <f ca="1">_xll.BDH($C$603,"REVENUE_SEQUENTIAL_GROWTH","FY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18" s="2" t="e">
        <f ca="1">_xll.BDH($C$603,"EBITDA_SEQUENTIAL_GROWTH","FY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18" s="2" t="e">
        <f ca="1">_xll.BDH($C$603,"OPERATING_INCOME_SEQ_GROWTH","FY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18" s="2" t="e">
        <f ca="1">_xll.BDH($C$603,"NET_INCOME_TO_COMMON_SEQ_GROWTH","FY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18" s="2" t="e">
        <f ca="1">_xll.BDH($C$603,"EPS_DILUTED_SEQUENTIAL_GROWTH","FY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18" s="2" t="e">
        <f ca="1">_xll.BDH($C$603,"DPS_SEQUENTIAL_GROWTH","FY 2017","FY 2017","Currency=INR","Period=FY","BEST_FPERIOD_OVERRIDE=FY","FILING_STATUS=OR","EQY_CONSOLIDATED=Y","Sort=A","Dates=H","DateFormat=P","Fill=—","Direction=H","UseDPDF=Y")</f>
        <v>#NAME?</v>
      </c>
      <c r="BL618" s="2" t="e">
        <f ca="1">_xll.BDH($C$603,"ACCOUNTS_RECEIVABLE_SEQ_GROWTH","FY 2017","FY 2017","Currency=INR","Period=FY","BEST_FPERIOD_OVERRIDE=FY","FILING_STATUS=OR","EQY_CONSOLIDATED=Y","Sort=A","Dates=H","DateFormat=P","Fill=—","Direction=H","UseDPDF=Y")</f>
        <v>#NAME?</v>
      </c>
      <c r="BM618" s="2" t="e">
        <f ca="1">_xll.BDH($C$603,"INVENTORY_SEQUENTIAL_GROWTH","FY 2017","FY 2017","Currency=INR","Period=FY","BEST_FPERIOD_OVERRIDE=FY","FILING_STATUS=OR","EQY_CONSOLIDATED=Y","Sort=A","Dates=H","DateFormat=P","Fill=—","Direction=H","UseDPDF=Y")</f>
        <v>#NAME?</v>
      </c>
      <c r="BN618" s="2" t="e">
        <f ca="1">_xll.BDH($C$603,"FIXED_ASSETS_SEQUENTIAL_GROWTH","FY 2017","FY 2017","Currency=INR","Period=FY","BEST_FPERIOD_OVERRIDE=FY","FILING_STATUS=OR","EQY_CONSOLIDATED=Y","Sort=A","Dates=H","DateFormat=P","Fill=—","Direction=H","UseDPDF=Y")</f>
        <v>#NAME?</v>
      </c>
      <c r="BO618" s="2" t="e">
        <f ca="1">_xll.BDH($C$603,"TOTAL_ASSETS_SEQUENTIAL_GROWTH","FY 2017","FY 2017","Currency=INR","Period=FY","BEST_FPERIOD_OVERRIDE=FY","FILING_STATUS=OR","EQY_CONSOLIDATED=Y","Sort=A","Dates=H","DateFormat=P","Fill=—","Direction=H","UseDPDF=Y")</f>
        <v>#NAME?</v>
      </c>
      <c r="BP618" s="2" t="e">
        <f ca="1">_xll.BDH($C$603,"MODIFIED_WORKING_CPTL_SEQ_GRWTH","FY 2017","FY 2017","Currency=INR","Period=FY","BEST_FPERIOD_OVERRIDE=FY","FILING_STATUS=OR","EQY_CONSOLIDATED=Y","Sort=A","Dates=H","DateFormat=P","Fill=—","Direction=H","UseDPDF=Y")</f>
        <v>#NAME?</v>
      </c>
      <c r="BQ618" s="2" t="e">
        <f ca="1">_xll.BDH($C$603,"WORKING_CAPITAL_SEQ_GROWTH","FY 2017","FY 2017","Currency=INR","Period=FY","BEST_FPERIOD_OVERRIDE=FY","FILING_STATUS=OR","EQY_CONSOLIDATED=Y","Sort=A","Dates=H","DateFormat=P","Fill=—","Direction=H","UseDPDF=Y")</f>
        <v>#NAME?</v>
      </c>
      <c r="BR618" s="2" t="e">
        <f ca="1">_xll.BDH($C$603,"ACCOUNTS_PAYABLE_SEQ_GROWTH","FY 2017","FY 2017","Currency=INR","Period=FY","BEST_FPERIOD_OVERRIDE=FY","FILING_STATUS=OR","EQY_CONSOLIDATED=Y","Sort=A","Dates=H","DateFormat=P","Fill=—","Direction=H","UseDPDF=Y")</f>
        <v>#NAME?</v>
      </c>
      <c r="BS618" s="2" t="e">
        <f ca="1">_xll.BDH($C$603,"ST_DEBT_SEQUENTIAL_GROWTH","FY 2017","FY 2017","Currency=INR","Period=FY","BEST_FPERIOD_OVERRIDE=FY","FILING_STATUS=OR","EQY_CONSOLIDATED=Y","Sort=A","Dates=H","DateFormat=P","Fill=—","Direction=H","UseDPDF=Y")</f>
        <v>#NAME?</v>
      </c>
      <c r="BT618" s="2" t="e">
        <f ca="1">_xll.BDH($C$603,"TOTAL_DEBT_SEQUENTIAL_GROWTH","FY 2017","FY 2017","Currency=INR","Period=FY","BEST_FPERIOD_OVERRIDE=FY","FILING_STATUS=OR","EQY_CONSOLIDATED=Y","Sort=A","Dates=H","DateFormat=P","Fill=—","Direction=H","UseDPDF=Y")</f>
        <v>#NAME?</v>
      </c>
      <c r="BU618" s="2" t="e">
        <f ca="1">_xll.BDH($C$603,"TOTAL_EQUITY_SEQUENTIAL_GROWTH","FY 2017","FY 2017","Currency=INR","Period=FY","BEST_FPERIOD_OVERRIDE=FY","FILING_STATUS=OR","EQY_CONSOLIDATED=Y","Sort=A","Dates=H","DateFormat=P","Fill=—","Direction=H","UseDPDF=Y")</f>
        <v>#NAME?</v>
      </c>
      <c r="BV618" s="2" t="e">
        <f ca="1">_xll.BDH($C$603,"TOTAL_CAPITAL_SEQUENTIAL_GROWTH","FY 2017","FY 2017","Currency=INR","Period=FY","BEST_FPERIOD_OVERRIDE=FY","FILING_STATUS=OR","EQY_CONSOLIDATED=Y","Sort=A","Dates=H","DateFormat=P","Fill=—","Direction=H","UseDPDF=Y")</f>
        <v>#NAME?</v>
      </c>
      <c r="BW618" s="2" t="e">
        <f ca="1">_xll.BDH($C$603,"BPS_SEQUENTIAL_GROWTH","FY 2017","FY 2017","Currency=INR","Period=FY","BEST_FPERIOD_OVERRIDE=FY","FILING_STATUS=OR","EQY_CONSOLIDATED=Y","Sort=A","Dates=H","DateFormat=P","Fill=—","Direction=H","UseDPDF=Y")</f>
        <v>#NAME?</v>
      </c>
      <c r="BX618" s="2" t="e">
        <f ca="1">_xll.BDH($C$603,"CFO_SEQUENTIAL_GROWTH","FY 2017","FY 2017","Currency=INR","Period=FY","BEST_FPERIOD_OVERRIDE=FY","FILING_STATUS=OR","EQY_CONSOLIDATED=Y","Sort=A","Dates=H","DateFormat=P","Fill=—","Direction=H","UseDPDF=Y")</f>
        <v>#NAME?</v>
      </c>
      <c r="BY618" s="3" t="e">
        <f ca="1">_xll.BDH($C$603,"SHORT_AND_LONG_TERM_DEBT","FY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18" s="3" t="e">
        <f ca="1">_xll.BDH($C$603,"BS_ST_BORROW","FY 2017","FY 2017","Currency=INR","Period=FY","BEST_FPERIOD_OVERRIDE=FY","FILING_STATUS=OR","EQY_CONSOLIDATED=Y","SCALING_FORMAT=MLN","Sort=A","Dates=H","DateFormat=P","Fill=—","Direction=H","UseDPDF=Y")</f>
        <v>#NAME?</v>
      </c>
      <c r="CA618" s="3" t="e">
        <f ca="1">_xll.BDH($C$603,"BS_LT_BORROW","FY 2017","FY 2017","Currency=INR","Period=FY","BEST_FPERIOD_OVERRIDE=FY","FILING_STATUS=OR","EQY_CONSOLIDATED=Y","SCALING_FORMAT=MLN","Sort=A","Dates=H","DateFormat=P","Fill=—","Direction=H","UseDPDF=Y")</f>
        <v>#NAME?</v>
      </c>
      <c r="CB618" s="2" t="e">
        <f ca="1">_xll.BDH($C$603,"TOT_DEBT_TO_EBITDA","FY 2017","FY 2017","Currency=INR","Period=FY","BEST_FPERIOD_OVERRIDE=FY","FILING_STATUS=OR","EQY_CONSOLIDATED=Y","FA_ADJUSTED=GAAP","Sort=A","Dates=H","DateFormat=P","Fill=—","Direction=H","UseDPDF=Y")</f>
        <v>#NAME?</v>
      </c>
      <c r="CC618" s="2" t="e">
        <f ca="1">_xll.BDH($C$603,"NET_DEBT_TO_EBITDA","FY 2017","FY 2017","Currency=INR","Period=FY","BEST_FPERIOD_OVERRIDE=FY","FILING_STATUS=OR","EQY_CONSOLIDATED=Y","FA_ADJUSTED=GAAP","Sort=A","Dates=H","DateFormat=P","Fill=—","Direction=H","UseDPDF=Y")</f>
        <v>#NAME?</v>
      </c>
      <c r="CD618" s="2" t="e">
        <f ca="1">_xll.BDH($C$603,"TOTAL_DEBT_TO_EBIT","FY 2017","FY 2017","Currency=INR","Period=FY","BEST_FPERIOD_OVERRIDE=FY","FILING_STATUS=OR","EQY_CONSOLIDATED=Y","FA_ADJUSTED=GAAP","Sort=A","Dates=H","DateFormat=P","Fill=—","Direction=H","UseDPDF=Y")</f>
        <v>#NAME?</v>
      </c>
      <c r="CE618" s="2" t="e">
        <f ca="1">_xll.BDH($C$603,"NET_DEBT_TO_EBIT","FY 2017","FY 2017","Currency=INR","Period=FY","BEST_FPERIOD_OVERRIDE=FY","FILING_STATUS=OR","EQY_CONSOLIDATED=Y","FA_ADJUSTED=GAAP","Sort=A","Dates=H","DateFormat=P","Fill=—","Direction=H","UseDPDF=Y")</f>
        <v>#NAME?</v>
      </c>
      <c r="CF618" s="2" t="e">
        <f ca="1">_xll.BDH($C$603,"EBITDA_TO_INTEREST_EXPN","FY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18" s="2" t="e">
        <f ca="1">_xll.BDH($C$603,"COM_EQY_TO_TOT_ASSET","FY 2017","FY 2017","Currency=INR","Period=FY","BEST_FPERIOD_OVERRIDE=FY","FILING_STATUS=OR","EQY_CONSOLIDATED=Y","Sort=A","Dates=H","DateFormat=P","Fill=—","Direction=H","UseDPDF=Y")</f>
        <v>#NAME?</v>
      </c>
      <c r="CH618" s="2" t="e">
        <f ca="1">_xll.BDH($C$603,"LT_DEBT_TO_TOT_EQY","FY 2017","FY 2017","Currency=INR","Period=FY","BEST_FPERIOD_OVERRIDE=FY","FILING_STATUS=OR","EQY_CONSOLIDATED=Y","Sort=A","Dates=H","DateFormat=P","Fill=—","Direction=H","UseDPDF=Y")</f>
        <v>#NAME?</v>
      </c>
      <c r="CI618" s="2" t="e">
        <f ca="1">_xll.BDH($C$603,"LT_DEBT_TO_TOT_CAP","FY 2017","FY 2017","Currency=INR","Period=FY","BEST_FPERIOD_OVERRIDE=FY","FILING_STATUS=OR","EQY_CONSOLIDATED=Y","Sort=A","Dates=H","DateFormat=P","Fill=—","Direction=H","UseDPDF=Y")</f>
        <v>#NAME?</v>
      </c>
      <c r="CJ618" s="2" t="e">
        <f ca="1">_xll.BDH($C$603,"LT_DEBT_TO_TOT_ASSET","FY 2017","FY 2017","Currency=INR","Period=FY","BEST_FPERIOD_OVERRIDE=FY","FILING_STATUS=OR","EQY_CONSOLIDATED=Y","Sort=A","Dates=H","DateFormat=P","Fill=—","Direction=H","UseDPDF=Y")</f>
        <v>#NAME?</v>
      </c>
      <c r="CK618" s="2" t="e">
        <f ca="1">_xll.BDH($C$603,"TOT_DEBT_TO_TOT_EQY","FY 2017","FY 2017","Currency=INR","Period=FY","BEST_FPERIOD_OVERRIDE=FY","FILING_STATUS=OR","EQY_CONSOLIDATED=Y","Sort=A","Dates=H","DateFormat=P","Fill=—","Direction=H","UseDPDF=Y")</f>
        <v>#NAME?</v>
      </c>
      <c r="CL618" s="2" t="e">
        <f ca="1">_xll.BDH($C$603,"TOT_DEBT_TO_TOT_CAP","FY 2017","FY 2017","Currency=INR","Period=FY","BEST_FPERIOD_OVERRIDE=FY","FILING_STATUS=OR","EQY_CONSOLIDATED=Y","Sort=A","Dates=H","DateFormat=P","Fill=—","Direction=H","UseDPDF=Y")</f>
        <v>#NAME?</v>
      </c>
      <c r="CM618" s="2" t="e">
        <f ca="1">_xll.BDH($C$603,"TOT_DEBT_TO_TOT_ASSET","FY 2017","FY 2017","Currency=INR","Period=FY","BEST_FPERIOD_OVERRIDE=FY","FILING_STATUS=OR","EQY_CONSOLIDATED=Y","Sort=A","Dates=H","DateFormat=P","Fill=—","Direction=H","UseDPDF=Y")</f>
        <v>#NAME?</v>
      </c>
      <c r="CN618" s="2" t="e">
        <f ca="1">_xll.BDH($C$603,"NET_DEBT_TO_SHRHLDR_EQTY","FY 2017","FY 2017","Currency=INR","Period=FY","BEST_FPERIOD_OVERRIDE=FY","FILING_STATUS=OR","EQY_CONSOLIDATED=Y","Sort=A","Dates=H","DateFormat=P","Fill=—","Direction=H","UseDPDF=Y")</f>
        <v>#NAME?</v>
      </c>
      <c r="CO618" s="2" t="e">
        <f ca="1">_xll.BDH($C$603,"NET_DEBT_%_CAPITAL","FY 2017","FY 2017","Currency=INR","Period=FY","BEST_FPERIOD_OVERRIDE=FY","FILING_STATUS=OR","EQY_CONSOLIDATED=Y","Sort=A","Dates=H","DateFormat=P","Fill=—","Direction=H","UseDPDF=Y")</f>
        <v>#NAME?</v>
      </c>
      <c r="CP618" s="3" t="e">
        <f ca="1">_xll.BDH($C$603,"EBITDA","FY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18" s="3" t="e">
        <f ca="1">_xll.BDH($C$603,"EBITDA_AFTER_CAPEX","FY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18" s="3" t="e">
        <f ca="1">_xll.BDH($C$603,"IS_OPER_INC","FY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18" s="2" t="e">
        <f ca="1">_xll.BDH($C$603,"CASH_RATIO","FY 2017","FY 2017","Currency=INR","Period=FY","BEST_FPERIOD_OVERRIDE=FY","FILING_STATUS=OR","EQY_CONSOLIDATED=Y","Sort=A","Dates=H","DateFormat=P","Fill=—","Direction=H","UseDPDF=Y")</f>
        <v>#NAME?</v>
      </c>
      <c r="CT618" s="2" t="e">
        <f ca="1">_xll.BDH($C$603,"CUR_RATIO","FY 2017","FY 2017","Currency=INR","Period=FY","BEST_FPERIOD_OVERRIDE=FY","FILING_STATUS=OR","EQY_CONSOLIDATED=Y","Sort=A","Dates=H","DateFormat=P","Fill=—","Direction=H","UseDPDF=Y")</f>
        <v>#NAME?</v>
      </c>
      <c r="CU618" s="2" t="e">
        <f ca="1">_xll.BDH($C$603,"QUICK_RATIO","FY 2017","FY 2017","Currency=INR","Period=FY","BEST_FPERIOD_OVERRIDE=FY","FILING_STATUS=OR","EQY_CONSOLIDATED=Y","Sort=A","Dates=H","DateFormat=P","Fill=—","Direction=H","UseDPDF=Y")</f>
        <v>#NAME?</v>
      </c>
      <c r="CV618" s="2" t="e">
        <f ca="1">_xll.BDH($C$603,"ALTMAN_Z_SCORE","FY 2017","FY 2017","Currency=INR","Period=FY","BEST_FPERIOD_OVERRIDE=FY","FILING_STATUS=OR","EQY_CONSOLIDATED=Y","Sort=A","Dates=H","DateFormat=P","Fill=—","Direction=H","UseDPDF=Y")</f>
        <v>#NAME?</v>
      </c>
      <c r="CW618" s="4" t="e">
        <f ca="1">_xll.BDH($C$603,"ACCT_RCV_TURN","FY 2017","FY 2017","Currency=INR","Period=FY","BEST_FPERIOD_OVERRIDE=FY","FILING_STATUS=OR","EQY_CONSOLIDATED=Y","FA_ADJUSTED=GAAP","Sort=A","Dates=H","DateFormat=P","Fill=—","Direction=H","UseDPDF=Y")</f>
        <v>#NAME?</v>
      </c>
      <c r="CX618" s="2" t="e">
        <f ca="1">_xll.BDH($C$603,"ACCT_RCV_DAYS","FY 2017","FY 2017","Currency=INR","Period=FY","BEST_FPERIOD_OVERRIDE=FY","FILING_STATUS=OR","EQY_CONSOLIDATED=Y","FA_ADJUSTED=GAAP","Sort=A","Dates=H","DateFormat=P","Fill=—","Direction=H","UseDPDF=Y")</f>
        <v>#NAME?</v>
      </c>
      <c r="CY618" s="4" t="e">
        <f ca="1">_xll.BDH($C$603,"INVENT_TURN","FY 2017","FY 2017","Currency=INR","Period=FY","BEST_FPERIOD_OVERRIDE=FY","FILING_STATUS=OR","EQY_CONSOLIDATED=Y","FA_ADJUSTED=GAAP","Sort=A","Dates=H","DateFormat=P","Fill=—","Direction=H","UseDPDF=Y")</f>
        <v>#NAME?</v>
      </c>
      <c r="CZ618" s="2" t="e">
        <f ca="1">_xll.BDH($C$603,"INVENT_DAYS","FY 2017","FY 2017","Currency=INR","Period=FY","BEST_FPERIOD_OVERRIDE=FY","FILING_STATUS=OR","EQY_CONSOLIDATED=Y","FA_ADJUSTED=GAAP","Sort=A","Dates=H","DateFormat=P","Fill=—","Direction=H","UseDPDF=Y")</f>
        <v>#NAME?</v>
      </c>
      <c r="DA618" s="4" t="e">
        <f ca="1">_xll.BDH($C$603,"ACCOUNTS_PAYABLE_TURNOVER","FY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18" s="2" t="e">
        <f ca="1">_xll.BDH($C$603,"ACCOUNTS_PAYABLE_TURNOVER_DAYS","FY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18" s="4" t="e">
        <f ca="1">_xll.BDH($C$603,"CASH_CONVERSION_CYCLE","FY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18" s="4" t="e">
        <f ca="1">_xll.BDH($C$603,"INV_TO_CASH_DAYS","FY 2017","FY 2017","Currency=INR","Period=FY","BEST_FPERIOD_OVERRIDE=FY","FILING_STATUS=OR","EQY_CONSOLIDATED=Y","FA_ADJUSTED=GAAP","Sort=A","Dates=H","DateFormat=P","Fill=—","Direction=H","UseDPDF=Y")</f>
        <v>#NAME?</v>
      </c>
      <c r="DE618" s="5" t="e">
        <f ca="1">_xll.BDH($C$603,"BS_INVENTORIES","FY 2017","FY 2017","Currency=INR","Period=FY","BEST_FPERIOD_OVERRIDE=FY","FILING_STATUS=OR","EQY_CONSOLIDATED=Y","SCALING_FORMAT=MLN","Sort=A","Dates=H","DateFormat=P","Fill=—","Direction=H","UseDPDF=Y")</f>
        <v>#NAME?</v>
      </c>
      <c r="DF618" s="3" t="e">
        <f ca="1">_xll.BDH($C$603,"INVTRY_RAW_MATERIALS","FY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18" s="3" t="e">
        <f ca="1">_xll.BDH($C$603,"INVTRY_IN_PROGRESS","FY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18" s="3" t="e">
        <f ca="1">_xll.BDH($C$603,"INVTRY_FINISHED_GOODS","FY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18" s="3" t="e">
        <f ca="1">_xll.BDH($C$603,"BS_OTHER_INV","FY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19" spans="1:113" x14ac:dyDescent="0.3">
      <c r="A619" s="6"/>
      <c r="B619" s="6"/>
      <c r="C619" s="6"/>
      <c r="D619" s="6"/>
      <c r="E619" t="s">
        <v>78</v>
      </c>
      <c r="F619" t="e">
        <f ca="1">_xll.BDH($C$603,"RETURN_COM_EQY","FQ1 2017","FQ1 2017","Currency=INR","Period=FQ","BEST_FPERIOD_OVERRIDE=FQ","FILING_STATUS=OR","EQY_CONSOLIDATED=Y","FA_ADJUSTED=GAAP","Sort=A","Dates=H","DateFormat=P","Fill=—","Direction=H","UseDPDF=Y")</f>
        <v>#NAME?</v>
      </c>
      <c r="G619" t="e">
        <f ca="1">_xll.BDH($C$603,"RETURN_ON_ASSET","FQ1 2017","FQ1 2017","Currency=INR","Period=FQ","BEST_FPERIOD_OVERRIDE=FQ","FILING_STATUS=OR","EQY_CONSOLIDATED=Y","FA_ADJUSTED=GAAP","Sort=A","Dates=H","DateFormat=P","Fill=—","Direction=H","UseDPDF=Y")</f>
        <v>#NAME?</v>
      </c>
      <c r="H619" t="e">
        <f ca="1">_xll.BDH($C$603,"RETURN_ON_CAP","FQ1 2017","FQ1 2017","Currency=INR","Period=FQ","BEST_FPERIOD_OVERRIDE=FQ","FILING_STATUS=OR","EQY_CONSOLIDATED=Y","FA_ADJUSTED=GAAP","Sort=A","Dates=H","DateFormat=P","Fill=—","Direction=H","UseDPDF=Y")</f>
        <v>#NAME?</v>
      </c>
      <c r="I619" t="e">
        <f ca="1">_xll.BDH($C$603,"RETURN_ON_INV_CAPITAL","FQ1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19" t="e">
        <f ca="1">_xll.BDH($C$603,"EBITDA_TO_REVENUE","FQ1 2017","FQ1 2017","Currency=INR","Period=FQ","BEST_FPERIOD_OVERRIDE=FQ","FILING_STATUS=OR","EQY_CONSOLIDATED=Y","FA_ADJUSTED=GAAP","Sort=A","Dates=H","DateFormat=P","Fill=—","Direction=H","UseDPDF=Y")</f>
        <v>#NAME?</v>
      </c>
      <c r="K619" t="e">
        <f ca="1">_xll.BDH($C$603,"OPER_MARGIN","FQ1 2017","FQ1 2017","Currency=INR","Period=FQ","BEST_FPERIOD_OVERRIDE=FQ","FILING_STATUS=OR","EQY_CONSOLIDATED=Y","FA_ADJUSTED=GAAP","Sort=A","Dates=H","DateFormat=P","Fill=—","Direction=H","UseDPDF=Y")</f>
        <v>#NAME?</v>
      </c>
      <c r="L619" t="e">
        <f ca="1">_xll.BDH($C$603,"INCREMENTAL_OPERATING_MARGIN","FQ1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19" t="e">
        <f ca="1">_xll.BDH($C$603,"PRETAX_INC_TO_NET_SALES","FQ1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19" t="e">
        <f ca="1">_xll.BDH($C$603,"INC_BEF_XO_ITEMS_TO_NET_SALES","FQ1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19" t="e">
        <f ca="1">_xll.BDH($C$603,"PROF_MARGIN","FQ1 2017","FQ1 2017","Currency=INR","Period=FQ","BEST_FPERIOD_OVERRIDE=FQ","FILING_STATUS=OR","EQY_CONSOLIDATED=Y","FA_ADJUSTED=GAAP","Sort=A","Dates=H","DateFormat=P","Fill=—","Direction=H","UseDPDF=Y")</f>
        <v>#NAME?</v>
      </c>
      <c r="P619" t="e">
        <f ca="1">_xll.BDH($C$603,"NET_INCOME_TO_COMMON_MARGIN","FQ1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19" t="e">
        <f ca="1">_xll.BDH($C$603,"EFF_TAX_RATE","FQ1 2017","FQ1 2017","Currency=INR","Period=FQ","BEST_FPERIOD_OVERRIDE=FQ","FILING_STATUS=OR","EQY_CONSOLIDATED=Y","FA_ADJUSTED=GAAP","Sort=A","Dates=H","DateFormat=P","Fill=—","Direction=H","UseDPDF=Y")</f>
        <v>#NAME?</v>
      </c>
      <c r="R619" t="e">
        <f ca="1">_xll.BDH($C$603,"DVD_PAYOUT_RATIO","FQ1 2017","FQ1 2017","Currency=INR","Period=FQ","BEST_FPERIOD_OVERRIDE=FQ","FILING_STATUS=OR","EQY_CONSOLIDATED=Y","FA_ADJUSTED=GAAP","Sort=A","Dates=H","DateFormat=P","Fill=—","Direction=H","UseDPDF=Y")</f>
        <v>#NAME?</v>
      </c>
      <c r="S619" t="e">
        <f ca="1">_xll.BDH($C$603,"SUSTAIN_GROWTH_RT","FQ1 2017","FQ1 2017","Currency=INR","Period=FQ","BEST_FPERIOD_OVERRIDE=FQ","FILING_STATUS=OR","EQY_CONSOLIDATED=Y","FA_ADJUSTED=GAAP","Sort=A","Dates=H","DateFormat=P","Fill=—","Direction=H","UseDPDF=Y")</f>
        <v>#NAME?</v>
      </c>
      <c r="T619" s="2" t="e">
        <f ca="1">_xll.BDH($C$603,"SALES_GROWTH","FQ1 2017","FQ1 2017","Currency=INR","Period=FQ","BEST_FPERIOD_OVERRIDE=FQ","FILING_STATUS=OR","EQY_CONSOLIDATED=Y","FA_ADJUSTED=GAAP","Sort=A","Dates=H","DateFormat=P","Fill=—","Direction=H","UseDPDF=Y")</f>
        <v>#NAME?</v>
      </c>
      <c r="U619" s="2" t="e">
        <f ca="1">_xll.BDH($C$603,"EBITDA_GROWTH","FQ1 2017","FQ1 2017","Currency=INR","Period=FQ","BEST_FPERIOD_OVERRIDE=FQ","FILING_STATUS=OR","EQY_CONSOLIDATED=Y","FA_ADJUSTED=GAAP","Sort=A","Dates=H","DateFormat=P","Fill=—","Direction=H","UseDPDF=Y")</f>
        <v>#NAME?</v>
      </c>
      <c r="V619" s="2" t="e">
        <f ca="1">_xll.BDH($C$603,"OPER_INC_GROWTH","FQ1 2017","FQ1 2017","Currency=INR","Period=FQ","BEST_FPERIOD_OVERRIDE=FQ","FILING_STATUS=OR","EQY_CONSOLIDATED=Y","FA_ADJUSTED=GAAP","Sort=A","Dates=H","DateFormat=P","Fill=—","Direction=H","UseDPDF=Y")</f>
        <v>#NAME?</v>
      </c>
      <c r="W619" s="2" t="e">
        <f ca="1">_xll.BDH($C$603,"EARN_FOR_COM_GROWTH","FQ1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19" s="2" t="e">
        <f ca="1">_xll.BDH($C$603,"DILUTED_EPS_AFT_XO_ITEMS_GROWTH","FQ1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19" s="2" t="e">
        <f ca="1">_xll.BDH($C$603,"DIVIDEND_PER_SHARE_1_YEAR_GROWTH","FQ1 2017","FQ1 2017","Currency=INR","Period=FQ","BEST_FPERIOD_OVERRIDE=FQ","FILING_STATUS=OR","EQY_CONSOLIDATED=Y","Sort=A","Dates=H","DateFormat=P","Fill=—","Direction=H","UseDPDF=Y")</f>
        <v>#NAME?</v>
      </c>
      <c r="Z619" s="2" t="e">
        <f ca="1">_xll.BDH($C$603,"ACCOUNTS_RECEIVABLE_GROWTH","FQ1 2017","FQ1 2017","Currency=INR","Period=FQ","BEST_FPERIOD_OVERRIDE=FQ","FILING_STATUS=OR","EQY_CONSOLIDATED=Y","Sort=A","Dates=H","DateFormat=P","Fill=—","Direction=H","UseDPDF=Y")</f>
        <v>#NAME?</v>
      </c>
      <c r="AA619" s="2" t="e">
        <f ca="1">_xll.BDH($C$603,"INVENTORY_GROWTH","FQ1 2017","FQ1 2017","Currency=INR","Period=FQ","BEST_FPERIOD_OVERRIDE=FQ","FILING_STATUS=OR","EQY_CONSOLIDATED=Y","Sort=A","Dates=H","DateFormat=P","Fill=—","Direction=H","UseDPDF=Y")</f>
        <v>#NAME?</v>
      </c>
      <c r="AB619" s="2" t="e">
        <f ca="1">_xll.BDH($C$603,"NET_FIXED_ASSETS_1_YEAR_GROWTH","FQ1 2017","FQ1 2017","Currency=INR","Period=FQ","BEST_FPERIOD_OVERRIDE=FQ","FILING_STATUS=OR","EQY_CONSOLIDATED=Y","Sort=A","Dates=H","DateFormat=P","Fill=—","Direction=H","UseDPDF=Y")</f>
        <v>#NAME?</v>
      </c>
      <c r="AC619" s="2" t="e">
        <f ca="1">_xll.BDH($C$603,"ASSET_GROWTH","FQ1 2017","FQ1 2017","Currency=INR","Period=FQ","BEST_FPERIOD_OVERRIDE=FQ","FILING_STATUS=OR","EQY_CONSOLIDATED=Y","Sort=A","Dates=H","DateFormat=P","Fill=—","Direction=H","UseDPDF=Y")</f>
        <v>#NAME?</v>
      </c>
      <c r="AD619" s="2" t="e">
        <f ca="1">_xll.BDH($C$603,"MODIFIED_WORK_CAP_GROWTH","FQ1 2017","FQ1 2017","Currency=INR","Period=FQ","BEST_FPERIOD_OVERRIDE=FQ","FILING_STATUS=OR","EQY_CONSOLIDATED=Y","Sort=A","Dates=H","DateFormat=P","Fill=—","Direction=H","UseDPDF=Y")</f>
        <v>#NAME?</v>
      </c>
      <c r="AE619" s="2" t="e">
        <f ca="1">_xll.BDH($C$603,"WORK_CAP_GROWTH","FQ1 2017","FQ1 2017","Currency=INR","Period=FQ","BEST_FPERIOD_OVERRIDE=FQ","FILING_STATUS=OR","EQY_CONSOLIDATED=Y","Sort=A","Dates=H","DateFormat=P","Fill=—","Direction=H","UseDPDF=Y")</f>
        <v>#NAME?</v>
      </c>
      <c r="AF619" s="2" t="e">
        <f ca="1">_xll.BDH($C$603,"ACCOUNTS_PAYABLE_GROWTH_1YR","FQ1 2017","FQ1 2017","Currency=INR","Period=FQ","BEST_FPERIOD_OVERRIDE=FQ","FILING_STATUS=OR","EQY_CONSOLIDATED=Y","Sort=A","Dates=H","DateFormat=P","Fill=—","Direction=H","UseDPDF=Y")</f>
        <v>#NAME?</v>
      </c>
      <c r="AG619" s="2" t="e">
        <f ca="1">_xll.BDH($C$603,"SHORT_TERM_DEBT_1_YEAR_GROWTH","FQ1 2017","FQ1 2017","Currency=INR","Period=FQ","BEST_FPERIOD_OVERRIDE=FQ","FILING_STATUS=OR","EQY_CONSOLIDATED=Y","Sort=A","Dates=H","DateFormat=P","Fill=—","Direction=H","UseDPDF=Y")</f>
        <v>#NAME?</v>
      </c>
      <c r="AH619" s="2" t="e">
        <f ca="1">_xll.BDH($C$603,"TOTAL_DEBT_1_YEAR_GROWTH","FQ1 2017","FQ1 2017","Currency=INR","Period=FQ","BEST_FPERIOD_OVERRIDE=FQ","FILING_STATUS=OR","EQY_CONSOLIDATED=Y","Sort=A","Dates=H","DateFormat=P","Fill=—","Direction=H","UseDPDF=Y")</f>
        <v>#NAME?</v>
      </c>
      <c r="AI619" s="2" t="e">
        <f ca="1">_xll.BDH($C$603,"TOTAL_EQUITY_1_YEAR_GROWTH","FQ1 2017","FQ1 2017","Currency=INR","Period=FQ","BEST_FPERIOD_OVERRIDE=FQ","FILING_STATUS=OR","EQY_CONSOLIDATED=Y","Sort=A","Dates=H","DateFormat=P","Fill=—","Direction=H","UseDPDF=Y")</f>
        <v>#NAME?</v>
      </c>
      <c r="AJ619" s="2" t="e">
        <f ca="1">_xll.BDH($C$603,"GROWTH_IN_CAP","FQ1 2017","FQ1 2017","Currency=INR","Period=FQ","BEST_FPERIOD_OVERRIDE=FQ","FILING_STATUS=OR","EQY_CONSOLIDATED=Y","Sort=A","Dates=H","DateFormat=P","Fill=—","Direction=H","UseDPDF=Y")</f>
        <v>#NAME?</v>
      </c>
      <c r="AK619" s="2" t="e">
        <f ca="1">_xll.BDH($C$603,"BVPS_GROWTH","FQ1 2017","FQ1 2017","Currency=INR","Period=FQ","BEST_FPERIOD_OVERRIDE=FQ","FILING_STATUS=OR","EQY_CONSOLIDATED=Y","Sort=A","Dates=H","DateFormat=P","Fill=—","Direction=H","UseDPDF=Y")</f>
        <v>#NAME?</v>
      </c>
      <c r="AL619" s="2" t="e">
        <f ca="1">_xll.BDH($C$603,"CASH_FLOW_GROWTH","FQ1 2017","FQ1 2017","Currency=INR","Period=FQ","BEST_FPERIOD_OVERRIDE=FQ","FILING_STATUS=OR","EQY_CONSOLIDATED=Y","Sort=A","Dates=H","DateFormat=P","Fill=—","Direction=H","UseDPDF=Y")</f>
        <v>#NAME?</v>
      </c>
      <c r="AM619" s="2" t="e">
        <f ca="1">_xll.BDH($C$603,"GEO_GROW_NET_SALES","FQ1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19" s="2" t="e">
        <f ca="1">_xll.BDH($C$603,"GEO_GROW_EBITDA","FQ1 2017","FQ1 2017","Currency=INR","Period=FQ","BEST_FPERIOD_OVERRIDE=FQ","FILING_STATUS=OR","EQY_CONSOLIDATED=Y","FA_ADJUSTED=GAAP","Sort=A","Dates=H","DateFormat=P","Fill=—","Direction=H","UseDPDF=Y")</f>
        <v>#NAME?</v>
      </c>
      <c r="AO619" s="2" t="e">
        <f ca="1">_xll.BDH($C$603,"GEO_GROW_OPER_INC","FQ1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19" s="2" t="e">
        <f ca="1">_xll.BDH($C$603,"NET_INCOME_TO_COMMON_5_YR_GROWTH","FQ1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19" s="2" t="e">
        <f ca="1">_xll.BDH($C$603,"5Y_GEO_GROWTH_DILUTED_EPS","FQ1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19" s="2" t="e">
        <f ca="1">_xll.BDH($C$603,"GEO_GROW_DVD_PER_SH","FQ1 2017","FQ1 2017","Currency=INR","Period=FQ","BEST_FPERIOD_OVERRIDE=FQ","FILING_STATUS=OR","EQY_CONSOLIDATED=Y","Sort=A","Dates=H","DateFormat=P","Fill=—","Direction=H","UseDPDF=Y")</f>
        <v>#NAME?</v>
      </c>
      <c r="AS619" s="2" t="e">
        <f ca="1">_xll.BDH($C$603,"ACCOUNTS_RECEIVABLE_5_YR_GROWTH","FQ1 2017","FQ1 2017","Currency=INR","Period=FQ","BEST_FPERIOD_OVERRIDE=FQ","FILING_STATUS=OR","EQY_CONSOLIDATED=Y","Sort=A","Dates=H","DateFormat=P","Fill=—","Direction=H","UseDPDF=Y")</f>
        <v>#NAME?</v>
      </c>
      <c r="AT619" s="2" t="e">
        <f ca="1">_xll.BDH($C$603,"INVENTORY_5_YEAR_GROWTH","FQ1 2017","FQ1 2017","Currency=INR","Period=FQ","BEST_FPERIOD_OVERRIDE=FQ","FILING_STATUS=OR","EQY_CONSOLIDATED=Y","Sort=A","Dates=H","DateFormat=P","Fill=—","Direction=H","UseDPDF=Y")</f>
        <v>#NAME?</v>
      </c>
      <c r="AU619" s="2" t="e">
        <f ca="1">_xll.BDH($C$603,"NET_FIXED_ASSETS_5_YEAR_GROWTH","FQ1 2017","FQ1 2017","Currency=INR","Period=FQ","BEST_FPERIOD_OVERRIDE=FQ","FILING_STATUS=OR","EQY_CONSOLIDATED=Y","Sort=A","Dates=H","DateFormat=P","Fill=—","Direction=H","UseDPDF=Y")</f>
        <v>#NAME?</v>
      </c>
      <c r="AV619" s="2" t="e">
        <f ca="1">_xll.BDH($C$603,"GEO_GROW_TOT_ASSET","FQ1 2017","FQ1 2017","Currency=INR","Period=FQ","BEST_FPERIOD_OVERRIDE=FQ","FILING_STATUS=OR","EQY_CONSOLIDATED=Y","Sort=A","Dates=H","DateFormat=P","Fill=—","Direction=H","UseDPDF=Y")</f>
        <v>#NAME?</v>
      </c>
      <c r="AW619" s="2" t="e">
        <f ca="1">_xll.BDH($C$603,"MODIFIED_WORKING_CPTL_5YR_GRWTH","FQ1 2017","FQ1 2017","Currency=INR","Period=FQ","BEST_FPERIOD_OVERRIDE=FQ","FILING_STATUS=OR","EQY_CONSOLIDATED=Y","Sort=A","Dates=H","DateFormat=P","Fill=—","Direction=H","UseDPDF=Y")</f>
        <v>#NAME?</v>
      </c>
      <c r="AX619" s="2" t="e">
        <f ca="1">_xll.BDH($C$603,"WORKING_CAPITAL_5_YEAR_GROWTH","FQ1 2017","FQ1 2017","Currency=INR","Period=FQ","BEST_FPERIOD_OVERRIDE=FQ","FILING_STATUS=OR","EQY_CONSOLIDATED=Y","Sort=A","Dates=H","DateFormat=P","Fill=—","Direction=H","UseDPDF=Y")</f>
        <v>#NAME?</v>
      </c>
      <c r="AY619" s="2" t="e">
        <f ca="1">_xll.BDH($C$603,"ACCOUNTS_PAYABLE_5_YEAR_GROWTH","FQ1 2017","FQ1 2017","Currency=INR","Period=FQ","BEST_FPERIOD_OVERRIDE=FQ","FILING_STATUS=OR","EQY_CONSOLIDATED=Y","Sort=A","Dates=H","DateFormat=P","Fill=—","Direction=H","UseDPDF=Y")</f>
        <v>#NAME?</v>
      </c>
      <c r="AZ619" s="2" t="e">
        <f ca="1">_xll.BDH($C$603,"SHORT_TERM_DEBT_5_YEAR_GROWTH","FQ1 2017","FQ1 2017","Currency=INR","Period=FQ","BEST_FPERIOD_OVERRIDE=FQ","FILING_STATUS=OR","EQY_CONSOLIDATED=Y","Sort=A","Dates=H","DateFormat=P","Fill=—","Direction=H","UseDPDF=Y")</f>
        <v>#NAME?</v>
      </c>
      <c r="BA619" s="2" t="e">
        <f ca="1">_xll.BDH($C$603,"TOTAL_DEBT_5_YEAR_GROWTH","FQ1 2017","FQ1 2017","Currency=INR","Period=FQ","BEST_FPERIOD_OVERRIDE=FQ","FILING_STATUS=OR","EQY_CONSOLIDATED=Y","Sort=A","Dates=H","DateFormat=P","Fill=—","Direction=H","UseDPDF=Y")</f>
        <v>#NAME?</v>
      </c>
      <c r="BB619" s="2" t="e">
        <f ca="1">_xll.BDH($C$603,"GEO_GROW_TOT_SHRHLDR_EQY","FQ1 2017","FQ1 2017","Currency=INR","Period=FQ","BEST_FPERIOD_OVERRIDE=FQ","FILING_STATUS=OR","EQY_CONSOLIDATED=Y","Sort=A","Dates=H","DateFormat=P","Fill=—","Direction=H","UseDPDF=Y")</f>
        <v>#NAME?</v>
      </c>
      <c r="BC619" s="2" t="e">
        <f ca="1">_xll.BDH($C$603,"TOTAL_CAPITAL_5_YEAR_GROWTH","FQ1 2017","FQ1 2017","Currency=INR","Period=FQ","BEST_FPERIOD_OVERRIDE=FQ","FILING_STATUS=OR","EQY_CONSOLIDATED=Y","Sort=A","Dates=H","DateFormat=P","Fill=—","Direction=H","UseDPDF=Y")</f>
        <v>#NAME?</v>
      </c>
      <c r="BD619" s="2" t="e">
        <f ca="1">_xll.BDH($C$603,"GEO_GROW_BOOK_VAL","FQ1 2017","FQ1 2017","Currency=INR","Period=FQ","BEST_FPERIOD_OVERRIDE=FQ","FILING_STATUS=OR","EQY_CONSOLIDATED=Y","Sort=A","Dates=H","DateFormat=P","Fill=—","Direction=H","UseDPDF=Y")</f>
        <v>#NAME?</v>
      </c>
      <c r="BE619" s="2" t="e">
        <f ca="1">_xll.BDH($C$603,"GEO_GROW_CASH_OPER_ACT","FQ1 2017","FQ1 2017","Currency=INR","Period=FQ","BEST_FPERIOD_OVERRIDE=FQ","FILING_STATUS=OR","EQY_CONSOLIDATED=Y","Sort=A","Dates=H","DateFormat=P","Fill=—","Direction=H","UseDPDF=Y")</f>
        <v>#NAME?</v>
      </c>
      <c r="BF619" s="2" t="e">
        <f ca="1">_xll.BDH($C$603,"REVENUE_SEQUENTIAL_GROWTH","FQ1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19" s="2" t="e">
        <f ca="1">_xll.BDH($C$603,"EBITDA_SEQUENTIAL_GROWTH","FQ1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19" s="2" t="e">
        <f ca="1">_xll.BDH($C$603,"OPERATING_INCOME_SEQ_GROWTH","FQ1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19" s="2" t="e">
        <f ca="1">_xll.BDH($C$603,"NET_INCOME_TO_COMMON_SEQ_GROWTH","FQ1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19" s="2" t="e">
        <f ca="1">_xll.BDH($C$603,"EPS_DILUTED_SEQUENTIAL_GROWTH","FQ1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19" s="2" t="e">
        <f ca="1">_xll.BDH($C$603,"DPS_SEQUENTIAL_GROWTH","FQ1 2017","FQ1 2017","Currency=INR","Period=FQ","BEST_FPERIOD_OVERRIDE=FQ","FILING_STATUS=OR","EQY_CONSOLIDATED=Y","Sort=A","Dates=H","DateFormat=P","Fill=—","Direction=H","UseDPDF=Y")</f>
        <v>#NAME?</v>
      </c>
      <c r="BL619" s="2" t="e">
        <f ca="1">_xll.BDH($C$603,"ACCOUNTS_RECEIVABLE_SEQ_GROWTH","FQ1 2017","FQ1 2017","Currency=INR","Period=FQ","BEST_FPERIOD_OVERRIDE=FQ","FILING_STATUS=OR","EQY_CONSOLIDATED=Y","Sort=A","Dates=H","DateFormat=P","Fill=—","Direction=H","UseDPDF=Y")</f>
        <v>#NAME?</v>
      </c>
      <c r="BM619" s="2" t="e">
        <f ca="1">_xll.BDH($C$603,"INVENTORY_SEQUENTIAL_GROWTH","FQ1 2017","FQ1 2017","Currency=INR","Period=FQ","BEST_FPERIOD_OVERRIDE=FQ","FILING_STATUS=OR","EQY_CONSOLIDATED=Y","Sort=A","Dates=H","DateFormat=P","Fill=—","Direction=H","UseDPDF=Y")</f>
        <v>#NAME?</v>
      </c>
      <c r="BN619" s="2" t="e">
        <f ca="1">_xll.BDH($C$603,"FIXED_ASSETS_SEQUENTIAL_GROWTH","FQ1 2017","FQ1 2017","Currency=INR","Period=FQ","BEST_FPERIOD_OVERRIDE=FQ","FILING_STATUS=OR","EQY_CONSOLIDATED=Y","Sort=A","Dates=H","DateFormat=P","Fill=—","Direction=H","UseDPDF=Y")</f>
        <v>#NAME?</v>
      </c>
      <c r="BO619" s="2" t="e">
        <f ca="1">_xll.BDH($C$603,"TOTAL_ASSETS_SEQUENTIAL_GROWTH","FQ1 2017","FQ1 2017","Currency=INR","Period=FQ","BEST_FPERIOD_OVERRIDE=FQ","FILING_STATUS=OR","EQY_CONSOLIDATED=Y","Sort=A","Dates=H","DateFormat=P","Fill=—","Direction=H","UseDPDF=Y")</f>
        <v>#NAME?</v>
      </c>
      <c r="BP619" s="2" t="e">
        <f ca="1">_xll.BDH($C$603,"MODIFIED_WORKING_CPTL_SEQ_GRWTH","FQ1 2017","FQ1 2017","Currency=INR","Period=FQ","BEST_FPERIOD_OVERRIDE=FQ","FILING_STATUS=OR","EQY_CONSOLIDATED=Y","Sort=A","Dates=H","DateFormat=P","Fill=—","Direction=H","UseDPDF=Y")</f>
        <v>#NAME?</v>
      </c>
      <c r="BQ619" s="2" t="e">
        <f ca="1">_xll.BDH($C$603,"WORKING_CAPITAL_SEQ_GROWTH","FQ1 2017","FQ1 2017","Currency=INR","Period=FQ","BEST_FPERIOD_OVERRIDE=FQ","FILING_STATUS=OR","EQY_CONSOLIDATED=Y","Sort=A","Dates=H","DateFormat=P","Fill=—","Direction=H","UseDPDF=Y")</f>
        <v>#NAME?</v>
      </c>
      <c r="BR619" s="2" t="e">
        <f ca="1">_xll.BDH($C$603,"ACCOUNTS_PAYABLE_SEQ_GROWTH","FQ1 2017","FQ1 2017","Currency=INR","Period=FQ","BEST_FPERIOD_OVERRIDE=FQ","FILING_STATUS=OR","EQY_CONSOLIDATED=Y","Sort=A","Dates=H","DateFormat=P","Fill=—","Direction=H","UseDPDF=Y")</f>
        <v>#NAME?</v>
      </c>
      <c r="BS619" s="2" t="e">
        <f ca="1">_xll.BDH($C$603,"ST_DEBT_SEQUENTIAL_GROWTH","FQ1 2017","FQ1 2017","Currency=INR","Period=FQ","BEST_FPERIOD_OVERRIDE=FQ","FILING_STATUS=OR","EQY_CONSOLIDATED=Y","Sort=A","Dates=H","DateFormat=P","Fill=—","Direction=H","UseDPDF=Y")</f>
        <v>#NAME?</v>
      </c>
      <c r="BT619" s="2" t="e">
        <f ca="1">_xll.BDH($C$603,"TOTAL_DEBT_SEQUENTIAL_GROWTH","FQ1 2017","FQ1 2017","Currency=INR","Period=FQ","BEST_FPERIOD_OVERRIDE=FQ","FILING_STATUS=OR","EQY_CONSOLIDATED=Y","Sort=A","Dates=H","DateFormat=P","Fill=—","Direction=H","UseDPDF=Y")</f>
        <v>#NAME?</v>
      </c>
      <c r="BU619" s="2" t="e">
        <f ca="1">_xll.BDH($C$603,"TOTAL_EQUITY_SEQUENTIAL_GROWTH","FQ1 2017","FQ1 2017","Currency=INR","Period=FQ","BEST_FPERIOD_OVERRIDE=FQ","FILING_STATUS=OR","EQY_CONSOLIDATED=Y","Sort=A","Dates=H","DateFormat=P","Fill=—","Direction=H","UseDPDF=Y")</f>
        <v>#NAME?</v>
      </c>
      <c r="BV619" s="2" t="e">
        <f ca="1">_xll.BDH($C$603,"TOTAL_CAPITAL_SEQUENTIAL_GROWTH","FQ1 2017","FQ1 2017","Currency=INR","Period=FQ","BEST_FPERIOD_OVERRIDE=FQ","FILING_STATUS=OR","EQY_CONSOLIDATED=Y","Sort=A","Dates=H","DateFormat=P","Fill=—","Direction=H","UseDPDF=Y")</f>
        <v>#NAME?</v>
      </c>
      <c r="BW619" s="2" t="e">
        <f ca="1">_xll.BDH($C$603,"BPS_SEQUENTIAL_GROWTH","FQ1 2017","FQ1 2017","Currency=INR","Period=FQ","BEST_FPERIOD_OVERRIDE=FQ","FILING_STATUS=OR","EQY_CONSOLIDATED=Y","Sort=A","Dates=H","DateFormat=P","Fill=—","Direction=H","UseDPDF=Y")</f>
        <v>#NAME?</v>
      </c>
      <c r="BX619" s="2" t="e">
        <f ca="1">_xll.BDH($C$603,"CFO_SEQUENTIAL_GROWTH","FQ1 2017","FQ1 2017","Currency=INR","Period=FQ","BEST_FPERIOD_OVERRIDE=FQ","FILING_STATUS=OR","EQY_CONSOLIDATED=Y","Sort=A","Dates=H","DateFormat=P","Fill=—","Direction=H","UseDPDF=Y")</f>
        <v>#NAME?</v>
      </c>
      <c r="BY619" s="3" t="e">
        <f ca="1">_xll.BDH($C$603,"SHORT_AND_LONG_TERM_DEBT","FQ1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19" s="3" t="e">
        <f ca="1">_xll.BDH($C$603,"BS_ST_BORROW","FQ1 2017","FQ1 2017","Currency=INR","Period=FQ","BEST_FPERIOD_OVERRIDE=FQ","FILING_STATUS=OR","EQY_CONSOLIDATED=Y","SCALING_FORMAT=MLN","Sort=A","Dates=H","DateFormat=P","Fill=—","Direction=H","UseDPDF=Y")</f>
        <v>#NAME?</v>
      </c>
      <c r="CA619" s="3" t="e">
        <f ca="1">_xll.BDH($C$603,"BS_LT_BORROW","FQ1 2017","FQ1 2017","Currency=INR","Period=FQ","BEST_FPERIOD_OVERRIDE=FQ","FILING_STATUS=OR","EQY_CONSOLIDATED=Y","SCALING_FORMAT=MLN","Sort=A","Dates=H","DateFormat=P","Fill=—","Direction=H","UseDPDF=Y")</f>
        <v>#NAME?</v>
      </c>
      <c r="CB619" s="2" t="e">
        <f ca="1">_xll.BDH($C$603,"TOT_DEBT_TO_EBITDA","FQ1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19" s="2" t="e">
        <f ca="1">_xll.BDH($C$603,"NET_DEBT_TO_EBITDA","FQ1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19" s="2" t="e">
        <f ca="1">_xll.BDH($C$603,"TOTAL_DEBT_TO_EBIT","FQ1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19" s="2" t="e">
        <f ca="1">_xll.BDH($C$603,"NET_DEBT_TO_EBIT","FQ1 2017","FQ1 2017","Currency=INR","Period=FQ","BEST_FPERIOD_OVERRIDE=FQ","FILING_STATUS=OR","EQY_CONSOLIDATED=Y","FA_ADJUSTED=GAAP","Sort=A","Dates=H","DateFormat=P","Fill=—","Direction=H","UseDPDF=Y")</f>
        <v>#NAME?</v>
      </c>
      <c r="CF619" s="2" t="e">
        <f ca="1">_xll.BDH($C$603,"EBITDA_TO_INTEREST_EXPN","FQ1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19" s="2" t="e">
        <f ca="1">_xll.BDH($C$603,"COM_EQY_TO_TOT_ASSET","FQ1 2017","FQ1 2017","Currency=INR","Period=FQ","BEST_FPERIOD_OVERRIDE=FQ","FILING_STATUS=OR","EQY_CONSOLIDATED=Y","Sort=A","Dates=H","DateFormat=P","Fill=—","Direction=H","UseDPDF=Y")</f>
        <v>#NAME?</v>
      </c>
      <c r="CH619" s="2" t="e">
        <f ca="1">_xll.BDH($C$603,"LT_DEBT_TO_TOT_EQY","FQ1 2017","FQ1 2017","Currency=INR","Period=FQ","BEST_FPERIOD_OVERRIDE=FQ","FILING_STATUS=OR","EQY_CONSOLIDATED=Y","Sort=A","Dates=H","DateFormat=P","Fill=—","Direction=H","UseDPDF=Y")</f>
        <v>#NAME?</v>
      </c>
      <c r="CI619" s="2" t="e">
        <f ca="1">_xll.BDH($C$603,"LT_DEBT_TO_TOT_CAP","FQ1 2017","FQ1 2017","Currency=INR","Period=FQ","BEST_FPERIOD_OVERRIDE=FQ","FILING_STATUS=OR","EQY_CONSOLIDATED=Y","Sort=A","Dates=H","DateFormat=P","Fill=—","Direction=H","UseDPDF=Y")</f>
        <v>#NAME?</v>
      </c>
      <c r="CJ619" s="2" t="e">
        <f ca="1">_xll.BDH($C$603,"LT_DEBT_TO_TOT_ASSET","FQ1 2017","FQ1 2017","Currency=INR","Period=FQ","BEST_FPERIOD_OVERRIDE=FQ","FILING_STATUS=OR","EQY_CONSOLIDATED=Y","Sort=A","Dates=H","DateFormat=P","Fill=—","Direction=H","UseDPDF=Y")</f>
        <v>#NAME?</v>
      </c>
      <c r="CK619" s="2" t="e">
        <f ca="1">_xll.BDH($C$603,"TOT_DEBT_TO_TOT_EQY","FQ1 2017","FQ1 2017","Currency=INR","Period=FQ","BEST_FPERIOD_OVERRIDE=FQ","FILING_STATUS=OR","EQY_CONSOLIDATED=Y","Sort=A","Dates=H","DateFormat=P","Fill=—","Direction=H","UseDPDF=Y")</f>
        <v>#NAME?</v>
      </c>
      <c r="CL619" s="2" t="e">
        <f ca="1">_xll.BDH($C$603,"TOT_DEBT_TO_TOT_CAP","FQ1 2017","FQ1 2017","Currency=INR","Period=FQ","BEST_FPERIOD_OVERRIDE=FQ","FILING_STATUS=OR","EQY_CONSOLIDATED=Y","Sort=A","Dates=H","DateFormat=P","Fill=—","Direction=H","UseDPDF=Y")</f>
        <v>#NAME?</v>
      </c>
      <c r="CM619" s="2" t="e">
        <f ca="1">_xll.BDH($C$603,"TOT_DEBT_TO_TOT_ASSET","FQ1 2017","FQ1 2017","Currency=INR","Period=FQ","BEST_FPERIOD_OVERRIDE=FQ","FILING_STATUS=OR","EQY_CONSOLIDATED=Y","Sort=A","Dates=H","DateFormat=P","Fill=—","Direction=H","UseDPDF=Y")</f>
        <v>#NAME?</v>
      </c>
      <c r="CN619" s="2" t="e">
        <f ca="1">_xll.BDH($C$603,"NET_DEBT_TO_SHRHLDR_EQTY","FQ1 2017","FQ1 2017","Currency=INR","Period=FQ","BEST_FPERIOD_OVERRIDE=FQ","FILING_STATUS=OR","EQY_CONSOLIDATED=Y","Sort=A","Dates=H","DateFormat=P","Fill=—","Direction=H","UseDPDF=Y")</f>
        <v>#NAME?</v>
      </c>
      <c r="CO619" s="2" t="e">
        <f ca="1">_xll.BDH($C$603,"NET_DEBT_%_CAPITAL","FQ1 2017","FQ1 2017","Currency=INR","Period=FQ","BEST_FPERIOD_OVERRIDE=FQ","FILING_STATUS=OR","EQY_CONSOLIDATED=Y","Sort=A","Dates=H","DateFormat=P","Fill=—","Direction=H","UseDPDF=Y")</f>
        <v>#NAME?</v>
      </c>
      <c r="CP619" s="3" t="e">
        <f ca="1">_xll.BDH($C$603,"EBITDA","FQ1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19" s="3" t="e">
        <f ca="1">_xll.BDH($C$603,"EBITDA_AFTER_CAPEX","FQ1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19" s="3" t="e">
        <f ca="1">_xll.BDH($C$603,"IS_OPER_INC","FQ1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19" s="2" t="e">
        <f ca="1">_xll.BDH($C$603,"CASH_RATIO","FQ1 2017","FQ1 2017","Currency=INR","Period=FQ","BEST_FPERIOD_OVERRIDE=FQ","FILING_STATUS=OR","EQY_CONSOLIDATED=Y","Sort=A","Dates=H","DateFormat=P","Fill=—","Direction=H","UseDPDF=Y")</f>
        <v>#NAME?</v>
      </c>
      <c r="CT619" s="2" t="e">
        <f ca="1">_xll.BDH($C$603,"CUR_RATIO","FQ1 2017","FQ1 2017","Currency=INR","Period=FQ","BEST_FPERIOD_OVERRIDE=FQ","FILING_STATUS=OR","EQY_CONSOLIDATED=Y","Sort=A","Dates=H","DateFormat=P","Fill=—","Direction=H","UseDPDF=Y")</f>
        <v>#NAME?</v>
      </c>
      <c r="CU619" s="2" t="e">
        <f ca="1">_xll.BDH($C$603,"QUICK_RATIO","FQ1 2017","FQ1 2017","Currency=INR","Period=FQ","BEST_FPERIOD_OVERRIDE=FQ","FILING_STATUS=OR","EQY_CONSOLIDATED=Y","Sort=A","Dates=H","DateFormat=P","Fill=—","Direction=H","UseDPDF=Y")</f>
        <v>#NAME?</v>
      </c>
      <c r="CV619" s="2" t="e">
        <f ca="1">_xll.BDH($C$603,"ALTMAN_Z_SCORE","FQ1 2017","FQ1 2017","Currency=INR","Period=FQ","BEST_FPERIOD_OVERRIDE=FQ","FILING_STATUS=OR","EQY_CONSOLIDATED=Y","Sort=A","Dates=H","DateFormat=P","Fill=—","Direction=H","UseDPDF=Y")</f>
        <v>#NAME?</v>
      </c>
      <c r="CW619" s="4" t="e">
        <f ca="1">_xll.BDH($C$603,"ACCT_RCV_TURN","FQ1 2017","FQ1 2017","Currency=INR","Period=FQ","BEST_FPERIOD_OVERRIDE=FQ","FILING_STATUS=OR","EQY_CONSOLIDATED=Y","FA_ADJUSTED=GAAP","Sort=A","Dates=H","DateFormat=P","Fill=—","Direction=H","UseDPDF=Y")</f>
        <v>#NAME?</v>
      </c>
      <c r="CX619" s="2" t="e">
        <f ca="1">_xll.BDH($C$603,"ACCT_RCV_DAYS","FQ1 2017","FQ1 2017","Currency=INR","Period=FQ","BEST_FPERIOD_OVERRIDE=FQ","FILING_STATUS=OR","EQY_CONSOLIDATED=Y","FA_ADJUSTED=GAAP","Sort=A","Dates=H","DateFormat=P","Fill=—","Direction=H","UseDPDF=Y")</f>
        <v>#NAME?</v>
      </c>
      <c r="CY619" s="4" t="e">
        <f ca="1">_xll.BDH($C$603,"INVENT_TURN","FQ1 2017","FQ1 2017","Currency=INR","Period=FQ","BEST_FPERIOD_OVERRIDE=FQ","FILING_STATUS=OR","EQY_CONSOLIDATED=Y","FA_ADJUSTED=GAAP","Sort=A","Dates=H","DateFormat=P","Fill=—","Direction=H","UseDPDF=Y")</f>
        <v>#NAME?</v>
      </c>
      <c r="CZ619" s="2" t="e">
        <f ca="1">_xll.BDH($C$603,"INVENT_DAYS","FQ1 2017","FQ1 2017","Currency=INR","Period=FQ","BEST_FPERIOD_OVERRIDE=FQ","FILING_STATUS=OR","EQY_CONSOLIDATED=Y","FA_ADJUSTED=GAAP","Sort=A","Dates=H","DateFormat=P","Fill=—","Direction=H","UseDPDF=Y")</f>
        <v>#NAME?</v>
      </c>
      <c r="DA619" s="4" t="e">
        <f ca="1">_xll.BDH($C$603,"ACCOUNTS_PAYABLE_TURNOVER","FQ1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19" s="2" t="e">
        <f ca="1">_xll.BDH($C$603,"ACCOUNTS_PAYABLE_TURNOVER_DAYS","FQ1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19" s="4" t="e">
        <f ca="1">_xll.BDH($C$603,"CASH_CONVERSION_CYCLE","FQ1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19" s="4" t="e">
        <f ca="1">_xll.BDH($C$603,"INV_TO_CASH_DAYS","FQ1 2017","FQ1 2017","Currency=INR","Period=FQ","BEST_FPERIOD_OVERRIDE=FQ","FILING_STATUS=OR","EQY_CONSOLIDATED=Y","FA_ADJUSTED=GAAP","Sort=A","Dates=H","DateFormat=P","Fill=—","Direction=H","UseDPDF=Y")</f>
        <v>#NAME?</v>
      </c>
      <c r="DE619" s="5" t="e">
        <f ca="1">_xll.BDH($C$603,"BS_INVENTORIES","FQ1 2017","FQ1 2017","Currency=INR","Period=FQ","BEST_FPERIOD_OVERRIDE=FQ","FILING_STATUS=OR","EQY_CONSOLIDATED=Y","SCALING_FORMAT=MLN","Sort=A","Dates=H","DateFormat=P","Fill=—","Direction=H","UseDPDF=Y")</f>
        <v>#NAME?</v>
      </c>
      <c r="DF619" s="3" t="e">
        <f ca="1">_xll.BDH($C$603,"INVTRY_RAW_MATERIALS","FQ1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19" s="3" t="e">
        <f ca="1">_xll.BDH($C$603,"INVTRY_IN_PROGRESS","FQ1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19" s="3" t="e">
        <f ca="1">_xll.BDH($C$603,"INVTRY_FINISHED_GOODS","FQ1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19" s="3" t="e">
        <f ca="1">_xll.BDH($C$603,"BS_OTHER_INV","FQ1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620" spans="1:113" x14ac:dyDescent="0.3">
      <c r="A620" s="6"/>
      <c r="B620" s="6"/>
      <c r="C620" s="6"/>
      <c r="D620" s="6"/>
      <c r="E620" t="s">
        <v>79</v>
      </c>
      <c r="F620" t="e">
        <f ca="1">_xll.BDH($C$603,"RETURN_COM_EQY","FQ2 2017","FQ2 2017","Currency=INR","Period=FQ","BEST_FPERIOD_OVERRIDE=FQ","FILING_STATUS=OR","EQY_CONSOLIDATED=Y","FA_ADJUSTED=GAAP","Sort=A","Dates=H","DateFormat=P","Fill=—","Direction=H","UseDPDF=Y")</f>
        <v>#NAME?</v>
      </c>
      <c r="G620" t="e">
        <f ca="1">_xll.BDH($C$603,"RETURN_ON_ASSET","FQ2 2017","FQ2 2017","Currency=INR","Period=FQ","BEST_FPERIOD_OVERRIDE=FQ","FILING_STATUS=OR","EQY_CONSOLIDATED=Y","FA_ADJUSTED=GAAP","Sort=A","Dates=H","DateFormat=P","Fill=—","Direction=H","UseDPDF=Y")</f>
        <v>#NAME?</v>
      </c>
      <c r="H620" t="e">
        <f ca="1">_xll.BDH($C$603,"RETURN_ON_CAP","FQ2 2017","FQ2 2017","Currency=INR","Period=FQ","BEST_FPERIOD_OVERRIDE=FQ","FILING_STATUS=OR","EQY_CONSOLIDATED=Y","FA_ADJUSTED=GAAP","Sort=A","Dates=H","DateFormat=P","Fill=—","Direction=H","UseDPDF=Y")</f>
        <v>#NAME?</v>
      </c>
      <c r="I620" t="e">
        <f ca="1">_xll.BDH($C$603,"RETURN_ON_INV_CAPITAL","FQ2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620" t="e">
        <f ca="1">_xll.BDH($C$603,"EBITDA_TO_REVENUE","FQ2 2017","FQ2 2017","Currency=INR","Period=FQ","BEST_FPERIOD_OVERRIDE=FQ","FILING_STATUS=OR","EQY_CONSOLIDATED=Y","FA_ADJUSTED=GAAP","Sort=A","Dates=H","DateFormat=P","Fill=—","Direction=H","UseDPDF=Y")</f>
        <v>#NAME?</v>
      </c>
      <c r="K620" t="e">
        <f ca="1">_xll.BDH($C$603,"OPER_MARGIN","FQ2 2017","FQ2 2017","Currency=INR","Period=FQ","BEST_FPERIOD_OVERRIDE=FQ","FILING_STATUS=OR","EQY_CONSOLIDATED=Y","FA_ADJUSTED=GAAP","Sort=A","Dates=H","DateFormat=P","Fill=—","Direction=H","UseDPDF=Y")</f>
        <v>#NAME?</v>
      </c>
      <c r="L620" t="e">
        <f ca="1">_xll.BDH($C$603,"INCREMENTAL_OPERATING_MARGIN","FQ2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620" t="e">
        <f ca="1">_xll.BDH($C$603,"PRETAX_INC_TO_NET_SALES","FQ2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620" t="e">
        <f ca="1">_xll.BDH($C$603,"INC_BEF_XO_ITEMS_TO_NET_SALES","FQ2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620" t="e">
        <f ca="1">_xll.BDH($C$603,"PROF_MARGIN","FQ2 2017","FQ2 2017","Currency=INR","Period=FQ","BEST_FPERIOD_OVERRIDE=FQ","FILING_STATUS=OR","EQY_CONSOLIDATED=Y","FA_ADJUSTED=GAAP","Sort=A","Dates=H","DateFormat=P","Fill=—","Direction=H","UseDPDF=Y")</f>
        <v>#NAME?</v>
      </c>
      <c r="P620" t="e">
        <f ca="1">_xll.BDH($C$603,"NET_INCOME_TO_COMMON_MARGIN","FQ2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620" t="e">
        <f ca="1">_xll.BDH($C$603,"EFF_TAX_RATE","FQ2 2017","FQ2 2017","Currency=INR","Period=FQ","BEST_FPERIOD_OVERRIDE=FQ","FILING_STATUS=OR","EQY_CONSOLIDATED=Y","FA_ADJUSTED=GAAP","Sort=A","Dates=H","DateFormat=P","Fill=—","Direction=H","UseDPDF=Y")</f>
        <v>#NAME?</v>
      </c>
      <c r="R620" t="e">
        <f ca="1">_xll.BDH($C$603,"DVD_PAYOUT_RATIO","FQ2 2017","FQ2 2017","Currency=INR","Period=FQ","BEST_FPERIOD_OVERRIDE=FQ","FILING_STATUS=OR","EQY_CONSOLIDATED=Y","FA_ADJUSTED=GAAP","Sort=A","Dates=H","DateFormat=P","Fill=—","Direction=H","UseDPDF=Y")</f>
        <v>#NAME?</v>
      </c>
      <c r="S620" t="e">
        <f ca="1">_xll.BDH($C$603,"SUSTAIN_GROWTH_RT","FQ2 2017","FQ2 2017","Currency=INR","Period=FQ","BEST_FPERIOD_OVERRIDE=FQ","FILING_STATUS=OR","EQY_CONSOLIDATED=Y","FA_ADJUSTED=GAAP","Sort=A","Dates=H","DateFormat=P","Fill=—","Direction=H","UseDPDF=Y")</f>
        <v>#NAME?</v>
      </c>
      <c r="T620" s="2" t="e">
        <f ca="1">_xll.BDH($C$603,"SALES_GROWTH","FQ2 2017","FQ2 2017","Currency=INR","Period=FQ","BEST_FPERIOD_OVERRIDE=FQ","FILING_STATUS=OR","EQY_CONSOLIDATED=Y","FA_ADJUSTED=GAAP","Sort=A","Dates=H","DateFormat=P","Fill=—","Direction=H","UseDPDF=Y")</f>
        <v>#NAME?</v>
      </c>
      <c r="U620" s="2" t="e">
        <f ca="1">_xll.BDH($C$603,"EBITDA_GROWTH","FQ2 2017","FQ2 2017","Currency=INR","Period=FQ","BEST_FPERIOD_OVERRIDE=FQ","FILING_STATUS=OR","EQY_CONSOLIDATED=Y","FA_ADJUSTED=GAAP","Sort=A","Dates=H","DateFormat=P","Fill=—","Direction=H","UseDPDF=Y")</f>
        <v>#NAME?</v>
      </c>
      <c r="V620" s="2" t="e">
        <f ca="1">_xll.BDH($C$603,"OPER_INC_GROWTH","FQ2 2017","FQ2 2017","Currency=INR","Period=FQ","BEST_FPERIOD_OVERRIDE=FQ","FILING_STATUS=OR","EQY_CONSOLIDATED=Y","FA_ADJUSTED=GAAP","Sort=A","Dates=H","DateFormat=P","Fill=—","Direction=H","UseDPDF=Y")</f>
        <v>#NAME?</v>
      </c>
      <c r="W620" s="2" t="e">
        <f ca="1">_xll.BDH($C$603,"EARN_FOR_COM_GROWTH","FQ2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620" s="2" t="e">
        <f ca="1">_xll.BDH($C$603,"DILUTED_EPS_AFT_XO_ITEMS_GROWTH","FQ2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620" s="2" t="e">
        <f ca="1">_xll.BDH($C$603,"DIVIDEND_PER_SHARE_1_YEAR_GROWTH","FQ2 2017","FQ2 2017","Currency=INR","Period=FQ","BEST_FPERIOD_OVERRIDE=FQ","FILING_STATUS=OR","EQY_CONSOLIDATED=Y","Sort=A","Dates=H","DateFormat=P","Fill=—","Direction=H","UseDPDF=Y")</f>
        <v>#NAME?</v>
      </c>
      <c r="Z620" s="2" t="e">
        <f ca="1">_xll.BDH($C$603,"ACCOUNTS_RECEIVABLE_GROWTH","FQ2 2017","FQ2 2017","Currency=INR","Period=FQ","BEST_FPERIOD_OVERRIDE=FQ","FILING_STATUS=OR","EQY_CONSOLIDATED=Y","Sort=A","Dates=H","DateFormat=P","Fill=—","Direction=H","UseDPDF=Y")</f>
        <v>#NAME?</v>
      </c>
      <c r="AA620" s="2" t="e">
        <f ca="1">_xll.BDH($C$603,"INVENTORY_GROWTH","FQ2 2017","FQ2 2017","Currency=INR","Period=FQ","BEST_FPERIOD_OVERRIDE=FQ","FILING_STATUS=OR","EQY_CONSOLIDATED=Y","Sort=A","Dates=H","DateFormat=P","Fill=—","Direction=H","UseDPDF=Y")</f>
        <v>#NAME?</v>
      </c>
      <c r="AB620" s="2" t="e">
        <f ca="1">_xll.BDH($C$603,"NET_FIXED_ASSETS_1_YEAR_GROWTH","FQ2 2017","FQ2 2017","Currency=INR","Period=FQ","BEST_FPERIOD_OVERRIDE=FQ","FILING_STATUS=OR","EQY_CONSOLIDATED=Y","Sort=A","Dates=H","DateFormat=P","Fill=—","Direction=H","UseDPDF=Y")</f>
        <v>#NAME?</v>
      </c>
      <c r="AC620" s="2" t="e">
        <f ca="1">_xll.BDH($C$603,"ASSET_GROWTH","FQ2 2017","FQ2 2017","Currency=INR","Period=FQ","BEST_FPERIOD_OVERRIDE=FQ","FILING_STATUS=OR","EQY_CONSOLIDATED=Y","Sort=A","Dates=H","DateFormat=P","Fill=—","Direction=H","UseDPDF=Y")</f>
        <v>#NAME?</v>
      </c>
      <c r="AD620" s="2" t="e">
        <f ca="1">_xll.BDH($C$603,"MODIFIED_WORK_CAP_GROWTH","FQ2 2017","FQ2 2017","Currency=INR","Period=FQ","BEST_FPERIOD_OVERRIDE=FQ","FILING_STATUS=OR","EQY_CONSOLIDATED=Y","Sort=A","Dates=H","DateFormat=P","Fill=—","Direction=H","UseDPDF=Y")</f>
        <v>#NAME?</v>
      </c>
      <c r="AE620" s="2" t="e">
        <f ca="1">_xll.BDH($C$603,"WORK_CAP_GROWTH","FQ2 2017","FQ2 2017","Currency=INR","Period=FQ","BEST_FPERIOD_OVERRIDE=FQ","FILING_STATUS=OR","EQY_CONSOLIDATED=Y","Sort=A","Dates=H","DateFormat=P","Fill=—","Direction=H","UseDPDF=Y")</f>
        <v>#NAME?</v>
      </c>
      <c r="AF620" s="2" t="e">
        <f ca="1">_xll.BDH($C$603,"ACCOUNTS_PAYABLE_GROWTH_1YR","FQ2 2017","FQ2 2017","Currency=INR","Period=FQ","BEST_FPERIOD_OVERRIDE=FQ","FILING_STATUS=OR","EQY_CONSOLIDATED=Y","Sort=A","Dates=H","DateFormat=P","Fill=—","Direction=H","UseDPDF=Y")</f>
        <v>#NAME?</v>
      </c>
      <c r="AG620" s="2" t="e">
        <f ca="1">_xll.BDH($C$603,"SHORT_TERM_DEBT_1_YEAR_GROWTH","FQ2 2017","FQ2 2017","Currency=INR","Period=FQ","BEST_FPERIOD_OVERRIDE=FQ","FILING_STATUS=OR","EQY_CONSOLIDATED=Y","Sort=A","Dates=H","DateFormat=P","Fill=—","Direction=H","UseDPDF=Y")</f>
        <v>#NAME?</v>
      </c>
      <c r="AH620" s="2" t="e">
        <f ca="1">_xll.BDH($C$603,"TOTAL_DEBT_1_YEAR_GROWTH","FQ2 2017","FQ2 2017","Currency=INR","Period=FQ","BEST_FPERIOD_OVERRIDE=FQ","FILING_STATUS=OR","EQY_CONSOLIDATED=Y","Sort=A","Dates=H","DateFormat=P","Fill=—","Direction=H","UseDPDF=Y")</f>
        <v>#NAME?</v>
      </c>
      <c r="AI620" s="2" t="e">
        <f ca="1">_xll.BDH($C$603,"TOTAL_EQUITY_1_YEAR_GROWTH","FQ2 2017","FQ2 2017","Currency=INR","Period=FQ","BEST_FPERIOD_OVERRIDE=FQ","FILING_STATUS=OR","EQY_CONSOLIDATED=Y","Sort=A","Dates=H","DateFormat=P","Fill=—","Direction=H","UseDPDF=Y")</f>
        <v>#NAME?</v>
      </c>
      <c r="AJ620" s="2" t="e">
        <f ca="1">_xll.BDH($C$603,"GROWTH_IN_CAP","FQ2 2017","FQ2 2017","Currency=INR","Period=FQ","BEST_FPERIOD_OVERRIDE=FQ","FILING_STATUS=OR","EQY_CONSOLIDATED=Y","Sort=A","Dates=H","DateFormat=P","Fill=—","Direction=H","UseDPDF=Y")</f>
        <v>#NAME?</v>
      </c>
      <c r="AK620" s="2" t="e">
        <f ca="1">_xll.BDH($C$603,"BVPS_GROWTH","FQ2 2017","FQ2 2017","Currency=INR","Period=FQ","BEST_FPERIOD_OVERRIDE=FQ","FILING_STATUS=OR","EQY_CONSOLIDATED=Y","Sort=A","Dates=H","DateFormat=P","Fill=—","Direction=H","UseDPDF=Y")</f>
        <v>#NAME?</v>
      </c>
      <c r="AL620" s="2" t="e">
        <f ca="1">_xll.BDH($C$603,"CASH_FLOW_GROWTH","FQ2 2017","FQ2 2017","Currency=INR","Period=FQ","BEST_FPERIOD_OVERRIDE=FQ","FILING_STATUS=OR","EQY_CONSOLIDATED=Y","Sort=A","Dates=H","DateFormat=P","Fill=—","Direction=H","UseDPDF=Y")</f>
        <v>#NAME?</v>
      </c>
      <c r="AM620" s="2" t="e">
        <f ca="1">_xll.BDH($C$603,"GEO_GROW_NET_SALES","FQ2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620" s="2" t="e">
        <f ca="1">_xll.BDH($C$603,"GEO_GROW_EBITDA","FQ2 2017","FQ2 2017","Currency=INR","Period=FQ","BEST_FPERIOD_OVERRIDE=FQ","FILING_STATUS=OR","EQY_CONSOLIDATED=Y","FA_ADJUSTED=GAAP","Sort=A","Dates=H","DateFormat=P","Fill=—","Direction=H","UseDPDF=Y")</f>
        <v>#NAME?</v>
      </c>
      <c r="AO620" s="2" t="e">
        <f ca="1">_xll.BDH($C$603,"GEO_GROW_OPER_INC","FQ2 2017","FQ2 2017","Currency=INR","Period=FQ","BEST_FPERIOD_OVERRIDE=FQ","FILING_STATUS=OR","EQY_CONSOLIDATED=Y","FA_ADJUSTED=GAAP","Sort=A","Dates=H","DateFormat=P","Fill=—","Direction=H","UseDPDF=Y")</f>
        <v>#NAME?</v>
      </c>
      <c r="AP620" s="2" t="e">
        <f ca="1">_xll.BDH($C$603,"NET_INCOME_TO_COMMON_5_YR_GROWTH","FQ2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620" s="2" t="e">
        <f ca="1">_xll.BDH($C$603,"5Y_GEO_GROWTH_DILUTED_EPS","FQ2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620" s="2" t="e">
        <f ca="1">_xll.BDH($C$603,"GEO_GROW_DVD_PER_SH","FQ2 2017","FQ2 2017","Currency=INR","Period=FQ","BEST_FPERIOD_OVERRIDE=FQ","FILING_STATUS=OR","EQY_CONSOLIDATED=Y","Sort=A","Dates=H","DateFormat=P","Fill=—","Direction=H","UseDPDF=Y")</f>
        <v>#NAME?</v>
      </c>
      <c r="AS620" s="2" t="e">
        <f ca="1">_xll.BDH($C$603,"ACCOUNTS_RECEIVABLE_5_YR_GROWTH","FQ2 2017","FQ2 2017","Currency=INR","Period=FQ","BEST_FPERIOD_OVERRIDE=FQ","FILING_STATUS=OR","EQY_CONSOLIDATED=Y","Sort=A","Dates=H","DateFormat=P","Fill=—","Direction=H","UseDPDF=Y")</f>
        <v>#NAME?</v>
      </c>
      <c r="AT620" s="2" t="e">
        <f ca="1">_xll.BDH($C$603,"INVENTORY_5_YEAR_GROWTH","FQ2 2017","FQ2 2017","Currency=INR","Period=FQ","BEST_FPERIOD_OVERRIDE=FQ","FILING_STATUS=OR","EQY_CONSOLIDATED=Y","Sort=A","Dates=H","DateFormat=P","Fill=—","Direction=H","UseDPDF=Y")</f>
        <v>#NAME?</v>
      </c>
      <c r="AU620" s="2" t="e">
        <f ca="1">_xll.BDH($C$603,"NET_FIXED_ASSETS_5_YEAR_GROWTH","FQ2 2017","FQ2 2017","Currency=INR","Period=FQ","BEST_FPERIOD_OVERRIDE=FQ","FILING_STATUS=OR","EQY_CONSOLIDATED=Y","Sort=A","Dates=H","DateFormat=P","Fill=—","Direction=H","UseDPDF=Y")</f>
        <v>#NAME?</v>
      </c>
      <c r="AV620" s="2" t="e">
        <f ca="1">_xll.BDH($C$603,"GEO_GROW_TOT_ASSET","FQ2 2017","FQ2 2017","Currency=INR","Period=FQ","BEST_FPERIOD_OVERRIDE=FQ","FILING_STATUS=OR","EQY_CONSOLIDATED=Y","Sort=A","Dates=H","DateFormat=P","Fill=—","Direction=H","UseDPDF=Y")</f>
        <v>#NAME?</v>
      </c>
      <c r="AW620" s="2" t="e">
        <f ca="1">_xll.BDH($C$603,"MODIFIED_WORKING_CPTL_5YR_GRWTH","FQ2 2017","FQ2 2017","Currency=INR","Period=FQ","BEST_FPERIOD_OVERRIDE=FQ","FILING_STATUS=OR","EQY_CONSOLIDATED=Y","Sort=A","Dates=H","DateFormat=P","Fill=—","Direction=H","UseDPDF=Y")</f>
        <v>#NAME?</v>
      </c>
      <c r="AX620" s="2" t="e">
        <f ca="1">_xll.BDH($C$603,"WORKING_CAPITAL_5_YEAR_GROWTH","FQ2 2017","FQ2 2017","Currency=INR","Period=FQ","BEST_FPERIOD_OVERRIDE=FQ","FILING_STATUS=OR","EQY_CONSOLIDATED=Y","Sort=A","Dates=H","DateFormat=P","Fill=—","Direction=H","UseDPDF=Y")</f>
        <v>#NAME?</v>
      </c>
      <c r="AY620" s="2" t="e">
        <f ca="1">_xll.BDH($C$603,"ACCOUNTS_PAYABLE_5_YEAR_GROWTH","FQ2 2017","FQ2 2017","Currency=INR","Period=FQ","BEST_FPERIOD_OVERRIDE=FQ","FILING_STATUS=OR","EQY_CONSOLIDATED=Y","Sort=A","Dates=H","DateFormat=P","Fill=—","Direction=H","UseDPDF=Y")</f>
        <v>#NAME?</v>
      </c>
      <c r="AZ620" s="2" t="e">
        <f ca="1">_xll.BDH($C$603,"SHORT_TERM_DEBT_5_YEAR_GROWTH","FQ2 2017","FQ2 2017","Currency=INR","Period=FQ","BEST_FPERIOD_OVERRIDE=FQ","FILING_STATUS=OR","EQY_CONSOLIDATED=Y","Sort=A","Dates=H","DateFormat=P","Fill=—","Direction=H","UseDPDF=Y")</f>
        <v>#NAME?</v>
      </c>
      <c r="BA620" s="2" t="e">
        <f ca="1">_xll.BDH($C$603,"TOTAL_DEBT_5_YEAR_GROWTH","FQ2 2017","FQ2 2017","Currency=INR","Period=FQ","BEST_FPERIOD_OVERRIDE=FQ","FILING_STATUS=OR","EQY_CONSOLIDATED=Y","Sort=A","Dates=H","DateFormat=P","Fill=—","Direction=H","UseDPDF=Y")</f>
        <v>#NAME?</v>
      </c>
      <c r="BB620" s="2" t="e">
        <f ca="1">_xll.BDH($C$603,"GEO_GROW_TOT_SHRHLDR_EQY","FQ2 2017","FQ2 2017","Currency=INR","Period=FQ","BEST_FPERIOD_OVERRIDE=FQ","FILING_STATUS=OR","EQY_CONSOLIDATED=Y","Sort=A","Dates=H","DateFormat=P","Fill=—","Direction=H","UseDPDF=Y")</f>
        <v>#NAME?</v>
      </c>
      <c r="BC620" s="2" t="e">
        <f ca="1">_xll.BDH($C$603,"TOTAL_CAPITAL_5_YEAR_GROWTH","FQ2 2017","FQ2 2017","Currency=INR","Period=FQ","BEST_FPERIOD_OVERRIDE=FQ","FILING_STATUS=OR","EQY_CONSOLIDATED=Y","Sort=A","Dates=H","DateFormat=P","Fill=—","Direction=H","UseDPDF=Y")</f>
        <v>#NAME?</v>
      </c>
      <c r="BD620" s="2" t="e">
        <f ca="1">_xll.BDH($C$603,"GEO_GROW_BOOK_VAL","FQ2 2017","FQ2 2017","Currency=INR","Period=FQ","BEST_FPERIOD_OVERRIDE=FQ","FILING_STATUS=OR","EQY_CONSOLIDATED=Y","Sort=A","Dates=H","DateFormat=P","Fill=—","Direction=H","UseDPDF=Y")</f>
        <v>#NAME?</v>
      </c>
      <c r="BE620" s="2" t="e">
        <f ca="1">_xll.BDH($C$603,"GEO_GROW_CASH_OPER_ACT","FQ2 2017","FQ2 2017","Currency=INR","Period=FQ","BEST_FPERIOD_OVERRIDE=FQ","FILING_STATUS=OR","EQY_CONSOLIDATED=Y","Sort=A","Dates=H","DateFormat=P","Fill=—","Direction=H","UseDPDF=Y")</f>
        <v>#NAME?</v>
      </c>
      <c r="BF620" s="2" t="e">
        <f ca="1">_xll.BDH($C$603,"REVENUE_SEQUENTIAL_GROWTH","FQ2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620" s="2" t="e">
        <f ca="1">_xll.BDH($C$603,"EBITDA_SEQUENTIAL_GROWTH","FQ2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620" s="2" t="e">
        <f ca="1">_xll.BDH($C$603,"OPERATING_INCOME_SEQ_GROWTH","FQ2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620" s="2" t="e">
        <f ca="1">_xll.BDH($C$603,"NET_INCOME_TO_COMMON_SEQ_GROWTH","FQ2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620" s="2" t="e">
        <f ca="1">_xll.BDH($C$603,"EPS_DILUTED_SEQUENTIAL_GROWTH","FQ2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620" s="2" t="e">
        <f ca="1">_xll.BDH($C$603,"DPS_SEQUENTIAL_GROWTH","FQ2 2017","FQ2 2017","Currency=INR","Period=FQ","BEST_FPERIOD_OVERRIDE=FQ","FILING_STATUS=OR","EQY_CONSOLIDATED=Y","Sort=A","Dates=H","DateFormat=P","Fill=—","Direction=H","UseDPDF=Y")</f>
        <v>#NAME?</v>
      </c>
      <c r="BL620" s="2" t="e">
        <f ca="1">_xll.BDH($C$603,"ACCOUNTS_RECEIVABLE_SEQ_GROWTH","FQ2 2017","FQ2 2017","Currency=INR","Period=FQ","BEST_FPERIOD_OVERRIDE=FQ","FILING_STATUS=OR","EQY_CONSOLIDATED=Y","Sort=A","Dates=H","DateFormat=P","Fill=—","Direction=H","UseDPDF=Y")</f>
        <v>#NAME?</v>
      </c>
      <c r="BM620" s="2" t="e">
        <f ca="1">_xll.BDH($C$603,"INVENTORY_SEQUENTIAL_GROWTH","FQ2 2017","FQ2 2017","Currency=INR","Period=FQ","BEST_FPERIOD_OVERRIDE=FQ","FILING_STATUS=OR","EQY_CONSOLIDATED=Y","Sort=A","Dates=H","DateFormat=P","Fill=—","Direction=H","UseDPDF=Y")</f>
        <v>#NAME?</v>
      </c>
      <c r="BN620" s="2" t="e">
        <f ca="1">_xll.BDH($C$603,"FIXED_ASSETS_SEQUENTIAL_GROWTH","FQ2 2017","FQ2 2017","Currency=INR","Period=FQ","BEST_FPERIOD_OVERRIDE=FQ","FILING_STATUS=OR","EQY_CONSOLIDATED=Y","Sort=A","Dates=H","DateFormat=P","Fill=—","Direction=H","UseDPDF=Y")</f>
        <v>#NAME?</v>
      </c>
      <c r="BO620" s="2" t="e">
        <f ca="1">_xll.BDH($C$603,"TOTAL_ASSETS_SEQUENTIAL_GROWTH","FQ2 2017","FQ2 2017","Currency=INR","Period=FQ","BEST_FPERIOD_OVERRIDE=FQ","FILING_STATUS=OR","EQY_CONSOLIDATED=Y","Sort=A","Dates=H","DateFormat=P","Fill=—","Direction=H","UseDPDF=Y")</f>
        <v>#NAME?</v>
      </c>
      <c r="BP620" s="2" t="e">
        <f ca="1">_xll.BDH($C$603,"MODIFIED_WORKING_CPTL_SEQ_GRWTH","FQ2 2017","FQ2 2017","Currency=INR","Period=FQ","BEST_FPERIOD_OVERRIDE=FQ","FILING_STATUS=OR","EQY_CONSOLIDATED=Y","Sort=A","Dates=H","DateFormat=P","Fill=—","Direction=H","UseDPDF=Y")</f>
        <v>#NAME?</v>
      </c>
      <c r="BQ620" s="2" t="e">
        <f ca="1">_xll.BDH($C$603,"WORKING_CAPITAL_SEQ_GROWTH","FQ2 2017","FQ2 2017","Currency=INR","Period=FQ","BEST_FPERIOD_OVERRIDE=FQ","FILING_STATUS=OR","EQY_CONSOLIDATED=Y","Sort=A","Dates=H","DateFormat=P","Fill=—","Direction=H","UseDPDF=Y")</f>
        <v>#NAME?</v>
      </c>
      <c r="BR620" s="2" t="e">
        <f ca="1">_xll.BDH($C$603,"ACCOUNTS_PAYABLE_SEQ_GROWTH","FQ2 2017","FQ2 2017","Currency=INR","Period=FQ","BEST_FPERIOD_OVERRIDE=FQ","FILING_STATUS=OR","EQY_CONSOLIDATED=Y","Sort=A","Dates=H","DateFormat=P","Fill=—","Direction=H","UseDPDF=Y")</f>
        <v>#NAME?</v>
      </c>
      <c r="BS620" s="2" t="e">
        <f ca="1">_xll.BDH($C$603,"ST_DEBT_SEQUENTIAL_GROWTH","FQ2 2017","FQ2 2017","Currency=INR","Period=FQ","BEST_FPERIOD_OVERRIDE=FQ","FILING_STATUS=OR","EQY_CONSOLIDATED=Y","Sort=A","Dates=H","DateFormat=P","Fill=—","Direction=H","UseDPDF=Y")</f>
        <v>#NAME?</v>
      </c>
      <c r="BT620" s="2" t="e">
        <f ca="1">_xll.BDH($C$603,"TOTAL_DEBT_SEQUENTIAL_GROWTH","FQ2 2017","FQ2 2017","Currency=INR","Period=FQ","BEST_FPERIOD_OVERRIDE=FQ","FILING_STATUS=OR","EQY_CONSOLIDATED=Y","Sort=A","Dates=H","DateFormat=P","Fill=—","Direction=H","UseDPDF=Y")</f>
        <v>#NAME?</v>
      </c>
      <c r="BU620" s="2" t="e">
        <f ca="1">_xll.BDH($C$603,"TOTAL_EQUITY_SEQUENTIAL_GROWTH","FQ2 2017","FQ2 2017","Currency=INR","Period=FQ","BEST_FPERIOD_OVERRIDE=FQ","FILING_STATUS=OR","EQY_CONSOLIDATED=Y","Sort=A","Dates=H","DateFormat=P","Fill=—","Direction=H","UseDPDF=Y")</f>
        <v>#NAME?</v>
      </c>
      <c r="BV620" s="2" t="e">
        <f ca="1">_xll.BDH($C$603,"TOTAL_CAPITAL_SEQUENTIAL_GROWTH","FQ2 2017","FQ2 2017","Currency=INR","Period=FQ","BEST_FPERIOD_OVERRIDE=FQ","FILING_STATUS=OR","EQY_CONSOLIDATED=Y","Sort=A","Dates=H","DateFormat=P","Fill=—","Direction=H","UseDPDF=Y")</f>
        <v>#NAME?</v>
      </c>
      <c r="BW620" s="2" t="e">
        <f ca="1">_xll.BDH($C$603,"BPS_SEQUENTIAL_GROWTH","FQ2 2017","FQ2 2017","Currency=INR","Period=FQ","BEST_FPERIOD_OVERRIDE=FQ","FILING_STATUS=OR","EQY_CONSOLIDATED=Y","Sort=A","Dates=H","DateFormat=P","Fill=—","Direction=H","UseDPDF=Y")</f>
        <v>#NAME?</v>
      </c>
      <c r="BX620" s="2" t="e">
        <f ca="1">_xll.BDH($C$603,"CFO_SEQUENTIAL_GROWTH","FQ2 2017","FQ2 2017","Currency=INR","Period=FQ","BEST_FPERIOD_OVERRIDE=FQ","FILING_STATUS=OR","EQY_CONSOLIDATED=Y","Sort=A","Dates=H","DateFormat=P","Fill=—","Direction=H","UseDPDF=Y")</f>
        <v>#NAME?</v>
      </c>
      <c r="BY620" s="3" t="e">
        <f ca="1">_xll.BDH($C$603,"SHORT_AND_LONG_TERM_DEBT","FQ2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620" s="3" t="e">
        <f ca="1">_xll.BDH($C$603,"BS_ST_BORROW","FQ2 2017","FQ2 2017","Currency=INR","Period=FQ","BEST_FPERIOD_OVERRIDE=FQ","FILING_STATUS=OR","EQY_CONSOLIDATED=Y","SCALING_FORMAT=MLN","Sort=A","Dates=H","DateFormat=P","Fill=—","Direction=H","UseDPDF=Y")</f>
        <v>#NAME?</v>
      </c>
      <c r="CA620" s="3" t="e">
        <f ca="1">_xll.BDH($C$603,"BS_LT_BORROW","FQ2 2017","FQ2 2017","Currency=INR","Period=FQ","BEST_FPERIOD_OVERRIDE=FQ","FILING_STATUS=OR","EQY_CONSOLIDATED=Y","SCALING_FORMAT=MLN","Sort=A","Dates=H","DateFormat=P","Fill=—","Direction=H","UseDPDF=Y")</f>
        <v>#NAME?</v>
      </c>
      <c r="CB620" s="2" t="e">
        <f ca="1">_xll.BDH($C$603,"TOT_DEBT_TO_EBITDA","FQ2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620" s="2" t="e">
        <f ca="1">_xll.BDH($C$603,"NET_DEBT_TO_EBITDA","FQ2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620" s="2" t="e">
        <f ca="1">_xll.BDH($C$603,"TOTAL_DEBT_TO_EBIT","FQ2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620" s="2" t="e">
        <f ca="1">_xll.BDH($C$603,"NET_DEBT_TO_EBIT","FQ2 2017","FQ2 2017","Currency=INR","Period=FQ","BEST_FPERIOD_OVERRIDE=FQ","FILING_STATUS=OR","EQY_CONSOLIDATED=Y","FA_ADJUSTED=GAAP","Sort=A","Dates=H","DateFormat=P","Fill=—","Direction=H","UseDPDF=Y")</f>
        <v>#NAME?</v>
      </c>
      <c r="CF620" s="2" t="e">
        <f ca="1">_xll.BDH($C$603,"EBITDA_TO_INTEREST_EXPN","FQ2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620" s="2" t="e">
        <f ca="1">_xll.BDH($C$603,"COM_EQY_TO_TOT_ASSET","FQ2 2017","FQ2 2017","Currency=INR","Period=FQ","BEST_FPERIOD_OVERRIDE=FQ","FILING_STATUS=OR","EQY_CONSOLIDATED=Y","Sort=A","Dates=H","DateFormat=P","Fill=—","Direction=H","UseDPDF=Y")</f>
        <v>#NAME?</v>
      </c>
      <c r="CH620" s="2" t="e">
        <f ca="1">_xll.BDH($C$603,"LT_DEBT_TO_TOT_EQY","FQ2 2017","FQ2 2017","Currency=INR","Period=FQ","BEST_FPERIOD_OVERRIDE=FQ","FILING_STATUS=OR","EQY_CONSOLIDATED=Y","Sort=A","Dates=H","DateFormat=P","Fill=—","Direction=H","UseDPDF=Y")</f>
        <v>#NAME?</v>
      </c>
      <c r="CI620" s="2" t="e">
        <f ca="1">_xll.BDH($C$603,"LT_DEBT_TO_TOT_CAP","FQ2 2017","FQ2 2017","Currency=INR","Period=FQ","BEST_FPERIOD_OVERRIDE=FQ","FILING_STATUS=OR","EQY_CONSOLIDATED=Y","Sort=A","Dates=H","DateFormat=P","Fill=—","Direction=H","UseDPDF=Y")</f>
        <v>#NAME?</v>
      </c>
      <c r="CJ620" s="2" t="e">
        <f ca="1">_xll.BDH($C$603,"LT_DEBT_TO_TOT_ASSET","FQ2 2017","FQ2 2017","Currency=INR","Period=FQ","BEST_FPERIOD_OVERRIDE=FQ","FILING_STATUS=OR","EQY_CONSOLIDATED=Y","Sort=A","Dates=H","DateFormat=P","Fill=—","Direction=H","UseDPDF=Y")</f>
        <v>#NAME?</v>
      </c>
      <c r="CK620" s="2" t="e">
        <f ca="1">_xll.BDH($C$603,"TOT_DEBT_TO_TOT_EQY","FQ2 2017","FQ2 2017","Currency=INR","Period=FQ","BEST_FPERIOD_OVERRIDE=FQ","FILING_STATUS=OR","EQY_CONSOLIDATED=Y","Sort=A","Dates=H","DateFormat=P","Fill=—","Direction=H","UseDPDF=Y")</f>
        <v>#NAME?</v>
      </c>
      <c r="CL620" s="2" t="e">
        <f ca="1">_xll.BDH($C$603,"TOT_DEBT_TO_TOT_CAP","FQ2 2017","FQ2 2017","Currency=INR","Period=FQ","BEST_FPERIOD_OVERRIDE=FQ","FILING_STATUS=OR","EQY_CONSOLIDATED=Y","Sort=A","Dates=H","DateFormat=P","Fill=—","Direction=H","UseDPDF=Y")</f>
        <v>#NAME?</v>
      </c>
      <c r="CM620" s="2" t="e">
        <f ca="1">_xll.BDH($C$603,"TOT_DEBT_TO_TOT_ASSET","FQ2 2017","FQ2 2017","Currency=INR","Period=FQ","BEST_FPERIOD_OVERRIDE=FQ","FILING_STATUS=OR","EQY_CONSOLIDATED=Y","Sort=A","Dates=H","DateFormat=P","Fill=—","Direction=H","UseDPDF=Y")</f>
        <v>#NAME?</v>
      </c>
      <c r="CN620" s="2" t="e">
        <f ca="1">_xll.BDH($C$603,"NET_DEBT_TO_SHRHLDR_EQTY","FQ2 2017","FQ2 2017","Currency=INR","Period=FQ","BEST_FPERIOD_OVERRIDE=FQ","FILING_STATUS=OR","EQY_CONSOLIDATED=Y","Sort=A","Dates=H","DateFormat=P","Fill=—","Direction=H","UseDPDF=Y")</f>
        <v>#NAME?</v>
      </c>
      <c r="CO620" s="2" t="e">
        <f ca="1">_xll.BDH($C$603,"NET_DEBT_%_CAPITAL","FQ2 2017","FQ2 2017","Currency=INR","Period=FQ","BEST_FPERIOD_OVERRIDE=FQ","FILING_STATUS=OR","EQY_CONSOLIDATED=Y","Sort=A","Dates=H","DateFormat=P","Fill=—","Direction=H","UseDPDF=Y")</f>
        <v>#NAME?</v>
      </c>
      <c r="CP620" s="3" t="e">
        <f ca="1">_xll.BDH($C$603,"EBITDA","FQ2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620" s="3" t="e">
        <f ca="1">_xll.BDH($C$603,"EBITDA_AFTER_CAPEX","FQ2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620" s="3" t="e">
        <f ca="1">_xll.BDH($C$603,"IS_OPER_INC","FQ2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620" s="2" t="e">
        <f ca="1">_xll.BDH($C$603,"CASH_RATIO","FQ2 2017","FQ2 2017","Currency=INR","Period=FQ","BEST_FPERIOD_OVERRIDE=FQ","FILING_STATUS=OR","EQY_CONSOLIDATED=Y","Sort=A","Dates=H","DateFormat=P","Fill=—","Direction=H","UseDPDF=Y")</f>
        <v>#NAME?</v>
      </c>
      <c r="CT620" s="2" t="e">
        <f ca="1">_xll.BDH($C$603,"CUR_RATIO","FQ2 2017","FQ2 2017","Currency=INR","Period=FQ","BEST_FPERIOD_OVERRIDE=FQ","FILING_STATUS=OR","EQY_CONSOLIDATED=Y","Sort=A","Dates=H","DateFormat=P","Fill=—","Direction=H","UseDPDF=Y")</f>
        <v>#NAME?</v>
      </c>
      <c r="CU620" s="2" t="e">
        <f ca="1">_xll.BDH($C$603,"QUICK_RATIO","FQ2 2017","FQ2 2017","Currency=INR","Period=FQ","BEST_FPERIOD_OVERRIDE=FQ","FILING_STATUS=OR","EQY_CONSOLIDATED=Y","Sort=A","Dates=H","DateFormat=P","Fill=—","Direction=H","UseDPDF=Y")</f>
        <v>#NAME?</v>
      </c>
      <c r="CV620" s="2" t="e">
        <f ca="1">_xll.BDH($C$603,"ALTMAN_Z_SCORE","FQ2 2017","FQ2 2017","Currency=INR","Period=FQ","BEST_FPERIOD_OVERRIDE=FQ","FILING_STATUS=OR","EQY_CONSOLIDATED=Y","Sort=A","Dates=H","DateFormat=P","Fill=—","Direction=H","UseDPDF=Y")</f>
        <v>#NAME?</v>
      </c>
      <c r="CW620" s="4" t="e">
        <f ca="1">_xll.BDH($C$603,"ACCT_RCV_TURN","FQ2 2017","FQ2 2017","Currency=INR","Period=FQ","BEST_FPERIOD_OVERRIDE=FQ","FILING_STATUS=OR","EQY_CONSOLIDATED=Y","FA_ADJUSTED=GAAP","Sort=A","Dates=H","DateFormat=P","Fill=—","Direction=H","UseDPDF=Y")</f>
        <v>#NAME?</v>
      </c>
      <c r="CX620" s="2" t="e">
        <f ca="1">_xll.BDH($C$603,"ACCT_RCV_DAYS","FQ2 2017","FQ2 2017","Currency=INR","Period=FQ","BEST_FPERIOD_OVERRIDE=FQ","FILING_STATUS=OR","EQY_CONSOLIDATED=Y","FA_ADJUSTED=GAAP","Sort=A","Dates=H","DateFormat=P","Fill=—","Direction=H","UseDPDF=Y")</f>
        <v>#NAME?</v>
      </c>
      <c r="CY620" s="4" t="e">
        <f ca="1">_xll.BDH($C$603,"INVENT_TURN","FQ2 2017","FQ2 2017","Currency=INR","Period=FQ","BEST_FPERIOD_OVERRIDE=FQ","FILING_STATUS=OR","EQY_CONSOLIDATED=Y","FA_ADJUSTED=GAAP","Sort=A","Dates=H","DateFormat=P","Fill=—","Direction=H","UseDPDF=Y")</f>
        <v>#NAME?</v>
      </c>
      <c r="CZ620" s="2" t="e">
        <f ca="1">_xll.BDH($C$603,"INVENT_DAYS","FQ2 2017","FQ2 2017","Currency=INR","Period=FQ","BEST_FPERIOD_OVERRIDE=FQ","FILING_STATUS=OR","EQY_CONSOLIDATED=Y","FA_ADJUSTED=GAAP","Sort=A","Dates=H","DateFormat=P","Fill=—","Direction=H","UseDPDF=Y")</f>
        <v>#NAME?</v>
      </c>
      <c r="DA620" s="4" t="e">
        <f ca="1">_xll.BDH($C$603,"ACCOUNTS_PAYABLE_TURNOVER","FQ2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620" s="2" t="e">
        <f ca="1">_xll.BDH($C$603,"ACCOUNTS_PAYABLE_TURNOVER_DAYS","FQ2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620" s="4" t="e">
        <f ca="1">_xll.BDH($C$603,"CASH_CONVERSION_CYCLE","FQ2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620" s="4" t="e">
        <f ca="1">_xll.BDH($C$603,"INV_TO_CASH_DAYS","FQ2 2017","FQ2 2017","Currency=INR","Period=FQ","BEST_FPERIOD_OVERRIDE=FQ","FILING_STATUS=OR","EQY_CONSOLIDATED=Y","FA_ADJUSTED=GAAP","Sort=A","Dates=H","DateFormat=P","Fill=—","Direction=H","UseDPDF=Y")</f>
        <v>#NAME?</v>
      </c>
      <c r="DE620" s="5" t="e">
        <f ca="1">_xll.BDH($C$603,"BS_INVENTORIES","FQ2 2017","FQ2 2017","Currency=INR","Period=FQ","BEST_FPERIOD_OVERRIDE=FQ","FILING_STATUS=OR","EQY_CONSOLIDATED=Y","SCALING_FORMAT=MLN","Sort=A","Dates=H","DateFormat=P","Fill=—","Direction=H","UseDPDF=Y")</f>
        <v>#NAME?</v>
      </c>
      <c r="DF620" s="3" t="e">
        <f ca="1">_xll.BDH($C$603,"INVTRY_RAW_MATERIALS","FQ2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620" s="3" t="e">
        <f ca="1">_xll.BDH($C$603,"INVTRY_IN_PROGRESS","FQ2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620" s="3" t="e">
        <f ca="1">_xll.BDH($C$603,"INVTRY_FINISHED_GOODS","FQ2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620" s="3" t="e">
        <f ca="1">_xll.BDH($C$603,"BS_OTHER_INV","FQ2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621" spans="1:113" x14ac:dyDescent="0.3">
      <c r="A621" s="6"/>
      <c r="B621" s="6"/>
      <c r="C621" s="6"/>
      <c r="D621" s="6"/>
      <c r="E621" t="s">
        <v>80</v>
      </c>
      <c r="F621" t="e">
        <f ca="1">_xll.BDH($C$603,"RETURN_COM_EQY","FQ3 2017","FQ3 2017","Currency=INR","Period=FQ","BEST_FPERIOD_OVERRIDE=FQ","FILING_STATUS=OR","EQY_CONSOLIDATED=Y","FA_ADJUSTED=GAAP","Sort=A","Dates=H","DateFormat=P","Fill=—","Direction=H","UseDPDF=Y")</f>
        <v>#NAME?</v>
      </c>
      <c r="G621" t="e">
        <f ca="1">_xll.BDH($C$603,"RETURN_ON_ASSET","FQ3 2017","FQ3 2017","Currency=INR","Period=FQ","BEST_FPERIOD_OVERRIDE=FQ","FILING_STATUS=OR","EQY_CONSOLIDATED=Y","FA_ADJUSTED=GAAP","Sort=A","Dates=H","DateFormat=P","Fill=—","Direction=H","UseDPDF=Y")</f>
        <v>#NAME?</v>
      </c>
      <c r="H621" t="e">
        <f ca="1">_xll.BDH($C$603,"RETURN_ON_CAP","FQ3 2017","FQ3 2017","Currency=INR","Period=FQ","BEST_FPERIOD_OVERRIDE=FQ","FILING_STATUS=OR","EQY_CONSOLIDATED=Y","FA_ADJUSTED=GAAP","Sort=A","Dates=H","DateFormat=P","Fill=—","Direction=H","UseDPDF=Y")</f>
        <v>#NAME?</v>
      </c>
      <c r="I621" t="e">
        <f ca="1">_xll.BDH($C$603,"RETURN_ON_INV_CAPITAL","FQ3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621" t="e">
        <f ca="1">_xll.BDH($C$603,"EBITDA_TO_REVENUE","FQ3 2017","FQ3 2017","Currency=INR","Period=FQ","BEST_FPERIOD_OVERRIDE=FQ","FILING_STATUS=OR","EQY_CONSOLIDATED=Y","FA_ADJUSTED=GAAP","Sort=A","Dates=H","DateFormat=P","Fill=—","Direction=H","UseDPDF=Y")</f>
        <v>#NAME?</v>
      </c>
      <c r="K621" t="e">
        <f ca="1">_xll.BDH($C$603,"OPER_MARGIN","FQ3 2017","FQ3 2017","Currency=INR","Period=FQ","BEST_FPERIOD_OVERRIDE=FQ","FILING_STATUS=OR","EQY_CONSOLIDATED=Y","FA_ADJUSTED=GAAP","Sort=A","Dates=H","DateFormat=P","Fill=—","Direction=H","UseDPDF=Y")</f>
        <v>#NAME?</v>
      </c>
      <c r="L621" t="e">
        <f ca="1">_xll.BDH($C$603,"INCREMENTAL_OPERATING_MARGIN","FQ3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621" t="e">
        <f ca="1">_xll.BDH($C$603,"PRETAX_INC_TO_NET_SALES","FQ3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621" t="e">
        <f ca="1">_xll.BDH($C$603,"INC_BEF_XO_ITEMS_TO_NET_SALES","FQ3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621" t="e">
        <f ca="1">_xll.BDH($C$603,"PROF_MARGIN","FQ3 2017","FQ3 2017","Currency=INR","Period=FQ","BEST_FPERIOD_OVERRIDE=FQ","FILING_STATUS=OR","EQY_CONSOLIDATED=Y","FA_ADJUSTED=GAAP","Sort=A","Dates=H","DateFormat=P","Fill=—","Direction=H","UseDPDF=Y")</f>
        <v>#NAME?</v>
      </c>
      <c r="P621" t="e">
        <f ca="1">_xll.BDH($C$603,"NET_INCOME_TO_COMMON_MARGIN","FQ3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621" t="e">
        <f ca="1">_xll.BDH($C$603,"EFF_TAX_RATE","FQ3 2017","FQ3 2017","Currency=INR","Period=FQ","BEST_FPERIOD_OVERRIDE=FQ","FILING_STATUS=OR","EQY_CONSOLIDATED=Y","FA_ADJUSTED=GAAP","Sort=A","Dates=H","DateFormat=P","Fill=—","Direction=H","UseDPDF=Y")</f>
        <v>#NAME?</v>
      </c>
      <c r="R621" t="e">
        <f ca="1">_xll.BDH($C$603,"DVD_PAYOUT_RATIO","FQ3 2017","FQ3 2017","Currency=INR","Period=FQ","BEST_FPERIOD_OVERRIDE=FQ","FILING_STATUS=OR","EQY_CONSOLIDATED=Y","FA_ADJUSTED=GAAP","Sort=A","Dates=H","DateFormat=P","Fill=—","Direction=H","UseDPDF=Y")</f>
        <v>#NAME?</v>
      </c>
      <c r="S621" t="e">
        <f ca="1">_xll.BDH($C$603,"SUSTAIN_GROWTH_RT","FQ3 2017","FQ3 2017","Currency=INR","Period=FQ","BEST_FPERIOD_OVERRIDE=FQ","FILING_STATUS=OR","EQY_CONSOLIDATED=Y","FA_ADJUSTED=GAAP","Sort=A","Dates=H","DateFormat=P","Fill=—","Direction=H","UseDPDF=Y")</f>
        <v>#NAME?</v>
      </c>
      <c r="T621" s="2" t="e">
        <f ca="1">_xll.BDH($C$603,"SALES_GROWTH","FQ3 2017","FQ3 2017","Currency=INR","Period=FQ","BEST_FPERIOD_OVERRIDE=FQ","FILING_STATUS=OR","EQY_CONSOLIDATED=Y","FA_ADJUSTED=GAAP","Sort=A","Dates=H","DateFormat=P","Fill=—","Direction=H","UseDPDF=Y")</f>
        <v>#NAME?</v>
      </c>
      <c r="U621" s="2" t="e">
        <f ca="1">_xll.BDH($C$603,"EBITDA_GROWTH","FQ3 2017","FQ3 2017","Currency=INR","Period=FQ","BEST_FPERIOD_OVERRIDE=FQ","FILING_STATUS=OR","EQY_CONSOLIDATED=Y","FA_ADJUSTED=GAAP","Sort=A","Dates=H","DateFormat=P","Fill=—","Direction=H","UseDPDF=Y")</f>
        <v>#NAME?</v>
      </c>
      <c r="V621" s="2" t="e">
        <f ca="1">_xll.BDH($C$603,"OPER_INC_GROWTH","FQ3 2017","FQ3 2017","Currency=INR","Period=FQ","BEST_FPERIOD_OVERRIDE=FQ","FILING_STATUS=OR","EQY_CONSOLIDATED=Y","FA_ADJUSTED=GAAP","Sort=A","Dates=H","DateFormat=P","Fill=—","Direction=H","UseDPDF=Y")</f>
        <v>#NAME?</v>
      </c>
      <c r="W621" s="2" t="e">
        <f ca="1">_xll.BDH($C$603,"EARN_FOR_COM_GROWTH","FQ3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621" s="2" t="e">
        <f ca="1">_xll.BDH($C$603,"DILUTED_EPS_AFT_XO_ITEMS_GROWTH","FQ3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621" s="2" t="e">
        <f ca="1">_xll.BDH($C$603,"DIVIDEND_PER_SHARE_1_YEAR_GROWTH","FQ3 2017","FQ3 2017","Currency=INR","Period=FQ","BEST_FPERIOD_OVERRIDE=FQ","FILING_STATUS=OR","EQY_CONSOLIDATED=Y","Sort=A","Dates=H","DateFormat=P","Fill=—","Direction=H","UseDPDF=Y")</f>
        <v>#NAME?</v>
      </c>
      <c r="Z621" s="2" t="e">
        <f ca="1">_xll.BDH($C$603,"ACCOUNTS_RECEIVABLE_GROWTH","FQ3 2017","FQ3 2017","Currency=INR","Period=FQ","BEST_FPERIOD_OVERRIDE=FQ","FILING_STATUS=OR","EQY_CONSOLIDATED=Y","Sort=A","Dates=H","DateFormat=P","Fill=—","Direction=H","UseDPDF=Y")</f>
        <v>#NAME?</v>
      </c>
      <c r="AA621" s="2" t="e">
        <f ca="1">_xll.BDH($C$603,"INVENTORY_GROWTH","FQ3 2017","FQ3 2017","Currency=INR","Period=FQ","BEST_FPERIOD_OVERRIDE=FQ","FILING_STATUS=OR","EQY_CONSOLIDATED=Y","Sort=A","Dates=H","DateFormat=P","Fill=—","Direction=H","UseDPDF=Y")</f>
        <v>#NAME?</v>
      </c>
      <c r="AB621" s="2" t="e">
        <f ca="1">_xll.BDH($C$603,"NET_FIXED_ASSETS_1_YEAR_GROWTH","FQ3 2017","FQ3 2017","Currency=INR","Period=FQ","BEST_FPERIOD_OVERRIDE=FQ","FILING_STATUS=OR","EQY_CONSOLIDATED=Y","Sort=A","Dates=H","DateFormat=P","Fill=—","Direction=H","UseDPDF=Y")</f>
        <v>#NAME?</v>
      </c>
      <c r="AC621" s="2" t="e">
        <f ca="1">_xll.BDH($C$603,"ASSET_GROWTH","FQ3 2017","FQ3 2017","Currency=INR","Period=FQ","BEST_FPERIOD_OVERRIDE=FQ","FILING_STATUS=OR","EQY_CONSOLIDATED=Y","Sort=A","Dates=H","DateFormat=P","Fill=—","Direction=H","UseDPDF=Y")</f>
        <v>#NAME?</v>
      </c>
      <c r="AD621" s="2" t="e">
        <f ca="1">_xll.BDH($C$603,"MODIFIED_WORK_CAP_GROWTH","FQ3 2017","FQ3 2017","Currency=INR","Period=FQ","BEST_FPERIOD_OVERRIDE=FQ","FILING_STATUS=OR","EQY_CONSOLIDATED=Y","Sort=A","Dates=H","DateFormat=P","Fill=—","Direction=H","UseDPDF=Y")</f>
        <v>#NAME?</v>
      </c>
      <c r="AE621" s="2" t="e">
        <f ca="1">_xll.BDH($C$603,"WORK_CAP_GROWTH","FQ3 2017","FQ3 2017","Currency=INR","Period=FQ","BEST_FPERIOD_OVERRIDE=FQ","FILING_STATUS=OR","EQY_CONSOLIDATED=Y","Sort=A","Dates=H","DateFormat=P","Fill=—","Direction=H","UseDPDF=Y")</f>
        <v>#NAME?</v>
      </c>
      <c r="AF621" s="2" t="e">
        <f ca="1">_xll.BDH($C$603,"ACCOUNTS_PAYABLE_GROWTH_1YR","FQ3 2017","FQ3 2017","Currency=INR","Period=FQ","BEST_FPERIOD_OVERRIDE=FQ","FILING_STATUS=OR","EQY_CONSOLIDATED=Y","Sort=A","Dates=H","DateFormat=P","Fill=—","Direction=H","UseDPDF=Y")</f>
        <v>#NAME?</v>
      </c>
      <c r="AG621" s="2" t="e">
        <f ca="1">_xll.BDH($C$603,"SHORT_TERM_DEBT_1_YEAR_GROWTH","FQ3 2017","FQ3 2017","Currency=INR","Period=FQ","BEST_FPERIOD_OVERRIDE=FQ","FILING_STATUS=OR","EQY_CONSOLIDATED=Y","Sort=A","Dates=H","DateFormat=P","Fill=—","Direction=H","UseDPDF=Y")</f>
        <v>#NAME?</v>
      </c>
      <c r="AH621" s="2" t="e">
        <f ca="1">_xll.BDH($C$603,"TOTAL_DEBT_1_YEAR_GROWTH","FQ3 2017","FQ3 2017","Currency=INR","Period=FQ","BEST_FPERIOD_OVERRIDE=FQ","FILING_STATUS=OR","EQY_CONSOLIDATED=Y","Sort=A","Dates=H","DateFormat=P","Fill=—","Direction=H","UseDPDF=Y")</f>
        <v>#NAME?</v>
      </c>
      <c r="AI621" s="2" t="e">
        <f ca="1">_xll.BDH($C$603,"TOTAL_EQUITY_1_YEAR_GROWTH","FQ3 2017","FQ3 2017","Currency=INR","Period=FQ","BEST_FPERIOD_OVERRIDE=FQ","FILING_STATUS=OR","EQY_CONSOLIDATED=Y","Sort=A","Dates=H","DateFormat=P","Fill=—","Direction=H","UseDPDF=Y")</f>
        <v>#NAME?</v>
      </c>
      <c r="AJ621" s="2" t="e">
        <f ca="1">_xll.BDH($C$603,"GROWTH_IN_CAP","FQ3 2017","FQ3 2017","Currency=INR","Period=FQ","BEST_FPERIOD_OVERRIDE=FQ","FILING_STATUS=OR","EQY_CONSOLIDATED=Y","Sort=A","Dates=H","DateFormat=P","Fill=—","Direction=H","UseDPDF=Y")</f>
        <v>#NAME?</v>
      </c>
      <c r="AK621" s="2" t="e">
        <f ca="1">_xll.BDH($C$603,"BVPS_GROWTH","FQ3 2017","FQ3 2017","Currency=INR","Period=FQ","BEST_FPERIOD_OVERRIDE=FQ","FILING_STATUS=OR","EQY_CONSOLIDATED=Y","Sort=A","Dates=H","DateFormat=P","Fill=—","Direction=H","UseDPDF=Y")</f>
        <v>#NAME?</v>
      </c>
      <c r="AL621" s="2" t="e">
        <f ca="1">_xll.BDH($C$603,"CASH_FLOW_GROWTH","FQ3 2017","FQ3 2017","Currency=INR","Period=FQ","BEST_FPERIOD_OVERRIDE=FQ","FILING_STATUS=OR","EQY_CONSOLIDATED=Y","Sort=A","Dates=H","DateFormat=P","Fill=—","Direction=H","UseDPDF=Y")</f>
        <v>#NAME?</v>
      </c>
      <c r="AM621" s="2" t="e">
        <f ca="1">_xll.BDH($C$603,"GEO_GROW_NET_SALES","FQ3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621" s="2" t="e">
        <f ca="1">_xll.BDH($C$603,"GEO_GROW_EBITDA","FQ3 2017","FQ3 2017","Currency=INR","Period=FQ","BEST_FPERIOD_OVERRIDE=FQ","FILING_STATUS=OR","EQY_CONSOLIDATED=Y","FA_ADJUSTED=GAAP","Sort=A","Dates=H","DateFormat=P","Fill=—","Direction=H","UseDPDF=Y")</f>
        <v>#NAME?</v>
      </c>
      <c r="AO621" s="2" t="e">
        <f ca="1">_xll.BDH($C$603,"GEO_GROW_OPER_INC","FQ3 2017","FQ3 2017","Currency=INR","Period=FQ","BEST_FPERIOD_OVERRIDE=FQ","FILING_STATUS=OR","EQY_CONSOLIDATED=Y","FA_ADJUSTED=GAAP","Sort=A","Dates=H","DateFormat=P","Fill=—","Direction=H","UseDPDF=Y")</f>
        <v>#NAME?</v>
      </c>
      <c r="AP621" s="2" t="e">
        <f ca="1">_xll.BDH($C$603,"NET_INCOME_TO_COMMON_5_YR_GROWTH","FQ3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621" s="2" t="e">
        <f ca="1">_xll.BDH($C$603,"5Y_GEO_GROWTH_DILUTED_EPS","FQ3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621" s="2" t="e">
        <f ca="1">_xll.BDH($C$603,"GEO_GROW_DVD_PER_SH","FQ3 2017","FQ3 2017","Currency=INR","Period=FQ","BEST_FPERIOD_OVERRIDE=FQ","FILING_STATUS=OR","EQY_CONSOLIDATED=Y","Sort=A","Dates=H","DateFormat=P","Fill=—","Direction=H","UseDPDF=Y")</f>
        <v>#NAME?</v>
      </c>
      <c r="AS621" s="2" t="e">
        <f ca="1">_xll.BDH($C$603,"ACCOUNTS_RECEIVABLE_5_YR_GROWTH","FQ3 2017","FQ3 2017","Currency=INR","Period=FQ","BEST_FPERIOD_OVERRIDE=FQ","FILING_STATUS=OR","EQY_CONSOLIDATED=Y","Sort=A","Dates=H","DateFormat=P","Fill=—","Direction=H","UseDPDF=Y")</f>
        <v>#NAME?</v>
      </c>
      <c r="AT621" s="2" t="e">
        <f ca="1">_xll.BDH($C$603,"INVENTORY_5_YEAR_GROWTH","FQ3 2017","FQ3 2017","Currency=INR","Period=FQ","BEST_FPERIOD_OVERRIDE=FQ","FILING_STATUS=OR","EQY_CONSOLIDATED=Y","Sort=A","Dates=H","DateFormat=P","Fill=—","Direction=H","UseDPDF=Y")</f>
        <v>#NAME?</v>
      </c>
      <c r="AU621" s="2" t="e">
        <f ca="1">_xll.BDH($C$603,"NET_FIXED_ASSETS_5_YEAR_GROWTH","FQ3 2017","FQ3 2017","Currency=INR","Period=FQ","BEST_FPERIOD_OVERRIDE=FQ","FILING_STATUS=OR","EQY_CONSOLIDATED=Y","Sort=A","Dates=H","DateFormat=P","Fill=—","Direction=H","UseDPDF=Y")</f>
        <v>#NAME?</v>
      </c>
      <c r="AV621" s="2" t="e">
        <f ca="1">_xll.BDH($C$603,"GEO_GROW_TOT_ASSET","FQ3 2017","FQ3 2017","Currency=INR","Period=FQ","BEST_FPERIOD_OVERRIDE=FQ","FILING_STATUS=OR","EQY_CONSOLIDATED=Y","Sort=A","Dates=H","DateFormat=P","Fill=—","Direction=H","UseDPDF=Y")</f>
        <v>#NAME?</v>
      </c>
      <c r="AW621" s="2" t="e">
        <f ca="1">_xll.BDH($C$603,"MODIFIED_WORKING_CPTL_5YR_GRWTH","FQ3 2017","FQ3 2017","Currency=INR","Period=FQ","BEST_FPERIOD_OVERRIDE=FQ","FILING_STATUS=OR","EQY_CONSOLIDATED=Y","Sort=A","Dates=H","DateFormat=P","Fill=—","Direction=H","UseDPDF=Y")</f>
        <v>#NAME?</v>
      </c>
      <c r="AX621" s="2" t="e">
        <f ca="1">_xll.BDH($C$603,"WORKING_CAPITAL_5_YEAR_GROWTH","FQ3 2017","FQ3 2017","Currency=INR","Period=FQ","BEST_FPERIOD_OVERRIDE=FQ","FILING_STATUS=OR","EQY_CONSOLIDATED=Y","Sort=A","Dates=H","DateFormat=P","Fill=—","Direction=H","UseDPDF=Y")</f>
        <v>#NAME?</v>
      </c>
      <c r="AY621" s="2" t="e">
        <f ca="1">_xll.BDH($C$603,"ACCOUNTS_PAYABLE_5_YEAR_GROWTH","FQ3 2017","FQ3 2017","Currency=INR","Period=FQ","BEST_FPERIOD_OVERRIDE=FQ","FILING_STATUS=OR","EQY_CONSOLIDATED=Y","Sort=A","Dates=H","DateFormat=P","Fill=—","Direction=H","UseDPDF=Y")</f>
        <v>#NAME?</v>
      </c>
      <c r="AZ621" s="2" t="e">
        <f ca="1">_xll.BDH($C$603,"SHORT_TERM_DEBT_5_YEAR_GROWTH","FQ3 2017","FQ3 2017","Currency=INR","Period=FQ","BEST_FPERIOD_OVERRIDE=FQ","FILING_STATUS=OR","EQY_CONSOLIDATED=Y","Sort=A","Dates=H","DateFormat=P","Fill=—","Direction=H","UseDPDF=Y")</f>
        <v>#NAME?</v>
      </c>
      <c r="BA621" s="2" t="e">
        <f ca="1">_xll.BDH($C$603,"TOTAL_DEBT_5_YEAR_GROWTH","FQ3 2017","FQ3 2017","Currency=INR","Period=FQ","BEST_FPERIOD_OVERRIDE=FQ","FILING_STATUS=OR","EQY_CONSOLIDATED=Y","Sort=A","Dates=H","DateFormat=P","Fill=—","Direction=H","UseDPDF=Y")</f>
        <v>#NAME?</v>
      </c>
      <c r="BB621" s="2" t="e">
        <f ca="1">_xll.BDH($C$603,"GEO_GROW_TOT_SHRHLDR_EQY","FQ3 2017","FQ3 2017","Currency=INR","Period=FQ","BEST_FPERIOD_OVERRIDE=FQ","FILING_STATUS=OR","EQY_CONSOLIDATED=Y","Sort=A","Dates=H","DateFormat=P","Fill=—","Direction=H","UseDPDF=Y")</f>
        <v>#NAME?</v>
      </c>
      <c r="BC621" s="2" t="e">
        <f ca="1">_xll.BDH($C$603,"TOTAL_CAPITAL_5_YEAR_GROWTH","FQ3 2017","FQ3 2017","Currency=INR","Period=FQ","BEST_FPERIOD_OVERRIDE=FQ","FILING_STATUS=OR","EQY_CONSOLIDATED=Y","Sort=A","Dates=H","DateFormat=P","Fill=—","Direction=H","UseDPDF=Y")</f>
        <v>#NAME?</v>
      </c>
      <c r="BD621" s="2" t="e">
        <f ca="1">_xll.BDH($C$603,"GEO_GROW_BOOK_VAL","FQ3 2017","FQ3 2017","Currency=INR","Period=FQ","BEST_FPERIOD_OVERRIDE=FQ","FILING_STATUS=OR","EQY_CONSOLIDATED=Y","Sort=A","Dates=H","DateFormat=P","Fill=—","Direction=H","UseDPDF=Y")</f>
        <v>#NAME?</v>
      </c>
      <c r="BE621" s="2" t="e">
        <f ca="1">_xll.BDH($C$603,"GEO_GROW_CASH_OPER_ACT","FQ3 2017","FQ3 2017","Currency=INR","Period=FQ","BEST_FPERIOD_OVERRIDE=FQ","FILING_STATUS=OR","EQY_CONSOLIDATED=Y","Sort=A","Dates=H","DateFormat=P","Fill=—","Direction=H","UseDPDF=Y")</f>
        <v>#NAME?</v>
      </c>
      <c r="BF621" s="2" t="e">
        <f ca="1">_xll.BDH($C$603,"REVENUE_SEQUENTIAL_GROWTH","FQ3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621" s="2" t="e">
        <f ca="1">_xll.BDH($C$603,"EBITDA_SEQUENTIAL_GROWTH","FQ3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621" s="2" t="e">
        <f ca="1">_xll.BDH($C$603,"OPERATING_INCOME_SEQ_GROWTH","FQ3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621" s="2" t="e">
        <f ca="1">_xll.BDH($C$603,"NET_INCOME_TO_COMMON_SEQ_GROWTH","FQ3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621" s="2" t="e">
        <f ca="1">_xll.BDH($C$603,"EPS_DILUTED_SEQUENTIAL_GROWTH","FQ3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621" s="2" t="e">
        <f ca="1">_xll.BDH($C$603,"DPS_SEQUENTIAL_GROWTH","FQ3 2017","FQ3 2017","Currency=INR","Period=FQ","BEST_FPERIOD_OVERRIDE=FQ","FILING_STATUS=OR","EQY_CONSOLIDATED=Y","Sort=A","Dates=H","DateFormat=P","Fill=—","Direction=H","UseDPDF=Y")</f>
        <v>#NAME?</v>
      </c>
      <c r="BL621" s="2" t="e">
        <f ca="1">_xll.BDH($C$603,"ACCOUNTS_RECEIVABLE_SEQ_GROWTH","FQ3 2017","FQ3 2017","Currency=INR","Period=FQ","BEST_FPERIOD_OVERRIDE=FQ","FILING_STATUS=OR","EQY_CONSOLIDATED=Y","Sort=A","Dates=H","DateFormat=P","Fill=—","Direction=H","UseDPDF=Y")</f>
        <v>#NAME?</v>
      </c>
      <c r="BM621" s="2" t="e">
        <f ca="1">_xll.BDH($C$603,"INVENTORY_SEQUENTIAL_GROWTH","FQ3 2017","FQ3 2017","Currency=INR","Period=FQ","BEST_FPERIOD_OVERRIDE=FQ","FILING_STATUS=OR","EQY_CONSOLIDATED=Y","Sort=A","Dates=H","DateFormat=P","Fill=—","Direction=H","UseDPDF=Y")</f>
        <v>#NAME?</v>
      </c>
      <c r="BN621" s="2" t="e">
        <f ca="1">_xll.BDH($C$603,"FIXED_ASSETS_SEQUENTIAL_GROWTH","FQ3 2017","FQ3 2017","Currency=INR","Period=FQ","BEST_FPERIOD_OVERRIDE=FQ","FILING_STATUS=OR","EQY_CONSOLIDATED=Y","Sort=A","Dates=H","DateFormat=P","Fill=—","Direction=H","UseDPDF=Y")</f>
        <v>#NAME?</v>
      </c>
      <c r="BO621" s="2" t="e">
        <f ca="1">_xll.BDH($C$603,"TOTAL_ASSETS_SEQUENTIAL_GROWTH","FQ3 2017","FQ3 2017","Currency=INR","Period=FQ","BEST_FPERIOD_OVERRIDE=FQ","FILING_STATUS=OR","EQY_CONSOLIDATED=Y","Sort=A","Dates=H","DateFormat=P","Fill=—","Direction=H","UseDPDF=Y")</f>
        <v>#NAME?</v>
      </c>
      <c r="BP621" s="2" t="e">
        <f ca="1">_xll.BDH($C$603,"MODIFIED_WORKING_CPTL_SEQ_GRWTH","FQ3 2017","FQ3 2017","Currency=INR","Period=FQ","BEST_FPERIOD_OVERRIDE=FQ","FILING_STATUS=OR","EQY_CONSOLIDATED=Y","Sort=A","Dates=H","DateFormat=P","Fill=—","Direction=H","UseDPDF=Y")</f>
        <v>#NAME?</v>
      </c>
      <c r="BQ621" s="2" t="e">
        <f ca="1">_xll.BDH($C$603,"WORKING_CAPITAL_SEQ_GROWTH","FQ3 2017","FQ3 2017","Currency=INR","Period=FQ","BEST_FPERIOD_OVERRIDE=FQ","FILING_STATUS=OR","EQY_CONSOLIDATED=Y","Sort=A","Dates=H","DateFormat=P","Fill=—","Direction=H","UseDPDF=Y")</f>
        <v>#NAME?</v>
      </c>
      <c r="BR621" s="2" t="e">
        <f ca="1">_xll.BDH($C$603,"ACCOUNTS_PAYABLE_SEQ_GROWTH","FQ3 2017","FQ3 2017","Currency=INR","Period=FQ","BEST_FPERIOD_OVERRIDE=FQ","FILING_STATUS=OR","EQY_CONSOLIDATED=Y","Sort=A","Dates=H","DateFormat=P","Fill=—","Direction=H","UseDPDF=Y")</f>
        <v>#NAME?</v>
      </c>
      <c r="BS621" s="2" t="e">
        <f ca="1">_xll.BDH($C$603,"ST_DEBT_SEQUENTIAL_GROWTH","FQ3 2017","FQ3 2017","Currency=INR","Period=FQ","BEST_FPERIOD_OVERRIDE=FQ","FILING_STATUS=OR","EQY_CONSOLIDATED=Y","Sort=A","Dates=H","DateFormat=P","Fill=—","Direction=H","UseDPDF=Y")</f>
        <v>#NAME?</v>
      </c>
      <c r="BT621" s="2" t="e">
        <f ca="1">_xll.BDH($C$603,"TOTAL_DEBT_SEQUENTIAL_GROWTH","FQ3 2017","FQ3 2017","Currency=INR","Period=FQ","BEST_FPERIOD_OVERRIDE=FQ","FILING_STATUS=OR","EQY_CONSOLIDATED=Y","Sort=A","Dates=H","DateFormat=P","Fill=—","Direction=H","UseDPDF=Y")</f>
        <v>#NAME?</v>
      </c>
      <c r="BU621" s="2" t="e">
        <f ca="1">_xll.BDH($C$603,"TOTAL_EQUITY_SEQUENTIAL_GROWTH","FQ3 2017","FQ3 2017","Currency=INR","Period=FQ","BEST_FPERIOD_OVERRIDE=FQ","FILING_STATUS=OR","EQY_CONSOLIDATED=Y","Sort=A","Dates=H","DateFormat=P","Fill=—","Direction=H","UseDPDF=Y")</f>
        <v>#NAME?</v>
      </c>
      <c r="BV621" s="2" t="e">
        <f ca="1">_xll.BDH($C$603,"TOTAL_CAPITAL_SEQUENTIAL_GROWTH","FQ3 2017","FQ3 2017","Currency=INR","Period=FQ","BEST_FPERIOD_OVERRIDE=FQ","FILING_STATUS=OR","EQY_CONSOLIDATED=Y","Sort=A","Dates=H","DateFormat=P","Fill=—","Direction=H","UseDPDF=Y")</f>
        <v>#NAME?</v>
      </c>
      <c r="BW621" s="2" t="e">
        <f ca="1">_xll.BDH($C$603,"BPS_SEQUENTIAL_GROWTH","FQ3 2017","FQ3 2017","Currency=INR","Period=FQ","BEST_FPERIOD_OVERRIDE=FQ","FILING_STATUS=OR","EQY_CONSOLIDATED=Y","Sort=A","Dates=H","DateFormat=P","Fill=—","Direction=H","UseDPDF=Y")</f>
        <v>#NAME?</v>
      </c>
      <c r="BX621" s="2" t="e">
        <f ca="1">_xll.BDH($C$603,"CFO_SEQUENTIAL_GROWTH","FQ3 2017","FQ3 2017","Currency=INR","Period=FQ","BEST_FPERIOD_OVERRIDE=FQ","FILING_STATUS=OR","EQY_CONSOLIDATED=Y","Sort=A","Dates=H","DateFormat=P","Fill=—","Direction=H","UseDPDF=Y")</f>
        <v>#NAME?</v>
      </c>
      <c r="BY621" s="3" t="e">
        <f ca="1">_xll.BDH($C$603,"SHORT_AND_LONG_TERM_DEBT","FQ3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621" s="3" t="e">
        <f ca="1">_xll.BDH($C$603,"BS_ST_BORROW","FQ3 2017","FQ3 2017","Currency=INR","Period=FQ","BEST_FPERIOD_OVERRIDE=FQ","FILING_STATUS=OR","EQY_CONSOLIDATED=Y","SCALING_FORMAT=MLN","Sort=A","Dates=H","DateFormat=P","Fill=—","Direction=H","UseDPDF=Y")</f>
        <v>#NAME?</v>
      </c>
      <c r="CA621" s="3" t="e">
        <f ca="1">_xll.BDH($C$603,"BS_LT_BORROW","FQ3 2017","FQ3 2017","Currency=INR","Period=FQ","BEST_FPERIOD_OVERRIDE=FQ","FILING_STATUS=OR","EQY_CONSOLIDATED=Y","SCALING_FORMAT=MLN","Sort=A","Dates=H","DateFormat=P","Fill=—","Direction=H","UseDPDF=Y")</f>
        <v>#NAME?</v>
      </c>
      <c r="CB621" s="2" t="e">
        <f ca="1">_xll.BDH($C$603,"TOT_DEBT_TO_EBITDA","FQ3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621" s="2" t="e">
        <f ca="1">_xll.BDH($C$603,"NET_DEBT_TO_EBITDA","FQ3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621" s="2" t="e">
        <f ca="1">_xll.BDH($C$603,"TOTAL_DEBT_TO_EBIT","FQ3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621" s="2" t="e">
        <f ca="1">_xll.BDH($C$603,"NET_DEBT_TO_EBIT","FQ3 2017","FQ3 2017","Currency=INR","Period=FQ","BEST_FPERIOD_OVERRIDE=FQ","FILING_STATUS=OR","EQY_CONSOLIDATED=Y","FA_ADJUSTED=GAAP","Sort=A","Dates=H","DateFormat=P","Fill=—","Direction=H","UseDPDF=Y")</f>
        <v>#NAME?</v>
      </c>
      <c r="CF621" s="2" t="e">
        <f ca="1">_xll.BDH($C$603,"EBITDA_TO_INTEREST_EXPN","FQ3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621" s="2" t="e">
        <f ca="1">_xll.BDH($C$603,"COM_EQY_TO_TOT_ASSET","FQ3 2017","FQ3 2017","Currency=INR","Period=FQ","BEST_FPERIOD_OVERRIDE=FQ","FILING_STATUS=OR","EQY_CONSOLIDATED=Y","Sort=A","Dates=H","DateFormat=P","Fill=—","Direction=H","UseDPDF=Y")</f>
        <v>#NAME?</v>
      </c>
      <c r="CH621" s="2" t="e">
        <f ca="1">_xll.BDH($C$603,"LT_DEBT_TO_TOT_EQY","FQ3 2017","FQ3 2017","Currency=INR","Period=FQ","BEST_FPERIOD_OVERRIDE=FQ","FILING_STATUS=OR","EQY_CONSOLIDATED=Y","Sort=A","Dates=H","DateFormat=P","Fill=—","Direction=H","UseDPDF=Y")</f>
        <v>#NAME?</v>
      </c>
      <c r="CI621" s="2" t="e">
        <f ca="1">_xll.BDH($C$603,"LT_DEBT_TO_TOT_CAP","FQ3 2017","FQ3 2017","Currency=INR","Period=FQ","BEST_FPERIOD_OVERRIDE=FQ","FILING_STATUS=OR","EQY_CONSOLIDATED=Y","Sort=A","Dates=H","DateFormat=P","Fill=—","Direction=H","UseDPDF=Y")</f>
        <v>#NAME?</v>
      </c>
      <c r="CJ621" s="2" t="e">
        <f ca="1">_xll.BDH($C$603,"LT_DEBT_TO_TOT_ASSET","FQ3 2017","FQ3 2017","Currency=INR","Period=FQ","BEST_FPERIOD_OVERRIDE=FQ","FILING_STATUS=OR","EQY_CONSOLIDATED=Y","Sort=A","Dates=H","DateFormat=P","Fill=—","Direction=H","UseDPDF=Y")</f>
        <v>#NAME?</v>
      </c>
      <c r="CK621" s="2" t="e">
        <f ca="1">_xll.BDH($C$603,"TOT_DEBT_TO_TOT_EQY","FQ3 2017","FQ3 2017","Currency=INR","Period=FQ","BEST_FPERIOD_OVERRIDE=FQ","FILING_STATUS=OR","EQY_CONSOLIDATED=Y","Sort=A","Dates=H","DateFormat=P","Fill=—","Direction=H","UseDPDF=Y")</f>
        <v>#NAME?</v>
      </c>
      <c r="CL621" s="2" t="e">
        <f ca="1">_xll.BDH($C$603,"TOT_DEBT_TO_TOT_CAP","FQ3 2017","FQ3 2017","Currency=INR","Period=FQ","BEST_FPERIOD_OVERRIDE=FQ","FILING_STATUS=OR","EQY_CONSOLIDATED=Y","Sort=A","Dates=H","DateFormat=P","Fill=—","Direction=H","UseDPDF=Y")</f>
        <v>#NAME?</v>
      </c>
      <c r="CM621" s="2" t="e">
        <f ca="1">_xll.BDH($C$603,"TOT_DEBT_TO_TOT_ASSET","FQ3 2017","FQ3 2017","Currency=INR","Period=FQ","BEST_FPERIOD_OVERRIDE=FQ","FILING_STATUS=OR","EQY_CONSOLIDATED=Y","Sort=A","Dates=H","DateFormat=P","Fill=—","Direction=H","UseDPDF=Y")</f>
        <v>#NAME?</v>
      </c>
      <c r="CN621" s="2" t="e">
        <f ca="1">_xll.BDH($C$603,"NET_DEBT_TO_SHRHLDR_EQTY","FQ3 2017","FQ3 2017","Currency=INR","Period=FQ","BEST_FPERIOD_OVERRIDE=FQ","FILING_STATUS=OR","EQY_CONSOLIDATED=Y","Sort=A","Dates=H","DateFormat=P","Fill=—","Direction=H","UseDPDF=Y")</f>
        <v>#NAME?</v>
      </c>
      <c r="CO621" s="2" t="e">
        <f ca="1">_xll.BDH($C$603,"NET_DEBT_%_CAPITAL","FQ3 2017","FQ3 2017","Currency=INR","Period=FQ","BEST_FPERIOD_OVERRIDE=FQ","FILING_STATUS=OR","EQY_CONSOLIDATED=Y","Sort=A","Dates=H","DateFormat=P","Fill=—","Direction=H","UseDPDF=Y")</f>
        <v>#NAME?</v>
      </c>
      <c r="CP621" s="3" t="e">
        <f ca="1">_xll.BDH($C$603,"EBITDA","FQ3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621" s="3" t="e">
        <f ca="1">_xll.BDH($C$603,"EBITDA_AFTER_CAPEX","FQ3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621" s="3" t="e">
        <f ca="1">_xll.BDH($C$603,"IS_OPER_INC","FQ3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621" s="2" t="e">
        <f ca="1">_xll.BDH($C$603,"CASH_RATIO","FQ3 2017","FQ3 2017","Currency=INR","Period=FQ","BEST_FPERIOD_OVERRIDE=FQ","FILING_STATUS=OR","EQY_CONSOLIDATED=Y","Sort=A","Dates=H","DateFormat=P","Fill=—","Direction=H","UseDPDF=Y")</f>
        <v>#NAME?</v>
      </c>
      <c r="CT621" s="2" t="e">
        <f ca="1">_xll.BDH($C$603,"CUR_RATIO","FQ3 2017","FQ3 2017","Currency=INR","Period=FQ","BEST_FPERIOD_OVERRIDE=FQ","FILING_STATUS=OR","EQY_CONSOLIDATED=Y","Sort=A","Dates=H","DateFormat=P","Fill=—","Direction=H","UseDPDF=Y")</f>
        <v>#NAME?</v>
      </c>
      <c r="CU621" s="2" t="e">
        <f ca="1">_xll.BDH($C$603,"QUICK_RATIO","FQ3 2017","FQ3 2017","Currency=INR","Period=FQ","BEST_FPERIOD_OVERRIDE=FQ","FILING_STATUS=OR","EQY_CONSOLIDATED=Y","Sort=A","Dates=H","DateFormat=P","Fill=—","Direction=H","UseDPDF=Y")</f>
        <v>#NAME?</v>
      </c>
      <c r="CV621" s="2" t="e">
        <f ca="1">_xll.BDH($C$603,"ALTMAN_Z_SCORE","FQ3 2017","FQ3 2017","Currency=INR","Period=FQ","BEST_FPERIOD_OVERRIDE=FQ","FILING_STATUS=OR","EQY_CONSOLIDATED=Y","Sort=A","Dates=H","DateFormat=P","Fill=—","Direction=H","UseDPDF=Y")</f>
        <v>#NAME?</v>
      </c>
      <c r="CW621" s="4" t="e">
        <f ca="1">_xll.BDH($C$603,"ACCT_RCV_TURN","FQ3 2017","FQ3 2017","Currency=INR","Period=FQ","BEST_FPERIOD_OVERRIDE=FQ","FILING_STATUS=OR","EQY_CONSOLIDATED=Y","FA_ADJUSTED=GAAP","Sort=A","Dates=H","DateFormat=P","Fill=—","Direction=H","UseDPDF=Y")</f>
        <v>#NAME?</v>
      </c>
      <c r="CX621" s="2" t="e">
        <f ca="1">_xll.BDH($C$603,"ACCT_RCV_DAYS","FQ3 2017","FQ3 2017","Currency=INR","Period=FQ","BEST_FPERIOD_OVERRIDE=FQ","FILING_STATUS=OR","EQY_CONSOLIDATED=Y","FA_ADJUSTED=GAAP","Sort=A","Dates=H","DateFormat=P","Fill=—","Direction=H","UseDPDF=Y")</f>
        <v>#NAME?</v>
      </c>
      <c r="CY621" s="4" t="e">
        <f ca="1">_xll.BDH($C$603,"INVENT_TURN","FQ3 2017","FQ3 2017","Currency=INR","Period=FQ","BEST_FPERIOD_OVERRIDE=FQ","FILING_STATUS=OR","EQY_CONSOLIDATED=Y","FA_ADJUSTED=GAAP","Sort=A","Dates=H","DateFormat=P","Fill=—","Direction=H","UseDPDF=Y")</f>
        <v>#NAME?</v>
      </c>
      <c r="CZ621" s="2" t="e">
        <f ca="1">_xll.BDH($C$603,"INVENT_DAYS","FQ3 2017","FQ3 2017","Currency=INR","Period=FQ","BEST_FPERIOD_OVERRIDE=FQ","FILING_STATUS=OR","EQY_CONSOLIDATED=Y","FA_ADJUSTED=GAAP","Sort=A","Dates=H","DateFormat=P","Fill=—","Direction=H","UseDPDF=Y")</f>
        <v>#NAME?</v>
      </c>
      <c r="DA621" s="4" t="e">
        <f ca="1">_xll.BDH($C$603,"ACCOUNTS_PAYABLE_TURNOVER","FQ3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621" s="2" t="e">
        <f ca="1">_xll.BDH($C$603,"ACCOUNTS_PAYABLE_TURNOVER_DAYS","FQ3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621" s="4" t="e">
        <f ca="1">_xll.BDH($C$603,"CASH_CONVERSION_CYCLE","FQ3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621" s="4" t="e">
        <f ca="1">_xll.BDH($C$603,"INV_TO_CASH_DAYS","FQ3 2017","FQ3 2017","Currency=INR","Period=FQ","BEST_FPERIOD_OVERRIDE=FQ","FILING_STATUS=OR","EQY_CONSOLIDATED=Y","FA_ADJUSTED=GAAP","Sort=A","Dates=H","DateFormat=P","Fill=—","Direction=H","UseDPDF=Y")</f>
        <v>#NAME?</v>
      </c>
      <c r="DE621" s="5" t="e">
        <f ca="1">_xll.BDH($C$603,"BS_INVENTORIES","FQ3 2017","FQ3 2017","Currency=INR","Period=FQ","BEST_FPERIOD_OVERRIDE=FQ","FILING_STATUS=OR","EQY_CONSOLIDATED=Y","SCALING_FORMAT=MLN","Sort=A","Dates=H","DateFormat=P","Fill=—","Direction=H","UseDPDF=Y")</f>
        <v>#NAME?</v>
      </c>
      <c r="DF621" s="3" t="e">
        <f ca="1">_xll.BDH($C$603,"INVTRY_RAW_MATERIALS","FQ3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621" s="3" t="e">
        <f ca="1">_xll.BDH($C$603,"INVTRY_IN_PROGRESS","FQ3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621" s="3" t="e">
        <f ca="1">_xll.BDH($C$603,"INVTRY_FINISHED_GOODS","FQ3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621" s="3" t="e">
        <f ca="1">_xll.BDH($C$603,"BS_OTHER_INV","FQ3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622" spans="1:113" x14ac:dyDescent="0.3">
      <c r="A622" s="6"/>
      <c r="B622" s="6"/>
      <c r="C622" s="6"/>
      <c r="D622" s="6"/>
      <c r="E622" t="s">
        <v>81</v>
      </c>
      <c r="F622" t="e">
        <f ca="1">_xll.BDH($C$603,"RETURN_COM_EQY","FQ4 2017","FQ4 2017","Currency=INR","Period=FQ","BEST_FPERIOD_OVERRIDE=FQ","FILING_STATUS=OR","EQY_CONSOLIDATED=Y","FA_ADJUSTED=GAAP","Sort=A","Dates=H","DateFormat=P","Fill=—","Direction=H","UseDPDF=Y")</f>
        <v>#NAME?</v>
      </c>
      <c r="G622" t="e">
        <f ca="1">_xll.BDH($C$603,"RETURN_ON_ASSET","FQ4 2017","FQ4 2017","Currency=INR","Period=FQ","BEST_FPERIOD_OVERRIDE=FQ","FILING_STATUS=OR","EQY_CONSOLIDATED=Y","FA_ADJUSTED=GAAP","Sort=A","Dates=H","DateFormat=P","Fill=—","Direction=H","UseDPDF=Y")</f>
        <v>#NAME?</v>
      </c>
      <c r="H622" t="e">
        <f ca="1">_xll.BDH($C$603,"RETURN_ON_CAP","FQ4 2017","FQ4 2017","Currency=INR","Period=FQ","BEST_FPERIOD_OVERRIDE=FQ","FILING_STATUS=OR","EQY_CONSOLIDATED=Y","FA_ADJUSTED=GAAP","Sort=A","Dates=H","DateFormat=P","Fill=—","Direction=H","UseDPDF=Y")</f>
        <v>#NAME?</v>
      </c>
      <c r="I622" t="e">
        <f ca="1">_xll.BDH($C$603,"RETURN_ON_INV_CAPITAL","FQ4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622" t="e">
        <f ca="1">_xll.BDH($C$603,"EBITDA_TO_REVENUE","FQ4 2017","FQ4 2017","Currency=INR","Period=FQ","BEST_FPERIOD_OVERRIDE=FQ","FILING_STATUS=OR","EQY_CONSOLIDATED=Y","FA_ADJUSTED=GAAP","Sort=A","Dates=H","DateFormat=P","Fill=—","Direction=H","UseDPDF=Y")</f>
        <v>#NAME?</v>
      </c>
      <c r="K622" t="e">
        <f ca="1">_xll.BDH($C$603,"OPER_MARGIN","FQ4 2017","FQ4 2017","Currency=INR","Period=FQ","BEST_FPERIOD_OVERRIDE=FQ","FILING_STATUS=OR","EQY_CONSOLIDATED=Y","FA_ADJUSTED=GAAP","Sort=A","Dates=H","DateFormat=P","Fill=—","Direction=H","UseDPDF=Y")</f>
        <v>#NAME?</v>
      </c>
      <c r="L622" t="e">
        <f ca="1">_xll.BDH($C$603,"INCREMENTAL_OPERATING_MARGIN","FQ4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622" t="e">
        <f ca="1">_xll.BDH($C$603,"PRETAX_INC_TO_NET_SALES","FQ4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622" t="e">
        <f ca="1">_xll.BDH($C$603,"INC_BEF_XO_ITEMS_TO_NET_SALES","FQ4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622" t="e">
        <f ca="1">_xll.BDH($C$603,"PROF_MARGIN","FQ4 2017","FQ4 2017","Currency=INR","Period=FQ","BEST_FPERIOD_OVERRIDE=FQ","FILING_STATUS=OR","EQY_CONSOLIDATED=Y","FA_ADJUSTED=GAAP","Sort=A","Dates=H","DateFormat=P","Fill=—","Direction=H","UseDPDF=Y")</f>
        <v>#NAME?</v>
      </c>
      <c r="P622" t="e">
        <f ca="1">_xll.BDH($C$603,"NET_INCOME_TO_COMMON_MARGIN","FQ4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622" t="e">
        <f ca="1">_xll.BDH($C$603,"EFF_TAX_RATE","FQ4 2017","FQ4 2017","Currency=INR","Period=FQ","BEST_FPERIOD_OVERRIDE=FQ","FILING_STATUS=OR","EQY_CONSOLIDATED=Y","FA_ADJUSTED=GAAP","Sort=A","Dates=H","DateFormat=P","Fill=—","Direction=H","UseDPDF=Y")</f>
        <v>#NAME?</v>
      </c>
      <c r="R622" t="e">
        <f ca="1">_xll.BDH($C$603,"DVD_PAYOUT_RATIO","FQ4 2017","FQ4 2017","Currency=INR","Period=FQ","BEST_FPERIOD_OVERRIDE=FQ","FILING_STATUS=OR","EQY_CONSOLIDATED=Y","FA_ADJUSTED=GAAP","Sort=A","Dates=H","DateFormat=P","Fill=—","Direction=H","UseDPDF=Y")</f>
        <v>#NAME?</v>
      </c>
      <c r="S622" t="e">
        <f ca="1">_xll.BDH($C$603,"SUSTAIN_GROWTH_RT","FQ4 2017","FQ4 2017","Currency=INR","Period=FQ","BEST_FPERIOD_OVERRIDE=FQ","FILING_STATUS=OR","EQY_CONSOLIDATED=Y","FA_ADJUSTED=GAAP","Sort=A","Dates=H","DateFormat=P","Fill=—","Direction=H","UseDPDF=Y")</f>
        <v>#NAME?</v>
      </c>
      <c r="T622" s="2" t="e">
        <f ca="1">_xll.BDH($C$603,"SALES_GROWTH","FQ4 2017","FQ4 2017","Currency=INR","Period=FQ","BEST_FPERIOD_OVERRIDE=FQ","FILING_STATUS=OR","EQY_CONSOLIDATED=Y","FA_ADJUSTED=GAAP","Sort=A","Dates=H","DateFormat=P","Fill=—","Direction=H","UseDPDF=Y")</f>
        <v>#NAME?</v>
      </c>
      <c r="U622" s="2" t="e">
        <f ca="1">_xll.BDH($C$603,"EBITDA_GROWTH","FQ4 2017","FQ4 2017","Currency=INR","Period=FQ","BEST_FPERIOD_OVERRIDE=FQ","FILING_STATUS=OR","EQY_CONSOLIDATED=Y","FA_ADJUSTED=GAAP","Sort=A","Dates=H","DateFormat=P","Fill=—","Direction=H","UseDPDF=Y")</f>
        <v>#NAME?</v>
      </c>
      <c r="V622" s="2" t="e">
        <f ca="1">_xll.BDH($C$603,"OPER_INC_GROWTH","FQ4 2017","FQ4 2017","Currency=INR","Period=FQ","BEST_FPERIOD_OVERRIDE=FQ","FILING_STATUS=OR","EQY_CONSOLIDATED=Y","FA_ADJUSTED=GAAP","Sort=A","Dates=H","DateFormat=P","Fill=—","Direction=H","UseDPDF=Y")</f>
        <v>#NAME?</v>
      </c>
      <c r="W622" s="2" t="e">
        <f ca="1">_xll.BDH($C$603,"EARN_FOR_COM_GROWTH","FQ4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622" s="2" t="e">
        <f ca="1">_xll.BDH($C$603,"DILUTED_EPS_AFT_XO_ITEMS_GROWTH","FQ4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622" s="2" t="e">
        <f ca="1">_xll.BDH($C$603,"DIVIDEND_PER_SHARE_1_YEAR_GROWTH","FQ4 2017","FQ4 2017","Currency=INR","Period=FQ","BEST_FPERIOD_OVERRIDE=FQ","FILING_STATUS=OR","EQY_CONSOLIDATED=Y","Sort=A","Dates=H","DateFormat=P","Fill=—","Direction=H","UseDPDF=Y")</f>
        <v>#NAME?</v>
      </c>
      <c r="Z622" s="2" t="e">
        <f ca="1">_xll.BDH($C$603,"ACCOUNTS_RECEIVABLE_GROWTH","FQ4 2017","FQ4 2017","Currency=INR","Period=FQ","BEST_FPERIOD_OVERRIDE=FQ","FILING_STATUS=OR","EQY_CONSOLIDATED=Y","Sort=A","Dates=H","DateFormat=P","Fill=—","Direction=H","UseDPDF=Y")</f>
        <v>#NAME?</v>
      </c>
      <c r="AA622" s="2" t="e">
        <f ca="1">_xll.BDH($C$603,"INVENTORY_GROWTH","FQ4 2017","FQ4 2017","Currency=INR","Period=FQ","BEST_FPERIOD_OVERRIDE=FQ","FILING_STATUS=OR","EQY_CONSOLIDATED=Y","Sort=A","Dates=H","DateFormat=P","Fill=—","Direction=H","UseDPDF=Y")</f>
        <v>#NAME?</v>
      </c>
      <c r="AB622" s="2" t="e">
        <f ca="1">_xll.BDH($C$603,"NET_FIXED_ASSETS_1_YEAR_GROWTH","FQ4 2017","FQ4 2017","Currency=INR","Period=FQ","BEST_FPERIOD_OVERRIDE=FQ","FILING_STATUS=OR","EQY_CONSOLIDATED=Y","Sort=A","Dates=H","DateFormat=P","Fill=—","Direction=H","UseDPDF=Y")</f>
        <v>#NAME?</v>
      </c>
      <c r="AC622" s="2" t="e">
        <f ca="1">_xll.BDH($C$603,"ASSET_GROWTH","FQ4 2017","FQ4 2017","Currency=INR","Period=FQ","BEST_FPERIOD_OVERRIDE=FQ","FILING_STATUS=OR","EQY_CONSOLIDATED=Y","Sort=A","Dates=H","DateFormat=P","Fill=—","Direction=H","UseDPDF=Y")</f>
        <v>#NAME?</v>
      </c>
      <c r="AD622" s="2" t="e">
        <f ca="1">_xll.BDH($C$603,"MODIFIED_WORK_CAP_GROWTH","FQ4 2017","FQ4 2017","Currency=INR","Period=FQ","BEST_FPERIOD_OVERRIDE=FQ","FILING_STATUS=OR","EQY_CONSOLIDATED=Y","Sort=A","Dates=H","DateFormat=P","Fill=—","Direction=H","UseDPDF=Y")</f>
        <v>#NAME?</v>
      </c>
      <c r="AE622" s="2" t="e">
        <f ca="1">_xll.BDH($C$603,"WORK_CAP_GROWTH","FQ4 2017","FQ4 2017","Currency=INR","Period=FQ","BEST_FPERIOD_OVERRIDE=FQ","FILING_STATUS=OR","EQY_CONSOLIDATED=Y","Sort=A","Dates=H","DateFormat=P","Fill=—","Direction=H","UseDPDF=Y")</f>
        <v>#NAME?</v>
      </c>
      <c r="AF622" s="2" t="e">
        <f ca="1">_xll.BDH($C$603,"ACCOUNTS_PAYABLE_GROWTH_1YR","FQ4 2017","FQ4 2017","Currency=INR","Period=FQ","BEST_FPERIOD_OVERRIDE=FQ","FILING_STATUS=OR","EQY_CONSOLIDATED=Y","Sort=A","Dates=H","DateFormat=P","Fill=—","Direction=H","UseDPDF=Y")</f>
        <v>#NAME?</v>
      </c>
      <c r="AG622" s="2" t="e">
        <f ca="1">_xll.BDH($C$603,"SHORT_TERM_DEBT_1_YEAR_GROWTH","FQ4 2017","FQ4 2017","Currency=INR","Period=FQ","BEST_FPERIOD_OVERRIDE=FQ","FILING_STATUS=OR","EQY_CONSOLIDATED=Y","Sort=A","Dates=H","DateFormat=P","Fill=—","Direction=H","UseDPDF=Y")</f>
        <v>#NAME?</v>
      </c>
      <c r="AH622" s="2" t="e">
        <f ca="1">_xll.BDH($C$603,"TOTAL_DEBT_1_YEAR_GROWTH","FQ4 2017","FQ4 2017","Currency=INR","Period=FQ","BEST_FPERIOD_OVERRIDE=FQ","FILING_STATUS=OR","EQY_CONSOLIDATED=Y","Sort=A","Dates=H","DateFormat=P","Fill=—","Direction=H","UseDPDF=Y")</f>
        <v>#NAME?</v>
      </c>
      <c r="AI622" s="2" t="e">
        <f ca="1">_xll.BDH($C$603,"TOTAL_EQUITY_1_YEAR_GROWTH","FQ4 2017","FQ4 2017","Currency=INR","Period=FQ","BEST_FPERIOD_OVERRIDE=FQ","FILING_STATUS=OR","EQY_CONSOLIDATED=Y","Sort=A","Dates=H","DateFormat=P","Fill=—","Direction=H","UseDPDF=Y")</f>
        <v>#NAME?</v>
      </c>
      <c r="AJ622" s="2" t="e">
        <f ca="1">_xll.BDH($C$603,"GROWTH_IN_CAP","FQ4 2017","FQ4 2017","Currency=INR","Period=FQ","BEST_FPERIOD_OVERRIDE=FQ","FILING_STATUS=OR","EQY_CONSOLIDATED=Y","Sort=A","Dates=H","DateFormat=P","Fill=—","Direction=H","UseDPDF=Y")</f>
        <v>#NAME?</v>
      </c>
      <c r="AK622" s="2" t="e">
        <f ca="1">_xll.BDH($C$603,"BVPS_GROWTH","FQ4 2017","FQ4 2017","Currency=INR","Period=FQ","BEST_FPERIOD_OVERRIDE=FQ","FILING_STATUS=OR","EQY_CONSOLIDATED=Y","Sort=A","Dates=H","DateFormat=P","Fill=—","Direction=H","UseDPDF=Y")</f>
        <v>#NAME?</v>
      </c>
      <c r="AL622" s="2" t="e">
        <f ca="1">_xll.BDH($C$603,"CASH_FLOW_GROWTH","FQ4 2017","FQ4 2017","Currency=INR","Period=FQ","BEST_FPERIOD_OVERRIDE=FQ","FILING_STATUS=OR","EQY_CONSOLIDATED=Y","Sort=A","Dates=H","DateFormat=P","Fill=—","Direction=H","UseDPDF=Y")</f>
        <v>#NAME?</v>
      </c>
      <c r="AM622" s="2" t="e">
        <f ca="1">_xll.BDH($C$603,"GEO_GROW_NET_SALES","FQ4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622" s="2" t="e">
        <f ca="1">_xll.BDH($C$603,"GEO_GROW_EBITDA","FQ4 2017","FQ4 2017","Currency=INR","Period=FQ","BEST_FPERIOD_OVERRIDE=FQ","FILING_STATUS=OR","EQY_CONSOLIDATED=Y","FA_ADJUSTED=GAAP","Sort=A","Dates=H","DateFormat=P","Fill=—","Direction=H","UseDPDF=Y")</f>
        <v>#NAME?</v>
      </c>
      <c r="AO622" s="2" t="e">
        <f ca="1">_xll.BDH($C$603,"GEO_GROW_OPER_INC","FQ4 2017","FQ4 2017","Currency=INR","Period=FQ","BEST_FPERIOD_OVERRIDE=FQ","FILING_STATUS=OR","EQY_CONSOLIDATED=Y","FA_ADJUSTED=GAAP","Sort=A","Dates=H","DateFormat=P","Fill=—","Direction=H","UseDPDF=Y")</f>
        <v>#NAME?</v>
      </c>
      <c r="AP622" s="2" t="e">
        <f ca="1">_xll.BDH($C$603,"NET_INCOME_TO_COMMON_5_YR_GROWTH","FQ4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622" s="2" t="e">
        <f ca="1">_xll.BDH($C$603,"5Y_GEO_GROWTH_DILUTED_EPS","FQ4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622" s="2" t="e">
        <f ca="1">_xll.BDH($C$603,"GEO_GROW_DVD_PER_SH","FQ4 2017","FQ4 2017","Currency=INR","Period=FQ","BEST_FPERIOD_OVERRIDE=FQ","FILING_STATUS=OR","EQY_CONSOLIDATED=Y","Sort=A","Dates=H","DateFormat=P","Fill=—","Direction=H","UseDPDF=Y")</f>
        <v>#NAME?</v>
      </c>
      <c r="AS622" s="2" t="e">
        <f ca="1">_xll.BDH($C$603,"ACCOUNTS_RECEIVABLE_5_YR_GROWTH","FQ4 2017","FQ4 2017","Currency=INR","Period=FQ","BEST_FPERIOD_OVERRIDE=FQ","FILING_STATUS=OR","EQY_CONSOLIDATED=Y","Sort=A","Dates=H","DateFormat=P","Fill=—","Direction=H","UseDPDF=Y")</f>
        <v>#NAME?</v>
      </c>
      <c r="AT622" s="2" t="e">
        <f ca="1">_xll.BDH($C$603,"INVENTORY_5_YEAR_GROWTH","FQ4 2017","FQ4 2017","Currency=INR","Period=FQ","BEST_FPERIOD_OVERRIDE=FQ","FILING_STATUS=OR","EQY_CONSOLIDATED=Y","Sort=A","Dates=H","DateFormat=P","Fill=—","Direction=H","UseDPDF=Y")</f>
        <v>#NAME?</v>
      </c>
      <c r="AU622" s="2" t="e">
        <f ca="1">_xll.BDH($C$603,"NET_FIXED_ASSETS_5_YEAR_GROWTH","FQ4 2017","FQ4 2017","Currency=INR","Period=FQ","BEST_FPERIOD_OVERRIDE=FQ","FILING_STATUS=OR","EQY_CONSOLIDATED=Y","Sort=A","Dates=H","DateFormat=P","Fill=—","Direction=H","UseDPDF=Y")</f>
        <v>#NAME?</v>
      </c>
      <c r="AV622" s="2" t="e">
        <f ca="1">_xll.BDH($C$603,"GEO_GROW_TOT_ASSET","FQ4 2017","FQ4 2017","Currency=INR","Period=FQ","BEST_FPERIOD_OVERRIDE=FQ","FILING_STATUS=OR","EQY_CONSOLIDATED=Y","Sort=A","Dates=H","DateFormat=P","Fill=—","Direction=H","UseDPDF=Y")</f>
        <v>#NAME?</v>
      </c>
      <c r="AW622" s="2" t="e">
        <f ca="1">_xll.BDH($C$603,"MODIFIED_WORKING_CPTL_5YR_GRWTH","FQ4 2017","FQ4 2017","Currency=INR","Period=FQ","BEST_FPERIOD_OVERRIDE=FQ","FILING_STATUS=OR","EQY_CONSOLIDATED=Y","Sort=A","Dates=H","DateFormat=P","Fill=—","Direction=H","UseDPDF=Y")</f>
        <v>#NAME?</v>
      </c>
      <c r="AX622" s="2" t="e">
        <f ca="1">_xll.BDH($C$603,"WORKING_CAPITAL_5_YEAR_GROWTH","FQ4 2017","FQ4 2017","Currency=INR","Period=FQ","BEST_FPERIOD_OVERRIDE=FQ","FILING_STATUS=OR","EQY_CONSOLIDATED=Y","Sort=A","Dates=H","DateFormat=P","Fill=—","Direction=H","UseDPDF=Y")</f>
        <v>#NAME?</v>
      </c>
      <c r="AY622" s="2" t="e">
        <f ca="1">_xll.BDH($C$603,"ACCOUNTS_PAYABLE_5_YEAR_GROWTH","FQ4 2017","FQ4 2017","Currency=INR","Period=FQ","BEST_FPERIOD_OVERRIDE=FQ","FILING_STATUS=OR","EQY_CONSOLIDATED=Y","Sort=A","Dates=H","DateFormat=P","Fill=—","Direction=H","UseDPDF=Y")</f>
        <v>#NAME?</v>
      </c>
      <c r="AZ622" s="2" t="e">
        <f ca="1">_xll.BDH($C$603,"SHORT_TERM_DEBT_5_YEAR_GROWTH","FQ4 2017","FQ4 2017","Currency=INR","Period=FQ","BEST_FPERIOD_OVERRIDE=FQ","FILING_STATUS=OR","EQY_CONSOLIDATED=Y","Sort=A","Dates=H","DateFormat=P","Fill=—","Direction=H","UseDPDF=Y")</f>
        <v>#NAME?</v>
      </c>
      <c r="BA622" s="2" t="e">
        <f ca="1">_xll.BDH($C$603,"TOTAL_DEBT_5_YEAR_GROWTH","FQ4 2017","FQ4 2017","Currency=INR","Period=FQ","BEST_FPERIOD_OVERRIDE=FQ","FILING_STATUS=OR","EQY_CONSOLIDATED=Y","Sort=A","Dates=H","DateFormat=P","Fill=—","Direction=H","UseDPDF=Y")</f>
        <v>#NAME?</v>
      </c>
      <c r="BB622" s="2" t="e">
        <f ca="1">_xll.BDH($C$603,"GEO_GROW_TOT_SHRHLDR_EQY","FQ4 2017","FQ4 2017","Currency=INR","Period=FQ","BEST_FPERIOD_OVERRIDE=FQ","FILING_STATUS=OR","EQY_CONSOLIDATED=Y","Sort=A","Dates=H","DateFormat=P","Fill=—","Direction=H","UseDPDF=Y")</f>
        <v>#NAME?</v>
      </c>
      <c r="BC622" s="2" t="e">
        <f ca="1">_xll.BDH($C$603,"TOTAL_CAPITAL_5_YEAR_GROWTH","FQ4 2017","FQ4 2017","Currency=INR","Period=FQ","BEST_FPERIOD_OVERRIDE=FQ","FILING_STATUS=OR","EQY_CONSOLIDATED=Y","Sort=A","Dates=H","DateFormat=P","Fill=—","Direction=H","UseDPDF=Y")</f>
        <v>#NAME?</v>
      </c>
      <c r="BD622" s="2" t="e">
        <f ca="1">_xll.BDH($C$603,"GEO_GROW_BOOK_VAL","FQ4 2017","FQ4 2017","Currency=INR","Period=FQ","BEST_FPERIOD_OVERRIDE=FQ","FILING_STATUS=OR","EQY_CONSOLIDATED=Y","Sort=A","Dates=H","DateFormat=P","Fill=—","Direction=H","UseDPDF=Y")</f>
        <v>#NAME?</v>
      </c>
      <c r="BE622" s="2" t="e">
        <f ca="1">_xll.BDH($C$603,"GEO_GROW_CASH_OPER_ACT","FQ4 2017","FQ4 2017","Currency=INR","Period=FQ","BEST_FPERIOD_OVERRIDE=FQ","FILING_STATUS=OR","EQY_CONSOLIDATED=Y","Sort=A","Dates=H","DateFormat=P","Fill=—","Direction=H","UseDPDF=Y")</f>
        <v>#NAME?</v>
      </c>
      <c r="BF622" s="2" t="e">
        <f ca="1">_xll.BDH($C$603,"REVENUE_SEQUENTIAL_GROWTH","FQ4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622" s="2" t="e">
        <f ca="1">_xll.BDH($C$603,"EBITDA_SEQUENTIAL_GROWTH","FQ4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622" s="2" t="e">
        <f ca="1">_xll.BDH($C$603,"OPERATING_INCOME_SEQ_GROWTH","FQ4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622" s="2" t="e">
        <f ca="1">_xll.BDH($C$603,"NET_INCOME_TO_COMMON_SEQ_GROWTH","FQ4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622" s="2" t="e">
        <f ca="1">_xll.BDH($C$603,"EPS_DILUTED_SEQUENTIAL_GROWTH","FQ4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622" s="2" t="e">
        <f ca="1">_xll.BDH($C$603,"DPS_SEQUENTIAL_GROWTH","FQ4 2017","FQ4 2017","Currency=INR","Period=FQ","BEST_FPERIOD_OVERRIDE=FQ","FILING_STATUS=OR","EQY_CONSOLIDATED=Y","Sort=A","Dates=H","DateFormat=P","Fill=—","Direction=H","UseDPDF=Y")</f>
        <v>#NAME?</v>
      </c>
      <c r="BL622" s="2" t="e">
        <f ca="1">_xll.BDH($C$603,"ACCOUNTS_RECEIVABLE_SEQ_GROWTH","FQ4 2017","FQ4 2017","Currency=INR","Period=FQ","BEST_FPERIOD_OVERRIDE=FQ","FILING_STATUS=OR","EQY_CONSOLIDATED=Y","Sort=A","Dates=H","DateFormat=P","Fill=—","Direction=H","UseDPDF=Y")</f>
        <v>#NAME?</v>
      </c>
      <c r="BM622" s="2" t="e">
        <f ca="1">_xll.BDH($C$603,"INVENTORY_SEQUENTIAL_GROWTH","FQ4 2017","FQ4 2017","Currency=INR","Period=FQ","BEST_FPERIOD_OVERRIDE=FQ","FILING_STATUS=OR","EQY_CONSOLIDATED=Y","Sort=A","Dates=H","DateFormat=P","Fill=—","Direction=H","UseDPDF=Y")</f>
        <v>#NAME?</v>
      </c>
      <c r="BN622" s="2" t="e">
        <f ca="1">_xll.BDH($C$603,"FIXED_ASSETS_SEQUENTIAL_GROWTH","FQ4 2017","FQ4 2017","Currency=INR","Period=FQ","BEST_FPERIOD_OVERRIDE=FQ","FILING_STATUS=OR","EQY_CONSOLIDATED=Y","Sort=A","Dates=H","DateFormat=P","Fill=—","Direction=H","UseDPDF=Y")</f>
        <v>#NAME?</v>
      </c>
      <c r="BO622" s="2" t="e">
        <f ca="1">_xll.BDH($C$603,"TOTAL_ASSETS_SEQUENTIAL_GROWTH","FQ4 2017","FQ4 2017","Currency=INR","Period=FQ","BEST_FPERIOD_OVERRIDE=FQ","FILING_STATUS=OR","EQY_CONSOLIDATED=Y","Sort=A","Dates=H","DateFormat=P","Fill=—","Direction=H","UseDPDF=Y")</f>
        <v>#NAME?</v>
      </c>
      <c r="BP622" s="2" t="e">
        <f ca="1">_xll.BDH($C$603,"MODIFIED_WORKING_CPTL_SEQ_GRWTH","FQ4 2017","FQ4 2017","Currency=INR","Period=FQ","BEST_FPERIOD_OVERRIDE=FQ","FILING_STATUS=OR","EQY_CONSOLIDATED=Y","Sort=A","Dates=H","DateFormat=P","Fill=—","Direction=H","UseDPDF=Y")</f>
        <v>#NAME?</v>
      </c>
      <c r="BQ622" s="2" t="e">
        <f ca="1">_xll.BDH($C$603,"WORKING_CAPITAL_SEQ_GROWTH","FQ4 2017","FQ4 2017","Currency=INR","Period=FQ","BEST_FPERIOD_OVERRIDE=FQ","FILING_STATUS=OR","EQY_CONSOLIDATED=Y","Sort=A","Dates=H","DateFormat=P","Fill=—","Direction=H","UseDPDF=Y")</f>
        <v>#NAME?</v>
      </c>
      <c r="BR622" s="2" t="e">
        <f ca="1">_xll.BDH($C$603,"ACCOUNTS_PAYABLE_SEQ_GROWTH","FQ4 2017","FQ4 2017","Currency=INR","Period=FQ","BEST_FPERIOD_OVERRIDE=FQ","FILING_STATUS=OR","EQY_CONSOLIDATED=Y","Sort=A","Dates=H","DateFormat=P","Fill=—","Direction=H","UseDPDF=Y")</f>
        <v>#NAME?</v>
      </c>
      <c r="BS622" s="2" t="e">
        <f ca="1">_xll.BDH($C$603,"ST_DEBT_SEQUENTIAL_GROWTH","FQ4 2017","FQ4 2017","Currency=INR","Period=FQ","BEST_FPERIOD_OVERRIDE=FQ","FILING_STATUS=OR","EQY_CONSOLIDATED=Y","Sort=A","Dates=H","DateFormat=P","Fill=—","Direction=H","UseDPDF=Y")</f>
        <v>#NAME?</v>
      </c>
      <c r="BT622" s="2" t="e">
        <f ca="1">_xll.BDH($C$603,"TOTAL_DEBT_SEQUENTIAL_GROWTH","FQ4 2017","FQ4 2017","Currency=INR","Period=FQ","BEST_FPERIOD_OVERRIDE=FQ","FILING_STATUS=OR","EQY_CONSOLIDATED=Y","Sort=A","Dates=H","DateFormat=P","Fill=—","Direction=H","UseDPDF=Y")</f>
        <v>#NAME?</v>
      </c>
      <c r="BU622" s="2" t="e">
        <f ca="1">_xll.BDH($C$603,"TOTAL_EQUITY_SEQUENTIAL_GROWTH","FQ4 2017","FQ4 2017","Currency=INR","Period=FQ","BEST_FPERIOD_OVERRIDE=FQ","FILING_STATUS=OR","EQY_CONSOLIDATED=Y","Sort=A","Dates=H","DateFormat=P","Fill=—","Direction=H","UseDPDF=Y")</f>
        <v>#NAME?</v>
      </c>
      <c r="BV622" s="2" t="e">
        <f ca="1">_xll.BDH($C$603,"TOTAL_CAPITAL_SEQUENTIAL_GROWTH","FQ4 2017","FQ4 2017","Currency=INR","Period=FQ","BEST_FPERIOD_OVERRIDE=FQ","FILING_STATUS=OR","EQY_CONSOLIDATED=Y","Sort=A","Dates=H","DateFormat=P","Fill=—","Direction=H","UseDPDF=Y")</f>
        <v>#NAME?</v>
      </c>
      <c r="BW622" s="2" t="e">
        <f ca="1">_xll.BDH($C$603,"BPS_SEQUENTIAL_GROWTH","FQ4 2017","FQ4 2017","Currency=INR","Period=FQ","BEST_FPERIOD_OVERRIDE=FQ","FILING_STATUS=OR","EQY_CONSOLIDATED=Y","Sort=A","Dates=H","DateFormat=P","Fill=—","Direction=H","UseDPDF=Y")</f>
        <v>#NAME?</v>
      </c>
      <c r="BX622" s="2" t="e">
        <f ca="1">_xll.BDH($C$603,"CFO_SEQUENTIAL_GROWTH","FQ4 2017","FQ4 2017","Currency=INR","Period=FQ","BEST_FPERIOD_OVERRIDE=FQ","FILING_STATUS=OR","EQY_CONSOLIDATED=Y","Sort=A","Dates=H","DateFormat=P","Fill=—","Direction=H","UseDPDF=Y")</f>
        <v>#NAME?</v>
      </c>
      <c r="BY622" s="3" t="e">
        <f ca="1">_xll.BDH($C$603,"SHORT_AND_LONG_TERM_DEBT","FQ4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622" s="3" t="e">
        <f ca="1">_xll.BDH($C$603,"BS_ST_BORROW","FQ4 2017","FQ4 2017","Currency=INR","Period=FQ","BEST_FPERIOD_OVERRIDE=FQ","FILING_STATUS=OR","EQY_CONSOLIDATED=Y","SCALING_FORMAT=MLN","Sort=A","Dates=H","DateFormat=P","Fill=—","Direction=H","UseDPDF=Y")</f>
        <v>#NAME?</v>
      </c>
      <c r="CA622" s="3" t="e">
        <f ca="1">_xll.BDH($C$603,"BS_LT_BORROW","FQ4 2017","FQ4 2017","Currency=INR","Period=FQ","BEST_FPERIOD_OVERRIDE=FQ","FILING_STATUS=OR","EQY_CONSOLIDATED=Y","SCALING_FORMAT=MLN","Sort=A","Dates=H","DateFormat=P","Fill=—","Direction=H","UseDPDF=Y")</f>
        <v>#NAME?</v>
      </c>
      <c r="CB622" s="2" t="e">
        <f ca="1">_xll.BDH($C$603,"TOT_DEBT_TO_EBITDA","FQ4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622" s="2" t="e">
        <f ca="1">_xll.BDH($C$603,"NET_DEBT_TO_EBITDA","FQ4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622" s="2" t="e">
        <f ca="1">_xll.BDH($C$603,"TOTAL_DEBT_TO_EBIT","FQ4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622" s="2" t="e">
        <f ca="1">_xll.BDH($C$603,"NET_DEBT_TO_EBIT","FQ4 2017","FQ4 2017","Currency=INR","Period=FQ","BEST_FPERIOD_OVERRIDE=FQ","FILING_STATUS=OR","EQY_CONSOLIDATED=Y","FA_ADJUSTED=GAAP","Sort=A","Dates=H","DateFormat=P","Fill=—","Direction=H","UseDPDF=Y")</f>
        <v>#NAME?</v>
      </c>
      <c r="CF622" s="2" t="e">
        <f ca="1">_xll.BDH($C$603,"EBITDA_TO_INTEREST_EXPN","FQ4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622" s="2" t="e">
        <f ca="1">_xll.BDH($C$603,"COM_EQY_TO_TOT_ASSET","FQ4 2017","FQ4 2017","Currency=INR","Period=FQ","BEST_FPERIOD_OVERRIDE=FQ","FILING_STATUS=OR","EQY_CONSOLIDATED=Y","Sort=A","Dates=H","DateFormat=P","Fill=—","Direction=H","UseDPDF=Y")</f>
        <v>#NAME?</v>
      </c>
      <c r="CH622" s="2" t="e">
        <f ca="1">_xll.BDH($C$603,"LT_DEBT_TO_TOT_EQY","FQ4 2017","FQ4 2017","Currency=INR","Period=FQ","BEST_FPERIOD_OVERRIDE=FQ","FILING_STATUS=OR","EQY_CONSOLIDATED=Y","Sort=A","Dates=H","DateFormat=P","Fill=—","Direction=H","UseDPDF=Y")</f>
        <v>#NAME?</v>
      </c>
      <c r="CI622" s="2" t="e">
        <f ca="1">_xll.BDH($C$603,"LT_DEBT_TO_TOT_CAP","FQ4 2017","FQ4 2017","Currency=INR","Period=FQ","BEST_FPERIOD_OVERRIDE=FQ","FILING_STATUS=OR","EQY_CONSOLIDATED=Y","Sort=A","Dates=H","DateFormat=P","Fill=—","Direction=H","UseDPDF=Y")</f>
        <v>#NAME?</v>
      </c>
      <c r="CJ622" s="2" t="e">
        <f ca="1">_xll.BDH($C$603,"LT_DEBT_TO_TOT_ASSET","FQ4 2017","FQ4 2017","Currency=INR","Period=FQ","BEST_FPERIOD_OVERRIDE=FQ","FILING_STATUS=OR","EQY_CONSOLIDATED=Y","Sort=A","Dates=H","DateFormat=P","Fill=—","Direction=H","UseDPDF=Y")</f>
        <v>#NAME?</v>
      </c>
      <c r="CK622" s="2" t="e">
        <f ca="1">_xll.BDH($C$603,"TOT_DEBT_TO_TOT_EQY","FQ4 2017","FQ4 2017","Currency=INR","Period=FQ","BEST_FPERIOD_OVERRIDE=FQ","FILING_STATUS=OR","EQY_CONSOLIDATED=Y","Sort=A","Dates=H","DateFormat=P","Fill=—","Direction=H","UseDPDF=Y")</f>
        <v>#NAME?</v>
      </c>
      <c r="CL622" s="2" t="e">
        <f ca="1">_xll.BDH($C$603,"TOT_DEBT_TO_TOT_CAP","FQ4 2017","FQ4 2017","Currency=INR","Period=FQ","BEST_FPERIOD_OVERRIDE=FQ","FILING_STATUS=OR","EQY_CONSOLIDATED=Y","Sort=A","Dates=H","DateFormat=P","Fill=—","Direction=H","UseDPDF=Y")</f>
        <v>#NAME?</v>
      </c>
      <c r="CM622" s="2" t="e">
        <f ca="1">_xll.BDH($C$603,"TOT_DEBT_TO_TOT_ASSET","FQ4 2017","FQ4 2017","Currency=INR","Period=FQ","BEST_FPERIOD_OVERRIDE=FQ","FILING_STATUS=OR","EQY_CONSOLIDATED=Y","Sort=A","Dates=H","DateFormat=P","Fill=—","Direction=H","UseDPDF=Y")</f>
        <v>#NAME?</v>
      </c>
      <c r="CN622" s="2" t="e">
        <f ca="1">_xll.BDH($C$603,"NET_DEBT_TO_SHRHLDR_EQTY","FQ4 2017","FQ4 2017","Currency=INR","Period=FQ","BEST_FPERIOD_OVERRIDE=FQ","FILING_STATUS=OR","EQY_CONSOLIDATED=Y","Sort=A","Dates=H","DateFormat=P","Fill=—","Direction=H","UseDPDF=Y")</f>
        <v>#NAME?</v>
      </c>
      <c r="CO622" s="2" t="e">
        <f ca="1">_xll.BDH($C$603,"NET_DEBT_%_CAPITAL","FQ4 2017","FQ4 2017","Currency=INR","Period=FQ","BEST_FPERIOD_OVERRIDE=FQ","FILING_STATUS=OR","EQY_CONSOLIDATED=Y","Sort=A","Dates=H","DateFormat=P","Fill=—","Direction=H","UseDPDF=Y")</f>
        <v>#NAME?</v>
      </c>
      <c r="CP622" s="3" t="e">
        <f ca="1">_xll.BDH($C$603,"EBITDA","FQ4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622" s="3" t="e">
        <f ca="1">_xll.BDH($C$603,"EBITDA_AFTER_CAPEX","FQ4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622" s="3" t="e">
        <f ca="1">_xll.BDH($C$603,"IS_OPER_INC","FQ4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622" s="2" t="e">
        <f ca="1">_xll.BDH($C$603,"CASH_RATIO","FQ4 2017","FQ4 2017","Currency=INR","Period=FQ","BEST_FPERIOD_OVERRIDE=FQ","FILING_STATUS=OR","EQY_CONSOLIDATED=Y","Sort=A","Dates=H","DateFormat=P","Fill=—","Direction=H","UseDPDF=Y")</f>
        <v>#NAME?</v>
      </c>
      <c r="CT622" s="2" t="e">
        <f ca="1">_xll.BDH($C$603,"CUR_RATIO","FQ4 2017","FQ4 2017","Currency=INR","Period=FQ","BEST_FPERIOD_OVERRIDE=FQ","FILING_STATUS=OR","EQY_CONSOLIDATED=Y","Sort=A","Dates=H","DateFormat=P","Fill=—","Direction=H","UseDPDF=Y")</f>
        <v>#NAME?</v>
      </c>
      <c r="CU622" s="2" t="e">
        <f ca="1">_xll.BDH($C$603,"QUICK_RATIO","FQ4 2017","FQ4 2017","Currency=INR","Period=FQ","BEST_FPERIOD_OVERRIDE=FQ","FILING_STATUS=OR","EQY_CONSOLIDATED=Y","Sort=A","Dates=H","DateFormat=P","Fill=—","Direction=H","UseDPDF=Y")</f>
        <v>#NAME?</v>
      </c>
      <c r="CV622" s="2" t="e">
        <f ca="1">_xll.BDH($C$603,"ALTMAN_Z_SCORE","FQ4 2017","FQ4 2017","Currency=INR","Period=FQ","BEST_FPERIOD_OVERRIDE=FQ","FILING_STATUS=OR","EQY_CONSOLIDATED=Y","Sort=A","Dates=H","DateFormat=P","Fill=—","Direction=H","UseDPDF=Y")</f>
        <v>#NAME?</v>
      </c>
      <c r="CW622" s="4" t="e">
        <f ca="1">_xll.BDH($C$603,"ACCT_RCV_TURN","FQ4 2017","FQ4 2017","Currency=INR","Period=FQ","BEST_FPERIOD_OVERRIDE=FQ","FILING_STATUS=OR","EQY_CONSOLIDATED=Y","FA_ADJUSTED=GAAP","Sort=A","Dates=H","DateFormat=P","Fill=—","Direction=H","UseDPDF=Y")</f>
        <v>#NAME?</v>
      </c>
      <c r="CX622" s="2" t="e">
        <f ca="1">_xll.BDH($C$603,"ACCT_RCV_DAYS","FQ4 2017","FQ4 2017","Currency=INR","Period=FQ","BEST_FPERIOD_OVERRIDE=FQ","FILING_STATUS=OR","EQY_CONSOLIDATED=Y","FA_ADJUSTED=GAAP","Sort=A","Dates=H","DateFormat=P","Fill=—","Direction=H","UseDPDF=Y")</f>
        <v>#NAME?</v>
      </c>
      <c r="CY622" s="4" t="e">
        <f ca="1">_xll.BDH($C$603,"INVENT_TURN","FQ4 2017","FQ4 2017","Currency=INR","Period=FQ","BEST_FPERIOD_OVERRIDE=FQ","FILING_STATUS=OR","EQY_CONSOLIDATED=Y","FA_ADJUSTED=GAAP","Sort=A","Dates=H","DateFormat=P","Fill=—","Direction=H","UseDPDF=Y")</f>
        <v>#NAME?</v>
      </c>
      <c r="CZ622" s="2" t="e">
        <f ca="1">_xll.BDH($C$603,"INVENT_DAYS","FQ4 2017","FQ4 2017","Currency=INR","Period=FQ","BEST_FPERIOD_OVERRIDE=FQ","FILING_STATUS=OR","EQY_CONSOLIDATED=Y","FA_ADJUSTED=GAAP","Sort=A","Dates=H","DateFormat=P","Fill=—","Direction=H","UseDPDF=Y")</f>
        <v>#NAME?</v>
      </c>
      <c r="DA622" s="4" t="e">
        <f ca="1">_xll.BDH($C$603,"ACCOUNTS_PAYABLE_TURNOVER","FQ4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622" s="2" t="e">
        <f ca="1">_xll.BDH($C$603,"ACCOUNTS_PAYABLE_TURNOVER_DAYS","FQ4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622" s="4" t="e">
        <f ca="1">_xll.BDH($C$603,"CASH_CONVERSION_CYCLE","FQ4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622" s="4" t="e">
        <f ca="1">_xll.BDH($C$603,"INV_TO_CASH_DAYS","FQ4 2017","FQ4 2017","Currency=INR","Period=FQ","BEST_FPERIOD_OVERRIDE=FQ","FILING_STATUS=OR","EQY_CONSOLIDATED=Y","FA_ADJUSTED=GAAP","Sort=A","Dates=H","DateFormat=P","Fill=—","Direction=H","UseDPDF=Y")</f>
        <v>#NAME?</v>
      </c>
      <c r="DE622" s="5" t="e">
        <f ca="1">_xll.BDH($C$603,"BS_INVENTORIES","FQ4 2017","FQ4 2017","Currency=INR","Period=FQ","BEST_FPERIOD_OVERRIDE=FQ","FILING_STATUS=OR","EQY_CONSOLIDATED=Y","SCALING_FORMAT=MLN","Sort=A","Dates=H","DateFormat=P","Fill=—","Direction=H","UseDPDF=Y")</f>
        <v>#NAME?</v>
      </c>
      <c r="DF622" s="3" t="e">
        <f ca="1">_xll.BDH($C$603,"INVTRY_RAW_MATERIALS","FQ4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622" s="3" t="e">
        <f ca="1">_xll.BDH($C$603,"INVTRY_IN_PROGRESS","FQ4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622" s="3" t="e">
        <f ca="1">_xll.BDH($C$603,"INVTRY_FINISHED_GOODS","FQ4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622" s="3" t="e">
        <f ca="1">_xll.BDH($C$603,"BS_OTHER_INV","FQ4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623" spans="1:113" x14ac:dyDescent="0.3">
      <c r="A623" s="6"/>
      <c r="B623" s="6"/>
      <c r="C623" s="6"/>
      <c r="D623" s="6" t="s">
        <v>85</v>
      </c>
      <c r="E623" t="s">
        <v>77</v>
      </c>
      <c r="F623" t="e">
        <f ca="1">_xll.BDH($C$603,"RETURN_COM_EQY","FY 2018","FY 2018","Currency=INR","Period=FY","BEST_FPERIOD_OVERRIDE=FY","FILING_STATUS=OR","EQY_CONSOLIDATED=Y","FA_ADJUSTED=GAAP","Sort=A","Dates=H","DateFormat=P","Fill=—","Direction=H","UseDPDF=Y")</f>
        <v>#NAME?</v>
      </c>
      <c r="G623" t="e">
        <f ca="1">_xll.BDH($C$603,"RETURN_ON_ASSET","FY 2018","FY 2018","Currency=INR","Period=FY","BEST_FPERIOD_OVERRIDE=FY","FILING_STATUS=OR","EQY_CONSOLIDATED=Y","FA_ADJUSTED=GAAP","Sort=A","Dates=H","DateFormat=P","Fill=—","Direction=H","UseDPDF=Y")</f>
        <v>#NAME?</v>
      </c>
      <c r="H623" t="e">
        <f ca="1">_xll.BDH($C$603,"RETURN_ON_CAP","FY 2018","FY 2018","Currency=INR","Period=FY","BEST_FPERIOD_OVERRIDE=FY","FILING_STATUS=OR","EQY_CONSOLIDATED=Y","FA_ADJUSTED=GAAP","Sort=A","Dates=H","DateFormat=P","Fill=—","Direction=H","UseDPDF=Y")</f>
        <v>#NAME?</v>
      </c>
      <c r="I623" t="e">
        <f ca="1">_xll.BDH($C$603,"RETURN_ON_INV_CAPITAL","FY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623" t="e">
        <f ca="1">_xll.BDH($C$603,"EBITDA_TO_REVENUE","FY 2018","FY 2018","Currency=INR","Period=FY","BEST_FPERIOD_OVERRIDE=FY","FILING_STATUS=OR","EQY_CONSOLIDATED=Y","FA_ADJUSTED=GAAP","Sort=A","Dates=H","DateFormat=P","Fill=—","Direction=H","UseDPDF=Y")</f>
        <v>#NAME?</v>
      </c>
      <c r="K623" t="e">
        <f ca="1">_xll.BDH($C$603,"OPER_MARGIN","FY 2018","FY 2018","Currency=INR","Period=FY","BEST_FPERIOD_OVERRIDE=FY","FILING_STATUS=OR","EQY_CONSOLIDATED=Y","FA_ADJUSTED=GAAP","Sort=A","Dates=H","DateFormat=P","Fill=—","Direction=H","UseDPDF=Y")</f>
        <v>#NAME?</v>
      </c>
      <c r="L623" t="e">
        <f ca="1">_xll.BDH($C$603,"INCREMENTAL_OPERATING_MARGIN","FY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623" t="e">
        <f ca="1">_xll.BDH($C$603,"PRETAX_INC_TO_NET_SALES","FY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623" t="e">
        <f ca="1">_xll.BDH($C$603,"INC_BEF_XO_ITEMS_TO_NET_SALES","FY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623" t="e">
        <f ca="1">_xll.BDH($C$603,"PROF_MARGIN","FY 2018","FY 2018","Currency=INR","Period=FY","BEST_FPERIOD_OVERRIDE=FY","FILING_STATUS=OR","EQY_CONSOLIDATED=Y","FA_ADJUSTED=GAAP","Sort=A","Dates=H","DateFormat=P","Fill=—","Direction=H","UseDPDF=Y")</f>
        <v>#NAME?</v>
      </c>
      <c r="P623" t="e">
        <f ca="1">_xll.BDH($C$603,"NET_INCOME_TO_COMMON_MARGIN","FY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623" t="e">
        <f ca="1">_xll.BDH($C$603,"EFF_TAX_RATE","FY 2018","FY 2018","Currency=INR","Period=FY","BEST_FPERIOD_OVERRIDE=FY","FILING_STATUS=OR","EQY_CONSOLIDATED=Y","FA_ADJUSTED=GAAP","Sort=A","Dates=H","DateFormat=P","Fill=—","Direction=H","UseDPDF=Y")</f>
        <v>#NAME?</v>
      </c>
      <c r="R623" t="e">
        <f ca="1">_xll.BDH($C$603,"DVD_PAYOUT_RATIO","FY 2018","FY 2018","Currency=INR","Period=FY","BEST_FPERIOD_OVERRIDE=FY","FILING_STATUS=OR","EQY_CONSOLIDATED=Y","FA_ADJUSTED=GAAP","Sort=A","Dates=H","DateFormat=P","Fill=—","Direction=H","UseDPDF=Y")</f>
        <v>#NAME?</v>
      </c>
      <c r="S623" t="e">
        <f ca="1">_xll.BDH($C$603,"SUSTAIN_GROWTH_RT","FY 2018","FY 2018","Currency=INR","Period=FY","BEST_FPERIOD_OVERRIDE=FY","FILING_STATUS=OR","EQY_CONSOLIDATED=Y","FA_ADJUSTED=GAAP","Sort=A","Dates=H","DateFormat=P","Fill=—","Direction=H","UseDPDF=Y")</f>
        <v>#NAME?</v>
      </c>
      <c r="T623" s="2" t="e">
        <f ca="1">_xll.BDH($C$603,"SALES_GROWTH","FY 2018","FY 2018","Currency=INR","Period=FY","BEST_FPERIOD_OVERRIDE=FY","FILING_STATUS=OR","EQY_CONSOLIDATED=Y","FA_ADJUSTED=GAAP","Sort=A","Dates=H","DateFormat=P","Fill=—","Direction=H","UseDPDF=Y")</f>
        <v>#NAME?</v>
      </c>
      <c r="U623" s="2" t="e">
        <f ca="1">_xll.BDH($C$603,"EBITDA_GROWTH","FY 2018","FY 2018","Currency=INR","Period=FY","BEST_FPERIOD_OVERRIDE=FY","FILING_STATUS=OR","EQY_CONSOLIDATED=Y","FA_ADJUSTED=GAAP","Sort=A","Dates=H","DateFormat=P","Fill=—","Direction=H","UseDPDF=Y")</f>
        <v>#NAME?</v>
      </c>
      <c r="V623" s="2" t="e">
        <f ca="1">_xll.BDH($C$603,"OPER_INC_GROWTH","FY 2018","FY 2018","Currency=INR","Period=FY","BEST_FPERIOD_OVERRIDE=FY","FILING_STATUS=OR","EQY_CONSOLIDATED=Y","FA_ADJUSTED=GAAP","Sort=A","Dates=H","DateFormat=P","Fill=—","Direction=H","UseDPDF=Y")</f>
        <v>#NAME?</v>
      </c>
      <c r="W623" s="2" t="e">
        <f ca="1">_xll.BDH($C$603,"EARN_FOR_COM_GROWTH","FY 2018","FY 2018","Currency=INR","Period=FY","BEST_FPERIOD_OVERRIDE=FY","FILING_STATUS=OR","EQY_CONSOLIDATED=Y","FA_ADJUSTED=GAAP","Sort=A","Dates=H","DateFormat=P","Fill=—","Direction=H","UseDPDF=Y")</f>
        <v>#NAME?</v>
      </c>
      <c r="X623" s="2" t="e">
        <f ca="1">_xll.BDH($C$603,"DILUTED_EPS_AFT_XO_ITEMS_GROWTH","FY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623" s="2" t="e">
        <f ca="1">_xll.BDH($C$603,"DIVIDEND_PER_SHARE_1_YEAR_GROWTH","FY 2018","FY 2018","Currency=INR","Period=FY","BEST_FPERIOD_OVERRIDE=FY","FILING_STATUS=OR","EQY_CONSOLIDATED=Y","Sort=A","Dates=H","DateFormat=P","Fill=—","Direction=H","UseDPDF=Y")</f>
        <v>#NAME?</v>
      </c>
      <c r="Z623" s="2" t="e">
        <f ca="1">_xll.BDH($C$603,"ACCOUNTS_RECEIVABLE_GROWTH","FY 2018","FY 2018","Currency=INR","Period=FY","BEST_FPERIOD_OVERRIDE=FY","FILING_STATUS=OR","EQY_CONSOLIDATED=Y","Sort=A","Dates=H","DateFormat=P","Fill=—","Direction=H","UseDPDF=Y")</f>
        <v>#NAME?</v>
      </c>
      <c r="AA623" s="2" t="e">
        <f ca="1">_xll.BDH($C$603,"INVENTORY_GROWTH","FY 2018","FY 2018","Currency=INR","Period=FY","BEST_FPERIOD_OVERRIDE=FY","FILING_STATUS=OR","EQY_CONSOLIDATED=Y","Sort=A","Dates=H","DateFormat=P","Fill=—","Direction=H","UseDPDF=Y")</f>
        <v>#NAME?</v>
      </c>
      <c r="AB623" s="2" t="e">
        <f ca="1">_xll.BDH($C$603,"NET_FIXED_ASSETS_1_YEAR_GROWTH","FY 2018","FY 2018","Currency=INR","Period=FY","BEST_FPERIOD_OVERRIDE=FY","FILING_STATUS=OR","EQY_CONSOLIDATED=Y","Sort=A","Dates=H","DateFormat=P","Fill=—","Direction=H","UseDPDF=Y")</f>
        <v>#NAME?</v>
      </c>
      <c r="AC623" s="2" t="e">
        <f ca="1">_xll.BDH($C$603,"ASSET_GROWTH","FY 2018","FY 2018","Currency=INR","Period=FY","BEST_FPERIOD_OVERRIDE=FY","FILING_STATUS=OR","EQY_CONSOLIDATED=Y","Sort=A","Dates=H","DateFormat=P","Fill=—","Direction=H","UseDPDF=Y")</f>
        <v>#NAME?</v>
      </c>
      <c r="AD623" s="2" t="e">
        <f ca="1">_xll.BDH($C$603,"MODIFIED_WORK_CAP_GROWTH","FY 2018","FY 2018","Currency=INR","Period=FY","BEST_FPERIOD_OVERRIDE=FY","FILING_STATUS=OR","EQY_CONSOLIDATED=Y","Sort=A","Dates=H","DateFormat=P","Fill=—","Direction=H","UseDPDF=Y")</f>
        <v>#NAME?</v>
      </c>
      <c r="AE623" s="2" t="e">
        <f ca="1">_xll.BDH($C$603,"WORK_CAP_GROWTH","FY 2018","FY 2018","Currency=INR","Period=FY","BEST_FPERIOD_OVERRIDE=FY","FILING_STATUS=OR","EQY_CONSOLIDATED=Y","Sort=A","Dates=H","DateFormat=P","Fill=—","Direction=H","UseDPDF=Y")</f>
        <v>#NAME?</v>
      </c>
      <c r="AF623" s="2" t="e">
        <f ca="1">_xll.BDH($C$603,"ACCOUNTS_PAYABLE_GROWTH_1YR","FY 2018","FY 2018","Currency=INR","Period=FY","BEST_FPERIOD_OVERRIDE=FY","FILING_STATUS=OR","EQY_CONSOLIDATED=Y","Sort=A","Dates=H","DateFormat=P","Fill=—","Direction=H","UseDPDF=Y")</f>
        <v>#NAME?</v>
      </c>
      <c r="AG623" s="2" t="e">
        <f ca="1">_xll.BDH($C$603,"SHORT_TERM_DEBT_1_YEAR_GROWTH","FY 2018","FY 2018","Currency=INR","Period=FY","BEST_FPERIOD_OVERRIDE=FY","FILING_STATUS=OR","EQY_CONSOLIDATED=Y","Sort=A","Dates=H","DateFormat=P","Fill=—","Direction=H","UseDPDF=Y")</f>
        <v>#NAME?</v>
      </c>
      <c r="AH623" s="2" t="e">
        <f ca="1">_xll.BDH($C$603,"TOTAL_DEBT_1_YEAR_GROWTH","FY 2018","FY 2018","Currency=INR","Period=FY","BEST_FPERIOD_OVERRIDE=FY","FILING_STATUS=OR","EQY_CONSOLIDATED=Y","Sort=A","Dates=H","DateFormat=P","Fill=—","Direction=H","UseDPDF=Y")</f>
        <v>#NAME?</v>
      </c>
      <c r="AI623" s="2" t="e">
        <f ca="1">_xll.BDH($C$603,"TOTAL_EQUITY_1_YEAR_GROWTH","FY 2018","FY 2018","Currency=INR","Period=FY","BEST_FPERIOD_OVERRIDE=FY","FILING_STATUS=OR","EQY_CONSOLIDATED=Y","Sort=A","Dates=H","DateFormat=P","Fill=—","Direction=H","UseDPDF=Y")</f>
        <v>#NAME?</v>
      </c>
      <c r="AJ623" s="2" t="e">
        <f ca="1">_xll.BDH($C$603,"GROWTH_IN_CAP","FY 2018","FY 2018","Currency=INR","Period=FY","BEST_FPERIOD_OVERRIDE=FY","FILING_STATUS=OR","EQY_CONSOLIDATED=Y","Sort=A","Dates=H","DateFormat=P","Fill=—","Direction=H","UseDPDF=Y")</f>
        <v>#NAME?</v>
      </c>
      <c r="AK623" s="2" t="e">
        <f ca="1">_xll.BDH($C$603,"BVPS_GROWTH","FY 2018","FY 2018","Currency=INR","Period=FY","BEST_FPERIOD_OVERRIDE=FY","FILING_STATUS=OR","EQY_CONSOLIDATED=Y","Sort=A","Dates=H","DateFormat=P","Fill=—","Direction=H","UseDPDF=Y")</f>
        <v>#NAME?</v>
      </c>
      <c r="AL623" s="2" t="e">
        <f ca="1">_xll.BDH($C$603,"CASH_FLOW_GROWTH","FY 2018","FY 2018","Currency=INR","Period=FY","BEST_FPERIOD_OVERRIDE=FY","FILING_STATUS=OR","EQY_CONSOLIDATED=Y","Sort=A","Dates=H","DateFormat=P","Fill=—","Direction=H","UseDPDF=Y")</f>
        <v>#NAME?</v>
      </c>
      <c r="AM623" s="2" t="e">
        <f ca="1">_xll.BDH($C$603,"GEO_GROW_NET_SALES","FY 2018","FY 2018","Currency=INR","Period=FY","BEST_FPERIOD_OVERRIDE=FY","FILING_STATUS=OR","EQY_CONSOLIDATED=Y","FA_ADJUSTED=GAAP","Sort=A","Dates=H","DateFormat=P","Fill=—","Direction=H","UseDPDF=Y")</f>
        <v>#NAME?</v>
      </c>
      <c r="AN623" s="2" t="e">
        <f ca="1">_xll.BDH($C$603,"GEO_GROW_EBITDA","FY 2018","FY 2018","Currency=INR","Period=FY","BEST_FPERIOD_OVERRIDE=FY","FILING_STATUS=OR","EQY_CONSOLIDATED=Y","FA_ADJUSTED=GAAP","Sort=A","Dates=H","DateFormat=P","Fill=—","Direction=H","UseDPDF=Y")</f>
        <v>#NAME?</v>
      </c>
      <c r="AO623" s="2" t="e">
        <f ca="1">_xll.BDH($C$603,"GEO_GROW_OPER_INC","FY 2018","FY 2018","Currency=INR","Period=FY","BEST_FPERIOD_OVERRIDE=FY","FILING_STATUS=OR","EQY_CONSOLIDATED=Y","FA_ADJUSTED=GAAP","Sort=A","Dates=H","DateFormat=P","Fill=—","Direction=H","UseDPDF=Y")</f>
        <v>#NAME?</v>
      </c>
      <c r="AP623" s="2" t="e">
        <f ca="1">_xll.BDH($C$603,"NET_INCOME_TO_COMMON_5_YR_GROWTH","FY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623" s="2" t="e">
        <f ca="1">_xll.BDH($C$603,"5Y_GEO_GROWTH_DILUTED_EPS","FY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623" s="2" t="e">
        <f ca="1">_xll.BDH($C$603,"GEO_GROW_DVD_PER_SH","FY 2018","FY 2018","Currency=INR","Period=FY","BEST_FPERIOD_OVERRIDE=FY","FILING_STATUS=OR","EQY_CONSOLIDATED=Y","Sort=A","Dates=H","DateFormat=P","Fill=—","Direction=H","UseDPDF=Y")</f>
        <v>#NAME?</v>
      </c>
      <c r="AS623" s="2" t="e">
        <f ca="1">_xll.BDH($C$603,"ACCOUNTS_RECEIVABLE_5_YR_GROWTH","FY 2018","FY 2018","Currency=INR","Period=FY","BEST_FPERIOD_OVERRIDE=FY","FILING_STATUS=OR","EQY_CONSOLIDATED=Y","Sort=A","Dates=H","DateFormat=P","Fill=—","Direction=H","UseDPDF=Y")</f>
        <v>#NAME?</v>
      </c>
      <c r="AT623" s="2" t="e">
        <f ca="1">_xll.BDH($C$603,"INVENTORY_5_YEAR_GROWTH","FY 2018","FY 2018","Currency=INR","Period=FY","BEST_FPERIOD_OVERRIDE=FY","FILING_STATUS=OR","EQY_CONSOLIDATED=Y","Sort=A","Dates=H","DateFormat=P","Fill=—","Direction=H","UseDPDF=Y")</f>
        <v>#NAME?</v>
      </c>
      <c r="AU623" s="2" t="e">
        <f ca="1">_xll.BDH($C$603,"NET_FIXED_ASSETS_5_YEAR_GROWTH","FY 2018","FY 2018","Currency=INR","Period=FY","BEST_FPERIOD_OVERRIDE=FY","FILING_STATUS=OR","EQY_CONSOLIDATED=Y","Sort=A","Dates=H","DateFormat=P","Fill=—","Direction=H","UseDPDF=Y")</f>
        <v>#NAME?</v>
      </c>
      <c r="AV623" s="2" t="e">
        <f ca="1">_xll.BDH($C$603,"GEO_GROW_TOT_ASSET","FY 2018","FY 2018","Currency=INR","Period=FY","BEST_FPERIOD_OVERRIDE=FY","FILING_STATUS=OR","EQY_CONSOLIDATED=Y","Sort=A","Dates=H","DateFormat=P","Fill=—","Direction=H","UseDPDF=Y")</f>
        <v>#NAME?</v>
      </c>
      <c r="AW623" s="2" t="e">
        <f ca="1">_xll.BDH($C$603,"MODIFIED_WORKING_CPTL_5YR_GRWTH","FY 2018","FY 2018","Currency=INR","Period=FY","BEST_FPERIOD_OVERRIDE=FY","FILING_STATUS=OR","EQY_CONSOLIDATED=Y","Sort=A","Dates=H","DateFormat=P","Fill=—","Direction=H","UseDPDF=Y")</f>
        <v>#NAME?</v>
      </c>
      <c r="AX623" s="2" t="e">
        <f ca="1">_xll.BDH($C$603,"WORKING_CAPITAL_5_YEAR_GROWTH","FY 2018","FY 2018","Currency=INR","Period=FY","BEST_FPERIOD_OVERRIDE=FY","FILING_STATUS=OR","EQY_CONSOLIDATED=Y","Sort=A","Dates=H","DateFormat=P","Fill=—","Direction=H","UseDPDF=Y")</f>
        <v>#NAME?</v>
      </c>
      <c r="AY623" s="2" t="e">
        <f ca="1">_xll.BDH($C$603,"ACCOUNTS_PAYABLE_5_YEAR_GROWTH","FY 2018","FY 2018","Currency=INR","Period=FY","BEST_FPERIOD_OVERRIDE=FY","FILING_STATUS=OR","EQY_CONSOLIDATED=Y","Sort=A","Dates=H","DateFormat=P","Fill=—","Direction=H","UseDPDF=Y")</f>
        <v>#NAME?</v>
      </c>
      <c r="AZ623" s="2" t="e">
        <f ca="1">_xll.BDH($C$603,"SHORT_TERM_DEBT_5_YEAR_GROWTH","FY 2018","FY 2018","Currency=INR","Period=FY","BEST_FPERIOD_OVERRIDE=FY","FILING_STATUS=OR","EQY_CONSOLIDATED=Y","Sort=A","Dates=H","DateFormat=P","Fill=—","Direction=H","UseDPDF=Y")</f>
        <v>#NAME?</v>
      </c>
      <c r="BA623" s="2" t="e">
        <f ca="1">_xll.BDH($C$603,"TOTAL_DEBT_5_YEAR_GROWTH","FY 2018","FY 2018","Currency=INR","Period=FY","BEST_FPERIOD_OVERRIDE=FY","FILING_STATUS=OR","EQY_CONSOLIDATED=Y","Sort=A","Dates=H","DateFormat=P","Fill=—","Direction=H","UseDPDF=Y")</f>
        <v>#NAME?</v>
      </c>
      <c r="BB623" s="2" t="e">
        <f ca="1">_xll.BDH($C$603,"GEO_GROW_TOT_SHRHLDR_EQY","FY 2018","FY 2018","Currency=INR","Period=FY","BEST_FPERIOD_OVERRIDE=FY","FILING_STATUS=OR","EQY_CONSOLIDATED=Y","Sort=A","Dates=H","DateFormat=P","Fill=—","Direction=H","UseDPDF=Y")</f>
        <v>#NAME?</v>
      </c>
      <c r="BC623" s="2" t="e">
        <f ca="1">_xll.BDH($C$603,"TOTAL_CAPITAL_5_YEAR_GROWTH","FY 2018","FY 2018","Currency=INR","Period=FY","BEST_FPERIOD_OVERRIDE=FY","FILING_STATUS=OR","EQY_CONSOLIDATED=Y","Sort=A","Dates=H","DateFormat=P","Fill=—","Direction=H","UseDPDF=Y")</f>
        <v>#NAME?</v>
      </c>
      <c r="BD623" s="2" t="e">
        <f ca="1">_xll.BDH($C$603,"GEO_GROW_BOOK_VAL","FY 2018","FY 2018","Currency=INR","Period=FY","BEST_FPERIOD_OVERRIDE=FY","FILING_STATUS=OR","EQY_CONSOLIDATED=Y","Sort=A","Dates=H","DateFormat=P","Fill=—","Direction=H","UseDPDF=Y")</f>
        <v>#NAME?</v>
      </c>
      <c r="BE623" s="2" t="e">
        <f ca="1">_xll.BDH($C$603,"GEO_GROW_CASH_OPER_ACT","FY 2018","FY 2018","Currency=INR","Period=FY","BEST_FPERIOD_OVERRIDE=FY","FILING_STATUS=OR","EQY_CONSOLIDATED=Y","Sort=A","Dates=H","DateFormat=P","Fill=—","Direction=H","UseDPDF=Y")</f>
        <v>#NAME?</v>
      </c>
      <c r="BF623" s="2" t="e">
        <f ca="1">_xll.BDH($C$603,"REVENUE_SEQUENTIAL_GROWTH","FY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623" s="2" t="e">
        <f ca="1">_xll.BDH($C$603,"EBITDA_SEQUENTIAL_GROWTH","FY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623" s="2" t="e">
        <f ca="1">_xll.BDH($C$603,"OPERATING_INCOME_SEQ_GROWTH","FY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623" s="2" t="e">
        <f ca="1">_xll.BDH($C$603,"NET_INCOME_TO_COMMON_SEQ_GROWTH","FY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623" s="2" t="e">
        <f ca="1">_xll.BDH($C$603,"EPS_DILUTED_SEQUENTIAL_GROWTH","FY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623" s="2" t="e">
        <f ca="1">_xll.BDH($C$603,"DPS_SEQUENTIAL_GROWTH","FY 2018","FY 2018","Currency=INR","Period=FY","BEST_FPERIOD_OVERRIDE=FY","FILING_STATUS=OR","EQY_CONSOLIDATED=Y","Sort=A","Dates=H","DateFormat=P","Fill=—","Direction=H","UseDPDF=Y")</f>
        <v>#NAME?</v>
      </c>
      <c r="BL623" s="2" t="e">
        <f ca="1">_xll.BDH($C$603,"ACCOUNTS_RECEIVABLE_SEQ_GROWTH","FY 2018","FY 2018","Currency=INR","Period=FY","BEST_FPERIOD_OVERRIDE=FY","FILING_STATUS=OR","EQY_CONSOLIDATED=Y","Sort=A","Dates=H","DateFormat=P","Fill=—","Direction=H","UseDPDF=Y")</f>
        <v>#NAME?</v>
      </c>
      <c r="BM623" s="2" t="e">
        <f ca="1">_xll.BDH($C$603,"INVENTORY_SEQUENTIAL_GROWTH","FY 2018","FY 2018","Currency=INR","Period=FY","BEST_FPERIOD_OVERRIDE=FY","FILING_STATUS=OR","EQY_CONSOLIDATED=Y","Sort=A","Dates=H","DateFormat=P","Fill=—","Direction=H","UseDPDF=Y")</f>
        <v>#NAME?</v>
      </c>
      <c r="BN623" s="2" t="e">
        <f ca="1">_xll.BDH($C$603,"FIXED_ASSETS_SEQUENTIAL_GROWTH","FY 2018","FY 2018","Currency=INR","Period=FY","BEST_FPERIOD_OVERRIDE=FY","FILING_STATUS=OR","EQY_CONSOLIDATED=Y","Sort=A","Dates=H","DateFormat=P","Fill=—","Direction=H","UseDPDF=Y")</f>
        <v>#NAME?</v>
      </c>
      <c r="BO623" s="2" t="e">
        <f ca="1">_xll.BDH($C$603,"TOTAL_ASSETS_SEQUENTIAL_GROWTH","FY 2018","FY 2018","Currency=INR","Period=FY","BEST_FPERIOD_OVERRIDE=FY","FILING_STATUS=OR","EQY_CONSOLIDATED=Y","Sort=A","Dates=H","DateFormat=P","Fill=—","Direction=H","UseDPDF=Y")</f>
        <v>#NAME?</v>
      </c>
      <c r="BP623" s="2" t="e">
        <f ca="1">_xll.BDH($C$603,"MODIFIED_WORKING_CPTL_SEQ_GRWTH","FY 2018","FY 2018","Currency=INR","Period=FY","BEST_FPERIOD_OVERRIDE=FY","FILING_STATUS=OR","EQY_CONSOLIDATED=Y","Sort=A","Dates=H","DateFormat=P","Fill=—","Direction=H","UseDPDF=Y")</f>
        <v>#NAME?</v>
      </c>
      <c r="BQ623" s="2" t="e">
        <f ca="1">_xll.BDH($C$603,"WORKING_CAPITAL_SEQ_GROWTH","FY 2018","FY 2018","Currency=INR","Period=FY","BEST_FPERIOD_OVERRIDE=FY","FILING_STATUS=OR","EQY_CONSOLIDATED=Y","Sort=A","Dates=H","DateFormat=P","Fill=—","Direction=H","UseDPDF=Y")</f>
        <v>#NAME?</v>
      </c>
      <c r="BR623" s="2" t="e">
        <f ca="1">_xll.BDH($C$603,"ACCOUNTS_PAYABLE_SEQ_GROWTH","FY 2018","FY 2018","Currency=INR","Period=FY","BEST_FPERIOD_OVERRIDE=FY","FILING_STATUS=OR","EQY_CONSOLIDATED=Y","Sort=A","Dates=H","DateFormat=P","Fill=—","Direction=H","UseDPDF=Y")</f>
        <v>#NAME?</v>
      </c>
      <c r="BS623" s="2" t="e">
        <f ca="1">_xll.BDH($C$603,"ST_DEBT_SEQUENTIAL_GROWTH","FY 2018","FY 2018","Currency=INR","Period=FY","BEST_FPERIOD_OVERRIDE=FY","FILING_STATUS=OR","EQY_CONSOLIDATED=Y","Sort=A","Dates=H","DateFormat=P","Fill=—","Direction=H","UseDPDF=Y")</f>
        <v>#NAME?</v>
      </c>
      <c r="BT623" s="2" t="e">
        <f ca="1">_xll.BDH($C$603,"TOTAL_DEBT_SEQUENTIAL_GROWTH","FY 2018","FY 2018","Currency=INR","Period=FY","BEST_FPERIOD_OVERRIDE=FY","FILING_STATUS=OR","EQY_CONSOLIDATED=Y","Sort=A","Dates=H","DateFormat=P","Fill=—","Direction=H","UseDPDF=Y")</f>
        <v>#NAME?</v>
      </c>
      <c r="BU623" s="2" t="e">
        <f ca="1">_xll.BDH($C$603,"TOTAL_EQUITY_SEQUENTIAL_GROWTH","FY 2018","FY 2018","Currency=INR","Period=FY","BEST_FPERIOD_OVERRIDE=FY","FILING_STATUS=OR","EQY_CONSOLIDATED=Y","Sort=A","Dates=H","DateFormat=P","Fill=—","Direction=H","UseDPDF=Y")</f>
        <v>#NAME?</v>
      </c>
      <c r="BV623" s="2" t="e">
        <f ca="1">_xll.BDH($C$603,"TOTAL_CAPITAL_SEQUENTIAL_GROWTH","FY 2018","FY 2018","Currency=INR","Period=FY","BEST_FPERIOD_OVERRIDE=FY","FILING_STATUS=OR","EQY_CONSOLIDATED=Y","Sort=A","Dates=H","DateFormat=P","Fill=—","Direction=H","UseDPDF=Y")</f>
        <v>#NAME?</v>
      </c>
      <c r="BW623" s="2" t="e">
        <f ca="1">_xll.BDH($C$603,"BPS_SEQUENTIAL_GROWTH","FY 2018","FY 2018","Currency=INR","Period=FY","BEST_FPERIOD_OVERRIDE=FY","FILING_STATUS=OR","EQY_CONSOLIDATED=Y","Sort=A","Dates=H","DateFormat=P","Fill=—","Direction=H","UseDPDF=Y")</f>
        <v>#NAME?</v>
      </c>
      <c r="BX623" s="2" t="e">
        <f ca="1">_xll.BDH($C$603,"CFO_SEQUENTIAL_GROWTH","FY 2018","FY 2018","Currency=INR","Period=FY","BEST_FPERIOD_OVERRIDE=FY","FILING_STATUS=OR","EQY_CONSOLIDATED=Y","Sort=A","Dates=H","DateFormat=P","Fill=—","Direction=H","UseDPDF=Y")</f>
        <v>#NAME?</v>
      </c>
      <c r="BY623" s="3" t="e">
        <f ca="1">_xll.BDH($C$603,"SHORT_AND_LONG_TERM_DEBT","FY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623" s="3" t="e">
        <f ca="1">_xll.BDH($C$603,"BS_ST_BORROW","FY 2018","FY 2018","Currency=INR","Period=FY","BEST_FPERIOD_OVERRIDE=FY","FILING_STATUS=OR","EQY_CONSOLIDATED=Y","SCALING_FORMAT=MLN","Sort=A","Dates=H","DateFormat=P","Fill=—","Direction=H","UseDPDF=Y")</f>
        <v>#NAME?</v>
      </c>
      <c r="CA623" s="3" t="e">
        <f ca="1">_xll.BDH($C$603,"BS_LT_BORROW","FY 2018","FY 2018","Currency=INR","Period=FY","BEST_FPERIOD_OVERRIDE=FY","FILING_STATUS=OR","EQY_CONSOLIDATED=Y","SCALING_FORMAT=MLN","Sort=A","Dates=H","DateFormat=P","Fill=—","Direction=H","UseDPDF=Y")</f>
        <v>#NAME?</v>
      </c>
      <c r="CB623" s="2" t="e">
        <f ca="1">_xll.BDH($C$603,"TOT_DEBT_TO_EBITDA","FY 2018","FY 2018","Currency=INR","Period=FY","BEST_FPERIOD_OVERRIDE=FY","FILING_STATUS=OR","EQY_CONSOLIDATED=Y","FA_ADJUSTED=GAAP","Sort=A","Dates=H","DateFormat=P","Fill=—","Direction=H","UseDPDF=Y")</f>
        <v>#NAME?</v>
      </c>
      <c r="CC623" s="2" t="e">
        <f ca="1">_xll.BDH($C$603,"NET_DEBT_TO_EBITDA","FY 2018","FY 2018","Currency=INR","Period=FY","BEST_FPERIOD_OVERRIDE=FY","FILING_STATUS=OR","EQY_CONSOLIDATED=Y","FA_ADJUSTED=GAAP","Sort=A","Dates=H","DateFormat=P","Fill=—","Direction=H","UseDPDF=Y")</f>
        <v>#NAME?</v>
      </c>
      <c r="CD623" s="2" t="e">
        <f ca="1">_xll.BDH($C$603,"TOTAL_DEBT_TO_EBIT","FY 2018","FY 2018","Currency=INR","Period=FY","BEST_FPERIOD_OVERRIDE=FY","FILING_STATUS=OR","EQY_CONSOLIDATED=Y","FA_ADJUSTED=GAAP","Sort=A","Dates=H","DateFormat=P","Fill=—","Direction=H","UseDPDF=Y")</f>
        <v>#NAME?</v>
      </c>
      <c r="CE623" s="2" t="e">
        <f ca="1">_xll.BDH($C$603,"NET_DEBT_TO_EBIT","FY 2018","FY 2018","Currency=INR","Period=FY","BEST_FPERIOD_OVERRIDE=FY","FILING_STATUS=OR","EQY_CONSOLIDATED=Y","FA_ADJUSTED=GAAP","Sort=A","Dates=H","DateFormat=P","Fill=—","Direction=H","UseDPDF=Y")</f>
        <v>#NAME?</v>
      </c>
      <c r="CF623" s="2" t="e">
        <f ca="1">_xll.BDH($C$603,"EBITDA_TO_INTEREST_EXPN","FY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623" s="2" t="e">
        <f ca="1">_xll.BDH($C$603,"COM_EQY_TO_TOT_ASSET","FY 2018","FY 2018","Currency=INR","Period=FY","BEST_FPERIOD_OVERRIDE=FY","FILING_STATUS=OR","EQY_CONSOLIDATED=Y","Sort=A","Dates=H","DateFormat=P","Fill=—","Direction=H","UseDPDF=Y")</f>
        <v>#NAME?</v>
      </c>
      <c r="CH623" s="2" t="e">
        <f ca="1">_xll.BDH($C$603,"LT_DEBT_TO_TOT_EQY","FY 2018","FY 2018","Currency=INR","Period=FY","BEST_FPERIOD_OVERRIDE=FY","FILING_STATUS=OR","EQY_CONSOLIDATED=Y","Sort=A","Dates=H","DateFormat=P","Fill=—","Direction=H","UseDPDF=Y")</f>
        <v>#NAME?</v>
      </c>
      <c r="CI623" s="2" t="e">
        <f ca="1">_xll.BDH($C$603,"LT_DEBT_TO_TOT_CAP","FY 2018","FY 2018","Currency=INR","Period=FY","BEST_FPERIOD_OVERRIDE=FY","FILING_STATUS=OR","EQY_CONSOLIDATED=Y","Sort=A","Dates=H","DateFormat=P","Fill=—","Direction=H","UseDPDF=Y")</f>
        <v>#NAME?</v>
      </c>
      <c r="CJ623" s="2" t="e">
        <f ca="1">_xll.BDH($C$603,"LT_DEBT_TO_TOT_ASSET","FY 2018","FY 2018","Currency=INR","Period=FY","BEST_FPERIOD_OVERRIDE=FY","FILING_STATUS=OR","EQY_CONSOLIDATED=Y","Sort=A","Dates=H","DateFormat=P","Fill=—","Direction=H","UseDPDF=Y")</f>
        <v>#NAME?</v>
      </c>
      <c r="CK623" s="2" t="e">
        <f ca="1">_xll.BDH($C$603,"TOT_DEBT_TO_TOT_EQY","FY 2018","FY 2018","Currency=INR","Period=FY","BEST_FPERIOD_OVERRIDE=FY","FILING_STATUS=OR","EQY_CONSOLIDATED=Y","Sort=A","Dates=H","DateFormat=P","Fill=—","Direction=H","UseDPDF=Y")</f>
        <v>#NAME?</v>
      </c>
      <c r="CL623" s="2" t="e">
        <f ca="1">_xll.BDH($C$603,"TOT_DEBT_TO_TOT_CAP","FY 2018","FY 2018","Currency=INR","Period=FY","BEST_FPERIOD_OVERRIDE=FY","FILING_STATUS=OR","EQY_CONSOLIDATED=Y","Sort=A","Dates=H","DateFormat=P","Fill=—","Direction=H","UseDPDF=Y")</f>
        <v>#NAME?</v>
      </c>
      <c r="CM623" s="2" t="e">
        <f ca="1">_xll.BDH($C$603,"TOT_DEBT_TO_TOT_ASSET","FY 2018","FY 2018","Currency=INR","Period=FY","BEST_FPERIOD_OVERRIDE=FY","FILING_STATUS=OR","EQY_CONSOLIDATED=Y","Sort=A","Dates=H","DateFormat=P","Fill=—","Direction=H","UseDPDF=Y")</f>
        <v>#NAME?</v>
      </c>
      <c r="CN623" s="2" t="e">
        <f ca="1">_xll.BDH($C$603,"NET_DEBT_TO_SHRHLDR_EQTY","FY 2018","FY 2018","Currency=INR","Period=FY","BEST_FPERIOD_OVERRIDE=FY","FILING_STATUS=OR","EQY_CONSOLIDATED=Y","Sort=A","Dates=H","DateFormat=P","Fill=—","Direction=H","UseDPDF=Y")</f>
        <v>#NAME?</v>
      </c>
      <c r="CO623" s="2" t="e">
        <f ca="1">_xll.BDH($C$603,"NET_DEBT_%_CAPITAL","FY 2018","FY 2018","Currency=INR","Period=FY","BEST_FPERIOD_OVERRIDE=FY","FILING_STATUS=OR","EQY_CONSOLIDATED=Y","Sort=A","Dates=H","DateFormat=P","Fill=—","Direction=H","UseDPDF=Y")</f>
        <v>#NAME?</v>
      </c>
      <c r="CP623" s="3" t="e">
        <f ca="1">_xll.BDH($C$603,"EBITDA","FY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623" s="3" t="e">
        <f ca="1">_xll.BDH($C$603,"EBITDA_AFTER_CAPEX","FY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623" s="3" t="e">
        <f ca="1">_xll.BDH($C$603,"IS_OPER_INC","FY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623" s="2" t="e">
        <f ca="1">_xll.BDH($C$603,"CASH_RATIO","FY 2018","FY 2018","Currency=INR","Period=FY","BEST_FPERIOD_OVERRIDE=FY","FILING_STATUS=OR","EQY_CONSOLIDATED=Y","Sort=A","Dates=H","DateFormat=P","Fill=—","Direction=H","UseDPDF=Y")</f>
        <v>#NAME?</v>
      </c>
      <c r="CT623" s="2" t="e">
        <f ca="1">_xll.BDH($C$603,"CUR_RATIO","FY 2018","FY 2018","Currency=INR","Period=FY","BEST_FPERIOD_OVERRIDE=FY","FILING_STATUS=OR","EQY_CONSOLIDATED=Y","Sort=A","Dates=H","DateFormat=P","Fill=—","Direction=H","UseDPDF=Y")</f>
        <v>#NAME?</v>
      </c>
      <c r="CU623" s="2" t="e">
        <f ca="1">_xll.BDH($C$603,"QUICK_RATIO","FY 2018","FY 2018","Currency=INR","Period=FY","BEST_FPERIOD_OVERRIDE=FY","FILING_STATUS=OR","EQY_CONSOLIDATED=Y","Sort=A","Dates=H","DateFormat=P","Fill=—","Direction=H","UseDPDF=Y")</f>
        <v>#NAME?</v>
      </c>
      <c r="CV623" s="2" t="e">
        <f ca="1">_xll.BDH($C$603,"ALTMAN_Z_SCORE","FY 2018","FY 2018","Currency=INR","Period=FY","BEST_FPERIOD_OVERRIDE=FY","FILING_STATUS=OR","EQY_CONSOLIDATED=Y","Sort=A","Dates=H","DateFormat=P","Fill=—","Direction=H","UseDPDF=Y")</f>
        <v>#NAME?</v>
      </c>
      <c r="CW623" s="4" t="e">
        <f ca="1">_xll.BDH($C$603,"ACCT_RCV_TURN","FY 2018","FY 2018","Currency=INR","Period=FY","BEST_FPERIOD_OVERRIDE=FY","FILING_STATUS=OR","EQY_CONSOLIDATED=Y","FA_ADJUSTED=GAAP","Sort=A","Dates=H","DateFormat=P","Fill=—","Direction=H","UseDPDF=Y")</f>
        <v>#NAME?</v>
      </c>
      <c r="CX623" s="2" t="e">
        <f ca="1">_xll.BDH($C$603,"ACCT_RCV_DAYS","FY 2018","FY 2018","Currency=INR","Period=FY","BEST_FPERIOD_OVERRIDE=FY","FILING_STATUS=OR","EQY_CONSOLIDATED=Y","FA_ADJUSTED=GAAP","Sort=A","Dates=H","DateFormat=P","Fill=—","Direction=H","UseDPDF=Y")</f>
        <v>#NAME?</v>
      </c>
      <c r="CY623" s="4" t="e">
        <f ca="1">_xll.BDH($C$603,"INVENT_TURN","FY 2018","FY 2018","Currency=INR","Period=FY","BEST_FPERIOD_OVERRIDE=FY","FILING_STATUS=OR","EQY_CONSOLIDATED=Y","FA_ADJUSTED=GAAP","Sort=A","Dates=H","DateFormat=P","Fill=—","Direction=H","UseDPDF=Y")</f>
        <v>#NAME?</v>
      </c>
      <c r="CZ623" s="2" t="e">
        <f ca="1">_xll.BDH($C$603,"INVENT_DAYS","FY 2018","FY 2018","Currency=INR","Period=FY","BEST_FPERIOD_OVERRIDE=FY","FILING_STATUS=OR","EQY_CONSOLIDATED=Y","FA_ADJUSTED=GAAP","Sort=A","Dates=H","DateFormat=P","Fill=—","Direction=H","UseDPDF=Y")</f>
        <v>#NAME?</v>
      </c>
      <c r="DA623" s="4" t="e">
        <f ca="1">_xll.BDH($C$603,"ACCOUNTS_PAYABLE_TURNOVER","FY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623" s="2" t="e">
        <f ca="1">_xll.BDH($C$603,"ACCOUNTS_PAYABLE_TURNOVER_DAYS","FY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623" s="4" t="e">
        <f ca="1">_xll.BDH($C$603,"CASH_CONVERSION_CYCLE","FY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623" s="4" t="e">
        <f ca="1">_xll.BDH($C$603,"INV_TO_CASH_DAYS","FY 2018","FY 2018","Currency=INR","Period=FY","BEST_FPERIOD_OVERRIDE=FY","FILING_STATUS=OR","EQY_CONSOLIDATED=Y","FA_ADJUSTED=GAAP","Sort=A","Dates=H","DateFormat=P","Fill=—","Direction=H","UseDPDF=Y")</f>
        <v>#NAME?</v>
      </c>
      <c r="DE623" s="5" t="e">
        <f ca="1">_xll.BDH($C$603,"BS_INVENTORIES","FY 2018","FY 2018","Currency=INR","Period=FY","BEST_FPERIOD_OVERRIDE=FY","FILING_STATUS=OR","EQY_CONSOLIDATED=Y","SCALING_FORMAT=MLN","Sort=A","Dates=H","DateFormat=P","Fill=—","Direction=H","UseDPDF=Y")</f>
        <v>#NAME?</v>
      </c>
      <c r="DF623" s="3" t="e">
        <f ca="1">_xll.BDH($C$603,"INVTRY_RAW_MATERIALS","FY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623" s="3" t="e">
        <f ca="1">_xll.BDH($C$603,"INVTRY_IN_PROGRESS","FY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623" s="3" t="e">
        <f ca="1">_xll.BDH($C$603,"INVTRY_FINISHED_GOODS","FY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623" s="3" t="e">
        <f ca="1">_xll.BDH($C$603,"BS_OTHER_INV","FY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624" spans="1:113" x14ac:dyDescent="0.3">
      <c r="A624" s="6"/>
      <c r="B624" s="6"/>
      <c r="C624" s="6"/>
      <c r="D624" s="6"/>
      <c r="E624" t="s">
        <v>78</v>
      </c>
      <c r="F624" t="e">
        <f ca="1">_xll.BDH($C$603,"RETURN_COM_EQY","FQ1 2018","FQ1 2018","Currency=INR","Period=FQ","BEST_FPERIOD_OVERRIDE=FQ","FILING_STATUS=OR","EQY_CONSOLIDATED=Y","FA_ADJUSTED=GAAP","Sort=A","Dates=H","DateFormat=P","Fill=—","Direction=H","UseDPDF=Y")</f>
        <v>#NAME?</v>
      </c>
      <c r="G624" t="e">
        <f ca="1">_xll.BDH($C$603,"RETURN_ON_ASSET","FQ1 2018","FQ1 2018","Currency=INR","Period=FQ","BEST_FPERIOD_OVERRIDE=FQ","FILING_STATUS=OR","EQY_CONSOLIDATED=Y","FA_ADJUSTED=GAAP","Sort=A","Dates=H","DateFormat=P","Fill=—","Direction=H","UseDPDF=Y")</f>
        <v>#NAME?</v>
      </c>
      <c r="H624" t="e">
        <f ca="1">_xll.BDH($C$603,"RETURN_ON_CAP","FQ1 2018","FQ1 2018","Currency=INR","Period=FQ","BEST_FPERIOD_OVERRIDE=FQ","FILING_STATUS=OR","EQY_CONSOLIDATED=Y","FA_ADJUSTED=GAAP","Sort=A","Dates=H","DateFormat=P","Fill=—","Direction=H","UseDPDF=Y")</f>
        <v>#NAME?</v>
      </c>
      <c r="I624" t="e">
        <f ca="1">_xll.BDH($C$603,"RETURN_ON_INV_CAPITAL","FQ1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624" t="e">
        <f ca="1">_xll.BDH($C$603,"EBITDA_TO_REVENUE","FQ1 2018","FQ1 2018","Currency=INR","Period=FQ","BEST_FPERIOD_OVERRIDE=FQ","FILING_STATUS=OR","EQY_CONSOLIDATED=Y","FA_ADJUSTED=GAAP","Sort=A","Dates=H","DateFormat=P","Fill=—","Direction=H","UseDPDF=Y")</f>
        <v>#NAME?</v>
      </c>
      <c r="K624" t="e">
        <f ca="1">_xll.BDH($C$603,"OPER_MARGIN","FQ1 2018","FQ1 2018","Currency=INR","Period=FQ","BEST_FPERIOD_OVERRIDE=FQ","FILING_STATUS=OR","EQY_CONSOLIDATED=Y","FA_ADJUSTED=GAAP","Sort=A","Dates=H","DateFormat=P","Fill=—","Direction=H","UseDPDF=Y")</f>
        <v>#NAME?</v>
      </c>
      <c r="L624" t="e">
        <f ca="1">_xll.BDH($C$603,"INCREMENTAL_OPERATING_MARGIN","FQ1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624" t="e">
        <f ca="1">_xll.BDH($C$603,"PRETAX_INC_TO_NET_SALES","FQ1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624" t="e">
        <f ca="1">_xll.BDH($C$603,"INC_BEF_XO_ITEMS_TO_NET_SALES","FQ1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624" t="e">
        <f ca="1">_xll.BDH($C$603,"PROF_MARGIN","FQ1 2018","FQ1 2018","Currency=INR","Period=FQ","BEST_FPERIOD_OVERRIDE=FQ","FILING_STATUS=OR","EQY_CONSOLIDATED=Y","FA_ADJUSTED=GAAP","Sort=A","Dates=H","DateFormat=P","Fill=—","Direction=H","UseDPDF=Y")</f>
        <v>#NAME?</v>
      </c>
      <c r="P624" t="e">
        <f ca="1">_xll.BDH($C$603,"NET_INCOME_TO_COMMON_MARGIN","FQ1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624" t="e">
        <f ca="1">_xll.BDH($C$603,"EFF_TAX_RATE","FQ1 2018","FQ1 2018","Currency=INR","Period=FQ","BEST_FPERIOD_OVERRIDE=FQ","FILING_STATUS=OR","EQY_CONSOLIDATED=Y","FA_ADJUSTED=GAAP","Sort=A","Dates=H","DateFormat=P","Fill=—","Direction=H","UseDPDF=Y")</f>
        <v>#NAME?</v>
      </c>
      <c r="R624" t="e">
        <f ca="1">_xll.BDH($C$603,"DVD_PAYOUT_RATIO","FQ1 2018","FQ1 2018","Currency=INR","Period=FQ","BEST_FPERIOD_OVERRIDE=FQ","FILING_STATUS=OR","EQY_CONSOLIDATED=Y","FA_ADJUSTED=GAAP","Sort=A","Dates=H","DateFormat=P","Fill=—","Direction=H","UseDPDF=Y")</f>
        <v>#NAME?</v>
      </c>
      <c r="S624" t="e">
        <f ca="1">_xll.BDH($C$603,"SUSTAIN_GROWTH_RT","FQ1 2018","FQ1 2018","Currency=INR","Period=FQ","BEST_FPERIOD_OVERRIDE=FQ","FILING_STATUS=OR","EQY_CONSOLIDATED=Y","FA_ADJUSTED=GAAP","Sort=A","Dates=H","DateFormat=P","Fill=—","Direction=H","UseDPDF=Y")</f>
        <v>#NAME?</v>
      </c>
      <c r="T624" s="2" t="e">
        <f ca="1">_xll.BDH($C$603,"SALES_GROWTH","FQ1 2018","FQ1 2018","Currency=INR","Period=FQ","BEST_FPERIOD_OVERRIDE=FQ","FILING_STATUS=OR","EQY_CONSOLIDATED=Y","FA_ADJUSTED=GAAP","Sort=A","Dates=H","DateFormat=P","Fill=—","Direction=H","UseDPDF=Y")</f>
        <v>#NAME?</v>
      </c>
      <c r="U624" s="2" t="e">
        <f ca="1">_xll.BDH($C$603,"EBITDA_GROWTH","FQ1 2018","FQ1 2018","Currency=INR","Period=FQ","BEST_FPERIOD_OVERRIDE=FQ","FILING_STATUS=OR","EQY_CONSOLIDATED=Y","FA_ADJUSTED=GAAP","Sort=A","Dates=H","DateFormat=P","Fill=—","Direction=H","UseDPDF=Y")</f>
        <v>#NAME?</v>
      </c>
      <c r="V624" s="2" t="e">
        <f ca="1">_xll.BDH($C$603,"OPER_INC_GROWTH","FQ1 2018","FQ1 2018","Currency=INR","Period=FQ","BEST_FPERIOD_OVERRIDE=FQ","FILING_STATUS=OR","EQY_CONSOLIDATED=Y","FA_ADJUSTED=GAAP","Sort=A","Dates=H","DateFormat=P","Fill=—","Direction=H","UseDPDF=Y")</f>
        <v>#NAME?</v>
      </c>
      <c r="W624" s="2" t="e">
        <f ca="1">_xll.BDH($C$603,"EARN_FOR_COM_GROWTH","FQ1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624" s="2" t="e">
        <f ca="1">_xll.BDH($C$603,"DILUTED_EPS_AFT_XO_ITEMS_GROWTH","FQ1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624" s="2" t="e">
        <f ca="1">_xll.BDH($C$603,"DIVIDEND_PER_SHARE_1_YEAR_GROWTH","FQ1 2018","FQ1 2018","Currency=INR","Period=FQ","BEST_FPERIOD_OVERRIDE=FQ","FILING_STATUS=OR","EQY_CONSOLIDATED=Y","Sort=A","Dates=H","DateFormat=P","Fill=—","Direction=H","UseDPDF=Y")</f>
        <v>#NAME?</v>
      </c>
      <c r="Z624" s="2" t="e">
        <f ca="1">_xll.BDH($C$603,"ACCOUNTS_RECEIVABLE_GROWTH","FQ1 2018","FQ1 2018","Currency=INR","Period=FQ","BEST_FPERIOD_OVERRIDE=FQ","FILING_STATUS=OR","EQY_CONSOLIDATED=Y","Sort=A","Dates=H","DateFormat=P","Fill=—","Direction=H","UseDPDF=Y")</f>
        <v>#NAME?</v>
      </c>
      <c r="AA624" s="2" t="e">
        <f ca="1">_xll.BDH($C$603,"INVENTORY_GROWTH","FQ1 2018","FQ1 2018","Currency=INR","Period=FQ","BEST_FPERIOD_OVERRIDE=FQ","FILING_STATUS=OR","EQY_CONSOLIDATED=Y","Sort=A","Dates=H","DateFormat=P","Fill=—","Direction=H","UseDPDF=Y")</f>
        <v>#NAME?</v>
      </c>
      <c r="AB624" s="2" t="e">
        <f ca="1">_xll.BDH($C$603,"NET_FIXED_ASSETS_1_YEAR_GROWTH","FQ1 2018","FQ1 2018","Currency=INR","Period=FQ","BEST_FPERIOD_OVERRIDE=FQ","FILING_STATUS=OR","EQY_CONSOLIDATED=Y","Sort=A","Dates=H","DateFormat=P","Fill=—","Direction=H","UseDPDF=Y")</f>
        <v>#NAME?</v>
      </c>
      <c r="AC624" s="2" t="e">
        <f ca="1">_xll.BDH($C$603,"ASSET_GROWTH","FQ1 2018","FQ1 2018","Currency=INR","Period=FQ","BEST_FPERIOD_OVERRIDE=FQ","FILING_STATUS=OR","EQY_CONSOLIDATED=Y","Sort=A","Dates=H","DateFormat=P","Fill=—","Direction=H","UseDPDF=Y")</f>
        <v>#NAME?</v>
      </c>
      <c r="AD624" s="2" t="e">
        <f ca="1">_xll.BDH($C$603,"MODIFIED_WORK_CAP_GROWTH","FQ1 2018","FQ1 2018","Currency=INR","Period=FQ","BEST_FPERIOD_OVERRIDE=FQ","FILING_STATUS=OR","EQY_CONSOLIDATED=Y","Sort=A","Dates=H","DateFormat=P","Fill=—","Direction=H","UseDPDF=Y")</f>
        <v>#NAME?</v>
      </c>
      <c r="AE624" s="2" t="e">
        <f ca="1">_xll.BDH($C$603,"WORK_CAP_GROWTH","FQ1 2018","FQ1 2018","Currency=INR","Period=FQ","BEST_FPERIOD_OVERRIDE=FQ","FILING_STATUS=OR","EQY_CONSOLIDATED=Y","Sort=A","Dates=H","DateFormat=P","Fill=—","Direction=H","UseDPDF=Y")</f>
        <v>#NAME?</v>
      </c>
      <c r="AF624" s="2" t="e">
        <f ca="1">_xll.BDH($C$603,"ACCOUNTS_PAYABLE_GROWTH_1YR","FQ1 2018","FQ1 2018","Currency=INR","Period=FQ","BEST_FPERIOD_OVERRIDE=FQ","FILING_STATUS=OR","EQY_CONSOLIDATED=Y","Sort=A","Dates=H","DateFormat=P","Fill=—","Direction=H","UseDPDF=Y")</f>
        <v>#NAME?</v>
      </c>
      <c r="AG624" s="2" t="e">
        <f ca="1">_xll.BDH($C$603,"SHORT_TERM_DEBT_1_YEAR_GROWTH","FQ1 2018","FQ1 2018","Currency=INR","Period=FQ","BEST_FPERIOD_OVERRIDE=FQ","FILING_STATUS=OR","EQY_CONSOLIDATED=Y","Sort=A","Dates=H","DateFormat=P","Fill=—","Direction=H","UseDPDF=Y")</f>
        <v>#NAME?</v>
      </c>
      <c r="AH624" s="2" t="e">
        <f ca="1">_xll.BDH($C$603,"TOTAL_DEBT_1_YEAR_GROWTH","FQ1 2018","FQ1 2018","Currency=INR","Period=FQ","BEST_FPERIOD_OVERRIDE=FQ","FILING_STATUS=OR","EQY_CONSOLIDATED=Y","Sort=A","Dates=H","DateFormat=P","Fill=—","Direction=H","UseDPDF=Y")</f>
        <v>#NAME?</v>
      </c>
      <c r="AI624" s="2" t="e">
        <f ca="1">_xll.BDH($C$603,"TOTAL_EQUITY_1_YEAR_GROWTH","FQ1 2018","FQ1 2018","Currency=INR","Period=FQ","BEST_FPERIOD_OVERRIDE=FQ","FILING_STATUS=OR","EQY_CONSOLIDATED=Y","Sort=A","Dates=H","DateFormat=P","Fill=—","Direction=H","UseDPDF=Y")</f>
        <v>#NAME?</v>
      </c>
      <c r="AJ624" s="2" t="e">
        <f ca="1">_xll.BDH($C$603,"GROWTH_IN_CAP","FQ1 2018","FQ1 2018","Currency=INR","Period=FQ","BEST_FPERIOD_OVERRIDE=FQ","FILING_STATUS=OR","EQY_CONSOLIDATED=Y","Sort=A","Dates=H","DateFormat=P","Fill=—","Direction=H","UseDPDF=Y")</f>
        <v>#NAME?</v>
      </c>
      <c r="AK624" s="2" t="e">
        <f ca="1">_xll.BDH($C$603,"BVPS_GROWTH","FQ1 2018","FQ1 2018","Currency=INR","Period=FQ","BEST_FPERIOD_OVERRIDE=FQ","FILING_STATUS=OR","EQY_CONSOLIDATED=Y","Sort=A","Dates=H","DateFormat=P","Fill=—","Direction=H","UseDPDF=Y")</f>
        <v>#NAME?</v>
      </c>
      <c r="AL624" s="2" t="e">
        <f ca="1">_xll.BDH($C$603,"CASH_FLOW_GROWTH","FQ1 2018","FQ1 2018","Currency=INR","Period=FQ","BEST_FPERIOD_OVERRIDE=FQ","FILING_STATUS=OR","EQY_CONSOLIDATED=Y","Sort=A","Dates=H","DateFormat=P","Fill=—","Direction=H","UseDPDF=Y")</f>
        <v>#NAME?</v>
      </c>
      <c r="AM624" s="2" t="e">
        <f ca="1">_xll.BDH($C$603,"GEO_GROW_NET_SALES","FQ1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624" s="2" t="e">
        <f ca="1">_xll.BDH($C$603,"GEO_GROW_EBITDA","FQ1 2018","FQ1 2018","Currency=INR","Period=FQ","BEST_FPERIOD_OVERRIDE=FQ","FILING_STATUS=OR","EQY_CONSOLIDATED=Y","FA_ADJUSTED=GAAP","Sort=A","Dates=H","DateFormat=P","Fill=—","Direction=H","UseDPDF=Y")</f>
        <v>#NAME?</v>
      </c>
      <c r="AO624" s="2" t="e">
        <f ca="1">_xll.BDH($C$603,"GEO_GROW_OPER_INC","FQ1 2018","FQ1 2018","Currency=INR","Period=FQ","BEST_FPERIOD_OVERRIDE=FQ","FILING_STATUS=OR","EQY_CONSOLIDATED=Y","FA_ADJUSTED=GAAP","Sort=A","Dates=H","DateFormat=P","Fill=—","Direction=H","UseDPDF=Y")</f>
        <v>#NAME?</v>
      </c>
      <c r="AP624" s="2" t="e">
        <f ca="1">_xll.BDH($C$603,"NET_INCOME_TO_COMMON_5_YR_GROWTH","FQ1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624" s="2" t="e">
        <f ca="1">_xll.BDH($C$603,"5Y_GEO_GROWTH_DILUTED_EPS","FQ1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624" s="2" t="e">
        <f ca="1">_xll.BDH($C$603,"GEO_GROW_DVD_PER_SH","FQ1 2018","FQ1 2018","Currency=INR","Period=FQ","BEST_FPERIOD_OVERRIDE=FQ","FILING_STATUS=OR","EQY_CONSOLIDATED=Y","Sort=A","Dates=H","DateFormat=P","Fill=—","Direction=H","UseDPDF=Y")</f>
        <v>#NAME?</v>
      </c>
      <c r="AS624" s="2" t="e">
        <f ca="1">_xll.BDH($C$603,"ACCOUNTS_RECEIVABLE_5_YR_GROWTH","FQ1 2018","FQ1 2018","Currency=INR","Period=FQ","BEST_FPERIOD_OVERRIDE=FQ","FILING_STATUS=OR","EQY_CONSOLIDATED=Y","Sort=A","Dates=H","DateFormat=P","Fill=—","Direction=H","UseDPDF=Y")</f>
        <v>#NAME?</v>
      </c>
      <c r="AT624" s="2" t="e">
        <f ca="1">_xll.BDH($C$603,"INVENTORY_5_YEAR_GROWTH","FQ1 2018","FQ1 2018","Currency=INR","Period=FQ","BEST_FPERIOD_OVERRIDE=FQ","FILING_STATUS=OR","EQY_CONSOLIDATED=Y","Sort=A","Dates=H","DateFormat=P","Fill=—","Direction=H","UseDPDF=Y")</f>
        <v>#NAME?</v>
      </c>
      <c r="AU624" s="2" t="e">
        <f ca="1">_xll.BDH($C$603,"NET_FIXED_ASSETS_5_YEAR_GROWTH","FQ1 2018","FQ1 2018","Currency=INR","Period=FQ","BEST_FPERIOD_OVERRIDE=FQ","FILING_STATUS=OR","EQY_CONSOLIDATED=Y","Sort=A","Dates=H","DateFormat=P","Fill=—","Direction=H","UseDPDF=Y")</f>
        <v>#NAME?</v>
      </c>
      <c r="AV624" s="2" t="e">
        <f ca="1">_xll.BDH($C$603,"GEO_GROW_TOT_ASSET","FQ1 2018","FQ1 2018","Currency=INR","Period=FQ","BEST_FPERIOD_OVERRIDE=FQ","FILING_STATUS=OR","EQY_CONSOLIDATED=Y","Sort=A","Dates=H","DateFormat=P","Fill=—","Direction=H","UseDPDF=Y")</f>
        <v>#NAME?</v>
      </c>
      <c r="AW624" s="2" t="e">
        <f ca="1">_xll.BDH($C$603,"MODIFIED_WORKING_CPTL_5YR_GRWTH","FQ1 2018","FQ1 2018","Currency=INR","Period=FQ","BEST_FPERIOD_OVERRIDE=FQ","FILING_STATUS=OR","EQY_CONSOLIDATED=Y","Sort=A","Dates=H","DateFormat=P","Fill=—","Direction=H","UseDPDF=Y")</f>
        <v>#NAME?</v>
      </c>
      <c r="AX624" s="2" t="e">
        <f ca="1">_xll.BDH($C$603,"WORKING_CAPITAL_5_YEAR_GROWTH","FQ1 2018","FQ1 2018","Currency=INR","Period=FQ","BEST_FPERIOD_OVERRIDE=FQ","FILING_STATUS=OR","EQY_CONSOLIDATED=Y","Sort=A","Dates=H","DateFormat=P","Fill=—","Direction=H","UseDPDF=Y")</f>
        <v>#NAME?</v>
      </c>
      <c r="AY624" s="2" t="e">
        <f ca="1">_xll.BDH($C$603,"ACCOUNTS_PAYABLE_5_YEAR_GROWTH","FQ1 2018","FQ1 2018","Currency=INR","Period=FQ","BEST_FPERIOD_OVERRIDE=FQ","FILING_STATUS=OR","EQY_CONSOLIDATED=Y","Sort=A","Dates=H","DateFormat=P","Fill=—","Direction=H","UseDPDF=Y")</f>
        <v>#NAME?</v>
      </c>
      <c r="AZ624" s="2" t="e">
        <f ca="1">_xll.BDH($C$603,"SHORT_TERM_DEBT_5_YEAR_GROWTH","FQ1 2018","FQ1 2018","Currency=INR","Period=FQ","BEST_FPERIOD_OVERRIDE=FQ","FILING_STATUS=OR","EQY_CONSOLIDATED=Y","Sort=A","Dates=H","DateFormat=P","Fill=—","Direction=H","UseDPDF=Y")</f>
        <v>#NAME?</v>
      </c>
      <c r="BA624" s="2" t="e">
        <f ca="1">_xll.BDH($C$603,"TOTAL_DEBT_5_YEAR_GROWTH","FQ1 2018","FQ1 2018","Currency=INR","Period=FQ","BEST_FPERIOD_OVERRIDE=FQ","FILING_STATUS=OR","EQY_CONSOLIDATED=Y","Sort=A","Dates=H","DateFormat=P","Fill=—","Direction=H","UseDPDF=Y")</f>
        <v>#NAME?</v>
      </c>
      <c r="BB624" s="2" t="e">
        <f ca="1">_xll.BDH($C$603,"GEO_GROW_TOT_SHRHLDR_EQY","FQ1 2018","FQ1 2018","Currency=INR","Period=FQ","BEST_FPERIOD_OVERRIDE=FQ","FILING_STATUS=OR","EQY_CONSOLIDATED=Y","Sort=A","Dates=H","DateFormat=P","Fill=—","Direction=H","UseDPDF=Y")</f>
        <v>#NAME?</v>
      </c>
      <c r="BC624" s="2" t="e">
        <f ca="1">_xll.BDH($C$603,"TOTAL_CAPITAL_5_YEAR_GROWTH","FQ1 2018","FQ1 2018","Currency=INR","Period=FQ","BEST_FPERIOD_OVERRIDE=FQ","FILING_STATUS=OR","EQY_CONSOLIDATED=Y","Sort=A","Dates=H","DateFormat=P","Fill=—","Direction=H","UseDPDF=Y")</f>
        <v>#NAME?</v>
      </c>
      <c r="BD624" s="2" t="e">
        <f ca="1">_xll.BDH($C$603,"GEO_GROW_BOOK_VAL","FQ1 2018","FQ1 2018","Currency=INR","Period=FQ","BEST_FPERIOD_OVERRIDE=FQ","FILING_STATUS=OR","EQY_CONSOLIDATED=Y","Sort=A","Dates=H","DateFormat=P","Fill=—","Direction=H","UseDPDF=Y")</f>
        <v>#NAME?</v>
      </c>
      <c r="BE624" s="2" t="e">
        <f ca="1">_xll.BDH($C$603,"GEO_GROW_CASH_OPER_ACT","FQ1 2018","FQ1 2018","Currency=INR","Period=FQ","BEST_FPERIOD_OVERRIDE=FQ","FILING_STATUS=OR","EQY_CONSOLIDATED=Y","Sort=A","Dates=H","DateFormat=P","Fill=—","Direction=H","UseDPDF=Y")</f>
        <v>#NAME?</v>
      </c>
      <c r="BF624" s="2" t="e">
        <f ca="1">_xll.BDH($C$603,"REVENUE_SEQUENTIAL_GROWTH","FQ1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624" s="2" t="e">
        <f ca="1">_xll.BDH($C$603,"EBITDA_SEQUENTIAL_GROWTH","FQ1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624" s="2" t="e">
        <f ca="1">_xll.BDH($C$603,"OPERATING_INCOME_SEQ_GROWTH","FQ1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624" s="2" t="e">
        <f ca="1">_xll.BDH($C$603,"NET_INCOME_TO_COMMON_SEQ_GROWTH","FQ1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624" s="2" t="e">
        <f ca="1">_xll.BDH($C$603,"EPS_DILUTED_SEQUENTIAL_GROWTH","FQ1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624" s="2" t="e">
        <f ca="1">_xll.BDH($C$603,"DPS_SEQUENTIAL_GROWTH","FQ1 2018","FQ1 2018","Currency=INR","Period=FQ","BEST_FPERIOD_OVERRIDE=FQ","FILING_STATUS=OR","EQY_CONSOLIDATED=Y","Sort=A","Dates=H","DateFormat=P","Fill=—","Direction=H","UseDPDF=Y")</f>
        <v>#NAME?</v>
      </c>
      <c r="BL624" s="2" t="e">
        <f ca="1">_xll.BDH($C$603,"ACCOUNTS_RECEIVABLE_SEQ_GROWTH","FQ1 2018","FQ1 2018","Currency=INR","Period=FQ","BEST_FPERIOD_OVERRIDE=FQ","FILING_STATUS=OR","EQY_CONSOLIDATED=Y","Sort=A","Dates=H","DateFormat=P","Fill=—","Direction=H","UseDPDF=Y")</f>
        <v>#NAME?</v>
      </c>
      <c r="BM624" s="2" t="e">
        <f ca="1">_xll.BDH($C$603,"INVENTORY_SEQUENTIAL_GROWTH","FQ1 2018","FQ1 2018","Currency=INR","Period=FQ","BEST_FPERIOD_OVERRIDE=FQ","FILING_STATUS=OR","EQY_CONSOLIDATED=Y","Sort=A","Dates=H","DateFormat=P","Fill=—","Direction=H","UseDPDF=Y")</f>
        <v>#NAME?</v>
      </c>
      <c r="BN624" s="2" t="e">
        <f ca="1">_xll.BDH($C$603,"FIXED_ASSETS_SEQUENTIAL_GROWTH","FQ1 2018","FQ1 2018","Currency=INR","Period=FQ","BEST_FPERIOD_OVERRIDE=FQ","FILING_STATUS=OR","EQY_CONSOLIDATED=Y","Sort=A","Dates=H","DateFormat=P","Fill=—","Direction=H","UseDPDF=Y")</f>
        <v>#NAME?</v>
      </c>
      <c r="BO624" s="2" t="e">
        <f ca="1">_xll.BDH($C$603,"TOTAL_ASSETS_SEQUENTIAL_GROWTH","FQ1 2018","FQ1 2018","Currency=INR","Period=FQ","BEST_FPERIOD_OVERRIDE=FQ","FILING_STATUS=OR","EQY_CONSOLIDATED=Y","Sort=A","Dates=H","DateFormat=P","Fill=—","Direction=H","UseDPDF=Y")</f>
        <v>#NAME?</v>
      </c>
      <c r="BP624" s="2" t="e">
        <f ca="1">_xll.BDH($C$603,"MODIFIED_WORKING_CPTL_SEQ_GRWTH","FQ1 2018","FQ1 2018","Currency=INR","Period=FQ","BEST_FPERIOD_OVERRIDE=FQ","FILING_STATUS=OR","EQY_CONSOLIDATED=Y","Sort=A","Dates=H","DateFormat=P","Fill=—","Direction=H","UseDPDF=Y")</f>
        <v>#NAME?</v>
      </c>
      <c r="BQ624" s="2" t="e">
        <f ca="1">_xll.BDH($C$603,"WORKING_CAPITAL_SEQ_GROWTH","FQ1 2018","FQ1 2018","Currency=INR","Period=FQ","BEST_FPERIOD_OVERRIDE=FQ","FILING_STATUS=OR","EQY_CONSOLIDATED=Y","Sort=A","Dates=H","DateFormat=P","Fill=—","Direction=H","UseDPDF=Y")</f>
        <v>#NAME?</v>
      </c>
      <c r="BR624" s="2" t="e">
        <f ca="1">_xll.BDH($C$603,"ACCOUNTS_PAYABLE_SEQ_GROWTH","FQ1 2018","FQ1 2018","Currency=INR","Period=FQ","BEST_FPERIOD_OVERRIDE=FQ","FILING_STATUS=OR","EQY_CONSOLIDATED=Y","Sort=A","Dates=H","DateFormat=P","Fill=—","Direction=H","UseDPDF=Y")</f>
        <v>#NAME?</v>
      </c>
      <c r="BS624" s="2" t="e">
        <f ca="1">_xll.BDH($C$603,"ST_DEBT_SEQUENTIAL_GROWTH","FQ1 2018","FQ1 2018","Currency=INR","Period=FQ","BEST_FPERIOD_OVERRIDE=FQ","FILING_STATUS=OR","EQY_CONSOLIDATED=Y","Sort=A","Dates=H","DateFormat=P","Fill=—","Direction=H","UseDPDF=Y")</f>
        <v>#NAME?</v>
      </c>
      <c r="BT624" s="2" t="e">
        <f ca="1">_xll.BDH($C$603,"TOTAL_DEBT_SEQUENTIAL_GROWTH","FQ1 2018","FQ1 2018","Currency=INR","Period=FQ","BEST_FPERIOD_OVERRIDE=FQ","FILING_STATUS=OR","EQY_CONSOLIDATED=Y","Sort=A","Dates=H","DateFormat=P","Fill=—","Direction=H","UseDPDF=Y")</f>
        <v>#NAME?</v>
      </c>
      <c r="BU624" s="2" t="e">
        <f ca="1">_xll.BDH($C$603,"TOTAL_EQUITY_SEQUENTIAL_GROWTH","FQ1 2018","FQ1 2018","Currency=INR","Period=FQ","BEST_FPERIOD_OVERRIDE=FQ","FILING_STATUS=OR","EQY_CONSOLIDATED=Y","Sort=A","Dates=H","DateFormat=P","Fill=—","Direction=H","UseDPDF=Y")</f>
        <v>#NAME?</v>
      </c>
      <c r="BV624" s="2" t="e">
        <f ca="1">_xll.BDH($C$603,"TOTAL_CAPITAL_SEQUENTIAL_GROWTH","FQ1 2018","FQ1 2018","Currency=INR","Period=FQ","BEST_FPERIOD_OVERRIDE=FQ","FILING_STATUS=OR","EQY_CONSOLIDATED=Y","Sort=A","Dates=H","DateFormat=P","Fill=—","Direction=H","UseDPDF=Y")</f>
        <v>#NAME?</v>
      </c>
      <c r="BW624" s="2" t="e">
        <f ca="1">_xll.BDH($C$603,"BPS_SEQUENTIAL_GROWTH","FQ1 2018","FQ1 2018","Currency=INR","Period=FQ","BEST_FPERIOD_OVERRIDE=FQ","FILING_STATUS=OR","EQY_CONSOLIDATED=Y","Sort=A","Dates=H","DateFormat=P","Fill=—","Direction=H","UseDPDF=Y")</f>
        <v>#NAME?</v>
      </c>
      <c r="BX624" s="2" t="e">
        <f ca="1">_xll.BDH($C$603,"CFO_SEQUENTIAL_GROWTH","FQ1 2018","FQ1 2018","Currency=INR","Period=FQ","BEST_FPERIOD_OVERRIDE=FQ","FILING_STATUS=OR","EQY_CONSOLIDATED=Y","Sort=A","Dates=H","DateFormat=P","Fill=—","Direction=H","UseDPDF=Y")</f>
        <v>#NAME?</v>
      </c>
      <c r="BY624" s="3" t="e">
        <f ca="1">_xll.BDH($C$603,"SHORT_AND_LONG_TERM_DEBT","FQ1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624" s="3" t="e">
        <f ca="1">_xll.BDH($C$603,"BS_ST_BORROW","FQ1 2018","FQ1 2018","Currency=INR","Period=FQ","BEST_FPERIOD_OVERRIDE=FQ","FILING_STATUS=OR","EQY_CONSOLIDATED=Y","SCALING_FORMAT=MLN","Sort=A","Dates=H","DateFormat=P","Fill=—","Direction=H","UseDPDF=Y")</f>
        <v>#NAME?</v>
      </c>
      <c r="CA624" s="3" t="e">
        <f ca="1">_xll.BDH($C$603,"BS_LT_BORROW","FQ1 2018","FQ1 2018","Currency=INR","Period=FQ","BEST_FPERIOD_OVERRIDE=FQ","FILING_STATUS=OR","EQY_CONSOLIDATED=Y","SCALING_FORMAT=MLN","Sort=A","Dates=H","DateFormat=P","Fill=—","Direction=H","UseDPDF=Y")</f>
        <v>#NAME?</v>
      </c>
      <c r="CB624" s="2" t="e">
        <f ca="1">_xll.BDH($C$603,"TOT_DEBT_TO_EBITDA","FQ1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624" s="2" t="e">
        <f ca="1">_xll.BDH($C$603,"NET_DEBT_TO_EBITDA","FQ1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624" s="2" t="e">
        <f ca="1">_xll.BDH($C$603,"TOTAL_DEBT_TO_EBIT","FQ1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624" s="2" t="e">
        <f ca="1">_xll.BDH($C$603,"NET_DEBT_TO_EBIT","FQ1 2018","FQ1 2018","Currency=INR","Period=FQ","BEST_FPERIOD_OVERRIDE=FQ","FILING_STATUS=OR","EQY_CONSOLIDATED=Y","FA_ADJUSTED=GAAP","Sort=A","Dates=H","DateFormat=P","Fill=—","Direction=H","UseDPDF=Y")</f>
        <v>#NAME?</v>
      </c>
      <c r="CF624" s="2" t="e">
        <f ca="1">_xll.BDH($C$603,"EBITDA_TO_INTEREST_EXPN","FQ1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624" s="2" t="e">
        <f ca="1">_xll.BDH($C$603,"COM_EQY_TO_TOT_ASSET","FQ1 2018","FQ1 2018","Currency=INR","Period=FQ","BEST_FPERIOD_OVERRIDE=FQ","FILING_STATUS=OR","EQY_CONSOLIDATED=Y","Sort=A","Dates=H","DateFormat=P","Fill=—","Direction=H","UseDPDF=Y")</f>
        <v>#NAME?</v>
      </c>
      <c r="CH624" s="2" t="e">
        <f ca="1">_xll.BDH($C$603,"LT_DEBT_TO_TOT_EQY","FQ1 2018","FQ1 2018","Currency=INR","Period=FQ","BEST_FPERIOD_OVERRIDE=FQ","FILING_STATUS=OR","EQY_CONSOLIDATED=Y","Sort=A","Dates=H","DateFormat=P","Fill=—","Direction=H","UseDPDF=Y")</f>
        <v>#NAME?</v>
      </c>
      <c r="CI624" s="2" t="e">
        <f ca="1">_xll.BDH($C$603,"LT_DEBT_TO_TOT_CAP","FQ1 2018","FQ1 2018","Currency=INR","Period=FQ","BEST_FPERIOD_OVERRIDE=FQ","FILING_STATUS=OR","EQY_CONSOLIDATED=Y","Sort=A","Dates=H","DateFormat=P","Fill=—","Direction=H","UseDPDF=Y")</f>
        <v>#NAME?</v>
      </c>
      <c r="CJ624" s="2" t="e">
        <f ca="1">_xll.BDH($C$603,"LT_DEBT_TO_TOT_ASSET","FQ1 2018","FQ1 2018","Currency=INR","Period=FQ","BEST_FPERIOD_OVERRIDE=FQ","FILING_STATUS=OR","EQY_CONSOLIDATED=Y","Sort=A","Dates=H","DateFormat=P","Fill=—","Direction=H","UseDPDF=Y")</f>
        <v>#NAME?</v>
      </c>
      <c r="CK624" s="2" t="e">
        <f ca="1">_xll.BDH($C$603,"TOT_DEBT_TO_TOT_EQY","FQ1 2018","FQ1 2018","Currency=INR","Period=FQ","BEST_FPERIOD_OVERRIDE=FQ","FILING_STATUS=OR","EQY_CONSOLIDATED=Y","Sort=A","Dates=H","DateFormat=P","Fill=—","Direction=H","UseDPDF=Y")</f>
        <v>#NAME?</v>
      </c>
      <c r="CL624" s="2" t="e">
        <f ca="1">_xll.BDH($C$603,"TOT_DEBT_TO_TOT_CAP","FQ1 2018","FQ1 2018","Currency=INR","Period=FQ","BEST_FPERIOD_OVERRIDE=FQ","FILING_STATUS=OR","EQY_CONSOLIDATED=Y","Sort=A","Dates=H","DateFormat=P","Fill=—","Direction=H","UseDPDF=Y")</f>
        <v>#NAME?</v>
      </c>
      <c r="CM624" s="2" t="e">
        <f ca="1">_xll.BDH($C$603,"TOT_DEBT_TO_TOT_ASSET","FQ1 2018","FQ1 2018","Currency=INR","Period=FQ","BEST_FPERIOD_OVERRIDE=FQ","FILING_STATUS=OR","EQY_CONSOLIDATED=Y","Sort=A","Dates=H","DateFormat=P","Fill=—","Direction=H","UseDPDF=Y")</f>
        <v>#NAME?</v>
      </c>
      <c r="CN624" s="2" t="e">
        <f ca="1">_xll.BDH($C$603,"NET_DEBT_TO_SHRHLDR_EQTY","FQ1 2018","FQ1 2018","Currency=INR","Period=FQ","BEST_FPERIOD_OVERRIDE=FQ","FILING_STATUS=OR","EQY_CONSOLIDATED=Y","Sort=A","Dates=H","DateFormat=P","Fill=—","Direction=H","UseDPDF=Y")</f>
        <v>#NAME?</v>
      </c>
      <c r="CO624" s="2" t="e">
        <f ca="1">_xll.BDH($C$603,"NET_DEBT_%_CAPITAL","FQ1 2018","FQ1 2018","Currency=INR","Period=FQ","BEST_FPERIOD_OVERRIDE=FQ","FILING_STATUS=OR","EQY_CONSOLIDATED=Y","Sort=A","Dates=H","DateFormat=P","Fill=—","Direction=H","UseDPDF=Y")</f>
        <v>#NAME?</v>
      </c>
      <c r="CP624" s="3" t="e">
        <f ca="1">_xll.BDH($C$603,"EBITDA","FQ1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624" s="3" t="e">
        <f ca="1">_xll.BDH($C$603,"EBITDA_AFTER_CAPEX","FQ1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624" s="3" t="e">
        <f ca="1">_xll.BDH($C$603,"IS_OPER_INC","FQ1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624" s="2" t="e">
        <f ca="1">_xll.BDH($C$603,"CASH_RATIO","FQ1 2018","FQ1 2018","Currency=INR","Period=FQ","BEST_FPERIOD_OVERRIDE=FQ","FILING_STATUS=OR","EQY_CONSOLIDATED=Y","Sort=A","Dates=H","DateFormat=P","Fill=—","Direction=H","UseDPDF=Y")</f>
        <v>#NAME?</v>
      </c>
      <c r="CT624" s="2" t="e">
        <f ca="1">_xll.BDH($C$603,"CUR_RATIO","FQ1 2018","FQ1 2018","Currency=INR","Period=FQ","BEST_FPERIOD_OVERRIDE=FQ","FILING_STATUS=OR","EQY_CONSOLIDATED=Y","Sort=A","Dates=H","DateFormat=P","Fill=—","Direction=H","UseDPDF=Y")</f>
        <v>#NAME?</v>
      </c>
      <c r="CU624" s="2" t="e">
        <f ca="1">_xll.BDH($C$603,"QUICK_RATIO","FQ1 2018","FQ1 2018","Currency=INR","Period=FQ","BEST_FPERIOD_OVERRIDE=FQ","FILING_STATUS=OR","EQY_CONSOLIDATED=Y","Sort=A","Dates=H","DateFormat=P","Fill=—","Direction=H","UseDPDF=Y")</f>
        <v>#NAME?</v>
      </c>
      <c r="CV624" s="2" t="e">
        <f ca="1">_xll.BDH($C$603,"ALTMAN_Z_SCORE","FQ1 2018","FQ1 2018","Currency=INR","Period=FQ","BEST_FPERIOD_OVERRIDE=FQ","FILING_STATUS=OR","EQY_CONSOLIDATED=Y","Sort=A","Dates=H","DateFormat=P","Fill=—","Direction=H","UseDPDF=Y")</f>
        <v>#NAME?</v>
      </c>
      <c r="CW624" s="4" t="e">
        <f ca="1">_xll.BDH($C$603,"ACCT_RCV_TURN","FQ1 2018","FQ1 2018","Currency=INR","Period=FQ","BEST_FPERIOD_OVERRIDE=FQ","FILING_STATUS=OR","EQY_CONSOLIDATED=Y","FA_ADJUSTED=GAAP","Sort=A","Dates=H","DateFormat=P","Fill=—","Direction=H","UseDPDF=Y")</f>
        <v>#NAME?</v>
      </c>
      <c r="CX624" s="2" t="e">
        <f ca="1">_xll.BDH($C$603,"ACCT_RCV_DAYS","FQ1 2018","FQ1 2018","Currency=INR","Period=FQ","BEST_FPERIOD_OVERRIDE=FQ","FILING_STATUS=OR","EQY_CONSOLIDATED=Y","FA_ADJUSTED=GAAP","Sort=A","Dates=H","DateFormat=P","Fill=—","Direction=H","UseDPDF=Y")</f>
        <v>#NAME?</v>
      </c>
      <c r="CY624" s="4" t="e">
        <f ca="1">_xll.BDH($C$603,"INVENT_TURN","FQ1 2018","FQ1 2018","Currency=INR","Period=FQ","BEST_FPERIOD_OVERRIDE=FQ","FILING_STATUS=OR","EQY_CONSOLIDATED=Y","FA_ADJUSTED=GAAP","Sort=A","Dates=H","DateFormat=P","Fill=—","Direction=H","UseDPDF=Y")</f>
        <v>#NAME?</v>
      </c>
      <c r="CZ624" s="2" t="e">
        <f ca="1">_xll.BDH($C$603,"INVENT_DAYS","FQ1 2018","FQ1 2018","Currency=INR","Period=FQ","BEST_FPERIOD_OVERRIDE=FQ","FILING_STATUS=OR","EQY_CONSOLIDATED=Y","FA_ADJUSTED=GAAP","Sort=A","Dates=H","DateFormat=P","Fill=—","Direction=H","UseDPDF=Y")</f>
        <v>#NAME?</v>
      </c>
      <c r="DA624" s="4" t="e">
        <f ca="1">_xll.BDH($C$603,"ACCOUNTS_PAYABLE_TURNOVER","FQ1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624" s="2" t="e">
        <f ca="1">_xll.BDH($C$603,"ACCOUNTS_PAYABLE_TURNOVER_DAYS","FQ1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624" s="4" t="e">
        <f ca="1">_xll.BDH($C$603,"CASH_CONVERSION_CYCLE","FQ1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624" s="4" t="e">
        <f ca="1">_xll.BDH($C$603,"INV_TO_CASH_DAYS","FQ1 2018","FQ1 2018","Currency=INR","Period=FQ","BEST_FPERIOD_OVERRIDE=FQ","FILING_STATUS=OR","EQY_CONSOLIDATED=Y","FA_ADJUSTED=GAAP","Sort=A","Dates=H","DateFormat=P","Fill=—","Direction=H","UseDPDF=Y")</f>
        <v>#NAME?</v>
      </c>
      <c r="DE624" s="5" t="e">
        <f ca="1">_xll.BDH($C$603,"BS_INVENTORIES","FQ1 2018","FQ1 2018","Currency=INR","Period=FQ","BEST_FPERIOD_OVERRIDE=FQ","FILING_STATUS=OR","EQY_CONSOLIDATED=Y","SCALING_FORMAT=MLN","Sort=A","Dates=H","DateFormat=P","Fill=—","Direction=H","UseDPDF=Y")</f>
        <v>#NAME?</v>
      </c>
      <c r="DF624" s="3" t="e">
        <f ca="1">_xll.BDH($C$603,"INVTRY_RAW_MATERIALS","FQ1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624" s="3" t="e">
        <f ca="1">_xll.BDH($C$603,"INVTRY_IN_PROGRESS","FQ1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624" s="3" t="e">
        <f ca="1">_xll.BDH($C$603,"INVTRY_FINISHED_GOODS","FQ1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624" s="3" t="e">
        <f ca="1">_xll.BDH($C$603,"BS_OTHER_INV","FQ1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25" spans="1:113" x14ac:dyDescent="0.3">
      <c r="A625" s="6"/>
      <c r="B625" s="6"/>
      <c r="C625" s="6"/>
      <c r="D625" s="6"/>
      <c r="E625" t="s">
        <v>79</v>
      </c>
      <c r="F625" t="e">
        <f ca="1">_xll.BDH($C$603,"RETURN_COM_EQY","FQ2 2018","FQ2 2018","Currency=INR","Period=FQ","BEST_FPERIOD_OVERRIDE=FQ","FILING_STATUS=OR","EQY_CONSOLIDATED=Y","FA_ADJUSTED=GAAP","Sort=A","Dates=H","DateFormat=P","Fill=—","Direction=H","UseDPDF=Y")</f>
        <v>#NAME?</v>
      </c>
      <c r="G625" t="e">
        <f ca="1">_xll.BDH($C$603,"RETURN_ON_ASSET","FQ2 2018","FQ2 2018","Currency=INR","Period=FQ","BEST_FPERIOD_OVERRIDE=FQ","FILING_STATUS=OR","EQY_CONSOLIDATED=Y","FA_ADJUSTED=GAAP","Sort=A","Dates=H","DateFormat=P","Fill=—","Direction=H","UseDPDF=Y")</f>
        <v>#NAME?</v>
      </c>
      <c r="H625" t="e">
        <f ca="1">_xll.BDH($C$603,"RETURN_ON_CAP","FQ2 2018","FQ2 2018","Currency=INR","Period=FQ","BEST_FPERIOD_OVERRIDE=FQ","FILING_STATUS=OR","EQY_CONSOLIDATED=Y","FA_ADJUSTED=GAAP","Sort=A","Dates=H","DateFormat=P","Fill=—","Direction=H","UseDPDF=Y")</f>
        <v>#NAME?</v>
      </c>
      <c r="I625" t="e">
        <f ca="1">_xll.BDH($C$603,"RETURN_ON_INV_CAPITAL","FQ2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25" t="e">
        <f ca="1">_xll.BDH($C$603,"EBITDA_TO_REVENUE","FQ2 2018","FQ2 2018","Currency=INR","Period=FQ","BEST_FPERIOD_OVERRIDE=FQ","FILING_STATUS=OR","EQY_CONSOLIDATED=Y","FA_ADJUSTED=GAAP","Sort=A","Dates=H","DateFormat=P","Fill=—","Direction=H","UseDPDF=Y")</f>
        <v>#NAME?</v>
      </c>
      <c r="K625" t="e">
        <f ca="1">_xll.BDH($C$603,"OPER_MARGIN","FQ2 2018","FQ2 2018","Currency=INR","Period=FQ","BEST_FPERIOD_OVERRIDE=FQ","FILING_STATUS=OR","EQY_CONSOLIDATED=Y","FA_ADJUSTED=GAAP","Sort=A","Dates=H","DateFormat=P","Fill=—","Direction=H","UseDPDF=Y")</f>
        <v>#NAME?</v>
      </c>
      <c r="L625" t="e">
        <f ca="1">_xll.BDH($C$603,"INCREMENTAL_OPERATING_MARGIN","FQ2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25" t="e">
        <f ca="1">_xll.BDH($C$603,"PRETAX_INC_TO_NET_SALES","FQ2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25" t="e">
        <f ca="1">_xll.BDH($C$603,"INC_BEF_XO_ITEMS_TO_NET_SALES","FQ2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25" t="e">
        <f ca="1">_xll.BDH($C$603,"PROF_MARGIN","FQ2 2018","FQ2 2018","Currency=INR","Period=FQ","BEST_FPERIOD_OVERRIDE=FQ","FILING_STATUS=OR","EQY_CONSOLIDATED=Y","FA_ADJUSTED=GAAP","Sort=A","Dates=H","DateFormat=P","Fill=—","Direction=H","UseDPDF=Y")</f>
        <v>#NAME?</v>
      </c>
      <c r="P625" t="e">
        <f ca="1">_xll.BDH($C$603,"NET_INCOME_TO_COMMON_MARGIN","FQ2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25" t="e">
        <f ca="1">_xll.BDH($C$603,"EFF_TAX_RATE","FQ2 2018","FQ2 2018","Currency=INR","Period=FQ","BEST_FPERIOD_OVERRIDE=FQ","FILING_STATUS=OR","EQY_CONSOLIDATED=Y","FA_ADJUSTED=GAAP","Sort=A","Dates=H","DateFormat=P","Fill=—","Direction=H","UseDPDF=Y")</f>
        <v>#NAME?</v>
      </c>
      <c r="R625" t="e">
        <f ca="1">_xll.BDH($C$603,"DVD_PAYOUT_RATIO","FQ2 2018","FQ2 2018","Currency=INR","Period=FQ","BEST_FPERIOD_OVERRIDE=FQ","FILING_STATUS=OR","EQY_CONSOLIDATED=Y","FA_ADJUSTED=GAAP","Sort=A","Dates=H","DateFormat=P","Fill=—","Direction=H","UseDPDF=Y")</f>
        <v>#NAME?</v>
      </c>
      <c r="S625" t="e">
        <f ca="1">_xll.BDH($C$603,"SUSTAIN_GROWTH_RT","FQ2 2018","FQ2 2018","Currency=INR","Period=FQ","BEST_FPERIOD_OVERRIDE=FQ","FILING_STATUS=OR","EQY_CONSOLIDATED=Y","FA_ADJUSTED=GAAP","Sort=A","Dates=H","DateFormat=P","Fill=—","Direction=H","UseDPDF=Y")</f>
        <v>#NAME?</v>
      </c>
      <c r="T625" s="2" t="e">
        <f ca="1">_xll.BDH($C$603,"SALES_GROWTH","FQ2 2018","FQ2 2018","Currency=INR","Period=FQ","BEST_FPERIOD_OVERRIDE=FQ","FILING_STATUS=OR","EQY_CONSOLIDATED=Y","FA_ADJUSTED=GAAP","Sort=A","Dates=H","DateFormat=P","Fill=—","Direction=H","UseDPDF=Y")</f>
        <v>#NAME?</v>
      </c>
      <c r="U625" s="2" t="e">
        <f ca="1">_xll.BDH($C$603,"EBITDA_GROWTH","FQ2 2018","FQ2 2018","Currency=INR","Period=FQ","BEST_FPERIOD_OVERRIDE=FQ","FILING_STATUS=OR","EQY_CONSOLIDATED=Y","FA_ADJUSTED=GAAP","Sort=A","Dates=H","DateFormat=P","Fill=—","Direction=H","UseDPDF=Y")</f>
        <v>#NAME?</v>
      </c>
      <c r="V625" s="2" t="e">
        <f ca="1">_xll.BDH($C$603,"OPER_INC_GROWTH","FQ2 2018","FQ2 2018","Currency=INR","Period=FQ","BEST_FPERIOD_OVERRIDE=FQ","FILING_STATUS=OR","EQY_CONSOLIDATED=Y","FA_ADJUSTED=GAAP","Sort=A","Dates=H","DateFormat=P","Fill=—","Direction=H","UseDPDF=Y")</f>
        <v>#NAME?</v>
      </c>
      <c r="W625" s="2" t="e">
        <f ca="1">_xll.BDH($C$603,"EARN_FOR_COM_GROWTH","FQ2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25" s="2" t="e">
        <f ca="1">_xll.BDH($C$603,"DILUTED_EPS_AFT_XO_ITEMS_GROWTH","FQ2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25" s="2" t="e">
        <f ca="1">_xll.BDH($C$603,"DIVIDEND_PER_SHARE_1_YEAR_GROWTH","FQ2 2018","FQ2 2018","Currency=INR","Period=FQ","BEST_FPERIOD_OVERRIDE=FQ","FILING_STATUS=OR","EQY_CONSOLIDATED=Y","Sort=A","Dates=H","DateFormat=P","Fill=—","Direction=H","UseDPDF=Y")</f>
        <v>#NAME?</v>
      </c>
      <c r="Z625" s="2" t="e">
        <f ca="1">_xll.BDH($C$603,"ACCOUNTS_RECEIVABLE_GROWTH","FQ2 2018","FQ2 2018","Currency=INR","Period=FQ","BEST_FPERIOD_OVERRIDE=FQ","FILING_STATUS=OR","EQY_CONSOLIDATED=Y","Sort=A","Dates=H","DateFormat=P","Fill=—","Direction=H","UseDPDF=Y")</f>
        <v>#NAME?</v>
      </c>
      <c r="AA625" s="2" t="e">
        <f ca="1">_xll.BDH($C$603,"INVENTORY_GROWTH","FQ2 2018","FQ2 2018","Currency=INR","Period=FQ","BEST_FPERIOD_OVERRIDE=FQ","FILING_STATUS=OR","EQY_CONSOLIDATED=Y","Sort=A","Dates=H","DateFormat=P","Fill=—","Direction=H","UseDPDF=Y")</f>
        <v>#NAME?</v>
      </c>
      <c r="AB625" s="2" t="e">
        <f ca="1">_xll.BDH($C$603,"NET_FIXED_ASSETS_1_YEAR_GROWTH","FQ2 2018","FQ2 2018","Currency=INR","Period=FQ","BEST_FPERIOD_OVERRIDE=FQ","FILING_STATUS=OR","EQY_CONSOLIDATED=Y","Sort=A","Dates=H","DateFormat=P","Fill=—","Direction=H","UseDPDF=Y")</f>
        <v>#NAME?</v>
      </c>
      <c r="AC625" s="2" t="e">
        <f ca="1">_xll.BDH($C$603,"ASSET_GROWTH","FQ2 2018","FQ2 2018","Currency=INR","Period=FQ","BEST_FPERIOD_OVERRIDE=FQ","FILING_STATUS=OR","EQY_CONSOLIDATED=Y","Sort=A","Dates=H","DateFormat=P","Fill=—","Direction=H","UseDPDF=Y")</f>
        <v>#NAME?</v>
      </c>
      <c r="AD625" s="2" t="e">
        <f ca="1">_xll.BDH($C$603,"MODIFIED_WORK_CAP_GROWTH","FQ2 2018","FQ2 2018","Currency=INR","Period=FQ","BEST_FPERIOD_OVERRIDE=FQ","FILING_STATUS=OR","EQY_CONSOLIDATED=Y","Sort=A","Dates=H","DateFormat=P","Fill=—","Direction=H","UseDPDF=Y")</f>
        <v>#NAME?</v>
      </c>
      <c r="AE625" s="2" t="e">
        <f ca="1">_xll.BDH($C$603,"WORK_CAP_GROWTH","FQ2 2018","FQ2 2018","Currency=INR","Period=FQ","BEST_FPERIOD_OVERRIDE=FQ","FILING_STATUS=OR","EQY_CONSOLIDATED=Y","Sort=A","Dates=H","DateFormat=P","Fill=—","Direction=H","UseDPDF=Y")</f>
        <v>#NAME?</v>
      </c>
      <c r="AF625" s="2" t="e">
        <f ca="1">_xll.BDH($C$603,"ACCOUNTS_PAYABLE_GROWTH_1YR","FQ2 2018","FQ2 2018","Currency=INR","Period=FQ","BEST_FPERIOD_OVERRIDE=FQ","FILING_STATUS=OR","EQY_CONSOLIDATED=Y","Sort=A","Dates=H","DateFormat=P","Fill=—","Direction=H","UseDPDF=Y")</f>
        <v>#NAME?</v>
      </c>
      <c r="AG625" s="2" t="e">
        <f ca="1">_xll.BDH($C$603,"SHORT_TERM_DEBT_1_YEAR_GROWTH","FQ2 2018","FQ2 2018","Currency=INR","Period=FQ","BEST_FPERIOD_OVERRIDE=FQ","FILING_STATUS=OR","EQY_CONSOLIDATED=Y","Sort=A","Dates=H","DateFormat=P","Fill=—","Direction=H","UseDPDF=Y")</f>
        <v>#NAME?</v>
      </c>
      <c r="AH625" s="2" t="e">
        <f ca="1">_xll.BDH($C$603,"TOTAL_DEBT_1_YEAR_GROWTH","FQ2 2018","FQ2 2018","Currency=INR","Period=FQ","BEST_FPERIOD_OVERRIDE=FQ","FILING_STATUS=OR","EQY_CONSOLIDATED=Y","Sort=A","Dates=H","DateFormat=P","Fill=—","Direction=H","UseDPDF=Y")</f>
        <v>#NAME?</v>
      </c>
      <c r="AI625" s="2" t="e">
        <f ca="1">_xll.BDH($C$603,"TOTAL_EQUITY_1_YEAR_GROWTH","FQ2 2018","FQ2 2018","Currency=INR","Period=FQ","BEST_FPERIOD_OVERRIDE=FQ","FILING_STATUS=OR","EQY_CONSOLIDATED=Y","Sort=A","Dates=H","DateFormat=P","Fill=—","Direction=H","UseDPDF=Y")</f>
        <v>#NAME?</v>
      </c>
      <c r="AJ625" s="2" t="e">
        <f ca="1">_xll.BDH($C$603,"GROWTH_IN_CAP","FQ2 2018","FQ2 2018","Currency=INR","Period=FQ","BEST_FPERIOD_OVERRIDE=FQ","FILING_STATUS=OR","EQY_CONSOLIDATED=Y","Sort=A","Dates=H","DateFormat=P","Fill=—","Direction=H","UseDPDF=Y")</f>
        <v>#NAME?</v>
      </c>
      <c r="AK625" s="2" t="e">
        <f ca="1">_xll.BDH($C$603,"BVPS_GROWTH","FQ2 2018","FQ2 2018","Currency=INR","Period=FQ","BEST_FPERIOD_OVERRIDE=FQ","FILING_STATUS=OR","EQY_CONSOLIDATED=Y","Sort=A","Dates=H","DateFormat=P","Fill=—","Direction=H","UseDPDF=Y")</f>
        <v>#NAME?</v>
      </c>
      <c r="AL625" s="2" t="e">
        <f ca="1">_xll.BDH($C$603,"CASH_FLOW_GROWTH","FQ2 2018","FQ2 2018","Currency=INR","Period=FQ","BEST_FPERIOD_OVERRIDE=FQ","FILING_STATUS=OR","EQY_CONSOLIDATED=Y","Sort=A","Dates=H","DateFormat=P","Fill=—","Direction=H","UseDPDF=Y")</f>
        <v>#NAME?</v>
      </c>
      <c r="AM625" s="2" t="e">
        <f ca="1">_xll.BDH($C$603,"GEO_GROW_NET_SALES","FQ2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25" s="2" t="e">
        <f ca="1">_xll.BDH($C$603,"GEO_GROW_EBITDA","FQ2 2018","FQ2 2018","Currency=INR","Period=FQ","BEST_FPERIOD_OVERRIDE=FQ","FILING_STATUS=OR","EQY_CONSOLIDATED=Y","FA_ADJUSTED=GAAP","Sort=A","Dates=H","DateFormat=P","Fill=—","Direction=H","UseDPDF=Y")</f>
        <v>#NAME?</v>
      </c>
      <c r="AO625" s="2" t="e">
        <f ca="1">_xll.BDH($C$603,"GEO_GROW_OPER_INC","FQ2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25" s="2" t="e">
        <f ca="1">_xll.BDH($C$603,"NET_INCOME_TO_COMMON_5_YR_GROWTH","FQ2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25" s="2" t="e">
        <f ca="1">_xll.BDH($C$603,"5Y_GEO_GROWTH_DILUTED_EPS","FQ2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25" s="2" t="e">
        <f ca="1">_xll.BDH($C$603,"GEO_GROW_DVD_PER_SH","FQ2 2018","FQ2 2018","Currency=INR","Period=FQ","BEST_FPERIOD_OVERRIDE=FQ","FILING_STATUS=OR","EQY_CONSOLIDATED=Y","Sort=A","Dates=H","DateFormat=P","Fill=—","Direction=H","UseDPDF=Y")</f>
        <v>#NAME?</v>
      </c>
      <c r="AS625" s="2" t="e">
        <f ca="1">_xll.BDH($C$603,"ACCOUNTS_RECEIVABLE_5_YR_GROWTH","FQ2 2018","FQ2 2018","Currency=INR","Period=FQ","BEST_FPERIOD_OVERRIDE=FQ","FILING_STATUS=OR","EQY_CONSOLIDATED=Y","Sort=A","Dates=H","DateFormat=P","Fill=—","Direction=H","UseDPDF=Y")</f>
        <v>#NAME?</v>
      </c>
      <c r="AT625" s="2" t="e">
        <f ca="1">_xll.BDH($C$603,"INVENTORY_5_YEAR_GROWTH","FQ2 2018","FQ2 2018","Currency=INR","Period=FQ","BEST_FPERIOD_OVERRIDE=FQ","FILING_STATUS=OR","EQY_CONSOLIDATED=Y","Sort=A","Dates=H","DateFormat=P","Fill=—","Direction=H","UseDPDF=Y")</f>
        <v>#NAME?</v>
      </c>
      <c r="AU625" s="2" t="e">
        <f ca="1">_xll.BDH($C$603,"NET_FIXED_ASSETS_5_YEAR_GROWTH","FQ2 2018","FQ2 2018","Currency=INR","Period=FQ","BEST_FPERIOD_OVERRIDE=FQ","FILING_STATUS=OR","EQY_CONSOLIDATED=Y","Sort=A","Dates=H","DateFormat=P","Fill=—","Direction=H","UseDPDF=Y")</f>
        <v>#NAME?</v>
      </c>
      <c r="AV625" s="2" t="e">
        <f ca="1">_xll.BDH($C$603,"GEO_GROW_TOT_ASSET","FQ2 2018","FQ2 2018","Currency=INR","Period=FQ","BEST_FPERIOD_OVERRIDE=FQ","FILING_STATUS=OR","EQY_CONSOLIDATED=Y","Sort=A","Dates=H","DateFormat=P","Fill=—","Direction=H","UseDPDF=Y")</f>
        <v>#NAME?</v>
      </c>
      <c r="AW625" s="2" t="e">
        <f ca="1">_xll.BDH($C$603,"MODIFIED_WORKING_CPTL_5YR_GRWTH","FQ2 2018","FQ2 2018","Currency=INR","Period=FQ","BEST_FPERIOD_OVERRIDE=FQ","FILING_STATUS=OR","EQY_CONSOLIDATED=Y","Sort=A","Dates=H","DateFormat=P","Fill=—","Direction=H","UseDPDF=Y")</f>
        <v>#NAME?</v>
      </c>
      <c r="AX625" s="2" t="e">
        <f ca="1">_xll.BDH($C$603,"WORKING_CAPITAL_5_YEAR_GROWTH","FQ2 2018","FQ2 2018","Currency=INR","Period=FQ","BEST_FPERIOD_OVERRIDE=FQ","FILING_STATUS=OR","EQY_CONSOLIDATED=Y","Sort=A","Dates=H","DateFormat=P","Fill=—","Direction=H","UseDPDF=Y")</f>
        <v>#NAME?</v>
      </c>
      <c r="AY625" s="2" t="e">
        <f ca="1">_xll.BDH($C$603,"ACCOUNTS_PAYABLE_5_YEAR_GROWTH","FQ2 2018","FQ2 2018","Currency=INR","Period=FQ","BEST_FPERIOD_OVERRIDE=FQ","FILING_STATUS=OR","EQY_CONSOLIDATED=Y","Sort=A","Dates=H","DateFormat=P","Fill=—","Direction=H","UseDPDF=Y")</f>
        <v>#NAME?</v>
      </c>
      <c r="AZ625" s="2" t="e">
        <f ca="1">_xll.BDH($C$603,"SHORT_TERM_DEBT_5_YEAR_GROWTH","FQ2 2018","FQ2 2018","Currency=INR","Period=FQ","BEST_FPERIOD_OVERRIDE=FQ","FILING_STATUS=OR","EQY_CONSOLIDATED=Y","Sort=A","Dates=H","DateFormat=P","Fill=—","Direction=H","UseDPDF=Y")</f>
        <v>#NAME?</v>
      </c>
      <c r="BA625" s="2" t="e">
        <f ca="1">_xll.BDH($C$603,"TOTAL_DEBT_5_YEAR_GROWTH","FQ2 2018","FQ2 2018","Currency=INR","Period=FQ","BEST_FPERIOD_OVERRIDE=FQ","FILING_STATUS=OR","EQY_CONSOLIDATED=Y","Sort=A","Dates=H","DateFormat=P","Fill=—","Direction=H","UseDPDF=Y")</f>
        <v>#NAME?</v>
      </c>
      <c r="BB625" s="2" t="e">
        <f ca="1">_xll.BDH($C$603,"GEO_GROW_TOT_SHRHLDR_EQY","FQ2 2018","FQ2 2018","Currency=INR","Period=FQ","BEST_FPERIOD_OVERRIDE=FQ","FILING_STATUS=OR","EQY_CONSOLIDATED=Y","Sort=A","Dates=H","DateFormat=P","Fill=—","Direction=H","UseDPDF=Y")</f>
        <v>#NAME?</v>
      </c>
      <c r="BC625" s="2" t="e">
        <f ca="1">_xll.BDH($C$603,"TOTAL_CAPITAL_5_YEAR_GROWTH","FQ2 2018","FQ2 2018","Currency=INR","Period=FQ","BEST_FPERIOD_OVERRIDE=FQ","FILING_STATUS=OR","EQY_CONSOLIDATED=Y","Sort=A","Dates=H","DateFormat=P","Fill=—","Direction=H","UseDPDF=Y")</f>
        <v>#NAME?</v>
      </c>
      <c r="BD625" s="2" t="e">
        <f ca="1">_xll.BDH($C$603,"GEO_GROW_BOOK_VAL","FQ2 2018","FQ2 2018","Currency=INR","Period=FQ","BEST_FPERIOD_OVERRIDE=FQ","FILING_STATUS=OR","EQY_CONSOLIDATED=Y","Sort=A","Dates=H","DateFormat=P","Fill=—","Direction=H","UseDPDF=Y")</f>
        <v>#NAME?</v>
      </c>
      <c r="BE625" s="2" t="e">
        <f ca="1">_xll.BDH($C$603,"GEO_GROW_CASH_OPER_ACT","FQ2 2018","FQ2 2018","Currency=INR","Period=FQ","BEST_FPERIOD_OVERRIDE=FQ","FILING_STATUS=OR","EQY_CONSOLIDATED=Y","Sort=A","Dates=H","DateFormat=P","Fill=—","Direction=H","UseDPDF=Y")</f>
        <v>#NAME?</v>
      </c>
      <c r="BF625" s="2" t="e">
        <f ca="1">_xll.BDH($C$603,"REVENUE_SEQUENTIAL_GROWTH","FQ2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25" s="2" t="e">
        <f ca="1">_xll.BDH($C$603,"EBITDA_SEQUENTIAL_GROWTH","FQ2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25" s="2" t="e">
        <f ca="1">_xll.BDH($C$603,"OPERATING_INCOME_SEQ_GROWTH","FQ2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25" s="2" t="e">
        <f ca="1">_xll.BDH($C$603,"NET_INCOME_TO_COMMON_SEQ_GROWTH","FQ2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25" s="2" t="e">
        <f ca="1">_xll.BDH($C$603,"EPS_DILUTED_SEQUENTIAL_GROWTH","FQ2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25" s="2" t="e">
        <f ca="1">_xll.BDH($C$603,"DPS_SEQUENTIAL_GROWTH","FQ2 2018","FQ2 2018","Currency=INR","Period=FQ","BEST_FPERIOD_OVERRIDE=FQ","FILING_STATUS=OR","EQY_CONSOLIDATED=Y","Sort=A","Dates=H","DateFormat=P","Fill=—","Direction=H","UseDPDF=Y")</f>
        <v>#NAME?</v>
      </c>
      <c r="BL625" s="2" t="e">
        <f ca="1">_xll.BDH($C$603,"ACCOUNTS_RECEIVABLE_SEQ_GROWTH","FQ2 2018","FQ2 2018","Currency=INR","Period=FQ","BEST_FPERIOD_OVERRIDE=FQ","FILING_STATUS=OR","EQY_CONSOLIDATED=Y","Sort=A","Dates=H","DateFormat=P","Fill=—","Direction=H","UseDPDF=Y")</f>
        <v>#NAME?</v>
      </c>
      <c r="BM625" s="2" t="e">
        <f ca="1">_xll.BDH($C$603,"INVENTORY_SEQUENTIAL_GROWTH","FQ2 2018","FQ2 2018","Currency=INR","Period=FQ","BEST_FPERIOD_OVERRIDE=FQ","FILING_STATUS=OR","EQY_CONSOLIDATED=Y","Sort=A","Dates=H","DateFormat=P","Fill=—","Direction=H","UseDPDF=Y")</f>
        <v>#NAME?</v>
      </c>
      <c r="BN625" s="2" t="e">
        <f ca="1">_xll.BDH($C$603,"FIXED_ASSETS_SEQUENTIAL_GROWTH","FQ2 2018","FQ2 2018","Currency=INR","Period=FQ","BEST_FPERIOD_OVERRIDE=FQ","FILING_STATUS=OR","EQY_CONSOLIDATED=Y","Sort=A","Dates=H","DateFormat=P","Fill=—","Direction=H","UseDPDF=Y")</f>
        <v>#NAME?</v>
      </c>
      <c r="BO625" s="2" t="e">
        <f ca="1">_xll.BDH($C$603,"TOTAL_ASSETS_SEQUENTIAL_GROWTH","FQ2 2018","FQ2 2018","Currency=INR","Period=FQ","BEST_FPERIOD_OVERRIDE=FQ","FILING_STATUS=OR","EQY_CONSOLIDATED=Y","Sort=A","Dates=H","DateFormat=P","Fill=—","Direction=H","UseDPDF=Y")</f>
        <v>#NAME?</v>
      </c>
      <c r="BP625" s="2" t="e">
        <f ca="1">_xll.BDH($C$603,"MODIFIED_WORKING_CPTL_SEQ_GRWTH","FQ2 2018","FQ2 2018","Currency=INR","Period=FQ","BEST_FPERIOD_OVERRIDE=FQ","FILING_STATUS=OR","EQY_CONSOLIDATED=Y","Sort=A","Dates=H","DateFormat=P","Fill=—","Direction=H","UseDPDF=Y")</f>
        <v>#NAME?</v>
      </c>
      <c r="BQ625" s="2" t="e">
        <f ca="1">_xll.BDH($C$603,"WORKING_CAPITAL_SEQ_GROWTH","FQ2 2018","FQ2 2018","Currency=INR","Period=FQ","BEST_FPERIOD_OVERRIDE=FQ","FILING_STATUS=OR","EQY_CONSOLIDATED=Y","Sort=A","Dates=H","DateFormat=P","Fill=—","Direction=H","UseDPDF=Y")</f>
        <v>#NAME?</v>
      </c>
      <c r="BR625" s="2" t="e">
        <f ca="1">_xll.BDH($C$603,"ACCOUNTS_PAYABLE_SEQ_GROWTH","FQ2 2018","FQ2 2018","Currency=INR","Period=FQ","BEST_FPERIOD_OVERRIDE=FQ","FILING_STATUS=OR","EQY_CONSOLIDATED=Y","Sort=A","Dates=H","DateFormat=P","Fill=—","Direction=H","UseDPDF=Y")</f>
        <v>#NAME?</v>
      </c>
      <c r="BS625" s="2" t="e">
        <f ca="1">_xll.BDH($C$603,"ST_DEBT_SEQUENTIAL_GROWTH","FQ2 2018","FQ2 2018","Currency=INR","Period=FQ","BEST_FPERIOD_OVERRIDE=FQ","FILING_STATUS=OR","EQY_CONSOLIDATED=Y","Sort=A","Dates=H","DateFormat=P","Fill=—","Direction=H","UseDPDF=Y")</f>
        <v>#NAME?</v>
      </c>
      <c r="BT625" s="2" t="e">
        <f ca="1">_xll.BDH($C$603,"TOTAL_DEBT_SEQUENTIAL_GROWTH","FQ2 2018","FQ2 2018","Currency=INR","Period=FQ","BEST_FPERIOD_OVERRIDE=FQ","FILING_STATUS=OR","EQY_CONSOLIDATED=Y","Sort=A","Dates=H","DateFormat=P","Fill=—","Direction=H","UseDPDF=Y")</f>
        <v>#NAME?</v>
      </c>
      <c r="BU625" s="2" t="e">
        <f ca="1">_xll.BDH($C$603,"TOTAL_EQUITY_SEQUENTIAL_GROWTH","FQ2 2018","FQ2 2018","Currency=INR","Period=FQ","BEST_FPERIOD_OVERRIDE=FQ","FILING_STATUS=OR","EQY_CONSOLIDATED=Y","Sort=A","Dates=H","DateFormat=P","Fill=—","Direction=H","UseDPDF=Y")</f>
        <v>#NAME?</v>
      </c>
      <c r="BV625" s="2" t="e">
        <f ca="1">_xll.BDH($C$603,"TOTAL_CAPITAL_SEQUENTIAL_GROWTH","FQ2 2018","FQ2 2018","Currency=INR","Period=FQ","BEST_FPERIOD_OVERRIDE=FQ","FILING_STATUS=OR","EQY_CONSOLIDATED=Y","Sort=A","Dates=H","DateFormat=P","Fill=—","Direction=H","UseDPDF=Y")</f>
        <v>#NAME?</v>
      </c>
      <c r="BW625" s="2" t="e">
        <f ca="1">_xll.BDH($C$603,"BPS_SEQUENTIAL_GROWTH","FQ2 2018","FQ2 2018","Currency=INR","Period=FQ","BEST_FPERIOD_OVERRIDE=FQ","FILING_STATUS=OR","EQY_CONSOLIDATED=Y","Sort=A","Dates=H","DateFormat=P","Fill=—","Direction=H","UseDPDF=Y")</f>
        <v>#NAME?</v>
      </c>
      <c r="BX625" s="2" t="e">
        <f ca="1">_xll.BDH($C$603,"CFO_SEQUENTIAL_GROWTH","FQ2 2018","FQ2 2018","Currency=INR","Period=FQ","BEST_FPERIOD_OVERRIDE=FQ","FILING_STATUS=OR","EQY_CONSOLIDATED=Y","Sort=A","Dates=H","DateFormat=P","Fill=—","Direction=H","UseDPDF=Y")</f>
        <v>#NAME?</v>
      </c>
      <c r="BY625" s="3" t="e">
        <f ca="1">_xll.BDH($C$603,"SHORT_AND_LONG_TERM_DEBT","FQ2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25" s="3" t="e">
        <f ca="1">_xll.BDH($C$603,"BS_ST_BORROW","FQ2 2018","FQ2 2018","Currency=INR","Period=FQ","BEST_FPERIOD_OVERRIDE=FQ","FILING_STATUS=OR","EQY_CONSOLIDATED=Y","SCALING_FORMAT=MLN","Sort=A","Dates=H","DateFormat=P","Fill=—","Direction=H","UseDPDF=Y")</f>
        <v>#NAME?</v>
      </c>
      <c r="CA625" s="3" t="e">
        <f ca="1">_xll.BDH($C$603,"BS_LT_BORROW","FQ2 2018","FQ2 2018","Currency=INR","Period=FQ","BEST_FPERIOD_OVERRIDE=FQ","FILING_STATUS=OR","EQY_CONSOLIDATED=Y","SCALING_FORMAT=MLN","Sort=A","Dates=H","DateFormat=P","Fill=—","Direction=H","UseDPDF=Y")</f>
        <v>#NAME?</v>
      </c>
      <c r="CB625" s="2" t="e">
        <f ca="1">_xll.BDH($C$603,"TOT_DEBT_TO_EBITDA","FQ2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25" s="2" t="e">
        <f ca="1">_xll.BDH($C$603,"NET_DEBT_TO_EBITDA","FQ2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25" s="2" t="e">
        <f ca="1">_xll.BDH($C$603,"TOTAL_DEBT_TO_EBIT","FQ2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25" s="2" t="e">
        <f ca="1">_xll.BDH($C$603,"NET_DEBT_TO_EBIT","FQ2 2018","FQ2 2018","Currency=INR","Period=FQ","BEST_FPERIOD_OVERRIDE=FQ","FILING_STATUS=OR","EQY_CONSOLIDATED=Y","FA_ADJUSTED=GAAP","Sort=A","Dates=H","DateFormat=P","Fill=—","Direction=H","UseDPDF=Y")</f>
        <v>#NAME?</v>
      </c>
      <c r="CF625" s="2" t="e">
        <f ca="1">_xll.BDH($C$603,"EBITDA_TO_INTEREST_EXPN","FQ2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25" s="2" t="e">
        <f ca="1">_xll.BDH($C$603,"COM_EQY_TO_TOT_ASSET","FQ2 2018","FQ2 2018","Currency=INR","Period=FQ","BEST_FPERIOD_OVERRIDE=FQ","FILING_STATUS=OR","EQY_CONSOLIDATED=Y","Sort=A","Dates=H","DateFormat=P","Fill=—","Direction=H","UseDPDF=Y")</f>
        <v>#NAME?</v>
      </c>
      <c r="CH625" s="2" t="e">
        <f ca="1">_xll.BDH($C$603,"LT_DEBT_TO_TOT_EQY","FQ2 2018","FQ2 2018","Currency=INR","Period=FQ","BEST_FPERIOD_OVERRIDE=FQ","FILING_STATUS=OR","EQY_CONSOLIDATED=Y","Sort=A","Dates=H","DateFormat=P","Fill=—","Direction=H","UseDPDF=Y")</f>
        <v>#NAME?</v>
      </c>
      <c r="CI625" s="2" t="e">
        <f ca="1">_xll.BDH($C$603,"LT_DEBT_TO_TOT_CAP","FQ2 2018","FQ2 2018","Currency=INR","Period=FQ","BEST_FPERIOD_OVERRIDE=FQ","FILING_STATUS=OR","EQY_CONSOLIDATED=Y","Sort=A","Dates=H","DateFormat=P","Fill=—","Direction=H","UseDPDF=Y")</f>
        <v>#NAME?</v>
      </c>
      <c r="CJ625" s="2" t="e">
        <f ca="1">_xll.BDH($C$603,"LT_DEBT_TO_TOT_ASSET","FQ2 2018","FQ2 2018","Currency=INR","Period=FQ","BEST_FPERIOD_OVERRIDE=FQ","FILING_STATUS=OR","EQY_CONSOLIDATED=Y","Sort=A","Dates=H","DateFormat=P","Fill=—","Direction=H","UseDPDF=Y")</f>
        <v>#NAME?</v>
      </c>
      <c r="CK625" s="2" t="e">
        <f ca="1">_xll.BDH($C$603,"TOT_DEBT_TO_TOT_EQY","FQ2 2018","FQ2 2018","Currency=INR","Period=FQ","BEST_FPERIOD_OVERRIDE=FQ","FILING_STATUS=OR","EQY_CONSOLIDATED=Y","Sort=A","Dates=H","DateFormat=P","Fill=—","Direction=H","UseDPDF=Y")</f>
        <v>#NAME?</v>
      </c>
      <c r="CL625" s="2" t="e">
        <f ca="1">_xll.BDH($C$603,"TOT_DEBT_TO_TOT_CAP","FQ2 2018","FQ2 2018","Currency=INR","Period=FQ","BEST_FPERIOD_OVERRIDE=FQ","FILING_STATUS=OR","EQY_CONSOLIDATED=Y","Sort=A","Dates=H","DateFormat=P","Fill=—","Direction=H","UseDPDF=Y")</f>
        <v>#NAME?</v>
      </c>
      <c r="CM625" s="2" t="e">
        <f ca="1">_xll.BDH($C$603,"TOT_DEBT_TO_TOT_ASSET","FQ2 2018","FQ2 2018","Currency=INR","Period=FQ","BEST_FPERIOD_OVERRIDE=FQ","FILING_STATUS=OR","EQY_CONSOLIDATED=Y","Sort=A","Dates=H","DateFormat=P","Fill=—","Direction=H","UseDPDF=Y")</f>
        <v>#NAME?</v>
      </c>
      <c r="CN625" s="2" t="e">
        <f ca="1">_xll.BDH($C$603,"NET_DEBT_TO_SHRHLDR_EQTY","FQ2 2018","FQ2 2018","Currency=INR","Period=FQ","BEST_FPERIOD_OVERRIDE=FQ","FILING_STATUS=OR","EQY_CONSOLIDATED=Y","Sort=A","Dates=H","DateFormat=P","Fill=—","Direction=H","UseDPDF=Y")</f>
        <v>#NAME?</v>
      </c>
      <c r="CO625" s="2" t="e">
        <f ca="1">_xll.BDH($C$603,"NET_DEBT_%_CAPITAL","FQ2 2018","FQ2 2018","Currency=INR","Period=FQ","BEST_FPERIOD_OVERRIDE=FQ","FILING_STATUS=OR","EQY_CONSOLIDATED=Y","Sort=A","Dates=H","DateFormat=P","Fill=—","Direction=H","UseDPDF=Y")</f>
        <v>#NAME?</v>
      </c>
      <c r="CP625" s="3" t="e">
        <f ca="1">_xll.BDH($C$603,"EBITDA","FQ2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25" s="3" t="e">
        <f ca="1">_xll.BDH($C$603,"EBITDA_AFTER_CAPEX","FQ2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25" s="3" t="e">
        <f ca="1">_xll.BDH($C$603,"IS_OPER_INC","FQ2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25" s="2" t="e">
        <f ca="1">_xll.BDH($C$603,"CASH_RATIO","FQ2 2018","FQ2 2018","Currency=INR","Period=FQ","BEST_FPERIOD_OVERRIDE=FQ","FILING_STATUS=OR","EQY_CONSOLIDATED=Y","Sort=A","Dates=H","DateFormat=P","Fill=—","Direction=H","UseDPDF=Y")</f>
        <v>#NAME?</v>
      </c>
      <c r="CT625" s="2" t="e">
        <f ca="1">_xll.BDH($C$603,"CUR_RATIO","FQ2 2018","FQ2 2018","Currency=INR","Period=FQ","BEST_FPERIOD_OVERRIDE=FQ","FILING_STATUS=OR","EQY_CONSOLIDATED=Y","Sort=A","Dates=H","DateFormat=P","Fill=—","Direction=H","UseDPDF=Y")</f>
        <v>#NAME?</v>
      </c>
      <c r="CU625" s="2" t="e">
        <f ca="1">_xll.BDH($C$603,"QUICK_RATIO","FQ2 2018","FQ2 2018","Currency=INR","Period=FQ","BEST_FPERIOD_OVERRIDE=FQ","FILING_STATUS=OR","EQY_CONSOLIDATED=Y","Sort=A","Dates=H","DateFormat=P","Fill=—","Direction=H","UseDPDF=Y")</f>
        <v>#NAME?</v>
      </c>
      <c r="CV625" s="2" t="e">
        <f ca="1">_xll.BDH($C$603,"ALTMAN_Z_SCORE","FQ2 2018","FQ2 2018","Currency=INR","Period=FQ","BEST_FPERIOD_OVERRIDE=FQ","FILING_STATUS=OR","EQY_CONSOLIDATED=Y","Sort=A","Dates=H","DateFormat=P","Fill=—","Direction=H","UseDPDF=Y")</f>
        <v>#NAME?</v>
      </c>
      <c r="CW625" s="4" t="e">
        <f ca="1">_xll.BDH($C$603,"ACCT_RCV_TURN","FQ2 2018","FQ2 2018","Currency=INR","Period=FQ","BEST_FPERIOD_OVERRIDE=FQ","FILING_STATUS=OR","EQY_CONSOLIDATED=Y","FA_ADJUSTED=GAAP","Sort=A","Dates=H","DateFormat=P","Fill=—","Direction=H","UseDPDF=Y")</f>
        <v>#NAME?</v>
      </c>
      <c r="CX625" s="2" t="e">
        <f ca="1">_xll.BDH($C$603,"ACCT_RCV_DAYS","FQ2 2018","FQ2 2018","Currency=INR","Period=FQ","BEST_FPERIOD_OVERRIDE=FQ","FILING_STATUS=OR","EQY_CONSOLIDATED=Y","FA_ADJUSTED=GAAP","Sort=A","Dates=H","DateFormat=P","Fill=—","Direction=H","UseDPDF=Y")</f>
        <v>#NAME?</v>
      </c>
      <c r="CY625" s="4" t="e">
        <f ca="1">_xll.BDH($C$603,"INVENT_TURN","FQ2 2018","FQ2 2018","Currency=INR","Period=FQ","BEST_FPERIOD_OVERRIDE=FQ","FILING_STATUS=OR","EQY_CONSOLIDATED=Y","FA_ADJUSTED=GAAP","Sort=A","Dates=H","DateFormat=P","Fill=—","Direction=H","UseDPDF=Y")</f>
        <v>#NAME?</v>
      </c>
      <c r="CZ625" s="2" t="e">
        <f ca="1">_xll.BDH($C$603,"INVENT_DAYS","FQ2 2018","FQ2 2018","Currency=INR","Period=FQ","BEST_FPERIOD_OVERRIDE=FQ","FILING_STATUS=OR","EQY_CONSOLIDATED=Y","FA_ADJUSTED=GAAP","Sort=A","Dates=H","DateFormat=P","Fill=—","Direction=H","UseDPDF=Y")</f>
        <v>#NAME?</v>
      </c>
      <c r="DA625" s="4" t="e">
        <f ca="1">_xll.BDH($C$603,"ACCOUNTS_PAYABLE_TURNOVER","FQ2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25" s="2" t="e">
        <f ca="1">_xll.BDH($C$603,"ACCOUNTS_PAYABLE_TURNOVER_DAYS","FQ2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25" s="4" t="e">
        <f ca="1">_xll.BDH($C$603,"CASH_CONVERSION_CYCLE","FQ2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25" s="4" t="e">
        <f ca="1">_xll.BDH($C$603,"INV_TO_CASH_DAYS","FQ2 2018","FQ2 2018","Currency=INR","Period=FQ","BEST_FPERIOD_OVERRIDE=FQ","FILING_STATUS=OR","EQY_CONSOLIDATED=Y","FA_ADJUSTED=GAAP","Sort=A","Dates=H","DateFormat=P","Fill=—","Direction=H","UseDPDF=Y")</f>
        <v>#NAME?</v>
      </c>
      <c r="DE625" s="5" t="e">
        <f ca="1">_xll.BDH($C$603,"BS_INVENTORIES","FQ2 2018","FQ2 2018","Currency=INR","Period=FQ","BEST_FPERIOD_OVERRIDE=FQ","FILING_STATUS=OR","EQY_CONSOLIDATED=Y","SCALING_FORMAT=MLN","Sort=A","Dates=H","DateFormat=P","Fill=—","Direction=H","UseDPDF=Y")</f>
        <v>#NAME?</v>
      </c>
      <c r="DF625" s="3" t="e">
        <f ca="1">_xll.BDH($C$603,"INVTRY_RAW_MATERIALS","FQ2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25" s="3" t="e">
        <f ca="1">_xll.BDH($C$603,"INVTRY_IN_PROGRESS","FQ2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25" s="3" t="e">
        <f ca="1">_xll.BDH($C$603,"INVTRY_FINISHED_GOODS","FQ2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25" s="3" t="e">
        <f ca="1">_xll.BDH($C$603,"BS_OTHER_INV","FQ2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26" spans="1:113" x14ac:dyDescent="0.3">
      <c r="A626" s="6"/>
      <c r="B626" s="6"/>
      <c r="C626" s="6"/>
      <c r="D626" s="6"/>
      <c r="E626" t="s">
        <v>80</v>
      </c>
      <c r="F626" t="e">
        <f ca="1">_xll.BDH($C$603,"RETURN_COM_EQY","FQ3 2018","FQ3 2018","Currency=INR","Period=FQ","BEST_FPERIOD_OVERRIDE=FQ","FILING_STATUS=OR","EQY_CONSOLIDATED=Y","FA_ADJUSTED=GAAP","Sort=A","Dates=H","DateFormat=P","Fill=—","Direction=H","UseDPDF=Y")</f>
        <v>#NAME?</v>
      </c>
      <c r="G626" t="e">
        <f ca="1">_xll.BDH($C$603,"RETURN_ON_ASSET","FQ3 2018","FQ3 2018","Currency=INR","Period=FQ","BEST_FPERIOD_OVERRIDE=FQ","FILING_STATUS=OR","EQY_CONSOLIDATED=Y","FA_ADJUSTED=GAAP","Sort=A","Dates=H","DateFormat=P","Fill=—","Direction=H","UseDPDF=Y")</f>
        <v>#NAME?</v>
      </c>
      <c r="H626" t="e">
        <f ca="1">_xll.BDH($C$603,"RETURN_ON_CAP","FQ3 2018","FQ3 2018","Currency=INR","Period=FQ","BEST_FPERIOD_OVERRIDE=FQ","FILING_STATUS=OR","EQY_CONSOLIDATED=Y","FA_ADJUSTED=GAAP","Sort=A","Dates=H","DateFormat=P","Fill=—","Direction=H","UseDPDF=Y")</f>
        <v>#NAME?</v>
      </c>
      <c r="I626" t="e">
        <f ca="1">_xll.BDH($C$603,"RETURN_ON_INV_CAPITAL","FQ3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26" t="e">
        <f ca="1">_xll.BDH($C$603,"EBITDA_TO_REVENUE","FQ3 2018","FQ3 2018","Currency=INR","Period=FQ","BEST_FPERIOD_OVERRIDE=FQ","FILING_STATUS=OR","EQY_CONSOLIDATED=Y","FA_ADJUSTED=GAAP","Sort=A","Dates=H","DateFormat=P","Fill=—","Direction=H","UseDPDF=Y")</f>
        <v>#NAME?</v>
      </c>
      <c r="K626" t="e">
        <f ca="1">_xll.BDH($C$603,"OPER_MARGIN","FQ3 2018","FQ3 2018","Currency=INR","Period=FQ","BEST_FPERIOD_OVERRIDE=FQ","FILING_STATUS=OR","EQY_CONSOLIDATED=Y","FA_ADJUSTED=GAAP","Sort=A","Dates=H","DateFormat=P","Fill=—","Direction=H","UseDPDF=Y")</f>
        <v>#NAME?</v>
      </c>
      <c r="L626" t="e">
        <f ca="1">_xll.BDH($C$603,"INCREMENTAL_OPERATING_MARGIN","FQ3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26" t="e">
        <f ca="1">_xll.BDH($C$603,"PRETAX_INC_TO_NET_SALES","FQ3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26" t="e">
        <f ca="1">_xll.BDH($C$603,"INC_BEF_XO_ITEMS_TO_NET_SALES","FQ3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26" t="e">
        <f ca="1">_xll.BDH($C$603,"PROF_MARGIN","FQ3 2018","FQ3 2018","Currency=INR","Period=FQ","BEST_FPERIOD_OVERRIDE=FQ","FILING_STATUS=OR","EQY_CONSOLIDATED=Y","FA_ADJUSTED=GAAP","Sort=A","Dates=H","DateFormat=P","Fill=—","Direction=H","UseDPDF=Y")</f>
        <v>#NAME?</v>
      </c>
      <c r="P626" t="e">
        <f ca="1">_xll.BDH($C$603,"NET_INCOME_TO_COMMON_MARGIN","FQ3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26" t="e">
        <f ca="1">_xll.BDH($C$603,"EFF_TAX_RATE","FQ3 2018","FQ3 2018","Currency=INR","Period=FQ","BEST_FPERIOD_OVERRIDE=FQ","FILING_STATUS=OR","EQY_CONSOLIDATED=Y","FA_ADJUSTED=GAAP","Sort=A","Dates=H","DateFormat=P","Fill=—","Direction=H","UseDPDF=Y")</f>
        <v>#NAME?</v>
      </c>
      <c r="R626" t="e">
        <f ca="1">_xll.BDH($C$603,"DVD_PAYOUT_RATIO","FQ3 2018","FQ3 2018","Currency=INR","Period=FQ","BEST_FPERIOD_OVERRIDE=FQ","FILING_STATUS=OR","EQY_CONSOLIDATED=Y","FA_ADJUSTED=GAAP","Sort=A","Dates=H","DateFormat=P","Fill=—","Direction=H","UseDPDF=Y")</f>
        <v>#NAME?</v>
      </c>
      <c r="S626" t="e">
        <f ca="1">_xll.BDH($C$603,"SUSTAIN_GROWTH_RT","FQ3 2018","FQ3 2018","Currency=INR","Period=FQ","BEST_FPERIOD_OVERRIDE=FQ","FILING_STATUS=OR","EQY_CONSOLIDATED=Y","FA_ADJUSTED=GAAP","Sort=A","Dates=H","DateFormat=P","Fill=—","Direction=H","UseDPDF=Y")</f>
        <v>#NAME?</v>
      </c>
      <c r="T626" s="2" t="e">
        <f ca="1">_xll.BDH($C$603,"SALES_GROWTH","FQ3 2018","FQ3 2018","Currency=INR","Period=FQ","BEST_FPERIOD_OVERRIDE=FQ","FILING_STATUS=OR","EQY_CONSOLIDATED=Y","FA_ADJUSTED=GAAP","Sort=A","Dates=H","DateFormat=P","Fill=—","Direction=H","UseDPDF=Y")</f>
        <v>#NAME?</v>
      </c>
      <c r="U626" s="2" t="e">
        <f ca="1">_xll.BDH($C$603,"EBITDA_GROWTH","FQ3 2018","FQ3 2018","Currency=INR","Period=FQ","BEST_FPERIOD_OVERRIDE=FQ","FILING_STATUS=OR","EQY_CONSOLIDATED=Y","FA_ADJUSTED=GAAP","Sort=A","Dates=H","DateFormat=P","Fill=—","Direction=H","UseDPDF=Y")</f>
        <v>#NAME?</v>
      </c>
      <c r="V626" s="2" t="e">
        <f ca="1">_xll.BDH($C$603,"OPER_INC_GROWTH","FQ3 2018","FQ3 2018","Currency=INR","Period=FQ","BEST_FPERIOD_OVERRIDE=FQ","FILING_STATUS=OR","EQY_CONSOLIDATED=Y","FA_ADJUSTED=GAAP","Sort=A","Dates=H","DateFormat=P","Fill=—","Direction=H","UseDPDF=Y")</f>
        <v>#NAME?</v>
      </c>
      <c r="W626" s="2" t="e">
        <f ca="1">_xll.BDH($C$603,"EARN_FOR_COM_GROWTH","FQ3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26" s="2" t="e">
        <f ca="1">_xll.BDH($C$603,"DILUTED_EPS_AFT_XO_ITEMS_GROWTH","FQ3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26" s="2" t="e">
        <f ca="1">_xll.BDH($C$603,"DIVIDEND_PER_SHARE_1_YEAR_GROWTH","FQ3 2018","FQ3 2018","Currency=INR","Period=FQ","BEST_FPERIOD_OVERRIDE=FQ","FILING_STATUS=OR","EQY_CONSOLIDATED=Y","Sort=A","Dates=H","DateFormat=P","Fill=—","Direction=H","UseDPDF=Y")</f>
        <v>#NAME?</v>
      </c>
      <c r="Z626" s="2" t="e">
        <f ca="1">_xll.BDH($C$603,"ACCOUNTS_RECEIVABLE_GROWTH","FQ3 2018","FQ3 2018","Currency=INR","Period=FQ","BEST_FPERIOD_OVERRIDE=FQ","FILING_STATUS=OR","EQY_CONSOLIDATED=Y","Sort=A","Dates=H","DateFormat=P","Fill=—","Direction=H","UseDPDF=Y")</f>
        <v>#NAME?</v>
      </c>
      <c r="AA626" s="2" t="e">
        <f ca="1">_xll.BDH($C$603,"INVENTORY_GROWTH","FQ3 2018","FQ3 2018","Currency=INR","Period=FQ","BEST_FPERIOD_OVERRIDE=FQ","FILING_STATUS=OR","EQY_CONSOLIDATED=Y","Sort=A","Dates=H","DateFormat=P","Fill=—","Direction=H","UseDPDF=Y")</f>
        <v>#NAME?</v>
      </c>
      <c r="AB626" s="2" t="e">
        <f ca="1">_xll.BDH($C$603,"NET_FIXED_ASSETS_1_YEAR_GROWTH","FQ3 2018","FQ3 2018","Currency=INR","Period=FQ","BEST_FPERIOD_OVERRIDE=FQ","FILING_STATUS=OR","EQY_CONSOLIDATED=Y","Sort=A","Dates=H","DateFormat=P","Fill=—","Direction=H","UseDPDF=Y")</f>
        <v>#NAME?</v>
      </c>
      <c r="AC626" s="2" t="e">
        <f ca="1">_xll.BDH($C$603,"ASSET_GROWTH","FQ3 2018","FQ3 2018","Currency=INR","Period=FQ","BEST_FPERIOD_OVERRIDE=FQ","FILING_STATUS=OR","EQY_CONSOLIDATED=Y","Sort=A","Dates=H","DateFormat=P","Fill=—","Direction=H","UseDPDF=Y")</f>
        <v>#NAME?</v>
      </c>
      <c r="AD626" s="2" t="e">
        <f ca="1">_xll.BDH($C$603,"MODIFIED_WORK_CAP_GROWTH","FQ3 2018","FQ3 2018","Currency=INR","Period=FQ","BEST_FPERIOD_OVERRIDE=FQ","FILING_STATUS=OR","EQY_CONSOLIDATED=Y","Sort=A","Dates=H","DateFormat=P","Fill=—","Direction=H","UseDPDF=Y")</f>
        <v>#NAME?</v>
      </c>
      <c r="AE626" s="2" t="e">
        <f ca="1">_xll.BDH($C$603,"WORK_CAP_GROWTH","FQ3 2018","FQ3 2018","Currency=INR","Period=FQ","BEST_FPERIOD_OVERRIDE=FQ","FILING_STATUS=OR","EQY_CONSOLIDATED=Y","Sort=A","Dates=H","DateFormat=P","Fill=—","Direction=H","UseDPDF=Y")</f>
        <v>#NAME?</v>
      </c>
      <c r="AF626" s="2" t="e">
        <f ca="1">_xll.BDH($C$603,"ACCOUNTS_PAYABLE_GROWTH_1YR","FQ3 2018","FQ3 2018","Currency=INR","Period=FQ","BEST_FPERIOD_OVERRIDE=FQ","FILING_STATUS=OR","EQY_CONSOLIDATED=Y","Sort=A","Dates=H","DateFormat=P","Fill=—","Direction=H","UseDPDF=Y")</f>
        <v>#NAME?</v>
      </c>
      <c r="AG626" s="2" t="e">
        <f ca="1">_xll.BDH($C$603,"SHORT_TERM_DEBT_1_YEAR_GROWTH","FQ3 2018","FQ3 2018","Currency=INR","Period=FQ","BEST_FPERIOD_OVERRIDE=FQ","FILING_STATUS=OR","EQY_CONSOLIDATED=Y","Sort=A","Dates=H","DateFormat=P","Fill=—","Direction=H","UseDPDF=Y")</f>
        <v>#NAME?</v>
      </c>
      <c r="AH626" s="2" t="e">
        <f ca="1">_xll.BDH($C$603,"TOTAL_DEBT_1_YEAR_GROWTH","FQ3 2018","FQ3 2018","Currency=INR","Period=FQ","BEST_FPERIOD_OVERRIDE=FQ","FILING_STATUS=OR","EQY_CONSOLIDATED=Y","Sort=A","Dates=H","DateFormat=P","Fill=—","Direction=H","UseDPDF=Y")</f>
        <v>#NAME?</v>
      </c>
      <c r="AI626" s="2" t="e">
        <f ca="1">_xll.BDH($C$603,"TOTAL_EQUITY_1_YEAR_GROWTH","FQ3 2018","FQ3 2018","Currency=INR","Period=FQ","BEST_FPERIOD_OVERRIDE=FQ","FILING_STATUS=OR","EQY_CONSOLIDATED=Y","Sort=A","Dates=H","DateFormat=P","Fill=—","Direction=H","UseDPDF=Y")</f>
        <v>#NAME?</v>
      </c>
      <c r="AJ626" s="2" t="e">
        <f ca="1">_xll.BDH($C$603,"GROWTH_IN_CAP","FQ3 2018","FQ3 2018","Currency=INR","Period=FQ","BEST_FPERIOD_OVERRIDE=FQ","FILING_STATUS=OR","EQY_CONSOLIDATED=Y","Sort=A","Dates=H","DateFormat=P","Fill=—","Direction=H","UseDPDF=Y")</f>
        <v>#NAME?</v>
      </c>
      <c r="AK626" s="2" t="e">
        <f ca="1">_xll.BDH($C$603,"BVPS_GROWTH","FQ3 2018","FQ3 2018","Currency=INR","Period=FQ","BEST_FPERIOD_OVERRIDE=FQ","FILING_STATUS=OR","EQY_CONSOLIDATED=Y","Sort=A","Dates=H","DateFormat=P","Fill=—","Direction=H","UseDPDF=Y")</f>
        <v>#NAME?</v>
      </c>
      <c r="AL626" s="2" t="e">
        <f ca="1">_xll.BDH($C$603,"CASH_FLOW_GROWTH","FQ3 2018","FQ3 2018","Currency=INR","Period=FQ","BEST_FPERIOD_OVERRIDE=FQ","FILING_STATUS=OR","EQY_CONSOLIDATED=Y","Sort=A","Dates=H","DateFormat=P","Fill=—","Direction=H","UseDPDF=Y")</f>
        <v>#NAME?</v>
      </c>
      <c r="AM626" s="2" t="e">
        <f ca="1">_xll.BDH($C$603,"GEO_GROW_NET_SALES","FQ3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26" s="2" t="e">
        <f ca="1">_xll.BDH($C$603,"GEO_GROW_EBITDA","FQ3 2018","FQ3 2018","Currency=INR","Period=FQ","BEST_FPERIOD_OVERRIDE=FQ","FILING_STATUS=OR","EQY_CONSOLIDATED=Y","FA_ADJUSTED=GAAP","Sort=A","Dates=H","DateFormat=P","Fill=—","Direction=H","UseDPDF=Y")</f>
        <v>#NAME?</v>
      </c>
      <c r="AO626" s="2" t="e">
        <f ca="1">_xll.BDH($C$603,"GEO_GROW_OPER_INC","FQ3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26" s="2" t="e">
        <f ca="1">_xll.BDH($C$603,"NET_INCOME_TO_COMMON_5_YR_GROWTH","FQ3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26" s="2" t="e">
        <f ca="1">_xll.BDH($C$603,"5Y_GEO_GROWTH_DILUTED_EPS","FQ3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26" s="2" t="e">
        <f ca="1">_xll.BDH($C$603,"GEO_GROW_DVD_PER_SH","FQ3 2018","FQ3 2018","Currency=INR","Period=FQ","BEST_FPERIOD_OVERRIDE=FQ","FILING_STATUS=OR","EQY_CONSOLIDATED=Y","Sort=A","Dates=H","DateFormat=P","Fill=—","Direction=H","UseDPDF=Y")</f>
        <v>#NAME?</v>
      </c>
      <c r="AS626" s="2" t="e">
        <f ca="1">_xll.BDH($C$603,"ACCOUNTS_RECEIVABLE_5_YR_GROWTH","FQ3 2018","FQ3 2018","Currency=INR","Period=FQ","BEST_FPERIOD_OVERRIDE=FQ","FILING_STATUS=OR","EQY_CONSOLIDATED=Y","Sort=A","Dates=H","DateFormat=P","Fill=—","Direction=H","UseDPDF=Y")</f>
        <v>#NAME?</v>
      </c>
      <c r="AT626" s="2" t="e">
        <f ca="1">_xll.BDH($C$603,"INVENTORY_5_YEAR_GROWTH","FQ3 2018","FQ3 2018","Currency=INR","Period=FQ","BEST_FPERIOD_OVERRIDE=FQ","FILING_STATUS=OR","EQY_CONSOLIDATED=Y","Sort=A","Dates=H","DateFormat=P","Fill=—","Direction=H","UseDPDF=Y")</f>
        <v>#NAME?</v>
      </c>
      <c r="AU626" s="2" t="e">
        <f ca="1">_xll.BDH($C$603,"NET_FIXED_ASSETS_5_YEAR_GROWTH","FQ3 2018","FQ3 2018","Currency=INR","Period=FQ","BEST_FPERIOD_OVERRIDE=FQ","FILING_STATUS=OR","EQY_CONSOLIDATED=Y","Sort=A","Dates=H","DateFormat=P","Fill=—","Direction=H","UseDPDF=Y")</f>
        <v>#NAME?</v>
      </c>
      <c r="AV626" s="2" t="e">
        <f ca="1">_xll.BDH($C$603,"GEO_GROW_TOT_ASSET","FQ3 2018","FQ3 2018","Currency=INR","Period=FQ","BEST_FPERIOD_OVERRIDE=FQ","FILING_STATUS=OR","EQY_CONSOLIDATED=Y","Sort=A","Dates=H","DateFormat=P","Fill=—","Direction=H","UseDPDF=Y")</f>
        <v>#NAME?</v>
      </c>
      <c r="AW626" s="2" t="e">
        <f ca="1">_xll.BDH($C$603,"MODIFIED_WORKING_CPTL_5YR_GRWTH","FQ3 2018","FQ3 2018","Currency=INR","Period=FQ","BEST_FPERIOD_OVERRIDE=FQ","FILING_STATUS=OR","EQY_CONSOLIDATED=Y","Sort=A","Dates=H","DateFormat=P","Fill=—","Direction=H","UseDPDF=Y")</f>
        <v>#NAME?</v>
      </c>
      <c r="AX626" s="2" t="e">
        <f ca="1">_xll.BDH($C$603,"WORKING_CAPITAL_5_YEAR_GROWTH","FQ3 2018","FQ3 2018","Currency=INR","Period=FQ","BEST_FPERIOD_OVERRIDE=FQ","FILING_STATUS=OR","EQY_CONSOLIDATED=Y","Sort=A","Dates=H","DateFormat=P","Fill=—","Direction=H","UseDPDF=Y")</f>
        <v>#NAME?</v>
      </c>
      <c r="AY626" s="2" t="e">
        <f ca="1">_xll.BDH($C$603,"ACCOUNTS_PAYABLE_5_YEAR_GROWTH","FQ3 2018","FQ3 2018","Currency=INR","Period=FQ","BEST_FPERIOD_OVERRIDE=FQ","FILING_STATUS=OR","EQY_CONSOLIDATED=Y","Sort=A","Dates=H","DateFormat=P","Fill=—","Direction=H","UseDPDF=Y")</f>
        <v>#NAME?</v>
      </c>
      <c r="AZ626" s="2" t="e">
        <f ca="1">_xll.BDH($C$603,"SHORT_TERM_DEBT_5_YEAR_GROWTH","FQ3 2018","FQ3 2018","Currency=INR","Period=FQ","BEST_FPERIOD_OVERRIDE=FQ","FILING_STATUS=OR","EQY_CONSOLIDATED=Y","Sort=A","Dates=H","DateFormat=P","Fill=—","Direction=H","UseDPDF=Y")</f>
        <v>#NAME?</v>
      </c>
      <c r="BA626" s="2" t="e">
        <f ca="1">_xll.BDH($C$603,"TOTAL_DEBT_5_YEAR_GROWTH","FQ3 2018","FQ3 2018","Currency=INR","Period=FQ","BEST_FPERIOD_OVERRIDE=FQ","FILING_STATUS=OR","EQY_CONSOLIDATED=Y","Sort=A","Dates=H","DateFormat=P","Fill=—","Direction=H","UseDPDF=Y")</f>
        <v>#NAME?</v>
      </c>
      <c r="BB626" s="2" t="e">
        <f ca="1">_xll.BDH($C$603,"GEO_GROW_TOT_SHRHLDR_EQY","FQ3 2018","FQ3 2018","Currency=INR","Period=FQ","BEST_FPERIOD_OVERRIDE=FQ","FILING_STATUS=OR","EQY_CONSOLIDATED=Y","Sort=A","Dates=H","DateFormat=P","Fill=—","Direction=H","UseDPDF=Y")</f>
        <v>#NAME?</v>
      </c>
      <c r="BC626" s="2" t="e">
        <f ca="1">_xll.BDH($C$603,"TOTAL_CAPITAL_5_YEAR_GROWTH","FQ3 2018","FQ3 2018","Currency=INR","Period=FQ","BEST_FPERIOD_OVERRIDE=FQ","FILING_STATUS=OR","EQY_CONSOLIDATED=Y","Sort=A","Dates=H","DateFormat=P","Fill=—","Direction=H","UseDPDF=Y")</f>
        <v>#NAME?</v>
      </c>
      <c r="BD626" s="2" t="e">
        <f ca="1">_xll.BDH($C$603,"GEO_GROW_BOOK_VAL","FQ3 2018","FQ3 2018","Currency=INR","Period=FQ","BEST_FPERIOD_OVERRIDE=FQ","FILING_STATUS=OR","EQY_CONSOLIDATED=Y","Sort=A","Dates=H","DateFormat=P","Fill=—","Direction=H","UseDPDF=Y")</f>
        <v>#NAME?</v>
      </c>
      <c r="BE626" s="2" t="e">
        <f ca="1">_xll.BDH($C$603,"GEO_GROW_CASH_OPER_ACT","FQ3 2018","FQ3 2018","Currency=INR","Period=FQ","BEST_FPERIOD_OVERRIDE=FQ","FILING_STATUS=OR","EQY_CONSOLIDATED=Y","Sort=A","Dates=H","DateFormat=P","Fill=—","Direction=H","UseDPDF=Y")</f>
        <v>#NAME?</v>
      </c>
      <c r="BF626" s="2" t="e">
        <f ca="1">_xll.BDH($C$603,"REVENUE_SEQUENTIAL_GROWTH","FQ3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26" s="2" t="e">
        <f ca="1">_xll.BDH($C$603,"EBITDA_SEQUENTIAL_GROWTH","FQ3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26" s="2" t="e">
        <f ca="1">_xll.BDH($C$603,"OPERATING_INCOME_SEQ_GROWTH","FQ3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26" s="2" t="e">
        <f ca="1">_xll.BDH($C$603,"NET_INCOME_TO_COMMON_SEQ_GROWTH","FQ3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26" s="2" t="e">
        <f ca="1">_xll.BDH($C$603,"EPS_DILUTED_SEQUENTIAL_GROWTH","FQ3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26" s="2" t="e">
        <f ca="1">_xll.BDH($C$603,"DPS_SEQUENTIAL_GROWTH","FQ3 2018","FQ3 2018","Currency=INR","Period=FQ","BEST_FPERIOD_OVERRIDE=FQ","FILING_STATUS=OR","EQY_CONSOLIDATED=Y","Sort=A","Dates=H","DateFormat=P","Fill=—","Direction=H","UseDPDF=Y")</f>
        <v>#NAME?</v>
      </c>
      <c r="BL626" s="2" t="e">
        <f ca="1">_xll.BDH($C$603,"ACCOUNTS_RECEIVABLE_SEQ_GROWTH","FQ3 2018","FQ3 2018","Currency=INR","Period=FQ","BEST_FPERIOD_OVERRIDE=FQ","FILING_STATUS=OR","EQY_CONSOLIDATED=Y","Sort=A","Dates=H","DateFormat=P","Fill=—","Direction=H","UseDPDF=Y")</f>
        <v>#NAME?</v>
      </c>
      <c r="BM626" s="2" t="e">
        <f ca="1">_xll.BDH($C$603,"INVENTORY_SEQUENTIAL_GROWTH","FQ3 2018","FQ3 2018","Currency=INR","Period=FQ","BEST_FPERIOD_OVERRIDE=FQ","FILING_STATUS=OR","EQY_CONSOLIDATED=Y","Sort=A","Dates=H","DateFormat=P","Fill=—","Direction=H","UseDPDF=Y")</f>
        <v>#NAME?</v>
      </c>
      <c r="BN626" s="2" t="e">
        <f ca="1">_xll.BDH($C$603,"FIXED_ASSETS_SEQUENTIAL_GROWTH","FQ3 2018","FQ3 2018","Currency=INR","Period=FQ","BEST_FPERIOD_OVERRIDE=FQ","FILING_STATUS=OR","EQY_CONSOLIDATED=Y","Sort=A","Dates=H","DateFormat=P","Fill=—","Direction=H","UseDPDF=Y")</f>
        <v>#NAME?</v>
      </c>
      <c r="BO626" s="2" t="e">
        <f ca="1">_xll.BDH($C$603,"TOTAL_ASSETS_SEQUENTIAL_GROWTH","FQ3 2018","FQ3 2018","Currency=INR","Period=FQ","BEST_FPERIOD_OVERRIDE=FQ","FILING_STATUS=OR","EQY_CONSOLIDATED=Y","Sort=A","Dates=H","DateFormat=P","Fill=—","Direction=H","UseDPDF=Y")</f>
        <v>#NAME?</v>
      </c>
      <c r="BP626" s="2" t="e">
        <f ca="1">_xll.BDH($C$603,"MODIFIED_WORKING_CPTL_SEQ_GRWTH","FQ3 2018","FQ3 2018","Currency=INR","Period=FQ","BEST_FPERIOD_OVERRIDE=FQ","FILING_STATUS=OR","EQY_CONSOLIDATED=Y","Sort=A","Dates=H","DateFormat=P","Fill=—","Direction=H","UseDPDF=Y")</f>
        <v>#NAME?</v>
      </c>
      <c r="BQ626" s="2" t="e">
        <f ca="1">_xll.BDH($C$603,"WORKING_CAPITAL_SEQ_GROWTH","FQ3 2018","FQ3 2018","Currency=INR","Period=FQ","BEST_FPERIOD_OVERRIDE=FQ","FILING_STATUS=OR","EQY_CONSOLIDATED=Y","Sort=A","Dates=H","DateFormat=P","Fill=—","Direction=H","UseDPDF=Y")</f>
        <v>#NAME?</v>
      </c>
      <c r="BR626" s="2" t="e">
        <f ca="1">_xll.BDH($C$603,"ACCOUNTS_PAYABLE_SEQ_GROWTH","FQ3 2018","FQ3 2018","Currency=INR","Period=FQ","BEST_FPERIOD_OVERRIDE=FQ","FILING_STATUS=OR","EQY_CONSOLIDATED=Y","Sort=A","Dates=H","DateFormat=P","Fill=—","Direction=H","UseDPDF=Y")</f>
        <v>#NAME?</v>
      </c>
      <c r="BS626" s="2" t="e">
        <f ca="1">_xll.BDH($C$603,"ST_DEBT_SEQUENTIAL_GROWTH","FQ3 2018","FQ3 2018","Currency=INR","Period=FQ","BEST_FPERIOD_OVERRIDE=FQ","FILING_STATUS=OR","EQY_CONSOLIDATED=Y","Sort=A","Dates=H","DateFormat=P","Fill=—","Direction=H","UseDPDF=Y")</f>
        <v>#NAME?</v>
      </c>
      <c r="BT626" s="2" t="e">
        <f ca="1">_xll.BDH($C$603,"TOTAL_DEBT_SEQUENTIAL_GROWTH","FQ3 2018","FQ3 2018","Currency=INR","Period=FQ","BEST_FPERIOD_OVERRIDE=FQ","FILING_STATUS=OR","EQY_CONSOLIDATED=Y","Sort=A","Dates=H","DateFormat=P","Fill=—","Direction=H","UseDPDF=Y")</f>
        <v>#NAME?</v>
      </c>
      <c r="BU626" s="2" t="e">
        <f ca="1">_xll.BDH($C$603,"TOTAL_EQUITY_SEQUENTIAL_GROWTH","FQ3 2018","FQ3 2018","Currency=INR","Period=FQ","BEST_FPERIOD_OVERRIDE=FQ","FILING_STATUS=OR","EQY_CONSOLIDATED=Y","Sort=A","Dates=H","DateFormat=P","Fill=—","Direction=H","UseDPDF=Y")</f>
        <v>#NAME?</v>
      </c>
      <c r="BV626" s="2" t="e">
        <f ca="1">_xll.BDH($C$603,"TOTAL_CAPITAL_SEQUENTIAL_GROWTH","FQ3 2018","FQ3 2018","Currency=INR","Period=FQ","BEST_FPERIOD_OVERRIDE=FQ","FILING_STATUS=OR","EQY_CONSOLIDATED=Y","Sort=A","Dates=H","DateFormat=P","Fill=—","Direction=H","UseDPDF=Y")</f>
        <v>#NAME?</v>
      </c>
      <c r="BW626" s="2" t="e">
        <f ca="1">_xll.BDH($C$603,"BPS_SEQUENTIAL_GROWTH","FQ3 2018","FQ3 2018","Currency=INR","Period=FQ","BEST_FPERIOD_OVERRIDE=FQ","FILING_STATUS=OR","EQY_CONSOLIDATED=Y","Sort=A","Dates=H","DateFormat=P","Fill=—","Direction=H","UseDPDF=Y")</f>
        <v>#NAME?</v>
      </c>
      <c r="BX626" s="2" t="e">
        <f ca="1">_xll.BDH($C$603,"CFO_SEQUENTIAL_GROWTH","FQ3 2018","FQ3 2018","Currency=INR","Period=FQ","BEST_FPERIOD_OVERRIDE=FQ","FILING_STATUS=OR","EQY_CONSOLIDATED=Y","Sort=A","Dates=H","DateFormat=P","Fill=—","Direction=H","UseDPDF=Y")</f>
        <v>#NAME?</v>
      </c>
      <c r="BY626" s="3" t="e">
        <f ca="1">_xll.BDH($C$603,"SHORT_AND_LONG_TERM_DEBT","FQ3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26" s="3" t="e">
        <f ca="1">_xll.BDH($C$603,"BS_ST_BORROW","FQ3 2018","FQ3 2018","Currency=INR","Period=FQ","BEST_FPERIOD_OVERRIDE=FQ","FILING_STATUS=OR","EQY_CONSOLIDATED=Y","SCALING_FORMAT=MLN","Sort=A","Dates=H","DateFormat=P","Fill=—","Direction=H","UseDPDF=Y")</f>
        <v>#NAME?</v>
      </c>
      <c r="CA626" s="3" t="e">
        <f ca="1">_xll.BDH($C$603,"BS_LT_BORROW","FQ3 2018","FQ3 2018","Currency=INR","Period=FQ","BEST_FPERIOD_OVERRIDE=FQ","FILING_STATUS=OR","EQY_CONSOLIDATED=Y","SCALING_FORMAT=MLN","Sort=A","Dates=H","DateFormat=P","Fill=—","Direction=H","UseDPDF=Y")</f>
        <v>#NAME?</v>
      </c>
      <c r="CB626" s="2" t="e">
        <f ca="1">_xll.BDH($C$603,"TOT_DEBT_TO_EBITDA","FQ3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26" s="2" t="e">
        <f ca="1">_xll.BDH($C$603,"NET_DEBT_TO_EBITDA","FQ3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26" s="2" t="e">
        <f ca="1">_xll.BDH($C$603,"TOTAL_DEBT_TO_EBIT","FQ3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26" s="2" t="e">
        <f ca="1">_xll.BDH($C$603,"NET_DEBT_TO_EBIT","FQ3 2018","FQ3 2018","Currency=INR","Period=FQ","BEST_FPERIOD_OVERRIDE=FQ","FILING_STATUS=OR","EQY_CONSOLIDATED=Y","FA_ADJUSTED=GAAP","Sort=A","Dates=H","DateFormat=P","Fill=—","Direction=H","UseDPDF=Y")</f>
        <v>#NAME?</v>
      </c>
      <c r="CF626" s="2" t="e">
        <f ca="1">_xll.BDH($C$603,"EBITDA_TO_INTEREST_EXPN","FQ3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26" s="2" t="e">
        <f ca="1">_xll.BDH($C$603,"COM_EQY_TO_TOT_ASSET","FQ3 2018","FQ3 2018","Currency=INR","Period=FQ","BEST_FPERIOD_OVERRIDE=FQ","FILING_STATUS=OR","EQY_CONSOLIDATED=Y","Sort=A","Dates=H","DateFormat=P","Fill=—","Direction=H","UseDPDF=Y")</f>
        <v>#NAME?</v>
      </c>
      <c r="CH626" s="2" t="e">
        <f ca="1">_xll.BDH($C$603,"LT_DEBT_TO_TOT_EQY","FQ3 2018","FQ3 2018","Currency=INR","Period=FQ","BEST_FPERIOD_OVERRIDE=FQ","FILING_STATUS=OR","EQY_CONSOLIDATED=Y","Sort=A","Dates=H","DateFormat=P","Fill=—","Direction=H","UseDPDF=Y")</f>
        <v>#NAME?</v>
      </c>
      <c r="CI626" s="2" t="e">
        <f ca="1">_xll.BDH($C$603,"LT_DEBT_TO_TOT_CAP","FQ3 2018","FQ3 2018","Currency=INR","Period=FQ","BEST_FPERIOD_OVERRIDE=FQ","FILING_STATUS=OR","EQY_CONSOLIDATED=Y","Sort=A","Dates=H","DateFormat=P","Fill=—","Direction=H","UseDPDF=Y")</f>
        <v>#NAME?</v>
      </c>
      <c r="CJ626" s="2" t="e">
        <f ca="1">_xll.BDH($C$603,"LT_DEBT_TO_TOT_ASSET","FQ3 2018","FQ3 2018","Currency=INR","Period=FQ","BEST_FPERIOD_OVERRIDE=FQ","FILING_STATUS=OR","EQY_CONSOLIDATED=Y","Sort=A","Dates=H","DateFormat=P","Fill=—","Direction=H","UseDPDF=Y")</f>
        <v>#NAME?</v>
      </c>
      <c r="CK626" s="2" t="e">
        <f ca="1">_xll.BDH($C$603,"TOT_DEBT_TO_TOT_EQY","FQ3 2018","FQ3 2018","Currency=INR","Period=FQ","BEST_FPERIOD_OVERRIDE=FQ","FILING_STATUS=OR","EQY_CONSOLIDATED=Y","Sort=A","Dates=H","DateFormat=P","Fill=—","Direction=H","UseDPDF=Y")</f>
        <v>#NAME?</v>
      </c>
      <c r="CL626" s="2" t="e">
        <f ca="1">_xll.BDH($C$603,"TOT_DEBT_TO_TOT_CAP","FQ3 2018","FQ3 2018","Currency=INR","Period=FQ","BEST_FPERIOD_OVERRIDE=FQ","FILING_STATUS=OR","EQY_CONSOLIDATED=Y","Sort=A","Dates=H","DateFormat=P","Fill=—","Direction=H","UseDPDF=Y")</f>
        <v>#NAME?</v>
      </c>
      <c r="CM626" s="2" t="e">
        <f ca="1">_xll.BDH($C$603,"TOT_DEBT_TO_TOT_ASSET","FQ3 2018","FQ3 2018","Currency=INR","Period=FQ","BEST_FPERIOD_OVERRIDE=FQ","FILING_STATUS=OR","EQY_CONSOLIDATED=Y","Sort=A","Dates=H","DateFormat=P","Fill=—","Direction=H","UseDPDF=Y")</f>
        <v>#NAME?</v>
      </c>
      <c r="CN626" s="2" t="e">
        <f ca="1">_xll.BDH($C$603,"NET_DEBT_TO_SHRHLDR_EQTY","FQ3 2018","FQ3 2018","Currency=INR","Period=FQ","BEST_FPERIOD_OVERRIDE=FQ","FILING_STATUS=OR","EQY_CONSOLIDATED=Y","Sort=A","Dates=H","DateFormat=P","Fill=—","Direction=H","UseDPDF=Y")</f>
        <v>#NAME?</v>
      </c>
      <c r="CO626" s="2" t="e">
        <f ca="1">_xll.BDH($C$603,"NET_DEBT_%_CAPITAL","FQ3 2018","FQ3 2018","Currency=INR","Period=FQ","BEST_FPERIOD_OVERRIDE=FQ","FILING_STATUS=OR","EQY_CONSOLIDATED=Y","Sort=A","Dates=H","DateFormat=P","Fill=—","Direction=H","UseDPDF=Y")</f>
        <v>#NAME?</v>
      </c>
      <c r="CP626" s="3" t="e">
        <f ca="1">_xll.BDH($C$603,"EBITDA","FQ3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26" s="3" t="e">
        <f ca="1">_xll.BDH($C$603,"EBITDA_AFTER_CAPEX","FQ3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26" s="3" t="e">
        <f ca="1">_xll.BDH($C$603,"IS_OPER_INC","FQ3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26" s="2" t="e">
        <f ca="1">_xll.BDH($C$603,"CASH_RATIO","FQ3 2018","FQ3 2018","Currency=INR","Period=FQ","BEST_FPERIOD_OVERRIDE=FQ","FILING_STATUS=OR","EQY_CONSOLIDATED=Y","Sort=A","Dates=H","DateFormat=P","Fill=—","Direction=H","UseDPDF=Y")</f>
        <v>#NAME?</v>
      </c>
      <c r="CT626" s="2" t="e">
        <f ca="1">_xll.BDH($C$603,"CUR_RATIO","FQ3 2018","FQ3 2018","Currency=INR","Period=FQ","BEST_FPERIOD_OVERRIDE=FQ","FILING_STATUS=OR","EQY_CONSOLIDATED=Y","Sort=A","Dates=H","DateFormat=P","Fill=—","Direction=H","UseDPDF=Y")</f>
        <v>#NAME?</v>
      </c>
      <c r="CU626" s="2" t="e">
        <f ca="1">_xll.BDH($C$603,"QUICK_RATIO","FQ3 2018","FQ3 2018","Currency=INR","Period=FQ","BEST_FPERIOD_OVERRIDE=FQ","FILING_STATUS=OR","EQY_CONSOLIDATED=Y","Sort=A","Dates=H","DateFormat=P","Fill=—","Direction=H","UseDPDF=Y")</f>
        <v>#NAME?</v>
      </c>
      <c r="CV626" s="2" t="e">
        <f ca="1">_xll.BDH($C$603,"ALTMAN_Z_SCORE","FQ3 2018","FQ3 2018","Currency=INR","Period=FQ","BEST_FPERIOD_OVERRIDE=FQ","FILING_STATUS=OR","EQY_CONSOLIDATED=Y","Sort=A","Dates=H","DateFormat=P","Fill=—","Direction=H","UseDPDF=Y")</f>
        <v>#NAME?</v>
      </c>
      <c r="CW626" s="4" t="e">
        <f ca="1">_xll.BDH($C$603,"ACCT_RCV_TURN","FQ3 2018","FQ3 2018","Currency=INR","Period=FQ","BEST_FPERIOD_OVERRIDE=FQ","FILING_STATUS=OR","EQY_CONSOLIDATED=Y","FA_ADJUSTED=GAAP","Sort=A","Dates=H","DateFormat=P","Fill=—","Direction=H","UseDPDF=Y")</f>
        <v>#NAME?</v>
      </c>
      <c r="CX626" s="2" t="e">
        <f ca="1">_xll.BDH($C$603,"ACCT_RCV_DAYS","FQ3 2018","FQ3 2018","Currency=INR","Period=FQ","BEST_FPERIOD_OVERRIDE=FQ","FILING_STATUS=OR","EQY_CONSOLIDATED=Y","FA_ADJUSTED=GAAP","Sort=A","Dates=H","DateFormat=P","Fill=—","Direction=H","UseDPDF=Y")</f>
        <v>#NAME?</v>
      </c>
      <c r="CY626" s="4" t="e">
        <f ca="1">_xll.BDH($C$603,"INVENT_TURN","FQ3 2018","FQ3 2018","Currency=INR","Period=FQ","BEST_FPERIOD_OVERRIDE=FQ","FILING_STATUS=OR","EQY_CONSOLIDATED=Y","FA_ADJUSTED=GAAP","Sort=A","Dates=H","DateFormat=P","Fill=—","Direction=H","UseDPDF=Y")</f>
        <v>#NAME?</v>
      </c>
      <c r="CZ626" s="2" t="e">
        <f ca="1">_xll.BDH($C$603,"INVENT_DAYS","FQ3 2018","FQ3 2018","Currency=INR","Period=FQ","BEST_FPERIOD_OVERRIDE=FQ","FILING_STATUS=OR","EQY_CONSOLIDATED=Y","FA_ADJUSTED=GAAP","Sort=A","Dates=H","DateFormat=P","Fill=—","Direction=H","UseDPDF=Y")</f>
        <v>#NAME?</v>
      </c>
      <c r="DA626" s="4" t="e">
        <f ca="1">_xll.BDH($C$603,"ACCOUNTS_PAYABLE_TURNOVER","FQ3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26" s="2" t="e">
        <f ca="1">_xll.BDH($C$603,"ACCOUNTS_PAYABLE_TURNOVER_DAYS","FQ3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26" s="4" t="e">
        <f ca="1">_xll.BDH($C$603,"CASH_CONVERSION_CYCLE","FQ3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26" s="4" t="e">
        <f ca="1">_xll.BDH($C$603,"INV_TO_CASH_DAYS","FQ3 2018","FQ3 2018","Currency=INR","Period=FQ","BEST_FPERIOD_OVERRIDE=FQ","FILING_STATUS=OR","EQY_CONSOLIDATED=Y","FA_ADJUSTED=GAAP","Sort=A","Dates=H","DateFormat=P","Fill=—","Direction=H","UseDPDF=Y")</f>
        <v>#NAME?</v>
      </c>
      <c r="DE626" s="5" t="e">
        <f ca="1">_xll.BDH($C$603,"BS_INVENTORIES","FQ3 2018","FQ3 2018","Currency=INR","Period=FQ","BEST_FPERIOD_OVERRIDE=FQ","FILING_STATUS=OR","EQY_CONSOLIDATED=Y","SCALING_FORMAT=MLN","Sort=A","Dates=H","DateFormat=P","Fill=—","Direction=H","UseDPDF=Y")</f>
        <v>#NAME?</v>
      </c>
      <c r="DF626" s="3" t="e">
        <f ca="1">_xll.BDH($C$603,"INVTRY_RAW_MATERIALS","FQ3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26" s="3" t="e">
        <f ca="1">_xll.BDH($C$603,"INVTRY_IN_PROGRESS","FQ3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26" s="3" t="e">
        <f ca="1">_xll.BDH($C$603,"INVTRY_FINISHED_GOODS","FQ3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26" s="3" t="e">
        <f ca="1">_xll.BDH($C$603,"BS_OTHER_INV","FQ3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27" spans="1:113" x14ac:dyDescent="0.3">
      <c r="A627" s="6"/>
      <c r="B627" s="6"/>
      <c r="C627" s="6"/>
      <c r="D627" s="6"/>
      <c r="E627" t="s">
        <v>81</v>
      </c>
      <c r="F627" t="e">
        <f ca="1">_xll.BDH($C$603,"RETURN_COM_EQY","FQ4 2018","FQ4 2018","Currency=INR","Period=FQ","BEST_FPERIOD_OVERRIDE=FQ","FILING_STATUS=OR","EQY_CONSOLIDATED=Y","FA_ADJUSTED=GAAP","Sort=A","Dates=H","DateFormat=P","Fill=—","Direction=H","UseDPDF=Y")</f>
        <v>#NAME?</v>
      </c>
      <c r="G627" t="e">
        <f ca="1">_xll.BDH($C$603,"RETURN_ON_ASSET","FQ4 2018","FQ4 2018","Currency=INR","Period=FQ","BEST_FPERIOD_OVERRIDE=FQ","FILING_STATUS=OR","EQY_CONSOLIDATED=Y","FA_ADJUSTED=GAAP","Sort=A","Dates=H","DateFormat=P","Fill=—","Direction=H","UseDPDF=Y")</f>
        <v>#NAME?</v>
      </c>
      <c r="H627" t="e">
        <f ca="1">_xll.BDH($C$603,"RETURN_ON_CAP","FQ4 2018","FQ4 2018","Currency=INR","Period=FQ","BEST_FPERIOD_OVERRIDE=FQ","FILING_STATUS=OR","EQY_CONSOLIDATED=Y","FA_ADJUSTED=GAAP","Sort=A","Dates=H","DateFormat=P","Fill=—","Direction=H","UseDPDF=Y")</f>
        <v>#NAME?</v>
      </c>
      <c r="I627" t="e">
        <f ca="1">_xll.BDH($C$603,"RETURN_ON_INV_CAPITAL","FQ4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27" t="e">
        <f ca="1">_xll.BDH($C$603,"EBITDA_TO_REVENUE","FQ4 2018","FQ4 2018","Currency=INR","Period=FQ","BEST_FPERIOD_OVERRIDE=FQ","FILING_STATUS=OR","EQY_CONSOLIDATED=Y","FA_ADJUSTED=GAAP","Sort=A","Dates=H","DateFormat=P","Fill=—","Direction=H","UseDPDF=Y")</f>
        <v>#NAME?</v>
      </c>
      <c r="K627" t="e">
        <f ca="1">_xll.BDH($C$603,"OPER_MARGIN","FQ4 2018","FQ4 2018","Currency=INR","Period=FQ","BEST_FPERIOD_OVERRIDE=FQ","FILING_STATUS=OR","EQY_CONSOLIDATED=Y","FA_ADJUSTED=GAAP","Sort=A","Dates=H","DateFormat=P","Fill=—","Direction=H","UseDPDF=Y")</f>
        <v>#NAME?</v>
      </c>
      <c r="L627" t="e">
        <f ca="1">_xll.BDH($C$603,"INCREMENTAL_OPERATING_MARGIN","FQ4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27" t="e">
        <f ca="1">_xll.BDH($C$603,"PRETAX_INC_TO_NET_SALES","FQ4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27" t="e">
        <f ca="1">_xll.BDH($C$603,"INC_BEF_XO_ITEMS_TO_NET_SALES","FQ4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27" t="e">
        <f ca="1">_xll.BDH($C$603,"PROF_MARGIN","FQ4 2018","FQ4 2018","Currency=INR","Period=FQ","BEST_FPERIOD_OVERRIDE=FQ","FILING_STATUS=OR","EQY_CONSOLIDATED=Y","FA_ADJUSTED=GAAP","Sort=A","Dates=H","DateFormat=P","Fill=—","Direction=H","UseDPDF=Y")</f>
        <v>#NAME?</v>
      </c>
      <c r="P627" t="e">
        <f ca="1">_xll.BDH($C$603,"NET_INCOME_TO_COMMON_MARGIN","FQ4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27" t="e">
        <f ca="1">_xll.BDH($C$603,"EFF_TAX_RATE","FQ4 2018","FQ4 2018","Currency=INR","Period=FQ","BEST_FPERIOD_OVERRIDE=FQ","FILING_STATUS=OR","EQY_CONSOLIDATED=Y","FA_ADJUSTED=GAAP","Sort=A","Dates=H","DateFormat=P","Fill=—","Direction=H","UseDPDF=Y")</f>
        <v>#NAME?</v>
      </c>
      <c r="R627" t="e">
        <f ca="1">_xll.BDH($C$603,"DVD_PAYOUT_RATIO","FQ4 2018","FQ4 2018","Currency=INR","Period=FQ","BEST_FPERIOD_OVERRIDE=FQ","FILING_STATUS=OR","EQY_CONSOLIDATED=Y","FA_ADJUSTED=GAAP","Sort=A","Dates=H","DateFormat=P","Fill=—","Direction=H","UseDPDF=Y")</f>
        <v>#NAME?</v>
      </c>
      <c r="S627" t="e">
        <f ca="1">_xll.BDH($C$603,"SUSTAIN_GROWTH_RT","FQ4 2018","FQ4 2018","Currency=INR","Period=FQ","BEST_FPERIOD_OVERRIDE=FQ","FILING_STATUS=OR","EQY_CONSOLIDATED=Y","FA_ADJUSTED=GAAP","Sort=A","Dates=H","DateFormat=P","Fill=—","Direction=H","UseDPDF=Y")</f>
        <v>#NAME?</v>
      </c>
      <c r="T627" s="2" t="e">
        <f ca="1">_xll.BDH($C$603,"SALES_GROWTH","FQ4 2018","FQ4 2018","Currency=INR","Period=FQ","BEST_FPERIOD_OVERRIDE=FQ","FILING_STATUS=OR","EQY_CONSOLIDATED=Y","FA_ADJUSTED=GAAP","Sort=A","Dates=H","DateFormat=P","Fill=—","Direction=H","UseDPDF=Y")</f>
        <v>#NAME?</v>
      </c>
      <c r="U627" s="2" t="e">
        <f ca="1">_xll.BDH($C$603,"EBITDA_GROWTH","FQ4 2018","FQ4 2018","Currency=INR","Period=FQ","BEST_FPERIOD_OVERRIDE=FQ","FILING_STATUS=OR","EQY_CONSOLIDATED=Y","FA_ADJUSTED=GAAP","Sort=A","Dates=H","DateFormat=P","Fill=—","Direction=H","UseDPDF=Y")</f>
        <v>#NAME?</v>
      </c>
      <c r="V627" s="2" t="e">
        <f ca="1">_xll.BDH($C$603,"OPER_INC_GROWTH","FQ4 2018","FQ4 2018","Currency=INR","Period=FQ","BEST_FPERIOD_OVERRIDE=FQ","FILING_STATUS=OR","EQY_CONSOLIDATED=Y","FA_ADJUSTED=GAAP","Sort=A","Dates=H","DateFormat=P","Fill=—","Direction=H","UseDPDF=Y")</f>
        <v>#NAME?</v>
      </c>
      <c r="W627" s="2" t="e">
        <f ca="1">_xll.BDH($C$603,"EARN_FOR_COM_GROWTH","FQ4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27" s="2" t="e">
        <f ca="1">_xll.BDH($C$603,"DILUTED_EPS_AFT_XO_ITEMS_GROWTH","FQ4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27" s="2" t="e">
        <f ca="1">_xll.BDH($C$603,"DIVIDEND_PER_SHARE_1_YEAR_GROWTH","FQ4 2018","FQ4 2018","Currency=INR","Period=FQ","BEST_FPERIOD_OVERRIDE=FQ","FILING_STATUS=OR","EQY_CONSOLIDATED=Y","Sort=A","Dates=H","DateFormat=P","Fill=—","Direction=H","UseDPDF=Y")</f>
        <v>#NAME?</v>
      </c>
      <c r="Z627" s="2" t="e">
        <f ca="1">_xll.BDH($C$603,"ACCOUNTS_RECEIVABLE_GROWTH","FQ4 2018","FQ4 2018","Currency=INR","Period=FQ","BEST_FPERIOD_OVERRIDE=FQ","FILING_STATUS=OR","EQY_CONSOLIDATED=Y","Sort=A","Dates=H","DateFormat=P","Fill=—","Direction=H","UseDPDF=Y")</f>
        <v>#NAME?</v>
      </c>
      <c r="AA627" s="2" t="e">
        <f ca="1">_xll.BDH($C$603,"INVENTORY_GROWTH","FQ4 2018","FQ4 2018","Currency=INR","Period=FQ","BEST_FPERIOD_OVERRIDE=FQ","FILING_STATUS=OR","EQY_CONSOLIDATED=Y","Sort=A","Dates=H","DateFormat=P","Fill=—","Direction=H","UseDPDF=Y")</f>
        <v>#NAME?</v>
      </c>
      <c r="AB627" s="2" t="e">
        <f ca="1">_xll.BDH($C$603,"NET_FIXED_ASSETS_1_YEAR_GROWTH","FQ4 2018","FQ4 2018","Currency=INR","Period=FQ","BEST_FPERIOD_OVERRIDE=FQ","FILING_STATUS=OR","EQY_CONSOLIDATED=Y","Sort=A","Dates=H","DateFormat=P","Fill=—","Direction=H","UseDPDF=Y")</f>
        <v>#NAME?</v>
      </c>
      <c r="AC627" s="2" t="e">
        <f ca="1">_xll.BDH($C$603,"ASSET_GROWTH","FQ4 2018","FQ4 2018","Currency=INR","Period=FQ","BEST_FPERIOD_OVERRIDE=FQ","FILING_STATUS=OR","EQY_CONSOLIDATED=Y","Sort=A","Dates=H","DateFormat=P","Fill=—","Direction=H","UseDPDF=Y")</f>
        <v>#NAME?</v>
      </c>
      <c r="AD627" s="2" t="e">
        <f ca="1">_xll.BDH($C$603,"MODIFIED_WORK_CAP_GROWTH","FQ4 2018","FQ4 2018","Currency=INR","Period=FQ","BEST_FPERIOD_OVERRIDE=FQ","FILING_STATUS=OR","EQY_CONSOLIDATED=Y","Sort=A","Dates=H","DateFormat=P","Fill=—","Direction=H","UseDPDF=Y")</f>
        <v>#NAME?</v>
      </c>
      <c r="AE627" s="2" t="e">
        <f ca="1">_xll.BDH($C$603,"WORK_CAP_GROWTH","FQ4 2018","FQ4 2018","Currency=INR","Period=FQ","BEST_FPERIOD_OVERRIDE=FQ","FILING_STATUS=OR","EQY_CONSOLIDATED=Y","Sort=A","Dates=H","DateFormat=P","Fill=—","Direction=H","UseDPDF=Y")</f>
        <v>#NAME?</v>
      </c>
      <c r="AF627" s="2" t="e">
        <f ca="1">_xll.BDH($C$603,"ACCOUNTS_PAYABLE_GROWTH_1YR","FQ4 2018","FQ4 2018","Currency=INR","Period=FQ","BEST_FPERIOD_OVERRIDE=FQ","FILING_STATUS=OR","EQY_CONSOLIDATED=Y","Sort=A","Dates=H","DateFormat=P","Fill=—","Direction=H","UseDPDF=Y")</f>
        <v>#NAME?</v>
      </c>
      <c r="AG627" s="2" t="e">
        <f ca="1">_xll.BDH($C$603,"SHORT_TERM_DEBT_1_YEAR_GROWTH","FQ4 2018","FQ4 2018","Currency=INR","Period=FQ","BEST_FPERIOD_OVERRIDE=FQ","FILING_STATUS=OR","EQY_CONSOLIDATED=Y","Sort=A","Dates=H","DateFormat=P","Fill=—","Direction=H","UseDPDF=Y")</f>
        <v>#NAME?</v>
      </c>
      <c r="AH627" s="2" t="e">
        <f ca="1">_xll.BDH($C$603,"TOTAL_DEBT_1_YEAR_GROWTH","FQ4 2018","FQ4 2018","Currency=INR","Period=FQ","BEST_FPERIOD_OVERRIDE=FQ","FILING_STATUS=OR","EQY_CONSOLIDATED=Y","Sort=A","Dates=H","DateFormat=P","Fill=—","Direction=H","UseDPDF=Y")</f>
        <v>#NAME?</v>
      </c>
      <c r="AI627" s="2" t="e">
        <f ca="1">_xll.BDH($C$603,"TOTAL_EQUITY_1_YEAR_GROWTH","FQ4 2018","FQ4 2018","Currency=INR","Period=FQ","BEST_FPERIOD_OVERRIDE=FQ","FILING_STATUS=OR","EQY_CONSOLIDATED=Y","Sort=A","Dates=H","DateFormat=P","Fill=—","Direction=H","UseDPDF=Y")</f>
        <v>#NAME?</v>
      </c>
      <c r="AJ627" s="2" t="e">
        <f ca="1">_xll.BDH($C$603,"GROWTH_IN_CAP","FQ4 2018","FQ4 2018","Currency=INR","Period=FQ","BEST_FPERIOD_OVERRIDE=FQ","FILING_STATUS=OR","EQY_CONSOLIDATED=Y","Sort=A","Dates=H","DateFormat=P","Fill=—","Direction=H","UseDPDF=Y")</f>
        <v>#NAME?</v>
      </c>
      <c r="AK627" s="2" t="e">
        <f ca="1">_xll.BDH($C$603,"BVPS_GROWTH","FQ4 2018","FQ4 2018","Currency=INR","Period=FQ","BEST_FPERIOD_OVERRIDE=FQ","FILING_STATUS=OR","EQY_CONSOLIDATED=Y","Sort=A","Dates=H","DateFormat=P","Fill=—","Direction=H","UseDPDF=Y")</f>
        <v>#NAME?</v>
      </c>
      <c r="AL627" s="2" t="e">
        <f ca="1">_xll.BDH($C$603,"CASH_FLOW_GROWTH","FQ4 2018","FQ4 2018","Currency=INR","Period=FQ","BEST_FPERIOD_OVERRIDE=FQ","FILING_STATUS=OR","EQY_CONSOLIDATED=Y","Sort=A","Dates=H","DateFormat=P","Fill=—","Direction=H","UseDPDF=Y")</f>
        <v>#NAME?</v>
      </c>
      <c r="AM627" s="2" t="e">
        <f ca="1">_xll.BDH($C$603,"GEO_GROW_NET_SALES","FQ4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27" s="2" t="e">
        <f ca="1">_xll.BDH($C$603,"GEO_GROW_EBITDA","FQ4 2018","FQ4 2018","Currency=INR","Period=FQ","BEST_FPERIOD_OVERRIDE=FQ","FILING_STATUS=OR","EQY_CONSOLIDATED=Y","FA_ADJUSTED=GAAP","Sort=A","Dates=H","DateFormat=P","Fill=—","Direction=H","UseDPDF=Y")</f>
        <v>#NAME?</v>
      </c>
      <c r="AO627" s="2" t="e">
        <f ca="1">_xll.BDH($C$603,"GEO_GROW_OPER_INC","FQ4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27" s="2" t="e">
        <f ca="1">_xll.BDH($C$603,"NET_INCOME_TO_COMMON_5_YR_GROWTH","FQ4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27" s="2" t="e">
        <f ca="1">_xll.BDH($C$603,"5Y_GEO_GROWTH_DILUTED_EPS","FQ4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27" s="2" t="e">
        <f ca="1">_xll.BDH($C$603,"GEO_GROW_DVD_PER_SH","FQ4 2018","FQ4 2018","Currency=INR","Period=FQ","BEST_FPERIOD_OVERRIDE=FQ","FILING_STATUS=OR","EQY_CONSOLIDATED=Y","Sort=A","Dates=H","DateFormat=P","Fill=—","Direction=H","UseDPDF=Y")</f>
        <v>#NAME?</v>
      </c>
      <c r="AS627" s="2" t="e">
        <f ca="1">_xll.BDH($C$603,"ACCOUNTS_RECEIVABLE_5_YR_GROWTH","FQ4 2018","FQ4 2018","Currency=INR","Period=FQ","BEST_FPERIOD_OVERRIDE=FQ","FILING_STATUS=OR","EQY_CONSOLIDATED=Y","Sort=A","Dates=H","DateFormat=P","Fill=—","Direction=H","UseDPDF=Y")</f>
        <v>#NAME?</v>
      </c>
      <c r="AT627" s="2" t="e">
        <f ca="1">_xll.BDH($C$603,"INVENTORY_5_YEAR_GROWTH","FQ4 2018","FQ4 2018","Currency=INR","Period=FQ","BEST_FPERIOD_OVERRIDE=FQ","FILING_STATUS=OR","EQY_CONSOLIDATED=Y","Sort=A","Dates=H","DateFormat=P","Fill=—","Direction=H","UseDPDF=Y")</f>
        <v>#NAME?</v>
      </c>
      <c r="AU627" s="2" t="e">
        <f ca="1">_xll.BDH($C$603,"NET_FIXED_ASSETS_5_YEAR_GROWTH","FQ4 2018","FQ4 2018","Currency=INR","Period=FQ","BEST_FPERIOD_OVERRIDE=FQ","FILING_STATUS=OR","EQY_CONSOLIDATED=Y","Sort=A","Dates=H","DateFormat=P","Fill=—","Direction=H","UseDPDF=Y")</f>
        <v>#NAME?</v>
      </c>
      <c r="AV627" s="2" t="e">
        <f ca="1">_xll.BDH($C$603,"GEO_GROW_TOT_ASSET","FQ4 2018","FQ4 2018","Currency=INR","Period=FQ","BEST_FPERIOD_OVERRIDE=FQ","FILING_STATUS=OR","EQY_CONSOLIDATED=Y","Sort=A","Dates=H","DateFormat=P","Fill=—","Direction=H","UseDPDF=Y")</f>
        <v>#NAME?</v>
      </c>
      <c r="AW627" s="2" t="e">
        <f ca="1">_xll.BDH($C$603,"MODIFIED_WORKING_CPTL_5YR_GRWTH","FQ4 2018","FQ4 2018","Currency=INR","Period=FQ","BEST_FPERIOD_OVERRIDE=FQ","FILING_STATUS=OR","EQY_CONSOLIDATED=Y","Sort=A","Dates=H","DateFormat=P","Fill=—","Direction=H","UseDPDF=Y")</f>
        <v>#NAME?</v>
      </c>
      <c r="AX627" s="2" t="e">
        <f ca="1">_xll.BDH($C$603,"WORKING_CAPITAL_5_YEAR_GROWTH","FQ4 2018","FQ4 2018","Currency=INR","Period=FQ","BEST_FPERIOD_OVERRIDE=FQ","FILING_STATUS=OR","EQY_CONSOLIDATED=Y","Sort=A","Dates=H","DateFormat=P","Fill=—","Direction=H","UseDPDF=Y")</f>
        <v>#NAME?</v>
      </c>
      <c r="AY627" s="2" t="e">
        <f ca="1">_xll.BDH($C$603,"ACCOUNTS_PAYABLE_5_YEAR_GROWTH","FQ4 2018","FQ4 2018","Currency=INR","Period=FQ","BEST_FPERIOD_OVERRIDE=FQ","FILING_STATUS=OR","EQY_CONSOLIDATED=Y","Sort=A","Dates=H","DateFormat=P","Fill=—","Direction=H","UseDPDF=Y")</f>
        <v>#NAME?</v>
      </c>
      <c r="AZ627" s="2" t="e">
        <f ca="1">_xll.BDH($C$603,"SHORT_TERM_DEBT_5_YEAR_GROWTH","FQ4 2018","FQ4 2018","Currency=INR","Period=FQ","BEST_FPERIOD_OVERRIDE=FQ","FILING_STATUS=OR","EQY_CONSOLIDATED=Y","Sort=A","Dates=H","DateFormat=P","Fill=—","Direction=H","UseDPDF=Y")</f>
        <v>#NAME?</v>
      </c>
      <c r="BA627" s="2" t="e">
        <f ca="1">_xll.BDH($C$603,"TOTAL_DEBT_5_YEAR_GROWTH","FQ4 2018","FQ4 2018","Currency=INR","Period=FQ","BEST_FPERIOD_OVERRIDE=FQ","FILING_STATUS=OR","EQY_CONSOLIDATED=Y","Sort=A","Dates=H","DateFormat=P","Fill=—","Direction=H","UseDPDF=Y")</f>
        <v>#NAME?</v>
      </c>
      <c r="BB627" s="2" t="e">
        <f ca="1">_xll.BDH($C$603,"GEO_GROW_TOT_SHRHLDR_EQY","FQ4 2018","FQ4 2018","Currency=INR","Period=FQ","BEST_FPERIOD_OVERRIDE=FQ","FILING_STATUS=OR","EQY_CONSOLIDATED=Y","Sort=A","Dates=H","DateFormat=P","Fill=—","Direction=H","UseDPDF=Y")</f>
        <v>#NAME?</v>
      </c>
      <c r="BC627" s="2" t="e">
        <f ca="1">_xll.BDH($C$603,"TOTAL_CAPITAL_5_YEAR_GROWTH","FQ4 2018","FQ4 2018","Currency=INR","Period=FQ","BEST_FPERIOD_OVERRIDE=FQ","FILING_STATUS=OR","EQY_CONSOLIDATED=Y","Sort=A","Dates=H","DateFormat=P","Fill=—","Direction=H","UseDPDF=Y")</f>
        <v>#NAME?</v>
      </c>
      <c r="BD627" s="2" t="e">
        <f ca="1">_xll.BDH($C$603,"GEO_GROW_BOOK_VAL","FQ4 2018","FQ4 2018","Currency=INR","Period=FQ","BEST_FPERIOD_OVERRIDE=FQ","FILING_STATUS=OR","EQY_CONSOLIDATED=Y","Sort=A","Dates=H","DateFormat=P","Fill=—","Direction=H","UseDPDF=Y")</f>
        <v>#NAME?</v>
      </c>
      <c r="BE627" s="2" t="e">
        <f ca="1">_xll.BDH($C$603,"GEO_GROW_CASH_OPER_ACT","FQ4 2018","FQ4 2018","Currency=INR","Period=FQ","BEST_FPERIOD_OVERRIDE=FQ","FILING_STATUS=OR","EQY_CONSOLIDATED=Y","Sort=A","Dates=H","DateFormat=P","Fill=—","Direction=H","UseDPDF=Y")</f>
        <v>#NAME?</v>
      </c>
      <c r="BF627" s="2" t="e">
        <f ca="1">_xll.BDH($C$603,"REVENUE_SEQUENTIAL_GROWTH","FQ4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27" s="2" t="e">
        <f ca="1">_xll.BDH($C$603,"EBITDA_SEQUENTIAL_GROWTH","FQ4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27" s="2" t="e">
        <f ca="1">_xll.BDH($C$603,"OPERATING_INCOME_SEQ_GROWTH","FQ4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27" s="2" t="e">
        <f ca="1">_xll.BDH($C$603,"NET_INCOME_TO_COMMON_SEQ_GROWTH","FQ4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27" s="2" t="e">
        <f ca="1">_xll.BDH($C$603,"EPS_DILUTED_SEQUENTIAL_GROWTH","FQ4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27" s="2" t="e">
        <f ca="1">_xll.BDH($C$603,"DPS_SEQUENTIAL_GROWTH","FQ4 2018","FQ4 2018","Currency=INR","Period=FQ","BEST_FPERIOD_OVERRIDE=FQ","FILING_STATUS=OR","EQY_CONSOLIDATED=Y","Sort=A","Dates=H","DateFormat=P","Fill=—","Direction=H","UseDPDF=Y")</f>
        <v>#NAME?</v>
      </c>
      <c r="BL627" s="2" t="e">
        <f ca="1">_xll.BDH($C$603,"ACCOUNTS_RECEIVABLE_SEQ_GROWTH","FQ4 2018","FQ4 2018","Currency=INR","Period=FQ","BEST_FPERIOD_OVERRIDE=FQ","FILING_STATUS=OR","EQY_CONSOLIDATED=Y","Sort=A","Dates=H","DateFormat=P","Fill=—","Direction=H","UseDPDF=Y")</f>
        <v>#NAME?</v>
      </c>
      <c r="BM627" s="2" t="e">
        <f ca="1">_xll.BDH($C$603,"INVENTORY_SEQUENTIAL_GROWTH","FQ4 2018","FQ4 2018","Currency=INR","Period=FQ","BEST_FPERIOD_OVERRIDE=FQ","FILING_STATUS=OR","EQY_CONSOLIDATED=Y","Sort=A","Dates=H","DateFormat=P","Fill=—","Direction=H","UseDPDF=Y")</f>
        <v>#NAME?</v>
      </c>
      <c r="BN627" s="2" t="e">
        <f ca="1">_xll.BDH($C$603,"FIXED_ASSETS_SEQUENTIAL_GROWTH","FQ4 2018","FQ4 2018","Currency=INR","Period=FQ","BEST_FPERIOD_OVERRIDE=FQ","FILING_STATUS=OR","EQY_CONSOLIDATED=Y","Sort=A","Dates=H","DateFormat=P","Fill=—","Direction=H","UseDPDF=Y")</f>
        <v>#NAME?</v>
      </c>
      <c r="BO627" s="2" t="e">
        <f ca="1">_xll.BDH($C$603,"TOTAL_ASSETS_SEQUENTIAL_GROWTH","FQ4 2018","FQ4 2018","Currency=INR","Period=FQ","BEST_FPERIOD_OVERRIDE=FQ","FILING_STATUS=OR","EQY_CONSOLIDATED=Y","Sort=A","Dates=H","DateFormat=P","Fill=—","Direction=H","UseDPDF=Y")</f>
        <v>#NAME?</v>
      </c>
      <c r="BP627" s="2" t="e">
        <f ca="1">_xll.BDH($C$603,"MODIFIED_WORKING_CPTL_SEQ_GRWTH","FQ4 2018","FQ4 2018","Currency=INR","Period=FQ","BEST_FPERIOD_OVERRIDE=FQ","FILING_STATUS=OR","EQY_CONSOLIDATED=Y","Sort=A","Dates=H","DateFormat=P","Fill=—","Direction=H","UseDPDF=Y")</f>
        <v>#NAME?</v>
      </c>
      <c r="BQ627" s="2" t="e">
        <f ca="1">_xll.BDH($C$603,"WORKING_CAPITAL_SEQ_GROWTH","FQ4 2018","FQ4 2018","Currency=INR","Period=FQ","BEST_FPERIOD_OVERRIDE=FQ","FILING_STATUS=OR","EQY_CONSOLIDATED=Y","Sort=A","Dates=H","DateFormat=P","Fill=—","Direction=H","UseDPDF=Y")</f>
        <v>#NAME?</v>
      </c>
      <c r="BR627" s="2" t="e">
        <f ca="1">_xll.BDH($C$603,"ACCOUNTS_PAYABLE_SEQ_GROWTH","FQ4 2018","FQ4 2018","Currency=INR","Period=FQ","BEST_FPERIOD_OVERRIDE=FQ","FILING_STATUS=OR","EQY_CONSOLIDATED=Y","Sort=A","Dates=H","DateFormat=P","Fill=—","Direction=H","UseDPDF=Y")</f>
        <v>#NAME?</v>
      </c>
      <c r="BS627" s="2" t="e">
        <f ca="1">_xll.BDH($C$603,"ST_DEBT_SEQUENTIAL_GROWTH","FQ4 2018","FQ4 2018","Currency=INR","Period=FQ","BEST_FPERIOD_OVERRIDE=FQ","FILING_STATUS=OR","EQY_CONSOLIDATED=Y","Sort=A","Dates=H","DateFormat=P","Fill=—","Direction=H","UseDPDF=Y")</f>
        <v>#NAME?</v>
      </c>
      <c r="BT627" s="2" t="e">
        <f ca="1">_xll.BDH($C$603,"TOTAL_DEBT_SEQUENTIAL_GROWTH","FQ4 2018","FQ4 2018","Currency=INR","Period=FQ","BEST_FPERIOD_OVERRIDE=FQ","FILING_STATUS=OR","EQY_CONSOLIDATED=Y","Sort=A","Dates=H","DateFormat=P","Fill=—","Direction=H","UseDPDF=Y")</f>
        <v>#NAME?</v>
      </c>
      <c r="BU627" s="2" t="e">
        <f ca="1">_xll.BDH($C$603,"TOTAL_EQUITY_SEQUENTIAL_GROWTH","FQ4 2018","FQ4 2018","Currency=INR","Period=FQ","BEST_FPERIOD_OVERRIDE=FQ","FILING_STATUS=OR","EQY_CONSOLIDATED=Y","Sort=A","Dates=H","DateFormat=P","Fill=—","Direction=H","UseDPDF=Y")</f>
        <v>#NAME?</v>
      </c>
      <c r="BV627" s="2" t="e">
        <f ca="1">_xll.BDH($C$603,"TOTAL_CAPITAL_SEQUENTIAL_GROWTH","FQ4 2018","FQ4 2018","Currency=INR","Period=FQ","BEST_FPERIOD_OVERRIDE=FQ","FILING_STATUS=OR","EQY_CONSOLIDATED=Y","Sort=A","Dates=H","DateFormat=P","Fill=—","Direction=H","UseDPDF=Y")</f>
        <v>#NAME?</v>
      </c>
      <c r="BW627" s="2" t="e">
        <f ca="1">_xll.BDH($C$603,"BPS_SEQUENTIAL_GROWTH","FQ4 2018","FQ4 2018","Currency=INR","Period=FQ","BEST_FPERIOD_OVERRIDE=FQ","FILING_STATUS=OR","EQY_CONSOLIDATED=Y","Sort=A","Dates=H","DateFormat=P","Fill=—","Direction=H","UseDPDF=Y")</f>
        <v>#NAME?</v>
      </c>
      <c r="BX627" s="2" t="e">
        <f ca="1">_xll.BDH($C$603,"CFO_SEQUENTIAL_GROWTH","FQ4 2018","FQ4 2018","Currency=INR","Period=FQ","BEST_FPERIOD_OVERRIDE=FQ","FILING_STATUS=OR","EQY_CONSOLIDATED=Y","Sort=A","Dates=H","DateFormat=P","Fill=—","Direction=H","UseDPDF=Y")</f>
        <v>#NAME?</v>
      </c>
      <c r="BY627" s="3" t="e">
        <f ca="1">_xll.BDH($C$603,"SHORT_AND_LONG_TERM_DEBT","FQ4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27" s="3" t="e">
        <f ca="1">_xll.BDH($C$603,"BS_ST_BORROW","FQ4 2018","FQ4 2018","Currency=INR","Period=FQ","BEST_FPERIOD_OVERRIDE=FQ","FILING_STATUS=OR","EQY_CONSOLIDATED=Y","SCALING_FORMAT=MLN","Sort=A","Dates=H","DateFormat=P","Fill=—","Direction=H","UseDPDF=Y")</f>
        <v>#NAME?</v>
      </c>
      <c r="CA627" s="3" t="e">
        <f ca="1">_xll.BDH($C$603,"BS_LT_BORROW","FQ4 2018","FQ4 2018","Currency=INR","Period=FQ","BEST_FPERIOD_OVERRIDE=FQ","FILING_STATUS=OR","EQY_CONSOLIDATED=Y","SCALING_FORMAT=MLN","Sort=A","Dates=H","DateFormat=P","Fill=—","Direction=H","UseDPDF=Y")</f>
        <v>#NAME?</v>
      </c>
      <c r="CB627" s="2" t="e">
        <f ca="1">_xll.BDH($C$603,"TOT_DEBT_TO_EBITDA","FQ4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27" s="2" t="e">
        <f ca="1">_xll.BDH($C$603,"NET_DEBT_TO_EBITDA","FQ4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27" s="2" t="e">
        <f ca="1">_xll.BDH($C$603,"TOTAL_DEBT_TO_EBIT","FQ4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27" s="2" t="e">
        <f ca="1">_xll.BDH($C$603,"NET_DEBT_TO_EBIT","FQ4 2018","FQ4 2018","Currency=INR","Period=FQ","BEST_FPERIOD_OVERRIDE=FQ","FILING_STATUS=OR","EQY_CONSOLIDATED=Y","FA_ADJUSTED=GAAP","Sort=A","Dates=H","DateFormat=P","Fill=—","Direction=H","UseDPDF=Y")</f>
        <v>#NAME?</v>
      </c>
      <c r="CF627" s="2" t="e">
        <f ca="1">_xll.BDH($C$603,"EBITDA_TO_INTEREST_EXPN","FQ4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27" s="2" t="e">
        <f ca="1">_xll.BDH($C$603,"COM_EQY_TO_TOT_ASSET","FQ4 2018","FQ4 2018","Currency=INR","Period=FQ","BEST_FPERIOD_OVERRIDE=FQ","FILING_STATUS=OR","EQY_CONSOLIDATED=Y","Sort=A","Dates=H","DateFormat=P","Fill=—","Direction=H","UseDPDF=Y")</f>
        <v>#NAME?</v>
      </c>
      <c r="CH627" s="2" t="e">
        <f ca="1">_xll.BDH($C$603,"LT_DEBT_TO_TOT_EQY","FQ4 2018","FQ4 2018","Currency=INR","Period=FQ","BEST_FPERIOD_OVERRIDE=FQ","FILING_STATUS=OR","EQY_CONSOLIDATED=Y","Sort=A","Dates=H","DateFormat=P","Fill=—","Direction=H","UseDPDF=Y")</f>
        <v>#NAME?</v>
      </c>
      <c r="CI627" s="2" t="e">
        <f ca="1">_xll.BDH($C$603,"LT_DEBT_TO_TOT_CAP","FQ4 2018","FQ4 2018","Currency=INR","Period=FQ","BEST_FPERIOD_OVERRIDE=FQ","FILING_STATUS=OR","EQY_CONSOLIDATED=Y","Sort=A","Dates=H","DateFormat=P","Fill=—","Direction=H","UseDPDF=Y")</f>
        <v>#NAME?</v>
      </c>
      <c r="CJ627" s="2" t="e">
        <f ca="1">_xll.BDH($C$603,"LT_DEBT_TO_TOT_ASSET","FQ4 2018","FQ4 2018","Currency=INR","Period=FQ","BEST_FPERIOD_OVERRIDE=FQ","FILING_STATUS=OR","EQY_CONSOLIDATED=Y","Sort=A","Dates=H","DateFormat=P","Fill=—","Direction=H","UseDPDF=Y")</f>
        <v>#NAME?</v>
      </c>
      <c r="CK627" s="2" t="e">
        <f ca="1">_xll.BDH($C$603,"TOT_DEBT_TO_TOT_EQY","FQ4 2018","FQ4 2018","Currency=INR","Period=FQ","BEST_FPERIOD_OVERRIDE=FQ","FILING_STATUS=OR","EQY_CONSOLIDATED=Y","Sort=A","Dates=H","DateFormat=P","Fill=—","Direction=H","UseDPDF=Y")</f>
        <v>#NAME?</v>
      </c>
      <c r="CL627" s="2" t="e">
        <f ca="1">_xll.BDH($C$603,"TOT_DEBT_TO_TOT_CAP","FQ4 2018","FQ4 2018","Currency=INR","Period=FQ","BEST_FPERIOD_OVERRIDE=FQ","FILING_STATUS=OR","EQY_CONSOLIDATED=Y","Sort=A","Dates=H","DateFormat=P","Fill=—","Direction=H","UseDPDF=Y")</f>
        <v>#NAME?</v>
      </c>
      <c r="CM627" s="2" t="e">
        <f ca="1">_xll.BDH($C$603,"TOT_DEBT_TO_TOT_ASSET","FQ4 2018","FQ4 2018","Currency=INR","Period=FQ","BEST_FPERIOD_OVERRIDE=FQ","FILING_STATUS=OR","EQY_CONSOLIDATED=Y","Sort=A","Dates=H","DateFormat=P","Fill=—","Direction=H","UseDPDF=Y")</f>
        <v>#NAME?</v>
      </c>
      <c r="CN627" s="2" t="e">
        <f ca="1">_xll.BDH($C$603,"NET_DEBT_TO_SHRHLDR_EQTY","FQ4 2018","FQ4 2018","Currency=INR","Period=FQ","BEST_FPERIOD_OVERRIDE=FQ","FILING_STATUS=OR","EQY_CONSOLIDATED=Y","Sort=A","Dates=H","DateFormat=P","Fill=—","Direction=H","UseDPDF=Y")</f>
        <v>#NAME?</v>
      </c>
      <c r="CO627" s="2" t="e">
        <f ca="1">_xll.BDH($C$603,"NET_DEBT_%_CAPITAL","FQ4 2018","FQ4 2018","Currency=INR","Period=FQ","BEST_FPERIOD_OVERRIDE=FQ","FILING_STATUS=OR","EQY_CONSOLIDATED=Y","Sort=A","Dates=H","DateFormat=P","Fill=—","Direction=H","UseDPDF=Y")</f>
        <v>#NAME?</v>
      </c>
      <c r="CP627" s="3" t="e">
        <f ca="1">_xll.BDH($C$603,"EBITDA","FQ4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27" s="3" t="e">
        <f ca="1">_xll.BDH($C$603,"EBITDA_AFTER_CAPEX","FQ4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27" s="3" t="e">
        <f ca="1">_xll.BDH($C$603,"IS_OPER_INC","FQ4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27" s="2" t="e">
        <f ca="1">_xll.BDH($C$603,"CASH_RATIO","FQ4 2018","FQ4 2018","Currency=INR","Period=FQ","BEST_FPERIOD_OVERRIDE=FQ","FILING_STATUS=OR","EQY_CONSOLIDATED=Y","Sort=A","Dates=H","DateFormat=P","Fill=—","Direction=H","UseDPDF=Y")</f>
        <v>#NAME?</v>
      </c>
      <c r="CT627" s="2" t="e">
        <f ca="1">_xll.BDH($C$603,"CUR_RATIO","FQ4 2018","FQ4 2018","Currency=INR","Period=FQ","BEST_FPERIOD_OVERRIDE=FQ","FILING_STATUS=OR","EQY_CONSOLIDATED=Y","Sort=A","Dates=H","DateFormat=P","Fill=—","Direction=H","UseDPDF=Y")</f>
        <v>#NAME?</v>
      </c>
      <c r="CU627" s="2" t="e">
        <f ca="1">_xll.BDH($C$603,"QUICK_RATIO","FQ4 2018","FQ4 2018","Currency=INR","Period=FQ","BEST_FPERIOD_OVERRIDE=FQ","FILING_STATUS=OR","EQY_CONSOLIDATED=Y","Sort=A","Dates=H","DateFormat=P","Fill=—","Direction=H","UseDPDF=Y")</f>
        <v>#NAME?</v>
      </c>
      <c r="CV627" s="2" t="e">
        <f ca="1">_xll.BDH($C$603,"ALTMAN_Z_SCORE","FQ4 2018","FQ4 2018","Currency=INR","Period=FQ","BEST_FPERIOD_OVERRIDE=FQ","FILING_STATUS=OR","EQY_CONSOLIDATED=Y","Sort=A","Dates=H","DateFormat=P","Fill=—","Direction=H","UseDPDF=Y")</f>
        <v>#NAME?</v>
      </c>
      <c r="CW627" s="4" t="e">
        <f ca="1">_xll.BDH($C$603,"ACCT_RCV_TURN","FQ4 2018","FQ4 2018","Currency=INR","Period=FQ","BEST_FPERIOD_OVERRIDE=FQ","FILING_STATUS=OR","EQY_CONSOLIDATED=Y","FA_ADJUSTED=GAAP","Sort=A","Dates=H","DateFormat=P","Fill=—","Direction=H","UseDPDF=Y")</f>
        <v>#NAME?</v>
      </c>
      <c r="CX627" s="2" t="e">
        <f ca="1">_xll.BDH($C$603,"ACCT_RCV_DAYS","FQ4 2018","FQ4 2018","Currency=INR","Period=FQ","BEST_FPERIOD_OVERRIDE=FQ","FILING_STATUS=OR","EQY_CONSOLIDATED=Y","FA_ADJUSTED=GAAP","Sort=A","Dates=H","DateFormat=P","Fill=—","Direction=H","UseDPDF=Y")</f>
        <v>#NAME?</v>
      </c>
      <c r="CY627" s="4" t="e">
        <f ca="1">_xll.BDH($C$603,"INVENT_TURN","FQ4 2018","FQ4 2018","Currency=INR","Period=FQ","BEST_FPERIOD_OVERRIDE=FQ","FILING_STATUS=OR","EQY_CONSOLIDATED=Y","FA_ADJUSTED=GAAP","Sort=A","Dates=H","DateFormat=P","Fill=—","Direction=H","UseDPDF=Y")</f>
        <v>#NAME?</v>
      </c>
      <c r="CZ627" s="2" t="e">
        <f ca="1">_xll.BDH($C$603,"INVENT_DAYS","FQ4 2018","FQ4 2018","Currency=INR","Period=FQ","BEST_FPERIOD_OVERRIDE=FQ","FILING_STATUS=OR","EQY_CONSOLIDATED=Y","FA_ADJUSTED=GAAP","Sort=A","Dates=H","DateFormat=P","Fill=—","Direction=H","UseDPDF=Y")</f>
        <v>#NAME?</v>
      </c>
      <c r="DA627" s="4" t="e">
        <f ca="1">_xll.BDH($C$603,"ACCOUNTS_PAYABLE_TURNOVER","FQ4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27" s="2" t="e">
        <f ca="1">_xll.BDH($C$603,"ACCOUNTS_PAYABLE_TURNOVER_DAYS","FQ4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27" s="4" t="e">
        <f ca="1">_xll.BDH($C$603,"CASH_CONVERSION_CYCLE","FQ4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27" s="4" t="e">
        <f ca="1">_xll.BDH($C$603,"INV_TO_CASH_DAYS","FQ4 2018","FQ4 2018","Currency=INR","Period=FQ","BEST_FPERIOD_OVERRIDE=FQ","FILING_STATUS=OR","EQY_CONSOLIDATED=Y","FA_ADJUSTED=GAAP","Sort=A","Dates=H","DateFormat=P","Fill=—","Direction=H","UseDPDF=Y")</f>
        <v>#NAME?</v>
      </c>
      <c r="DE627" s="5" t="e">
        <f ca="1">_xll.BDH($C$603,"BS_INVENTORIES","FQ4 2018","FQ4 2018","Currency=INR","Period=FQ","BEST_FPERIOD_OVERRIDE=FQ","FILING_STATUS=OR","EQY_CONSOLIDATED=Y","SCALING_FORMAT=MLN","Sort=A","Dates=H","DateFormat=P","Fill=—","Direction=H","UseDPDF=Y")</f>
        <v>#NAME?</v>
      </c>
      <c r="DF627" s="3" t="e">
        <f ca="1">_xll.BDH($C$603,"INVTRY_RAW_MATERIALS","FQ4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27" s="3" t="e">
        <f ca="1">_xll.BDH($C$603,"INVTRY_IN_PROGRESS","FQ4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27" s="3" t="e">
        <f ca="1">_xll.BDH($C$603,"INVTRY_FINISHED_GOODS","FQ4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27" s="3" t="e">
        <f ca="1">_xll.BDH($C$603,"BS_OTHER_INV","FQ4 2018","FQ4 2018","Currency=INR","Period=FQ","BEST_FPERIOD_OVERRIDE=FQ","FILING_STATUS=OR","EQY_CONSOLIDATED=Y","SCALING_FORMAT=MLN","Sort=A","Dates=H","DateFormat=P","Fill=—","Direction=H","UseDPDF=Y")</f>
        <v>#NAME?</v>
      </c>
    </row>
    <row r="628" spans="1:113" x14ac:dyDescent="0.3">
      <c r="A628" s="6">
        <v>101</v>
      </c>
      <c r="B628" s="6" t="s">
        <v>133</v>
      </c>
      <c r="C628" s="6" t="s">
        <v>134</v>
      </c>
      <c r="D628" s="6" t="s">
        <v>76</v>
      </c>
      <c r="E628" t="s">
        <v>77</v>
      </c>
      <c r="F628" t="e">
        <f ca="1">_xll.BDH($C$628,"RETURN_COM_EQY","FY 2014","FY 2014","Currency=INR","Period=FY","BEST_FPERIOD_OVERRIDE=FY","FILING_STATUS=OR","EQY_CONSOLIDATED=Y","FA_ADJUSTED=GAAP","Sort=A","Dates=H","DateFormat=P","Fill=—","Direction=H","UseDPDF=Y")</f>
        <v>#NAME?</v>
      </c>
      <c r="G628" t="e">
        <f ca="1">_xll.BDH($C$628,"RETURN_ON_ASSET","FY 2014","FY 2014","Currency=INR","Period=FY","BEST_FPERIOD_OVERRIDE=FY","FILING_STATUS=OR","EQY_CONSOLIDATED=Y","FA_ADJUSTED=GAAP","Sort=A","Dates=H","DateFormat=P","Fill=—","Direction=H","UseDPDF=Y")</f>
        <v>#NAME?</v>
      </c>
      <c r="H628" t="e">
        <f ca="1">_xll.BDH($C$628,"RETURN_ON_CAP","FY 2014","FY 2014","Currency=INR","Period=FY","BEST_FPERIOD_OVERRIDE=FY","FILING_STATUS=OR","EQY_CONSOLIDATED=Y","FA_ADJUSTED=GAAP","Sort=A","Dates=H","DateFormat=P","Fill=—","Direction=H","UseDPDF=Y")</f>
        <v>#NAME?</v>
      </c>
      <c r="I628" t="e">
        <f ca="1">_xll.BDH($C$628,"RETURN_ON_INV_CAPITAL","FY 2014","FY 2014","Currency=INR","Period=FY","BEST_FPERIOD_OVERRIDE=FY","FILING_STATUS=OR","EQY_CONSOLIDATED=Y","FA_ADJUSTED=GAAP","Sort=A","Dates=H","DateFormat=P","Fill=—","Direction=H","UseDPDF=Y")</f>
        <v>#NAME?</v>
      </c>
      <c r="J628" t="e">
        <f ca="1">_xll.BDH($C$628,"EBITDA_TO_REVENUE","FY 2014","FY 2014","Currency=INR","Period=FY","BEST_FPERIOD_OVERRIDE=FY","FILING_STATUS=OR","EQY_CONSOLIDATED=Y","FA_ADJUSTED=GAAP","Sort=A","Dates=H","DateFormat=P","Fill=—","Direction=H","UseDPDF=Y")</f>
        <v>#NAME?</v>
      </c>
      <c r="K628" t="e">
        <f ca="1">_xll.BDH($C$628,"OPER_MARGIN","FY 2014","FY 2014","Currency=INR","Period=FY","BEST_FPERIOD_OVERRIDE=FY","FILING_STATUS=OR","EQY_CONSOLIDATED=Y","FA_ADJUSTED=GAAP","Sort=A","Dates=H","DateFormat=P","Fill=—","Direction=H","UseDPDF=Y")</f>
        <v>#NAME?</v>
      </c>
      <c r="L628" t="e">
        <f ca="1">_xll.BDH($C$628,"INCREMENTAL_OPERATING_MARGIN","FY 2014","FY 2014","Currency=INR","Period=FY","BEST_FPERIOD_OVERRIDE=FY","FILING_STATUS=OR","EQY_CONSOLIDATED=Y","FA_ADJUSTED=GAAP","Sort=A","Dates=H","DateFormat=P","Fill=—","Direction=H","UseDPDF=Y")</f>
        <v>#NAME?</v>
      </c>
      <c r="M628" t="e">
        <f ca="1">_xll.BDH($C$628,"PRETAX_INC_TO_NET_SALES","FY 2014","FY 2014","Currency=INR","Period=FY","BEST_FPERIOD_OVERRIDE=FY","FILING_STATUS=OR","EQY_CONSOLIDATED=Y","FA_ADJUSTED=GAAP","Sort=A","Dates=H","DateFormat=P","Fill=—","Direction=H","UseDPDF=Y")</f>
        <v>#NAME?</v>
      </c>
      <c r="N628" t="e">
        <f ca="1">_xll.BDH($C$628,"INC_BEF_XO_ITEMS_TO_NET_SALES","FY 2014","FY 2014","Currency=INR","Period=FY","BEST_FPERIOD_OVERRIDE=FY","FILING_STATUS=OR","EQY_CONSOLIDATED=Y","FA_ADJUSTED=GAAP","Sort=A","Dates=H","DateFormat=P","Fill=—","Direction=H","UseDPDF=Y")</f>
        <v>#NAME?</v>
      </c>
      <c r="O628" t="e">
        <f ca="1">_xll.BDH($C$628,"PROF_MARGIN","FY 2014","FY 2014","Currency=INR","Period=FY","BEST_FPERIOD_OVERRIDE=FY","FILING_STATUS=OR","EQY_CONSOLIDATED=Y","FA_ADJUSTED=GAAP","Sort=A","Dates=H","DateFormat=P","Fill=—","Direction=H","UseDPDF=Y")</f>
        <v>#NAME?</v>
      </c>
      <c r="P628" t="e">
        <f ca="1">_xll.BDH($C$628,"NET_INCOME_TO_COMMON_MARGIN","FY 2014","FY 2014","Currency=INR","Period=FY","BEST_FPERIOD_OVERRIDE=FY","FILING_STATUS=OR","EQY_CONSOLIDATED=Y","FA_ADJUSTED=GAAP","Sort=A","Dates=H","DateFormat=P","Fill=—","Direction=H","UseDPDF=Y")</f>
        <v>#NAME?</v>
      </c>
      <c r="Q628" t="e">
        <f ca="1">_xll.BDH($C$628,"EFF_TAX_RATE","FY 2014","FY 2014","Currency=INR","Period=FY","BEST_FPERIOD_OVERRIDE=FY","FILING_STATUS=OR","EQY_CONSOLIDATED=Y","FA_ADJUSTED=GAAP","Sort=A","Dates=H","DateFormat=P","Fill=—","Direction=H","UseDPDF=Y")</f>
        <v>#NAME?</v>
      </c>
      <c r="R628" t="e">
        <f ca="1">_xll.BDH($C$628,"DVD_PAYOUT_RATIO","FY 2014","FY 2014","Currency=INR","Period=FY","BEST_FPERIOD_OVERRIDE=FY","FILING_STATUS=OR","EQY_CONSOLIDATED=Y","FA_ADJUSTED=GAAP","Sort=A","Dates=H","DateFormat=P","Fill=—","Direction=H","UseDPDF=Y")</f>
        <v>#NAME?</v>
      </c>
      <c r="S628" t="e">
        <f ca="1">_xll.BDH($C$628,"SUSTAIN_GROWTH_RT","FY 2014","FY 2014","Currency=INR","Period=FY","BEST_FPERIOD_OVERRIDE=FY","FILING_STATUS=OR","EQY_CONSOLIDATED=Y","FA_ADJUSTED=GAAP","Sort=A","Dates=H","DateFormat=P","Fill=—","Direction=H","UseDPDF=Y")</f>
        <v>#NAME?</v>
      </c>
      <c r="T628" s="2" t="e">
        <f ca="1">_xll.BDH($C$628,"SALES_GROWTH","FY 2014","FY 2014","Currency=INR","Period=FY","BEST_FPERIOD_OVERRIDE=FY","FILING_STATUS=OR","EQY_CONSOLIDATED=Y","FA_ADJUSTED=GAAP","Sort=A","Dates=H","DateFormat=P","Fill=—","Direction=H","UseDPDF=Y")</f>
        <v>#NAME?</v>
      </c>
      <c r="U628" s="2" t="e">
        <f ca="1">_xll.BDH($C$628,"EBITDA_GROWTH","FY 2014","FY 2014","Currency=INR","Period=FY","BEST_FPERIOD_OVERRIDE=FY","FILING_STATUS=OR","EQY_CONSOLIDATED=Y","FA_ADJUSTED=GAAP","Sort=A","Dates=H","DateFormat=P","Fill=—","Direction=H","UseDPDF=Y")</f>
        <v>#NAME?</v>
      </c>
      <c r="V628" s="2" t="e">
        <f ca="1">_xll.BDH($C$628,"OPER_INC_GROWTH","FY 2014","FY 2014","Currency=INR","Period=FY","BEST_FPERIOD_OVERRIDE=FY","FILING_STATUS=OR","EQY_CONSOLIDATED=Y","FA_ADJUSTED=GAAP","Sort=A","Dates=H","DateFormat=P","Fill=—","Direction=H","UseDPDF=Y")</f>
        <v>#NAME?</v>
      </c>
      <c r="W628" s="2" t="e">
        <f ca="1">_xll.BDH($C$628,"EARN_FOR_COM_GROWTH","FY 2014","FY 2014","Currency=INR","Period=FY","BEST_FPERIOD_OVERRIDE=FY","FILING_STATUS=OR","EQY_CONSOLIDATED=Y","FA_ADJUSTED=GAAP","Sort=A","Dates=H","DateFormat=P","Fill=—","Direction=H","UseDPDF=Y")</f>
        <v>#NAME?</v>
      </c>
      <c r="X628" s="2" t="e">
        <f ca="1">_xll.BDH($C$628,"DILUTED_EPS_AFT_XO_ITEMS_GROWTH","FY 2014","FY 2014","Currency=INR","Period=FY","BEST_FPERIOD_OVERRIDE=FY","FILING_STATUS=OR","EQY_CONSOLIDATED=Y","FA_ADJUSTED=GAAP","Sort=A","Dates=H","DateFormat=P","Fill=—","Direction=H","UseDPDF=Y")</f>
        <v>#NAME?</v>
      </c>
      <c r="Y628" s="2" t="e">
        <f ca="1">_xll.BDH($C$628,"DIVIDEND_PER_SHARE_1_YEAR_GROWTH","FY 2014","FY 2014","Currency=INR","Period=FY","BEST_FPERIOD_OVERRIDE=FY","FILING_STATUS=OR","EQY_CONSOLIDATED=Y","Sort=A","Dates=H","DateFormat=P","Fill=—","Direction=H","UseDPDF=Y")</f>
        <v>#NAME?</v>
      </c>
      <c r="Z628" s="2" t="e">
        <f ca="1">_xll.BDH($C$628,"ACCOUNTS_RECEIVABLE_GROWTH","FY 2014","FY 2014","Currency=INR","Period=FY","BEST_FPERIOD_OVERRIDE=FY","FILING_STATUS=OR","EQY_CONSOLIDATED=Y","Sort=A","Dates=H","DateFormat=P","Fill=—","Direction=H","UseDPDF=Y")</f>
        <v>#NAME?</v>
      </c>
      <c r="AA628" s="2" t="e">
        <f ca="1">_xll.BDH($C$628,"INVENTORY_GROWTH","FY 2014","FY 2014","Currency=INR","Period=FY","BEST_FPERIOD_OVERRIDE=FY","FILING_STATUS=OR","EQY_CONSOLIDATED=Y","Sort=A","Dates=H","DateFormat=P","Fill=—","Direction=H","UseDPDF=Y")</f>
        <v>#NAME?</v>
      </c>
      <c r="AB628" s="2" t="e">
        <f ca="1">_xll.BDH($C$628,"NET_FIXED_ASSETS_1_YEAR_GROWTH","FY 2014","FY 2014","Currency=INR","Period=FY","BEST_FPERIOD_OVERRIDE=FY","FILING_STATUS=OR","EQY_CONSOLIDATED=Y","Sort=A","Dates=H","DateFormat=P","Fill=—","Direction=H","UseDPDF=Y")</f>
        <v>#NAME?</v>
      </c>
      <c r="AC628" s="2" t="e">
        <f ca="1">_xll.BDH($C$628,"ASSET_GROWTH","FY 2014","FY 2014","Currency=INR","Period=FY","BEST_FPERIOD_OVERRIDE=FY","FILING_STATUS=OR","EQY_CONSOLIDATED=Y","Sort=A","Dates=H","DateFormat=P","Fill=—","Direction=H","UseDPDF=Y")</f>
        <v>#NAME?</v>
      </c>
      <c r="AD628" s="2" t="e">
        <f ca="1">_xll.BDH($C$628,"MODIFIED_WORK_CAP_GROWTH","FY 2014","FY 2014","Currency=INR","Period=FY","BEST_FPERIOD_OVERRIDE=FY","FILING_STATUS=OR","EQY_CONSOLIDATED=Y","Sort=A","Dates=H","DateFormat=P","Fill=—","Direction=H","UseDPDF=Y")</f>
        <v>#NAME?</v>
      </c>
      <c r="AE628" s="2" t="e">
        <f ca="1">_xll.BDH($C$628,"WORK_CAP_GROWTH","FY 2014","FY 2014","Currency=INR","Period=FY","BEST_FPERIOD_OVERRIDE=FY","FILING_STATUS=OR","EQY_CONSOLIDATED=Y","Sort=A","Dates=H","DateFormat=P","Fill=—","Direction=H","UseDPDF=Y")</f>
        <v>#NAME?</v>
      </c>
      <c r="AF628" s="2" t="e">
        <f ca="1">_xll.BDH($C$628,"ACCOUNTS_PAYABLE_GROWTH_1YR","FY 2014","FY 2014","Currency=INR","Period=FY","BEST_FPERIOD_OVERRIDE=FY","FILING_STATUS=OR","EQY_CONSOLIDATED=Y","Sort=A","Dates=H","DateFormat=P","Fill=—","Direction=H","UseDPDF=Y")</f>
        <v>#NAME?</v>
      </c>
      <c r="AG628" s="2" t="e">
        <f ca="1">_xll.BDH($C$628,"SHORT_TERM_DEBT_1_YEAR_GROWTH","FY 2014","FY 2014","Currency=INR","Period=FY","BEST_FPERIOD_OVERRIDE=FY","FILING_STATUS=OR","EQY_CONSOLIDATED=Y","Sort=A","Dates=H","DateFormat=P","Fill=—","Direction=H","UseDPDF=Y")</f>
        <v>#NAME?</v>
      </c>
      <c r="AH628" s="2" t="e">
        <f ca="1">_xll.BDH($C$628,"TOTAL_DEBT_1_YEAR_GROWTH","FY 2014","FY 2014","Currency=INR","Period=FY","BEST_FPERIOD_OVERRIDE=FY","FILING_STATUS=OR","EQY_CONSOLIDATED=Y","Sort=A","Dates=H","DateFormat=P","Fill=—","Direction=H","UseDPDF=Y")</f>
        <v>#NAME?</v>
      </c>
      <c r="AI628" s="2" t="e">
        <f ca="1">_xll.BDH($C$628,"TOTAL_EQUITY_1_YEAR_GROWTH","FY 2014","FY 2014","Currency=INR","Period=FY","BEST_FPERIOD_OVERRIDE=FY","FILING_STATUS=OR","EQY_CONSOLIDATED=Y","Sort=A","Dates=H","DateFormat=P","Fill=—","Direction=H","UseDPDF=Y")</f>
        <v>#NAME?</v>
      </c>
      <c r="AJ628" s="2" t="e">
        <f ca="1">_xll.BDH($C$628,"GROWTH_IN_CAP","FY 2014","FY 2014","Currency=INR","Period=FY","BEST_FPERIOD_OVERRIDE=FY","FILING_STATUS=OR","EQY_CONSOLIDATED=Y","Sort=A","Dates=H","DateFormat=P","Fill=—","Direction=H","UseDPDF=Y")</f>
        <v>#NAME?</v>
      </c>
      <c r="AK628" s="2" t="e">
        <f ca="1">_xll.BDH($C$628,"BVPS_GROWTH","FY 2014","FY 2014","Currency=INR","Period=FY","BEST_FPERIOD_OVERRIDE=FY","FILING_STATUS=OR","EQY_CONSOLIDATED=Y","Sort=A","Dates=H","DateFormat=P","Fill=—","Direction=H","UseDPDF=Y")</f>
        <v>#NAME?</v>
      </c>
      <c r="AL628" s="2" t="e">
        <f ca="1">_xll.BDH($C$628,"CASH_FLOW_GROWTH","FY 2014","FY 2014","Currency=INR","Period=FY","BEST_FPERIOD_OVERRIDE=FY","FILING_STATUS=OR","EQY_CONSOLIDATED=Y","Sort=A","Dates=H","DateFormat=P","Fill=—","Direction=H","UseDPDF=Y")</f>
        <v>#NAME?</v>
      </c>
      <c r="AM628" s="2" t="e">
        <f ca="1">_xll.BDH($C$628,"GEO_GROW_NET_SALES","FY 2014","FY 2014","Currency=INR","Period=FY","BEST_FPERIOD_OVERRIDE=FY","FILING_STATUS=OR","EQY_CONSOLIDATED=Y","FA_ADJUSTED=GAAP","Sort=A","Dates=H","DateFormat=P","Fill=—","Direction=H","UseDPDF=Y")</f>
        <v>#NAME?</v>
      </c>
      <c r="AN628" s="2" t="e">
        <f ca="1">_xll.BDH($C$628,"GEO_GROW_EBITDA","FY 2014","FY 2014","Currency=INR","Period=FY","BEST_FPERIOD_OVERRIDE=FY","FILING_STATUS=OR","EQY_CONSOLIDATED=Y","FA_ADJUSTED=GAAP","Sort=A","Dates=H","DateFormat=P","Fill=—","Direction=H","UseDPDF=Y")</f>
        <v>#NAME?</v>
      </c>
      <c r="AO628" s="2" t="e">
        <f ca="1">_xll.BDH($C$628,"GEO_GROW_OPER_INC","FY 2014","FY 2014","Currency=INR","Period=FY","BEST_FPERIOD_OVERRIDE=FY","FILING_STATUS=OR","EQY_CONSOLIDATED=Y","FA_ADJUSTED=GAAP","Sort=A","Dates=H","DateFormat=P","Fill=—","Direction=H","UseDPDF=Y")</f>
        <v>#NAME?</v>
      </c>
      <c r="AP628" s="2" t="e">
        <f ca="1">_xll.BDH($C$628,"NET_INCOME_TO_COMMON_5_YR_GROWTH","FY 2014","FY 2014","Currency=INR","Period=FY","BEST_FPERIOD_OVERRIDE=FY","FILING_STATUS=OR","EQY_CONSOLIDATED=Y","FA_ADJUSTED=GAAP","Sort=A","Dates=H","DateFormat=P","Fill=—","Direction=H","UseDPDF=Y")</f>
        <v>#NAME?</v>
      </c>
      <c r="AQ628" s="2" t="e">
        <f ca="1">_xll.BDH($C$628,"5Y_GEO_GROWTH_DILUTED_EPS","FY 2014","FY 2014","Currency=INR","Period=FY","BEST_FPERIOD_OVERRIDE=FY","FILING_STATUS=OR","EQY_CONSOLIDATED=Y","FA_ADJUSTED=GAAP","Sort=A","Dates=H","DateFormat=P","Fill=—","Direction=H","UseDPDF=Y")</f>
        <v>#NAME?</v>
      </c>
      <c r="AR628" s="2" t="e">
        <f ca="1">_xll.BDH($C$628,"GEO_GROW_DVD_PER_SH","FY 2014","FY 2014","Currency=INR","Period=FY","BEST_FPERIOD_OVERRIDE=FY","FILING_STATUS=OR","EQY_CONSOLIDATED=Y","Sort=A","Dates=H","DateFormat=P","Fill=—","Direction=H","UseDPDF=Y")</f>
        <v>#NAME?</v>
      </c>
      <c r="AS628" s="2" t="e">
        <f ca="1">_xll.BDH($C$628,"ACCOUNTS_RECEIVABLE_5_YR_GROWTH","FY 2014","FY 2014","Currency=INR","Period=FY","BEST_FPERIOD_OVERRIDE=FY","FILING_STATUS=OR","EQY_CONSOLIDATED=Y","Sort=A","Dates=H","DateFormat=P","Fill=—","Direction=H","UseDPDF=Y")</f>
        <v>#NAME?</v>
      </c>
      <c r="AT628" s="2" t="e">
        <f ca="1">_xll.BDH($C$628,"INVENTORY_5_YEAR_GROWTH","FY 2014","FY 2014","Currency=INR","Period=FY","BEST_FPERIOD_OVERRIDE=FY","FILING_STATUS=OR","EQY_CONSOLIDATED=Y","Sort=A","Dates=H","DateFormat=P","Fill=—","Direction=H","UseDPDF=Y")</f>
        <v>#NAME?</v>
      </c>
      <c r="AU628" s="2" t="e">
        <f ca="1">_xll.BDH($C$628,"NET_FIXED_ASSETS_5_YEAR_GROWTH","FY 2014","FY 2014","Currency=INR","Period=FY","BEST_FPERIOD_OVERRIDE=FY","FILING_STATUS=OR","EQY_CONSOLIDATED=Y","Sort=A","Dates=H","DateFormat=P","Fill=—","Direction=H","UseDPDF=Y")</f>
        <v>#NAME?</v>
      </c>
      <c r="AV628" s="2" t="e">
        <f ca="1">_xll.BDH($C$628,"GEO_GROW_TOT_ASSET","FY 2014","FY 2014","Currency=INR","Period=FY","BEST_FPERIOD_OVERRIDE=FY","FILING_STATUS=OR","EQY_CONSOLIDATED=Y","Sort=A","Dates=H","DateFormat=P","Fill=—","Direction=H","UseDPDF=Y")</f>
        <v>#NAME?</v>
      </c>
      <c r="AW628" s="2" t="e">
        <f ca="1">_xll.BDH($C$628,"MODIFIED_WORKING_CPTL_5YR_GRWTH","FY 2014","FY 2014","Currency=INR","Period=FY","BEST_FPERIOD_OVERRIDE=FY","FILING_STATUS=OR","EQY_CONSOLIDATED=Y","Sort=A","Dates=H","DateFormat=P","Fill=—","Direction=H","UseDPDF=Y")</f>
        <v>#NAME?</v>
      </c>
      <c r="AX628" s="2" t="e">
        <f ca="1">_xll.BDH($C$628,"WORKING_CAPITAL_5_YEAR_GROWTH","FY 2014","FY 2014","Currency=INR","Period=FY","BEST_FPERIOD_OVERRIDE=FY","FILING_STATUS=OR","EQY_CONSOLIDATED=Y","Sort=A","Dates=H","DateFormat=P","Fill=—","Direction=H","UseDPDF=Y")</f>
        <v>#NAME?</v>
      </c>
      <c r="AY628" s="2" t="e">
        <f ca="1">_xll.BDH($C$628,"ACCOUNTS_PAYABLE_5_YEAR_GROWTH","FY 2014","FY 2014","Currency=INR","Period=FY","BEST_FPERIOD_OVERRIDE=FY","FILING_STATUS=OR","EQY_CONSOLIDATED=Y","Sort=A","Dates=H","DateFormat=P","Fill=—","Direction=H","UseDPDF=Y")</f>
        <v>#NAME?</v>
      </c>
      <c r="AZ628" s="2" t="e">
        <f ca="1">_xll.BDH($C$628,"SHORT_TERM_DEBT_5_YEAR_GROWTH","FY 2014","FY 2014","Currency=INR","Period=FY","BEST_FPERIOD_OVERRIDE=FY","FILING_STATUS=OR","EQY_CONSOLIDATED=Y","Sort=A","Dates=H","DateFormat=P","Fill=—","Direction=H","UseDPDF=Y")</f>
        <v>#NAME?</v>
      </c>
      <c r="BA628" s="2" t="e">
        <f ca="1">_xll.BDH($C$628,"TOTAL_DEBT_5_YEAR_GROWTH","FY 2014","FY 2014","Currency=INR","Period=FY","BEST_FPERIOD_OVERRIDE=FY","FILING_STATUS=OR","EQY_CONSOLIDATED=Y","Sort=A","Dates=H","DateFormat=P","Fill=—","Direction=H","UseDPDF=Y")</f>
        <v>#NAME?</v>
      </c>
      <c r="BB628" s="2" t="e">
        <f ca="1">_xll.BDH($C$628,"GEO_GROW_TOT_SHRHLDR_EQY","FY 2014","FY 2014","Currency=INR","Period=FY","BEST_FPERIOD_OVERRIDE=FY","FILING_STATUS=OR","EQY_CONSOLIDATED=Y","Sort=A","Dates=H","DateFormat=P","Fill=—","Direction=H","UseDPDF=Y")</f>
        <v>#NAME?</v>
      </c>
      <c r="BC628" s="2" t="e">
        <f ca="1">_xll.BDH($C$628,"TOTAL_CAPITAL_5_YEAR_GROWTH","FY 2014","FY 2014","Currency=INR","Period=FY","BEST_FPERIOD_OVERRIDE=FY","FILING_STATUS=OR","EQY_CONSOLIDATED=Y","Sort=A","Dates=H","DateFormat=P","Fill=—","Direction=H","UseDPDF=Y")</f>
        <v>#NAME?</v>
      </c>
      <c r="BD628" s="2" t="e">
        <f ca="1">_xll.BDH($C$628,"GEO_GROW_BOOK_VAL","FY 2014","FY 2014","Currency=INR","Period=FY","BEST_FPERIOD_OVERRIDE=FY","FILING_STATUS=OR","EQY_CONSOLIDATED=Y","Sort=A","Dates=H","DateFormat=P","Fill=—","Direction=H","UseDPDF=Y")</f>
        <v>#NAME?</v>
      </c>
      <c r="BE628" s="2" t="e">
        <f ca="1">_xll.BDH($C$628,"GEO_GROW_CASH_OPER_ACT","FY 2014","FY 2014","Currency=INR","Period=FY","BEST_FPERIOD_OVERRIDE=FY","FILING_STATUS=OR","EQY_CONSOLIDATED=Y","Sort=A","Dates=H","DateFormat=P","Fill=—","Direction=H","UseDPDF=Y")</f>
        <v>#NAME?</v>
      </c>
      <c r="BF628" s="2" t="e">
        <f ca="1">_xll.BDH($C$628,"REVENUE_SEQUENTIAL_GROWTH","FY 2014","FY 2014","Currency=INR","Period=FY","BEST_FPERIOD_OVERRIDE=FY","FILING_STATUS=OR","EQY_CONSOLIDATED=Y","FA_ADJUSTED=GAAP","Sort=A","Dates=H","DateFormat=P","Fill=—","Direction=H","UseDPDF=Y")</f>
        <v>#NAME?</v>
      </c>
      <c r="BG628" s="2" t="e">
        <f ca="1">_xll.BDH($C$628,"EBITDA_SEQUENTIAL_GROWTH","FY 2014","FY 2014","Currency=INR","Period=FY","BEST_FPERIOD_OVERRIDE=FY","FILING_STATUS=OR","EQY_CONSOLIDATED=Y","FA_ADJUSTED=GAAP","Sort=A","Dates=H","DateFormat=P","Fill=—","Direction=H","UseDPDF=Y")</f>
        <v>#NAME?</v>
      </c>
      <c r="BH628" s="2" t="e">
        <f ca="1">_xll.BDH($C$628,"OPERATING_INCOME_SEQ_GROWTH","FY 2014","FY 2014","Currency=INR","Period=FY","BEST_FPERIOD_OVERRIDE=FY","FILING_STATUS=OR","EQY_CONSOLIDATED=Y","FA_ADJUSTED=GAAP","Sort=A","Dates=H","DateFormat=P","Fill=—","Direction=H","UseDPDF=Y")</f>
        <v>#NAME?</v>
      </c>
      <c r="BI628" s="2" t="e">
        <f ca="1">_xll.BDH($C$628,"NET_INCOME_TO_COMMON_SEQ_GROWTH","FY 2014","FY 2014","Currency=INR","Period=FY","BEST_FPERIOD_OVERRIDE=FY","FILING_STATUS=OR","EQY_CONSOLIDATED=Y","FA_ADJUSTED=GAAP","Sort=A","Dates=H","DateFormat=P","Fill=—","Direction=H","UseDPDF=Y")</f>
        <v>#NAME?</v>
      </c>
      <c r="BJ628" s="2" t="e">
        <f ca="1">_xll.BDH($C$628,"EPS_DILUTED_SEQUENTIAL_GROWTH","FY 2014","FY 2014","Currency=INR","Period=FY","BEST_FPERIOD_OVERRIDE=FY","FILING_STATUS=OR","EQY_CONSOLIDATED=Y","FA_ADJUSTED=GAAP","Sort=A","Dates=H","DateFormat=P","Fill=—","Direction=H","UseDPDF=Y")</f>
        <v>#NAME?</v>
      </c>
      <c r="BK628" s="2" t="e">
        <f ca="1">_xll.BDH($C$628,"DPS_SEQUENTIAL_GROWTH","FY 2014","FY 2014","Currency=INR","Period=FY","BEST_FPERIOD_OVERRIDE=FY","FILING_STATUS=OR","EQY_CONSOLIDATED=Y","Sort=A","Dates=H","DateFormat=P","Fill=—","Direction=H","UseDPDF=Y")</f>
        <v>#NAME?</v>
      </c>
      <c r="BL628" s="2" t="e">
        <f ca="1">_xll.BDH($C$628,"ACCOUNTS_RECEIVABLE_SEQ_GROWTH","FY 2014","FY 2014","Currency=INR","Period=FY","BEST_FPERIOD_OVERRIDE=FY","FILING_STATUS=OR","EQY_CONSOLIDATED=Y","Sort=A","Dates=H","DateFormat=P","Fill=—","Direction=H","UseDPDF=Y")</f>
        <v>#NAME?</v>
      </c>
      <c r="BM628" s="2" t="e">
        <f ca="1">_xll.BDH($C$628,"INVENTORY_SEQUENTIAL_GROWTH","FY 2014","FY 2014","Currency=INR","Period=FY","BEST_FPERIOD_OVERRIDE=FY","FILING_STATUS=OR","EQY_CONSOLIDATED=Y","Sort=A","Dates=H","DateFormat=P","Fill=—","Direction=H","UseDPDF=Y")</f>
        <v>#NAME?</v>
      </c>
      <c r="BN628" s="2" t="e">
        <f ca="1">_xll.BDH($C$628,"FIXED_ASSETS_SEQUENTIAL_GROWTH","FY 2014","FY 2014","Currency=INR","Period=FY","BEST_FPERIOD_OVERRIDE=FY","FILING_STATUS=OR","EQY_CONSOLIDATED=Y","Sort=A","Dates=H","DateFormat=P","Fill=—","Direction=H","UseDPDF=Y")</f>
        <v>#NAME?</v>
      </c>
      <c r="BO628" s="2" t="e">
        <f ca="1">_xll.BDH($C$628,"TOTAL_ASSETS_SEQUENTIAL_GROWTH","FY 2014","FY 2014","Currency=INR","Period=FY","BEST_FPERIOD_OVERRIDE=FY","FILING_STATUS=OR","EQY_CONSOLIDATED=Y","Sort=A","Dates=H","DateFormat=P","Fill=—","Direction=H","UseDPDF=Y")</f>
        <v>#NAME?</v>
      </c>
      <c r="BP628" s="2" t="e">
        <f ca="1">_xll.BDH($C$628,"MODIFIED_WORKING_CPTL_SEQ_GRWTH","FY 2014","FY 2014","Currency=INR","Period=FY","BEST_FPERIOD_OVERRIDE=FY","FILING_STATUS=OR","EQY_CONSOLIDATED=Y","Sort=A","Dates=H","DateFormat=P","Fill=—","Direction=H","UseDPDF=Y")</f>
        <v>#NAME?</v>
      </c>
      <c r="BQ628" s="2" t="e">
        <f ca="1">_xll.BDH($C$628,"WORKING_CAPITAL_SEQ_GROWTH","FY 2014","FY 2014","Currency=INR","Period=FY","BEST_FPERIOD_OVERRIDE=FY","FILING_STATUS=OR","EQY_CONSOLIDATED=Y","Sort=A","Dates=H","DateFormat=P","Fill=—","Direction=H","UseDPDF=Y")</f>
        <v>#NAME?</v>
      </c>
      <c r="BR628" s="2" t="e">
        <f ca="1">_xll.BDH($C$628,"ACCOUNTS_PAYABLE_SEQ_GROWTH","FY 2014","FY 2014","Currency=INR","Period=FY","BEST_FPERIOD_OVERRIDE=FY","FILING_STATUS=OR","EQY_CONSOLIDATED=Y","Sort=A","Dates=H","DateFormat=P","Fill=—","Direction=H","UseDPDF=Y")</f>
        <v>#NAME?</v>
      </c>
      <c r="BS628" s="2" t="e">
        <f ca="1">_xll.BDH($C$628,"ST_DEBT_SEQUENTIAL_GROWTH","FY 2014","FY 2014","Currency=INR","Period=FY","BEST_FPERIOD_OVERRIDE=FY","FILING_STATUS=OR","EQY_CONSOLIDATED=Y","Sort=A","Dates=H","DateFormat=P","Fill=—","Direction=H","UseDPDF=Y")</f>
        <v>#NAME?</v>
      </c>
      <c r="BT628" s="2" t="e">
        <f ca="1">_xll.BDH($C$628,"TOTAL_DEBT_SEQUENTIAL_GROWTH","FY 2014","FY 2014","Currency=INR","Period=FY","BEST_FPERIOD_OVERRIDE=FY","FILING_STATUS=OR","EQY_CONSOLIDATED=Y","Sort=A","Dates=H","DateFormat=P","Fill=—","Direction=H","UseDPDF=Y")</f>
        <v>#NAME?</v>
      </c>
      <c r="BU628" s="2" t="e">
        <f ca="1">_xll.BDH($C$628,"TOTAL_EQUITY_SEQUENTIAL_GROWTH","FY 2014","FY 2014","Currency=INR","Period=FY","BEST_FPERIOD_OVERRIDE=FY","FILING_STATUS=OR","EQY_CONSOLIDATED=Y","Sort=A","Dates=H","DateFormat=P","Fill=—","Direction=H","UseDPDF=Y")</f>
        <v>#NAME?</v>
      </c>
      <c r="BV628" s="2" t="e">
        <f ca="1">_xll.BDH($C$628,"TOTAL_CAPITAL_SEQUENTIAL_GROWTH","FY 2014","FY 2014","Currency=INR","Period=FY","BEST_FPERIOD_OVERRIDE=FY","FILING_STATUS=OR","EQY_CONSOLIDATED=Y","Sort=A","Dates=H","DateFormat=P","Fill=—","Direction=H","UseDPDF=Y")</f>
        <v>#NAME?</v>
      </c>
      <c r="BW628" s="2" t="e">
        <f ca="1">_xll.BDH($C$628,"BPS_SEQUENTIAL_GROWTH","FY 2014","FY 2014","Currency=INR","Period=FY","BEST_FPERIOD_OVERRIDE=FY","FILING_STATUS=OR","EQY_CONSOLIDATED=Y","Sort=A","Dates=H","DateFormat=P","Fill=—","Direction=H","UseDPDF=Y")</f>
        <v>#NAME?</v>
      </c>
      <c r="BX628" s="2" t="e">
        <f ca="1">_xll.BDH($C$628,"CFO_SEQUENTIAL_GROWTH","FY 2014","FY 2014","Currency=INR","Period=FY","BEST_FPERIOD_OVERRIDE=FY","FILING_STATUS=OR","EQY_CONSOLIDATED=Y","Sort=A","Dates=H","DateFormat=P","Fill=—","Direction=H","UseDPDF=Y")</f>
        <v>#NAME?</v>
      </c>
      <c r="BY628" s="3" t="e">
        <f ca="1">_xll.BDH($C$628,"SHORT_AND_LONG_TERM_DEBT","FY 2014","FY 2014","Currency=INR","Period=FY","BEST_FPERIOD_OVERRIDE=FY","FILING_STATUS=OR","EQY_CONSOLIDATED=Y","SCALING_FORMAT=MLN","Sort=A","Dates=H","DateFormat=P","Fill=—","Direction=H","UseDPDF=Y")</f>
        <v>#NAME?</v>
      </c>
      <c r="BZ628" s="3" t="e">
        <f ca="1">_xll.BDH($C$628,"BS_ST_BORROW","FY 2014","FY 2014","Currency=INR","Period=FY","BEST_FPERIOD_OVERRIDE=FY","FILING_STATUS=OR","EQY_CONSOLIDATED=Y","SCALING_FORMAT=MLN","Sort=A","Dates=H","DateFormat=P","Fill=—","Direction=H","UseDPDF=Y")</f>
        <v>#NAME?</v>
      </c>
      <c r="CA628" s="3" t="e">
        <f ca="1">_xll.BDH($C$628,"BS_LT_BORROW","FY 2014","FY 2014","Currency=INR","Period=FY","BEST_FPERIOD_OVERRIDE=FY","FILING_STATUS=OR","EQY_CONSOLIDATED=Y","SCALING_FORMAT=MLN","Sort=A","Dates=H","DateFormat=P","Fill=—","Direction=H","UseDPDF=Y")</f>
        <v>#NAME?</v>
      </c>
      <c r="CB628" s="2" t="e">
        <f ca="1">_xll.BDH($C$628,"TOT_DEBT_TO_EBITDA","FY 2014","FY 2014","Currency=INR","Period=FY","BEST_FPERIOD_OVERRIDE=FY","FILING_STATUS=OR","EQY_CONSOLIDATED=Y","FA_ADJUSTED=GAAP","Sort=A","Dates=H","DateFormat=P","Fill=—","Direction=H","UseDPDF=Y")</f>
        <v>#NAME?</v>
      </c>
      <c r="CC628" s="2" t="e">
        <f ca="1">_xll.BDH($C$628,"NET_DEBT_TO_EBITDA","FY 2014","FY 2014","Currency=INR","Period=FY","BEST_FPERIOD_OVERRIDE=FY","FILING_STATUS=OR","EQY_CONSOLIDATED=Y","FA_ADJUSTED=GAAP","Sort=A","Dates=H","DateFormat=P","Fill=—","Direction=H","UseDPDF=Y")</f>
        <v>#NAME?</v>
      </c>
      <c r="CD628" s="2" t="e">
        <f ca="1">_xll.BDH($C$628,"TOTAL_DEBT_TO_EBIT","FY 2014","FY 2014","Currency=INR","Period=FY","BEST_FPERIOD_OVERRIDE=FY","FILING_STATUS=OR","EQY_CONSOLIDATED=Y","FA_ADJUSTED=GAAP","Sort=A","Dates=H","DateFormat=P","Fill=—","Direction=H","UseDPDF=Y")</f>
        <v>#NAME?</v>
      </c>
      <c r="CE628" s="2" t="e">
        <f ca="1">_xll.BDH($C$628,"NET_DEBT_TO_EBIT","FY 2014","FY 2014","Currency=INR","Period=FY","BEST_FPERIOD_OVERRIDE=FY","FILING_STATUS=OR","EQY_CONSOLIDATED=Y","FA_ADJUSTED=GAAP","Sort=A","Dates=H","DateFormat=P","Fill=—","Direction=H","UseDPDF=Y")</f>
        <v>#NAME?</v>
      </c>
      <c r="CF628" s="2" t="e">
        <f ca="1">_xll.BDH($C$628,"EBITDA_TO_INTEREST_EXPN","FY 2014","FY 2014","Currency=INR","Period=FY","BEST_FPERIOD_OVERRIDE=FY","FILING_STATUS=OR","EQY_CONSOLIDATED=Y","FA_ADJUSTED=GAAP","Sort=A","Dates=H","DateFormat=P","Fill=—","Direction=H","UseDPDF=Y")</f>
        <v>#NAME?</v>
      </c>
      <c r="CG628" s="2" t="e">
        <f ca="1">_xll.BDH($C$628,"COM_EQY_TO_TOT_ASSET","FY 2014","FY 2014","Currency=INR","Period=FY","BEST_FPERIOD_OVERRIDE=FY","FILING_STATUS=OR","EQY_CONSOLIDATED=Y","Sort=A","Dates=H","DateFormat=P","Fill=—","Direction=H","UseDPDF=Y")</f>
        <v>#NAME?</v>
      </c>
      <c r="CH628" s="2" t="e">
        <f ca="1">_xll.BDH($C$628,"LT_DEBT_TO_TOT_EQY","FY 2014","FY 2014","Currency=INR","Period=FY","BEST_FPERIOD_OVERRIDE=FY","FILING_STATUS=OR","EQY_CONSOLIDATED=Y","Sort=A","Dates=H","DateFormat=P","Fill=—","Direction=H","UseDPDF=Y")</f>
        <v>#NAME?</v>
      </c>
      <c r="CI628" s="2" t="e">
        <f ca="1">_xll.BDH($C$628,"LT_DEBT_TO_TOT_CAP","FY 2014","FY 2014","Currency=INR","Period=FY","BEST_FPERIOD_OVERRIDE=FY","FILING_STATUS=OR","EQY_CONSOLIDATED=Y","Sort=A","Dates=H","DateFormat=P","Fill=—","Direction=H","UseDPDF=Y")</f>
        <v>#NAME?</v>
      </c>
      <c r="CJ628" s="2" t="e">
        <f ca="1">_xll.BDH($C$628,"LT_DEBT_TO_TOT_ASSET","FY 2014","FY 2014","Currency=INR","Period=FY","BEST_FPERIOD_OVERRIDE=FY","FILING_STATUS=OR","EQY_CONSOLIDATED=Y","Sort=A","Dates=H","DateFormat=P","Fill=—","Direction=H","UseDPDF=Y")</f>
        <v>#NAME?</v>
      </c>
      <c r="CK628" s="2" t="e">
        <f ca="1">_xll.BDH($C$628,"TOT_DEBT_TO_TOT_EQY","FY 2014","FY 2014","Currency=INR","Period=FY","BEST_FPERIOD_OVERRIDE=FY","FILING_STATUS=OR","EQY_CONSOLIDATED=Y","Sort=A","Dates=H","DateFormat=P","Fill=—","Direction=H","UseDPDF=Y")</f>
        <v>#NAME?</v>
      </c>
      <c r="CL628" s="2" t="e">
        <f ca="1">_xll.BDH($C$628,"TOT_DEBT_TO_TOT_CAP","FY 2014","FY 2014","Currency=INR","Period=FY","BEST_FPERIOD_OVERRIDE=FY","FILING_STATUS=OR","EQY_CONSOLIDATED=Y","Sort=A","Dates=H","DateFormat=P","Fill=—","Direction=H","UseDPDF=Y")</f>
        <v>#NAME?</v>
      </c>
      <c r="CM628" s="2" t="e">
        <f ca="1">_xll.BDH($C$628,"TOT_DEBT_TO_TOT_ASSET","FY 2014","FY 2014","Currency=INR","Period=FY","BEST_FPERIOD_OVERRIDE=FY","FILING_STATUS=OR","EQY_CONSOLIDATED=Y","Sort=A","Dates=H","DateFormat=P","Fill=—","Direction=H","UseDPDF=Y")</f>
        <v>#NAME?</v>
      </c>
      <c r="CN628" s="2" t="e">
        <f ca="1">_xll.BDH($C$628,"NET_DEBT_TO_SHRHLDR_EQTY","FY 2014","FY 2014","Currency=INR","Period=FY","BEST_FPERIOD_OVERRIDE=FY","FILING_STATUS=OR","EQY_CONSOLIDATED=Y","Sort=A","Dates=H","DateFormat=P","Fill=—","Direction=H","UseDPDF=Y")</f>
        <v>#NAME?</v>
      </c>
      <c r="CO628" s="2" t="e">
        <f ca="1">_xll.BDH($C$628,"NET_DEBT_%_CAPITAL","FY 2014","FY 2014","Currency=INR","Period=FY","BEST_FPERIOD_OVERRIDE=FY","FILING_STATUS=OR","EQY_CONSOLIDATED=Y","Sort=A","Dates=H","DateFormat=P","Fill=—","Direction=H","UseDPDF=Y")</f>
        <v>#NAME?</v>
      </c>
      <c r="CP628" s="3" t="e">
        <f ca="1">_xll.BDH($C$628,"EBITDA","FY 2014","FY 2014","Currency=INR","Period=FY","BEST_FPERIOD_OVERRIDE=FY","FILING_STATUS=OR","EQY_CONSOLIDATED=Y","SCALING_FORMAT=MLN","FA_ADJUSTED=GAAP","Sort=A","Dates=H","DateFormat=P","Fill=—","Direction=H","UseDPDF=Y")</f>
        <v>#NAME?</v>
      </c>
      <c r="CQ628" s="3" t="e">
        <f ca="1">_xll.BDH($C$628,"EBITDA_AFTER_CAPEX","FY 2014","FY 2014","Currency=INR","Period=FY","BEST_FPERIOD_OVERRIDE=FY","FILING_STATUS=OR","EQY_CONSOLIDATED=Y","SCALING_FORMAT=MLN","FA_ADJUSTED=GAAP","Sort=A","Dates=H","DateFormat=P","Fill=—","Direction=H","UseDPDF=Y")</f>
        <v>#NAME?</v>
      </c>
      <c r="CR628" s="3" t="e">
        <f ca="1">_xll.BDH($C$628,"IS_OPER_INC","FY 2014","FY 2014","Currency=INR","Period=FY","BEST_FPERIOD_OVERRIDE=FY","FILING_STATUS=OR","EQY_CONSOLIDATED=Y","SCALING_FORMAT=MLN","FA_ADJUSTED=GAAP","Sort=A","Dates=H","DateFormat=P","Fill=—","Direction=H","UseDPDF=Y")</f>
        <v>#NAME?</v>
      </c>
      <c r="CS628" s="2" t="e">
        <f ca="1">_xll.BDH($C$628,"CASH_RATIO","FY 2014","FY 2014","Currency=INR","Period=FY","BEST_FPERIOD_OVERRIDE=FY","FILING_STATUS=OR","EQY_CONSOLIDATED=Y","Sort=A","Dates=H","DateFormat=P","Fill=—","Direction=H","UseDPDF=Y")</f>
        <v>#NAME?</v>
      </c>
      <c r="CT628" s="2" t="e">
        <f ca="1">_xll.BDH($C$628,"CUR_RATIO","FY 2014","FY 2014","Currency=INR","Period=FY","BEST_FPERIOD_OVERRIDE=FY","FILING_STATUS=OR","EQY_CONSOLIDATED=Y","Sort=A","Dates=H","DateFormat=P","Fill=—","Direction=H","UseDPDF=Y")</f>
        <v>#NAME?</v>
      </c>
      <c r="CU628" s="2" t="e">
        <f ca="1">_xll.BDH($C$628,"QUICK_RATIO","FY 2014","FY 2014","Currency=INR","Period=FY","BEST_FPERIOD_OVERRIDE=FY","FILING_STATUS=OR","EQY_CONSOLIDATED=Y","Sort=A","Dates=H","DateFormat=P","Fill=—","Direction=H","UseDPDF=Y")</f>
        <v>#NAME?</v>
      </c>
      <c r="CV628" s="2" t="e">
        <f ca="1">_xll.BDH($C$628,"ALTMAN_Z_SCORE","FY 2014","FY 2014","Currency=INR","Period=FY","BEST_FPERIOD_OVERRIDE=FY","FILING_STATUS=OR","EQY_CONSOLIDATED=Y","Sort=A","Dates=H","DateFormat=P","Fill=—","Direction=H","UseDPDF=Y")</f>
        <v>#NAME?</v>
      </c>
      <c r="CW628" s="4" t="e">
        <f ca="1">_xll.BDH($C$628,"ACCT_RCV_TURN","FY 2014","FY 2014","Currency=INR","Period=FY","BEST_FPERIOD_OVERRIDE=FY","FILING_STATUS=OR","EQY_CONSOLIDATED=Y","FA_ADJUSTED=GAAP","Sort=A","Dates=H","DateFormat=P","Fill=—","Direction=H","UseDPDF=Y")</f>
        <v>#NAME?</v>
      </c>
      <c r="CX628" s="2" t="e">
        <f ca="1">_xll.BDH($C$628,"ACCT_RCV_DAYS","FY 2014","FY 2014","Currency=INR","Period=FY","BEST_FPERIOD_OVERRIDE=FY","FILING_STATUS=OR","EQY_CONSOLIDATED=Y","FA_ADJUSTED=GAAP","Sort=A","Dates=H","DateFormat=P","Fill=—","Direction=H","UseDPDF=Y")</f>
        <v>#NAME?</v>
      </c>
      <c r="CY628" s="4" t="e">
        <f ca="1">_xll.BDH($C$628,"INVENT_TURN","FY 2014","FY 2014","Currency=INR","Period=FY","BEST_FPERIOD_OVERRIDE=FY","FILING_STATUS=OR","EQY_CONSOLIDATED=Y","FA_ADJUSTED=GAAP","Sort=A","Dates=H","DateFormat=P","Fill=—","Direction=H","UseDPDF=Y")</f>
        <v>#NAME?</v>
      </c>
      <c r="CZ628" s="2" t="e">
        <f ca="1">_xll.BDH($C$628,"INVENT_DAYS","FY 2014","FY 2014","Currency=INR","Period=FY","BEST_FPERIOD_OVERRIDE=FY","FILING_STATUS=OR","EQY_CONSOLIDATED=Y","FA_ADJUSTED=GAAP","Sort=A","Dates=H","DateFormat=P","Fill=—","Direction=H","UseDPDF=Y")</f>
        <v>#NAME?</v>
      </c>
      <c r="DA628" s="4" t="e">
        <f ca="1">_xll.BDH($C$628,"ACCOUNTS_PAYABLE_TURNOVER","FY 2014","FY 2014","Currency=INR","Period=FY","BEST_FPERIOD_OVERRIDE=FY","FILING_STATUS=OR","EQY_CONSOLIDATED=Y","FA_ADJUSTED=GAAP","Sort=A","Dates=H","DateFormat=P","Fill=—","Direction=H","UseDPDF=Y")</f>
        <v>#NAME?</v>
      </c>
      <c r="DB628" s="2" t="e">
        <f ca="1">_xll.BDH($C$628,"ACCOUNTS_PAYABLE_TURNOVER_DAYS","FY 2014","FY 2014","Currency=INR","Period=FY","BEST_FPERIOD_OVERRIDE=FY","FILING_STATUS=OR","EQY_CONSOLIDATED=Y","FA_ADJUSTED=GAAP","Sort=A","Dates=H","DateFormat=P","Fill=—","Direction=H","UseDPDF=Y")</f>
        <v>#NAME?</v>
      </c>
      <c r="DC628" s="4" t="e">
        <f ca="1">_xll.BDH($C$628,"CASH_CONVERSION_CYCLE","FY 2014","FY 2014","Currency=INR","Period=FY","BEST_FPERIOD_OVERRIDE=FY","FILING_STATUS=OR","EQY_CONSOLIDATED=Y","FA_ADJUSTED=GAAP","Sort=A","Dates=H","DateFormat=P","Fill=—","Direction=H","UseDPDF=Y")</f>
        <v>#NAME?</v>
      </c>
      <c r="DD628" s="4" t="e">
        <f ca="1">_xll.BDH($C$628,"INV_TO_CASH_DAYS","FY 2014","FY 2014","Currency=INR","Period=FY","BEST_FPERIOD_OVERRIDE=FY","FILING_STATUS=OR","EQY_CONSOLIDATED=Y","FA_ADJUSTED=GAAP","Sort=A","Dates=H","DateFormat=P","Fill=—","Direction=H","UseDPDF=Y")</f>
        <v>#NAME?</v>
      </c>
      <c r="DE628" s="5" t="e">
        <f ca="1">_xll.BDH($C$628,"BS_INVENTORIES","FY 2014","FY 2014","Currency=INR","Period=FY","BEST_FPERIOD_OVERRIDE=FY","FILING_STATUS=OR","EQY_CONSOLIDATED=Y","SCALING_FORMAT=MLN","Sort=A","Dates=H","DateFormat=P","Fill=—","Direction=H","UseDPDF=Y")</f>
        <v>#NAME?</v>
      </c>
      <c r="DF628" s="3" t="e">
        <f ca="1">_xll.BDH($C$628,"INVTRY_RAW_MATERIALS","FY 2014","FY 2014","Currency=INR","Period=FY","BEST_FPERIOD_OVERRIDE=FY","FILING_STATUS=OR","EQY_CONSOLIDATED=Y","SCALING_FORMAT=MLN","Sort=A","Dates=H","DateFormat=P","Fill=—","Direction=H","UseDPDF=Y")</f>
        <v>#NAME?</v>
      </c>
      <c r="DG628" s="3" t="e">
        <f ca="1">_xll.BDH($C$628,"INVTRY_IN_PROGRESS","FY 2014","FY 2014","Currency=INR","Period=FY","BEST_FPERIOD_OVERRIDE=FY","FILING_STATUS=OR","EQY_CONSOLIDATED=Y","SCALING_FORMAT=MLN","Sort=A","Dates=H","DateFormat=P","Fill=—","Direction=H","UseDPDF=Y")</f>
        <v>#NAME?</v>
      </c>
      <c r="DH628" s="3" t="e">
        <f ca="1">_xll.BDH($C$628,"INVTRY_FINISHED_GOODS","FY 2014","FY 2014","Currency=INR","Period=FY","BEST_FPERIOD_OVERRIDE=FY","FILING_STATUS=OR","EQY_CONSOLIDATED=Y","SCALING_FORMAT=MLN","Sort=A","Dates=H","DateFormat=P","Fill=—","Direction=H","UseDPDF=Y")</f>
        <v>#NAME?</v>
      </c>
      <c r="DI628" s="3" t="e">
        <f ca="1">_xll.BDH($C$628,"BS_OTHER_INV","FY 2014","FY 2014","Currency=INR","Period=FY","BEST_FPERIOD_OVERRIDE=FY","FILING_STATUS=OR","EQY_CONSOLIDATED=Y","SCALING_FORMAT=MLN","Sort=A","Dates=H","DateFormat=P","Fill=—","Direction=H","UseDPDF=Y")</f>
        <v>#NAME?</v>
      </c>
    </row>
    <row r="629" spans="1:113" x14ac:dyDescent="0.3">
      <c r="A629" s="6"/>
      <c r="B629" s="6"/>
      <c r="C629" s="6"/>
      <c r="D629" s="6"/>
      <c r="E629" t="s">
        <v>78</v>
      </c>
      <c r="F629" t="e">
        <f ca="1">_xll.BDH($C$628,"RETURN_COM_EQY","FQ1 2014","FQ1 2014","Currency=INR","Period=FQ","BEST_FPERIOD_OVERRIDE=FQ","FILING_STATUS=OR","EQY_CONSOLIDATED=Y","FA_ADJUSTED=GAAP","Sort=A","Dates=H","DateFormat=P","Fill=—","Direction=H","UseDPDF=Y")</f>
        <v>#NAME?</v>
      </c>
      <c r="G629" t="e">
        <f ca="1">_xll.BDH($C$628,"RETURN_ON_ASSET","FQ1 2014","FQ1 2014","Currency=INR","Period=FQ","BEST_FPERIOD_OVERRIDE=FQ","FILING_STATUS=OR","EQY_CONSOLIDATED=Y","FA_ADJUSTED=GAAP","Sort=A","Dates=H","DateFormat=P","Fill=—","Direction=H","UseDPDF=Y")</f>
        <v>#NAME?</v>
      </c>
      <c r="H629" t="e">
        <f ca="1">_xll.BDH($C$628,"RETURN_ON_CAP","FQ1 2014","FQ1 2014","Currency=INR","Period=FQ","BEST_FPERIOD_OVERRIDE=FQ","FILING_STATUS=OR","EQY_CONSOLIDATED=Y","FA_ADJUSTED=GAAP","Sort=A","Dates=H","DateFormat=P","Fill=—","Direction=H","UseDPDF=Y")</f>
        <v>#NAME?</v>
      </c>
      <c r="I629" t="e">
        <f ca="1">_xll.BDH($C$628,"RETURN_ON_INV_CAPITAL","FQ1 2014","FQ1 2014","Currency=INR","Period=FQ","BEST_FPERIOD_OVERRIDE=FQ","FILING_STATUS=OR","EQY_CONSOLIDATED=Y","FA_ADJUSTED=GAAP","Sort=A","Dates=H","DateFormat=P","Fill=—","Direction=H","UseDPDF=Y")</f>
        <v>#NAME?</v>
      </c>
      <c r="J629" t="e">
        <f ca="1">_xll.BDH($C$628,"EBITDA_TO_REVENUE","FQ1 2014","FQ1 2014","Currency=INR","Period=FQ","BEST_FPERIOD_OVERRIDE=FQ","FILING_STATUS=OR","EQY_CONSOLIDATED=Y","FA_ADJUSTED=GAAP","Sort=A","Dates=H","DateFormat=P","Fill=—","Direction=H","UseDPDF=Y")</f>
        <v>#NAME?</v>
      </c>
      <c r="K629" t="e">
        <f ca="1">_xll.BDH($C$628,"OPER_MARGIN","FQ1 2014","FQ1 2014","Currency=INR","Period=FQ","BEST_FPERIOD_OVERRIDE=FQ","FILING_STATUS=OR","EQY_CONSOLIDATED=Y","FA_ADJUSTED=GAAP","Sort=A","Dates=H","DateFormat=P","Fill=—","Direction=H","UseDPDF=Y")</f>
        <v>#NAME?</v>
      </c>
      <c r="L629" t="e">
        <f ca="1">_xll.BDH($C$628,"INCREMENTAL_OPERATING_MARGIN","FQ1 2014","FQ1 2014","Currency=INR","Period=FQ","BEST_FPERIOD_OVERRIDE=FQ","FILING_STATUS=OR","EQY_CONSOLIDATED=Y","FA_ADJUSTED=GAAP","Sort=A","Dates=H","DateFormat=P","Fill=—","Direction=H","UseDPDF=Y")</f>
        <v>#NAME?</v>
      </c>
      <c r="M629" t="e">
        <f ca="1">_xll.BDH($C$628,"PRETAX_INC_TO_NET_SALES","FQ1 2014","FQ1 2014","Currency=INR","Period=FQ","BEST_FPERIOD_OVERRIDE=FQ","FILING_STATUS=OR","EQY_CONSOLIDATED=Y","FA_ADJUSTED=GAAP","Sort=A","Dates=H","DateFormat=P","Fill=—","Direction=H","UseDPDF=Y")</f>
        <v>#NAME?</v>
      </c>
      <c r="N629" t="e">
        <f ca="1">_xll.BDH($C$628,"INC_BEF_XO_ITEMS_TO_NET_SALES","FQ1 2014","FQ1 2014","Currency=INR","Period=FQ","BEST_FPERIOD_OVERRIDE=FQ","FILING_STATUS=OR","EQY_CONSOLIDATED=Y","FA_ADJUSTED=GAAP","Sort=A","Dates=H","DateFormat=P","Fill=—","Direction=H","UseDPDF=Y")</f>
        <v>#NAME?</v>
      </c>
      <c r="O629" t="e">
        <f ca="1">_xll.BDH($C$628,"PROF_MARGIN","FQ1 2014","FQ1 2014","Currency=INR","Period=FQ","BEST_FPERIOD_OVERRIDE=FQ","FILING_STATUS=OR","EQY_CONSOLIDATED=Y","FA_ADJUSTED=GAAP","Sort=A","Dates=H","DateFormat=P","Fill=—","Direction=H","UseDPDF=Y")</f>
        <v>#NAME?</v>
      </c>
      <c r="P629" t="e">
        <f ca="1">_xll.BDH($C$628,"NET_INCOME_TO_COMMON_MARGIN","FQ1 2014","FQ1 2014","Currency=INR","Period=FQ","BEST_FPERIOD_OVERRIDE=FQ","FILING_STATUS=OR","EQY_CONSOLIDATED=Y","FA_ADJUSTED=GAAP","Sort=A","Dates=H","DateFormat=P","Fill=—","Direction=H","UseDPDF=Y")</f>
        <v>#NAME?</v>
      </c>
      <c r="Q629" t="e">
        <f ca="1">_xll.BDH($C$628,"EFF_TAX_RATE","FQ1 2014","FQ1 2014","Currency=INR","Period=FQ","BEST_FPERIOD_OVERRIDE=FQ","FILING_STATUS=OR","EQY_CONSOLIDATED=Y","FA_ADJUSTED=GAAP","Sort=A","Dates=H","DateFormat=P","Fill=—","Direction=H","UseDPDF=Y")</f>
        <v>#NAME?</v>
      </c>
      <c r="R629" t="e">
        <f ca="1">_xll.BDH($C$628,"DVD_PAYOUT_RATIO","FQ1 2014","FQ1 2014","Currency=INR","Period=FQ","BEST_FPERIOD_OVERRIDE=FQ","FILING_STATUS=OR","EQY_CONSOLIDATED=Y","FA_ADJUSTED=GAAP","Sort=A","Dates=H","DateFormat=P","Fill=—","Direction=H","UseDPDF=Y")</f>
        <v>#NAME?</v>
      </c>
      <c r="S629" t="e">
        <f ca="1">_xll.BDH($C$628,"SUSTAIN_GROWTH_RT","FQ1 2014","FQ1 2014","Currency=INR","Period=FQ","BEST_FPERIOD_OVERRIDE=FQ","FILING_STATUS=OR","EQY_CONSOLIDATED=Y","FA_ADJUSTED=GAAP","Sort=A","Dates=H","DateFormat=P","Fill=—","Direction=H","UseDPDF=Y")</f>
        <v>#NAME?</v>
      </c>
      <c r="T629" s="2" t="e">
        <f ca="1">_xll.BDH($C$628,"SALES_GROWTH","FQ1 2014","FQ1 2014","Currency=INR","Period=FQ","BEST_FPERIOD_OVERRIDE=FQ","FILING_STATUS=OR","EQY_CONSOLIDATED=Y","FA_ADJUSTED=GAAP","Sort=A","Dates=H","DateFormat=P","Fill=—","Direction=H","UseDPDF=Y")</f>
        <v>#NAME?</v>
      </c>
      <c r="U629" s="2" t="e">
        <f ca="1">_xll.BDH($C$628,"EBITDA_GROWTH","FQ1 2014","FQ1 2014","Currency=INR","Period=FQ","BEST_FPERIOD_OVERRIDE=FQ","FILING_STATUS=OR","EQY_CONSOLIDATED=Y","FA_ADJUSTED=GAAP","Sort=A","Dates=H","DateFormat=P","Fill=—","Direction=H","UseDPDF=Y")</f>
        <v>#NAME?</v>
      </c>
      <c r="V629" s="2" t="e">
        <f ca="1">_xll.BDH($C$628,"OPER_INC_GROWTH","FQ1 2014","FQ1 2014","Currency=INR","Period=FQ","BEST_FPERIOD_OVERRIDE=FQ","FILING_STATUS=OR","EQY_CONSOLIDATED=Y","FA_ADJUSTED=GAAP","Sort=A","Dates=H","DateFormat=P","Fill=—","Direction=H","UseDPDF=Y")</f>
        <v>#NAME?</v>
      </c>
      <c r="W629" s="2" t="e">
        <f ca="1">_xll.BDH($C$628,"EARN_FOR_COM_GROWTH","FQ1 2014","FQ1 2014","Currency=INR","Period=FQ","BEST_FPERIOD_OVERRIDE=FQ","FILING_STATUS=OR","EQY_CONSOLIDATED=Y","FA_ADJUSTED=GAAP","Sort=A","Dates=H","DateFormat=P","Fill=—","Direction=H","UseDPDF=Y")</f>
        <v>#NAME?</v>
      </c>
      <c r="X629" s="2" t="e">
        <f ca="1">_xll.BDH($C$628,"DILUTED_EPS_AFT_XO_ITEMS_GROWTH","FQ1 2014","FQ1 2014","Currency=INR","Period=FQ","BEST_FPERIOD_OVERRIDE=FQ","FILING_STATUS=OR","EQY_CONSOLIDATED=Y","FA_ADJUSTED=GAAP","Sort=A","Dates=H","DateFormat=P","Fill=—","Direction=H","UseDPDF=Y")</f>
        <v>#NAME?</v>
      </c>
      <c r="Y629" s="2" t="e">
        <f ca="1">_xll.BDH($C$628,"DIVIDEND_PER_SHARE_1_YEAR_GROWTH","FQ1 2014","FQ1 2014","Currency=INR","Period=FQ","BEST_FPERIOD_OVERRIDE=FQ","FILING_STATUS=OR","EQY_CONSOLIDATED=Y","Sort=A","Dates=H","DateFormat=P","Fill=—","Direction=H","UseDPDF=Y")</f>
        <v>#NAME?</v>
      </c>
      <c r="Z629" s="2" t="e">
        <f ca="1">_xll.BDH($C$628,"ACCOUNTS_RECEIVABLE_GROWTH","FQ1 2014","FQ1 2014","Currency=INR","Period=FQ","BEST_FPERIOD_OVERRIDE=FQ","FILING_STATUS=OR","EQY_CONSOLIDATED=Y","Sort=A","Dates=H","DateFormat=P","Fill=—","Direction=H","UseDPDF=Y")</f>
        <v>#NAME?</v>
      </c>
      <c r="AA629" s="2" t="e">
        <f ca="1">_xll.BDH($C$628,"INVENTORY_GROWTH","FQ1 2014","FQ1 2014","Currency=INR","Period=FQ","BEST_FPERIOD_OVERRIDE=FQ","FILING_STATUS=OR","EQY_CONSOLIDATED=Y","Sort=A","Dates=H","DateFormat=P","Fill=—","Direction=H","UseDPDF=Y")</f>
        <v>#NAME?</v>
      </c>
      <c r="AB629" s="2" t="e">
        <f ca="1">_xll.BDH($C$628,"NET_FIXED_ASSETS_1_YEAR_GROWTH","FQ1 2014","FQ1 2014","Currency=INR","Period=FQ","BEST_FPERIOD_OVERRIDE=FQ","FILING_STATUS=OR","EQY_CONSOLIDATED=Y","Sort=A","Dates=H","DateFormat=P","Fill=—","Direction=H","UseDPDF=Y")</f>
        <v>#NAME?</v>
      </c>
      <c r="AC629" s="2" t="e">
        <f ca="1">_xll.BDH($C$628,"ASSET_GROWTH","FQ1 2014","FQ1 2014","Currency=INR","Period=FQ","BEST_FPERIOD_OVERRIDE=FQ","FILING_STATUS=OR","EQY_CONSOLIDATED=Y","Sort=A","Dates=H","DateFormat=P","Fill=—","Direction=H","UseDPDF=Y")</f>
        <v>#NAME?</v>
      </c>
      <c r="AD629" s="2" t="e">
        <f ca="1">_xll.BDH($C$628,"MODIFIED_WORK_CAP_GROWTH","FQ1 2014","FQ1 2014","Currency=INR","Period=FQ","BEST_FPERIOD_OVERRIDE=FQ","FILING_STATUS=OR","EQY_CONSOLIDATED=Y","Sort=A","Dates=H","DateFormat=P","Fill=—","Direction=H","UseDPDF=Y")</f>
        <v>#NAME?</v>
      </c>
      <c r="AE629" s="2" t="e">
        <f ca="1">_xll.BDH($C$628,"WORK_CAP_GROWTH","FQ1 2014","FQ1 2014","Currency=INR","Period=FQ","BEST_FPERIOD_OVERRIDE=FQ","FILING_STATUS=OR","EQY_CONSOLIDATED=Y","Sort=A","Dates=H","DateFormat=P","Fill=—","Direction=H","UseDPDF=Y")</f>
        <v>#NAME?</v>
      </c>
      <c r="AF629" s="2" t="e">
        <f ca="1">_xll.BDH($C$628,"ACCOUNTS_PAYABLE_GROWTH_1YR","FQ1 2014","FQ1 2014","Currency=INR","Period=FQ","BEST_FPERIOD_OVERRIDE=FQ","FILING_STATUS=OR","EQY_CONSOLIDATED=Y","Sort=A","Dates=H","DateFormat=P","Fill=—","Direction=H","UseDPDF=Y")</f>
        <v>#NAME?</v>
      </c>
      <c r="AG629" s="2" t="e">
        <f ca="1">_xll.BDH($C$628,"SHORT_TERM_DEBT_1_YEAR_GROWTH","FQ1 2014","FQ1 2014","Currency=INR","Period=FQ","BEST_FPERIOD_OVERRIDE=FQ","FILING_STATUS=OR","EQY_CONSOLIDATED=Y","Sort=A","Dates=H","DateFormat=P","Fill=—","Direction=H","UseDPDF=Y")</f>
        <v>#NAME?</v>
      </c>
      <c r="AH629" s="2" t="e">
        <f ca="1">_xll.BDH($C$628,"TOTAL_DEBT_1_YEAR_GROWTH","FQ1 2014","FQ1 2014","Currency=INR","Period=FQ","BEST_FPERIOD_OVERRIDE=FQ","FILING_STATUS=OR","EQY_CONSOLIDATED=Y","Sort=A","Dates=H","DateFormat=P","Fill=—","Direction=H","UseDPDF=Y")</f>
        <v>#NAME?</v>
      </c>
      <c r="AI629" s="2" t="e">
        <f ca="1">_xll.BDH($C$628,"TOTAL_EQUITY_1_YEAR_GROWTH","FQ1 2014","FQ1 2014","Currency=INR","Period=FQ","BEST_FPERIOD_OVERRIDE=FQ","FILING_STATUS=OR","EQY_CONSOLIDATED=Y","Sort=A","Dates=H","DateFormat=P","Fill=—","Direction=H","UseDPDF=Y")</f>
        <v>#NAME?</v>
      </c>
      <c r="AJ629" s="2" t="e">
        <f ca="1">_xll.BDH($C$628,"GROWTH_IN_CAP","FQ1 2014","FQ1 2014","Currency=INR","Period=FQ","BEST_FPERIOD_OVERRIDE=FQ","FILING_STATUS=OR","EQY_CONSOLIDATED=Y","Sort=A","Dates=H","DateFormat=P","Fill=—","Direction=H","UseDPDF=Y")</f>
        <v>#NAME?</v>
      </c>
      <c r="AK629" s="2" t="e">
        <f ca="1">_xll.BDH($C$628,"BVPS_GROWTH","FQ1 2014","FQ1 2014","Currency=INR","Period=FQ","BEST_FPERIOD_OVERRIDE=FQ","FILING_STATUS=OR","EQY_CONSOLIDATED=Y","Sort=A","Dates=H","DateFormat=P","Fill=—","Direction=H","UseDPDF=Y")</f>
        <v>#NAME?</v>
      </c>
      <c r="AL629" s="2" t="e">
        <f ca="1">_xll.BDH($C$628,"CASH_FLOW_GROWTH","FQ1 2014","FQ1 2014","Currency=INR","Period=FQ","BEST_FPERIOD_OVERRIDE=FQ","FILING_STATUS=OR","EQY_CONSOLIDATED=Y","Sort=A","Dates=H","DateFormat=P","Fill=—","Direction=H","UseDPDF=Y")</f>
        <v>#NAME?</v>
      </c>
      <c r="AM629" s="2" t="e">
        <f ca="1">_xll.BDH($C$628,"GEO_GROW_NET_SALES","FQ1 2014","FQ1 2014","Currency=INR","Period=FQ","BEST_FPERIOD_OVERRIDE=FQ","FILING_STATUS=OR","EQY_CONSOLIDATED=Y","FA_ADJUSTED=GAAP","Sort=A","Dates=H","DateFormat=P","Fill=—","Direction=H","UseDPDF=Y")</f>
        <v>#NAME?</v>
      </c>
      <c r="AN629" s="2" t="e">
        <f ca="1">_xll.BDH($C$628,"GEO_GROW_EBITDA","FQ1 2014","FQ1 2014","Currency=INR","Period=FQ","BEST_FPERIOD_OVERRIDE=FQ","FILING_STATUS=OR","EQY_CONSOLIDATED=Y","FA_ADJUSTED=GAAP","Sort=A","Dates=H","DateFormat=P","Fill=—","Direction=H","UseDPDF=Y")</f>
        <v>#NAME?</v>
      </c>
      <c r="AO629" s="2" t="e">
        <f ca="1">_xll.BDH($C$628,"GEO_GROW_OPER_INC","FQ1 2014","FQ1 2014","Currency=INR","Period=FQ","BEST_FPERIOD_OVERRIDE=FQ","FILING_STATUS=OR","EQY_CONSOLIDATED=Y","FA_ADJUSTED=GAAP","Sort=A","Dates=H","DateFormat=P","Fill=—","Direction=H","UseDPDF=Y")</f>
        <v>#NAME?</v>
      </c>
      <c r="AP629" s="2" t="e">
        <f ca="1">_xll.BDH($C$628,"NET_INCOME_TO_COMMON_5_YR_GROWTH","FQ1 2014","FQ1 2014","Currency=INR","Period=FQ","BEST_FPERIOD_OVERRIDE=FQ","FILING_STATUS=OR","EQY_CONSOLIDATED=Y","FA_ADJUSTED=GAAP","Sort=A","Dates=H","DateFormat=P","Fill=—","Direction=H","UseDPDF=Y")</f>
        <v>#NAME?</v>
      </c>
      <c r="AQ629" s="2" t="e">
        <f ca="1">_xll.BDH($C$628,"5Y_GEO_GROWTH_DILUTED_EPS","FQ1 2014","FQ1 2014","Currency=INR","Period=FQ","BEST_FPERIOD_OVERRIDE=FQ","FILING_STATUS=OR","EQY_CONSOLIDATED=Y","FA_ADJUSTED=GAAP","Sort=A","Dates=H","DateFormat=P","Fill=—","Direction=H","UseDPDF=Y")</f>
        <v>#NAME?</v>
      </c>
      <c r="AR629" s="2" t="e">
        <f ca="1">_xll.BDH($C$628,"GEO_GROW_DVD_PER_SH","FQ1 2014","FQ1 2014","Currency=INR","Period=FQ","BEST_FPERIOD_OVERRIDE=FQ","FILING_STATUS=OR","EQY_CONSOLIDATED=Y","Sort=A","Dates=H","DateFormat=P","Fill=—","Direction=H","UseDPDF=Y")</f>
        <v>#NAME?</v>
      </c>
      <c r="AS629" s="2" t="e">
        <f ca="1">_xll.BDH($C$628,"ACCOUNTS_RECEIVABLE_5_YR_GROWTH","FQ1 2014","FQ1 2014","Currency=INR","Period=FQ","BEST_FPERIOD_OVERRIDE=FQ","FILING_STATUS=OR","EQY_CONSOLIDATED=Y","Sort=A","Dates=H","DateFormat=P","Fill=—","Direction=H","UseDPDF=Y")</f>
        <v>#NAME?</v>
      </c>
      <c r="AT629" s="2" t="e">
        <f ca="1">_xll.BDH($C$628,"INVENTORY_5_YEAR_GROWTH","FQ1 2014","FQ1 2014","Currency=INR","Period=FQ","BEST_FPERIOD_OVERRIDE=FQ","FILING_STATUS=OR","EQY_CONSOLIDATED=Y","Sort=A","Dates=H","DateFormat=P","Fill=—","Direction=H","UseDPDF=Y")</f>
        <v>#NAME?</v>
      </c>
      <c r="AU629" s="2" t="e">
        <f ca="1">_xll.BDH($C$628,"NET_FIXED_ASSETS_5_YEAR_GROWTH","FQ1 2014","FQ1 2014","Currency=INR","Period=FQ","BEST_FPERIOD_OVERRIDE=FQ","FILING_STATUS=OR","EQY_CONSOLIDATED=Y","Sort=A","Dates=H","DateFormat=P","Fill=—","Direction=H","UseDPDF=Y")</f>
        <v>#NAME?</v>
      </c>
      <c r="AV629" s="2" t="e">
        <f ca="1">_xll.BDH($C$628,"GEO_GROW_TOT_ASSET","FQ1 2014","FQ1 2014","Currency=INR","Period=FQ","BEST_FPERIOD_OVERRIDE=FQ","FILING_STATUS=OR","EQY_CONSOLIDATED=Y","Sort=A","Dates=H","DateFormat=P","Fill=—","Direction=H","UseDPDF=Y")</f>
        <v>#NAME?</v>
      </c>
      <c r="AW629" s="2" t="e">
        <f ca="1">_xll.BDH($C$628,"MODIFIED_WORKING_CPTL_5YR_GRWTH","FQ1 2014","FQ1 2014","Currency=INR","Period=FQ","BEST_FPERIOD_OVERRIDE=FQ","FILING_STATUS=OR","EQY_CONSOLIDATED=Y","Sort=A","Dates=H","DateFormat=P","Fill=—","Direction=H","UseDPDF=Y")</f>
        <v>#NAME?</v>
      </c>
      <c r="AX629" s="2" t="e">
        <f ca="1">_xll.BDH($C$628,"WORKING_CAPITAL_5_YEAR_GROWTH","FQ1 2014","FQ1 2014","Currency=INR","Period=FQ","BEST_FPERIOD_OVERRIDE=FQ","FILING_STATUS=OR","EQY_CONSOLIDATED=Y","Sort=A","Dates=H","DateFormat=P","Fill=—","Direction=H","UseDPDF=Y")</f>
        <v>#NAME?</v>
      </c>
      <c r="AY629" s="2" t="e">
        <f ca="1">_xll.BDH($C$628,"ACCOUNTS_PAYABLE_5_YEAR_GROWTH","FQ1 2014","FQ1 2014","Currency=INR","Period=FQ","BEST_FPERIOD_OVERRIDE=FQ","FILING_STATUS=OR","EQY_CONSOLIDATED=Y","Sort=A","Dates=H","DateFormat=P","Fill=—","Direction=H","UseDPDF=Y")</f>
        <v>#NAME?</v>
      </c>
      <c r="AZ629" s="2" t="e">
        <f ca="1">_xll.BDH($C$628,"SHORT_TERM_DEBT_5_YEAR_GROWTH","FQ1 2014","FQ1 2014","Currency=INR","Period=FQ","BEST_FPERIOD_OVERRIDE=FQ","FILING_STATUS=OR","EQY_CONSOLIDATED=Y","Sort=A","Dates=H","DateFormat=P","Fill=—","Direction=H","UseDPDF=Y")</f>
        <v>#NAME?</v>
      </c>
      <c r="BA629" s="2" t="e">
        <f ca="1">_xll.BDH($C$628,"TOTAL_DEBT_5_YEAR_GROWTH","FQ1 2014","FQ1 2014","Currency=INR","Period=FQ","BEST_FPERIOD_OVERRIDE=FQ","FILING_STATUS=OR","EQY_CONSOLIDATED=Y","Sort=A","Dates=H","DateFormat=P","Fill=—","Direction=H","UseDPDF=Y")</f>
        <v>#NAME?</v>
      </c>
      <c r="BB629" s="2" t="e">
        <f ca="1">_xll.BDH($C$628,"GEO_GROW_TOT_SHRHLDR_EQY","FQ1 2014","FQ1 2014","Currency=INR","Period=FQ","BEST_FPERIOD_OVERRIDE=FQ","FILING_STATUS=OR","EQY_CONSOLIDATED=Y","Sort=A","Dates=H","DateFormat=P","Fill=—","Direction=H","UseDPDF=Y")</f>
        <v>#NAME?</v>
      </c>
      <c r="BC629" s="2" t="e">
        <f ca="1">_xll.BDH($C$628,"TOTAL_CAPITAL_5_YEAR_GROWTH","FQ1 2014","FQ1 2014","Currency=INR","Period=FQ","BEST_FPERIOD_OVERRIDE=FQ","FILING_STATUS=OR","EQY_CONSOLIDATED=Y","Sort=A","Dates=H","DateFormat=P","Fill=—","Direction=H","UseDPDF=Y")</f>
        <v>#NAME?</v>
      </c>
      <c r="BD629" s="2" t="e">
        <f ca="1">_xll.BDH($C$628,"GEO_GROW_BOOK_VAL","FQ1 2014","FQ1 2014","Currency=INR","Period=FQ","BEST_FPERIOD_OVERRIDE=FQ","FILING_STATUS=OR","EQY_CONSOLIDATED=Y","Sort=A","Dates=H","DateFormat=P","Fill=—","Direction=H","UseDPDF=Y")</f>
        <v>#NAME?</v>
      </c>
      <c r="BE629" s="2" t="e">
        <f ca="1">_xll.BDH($C$628,"GEO_GROW_CASH_OPER_ACT","FQ1 2014","FQ1 2014","Currency=INR","Period=FQ","BEST_FPERIOD_OVERRIDE=FQ","FILING_STATUS=OR","EQY_CONSOLIDATED=Y","Sort=A","Dates=H","DateFormat=P","Fill=—","Direction=H","UseDPDF=Y")</f>
        <v>#NAME?</v>
      </c>
      <c r="BF629" s="2" t="e">
        <f ca="1">_xll.BDH($C$628,"REVENUE_SEQUENTIAL_GROWTH","FQ1 2014","FQ1 2014","Currency=INR","Period=FQ","BEST_FPERIOD_OVERRIDE=FQ","FILING_STATUS=OR","EQY_CONSOLIDATED=Y","FA_ADJUSTED=GAAP","Sort=A","Dates=H","DateFormat=P","Fill=—","Direction=H","UseDPDF=Y")</f>
        <v>#NAME?</v>
      </c>
      <c r="BG629" s="2" t="e">
        <f ca="1">_xll.BDH($C$628,"EBITDA_SEQUENTIAL_GROWTH","FQ1 2014","FQ1 2014","Currency=INR","Period=FQ","BEST_FPERIOD_OVERRIDE=FQ","FILING_STATUS=OR","EQY_CONSOLIDATED=Y","FA_ADJUSTED=GAAP","Sort=A","Dates=H","DateFormat=P","Fill=—","Direction=H","UseDPDF=Y")</f>
        <v>#NAME?</v>
      </c>
      <c r="BH629" s="2" t="e">
        <f ca="1">_xll.BDH($C$628,"OPERATING_INCOME_SEQ_GROWTH","FQ1 2014","FQ1 2014","Currency=INR","Period=FQ","BEST_FPERIOD_OVERRIDE=FQ","FILING_STATUS=OR","EQY_CONSOLIDATED=Y","FA_ADJUSTED=GAAP","Sort=A","Dates=H","DateFormat=P","Fill=—","Direction=H","UseDPDF=Y")</f>
        <v>#NAME?</v>
      </c>
      <c r="BI629" s="2" t="e">
        <f ca="1">_xll.BDH($C$628,"NET_INCOME_TO_COMMON_SEQ_GROWTH","FQ1 2014","FQ1 2014","Currency=INR","Period=FQ","BEST_FPERIOD_OVERRIDE=FQ","FILING_STATUS=OR","EQY_CONSOLIDATED=Y","FA_ADJUSTED=GAAP","Sort=A","Dates=H","DateFormat=P","Fill=—","Direction=H","UseDPDF=Y")</f>
        <v>#NAME?</v>
      </c>
      <c r="BJ629" s="2" t="e">
        <f ca="1">_xll.BDH($C$628,"EPS_DILUTED_SEQUENTIAL_GROWTH","FQ1 2014","FQ1 2014","Currency=INR","Period=FQ","BEST_FPERIOD_OVERRIDE=FQ","FILING_STATUS=OR","EQY_CONSOLIDATED=Y","FA_ADJUSTED=GAAP","Sort=A","Dates=H","DateFormat=P","Fill=—","Direction=H","UseDPDF=Y")</f>
        <v>#NAME?</v>
      </c>
      <c r="BK629" s="2" t="e">
        <f ca="1">_xll.BDH($C$628,"DPS_SEQUENTIAL_GROWTH","FQ1 2014","FQ1 2014","Currency=INR","Period=FQ","BEST_FPERIOD_OVERRIDE=FQ","FILING_STATUS=OR","EQY_CONSOLIDATED=Y","Sort=A","Dates=H","DateFormat=P","Fill=—","Direction=H","UseDPDF=Y")</f>
        <v>#NAME?</v>
      </c>
      <c r="BL629" s="2" t="e">
        <f ca="1">_xll.BDH($C$628,"ACCOUNTS_RECEIVABLE_SEQ_GROWTH","FQ1 2014","FQ1 2014","Currency=INR","Period=FQ","BEST_FPERIOD_OVERRIDE=FQ","FILING_STATUS=OR","EQY_CONSOLIDATED=Y","Sort=A","Dates=H","DateFormat=P","Fill=—","Direction=H","UseDPDF=Y")</f>
        <v>#NAME?</v>
      </c>
      <c r="BM629" s="2" t="e">
        <f ca="1">_xll.BDH($C$628,"INVENTORY_SEQUENTIAL_GROWTH","FQ1 2014","FQ1 2014","Currency=INR","Period=FQ","BEST_FPERIOD_OVERRIDE=FQ","FILING_STATUS=OR","EQY_CONSOLIDATED=Y","Sort=A","Dates=H","DateFormat=P","Fill=—","Direction=H","UseDPDF=Y")</f>
        <v>#NAME?</v>
      </c>
      <c r="BN629" s="2" t="e">
        <f ca="1">_xll.BDH($C$628,"FIXED_ASSETS_SEQUENTIAL_GROWTH","FQ1 2014","FQ1 2014","Currency=INR","Period=FQ","BEST_FPERIOD_OVERRIDE=FQ","FILING_STATUS=OR","EQY_CONSOLIDATED=Y","Sort=A","Dates=H","DateFormat=P","Fill=—","Direction=H","UseDPDF=Y")</f>
        <v>#NAME?</v>
      </c>
      <c r="BO629" s="2" t="e">
        <f ca="1">_xll.BDH($C$628,"TOTAL_ASSETS_SEQUENTIAL_GROWTH","FQ1 2014","FQ1 2014","Currency=INR","Period=FQ","BEST_FPERIOD_OVERRIDE=FQ","FILING_STATUS=OR","EQY_CONSOLIDATED=Y","Sort=A","Dates=H","DateFormat=P","Fill=—","Direction=H","UseDPDF=Y")</f>
        <v>#NAME?</v>
      </c>
      <c r="BP629" s="2" t="e">
        <f ca="1">_xll.BDH($C$628,"MODIFIED_WORKING_CPTL_SEQ_GRWTH","FQ1 2014","FQ1 2014","Currency=INR","Period=FQ","BEST_FPERIOD_OVERRIDE=FQ","FILING_STATUS=OR","EQY_CONSOLIDATED=Y","Sort=A","Dates=H","DateFormat=P","Fill=—","Direction=H","UseDPDF=Y")</f>
        <v>#NAME?</v>
      </c>
      <c r="BQ629" s="2" t="e">
        <f ca="1">_xll.BDH($C$628,"WORKING_CAPITAL_SEQ_GROWTH","FQ1 2014","FQ1 2014","Currency=INR","Period=FQ","BEST_FPERIOD_OVERRIDE=FQ","FILING_STATUS=OR","EQY_CONSOLIDATED=Y","Sort=A","Dates=H","DateFormat=P","Fill=—","Direction=H","UseDPDF=Y")</f>
        <v>#NAME?</v>
      </c>
      <c r="BR629" s="2" t="e">
        <f ca="1">_xll.BDH($C$628,"ACCOUNTS_PAYABLE_SEQ_GROWTH","FQ1 2014","FQ1 2014","Currency=INR","Period=FQ","BEST_FPERIOD_OVERRIDE=FQ","FILING_STATUS=OR","EQY_CONSOLIDATED=Y","Sort=A","Dates=H","DateFormat=P","Fill=—","Direction=H","UseDPDF=Y")</f>
        <v>#NAME?</v>
      </c>
      <c r="BS629" s="2" t="e">
        <f ca="1">_xll.BDH($C$628,"ST_DEBT_SEQUENTIAL_GROWTH","FQ1 2014","FQ1 2014","Currency=INR","Period=FQ","BEST_FPERIOD_OVERRIDE=FQ","FILING_STATUS=OR","EQY_CONSOLIDATED=Y","Sort=A","Dates=H","DateFormat=P","Fill=—","Direction=H","UseDPDF=Y")</f>
        <v>#NAME?</v>
      </c>
      <c r="BT629" s="2" t="e">
        <f ca="1">_xll.BDH($C$628,"TOTAL_DEBT_SEQUENTIAL_GROWTH","FQ1 2014","FQ1 2014","Currency=INR","Period=FQ","BEST_FPERIOD_OVERRIDE=FQ","FILING_STATUS=OR","EQY_CONSOLIDATED=Y","Sort=A","Dates=H","DateFormat=P","Fill=—","Direction=H","UseDPDF=Y")</f>
        <v>#NAME?</v>
      </c>
      <c r="BU629" s="2" t="e">
        <f ca="1">_xll.BDH($C$628,"TOTAL_EQUITY_SEQUENTIAL_GROWTH","FQ1 2014","FQ1 2014","Currency=INR","Period=FQ","BEST_FPERIOD_OVERRIDE=FQ","FILING_STATUS=OR","EQY_CONSOLIDATED=Y","Sort=A","Dates=H","DateFormat=P","Fill=—","Direction=H","UseDPDF=Y")</f>
        <v>#NAME?</v>
      </c>
      <c r="BV629" s="2" t="e">
        <f ca="1">_xll.BDH($C$628,"TOTAL_CAPITAL_SEQUENTIAL_GROWTH","FQ1 2014","FQ1 2014","Currency=INR","Period=FQ","BEST_FPERIOD_OVERRIDE=FQ","FILING_STATUS=OR","EQY_CONSOLIDATED=Y","Sort=A","Dates=H","DateFormat=P","Fill=—","Direction=H","UseDPDF=Y")</f>
        <v>#NAME?</v>
      </c>
      <c r="BW629" s="2" t="e">
        <f ca="1">_xll.BDH($C$628,"BPS_SEQUENTIAL_GROWTH","FQ1 2014","FQ1 2014","Currency=INR","Period=FQ","BEST_FPERIOD_OVERRIDE=FQ","FILING_STATUS=OR","EQY_CONSOLIDATED=Y","Sort=A","Dates=H","DateFormat=P","Fill=—","Direction=H","UseDPDF=Y")</f>
        <v>#NAME?</v>
      </c>
      <c r="BX629" s="2" t="e">
        <f ca="1">_xll.BDH($C$628,"CFO_SEQUENTIAL_GROWTH","FQ1 2014","FQ1 2014","Currency=INR","Period=FQ","BEST_FPERIOD_OVERRIDE=FQ","FILING_STATUS=OR","EQY_CONSOLIDATED=Y","Sort=A","Dates=H","DateFormat=P","Fill=—","Direction=H","UseDPDF=Y")</f>
        <v>#NAME?</v>
      </c>
      <c r="BY629" s="3" t="e">
        <f ca="1">_xll.BDH($C$628,"SHORT_AND_LONG_TERM_DEBT","FQ1 2014","FQ1 2014","Currency=INR","Period=FQ","BEST_FPERIOD_OVERRIDE=FQ","FILING_STATUS=OR","EQY_CONSOLIDATED=Y","SCALING_FORMAT=MLN","Sort=A","Dates=H","DateFormat=P","Fill=—","Direction=H","UseDPDF=Y")</f>
        <v>#NAME?</v>
      </c>
      <c r="BZ629" s="3" t="e">
        <f ca="1">_xll.BDH($C$628,"BS_ST_BORROW","FQ1 2014","FQ1 2014","Currency=INR","Period=FQ","BEST_FPERIOD_OVERRIDE=FQ","FILING_STATUS=OR","EQY_CONSOLIDATED=Y","SCALING_FORMAT=MLN","Sort=A","Dates=H","DateFormat=P","Fill=—","Direction=H","UseDPDF=Y")</f>
        <v>#NAME?</v>
      </c>
      <c r="CA629" s="3" t="e">
        <f ca="1">_xll.BDH($C$628,"BS_LT_BORROW","FQ1 2014","FQ1 2014","Currency=INR","Period=FQ","BEST_FPERIOD_OVERRIDE=FQ","FILING_STATUS=OR","EQY_CONSOLIDATED=Y","SCALING_FORMAT=MLN","Sort=A","Dates=H","DateFormat=P","Fill=—","Direction=H","UseDPDF=Y")</f>
        <v>#NAME?</v>
      </c>
      <c r="CB629" s="2" t="e">
        <f ca="1">_xll.BDH($C$628,"TOT_DEBT_TO_EBITDA","FQ1 2014","FQ1 2014","Currency=INR","Period=FQ","BEST_FPERIOD_OVERRIDE=FQ","FILING_STATUS=OR","EQY_CONSOLIDATED=Y","FA_ADJUSTED=GAAP","Sort=A","Dates=H","DateFormat=P","Fill=—","Direction=H","UseDPDF=Y")</f>
        <v>#NAME?</v>
      </c>
      <c r="CC629" s="2" t="e">
        <f ca="1">_xll.BDH($C$628,"NET_DEBT_TO_EBITDA","FQ1 2014","FQ1 2014","Currency=INR","Period=FQ","BEST_FPERIOD_OVERRIDE=FQ","FILING_STATUS=OR","EQY_CONSOLIDATED=Y","FA_ADJUSTED=GAAP","Sort=A","Dates=H","DateFormat=P","Fill=—","Direction=H","UseDPDF=Y")</f>
        <v>#NAME?</v>
      </c>
      <c r="CD629" s="2" t="e">
        <f ca="1">_xll.BDH($C$628,"TOTAL_DEBT_TO_EBIT","FQ1 2014","FQ1 2014","Currency=INR","Period=FQ","BEST_FPERIOD_OVERRIDE=FQ","FILING_STATUS=OR","EQY_CONSOLIDATED=Y","FA_ADJUSTED=GAAP","Sort=A","Dates=H","DateFormat=P","Fill=—","Direction=H","UseDPDF=Y")</f>
        <v>#NAME?</v>
      </c>
      <c r="CE629" s="2" t="e">
        <f ca="1">_xll.BDH($C$628,"NET_DEBT_TO_EBIT","FQ1 2014","FQ1 2014","Currency=INR","Period=FQ","BEST_FPERIOD_OVERRIDE=FQ","FILING_STATUS=OR","EQY_CONSOLIDATED=Y","FA_ADJUSTED=GAAP","Sort=A","Dates=H","DateFormat=P","Fill=—","Direction=H","UseDPDF=Y")</f>
        <v>#NAME?</v>
      </c>
      <c r="CF629" s="2" t="e">
        <f ca="1">_xll.BDH($C$628,"EBITDA_TO_INTEREST_EXPN","FQ1 2014","FQ1 2014","Currency=INR","Period=FQ","BEST_FPERIOD_OVERRIDE=FQ","FILING_STATUS=OR","EQY_CONSOLIDATED=Y","FA_ADJUSTED=GAAP","Sort=A","Dates=H","DateFormat=P","Fill=—","Direction=H","UseDPDF=Y")</f>
        <v>#NAME?</v>
      </c>
      <c r="CG629" s="2" t="e">
        <f ca="1">_xll.BDH($C$628,"COM_EQY_TO_TOT_ASSET","FQ1 2014","FQ1 2014","Currency=INR","Period=FQ","BEST_FPERIOD_OVERRIDE=FQ","FILING_STATUS=OR","EQY_CONSOLIDATED=Y","Sort=A","Dates=H","DateFormat=P","Fill=—","Direction=H","UseDPDF=Y")</f>
        <v>#NAME?</v>
      </c>
      <c r="CH629" s="2" t="e">
        <f ca="1">_xll.BDH($C$628,"LT_DEBT_TO_TOT_EQY","FQ1 2014","FQ1 2014","Currency=INR","Period=FQ","BEST_FPERIOD_OVERRIDE=FQ","FILING_STATUS=OR","EQY_CONSOLIDATED=Y","Sort=A","Dates=H","DateFormat=P","Fill=—","Direction=H","UseDPDF=Y")</f>
        <v>#NAME?</v>
      </c>
      <c r="CI629" s="2" t="e">
        <f ca="1">_xll.BDH($C$628,"LT_DEBT_TO_TOT_CAP","FQ1 2014","FQ1 2014","Currency=INR","Period=FQ","BEST_FPERIOD_OVERRIDE=FQ","FILING_STATUS=OR","EQY_CONSOLIDATED=Y","Sort=A","Dates=H","DateFormat=P","Fill=—","Direction=H","UseDPDF=Y")</f>
        <v>#NAME?</v>
      </c>
      <c r="CJ629" s="2" t="e">
        <f ca="1">_xll.BDH($C$628,"LT_DEBT_TO_TOT_ASSET","FQ1 2014","FQ1 2014","Currency=INR","Period=FQ","BEST_FPERIOD_OVERRIDE=FQ","FILING_STATUS=OR","EQY_CONSOLIDATED=Y","Sort=A","Dates=H","DateFormat=P","Fill=—","Direction=H","UseDPDF=Y")</f>
        <v>#NAME?</v>
      </c>
      <c r="CK629" s="2" t="e">
        <f ca="1">_xll.BDH($C$628,"TOT_DEBT_TO_TOT_EQY","FQ1 2014","FQ1 2014","Currency=INR","Period=FQ","BEST_FPERIOD_OVERRIDE=FQ","FILING_STATUS=OR","EQY_CONSOLIDATED=Y","Sort=A","Dates=H","DateFormat=P","Fill=—","Direction=H","UseDPDF=Y")</f>
        <v>#NAME?</v>
      </c>
      <c r="CL629" s="2" t="e">
        <f ca="1">_xll.BDH($C$628,"TOT_DEBT_TO_TOT_CAP","FQ1 2014","FQ1 2014","Currency=INR","Period=FQ","BEST_FPERIOD_OVERRIDE=FQ","FILING_STATUS=OR","EQY_CONSOLIDATED=Y","Sort=A","Dates=H","DateFormat=P","Fill=—","Direction=H","UseDPDF=Y")</f>
        <v>#NAME?</v>
      </c>
      <c r="CM629" s="2" t="e">
        <f ca="1">_xll.BDH($C$628,"TOT_DEBT_TO_TOT_ASSET","FQ1 2014","FQ1 2014","Currency=INR","Period=FQ","BEST_FPERIOD_OVERRIDE=FQ","FILING_STATUS=OR","EQY_CONSOLIDATED=Y","Sort=A","Dates=H","DateFormat=P","Fill=—","Direction=H","UseDPDF=Y")</f>
        <v>#NAME?</v>
      </c>
      <c r="CN629" s="2" t="e">
        <f ca="1">_xll.BDH($C$628,"NET_DEBT_TO_SHRHLDR_EQTY","FQ1 2014","FQ1 2014","Currency=INR","Period=FQ","BEST_FPERIOD_OVERRIDE=FQ","FILING_STATUS=OR","EQY_CONSOLIDATED=Y","Sort=A","Dates=H","DateFormat=P","Fill=—","Direction=H","UseDPDF=Y")</f>
        <v>#NAME?</v>
      </c>
      <c r="CO629" s="2" t="e">
        <f ca="1">_xll.BDH($C$628,"NET_DEBT_%_CAPITAL","FQ1 2014","FQ1 2014","Currency=INR","Period=FQ","BEST_FPERIOD_OVERRIDE=FQ","FILING_STATUS=OR","EQY_CONSOLIDATED=Y","Sort=A","Dates=H","DateFormat=P","Fill=—","Direction=H","UseDPDF=Y")</f>
        <v>#NAME?</v>
      </c>
      <c r="CP629" s="3" t="e">
        <f ca="1">_xll.BDH($C$628,"EBITDA","FQ1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Q629" s="3" t="e">
        <f ca="1">_xll.BDH($C$628,"EBITDA_AFTER_CAPEX","FQ1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R629" s="3" t="e">
        <f ca="1">_xll.BDH($C$628,"IS_OPER_INC","FQ1 2014","FQ1 2014","Currency=INR","Period=FQ","BEST_FPERIOD_OVERRIDE=FQ","FILING_STATUS=OR","EQY_CONSOLIDATED=Y","SCALING_FORMAT=MLN","FA_ADJUSTED=GAAP","Sort=A","Dates=H","DateFormat=P","Fill=—","Direction=H","UseDPDF=Y")</f>
        <v>#NAME?</v>
      </c>
      <c r="CS629" s="2" t="e">
        <f ca="1">_xll.BDH($C$628,"CASH_RATIO","FQ1 2014","FQ1 2014","Currency=INR","Period=FQ","BEST_FPERIOD_OVERRIDE=FQ","FILING_STATUS=OR","EQY_CONSOLIDATED=Y","Sort=A","Dates=H","DateFormat=P","Fill=—","Direction=H","UseDPDF=Y")</f>
        <v>#NAME?</v>
      </c>
      <c r="CT629" s="2" t="e">
        <f ca="1">_xll.BDH($C$628,"CUR_RATIO","FQ1 2014","FQ1 2014","Currency=INR","Period=FQ","BEST_FPERIOD_OVERRIDE=FQ","FILING_STATUS=OR","EQY_CONSOLIDATED=Y","Sort=A","Dates=H","DateFormat=P","Fill=—","Direction=H","UseDPDF=Y")</f>
        <v>#NAME?</v>
      </c>
      <c r="CU629" s="2" t="e">
        <f ca="1">_xll.BDH($C$628,"QUICK_RATIO","FQ1 2014","FQ1 2014","Currency=INR","Period=FQ","BEST_FPERIOD_OVERRIDE=FQ","FILING_STATUS=OR","EQY_CONSOLIDATED=Y","Sort=A","Dates=H","DateFormat=P","Fill=—","Direction=H","UseDPDF=Y")</f>
        <v>#NAME?</v>
      </c>
      <c r="CV629" s="2" t="e">
        <f ca="1">_xll.BDH($C$628,"ALTMAN_Z_SCORE","FQ1 2014","FQ1 2014","Currency=INR","Period=FQ","BEST_FPERIOD_OVERRIDE=FQ","FILING_STATUS=OR","EQY_CONSOLIDATED=Y","Sort=A","Dates=H","DateFormat=P","Fill=—","Direction=H","UseDPDF=Y")</f>
        <v>#NAME?</v>
      </c>
      <c r="CW629" s="4" t="e">
        <f ca="1">_xll.BDH($C$628,"ACCT_RCV_TURN","FQ1 2014","FQ1 2014","Currency=INR","Period=FQ","BEST_FPERIOD_OVERRIDE=FQ","FILING_STATUS=OR","EQY_CONSOLIDATED=Y","FA_ADJUSTED=GAAP","Sort=A","Dates=H","DateFormat=P","Fill=—","Direction=H","UseDPDF=Y")</f>
        <v>#NAME?</v>
      </c>
      <c r="CX629" s="2" t="e">
        <f ca="1">_xll.BDH($C$628,"ACCT_RCV_DAYS","FQ1 2014","FQ1 2014","Currency=INR","Period=FQ","BEST_FPERIOD_OVERRIDE=FQ","FILING_STATUS=OR","EQY_CONSOLIDATED=Y","FA_ADJUSTED=GAAP","Sort=A","Dates=H","DateFormat=P","Fill=—","Direction=H","UseDPDF=Y")</f>
        <v>#NAME?</v>
      </c>
      <c r="CY629" s="4" t="e">
        <f ca="1">_xll.BDH($C$628,"INVENT_TURN","FQ1 2014","FQ1 2014","Currency=INR","Period=FQ","BEST_FPERIOD_OVERRIDE=FQ","FILING_STATUS=OR","EQY_CONSOLIDATED=Y","FA_ADJUSTED=GAAP","Sort=A","Dates=H","DateFormat=P","Fill=—","Direction=H","UseDPDF=Y")</f>
        <v>#NAME?</v>
      </c>
      <c r="CZ629" s="2" t="e">
        <f ca="1">_xll.BDH($C$628,"INVENT_DAYS","FQ1 2014","FQ1 2014","Currency=INR","Period=FQ","BEST_FPERIOD_OVERRIDE=FQ","FILING_STATUS=OR","EQY_CONSOLIDATED=Y","FA_ADJUSTED=GAAP","Sort=A","Dates=H","DateFormat=P","Fill=—","Direction=H","UseDPDF=Y")</f>
        <v>#NAME?</v>
      </c>
      <c r="DA629" s="4" t="e">
        <f ca="1">_xll.BDH($C$628,"ACCOUNTS_PAYABLE_TURNOVER","FQ1 2014","FQ1 2014","Currency=INR","Period=FQ","BEST_FPERIOD_OVERRIDE=FQ","FILING_STATUS=OR","EQY_CONSOLIDATED=Y","FA_ADJUSTED=GAAP","Sort=A","Dates=H","DateFormat=P","Fill=—","Direction=H","UseDPDF=Y")</f>
        <v>#NAME?</v>
      </c>
      <c r="DB629" s="2" t="e">
        <f ca="1">_xll.BDH($C$628,"ACCOUNTS_PAYABLE_TURNOVER_DAYS","FQ1 2014","FQ1 2014","Currency=INR","Period=FQ","BEST_FPERIOD_OVERRIDE=FQ","FILING_STATUS=OR","EQY_CONSOLIDATED=Y","FA_ADJUSTED=GAAP","Sort=A","Dates=H","DateFormat=P","Fill=—","Direction=H","UseDPDF=Y")</f>
        <v>#NAME?</v>
      </c>
      <c r="DC629" s="4" t="e">
        <f ca="1">_xll.BDH($C$628,"CASH_CONVERSION_CYCLE","FQ1 2014","FQ1 2014","Currency=INR","Period=FQ","BEST_FPERIOD_OVERRIDE=FQ","FILING_STATUS=OR","EQY_CONSOLIDATED=Y","FA_ADJUSTED=GAAP","Sort=A","Dates=H","DateFormat=P","Fill=—","Direction=H","UseDPDF=Y")</f>
        <v>#NAME?</v>
      </c>
      <c r="DD629" s="4" t="e">
        <f ca="1">_xll.BDH($C$628,"INV_TO_CASH_DAYS","FQ1 2014","FQ1 2014","Currency=INR","Period=FQ","BEST_FPERIOD_OVERRIDE=FQ","FILING_STATUS=OR","EQY_CONSOLIDATED=Y","FA_ADJUSTED=GAAP","Sort=A","Dates=H","DateFormat=P","Fill=—","Direction=H","UseDPDF=Y")</f>
        <v>#NAME?</v>
      </c>
      <c r="DE629" s="5" t="e">
        <f ca="1">_xll.BDH($C$628,"BS_INVENTORIES","FQ1 2014","FQ1 2014","Currency=INR","Period=FQ","BEST_FPERIOD_OVERRIDE=FQ","FILING_STATUS=OR","EQY_CONSOLIDATED=Y","SCALING_FORMAT=MLN","Sort=A","Dates=H","DateFormat=P","Fill=—","Direction=H","UseDPDF=Y")</f>
        <v>#NAME?</v>
      </c>
      <c r="DF629" s="3" t="e">
        <f ca="1">_xll.BDH($C$628,"INVTRY_RAW_MATERIALS","FQ1 2014","FQ1 2014","Currency=INR","Period=FQ","BEST_FPERIOD_OVERRIDE=FQ","FILING_STATUS=OR","EQY_CONSOLIDATED=Y","SCALING_FORMAT=MLN","Sort=A","Dates=H","DateFormat=P","Fill=—","Direction=H","UseDPDF=Y")</f>
        <v>#NAME?</v>
      </c>
      <c r="DG629" s="3" t="e">
        <f ca="1">_xll.BDH($C$628,"INVTRY_IN_PROGRESS","FQ1 2014","FQ1 2014","Currency=INR","Period=FQ","BEST_FPERIOD_OVERRIDE=FQ","FILING_STATUS=OR","EQY_CONSOLIDATED=Y","SCALING_FORMAT=MLN","Sort=A","Dates=H","DateFormat=P","Fill=—","Direction=H","UseDPDF=Y")</f>
        <v>#NAME?</v>
      </c>
      <c r="DH629" s="3" t="e">
        <f ca="1">_xll.BDH($C$628,"INVTRY_FINISHED_GOODS","FQ1 2014","FQ1 2014","Currency=INR","Period=FQ","BEST_FPERIOD_OVERRIDE=FQ","FILING_STATUS=OR","EQY_CONSOLIDATED=Y","SCALING_FORMAT=MLN","Sort=A","Dates=H","DateFormat=P","Fill=—","Direction=H","UseDPDF=Y")</f>
        <v>#NAME?</v>
      </c>
      <c r="DI629" s="3" t="e">
        <f ca="1">_xll.BDH($C$628,"BS_OTHER_INV","FQ1 2014","FQ1 2014","Currency=INR","Period=FQ","BEST_FPERIOD_OVERRIDE=FQ","FILING_STATUS=OR","EQY_CONSOLIDATED=Y","SCALING_FORMAT=MLN","Sort=A","Dates=H","DateFormat=P","Fill=—","Direction=H","UseDPDF=Y")</f>
        <v>#NAME?</v>
      </c>
    </row>
    <row r="630" spans="1:113" x14ac:dyDescent="0.3">
      <c r="A630" s="6"/>
      <c r="B630" s="6"/>
      <c r="C630" s="6"/>
      <c r="D630" s="6"/>
      <c r="E630" t="s">
        <v>79</v>
      </c>
      <c r="F630" t="e">
        <f ca="1">_xll.BDH($C$628,"RETURN_COM_EQY","FQ2 2014","FQ2 2014","Currency=INR","Period=FQ","BEST_FPERIOD_OVERRIDE=FQ","FILING_STATUS=OR","EQY_CONSOLIDATED=Y","FA_ADJUSTED=GAAP","Sort=A","Dates=H","DateFormat=P","Fill=—","Direction=H","UseDPDF=Y")</f>
        <v>#NAME?</v>
      </c>
      <c r="G630" t="e">
        <f ca="1">_xll.BDH($C$628,"RETURN_ON_ASSET","FQ2 2014","FQ2 2014","Currency=INR","Period=FQ","BEST_FPERIOD_OVERRIDE=FQ","FILING_STATUS=OR","EQY_CONSOLIDATED=Y","FA_ADJUSTED=GAAP","Sort=A","Dates=H","DateFormat=P","Fill=—","Direction=H","UseDPDF=Y")</f>
        <v>#NAME?</v>
      </c>
      <c r="H630" t="e">
        <f ca="1">_xll.BDH($C$628,"RETURN_ON_CAP","FQ2 2014","FQ2 2014","Currency=INR","Period=FQ","BEST_FPERIOD_OVERRIDE=FQ","FILING_STATUS=OR","EQY_CONSOLIDATED=Y","FA_ADJUSTED=GAAP","Sort=A","Dates=H","DateFormat=P","Fill=—","Direction=H","UseDPDF=Y")</f>
        <v>#NAME?</v>
      </c>
      <c r="I630" t="e">
        <f ca="1">_xll.BDH($C$628,"RETURN_ON_INV_CAPITAL","FQ2 2014","FQ2 2014","Currency=INR","Period=FQ","BEST_FPERIOD_OVERRIDE=FQ","FILING_STATUS=OR","EQY_CONSOLIDATED=Y","FA_ADJUSTED=GAAP","Sort=A","Dates=H","DateFormat=P","Fill=—","Direction=H","UseDPDF=Y")</f>
        <v>#NAME?</v>
      </c>
      <c r="J630" t="e">
        <f ca="1">_xll.BDH($C$628,"EBITDA_TO_REVENUE","FQ2 2014","FQ2 2014","Currency=INR","Period=FQ","BEST_FPERIOD_OVERRIDE=FQ","FILING_STATUS=OR","EQY_CONSOLIDATED=Y","FA_ADJUSTED=GAAP","Sort=A","Dates=H","DateFormat=P","Fill=—","Direction=H","UseDPDF=Y")</f>
        <v>#NAME?</v>
      </c>
      <c r="K630" t="e">
        <f ca="1">_xll.BDH($C$628,"OPER_MARGIN","FQ2 2014","FQ2 2014","Currency=INR","Period=FQ","BEST_FPERIOD_OVERRIDE=FQ","FILING_STATUS=OR","EQY_CONSOLIDATED=Y","FA_ADJUSTED=GAAP","Sort=A","Dates=H","DateFormat=P","Fill=—","Direction=H","UseDPDF=Y")</f>
        <v>#NAME?</v>
      </c>
      <c r="L630" t="e">
        <f ca="1">_xll.BDH($C$628,"INCREMENTAL_OPERATING_MARGIN","FQ2 2014","FQ2 2014","Currency=INR","Period=FQ","BEST_FPERIOD_OVERRIDE=FQ","FILING_STATUS=OR","EQY_CONSOLIDATED=Y","FA_ADJUSTED=GAAP","Sort=A","Dates=H","DateFormat=P","Fill=—","Direction=H","UseDPDF=Y")</f>
        <v>#NAME?</v>
      </c>
      <c r="M630" t="e">
        <f ca="1">_xll.BDH($C$628,"PRETAX_INC_TO_NET_SALES","FQ2 2014","FQ2 2014","Currency=INR","Period=FQ","BEST_FPERIOD_OVERRIDE=FQ","FILING_STATUS=OR","EQY_CONSOLIDATED=Y","FA_ADJUSTED=GAAP","Sort=A","Dates=H","DateFormat=P","Fill=—","Direction=H","UseDPDF=Y")</f>
        <v>#NAME?</v>
      </c>
      <c r="N630" t="e">
        <f ca="1">_xll.BDH($C$628,"INC_BEF_XO_ITEMS_TO_NET_SALES","FQ2 2014","FQ2 2014","Currency=INR","Period=FQ","BEST_FPERIOD_OVERRIDE=FQ","FILING_STATUS=OR","EQY_CONSOLIDATED=Y","FA_ADJUSTED=GAAP","Sort=A","Dates=H","DateFormat=P","Fill=—","Direction=H","UseDPDF=Y")</f>
        <v>#NAME?</v>
      </c>
      <c r="O630" t="e">
        <f ca="1">_xll.BDH($C$628,"PROF_MARGIN","FQ2 2014","FQ2 2014","Currency=INR","Period=FQ","BEST_FPERIOD_OVERRIDE=FQ","FILING_STATUS=OR","EQY_CONSOLIDATED=Y","FA_ADJUSTED=GAAP","Sort=A","Dates=H","DateFormat=P","Fill=—","Direction=H","UseDPDF=Y")</f>
        <v>#NAME?</v>
      </c>
      <c r="P630" t="e">
        <f ca="1">_xll.BDH($C$628,"NET_INCOME_TO_COMMON_MARGIN","FQ2 2014","FQ2 2014","Currency=INR","Period=FQ","BEST_FPERIOD_OVERRIDE=FQ","FILING_STATUS=OR","EQY_CONSOLIDATED=Y","FA_ADJUSTED=GAAP","Sort=A","Dates=H","DateFormat=P","Fill=—","Direction=H","UseDPDF=Y")</f>
        <v>#NAME?</v>
      </c>
      <c r="Q630" t="e">
        <f ca="1">_xll.BDH($C$628,"EFF_TAX_RATE","FQ2 2014","FQ2 2014","Currency=INR","Period=FQ","BEST_FPERIOD_OVERRIDE=FQ","FILING_STATUS=OR","EQY_CONSOLIDATED=Y","FA_ADJUSTED=GAAP","Sort=A","Dates=H","DateFormat=P","Fill=—","Direction=H","UseDPDF=Y")</f>
        <v>#NAME?</v>
      </c>
      <c r="R630" t="e">
        <f ca="1">_xll.BDH($C$628,"DVD_PAYOUT_RATIO","FQ2 2014","FQ2 2014","Currency=INR","Period=FQ","BEST_FPERIOD_OVERRIDE=FQ","FILING_STATUS=OR","EQY_CONSOLIDATED=Y","FA_ADJUSTED=GAAP","Sort=A","Dates=H","DateFormat=P","Fill=—","Direction=H","UseDPDF=Y")</f>
        <v>#NAME?</v>
      </c>
      <c r="S630" t="e">
        <f ca="1">_xll.BDH($C$628,"SUSTAIN_GROWTH_RT","FQ2 2014","FQ2 2014","Currency=INR","Period=FQ","BEST_FPERIOD_OVERRIDE=FQ","FILING_STATUS=OR","EQY_CONSOLIDATED=Y","FA_ADJUSTED=GAAP","Sort=A","Dates=H","DateFormat=P","Fill=—","Direction=H","UseDPDF=Y")</f>
        <v>#NAME?</v>
      </c>
      <c r="T630" s="2" t="e">
        <f ca="1">_xll.BDH($C$628,"SALES_GROWTH","FQ2 2014","FQ2 2014","Currency=INR","Period=FQ","BEST_FPERIOD_OVERRIDE=FQ","FILING_STATUS=OR","EQY_CONSOLIDATED=Y","FA_ADJUSTED=GAAP","Sort=A","Dates=H","DateFormat=P","Fill=—","Direction=H","UseDPDF=Y")</f>
        <v>#NAME?</v>
      </c>
      <c r="U630" s="2" t="e">
        <f ca="1">_xll.BDH($C$628,"EBITDA_GROWTH","FQ2 2014","FQ2 2014","Currency=INR","Period=FQ","BEST_FPERIOD_OVERRIDE=FQ","FILING_STATUS=OR","EQY_CONSOLIDATED=Y","FA_ADJUSTED=GAAP","Sort=A","Dates=H","DateFormat=P","Fill=—","Direction=H","UseDPDF=Y")</f>
        <v>#NAME?</v>
      </c>
      <c r="V630" s="2" t="e">
        <f ca="1">_xll.BDH($C$628,"OPER_INC_GROWTH","FQ2 2014","FQ2 2014","Currency=INR","Period=FQ","BEST_FPERIOD_OVERRIDE=FQ","FILING_STATUS=OR","EQY_CONSOLIDATED=Y","FA_ADJUSTED=GAAP","Sort=A","Dates=H","DateFormat=P","Fill=—","Direction=H","UseDPDF=Y")</f>
        <v>#NAME?</v>
      </c>
      <c r="W630" s="2" t="e">
        <f ca="1">_xll.BDH($C$628,"EARN_FOR_COM_GROWTH","FQ2 2014","FQ2 2014","Currency=INR","Period=FQ","BEST_FPERIOD_OVERRIDE=FQ","FILING_STATUS=OR","EQY_CONSOLIDATED=Y","FA_ADJUSTED=GAAP","Sort=A","Dates=H","DateFormat=P","Fill=—","Direction=H","UseDPDF=Y")</f>
        <v>#NAME?</v>
      </c>
      <c r="X630" s="2" t="e">
        <f ca="1">_xll.BDH($C$628,"DILUTED_EPS_AFT_XO_ITEMS_GROWTH","FQ2 2014","FQ2 2014","Currency=INR","Period=FQ","BEST_FPERIOD_OVERRIDE=FQ","FILING_STATUS=OR","EQY_CONSOLIDATED=Y","FA_ADJUSTED=GAAP","Sort=A","Dates=H","DateFormat=P","Fill=—","Direction=H","UseDPDF=Y")</f>
        <v>#NAME?</v>
      </c>
      <c r="Y630" s="2" t="e">
        <f ca="1">_xll.BDH($C$628,"DIVIDEND_PER_SHARE_1_YEAR_GROWTH","FQ2 2014","FQ2 2014","Currency=INR","Period=FQ","BEST_FPERIOD_OVERRIDE=FQ","FILING_STATUS=OR","EQY_CONSOLIDATED=Y","Sort=A","Dates=H","DateFormat=P","Fill=—","Direction=H","UseDPDF=Y")</f>
        <v>#NAME?</v>
      </c>
      <c r="Z630" s="2" t="e">
        <f ca="1">_xll.BDH($C$628,"ACCOUNTS_RECEIVABLE_GROWTH","FQ2 2014","FQ2 2014","Currency=INR","Period=FQ","BEST_FPERIOD_OVERRIDE=FQ","FILING_STATUS=OR","EQY_CONSOLIDATED=Y","Sort=A","Dates=H","DateFormat=P","Fill=—","Direction=H","UseDPDF=Y")</f>
        <v>#NAME?</v>
      </c>
      <c r="AA630" s="2" t="e">
        <f ca="1">_xll.BDH($C$628,"INVENTORY_GROWTH","FQ2 2014","FQ2 2014","Currency=INR","Period=FQ","BEST_FPERIOD_OVERRIDE=FQ","FILING_STATUS=OR","EQY_CONSOLIDATED=Y","Sort=A","Dates=H","DateFormat=P","Fill=—","Direction=H","UseDPDF=Y")</f>
        <v>#NAME?</v>
      </c>
      <c r="AB630" s="2" t="e">
        <f ca="1">_xll.BDH($C$628,"NET_FIXED_ASSETS_1_YEAR_GROWTH","FQ2 2014","FQ2 2014","Currency=INR","Period=FQ","BEST_FPERIOD_OVERRIDE=FQ","FILING_STATUS=OR","EQY_CONSOLIDATED=Y","Sort=A","Dates=H","DateFormat=P","Fill=—","Direction=H","UseDPDF=Y")</f>
        <v>#NAME?</v>
      </c>
      <c r="AC630" s="2" t="e">
        <f ca="1">_xll.BDH($C$628,"ASSET_GROWTH","FQ2 2014","FQ2 2014","Currency=INR","Period=FQ","BEST_FPERIOD_OVERRIDE=FQ","FILING_STATUS=OR","EQY_CONSOLIDATED=Y","Sort=A","Dates=H","DateFormat=P","Fill=—","Direction=H","UseDPDF=Y")</f>
        <v>#NAME?</v>
      </c>
      <c r="AD630" s="2" t="e">
        <f ca="1">_xll.BDH($C$628,"MODIFIED_WORK_CAP_GROWTH","FQ2 2014","FQ2 2014","Currency=INR","Period=FQ","BEST_FPERIOD_OVERRIDE=FQ","FILING_STATUS=OR","EQY_CONSOLIDATED=Y","Sort=A","Dates=H","DateFormat=P","Fill=—","Direction=H","UseDPDF=Y")</f>
        <v>#NAME?</v>
      </c>
      <c r="AE630" s="2" t="e">
        <f ca="1">_xll.BDH($C$628,"WORK_CAP_GROWTH","FQ2 2014","FQ2 2014","Currency=INR","Period=FQ","BEST_FPERIOD_OVERRIDE=FQ","FILING_STATUS=OR","EQY_CONSOLIDATED=Y","Sort=A","Dates=H","DateFormat=P","Fill=—","Direction=H","UseDPDF=Y")</f>
        <v>#NAME?</v>
      </c>
      <c r="AF630" s="2" t="e">
        <f ca="1">_xll.BDH($C$628,"ACCOUNTS_PAYABLE_GROWTH_1YR","FQ2 2014","FQ2 2014","Currency=INR","Period=FQ","BEST_FPERIOD_OVERRIDE=FQ","FILING_STATUS=OR","EQY_CONSOLIDATED=Y","Sort=A","Dates=H","DateFormat=P","Fill=—","Direction=H","UseDPDF=Y")</f>
        <v>#NAME?</v>
      </c>
      <c r="AG630" s="2" t="e">
        <f ca="1">_xll.BDH($C$628,"SHORT_TERM_DEBT_1_YEAR_GROWTH","FQ2 2014","FQ2 2014","Currency=INR","Period=FQ","BEST_FPERIOD_OVERRIDE=FQ","FILING_STATUS=OR","EQY_CONSOLIDATED=Y","Sort=A","Dates=H","DateFormat=P","Fill=—","Direction=H","UseDPDF=Y")</f>
        <v>#NAME?</v>
      </c>
      <c r="AH630" s="2" t="e">
        <f ca="1">_xll.BDH($C$628,"TOTAL_DEBT_1_YEAR_GROWTH","FQ2 2014","FQ2 2014","Currency=INR","Period=FQ","BEST_FPERIOD_OVERRIDE=FQ","FILING_STATUS=OR","EQY_CONSOLIDATED=Y","Sort=A","Dates=H","DateFormat=P","Fill=—","Direction=H","UseDPDF=Y")</f>
        <v>#NAME?</v>
      </c>
      <c r="AI630" s="2" t="e">
        <f ca="1">_xll.BDH($C$628,"TOTAL_EQUITY_1_YEAR_GROWTH","FQ2 2014","FQ2 2014","Currency=INR","Period=FQ","BEST_FPERIOD_OVERRIDE=FQ","FILING_STATUS=OR","EQY_CONSOLIDATED=Y","Sort=A","Dates=H","DateFormat=P","Fill=—","Direction=H","UseDPDF=Y")</f>
        <v>#NAME?</v>
      </c>
      <c r="AJ630" s="2" t="e">
        <f ca="1">_xll.BDH($C$628,"GROWTH_IN_CAP","FQ2 2014","FQ2 2014","Currency=INR","Period=FQ","BEST_FPERIOD_OVERRIDE=FQ","FILING_STATUS=OR","EQY_CONSOLIDATED=Y","Sort=A","Dates=H","DateFormat=P","Fill=—","Direction=H","UseDPDF=Y")</f>
        <v>#NAME?</v>
      </c>
      <c r="AK630" s="2" t="e">
        <f ca="1">_xll.BDH($C$628,"BVPS_GROWTH","FQ2 2014","FQ2 2014","Currency=INR","Period=FQ","BEST_FPERIOD_OVERRIDE=FQ","FILING_STATUS=OR","EQY_CONSOLIDATED=Y","Sort=A","Dates=H","DateFormat=P","Fill=—","Direction=H","UseDPDF=Y")</f>
        <v>#NAME?</v>
      </c>
      <c r="AL630" s="2" t="e">
        <f ca="1">_xll.BDH($C$628,"CASH_FLOW_GROWTH","FQ2 2014","FQ2 2014","Currency=INR","Period=FQ","BEST_FPERIOD_OVERRIDE=FQ","FILING_STATUS=OR","EQY_CONSOLIDATED=Y","Sort=A","Dates=H","DateFormat=P","Fill=—","Direction=H","UseDPDF=Y")</f>
        <v>#NAME?</v>
      </c>
      <c r="AM630" s="2" t="e">
        <f ca="1">_xll.BDH($C$628,"GEO_GROW_NET_SALES","FQ2 2014","FQ2 2014","Currency=INR","Period=FQ","BEST_FPERIOD_OVERRIDE=FQ","FILING_STATUS=OR","EQY_CONSOLIDATED=Y","FA_ADJUSTED=GAAP","Sort=A","Dates=H","DateFormat=P","Fill=—","Direction=H","UseDPDF=Y")</f>
        <v>#NAME?</v>
      </c>
      <c r="AN630" s="2" t="e">
        <f ca="1">_xll.BDH($C$628,"GEO_GROW_EBITDA","FQ2 2014","FQ2 2014","Currency=INR","Period=FQ","BEST_FPERIOD_OVERRIDE=FQ","FILING_STATUS=OR","EQY_CONSOLIDATED=Y","FA_ADJUSTED=GAAP","Sort=A","Dates=H","DateFormat=P","Fill=—","Direction=H","UseDPDF=Y")</f>
        <v>#NAME?</v>
      </c>
      <c r="AO630" s="2" t="e">
        <f ca="1">_xll.BDH($C$628,"GEO_GROW_OPER_INC","FQ2 2014","FQ2 2014","Currency=INR","Period=FQ","BEST_FPERIOD_OVERRIDE=FQ","FILING_STATUS=OR","EQY_CONSOLIDATED=Y","FA_ADJUSTED=GAAP","Sort=A","Dates=H","DateFormat=P","Fill=—","Direction=H","UseDPDF=Y")</f>
        <v>#NAME?</v>
      </c>
      <c r="AP630" s="2" t="e">
        <f ca="1">_xll.BDH($C$628,"NET_INCOME_TO_COMMON_5_YR_GROWTH","FQ2 2014","FQ2 2014","Currency=INR","Period=FQ","BEST_FPERIOD_OVERRIDE=FQ","FILING_STATUS=OR","EQY_CONSOLIDATED=Y","FA_ADJUSTED=GAAP","Sort=A","Dates=H","DateFormat=P","Fill=—","Direction=H","UseDPDF=Y")</f>
        <v>#NAME?</v>
      </c>
      <c r="AQ630" s="2" t="e">
        <f ca="1">_xll.BDH($C$628,"5Y_GEO_GROWTH_DILUTED_EPS","FQ2 2014","FQ2 2014","Currency=INR","Period=FQ","BEST_FPERIOD_OVERRIDE=FQ","FILING_STATUS=OR","EQY_CONSOLIDATED=Y","FA_ADJUSTED=GAAP","Sort=A","Dates=H","DateFormat=P","Fill=—","Direction=H","UseDPDF=Y")</f>
        <v>#NAME?</v>
      </c>
      <c r="AR630" s="2" t="e">
        <f ca="1">_xll.BDH($C$628,"GEO_GROW_DVD_PER_SH","FQ2 2014","FQ2 2014","Currency=INR","Period=FQ","BEST_FPERIOD_OVERRIDE=FQ","FILING_STATUS=OR","EQY_CONSOLIDATED=Y","Sort=A","Dates=H","DateFormat=P","Fill=—","Direction=H","UseDPDF=Y")</f>
        <v>#NAME?</v>
      </c>
      <c r="AS630" s="2" t="e">
        <f ca="1">_xll.BDH($C$628,"ACCOUNTS_RECEIVABLE_5_YR_GROWTH","FQ2 2014","FQ2 2014","Currency=INR","Period=FQ","BEST_FPERIOD_OVERRIDE=FQ","FILING_STATUS=OR","EQY_CONSOLIDATED=Y","Sort=A","Dates=H","DateFormat=P","Fill=—","Direction=H","UseDPDF=Y")</f>
        <v>#NAME?</v>
      </c>
      <c r="AT630" s="2" t="e">
        <f ca="1">_xll.BDH($C$628,"INVENTORY_5_YEAR_GROWTH","FQ2 2014","FQ2 2014","Currency=INR","Period=FQ","BEST_FPERIOD_OVERRIDE=FQ","FILING_STATUS=OR","EQY_CONSOLIDATED=Y","Sort=A","Dates=H","DateFormat=P","Fill=—","Direction=H","UseDPDF=Y")</f>
        <v>#NAME?</v>
      </c>
      <c r="AU630" s="2" t="e">
        <f ca="1">_xll.BDH($C$628,"NET_FIXED_ASSETS_5_YEAR_GROWTH","FQ2 2014","FQ2 2014","Currency=INR","Period=FQ","BEST_FPERIOD_OVERRIDE=FQ","FILING_STATUS=OR","EQY_CONSOLIDATED=Y","Sort=A","Dates=H","DateFormat=P","Fill=—","Direction=H","UseDPDF=Y")</f>
        <v>#NAME?</v>
      </c>
      <c r="AV630" s="2" t="e">
        <f ca="1">_xll.BDH($C$628,"GEO_GROW_TOT_ASSET","FQ2 2014","FQ2 2014","Currency=INR","Period=FQ","BEST_FPERIOD_OVERRIDE=FQ","FILING_STATUS=OR","EQY_CONSOLIDATED=Y","Sort=A","Dates=H","DateFormat=P","Fill=—","Direction=H","UseDPDF=Y")</f>
        <v>#NAME?</v>
      </c>
      <c r="AW630" s="2" t="e">
        <f ca="1">_xll.BDH($C$628,"MODIFIED_WORKING_CPTL_5YR_GRWTH","FQ2 2014","FQ2 2014","Currency=INR","Period=FQ","BEST_FPERIOD_OVERRIDE=FQ","FILING_STATUS=OR","EQY_CONSOLIDATED=Y","Sort=A","Dates=H","DateFormat=P","Fill=—","Direction=H","UseDPDF=Y")</f>
        <v>#NAME?</v>
      </c>
      <c r="AX630" s="2" t="e">
        <f ca="1">_xll.BDH($C$628,"WORKING_CAPITAL_5_YEAR_GROWTH","FQ2 2014","FQ2 2014","Currency=INR","Period=FQ","BEST_FPERIOD_OVERRIDE=FQ","FILING_STATUS=OR","EQY_CONSOLIDATED=Y","Sort=A","Dates=H","DateFormat=P","Fill=—","Direction=H","UseDPDF=Y")</f>
        <v>#NAME?</v>
      </c>
      <c r="AY630" s="2" t="e">
        <f ca="1">_xll.BDH($C$628,"ACCOUNTS_PAYABLE_5_YEAR_GROWTH","FQ2 2014","FQ2 2014","Currency=INR","Period=FQ","BEST_FPERIOD_OVERRIDE=FQ","FILING_STATUS=OR","EQY_CONSOLIDATED=Y","Sort=A","Dates=H","DateFormat=P","Fill=—","Direction=H","UseDPDF=Y")</f>
        <v>#NAME?</v>
      </c>
      <c r="AZ630" s="2" t="e">
        <f ca="1">_xll.BDH($C$628,"SHORT_TERM_DEBT_5_YEAR_GROWTH","FQ2 2014","FQ2 2014","Currency=INR","Period=FQ","BEST_FPERIOD_OVERRIDE=FQ","FILING_STATUS=OR","EQY_CONSOLIDATED=Y","Sort=A","Dates=H","DateFormat=P","Fill=—","Direction=H","UseDPDF=Y")</f>
        <v>#NAME?</v>
      </c>
      <c r="BA630" s="2" t="e">
        <f ca="1">_xll.BDH($C$628,"TOTAL_DEBT_5_YEAR_GROWTH","FQ2 2014","FQ2 2014","Currency=INR","Period=FQ","BEST_FPERIOD_OVERRIDE=FQ","FILING_STATUS=OR","EQY_CONSOLIDATED=Y","Sort=A","Dates=H","DateFormat=P","Fill=—","Direction=H","UseDPDF=Y")</f>
        <v>#NAME?</v>
      </c>
      <c r="BB630" s="2" t="e">
        <f ca="1">_xll.BDH($C$628,"GEO_GROW_TOT_SHRHLDR_EQY","FQ2 2014","FQ2 2014","Currency=INR","Period=FQ","BEST_FPERIOD_OVERRIDE=FQ","FILING_STATUS=OR","EQY_CONSOLIDATED=Y","Sort=A","Dates=H","DateFormat=P","Fill=—","Direction=H","UseDPDF=Y")</f>
        <v>#NAME?</v>
      </c>
      <c r="BC630" s="2" t="e">
        <f ca="1">_xll.BDH($C$628,"TOTAL_CAPITAL_5_YEAR_GROWTH","FQ2 2014","FQ2 2014","Currency=INR","Period=FQ","BEST_FPERIOD_OVERRIDE=FQ","FILING_STATUS=OR","EQY_CONSOLIDATED=Y","Sort=A","Dates=H","DateFormat=P","Fill=—","Direction=H","UseDPDF=Y")</f>
        <v>#NAME?</v>
      </c>
      <c r="BD630" s="2" t="e">
        <f ca="1">_xll.BDH($C$628,"GEO_GROW_BOOK_VAL","FQ2 2014","FQ2 2014","Currency=INR","Period=FQ","BEST_FPERIOD_OVERRIDE=FQ","FILING_STATUS=OR","EQY_CONSOLIDATED=Y","Sort=A","Dates=H","DateFormat=P","Fill=—","Direction=H","UseDPDF=Y")</f>
        <v>#NAME?</v>
      </c>
      <c r="BE630" s="2" t="e">
        <f ca="1">_xll.BDH($C$628,"GEO_GROW_CASH_OPER_ACT","FQ2 2014","FQ2 2014","Currency=INR","Period=FQ","BEST_FPERIOD_OVERRIDE=FQ","FILING_STATUS=OR","EQY_CONSOLIDATED=Y","Sort=A","Dates=H","DateFormat=P","Fill=—","Direction=H","UseDPDF=Y")</f>
        <v>#NAME?</v>
      </c>
      <c r="BF630" s="2" t="e">
        <f ca="1">_xll.BDH($C$628,"REVENUE_SEQUENTIAL_GROWTH","FQ2 2014","FQ2 2014","Currency=INR","Period=FQ","BEST_FPERIOD_OVERRIDE=FQ","FILING_STATUS=OR","EQY_CONSOLIDATED=Y","FA_ADJUSTED=GAAP","Sort=A","Dates=H","DateFormat=P","Fill=—","Direction=H","UseDPDF=Y")</f>
        <v>#NAME?</v>
      </c>
      <c r="BG630" s="2" t="e">
        <f ca="1">_xll.BDH($C$628,"EBITDA_SEQUENTIAL_GROWTH","FQ2 2014","FQ2 2014","Currency=INR","Period=FQ","BEST_FPERIOD_OVERRIDE=FQ","FILING_STATUS=OR","EQY_CONSOLIDATED=Y","FA_ADJUSTED=GAAP","Sort=A","Dates=H","DateFormat=P","Fill=—","Direction=H","UseDPDF=Y")</f>
        <v>#NAME?</v>
      </c>
      <c r="BH630" s="2" t="e">
        <f ca="1">_xll.BDH($C$628,"OPERATING_INCOME_SEQ_GROWTH","FQ2 2014","FQ2 2014","Currency=INR","Period=FQ","BEST_FPERIOD_OVERRIDE=FQ","FILING_STATUS=OR","EQY_CONSOLIDATED=Y","FA_ADJUSTED=GAAP","Sort=A","Dates=H","DateFormat=P","Fill=—","Direction=H","UseDPDF=Y")</f>
        <v>#NAME?</v>
      </c>
      <c r="BI630" s="2" t="e">
        <f ca="1">_xll.BDH($C$628,"NET_INCOME_TO_COMMON_SEQ_GROWTH","FQ2 2014","FQ2 2014","Currency=INR","Period=FQ","BEST_FPERIOD_OVERRIDE=FQ","FILING_STATUS=OR","EQY_CONSOLIDATED=Y","FA_ADJUSTED=GAAP","Sort=A","Dates=H","DateFormat=P","Fill=—","Direction=H","UseDPDF=Y")</f>
        <v>#NAME?</v>
      </c>
      <c r="BJ630" s="2" t="e">
        <f ca="1">_xll.BDH($C$628,"EPS_DILUTED_SEQUENTIAL_GROWTH","FQ2 2014","FQ2 2014","Currency=INR","Period=FQ","BEST_FPERIOD_OVERRIDE=FQ","FILING_STATUS=OR","EQY_CONSOLIDATED=Y","FA_ADJUSTED=GAAP","Sort=A","Dates=H","DateFormat=P","Fill=—","Direction=H","UseDPDF=Y")</f>
        <v>#NAME?</v>
      </c>
      <c r="BK630" s="2" t="e">
        <f ca="1">_xll.BDH($C$628,"DPS_SEQUENTIAL_GROWTH","FQ2 2014","FQ2 2014","Currency=INR","Period=FQ","BEST_FPERIOD_OVERRIDE=FQ","FILING_STATUS=OR","EQY_CONSOLIDATED=Y","Sort=A","Dates=H","DateFormat=P","Fill=—","Direction=H","UseDPDF=Y")</f>
        <v>#NAME?</v>
      </c>
      <c r="BL630" s="2" t="e">
        <f ca="1">_xll.BDH($C$628,"ACCOUNTS_RECEIVABLE_SEQ_GROWTH","FQ2 2014","FQ2 2014","Currency=INR","Period=FQ","BEST_FPERIOD_OVERRIDE=FQ","FILING_STATUS=OR","EQY_CONSOLIDATED=Y","Sort=A","Dates=H","DateFormat=P","Fill=—","Direction=H","UseDPDF=Y")</f>
        <v>#NAME?</v>
      </c>
      <c r="BM630" s="2" t="e">
        <f ca="1">_xll.BDH($C$628,"INVENTORY_SEQUENTIAL_GROWTH","FQ2 2014","FQ2 2014","Currency=INR","Period=FQ","BEST_FPERIOD_OVERRIDE=FQ","FILING_STATUS=OR","EQY_CONSOLIDATED=Y","Sort=A","Dates=H","DateFormat=P","Fill=—","Direction=H","UseDPDF=Y")</f>
        <v>#NAME?</v>
      </c>
      <c r="BN630" s="2" t="e">
        <f ca="1">_xll.BDH($C$628,"FIXED_ASSETS_SEQUENTIAL_GROWTH","FQ2 2014","FQ2 2014","Currency=INR","Period=FQ","BEST_FPERIOD_OVERRIDE=FQ","FILING_STATUS=OR","EQY_CONSOLIDATED=Y","Sort=A","Dates=H","DateFormat=P","Fill=—","Direction=H","UseDPDF=Y")</f>
        <v>#NAME?</v>
      </c>
      <c r="BO630" s="2" t="e">
        <f ca="1">_xll.BDH($C$628,"TOTAL_ASSETS_SEQUENTIAL_GROWTH","FQ2 2014","FQ2 2014","Currency=INR","Period=FQ","BEST_FPERIOD_OVERRIDE=FQ","FILING_STATUS=OR","EQY_CONSOLIDATED=Y","Sort=A","Dates=H","DateFormat=P","Fill=—","Direction=H","UseDPDF=Y")</f>
        <v>#NAME?</v>
      </c>
      <c r="BP630" s="2" t="e">
        <f ca="1">_xll.BDH($C$628,"MODIFIED_WORKING_CPTL_SEQ_GRWTH","FQ2 2014","FQ2 2014","Currency=INR","Period=FQ","BEST_FPERIOD_OVERRIDE=FQ","FILING_STATUS=OR","EQY_CONSOLIDATED=Y","Sort=A","Dates=H","DateFormat=P","Fill=—","Direction=H","UseDPDF=Y")</f>
        <v>#NAME?</v>
      </c>
      <c r="BQ630" s="2" t="e">
        <f ca="1">_xll.BDH($C$628,"WORKING_CAPITAL_SEQ_GROWTH","FQ2 2014","FQ2 2014","Currency=INR","Period=FQ","BEST_FPERIOD_OVERRIDE=FQ","FILING_STATUS=OR","EQY_CONSOLIDATED=Y","Sort=A","Dates=H","DateFormat=P","Fill=—","Direction=H","UseDPDF=Y")</f>
        <v>#NAME?</v>
      </c>
      <c r="BR630" s="2" t="e">
        <f ca="1">_xll.BDH($C$628,"ACCOUNTS_PAYABLE_SEQ_GROWTH","FQ2 2014","FQ2 2014","Currency=INR","Period=FQ","BEST_FPERIOD_OVERRIDE=FQ","FILING_STATUS=OR","EQY_CONSOLIDATED=Y","Sort=A","Dates=H","DateFormat=P","Fill=—","Direction=H","UseDPDF=Y")</f>
        <v>#NAME?</v>
      </c>
      <c r="BS630" s="2" t="e">
        <f ca="1">_xll.BDH($C$628,"ST_DEBT_SEQUENTIAL_GROWTH","FQ2 2014","FQ2 2014","Currency=INR","Period=FQ","BEST_FPERIOD_OVERRIDE=FQ","FILING_STATUS=OR","EQY_CONSOLIDATED=Y","Sort=A","Dates=H","DateFormat=P","Fill=—","Direction=H","UseDPDF=Y")</f>
        <v>#NAME?</v>
      </c>
      <c r="BT630" s="2" t="e">
        <f ca="1">_xll.BDH($C$628,"TOTAL_DEBT_SEQUENTIAL_GROWTH","FQ2 2014","FQ2 2014","Currency=INR","Period=FQ","BEST_FPERIOD_OVERRIDE=FQ","FILING_STATUS=OR","EQY_CONSOLIDATED=Y","Sort=A","Dates=H","DateFormat=P","Fill=—","Direction=H","UseDPDF=Y")</f>
        <v>#NAME?</v>
      </c>
      <c r="BU630" s="2" t="e">
        <f ca="1">_xll.BDH($C$628,"TOTAL_EQUITY_SEQUENTIAL_GROWTH","FQ2 2014","FQ2 2014","Currency=INR","Period=FQ","BEST_FPERIOD_OVERRIDE=FQ","FILING_STATUS=OR","EQY_CONSOLIDATED=Y","Sort=A","Dates=H","DateFormat=P","Fill=—","Direction=H","UseDPDF=Y")</f>
        <v>#NAME?</v>
      </c>
      <c r="BV630" s="2" t="e">
        <f ca="1">_xll.BDH($C$628,"TOTAL_CAPITAL_SEQUENTIAL_GROWTH","FQ2 2014","FQ2 2014","Currency=INR","Period=FQ","BEST_FPERIOD_OVERRIDE=FQ","FILING_STATUS=OR","EQY_CONSOLIDATED=Y","Sort=A","Dates=H","DateFormat=P","Fill=—","Direction=H","UseDPDF=Y")</f>
        <v>#NAME?</v>
      </c>
      <c r="BW630" s="2" t="e">
        <f ca="1">_xll.BDH($C$628,"BPS_SEQUENTIAL_GROWTH","FQ2 2014","FQ2 2014","Currency=INR","Period=FQ","BEST_FPERIOD_OVERRIDE=FQ","FILING_STATUS=OR","EQY_CONSOLIDATED=Y","Sort=A","Dates=H","DateFormat=P","Fill=—","Direction=H","UseDPDF=Y")</f>
        <v>#NAME?</v>
      </c>
      <c r="BX630" s="2" t="e">
        <f ca="1">_xll.BDH($C$628,"CFO_SEQUENTIAL_GROWTH","FQ2 2014","FQ2 2014","Currency=INR","Period=FQ","BEST_FPERIOD_OVERRIDE=FQ","FILING_STATUS=OR","EQY_CONSOLIDATED=Y","Sort=A","Dates=H","DateFormat=P","Fill=—","Direction=H","UseDPDF=Y")</f>
        <v>#NAME?</v>
      </c>
      <c r="BY630" s="3" t="e">
        <f ca="1">_xll.BDH($C$628,"SHORT_AND_LONG_TERM_DEBT","FQ2 2014","FQ2 2014","Currency=INR","Period=FQ","BEST_FPERIOD_OVERRIDE=FQ","FILING_STATUS=OR","EQY_CONSOLIDATED=Y","SCALING_FORMAT=MLN","Sort=A","Dates=H","DateFormat=P","Fill=—","Direction=H","UseDPDF=Y")</f>
        <v>#NAME?</v>
      </c>
      <c r="BZ630" s="3" t="e">
        <f ca="1">_xll.BDH($C$628,"BS_ST_BORROW","FQ2 2014","FQ2 2014","Currency=INR","Period=FQ","BEST_FPERIOD_OVERRIDE=FQ","FILING_STATUS=OR","EQY_CONSOLIDATED=Y","SCALING_FORMAT=MLN","Sort=A","Dates=H","DateFormat=P","Fill=—","Direction=H","UseDPDF=Y")</f>
        <v>#NAME?</v>
      </c>
      <c r="CA630" s="3" t="e">
        <f ca="1">_xll.BDH($C$628,"BS_LT_BORROW","FQ2 2014","FQ2 2014","Currency=INR","Period=FQ","BEST_FPERIOD_OVERRIDE=FQ","FILING_STATUS=OR","EQY_CONSOLIDATED=Y","SCALING_FORMAT=MLN","Sort=A","Dates=H","DateFormat=P","Fill=—","Direction=H","UseDPDF=Y")</f>
        <v>#NAME?</v>
      </c>
      <c r="CB630" s="2" t="e">
        <f ca="1">_xll.BDH($C$628,"TOT_DEBT_TO_EBITDA","FQ2 2014","FQ2 2014","Currency=INR","Period=FQ","BEST_FPERIOD_OVERRIDE=FQ","FILING_STATUS=OR","EQY_CONSOLIDATED=Y","FA_ADJUSTED=GAAP","Sort=A","Dates=H","DateFormat=P","Fill=—","Direction=H","UseDPDF=Y")</f>
        <v>#NAME?</v>
      </c>
      <c r="CC630" s="2" t="e">
        <f ca="1">_xll.BDH($C$628,"NET_DEBT_TO_EBITDA","FQ2 2014","FQ2 2014","Currency=INR","Period=FQ","BEST_FPERIOD_OVERRIDE=FQ","FILING_STATUS=OR","EQY_CONSOLIDATED=Y","FA_ADJUSTED=GAAP","Sort=A","Dates=H","DateFormat=P","Fill=—","Direction=H","UseDPDF=Y")</f>
        <v>#NAME?</v>
      </c>
      <c r="CD630" s="2" t="e">
        <f ca="1">_xll.BDH($C$628,"TOTAL_DEBT_TO_EBIT","FQ2 2014","FQ2 2014","Currency=INR","Period=FQ","BEST_FPERIOD_OVERRIDE=FQ","FILING_STATUS=OR","EQY_CONSOLIDATED=Y","FA_ADJUSTED=GAAP","Sort=A","Dates=H","DateFormat=P","Fill=—","Direction=H","UseDPDF=Y")</f>
        <v>#NAME?</v>
      </c>
      <c r="CE630" s="2" t="e">
        <f ca="1">_xll.BDH($C$628,"NET_DEBT_TO_EBIT","FQ2 2014","FQ2 2014","Currency=INR","Period=FQ","BEST_FPERIOD_OVERRIDE=FQ","FILING_STATUS=OR","EQY_CONSOLIDATED=Y","FA_ADJUSTED=GAAP","Sort=A","Dates=H","DateFormat=P","Fill=—","Direction=H","UseDPDF=Y")</f>
        <v>#NAME?</v>
      </c>
      <c r="CF630" s="2" t="e">
        <f ca="1">_xll.BDH($C$628,"EBITDA_TO_INTEREST_EXPN","FQ2 2014","FQ2 2014","Currency=INR","Period=FQ","BEST_FPERIOD_OVERRIDE=FQ","FILING_STATUS=OR","EQY_CONSOLIDATED=Y","FA_ADJUSTED=GAAP","Sort=A","Dates=H","DateFormat=P","Fill=—","Direction=H","UseDPDF=Y")</f>
        <v>#NAME?</v>
      </c>
      <c r="CG630" s="2" t="e">
        <f ca="1">_xll.BDH($C$628,"COM_EQY_TO_TOT_ASSET","FQ2 2014","FQ2 2014","Currency=INR","Period=FQ","BEST_FPERIOD_OVERRIDE=FQ","FILING_STATUS=OR","EQY_CONSOLIDATED=Y","Sort=A","Dates=H","DateFormat=P","Fill=—","Direction=H","UseDPDF=Y")</f>
        <v>#NAME?</v>
      </c>
      <c r="CH630" s="2" t="e">
        <f ca="1">_xll.BDH($C$628,"LT_DEBT_TO_TOT_EQY","FQ2 2014","FQ2 2014","Currency=INR","Period=FQ","BEST_FPERIOD_OVERRIDE=FQ","FILING_STATUS=OR","EQY_CONSOLIDATED=Y","Sort=A","Dates=H","DateFormat=P","Fill=—","Direction=H","UseDPDF=Y")</f>
        <v>#NAME?</v>
      </c>
      <c r="CI630" s="2" t="e">
        <f ca="1">_xll.BDH($C$628,"LT_DEBT_TO_TOT_CAP","FQ2 2014","FQ2 2014","Currency=INR","Period=FQ","BEST_FPERIOD_OVERRIDE=FQ","FILING_STATUS=OR","EQY_CONSOLIDATED=Y","Sort=A","Dates=H","DateFormat=P","Fill=—","Direction=H","UseDPDF=Y")</f>
        <v>#NAME?</v>
      </c>
      <c r="CJ630" s="2" t="e">
        <f ca="1">_xll.BDH($C$628,"LT_DEBT_TO_TOT_ASSET","FQ2 2014","FQ2 2014","Currency=INR","Period=FQ","BEST_FPERIOD_OVERRIDE=FQ","FILING_STATUS=OR","EQY_CONSOLIDATED=Y","Sort=A","Dates=H","DateFormat=P","Fill=—","Direction=H","UseDPDF=Y")</f>
        <v>#NAME?</v>
      </c>
      <c r="CK630" s="2" t="e">
        <f ca="1">_xll.BDH($C$628,"TOT_DEBT_TO_TOT_EQY","FQ2 2014","FQ2 2014","Currency=INR","Period=FQ","BEST_FPERIOD_OVERRIDE=FQ","FILING_STATUS=OR","EQY_CONSOLIDATED=Y","Sort=A","Dates=H","DateFormat=P","Fill=—","Direction=H","UseDPDF=Y")</f>
        <v>#NAME?</v>
      </c>
      <c r="CL630" s="2" t="e">
        <f ca="1">_xll.BDH($C$628,"TOT_DEBT_TO_TOT_CAP","FQ2 2014","FQ2 2014","Currency=INR","Period=FQ","BEST_FPERIOD_OVERRIDE=FQ","FILING_STATUS=OR","EQY_CONSOLIDATED=Y","Sort=A","Dates=H","DateFormat=P","Fill=—","Direction=H","UseDPDF=Y")</f>
        <v>#NAME?</v>
      </c>
      <c r="CM630" s="2" t="e">
        <f ca="1">_xll.BDH($C$628,"TOT_DEBT_TO_TOT_ASSET","FQ2 2014","FQ2 2014","Currency=INR","Period=FQ","BEST_FPERIOD_OVERRIDE=FQ","FILING_STATUS=OR","EQY_CONSOLIDATED=Y","Sort=A","Dates=H","DateFormat=P","Fill=—","Direction=H","UseDPDF=Y")</f>
        <v>#NAME?</v>
      </c>
      <c r="CN630" s="2" t="e">
        <f ca="1">_xll.BDH($C$628,"NET_DEBT_TO_SHRHLDR_EQTY","FQ2 2014","FQ2 2014","Currency=INR","Period=FQ","BEST_FPERIOD_OVERRIDE=FQ","FILING_STATUS=OR","EQY_CONSOLIDATED=Y","Sort=A","Dates=H","DateFormat=P","Fill=—","Direction=H","UseDPDF=Y")</f>
        <v>#NAME?</v>
      </c>
      <c r="CO630" s="2" t="e">
        <f ca="1">_xll.BDH($C$628,"NET_DEBT_%_CAPITAL","FQ2 2014","FQ2 2014","Currency=INR","Period=FQ","BEST_FPERIOD_OVERRIDE=FQ","FILING_STATUS=OR","EQY_CONSOLIDATED=Y","Sort=A","Dates=H","DateFormat=P","Fill=—","Direction=H","UseDPDF=Y")</f>
        <v>#NAME?</v>
      </c>
      <c r="CP630" s="3" t="e">
        <f ca="1">_xll.BDH($C$628,"EBITDA","FQ2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Q630" s="3" t="e">
        <f ca="1">_xll.BDH($C$628,"EBITDA_AFTER_CAPEX","FQ2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R630" s="3" t="e">
        <f ca="1">_xll.BDH($C$628,"IS_OPER_INC","FQ2 2014","FQ2 2014","Currency=INR","Period=FQ","BEST_FPERIOD_OVERRIDE=FQ","FILING_STATUS=OR","EQY_CONSOLIDATED=Y","SCALING_FORMAT=MLN","FA_ADJUSTED=GAAP","Sort=A","Dates=H","DateFormat=P","Fill=—","Direction=H","UseDPDF=Y")</f>
        <v>#NAME?</v>
      </c>
      <c r="CS630" s="2" t="e">
        <f ca="1">_xll.BDH($C$628,"CASH_RATIO","FQ2 2014","FQ2 2014","Currency=INR","Period=FQ","BEST_FPERIOD_OVERRIDE=FQ","FILING_STATUS=OR","EQY_CONSOLIDATED=Y","Sort=A","Dates=H","DateFormat=P","Fill=—","Direction=H","UseDPDF=Y")</f>
        <v>#NAME?</v>
      </c>
      <c r="CT630" s="2" t="e">
        <f ca="1">_xll.BDH($C$628,"CUR_RATIO","FQ2 2014","FQ2 2014","Currency=INR","Period=FQ","BEST_FPERIOD_OVERRIDE=FQ","FILING_STATUS=OR","EQY_CONSOLIDATED=Y","Sort=A","Dates=H","DateFormat=P","Fill=—","Direction=H","UseDPDF=Y")</f>
        <v>#NAME?</v>
      </c>
      <c r="CU630" s="2" t="e">
        <f ca="1">_xll.BDH($C$628,"QUICK_RATIO","FQ2 2014","FQ2 2014","Currency=INR","Period=FQ","BEST_FPERIOD_OVERRIDE=FQ","FILING_STATUS=OR","EQY_CONSOLIDATED=Y","Sort=A","Dates=H","DateFormat=P","Fill=—","Direction=H","UseDPDF=Y")</f>
        <v>#NAME?</v>
      </c>
      <c r="CV630" s="2" t="e">
        <f ca="1">_xll.BDH($C$628,"ALTMAN_Z_SCORE","FQ2 2014","FQ2 2014","Currency=INR","Period=FQ","BEST_FPERIOD_OVERRIDE=FQ","FILING_STATUS=OR","EQY_CONSOLIDATED=Y","Sort=A","Dates=H","DateFormat=P","Fill=—","Direction=H","UseDPDF=Y")</f>
        <v>#NAME?</v>
      </c>
      <c r="CW630" s="4" t="e">
        <f ca="1">_xll.BDH($C$628,"ACCT_RCV_TURN","FQ2 2014","FQ2 2014","Currency=INR","Period=FQ","BEST_FPERIOD_OVERRIDE=FQ","FILING_STATUS=OR","EQY_CONSOLIDATED=Y","FA_ADJUSTED=GAAP","Sort=A","Dates=H","DateFormat=P","Fill=—","Direction=H","UseDPDF=Y")</f>
        <v>#NAME?</v>
      </c>
      <c r="CX630" s="2" t="e">
        <f ca="1">_xll.BDH($C$628,"ACCT_RCV_DAYS","FQ2 2014","FQ2 2014","Currency=INR","Period=FQ","BEST_FPERIOD_OVERRIDE=FQ","FILING_STATUS=OR","EQY_CONSOLIDATED=Y","FA_ADJUSTED=GAAP","Sort=A","Dates=H","DateFormat=P","Fill=—","Direction=H","UseDPDF=Y")</f>
        <v>#NAME?</v>
      </c>
      <c r="CY630" s="4" t="e">
        <f ca="1">_xll.BDH($C$628,"INVENT_TURN","FQ2 2014","FQ2 2014","Currency=INR","Period=FQ","BEST_FPERIOD_OVERRIDE=FQ","FILING_STATUS=OR","EQY_CONSOLIDATED=Y","FA_ADJUSTED=GAAP","Sort=A","Dates=H","DateFormat=P","Fill=—","Direction=H","UseDPDF=Y")</f>
        <v>#NAME?</v>
      </c>
      <c r="CZ630" s="2" t="e">
        <f ca="1">_xll.BDH($C$628,"INVENT_DAYS","FQ2 2014","FQ2 2014","Currency=INR","Period=FQ","BEST_FPERIOD_OVERRIDE=FQ","FILING_STATUS=OR","EQY_CONSOLIDATED=Y","FA_ADJUSTED=GAAP","Sort=A","Dates=H","DateFormat=P","Fill=—","Direction=H","UseDPDF=Y")</f>
        <v>#NAME?</v>
      </c>
      <c r="DA630" s="4" t="e">
        <f ca="1">_xll.BDH($C$628,"ACCOUNTS_PAYABLE_TURNOVER","FQ2 2014","FQ2 2014","Currency=INR","Period=FQ","BEST_FPERIOD_OVERRIDE=FQ","FILING_STATUS=OR","EQY_CONSOLIDATED=Y","FA_ADJUSTED=GAAP","Sort=A","Dates=H","DateFormat=P","Fill=—","Direction=H","UseDPDF=Y")</f>
        <v>#NAME?</v>
      </c>
      <c r="DB630" s="2" t="e">
        <f ca="1">_xll.BDH($C$628,"ACCOUNTS_PAYABLE_TURNOVER_DAYS","FQ2 2014","FQ2 2014","Currency=INR","Period=FQ","BEST_FPERIOD_OVERRIDE=FQ","FILING_STATUS=OR","EQY_CONSOLIDATED=Y","FA_ADJUSTED=GAAP","Sort=A","Dates=H","DateFormat=P","Fill=—","Direction=H","UseDPDF=Y")</f>
        <v>#NAME?</v>
      </c>
      <c r="DC630" s="4" t="e">
        <f ca="1">_xll.BDH($C$628,"CASH_CONVERSION_CYCLE","FQ2 2014","FQ2 2014","Currency=INR","Period=FQ","BEST_FPERIOD_OVERRIDE=FQ","FILING_STATUS=OR","EQY_CONSOLIDATED=Y","FA_ADJUSTED=GAAP","Sort=A","Dates=H","DateFormat=P","Fill=—","Direction=H","UseDPDF=Y")</f>
        <v>#NAME?</v>
      </c>
      <c r="DD630" s="4" t="e">
        <f ca="1">_xll.BDH($C$628,"INV_TO_CASH_DAYS","FQ2 2014","FQ2 2014","Currency=INR","Period=FQ","BEST_FPERIOD_OVERRIDE=FQ","FILING_STATUS=OR","EQY_CONSOLIDATED=Y","FA_ADJUSTED=GAAP","Sort=A","Dates=H","DateFormat=P","Fill=—","Direction=H","UseDPDF=Y")</f>
        <v>#NAME?</v>
      </c>
      <c r="DE630" s="5" t="e">
        <f ca="1">_xll.BDH($C$628,"BS_INVENTORIES","FQ2 2014","FQ2 2014","Currency=INR","Period=FQ","BEST_FPERIOD_OVERRIDE=FQ","FILING_STATUS=OR","EQY_CONSOLIDATED=Y","SCALING_FORMAT=MLN","Sort=A","Dates=H","DateFormat=P","Fill=—","Direction=H","UseDPDF=Y")</f>
        <v>#NAME?</v>
      </c>
      <c r="DF630" s="3" t="e">
        <f ca="1">_xll.BDH($C$628,"INVTRY_RAW_MATERIALS","FQ2 2014","FQ2 2014","Currency=INR","Period=FQ","BEST_FPERIOD_OVERRIDE=FQ","FILING_STATUS=OR","EQY_CONSOLIDATED=Y","SCALING_FORMAT=MLN","Sort=A","Dates=H","DateFormat=P","Fill=—","Direction=H","UseDPDF=Y")</f>
        <v>#NAME?</v>
      </c>
      <c r="DG630" s="3" t="e">
        <f ca="1">_xll.BDH($C$628,"INVTRY_IN_PROGRESS","FQ2 2014","FQ2 2014","Currency=INR","Period=FQ","BEST_FPERIOD_OVERRIDE=FQ","FILING_STATUS=OR","EQY_CONSOLIDATED=Y","SCALING_FORMAT=MLN","Sort=A","Dates=H","DateFormat=P","Fill=—","Direction=H","UseDPDF=Y")</f>
        <v>#NAME?</v>
      </c>
      <c r="DH630" s="3" t="e">
        <f ca="1">_xll.BDH($C$628,"INVTRY_FINISHED_GOODS","FQ2 2014","FQ2 2014","Currency=INR","Period=FQ","BEST_FPERIOD_OVERRIDE=FQ","FILING_STATUS=OR","EQY_CONSOLIDATED=Y","SCALING_FORMAT=MLN","Sort=A","Dates=H","DateFormat=P","Fill=—","Direction=H","UseDPDF=Y")</f>
        <v>#NAME?</v>
      </c>
      <c r="DI630" s="3" t="e">
        <f ca="1">_xll.BDH($C$628,"BS_OTHER_INV","FQ2 2014","FQ2 2014","Currency=INR","Period=FQ","BEST_FPERIOD_OVERRIDE=FQ","FILING_STATUS=OR","EQY_CONSOLIDATED=Y","SCALING_FORMAT=MLN","Sort=A","Dates=H","DateFormat=P","Fill=—","Direction=H","UseDPDF=Y")</f>
        <v>#NAME?</v>
      </c>
    </row>
    <row r="631" spans="1:113" x14ac:dyDescent="0.3">
      <c r="A631" s="6"/>
      <c r="B631" s="6"/>
      <c r="C631" s="6"/>
      <c r="D631" s="6"/>
      <c r="E631" t="s">
        <v>80</v>
      </c>
      <c r="F631" t="e">
        <f ca="1">_xll.BDH($C$628,"RETURN_COM_EQY","FQ3 2014","FQ3 2014","Currency=INR","Period=FQ","BEST_FPERIOD_OVERRIDE=FQ","FILING_STATUS=OR","EQY_CONSOLIDATED=Y","FA_ADJUSTED=GAAP","Sort=A","Dates=H","DateFormat=P","Fill=—","Direction=H","UseDPDF=Y")</f>
        <v>#NAME?</v>
      </c>
      <c r="G631" t="e">
        <f ca="1">_xll.BDH($C$628,"RETURN_ON_ASSET","FQ3 2014","FQ3 2014","Currency=INR","Period=FQ","BEST_FPERIOD_OVERRIDE=FQ","FILING_STATUS=OR","EQY_CONSOLIDATED=Y","FA_ADJUSTED=GAAP","Sort=A","Dates=H","DateFormat=P","Fill=—","Direction=H","UseDPDF=Y")</f>
        <v>#NAME?</v>
      </c>
      <c r="H631" t="e">
        <f ca="1">_xll.BDH($C$628,"RETURN_ON_CAP","FQ3 2014","FQ3 2014","Currency=INR","Period=FQ","BEST_FPERIOD_OVERRIDE=FQ","FILING_STATUS=OR","EQY_CONSOLIDATED=Y","FA_ADJUSTED=GAAP","Sort=A","Dates=H","DateFormat=P","Fill=—","Direction=H","UseDPDF=Y")</f>
        <v>#NAME?</v>
      </c>
      <c r="I631" t="e">
        <f ca="1">_xll.BDH($C$628,"RETURN_ON_INV_CAPITAL","FQ3 2014","FQ3 2014","Currency=INR","Period=FQ","BEST_FPERIOD_OVERRIDE=FQ","FILING_STATUS=OR","EQY_CONSOLIDATED=Y","FA_ADJUSTED=GAAP","Sort=A","Dates=H","DateFormat=P","Fill=—","Direction=H","UseDPDF=Y")</f>
        <v>#NAME?</v>
      </c>
      <c r="J631" t="e">
        <f ca="1">_xll.BDH($C$628,"EBITDA_TO_REVENUE","FQ3 2014","FQ3 2014","Currency=INR","Period=FQ","BEST_FPERIOD_OVERRIDE=FQ","FILING_STATUS=OR","EQY_CONSOLIDATED=Y","FA_ADJUSTED=GAAP","Sort=A","Dates=H","DateFormat=P","Fill=—","Direction=H","UseDPDF=Y")</f>
        <v>#NAME?</v>
      </c>
      <c r="K631" t="e">
        <f ca="1">_xll.BDH($C$628,"OPER_MARGIN","FQ3 2014","FQ3 2014","Currency=INR","Period=FQ","BEST_FPERIOD_OVERRIDE=FQ","FILING_STATUS=OR","EQY_CONSOLIDATED=Y","FA_ADJUSTED=GAAP","Sort=A","Dates=H","DateFormat=P","Fill=—","Direction=H","UseDPDF=Y")</f>
        <v>#NAME?</v>
      </c>
      <c r="L631" t="e">
        <f ca="1">_xll.BDH($C$628,"INCREMENTAL_OPERATING_MARGIN","FQ3 2014","FQ3 2014","Currency=INR","Period=FQ","BEST_FPERIOD_OVERRIDE=FQ","FILING_STATUS=OR","EQY_CONSOLIDATED=Y","FA_ADJUSTED=GAAP","Sort=A","Dates=H","DateFormat=P","Fill=—","Direction=H","UseDPDF=Y")</f>
        <v>#NAME?</v>
      </c>
      <c r="M631" t="e">
        <f ca="1">_xll.BDH($C$628,"PRETAX_INC_TO_NET_SALES","FQ3 2014","FQ3 2014","Currency=INR","Period=FQ","BEST_FPERIOD_OVERRIDE=FQ","FILING_STATUS=OR","EQY_CONSOLIDATED=Y","FA_ADJUSTED=GAAP","Sort=A","Dates=H","DateFormat=P","Fill=—","Direction=H","UseDPDF=Y")</f>
        <v>#NAME?</v>
      </c>
      <c r="N631" t="e">
        <f ca="1">_xll.BDH($C$628,"INC_BEF_XO_ITEMS_TO_NET_SALES","FQ3 2014","FQ3 2014","Currency=INR","Period=FQ","BEST_FPERIOD_OVERRIDE=FQ","FILING_STATUS=OR","EQY_CONSOLIDATED=Y","FA_ADJUSTED=GAAP","Sort=A","Dates=H","DateFormat=P","Fill=—","Direction=H","UseDPDF=Y")</f>
        <v>#NAME?</v>
      </c>
      <c r="O631" t="e">
        <f ca="1">_xll.BDH($C$628,"PROF_MARGIN","FQ3 2014","FQ3 2014","Currency=INR","Period=FQ","BEST_FPERIOD_OVERRIDE=FQ","FILING_STATUS=OR","EQY_CONSOLIDATED=Y","FA_ADJUSTED=GAAP","Sort=A","Dates=H","DateFormat=P","Fill=—","Direction=H","UseDPDF=Y")</f>
        <v>#NAME?</v>
      </c>
      <c r="P631" t="e">
        <f ca="1">_xll.BDH($C$628,"NET_INCOME_TO_COMMON_MARGIN","FQ3 2014","FQ3 2014","Currency=INR","Period=FQ","BEST_FPERIOD_OVERRIDE=FQ","FILING_STATUS=OR","EQY_CONSOLIDATED=Y","FA_ADJUSTED=GAAP","Sort=A","Dates=H","DateFormat=P","Fill=—","Direction=H","UseDPDF=Y")</f>
        <v>#NAME?</v>
      </c>
      <c r="Q631" t="e">
        <f ca="1">_xll.BDH($C$628,"EFF_TAX_RATE","FQ3 2014","FQ3 2014","Currency=INR","Period=FQ","BEST_FPERIOD_OVERRIDE=FQ","FILING_STATUS=OR","EQY_CONSOLIDATED=Y","FA_ADJUSTED=GAAP","Sort=A","Dates=H","DateFormat=P","Fill=—","Direction=H","UseDPDF=Y")</f>
        <v>#NAME?</v>
      </c>
      <c r="R631" t="e">
        <f ca="1">_xll.BDH($C$628,"DVD_PAYOUT_RATIO","FQ3 2014","FQ3 2014","Currency=INR","Period=FQ","BEST_FPERIOD_OVERRIDE=FQ","FILING_STATUS=OR","EQY_CONSOLIDATED=Y","FA_ADJUSTED=GAAP","Sort=A","Dates=H","DateFormat=P","Fill=—","Direction=H","UseDPDF=Y")</f>
        <v>#NAME?</v>
      </c>
      <c r="S631" t="e">
        <f ca="1">_xll.BDH($C$628,"SUSTAIN_GROWTH_RT","FQ3 2014","FQ3 2014","Currency=INR","Period=FQ","BEST_FPERIOD_OVERRIDE=FQ","FILING_STATUS=OR","EQY_CONSOLIDATED=Y","FA_ADJUSTED=GAAP","Sort=A","Dates=H","DateFormat=P","Fill=—","Direction=H","UseDPDF=Y")</f>
        <v>#NAME?</v>
      </c>
      <c r="T631" s="2" t="e">
        <f ca="1">_xll.BDH($C$628,"SALES_GROWTH","FQ3 2014","FQ3 2014","Currency=INR","Period=FQ","BEST_FPERIOD_OVERRIDE=FQ","FILING_STATUS=OR","EQY_CONSOLIDATED=Y","FA_ADJUSTED=GAAP","Sort=A","Dates=H","DateFormat=P","Fill=—","Direction=H","UseDPDF=Y")</f>
        <v>#NAME?</v>
      </c>
      <c r="U631" s="2" t="e">
        <f ca="1">_xll.BDH($C$628,"EBITDA_GROWTH","FQ3 2014","FQ3 2014","Currency=INR","Period=FQ","BEST_FPERIOD_OVERRIDE=FQ","FILING_STATUS=OR","EQY_CONSOLIDATED=Y","FA_ADJUSTED=GAAP","Sort=A","Dates=H","DateFormat=P","Fill=—","Direction=H","UseDPDF=Y")</f>
        <v>#NAME?</v>
      </c>
      <c r="V631" s="2" t="e">
        <f ca="1">_xll.BDH($C$628,"OPER_INC_GROWTH","FQ3 2014","FQ3 2014","Currency=INR","Period=FQ","BEST_FPERIOD_OVERRIDE=FQ","FILING_STATUS=OR","EQY_CONSOLIDATED=Y","FA_ADJUSTED=GAAP","Sort=A","Dates=H","DateFormat=P","Fill=—","Direction=H","UseDPDF=Y")</f>
        <v>#NAME?</v>
      </c>
      <c r="W631" s="2" t="e">
        <f ca="1">_xll.BDH($C$628,"EARN_FOR_COM_GROWTH","FQ3 2014","FQ3 2014","Currency=INR","Period=FQ","BEST_FPERIOD_OVERRIDE=FQ","FILING_STATUS=OR","EQY_CONSOLIDATED=Y","FA_ADJUSTED=GAAP","Sort=A","Dates=H","DateFormat=P","Fill=—","Direction=H","UseDPDF=Y")</f>
        <v>#NAME?</v>
      </c>
      <c r="X631" s="2" t="e">
        <f ca="1">_xll.BDH($C$628,"DILUTED_EPS_AFT_XO_ITEMS_GROWTH","FQ3 2014","FQ3 2014","Currency=INR","Period=FQ","BEST_FPERIOD_OVERRIDE=FQ","FILING_STATUS=OR","EQY_CONSOLIDATED=Y","FA_ADJUSTED=GAAP","Sort=A","Dates=H","DateFormat=P","Fill=—","Direction=H","UseDPDF=Y")</f>
        <v>#NAME?</v>
      </c>
      <c r="Y631" s="2" t="e">
        <f ca="1">_xll.BDH($C$628,"DIVIDEND_PER_SHARE_1_YEAR_GROWTH","FQ3 2014","FQ3 2014","Currency=INR","Period=FQ","BEST_FPERIOD_OVERRIDE=FQ","FILING_STATUS=OR","EQY_CONSOLIDATED=Y","Sort=A","Dates=H","DateFormat=P","Fill=—","Direction=H","UseDPDF=Y")</f>
        <v>#NAME?</v>
      </c>
      <c r="Z631" s="2" t="e">
        <f ca="1">_xll.BDH($C$628,"ACCOUNTS_RECEIVABLE_GROWTH","FQ3 2014","FQ3 2014","Currency=INR","Period=FQ","BEST_FPERIOD_OVERRIDE=FQ","FILING_STATUS=OR","EQY_CONSOLIDATED=Y","Sort=A","Dates=H","DateFormat=P","Fill=—","Direction=H","UseDPDF=Y")</f>
        <v>#NAME?</v>
      </c>
      <c r="AA631" s="2" t="e">
        <f ca="1">_xll.BDH($C$628,"INVENTORY_GROWTH","FQ3 2014","FQ3 2014","Currency=INR","Period=FQ","BEST_FPERIOD_OVERRIDE=FQ","FILING_STATUS=OR","EQY_CONSOLIDATED=Y","Sort=A","Dates=H","DateFormat=P","Fill=—","Direction=H","UseDPDF=Y")</f>
        <v>#NAME?</v>
      </c>
      <c r="AB631" s="2" t="e">
        <f ca="1">_xll.BDH($C$628,"NET_FIXED_ASSETS_1_YEAR_GROWTH","FQ3 2014","FQ3 2014","Currency=INR","Period=FQ","BEST_FPERIOD_OVERRIDE=FQ","FILING_STATUS=OR","EQY_CONSOLIDATED=Y","Sort=A","Dates=H","DateFormat=P","Fill=—","Direction=H","UseDPDF=Y")</f>
        <v>#NAME?</v>
      </c>
      <c r="AC631" s="2" t="e">
        <f ca="1">_xll.BDH($C$628,"ASSET_GROWTH","FQ3 2014","FQ3 2014","Currency=INR","Period=FQ","BEST_FPERIOD_OVERRIDE=FQ","FILING_STATUS=OR","EQY_CONSOLIDATED=Y","Sort=A","Dates=H","DateFormat=P","Fill=—","Direction=H","UseDPDF=Y")</f>
        <v>#NAME?</v>
      </c>
      <c r="AD631" s="2" t="e">
        <f ca="1">_xll.BDH($C$628,"MODIFIED_WORK_CAP_GROWTH","FQ3 2014","FQ3 2014","Currency=INR","Period=FQ","BEST_FPERIOD_OVERRIDE=FQ","FILING_STATUS=OR","EQY_CONSOLIDATED=Y","Sort=A","Dates=H","DateFormat=P","Fill=—","Direction=H","UseDPDF=Y")</f>
        <v>#NAME?</v>
      </c>
      <c r="AE631" s="2" t="e">
        <f ca="1">_xll.BDH($C$628,"WORK_CAP_GROWTH","FQ3 2014","FQ3 2014","Currency=INR","Period=FQ","BEST_FPERIOD_OVERRIDE=FQ","FILING_STATUS=OR","EQY_CONSOLIDATED=Y","Sort=A","Dates=H","DateFormat=P","Fill=—","Direction=H","UseDPDF=Y")</f>
        <v>#NAME?</v>
      </c>
      <c r="AF631" s="2" t="e">
        <f ca="1">_xll.BDH($C$628,"ACCOUNTS_PAYABLE_GROWTH_1YR","FQ3 2014","FQ3 2014","Currency=INR","Period=FQ","BEST_FPERIOD_OVERRIDE=FQ","FILING_STATUS=OR","EQY_CONSOLIDATED=Y","Sort=A","Dates=H","DateFormat=P","Fill=—","Direction=H","UseDPDF=Y")</f>
        <v>#NAME?</v>
      </c>
      <c r="AG631" s="2" t="e">
        <f ca="1">_xll.BDH($C$628,"SHORT_TERM_DEBT_1_YEAR_GROWTH","FQ3 2014","FQ3 2014","Currency=INR","Period=FQ","BEST_FPERIOD_OVERRIDE=FQ","FILING_STATUS=OR","EQY_CONSOLIDATED=Y","Sort=A","Dates=H","DateFormat=P","Fill=—","Direction=H","UseDPDF=Y")</f>
        <v>#NAME?</v>
      </c>
      <c r="AH631" s="2" t="e">
        <f ca="1">_xll.BDH($C$628,"TOTAL_DEBT_1_YEAR_GROWTH","FQ3 2014","FQ3 2014","Currency=INR","Period=FQ","BEST_FPERIOD_OVERRIDE=FQ","FILING_STATUS=OR","EQY_CONSOLIDATED=Y","Sort=A","Dates=H","DateFormat=P","Fill=—","Direction=H","UseDPDF=Y")</f>
        <v>#NAME?</v>
      </c>
      <c r="AI631" s="2" t="e">
        <f ca="1">_xll.BDH($C$628,"TOTAL_EQUITY_1_YEAR_GROWTH","FQ3 2014","FQ3 2014","Currency=INR","Period=FQ","BEST_FPERIOD_OVERRIDE=FQ","FILING_STATUS=OR","EQY_CONSOLIDATED=Y","Sort=A","Dates=H","DateFormat=P","Fill=—","Direction=H","UseDPDF=Y")</f>
        <v>#NAME?</v>
      </c>
      <c r="AJ631" s="2" t="e">
        <f ca="1">_xll.BDH($C$628,"GROWTH_IN_CAP","FQ3 2014","FQ3 2014","Currency=INR","Period=FQ","BEST_FPERIOD_OVERRIDE=FQ","FILING_STATUS=OR","EQY_CONSOLIDATED=Y","Sort=A","Dates=H","DateFormat=P","Fill=—","Direction=H","UseDPDF=Y")</f>
        <v>#NAME?</v>
      </c>
      <c r="AK631" s="2" t="e">
        <f ca="1">_xll.BDH($C$628,"BVPS_GROWTH","FQ3 2014","FQ3 2014","Currency=INR","Period=FQ","BEST_FPERIOD_OVERRIDE=FQ","FILING_STATUS=OR","EQY_CONSOLIDATED=Y","Sort=A","Dates=H","DateFormat=P","Fill=—","Direction=H","UseDPDF=Y")</f>
        <v>#NAME?</v>
      </c>
      <c r="AL631" s="2" t="e">
        <f ca="1">_xll.BDH($C$628,"CASH_FLOW_GROWTH","FQ3 2014","FQ3 2014","Currency=INR","Period=FQ","BEST_FPERIOD_OVERRIDE=FQ","FILING_STATUS=OR","EQY_CONSOLIDATED=Y","Sort=A","Dates=H","DateFormat=P","Fill=—","Direction=H","UseDPDF=Y")</f>
        <v>#NAME?</v>
      </c>
      <c r="AM631" s="2" t="e">
        <f ca="1">_xll.BDH($C$628,"GEO_GROW_NET_SALES","FQ3 2014","FQ3 2014","Currency=INR","Period=FQ","BEST_FPERIOD_OVERRIDE=FQ","FILING_STATUS=OR","EQY_CONSOLIDATED=Y","FA_ADJUSTED=GAAP","Sort=A","Dates=H","DateFormat=P","Fill=—","Direction=H","UseDPDF=Y")</f>
        <v>#NAME?</v>
      </c>
      <c r="AN631" s="2" t="e">
        <f ca="1">_xll.BDH($C$628,"GEO_GROW_EBITDA","FQ3 2014","FQ3 2014","Currency=INR","Period=FQ","BEST_FPERIOD_OVERRIDE=FQ","FILING_STATUS=OR","EQY_CONSOLIDATED=Y","FA_ADJUSTED=GAAP","Sort=A","Dates=H","DateFormat=P","Fill=—","Direction=H","UseDPDF=Y")</f>
        <v>#NAME?</v>
      </c>
      <c r="AO631" s="2" t="e">
        <f ca="1">_xll.BDH($C$628,"GEO_GROW_OPER_INC","FQ3 2014","FQ3 2014","Currency=INR","Period=FQ","BEST_FPERIOD_OVERRIDE=FQ","FILING_STATUS=OR","EQY_CONSOLIDATED=Y","FA_ADJUSTED=GAAP","Sort=A","Dates=H","DateFormat=P","Fill=—","Direction=H","UseDPDF=Y")</f>
        <v>#NAME?</v>
      </c>
      <c r="AP631" s="2" t="e">
        <f ca="1">_xll.BDH($C$628,"NET_INCOME_TO_COMMON_5_YR_GROWTH","FQ3 2014","FQ3 2014","Currency=INR","Period=FQ","BEST_FPERIOD_OVERRIDE=FQ","FILING_STATUS=OR","EQY_CONSOLIDATED=Y","FA_ADJUSTED=GAAP","Sort=A","Dates=H","DateFormat=P","Fill=—","Direction=H","UseDPDF=Y")</f>
        <v>#NAME?</v>
      </c>
      <c r="AQ631" s="2" t="e">
        <f ca="1">_xll.BDH($C$628,"5Y_GEO_GROWTH_DILUTED_EPS","FQ3 2014","FQ3 2014","Currency=INR","Period=FQ","BEST_FPERIOD_OVERRIDE=FQ","FILING_STATUS=OR","EQY_CONSOLIDATED=Y","FA_ADJUSTED=GAAP","Sort=A","Dates=H","DateFormat=P","Fill=—","Direction=H","UseDPDF=Y")</f>
        <v>#NAME?</v>
      </c>
      <c r="AR631" s="2" t="e">
        <f ca="1">_xll.BDH($C$628,"GEO_GROW_DVD_PER_SH","FQ3 2014","FQ3 2014","Currency=INR","Period=FQ","BEST_FPERIOD_OVERRIDE=FQ","FILING_STATUS=OR","EQY_CONSOLIDATED=Y","Sort=A","Dates=H","DateFormat=P","Fill=—","Direction=H","UseDPDF=Y")</f>
        <v>#NAME?</v>
      </c>
      <c r="AS631" s="2" t="e">
        <f ca="1">_xll.BDH($C$628,"ACCOUNTS_RECEIVABLE_5_YR_GROWTH","FQ3 2014","FQ3 2014","Currency=INR","Period=FQ","BEST_FPERIOD_OVERRIDE=FQ","FILING_STATUS=OR","EQY_CONSOLIDATED=Y","Sort=A","Dates=H","DateFormat=P","Fill=—","Direction=H","UseDPDF=Y")</f>
        <v>#NAME?</v>
      </c>
      <c r="AT631" s="2" t="e">
        <f ca="1">_xll.BDH($C$628,"INVENTORY_5_YEAR_GROWTH","FQ3 2014","FQ3 2014","Currency=INR","Period=FQ","BEST_FPERIOD_OVERRIDE=FQ","FILING_STATUS=OR","EQY_CONSOLIDATED=Y","Sort=A","Dates=H","DateFormat=P","Fill=—","Direction=H","UseDPDF=Y")</f>
        <v>#NAME?</v>
      </c>
      <c r="AU631" s="2" t="e">
        <f ca="1">_xll.BDH($C$628,"NET_FIXED_ASSETS_5_YEAR_GROWTH","FQ3 2014","FQ3 2014","Currency=INR","Period=FQ","BEST_FPERIOD_OVERRIDE=FQ","FILING_STATUS=OR","EQY_CONSOLIDATED=Y","Sort=A","Dates=H","DateFormat=P","Fill=—","Direction=H","UseDPDF=Y")</f>
        <v>#NAME?</v>
      </c>
      <c r="AV631" s="2" t="e">
        <f ca="1">_xll.BDH($C$628,"GEO_GROW_TOT_ASSET","FQ3 2014","FQ3 2014","Currency=INR","Period=FQ","BEST_FPERIOD_OVERRIDE=FQ","FILING_STATUS=OR","EQY_CONSOLIDATED=Y","Sort=A","Dates=H","DateFormat=P","Fill=—","Direction=H","UseDPDF=Y")</f>
        <v>#NAME?</v>
      </c>
      <c r="AW631" s="2" t="e">
        <f ca="1">_xll.BDH($C$628,"MODIFIED_WORKING_CPTL_5YR_GRWTH","FQ3 2014","FQ3 2014","Currency=INR","Period=FQ","BEST_FPERIOD_OVERRIDE=FQ","FILING_STATUS=OR","EQY_CONSOLIDATED=Y","Sort=A","Dates=H","DateFormat=P","Fill=—","Direction=H","UseDPDF=Y")</f>
        <v>#NAME?</v>
      </c>
      <c r="AX631" s="2" t="e">
        <f ca="1">_xll.BDH($C$628,"WORKING_CAPITAL_5_YEAR_GROWTH","FQ3 2014","FQ3 2014","Currency=INR","Period=FQ","BEST_FPERIOD_OVERRIDE=FQ","FILING_STATUS=OR","EQY_CONSOLIDATED=Y","Sort=A","Dates=H","DateFormat=P","Fill=—","Direction=H","UseDPDF=Y")</f>
        <v>#NAME?</v>
      </c>
      <c r="AY631" s="2" t="e">
        <f ca="1">_xll.BDH($C$628,"ACCOUNTS_PAYABLE_5_YEAR_GROWTH","FQ3 2014","FQ3 2014","Currency=INR","Period=FQ","BEST_FPERIOD_OVERRIDE=FQ","FILING_STATUS=OR","EQY_CONSOLIDATED=Y","Sort=A","Dates=H","DateFormat=P","Fill=—","Direction=H","UseDPDF=Y")</f>
        <v>#NAME?</v>
      </c>
      <c r="AZ631" s="2" t="e">
        <f ca="1">_xll.BDH($C$628,"SHORT_TERM_DEBT_5_YEAR_GROWTH","FQ3 2014","FQ3 2014","Currency=INR","Period=FQ","BEST_FPERIOD_OVERRIDE=FQ","FILING_STATUS=OR","EQY_CONSOLIDATED=Y","Sort=A","Dates=H","DateFormat=P","Fill=—","Direction=H","UseDPDF=Y")</f>
        <v>#NAME?</v>
      </c>
      <c r="BA631" s="2" t="e">
        <f ca="1">_xll.BDH($C$628,"TOTAL_DEBT_5_YEAR_GROWTH","FQ3 2014","FQ3 2014","Currency=INR","Period=FQ","BEST_FPERIOD_OVERRIDE=FQ","FILING_STATUS=OR","EQY_CONSOLIDATED=Y","Sort=A","Dates=H","DateFormat=P","Fill=—","Direction=H","UseDPDF=Y")</f>
        <v>#NAME?</v>
      </c>
      <c r="BB631" s="2" t="e">
        <f ca="1">_xll.BDH($C$628,"GEO_GROW_TOT_SHRHLDR_EQY","FQ3 2014","FQ3 2014","Currency=INR","Period=FQ","BEST_FPERIOD_OVERRIDE=FQ","FILING_STATUS=OR","EQY_CONSOLIDATED=Y","Sort=A","Dates=H","DateFormat=P","Fill=—","Direction=H","UseDPDF=Y")</f>
        <v>#NAME?</v>
      </c>
      <c r="BC631" s="2" t="e">
        <f ca="1">_xll.BDH($C$628,"TOTAL_CAPITAL_5_YEAR_GROWTH","FQ3 2014","FQ3 2014","Currency=INR","Period=FQ","BEST_FPERIOD_OVERRIDE=FQ","FILING_STATUS=OR","EQY_CONSOLIDATED=Y","Sort=A","Dates=H","DateFormat=P","Fill=—","Direction=H","UseDPDF=Y")</f>
        <v>#NAME?</v>
      </c>
      <c r="BD631" s="2" t="e">
        <f ca="1">_xll.BDH($C$628,"GEO_GROW_BOOK_VAL","FQ3 2014","FQ3 2014","Currency=INR","Period=FQ","BEST_FPERIOD_OVERRIDE=FQ","FILING_STATUS=OR","EQY_CONSOLIDATED=Y","Sort=A","Dates=H","DateFormat=P","Fill=—","Direction=H","UseDPDF=Y")</f>
        <v>#NAME?</v>
      </c>
      <c r="BE631" s="2" t="e">
        <f ca="1">_xll.BDH($C$628,"GEO_GROW_CASH_OPER_ACT","FQ3 2014","FQ3 2014","Currency=INR","Period=FQ","BEST_FPERIOD_OVERRIDE=FQ","FILING_STATUS=OR","EQY_CONSOLIDATED=Y","Sort=A","Dates=H","DateFormat=P","Fill=—","Direction=H","UseDPDF=Y")</f>
        <v>#NAME?</v>
      </c>
      <c r="BF631" s="2" t="e">
        <f ca="1">_xll.BDH($C$628,"REVENUE_SEQUENTIAL_GROWTH","FQ3 2014","FQ3 2014","Currency=INR","Period=FQ","BEST_FPERIOD_OVERRIDE=FQ","FILING_STATUS=OR","EQY_CONSOLIDATED=Y","FA_ADJUSTED=GAAP","Sort=A","Dates=H","DateFormat=P","Fill=—","Direction=H","UseDPDF=Y")</f>
        <v>#NAME?</v>
      </c>
      <c r="BG631" s="2" t="e">
        <f ca="1">_xll.BDH($C$628,"EBITDA_SEQUENTIAL_GROWTH","FQ3 2014","FQ3 2014","Currency=INR","Period=FQ","BEST_FPERIOD_OVERRIDE=FQ","FILING_STATUS=OR","EQY_CONSOLIDATED=Y","FA_ADJUSTED=GAAP","Sort=A","Dates=H","DateFormat=P","Fill=—","Direction=H","UseDPDF=Y")</f>
        <v>#NAME?</v>
      </c>
      <c r="BH631" s="2" t="e">
        <f ca="1">_xll.BDH($C$628,"OPERATING_INCOME_SEQ_GROWTH","FQ3 2014","FQ3 2014","Currency=INR","Period=FQ","BEST_FPERIOD_OVERRIDE=FQ","FILING_STATUS=OR","EQY_CONSOLIDATED=Y","FA_ADJUSTED=GAAP","Sort=A","Dates=H","DateFormat=P","Fill=—","Direction=H","UseDPDF=Y")</f>
        <v>#NAME?</v>
      </c>
      <c r="BI631" s="2" t="e">
        <f ca="1">_xll.BDH($C$628,"NET_INCOME_TO_COMMON_SEQ_GROWTH","FQ3 2014","FQ3 2014","Currency=INR","Period=FQ","BEST_FPERIOD_OVERRIDE=FQ","FILING_STATUS=OR","EQY_CONSOLIDATED=Y","FA_ADJUSTED=GAAP","Sort=A","Dates=H","DateFormat=P","Fill=—","Direction=H","UseDPDF=Y")</f>
        <v>#NAME?</v>
      </c>
      <c r="BJ631" s="2" t="e">
        <f ca="1">_xll.BDH($C$628,"EPS_DILUTED_SEQUENTIAL_GROWTH","FQ3 2014","FQ3 2014","Currency=INR","Period=FQ","BEST_FPERIOD_OVERRIDE=FQ","FILING_STATUS=OR","EQY_CONSOLIDATED=Y","FA_ADJUSTED=GAAP","Sort=A","Dates=H","DateFormat=P","Fill=—","Direction=H","UseDPDF=Y")</f>
        <v>#NAME?</v>
      </c>
      <c r="BK631" s="2" t="e">
        <f ca="1">_xll.BDH($C$628,"DPS_SEQUENTIAL_GROWTH","FQ3 2014","FQ3 2014","Currency=INR","Period=FQ","BEST_FPERIOD_OVERRIDE=FQ","FILING_STATUS=OR","EQY_CONSOLIDATED=Y","Sort=A","Dates=H","DateFormat=P","Fill=—","Direction=H","UseDPDF=Y")</f>
        <v>#NAME?</v>
      </c>
      <c r="BL631" s="2" t="e">
        <f ca="1">_xll.BDH($C$628,"ACCOUNTS_RECEIVABLE_SEQ_GROWTH","FQ3 2014","FQ3 2014","Currency=INR","Period=FQ","BEST_FPERIOD_OVERRIDE=FQ","FILING_STATUS=OR","EQY_CONSOLIDATED=Y","Sort=A","Dates=H","DateFormat=P","Fill=—","Direction=H","UseDPDF=Y")</f>
        <v>#NAME?</v>
      </c>
      <c r="BM631" s="2" t="e">
        <f ca="1">_xll.BDH($C$628,"INVENTORY_SEQUENTIAL_GROWTH","FQ3 2014","FQ3 2014","Currency=INR","Period=FQ","BEST_FPERIOD_OVERRIDE=FQ","FILING_STATUS=OR","EQY_CONSOLIDATED=Y","Sort=A","Dates=H","DateFormat=P","Fill=—","Direction=H","UseDPDF=Y")</f>
        <v>#NAME?</v>
      </c>
      <c r="BN631" s="2" t="e">
        <f ca="1">_xll.BDH($C$628,"FIXED_ASSETS_SEQUENTIAL_GROWTH","FQ3 2014","FQ3 2014","Currency=INR","Period=FQ","BEST_FPERIOD_OVERRIDE=FQ","FILING_STATUS=OR","EQY_CONSOLIDATED=Y","Sort=A","Dates=H","DateFormat=P","Fill=—","Direction=H","UseDPDF=Y")</f>
        <v>#NAME?</v>
      </c>
      <c r="BO631" s="2" t="e">
        <f ca="1">_xll.BDH($C$628,"TOTAL_ASSETS_SEQUENTIAL_GROWTH","FQ3 2014","FQ3 2014","Currency=INR","Period=FQ","BEST_FPERIOD_OVERRIDE=FQ","FILING_STATUS=OR","EQY_CONSOLIDATED=Y","Sort=A","Dates=H","DateFormat=P","Fill=—","Direction=H","UseDPDF=Y")</f>
        <v>#NAME?</v>
      </c>
      <c r="BP631" s="2" t="e">
        <f ca="1">_xll.BDH($C$628,"MODIFIED_WORKING_CPTL_SEQ_GRWTH","FQ3 2014","FQ3 2014","Currency=INR","Period=FQ","BEST_FPERIOD_OVERRIDE=FQ","FILING_STATUS=OR","EQY_CONSOLIDATED=Y","Sort=A","Dates=H","DateFormat=P","Fill=—","Direction=H","UseDPDF=Y")</f>
        <v>#NAME?</v>
      </c>
      <c r="BQ631" s="2" t="e">
        <f ca="1">_xll.BDH($C$628,"WORKING_CAPITAL_SEQ_GROWTH","FQ3 2014","FQ3 2014","Currency=INR","Period=FQ","BEST_FPERIOD_OVERRIDE=FQ","FILING_STATUS=OR","EQY_CONSOLIDATED=Y","Sort=A","Dates=H","DateFormat=P","Fill=—","Direction=H","UseDPDF=Y")</f>
        <v>#NAME?</v>
      </c>
      <c r="BR631" s="2" t="e">
        <f ca="1">_xll.BDH($C$628,"ACCOUNTS_PAYABLE_SEQ_GROWTH","FQ3 2014","FQ3 2014","Currency=INR","Period=FQ","BEST_FPERIOD_OVERRIDE=FQ","FILING_STATUS=OR","EQY_CONSOLIDATED=Y","Sort=A","Dates=H","DateFormat=P","Fill=—","Direction=H","UseDPDF=Y")</f>
        <v>#NAME?</v>
      </c>
      <c r="BS631" s="2" t="e">
        <f ca="1">_xll.BDH($C$628,"ST_DEBT_SEQUENTIAL_GROWTH","FQ3 2014","FQ3 2014","Currency=INR","Period=FQ","BEST_FPERIOD_OVERRIDE=FQ","FILING_STATUS=OR","EQY_CONSOLIDATED=Y","Sort=A","Dates=H","DateFormat=P","Fill=—","Direction=H","UseDPDF=Y")</f>
        <v>#NAME?</v>
      </c>
      <c r="BT631" s="2" t="e">
        <f ca="1">_xll.BDH($C$628,"TOTAL_DEBT_SEQUENTIAL_GROWTH","FQ3 2014","FQ3 2014","Currency=INR","Period=FQ","BEST_FPERIOD_OVERRIDE=FQ","FILING_STATUS=OR","EQY_CONSOLIDATED=Y","Sort=A","Dates=H","DateFormat=P","Fill=—","Direction=H","UseDPDF=Y")</f>
        <v>#NAME?</v>
      </c>
      <c r="BU631" s="2" t="e">
        <f ca="1">_xll.BDH($C$628,"TOTAL_EQUITY_SEQUENTIAL_GROWTH","FQ3 2014","FQ3 2014","Currency=INR","Period=FQ","BEST_FPERIOD_OVERRIDE=FQ","FILING_STATUS=OR","EQY_CONSOLIDATED=Y","Sort=A","Dates=H","DateFormat=P","Fill=—","Direction=H","UseDPDF=Y")</f>
        <v>#NAME?</v>
      </c>
      <c r="BV631" s="2" t="e">
        <f ca="1">_xll.BDH($C$628,"TOTAL_CAPITAL_SEQUENTIAL_GROWTH","FQ3 2014","FQ3 2014","Currency=INR","Period=FQ","BEST_FPERIOD_OVERRIDE=FQ","FILING_STATUS=OR","EQY_CONSOLIDATED=Y","Sort=A","Dates=H","DateFormat=P","Fill=—","Direction=H","UseDPDF=Y")</f>
        <v>#NAME?</v>
      </c>
      <c r="BW631" s="2" t="e">
        <f ca="1">_xll.BDH($C$628,"BPS_SEQUENTIAL_GROWTH","FQ3 2014","FQ3 2014","Currency=INR","Period=FQ","BEST_FPERIOD_OVERRIDE=FQ","FILING_STATUS=OR","EQY_CONSOLIDATED=Y","Sort=A","Dates=H","DateFormat=P","Fill=—","Direction=H","UseDPDF=Y")</f>
        <v>#NAME?</v>
      </c>
      <c r="BX631" s="2" t="e">
        <f ca="1">_xll.BDH($C$628,"CFO_SEQUENTIAL_GROWTH","FQ3 2014","FQ3 2014","Currency=INR","Period=FQ","BEST_FPERIOD_OVERRIDE=FQ","FILING_STATUS=OR","EQY_CONSOLIDATED=Y","Sort=A","Dates=H","DateFormat=P","Fill=—","Direction=H","UseDPDF=Y")</f>
        <v>#NAME?</v>
      </c>
      <c r="BY631" s="3" t="e">
        <f ca="1">_xll.BDH($C$628,"SHORT_AND_LONG_TERM_DEBT","FQ3 2014","FQ3 2014","Currency=INR","Period=FQ","BEST_FPERIOD_OVERRIDE=FQ","FILING_STATUS=OR","EQY_CONSOLIDATED=Y","SCALING_FORMAT=MLN","Sort=A","Dates=H","DateFormat=P","Fill=—","Direction=H","UseDPDF=Y")</f>
        <v>#NAME?</v>
      </c>
      <c r="BZ631" s="3" t="e">
        <f ca="1">_xll.BDH($C$628,"BS_ST_BORROW","FQ3 2014","FQ3 2014","Currency=INR","Period=FQ","BEST_FPERIOD_OVERRIDE=FQ","FILING_STATUS=OR","EQY_CONSOLIDATED=Y","SCALING_FORMAT=MLN","Sort=A","Dates=H","DateFormat=P","Fill=—","Direction=H","UseDPDF=Y")</f>
        <v>#NAME?</v>
      </c>
      <c r="CA631" s="3" t="e">
        <f ca="1">_xll.BDH($C$628,"BS_LT_BORROW","FQ3 2014","FQ3 2014","Currency=INR","Period=FQ","BEST_FPERIOD_OVERRIDE=FQ","FILING_STATUS=OR","EQY_CONSOLIDATED=Y","SCALING_FORMAT=MLN","Sort=A","Dates=H","DateFormat=P","Fill=—","Direction=H","UseDPDF=Y")</f>
        <v>#NAME?</v>
      </c>
      <c r="CB631" s="2" t="e">
        <f ca="1">_xll.BDH($C$628,"TOT_DEBT_TO_EBITDA","FQ3 2014","FQ3 2014","Currency=INR","Period=FQ","BEST_FPERIOD_OVERRIDE=FQ","FILING_STATUS=OR","EQY_CONSOLIDATED=Y","FA_ADJUSTED=GAAP","Sort=A","Dates=H","DateFormat=P","Fill=—","Direction=H","UseDPDF=Y")</f>
        <v>#NAME?</v>
      </c>
      <c r="CC631" s="2" t="e">
        <f ca="1">_xll.BDH($C$628,"NET_DEBT_TO_EBITDA","FQ3 2014","FQ3 2014","Currency=INR","Period=FQ","BEST_FPERIOD_OVERRIDE=FQ","FILING_STATUS=OR","EQY_CONSOLIDATED=Y","FA_ADJUSTED=GAAP","Sort=A","Dates=H","DateFormat=P","Fill=—","Direction=H","UseDPDF=Y")</f>
        <v>#NAME?</v>
      </c>
      <c r="CD631" s="2" t="e">
        <f ca="1">_xll.BDH($C$628,"TOTAL_DEBT_TO_EBIT","FQ3 2014","FQ3 2014","Currency=INR","Period=FQ","BEST_FPERIOD_OVERRIDE=FQ","FILING_STATUS=OR","EQY_CONSOLIDATED=Y","FA_ADJUSTED=GAAP","Sort=A","Dates=H","DateFormat=P","Fill=—","Direction=H","UseDPDF=Y")</f>
        <v>#NAME?</v>
      </c>
      <c r="CE631" s="2" t="e">
        <f ca="1">_xll.BDH($C$628,"NET_DEBT_TO_EBIT","FQ3 2014","FQ3 2014","Currency=INR","Period=FQ","BEST_FPERIOD_OVERRIDE=FQ","FILING_STATUS=OR","EQY_CONSOLIDATED=Y","FA_ADJUSTED=GAAP","Sort=A","Dates=H","DateFormat=P","Fill=—","Direction=H","UseDPDF=Y")</f>
        <v>#NAME?</v>
      </c>
      <c r="CF631" s="2" t="e">
        <f ca="1">_xll.BDH($C$628,"EBITDA_TO_INTEREST_EXPN","FQ3 2014","FQ3 2014","Currency=INR","Period=FQ","BEST_FPERIOD_OVERRIDE=FQ","FILING_STATUS=OR","EQY_CONSOLIDATED=Y","FA_ADJUSTED=GAAP","Sort=A","Dates=H","DateFormat=P","Fill=—","Direction=H","UseDPDF=Y")</f>
        <v>#NAME?</v>
      </c>
      <c r="CG631" s="2" t="e">
        <f ca="1">_xll.BDH($C$628,"COM_EQY_TO_TOT_ASSET","FQ3 2014","FQ3 2014","Currency=INR","Period=FQ","BEST_FPERIOD_OVERRIDE=FQ","FILING_STATUS=OR","EQY_CONSOLIDATED=Y","Sort=A","Dates=H","DateFormat=P","Fill=—","Direction=H","UseDPDF=Y")</f>
        <v>#NAME?</v>
      </c>
      <c r="CH631" s="2" t="e">
        <f ca="1">_xll.BDH($C$628,"LT_DEBT_TO_TOT_EQY","FQ3 2014","FQ3 2014","Currency=INR","Period=FQ","BEST_FPERIOD_OVERRIDE=FQ","FILING_STATUS=OR","EQY_CONSOLIDATED=Y","Sort=A","Dates=H","DateFormat=P","Fill=—","Direction=H","UseDPDF=Y")</f>
        <v>#NAME?</v>
      </c>
      <c r="CI631" s="2" t="e">
        <f ca="1">_xll.BDH($C$628,"LT_DEBT_TO_TOT_CAP","FQ3 2014","FQ3 2014","Currency=INR","Period=FQ","BEST_FPERIOD_OVERRIDE=FQ","FILING_STATUS=OR","EQY_CONSOLIDATED=Y","Sort=A","Dates=H","DateFormat=P","Fill=—","Direction=H","UseDPDF=Y")</f>
        <v>#NAME?</v>
      </c>
      <c r="CJ631" s="2" t="e">
        <f ca="1">_xll.BDH($C$628,"LT_DEBT_TO_TOT_ASSET","FQ3 2014","FQ3 2014","Currency=INR","Period=FQ","BEST_FPERIOD_OVERRIDE=FQ","FILING_STATUS=OR","EQY_CONSOLIDATED=Y","Sort=A","Dates=H","DateFormat=P","Fill=—","Direction=H","UseDPDF=Y")</f>
        <v>#NAME?</v>
      </c>
      <c r="CK631" s="2" t="e">
        <f ca="1">_xll.BDH($C$628,"TOT_DEBT_TO_TOT_EQY","FQ3 2014","FQ3 2014","Currency=INR","Period=FQ","BEST_FPERIOD_OVERRIDE=FQ","FILING_STATUS=OR","EQY_CONSOLIDATED=Y","Sort=A","Dates=H","DateFormat=P","Fill=—","Direction=H","UseDPDF=Y")</f>
        <v>#NAME?</v>
      </c>
      <c r="CL631" s="2" t="e">
        <f ca="1">_xll.BDH($C$628,"TOT_DEBT_TO_TOT_CAP","FQ3 2014","FQ3 2014","Currency=INR","Period=FQ","BEST_FPERIOD_OVERRIDE=FQ","FILING_STATUS=OR","EQY_CONSOLIDATED=Y","Sort=A","Dates=H","DateFormat=P","Fill=—","Direction=H","UseDPDF=Y")</f>
        <v>#NAME?</v>
      </c>
      <c r="CM631" s="2" t="e">
        <f ca="1">_xll.BDH($C$628,"TOT_DEBT_TO_TOT_ASSET","FQ3 2014","FQ3 2014","Currency=INR","Period=FQ","BEST_FPERIOD_OVERRIDE=FQ","FILING_STATUS=OR","EQY_CONSOLIDATED=Y","Sort=A","Dates=H","DateFormat=P","Fill=—","Direction=H","UseDPDF=Y")</f>
        <v>#NAME?</v>
      </c>
      <c r="CN631" s="2" t="e">
        <f ca="1">_xll.BDH($C$628,"NET_DEBT_TO_SHRHLDR_EQTY","FQ3 2014","FQ3 2014","Currency=INR","Period=FQ","BEST_FPERIOD_OVERRIDE=FQ","FILING_STATUS=OR","EQY_CONSOLIDATED=Y","Sort=A","Dates=H","DateFormat=P","Fill=—","Direction=H","UseDPDF=Y")</f>
        <v>#NAME?</v>
      </c>
      <c r="CO631" s="2" t="e">
        <f ca="1">_xll.BDH($C$628,"NET_DEBT_%_CAPITAL","FQ3 2014","FQ3 2014","Currency=INR","Period=FQ","BEST_FPERIOD_OVERRIDE=FQ","FILING_STATUS=OR","EQY_CONSOLIDATED=Y","Sort=A","Dates=H","DateFormat=P","Fill=—","Direction=H","UseDPDF=Y")</f>
        <v>#NAME?</v>
      </c>
      <c r="CP631" s="3" t="e">
        <f ca="1">_xll.BDH($C$628,"EBITDA","FQ3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Q631" s="3" t="e">
        <f ca="1">_xll.BDH($C$628,"EBITDA_AFTER_CAPEX","FQ3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R631" s="3" t="e">
        <f ca="1">_xll.BDH($C$628,"IS_OPER_INC","FQ3 2014","FQ3 2014","Currency=INR","Period=FQ","BEST_FPERIOD_OVERRIDE=FQ","FILING_STATUS=OR","EQY_CONSOLIDATED=Y","SCALING_FORMAT=MLN","FA_ADJUSTED=GAAP","Sort=A","Dates=H","DateFormat=P","Fill=—","Direction=H","UseDPDF=Y")</f>
        <v>#NAME?</v>
      </c>
      <c r="CS631" s="2" t="e">
        <f ca="1">_xll.BDH($C$628,"CASH_RATIO","FQ3 2014","FQ3 2014","Currency=INR","Period=FQ","BEST_FPERIOD_OVERRIDE=FQ","FILING_STATUS=OR","EQY_CONSOLIDATED=Y","Sort=A","Dates=H","DateFormat=P","Fill=—","Direction=H","UseDPDF=Y")</f>
        <v>#NAME?</v>
      </c>
      <c r="CT631" s="2" t="e">
        <f ca="1">_xll.BDH($C$628,"CUR_RATIO","FQ3 2014","FQ3 2014","Currency=INR","Period=FQ","BEST_FPERIOD_OVERRIDE=FQ","FILING_STATUS=OR","EQY_CONSOLIDATED=Y","Sort=A","Dates=H","DateFormat=P","Fill=—","Direction=H","UseDPDF=Y")</f>
        <v>#NAME?</v>
      </c>
      <c r="CU631" s="2" t="e">
        <f ca="1">_xll.BDH($C$628,"QUICK_RATIO","FQ3 2014","FQ3 2014","Currency=INR","Period=FQ","BEST_FPERIOD_OVERRIDE=FQ","FILING_STATUS=OR","EQY_CONSOLIDATED=Y","Sort=A","Dates=H","DateFormat=P","Fill=—","Direction=H","UseDPDF=Y")</f>
        <v>#NAME?</v>
      </c>
      <c r="CV631" s="2" t="e">
        <f ca="1">_xll.BDH($C$628,"ALTMAN_Z_SCORE","FQ3 2014","FQ3 2014","Currency=INR","Period=FQ","BEST_FPERIOD_OVERRIDE=FQ","FILING_STATUS=OR","EQY_CONSOLIDATED=Y","Sort=A","Dates=H","DateFormat=P","Fill=—","Direction=H","UseDPDF=Y")</f>
        <v>#NAME?</v>
      </c>
      <c r="CW631" s="4" t="e">
        <f ca="1">_xll.BDH($C$628,"ACCT_RCV_TURN","FQ3 2014","FQ3 2014","Currency=INR","Period=FQ","BEST_FPERIOD_OVERRIDE=FQ","FILING_STATUS=OR","EQY_CONSOLIDATED=Y","FA_ADJUSTED=GAAP","Sort=A","Dates=H","DateFormat=P","Fill=—","Direction=H","UseDPDF=Y")</f>
        <v>#NAME?</v>
      </c>
      <c r="CX631" s="2" t="e">
        <f ca="1">_xll.BDH($C$628,"ACCT_RCV_DAYS","FQ3 2014","FQ3 2014","Currency=INR","Period=FQ","BEST_FPERIOD_OVERRIDE=FQ","FILING_STATUS=OR","EQY_CONSOLIDATED=Y","FA_ADJUSTED=GAAP","Sort=A","Dates=H","DateFormat=P","Fill=—","Direction=H","UseDPDF=Y")</f>
        <v>#NAME?</v>
      </c>
      <c r="CY631" s="4" t="e">
        <f ca="1">_xll.BDH($C$628,"INVENT_TURN","FQ3 2014","FQ3 2014","Currency=INR","Period=FQ","BEST_FPERIOD_OVERRIDE=FQ","FILING_STATUS=OR","EQY_CONSOLIDATED=Y","FA_ADJUSTED=GAAP","Sort=A","Dates=H","DateFormat=P","Fill=—","Direction=H","UseDPDF=Y")</f>
        <v>#NAME?</v>
      </c>
      <c r="CZ631" s="2" t="e">
        <f ca="1">_xll.BDH($C$628,"INVENT_DAYS","FQ3 2014","FQ3 2014","Currency=INR","Period=FQ","BEST_FPERIOD_OVERRIDE=FQ","FILING_STATUS=OR","EQY_CONSOLIDATED=Y","FA_ADJUSTED=GAAP","Sort=A","Dates=H","DateFormat=P","Fill=—","Direction=H","UseDPDF=Y")</f>
        <v>#NAME?</v>
      </c>
      <c r="DA631" s="4" t="e">
        <f ca="1">_xll.BDH($C$628,"ACCOUNTS_PAYABLE_TURNOVER","FQ3 2014","FQ3 2014","Currency=INR","Period=FQ","BEST_FPERIOD_OVERRIDE=FQ","FILING_STATUS=OR","EQY_CONSOLIDATED=Y","FA_ADJUSTED=GAAP","Sort=A","Dates=H","DateFormat=P","Fill=—","Direction=H","UseDPDF=Y")</f>
        <v>#NAME?</v>
      </c>
      <c r="DB631" s="2" t="e">
        <f ca="1">_xll.BDH($C$628,"ACCOUNTS_PAYABLE_TURNOVER_DAYS","FQ3 2014","FQ3 2014","Currency=INR","Period=FQ","BEST_FPERIOD_OVERRIDE=FQ","FILING_STATUS=OR","EQY_CONSOLIDATED=Y","FA_ADJUSTED=GAAP","Sort=A","Dates=H","DateFormat=P","Fill=—","Direction=H","UseDPDF=Y")</f>
        <v>#NAME?</v>
      </c>
      <c r="DC631" s="4" t="e">
        <f ca="1">_xll.BDH($C$628,"CASH_CONVERSION_CYCLE","FQ3 2014","FQ3 2014","Currency=INR","Period=FQ","BEST_FPERIOD_OVERRIDE=FQ","FILING_STATUS=OR","EQY_CONSOLIDATED=Y","FA_ADJUSTED=GAAP","Sort=A","Dates=H","DateFormat=P","Fill=—","Direction=H","UseDPDF=Y")</f>
        <v>#NAME?</v>
      </c>
      <c r="DD631" s="4" t="e">
        <f ca="1">_xll.BDH($C$628,"INV_TO_CASH_DAYS","FQ3 2014","FQ3 2014","Currency=INR","Period=FQ","BEST_FPERIOD_OVERRIDE=FQ","FILING_STATUS=OR","EQY_CONSOLIDATED=Y","FA_ADJUSTED=GAAP","Sort=A","Dates=H","DateFormat=P","Fill=—","Direction=H","UseDPDF=Y")</f>
        <v>#NAME?</v>
      </c>
      <c r="DE631" s="5" t="e">
        <f ca="1">_xll.BDH($C$628,"BS_INVENTORIES","FQ3 2014","FQ3 2014","Currency=INR","Period=FQ","BEST_FPERIOD_OVERRIDE=FQ","FILING_STATUS=OR","EQY_CONSOLIDATED=Y","SCALING_FORMAT=MLN","Sort=A","Dates=H","DateFormat=P","Fill=—","Direction=H","UseDPDF=Y")</f>
        <v>#NAME?</v>
      </c>
      <c r="DF631" s="3" t="e">
        <f ca="1">_xll.BDH($C$628,"INVTRY_RAW_MATERIALS","FQ3 2014","FQ3 2014","Currency=INR","Period=FQ","BEST_FPERIOD_OVERRIDE=FQ","FILING_STATUS=OR","EQY_CONSOLIDATED=Y","SCALING_FORMAT=MLN","Sort=A","Dates=H","DateFormat=P","Fill=—","Direction=H","UseDPDF=Y")</f>
        <v>#NAME?</v>
      </c>
      <c r="DG631" s="3" t="e">
        <f ca="1">_xll.BDH($C$628,"INVTRY_IN_PROGRESS","FQ3 2014","FQ3 2014","Currency=INR","Period=FQ","BEST_FPERIOD_OVERRIDE=FQ","FILING_STATUS=OR","EQY_CONSOLIDATED=Y","SCALING_FORMAT=MLN","Sort=A","Dates=H","DateFormat=P","Fill=—","Direction=H","UseDPDF=Y")</f>
        <v>#NAME?</v>
      </c>
      <c r="DH631" s="3" t="e">
        <f ca="1">_xll.BDH($C$628,"INVTRY_FINISHED_GOODS","FQ3 2014","FQ3 2014","Currency=INR","Period=FQ","BEST_FPERIOD_OVERRIDE=FQ","FILING_STATUS=OR","EQY_CONSOLIDATED=Y","SCALING_FORMAT=MLN","Sort=A","Dates=H","DateFormat=P","Fill=—","Direction=H","UseDPDF=Y")</f>
        <v>#NAME?</v>
      </c>
      <c r="DI631" s="3" t="e">
        <f ca="1">_xll.BDH($C$628,"BS_OTHER_INV","FQ3 2014","FQ3 2014","Currency=INR","Period=FQ","BEST_FPERIOD_OVERRIDE=FQ","FILING_STATUS=OR","EQY_CONSOLIDATED=Y","SCALING_FORMAT=MLN","Sort=A","Dates=H","DateFormat=P","Fill=—","Direction=H","UseDPDF=Y")</f>
        <v>#NAME?</v>
      </c>
    </row>
    <row r="632" spans="1:113" x14ac:dyDescent="0.3">
      <c r="A632" s="6"/>
      <c r="B632" s="6"/>
      <c r="C632" s="6"/>
      <c r="D632" s="6"/>
      <c r="E632" t="s">
        <v>81</v>
      </c>
      <c r="F632" t="e">
        <f ca="1">_xll.BDH($C$628,"RETURN_COM_EQY","FQ4 2014","FQ4 2014","Currency=INR","Period=FQ","BEST_FPERIOD_OVERRIDE=FQ","FILING_STATUS=OR","EQY_CONSOLIDATED=Y","FA_ADJUSTED=GAAP","Sort=A","Dates=H","DateFormat=P","Fill=—","Direction=H","UseDPDF=Y")</f>
        <v>#NAME?</v>
      </c>
      <c r="G632" t="e">
        <f ca="1">_xll.BDH($C$628,"RETURN_ON_ASSET","FQ4 2014","FQ4 2014","Currency=INR","Period=FQ","BEST_FPERIOD_OVERRIDE=FQ","FILING_STATUS=OR","EQY_CONSOLIDATED=Y","FA_ADJUSTED=GAAP","Sort=A","Dates=H","DateFormat=P","Fill=—","Direction=H","UseDPDF=Y")</f>
        <v>#NAME?</v>
      </c>
      <c r="H632" t="e">
        <f ca="1">_xll.BDH($C$628,"RETURN_ON_CAP","FQ4 2014","FQ4 2014","Currency=INR","Period=FQ","BEST_FPERIOD_OVERRIDE=FQ","FILING_STATUS=OR","EQY_CONSOLIDATED=Y","FA_ADJUSTED=GAAP","Sort=A","Dates=H","DateFormat=P","Fill=—","Direction=H","UseDPDF=Y")</f>
        <v>#NAME?</v>
      </c>
      <c r="I632" t="e">
        <f ca="1">_xll.BDH($C$628,"RETURN_ON_INV_CAPITAL","FQ4 2014","FQ4 2014","Currency=INR","Period=FQ","BEST_FPERIOD_OVERRIDE=FQ","FILING_STATUS=OR","EQY_CONSOLIDATED=Y","FA_ADJUSTED=GAAP","Sort=A","Dates=H","DateFormat=P","Fill=—","Direction=H","UseDPDF=Y")</f>
        <v>#NAME?</v>
      </c>
      <c r="J632" t="e">
        <f ca="1">_xll.BDH($C$628,"EBITDA_TO_REVENUE","FQ4 2014","FQ4 2014","Currency=INR","Period=FQ","BEST_FPERIOD_OVERRIDE=FQ","FILING_STATUS=OR","EQY_CONSOLIDATED=Y","FA_ADJUSTED=GAAP","Sort=A","Dates=H","DateFormat=P","Fill=—","Direction=H","UseDPDF=Y")</f>
        <v>#NAME?</v>
      </c>
      <c r="K632" t="e">
        <f ca="1">_xll.BDH($C$628,"OPER_MARGIN","FQ4 2014","FQ4 2014","Currency=INR","Period=FQ","BEST_FPERIOD_OVERRIDE=FQ","FILING_STATUS=OR","EQY_CONSOLIDATED=Y","FA_ADJUSTED=GAAP","Sort=A","Dates=H","DateFormat=P","Fill=—","Direction=H","UseDPDF=Y")</f>
        <v>#NAME?</v>
      </c>
      <c r="L632" t="e">
        <f ca="1">_xll.BDH($C$628,"INCREMENTAL_OPERATING_MARGIN","FQ4 2014","FQ4 2014","Currency=INR","Period=FQ","BEST_FPERIOD_OVERRIDE=FQ","FILING_STATUS=OR","EQY_CONSOLIDATED=Y","FA_ADJUSTED=GAAP","Sort=A","Dates=H","DateFormat=P","Fill=—","Direction=H","UseDPDF=Y")</f>
        <v>#NAME?</v>
      </c>
      <c r="M632" t="e">
        <f ca="1">_xll.BDH($C$628,"PRETAX_INC_TO_NET_SALES","FQ4 2014","FQ4 2014","Currency=INR","Period=FQ","BEST_FPERIOD_OVERRIDE=FQ","FILING_STATUS=OR","EQY_CONSOLIDATED=Y","FA_ADJUSTED=GAAP","Sort=A","Dates=H","DateFormat=P","Fill=—","Direction=H","UseDPDF=Y")</f>
        <v>#NAME?</v>
      </c>
      <c r="N632" t="e">
        <f ca="1">_xll.BDH($C$628,"INC_BEF_XO_ITEMS_TO_NET_SALES","FQ4 2014","FQ4 2014","Currency=INR","Period=FQ","BEST_FPERIOD_OVERRIDE=FQ","FILING_STATUS=OR","EQY_CONSOLIDATED=Y","FA_ADJUSTED=GAAP","Sort=A","Dates=H","DateFormat=P","Fill=—","Direction=H","UseDPDF=Y")</f>
        <v>#NAME?</v>
      </c>
      <c r="O632" t="e">
        <f ca="1">_xll.BDH($C$628,"PROF_MARGIN","FQ4 2014","FQ4 2014","Currency=INR","Period=FQ","BEST_FPERIOD_OVERRIDE=FQ","FILING_STATUS=OR","EQY_CONSOLIDATED=Y","FA_ADJUSTED=GAAP","Sort=A","Dates=H","DateFormat=P","Fill=—","Direction=H","UseDPDF=Y")</f>
        <v>#NAME?</v>
      </c>
      <c r="P632" t="e">
        <f ca="1">_xll.BDH($C$628,"NET_INCOME_TO_COMMON_MARGIN","FQ4 2014","FQ4 2014","Currency=INR","Period=FQ","BEST_FPERIOD_OVERRIDE=FQ","FILING_STATUS=OR","EQY_CONSOLIDATED=Y","FA_ADJUSTED=GAAP","Sort=A","Dates=H","DateFormat=P","Fill=—","Direction=H","UseDPDF=Y")</f>
        <v>#NAME?</v>
      </c>
      <c r="Q632" t="e">
        <f ca="1">_xll.BDH($C$628,"EFF_TAX_RATE","FQ4 2014","FQ4 2014","Currency=INR","Period=FQ","BEST_FPERIOD_OVERRIDE=FQ","FILING_STATUS=OR","EQY_CONSOLIDATED=Y","FA_ADJUSTED=GAAP","Sort=A","Dates=H","DateFormat=P","Fill=—","Direction=H","UseDPDF=Y")</f>
        <v>#NAME?</v>
      </c>
      <c r="R632" t="e">
        <f ca="1">_xll.BDH($C$628,"DVD_PAYOUT_RATIO","FQ4 2014","FQ4 2014","Currency=INR","Period=FQ","BEST_FPERIOD_OVERRIDE=FQ","FILING_STATUS=OR","EQY_CONSOLIDATED=Y","FA_ADJUSTED=GAAP","Sort=A","Dates=H","DateFormat=P","Fill=—","Direction=H","UseDPDF=Y")</f>
        <v>#NAME?</v>
      </c>
      <c r="S632" t="e">
        <f ca="1">_xll.BDH($C$628,"SUSTAIN_GROWTH_RT","FQ4 2014","FQ4 2014","Currency=INR","Period=FQ","BEST_FPERIOD_OVERRIDE=FQ","FILING_STATUS=OR","EQY_CONSOLIDATED=Y","FA_ADJUSTED=GAAP","Sort=A","Dates=H","DateFormat=P","Fill=—","Direction=H","UseDPDF=Y")</f>
        <v>#NAME?</v>
      </c>
      <c r="T632" s="2" t="e">
        <f ca="1">_xll.BDH($C$628,"SALES_GROWTH","FQ4 2014","FQ4 2014","Currency=INR","Period=FQ","BEST_FPERIOD_OVERRIDE=FQ","FILING_STATUS=OR","EQY_CONSOLIDATED=Y","FA_ADJUSTED=GAAP","Sort=A","Dates=H","DateFormat=P","Fill=—","Direction=H","UseDPDF=Y")</f>
        <v>#NAME?</v>
      </c>
      <c r="U632" s="2" t="e">
        <f ca="1">_xll.BDH($C$628,"EBITDA_GROWTH","FQ4 2014","FQ4 2014","Currency=INR","Period=FQ","BEST_FPERIOD_OVERRIDE=FQ","FILING_STATUS=OR","EQY_CONSOLIDATED=Y","FA_ADJUSTED=GAAP","Sort=A","Dates=H","DateFormat=P","Fill=—","Direction=H","UseDPDF=Y")</f>
        <v>#NAME?</v>
      </c>
      <c r="V632" s="2" t="e">
        <f ca="1">_xll.BDH($C$628,"OPER_INC_GROWTH","FQ4 2014","FQ4 2014","Currency=INR","Period=FQ","BEST_FPERIOD_OVERRIDE=FQ","FILING_STATUS=OR","EQY_CONSOLIDATED=Y","FA_ADJUSTED=GAAP","Sort=A","Dates=H","DateFormat=P","Fill=—","Direction=H","UseDPDF=Y")</f>
        <v>#NAME?</v>
      </c>
      <c r="W632" s="2" t="e">
        <f ca="1">_xll.BDH($C$628,"EARN_FOR_COM_GROWTH","FQ4 2014","FQ4 2014","Currency=INR","Period=FQ","BEST_FPERIOD_OVERRIDE=FQ","FILING_STATUS=OR","EQY_CONSOLIDATED=Y","FA_ADJUSTED=GAAP","Sort=A","Dates=H","DateFormat=P","Fill=—","Direction=H","UseDPDF=Y")</f>
        <v>#NAME?</v>
      </c>
      <c r="X632" s="2" t="e">
        <f ca="1">_xll.BDH($C$628,"DILUTED_EPS_AFT_XO_ITEMS_GROWTH","FQ4 2014","FQ4 2014","Currency=INR","Period=FQ","BEST_FPERIOD_OVERRIDE=FQ","FILING_STATUS=OR","EQY_CONSOLIDATED=Y","FA_ADJUSTED=GAAP","Sort=A","Dates=H","DateFormat=P","Fill=—","Direction=H","UseDPDF=Y")</f>
        <v>#NAME?</v>
      </c>
      <c r="Y632" s="2" t="e">
        <f ca="1">_xll.BDH($C$628,"DIVIDEND_PER_SHARE_1_YEAR_GROWTH","FQ4 2014","FQ4 2014","Currency=INR","Period=FQ","BEST_FPERIOD_OVERRIDE=FQ","FILING_STATUS=OR","EQY_CONSOLIDATED=Y","Sort=A","Dates=H","DateFormat=P","Fill=—","Direction=H","UseDPDF=Y")</f>
        <v>#NAME?</v>
      </c>
      <c r="Z632" s="2" t="e">
        <f ca="1">_xll.BDH($C$628,"ACCOUNTS_RECEIVABLE_GROWTH","FQ4 2014","FQ4 2014","Currency=INR","Period=FQ","BEST_FPERIOD_OVERRIDE=FQ","FILING_STATUS=OR","EQY_CONSOLIDATED=Y","Sort=A","Dates=H","DateFormat=P","Fill=—","Direction=H","UseDPDF=Y")</f>
        <v>#NAME?</v>
      </c>
      <c r="AA632" s="2" t="e">
        <f ca="1">_xll.BDH($C$628,"INVENTORY_GROWTH","FQ4 2014","FQ4 2014","Currency=INR","Period=FQ","BEST_FPERIOD_OVERRIDE=FQ","FILING_STATUS=OR","EQY_CONSOLIDATED=Y","Sort=A","Dates=H","DateFormat=P","Fill=—","Direction=H","UseDPDF=Y")</f>
        <v>#NAME?</v>
      </c>
      <c r="AB632" s="2" t="e">
        <f ca="1">_xll.BDH($C$628,"NET_FIXED_ASSETS_1_YEAR_GROWTH","FQ4 2014","FQ4 2014","Currency=INR","Period=FQ","BEST_FPERIOD_OVERRIDE=FQ","FILING_STATUS=OR","EQY_CONSOLIDATED=Y","Sort=A","Dates=H","DateFormat=P","Fill=—","Direction=H","UseDPDF=Y")</f>
        <v>#NAME?</v>
      </c>
      <c r="AC632" s="2" t="e">
        <f ca="1">_xll.BDH($C$628,"ASSET_GROWTH","FQ4 2014","FQ4 2014","Currency=INR","Period=FQ","BEST_FPERIOD_OVERRIDE=FQ","FILING_STATUS=OR","EQY_CONSOLIDATED=Y","Sort=A","Dates=H","DateFormat=P","Fill=—","Direction=H","UseDPDF=Y")</f>
        <v>#NAME?</v>
      </c>
      <c r="AD632" s="2" t="e">
        <f ca="1">_xll.BDH($C$628,"MODIFIED_WORK_CAP_GROWTH","FQ4 2014","FQ4 2014","Currency=INR","Period=FQ","BEST_FPERIOD_OVERRIDE=FQ","FILING_STATUS=OR","EQY_CONSOLIDATED=Y","Sort=A","Dates=H","DateFormat=P","Fill=—","Direction=H","UseDPDF=Y")</f>
        <v>#NAME?</v>
      </c>
      <c r="AE632" s="2" t="e">
        <f ca="1">_xll.BDH($C$628,"WORK_CAP_GROWTH","FQ4 2014","FQ4 2014","Currency=INR","Period=FQ","BEST_FPERIOD_OVERRIDE=FQ","FILING_STATUS=OR","EQY_CONSOLIDATED=Y","Sort=A","Dates=H","DateFormat=P","Fill=—","Direction=H","UseDPDF=Y")</f>
        <v>#NAME?</v>
      </c>
      <c r="AF632" s="2" t="e">
        <f ca="1">_xll.BDH($C$628,"ACCOUNTS_PAYABLE_GROWTH_1YR","FQ4 2014","FQ4 2014","Currency=INR","Period=FQ","BEST_FPERIOD_OVERRIDE=FQ","FILING_STATUS=OR","EQY_CONSOLIDATED=Y","Sort=A","Dates=H","DateFormat=P","Fill=—","Direction=H","UseDPDF=Y")</f>
        <v>#NAME?</v>
      </c>
      <c r="AG632" s="2" t="e">
        <f ca="1">_xll.BDH($C$628,"SHORT_TERM_DEBT_1_YEAR_GROWTH","FQ4 2014","FQ4 2014","Currency=INR","Period=FQ","BEST_FPERIOD_OVERRIDE=FQ","FILING_STATUS=OR","EQY_CONSOLIDATED=Y","Sort=A","Dates=H","DateFormat=P","Fill=—","Direction=H","UseDPDF=Y")</f>
        <v>#NAME?</v>
      </c>
      <c r="AH632" s="2" t="e">
        <f ca="1">_xll.BDH($C$628,"TOTAL_DEBT_1_YEAR_GROWTH","FQ4 2014","FQ4 2014","Currency=INR","Period=FQ","BEST_FPERIOD_OVERRIDE=FQ","FILING_STATUS=OR","EQY_CONSOLIDATED=Y","Sort=A","Dates=H","DateFormat=P","Fill=—","Direction=H","UseDPDF=Y")</f>
        <v>#NAME?</v>
      </c>
      <c r="AI632" s="2" t="e">
        <f ca="1">_xll.BDH($C$628,"TOTAL_EQUITY_1_YEAR_GROWTH","FQ4 2014","FQ4 2014","Currency=INR","Period=FQ","BEST_FPERIOD_OVERRIDE=FQ","FILING_STATUS=OR","EQY_CONSOLIDATED=Y","Sort=A","Dates=H","DateFormat=P","Fill=—","Direction=H","UseDPDF=Y")</f>
        <v>#NAME?</v>
      </c>
      <c r="AJ632" s="2" t="e">
        <f ca="1">_xll.BDH($C$628,"GROWTH_IN_CAP","FQ4 2014","FQ4 2014","Currency=INR","Period=FQ","BEST_FPERIOD_OVERRIDE=FQ","FILING_STATUS=OR","EQY_CONSOLIDATED=Y","Sort=A","Dates=H","DateFormat=P","Fill=—","Direction=H","UseDPDF=Y")</f>
        <v>#NAME?</v>
      </c>
      <c r="AK632" s="2" t="e">
        <f ca="1">_xll.BDH($C$628,"BVPS_GROWTH","FQ4 2014","FQ4 2014","Currency=INR","Period=FQ","BEST_FPERIOD_OVERRIDE=FQ","FILING_STATUS=OR","EQY_CONSOLIDATED=Y","Sort=A","Dates=H","DateFormat=P","Fill=—","Direction=H","UseDPDF=Y")</f>
        <v>#NAME?</v>
      </c>
      <c r="AL632" s="2" t="e">
        <f ca="1">_xll.BDH($C$628,"CASH_FLOW_GROWTH","FQ4 2014","FQ4 2014","Currency=INR","Period=FQ","BEST_FPERIOD_OVERRIDE=FQ","FILING_STATUS=OR","EQY_CONSOLIDATED=Y","Sort=A","Dates=H","DateFormat=P","Fill=—","Direction=H","UseDPDF=Y")</f>
        <v>#NAME?</v>
      </c>
      <c r="AM632" s="2" t="e">
        <f ca="1">_xll.BDH($C$628,"GEO_GROW_NET_SALES","FQ4 2014","FQ4 2014","Currency=INR","Period=FQ","BEST_FPERIOD_OVERRIDE=FQ","FILING_STATUS=OR","EQY_CONSOLIDATED=Y","FA_ADJUSTED=GAAP","Sort=A","Dates=H","DateFormat=P","Fill=—","Direction=H","UseDPDF=Y")</f>
        <v>#NAME?</v>
      </c>
      <c r="AN632" s="2" t="e">
        <f ca="1">_xll.BDH($C$628,"GEO_GROW_EBITDA","FQ4 2014","FQ4 2014","Currency=INR","Period=FQ","BEST_FPERIOD_OVERRIDE=FQ","FILING_STATUS=OR","EQY_CONSOLIDATED=Y","FA_ADJUSTED=GAAP","Sort=A","Dates=H","DateFormat=P","Fill=—","Direction=H","UseDPDF=Y")</f>
        <v>#NAME?</v>
      </c>
      <c r="AO632" s="2" t="e">
        <f ca="1">_xll.BDH($C$628,"GEO_GROW_OPER_INC","FQ4 2014","FQ4 2014","Currency=INR","Period=FQ","BEST_FPERIOD_OVERRIDE=FQ","FILING_STATUS=OR","EQY_CONSOLIDATED=Y","FA_ADJUSTED=GAAP","Sort=A","Dates=H","DateFormat=P","Fill=—","Direction=H","UseDPDF=Y")</f>
        <v>#NAME?</v>
      </c>
      <c r="AP632" s="2" t="e">
        <f ca="1">_xll.BDH($C$628,"NET_INCOME_TO_COMMON_5_YR_GROWTH","FQ4 2014","FQ4 2014","Currency=INR","Period=FQ","BEST_FPERIOD_OVERRIDE=FQ","FILING_STATUS=OR","EQY_CONSOLIDATED=Y","FA_ADJUSTED=GAAP","Sort=A","Dates=H","DateFormat=P","Fill=—","Direction=H","UseDPDF=Y")</f>
        <v>#NAME?</v>
      </c>
      <c r="AQ632" s="2" t="e">
        <f ca="1">_xll.BDH($C$628,"5Y_GEO_GROWTH_DILUTED_EPS","FQ4 2014","FQ4 2014","Currency=INR","Period=FQ","BEST_FPERIOD_OVERRIDE=FQ","FILING_STATUS=OR","EQY_CONSOLIDATED=Y","FA_ADJUSTED=GAAP","Sort=A","Dates=H","DateFormat=P","Fill=—","Direction=H","UseDPDF=Y")</f>
        <v>#NAME?</v>
      </c>
      <c r="AR632" s="2" t="e">
        <f ca="1">_xll.BDH($C$628,"GEO_GROW_DVD_PER_SH","FQ4 2014","FQ4 2014","Currency=INR","Period=FQ","BEST_FPERIOD_OVERRIDE=FQ","FILING_STATUS=OR","EQY_CONSOLIDATED=Y","Sort=A","Dates=H","DateFormat=P","Fill=—","Direction=H","UseDPDF=Y")</f>
        <v>#NAME?</v>
      </c>
      <c r="AS632" s="2" t="e">
        <f ca="1">_xll.BDH($C$628,"ACCOUNTS_RECEIVABLE_5_YR_GROWTH","FQ4 2014","FQ4 2014","Currency=INR","Period=FQ","BEST_FPERIOD_OVERRIDE=FQ","FILING_STATUS=OR","EQY_CONSOLIDATED=Y","Sort=A","Dates=H","DateFormat=P","Fill=—","Direction=H","UseDPDF=Y")</f>
        <v>#NAME?</v>
      </c>
      <c r="AT632" s="2" t="e">
        <f ca="1">_xll.BDH($C$628,"INVENTORY_5_YEAR_GROWTH","FQ4 2014","FQ4 2014","Currency=INR","Period=FQ","BEST_FPERIOD_OVERRIDE=FQ","FILING_STATUS=OR","EQY_CONSOLIDATED=Y","Sort=A","Dates=H","DateFormat=P","Fill=—","Direction=H","UseDPDF=Y")</f>
        <v>#NAME?</v>
      </c>
      <c r="AU632" s="2" t="e">
        <f ca="1">_xll.BDH($C$628,"NET_FIXED_ASSETS_5_YEAR_GROWTH","FQ4 2014","FQ4 2014","Currency=INR","Period=FQ","BEST_FPERIOD_OVERRIDE=FQ","FILING_STATUS=OR","EQY_CONSOLIDATED=Y","Sort=A","Dates=H","DateFormat=P","Fill=—","Direction=H","UseDPDF=Y")</f>
        <v>#NAME?</v>
      </c>
      <c r="AV632" s="2" t="e">
        <f ca="1">_xll.BDH($C$628,"GEO_GROW_TOT_ASSET","FQ4 2014","FQ4 2014","Currency=INR","Period=FQ","BEST_FPERIOD_OVERRIDE=FQ","FILING_STATUS=OR","EQY_CONSOLIDATED=Y","Sort=A","Dates=H","DateFormat=P","Fill=—","Direction=H","UseDPDF=Y")</f>
        <v>#NAME?</v>
      </c>
      <c r="AW632" s="2" t="e">
        <f ca="1">_xll.BDH($C$628,"MODIFIED_WORKING_CPTL_5YR_GRWTH","FQ4 2014","FQ4 2014","Currency=INR","Period=FQ","BEST_FPERIOD_OVERRIDE=FQ","FILING_STATUS=OR","EQY_CONSOLIDATED=Y","Sort=A","Dates=H","DateFormat=P","Fill=—","Direction=H","UseDPDF=Y")</f>
        <v>#NAME?</v>
      </c>
      <c r="AX632" s="2" t="e">
        <f ca="1">_xll.BDH($C$628,"WORKING_CAPITAL_5_YEAR_GROWTH","FQ4 2014","FQ4 2014","Currency=INR","Period=FQ","BEST_FPERIOD_OVERRIDE=FQ","FILING_STATUS=OR","EQY_CONSOLIDATED=Y","Sort=A","Dates=H","DateFormat=P","Fill=—","Direction=H","UseDPDF=Y")</f>
        <v>#NAME?</v>
      </c>
      <c r="AY632" s="2" t="e">
        <f ca="1">_xll.BDH($C$628,"ACCOUNTS_PAYABLE_5_YEAR_GROWTH","FQ4 2014","FQ4 2014","Currency=INR","Period=FQ","BEST_FPERIOD_OVERRIDE=FQ","FILING_STATUS=OR","EQY_CONSOLIDATED=Y","Sort=A","Dates=H","DateFormat=P","Fill=—","Direction=H","UseDPDF=Y")</f>
        <v>#NAME?</v>
      </c>
      <c r="AZ632" s="2" t="e">
        <f ca="1">_xll.BDH($C$628,"SHORT_TERM_DEBT_5_YEAR_GROWTH","FQ4 2014","FQ4 2014","Currency=INR","Period=FQ","BEST_FPERIOD_OVERRIDE=FQ","FILING_STATUS=OR","EQY_CONSOLIDATED=Y","Sort=A","Dates=H","DateFormat=P","Fill=—","Direction=H","UseDPDF=Y")</f>
        <v>#NAME?</v>
      </c>
      <c r="BA632" s="2" t="e">
        <f ca="1">_xll.BDH($C$628,"TOTAL_DEBT_5_YEAR_GROWTH","FQ4 2014","FQ4 2014","Currency=INR","Period=FQ","BEST_FPERIOD_OVERRIDE=FQ","FILING_STATUS=OR","EQY_CONSOLIDATED=Y","Sort=A","Dates=H","DateFormat=P","Fill=—","Direction=H","UseDPDF=Y")</f>
        <v>#NAME?</v>
      </c>
      <c r="BB632" s="2" t="e">
        <f ca="1">_xll.BDH($C$628,"GEO_GROW_TOT_SHRHLDR_EQY","FQ4 2014","FQ4 2014","Currency=INR","Period=FQ","BEST_FPERIOD_OVERRIDE=FQ","FILING_STATUS=OR","EQY_CONSOLIDATED=Y","Sort=A","Dates=H","DateFormat=P","Fill=—","Direction=H","UseDPDF=Y")</f>
        <v>#NAME?</v>
      </c>
      <c r="BC632" s="2" t="e">
        <f ca="1">_xll.BDH($C$628,"TOTAL_CAPITAL_5_YEAR_GROWTH","FQ4 2014","FQ4 2014","Currency=INR","Period=FQ","BEST_FPERIOD_OVERRIDE=FQ","FILING_STATUS=OR","EQY_CONSOLIDATED=Y","Sort=A","Dates=H","DateFormat=P","Fill=—","Direction=H","UseDPDF=Y")</f>
        <v>#NAME?</v>
      </c>
      <c r="BD632" s="2" t="e">
        <f ca="1">_xll.BDH($C$628,"GEO_GROW_BOOK_VAL","FQ4 2014","FQ4 2014","Currency=INR","Period=FQ","BEST_FPERIOD_OVERRIDE=FQ","FILING_STATUS=OR","EQY_CONSOLIDATED=Y","Sort=A","Dates=H","DateFormat=P","Fill=—","Direction=H","UseDPDF=Y")</f>
        <v>#NAME?</v>
      </c>
      <c r="BE632" s="2" t="e">
        <f ca="1">_xll.BDH($C$628,"GEO_GROW_CASH_OPER_ACT","FQ4 2014","FQ4 2014","Currency=INR","Period=FQ","BEST_FPERIOD_OVERRIDE=FQ","FILING_STATUS=OR","EQY_CONSOLIDATED=Y","Sort=A","Dates=H","DateFormat=P","Fill=—","Direction=H","UseDPDF=Y")</f>
        <v>#NAME?</v>
      </c>
      <c r="BF632" s="2" t="e">
        <f ca="1">_xll.BDH($C$628,"REVENUE_SEQUENTIAL_GROWTH","FQ4 2014","FQ4 2014","Currency=INR","Period=FQ","BEST_FPERIOD_OVERRIDE=FQ","FILING_STATUS=OR","EQY_CONSOLIDATED=Y","FA_ADJUSTED=GAAP","Sort=A","Dates=H","DateFormat=P","Fill=—","Direction=H","UseDPDF=Y")</f>
        <v>#NAME?</v>
      </c>
      <c r="BG632" s="2" t="e">
        <f ca="1">_xll.BDH($C$628,"EBITDA_SEQUENTIAL_GROWTH","FQ4 2014","FQ4 2014","Currency=INR","Period=FQ","BEST_FPERIOD_OVERRIDE=FQ","FILING_STATUS=OR","EQY_CONSOLIDATED=Y","FA_ADJUSTED=GAAP","Sort=A","Dates=H","DateFormat=P","Fill=—","Direction=H","UseDPDF=Y")</f>
        <v>#NAME?</v>
      </c>
      <c r="BH632" s="2" t="e">
        <f ca="1">_xll.BDH($C$628,"OPERATING_INCOME_SEQ_GROWTH","FQ4 2014","FQ4 2014","Currency=INR","Period=FQ","BEST_FPERIOD_OVERRIDE=FQ","FILING_STATUS=OR","EQY_CONSOLIDATED=Y","FA_ADJUSTED=GAAP","Sort=A","Dates=H","DateFormat=P","Fill=—","Direction=H","UseDPDF=Y")</f>
        <v>#NAME?</v>
      </c>
      <c r="BI632" s="2" t="e">
        <f ca="1">_xll.BDH($C$628,"NET_INCOME_TO_COMMON_SEQ_GROWTH","FQ4 2014","FQ4 2014","Currency=INR","Period=FQ","BEST_FPERIOD_OVERRIDE=FQ","FILING_STATUS=OR","EQY_CONSOLIDATED=Y","FA_ADJUSTED=GAAP","Sort=A","Dates=H","DateFormat=P","Fill=—","Direction=H","UseDPDF=Y")</f>
        <v>#NAME?</v>
      </c>
      <c r="BJ632" s="2" t="e">
        <f ca="1">_xll.BDH($C$628,"EPS_DILUTED_SEQUENTIAL_GROWTH","FQ4 2014","FQ4 2014","Currency=INR","Period=FQ","BEST_FPERIOD_OVERRIDE=FQ","FILING_STATUS=OR","EQY_CONSOLIDATED=Y","FA_ADJUSTED=GAAP","Sort=A","Dates=H","DateFormat=P","Fill=—","Direction=H","UseDPDF=Y")</f>
        <v>#NAME?</v>
      </c>
      <c r="BK632" s="2" t="e">
        <f ca="1">_xll.BDH($C$628,"DPS_SEQUENTIAL_GROWTH","FQ4 2014","FQ4 2014","Currency=INR","Period=FQ","BEST_FPERIOD_OVERRIDE=FQ","FILING_STATUS=OR","EQY_CONSOLIDATED=Y","Sort=A","Dates=H","DateFormat=P","Fill=—","Direction=H","UseDPDF=Y")</f>
        <v>#NAME?</v>
      </c>
      <c r="BL632" s="2" t="e">
        <f ca="1">_xll.BDH($C$628,"ACCOUNTS_RECEIVABLE_SEQ_GROWTH","FQ4 2014","FQ4 2014","Currency=INR","Period=FQ","BEST_FPERIOD_OVERRIDE=FQ","FILING_STATUS=OR","EQY_CONSOLIDATED=Y","Sort=A","Dates=H","DateFormat=P","Fill=—","Direction=H","UseDPDF=Y")</f>
        <v>#NAME?</v>
      </c>
      <c r="BM632" s="2" t="e">
        <f ca="1">_xll.BDH($C$628,"INVENTORY_SEQUENTIAL_GROWTH","FQ4 2014","FQ4 2014","Currency=INR","Period=FQ","BEST_FPERIOD_OVERRIDE=FQ","FILING_STATUS=OR","EQY_CONSOLIDATED=Y","Sort=A","Dates=H","DateFormat=P","Fill=—","Direction=H","UseDPDF=Y")</f>
        <v>#NAME?</v>
      </c>
      <c r="BN632" s="2" t="e">
        <f ca="1">_xll.BDH($C$628,"FIXED_ASSETS_SEQUENTIAL_GROWTH","FQ4 2014","FQ4 2014","Currency=INR","Period=FQ","BEST_FPERIOD_OVERRIDE=FQ","FILING_STATUS=OR","EQY_CONSOLIDATED=Y","Sort=A","Dates=H","DateFormat=P","Fill=—","Direction=H","UseDPDF=Y")</f>
        <v>#NAME?</v>
      </c>
      <c r="BO632" s="2" t="e">
        <f ca="1">_xll.BDH($C$628,"TOTAL_ASSETS_SEQUENTIAL_GROWTH","FQ4 2014","FQ4 2014","Currency=INR","Period=FQ","BEST_FPERIOD_OVERRIDE=FQ","FILING_STATUS=OR","EQY_CONSOLIDATED=Y","Sort=A","Dates=H","DateFormat=P","Fill=—","Direction=H","UseDPDF=Y")</f>
        <v>#NAME?</v>
      </c>
      <c r="BP632" s="2" t="e">
        <f ca="1">_xll.BDH($C$628,"MODIFIED_WORKING_CPTL_SEQ_GRWTH","FQ4 2014","FQ4 2014","Currency=INR","Period=FQ","BEST_FPERIOD_OVERRIDE=FQ","FILING_STATUS=OR","EQY_CONSOLIDATED=Y","Sort=A","Dates=H","DateFormat=P","Fill=—","Direction=H","UseDPDF=Y")</f>
        <v>#NAME?</v>
      </c>
      <c r="BQ632" s="2" t="e">
        <f ca="1">_xll.BDH($C$628,"WORKING_CAPITAL_SEQ_GROWTH","FQ4 2014","FQ4 2014","Currency=INR","Period=FQ","BEST_FPERIOD_OVERRIDE=FQ","FILING_STATUS=OR","EQY_CONSOLIDATED=Y","Sort=A","Dates=H","DateFormat=P","Fill=—","Direction=H","UseDPDF=Y")</f>
        <v>#NAME?</v>
      </c>
      <c r="BR632" s="2" t="e">
        <f ca="1">_xll.BDH($C$628,"ACCOUNTS_PAYABLE_SEQ_GROWTH","FQ4 2014","FQ4 2014","Currency=INR","Period=FQ","BEST_FPERIOD_OVERRIDE=FQ","FILING_STATUS=OR","EQY_CONSOLIDATED=Y","Sort=A","Dates=H","DateFormat=P","Fill=—","Direction=H","UseDPDF=Y")</f>
        <v>#NAME?</v>
      </c>
      <c r="BS632" s="2" t="e">
        <f ca="1">_xll.BDH($C$628,"ST_DEBT_SEQUENTIAL_GROWTH","FQ4 2014","FQ4 2014","Currency=INR","Period=FQ","BEST_FPERIOD_OVERRIDE=FQ","FILING_STATUS=OR","EQY_CONSOLIDATED=Y","Sort=A","Dates=H","DateFormat=P","Fill=—","Direction=H","UseDPDF=Y")</f>
        <v>#NAME?</v>
      </c>
      <c r="BT632" s="2" t="e">
        <f ca="1">_xll.BDH($C$628,"TOTAL_DEBT_SEQUENTIAL_GROWTH","FQ4 2014","FQ4 2014","Currency=INR","Period=FQ","BEST_FPERIOD_OVERRIDE=FQ","FILING_STATUS=OR","EQY_CONSOLIDATED=Y","Sort=A","Dates=H","DateFormat=P","Fill=—","Direction=H","UseDPDF=Y")</f>
        <v>#NAME?</v>
      </c>
      <c r="BU632" s="2" t="e">
        <f ca="1">_xll.BDH($C$628,"TOTAL_EQUITY_SEQUENTIAL_GROWTH","FQ4 2014","FQ4 2014","Currency=INR","Period=FQ","BEST_FPERIOD_OVERRIDE=FQ","FILING_STATUS=OR","EQY_CONSOLIDATED=Y","Sort=A","Dates=H","DateFormat=P","Fill=—","Direction=H","UseDPDF=Y")</f>
        <v>#NAME?</v>
      </c>
      <c r="BV632" s="2" t="e">
        <f ca="1">_xll.BDH($C$628,"TOTAL_CAPITAL_SEQUENTIAL_GROWTH","FQ4 2014","FQ4 2014","Currency=INR","Period=FQ","BEST_FPERIOD_OVERRIDE=FQ","FILING_STATUS=OR","EQY_CONSOLIDATED=Y","Sort=A","Dates=H","DateFormat=P","Fill=—","Direction=H","UseDPDF=Y")</f>
        <v>#NAME?</v>
      </c>
      <c r="BW632" s="2" t="e">
        <f ca="1">_xll.BDH($C$628,"BPS_SEQUENTIAL_GROWTH","FQ4 2014","FQ4 2014","Currency=INR","Period=FQ","BEST_FPERIOD_OVERRIDE=FQ","FILING_STATUS=OR","EQY_CONSOLIDATED=Y","Sort=A","Dates=H","DateFormat=P","Fill=—","Direction=H","UseDPDF=Y")</f>
        <v>#NAME?</v>
      </c>
      <c r="BX632" s="2" t="e">
        <f ca="1">_xll.BDH($C$628,"CFO_SEQUENTIAL_GROWTH","FQ4 2014","FQ4 2014","Currency=INR","Period=FQ","BEST_FPERIOD_OVERRIDE=FQ","FILING_STATUS=OR","EQY_CONSOLIDATED=Y","Sort=A","Dates=H","DateFormat=P","Fill=—","Direction=H","UseDPDF=Y")</f>
        <v>#NAME?</v>
      </c>
      <c r="BY632" s="3" t="e">
        <f ca="1">_xll.BDH($C$628,"SHORT_AND_LONG_TERM_DEBT","FQ4 2014","FQ4 2014","Currency=INR","Period=FQ","BEST_FPERIOD_OVERRIDE=FQ","FILING_STATUS=OR","EQY_CONSOLIDATED=Y","SCALING_FORMAT=MLN","Sort=A","Dates=H","DateFormat=P","Fill=—","Direction=H","UseDPDF=Y")</f>
        <v>#NAME?</v>
      </c>
      <c r="BZ632" s="3" t="e">
        <f ca="1">_xll.BDH($C$628,"BS_ST_BORROW","FQ4 2014","FQ4 2014","Currency=INR","Period=FQ","BEST_FPERIOD_OVERRIDE=FQ","FILING_STATUS=OR","EQY_CONSOLIDATED=Y","SCALING_FORMAT=MLN","Sort=A","Dates=H","DateFormat=P","Fill=—","Direction=H","UseDPDF=Y")</f>
        <v>#NAME?</v>
      </c>
      <c r="CA632" s="3" t="e">
        <f ca="1">_xll.BDH($C$628,"BS_LT_BORROW","FQ4 2014","FQ4 2014","Currency=INR","Period=FQ","BEST_FPERIOD_OVERRIDE=FQ","FILING_STATUS=OR","EQY_CONSOLIDATED=Y","SCALING_FORMAT=MLN","Sort=A","Dates=H","DateFormat=P","Fill=—","Direction=H","UseDPDF=Y")</f>
        <v>#NAME?</v>
      </c>
      <c r="CB632" s="2" t="e">
        <f ca="1">_xll.BDH($C$628,"TOT_DEBT_TO_EBITDA","FQ4 2014","FQ4 2014","Currency=INR","Period=FQ","BEST_FPERIOD_OVERRIDE=FQ","FILING_STATUS=OR","EQY_CONSOLIDATED=Y","FA_ADJUSTED=GAAP","Sort=A","Dates=H","DateFormat=P","Fill=—","Direction=H","UseDPDF=Y")</f>
        <v>#NAME?</v>
      </c>
      <c r="CC632" s="2" t="e">
        <f ca="1">_xll.BDH($C$628,"NET_DEBT_TO_EBITDA","FQ4 2014","FQ4 2014","Currency=INR","Period=FQ","BEST_FPERIOD_OVERRIDE=FQ","FILING_STATUS=OR","EQY_CONSOLIDATED=Y","FA_ADJUSTED=GAAP","Sort=A","Dates=H","DateFormat=P","Fill=—","Direction=H","UseDPDF=Y")</f>
        <v>#NAME?</v>
      </c>
      <c r="CD632" s="2" t="e">
        <f ca="1">_xll.BDH($C$628,"TOTAL_DEBT_TO_EBIT","FQ4 2014","FQ4 2014","Currency=INR","Period=FQ","BEST_FPERIOD_OVERRIDE=FQ","FILING_STATUS=OR","EQY_CONSOLIDATED=Y","FA_ADJUSTED=GAAP","Sort=A","Dates=H","DateFormat=P","Fill=—","Direction=H","UseDPDF=Y")</f>
        <v>#NAME?</v>
      </c>
      <c r="CE632" s="2" t="e">
        <f ca="1">_xll.BDH($C$628,"NET_DEBT_TO_EBIT","FQ4 2014","FQ4 2014","Currency=INR","Period=FQ","BEST_FPERIOD_OVERRIDE=FQ","FILING_STATUS=OR","EQY_CONSOLIDATED=Y","FA_ADJUSTED=GAAP","Sort=A","Dates=H","DateFormat=P","Fill=—","Direction=H","UseDPDF=Y")</f>
        <v>#NAME?</v>
      </c>
      <c r="CF632" s="2" t="e">
        <f ca="1">_xll.BDH($C$628,"EBITDA_TO_INTEREST_EXPN","FQ4 2014","FQ4 2014","Currency=INR","Period=FQ","BEST_FPERIOD_OVERRIDE=FQ","FILING_STATUS=OR","EQY_CONSOLIDATED=Y","FA_ADJUSTED=GAAP","Sort=A","Dates=H","DateFormat=P","Fill=—","Direction=H","UseDPDF=Y")</f>
        <v>#NAME?</v>
      </c>
      <c r="CG632" s="2" t="e">
        <f ca="1">_xll.BDH($C$628,"COM_EQY_TO_TOT_ASSET","FQ4 2014","FQ4 2014","Currency=INR","Period=FQ","BEST_FPERIOD_OVERRIDE=FQ","FILING_STATUS=OR","EQY_CONSOLIDATED=Y","Sort=A","Dates=H","DateFormat=P","Fill=—","Direction=H","UseDPDF=Y")</f>
        <v>#NAME?</v>
      </c>
      <c r="CH632" s="2" t="e">
        <f ca="1">_xll.BDH($C$628,"LT_DEBT_TO_TOT_EQY","FQ4 2014","FQ4 2014","Currency=INR","Period=FQ","BEST_FPERIOD_OVERRIDE=FQ","FILING_STATUS=OR","EQY_CONSOLIDATED=Y","Sort=A","Dates=H","DateFormat=P","Fill=—","Direction=H","UseDPDF=Y")</f>
        <v>#NAME?</v>
      </c>
      <c r="CI632" s="2" t="e">
        <f ca="1">_xll.BDH($C$628,"LT_DEBT_TO_TOT_CAP","FQ4 2014","FQ4 2014","Currency=INR","Period=FQ","BEST_FPERIOD_OVERRIDE=FQ","FILING_STATUS=OR","EQY_CONSOLIDATED=Y","Sort=A","Dates=H","DateFormat=P","Fill=—","Direction=H","UseDPDF=Y")</f>
        <v>#NAME?</v>
      </c>
      <c r="CJ632" s="2" t="e">
        <f ca="1">_xll.BDH($C$628,"LT_DEBT_TO_TOT_ASSET","FQ4 2014","FQ4 2014","Currency=INR","Period=FQ","BEST_FPERIOD_OVERRIDE=FQ","FILING_STATUS=OR","EQY_CONSOLIDATED=Y","Sort=A","Dates=H","DateFormat=P","Fill=—","Direction=H","UseDPDF=Y")</f>
        <v>#NAME?</v>
      </c>
      <c r="CK632" s="2" t="e">
        <f ca="1">_xll.BDH($C$628,"TOT_DEBT_TO_TOT_EQY","FQ4 2014","FQ4 2014","Currency=INR","Period=FQ","BEST_FPERIOD_OVERRIDE=FQ","FILING_STATUS=OR","EQY_CONSOLIDATED=Y","Sort=A","Dates=H","DateFormat=P","Fill=—","Direction=H","UseDPDF=Y")</f>
        <v>#NAME?</v>
      </c>
      <c r="CL632" s="2" t="e">
        <f ca="1">_xll.BDH($C$628,"TOT_DEBT_TO_TOT_CAP","FQ4 2014","FQ4 2014","Currency=INR","Period=FQ","BEST_FPERIOD_OVERRIDE=FQ","FILING_STATUS=OR","EQY_CONSOLIDATED=Y","Sort=A","Dates=H","DateFormat=P","Fill=—","Direction=H","UseDPDF=Y")</f>
        <v>#NAME?</v>
      </c>
      <c r="CM632" s="2" t="e">
        <f ca="1">_xll.BDH($C$628,"TOT_DEBT_TO_TOT_ASSET","FQ4 2014","FQ4 2014","Currency=INR","Period=FQ","BEST_FPERIOD_OVERRIDE=FQ","FILING_STATUS=OR","EQY_CONSOLIDATED=Y","Sort=A","Dates=H","DateFormat=P","Fill=—","Direction=H","UseDPDF=Y")</f>
        <v>#NAME?</v>
      </c>
      <c r="CN632" s="2" t="e">
        <f ca="1">_xll.BDH($C$628,"NET_DEBT_TO_SHRHLDR_EQTY","FQ4 2014","FQ4 2014","Currency=INR","Period=FQ","BEST_FPERIOD_OVERRIDE=FQ","FILING_STATUS=OR","EQY_CONSOLIDATED=Y","Sort=A","Dates=H","DateFormat=P","Fill=—","Direction=H","UseDPDF=Y")</f>
        <v>#NAME?</v>
      </c>
      <c r="CO632" s="2" t="e">
        <f ca="1">_xll.BDH($C$628,"NET_DEBT_%_CAPITAL","FQ4 2014","FQ4 2014","Currency=INR","Period=FQ","BEST_FPERIOD_OVERRIDE=FQ","FILING_STATUS=OR","EQY_CONSOLIDATED=Y","Sort=A","Dates=H","DateFormat=P","Fill=—","Direction=H","UseDPDF=Y")</f>
        <v>#NAME?</v>
      </c>
      <c r="CP632" s="3" t="e">
        <f ca="1">_xll.BDH($C$628,"EBITDA","FQ4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Q632" s="3" t="e">
        <f ca="1">_xll.BDH($C$628,"EBITDA_AFTER_CAPEX","FQ4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R632" s="3" t="e">
        <f ca="1">_xll.BDH($C$628,"IS_OPER_INC","FQ4 2014","FQ4 2014","Currency=INR","Period=FQ","BEST_FPERIOD_OVERRIDE=FQ","FILING_STATUS=OR","EQY_CONSOLIDATED=Y","SCALING_FORMAT=MLN","FA_ADJUSTED=GAAP","Sort=A","Dates=H","DateFormat=P","Fill=—","Direction=H","UseDPDF=Y")</f>
        <v>#NAME?</v>
      </c>
      <c r="CS632" s="2" t="e">
        <f ca="1">_xll.BDH($C$628,"CASH_RATIO","FQ4 2014","FQ4 2014","Currency=INR","Period=FQ","BEST_FPERIOD_OVERRIDE=FQ","FILING_STATUS=OR","EQY_CONSOLIDATED=Y","Sort=A","Dates=H","DateFormat=P","Fill=—","Direction=H","UseDPDF=Y")</f>
        <v>#NAME?</v>
      </c>
      <c r="CT632" s="2" t="e">
        <f ca="1">_xll.BDH($C$628,"CUR_RATIO","FQ4 2014","FQ4 2014","Currency=INR","Period=FQ","BEST_FPERIOD_OVERRIDE=FQ","FILING_STATUS=OR","EQY_CONSOLIDATED=Y","Sort=A","Dates=H","DateFormat=P","Fill=—","Direction=H","UseDPDF=Y")</f>
        <v>#NAME?</v>
      </c>
      <c r="CU632" s="2" t="e">
        <f ca="1">_xll.BDH($C$628,"QUICK_RATIO","FQ4 2014","FQ4 2014","Currency=INR","Period=FQ","BEST_FPERIOD_OVERRIDE=FQ","FILING_STATUS=OR","EQY_CONSOLIDATED=Y","Sort=A","Dates=H","DateFormat=P","Fill=—","Direction=H","UseDPDF=Y")</f>
        <v>#NAME?</v>
      </c>
      <c r="CV632" s="2" t="e">
        <f ca="1">_xll.BDH($C$628,"ALTMAN_Z_SCORE","FQ4 2014","FQ4 2014","Currency=INR","Period=FQ","BEST_FPERIOD_OVERRIDE=FQ","FILING_STATUS=OR","EQY_CONSOLIDATED=Y","Sort=A","Dates=H","DateFormat=P","Fill=—","Direction=H","UseDPDF=Y")</f>
        <v>#NAME?</v>
      </c>
      <c r="CW632" s="4" t="e">
        <f ca="1">_xll.BDH($C$628,"ACCT_RCV_TURN","FQ4 2014","FQ4 2014","Currency=INR","Period=FQ","BEST_FPERIOD_OVERRIDE=FQ","FILING_STATUS=OR","EQY_CONSOLIDATED=Y","FA_ADJUSTED=GAAP","Sort=A","Dates=H","DateFormat=P","Fill=—","Direction=H","UseDPDF=Y")</f>
        <v>#NAME?</v>
      </c>
      <c r="CX632" s="2" t="e">
        <f ca="1">_xll.BDH($C$628,"ACCT_RCV_DAYS","FQ4 2014","FQ4 2014","Currency=INR","Period=FQ","BEST_FPERIOD_OVERRIDE=FQ","FILING_STATUS=OR","EQY_CONSOLIDATED=Y","FA_ADJUSTED=GAAP","Sort=A","Dates=H","DateFormat=P","Fill=—","Direction=H","UseDPDF=Y")</f>
        <v>#NAME?</v>
      </c>
      <c r="CY632" s="4" t="e">
        <f ca="1">_xll.BDH($C$628,"INVENT_TURN","FQ4 2014","FQ4 2014","Currency=INR","Period=FQ","BEST_FPERIOD_OVERRIDE=FQ","FILING_STATUS=OR","EQY_CONSOLIDATED=Y","FA_ADJUSTED=GAAP","Sort=A","Dates=H","DateFormat=P","Fill=—","Direction=H","UseDPDF=Y")</f>
        <v>#NAME?</v>
      </c>
      <c r="CZ632" s="2" t="e">
        <f ca="1">_xll.BDH($C$628,"INVENT_DAYS","FQ4 2014","FQ4 2014","Currency=INR","Period=FQ","BEST_FPERIOD_OVERRIDE=FQ","FILING_STATUS=OR","EQY_CONSOLIDATED=Y","FA_ADJUSTED=GAAP","Sort=A","Dates=H","DateFormat=P","Fill=—","Direction=H","UseDPDF=Y")</f>
        <v>#NAME?</v>
      </c>
      <c r="DA632" s="4" t="e">
        <f ca="1">_xll.BDH($C$628,"ACCOUNTS_PAYABLE_TURNOVER","FQ4 2014","FQ4 2014","Currency=INR","Period=FQ","BEST_FPERIOD_OVERRIDE=FQ","FILING_STATUS=OR","EQY_CONSOLIDATED=Y","FA_ADJUSTED=GAAP","Sort=A","Dates=H","DateFormat=P","Fill=—","Direction=H","UseDPDF=Y")</f>
        <v>#NAME?</v>
      </c>
      <c r="DB632" s="2" t="e">
        <f ca="1">_xll.BDH($C$628,"ACCOUNTS_PAYABLE_TURNOVER_DAYS","FQ4 2014","FQ4 2014","Currency=INR","Period=FQ","BEST_FPERIOD_OVERRIDE=FQ","FILING_STATUS=OR","EQY_CONSOLIDATED=Y","FA_ADJUSTED=GAAP","Sort=A","Dates=H","DateFormat=P","Fill=—","Direction=H","UseDPDF=Y")</f>
        <v>#NAME?</v>
      </c>
      <c r="DC632" s="4" t="e">
        <f ca="1">_xll.BDH($C$628,"CASH_CONVERSION_CYCLE","FQ4 2014","FQ4 2014","Currency=INR","Period=FQ","BEST_FPERIOD_OVERRIDE=FQ","FILING_STATUS=OR","EQY_CONSOLIDATED=Y","FA_ADJUSTED=GAAP","Sort=A","Dates=H","DateFormat=P","Fill=—","Direction=H","UseDPDF=Y")</f>
        <v>#NAME?</v>
      </c>
      <c r="DD632" s="4" t="e">
        <f ca="1">_xll.BDH($C$628,"INV_TO_CASH_DAYS","FQ4 2014","FQ4 2014","Currency=INR","Period=FQ","BEST_FPERIOD_OVERRIDE=FQ","FILING_STATUS=OR","EQY_CONSOLIDATED=Y","FA_ADJUSTED=GAAP","Sort=A","Dates=H","DateFormat=P","Fill=—","Direction=H","UseDPDF=Y")</f>
        <v>#NAME?</v>
      </c>
      <c r="DE632" s="5" t="e">
        <f ca="1">_xll.BDH($C$628,"BS_INVENTORIES","FQ4 2014","FQ4 2014","Currency=INR","Period=FQ","BEST_FPERIOD_OVERRIDE=FQ","FILING_STATUS=OR","EQY_CONSOLIDATED=Y","SCALING_FORMAT=MLN","Sort=A","Dates=H","DateFormat=P","Fill=—","Direction=H","UseDPDF=Y")</f>
        <v>#NAME?</v>
      </c>
      <c r="DF632" s="3" t="e">
        <f ca="1">_xll.BDH($C$628,"INVTRY_RAW_MATERIALS","FQ4 2014","FQ4 2014","Currency=INR","Period=FQ","BEST_FPERIOD_OVERRIDE=FQ","FILING_STATUS=OR","EQY_CONSOLIDATED=Y","SCALING_FORMAT=MLN","Sort=A","Dates=H","DateFormat=P","Fill=—","Direction=H","UseDPDF=Y")</f>
        <v>#NAME?</v>
      </c>
      <c r="DG632" s="3" t="e">
        <f ca="1">_xll.BDH($C$628,"INVTRY_IN_PROGRESS","FQ4 2014","FQ4 2014","Currency=INR","Period=FQ","BEST_FPERIOD_OVERRIDE=FQ","FILING_STATUS=OR","EQY_CONSOLIDATED=Y","SCALING_FORMAT=MLN","Sort=A","Dates=H","DateFormat=P","Fill=—","Direction=H","UseDPDF=Y")</f>
        <v>#NAME?</v>
      </c>
      <c r="DH632" s="3" t="e">
        <f ca="1">_xll.BDH($C$628,"INVTRY_FINISHED_GOODS","FQ4 2014","FQ4 2014","Currency=INR","Period=FQ","BEST_FPERIOD_OVERRIDE=FQ","FILING_STATUS=OR","EQY_CONSOLIDATED=Y","SCALING_FORMAT=MLN","Sort=A","Dates=H","DateFormat=P","Fill=—","Direction=H","UseDPDF=Y")</f>
        <v>#NAME?</v>
      </c>
      <c r="DI632" s="3" t="e">
        <f ca="1">_xll.BDH($C$628,"BS_OTHER_INV","FQ4 2014","FQ4 2014","Currency=INR","Period=FQ","BEST_FPERIOD_OVERRIDE=FQ","FILING_STATUS=OR","EQY_CONSOLIDATED=Y","SCALING_FORMAT=MLN","Sort=A","Dates=H","DateFormat=P","Fill=—","Direction=H","UseDPDF=Y")</f>
        <v>#NAME?</v>
      </c>
    </row>
    <row r="633" spans="1:113" x14ac:dyDescent="0.3">
      <c r="A633" s="6"/>
      <c r="B633" s="6"/>
      <c r="C633" s="6"/>
      <c r="D633" s="6" t="s">
        <v>82</v>
      </c>
      <c r="E633" t="s">
        <v>77</v>
      </c>
      <c r="F633" t="e">
        <f ca="1">_xll.BDH($C$628,"RETURN_COM_EQY","FY 2015","FY 2015","Currency=INR","Period=FY","BEST_FPERIOD_OVERRIDE=FY","FILING_STATUS=OR","EQY_CONSOLIDATED=Y","FA_ADJUSTED=GAAP","Sort=A","Dates=H","DateFormat=P","Fill=—","Direction=H","UseDPDF=Y")</f>
        <v>#NAME?</v>
      </c>
      <c r="G633" t="e">
        <f ca="1">_xll.BDH($C$628,"RETURN_ON_ASSET","FY 2015","FY 2015","Currency=INR","Period=FY","BEST_FPERIOD_OVERRIDE=FY","FILING_STATUS=OR","EQY_CONSOLIDATED=Y","FA_ADJUSTED=GAAP","Sort=A","Dates=H","DateFormat=P","Fill=—","Direction=H","UseDPDF=Y")</f>
        <v>#NAME?</v>
      </c>
      <c r="H633" t="e">
        <f ca="1">_xll.BDH($C$628,"RETURN_ON_CAP","FY 2015","FY 2015","Currency=INR","Period=FY","BEST_FPERIOD_OVERRIDE=FY","FILING_STATUS=OR","EQY_CONSOLIDATED=Y","FA_ADJUSTED=GAAP","Sort=A","Dates=H","DateFormat=P","Fill=—","Direction=H","UseDPDF=Y")</f>
        <v>#NAME?</v>
      </c>
      <c r="I633" t="e">
        <f ca="1">_xll.BDH($C$628,"RETURN_ON_INV_CAPITAL","FY 2015","FY 2015","Currency=INR","Period=FY","BEST_FPERIOD_OVERRIDE=FY","FILING_STATUS=OR","EQY_CONSOLIDATED=Y","FA_ADJUSTED=GAAP","Sort=A","Dates=H","DateFormat=P","Fill=—","Direction=H","UseDPDF=Y")</f>
        <v>#NAME?</v>
      </c>
      <c r="J633" t="e">
        <f ca="1">_xll.BDH($C$628,"EBITDA_TO_REVENUE","FY 2015","FY 2015","Currency=INR","Period=FY","BEST_FPERIOD_OVERRIDE=FY","FILING_STATUS=OR","EQY_CONSOLIDATED=Y","FA_ADJUSTED=GAAP","Sort=A","Dates=H","DateFormat=P","Fill=—","Direction=H","UseDPDF=Y")</f>
        <v>#NAME?</v>
      </c>
      <c r="K633" t="e">
        <f ca="1">_xll.BDH($C$628,"OPER_MARGIN","FY 2015","FY 2015","Currency=INR","Period=FY","BEST_FPERIOD_OVERRIDE=FY","FILING_STATUS=OR","EQY_CONSOLIDATED=Y","FA_ADJUSTED=GAAP","Sort=A","Dates=H","DateFormat=P","Fill=—","Direction=H","UseDPDF=Y")</f>
        <v>#NAME?</v>
      </c>
      <c r="L633" t="e">
        <f ca="1">_xll.BDH($C$628,"INCREMENTAL_OPERATING_MARGIN","FY 2015","FY 2015","Currency=INR","Period=FY","BEST_FPERIOD_OVERRIDE=FY","FILING_STATUS=OR","EQY_CONSOLIDATED=Y","FA_ADJUSTED=GAAP","Sort=A","Dates=H","DateFormat=P","Fill=—","Direction=H","UseDPDF=Y")</f>
        <v>#NAME?</v>
      </c>
      <c r="M633" t="e">
        <f ca="1">_xll.BDH($C$628,"PRETAX_INC_TO_NET_SALES","FY 2015","FY 2015","Currency=INR","Period=FY","BEST_FPERIOD_OVERRIDE=FY","FILING_STATUS=OR","EQY_CONSOLIDATED=Y","FA_ADJUSTED=GAAP","Sort=A","Dates=H","DateFormat=P","Fill=—","Direction=H","UseDPDF=Y")</f>
        <v>#NAME?</v>
      </c>
      <c r="N633" t="e">
        <f ca="1">_xll.BDH($C$628,"INC_BEF_XO_ITEMS_TO_NET_SALES","FY 2015","FY 2015","Currency=INR","Period=FY","BEST_FPERIOD_OVERRIDE=FY","FILING_STATUS=OR","EQY_CONSOLIDATED=Y","FA_ADJUSTED=GAAP","Sort=A","Dates=H","DateFormat=P","Fill=—","Direction=H","UseDPDF=Y")</f>
        <v>#NAME?</v>
      </c>
      <c r="O633" t="e">
        <f ca="1">_xll.BDH($C$628,"PROF_MARGIN","FY 2015","FY 2015","Currency=INR","Period=FY","BEST_FPERIOD_OVERRIDE=FY","FILING_STATUS=OR","EQY_CONSOLIDATED=Y","FA_ADJUSTED=GAAP","Sort=A","Dates=H","DateFormat=P","Fill=—","Direction=H","UseDPDF=Y")</f>
        <v>#NAME?</v>
      </c>
      <c r="P633" t="e">
        <f ca="1">_xll.BDH($C$628,"NET_INCOME_TO_COMMON_MARGIN","FY 2015","FY 2015","Currency=INR","Period=FY","BEST_FPERIOD_OVERRIDE=FY","FILING_STATUS=OR","EQY_CONSOLIDATED=Y","FA_ADJUSTED=GAAP","Sort=A","Dates=H","DateFormat=P","Fill=—","Direction=H","UseDPDF=Y")</f>
        <v>#NAME?</v>
      </c>
      <c r="Q633" t="e">
        <f ca="1">_xll.BDH($C$628,"EFF_TAX_RATE","FY 2015","FY 2015","Currency=INR","Period=FY","BEST_FPERIOD_OVERRIDE=FY","FILING_STATUS=OR","EQY_CONSOLIDATED=Y","FA_ADJUSTED=GAAP","Sort=A","Dates=H","DateFormat=P","Fill=—","Direction=H","UseDPDF=Y")</f>
        <v>#NAME?</v>
      </c>
      <c r="R633" t="e">
        <f ca="1">_xll.BDH($C$628,"DVD_PAYOUT_RATIO","FY 2015","FY 2015","Currency=INR","Period=FY","BEST_FPERIOD_OVERRIDE=FY","FILING_STATUS=OR","EQY_CONSOLIDATED=Y","FA_ADJUSTED=GAAP","Sort=A","Dates=H","DateFormat=P","Fill=—","Direction=H","UseDPDF=Y")</f>
        <v>#NAME?</v>
      </c>
      <c r="S633" t="e">
        <f ca="1">_xll.BDH($C$628,"SUSTAIN_GROWTH_RT","FY 2015","FY 2015","Currency=INR","Period=FY","BEST_FPERIOD_OVERRIDE=FY","FILING_STATUS=OR","EQY_CONSOLIDATED=Y","FA_ADJUSTED=GAAP","Sort=A","Dates=H","DateFormat=P","Fill=—","Direction=H","UseDPDF=Y")</f>
        <v>#NAME?</v>
      </c>
      <c r="T633" s="2" t="e">
        <f ca="1">_xll.BDH($C$628,"SALES_GROWTH","FY 2015","FY 2015","Currency=INR","Period=FY","BEST_FPERIOD_OVERRIDE=FY","FILING_STATUS=OR","EQY_CONSOLIDATED=Y","FA_ADJUSTED=GAAP","Sort=A","Dates=H","DateFormat=P","Fill=—","Direction=H","UseDPDF=Y")</f>
        <v>#NAME?</v>
      </c>
      <c r="U633" s="2" t="e">
        <f ca="1">_xll.BDH($C$628,"EBITDA_GROWTH","FY 2015","FY 2015","Currency=INR","Period=FY","BEST_FPERIOD_OVERRIDE=FY","FILING_STATUS=OR","EQY_CONSOLIDATED=Y","FA_ADJUSTED=GAAP","Sort=A","Dates=H","DateFormat=P","Fill=—","Direction=H","UseDPDF=Y")</f>
        <v>#NAME?</v>
      </c>
      <c r="V633" s="2" t="e">
        <f ca="1">_xll.BDH($C$628,"OPER_INC_GROWTH","FY 2015","FY 2015","Currency=INR","Period=FY","BEST_FPERIOD_OVERRIDE=FY","FILING_STATUS=OR","EQY_CONSOLIDATED=Y","FA_ADJUSTED=GAAP","Sort=A","Dates=H","DateFormat=P","Fill=—","Direction=H","UseDPDF=Y")</f>
        <v>#NAME?</v>
      </c>
      <c r="W633" s="2" t="e">
        <f ca="1">_xll.BDH($C$628,"EARN_FOR_COM_GROWTH","FY 2015","FY 2015","Currency=INR","Period=FY","BEST_FPERIOD_OVERRIDE=FY","FILING_STATUS=OR","EQY_CONSOLIDATED=Y","FA_ADJUSTED=GAAP","Sort=A","Dates=H","DateFormat=P","Fill=—","Direction=H","UseDPDF=Y")</f>
        <v>#NAME?</v>
      </c>
      <c r="X633" s="2" t="e">
        <f ca="1">_xll.BDH($C$628,"DILUTED_EPS_AFT_XO_ITEMS_GROWTH","FY 2015","FY 2015","Currency=INR","Period=FY","BEST_FPERIOD_OVERRIDE=FY","FILING_STATUS=OR","EQY_CONSOLIDATED=Y","FA_ADJUSTED=GAAP","Sort=A","Dates=H","DateFormat=P","Fill=—","Direction=H","UseDPDF=Y")</f>
        <v>#NAME?</v>
      </c>
      <c r="Y633" s="2" t="e">
        <f ca="1">_xll.BDH($C$628,"DIVIDEND_PER_SHARE_1_YEAR_GROWTH","FY 2015","FY 2015","Currency=INR","Period=FY","BEST_FPERIOD_OVERRIDE=FY","FILING_STATUS=OR","EQY_CONSOLIDATED=Y","Sort=A","Dates=H","DateFormat=P","Fill=—","Direction=H","UseDPDF=Y")</f>
        <v>#NAME?</v>
      </c>
      <c r="Z633" s="2" t="e">
        <f ca="1">_xll.BDH($C$628,"ACCOUNTS_RECEIVABLE_GROWTH","FY 2015","FY 2015","Currency=INR","Period=FY","BEST_FPERIOD_OVERRIDE=FY","FILING_STATUS=OR","EQY_CONSOLIDATED=Y","Sort=A","Dates=H","DateFormat=P","Fill=—","Direction=H","UseDPDF=Y")</f>
        <v>#NAME?</v>
      </c>
      <c r="AA633" s="2" t="e">
        <f ca="1">_xll.BDH($C$628,"INVENTORY_GROWTH","FY 2015","FY 2015","Currency=INR","Period=FY","BEST_FPERIOD_OVERRIDE=FY","FILING_STATUS=OR","EQY_CONSOLIDATED=Y","Sort=A","Dates=H","DateFormat=P","Fill=—","Direction=H","UseDPDF=Y")</f>
        <v>#NAME?</v>
      </c>
      <c r="AB633" s="2" t="e">
        <f ca="1">_xll.BDH($C$628,"NET_FIXED_ASSETS_1_YEAR_GROWTH","FY 2015","FY 2015","Currency=INR","Period=FY","BEST_FPERIOD_OVERRIDE=FY","FILING_STATUS=OR","EQY_CONSOLIDATED=Y","Sort=A","Dates=H","DateFormat=P","Fill=—","Direction=H","UseDPDF=Y")</f>
        <v>#NAME?</v>
      </c>
      <c r="AC633" s="2" t="e">
        <f ca="1">_xll.BDH($C$628,"ASSET_GROWTH","FY 2015","FY 2015","Currency=INR","Period=FY","BEST_FPERIOD_OVERRIDE=FY","FILING_STATUS=OR","EQY_CONSOLIDATED=Y","Sort=A","Dates=H","DateFormat=P","Fill=—","Direction=H","UseDPDF=Y")</f>
        <v>#NAME?</v>
      </c>
      <c r="AD633" s="2" t="e">
        <f ca="1">_xll.BDH($C$628,"MODIFIED_WORK_CAP_GROWTH","FY 2015","FY 2015","Currency=INR","Period=FY","BEST_FPERIOD_OVERRIDE=FY","FILING_STATUS=OR","EQY_CONSOLIDATED=Y","Sort=A","Dates=H","DateFormat=P","Fill=—","Direction=H","UseDPDF=Y")</f>
        <v>#NAME?</v>
      </c>
      <c r="AE633" s="2" t="e">
        <f ca="1">_xll.BDH($C$628,"WORK_CAP_GROWTH","FY 2015","FY 2015","Currency=INR","Period=FY","BEST_FPERIOD_OVERRIDE=FY","FILING_STATUS=OR","EQY_CONSOLIDATED=Y","Sort=A","Dates=H","DateFormat=P","Fill=—","Direction=H","UseDPDF=Y")</f>
        <v>#NAME?</v>
      </c>
      <c r="AF633" s="2" t="e">
        <f ca="1">_xll.BDH($C$628,"ACCOUNTS_PAYABLE_GROWTH_1YR","FY 2015","FY 2015","Currency=INR","Period=FY","BEST_FPERIOD_OVERRIDE=FY","FILING_STATUS=OR","EQY_CONSOLIDATED=Y","Sort=A","Dates=H","DateFormat=P","Fill=—","Direction=H","UseDPDF=Y")</f>
        <v>#NAME?</v>
      </c>
      <c r="AG633" s="2" t="e">
        <f ca="1">_xll.BDH($C$628,"SHORT_TERM_DEBT_1_YEAR_GROWTH","FY 2015","FY 2015","Currency=INR","Period=FY","BEST_FPERIOD_OVERRIDE=FY","FILING_STATUS=OR","EQY_CONSOLIDATED=Y","Sort=A","Dates=H","DateFormat=P","Fill=—","Direction=H","UseDPDF=Y")</f>
        <v>#NAME?</v>
      </c>
      <c r="AH633" s="2" t="e">
        <f ca="1">_xll.BDH($C$628,"TOTAL_DEBT_1_YEAR_GROWTH","FY 2015","FY 2015","Currency=INR","Period=FY","BEST_FPERIOD_OVERRIDE=FY","FILING_STATUS=OR","EQY_CONSOLIDATED=Y","Sort=A","Dates=H","DateFormat=P","Fill=—","Direction=H","UseDPDF=Y")</f>
        <v>#NAME?</v>
      </c>
      <c r="AI633" s="2" t="e">
        <f ca="1">_xll.BDH($C$628,"TOTAL_EQUITY_1_YEAR_GROWTH","FY 2015","FY 2015","Currency=INR","Period=FY","BEST_FPERIOD_OVERRIDE=FY","FILING_STATUS=OR","EQY_CONSOLIDATED=Y","Sort=A","Dates=H","DateFormat=P","Fill=—","Direction=H","UseDPDF=Y")</f>
        <v>#NAME?</v>
      </c>
      <c r="AJ633" s="2" t="e">
        <f ca="1">_xll.BDH($C$628,"GROWTH_IN_CAP","FY 2015","FY 2015","Currency=INR","Period=FY","BEST_FPERIOD_OVERRIDE=FY","FILING_STATUS=OR","EQY_CONSOLIDATED=Y","Sort=A","Dates=H","DateFormat=P","Fill=—","Direction=H","UseDPDF=Y")</f>
        <v>#NAME?</v>
      </c>
      <c r="AK633" s="2" t="e">
        <f ca="1">_xll.BDH($C$628,"BVPS_GROWTH","FY 2015","FY 2015","Currency=INR","Period=FY","BEST_FPERIOD_OVERRIDE=FY","FILING_STATUS=OR","EQY_CONSOLIDATED=Y","Sort=A","Dates=H","DateFormat=P","Fill=—","Direction=H","UseDPDF=Y")</f>
        <v>#NAME?</v>
      </c>
      <c r="AL633" s="2" t="e">
        <f ca="1">_xll.BDH($C$628,"CASH_FLOW_GROWTH","FY 2015","FY 2015","Currency=INR","Period=FY","BEST_FPERIOD_OVERRIDE=FY","FILING_STATUS=OR","EQY_CONSOLIDATED=Y","Sort=A","Dates=H","DateFormat=P","Fill=—","Direction=H","UseDPDF=Y")</f>
        <v>#NAME?</v>
      </c>
      <c r="AM633" s="2" t="e">
        <f ca="1">_xll.BDH($C$628,"GEO_GROW_NET_SALES","FY 2015","FY 2015","Currency=INR","Period=FY","BEST_FPERIOD_OVERRIDE=FY","FILING_STATUS=OR","EQY_CONSOLIDATED=Y","FA_ADJUSTED=GAAP","Sort=A","Dates=H","DateFormat=P","Fill=—","Direction=H","UseDPDF=Y")</f>
        <v>#NAME?</v>
      </c>
      <c r="AN633" s="2" t="e">
        <f ca="1">_xll.BDH($C$628,"GEO_GROW_EBITDA","FY 2015","FY 2015","Currency=INR","Period=FY","BEST_FPERIOD_OVERRIDE=FY","FILING_STATUS=OR","EQY_CONSOLIDATED=Y","FA_ADJUSTED=GAAP","Sort=A","Dates=H","DateFormat=P","Fill=—","Direction=H","UseDPDF=Y")</f>
        <v>#NAME?</v>
      </c>
      <c r="AO633" s="2" t="e">
        <f ca="1">_xll.BDH($C$628,"GEO_GROW_OPER_INC","FY 2015","FY 2015","Currency=INR","Period=FY","BEST_FPERIOD_OVERRIDE=FY","FILING_STATUS=OR","EQY_CONSOLIDATED=Y","FA_ADJUSTED=GAAP","Sort=A","Dates=H","DateFormat=P","Fill=—","Direction=H","UseDPDF=Y")</f>
        <v>#NAME?</v>
      </c>
      <c r="AP633" s="2" t="e">
        <f ca="1">_xll.BDH($C$628,"NET_INCOME_TO_COMMON_5_YR_GROWTH","FY 2015","FY 2015","Currency=INR","Period=FY","BEST_FPERIOD_OVERRIDE=FY","FILING_STATUS=OR","EQY_CONSOLIDATED=Y","FA_ADJUSTED=GAAP","Sort=A","Dates=H","DateFormat=P","Fill=—","Direction=H","UseDPDF=Y")</f>
        <v>#NAME?</v>
      </c>
      <c r="AQ633" s="2" t="e">
        <f ca="1">_xll.BDH($C$628,"5Y_GEO_GROWTH_DILUTED_EPS","FY 2015","FY 2015","Currency=INR","Period=FY","BEST_FPERIOD_OVERRIDE=FY","FILING_STATUS=OR","EQY_CONSOLIDATED=Y","FA_ADJUSTED=GAAP","Sort=A","Dates=H","DateFormat=P","Fill=—","Direction=H","UseDPDF=Y")</f>
        <v>#NAME?</v>
      </c>
      <c r="AR633" s="2" t="e">
        <f ca="1">_xll.BDH($C$628,"GEO_GROW_DVD_PER_SH","FY 2015","FY 2015","Currency=INR","Period=FY","BEST_FPERIOD_OVERRIDE=FY","FILING_STATUS=OR","EQY_CONSOLIDATED=Y","Sort=A","Dates=H","DateFormat=P","Fill=—","Direction=H","UseDPDF=Y")</f>
        <v>#NAME?</v>
      </c>
      <c r="AS633" s="2" t="e">
        <f ca="1">_xll.BDH($C$628,"ACCOUNTS_RECEIVABLE_5_YR_GROWTH","FY 2015","FY 2015","Currency=INR","Period=FY","BEST_FPERIOD_OVERRIDE=FY","FILING_STATUS=OR","EQY_CONSOLIDATED=Y","Sort=A","Dates=H","DateFormat=P","Fill=—","Direction=H","UseDPDF=Y")</f>
        <v>#NAME?</v>
      </c>
      <c r="AT633" s="2" t="e">
        <f ca="1">_xll.BDH($C$628,"INVENTORY_5_YEAR_GROWTH","FY 2015","FY 2015","Currency=INR","Period=FY","BEST_FPERIOD_OVERRIDE=FY","FILING_STATUS=OR","EQY_CONSOLIDATED=Y","Sort=A","Dates=H","DateFormat=P","Fill=—","Direction=H","UseDPDF=Y")</f>
        <v>#NAME?</v>
      </c>
      <c r="AU633" s="2" t="e">
        <f ca="1">_xll.BDH($C$628,"NET_FIXED_ASSETS_5_YEAR_GROWTH","FY 2015","FY 2015","Currency=INR","Period=FY","BEST_FPERIOD_OVERRIDE=FY","FILING_STATUS=OR","EQY_CONSOLIDATED=Y","Sort=A","Dates=H","DateFormat=P","Fill=—","Direction=H","UseDPDF=Y")</f>
        <v>#NAME?</v>
      </c>
      <c r="AV633" s="2" t="e">
        <f ca="1">_xll.BDH($C$628,"GEO_GROW_TOT_ASSET","FY 2015","FY 2015","Currency=INR","Period=FY","BEST_FPERIOD_OVERRIDE=FY","FILING_STATUS=OR","EQY_CONSOLIDATED=Y","Sort=A","Dates=H","DateFormat=P","Fill=—","Direction=H","UseDPDF=Y")</f>
        <v>#NAME?</v>
      </c>
      <c r="AW633" s="2" t="e">
        <f ca="1">_xll.BDH($C$628,"MODIFIED_WORKING_CPTL_5YR_GRWTH","FY 2015","FY 2015","Currency=INR","Period=FY","BEST_FPERIOD_OVERRIDE=FY","FILING_STATUS=OR","EQY_CONSOLIDATED=Y","Sort=A","Dates=H","DateFormat=P","Fill=—","Direction=H","UseDPDF=Y")</f>
        <v>#NAME?</v>
      </c>
      <c r="AX633" s="2" t="e">
        <f ca="1">_xll.BDH($C$628,"WORKING_CAPITAL_5_YEAR_GROWTH","FY 2015","FY 2015","Currency=INR","Period=FY","BEST_FPERIOD_OVERRIDE=FY","FILING_STATUS=OR","EQY_CONSOLIDATED=Y","Sort=A","Dates=H","DateFormat=P","Fill=—","Direction=H","UseDPDF=Y")</f>
        <v>#NAME?</v>
      </c>
      <c r="AY633" s="2" t="e">
        <f ca="1">_xll.BDH($C$628,"ACCOUNTS_PAYABLE_5_YEAR_GROWTH","FY 2015","FY 2015","Currency=INR","Period=FY","BEST_FPERIOD_OVERRIDE=FY","FILING_STATUS=OR","EQY_CONSOLIDATED=Y","Sort=A","Dates=H","DateFormat=P","Fill=—","Direction=H","UseDPDF=Y")</f>
        <v>#NAME?</v>
      </c>
      <c r="AZ633" s="2" t="e">
        <f ca="1">_xll.BDH($C$628,"SHORT_TERM_DEBT_5_YEAR_GROWTH","FY 2015","FY 2015","Currency=INR","Period=FY","BEST_FPERIOD_OVERRIDE=FY","FILING_STATUS=OR","EQY_CONSOLIDATED=Y","Sort=A","Dates=H","DateFormat=P","Fill=—","Direction=H","UseDPDF=Y")</f>
        <v>#NAME?</v>
      </c>
      <c r="BA633" s="2" t="e">
        <f ca="1">_xll.BDH($C$628,"TOTAL_DEBT_5_YEAR_GROWTH","FY 2015","FY 2015","Currency=INR","Period=FY","BEST_FPERIOD_OVERRIDE=FY","FILING_STATUS=OR","EQY_CONSOLIDATED=Y","Sort=A","Dates=H","DateFormat=P","Fill=—","Direction=H","UseDPDF=Y")</f>
        <v>#NAME?</v>
      </c>
      <c r="BB633" s="2" t="e">
        <f ca="1">_xll.BDH($C$628,"GEO_GROW_TOT_SHRHLDR_EQY","FY 2015","FY 2015","Currency=INR","Period=FY","BEST_FPERIOD_OVERRIDE=FY","FILING_STATUS=OR","EQY_CONSOLIDATED=Y","Sort=A","Dates=H","DateFormat=P","Fill=—","Direction=H","UseDPDF=Y")</f>
        <v>#NAME?</v>
      </c>
      <c r="BC633" s="2" t="e">
        <f ca="1">_xll.BDH($C$628,"TOTAL_CAPITAL_5_YEAR_GROWTH","FY 2015","FY 2015","Currency=INR","Period=FY","BEST_FPERIOD_OVERRIDE=FY","FILING_STATUS=OR","EQY_CONSOLIDATED=Y","Sort=A","Dates=H","DateFormat=P","Fill=—","Direction=H","UseDPDF=Y")</f>
        <v>#NAME?</v>
      </c>
      <c r="BD633" s="2" t="e">
        <f ca="1">_xll.BDH($C$628,"GEO_GROW_BOOK_VAL","FY 2015","FY 2015","Currency=INR","Period=FY","BEST_FPERIOD_OVERRIDE=FY","FILING_STATUS=OR","EQY_CONSOLIDATED=Y","Sort=A","Dates=H","DateFormat=P","Fill=—","Direction=H","UseDPDF=Y")</f>
        <v>#NAME?</v>
      </c>
      <c r="BE633" s="2" t="e">
        <f ca="1">_xll.BDH($C$628,"GEO_GROW_CASH_OPER_ACT","FY 2015","FY 2015","Currency=INR","Period=FY","BEST_FPERIOD_OVERRIDE=FY","FILING_STATUS=OR","EQY_CONSOLIDATED=Y","Sort=A","Dates=H","DateFormat=P","Fill=—","Direction=H","UseDPDF=Y")</f>
        <v>#NAME?</v>
      </c>
      <c r="BF633" s="2" t="e">
        <f ca="1">_xll.BDH($C$628,"REVENUE_SEQUENTIAL_GROWTH","FY 2015","FY 2015","Currency=INR","Period=FY","BEST_FPERIOD_OVERRIDE=FY","FILING_STATUS=OR","EQY_CONSOLIDATED=Y","FA_ADJUSTED=GAAP","Sort=A","Dates=H","DateFormat=P","Fill=—","Direction=H","UseDPDF=Y")</f>
        <v>#NAME?</v>
      </c>
      <c r="BG633" s="2" t="e">
        <f ca="1">_xll.BDH($C$628,"EBITDA_SEQUENTIAL_GROWTH","FY 2015","FY 2015","Currency=INR","Period=FY","BEST_FPERIOD_OVERRIDE=FY","FILING_STATUS=OR","EQY_CONSOLIDATED=Y","FA_ADJUSTED=GAAP","Sort=A","Dates=H","DateFormat=P","Fill=—","Direction=H","UseDPDF=Y")</f>
        <v>#NAME?</v>
      </c>
      <c r="BH633" s="2" t="e">
        <f ca="1">_xll.BDH($C$628,"OPERATING_INCOME_SEQ_GROWTH","FY 2015","FY 2015","Currency=INR","Period=FY","BEST_FPERIOD_OVERRIDE=FY","FILING_STATUS=OR","EQY_CONSOLIDATED=Y","FA_ADJUSTED=GAAP","Sort=A","Dates=H","DateFormat=P","Fill=—","Direction=H","UseDPDF=Y")</f>
        <v>#NAME?</v>
      </c>
      <c r="BI633" s="2" t="e">
        <f ca="1">_xll.BDH($C$628,"NET_INCOME_TO_COMMON_SEQ_GROWTH","FY 2015","FY 2015","Currency=INR","Period=FY","BEST_FPERIOD_OVERRIDE=FY","FILING_STATUS=OR","EQY_CONSOLIDATED=Y","FA_ADJUSTED=GAAP","Sort=A","Dates=H","DateFormat=P","Fill=—","Direction=H","UseDPDF=Y")</f>
        <v>#NAME?</v>
      </c>
      <c r="BJ633" s="2" t="e">
        <f ca="1">_xll.BDH($C$628,"EPS_DILUTED_SEQUENTIAL_GROWTH","FY 2015","FY 2015","Currency=INR","Period=FY","BEST_FPERIOD_OVERRIDE=FY","FILING_STATUS=OR","EQY_CONSOLIDATED=Y","FA_ADJUSTED=GAAP","Sort=A","Dates=H","DateFormat=P","Fill=—","Direction=H","UseDPDF=Y")</f>
        <v>#NAME?</v>
      </c>
      <c r="BK633" s="2" t="e">
        <f ca="1">_xll.BDH($C$628,"DPS_SEQUENTIAL_GROWTH","FY 2015","FY 2015","Currency=INR","Period=FY","BEST_FPERIOD_OVERRIDE=FY","FILING_STATUS=OR","EQY_CONSOLIDATED=Y","Sort=A","Dates=H","DateFormat=P","Fill=—","Direction=H","UseDPDF=Y")</f>
        <v>#NAME?</v>
      </c>
      <c r="BL633" s="2" t="e">
        <f ca="1">_xll.BDH($C$628,"ACCOUNTS_RECEIVABLE_SEQ_GROWTH","FY 2015","FY 2015","Currency=INR","Period=FY","BEST_FPERIOD_OVERRIDE=FY","FILING_STATUS=OR","EQY_CONSOLIDATED=Y","Sort=A","Dates=H","DateFormat=P","Fill=—","Direction=H","UseDPDF=Y")</f>
        <v>#NAME?</v>
      </c>
      <c r="BM633" s="2" t="e">
        <f ca="1">_xll.BDH($C$628,"INVENTORY_SEQUENTIAL_GROWTH","FY 2015","FY 2015","Currency=INR","Period=FY","BEST_FPERIOD_OVERRIDE=FY","FILING_STATUS=OR","EQY_CONSOLIDATED=Y","Sort=A","Dates=H","DateFormat=P","Fill=—","Direction=H","UseDPDF=Y")</f>
        <v>#NAME?</v>
      </c>
      <c r="BN633" s="2" t="e">
        <f ca="1">_xll.BDH($C$628,"FIXED_ASSETS_SEQUENTIAL_GROWTH","FY 2015","FY 2015","Currency=INR","Period=FY","BEST_FPERIOD_OVERRIDE=FY","FILING_STATUS=OR","EQY_CONSOLIDATED=Y","Sort=A","Dates=H","DateFormat=P","Fill=—","Direction=H","UseDPDF=Y")</f>
        <v>#NAME?</v>
      </c>
      <c r="BO633" s="2" t="e">
        <f ca="1">_xll.BDH($C$628,"TOTAL_ASSETS_SEQUENTIAL_GROWTH","FY 2015","FY 2015","Currency=INR","Period=FY","BEST_FPERIOD_OVERRIDE=FY","FILING_STATUS=OR","EQY_CONSOLIDATED=Y","Sort=A","Dates=H","DateFormat=P","Fill=—","Direction=H","UseDPDF=Y")</f>
        <v>#NAME?</v>
      </c>
      <c r="BP633" s="2" t="e">
        <f ca="1">_xll.BDH($C$628,"MODIFIED_WORKING_CPTL_SEQ_GRWTH","FY 2015","FY 2015","Currency=INR","Period=FY","BEST_FPERIOD_OVERRIDE=FY","FILING_STATUS=OR","EQY_CONSOLIDATED=Y","Sort=A","Dates=H","DateFormat=P","Fill=—","Direction=H","UseDPDF=Y")</f>
        <v>#NAME?</v>
      </c>
      <c r="BQ633" s="2" t="e">
        <f ca="1">_xll.BDH($C$628,"WORKING_CAPITAL_SEQ_GROWTH","FY 2015","FY 2015","Currency=INR","Period=FY","BEST_FPERIOD_OVERRIDE=FY","FILING_STATUS=OR","EQY_CONSOLIDATED=Y","Sort=A","Dates=H","DateFormat=P","Fill=—","Direction=H","UseDPDF=Y")</f>
        <v>#NAME?</v>
      </c>
      <c r="BR633" s="2" t="e">
        <f ca="1">_xll.BDH($C$628,"ACCOUNTS_PAYABLE_SEQ_GROWTH","FY 2015","FY 2015","Currency=INR","Period=FY","BEST_FPERIOD_OVERRIDE=FY","FILING_STATUS=OR","EQY_CONSOLIDATED=Y","Sort=A","Dates=H","DateFormat=P","Fill=—","Direction=H","UseDPDF=Y")</f>
        <v>#NAME?</v>
      </c>
      <c r="BS633" s="2" t="e">
        <f ca="1">_xll.BDH($C$628,"ST_DEBT_SEQUENTIAL_GROWTH","FY 2015","FY 2015","Currency=INR","Period=FY","BEST_FPERIOD_OVERRIDE=FY","FILING_STATUS=OR","EQY_CONSOLIDATED=Y","Sort=A","Dates=H","DateFormat=P","Fill=—","Direction=H","UseDPDF=Y")</f>
        <v>#NAME?</v>
      </c>
      <c r="BT633" s="2" t="e">
        <f ca="1">_xll.BDH($C$628,"TOTAL_DEBT_SEQUENTIAL_GROWTH","FY 2015","FY 2015","Currency=INR","Period=FY","BEST_FPERIOD_OVERRIDE=FY","FILING_STATUS=OR","EQY_CONSOLIDATED=Y","Sort=A","Dates=H","DateFormat=P","Fill=—","Direction=H","UseDPDF=Y")</f>
        <v>#NAME?</v>
      </c>
      <c r="BU633" s="2" t="e">
        <f ca="1">_xll.BDH($C$628,"TOTAL_EQUITY_SEQUENTIAL_GROWTH","FY 2015","FY 2015","Currency=INR","Period=FY","BEST_FPERIOD_OVERRIDE=FY","FILING_STATUS=OR","EQY_CONSOLIDATED=Y","Sort=A","Dates=H","DateFormat=P","Fill=—","Direction=H","UseDPDF=Y")</f>
        <v>#NAME?</v>
      </c>
      <c r="BV633" s="2" t="e">
        <f ca="1">_xll.BDH($C$628,"TOTAL_CAPITAL_SEQUENTIAL_GROWTH","FY 2015","FY 2015","Currency=INR","Period=FY","BEST_FPERIOD_OVERRIDE=FY","FILING_STATUS=OR","EQY_CONSOLIDATED=Y","Sort=A","Dates=H","DateFormat=P","Fill=—","Direction=H","UseDPDF=Y")</f>
        <v>#NAME?</v>
      </c>
      <c r="BW633" s="2" t="e">
        <f ca="1">_xll.BDH($C$628,"BPS_SEQUENTIAL_GROWTH","FY 2015","FY 2015","Currency=INR","Period=FY","BEST_FPERIOD_OVERRIDE=FY","FILING_STATUS=OR","EQY_CONSOLIDATED=Y","Sort=A","Dates=H","DateFormat=P","Fill=—","Direction=H","UseDPDF=Y")</f>
        <v>#NAME?</v>
      </c>
      <c r="BX633" s="2" t="e">
        <f ca="1">_xll.BDH($C$628,"CFO_SEQUENTIAL_GROWTH","FY 2015","FY 2015","Currency=INR","Period=FY","BEST_FPERIOD_OVERRIDE=FY","FILING_STATUS=OR","EQY_CONSOLIDATED=Y","Sort=A","Dates=H","DateFormat=P","Fill=—","Direction=H","UseDPDF=Y")</f>
        <v>#NAME?</v>
      </c>
      <c r="BY633" s="3" t="e">
        <f ca="1">_xll.BDH($C$628,"SHORT_AND_LONG_TERM_DEBT","FY 2015","FY 2015","Currency=INR","Period=FY","BEST_FPERIOD_OVERRIDE=FY","FILING_STATUS=OR","EQY_CONSOLIDATED=Y","SCALING_FORMAT=MLN","Sort=A","Dates=H","DateFormat=P","Fill=—","Direction=H","UseDPDF=Y")</f>
        <v>#NAME?</v>
      </c>
      <c r="BZ633" s="3" t="e">
        <f ca="1">_xll.BDH($C$628,"BS_ST_BORROW","FY 2015","FY 2015","Currency=INR","Period=FY","BEST_FPERIOD_OVERRIDE=FY","FILING_STATUS=OR","EQY_CONSOLIDATED=Y","SCALING_FORMAT=MLN","Sort=A","Dates=H","DateFormat=P","Fill=—","Direction=H","UseDPDF=Y")</f>
        <v>#NAME?</v>
      </c>
      <c r="CA633" s="3" t="e">
        <f ca="1">_xll.BDH($C$628,"BS_LT_BORROW","FY 2015","FY 2015","Currency=INR","Period=FY","BEST_FPERIOD_OVERRIDE=FY","FILING_STATUS=OR","EQY_CONSOLIDATED=Y","SCALING_FORMAT=MLN","Sort=A","Dates=H","DateFormat=P","Fill=—","Direction=H","UseDPDF=Y")</f>
        <v>#NAME?</v>
      </c>
      <c r="CB633" s="2" t="e">
        <f ca="1">_xll.BDH($C$628,"TOT_DEBT_TO_EBITDA","FY 2015","FY 2015","Currency=INR","Period=FY","BEST_FPERIOD_OVERRIDE=FY","FILING_STATUS=OR","EQY_CONSOLIDATED=Y","FA_ADJUSTED=GAAP","Sort=A","Dates=H","DateFormat=P","Fill=—","Direction=H","UseDPDF=Y")</f>
        <v>#NAME?</v>
      </c>
      <c r="CC633" s="2" t="e">
        <f ca="1">_xll.BDH($C$628,"NET_DEBT_TO_EBITDA","FY 2015","FY 2015","Currency=INR","Period=FY","BEST_FPERIOD_OVERRIDE=FY","FILING_STATUS=OR","EQY_CONSOLIDATED=Y","FA_ADJUSTED=GAAP","Sort=A","Dates=H","DateFormat=P","Fill=—","Direction=H","UseDPDF=Y")</f>
        <v>#NAME?</v>
      </c>
      <c r="CD633" s="2" t="e">
        <f ca="1">_xll.BDH($C$628,"TOTAL_DEBT_TO_EBIT","FY 2015","FY 2015","Currency=INR","Period=FY","BEST_FPERIOD_OVERRIDE=FY","FILING_STATUS=OR","EQY_CONSOLIDATED=Y","FA_ADJUSTED=GAAP","Sort=A","Dates=H","DateFormat=P","Fill=—","Direction=H","UseDPDF=Y")</f>
        <v>#NAME?</v>
      </c>
      <c r="CE633" s="2" t="e">
        <f ca="1">_xll.BDH($C$628,"NET_DEBT_TO_EBIT","FY 2015","FY 2015","Currency=INR","Period=FY","BEST_FPERIOD_OVERRIDE=FY","FILING_STATUS=OR","EQY_CONSOLIDATED=Y","FA_ADJUSTED=GAAP","Sort=A","Dates=H","DateFormat=P","Fill=—","Direction=H","UseDPDF=Y")</f>
        <v>#NAME?</v>
      </c>
      <c r="CF633" s="2" t="e">
        <f ca="1">_xll.BDH($C$628,"EBITDA_TO_INTEREST_EXPN","FY 2015","FY 2015","Currency=INR","Period=FY","BEST_FPERIOD_OVERRIDE=FY","FILING_STATUS=OR","EQY_CONSOLIDATED=Y","FA_ADJUSTED=GAAP","Sort=A","Dates=H","DateFormat=P","Fill=—","Direction=H","UseDPDF=Y")</f>
        <v>#NAME?</v>
      </c>
      <c r="CG633" s="2" t="e">
        <f ca="1">_xll.BDH($C$628,"COM_EQY_TO_TOT_ASSET","FY 2015","FY 2015","Currency=INR","Period=FY","BEST_FPERIOD_OVERRIDE=FY","FILING_STATUS=OR","EQY_CONSOLIDATED=Y","Sort=A","Dates=H","DateFormat=P","Fill=—","Direction=H","UseDPDF=Y")</f>
        <v>#NAME?</v>
      </c>
      <c r="CH633" s="2" t="e">
        <f ca="1">_xll.BDH($C$628,"LT_DEBT_TO_TOT_EQY","FY 2015","FY 2015","Currency=INR","Period=FY","BEST_FPERIOD_OVERRIDE=FY","FILING_STATUS=OR","EQY_CONSOLIDATED=Y","Sort=A","Dates=H","DateFormat=P","Fill=—","Direction=H","UseDPDF=Y")</f>
        <v>#NAME?</v>
      </c>
      <c r="CI633" s="2" t="e">
        <f ca="1">_xll.BDH($C$628,"LT_DEBT_TO_TOT_CAP","FY 2015","FY 2015","Currency=INR","Period=FY","BEST_FPERIOD_OVERRIDE=FY","FILING_STATUS=OR","EQY_CONSOLIDATED=Y","Sort=A","Dates=H","DateFormat=P","Fill=—","Direction=H","UseDPDF=Y")</f>
        <v>#NAME?</v>
      </c>
      <c r="CJ633" s="2" t="e">
        <f ca="1">_xll.BDH($C$628,"LT_DEBT_TO_TOT_ASSET","FY 2015","FY 2015","Currency=INR","Period=FY","BEST_FPERIOD_OVERRIDE=FY","FILING_STATUS=OR","EQY_CONSOLIDATED=Y","Sort=A","Dates=H","DateFormat=P","Fill=—","Direction=H","UseDPDF=Y")</f>
        <v>#NAME?</v>
      </c>
      <c r="CK633" s="2" t="e">
        <f ca="1">_xll.BDH($C$628,"TOT_DEBT_TO_TOT_EQY","FY 2015","FY 2015","Currency=INR","Period=FY","BEST_FPERIOD_OVERRIDE=FY","FILING_STATUS=OR","EQY_CONSOLIDATED=Y","Sort=A","Dates=H","DateFormat=P","Fill=—","Direction=H","UseDPDF=Y")</f>
        <v>#NAME?</v>
      </c>
      <c r="CL633" s="2" t="e">
        <f ca="1">_xll.BDH($C$628,"TOT_DEBT_TO_TOT_CAP","FY 2015","FY 2015","Currency=INR","Period=FY","BEST_FPERIOD_OVERRIDE=FY","FILING_STATUS=OR","EQY_CONSOLIDATED=Y","Sort=A","Dates=H","DateFormat=P","Fill=—","Direction=H","UseDPDF=Y")</f>
        <v>#NAME?</v>
      </c>
      <c r="CM633" s="2" t="e">
        <f ca="1">_xll.BDH($C$628,"TOT_DEBT_TO_TOT_ASSET","FY 2015","FY 2015","Currency=INR","Period=FY","BEST_FPERIOD_OVERRIDE=FY","FILING_STATUS=OR","EQY_CONSOLIDATED=Y","Sort=A","Dates=H","DateFormat=P","Fill=—","Direction=H","UseDPDF=Y")</f>
        <v>#NAME?</v>
      </c>
      <c r="CN633" s="2" t="e">
        <f ca="1">_xll.BDH($C$628,"NET_DEBT_TO_SHRHLDR_EQTY","FY 2015","FY 2015","Currency=INR","Period=FY","BEST_FPERIOD_OVERRIDE=FY","FILING_STATUS=OR","EQY_CONSOLIDATED=Y","Sort=A","Dates=H","DateFormat=P","Fill=—","Direction=H","UseDPDF=Y")</f>
        <v>#NAME?</v>
      </c>
      <c r="CO633" s="2" t="e">
        <f ca="1">_xll.BDH($C$628,"NET_DEBT_%_CAPITAL","FY 2015","FY 2015","Currency=INR","Period=FY","BEST_FPERIOD_OVERRIDE=FY","FILING_STATUS=OR","EQY_CONSOLIDATED=Y","Sort=A","Dates=H","DateFormat=P","Fill=—","Direction=H","UseDPDF=Y")</f>
        <v>#NAME?</v>
      </c>
      <c r="CP633" s="3" t="e">
        <f ca="1">_xll.BDH($C$628,"EBITDA","FY 2015","FY 2015","Currency=INR","Period=FY","BEST_FPERIOD_OVERRIDE=FY","FILING_STATUS=OR","EQY_CONSOLIDATED=Y","SCALING_FORMAT=MLN","FA_ADJUSTED=GAAP","Sort=A","Dates=H","DateFormat=P","Fill=—","Direction=H","UseDPDF=Y")</f>
        <v>#NAME?</v>
      </c>
      <c r="CQ633" s="3" t="e">
        <f ca="1">_xll.BDH($C$628,"EBITDA_AFTER_CAPEX","FY 2015","FY 2015","Currency=INR","Period=FY","BEST_FPERIOD_OVERRIDE=FY","FILING_STATUS=OR","EQY_CONSOLIDATED=Y","SCALING_FORMAT=MLN","FA_ADJUSTED=GAAP","Sort=A","Dates=H","DateFormat=P","Fill=—","Direction=H","UseDPDF=Y")</f>
        <v>#NAME?</v>
      </c>
      <c r="CR633" s="3" t="e">
        <f ca="1">_xll.BDH($C$628,"IS_OPER_INC","FY 2015","FY 2015","Currency=INR","Period=FY","BEST_FPERIOD_OVERRIDE=FY","FILING_STATUS=OR","EQY_CONSOLIDATED=Y","SCALING_FORMAT=MLN","FA_ADJUSTED=GAAP","Sort=A","Dates=H","DateFormat=P","Fill=—","Direction=H","UseDPDF=Y")</f>
        <v>#NAME?</v>
      </c>
      <c r="CS633" s="2" t="e">
        <f ca="1">_xll.BDH($C$628,"CASH_RATIO","FY 2015","FY 2015","Currency=INR","Period=FY","BEST_FPERIOD_OVERRIDE=FY","FILING_STATUS=OR","EQY_CONSOLIDATED=Y","Sort=A","Dates=H","DateFormat=P","Fill=—","Direction=H","UseDPDF=Y")</f>
        <v>#NAME?</v>
      </c>
      <c r="CT633" s="2" t="e">
        <f ca="1">_xll.BDH($C$628,"CUR_RATIO","FY 2015","FY 2015","Currency=INR","Period=FY","BEST_FPERIOD_OVERRIDE=FY","FILING_STATUS=OR","EQY_CONSOLIDATED=Y","Sort=A","Dates=H","DateFormat=P","Fill=—","Direction=H","UseDPDF=Y")</f>
        <v>#NAME?</v>
      </c>
      <c r="CU633" s="2" t="e">
        <f ca="1">_xll.BDH($C$628,"QUICK_RATIO","FY 2015","FY 2015","Currency=INR","Period=FY","BEST_FPERIOD_OVERRIDE=FY","FILING_STATUS=OR","EQY_CONSOLIDATED=Y","Sort=A","Dates=H","DateFormat=P","Fill=—","Direction=H","UseDPDF=Y")</f>
        <v>#NAME?</v>
      </c>
      <c r="CV633" s="2" t="e">
        <f ca="1">_xll.BDH($C$628,"ALTMAN_Z_SCORE","FY 2015","FY 2015","Currency=INR","Period=FY","BEST_FPERIOD_OVERRIDE=FY","FILING_STATUS=OR","EQY_CONSOLIDATED=Y","Sort=A","Dates=H","DateFormat=P","Fill=—","Direction=H","UseDPDF=Y")</f>
        <v>#NAME?</v>
      </c>
      <c r="CW633" s="4" t="e">
        <f ca="1">_xll.BDH($C$628,"ACCT_RCV_TURN","FY 2015","FY 2015","Currency=INR","Period=FY","BEST_FPERIOD_OVERRIDE=FY","FILING_STATUS=OR","EQY_CONSOLIDATED=Y","FA_ADJUSTED=GAAP","Sort=A","Dates=H","DateFormat=P","Fill=—","Direction=H","UseDPDF=Y")</f>
        <v>#NAME?</v>
      </c>
      <c r="CX633" s="2" t="e">
        <f ca="1">_xll.BDH($C$628,"ACCT_RCV_DAYS","FY 2015","FY 2015","Currency=INR","Period=FY","BEST_FPERIOD_OVERRIDE=FY","FILING_STATUS=OR","EQY_CONSOLIDATED=Y","FA_ADJUSTED=GAAP","Sort=A","Dates=H","DateFormat=P","Fill=—","Direction=H","UseDPDF=Y")</f>
        <v>#NAME?</v>
      </c>
      <c r="CY633" s="4" t="e">
        <f ca="1">_xll.BDH($C$628,"INVENT_TURN","FY 2015","FY 2015","Currency=INR","Period=FY","BEST_FPERIOD_OVERRIDE=FY","FILING_STATUS=OR","EQY_CONSOLIDATED=Y","FA_ADJUSTED=GAAP","Sort=A","Dates=H","DateFormat=P","Fill=—","Direction=H","UseDPDF=Y")</f>
        <v>#NAME?</v>
      </c>
      <c r="CZ633" s="2" t="e">
        <f ca="1">_xll.BDH($C$628,"INVENT_DAYS","FY 2015","FY 2015","Currency=INR","Period=FY","BEST_FPERIOD_OVERRIDE=FY","FILING_STATUS=OR","EQY_CONSOLIDATED=Y","FA_ADJUSTED=GAAP","Sort=A","Dates=H","DateFormat=P","Fill=—","Direction=H","UseDPDF=Y")</f>
        <v>#NAME?</v>
      </c>
      <c r="DA633" s="4" t="e">
        <f ca="1">_xll.BDH($C$628,"ACCOUNTS_PAYABLE_TURNOVER","FY 2015","FY 2015","Currency=INR","Period=FY","BEST_FPERIOD_OVERRIDE=FY","FILING_STATUS=OR","EQY_CONSOLIDATED=Y","FA_ADJUSTED=GAAP","Sort=A","Dates=H","DateFormat=P","Fill=—","Direction=H","UseDPDF=Y")</f>
        <v>#NAME?</v>
      </c>
      <c r="DB633" s="2" t="e">
        <f ca="1">_xll.BDH($C$628,"ACCOUNTS_PAYABLE_TURNOVER_DAYS","FY 2015","FY 2015","Currency=INR","Period=FY","BEST_FPERIOD_OVERRIDE=FY","FILING_STATUS=OR","EQY_CONSOLIDATED=Y","FA_ADJUSTED=GAAP","Sort=A","Dates=H","DateFormat=P","Fill=—","Direction=H","UseDPDF=Y")</f>
        <v>#NAME?</v>
      </c>
      <c r="DC633" s="4" t="e">
        <f ca="1">_xll.BDH($C$628,"CASH_CONVERSION_CYCLE","FY 2015","FY 2015","Currency=INR","Period=FY","BEST_FPERIOD_OVERRIDE=FY","FILING_STATUS=OR","EQY_CONSOLIDATED=Y","FA_ADJUSTED=GAAP","Sort=A","Dates=H","DateFormat=P","Fill=—","Direction=H","UseDPDF=Y")</f>
        <v>#NAME?</v>
      </c>
      <c r="DD633" s="4" t="e">
        <f ca="1">_xll.BDH($C$628,"INV_TO_CASH_DAYS","FY 2015","FY 2015","Currency=INR","Period=FY","BEST_FPERIOD_OVERRIDE=FY","FILING_STATUS=OR","EQY_CONSOLIDATED=Y","FA_ADJUSTED=GAAP","Sort=A","Dates=H","DateFormat=P","Fill=—","Direction=H","UseDPDF=Y")</f>
        <v>#NAME?</v>
      </c>
      <c r="DE633" s="5" t="e">
        <f ca="1">_xll.BDH($C$628,"BS_INVENTORIES","FY 2015","FY 2015","Currency=INR","Period=FY","BEST_FPERIOD_OVERRIDE=FY","FILING_STATUS=OR","EQY_CONSOLIDATED=Y","SCALING_FORMAT=MLN","Sort=A","Dates=H","DateFormat=P","Fill=—","Direction=H","UseDPDF=Y")</f>
        <v>#NAME?</v>
      </c>
      <c r="DF633" s="3" t="e">
        <f ca="1">_xll.BDH($C$628,"INVTRY_RAW_MATERIALS","FY 2015","FY 2015","Currency=INR","Period=FY","BEST_FPERIOD_OVERRIDE=FY","FILING_STATUS=OR","EQY_CONSOLIDATED=Y","SCALING_FORMAT=MLN","Sort=A","Dates=H","DateFormat=P","Fill=—","Direction=H","UseDPDF=Y")</f>
        <v>#NAME?</v>
      </c>
      <c r="DG633" s="3" t="e">
        <f ca="1">_xll.BDH($C$628,"INVTRY_IN_PROGRESS","FY 2015","FY 2015","Currency=INR","Period=FY","BEST_FPERIOD_OVERRIDE=FY","FILING_STATUS=OR","EQY_CONSOLIDATED=Y","SCALING_FORMAT=MLN","Sort=A","Dates=H","DateFormat=P","Fill=—","Direction=H","UseDPDF=Y")</f>
        <v>#NAME?</v>
      </c>
      <c r="DH633" s="3" t="e">
        <f ca="1">_xll.BDH($C$628,"INVTRY_FINISHED_GOODS","FY 2015","FY 2015","Currency=INR","Period=FY","BEST_FPERIOD_OVERRIDE=FY","FILING_STATUS=OR","EQY_CONSOLIDATED=Y","SCALING_FORMAT=MLN","Sort=A","Dates=H","DateFormat=P","Fill=—","Direction=H","UseDPDF=Y")</f>
        <v>#NAME?</v>
      </c>
      <c r="DI633" s="3" t="e">
        <f ca="1">_xll.BDH($C$628,"BS_OTHER_INV","FY 2015","FY 2015","Currency=INR","Period=FY","BEST_FPERIOD_OVERRIDE=FY","FILING_STATUS=OR","EQY_CONSOLIDATED=Y","SCALING_FORMAT=MLN","Sort=A","Dates=H","DateFormat=P","Fill=—","Direction=H","UseDPDF=Y")</f>
        <v>#NAME?</v>
      </c>
    </row>
    <row r="634" spans="1:113" x14ac:dyDescent="0.3">
      <c r="A634" s="6"/>
      <c r="B634" s="6"/>
      <c r="C634" s="6"/>
      <c r="D634" s="6"/>
      <c r="E634" t="s">
        <v>78</v>
      </c>
      <c r="F634" t="e">
        <f ca="1">_xll.BDH($C$628,"RETURN_COM_EQY","FQ1 2015","FQ1 2015","Currency=INR","Period=FQ","BEST_FPERIOD_OVERRIDE=FQ","FILING_STATUS=OR","EQY_CONSOLIDATED=Y","FA_ADJUSTED=GAAP","Sort=A","Dates=H","DateFormat=P","Fill=—","Direction=H","UseDPDF=Y")</f>
        <v>#NAME?</v>
      </c>
      <c r="G634" t="e">
        <f ca="1">_xll.BDH($C$628,"RETURN_ON_ASSET","FQ1 2015","FQ1 2015","Currency=INR","Period=FQ","BEST_FPERIOD_OVERRIDE=FQ","FILING_STATUS=OR","EQY_CONSOLIDATED=Y","FA_ADJUSTED=GAAP","Sort=A","Dates=H","DateFormat=P","Fill=—","Direction=H","UseDPDF=Y")</f>
        <v>#NAME?</v>
      </c>
      <c r="H634" t="e">
        <f ca="1">_xll.BDH($C$628,"RETURN_ON_CAP","FQ1 2015","FQ1 2015","Currency=INR","Period=FQ","BEST_FPERIOD_OVERRIDE=FQ","FILING_STATUS=OR","EQY_CONSOLIDATED=Y","FA_ADJUSTED=GAAP","Sort=A","Dates=H","DateFormat=P","Fill=—","Direction=H","UseDPDF=Y")</f>
        <v>#NAME?</v>
      </c>
      <c r="I634" t="e">
        <f ca="1">_xll.BDH($C$628,"RETURN_ON_INV_CAPITAL","FQ1 2015","FQ1 2015","Currency=INR","Period=FQ","BEST_FPERIOD_OVERRIDE=FQ","FILING_STATUS=OR","EQY_CONSOLIDATED=Y","FA_ADJUSTED=GAAP","Sort=A","Dates=H","DateFormat=P","Fill=—","Direction=H","UseDPDF=Y")</f>
        <v>#NAME?</v>
      </c>
      <c r="J634" t="e">
        <f ca="1">_xll.BDH($C$628,"EBITDA_TO_REVENUE","FQ1 2015","FQ1 2015","Currency=INR","Period=FQ","BEST_FPERIOD_OVERRIDE=FQ","FILING_STATUS=OR","EQY_CONSOLIDATED=Y","FA_ADJUSTED=GAAP","Sort=A","Dates=H","DateFormat=P","Fill=—","Direction=H","UseDPDF=Y")</f>
        <v>#NAME?</v>
      </c>
      <c r="K634" t="e">
        <f ca="1">_xll.BDH($C$628,"OPER_MARGIN","FQ1 2015","FQ1 2015","Currency=INR","Period=FQ","BEST_FPERIOD_OVERRIDE=FQ","FILING_STATUS=OR","EQY_CONSOLIDATED=Y","FA_ADJUSTED=GAAP","Sort=A","Dates=H","DateFormat=P","Fill=—","Direction=H","UseDPDF=Y")</f>
        <v>#NAME?</v>
      </c>
      <c r="L634" t="e">
        <f ca="1">_xll.BDH($C$628,"INCREMENTAL_OPERATING_MARGIN","FQ1 2015","FQ1 2015","Currency=INR","Period=FQ","BEST_FPERIOD_OVERRIDE=FQ","FILING_STATUS=OR","EQY_CONSOLIDATED=Y","FA_ADJUSTED=GAAP","Sort=A","Dates=H","DateFormat=P","Fill=—","Direction=H","UseDPDF=Y")</f>
        <v>#NAME?</v>
      </c>
      <c r="M634" t="e">
        <f ca="1">_xll.BDH($C$628,"PRETAX_INC_TO_NET_SALES","FQ1 2015","FQ1 2015","Currency=INR","Period=FQ","BEST_FPERIOD_OVERRIDE=FQ","FILING_STATUS=OR","EQY_CONSOLIDATED=Y","FA_ADJUSTED=GAAP","Sort=A","Dates=H","DateFormat=P","Fill=—","Direction=H","UseDPDF=Y")</f>
        <v>#NAME?</v>
      </c>
      <c r="N634" t="e">
        <f ca="1">_xll.BDH($C$628,"INC_BEF_XO_ITEMS_TO_NET_SALES","FQ1 2015","FQ1 2015","Currency=INR","Period=FQ","BEST_FPERIOD_OVERRIDE=FQ","FILING_STATUS=OR","EQY_CONSOLIDATED=Y","FA_ADJUSTED=GAAP","Sort=A","Dates=H","DateFormat=P","Fill=—","Direction=H","UseDPDF=Y")</f>
        <v>#NAME?</v>
      </c>
      <c r="O634" t="e">
        <f ca="1">_xll.BDH($C$628,"PROF_MARGIN","FQ1 2015","FQ1 2015","Currency=INR","Period=FQ","BEST_FPERIOD_OVERRIDE=FQ","FILING_STATUS=OR","EQY_CONSOLIDATED=Y","FA_ADJUSTED=GAAP","Sort=A","Dates=H","DateFormat=P","Fill=—","Direction=H","UseDPDF=Y")</f>
        <v>#NAME?</v>
      </c>
      <c r="P634" t="e">
        <f ca="1">_xll.BDH($C$628,"NET_INCOME_TO_COMMON_MARGIN","FQ1 2015","FQ1 2015","Currency=INR","Period=FQ","BEST_FPERIOD_OVERRIDE=FQ","FILING_STATUS=OR","EQY_CONSOLIDATED=Y","FA_ADJUSTED=GAAP","Sort=A","Dates=H","DateFormat=P","Fill=—","Direction=H","UseDPDF=Y")</f>
        <v>#NAME?</v>
      </c>
      <c r="Q634" t="e">
        <f ca="1">_xll.BDH($C$628,"EFF_TAX_RATE","FQ1 2015","FQ1 2015","Currency=INR","Period=FQ","BEST_FPERIOD_OVERRIDE=FQ","FILING_STATUS=OR","EQY_CONSOLIDATED=Y","FA_ADJUSTED=GAAP","Sort=A","Dates=H","DateFormat=P","Fill=—","Direction=H","UseDPDF=Y")</f>
        <v>#NAME?</v>
      </c>
      <c r="R634" t="e">
        <f ca="1">_xll.BDH($C$628,"DVD_PAYOUT_RATIO","FQ1 2015","FQ1 2015","Currency=INR","Period=FQ","BEST_FPERIOD_OVERRIDE=FQ","FILING_STATUS=OR","EQY_CONSOLIDATED=Y","FA_ADJUSTED=GAAP","Sort=A","Dates=H","DateFormat=P","Fill=—","Direction=H","UseDPDF=Y")</f>
        <v>#NAME?</v>
      </c>
      <c r="S634" t="e">
        <f ca="1">_xll.BDH($C$628,"SUSTAIN_GROWTH_RT","FQ1 2015","FQ1 2015","Currency=INR","Period=FQ","BEST_FPERIOD_OVERRIDE=FQ","FILING_STATUS=OR","EQY_CONSOLIDATED=Y","FA_ADJUSTED=GAAP","Sort=A","Dates=H","DateFormat=P","Fill=—","Direction=H","UseDPDF=Y")</f>
        <v>#NAME?</v>
      </c>
      <c r="T634" s="2" t="e">
        <f ca="1">_xll.BDH($C$628,"SALES_GROWTH","FQ1 2015","FQ1 2015","Currency=INR","Period=FQ","BEST_FPERIOD_OVERRIDE=FQ","FILING_STATUS=OR","EQY_CONSOLIDATED=Y","FA_ADJUSTED=GAAP","Sort=A","Dates=H","DateFormat=P","Fill=—","Direction=H","UseDPDF=Y")</f>
        <v>#NAME?</v>
      </c>
      <c r="U634" s="2" t="e">
        <f ca="1">_xll.BDH($C$628,"EBITDA_GROWTH","FQ1 2015","FQ1 2015","Currency=INR","Period=FQ","BEST_FPERIOD_OVERRIDE=FQ","FILING_STATUS=OR","EQY_CONSOLIDATED=Y","FA_ADJUSTED=GAAP","Sort=A","Dates=H","DateFormat=P","Fill=—","Direction=H","UseDPDF=Y")</f>
        <v>#NAME?</v>
      </c>
      <c r="V634" s="2" t="e">
        <f ca="1">_xll.BDH($C$628,"OPER_INC_GROWTH","FQ1 2015","FQ1 2015","Currency=INR","Period=FQ","BEST_FPERIOD_OVERRIDE=FQ","FILING_STATUS=OR","EQY_CONSOLIDATED=Y","FA_ADJUSTED=GAAP","Sort=A","Dates=H","DateFormat=P","Fill=—","Direction=H","UseDPDF=Y")</f>
        <v>#NAME?</v>
      </c>
      <c r="W634" s="2" t="e">
        <f ca="1">_xll.BDH($C$628,"EARN_FOR_COM_GROWTH","FQ1 2015","FQ1 2015","Currency=INR","Period=FQ","BEST_FPERIOD_OVERRIDE=FQ","FILING_STATUS=OR","EQY_CONSOLIDATED=Y","FA_ADJUSTED=GAAP","Sort=A","Dates=H","DateFormat=P","Fill=—","Direction=H","UseDPDF=Y")</f>
        <v>#NAME?</v>
      </c>
      <c r="X634" s="2" t="e">
        <f ca="1">_xll.BDH($C$628,"DILUTED_EPS_AFT_XO_ITEMS_GROWTH","FQ1 2015","FQ1 2015","Currency=INR","Period=FQ","BEST_FPERIOD_OVERRIDE=FQ","FILING_STATUS=OR","EQY_CONSOLIDATED=Y","FA_ADJUSTED=GAAP","Sort=A","Dates=H","DateFormat=P","Fill=—","Direction=H","UseDPDF=Y")</f>
        <v>#NAME?</v>
      </c>
      <c r="Y634" s="2" t="e">
        <f ca="1">_xll.BDH($C$628,"DIVIDEND_PER_SHARE_1_YEAR_GROWTH","FQ1 2015","FQ1 2015","Currency=INR","Period=FQ","BEST_FPERIOD_OVERRIDE=FQ","FILING_STATUS=OR","EQY_CONSOLIDATED=Y","Sort=A","Dates=H","DateFormat=P","Fill=—","Direction=H","UseDPDF=Y")</f>
        <v>#NAME?</v>
      </c>
      <c r="Z634" s="2" t="e">
        <f ca="1">_xll.BDH($C$628,"ACCOUNTS_RECEIVABLE_GROWTH","FQ1 2015","FQ1 2015","Currency=INR","Period=FQ","BEST_FPERIOD_OVERRIDE=FQ","FILING_STATUS=OR","EQY_CONSOLIDATED=Y","Sort=A","Dates=H","DateFormat=P","Fill=—","Direction=H","UseDPDF=Y")</f>
        <v>#NAME?</v>
      </c>
      <c r="AA634" s="2" t="e">
        <f ca="1">_xll.BDH($C$628,"INVENTORY_GROWTH","FQ1 2015","FQ1 2015","Currency=INR","Period=FQ","BEST_FPERIOD_OVERRIDE=FQ","FILING_STATUS=OR","EQY_CONSOLIDATED=Y","Sort=A","Dates=H","DateFormat=P","Fill=—","Direction=H","UseDPDF=Y")</f>
        <v>#NAME?</v>
      </c>
      <c r="AB634" s="2" t="e">
        <f ca="1">_xll.BDH($C$628,"NET_FIXED_ASSETS_1_YEAR_GROWTH","FQ1 2015","FQ1 2015","Currency=INR","Period=FQ","BEST_FPERIOD_OVERRIDE=FQ","FILING_STATUS=OR","EQY_CONSOLIDATED=Y","Sort=A","Dates=H","DateFormat=P","Fill=—","Direction=H","UseDPDF=Y")</f>
        <v>#NAME?</v>
      </c>
      <c r="AC634" s="2" t="e">
        <f ca="1">_xll.BDH($C$628,"ASSET_GROWTH","FQ1 2015","FQ1 2015","Currency=INR","Period=FQ","BEST_FPERIOD_OVERRIDE=FQ","FILING_STATUS=OR","EQY_CONSOLIDATED=Y","Sort=A","Dates=H","DateFormat=P","Fill=—","Direction=H","UseDPDF=Y")</f>
        <v>#NAME?</v>
      </c>
      <c r="AD634" s="2" t="e">
        <f ca="1">_xll.BDH($C$628,"MODIFIED_WORK_CAP_GROWTH","FQ1 2015","FQ1 2015","Currency=INR","Period=FQ","BEST_FPERIOD_OVERRIDE=FQ","FILING_STATUS=OR","EQY_CONSOLIDATED=Y","Sort=A","Dates=H","DateFormat=P","Fill=—","Direction=H","UseDPDF=Y")</f>
        <v>#NAME?</v>
      </c>
      <c r="AE634" s="2" t="e">
        <f ca="1">_xll.BDH($C$628,"WORK_CAP_GROWTH","FQ1 2015","FQ1 2015","Currency=INR","Period=FQ","BEST_FPERIOD_OVERRIDE=FQ","FILING_STATUS=OR","EQY_CONSOLIDATED=Y","Sort=A","Dates=H","DateFormat=P","Fill=—","Direction=H","UseDPDF=Y")</f>
        <v>#NAME?</v>
      </c>
      <c r="AF634" s="2" t="e">
        <f ca="1">_xll.BDH($C$628,"ACCOUNTS_PAYABLE_GROWTH_1YR","FQ1 2015","FQ1 2015","Currency=INR","Period=FQ","BEST_FPERIOD_OVERRIDE=FQ","FILING_STATUS=OR","EQY_CONSOLIDATED=Y","Sort=A","Dates=H","DateFormat=P","Fill=—","Direction=H","UseDPDF=Y")</f>
        <v>#NAME?</v>
      </c>
      <c r="AG634" s="2" t="e">
        <f ca="1">_xll.BDH($C$628,"SHORT_TERM_DEBT_1_YEAR_GROWTH","FQ1 2015","FQ1 2015","Currency=INR","Period=FQ","BEST_FPERIOD_OVERRIDE=FQ","FILING_STATUS=OR","EQY_CONSOLIDATED=Y","Sort=A","Dates=H","DateFormat=P","Fill=—","Direction=H","UseDPDF=Y")</f>
        <v>#NAME?</v>
      </c>
      <c r="AH634" s="2" t="e">
        <f ca="1">_xll.BDH($C$628,"TOTAL_DEBT_1_YEAR_GROWTH","FQ1 2015","FQ1 2015","Currency=INR","Period=FQ","BEST_FPERIOD_OVERRIDE=FQ","FILING_STATUS=OR","EQY_CONSOLIDATED=Y","Sort=A","Dates=H","DateFormat=P","Fill=—","Direction=H","UseDPDF=Y")</f>
        <v>#NAME?</v>
      </c>
      <c r="AI634" s="2" t="e">
        <f ca="1">_xll.BDH($C$628,"TOTAL_EQUITY_1_YEAR_GROWTH","FQ1 2015","FQ1 2015","Currency=INR","Period=FQ","BEST_FPERIOD_OVERRIDE=FQ","FILING_STATUS=OR","EQY_CONSOLIDATED=Y","Sort=A","Dates=H","DateFormat=P","Fill=—","Direction=H","UseDPDF=Y")</f>
        <v>#NAME?</v>
      </c>
      <c r="AJ634" s="2" t="e">
        <f ca="1">_xll.BDH($C$628,"GROWTH_IN_CAP","FQ1 2015","FQ1 2015","Currency=INR","Period=FQ","BEST_FPERIOD_OVERRIDE=FQ","FILING_STATUS=OR","EQY_CONSOLIDATED=Y","Sort=A","Dates=H","DateFormat=P","Fill=—","Direction=H","UseDPDF=Y")</f>
        <v>#NAME?</v>
      </c>
      <c r="AK634" s="2" t="e">
        <f ca="1">_xll.BDH($C$628,"BVPS_GROWTH","FQ1 2015","FQ1 2015","Currency=INR","Period=FQ","BEST_FPERIOD_OVERRIDE=FQ","FILING_STATUS=OR","EQY_CONSOLIDATED=Y","Sort=A","Dates=H","DateFormat=P","Fill=—","Direction=H","UseDPDF=Y")</f>
        <v>#NAME?</v>
      </c>
      <c r="AL634" s="2" t="e">
        <f ca="1">_xll.BDH($C$628,"CASH_FLOW_GROWTH","FQ1 2015","FQ1 2015","Currency=INR","Period=FQ","BEST_FPERIOD_OVERRIDE=FQ","FILING_STATUS=OR","EQY_CONSOLIDATED=Y","Sort=A","Dates=H","DateFormat=P","Fill=—","Direction=H","UseDPDF=Y")</f>
        <v>#NAME?</v>
      </c>
      <c r="AM634" s="2" t="e">
        <f ca="1">_xll.BDH($C$628,"GEO_GROW_NET_SALES","FQ1 2015","FQ1 2015","Currency=INR","Period=FQ","BEST_FPERIOD_OVERRIDE=FQ","FILING_STATUS=OR","EQY_CONSOLIDATED=Y","FA_ADJUSTED=GAAP","Sort=A","Dates=H","DateFormat=P","Fill=—","Direction=H","UseDPDF=Y")</f>
        <v>#NAME?</v>
      </c>
      <c r="AN634" s="2" t="e">
        <f ca="1">_xll.BDH($C$628,"GEO_GROW_EBITDA","FQ1 2015","FQ1 2015","Currency=INR","Period=FQ","BEST_FPERIOD_OVERRIDE=FQ","FILING_STATUS=OR","EQY_CONSOLIDATED=Y","FA_ADJUSTED=GAAP","Sort=A","Dates=H","DateFormat=P","Fill=—","Direction=H","UseDPDF=Y")</f>
        <v>#NAME?</v>
      </c>
      <c r="AO634" s="2" t="e">
        <f ca="1">_xll.BDH($C$628,"GEO_GROW_OPER_INC","FQ1 2015","FQ1 2015","Currency=INR","Period=FQ","BEST_FPERIOD_OVERRIDE=FQ","FILING_STATUS=OR","EQY_CONSOLIDATED=Y","FA_ADJUSTED=GAAP","Sort=A","Dates=H","DateFormat=P","Fill=—","Direction=H","UseDPDF=Y")</f>
        <v>#NAME?</v>
      </c>
      <c r="AP634" s="2" t="e">
        <f ca="1">_xll.BDH($C$628,"NET_INCOME_TO_COMMON_5_YR_GROWTH","FQ1 2015","FQ1 2015","Currency=INR","Period=FQ","BEST_FPERIOD_OVERRIDE=FQ","FILING_STATUS=OR","EQY_CONSOLIDATED=Y","FA_ADJUSTED=GAAP","Sort=A","Dates=H","DateFormat=P","Fill=—","Direction=H","UseDPDF=Y")</f>
        <v>#NAME?</v>
      </c>
      <c r="AQ634" s="2" t="e">
        <f ca="1">_xll.BDH($C$628,"5Y_GEO_GROWTH_DILUTED_EPS","FQ1 2015","FQ1 2015","Currency=INR","Period=FQ","BEST_FPERIOD_OVERRIDE=FQ","FILING_STATUS=OR","EQY_CONSOLIDATED=Y","FA_ADJUSTED=GAAP","Sort=A","Dates=H","DateFormat=P","Fill=—","Direction=H","UseDPDF=Y")</f>
        <v>#NAME?</v>
      </c>
      <c r="AR634" s="2" t="e">
        <f ca="1">_xll.BDH($C$628,"GEO_GROW_DVD_PER_SH","FQ1 2015","FQ1 2015","Currency=INR","Period=FQ","BEST_FPERIOD_OVERRIDE=FQ","FILING_STATUS=OR","EQY_CONSOLIDATED=Y","Sort=A","Dates=H","DateFormat=P","Fill=—","Direction=H","UseDPDF=Y")</f>
        <v>#NAME?</v>
      </c>
      <c r="AS634" s="2" t="e">
        <f ca="1">_xll.BDH($C$628,"ACCOUNTS_RECEIVABLE_5_YR_GROWTH","FQ1 2015","FQ1 2015","Currency=INR","Period=FQ","BEST_FPERIOD_OVERRIDE=FQ","FILING_STATUS=OR","EQY_CONSOLIDATED=Y","Sort=A","Dates=H","DateFormat=P","Fill=—","Direction=H","UseDPDF=Y")</f>
        <v>#NAME?</v>
      </c>
      <c r="AT634" s="2" t="e">
        <f ca="1">_xll.BDH($C$628,"INVENTORY_5_YEAR_GROWTH","FQ1 2015","FQ1 2015","Currency=INR","Period=FQ","BEST_FPERIOD_OVERRIDE=FQ","FILING_STATUS=OR","EQY_CONSOLIDATED=Y","Sort=A","Dates=H","DateFormat=P","Fill=—","Direction=H","UseDPDF=Y")</f>
        <v>#NAME?</v>
      </c>
      <c r="AU634" s="2" t="e">
        <f ca="1">_xll.BDH($C$628,"NET_FIXED_ASSETS_5_YEAR_GROWTH","FQ1 2015","FQ1 2015","Currency=INR","Period=FQ","BEST_FPERIOD_OVERRIDE=FQ","FILING_STATUS=OR","EQY_CONSOLIDATED=Y","Sort=A","Dates=H","DateFormat=P","Fill=—","Direction=H","UseDPDF=Y")</f>
        <v>#NAME?</v>
      </c>
      <c r="AV634" s="2" t="e">
        <f ca="1">_xll.BDH($C$628,"GEO_GROW_TOT_ASSET","FQ1 2015","FQ1 2015","Currency=INR","Period=FQ","BEST_FPERIOD_OVERRIDE=FQ","FILING_STATUS=OR","EQY_CONSOLIDATED=Y","Sort=A","Dates=H","DateFormat=P","Fill=—","Direction=H","UseDPDF=Y")</f>
        <v>#NAME?</v>
      </c>
      <c r="AW634" s="2" t="e">
        <f ca="1">_xll.BDH($C$628,"MODIFIED_WORKING_CPTL_5YR_GRWTH","FQ1 2015","FQ1 2015","Currency=INR","Period=FQ","BEST_FPERIOD_OVERRIDE=FQ","FILING_STATUS=OR","EQY_CONSOLIDATED=Y","Sort=A","Dates=H","DateFormat=P","Fill=—","Direction=H","UseDPDF=Y")</f>
        <v>#NAME?</v>
      </c>
      <c r="AX634" s="2" t="e">
        <f ca="1">_xll.BDH($C$628,"WORKING_CAPITAL_5_YEAR_GROWTH","FQ1 2015","FQ1 2015","Currency=INR","Period=FQ","BEST_FPERIOD_OVERRIDE=FQ","FILING_STATUS=OR","EQY_CONSOLIDATED=Y","Sort=A","Dates=H","DateFormat=P","Fill=—","Direction=H","UseDPDF=Y")</f>
        <v>#NAME?</v>
      </c>
      <c r="AY634" s="2" t="e">
        <f ca="1">_xll.BDH($C$628,"ACCOUNTS_PAYABLE_5_YEAR_GROWTH","FQ1 2015","FQ1 2015","Currency=INR","Period=FQ","BEST_FPERIOD_OVERRIDE=FQ","FILING_STATUS=OR","EQY_CONSOLIDATED=Y","Sort=A","Dates=H","DateFormat=P","Fill=—","Direction=H","UseDPDF=Y")</f>
        <v>#NAME?</v>
      </c>
      <c r="AZ634" s="2" t="e">
        <f ca="1">_xll.BDH($C$628,"SHORT_TERM_DEBT_5_YEAR_GROWTH","FQ1 2015","FQ1 2015","Currency=INR","Period=FQ","BEST_FPERIOD_OVERRIDE=FQ","FILING_STATUS=OR","EQY_CONSOLIDATED=Y","Sort=A","Dates=H","DateFormat=P","Fill=—","Direction=H","UseDPDF=Y")</f>
        <v>#NAME?</v>
      </c>
      <c r="BA634" s="2" t="e">
        <f ca="1">_xll.BDH($C$628,"TOTAL_DEBT_5_YEAR_GROWTH","FQ1 2015","FQ1 2015","Currency=INR","Period=FQ","BEST_FPERIOD_OVERRIDE=FQ","FILING_STATUS=OR","EQY_CONSOLIDATED=Y","Sort=A","Dates=H","DateFormat=P","Fill=—","Direction=H","UseDPDF=Y")</f>
        <v>#NAME?</v>
      </c>
      <c r="BB634" s="2" t="e">
        <f ca="1">_xll.BDH($C$628,"GEO_GROW_TOT_SHRHLDR_EQY","FQ1 2015","FQ1 2015","Currency=INR","Period=FQ","BEST_FPERIOD_OVERRIDE=FQ","FILING_STATUS=OR","EQY_CONSOLIDATED=Y","Sort=A","Dates=H","DateFormat=P","Fill=—","Direction=H","UseDPDF=Y")</f>
        <v>#NAME?</v>
      </c>
      <c r="BC634" s="2" t="e">
        <f ca="1">_xll.BDH($C$628,"TOTAL_CAPITAL_5_YEAR_GROWTH","FQ1 2015","FQ1 2015","Currency=INR","Period=FQ","BEST_FPERIOD_OVERRIDE=FQ","FILING_STATUS=OR","EQY_CONSOLIDATED=Y","Sort=A","Dates=H","DateFormat=P","Fill=—","Direction=H","UseDPDF=Y")</f>
        <v>#NAME?</v>
      </c>
      <c r="BD634" s="2" t="e">
        <f ca="1">_xll.BDH($C$628,"GEO_GROW_BOOK_VAL","FQ1 2015","FQ1 2015","Currency=INR","Period=FQ","BEST_FPERIOD_OVERRIDE=FQ","FILING_STATUS=OR","EQY_CONSOLIDATED=Y","Sort=A","Dates=H","DateFormat=P","Fill=—","Direction=H","UseDPDF=Y")</f>
        <v>#NAME?</v>
      </c>
      <c r="BE634" s="2" t="e">
        <f ca="1">_xll.BDH($C$628,"GEO_GROW_CASH_OPER_ACT","FQ1 2015","FQ1 2015","Currency=INR","Period=FQ","BEST_FPERIOD_OVERRIDE=FQ","FILING_STATUS=OR","EQY_CONSOLIDATED=Y","Sort=A","Dates=H","DateFormat=P","Fill=—","Direction=H","UseDPDF=Y")</f>
        <v>#NAME?</v>
      </c>
      <c r="BF634" s="2" t="e">
        <f ca="1">_xll.BDH($C$628,"REVENUE_SEQUENTIAL_GROWTH","FQ1 2015","FQ1 2015","Currency=INR","Period=FQ","BEST_FPERIOD_OVERRIDE=FQ","FILING_STATUS=OR","EQY_CONSOLIDATED=Y","FA_ADJUSTED=GAAP","Sort=A","Dates=H","DateFormat=P","Fill=—","Direction=H","UseDPDF=Y")</f>
        <v>#NAME?</v>
      </c>
      <c r="BG634" s="2" t="e">
        <f ca="1">_xll.BDH($C$628,"EBITDA_SEQUENTIAL_GROWTH","FQ1 2015","FQ1 2015","Currency=INR","Period=FQ","BEST_FPERIOD_OVERRIDE=FQ","FILING_STATUS=OR","EQY_CONSOLIDATED=Y","FA_ADJUSTED=GAAP","Sort=A","Dates=H","DateFormat=P","Fill=—","Direction=H","UseDPDF=Y")</f>
        <v>#NAME?</v>
      </c>
      <c r="BH634" s="2" t="e">
        <f ca="1">_xll.BDH($C$628,"OPERATING_INCOME_SEQ_GROWTH","FQ1 2015","FQ1 2015","Currency=INR","Period=FQ","BEST_FPERIOD_OVERRIDE=FQ","FILING_STATUS=OR","EQY_CONSOLIDATED=Y","FA_ADJUSTED=GAAP","Sort=A","Dates=H","DateFormat=P","Fill=—","Direction=H","UseDPDF=Y")</f>
        <v>#NAME?</v>
      </c>
      <c r="BI634" s="2" t="e">
        <f ca="1">_xll.BDH($C$628,"NET_INCOME_TO_COMMON_SEQ_GROWTH","FQ1 2015","FQ1 2015","Currency=INR","Period=FQ","BEST_FPERIOD_OVERRIDE=FQ","FILING_STATUS=OR","EQY_CONSOLIDATED=Y","FA_ADJUSTED=GAAP","Sort=A","Dates=H","DateFormat=P","Fill=—","Direction=H","UseDPDF=Y")</f>
        <v>#NAME?</v>
      </c>
      <c r="BJ634" s="2" t="e">
        <f ca="1">_xll.BDH($C$628,"EPS_DILUTED_SEQUENTIAL_GROWTH","FQ1 2015","FQ1 2015","Currency=INR","Period=FQ","BEST_FPERIOD_OVERRIDE=FQ","FILING_STATUS=OR","EQY_CONSOLIDATED=Y","FA_ADJUSTED=GAAP","Sort=A","Dates=H","DateFormat=P","Fill=—","Direction=H","UseDPDF=Y")</f>
        <v>#NAME?</v>
      </c>
      <c r="BK634" s="2" t="e">
        <f ca="1">_xll.BDH($C$628,"DPS_SEQUENTIAL_GROWTH","FQ1 2015","FQ1 2015","Currency=INR","Period=FQ","BEST_FPERIOD_OVERRIDE=FQ","FILING_STATUS=OR","EQY_CONSOLIDATED=Y","Sort=A","Dates=H","DateFormat=P","Fill=—","Direction=H","UseDPDF=Y")</f>
        <v>#NAME?</v>
      </c>
      <c r="BL634" s="2" t="e">
        <f ca="1">_xll.BDH($C$628,"ACCOUNTS_RECEIVABLE_SEQ_GROWTH","FQ1 2015","FQ1 2015","Currency=INR","Period=FQ","BEST_FPERIOD_OVERRIDE=FQ","FILING_STATUS=OR","EQY_CONSOLIDATED=Y","Sort=A","Dates=H","DateFormat=P","Fill=—","Direction=H","UseDPDF=Y")</f>
        <v>#NAME?</v>
      </c>
      <c r="BM634" s="2" t="e">
        <f ca="1">_xll.BDH($C$628,"INVENTORY_SEQUENTIAL_GROWTH","FQ1 2015","FQ1 2015","Currency=INR","Period=FQ","BEST_FPERIOD_OVERRIDE=FQ","FILING_STATUS=OR","EQY_CONSOLIDATED=Y","Sort=A","Dates=H","DateFormat=P","Fill=—","Direction=H","UseDPDF=Y")</f>
        <v>#NAME?</v>
      </c>
      <c r="BN634" s="2" t="e">
        <f ca="1">_xll.BDH($C$628,"FIXED_ASSETS_SEQUENTIAL_GROWTH","FQ1 2015","FQ1 2015","Currency=INR","Period=FQ","BEST_FPERIOD_OVERRIDE=FQ","FILING_STATUS=OR","EQY_CONSOLIDATED=Y","Sort=A","Dates=H","DateFormat=P","Fill=—","Direction=H","UseDPDF=Y")</f>
        <v>#NAME?</v>
      </c>
      <c r="BO634" s="2" t="e">
        <f ca="1">_xll.BDH($C$628,"TOTAL_ASSETS_SEQUENTIAL_GROWTH","FQ1 2015","FQ1 2015","Currency=INR","Period=FQ","BEST_FPERIOD_OVERRIDE=FQ","FILING_STATUS=OR","EQY_CONSOLIDATED=Y","Sort=A","Dates=H","DateFormat=P","Fill=—","Direction=H","UseDPDF=Y")</f>
        <v>#NAME?</v>
      </c>
      <c r="BP634" s="2" t="e">
        <f ca="1">_xll.BDH($C$628,"MODIFIED_WORKING_CPTL_SEQ_GRWTH","FQ1 2015","FQ1 2015","Currency=INR","Period=FQ","BEST_FPERIOD_OVERRIDE=FQ","FILING_STATUS=OR","EQY_CONSOLIDATED=Y","Sort=A","Dates=H","DateFormat=P","Fill=—","Direction=H","UseDPDF=Y")</f>
        <v>#NAME?</v>
      </c>
      <c r="BQ634" s="2" t="e">
        <f ca="1">_xll.BDH($C$628,"WORKING_CAPITAL_SEQ_GROWTH","FQ1 2015","FQ1 2015","Currency=INR","Period=FQ","BEST_FPERIOD_OVERRIDE=FQ","FILING_STATUS=OR","EQY_CONSOLIDATED=Y","Sort=A","Dates=H","DateFormat=P","Fill=—","Direction=H","UseDPDF=Y")</f>
        <v>#NAME?</v>
      </c>
      <c r="BR634" s="2" t="e">
        <f ca="1">_xll.BDH($C$628,"ACCOUNTS_PAYABLE_SEQ_GROWTH","FQ1 2015","FQ1 2015","Currency=INR","Period=FQ","BEST_FPERIOD_OVERRIDE=FQ","FILING_STATUS=OR","EQY_CONSOLIDATED=Y","Sort=A","Dates=H","DateFormat=P","Fill=—","Direction=H","UseDPDF=Y")</f>
        <v>#NAME?</v>
      </c>
      <c r="BS634" s="2" t="e">
        <f ca="1">_xll.BDH($C$628,"ST_DEBT_SEQUENTIAL_GROWTH","FQ1 2015","FQ1 2015","Currency=INR","Period=FQ","BEST_FPERIOD_OVERRIDE=FQ","FILING_STATUS=OR","EQY_CONSOLIDATED=Y","Sort=A","Dates=H","DateFormat=P","Fill=—","Direction=H","UseDPDF=Y")</f>
        <v>#NAME?</v>
      </c>
      <c r="BT634" s="2" t="e">
        <f ca="1">_xll.BDH($C$628,"TOTAL_DEBT_SEQUENTIAL_GROWTH","FQ1 2015","FQ1 2015","Currency=INR","Period=FQ","BEST_FPERIOD_OVERRIDE=FQ","FILING_STATUS=OR","EQY_CONSOLIDATED=Y","Sort=A","Dates=H","DateFormat=P","Fill=—","Direction=H","UseDPDF=Y")</f>
        <v>#NAME?</v>
      </c>
      <c r="BU634" s="2" t="e">
        <f ca="1">_xll.BDH($C$628,"TOTAL_EQUITY_SEQUENTIAL_GROWTH","FQ1 2015","FQ1 2015","Currency=INR","Period=FQ","BEST_FPERIOD_OVERRIDE=FQ","FILING_STATUS=OR","EQY_CONSOLIDATED=Y","Sort=A","Dates=H","DateFormat=P","Fill=—","Direction=H","UseDPDF=Y")</f>
        <v>#NAME?</v>
      </c>
      <c r="BV634" s="2" t="e">
        <f ca="1">_xll.BDH($C$628,"TOTAL_CAPITAL_SEQUENTIAL_GROWTH","FQ1 2015","FQ1 2015","Currency=INR","Period=FQ","BEST_FPERIOD_OVERRIDE=FQ","FILING_STATUS=OR","EQY_CONSOLIDATED=Y","Sort=A","Dates=H","DateFormat=P","Fill=—","Direction=H","UseDPDF=Y")</f>
        <v>#NAME?</v>
      </c>
      <c r="BW634" s="2" t="e">
        <f ca="1">_xll.BDH($C$628,"BPS_SEQUENTIAL_GROWTH","FQ1 2015","FQ1 2015","Currency=INR","Period=FQ","BEST_FPERIOD_OVERRIDE=FQ","FILING_STATUS=OR","EQY_CONSOLIDATED=Y","Sort=A","Dates=H","DateFormat=P","Fill=—","Direction=H","UseDPDF=Y")</f>
        <v>#NAME?</v>
      </c>
      <c r="BX634" s="2" t="e">
        <f ca="1">_xll.BDH($C$628,"CFO_SEQUENTIAL_GROWTH","FQ1 2015","FQ1 2015","Currency=INR","Period=FQ","BEST_FPERIOD_OVERRIDE=FQ","FILING_STATUS=OR","EQY_CONSOLIDATED=Y","Sort=A","Dates=H","DateFormat=P","Fill=—","Direction=H","UseDPDF=Y")</f>
        <v>#NAME?</v>
      </c>
      <c r="BY634" s="3" t="e">
        <f ca="1">_xll.BDH($C$628,"SHORT_AND_LONG_TERM_DEBT","FQ1 2015","FQ1 2015","Currency=INR","Period=FQ","BEST_FPERIOD_OVERRIDE=FQ","FILING_STATUS=OR","EQY_CONSOLIDATED=Y","SCALING_FORMAT=MLN","Sort=A","Dates=H","DateFormat=P","Fill=—","Direction=H","UseDPDF=Y")</f>
        <v>#NAME?</v>
      </c>
      <c r="BZ634" s="3" t="e">
        <f ca="1">_xll.BDH($C$628,"BS_ST_BORROW","FQ1 2015","FQ1 2015","Currency=INR","Period=FQ","BEST_FPERIOD_OVERRIDE=FQ","FILING_STATUS=OR","EQY_CONSOLIDATED=Y","SCALING_FORMAT=MLN","Sort=A","Dates=H","DateFormat=P","Fill=—","Direction=H","UseDPDF=Y")</f>
        <v>#NAME?</v>
      </c>
      <c r="CA634" s="3" t="e">
        <f ca="1">_xll.BDH($C$628,"BS_LT_BORROW","FQ1 2015","FQ1 2015","Currency=INR","Period=FQ","BEST_FPERIOD_OVERRIDE=FQ","FILING_STATUS=OR","EQY_CONSOLIDATED=Y","SCALING_FORMAT=MLN","Sort=A","Dates=H","DateFormat=P","Fill=—","Direction=H","UseDPDF=Y")</f>
        <v>#NAME?</v>
      </c>
      <c r="CB634" s="2" t="e">
        <f ca="1">_xll.BDH($C$628,"TOT_DEBT_TO_EBITDA","FQ1 2015","FQ1 2015","Currency=INR","Period=FQ","BEST_FPERIOD_OVERRIDE=FQ","FILING_STATUS=OR","EQY_CONSOLIDATED=Y","FA_ADJUSTED=GAAP","Sort=A","Dates=H","DateFormat=P","Fill=—","Direction=H","UseDPDF=Y")</f>
        <v>#NAME?</v>
      </c>
      <c r="CC634" s="2" t="e">
        <f ca="1">_xll.BDH($C$628,"NET_DEBT_TO_EBITDA","FQ1 2015","FQ1 2015","Currency=INR","Period=FQ","BEST_FPERIOD_OVERRIDE=FQ","FILING_STATUS=OR","EQY_CONSOLIDATED=Y","FA_ADJUSTED=GAAP","Sort=A","Dates=H","DateFormat=P","Fill=—","Direction=H","UseDPDF=Y")</f>
        <v>#NAME?</v>
      </c>
      <c r="CD634" s="2" t="e">
        <f ca="1">_xll.BDH($C$628,"TOTAL_DEBT_TO_EBIT","FQ1 2015","FQ1 2015","Currency=INR","Period=FQ","BEST_FPERIOD_OVERRIDE=FQ","FILING_STATUS=OR","EQY_CONSOLIDATED=Y","FA_ADJUSTED=GAAP","Sort=A","Dates=H","DateFormat=P","Fill=—","Direction=H","UseDPDF=Y")</f>
        <v>#NAME?</v>
      </c>
      <c r="CE634" s="2" t="e">
        <f ca="1">_xll.BDH($C$628,"NET_DEBT_TO_EBIT","FQ1 2015","FQ1 2015","Currency=INR","Period=FQ","BEST_FPERIOD_OVERRIDE=FQ","FILING_STATUS=OR","EQY_CONSOLIDATED=Y","FA_ADJUSTED=GAAP","Sort=A","Dates=H","DateFormat=P","Fill=—","Direction=H","UseDPDF=Y")</f>
        <v>#NAME?</v>
      </c>
      <c r="CF634" s="2" t="e">
        <f ca="1">_xll.BDH($C$628,"EBITDA_TO_INTEREST_EXPN","FQ1 2015","FQ1 2015","Currency=INR","Period=FQ","BEST_FPERIOD_OVERRIDE=FQ","FILING_STATUS=OR","EQY_CONSOLIDATED=Y","FA_ADJUSTED=GAAP","Sort=A","Dates=H","DateFormat=P","Fill=—","Direction=H","UseDPDF=Y")</f>
        <v>#NAME?</v>
      </c>
      <c r="CG634" s="2" t="e">
        <f ca="1">_xll.BDH($C$628,"COM_EQY_TO_TOT_ASSET","FQ1 2015","FQ1 2015","Currency=INR","Period=FQ","BEST_FPERIOD_OVERRIDE=FQ","FILING_STATUS=OR","EQY_CONSOLIDATED=Y","Sort=A","Dates=H","DateFormat=P","Fill=—","Direction=H","UseDPDF=Y")</f>
        <v>#NAME?</v>
      </c>
      <c r="CH634" s="2" t="e">
        <f ca="1">_xll.BDH($C$628,"LT_DEBT_TO_TOT_EQY","FQ1 2015","FQ1 2015","Currency=INR","Period=FQ","BEST_FPERIOD_OVERRIDE=FQ","FILING_STATUS=OR","EQY_CONSOLIDATED=Y","Sort=A","Dates=H","DateFormat=P","Fill=—","Direction=H","UseDPDF=Y")</f>
        <v>#NAME?</v>
      </c>
      <c r="CI634" s="2" t="e">
        <f ca="1">_xll.BDH($C$628,"LT_DEBT_TO_TOT_CAP","FQ1 2015","FQ1 2015","Currency=INR","Period=FQ","BEST_FPERIOD_OVERRIDE=FQ","FILING_STATUS=OR","EQY_CONSOLIDATED=Y","Sort=A","Dates=H","DateFormat=P","Fill=—","Direction=H","UseDPDF=Y")</f>
        <v>#NAME?</v>
      </c>
      <c r="CJ634" s="2" t="e">
        <f ca="1">_xll.BDH($C$628,"LT_DEBT_TO_TOT_ASSET","FQ1 2015","FQ1 2015","Currency=INR","Period=FQ","BEST_FPERIOD_OVERRIDE=FQ","FILING_STATUS=OR","EQY_CONSOLIDATED=Y","Sort=A","Dates=H","DateFormat=P","Fill=—","Direction=H","UseDPDF=Y")</f>
        <v>#NAME?</v>
      </c>
      <c r="CK634" s="2" t="e">
        <f ca="1">_xll.BDH($C$628,"TOT_DEBT_TO_TOT_EQY","FQ1 2015","FQ1 2015","Currency=INR","Period=FQ","BEST_FPERIOD_OVERRIDE=FQ","FILING_STATUS=OR","EQY_CONSOLIDATED=Y","Sort=A","Dates=H","DateFormat=P","Fill=—","Direction=H","UseDPDF=Y")</f>
        <v>#NAME?</v>
      </c>
      <c r="CL634" s="2" t="e">
        <f ca="1">_xll.BDH($C$628,"TOT_DEBT_TO_TOT_CAP","FQ1 2015","FQ1 2015","Currency=INR","Period=FQ","BEST_FPERIOD_OVERRIDE=FQ","FILING_STATUS=OR","EQY_CONSOLIDATED=Y","Sort=A","Dates=H","DateFormat=P","Fill=—","Direction=H","UseDPDF=Y")</f>
        <v>#NAME?</v>
      </c>
      <c r="CM634" s="2" t="e">
        <f ca="1">_xll.BDH($C$628,"TOT_DEBT_TO_TOT_ASSET","FQ1 2015","FQ1 2015","Currency=INR","Period=FQ","BEST_FPERIOD_OVERRIDE=FQ","FILING_STATUS=OR","EQY_CONSOLIDATED=Y","Sort=A","Dates=H","DateFormat=P","Fill=—","Direction=H","UseDPDF=Y")</f>
        <v>#NAME?</v>
      </c>
      <c r="CN634" s="2" t="e">
        <f ca="1">_xll.BDH($C$628,"NET_DEBT_TO_SHRHLDR_EQTY","FQ1 2015","FQ1 2015","Currency=INR","Period=FQ","BEST_FPERIOD_OVERRIDE=FQ","FILING_STATUS=OR","EQY_CONSOLIDATED=Y","Sort=A","Dates=H","DateFormat=P","Fill=—","Direction=H","UseDPDF=Y")</f>
        <v>#NAME?</v>
      </c>
      <c r="CO634" s="2" t="e">
        <f ca="1">_xll.BDH($C$628,"NET_DEBT_%_CAPITAL","FQ1 2015","FQ1 2015","Currency=INR","Period=FQ","BEST_FPERIOD_OVERRIDE=FQ","FILING_STATUS=OR","EQY_CONSOLIDATED=Y","Sort=A","Dates=H","DateFormat=P","Fill=—","Direction=H","UseDPDF=Y")</f>
        <v>#NAME?</v>
      </c>
      <c r="CP634" s="3" t="e">
        <f ca="1">_xll.BDH($C$628,"EBITDA","FQ1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Q634" s="3" t="e">
        <f ca="1">_xll.BDH($C$628,"EBITDA_AFTER_CAPEX","FQ1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R634" s="3" t="e">
        <f ca="1">_xll.BDH($C$628,"IS_OPER_INC","FQ1 2015","FQ1 2015","Currency=INR","Period=FQ","BEST_FPERIOD_OVERRIDE=FQ","FILING_STATUS=OR","EQY_CONSOLIDATED=Y","SCALING_FORMAT=MLN","FA_ADJUSTED=GAAP","Sort=A","Dates=H","DateFormat=P","Fill=—","Direction=H","UseDPDF=Y")</f>
        <v>#NAME?</v>
      </c>
      <c r="CS634" s="2" t="e">
        <f ca="1">_xll.BDH($C$628,"CASH_RATIO","FQ1 2015","FQ1 2015","Currency=INR","Period=FQ","BEST_FPERIOD_OVERRIDE=FQ","FILING_STATUS=OR","EQY_CONSOLIDATED=Y","Sort=A","Dates=H","DateFormat=P","Fill=—","Direction=H","UseDPDF=Y")</f>
        <v>#NAME?</v>
      </c>
      <c r="CT634" s="2" t="e">
        <f ca="1">_xll.BDH($C$628,"CUR_RATIO","FQ1 2015","FQ1 2015","Currency=INR","Period=FQ","BEST_FPERIOD_OVERRIDE=FQ","FILING_STATUS=OR","EQY_CONSOLIDATED=Y","Sort=A","Dates=H","DateFormat=P","Fill=—","Direction=H","UseDPDF=Y")</f>
        <v>#NAME?</v>
      </c>
      <c r="CU634" s="2" t="e">
        <f ca="1">_xll.BDH($C$628,"QUICK_RATIO","FQ1 2015","FQ1 2015","Currency=INR","Period=FQ","BEST_FPERIOD_OVERRIDE=FQ","FILING_STATUS=OR","EQY_CONSOLIDATED=Y","Sort=A","Dates=H","DateFormat=P","Fill=—","Direction=H","UseDPDF=Y")</f>
        <v>#NAME?</v>
      </c>
      <c r="CV634" s="2" t="e">
        <f ca="1">_xll.BDH($C$628,"ALTMAN_Z_SCORE","FQ1 2015","FQ1 2015","Currency=INR","Period=FQ","BEST_FPERIOD_OVERRIDE=FQ","FILING_STATUS=OR","EQY_CONSOLIDATED=Y","Sort=A","Dates=H","DateFormat=P","Fill=—","Direction=H","UseDPDF=Y")</f>
        <v>#NAME?</v>
      </c>
      <c r="CW634" s="4" t="e">
        <f ca="1">_xll.BDH($C$628,"ACCT_RCV_TURN","FQ1 2015","FQ1 2015","Currency=INR","Period=FQ","BEST_FPERIOD_OVERRIDE=FQ","FILING_STATUS=OR","EQY_CONSOLIDATED=Y","FA_ADJUSTED=GAAP","Sort=A","Dates=H","DateFormat=P","Fill=—","Direction=H","UseDPDF=Y")</f>
        <v>#NAME?</v>
      </c>
      <c r="CX634" s="2" t="e">
        <f ca="1">_xll.BDH($C$628,"ACCT_RCV_DAYS","FQ1 2015","FQ1 2015","Currency=INR","Period=FQ","BEST_FPERIOD_OVERRIDE=FQ","FILING_STATUS=OR","EQY_CONSOLIDATED=Y","FA_ADJUSTED=GAAP","Sort=A","Dates=H","DateFormat=P","Fill=—","Direction=H","UseDPDF=Y")</f>
        <v>#NAME?</v>
      </c>
      <c r="CY634" s="4" t="e">
        <f ca="1">_xll.BDH($C$628,"INVENT_TURN","FQ1 2015","FQ1 2015","Currency=INR","Period=FQ","BEST_FPERIOD_OVERRIDE=FQ","FILING_STATUS=OR","EQY_CONSOLIDATED=Y","FA_ADJUSTED=GAAP","Sort=A","Dates=H","DateFormat=P","Fill=—","Direction=H","UseDPDF=Y")</f>
        <v>#NAME?</v>
      </c>
      <c r="CZ634" s="2" t="e">
        <f ca="1">_xll.BDH($C$628,"INVENT_DAYS","FQ1 2015","FQ1 2015","Currency=INR","Period=FQ","BEST_FPERIOD_OVERRIDE=FQ","FILING_STATUS=OR","EQY_CONSOLIDATED=Y","FA_ADJUSTED=GAAP","Sort=A","Dates=H","DateFormat=P","Fill=—","Direction=H","UseDPDF=Y")</f>
        <v>#NAME?</v>
      </c>
      <c r="DA634" s="4" t="e">
        <f ca="1">_xll.BDH($C$628,"ACCOUNTS_PAYABLE_TURNOVER","FQ1 2015","FQ1 2015","Currency=INR","Period=FQ","BEST_FPERIOD_OVERRIDE=FQ","FILING_STATUS=OR","EQY_CONSOLIDATED=Y","FA_ADJUSTED=GAAP","Sort=A","Dates=H","DateFormat=P","Fill=—","Direction=H","UseDPDF=Y")</f>
        <v>#NAME?</v>
      </c>
      <c r="DB634" s="2" t="e">
        <f ca="1">_xll.BDH($C$628,"ACCOUNTS_PAYABLE_TURNOVER_DAYS","FQ1 2015","FQ1 2015","Currency=INR","Period=FQ","BEST_FPERIOD_OVERRIDE=FQ","FILING_STATUS=OR","EQY_CONSOLIDATED=Y","FA_ADJUSTED=GAAP","Sort=A","Dates=H","DateFormat=P","Fill=—","Direction=H","UseDPDF=Y")</f>
        <v>#NAME?</v>
      </c>
      <c r="DC634" s="4" t="e">
        <f ca="1">_xll.BDH($C$628,"CASH_CONVERSION_CYCLE","FQ1 2015","FQ1 2015","Currency=INR","Period=FQ","BEST_FPERIOD_OVERRIDE=FQ","FILING_STATUS=OR","EQY_CONSOLIDATED=Y","FA_ADJUSTED=GAAP","Sort=A","Dates=H","DateFormat=P","Fill=—","Direction=H","UseDPDF=Y")</f>
        <v>#NAME?</v>
      </c>
      <c r="DD634" s="4" t="e">
        <f ca="1">_xll.BDH($C$628,"INV_TO_CASH_DAYS","FQ1 2015","FQ1 2015","Currency=INR","Period=FQ","BEST_FPERIOD_OVERRIDE=FQ","FILING_STATUS=OR","EQY_CONSOLIDATED=Y","FA_ADJUSTED=GAAP","Sort=A","Dates=H","DateFormat=P","Fill=—","Direction=H","UseDPDF=Y")</f>
        <v>#NAME?</v>
      </c>
      <c r="DE634" s="5" t="e">
        <f ca="1">_xll.BDH($C$628,"BS_INVENTORIES","FQ1 2015","FQ1 2015","Currency=INR","Period=FQ","BEST_FPERIOD_OVERRIDE=FQ","FILING_STATUS=OR","EQY_CONSOLIDATED=Y","SCALING_FORMAT=MLN","Sort=A","Dates=H","DateFormat=P","Fill=—","Direction=H","UseDPDF=Y")</f>
        <v>#NAME?</v>
      </c>
      <c r="DF634" s="3" t="e">
        <f ca="1">_xll.BDH($C$628,"INVTRY_RAW_MATERIALS","FQ1 2015","FQ1 2015","Currency=INR","Period=FQ","BEST_FPERIOD_OVERRIDE=FQ","FILING_STATUS=OR","EQY_CONSOLIDATED=Y","SCALING_FORMAT=MLN","Sort=A","Dates=H","DateFormat=P","Fill=—","Direction=H","UseDPDF=Y")</f>
        <v>#NAME?</v>
      </c>
      <c r="DG634" s="3" t="e">
        <f ca="1">_xll.BDH($C$628,"INVTRY_IN_PROGRESS","FQ1 2015","FQ1 2015","Currency=INR","Period=FQ","BEST_FPERIOD_OVERRIDE=FQ","FILING_STATUS=OR","EQY_CONSOLIDATED=Y","SCALING_FORMAT=MLN","Sort=A","Dates=H","DateFormat=P","Fill=—","Direction=H","UseDPDF=Y")</f>
        <v>#NAME?</v>
      </c>
      <c r="DH634" s="3" t="e">
        <f ca="1">_xll.BDH($C$628,"INVTRY_FINISHED_GOODS","FQ1 2015","FQ1 2015","Currency=INR","Period=FQ","BEST_FPERIOD_OVERRIDE=FQ","FILING_STATUS=OR","EQY_CONSOLIDATED=Y","SCALING_FORMAT=MLN","Sort=A","Dates=H","DateFormat=P","Fill=—","Direction=H","UseDPDF=Y")</f>
        <v>#NAME?</v>
      </c>
      <c r="DI634" s="3" t="e">
        <f ca="1">_xll.BDH($C$628,"BS_OTHER_INV","FQ1 2015","FQ1 2015","Currency=INR","Period=FQ","BEST_FPERIOD_OVERRIDE=FQ","FILING_STATUS=OR","EQY_CONSOLIDATED=Y","SCALING_FORMAT=MLN","Sort=A","Dates=H","DateFormat=P","Fill=—","Direction=H","UseDPDF=Y")</f>
        <v>#NAME?</v>
      </c>
    </row>
    <row r="635" spans="1:113" x14ac:dyDescent="0.3">
      <c r="A635" s="6"/>
      <c r="B635" s="6"/>
      <c r="C635" s="6"/>
      <c r="D635" s="6"/>
      <c r="E635" t="s">
        <v>79</v>
      </c>
      <c r="F635" t="e">
        <f ca="1">_xll.BDH($C$628,"RETURN_COM_EQY","FQ2 2015","FQ2 2015","Currency=INR","Period=FQ","BEST_FPERIOD_OVERRIDE=FQ","FILING_STATUS=OR","EQY_CONSOLIDATED=Y","FA_ADJUSTED=GAAP","Sort=A","Dates=H","DateFormat=P","Fill=—","Direction=H","UseDPDF=Y")</f>
        <v>#NAME?</v>
      </c>
      <c r="G635" t="e">
        <f ca="1">_xll.BDH($C$628,"RETURN_ON_ASSET","FQ2 2015","FQ2 2015","Currency=INR","Period=FQ","BEST_FPERIOD_OVERRIDE=FQ","FILING_STATUS=OR","EQY_CONSOLIDATED=Y","FA_ADJUSTED=GAAP","Sort=A","Dates=H","DateFormat=P","Fill=—","Direction=H","UseDPDF=Y")</f>
        <v>#NAME?</v>
      </c>
      <c r="H635" t="e">
        <f ca="1">_xll.BDH($C$628,"RETURN_ON_CAP","FQ2 2015","FQ2 2015","Currency=INR","Period=FQ","BEST_FPERIOD_OVERRIDE=FQ","FILING_STATUS=OR","EQY_CONSOLIDATED=Y","FA_ADJUSTED=GAAP","Sort=A","Dates=H","DateFormat=P","Fill=—","Direction=H","UseDPDF=Y")</f>
        <v>#NAME?</v>
      </c>
      <c r="I635" t="e">
        <f ca="1">_xll.BDH($C$628,"RETURN_ON_INV_CAPITAL","FQ2 2015","FQ2 2015","Currency=INR","Period=FQ","BEST_FPERIOD_OVERRIDE=FQ","FILING_STATUS=OR","EQY_CONSOLIDATED=Y","FA_ADJUSTED=GAAP","Sort=A","Dates=H","DateFormat=P","Fill=—","Direction=H","UseDPDF=Y")</f>
        <v>#NAME?</v>
      </c>
      <c r="J635" t="e">
        <f ca="1">_xll.BDH($C$628,"EBITDA_TO_REVENUE","FQ2 2015","FQ2 2015","Currency=INR","Period=FQ","BEST_FPERIOD_OVERRIDE=FQ","FILING_STATUS=OR","EQY_CONSOLIDATED=Y","FA_ADJUSTED=GAAP","Sort=A","Dates=H","DateFormat=P","Fill=—","Direction=H","UseDPDF=Y")</f>
        <v>#NAME?</v>
      </c>
      <c r="K635" t="e">
        <f ca="1">_xll.BDH($C$628,"OPER_MARGIN","FQ2 2015","FQ2 2015","Currency=INR","Period=FQ","BEST_FPERIOD_OVERRIDE=FQ","FILING_STATUS=OR","EQY_CONSOLIDATED=Y","FA_ADJUSTED=GAAP","Sort=A","Dates=H","DateFormat=P","Fill=—","Direction=H","UseDPDF=Y")</f>
        <v>#NAME?</v>
      </c>
      <c r="L635" t="e">
        <f ca="1">_xll.BDH($C$628,"INCREMENTAL_OPERATING_MARGIN","FQ2 2015","FQ2 2015","Currency=INR","Period=FQ","BEST_FPERIOD_OVERRIDE=FQ","FILING_STATUS=OR","EQY_CONSOLIDATED=Y","FA_ADJUSTED=GAAP","Sort=A","Dates=H","DateFormat=P","Fill=—","Direction=H","UseDPDF=Y")</f>
        <v>#NAME?</v>
      </c>
      <c r="M635" t="e">
        <f ca="1">_xll.BDH($C$628,"PRETAX_INC_TO_NET_SALES","FQ2 2015","FQ2 2015","Currency=INR","Period=FQ","BEST_FPERIOD_OVERRIDE=FQ","FILING_STATUS=OR","EQY_CONSOLIDATED=Y","FA_ADJUSTED=GAAP","Sort=A","Dates=H","DateFormat=P","Fill=—","Direction=H","UseDPDF=Y")</f>
        <v>#NAME?</v>
      </c>
      <c r="N635" t="e">
        <f ca="1">_xll.BDH($C$628,"INC_BEF_XO_ITEMS_TO_NET_SALES","FQ2 2015","FQ2 2015","Currency=INR","Period=FQ","BEST_FPERIOD_OVERRIDE=FQ","FILING_STATUS=OR","EQY_CONSOLIDATED=Y","FA_ADJUSTED=GAAP","Sort=A","Dates=H","DateFormat=P","Fill=—","Direction=H","UseDPDF=Y")</f>
        <v>#NAME?</v>
      </c>
      <c r="O635" t="e">
        <f ca="1">_xll.BDH($C$628,"PROF_MARGIN","FQ2 2015","FQ2 2015","Currency=INR","Period=FQ","BEST_FPERIOD_OVERRIDE=FQ","FILING_STATUS=OR","EQY_CONSOLIDATED=Y","FA_ADJUSTED=GAAP","Sort=A","Dates=H","DateFormat=P","Fill=—","Direction=H","UseDPDF=Y")</f>
        <v>#NAME?</v>
      </c>
      <c r="P635" t="e">
        <f ca="1">_xll.BDH($C$628,"NET_INCOME_TO_COMMON_MARGIN","FQ2 2015","FQ2 2015","Currency=INR","Period=FQ","BEST_FPERIOD_OVERRIDE=FQ","FILING_STATUS=OR","EQY_CONSOLIDATED=Y","FA_ADJUSTED=GAAP","Sort=A","Dates=H","DateFormat=P","Fill=—","Direction=H","UseDPDF=Y")</f>
        <v>#NAME?</v>
      </c>
      <c r="Q635" t="e">
        <f ca="1">_xll.BDH($C$628,"EFF_TAX_RATE","FQ2 2015","FQ2 2015","Currency=INR","Period=FQ","BEST_FPERIOD_OVERRIDE=FQ","FILING_STATUS=OR","EQY_CONSOLIDATED=Y","FA_ADJUSTED=GAAP","Sort=A","Dates=H","DateFormat=P","Fill=—","Direction=H","UseDPDF=Y")</f>
        <v>#NAME?</v>
      </c>
      <c r="R635" t="e">
        <f ca="1">_xll.BDH($C$628,"DVD_PAYOUT_RATIO","FQ2 2015","FQ2 2015","Currency=INR","Period=FQ","BEST_FPERIOD_OVERRIDE=FQ","FILING_STATUS=OR","EQY_CONSOLIDATED=Y","FA_ADJUSTED=GAAP","Sort=A","Dates=H","DateFormat=P","Fill=—","Direction=H","UseDPDF=Y")</f>
        <v>#NAME?</v>
      </c>
      <c r="S635" t="e">
        <f ca="1">_xll.BDH($C$628,"SUSTAIN_GROWTH_RT","FQ2 2015","FQ2 2015","Currency=INR","Period=FQ","BEST_FPERIOD_OVERRIDE=FQ","FILING_STATUS=OR","EQY_CONSOLIDATED=Y","FA_ADJUSTED=GAAP","Sort=A","Dates=H","DateFormat=P","Fill=—","Direction=H","UseDPDF=Y")</f>
        <v>#NAME?</v>
      </c>
      <c r="T635" s="2" t="e">
        <f ca="1">_xll.BDH($C$628,"SALES_GROWTH","FQ2 2015","FQ2 2015","Currency=INR","Period=FQ","BEST_FPERIOD_OVERRIDE=FQ","FILING_STATUS=OR","EQY_CONSOLIDATED=Y","FA_ADJUSTED=GAAP","Sort=A","Dates=H","DateFormat=P","Fill=—","Direction=H","UseDPDF=Y")</f>
        <v>#NAME?</v>
      </c>
      <c r="U635" s="2" t="e">
        <f ca="1">_xll.BDH($C$628,"EBITDA_GROWTH","FQ2 2015","FQ2 2015","Currency=INR","Period=FQ","BEST_FPERIOD_OVERRIDE=FQ","FILING_STATUS=OR","EQY_CONSOLIDATED=Y","FA_ADJUSTED=GAAP","Sort=A","Dates=H","DateFormat=P","Fill=—","Direction=H","UseDPDF=Y")</f>
        <v>#NAME?</v>
      </c>
      <c r="V635" s="2" t="e">
        <f ca="1">_xll.BDH($C$628,"OPER_INC_GROWTH","FQ2 2015","FQ2 2015","Currency=INR","Period=FQ","BEST_FPERIOD_OVERRIDE=FQ","FILING_STATUS=OR","EQY_CONSOLIDATED=Y","FA_ADJUSTED=GAAP","Sort=A","Dates=H","DateFormat=P","Fill=—","Direction=H","UseDPDF=Y")</f>
        <v>#NAME?</v>
      </c>
      <c r="W635" s="2" t="e">
        <f ca="1">_xll.BDH($C$628,"EARN_FOR_COM_GROWTH","FQ2 2015","FQ2 2015","Currency=INR","Period=FQ","BEST_FPERIOD_OVERRIDE=FQ","FILING_STATUS=OR","EQY_CONSOLIDATED=Y","FA_ADJUSTED=GAAP","Sort=A","Dates=H","DateFormat=P","Fill=—","Direction=H","UseDPDF=Y")</f>
        <v>#NAME?</v>
      </c>
      <c r="X635" s="2" t="e">
        <f ca="1">_xll.BDH($C$628,"DILUTED_EPS_AFT_XO_ITEMS_GROWTH","FQ2 2015","FQ2 2015","Currency=INR","Period=FQ","BEST_FPERIOD_OVERRIDE=FQ","FILING_STATUS=OR","EQY_CONSOLIDATED=Y","FA_ADJUSTED=GAAP","Sort=A","Dates=H","DateFormat=P","Fill=—","Direction=H","UseDPDF=Y")</f>
        <v>#NAME?</v>
      </c>
      <c r="Y635" s="2" t="e">
        <f ca="1">_xll.BDH($C$628,"DIVIDEND_PER_SHARE_1_YEAR_GROWTH","FQ2 2015","FQ2 2015","Currency=INR","Period=FQ","BEST_FPERIOD_OVERRIDE=FQ","FILING_STATUS=OR","EQY_CONSOLIDATED=Y","Sort=A","Dates=H","DateFormat=P","Fill=—","Direction=H","UseDPDF=Y")</f>
        <v>#NAME?</v>
      </c>
      <c r="Z635" s="2" t="e">
        <f ca="1">_xll.BDH($C$628,"ACCOUNTS_RECEIVABLE_GROWTH","FQ2 2015","FQ2 2015","Currency=INR","Period=FQ","BEST_FPERIOD_OVERRIDE=FQ","FILING_STATUS=OR","EQY_CONSOLIDATED=Y","Sort=A","Dates=H","DateFormat=P","Fill=—","Direction=H","UseDPDF=Y")</f>
        <v>#NAME?</v>
      </c>
      <c r="AA635" s="2" t="e">
        <f ca="1">_xll.BDH($C$628,"INVENTORY_GROWTH","FQ2 2015","FQ2 2015","Currency=INR","Period=FQ","BEST_FPERIOD_OVERRIDE=FQ","FILING_STATUS=OR","EQY_CONSOLIDATED=Y","Sort=A","Dates=H","DateFormat=P","Fill=—","Direction=H","UseDPDF=Y")</f>
        <v>#NAME?</v>
      </c>
      <c r="AB635" s="2" t="e">
        <f ca="1">_xll.BDH($C$628,"NET_FIXED_ASSETS_1_YEAR_GROWTH","FQ2 2015","FQ2 2015","Currency=INR","Period=FQ","BEST_FPERIOD_OVERRIDE=FQ","FILING_STATUS=OR","EQY_CONSOLIDATED=Y","Sort=A","Dates=H","DateFormat=P","Fill=—","Direction=H","UseDPDF=Y")</f>
        <v>#NAME?</v>
      </c>
      <c r="AC635" s="2" t="e">
        <f ca="1">_xll.BDH($C$628,"ASSET_GROWTH","FQ2 2015","FQ2 2015","Currency=INR","Period=FQ","BEST_FPERIOD_OVERRIDE=FQ","FILING_STATUS=OR","EQY_CONSOLIDATED=Y","Sort=A","Dates=H","DateFormat=P","Fill=—","Direction=H","UseDPDF=Y")</f>
        <v>#NAME?</v>
      </c>
      <c r="AD635" s="2" t="e">
        <f ca="1">_xll.BDH($C$628,"MODIFIED_WORK_CAP_GROWTH","FQ2 2015","FQ2 2015","Currency=INR","Period=FQ","BEST_FPERIOD_OVERRIDE=FQ","FILING_STATUS=OR","EQY_CONSOLIDATED=Y","Sort=A","Dates=H","DateFormat=P","Fill=—","Direction=H","UseDPDF=Y")</f>
        <v>#NAME?</v>
      </c>
      <c r="AE635" s="2" t="e">
        <f ca="1">_xll.BDH($C$628,"WORK_CAP_GROWTH","FQ2 2015","FQ2 2015","Currency=INR","Period=FQ","BEST_FPERIOD_OVERRIDE=FQ","FILING_STATUS=OR","EQY_CONSOLIDATED=Y","Sort=A","Dates=H","DateFormat=P","Fill=—","Direction=H","UseDPDF=Y")</f>
        <v>#NAME?</v>
      </c>
      <c r="AF635" s="2" t="e">
        <f ca="1">_xll.BDH($C$628,"ACCOUNTS_PAYABLE_GROWTH_1YR","FQ2 2015","FQ2 2015","Currency=INR","Period=FQ","BEST_FPERIOD_OVERRIDE=FQ","FILING_STATUS=OR","EQY_CONSOLIDATED=Y","Sort=A","Dates=H","DateFormat=P","Fill=—","Direction=H","UseDPDF=Y")</f>
        <v>#NAME?</v>
      </c>
      <c r="AG635" s="2" t="e">
        <f ca="1">_xll.BDH($C$628,"SHORT_TERM_DEBT_1_YEAR_GROWTH","FQ2 2015","FQ2 2015","Currency=INR","Period=FQ","BEST_FPERIOD_OVERRIDE=FQ","FILING_STATUS=OR","EQY_CONSOLIDATED=Y","Sort=A","Dates=H","DateFormat=P","Fill=—","Direction=H","UseDPDF=Y")</f>
        <v>#NAME?</v>
      </c>
      <c r="AH635" s="2" t="e">
        <f ca="1">_xll.BDH($C$628,"TOTAL_DEBT_1_YEAR_GROWTH","FQ2 2015","FQ2 2015","Currency=INR","Period=FQ","BEST_FPERIOD_OVERRIDE=FQ","FILING_STATUS=OR","EQY_CONSOLIDATED=Y","Sort=A","Dates=H","DateFormat=P","Fill=—","Direction=H","UseDPDF=Y")</f>
        <v>#NAME?</v>
      </c>
      <c r="AI635" s="2" t="e">
        <f ca="1">_xll.BDH($C$628,"TOTAL_EQUITY_1_YEAR_GROWTH","FQ2 2015","FQ2 2015","Currency=INR","Period=FQ","BEST_FPERIOD_OVERRIDE=FQ","FILING_STATUS=OR","EQY_CONSOLIDATED=Y","Sort=A","Dates=H","DateFormat=P","Fill=—","Direction=H","UseDPDF=Y")</f>
        <v>#NAME?</v>
      </c>
      <c r="AJ635" s="2" t="e">
        <f ca="1">_xll.BDH($C$628,"GROWTH_IN_CAP","FQ2 2015","FQ2 2015","Currency=INR","Period=FQ","BEST_FPERIOD_OVERRIDE=FQ","FILING_STATUS=OR","EQY_CONSOLIDATED=Y","Sort=A","Dates=H","DateFormat=P","Fill=—","Direction=H","UseDPDF=Y")</f>
        <v>#NAME?</v>
      </c>
      <c r="AK635" s="2" t="e">
        <f ca="1">_xll.BDH($C$628,"BVPS_GROWTH","FQ2 2015","FQ2 2015","Currency=INR","Period=FQ","BEST_FPERIOD_OVERRIDE=FQ","FILING_STATUS=OR","EQY_CONSOLIDATED=Y","Sort=A","Dates=H","DateFormat=P","Fill=—","Direction=H","UseDPDF=Y")</f>
        <v>#NAME?</v>
      </c>
      <c r="AL635" s="2" t="e">
        <f ca="1">_xll.BDH($C$628,"CASH_FLOW_GROWTH","FQ2 2015","FQ2 2015","Currency=INR","Period=FQ","BEST_FPERIOD_OVERRIDE=FQ","FILING_STATUS=OR","EQY_CONSOLIDATED=Y","Sort=A","Dates=H","DateFormat=P","Fill=—","Direction=H","UseDPDF=Y")</f>
        <v>#NAME?</v>
      </c>
      <c r="AM635" s="2" t="e">
        <f ca="1">_xll.BDH($C$628,"GEO_GROW_NET_SALES","FQ2 2015","FQ2 2015","Currency=INR","Period=FQ","BEST_FPERIOD_OVERRIDE=FQ","FILING_STATUS=OR","EQY_CONSOLIDATED=Y","FA_ADJUSTED=GAAP","Sort=A","Dates=H","DateFormat=P","Fill=—","Direction=H","UseDPDF=Y")</f>
        <v>#NAME?</v>
      </c>
      <c r="AN635" s="2" t="e">
        <f ca="1">_xll.BDH($C$628,"GEO_GROW_EBITDA","FQ2 2015","FQ2 2015","Currency=INR","Period=FQ","BEST_FPERIOD_OVERRIDE=FQ","FILING_STATUS=OR","EQY_CONSOLIDATED=Y","FA_ADJUSTED=GAAP","Sort=A","Dates=H","DateFormat=P","Fill=—","Direction=H","UseDPDF=Y")</f>
        <v>#NAME?</v>
      </c>
      <c r="AO635" s="2" t="e">
        <f ca="1">_xll.BDH($C$628,"GEO_GROW_OPER_INC","FQ2 2015","FQ2 2015","Currency=INR","Period=FQ","BEST_FPERIOD_OVERRIDE=FQ","FILING_STATUS=OR","EQY_CONSOLIDATED=Y","FA_ADJUSTED=GAAP","Sort=A","Dates=H","DateFormat=P","Fill=—","Direction=H","UseDPDF=Y")</f>
        <v>#NAME?</v>
      </c>
      <c r="AP635" s="2" t="e">
        <f ca="1">_xll.BDH($C$628,"NET_INCOME_TO_COMMON_5_YR_GROWTH","FQ2 2015","FQ2 2015","Currency=INR","Period=FQ","BEST_FPERIOD_OVERRIDE=FQ","FILING_STATUS=OR","EQY_CONSOLIDATED=Y","FA_ADJUSTED=GAAP","Sort=A","Dates=H","DateFormat=P","Fill=—","Direction=H","UseDPDF=Y")</f>
        <v>#NAME?</v>
      </c>
      <c r="AQ635" s="2" t="e">
        <f ca="1">_xll.BDH($C$628,"5Y_GEO_GROWTH_DILUTED_EPS","FQ2 2015","FQ2 2015","Currency=INR","Period=FQ","BEST_FPERIOD_OVERRIDE=FQ","FILING_STATUS=OR","EQY_CONSOLIDATED=Y","FA_ADJUSTED=GAAP","Sort=A","Dates=H","DateFormat=P","Fill=—","Direction=H","UseDPDF=Y")</f>
        <v>#NAME?</v>
      </c>
      <c r="AR635" s="2" t="e">
        <f ca="1">_xll.BDH($C$628,"GEO_GROW_DVD_PER_SH","FQ2 2015","FQ2 2015","Currency=INR","Period=FQ","BEST_FPERIOD_OVERRIDE=FQ","FILING_STATUS=OR","EQY_CONSOLIDATED=Y","Sort=A","Dates=H","DateFormat=P","Fill=—","Direction=H","UseDPDF=Y")</f>
        <v>#NAME?</v>
      </c>
      <c r="AS635" s="2" t="e">
        <f ca="1">_xll.BDH($C$628,"ACCOUNTS_RECEIVABLE_5_YR_GROWTH","FQ2 2015","FQ2 2015","Currency=INR","Period=FQ","BEST_FPERIOD_OVERRIDE=FQ","FILING_STATUS=OR","EQY_CONSOLIDATED=Y","Sort=A","Dates=H","DateFormat=P","Fill=—","Direction=H","UseDPDF=Y")</f>
        <v>#NAME?</v>
      </c>
      <c r="AT635" s="2" t="e">
        <f ca="1">_xll.BDH($C$628,"INVENTORY_5_YEAR_GROWTH","FQ2 2015","FQ2 2015","Currency=INR","Period=FQ","BEST_FPERIOD_OVERRIDE=FQ","FILING_STATUS=OR","EQY_CONSOLIDATED=Y","Sort=A","Dates=H","DateFormat=P","Fill=—","Direction=H","UseDPDF=Y")</f>
        <v>#NAME?</v>
      </c>
      <c r="AU635" s="2" t="e">
        <f ca="1">_xll.BDH($C$628,"NET_FIXED_ASSETS_5_YEAR_GROWTH","FQ2 2015","FQ2 2015","Currency=INR","Period=FQ","BEST_FPERIOD_OVERRIDE=FQ","FILING_STATUS=OR","EQY_CONSOLIDATED=Y","Sort=A","Dates=H","DateFormat=P","Fill=—","Direction=H","UseDPDF=Y")</f>
        <v>#NAME?</v>
      </c>
      <c r="AV635" s="2" t="e">
        <f ca="1">_xll.BDH($C$628,"GEO_GROW_TOT_ASSET","FQ2 2015","FQ2 2015","Currency=INR","Period=FQ","BEST_FPERIOD_OVERRIDE=FQ","FILING_STATUS=OR","EQY_CONSOLIDATED=Y","Sort=A","Dates=H","DateFormat=P","Fill=—","Direction=H","UseDPDF=Y")</f>
        <v>#NAME?</v>
      </c>
      <c r="AW635" s="2" t="e">
        <f ca="1">_xll.BDH($C$628,"MODIFIED_WORKING_CPTL_5YR_GRWTH","FQ2 2015","FQ2 2015","Currency=INR","Period=FQ","BEST_FPERIOD_OVERRIDE=FQ","FILING_STATUS=OR","EQY_CONSOLIDATED=Y","Sort=A","Dates=H","DateFormat=P","Fill=—","Direction=H","UseDPDF=Y")</f>
        <v>#NAME?</v>
      </c>
      <c r="AX635" s="2" t="e">
        <f ca="1">_xll.BDH($C$628,"WORKING_CAPITAL_5_YEAR_GROWTH","FQ2 2015","FQ2 2015","Currency=INR","Period=FQ","BEST_FPERIOD_OVERRIDE=FQ","FILING_STATUS=OR","EQY_CONSOLIDATED=Y","Sort=A","Dates=H","DateFormat=P","Fill=—","Direction=H","UseDPDF=Y")</f>
        <v>#NAME?</v>
      </c>
      <c r="AY635" s="2" t="e">
        <f ca="1">_xll.BDH($C$628,"ACCOUNTS_PAYABLE_5_YEAR_GROWTH","FQ2 2015","FQ2 2015","Currency=INR","Period=FQ","BEST_FPERIOD_OVERRIDE=FQ","FILING_STATUS=OR","EQY_CONSOLIDATED=Y","Sort=A","Dates=H","DateFormat=P","Fill=—","Direction=H","UseDPDF=Y")</f>
        <v>#NAME?</v>
      </c>
      <c r="AZ635" s="2" t="e">
        <f ca="1">_xll.BDH($C$628,"SHORT_TERM_DEBT_5_YEAR_GROWTH","FQ2 2015","FQ2 2015","Currency=INR","Period=FQ","BEST_FPERIOD_OVERRIDE=FQ","FILING_STATUS=OR","EQY_CONSOLIDATED=Y","Sort=A","Dates=H","DateFormat=P","Fill=—","Direction=H","UseDPDF=Y")</f>
        <v>#NAME?</v>
      </c>
      <c r="BA635" s="2" t="e">
        <f ca="1">_xll.BDH($C$628,"TOTAL_DEBT_5_YEAR_GROWTH","FQ2 2015","FQ2 2015","Currency=INR","Period=FQ","BEST_FPERIOD_OVERRIDE=FQ","FILING_STATUS=OR","EQY_CONSOLIDATED=Y","Sort=A","Dates=H","DateFormat=P","Fill=—","Direction=H","UseDPDF=Y")</f>
        <v>#NAME?</v>
      </c>
      <c r="BB635" s="2" t="e">
        <f ca="1">_xll.BDH($C$628,"GEO_GROW_TOT_SHRHLDR_EQY","FQ2 2015","FQ2 2015","Currency=INR","Period=FQ","BEST_FPERIOD_OVERRIDE=FQ","FILING_STATUS=OR","EQY_CONSOLIDATED=Y","Sort=A","Dates=H","DateFormat=P","Fill=—","Direction=H","UseDPDF=Y")</f>
        <v>#NAME?</v>
      </c>
      <c r="BC635" s="2" t="e">
        <f ca="1">_xll.BDH($C$628,"TOTAL_CAPITAL_5_YEAR_GROWTH","FQ2 2015","FQ2 2015","Currency=INR","Period=FQ","BEST_FPERIOD_OVERRIDE=FQ","FILING_STATUS=OR","EQY_CONSOLIDATED=Y","Sort=A","Dates=H","DateFormat=P","Fill=—","Direction=H","UseDPDF=Y")</f>
        <v>#NAME?</v>
      </c>
      <c r="BD635" s="2" t="e">
        <f ca="1">_xll.BDH($C$628,"GEO_GROW_BOOK_VAL","FQ2 2015","FQ2 2015","Currency=INR","Period=FQ","BEST_FPERIOD_OVERRIDE=FQ","FILING_STATUS=OR","EQY_CONSOLIDATED=Y","Sort=A","Dates=H","DateFormat=P","Fill=—","Direction=H","UseDPDF=Y")</f>
        <v>#NAME?</v>
      </c>
      <c r="BE635" s="2" t="e">
        <f ca="1">_xll.BDH($C$628,"GEO_GROW_CASH_OPER_ACT","FQ2 2015","FQ2 2015","Currency=INR","Period=FQ","BEST_FPERIOD_OVERRIDE=FQ","FILING_STATUS=OR","EQY_CONSOLIDATED=Y","Sort=A","Dates=H","DateFormat=P","Fill=—","Direction=H","UseDPDF=Y")</f>
        <v>#NAME?</v>
      </c>
      <c r="BF635" s="2" t="e">
        <f ca="1">_xll.BDH($C$628,"REVENUE_SEQUENTIAL_GROWTH","FQ2 2015","FQ2 2015","Currency=INR","Period=FQ","BEST_FPERIOD_OVERRIDE=FQ","FILING_STATUS=OR","EQY_CONSOLIDATED=Y","FA_ADJUSTED=GAAP","Sort=A","Dates=H","DateFormat=P","Fill=—","Direction=H","UseDPDF=Y")</f>
        <v>#NAME?</v>
      </c>
      <c r="BG635" s="2" t="e">
        <f ca="1">_xll.BDH($C$628,"EBITDA_SEQUENTIAL_GROWTH","FQ2 2015","FQ2 2015","Currency=INR","Period=FQ","BEST_FPERIOD_OVERRIDE=FQ","FILING_STATUS=OR","EQY_CONSOLIDATED=Y","FA_ADJUSTED=GAAP","Sort=A","Dates=H","DateFormat=P","Fill=—","Direction=H","UseDPDF=Y")</f>
        <v>#NAME?</v>
      </c>
      <c r="BH635" s="2" t="e">
        <f ca="1">_xll.BDH($C$628,"OPERATING_INCOME_SEQ_GROWTH","FQ2 2015","FQ2 2015","Currency=INR","Period=FQ","BEST_FPERIOD_OVERRIDE=FQ","FILING_STATUS=OR","EQY_CONSOLIDATED=Y","FA_ADJUSTED=GAAP","Sort=A","Dates=H","DateFormat=P","Fill=—","Direction=H","UseDPDF=Y")</f>
        <v>#NAME?</v>
      </c>
      <c r="BI635" s="2" t="e">
        <f ca="1">_xll.BDH($C$628,"NET_INCOME_TO_COMMON_SEQ_GROWTH","FQ2 2015","FQ2 2015","Currency=INR","Period=FQ","BEST_FPERIOD_OVERRIDE=FQ","FILING_STATUS=OR","EQY_CONSOLIDATED=Y","FA_ADJUSTED=GAAP","Sort=A","Dates=H","DateFormat=P","Fill=—","Direction=H","UseDPDF=Y")</f>
        <v>#NAME?</v>
      </c>
      <c r="BJ635" s="2" t="e">
        <f ca="1">_xll.BDH($C$628,"EPS_DILUTED_SEQUENTIAL_GROWTH","FQ2 2015","FQ2 2015","Currency=INR","Period=FQ","BEST_FPERIOD_OVERRIDE=FQ","FILING_STATUS=OR","EQY_CONSOLIDATED=Y","FA_ADJUSTED=GAAP","Sort=A","Dates=H","DateFormat=P","Fill=—","Direction=H","UseDPDF=Y")</f>
        <v>#NAME?</v>
      </c>
      <c r="BK635" s="2" t="e">
        <f ca="1">_xll.BDH($C$628,"DPS_SEQUENTIAL_GROWTH","FQ2 2015","FQ2 2015","Currency=INR","Period=FQ","BEST_FPERIOD_OVERRIDE=FQ","FILING_STATUS=OR","EQY_CONSOLIDATED=Y","Sort=A","Dates=H","DateFormat=P","Fill=—","Direction=H","UseDPDF=Y")</f>
        <v>#NAME?</v>
      </c>
      <c r="BL635" s="2" t="e">
        <f ca="1">_xll.BDH($C$628,"ACCOUNTS_RECEIVABLE_SEQ_GROWTH","FQ2 2015","FQ2 2015","Currency=INR","Period=FQ","BEST_FPERIOD_OVERRIDE=FQ","FILING_STATUS=OR","EQY_CONSOLIDATED=Y","Sort=A","Dates=H","DateFormat=P","Fill=—","Direction=H","UseDPDF=Y")</f>
        <v>#NAME?</v>
      </c>
      <c r="BM635" s="2" t="e">
        <f ca="1">_xll.BDH($C$628,"INVENTORY_SEQUENTIAL_GROWTH","FQ2 2015","FQ2 2015","Currency=INR","Period=FQ","BEST_FPERIOD_OVERRIDE=FQ","FILING_STATUS=OR","EQY_CONSOLIDATED=Y","Sort=A","Dates=H","DateFormat=P","Fill=—","Direction=H","UseDPDF=Y")</f>
        <v>#NAME?</v>
      </c>
      <c r="BN635" s="2" t="e">
        <f ca="1">_xll.BDH($C$628,"FIXED_ASSETS_SEQUENTIAL_GROWTH","FQ2 2015","FQ2 2015","Currency=INR","Period=FQ","BEST_FPERIOD_OVERRIDE=FQ","FILING_STATUS=OR","EQY_CONSOLIDATED=Y","Sort=A","Dates=H","DateFormat=P","Fill=—","Direction=H","UseDPDF=Y")</f>
        <v>#NAME?</v>
      </c>
      <c r="BO635" s="2" t="e">
        <f ca="1">_xll.BDH($C$628,"TOTAL_ASSETS_SEQUENTIAL_GROWTH","FQ2 2015","FQ2 2015","Currency=INR","Period=FQ","BEST_FPERIOD_OVERRIDE=FQ","FILING_STATUS=OR","EQY_CONSOLIDATED=Y","Sort=A","Dates=H","DateFormat=P","Fill=—","Direction=H","UseDPDF=Y")</f>
        <v>#NAME?</v>
      </c>
      <c r="BP635" s="2" t="e">
        <f ca="1">_xll.BDH($C$628,"MODIFIED_WORKING_CPTL_SEQ_GRWTH","FQ2 2015","FQ2 2015","Currency=INR","Period=FQ","BEST_FPERIOD_OVERRIDE=FQ","FILING_STATUS=OR","EQY_CONSOLIDATED=Y","Sort=A","Dates=H","DateFormat=P","Fill=—","Direction=H","UseDPDF=Y")</f>
        <v>#NAME?</v>
      </c>
      <c r="BQ635" s="2" t="e">
        <f ca="1">_xll.BDH($C$628,"WORKING_CAPITAL_SEQ_GROWTH","FQ2 2015","FQ2 2015","Currency=INR","Period=FQ","BEST_FPERIOD_OVERRIDE=FQ","FILING_STATUS=OR","EQY_CONSOLIDATED=Y","Sort=A","Dates=H","DateFormat=P","Fill=—","Direction=H","UseDPDF=Y")</f>
        <v>#NAME?</v>
      </c>
      <c r="BR635" s="2" t="e">
        <f ca="1">_xll.BDH($C$628,"ACCOUNTS_PAYABLE_SEQ_GROWTH","FQ2 2015","FQ2 2015","Currency=INR","Period=FQ","BEST_FPERIOD_OVERRIDE=FQ","FILING_STATUS=OR","EQY_CONSOLIDATED=Y","Sort=A","Dates=H","DateFormat=P","Fill=—","Direction=H","UseDPDF=Y")</f>
        <v>#NAME?</v>
      </c>
      <c r="BS635" s="2" t="e">
        <f ca="1">_xll.BDH($C$628,"ST_DEBT_SEQUENTIAL_GROWTH","FQ2 2015","FQ2 2015","Currency=INR","Period=FQ","BEST_FPERIOD_OVERRIDE=FQ","FILING_STATUS=OR","EQY_CONSOLIDATED=Y","Sort=A","Dates=H","DateFormat=P","Fill=—","Direction=H","UseDPDF=Y")</f>
        <v>#NAME?</v>
      </c>
      <c r="BT635" s="2" t="e">
        <f ca="1">_xll.BDH($C$628,"TOTAL_DEBT_SEQUENTIAL_GROWTH","FQ2 2015","FQ2 2015","Currency=INR","Period=FQ","BEST_FPERIOD_OVERRIDE=FQ","FILING_STATUS=OR","EQY_CONSOLIDATED=Y","Sort=A","Dates=H","DateFormat=P","Fill=—","Direction=H","UseDPDF=Y")</f>
        <v>#NAME?</v>
      </c>
      <c r="BU635" s="2" t="e">
        <f ca="1">_xll.BDH($C$628,"TOTAL_EQUITY_SEQUENTIAL_GROWTH","FQ2 2015","FQ2 2015","Currency=INR","Period=FQ","BEST_FPERIOD_OVERRIDE=FQ","FILING_STATUS=OR","EQY_CONSOLIDATED=Y","Sort=A","Dates=H","DateFormat=P","Fill=—","Direction=H","UseDPDF=Y")</f>
        <v>#NAME?</v>
      </c>
      <c r="BV635" s="2" t="e">
        <f ca="1">_xll.BDH($C$628,"TOTAL_CAPITAL_SEQUENTIAL_GROWTH","FQ2 2015","FQ2 2015","Currency=INR","Period=FQ","BEST_FPERIOD_OVERRIDE=FQ","FILING_STATUS=OR","EQY_CONSOLIDATED=Y","Sort=A","Dates=H","DateFormat=P","Fill=—","Direction=H","UseDPDF=Y")</f>
        <v>#NAME?</v>
      </c>
      <c r="BW635" s="2" t="e">
        <f ca="1">_xll.BDH($C$628,"BPS_SEQUENTIAL_GROWTH","FQ2 2015","FQ2 2015","Currency=INR","Period=FQ","BEST_FPERIOD_OVERRIDE=FQ","FILING_STATUS=OR","EQY_CONSOLIDATED=Y","Sort=A","Dates=H","DateFormat=P","Fill=—","Direction=H","UseDPDF=Y")</f>
        <v>#NAME?</v>
      </c>
      <c r="BX635" s="2" t="e">
        <f ca="1">_xll.BDH($C$628,"CFO_SEQUENTIAL_GROWTH","FQ2 2015","FQ2 2015","Currency=INR","Period=FQ","BEST_FPERIOD_OVERRIDE=FQ","FILING_STATUS=OR","EQY_CONSOLIDATED=Y","Sort=A","Dates=H","DateFormat=P","Fill=—","Direction=H","UseDPDF=Y")</f>
        <v>#NAME?</v>
      </c>
      <c r="BY635" s="3" t="e">
        <f ca="1">_xll.BDH($C$628,"SHORT_AND_LONG_TERM_DEBT","FQ2 2015","FQ2 2015","Currency=INR","Period=FQ","BEST_FPERIOD_OVERRIDE=FQ","FILING_STATUS=OR","EQY_CONSOLIDATED=Y","SCALING_FORMAT=MLN","Sort=A","Dates=H","DateFormat=P","Fill=—","Direction=H","UseDPDF=Y")</f>
        <v>#NAME?</v>
      </c>
      <c r="BZ635" s="3" t="e">
        <f ca="1">_xll.BDH($C$628,"BS_ST_BORROW","FQ2 2015","FQ2 2015","Currency=INR","Period=FQ","BEST_FPERIOD_OVERRIDE=FQ","FILING_STATUS=OR","EQY_CONSOLIDATED=Y","SCALING_FORMAT=MLN","Sort=A","Dates=H","DateFormat=P","Fill=—","Direction=H","UseDPDF=Y")</f>
        <v>#NAME?</v>
      </c>
      <c r="CA635" s="3" t="e">
        <f ca="1">_xll.BDH($C$628,"BS_LT_BORROW","FQ2 2015","FQ2 2015","Currency=INR","Period=FQ","BEST_FPERIOD_OVERRIDE=FQ","FILING_STATUS=OR","EQY_CONSOLIDATED=Y","SCALING_FORMAT=MLN","Sort=A","Dates=H","DateFormat=P","Fill=—","Direction=H","UseDPDF=Y")</f>
        <v>#NAME?</v>
      </c>
      <c r="CB635" s="2" t="e">
        <f ca="1">_xll.BDH($C$628,"TOT_DEBT_TO_EBITDA","FQ2 2015","FQ2 2015","Currency=INR","Period=FQ","BEST_FPERIOD_OVERRIDE=FQ","FILING_STATUS=OR","EQY_CONSOLIDATED=Y","FA_ADJUSTED=GAAP","Sort=A","Dates=H","DateFormat=P","Fill=—","Direction=H","UseDPDF=Y")</f>
        <v>#NAME?</v>
      </c>
      <c r="CC635" s="2" t="e">
        <f ca="1">_xll.BDH($C$628,"NET_DEBT_TO_EBITDA","FQ2 2015","FQ2 2015","Currency=INR","Period=FQ","BEST_FPERIOD_OVERRIDE=FQ","FILING_STATUS=OR","EQY_CONSOLIDATED=Y","FA_ADJUSTED=GAAP","Sort=A","Dates=H","DateFormat=P","Fill=—","Direction=H","UseDPDF=Y")</f>
        <v>#NAME?</v>
      </c>
      <c r="CD635" s="2" t="e">
        <f ca="1">_xll.BDH($C$628,"TOTAL_DEBT_TO_EBIT","FQ2 2015","FQ2 2015","Currency=INR","Period=FQ","BEST_FPERIOD_OVERRIDE=FQ","FILING_STATUS=OR","EQY_CONSOLIDATED=Y","FA_ADJUSTED=GAAP","Sort=A","Dates=H","DateFormat=P","Fill=—","Direction=H","UseDPDF=Y")</f>
        <v>#NAME?</v>
      </c>
      <c r="CE635" s="2" t="e">
        <f ca="1">_xll.BDH($C$628,"NET_DEBT_TO_EBIT","FQ2 2015","FQ2 2015","Currency=INR","Period=FQ","BEST_FPERIOD_OVERRIDE=FQ","FILING_STATUS=OR","EQY_CONSOLIDATED=Y","FA_ADJUSTED=GAAP","Sort=A","Dates=H","DateFormat=P","Fill=—","Direction=H","UseDPDF=Y")</f>
        <v>#NAME?</v>
      </c>
      <c r="CF635" s="2" t="e">
        <f ca="1">_xll.BDH($C$628,"EBITDA_TO_INTEREST_EXPN","FQ2 2015","FQ2 2015","Currency=INR","Period=FQ","BEST_FPERIOD_OVERRIDE=FQ","FILING_STATUS=OR","EQY_CONSOLIDATED=Y","FA_ADJUSTED=GAAP","Sort=A","Dates=H","DateFormat=P","Fill=—","Direction=H","UseDPDF=Y")</f>
        <v>#NAME?</v>
      </c>
      <c r="CG635" s="2" t="e">
        <f ca="1">_xll.BDH($C$628,"COM_EQY_TO_TOT_ASSET","FQ2 2015","FQ2 2015","Currency=INR","Period=FQ","BEST_FPERIOD_OVERRIDE=FQ","FILING_STATUS=OR","EQY_CONSOLIDATED=Y","Sort=A","Dates=H","DateFormat=P","Fill=—","Direction=H","UseDPDF=Y")</f>
        <v>#NAME?</v>
      </c>
      <c r="CH635" s="2" t="e">
        <f ca="1">_xll.BDH($C$628,"LT_DEBT_TO_TOT_EQY","FQ2 2015","FQ2 2015","Currency=INR","Period=FQ","BEST_FPERIOD_OVERRIDE=FQ","FILING_STATUS=OR","EQY_CONSOLIDATED=Y","Sort=A","Dates=H","DateFormat=P","Fill=—","Direction=H","UseDPDF=Y")</f>
        <v>#NAME?</v>
      </c>
      <c r="CI635" s="2" t="e">
        <f ca="1">_xll.BDH($C$628,"LT_DEBT_TO_TOT_CAP","FQ2 2015","FQ2 2015","Currency=INR","Period=FQ","BEST_FPERIOD_OVERRIDE=FQ","FILING_STATUS=OR","EQY_CONSOLIDATED=Y","Sort=A","Dates=H","DateFormat=P","Fill=—","Direction=H","UseDPDF=Y")</f>
        <v>#NAME?</v>
      </c>
      <c r="CJ635" s="2" t="e">
        <f ca="1">_xll.BDH($C$628,"LT_DEBT_TO_TOT_ASSET","FQ2 2015","FQ2 2015","Currency=INR","Period=FQ","BEST_FPERIOD_OVERRIDE=FQ","FILING_STATUS=OR","EQY_CONSOLIDATED=Y","Sort=A","Dates=H","DateFormat=P","Fill=—","Direction=H","UseDPDF=Y")</f>
        <v>#NAME?</v>
      </c>
      <c r="CK635" s="2" t="e">
        <f ca="1">_xll.BDH($C$628,"TOT_DEBT_TO_TOT_EQY","FQ2 2015","FQ2 2015","Currency=INR","Period=FQ","BEST_FPERIOD_OVERRIDE=FQ","FILING_STATUS=OR","EQY_CONSOLIDATED=Y","Sort=A","Dates=H","DateFormat=P","Fill=—","Direction=H","UseDPDF=Y")</f>
        <v>#NAME?</v>
      </c>
      <c r="CL635" s="2" t="e">
        <f ca="1">_xll.BDH($C$628,"TOT_DEBT_TO_TOT_CAP","FQ2 2015","FQ2 2015","Currency=INR","Period=FQ","BEST_FPERIOD_OVERRIDE=FQ","FILING_STATUS=OR","EQY_CONSOLIDATED=Y","Sort=A","Dates=H","DateFormat=P","Fill=—","Direction=H","UseDPDF=Y")</f>
        <v>#NAME?</v>
      </c>
      <c r="CM635" s="2" t="e">
        <f ca="1">_xll.BDH($C$628,"TOT_DEBT_TO_TOT_ASSET","FQ2 2015","FQ2 2015","Currency=INR","Period=FQ","BEST_FPERIOD_OVERRIDE=FQ","FILING_STATUS=OR","EQY_CONSOLIDATED=Y","Sort=A","Dates=H","DateFormat=P","Fill=—","Direction=H","UseDPDF=Y")</f>
        <v>#NAME?</v>
      </c>
      <c r="CN635" s="2" t="e">
        <f ca="1">_xll.BDH($C$628,"NET_DEBT_TO_SHRHLDR_EQTY","FQ2 2015","FQ2 2015","Currency=INR","Period=FQ","BEST_FPERIOD_OVERRIDE=FQ","FILING_STATUS=OR","EQY_CONSOLIDATED=Y","Sort=A","Dates=H","DateFormat=P","Fill=—","Direction=H","UseDPDF=Y")</f>
        <v>#NAME?</v>
      </c>
      <c r="CO635" s="2" t="e">
        <f ca="1">_xll.BDH($C$628,"NET_DEBT_%_CAPITAL","FQ2 2015","FQ2 2015","Currency=INR","Period=FQ","BEST_FPERIOD_OVERRIDE=FQ","FILING_STATUS=OR","EQY_CONSOLIDATED=Y","Sort=A","Dates=H","DateFormat=P","Fill=—","Direction=H","UseDPDF=Y")</f>
        <v>#NAME?</v>
      </c>
      <c r="CP635" s="3" t="e">
        <f ca="1">_xll.BDH($C$628,"EBITDA","FQ2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Q635" s="3" t="e">
        <f ca="1">_xll.BDH($C$628,"EBITDA_AFTER_CAPEX","FQ2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R635" s="3" t="e">
        <f ca="1">_xll.BDH($C$628,"IS_OPER_INC","FQ2 2015","FQ2 2015","Currency=INR","Period=FQ","BEST_FPERIOD_OVERRIDE=FQ","FILING_STATUS=OR","EQY_CONSOLIDATED=Y","SCALING_FORMAT=MLN","FA_ADJUSTED=GAAP","Sort=A","Dates=H","DateFormat=P","Fill=—","Direction=H","UseDPDF=Y")</f>
        <v>#NAME?</v>
      </c>
      <c r="CS635" s="2" t="e">
        <f ca="1">_xll.BDH($C$628,"CASH_RATIO","FQ2 2015","FQ2 2015","Currency=INR","Period=FQ","BEST_FPERIOD_OVERRIDE=FQ","FILING_STATUS=OR","EQY_CONSOLIDATED=Y","Sort=A","Dates=H","DateFormat=P","Fill=—","Direction=H","UseDPDF=Y")</f>
        <v>#NAME?</v>
      </c>
      <c r="CT635" s="2" t="e">
        <f ca="1">_xll.BDH($C$628,"CUR_RATIO","FQ2 2015","FQ2 2015","Currency=INR","Period=FQ","BEST_FPERIOD_OVERRIDE=FQ","FILING_STATUS=OR","EQY_CONSOLIDATED=Y","Sort=A","Dates=H","DateFormat=P","Fill=—","Direction=H","UseDPDF=Y")</f>
        <v>#NAME?</v>
      </c>
      <c r="CU635" s="2" t="e">
        <f ca="1">_xll.BDH($C$628,"QUICK_RATIO","FQ2 2015","FQ2 2015","Currency=INR","Period=FQ","BEST_FPERIOD_OVERRIDE=FQ","FILING_STATUS=OR","EQY_CONSOLIDATED=Y","Sort=A","Dates=H","DateFormat=P","Fill=—","Direction=H","UseDPDF=Y")</f>
        <v>#NAME?</v>
      </c>
      <c r="CV635" s="2" t="e">
        <f ca="1">_xll.BDH($C$628,"ALTMAN_Z_SCORE","FQ2 2015","FQ2 2015","Currency=INR","Period=FQ","BEST_FPERIOD_OVERRIDE=FQ","FILING_STATUS=OR","EQY_CONSOLIDATED=Y","Sort=A","Dates=H","DateFormat=P","Fill=—","Direction=H","UseDPDF=Y")</f>
        <v>#NAME?</v>
      </c>
      <c r="CW635" s="4" t="e">
        <f ca="1">_xll.BDH($C$628,"ACCT_RCV_TURN","FQ2 2015","FQ2 2015","Currency=INR","Period=FQ","BEST_FPERIOD_OVERRIDE=FQ","FILING_STATUS=OR","EQY_CONSOLIDATED=Y","FA_ADJUSTED=GAAP","Sort=A","Dates=H","DateFormat=P","Fill=—","Direction=H","UseDPDF=Y")</f>
        <v>#NAME?</v>
      </c>
      <c r="CX635" s="2" t="e">
        <f ca="1">_xll.BDH($C$628,"ACCT_RCV_DAYS","FQ2 2015","FQ2 2015","Currency=INR","Period=FQ","BEST_FPERIOD_OVERRIDE=FQ","FILING_STATUS=OR","EQY_CONSOLIDATED=Y","FA_ADJUSTED=GAAP","Sort=A","Dates=H","DateFormat=P","Fill=—","Direction=H","UseDPDF=Y")</f>
        <v>#NAME?</v>
      </c>
      <c r="CY635" s="4" t="e">
        <f ca="1">_xll.BDH($C$628,"INVENT_TURN","FQ2 2015","FQ2 2015","Currency=INR","Period=FQ","BEST_FPERIOD_OVERRIDE=FQ","FILING_STATUS=OR","EQY_CONSOLIDATED=Y","FA_ADJUSTED=GAAP","Sort=A","Dates=H","DateFormat=P","Fill=—","Direction=H","UseDPDF=Y")</f>
        <v>#NAME?</v>
      </c>
      <c r="CZ635" s="2" t="e">
        <f ca="1">_xll.BDH($C$628,"INVENT_DAYS","FQ2 2015","FQ2 2015","Currency=INR","Period=FQ","BEST_FPERIOD_OVERRIDE=FQ","FILING_STATUS=OR","EQY_CONSOLIDATED=Y","FA_ADJUSTED=GAAP","Sort=A","Dates=H","DateFormat=P","Fill=—","Direction=H","UseDPDF=Y")</f>
        <v>#NAME?</v>
      </c>
      <c r="DA635" s="4" t="e">
        <f ca="1">_xll.BDH($C$628,"ACCOUNTS_PAYABLE_TURNOVER","FQ2 2015","FQ2 2015","Currency=INR","Period=FQ","BEST_FPERIOD_OVERRIDE=FQ","FILING_STATUS=OR","EQY_CONSOLIDATED=Y","FA_ADJUSTED=GAAP","Sort=A","Dates=H","DateFormat=P","Fill=—","Direction=H","UseDPDF=Y")</f>
        <v>#NAME?</v>
      </c>
      <c r="DB635" s="2" t="e">
        <f ca="1">_xll.BDH($C$628,"ACCOUNTS_PAYABLE_TURNOVER_DAYS","FQ2 2015","FQ2 2015","Currency=INR","Period=FQ","BEST_FPERIOD_OVERRIDE=FQ","FILING_STATUS=OR","EQY_CONSOLIDATED=Y","FA_ADJUSTED=GAAP","Sort=A","Dates=H","DateFormat=P","Fill=—","Direction=H","UseDPDF=Y")</f>
        <v>#NAME?</v>
      </c>
      <c r="DC635" s="4" t="e">
        <f ca="1">_xll.BDH($C$628,"CASH_CONVERSION_CYCLE","FQ2 2015","FQ2 2015","Currency=INR","Period=FQ","BEST_FPERIOD_OVERRIDE=FQ","FILING_STATUS=OR","EQY_CONSOLIDATED=Y","FA_ADJUSTED=GAAP","Sort=A","Dates=H","DateFormat=P","Fill=—","Direction=H","UseDPDF=Y")</f>
        <v>#NAME?</v>
      </c>
      <c r="DD635" s="4" t="e">
        <f ca="1">_xll.BDH($C$628,"INV_TO_CASH_DAYS","FQ2 2015","FQ2 2015","Currency=INR","Period=FQ","BEST_FPERIOD_OVERRIDE=FQ","FILING_STATUS=OR","EQY_CONSOLIDATED=Y","FA_ADJUSTED=GAAP","Sort=A","Dates=H","DateFormat=P","Fill=—","Direction=H","UseDPDF=Y")</f>
        <v>#NAME?</v>
      </c>
      <c r="DE635" s="5" t="e">
        <f ca="1">_xll.BDH($C$628,"BS_INVENTORIES","FQ2 2015","FQ2 2015","Currency=INR","Period=FQ","BEST_FPERIOD_OVERRIDE=FQ","FILING_STATUS=OR","EQY_CONSOLIDATED=Y","SCALING_FORMAT=MLN","Sort=A","Dates=H","DateFormat=P","Fill=—","Direction=H","UseDPDF=Y")</f>
        <v>#NAME?</v>
      </c>
      <c r="DF635" s="3" t="e">
        <f ca="1">_xll.BDH($C$628,"INVTRY_RAW_MATERIALS","FQ2 2015","FQ2 2015","Currency=INR","Period=FQ","BEST_FPERIOD_OVERRIDE=FQ","FILING_STATUS=OR","EQY_CONSOLIDATED=Y","SCALING_FORMAT=MLN","Sort=A","Dates=H","DateFormat=P","Fill=—","Direction=H","UseDPDF=Y")</f>
        <v>#NAME?</v>
      </c>
      <c r="DG635" s="3" t="e">
        <f ca="1">_xll.BDH($C$628,"INVTRY_IN_PROGRESS","FQ2 2015","FQ2 2015","Currency=INR","Period=FQ","BEST_FPERIOD_OVERRIDE=FQ","FILING_STATUS=OR","EQY_CONSOLIDATED=Y","SCALING_FORMAT=MLN","Sort=A","Dates=H","DateFormat=P","Fill=—","Direction=H","UseDPDF=Y")</f>
        <v>#NAME?</v>
      </c>
      <c r="DH635" s="3" t="e">
        <f ca="1">_xll.BDH($C$628,"INVTRY_FINISHED_GOODS","FQ2 2015","FQ2 2015","Currency=INR","Period=FQ","BEST_FPERIOD_OVERRIDE=FQ","FILING_STATUS=OR","EQY_CONSOLIDATED=Y","SCALING_FORMAT=MLN","Sort=A","Dates=H","DateFormat=P","Fill=—","Direction=H","UseDPDF=Y")</f>
        <v>#NAME?</v>
      </c>
      <c r="DI635" s="3" t="e">
        <f ca="1">_xll.BDH($C$628,"BS_OTHER_INV","FQ2 2015","FQ2 2015","Currency=INR","Period=FQ","BEST_FPERIOD_OVERRIDE=FQ","FILING_STATUS=OR","EQY_CONSOLIDATED=Y","SCALING_FORMAT=MLN","Sort=A","Dates=H","DateFormat=P","Fill=—","Direction=H","UseDPDF=Y")</f>
        <v>#NAME?</v>
      </c>
    </row>
    <row r="636" spans="1:113" x14ac:dyDescent="0.3">
      <c r="A636" s="6"/>
      <c r="B636" s="6"/>
      <c r="C636" s="6"/>
      <c r="D636" s="6"/>
      <c r="E636" t="s">
        <v>80</v>
      </c>
      <c r="F636" t="e">
        <f ca="1">_xll.BDH($C$628,"RETURN_COM_EQY","FQ3 2015","FQ3 2015","Currency=INR","Period=FQ","BEST_FPERIOD_OVERRIDE=FQ","FILING_STATUS=OR","EQY_CONSOLIDATED=Y","FA_ADJUSTED=GAAP","Sort=A","Dates=H","DateFormat=P","Fill=—","Direction=H","UseDPDF=Y")</f>
        <v>#NAME?</v>
      </c>
      <c r="G636" t="e">
        <f ca="1">_xll.BDH($C$628,"RETURN_ON_ASSET","FQ3 2015","FQ3 2015","Currency=INR","Period=FQ","BEST_FPERIOD_OVERRIDE=FQ","FILING_STATUS=OR","EQY_CONSOLIDATED=Y","FA_ADJUSTED=GAAP","Sort=A","Dates=H","DateFormat=P","Fill=—","Direction=H","UseDPDF=Y")</f>
        <v>#NAME?</v>
      </c>
      <c r="H636" t="e">
        <f ca="1">_xll.BDH($C$628,"RETURN_ON_CAP","FQ3 2015","FQ3 2015","Currency=INR","Period=FQ","BEST_FPERIOD_OVERRIDE=FQ","FILING_STATUS=OR","EQY_CONSOLIDATED=Y","FA_ADJUSTED=GAAP","Sort=A","Dates=H","DateFormat=P","Fill=—","Direction=H","UseDPDF=Y")</f>
        <v>#NAME?</v>
      </c>
      <c r="I636" t="e">
        <f ca="1">_xll.BDH($C$628,"RETURN_ON_INV_CAPITAL","FQ3 2015","FQ3 2015","Currency=INR","Period=FQ","BEST_FPERIOD_OVERRIDE=FQ","FILING_STATUS=OR","EQY_CONSOLIDATED=Y","FA_ADJUSTED=GAAP","Sort=A","Dates=H","DateFormat=P","Fill=—","Direction=H","UseDPDF=Y")</f>
        <v>#NAME?</v>
      </c>
      <c r="J636" t="e">
        <f ca="1">_xll.BDH($C$628,"EBITDA_TO_REVENUE","FQ3 2015","FQ3 2015","Currency=INR","Period=FQ","BEST_FPERIOD_OVERRIDE=FQ","FILING_STATUS=OR","EQY_CONSOLIDATED=Y","FA_ADJUSTED=GAAP","Sort=A","Dates=H","DateFormat=P","Fill=—","Direction=H","UseDPDF=Y")</f>
        <v>#NAME?</v>
      </c>
      <c r="K636" t="e">
        <f ca="1">_xll.BDH($C$628,"OPER_MARGIN","FQ3 2015","FQ3 2015","Currency=INR","Period=FQ","BEST_FPERIOD_OVERRIDE=FQ","FILING_STATUS=OR","EQY_CONSOLIDATED=Y","FA_ADJUSTED=GAAP","Sort=A","Dates=H","DateFormat=P","Fill=—","Direction=H","UseDPDF=Y")</f>
        <v>#NAME?</v>
      </c>
      <c r="L636" t="e">
        <f ca="1">_xll.BDH($C$628,"INCREMENTAL_OPERATING_MARGIN","FQ3 2015","FQ3 2015","Currency=INR","Period=FQ","BEST_FPERIOD_OVERRIDE=FQ","FILING_STATUS=OR","EQY_CONSOLIDATED=Y","FA_ADJUSTED=GAAP","Sort=A","Dates=H","DateFormat=P","Fill=—","Direction=H","UseDPDF=Y")</f>
        <v>#NAME?</v>
      </c>
      <c r="M636" t="e">
        <f ca="1">_xll.BDH($C$628,"PRETAX_INC_TO_NET_SALES","FQ3 2015","FQ3 2015","Currency=INR","Period=FQ","BEST_FPERIOD_OVERRIDE=FQ","FILING_STATUS=OR","EQY_CONSOLIDATED=Y","FA_ADJUSTED=GAAP","Sort=A","Dates=H","DateFormat=P","Fill=—","Direction=H","UseDPDF=Y")</f>
        <v>#NAME?</v>
      </c>
      <c r="N636" t="e">
        <f ca="1">_xll.BDH($C$628,"INC_BEF_XO_ITEMS_TO_NET_SALES","FQ3 2015","FQ3 2015","Currency=INR","Period=FQ","BEST_FPERIOD_OVERRIDE=FQ","FILING_STATUS=OR","EQY_CONSOLIDATED=Y","FA_ADJUSTED=GAAP","Sort=A","Dates=H","DateFormat=P","Fill=—","Direction=H","UseDPDF=Y")</f>
        <v>#NAME?</v>
      </c>
      <c r="O636" t="e">
        <f ca="1">_xll.BDH($C$628,"PROF_MARGIN","FQ3 2015","FQ3 2015","Currency=INR","Period=FQ","BEST_FPERIOD_OVERRIDE=FQ","FILING_STATUS=OR","EQY_CONSOLIDATED=Y","FA_ADJUSTED=GAAP","Sort=A","Dates=H","DateFormat=P","Fill=—","Direction=H","UseDPDF=Y")</f>
        <v>#NAME?</v>
      </c>
      <c r="P636" t="e">
        <f ca="1">_xll.BDH($C$628,"NET_INCOME_TO_COMMON_MARGIN","FQ3 2015","FQ3 2015","Currency=INR","Period=FQ","BEST_FPERIOD_OVERRIDE=FQ","FILING_STATUS=OR","EQY_CONSOLIDATED=Y","FA_ADJUSTED=GAAP","Sort=A","Dates=H","DateFormat=P","Fill=—","Direction=H","UseDPDF=Y")</f>
        <v>#NAME?</v>
      </c>
      <c r="Q636" t="e">
        <f ca="1">_xll.BDH($C$628,"EFF_TAX_RATE","FQ3 2015","FQ3 2015","Currency=INR","Period=FQ","BEST_FPERIOD_OVERRIDE=FQ","FILING_STATUS=OR","EQY_CONSOLIDATED=Y","FA_ADJUSTED=GAAP","Sort=A","Dates=H","DateFormat=P","Fill=—","Direction=H","UseDPDF=Y")</f>
        <v>#NAME?</v>
      </c>
      <c r="R636" t="e">
        <f ca="1">_xll.BDH($C$628,"DVD_PAYOUT_RATIO","FQ3 2015","FQ3 2015","Currency=INR","Period=FQ","BEST_FPERIOD_OVERRIDE=FQ","FILING_STATUS=OR","EQY_CONSOLIDATED=Y","FA_ADJUSTED=GAAP","Sort=A","Dates=H","DateFormat=P","Fill=—","Direction=H","UseDPDF=Y")</f>
        <v>#NAME?</v>
      </c>
      <c r="S636" t="e">
        <f ca="1">_xll.BDH($C$628,"SUSTAIN_GROWTH_RT","FQ3 2015","FQ3 2015","Currency=INR","Period=FQ","BEST_FPERIOD_OVERRIDE=FQ","FILING_STATUS=OR","EQY_CONSOLIDATED=Y","FA_ADJUSTED=GAAP","Sort=A","Dates=H","DateFormat=P","Fill=—","Direction=H","UseDPDF=Y")</f>
        <v>#NAME?</v>
      </c>
      <c r="T636" s="2" t="e">
        <f ca="1">_xll.BDH($C$628,"SALES_GROWTH","FQ3 2015","FQ3 2015","Currency=INR","Period=FQ","BEST_FPERIOD_OVERRIDE=FQ","FILING_STATUS=OR","EQY_CONSOLIDATED=Y","FA_ADJUSTED=GAAP","Sort=A","Dates=H","DateFormat=P","Fill=—","Direction=H","UseDPDF=Y")</f>
        <v>#NAME?</v>
      </c>
      <c r="U636" s="2" t="e">
        <f ca="1">_xll.BDH($C$628,"EBITDA_GROWTH","FQ3 2015","FQ3 2015","Currency=INR","Period=FQ","BEST_FPERIOD_OVERRIDE=FQ","FILING_STATUS=OR","EQY_CONSOLIDATED=Y","FA_ADJUSTED=GAAP","Sort=A","Dates=H","DateFormat=P","Fill=—","Direction=H","UseDPDF=Y")</f>
        <v>#NAME?</v>
      </c>
      <c r="V636" s="2" t="e">
        <f ca="1">_xll.BDH($C$628,"OPER_INC_GROWTH","FQ3 2015","FQ3 2015","Currency=INR","Period=FQ","BEST_FPERIOD_OVERRIDE=FQ","FILING_STATUS=OR","EQY_CONSOLIDATED=Y","FA_ADJUSTED=GAAP","Sort=A","Dates=H","DateFormat=P","Fill=—","Direction=H","UseDPDF=Y")</f>
        <v>#NAME?</v>
      </c>
      <c r="W636" s="2" t="e">
        <f ca="1">_xll.BDH($C$628,"EARN_FOR_COM_GROWTH","FQ3 2015","FQ3 2015","Currency=INR","Period=FQ","BEST_FPERIOD_OVERRIDE=FQ","FILING_STATUS=OR","EQY_CONSOLIDATED=Y","FA_ADJUSTED=GAAP","Sort=A","Dates=H","DateFormat=P","Fill=—","Direction=H","UseDPDF=Y")</f>
        <v>#NAME?</v>
      </c>
      <c r="X636" s="2" t="e">
        <f ca="1">_xll.BDH($C$628,"DILUTED_EPS_AFT_XO_ITEMS_GROWTH","FQ3 2015","FQ3 2015","Currency=INR","Period=FQ","BEST_FPERIOD_OVERRIDE=FQ","FILING_STATUS=OR","EQY_CONSOLIDATED=Y","FA_ADJUSTED=GAAP","Sort=A","Dates=H","DateFormat=P","Fill=—","Direction=H","UseDPDF=Y")</f>
        <v>#NAME?</v>
      </c>
      <c r="Y636" s="2" t="e">
        <f ca="1">_xll.BDH($C$628,"DIVIDEND_PER_SHARE_1_YEAR_GROWTH","FQ3 2015","FQ3 2015","Currency=INR","Period=FQ","BEST_FPERIOD_OVERRIDE=FQ","FILING_STATUS=OR","EQY_CONSOLIDATED=Y","Sort=A","Dates=H","DateFormat=P","Fill=—","Direction=H","UseDPDF=Y")</f>
        <v>#NAME?</v>
      </c>
      <c r="Z636" s="2" t="e">
        <f ca="1">_xll.BDH($C$628,"ACCOUNTS_RECEIVABLE_GROWTH","FQ3 2015","FQ3 2015","Currency=INR","Period=FQ","BEST_FPERIOD_OVERRIDE=FQ","FILING_STATUS=OR","EQY_CONSOLIDATED=Y","Sort=A","Dates=H","DateFormat=P","Fill=—","Direction=H","UseDPDF=Y")</f>
        <v>#NAME?</v>
      </c>
      <c r="AA636" s="2" t="e">
        <f ca="1">_xll.BDH($C$628,"INVENTORY_GROWTH","FQ3 2015","FQ3 2015","Currency=INR","Period=FQ","BEST_FPERIOD_OVERRIDE=FQ","FILING_STATUS=OR","EQY_CONSOLIDATED=Y","Sort=A","Dates=H","DateFormat=P","Fill=—","Direction=H","UseDPDF=Y")</f>
        <v>#NAME?</v>
      </c>
      <c r="AB636" s="2" t="e">
        <f ca="1">_xll.BDH($C$628,"NET_FIXED_ASSETS_1_YEAR_GROWTH","FQ3 2015","FQ3 2015","Currency=INR","Period=FQ","BEST_FPERIOD_OVERRIDE=FQ","FILING_STATUS=OR","EQY_CONSOLIDATED=Y","Sort=A","Dates=H","DateFormat=P","Fill=—","Direction=H","UseDPDF=Y")</f>
        <v>#NAME?</v>
      </c>
      <c r="AC636" s="2" t="e">
        <f ca="1">_xll.BDH($C$628,"ASSET_GROWTH","FQ3 2015","FQ3 2015","Currency=INR","Period=FQ","BEST_FPERIOD_OVERRIDE=FQ","FILING_STATUS=OR","EQY_CONSOLIDATED=Y","Sort=A","Dates=H","DateFormat=P","Fill=—","Direction=H","UseDPDF=Y")</f>
        <v>#NAME?</v>
      </c>
      <c r="AD636" s="2" t="e">
        <f ca="1">_xll.BDH($C$628,"MODIFIED_WORK_CAP_GROWTH","FQ3 2015","FQ3 2015","Currency=INR","Period=FQ","BEST_FPERIOD_OVERRIDE=FQ","FILING_STATUS=OR","EQY_CONSOLIDATED=Y","Sort=A","Dates=H","DateFormat=P","Fill=—","Direction=H","UseDPDF=Y")</f>
        <v>#NAME?</v>
      </c>
      <c r="AE636" s="2" t="e">
        <f ca="1">_xll.BDH($C$628,"WORK_CAP_GROWTH","FQ3 2015","FQ3 2015","Currency=INR","Period=FQ","BEST_FPERIOD_OVERRIDE=FQ","FILING_STATUS=OR","EQY_CONSOLIDATED=Y","Sort=A","Dates=H","DateFormat=P","Fill=—","Direction=H","UseDPDF=Y")</f>
        <v>#NAME?</v>
      </c>
      <c r="AF636" s="2" t="e">
        <f ca="1">_xll.BDH($C$628,"ACCOUNTS_PAYABLE_GROWTH_1YR","FQ3 2015","FQ3 2015","Currency=INR","Period=FQ","BEST_FPERIOD_OVERRIDE=FQ","FILING_STATUS=OR","EQY_CONSOLIDATED=Y","Sort=A","Dates=H","DateFormat=P","Fill=—","Direction=H","UseDPDF=Y")</f>
        <v>#NAME?</v>
      </c>
      <c r="AG636" s="2" t="e">
        <f ca="1">_xll.BDH($C$628,"SHORT_TERM_DEBT_1_YEAR_GROWTH","FQ3 2015","FQ3 2015","Currency=INR","Period=FQ","BEST_FPERIOD_OVERRIDE=FQ","FILING_STATUS=OR","EQY_CONSOLIDATED=Y","Sort=A","Dates=H","DateFormat=P","Fill=—","Direction=H","UseDPDF=Y")</f>
        <v>#NAME?</v>
      </c>
      <c r="AH636" s="2" t="e">
        <f ca="1">_xll.BDH($C$628,"TOTAL_DEBT_1_YEAR_GROWTH","FQ3 2015","FQ3 2015","Currency=INR","Period=FQ","BEST_FPERIOD_OVERRIDE=FQ","FILING_STATUS=OR","EQY_CONSOLIDATED=Y","Sort=A","Dates=H","DateFormat=P","Fill=—","Direction=H","UseDPDF=Y")</f>
        <v>#NAME?</v>
      </c>
      <c r="AI636" s="2" t="e">
        <f ca="1">_xll.BDH($C$628,"TOTAL_EQUITY_1_YEAR_GROWTH","FQ3 2015","FQ3 2015","Currency=INR","Period=FQ","BEST_FPERIOD_OVERRIDE=FQ","FILING_STATUS=OR","EQY_CONSOLIDATED=Y","Sort=A","Dates=H","DateFormat=P","Fill=—","Direction=H","UseDPDF=Y")</f>
        <v>#NAME?</v>
      </c>
      <c r="AJ636" s="2" t="e">
        <f ca="1">_xll.BDH($C$628,"GROWTH_IN_CAP","FQ3 2015","FQ3 2015","Currency=INR","Period=FQ","BEST_FPERIOD_OVERRIDE=FQ","FILING_STATUS=OR","EQY_CONSOLIDATED=Y","Sort=A","Dates=H","DateFormat=P","Fill=—","Direction=H","UseDPDF=Y")</f>
        <v>#NAME?</v>
      </c>
      <c r="AK636" s="2" t="e">
        <f ca="1">_xll.BDH($C$628,"BVPS_GROWTH","FQ3 2015","FQ3 2015","Currency=INR","Period=FQ","BEST_FPERIOD_OVERRIDE=FQ","FILING_STATUS=OR","EQY_CONSOLIDATED=Y","Sort=A","Dates=H","DateFormat=P","Fill=—","Direction=H","UseDPDF=Y")</f>
        <v>#NAME?</v>
      </c>
      <c r="AL636" s="2" t="e">
        <f ca="1">_xll.BDH($C$628,"CASH_FLOW_GROWTH","FQ3 2015","FQ3 2015","Currency=INR","Period=FQ","BEST_FPERIOD_OVERRIDE=FQ","FILING_STATUS=OR","EQY_CONSOLIDATED=Y","Sort=A","Dates=H","DateFormat=P","Fill=—","Direction=H","UseDPDF=Y")</f>
        <v>#NAME?</v>
      </c>
      <c r="AM636" s="2" t="e">
        <f ca="1">_xll.BDH($C$628,"GEO_GROW_NET_SALES","FQ3 2015","FQ3 2015","Currency=INR","Period=FQ","BEST_FPERIOD_OVERRIDE=FQ","FILING_STATUS=OR","EQY_CONSOLIDATED=Y","FA_ADJUSTED=GAAP","Sort=A","Dates=H","DateFormat=P","Fill=—","Direction=H","UseDPDF=Y")</f>
        <v>#NAME?</v>
      </c>
      <c r="AN636" s="2" t="e">
        <f ca="1">_xll.BDH($C$628,"GEO_GROW_EBITDA","FQ3 2015","FQ3 2015","Currency=INR","Period=FQ","BEST_FPERIOD_OVERRIDE=FQ","FILING_STATUS=OR","EQY_CONSOLIDATED=Y","FA_ADJUSTED=GAAP","Sort=A","Dates=H","DateFormat=P","Fill=—","Direction=H","UseDPDF=Y")</f>
        <v>#NAME?</v>
      </c>
      <c r="AO636" s="2" t="e">
        <f ca="1">_xll.BDH($C$628,"GEO_GROW_OPER_INC","FQ3 2015","FQ3 2015","Currency=INR","Period=FQ","BEST_FPERIOD_OVERRIDE=FQ","FILING_STATUS=OR","EQY_CONSOLIDATED=Y","FA_ADJUSTED=GAAP","Sort=A","Dates=H","DateFormat=P","Fill=—","Direction=H","UseDPDF=Y")</f>
        <v>#NAME?</v>
      </c>
      <c r="AP636" s="2" t="e">
        <f ca="1">_xll.BDH($C$628,"NET_INCOME_TO_COMMON_5_YR_GROWTH","FQ3 2015","FQ3 2015","Currency=INR","Period=FQ","BEST_FPERIOD_OVERRIDE=FQ","FILING_STATUS=OR","EQY_CONSOLIDATED=Y","FA_ADJUSTED=GAAP","Sort=A","Dates=H","DateFormat=P","Fill=—","Direction=H","UseDPDF=Y")</f>
        <v>#NAME?</v>
      </c>
      <c r="AQ636" s="2" t="e">
        <f ca="1">_xll.BDH($C$628,"5Y_GEO_GROWTH_DILUTED_EPS","FQ3 2015","FQ3 2015","Currency=INR","Period=FQ","BEST_FPERIOD_OVERRIDE=FQ","FILING_STATUS=OR","EQY_CONSOLIDATED=Y","FA_ADJUSTED=GAAP","Sort=A","Dates=H","DateFormat=P","Fill=—","Direction=H","UseDPDF=Y")</f>
        <v>#NAME?</v>
      </c>
      <c r="AR636" s="2" t="e">
        <f ca="1">_xll.BDH($C$628,"GEO_GROW_DVD_PER_SH","FQ3 2015","FQ3 2015","Currency=INR","Period=FQ","BEST_FPERIOD_OVERRIDE=FQ","FILING_STATUS=OR","EQY_CONSOLIDATED=Y","Sort=A","Dates=H","DateFormat=P","Fill=—","Direction=H","UseDPDF=Y")</f>
        <v>#NAME?</v>
      </c>
      <c r="AS636" s="2" t="e">
        <f ca="1">_xll.BDH($C$628,"ACCOUNTS_RECEIVABLE_5_YR_GROWTH","FQ3 2015","FQ3 2015","Currency=INR","Period=FQ","BEST_FPERIOD_OVERRIDE=FQ","FILING_STATUS=OR","EQY_CONSOLIDATED=Y","Sort=A","Dates=H","DateFormat=P","Fill=—","Direction=H","UseDPDF=Y")</f>
        <v>#NAME?</v>
      </c>
      <c r="AT636" s="2" t="e">
        <f ca="1">_xll.BDH($C$628,"INVENTORY_5_YEAR_GROWTH","FQ3 2015","FQ3 2015","Currency=INR","Period=FQ","BEST_FPERIOD_OVERRIDE=FQ","FILING_STATUS=OR","EQY_CONSOLIDATED=Y","Sort=A","Dates=H","DateFormat=P","Fill=—","Direction=H","UseDPDF=Y")</f>
        <v>#NAME?</v>
      </c>
      <c r="AU636" s="2" t="e">
        <f ca="1">_xll.BDH($C$628,"NET_FIXED_ASSETS_5_YEAR_GROWTH","FQ3 2015","FQ3 2015","Currency=INR","Period=FQ","BEST_FPERIOD_OVERRIDE=FQ","FILING_STATUS=OR","EQY_CONSOLIDATED=Y","Sort=A","Dates=H","DateFormat=P","Fill=—","Direction=H","UseDPDF=Y")</f>
        <v>#NAME?</v>
      </c>
      <c r="AV636" s="2" t="e">
        <f ca="1">_xll.BDH($C$628,"GEO_GROW_TOT_ASSET","FQ3 2015","FQ3 2015","Currency=INR","Period=FQ","BEST_FPERIOD_OVERRIDE=FQ","FILING_STATUS=OR","EQY_CONSOLIDATED=Y","Sort=A","Dates=H","DateFormat=P","Fill=—","Direction=H","UseDPDF=Y")</f>
        <v>#NAME?</v>
      </c>
      <c r="AW636" s="2" t="e">
        <f ca="1">_xll.BDH($C$628,"MODIFIED_WORKING_CPTL_5YR_GRWTH","FQ3 2015","FQ3 2015","Currency=INR","Period=FQ","BEST_FPERIOD_OVERRIDE=FQ","FILING_STATUS=OR","EQY_CONSOLIDATED=Y","Sort=A","Dates=H","DateFormat=P","Fill=—","Direction=H","UseDPDF=Y")</f>
        <v>#NAME?</v>
      </c>
      <c r="AX636" s="2" t="e">
        <f ca="1">_xll.BDH($C$628,"WORKING_CAPITAL_5_YEAR_GROWTH","FQ3 2015","FQ3 2015","Currency=INR","Period=FQ","BEST_FPERIOD_OVERRIDE=FQ","FILING_STATUS=OR","EQY_CONSOLIDATED=Y","Sort=A","Dates=H","DateFormat=P","Fill=—","Direction=H","UseDPDF=Y")</f>
        <v>#NAME?</v>
      </c>
      <c r="AY636" s="2" t="e">
        <f ca="1">_xll.BDH($C$628,"ACCOUNTS_PAYABLE_5_YEAR_GROWTH","FQ3 2015","FQ3 2015","Currency=INR","Period=FQ","BEST_FPERIOD_OVERRIDE=FQ","FILING_STATUS=OR","EQY_CONSOLIDATED=Y","Sort=A","Dates=H","DateFormat=P","Fill=—","Direction=H","UseDPDF=Y")</f>
        <v>#NAME?</v>
      </c>
      <c r="AZ636" s="2" t="e">
        <f ca="1">_xll.BDH($C$628,"SHORT_TERM_DEBT_5_YEAR_GROWTH","FQ3 2015","FQ3 2015","Currency=INR","Period=FQ","BEST_FPERIOD_OVERRIDE=FQ","FILING_STATUS=OR","EQY_CONSOLIDATED=Y","Sort=A","Dates=H","DateFormat=P","Fill=—","Direction=H","UseDPDF=Y")</f>
        <v>#NAME?</v>
      </c>
      <c r="BA636" s="2" t="e">
        <f ca="1">_xll.BDH($C$628,"TOTAL_DEBT_5_YEAR_GROWTH","FQ3 2015","FQ3 2015","Currency=INR","Period=FQ","BEST_FPERIOD_OVERRIDE=FQ","FILING_STATUS=OR","EQY_CONSOLIDATED=Y","Sort=A","Dates=H","DateFormat=P","Fill=—","Direction=H","UseDPDF=Y")</f>
        <v>#NAME?</v>
      </c>
      <c r="BB636" s="2" t="e">
        <f ca="1">_xll.BDH($C$628,"GEO_GROW_TOT_SHRHLDR_EQY","FQ3 2015","FQ3 2015","Currency=INR","Period=FQ","BEST_FPERIOD_OVERRIDE=FQ","FILING_STATUS=OR","EQY_CONSOLIDATED=Y","Sort=A","Dates=H","DateFormat=P","Fill=—","Direction=H","UseDPDF=Y")</f>
        <v>#NAME?</v>
      </c>
      <c r="BC636" s="2" t="e">
        <f ca="1">_xll.BDH($C$628,"TOTAL_CAPITAL_5_YEAR_GROWTH","FQ3 2015","FQ3 2015","Currency=INR","Period=FQ","BEST_FPERIOD_OVERRIDE=FQ","FILING_STATUS=OR","EQY_CONSOLIDATED=Y","Sort=A","Dates=H","DateFormat=P","Fill=—","Direction=H","UseDPDF=Y")</f>
        <v>#NAME?</v>
      </c>
      <c r="BD636" s="2" t="e">
        <f ca="1">_xll.BDH($C$628,"GEO_GROW_BOOK_VAL","FQ3 2015","FQ3 2015","Currency=INR","Period=FQ","BEST_FPERIOD_OVERRIDE=FQ","FILING_STATUS=OR","EQY_CONSOLIDATED=Y","Sort=A","Dates=H","DateFormat=P","Fill=—","Direction=H","UseDPDF=Y")</f>
        <v>#NAME?</v>
      </c>
      <c r="BE636" s="2" t="e">
        <f ca="1">_xll.BDH($C$628,"GEO_GROW_CASH_OPER_ACT","FQ3 2015","FQ3 2015","Currency=INR","Period=FQ","BEST_FPERIOD_OVERRIDE=FQ","FILING_STATUS=OR","EQY_CONSOLIDATED=Y","Sort=A","Dates=H","DateFormat=P","Fill=—","Direction=H","UseDPDF=Y")</f>
        <v>#NAME?</v>
      </c>
      <c r="BF636" s="2" t="e">
        <f ca="1">_xll.BDH($C$628,"REVENUE_SEQUENTIAL_GROWTH","FQ3 2015","FQ3 2015","Currency=INR","Period=FQ","BEST_FPERIOD_OVERRIDE=FQ","FILING_STATUS=OR","EQY_CONSOLIDATED=Y","FA_ADJUSTED=GAAP","Sort=A","Dates=H","DateFormat=P","Fill=—","Direction=H","UseDPDF=Y")</f>
        <v>#NAME?</v>
      </c>
      <c r="BG636" s="2" t="e">
        <f ca="1">_xll.BDH($C$628,"EBITDA_SEQUENTIAL_GROWTH","FQ3 2015","FQ3 2015","Currency=INR","Period=FQ","BEST_FPERIOD_OVERRIDE=FQ","FILING_STATUS=OR","EQY_CONSOLIDATED=Y","FA_ADJUSTED=GAAP","Sort=A","Dates=H","DateFormat=P","Fill=—","Direction=H","UseDPDF=Y")</f>
        <v>#NAME?</v>
      </c>
      <c r="BH636" s="2" t="e">
        <f ca="1">_xll.BDH($C$628,"OPERATING_INCOME_SEQ_GROWTH","FQ3 2015","FQ3 2015","Currency=INR","Period=FQ","BEST_FPERIOD_OVERRIDE=FQ","FILING_STATUS=OR","EQY_CONSOLIDATED=Y","FA_ADJUSTED=GAAP","Sort=A","Dates=H","DateFormat=P","Fill=—","Direction=H","UseDPDF=Y")</f>
        <v>#NAME?</v>
      </c>
      <c r="BI636" s="2" t="e">
        <f ca="1">_xll.BDH($C$628,"NET_INCOME_TO_COMMON_SEQ_GROWTH","FQ3 2015","FQ3 2015","Currency=INR","Period=FQ","BEST_FPERIOD_OVERRIDE=FQ","FILING_STATUS=OR","EQY_CONSOLIDATED=Y","FA_ADJUSTED=GAAP","Sort=A","Dates=H","DateFormat=P","Fill=—","Direction=H","UseDPDF=Y")</f>
        <v>#NAME?</v>
      </c>
      <c r="BJ636" s="2" t="e">
        <f ca="1">_xll.BDH($C$628,"EPS_DILUTED_SEQUENTIAL_GROWTH","FQ3 2015","FQ3 2015","Currency=INR","Period=FQ","BEST_FPERIOD_OVERRIDE=FQ","FILING_STATUS=OR","EQY_CONSOLIDATED=Y","FA_ADJUSTED=GAAP","Sort=A","Dates=H","DateFormat=P","Fill=—","Direction=H","UseDPDF=Y")</f>
        <v>#NAME?</v>
      </c>
      <c r="BK636" s="2" t="e">
        <f ca="1">_xll.BDH($C$628,"DPS_SEQUENTIAL_GROWTH","FQ3 2015","FQ3 2015","Currency=INR","Period=FQ","BEST_FPERIOD_OVERRIDE=FQ","FILING_STATUS=OR","EQY_CONSOLIDATED=Y","Sort=A","Dates=H","DateFormat=P","Fill=—","Direction=H","UseDPDF=Y")</f>
        <v>#NAME?</v>
      </c>
      <c r="BL636" s="2" t="e">
        <f ca="1">_xll.BDH($C$628,"ACCOUNTS_RECEIVABLE_SEQ_GROWTH","FQ3 2015","FQ3 2015","Currency=INR","Period=FQ","BEST_FPERIOD_OVERRIDE=FQ","FILING_STATUS=OR","EQY_CONSOLIDATED=Y","Sort=A","Dates=H","DateFormat=P","Fill=—","Direction=H","UseDPDF=Y")</f>
        <v>#NAME?</v>
      </c>
      <c r="BM636" s="2" t="e">
        <f ca="1">_xll.BDH($C$628,"INVENTORY_SEQUENTIAL_GROWTH","FQ3 2015","FQ3 2015","Currency=INR","Period=FQ","BEST_FPERIOD_OVERRIDE=FQ","FILING_STATUS=OR","EQY_CONSOLIDATED=Y","Sort=A","Dates=H","DateFormat=P","Fill=—","Direction=H","UseDPDF=Y")</f>
        <v>#NAME?</v>
      </c>
      <c r="BN636" s="2" t="e">
        <f ca="1">_xll.BDH($C$628,"FIXED_ASSETS_SEQUENTIAL_GROWTH","FQ3 2015","FQ3 2015","Currency=INR","Period=FQ","BEST_FPERIOD_OVERRIDE=FQ","FILING_STATUS=OR","EQY_CONSOLIDATED=Y","Sort=A","Dates=H","DateFormat=P","Fill=—","Direction=H","UseDPDF=Y")</f>
        <v>#NAME?</v>
      </c>
      <c r="BO636" s="2" t="e">
        <f ca="1">_xll.BDH($C$628,"TOTAL_ASSETS_SEQUENTIAL_GROWTH","FQ3 2015","FQ3 2015","Currency=INR","Period=FQ","BEST_FPERIOD_OVERRIDE=FQ","FILING_STATUS=OR","EQY_CONSOLIDATED=Y","Sort=A","Dates=H","DateFormat=P","Fill=—","Direction=H","UseDPDF=Y")</f>
        <v>#NAME?</v>
      </c>
      <c r="BP636" s="2" t="e">
        <f ca="1">_xll.BDH($C$628,"MODIFIED_WORKING_CPTL_SEQ_GRWTH","FQ3 2015","FQ3 2015","Currency=INR","Period=FQ","BEST_FPERIOD_OVERRIDE=FQ","FILING_STATUS=OR","EQY_CONSOLIDATED=Y","Sort=A","Dates=H","DateFormat=P","Fill=—","Direction=H","UseDPDF=Y")</f>
        <v>#NAME?</v>
      </c>
      <c r="BQ636" s="2" t="e">
        <f ca="1">_xll.BDH($C$628,"WORKING_CAPITAL_SEQ_GROWTH","FQ3 2015","FQ3 2015","Currency=INR","Period=FQ","BEST_FPERIOD_OVERRIDE=FQ","FILING_STATUS=OR","EQY_CONSOLIDATED=Y","Sort=A","Dates=H","DateFormat=P","Fill=—","Direction=H","UseDPDF=Y")</f>
        <v>#NAME?</v>
      </c>
      <c r="BR636" s="2" t="e">
        <f ca="1">_xll.BDH($C$628,"ACCOUNTS_PAYABLE_SEQ_GROWTH","FQ3 2015","FQ3 2015","Currency=INR","Period=FQ","BEST_FPERIOD_OVERRIDE=FQ","FILING_STATUS=OR","EQY_CONSOLIDATED=Y","Sort=A","Dates=H","DateFormat=P","Fill=—","Direction=H","UseDPDF=Y")</f>
        <v>#NAME?</v>
      </c>
      <c r="BS636" s="2" t="e">
        <f ca="1">_xll.BDH($C$628,"ST_DEBT_SEQUENTIAL_GROWTH","FQ3 2015","FQ3 2015","Currency=INR","Period=FQ","BEST_FPERIOD_OVERRIDE=FQ","FILING_STATUS=OR","EQY_CONSOLIDATED=Y","Sort=A","Dates=H","DateFormat=P","Fill=—","Direction=H","UseDPDF=Y")</f>
        <v>#NAME?</v>
      </c>
      <c r="BT636" s="2" t="e">
        <f ca="1">_xll.BDH($C$628,"TOTAL_DEBT_SEQUENTIAL_GROWTH","FQ3 2015","FQ3 2015","Currency=INR","Period=FQ","BEST_FPERIOD_OVERRIDE=FQ","FILING_STATUS=OR","EQY_CONSOLIDATED=Y","Sort=A","Dates=H","DateFormat=P","Fill=—","Direction=H","UseDPDF=Y")</f>
        <v>#NAME?</v>
      </c>
      <c r="BU636" s="2" t="e">
        <f ca="1">_xll.BDH($C$628,"TOTAL_EQUITY_SEQUENTIAL_GROWTH","FQ3 2015","FQ3 2015","Currency=INR","Period=FQ","BEST_FPERIOD_OVERRIDE=FQ","FILING_STATUS=OR","EQY_CONSOLIDATED=Y","Sort=A","Dates=H","DateFormat=P","Fill=—","Direction=H","UseDPDF=Y")</f>
        <v>#NAME?</v>
      </c>
      <c r="BV636" s="2" t="e">
        <f ca="1">_xll.BDH($C$628,"TOTAL_CAPITAL_SEQUENTIAL_GROWTH","FQ3 2015","FQ3 2015","Currency=INR","Period=FQ","BEST_FPERIOD_OVERRIDE=FQ","FILING_STATUS=OR","EQY_CONSOLIDATED=Y","Sort=A","Dates=H","DateFormat=P","Fill=—","Direction=H","UseDPDF=Y")</f>
        <v>#NAME?</v>
      </c>
      <c r="BW636" s="2" t="e">
        <f ca="1">_xll.BDH($C$628,"BPS_SEQUENTIAL_GROWTH","FQ3 2015","FQ3 2015","Currency=INR","Period=FQ","BEST_FPERIOD_OVERRIDE=FQ","FILING_STATUS=OR","EQY_CONSOLIDATED=Y","Sort=A","Dates=H","DateFormat=P","Fill=—","Direction=H","UseDPDF=Y")</f>
        <v>#NAME?</v>
      </c>
      <c r="BX636" s="2" t="e">
        <f ca="1">_xll.BDH($C$628,"CFO_SEQUENTIAL_GROWTH","FQ3 2015","FQ3 2015","Currency=INR","Period=FQ","BEST_FPERIOD_OVERRIDE=FQ","FILING_STATUS=OR","EQY_CONSOLIDATED=Y","Sort=A","Dates=H","DateFormat=P","Fill=—","Direction=H","UseDPDF=Y")</f>
        <v>#NAME?</v>
      </c>
      <c r="BY636" s="3" t="e">
        <f ca="1">_xll.BDH($C$628,"SHORT_AND_LONG_TERM_DEBT","FQ3 2015","FQ3 2015","Currency=INR","Period=FQ","BEST_FPERIOD_OVERRIDE=FQ","FILING_STATUS=OR","EQY_CONSOLIDATED=Y","SCALING_FORMAT=MLN","Sort=A","Dates=H","DateFormat=P","Fill=—","Direction=H","UseDPDF=Y")</f>
        <v>#NAME?</v>
      </c>
      <c r="BZ636" s="3" t="e">
        <f ca="1">_xll.BDH($C$628,"BS_ST_BORROW","FQ3 2015","FQ3 2015","Currency=INR","Period=FQ","BEST_FPERIOD_OVERRIDE=FQ","FILING_STATUS=OR","EQY_CONSOLIDATED=Y","SCALING_FORMAT=MLN","Sort=A","Dates=H","DateFormat=P","Fill=—","Direction=H","UseDPDF=Y")</f>
        <v>#NAME?</v>
      </c>
      <c r="CA636" s="3" t="e">
        <f ca="1">_xll.BDH($C$628,"BS_LT_BORROW","FQ3 2015","FQ3 2015","Currency=INR","Period=FQ","BEST_FPERIOD_OVERRIDE=FQ","FILING_STATUS=OR","EQY_CONSOLIDATED=Y","SCALING_FORMAT=MLN","Sort=A","Dates=H","DateFormat=P","Fill=—","Direction=H","UseDPDF=Y")</f>
        <v>#NAME?</v>
      </c>
      <c r="CB636" s="2" t="e">
        <f ca="1">_xll.BDH($C$628,"TOT_DEBT_TO_EBITDA","FQ3 2015","FQ3 2015","Currency=INR","Period=FQ","BEST_FPERIOD_OVERRIDE=FQ","FILING_STATUS=OR","EQY_CONSOLIDATED=Y","FA_ADJUSTED=GAAP","Sort=A","Dates=H","DateFormat=P","Fill=—","Direction=H","UseDPDF=Y")</f>
        <v>#NAME?</v>
      </c>
      <c r="CC636" s="2" t="e">
        <f ca="1">_xll.BDH($C$628,"NET_DEBT_TO_EBITDA","FQ3 2015","FQ3 2015","Currency=INR","Period=FQ","BEST_FPERIOD_OVERRIDE=FQ","FILING_STATUS=OR","EQY_CONSOLIDATED=Y","FA_ADJUSTED=GAAP","Sort=A","Dates=H","DateFormat=P","Fill=—","Direction=H","UseDPDF=Y")</f>
        <v>#NAME?</v>
      </c>
      <c r="CD636" s="2" t="e">
        <f ca="1">_xll.BDH($C$628,"TOTAL_DEBT_TO_EBIT","FQ3 2015","FQ3 2015","Currency=INR","Period=FQ","BEST_FPERIOD_OVERRIDE=FQ","FILING_STATUS=OR","EQY_CONSOLIDATED=Y","FA_ADJUSTED=GAAP","Sort=A","Dates=H","DateFormat=P","Fill=—","Direction=H","UseDPDF=Y")</f>
        <v>#NAME?</v>
      </c>
      <c r="CE636" s="2" t="e">
        <f ca="1">_xll.BDH($C$628,"NET_DEBT_TO_EBIT","FQ3 2015","FQ3 2015","Currency=INR","Period=FQ","BEST_FPERIOD_OVERRIDE=FQ","FILING_STATUS=OR","EQY_CONSOLIDATED=Y","FA_ADJUSTED=GAAP","Sort=A","Dates=H","DateFormat=P","Fill=—","Direction=H","UseDPDF=Y")</f>
        <v>#NAME?</v>
      </c>
      <c r="CF636" s="2" t="e">
        <f ca="1">_xll.BDH($C$628,"EBITDA_TO_INTEREST_EXPN","FQ3 2015","FQ3 2015","Currency=INR","Period=FQ","BEST_FPERIOD_OVERRIDE=FQ","FILING_STATUS=OR","EQY_CONSOLIDATED=Y","FA_ADJUSTED=GAAP","Sort=A","Dates=H","DateFormat=P","Fill=—","Direction=H","UseDPDF=Y")</f>
        <v>#NAME?</v>
      </c>
      <c r="CG636" s="2" t="e">
        <f ca="1">_xll.BDH($C$628,"COM_EQY_TO_TOT_ASSET","FQ3 2015","FQ3 2015","Currency=INR","Period=FQ","BEST_FPERIOD_OVERRIDE=FQ","FILING_STATUS=OR","EQY_CONSOLIDATED=Y","Sort=A","Dates=H","DateFormat=P","Fill=—","Direction=H","UseDPDF=Y")</f>
        <v>#NAME?</v>
      </c>
      <c r="CH636" s="2" t="e">
        <f ca="1">_xll.BDH($C$628,"LT_DEBT_TO_TOT_EQY","FQ3 2015","FQ3 2015","Currency=INR","Period=FQ","BEST_FPERIOD_OVERRIDE=FQ","FILING_STATUS=OR","EQY_CONSOLIDATED=Y","Sort=A","Dates=H","DateFormat=P","Fill=—","Direction=H","UseDPDF=Y")</f>
        <v>#NAME?</v>
      </c>
      <c r="CI636" s="2" t="e">
        <f ca="1">_xll.BDH($C$628,"LT_DEBT_TO_TOT_CAP","FQ3 2015","FQ3 2015","Currency=INR","Period=FQ","BEST_FPERIOD_OVERRIDE=FQ","FILING_STATUS=OR","EQY_CONSOLIDATED=Y","Sort=A","Dates=H","DateFormat=P","Fill=—","Direction=H","UseDPDF=Y")</f>
        <v>#NAME?</v>
      </c>
      <c r="CJ636" s="2" t="e">
        <f ca="1">_xll.BDH($C$628,"LT_DEBT_TO_TOT_ASSET","FQ3 2015","FQ3 2015","Currency=INR","Period=FQ","BEST_FPERIOD_OVERRIDE=FQ","FILING_STATUS=OR","EQY_CONSOLIDATED=Y","Sort=A","Dates=H","DateFormat=P","Fill=—","Direction=H","UseDPDF=Y")</f>
        <v>#NAME?</v>
      </c>
      <c r="CK636" s="2" t="e">
        <f ca="1">_xll.BDH($C$628,"TOT_DEBT_TO_TOT_EQY","FQ3 2015","FQ3 2015","Currency=INR","Period=FQ","BEST_FPERIOD_OVERRIDE=FQ","FILING_STATUS=OR","EQY_CONSOLIDATED=Y","Sort=A","Dates=H","DateFormat=P","Fill=—","Direction=H","UseDPDF=Y")</f>
        <v>#NAME?</v>
      </c>
      <c r="CL636" s="2" t="e">
        <f ca="1">_xll.BDH($C$628,"TOT_DEBT_TO_TOT_CAP","FQ3 2015","FQ3 2015","Currency=INR","Period=FQ","BEST_FPERIOD_OVERRIDE=FQ","FILING_STATUS=OR","EQY_CONSOLIDATED=Y","Sort=A","Dates=H","DateFormat=P","Fill=—","Direction=H","UseDPDF=Y")</f>
        <v>#NAME?</v>
      </c>
      <c r="CM636" s="2" t="e">
        <f ca="1">_xll.BDH($C$628,"TOT_DEBT_TO_TOT_ASSET","FQ3 2015","FQ3 2015","Currency=INR","Period=FQ","BEST_FPERIOD_OVERRIDE=FQ","FILING_STATUS=OR","EQY_CONSOLIDATED=Y","Sort=A","Dates=H","DateFormat=P","Fill=—","Direction=H","UseDPDF=Y")</f>
        <v>#NAME?</v>
      </c>
      <c r="CN636" s="2" t="e">
        <f ca="1">_xll.BDH($C$628,"NET_DEBT_TO_SHRHLDR_EQTY","FQ3 2015","FQ3 2015","Currency=INR","Period=FQ","BEST_FPERIOD_OVERRIDE=FQ","FILING_STATUS=OR","EQY_CONSOLIDATED=Y","Sort=A","Dates=H","DateFormat=P","Fill=—","Direction=H","UseDPDF=Y")</f>
        <v>#NAME?</v>
      </c>
      <c r="CO636" s="2" t="e">
        <f ca="1">_xll.BDH($C$628,"NET_DEBT_%_CAPITAL","FQ3 2015","FQ3 2015","Currency=INR","Period=FQ","BEST_FPERIOD_OVERRIDE=FQ","FILING_STATUS=OR","EQY_CONSOLIDATED=Y","Sort=A","Dates=H","DateFormat=P","Fill=—","Direction=H","UseDPDF=Y")</f>
        <v>#NAME?</v>
      </c>
      <c r="CP636" s="3" t="e">
        <f ca="1">_xll.BDH($C$628,"EBITDA","FQ3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Q636" s="3" t="e">
        <f ca="1">_xll.BDH($C$628,"EBITDA_AFTER_CAPEX","FQ3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R636" s="3" t="e">
        <f ca="1">_xll.BDH($C$628,"IS_OPER_INC","FQ3 2015","FQ3 2015","Currency=INR","Period=FQ","BEST_FPERIOD_OVERRIDE=FQ","FILING_STATUS=OR","EQY_CONSOLIDATED=Y","SCALING_FORMAT=MLN","FA_ADJUSTED=GAAP","Sort=A","Dates=H","DateFormat=P","Fill=—","Direction=H","UseDPDF=Y")</f>
        <v>#NAME?</v>
      </c>
      <c r="CS636" s="2" t="e">
        <f ca="1">_xll.BDH($C$628,"CASH_RATIO","FQ3 2015","FQ3 2015","Currency=INR","Period=FQ","BEST_FPERIOD_OVERRIDE=FQ","FILING_STATUS=OR","EQY_CONSOLIDATED=Y","Sort=A","Dates=H","DateFormat=P","Fill=—","Direction=H","UseDPDF=Y")</f>
        <v>#NAME?</v>
      </c>
      <c r="CT636" s="2" t="e">
        <f ca="1">_xll.BDH($C$628,"CUR_RATIO","FQ3 2015","FQ3 2015","Currency=INR","Period=FQ","BEST_FPERIOD_OVERRIDE=FQ","FILING_STATUS=OR","EQY_CONSOLIDATED=Y","Sort=A","Dates=H","DateFormat=P","Fill=—","Direction=H","UseDPDF=Y")</f>
        <v>#NAME?</v>
      </c>
      <c r="CU636" s="2" t="e">
        <f ca="1">_xll.BDH($C$628,"QUICK_RATIO","FQ3 2015","FQ3 2015","Currency=INR","Period=FQ","BEST_FPERIOD_OVERRIDE=FQ","FILING_STATUS=OR","EQY_CONSOLIDATED=Y","Sort=A","Dates=H","DateFormat=P","Fill=—","Direction=H","UseDPDF=Y")</f>
        <v>#NAME?</v>
      </c>
      <c r="CV636" s="2" t="e">
        <f ca="1">_xll.BDH($C$628,"ALTMAN_Z_SCORE","FQ3 2015","FQ3 2015","Currency=INR","Period=FQ","BEST_FPERIOD_OVERRIDE=FQ","FILING_STATUS=OR","EQY_CONSOLIDATED=Y","Sort=A","Dates=H","DateFormat=P","Fill=—","Direction=H","UseDPDF=Y")</f>
        <v>#NAME?</v>
      </c>
      <c r="CW636" s="4" t="e">
        <f ca="1">_xll.BDH($C$628,"ACCT_RCV_TURN","FQ3 2015","FQ3 2015","Currency=INR","Period=FQ","BEST_FPERIOD_OVERRIDE=FQ","FILING_STATUS=OR","EQY_CONSOLIDATED=Y","FA_ADJUSTED=GAAP","Sort=A","Dates=H","DateFormat=P","Fill=—","Direction=H","UseDPDF=Y")</f>
        <v>#NAME?</v>
      </c>
      <c r="CX636" s="2" t="e">
        <f ca="1">_xll.BDH($C$628,"ACCT_RCV_DAYS","FQ3 2015","FQ3 2015","Currency=INR","Period=FQ","BEST_FPERIOD_OVERRIDE=FQ","FILING_STATUS=OR","EQY_CONSOLIDATED=Y","FA_ADJUSTED=GAAP","Sort=A","Dates=H","DateFormat=P","Fill=—","Direction=H","UseDPDF=Y")</f>
        <v>#NAME?</v>
      </c>
      <c r="CY636" s="4" t="e">
        <f ca="1">_xll.BDH($C$628,"INVENT_TURN","FQ3 2015","FQ3 2015","Currency=INR","Period=FQ","BEST_FPERIOD_OVERRIDE=FQ","FILING_STATUS=OR","EQY_CONSOLIDATED=Y","FA_ADJUSTED=GAAP","Sort=A","Dates=H","DateFormat=P","Fill=—","Direction=H","UseDPDF=Y")</f>
        <v>#NAME?</v>
      </c>
      <c r="CZ636" s="2" t="e">
        <f ca="1">_xll.BDH($C$628,"INVENT_DAYS","FQ3 2015","FQ3 2015","Currency=INR","Period=FQ","BEST_FPERIOD_OVERRIDE=FQ","FILING_STATUS=OR","EQY_CONSOLIDATED=Y","FA_ADJUSTED=GAAP","Sort=A","Dates=H","DateFormat=P","Fill=—","Direction=H","UseDPDF=Y")</f>
        <v>#NAME?</v>
      </c>
      <c r="DA636" s="4" t="e">
        <f ca="1">_xll.BDH($C$628,"ACCOUNTS_PAYABLE_TURNOVER","FQ3 2015","FQ3 2015","Currency=INR","Period=FQ","BEST_FPERIOD_OVERRIDE=FQ","FILING_STATUS=OR","EQY_CONSOLIDATED=Y","FA_ADJUSTED=GAAP","Sort=A","Dates=H","DateFormat=P","Fill=—","Direction=H","UseDPDF=Y")</f>
        <v>#NAME?</v>
      </c>
      <c r="DB636" s="2" t="e">
        <f ca="1">_xll.BDH($C$628,"ACCOUNTS_PAYABLE_TURNOVER_DAYS","FQ3 2015","FQ3 2015","Currency=INR","Period=FQ","BEST_FPERIOD_OVERRIDE=FQ","FILING_STATUS=OR","EQY_CONSOLIDATED=Y","FA_ADJUSTED=GAAP","Sort=A","Dates=H","DateFormat=P","Fill=—","Direction=H","UseDPDF=Y")</f>
        <v>#NAME?</v>
      </c>
      <c r="DC636" s="4" t="e">
        <f ca="1">_xll.BDH($C$628,"CASH_CONVERSION_CYCLE","FQ3 2015","FQ3 2015","Currency=INR","Period=FQ","BEST_FPERIOD_OVERRIDE=FQ","FILING_STATUS=OR","EQY_CONSOLIDATED=Y","FA_ADJUSTED=GAAP","Sort=A","Dates=H","DateFormat=P","Fill=—","Direction=H","UseDPDF=Y")</f>
        <v>#NAME?</v>
      </c>
      <c r="DD636" s="4" t="e">
        <f ca="1">_xll.BDH($C$628,"INV_TO_CASH_DAYS","FQ3 2015","FQ3 2015","Currency=INR","Period=FQ","BEST_FPERIOD_OVERRIDE=FQ","FILING_STATUS=OR","EQY_CONSOLIDATED=Y","FA_ADJUSTED=GAAP","Sort=A","Dates=H","DateFormat=P","Fill=—","Direction=H","UseDPDF=Y")</f>
        <v>#NAME?</v>
      </c>
      <c r="DE636" s="5" t="e">
        <f ca="1">_xll.BDH($C$628,"BS_INVENTORIES","FQ3 2015","FQ3 2015","Currency=INR","Period=FQ","BEST_FPERIOD_OVERRIDE=FQ","FILING_STATUS=OR","EQY_CONSOLIDATED=Y","SCALING_FORMAT=MLN","Sort=A","Dates=H","DateFormat=P","Fill=—","Direction=H","UseDPDF=Y")</f>
        <v>#NAME?</v>
      </c>
      <c r="DF636" s="3" t="e">
        <f ca="1">_xll.BDH($C$628,"INVTRY_RAW_MATERIALS","FQ3 2015","FQ3 2015","Currency=INR","Period=FQ","BEST_FPERIOD_OVERRIDE=FQ","FILING_STATUS=OR","EQY_CONSOLIDATED=Y","SCALING_FORMAT=MLN","Sort=A","Dates=H","DateFormat=P","Fill=—","Direction=H","UseDPDF=Y")</f>
        <v>#NAME?</v>
      </c>
      <c r="DG636" s="3" t="e">
        <f ca="1">_xll.BDH($C$628,"INVTRY_IN_PROGRESS","FQ3 2015","FQ3 2015","Currency=INR","Period=FQ","BEST_FPERIOD_OVERRIDE=FQ","FILING_STATUS=OR","EQY_CONSOLIDATED=Y","SCALING_FORMAT=MLN","Sort=A","Dates=H","DateFormat=P","Fill=—","Direction=H","UseDPDF=Y")</f>
        <v>#NAME?</v>
      </c>
      <c r="DH636" s="3" t="e">
        <f ca="1">_xll.BDH($C$628,"INVTRY_FINISHED_GOODS","FQ3 2015","FQ3 2015","Currency=INR","Period=FQ","BEST_FPERIOD_OVERRIDE=FQ","FILING_STATUS=OR","EQY_CONSOLIDATED=Y","SCALING_FORMAT=MLN","Sort=A","Dates=H","DateFormat=P","Fill=—","Direction=H","UseDPDF=Y")</f>
        <v>#NAME?</v>
      </c>
      <c r="DI636" s="3" t="e">
        <f ca="1">_xll.BDH($C$628,"BS_OTHER_INV","FQ3 2015","FQ3 2015","Currency=INR","Period=FQ","BEST_FPERIOD_OVERRIDE=FQ","FILING_STATUS=OR","EQY_CONSOLIDATED=Y","SCALING_FORMAT=MLN","Sort=A","Dates=H","DateFormat=P","Fill=—","Direction=H","UseDPDF=Y")</f>
        <v>#NAME?</v>
      </c>
    </row>
    <row r="637" spans="1:113" x14ac:dyDescent="0.3">
      <c r="A637" s="6"/>
      <c r="B637" s="6"/>
      <c r="C637" s="6"/>
      <c r="D637" s="6"/>
      <c r="E637" t="s">
        <v>81</v>
      </c>
      <c r="F637" t="e">
        <f ca="1">_xll.BDH($C$628,"RETURN_COM_EQY","FQ4 2015","FQ4 2015","Currency=INR","Period=FQ","BEST_FPERIOD_OVERRIDE=FQ","FILING_STATUS=OR","EQY_CONSOLIDATED=Y","FA_ADJUSTED=GAAP","Sort=A","Dates=H","DateFormat=P","Fill=—","Direction=H","UseDPDF=Y")</f>
        <v>#NAME?</v>
      </c>
      <c r="G637" t="e">
        <f ca="1">_xll.BDH($C$628,"RETURN_ON_ASSET","FQ4 2015","FQ4 2015","Currency=INR","Period=FQ","BEST_FPERIOD_OVERRIDE=FQ","FILING_STATUS=OR","EQY_CONSOLIDATED=Y","FA_ADJUSTED=GAAP","Sort=A","Dates=H","DateFormat=P","Fill=—","Direction=H","UseDPDF=Y")</f>
        <v>#NAME?</v>
      </c>
      <c r="H637" t="e">
        <f ca="1">_xll.BDH($C$628,"RETURN_ON_CAP","FQ4 2015","FQ4 2015","Currency=INR","Period=FQ","BEST_FPERIOD_OVERRIDE=FQ","FILING_STATUS=OR","EQY_CONSOLIDATED=Y","FA_ADJUSTED=GAAP","Sort=A","Dates=H","DateFormat=P","Fill=—","Direction=H","UseDPDF=Y")</f>
        <v>#NAME?</v>
      </c>
      <c r="I637" t="e">
        <f ca="1">_xll.BDH($C$628,"RETURN_ON_INV_CAPITAL","FQ4 2015","FQ4 2015","Currency=INR","Period=FQ","BEST_FPERIOD_OVERRIDE=FQ","FILING_STATUS=OR","EQY_CONSOLIDATED=Y","FA_ADJUSTED=GAAP","Sort=A","Dates=H","DateFormat=P","Fill=—","Direction=H","UseDPDF=Y")</f>
        <v>#NAME?</v>
      </c>
      <c r="J637" t="e">
        <f ca="1">_xll.BDH($C$628,"EBITDA_TO_REVENUE","FQ4 2015","FQ4 2015","Currency=INR","Period=FQ","BEST_FPERIOD_OVERRIDE=FQ","FILING_STATUS=OR","EQY_CONSOLIDATED=Y","FA_ADJUSTED=GAAP","Sort=A","Dates=H","DateFormat=P","Fill=—","Direction=H","UseDPDF=Y")</f>
        <v>#NAME?</v>
      </c>
      <c r="K637" t="e">
        <f ca="1">_xll.BDH($C$628,"OPER_MARGIN","FQ4 2015","FQ4 2015","Currency=INR","Period=FQ","BEST_FPERIOD_OVERRIDE=FQ","FILING_STATUS=OR","EQY_CONSOLIDATED=Y","FA_ADJUSTED=GAAP","Sort=A","Dates=H","DateFormat=P","Fill=—","Direction=H","UseDPDF=Y")</f>
        <v>#NAME?</v>
      </c>
      <c r="L637" t="e">
        <f ca="1">_xll.BDH($C$628,"INCREMENTAL_OPERATING_MARGIN","FQ4 2015","FQ4 2015","Currency=INR","Period=FQ","BEST_FPERIOD_OVERRIDE=FQ","FILING_STATUS=OR","EQY_CONSOLIDATED=Y","FA_ADJUSTED=GAAP","Sort=A","Dates=H","DateFormat=P","Fill=—","Direction=H","UseDPDF=Y")</f>
        <v>#NAME?</v>
      </c>
      <c r="M637" t="e">
        <f ca="1">_xll.BDH($C$628,"PRETAX_INC_TO_NET_SALES","FQ4 2015","FQ4 2015","Currency=INR","Period=FQ","BEST_FPERIOD_OVERRIDE=FQ","FILING_STATUS=OR","EQY_CONSOLIDATED=Y","FA_ADJUSTED=GAAP","Sort=A","Dates=H","DateFormat=P","Fill=—","Direction=H","UseDPDF=Y")</f>
        <v>#NAME?</v>
      </c>
      <c r="N637" t="e">
        <f ca="1">_xll.BDH($C$628,"INC_BEF_XO_ITEMS_TO_NET_SALES","FQ4 2015","FQ4 2015","Currency=INR","Period=FQ","BEST_FPERIOD_OVERRIDE=FQ","FILING_STATUS=OR","EQY_CONSOLIDATED=Y","FA_ADJUSTED=GAAP","Sort=A","Dates=H","DateFormat=P","Fill=—","Direction=H","UseDPDF=Y")</f>
        <v>#NAME?</v>
      </c>
      <c r="O637" t="e">
        <f ca="1">_xll.BDH($C$628,"PROF_MARGIN","FQ4 2015","FQ4 2015","Currency=INR","Period=FQ","BEST_FPERIOD_OVERRIDE=FQ","FILING_STATUS=OR","EQY_CONSOLIDATED=Y","FA_ADJUSTED=GAAP","Sort=A","Dates=H","DateFormat=P","Fill=—","Direction=H","UseDPDF=Y")</f>
        <v>#NAME?</v>
      </c>
      <c r="P637" t="e">
        <f ca="1">_xll.BDH($C$628,"NET_INCOME_TO_COMMON_MARGIN","FQ4 2015","FQ4 2015","Currency=INR","Period=FQ","BEST_FPERIOD_OVERRIDE=FQ","FILING_STATUS=OR","EQY_CONSOLIDATED=Y","FA_ADJUSTED=GAAP","Sort=A","Dates=H","DateFormat=P","Fill=—","Direction=H","UseDPDF=Y")</f>
        <v>#NAME?</v>
      </c>
      <c r="Q637" t="e">
        <f ca="1">_xll.BDH($C$628,"EFF_TAX_RATE","FQ4 2015","FQ4 2015","Currency=INR","Period=FQ","BEST_FPERIOD_OVERRIDE=FQ","FILING_STATUS=OR","EQY_CONSOLIDATED=Y","FA_ADJUSTED=GAAP","Sort=A","Dates=H","DateFormat=P","Fill=—","Direction=H","UseDPDF=Y")</f>
        <v>#NAME?</v>
      </c>
      <c r="R637" t="e">
        <f ca="1">_xll.BDH($C$628,"DVD_PAYOUT_RATIO","FQ4 2015","FQ4 2015","Currency=INR","Period=FQ","BEST_FPERIOD_OVERRIDE=FQ","FILING_STATUS=OR","EQY_CONSOLIDATED=Y","FA_ADJUSTED=GAAP","Sort=A","Dates=H","DateFormat=P","Fill=—","Direction=H","UseDPDF=Y")</f>
        <v>#NAME?</v>
      </c>
      <c r="S637" t="e">
        <f ca="1">_xll.BDH($C$628,"SUSTAIN_GROWTH_RT","FQ4 2015","FQ4 2015","Currency=INR","Period=FQ","BEST_FPERIOD_OVERRIDE=FQ","FILING_STATUS=OR","EQY_CONSOLIDATED=Y","FA_ADJUSTED=GAAP","Sort=A","Dates=H","DateFormat=P","Fill=—","Direction=H","UseDPDF=Y")</f>
        <v>#NAME?</v>
      </c>
      <c r="T637" s="2" t="e">
        <f ca="1">_xll.BDH($C$628,"SALES_GROWTH","FQ4 2015","FQ4 2015","Currency=INR","Period=FQ","BEST_FPERIOD_OVERRIDE=FQ","FILING_STATUS=OR","EQY_CONSOLIDATED=Y","FA_ADJUSTED=GAAP","Sort=A","Dates=H","DateFormat=P","Fill=—","Direction=H","UseDPDF=Y")</f>
        <v>#NAME?</v>
      </c>
      <c r="U637" s="2" t="e">
        <f ca="1">_xll.BDH($C$628,"EBITDA_GROWTH","FQ4 2015","FQ4 2015","Currency=INR","Period=FQ","BEST_FPERIOD_OVERRIDE=FQ","FILING_STATUS=OR","EQY_CONSOLIDATED=Y","FA_ADJUSTED=GAAP","Sort=A","Dates=H","DateFormat=P","Fill=—","Direction=H","UseDPDF=Y")</f>
        <v>#NAME?</v>
      </c>
      <c r="V637" s="2" t="e">
        <f ca="1">_xll.BDH($C$628,"OPER_INC_GROWTH","FQ4 2015","FQ4 2015","Currency=INR","Period=FQ","BEST_FPERIOD_OVERRIDE=FQ","FILING_STATUS=OR","EQY_CONSOLIDATED=Y","FA_ADJUSTED=GAAP","Sort=A","Dates=H","DateFormat=P","Fill=—","Direction=H","UseDPDF=Y")</f>
        <v>#NAME?</v>
      </c>
      <c r="W637" s="2" t="e">
        <f ca="1">_xll.BDH($C$628,"EARN_FOR_COM_GROWTH","FQ4 2015","FQ4 2015","Currency=INR","Period=FQ","BEST_FPERIOD_OVERRIDE=FQ","FILING_STATUS=OR","EQY_CONSOLIDATED=Y","FA_ADJUSTED=GAAP","Sort=A","Dates=H","DateFormat=P","Fill=—","Direction=H","UseDPDF=Y")</f>
        <v>#NAME?</v>
      </c>
      <c r="X637" s="2" t="e">
        <f ca="1">_xll.BDH($C$628,"DILUTED_EPS_AFT_XO_ITEMS_GROWTH","FQ4 2015","FQ4 2015","Currency=INR","Period=FQ","BEST_FPERIOD_OVERRIDE=FQ","FILING_STATUS=OR","EQY_CONSOLIDATED=Y","FA_ADJUSTED=GAAP","Sort=A","Dates=H","DateFormat=P","Fill=—","Direction=H","UseDPDF=Y")</f>
        <v>#NAME?</v>
      </c>
      <c r="Y637" s="2" t="e">
        <f ca="1">_xll.BDH($C$628,"DIVIDEND_PER_SHARE_1_YEAR_GROWTH","FQ4 2015","FQ4 2015","Currency=INR","Period=FQ","BEST_FPERIOD_OVERRIDE=FQ","FILING_STATUS=OR","EQY_CONSOLIDATED=Y","Sort=A","Dates=H","DateFormat=P","Fill=—","Direction=H","UseDPDF=Y")</f>
        <v>#NAME?</v>
      </c>
      <c r="Z637" s="2" t="e">
        <f ca="1">_xll.BDH($C$628,"ACCOUNTS_RECEIVABLE_GROWTH","FQ4 2015","FQ4 2015","Currency=INR","Period=FQ","BEST_FPERIOD_OVERRIDE=FQ","FILING_STATUS=OR","EQY_CONSOLIDATED=Y","Sort=A","Dates=H","DateFormat=P","Fill=—","Direction=H","UseDPDF=Y")</f>
        <v>#NAME?</v>
      </c>
      <c r="AA637" s="2" t="e">
        <f ca="1">_xll.BDH($C$628,"INVENTORY_GROWTH","FQ4 2015","FQ4 2015","Currency=INR","Period=FQ","BEST_FPERIOD_OVERRIDE=FQ","FILING_STATUS=OR","EQY_CONSOLIDATED=Y","Sort=A","Dates=H","DateFormat=P","Fill=—","Direction=H","UseDPDF=Y")</f>
        <v>#NAME?</v>
      </c>
      <c r="AB637" s="2" t="e">
        <f ca="1">_xll.BDH($C$628,"NET_FIXED_ASSETS_1_YEAR_GROWTH","FQ4 2015","FQ4 2015","Currency=INR","Period=FQ","BEST_FPERIOD_OVERRIDE=FQ","FILING_STATUS=OR","EQY_CONSOLIDATED=Y","Sort=A","Dates=H","DateFormat=P","Fill=—","Direction=H","UseDPDF=Y")</f>
        <v>#NAME?</v>
      </c>
      <c r="AC637" s="2" t="e">
        <f ca="1">_xll.BDH($C$628,"ASSET_GROWTH","FQ4 2015","FQ4 2015","Currency=INR","Period=FQ","BEST_FPERIOD_OVERRIDE=FQ","FILING_STATUS=OR","EQY_CONSOLIDATED=Y","Sort=A","Dates=H","DateFormat=P","Fill=—","Direction=H","UseDPDF=Y")</f>
        <v>#NAME?</v>
      </c>
      <c r="AD637" s="2" t="e">
        <f ca="1">_xll.BDH($C$628,"MODIFIED_WORK_CAP_GROWTH","FQ4 2015","FQ4 2015","Currency=INR","Period=FQ","BEST_FPERIOD_OVERRIDE=FQ","FILING_STATUS=OR","EQY_CONSOLIDATED=Y","Sort=A","Dates=H","DateFormat=P","Fill=—","Direction=H","UseDPDF=Y")</f>
        <v>#NAME?</v>
      </c>
      <c r="AE637" s="2" t="e">
        <f ca="1">_xll.BDH($C$628,"WORK_CAP_GROWTH","FQ4 2015","FQ4 2015","Currency=INR","Period=FQ","BEST_FPERIOD_OVERRIDE=FQ","FILING_STATUS=OR","EQY_CONSOLIDATED=Y","Sort=A","Dates=H","DateFormat=P","Fill=—","Direction=H","UseDPDF=Y")</f>
        <v>#NAME?</v>
      </c>
      <c r="AF637" s="2" t="e">
        <f ca="1">_xll.BDH($C$628,"ACCOUNTS_PAYABLE_GROWTH_1YR","FQ4 2015","FQ4 2015","Currency=INR","Period=FQ","BEST_FPERIOD_OVERRIDE=FQ","FILING_STATUS=OR","EQY_CONSOLIDATED=Y","Sort=A","Dates=H","DateFormat=P","Fill=—","Direction=H","UseDPDF=Y")</f>
        <v>#NAME?</v>
      </c>
      <c r="AG637" s="2" t="e">
        <f ca="1">_xll.BDH($C$628,"SHORT_TERM_DEBT_1_YEAR_GROWTH","FQ4 2015","FQ4 2015","Currency=INR","Period=FQ","BEST_FPERIOD_OVERRIDE=FQ","FILING_STATUS=OR","EQY_CONSOLIDATED=Y","Sort=A","Dates=H","DateFormat=P","Fill=—","Direction=H","UseDPDF=Y")</f>
        <v>#NAME?</v>
      </c>
      <c r="AH637" s="2" t="e">
        <f ca="1">_xll.BDH($C$628,"TOTAL_DEBT_1_YEAR_GROWTH","FQ4 2015","FQ4 2015","Currency=INR","Period=FQ","BEST_FPERIOD_OVERRIDE=FQ","FILING_STATUS=OR","EQY_CONSOLIDATED=Y","Sort=A","Dates=H","DateFormat=P","Fill=—","Direction=H","UseDPDF=Y")</f>
        <v>#NAME?</v>
      </c>
      <c r="AI637" s="2" t="e">
        <f ca="1">_xll.BDH($C$628,"TOTAL_EQUITY_1_YEAR_GROWTH","FQ4 2015","FQ4 2015","Currency=INR","Period=FQ","BEST_FPERIOD_OVERRIDE=FQ","FILING_STATUS=OR","EQY_CONSOLIDATED=Y","Sort=A","Dates=H","DateFormat=P","Fill=—","Direction=H","UseDPDF=Y")</f>
        <v>#NAME?</v>
      </c>
      <c r="AJ637" s="2" t="e">
        <f ca="1">_xll.BDH($C$628,"GROWTH_IN_CAP","FQ4 2015","FQ4 2015","Currency=INR","Period=FQ","BEST_FPERIOD_OVERRIDE=FQ","FILING_STATUS=OR","EQY_CONSOLIDATED=Y","Sort=A","Dates=H","DateFormat=P","Fill=—","Direction=H","UseDPDF=Y")</f>
        <v>#NAME?</v>
      </c>
      <c r="AK637" s="2" t="e">
        <f ca="1">_xll.BDH($C$628,"BVPS_GROWTH","FQ4 2015","FQ4 2015","Currency=INR","Period=FQ","BEST_FPERIOD_OVERRIDE=FQ","FILING_STATUS=OR","EQY_CONSOLIDATED=Y","Sort=A","Dates=H","DateFormat=P","Fill=—","Direction=H","UseDPDF=Y")</f>
        <v>#NAME?</v>
      </c>
      <c r="AL637" s="2" t="e">
        <f ca="1">_xll.BDH($C$628,"CASH_FLOW_GROWTH","FQ4 2015","FQ4 2015","Currency=INR","Period=FQ","BEST_FPERIOD_OVERRIDE=FQ","FILING_STATUS=OR","EQY_CONSOLIDATED=Y","Sort=A","Dates=H","DateFormat=P","Fill=—","Direction=H","UseDPDF=Y")</f>
        <v>#NAME?</v>
      </c>
      <c r="AM637" s="2" t="e">
        <f ca="1">_xll.BDH($C$628,"GEO_GROW_NET_SALES","FQ4 2015","FQ4 2015","Currency=INR","Period=FQ","BEST_FPERIOD_OVERRIDE=FQ","FILING_STATUS=OR","EQY_CONSOLIDATED=Y","FA_ADJUSTED=GAAP","Sort=A","Dates=H","DateFormat=P","Fill=—","Direction=H","UseDPDF=Y")</f>
        <v>#NAME?</v>
      </c>
      <c r="AN637" s="2" t="e">
        <f ca="1">_xll.BDH($C$628,"GEO_GROW_EBITDA","FQ4 2015","FQ4 2015","Currency=INR","Period=FQ","BEST_FPERIOD_OVERRIDE=FQ","FILING_STATUS=OR","EQY_CONSOLIDATED=Y","FA_ADJUSTED=GAAP","Sort=A","Dates=H","DateFormat=P","Fill=—","Direction=H","UseDPDF=Y")</f>
        <v>#NAME?</v>
      </c>
      <c r="AO637" s="2" t="e">
        <f ca="1">_xll.BDH($C$628,"GEO_GROW_OPER_INC","FQ4 2015","FQ4 2015","Currency=INR","Period=FQ","BEST_FPERIOD_OVERRIDE=FQ","FILING_STATUS=OR","EQY_CONSOLIDATED=Y","FA_ADJUSTED=GAAP","Sort=A","Dates=H","DateFormat=P","Fill=—","Direction=H","UseDPDF=Y")</f>
        <v>#NAME?</v>
      </c>
      <c r="AP637" s="2" t="e">
        <f ca="1">_xll.BDH($C$628,"NET_INCOME_TO_COMMON_5_YR_GROWTH","FQ4 2015","FQ4 2015","Currency=INR","Period=FQ","BEST_FPERIOD_OVERRIDE=FQ","FILING_STATUS=OR","EQY_CONSOLIDATED=Y","FA_ADJUSTED=GAAP","Sort=A","Dates=H","DateFormat=P","Fill=—","Direction=H","UseDPDF=Y")</f>
        <v>#NAME?</v>
      </c>
      <c r="AQ637" s="2" t="e">
        <f ca="1">_xll.BDH($C$628,"5Y_GEO_GROWTH_DILUTED_EPS","FQ4 2015","FQ4 2015","Currency=INR","Period=FQ","BEST_FPERIOD_OVERRIDE=FQ","FILING_STATUS=OR","EQY_CONSOLIDATED=Y","FA_ADJUSTED=GAAP","Sort=A","Dates=H","DateFormat=P","Fill=—","Direction=H","UseDPDF=Y")</f>
        <v>#NAME?</v>
      </c>
      <c r="AR637" s="2" t="e">
        <f ca="1">_xll.BDH($C$628,"GEO_GROW_DVD_PER_SH","FQ4 2015","FQ4 2015","Currency=INR","Period=FQ","BEST_FPERIOD_OVERRIDE=FQ","FILING_STATUS=OR","EQY_CONSOLIDATED=Y","Sort=A","Dates=H","DateFormat=P","Fill=—","Direction=H","UseDPDF=Y")</f>
        <v>#NAME?</v>
      </c>
      <c r="AS637" s="2" t="e">
        <f ca="1">_xll.BDH($C$628,"ACCOUNTS_RECEIVABLE_5_YR_GROWTH","FQ4 2015","FQ4 2015","Currency=INR","Period=FQ","BEST_FPERIOD_OVERRIDE=FQ","FILING_STATUS=OR","EQY_CONSOLIDATED=Y","Sort=A","Dates=H","DateFormat=P","Fill=—","Direction=H","UseDPDF=Y")</f>
        <v>#NAME?</v>
      </c>
      <c r="AT637" s="2" t="e">
        <f ca="1">_xll.BDH($C$628,"INVENTORY_5_YEAR_GROWTH","FQ4 2015","FQ4 2015","Currency=INR","Period=FQ","BEST_FPERIOD_OVERRIDE=FQ","FILING_STATUS=OR","EQY_CONSOLIDATED=Y","Sort=A","Dates=H","DateFormat=P","Fill=—","Direction=H","UseDPDF=Y")</f>
        <v>#NAME?</v>
      </c>
      <c r="AU637" s="2" t="e">
        <f ca="1">_xll.BDH($C$628,"NET_FIXED_ASSETS_5_YEAR_GROWTH","FQ4 2015","FQ4 2015","Currency=INR","Period=FQ","BEST_FPERIOD_OVERRIDE=FQ","FILING_STATUS=OR","EQY_CONSOLIDATED=Y","Sort=A","Dates=H","DateFormat=P","Fill=—","Direction=H","UseDPDF=Y")</f>
        <v>#NAME?</v>
      </c>
      <c r="AV637" s="2" t="e">
        <f ca="1">_xll.BDH($C$628,"GEO_GROW_TOT_ASSET","FQ4 2015","FQ4 2015","Currency=INR","Period=FQ","BEST_FPERIOD_OVERRIDE=FQ","FILING_STATUS=OR","EQY_CONSOLIDATED=Y","Sort=A","Dates=H","DateFormat=P","Fill=—","Direction=H","UseDPDF=Y")</f>
        <v>#NAME?</v>
      </c>
      <c r="AW637" s="2" t="e">
        <f ca="1">_xll.BDH($C$628,"MODIFIED_WORKING_CPTL_5YR_GRWTH","FQ4 2015","FQ4 2015","Currency=INR","Period=FQ","BEST_FPERIOD_OVERRIDE=FQ","FILING_STATUS=OR","EQY_CONSOLIDATED=Y","Sort=A","Dates=H","DateFormat=P","Fill=—","Direction=H","UseDPDF=Y")</f>
        <v>#NAME?</v>
      </c>
      <c r="AX637" s="2" t="e">
        <f ca="1">_xll.BDH($C$628,"WORKING_CAPITAL_5_YEAR_GROWTH","FQ4 2015","FQ4 2015","Currency=INR","Period=FQ","BEST_FPERIOD_OVERRIDE=FQ","FILING_STATUS=OR","EQY_CONSOLIDATED=Y","Sort=A","Dates=H","DateFormat=P","Fill=—","Direction=H","UseDPDF=Y")</f>
        <v>#NAME?</v>
      </c>
      <c r="AY637" s="2" t="e">
        <f ca="1">_xll.BDH($C$628,"ACCOUNTS_PAYABLE_5_YEAR_GROWTH","FQ4 2015","FQ4 2015","Currency=INR","Period=FQ","BEST_FPERIOD_OVERRIDE=FQ","FILING_STATUS=OR","EQY_CONSOLIDATED=Y","Sort=A","Dates=H","DateFormat=P","Fill=—","Direction=H","UseDPDF=Y")</f>
        <v>#NAME?</v>
      </c>
      <c r="AZ637" s="2" t="e">
        <f ca="1">_xll.BDH($C$628,"SHORT_TERM_DEBT_5_YEAR_GROWTH","FQ4 2015","FQ4 2015","Currency=INR","Period=FQ","BEST_FPERIOD_OVERRIDE=FQ","FILING_STATUS=OR","EQY_CONSOLIDATED=Y","Sort=A","Dates=H","DateFormat=P","Fill=—","Direction=H","UseDPDF=Y")</f>
        <v>#NAME?</v>
      </c>
      <c r="BA637" s="2" t="e">
        <f ca="1">_xll.BDH($C$628,"TOTAL_DEBT_5_YEAR_GROWTH","FQ4 2015","FQ4 2015","Currency=INR","Period=FQ","BEST_FPERIOD_OVERRIDE=FQ","FILING_STATUS=OR","EQY_CONSOLIDATED=Y","Sort=A","Dates=H","DateFormat=P","Fill=—","Direction=H","UseDPDF=Y")</f>
        <v>#NAME?</v>
      </c>
      <c r="BB637" s="2" t="e">
        <f ca="1">_xll.BDH($C$628,"GEO_GROW_TOT_SHRHLDR_EQY","FQ4 2015","FQ4 2015","Currency=INR","Period=FQ","BEST_FPERIOD_OVERRIDE=FQ","FILING_STATUS=OR","EQY_CONSOLIDATED=Y","Sort=A","Dates=H","DateFormat=P","Fill=—","Direction=H","UseDPDF=Y")</f>
        <v>#NAME?</v>
      </c>
      <c r="BC637" s="2" t="e">
        <f ca="1">_xll.BDH($C$628,"TOTAL_CAPITAL_5_YEAR_GROWTH","FQ4 2015","FQ4 2015","Currency=INR","Period=FQ","BEST_FPERIOD_OVERRIDE=FQ","FILING_STATUS=OR","EQY_CONSOLIDATED=Y","Sort=A","Dates=H","DateFormat=P","Fill=—","Direction=H","UseDPDF=Y")</f>
        <v>#NAME?</v>
      </c>
      <c r="BD637" s="2" t="e">
        <f ca="1">_xll.BDH($C$628,"GEO_GROW_BOOK_VAL","FQ4 2015","FQ4 2015","Currency=INR","Period=FQ","BEST_FPERIOD_OVERRIDE=FQ","FILING_STATUS=OR","EQY_CONSOLIDATED=Y","Sort=A","Dates=H","DateFormat=P","Fill=—","Direction=H","UseDPDF=Y")</f>
        <v>#NAME?</v>
      </c>
      <c r="BE637" s="2" t="e">
        <f ca="1">_xll.BDH($C$628,"GEO_GROW_CASH_OPER_ACT","FQ4 2015","FQ4 2015","Currency=INR","Period=FQ","BEST_FPERIOD_OVERRIDE=FQ","FILING_STATUS=OR","EQY_CONSOLIDATED=Y","Sort=A","Dates=H","DateFormat=P","Fill=—","Direction=H","UseDPDF=Y")</f>
        <v>#NAME?</v>
      </c>
      <c r="BF637" s="2" t="e">
        <f ca="1">_xll.BDH($C$628,"REVENUE_SEQUENTIAL_GROWTH","FQ4 2015","FQ4 2015","Currency=INR","Period=FQ","BEST_FPERIOD_OVERRIDE=FQ","FILING_STATUS=OR","EQY_CONSOLIDATED=Y","FA_ADJUSTED=GAAP","Sort=A","Dates=H","DateFormat=P","Fill=—","Direction=H","UseDPDF=Y")</f>
        <v>#NAME?</v>
      </c>
      <c r="BG637" s="2" t="e">
        <f ca="1">_xll.BDH($C$628,"EBITDA_SEQUENTIAL_GROWTH","FQ4 2015","FQ4 2015","Currency=INR","Period=FQ","BEST_FPERIOD_OVERRIDE=FQ","FILING_STATUS=OR","EQY_CONSOLIDATED=Y","FA_ADJUSTED=GAAP","Sort=A","Dates=H","DateFormat=P","Fill=—","Direction=H","UseDPDF=Y")</f>
        <v>#NAME?</v>
      </c>
      <c r="BH637" s="2" t="e">
        <f ca="1">_xll.BDH($C$628,"OPERATING_INCOME_SEQ_GROWTH","FQ4 2015","FQ4 2015","Currency=INR","Period=FQ","BEST_FPERIOD_OVERRIDE=FQ","FILING_STATUS=OR","EQY_CONSOLIDATED=Y","FA_ADJUSTED=GAAP","Sort=A","Dates=H","DateFormat=P","Fill=—","Direction=H","UseDPDF=Y")</f>
        <v>#NAME?</v>
      </c>
      <c r="BI637" s="2" t="e">
        <f ca="1">_xll.BDH($C$628,"NET_INCOME_TO_COMMON_SEQ_GROWTH","FQ4 2015","FQ4 2015","Currency=INR","Period=FQ","BEST_FPERIOD_OVERRIDE=FQ","FILING_STATUS=OR","EQY_CONSOLIDATED=Y","FA_ADJUSTED=GAAP","Sort=A","Dates=H","DateFormat=P","Fill=—","Direction=H","UseDPDF=Y")</f>
        <v>#NAME?</v>
      </c>
      <c r="BJ637" s="2" t="e">
        <f ca="1">_xll.BDH($C$628,"EPS_DILUTED_SEQUENTIAL_GROWTH","FQ4 2015","FQ4 2015","Currency=INR","Period=FQ","BEST_FPERIOD_OVERRIDE=FQ","FILING_STATUS=OR","EQY_CONSOLIDATED=Y","FA_ADJUSTED=GAAP","Sort=A","Dates=H","DateFormat=P","Fill=—","Direction=H","UseDPDF=Y")</f>
        <v>#NAME?</v>
      </c>
      <c r="BK637" s="2" t="e">
        <f ca="1">_xll.BDH($C$628,"DPS_SEQUENTIAL_GROWTH","FQ4 2015","FQ4 2015","Currency=INR","Period=FQ","BEST_FPERIOD_OVERRIDE=FQ","FILING_STATUS=OR","EQY_CONSOLIDATED=Y","Sort=A","Dates=H","DateFormat=P","Fill=—","Direction=H","UseDPDF=Y")</f>
        <v>#NAME?</v>
      </c>
      <c r="BL637" s="2" t="e">
        <f ca="1">_xll.BDH($C$628,"ACCOUNTS_RECEIVABLE_SEQ_GROWTH","FQ4 2015","FQ4 2015","Currency=INR","Period=FQ","BEST_FPERIOD_OVERRIDE=FQ","FILING_STATUS=OR","EQY_CONSOLIDATED=Y","Sort=A","Dates=H","DateFormat=P","Fill=—","Direction=H","UseDPDF=Y")</f>
        <v>#NAME?</v>
      </c>
      <c r="BM637" s="2" t="e">
        <f ca="1">_xll.BDH($C$628,"INVENTORY_SEQUENTIAL_GROWTH","FQ4 2015","FQ4 2015","Currency=INR","Period=FQ","BEST_FPERIOD_OVERRIDE=FQ","FILING_STATUS=OR","EQY_CONSOLIDATED=Y","Sort=A","Dates=H","DateFormat=P","Fill=—","Direction=H","UseDPDF=Y")</f>
        <v>#NAME?</v>
      </c>
      <c r="BN637" s="2" t="e">
        <f ca="1">_xll.BDH($C$628,"FIXED_ASSETS_SEQUENTIAL_GROWTH","FQ4 2015","FQ4 2015","Currency=INR","Period=FQ","BEST_FPERIOD_OVERRIDE=FQ","FILING_STATUS=OR","EQY_CONSOLIDATED=Y","Sort=A","Dates=H","DateFormat=P","Fill=—","Direction=H","UseDPDF=Y")</f>
        <v>#NAME?</v>
      </c>
      <c r="BO637" s="2" t="e">
        <f ca="1">_xll.BDH($C$628,"TOTAL_ASSETS_SEQUENTIAL_GROWTH","FQ4 2015","FQ4 2015","Currency=INR","Period=FQ","BEST_FPERIOD_OVERRIDE=FQ","FILING_STATUS=OR","EQY_CONSOLIDATED=Y","Sort=A","Dates=H","DateFormat=P","Fill=—","Direction=H","UseDPDF=Y")</f>
        <v>#NAME?</v>
      </c>
      <c r="BP637" s="2" t="e">
        <f ca="1">_xll.BDH($C$628,"MODIFIED_WORKING_CPTL_SEQ_GRWTH","FQ4 2015","FQ4 2015","Currency=INR","Period=FQ","BEST_FPERIOD_OVERRIDE=FQ","FILING_STATUS=OR","EQY_CONSOLIDATED=Y","Sort=A","Dates=H","DateFormat=P","Fill=—","Direction=H","UseDPDF=Y")</f>
        <v>#NAME?</v>
      </c>
      <c r="BQ637" s="2" t="e">
        <f ca="1">_xll.BDH($C$628,"WORKING_CAPITAL_SEQ_GROWTH","FQ4 2015","FQ4 2015","Currency=INR","Period=FQ","BEST_FPERIOD_OVERRIDE=FQ","FILING_STATUS=OR","EQY_CONSOLIDATED=Y","Sort=A","Dates=H","DateFormat=P","Fill=—","Direction=H","UseDPDF=Y")</f>
        <v>#NAME?</v>
      </c>
      <c r="BR637" s="2" t="e">
        <f ca="1">_xll.BDH($C$628,"ACCOUNTS_PAYABLE_SEQ_GROWTH","FQ4 2015","FQ4 2015","Currency=INR","Period=FQ","BEST_FPERIOD_OVERRIDE=FQ","FILING_STATUS=OR","EQY_CONSOLIDATED=Y","Sort=A","Dates=H","DateFormat=P","Fill=—","Direction=H","UseDPDF=Y")</f>
        <v>#NAME?</v>
      </c>
      <c r="BS637" s="2" t="e">
        <f ca="1">_xll.BDH($C$628,"ST_DEBT_SEQUENTIAL_GROWTH","FQ4 2015","FQ4 2015","Currency=INR","Period=FQ","BEST_FPERIOD_OVERRIDE=FQ","FILING_STATUS=OR","EQY_CONSOLIDATED=Y","Sort=A","Dates=H","DateFormat=P","Fill=—","Direction=H","UseDPDF=Y")</f>
        <v>#NAME?</v>
      </c>
      <c r="BT637" s="2" t="e">
        <f ca="1">_xll.BDH($C$628,"TOTAL_DEBT_SEQUENTIAL_GROWTH","FQ4 2015","FQ4 2015","Currency=INR","Period=FQ","BEST_FPERIOD_OVERRIDE=FQ","FILING_STATUS=OR","EQY_CONSOLIDATED=Y","Sort=A","Dates=H","DateFormat=P","Fill=—","Direction=H","UseDPDF=Y")</f>
        <v>#NAME?</v>
      </c>
      <c r="BU637" s="2" t="e">
        <f ca="1">_xll.BDH($C$628,"TOTAL_EQUITY_SEQUENTIAL_GROWTH","FQ4 2015","FQ4 2015","Currency=INR","Period=FQ","BEST_FPERIOD_OVERRIDE=FQ","FILING_STATUS=OR","EQY_CONSOLIDATED=Y","Sort=A","Dates=H","DateFormat=P","Fill=—","Direction=H","UseDPDF=Y")</f>
        <v>#NAME?</v>
      </c>
      <c r="BV637" s="2" t="e">
        <f ca="1">_xll.BDH($C$628,"TOTAL_CAPITAL_SEQUENTIAL_GROWTH","FQ4 2015","FQ4 2015","Currency=INR","Period=FQ","BEST_FPERIOD_OVERRIDE=FQ","FILING_STATUS=OR","EQY_CONSOLIDATED=Y","Sort=A","Dates=H","DateFormat=P","Fill=—","Direction=H","UseDPDF=Y")</f>
        <v>#NAME?</v>
      </c>
      <c r="BW637" s="2" t="e">
        <f ca="1">_xll.BDH($C$628,"BPS_SEQUENTIAL_GROWTH","FQ4 2015","FQ4 2015","Currency=INR","Period=FQ","BEST_FPERIOD_OVERRIDE=FQ","FILING_STATUS=OR","EQY_CONSOLIDATED=Y","Sort=A","Dates=H","DateFormat=P","Fill=—","Direction=H","UseDPDF=Y")</f>
        <v>#NAME?</v>
      </c>
      <c r="BX637" s="2" t="e">
        <f ca="1">_xll.BDH($C$628,"CFO_SEQUENTIAL_GROWTH","FQ4 2015","FQ4 2015","Currency=INR","Period=FQ","BEST_FPERIOD_OVERRIDE=FQ","FILING_STATUS=OR","EQY_CONSOLIDATED=Y","Sort=A","Dates=H","DateFormat=P","Fill=—","Direction=H","UseDPDF=Y")</f>
        <v>#NAME?</v>
      </c>
      <c r="BY637" s="3" t="e">
        <f ca="1">_xll.BDH($C$628,"SHORT_AND_LONG_TERM_DEBT","FQ4 2015","FQ4 2015","Currency=INR","Period=FQ","BEST_FPERIOD_OVERRIDE=FQ","FILING_STATUS=OR","EQY_CONSOLIDATED=Y","SCALING_FORMAT=MLN","Sort=A","Dates=H","DateFormat=P","Fill=—","Direction=H","UseDPDF=Y")</f>
        <v>#NAME?</v>
      </c>
      <c r="BZ637" s="3" t="e">
        <f ca="1">_xll.BDH($C$628,"BS_ST_BORROW","FQ4 2015","FQ4 2015","Currency=INR","Period=FQ","BEST_FPERIOD_OVERRIDE=FQ","FILING_STATUS=OR","EQY_CONSOLIDATED=Y","SCALING_FORMAT=MLN","Sort=A","Dates=H","DateFormat=P","Fill=—","Direction=H","UseDPDF=Y")</f>
        <v>#NAME?</v>
      </c>
      <c r="CA637" s="3" t="e">
        <f ca="1">_xll.BDH($C$628,"BS_LT_BORROW","FQ4 2015","FQ4 2015","Currency=INR","Period=FQ","BEST_FPERIOD_OVERRIDE=FQ","FILING_STATUS=OR","EQY_CONSOLIDATED=Y","SCALING_FORMAT=MLN","Sort=A","Dates=H","DateFormat=P","Fill=—","Direction=H","UseDPDF=Y")</f>
        <v>#NAME?</v>
      </c>
      <c r="CB637" s="2" t="e">
        <f ca="1">_xll.BDH($C$628,"TOT_DEBT_TO_EBITDA","FQ4 2015","FQ4 2015","Currency=INR","Period=FQ","BEST_FPERIOD_OVERRIDE=FQ","FILING_STATUS=OR","EQY_CONSOLIDATED=Y","FA_ADJUSTED=GAAP","Sort=A","Dates=H","DateFormat=P","Fill=—","Direction=H","UseDPDF=Y")</f>
        <v>#NAME?</v>
      </c>
      <c r="CC637" s="2" t="e">
        <f ca="1">_xll.BDH($C$628,"NET_DEBT_TO_EBITDA","FQ4 2015","FQ4 2015","Currency=INR","Period=FQ","BEST_FPERIOD_OVERRIDE=FQ","FILING_STATUS=OR","EQY_CONSOLIDATED=Y","FA_ADJUSTED=GAAP","Sort=A","Dates=H","DateFormat=P","Fill=—","Direction=H","UseDPDF=Y")</f>
        <v>#NAME?</v>
      </c>
      <c r="CD637" s="2" t="e">
        <f ca="1">_xll.BDH($C$628,"TOTAL_DEBT_TO_EBIT","FQ4 2015","FQ4 2015","Currency=INR","Period=FQ","BEST_FPERIOD_OVERRIDE=FQ","FILING_STATUS=OR","EQY_CONSOLIDATED=Y","FA_ADJUSTED=GAAP","Sort=A","Dates=H","DateFormat=P","Fill=—","Direction=H","UseDPDF=Y")</f>
        <v>#NAME?</v>
      </c>
      <c r="CE637" s="2" t="e">
        <f ca="1">_xll.BDH($C$628,"NET_DEBT_TO_EBIT","FQ4 2015","FQ4 2015","Currency=INR","Period=FQ","BEST_FPERIOD_OVERRIDE=FQ","FILING_STATUS=OR","EQY_CONSOLIDATED=Y","FA_ADJUSTED=GAAP","Sort=A","Dates=H","DateFormat=P","Fill=—","Direction=H","UseDPDF=Y")</f>
        <v>#NAME?</v>
      </c>
      <c r="CF637" s="2" t="e">
        <f ca="1">_xll.BDH($C$628,"EBITDA_TO_INTEREST_EXPN","FQ4 2015","FQ4 2015","Currency=INR","Period=FQ","BEST_FPERIOD_OVERRIDE=FQ","FILING_STATUS=OR","EQY_CONSOLIDATED=Y","FA_ADJUSTED=GAAP","Sort=A","Dates=H","DateFormat=P","Fill=—","Direction=H","UseDPDF=Y")</f>
        <v>#NAME?</v>
      </c>
      <c r="CG637" s="2" t="e">
        <f ca="1">_xll.BDH($C$628,"COM_EQY_TO_TOT_ASSET","FQ4 2015","FQ4 2015","Currency=INR","Period=FQ","BEST_FPERIOD_OVERRIDE=FQ","FILING_STATUS=OR","EQY_CONSOLIDATED=Y","Sort=A","Dates=H","DateFormat=P","Fill=—","Direction=H","UseDPDF=Y")</f>
        <v>#NAME?</v>
      </c>
      <c r="CH637" s="2" t="e">
        <f ca="1">_xll.BDH($C$628,"LT_DEBT_TO_TOT_EQY","FQ4 2015","FQ4 2015","Currency=INR","Period=FQ","BEST_FPERIOD_OVERRIDE=FQ","FILING_STATUS=OR","EQY_CONSOLIDATED=Y","Sort=A","Dates=H","DateFormat=P","Fill=—","Direction=H","UseDPDF=Y")</f>
        <v>#NAME?</v>
      </c>
      <c r="CI637" s="2" t="e">
        <f ca="1">_xll.BDH($C$628,"LT_DEBT_TO_TOT_CAP","FQ4 2015","FQ4 2015","Currency=INR","Period=FQ","BEST_FPERIOD_OVERRIDE=FQ","FILING_STATUS=OR","EQY_CONSOLIDATED=Y","Sort=A","Dates=H","DateFormat=P","Fill=—","Direction=H","UseDPDF=Y")</f>
        <v>#NAME?</v>
      </c>
      <c r="CJ637" s="2" t="e">
        <f ca="1">_xll.BDH($C$628,"LT_DEBT_TO_TOT_ASSET","FQ4 2015","FQ4 2015","Currency=INR","Period=FQ","BEST_FPERIOD_OVERRIDE=FQ","FILING_STATUS=OR","EQY_CONSOLIDATED=Y","Sort=A","Dates=H","DateFormat=P","Fill=—","Direction=H","UseDPDF=Y")</f>
        <v>#NAME?</v>
      </c>
      <c r="CK637" s="2" t="e">
        <f ca="1">_xll.BDH($C$628,"TOT_DEBT_TO_TOT_EQY","FQ4 2015","FQ4 2015","Currency=INR","Period=FQ","BEST_FPERIOD_OVERRIDE=FQ","FILING_STATUS=OR","EQY_CONSOLIDATED=Y","Sort=A","Dates=H","DateFormat=P","Fill=—","Direction=H","UseDPDF=Y")</f>
        <v>#NAME?</v>
      </c>
      <c r="CL637" s="2" t="e">
        <f ca="1">_xll.BDH($C$628,"TOT_DEBT_TO_TOT_CAP","FQ4 2015","FQ4 2015","Currency=INR","Period=FQ","BEST_FPERIOD_OVERRIDE=FQ","FILING_STATUS=OR","EQY_CONSOLIDATED=Y","Sort=A","Dates=H","DateFormat=P","Fill=—","Direction=H","UseDPDF=Y")</f>
        <v>#NAME?</v>
      </c>
      <c r="CM637" s="2" t="e">
        <f ca="1">_xll.BDH($C$628,"TOT_DEBT_TO_TOT_ASSET","FQ4 2015","FQ4 2015","Currency=INR","Period=FQ","BEST_FPERIOD_OVERRIDE=FQ","FILING_STATUS=OR","EQY_CONSOLIDATED=Y","Sort=A","Dates=H","DateFormat=P","Fill=—","Direction=H","UseDPDF=Y")</f>
        <v>#NAME?</v>
      </c>
      <c r="CN637" s="2" t="e">
        <f ca="1">_xll.BDH($C$628,"NET_DEBT_TO_SHRHLDR_EQTY","FQ4 2015","FQ4 2015","Currency=INR","Period=FQ","BEST_FPERIOD_OVERRIDE=FQ","FILING_STATUS=OR","EQY_CONSOLIDATED=Y","Sort=A","Dates=H","DateFormat=P","Fill=—","Direction=H","UseDPDF=Y")</f>
        <v>#NAME?</v>
      </c>
      <c r="CO637" s="2" t="e">
        <f ca="1">_xll.BDH($C$628,"NET_DEBT_%_CAPITAL","FQ4 2015","FQ4 2015","Currency=INR","Period=FQ","BEST_FPERIOD_OVERRIDE=FQ","FILING_STATUS=OR","EQY_CONSOLIDATED=Y","Sort=A","Dates=H","DateFormat=P","Fill=—","Direction=H","UseDPDF=Y")</f>
        <v>#NAME?</v>
      </c>
      <c r="CP637" s="3" t="e">
        <f ca="1">_xll.BDH($C$628,"EBITDA","FQ4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Q637" s="3" t="e">
        <f ca="1">_xll.BDH($C$628,"EBITDA_AFTER_CAPEX","FQ4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R637" s="3" t="e">
        <f ca="1">_xll.BDH($C$628,"IS_OPER_INC","FQ4 2015","FQ4 2015","Currency=INR","Period=FQ","BEST_FPERIOD_OVERRIDE=FQ","FILING_STATUS=OR","EQY_CONSOLIDATED=Y","SCALING_FORMAT=MLN","FA_ADJUSTED=GAAP","Sort=A","Dates=H","DateFormat=P","Fill=—","Direction=H","UseDPDF=Y")</f>
        <v>#NAME?</v>
      </c>
      <c r="CS637" s="2" t="e">
        <f ca="1">_xll.BDH($C$628,"CASH_RATIO","FQ4 2015","FQ4 2015","Currency=INR","Period=FQ","BEST_FPERIOD_OVERRIDE=FQ","FILING_STATUS=OR","EQY_CONSOLIDATED=Y","Sort=A","Dates=H","DateFormat=P","Fill=—","Direction=H","UseDPDF=Y")</f>
        <v>#NAME?</v>
      </c>
      <c r="CT637" s="2" t="e">
        <f ca="1">_xll.BDH($C$628,"CUR_RATIO","FQ4 2015","FQ4 2015","Currency=INR","Period=FQ","BEST_FPERIOD_OVERRIDE=FQ","FILING_STATUS=OR","EQY_CONSOLIDATED=Y","Sort=A","Dates=H","DateFormat=P","Fill=—","Direction=H","UseDPDF=Y")</f>
        <v>#NAME?</v>
      </c>
      <c r="CU637" s="2" t="e">
        <f ca="1">_xll.BDH($C$628,"QUICK_RATIO","FQ4 2015","FQ4 2015","Currency=INR","Period=FQ","BEST_FPERIOD_OVERRIDE=FQ","FILING_STATUS=OR","EQY_CONSOLIDATED=Y","Sort=A","Dates=H","DateFormat=P","Fill=—","Direction=H","UseDPDF=Y")</f>
        <v>#NAME?</v>
      </c>
      <c r="CV637" s="2" t="e">
        <f ca="1">_xll.BDH($C$628,"ALTMAN_Z_SCORE","FQ4 2015","FQ4 2015","Currency=INR","Period=FQ","BEST_FPERIOD_OVERRIDE=FQ","FILING_STATUS=OR","EQY_CONSOLIDATED=Y","Sort=A","Dates=H","DateFormat=P","Fill=—","Direction=H","UseDPDF=Y")</f>
        <v>#NAME?</v>
      </c>
      <c r="CW637" s="4" t="e">
        <f ca="1">_xll.BDH($C$628,"ACCT_RCV_TURN","FQ4 2015","FQ4 2015","Currency=INR","Period=FQ","BEST_FPERIOD_OVERRIDE=FQ","FILING_STATUS=OR","EQY_CONSOLIDATED=Y","FA_ADJUSTED=GAAP","Sort=A","Dates=H","DateFormat=P","Fill=—","Direction=H","UseDPDF=Y")</f>
        <v>#NAME?</v>
      </c>
      <c r="CX637" s="2" t="e">
        <f ca="1">_xll.BDH($C$628,"ACCT_RCV_DAYS","FQ4 2015","FQ4 2015","Currency=INR","Period=FQ","BEST_FPERIOD_OVERRIDE=FQ","FILING_STATUS=OR","EQY_CONSOLIDATED=Y","FA_ADJUSTED=GAAP","Sort=A","Dates=H","DateFormat=P","Fill=—","Direction=H","UseDPDF=Y")</f>
        <v>#NAME?</v>
      </c>
      <c r="CY637" s="4" t="e">
        <f ca="1">_xll.BDH($C$628,"INVENT_TURN","FQ4 2015","FQ4 2015","Currency=INR","Period=FQ","BEST_FPERIOD_OVERRIDE=FQ","FILING_STATUS=OR","EQY_CONSOLIDATED=Y","FA_ADJUSTED=GAAP","Sort=A","Dates=H","DateFormat=P","Fill=—","Direction=H","UseDPDF=Y")</f>
        <v>#NAME?</v>
      </c>
      <c r="CZ637" s="2" t="e">
        <f ca="1">_xll.BDH($C$628,"INVENT_DAYS","FQ4 2015","FQ4 2015","Currency=INR","Period=FQ","BEST_FPERIOD_OVERRIDE=FQ","FILING_STATUS=OR","EQY_CONSOLIDATED=Y","FA_ADJUSTED=GAAP","Sort=A","Dates=H","DateFormat=P","Fill=—","Direction=H","UseDPDF=Y")</f>
        <v>#NAME?</v>
      </c>
      <c r="DA637" s="4" t="e">
        <f ca="1">_xll.BDH($C$628,"ACCOUNTS_PAYABLE_TURNOVER","FQ4 2015","FQ4 2015","Currency=INR","Period=FQ","BEST_FPERIOD_OVERRIDE=FQ","FILING_STATUS=OR","EQY_CONSOLIDATED=Y","FA_ADJUSTED=GAAP","Sort=A","Dates=H","DateFormat=P","Fill=—","Direction=H","UseDPDF=Y")</f>
        <v>#NAME?</v>
      </c>
      <c r="DB637" s="2" t="e">
        <f ca="1">_xll.BDH($C$628,"ACCOUNTS_PAYABLE_TURNOVER_DAYS","FQ4 2015","FQ4 2015","Currency=INR","Period=FQ","BEST_FPERIOD_OVERRIDE=FQ","FILING_STATUS=OR","EQY_CONSOLIDATED=Y","FA_ADJUSTED=GAAP","Sort=A","Dates=H","DateFormat=P","Fill=—","Direction=H","UseDPDF=Y")</f>
        <v>#NAME?</v>
      </c>
      <c r="DC637" s="4" t="e">
        <f ca="1">_xll.BDH($C$628,"CASH_CONVERSION_CYCLE","FQ4 2015","FQ4 2015","Currency=INR","Period=FQ","BEST_FPERIOD_OVERRIDE=FQ","FILING_STATUS=OR","EQY_CONSOLIDATED=Y","FA_ADJUSTED=GAAP","Sort=A","Dates=H","DateFormat=P","Fill=—","Direction=H","UseDPDF=Y")</f>
        <v>#NAME?</v>
      </c>
      <c r="DD637" s="4" t="e">
        <f ca="1">_xll.BDH($C$628,"INV_TO_CASH_DAYS","FQ4 2015","FQ4 2015","Currency=INR","Period=FQ","BEST_FPERIOD_OVERRIDE=FQ","FILING_STATUS=OR","EQY_CONSOLIDATED=Y","FA_ADJUSTED=GAAP","Sort=A","Dates=H","DateFormat=P","Fill=—","Direction=H","UseDPDF=Y")</f>
        <v>#NAME?</v>
      </c>
      <c r="DE637" s="5" t="e">
        <f ca="1">_xll.BDH($C$628,"BS_INVENTORIES","FQ4 2015","FQ4 2015","Currency=INR","Period=FQ","BEST_FPERIOD_OVERRIDE=FQ","FILING_STATUS=OR","EQY_CONSOLIDATED=Y","SCALING_FORMAT=MLN","Sort=A","Dates=H","DateFormat=P","Fill=—","Direction=H","UseDPDF=Y")</f>
        <v>#NAME?</v>
      </c>
      <c r="DF637" s="3" t="e">
        <f ca="1">_xll.BDH($C$628,"INVTRY_RAW_MATERIALS","FQ4 2015","FQ4 2015","Currency=INR","Period=FQ","BEST_FPERIOD_OVERRIDE=FQ","FILING_STATUS=OR","EQY_CONSOLIDATED=Y","SCALING_FORMAT=MLN","Sort=A","Dates=H","DateFormat=P","Fill=—","Direction=H","UseDPDF=Y")</f>
        <v>#NAME?</v>
      </c>
      <c r="DG637" s="3" t="e">
        <f ca="1">_xll.BDH($C$628,"INVTRY_IN_PROGRESS","FQ4 2015","FQ4 2015","Currency=INR","Period=FQ","BEST_FPERIOD_OVERRIDE=FQ","FILING_STATUS=OR","EQY_CONSOLIDATED=Y","SCALING_FORMAT=MLN","Sort=A","Dates=H","DateFormat=P","Fill=—","Direction=H","UseDPDF=Y")</f>
        <v>#NAME?</v>
      </c>
      <c r="DH637" s="3" t="e">
        <f ca="1">_xll.BDH($C$628,"INVTRY_FINISHED_GOODS","FQ4 2015","FQ4 2015","Currency=INR","Period=FQ","BEST_FPERIOD_OVERRIDE=FQ","FILING_STATUS=OR","EQY_CONSOLIDATED=Y","SCALING_FORMAT=MLN","Sort=A","Dates=H","DateFormat=P","Fill=—","Direction=H","UseDPDF=Y")</f>
        <v>#NAME?</v>
      </c>
      <c r="DI637" s="3" t="e">
        <f ca="1">_xll.BDH($C$628,"BS_OTHER_INV","FQ4 2015","FQ4 2015","Currency=INR","Period=FQ","BEST_FPERIOD_OVERRIDE=FQ","FILING_STATUS=OR","EQY_CONSOLIDATED=Y","SCALING_FORMAT=MLN","Sort=A","Dates=H","DateFormat=P","Fill=—","Direction=H","UseDPDF=Y")</f>
        <v>#NAME?</v>
      </c>
    </row>
    <row r="638" spans="1:113" x14ac:dyDescent="0.3">
      <c r="A638" s="6"/>
      <c r="B638" s="6"/>
      <c r="C638" s="6"/>
      <c r="D638" s="6" t="s">
        <v>83</v>
      </c>
      <c r="E638" t="s">
        <v>77</v>
      </c>
      <c r="F638" t="e">
        <f ca="1">_xll.BDH($C$628,"RETURN_COM_EQY","FY 2016","FY 2016","Currency=INR","Period=FY","BEST_FPERIOD_OVERRIDE=FY","FILING_STATUS=OR","EQY_CONSOLIDATED=Y","FA_ADJUSTED=GAAP","Sort=A","Dates=H","DateFormat=P","Fill=—","Direction=H","UseDPDF=Y")</f>
        <v>#NAME?</v>
      </c>
      <c r="G638" t="e">
        <f ca="1">_xll.BDH($C$628,"RETURN_ON_ASSET","FY 2016","FY 2016","Currency=INR","Period=FY","BEST_FPERIOD_OVERRIDE=FY","FILING_STATUS=OR","EQY_CONSOLIDATED=Y","FA_ADJUSTED=GAAP","Sort=A","Dates=H","DateFormat=P","Fill=—","Direction=H","UseDPDF=Y")</f>
        <v>#NAME?</v>
      </c>
      <c r="H638" t="e">
        <f ca="1">_xll.BDH($C$628,"RETURN_ON_CAP","FY 2016","FY 2016","Currency=INR","Period=FY","BEST_FPERIOD_OVERRIDE=FY","FILING_STATUS=OR","EQY_CONSOLIDATED=Y","FA_ADJUSTED=GAAP","Sort=A","Dates=H","DateFormat=P","Fill=—","Direction=H","UseDPDF=Y")</f>
        <v>#NAME?</v>
      </c>
      <c r="I638" t="e">
        <f ca="1">_xll.BDH($C$628,"RETURN_ON_INV_CAPITAL","FY 2016","FY 2016","Currency=INR","Period=FY","BEST_FPERIOD_OVERRIDE=FY","FILING_STATUS=OR","EQY_CONSOLIDATED=Y","FA_ADJUSTED=GAAP","Sort=A","Dates=H","DateFormat=P","Fill=—","Direction=H","UseDPDF=Y")</f>
        <v>#NAME?</v>
      </c>
      <c r="J638" t="e">
        <f ca="1">_xll.BDH($C$628,"EBITDA_TO_REVENUE","FY 2016","FY 2016","Currency=INR","Period=FY","BEST_FPERIOD_OVERRIDE=FY","FILING_STATUS=OR","EQY_CONSOLIDATED=Y","FA_ADJUSTED=GAAP","Sort=A","Dates=H","DateFormat=P","Fill=—","Direction=H","UseDPDF=Y")</f>
        <v>#NAME?</v>
      </c>
      <c r="K638" t="e">
        <f ca="1">_xll.BDH($C$628,"OPER_MARGIN","FY 2016","FY 2016","Currency=INR","Period=FY","BEST_FPERIOD_OVERRIDE=FY","FILING_STATUS=OR","EQY_CONSOLIDATED=Y","FA_ADJUSTED=GAAP","Sort=A","Dates=H","DateFormat=P","Fill=—","Direction=H","UseDPDF=Y")</f>
        <v>#NAME?</v>
      </c>
      <c r="L638" t="e">
        <f ca="1">_xll.BDH($C$628,"INCREMENTAL_OPERATING_MARGIN","FY 2016","FY 2016","Currency=INR","Period=FY","BEST_FPERIOD_OVERRIDE=FY","FILING_STATUS=OR","EQY_CONSOLIDATED=Y","FA_ADJUSTED=GAAP","Sort=A","Dates=H","DateFormat=P","Fill=—","Direction=H","UseDPDF=Y")</f>
        <v>#NAME?</v>
      </c>
      <c r="M638" t="e">
        <f ca="1">_xll.BDH($C$628,"PRETAX_INC_TO_NET_SALES","FY 2016","FY 2016","Currency=INR","Period=FY","BEST_FPERIOD_OVERRIDE=FY","FILING_STATUS=OR","EQY_CONSOLIDATED=Y","FA_ADJUSTED=GAAP","Sort=A","Dates=H","DateFormat=P","Fill=—","Direction=H","UseDPDF=Y")</f>
        <v>#NAME?</v>
      </c>
      <c r="N638" t="e">
        <f ca="1">_xll.BDH($C$628,"INC_BEF_XO_ITEMS_TO_NET_SALES","FY 2016","FY 2016","Currency=INR","Period=FY","BEST_FPERIOD_OVERRIDE=FY","FILING_STATUS=OR","EQY_CONSOLIDATED=Y","FA_ADJUSTED=GAAP","Sort=A","Dates=H","DateFormat=P","Fill=—","Direction=H","UseDPDF=Y")</f>
        <v>#NAME?</v>
      </c>
      <c r="O638" t="e">
        <f ca="1">_xll.BDH($C$628,"PROF_MARGIN","FY 2016","FY 2016","Currency=INR","Period=FY","BEST_FPERIOD_OVERRIDE=FY","FILING_STATUS=OR","EQY_CONSOLIDATED=Y","FA_ADJUSTED=GAAP","Sort=A","Dates=H","DateFormat=P","Fill=—","Direction=H","UseDPDF=Y")</f>
        <v>#NAME?</v>
      </c>
      <c r="P638" t="e">
        <f ca="1">_xll.BDH($C$628,"NET_INCOME_TO_COMMON_MARGIN","FY 2016","FY 2016","Currency=INR","Period=FY","BEST_FPERIOD_OVERRIDE=FY","FILING_STATUS=OR","EQY_CONSOLIDATED=Y","FA_ADJUSTED=GAAP","Sort=A","Dates=H","DateFormat=P","Fill=—","Direction=H","UseDPDF=Y")</f>
        <v>#NAME?</v>
      </c>
      <c r="Q638" t="e">
        <f ca="1">_xll.BDH($C$628,"EFF_TAX_RATE","FY 2016","FY 2016","Currency=INR","Period=FY","BEST_FPERIOD_OVERRIDE=FY","FILING_STATUS=OR","EQY_CONSOLIDATED=Y","FA_ADJUSTED=GAAP","Sort=A","Dates=H","DateFormat=P","Fill=—","Direction=H","UseDPDF=Y")</f>
        <v>#NAME?</v>
      </c>
      <c r="R638" t="e">
        <f ca="1">_xll.BDH($C$628,"DVD_PAYOUT_RATIO","FY 2016","FY 2016","Currency=INR","Period=FY","BEST_FPERIOD_OVERRIDE=FY","FILING_STATUS=OR","EQY_CONSOLIDATED=Y","FA_ADJUSTED=GAAP","Sort=A","Dates=H","DateFormat=P","Fill=—","Direction=H","UseDPDF=Y")</f>
        <v>#NAME?</v>
      </c>
      <c r="S638" t="e">
        <f ca="1">_xll.BDH($C$628,"SUSTAIN_GROWTH_RT","FY 2016","FY 2016","Currency=INR","Period=FY","BEST_FPERIOD_OVERRIDE=FY","FILING_STATUS=OR","EQY_CONSOLIDATED=Y","FA_ADJUSTED=GAAP","Sort=A","Dates=H","DateFormat=P","Fill=—","Direction=H","UseDPDF=Y")</f>
        <v>#NAME?</v>
      </c>
      <c r="T638" s="2" t="e">
        <f ca="1">_xll.BDH($C$628,"SALES_GROWTH","FY 2016","FY 2016","Currency=INR","Period=FY","BEST_FPERIOD_OVERRIDE=FY","FILING_STATUS=OR","EQY_CONSOLIDATED=Y","FA_ADJUSTED=GAAP","Sort=A","Dates=H","DateFormat=P","Fill=—","Direction=H","UseDPDF=Y")</f>
        <v>#NAME?</v>
      </c>
      <c r="U638" s="2" t="e">
        <f ca="1">_xll.BDH($C$628,"EBITDA_GROWTH","FY 2016","FY 2016","Currency=INR","Period=FY","BEST_FPERIOD_OVERRIDE=FY","FILING_STATUS=OR","EQY_CONSOLIDATED=Y","FA_ADJUSTED=GAAP","Sort=A","Dates=H","DateFormat=P","Fill=—","Direction=H","UseDPDF=Y")</f>
        <v>#NAME?</v>
      </c>
      <c r="V638" s="2" t="e">
        <f ca="1">_xll.BDH($C$628,"OPER_INC_GROWTH","FY 2016","FY 2016","Currency=INR","Period=FY","BEST_FPERIOD_OVERRIDE=FY","FILING_STATUS=OR","EQY_CONSOLIDATED=Y","FA_ADJUSTED=GAAP","Sort=A","Dates=H","DateFormat=P","Fill=—","Direction=H","UseDPDF=Y")</f>
        <v>#NAME?</v>
      </c>
      <c r="W638" s="2" t="e">
        <f ca="1">_xll.BDH($C$628,"EARN_FOR_COM_GROWTH","FY 2016","FY 2016","Currency=INR","Period=FY","BEST_FPERIOD_OVERRIDE=FY","FILING_STATUS=OR","EQY_CONSOLIDATED=Y","FA_ADJUSTED=GAAP","Sort=A","Dates=H","DateFormat=P","Fill=—","Direction=H","UseDPDF=Y")</f>
        <v>#NAME?</v>
      </c>
      <c r="X638" s="2" t="e">
        <f ca="1">_xll.BDH($C$628,"DILUTED_EPS_AFT_XO_ITEMS_GROWTH","FY 2016","FY 2016","Currency=INR","Period=FY","BEST_FPERIOD_OVERRIDE=FY","FILING_STATUS=OR","EQY_CONSOLIDATED=Y","FA_ADJUSTED=GAAP","Sort=A","Dates=H","DateFormat=P","Fill=—","Direction=H","UseDPDF=Y")</f>
        <v>#NAME?</v>
      </c>
      <c r="Y638" s="2" t="e">
        <f ca="1">_xll.BDH($C$628,"DIVIDEND_PER_SHARE_1_YEAR_GROWTH","FY 2016","FY 2016","Currency=INR","Period=FY","BEST_FPERIOD_OVERRIDE=FY","FILING_STATUS=OR","EQY_CONSOLIDATED=Y","Sort=A","Dates=H","DateFormat=P","Fill=—","Direction=H","UseDPDF=Y")</f>
        <v>#NAME?</v>
      </c>
      <c r="Z638" s="2" t="e">
        <f ca="1">_xll.BDH($C$628,"ACCOUNTS_RECEIVABLE_GROWTH","FY 2016","FY 2016","Currency=INR","Period=FY","BEST_FPERIOD_OVERRIDE=FY","FILING_STATUS=OR","EQY_CONSOLIDATED=Y","Sort=A","Dates=H","DateFormat=P","Fill=—","Direction=H","UseDPDF=Y")</f>
        <v>#NAME?</v>
      </c>
      <c r="AA638" s="2" t="e">
        <f ca="1">_xll.BDH($C$628,"INVENTORY_GROWTH","FY 2016","FY 2016","Currency=INR","Period=FY","BEST_FPERIOD_OVERRIDE=FY","FILING_STATUS=OR","EQY_CONSOLIDATED=Y","Sort=A","Dates=H","DateFormat=P","Fill=—","Direction=H","UseDPDF=Y")</f>
        <v>#NAME?</v>
      </c>
      <c r="AB638" s="2" t="e">
        <f ca="1">_xll.BDH($C$628,"NET_FIXED_ASSETS_1_YEAR_GROWTH","FY 2016","FY 2016","Currency=INR","Period=FY","BEST_FPERIOD_OVERRIDE=FY","FILING_STATUS=OR","EQY_CONSOLIDATED=Y","Sort=A","Dates=H","DateFormat=P","Fill=—","Direction=H","UseDPDF=Y")</f>
        <v>#NAME?</v>
      </c>
      <c r="AC638" s="2" t="e">
        <f ca="1">_xll.BDH($C$628,"ASSET_GROWTH","FY 2016","FY 2016","Currency=INR","Period=FY","BEST_FPERIOD_OVERRIDE=FY","FILING_STATUS=OR","EQY_CONSOLIDATED=Y","Sort=A","Dates=H","DateFormat=P","Fill=—","Direction=H","UseDPDF=Y")</f>
        <v>#NAME?</v>
      </c>
      <c r="AD638" s="2" t="e">
        <f ca="1">_xll.BDH($C$628,"MODIFIED_WORK_CAP_GROWTH","FY 2016","FY 2016","Currency=INR","Period=FY","BEST_FPERIOD_OVERRIDE=FY","FILING_STATUS=OR","EQY_CONSOLIDATED=Y","Sort=A","Dates=H","DateFormat=P","Fill=—","Direction=H","UseDPDF=Y")</f>
        <v>#NAME?</v>
      </c>
      <c r="AE638" s="2" t="e">
        <f ca="1">_xll.BDH($C$628,"WORK_CAP_GROWTH","FY 2016","FY 2016","Currency=INR","Period=FY","BEST_FPERIOD_OVERRIDE=FY","FILING_STATUS=OR","EQY_CONSOLIDATED=Y","Sort=A","Dates=H","DateFormat=P","Fill=—","Direction=H","UseDPDF=Y")</f>
        <v>#NAME?</v>
      </c>
      <c r="AF638" s="2" t="e">
        <f ca="1">_xll.BDH($C$628,"ACCOUNTS_PAYABLE_GROWTH_1YR","FY 2016","FY 2016","Currency=INR","Period=FY","BEST_FPERIOD_OVERRIDE=FY","FILING_STATUS=OR","EQY_CONSOLIDATED=Y","Sort=A","Dates=H","DateFormat=P","Fill=—","Direction=H","UseDPDF=Y")</f>
        <v>#NAME?</v>
      </c>
      <c r="AG638" s="2" t="e">
        <f ca="1">_xll.BDH($C$628,"SHORT_TERM_DEBT_1_YEAR_GROWTH","FY 2016","FY 2016","Currency=INR","Period=FY","BEST_FPERIOD_OVERRIDE=FY","FILING_STATUS=OR","EQY_CONSOLIDATED=Y","Sort=A","Dates=H","DateFormat=P","Fill=—","Direction=H","UseDPDF=Y")</f>
        <v>#NAME?</v>
      </c>
      <c r="AH638" s="2" t="e">
        <f ca="1">_xll.BDH($C$628,"TOTAL_DEBT_1_YEAR_GROWTH","FY 2016","FY 2016","Currency=INR","Period=FY","BEST_FPERIOD_OVERRIDE=FY","FILING_STATUS=OR","EQY_CONSOLIDATED=Y","Sort=A","Dates=H","DateFormat=P","Fill=—","Direction=H","UseDPDF=Y")</f>
        <v>#NAME?</v>
      </c>
      <c r="AI638" s="2" t="e">
        <f ca="1">_xll.BDH($C$628,"TOTAL_EQUITY_1_YEAR_GROWTH","FY 2016","FY 2016","Currency=INR","Period=FY","BEST_FPERIOD_OVERRIDE=FY","FILING_STATUS=OR","EQY_CONSOLIDATED=Y","Sort=A","Dates=H","DateFormat=P","Fill=—","Direction=H","UseDPDF=Y")</f>
        <v>#NAME?</v>
      </c>
      <c r="AJ638" s="2" t="e">
        <f ca="1">_xll.BDH($C$628,"GROWTH_IN_CAP","FY 2016","FY 2016","Currency=INR","Period=FY","BEST_FPERIOD_OVERRIDE=FY","FILING_STATUS=OR","EQY_CONSOLIDATED=Y","Sort=A","Dates=H","DateFormat=P","Fill=—","Direction=H","UseDPDF=Y")</f>
        <v>#NAME?</v>
      </c>
      <c r="AK638" s="2" t="e">
        <f ca="1">_xll.BDH($C$628,"BVPS_GROWTH","FY 2016","FY 2016","Currency=INR","Period=FY","BEST_FPERIOD_OVERRIDE=FY","FILING_STATUS=OR","EQY_CONSOLIDATED=Y","Sort=A","Dates=H","DateFormat=P","Fill=—","Direction=H","UseDPDF=Y")</f>
        <v>#NAME?</v>
      </c>
      <c r="AL638" s="2" t="e">
        <f ca="1">_xll.BDH($C$628,"CASH_FLOW_GROWTH","FY 2016","FY 2016","Currency=INR","Period=FY","BEST_FPERIOD_OVERRIDE=FY","FILING_STATUS=OR","EQY_CONSOLIDATED=Y","Sort=A","Dates=H","DateFormat=P","Fill=—","Direction=H","UseDPDF=Y")</f>
        <v>#NAME?</v>
      </c>
      <c r="AM638" s="2" t="e">
        <f ca="1">_xll.BDH($C$628,"GEO_GROW_NET_SALES","FY 2016","FY 2016","Currency=INR","Period=FY","BEST_FPERIOD_OVERRIDE=FY","FILING_STATUS=OR","EQY_CONSOLIDATED=Y","FA_ADJUSTED=GAAP","Sort=A","Dates=H","DateFormat=P","Fill=—","Direction=H","UseDPDF=Y")</f>
        <v>#NAME?</v>
      </c>
      <c r="AN638" s="2" t="e">
        <f ca="1">_xll.BDH($C$628,"GEO_GROW_EBITDA","FY 2016","FY 2016","Currency=INR","Period=FY","BEST_FPERIOD_OVERRIDE=FY","FILING_STATUS=OR","EQY_CONSOLIDATED=Y","FA_ADJUSTED=GAAP","Sort=A","Dates=H","DateFormat=P","Fill=—","Direction=H","UseDPDF=Y")</f>
        <v>#NAME?</v>
      </c>
      <c r="AO638" s="2" t="e">
        <f ca="1">_xll.BDH($C$628,"GEO_GROW_OPER_INC","FY 2016","FY 2016","Currency=INR","Period=FY","BEST_FPERIOD_OVERRIDE=FY","FILING_STATUS=OR","EQY_CONSOLIDATED=Y","FA_ADJUSTED=GAAP","Sort=A","Dates=H","DateFormat=P","Fill=—","Direction=H","UseDPDF=Y")</f>
        <v>#NAME?</v>
      </c>
      <c r="AP638" s="2" t="e">
        <f ca="1">_xll.BDH($C$628,"NET_INCOME_TO_COMMON_5_YR_GROWTH","FY 2016","FY 2016","Currency=INR","Period=FY","BEST_FPERIOD_OVERRIDE=FY","FILING_STATUS=OR","EQY_CONSOLIDATED=Y","FA_ADJUSTED=GAAP","Sort=A","Dates=H","DateFormat=P","Fill=—","Direction=H","UseDPDF=Y")</f>
        <v>#NAME?</v>
      </c>
      <c r="AQ638" s="2" t="e">
        <f ca="1">_xll.BDH($C$628,"5Y_GEO_GROWTH_DILUTED_EPS","FY 2016","FY 2016","Currency=INR","Period=FY","BEST_FPERIOD_OVERRIDE=FY","FILING_STATUS=OR","EQY_CONSOLIDATED=Y","FA_ADJUSTED=GAAP","Sort=A","Dates=H","DateFormat=P","Fill=—","Direction=H","UseDPDF=Y")</f>
        <v>#NAME?</v>
      </c>
      <c r="AR638" s="2" t="e">
        <f ca="1">_xll.BDH($C$628,"GEO_GROW_DVD_PER_SH","FY 2016","FY 2016","Currency=INR","Period=FY","BEST_FPERIOD_OVERRIDE=FY","FILING_STATUS=OR","EQY_CONSOLIDATED=Y","Sort=A","Dates=H","DateFormat=P","Fill=—","Direction=H","UseDPDF=Y")</f>
        <v>#NAME?</v>
      </c>
      <c r="AS638" s="2" t="e">
        <f ca="1">_xll.BDH($C$628,"ACCOUNTS_RECEIVABLE_5_YR_GROWTH","FY 2016","FY 2016","Currency=INR","Period=FY","BEST_FPERIOD_OVERRIDE=FY","FILING_STATUS=OR","EQY_CONSOLIDATED=Y","Sort=A","Dates=H","DateFormat=P","Fill=—","Direction=H","UseDPDF=Y")</f>
        <v>#NAME?</v>
      </c>
      <c r="AT638" s="2" t="e">
        <f ca="1">_xll.BDH($C$628,"INVENTORY_5_YEAR_GROWTH","FY 2016","FY 2016","Currency=INR","Period=FY","BEST_FPERIOD_OVERRIDE=FY","FILING_STATUS=OR","EQY_CONSOLIDATED=Y","Sort=A","Dates=H","DateFormat=P","Fill=—","Direction=H","UseDPDF=Y")</f>
        <v>#NAME?</v>
      </c>
      <c r="AU638" s="2" t="e">
        <f ca="1">_xll.BDH($C$628,"NET_FIXED_ASSETS_5_YEAR_GROWTH","FY 2016","FY 2016","Currency=INR","Period=FY","BEST_FPERIOD_OVERRIDE=FY","FILING_STATUS=OR","EQY_CONSOLIDATED=Y","Sort=A","Dates=H","DateFormat=P","Fill=—","Direction=H","UseDPDF=Y")</f>
        <v>#NAME?</v>
      </c>
      <c r="AV638" s="2" t="e">
        <f ca="1">_xll.BDH($C$628,"GEO_GROW_TOT_ASSET","FY 2016","FY 2016","Currency=INR","Period=FY","BEST_FPERIOD_OVERRIDE=FY","FILING_STATUS=OR","EQY_CONSOLIDATED=Y","Sort=A","Dates=H","DateFormat=P","Fill=—","Direction=H","UseDPDF=Y")</f>
        <v>#NAME?</v>
      </c>
      <c r="AW638" s="2" t="e">
        <f ca="1">_xll.BDH($C$628,"MODIFIED_WORKING_CPTL_5YR_GRWTH","FY 2016","FY 2016","Currency=INR","Period=FY","BEST_FPERIOD_OVERRIDE=FY","FILING_STATUS=OR","EQY_CONSOLIDATED=Y","Sort=A","Dates=H","DateFormat=P","Fill=—","Direction=H","UseDPDF=Y")</f>
        <v>#NAME?</v>
      </c>
      <c r="AX638" s="2" t="e">
        <f ca="1">_xll.BDH($C$628,"WORKING_CAPITAL_5_YEAR_GROWTH","FY 2016","FY 2016","Currency=INR","Period=FY","BEST_FPERIOD_OVERRIDE=FY","FILING_STATUS=OR","EQY_CONSOLIDATED=Y","Sort=A","Dates=H","DateFormat=P","Fill=—","Direction=H","UseDPDF=Y")</f>
        <v>#NAME?</v>
      </c>
      <c r="AY638" s="2" t="e">
        <f ca="1">_xll.BDH($C$628,"ACCOUNTS_PAYABLE_5_YEAR_GROWTH","FY 2016","FY 2016","Currency=INR","Period=FY","BEST_FPERIOD_OVERRIDE=FY","FILING_STATUS=OR","EQY_CONSOLIDATED=Y","Sort=A","Dates=H","DateFormat=P","Fill=—","Direction=H","UseDPDF=Y")</f>
        <v>#NAME?</v>
      </c>
      <c r="AZ638" s="2" t="e">
        <f ca="1">_xll.BDH($C$628,"SHORT_TERM_DEBT_5_YEAR_GROWTH","FY 2016","FY 2016","Currency=INR","Period=FY","BEST_FPERIOD_OVERRIDE=FY","FILING_STATUS=OR","EQY_CONSOLIDATED=Y","Sort=A","Dates=H","DateFormat=P","Fill=—","Direction=H","UseDPDF=Y")</f>
        <v>#NAME?</v>
      </c>
      <c r="BA638" s="2" t="e">
        <f ca="1">_xll.BDH($C$628,"TOTAL_DEBT_5_YEAR_GROWTH","FY 2016","FY 2016","Currency=INR","Period=FY","BEST_FPERIOD_OVERRIDE=FY","FILING_STATUS=OR","EQY_CONSOLIDATED=Y","Sort=A","Dates=H","DateFormat=P","Fill=—","Direction=H","UseDPDF=Y")</f>
        <v>#NAME?</v>
      </c>
      <c r="BB638" s="2" t="e">
        <f ca="1">_xll.BDH($C$628,"GEO_GROW_TOT_SHRHLDR_EQY","FY 2016","FY 2016","Currency=INR","Period=FY","BEST_FPERIOD_OVERRIDE=FY","FILING_STATUS=OR","EQY_CONSOLIDATED=Y","Sort=A","Dates=H","DateFormat=P","Fill=—","Direction=H","UseDPDF=Y")</f>
        <v>#NAME?</v>
      </c>
      <c r="BC638" s="2" t="e">
        <f ca="1">_xll.BDH($C$628,"TOTAL_CAPITAL_5_YEAR_GROWTH","FY 2016","FY 2016","Currency=INR","Period=FY","BEST_FPERIOD_OVERRIDE=FY","FILING_STATUS=OR","EQY_CONSOLIDATED=Y","Sort=A","Dates=H","DateFormat=P","Fill=—","Direction=H","UseDPDF=Y")</f>
        <v>#NAME?</v>
      </c>
      <c r="BD638" s="2" t="e">
        <f ca="1">_xll.BDH($C$628,"GEO_GROW_BOOK_VAL","FY 2016","FY 2016","Currency=INR","Period=FY","BEST_FPERIOD_OVERRIDE=FY","FILING_STATUS=OR","EQY_CONSOLIDATED=Y","Sort=A","Dates=H","DateFormat=P","Fill=—","Direction=H","UseDPDF=Y")</f>
        <v>#NAME?</v>
      </c>
      <c r="BE638" s="2" t="e">
        <f ca="1">_xll.BDH($C$628,"GEO_GROW_CASH_OPER_ACT","FY 2016","FY 2016","Currency=INR","Period=FY","BEST_FPERIOD_OVERRIDE=FY","FILING_STATUS=OR","EQY_CONSOLIDATED=Y","Sort=A","Dates=H","DateFormat=P","Fill=—","Direction=H","UseDPDF=Y")</f>
        <v>#NAME?</v>
      </c>
      <c r="BF638" s="2" t="e">
        <f ca="1">_xll.BDH($C$628,"REVENUE_SEQUENTIAL_GROWTH","FY 2016","FY 2016","Currency=INR","Period=FY","BEST_FPERIOD_OVERRIDE=FY","FILING_STATUS=OR","EQY_CONSOLIDATED=Y","FA_ADJUSTED=GAAP","Sort=A","Dates=H","DateFormat=P","Fill=—","Direction=H","UseDPDF=Y")</f>
        <v>#NAME?</v>
      </c>
      <c r="BG638" s="2" t="e">
        <f ca="1">_xll.BDH($C$628,"EBITDA_SEQUENTIAL_GROWTH","FY 2016","FY 2016","Currency=INR","Period=FY","BEST_FPERIOD_OVERRIDE=FY","FILING_STATUS=OR","EQY_CONSOLIDATED=Y","FA_ADJUSTED=GAAP","Sort=A","Dates=H","DateFormat=P","Fill=—","Direction=H","UseDPDF=Y")</f>
        <v>#NAME?</v>
      </c>
      <c r="BH638" s="2" t="e">
        <f ca="1">_xll.BDH($C$628,"OPERATING_INCOME_SEQ_GROWTH","FY 2016","FY 2016","Currency=INR","Period=FY","BEST_FPERIOD_OVERRIDE=FY","FILING_STATUS=OR","EQY_CONSOLIDATED=Y","FA_ADJUSTED=GAAP","Sort=A","Dates=H","DateFormat=P","Fill=—","Direction=H","UseDPDF=Y")</f>
        <v>#NAME?</v>
      </c>
      <c r="BI638" s="2" t="e">
        <f ca="1">_xll.BDH($C$628,"NET_INCOME_TO_COMMON_SEQ_GROWTH","FY 2016","FY 2016","Currency=INR","Period=FY","BEST_FPERIOD_OVERRIDE=FY","FILING_STATUS=OR","EQY_CONSOLIDATED=Y","FA_ADJUSTED=GAAP","Sort=A","Dates=H","DateFormat=P","Fill=—","Direction=H","UseDPDF=Y")</f>
        <v>#NAME?</v>
      </c>
      <c r="BJ638" s="2" t="e">
        <f ca="1">_xll.BDH($C$628,"EPS_DILUTED_SEQUENTIAL_GROWTH","FY 2016","FY 2016","Currency=INR","Period=FY","BEST_FPERIOD_OVERRIDE=FY","FILING_STATUS=OR","EQY_CONSOLIDATED=Y","FA_ADJUSTED=GAAP","Sort=A","Dates=H","DateFormat=P","Fill=—","Direction=H","UseDPDF=Y")</f>
        <v>#NAME?</v>
      </c>
      <c r="BK638" s="2" t="e">
        <f ca="1">_xll.BDH($C$628,"DPS_SEQUENTIAL_GROWTH","FY 2016","FY 2016","Currency=INR","Period=FY","BEST_FPERIOD_OVERRIDE=FY","FILING_STATUS=OR","EQY_CONSOLIDATED=Y","Sort=A","Dates=H","DateFormat=P","Fill=—","Direction=H","UseDPDF=Y")</f>
        <v>#NAME?</v>
      </c>
      <c r="BL638" s="2" t="e">
        <f ca="1">_xll.BDH($C$628,"ACCOUNTS_RECEIVABLE_SEQ_GROWTH","FY 2016","FY 2016","Currency=INR","Period=FY","BEST_FPERIOD_OVERRIDE=FY","FILING_STATUS=OR","EQY_CONSOLIDATED=Y","Sort=A","Dates=H","DateFormat=P","Fill=—","Direction=H","UseDPDF=Y")</f>
        <v>#NAME?</v>
      </c>
      <c r="BM638" s="2" t="e">
        <f ca="1">_xll.BDH($C$628,"INVENTORY_SEQUENTIAL_GROWTH","FY 2016","FY 2016","Currency=INR","Period=FY","BEST_FPERIOD_OVERRIDE=FY","FILING_STATUS=OR","EQY_CONSOLIDATED=Y","Sort=A","Dates=H","DateFormat=P","Fill=—","Direction=H","UseDPDF=Y")</f>
        <v>#NAME?</v>
      </c>
      <c r="BN638" s="2" t="e">
        <f ca="1">_xll.BDH($C$628,"FIXED_ASSETS_SEQUENTIAL_GROWTH","FY 2016","FY 2016","Currency=INR","Period=FY","BEST_FPERIOD_OVERRIDE=FY","FILING_STATUS=OR","EQY_CONSOLIDATED=Y","Sort=A","Dates=H","DateFormat=P","Fill=—","Direction=H","UseDPDF=Y")</f>
        <v>#NAME?</v>
      </c>
      <c r="BO638" s="2" t="e">
        <f ca="1">_xll.BDH($C$628,"TOTAL_ASSETS_SEQUENTIAL_GROWTH","FY 2016","FY 2016","Currency=INR","Period=FY","BEST_FPERIOD_OVERRIDE=FY","FILING_STATUS=OR","EQY_CONSOLIDATED=Y","Sort=A","Dates=H","DateFormat=P","Fill=—","Direction=H","UseDPDF=Y")</f>
        <v>#NAME?</v>
      </c>
      <c r="BP638" s="2" t="e">
        <f ca="1">_xll.BDH($C$628,"MODIFIED_WORKING_CPTL_SEQ_GRWTH","FY 2016","FY 2016","Currency=INR","Period=FY","BEST_FPERIOD_OVERRIDE=FY","FILING_STATUS=OR","EQY_CONSOLIDATED=Y","Sort=A","Dates=H","DateFormat=P","Fill=—","Direction=H","UseDPDF=Y")</f>
        <v>#NAME?</v>
      </c>
      <c r="BQ638" s="2" t="e">
        <f ca="1">_xll.BDH($C$628,"WORKING_CAPITAL_SEQ_GROWTH","FY 2016","FY 2016","Currency=INR","Period=FY","BEST_FPERIOD_OVERRIDE=FY","FILING_STATUS=OR","EQY_CONSOLIDATED=Y","Sort=A","Dates=H","DateFormat=P","Fill=—","Direction=H","UseDPDF=Y")</f>
        <v>#NAME?</v>
      </c>
      <c r="BR638" s="2" t="e">
        <f ca="1">_xll.BDH($C$628,"ACCOUNTS_PAYABLE_SEQ_GROWTH","FY 2016","FY 2016","Currency=INR","Period=FY","BEST_FPERIOD_OVERRIDE=FY","FILING_STATUS=OR","EQY_CONSOLIDATED=Y","Sort=A","Dates=H","DateFormat=P","Fill=—","Direction=H","UseDPDF=Y")</f>
        <v>#NAME?</v>
      </c>
      <c r="BS638" s="2" t="e">
        <f ca="1">_xll.BDH($C$628,"ST_DEBT_SEQUENTIAL_GROWTH","FY 2016","FY 2016","Currency=INR","Period=FY","BEST_FPERIOD_OVERRIDE=FY","FILING_STATUS=OR","EQY_CONSOLIDATED=Y","Sort=A","Dates=H","DateFormat=P","Fill=—","Direction=H","UseDPDF=Y")</f>
        <v>#NAME?</v>
      </c>
      <c r="BT638" s="2" t="e">
        <f ca="1">_xll.BDH($C$628,"TOTAL_DEBT_SEQUENTIAL_GROWTH","FY 2016","FY 2016","Currency=INR","Period=FY","BEST_FPERIOD_OVERRIDE=FY","FILING_STATUS=OR","EQY_CONSOLIDATED=Y","Sort=A","Dates=H","DateFormat=P","Fill=—","Direction=H","UseDPDF=Y")</f>
        <v>#NAME?</v>
      </c>
      <c r="BU638" s="2" t="e">
        <f ca="1">_xll.BDH($C$628,"TOTAL_EQUITY_SEQUENTIAL_GROWTH","FY 2016","FY 2016","Currency=INR","Period=FY","BEST_FPERIOD_OVERRIDE=FY","FILING_STATUS=OR","EQY_CONSOLIDATED=Y","Sort=A","Dates=H","DateFormat=P","Fill=—","Direction=H","UseDPDF=Y")</f>
        <v>#NAME?</v>
      </c>
      <c r="BV638" s="2" t="e">
        <f ca="1">_xll.BDH($C$628,"TOTAL_CAPITAL_SEQUENTIAL_GROWTH","FY 2016","FY 2016","Currency=INR","Period=FY","BEST_FPERIOD_OVERRIDE=FY","FILING_STATUS=OR","EQY_CONSOLIDATED=Y","Sort=A","Dates=H","DateFormat=P","Fill=—","Direction=H","UseDPDF=Y")</f>
        <v>#NAME?</v>
      </c>
      <c r="BW638" s="2" t="e">
        <f ca="1">_xll.BDH($C$628,"BPS_SEQUENTIAL_GROWTH","FY 2016","FY 2016","Currency=INR","Period=FY","BEST_FPERIOD_OVERRIDE=FY","FILING_STATUS=OR","EQY_CONSOLIDATED=Y","Sort=A","Dates=H","DateFormat=P","Fill=—","Direction=H","UseDPDF=Y")</f>
        <v>#NAME?</v>
      </c>
      <c r="BX638" s="2" t="e">
        <f ca="1">_xll.BDH($C$628,"CFO_SEQUENTIAL_GROWTH","FY 2016","FY 2016","Currency=INR","Period=FY","BEST_FPERIOD_OVERRIDE=FY","FILING_STATUS=OR","EQY_CONSOLIDATED=Y","Sort=A","Dates=H","DateFormat=P","Fill=—","Direction=H","UseDPDF=Y")</f>
        <v>#NAME?</v>
      </c>
      <c r="BY638" s="3" t="e">
        <f ca="1">_xll.BDH($C$628,"SHORT_AND_LONG_TERM_DEBT","FY 2016","FY 2016","Currency=INR","Period=FY","BEST_FPERIOD_OVERRIDE=FY","FILING_STATUS=OR","EQY_CONSOLIDATED=Y","SCALING_FORMAT=MLN","Sort=A","Dates=H","DateFormat=P","Fill=—","Direction=H","UseDPDF=Y")</f>
        <v>#NAME?</v>
      </c>
      <c r="BZ638" s="3" t="e">
        <f ca="1">_xll.BDH($C$628,"BS_ST_BORROW","FY 2016","FY 2016","Currency=INR","Period=FY","BEST_FPERIOD_OVERRIDE=FY","FILING_STATUS=OR","EQY_CONSOLIDATED=Y","SCALING_FORMAT=MLN","Sort=A","Dates=H","DateFormat=P","Fill=—","Direction=H","UseDPDF=Y")</f>
        <v>#NAME?</v>
      </c>
      <c r="CA638" s="3" t="e">
        <f ca="1">_xll.BDH($C$628,"BS_LT_BORROW","FY 2016","FY 2016","Currency=INR","Period=FY","BEST_FPERIOD_OVERRIDE=FY","FILING_STATUS=OR","EQY_CONSOLIDATED=Y","SCALING_FORMAT=MLN","Sort=A","Dates=H","DateFormat=P","Fill=—","Direction=H","UseDPDF=Y")</f>
        <v>#NAME?</v>
      </c>
      <c r="CB638" s="2" t="e">
        <f ca="1">_xll.BDH($C$628,"TOT_DEBT_TO_EBITDA","FY 2016","FY 2016","Currency=INR","Period=FY","BEST_FPERIOD_OVERRIDE=FY","FILING_STATUS=OR","EQY_CONSOLIDATED=Y","FA_ADJUSTED=GAAP","Sort=A","Dates=H","DateFormat=P","Fill=—","Direction=H","UseDPDF=Y")</f>
        <v>#NAME?</v>
      </c>
      <c r="CC638" s="2" t="e">
        <f ca="1">_xll.BDH($C$628,"NET_DEBT_TO_EBITDA","FY 2016","FY 2016","Currency=INR","Period=FY","BEST_FPERIOD_OVERRIDE=FY","FILING_STATUS=OR","EQY_CONSOLIDATED=Y","FA_ADJUSTED=GAAP","Sort=A","Dates=H","DateFormat=P","Fill=—","Direction=H","UseDPDF=Y")</f>
        <v>#NAME?</v>
      </c>
      <c r="CD638" s="2" t="e">
        <f ca="1">_xll.BDH($C$628,"TOTAL_DEBT_TO_EBIT","FY 2016","FY 2016","Currency=INR","Period=FY","BEST_FPERIOD_OVERRIDE=FY","FILING_STATUS=OR","EQY_CONSOLIDATED=Y","FA_ADJUSTED=GAAP","Sort=A","Dates=H","DateFormat=P","Fill=—","Direction=H","UseDPDF=Y")</f>
        <v>#NAME?</v>
      </c>
      <c r="CE638" s="2" t="e">
        <f ca="1">_xll.BDH($C$628,"NET_DEBT_TO_EBIT","FY 2016","FY 2016","Currency=INR","Period=FY","BEST_FPERIOD_OVERRIDE=FY","FILING_STATUS=OR","EQY_CONSOLIDATED=Y","FA_ADJUSTED=GAAP","Sort=A","Dates=H","DateFormat=P","Fill=—","Direction=H","UseDPDF=Y")</f>
        <v>#NAME?</v>
      </c>
      <c r="CF638" s="2" t="e">
        <f ca="1">_xll.BDH($C$628,"EBITDA_TO_INTEREST_EXPN","FY 2016","FY 2016","Currency=INR","Period=FY","BEST_FPERIOD_OVERRIDE=FY","FILING_STATUS=OR","EQY_CONSOLIDATED=Y","FA_ADJUSTED=GAAP","Sort=A","Dates=H","DateFormat=P","Fill=—","Direction=H","UseDPDF=Y")</f>
        <v>#NAME?</v>
      </c>
      <c r="CG638" s="2" t="e">
        <f ca="1">_xll.BDH($C$628,"COM_EQY_TO_TOT_ASSET","FY 2016","FY 2016","Currency=INR","Period=FY","BEST_FPERIOD_OVERRIDE=FY","FILING_STATUS=OR","EQY_CONSOLIDATED=Y","Sort=A","Dates=H","DateFormat=P","Fill=—","Direction=H","UseDPDF=Y")</f>
        <v>#NAME?</v>
      </c>
      <c r="CH638" s="2" t="e">
        <f ca="1">_xll.BDH($C$628,"LT_DEBT_TO_TOT_EQY","FY 2016","FY 2016","Currency=INR","Period=FY","BEST_FPERIOD_OVERRIDE=FY","FILING_STATUS=OR","EQY_CONSOLIDATED=Y","Sort=A","Dates=H","DateFormat=P","Fill=—","Direction=H","UseDPDF=Y")</f>
        <v>#NAME?</v>
      </c>
      <c r="CI638" s="2" t="e">
        <f ca="1">_xll.BDH($C$628,"LT_DEBT_TO_TOT_CAP","FY 2016","FY 2016","Currency=INR","Period=FY","BEST_FPERIOD_OVERRIDE=FY","FILING_STATUS=OR","EQY_CONSOLIDATED=Y","Sort=A","Dates=H","DateFormat=P","Fill=—","Direction=H","UseDPDF=Y")</f>
        <v>#NAME?</v>
      </c>
      <c r="CJ638" s="2" t="e">
        <f ca="1">_xll.BDH($C$628,"LT_DEBT_TO_TOT_ASSET","FY 2016","FY 2016","Currency=INR","Period=FY","BEST_FPERIOD_OVERRIDE=FY","FILING_STATUS=OR","EQY_CONSOLIDATED=Y","Sort=A","Dates=H","DateFormat=P","Fill=—","Direction=H","UseDPDF=Y")</f>
        <v>#NAME?</v>
      </c>
      <c r="CK638" s="2" t="e">
        <f ca="1">_xll.BDH($C$628,"TOT_DEBT_TO_TOT_EQY","FY 2016","FY 2016","Currency=INR","Period=FY","BEST_FPERIOD_OVERRIDE=FY","FILING_STATUS=OR","EQY_CONSOLIDATED=Y","Sort=A","Dates=H","DateFormat=P","Fill=—","Direction=H","UseDPDF=Y")</f>
        <v>#NAME?</v>
      </c>
      <c r="CL638" s="2" t="e">
        <f ca="1">_xll.BDH($C$628,"TOT_DEBT_TO_TOT_CAP","FY 2016","FY 2016","Currency=INR","Period=FY","BEST_FPERIOD_OVERRIDE=FY","FILING_STATUS=OR","EQY_CONSOLIDATED=Y","Sort=A","Dates=H","DateFormat=P","Fill=—","Direction=H","UseDPDF=Y")</f>
        <v>#NAME?</v>
      </c>
      <c r="CM638" s="2" t="e">
        <f ca="1">_xll.BDH($C$628,"TOT_DEBT_TO_TOT_ASSET","FY 2016","FY 2016","Currency=INR","Period=FY","BEST_FPERIOD_OVERRIDE=FY","FILING_STATUS=OR","EQY_CONSOLIDATED=Y","Sort=A","Dates=H","DateFormat=P","Fill=—","Direction=H","UseDPDF=Y")</f>
        <v>#NAME?</v>
      </c>
      <c r="CN638" s="2" t="e">
        <f ca="1">_xll.BDH($C$628,"NET_DEBT_TO_SHRHLDR_EQTY","FY 2016","FY 2016","Currency=INR","Period=FY","BEST_FPERIOD_OVERRIDE=FY","FILING_STATUS=OR","EQY_CONSOLIDATED=Y","Sort=A","Dates=H","DateFormat=P","Fill=—","Direction=H","UseDPDF=Y")</f>
        <v>#NAME?</v>
      </c>
      <c r="CO638" s="2" t="e">
        <f ca="1">_xll.BDH($C$628,"NET_DEBT_%_CAPITAL","FY 2016","FY 2016","Currency=INR","Period=FY","BEST_FPERIOD_OVERRIDE=FY","FILING_STATUS=OR","EQY_CONSOLIDATED=Y","Sort=A","Dates=H","DateFormat=P","Fill=—","Direction=H","UseDPDF=Y")</f>
        <v>#NAME?</v>
      </c>
      <c r="CP638" s="3" t="e">
        <f ca="1">_xll.BDH($C$628,"EBITDA","FY 2016","FY 2016","Currency=INR","Period=FY","BEST_FPERIOD_OVERRIDE=FY","FILING_STATUS=OR","EQY_CONSOLIDATED=Y","SCALING_FORMAT=MLN","FA_ADJUSTED=GAAP","Sort=A","Dates=H","DateFormat=P","Fill=—","Direction=H","UseDPDF=Y")</f>
        <v>#NAME?</v>
      </c>
      <c r="CQ638" s="3" t="e">
        <f ca="1">_xll.BDH($C$628,"EBITDA_AFTER_CAPEX","FY 2016","FY 2016","Currency=INR","Period=FY","BEST_FPERIOD_OVERRIDE=FY","FILING_STATUS=OR","EQY_CONSOLIDATED=Y","SCALING_FORMAT=MLN","FA_ADJUSTED=GAAP","Sort=A","Dates=H","DateFormat=P","Fill=—","Direction=H","UseDPDF=Y")</f>
        <v>#NAME?</v>
      </c>
      <c r="CR638" s="3" t="e">
        <f ca="1">_xll.BDH($C$628,"IS_OPER_INC","FY 2016","FY 2016","Currency=INR","Period=FY","BEST_FPERIOD_OVERRIDE=FY","FILING_STATUS=OR","EQY_CONSOLIDATED=Y","SCALING_FORMAT=MLN","FA_ADJUSTED=GAAP","Sort=A","Dates=H","DateFormat=P","Fill=—","Direction=H","UseDPDF=Y")</f>
        <v>#NAME?</v>
      </c>
      <c r="CS638" s="2" t="e">
        <f ca="1">_xll.BDH($C$628,"CASH_RATIO","FY 2016","FY 2016","Currency=INR","Period=FY","BEST_FPERIOD_OVERRIDE=FY","FILING_STATUS=OR","EQY_CONSOLIDATED=Y","Sort=A","Dates=H","DateFormat=P","Fill=—","Direction=H","UseDPDF=Y")</f>
        <v>#NAME?</v>
      </c>
      <c r="CT638" s="2" t="e">
        <f ca="1">_xll.BDH($C$628,"CUR_RATIO","FY 2016","FY 2016","Currency=INR","Period=FY","BEST_FPERIOD_OVERRIDE=FY","FILING_STATUS=OR","EQY_CONSOLIDATED=Y","Sort=A","Dates=H","DateFormat=P","Fill=—","Direction=H","UseDPDF=Y")</f>
        <v>#NAME?</v>
      </c>
      <c r="CU638" s="2" t="e">
        <f ca="1">_xll.BDH($C$628,"QUICK_RATIO","FY 2016","FY 2016","Currency=INR","Period=FY","BEST_FPERIOD_OVERRIDE=FY","FILING_STATUS=OR","EQY_CONSOLIDATED=Y","Sort=A","Dates=H","DateFormat=P","Fill=—","Direction=H","UseDPDF=Y")</f>
        <v>#NAME?</v>
      </c>
      <c r="CV638" s="2" t="e">
        <f ca="1">_xll.BDH($C$628,"ALTMAN_Z_SCORE","FY 2016","FY 2016","Currency=INR","Period=FY","BEST_FPERIOD_OVERRIDE=FY","FILING_STATUS=OR","EQY_CONSOLIDATED=Y","Sort=A","Dates=H","DateFormat=P","Fill=—","Direction=H","UseDPDF=Y")</f>
        <v>#NAME?</v>
      </c>
      <c r="CW638" s="4" t="e">
        <f ca="1">_xll.BDH($C$628,"ACCT_RCV_TURN","FY 2016","FY 2016","Currency=INR","Period=FY","BEST_FPERIOD_OVERRIDE=FY","FILING_STATUS=OR","EQY_CONSOLIDATED=Y","FA_ADJUSTED=GAAP","Sort=A","Dates=H","DateFormat=P","Fill=—","Direction=H","UseDPDF=Y")</f>
        <v>#NAME?</v>
      </c>
      <c r="CX638" s="2" t="e">
        <f ca="1">_xll.BDH($C$628,"ACCT_RCV_DAYS","FY 2016","FY 2016","Currency=INR","Period=FY","BEST_FPERIOD_OVERRIDE=FY","FILING_STATUS=OR","EQY_CONSOLIDATED=Y","FA_ADJUSTED=GAAP","Sort=A","Dates=H","DateFormat=P","Fill=—","Direction=H","UseDPDF=Y")</f>
        <v>#NAME?</v>
      </c>
      <c r="CY638" s="4" t="e">
        <f ca="1">_xll.BDH($C$628,"INVENT_TURN","FY 2016","FY 2016","Currency=INR","Period=FY","BEST_FPERIOD_OVERRIDE=FY","FILING_STATUS=OR","EQY_CONSOLIDATED=Y","FA_ADJUSTED=GAAP","Sort=A","Dates=H","DateFormat=P","Fill=—","Direction=H","UseDPDF=Y")</f>
        <v>#NAME?</v>
      </c>
      <c r="CZ638" s="2" t="e">
        <f ca="1">_xll.BDH($C$628,"INVENT_DAYS","FY 2016","FY 2016","Currency=INR","Period=FY","BEST_FPERIOD_OVERRIDE=FY","FILING_STATUS=OR","EQY_CONSOLIDATED=Y","FA_ADJUSTED=GAAP","Sort=A","Dates=H","DateFormat=P","Fill=—","Direction=H","UseDPDF=Y")</f>
        <v>#NAME?</v>
      </c>
      <c r="DA638" s="4" t="e">
        <f ca="1">_xll.BDH($C$628,"ACCOUNTS_PAYABLE_TURNOVER","FY 2016","FY 2016","Currency=INR","Period=FY","BEST_FPERIOD_OVERRIDE=FY","FILING_STATUS=OR","EQY_CONSOLIDATED=Y","FA_ADJUSTED=GAAP","Sort=A","Dates=H","DateFormat=P","Fill=—","Direction=H","UseDPDF=Y")</f>
        <v>#NAME?</v>
      </c>
      <c r="DB638" s="2" t="e">
        <f ca="1">_xll.BDH($C$628,"ACCOUNTS_PAYABLE_TURNOVER_DAYS","FY 2016","FY 2016","Currency=INR","Period=FY","BEST_FPERIOD_OVERRIDE=FY","FILING_STATUS=OR","EQY_CONSOLIDATED=Y","FA_ADJUSTED=GAAP","Sort=A","Dates=H","DateFormat=P","Fill=—","Direction=H","UseDPDF=Y")</f>
        <v>#NAME?</v>
      </c>
      <c r="DC638" s="4" t="e">
        <f ca="1">_xll.BDH($C$628,"CASH_CONVERSION_CYCLE","FY 2016","FY 2016","Currency=INR","Period=FY","BEST_FPERIOD_OVERRIDE=FY","FILING_STATUS=OR","EQY_CONSOLIDATED=Y","FA_ADJUSTED=GAAP","Sort=A","Dates=H","DateFormat=P","Fill=—","Direction=H","UseDPDF=Y")</f>
        <v>#NAME?</v>
      </c>
      <c r="DD638" s="4" t="e">
        <f ca="1">_xll.BDH($C$628,"INV_TO_CASH_DAYS","FY 2016","FY 2016","Currency=INR","Period=FY","BEST_FPERIOD_OVERRIDE=FY","FILING_STATUS=OR","EQY_CONSOLIDATED=Y","FA_ADJUSTED=GAAP","Sort=A","Dates=H","DateFormat=P","Fill=—","Direction=H","UseDPDF=Y")</f>
        <v>#NAME?</v>
      </c>
      <c r="DE638" s="5" t="e">
        <f ca="1">_xll.BDH($C$628,"BS_INVENTORIES","FY 2016","FY 2016","Currency=INR","Period=FY","BEST_FPERIOD_OVERRIDE=FY","FILING_STATUS=OR","EQY_CONSOLIDATED=Y","SCALING_FORMAT=MLN","Sort=A","Dates=H","DateFormat=P","Fill=—","Direction=H","UseDPDF=Y")</f>
        <v>#NAME?</v>
      </c>
      <c r="DF638" s="3" t="e">
        <f ca="1">_xll.BDH($C$628,"INVTRY_RAW_MATERIALS","FY 2016","FY 2016","Currency=INR","Period=FY","BEST_FPERIOD_OVERRIDE=FY","FILING_STATUS=OR","EQY_CONSOLIDATED=Y","SCALING_FORMAT=MLN","Sort=A","Dates=H","DateFormat=P","Fill=—","Direction=H","UseDPDF=Y")</f>
        <v>#NAME?</v>
      </c>
      <c r="DG638" s="3" t="e">
        <f ca="1">_xll.BDH($C$628,"INVTRY_IN_PROGRESS","FY 2016","FY 2016","Currency=INR","Period=FY","BEST_FPERIOD_OVERRIDE=FY","FILING_STATUS=OR","EQY_CONSOLIDATED=Y","SCALING_FORMAT=MLN","Sort=A","Dates=H","DateFormat=P","Fill=—","Direction=H","UseDPDF=Y")</f>
        <v>#NAME?</v>
      </c>
      <c r="DH638" s="3" t="e">
        <f ca="1">_xll.BDH($C$628,"INVTRY_FINISHED_GOODS","FY 2016","FY 2016","Currency=INR","Period=FY","BEST_FPERIOD_OVERRIDE=FY","FILING_STATUS=OR","EQY_CONSOLIDATED=Y","SCALING_FORMAT=MLN","Sort=A","Dates=H","DateFormat=P","Fill=—","Direction=H","UseDPDF=Y")</f>
        <v>#NAME?</v>
      </c>
      <c r="DI638" s="3" t="e">
        <f ca="1">_xll.BDH($C$628,"BS_OTHER_INV","FY 2016","FY 2016","Currency=INR","Period=FY","BEST_FPERIOD_OVERRIDE=FY","FILING_STATUS=OR","EQY_CONSOLIDATED=Y","SCALING_FORMAT=MLN","Sort=A","Dates=H","DateFormat=P","Fill=—","Direction=H","UseDPDF=Y")</f>
        <v>#NAME?</v>
      </c>
    </row>
    <row r="639" spans="1:113" x14ac:dyDescent="0.3">
      <c r="A639" s="6"/>
      <c r="B639" s="6"/>
      <c r="C639" s="6"/>
      <c r="D639" s="6"/>
      <c r="E639" t="s">
        <v>78</v>
      </c>
      <c r="F639" t="e">
        <f ca="1">_xll.BDH($C$628,"RETURN_COM_EQY","FQ1 2016","FQ1 2016","Currency=INR","Period=FQ","BEST_FPERIOD_OVERRIDE=FQ","FILING_STATUS=OR","EQY_CONSOLIDATED=Y","FA_ADJUSTED=GAAP","Sort=A","Dates=H","DateFormat=P","Fill=—","Direction=H","UseDPDF=Y")</f>
        <v>#NAME?</v>
      </c>
      <c r="G639" t="e">
        <f ca="1">_xll.BDH($C$628,"RETURN_ON_ASSET","FQ1 2016","FQ1 2016","Currency=INR","Period=FQ","BEST_FPERIOD_OVERRIDE=FQ","FILING_STATUS=OR","EQY_CONSOLIDATED=Y","FA_ADJUSTED=GAAP","Sort=A","Dates=H","DateFormat=P","Fill=—","Direction=H","UseDPDF=Y")</f>
        <v>#NAME?</v>
      </c>
      <c r="H639" t="e">
        <f ca="1">_xll.BDH($C$628,"RETURN_ON_CAP","FQ1 2016","FQ1 2016","Currency=INR","Period=FQ","BEST_FPERIOD_OVERRIDE=FQ","FILING_STATUS=OR","EQY_CONSOLIDATED=Y","FA_ADJUSTED=GAAP","Sort=A","Dates=H","DateFormat=P","Fill=—","Direction=H","UseDPDF=Y")</f>
        <v>#NAME?</v>
      </c>
      <c r="I639" t="e">
        <f ca="1">_xll.BDH($C$628,"RETURN_ON_INV_CAPITAL","FQ1 2016","FQ1 2016","Currency=INR","Period=FQ","BEST_FPERIOD_OVERRIDE=FQ","FILING_STATUS=OR","EQY_CONSOLIDATED=Y","FA_ADJUSTED=GAAP","Sort=A","Dates=H","DateFormat=P","Fill=—","Direction=H","UseDPDF=Y")</f>
        <v>#NAME?</v>
      </c>
      <c r="J639" t="e">
        <f ca="1">_xll.BDH($C$628,"EBITDA_TO_REVENUE","FQ1 2016","FQ1 2016","Currency=INR","Period=FQ","BEST_FPERIOD_OVERRIDE=FQ","FILING_STATUS=OR","EQY_CONSOLIDATED=Y","FA_ADJUSTED=GAAP","Sort=A","Dates=H","DateFormat=P","Fill=—","Direction=H","UseDPDF=Y")</f>
        <v>#NAME?</v>
      </c>
      <c r="K639" t="e">
        <f ca="1">_xll.BDH($C$628,"OPER_MARGIN","FQ1 2016","FQ1 2016","Currency=INR","Period=FQ","BEST_FPERIOD_OVERRIDE=FQ","FILING_STATUS=OR","EQY_CONSOLIDATED=Y","FA_ADJUSTED=GAAP","Sort=A","Dates=H","DateFormat=P","Fill=—","Direction=H","UseDPDF=Y")</f>
        <v>#NAME?</v>
      </c>
      <c r="L639" t="e">
        <f ca="1">_xll.BDH($C$628,"INCREMENTAL_OPERATING_MARGIN","FQ1 2016","FQ1 2016","Currency=INR","Period=FQ","BEST_FPERIOD_OVERRIDE=FQ","FILING_STATUS=OR","EQY_CONSOLIDATED=Y","FA_ADJUSTED=GAAP","Sort=A","Dates=H","DateFormat=P","Fill=—","Direction=H","UseDPDF=Y")</f>
        <v>#NAME?</v>
      </c>
      <c r="M639" t="e">
        <f ca="1">_xll.BDH($C$628,"PRETAX_INC_TO_NET_SALES","FQ1 2016","FQ1 2016","Currency=INR","Period=FQ","BEST_FPERIOD_OVERRIDE=FQ","FILING_STATUS=OR","EQY_CONSOLIDATED=Y","FA_ADJUSTED=GAAP","Sort=A","Dates=H","DateFormat=P","Fill=—","Direction=H","UseDPDF=Y")</f>
        <v>#NAME?</v>
      </c>
      <c r="N639" t="e">
        <f ca="1">_xll.BDH($C$628,"INC_BEF_XO_ITEMS_TO_NET_SALES","FQ1 2016","FQ1 2016","Currency=INR","Period=FQ","BEST_FPERIOD_OVERRIDE=FQ","FILING_STATUS=OR","EQY_CONSOLIDATED=Y","FA_ADJUSTED=GAAP","Sort=A","Dates=H","DateFormat=P","Fill=—","Direction=H","UseDPDF=Y")</f>
        <v>#NAME?</v>
      </c>
      <c r="O639" t="e">
        <f ca="1">_xll.BDH($C$628,"PROF_MARGIN","FQ1 2016","FQ1 2016","Currency=INR","Period=FQ","BEST_FPERIOD_OVERRIDE=FQ","FILING_STATUS=OR","EQY_CONSOLIDATED=Y","FA_ADJUSTED=GAAP","Sort=A","Dates=H","DateFormat=P","Fill=—","Direction=H","UseDPDF=Y")</f>
        <v>#NAME?</v>
      </c>
      <c r="P639" t="e">
        <f ca="1">_xll.BDH($C$628,"NET_INCOME_TO_COMMON_MARGIN","FQ1 2016","FQ1 2016","Currency=INR","Period=FQ","BEST_FPERIOD_OVERRIDE=FQ","FILING_STATUS=OR","EQY_CONSOLIDATED=Y","FA_ADJUSTED=GAAP","Sort=A","Dates=H","DateFormat=P","Fill=—","Direction=H","UseDPDF=Y")</f>
        <v>#NAME?</v>
      </c>
      <c r="Q639" t="e">
        <f ca="1">_xll.BDH($C$628,"EFF_TAX_RATE","FQ1 2016","FQ1 2016","Currency=INR","Period=FQ","BEST_FPERIOD_OVERRIDE=FQ","FILING_STATUS=OR","EQY_CONSOLIDATED=Y","FA_ADJUSTED=GAAP","Sort=A","Dates=H","DateFormat=P","Fill=—","Direction=H","UseDPDF=Y")</f>
        <v>#NAME?</v>
      </c>
      <c r="R639" t="e">
        <f ca="1">_xll.BDH($C$628,"DVD_PAYOUT_RATIO","FQ1 2016","FQ1 2016","Currency=INR","Period=FQ","BEST_FPERIOD_OVERRIDE=FQ","FILING_STATUS=OR","EQY_CONSOLIDATED=Y","FA_ADJUSTED=GAAP","Sort=A","Dates=H","DateFormat=P","Fill=—","Direction=H","UseDPDF=Y")</f>
        <v>#NAME?</v>
      </c>
      <c r="S639" t="e">
        <f ca="1">_xll.BDH($C$628,"SUSTAIN_GROWTH_RT","FQ1 2016","FQ1 2016","Currency=INR","Period=FQ","BEST_FPERIOD_OVERRIDE=FQ","FILING_STATUS=OR","EQY_CONSOLIDATED=Y","FA_ADJUSTED=GAAP","Sort=A","Dates=H","DateFormat=P","Fill=—","Direction=H","UseDPDF=Y")</f>
        <v>#NAME?</v>
      </c>
      <c r="T639" s="2" t="e">
        <f ca="1">_xll.BDH($C$628,"SALES_GROWTH","FQ1 2016","FQ1 2016","Currency=INR","Period=FQ","BEST_FPERIOD_OVERRIDE=FQ","FILING_STATUS=OR","EQY_CONSOLIDATED=Y","FA_ADJUSTED=GAAP","Sort=A","Dates=H","DateFormat=P","Fill=—","Direction=H","UseDPDF=Y")</f>
        <v>#NAME?</v>
      </c>
      <c r="U639" s="2" t="e">
        <f ca="1">_xll.BDH($C$628,"EBITDA_GROWTH","FQ1 2016","FQ1 2016","Currency=INR","Period=FQ","BEST_FPERIOD_OVERRIDE=FQ","FILING_STATUS=OR","EQY_CONSOLIDATED=Y","FA_ADJUSTED=GAAP","Sort=A","Dates=H","DateFormat=P","Fill=—","Direction=H","UseDPDF=Y")</f>
        <v>#NAME?</v>
      </c>
      <c r="V639" s="2" t="e">
        <f ca="1">_xll.BDH($C$628,"OPER_INC_GROWTH","FQ1 2016","FQ1 2016","Currency=INR","Period=FQ","BEST_FPERIOD_OVERRIDE=FQ","FILING_STATUS=OR","EQY_CONSOLIDATED=Y","FA_ADJUSTED=GAAP","Sort=A","Dates=H","DateFormat=P","Fill=—","Direction=H","UseDPDF=Y")</f>
        <v>#NAME?</v>
      </c>
      <c r="W639" s="2" t="e">
        <f ca="1">_xll.BDH($C$628,"EARN_FOR_COM_GROWTH","FQ1 2016","FQ1 2016","Currency=INR","Period=FQ","BEST_FPERIOD_OVERRIDE=FQ","FILING_STATUS=OR","EQY_CONSOLIDATED=Y","FA_ADJUSTED=GAAP","Sort=A","Dates=H","DateFormat=P","Fill=—","Direction=H","UseDPDF=Y")</f>
        <v>#NAME?</v>
      </c>
      <c r="X639" s="2" t="e">
        <f ca="1">_xll.BDH($C$628,"DILUTED_EPS_AFT_XO_ITEMS_GROWTH","FQ1 2016","FQ1 2016","Currency=INR","Period=FQ","BEST_FPERIOD_OVERRIDE=FQ","FILING_STATUS=OR","EQY_CONSOLIDATED=Y","FA_ADJUSTED=GAAP","Sort=A","Dates=H","DateFormat=P","Fill=—","Direction=H","UseDPDF=Y")</f>
        <v>#NAME?</v>
      </c>
      <c r="Y639" s="2" t="e">
        <f ca="1">_xll.BDH($C$628,"DIVIDEND_PER_SHARE_1_YEAR_GROWTH","FQ1 2016","FQ1 2016","Currency=INR","Period=FQ","BEST_FPERIOD_OVERRIDE=FQ","FILING_STATUS=OR","EQY_CONSOLIDATED=Y","Sort=A","Dates=H","DateFormat=P","Fill=—","Direction=H","UseDPDF=Y")</f>
        <v>#NAME?</v>
      </c>
      <c r="Z639" s="2" t="e">
        <f ca="1">_xll.BDH($C$628,"ACCOUNTS_RECEIVABLE_GROWTH","FQ1 2016","FQ1 2016","Currency=INR","Period=FQ","BEST_FPERIOD_OVERRIDE=FQ","FILING_STATUS=OR","EQY_CONSOLIDATED=Y","Sort=A","Dates=H","DateFormat=P","Fill=—","Direction=H","UseDPDF=Y")</f>
        <v>#NAME?</v>
      </c>
      <c r="AA639" s="2" t="e">
        <f ca="1">_xll.BDH($C$628,"INVENTORY_GROWTH","FQ1 2016","FQ1 2016","Currency=INR","Period=FQ","BEST_FPERIOD_OVERRIDE=FQ","FILING_STATUS=OR","EQY_CONSOLIDATED=Y","Sort=A","Dates=H","DateFormat=P","Fill=—","Direction=H","UseDPDF=Y")</f>
        <v>#NAME?</v>
      </c>
      <c r="AB639" s="2" t="e">
        <f ca="1">_xll.BDH($C$628,"NET_FIXED_ASSETS_1_YEAR_GROWTH","FQ1 2016","FQ1 2016","Currency=INR","Period=FQ","BEST_FPERIOD_OVERRIDE=FQ","FILING_STATUS=OR","EQY_CONSOLIDATED=Y","Sort=A","Dates=H","DateFormat=P","Fill=—","Direction=H","UseDPDF=Y")</f>
        <v>#NAME?</v>
      </c>
      <c r="AC639" s="2" t="e">
        <f ca="1">_xll.BDH($C$628,"ASSET_GROWTH","FQ1 2016","FQ1 2016","Currency=INR","Period=FQ","BEST_FPERIOD_OVERRIDE=FQ","FILING_STATUS=OR","EQY_CONSOLIDATED=Y","Sort=A","Dates=H","DateFormat=P","Fill=—","Direction=H","UseDPDF=Y")</f>
        <v>#NAME?</v>
      </c>
      <c r="AD639" s="2" t="e">
        <f ca="1">_xll.BDH($C$628,"MODIFIED_WORK_CAP_GROWTH","FQ1 2016","FQ1 2016","Currency=INR","Period=FQ","BEST_FPERIOD_OVERRIDE=FQ","FILING_STATUS=OR","EQY_CONSOLIDATED=Y","Sort=A","Dates=H","DateFormat=P","Fill=—","Direction=H","UseDPDF=Y")</f>
        <v>#NAME?</v>
      </c>
      <c r="AE639" s="2" t="e">
        <f ca="1">_xll.BDH($C$628,"WORK_CAP_GROWTH","FQ1 2016","FQ1 2016","Currency=INR","Period=FQ","BEST_FPERIOD_OVERRIDE=FQ","FILING_STATUS=OR","EQY_CONSOLIDATED=Y","Sort=A","Dates=H","DateFormat=P","Fill=—","Direction=H","UseDPDF=Y")</f>
        <v>#NAME?</v>
      </c>
      <c r="AF639" s="2" t="e">
        <f ca="1">_xll.BDH($C$628,"ACCOUNTS_PAYABLE_GROWTH_1YR","FQ1 2016","FQ1 2016","Currency=INR","Period=FQ","BEST_FPERIOD_OVERRIDE=FQ","FILING_STATUS=OR","EQY_CONSOLIDATED=Y","Sort=A","Dates=H","DateFormat=P","Fill=—","Direction=H","UseDPDF=Y")</f>
        <v>#NAME?</v>
      </c>
      <c r="AG639" s="2" t="e">
        <f ca="1">_xll.BDH($C$628,"SHORT_TERM_DEBT_1_YEAR_GROWTH","FQ1 2016","FQ1 2016","Currency=INR","Period=FQ","BEST_FPERIOD_OVERRIDE=FQ","FILING_STATUS=OR","EQY_CONSOLIDATED=Y","Sort=A","Dates=H","DateFormat=P","Fill=—","Direction=H","UseDPDF=Y")</f>
        <v>#NAME?</v>
      </c>
      <c r="AH639" s="2" t="e">
        <f ca="1">_xll.BDH($C$628,"TOTAL_DEBT_1_YEAR_GROWTH","FQ1 2016","FQ1 2016","Currency=INR","Period=FQ","BEST_FPERIOD_OVERRIDE=FQ","FILING_STATUS=OR","EQY_CONSOLIDATED=Y","Sort=A","Dates=H","DateFormat=P","Fill=—","Direction=H","UseDPDF=Y")</f>
        <v>#NAME?</v>
      </c>
      <c r="AI639" s="2" t="e">
        <f ca="1">_xll.BDH($C$628,"TOTAL_EQUITY_1_YEAR_GROWTH","FQ1 2016","FQ1 2016","Currency=INR","Period=FQ","BEST_FPERIOD_OVERRIDE=FQ","FILING_STATUS=OR","EQY_CONSOLIDATED=Y","Sort=A","Dates=H","DateFormat=P","Fill=—","Direction=H","UseDPDF=Y")</f>
        <v>#NAME?</v>
      </c>
      <c r="AJ639" s="2" t="e">
        <f ca="1">_xll.BDH($C$628,"GROWTH_IN_CAP","FQ1 2016","FQ1 2016","Currency=INR","Period=FQ","BEST_FPERIOD_OVERRIDE=FQ","FILING_STATUS=OR","EQY_CONSOLIDATED=Y","Sort=A","Dates=H","DateFormat=P","Fill=—","Direction=H","UseDPDF=Y")</f>
        <v>#NAME?</v>
      </c>
      <c r="AK639" s="2" t="e">
        <f ca="1">_xll.BDH($C$628,"BVPS_GROWTH","FQ1 2016","FQ1 2016","Currency=INR","Period=FQ","BEST_FPERIOD_OVERRIDE=FQ","FILING_STATUS=OR","EQY_CONSOLIDATED=Y","Sort=A","Dates=H","DateFormat=P","Fill=—","Direction=H","UseDPDF=Y")</f>
        <v>#NAME?</v>
      </c>
      <c r="AL639" s="2" t="e">
        <f ca="1">_xll.BDH($C$628,"CASH_FLOW_GROWTH","FQ1 2016","FQ1 2016","Currency=INR","Period=FQ","BEST_FPERIOD_OVERRIDE=FQ","FILING_STATUS=OR","EQY_CONSOLIDATED=Y","Sort=A","Dates=H","DateFormat=P","Fill=—","Direction=H","UseDPDF=Y")</f>
        <v>#NAME?</v>
      </c>
      <c r="AM639" s="2" t="e">
        <f ca="1">_xll.BDH($C$628,"GEO_GROW_NET_SALES","FQ1 2016","FQ1 2016","Currency=INR","Period=FQ","BEST_FPERIOD_OVERRIDE=FQ","FILING_STATUS=OR","EQY_CONSOLIDATED=Y","FA_ADJUSTED=GAAP","Sort=A","Dates=H","DateFormat=P","Fill=—","Direction=H","UseDPDF=Y")</f>
        <v>#NAME?</v>
      </c>
      <c r="AN639" s="2" t="e">
        <f ca="1">_xll.BDH($C$628,"GEO_GROW_EBITDA","FQ1 2016","FQ1 2016","Currency=INR","Period=FQ","BEST_FPERIOD_OVERRIDE=FQ","FILING_STATUS=OR","EQY_CONSOLIDATED=Y","FA_ADJUSTED=GAAP","Sort=A","Dates=H","DateFormat=P","Fill=—","Direction=H","UseDPDF=Y")</f>
        <v>#NAME?</v>
      </c>
      <c r="AO639" s="2" t="e">
        <f ca="1">_xll.BDH($C$628,"GEO_GROW_OPER_INC","FQ1 2016","FQ1 2016","Currency=INR","Period=FQ","BEST_FPERIOD_OVERRIDE=FQ","FILING_STATUS=OR","EQY_CONSOLIDATED=Y","FA_ADJUSTED=GAAP","Sort=A","Dates=H","DateFormat=P","Fill=—","Direction=H","UseDPDF=Y")</f>
        <v>#NAME?</v>
      </c>
      <c r="AP639" s="2" t="e">
        <f ca="1">_xll.BDH($C$628,"NET_INCOME_TO_COMMON_5_YR_GROWTH","FQ1 2016","FQ1 2016","Currency=INR","Period=FQ","BEST_FPERIOD_OVERRIDE=FQ","FILING_STATUS=OR","EQY_CONSOLIDATED=Y","FA_ADJUSTED=GAAP","Sort=A","Dates=H","DateFormat=P","Fill=—","Direction=H","UseDPDF=Y")</f>
        <v>#NAME?</v>
      </c>
      <c r="AQ639" s="2" t="e">
        <f ca="1">_xll.BDH($C$628,"5Y_GEO_GROWTH_DILUTED_EPS","FQ1 2016","FQ1 2016","Currency=INR","Period=FQ","BEST_FPERIOD_OVERRIDE=FQ","FILING_STATUS=OR","EQY_CONSOLIDATED=Y","FA_ADJUSTED=GAAP","Sort=A","Dates=H","DateFormat=P","Fill=—","Direction=H","UseDPDF=Y")</f>
        <v>#NAME?</v>
      </c>
      <c r="AR639" s="2" t="e">
        <f ca="1">_xll.BDH($C$628,"GEO_GROW_DVD_PER_SH","FQ1 2016","FQ1 2016","Currency=INR","Period=FQ","BEST_FPERIOD_OVERRIDE=FQ","FILING_STATUS=OR","EQY_CONSOLIDATED=Y","Sort=A","Dates=H","DateFormat=P","Fill=—","Direction=H","UseDPDF=Y")</f>
        <v>#NAME?</v>
      </c>
      <c r="AS639" s="2" t="e">
        <f ca="1">_xll.BDH($C$628,"ACCOUNTS_RECEIVABLE_5_YR_GROWTH","FQ1 2016","FQ1 2016","Currency=INR","Period=FQ","BEST_FPERIOD_OVERRIDE=FQ","FILING_STATUS=OR","EQY_CONSOLIDATED=Y","Sort=A","Dates=H","DateFormat=P","Fill=—","Direction=H","UseDPDF=Y")</f>
        <v>#NAME?</v>
      </c>
      <c r="AT639" s="2" t="e">
        <f ca="1">_xll.BDH($C$628,"INVENTORY_5_YEAR_GROWTH","FQ1 2016","FQ1 2016","Currency=INR","Period=FQ","BEST_FPERIOD_OVERRIDE=FQ","FILING_STATUS=OR","EQY_CONSOLIDATED=Y","Sort=A","Dates=H","DateFormat=P","Fill=—","Direction=H","UseDPDF=Y")</f>
        <v>#NAME?</v>
      </c>
      <c r="AU639" s="2" t="e">
        <f ca="1">_xll.BDH($C$628,"NET_FIXED_ASSETS_5_YEAR_GROWTH","FQ1 2016","FQ1 2016","Currency=INR","Period=FQ","BEST_FPERIOD_OVERRIDE=FQ","FILING_STATUS=OR","EQY_CONSOLIDATED=Y","Sort=A","Dates=H","DateFormat=P","Fill=—","Direction=H","UseDPDF=Y")</f>
        <v>#NAME?</v>
      </c>
      <c r="AV639" s="2" t="e">
        <f ca="1">_xll.BDH($C$628,"GEO_GROW_TOT_ASSET","FQ1 2016","FQ1 2016","Currency=INR","Period=FQ","BEST_FPERIOD_OVERRIDE=FQ","FILING_STATUS=OR","EQY_CONSOLIDATED=Y","Sort=A","Dates=H","DateFormat=P","Fill=—","Direction=H","UseDPDF=Y")</f>
        <v>#NAME?</v>
      </c>
      <c r="AW639" s="2" t="e">
        <f ca="1">_xll.BDH($C$628,"MODIFIED_WORKING_CPTL_5YR_GRWTH","FQ1 2016","FQ1 2016","Currency=INR","Period=FQ","BEST_FPERIOD_OVERRIDE=FQ","FILING_STATUS=OR","EQY_CONSOLIDATED=Y","Sort=A","Dates=H","DateFormat=P","Fill=—","Direction=H","UseDPDF=Y")</f>
        <v>#NAME?</v>
      </c>
      <c r="AX639" s="2" t="e">
        <f ca="1">_xll.BDH($C$628,"WORKING_CAPITAL_5_YEAR_GROWTH","FQ1 2016","FQ1 2016","Currency=INR","Period=FQ","BEST_FPERIOD_OVERRIDE=FQ","FILING_STATUS=OR","EQY_CONSOLIDATED=Y","Sort=A","Dates=H","DateFormat=P","Fill=—","Direction=H","UseDPDF=Y")</f>
        <v>#NAME?</v>
      </c>
      <c r="AY639" s="2" t="e">
        <f ca="1">_xll.BDH($C$628,"ACCOUNTS_PAYABLE_5_YEAR_GROWTH","FQ1 2016","FQ1 2016","Currency=INR","Period=FQ","BEST_FPERIOD_OVERRIDE=FQ","FILING_STATUS=OR","EQY_CONSOLIDATED=Y","Sort=A","Dates=H","DateFormat=P","Fill=—","Direction=H","UseDPDF=Y")</f>
        <v>#NAME?</v>
      </c>
      <c r="AZ639" s="2" t="e">
        <f ca="1">_xll.BDH($C$628,"SHORT_TERM_DEBT_5_YEAR_GROWTH","FQ1 2016","FQ1 2016","Currency=INR","Period=FQ","BEST_FPERIOD_OVERRIDE=FQ","FILING_STATUS=OR","EQY_CONSOLIDATED=Y","Sort=A","Dates=H","DateFormat=P","Fill=—","Direction=H","UseDPDF=Y")</f>
        <v>#NAME?</v>
      </c>
      <c r="BA639" s="2" t="e">
        <f ca="1">_xll.BDH($C$628,"TOTAL_DEBT_5_YEAR_GROWTH","FQ1 2016","FQ1 2016","Currency=INR","Period=FQ","BEST_FPERIOD_OVERRIDE=FQ","FILING_STATUS=OR","EQY_CONSOLIDATED=Y","Sort=A","Dates=H","DateFormat=P","Fill=—","Direction=H","UseDPDF=Y")</f>
        <v>#NAME?</v>
      </c>
      <c r="BB639" s="2" t="e">
        <f ca="1">_xll.BDH($C$628,"GEO_GROW_TOT_SHRHLDR_EQY","FQ1 2016","FQ1 2016","Currency=INR","Period=FQ","BEST_FPERIOD_OVERRIDE=FQ","FILING_STATUS=OR","EQY_CONSOLIDATED=Y","Sort=A","Dates=H","DateFormat=P","Fill=—","Direction=H","UseDPDF=Y")</f>
        <v>#NAME?</v>
      </c>
      <c r="BC639" s="2" t="e">
        <f ca="1">_xll.BDH($C$628,"TOTAL_CAPITAL_5_YEAR_GROWTH","FQ1 2016","FQ1 2016","Currency=INR","Period=FQ","BEST_FPERIOD_OVERRIDE=FQ","FILING_STATUS=OR","EQY_CONSOLIDATED=Y","Sort=A","Dates=H","DateFormat=P","Fill=—","Direction=H","UseDPDF=Y")</f>
        <v>#NAME?</v>
      </c>
      <c r="BD639" s="2" t="e">
        <f ca="1">_xll.BDH($C$628,"GEO_GROW_BOOK_VAL","FQ1 2016","FQ1 2016","Currency=INR","Period=FQ","BEST_FPERIOD_OVERRIDE=FQ","FILING_STATUS=OR","EQY_CONSOLIDATED=Y","Sort=A","Dates=H","DateFormat=P","Fill=—","Direction=H","UseDPDF=Y")</f>
        <v>#NAME?</v>
      </c>
      <c r="BE639" s="2" t="e">
        <f ca="1">_xll.BDH($C$628,"GEO_GROW_CASH_OPER_ACT","FQ1 2016","FQ1 2016","Currency=INR","Period=FQ","BEST_FPERIOD_OVERRIDE=FQ","FILING_STATUS=OR","EQY_CONSOLIDATED=Y","Sort=A","Dates=H","DateFormat=P","Fill=—","Direction=H","UseDPDF=Y")</f>
        <v>#NAME?</v>
      </c>
      <c r="BF639" s="2" t="e">
        <f ca="1">_xll.BDH($C$628,"REVENUE_SEQUENTIAL_GROWTH","FQ1 2016","FQ1 2016","Currency=INR","Period=FQ","BEST_FPERIOD_OVERRIDE=FQ","FILING_STATUS=OR","EQY_CONSOLIDATED=Y","FA_ADJUSTED=GAAP","Sort=A","Dates=H","DateFormat=P","Fill=—","Direction=H","UseDPDF=Y")</f>
        <v>#NAME?</v>
      </c>
      <c r="BG639" s="2" t="e">
        <f ca="1">_xll.BDH($C$628,"EBITDA_SEQUENTIAL_GROWTH","FQ1 2016","FQ1 2016","Currency=INR","Period=FQ","BEST_FPERIOD_OVERRIDE=FQ","FILING_STATUS=OR","EQY_CONSOLIDATED=Y","FA_ADJUSTED=GAAP","Sort=A","Dates=H","DateFormat=P","Fill=—","Direction=H","UseDPDF=Y")</f>
        <v>#NAME?</v>
      </c>
      <c r="BH639" s="2" t="e">
        <f ca="1">_xll.BDH($C$628,"OPERATING_INCOME_SEQ_GROWTH","FQ1 2016","FQ1 2016","Currency=INR","Period=FQ","BEST_FPERIOD_OVERRIDE=FQ","FILING_STATUS=OR","EQY_CONSOLIDATED=Y","FA_ADJUSTED=GAAP","Sort=A","Dates=H","DateFormat=P","Fill=—","Direction=H","UseDPDF=Y")</f>
        <v>#NAME?</v>
      </c>
      <c r="BI639" s="2" t="e">
        <f ca="1">_xll.BDH($C$628,"NET_INCOME_TO_COMMON_SEQ_GROWTH","FQ1 2016","FQ1 2016","Currency=INR","Period=FQ","BEST_FPERIOD_OVERRIDE=FQ","FILING_STATUS=OR","EQY_CONSOLIDATED=Y","FA_ADJUSTED=GAAP","Sort=A","Dates=H","DateFormat=P","Fill=—","Direction=H","UseDPDF=Y")</f>
        <v>#NAME?</v>
      </c>
      <c r="BJ639" s="2" t="e">
        <f ca="1">_xll.BDH($C$628,"EPS_DILUTED_SEQUENTIAL_GROWTH","FQ1 2016","FQ1 2016","Currency=INR","Period=FQ","BEST_FPERIOD_OVERRIDE=FQ","FILING_STATUS=OR","EQY_CONSOLIDATED=Y","FA_ADJUSTED=GAAP","Sort=A","Dates=H","DateFormat=P","Fill=—","Direction=H","UseDPDF=Y")</f>
        <v>#NAME?</v>
      </c>
      <c r="BK639" s="2" t="e">
        <f ca="1">_xll.BDH($C$628,"DPS_SEQUENTIAL_GROWTH","FQ1 2016","FQ1 2016","Currency=INR","Period=FQ","BEST_FPERIOD_OVERRIDE=FQ","FILING_STATUS=OR","EQY_CONSOLIDATED=Y","Sort=A","Dates=H","DateFormat=P","Fill=—","Direction=H","UseDPDF=Y")</f>
        <v>#NAME?</v>
      </c>
      <c r="BL639" s="2" t="e">
        <f ca="1">_xll.BDH($C$628,"ACCOUNTS_RECEIVABLE_SEQ_GROWTH","FQ1 2016","FQ1 2016","Currency=INR","Period=FQ","BEST_FPERIOD_OVERRIDE=FQ","FILING_STATUS=OR","EQY_CONSOLIDATED=Y","Sort=A","Dates=H","DateFormat=P","Fill=—","Direction=H","UseDPDF=Y")</f>
        <v>#NAME?</v>
      </c>
      <c r="BM639" s="2" t="e">
        <f ca="1">_xll.BDH($C$628,"INVENTORY_SEQUENTIAL_GROWTH","FQ1 2016","FQ1 2016","Currency=INR","Period=FQ","BEST_FPERIOD_OVERRIDE=FQ","FILING_STATUS=OR","EQY_CONSOLIDATED=Y","Sort=A","Dates=H","DateFormat=P","Fill=—","Direction=H","UseDPDF=Y")</f>
        <v>#NAME?</v>
      </c>
      <c r="BN639" s="2" t="e">
        <f ca="1">_xll.BDH($C$628,"FIXED_ASSETS_SEQUENTIAL_GROWTH","FQ1 2016","FQ1 2016","Currency=INR","Period=FQ","BEST_FPERIOD_OVERRIDE=FQ","FILING_STATUS=OR","EQY_CONSOLIDATED=Y","Sort=A","Dates=H","DateFormat=P","Fill=—","Direction=H","UseDPDF=Y")</f>
        <v>#NAME?</v>
      </c>
      <c r="BO639" s="2" t="e">
        <f ca="1">_xll.BDH($C$628,"TOTAL_ASSETS_SEQUENTIAL_GROWTH","FQ1 2016","FQ1 2016","Currency=INR","Period=FQ","BEST_FPERIOD_OVERRIDE=FQ","FILING_STATUS=OR","EQY_CONSOLIDATED=Y","Sort=A","Dates=H","DateFormat=P","Fill=—","Direction=H","UseDPDF=Y")</f>
        <v>#NAME?</v>
      </c>
      <c r="BP639" s="2" t="e">
        <f ca="1">_xll.BDH($C$628,"MODIFIED_WORKING_CPTL_SEQ_GRWTH","FQ1 2016","FQ1 2016","Currency=INR","Period=FQ","BEST_FPERIOD_OVERRIDE=FQ","FILING_STATUS=OR","EQY_CONSOLIDATED=Y","Sort=A","Dates=H","DateFormat=P","Fill=—","Direction=H","UseDPDF=Y")</f>
        <v>#NAME?</v>
      </c>
      <c r="BQ639" s="2" t="e">
        <f ca="1">_xll.BDH($C$628,"WORKING_CAPITAL_SEQ_GROWTH","FQ1 2016","FQ1 2016","Currency=INR","Period=FQ","BEST_FPERIOD_OVERRIDE=FQ","FILING_STATUS=OR","EQY_CONSOLIDATED=Y","Sort=A","Dates=H","DateFormat=P","Fill=—","Direction=H","UseDPDF=Y")</f>
        <v>#NAME?</v>
      </c>
      <c r="BR639" s="2" t="e">
        <f ca="1">_xll.BDH($C$628,"ACCOUNTS_PAYABLE_SEQ_GROWTH","FQ1 2016","FQ1 2016","Currency=INR","Period=FQ","BEST_FPERIOD_OVERRIDE=FQ","FILING_STATUS=OR","EQY_CONSOLIDATED=Y","Sort=A","Dates=H","DateFormat=P","Fill=—","Direction=H","UseDPDF=Y")</f>
        <v>#NAME?</v>
      </c>
      <c r="BS639" s="2" t="e">
        <f ca="1">_xll.BDH($C$628,"ST_DEBT_SEQUENTIAL_GROWTH","FQ1 2016","FQ1 2016","Currency=INR","Period=FQ","BEST_FPERIOD_OVERRIDE=FQ","FILING_STATUS=OR","EQY_CONSOLIDATED=Y","Sort=A","Dates=H","DateFormat=P","Fill=—","Direction=H","UseDPDF=Y")</f>
        <v>#NAME?</v>
      </c>
      <c r="BT639" s="2" t="e">
        <f ca="1">_xll.BDH($C$628,"TOTAL_DEBT_SEQUENTIAL_GROWTH","FQ1 2016","FQ1 2016","Currency=INR","Period=FQ","BEST_FPERIOD_OVERRIDE=FQ","FILING_STATUS=OR","EQY_CONSOLIDATED=Y","Sort=A","Dates=H","DateFormat=P","Fill=—","Direction=H","UseDPDF=Y")</f>
        <v>#NAME?</v>
      </c>
      <c r="BU639" s="2" t="e">
        <f ca="1">_xll.BDH($C$628,"TOTAL_EQUITY_SEQUENTIAL_GROWTH","FQ1 2016","FQ1 2016","Currency=INR","Period=FQ","BEST_FPERIOD_OVERRIDE=FQ","FILING_STATUS=OR","EQY_CONSOLIDATED=Y","Sort=A","Dates=H","DateFormat=P","Fill=—","Direction=H","UseDPDF=Y")</f>
        <v>#NAME?</v>
      </c>
      <c r="BV639" s="2" t="e">
        <f ca="1">_xll.BDH($C$628,"TOTAL_CAPITAL_SEQUENTIAL_GROWTH","FQ1 2016","FQ1 2016","Currency=INR","Period=FQ","BEST_FPERIOD_OVERRIDE=FQ","FILING_STATUS=OR","EQY_CONSOLIDATED=Y","Sort=A","Dates=H","DateFormat=P","Fill=—","Direction=H","UseDPDF=Y")</f>
        <v>#NAME?</v>
      </c>
      <c r="BW639" s="2" t="e">
        <f ca="1">_xll.BDH($C$628,"BPS_SEQUENTIAL_GROWTH","FQ1 2016","FQ1 2016","Currency=INR","Period=FQ","BEST_FPERIOD_OVERRIDE=FQ","FILING_STATUS=OR","EQY_CONSOLIDATED=Y","Sort=A","Dates=H","DateFormat=P","Fill=—","Direction=H","UseDPDF=Y")</f>
        <v>#NAME?</v>
      </c>
      <c r="BX639" s="2" t="e">
        <f ca="1">_xll.BDH($C$628,"CFO_SEQUENTIAL_GROWTH","FQ1 2016","FQ1 2016","Currency=INR","Period=FQ","BEST_FPERIOD_OVERRIDE=FQ","FILING_STATUS=OR","EQY_CONSOLIDATED=Y","Sort=A","Dates=H","DateFormat=P","Fill=—","Direction=H","UseDPDF=Y")</f>
        <v>#NAME?</v>
      </c>
      <c r="BY639" s="3" t="e">
        <f ca="1">_xll.BDH($C$628,"SHORT_AND_LONG_TERM_DEBT","FQ1 2016","FQ1 2016","Currency=INR","Period=FQ","BEST_FPERIOD_OVERRIDE=FQ","FILING_STATUS=OR","EQY_CONSOLIDATED=Y","SCALING_FORMAT=MLN","Sort=A","Dates=H","DateFormat=P","Fill=—","Direction=H","UseDPDF=Y")</f>
        <v>#NAME?</v>
      </c>
      <c r="BZ639" s="3" t="e">
        <f ca="1">_xll.BDH($C$628,"BS_ST_BORROW","FQ1 2016","FQ1 2016","Currency=INR","Period=FQ","BEST_FPERIOD_OVERRIDE=FQ","FILING_STATUS=OR","EQY_CONSOLIDATED=Y","SCALING_FORMAT=MLN","Sort=A","Dates=H","DateFormat=P","Fill=—","Direction=H","UseDPDF=Y")</f>
        <v>#NAME?</v>
      </c>
      <c r="CA639" s="3" t="e">
        <f ca="1">_xll.BDH($C$628,"BS_LT_BORROW","FQ1 2016","FQ1 2016","Currency=INR","Period=FQ","BEST_FPERIOD_OVERRIDE=FQ","FILING_STATUS=OR","EQY_CONSOLIDATED=Y","SCALING_FORMAT=MLN","Sort=A","Dates=H","DateFormat=P","Fill=—","Direction=H","UseDPDF=Y")</f>
        <v>#NAME?</v>
      </c>
      <c r="CB639" s="2" t="e">
        <f ca="1">_xll.BDH($C$628,"TOT_DEBT_TO_EBITDA","FQ1 2016","FQ1 2016","Currency=INR","Period=FQ","BEST_FPERIOD_OVERRIDE=FQ","FILING_STATUS=OR","EQY_CONSOLIDATED=Y","FA_ADJUSTED=GAAP","Sort=A","Dates=H","DateFormat=P","Fill=—","Direction=H","UseDPDF=Y")</f>
        <v>#NAME?</v>
      </c>
      <c r="CC639" s="2" t="e">
        <f ca="1">_xll.BDH($C$628,"NET_DEBT_TO_EBITDA","FQ1 2016","FQ1 2016","Currency=INR","Period=FQ","BEST_FPERIOD_OVERRIDE=FQ","FILING_STATUS=OR","EQY_CONSOLIDATED=Y","FA_ADJUSTED=GAAP","Sort=A","Dates=H","DateFormat=P","Fill=—","Direction=H","UseDPDF=Y")</f>
        <v>#NAME?</v>
      </c>
      <c r="CD639" s="2" t="e">
        <f ca="1">_xll.BDH($C$628,"TOTAL_DEBT_TO_EBIT","FQ1 2016","FQ1 2016","Currency=INR","Period=FQ","BEST_FPERIOD_OVERRIDE=FQ","FILING_STATUS=OR","EQY_CONSOLIDATED=Y","FA_ADJUSTED=GAAP","Sort=A","Dates=H","DateFormat=P","Fill=—","Direction=H","UseDPDF=Y")</f>
        <v>#NAME?</v>
      </c>
      <c r="CE639" s="2" t="e">
        <f ca="1">_xll.BDH($C$628,"NET_DEBT_TO_EBIT","FQ1 2016","FQ1 2016","Currency=INR","Period=FQ","BEST_FPERIOD_OVERRIDE=FQ","FILING_STATUS=OR","EQY_CONSOLIDATED=Y","FA_ADJUSTED=GAAP","Sort=A","Dates=H","DateFormat=P","Fill=—","Direction=H","UseDPDF=Y")</f>
        <v>#NAME?</v>
      </c>
      <c r="CF639" s="2" t="e">
        <f ca="1">_xll.BDH($C$628,"EBITDA_TO_INTEREST_EXPN","FQ1 2016","FQ1 2016","Currency=INR","Period=FQ","BEST_FPERIOD_OVERRIDE=FQ","FILING_STATUS=OR","EQY_CONSOLIDATED=Y","FA_ADJUSTED=GAAP","Sort=A","Dates=H","DateFormat=P","Fill=—","Direction=H","UseDPDF=Y")</f>
        <v>#NAME?</v>
      </c>
      <c r="CG639" s="2" t="e">
        <f ca="1">_xll.BDH($C$628,"COM_EQY_TO_TOT_ASSET","FQ1 2016","FQ1 2016","Currency=INR","Period=FQ","BEST_FPERIOD_OVERRIDE=FQ","FILING_STATUS=OR","EQY_CONSOLIDATED=Y","Sort=A","Dates=H","DateFormat=P","Fill=—","Direction=H","UseDPDF=Y")</f>
        <v>#NAME?</v>
      </c>
      <c r="CH639" s="2" t="e">
        <f ca="1">_xll.BDH($C$628,"LT_DEBT_TO_TOT_EQY","FQ1 2016","FQ1 2016","Currency=INR","Period=FQ","BEST_FPERIOD_OVERRIDE=FQ","FILING_STATUS=OR","EQY_CONSOLIDATED=Y","Sort=A","Dates=H","DateFormat=P","Fill=—","Direction=H","UseDPDF=Y")</f>
        <v>#NAME?</v>
      </c>
      <c r="CI639" s="2" t="e">
        <f ca="1">_xll.BDH($C$628,"LT_DEBT_TO_TOT_CAP","FQ1 2016","FQ1 2016","Currency=INR","Period=FQ","BEST_FPERIOD_OVERRIDE=FQ","FILING_STATUS=OR","EQY_CONSOLIDATED=Y","Sort=A","Dates=H","DateFormat=P","Fill=—","Direction=H","UseDPDF=Y")</f>
        <v>#NAME?</v>
      </c>
      <c r="CJ639" s="2" t="e">
        <f ca="1">_xll.BDH($C$628,"LT_DEBT_TO_TOT_ASSET","FQ1 2016","FQ1 2016","Currency=INR","Period=FQ","BEST_FPERIOD_OVERRIDE=FQ","FILING_STATUS=OR","EQY_CONSOLIDATED=Y","Sort=A","Dates=H","DateFormat=P","Fill=—","Direction=H","UseDPDF=Y")</f>
        <v>#NAME?</v>
      </c>
      <c r="CK639" s="2" t="e">
        <f ca="1">_xll.BDH($C$628,"TOT_DEBT_TO_TOT_EQY","FQ1 2016","FQ1 2016","Currency=INR","Period=FQ","BEST_FPERIOD_OVERRIDE=FQ","FILING_STATUS=OR","EQY_CONSOLIDATED=Y","Sort=A","Dates=H","DateFormat=P","Fill=—","Direction=H","UseDPDF=Y")</f>
        <v>#NAME?</v>
      </c>
      <c r="CL639" s="2" t="e">
        <f ca="1">_xll.BDH($C$628,"TOT_DEBT_TO_TOT_CAP","FQ1 2016","FQ1 2016","Currency=INR","Period=FQ","BEST_FPERIOD_OVERRIDE=FQ","FILING_STATUS=OR","EQY_CONSOLIDATED=Y","Sort=A","Dates=H","DateFormat=P","Fill=—","Direction=H","UseDPDF=Y")</f>
        <v>#NAME?</v>
      </c>
      <c r="CM639" s="2" t="e">
        <f ca="1">_xll.BDH($C$628,"TOT_DEBT_TO_TOT_ASSET","FQ1 2016","FQ1 2016","Currency=INR","Period=FQ","BEST_FPERIOD_OVERRIDE=FQ","FILING_STATUS=OR","EQY_CONSOLIDATED=Y","Sort=A","Dates=H","DateFormat=P","Fill=—","Direction=H","UseDPDF=Y")</f>
        <v>#NAME?</v>
      </c>
      <c r="CN639" s="2" t="e">
        <f ca="1">_xll.BDH($C$628,"NET_DEBT_TO_SHRHLDR_EQTY","FQ1 2016","FQ1 2016","Currency=INR","Period=FQ","BEST_FPERIOD_OVERRIDE=FQ","FILING_STATUS=OR","EQY_CONSOLIDATED=Y","Sort=A","Dates=H","DateFormat=P","Fill=—","Direction=H","UseDPDF=Y")</f>
        <v>#NAME?</v>
      </c>
      <c r="CO639" s="2" t="e">
        <f ca="1">_xll.BDH($C$628,"NET_DEBT_%_CAPITAL","FQ1 2016","FQ1 2016","Currency=INR","Period=FQ","BEST_FPERIOD_OVERRIDE=FQ","FILING_STATUS=OR","EQY_CONSOLIDATED=Y","Sort=A","Dates=H","DateFormat=P","Fill=—","Direction=H","UseDPDF=Y")</f>
        <v>#NAME?</v>
      </c>
      <c r="CP639" s="3" t="e">
        <f ca="1">_xll.BDH($C$628,"EBITDA","FQ1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Q639" s="3" t="e">
        <f ca="1">_xll.BDH($C$628,"EBITDA_AFTER_CAPEX","FQ1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R639" s="3" t="e">
        <f ca="1">_xll.BDH($C$628,"IS_OPER_INC","FQ1 2016","FQ1 2016","Currency=INR","Period=FQ","BEST_FPERIOD_OVERRIDE=FQ","FILING_STATUS=OR","EQY_CONSOLIDATED=Y","SCALING_FORMAT=MLN","FA_ADJUSTED=GAAP","Sort=A","Dates=H","DateFormat=P","Fill=—","Direction=H","UseDPDF=Y")</f>
        <v>#NAME?</v>
      </c>
      <c r="CS639" s="2" t="e">
        <f ca="1">_xll.BDH($C$628,"CASH_RATIO","FQ1 2016","FQ1 2016","Currency=INR","Period=FQ","BEST_FPERIOD_OVERRIDE=FQ","FILING_STATUS=OR","EQY_CONSOLIDATED=Y","Sort=A","Dates=H","DateFormat=P","Fill=—","Direction=H","UseDPDF=Y")</f>
        <v>#NAME?</v>
      </c>
      <c r="CT639" s="2" t="e">
        <f ca="1">_xll.BDH($C$628,"CUR_RATIO","FQ1 2016","FQ1 2016","Currency=INR","Period=FQ","BEST_FPERIOD_OVERRIDE=FQ","FILING_STATUS=OR","EQY_CONSOLIDATED=Y","Sort=A","Dates=H","DateFormat=P","Fill=—","Direction=H","UseDPDF=Y")</f>
        <v>#NAME?</v>
      </c>
      <c r="CU639" s="2" t="e">
        <f ca="1">_xll.BDH($C$628,"QUICK_RATIO","FQ1 2016","FQ1 2016","Currency=INR","Period=FQ","BEST_FPERIOD_OVERRIDE=FQ","FILING_STATUS=OR","EQY_CONSOLIDATED=Y","Sort=A","Dates=H","DateFormat=P","Fill=—","Direction=H","UseDPDF=Y")</f>
        <v>#NAME?</v>
      </c>
      <c r="CV639" s="2" t="e">
        <f ca="1">_xll.BDH($C$628,"ALTMAN_Z_SCORE","FQ1 2016","FQ1 2016","Currency=INR","Period=FQ","BEST_FPERIOD_OVERRIDE=FQ","FILING_STATUS=OR","EQY_CONSOLIDATED=Y","Sort=A","Dates=H","DateFormat=P","Fill=—","Direction=H","UseDPDF=Y")</f>
        <v>#NAME?</v>
      </c>
      <c r="CW639" s="4" t="e">
        <f ca="1">_xll.BDH($C$628,"ACCT_RCV_TURN","FQ1 2016","FQ1 2016","Currency=INR","Period=FQ","BEST_FPERIOD_OVERRIDE=FQ","FILING_STATUS=OR","EQY_CONSOLIDATED=Y","FA_ADJUSTED=GAAP","Sort=A","Dates=H","DateFormat=P","Fill=—","Direction=H","UseDPDF=Y")</f>
        <v>#NAME?</v>
      </c>
      <c r="CX639" s="2" t="e">
        <f ca="1">_xll.BDH($C$628,"ACCT_RCV_DAYS","FQ1 2016","FQ1 2016","Currency=INR","Period=FQ","BEST_FPERIOD_OVERRIDE=FQ","FILING_STATUS=OR","EQY_CONSOLIDATED=Y","FA_ADJUSTED=GAAP","Sort=A","Dates=H","DateFormat=P","Fill=—","Direction=H","UseDPDF=Y")</f>
        <v>#NAME?</v>
      </c>
      <c r="CY639" s="4" t="e">
        <f ca="1">_xll.BDH($C$628,"INVENT_TURN","FQ1 2016","FQ1 2016","Currency=INR","Period=FQ","BEST_FPERIOD_OVERRIDE=FQ","FILING_STATUS=OR","EQY_CONSOLIDATED=Y","FA_ADJUSTED=GAAP","Sort=A","Dates=H","DateFormat=P","Fill=—","Direction=H","UseDPDF=Y")</f>
        <v>#NAME?</v>
      </c>
      <c r="CZ639" s="2" t="e">
        <f ca="1">_xll.BDH($C$628,"INVENT_DAYS","FQ1 2016","FQ1 2016","Currency=INR","Period=FQ","BEST_FPERIOD_OVERRIDE=FQ","FILING_STATUS=OR","EQY_CONSOLIDATED=Y","FA_ADJUSTED=GAAP","Sort=A","Dates=H","DateFormat=P","Fill=—","Direction=H","UseDPDF=Y")</f>
        <v>#NAME?</v>
      </c>
      <c r="DA639" s="4" t="e">
        <f ca="1">_xll.BDH($C$628,"ACCOUNTS_PAYABLE_TURNOVER","FQ1 2016","FQ1 2016","Currency=INR","Period=FQ","BEST_FPERIOD_OVERRIDE=FQ","FILING_STATUS=OR","EQY_CONSOLIDATED=Y","FA_ADJUSTED=GAAP","Sort=A","Dates=H","DateFormat=P","Fill=—","Direction=H","UseDPDF=Y")</f>
        <v>#NAME?</v>
      </c>
      <c r="DB639" s="2" t="e">
        <f ca="1">_xll.BDH($C$628,"ACCOUNTS_PAYABLE_TURNOVER_DAYS","FQ1 2016","FQ1 2016","Currency=INR","Period=FQ","BEST_FPERIOD_OVERRIDE=FQ","FILING_STATUS=OR","EQY_CONSOLIDATED=Y","FA_ADJUSTED=GAAP","Sort=A","Dates=H","DateFormat=P","Fill=—","Direction=H","UseDPDF=Y")</f>
        <v>#NAME?</v>
      </c>
      <c r="DC639" s="4" t="e">
        <f ca="1">_xll.BDH($C$628,"CASH_CONVERSION_CYCLE","FQ1 2016","FQ1 2016","Currency=INR","Period=FQ","BEST_FPERIOD_OVERRIDE=FQ","FILING_STATUS=OR","EQY_CONSOLIDATED=Y","FA_ADJUSTED=GAAP","Sort=A","Dates=H","DateFormat=P","Fill=—","Direction=H","UseDPDF=Y")</f>
        <v>#NAME?</v>
      </c>
      <c r="DD639" s="4" t="e">
        <f ca="1">_xll.BDH($C$628,"INV_TO_CASH_DAYS","FQ1 2016","FQ1 2016","Currency=INR","Period=FQ","BEST_FPERIOD_OVERRIDE=FQ","FILING_STATUS=OR","EQY_CONSOLIDATED=Y","FA_ADJUSTED=GAAP","Sort=A","Dates=H","DateFormat=P","Fill=—","Direction=H","UseDPDF=Y")</f>
        <v>#NAME?</v>
      </c>
      <c r="DE639" s="5" t="e">
        <f ca="1">_xll.BDH($C$628,"BS_INVENTORIES","FQ1 2016","FQ1 2016","Currency=INR","Period=FQ","BEST_FPERIOD_OVERRIDE=FQ","FILING_STATUS=OR","EQY_CONSOLIDATED=Y","SCALING_FORMAT=MLN","Sort=A","Dates=H","DateFormat=P","Fill=—","Direction=H","UseDPDF=Y")</f>
        <v>#NAME?</v>
      </c>
      <c r="DF639" s="3" t="e">
        <f ca="1">_xll.BDH($C$628,"INVTRY_RAW_MATERIALS","FQ1 2016","FQ1 2016","Currency=INR","Period=FQ","BEST_FPERIOD_OVERRIDE=FQ","FILING_STATUS=OR","EQY_CONSOLIDATED=Y","SCALING_FORMAT=MLN","Sort=A","Dates=H","DateFormat=P","Fill=—","Direction=H","UseDPDF=Y")</f>
        <v>#NAME?</v>
      </c>
      <c r="DG639" s="3" t="e">
        <f ca="1">_xll.BDH($C$628,"INVTRY_IN_PROGRESS","FQ1 2016","FQ1 2016","Currency=INR","Period=FQ","BEST_FPERIOD_OVERRIDE=FQ","FILING_STATUS=OR","EQY_CONSOLIDATED=Y","SCALING_FORMAT=MLN","Sort=A","Dates=H","DateFormat=P","Fill=—","Direction=H","UseDPDF=Y")</f>
        <v>#NAME?</v>
      </c>
      <c r="DH639" s="3" t="e">
        <f ca="1">_xll.BDH($C$628,"INVTRY_FINISHED_GOODS","FQ1 2016","FQ1 2016","Currency=INR","Period=FQ","BEST_FPERIOD_OVERRIDE=FQ","FILING_STATUS=OR","EQY_CONSOLIDATED=Y","SCALING_FORMAT=MLN","Sort=A","Dates=H","DateFormat=P","Fill=—","Direction=H","UseDPDF=Y")</f>
        <v>#NAME?</v>
      </c>
      <c r="DI639" s="3" t="e">
        <f ca="1">_xll.BDH($C$628,"BS_OTHER_INV","FQ1 2016","FQ1 2016","Currency=INR","Period=FQ","BEST_FPERIOD_OVERRIDE=FQ","FILING_STATUS=OR","EQY_CONSOLIDATED=Y","SCALING_FORMAT=MLN","Sort=A","Dates=H","DateFormat=P","Fill=—","Direction=H","UseDPDF=Y")</f>
        <v>#NAME?</v>
      </c>
    </row>
    <row r="640" spans="1:113" x14ac:dyDescent="0.3">
      <c r="A640" s="6"/>
      <c r="B640" s="6"/>
      <c r="C640" s="6"/>
      <c r="D640" s="6"/>
      <c r="E640" t="s">
        <v>79</v>
      </c>
      <c r="F640" t="e">
        <f ca="1">_xll.BDH($C$628,"RETURN_COM_EQY","FQ2 2016","FQ2 2016","Currency=INR","Period=FQ","BEST_FPERIOD_OVERRIDE=FQ","FILING_STATUS=OR","EQY_CONSOLIDATED=Y","FA_ADJUSTED=GAAP","Sort=A","Dates=H","DateFormat=P","Fill=—","Direction=H","UseDPDF=Y")</f>
        <v>#NAME?</v>
      </c>
      <c r="G640" t="e">
        <f ca="1">_xll.BDH($C$628,"RETURN_ON_ASSET","FQ2 2016","FQ2 2016","Currency=INR","Period=FQ","BEST_FPERIOD_OVERRIDE=FQ","FILING_STATUS=OR","EQY_CONSOLIDATED=Y","FA_ADJUSTED=GAAP","Sort=A","Dates=H","DateFormat=P","Fill=—","Direction=H","UseDPDF=Y")</f>
        <v>#NAME?</v>
      </c>
      <c r="H640" t="e">
        <f ca="1">_xll.BDH($C$628,"RETURN_ON_CAP","FQ2 2016","FQ2 2016","Currency=INR","Period=FQ","BEST_FPERIOD_OVERRIDE=FQ","FILING_STATUS=OR","EQY_CONSOLIDATED=Y","FA_ADJUSTED=GAAP","Sort=A","Dates=H","DateFormat=P","Fill=—","Direction=H","UseDPDF=Y")</f>
        <v>#NAME?</v>
      </c>
      <c r="I640" t="e">
        <f ca="1">_xll.BDH($C$628,"RETURN_ON_INV_CAPITAL","FQ2 2016","FQ2 2016","Currency=INR","Period=FQ","BEST_FPERIOD_OVERRIDE=FQ","FILING_STATUS=OR","EQY_CONSOLIDATED=Y","FA_ADJUSTED=GAAP","Sort=A","Dates=H","DateFormat=P","Fill=—","Direction=H","UseDPDF=Y")</f>
        <v>#NAME?</v>
      </c>
      <c r="J640" t="e">
        <f ca="1">_xll.BDH($C$628,"EBITDA_TO_REVENUE","FQ2 2016","FQ2 2016","Currency=INR","Period=FQ","BEST_FPERIOD_OVERRIDE=FQ","FILING_STATUS=OR","EQY_CONSOLIDATED=Y","FA_ADJUSTED=GAAP","Sort=A","Dates=H","DateFormat=P","Fill=—","Direction=H","UseDPDF=Y")</f>
        <v>#NAME?</v>
      </c>
      <c r="K640" t="e">
        <f ca="1">_xll.BDH($C$628,"OPER_MARGIN","FQ2 2016","FQ2 2016","Currency=INR","Period=FQ","BEST_FPERIOD_OVERRIDE=FQ","FILING_STATUS=OR","EQY_CONSOLIDATED=Y","FA_ADJUSTED=GAAP","Sort=A","Dates=H","DateFormat=P","Fill=—","Direction=H","UseDPDF=Y")</f>
        <v>#NAME?</v>
      </c>
      <c r="L640" t="e">
        <f ca="1">_xll.BDH($C$628,"INCREMENTAL_OPERATING_MARGIN","FQ2 2016","FQ2 2016","Currency=INR","Period=FQ","BEST_FPERIOD_OVERRIDE=FQ","FILING_STATUS=OR","EQY_CONSOLIDATED=Y","FA_ADJUSTED=GAAP","Sort=A","Dates=H","DateFormat=P","Fill=—","Direction=H","UseDPDF=Y")</f>
        <v>#NAME?</v>
      </c>
      <c r="M640" t="e">
        <f ca="1">_xll.BDH($C$628,"PRETAX_INC_TO_NET_SALES","FQ2 2016","FQ2 2016","Currency=INR","Period=FQ","BEST_FPERIOD_OVERRIDE=FQ","FILING_STATUS=OR","EQY_CONSOLIDATED=Y","FA_ADJUSTED=GAAP","Sort=A","Dates=H","DateFormat=P","Fill=—","Direction=H","UseDPDF=Y")</f>
        <v>#NAME?</v>
      </c>
      <c r="N640" t="e">
        <f ca="1">_xll.BDH($C$628,"INC_BEF_XO_ITEMS_TO_NET_SALES","FQ2 2016","FQ2 2016","Currency=INR","Period=FQ","BEST_FPERIOD_OVERRIDE=FQ","FILING_STATUS=OR","EQY_CONSOLIDATED=Y","FA_ADJUSTED=GAAP","Sort=A","Dates=H","DateFormat=P","Fill=—","Direction=H","UseDPDF=Y")</f>
        <v>#NAME?</v>
      </c>
      <c r="O640" t="e">
        <f ca="1">_xll.BDH($C$628,"PROF_MARGIN","FQ2 2016","FQ2 2016","Currency=INR","Period=FQ","BEST_FPERIOD_OVERRIDE=FQ","FILING_STATUS=OR","EQY_CONSOLIDATED=Y","FA_ADJUSTED=GAAP","Sort=A","Dates=H","DateFormat=P","Fill=—","Direction=H","UseDPDF=Y")</f>
        <v>#NAME?</v>
      </c>
      <c r="P640" t="e">
        <f ca="1">_xll.BDH($C$628,"NET_INCOME_TO_COMMON_MARGIN","FQ2 2016","FQ2 2016","Currency=INR","Period=FQ","BEST_FPERIOD_OVERRIDE=FQ","FILING_STATUS=OR","EQY_CONSOLIDATED=Y","FA_ADJUSTED=GAAP","Sort=A","Dates=H","DateFormat=P","Fill=—","Direction=H","UseDPDF=Y")</f>
        <v>#NAME?</v>
      </c>
      <c r="Q640" t="e">
        <f ca="1">_xll.BDH($C$628,"EFF_TAX_RATE","FQ2 2016","FQ2 2016","Currency=INR","Period=FQ","BEST_FPERIOD_OVERRIDE=FQ","FILING_STATUS=OR","EQY_CONSOLIDATED=Y","FA_ADJUSTED=GAAP","Sort=A","Dates=H","DateFormat=P","Fill=—","Direction=H","UseDPDF=Y")</f>
        <v>#NAME?</v>
      </c>
      <c r="R640" t="e">
        <f ca="1">_xll.BDH($C$628,"DVD_PAYOUT_RATIO","FQ2 2016","FQ2 2016","Currency=INR","Period=FQ","BEST_FPERIOD_OVERRIDE=FQ","FILING_STATUS=OR","EQY_CONSOLIDATED=Y","FA_ADJUSTED=GAAP","Sort=A","Dates=H","DateFormat=P","Fill=—","Direction=H","UseDPDF=Y")</f>
        <v>#NAME?</v>
      </c>
      <c r="S640" t="e">
        <f ca="1">_xll.BDH($C$628,"SUSTAIN_GROWTH_RT","FQ2 2016","FQ2 2016","Currency=INR","Period=FQ","BEST_FPERIOD_OVERRIDE=FQ","FILING_STATUS=OR","EQY_CONSOLIDATED=Y","FA_ADJUSTED=GAAP","Sort=A","Dates=H","DateFormat=P","Fill=—","Direction=H","UseDPDF=Y")</f>
        <v>#NAME?</v>
      </c>
      <c r="T640" s="2" t="e">
        <f ca="1">_xll.BDH($C$628,"SALES_GROWTH","FQ2 2016","FQ2 2016","Currency=INR","Period=FQ","BEST_FPERIOD_OVERRIDE=FQ","FILING_STATUS=OR","EQY_CONSOLIDATED=Y","FA_ADJUSTED=GAAP","Sort=A","Dates=H","DateFormat=P","Fill=—","Direction=H","UseDPDF=Y")</f>
        <v>#NAME?</v>
      </c>
      <c r="U640" s="2" t="e">
        <f ca="1">_xll.BDH($C$628,"EBITDA_GROWTH","FQ2 2016","FQ2 2016","Currency=INR","Period=FQ","BEST_FPERIOD_OVERRIDE=FQ","FILING_STATUS=OR","EQY_CONSOLIDATED=Y","FA_ADJUSTED=GAAP","Sort=A","Dates=H","DateFormat=P","Fill=—","Direction=H","UseDPDF=Y")</f>
        <v>#NAME?</v>
      </c>
      <c r="V640" s="2" t="e">
        <f ca="1">_xll.BDH($C$628,"OPER_INC_GROWTH","FQ2 2016","FQ2 2016","Currency=INR","Period=FQ","BEST_FPERIOD_OVERRIDE=FQ","FILING_STATUS=OR","EQY_CONSOLIDATED=Y","FA_ADJUSTED=GAAP","Sort=A","Dates=H","DateFormat=P","Fill=—","Direction=H","UseDPDF=Y")</f>
        <v>#NAME?</v>
      </c>
      <c r="W640" s="2" t="e">
        <f ca="1">_xll.BDH($C$628,"EARN_FOR_COM_GROWTH","FQ2 2016","FQ2 2016","Currency=INR","Period=FQ","BEST_FPERIOD_OVERRIDE=FQ","FILING_STATUS=OR","EQY_CONSOLIDATED=Y","FA_ADJUSTED=GAAP","Sort=A","Dates=H","DateFormat=P","Fill=—","Direction=H","UseDPDF=Y")</f>
        <v>#NAME?</v>
      </c>
      <c r="X640" s="2" t="e">
        <f ca="1">_xll.BDH($C$628,"DILUTED_EPS_AFT_XO_ITEMS_GROWTH","FQ2 2016","FQ2 2016","Currency=INR","Period=FQ","BEST_FPERIOD_OVERRIDE=FQ","FILING_STATUS=OR","EQY_CONSOLIDATED=Y","FA_ADJUSTED=GAAP","Sort=A","Dates=H","DateFormat=P","Fill=—","Direction=H","UseDPDF=Y")</f>
        <v>#NAME?</v>
      </c>
      <c r="Y640" s="2" t="e">
        <f ca="1">_xll.BDH($C$628,"DIVIDEND_PER_SHARE_1_YEAR_GROWTH","FQ2 2016","FQ2 2016","Currency=INR","Period=FQ","BEST_FPERIOD_OVERRIDE=FQ","FILING_STATUS=OR","EQY_CONSOLIDATED=Y","Sort=A","Dates=H","DateFormat=P","Fill=—","Direction=H","UseDPDF=Y")</f>
        <v>#NAME?</v>
      </c>
      <c r="Z640" s="2" t="e">
        <f ca="1">_xll.BDH($C$628,"ACCOUNTS_RECEIVABLE_GROWTH","FQ2 2016","FQ2 2016","Currency=INR","Period=FQ","BEST_FPERIOD_OVERRIDE=FQ","FILING_STATUS=OR","EQY_CONSOLIDATED=Y","Sort=A","Dates=H","DateFormat=P","Fill=—","Direction=H","UseDPDF=Y")</f>
        <v>#NAME?</v>
      </c>
      <c r="AA640" s="2" t="e">
        <f ca="1">_xll.BDH($C$628,"INVENTORY_GROWTH","FQ2 2016","FQ2 2016","Currency=INR","Period=FQ","BEST_FPERIOD_OVERRIDE=FQ","FILING_STATUS=OR","EQY_CONSOLIDATED=Y","Sort=A","Dates=H","DateFormat=P","Fill=—","Direction=H","UseDPDF=Y")</f>
        <v>#NAME?</v>
      </c>
      <c r="AB640" s="2" t="e">
        <f ca="1">_xll.BDH($C$628,"NET_FIXED_ASSETS_1_YEAR_GROWTH","FQ2 2016","FQ2 2016","Currency=INR","Period=FQ","BEST_FPERIOD_OVERRIDE=FQ","FILING_STATUS=OR","EQY_CONSOLIDATED=Y","Sort=A","Dates=H","DateFormat=P","Fill=—","Direction=H","UseDPDF=Y")</f>
        <v>#NAME?</v>
      </c>
      <c r="AC640" s="2" t="e">
        <f ca="1">_xll.BDH($C$628,"ASSET_GROWTH","FQ2 2016","FQ2 2016","Currency=INR","Period=FQ","BEST_FPERIOD_OVERRIDE=FQ","FILING_STATUS=OR","EQY_CONSOLIDATED=Y","Sort=A","Dates=H","DateFormat=P","Fill=—","Direction=H","UseDPDF=Y")</f>
        <v>#NAME?</v>
      </c>
      <c r="AD640" s="2" t="e">
        <f ca="1">_xll.BDH($C$628,"MODIFIED_WORK_CAP_GROWTH","FQ2 2016","FQ2 2016","Currency=INR","Period=FQ","BEST_FPERIOD_OVERRIDE=FQ","FILING_STATUS=OR","EQY_CONSOLIDATED=Y","Sort=A","Dates=H","DateFormat=P","Fill=—","Direction=H","UseDPDF=Y")</f>
        <v>#NAME?</v>
      </c>
      <c r="AE640" s="2" t="e">
        <f ca="1">_xll.BDH($C$628,"WORK_CAP_GROWTH","FQ2 2016","FQ2 2016","Currency=INR","Period=FQ","BEST_FPERIOD_OVERRIDE=FQ","FILING_STATUS=OR","EQY_CONSOLIDATED=Y","Sort=A","Dates=H","DateFormat=P","Fill=—","Direction=H","UseDPDF=Y")</f>
        <v>#NAME?</v>
      </c>
      <c r="AF640" s="2" t="e">
        <f ca="1">_xll.BDH($C$628,"ACCOUNTS_PAYABLE_GROWTH_1YR","FQ2 2016","FQ2 2016","Currency=INR","Period=FQ","BEST_FPERIOD_OVERRIDE=FQ","FILING_STATUS=OR","EQY_CONSOLIDATED=Y","Sort=A","Dates=H","DateFormat=P","Fill=—","Direction=H","UseDPDF=Y")</f>
        <v>#NAME?</v>
      </c>
      <c r="AG640" s="2" t="e">
        <f ca="1">_xll.BDH($C$628,"SHORT_TERM_DEBT_1_YEAR_GROWTH","FQ2 2016","FQ2 2016","Currency=INR","Period=FQ","BEST_FPERIOD_OVERRIDE=FQ","FILING_STATUS=OR","EQY_CONSOLIDATED=Y","Sort=A","Dates=H","DateFormat=P","Fill=—","Direction=H","UseDPDF=Y")</f>
        <v>#NAME?</v>
      </c>
      <c r="AH640" s="2" t="e">
        <f ca="1">_xll.BDH($C$628,"TOTAL_DEBT_1_YEAR_GROWTH","FQ2 2016","FQ2 2016","Currency=INR","Period=FQ","BEST_FPERIOD_OVERRIDE=FQ","FILING_STATUS=OR","EQY_CONSOLIDATED=Y","Sort=A","Dates=H","DateFormat=P","Fill=—","Direction=H","UseDPDF=Y")</f>
        <v>#NAME?</v>
      </c>
      <c r="AI640" s="2" t="e">
        <f ca="1">_xll.BDH($C$628,"TOTAL_EQUITY_1_YEAR_GROWTH","FQ2 2016","FQ2 2016","Currency=INR","Period=FQ","BEST_FPERIOD_OVERRIDE=FQ","FILING_STATUS=OR","EQY_CONSOLIDATED=Y","Sort=A","Dates=H","DateFormat=P","Fill=—","Direction=H","UseDPDF=Y")</f>
        <v>#NAME?</v>
      </c>
      <c r="AJ640" s="2" t="e">
        <f ca="1">_xll.BDH($C$628,"GROWTH_IN_CAP","FQ2 2016","FQ2 2016","Currency=INR","Period=FQ","BEST_FPERIOD_OVERRIDE=FQ","FILING_STATUS=OR","EQY_CONSOLIDATED=Y","Sort=A","Dates=H","DateFormat=P","Fill=—","Direction=H","UseDPDF=Y")</f>
        <v>#NAME?</v>
      </c>
      <c r="AK640" s="2" t="e">
        <f ca="1">_xll.BDH($C$628,"BVPS_GROWTH","FQ2 2016","FQ2 2016","Currency=INR","Period=FQ","BEST_FPERIOD_OVERRIDE=FQ","FILING_STATUS=OR","EQY_CONSOLIDATED=Y","Sort=A","Dates=H","DateFormat=P","Fill=—","Direction=H","UseDPDF=Y")</f>
        <v>#NAME?</v>
      </c>
      <c r="AL640" s="2" t="e">
        <f ca="1">_xll.BDH($C$628,"CASH_FLOW_GROWTH","FQ2 2016","FQ2 2016","Currency=INR","Period=FQ","BEST_FPERIOD_OVERRIDE=FQ","FILING_STATUS=OR","EQY_CONSOLIDATED=Y","Sort=A","Dates=H","DateFormat=P","Fill=—","Direction=H","UseDPDF=Y")</f>
        <v>#NAME?</v>
      </c>
      <c r="AM640" s="2" t="e">
        <f ca="1">_xll.BDH($C$628,"GEO_GROW_NET_SALES","FQ2 2016","FQ2 2016","Currency=INR","Period=FQ","BEST_FPERIOD_OVERRIDE=FQ","FILING_STATUS=OR","EQY_CONSOLIDATED=Y","FA_ADJUSTED=GAAP","Sort=A","Dates=H","DateFormat=P","Fill=—","Direction=H","UseDPDF=Y")</f>
        <v>#NAME?</v>
      </c>
      <c r="AN640" s="2" t="e">
        <f ca="1">_xll.BDH($C$628,"GEO_GROW_EBITDA","FQ2 2016","FQ2 2016","Currency=INR","Period=FQ","BEST_FPERIOD_OVERRIDE=FQ","FILING_STATUS=OR","EQY_CONSOLIDATED=Y","FA_ADJUSTED=GAAP","Sort=A","Dates=H","DateFormat=P","Fill=—","Direction=H","UseDPDF=Y")</f>
        <v>#NAME?</v>
      </c>
      <c r="AO640" s="2" t="e">
        <f ca="1">_xll.BDH($C$628,"GEO_GROW_OPER_INC","FQ2 2016","FQ2 2016","Currency=INR","Period=FQ","BEST_FPERIOD_OVERRIDE=FQ","FILING_STATUS=OR","EQY_CONSOLIDATED=Y","FA_ADJUSTED=GAAP","Sort=A","Dates=H","DateFormat=P","Fill=—","Direction=H","UseDPDF=Y")</f>
        <v>#NAME?</v>
      </c>
      <c r="AP640" s="2" t="e">
        <f ca="1">_xll.BDH($C$628,"NET_INCOME_TO_COMMON_5_YR_GROWTH","FQ2 2016","FQ2 2016","Currency=INR","Period=FQ","BEST_FPERIOD_OVERRIDE=FQ","FILING_STATUS=OR","EQY_CONSOLIDATED=Y","FA_ADJUSTED=GAAP","Sort=A","Dates=H","DateFormat=P","Fill=—","Direction=H","UseDPDF=Y")</f>
        <v>#NAME?</v>
      </c>
      <c r="AQ640" s="2" t="e">
        <f ca="1">_xll.BDH($C$628,"5Y_GEO_GROWTH_DILUTED_EPS","FQ2 2016","FQ2 2016","Currency=INR","Period=FQ","BEST_FPERIOD_OVERRIDE=FQ","FILING_STATUS=OR","EQY_CONSOLIDATED=Y","FA_ADJUSTED=GAAP","Sort=A","Dates=H","DateFormat=P","Fill=—","Direction=H","UseDPDF=Y")</f>
        <v>#NAME?</v>
      </c>
      <c r="AR640" s="2" t="e">
        <f ca="1">_xll.BDH($C$628,"GEO_GROW_DVD_PER_SH","FQ2 2016","FQ2 2016","Currency=INR","Period=FQ","BEST_FPERIOD_OVERRIDE=FQ","FILING_STATUS=OR","EQY_CONSOLIDATED=Y","Sort=A","Dates=H","DateFormat=P","Fill=—","Direction=H","UseDPDF=Y")</f>
        <v>#NAME?</v>
      </c>
      <c r="AS640" s="2" t="e">
        <f ca="1">_xll.BDH($C$628,"ACCOUNTS_RECEIVABLE_5_YR_GROWTH","FQ2 2016","FQ2 2016","Currency=INR","Period=FQ","BEST_FPERIOD_OVERRIDE=FQ","FILING_STATUS=OR","EQY_CONSOLIDATED=Y","Sort=A","Dates=H","DateFormat=P","Fill=—","Direction=H","UseDPDF=Y")</f>
        <v>#NAME?</v>
      </c>
      <c r="AT640" s="2" t="e">
        <f ca="1">_xll.BDH($C$628,"INVENTORY_5_YEAR_GROWTH","FQ2 2016","FQ2 2016","Currency=INR","Period=FQ","BEST_FPERIOD_OVERRIDE=FQ","FILING_STATUS=OR","EQY_CONSOLIDATED=Y","Sort=A","Dates=H","DateFormat=P","Fill=—","Direction=H","UseDPDF=Y")</f>
        <v>#NAME?</v>
      </c>
      <c r="AU640" s="2" t="e">
        <f ca="1">_xll.BDH($C$628,"NET_FIXED_ASSETS_5_YEAR_GROWTH","FQ2 2016","FQ2 2016","Currency=INR","Period=FQ","BEST_FPERIOD_OVERRIDE=FQ","FILING_STATUS=OR","EQY_CONSOLIDATED=Y","Sort=A","Dates=H","DateFormat=P","Fill=—","Direction=H","UseDPDF=Y")</f>
        <v>#NAME?</v>
      </c>
      <c r="AV640" s="2" t="e">
        <f ca="1">_xll.BDH($C$628,"GEO_GROW_TOT_ASSET","FQ2 2016","FQ2 2016","Currency=INR","Period=FQ","BEST_FPERIOD_OVERRIDE=FQ","FILING_STATUS=OR","EQY_CONSOLIDATED=Y","Sort=A","Dates=H","DateFormat=P","Fill=—","Direction=H","UseDPDF=Y")</f>
        <v>#NAME?</v>
      </c>
      <c r="AW640" s="2" t="e">
        <f ca="1">_xll.BDH($C$628,"MODIFIED_WORKING_CPTL_5YR_GRWTH","FQ2 2016","FQ2 2016","Currency=INR","Period=FQ","BEST_FPERIOD_OVERRIDE=FQ","FILING_STATUS=OR","EQY_CONSOLIDATED=Y","Sort=A","Dates=H","DateFormat=P","Fill=—","Direction=H","UseDPDF=Y")</f>
        <v>#NAME?</v>
      </c>
      <c r="AX640" s="2" t="e">
        <f ca="1">_xll.BDH($C$628,"WORKING_CAPITAL_5_YEAR_GROWTH","FQ2 2016","FQ2 2016","Currency=INR","Period=FQ","BEST_FPERIOD_OVERRIDE=FQ","FILING_STATUS=OR","EQY_CONSOLIDATED=Y","Sort=A","Dates=H","DateFormat=P","Fill=—","Direction=H","UseDPDF=Y")</f>
        <v>#NAME?</v>
      </c>
      <c r="AY640" s="2" t="e">
        <f ca="1">_xll.BDH($C$628,"ACCOUNTS_PAYABLE_5_YEAR_GROWTH","FQ2 2016","FQ2 2016","Currency=INR","Period=FQ","BEST_FPERIOD_OVERRIDE=FQ","FILING_STATUS=OR","EQY_CONSOLIDATED=Y","Sort=A","Dates=H","DateFormat=P","Fill=—","Direction=H","UseDPDF=Y")</f>
        <v>#NAME?</v>
      </c>
      <c r="AZ640" s="2" t="e">
        <f ca="1">_xll.BDH($C$628,"SHORT_TERM_DEBT_5_YEAR_GROWTH","FQ2 2016","FQ2 2016","Currency=INR","Period=FQ","BEST_FPERIOD_OVERRIDE=FQ","FILING_STATUS=OR","EQY_CONSOLIDATED=Y","Sort=A","Dates=H","DateFormat=P","Fill=—","Direction=H","UseDPDF=Y")</f>
        <v>#NAME?</v>
      </c>
      <c r="BA640" s="2" t="e">
        <f ca="1">_xll.BDH($C$628,"TOTAL_DEBT_5_YEAR_GROWTH","FQ2 2016","FQ2 2016","Currency=INR","Period=FQ","BEST_FPERIOD_OVERRIDE=FQ","FILING_STATUS=OR","EQY_CONSOLIDATED=Y","Sort=A","Dates=H","DateFormat=P","Fill=—","Direction=H","UseDPDF=Y")</f>
        <v>#NAME?</v>
      </c>
      <c r="BB640" s="2" t="e">
        <f ca="1">_xll.BDH($C$628,"GEO_GROW_TOT_SHRHLDR_EQY","FQ2 2016","FQ2 2016","Currency=INR","Period=FQ","BEST_FPERIOD_OVERRIDE=FQ","FILING_STATUS=OR","EQY_CONSOLIDATED=Y","Sort=A","Dates=H","DateFormat=P","Fill=—","Direction=H","UseDPDF=Y")</f>
        <v>#NAME?</v>
      </c>
      <c r="BC640" s="2" t="e">
        <f ca="1">_xll.BDH($C$628,"TOTAL_CAPITAL_5_YEAR_GROWTH","FQ2 2016","FQ2 2016","Currency=INR","Period=FQ","BEST_FPERIOD_OVERRIDE=FQ","FILING_STATUS=OR","EQY_CONSOLIDATED=Y","Sort=A","Dates=H","DateFormat=P","Fill=—","Direction=H","UseDPDF=Y")</f>
        <v>#NAME?</v>
      </c>
      <c r="BD640" s="2" t="e">
        <f ca="1">_xll.BDH($C$628,"GEO_GROW_BOOK_VAL","FQ2 2016","FQ2 2016","Currency=INR","Period=FQ","BEST_FPERIOD_OVERRIDE=FQ","FILING_STATUS=OR","EQY_CONSOLIDATED=Y","Sort=A","Dates=H","DateFormat=P","Fill=—","Direction=H","UseDPDF=Y")</f>
        <v>#NAME?</v>
      </c>
      <c r="BE640" s="2" t="e">
        <f ca="1">_xll.BDH($C$628,"GEO_GROW_CASH_OPER_ACT","FQ2 2016","FQ2 2016","Currency=INR","Period=FQ","BEST_FPERIOD_OVERRIDE=FQ","FILING_STATUS=OR","EQY_CONSOLIDATED=Y","Sort=A","Dates=H","DateFormat=P","Fill=—","Direction=H","UseDPDF=Y")</f>
        <v>#NAME?</v>
      </c>
      <c r="BF640" s="2" t="e">
        <f ca="1">_xll.BDH($C$628,"REVENUE_SEQUENTIAL_GROWTH","FQ2 2016","FQ2 2016","Currency=INR","Period=FQ","BEST_FPERIOD_OVERRIDE=FQ","FILING_STATUS=OR","EQY_CONSOLIDATED=Y","FA_ADJUSTED=GAAP","Sort=A","Dates=H","DateFormat=P","Fill=—","Direction=H","UseDPDF=Y")</f>
        <v>#NAME?</v>
      </c>
      <c r="BG640" s="2" t="e">
        <f ca="1">_xll.BDH($C$628,"EBITDA_SEQUENTIAL_GROWTH","FQ2 2016","FQ2 2016","Currency=INR","Period=FQ","BEST_FPERIOD_OVERRIDE=FQ","FILING_STATUS=OR","EQY_CONSOLIDATED=Y","FA_ADJUSTED=GAAP","Sort=A","Dates=H","DateFormat=P","Fill=—","Direction=H","UseDPDF=Y")</f>
        <v>#NAME?</v>
      </c>
      <c r="BH640" s="2" t="e">
        <f ca="1">_xll.BDH($C$628,"OPERATING_INCOME_SEQ_GROWTH","FQ2 2016","FQ2 2016","Currency=INR","Period=FQ","BEST_FPERIOD_OVERRIDE=FQ","FILING_STATUS=OR","EQY_CONSOLIDATED=Y","FA_ADJUSTED=GAAP","Sort=A","Dates=H","DateFormat=P","Fill=—","Direction=H","UseDPDF=Y")</f>
        <v>#NAME?</v>
      </c>
      <c r="BI640" s="2" t="e">
        <f ca="1">_xll.BDH($C$628,"NET_INCOME_TO_COMMON_SEQ_GROWTH","FQ2 2016","FQ2 2016","Currency=INR","Period=FQ","BEST_FPERIOD_OVERRIDE=FQ","FILING_STATUS=OR","EQY_CONSOLIDATED=Y","FA_ADJUSTED=GAAP","Sort=A","Dates=H","DateFormat=P","Fill=—","Direction=H","UseDPDF=Y")</f>
        <v>#NAME?</v>
      </c>
      <c r="BJ640" s="2" t="e">
        <f ca="1">_xll.BDH($C$628,"EPS_DILUTED_SEQUENTIAL_GROWTH","FQ2 2016","FQ2 2016","Currency=INR","Period=FQ","BEST_FPERIOD_OVERRIDE=FQ","FILING_STATUS=OR","EQY_CONSOLIDATED=Y","FA_ADJUSTED=GAAP","Sort=A","Dates=H","DateFormat=P","Fill=—","Direction=H","UseDPDF=Y")</f>
        <v>#NAME?</v>
      </c>
      <c r="BK640" s="2" t="e">
        <f ca="1">_xll.BDH($C$628,"DPS_SEQUENTIAL_GROWTH","FQ2 2016","FQ2 2016","Currency=INR","Period=FQ","BEST_FPERIOD_OVERRIDE=FQ","FILING_STATUS=OR","EQY_CONSOLIDATED=Y","Sort=A","Dates=H","DateFormat=P","Fill=—","Direction=H","UseDPDF=Y")</f>
        <v>#NAME?</v>
      </c>
      <c r="BL640" s="2" t="e">
        <f ca="1">_xll.BDH($C$628,"ACCOUNTS_RECEIVABLE_SEQ_GROWTH","FQ2 2016","FQ2 2016","Currency=INR","Period=FQ","BEST_FPERIOD_OVERRIDE=FQ","FILING_STATUS=OR","EQY_CONSOLIDATED=Y","Sort=A","Dates=H","DateFormat=P","Fill=—","Direction=H","UseDPDF=Y")</f>
        <v>#NAME?</v>
      </c>
      <c r="BM640" s="2" t="e">
        <f ca="1">_xll.BDH($C$628,"INVENTORY_SEQUENTIAL_GROWTH","FQ2 2016","FQ2 2016","Currency=INR","Period=FQ","BEST_FPERIOD_OVERRIDE=FQ","FILING_STATUS=OR","EQY_CONSOLIDATED=Y","Sort=A","Dates=H","DateFormat=P","Fill=—","Direction=H","UseDPDF=Y")</f>
        <v>#NAME?</v>
      </c>
      <c r="BN640" s="2" t="e">
        <f ca="1">_xll.BDH($C$628,"FIXED_ASSETS_SEQUENTIAL_GROWTH","FQ2 2016","FQ2 2016","Currency=INR","Period=FQ","BEST_FPERIOD_OVERRIDE=FQ","FILING_STATUS=OR","EQY_CONSOLIDATED=Y","Sort=A","Dates=H","DateFormat=P","Fill=—","Direction=H","UseDPDF=Y")</f>
        <v>#NAME?</v>
      </c>
      <c r="BO640" s="2" t="e">
        <f ca="1">_xll.BDH($C$628,"TOTAL_ASSETS_SEQUENTIAL_GROWTH","FQ2 2016","FQ2 2016","Currency=INR","Period=FQ","BEST_FPERIOD_OVERRIDE=FQ","FILING_STATUS=OR","EQY_CONSOLIDATED=Y","Sort=A","Dates=H","DateFormat=P","Fill=—","Direction=H","UseDPDF=Y")</f>
        <v>#NAME?</v>
      </c>
      <c r="BP640" s="2" t="e">
        <f ca="1">_xll.BDH($C$628,"MODIFIED_WORKING_CPTL_SEQ_GRWTH","FQ2 2016","FQ2 2016","Currency=INR","Period=FQ","BEST_FPERIOD_OVERRIDE=FQ","FILING_STATUS=OR","EQY_CONSOLIDATED=Y","Sort=A","Dates=H","DateFormat=P","Fill=—","Direction=H","UseDPDF=Y")</f>
        <v>#NAME?</v>
      </c>
      <c r="BQ640" s="2" t="e">
        <f ca="1">_xll.BDH($C$628,"WORKING_CAPITAL_SEQ_GROWTH","FQ2 2016","FQ2 2016","Currency=INR","Period=FQ","BEST_FPERIOD_OVERRIDE=FQ","FILING_STATUS=OR","EQY_CONSOLIDATED=Y","Sort=A","Dates=H","DateFormat=P","Fill=—","Direction=H","UseDPDF=Y")</f>
        <v>#NAME?</v>
      </c>
      <c r="BR640" s="2" t="e">
        <f ca="1">_xll.BDH($C$628,"ACCOUNTS_PAYABLE_SEQ_GROWTH","FQ2 2016","FQ2 2016","Currency=INR","Period=FQ","BEST_FPERIOD_OVERRIDE=FQ","FILING_STATUS=OR","EQY_CONSOLIDATED=Y","Sort=A","Dates=H","DateFormat=P","Fill=—","Direction=H","UseDPDF=Y")</f>
        <v>#NAME?</v>
      </c>
      <c r="BS640" s="2" t="e">
        <f ca="1">_xll.BDH($C$628,"ST_DEBT_SEQUENTIAL_GROWTH","FQ2 2016","FQ2 2016","Currency=INR","Period=FQ","BEST_FPERIOD_OVERRIDE=FQ","FILING_STATUS=OR","EQY_CONSOLIDATED=Y","Sort=A","Dates=H","DateFormat=P","Fill=—","Direction=H","UseDPDF=Y")</f>
        <v>#NAME?</v>
      </c>
      <c r="BT640" s="2" t="e">
        <f ca="1">_xll.BDH($C$628,"TOTAL_DEBT_SEQUENTIAL_GROWTH","FQ2 2016","FQ2 2016","Currency=INR","Period=FQ","BEST_FPERIOD_OVERRIDE=FQ","FILING_STATUS=OR","EQY_CONSOLIDATED=Y","Sort=A","Dates=H","DateFormat=P","Fill=—","Direction=H","UseDPDF=Y")</f>
        <v>#NAME?</v>
      </c>
      <c r="BU640" s="2" t="e">
        <f ca="1">_xll.BDH($C$628,"TOTAL_EQUITY_SEQUENTIAL_GROWTH","FQ2 2016","FQ2 2016","Currency=INR","Period=FQ","BEST_FPERIOD_OVERRIDE=FQ","FILING_STATUS=OR","EQY_CONSOLIDATED=Y","Sort=A","Dates=H","DateFormat=P","Fill=—","Direction=H","UseDPDF=Y")</f>
        <v>#NAME?</v>
      </c>
      <c r="BV640" s="2" t="e">
        <f ca="1">_xll.BDH($C$628,"TOTAL_CAPITAL_SEQUENTIAL_GROWTH","FQ2 2016","FQ2 2016","Currency=INR","Period=FQ","BEST_FPERIOD_OVERRIDE=FQ","FILING_STATUS=OR","EQY_CONSOLIDATED=Y","Sort=A","Dates=H","DateFormat=P","Fill=—","Direction=H","UseDPDF=Y")</f>
        <v>#NAME?</v>
      </c>
      <c r="BW640" s="2" t="e">
        <f ca="1">_xll.BDH($C$628,"BPS_SEQUENTIAL_GROWTH","FQ2 2016","FQ2 2016","Currency=INR","Period=FQ","BEST_FPERIOD_OVERRIDE=FQ","FILING_STATUS=OR","EQY_CONSOLIDATED=Y","Sort=A","Dates=H","DateFormat=P","Fill=—","Direction=H","UseDPDF=Y")</f>
        <v>#NAME?</v>
      </c>
      <c r="BX640" s="2" t="e">
        <f ca="1">_xll.BDH($C$628,"CFO_SEQUENTIAL_GROWTH","FQ2 2016","FQ2 2016","Currency=INR","Period=FQ","BEST_FPERIOD_OVERRIDE=FQ","FILING_STATUS=OR","EQY_CONSOLIDATED=Y","Sort=A","Dates=H","DateFormat=P","Fill=—","Direction=H","UseDPDF=Y")</f>
        <v>#NAME?</v>
      </c>
      <c r="BY640" s="3" t="e">
        <f ca="1">_xll.BDH($C$628,"SHORT_AND_LONG_TERM_DEBT","FQ2 2016","FQ2 2016","Currency=INR","Period=FQ","BEST_FPERIOD_OVERRIDE=FQ","FILING_STATUS=OR","EQY_CONSOLIDATED=Y","SCALING_FORMAT=MLN","Sort=A","Dates=H","DateFormat=P","Fill=—","Direction=H","UseDPDF=Y")</f>
        <v>#NAME?</v>
      </c>
      <c r="BZ640" s="3" t="e">
        <f ca="1">_xll.BDH($C$628,"BS_ST_BORROW","FQ2 2016","FQ2 2016","Currency=INR","Period=FQ","BEST_FPERIOD_OVERRIDE=FQ","FILING_STATUS=OR","EQY_CONSOLIDATED=Y","SCALING_FORMAT=MLN","Sort=A","Dates=H","DateFormat=P","Fill=—","Direction=H","UseDPDF=Y")</f>
        <v>#NAME?</v>
      </c>
      <c r="CA640" s="3" t="e">
        <f ca="1">_xll.BDH($C$628,"BS_LT_BORROW","FQ2 2016","FQ2 2016","Currency=INR","Period=FQ","BEST_FPERIOD_OVERRIDE=FQ","FILING_STATUS=OR","EQY_CONSOLIDATED=Y","SCALING_FORMAT=MLN","Sort=A","Dates=H","DateFormat=P","Fill=—","Direction=H","UseDPDF=Y")</f>
        <v>#NAME?</v>
      </c>
      <c r="CB640" s="2" t="e">
        <f ca="1">_xll.BDH($C$628,"TOT_DEBT_TO_EBITDA","FQ2 2016","FQ2 2016","Currency=INR","Period=FQ","BEST_FPERIOD_OVERRIDE=FQ","FILING_STATUS=OR","EQY_CONSOLIDATED=Y","FA_ADJUSTED=GAAP","Sort=A","Dates=H","DateFormat=P","Fill=—","Direction=H","UseDPDF=Y")</f>
        <v>#NAME?</v>
      </c>
      <c r="CC640" s="2" t="e">
        <f ca="1">_xll.BDH($C$628,"NET_DEBT_TO_EBITDA","FQ2 2016","FQ2 2016","Currency=INR","Period=FQ","BEST_FPERIOD_OVERRIDE=FQ","FILING_STATUS=OR","EQY_CONSOLIDATED=Y","FA_ADJUSTED=GAAP","Sort=A","Dates=H","DateFormat=P","Fill=—","Direction=H","UseDPDF=Y")</f>
        <v>#NAME?</v>
      </c>
      <c r="CD640" s="2" t="e">
        <f ca="1">_xll.BDH($C$628,"TOTAL_DEBT_TO_EBIT","FQ2 2016","FQ2 2016","Currency=INR","Period=FQ","BEST_FPERIOD_OVERRIDE=FQ","FILING_STATUS=OR","EQY_CONSOLIDATED=Y","FA_ADJUSTED=GAAP","Sort=A","Dates=H","DateFormat=P","Fill=—","Direction=H","UseDPDF=Y")</f>
        <v>#NAME?</v>
      </c>
      <c r="CE640" s="2" t="e">
        <f ca="1">_xll.BDH($C$628,"NET_DEBT_TO_EBIT","FQ2 2016","FQ2 2016","Currency=INR","Period=FQ","BEST_FPERIOD_OVERRIDE=FQ","FILING_STATUS=OR","EQY_CONSOLIDATED=Y","FA_ADJUSTED=GAAP","Sort=A","Dates=H","DateFormat=P","Fill=—","Direction=H","UseDPDF=Y")</f>
        <v>#NAME?</v>
      </c>
      <c r="CF640" s="2" t="e">
        <f ca="1">_xll.BDH($C$628,"EBITDA_TO_INTEREST_EXPN","FQ2 2016","FQ2 2016","Currency=INR","Period=FQ","BEST_FPERIOD_OVERRIDE=FQ","FILING_STATUS=OR","EQY_CONSOLIDATED=Y","FA_ADJUSTED=GAAP","Sort=A","Dates=H","DateFormat=P","Fill=—","Direction=H","UseDPDF=Y")</f>
        <v>#NAME?</v>
      </c>
      <c r="CG640" s="2" t="e">
        <f ca="1">_xll.BDH($C$628,"COM_EQY_TO_TOT_ASSET","FQ2 2016","FQ2 2016","Currency=INR","Period=FQ","BEST_FPERIOD_OVERRIDE=FQ","FILING_STATUS=OR","EQY_CONSOLIDATED=Y","Sort=A","Dates=H","DateFormat=P","Fill=—","Direction=H","UseDPDF=Y")</f>
        <v>#NAME?</v>
      </c>
      <c r="CH640" s="2" t="e">
        <f ca="1">_xll.BDH($C$628,"LT_DEBT_TO_TOT_EQY","FQ2 2016","FQ2 2016","Currency=INR","Period=FQ","BEST_FPERIOD_OVERRIDE=FQ","FILING_STATUS=OR","EQY_CONSOLIDATED=Y","Sort=A","Dates=H","DateFormat=P","Fill=—","Direction=H","UseDPDF=Y")</f>
        <v>#NAME?</v>
      </c>
      <c r="CI640" s="2" t="e">
        <f ca="1">_xll.BDH($C$628,"LT_DEBT_TO_TOT_CAP","FQ2 2016","FQ2 2016","Currency=INR","Period=FQ","BEST_FPERIOD_OVERRIDE=FQ","FILING_STATUS=OR","EQY_CONSOLIDATED=Y","Sort=A","Dates=H","DateFormat=P","Fill=—","Direction=H","UseDPDF=Y")</f>
        <v>#NAME?</v>
      </c>
      <c r="CJ640" s="2" t="e">
        <f ca="1">_xll.BDH($C$628,"LT_DEBT_TO_TOT_ASSET","FQ2 2016","FQ2 2016","Currency=INR","Period=FQ","BEST_FPERIOD_OVERRIDE=FQ","FILING_STATUS=OR","EQY_CONSOLIDATED=Y","Sort=A","Dates=H","DateFormat=P","Fill=—","Direction=H","UseDPDF=Y")</f>
        <v>#NAME?</v>
      </c>
      <c r="CK640" s="2" t="e">
        <f ca="1">_xll.BDH($C$628,"TOT_DEBT_TO_TOT_EQY","FQ2 2016","FQ2 2016","Currency=INR","Period=FQ","BEST_FPERIOD_OVERRIDE=FQ","FILING_STATUS=OR","EQY_CONSOLIDATED=Y","Sort=A","Dates=H","DateFormat=P","Fill=—","Direction=H","UseDPDF=Y")</f>
        <v>#NAME?</v>
      </c>
      <c r="CL640" s="2" t="e">
        <f ca="1">_xll.BDH($C$628,"TOT_DEBT_TO_TOT_CAP","FQ2 2016","FQ2 2016","Currency=INR","Period=FQ","BEST_FPERIOD_OVERRIDE=FQ","FILING_STATUS=OR","EQY_CONSOLIDATED=Y","Sort=A","Dates=H","DateFormat=P","Fill=—","Direction=H","UseDPDF=Y")</f>
        <v>#NAME?</v>
      </c>
      <c r="CM640" s="2" t="e">
        <f ca="1">_xll.BDH($C$628,"TOT_DEBT_TO_TOT_ASSET","FQ2 2016","FQ2 2016","Currency=INR","Period=FQ","BEST_FPERIOD_OVERRIDE=FQ","FILING_STATUS=OR","EQY_CONSOLIDATED=Y","Sort=A","Dates=H","DateFormat=P","Fill=—","Direction=H","UseDPDF=Y")</f>
        <v>#NAME?</v>
      </c>
      <c r="CN640" s="2" t="e">
        <f ca="1">_xll.BDH($C$628,"NET_DEBT_TO_SHRHLDR_EQTY","FQ2 2016","FQ2 2016","Currency=INR","Period=FQ","BEST_FPERIOD_OVERRIDE=FQ","FILING_STATUS=OR","EQY_CONSOLIDATED=Y","Sort=A","Dates=H","DateFormat=P","Fill=—","Direction=H","UseDPDF=Y")</f>
        <v>#NAME?</v>
      </c>
      <c r="CO640" s="2" t="e">
        <f ca="1">_xll.BDH($C$628,"NET_DEBT_%_CAPITAL","FQ2 2016","FQ2 2016","Currency=INR","Period=FQ","BEST_FPERIOD_OVERRIDE=FQ","FILING_STATUS=OR","EQY_CONSOLIDATED=Y","Sort=A","Dates=H","DateFormat=P","Fill=—","Direction=H","UseDPDF=Y")</f>
        <v>#NAME?</v>
      </c>
      <c r="CP640" s="3" t="e">
        <f ca="1">_xll.BDH($C$628,"EBITDA","FQ2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Q640" s="3" t="e">
        <f ca="1">_xll.BDH($C$628,"EBITDA_AFTER_CAPEX","FQ2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R640" s="3" t="e">
        <f ca="1">_xll.BDH($C$628,"IS_OPER_INC","FQ2 2016","FQ2 2016","Currency=INR","Period=FQ","BEST_FPERIOD_OVERRIDE=FQ","FILING_STATUS=OR","EQY_CONSOLIDATED=Y","SCALING_FORMAT=MLN","FA_ADJUSTED=GAAP","Sort=A","Dates=H","DateFormat=P","Fill=—","Direction=H","UseDPDF=Y")</f>
        <v>#NAME?</v>
      </c>
      <c r="CS640" s="2" t="e">
        <f ca="1">_xll.BDH($C$628,"CASH_RATIO","FQ2 2016","FQ2 2016","Currency=INR","Period=FQ","BEST_FPERIOD_OVERRIDE=FQ","FILING_STATUS=OR","EQY_CONSOLIDATED=Y","Sort=A","Dates=H","DateFormat=P","Fill=—","Direction=H","UseDPDF=Y")</f>
        <v>#NAME?</v>
      </c>
      <c r="CT640" s="2" t="e">
        <f ca="1">_xll.BDH($C$628,"CUR_RATIO","FQ2 2016","FQ2 2016","Currency=INR","Period=FQ","BEST_FPERIOD_OVERRIDE=FQ","FILING_STATUS=OR","EQY_CONSOLIDATED=Y","Sort=A","Dates=H","DateFormat=P","Fill=—","Direction=H","UseDPDF=Y")</f>
        <v>#NAME?</v>
      </c>
      <c r="CU640" s="2" t="e">
        <f ca="1">_xll.BDH($C$628,"QUICK_RATIO","FQ2 2016","FQ2 2016","Currency=INR","Period=FQ","BEST_FPERIOD_OVERRIDE=FQ","FILING_STATUS=OR","EQY_CONSOLIDATED=Y","Sort=A","Dates=H","DateFormat=P","Fill=—","Direction=H","UseDPDF=Y")</f>
        <v>#NAME?</v>
      </c>
      <c r="CV640" s="2" t="e">
        <f ca="1">_xll.BDH($C$628,"ALTMAN_Z_SCORE","FQ2 2016","FQ2 2016","Currency=INR","Period=FQ","BEST_FPERIOD_OVERRIDE=FQ","FILING_STATUS=OR","EQY_CONSOLIDATED=Y","Sort=A","Dates=H","DateFormat=P","Fill=—","Direction=H","UseDPDF=Y")</f>
        <v>#NAME?</v>
      </c>
      <c r="CW640" s="4" t="e">
        <f ca="1">_xll.BDH($C$628,"ACCT_RCV_TURN","FQ2 2016","FQ2 2016","Currency=INR","Period=FQ","BEST_FPERIOD_OVERRIDE=FQ","FILING_STATUS=OR","EQY_CONSOLIDATED=Y","FA_ADJUSTED=GAAP","Sort=A","Dates=H","DateFormat=P","Fill=—","Direction=H","UseDPDF=Y")</f>
        <v>#NAME?</v>
      </c>
      <c r="CX640" s="2" t="e">
        <f ca="1">_xll.BDH($C$628,"ACCT_RCV_DAYS","FQ2 2016","FQ2 2016","Currency=INR","Period=FQ","BEST_FPERIOD_OVERRIDE=FQ","FILING_STATUS=OR","EQY_CONSOLIDATED=Y","FA_ADJUSTED=GAAP","Sort=A","Dates=H","DateFormat=P","Fill=—","Direction=H","UseDPDF=Y")</f>
        <v>#NAME?</v>
      </c>
      <c r="CY640" s="4" t="e">
        <f ca="1">_xll.BDH($C$628,"INVENT_TURN","FQ2 2016","FQ2 2016","Currency=INR","Period=FQ","BEST_FPERIOD_OVERRIDE=FQ","FILING_STATUS=OR","EQY_CONSOLIDATED=Y","FA_ADJUSTED=GAAP","Sort=A","Dates=H","DateFormat=P","Fill=—","Direction=H","UseDPDF=Y")</f>
        <v>#NAME?</v>
      </c>
      <c r="CZ640" s="2" t="e">
        <f ca="1">_xll.BDH($C$628,"INVENT_DAYS","FQ2 2016","FQ2 2016","Currency=INR","Period=FQ","BEST_FPERIOD_OVERRIDE=FQ","FILING_STATUS=OR","EQY_CONSOLIDATED=Y","FA_ADJUSTED=GAAP","Sort=A","Dates=H","DateFormat=P","Fill=—","Direction=H","UseDPDF=Y")</f>
        <v>#NAME?</v>
      </c>
      <c r="DA640" s="4" t="e">
        <f ca="1">_xll.BDH($C$628,"ACCOUNTS_PAYABLE_TURNOVER","FQ2 2016","FQ2 2016","Currency=INR","Period=FQ","BEST_FPERIOD_OVERRIDE=FQ","FILING_STATUS=OR","EQY_CONSOLIDATED=Y","FA_ADJUSTED=GAAP","Sort=A","Dates=H","DateFormat=P","Fill=—","Direction=H","UseDPDF=Y")</f>
        <v>#NAME?</v>
      </c>
      <c r="DB640" s="2" t="e">
        <f ca="1">_xll.BDH($C$628,"ACCOUNTS_PAYABLE_TURNOVER_DAYS","FQ2 2016","FQ2 2016","Currency=INR","Period=FQ","BEST_FPERIOD_OVERRIDE=FQ","FILING_STATUS=OR","EQY_CONSOLIDATED=Y","FA_ADJUSTED=GAAP","Sort=A","Dates=H","DateFormat=P","Fill=—","Direction=H","UseDPDF=Y")</f>
        <v>#NAME?</v>
      </c>
      <c r="DC640" s="4" t="e">
        <f ca="1">_xll.BDH($C$628,"CASH_CONVERSION_CYCLE","FQ2 2016","FQ2 2016","Currency=INR","Period=FQ","BEST_FPERIOD_OVERRIDE=FQ","FILING_STATUS=OR","EQY_CONSOLIDATED=Y","FA_ADJUSTED=GAAP","Sort=A","Dates=H","DateFormat=P","Fill=—","Direction=H","UseDPDF=Y")</f>
        <v>#NAME?</v>
      </c>
      <c r="DD640" s="4" t="e">
        <f ca="1">_xll.BDH($C$628,"INV_TO_CASH_DAYS","FQ2 2016","FQ2 2016","Currency=INR","Period=FQ","BEST_FPERIOD_OVERRIDE=FQ","FILING_STATUS=OR","EQY_CONSOLIDATED=Y","FA_ADJUSTED=GAAP","Sort=A","Dates=H","DateFormat=P","Fill=—","Direction=H","UseDPDF=Y")</f>
        <v>#NAME?</v>
      </c>
      <c r="DE640" s="5" t="e">
        <f ca="1">_xll.BDH($C$628,"BS_INVENTORIES","FQ2 2016","FQ2 2016","Currency=INR","Period=FQ","BEST_FPERIOD_OVERRIDE=FQ","FILING_STATUS=OR","EQY_CONSOLIDATED=Y","SCALING_FORMAT=MLN","Sort=A","Dates=H","DateFormat=P","Fill=—","Direction=H","UseDPDF=Y")</f>
        <v>#NAME?</v>
      </c>
      <c r="DF640" s="3" t="e">
        <f ca="1">_xll.BDH($C$628,"INVTRY_RAW_MATERIALS","FQ2 2016","FQ2 2016","Currency=INR","Period=FQ","BEST_FPERIOD_OVERRIDE=FQ","FILING_STATUS=OR","EQY_CONSOLIDATED=Y","SCALING_FORMAT=MLN","Sort=A","Dates=H","DateFormat=P","Fill=—","Direction=H","UseDPDF=Y")</f>
        <v>#NAME?</v>
      </c>
      <c r="DG640" s="3" t="e">
        <f ca="1">_xll.BDH($C$628,"INVTRY_IN_PROGRESS","FQ2 2016","FQ2 2016","Currency=INR","Period=FQ","BEST_FPERIOD_OVERRIDE=FQ","FILING_STATUS=OR","EQY_CONSOLIDATED=Y","SCALING_FORMAT=MLN","Sort=A","Dates=H","DateFormat=P","Fill=—","Direction=H","UseDPDF=Y")</f>
        <v>#NAME?</v>
      </c>
      <c r="DH640" s="3" t="e">
        <f ca="1">_xll.BDH($C$628,"INVTRY_FINISHED_GOODS","FQ2 2016","FQ2 2016","Currency=INR","Period=FQ","BEST_FPERIOD_OVERRIDE=FQ","FILING_STATUS=OR","EQY_CONSOLIDATED=Y","SCALING_FORMAT=MLN","Sort=A","Dates=H","DateFormat=P","Fill=—","Direction=H","UseDPDF=Y")</f>
        <v>#NAME?</v>
      </c>
      <c r="DI640" s="3" t="e">
        <f ca="1">_xll.BDH($C$628,"BS_OTHER_INV","FQ2 2016","FQ2 2016","Currency=INR","Period=FQ","BEST_FPERIOD_OVERRIDE=FQ","FILING_STATUS=OR","EQY_CONSOLIDATED=Y","SCALING_FORMAT=MLN","Sort=A","Dates=H","DateFormat=P","Fill=—","Direction=H","UseDPDF=Y")</f>
        <v>#NAME?</v>
      </c>
    </row>
    <row r="641" spans="1:113" x14ac:dyDescent="0.3">
      <c r="A641" s="6"/>
      <c r="B641" s="6"/>
      <c r="C641" s="6"/>
      <c r="D641" s="6"/>
      <c r="E641" t="s">
        <v>80</v>
      </c>
      <c r="F641" t="e">
        <f ca="1">_xll.BDH($C$628,"RETURN_COM_EQY","FQ3 2016","FQ3 2016","Currency=INR","Period=FQ","BEST_FPERIOD_OVERRIDE=FQ","FILING_STATUS=OR","EQY_CONSOLIDATED=Y","FA_ADJUSTED=GAAP","Sort=A","Dates=H","DateFormat=P","Fill=—","Direction=H","UseDPDF=Y")</f>
        <v>#NAME?</v>
      </c>
      <c r="G641" t="e">
        <f ca="1">_xll.BDH($C$628,"RETURN_ON_ASSET","FQ3 2016","FQ3 2016","Currency=INR","Period=FQ","BEST_FPERIOD_OVERRIDE=FQ","FILING_STATUS=OR","EQY_CONSOLIDATED=Y","FA_ADJUSTED=GAAP","Sort=A","Dates=H","DateFormat=P","Fill=—","Direction=H","UseDPDF=Y")</f>
        <v>#NAME?</v>
      </c>
      <c r="H641" t="e">
        <f ca="1">_xll.BDH($C$628,"RETURN_ON_CAP","FQ3 2016","FQ3 2016","Currency=INR","Period=FQ","BEST_FPERIOD_OVERRIDE=FQ","FILING_STATUS=OR","EQY_CONSOLIDATED=Y","FA_ADJUSTED=GAAP","Sort=A","Dates=H","DateFormat=P","Fill=—","Direction=H","UseDPDF=Y")</f>
        <v>#NAME?</v>
      </c>
      <c r="I641" t="e">
        <f ca="1">_xll.BDH($C$628,"RETURN_ON_INV_CAPITAL","FQ3 2016","FQ3 2016","Currency=INR","Period=FQ","BEST_FPERIOD_OVERRIDE=FQ","FILING_STATUS=OR","EQY_CONSOLIDATED=Y","FA_ADJUSTED=GAAP","Sort=A","Dates=H","DateFormat=P","Fill=—","Direction=H","UseDPDF=Y")</f>
        <v>#NAME?</v>
      </c>
      <c r="J641" t="e">
        <f ca="1">_xll.BDH($C$628,"EBITDA_TO_REVENUE","FQ3 2016","FQ3 2016","Currency=INR","Period=FQ","BEST_FPERIOD_OVERRIDE=FQ","FILING_STATUS=OR","EQY_CONSOLIDATED=Y","FA_ADJUSTED=GAAP","Sort=A","Dates=H","DateFormat=P","Fill=—","Direction=H","UseDPDF=Y")</f>
        <v>#NAME?</v>
      </c>
      <c r="K641" t="e">
        <f ca="1">_xll.BDH($C$628,"OPER_MARGIN","FQ3 2016","FQ3 2016","Currency=INR","Period=FQ","BEST_FPERIOD_OVERRIDE=FQ","FILING_STATUS=OR","EQY_CONSOLIDATED=Y","FA_ADJUSTED=GAAP","Sort=A","Dates=H","DateFormat=P","Fill=—","Direction=H","UseDPDF=Y")</f>
        <v>#NAME?</v>
      </c>
      <c r="L641" t="e">
        <f ca="1">_xll.BDH($C$628,"INCREMENTAL_OPERATING_MARGIN","FQ3 2016","FQ3 2016","Currency=INR","Period=FQ","BEST_FPERIOD_OVERRIDE=FQ","FILING_STATUS=OR","EQY_CONSOLIDATED=Y","FA_ADJUSTED=GAAP","Sort=A","Dates=H","DateFormat=P","Fill=—","Direction=H","UseDPDF=Y")</f>
        <v>#NAME?</v>
      </c>
      <c r="M641" t="e">
        <f ca="1">_xll.BDH($C$628,"PRETAX_INC_TO_NET_SALES","FQ3 2016","FQ3 2016","Currency=INR","Period=FQ","BEST_FPERIOD_OVERRIDE=FQ","FILING_STATUS=OR","EQY_CONSOLIDATED=Y","FA_ADJUSTED=GAAP","Sort=A","Dates=H","DateFormat=P","Fill=—","Direction=H","UseDPDF=Y")</f>
        <v>#NAME?</v>
      </c>
      <c r="N641" t="e">
        <f ca="1">_xll.BDH($C$628,"INC_BEF_XO_ITEMS_TO_NET_SALES","FQ3 2016","FQ3 2016","Currency=INR","Period=FQ","BEST_FPERIOD_OVERRIDE=FQ","FILING_STATUS=OR","EQY_CONSOLIDATED=Y","FA_ADJUSTED=GAAP","Sort=A","Dates=H","DateFormat=P","Fill=—","Direction=H","UseDPDF=Y")</f>
        <v>#NAME?</v>
      </c>
      <c r="O641" t="e">
        <f ca="1">_xll.BDH($C$628,"PROF_MARGIN","FQ3 2016","FQ3 2016","Currency=INR","Period=FQ","BEST_FPERIOD_OVERRIDE=FQ","FILING_STATUS=OR","EQY_CONSOLIDATED=Y","FA_ADJUSTED=GAAP","Sort=A","Dates=H","DateFormat=P","Fill=—","Direction=H","UseDPDF=Y")</f>
        <v>#NAME?</v>
      </c>
      <c r="P641" t="e">
        <f ca="1">_xll.BDH($C$628,"NET_INCOME_TO_COMMON_MARGIN","FQ3 2016","FQ3 2016","Currency=INR","Period=FQ","BEST_FPERIOD_OVERRIDE=FQ","FILING_STATUS=OR","EQY_CONSOLIDATED=Y","FA_ADJUSTED=GAAP","Sort=A","Dates=H","DateFormat=P","Fill=—","Direction=H","UseDPDF=Y")</f>
        <v>#NAME?</v>
      </c>
      <c r="Q641" t="e">
        <f ca="1">_xll.BDH($C$628,"EFF_TAX_RATE","FQ3 2016","FQ3 2016","Currency=INR","Period=FQ","BEST_FPERIOD_OVERRIDE=FQ","FILING_STATUS=OR","EQY_CONSOLIDATED=Y","FA_ADJUSTED=GAAP","Sort=A","Dates=H","DateFormat=P","Fill=—","Direction=H","UseDPDF=Y")</f>
        <v>#NAME?</v>
      </c>
      <c r="R641" t="e">
        <f ca="1">_xll.BDH($C$628,"DVD_PAYOUT_RATIO","FQ3 2016","FQ3 2016","Currency=INR","Period=FQ","BEST_FPERIOD_OVERRIDE=FQ","FILING_STATUS=OR","EQY_CONSOLIDATED=Y","FA_ADJUSTED=GAAP","Sort=A","Dates=H","DateFormat=P","Fill=—","Direction=H","UseDPDF=Y")</f>
        <v>#NAME?</v>
      </c>
      <c r="S641" t="e">
        <f ca="1">_xll.BDH($C$628,"SUSTAIN_GROWTH_RT","FQ3 2016","FQ3 2016","Currency=INR","Period=FQ","BEST_FPERIOD_OVERRIDE=FQ","FILING_STATUS=OR","EQY_CONSOLIDATED=Y","FA_ADJUSTED=GAAP","Sort=A","Dates=H","DateFormat=P","Fill=—","Direction=H","UseDPDF=Y")</f>
        <v>#NAME?</v>
      </c>
      <c r="T641" s="2" t="e">
        <f ca="1">_xll.BDH($C$628,"SALES_GROWTH","FQ3 2016","FQ3 2016","Currency=INR","Period=FQ","BEST_FPERIOD_OVERRIDE=FQ","FILING_STATUS=OR","EQY_CONSOLIDATED=Y","FA_ADJUSTED=GAAP","Sort=A","Dates=H","DateFormat=P","Fill=—","Direction=H","UseDPDF=Y")</f>
        <v>#NAME?</v>
      </c>
      <c r="U641" s="2" t="e">
        <f ca="1">_xll.BDH($C$628,"EBITDA_GROWTH","FQ3 2016","FQ3 2016","Currency=INR","Period=FQ","BEST_FPERIOD_OVERRIDE=FQ","FILING_STATUS=OR","EQY_CONSOLIDATED=Y","FA_ADJUSTED=GAAP","Sort=A","Dates=H","DateFormat=P","Fill=—","Direction=H","UseDPDF=Y")</f>
        <v>#NAME?</v>
      </c>
      <c r="V641" s="2" t="e">
        <f ca="1">_xll.BDH($C$628,"OPER_INC_GROWTH","FQ3 2016","FQ3 2016","Currency=INR","Period=FQ","BEST_FPERIOD_OVERRIDE=FQ","FILING_STATUS=OR","EQY_CONSOLIDATED=Y","FA_ADJUSTED=GAAP","Sort=A","Dates=H","DateFormat=P","Fill=—","Direction=H","UseDPDF=Y")</f>
        <v>#NAME?</v>
      </c>
      <c r="W641" s="2" t="e">
        <f ca="1">_xll.BDH($C$628,"EARN_FOR_COM_GROWTH","FQ3 2016","FQ3 2016","Currency=INR","Period=FQ","BEST_FPERIOD_OVERRIDE=FQ","FILING_STATUS=OR","EQY_CONSOLIDATED=Y","FA_ADJUSTED=GAAP","Sort=A","Dates=H","DateFormat=P","Fill=—","Direction=H","UseDPDF=Y")</f>
        <v>#NAME?</v>
      </c>
      <c r="X641" s="2" t="e">
        <f ca="1">_xll.BDH($C$628,"DILUTED_EPS_AFT_XO_ITEMS_GROWTH","FQ3 2016","FQ3 2016","Currency=INR","Period=FQ","BEST_FPERIOD_OVERRIDE=FQ","FILING_STATUS=OR","EQY_CONSOLIDATED=Y","FA_ADJUSTED=GAAP","Sort=A","Dates=H","DateFormat=P","Fill=—","Direction=H","UseDPDF=Y")</f>
        <v>#NAME?</v>
      </c>
      <c r="Y641" s="2" t="e">
        <f ca="1">_xll.BDH($C$628,"DIVIDEND_PER_SHARE_1_YEAR_GROWTH","FQ3 2016","FQ3 2016","Currency=INR","Period=FQ","BEST_FPERIOD_OVERRIDE=FQ","FILING_STATUS=OR","EQY_CONSOLIDATED=Y","Sort=A","Dates=H","DateFormat=P","Fill=—","Direction=H","UseDPDF=Y")</f>
        <v>#NAME?</v>
      </c>
      <c r="Z641" s="2" t="e">
        <f ca="1">_xll.BDH($C$628,"ACCOUNTS_RECEIVABLE_GROWTH","FQ3 2016","FQ3 2016","Currency=INR","Period=FQ","BEST_FPERIOD_OVERRIDE=FQ","FILING_STATUS=OR","EQY_CONSOLIDATED=Y","Sort=A","Dates=H","DateFormat=P","Fill=—","Direction=H","UseDPDF=Y")</f>
        <v>#NAME?</v>
      </c>
      <c r="AA641" s="2" t="e">
        <f ca="1">_xll.BDH($C$628,"INVENTORY_GROWTH","FQ3 2016","FQ3 2016","Currency=INR","Period=FQ","BEST_FPERIOD_OVERRIDE=FQ","FILING_STATUS=OR","EQY_CONSOLIDATED=Y","Sort=A","Dates=H","DateFormat=P","Fill=—","Direction=H","UseDPDF=Y")</f>
        <v>#NAME?</v>
      </c>
      <c r="AB641" s="2" t="e">
        <f ca="1">_xll.BDH($C$628,"NET_FIXED_ASSETS_1_YEAR_GROWTH","FQ3 2016","FQ3 2016","Currency=INR","Period=FQ","BEST_FPERIOD_OVERRIDE=FQ","FILING_STATUS=OR","EQY_CONSOLIDATED=Y","Sort=A","Dates=H","DateFormat=P","Fill=—","Direction=H","UseDPDF=Y")</f>
        <v>#NAME?</v>
      </c>
      <c r="AC641" s="2" t="e">
        <f ca="1">_xll.BDH($C$628,"ASSET_GROWTH","FQ3 2016","FQ3 2016","Currency=INR","Period=FQ","BEST_FPERIOD_OVERRIDE=FQ","FILING_STATUS=OR","EQY_CONSOLIDATED=Y","Sort=A","Dates=H","DateFormat=P","Fill=—","Direction=H","UseDPDF=Y")</f>
        <v>#NAME?</v>
      </c>
      <c r="AD641" s="2" t="e">
        <f ca="1">_xll.BDH($C$628,"MODIFIED_WORK_CAP_GROWTH","FQ3 2016","FQ3 2016","Currency=INR","Period=FQ","BEST_FPERIOD_OVERRIDE=FQ","FILING_STATUS=OR","EQY_CONSOLIDATED=Y","Sort=A","Dates=H","DateFormat=P","Fill=—","Direction=H","UseDPDF=Y")</f>
        <v>#NAME?</v>
      </c>
      <c r="AE641" s="2" t="e">
        <f ca="1">_xll.BDH($C$628,"WORK_CAP_GROWTH","FQ3 2016","FQ3 2016","Currency=INR","Period=FQ","BEST_FPERIOD_OVERRIDE=FQ","FILING_STATUS=OR","EQY_CONSOLIDATED=Y","Sort=A","Dates=H","DateFormat=P","Fill=—","Direction=H","UseDPDF=Y")</f>
        <v>#NAME?</v>
      </c>
      <c r="AF641" s="2" t="e">
        <f ca="1">_xll.BDH($C$628,"ACCOUNTS_PAYABLE_GROWTH_1YR","FQ3 2016","FQ3 2016","Currency=INR","Period=FQ","BEST_FPERIOD_OVERRIDE=FQ","FILING_STATUS=OR","EQY_CONSOLIDATED=Y","Sort=A","Dates=H","DateFormat=P","Fill=—","Direction=H","UseDPDF=Y")</f>
        <v>#NAME?</v>
      </c>
      <c r="AG641" s="2" t="e">
        <f ca="1">_xll.BDH($C$628,"SHORT_TERM_DEBT_1_YEAR_GROWTH","FQ3 2016","FQ3 2016","Currency=INR","Period=FQ","BEST_FPERIOD_OVERRIDE=FQ","FILING_STATUS=OR","EQY_CONSOLIDATED=Y","Sort=A","Dates=H","DateFormat=P","Fill=—","Direction=H","UseDPDF=Y")</f>
        <v>#NAME?</v>
      </c>
      <c r="AH641" s="2" t="e">
        <f ca="1">_xll.BDH($C$628,"TOTAL_DEBT_1_YEAR_GROWTH","FQ3 2016","FQ3 2016","Currency=INR","Period=FQ","BEST_FPERIOD_OVERRIDE=FQ","FILING_STATUS=OR","EQY_CONSOLIDATED=Y","Sort=A","Dates=H","DateFormat=P","Fill=—","Direction=H","UseDPDF=Y")</f>
        <v>#NAME?</v>
      </c>
      <c r="AI641" s="2" t="e">
        <f ca="1">_xll.BDH($C$628,"TOTAL_EQUITY_1_YEAR_GROWTH","FQ3 2016","FQ3 2016","Currency=INR","Period=FQ","BEST_FPERIOD_OVERRIDE=FQ","FILING_STATUS=OR","EQY_CONSOLIDATED=Y","Sort=A","Dates=H","DateFormat=P","Fill=—","Direction=H","UseDPDF=Y")</f>
        <v>#NAME?</v>
      </c>
      <c r="AJ641" s="2" t="e">
        <f ca="1">_xll.BDH($C$628,"GROWTH_IN_CAP","FQ3 2016","FQ3 2016","Currency=INR","Period=FQ","BEST_FPERIOD_OVERRIDE=FQ","FILING_STATUS=OR","EQY_CONSOLIDATED=Y","Sort=A","Dates=H","DateFormat=P","Fill=—","Direction=H","UseDPDF=Y")</f>
        <v>#NAME?</v>
      </c>
      <c r="AK641" s="2" t="e">
        <f ca="1">_xll.BDH($C$628,"BVPS_GROWTH","FQ3 2016","FQ3 2016","Currency=INR","Period=FQ","BEST_FPERIOD_OVERRIDE=FQ","FILING_STATUS=OR","EQY_CONSOLIDATED=Y","Sort=A","Dates=H","DateFormat=P","Fill=—","Direction=H","UseDPDF=Y")</f>
        <v>#NAME?</v>
      </c>
      <c r="AL641" s="2" t="e">
        <f ca="1">_xll.BDH($C$628,"CASH_FLOW_GROWTH","FQ3 2016","FQ3 2016","Currency=INR","Period=FQ","BEST_FPERIOD_OVERRIDE=FQ","FILING_STATUS=OR","EQY_CONSOLIDATED=Y","Sort=A","Dates=H","DateFormat=P","Fill=—","Direction=H","UseDPDF=Y")</f>
        <v>#NAME?</v>
      </c>
      <c r="AM641" s="2" t="e">
        <f ca="1">_xll.BDH($C$628,"GEO_GROW_NET_SALES","FQ3 2016","FQ3 2016","Currency=INR","Period=FQ","BEST_FPERIOD_OVERRIDE=FQ","FILING_STATUS=OR","EQY_CONSOLIDATED=Y","FA_ADJUSTED=GAAP","Sort=A","Dates=H","DateFormat=P","Fill=—","Direction=H","UseDPDF=Y")</f>
        <v>#NAME?</v>
      </c>
      <c r="AN641" s="2" t="e">
        <f ca="1">_xll.BDH($C$628,"GEO_GROW_EBITDA","FQ3 2016","FQ3 2016","Currency=INR","Period=FQ","BEST_FPERIOD_OVERRIDE=FQ","FILING_STATUS=OR","EQY_CONSOLIDATED=Y","FA_ADJUSTED=GAAP","Sort=A","Dates=H","DateFormat=P","Fill=—","Direction=H","UseDPDF=Y")</f>
        <v>#NAME?</v>
      </c>
      <c r="AO641" s="2" t="e">
        <f ca="1">_xll.BDH($C$628,"GEO_GROW_OPER_INC","FQ3 2016","FQ3 2016","Currency=INR","Period=FQ","BEST_FPERIOD_OVERRIDE=FQ","FILING_STATUS=OR","EQY_CONSOLIDATED=Y","FA_ADJUSTED=GAAP","Sort=A","Dates=H","DateFormat=P","Fill=—","Direction=H","UseDPDF=Y")</f>
        <v>#NAME?</v>
      </c>
      <c r="AP641" s="2" t="e">
        <f ca="1">_xll.BDH($C$628,"NET_INCOME_TO_COMMON_5_YR_GROWTH","FQ3 2016","FQ3 2016","Currency=INR","Period=FQ","BEST_FPERIOD_OVERRIDE=FQ","FILING_STATUS=OR","EQY_CONSOLIDATED=Y","FA_ADJUSTED=GAAP","Sort=A","Dates=H","DateFormat=P","Fill=—","Direction=H","UseDPDF=Y")</f>
        <v>#NAME?</v>
      </c>
      <c r="AQ641" s="2" t="e">
        <f ca="1">_xll.BDH($C$628,"5Y_GEO_GROWTH_DILUTED_EPS","FQ3 2016","FQ3 2016","Currency=INR","Period=FQ","BEST_FPERIOD_OVERRIDE=FQ","FILING_STATUS=OR","EQY_CONSOLIDATED=Y","FA_ADJUSTED=GAAP","Sort=A","Dates=H","DateFormat=P","Fill=—","Direction=H","UseDPDF=Y")</f>
        <v>#NAME?</v>
      </c>
      <c r="AR641" s="2" t="e">
        <f ca="1">_xll.BDH($C$628,"GEO_GROW_DVD_PER_SH","FQ3 2016","FQ3 2016","Currency=INR","Period=FQ","BEST_FPERIOD_OVERRIDE=FQ","FILING_STATUS=OR","EQY_CONSOLIDATED=Y","Sort=A","Dates=H","DateFormat=P","Fill=—","Direction=H","UseDPDF=Y")</f>
        <v>#NAME?</v>
      </c>
      <c r="AS641" s="2" t="e">
        <f ca="1">_xll.BDH($C$628,"ACCOUNTS_RECEIVABLE_5_YR_GROWTH","FQ3 2016","FQ3 2016","Currency=INR","Period=FQ","BEST_FPERIOD_OVERRIDE=FQ","FILING_STATUS=OR","EQY_CONSOLIDATED=Y","Sort=A","Dates=H","DateFormat=P","Fill=—","Direction=H","UseDPDF=Y")</f>
        <v>#NAME?</v>
      </c>
      <c r="AT641" s="2" t="e">
        <f ca="1">_xll.BDH($C$628,"INVENTORY_5_YEAR_GROWTH","FQ3 2016","FQ3 2016","Currency=INR","Period=FQ","BEST_FPERIOD_OVERRIDE=FQ","FILING_STATUS=OR","EQY_CONSOLIDATED=Y","Sort=A","Dates=H","DateFormat=P","Fill=—","Direction=H","UseDPDF=Y")</f>
        <v>#NAME?</v>
      </c>
      <c r="AU641" s="2" t="e">
        <f ca="1">_xll.BDH($C$628,"NET_FIXED_ASSETS_5_YEAR_GROWTH","FQ3 2016","FQ3 2016","Currency=INR","Period=FQ","BEST_FPERIOD_OVERRIDE=FQ","FILING_STATUS=OR","EQY_CONSOLIDATED=Y","Sort=A","Dates=H","DateFormat=P","Fill=—","Direction=H","UseDPDF=Y")</f>
        <v>#NAME?</v>
      </c>
      <c r="AV641" s="2" t="e">
        <f ca="1">_xll.BDH($C$628,"GEO_GROW_TOT_ASSET","FQ3 2016","FQ3 2016","Currency=INR","Period=FQ","BEST_FPERIOD_OVERRIDE=FQ","FILING_STATUS=OR","EQY_CONSOLIDATED=Y","Sort=A","Dates=H","DateFormat=P","Fill=—","Direction=H","UseDPDF=Y")</f>
        <v>#NAME?</v>
      </c>
      <c r="AW641" s="2" t="e">
        <f ca="1">_xll.BDH($C$628,"MODIFIED_WORKING_CPTL_5YR_GRWTH","FQ3 2016","FQ3 2016","Currency=INR","Period=FQ","BEST_FPERIOD_OVERRIDE=FQ","FILING_STATUS=OR","EQY_CONSOLIDATED=Y","Sort=A","Dates=H","DateFormat=P","Fill=—","Direction=H","UseDPDF=Y")</f>
        <v>#NAME?</v>
      </c>
      <c r="AX641" s="2" t="e">
        <f ca="1">_xll.BDH($C$628,"WORKING_CAPITAL_5_YEAR_GROWTH","FQ3 2016","FQ3 2016","Currency=INR","Period=FQ","BEST_FPERIOD_OVERRIDE=FQ","FILING_STATUS=OR","EQY_CONSOLIDATED=Y","Sort=A","Dates=H","DateFormat=P","Fill=—","Direction=H","UseDPDF=Y")</f>
        <v>#NAME?</v>
      </c>
      <c r="AY641" s="2" t="e">
        <f ca="1">_xll.BDH($C$628,"ACCOUNTS_PAYABLE_5_YEAR_GROWTH","FQ3 2016","FQ3 2016","Currency=INR","Period=FQ","BEST_FPERIOD_OVERRIDE=FQ","FILING_STATUS=OR","EQY_CONSOLIDATED=Y","Sort=A","Dates=H","DateFormat=P","Fill=—","Direction=H","UseDPDF=Y")</f>
        <v>#NAME?</v>
      </c>
      <c r="AZ641" s="2" t="e">
        <f ca="1">_xll.BDH($C$628,"SHORT_TERM_DEBT_5_YEAR_GROWTH","FQ3 2016","FQ3 2016","Currency=INR","Period=FQ","BEST_FPERIOD_OVERRIDE=FQ","FILING_STATUS=OR","EQY_CONSOLIDATED=Y","Sort=A","Dates=H","DateFormat=P","Fill=—","Direction=H","UseDPDF=Y")</f>
        <v>#NAME?</v>
      </c>
      <c r="BA641" s="2" t="e">
        <f ca="1">_xll.BDH($C$628,"TOTAL_DEBT_5_YEAR_GROWTH","FQ3 2016","FQ3 2016","Currency=INR","Period=FQ","BEST_FPERIOD_OVERRIDE=FQ","FILING_STATUS=OR","EQY_CONSOLIDATED=Y","Sort=A","Dates=H","DateFormat=P","Fill=—","Direction=H","UseDPDF=Y")</f>
        <v>#NAME?</v>
      </c>
      <c r="BB641" s="2" t="e">
        <f ca="1">_xll.BDH($C$628,"GEO_GROW_TOT_SHRHLDR_EQY","FQ3 2016","FQ3 2016","Currency=INR","Period=FQ","BEST_FPERIOD_OVERRIDE=FQ","FILING_STATUS=OR","EQY_CONSOLIDATED=Y","Sort=A","Dates=H","DateFormat=P","Fill=—","Direction=H","UseDPDF=Y")</f>
        <v>#NAME?</v>
      </c>
      <c r="BC641" s="2" t="e">
        <f ca="1">_xll.BDH($C$628,"TOTAL_CAPITAL_5_YEAR_GROWTH","FQ3 2016","FQ3 2016","Currency=INR","Period=FQ","BEST_FPERIOD_OVERRIDE=FQ","FILING_STATUS=OR","EQY_CONSOLIDATED=Y","Sort=A","Dates=H","DateFormat=P","Fill=—","Direction=H","UseDPDF=Y")</f>
        <v>#NAME?</v>
      </c>
      <c r="BD641" s="2" t="e">
        <f ca="1">_xll.BDH($C$628,"GEO_GROW_BOOK_VAL","FQ3 2016","FQ3 2016","Currency=INR","Period=FQ","BEST_FPERIOD_OVERRIDE=FQ","FILING_STATUS=OR","EQY_CONSOLIDATED=Y","Sort=A","Dates=H","DateFormat=P","Fill=—","Direction=H","UseDPDF=Y")</f>
        <v>#NAME?</v>
      </c>
      <c r="BE641" s="2" t="e">
        <f ca="1">_xll.BDH($C$628,"GEO_GROW_CASH_OPER_ACT","FQ3 2016","FQ3 2016","Currency=INR","Period=FQ","BEST_FPERIOD_OVERRIDE=FQ","FILING_STATUS=OR","EQY_CONSOLIDATED=Y","Sort=A","Dates=H","DateFormat=P","Fill=—","Direction=H","UseDPDF=Y")</f>
        <v>#NAME?</v>
      </c>
      <c r="BF641" s="2" t="e">
        <f ca="1">_xll.BDH($C$628,"REVENUE_SEQUENTIAL_GROWTH","FQ3 2016","FQ3 2016","Currency=INR","Period=FQ","BEST_FPERIOD_OVERRIDE=FQ","FILING_STATUS=OR","EQY_CONSOLIDATED=Y","FA_ADJUSTED=GAAP","Sort=A","Dates=H","DateFormat=P","Fill=—","Direction=H","UseDPDF=Y")</f>
        <v>#NAME?</v>
      </c>
      <c r="BG641" s="2" t="e">
        <f ca="1">_xll.BDH($C$628,"EBITDA_SEQUENTIAL_GROWTH","FQ3 2016","FQ3 2016","Currency=INR","Period=FQ","BEST_FPERIOD_OVERRIDE=FQ","FILING_STATUS=OR","EQY_CONSOLIDATED=Y","FA_ADJUSTED=GAAP","Sort=A","Dates=H","DateFormat=P","Fill=—","Direction=H","UseDPDF=Y")</f>
        <v>#NAME?</v>
      </c>
      <c r="BH641" s="2" t="e">
        <f ca="1">_xll.BDH($C$628,"OPERATING_INCOME_SEQ_GROWTH","FQ3 2016","FQ3 2016","Currency=INR","Period=FQ","BEST_FPERIOD_OVERRIDE=FQ","FILING_STATUS=OR","EQY_CONSOLIDATED=Y","FA_ADJUSTED=GAAP","Sort=A","Dates=H","DateFormat=P","Fill=—","Direction=H","UseDPDF=Y")</f>
        <v>#NAME?</v>
      </c>
      <c r="BI641" s="2" t="e">
        <f ca="1">_xll.BDH($C$628,"NET_INCOME_TO_COMMON_SEQ_GROWTH","FQ3 2016","FQ3 2016","Currency=INR","Period=FQ","BEST_FPERIOD_OVERRIDE=FQ","FILING_STATUS=OR","EQY_CONSOLIDATED=Y","FA_ADJUSTED=GAAP","Sort=A","Dates=H","DateFormat=P","Fill=—","Direction=H","UseDPDF=Y")</f>
        <v>#NAME?</v>
      </c>
      <c r="BJ641" s="2" t="e">
        <f ca="1">_xll.BDH($C$628,"EPS_DILUTED_SEQUENTIAL_GROWTH","FQ3 2016","FQ3 2016","Currency=INR","Period=FQ","BEST_FPERIOD_OVERRIDE=FQ","FILING_STATUS=OR","EQY_CONSOLIDATED=Y","FA_ADJUSTED=GAAP","Sort=A","Dates=H","DateFormat=P","Fill=—","Direction=H","UseDPDF=Y")</f>
        <v>#NAME?</v>
      </c>
      <c r="BK641" s="2" t="e">
        <f ca="1">_xll.BDH($C$628,"DPS_SEQUENTIAL_GROWTH","FQ3 2016","FQ3 2016","Currency=INR","Period=FQ","BEST_FPERIOD_OVERRIDE=FQ","FILING_STATUS=OR","EQY_CONSOLIDATED=Y","Sort=A","Dates=H","DateFormat=P","Fill=—","Direction=H","UseDPDF=Y")</f>
        <v>#NAME?</v>
      </c>
      <c r="BL641" s="2" t="e">
        <f ca="1">_xll.BDH($C$628,"ACCOUNTS_RECEIVABLE_SEQ_GROWTH","FQ3 2016","FQ3 2016","Currency=INR","Period=FQ","BEST_FPERIOD_OVERRIDE=FQ","FILING_STATUS=OR","EQY_CONSOLIDATED=Y","Sort=A","Dates=H","DateFormat=P","Fill=—","Direction=H","UseDPDF=Y")</f>
        <v>#NAME?</v>
      </c>
      <c r="BM641" s="2" t="e">
        <f ca="1">_xll.BDH($C$628,"INVENTORY_SEQUENTIAL_GROWTH","FQ3 2016","FQ3 2016","Currency=INR","Period=FQ","BEST_FPERIOD_OVERRIDE=FQ","FILING_STATUS=OR","EQY_CONSOLIDATED=Y","Sort=A","Dates=H","DateFormat=P","Fill=—","Direction=H","UseDPDF=Y")</f>
        <v>#NAME?</v>
      </c>
      <c r="BN641" s="2" t="e">
        <f ca="1">_xll.BDH($C$628,"FIXED_ASSETS_SEQUENTIAL_GROWTH","FQ3 2016","FQ3 2016","Currency=INR","Period=FQ","BEST_FPERIOD_OVERRIDE=FQ","FILING_STATUS=OR","EQY_CONSOLIDATED=Y","Sort=A","Dates=H","DateFormat=P","Fill=—","Direction=H","UseDPDF=Y")</f>
        <v>#NAME?</v>
      </c>
      <c r="BO641" s="2" t="e">
        <f ca="1">_xll.BDH($C$628,"TOTAL_ASSETS_SEQUENTIAL_GROWTH","FQ3 2016","FQ3 2016","Currency=INR","Period=FQ","BEST_FPERIOD_OVERRIDE=FQ","FILING_STATUS=OR","EQY_CONSOLIDATED=Y","Sort=A","Dates=H","DateFormat=P","Fill=—","Direction=H","UseDPDF=Y")</f>
        <v>#NAME?</v>
      </c>
      <c r="BP641" s="2" t="e">
        <f ca="1">_xll.BDH($C$628,"MODIFIED_WORKING_CPTL_SEQ_GRWTH","FQ3 2016","FQ3 2016","Currency=INR","Period=FQ","BEST_FPERIOD_OVERRIDE=FQ","FILING_STATUS=OR","EQY_CONSOLIDATED=Y","Sort=A","Dates=H","DateFormat=P","Fill=—","Direction=H","UseDPDF=Y")</f>
        <v>#NAME?</v>
      </c>
      <c r="BQ641" s="2" t="e">
        <f ca="1">_xll.BDH($C$628,"WORKING_CAPITAL_SEQ_GROWTH","FQ3 2016","FQ3 2016","Currency=INR","Period=FQ","BEST_FPERIOD_OVERRIDE=FQ","FILING_STATUS=OR","EQY_CONSOLIDATED=Y","Sort=A","Dates=H","DateFormat=P","Fill=—","Direction=H","UseDPDF=Y")</f>
        <v>#NAME?</v>
      </c>
      <c r="BR641" s="2" t="e">
        <f ca="1">_xll.BDH($C$628,"ACCOUNTS_PAYABLE_SEQ_GROWTH","FQ3 2016","FQ3 2016","Currency=INR","Period=FQ","BEST_FPERIOD_OVERRIDE=FQ","FILING_STATUS=OR","EQY_CONSOLIDATED=Y","Sort=A","Dates=H","DateFormat=P","Fill=—","Direction=H","UseDPDF=Y")</f>
        <v>#NAME?</v>
      </c>
      <c r="BS641" s="2" t="e">
        <f ca="1">_xll.BDH($C$628,"ST_DEBT_SEQUENTIAL_GROWTH","FQ3 2016","FQ3 2016","Currency=INR","Period=FQ","BEST_FPERIOD_OVERRIDE=FQ","FILING_STATUS=OR","EQY_CONSOLIDATED=Y","Sort=A","Dates=H","DateFormat=P","Fill=—","Direction=H","UseDPDF=Y")</f>
        <v>#NAME?</v>
      </c>
      <c r="BT641" s="2" t="e">
        <f ca="1">_xll.BDH($C$628,"TOTAL_DEBT_SEQUENTIAL_GROWTH","FQ3 2016","FQ3 2016","Currency=INR","Period=FQ","BEST_FPERIOD_OVERRIDE=FQ","FILING_STATUS=OR","EQY_CONSOLIDATED=Y","Sort=A","Dates=H","DateFormat=P","Fill=—","Direction=H","UseDPDF=Y")</f>
        <v>#NAME?</v>
      </c>
      <c r="BU641" s="2" t="e">
        <f ca="1">_xll.BDH($C$628,"TOTAL_EQUITY_SEQUENTIAL_GROWTH","FQ3 2016","FQ3 2016","Currency=INR","Period=FQ","BEST_FPERIOD_OVERRIDE=FQ","FILING_STATUS=OR","EQY_CONSOLIDATED=Y","Sort=A","Dates=H","DateFormat=P","Fill=—","Direction=H","UseDPDF=Y")</f>
        <v>#NAME?</v>
      </c>
      <c r="BV641" s="2" t="e">
        <f ca="1">_xll.BDH($C$628,"TOTAL_CAPITAL_SEQUENTIAL_GROWTH","FQ3 2016","FQ3 2016","Currency=INR","Period=FQ","BEST_FPERIOD_OVERRIDE=FQ","FILING_STATUS=OR","EQY_CONSOLIDATED=Y","Sort=A","Dates=H","DateFormat=P","Fill=—","Direction=H","UseDPDF=Y")</f>
        <v>#NAME?</v>
      </c>
      <c r="BW641" s="2" t="e">
        <f ca="1">_xll.BDH($C$628,"BPS_SEQUENTIAL_GROWTH","FQ3 2016","FQ3 2016","Currency=INR","Period=FQ","BEST_FPERIOD_OVERRIDE=FQ","FILING_STATUS=OR","EQY_CONSOLIDATED=Y","Sort=A","Dates=H","DateFormat=P","Fill=—","Direction=H","UseDPDF=Y")</f>
        <v>#NAME?</v>
      </c>
      <c r="BX641" s="2" t="e">
        <f ca="1">_xll.BDH($C$628,"CFO_SEQUENTIAL_GROWTH","FQ3 2016","FQ3 2016","Currency=INR","Period=FQ","BEST_FPERIOD_OVERRIDE=FQ","FILING_STATUS=OR","EQY_CONSOLIDATED=Y","Sort=A","Dates=H","DateFormat=P","Fill=—","Direction=H","UseDPDF=Y")</f>
        <v>#NAME?</v>
      </c>
      <c r="BY641" s="3" t="e">
        <f ca="1">_xll.BDH($C$628,"SHORT_AND_LONG_TERM_DEBT","FQ3 2016","FQ3 2016","Currency=INR","Period=FQ","BEST_FPERIOD_OVERRIDE=FQ","FILING_STATUS=OR","EQY_CONSOLIDATED=Y","SCALING_FORMAT=MLN","Sort=A","Dates=H","DateFormat=P","Fill=—","Direction=H","UseDPDF=Y")</f>
        <v>#NAME?</v>
      </c>
      <c r="BZ641" s="3" t="e">
        <f ca="1">_xll.BDH($C$628,"BS_ST_BORROW","FQ3 2016","FQ3 2016","Currency=INR","Period=FQ","BEST_FPERIOD_OVERRIDE=FQ","FILING_STATUS=OR","EQY_CONSOLIDATED=Y","SCALING_FORMAT=MLN","Sort=A","Dates=H","DateFormat=P","Fill=—","Direction=H","UseDPDF=Y")</f>
        <v>#NAME?</v>
      </c>
      <c r="CA641" s="3" t="e">
        <f ca="1">_xll.BDH($C$628,"BS_LT_BORROW","FQ3 2016","FQ3 2016","Currency=INR","Period=FQ","BEST_FPERIOD_OVERRIDE=FQ","FILING_STATUS=OR","EQY_CONSOLIDATED=Y","SCALING_FORMAT=MLN","Sort=A","Dates=H","DateFormat=P","Fill=—","Direction=H","UseDPDF=Y")</f>
        <v>#NAME?</v>
      </c>
      <c r="CB641" s="2" t="e">
        <f ca="1">_xll.BDH($C$628,"TOT_DEBT_TO_EBITDA","FQ3 2016","FQ3 2016","Currency=INR","Period=FQ","BEST_FPERIOD_OVERRIDE=FQ","FILING_STATUS=OR","EQY_CONSOLIDATED=Y","FA_ADJUSTED=GAAP","Sort=A","Dates=H","DateFormat=P","Fill=—","Direction=H","UseDPDF=Y")</f>
        <v>#NAME?</v>
      </c>
      <c r="CC641" s="2" t="e">
        <f ca="1">_xll.BDH($C$628,"NET_DEBT_TO_EBITDA","FQ3 2016","FQ3 2016","Currency=INR","Period=FQ","BEST_FPERIOD_OVERRIDE=FQ","FILING_STATUS=OR","EQY_CONSOLIDATED=Y","FA_ADJUSTED=GAAP","Sort=A","Dates=H","DateFormat=P","Fill=—","Direction=H","UseDPDF=Y")</f>
        <v>#NAME?</v>
      </c>
      <c r="CD641" s="2" t="e">
        <f ca="1">_xll.BDH($C$628,"TOTAL_DEBT_TO_EBIT","FQ3 2016","FQ3 2016","Currency=INR","Period=FQ","BEST_FPERIOD_OVERRIDE=FQ","FILING_STATUS=OR","EQY_CONSOLIDATED=Y","FA_ADJUSTED=GAAP","Sort=A","Dates=H","DateFormat=P","Fill=—","Direction=H","UseDPDF=Y")</f>
        <v>#NAME?</v>
      </c>
      <c r="CE641" s="2" t="e">
        <f ca="1">_xll.BDH($C$628,"NET_DEBT_TO_EBIT","FQ3 2016","FQ3 2016","Currency=INR","Period=FQ","BEST_FPERIOD_OVERRIDE=FQ","FILING_STATUS=OR","EQY_CONSOLIDATED=Y","FA_ADJUSTED=GAAP","Sort=A","Dates=H","DateFormat=P","Fill=—","Direction=H","UseDPDF=Y")</f>
        <v>#NAME?</v>
      </c>
      <c r="CF641" s="2" t="e">
        <f ca="1">_xll.BDH($C$628,"EBITDA_TO_INTEREST_EXPN","FQ3 2016","FQ3 2016","Currency=INR","Period=FQ","BEST_FPERIOD_OVERRIDE=FQ","FILING_STATUS=OR","EQY_CONSOLIDATED=Y","FA_ADJUSTED=GAAP","Sort=A","Dates=H","DateFormat=P","Fill=—","Direction=H","UseDPDF=Y")</f>
        <v>#NAME?</v>
      </c>
      <c r="CG641" s="2" t="e">
        <f ca="1">_xll.BDH($C$628,"COM_EQY_TO_TOT_ASSET","FQ3 2016","FQ3 2016","Currency=INR","Period=FQ","BEST_FPERIOD_OVERRIDE=FQ","FILING_STATUS=OR","EQY_CONSOLIDATED=Y","Sort=A","Dates=H","DateFormat=P","Fill=—","Direction=H","UseDPDF=Y")</f>
        <v>#NAME?</v>
      </c>
      <c r="CH641" s="2" t="e">
        <f ca="1">_xll.BDH($C$628,"LT_DEBT_TO_TOT_EQY","FQ3 2016","FQ3 2016","Currency=INR","Period=FQ","BEST_FPERIOD_OVERRIDE=FQ","FILING_STATUS=OR","EQY_CONSOLIDATED=Y","Sort=A","Dates=H","DateFormat=P","Fill=—","Direction=H","UseDPDF=Y")</f>
        <v>#NAME?</v>
      </c>
      <c r="CI641" s="2" t="e">
        <f ca="1">_xll.BDH($C$628,"LT_DEBT_TO_TOT_CAP","FQ3 2016","FQ3 2016","Currency=INR","Period=FQ","BEST_FPERIOD_OVERRIDE=FQ","FILING_STATUS=OR","EQY_CONSOLIDATED=Y","Sort=A","Dates=H","DateFormat=P","Fill=—","Direction=H","UseDPDF=Y")</f>
        <v>#NAME?</v>
      </c>
      <c r="CJ641" s="2" t="e">
        <f ca="1">_xll.BDH($C$628,"LT_DEBT_TO_TOT_ASSET","FQ3 2016","FQ3 2016","Currency=INR","Period=FQ","BEST_FPERIOD_OVERRIDE=FQ","FILING_STATUS=OR","EQY_CONSOLIDATED=Y","Sort=A","Dates=H","DateFormat=P","Fill=—","Direction=H","UseDPDF=Y")</f>
        <v>#NAME?</v>
      </c>
      <c r="CK641" s="2" t="e">
        <f ca="1">_xll.BDH($C$628,"TOT_DEBT_TO_TOT_EQY","FQ3 2016","FQ3 2016","Currency=INR","Period=FQ","BEST_FPERIOD_OVERRIDE=FQ","FILING_STATUS=OR","EQY_CONSOLIDATED=Y","Sort=A","Dates=H","DateFormat=P","Fill=—","Direction=H","UseDPDF=Y")</f>
        <v>#NAME?</v>
      </c>
      <c r="CL641" s="2" t="e">
        <f ca="1">_xll.BDH($C$628,"TOT_DEBT_TO_TOT_CAP","FQ3 2016","FQ3 2016","Currency=INR","Period=FQ","BEST_FPERIOD_OVERRIDE=FQ","FILING_STATUS=OR","EQY_CONSOLIDATED=Y","Sort=A","Dates=H","DateFormat=P","Fill=—","Direction=H","UseDPDF=Y")</f>
        <v>#NAME?</v>
      </c>
      <c r="CM641" s="2" t="e">
        <f ca="1">_xll.BDH($C$628,"TOT_DEBT_TO_TOT_ASSET","FQ3 2016","FQ3 2016","Currency=INR","Period=FQ","BEST_FPERIOD_OVERRIDE=FQ","FILING_STATUS=OR","EQY_CONSOLIDATED=Y","Sort=A","Dates=H","DateFormat=P","Fill=—","Direction=H","UseDPDF=Y")</f>
        <v>#NAME?</v>
      </c>
      <c r="CN641" s="2" t="e">
        <f ca="1">_xll.BDH($C$628,"NET_DEBT_TO_SHRHLDR_EQTY","FQ3 2016","FQ3 2016","Currency=INR","Period=FQ","BEST_FPERIOD_OVERRIDE=FQ","FILING_STATUS=OR","EQY_CONSOLIDATED=Y","Sort=A","Dates=H","DateFormat=P","Fill=—","Direction=H","UseDPDF=Y")</f>
        <v>#NAME?</v>
      </c>
      <c r="CO641" s="2" t="e">
        <f ca="1">_xll.BDH($C$628,"NET_DEBT_%_CAPITAL","FQ3 2016","FQ3 2016","Currency=INR","Period=FQ","BEST_FPERIOD_OVERRIDE=FQ","FILING_STATUS=OR","EQY_CONSOLIDATED=Y","Sort=A","Dates=H","DateFormat=P","Fill=—","Direction=H","UseDPDF=Y")</f>
        <v>#NAME?</v>
      </c>
      <c r="CP641" s="3" t="e">
        <f ca="1">_xll.BDH($C$628,"EBITDA","FQ3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Q641" s="3" t="e">
        <f ca="1">_xll.BDH($C$628,"EBITDA_AFTER_CAPEX","FQ3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R641" s="3" t="e">
        <f ca="1">_xll.BDH($C$628,"IS_OPER_INC","FQ3 2016","FQ3 2016","Currency=INR","Period=FQ","BEST_FPERIOD_OVERRIDE=FQ","FILING_STATUS=OR","EQY_CONSOLIDATED=Y","SCALING_FORMAT=MLN","FA_ADJUSTED=GAAP","Sort=A","Dates=H","DateFormat=P","Fill=—","Direction=H","UseDPDF=Y")</f>
        <v>#NAME?</v>
      </c>
      <c r="CS641" s="2" t="e">
        <f ca="1">_xll.BDH($C$628,"CASH_RATIO","FQ3 2016","FQ3 2016","Currency=INR","Period=FQ","BEST_FPERIOD_OVERRIDE=FQ","FILING_STATUS=OR","EQY_CONSOLIDATED=Y","Sort=A","Dates=H","DateFormat=P","Fill=—","Direction=H","UseDPDF=Y")</f>
        <v>#NAME?</v>
      </c>
      <c r="CT641" s="2" t="e">
        <f ca="1">_xll.BDH($C$628,"CUR_RATIO","FQ3 2016","FQ3 2016","Currency=INR","Period=FQ","BEST_FPERIOD_OVERRIDE=FQ","FILING_STATUS=OR","EQY_CONSOLIDATED=Y","Sort=A","Dates=H","DateFormat=P","Fill=—","Direction=H","UseDPDF=Y")</f>
        <v>#NAME?</v>
      </c>
      <c r="CU641" s="2" t="e">
        <f ca="1">_xll.BDH($C$628,"QUICK_RATIO","FQ3 2016","FQ3 2016","Currency=INR","Period=FQ","BEST_FPERIOD_OVERRIDE=FQ","FILING_STATUS=OR","EQY_CONSOLIDATED=Y","Sort=A","Dates=H","DateFormat=P","Fill=—","Direction=H","UseDPDF=Y")</f>
        <v>#NAME?</v>
      </c>
      <c r="CV641" s="2" t="e">
        <f ca="1">_xll.BDH($C$628,"ALTMAN_Z_SCORE","FQ3 2016","FQ3 2016","Currency=INR","Period=FQ","BEST_FPERIOD_OVERRIDE=FQ","FILING_STATUS=OR","EQY_CONSOLIDATED=Y","Sort=A","Dates=H","DateFormat=P","Fill=—","Direction=H","UseDPDF=Y")</f>
        <v>#NAME?</v>
      </c>
      <c r="CW641" s="4" t="e">
        <f ca="1">_xll.BDH($C$628,"ACCT_RCV_TURN","FQ3 2016","FQ3 2016","Currency=INR","Period=FQ","BEST_FPERIOD_OVERRIDE=FQ","FILING_STATUS=OR","EQY_CONSOLIDATED=Y","FA_ADJUSTED=GAAP","Sort=A","Dates=H","DateFormat=P","Fill=—","Direction=H","UseDPDF=Y")</f>
        <v>#NAME?</v>
      </c>
      <c r="CX641" s="2" t="e">
        <f ca="1">_xll.BDH($C$628,"ACCT_RCV_DAYS","FQ3 2016","FQ3 2016","Currency=INR","Period=FQ","BEST_FPERIOD_OVERRIDE=FQ","FILING_STATUS=OR","EQY_CONSOLIDATED=Y","FA_ADJUSTED=GAAP","Sort=A","Dates=H","DateFormat=P","Fill=—","Direction=H","UseDPDF=Y")</f>
        <v>#NAME?</v>
      </c>
      <c r="CY641" s="4" t="e">
        <f ca="1">_xll.BDH($C$628,"INVENT_TURN","FQ3 2016","FQ3 2016","Currency=INR","Period=FQ","BEST_FPERIOD_OVERRIDE=FQ","FILING_STATUS=OR","EQY_CONSOLIDATED=Y","FA_ADJUSTED=GAAP","Sort=A","Dates=H","DateFormat=P","Fill=—","Direction=H","UseDPDF=Y")</f>
        <v>#NAME?</v>
      </c>
      <c r="CZ641" s="2" t="e">
        <f ca="1">_xll.BDH($C$628,"INVENT_DAYS","FQ3 2016","FQ3 2016","Currency=INR","Period=FQ","BEST_FPERIOD_OVERRIDE=FQ","FILING_STATUS=OR","EQY_CONSOLIDATED=Y","FA_ADJUSTED=GAAP","Sort=A","Dates=H","DateFormat=P","Fill=—","Direction=H","UseDPDF=Y")</f>
        <v>#NAME?</v>
      </c>
      <c r="DA641" s="4" t="e">
        <f ca="1">_xll.BDH($C$628,"ACCOUNTS_PAYABLE_TURNOVER","FQ3 2016","FQ3 2016","Currency=INR","Period=FQ","BEST_FPERIOD_OVERRIDE=FQ","FILING_STATUS=OR","EQY_CONSOLIDATED=Y","FA_ADJUSTED=GAAP","Sort=A","Dates=H","DateFormat=P","Fill=—","Direction=H","UseDPDF=Y")</f>
        <v>#NAME?</v>
      </c>
      <c r="DB641" s="2" t="e">
        <f ca="1">_xll.BDH($C$628,"ACCOUNTS_PAYABLE_TURNOVER_DAYS","FQ3 2016","FQ3 2016","Currency=INR","Period=FQ","BEST_FPERIOD_OVERRIDE=FQ","FILING_STATUS=OR","EQY_CONSOLIDATED=Y","FA_ADJUSTED=GAAP","Sort=A","Dates=H","DateFormat=P","Fill=—","Direction=H","UseDPDF=Y")</f>
        <v>#NAME?</v>
      </c>
      <c r="DC641" s="4" t="e">
        <f ca="1">_xll.BDH($C$628,"CASH_CONVERSION_CYCLE","FQ3 2016","FQ3 2016","Currency=INR","Period=FQ","BEST_FPERIOD_OVERRIDE=FQ","FILING_STATUS=OR","EQY_CONSOLIDATED=Y","FA_ADJUSTED=GAAP","Sort=A","Dates=H","DateFormat=P","Fill=—","Direction=H","UseDPDF=Y")</f>
        <v>#NAME?</v>
      </c>
      <c r="DD641" s="4" t="e">
        <f ca="1">_xll.BDH($C$628,"INV_TO_CASH_DAYS","FQ3 2016","FQ3 2016","Currency=INR","Period=FQ","BEST_FPERIOD_OVERRIDE=FQ","FILING_STATUS=OR","EQY_CONSOLIDATED=Y","FA_ADJUSTED=GAAP","Sort=A","Dates=H","DateFormat=P","Fill=—","Direction=H","UseDPDF=Y")</f>
        <v>#NAME?</v>
      </c>
      <c r="DE641" s="5" t="e">
        <f ca="1">_xll.BDH($C$628,"BS_INVENTORIES","FQ3 2016","FQ3 2016","Currency=INR","Period=FQ","BEST_FPERIOD_OVERRIDE=FQ","FILING_STATUS=OR","EQY_CONSOLIDATED=Y","SCALING_FORMAT=MLN","Sort=A","Dates=H","DateFormat=P","Fill=—","Direction=H","UseDPDF=Y")</f>
        <v>#NAME?</v>
      </c>
      <c r="DF641" s="3" t="e">
        <f ca="1">_xll.BDH($C$628,"INVTRY_RAW_MATERIALS","FQ3 2016","FQ3 2016","Currency=INR","Period=FQ","BEST_FPERIOD_OVERRIDE=FQ","FILING_STATUS=OR","EQY_CONSOLIDATED=Y","SCALING_FORMAT=MLN","Sort=A","Dates=H","DateFormat=P","Fill=—","Direction=H","UseDPDF=Y")</f>
        <v>#NAME?</v>
      </c>
      <c r="DG641" s="3" t="e">
        <f ca="1">_xll.BDH($C$628,"INVTRY_IN_PROGRESS","FQ3 2016","FQ3 2016","Currency=INR","Period=FQ","BEST_FPERIOD_OVERRIDE=FQ","FILING_STATUS=OR","EQY_CONSOLIDATED=Y","SCALING_FORMAT=MLN","Sort=A","Dates=H","DateFormat=P","Fill=—","Direction=H","UseDPDF=Y")</f>
        <v>#NAME?</v>
      </c>
      <c r="DH641" s="3" t="e">
        <f ca="1">_xll.BDH($C$628,"INVTRY_FINISHED_GOODS","FQ3 2016","FQ3 2016","Currency=INR","Period=FQ","BEST_FPERIOD_OVERRIDE=FQ","FILING_STATUS=OR","EQY_CONSOLIDATED=Y","SCALING_FORMAT=MLN","Sort=A","Dates=H","DateFormat=P","Fill=—","Direction=H","UseDPDF=Y")</f>
        <v>#NAME?</v>
      </c>
      <c r="DI641" s="3" t="e">
        <f ca="1">_xll.BDH($C$628,"BS_OTHER_INV","FQ3 2016","FQ3 2016","Currency=INR","Period=FQ","BEST_FPERIOD_OVERRIDE=FQ","FILING_STATUS=OR","EQY_CONSOLIDATED=Y","SCALING_FORMAT=MLN","Sort=A","Dates=H","DateFormat=P","Fill=—","Direction=H","UseDPDF=Y")</f>
        <v>#NAME?</v>
      </c>
    </row>
    <row r="642" spans="1:113" x14ac:dyDescent="0.3">
      <c r="A642" s="6"/>
      <c r="B642" s="6"/>
      <c r="C642" s="6"/>
      <c r="D642" s="6"/>
      <c r="E642" t="s">
        <v>81</v>
      </c>
      <c r="F642" t="e">
        <f ca="1">_xll.BDH($C$628,"RETURN_COM_EQY","FQ4 2016","FQ4 2016","Currency=INR","Period=FQ","BEST_FPERIOD_OVERRIDE=FQ","FILING_STATUS=OR","EQY_CONSOLIDATED=Y","FA_ADJUSTED=GAAP","Sort=A","Dates=H","DateFormat=P","Fill=—","Direction=H","UseDPDF=Y")</f>
        <v>#NAME?</v>
      </c>
      <c r="G642" t="e">
        <f ca="1">_xll.BDH($C$628,"RETURN_ON_ASSET","FQ4 2016","FQ4 2016","Currency=INR","Period=FQ","BEST_FPERIOD_OVERRIDE=FQ","FILING_STATUS=OR","EQY_CONSOLIDATED=Y","FA_ADJUSTED=GAAP","Sort=A","Dates=H","DateFormat=P","Fill=—","Direction=H","UseDPDF=Y")</f>
        <v>#NAME?</v>
      </c>
      <c r="H642" t="e">
        <f ca="1">_xll.BDH($C$628,"RETURN_ON_CAP","FQ4 2016","FQ4 2016","Currency=INR","Period=FQ","BEST_FPERIOD_OVERRIDE=FQ","FILING_STATUS=OR","EQY_CONSOLIDATED=Y","FA_ADJUSTED=GAAP","Sort=A","Dates=H","DateFormat=P","Fill=—","Direction=H","UseDPDF=Y")</f>
        <v>#NAME?</v>
      </c>
      <c r="I642" t="e">
        <f ca="1">_xll.BDH($C$628,"RETURN_ON_INV_CAPITAL","FQ4 2016","FQ4 2016","Currency=INR","Period=FQ","BEST_FPERIOD_OVERRIDE=FQ","FILING_STATUS=OR","EQY_CONSOLIDATED=Y","FA_ADJUSTED=GAAP","Sort=A","Dates=H","DateFormat=P","Fill=—","Direction=H","UseDPDF=Y")</f>
        <v>#NAME?</v>
      </c>
      <c r="J642" t="e">
        <f ca="1">_xll.BDH($C$628,"EBITDA_TO_REVENUE","FQ4 2016","FQ4 2016","Currency=INR","Period=FQ","BEST_FPERIOD_OVERRIDE=FQ","FILING_STATUS=OR","EQY_CONSOLIDATED=Y","FA_ADJUSTED=GAAP","Sort=A","Dates=H","DateFormat=P","Fill=—","Direction=H","UseDPDF=Y")</f>
        <v>#NAME?</v>
      </c>
      <c r="K642" t="e">
        <f ca="1">_xll.BDH($C$628,"OPER_MARGIN","FQ4 2016","FQ4 2016","Currency=INR","Period=FQ","BEST_FPERIOD_OVERRIDE=FQ","FILING_STATUS=OR","EQY_CONSOLIDATED=Y","FA_ADJUSTED=GAAP","Sort=A","Dates=H","DateFormat=P","Fill=—","Direction=H","UseDPDF=Y")</f>
        <v>#NAME?</v>
      </c>
      <c r="L642" t="e">
        <f ca="1">_xll.BDH($C$628,"INCREMENTAL_OPERATING_MARGIN","FQ4 2016","FQ4 2016","Currency=INR","Period=FQ","BEST_FPERIOD_OVERRIDE=FQ","FILING_STATUS=OR","EQY_CONSOLIDATED=Y","FA_ADJUSTED=GAAP","Sort=A","Dates=H","DateFormat=P","Fill=—","Direction=H","UseDPDF=Y")</f>
        <v>#NAME?</v>
      </c>
      <c r="M642" t="e">
        <f ca="1">_xll.BDH($C$628,"PRETAX_INC_TO_NET_SALES","FQ4 2016","FQ4 2016","Currency=INR","Period=FQ","BEST_FPERIOD_OVERRIDE=FQ","FILING_STATUS=OR","EQY_CONSOLIDATED=Y","FA_ADJUSTED=GAAP","Sort=A","Dates=H","DateFormat=P","Fill=—","Direction=H","UseDPDF=Y")</f>
        <v>#NAME?</v>
      </c>
      <c r="N642" t="e">
        <f ca="1">_xll.BDH($C$628,"INC_BEF_XO_ITEMS_TO_NET_SALES","FQ4 2016","FQ4 2016","Currency=INR","Period=FQ","BEST_FPERIOD_OVERRIDE=FQ","FILING_STATUS=OR","EQY_CONSOLIDATED=Y","FA_ADJUSTED=GAAP","Sort=A","Dates=H","DateFormat=P","Fill=—","Direction=H","UseDPDF=Y")</f>
        <v>#NAME?</v>
      </c>
      <c r="O642" t="e">
        <f ca="1">_xll.BDH($C$628,"PROF_MARGIN","FQ4 2016","FQ4 2016","Currency=INR","Period=FQ","BEST_FPERIOD_OVERRIDE=FQ","FILING_STATUS=OR","EQY_CONSOLIDATED=Y","FA_ADJUSTED=GAAP","Sort=A","Dates=H","DateFormat=P","Fill=—","Direction=H","UseDPDF=Y")</f>
        <v>#NAME?</v>
      </c>
      <c r="P642" t="e">
        <f ca="1">_xll.BDH($C$628,"NET_INCOME_TO_COMMON_MARGIN","FQ4 2016","FQ4 2016","Currency=INR","Period=FQ","BEST_FPERIOD_OVERRIDE=FQ","FILING_STATUS=OR","EQY_CONSOLIDATED=Y","FA_ADJUSTED=GAAP","Sort=A","Dates=H","DateFormat=P","Fill=—","Direction=H","UseDPDF=Y")</f>
        <v>#NAME?</v>
      </c>
      <c r="Q642" t="e">
        <f ca="1">_xll.BDH($C$628,"EFF_TAX_RATE","FQ4 2016","FQ4 2016","Currency=INR","Period=FQ","BEST_FPERIOD_OVERRIDE=FQ","FILING_STATUS=OR","EQY_CONSOLIDATED=Y","FA_ADJUSTED=GAAP","Sort=A","Dates=H","DateFormat=P","Fill=—","Direction=H","UseDPDF=Y")</f>
        <v>#NAME?</v>
      </c>
      <c r="R642" t="e">
        <f ca="1">_xll.BDH($C$628,"DVD_PAYOUT_RATIO","FQ4 2016","FQ4 2016","Currency=INR","Period=FQ","BEST_FPERIOD_OVERRIDE=FQ","FILING_STATUS=OR","EQY_CONSOLIDATED=Y","FA_ADJUSTED=GAAP","Sort=A","Dates=H","DateFormat=P","Fill=—","Direction=H","UseDPDF=Y")</f>
        <v>#NAME?</v>
      </c>
      <c r="S642" t="e">
        <f ca="1">_xll.BDH($C$628,"SUSTAIN_GROWTH_RT","FQ4 2016","FQ4 2016","Currency=INR","Period=FQ","BEST_FPERIOD_OVERRIDE=FQ","FILING_STATUS=OR","EQY_CONSOLIDATED=Y","FA_ADJUSTED=GAAP","Sort=A","Dates=H","DateFormat=P","Fill=—","Direction=H","UseDPDF=Y")</f>
        <v>#NAME?</v>
      </c>
      <c r="T642" s="2" t="e">
        <f ca="1">_xll.BDH($C$628,"SALES_GROWTH","FQ4 2016","FQ4 2016","Currency=INR","Period=FQ","BEST_FPERIOD_OVERRIDE=FQ","FILING_STATUS=OR","EQY_CONSOLIDATED=Y","FA_ADJUSTED=GAAP","Sort=A","Dates=H","DateFormat=P","Fill=—","Direction=H","UseDPDF=Y")</f>
        <v>#NAME?</v>
      </c>
      <c r="U642" s="2" t="e">
        <f ca="1">_xll.BDH($C$628,"EBITDA_GROWTH","FQ4 2016","FQ4 2016","Currency=INR","Period=FQ","BEST_FPERIOD_OVERRIDE=FQ","FILING_STATUS=OR","EQY_CONSOLIDATED=Y","FA_ADJUSTED=GAAP","Sort=A","Dates=H","DateFormat=P","Fill=—","Direction=H","UseDPDF=Y")</f>
        <v>#NAME?</v>
      </c>
      <c r="V642" s="2" t="e">
        <f ca="1">_xll.BDH($C$628,"OPER_INC_GROWTH","FQ4 2016","FQ4 2016","Currency=INR","Period=FQ","BEST_FPERIOD_OVERRIDE=FQ","FILING_STATUS=OR","EQY_CONSOLIDATED=Y","FA_ADJUSTED=GAAP","Sort=A","Dates=H","DateFormat=P","Fill=—","Direction=H","UseDPDF=Y")</f>
        <v>#NAME?</v>
      </c>
      <c r="W642" s="2" t="e">
        <f ca="1">_xll.BDH($C$628,"EARN_FOR_COM_GROWTH","FQ4 2016","FQ4 2016","Currency=INR","Period=FQ","BEST_FPERIOD_OVERRIDE=FQ","FILING_STATUS=OR","EQY_CONSOLIDATED=Y","FA_ADJUSTED=GAAP","Sort=A","Dates=H","DateFormat=P","Fill=—","Direction=H","UseDPDF=Y")</f>
        <v>#NAME?</v>
      </c>
      <c r="X642" s="2" t="e">
        <f ca="1">_xll.BDH($C$628,"DILUTED_EPS_AFT_XO_ITEMS_GROWTH","FQ4 2016","FQ4 2016","Currency=INR","Period=FQ","BEST_FPERIOD_OVERRIDE=FQ","FILING_STATUS=OR","EQY_CONSOLIDATED=Y","FA_ADJUSTED=GAAP","Sort=A","Dates=H","DateFormat=P","Fill=—","Direction=H","UseDPDF=Y")</f>
        <v>#NAME?</v>
      </c>
      <c r="Y642" s="2" t="e">
        <f ca="1">_xll.BDH($C$628,"DIVIDEND_PER_SHARE_1_YEAR_GROWTH","FQ4 2016","FQ4 2016","Currency=INR","Period=FQ","BEST_FPERIOD_OVERRIDE=FQ","FILING_STATUS=OR","EQY_CONSOLIDATED=Y","Sort=A","Dates=H","DateFormat=P","Fill=—","Direction=H","UseDPDF=Y")</f>
        <v>#NAME?</v>
      </c>
      <c r="Z642" s="2" t="e">
        <f ca="1">_xll.BDH($C$628,"ACCOUNTS_RECEIVABLE_GROWTH","FQ4 2016","FQ4 2016","Currency=INR","Period=FQ","BEST_FPERIOD_OVERRIDE=FQ","FILING_STATUS=OR","EQY_CONSOLIDATED=Y","Sort=A","Dates=H","DateFormat=P","Fill=—","Direction=H","UseDPDF=Y")</f>
        <v>#NAME?</v>
      </c>
      <c r="AA642" s="2" t="e">
        <f ca="1">_xll.BDH($C$628,"INVENTORY_GROWTH","FQ4 2016","FQ4 2016","Currency=INR","Period=FQ","BEST_FPERIOD_OVERRIDE=FQ","FILING_STATUS=OR","EQY_CONSOLIDATED=Y","Sort=A","Dates=H","DateFormat=P","Fill=—","Direction=H","UseDPDF=Y")</f>
        <v>#NAME?</v>
      </c>
      <c r="AB642" s="2" t="e">
        <f ca="1">_xll.BDH($C$628,"NET_FIXED_ASSETS_1_YEAR_GROWTH","FQ4 2016","FQ4 2016","Currency=INR","Period=FQ","BEST_FPERIOD_OVERRIDE=FQ","FILING_STATUS=OR","EQY_CONSOLIDATED=Y","Sort=A","Dates=H","DateFormat=P","Fill=—","Direction=H","UseDPDF=Y")</f>
        <v>#NAME?</v>
      </c>
      <c r="AC642" s="2" t="e">
        <f ca="1">_xll.BDH($C$628,"ASSET_GROWTH","FQ4 2016","FQ4 2016","Currency=INR","Period=FQ","BEST_FPERIOD_OVERRIDE=FQ","FILING_STATUS=OR","EQY_CONSOLIDATED=Y","Sort=A","Dates=H","DateFormat=P","Fill=—","Direction=H","UseDPDF=Y")</f>
        <v>#NAME?</v>
      </c>
      <c r="AD642" s="2" t="e">
        <f ca="1">_xll.BDH($C$628,"MODIFIED_WORK_CAP_GROWTH","FQ4 2016","FQ4 2016","Currency=INR","Period=FQ","BEST_FPERIOD_OVERRIDE=FQ","FILING_STATUS=OR","EQY_CONSOLIDATED=Y","Sort=A","Dates=H","DateFormat=P","Fill=—","Direction=H","UseDPDF=Y")</f>
        <v>#NAME?</v>
      </c>
      <c r="AE642" s="2" t="e">
        <f ca="1">_xll.BDH($C$628,"WORK_CAP_GROWTH","FQ4 2016","FQ4 2016","Currency=INR","Period=FQ","BEST_FPERIOD_OVERRIDE=FQ","FILING_STATUS=OR","EQY_CONSOLIDATED=Y","Sort=A","Dates=H","DateFormat=P","Fill=—","Direction=H","UseDPDF=Y")</f>
        <v>#NAME?</v>
      </c>
      <c r="AF642" s="2" t="e">
        <f ca="1">_xll.BDH($C$628,"ACCOUNTS_PAYABLE_GROWTH_1YR","FQ4 2016","FQ4 2016","Currency=INR","Period=FQ","BEST_FPERIOD_OVERRIDE=FQ","FILING_STATUS=OR","EQY_CONSOLIDATED=Y","Sort=A","Dates=H","DateFormat=P","Fill=—","Direction=H","UseDPDF=Y")</f>
        <v>#NAME?</v>
      </c>
      <c r="AG642" s="2" t="e">
        <f ca="1">_xll.BDH($C$628,"SHORT_TERM_DEBT_1_YEAR_GROWTH","FQ4 2016","FQ4 2016","Currency=INR","Period=FQ","BEST_FPERIOD_OVERRIDE=FQ","FILING_STATUS=OR","EQY_CONSOLIDATED=Y","Sort=A","Dates=H","DateFormat=P","Fill=—","Direction=H","UseDPDF=Y")</f>
        <v>#NAME?</v>
      </c>
      <c r="AH642" s="2" t="e">
        <f ca="1">_xll.BDH($C$628,"TOTAL_DEBT_1_YEAR_GROWTH","FQ4 2016","FQ4 2016","Currency=INR","Period=FQ","BEST_FPERIOD_OVERRIDE=FQ","FILING_STATUS=OR","EQY_CONSOLIDATED=Y","Sort=A","Dates=H","DateFormat=P","Fill=—","Direction=H","UseDPDF=Y")</f>
        <v>#NAME?</v>
      </c>
      <c r="AI642" s="2" t="e">
        <f ca="1">_xll.BDH($C$628,"TOTAL_EQUITY_1_YEAR_GROWTH","FQ4 2016","FQ4 2016","Currency=INR","Period=FQ","BEST_FPERIOD_OVERRIDE=FQ","FILING_STATUS=OR","EQY_CONSOLIDATED=Y","Sort=A","Dates=H","DateFormat=P","Fill=—","Direction=H","UseDPDF=Y")</f>
        <v>#NAME?</v>
      </c>
      <c r="AJ642" s="2" t="e">
        <f ca="1">_xll.BDH($C$628,"GROWTH_IN_CAP","FQ4 2016","FQ4 2016","Currency=INR","Period=FQ","BEST_FPERIOD_OVERRIDE=FQ","FILING_STATUS=OR","EQY_CONSOLIDATED=Y","Sort=A","Dates=H","DateFormat=P","Fill=—","Direction=H","UseDPDF=Y")</f>
        <v>#NAME?</v>
      </c>
      <c r="AK642" s="2" t="e">
        <f ca="1">_xll.BDH($C$628,"BVPS_GROWTH","FQ4 2016","FQ4 2016","Currency=INR","Period=FQ","BEST_FPERIOD_OVERRIDE=FQ","FILING_STATUS=OR","EQY_CONSOLIDATED=Y","Sort=A","Dates=H","DateFormat=P","Fill=—","Direction=H","UseDPDF=Y")</f>
        <v>#NAME?</v>
      </c>
      <c r="AL642" s="2" t="e">
        <f ca="1">_xll.BDH($C$628,"CASH_FLOW_GROWTH","FQ4 2016","FQ4 2016","Currency=INR","Period=FQ","BEST_FPERIOD_OVERRIDE=FQ","FILING_STATUS=OR","EQY_CONSOLIDATED=Y","Sort=A","Dates=H","DateFormat=P","Fill=—","Direction=H","UseDPDF=Y")</f>
        <v>#NAME?</v>
      </c>
      <c r="AM642" s="2" t="e">
        <f ca="1">_xll.BDH($C$628,"GEO_GROW_NET_SALES","FQ4 2016","FQ4 2016","Currency=INR","Period=FQ","BEST_FPERIOD_OVERRIDE=FQ","FILING_STATUS=OR","EQY_CONSOLIDATED=Y","FA_ADJUSTED=GAAP","Sort=A","Dates=H","DateFormat=P","Fill=—","Direction=H","UseDPDF=Y")</f>
        <v>#NAME?</v>
      </c>
      <c r="AN642" s="2" t="e">
        <f ca="1">_xll.BDH($C$628,"GEO_GROW_EBITDA","FQ4 2016","FQ4 2016","Currency=INR","Period=FQ","BEST_FPERIOD_OVERRIDE=FQ","FILING_STATUS=OR","EQY_CONSOLIDATED=Y","FA_ADJUSTED=GAAP","Sort=A","Dates=H","DateFormat=P","Fill=—","Direction=H","UseDPDF=Y")</f>
        <v>#NAME?</v>
      </c>
      <c r="AO642" s="2" t="e">
        <f ca="1">_xll.BDH($C$628,"GEO_GROW_OPER_INC","FQ4 2016","FQ4 2016","Currency=INR","Period=FQ","BEST_FPERIOD_OVERRIDE=FQ","FILING_STATUS=OR","EQY_CONSOLIDATED=Y","FA_ADJUSTED=GAAP","Sort=A","Dates=H","DateFormat=P","Fill=—","Direction=H","UseDPDF=Y")</f>
        <v>#NAME?</v>
      </c>
      <c r="AP642" s="2" t="e">
        <f ca="1">_xll.BDH($C$628,"NET_INCOME_TO_COMMON_5_YR_GROWTH","FQ4 2016","FQ4 2016","Currency=INR","Period=FQ","BEST_FPERIOD_OVERRIDE=FQ","FILING_STATUS=OR","EQY_CONSOLIDATED=Y","FA_ADJUSTED=GAAP","Sort=A","Dates=H","DateFormat=P","Fill=—","Direction=H","UseDPDF=Y")</f>
        <v>#NAME?</v>
      </c>
      <c r="AQ642" s="2" t="e">
        <f ca="1">_xll.BDH($C$628,"5Y_GEO_GROWTH_DILUTED_EPS","FQ4 2016","FQ4 2016","Currency=INR","Period=FQ","BEST_FPERIOD_OVERRIDE=FQ","FILING_STATUS=OR","EQY_CONSOLIDATED=Y","FA_ADJUSTED=GAAP","Sort=A","Dates=H","DateFormat=P","Fill=—","Direction=H","UseDPDF=Y")</f>
        <v>#NAME?</v>
      </c>
      <c r="AR642" s="2" t="e">
        <f ca="1">_xll.BDH($C$628,"GEO_GROW_DVD_PER_SH","FQ4 2016","FQ4 2016","Currency=INR","Period=FQ","BEST_FPERIOD_OVERRIDE=FQ","FILING_STATUS=OR","EQY_CONSOLIDATED=Y","Sort=A","Dates=H","DateFormat=P","Fill=—","Direction=H","UseDPDF=Y")</f>
        <v>#NAME?</v>
      </c>
      <c r="AS642" s="2" t="e">
        <f ca="1">_xll.BDH($C$628,"ACCOUNTS_RECEIVABLE_5_YR_GROWTH","FQ4 2016","FQ4 2016","Currency=INR","Period=FQ","BEST_FPERIOD_OVERRIDE=FQ","FILING_STATUS=OR","EQY_CONSOLIDATED=Y","Sort=A","Dates=H","DateFormat=P","Fill=—","Direction=H","UseDPDF=Y")</f>
        <v>#NAME?</v>
      </c>
      <c r="AT642" s="2" t="e">
        <f ca="1">_xll.BDH($C$628,"INVENTORY_5_YEAR_GROWTH","FQ4 2016","FQ4 2016","Currency=INR","Period=FQ","BEST_FPERIOD_OVERRIDE=FQ","FILING_STATUS=OR","EQY_CONSOLIDATED=Y","Sort=A","Dates=H","DateFormat=P","Fill=—","Direction=H","UseDPDF=Y")</f>
        <v>#NAME?</v>
      </c>
      <c r="AU642" s="2" t="e">
        <f ca="1">_xll.BDH($C$628,"NET_FIXED_ASSETS_5_YEAR_GROWTH","FQ4 2016","FQ4 2016","Currency=INR","Period=FQ","BEST_FPERIOD_OVERRIDE=FQ","FILING_STATUS=OR","EQY_CONSOLIDATED=Y","Sort=A","Dates=H","DateFormat=P","Fill=—","Direction=H","UseDPDF=Y")</f>
        <v>#NAME?</v>
      </c>
      <c r="AV642" s="2" t="e">
        <f ca="1">_xll.BDH($C$628,"GEO_GROW_TOT_ASSET","FQ4 2016","FQ4 2016","Currency=INR","Period=FQ","BEST_FPERIOD_OVERRIDE=FQ","FILING_STATUS=OR","EQY_CONSOLIDATED=Y","Sort=A","Dates=H","DateFormat=P","Fill=—","Direction=H","UseDPDF=Y")</f>
        <v>#NAME?</v>
      </c>
      <c r="AW642" s="2" t="e">
        <f ca="1">_xll.BDH($C$628,"MODIFIED_WORKING_CPTL_5YR_GRWTH","FQ4 2016","FQ4 2016","Currency=INR","Period=FQ","BEST_FPERIOD_OVERRIDE=FQ","FILING_STATUS=OR","EQY_CONSOLIDATED=Y","Sort=A","Dates=H","DateFormat=P","Fill=—","Direction=H","UseDPDF=Y")</f>
        <v>#NAME?</v>
      </c>
      <c r="AX642" s="2" t="e">
        <f ca="1">_xll.BDH($C$628,"WORKING_CAPITAL_5_YEAR_GROWTH","FQ4 2016","FQ4 2016","Currency=INR","Period=FQ","BEST_FPERIOD_OVERRIDE=FQ","FILING_STATUS=OR","EQY_CONSOLIDATED=Y","Sort=A","Dates=H","DateFormat=P","Fill=—","Direction=H","UseDPDF=Y")</f>
        <v>#NAME?</v>
      </c>
      <c r="AY642" s="2" t="e">
        <f ca="1">_xll.BDH($C$628,"ACCOUNTS_PAYABLE_5_YEAR_GROWTH","FQ4 2016","FQ4 2016","Currency=INR","Period=FQ","BEST_FPERIOD_OVERRIDE=FQ","FILING_STATUS=OR","EQY_CONSOLIDATED=Y","Sort=A","Dates=H","DateFormat=P","Fill=—","Direction=H","UseDPDF=Y")</f>
        <v>#NAME?</v>
      </c>
      <c r="AZ642" s="2" t="e">
        <f ca="1">_xll.BDH($C$628,"SHORT_TERM_DEBT_5_YEAR_GROWTH","FQ4 2016","FQ4 2016","Currency=INR","Period=FQ","BEST_FPERIOD_OVERRIDE=FQ","FILING_STATUS=OR","EQY_CONSOLIDATED=Y","Sort=A","Dates=H","DateFormat=P","Fill=—","Direction=H","UseDPDF=Y")</f>
        <v>#NAME?</v>
      </c>
      <c r="BA642" s="2" t="e">
        <f ca="1">_xll.BDH($C$628,"TOTAL_DEBT_5_YEAR_GROWTH","FQ4 2016","FQ4 2016","Currency=INR","Period=FQ","BEST_FPERIOD_OVERRIDE=FQ","FILING_STATUS=OR","EQY_CONSOLIDATED=Y","Sort=A","Dates=H","DateFormat=P","Fill=—","Direction=H","UseDPDF=Y")</f>
        <v>#NAME?</v>
      </c>
      <c r="BB642" s="2" t="e">
        <f ca="1">_xll.BDH($C$628,"GEO_GROW_TOT_SHRHLDR_EQY","FQ4 2016","FQ4 2016","Currency=INR","Period=FQ","BEST_FPERIOD_OVERRIDE=FQ","FILING_STATUS=OR","EQY_CONSOLIDATED=Y","Sort=A","Dates=H","DateFormat=P","Fill=—","Direction=H","UseDPDF=Y")</f>
        <v>#NAME?</v>
      </c>
      <c r="BC642" s="2" t="e">
        <f ca="1">_xll.BDH($C$628,"TOTAL_CAPITAL_5_YEAR_GROWTH","FQ4 2016","FQ4 2016","Currency=INR","Period=FQ","BEST_FPERIOD_OVERRIDE=FQ","FILING_STATUS=OR","EQY_CONSOLIDATED=Y","Sort=A","Dates=H","DateFormat=P","Fill=—","Direction=H","UseDPDF=Y")</f>
        <v>#NAME?</v>
      </c>
      <c r="BD642" s="2" t="e">
        <f ca="1">_xll.BDH($C$628,"GEO_GROW_BOOK_VAL","FQ4 2016","FQ4 2016","Currency=INR","Period=FQ","BEST_FPERIOD_OVERRIDE=FQ","FILING_STATUS=OR","EQY_CONSOLIDATED=Y","Sort=A","Dates=H","DateFormat=P","Fill=—","Direction=H","UseDPDF=Y")</f>
        <v>#NAME?</v>
      </c>
      <c r="BE642" s="2" t="e">
        <f ca="1">_xll.BDH($C$628,"GEO_GROW_CASH_OPER_ACT","FQ4 2016","FQ4 2016","Currency=INR","Period=FQ","BEST_FPERIOD_OVERRIDE=FQ","FILING_STATUS=OR","EQY_CONSOLIDATED=Y","Sort=A","Dates=H","DateFormat=P","Fill=—","Direction=H","UseDPDF=Y")</f>
        <v>#NAME?</v>
      </c>
      <c r="BF642" s="2" t="e">
        <f ca="1">_xll.BDH($C$628,"REVENUE_SEQUENTIAL_GROWTH","FQ4 2016","FQ4 2016","Currency=INR","Period=FQ","BEST_FPERIOD_OVERRIDE=FQ","FILING_STATUS=OR","EQY_CONSOLIDATED=Y","FA_ADJUSTED=GAAP","Sort=A","Dates=H","DateFormat=P","Fill=—","Direction=H","UseDPDF=Y")</f>
        <v>#NAME?</v>
      </c>
      <c r="BG642" s="2" t="e">
        <f ca="1">_xll.BDH($C$628,"EBITDA_SEQUENTIAL_GROWTH","FQ4 2016","FQ4 2016","Currency=INR","Period=FQ","BEST_FPERIOD_OVERRIDE=FQ","FILING_STATUS=OR","EQY_CONSOLIDATED=Y","FA_ADJUSTED=GAAP","Sort=A","Dates=H","DateFormat=P","Fill=—","Direction=H","UseDPDF=Y")</f>
        <v>#NAME?</v>
      </c>
      <c r="BH642" s="2" t="e">
        <f ca="1">_xll.BDH($C$628,"OPERATING_INCOME_SEQ_GROWTH","FQ4 2016","FQ4 2016","Currency=INR","Period=FQ","BEST_FPERIOD_OVERRIDE=FQ","FILING_STATUS=OR","EQY_CONSOLIDATED=Y","FA_ADJUSTED=GAAP","Sort=A","Dates=H","DateFormat=P","Fill=—","Direction=H","UseDPDF=Y")</f>
        <v>#NAME?</v>
      </c>
      <c r="BI642" s="2" t="e">
        <f ca="1">_xll.BDH($C$628,"NET_INCOME_TO_COMMON_SEQ_GROWTH","FQ4 2016","FQ4 2016","Currency=INR","Period=FQ","BEST_FPERIOD_OVERRIDE=FQ","FILING_STATUS=OR","EQY_CONSOLIDATED=Y","FA_ADJUSTED=GAAP","Sort=A","Dates=H","DateFormat=P","Fill=—","Direction=H","UseDPDF=Y")</f>
        <v>#NAME?</v>
      </c>
      <c r="BJ642" s="2" t="e">
        <f ca="1">_xll.BDH($C$628,"EPS_DILUTED_SEQUENTIAL_GROWTH","FQ4 2016","FQ4 2016","Currency=INR","Period=FQ","BEST_FPERIOD_OVERRIDE=FQ","FILING_STATUS=OR","EQY_CONSOLIDATED=Y","FA_ADJUSTED=GAAP","Sort=A","Dates=H","DateFormat=P","Fill=—","Direction=H","UseDPDF=Y")</f>
        <v>#NAME?</v>
      </c>
      <c r="BK642" s="2" t="e">
        <f ca="1">_xll.BDH($C$628,"DPS_SEQUENTIAL_GROWTH","FQ4 2016","FQ4 2016","Currency=INR","Period=FQ","BEST_FPERIOD_OVERRIDE=FQ","FILING_STATUS=OR","EQY_CONSOLIDATED=Y","Sort=A","Dates=H","DateFormat=P","Fill=—","Direction=H","UseDPDF=Y")</f>
        <v>#NAME?</v>
      </c>
      <c r="BL642" s="2" t="e">
        <f ca="1">_xll.BDH($C$628,"ACCOUNTS_RECEIVABLE_SEQ_GROWTH","FQ4 2016","FQ4 2016","Currency=INR","Period=FQ","BEST_FPERIOD_OVERRIDE=FQ","FILING_STATUS=OR","EQY_CONSOLIDATED=Y","Sort=A","Dates=H","DateFormat=P","Fill=—","Direction=H","UseDPDF=Y")</f>
        <v>#NAME?</v>
      </c>
      <c r="BM642" s="2" t="e">
        <f ca="1">_xll.BDH($C$628,"INVENTORY_SEQUENTIAL_GROWTH","FQ4 2016","FQ4 2016","Currency=INR","Period=FQ","BEST_FPERIOD_OVERRIDE=FQ","FILING_STATUS=OR","EQY_CONSOLIDATED=Y","Sort=A","Dates=H","DateFormat=P","Fill=—","Direction=H","UseDPDF=Y")</f>
        <v>#NAME?</v>
      </c>
      <c r="BN642" s="2" t="e">
        <f ca="1">_xll.BDH($C$628,"FIXED_ASSETS_SEQUENTIAL_GROWTH","FQ4 2016","FQ4 2016","Currency=INR","Period=FQ","BEST_FPERIOD_OVERRIDE=FQ","FILING_STATUS=OR","EQY_CONSOLIDATED=Y","Sort=A","Dates=H","DateFormat=P","Fill=—","Direction=H","UseDPDF=Y")</f>
        <v>#NAME?</v>
      </c>
      <c r="BO642" s="2" t="e">
        <f ca="1">_xll.BDH($C$628,"TOTAL_ASSETS_SEQUENTIAL_GROWTH","FQ4 2016","FQ4 2016","Currency=INR","Period=FQ","BEST_FPERIOD_OVERRIDE=FQ","FILING_STATUS=OR","EQY_CONSOLIDATED=Y","Sort=A","Dates=H","DateFormat=P","Fill=—","Direction=H","UseDPDF=Y")</f>
        <v>#NAME?</v>
      </c>
      <c r="BP642" s="2" t="e">
        <f ca="1">_xll.BDH($C$628,"MODIFIED_WORKING_CPTL_SEQ_GRWTH","FQ4 2016","FQ4 2016","Currency=INR","Period=FQ","BEST_FPERIOD_OVERRIDE=FQ","FILING_STATUS=OR","EQY_CONSOLIDATED=Y","Sort=A","Dates=H","DateFormat=P","Fill=—","Direction=H","UseDPDF=Y")</f>
        <v>#NAME?</v>
      </c>
      <c r="BQ642" s="2" t="e">
        <f ca="1">_xll.BDH($C$628,"WORKING_CAPITAL_SEQ_GROWTH","FQ4 2016","FQ4 2016","Currency=INR","Period=FQ","BEST_FPERIOD_OVERRIDE=FQ","FILING_STATUS=OR","EQY_CONSOLIDATED=Y","Sort=A","Dates=H","DateFormat=P","Fill=—","Direction=H","UseDPDF=Y")</f>
        <v>#NAME?</v>
      </c>
      <c r="BR642" s="2" t="e">
        <f ca="1">_xll.BDH($C$628,"ACCOUNTS_PAYABLE_SEQ_GROWTH","FQ4 2016","FQ4 2016","Currency=INR","Period=FQ","BEST_FPERIOD_OVERRIDE=FQ","FILING_STATUS=OR","EQY_CONSOLIDATED=Y","Sort=A","Dates=H","DateFormat=P","Fill=—","Direction=H","UseDPDF=Y")</f>
        <v>#NAME?</v>
      </c>
      <c r="BS642" s="2" t="e">
        <f ca="1">_xll.BDH($C$628,"ST_DEBT_SEQUENTIAL_GROWTH","FQ4 2016","FQ4 2016","Currency=INR","Period=FQ","BEST_FPERIOD_OVERRIDE=FQ","FILING_STATUS=OR","EQY_CONSOLIDATED=Y","Sort=A","Dates=H","DateFormat=P","Fill=—","Direction=H","UseDPDF=Y")</f>
        <v>#NAME?</v>
      </c>
      <c r="BT642" s="2" t="e">
        <f ca="1">_xll.BDH($C$628,"TOTAL_DEBT_SEQUENTIAL_GROWTH","FQ4 2016","FQ4 2016","Currency=INR","Period=FQ","BEST_FPERIOD_OVERRIDE=FQ","FILING_STATUS=OR","EQY_CONSOLIDATED=Y","Sort=A","Dates=H","DateFormat=P","Fill=—","Direction=H","UseDPDF=Y")</f>
        <v>#NAME?</v>
      </c>
      <c r="BU642" s="2" t="e">
        <f ca="1">_xll.BDH($C$628,"TOTAL_EQUITY_SEQUENTIAL_GROWTH","FQ4 2016","FQ4 2016","Currency=INR","Period=FQ","BEST_FPERIOD_OVERRIDE=FQ","FILING_STATUS=OR","EQY_CONSOLIDATED=Y","Sort=A","Dates=H","DateFormat=P","Fill=—","Direction=H","UseDPDF=Y")</f>
        <v>#NAME?</v>
      </c>
      <c r="BV642" s="2" t="e">
        <f ca="1">_xll.BDH($C$628,"TOTAL_CAPITAL_SEQUENTIAL_GROWTH","FQ4 2016","FQ4 2016","Currency=INR","Period=FQ","BEST_FPERIOD_OVERRIDE=FQ","FILING_STATUS=OR","EQY_CONSOLIDATED=Y","Sort=A","Dates=H","DateFormat=P","Fill=—","Direction=H","UseDPDF=Y")</f>
        <v>#NAME?</v>
      </c>
      <c r="BW642" s="2" t="e">
        <f ca="1">_xll.BDH($C$628,"BPS_SEQUENTIAL_GROWTH","FQ4 2016","FQ4 2016","Currency=INR","Period=FQ","BEST_FPERIOD_OVERRIDE=FQ","FILING_STATUS=OR","EQY_CONSOLIDATED=Y","Sort=A","Dates=H","DateFormat=P","Fill=—","Direction=H","UseDPDF=Y")</f>
        <v>#NAME?</v>
      </c>
      <c r="BX642" s="2" t="e">
        <f ca="1">_xll.BDH($C$628,"CFO_SEQUENTIAL_GROWTH","FQ4 2016","FQ4 2016","Currency=INR","Period=FQ","BEST_FPERIOD_OVERRIDE=FQ","FILING_STATUS=OR","EQY_CONSOLIDATED=Y","Sort=A","Dates=H","DateFormat=P","Fill=—","Direction=H","UseDPDF=Y")</f>
        <v>#NAME?</v>
      </c>
      <c r="BY642" s="3" t="e">
        <f ca="1">_xll.BDH($C$628,"SHORT_AND_LONG_TERM_DEBT","FQ4 2016","FQ4 2016","Currency=INR","Period=FQ","BEST_FPERIOD_OVERRIDE=FQ","FILING_STATUS=OR","EQY_CONSOLIDATED=Y","SCALING_FORMAT=MLN","Sort=A","Dates=H","DateFormat=P","Fill=—","Direction=H","UseDPDF=Y")</f>
        <v>#NAME?</v>
      </c>
      <c r="BZ642" s="3" t="e">
        <f ca="1">_xll.BDH($C$628,"BS_ST_BORROW","FQ4 2016","FQ4 2016","Currency=INR","Period=FQ","BEST_FPERIOD_OVERRIDE=FQ","FILING_STATUS=OR","EQY_CONSOLIDATED=Y","SCALING_FORMAT=MLN","Sort=A","Dates=H","DateFormat=P","Fill=—","Direction=H","UseDPDF=Y")</f>
        <v>#NAME?</v>
      </c>
      <c r="CA642" s="3" t="e">
        <f ca="1">_xll.BDH($C$628,"BS_LT_BORROW","FQ4 2016","FQ4 2016","Currency=INR","Period=FQ","BEST_FPERIOD_OVERRIDE=FQ","FILING_STATUS=OR","EQY_CONSOLIDATED=Y","SCALING_FORMAT=MLN","Sort=A","Dates=H","DateFormat=P","Fill=—","Direction=H","UseDPDF=Y")</f>
        <v>#NAME?</v>
      </c>
      <c r="CB642" s="2" t="e">
        <f ca="1">_xll.BDH($C$628,"TOT_DEBT_TO_EBITDA","FQ4 2016","FQ4 2016","Currency=INR","Period=FQ","BEST_FPERIOD_OVERRIDE=FQ","FILING_STATUS=OR","EQY_CONSOLIDATED=Y","FA_ADJUSTED=GAAP","Sort=A","Dates=H","DateFormat=P","Fill=—","Direction=H","UseDPDF=Y")</f>
        <v>#NAME?</v>
      </c>
      <c r="CC642" s="2" t="e">
        <f ca="1">_xll.BDH($C$628,"NET_DEBT_TO_EBITDA","FQ4 2016","FQ4 2016","Currency=INR","Period=FQ","BEST_FPERIOD_OVERRIDE=FQ","FILING_STATUS=OR","EQY_CONSOLIDATED=Y","FA_ADJUSTED=GAAP","Sort=A","Dates=H","DateFormat=P","Fill=—","Direction=H","UseDPDF=Y")</f>
        <v>#NAME?</v>
      </c>
      <c r="CD642" s="2" t="e">
        <f ca="1">_xll.BDH($C$628,"TOTAL_DEBT_TO_EBIT","FQ4 2016","FQ4 2016","Currency=INR","Period=FQ","BEST_FPERIOD_OVERRIDE=FQ","FILING_STATUS=OR","EQY_CONSOLIDATED=Y","FA_ADJUSTED=GAAP","Sort=A","Dates=H","DateFormat=P","Fill=—","Direction=H","UseDPDF=Y")</f>
        <v>#NAME?</v>
      </c>
      <c r="CE642" s="2" t="e">
        <f ca="1">_xll.BDH($C$628,"NET_DEBT_TO_EBIT","FQ4 2016","FQ4 2016","Currency=INR","Period=FQ","BEST_FPERIOD_OVERRIDE=FQ","FILING_STATUS=OR","EQY_CONSOLIDATED=Y","FA_ADJUSTED=GAAP","Sort=A","Dates=H","DateFormat=P","Fill=—","Direction=H","UseDPDF=Y")</f>
        <v>#NAME?</v>
      </c>
      <c r="CF642" s="2" t="e">
        <f ca="1">_xll.BDH($C$628,"EBITDA_TO_INTEREST_EXPN","FQ4 2016","FQ4 2016","Currency=INR","Period=FQ","BEST_FPERIOD_OVERRIDE=FQ","FILING_STATUS=OR","EQY_CONSOLIDATED=Y","FA_ADJUSTED=GAAP","Sort=A","Dates=H","DateFormat=P","Fill=—","Direction=H","UseDPDF=Y")</f>
        <v>#NAME?</v>
      </c>
      <c r="CG642" s="2" t="e">
        <f ca="1">_xll.BDH($C$628,"COM_EQY_TO_TOT_ASSET","FQ4 2016","FQ4 2016","Currency=INR","Period=FQ","BEST_FPERIOD_OVERRIDE=FQ","FILING_STATUS=OR","EQY_CONSOLIDATED=Y","Sort=A","Dates=H","DateFormat=P","Fill=—","Direction=H","UseDPDF=Y")</f>
        <v>#NAME?</v>
      </c>
      <c r="CH642" s="2" t="e">
        <f ca="1">_xll.BDH($C$628,"LT_DEBT_TO_TOT_EQY","FQ4 2016","FQ4 2016","Currency=INR","Period=FQ","BEST_FPERIOD_OVERRIDE=FQ","FILING_STATUS=OR","EQY_CONSOLIDATED=Y","Sort=A","Dates=H","DateFormat=P","Fill=—","Direction=H","UseDPDF=Y")</f>
        <v>#NAME?</v>
      </c>
      <c r="CI642" s="2" t="e">
        <f ca="1">_xll.BDH($C$628,"LT_DEBT_TO_TOT_CAP","FQ4 2016","FQ4 2016","Currency=INR","Period=FQ","BEST_FPERIOD_OVERRIDE=FQ","FILING_STATUS=OR","EQY_CONSOLIDATED=Y","Sort=A","Dates=H","DateFormat=P","Fill=—","Direction=H","UseDPDF=Y")</f>
        <v>#NAME?</v>
      </c>
      <c r="CJ642" s="2" t="e">
        <f ca="1">_xll.BDH($C$628,"LT_DEBT_TO_TOT_ASSET","FQ4 2016","FQ4 2016","Currency=INR","Period=FQ","BEST_FPERIOD_OVERRIDE=FQ","FILING_STATUS=OR","EQY_CONSOLIDATED=Y","Sort=A","Dates=H","DateFormat=P","Fill=—","Direction=H","UseDPDF=Y")</f>
        <v>#NAME?</v>
      </c>
      <c r="CK642" s="2" t="e">
        <f ca="1">_xll.BDH($C$628,"TOT_DEBT_TO_TOT_EQY","FQ4 2016","FQ4 2016","Currency=INR","Period=FQ","BEST_FPERIOD_OVERRIDE=FQ","FILING_STATUS=OR","EQY_CONSOLIDATED=Y","Sort=A","Dates=H","DateFormat=P","Fill=—","Direction=H","UseDPDF=Y")</f>
        <v>#NAME?</v>
      </c>
      <c r="CL642" s="2" t="e">
        <f ca="1">_xll.BDH($C$628,"TOT_DEBT_TO_TOT_CAP","FQ4 2016","FQ4 2016","Currency=INR","Period=FQ","BEST_FPERIOD_OVERRIDE=FQ","FILING_STATUS=OR","EQY_CONSOLIDATED=Y","Sort=A","Dates=H","DateFormat=P","Fill=—","Direction=H","UseDPDF=Y")</f>
        <v>#NAME?</v>
      </c>
      <c r="CM642" s="2" t="e">
        <f ca="1">_xll.BDH($C$628,"TOT_DEBT_TO_TOT_ASSET","FQ4 2016","FQ4 2016","Currency=INR","Period=FQ","BEST_FPERIOD_OVERRIDE=FQ","FILING_STATUS=OR","EQY_CONSOLIDATED=Y","Sort=A","Dates=H","DateFormat=P","Fill=—","Direction=H","UseDPDF=Y")</f>
        <v>#NAME?</v>
      </c>
      <c r="CN642" s="2" t="e">
        <f ca="1">_xll.BDH($C$628,"NET_DEBT_TO_SHRHLDR_EQTY","FQ4 2016","FQ4 2016","Currency=INR","Period=FQ","BEST_FPERIOD_OVERRIDE=FQ","FILING_STATUS=OR","EQY_CONSOLIDATED=Y","Sort=A","Dates=H","DateFormat=P","Fill=—","Direction=H","UseDPDF=Y")</f>
        <v>#NAME?</v>
      </c>
      <c r="CO642" s="2" t="e">
        <f ca="1">_xll.BDH($C$628,"NET_DEBT_%_CAPITAL","FQ4 2016","FQ4 2016","Currency=INR","Period=FQ","BEST_FPERIOD_OVERRIDE=FQ","FILING_STATUS=OR","EQY_CONSOLIDATED=Y","Sort=A","Dates=H","DateFormat=P","Fill=—","Direction=H","UseDPDF=Y")</f>
        <v>#NAME?</v>
      </c>
      <c r="CP642" s="3" t="e">
        <f ca="1">_xll.BDH($C$628,"EBITDA","FQ4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Q642" s="3" t="e">
        <f ca="1">_xll.BDH($C$628,"EBITDA_AFTER_CAPEX","FQ4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R642" s="3" t="e">
        <f ca="1">_xll.BDH($C$628,"IS_OPER_INC","FQ4 2016","FQ4 2016","Currency=INR","Period=FQ","BEST_FPERIOD_OVERRIDE=FQ","FILING_STATUS=OR","EQY_CONSOLIDATED=Y","SCALING_FORMAT=MLN","FA_ADJUSTED=GAAP","Sort=A","Dates=H","DateFormat=P","Fill=—","Direction=H","UseDPDF=Y")</f>
        <v>#NAME?</v>
      </c>
      <c r="CS642" s="2" t="e">
        <f ca="1">_xll.BDH($C$628,"CASH_RATIO","FQ4 2016","FQ4 2016","Currency=INR","Period=FQ","BEST_FPERIOD_OVERRIDE=FQ","FILING_STATUS=OR","EQY_CONSOLIDATED=Y","Sort=A","Dates=H","DateFormat=P","Fill=—","Direction=H","UseDPDF=Y")</f>
        <v>#NAME?</v>
      </c>
      <c r="CT642" s="2" t="e">
        <f ca="1">_xll.BDH($C$628,"CUR_RATIO","FQ4 2016","FQ4 2016","Currency=INR","Period=FQ","BEST_FPERIOD_OVERRIDE=FQ","FILING_STATUS=OR","EQY_CONSOLIDATED=Y","Sort=A","Dates=H","DateFormat=P","Fill=—","Direction=H","UseDPDF=Y")</f>
        <v>#NAME?</v>
      </c>
      <c r="CU642" s="2" t="e">
        <f ca="1">_xll.BDH($C$628,"QUICK_RATIO","FQ4 2016","FQ4 2016","Currency=INR","Period=FQ","BEST_FPERIOD_OVERRIDE=FQ","FILING_STATUS=OR","EQY_CONSOLIDATED=Y","Sort=A","Dates=H","DateFormat=P","Fill=—","Direction=H","UseDPDF=Y")</f>
        <v>#NAME?</v>
      </c>
      <c r="CV642" s="2" t="e">
        <f ca="1">_xll.BDH($C$628,"ALTMAN_Z_SCORE","FQ4 2016","FQ4 2016","Currency=INR","Period=FQ","BEST_FPERIOD_OVERRIDE=FQ","FILING_STATUS=OR","EQY_CONSOLIDATED=Y","Sort=A","Dates=H","DateFormat=P","Fill=—","Direction=H","UseDPDF=Y")</f>
        <v>#NAME?</v>
      </c>
      <c r="CW642" s="4" t="e">
        <f ca="1">_xll.BDH($C$628,"ACCT_RCV_TURN","FQ4 2016","FQ4 2016","Currency=INR","Period=FQ","BEST_FPERIOD_OVERRIDE=FQ","FILING_STATUS=OR","EQY_CONSOLIDATED=Y","FA_ADJUSTED=GAAP","Sort=A","Dates=H","DateFormat=P","Fill=—","Direction=H","UseDPDF=Y")</f>
        <v>#NAME?</v>
      </c>
      <c r="CX642" s="2" t="e">
        <f ca="1">_xll.BDH($C$628,"ACCT_RCV_DAYS","FQ4 2016","FQ4 2016","Currency=INR","Period=FQ","BEST_FPERIOD_OVERRIDE=FQ","FILING_STATUS=OR","EQY_CONSOLIDATED=Y","FA_ADJUSTED=GAAP","Sort=A","Dates=H","DateFormat=P","Fill=—","Direction=H","UseDPDF=Y")</f>
        <v>#NAME?</v>
      </c>
      <c r="CY642" s="4" t="e">
        <f ca="1">_xll.BDH($C$628,"INVENT_TURN","FQ4 2016","FQ4 2016","Currency=INR","Period=FQ","BEST_FPERIOD_OVERRIDE=FQ","FILING_STATUS=OR","EQY_CONSOLIDATED=Y","FA_ADJUSTED=GAAP","Sort=A","Dates=H","DateFormat=P","Fill=—","Direction=H","UseDPDF=Y")</f>
        <v>#NAME?</v>
      </c>
      <c r="CZ642" s="2" t="e">
        <f ca="1">_xll.BDH($C$628,"INVENT_DAYS","FQ4 2016","FQ4 2016","Currency=INR","Period=FQ","BEST_FPERIOD_OVERRIDE=FQ","FILING_STATUS=OR","EQY_CONSOLIDATED=Y","FA_ADJUSTED=GAAP","Sort=A","Dates=H","DateFormat=P","Fill=—","Direction=H","UseDPDF=Y")</f>
        <v>#NAME?</v>
      </c>
      <c r="DA642" s="4" t="e">
        <f ca="1">_xll.BDH($C$628,"ACCOUNTS_PAYABLE_TURNOVER","FQ4 2016","FQ4 2016","Currency=INR","Period=FQ","BEST_FPERIOD_OVERRIDE=FQ","FILING_STATUS=OR","EQY_CONSOLIDATED=Y","FA_ADJUSTED=GAAP","Sort=A","Dates=H","DateFormat=P","Fill=—","Direction=H","UseDPDF=Y")</f>
        <v>#NAME?</v>
      </c>
      <c r="DB642" s="2" t="e">
        <f ca="1">_xll.BDH($C$628,"ACCOUNTS_PAYABLE_TURNOVER_DAYS","FQ4 2016","FQ4 2016","Currency=INR","Period=FQ","BEST_FPERIOD_OVERRIDE=FQ","FILING_STATUS=OR","EQY_CONSOLIDATED=Y","FA_ADJUSTED=GAAP","Sort=A","Dates=H","DateFormat=P","Fill=—","Direction=H","UseDPDF=Y")</f>
        <v>#NAME?</v>
      </c>
      <c r="DC642" s="4" t="e">
        <f ca="1">_xll.BDH($C$628,"CASH_CONVERSION_CYCLE","FQ4 2016","FQ4 2016","Currency=INR","Period=FQ","BEST_FPERIOD_OVERRIDE=FQ","FILING_STATUS=OR","EQY_CONSOLIDATED=Y","FA_ADJUSTED=GAAP","Sort=A","Dates=H","DateFormat=P","Fill=—","Direction=H","UseDPDF=Y")</f>
        <v>#NAME?</v>
      </c>
      <c r="DD642" s="4" t="e">
        <f ca="1">_xll.BDH($C$628,"INV_TO_CASH_DAYS","FQ4 2016","FQ4 2016","Currency=INR","Period=FQ","BEST_FPERIOD_OVERRIDE=FQ","FILING_STATUS=OR","EQY_CONSOLIDATED=Y","FA_ADJUSTED=GAAP","Sort=A","Dates=H","DateFormat=P","Fill=—","Direction=H","UseDPDF=Y")</f>
        <v>#NAME?</v>
      </c>
      <c r="DE642" s="5" t="e">
        <f ca="1">_xll.BDH($C$628,"BS_INVENTORIES","FQ4 2016","FQ4 2016","Currency=INR","Period=FQ","BEST_FPERIOD_OVERRIDE=FQ","FILING_STATUS=OR","EQY_CONSOLIDATED=Y","SCALING_FORMAT=MLN","Sort=A","Dates=H","DateFormat=P","Fill=—","Direction=H","UseDPDF=Y")</f>
        <v>#NAME?</v>
      </c>
      <c r="DF642" s="3" t="e">
        <f ca="1">_xll.BDH($C$628,"INVTRY_RAW_MATERIALS","FQ4 2016","FQ4 2016","Currency=INR","Period=FQ","BEST_FPERIOD_OVERRIDE=FQ","FILING_STATUS=OR","EQY_CONSOLIDATED=Y","SCALING_FORMAT=MLN","Sort=A","Dates=H","DateFormat=P","Fill=—","Direction=H","UseDPDF=Y")</f>
        <v>#NAME?</v>
      </c>
      <c r="DG642" s="3" t="e">
        <f ca="1">_xll.BDH($C$628,"INVTRY_IN_PROGRESS","FQ4 2016","FQ4 2016","Currency=INR","Period=FQ","BEST_FPERIOD_OVERRIDE=FQ","FILING_STATUS=OR","EQY_CONSOLIDATED=Y","SCALING_FORMAT=MLN","Sort=A","Dates=H","DateFormat=P","Fill=—","Direction=H","UseDPDF=Y")</f>
        <v>#NAME?</v>
      </c>
      <c r="DH642" s="3" t="e">
        <f ca="1">_xll.BDH($C$628,"INVTRY_FINISHED_GOODS","FQ4 2016","FQ4 2016","Currency=INR","Period=FQ","BEST_FPERIOD_OVERRIDE=FQ","FILING_STATUS=OR","EQY_CONSOLIDATED=Y","SCALING_FORMAT=MLN","Sort=A","Dates=H","DateFormat=P","Fill=—","Direction=H","UseDPDF=Y")</f>
        <v>#NAME?</v>
      </c>
      <c r="DI642" s="3" t="e">
        <f ca="1">_xll.BDH($C$628,"BS_OTHER_INV","FQ4 2016","FQ4 2016","Currency=INR","Period=FQ","BEST_FPERIOD_OVERRIDE=FQ","FILING_STATUS=OR","EQY_CONSOLIDATED=Y","SCALING_FORMAT=MLN","Sort=A","Dates=H","DateFormat=P","Fill=—","Direction=H","UseDPDF=Y")</f>
        <v>#NAME?</v>
      </c>
    </row>
    <row r="643" spans="1:113" x14ac:dyDescent="0.3">
      <c r="A643" s="6"/>
      <c r="B643" s="6"/>
      <c r="C643" s="6"/>
      <c r="D643" s="6" t="s">
        <v>84</v>
      </c>
      <c r="E643" t="s">
        <v>77</v>
      </c>
      <c r="F643" t="e">
        <f ca="1">_xll.BDH($C$628,"RETURN_COM_EQY","FY 2017","FY 2017","Currency=INR","Period=FY","BEST_FPERIOD_OVERRIDE=FY","FILING_STATUS=OR","EQY_CONSOLIDATED=Y","FA_ADJUSTED=GAAP","Sort=A","Dates=H","DateFormat=P","Fill=—","Direction=H","UseDPDF=Y")</f>
        <v>#NAME?</v>
      </c>
      <c r="G643" t="e">
        <f ca="1">_xll.BDH($C$628,"RETURN_ON_ASSET","FY 2017","FY 2017","Currency=INR","Period=FY","BEST_FPERIOD_OVERRIDE=FY","FILING_STATUS=OR","EQY_CONSOLIDATED=Y","FA_ADJUSTED=GAAP","Sort=A","Dates=H","DateFormat=P","Fill=—","Direction=H","UseDPDF=Y")</f>
        <v>#NAME?</v>
      </c>
      <c r="H643" t="e">
        <f ca="1">_xll.BDH($C$628,"RETURN_ON_CAP","FY 2017","FY 2017","Currency=INR","Period=FY","BEST_FPERIOD_OVERRIDE=FY","FILING_STATUS=OR","EQY_CONSOLIDATED=Y","FA_ADJUSTED=GAAP","Sort=A","Dates=H","DateFormat=P","Fill=—","Direction=H","UseDPDF=Y")</f>
        <v>#NAME?</v>
      </c>
      <c r="I643" t="e">
        <f ca="1">_xll.BDH($C$628,"RETURN_ON_INV_CAPITAL","FY 2017","FY 2017","Currency=INR","Period=FY","BEST_FPERIOD_OVERRIDE=FY","FILING_STATUS=OR","EQY_CONSOLIDATED=Y","FA_ADJUSTED=GAAP","Sort=A","Dates=H","DateFormat=P","Fill=—","Direction=H","UseDPDF=Y")</f>
        <v>#NAME?</v>
      </c>
      <c r="J643" t="e">
        <f ca="1">_xll.BDH($C$628,"EBITDA_TO_REVENUE","FY 2017","FY 2017","Currency=INR","Period=FY","BEST_FPERIOD_OVERRIDE=FY","FILING_STATUS=OR","EQY_CONSOLIDATED=Y","FA_ADJUSTED=GAAP","Sort=A","Dates=H","DateFormat=P","Fill=—","Direction=H","UseDPDF=Y")</f>
        <v>#NAME?</v>
      </c>
      <c r="K643" t="e">
        <f ca="1">_xll.BDH($C$628,"OPER_MARGIN","FY 2017","FY 2017","Currency=INR","Period=FY","BEST_FPERIOD_OVERRIDE=FY","FILING_STATUS=OR","EQY_CONSOLIDATED=Y","FA_ADJUSTED=GAAP","Sort=A","Dates=H","DateFormat=P","Fill=—","Direction=H","UseDPDF=Y")</f>
        <v>#NAME?</v>
      </c>
      <c r="L643" t="e">
        <f ca="1">_xll.BDH($C$628,"INCREMENTAL_OPERATING_MARGIN","FY 2017","FY 2017","Currency=INR","Period=FY","BEST_FPERIOD_OVERRIDE=FY","FILING_STATUS=OR","EQY_CONSOLIDATED=Y","FA_ADJUSTED=GAAP","Sort=A","Dates=H","DateFormat=P","Fill=—","Direction=H","UseDPDF=Y")</f>
        <v>#NAME?</v>
      </c>
      <c r="M643" t="e">
        <f ca="1">_xll.BDH($C$628,"PRETAX_INC_TO_NET_SALES","FY 2017","FY 2017","Currency=INR","Period=FY","BEST_FPERIOD_OVERRIDE=FY","FILING_STATUS=OR","EQY_CONSOLIDATED=Y","FA_ADJUSTED=GAAP","Sort=A","Dates=H","DateFormat=P","Fill=—","Direction=H","UseDPDF=Y")</f>
        <v>#NAME?</v>
      </c>
      <c r="N643" t="e">
        <f ca="1">_xll.BDH($C$628,"INC_BEF_XO_ITEMS_TO_NET_SALES","FY 2017","FY 2017","Currency=INR","Period=FY","BEST_FPERIOD_OVERRIDE=FY","FILING_STATUS=OR","EQY_CONSOLIDATED=Y","FA_ADJUSTED=GAAP","Sort=A","Dates=H","DateFormat=P","Fill=—","Direction=H","UseDPDF=Y")</f>
        <v>#NAME?</v>
      </c>
      <c r="O643" t="e">
        <f ca="1">_xll.BDH($C$628,"PROF_MARGIN","FY 2017","FY 2017","Currency=INR","Period=FY","BEST_FPERIOD_OVERRIDE=FY","FILING_STATUS=OR","EQY_CONSOLIDATED=Y","FA_ADJUSTED=GAAP","Sort=A","Dates=H","DateFormat=P","Fill=—","Direction=H","UseDPDF=Y")</f>
        <v>#NAME?</v>
      </c>
      <c r="P643" t="e">
        <f ca="1">_xll.BDH($C$628,"NET_INCOME_TO_COMMON_MARGIN","FY 2017","FY 2017","Currency=INR","Period=FY","BEST_FPERIOD_OVERRIDE=FY","FILING_STATUS=OR","EQY_CONSOLIDATED=Y","FA_ADJUSTED=GAAP","Sort=A","Dates=H","DateFormat=P","Fill=—","Direction=H","UseDPDF=Y")</f>
        <v>#NAME?</v>
      </c>
      <c r="Q643" t="e">
        <f ca="1">_xll.BDH($C$628,"EFF_TAX_RATE","FY 2017","FY 2017","Currency=INR","Period=FY","BEST_FPERIOD_OVERRIDE=FY","FILING_STATUS=OR","EQY_CONSOLIDATED=Y","FA_ADJUSTED=GAAP","Sort=A","Dates=H","DateFormat=P","Fill=—","Direction=H","UseDPDF=Y")</f>
        <v>#NAME?</v>
      </c>
      <c r="R643" t="e">
        <f ca="1">_xll.BDH($C$628,"DVD_PAYOUT_RATIO","FY 2017","FY 2017","Currency=INR","Period=FY","BEST_FPERIOD_OVERRIDE=FY","FILING_STATUS=OR","EQY_CONSOLIDATED=Y","FA_ADJUSTED=GAAP","Sort=A","Dates=H","DateFormat=P","Fill=—","Direction=H","UseDPDF=Y")</f>
        <v>#NAME?</v>
      </c>
      <c r="S643" t="e">
        <f ca="1">_xll.BDH($C$628,"SUSTAIN_GROWTH_RT","FY 2017","FY 2017","Currency=INR","Period=FY","BEST_FPERIOD_OVERRIDE=FY","FILING_STATUS=OR","EQY_CONSOLIDATED=Y","FA_ADJUSTED=GAAP","Sort=A","Dates=H","DateFormat=P","Fill=—","Direction=H","UseDPDF=Y")</f>
        <v>#NAME?</v>
      </c>
      <c r="T643" s="2" t="e">
        <f ca="1">_xll.BDH($C$628,"SALES_GROWTH","FY 2017","FY 2017","Currency=INR","Period=FY","BEST_FPERIOD_OVERRIDE=FY","FILING_STATUS=OR","EQY_CONSOLIDATED=Y","FA_ADJUSTED=GAAP","Sort=A","Dates=H","DateFormat=P","Fill=—","Direction=H","UseDPDF=Y")</f>
        <v>#NAME?</v>
      </c>
      <c r="U643" s="2" t="e">
        <f ca="1">_xll.BDH($C$628,"EBITDA_GROWTH","FY 2017","FY 2017","Currency=INR","Period=FY","BEST_FPERIOD_OVERRIDE=FY","FILING_STATUS=OR","EQY_CONSOLIDATED=Y","FA_ADJUSTED=GAAP","Sort=A","Dates=H","DateFormat=P","Fill=—","Direction=H","UseDPDF=Y")</f>
        <v>#NAME?</v>
      </c>
      <c r="V643" s="2" t="e">
        <f ca="1">_xll.BDH($C$628,"OPER_INC_GROWTH","FY 2017","FY 2017","Currency=INR","Period=FY","BEST_FPERIOD_OVERRIDE=FY","FILING_STATUS=OR","EQY_CONSOLIDATED=Y","FA_ADJUSTED=GAAP","Sort=A","Dates=H","DateFormat=P","Fill=—","Direction=H","UseDPDF=Y")</f>
        <v>#NAME?</v>
      </c>
      <c r="W643" s="2" t="e">
        <f ca="1">_xll.BDH($C$628,"EARN_FOR_COM_GROWTH","FY 2017","FY 2017","Currency=INR","Period=FY","BEST_FPERIOD_OVERRIDE=FY","FILING_STATUS=OR","EQY_CONSOLIDATED=Y","FA_ADJUSTED=GAAP","Sort=A","Dates=H","DateFormat=P","Fill=—","Direction=H","UseDPDF=Y")</f>
        <v>#NAME?</v>
      </c>
      <c r="X643" s="2" t="e">
        <f ca="1">_xll.BDH($C$628,"DILUTED_EPS_AFT_XO_ITEMS_GROWTH","FY 2017","FY 2017","Currency=INR","Period=FY","BEST_FPERIOD_OVERRIDE=FY","FILING_STATUS=OR","EQY_CONSOLIDATED=Y","FA_ADJUSTED=GAAP","Sort=A","Dates=H","DateFormat=P","Fill=—","Direction=H","UseDPDF=Y")</f>
        <v>#NAME?</v>
      </c>
      <c r="Y643" s="2" t="e">
        <f ca="1">_xll.BDH($C$628,"DIVIDEND_PER_SHARE_1_YEAR_GROWTH","FY 2017","FY 2017","Currency=INR","Period=FY","BEST_FPERIOD_OVERRIDE=FY","FILING_STATUS=OR","EQY_CONSOLIDATED=Y","Sort=A","Dates=H","DateFormat=P","Fill=—","Direction=H","UseDPDF=Y")</f>
        <v>#NAME?</v>
      </c>
      <c r="Z643" s="2" t="e">
        <f ca="1">_xll.BDH($C$628,"ACCOUNTS_RECEIVABLE_GROWTH","FY 2017","FY 2017","Currency=INR","Period=FY","BEST_FPERIOD_OVERRIDE=FY","FILING_STATUS=OR","EQY_CONSOLIDATED=Y","Sort=A","Dates=H","DateFormat=P","Fill=—","Direction=H","UseDPDF=Y")</f>
        <v>#NAME?</v>
      </c>
      <c r="AA643" s="2" t="e">
        <f ca="1">_xll.BDH($C$628,"INVENTORY_GROWTH","FY 2017","FY 2017","Currency=INR","Period=FY","BEST_FPERIOD_OVERRIDE=FY","FILING_STATUS=OR","EQY_CONSOLIDATED=Y","Sort=A","Dates=H","DateFormat=P","Fill=—","Direction=H","UseDPDF=Y")</f>
        <v>#NAME?</v>
      </c>
      <c r="AB643" s="2" t="e">
        <f ca="1">_xll.BDH($C$628,"NET_FIXED_ASSETS_1_YEAR_GROWTH","FY 2017","FY 2017","Currency=INR","Period=FY","BEST_FPERIOD_OVERRIDE=FY","FILING_STATUS=OR","EQY_CONSOLIDATED=Y","Sort=A","Dates=H","DateFormat=P","Fill=—","Direction=H","UseDPDF=Y")</f>
        <v>#NAME?</v>
      </c>
      <c r="AC643" s="2" t="e">
        <f ca="1">_xll.BDH($C$628,"ASSET_GROWTH","FY 2017","FY 2017","Currency=INR","Period=FY","BEST_FPERIOD_OVERRIDE=FY","FILING_STATUS=OR","EQY_CONSOLIDATED=Y","Sort=A","Dates=H","DateFormat=P","Fill=—","Direction=H","UseDPDF=Y")</f>
        <v>#NAME?</v>
      </c>
      <c r="AD643" s="2" t="e">
        <f ca="1">_xll.BDH($C$628,"MODIFIED_WORK_CAP_GROWTH","FY 2017","FY 2017","Currency=INR","Period=FY","BEST_FPERIOD_OVERRIDE=FY","FILING_STATUS=OR","EQY_CONSOLIDATED=Y","Sort=A","Dates=H","DateFormat=P","Fill=—","Direction=H","UseDPDF=Y")</f>
        <v>#NAME?</v>
      </c>
      <c r="AE643" s="2" t="e">
        <f ca="1">_xll.BDH($C$628,"WORK_CAP_GROWTH","FY 2017","FY 2017","Currency=INR","Period=FY","BEST_FPERIOD_OVERRIDE=FY","FILING_STATUS=OR","EQY_CONSOLIDATED=Y","Sort=A","Dates=H","DateFormat=P","Fill=—","Direction=H","UseDPDF=Y")</f>
        <v>#NAME?</v>
      </c>
      <c r="AF643" s="2" t="e">
        <f ca="1">_xll.BDH($C$628,"ACCOUNTS_PAYABLE_GROWTH_1YR","FY 2017","FY 2017","Currency=INR","Period=FY","BEST_FPERIOD_OVERRIDE=FY","FILING_STATUS=OR","EQY_CONSOLIDATED=Y","Sort=A","Dates=H","DateFormat=P","Fill=—","Direction=H","UseDPDF=Y")</f>
        <v>#NAME?</v>
      </c>
      <c r="AG643" s="2" t="e">
        <f ca="1">_xll.BDH($C$628,"SHORT_TERM_DEBT_1_YEAR_GROWTH","FY 2017","FY 2017","Currency=INR","Period=FY","BEST_FPERIOD_OVERRIDE=FY","FILING_STATUS=OR","EQY_CONSOLIDATED=Y","Sort=A","Dates=H","DateFormat=P","Fill=—","Direction=H","UseDPDF=Y")</f>
        <v>#NAME?</v>
      </c>
      <c r="AH643" s="2" t="e">
        <f ca="1">_xll.BDH($C$628,"TOTAL_DEBT_1_YEAR_GROWTH","FY 2017","FY 2017","Currency=INR","Period=FY","BEST_FPERIOD_OVERRIDE=FY","FILING_STATUS=OR","EQY_CONSOLIDATED=Y","Sort=A","Dates=H","DateFormat=P","Fill=—","Direction=H","UseDPDF=Y")</f>
        <v>#NAME?</v>
      </c>
      <c r="AI643" s="2" t="e">
        <f ca="1">_xll.BDH($C$628,"TOTAL_EQUITY_1_YEAR_GROWTH","FY 2017","FY 2017","Currency=INR","Period=FY","BEST_FPERIOD_OVERRIDE=FY","FILING_STATUS=OR","EQY_CONSOLIDATED=Y","Sort=A","Dates=H","DateFormat=P","Fill=—","Direction=H","UseDPDF=Y")</f>
        <v>#NAME?</v>
      </c>
      <c r="AJ643" s="2" t="e">
        <f ca="1">_xll.BDH($C$628,"GROWTH_IN_CAP","FY 2017","FY 2017","Currency=INR","Period=FY","BEST_FPERIOD_OVERRIDE=FY","FILING_STATUS=OR","EQY_CONSOLIDATED=Y","Sort=A","Dates=H","DateFormat=P","Fill=—","Direction=H","UseDPDF=Y")</f>
        <v>#NAME?</v>
      </c>
      <c r="AK643" s="2" t="e">
        <f ca="1">_xll.BDH($C$628,"BVPS_GROWTH","FY 2017","FY 2017","Currency=INR","Period=FY","BEST_FPERIOD_OVERRIDE=FY","FILING_STATUS=OR","EQY_CONSOLIDATED=Y","Sort=A","Dates=H","DateFormat=P","Fill=—","Direction=H","UseDPDF=Y")</f>
        <v>#NAME?</v>
      </c>
      <c r="AL643" s="2" t="e">
        <f ca="1">_xll.BDH($C$628,"CASH_FLOW_GROWTH","FY 2017","FY 2017","Currency=INR","Period=FY","BEST_FPERIOD_OVERRIDE=FY","FILING_STATUS=OR","EQY_CONSOLIDATED=Y","Sort=A","Dates=H","DateFormat=P","Fill=—","Direction=H","UseDPDF=Y")</f>
        <v>#NAME?</v>
      </c>
      <c r="AM643" s="2" t="e">
        <f ca="1">_xll.BDH($C$628,"GEO_GROW_NET_SALES","FY 2017","FY 2017","Currency=INR","Period=FY","BEST_FPERIOD_OVERRIDE=FY","FILING_STATUS=OR","EQY_CONSOLIDATED=Y","FA_ADJUSTED=GAAP","Sort=A","Dates=H","DateFormat=P","Fill=—","Direction=H","UseDPDF=Y")</f>
        <v>#NAME?</v>
      </c>
      <c r="AN643" s="2" t="e">
        <f ca="1">_xll.BDH($C$628,"GEO_GROW_EBITDA","FY 2017","FY 2017","Currency=INR","Period=FY","BEST_FPERIOD_OVERRIDE=FY","FILING_STATUS=OR","EQY_CONSOLIDATED=Y","FA_ADJUSTED=GAAP","Sort=A","Dates=H","DateFormat=P","Fill=—","Direction=H","UseDPDF=Y")</f>
        <v>#NAME?</v>
      </c>
      <c r="AO643" s="2" t="e">
        <f ca="1">_xll.BDH($C$628,"GEO_GROW_OPER_INC","FY 2017","FY 2017","Currency=INR","Period=FY","BEST_FPERIOD_OVERRIDE=FY","FILING_STATUS=OR","EQY_CONSOLIDATED=Y","FA_ADJUSTED=GAAP","Sort=A","Dates=H","DateFormat=P","Fill=—","Direction=H","UseDPDF=Y")</f>
        <v>#NAME?</v>
      </c>
      <c r="AP643" s="2" t="e">
        <f ca="1">_xll.BDH($C$628,"NET_INCOME_TO_COMMON_5_YR_GROWTH","FY 2017","FY 2017","Currency=INR","Period=FY","BEST_FPERIOD_OVERRIDE=FY","FILING_STATUS=OR","EQY_CONSOLIDATED=Y","FA_ADJUSTED=GAAP","Sort=A","Dates=H","DateFormat=P","Fill=—","Direction=H","UseDPDF=Y")</f>
        <v>#NAME?</v>
      </c>
      <c r="AQ643" s="2" t="e">
        <f ca="1">_xll.BDH($C$628,"5Y_GEO_GROWTH_DILUTED_EPS","FY 2017","FY 2017","Currency=INR","Period=FY","BEST_FPERIOD_OVERRIDE=FY","FILING_STATUS=OR","EQY_CONSOLIDATED=Y","FA_ADJUSTED=GAAP","Sort=A","Dates=H","DateFormat=P","Fill=—","Direction=H","UseDPDF=Y")</f>
        <v>#NAME?</v>
      </c>
      <c r="AR643" s="2" t="e">
        <f ca="1">_xll.BDH($C$628,"GEO_GROW_DVD_PER_SH","FY 2017","FY 2017","Currency=INR","Period=FY","BEST_FPERIOD_OVERRIDE=FY","FILING_STATUS=OR","EQY_CONSOLIDATED=Y","Sort=A","Dates=H","DateFormat=P","Fill=—","Direction=H","UseDPDF=Y")</f>
        <v>#NAME?</v>
      </c>
      <c r="AS643" s="2" t="e">
        <f ca="1">_xll.BDH($C$628,"ACCOUNTS_RECEIVABLE_5_YR_GROWTH","FY 2017","FY 2017","Currency=INR","Period=FY","BEST_FPERIOD_OVERRIDE=FY","FILING_STATUS=OR","EQY_CONSOLIDATED=Y","Sort=A","Dates=H","DateFormat=P","Fill=—","Direction=H","UseDPDF=Y")</f>
        <v>#NAME?</v>
      </c>
      <c r="AT643" s="2" t="e">
        <f ca="1">_xll.BDH($C$628,"INVENTORY_5_YEAR_GROWTH","FY 2017","FY 2017","Currency=INR","Period=FY","BEST_FPERIOD_OVERRIDE=FY","FILING_STATUS=OR","EQY_CONSOLIDATED=Y","Sort=A","Dates=H","DateFormat=P","Fill=—","Direction=H","UseDPDF=Y")</f>
        <v>#NAME?</v>
      </c>
      <c r="AU643" s="2" t="e">
        <f ca="1">_xll.BDH($C$628,"NET_FIXED_ASSETS_5_YEAR_GROWTH","FY 2017","FY 2017","Currency=INR","Period=FY","BEST_FPERIOD_OVERRIDE=FY","FILING_STATUS=OR","EQY_CONSOLIDATED=Y","Sort=A","Dates=H","DateFormat=P","Fill=—","Direction=H","UseDPDF=Y")</f>
        <v>#NAME?</v>
      </c>
      <c r="AV643" s="2" t="e">
        <f ca="1">_xll.BDH($C$628,"GEO_GROW_TOT_ASSET","FY 2017","FY 2017","Currency=INR","Period=FY","BEST_FPERIOD_OVERRIDE=FY","FILING_STATUS=OR","EQY_CONSOLIDATED=Y","Sort=A","Dates=H","DateFormat=P","Fill=—","Direction=H","UseDPDF=Y")</f>
        <v>#NAME?</v>
      </c>
      <c r="AW643" s="2" t="e">
        <f ca="1">_xll.BDH($C$628,"MODIFIED_WORKING_CPTL_5YR_GRWTH","FY 2017","FY 2017","Currency=INR","Period=FY","BEST_FPERIOD_OVERRIDE=FY","FILING_STATUS=OR","EQY_CONSOLIDATED=Y","Sort=A","Dates=H","DateFormat=P","Fill=—","Direction=H","UseDPDF=Y")</f>
        <v>#NAME?</v>
      </c>
      <c r="AX643" s="2" t="e">
        <f ca="1">_xll.BDH($C$628,"WORKING_CAPITAL_5_YEAR_GROWTH","FY 2017","FY 2017","Currency=INR","Period=FY","BEST_FPERIOD_OVERRIDE=FY","FILING_STATUS=OR","EQY_CONSOLIDATED=Y","Sort=A","Dates=H","DateFormat=P","Fill=—","Direction=H","UseDPDF=Y")</f>
        <v>#NAME?</v>
      </c>
      <c r="AY643" s="2" t="e">
        <f ca="1">_xll.BDH($C$628,"ACCOUNTS_PAYABLE_5_YEAR_GROWTH","FY 2017","FY 2017","Currency=INR","Period=FY","BEST_FPERIOD_OVERRIDE=FY","FILING_STATUS=OR","EQY_CONSOLIDATED=Y","Sort=A","Dates=H","DateFormat=P","Fill=—","Direction=H","UseDPDF=Y")</f>
        <v>#NAME?</v>
      </c>
      <c r="AZ643" s="2" t="e">
        <f ca="1">_xll.BDH($C$628,"SHORT_TERM_DEBT_5_YEAR_GROWTH","FY 2017","FY 2017","Currency=INR","Period=FY","BEST_FPERIOD_OVERRIDE=FY","FILING_STATUS=OR","EQY_CONSOLIDATED=Y","Sort=A","Dates=H","DateFormat=P","Fill=—","Direction=H","UseDPDF=Y")</f>
        <v>#NAME?</v>
      </c>
      <c r="BA643" s="2" t="e">
        <f ca="1">_xll.BDH($C$628,"TOTAL_DEBT_5_YEAR_GROWTH","FY 2017","FY 2017","Currency=INR","Period=FY","BEST_FPERIOD_OVERRIDE=FY","FILING_STATUS=OR","EQY_CONSOLIDATED=Y","Sort=A","Dates=H","DateFormat=P","Fill=—","Direction=H","UseDPDF=Y")</f>
        <v>#NAME?</v>
      </c>
      <c r="BB643" s="2" t="e">
        <f ca="1">_xll.BDH($C$628,"GEO_GROW_TOT_SHRHLDR_EQY","FY 2017","FY 2017","Currency=INR","Period=FY","BEST_FPERIOD_OVERRIDE=FY","FILING_STATUS=OR","EQY_CONSOLIDATED=Y","Sort=A","Dates=H","DateFormat=P","Fill=—","Direction=H","UseDPDF=Y")</f>
        <v>#NAME?</v>
      </c>
      <c r="BC643" s="2" t="e">
        <f ca="1">_xll.BDH($C$628,"TOTAL_CAPITAL_5_YEAR_GROWTH","FY 2017","FY 2017","Currency=INR","Period=FY","BEST_FPERIOD_OVERRIDE=FY","FILING_STATUS=OR","EQY_CONSOLIDATED=Y","Sort=A","Dates=H","DateFormat=P","Fill=—","Direction=H","UseDPDF=Y")</f>
        <v>#NAME?</v>
      </c>
      <c r="BD643" s="2" t="e">
        <f ca="1">_xll.BDH($C$628,"GEO_GROW_BOOK_VAL","FY 2017","FY 2017","Currency=INR","Period=FY","BEST_FPERIOD_OVERRIDE=FY","FILING_STATUS=OR","EQY_CONSOLIDATED=Y","Sort=A","Dates=H","DateFormat=P","Fill=—","Direction=H","UseDPDF=Y")</f>
        <v>#NAME?</v>
      </c>
      <c r="BE643" s="2" t="e">
        <f ca="1">_xll.BDH($C$628,"GEO_GROW_CASH_OPER_ACT","FY 2017","FY 2017","Currency=INR","Period=FY","BEST_FPERIOD_OVERRIDE=FY","FILING_STATUS=OR","EQY_CONSOLIDATED=Y","Sort=A","Dates=H","DateFormat=P","Fill=—","Direction=H","UseDPDF=Y")</f>
        <v>#NAME?</v>
      </c>
      <c r="BF643" s="2" t="e">
        <f ca="1">_xll.BDH($C$628,"REVENUE_SEQUENTIAL_GROWTH","FY 2017","FY 2017","Currency=INR","Period=FY","BEST_FPERIOD_OVERRIDE=FY","FILING_STATUS=OR","EQY_CONSOLIDATED=Y","FA_ADJUSTED=GAAP","Sort=A","Dates=H","DateFormat=P","Fill=—","Direction=H","UseDPDF=Y")</f>
        <v>#NAME?</v>
      </c>
      <c r="BG643" s="2" t="e">
        <f ca="1">_xll.BDH($C$628,"EBITDA_SEQUENTIAL_GROWTH","FY 2017","FY 2017","Currency=INR","Period=FY","BEST_FPERIOD_OVERRIDE=FY","FILING_STATUS=OR","EQY_CONSOLIDATED=Y","FA_ADJUSTED=GAAP","Sort=A","Dates=H","DateFormat=P","Fill=—","Direction=H","UseDPDF=Y")</f>
        <v>#NAME?</v>
      </c>
      <c r="BH643" s="2" t="e">
        <f ca="1">_xll.BDH($C$628,"OPERATING_INCOME_SEQ_GROWTH","FY 2017","FY 2017","Currency=INR","Period=FY","BEST_FPERIOD_OVERRIDE=FY","FILING_STATUS=OR","EQY_CONSOLIDATED=Y","FA_ADJUSTED=GAAP","Sort=A","Dates=H","DateFormat=P","Fill=—","Direction=H","UseDPDF=Y")</f>
        <v>#NAME?</v>
      </c>
      <c r="BI643" s="2" t="e">
        <f ca="1">_xll.BDH($C$628,"NET_INCOME_TO_COMMON_SEQ_GROWTH","FY 2017","FY 2017","Currency=INR","Period=FY","BEST_FPERIOD_OVERRIDE=FY","FILING_STATUS=OR","EQY_CONSOLIDATED=Y","FA_ADJUSTED=GAAP","Sort=A","Dates=H","DateFormat=P","Fill=—","Direction=H","UseDPDF=Y")</f>
        <v>#NAME?</v>
      </c>
      <c r="BJ643" s="2" t="e">
        <f ca="1">_xll.BDH($C$628,"EPS_DILUTED_SEQUENTIAL_GROWTH","FY 2017","FY 2017","Currency=INR","Period=FY","BEST_FPERIOD_OVERRIDE=FY","FILING_STATUS=OR","EQY_CONSOLIDATED=Y","FA_ADJUSTED=GAAP","Sort=A","Dates=H","DateFormat=P","Fill=—","Direction=H","UseDPDF=Y")</f>
        <v>#NAME?</v>
      </c>
      <c r="BK643" s="2" t="e">
        <f ca="1">_xll.BDH($C$628,"DPS_SEQUENTIAL_GROWTH","FY 2017","FY 2017","Currency=INR","Period=FY","BEST_FPERIOD_OVERRIDE=FY","FILING_STATUS=OR","EQY_CONSOLIDATED=Y","Sort=A","Dates=H","DateFormat=P","Fill=—","Direction=H","UseDPDF=Y")</f>
        <v>#NAME?</v>
      </c>
      <c r="BL643" s="2" t="e">
        <f ca="1">_xll.BDH($C$628,"ACCOUNTS_RECEIVABLE_SEQ_GROWTH","FY 2017","FY 2017","Currency=INR","Period=FY","BEST_FPERIOD_OVERRIDE=FY","FILING_STATUS=OR","EQY_CONSOLIDATED=Y","Sort=A","Dates=H","DateFormat=P","Fill=—","Direction=H","UseDPDF=Y")</f>
        <v>#NAME?</v>
      </c>
      <c r="BM643" s="2" t="e">
        <f ca="1">_xll.BDH($C$628,"INVENTORY_SEQUENTIAL_GROWTH","FY 2017","FY 2017","Currency=INR","Period=FY","BEST_FPERIOD_OVERRIDE=FY","FILING_STATUS=OR","EQY_CONSOLIDATED=Y","Sort=A","Dates=H","DateFormat=P","Fill=—","Direction=H","UseDPDF=Y")</f>
        <v>#NAME?</v>
      </c>
      <c r="BN643" s="2" t="e">
        <f ca="1">_xll.BDH($C$628,"FIXED_ASSETS_SEQUENTIAL_GROWTH","FY 2017","FY 2017","Currency=INR","Period=FY","BEST_FPERIOD_OVERRIDE=FY","FILING_STATUS=OR","EQY_CONSOLIDATED=Y","Sort=A","Dates=H","DateFormat=P","Fill=—","Direction=H","UseDPDF=Y")</f>
        <v>#NAME?</v>
      </c>
      <c r="BO643" s="2" t="e">
        <f ca="1">_xll.BDH($C$628,"TOTAL_ASSETS_SEQUENTIAL_GROWTH","FY 2017","FY 2017","Currency=INR","Period=FY","BEST_FPERIOD_OVERRIDE=FY","FILING_STATUS=OR","EQY_CONSOLIDATED=Y","Sort=A","Dates=H","DateFormat=P","Fill=—","Direction=H","UseDPDF=Y")</f>
        <v>#NAME?</v>
      </c>
      <c r="BP643" s="2" t="e">
        <f ca="1">_xll.BDH($C$628,"MODIFIED_WORKING_CPTL_SEQ_GRWTH","FY 2017","FY 2017","Currency=INR","Period=FY","BEST_FPERIOD_OVERRIDE=FY","FILING_STATUS=OR","EQY_CONSOLIDATED=Y","Sort=A","Dates=H","DateFormat=P","Fill=—","Direction=H","UseDPDF=Y")</f>
        <v>#NAME?</v>
      </c>
      <c r="BQ643" s="2" t="e">
        <f ca="1">_xll.BDH($C$628,"WORKING_CAPITAL_SEQ_GROWTH","FY 2017","FY 2017","Currency=INR","Period=FY","BEST_FPERIOD_OVERRIDE=FY","FILING_STATUS=OR","EQY_CONSOLIDATED=Y","Sort=A","Dates=H","DateFormat=P","Fill=—","Direction=H","UseDPDF=Y")</f>
        <v>#NAME?</v>
      </c>
      <c r="BR643" s="2" t="e">
        <f ca="1">_xll.BDH($C$628,"ACCOUNTS_PAYABLE_SEQ_GROWTH","FY 2017","FY 2017","Currency=INR","Period=FY","BEST_FPERIOD_OVERRIDE=FY","FILING_STATUS=OR","EQY_CONSOLIDATED=Y","Sort=A","Dates=H","DateFormat=P","Fill=—","Direction=H","UseDPDF=Y")</f>
        <v>#NAME?</v>
      </c>
      <c r="BS643" s="2" t="e">
        <f ca="1">_xll.BDH($C$628,"ST_DEBT_SEQUENTIAL_GROWTH","FY 2017","FY 2017","Currency=INR","Period=FY","BEST_FPERIOD_OVERRIDE=FY","FILING_STATUS=OR","EQY_CONSOLIDATED=Y","Sort=A","Dates=H","DateFormat=P","Fill=—","Direction=H","UseDPDF=Y")</f>
        <v>#NAME?</v>
      </c>
      <c r="BT643" s="2" t="e">
        <f ca="1">_xll.BDH($C$628,"TOTAL_DEBT_SEQUENTIAL_GROWTH","FY 2017","FY 2017","Currency=INR","Period=FY","BEST_FPERIOD_OVERRIDE=FY","FILING_STATUS=OR","EQY_CONSOLIDATED=Y","Sort=A","Dates=H","DateFormat=P","Fill=—","Direction=H","UseDPDF=Y")</f>
        <v>#NAME?</v>
      </c>
      <c r="BU643" s="2" t="e">
        <f ca="1">_xll.BDH($C$628,"TOTAL_EQUITY_SEQUENTIAL_GROWTH","FY 2017","FY 2017","Currency=INR","Period=FY","BEST_FPERIOD_OVERRIDE=FY","FILING_STATUS=OR","EQY_CONSOLIDATED=Y","Sort=A","Dates=H","DateFormat=P","Fill=—","Direction=H","UseDPDF=Y")</f>
        <v>#NAME?</v>
      </c>
      <c r="BV643" s="2" t="e">
        <f ca="1">_xll.BDH($C$628,"TOTAL_CAPITAL_SEQUENTIAL_GROWTH","FY 2017","FY 2017","Currency=INR","Period=FY","BEST_FPERIOD_OVERRIDE=FY","FILING_STATUS=OR","EQY_CONSOLIDATED=Y","Sort=A","Dates=H","DateFormat=P","Fill=—","Direction=H","UseDPDF=Y")</f>
        <v>#NAME?</v>
      </c>
      <c r="BW643" s="2" t="e">
        <f ca="1">_xll.BDH($C$628,"BPS_SEQUENTIAL_GROWTH","FY 2017","FY 2017","Currency=INR","Period=FY","BEST_FPERIOD_OVERRIDE=FY","FILING_STATUS=OR","EQY_CONSOLIDATED=Y","Sort=A","Dates=H","DateFormat=P","Fill=—","Direction=H","UseDPDF=Y")</f>
        <v>#NAME?</v>
      </c>
      <c r="BX643" s="2" t="e">
        <f ca="1">_xll.BDH($C$628,"CFO_SEQUENTIAL_GROWTH","FY 2017","FY 2017","Currency=INR","Period=FY","BEST_FPERIOD_OVERRIDE=FY","FILING_STATUS=OR","EQY_CONSOLIDATED=Y","Sort=A","Dates=H","DateFormat=P","Fill=—","Direction=H","UseDPDF=Y")</f>
        <v>#NAME?</v>
      </c>
      <c r="BY643" s="3" t="e">
        <f ca="1">_xll.BDH($C$628,"SHORT_AND_LONG_TERM_DEBT","FY 2017","FY 2017","Currency=INR","Period=FY","BEST_FPERIOD_OVERRIDE=FY","FILING_STATUS=OR","EQY_CONSOLIDATED=Y","SCALING_FORMAT=MLN","Sort=A","Dates=H","DateFormat=P","Fill=—","Direction=H","UseDPDF=Y")</f>
        <v>#NAME?</v>
      </c>
      <c r="BZ643" s="3" t="e">
        <f ca="1">_xll.BDH($C$628,"BS_ST_BORROW","FY 2017","FY 2017","Currency=INR","Period=FY","BEST_FPERIOD_OVERRIDE=FY","FILING_STATUS=OR","EQY_CONSOLIDATED=Y","SCALING_FORMAT=MLN","Sort=A","Dates=H","DateFormat=P","Fill=—","Direction=H","UseDPDF=Y")</f>
        <v>#NAME?</v>
      </c>
      <c r="CA643" s="3" t="e">
        <f ca="1">_xll.BDH($C$628,"BS_LT_BORROW","FY 2017","FY 2017","Currency=INR","Period=FY","BEST_FPERIOD_OVERRIDE=FY","FILING_STATUS=OR","EQY_CONSOLIDATED=Y","SCALING_FORMAT=MLN","Sort=A","Dates=H","DateFormat=P","Fill=—","Direction=H","UseDPDF=Y")</f>
        <v>#NAME?</v>
      </c>
      <c r="CB643" s="2" t="e">
        <f ca="1">_xll.BDH($C$628,"TOT_DEBT_TO_EBITDA","FY 2017","FY 2017","Currency=INR","Period=FY","BEST_FPERIOD_OVERRIDE=FY","FILING_STATUS=OR","EQY_CONSOLIDATED=Y","FA_ADJUSTED=GAAP","Sort=A","Dates=H","DateFormat=P","Fill=—","Direction=H","UseDPDF=Y")</f>
        <v>#NAME?</v>
      </c>
      <c r="CC643" s="2" t="e">
        <f ca="1">_xll.BDH($C$628,"NET_DEBT_TO_EBITDA","FY 2017","FY 2017","Currency=INR","Period=FY","BEST_FPERIOD_OVERRIDE=FY","FILING_STATUS=OR","EQY_CONSOLIDATED=Y","FA_ADJUSTED=GAAP","Sort=A","Dates=H","DateFormat=P","Fill=—","Direction=H","UseDPDF=Y")</f>
        <v>#NAME?</v>
      </c>
      <c r="CD643" s="2" t="e">
        <f ca="1">_xll.BDH($C$628,"TOTAL_DEBT_TO_EBIT","FY 2017","FY 2017","Currency=INR","Period=FY","BEST_FPERIOD_OVERRIDE=FY","FILING_STATUS=OR","EQY_CONSOLIDATED=Y","FA_ADJUSTED=GAAP","Sort=A","Dates=H","DateFormat=P","Fill=—","Direction=H","UseDPDF=Y")</f>
        <v>#NAME?</v>
      </c>
      <c r="CE643" s="2" t="e">
        <f ca="1">_xll.BDH($C$628,"NET_DEBT_TO_EBIT","FY 2017","FY 2017","Currency=INR","Period=FY","BEST_FPERIOD_OVERRIDE=FY","FILING_STATUS=OR","EQY_CONSOLIDATED=Y","FA_ADJUSTED=GAAP","Sort=A","Dates=H","DateFormat=P","Fill=—","Direction=H","UseDPDF=Y")</f>
        <v>#NAME?</v>
      </c>
      <c r="CF643" s="2" t="e">
        <f ca="1">_xll.BDH($C$628,"EBITDA_TO_INTEREST_EXPN","FY 2017","FY 2017","Currency=INR","Period=FY","BEST_FPERIOD_OVERRIDE=FY","FILING_STATUS=OR","EQY_CONSOLIDATED=Y","FA_ADJUSTED=GAAP","Sort=A","Dates=H","DateFormat=P","Fill=—","Direction=H","UseDPDF=Y")</f>
        <v>#NAME?</v>
      </c>
      <c r="CG643" s="2" t="e">
        <f ca="1">_xll.BDH($C$628,"COM_EQY_TO_TOT_ASSET","FY 2017","FY 2017","Currency=INR","Period=FY","BEST_FPERIOD_OVERRIDE=FY","FILING_STATUS=OR","EQY_CONSOLIDATED=Y","Sort=A","Dates=H","DateFormat=P","Fill=—","Direction=H","UseDPDF=Y")</f>
        <v>#NAME?</v>
      </c>
      <c r="CH643" s="2" t="e">
        <f ca="1">_xll.BDH($C$628,"LT_DEBT_TO_TOT_EQY","FY 2017","FY 2017","Currency=INR","Period=FY","BEST_FPERIOD_OVERRIDE=FY","FILING_STATUS=OR","EQY_CONSOLIDATED=Y","Sort=A","Dates=H","DateFormat=P","Fill=—","Direction=H","UseDPDF=Y")</f>
        <v>#NAME?</v>
      </c>
      <c r="CI643" s="2" t="e">
        <f ca="1">_xll.BDH($C$628,"LT_DEBT_TO_TOT_CAP","FY 2017","FY 2017","Currency=INR","Period=FY","BEST_FPERIOD_OVERRIDE=FY","FILING_STATUS=OR","EQY_CONSOLIDATED=Y","Sort=A","Dates=H","DateFormat=P","Fill=—","Direction=H","UseDPDF=Y")</f>
        <v>#NAME?</v>
      </c>
      <c r="CJ643" s="2" t="e">
        <f ca="1">_xll.BDH($C$628,"LT_DEBT_TO_TOT_ASSET","FY 2017","FY 2017","Currency=INR","Period=FY","BEST_FPERIOD_OVERRIDE=FY","FILING_STATUS=OR","EQY_CONSOLIDATED=Y","Sort=A","Dates=H","DateFormat=P","Fill=—","Direction=H","UseDPDF=Y")</f>
        <v>#NAME?</v>
      </c>
      <c r="CK643" s="2" t="e">
        <f ca="1">_xll.BDH($C$628,"TOT_DEBT_TO_TOT_EQY","FY 2017","FY 2017","Currency=INR","Period=FY","BEST_FPERIOD_OVERRIDE=FY","FILING_STATUS=OR","EQY_CONSOLIDATED=Y","Sort=A","Dates=H","DateFormat=P","Fill=—","Direction=H","UseDPDF=Y")</f>
        <v>#NAME?</v>
      </c>
      <c r="CL643" s="2" t="e">
        <f ca="1">_xll.BDH($C$628,"TOT_DEBT_TO_TOT_CAP","FY 2017","FY 2017","Currency=INR","Period=FY","BEST_FPERIOD_OVERRIDE=FY","FILING_STATUS=OR","EQY_CONSOLIDATED=Y","Sort=A","Dates=H","DateFormat=P","Fill=—","Direction=H","UseDPDF=Y")</f>
        <v>#NAME?</v>
      </c>
      <c r="CM643" s="2" t="e">
        <f ca="1">_xll.BDH($C$628,"TOT_DEBT_TO_TOT_ASSET","FY 2017","FY 2017","Currency=INR","Period=FY","BEST_FPERIOD_OVERRIDE=FY","FILING_STATUS=OR","EQY_CONSOLIDATED=Y","Sort=A","Dates=H","DateFormat=P","Fill=—","Direction=H","UseDPDF=Y")</f>
        <v>#NAME?</v>
      </c>
      <c r="CN643" s="2" t="e">
        <f ca="1">_xll.BDH($C$628,"NET_DEBT_TO_SHRHLDR_EQTY","FY 2017","FY 2017","Currency=INR","Period=FY","BEST_FPERIOD_OVERRIDE=FY","FILING_STATUS=OR","EQY_CONSOLIDATED=Y","Sort=A","Dates=H","DateFormat=P","Fill=—","Direction=H","UseDPDF=Y")</f>
        <v>#NAME?</v>
      </c>
      <c r="CO643" s="2" t="e">
        <f ca="1">_xll.BDH($C$628,"NET_DEBT_%_CAPITAL","FY 2017","FY 2017","Currency=INR","Period=FY","BEST_FPERIOD_OVERRIDE=FY","FILING_STATUS=OR","EQY_CONSOLIDATED=Y","Sort=A","Dates=H","DateFormat=P","Fill=—","Direction=H","UseDPDF=Y")</f>
        <v>#NAME?</v>
      </c>
      <c r="CP643" s="3" t="e">
        <f ca="1">_xll.BDH($C$628,"EBITDA","FY 2017","FY 2017","Currency=INR","Period=FY","BEST_FPERIOD_OVERRIDE=FY","FILING_STATUS=OR","EQY_CONSOLIDATED=Y","SCALING_FORMAT=MLN","FA_ADJUSTED=GAAP","Sort=A","Dates=H","DateFormat=P","Fill=—","Direction=H","UseDPDF=Y")</f>
        <v>#NAME?</v>
      </c>
      <c r="CQ643" s="3" t="e">
        <f ca="1">_xll.BDH($C$628,"EBITDA_AFTER_CAPEX","FY 2017","FY 2017","Currency=INR","Period=FY","BEST_FPERIOD_OVERRIDE=FY","FILING_STATUS=OR","EQY_CONSOLIDATED=Y","SCALING_FORMAT=MLN","FA_ADJUSTED=GAAP","Sort=A","Dates=H","DateFormat=P","Fill=—","Direction=H","UseDPDF=Y")</f>
        <v>#NAME?</v>
      </c>
      <c r="CR643" s="3" t="e">
        <f ca="1">_xll.BDH($C$628,"IS_OPER_INC","FY 2017","FY 2017","Currency=INR","Period=FY","BEST_FPERIOD_OVERRIDE=FY","FILING_STATUS=OR","EQY_CONSOLIDATED=Y","SCALING_FORMAT=MLN","FA_ADJUSTED=GAAP","Sort=A","Dates=H","DateFormat=P","Fill=—","Direction=H","UseDPDF=Y")</f>
        <v>#NAME?</v>
      </c>
      <c r="CS643" s="2" t="e">
        <f ca="1">_xll.BDH($C$628,"CASH_RATIO","FY 2017","FY 2017","Currency=INR","Period=FY","BEST_FPERIOD_OVERRIDE=FY","FILING_STATUS=OR","EQY_CONSOLIDATED=Y","Sort=A","Dates=H","DateFormat=P","Fill=—","Direction=H","UseDPDF=Y")</f>
        <v>#NAME?</v>
      </c>
      <c r="CT643" s="2" t="e">
        <f ca="1">_xll.BDH($C$628,"CUR_RATIO","FY 2017","FY 2017","Currency=INR","Period=FY","BEST_FPERIOD_OVERRIDE=FY","FILING_STATUS=OR","EQY_CONSOLIDATED=Y","Sort=A","Dates=H","DateFormat=P","Fill=—","Direction=H","UseDPDF=Y")</f>
        <v>#NAME?</v>
      </c>
      <c r="CU643" s="2" t="e">
        <f ca="1">_xll.BDH($C$628,"QUICK_RATIO","FY 2017","FY 2017","Currency=INR","Period=FY","BEST_FPERIOD_OVERRIDE=FY","FILING_STATUS=OR","EQY_CONSOLIDATED=Y","Sort=A","Dates=H","DateFormat=P","Fill=—","Direction=H","UseDPDF=Y")</f>
        <v>#NAME?</v>
      </c>
      <c r="CV643" s="2" t="e">
        <f ca="1">_xll.BDH($C$628,"ALTMAN_Z_SCORE","FY 2017","FY 2017","Currency=INR","Period=FY","BEST_FPERIOD_OVERRIDE=FY","FILING_STATUS=OR","EQY_CONSOLIDATED=Y","Sort=A","Dates=H","DateFormat=P","Fill=—","Direction=H","UseDPDF=Y")</f>
        <v>#NAME?</v>
      </c>
      <c r="CW643" s="4" t="e">
        <f ca="1">_xll.BDH($C$628,"ACCT_RCV_TURN","FY 2017","FY 2017","Currency=INR","Period=FY","BEST_FPERIOD_OVERRIDE=FY","FILING_STATUS=OR","EQY_CONSOLIDATED=Y","FA_ADJUSTED=GAAP","Sort=A","Dates=H","DateFormat=P","Fill=—","Direction=H","UseDPDF=Y")</f>
        <v>#NAME?</v>
      </c>
      <c r="CX643" s="2" t="e">
        <f ca="1">_xll.BDH($C$628,"ACCT_RCV_DAYS","FY 2017","FY 2017","Currency=INR","Period=FY","BEST_FPERIOD_OVERRIDE=FY","FILING_STATUS=OR","EQY_CONSOLIDATED=Y","FA_ADJUSTED=GAAP","Sort=A","Dates=H","DateFormat=P","Fill=—","Direction=H","UseDPDF=Y")</f>
        <v>#NAME?</v>
      </c>
      <c r="CY643" s="4" t="e">
        <f ca="1">_xll.BDH($C$628,"INVENT_TURN","FY 2017","FY 2017","Currency=INR","Period=FY","BEST_FPERIOD_OVERRIDE=FY","FILING_STATUS=OR","EQY_CONSOLIDATED=Y","FA_ADJUSTED=GAAP","Sort=A","Dates=H","DateFormat=P","Fill=—","Direction=H","UseDPDF=Y")</f>
        <v>#NAME?</v>
      </c>
      <c r="CZ643" s="2" t="e">
        <f ca="1">_xll.BDH($C$628,"INVENT_DAYS","FY 2017","FY 2017","Currency=INR","Period=FY","BEST_FPERIOD_OVERRIDE=FY","FILING_STATUS=OR","EQY_CONSOLIDATED=Y","FA_ADJUSTED=GAAP","Sort=A","Dates=H","DateFormat=P","Fill=—","Direction=H","UseDPDF=Y")</f>
        <v>#NAME?</v>
      </c>
      <c r="DA643" s="4" t="e">
        <f ca="1">_xll.BDH($C$628,"ACCOUNTS_PAYABLE_TURNOVER","FY 2017","FY 2017","Currency=INR","Period=FY","BEST_FPERIOD_OVERRIDE=FY","FILING_STATUS=OR","EQY_CONSOLIDATED=Y","FA_ADJUSTED=GAAP","Sort=A","Dates=H","DateFormat=P","Fill=—","Direction=H","UseDPDF=Y")</f>
        <v>#NAME?</v>
      </c>
      <c r="DB643" s="2" t="e">
        <f ca="1">_xll.BDH($C$628,"ACCOUNTS_PAYABLE_TURNOVER_DAYS","FY 2017","FY 2017","Currency=INR","Period=FY","BEST_FPERIOD_OVERRIDE=FY","FILING_STATUS=OR","EQY_CONSOLIDATED=Y","FA_ADJUSTED=GAAP","Sort=A","Dates=H","DateFormat=P","Fill=—","Direction=H","UseDPDF=Y")</f>
        <v>#NAME?</v>
      </c>
      <c r="DC643" s="4" t="e">
        <f ca="1">_xll.BDH($C$628,"CASH_CONVERSION_CYCLE","FY 2017","FY 2017","Currency=INR","Period=FY","BEST_FPERIOD_OVERRIDE=FY","FILING_STATUS=OR","EQY_CONSOLIDATED=Y","FA_ADJUSTED=GAAP","Sort=A","Dates=H","DateFormat=P","Fill=—","Direction=H","UseDPDF=Y")</f>
        <v>#NAME?</v>
      </c>
      <c r="DD643" s="4" t="e">
        <f ca="1">_xll.BDH($C$628,"INV_TO_CASH_DAYS","FY 2017","FY 2017","Currency=INR","Period=FY","BEST_FPERIOD_OVERRIDE=FY","FILING_STATUS=OR","EQY_CONSOLIDATED=Y","FA_ADJUSTED=GAAP","Sort=A","Dates=H","DateFormat=P","Fill=—","Direction=H","UseDPDF=Y")</f>
        <v>#NAME?</v>
      </c>
      <c r="DE643" s="5" t="e">
        <f ca="1">_xll.BDH($C$628,"BS_INVENTORIES","FY 2017","FY 2017","Currency=INR","Period=FY","BEST_FPERIOD_OVERRIDE=FY","FILING_STATUS=OR","EQY_CONSOLIDATED=Y","SCALING_FORMAT=MLN","Sort=A","Dates=H","DateFormat=P","Fill=—","Direction=H","UseDPDF=Y")</f>
        <v>#NAME?</v>
      </c>
      <c r="DF643" s="3" t="e">
        <f ca="1">_xll.BDH($C$628,"INVTRY_RAW_MATERIALS","FY 2017","FY 2017","Currency=INR","Period=FY","BEST_FPERIOD_OVERRIDE=FY","FILING_STATUS=OR","EQY_CONSOLIDATED=Y","SCALING_FORMAT=MLN","Sort=A","Dates=H","DateFormat=P","Fill=—","Direction=H","UseDPDF=Y")</f>
        <v>#NAME?</v>
      </c>
      <c r="DG643" s="3" t="e">
        <f ca="1">_xll.BDH($C$628,"INVTRY_IN_PROGRESS","FY 2017","FY 2017","Currency=INR","Period=FY","BEST_FPERIOD_OVERRIDE=FY","FILING_STATUS=OR","EQY_CONSOLIDATED=Y","SCALING_FORMAT=MLN","Sort=A","Dates=H","DateFormat=P","Fill=—","Direction=H","UseDPDF=Y")</f>
        <v>#NAME?</v>
      </c>
      <c r="DH643" s="3" t="e">
        <f ca="1">_xll.BDH($C$628,"INVTRY_FINISHED_GOODS","FY 2017","FY 2017","Currency=INR","Period=FY","BEST_FPERIOD_OVERRIDE=FY","FILING_STATUS=OR","EQY_CONSOLIDATED=Y","SCALING_FORMAT=MLN","Sort=A","Dates=H","DateFormat=P","Fill=—","Direction=H","UseDPDF=Y")</f>
        <v>#NAME?</v>
      </c>
      <c r="DI643" s="3" t="e">
        <f ca="1">_xll.BDH($C$628,"BS_OTHER_INV","FY 2017","FY 2017","Currency=INR","Period=FY","BEST_FPERIOD_OVERRIDE=FY","FILING_STATUS=OR","EQY_CONSOLIDATED=Y","SCALING_FORMAT=MLN","Sort=A","Dates=H","DateFormat=P","Fill=—","Direction=H","UseDPDF=Y")</f>
        <v>#NAME?</v>
      </c>
    </row>
    <row r="644" spans="1:113" x14ac:dyDescent="0.3">
      <c r="A644" s="6"/>
      <c r="B644" s="6"/>
      <c r="C644" s="6"/>
      <c r="D644" s="6"/>
      <c r="E644" t="s">
        <v>78</v>
      </c>
      <c r="F644" t="e">
        <f ca="1">_xll.BDH($C$628,"RETURN_COM_EQY","FQ1 2017","FQ1 2017","Currency=INR","Period=FQ","BEST_FPERIOD_OVERRIDE=FQ","FILING_STATUS=OR","EQY_CONSOLIDATED=Y","FA_ADJUSTED=GAAP","Sort=A","Dates=H","DateFormat=P","Fill=—","Direction=H","UseDPDF=Y")</f>
        <v>#NAME?</v>
      </c>
      <c r="G644" t="e">
        <f ca="1">_xll.BDH($C$628,"RETURN_ON_ASSET","FQ1 2017","FQ1 2017","Currency=INR","Period=FQ","BEST_FPERIOD_OVERRIDE=FQ","FILING_STATUS=OR","EQY_CONSOLIDATED=Y","FA_ADJUSTED=GAAP","Sort=A","Dates=H","DateFormat=P","Fill=—","Direction=H","UseDPDF=Y")</f>
        <v>#NAME?</v>
      </c>
      <c r="H644" t="e">
        <f ca="1">_xll.BDH($C$628,"RETURN_ON_CAP","FQ1 2017","FQ1 2017","Currency=INR","Period=FQ","BEST_FPERIOD_OVERRIDE=FQ","FILING_STATUS=OR","EQY_CONSOLIDATED=Y","FA_ADJUSTED=GAAP","Sort=A","Dates=H","DateFormat=P","Fill=—","Direction=H","UseDPDF=Y")</f>
        <v>#NAME?</v>
      </c>
      <c r="I644" t="e">
        <f ca="1">_xll.BDH($C$628,"RETURN_ON_INV_CAPITAL","FQ1 2017","FQ1 2017","Currency=INR","Period=FQ","BEST_FPERIOD_OVERRIDE=FQ","FILING_STATUS=OR","EQY_CONSOLIDATED=Y","FA_ADJUSTED=GAAP","Sort=A","Dates=H","DateFormat=P","Fill=—","Direction=H","UseDPDF=Y")</f>
        <v>#NAME?</v>
      </c>
      <c r="J644" t="e">
        <f ca="1">_xll.BDH($C$628,"EBITDA_TO_REVENUE","FQ1 2017","FQ1 2017","Currency=INR","Period=FQ","BEST_FPERIOD_OVERRIDE=FQ","FILING_STATUS=OR","EQY_CONSOLIDATED=Y","FA_ADJUSTED=GAAP","Sort=A","Dates=H","DateFormat=P","Fill=—","Direction=H","UseDPDF=Y")</f>
        <v>#NAME?</v>
      </c>
      <c r="K644" t="e">
        <f ca="1">_xll.BDH($C$628,"OPER_MARGIN","FQ1 2017","FQ1 2017","Currency=INR","Period=FQ","BEST_FPERIOD_OVERRIDE=FQ","FILING_STATUS=OR","EQY_CONSOLIDATED=Y","FA_ADJUSTED=GAAP","Sort=A","Dates=H","DateFormat=P","Fill=—","Direction=H","UseDPDF=Y")</f>
        <v>#NAME?</v>
      </c>
      <c r="L644" t="e">
        <f ca="1">_xll.BDH($C$628,"INCREMENTAL_OPERATING_MARGIN","FQ1 2017","FQ1 2017","Currency=INR","Period=FQ","BEST_FPERIOD_OVERRIDE=FQ","FILING_STATUS=OR","EQY_CONSOLIDATED=Y","FA_ADJUSTED=GAAP","Sort=A","Dates=H","DateFormat=P","Fill=—","Direction=H","UseDPDF=Y")</f>
        <v>#NAME?</v>
      </c>
      <c r="M644" t="e">
        <f ca="1">_xll.BDH($C$628,"PRETAX_INC_TO_NET_SALES","FQ1 2017","FQ1 2017","Currency=INR","Period=FQ","BEST_FPERIOD_OVERRIDE=FQ","FILING_STATUS=OR","EQY_CONSOLIDATED=Y","FA_ADJUSTED=GAAP","Sort=A","Dates=H","DateFormat=P","Fill=—","Direction=H","UseDPDF=Y")</f>
        <v>#NAME?</v>
      </c>
      <c r="N644" t="e">
        <f ca="1">_xll.BDH($C$628,"INC_BEF_XO_ITEMS_TO_NET_SALES","FQ1 2017","FQ1 2017","Currency=INR","Period=FQ","BEST_FPERIOD_OVERRIDE=FQ","FILING_STATUS=OR","EQY_CONSOLIDATED=Y","FA_ADJUSTED=GAAP","Sort=A","Dates=H","DateFormat=P","Fill=—","Direction=H","UseDPDF=Y")</f>
        <v>#NAME?</v>
      </c>
      <c r="O644" t="e">
        <f ca="1">_xll.BDH($C$628,"PROF_MARGIN","FQ1 2017","FQ1 2017","Currency=INR","Period=FQ","BEST_FPERIOD_OVERRIDE=FQ","FILING_STATUS=OR","EQY_CONSOLIDATED=Y","FA_ADJUSTED=GAAP","Sort=A","Dates=H","DateFormat=P","Fill=—","Direction=H","UseDPDF=Y")</f>
        <v>#NAME?</v>
      </c>
      <c r="P644" t="e">
        <f ca="1">_xll.BDH($C$628,"NET_INCOME_TO_COMMON_MARGIN","FQ1 2017","FQ1 2017","Currency=INR","Period=FQ","BEST_FPERIOD_OVERRIDE=FQ","FILING_STATUS=OR","EQY_CONSOLIDATED=Y","FA_ADJUSTED=GAAP","Sort=A","Dates=H","DateFormat=P","Fill=—","Direction=H","UseDPDF=Y")</f>
        <v>#NAME?</v>
      </c>
      <c r="Q644" t="e">
        <f ca="1">_xll.BDH($C$628,"EFF_TAX_RATE","FQ1 2017","FQ1 2017","Currency=INR","Period=FQ","BEST_FPERIOD_OVERRIDE=FQ","FILING_STATUS=OR","EQY_CONSOLIDATED=Y","FA_ADJUSTED=GAAP","Sort=A","Dates=H","DateFormat=P","Fill=—","Direction=H","UseDPDF=Y")</f>
        <v>#NAME?</v>
      </c>
      <c r="R644" t="e">
        <f ca="1">_xll.BDH($C$628,"DVD_PAYOUT_RATIO","FQ1 2017","FQ1 2017","Currency=INR","Period=FQ","BEST_FPERIOD_OVERRIDE=FQ","FILING_STATUS=OR","EQY_CONSOLIDATED=Y","FA_ADJUSTED=GAAP","Sort=A","Dates=H","DateFormat=P","Fill=—","Direction=H","UseDPDF=Y")</f>
        <v>#NAME?</v>
      </c>
      <c r="S644" t="e">
        <f ca="1">_xll.BDH($C$628,"SUSTAIN_GROWTH_RT","FQ1 2017","FQ1 2017","Currency=INR","Period=FQ","BEST_FPERIOD_OVERRIDE=FQ","FILING_STATUS=OR","EQY_CONSOLIDATED=Y","FA_ADJUSTED=GAAP","Sort=A","Dates=H","DateFormat=P","Fill=—","Direction=H","UseDPDF=Y")</f>
        <v>#NAME?</v>
      </c>
      <c r="T644" s="2" t="e">
        <f ca="1">_xll.BDH($C$628,"SALES_GROWTH","FQ1 2017","FQ1 2017","Currency=INR","Period=FQ","BEST_FPERIOD_OVERRIDE=FQ","FILING_STATUS=OR","EQY_CONSOLIDATED=Y","FA_ADJUSTED=GAAP","Sort=A","Dates=H","DateFormat=P","Fill=—","Direction=H","UseDPDF=Y")</f>
        <v>#NAME?</v>
      </c>
      <c r="U644" s="2" t="e">
        <f ca="1">_xll.BDH($C$628,"EBITDA_GROWTH","FQ1 2017","FQ1 2017","Currency=INR","Period=FQ","BEST_FPERIOD_OVERRIDE=FQ","FILING_STATUS=OR","EQY_CONSOLIDATED=Y","FA_ADJUSTED=GAAP","Sort=A","Dates=H","DateFormat=P","Fill=—","Direction=H","UseDPDF=Y")</f>
        <v>#NAME?</v>
      </c>
      <c r="V644" s="2" t="e">
        <f ca="1">_xll.BDH($C$628,"OPER_INC_GROWTH","FQ1 2017","FQ1 2017","Currency=INR","Period=FQ","BEST_FPERIOD_OVERRIDE=FQ","FILING_STATUS=OR","EQY_CONSOLIDATED=Y","FA_ADJUSTED=GAAP","Sort=A","Dates=H","DateFormat=P","Fill=—","Direction=H","UseDPDF=Y")</f>
        <v>#NAME?</v>
      </c>
      <c r="W644" s="2" t="e">
        <f ca="1">_xll.BDH($C$628,"EARN_FOR_COM_GROWTH","FQ1 2017","FQ1 2017","Currency=INR","Period=FQ","BEST_FPERIOD_OVERRIDE=FQ","FILING_STATUS=OR","EQY_CONSOLIDATED=Y","FA_ADJUSTED=GAAP","Sort=A","Dates=H","DateFormat=P","Fill=—","Direction=H","UseDPDF=Y")</f>
        <v>#NAME?</v>
      </c>
      <c r="X644" s="2" t="e">
        <f ca="1">_xll.BDH($C$628,"DILUTED_EPS_AFT_XO_ITEMS_GROWTH","FQ1 2017","FQ1 2017","Currency=INR","Period=FQ","BEST_FPERIOD_OVERRIDE=FQ","FILING_STATUS=OR","EQY_CONSOLIDATED=Y","FA_ADJUSTED=GAAP","Sort=A","Dates=H","DateFormat=P","Fill=—","Direction=H","UseDPDF=Y")</f>
        <v>#NAME?</v>
      </c>
      <c r="Y644" s="2" t="e">
        <f ca="1">_xll.BDH($C$628,"DIVIDEND_PER_SHARE_1_YEAR_GROWTH","FQ1 2017","FQ1 2017","Currency=INR","Period=FQ","BEST_FPERIOD_OVERRIDE=FQ","FILING_STATUS=OR","EQY_CONSOLIDATED=Y","Sort=A","Dates=H","DateFormat=P","Fill=—","Direction=H","UseDPDF=Y")</f>
        <v>#NAME?</v>
      </c>
      <c r="Z644" s="2" t="e">
        <f ca="1">_xll.BDH($C$628,"ACCOUNTS_RECEIVABLE_GROWTH","FQ1 2017","FQ1 2017","Currency=INR","Period=FQ","BEST_FPERIOD_OVERRIDE=FQ","FILING_STATUS=OR","EQY_CONSOLIDATED=Y","Sort=A","Dates=H","DateFormat=P","Fill=—","Direction=H","UseDPDF=Y")</f>
        <v>#NAME?</v>
      </c>
      <c r="AA644" s="2" t="e">
        <f ca="1">_xll.BDH($C$628,"INVENTORY_GROWTH","FQ1 2017","FQ1 2017","Currency=INR","Period=FQ","BEST_FPERIOD_OVERRIDE=FQ","FILING_STATUS=OR","EQY_CONSOLIDATED=Y","Sort=A","Dates=H","DateFormat=P","Fill=—","Direction=H","UseDPDF=Y")</f>
        <v>#NAME?</v>
      </c>
      <c r="AB644" s="2" t="e">
        <f ca="1">_xll.BDH($C$628,"NET_FIXED_ASSETS_1_YEAR_GROWTH","FQ1 2017","FQ1 2017","Currency=INR","Period=FQ","BEST_FPERIOD_OVERRIDE=FQ","FILING_STATUS=OR","EQY_CONSOLIDATED=Y","Sort=A","Dates=H","DateFormat=P","Fill=—","Direction=H","UseDPDF=Y")</f>
        <v>#NAME?</v>
      </c>
      <c r="AC644" s="2" t="e">
        <f ca="1">_xll.BDH($C$628,"ASSET_GROWTH","FQ1 2017","FQ1 2017","Currency=INR","Period=FQ","BEST_FPERIOD_OVERRIDE=FQ","FILING_STATUS=OR","EQY_CONSOLIDATED=Y","Sort=A","Dates=H","DateFormat=P","Fill=—","Direction=H","UseDPDF=Y")</f>
        <v>#NAME?</v>
      </c>
      <c r="AD644" s="2" t="e">
        <f ca="1">_xll.BDH($C$628,"MODIFIED_WORK_CAP_GROWTH","FQ1 2017","FQ1 2017","Currency=INR","Period=FQ","BEST_FPERIOD_OVERRIDE=FQ","FILING_STATUS=OR","EQY_CONSOLIDATED=Y","Sort=A","Dates=H","DateFormat=P","Fill=—","Direction=H","UseDPDF=Y")</f>
        <v>#NAME?</v>
      </c>
      <c r="AE644" s="2" t="e">
        <f ca="1">_xll.BDH($C$628,"WORK_CAP_GROWTH","FQ1 2017","FQ1 2017","Currency=INR","Period=FQ","BEST_FPERIOD_OVERRIDE=FQ","FILING_STATUS=OR","EQY_CONSOLIDATED=Y","Sort=A","Dates=H","DateFormat=P","Fill=—","Direction=H","UseDPDF=Y")</f>
        <v>#NAME?</v>
      </c>
      <c r="AF644" s="2" t="e">
        <f ca="1">_xll.BDH($C$628,"ACCOUNTS_PAYABLE_GROWTH_1YR","FQ1 2017","FQ1 2017","Currency=INR","Period=FQ","BEST_FPERIOD_OVERRIDE=FQ","FILING_STATUS=OR","EQY_CONSOLIDATED=Y","Sort=A","Dates=H","DateFormat=P","Fill=—","Direction=H","UseDPDF=Y")</f>
        <v>#NAME?</v>
      </c>
      <c r="AG644" s="2" t="e">
        <f ca="1">_xll.BDH($C$628,"SHORT_TERM_DEBT_1_YEAR_GROWTH","FQ1 2017","FQ1 2017","Currency=INR","Period=FQ","BEST_FPERIOD_OVERRIDE=FQ","FILING_STATUS=OR","EQY_CONSOLIDATED=Y","Sort=A","Dates=H","DateFormat=P","Fill=—","Direction=H","UseDPDF=Y")</f>
        <v>#NAME?</v>
      </c>
      <c r="AH644" s="2" t="e">
        <f ca="1">_xll.BDH($C$628,"TOTAL_DEBT_1_YEAR_GROWTH","FQ1 2017","FQ1 2017","Currency=INR","Period=FQ","BEST_FPERIOD_OVERRIDE=FQ","FILING_STATUS=OR","EQY_CONSOLIDATED=Y","Sort=A","Dates=H","DateFormat=P","Fill=—","Direction=H","UseDPDF=Y")</f>
        <v>#NAME?</v>
      </c>
      <c r="AI644" s="2" t="e">
        <f ca="1">_xll.BDH($C$628,"TOTAL_EQUITY_1_YEAR_GROWTH","FQ1 2017","FQ1 2017","Currency=INR","Period=FQ","BEST_FPERIOD_OVERRIDE=FQ","FILING_STATUS=OR","EQY_CONSOLIDATED=Y","Sort=A","Dates=H","DateFormat=P","Fill=—","Direction=H","UseDPDF=Y")</f>
        <v>#NAME?</v>
      </c>
      <c r="AJ644" s="2" t="e">
        <f ca="1">_xll.BDH($C$628,"GROWTH_IN_CAP","FQ1 2017","FQ1 2017","Currency=INR","Period=FQ","BEST_FPERIOD_OVERRIDE=FQ","FILING_STATUS=OR","EQY_CONSOLIDATED=Y","Sort=A","Dates=H","DateFormat=P","Fill=—","Direction=H","UseDPDF=Y")</f>
        <v>#NAME?</v>
      </c>
      <c r="AK644" s="2" t="e">
        <f ca="1">_xll.BDH($C$628,"BVPS_GROWTH","FQ1 2017","FQ1 2017","Currency=INR","Period=FQ","BEST_FPERIOD_OVERRIDE=FQ","FILING_STATUS=OR","EQY_CONSOLIDATED=Y","Sort=A","Dates=H","DateFormat=P","Fill=—","Direction=H","UseDPDF=Y")</f>
        <v>#NAME?</v>
      </c>
      <c r="AL644" s="2" t="e">
        <f ca="1">_xll.BDH($C$628,"CASH_FLOW_GROWTH","FQ1 2017","FQ1 2017","Currency=INR","Period=FQ","BEST_FPERIOD_OVERRIDE=FQ","FILING_STATUS=OR","EQY_CONSOLIDATED=Y","Sort=A","Dates=H","DateFormat=P","Fill=—","Direction=H","UseDPDF=Y")</f>
        <v>#NAME?</v>
      </c>
      <c r="AM644" s="2" t="e">
        <f ca="1">_xll.BDH($C$628,"GEO_GROW_NET_SALES","FQ1 2017","FQ1 2017","Currency=INR","Period=FQ","BEST_FPERIOD_OVERRIDE=FQ","FILING_STATUS=OR","EQY_CONSOLIDATED=Y","FA_ADJUSTED=GAAP","Sort=A","Dates=H","DateFormat=P","Fill=—","Direction=H","UseDPDF=Y")</f>
        <v>#NAME?</v>
      </c>
      <c r="AN644" s="2" t="e">
        <f ca="1">_xll.BDH($C$628,"GEO_GROW_EBITDA","FQ1 2017","FQ1 2017","Currency=INR","Period=FQ","BEST_FPERIOD_OVERRIDE=FQ","FILING_STATUS=OR","EQY_CONSOLIDATED=Y","FA_ADJUSTED=GAAP","Sort=A","Dates=H","DateFormat=P","Fill=—","Direction=H","UseDPDF=Y")</f>
        <v>#NAME?</v>
      </c>
      <c r="AO644" s="2" t="e">
        <f ca="1">_xll.BDH($C$628,"GEO_GROW_OPER_INC","FQ1 2017","FQ1 2017","Currency=INR","Period=FQ","BEST_FPERIOD_OVERRIDE=FQ","FILING_STATUS=OR","EQY_CONSOLIDATED=Y","FA_ADJUSTED=GAAP","Sort=A","Dates=H","DateFormat=P","Fill=—","Direction=H","UseDPDF=Y")</f>
        <v>#NAME?</v>
      </c>
      <c r="AP644" s="2" t="e">
        <f ca="1">_xll.BDH($C$628,"NET_INCOME_TO_COMMON_5_YR_GROWTH","FQ1 2017","FQ1 2017","Currency=INR","Period=FQ","BEST_FPERIOD_OVERRIDE=FQ","FILING_STATUS=OR","EQY_CONSOLIDATED=Y","FA_ADJUSTED=GAAP","Sort=A","Dates=H","DateFormat=P","Fill=—","Direction=H","UseDPDF=Y")</f>
        <v>#NAME?</v>
      </c>
      <c r="AQ644" s="2" t="e">
        <f ca="1">_xll.BDH($C$628,"5Y_GEO_GROWTH_DILUTED_EPS","FQ1 2017","FQ1 2017","Currency=INR","Period=FQ","BEST_FPERIOD_OVERRIDE=FQ","FILING_STATUS=OR","EQY_CONSOLIDATED=Y","FA_ADJUSTED=GAAP","Sort=A","Dates=H","DateFormat=P","Fill=—","Direction=H","UseDPDF=Y")</f>
        <v>#NAME?</v>
      </c>
      <c r="AR644" s="2" t="e">
        <f ca="1">_xll.BDH($C$628,"GEO_GROW_DVD_PER_SH","FQ1 2017","FQ1 2017","Currency=INR","Period=FQ","BEST_FPERIOD_OVERRIDE=FQ","FILING_STATUS=OR","EQY_CONSOLIDATED=Y","Sort=A","Dates=H","DateFormat=P","Fill=—","Direction=H","UseDPDF=Y")</f>
        <v>#NAME?</v>
      </c>
      <c r="AS644" s="2" t="e">
        <f ca="1">_xll.BDH($C$628,"ACCOUNTS_RECEIVABLE_5_YR_GROWTH","FQ1 2017","FQ1 2017","Currency=INR","Period=FQ","BEST_FPERIOD_OVERRIDE=FQ","FILING_STATUS=OR","EQY_CONSOLIDATED=Y","Sort=A","Dates=H","DateFormat=P","Fill=—","Direction=H","UseDPDF=Y")</f>
        <v>#NAME?</v>
      </c>
      <c r="AT644" s="2" t="e">
        <f ca="1">_xll.BDH($C$628,"INVENTORY_5_YEAR_GROWTH","FQ1 2017","FQ1 2017","Currency=INR","Period=FQ","BEST_FPERIOD_OVERRIDE=FQ","FILING_STATUS=OR","EQY_CONSOLIDATED=Y","Sort=A","Dates=H","DateFormat=P","Fill=—","Direction=H","UseDPDF=Y")</f>
        <v>#NAME?</v>
      </c>
      <c r="AU644" s="2" t="e">
        <f ca="1">_xll.BDH($C$628,"NET_FIXED_ASSETS_5_YEAR_GROWTH","FQ1 2017","FQ1 2017","Currency=INR","Period=FQ","BEST_FPERIOD_OVERRIDE=FQ","FILING_STATUS=OR","EQY_CONSOLIDATED=Y","Sort=A","Dates=H","DateFormat=P","Fill=—","Direction=H","UseDPDF=Y")</f>
        <v>#NAME?</v>
      </c>
      <c r="AV644" s="2" t="e">
        <f ca="1">_xll.BDH($C$628,"GEO_GROW_TOT_ASSET","FQ1 2017","FQ1 2017","Currency=INR","Period=FQ","BEST_FPERIOD_OVERRIDE=FQ","FILING_STATUS=OR","EQY_CONSOLIDATED=Y","Sort=A","Dates=H","DateFormat=P","Fill=—","Direction=H","UseDPDF=Y")</f>
        <v>#NAME?</v>
      </c>
      <c r="AW644" s="2" t="e">
        <f ca="1">_xll.BDH($C$628,"MODIFIED_WORKING_CPTL_5YR_GRWTH","FQ1 2017","FQ1 2017","Currency=INR","Period=FQ","BEST_FPERIOD_OVERRIDE=FQ","FILING_STATUS=OR","EQY_CONSOLIDATED=Y","Sort=A","Dates=H","DateFormat=P","Fill=—","Direction=H","UseDPDF=Y")</f>
        <v>#NAME?</v>
      </c>
      <c r="AX644" s="2" t="e">
        <f ca="1">_xll.BDH($C$628,"WORKING_CAPITAL_5_YEAR_GROWTH","FQ1 2017","FQ1 2017","Currency=INR","Period=FQ","BEST_FPERIOD_OVERRIDE=FQ","FILING_STATUS=OR","EQY_CONSOLIDATED=Y","Sort=A","Dates=H","DateFormat=P","Fill=—","Direction=H","UseDPDF=Y")</f>
        <v>#NAME?</v>
      </c>
      <c r="AY644" s="2" t="e">
        <f ca="1">_xll.BDH($C$628,"ACCOUNTS_PAYABLE_5_YEAR_GROWTH","FQ1 2017","FQ1 2017","Currency=INR","Period=FQ","BEST_FPERIOD_OVERRIDE=FQ","FILING_STATUS=OR","EQY_CONSOLIDATED=Y","Sort=A","Dates=H","DateFormat=P","Fill=—","Direction=H","UseDPDF=Y")</f>
        <v>#NAME?</v>
      </c>
      <c r="AZ644" s="2" t="e">
        <f ca="1">_xll.BDH($C$628,"SHORT_TERM_DEBT_5_YEAR_GROWTH","FQ1 2017","FQ1 2017","Currency=INR","Period=FQ","BEST_FPERIOD_OVERRIDE=FQ","FILING_STATUS=OR","EQY_CONSOLIDATED=Y","Sort=A","Dates=H","DateFormat=P","Fill=—","Direction=H","UseDPDF=Y")</f>
        <v>#NAME?</v>
      </c>
      <c r="BA644" s="2" t="e">
        <f ca="1">_xll.BDH($C$628,"TOTAL_DEBT_5_YEAR_GROWTH","FQ1 2017","FQ1 2017","Currency=INR","Period=FQ","BEST_FPERIOD_OVERRIDE=FQ","FILING_STATUS=OR","EQY_CONSOLIDATED=Y","Sort=A","Dates=H","DateFormat=P","Fill=—","Direction=H","UseDPDF=Y")</f>
        <v>#NAME?</v>
      </c>
      <c r="BB644" s="2" t="e">
        <f ca="1">_xll.BDH($C$628,"GEO_GROW_TOT_SHRHLDR_EQY","FQ1 2017","FQ1 2017","Currency=INR","Period=FQ","BEST_FPERIOD_OVERRIDE=FQ","FILING_STATUS=OR","EQY_CONSOLIDATED=Y","Sort=A","Dates=H","DateFormat=P","Fill=—","Direction=H","UseDPDF=Y")</f>
        <v>#NAME?</v>
      </c>
      <c r="BC644" s="2" t="e">
        <f ca="1">_xll.BDH($C$628,"TOTAL_CAPITAL_5_YEAR_GROWTH","FQ1 2017","FQ1 2017","Currency=INR","Period=FQ","BEST_FPERIOD_OVERRIDE=FQ","FILING_STATUS=OR","EQY_CONSOLIDATED=Y","Sort=A","Dates=H","DateFormat=P","Fill=—","Direction=H","UseDPDF=Y")</f>
        <v>#NAME?</v>
      </c>
      <c r="BD644" s="2" t="e">
        <f ca="1">_xll.BDH($C$628,"GEO_GROW_BOOK_VAL","FQ1 2017","FQ1 2017","Currency=INR","Period=FQ","BEST_FPERIOD_OVERRIDE=FQ","FILING_STATUS=OR","EQY_CONSOLIDATED=Y","Sort=A","Dates=H","DateFormat=P","Fill=—","Direction=H","UseDPDF=Y")</f>
        <v>#NAME?</v>
      </c>
      <c r="BE644" s="2" t="e">
        <f ca="1">_xll.BDH($C$628,"GEO_GROW_CASH_OPER_ACT","FQ1 2017","FQ1 2017","Currency=INR","Period=FQ","BEST_FPERIOD_OVERRIDE=FQ","FILING_STATUS=OR","EQY_CONSOLIDATED=Y","Sort=A","Dates=H","DateFormat=P","Fill=—","Direction=H","UseDPDF=Y")</f>
        <v>#NAME?</v>
      </c>
      <c r="BF644" s="2" t="e">
        <f ca="1">_xll.BDH($C$628,"REVENUE_SEQUENTIAL_GROWTH","FQ1 2017","FQ1 2017","Currency=INR","Period=FQ","BEST_FPERIOD_OVERRIDE=FQ","FILING_STATUS=OR","EQY_CONSOLIDATED=Y","FA_ADJUSTED=GAAP","Sort=A","Dates=H","DateFormat=P","Fill=—","Direction=H","UseDPDF=Y")</f>
        <v>#NAME?</v>
      </c>
      <c r="BG644" s="2" t="e">
        <f ca="1">_xll.BDH($C$628,"EBITDA_SEQUENTIAL_GROWTH","FQ1 2017","FQ1 2017","Currency=INR","Period=FQ","BEST_FPERIOD_OVERRIDE=FQ","FILING_STATUS=OR","EQY_CONSOLIDATED=Y","FA_ADJUSTED=GAAP","Sort=A","Dates=H","DateFormat=P","Fill=—","Direction=H","UseDPDF=Y")</f>
        <v>#NAME?</v>
      </c>
      <c r="BH644" s="2" t="e">
        <f ca="1">_xll.BDH($C$628,"OPERATING_INCOME_SEQ_GROWTH","FQ1 2017","FQ1 2017","Currency=INR","Period=FQ","BEST_FPERIOD_OVERRIDE=FQ","FILING_STATUS=OR","EQY_CONSOLIDATED=Y","FA_ADJUSTED=GAAP","Sort=A","Dates=H","DateFormat=P","Fill=—","Direction=H","UseDPDF=Y")</f>
        <v>#NAME?</v>
      </c>
      <c r="BI644" s="2" t="e">
        <f ca="1">_xll.BDH($C$628,"NET_INCOME_TO_COMMON_SEQ_GROWTH","FQ1 2017","FQ1 2017","Currency=INR","Period=FQ","BEST_FPERIOD_OVERRIDE=FQ","FILING_STATUS=OR","EQY_CONSOLIDATED=Y","FA_ADJUSTED=GAAP","Sort=A","Dates=H","DateFormat=P","Fill=—","Direction=H","UseDPDF=Y")</f>
        <v>#NAME?</v>
      </c>
      <c r="BJ644" s="2" t="e">
        <f ca="1">_xll.BDH($C$628,"EPS_DILUTED_SEQUENTIAL_GROWTH","FQ1 2017","FQ1 2017","Currency=INR","Period=FQ","BEST_FPERIOD_OVERRIDE=FQ","FILING_STATUS=OR","EQY_CONSOLIDATED=Y","FA_ADJUSTED=GAAP","Sort=A","Dates=H","DateFormat=P","Fill=—","Direction=H","UseDPDF=Y")</f>
        <v>#NAME?</v>
      </c>
      <c r="BK644" s="2" t="e">
        <f ca="1">_xll.BDH($C$628,"DPS_SEQUENTIAL_GROWTH","FQ1 2017","FQ1 2017","Currency=INR","Period=FQ","BEST_FPERIOD_OVERRIDE=FQ","FILING_STATUS=OR","EQY_CONSOLIDATED=Y","Sort=A","Dates=H","DateFormat=P","Fill=—","Direction=H","UseDPDF=Y")</f>
        <v>#NAME?</v>
      </c>
      <c r="BL644" s="2" t="e">
        <f ca="1">_xll.BDH($C$628,"ACCOUNTS_RECEIVABLE_SEQ_GROWTH","FQ1 2017","FQ1 2017","Currency=INR","Period=FQ","BEST_FPERIOD_OVERRIDE=FQ","FILING_STATUS=OR","EQY_CONSOLIDATED=Y","Sort=A","Dates=H","DateFormat=P","Fill=—","Direction=H","UseDPDF=Y")</f>
        <v>#NAME?</v>
      </c>
      <c r="BM644" s="2" t="e">
        <f ca="1">_xll.BDH($C$628,"INVENTORY_SEQUENTIAL_GROWTH","FQ1 2017","FQ1 2017","Currency=INR","Period=FQ","BEST_FPERIOD_OVERRIDE=FQ","FILING_STATUS=OR","EQY_CONSOLIDATED=Y","Sort=A","Dates=H","DateFormat=P","Fill=—","Direction=H","UseDPDF=Y")</f>
        <v>#NAME?</v>
      </c>
      <c r="BN644" s="2" t="e">
        <f ca="1">_xll.BDH($C$628,"FIXED_ASSETS_SEQUENTIAL_GROWTH","FQ1 2017","FQ1 2017","Currency=INR","Period=FQ","BEST_FPERIOD_OVERRIDE=FQ","FILING_STATUS=OR","EQY_CONSOLIDATED=Y","Sort=A","Dates=H","DateFormat=P","Fill=—","Direction=H","UseDPDF=Y")</f>
        <v>#NAME?</v>
      </c>
      <c r="BO644" s="2" t="e">
        <f ca="1">_xll.BDH($C$628,"TOTAL_ASSETS_SEQUENTIAL_GROWTH","FQ1 2017","FQ1 2017","Currency=INR","Period=FQ","BEST_FPERIOD_OVERRIDE=FQ","FILING_STATUS=OR","EQY_CONSOLIDATED=Y","Sort=A","Dates=H","DateFormat=P","Fill=—","Direction=H","UseDPDF=Y")</f>
        <v>#NAME?</v>
      </c>
      <c r="BP644" s="2" t="e">
        <f ca="1">_xll.BDH($C$628,"MODIFIED_WORKING_CPTL_SEQ_GRWTH","FQ1 2017","FQ1 2017","Currency=INR","Period=FQ","BEST_FPERIOD_OVERRIDE=FQ","FILING_STATUS=OR","EQY_CONSOLIDATED=Y","Sort=A","Dates=H","DateFormat=P","Fill=—","Direction=H","UseDPDF=Y")</f>
        <v>#NAME?</v>
      </c>
      <c r="BQ644" s="2" t="e">
        <f ca="1">_xll.BDH($C$628,"WORKING_CAPITAL_SEQ_GROWTH","FQ1 2017","FQ1 2017","Currency=INR","Period=FQ","BEST_FPERIOD_OVERRIDE=FQ","FILING_STATUS=OR","EQY_CONSOLIDATED=Y","Sort=A","Dates=H","DateFormat=P","Fill=—","Direction=H","UseDPDF=Y")</f>
        <v>#NAME?</v>
      </c>
      <c r="BR644" s="2" t="e">
        <f ca="1">_xll.BDH($C$628,"ACCOUNTS_PAYABLE_SEQ_GROWTH","FQ1 2017","FQ1 2017","Currency=INR","Period=FQ","BEST_FPERIOD_OVERRIDE=FQ","FILING_STATUS=OR","EQY_CONSOLIDATED=Y","Sort=A","Dates=H","DateFormat=P","Fill=—","Direction=H","UseDPDF=Y")</f>
        <v>#NAME?</v>
      </c>
      <c r="BS644" s="2" t="e">
        <f ca="1">_xll.BDH($C$628,"ST_DEBT_SEQUENTIAL_GROWTH","FQ1 2017","FQ1 2017","Currency=INR","Period=FQ","BEST_FPERIOD_OVERRIDE=FQ","FILING_STATUS=OR","EQY_CONSOLIDATED=Y","Sort=A","Dates=H","DateFormat=P","Fill=—","Direction=H","UseDPDF=Y")</f>
        <v>#NAME?</v>
      </c>
      <c r="BT644" s="2" t="e">
        <f ca="1">_xll.BDH($C$628,"TOTAL_DEBT_SEQUENTIAL_GROWTH","FQ1 2017","FQ1 2017","Currency=INR","Period=FQ","BEST_FPERIOD_OVERRIDE=FQ","FILING_STATUS=OR","EQY_CONSOLIDATED=Y","Sort=A","Dates=H","DateFormat=P","Fill=—","Direction=H","UseDPDF=Y")</f>
        <v>#NAME?</v>
      </c>
      <c r="BU644" s="2" t="e">
        <f ca="1">_xll.BDH($C$628,"TOTAL_EQUITY_SEQUENTIAL_GROWTH","FQ1 2017","FQ1 2017","Currency=INR","Period=FQ","BEST_FPERIOD_OVERRIDE=FQ","FILING_STATUS=OR","EQY_CONSOLIDATED=Y","Sort=A","Dates=H","DateFormat=P","Fill=—","Direction=H","UseDPDF=Y")</f>
        <v>#NAME?</v>
      </c>
      <c r="BV644" s="2" t="e">
        <f ca="1">_xll.BDH($C$628,"TOTAL_CAPITAL_SEQUENTIAL_GROWTH","FQ1 2017","FQ1 2017","Currency=INR","Period=FQ","BEST_FPERIOD_OVERRIDE=FQ","FILING_STATUS=OR","EQY_CONSOLIDATED=Y","Sort=A","Dates=H","DateFormat=P","Fill=—","Direction=H","UseDPDF=Y")</f>
        <v>#NAME?</v>
      </c>
      <c r="BW644" s="2" t="e">
        <f ca="1">_xll.BDH($C$628,"BPS_SEQUENTIAL_GROWTH","FQ1 2017","FQ1 2017","Currency=INR","Period=FQ","BEST_FPERIOD_OVERRIDE=FQ","FILING_STATUS=OR","EQY_CONSOLIDATED=Y","Sort=A","Dates=H","DateFormat=P","Fill=—","Direction=H","UseDPDF=Y")</f>
        <v>#NAME?</v>
      </c>
      <c r="BX644" s="2" t="e">
        <f ca="1">_xll.BDH($C$628,"CFO_SEQUENTIAL_GROWTH","FQ1 2017","FQ1 2017","Currency=INR","Period=FQ","BEST_FPERIOD_OVERRIDE=FQ","FILING_STATUS=OR","EQY_CONSOLIDATED=Y","Sort=A","Dates=H","DateFormat=P","Fill=—","Direction=H","UseDPDF=Y")</f>
        <v>#NAME?</v>
      </c>
      <c r="BY644" s="3" t="e">
        <f ca="1">_xll.BDH($C$628,"SHORT_AND_LONG_TERM_DEBT","FQ1 2017","FQ1 2017","Currency=INR","Period=FQ","BEST_FPERIOD_OVERRIDE=FQ","FILING_STATUS=OR","EQY_CONSOLIDATED=Y","SCALING_FORMAT=MLN","Sort=A","Dates=H","DateFormat=P","Fill=—","Direction=H","UseDPDF=Y")</f>
        <v>#NAME?</v>
      </c>
      <c r="BZ644" s="3" t="e">
        <f ca="1">_xll.BDH($C$628,"BS_ST_BORROW","FQ1 2017","FQ1 2017","Currency=INR","Period=FQ","BEST_FPERIOD_OVERRIDE=FQ","FILING_STATUS=OR","EQY_CONSOLIDATED=Y","SCALING_FORMAT=MLN","Sort=A","Dates=H","DateFormat=P","Fill=—","Direction=H","UseDPDF=Y")</f>
        <v>#NAME?</v>
      </c>
      <c r="CA644" s="3" t="e">
        <f ca="1">_xll.BDH($C$628,"BS_LT_BORROW","FQ1 2017","FQ1 2017","Currency=INR","Period=FQ","BEST_FPERIOD_OVERRIDE=FQ","FILING_STATUS=OR","EQY_CONSOLIDATED=Y","SCALING_FORMAT=MLN","Sort=A","Dates=H","DateFormat=P","Fill=—","Direction=H","UseDPDF=Y")</f>
        <v>#NAME?</v>
      </c>
      <c r="CB644" s="2" t="e">
        <f ca="1">_xll.BDH($C$628,"TOT_DEBT_TO_EBITDA","FQ1 2017","FQ1 2017","Currency=INR","Period=FQ","BEST_FPERIOD_OVERRIDE=FQ","FILING_STATUS=OR","EQY_CONSOLIDATED=Y","FA_ADJUSTED=GAAP","Sort=A","Dates=H","DateFormat=P","Fill=—","Direction=H","UseDPDF=Y")</f>
        <v>#NAME?</v>
      </c>
      <c r="CC644" s="2" t="e">
        <f ca="1">_xll.BDH($C$628,"NET_DEBT_TO_EBITDA","FQ1 2017","FQ1 2017","Currency=INR","Period=FQ","BEST_FPERIOD_OVERRIDE=FQ","FILING_STATUS=OR","EQY_CONSOLIDATED=Y","FA_ADJUSTED=GAAP","Sort=A","Dates=H","DateFormat=P","Fill=—","Direction=H","UseDPDF=Y")</f>
        <v>#NAME?</v>
      </c>
      <c r="CD644" s="2" t="e">
        <f ca="1">_xll.BDH($C$628,"TOTAL_DEBT_TO_EBIT","FQ1 2017","FQ1 2017","Currency=INR","Period=FQ","BEST_FPERIOD_OVERRIDE=FQ","FILING_STATUS=OR","EQY_CONSOLIDATED=Y","FA_ADJUSTED=GAAP","Sort=A","Dates=H","DateFormat=P","Fill=—","Direction=H","UseDPDF=Y")</f>
        <v>#NAME?</v>
      </c>
      <c r="CE644" s="2" t="e">
        <f ca="1">_xll.BDH($C$628,"NET_DEBT_TO_EBIT","FQ1 2017","FQ1 2017","Currency=INR","Period=FQ","BEST_FPERIOD_OVERRIDE=FQ","FILING_STATUS=OR","EQY_CONSOLIDATED=Y","FA_ADJUSTED=GAAP","Sort=A","Dates=H","DateFormat=P","Fill=—","Direction=H","UseDPDF=Y")</f>
        <v>#NAME?</v>
      </c>
      <c r="CF644" s="2" t="e">
        <f ca="1">_xll.BDH($C$628,"EBITDA_TO_INTEREST_EXPN","FQ1 2017","FQ1 2017","Currency=INR","Period=FQ","BEST_FPERIOD_OVERRIDE=FQ","FILING_STATUS=OR","EQY_CONSOLIDATED=Y","FA_ADJUSTED=GAAP","Sort=A","Dates=H","DateFormat=P","Fill=—","Direction=H","UseDPDF=Y")</f>
        <v>#NAME?</v>
      </c>
      <c r="CG644" s="2" t="e">
        <f ca="1">_xll.BDH($C$628,"COM_EQY_TO_TOT_ASSET","FQ1 2017","FQ1 2017","Currency=INR","Period=FQ","BEST_FPERIOD_OVERRIDE=FQ","FILING_STATUS=OR","EQY_CONSOLIDATED=Y","Sort=A","Dates=H","DateFormat=P","Fill=—","Direction=H","UseDPDF=Y")</f>
        <v>#NAME?</v>
      </c>
      <c r="CH644" s="2" t="e">
        <f ca="1">_xll.BDH($C$628,"LT_DEBT_TO_TOT_EQY","FQ1 2017","FQ1 2017","Currency=INR","Period=FQ","BEST_FPERIOD_OVERRIDE=FQ","FILING_STATUS=OR","EQY_CONSOLIDATED=Y","Sort=A","Dates=H","DateFormat=P","Fill=—","Direction=H","UseDPDF=Y")</f>
        <v>#NAME?</v>
      </c>
      <c r="CI644" s="2" t="e">
        <f ca="1">_xll.BDH($C$628,"LT_DEBT_TO_TOT_CAP","FQ1 2017","FQ1 2017","Currency=INR","Period=FQ","BEST_FPERIOD_OVERRIDE=FQ","FILING_STATUS=OR","EQY_CONSOLIDATED=Y","Sort=A","Dates=H","DateFormat=P","Fill=—","Direction=H","UseDPDF=Y")</f>
        <v>#NAME?</v>
      </c>
      <c r="CJ644" s="2" t="e">
        <f ca="1">_xll.BDH($C$628,"LT_DEBT_TO_TOT_ASSET","FQ1 2017","FQ1 2017","Currency=INR","Period=FQ","BEST_FPERIOD_OVERRIDE=FQ","FILING_STATUS=OR","EQY_CONSOLIDATED=Y","Sort=A","Dates=H","DateFormat=P","Fill=—","Direction=H","UseDPDF=Y")</f>
        <v>#NAME?</v>
      </c>
      <c r="CK644" s="2" t="e">
        <f ca="1">_xll.BDH($C$628,"TOT_DEBT_TO_TOT_EQY","FQ1 2017","FQ1 2017","Currency=INR","Period=FQ","BEST_FPERIOD_OVERRIDE=FQ","FILING_STATUS=OR","EQY_CONSOLIDATED=Y","Sort=A","Dates=H","DateFormat=P","Fill=—","Direction=H","UseDPDF=Y")</f>
        <v>#NAME?</v>
      </c>
      <c r="CL644" s="2" t="e">
        <f ca="1">_xll.BDH($C$628,"TOT_DEBT_TO_TOT_CAP","FQ1 2017","FQ1 2017","Currency=INR","Period=FQ","BEST_FPERIOD_OVERRIDE=FQ","FILING_STATUS=OR","EQY_CONSOLIDATED=Y","Sort=A","Dates=H","DateFormat=P","Fill=—","Direction=H","UseDPDF=Y")</f>
        <v>#NAME?</v>
      </c>
      <c r="CM644" s="2" t="e">
        <f ca="1">_xll.BDH($C$628,"TOT_DEBT_TO_TOT_ASSET","FQ1 2017","FQ1 2017","Currency=INR","Period=FQ","BEST_FPERIOD_OVERRIDE=FQ","FILING_STATUS=OR","EQY_CONSOLIDATED=Y","Sort=A","Dates=H","DateFormat=P","Fill=—","Direction=H","UseDPDF=Y")</f>
        <v>#NAME?</v>
      </c>
      <c r="CN644" s="2" t="e">
        <f ca="1">_xll.BDH($C$628,"NET_DEBT_TO_SHRHLDR_EQTY","FQ1 2017","FQ1 2017","Currency=INR","Period=FQ","BEST_FPERIOD_OVERRIDE=FQ","FILING_STATUS=OR","EQY_CONSOLIDATED=Y","Sort=A","Dates=H","DateFormat=P","Fill=—","Direction=H","UseDPDF=Y")</f>
        <v>#NAME?</v>
      </c>
      <c r="CO644" s="2" t="e">
        <f ca="1">_xll.BDH($C$628,"NET_DEBT_%_CAPITAL","FQ1 2017","FQ1 2017","Currency=INR","Period=FQ","BEST_FPERIOD_OVERRIDE=FQ","FILING_STATUS=OR","EQY_CONSOLIDATED=Y","Sort=A","Dates=H","DateFormat=P","Fill=—","Direction=H","UseDPDF=Y")</f>
        <v>#NAME?</v>
      </c>
      <c r="CP644" s="3" t="e">
        <f ca="1">_xll.BDH($C$628,"EBITDA","FQ1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Q644" s="3" t="e">
        <f ca="1">_xll.BDH($C$628,"EBITDA_AFTER_CAPEX","FQ1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R644" s="3" t="e">
        <f ca="1">_xll.BDH($C$628,"IS_OPER_INC","FQ1 2017","FQ1 2017","Currency=INR","Period=FQ","BEST_FPERIOD_OVERRIDE=FQ","FILING_STATUS=OR","EQY_CONSOLIDATED=Y","SCALING_FORMAT=MLN","FA_ADJUSTED=GAAP","Sort=A","Dates=H","DateFormat=P","Fill=—","Direction=H","UseDPDF=Y")</f>
        <v>#NAME?</v>
      </c>
      <c r="CS644" s="2" t="e">
        <f ca="1">_xll.BDH($C$628,"CASH_RATIO","FQ1 2017","FQ1 2017","Currency=INR","Period=FQ","BEST_FPERIOD_OVERRIDE=FQ","FILING_STATUS=OR","EQY_CONSOLIDATED=Y","Sort=A","Dates=H","DateFormat=P","Fill=—","Direction=H","UseDPDF=Y")</f>
        <v>#NAME?</v>
      </c>
      <c r="CT644" s="2" t="e">
        <f ca="1">_xll.BDH($C$628,"CUR_RATIO","FQ1 2017","FQ1 2017","Currency=INR","Period=FQ","BEST_FPERIOD_OVERRIDE=FQ","FILING_STATUS=OR","EQY_CONSOLIDATED=Y","Sort=A","Dates=H","DateFormat=P","Fill=—","Direction=H","UseDPDF=Y")</f>
        <v>#NAME?</v>
      </c>
      <c r="CU644" s="2" t="e">
        <f ca="1">_xll.BDH($C$628,"QUICK_RATIO","FQ1 2017","FQ1 2017","Currency=INR","Period=FQ","BEST_FPERIOD_OVERRIDE=FQ","FILING_STATUS=OR","EQY_CONSOLIDATED=Y","Sort=A","Dates=H","DateFormat=P","Fill=—","Direction=H","UseDPDF=Y")</f>
        <v>#NAME?</v>
      </c>
      <c r="CV644" s="2" t="e">
        <f ca="1">_xll.BDH($C$628,"ALTMAN_Z_SCORE","FQ1 2017","FQ1 2017","Currency=INR","Period=FQ","BEST_FPERIOD_OVERRIDE=FQ","FILING_STATUS=OR","EQY_CONSOLIDATED=Y","Sort=A","Dates=H","DateFormat=P","Fill=—","Direction=H","UseDPDF=Y")</f>
        <v>#NAME?</v>
      </c>
      <c r="CW644" s="4" t="e">
        <f ca="1">_xll.BDH($C$628,"ACCT_RCV_TURN","FQ1 2017","FQ1 2017","Currency=INR","Period=FQ","BEST_FPERIOD_OVERRIDE=FQ","FILING_STATUS=OR","EQY_CONSOLIDATED=Y","FA_ADJUSTED=GAAP","Sort=A","Dates=H","DateFormat=P","Fill=—","Direction=H","UseDPDF=Y")</f>
        <v>#NAME?</v>
      </c>
      <c r="CX644" s="2" t="e">
        <f ca="1">_xll.BDH($C$628,"ACCT_RCV_DAYS","FQ1 2017","FQ1 2017","Currency=INR","Period=FQ","BEST_FPERIOD_OVERRIDE=FQ","FILING_STATUS=OR","EQY_CONSOLIDATED=Y","FA_ADJUSTED=GAAP","Sort=A","Dates=H","DateFormat=P","Fill=—","Direction=H","UseDPDF=Y")</f>
        <v>#NAME?</v>
      </c>
      <c r="CY644" s="4" t="e">
        <f ca="1">_xll.BDH($C$628,"INVENT_TURN","FQ1 2017","FQ1 2017","Currency=INR","Period=FQ","BEST_FPERIOD_OVERRIDE=FQ","FILING_STATUS=OR","EQY_CONSOLIDATED=Y","FA_ADJUSTED=GAAP","Sort=A","Dates=H","DateFormat=P","Fill=—","Direction=H","UseDPDF=Y")</f>
        <v>#NAME?</v>
      </c>
      <c r="CZ644" s="2" t="e">
        <f ca="1">_xll.BDH($C$628,"INVENT_DAYS","FQ1 2017","FQ1 2017","Currency=INR","Period=FQ","BEST_FPERIOD_OVERRIDE=FQ","FILING_STATUS=OR","EQY_CONSOLIDATED=Y","FA_ADJUSTED=GAAP","Sort=A","Dates=H","DateFormat=P","Fill=—","Direction=H","UseDPDF=Y")</f>
        <v>#NAME?</v>
      </c>
      <c r="DA644" s="4" t="e">
        <f ca="1">_xll.BDH($C$628,"ACCOUNTS_PAYABLE_TURNOVER","FQ1 2017","FQ1 2017","Currency=INR","Period=FQ","BEST_FPERIOD_OVERRIDE=FQ","FILING_STATUS=OR","EQY_CONSOLIDATED=Y","FA_ADJUSTED=GAAP","Sort=A","Dates=H","DateFormat=P","Fill=—","Direction=H","UseDPDF=Y")</f>
        <v>#NAME?</v>
      </c>
      <c r="DB644" s="2" t="e">
        <f ca="1">_xll.BDH($C$628,"ACCOUNTS_PAYABLE_TURNOVER_DAYS","FQ1 2017","FQ1 2017","Currency=INR","Period=FQ","BEST_FPERIOD_OVERRIDE=FQ","FILING_STATUS=OR","EQY_CONSOLIDATED=Y","FA_ADJUSTED=GAAP","Sort=A","Dates=H","DateFormat=P","Fill=—","Direction=H","UseDPDF=Y")</f>
        <v>#NAME?</v>
      </c>
      <c r="DC644" s="4" t="e">
        <f ca="1">_xll.BDH($C$628,"CASH_CONVERSION_CYCLE","FQ1 2017","FQ1 2017","Currency=INR","Period=FQ","BEST_FPERIOD_OVERRIDE=FQ","FILING_STATUS=OR","EQY_CONSOLIDATED=Y","FA_ADJUSTED=GAAP","Sort=A","Dates=H","DateFormat=P","Fill=—","Direction=H","UseDPDF=Y")</f>
        <v>#NAME?</v>
      </c>
      <c r="DD644" s="4" t="e">
        <f ca="1">_xll.BDH($C$628,"INV_TO_CASH_DAYS","FQ1 2017","FQ1 2017","Currency=INR","Period=FQ","BEST_FPERIOD_OVERRIDE=FQ","FILING_STATUS=OR","EQY_CONSOLIDATED=Y","FA_ADJUSTED=GAAP","Sort=A","Dates=H","DateFormat=P","Fill=—","Direction=H","UseDPDF=Y")</f>
        <v>#NAME?</v>
      </c>
      <c r="DE644" s="5" t="e">
        <f ca="1">_xll.BDH($C$628,"BS_INVENTORIES","FQ1 2017","FQ1 2017","Currency=INR","Period=FQ","BEST_FPERIOD_OVERRIDE=FQ","FILING_STATUS=OR","EQY_CONSOLIDATED=Y","SCALING_FORMAT=MLN","Sort=A","Dates=H","DateFormat=P","Fill=—","Direction=H","UseDPDF=Y")</f>
        <v>#NAME?</v>
      </c>
      <c r="DF644" s="3" t="e">
        <f ca="1">_xll.BDH($C$628,"INVTRY_RAW_MATERIALS","FQ1 2017","FQ1 2017","Currency=INR","Period=FQ","BEST_FPERIOD_OVERRIDE=FQ","FILING_STATUS=OR","EQY_CONSOLIDATED=Y","SCALING_FORMAT=MLN","Sort=A","Dates=H","DateFormat=P","Fill=—","Direction=H","UseDPDF=Y")</f>
        <v>#NAME?</v>
      </c>
      <c r="DG644" s="3" t="e">
        <f ca="1">_xll.BDH($C$628,"INVTRY_IN_PROGRESS","FQ1 2017","FQ1 2017","Currency=INR","Period=FQ","BEST_FPERIOD_OVERRIDE=FQ","FILING_STATUS=OR","EQY_CONSOLIDATED=Y","SCALING_FORMAT=MLN","Sort=A","Dates=H","DateFormat=P","Fill=—","Direction=H","UseDPDF=Y")</f>
        <v>#NAME?</v>
      </c>
      <c r="DH644" s="3" t="e">
        <f ca="1">_xll.BDH($C$628,"INVTRY_FINISHED_GOODS","FQ1 2017","FQ1 2017","Currency=INR","Period=FQ","BEST_FPERIOD_OVERRIDE=FQ","FILING_STATUS=OR","EQY_CONSOLIDATED=Y","SCALING_FORMAT=MLN","Sort=A","Dates=H","DateFormat=P","Fill=—","Direction=H","UseDPDF=Y")</f>
        <v>#NAME?</v>
      </c>
      <c r="DI644" s="3" t="e">
        <f ca="1">_xll.BDH($C$628,"BS_OTHER_INV","FQ1 2017","FQ1 2017","Currency=INR","Period=FQ","BEST_FPERIOD_OVERRIDE=FQ","FILING_STATUS=OR","EQY_CONSOLIDATED=Y","SCALING_FORMAT=MLN","Sort=A","Dates=H","DateFormat=P","Fill=—","Direction=H","UseDPDF=Y")</f>
        <v>#NAME?</v>
      </c>
    </row>
    <row r="645" spans="1:113" x14ac:dyDescent="0.3">
      <c r="A645" s="6"/>
      <c r="B645" s="6"/>
      <c r="C645" s="6"/>
      <c r="D645" s="6"/>
      <c r="E645" t="s">
        <v>79</v>
      </c>
      <c r="F645" t="e">
        <f ca="1">_xll.BDH($C$628,"RETURN_COM_EQY","FQ2 2017","FQ2 2017","Currency=INR","Period=FQ","BEST_FPERIOD_OVERRIDE=FQ","FILING_STATUS=OR","EQY_CONSOLIDATED=Y","FA_ADJUSTED=GAAP","Sort=A","Dates=H","DateFormat=P","Fill=—","Direction=H","UseDPDF=Y")</f>
        <v>#NAME?</v>
      </c>
      <c r="G645" t="e">
        <f ca="1">_xll.BDH($C$628,"RETURN_ON_ASSET","FQ2 2017","FQ2 2017","Currency=INR","Period=FQ","BEST_FPERIOD_OVERRIDE=FQ","FILING_STATUS=OR","EQY_CONSOLIDATED=Y","FA_ADJUSTED=GAAP","Sort=A","Dates=H","DateFormat=P","Fill=—","Direction=H","UseDPDF=Y")</f>
        <v>#NAME?</v>
      </c>
      <c r="H645" t="e">
        <f ca="1">_xll.BDH($C$628,"RETURN_ON_CAP","FQ2 2017","FQ2 2017","Currency=INR","Period=FQ","BEST_FPERIOD_OVERRIDE=FQ","FILING_STATUS=OR","EQY_CONSOLIDATED=Y","FA_ADJUSTED=GAAP","Sort=A","Dates=H","DateFormat=P","Fill=—","Direction=H","UseDPDF=Y")</f>
        <v>#NAME?</v>
      </c>
      <c r="I645" t="e">
        <f ca="1">_xll.BDH($C$628,"RETURN_ON_INV_CAPITAL","FQ2 2017","FQ2 2017","Currency=INR","Period=FQ","BEST_FPERIOD_OVERRIDE=FQ","FILING_STATUS=OR","EQY_CONSOLIDATED=Y","FA_ADJUSTED=GAAP","Sort=A","Dates=H","DateFormat=P","Fill=—","Direction=H","UseDPDF=Y")</f>
        <v>#NAME?</v>
      </c>
      <c r="J645" t="e">
        <f ca="1">_xll.BDH($C$628,"EBITDA_TO_REVENUE","FQ2 2017","FQ2 2017","Currency=INR","Period=FQ","BEST_FPERIOD_OVERRIDE=FQ","FILING_STATUS=OR","EQY_CONSOLIDATED=Y","FA_ADJUSTED=GAAP","Sort=A","Dates=H","DateFormat=P","Fill=—","Direction=H","UseDPDF=Y")</f>
        <v>#NAME?</v>
      </c>
      <c r="K645" t="e">
        <f ca="1">_xll.BDH($C$628,"OPER_MARGIN","FQ2 2017","FQ2 2017","Currency=INR","Period=FQ","BEST_FPERIOD_OVERRIDE=FQ","FILING_STATUS=OR","EQY_CONSOLIDATED=Y","FA_ADJUSTED=GAAP","Sort=A","Dates=H","DateFormat=P","Fill=—","Direction=H","UseDPDF=Y")</f>
        <v>#NAME?</v>
      </c>
      <c r="L645" t="e">
        <f ca="1">_xll.BDH($C$628,"INCREMENTAL_OPERATING_MARGIN","FQ2 2017","FQ2 2017","Currency=INR","Period=FQ","BEST_FPERIOD_OVERRIDE=FQ","FILING_STATUS=OR","EQY_CONSOLIDATED=Y","FA_ADJUSTED=GAAP","Sort=A","Dates=H","DateFormat=P","Fill=—","Direction=H","UseDPDF=Y")</f>
        <v>#NAME?</v>
      </c>
      <c r="M645" t="e">
        <f ca="1">_xll.BDH($C$628,"PRETAX_INC_TO_NET_SALES","FQ2 2017","FQ2 2017","Currency=INR","Period=FQ","BEST_FPERIOD_OVERRIDE=FQ","FILING_STATUS=OR","EQY_CONSOLIDATED=Y","FA_ADJUSTED=GAAP","Sort=A","Dates=H","DateFormat=P","Fill=—","Direction=H","UseDPDF=Y")</f>
        <v>#NAME?</v>
      </c>
      <c r="N645" t="e">
        <f ca="1">_xll.BDH($C$628,"INC_BEF_XO_ITEMS_TO_NET_SALES","FQ2 2017","FQ2 2017","Currency=INR","Period=FQ","BEST_FPERIOD_OVERRIDE=FQ","FILING_STATUS=OR","EQY_CONSOLIDATED=Y","FA_ADJUSTED=GAAP","Sort=A","Dates=H","DateFormat=P","Fill=—","Direction=H","UseDPDF=Y")</f>
        <v>#NAME?</v>
      </c>
      <c r="O645" t="e">
        <f ca="1">_xll.BDH($C$628,"PROF_MARGIN","FQ2 2017","FQ2 2017","Currency=INR","Period=FQ","BEST_FPERIOD_OVERRIDE=FQ","FILING_STATUS=OR","EQY_CONSOLIDATED=Y","FA_ADJUSTED=GAAP","Sort=A","Dates=H","DateFormat=P","Fill=—","Direction=H","UseDPDF=Y")</f>
        <v>#NAME?</v>
      </c>
      <c r="P645" t="e">
        <f ca="1">_xll.BDH($C$628,"NET_INCOME_TO_COMMON_MARGIN","FQ2 2017","FQ2 2017","Currency=INR","Period=FQ","BEST_FPERIOD_OVERRIDE=FQ","FILING_STATUS=OR","EQY_CONSOLIDATED=Y","FA_ADJUSTED=GAAP","Sort=A","Dates=H","DateFormat=P","Fill=—","Direction=H","UseDPDF=Y")</f>
        <v>#NAME?</v>
      </c>
      <c r="Q645" t="e">
        <f ca="1">_xll.BDH($C$628,"EFF_TAX_RATE","FQ2 2017","FQ2 2017","Currency=INR","Period=FQ","BEST_FPERIOD_OVERRIDE=FQ","FILING_STATUS=OR","EQY_CONSOLIDATED=Y","FA_ADJUSTED=GAAP","Sort=A","Dates=H","DateFormat=P","Fill=—","Direction=H","UseDPDF=Y")</f>
        <v>#NAME?</v>
      </c>
      <c r="R645" t="e">
        <f ca="1">_xll.BDH($C$628,"DVD_PAYOUT_RATIO","FQ2 2017","FQ2 2017","Currency=INR","Period=FQ","BEST_FPERIOD_OVERRIDE=FQ","FILING_STATUS=OR","EQY_CONSOLIDATED=Y","FA_ADJUSTED=GAAP","Sort=A","Dates=H","DateFormat=P","Fill=—","Direction=H","UseDPDF=Y")</f>
        <v>#NAME?</v>
      </c>
      <c r="S645" t="e">
        <f ca="1">_xll.BDH($C$628,"SUSTAIN_GROWTH_RT","FQ2 2017","FQ2 2017","Currency=INR","Period=FQ","BEST_FPERIOD_OVERRIDE=FQ","FILING_STATUS=OR","EQY_CONSOLIDATED=Y","FA_ADJUSTED=GAAP","Sort=A","Dates=H","DateFormat=P","Fill=—","Direction=H","UseDPDF=Y")</f>
        <v>#NAME?</v>
      </c>
      <c r="T645" s="2" t="e">
        <f ca="1">_xll.BDH($C$628,"SALES_GROWTH","FQ2 2017","FQ2 2017","Currency=INR","Period=FQ","BEST_FPERIOD_OVERRIDE=FQ","FILING_STATUS=OR","EQY_CONSOLIDATED=Y","FA_ADJUSTED=GAAP","Sort=A","Dates=H","DateFormat=P","Fill=—","Direction=H","UseDPDF=Y")</f>
        <v>#NAME?</v>
      </c>
      <c r="U645" s="2" t="e">
        <f ca="1">_xll.BDH($C$628,"EBITDA_GROWTH","FQ2 2017","FQ2 2017","Currency=INR","Period=FQ","BEST_FPERIOD_OVERRIDE=FQ","FILING_STATUS=OR","EQY_CONSOLIDATED=Y","FA_ADJUSTED=GAAP","Sort=A","Dates=H","DateFormat=P","Fill=—","Direction=H","UseDPDF=Y")</f>
        <v>#NAME?</v>
      </c>
      <c r="V645" s="2" t="e">
        <f ca="1">_xll.BDH($C$628,"OPER_INC_GROWTH","FQ2 2017","FQ2 2017","Currency=INR","Period=FQ","BEST_FPERIOD_OVERRIDE=FQ","FILING_STATUS=OR","EQY_CONSOLIDATED=Y","FA_ADJUSTED=GAAP","Sort=A","Dates=H","DateFormat=P","Fill=—","Direction=H","UseDPDF=Y")</f>
        <v>#NAME?</v>
      </c>
      <c r="W645" s="2" t="e">
        <f ca="1">_xll.BDH($C$628,"EARN_FOR_COM_GROWTH","FQ2 2017","FQ2 2017","Currency=INR","Period=FQ","BEST_FPERIOD_OVERRIDE=FQ","FILING_STATUS=OR","EQY_CONSOLIDATED=Y","FA_ADJUSTED=GAAP","Sort=A","Dates=H","DateFormat=P","Fill=—","Direction=H","UseDPDF=Y")</f>
        <v>#NAME?</v>
      </c>
      <c r="X645" s="2" t="e">
        <f ca="1">_xll.BDH($C$628,"DILUTED_EPS_AFT_XO_ITEMS_GROWTH","FQ2 2017","FQ2 2017","Currency=INR","Period=FQ","BEST_FPERIOD_OVERRIDE=FQ","FILING_STATUS=OR","EQY_CONSOLIDATED=Y","FA_ADJUSTED=GAAP","Sort=A","Dates=H","DateFormat=P","Fill=—","Direction=H","UseDPDF=Y")</f>
        <v>#NAME?</v>
      </c>
      <c r="Y645" s="2" t="e">
        <f ca="1">_xll.BDH($C$628,"DIVIDEND_PER_SHARE_1_YEAR_GROWTH","FQ2 2017","FQ2 2017","Currency=INR","Period=FQ","BEST_FPERIOD_OVERRIDE=FQ","FILING_STATUS=OR","EQY_CONSOLIDATED=Y","Sort=A","Dates=H","DateFormat=P","Fill=—","Direction=H","UseDPDF=Y")</f>
        <v>#NAME?</v>
      </c>
      <c r="Z645" s="2" t="e">
        <f ca="1">_xll.BDH($C$628,"ACCOUNTS_RECEIVABLE_GROWTH","FQ2 2017","FQ2 2017","Currency=INR","Period=FQ","BEST_FPERIOD_OVERRIDE=FQ","FILING_STATUS=OR","EQY_CONSOLIDATED=Y","Sort=A","Dates=H","DateFormat=P","Fill=—","Direction=H","UseDPDF=Y")</f>
        <v>#NAME?</v>
      </c>
      <c r="AA645" s="2" t="e">
        <f ca="1">_xll.BDH($C$628,"INVENTORY_GROWTH","FQ2 2017","FQ2 2017","Currency=INR","Period=FQ","BEST_FPERIOD_OVERRIDE=FQ","FILING_STATUS=OR","EQY_CONSOLIDATED=Y","Sort=A","Dates=H","DateFormat=P","Fill=—","Direction=H","UseDPDF=Y")</f>
        <v>#NAME?</v>
      </c>
      <c r="AB645" s="2" t="e">
        <f ca="1">_xll.BDH($C$628,"NET_FIXED_ASSETS_1_YEAR_GROWTH","FQ2 2017","FQ2 2017","Currency=INR","Period=FQ","BEST_FPERIOD_OVERRIDE=FQ","FILING_STATUS=OR","EQY_CONSOLIDATED=Y","Sort=A","Dates=H","DateFormat=P","Fill=—","Direction=H","UseDPDF=Y")</f>
        <v>#NAME?</v>
      </c>
      <c r="AC645" s="2" t="e">
        <f ca="1">_xll.BDH($C$628,"ASSET_GROWTH","FQ2 2017","FQ2 2017","Currency=INR","Period=FQ","BEST_FPERIOD_OVERRIDE=FQ","FILING_STATUS=OR","EQY_CONSOLIDATED=Y","Sort=A","Dates=H","DateFormat=P","Fill=—","Direction=H","UseDPDF=Y")</f>
        <v>#NAME?</v>
      </c>
      <c r="AD645" s="2" t="e">
        <f ca="1">_xll.BDH($C$628,"MODIFIED_WORK_CAP_GROWTH","FQ2 2017","FQ2 2017","Currency=INR","Period=FQ","BEST_FPERIOD_OVERRIDE=FQ","FILING_STATUS=OR","EQY_CONSOLIDATED=Y","Sort=A","Dates=H","DateFormat=P","Fill=—","Direction=H","UseDPDF=Y")</f>
        <v>#NAME?</v>
      </c>
      <c r="AE645" s="2" t="e">
        <f ca="1">_xll.BDH($C$628,"WORK_CAP_GROWTH","FQ2 2017","FQ2 2017","Currency=INR","Period=FQ","BEST_FPERIOD_OVERRIDE=FQ","FILING_STATUS=OR","EQY_CONSOLIDATED=Y","Sort=A","Dates=H","DateFormat=P","Fill=—","Direction=H","UseDPDF=Y")</f>
        <v>#NAME?</v>
      </c>
      <c r="AF645" s="2" t="e">
        <f ca="1">_xll.BDH($C$628,"ACCOUNTS_PAYABLE_GROWTH_1YR","FQ2 2017","FQ2 2017","Currency=INR","Period=FQ","BEST_FPERIOD_OVERRIDE=FQ","FILING_STATUS=OR","EQY_CONSOLIDATED=Y","Sort=A","Dates=H","DateFormat=P","Fill=—","Direction=H","UseDPDF=Y")</f>
        <v>#NAME?</v>
      </c>
      <c r="AG645" s="2" t="e">
        <f ca="1">_xll.BDH($C$628,"SHORT_TERM_DEBT_1_YEAR_GROWTH","FQ2 2017","FQ2 2017","Currency=INR","Period=FQ","BEST_FPERIOD_OVERRIDE=FQ","FILING_STATUS=OR","EQY_CONSOLIDATED=Y","Sort=A","Dates=H","DateFormat=P","Fill=—","Direction=H","UseDPDF=Y")</f>
        <v>#NAME?</v>
      </c>
      <c r="AH645" s="2" t="e">
        <f ca="1">_xll.BDH($C$628,"TOTAL_DEBT_1_YEAR_GROWTH","FQ2 2017","FQ2 2017","Currency=INR","Period=FQ","BEST_FPERIOD_OVERRIDE=FQ","FILING_STATUS=OR","EQY_CONSOLIDATED=Y","Sort=A","Dates=H","DateFormat=P","Fill=—","Direction=H","UseDPDF=Y")</f>
        <v>#NAME?</v>
      </c>
      <c r="AI645" s="2" t="e">
        <f ca="1">_xll.BDH($C$628,"TOTAL_EQUITY_1_YEAR_GROWTH","FQ2 2017","FQ2 2017","Currency=INR","Period=FQ","BEST_FPERIOD_OVERRIDE=FQ","FILING_STATUS=OR","EQY_CONSOLIDATED=Y","Sort=A","Dates=H","DateFormat=P","Fill=—","Direction=H","UseDPDF=Y")</f>
        <v>#NAME?</v>
      </c>
      <c r="AJ645" s="2" t="e">
        <f ca="1">_xll.BDH($C$628,"GROWTH_IN_CAP","FQ2 2017","FQ2 2017","Currency=INR","Period=FQ","BEST_FPERIOD_OVERRIDE=FQ","FILING_STATUS=OR","EQY_CONSOLIDATED=Y","Sort=A","Dates=H","DateFormat=P","Fill=—","Direction=H","UseDPDF=Y")</f>
        <v>#NAME?</v>
      </c>
      <c r="AK645" s="2" t="e">
        <f ca="1">_xll.BDH($C$628,"BVPS_GROWTH","FQ2 2017","FQ2 2017","Currency=INR","Period=FQ","BEST_FPERIOD_OVERRIDE=FQ","FILING_STATUS=OR","EQY_CONSOLIDATED=Y","Sort=A","Dates=H","DateFormat=P","Fill=—","Direction=H","UseDPDF=Y")</f>
        <v>#NAME?</v>
      </c>
      <c r="AL645" s="2" t="e">
        <f ca="1">_xll.BDH($C$628,"CASH_FLOW_GROWTH","FQ2 2017","FQ2 2017","Currency=INR","Period=FQ","BEST_FPERIOD_OVERRIDE=FQ","FILING_STATUS=OR","EQY_CONSOLIDATED=Y","Sort=A","Dates=H","DateFormat=P","Fill=—","Direction=H","UseDPDF=Y")</f>
        <v>#NAME?</v>
      </c>
      <c r="AM645" s="2" t="e">
        <f ca="1">_xll.BDH($C$628,"GEO_GROW_NET_SALES","FQ2 2017","FQ2 2017","Currency=INR","Period=FQ","BEST_FPERIOD_OVERRIDE=FQ","FILING_STATUS=OR","EQY_CONSOLIDATED=Y","FA_ADJUSTED=GAAP","Sort=A","Dates=H","DateFormat=P","Fill=—","Direction=H","UseDPDF=Y")</f>
        <v>#NAME?</v>
      </c>
      <c r="AN645" s="2" t="e">
        <f ca="1">_xll.BDH($C$628,"GEO_GROW_EBITDA","FQ2 2017","FQ2 2017","Currency=INR","Period=FQ","BEST_FPERIOD_OVERRIDE=FQ","FILING_STATUS=OR","EQY_CONSOLIDATED=Y","FA_ADJUSTED=GAAP","Sort=A","Dates=H","DateFormat=P","Fill=—","Direction=H","UseDPDF=Y")</f>
        <v>#NAME?</v>
      </c>
      <c r="AO645" s="2" t="e">
        <f ca="1">_xll.BDH($C$628,"GEO_GROW_OPER_INC","FQ2 2017","FQ2 2017","Currency=INR","Period=FQ","BEST_FPERIOD_OVERRIDE=FQ","FILING_STATUS=OR","EQY_CONSOLIDATED=Y","FA_ADJUSTED=GAAP","Sort=A","Dates=H","DateFormat=P","Fill=—","Direction=H","UseDPDF=Y")</f>
        <v>#NAME?</v>
      </c>
      <c r="AP645" s="2" t="e">
        <f ca="1">_xll.BDH($C$628,"NET_INCOME_TO_COMMON_5_YR_GROWTH","FQ2 2017","FQ2 2017","Currency=INR","Period=FQ","BEST_FPERIOD_OVERRIDE=FQ","FILING_STATUS=OR","EQY_CONSOLIDATED=Y","FA_ADJUSTED=GAAP","Sort=A","Dates=H","DateFormat=P","Fill=—","Direction=H","UseDPDF=Y")</f>
        <v>#NAME?</v>
      </c>
      <c r="AQ645" s="2" t="e">
        <f ca="1">_xll.BDH($C$628,"5Y_GEO_GROWTH_DILUTED_EPS","FQ2 2017","FQ2 2017","Currency=INR","Period=FQ","BEST_FPERIOD_OVERRIDE=FQ","FILING_STATUS=OR","EQY_CONSOLIDATED=Y","FA_ADJUSTED=GAAP","Sort=A","Dates=H","DateFormat=P","Fill=—","Direction=H","UseDPDF=Y")</f>
        <v>#NAME?</v>
      </c>
      <c r="AR645" s="2" t="e">
        <f ca="1">_xll.BDH($C$628,"GEO_GROW_DVD_PER_SH","FQ2 2017","FQ2 2017","Currency=INR","Period=FQ","BEST_FPERIOD_OVERRIDE=FQ","FILING_STATUS=OR","EQY_CONSOLIDATED=Y","Sort=A","Dates=H","DateFormat=P","Fill=—","Direction=H","UseDPDF=Y")</f>
        <v>#NAME?</v>
      </c>
      <c r="AS645" s="2" t="e">
        <f ca="1">_xll.BDH($C$628,"ACCOUNTS_RECEIVABLE_5_YR_GROWTH","FQ2 2017","FQ2 2017","Currency=INR","Period=FQ","BEST_FPERIOD_OVERRIDE=FQ","FILING_STATUS=OR","EQY_CONSOLIDATED=Y","Sort=A","Dates=H","DateFormat=P","Fill=—","Direction=H","UseDPDF=Y")</f>
        <v>#NAME?</v>
      </c>
      <c r="AT645" s="2" t="e">
        <f ca="1">_xll.BDH($C$628,"INVENTORY_5_YEAR_GROWTH","FQ2 2017","FQ2 2017","Currency=INR","Period=FQ","BEST_FPERIOD_OVERRIDE=FQ","FILING_STATUS=OR","EQY_CONSOLIDATED=Y","Sort=A","Dates=H","DateFormat=P","Fill=—","Direction=H","UseDPDF=Y")</f>
        <v>#NAME?</v>
      </c>
      <c r="AU645" s="2" t="e">
        <f ca="1">_xll.BDH($C$628,"NET_FIXED_ASSETS_5_YEAR_GROWTH","FQ2 2017","FQ2 2017","Currency=INR","Period=FQ","BEST_FPERIOD_OVERRIDE=FQ","FILING_STATUS=OR","EQY_CONSOLIDATED=Y","Sort=A","Dates=H","DateFormat=P","Fill=—","Direction=H","UseDPDF=Y")</f>
        <v>#NAME?</v>
      </c>
      <c r="AV645" s="2" t="e">
        <f ca="1">_xll.BDH($C$628,"GEO_GROW_TOT_ASSET","FQ2 2017","FQ2 2017","Currency=INR","Period=FQ","BEST_FPERIOD_OVERRIDE=FQ","FILING_STATUS=OR","EQY_CONSOLIDATED=Y","Sort=A","Dates=H","DateFormat=P","Fill=—","Direction=H","UseDPDF=Y")</f>
        <v>#NAME?</v>
      </c>
      <c r="AW645" s="2" t="e">
        <f ca="1">_xll.BDH($C$628,"MODIFIED_WORKING_CPTL_5YR_GRWTH","FQ2 2017","FQ2 2017","Currency=INR","Period=FQ","BEST_FPERIOD_OVERRIDE=FQ","FILING_STATUS=OR","EQY_CONSOLIDATED=Y","Sort=A","Dates=H","DateFormat=P","Fill=—","Direction=H","UseDPDF=Y")</f>
        <v>#NAME?</v>
      </c>
      <c r="AX645" s="2" t="e">
        <f ca="1">_xll.BDH($C$628,"WORKING_CAPITAL_5_YEAR_GROWTH","FQ2 2017","FQ2 2017","Currency=INR","Period=FQ","BEST_FPERIOD_OVERRIDE=FQ","FILING_STATUS=OR","EQY_CONSOLIDATED=Y","Sort=A","Dates=H","DateFormat=P","Fill=—","Direction=H","UseDPDF=Y")</f>
        <v>#NAME?</v>
      </c>
      <c r="AY645" s="2" t="e">
        <f ca="1">_xll.BDH($C$628,"ACCOUNTS_PAYABLE_5_YEAR_GROWTH","FQ2 2017","FQ2 2017","Currency=INR","Period=FQ","BEST_FPERIOD_OVERRIDE=FQ","FILING_STATUS=OR","EQY_CONSOLIDATED=Y","Sort=A","Dates=H","DateFormat=P","Fill=—","Direction=H","UseDPDF=Y")</f>
        <v>#NAME?</v>
      </c>
      <c r="AZ645" s="2" t="e">
        <f ca="1">_xll.BDH($C$628,"SHORT_TERM_DEBT_5_YEAR_GROWTH","FQ2 2017","FQ2 2017","Currency=INR","Period=FQ","BEST_FPERIOD_OVERRIDE=FQ","FILING_STATUS=OR","EQY_CONSOLIDATED=Y","Sort=A","Dates=H","DateFormat=P","Fill=—","Direction=H","UseDPDF=Y")</f>
        <v>#NAME?</v>
      </c>
      <c r="BA645" s="2" t="e">
        <f ca="1">_xll.BDH($C$628,"TOTAL_DEBT_5_YEAR_GROWTH","FQ2 2017","FQ2 2017","Currency=INR","Period=FQ","BEST_FPERIOD_OVERRIDE=FQ","FILING_STATUS=OR","EQY_CONSOLIDATED=Y","Sort=A","Dates=H","DateFormat=P","Fill=—","Direction=H","UseDPDF=Y")</f>
        <v>#NAME?</v>
      </c>
      <c r="BB645" s="2" t="e">
        <f ca="1">_xll.BDH($C$628,"GEO_GROW_TOT_SHRHLDR_EQY","FQ2 2017","FQ2 2017","Currency=INR","Period=FQ","BEST_FPERIOD_OVERRIDE=FQ","FILING_STATUS=OR","EQY_CONSOLIDATED=Y","Sort=A","Dates=H","DateFormat=P","Fill=—","Direction=H","UseDPDF=Y")</f>
        <v>#NAME?</v>
      </c>
      <c r="BC645" s="2" t="e">
        <f ca="1">_xll.BDH($C$628,"TOTAL_CAPITAL_5_YEAR_GROWTH","FQ2 2017","FQ2 2017","Currency=INR","Period=FQ","BEST_FPERIOD_OVERRIDE=FQ","FILING_STATUS=OR","EQY_CONSOLIDATED=Y","Sort=A","Dates=H","DateFormat=P","Fill=—","Direction=H","UseDPDF=Y")</f>
        <v>#NAME?</v>
      </c>
      <c r="BD645" s="2" t="e">
        <f ca="1">_xll.BDH($C$628,"GEO_GROW_BOOK_VAL","FQ2 2017","FQ2 2017","Currency=INR","Period=FQ","BEST_FPERIOD_OVERRIDE=FQ","FILING_STATUS=OR","EQY_CONSOLIDATED=Y","Sort=A","Dates=H","DateFormat=P","Fill=—","Direction=H","UseDPDF=Y")</f>
        <v>#NAME?</v>
      </c>
      <c r="BE645" s="2" t="e">
        <f ca="1">_xll.BDH($C$628,"GEO_GROW_CASH_OPER_ACT","FQ2 2017","FQ2 2017","Currency=INR","Period=FQ","BEST_FPERIOD_OVERRIDE=FQ","FILING_STATUS=OR","EQY_CONSOLIDATED=Y","Sort=A","Dates=H","DateFormat=P","Fill=—","Direction=H","UseDPDF=Y")</f>
        <v>#NAME?</v>
      </c>
      <c r="BF645" s="2" t="e">
        <f ca="1">_xll.BDH($C$628,"REVENUE_SEQUENTIAL_GROWTH","FQ2 2017","FQ2 2017","Currency=INR","Period=FQ","BEST_FPERIOD_OVERRIDE=FQ","FILING_STATUS=OR","EQY_CONSOLIDATED=Y","FA_ADJUSTED=GAAP","Sort=A","Dates=H","DateFormat=P","Fill=—","Direction=H","UseDPDF=Y")</f>
        <v>#NAME?</v>
      </c>
      <c r="BG645" s="2" t="e">
        <f ca="1">_xll.BDH($C$628,"EBITDA_SEQUENTIAL_GROWTH","FQ2 2017","FQ2 2017","Currency=INR","Period=FQ","BEST_FPERIOD_OVERRIDE=FQ","FILING_STATUS=OR","EQY_CONSOLIDATED=Y","FA_ADJUSTED=GAAP","Sort=A","Dates=H","DateFormat=P","Fill=—","Direction=H","UseDPDF=Y")</f>
        <v>#NAME?</v>
      </c>
      <c r="BH645" s="2" t="e">
        <f ca="1">_xll.BDH($C$628,"OPERATING_INCOME_SEQ_GROWTH","FQ2 2017","FQ2 2017","Currency=INR","Period=FQ","BEST_FPERIOD_OVERRIDE=FQ","FILING_STATUS=OR","EQY_CONSOLIDATED=Y","FA_ADJUSTED=GAAP","Sort=A","Dates=H","DateFormat=P","Fill=—","Direction=H","UseDPDF=Y")</f>
        <v>#NAME?</v>
      </c>
      <c r="BI645" s="2" t="e">
        <f ca="1">_xll.BDH($C$628,"NET_INCOME_TO_COMMON_SEQ_GROWTH","FQ2 2017","FQ2 2017","Currency=INR","Period=FQ","BEST_FPERIOD_OVERRIDE=FQ","FILING_STATUS=OR","EQY_CONSOLIDATED=Y","FA_ADJUSTED=GAAP","Sort=A","Dates=H","DateFormat=P","Fill=—","Direction=H","UseDPDF=Y")</f>
        <v>#NAME?</v>
      </c>
      <c r="BJ645" s="2" t="e">
        <f ca="1">_xll.BDH($C$628,"EPS_DILUTED_SEQUENTIAL_GROWTH","FQ2 2017","FQ2 2017","Currency=INR","Period=FQ","BEST_FPERIOD_OVERRIDE=FQ","FILING_STATUS=OR","EQY_CONSOLIDATED=Y","FA_ADJUSTED=GAAP","Sort=A","Dates=H","DateFormat=P","Fill=—","Direction=H","UseDPDF=Y")</f>
        <v>#NAME?</v>
      </c>
      <c r="BK645" s="2" t="e">
        <f ca="1">_xll.BDH($C$628,"DPS_SEQUENTIAL_GROWTH","FQ2 2017","FQ2 2017","Currency=INR","Period=FQ","BEST_FPERIOD_OVERRIDE=FQ","FILING_STATUS=OR","EQY_CONSOLIDATED=Y","Sort=A","Dates=H","DateFormat=P","Fill=—","Direction=H","UseDPDF=Y")</f>
        <v>#NAME?</v>
      </c>
      <c r="BL645" s="2" t="e">
        <f ca="1">_xll.BDH($C$628,"ACCOUNTS_RECEIVABLE_SEQ_GROWTH","FQ2 2017","FQ2 2017","Currency=INR","Period=FQ","BEST_FPERIOD_OVERRIDE=FQ","FILING_STATUS=OR","EQY_CONSOLIDATED=Y","Sort=A","Dates=H","DateFormat=P","Fill=—","Direction=H","UseDPDF=Y")</f>
        <v>#NAME?</v>
      </c>
      <c r="BM645" s="2" t="e">
        <f ca="1">_xll.BDH($C$628,"INVENTORY_SEQUENTIAL_GROWTH","FQ2 2017","FQ2 2017","Currency=INR","Period=FQ","BEST_FPERIOD_OVERRIDE=FQ","FILING_STATUS=OR","EQY_CONSOLIDATED=Y","Sort=A","Dates=H","DateFormat=P","Fill=—","Direction=H","UseDPDF=Y")</f>
        <v>#NAME?</v>
      </c>
      <c r="BN645" s="2" t="e">
        <f ca="1">_xll.BDH($C$628,"FIXED_ASSETS_SEQUENTIAL_GROWTH","FQ2 2017","FQ2 2017","Currency=INR","Period=FQ","BEST_FPERIOD_OVERRIDE=FQ","FILING_STATUS=OR","EQY_CONSOLIDATED=Y","Sort=A","Dates=H","DateFormat=P","Fill=—","Direction=H","UseDPDF=Y")</f>
        <v>#NAME?</v>
      </c>
      <c r="BO645" s="2" t="e">
        <f ca="1">_xll.BDH($C$628,"TOTAL_ASSETS_SEQUENTIAL_GROWTH","FQ2 2017","FQ2 2017","Currency=INR","Period=FQ","BEST_FPERIOD_OVERRIDE=FQ","FILING_STATUS=OR","EQY_CONSOLIDATED=Y","Sort=A","Dates=H","DateFormat=P","Fill=—","Direction=H","UseDPDF=Y")</f>
        <v>#NAME?</v>
      </c>
      <c r="BP645" s="2" t="e">
        <f ca="1">_xll.BDH($C$628,"MODIFIED_WORKING_CPTL_SEQ_GRWTH","FQ2 2017","FQ2 2017","Currency=INR","Period=FQ","BEST_FPERIOD_OVERRIDE=FQ","FILING_STATUS=OR","EQY_CONSOLIDATED=Y","Sort=A","Dates=H","DateFormat=P","Fill=—","Direction=H","UseDPDF=Y")</f>
        <v>#NAME?</v>
      </c>
      <c r="BQ645" s="2" t="e">
        <f ca="1">_xll.BDH($C$628,"WORKING_CAPITAL_SEQ_GROWTH","FQ2 2017","FQ2 2017","Currency=INR","Period=FQ","BEST_FPERIOD_OVERRIDE=FQ","FILING_STATUS=OR","EQY_CONSOLIDATED=Y","Sort=A","Dates=H","DateFormat=P","Fill=—","Direction=H","UseDPDF=Y")</f>
        <v>#NAME?</v>
      </c>
      <c r="BR645" s="2" t="e">
        <f ca="1">_xll.BDH($C$628,"ACCOUNTS_PAYABLE_SEQ_GROWTH","FQ2 2017","FQ2 2017","Currency=INR","Period=FQ","BEST_FPERIOD_OVERRIDE=FQ","FILING_STATUS=OR","EQY_CONSOLIDATED=Y","Sort=A","Dates=H","DateFormat=P","Fill=—","Direction=H","UseDPDF=Y")</f>
        <v>#NAME?</v>
      </c>
      <c r="BS645" s="2" t="e">
        <f ca="1">_xll.BDH($C$628,"ST_DEBT_SEQUENTIAL_GROWTH","FQ2 2017","FQ2 2017","Currency=INR","Period=FQ","BEST_FPERIOD_OVERRIDE=FQ","FILING_STATUS=OR","EQY_CONSOLIDATED=Y","Sort=A","Dates=H","DateFormat=P","Fill=—","Direction=H","UseDPDF=Y")</f>
        <v>#NAME?</v>
      </c>
      <c r="BT645" s="2" t="e">
        <f ca="1">_xll.BDH($C$628,"TOTAL_DEBT_SEQUENTIAL_GROWTH","FQ2 2017","FQ2 2017","Currency=INR","Period=FQ","BEST_FPERIOD_OVERRIDE=FQ","FILING_STATUS=OR","EQY_CONSOLIDATED=Y","Sort=A","Dates=H","DateFormat=P","Fill=—","Direction=H","UseDPDF=Y")</f>
        <v>#NAME?</v>
      </c>
      <c r="BU645" s="2" t="e">
        <f ca="1">_xll.BDH($C$628,"TOTAL_EQUITY_SEQUENTIAL_GROWTH","FQ2 2017","FQ2 2017","Currency=INR","Period=FQ","BEST_FPERIOD_OVERRIDE=FQ","FILING_STATUS=OR","EQY_CONSOLIDATED=Y","Sort=A","Dates=H","DateFormat=P","Fill=—","Direction=H","UseDPDF=Y")</f>
        <v>#NAME?</v>
      </c>
      <c r="BV645" s="2" t="e">
        <f ca="1">_xll.BDH($C$628,"TOTAL_CAPITAL_SEQUENTIAL_GROWTH","FQ2 2017","FQ2 2017","Currency=INR","Period=FQ","BEST_FPERIOD_OVERRIDE=FQ","FILING_STATUS=OR","EQY_CONSOLIDATED=Y","Sort=A","Dates=H","DateFormat=P","Fill=—","Direction=H","UseDPDF=Y")</f>
        <v>#NAME?</v>
      </c>
      <c r="BW645" s="2" t="e">
        <f ca="1">_xll.BDH($C$628,"BPS_SEQUENTIAL_GROWTH","FQ2 2017","FQ2 2017","Currency=INR","Period=FQ","BEST_FPERIOD_OVERRIDE=FQ","FILING_STATUS=OR","EQY_CONSOLIDATED=Y","Sort=A","Dates=H","DateFormat=P","Fill=—","Direction=H","UseDPDF=Y")</f>
        <v>#NAME?</v>
      </c>
      <c r="BX645" s="2" t="e">
        <f ca="1">_xll.BDH($C$628,"CFO_SEQUENTIAL_GROWTH","FQ2 2017","FQ2 2017","Currency=INR","Period=FQ","BEST_FPERIOD_OVERRIDE=FQ","FILING_STATUS=OR","EQY_CONSOLIDATED=Y","Sort=A","Dates=H","DateFormat=P","Fill=—","Direction=H","UseDPDF=Y")</f>
        <v>#NAME?</v>
      </c>
      <c r="BY645" s="3" t="e">
        <f ca="1">_xll.BDH($C$628,"SHORT_AND_LONG_TERM_DEBT","FQ2 2017","FQ2 2017","Currency=INR","Period=FQ","BEST_FPERIOD_OVERRIDE=FQ","FILING_STATUS=OR","EQY_CONSOLIDATED=Y","SCALING_FORMAT=MLN","Sort=A","Dates=H","DateFormat=P","Fill=—","Direction=H","UseDPDF=Y")</f>
        <v>#NAME?</v>
      </c>
      <c r="BZ645" s="3" t="e">
        <f ca="1">_xll.BDH($C$628,"BS_ST_BORROW","FQ2 2017","FQ2 2017","Currency=INR","Period=FQ","BEST_FPERIOD_OVERRIDE=FQ","FILING_STATUS=OR","EQY_CONSOLIDATED=Y","SCALING_FORMAT=MLN","Sort=A","Dates=H","DateFormat=P","Fill=—","Direction=H","UseDPDF=Y")</f>
        <v>#NAME?</v>
      </c>
      <c r="CA645" s="3" t="e">
        <f ca="1">_xll.BDH($C$628,"BS_LT_BORROW","FQ2 2017","FQ2 2017","Currency=INR","Period=FQ","BEST_FPERIOD_OVERRIDE=FQ","FILING_STATUS=OR","EQY_CONSOLIDATED=Y","SCALING_FORMAT=MLN","Sort=A","Dates=H","DateFormat=P","Fill=—","Direction=H","UseDPDF=Y")</f>
        <v>#NAME?</v>
      </c>
      <c r="CB645" s="2" t="e">
        <f ca="1">_xll.BDH($C$628,"TOT_DEBT_TO_EBITDA","FQ2 2017","FQ2 2017","Currency=INR","Period=FQ","BEST_FPERIOD_OVERRIDE=FQ","FILING_STATUS=OR","EQY_CONSOLIDATED=Y","FA_ADJUSTED=GAAP","Sort=A","Dates=H","DateFormat=P","Fill=—","Direction=H","UseDPDF=Y")</f>
        <v>#NAME?</v>
      </c>
      <c r="CC645" s="2" t="e">
        <f ca="1">_xll.BDH($C$628,"NET_DEBT_TO_EBITDA","FQ2 2017","FQ2 2017","Currency=INR","Period=FQ","BEST_FPERIOD_OVERRIDE=FQ","FILING_STATUS=OR","EQY_CONSOLIDATED=Y","FA_ADJUSTED=GAAP","Sort=A","Dates=H","DateFormat=P","Fill=—","Direction=H","UseDPDF=Y")</f>
        <v>#NAME?</v>
      </c>
      <c r="CD645" s="2" t="e">
        <f ca="1">_xll.BDH($C$628,"TOTAL_DEBT_TO_EBIT","FQ2 2017","FQ2 2017","Currency=INR","Period=FQ","BEST_FPERIOD_OVERRIDE=FQ","FILING_STATUS=OR","EQY_CONSOLIDATED=Y","FA_ADJUSTED=GAAP","Sort=A","Dates=H","DateFormat=P","Fill=—","Direction=H","UseDPDF=Y")</f>
        <v>#NAME?</v>
      </c>
      <c r="CE645" s="2" t="e">
        <f ca="1">_xll.BDH($C$628,"NET_DEBT_TO_EBIT","FQ2 2017","FQ2 2017","Currency=INR","Period=FQ","BEST_FPERIOD_OVERRIDE=FQ","FILING_STATUS=OR","EQY_CONSOLIDATED=Y","FA_ADJUSTED=GAAP","Sort=A","Dates=H","DateFormat=P","Fill=—","Direction=H","UseDPDF=Y")</f>
        <v>#NAME?</v>
      </c>
      <c r="CF645" s="2" t="e">
        <f ca="1">_xll.BDH($C$628,"EBITDA_TO_INTEREST_EXPN","FQ2 2017","FQ2 2017","Currency=INR","Period=FQ","BEST_FPERIOD_OVERRIDE=FQ","FILING_STATUS=OR","EQY_CONSOLIDATED=Y","FA_ADJUSTED=GAAP","Sort=A","Dates=H","DateFormat=P","Fill=—","Direction=H","UseDPDF=Y")</f>
        <v>#NAME?</v>
      </c>
      <c r="CG645" s="2" t="e">
        <f ca="1">_xll.BDH($C$628,"COM_EQY_TO_TOT_ASSET","FQ2 2017","FQ2 2017","Currency=INR","Period=FQ","BEST_FPERIOD_OVERRIDE=FQ","FILING_STATUS=OR","EQY_CONSOLIDATED=Y","Sort=A","Dates=H","DateFormat=P","Fill=—","Direction=H","UseDPDF=Y")</f>
        <v>#NAME?</v>
      </c>
      <c r="CH645" s="2" t="e">
        <f ca="1">_xll.BDH($C$628,"LT_DEBT_TO_TOT_EQY","FQ2 2017","FQ2 2017","Currency=INR","Period=FQ","BEST_FPERIOD_OVERRIDE=FQ","FILING_STATUS=OR","EQY_CONSOLIDATED=Y","Sort=A","Dates=H","DateFormat=P","Fill=—","Direction=H","UseDPDF=Y")</f>
        <v>#NAME?</v>
      </c>
      <c r="CI645" s="2" t="e">
        <f ca="1">_xll.BDH($C$628,"LT_DEBT_TO_TOT_CAP","FQ2 2017","FQ2 2017","Currency=INR","Period=FQ","BEST_FPERIOD_OVERRIDE=FQ","FILING_STATUS=OR","EQY_CONSOLIDATED=Y","Sort=A","Dates=H","DateFormat=P","Fill=—","Direction=H","UseDPDF=Y")</f>
        <v>#NAME?</v>
      </c>
      <c r="CJ645" s="2" t="e">
        <f ca="1">_xll.BDH($C$628,"LT_DEBT_TO_TOT_ASSET","FQ2 2017","FQ2 2017","Currency=INR","Period=FQ","BEST_FPERIOD_OVERRIDE=FQ","FILING_STATUS=OR","EQY_CONSOLIDATED=Y","Sort=A","Dates=H","DateFormat=P","Fill=—","Direction=H","UseDPDF=Y")</f>
        <v>#NAME?</v>
      </c>
      <c r="CK645" s="2" t="e">
        <f ca="1">_xll.BDH($C$628,"TOT_DEBT_TO_TOT_EQY","FQ2 2017","FQ2 2017","Currency=INR","Period=FQ","BEST_FPERIOD_OVERRIDE=FQ","FILING_STATUS=OR","EQY_CONSOLIDATED=Y","Sort=A","Dates=H","DateFormat=P","Fill=—","Direction=H","UseDPDF=Y")</f>
        <v>#NAME?</v>
      </c>
      <c r="CL645" s="2" t="e">
        <f ca="1">_xll.BDH($C$628,"TOT_DEBT_TO_TOT_CAP","FQ2 2017","FQ2 2017","Currency=INR","Period=FQ","BEST_FPERIOD_OVERRIDE=FQ","FILING_STATUS=OR","EQY_CONSOLIDATED=Y","Sort=A","Dates=H","DateFormat=P","Fill=—","Direction=H","UseDPDF=Y")</f>
        <v>#NAME?</v>
      </c>
      <c r="CM645" s="2" t="e">
        <f ca="1">_xll.BDH($C$628,"TOT_DEBT_TO_TOT_ASSET","FQ2 2017","FQ2 2017","Currency=INR","Period=FQ","BEST_FPERIOD_OVERRIDE=FQ","FILING_STATUS=OR","EQY_CONSOLIDATED=Y","Sort=A","Dates=H","DateFormat=P","Fill=—","Direction=H","UseDPDF=Y")</f>
        <v>#NAME?</v>
      </c>
      <c r="CN645" s="2" t="e">
        <f ca="1">_xll.BDH($C$628,"NET_DEBT_TO_SHRHLDR_EQTY","FQ2 2017","FQ2 2017","Currency=INR","Period=FQ","BEST_FPERIOD_OVERRIDE=FQ","FILING_STATUS=OR","EQY_CONSOLIDATED=Y","Sort=A","Dates=H","DateFormat=P","Fill=—","Direction=H","UseDPDF=Y")</f>
        <v>#NAME?</v>
      </c>
      <c r="CO645" s="2" t="e">
        <f ca="1">_xll.BDH($C$628,"NET_DEBT_%_CAPITAL","FQ2 2017","FQ2 2017","Currency=INR","Period=FQ","BEST_FPERIOD_OVERRIDE=FQ","FILING_STATUS=OR","EQY_CONSOLIDATED=Y","Sort=A","Dates=H","DateFormat=P","Fill=—","Direction=H","UseDPDF=Y")</f>
        <v>#NAME?</v>
      </c>
      <c r="CP645" s="3" t="e">
        <f ca="1">_xll.BDH($C$628,"EBITDA","FQ2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Q645" s="3" t="e">
        <f ca="1">_xll.BDH($C$628,"EBITDA_AFTER_CAPEX","FQ2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R645" s="3" t="e">
        <f ca="1">_xll.BDH($C$628,"IS_OPER_INC","FQ2 2017","FQ2 2017","Currency=INR","Period=FQ","BEST_FPERIOD_OVERRIDE=FQ","FILING_STATUS=OR","EQY_CONSOLIDATED=Y","SCALING_FORMAT=MLN","FA_ADJUSTED=GAAP","Sort=A","Dates=H","DateFormat=P","Fill=—","Direction=H","UseDPDF=Y")</f>
        <v>#NAME?</v>
      </c>
      <c r="CS645" s="2" t="e">
        <f ca="1">_xll.BDH($C$628,"CASH_RATIO","FQ2 2017","FQ2 2017","Currency=INR","Period=FQ","BEST_FPERIOD_OVERRIDE=FQ","FILING_STATUS=OR","EQY_CONSOLIDATED=Y","Sort=A","Dates=H","DateFormat=P","Fill=—","Direction=H","UseDPDF=Y")</f>
        <v>#NAME?</v>
      </c>
      <c r="CT645" s="2" t="e">
        <f ca="1">_xll.BDH($C$628,"CUR_RATIO","FQ2 2017","FQ2 2017","Currency=INR","Period=FQ","BEST_FPERIOD_OVERRIDE=FQ","FILING_STATUS=OR","EQY_CONSOLIDATED=Y","Sort=A","Dates=H","DateFormat=P","Fill=—","Direction=H","UseDPDF=Y")</f>
        <v>#NAME?</v>
      </c>
      <c r="CU645" s="2" t="e">
        <f ca="1">_xll.BDH($C$628,"QUICK_RATIO","FQ2 2017","FQ2 2017","Currency=INR","Period=FQ","BEST_FPERIOD_OVERRIDE=FQ","FILING_STATUS=OR","EQY_CONSOLIDATED=Y","Sort=A","Dates=H","DateFormat=P","Fill=—","Direction=H","UseDPDF=Y")</f>
        <v>#NAME?</v>
      </c>
      <c r="CV645" s="2" t="e">
        <f ca="1">_xll.BDH($C$628,"ALTMAN_Z_SCORE","FQ2 2017","FQ2 2017","Currency=INR","Period=FQ","BEST_FPERIOD_OVERRIDE=FQ","FILING_STATUS=OR","EQY_CONSOLIDATED=Y","Sort=A","Dates=H","DateFormat=P","Fill=—","Direction=H","UseDPDF=Y")</f>
        <v>#NAME?</v>
      </c>
      <c r="CW645" s="4" t="e">
        <f ca="1">_xll.BDH($C$628,"ACCT_RCV_TURN","FQ2 2017","FQ2 2017","Currency=INR","Period=FQ","BEST_FPERIOD_OVERRIDE=FQ","FILING_STATUS=OR","EQY_CONSOLIDATED=Y","FA_ADJUSTED=GAAP","Sort=A","Dates=H","DateFormat=P","Fill=—","Direction=H","UseDPDF=Y")</f>
        <v>#NAME?</v>
      </c>
      <c r="CX645" s="2" t="e">
        <f ca="1">_xll.BDH($C$628,"ACCT_RCV_DAYS","FQ2 2017","FQ2 2017","Currency=INR","Period=FQ","BEST_FPERIOD_OVERRIDE=FQ","FILING_STATUS=OR","EQY_CONSOLIDATED=Y","FA_ADJUSTED=GAAP","Sort=A","Dates=H","DateFormat=P","Fill=—","Direction=H","UseDPDF=Y")</f>
        <v>#NAME?</v>
      </c>
      <c r="CY645" s="4" t="e">
        <f ca="1">_xll.BDH($C$628,"INVENT_TURN","FQ2 2017","FQ2 2017","Currency=INR","Period=FQ","BEST_FPERIOD_OVERRIDE=FQ","FILING_STATUS=OR","EQY_CONSOLIDATED=Y","FA_ADJUSTED=GAAP","Sort=A","Dates=H","DateFormat=P","Fill=—","Direction=H","UseDPDF=Y")</f>
        <v>#NAME?</v>
      </c>
      <c r="CZ645" s="2" t="e">
        <f ca="1">_xll.BDH($C$628,"INVENT_DAYS","FQ2 2017","FQ2 2017","Currency=INR","Period=FQ","BEST_FPERIOD_OVERRIDE=FQ","FILING_STATUS=OR","EQY_CONSOLIDATED=Y","FA_ADJUSTED=GAAP","Sort=A","Dates=H","DateFormat=P","Fill=—","Direction=H","UseDPDF=Y")</f>
        <v>#NAME?</v>
      </c>
      <c r="DA645" s="4" t="e">
        <f ca="1">_xll.BDH($C$628,"ACCOUNTS_PAYABLE_TURNOVER","FQ2 2017","FQ2 2017","Currency=INR","Period=FQ","BEST_FPERIOD_OVERRIDE=FQ","FILING_STATUS=OR","EQY_CONSOLIDATED=Y","FA_ADJUSTED=GAAP","Sort=A","Dates=H","DateFormat=P","Fill=—","Direction=H","UseDPDF=Y")</f>
        <v>#NAME?</v>
      </c>
      <c r="DB645" s="2" t="e">
        <f ca="1">_xll.BDH($C$628,"ACCOUNTS_PAYABLE_TURNOVER_DAYS","FQ2 2017","FQ2 2017","Currency=INR","Period=FQ","BEST_FPERIOD_OVERRIDE=FQ","FILING_STATUS=OR","EQY_CONSOLIDATED=Y","FA_ADJUSTED=GAAP","Sort=A","Dates=H","DateFormat=P","Fill=—","Direction=H","UseDPDF=Y")</f>
        <v>#NAME?</v>
      </c>
      <c r="DC645" s="4" t="e">
        <f ca="1">_xll.BDH($C$628,"CASH_CONVERSION_CYCLE","FQ2 2017","FQ2 2017","Currency=INR","Period=FQ","BEST_FPERIOD_OVERRIDE=FQ","FILING_STATUS=OR","EQY_CONSOLIDATED=Y","FA_ADJUSTED=GAAP","Sort=A","Dates=H","DateFormat=P","Fill=—","Direction=H","UseDPDF=Y")</f>
        <v>#NAME?</v>
      </c>
      <c r="DD645" s="4" t="e">
        <f ca="1">_xll.BDH($C$628,"INV_TO_CASH_DAYS","FQ2 2017","FQ2 2017","Currency=INR","Period=FQ","BEST_FPERIOD_OVERRIDE=FQ","FILING_STATUS=OR","EQY_CONSOLIDATED=Y","FA_ADJUSTED=GAAP","Sort=A","Dates=H","DateFormat=P","Fill=—","Direction=H","UseDPDF=Y")</f>
        <v>#NAME?</v>
      </c>
      <c r="DE645" s="5" t="e">
        <f ca="1">_xll.BDH($C$628,"BS_INVENTORIES","FQ2 2017","FQ2 2017","Currency=INR","Period=FQ","BEST_FPERIOD_OVERRIDE=FQ","FILING_STATUS=OR","EQY_CONSOLIDATED=Y","SCALING_FORMAT=MLN","Sort=A","Dates=H","DateFormat=P","Fill=—","Direction=H","UseDPDF=Y")</f>
        <v>#NAME?</v>
      </c>
      <c r="DF645" s="3" t="e">
        <f ca="1">_xll.BDH($C$628,"INVTRY_RAW_MATERIALS","FQ2 2017","FQ2 2017","Currency=INR","Period=FQ","BEST_FPERIOD_OVERRIDE=FQ","FILING_STATUS=OR","EQY_CONSOLIDATED=Y","SCALING_FORMAT=MLN","Sort=A","Dates=H","DateFormat=P","Fill=—","Direction=H","UseDPDF=Y")</f>
        <v>#NAME?</v>
      </c>
      <c r="DG645" s="3" t="e">
        <f ca="1">_xll.BDH($C$628,"INVTRY_IN_PROGRESS","FQ2 2017","FQ2 2017","Currency=INR","Period=FQ","BEST_FPERIOD_OVERRIDE=FQ","FILING_STATUS=OR","EQY_CONSOLIDATED=Y","SCALING_FORMAT=MLN","Sort=A","Dates=H","DateFormat=P","Fill=—","Direction=H","UseDPDF=Y")</f>
        <v>#NAME?</v>
      </c>
      <c r="DH645" s="3" t="e">
        <f ca="1">_xll.BDH($C$628,"INVTRY_FINISHED_GOODS","FQ2 2017","FQ2 2017","Currency=INR","Period=FQ","BEST_FPERIOD_OVERRIDE=FQ","FILING_STATUS=OR","EQY_CONSOLIDATED=Y","SCALING_FORMAT=MLN","Sort=A","Dates=H","DateFormat=P","Fill=—","Direction=H","UseDPDF=Y")</f>
        <v>#NAME?</v>
      </c>
      <c r="DI645" s="3" t="e">
        <f ca="1">_xll.BDH($C$628,"BS_OTHER_INV","FQ2 2017","FQ2 2017","Currency=INR","Period=FQ","BEST_FPERIOD_OVERRIDE=FQ","FILING_STATUS=OR","EQY_CONSOLIDATED=Y","SCALING_FORMAT=MLN","Sort=A","Dates=H","DateFormat=P","Fill=—","Direction=H","UseDPDF=Y")</f>
        <v>#NAME?</v>
      </c>
    </row>
    <row r="646" spans="1:113" x14ac:dyDescent="0.3">
      <c r="A646" s="6"/>
      <c r="B646" s="6"/>
      <c r="C646" s="6"/>
      <c r="D646" s="6"/>
      <c r="E646" t="s">
        <v>80</v>
      </c>
      <c r="F646" t="e">
        <f ca="1">_xll.BDH($C$628,"RETURN_COM_EQY","FQ3 2017","FQ3 2017","Currency=INR","Period=FQ","BEST_FPERIOD_OVERRIDE=FQ","FILING_STATUS=OR","EQY_CONSOLIDATED=Y","FA_ADJUSTED=GAAP","Sort=A","Dates=H","DateFormat=P","Fill=—","Direction=H","UseDPDF=Y")</f>
        <v>#NAME?</v>
      </c>
      <c r="G646" t="e">
        <f ca="1">_xll.BDH($C$628,"RETURN_ON_ASSET","FQ3 2017","FQ3 2017","Currency=INR","Period=FQ","BEST_FPERIOD_OVERRIDE=FQ","FILING_STATUS=OR","EQY_CONSOLIDATED=Y","FA_ADJUSTED=GAAP","Sort=A","Dates=H","DateFormat=P","Fill=—","Direction=H","UseDPDF=Y")</f>
        <v>#NAME?</v>
      </c>
      <c r="H646" t="e">
        <f ca="1">_xll.BDH($C$628,"RETURN_ON_CAP","FQ3 2017","FQ3 2017","Currency=INR","Period=FQ","BEST_FPERIOD_OVERRIDE=FQ","FILING_STATUS=OR","EQY_CONSOLIDATED=Y","FA_ADJUSTED=GAAP","Sort=A","Dates=H","DateFormat=P","Fill=—","Direction=H","UseDPDF=Y")</f>
        <v>#NAME?</v>
      </c>
      <c r="I646" t="e">
        <f ca="1">_xll.BDH($C$628,"RETURN_ON_INV_CAPITAL","FQ3 2017","FQ3 2017","Currency=INR","Period=FQ","BEST_FPERIOD_OVERRIDE=FQ","FILING_STATUS=OR","EQY_CONSOLIDATED=Y","FA_ADJUSTED=GAAP","Sort=A","Dates=H","DateFormat=P","Fill=—","Direction=H","UseDPDF=Y")</f>
        <v>#NAME?</v>
      </c>
      <c r="J646" t="e">
        <f ca="1">_xll.BDH($C$628,"EBITDA_TO_REVENUE","FQ3 2017","FQ3 2017","Currency=INR","Period=FQ","BEST_FPERIOD_OVERRIDE=FQ","FILING_STATUS=OR","EQY_CONSOLIDATED=Y","FA_ADJUSTED=GAAP","Sort=A","Dates=H","DateFormat=P","Fill=—","Direction=H","UseDPDF=Y")</f>
        <v>#NAME?</v>
      </c>
      <c r="K646" t="e">
        <f ca="1">_xll.BDH($C$628,"OPER_MARGIN","FQ3 2017","FQ3 2017","Currency=INR","Period=FQ","BEST_FPERIOD_OVERRIDE=FQ","FILING_STATUS=OR","EQY_CONSOLIDATED=Y","FA_ADJUSTED=GAAP","Sort=A","Dates=H","DateFormat=P","Fill=—","Direction=H","UseDPDF=Y")</f>
        <v>#NAME?</v>
      </c>
      <c r="L646" t="e">
        <f ca="1">_xll.BDH($C$628,"INCREMENTAL_OPERATING_MARGIN","FQ3 2017","FQ3 2017","Currency=INR","Period=FQ","BEST_FPERIOD_OVERRIDE=FQ","FILING_STATUS=OR","EQY_CONSOLIDATED=Y","FA_ADJUSTED=GAAP","Sort=A","Dates=H","DateFormat=P","Fill=—","Direction=H","UseDPDF=Y")</f>
        <v>#NAME?</v>
      </c>
      <c r="M646" t="e">
        <f ca="1">_xll.BDH($C$628,"PRETAX_INC_TO_NET_SALES","FQ3 2017","FQ3 2017","Currency=INR","Period=FQ","BEST_FPERIOD_OVERRIDE=FQ","FILING_STATUS=OR","EQY_CONSOLIDATED=Y","FA_ADJUSTED=GAAP","Sort=A","Dates=H","DateFormat=P","Fill=—","Direction=H","UseDPDF=Y")</f>
        <v>#NAME?</v>
      </c>
      <c r="N646" t="e">
        <f ca="1">_xll.BDH($C$628,"INC_BEF_XO_ITEMS_TO_NET_SALES","FQ3 2017","FQ3 2017","Currency=INR","Period=FQ","BEST_FPERIOD_OVERRIDE=FQ","FILING_STATUS=OR","EQY_CONSOLIDATED=Y","FA_ADJUSTED=GAAP","Sort=A","Dates=H","DateFormat=P","Fill=—","Direction=H","UseDPDF=Y")</f>
        <v>#NAME?</v>
      </c>
      <c r="O646" t="e">
        <f ca="1">_xll.BDH($C$628,"PROF_MARGIN","FQ3 2017","FQ3 2017","Currency=INR","Period=FQ","BEST_FPERIOD_OVERRIDE=FQ","FILING_STATUS=OR","EQY_CONSOLIDATED=Y","FA_ADJUSTED=GAAP","Sort=A","Dates=H","DateFormat=P","Fill=—","Direction=H","UseDPDF=Y")</f>
        <v>#NAME?</v>
      </c>
      <c r="P646" t="e">
        <f ca="1">_xll.BDH($C$628,"NET_INCOME_TO_COMMON_MARGIN","FQ3 2017","FQ3 2017","Currency=INR","Period=FQ","BEST_FPERIOD_OVERRIDE=FQ","FILING_STATUS=OR","EQY_CONSOLIDATED=Y","FA_ADJUSTED=GAAP","Sort=A","Dates=H","DateFormat=P","Fill=—","Direction=H","UseDPDF=Y")</f>
        <v>#NAME?</v>
      </c>
      <c r="Q646" t="e">
        <f ca="1">_xll.BDH($C$628,"EFF_TAX_RATE","FQ3 2017","FQ3 2017","Currency=INR","Period=FQ","BEST_FPERIOD_OVERRIDE=FQ","FILING_STATUS=OR","EQY_CONSOLIDATED=Y","FA_ADJUSTED=GAAP","Sort=A","Dates=H","DateFormat=P","Fill=—","Direction=H","UseDPDF=Y")</f>
        <v>#NAME?</v>
      </c>
      <c r="R646" t="e">
        <f ca="1">_xll.BDH($C$628,"DVD_PAYOUT_RATIO","FQ3 2017","FQ3 2017","Currency=INR","Period=FQ","BEST_FPERIOD_OVERRIDE=FQ","FILING_STATUS=OR","EQY_CONSOLIDATED=Y","FA_ADJUSTED=GAAP","Sort=A","Dates=H","DateFormat=P","Fill=—","Direction=H","UseDPDF=Y")</f>
        <v>#NAME?</v>
      </c>
      <c r="S646" t="e">
        <f ca="1">_xll.BDH($C$628,"SUSTAIN_GROWTH_RT","FQ3 2017","FQ3 2017","Currency=INR","Period=FQ","BEST_FPERIOD_OVERRIDE=FQ","FILING_STATUS=OR","EQY_CONSOLIDATED=Y","FA_ADJUSTED=GAAP","Sort=A","Dates=H","DateFormat=P","Fill=—","Direction=H","UseDPDF=Y")</f>
        <v>#NAME?</v>
      </c>
      <c r="T646" s="2" t="e">
        <f ca="1">_xll.BDH($C$628,"SALES_GROWTH","FQ3 2017","FQ3 2017","Currency=INR","Period=FQ","BEST_FPERIOD_OVERRIDE=FQ","FILING_STATUS=OR","EQY_CONSOLIDATED=Y","FA_ADJUSTED=GAAP","Sort=A","Dates=H","DateFormat=P","Fill=—","Direction=H","UseDPDF=Y")</f>
        <v>#NAME?</v>
      </c>
      <c r="U646" s="2" t="e">
        <f ca="1">_xll.BDH($C$628,"EBITDA_GROWTH","FQ3 2017","FQ3 2017","Currency=INR","Period=FQ","BEST_FPERIOD_OVERRIDE=FQ","FILING_STATUS=OR","EQY_CONSOLIDATED=Y","FA_ADJUSTED=GAAP","Sort=A","Dates=H","DateFormat=P","Fill=—","Direction=H","UseDPDF=Y")</f>
        <v>#NAME?</v>
      </c>
      <c r="V646" s="2" t="e">
        <f ca="1">_xll.BDH($C$628,"OPER_INC_GROWTH","FQ3 2017","FQ3 2017","Currency=INR","Period=FQ","BEST_FPERIOD_OVERRIDE=FQ","FILING_STATUS=OR","EQY_CONSOLIDATED=Y","FA_ADJUSTED=GAAP","Sort=A","Dates=H","DateFormat=P","Fill=—","Direction=H","UseDPDF=Y")</f>
        <v>#NAME?</v>
      </c>
      <c r="W646" s="2" t="e">
        <f ca="1">_xll.BDH($C$628,"EARN_FOR_COM_GROWTH","FQ3 2017","FQ3 2017","Currency=INR","Period=FQ","BEST_FPERIOD_OVERRIDE=FQ","FILING_STATUS=OR","EQY_CONSOLIDATED=Y","FA_ADJUSTED=GAAP","Sort=A","Dates=H","DateFormat=P","Fill=—","Direction=H","UseDPDF=Y")</f>
        <v>#NAME?</v>
      </c>
      <c r="X646" s="2" t="e">
        <f ca="1">_xll.BDH($C$628,"DILUTED_EPS_AFT_XO_ITEMS_GROWTH","FQ3 2017","FQ3 2017","Currency=INR","Period=FQ","BEST_FPERIOD_OVERRIDE=FQ","FILING_STATUS=OR","EQY_CONSOLIDATED=Y","FA_ADJUSTED=GAAP","Sort=A","Dates=H","DateFormat=P","Fill=—","Direction=H","UseDPDF=Y")</f>
        <v>#NAME?</v>
      </c>
      <c r="Y646" s="2" t="e">
        <f ca="1">_xll.BDH($C$628,"DIVIDEND_PER_SHARE_1_YEAR_GROWTH","FQ3 2017","FQ3 2017","Currency=INR","Period=FQ","BEST_FPERIOD_OVERRIDE=FQ","FILING_STATUS=OR","EQY_CONSOLIDATED=Y","Sort=A","Dates=H","DateFormat=P","Fill=—","Direction=H","UseDPDF=Y")</f>
        <v>#NAME?</v>
      </c>
      <c r="Z646" s="2" t="e">
        <f ca="1">_xll.BDH($C$628,"ACCOUNTS_RECEIVABLE_GROWTH","FQ3 2017","FQ3 2017","Currency=INR","Period=FQ","BEST_FPERIOD_OVERRIDE=FQ","FILING_STATUS=OR","EQY_CONSOLIDATED=Y","Sort=A","Dates=H","DateFormat=P","Fill=—","Direction=H","UseDPDF=Y")</f>
        <v>#NAME?</v>
      </c>
      <c r="AA646" s="2" t="e">
        <f ca="1">_xll.BDH($C$628,"INVENTORY_GROWTH","FQ3 2017","FQ3 2017","Currency=INR","Period=FQ","BEST_FPERIOD_OVERRIDE=FQ","FILING_STATUS=OR","EQY_CONSOLIDATED=Y","Sort=A","Dates=H","DateFormat=P","Fill=—","Direction=H","UseDPDF=Y")</f>
        <v>#NAME?</v>
      </c>
      <c r="AB646" s="2" t="e">
        <f ca="1">_xll.BDH($C$628,"NET_FIXED_ASSETS_1_YEAR_GROWTH","FQ3 2017","FQ3 2017","Currency=INR","Period=FQ","BEST_FPERIOD_OVERRIDE=FQ","FILING_STATUS=OR","EQY_CONSOLIDATED=Y","Sort=A","Dates=H","DateFormat=P","Fill=—","Direction=H","UseDPDF=Y")</f>
        <v>#NAME?</v>
      </c>
      <c r="AC646" s="2" t="e">
        <f ca="1">_xll.BDH($C$628,"ASSET_GROWTH","FQ3 2017","FQ3 2017","Currency=INR","Period=FQ","BEST_FPERIOD_OVERRIDE=FQ","FILING_STATUS=OR","EQY_CONSOLIDATED=Y","Sort=A","Dates=H","DateFormat=P","Fill=—","Direction=H","UseDPDF=Y")</f>
        <v>#NAME?</v>
      </c>
      <c r="AD646" s="2" t="e">
        <f ca="1">_xll.BDH($C$628,"MODIFIED_WORK_CAP_GROWTH","FQ3 2017","FQ3 2017","Currency=INR","Period=FQ","BEST_FPERIOD_OVERRIDE=FQ","FILING_STATUS=OR","EQY_CONSOLIDATED=Y","Sort=A","Dates=H","DateFormat=P","Fill=—","Direction=H","UseDPDF=Y")</f>
        <v>#NAME?</v>
      </c>
      <c r="AE646" s="2" t="e">
        <f ca="1">_xll.BDH($C$628,"WORK_CAP_GROWTH","FQ3 2017","FQ3 2017","Currency=INR","Period=FQ","BEST_FPERIOD_OVERRIDE=FQ","FILING_STATUS=OR","EQY_CONSOLIDATED=Y","Sort=A","Dates=H","DateFormat=P","Fill=—","Direction=H","UseDPDF=Y")</f>
        <v>#NAME?</v>
      </c>
      <c r="AF646" s="2" t="e">
        <f ca="1">_xll.BDH($C$628,"ACCOUNTS_PAYABLE_GROWTH_1YR","FQ3 2017","FQ3 2017","Currency=INR","Period=FQ","BEST_FPERIOD_OVERRIDE=FQ","FILING_STATUS=OR","EQY_CONSOLIDATED=Y","Sort=A","Dates=H","DateFormat=P","Fill=—","Direction=H","UseDPDF=Y")</f>
        <v>#NAME?</v>
      </c>
      <c r="AG646" s="2" t="e">
        <f ca="1">_xll.BDH($C$628,"SHORT_TERM_DEBT_1_YEAR_GROWTH","FQ3 2017","FQ3 2017","Currency=INR","Period=FQ","BEST_FPERIOD_OVERRIDE=FQ","FILING_STATUS=OR","EQY_CONSOLIDATED=Y","Sort=A","Dates=H","DateFormat=P","Fill=—","Direction=H","UseDPDF=Y")</f>
        <v>#NAME?</v>
      </c>
      <c r="AH646" s="2" t="e">
        <f ca="1">_xll.BDH($C$628,"TOTAL_DEBT_1_YEAR_GROWTH","FQ3 2017","FQ3 2017","Currency=INR","Period=FQ","BEST_FPERIOD_OVERRIDE=FQ","FILING_STATUS=OR","EQY_CONSOLIDATED=Y","Sort=A","Dates=H","DateFormat=P","Fill=—","Direction=H","UseDPDF=Y")</f>
        <v>#NAME?</v>
      </c>
      <c r="AI646" s="2" t="e">
        <f ca="1">_xll.BDH($C$628,"TOTAL_EQUITY_1_YEAR_GROWTH","FQ3 2017","FQ3 2017","Currency=INR","Period=FQ","BEST_FPERIOD_OVERRIDE=FQ","FILING_STATUS=OR","EQY_CONSOLIDATED=Y","Sort=A","Dates=H","DateFormat=P","Fill=—","Direction=H","UseDPDF=Y")</f>
        <v>#NAME?</v>
      </c>
      <c r="AJ646" s="2" t="e">
        <f ca="1">_xll.BDH($C$628,"GROWTH_IN_CAP","FQ3 2017","FQ3 2017","Currency=INR","Period=FQ","BEST_FPERIOD_OVERRIDE=FQ","FILING_STATUS=OR","EQY_CONSOLIDATED=Y","Sort=A","Dates=H","DateFormat=P","Fill=—","Direction=H","UseDPDF=Y")</f>
        <v>#NAME?</v>
      </c>
      <c r="AK646" s="2" t="e">
        <f ca="1">_xll.BDH($C$628,"BVPS_GROWTH","FQ3 2017","FQ3 2017","Currency=INR","Period=FQ","BEST_FPERIOD_OVERRIDE=FQ","FILING_STATUS=OR","EQY_CONSOLIDATED=Y","Sort=A","Dates=H","DateFormat=P","Fill=—","Direction=H","UseDPDF=Y")</f>
        <v>#NAME?</v>
      </c>
      <c r="AL646" s="2" t="e">
        <f ca="1">_xll.BDH($C$628,"CASH_FLOW_GROWTH","FQ3 2017","FQ3 2017","Currency=INR","Period=FQ","BEST_FPERIOD_OVERRIDE=FQ","FILING_STATUS=OR","EQY_CONSOLIDATED=Y","Sort=A","Dates=H","DateFormat=P","Fill=—","Direction=H","UseDPDF=Y")</f>
        <v>#NAME?</v>
      </c>
      <c r="AM646" s="2" t="e">
        <f ca="1">_xll.BDH($C$628,"GEO_GROW_NET_SALES","FQ3 2017","FQ3 2017","Currency=INR","Period=FQ","BEST_FPERIOD_OVERRIDE=FQ","FILING_STATUS=OR","EQY_CONSOLIDATED=Y","FA_ADJUSTED=GAAP","Sort=A","Dates=H","DateFormat=P","Fill=—","Direction=H","UseDPDF=Y")</f>
        <v>#NAME?</v>
      </c>
      <c r="AN646" s="2" t="e">
        <f ca="1">_xll.BDH($C$628,"GEO_GROW_EBITDA","FQ3 2017","FQ3 2017","Currency=INR","Period=FQ","BEST_FPERIOD_OVERRIDE=FQ","FILING_STATUS=OR","EQY_CONSOLIDATED=Y","FA_ADJUSTED=GAAP","Sort=A","Dates=H","DateFormat=P","Fill=—","Direction=H","UseDPDF=Y")</f>
        <v>#NAME?</v>
      </c>
      <c r="AO646" s="2" t="e">
        <f ca="1">_xll.BDH($C$628,"GEO_GROW_OPER_INC","FQ3 2017","FQ3 2017","Currency=INR","Period=FQ","BEST_FPERIOD_OVERRIDE=FQ","FILING_STATUS=OR","EQY_CONSOLIDATED=Y","FA_ADJUSTED=GAAP","Sort=A","Dates=H","DateFormat=P","Fill=—","Direction=H","UseDPDF=Y")</f>
        <v>#NAME?</v>
      </c>
      <c r="AP646" s="2" t="e">
        <f ca="1">_xll.BDH($C$628,"NET_INCOME_TO_COMMON_5_YR_GROWTH","FQ3 2017","FQ3 2017","Currency=INR","Period=FQ","BEST_FPERIOD_OVERRIDE=FQ","FILING_STATUS=OR","EQY_CONSOLIDATED=Y","FA_ADJUSTED=GAAP","Sort=A","Dates=H","DateFormat=P","Fill=—","Direction=H","UseDPDF=Y")</f>
        <v>#NAME?</v>
      </c>
      <c r="AQ646" s="2" t="e">
        <f ca="1">_xll.BDH($C$628,"5Y_GEO_GROWTH_DILUTED_EPS","FQ3 2017","FQ3 2017","Currency=INR","Period=FQ","BEST_FPERIOD_OVERRIDE=FQ","FILING_STATUS=OR","EQY_CONSOLIDATED=Y","FA_ADJUSTED=GAAP","Sort=A","Dates=H","DateFormat=P","Fill=—","Direction=H","UseDPDF=Y")</f>
        <v>#NAME?</v>
      </c>
      <c r="AR646" s="2" t="e">
        <f ca="1">_xll.BDH($C$628,"GEO_GROW_DVD_PER_SH","FQ3 2017","FQ3 2017","Currency=INR","Period=FQ","BEST_FPERIOD_OVERRIDE=FQ","FILING_STATUS=OR","EQY_CONSOLIDATED=Y","Sort=A","Dates=H","DateFormat=P","Fill=—","Direction=H","UseDPDF=Y")</f>
        <v>#NAME?</v>
      </c>
      <c r="AS646" s="2" t="e">
        <f ca="1">_xll.BDH($C$628,"ACCOUNTS_RECEIVABLE_5_YR_GROWTH","FQ3 2017","FQ3 2017","Currency=INR","Period=FQ","BEST_FPERIOD_OVERRIDE=FQ","FILING_STATUS=OR","EQY_CONSOLIDATED=Y","Sort=A","Dates=H","DateFormat=P","Fill=—","Direction=H","UseDPDF=Y")</f>
        <v>#NAME?</v>
      </c>
      <c r="AT646" s="2" t="e">
        <f ca="1">_xll.BDH($C$628,"INVENTORY_5_YEAR_GROWTH","FQ3 2017","FQ3 2017","Currency=INR","Period=FQ","BEST_FPERIOD_OVERRIDE=FQ","FILING_STATUS=OR","EQY_CONSOLIDATED=Y","Sort=A","Dates=H","DateFormat=P","Fill=—","Direction=H","UseDPDF=Y")</f>
        <v>#NAME?</v>
      </c>
      <c r="AU646" s="2" t="e">
        <f ca="1">_xll.BDH($C$628,"NET_FIXED_ASSETS_5_YEAR_GROWTH","FQ3 2017","FQ3 2017","Currency=INR","Period=FQ","BEST_FPERIOD_OVERRIDE=FQ","FILING_STATUS=OR","EQY_CONSOLIDATED=Y","Sort=A","Dates=H","DateFormat=P","Fill=—","Direction=H","UseDPDF=Y")</f>
        <v>#NAME?</v>
      </c>
      <c r="AV646" s="2" t="e">
        <f ca="1">_xll.BDH($C$628,"GEO_GROW_TOT_ASSET","FQ3 2017","FQ3 2017","Currency=INR","Period=FQ","BEST_FPERIOD_OVERRIDE=FQ","FILING_STATUS=OR","EQY_CONSOLIDATED=Y","Sort=A","Dates=H","DateFormat=P","Fill=—","Direction=H","UseDPDF=Y")</f>
        <v>#NAME?</v>
      </c>
      <c r="AW646" s="2" t="e">
        <f ca="1">_xll.BDH($C$628,"MODIFIED_WORKING_CPTL_5YR_GRWTH","FQ3 2017","FQ3 2017","Currency=INR","Period=FQ","BEST_FPERIOD_OVERRIDE=FQ","FILING_STATUS=OR","EQY_CONSOLIDATED=Y","Sort=A","Dates=H","DateFormat=P","Fill=—","Direction=H","UseDPDF=Y")</f>
        <v>#NAME?</v>
      </c>
      <c r="AX646" s="2" t="e">
        <f ca="1">_xll.BDH($C$628,"WORKING_CAPITAL_5_YEAR_GROWTH","FQ3 2017","FQ3 2017","Currency=INR","Period=FQ","BEST_FPERIOD_OVERRIDE=FQ","FILING_STATUS=OR","EQY_CONSOLIDATED=Y","Sort=A","Dates=H","DateFormat=P","Fill=—","Direction=H","UseDPDF=Y")</f>
        <v>#NAME?</v>
      </c>
      <c r="AY646" s="2" t="e">
        <f ca="1">_xll.BDH($C$628,"ACCOUNTS_PAYABLE_5_YEAR_GROWTH","FQ3 2017","FQ3 2017","Currency=INR","Period=FQ","BEST_FPERIOD_OVERRIDE=FQ","FILING_STATUS=OR","EQY_CONSOLIDATED=Y","Sort=A","Dates=H","DateFormat=P","Fill=—","Direction=H","UseDPDF=Y")</f>
        <v>#NAME?</v>
      </c>
      <c r="AZ646" s="2" t="e">
        <f ca="1">_xll.BDH($C$628,"SHORT_TERM_DEBT_5_YEAR_GROWTH","FQ3 2017","FQ3 2017","Currency=INR","Period=FQ","BEST_FPERIOD_OVERRIDE=FQ","FILING_STATUS=OR","EQY_CONSOLIDATED=Y","Sort=A","Dates=H","DateFormat=P","Fill=—","Direction=H","UseDPDF=Y")</f>
        <v>#NAME?</v>
      </c>
      <c r="BA646" s="2" t="e">
        <f ca="1">_xll.BDH($C$628,"TOTAL_DEBT_5_YEAR_GROWTH","FQ3 2017","FQ3 2017","Currency=INR","Period=FQ","BEST_FPERIOD_OVERRIDE=FQ","FILING_STATUS=OR","EQY_CONSOLIDATED=Y","Sort=A","Dates=H","DateFormat=P","Fill=—","Direction=H","UseDPDF=Y")</f>
        <v>#NAME?</v>
      </c>
      <c r="BB646" s="2" t="e">
        <f ca="1">_xll.BDH($C$628,"GEO_GROW_TOT_SHRHLDR_EQY","FQ3 2017","FQ3 2017","Currency=INR","Period=FQ","BEST_FPERIOD_OVERRIDE=FQ","FILING_STATUS=OR","EQY_CONSOLIDATED=Y","Sort=A","Dates=H","DateFormat=P","Fill=—","Direction=H","UseDPDF=Y")</f>
        <v>#NAME?</v>
      </c>
      <c r="BC646" s="2" t="e">
        <f ca="1">_xll.BDH($C$628,"TOTAL_CAPITAL_5_YEAR_GROWTH","FQ3 2017","FQ3 2017","Currency=INR","Period=FQ","BEST_FPERIOD_OVERRIDE=FQ","FILING_STATUS=OR","EQY_CONSOLIDATED=Y","Sort=A","Dates=H","DateFormat=P","Fill=—","Direction=H","UseDPDF=Y")</f>
        <v>#NAME?</v>
      </c>
      <c r="BD646" s="2" t="e">
        <f ca="1">_xll.BDH($C$628,"GEO_GROW_BOOK_VAL","FQ3 2017","FQ3 2017","Currency=INR","Period=FQ","BEST_FPERIOD_OVERRIDE=FQ","FILING_STATUS=OR","EQY_CONSOLIDATED=Y","Sort=A","Dates=H","DateFormat=P","Fill=—","Direction=H","UseDPDF=Y")</f>
        <v>#NAME?</v>
      </c>
      <c r="BE646" s="2" t="e">
        <f ca="1">_xll.BDH($C$628,"GEO_GROW_CASH_OPER_ACT","FQ3 2017","FQ3 2017","Currency=INR","Period=FQ","BEST_FPERIOD_OVERRIDE=FQ","FILING_STATUS=OR","EQY_CONSOLIDATED=Y","Sort=A","Dates=H","DateFormat=P","Fill=—","Direction=H","UseDPDF=Y")</f>
        <v>#NAME?</v>
      </c>
      <c r="BF646" s="2" t="e">
        <f ca="1">_xll.BDH($C$628,"REVENUE_SEQUENTIAL_GROWTH","FQ3 2017","FQ3 2017","Currency=INR","Period=FQ","BEST_FPERIOD_OVERRIDE=FQ","FILING_STATUS=OR","EQY_CONSOLIDATED=Y","FA_ADJUSTED=GAAP","Sort=A","Dates=H","DateFormat=P","Fill=—","Direction=H","UseDPDF=Y")</f>
        <v>#NAME?</v>
      </c>
      <c r="BG646" s="2" t="e">
        <f ca="1">_xll.BDH($C$628,"EBITDA_SEQUENTIAL_GROWTH","FQ3 2017","FQ3 2017","Currency=INR","Period=FQ","BEST_FPERIOD_OVERRIDE=FQ","FILING_STATUS=OR","EQY_CONSOLIDATED=Y","FA_ADJUSTED=GAAP","Sort=A","Dates=H","DateFormat=P","Fill=—","Direction=H","UseDPDF=Y")</f>
        <v>#NAME?</v>
      </c>
      <c r="BH646" s="2" t="e">
        <f ca="1">_xll.BDH($C$628,"OPERATING_INCOME_SEQ_GROWTH","FQ3 2017","FQ3 2017","Currency=INR","Period=FQ","BEST_FPERIOD_OVERRIDE=FQ","FILING_STATUS=OR","EQY_CONSOLIDATED=Y","FA_ADJUSTED=GAAP","Sort=A","Dates=H","DateFormat=P","Fill=—","Direction=H","UseDPDF=Y")</f>
        <v>#NAME?</v>
      </c>
      <c r="BI646" s="2" t="e">
        <f ca="1">_xll.BDH($C$628,"NET_INCOME_TO_COMMON_SEQ_GROWTH","FQ3 2017","FQ3 2017","Currency=INR","Period=FQ","BEST_FPERIOD_OVERRIDE=FQ","FILING_STATUS=OR","EQY_CONSOLIDATED=Y","FA_ADJUSTED=GAAP","Sort=A","Dates=H","DateFormat=P","Fill=—","Direction=H","UseDPDF=Y")</f>
        <v>#NAME?</v>
      </c>
      <c r="BJ646" s="2" t="e">
        <f ca="1">_xll.BDH($C$628,"EPS_DILUTED_SEQUENTIAL_GROWTH","FQ3 2017","FQ3 2017","Currency=INR","Period=FQ","BEST_FPERIOD_OVERRIDE=FQ","FILING_STATUS=OR","EQY_CONSOLIDATED=Y","FA_ADJUSTED=GAAP","Sort=A","Dates=H","DateFormat=P","Fill=—","Direction=H","UseDPDF=Y")</f>
        <v>#NAME?</v>
      </c>
      <c r="BK646" s="2" t="e">
        <f ca="1">_xll.BDH($C$628,"DPS_SEQUENTIAL_GROWTH","FQ3 2017","FQ3 2017","Currency=INR","Period=FQ","BEST_FPERIOD_OVERRIDE=FQ","FILING_STATUS=OR","EQY_CONSOLIDATED=Y","Sort=A","Dates=H","DateFormat=P","Fill=—","Direction=H","UseDPDF=Y")</f>
        <v>#NAME?</v>
      </c>
      <c r="BL646" s="2" t="e">
        <f ca="1">_xll.BDH($C$628,"ACCOUNTS_RECEIVABLE_SEQ_GROWTH","FQ3 2017","FQ3 2017","Currency=INR","Period=FQ","BEST_FPERIOD_OVERRIDE=FQ","FILING_STATUS=OR","EQY_CONSOLIDATED=Y","Sort=A","Dates=H","DateFormat=P","Fill=—","Direction=H","UseDPDF=Y")</f>
        <v>#NAME?</v>
      </c>
      <c r="BM646" s="2" t="e">
        <f ca="1">_xll.BDH($C$628,"INVENTORY_SEQUENTIAL_GROWTH","FQ3 2017","FQ3 2017","Currency=INR","Period=FQ","BEST_FPERIOD_OVERRIDE=FQ","FILING_STATUS=OR","EQY_CONSOLIDATED=Y","Sort=A","Dates=H","DateFormat=P","Fill=—","Direction=H","UseDPDF=Y")</f>
        <v>#NAME?</v>
      </c>
      <c r="BN646" s="2" t="e">
        <f ca="1">_xll.BDH($C$628,"FIXED_ASSETS_SEQUENTIAL_GROWTH","FQ3 2017","FQ3 2017","Currency=INR","Period=FQ","BEST_FPERIOD_OVERRIDE=FQ","FILING_STATUS=OR","EQY_CONSOLIDATED=Y","Sort=A","Dates=H","DateFormat=P","Fill=—","Direction=H","UseDPDF=Y")</f>
        <v>#NAME?</v>
      </c>
      <c r="BO646" s="2" t="e">
        <f ca="1">_xll.BDH($C$628,"TOTAL_ASSETS_SEQUENTIAL_GROWTH","FQ3 2017","FQ3 2017","Currency=INR","Period=FQ","BEST_FPERIOD_OVERRIDE=FQ","FILING_STATUS=OR","EQY_CONSOLIDATED=Y","Sort=A","Dates=H","DateFormat=P","Fill=—","Direction=H","UseDPDF=Y")</f>
        <v>#NAME?</v>
      </c>
      <c r="BP646" s="2" t="e">
        <f ca="1">_xll.BDH($C$628,"MODIFIED_WORKING_CPTL_SEQ_GRWTH","FQ3 2017","FQ3 2017","Currency=INR","Period=FQ","BEST_FPERIOD_OVERRIDE=FQ","FILING_STATUS=OR","EQY_CONSOLIDATED=Y","Sort=A","Dates=H","DateFormat=P","Fill=—","Direction=H","UseDPDF=Y")</f>
        <v>#NAME?</v>
      </c>
      <c r="BQ646" s="2" t="e">
        <f ca="1">_xll.BDH($C$628,"WORKING_CAPITAL_SEQ_GROWTH","FQ3 2017","FQ3 2017","Currency=INR","Period=FQ","BEST_FPERIOD_OVERRIDE=FQ","FILING_STATUS=OR","EQY_CONSOLIDATED=Y","Sort=A","Dates=H","DateFormat=P","Fill=—","Direction=H","UseDPDF=Y")</f>
        <v>#NAME?</v>
      </c>
      <c r="BR646" s="2" t="e">
        <f ca="1">_xll.BDH($C$628,"ACCOUNTS_PAYABLE_SEQ_GROWTH","FQ3 2017","FQ3 2017","Currency=INR","Period=FQ","BEST_FPERIOD_OVERRIDE=FQ","FILING_STATUS=OR","EQY_CONSOLIDATED=Y","Sort=A","Dates=H","DateFormat=P","Fill=—","Direction=H","UseDPDF=Y")</f>
        <v>#NAME?</v>
      </c>
      <c r="BS646" s="2" t="e">
        <f ca="1">_xll.BDH($C$628,"ST_DEBT_SEQUENTIAL_GROWTH","FQ3 2017","FQ3 2017","Currency=INR","Period=FQ","BEST_FPERIOD_OVERRIDE=FQ","FILING_STATUS=OR","EQY_CONSOLIDATED=Y","Sort=A","Dates=H","DateFormat=P","Fill=—","Direction=H","UseDPDF=Y")</f>
        <v>#NAME?</v>
      </c>
      <c r="BT646" s="2" t="e">
        <f ca="1">_xll.BDH($C$628,"TOTAL_DEBT_SEQUENTIAL_GROWTH","FQ3 2017","FQ3 2017","Currency=INR","Period=FQ","BEST_FPERIOD_OVERRIDE=FQ","FILING_STATUS=OR","EQY_CONSOLIDATED=Y","Sort=A","Dates=H","DateFormat=P","Fill=—","Direction=H","UseDPDF=Y")</f>
        <v>#NAME?</v>
      </c>
      <c r="BU646" s="2" t="e">
        <f ca="1">_xll.BDH($C$628,"TOTAL_EQUITY_SEQUENTIAL_GROWTH","FQ3 2017","FQ3 2017","Currency=INR","Period=FQ","BEST_FPERIOD_OVERRIDE=FQ","FILING_STATUS=OR","EQY_CONSOLIDATED=Y","Sort=A","Dates=H","DateFormat=P","Fill=—","Direction=H","UseDPDF=Y")</f>
        <v>#NAME?</v>
      </c>
      <c r="BV646" s="2" t="e">
        <f ca="1">_xll.BDH($C$628,"TOTAL_CAPITAL_SEQUENTIAL_GROWTH","FQ3 2017","FQ3 2017","Currency=INR","Period=FQ","BEST_FPERIOD_OVERRIDE=FQ","FILING_STATUS=OR","EQY_CONSOLIDATED=Y","Sort=A","Dates=H","DateFormat=P","Fill=—","Direction=H","UseDPDF=Y")</f>
        <v>#NAME?</v>
      </c>
      <c r="BW646" s="2" t="e">
        <f ca="1">_xll.BDH($C$628,"BPS_SEQUENTIAL_GROWTH","FQ3 2017","FQ3 2017","Currency=INR","Period=FQ","BEST_FPERIOD_OVERRIDE=FQ","FILING_STATUS=OR","EQY_CONSOLIDATED=Y","Sort=A","Dates=H","DateFormat=P","Fill=—","Direction=H","UseDPDF=Y")</f>
        <v>#NAME?</v>
      </c>
      <c r="BX646" s="2" t="e">
        <f ca="1">_xll.BDH($C$628,"CFO_SEQUENTIAL_GROWTH","FQ3 2017","FQ3 2017","Currency=INR","Period=FQ","BEST_FPERIOD_OVERRIDE=FQ","FILING_STATUS=OR","EQY_CONSOLIDATED=Y","Sort=A","Dates=H","DateFormat=P","Fill=—","Direction=H","UseDPDF=Y")</f>
        <v>#NAME?</v>
      </c>
      <c r="BY646" s="3" t="e">
        <f ca="1">_xll.BDH($C$628,"SHORT_AND_LONG_TERM_DEBT","FQ3 2017","FQ3 2017","Currency=INR","Period=FQ","BEST_FPERIOD_OVERRIDE=FQ","FILING_STATUS=OR","EQY_CONSOLIDATED=Y","SCALING_FORMAT=MLN","Sort=A","Dates=H","DateFormat=P","Fill=—","Direction=H","UseDPDF=Y")</f>
        <v>#NAME?</v>
      </c>
      <c r="BZ646" s="3" t="e">
        <f ca="1">_xll.BDH($C$628,"BS_ST_BORROW","FQ3 2017","FQ3 2017","Currency=INR","Period=FQ","BEST_FPERIOD_OVERRIDE=FQ","FILING_STATUS=OR","EQY_CONSOLIDATED=Y","SCALING_FORMAT=MLN","Sort=A","Dates=H","DateFormat=P","Fill=—","Direction=H","UseDPDF=Y")</f>
        <v>#NAME?</v>
      </c>
      <c r="CA646" s="3" t="e">
        <f ca="1">_xll.BDH($C$628,"BS_LT_BORROW","FQ3 2017","FQ3 2017","Currency=INR","Period=FQ","BEST_FPERIOD_OVERRIDE=FQ","FILING_STATUS=OR","EQY_CONSOLIDATED=Y","SCALING_FORMAT=MLN","Sort=A","Dates=H","DateFormat=P","Fill=—","Direction=H","UseDPDF=Y")</f>
        <v>#NAME?</v>
      </c>
      <c r="CB646" s="2" t="e">
        <f ca="1">_xll.BDH($C$628,"TOT_DEBT_TO_EBITDA","FQ3 2017","FQ3 2017","Currency=INR","Period=FQ","BEST_FPERIOD_OVERRIDE=FQ","FILING_STATUS=OR","EQY_CONSOLIDATED=Y","FA_ADJUSTED=GAAP","Sort=A","Dates=H","DateFormat=P","Fill=—","Direction=H","UseDPDF=Y")</f>
        <v>#NAME?</v>
      </c>
      <c r="CC646" s="2" t="e">
        <f ca="1">_xll.BDH($C$628,"NET_DEBT_TO_EBITDA","FQ3 2017","FQ3 2017","Currency=INR","Period=FQ","BEST_FPERIOD_OVERRIDE=FQ","FILING_STATUS=OR","EQY_CONSOLIDATED=Y","FA_ADJUSTED=GAAP","Sort=A","Dates=H","DateFormat=P","Fill=—","Direction=H","UseDPDF=Y")</f>
        <v>#NAME?</v>
      </c>
      <c r="CD646" s="2" t="e">
        <f ca="1">_xll.BDH($C$628,"TOTAL_DEBT_TO_EBIT","FQ3 2017","FQ3 2017","Currency=INR","Period=FQ","BEST_FPERIOD_OVERRIDE=FQ","FILING_STATUS=OR","EQY_CONSOLIDATED=Y","FA_ADJUSTED=GAAP","Sort=A","Dates=H","DateFormat=P","Fill=—","Direction=H","UseDPDF=Y")</f>
        <v>#NAME?</v>
      </c>
      <c r="CE646" s="2" t="e">
        <f ca="1">_xll.BDH($C$628,"NET_DEBT_TO_EBIT","FQ3 2017","FQ3 2017","Currency=INR","Period=FQ","BEST_FPERIOD_OVERRIDE=FQ","FILING_STATUS=OR","EQY_CONSOLIDATED=Y","FA_ADJUSTED=GAAP","Sort=A","Dates=H","DateFormat=P","Fill=—","Direction=H","UseDPDF=Y")</f>
        <v>#NAME?</v>
      </c>
      <c r="CF646" s="2" t="e">
        <f ca="1">_xll.BDH($C$628,"EBITDA_TO_INTEREST_EXPN","FQ3 2017","FQ3 2017","Currency=INR","Period=FQ","BEST_FPERIOD_OVERRIDE=FQ","FILING_STATUS=OR","EQY_CONSOLIDATED=Y","FA_ADJUSTED=GAAP","Sort=A","Dates=H","DateFormat=P","Fill=—","Direction=H","UseDPDF=Y")</f>
        <v>#NAME?</v>
      </c>
      <c r="CG646" s="2" t="e">
        <f ca="1">_xll.BDH($C$628,"COM_EQY_TO_TOT_ASSET","FQ3 2017","FQ3 2017","Currency=INR","Period=FQ","BEST_FPERIOD_OVERRIDE=FQ","FILING_STATUS=OR","EQY_CONSOLIDATED=Y","Sort=A","Dates=H","DateFormat=P","Fill=—","Direction=H","UseDPDF=Y")</f>
        <v>#NAME?</v>
      </c>
      <c r="CH646" s="2" t="e">
        <f ca="1">_xll.BDH($C$628,"LT_DEBT_TO_TOT_EQY","FQ3 2017","FQ3 2017","Currency=INR","Period=FQ","BEST_FPERIOD_OVERRIDE=FQ","FILING_STATUS=OR","EQY_CONSOLIDATED=Y","Sort=A","Dates=H","DateFormat=P","Fill=—","Direction=H","UseDPDF=Y")</f>
        <v>#NAME?</v>
      </c>
      <c r="CI646" s="2" t="e">
        <f ca="1">_xll.BDH($C$628,"LT_DEBT_TO_TOT_CAP","FQ3 2017","FQ3 2017","Currency=INR","Period=FQ","BEST_FPERIOD_OVERRIDE=FQ","FILING_STATUS=OR","EQY_CONSOLIDATED=Y","Sort=A","Dates=H","DateFormat=P","Fill=—","Direction=H","UseDPDF=Y")</f>
        <v>#NAME?</v>
      </c>
      <c r="CJ646" s="2" t="e">
        <f ca="1">_xll.BDH($C$628,"LT_DEBT_TO_TOT_ASSET","FQ3 2017","FQ3 2017","Currency=INR","Period=FQ","BEST_FPERIOD_OVERRIDE=FQ","FILING_STATUS=OR","EQY_CONSOLIDATED=Y","Sort=A","Dates=H","DateFormat=P","Fill=—","Direction=H","UseDPDF=Y")</f>
        <v>#NAME?</v>
      </c>
      <c r="CK646" s="2" t="e">
        <f ca="1">_xll.BDH($C$628,"TOT_DEBT_TO_TOT_EQY","FQ3 2017","FQ3 2017","Currency=INR","Period=FQ","BEST_FPERIOD_OVERRIDE=FQ","FILING_STATUS=OR","EQY_CONSOLIDATED=Y","Sort=A","Dates=H","DateFormat=P","Fill=—","Direction=H","UseDPDF=Y")</f>
        <v>#NAME?</v>
      </c>
      <c r="CL646" s="2" t="e">
        <f ca="1">_xll.BDH($C$628,"TOT_DEBT_TO_TOT_CAP","FQ3 2017","FQ3 2017","Currency=INR","Period=FQ","BEST_FPERIOD_OVERRIDE=FQ","FILING_STATUS=OR","EQY_CONSOLIDATED=Y","Sort=A","Dates=H","DateFormat=P","Fill=—","Direction=H","UseDPDF=Y")</f>
        <v>#NAME?</v>
      </c>
      <c r="CM646" s="2" t="e">
        <f ca="1">_xll.BDH($C$628,"TOT_DEBT_TO_TOT_ASSET","FQ3 2017","FQ3 2017","Currency=INR","Period=FQ","BEST_FPERIOD_OVERRIDE=FQ","FILING_STATUS=OR","EQY_CONSOLIDATED=Y","Sort=A","Dates=H","DateFormat=P","Fill=—","Direction=H","UseDPDF=Y")</f>
        <v>#NAME?</v>
      </c>
      <c r="CN646" s="2" t="e">
        <f ca="1">_xll.BDH($C$628,"NET_DEBT_TO_SHRHLDR_EQTY","FQ3 2017","FQ3 2017","Currency=INR","Period=FQ","BEST_FPERIOD_OVERRIDE=FQ","FILING_STATUS=OR","EQY_CONSOLIDATED=Y","Sort=A","Dates=H","DateFormat=P","Fill=—","Direction=H","UseDPDF=Y")</f>
        <v>#NAME?</v>
      </c>
      <c r="CO646" s="2" t="e">
        <f ca="1">_xll.BDH($C$628,"NET_DEBT_%_CAPITAL","FQ3 2017","FQ3 2017","Currency=INR","Period=FQ","BEST_FPERIOD_OVERRIDE=FQ","FILING_STATUS=OR","EQY_CONSOLIDATED=Y","Sort=A","Dates=H","DateFormat=P","Fill=—","Direction=H","UseDPDF=Y")</f>
        <v>#NAME?</v>
      </c>
      <c r="CP646" s="3" t="e">
        <f ca="1">_xll.BDH($C$628,"EBITDA","FQ3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Q646" s="3" t="e">
        <f ca="1">_xll.BDH($C$628,"EBITDA_AFTER_CAPEX","FQ3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R646" s="3" t="e">
        <f ca="1">_xll.BDH($C$628,"IS_OPER_INC","FQ3 2017","FQ3 2017","Currency=INR","Period=FQ","BEST_FPERIOD_OVERRIDE=FQ","FILING_STATUS=OR","EQY_CONSOLIDATED=Y","SCALING_FORMAT=MLN","FA_ADJUSTED=GAAP","Sort=A","Dates=H","DateFormat=P","Fill=—","Direction=H","UseDPDF=Y")</f>
        <v>#NAME?</v>
      </c>
      <c r="CS646" s="2" t="e">
        <f ca="1">_xll.BDH($C$628,"CASH_RATIO","FQ3 2017","FQ3 2017","Currency=INR","Period=FQ","BEST_FPERIOD_OVERRIDE=FQ","FILING_STATUS=OR","EQY_CONSOLIDATED=Y","Sort=A","Dates=H","DateFormat=P","Fill=—","Direction=H","UseDPDF=Y")</f>
        <v>#NAME?</v>
      </c>
      <c r="CT646" s="2" t="e">
        <f ca="1">_xll.BDH($C$628,"CUR_RATIO","FQ3 2017","FQ3 2017","Currency=INR","Period=FQ","BEST_FPERIOD_OVERRIDE=FQ","FILING_STATUS=OR","EQY_CONSOLIDATED=Y","Sort=A","Dates=H","DateFormat=P","Fill=—","Direction=H","UseDPDF=Y")</f>
        <v>#NAME?</v>
      </c>
      <c r="CU646" s="2" t="e">
        <f ca="1">_xll.BDH($C$628,"QUICK_RATIO","FQ3 2017","FQ3 2017","Currency=INR","Period=FQ","BEST_FPERIOD_OVERRIDE=FQ","FILING_STATUS=OR","EQY_CONSOLIDATED=Y","Sort=A","Dates=H","DateFormat=P","Fill=—","Direction=H","UseDPDF=Y")</f>
        <v>#NAME?</v>
      </c>
      <c r="CV646" s="2" t="e">
        <f ca="1">_xll.BDH($C$628,"ALTMAN_Z_SCORE","FQ3 2017","FQ3 2017","Currency=INR","Period=FQ","BEST_FPERIOD_OVERRIDE=FQ","FILING_STATUS=OR","EQY_CONSOLIDATED=Y","Sort=A","Dates=H","DateFormat=P","Fill=—","Direction=H","UseDPDF=Y")</f>
        <v>#NAME?</v>
      </c>
      <c r="CW646" s="4" t="e">
        <f ca="1">_xll.BDH($C$628,"ACCT_RCV_TURN","FQ3 2017","FQ3 2017","Currency=INR","Period=FQ","BEST_FPERIOD_OVERRIDE=FQ","FILING_STATUS=OR","EQY_CONSOLIDATED=Y","FA_ADJUSTED=GAAP","Sort=A","Dates=H","DateFormat=P","Fill=—","Direction=H","UseDPDF=Y")</f>
        <v>#NAME?</v>
      </c>
      <c r="CX646" s="2" t="e">
        <f ca="1">_xll.BDH($C$628,"ACCT_RCV_DAYS","FQ3 2017","FQ3 2017","Currency=INR","Period=FQ","BEST_FPERIOD_OVERRIDE=FQ","FILING_STATUS=OR","EQY_CONSOLIDATED=Y","FA_ADJUSTED=GAAP","Sort=A","Dates=H","DateFormat=P","Fill=—","Direction=H","UseDPDF=Y")</f>
        <v>#NAME?</v>
      </c>
      <c r="CY646" s="4" t="e">
        <f ca="1">_xll.BDH($C$628,"INVENT_TURN","FQ3 2017","FQ3 2017","Currency=INR","Period=FQ","BEST_FPERIOD_OVERRIDE=FQ","FILING_STATUS=OR","EQY_CONSOLIDATED=Y","FA_ADJUSTED=GAAP","Sort=A","Dates=H","DateFormat=P","Fill=—","Direction=H","UseDPDF=Y")</f>
        <v>#NAME?</v>
      </c>
      <c r="CZ646" s="2" t="e">
        <f ca="1">_xll.BDH($C$628,"INVENT_DAYS","FQ3 2017","FQ3 2017","Currency=INR","Period=FQ","BEST_FPERIOD_OVERRIDE=FQ","FILING_STATUS=OR","EQY_CONSOLIDATED=Y","FA_ADJUSTED=GAAP","Sort=A","Dates=H","DateFormat=P","Fill=—","Direction=H","UseDPDF=Y")</f>
        <v>#NAME?</v>
      </c>
      <c r="DA646" s="4" t="e">
        <f ca="1">_xll.BDH($C$628,"ACCOUNTS_PAYABLE_TURNOVER","FQ3 2017","FQ3 2017","Currency=INR","Period=FQ","BEST_FPERIOD_OVERRIDE=FQ","FILING_STATUS=OR","EQY_CONSOLIDATED=Y","FA_ADJUSTED=GAAP","Sort=A","Dates=H","DateFormat=P","Fill=—","Direction=H","UseDPDF=Y")</f>
        <v>#NAME?</v>
      </c>
      <c r="DB646" s="2" t="e">
        <f ca="1">_xll.BDH($C$628,"ACCOUNTS_PAYABLE_TURNOVER_DAYS","FQ3 2017","FQ3 2017","Currency=INR","Period=FQ","BEST_FPERIOD_OVERRIDE=FQ","FILING_STATUS=OR","EQY_CONSOLIDATED=Y","FA_ADJUSTED=GAAP","Sort=A","Dates=H","DateFormat=P","Fill=—","Direction=H","UseDPDF=Y")</f>
        <v>#NAME?</v>
      </c>
      <c r="DC646" s="4" t="e">
        <f ca="1">_xll.BDH($C$628,"CASH_CONVERSION_CYCLE","FQ3 2017","FQ3 2017","Currency=INR","Period=FQ","BEST_FPERIOD_OVERRIDE=FQ","FILING_STATUS=OR","EQY_CONSOLIDATED=Y","FA_ADJUSTED=GAAP","Sort=A","Dates=H","DateFormat=P","Fill=—","Direction=H","UseDPDF=Y")</f>
        <v>#NAME?</v>
      </c>
      <c r="DD646" s="4" t="e">
        <f ca="1">_xll.BDH($C$628,"INV_TO_CASH_DAYS","FQ3 2017","FQ3 2017","Currency=INR","Period=FQ","BEST_FPERIOD_OVERRIDE=FQ","FILING_STATUS=OR","EQY_CONSOLIDATED=Y","FA_ADJUSTED=GAAP","Sort=A","Dates=H","DateFormat=P","Fill=—","Direction=H","UseDPDF=Y")</f>
        <v>#NAME?</v>
      </c>
      <c r="DE646" s="5" t="e">
        <f ca="1">_xll.BDH($C$628,"BS_INVENTORIES","FQ3 2017","FQ3 2017","Currency=INR","Period=FQ","BEST_FPERIOD_OVERRIDE=FQ","FILING_STATUS=OR","EQY_CONSOLIDATED=Y","SCALING_FORMAT=MLN","Sort=A","Dates=H","DateFormat=P","Fill=—","Direction=H","UseDPDF=Y")</f>
        <v>#NAME?</v>
      </c>
      <c r="DF646" s="3" t="e">
        <f ca="1">_xll.BDH($C$628,"INVTRY_RAW_MATERIALS","FQ3 2017","FQ3 2017","Currency=INR","Period=FQ","BEST_FPERIOD_OVERRIDE=FQ","FILING_STATUS=OR","EQY_CONSOLIDATED=Y","SCALING_FORMAT=MLN","Sort=A","Dates=H","DateFormat=P","Fill=—","Direction=H","UseDPDF=Y")</f>
        <v>#NAME?</v>
      </c>
      <c r="DG646" s="3" t="e">
        <f ca="1">_xll.BDH($C$628,"INVTRY_IN_PROGRESS","FQ3 2017","FQ3 2017","Currency=INR","Period=FQ","BEST_FPERIOD_OVERRIDE=FQ","FILING_STATUS=OR","EQY_CONSOLIDATED=Y","SCALING_FORMAT=MLN","Sort=A","Dates=H","DateFormat=P","Fill=—","Direction=H","UseDPDF=Y")</f>
        <v>#NAME?</v>
      </c>
      <c r="DH646" s="3" t="e">
        <f ca="1">_xll.BDH($C$628,"INVTRY_FINISHED_GOODS","FQ3 2017","FQ3 2017","Currency=INR","Period=FQ","BEST_FPERIOD_OVERRIDE=FQ","FILING_STATUS=OR","EQY_CONSOLIDATED=Y","SCALING_FORMAT=MLN","Sort=A","Dates=H","DateFormat=P","Fill=—","Direction=H","UseDPDF=Y")</f>
        <v>#NAME?</v>
      </c>
      <c r="DI646" s="3" t="e">
        <f ca="1">_xll.BDH($C$628,"BS_OTHER_INV","FQ3 2017","FQ3 2017","Currency=INR","Period=FQ","BEST_FPERIOD_OVERRIDE=FQ","FILING_STATUS=OR","EQY_CONSOLIDATED=Y","SCALING_FORMAT=MLN","Sort=A","Dates=H","DateFormat=P","Fill=—","Direction=H","UseDPDF=Y")</f>
        <v>#NAME?</v>
      </c>
    </row>
    <row r="647" spans="1:113" x14ac:dyDescent="0.3">
      <c r="A647" s="6"/>
      <c r="B647" s="6"/>
      <c r="C647" s="6"/>
      <c r="D647" s="6"/>
      <c r="E647" t="s">
        <v>81</v>
      </c>
      <c r="F647" t="e">
        <f ca="1">_xll.BDH($C$628,"RETURN_COM_EQY","FQ4 2017","FQ4 2017","Currency=INR","Period=FQ","BEST_FPERIOD_OVERRIDE=FQ","FILING_STATUS=OR","EQY_CONSOLIDATED=Y","FA_ADJUSTED=GAAP","Sort=A","Dates=H","DateFormat=P","Fill=—","Direction=H","UseDPDF=Y")</f>
        <v>#NAME?</v>
      </c>
      <c r="G647" t="e">
        <f ca="1">_xll.BDH($C$628,"RETURN_ON_ASSET","FQ4 2017","FQ4 2017","Currency=INR","Period=FQ","BEST_FPERIOD_OVERRIDE=FQ","FILING_STATUS=OR","EQY_CONSOLIDATED=Y","FA_ADJUSTED=GAAP","Sort=A","Dates=H","DateFormat=P","Fill=—","Direction=H","UseDPDF=Y")</f>
        <v>#NAME?</v>
      </c>
      <c r="H647" t="e">
        <f ca="1">_xll.BDH($C$628,"RETURN_ON_CAP","FQ4 2017","FQ4 2017","Currency=INR","Period=FQ","BEST_FPERIOD_OVERRIDE=FQ","FILING_STATUS=OR","EQY_CONSOLIDATED=Y","FA_ADJUSTED=GAAP","Sort=A","Dates=H","DateFormat=P","Fill=—","Direction=H","UseDPDF=Y")</f>
        <v>#NAME?</v>
      </c>
      <c r="I647" t="e">
        <f ca="1">_xll.BDH($C$628,"RETURN_ON_INV_CAPITAL","FQ4 2017","FQ4 2017","Currency=INR","Period=FQ","BEST_FPERIOD_OVERRIDE=FQ","FILING_STATUS=OR","EQY_CONSOLIDATED=Y","FA_ADJUSTED=GAAP","Sort=A","Dates=H","DateFormat=P","Fill=—","Direction=H","UseDPDF=Y")</f>
        <v>#NAME?</v>
      </c>
      <c r="J647" t="e">
        <f ca="1">_xll.BDH($C$628,"EBITDA_TO_REVENUE","FQ4 2017","FQ4 2017","Currency=INR","Period=FQ","BEST_FPERIOD_OVERRIDE=FQ","FILING_STATUS=OR","EQY_CONSOLIDATED=Y","FA_ADJUSTED=GAAP","Sort=A","Dates=H","DateFormat=P","Fill=—","Direction=H","UseDPDF=Y")</f>
        <v>#NAME?</v>
      </c>
      <c r="K647" t="e">
        <f ca="1">_xll.BDH($C$628,"OPER_MARGIN","FQ4 2017","FQ4 2017","Currency=INR","Period=FQ","BEST_FPERIOD_OVERRIDE=FQ","FILING_STATUS=OR","EQY_CONSOLIDATED=Y","FA_ADJUSTED=GAAP","Sort=A","Dates=H","DateFormat=P","Fill=—","Direction=H","UseDPDF=Y")</f>
        <v>#NAME?</v>
      </c>
      <c r="L647" t="e">
        <f ca="1">_xll.BDH($C$628,"INCREMENTAL_OPERATING_MARGIN","FQ4 2017","FQ4 2017","Currency=INR","Period=FQ","BEST_FPERIOD_OVERRIDE=FQ","FILING_STATUS=OR","EQY_CONSOLIDATED=Y","FA_ADJUSTED=GAAP","Sort=A","Dates=H","DateFormat=P","Fill=—","Direction=H","UseDPDF=Y")</f>
        <v>#NAME?</v>
      </c>
      <c r="M647" t="e">
        <f ca="1">_xll.BDH($C$628,"PRETAX_INC_TO_NET_SALES","FQ4 2017","FQ4 2017","Currency=INR","Period=FQ","BEST_FPERIOD_OVERRIDE=FQ","FILING_STATUS=OR","EQY_CONSOLIDATED=Y","FA_ADJUSTED=GAAP","Sort=A","Dates=H","DateFormat=P","Fill=—","Direction=H","UseDPDF=Y")</f>
        <v>#NAME?</v>
      </c>
      <c r="N647" t="e">
        <f ca="1">_xll.BDH($C$628,"INC_BEF_XO_ITEMS_TO_NET_SALES","FQ4 2017","FQ4 2017","Currency=INR","Period=FQ","BEST_FPERIOD_OVERRIDE=FQ","FILING_STATUS=OR","EQY_CONSOLIDATED=Y","FA_ADJUSTED=GAAP","Sort=A","Dates=H","DateFormat=P","Fill=—","Direction=H","UseDPDF=Y")</f>
        <v>#NAME?</v>
      </c>
      <c r="O647" t="e">
        <f ca="1">_xll.BDH($C$628,"PROF_MARGIN","FQ4 2017","FQ4 2017","Currency=INR","Period=FQ","BEST_FPERIOD_OVERRIDE=FQ","FILING_STATUS=OR","EQY_CONSOLIDATED=Y","FA_ADJUSTED=GAAP","Sort=A","Dates=H","DateFormat=P","Fill=—","Direction=H","UseDPDF=Y")</f>
        <v>#NAME?</v>
      </c>
      <c r="P647" t="e">
        <f ca="1">_xll.BDH($C$628,"NET_INCOME_TO_COMMON_MARGIN","FQ4 2017","FQ4 2017","Currency=INR","Period=FQ","BEST_FPERIOD_OVERRIDE=FQ","FILING_STATUS=OR","EQY_CONSOLIDATED=Y","FA_ADJUSTED=GAAP","Sort=A","Dates=H","DateFormat=P","Fill=—","Direction=H","UseDPDF=Y")</f>
        <v>#NAME?</v>
      </c>
      <c r="Q647" t="e">
        <f ca="1">_xll.BDH($C$628,"EFF_TAX_RATE","FQ4 2017","FQ4 2017","Currency=INR","Period=FQ","BEST_FPERIOD_OVERRIDE=FQ","FILING_STATUS=OR","EQY_CONSOLIDATED=Y","FA_ADJUSTED=GAAP","Sort=A","Dates=H","DateFormat=P","Fill=—","Direction=H","UseDPDF=Y")</f>
        <v>#NAME?</v>
      </c>
      <c r="R647" t="e">
        <f ca="1">_xll.BDH($C$628,"DVD_PAYOUT_RATIO","FQ4 2017","FQ4 2017","Currency=INR","Period=FQ","BEST_FPERIOD_OVERRIDE=FQ","FILING_STATUS=OR","EQY_CONSOLIDATED=Y","FA_ADJUSTED=GAAP","Sort=A","Dates=H","DateFormat=P","Fill=—","Direction=H","UseDPDF=Y")</f>
        <v>#NAME?</v>
      </c>
      <c r="S647" t="e">
        <f ca="1">_xll.BDH($C$628,"SUSTAIN_GROWTH_RT","FQ4 2017","FQ4 2017","Currency=INR","Period=FQ","BEST_FPERIOD_OVERRIDE=FQ","FILING_STATUS=OR","EQY_CONSOLIDATED=Y","FA_ADJUSTED=GAAP","Sort=A","Dates=H","DateFormat=P","Fill=—","Direction=H","UseDPDF=Y")</f>
        <v>#NAME?</v>
      </c>
      <c r="T647" s="2" t="e">
        <f ca="1">_xll.BDH($C$628,"SALES_GROWTH","FQ4 2017","FQ4 2017","Currency=INR","Period=FQ","BEST_FPERIOD_OVERRIDE=FQ","FILING_STATUS=OR","EQY_CONSOLIDATED=Y","FA_ADJUSTED=GAAP","Sort=A","Dates=H","DateFormat=P","Fill=—","Direction=H","UseDPDF=Y")</f>
        <v>#NAME?</v>
      </c>
      <c r="U647" s="2" t="e">
        <f ca="1">_xll.BDH($C$628,"EBITDA_GROWTH","FQ4 2017","FQ4 2017","Currency=INR","Period=FQ","BEST_FPERIOD_OVERRIDE=FQ","FILING_STATUS=OR","EQY_CONSOLIDATED=Y","FA_ADJUSTED=GAAP","Sort=A","Dates=H","DateFormat=P","Fill=—","Direction=H","UseDPDF=Y")</f>
        <v>#NAME?</v>
      </c>
      <c r="V647" s="2" t="e">
        <f ca="1">_xll.BDH($C$628,"OPER_INC_GROWTH","FQ4 2017","FQ4 2017","Currency=INR","Period=FQ","BEST_FPERIOD_OVERRIDE=FQ","FILING_STATUS=OR","EQY_CONSOLIDATED=Y","FA_ADJUSTED=GAAP","Sort=A","Dates=H","DateFormat=P","Fill=—","Direction=H","UseDPDF=Y")</f>
        <v>#NAME?</v>
      </c>
      <c r="W647" s="2" t="e">
        <f ca="1">_xll.BDH($C$628,"EARN_FOR_COM_GROWTH","FQ4 2017","FQ4 2017","Currency=INR","Period=FQ","BEST_FPERIOD_OVERRIDE=FQ","FILING_STATUS=OR","EQY_CONSOLIDATED=Y","FA_ADJUSTED=GAAP","Sort=A","Dates=H","DateFormat=P","Fill=—","Direction=H","UseDPDF=Y")</f>
        <v>#NAME?</v>
      </c>
      <c r="X647" s="2" t="e">
        <f ca="1">_xll.BDH($C$628,"DILUTED_EPS_AFT_XO_ITEMS_GROWTH","FQ4 2017","FQ4 2017","Currency=INR","Period=FQ","BEST_FPERIOD_OVERRIDE=FQ","FILING_STATUS=OR","EQY_CONSOLIDATED=Y","FA_ADJUSTED=GAAP","Sort=A","Dates=H","DateFormat=P","Fill=—","Direction=H","UseDPDF=Y")</f>
        <v>#NAME?</v>
      </c>
      <c r="Y647" s="2" t="e">
        <f ca="1">_xll.BDH($C$628,"DIVIDEND_PER_SHARE_1_YEAR_GROWTH","FQ4 2017","FQ4 2017","Currency=INR","Period=FQ","BEST_FPERIOD_OVERRIDE=FQ","FILING_STATUS=OR","EQY_CONSOLIDATED=Y","Sort=A","Dates=H","DateFormat=P","Fill=—","Direction=H","UseDPDF=Y")</f>
        <v>#NAME?</v>
      </c>
      <c r="Z647" s="2" t="e">
        <f ca="1">_xll.BDH($C$628,"ACCOUNTS_RECEIVABLE_GROWTH","FQ4 2017","FQ4 2017","Currency=INR","Period=FQ","BEST_FPERIOD_OVERRIDE=FQ","FILING_STATUS=OR","EQY_CONSOLIDATED=Y","Sort=A","Dates=H","DateFormat=P","Fill=—","Direction=H","UseDPDF=Y")</f>
        <v>#NAME?</v>
      </c>
      <c r="AA647" s="2" t="e">
        <f ca="1">_xll.BDH($C$628,"INVENTORY_GROWTH","FQ4 2017","FQ4 2017","Currency=INR","Period=FQ","BEST_FPERIOD_OVERRIDE=FQ","FILING_STATUS=OR","EQY_CONSOLIDATED=Y","Sort=A","Dates=H","DateFormat=P","Fill=—","Direction=H","UseDPDF=Y")</f>
        <v>#NAME?</v>
      </c>
      <c r="AB647" s="2" t="e">
        <f ca="1">_xll.BDH($C$628,"NET_FIXED_ASSETS_1_YEAR_GROWTH","FQ4 2017","FQ4 2017","Currency=INR","Period=FQ","BEST_FPERIOD_OVERRIDE=FQ","FILING_STATUS=OR","EQY_CONSOLIDATED=Y","Sort=A","Dates=H","DateFormat=P","Fill=—","Direction=H","UseDPDF=Y")</f>
        <v>#NAME?</v>
      </c>
      <c r="AC647" s="2" t="e">
        <f ca="1">_xll.BDH($C$628,"ASSET_GROWTH","FQ4 2017","FQ4 2017","Currency=INR","Period=FQ","BEST_FPERIOD_OVERRIDE=FQ","FILING_STATUS=OR","EQY_CONSOLIDATED=Y","Sort=A","Dates=H","DateFormat=P","Fill=—","Direction=H","UseDPDF=Y")</f>
        <v>#NAME?</v>
      </c>
      <c r="AD647" s="2" t="e">
        <f ca="1">_xll.BDH($C$628,"MODIFIED_WORK_CAP_GROWTH","FQ4 2017","FQ4 2017","Currency=INR","Period=FQ","BEST_FPERIOD_OVERRIDE=FQ","FILING_STATUS=OR","EQY_CONSOLIDATED=Y","Sort=A","Dates=H","DateFormat=P","Fill=—","Direction=H","UseDPDF=Y")</f>
        <v>#NAME?</v>
      </c>
      <c r="AE647" s="2" t="e">
        <f ca="1">_xll.BDH($C$628,"WORK_CAP_GROWTH","FQ4 2017","FQ4 2017","Currency=INR","Period=FQ","BEST_FPERIOD_OVERRIDE=FQ","FILING_STATUS=OR","EQY_CONSOLIDATED=Y","Sort=A","Dates=H","DateFormat=P","Fill=—","Direction=H","UseDPDF=Y")</f>
        <v>#NAME?</v>
      </c>
      <c r="AF647" s="2" t="e">
        <f ca="1">_xll.BDH($C$628,"ACCOUNTS_PAYABLE_GROWTH_1YR","FQ4 2017","FQ4 2017","Currency=INR","Period=FQ","BEST_FPERIOD_OVERRIDE=FQ","FILING_STATUS=OR","EQY_CONSOLIDATED=Y","Sort=A","Dates=H","DateFormat=P","Fill=—","Direction=H","UseDPDF=Y")</f>
        <v>#NAME?</v>
      </c>
      <c r="AG647" s="2" t="e">
        <f ca="1">_xll.BDH($C$628,"SHORT_TERM_DEBT_1_YEAR_GROWTH","FQ4 2017","FQ4 2017","Currency=INR","Period=FQ","BEST_FPERIOD_OVERRIDE=FQ","FILING_STATUS=OR","EQY_CONSOLIDATED=Y","Sort=A","Dates=H","DateFormat=P","Fill=—","Direction=H","UseDPDF=Y")</f>
        <v>#NAME?</v>
      </c>
      <c r="AH647" s="2" t="e">
        <f ca="1">_xll.BDH($C$628,"TOTAL_DEBT_1_YEAR_GROWTH","FQ4 2017","FQ4 2017","Currency=INR","Period=FQ","BEST_FPERIOD_OVERRIDE=FQ","FILING_STATUS=OR","EQY_CONSOLIDATED=Y","Sort=A","Dates=H","DateFormat=P","Fill=—","Direction=H","UseDPDF=Y")</f>
        <v>#NAME?</v>
      </c>
      <c r="AI647" s="2" t="e">
        <f ca="1">_xll.BDH($C$628,"TOTAL_EQUITY_1_YEAR_GROWTH","FQ4 2017","FQ4 2017","Currency=INR","Period=FQ","BEST_FPERIOD_OVERRIDE=FQ","FILING_STATUS=OR","EQY_CONSOLIDATED=Y","Sort=A","Dates=H","DateFormat=P","Fill=—","Direction=H","UseDPDF=Y")</f>
        <v>#NAME?</v>
      </c>
      <c r="AJ647" s="2" t="e">
        <f ca="1">_xll.BDH($C$628,"GROWTH_IN_CAP","FQ4 2017","FQ4 2017","Currency=INR","Period=FQ","BEST_FPERIOD_OVERRIDE=FQ","FILING_STATUS=OR","EQY_CONSOLIDATED=Y","Sort=A","Dates=H","DateFormat=P","Fill=—","Direction=H","UseDPDF=Y")</f>
        <v>#NAME?</v>
      </c>
      <c r="AK647" s="2" t="e">
        <f ca="1">_xll.BDH($C$628,"BVPS_GROWTH","FQ4 2017","FQ4 2017","Currency=INR","Period=FQ","BEST_FPERIOD_OVERRIDE=FQ","FILING_STATUS=OR","EQY_CONSOLIDATED=Y","Sort=A","Dates=H","DateFormat=P","Fill=—","Direction=H","UseDPDF=Y")</f>
        <v>#NAME?</v>
      </c>
      <c r="AL647" s="2" t="e">
        <f ca="1">_xll.BDH($C$628,"CASH_FLOW_GROWTH","FQ4 2017","FQ4 2017","Currency=INR","Period=FQ","BEST_FPERIOD_OVERRIDE=FQ","FILING_STATUS=OR","EQY_CONSOLIDATED=Y","Sort=A","Dates=H","DateFormat=P","Fill=—","Direction=H","UseDPDF=Y")</f>
        <v>#NAME?</v>
      </c>
      <c r="AM647" s="2" t="e">
        <f ca="1">_xll.BDH($C$628,"GEO_GROW_NET_SALES","FQ4 2017","FQ4 2017","Currency=INR","Period=FQ","BEST_FPERIOD_OVERRIDE=FQ","FILING_STATUS=OR","EQY_CONSOLIDATED=Y","FA_ADJUSTED=GAAP","Sort=A","Dates=H","DateFormat=P","Fill=—","Direction=H","UseDPDF=Y")</f>
        <v>#NAME?</v>
      </c>
      <c r="AN647" s="2" t="e">
        <f ca="1">_xll.BDH($C$628,"GEO_GROW_EBITDA","FQ4 2017","FQ4 2017","Currency=INR","Period=FQ","BEST_FPERIOD_OVERRIDE=FQ","FILING_STATUS=OR","EQY_CONSOLIDATED=Y","FA_ADJUSTED=GAAP","Sort=A","Dates=H","DateFormat=P","Fill=—","Direction=H","UseDPDF=Y")</f>
        <v>#NAME?</v>
      </c>
      <c r="AO647" s="2" t="e">
        <f ca="1">_xll.BDH($C$628,"GEO_GROW_OPER_INC","FQ4 2017","FQ4 2017","Currency=INR","Period=FQ","BEST_FPERIOD_OVERRIDE=FQ","FILING_STATUS=OR","EQY_CONSOLIDATED=Y","FA_ADJUSTED=GAAP","Sort=A","Dates=H","DateFormat=P","Fill=—","Direction=H","UseDPDF=Y")</f>
        <v>#NAME?</v>
      </c>
      <c r="AP647" s="2" t="e">
        <f ca="1">_xll.BDH($C$628,"NET_INCOME_TO_COMMON_5_YR_GROWTH","FQ4 2017","FQ4 2017","Currency=INR","Period=FQ","BEST_FPERIOD_OVERRIDE=FQ","FILING_STATUS=OR","EQY_CONSOLIDATED=Y","FA_ADJUSTED=GAAP","Sort=A","Dates=H","DateFormat=P","Fill=—","Direction=H","UseDPDF=Y")</f>
        <v>#NAME?</v>
      </c>
      <c r="AQ647" s="2" t="e">
        <f ca="1">_xll.BDH($C$628,"5Y_GEO_GROWTH_DILUTED_EPS","FQ4 2017","FQ4 2017","Currency=INR","Period=FQ","BEST_FPERIOD_OVERRIDE=FQ","FILING_STATUS=OR","EQY_CONSOLIDATED=Y","FA_ADJUSTED=GAAP","Sort=A","Dates=H","DateFormat=P","Fill=—","Direction=H","UseDPDF=Y")</f>
        <v>#NAME?</v>
      </c>
      <c r="AR647" s="2" t="e">
        <f ca="1">_xll.BDH($C$628,"GEO_GROW_DVD_PER_SH","FQ4 2017","FQ4 2017","Currency=INR","Period=FQ","BEST_FPERIOD_OVERRIDE=FQ","FILING_STATUS=OR","EQY_CONSOLIDATED=Y","Sort=A","Dates=H","DateFormat=P","Fill=—","Direction=H","UseDPDF=Y")</f>
        <v>#NAME?</v>
      </c>
      <c r="AS647" s="2" t="e">
        <f ca="1">_xll.BDH($C$628,"ACCOUNTS_RECEIVABLE_5_YR_GROWTH","FQ4 2017","FQ4 2017","Currency=INR","Period=FQ","BEST_FPERIOD_OVERRIDE=FQ","FILING_STATUS=OR","EQY_CONSOLIDATED=Y","Sort=A","Dates=H","DateFormat=P","Fill=—","Direction=H","UseDPDF=Y")</f>
        <v>#NAME?</v>
      </c>
      <c r="AT647" s="2" t="e">
        <f ca="1">_xll.BDH($C$628,"INVENTORY_5_YEAR_GROWTH","FQ4 2017","FQ4 2017","Currency=INR","Period=FQ","BEST_FPERIOD_OVERRIDE=FQ","FILING_STATUS=OR","EQY_CONSOLIDATED=Y","Sort=A","Dates=H","DateFormat=P","Fill=—","Direction=H","UseDPDF=Y")</f>
        <v>#NAME?</v>
      </c>
      <c r="AU647" s="2" t="e">
        <f ca="1">_xll.BDH($C$628,"NET_FIXED_ASSETS_5_YEAR_GROWTH","FQ4 2017","FQ4 2017","Currency=INR","Period=FQ","BEST_FPERIOD_OVERRIDE=FQ","FILING_STATUS=OR","EQY_CONSOLIDATED=Y","Sort=A","Dates=H","DateFormat=P","Fill=—","Direction=H","UseDPDF=Y")</f>
        <v>#NAME?</v>
      </c>
      <c r="AV647" s="2" t="e">
        <f ca="1">_xll.BDH($C$628,"GEO_GROW_TOT_ASSET","FQ4 2017","FQ4 2017","Currency=INR","Period=FQ","BEST_FPERIOD_OVERRIDE=FQ","FILING_STATUS=OR","EQY_CONSOLIDATED=Y","Sort=A","Dates=H","DateFormat=P","Fill=—","Direction=H","UseDPDF=Y")</f>
        <v>#NAME?</v>
      </c>
      <c r="AW647" s="2" t="e">
        <f ca="1">_xll.BDH($C$628,"MODIFIED_WORKING_CPTL_5YR_GRWTH","FQ4 2017","FQ4 2017","Currency=INR","Period=FQ","BEST_FPERIOD_OVERRIDE=FQ","FILING_STATUS=OR","EQY_CONSOLIDATED=Y","Sort=A","Dates=H","DateFormat=P","Fill=—","Direction=H","UseDPDF=Y")</f>
        <v>#NAME?</v>
      </c>
      <c r="AX647" s="2" t="e">
        <f ca="1">_xll.BDH($C$628,"WORKING_CAPITAL_5_YEAR_GROWTH","FQ4 2017","FQ4 2017","Currency=INR","Period=FQ","BEST_FPERIOD_OVERRIDE=FQ","FILING_STATUS=OR","EQY_CONSOLIDATED=Y","Sort=A","Dates=H","DateFormat=P","Fill=—","Direction=H","UseDPDF=Y")</f>
        <v>#NAME?</v>
      </c>
      <c r="AY647" s="2" t="e">
        <f ca="1">_xll.BDH($C$628,"ACCOUNTS_PAYABLE_5_YEAR_GROWTH","FQ4 2017","FQ4 2017","Currency=INR","Period=FQ","BEST_FPERIOD_OVERRIDE=FQ","FILING_STATUS=OR","EQY_CONSOLIDATED=Y","Sort=A","Dates=H","DateFormat=P","Fill=—","Direction=H","UseDPDF=Y")</f>
        <v>#NAME?</v>
      </c>
      <c r="AZ647" s="2" t="e">
        <f ca="1">_xll.BDH($C$628,"SHORT_TERM_DEBT_5_YEAR_GROWTH","FQ4 2017","FQ4 2017","Currency=INR","Period=FQ","BEST_FPERIOD_OVERRIDE=FQ","FILING_STATUS=OR","EQY_CONSOLIDATED=Y","Sort=A","Dates=H","DateFormat=P","Fill=—","Direction=H","UseDPDF=Y")</f>
        <v>#NAME?</v>
      </c>
      <c r="BA647" s="2" t="e">
        <f ca="1">_xll.BDH($C$628,"TOTAL_DEBT_5_YEAR_GROWTH","FQ4 2017","FQ4 2017","Currency=INR","Period=FQ","BEST_FPERIOD_OVERRIDE=FQ","FILING_STATUS=OR","EQY_CONSOLIDATED=Y","Sort=A","Dates=H","DateFormat=P","Fill=—","Direction=H","UseDPDF=Y")</f>
        <v>#NAME?</v>
      </c>
      <c r="BB647" s="2" t="e">
        <f ca="1">_xll.BDH($C$628,"GEO_GROW_TOT_SHRHLDR_EQY","FQ4 2017","FQ4 2017","Currency=INR","Period=FQ","BEST_FPERIOD_OVERRIDE=FQ","FILING_STATUS=OR","EQY_CONSOLIDATED=Y","Sort=A","Dates=H","DateFormat=P","Fill=—","Direction=H","UseDPDF=Y")</f>
        <v>#NAME?</v>
      </c>
      <c r="BC647" s="2" t="e">
        <f ca="1">_xll.BDH($C$628,"TOTAL_CAPITAL_5_YEAR_GROWTH","FQ4 2017","FQ4 2017","Currency=INR","Period=FQ","BEST_FPERIOD_OVERRIDE=FQ","FILING_STATUS=OR","EQY_CONSOLIDATED=Y","Sort=A","Dates=H","DateFormat=P","Fill=—","Direction=H","UseDPDF=Y")</f>
        <v>#NAME?</v>
      </c>
      <c r="BD647" s="2" t="e">
        <f ca="1">_xll.BDH($C$628,"GEO_GROW_BOOK_VAL","FQ4 2017","FQ4 2017","Currency=INR","Period=FQ","BEST_FPERIOD_OVERRIDE=FQ","FILING_STATUS=OR","EQY_CONSOLIDATED=Y","Sort=A","Dates=H","DateFormat=P","Fill=—","Direction=H","UseDPDF=Y")</f>
        <v>#NAME?</v>
      </c>
      <c r="BE647" s="2" t="e">
        <f ca="1">_xll.BDH($C$628,"GEO_GROW_CASH_OPER_ACT","FQ4 2017","FQ4 2017","Currency=INR","Period=FQ","BEST_FPERIOD_OVERRIDE=FQ","FILING_STATUS=OR","EQY_CONSOLIDATED=Y","Sort=A","Dates=H","DateFormat=P","Fill=—","Direction=H","UseDPDF=Y")</f>
        <v>#NAME?</v>
      </c>
      <c r="BF647" s="2" t="e">
        <f ca="1">_xll.BDH($C$628,"REVENUE_SEQUENTIAL_GROWTH","FQ4 2017","FQ4 2017","Currency=INR","Period=FQ","BEST_FPERIOD_OVERRIDE=FQ","FILING_STATUS=OR","EQY_CONSOLIDATED=Y","FA_ADJUSTED=GAAP","Sort=A","Dates=H","DateFormat=P","Fill=—","Direction=H","UseDPDF=Y")</f>
        <v>#NAME?</v>
      </c>
      <c r="BG647" s="2" t="e">
        <f ca="1">_xll.BDH($C$628,"EBITDA_SEQUENTIAL_GROWTH","FQ4 2017","FQ4 2017","Currency=INR","Period=FQ","BEST_FPERIOD_OVERRIDE=FQ","FILING_STATUS=OR","EQY_CONSOLIDATED=Y","FA_ADJUSTED=GAAP","Sort=A","Dates=H","DateFormat=P","Fill=—","Direction=H","UseDPDF=Y")</f>
        <v>#NAME?</v>
      </c>
      <c r="BH647" s="2" t="e">
        <f ca="1">_xll.BDH($C$628,"OPERATING_INCOME_SEQ_GROWTH","FQ4 2017","FQ4 2017","Currency=INR","Period=FQ","BEST_FPERIOD_OVERRIDE=FQ","FILING_STATUS=OR","EQY_CONSOLIDATED=Y","FA_ADJUSTED=GAAP","Sort=A","Dates=H","DateFormat=P","Fill=—","Direction=H","UseDPDF=Y")</f>
        <v>#NAME?</v>
      </c>
      <c r="BI647" s="2" t="e">
        <f ca="1">_xll.BDH($C$628,"NET_INCOME_TO_COMMON_SEQ_GROWTH","FQ4 2017","FQ4 2017","Currency=INR","Period=FQ","BEST_FPERIOD_OVERRIDE=FQ","FILING_STATUS=OR","EQY_CONSOLIDATED=Y","FA_ADJUSTED=GAAP","Sort=A","Dates=H","DateFormat=P","Fill=—","Direction=H","UseDPDF=Y")</f>
        <v>#NAME?</v>
      </c>
      <c r="BJ647" s="2" t="e">
        <f ca="1">_xll.BDH($C$628,"EPS_DILUTED_SEQUENTIAL_GROWTH","FQ4 2017","FQ4 2017","Currency=INR","Period=FQ","BEST_FPERIOD_OVERRIDE=FQ","FILING_STATUS=OR","EQY_CONSOLIDATED=Y","FA_ADJUSTED=GAAP","Sort=A","Dates=H","DateFormat=P","Fill=—","Direction=H","UseDPDF=Y")</f>
        <v>#NAME?</v>
      </c>
      <c r="BK647" s="2" t="e">
        <f ca="1">_xll.BDH($C$628,"DPS_SEQUENTIAL_GROWTH","FQ4 2017","FQ4 2017","Currency=INR","Period=FQ","BEST_FPERIOD_OVERRIDE=FQ","FILING_STATUS=OR","EQY_CONSOLIDATED=Y","Sort=A","Dates=H","DateFormat=P","Fill=—","Direction=H","UseDPDF=Y")</f>
        <v>#NAME?</v>
      </c>
      <c r="BL647" s="2" t="e">
        <f ca="1">_xll.BDH($C$628,"ACCOUNTS_RECEIVABLE_SEQ_GROWTH","FQ4 2017","FQ4 2017","Currency=INR","Period=FQ","BEST_FPERIOD_OVERRIDE=FQ","FILING_STATUS=OR","EQY_CONSOLIDATED=Y","Sort=A","Dates=H","DateFormat=P","Fill=—","Direction=H","UseDPDF=Y")</f>
        <v>#NAME?</v>
      </c>
      <c r="BM647" s="2" t="e">
        <f ca="1">_xll.BDH($C$628,"INVENTORY_SEQUENTIAL_GROWTH","FQ4 2017","FQ4 2017","Currency=INR","Period=FQ","BEST_FPERIOD_OVERRIDE=FQ","FILING_STATUS=OR","EQY_CONSOLIDATED=Y","Sort=A","Dates=H","DateFormat=P","Fill=—","Direction=H","UseDPDF=Y")</f>
        <v>#NAME?</v>
      </c>
      <c r="BN647" s="2" t="e">
        <f ca="1">_xll.BDH($C$628,"FIXED_ASSETS_SEQUENTIAL_GROWTH","FQ4 2017","FQ4 2017","Currency=INR","Period=FQ","BEST_FPERIOD_OVERRIDE=FQ","FILING_STATUS=OR","EQY_CONSOLIDATED=Y","Sort=A","Dates=H","DateFormat=P","Fill=—","Direction=H","UseDPDF=Y")</f>
        <v>#NAME?</v>
      </c>
      <c r="BO647" s="2" t="e">
        <f ca="1">_xll.BDH($C$628,"TOTAL_ASSETS_SEQUENTIAL_GROWTH","FQ4 2017","FQ4 2017","Currency=INR","Period=FQ","BEST_FPERIOD_OVERRIDE=FQ","FILING_STATUS=OR","EQY_CONSOLIDATED=Y","Sort=A","Dates=H","DateFormat=P","Fill=—","Direction=H","UseDPDF=Y")</f>
        <v>#NAME?</v>
      </c>
      <c r="BP647" s="2" t="e">
        <f ca="1">_xll.BDH($C$628,"MODIFIED_WORKING_CPTL_SEQ_GRWTH","FQ4 2017","FQ4 2017","Currency=INR","Period=FQ","BEST_FPERIOD_OVERRIDE=FQ","FILING_STATUS=OR","EQY_CONSOLIDATED=Y","Sort=A","Dates=H","DateFormat=P","Fill=—","Direction=H","UseDPDF=Y")</f>
        <v>#NAME?</v>
      </c>
      <c r="BQ647" s="2" t="e">
        <f ca="1">_xll.BDH($C$628,"WORKING_CAPITAL_SEQ_GROWTH","FQ4 2017","FQ4 2017","Currency=INR","Period=FQ","BEST_FPERIOD_OVERRIDE=FQ","FILING_STATUS=OR","EQY_CONSOLIDATED=Y","Sort=A","Dates=H","DateFormat=P","Fill=—","Direction=H","UseDPDF=Y")</f>
        <v>#NAME?</v>
      </c>
      <c r="BR647" s="2" t="e">
        <f ca="1">_xll.BDH($C$628,"ACCOUNTS_PAYABLE_SEQ_GROWTH","FQ4 2017","FQ4 2017","Currency=INR","Period=FQ","BEST_FPERIOD_OVERRIDE=FQ","FILING_STATUS=OR","EQY_CONSOLIDATED=Y","Sort=A","Dates=H","DateFormat=P","Fill=—","Direction=H","UseDPDF=Y")</f>
        <v>#NAME?</v>
      </c>
      <c r="BS647" s="2" t="e">
        <f ca="1">_xll.BDH($C$628,"ST_DEBT_SEQUENTIAL_GROWTH","FQ4 2017","FQ4 2017","Currency=INR","Period=FQ","BEST_FPERIOD_OVERRIDE=FQ","FILING_STATUS=OR","EQY_CONSOLIDATED=Y","Sort=A","Dates=H","DateFormat=P","Fill=—","Direction=H","UseDPDF=Y")</f>
        <v>#NAME?</v>
      </c>
      <c r="BT647" s="2" t="e">
        <f ca="1">_xll.BDH($C$628,"TOTAL_DEBT_SEQUENTIAL_GROWTH","FQ4 2017","FQ4 2017","Currency=INR","Period=FQ","BEST_FPERIOD_OVERRIDE=FQ","FILING_STATUS=OR","EQY_CONSOLIDATED=Y","Sort=A","Dates=H","DateFormat=P","Fill=—","Direction=H","UseDPDF=Y")</f>
        <v>#NAME?</v>
      </c>
      <c r="BU647" s="2" t="e">
        <f ca="1">_xll.BDH($C$628,"TOTAL_EQUITY_SEQUENTIAL_GROWTH","FQ4 2017","FQ4 2017","Currency=INR","Period=FQ","BEST_FPERIOD_OVERRIDE=FQ","FILING_STATUS=OR","EQY_CONSOLIDATED=Y","Sort=A","Dates=H","DateFormat=P","Fill=—","Direction=H","UseDPDF=Y")</f>
        <v>#NAME?</v>
      </c>
      <c r="BV647" s="2" t="e">
        <f ca="1">_xll.BDH($C$628,"TOTAL_CAPITAL_SEQUENTIAL_GROWTH","FQ4 2017","FQ4 2017","Currency=INR","Period=FQ","BEST_FPERIOD_OVERRIDE=FQ","FILING_STATUS=OR","EQY_CONSOLIDATED=Y","Sort=A","Dates=H","DateFormat=P","Fill=—","Direction=H","UseDPDF=Y")</f>
        <v>#NAME?</v>
      </c>
      <c r="BW647" s="2" t="e">
        <f ca="1">_xll.BDH($C$628,"BPS_SEQUENTIAL_GROWTH","FQ4 2017","FQ4 2017","Currency=INR","Period=FQ","BEST_FPERIOD_OVERRIDE=FQ","FILING_STATUS=OR","EQY_CONSOLIDATED=Y","Sort=A","Dates=H","DateFormat=P","Fill=—","Direction=H","UseDPDF=Y")</f>
        <v>#NAME?</v>
      </c>
      <c r="BX647" s="2" t="e">
        <f ca="1">_xll.BDH($C$628,"CFO_SEQUENTIAL_GROWTH","FQ4 2017","FQ4 2017","Currency=INR","Period=FQ","BEST_FPERIOD_OVERRIDE=FQ","FILING_STATUS=OR","EQY_CONSOLIDATED=Y","Sort=A","Dates=H","DateFormat=P","Fill=—","Direction=H","UseDPDF=Y")</f>
        <v>#NAME?</v>
      </c>
      <c r="BY647" s="3" t="e">
        <f ca="1">_xll.BDH($C$628,"SHORT_AND_LONG_TERM_DEBT","FQ4 2017","FQ4 2017","Currency=INR","Period=FQ","BEST_FPERIOD_OVERRIDE=FQ","FILING_STATUS=OR","EQY_CONSOLIDATED=Y","SCALING_FORMAT=MLN","Sort=A","Dates=H","DateFormat=P","Fill=—","Direction=H","UseDPDF=Y")</f>
        <v>#NAME?</v>
      </c>
      <c r="BZ647" s="3" t="e">
        <f ca="1">_xll.BDH($C$628,"BS_ST_BORROW","FQ4 2017","FQ4 2017","Currency=INR","Period=FQ","BEST_FPERIOD_OVERRIDE=FQ","FILING_STATUS=OR","EQY_CONSOLIDATED=Y","SCALING_FORMAT=MLN","Sort=A","Dates=H","DateFormat=P","Fill=—","Direction=H","UseDPDF=Y")</f>
        <v>#NAME?</v>
      </c>
      <c r="CA647" s="3" t="e">
        <f ca="1">_xll.BDH($C$628,"BS_LT_BORROW","FQ4 2017","FQ4 2017","Currency=INR","Period=FQ","BEST_FPERIOD_OVERRIDE=FQ","FILING_STATUS=OR","EQY_CONSOLIDATED=Y","SCALING_FORMAT=MLN","Sort=A","Dates=H","DateFormat=P","Fill=—","Direction=H","UseDPDF=Y")</f>
        <v>#NAME?</v>
      </c>
      <c r="CB647" s="2" t="e">
        <f ca="1">_xll.BDH($C$628,"TOT_DEBT_TO_EBITDA","FQ4 2017","FQ4 2017","Currency=INR","Period=FQ","BEST_FPERIOD_OVERRIDE=FQ","FILING_STATUS=OR","EQY_CONSOLIDATED=Y","FA_ADJUSTED=GAAP","Sort=A","Dates=H","DateFormat=P","Fill=—","Direction=H","UseDPDF=Y")</f>
        <v>#NAME?</v>
      </c>
      <c r="CC647" s="2" t="e">
        <f ca="1">_xll.BDH($C$628,"NET_DEBT_TO_EBITDA","FQ4 2017","FQ4 2017","Currency=INR","Period=FQ","BEST_FPERIOD_OVERRIDE=FQ","FILING_STATUS=OR","EQY_CONSOLIDATED=Y","FA_ADJUSTED=GAAP","Sort=A","Dates=H","DateFormat=P","Fill=—","Direction=H","UseDPDF=Y")</f>
        <v>#NAME?</v>
      </c>
      <c r="CD647" s="2" t="e">
        <f ca="1">_xll.BDH($C$628,"TOTAL_DEBT_TO_EBIT","FQ4 2017","FQ4 2017","Currency=INR","Period=FQ","BEST_FPERIOD_OVERRIDE=FQ","FILING_STATUS=OR","EQY_CONSOLIDATED=Y","FA_ADJUSTED=GAAP","Sort=A","Dates=H","DateFormat=P","Fill=—","Direction=H","UseDPDF=Y")</f>
        <v>#NAME?</v>
      </c>
      <c r="CE647" s="2" t="e">
        <f ca="1">_xll.BDH($C$628,"NET_DEBT_TO_EBIT","FQ4 2017","FQ4 2017","Currency=INR","Period=FQ","BEST_FPERIOD_OVERRIDE=FQ","FILING_STATUS=OR","EQY_CONSOLIDATED=Y","FA_ADJUSTED=GAAP","Sort=A","Dates=H","DateFormat=P","Fill=—","Direction=H","UseDPDF=Y")</f>
        <v>#NAME?</v>
      </c>
      <c r="CF647" s="2" t="e">
        <f ca="1">_xll.BDH($C$628,"EBITDA_TO_INTEREST_EXPN","FQ4 2017","FQ4 2017","Currency=INR","Period=FQ","BEST_FPERIOD_OVERRIDE=FQ","FILING_STATUS=OR","EQY_CONSOLIDATED=Y","FA_ADJUSTED=GAAP","Sort=A","Dates=H","DateFormat=P","Fill=—","Direction=H","UseDPDF=Y")</f>
        <v>#NAME?</v>
      </c>
      <c r="CG647" s="2" t="e">
        <f ca="1">_xll.BDH($C$628,"COM_EQY_TO_TOT_ASSET","FQ4 2017","FQ4 2017","Currency=INR","Period=FQ","BEST_FPERIOD_OVERRIDE=FQ","FILING_STATUS=OR","EQY_CONSOLIDATED=Y","Sort=A","Dates=H","DateFormat=P","Fill=—","Direction=H","UseDPDF=Y")</f>
        <v>#NAME?</v>
      </c>
      <c r="CH647" s="2" t="e">
        <f ca="1">_xll.BDH($C$628,"LT_DEBT_TO_TOT_EQY","FQ4 2017","FQ4 2017","Currency=INR","Period=FQ","BEST_FPERIOD_OVERRIDE=FQ","FILING_STATUS=OR","EQY_CONSOLIDATED=Y","Sort=A","Dates=H","DateFormat=P","Fill=—","Direction=H","UseDPDF=Y")</f>
        <v>#NAME?</v>
      </c>
      <c r="CI647" s="2" t="e">
        <f ca="1">_xll.BDH($C$628,"LT_DEBT_TO_TOT_CAP","FQ4 2017","FQ4 2017","Currency=INR","Period=FQ","BEST_FPERIOD_OVERRIDE=FQ","FILING_STATUS=OR","EQY_CONSOLIDATED=Y","Sort=A","Dates=H","DateFormat=P","Fill=—","Direction=H","UseDPDF=Y")</f>
        <v>#NAME?</v>
      </c>
      <c r="CJ647" s="2" t="e">
        <f ca="1">_xll.BDH($C$628,"LT_DEBT_TO_TOT_ASSET","FQ4 2017","FQ4 2017","Currency=INR","Period=FQ","BEST_FPERIOD_OVERRIDE=FQ","FILING_STATUS=OR","EQY_CONSOLIDATED=Y","Sort=A","Dates=H","DateFormat=P","Fill=—","Direction=H","UseDPDF=Y")</f>
        <v>#NAME?</v>
      </c>
      <c r="CK647" s="2" t="e">
        <f ca="1">_xll.BDH($C$628,"TOT_DEBT_TO_TOT_EQY","FQ4 2017","FQ4 2017","Currency=INR","Period=FQ","BEST_FPERIOD_OVERRIDE=FQ","FILING_STATUS=OR","EQY_CONSOLIDATED=Y","Sort=A","Dates=H","DateFormat=P","Fill=—","Direction=H","UseDPDF=Y")</f>
        <v>#NAME?</v>
      </c>
      <c r="CL647" s="2" t="e">
        <f ca="1">_xll.BDH($C$628,"TOT_DEBT_TO_TOT_CAP","FQ4 2017","FQ4 2017","Currency=INR","Period=FQ","BEST_FPERIOD_OVERRIDE=FQ","FILING_STATUS=OR","EQY_CONSOLIDATED=Y","Sort=A","Dates=H","DateFormat=P","Fill=—","Direction=H","UseDPDF=Y")</f>
        <v>#NAME?</v>
      </c>
      <c r="CM647" s="2" t="e">
        <f ca="1">_xll.BDH($C$628,"TOT_DEBT_TO_TOT_ASSET","FQ4 2017","FQ4 2017","Currency=INR","Period=FQ","BEST_FPERIOD_OVERRIDE=FQ","FILING_STATUS=OR","EQY_CONSOLIDATED=Y","Sort=A","Dates=H","DateFormat=P","Fill=—","Direction=H","UseDPDF=Y")</f>
        <v>#NAME?</v>
      </c>
      <c r="CN647" s="2" t="e">
        <f ca="1">_xll.BDH($C$628,"NET_DEBT_TO_SHRHLDR_EQTY","FQ4 2017","FQ4 2017","Currency=INR","Period=FQ","BEST_FPERIOD_OVERRIDE=FQ","FILING_STATUS=OR","EQY_CONSOLIDATED=Y","Sort=A","Dates=H","DateFormat=P","Fill=—","Direction=H","UseDPDF=Y")</f>
        <v>#NAME?</v>
      </c>
      <c r="CO647" s="2" t="e">
        <f ca="1">_xll.BDH($C$628,"NET_DEBT_%_CAPITAL","FQ4 2017","FQ4 2017","Currency=INR","Period=FQ","BEST_FPERIOD_OVERRIDE=FQ","FILING_STATUS=OR","EQY_CONSOLIDATED=Y","Sort=A","Dates=H","DateFormat=P","Fill=—","Direction=H","UseDPDF=Y")</f>
        <v>#NAME?</v>
      </c>
      <c r="CP647" s="3" t="e">
        <f ca="1">_xll.BDH($C$628,"EBITDA","FQ4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Q647" s="3" t="e">
        <f ca="1">_xll.BDH($C$628,"EBITDA_AFTER_CAPEX","FQ4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R647" s="3" t="e">
        <f ca="1">_xll.BDH($C$628,"IS_OPER_INC","FQ4 2017","FQ4 2017","Currency=INR","Period=FQ","BEST_FPERIOD_OVERRIDE=FQ","FILING_STATUS=OR","EQY_CONSOLIDATED=Y","SCALING_FORMAT=MLN","FA_ADJUSTED=GAAP","Sort=A","Dates=H","DateFormat=P","Fill=—","Direction=H","UseDPDF=Y")</f>
        <v>#NAME?</v>
      </c>
      <c r="CS647" s="2" t="e">
        <f ca="1">_xll.BDH($C$628,"CASH_RATIO","FQ4 2017","FQ4 2017","Currency=INR","Period=FQ","BEST_FPERIOD_OVERRIDE=FQ","FILING_STATUS=OR","EQY_CONSOLIDATED=Y","Sort=A","Dates=H","DateFormat=P","Fill=—","Direction=H","UseDPDF=Y")</f>
        <v>#NAME?</v>
      </c>
      <c r="CT647" s="2" t="e">
        <f ca="1">_xll.BDH($C$628,"CUR_RATIO","FQ4 2017","FQ4 2017","Currency=INR","Period=FQ","BEST_FPERIOD_OVERRIDE=FQ","FILING_STATUS=OR","EQY_CONSOLIDATED=Y","Sort=A","Dates=H","DateFormat=P","Fill=—","Direction=H","UseDPDF=Y")</f>
        <v>#NAME?</v>
      </c>
      <c r="CU647" s="2" t="e">
        <f ca="1">_xll.BDH($C$628,"QUICK_RATIO","FQ4 2017","FQ4 2017","Currency=INR","Period=FQ","BEST_FPERIOD_OVERRIDE=FQ","FILING_STATUS=OR","EQY_CONSOLIDATED=Y","Sort=A","Dates=H","DateFormat=P","Fill=—","Direction=H","UseDPDF=Y")</f>
        <v>#NAME?</v>
      </c>
      <c r="CV647" s="2" t="e">
        <f ca="1">_xll.BDH($C$628,"ALTMAN_Z_SCORE","FQ4 2017","FQ4 2017","Currency=INR","Period=FQ","BEST_FPERIOD_OVERRIDE=FQ","FILING_STATUS=OR","EQY_CONSOLIDATED=Y","Sort=A","Dates=H","DateFormat=P","Fill=—","Direction=H","UseDPDF=Y")</f>
        <v>#NAME?</v>
      </c>
      <c r="CW647" s="4" t="e">
        <f ca="1">_xll.BDH($C$628,"ACCT_RCV_TURN","FQ4 2017","FQ4 2017","Currency=INR","Period=FQ","BEST_FPERIOD_OVERRIDE=FQ","FILING_STATUS=OR","EQY_CONSOLIDATED=Y","FA_ADJUSTED=GAAP","Sort=A","Dates=H","DateFormat=P","Fill=—","Direction=H","UseDPDF=Y")</f>
        <v>#NAME?</v>
      </c>
      <c r="CX647" s="2" t="e">
        <f ca="1">_xll.BDH($C$628,"ACCT_RCV_DAYS","FQ4 2017","FQ4 2017","Currency=INR","Period=FQ","BEST_FPERIOD_OVERRIDE=FQ","FILING_STATUS=OR","EQY_CONSOLIDATED=Y","FA_ADJUSTED=GAAP","Sort=A","Dates=H","DateFormat=P","Fill=—","Direction=H","UseDPDF=Y")</f>
        <v>#NAME?</v>
      </c>
      <c r="CY647" s="4" t="e">
        <f ca="1">_xll.BDH($C$628,"INVENT_TURN","FQ4 2017","FQ4 2017","Currency=INR","Period=FQ","BEST_FPERIOD_OVERRIDE=FQ","FILING_STATUS=OR","EQY_CONSOLIDATED=Y","FA_ADJUSTED=GAAP","Sort=A","Dates=H","DateFormat=P","Fill=—","Direction=H","UseDPDF=Y")</f>
        <v>#NAME?</v>
      </c>
      <c r="CZ647" s="2" t="e">
        <f ca="1">_xll.BDH($C$628,"INVENT_DAYS","FQ4 2017","FQ4 2017","Currency=INR","Period=FQ","BEST_FPERIOD_OVERRIDE=FQ","FILING_STATUS=OR","EQY_CONSOLIDATED=Y","FA_ADJUSTED=GAAP","Sort=A","Dates=H","DateFormat=P","Fill=—","Direction=H","UseDPDF=Y")</f>
        <v>#NAME?</v>
      </c>
      <c r="DA647" s="4" t="e">
        <f ca="1">_xll.BDH($C$628,"ACCOUNTS_PAYABLE_TURNOVER","FQ4 2017","FQ4 2017","Currency=INR","Period=FQ","BEST_FPERIOD_OVERRIDE=FQ","FILING_STATUS=OR","EQY_CONSOLIDATED=Y","FA_ADJUSTED=GAAP","Sort=A","Dates=H","DateFormat=P","Fill=—","Direction=H","UseDPDF=Y")</f>
        <v>#NAME?</v>
      </c>
      <c r="DB647" s="2" t="e">
        <f ca="1">_xll.BDH($C$628,"ACCOUNTS_PAYABLE_TURNOVER_DAYS","FQ4 2017","FQ4 2017","Currency=INR","Period=FQ","BEST_FPERIOD_OVERRIDE=FQ","FILING_STATUS=OR","EQY_CONSOLIDATED=Y","FA_ADJUSTED=GAAP","Sort=A","Dates=H","DateFormat=P","Fill=—","Direction=H","UseDPDF=Y")</f>
        <v>#NAME?</v>
      </c>
      <c r="DC647" s="4" t="e">
        <f ca="1">_xll.BDH($C$628,"CASH_CONVERSION_CYCLE","FQ4 2017","FQ4 2017","Currency=INR","Period=FQ","BEST_FPERIOD_OVERRIDE=FQ","FILING_STATUS=OR","EQY_CONSOLIDATED=Y","FA_ADJUSTED=GAAP","Sort=A","Dates=H","DateFormat=P","Fill=—","Direction=H","UseDPDF=Y")</f>
        <v>#NAME?</v>
      </c>
      <c r="DD647" s="4" t="e">
        <f ca="1">_xll.BDH($C$628,"INV_TO_CASH_DAYS","FQ4 2017","FQ4 2017","Currency=INR","Period=FQ","BEST_FPERIOD_OVERRIDE=FQ","FILING_STATUS=OR","EQY_CONSOLIDATED=Y","FA_ADJUSTED=GAAP","Sort=A","Dates=H","DateFormat=P","Fill=—","Direction=H","UseDPDF=Y")</f>
        <v>#NAME?</v>
      </c>
      <c r="DE647" s="5" t="e">
        <f ca="1">_xll.BDH($C$628,"BS_INVENTORIES","FQ4 2017","FQ4 2017","Currency=INR","Period=FQ","BEST_FPERIOD_OVERRIDE=FQ","FILING_STATUS=OR","EQY_CONSOLIDATED=Y","SCALING_FORMAT=MLN","Sort=A","Dates=H","DateFormat=P","Fill=—","Direction=H","UseDPDF=Y")</f>
        <v>#NAME?</v>
      </c>
      <c r="DF647" s="3" t="e">
        <f ca="1">_xll.BDH($C$628,"INVTRY_RAW_MATERIALS","FQ4 2017","FQ4 2017","Currency=INR","Period=FQ","BEST_FPERIOD_OVERRIDE=FQ","FILING_STATUS=OR","EQY_CONSOLIDATED=Y","SCALING_FORMAT=MLN","Sort=A","Dates=H","DateFormat=P","Fill=—","Direction=H","UseDPDF=Y")</f>
        <v>#NAME?</v>
      </c>
      <c r="DG647" s="3" t="e">
        <f ca="1">_xll.BDH($C$628,"INVTRY_IN_PROGRESS","FQ4 2017","FQ4 2017","Currency=INR","Period=FQ","BEST_FPERIOD_OVERRIDE=FQ","FILING_STATUS=OR","EQY_CONSOLIDATED=Y","SCALING_FORMAT=MLN","Sort=A","Dates=H","DateFormat=P","Fill=—","Direction=H","UseDPDF=Y")</f>
        <v>#NAME?</v>
      </c>
      <c r="DH647" s="3" t="e">
        <f ca="1">_xll.BDH($C$628,"INVTRY_FINISHED_GOODS","FQ4 2017","FQ4 2017","Currency=INR","Period=FQ","BEST_FPERIOD_OVERRIDE=FQ","FILING_STATUS=OR","EQY_CONSOLIDATED=Y","SCALING_FORMAT=MLN","Sort=A","Dates=H","DateFormat=P","Fill=—","Direction=H","UseDPDF=Y")</f>
        <v>#NAME?</v>
      </c>
      <c r="DI647" s="3" t="e">
        <f ca="1">_xll.BDH($C$628,"BS_OTHER_INV","FQ4 2017","FQ4 2017","Currency=INR","Period=FQ","BEST_FPERIOD_OVERRIDE=FQ","FILING_STATUS=OR","EQY_CONSOLIDATED=Y","SCALING_FORMAT=MLN","Sort=A","Dates=H","DateFormat=P","Fill=—","Direction=H","UseDPDF=Y")</f>
        <v>#NAME?</v>
      </c>
    </row>
    <row r="648" spans="1:113" x14ac:dyDescent="0.3">
      <c r="A648" s="6"/>
      <c r="B648" s="6"/>
      <c r="C648" s="6"/>
      <c r="D648" s="6" t="s">
        <v>85</v>
      </c>
      <c r="E648" t="s">
        <v>77</v>
      </c>
      <c r="F648" t="e">
        <f ca="1">_xll.BDH($C$628,"RETURN_COM_EQY","FY 2018","FY 2018","Currency=INR","Period=FY","BEST_FPERIOD_OVERRIDE=FY","FILING_STATUS=OR","EQY_CONSOLIDATED=Y","FA_ADJUSTED=GAAP","Sort=A","Dates=H","DateFormat=P","Fill=—","Direction=H","UseDPDF=Y")</f>
        <v>#NAME?</v>
      </c>
      <c r="G648" t="e">
        <f ca="1">_xll.BDH($C$628,"RETURN_ON_ASSET","FY 2018","FY 2018","Currency=INR","Period=FY","BEST_FPERIOD_OVERRIDE=FY","FILING_STATUS=OR","EQY_CONSOLIDATED=Y","FA_ADJUSTED=GAAP","Sort=A","Dates=H","DateFormat=P","Fill=—","Direction=H","UseDPDF=Y")</f>
        <v>#NAME?</v>
      </c>
      <c r="H648" t="e">
        <f ca="1">_xll.BDH($C$628,"RETURN_ON_CAP","FY 2018","FY 2018","Currency=INR","Period=FY","BEST_FPERIOD_OVERRIDE=FY","FILING_STATUS=OR","EQY_CONSOLIDATED=Y","FA_ADJUSTED=GAAP","Sort=A","Dates=H","DateFormat=P","Fill=—","Direction=H","UseDPDF=Y")</f>
        <v>#NAME?</v>
      </c>
      <c r="I648" t="e">
        <f ca="1">_xll.BDH($C$628,"RETURN_ON_INV_CAPITAL","FY 2018","FY 2018","Currency=INR","Period=FY","BEST_FPERIOD_OVERRIDE=FY","FILING_STATUS=OR","EQY_CONSOLIDATED=Y","FA_ADJUSTED=GAAP","Sort=A","Dates=H","DateFormat=P","Fill=—","Direction=H","UseDPDF=Y")</f>
        <v>#NAME?</v>
      </c>
      <c r="J648" t="e">
        <f ca="1">_xll.BDH($C$628,"EBITDA_TO_REVENUE","FY 2018","FY 2018","Currency=INR","Period=FY","BEST_FPERIOD_OVERRIDE=FY","FILING_STATUS=OR","EQY_CONSOLIDATED=Y","FA_ADJUSTED=GAAP","Sort=A","Dates=H","DateFormat=P","Fill=—","Direction=H","UseDPDF=Y")</f>
        <v>#NAME?</v>
      </c>
      <c r="K648" t="e">
        <f ca="1">_xll.BDH($C$628,"OPER_MARGIN","FY 2018","FY 2018","Currency=INR","Period=FY","BEST_FPERIOD_OVERRIDE=FY","FILING_STATUS=OR","EQY_CONSOLIDATED=Y","FA_ADJUSTED=GAAP","Sort=A","Dates=H","DateFormat=P","Fill=—","Direction=H","UseDPDF=Y")</f>
        <v>#NAME?</v>
      </c>
      <c r="L648" t="e">
        <f ca="1">_xll.BDH($C$628,"INCREMENTAL_OPERATING_MARGIN","FY 2018","FY 2018","Currency=INR","Period=FY","BEST_FPERIOD_OVERRIDE=FY","FILING_STATUS=OR","EQY_CONSOLIDATED=Y","FA_ADJUSTED=GAAP","Sort=A","Dates=H","DateFormat=P","Fill=—","Direction=H","UseDPDF=Y")</f>
        <v>#NAME?</v>
      </c>
      <c r="M648" t="e">
        <f ca="1">_xll.BDH($C$628,"PRETAX_INC_TO_NET_SALES","FY 2018","FY 2018","Currency=INR","Period=FY","BEST_FPERIOD_OVERRIDE=FY","FILING_STATUS=OR","EQY_CONSOLIDATED=Y","FA_ADJUSTED=GAAP","Sort=A","Dates=H","DateFormat=P","Fill=—","Direction=H","UseDPDF=Y")</f>
        <v>#NAME?</v>
      </c>
      <c r="N648" t="e">
        <f ca="1">_xll.BDH($C$628,"INC_BEF_XO_ITEMS_TO_NET_SALES","FY 2018","FY 2018","Currency=INR","Period=FY","BEST_FPERIOD_OVERRIDE=FY","FILING_STATUS=OR","EQY_CONSOLIDATED=Y","FA_ADJUSTED=GAAP","Sort=A","Dates=H","DateFormat=P","Fill=—","Direction=H","UseDPDF=Y")</f>
        <v>#NAME?</v>
      </c>
      <c r="O648" t="e">
        <f ca="1">_xll.BDH($C$628,"PROF_MARGIN","FY 2018","FY 2018","Currency=INR","Period=FY","BEST_FPERIOD_OVERRIDE=FY","FILING_STATUS=OR","EQY_CONSOLIDATED=Y","FA_ADJUSTED=GAAP","Sort=A","Dates=H","DateFormat=P","Fill=—","Direction=H","UseDPDF=Y")</f>
        <v>#NAME?</v>
      </c>
      <c r="P648" t="e">
        <f ca="1">_xll.BDH($C$628,"NET_INCOME_TO_COMMON_MARGIN","FY 2018","FY 2018","Currency=INR","Period=FY","BEST_FPERIOD_OVERRIDE=FY","FILING_STATUS=OR","EQY_CONSOLIDATED=Y","FA_ADJUSTED=GAAP","Sort=A","Dates=H","DateFormat=P","Fill=—","Direction=H","UseDPDF=Y")</f>
        <v>#NAME?</v>
      </c>
      <c r="Q648" t="e">
        <f ca="1">_xll.BDH($C$628,"EFF_TAX_RATE","FY 2018","FY 2018","Currency=INR","Period=FY","BEST_FPERIOD_OVERRIDE=FY","FILING_STATUS=OR","EQY_CONSOLIDATED=Y","FA_ADJUSTED=GAAP","Sort=A","Dates=H","DateFormat=P","Fill=—","Direction=H","UseDPDF=Y")</f>
        <v>#NAME?</v>
      </c>
      <c r="R648" t="e">
        <f ca="1">_xll.BDH($C$628,"DVD_PAYOUT_RATIO","FY 2018","FY 2018","Currency=INR","Period=FY","BEST_FPERIOD_OVERRIDE=FY","FILING_STATUS=OR","EQY_CONSOLIDATED=Y","FA_ADJUSTED=GAAP","Sort=A","Dates=H","DateFormat=P","Fill=—","Direction=H","UseDPDF=Y")</f>
        <v>#NAME?</v>
      </c>
      <c r="S648" t="e">
        <f ca="1">_xll.BDH($C$628,"SUSTAIN_GROWTH_RT","FY 2018","FY 2018","Currency=INR","Period=FY","BEST_FPERIOD_OVERRIDE=FY","FILING_STATUS=OR","EQY_CONSOLIDATED=Y","FA_ADJUSTED=GAAP","Sort=A","Dates=H","DateFormat=P","Fill=—","Direction=H","UseDPDF=Y")</f>
        <v>#NAME?</v>
      </c>
      <c r="T648" s="2" t="e">
        <f ca="1">_xll.BDH($C$628,"SALES_GROWTH","FY 2018","FY 2018","Currency=INR","Period=FY","BEST_FPERIOD_OVERRIDE=FY","FILING_STATUS=OR","EQY_CONSOLIDATED=Y","FA_ADJUSTED=GAAP","Sort=A","Dates=H","DateFormat=P","Fill=—","Direction=H","UseDPDF=Y")</f>
        <v>#NAME?</v>
      </c>
      <c r="U648" s="2" t="e">
        <f ca="1">_xll.BDH($C$628,"EBITDA_GROWTH","FY 2018","FY 2018","Currency=INR","Period=FY","BEST_FPERIOD_OVERRIDE=FY","FILING_STATUS=OR","EQY_CONSOLIDATED=Y","FA_ADJUSTED=GAAP","Sort=A","Dates=H","DateFormat=P","Fill=—","Direction=H","UseDPDF=Y")</f>
        <v>#NAME?</v>
      </c>
      <c r="V648" s="2" t="e">
        <f ca="1">_xll.BDH($C$628,"OPER_INC_GROWTH","FY 2018","FY 2018","Currency=INR","Period=FY","BEST_FPERIOD_OVERRIDE=FY","FILING_STATUS=OR","EQY_CONSOLIDATED=Y","FA_ADJUSTED=GAAP","Sort=A","Dates=H","DateFormat=P","Fill=—","Direction=H","UseDPDF=Y")</f>
        <v>#NAME?</v>
      </c>
      <c r="W648" s="2" t="e">
        <f ca="1">_xll.BDH($C$628,"EARN_FOR_COM_GROWTH","FY 2018","FY 2018","Currency=INR","Period=FY","BEST_FPERIOD_OVERRIDE=FY","FILING_STATUS=OR","EQY_CONSOLIDATED=Y","FA_ADJUSTED=GAAP","Sort=A","Dates=H","DateFormat=P","Fill=—","Direction=H","UseDPDF=Y")</f>
        <v>#NAME?</v>
      </c>
      <c r="X648" s="2" t="e">
        <f ca="1">_xll.BDH($C$628,"DILUTED_EPS_AFT_XO_ITEMS_GROWTH","FY 2018","FY 2018","Currency=INR","Period=FY","BEST_FPERIOD_OVERRIDE=FY","FILING_STATUS=OR","EQY_CONSOLIDATED=Y","FA_ADJUSTED=GAAP","Sort=A","Dates=H","DateFormat=P","Fill=—","Direction=H","UseDPDF=Y")</f>
        <v>#NAME?</v>
      </c>
      <c r="Y648" s="2" t="e">
        <f ca="1">_xll.BDH($C$628,"DIVIDEND_PER_SHARE_1_YEAR_GROWTH","FY 2018","FY 2018","Currency=INR","Period=FY","BEST_FPERIOD_OVERRIDE=FY","FILING_STATUS=OR","EQY_CONSOLIDATED=Y","Sort=A","Dates=H","DateFormat=P","Fill=—","Direction=H","UseDPDF=Y")</f>
        <v>#NAME?</v>
      </c>
      <c r="Z648" s="2" t="e">
        <f ca="1">_xll.BDH($C$628,"ACCOUNTS_RECEIVABLE_GROWTH","FY 2018","FY 2018","Currency=INR","Period=FY","BEST_FPERIOD_OVERRIDE=FY","FILING_STATUS=OR","EQY_CONSOLIDATED=Y","Sort=A","Dates=H","DateFormat=P","Fill=—","Direction=H","UseDPDF=Y")</f>
        <v>#NAME?</v>
      </c>
      <c r="AA648" s="2" t="e">
        <f ca="1">_xll.BDH($C$628,"INVENTORY_GROWTH","FY 2018","FY 2018","Currency=INR","Period=FY","BEST_FPERIOD_OVERRIDE=FY","FILING_STATUS=OR","EQY_CONSOLIDATED=Y","Sort=A","Dates=H","DateFormat=P","Fill=—","Direction=H","UseDPDF=Y")</f>
        <v>#NAME?</v>
      </c>
      <c r="AB648" s="2" t="e">
        <f ca="1">_xll.BDH($C$628,"NET_FIXED_ASSETS_1_YEAR_GROWTH","FY 2018","FY 2018","Currency=INR","Period=FY","BEST_FPERIOD_OVERRIDE=FY","FILING_STATUS=OR","EQY_CONSOLIDATED=Y","Sort=A","Dates=H","DateFormat=P","Fill=—","Direction=H","UseDPDF=Y")</f>
        <v>#NAME?</v>
      </c>
      <c r="AC648" s="2" t="e">
        <f ca="1">_xll.BDH($C$628,"ASSET_GROWTH","FY 2018","FY 2018","Currency=INR","Period=FY","BEST_FPERIOD_OVERRIDE=FY","FILING_STATUS=OR","EQY_CONSOLIDATED=Y","Sort=A","Dates=H","DateFormat=P","Fill=—","Direction=H","UseDPDF=Y")</f>
        <v>#NAME?</v>
      </c>
      <c r="AD648" s="2" t="e">
        <f ca="1">_xll.BDH($C$628,"MODIFIED_WORK_CAP_GROWTH","FY 2018","FY 2018","Currency=INR","Period=FY","BEST_FPERIOD_OVERRIDE=FY","FILING_STATUS=OR","EQY_CONSOLIDATED=Y","Sort=A","Dates=H","DateFormat=P","Fill=—","Direction=H","UseDPDF=Y")</f>
        <v>#NAME?</v>
      </c>
      <c r="AE648" s="2" t="e">
        <f ca="1">_xll.BDH($C$628,"WORK_CAP_GROWTH","FY 2018","FY 2018","Currency=INR","Period=FY","BEST_FPERIOD_OVERRIDE=FY","FILING_STATUS=OR","EQY_CONSOLIDATED=Y","Sort=A","Dates=H","DateFormat=P","Fill=—","Direction=H","UseDPDF=Y")</f>
        <v>#NAME?</v>
      </c>
      <c r="AF648" s="2" t="e">
        <f ca="1">_xll.BDH($C$628,"ACCOUNTS_PAYABLE_GROWTH_1YR","FY 2018","FY 2018","Currency=INR","Period=FY","BEST_FPERIOD_OVERRIDE=FY","FILING_STATUS=OR","EQY_CONSOLIDATED=Y","Sort=A","Dates=H","DateFormat=P","Fill=—","Direction=H","UseDPDF=Y")</f>
        <v>#NAME?</v>
      </c>
      <c r="AG648" s="2" t="e">
        <f ca="1">_xll.BDH($C$628,"SHORT_TERM_DEBT_1_YEAR_GROWTH","FY 2018","FY 2018","Currency=INR","Period=FY","BEST_FPERIOD_OVERRIDE=FY","FILING_STATUS=OR","EQY_CONSOLIDATED=Y","Sort=A","Dates=H","DateFormat=P","Fill=—","Direction=H","UseDPDF=Y")</f>
        <v>#NAME?</v>
      </c>
      <c r="AH648" s="2" t="e">
        <f ca="1">_xll.BDH($C$628,"TOTAL_DEBT_1_YEAR_GROWTH","FY 2018","FY 2018","Currency=INR","Period=FY","BEST_FPERIOD_OVERRIDE=FY","FILING_STATUS=OR","EQY_CONSOLIDATED=Y","Sort=A","Dates=H","DateFormat=P","Fill=—","Direction=H","UseDPDF=Y")</f>
        <v>#NAME?</v>
      </c>
      <c r="AI648" s="2" t="e">
        <f ca="1">_xll.BDH($C$628,"TOTAL_EQUITY_1_YEAR_GROWTH","FY 2018","FY 2018","Currency=INR","Period=FY","BEST_FPERIOD_OVERRIDE=FY","FILING_STATUS=OR","EQY_CONSOLIDATED=Y","Sort=A","Dates=H","DateFormat=P","Fill=—","Direction=H","UseDPDF=Y")</f>
        <v>#NAME?</v>
      </c>
      <c r="AJ648" s="2" t="e">
        <f ca="1">_xll.BDH($C$628,"GROWTH_IN_CAP","FY 2018","FY 2018","Currency=INR","Period=FY","BEST_FPERIOD_OVERRIDE=FY","FILING_STATUS=OR","EQY_CONSOLIDATED=Y","Sort=A","Dates=H","DateFormat=P","Fill=—","Direction=H","UseDPDF=Y")</f>
        <v>#NAME?</v>
      </c>
      <c r="AK648" s="2" t="e">
        <f ca="1">_xll.BDH($C$628,"BVPS_GROWTH","FY 2018","FY 2018","Currency=INR","Period=FY","BEST_FPERIOD_OVERRIDE=FY","FILING_STATUS=OR","EQY_CONSOLIDATED=Y","Sort=A","Dates=H","DateFormat=P","Fill=—","Direction=H","UseDPDF=Y")</f>
        <v>#NAME?</v>
      </c>
      <c r="AL648" s="2" t="e">
        <f ca="1">_xll.BDH($C$628,"CASH_FLOW_GROWTH","FY 2018","FY 2018","Currency=INR","Period=FY","BEST_FPERIOD_OVERRIDE=FY","FILING_STATUS=OR","EQY_CONSOLIDATED=Y","Sort=A","Dates=H","DateFormat=P","Fill=—","Direction=H","UseDPDF=Y")</f>
        <v>#NAME?</v>
      </c>
      <c r="AM648" s="2" t="e">
        <f ca="1">_xll.BDH($C$628,"GEO_GROW_NET_SALES","FY 2018","FY 2018","Currency=INR","Period=FY","BEST_FPERIOD_OVERRIDE=FY","FILING_STATUS=OR","EQY_CONSOLIDATED=Y","FA_ADJUSTED=GAAP","Sort=A","Dates=H","DateFormat=P","Fill=—","Direction=H","UseDPDF=Y")</f>
        <v>#NAME?</v>
      </c>
      <c r="AN648" s="2" t="e">
        <f ca="1">_xll.BDH($C$628,"GEO_GROW_EBITDA","FY 2018","FY 2018","Currency=INR","Period=FY","BEST_FPERIOD_OVERRIDE=FY","FILING_STATUS=OR","EQY_CONSOLIDATED=Y","FA_ADJUSTED=GAAP","Sort=A","Dates=H","DateFormat=P","Fill=—","Direction=H","UseDPDF=Y")</f>
        <v>#NAME?</v>
      </c>
      <c r="AO648" s="2" t="e">
        <f ca="1">_xll.BDH($C$628,"GEO_GROW_OPER_INC","FY 2018","FY 2018","Currency=INR","Period=FY","BEST_FPERIOD_OVERRIDE=FY","FILING_STATUS=OR","EQY_CONSOLIDATED=Y","FA_ADJUSTED=GAAP","Sort=A","Dates=H","DateFormat=P","Fill=—","Direction=H","UseDPDF=Y")</f>
        <v>#NAME?</v>
      </c>
      <c r="AP648" s="2" t="e">
        <f ca="1">_xll.BDH($C$628,"NET_INCOME_TO_COMMON_5_YR_GROWTH","FY 2018","FY 2018","Currency=INR","Period=FY","BEST_FPERIOD_OVERRIDE=FY","FILING_STATUS=OR","EQY_CONSOLIDATED=Y","FA_ADJUSTED=GAAP","Sort=A","Dates=H","DateFormat=P","Fill=—","Direction=H","UseDPDF=Y")</f>
        <v>#NAME?</v>
      </c>
      <c r="AQ648" s="2" t="e">
        <f ca="1">_xll.BDH($C$628,"5Y_GEO_GROWTH_DILUTED_EPS","FY 2018","FY 2018","Currency=INR","Period=FY","BEST_FPERIOD_OVERRIDE=FY","FILING_STATUS=OR","EQY_CONSOLIDATED=Y","FA_ADJUSTED=GAAP","Sort=A","Dates=H","DateFormat=P","Fill=—","Direction=H","UseDPDF=Y")</f>
        <v>#NAME?</v>
      </c>
      <c r="AR648" s="2" t="e">
        <f ca="1">_xll.BDH($C$628,"GEO_GROW_DVD_PER_SH","FY 2018","FY 2018","Currency=INR","Period=FY","BEST_FPERIOD_OVERRIDE=FY","FILING_STATUS=OR","EQY_CONSOLIDATED=Y","Sort=A","Dates=H","DateFormat=P","Fill=—","Direction=H","UseDPDF=Y")</f>
        <v>#NAME?</v>
      </c>
      <c r="AS648" s="2" t="e">
        <f ca="1">_xll.BDH($C$628,"ACCOUNTS_RECEIVABLE_5_YR_GROWTH","FY 2018","FY 2018","Currency=INR","Period=FY","BEST_FPERIOD_OVERRIDE=FY","FILING_STATUS=OR","EQY_CONSOLIDATED=Y","Sort=A","Dates=H","DateFormat=P","Fill=—","Direction=H","UseDPDF=Y")</f>
        <v>#NAME?</v>
      </c>
      <c r="AT648" s="2" t="e">
        <f ca="1">_xll.BDH($C$628,"INVENTORY_5_YEAR_GROWTH","FY 2018","FY 2018","Currency=INR","Period=FY","BEST_FPERIOD_OVERRIDE=FY","FILING_STATUS=OR","EQY_CONSOLIDATED=Y","Sort=A","Dates=H","DateFormat=P","Fill=—","Direction=H","UseDPDF=Y")</f>
        <v>#NAME?</v>
      </c>
      <c r="AU648" s="2" t="e">
        <f ca="1">_xll.BDH($C$628,"NET_FIXED_ASSETS_5_YEAR_GROWTH","FY 2018","FY 2018","Currency=INR","Period=FY","BEST_FPERIOD_OVERRIDE=FY","FILING_STATUS=OR","EQY_CONSOLIDATED=Y","Sort=A","Dates=H","DateFormat=P","Fill=—","Direction=H","UseDPDF=Y")</f>
        <v>#NAME?</v>
      </c>
      <c r="AV648" s="2" t="e">
        <f ca="1">_xll.BDH($C$628,"GEO_GROW_TOT_ASSET","FY 2018","FY 2018","Currency=INR","Period=FY","BEST_FPERIOD_OVERRIDE=FY","FILING_STATUS=OR","EQY_CONSOLIDATED=Y","Sort=A","Dates=H","DateFormat=P","Fill=—","Direction=H","UseDPDF=Y")</f>
        <v>#NAME?</v>
      </c>
      <c r="AW648" s="2" t="e">
        <f ca="1">_xll.BDH($C$628,"MODIFIED_WORKING_CPTL_5YR_GRWTH","FY 2018","FY 2018","Currency=INR","Period=FY","BEST_FPERIOD_OVERRIDE=FY","FILING_STATUS=OR","EQY_CONSOLIDATED=Y","Sort=A","Dates=H","DateFormat=P","Fill=—","Direction=H","UseDPDF=Y")</f>
        <v>#NAME?</v>
      </c>
      <c r="AX648" s="2" t="e">
        <f ca="1">_xll.BDH($C$628,"WORKING_CAPITAL_5_YEAR_GROWTH","FY 2018","FY 2018","Currency=INR","Period=FY","BEST_FPERIOD_OVERRIDE=FY","FILING_STATUS=OR","EQY_CONSOLIDATED=Y","Sort=A","Dates=H","DateFormat=P","Fill=—","Direction=H","UseDPDF=Y")</f>
        <v>#NAME?</v>
      </c>
      <c r="AY648" s="2" t="e">
        <f ca="1">_xll.BDH($C$628,"ACCOUNTS_PAYABLE_5_YEAR_GROWTH","FY 2018","FY 2018","Currency=INR","Period=FY","BEST_FPERIOD_OVERRIDE=FY","FILING_STATUS=OR","EQY_CONSOLIDATED=Y","Sort=A","Dates=H","DateFormat=P","Fill=—","Direction=H","UseDPDF=Y")</f>
        <v>#NAME?</v>
      </c>
      <c r="AZ648" s="2" t="e">
        <f ca="1">_xll.BDH($C$628,"SHORT_TERM_DEBT_5_YEAR_GROWTH","FY 2018","FY 2018","Currency=INR","Period=FY","BEST_FPERIOD_OVERRIDE=FY","FILING_STATUS=OR","EQY_CONSOLIDATED=Y","Sort=A","Dates=H","DateFormat=P","Fill=—","Direction=H","UseDPDF=Y")</f>
        <v>#NAME?</v>
      </c>
      <c r="BA648" s="2" t="e">
        <f ca="1">_xll.BDH($C$628,"TOTAL_DEBT_5_YEAR_GROWTH","FY 2018","FY 2018","Currency=INR","Period=FY","BEST_FPERIOD_OVERRIDE=FY","FILING_STATUS=OR","EQY_CONSOLIDATED=Y","Sort=A","Dates=H","DateFormat=P","Fill=—","Direction=H","UseDPDF=Y")</f>
        <v>#NAME?</v>
      </c>
      <c r="BB648" s="2" t="e">
        <f ca="1">_xll.BDH($C$628,"GEO_GROW_TOT_SHRHLDR_EQY","FY 2018","FY 2018","Currency=INR","Period=FY","BEST_FPERIOD_OVERRIDE=FY","FILING_STATUS=OR","EQY_CONSOLIDATED=Y","Sort=A","Dates=H","DateFormat=P","Fill=—","Direction=H","UseDPDF=Y")</f>
        <v>#NAME?</v>
      </c>
      <c r="BC648" s="2" t="e">
        <f ca="1">_xll.BDH($C$628,"TOTAL_CAPITAL_5_YEAR_GROWTH","FY 2018","FY 2018","Currency=INR","Period=FY","BEST_FPERIOD_OVERRIDE=FY","FILING_STATUS=OR","EQY_CONSOLIDATED=Y","Sort=A","Dates=H","DateFormat=P","Fill=—","Direction=H","UseDPDF=Y")</f>
        <v>#NAME?</v>
      </c>
      <c r="BD648" s="2" t="e">
        <f ca="1">_xll.BDH($C$628,"GEO_GROW_BOOK_VAL","FY 2018","FY 2018","Currency=INR","Period=FY","BEST_FPERIOD_OVERRIDE=FY","FILING_STATUS=OR","EQY_CONSOLIDATED=Y","Sort=A","Dates=H","DateFormat=P","Fill=—","Direction=H","UseDPDF=Y")</f>
        <v>#NAME?</v>
      </c>
      <c r="BE648" s="2" t="e">
        <f ca="1">_xll.BDH($C$628,"GEO_GROW_CASH_OPER_ACT","FY 2018","FY 2018","Currency=INR","Period=FY","BEST_FPERIOD_OVERRIDE=FY","FILING_STATUS=OR","EQY_CONSOLIDATED=Y","Sort=A","Dates=H","DateFormat=P","Fill=—","Direction=H","UseDPDF=Y")</f>
        <v>#NAME?</v>
      </c>
      <c r="BF648" s="2" t="e">
        <f ca="1">_xll.BDH($C$628,"REVENUE_SEQUENTIAL_GROWTH","FY 2018","FY 2018","Currency=INR","Period=FY","BEST_FPERIOD_OVERRIDE=FY","FILING_STATUS=OR","EQY_CONSOLIDATED=Y","FA_ADJUSTED=GAAP","Sort=A","Dates=H","DateFormat=P","Fill=—","Direction=H","UseDPDF=Y")</f>
        <v>#NAME?</v>
      </c>
      <c r="BG648" s="2" t="e">
        <f ca="1">_xll.BDH($C$628,"EBITDA_SEQUENTIAL_GROWTH","FY 2018","FY 2018","Currency=INR","Period=FY","BEST_FPERIOD_OVERRIDE=FY","FILING_STATUS=OR","EQY_CONSOLIDATED=Y","FA_ADJUSTED=GAAP","Sort=A","Dates=H","DateFormat=P","Fill=—","Direction=H","UseDPDF=Y")</f>
        <v>#NAME?</v>
      </c>
      <c r="BH648" s="2" t="e">
        <f ca="1">_xll.BDH($C$628,"OPERATING_INCOME_SEQ_GROWTH","FY 2018","FY 2018","Currency=INR","Period=FY","BEST_FPERIOD_OVERRIDE=FY","FILING_STATUS=OR","EQY_CONSOLIDATED=Y","FA_ADJUSTED=GAAP","Sort=A","Dates=H","DateFormat=P","Fill=—","Direction=H","UseDPDF=Y")</f>
        <v>#NAME?</v>
      </c>
      <c r="BI648" s="2" t="e">
        <f ca="1">_xll.BDH($C$628,"NET_INCOME_TO_COMMON_SEQ_GROWTH","FY 2018","FY 2018","Currency=INR","Period=FY","BEST_FPERIOD_OVERRIDE=FY","FILING_STATUS=OR","EQY_CONSOLIDATED=Y","FA_ADJUSTED=GAAP","Sort=A","Dates=H","DateFormat=P","Fill=—","Direction=H","UseDPDF=Y")</f>
        <v>#NAME?</v>
      </c>
      <c r="BJ648" s="2" t="e">
        <f ca="1">_xll.BDH($C$628,"EPS_DILUTED_SEQUENTIAL_GROWTH","FY 2018","FY 2018","Currency=INR","Period=FY","BEST_FPERIOD_OVERRIDE=FY","FILING_STATUS=OR","EQY_CONSOLIDATED=Y","FA_ADJUSTED=GAAP","Sort=A","Dates=H","DateFormat=P","Fill=—","Direction=H","UseDPDF=Y")</f>
        <v>#NAME?</v>
      </c>
      <c r="BK648" s="2" t="e">
        <f ca="1">_xll.BDH($C$628,"DPS_SEQUENTIAL_GROWTH","FY 2018","FY 2018","Currency=INR","Period=FY","BEST_FPERIOD_OVERRIDE=FY","FILING_STATUS=OR","EQY_CONSOLIDATED=Y","Sort=A","Dates=H","DateFormat=P","Fill=—","Direction=H","UseDPDF=Y")</f>
        <v>#NAME?</v>
      </c>
      <c r="BL648" s="2" t="e">
        <f ca="1">_xll.BDH($C$628,"ACCOUNTS_RECEIVABLE_SEQ_GROWTH","FY 2018","FY 2018","Currency=INR","Period=FY","BEST_FPERIOD_OVERRIDE=FY","FILING_STATUS=OR","EQY_CONSOLIDATED=Y","Sort=A","Dates=H","DateFormat=P","Fill=—","Direction=H","UseDPDF=Y")</f>
        <v>#NAME?</v>
      </c>
      <c r="BM648" s="2" t="e">
        <f ca="1">_xll.BDH($C$628,"INVENTORY_SEQUENTIAL_GROWTH","FY 2018","FY 2018","Currency=INR","Period=FY","BEST_FPERIOD_OVERRIDE=FY","FILING_STATUS=OR","EQY_CONSOLIDATED=Y","Sort=A","Dates=H","DateFormat=P","Fill=—","Direction=H","UseDPDF=Y")</f>
        <v>#NAME?</v>
      </c>
      <c r="BN648" s="2" t="e">
        <f ca="1">_xll.BDH($C$628,"FIXED_ASSETS_SEQUENTIAL_GROWTH","FY 2018","FY 2018","Currency=INR","Period=FY","BEST_FPERIOD_OVERRIDE=FY","FILING_STATUS=OR","EQY_CONSOLIDATED=Y","Sort=A","Dates=H","DateFormat=P","Fill=—","Direction=H","UseDPDF=Y")</f>
        <v>#NAME?</v>
      </c>
      <c r="BO648" s="2" t="e">
        <f ca="1">_xll.BDH($C$628,"TOTAL_ASSETS_SEQUENTIAL_GROWTH","FY 2018","FY 2018","Currency=INR","Period=FY","BEST_FPERIOD_OVERRIDE=FY","FILING_STATUS=OR","EQY_CONSOLIDATED=Y","Sort=A","Dates=H","DateFormat=P","Fill=—","Direction=H","UseDPDF=Y")</f>
        <v>#NAME?</v>
      </c>
      <c r="BP648" s="2" t="e">
        <f ca="1">_xll.BDH($C$628,"MODIFIED_WORKING_CPTL_SEQ_GRWTH","FY 2018","FY 2018","Currency=INR","Period=FY","BEST_FPERIOD_OVERRIDE=FY","FILING_STATUS=OR","EQY_CONSOLIDATED=Y","Sort=A","Dates=H","DateFormat=P","Fill=—","Direction=H","UseDPDF=Y")</f>
        <v>#NAME?</v>
      </c>
      <c r="BQ648" s="2" t="e">
        <f ca="1">_xll.BDH($C$628,"WORKING_CAPITAL_SEQ_GROWTH","FY 2018","FY 2018","Currency=INR","Period=FY","BEST_FPERIOD_OVERRIDE=FY","FILING_STATUS=OR","EQY_CONSOLIDATED=Y","Sort=A","Dates=H","DateFormat=P","Fill=—","Direction=H","UseDPDF=Y")</f>
        <v>#NAME?</v>
      </c>
      <c r="BR648" s="2" t="e">
        <f ca="1">_xll.BDH($C$628,"ACCOUNTS_PAYABLE_SEQ_GROWTH","FY 2018","FY 2018","Currency=INR","Period=FY","BEST_FPERIOD_OVERRIDE=FY","FILING_STATUS=OR","EQY_CONSOLIDATED=Y","Sort=A","Dates=H","DateFormat=P","Fill=—","Direction=H","UseDPDF=Y")</f>
        <v>#NAME?</v>
      </c>
      <c r="BS648" s="2" t="e">
        <f ca="1">_xll.BDH($C$628,"ST_DEBT_SEQUENTIAL_GROWTH","FY 2018","FY 2018","Currency=INR","Period=FY","BEST_FPERIOD_OVERRIDE=FY","FILING_STATUS=OR","EQY_CONSOLIDATED=Y","Sort=A","Dates=H","DateFormat=P","Fill=—","Direction=H","UseDPDF=Y")</f>
        <v>#NAME?</v>
      </c>
      <c r="BT648" s="2" t="e">
        <f ca="1">_xll.BDH($C$628,"TOTAL_DEBT_SEQUENTIAL_GROWTH","FY 2018","FY 2018","Currency=INR","Period=FY","BEST_FPERIOD_OVERRIDE=FY","FILING_STATUS=OR","EQY_CONSOLIDATED=Y","Sort=A","Dates=H","DateFormat=P","Fill=—","Direction=H","UseDPDF=Y")</f>
        <v>#NAME?</v>
      </c>
      <c r="BU648" s="2" t="e">
        <f ca="1">_xll.BDH($C$628,"TOTAL_EQUITY_SEQUENTIAL_GROWTH","FY 2018","FY 2018","Currency=INR","Period=FY","BEST_FPERIOD_OVERRIDE=FY","FILING_STATUS=OR","EQY_CONSOLIDATED=Y","Sort=A","Dates=H","DateFormat=P","Fill=—","Direction=H","UseDPDF=Y")</f>
        <v>#NAME?</v>
      </c>
      <c r="BV648" s="2" t="e">
        <f ca="1">_xll.BDH($C$628,"TOTAL_CAPITAL_SEQUENTIAL_GROWTH","FY 2018","FY 2018","Currency=INR","Period=FY","BEST_FPERIOD_OVERRIDE=FY","FILING_STATUS=OR","EQY_CONSOLIDATED=Y","Sort=A","Dates=H","DateFormat=P","Fill=—","Direction=H","UseDPDF=Y")</f>
        <v>#NAME?</v>
      </c>
      <c r="BW648" s="2" t="e">
        <f ca="1">_xll.BDH($C$628,"BPS_SEQUENTIAL_GROWTH","FY 2018","FY 2018","Currency=INR","Period=FY","BEST_FPERIOD_OVERRIDE=FY","FILING_STATUS=OR","EQY_CONSOLIDATED=Y","Sort=A","Dates=H","DateFormat=P","Fill=—","Direction=H","UseDPDF=Y")</f>
        <v>#NAME?</v>
      </c>
      <c r="BX648" s="2" t="e">
        <f ca="1">_xll.BDH($C$628,"CFO_SEQUENTIAL_GROWTH","FY 2018","FY 2018","Currency=INR","Period=FY","BEST_FPERIOD_OVERRIDE=FY","FILING_STATUS=OR","EQY_CONSOLIDATED=Y","Sort=A","Dates=H","DateFormat=P","Fill=—","Direction=H","UseDPDF=Y")</f>
        <v>#NAME?</v>
      </c>
      <c r="BY648" s="3" t="e">
        <f ca="1">_xll.BDH($C$628,"SHORT_AND_LONG_TERM_DEBT","FY 2018","FY 2018","Currency=INR","Period=FY","BEST_FPERIOD_OVERRIDE=FY","FILING_STATUS=OR","EQY_CONSOLIDATED=Y","SCALING_FORMAT=MLN","Sort=A","Dates=H","DateFormat=P","Fill=—","Direction=H","UseDPDF=Y")</f>
        <v>#NAME?</v>
      </c>
      <c r="BZ648" s="3" t="e">
        <f ca="1">_xll.BDH($C$628,"BS_ST_BORROW","FY 2018","FY 2018","Currency=INR","Period=FY","BEST_FPERIOD_OVERRIDE=FY","FILING_STATUS=OR","EQY_CONSOLIDATED=Y","SCALING_FORMAT=MLN","Sort=A","Dates=H","DateFormat=P","Fill=—","Direction=H","UseDPDF=Y")</f>
        <v>#NAME?</v>
      </c>
      <c r="CA648" s="3" t="e">
        <f ca="1">_xll.BDH($C$628,"BS_LT_BORROW","FY 2018","FY 2018","Currency=INR","Period=FY","BEST_FPERIOD_OVERRIDE=FY","FILING_STATUS=OR","EQY_CONSOLIDATED=Y","SCALING_FORMAT=MLN","Sort=A","Dates=H","DateFormat=P","Fill=—","Direction=H","UseDPDF=Y")</f>
        <v>#NAME?</v>
      </c>
      <c r="CB648" s="2" t="e">
        <f ca="1">_xll.BDH($C$628,"TOT_DEBT_TO_EBITDA","FY 2018","FY 2018","Currency=INR","Period=FY","BEST_FPERIOD_OVERRIDE=FY","FILING_STATUS=OR","EQY_CONSOLIDATED=Y","FA_ADJUSTED=GAAP","Sort=A","Dates=H","DateFormat=P","Fill=—","Direction=H","UseDPDF=Y")</f>
        <v>#NAME?</v>
      </c>
      <c r="CC648" s="2" t="e">
        <f ca="1">_xll.BDH($C$628,"NET_DEBT_TO_EBITDA","FY 2018","FY 2018","Currency=INR","Period=FY","BEST_FPERIOD_OVERRIDE=FY","FILING_STATUS=OR","EQY_CONSOLIDATED=Y","FA_ADJUSTED=GAAP","Sort=A","Dates=H","DateFormat=P","Fill=—","Direction=H","UseDPDF=Y")</f>
        <v>#NAME?</v>
      </c>
      <c r="CD648" s="2" t="e">
        <f ca="1">_xll.BDH($C$628,"TOTAL_DEBT_TO_EBIT","FY 2018","FY 2018","Currency=INR","Period=FY","BEST_FPERIOD_OVERRIDE=FY","FILING_STATUS=OR","EQY_CONSOLIDATED=Y","FA_ADJUSTED=GAAP","Sort=A","Dates=H","DateFormat=P","Fill=—","Direction=H","UseDPDF=Y")</f>
        <v>#NAME?</v>
      </c>
      <c r="CE648" s="2" t="e">
        <f ca="1">_xll.BDH($C$628,"NET_DEBT_TO_EBIT","FY 2018","FY 2018","Currency=INR","Period=FY","BEST_FPERIOD_OVERRIDE=FY","FILING_STATUS=OR","EQY_CONSOLIDATED=Y","FA_ADJUSTED=GAAP","Sort=A","Dates=H","DateFormat=P","Fill=—","Direction=H","UseDPDF=Y")</f>
        <v>#NAME?</v>
      </c>
      <c r="CF648" s="2" t="e">
        <f ca="1">_xll.BDH($C$628,"EBITDA_TO_INTEREST_EXPN","FY 2018","FY 2018","Currency=INR","Period=FY","BEST_FPERIOD_OVERRIDE=FY","FILING_STATUS=OR","EQY_CONSOLIDATED=Y","FA_ADJUSTED=GAAP","Sort=A","Dates=H","DateFormat=P","Fill=—","Direction=H","UseDPDF=Y")</f>
        <v>#NAME?</v>
      </c>
      <c r="CG648" s="2" t="e">
        <f ca="1">_xll.BDH($C$628,"COM_EQY_TO_TOT_ASSET","FY 2018","FY 2018","Currency=INR","Period=FY","BEST_FPERIOD_OVERRIDE=FY","FILING_STATUS=OR","EQY_CONSOLIDATED=Y","Sort=A","Dates=H","DateFormat=P","Fill=—","Direction=H","UseDPDF=Y")</f>
        <v>#NAME?</v>
      </c>
      <c r="CH648" s="2" t="e">
        <f ca="1">_xll.BDH($C$628,"LT_DEBT_TO_TOT_EQY","FY 2018","FY 2018","Currency=INR","Period=FY","BEST_FPERIOD_OVERRIDE=FY","FILING_STATUS=OR","EQY_CONSOLIDATED=Y","Sort=A","Dates=H","DateFormat=P","Fill=—","Direction=H","UseDPDF=Y")</f>
        <v>#NAME?</v>
      </c>
      <c r="CI648" s="2" t="e">
        <f ca="1">_xll.BDH($C$628,"LT_DEBT_TO_TOT_CAP","FY 2018","FY 2018","Currency=INR","Period=FY","BEST_FPERIOD_OVERRIDE=FY","FILING_STATUS=OR","EQY_CONSOLIDATED=Y","Sort=A","Dates=H","DateFormat=P","Fill=—","Direction=H","UseDPDF=Y")</f>
        <v>#NAME?</v>
      </c>
      <c r="CJ648" s="2" t="e">
        <f ca="1">_xll.BDH($C$628,"LT_DEBT_TO_TOT_ASSET","FY 2018","FY 2018","Currency=INR","Period=FY","BEST_FPERIOD_OVERRIDE=FY","FILING_STATUS=OR","EQY_CONSOLIDATED=Y","Sort=A","Dates=H","DateFormat=P","Fill=—","Direction=H","UseDPDF=Y")</f>
        <v>#NAME?</v>
      </c>
      <c r="CK648" s="2" t="e">
        <f ca="1">_xll.BDH($C$628,"TOT_DEBT_TO_TOT_EQY","FY 2018","FY 2018","Currency=INR","Period=FY","BEST_FPERIOD_OVERRIDE=FY","FILING_STATUS=OR","EQY_CONSOLIDATED=Y","Sort=A","Dates=H","DateFormat=P","Fill=—","Direction=H","UseDPDF=Y")</f>
        <v>#NAME?</v>
      </c>
      <c r="CL648" s="2" t="e">
        <f ca="1">_xll.BDH($C$628,"TOT_DEBT_TO_TOT_CAP","FY 2018","FY 2018","Currency=INR","Period=FY","BEST_FPERIOD_OVERRIDE=FY","FILING_STATUS=OR","EQY_CONSOLIDATED=Y","Sort=A","Dates=H","DateFormat=P","Fill=—","Direction=H","UseDPDF=Y")</f>
        <v>#NAME?</v>
      </c>
      <c r="CM648" s="2" t="e">
        <f ca="1">_xll.BDH($C$628,"TOT_DEBT_TO_TOT_ASSET","FY 2018","FY 2018","Currency=INR","Period=FY","BEST_FPERIOD_OVERRIDE=FY","FILING_STATUS=OR","EQY_CONSOLIDATED=Y","Sort=A","Dates=H","DateFormat=P","Fill=—","Direction=H","UseDPDF=Y")</f>
        <v>#NAME?</v>
      </c>
      <c r="CN648" s="2" t="e">
        <f ca="1">_xll.BDH($C$628,"NET_DEBT_TO_SHRHLDR_EQTY","FY 2018","FY 2018","Currency=INR","Period=FY","BEST_FPERIOD_OVERRIDE=FY","FILING_STATUS=OR","EQY_CONSOLIDATED=Y","Sort=A","Dates=H","DateFormat=P","Fill=—","Direction=H","UseDPDF=Y")</f>
        <v>#NAME?</v>
      </c>
      <c r="CO648" s="2" t="e">
        <f ca="1">_xll.BDH($C$628,"NET_DEBT_%_CAPITAL","FY 2018","FY 2018","Currency=INR","Period=FY","BEST_FPERIOD_OVERRIDE=FY","FILING_STATUS=OR","EQY_CONSOLIDATED=Y","Sort=A","Dates=H","DateFormat=P","Fill=—","Direction=H","UseDPDF=Y")</f>
        <v>#NAME?</v>
      </c>
      <c r="CP648" s="3" t="e">
        <f ca="1">_xll.BDH($C$628,"EBITDA","FY 2018","FY 2018","Currency=INR","Period=FY","BEST_FPERIOD_OVERRIDE=FY","FILING_STATUS=OR","EQY_CONSOLIDATED=Y","SCALING_FORMAT=MLN","FA_ADJUSTED=GAAP","Sort=A","Dates=H","DateFormat=P","Fill=—","Direction=H","UseDPDF=Y")</f>
        <v>#NAME?</v>
      </c>
      <c r="CQ648" s="3" t="e">
        <f ca="1">_xll.BDH($C$628,"EBITDA_AFTER_CAPEX","FY 2018","FY 2018","Currency=INR","Period=FY","BEST_FPERIOD_OVERRIDE=FY","FILING_STATUS=OR","EQY_CONSOLIDATED=Y","SCALING_FORMAT=MLN","FA_ADJUSTED=GAAP","Sort=A","Dates=H","DateFormat=P","Fill=—","Direction=H","UseDPDF=Y")</f>
        <v>#NAME?</v>
      </c>
      <c r="CR648" s="3" t="e">
        <f ca="1">_xll.BDH($C$628,"IS_OPER_INC","FY 2018","FY 2018","Currency=INR","Period=FY","BEST_FPERIOD_OVERRIDE=FY","FILING_STATUS=OR","EQY_CONSOLIDATED=Y","SCALING_FORMAT=MLN","FA_ADJUSTED=GAAP","Sort=A","Dates=H","DateFormat=P","Fill=—","Direction=H","UseDPDF=Y")</f>
        <v>#NAME?</v>
      </c>
      <c r="CS648" s="2" t="e">
        <f ca="1">_xll.BDH($C$628,"CASH_RATIO","FY 2018","FY 2018","Currency=INR","Period=FY","BEST_FPERIOD_OVERRIDE=FY","FILING_STATUS=OR","EQY_CONSOLIDATED=Y","Sort=A","Dates=H","DateFormat=P","Fill=—","Direction=H","UseDPDF=Y")</f>
        <v>#NAME?</v>
      </c>
      <c r="CT648" s="2" t="e">
        <f ca="1">_xll.BDH($C$628,"CUR_RATIO","FY 2018","FY 2018","Currency=INR","Period=FY","BEST_FPERIOD_OVERRIDE=FY","FILING_STATUS=OR","EQY_CONSOLIDATED=Y","Sort=A","Dates=H","DateFormat=P","Fill=—","Direction=H","UseDPDF=Y")</f>
        <v>#NAME?</v>
      </c>
      <c r="CU648" s="2" t="e">
        <f ca="1">_xll.BDH($C$628,"QUICK_RATIO","FY 2018","FY 2018","Currency=INR","Period=FY","BEST_FPERIOD_OVERRIDE=FY","FILING_STATUS=OR","EQY_CONSOLIDATED=Y","Sort=A","Dates=H","DateFormat=P","Fill=—","Direction=H","UseDPDF=Y")</f>
        <v>#NAME?</v>
      </c>
      <c r="CV648" s="2" t="e">
        <f ca="1">_xll.BDH($C$628,"ALTMAN_Z_SCORE","FY 2018","FY 2018","Currency=INR","Period=FY","BEST_FPERIOD_OVERRIDE=FY","FILING_STATUS=OR","EQY_CONSOLIDATED=Y","Sort=A","Dates=H","DateFormat=P","Fill=—","Direction=H","UseDPDF=Y")</f>
        <v>#NAME?</v>
      </c>
      <c r="CW648" s="4" t="e">
        <f ca="1">_xll.BDH($C$628,"ACCT_RCV_TURN","FY 2018","FY 2018","Currency=INR","Period=FY","BEST_FPERIOD_OVERRIDE=FY","FILING_STATUS=OR","EQY_CONSOLIDATED=Y","FA_ADJUSTED=GAAP","Sort=A","Dates=H","DateFormat=P","Fill=—","Direction=H","UseDPDF=Y")</f>
        <v>#NAME?</v>
      </c>
      <c r="CX648" s="2" t="e">
        <f ca="1">_xll.BDH($C$628,"ACCT_RCV_DAYS","FY 2018","FY 2018","Currency=INR","Period=FY","BEST_FPERIOD_OVERRIDE=FY","FILING_STATUS=OR","EQY_CONSOLIDATED=Y","FA_ADJUSTED=GAAP","Sort=A","Dates=H","DateFormat=P","Fill=—","Direction=H","UseDPDF=Y")</f>
        <v>#NAME?</v>
      </c>
      <c r="CY648" s="4" t="e">
        <f ca="1">_xll.BDH($C$628,"INVENT_TURN","FY 2018","FY 2018","Currency=INR","Period=FY","BEST_FPERIOD_OVERRIDE=FY","FILING_STATUS=OR","EQY_CONSOLIDATED=Y","FA_ADJUSTED=GAAP","Sort=A","Dates=H","DateFormat=P","Fill=—","Direction=H","UseDPDF=Y")</f>
        <v>#NAME?</v>
      </c>
      <c r="CZ648" s="2" t="e">
        <f ca="1">_xll.BDH($C$628,"INVENT_DAYS","FY 2018","FY 2018","Currency=INR","Period=FY","BEST_FPERIOD_OVERRIDE=FY","FILING_STATUS=OR","EQY_CONSOLIDATED=Y","FA_ADJUSTED=GAAP","Sort=A","Dates=H","DateFormat=P","Fill=—","Direction=H","UseDPDF=Y")</f>
        <v>#NAME?</v>
      </c>
      <c r="DA648" s="4" t="e">
        <f ca="1">_xll.BDH($C$628,"ACCOUNTS_PAYABLE_TURNOVER","FY 2018","FY 2018","Currency=INR","Period=FY","BEST_FPERIOD_OVERRIDE=FY","FILING_STATUS=OR","EQY_CONSOLIDATED=Y","FA_ADJUSTED=GAAP","Sort=A","Dates=H","DateFormat=P","Fill=—","Direction=H","UseDPDF=Y")</f>
        <v>#NAME?</v>
      </c>
      <c r="DB648" s="2" t="e">
        <f ca="1">_xll.BDH($C$628,"ACCOUNTS_PAYABLE_TURNOVER_DAYS","FY 2018","FY 2018","Currency=INR","Period=FY","BEST_FPERIOD_OVERRIDE=FY","FILING_STATUS=OR","EQY_CONSOLIDATED=Y","FA_ADJUSTED=GAAP","Sort=A","Dates=H","DateFormat=P","Fill=—","Direction=H","UseDPDF=Y")</f>
        <v>#NAME?</v>
      </c>
      <c r="DC648" s="4" t="e">
        <f ca="1">_xll.BDH($C$628,"CASH_CONVERSION_CYCLE","FY 2018","FY 2018","Currency=INR","Period=FY","BEST_FPERIOD_OVERRIDE=FY","FILING_STATUS=OR","EQY_CONSOLIDATED=Y","FA_ADJUSTED=GAAP","Sort=A","Dates=H","DateFormat=P","Fill=—","Direction=H","UseDPDF=Y")</f>
        <v>#NAME?</v>
      </c>
      <c r="DD648" s="4" t="e">
        <f ca="1">_xll.BDH($C$628,"INV_TO_CASH_DAYS","FY 2018","FY 2018","Currency=INR","Period=FY","BEST_FPERIOD_OVERRIDE=FY","FILING_STATUS=OR","EQY_CONSOLIDATED=Y","FA_ADJUSTED=GAAP","Sort=A","Dates=H","DateFormat=P","Fill=—","Direction=H","UseDPDF=Y")</f>
        <v>#NAME?</v>
      </c>
      <c r="DE648" s="5" t="e">
        <f ca="1">_xll.BDH($C$628,"BS_INVENTORIES","FY 2018","FY 2018","Currency=INR","Period=FY","BEST_FPERIOD_OVERRIDE=FY","FILING_STATUS=OR","EQY_CONSOLIDATED=Y","SCALING_FORMAT=MLN","Sort=A","Dates=H","DateFormat=P","Fill=—","Direction=H","UseDPDF=Y")</f>
        <v>#NAME?</v>
      </c>
      <c r="DF648" s="3" t="e">
        <f ca="1">_xll.BDH($C$628,"INVTRY_RAW_MATERIALS","FY 2018","FY 2018","Currency=INR","Period=FY","BEST_FPERIOD_OVERRIDE=FY","FILING_STATUS=OR","EQY_CONSOLIDATED=Y","SCALING_FORMAT=MLN","Sort=A","Dates=H","DateFormat=P","Fill=—","Direction=H","UseDPDF=Y")</f>
        <v>#NAME?</v>
      </c>
      <c r="DG648" s="3" t="e">
        <f ca="1">_xll.BDH($C$628,"INVTRY_IN_PROGRESS","FY 2018","FY 2018","Currency=INR","Period=FY","BEST_FPERIOD_OVERRIDE=FY","FILING_STATUS=OR","EQY_CONSOLIDATED=Y","SCALING_FORMAT=MLN","Sort=A","Dates=H","DateFormat=P","Fill=—","Direction=H","UseDPDF=Y")</f>
        <v>#NAME?</v>
      </c>
      <c r="DH648" s="3" t="e">
        <f ca="1">_xll.BDH($C$628,"INVTRY_FINISHED_GOODS","FY 2018","FY 2018","Currency=INR","Period=FY","BEST_FPERIOD_OVERRIDE=FY","FILING_STATUS=OR","EQY_CONSOLIDATED=Y","SCALING_FORMAT=MLN","Sort=A","Dates=H","DateFormat=P","Fill=—","Direction=H","UseDPDF=Y")</f>
        <v>#NAME?</v>
      </c>
      <c r="DI648" s="3" t="e">
        <f ca="1">_xll.BDH($C$628,"BS_OTHER_INV","FY 2018","FY 2018","Currency=INR","Period=FY","BEST_FPERIOD_OVERRIDE=FY","FILING_STATUS=OR","EQY_CONSOLIDATED=Y","SCALING_FORMAT=MLN","Sort=A","Dates=H","DateFormat=P","Fill=—","Direction=H","UseDPDF=Y")</f>
        <v>#NAME?</v>
      </c>
    </row>
    <row r="649" spans="1:113" x14ac:dyDescent="0.3">
      <c r="A649" s="6"/>
      <c r="B649" s="6"/>
      <c r="C649" s="6"/>
      <c r="D649" s="6"/>
      <c r="E649" t="s">
        <v>78</v>
      </c>
      <c r="F649" t="e">
        <f ca="1">_xll.BDH($C$628,"RETURN_COM_EQY","FQ1 2018","FQ1 2018","Currency=INR","Period=FQ","BEST_FPERIOD_OVERRIDE=FQ","FILING_STATUS=OR","EQY_CONSOLIDATED=Y","FA_ADJUSTED=GAAP","Sort=A","Dates=H","DateFormat=P","Fill=—","Direction=H","UseDPDF=Y")</f>
        <v>#NAME?</v>
      </c>
      <c r="G649" t="e">
        <f ca="1">_xll.BDH($C$628,"RETURN_ON_ASSET","FQ1 2018","FQ1 2018","Currency=INR","Period=FQ","BEST_FPERIOD_OVERRIDE=FQ","FILING_STATUS=OR","EQY_CONSOLIDATED=Y","FA_ADJUSTED=GAAP","Sort=A","Dates=H","DateFormat=P","Fill=—","Direction=H","UseDPDF=Y")</f>
        <v>#NAME?</v>
      </c>
      <c r="H649" t="e">
        <f ca="1">_xll.BDH($C$628,"RETURN_ON_CAP","FQ1 2018","FQ1 2018","Currency=INR","Period=FQ","BEST_FPERIOD_OVERRIDE=FQ","FILING_STATUS=OR","EQY_CONSOLIDATED=Y","FA_ADJUSTED=GAAP","Sort=A","Dates=H","DateFormat=P","Fill=—","Direction=H","UseDPDF=Y")</f>
        <v>#NAME?</v>
      </c>
      <c r="I649" t="e">
        <f ca="1">_xll.BDH($C$628,"RETURN_ON_INV_CAPITAL","FQ1 2018","FQ1 2018","Currency=INR","Period=FQ","BEST_FPERIOD_OVERRIDE=FQ","FILING_STATUS=OR","EQY_CONSOLIDATED=Y","FA_ADJUSTED=GAAP","Sort=A","Dates=H","DateFormat=P","Fill=—","Direction=H","UseDPDF=Y")</f>
        <v>#NAME?</v>
      </c>
      <c r="J649" t="e">
        <f ca="1">_xll.BDH($C$628,"EBITDA_TO_REVENUE","FQ1 2018","FQ1 2018","Currency=INR","Period=FQ","BEST_FPERIOD_OVERRIDE=FQ","FILING_STATUS=OR","EQY_CONSOLIDATED=Y","FA_ADJUSTED=GAAP","Sort=A","Dates=H","DateFormat=P","Fill=—","Direction=H","UseDPDF=Y")</f>
        <v>#NAME?</v>
      </c>
      <c r="K649" t="e">
        <f ca="1">_xll.BDH($C$628,"OPER_MARGIN","FQ1 2018","FQ1 2018","Currency=INR","Period=FQ","BEST_FPERIOD_OVERRIDE=FQ","FILING_STATUS=OR","EQY_CONSOLIDATED=Y","FA_ADJUSTED=GAAP","Sort=A","Dates=H","DateFormat=P","Fill=—","Direction=H","UseDPDF=Y")</f>
        <v>#NAME?</v>
      </c>
      <c r="L649" t="e">
        <f ca="1">_xll.BDH($C$628,"INCREMENTAL_OPERATING_MARGIN","FQ1 2018","FQ1 2018","Currency=INR","Period=FQ","BEST_FPERIOD_OVERRIDE=FQ","FILING_STATUS=OR","EQY_CONSOLIDATED=Y","FA_ADJUSTED=GAAP","Sort=A","Dates=H","DateFormat=P","Fill=—","Direction=H","UseDPDF=Y")</f>
        <v>#NAME?</v>
      </c>
      <c r="M649" t="e">
        <f ca="1">_xll.BDH($C$628,"PRETAX_INC_TO_NET_SALES","FQ1 2018","FQ1 2018","Currency=INR","Period=FQ","BEST_FPERIOD_OVERRIDE=FQ","FILING_STATUS=OR","EQY_CONSOLIDATED=Y","FA_ADJUSTED=GAAP","Sort=A","Dates=H","DateFormat=P","Fill=—","Direction=H","UseDPDF=Y")</f>
        <v>#NAME?</v>
      </c>
      <c r="N649" t="e">
        <f ca="1">_xll.BDH($C$628,"INC_BEF_XO_ITEMS_TO_NET_SALES","FQ1 2018","FQ1 2018","Currency=INR","Period=FQ","BEST_FPERIOD_OVERRIDE=FQ","FILING_STATUS=OR","EQY_CONSOLIDATED=Y","FA_ADJUSTED=GAAP","Sort=A","Dates=H","DateFormat=P","Fill=—","Direction=H","UseDPDF=Y")</f>
        <v>#NAME?</v>
      </c>
      <c r="O649" t="e">
        <f ca="1">_xll.BDH($C$628,"PROF_MARGIN","FQ1 2018","FQ1 2018","Currency=INR","Period=FQ","BEST_FPERIOD_OVERRIDE=FQ","FILING_STATUS=OR","EQY_CONSOLIDATED=Y","FA_ADJUSTED=GAAP","Sort=A","Dates=H","DateFormat=P","Fill=—","Direction=H","UseDPDF=Y")</f>
        <v>#NAME?</v>
      </c>
      <c r="P649" t="e">
        <f ca="1">_xll.BDH($C$628,"NET_INCOME_TO_COMMON_MARGIN","FQ1 2018","FQ1 2018","Currency=INR","Period=FQ","BEST_FPERIOD_OVERRIDE=FQ","FILING_STATUS=OR","EQY_CONSOLIDATED=Y","FA_ADJUSTED=GAAP","Sort=A","Dates=H","DateFormat=P","Fill=—","Direction=H","UseDPDF=Y")</f>
        <v>#NAME?</v>
      </c>
      <c r="Q649" t="e">
        <f ca="1">_xll.BDH($C$628,"EFF_TAX_RATE","FQ1 2018","FQ1 2018","Currency=INR","Period=FQ","BEST_FPERIOD_OVERRIDE=FQ","FILING_STATUS=OR","EQY_CONSOLIDATED=Y","FA_ADJUSTED=GAAP","Sort=A","Dates=H","DateFormat=P","Fill=—","Direction=H","UseDPDF=Y")</f>
        <v>#NAME?</v>
      </c>
      <c r="R649" t="e">
        <f ca="1">_xll.BDH($C$628,"DVD_PAYOUT_RATIO","FQ1 2018","FQ1 2018","Currency=INR","Period=FQ","BEST_FPERIOD_OVERRIDE=FQ","FILING_STATUS=OR","EQY_CONSOLIDATED=Y","FA_ADJUSTED=GAAP","Sort=A","Dates=H","DateFormat=P","Fill=—","Direction=H","UseDPDF=Y")</f>
        <v>#NAME?</v>
      </c>
      <c r="S649" t="e">
        <f ca="1">_xll.BDH($C$628,"SUSTAIN_GROWTH_RT","FQ1 2018","FQ1 2018","Currency=INR","Period=FQ","BEST_FPERIOD_OVERRIDE=FQ","FILING_STATUS=OR","EQY_CONSOLIDATED=Y","FA_ADJUSTED=GAAP","Sort=A","Dates=H","DateFormat=P","Fill=—","Direction=H","UseDPDF=Y")</f>
        <v>#NAME?</v>
      </c>
      <c r="T649" s="2" t="e">
        <f ca="1">_xll.BDH($C$628,"SALES_GROWTH","FQ1 2018","FQ1 2018","Currency=INR","Period=FQ","BEST_FPERIOD_OVERRIDE=FQ","FILING_STATUS=OR","EQY_CONSOLIDATED=Y","FA_ADJUSTED=GAAP","Sort=A","Dates=H","DateFormat=P","Fill=—","Direction=H","UseDPDF=Y")</f>
        <v>#NAME?</v>
      </c>
      <c r="U649" s="2" t="e">
        <f ca="1">_xll.BDH($C$628,"EBITDA_GROWTH","FQ1 2018","FQ1 2018","Currency=INR","Period=FQ","BEST_FPERIOD_OVERRIDE=FQ","FILING_STATUS=OR","EQY_CONSOLIDATED=Y","FA_ADJUSTED=GAAP","Sort=A","Dates=H","DateFormat=P","Fill=—","Direction=H","UseDPDF=Y")</f>
        <v>#NAME?</v>
      </c>
      <c r="V649" s="2" t="e">
        <f ca="1">_xll.BDH($C$628,"OPER_INC_GROWTH","FQ1 2018","FQ1 2018","Currency=INR","Period=FQ","BEST_FPERIOD_OVERRIDE=FQ","FILING_STATUS=OR","EQY_CONSOLIDATED=Y","FA_ADJUSTED=GAAP","Sort=A","Dates=H","DateFormat=P","Fill=—","Direction=H","UseDPDF=Y")</f>
        <v>#NAME?</v>
      </c>
      <c r="W649" s="2" t="e">
        <f ca="1">_xll.BDH($C$628,"EARN_FOR_COM_GROWTH","FQ1 2018","FQ1 2018","Currency=INR","Period=FQ","BEST_FPERIOD_OVERRIDE=FQ","FILING_STATUS=OR","EQY_CONSOLIDATED=Y","FA_ADJUSTED=GAAP","Sort=A","Dates=H","DateFormat=P","Fill=—","Direction=H","UseDPDF=Y")</f>
        <v>#NAME?</v>
      </c>
      <c r="X649" s="2" t="e">
        <f ca="1">_xll.BDH($C$628,"DILUTED_EPS_AFT_XO_ITEMS_GROWTH","FQ1 2018","FQ1 2018","Currency=INR","Period=FQ","BEST_FPERIOD_OVERRIDE=FQ","FILING_STATUS=OR","EQY_CONSOLIDATED=Y","FA_ADJUSTED=GAAP","Sort=A","Dates=H","DateFormat=P","Fill=—","Direction=H","UseDPDF=Y")</f>
        <v>#NAME?</v>
      </c>
      <c r="Y649" s="2" t="e">
        <f ca="1">_xll.BDH($C$628,"DIVIDEND_PER_SHARE_1_YEAR_GROWTH","FQ1 2018","FQ1 2018","Currency=INR","Period=FQ","BEST_FPERIOD_OVERRIDE=FQ","FILING_STATUS=OR","EQY_CONSOLIDATED=Y","Sort=A","Dates=H","DateFormat=P","Fill=—","Direction=H","UseDPDF=Y")</f>
        <v>#NAME?</v>
      </c>
      <c r="Z649" s="2" t="e">
        <f ca="1">_xll.BDH($C$628,"ACCOUNTS_RECEIVABLE_GROWTH","FQ1 2018","FQ1 2018","Currency=INR","Period=FQ","BEST_FPERIOD_OVERRIDE=FQ","FILING_STATUS=OR","EQY_CONSOLIDATED=Y","Sort=A","Dates=H","DateFormat=P","Fill=—","Direction=H","UseDPDF=Y")</f>
        <v>#NAME?</v>
      </c>
      <c r="AA649" s="2" t="e">
        <f ca="1">_xll.BDH($C$628,"INVENTORY_GROWTH","FQ1 2018","FQ1 2018","Currency=INR","Period=FQ","BEST_FPERIOD_OVERRIDE=FQ","FILING_STATUS=OR","EQY_CONSOLIDATED=Y","Sort=A","Dates=H","DateFormat=P","Fill=—","Direction=H","UseDPDF=Y")</f>
        <v>#NAME?</v>
      </c>
      <c r="AB649" s="2" t="e">
        <f ca="1">_xll.BDH($C$628,"NET_FIXED_ASSETS_1_YEAR_GROWTH","FQ1 2018","FQ1 2018","Currency=INR","Period=FQ","BEST_FPERIOD_OVERRIDE=FQ","FILING_STATUS=OR","EQY_CONSOLIDATED=Y","Sort=A","Dates=H","DateFormat=P","Fill=—","Direction=H","UseDPDF=Y")</f>
        <v>#NAME?</v>
      </c>
      <c r="AC649" s="2" t="e">
        <f ca="1">_xll.BDH($C$628,"ASSET_GROWTH","FQ1 2018","FQ1 2018","Currency=INR","Period=FQ","BEST_FPERIOD_OVERRIDE=FQ","FILING_STATUS=OR","EQY_CONSOLIDATED=Y","Sort=A","Dates=H","DateFormat=P","Fill=—","Direction=H","UseDPDF=Y")</f>
        <v>#NAME?</v>
      </c>
      <c r="AD649" s="2" t="e">
        <f ca="1">_xll.BDH($C$628,"MODIFIED_WORK_CAP_GROWTH","FQ1 2018","FQ1 2018","Currency=INR","Period=FQ","BEST_FPERIOD_OVERRIDE=FQ","FILING_STATUS=OR","EQY_CONSOLIDATED=Y","Sort=A","Dates=H","DateFormat=P","Fill=—","Direction=H","UseDPDF=Y")</f>
        <v>#NAME?</v>
      </c>
      <c r="AE649" s="2" t="e">
        <f ca="1">_xll.BDH($C$628,"WORK_CAP_GROWTH","FQ1 2018","FQ1 2018","Currency=INR","Period=FQ","BEST_FPERIOD_OVERRIDE=FQ","FILING_STATUS=OR","EQY_CONSOLIDATED=Y","Sort=A","Dates=H","DateFormat=P","Fill=—","Direction=H","UseDPDF=Y")</f>
        <v>#NAME?</v>
      </c>
      <c r="AF649" s="2" t="e">
        <f ca="1">_xll.BDH($C$628,"ACCOUNTS_PAYABLE_GROWTH_1YR","FQ1 2018","FQ1 2018","Currency=INR","Period=FQ","BEST_FPERIOD_OVERRIDE=FQ","FILING_STATUS=OR","EQY_CONSOLIDATED=Y","Sort=A","Dates=H","DateFormat=P","Fill=—","Direction=H","UseDPDF=Y")</f>
        <v>#NAME?</v>
      </c>
      <c r="AG649" s="2" t="e">
        <f ca="1">_xll.BDH($C$628,"SHORT_TERM_DEBT_1_YEAR_GROWTH","FQ1 2018","FQ1 2018","Currency=INR","Period=FQ","BEST_FPERIOD_OVERRIDE=FQ","FILING_STATUS=OR","EQY_CONSOLIDATED=Y","Sort=A","Dates=H","DateFormat=P","Fill=—","Direction=H","UseDPDF=Y")</f>
        <v>#NAME?</v>
      </c>
      <c r="AH649" s="2" t="e">
        <f ca="1">_xll.BDH($C$628,"TOTAL_DEBT_1_YEAR_GROWTH","FQ1 2018","FQ1 2018","Currency=INR","Period=FQ","BEST_FPERIOD_OVERRIDE=FQ","FILING_STATUS=OR","EQY_CONSOLIDATED=Y","Sort=A","Dates=H","DateFormat=P","Fill=—","Direction=H","UseDPDF=Y")</f>
        <v>#NAME?</v>
      </c>
      <c r="AI649" s="2" t="e">
        <f ca="1">_xll.BDH($C$628,"TOTAL_EQUITY_1_YEAR_GROWTH","FQ1 2018","FQ1 2018","Currency=INR","Period=FQ","BEST_FPERIOD_OVERRIDE=FQ","FILING_STATUS=OR","EQY_CONSOLIDATED=Y","Sort=A","Dates=H","DateFormat=P","Fill=—","Direction=H","UseDPDF=Y")</f>
        <v>#NAME?</v>
      </c>
      <c r="AJ649" s="2" t="e">
        <f ca="1">_xll.BDH($C$628,"GROWTH_IN_CAP","FQ1 2018","FQ1 2018","Currency=INR","Period=FQ","BEST_FPERIOD_OVERRIDE=FQ","FILING_STATUS=OR","EQY_CONSOLIDATED=Y","Sort=A","Dates=H","DateFormat=P","Fill=—","Direction=H","UseDPDF=Y")</f>
        <v>#NAME?</v>
      </c>
      <c r="AK649" s="2" t="e">
        <f ca="1">_xll.BDH($C$628,"BVPS_GROWTH","FQ1 2018","FQ1 2018","Currency=INR","Period=FQ","BEST_FPERIOD_OVERRIDE=FQ","FILING_STATUS=OR","EQY_CONSOLIDATED=Y","Sort=A","Dates=H","DateFormat=P","Fill=—","Direction=H","UseDPDF=Y")</f>
        <v>#NAME?</v>
      </c>
      <c r="AL649" s="2" t="e">
        <f ca="1">_xll.BDH($C$628,"CASH_FLOW_GROWTH","FQ1 2018","FQ1 2018","Currency=INR","Period=FQ","BEST_FPERIOD_OVERRIDE=FQ","FILING_STATUS=OR","EQY_CONSOLIDATED=Y","Sort=A","Dates=H","DateFormat=P","Fill=—","Direction=H","UseDPDF=Y")</f>
        <v>#NAME?</v>
      </c>
      <c r="AM649" s="2" t="e">
        <f ca="1">_xll.BDH($C$628,"GEO_GROW_NET_SALES","FQ1 2018","FQ1 2018","Currency=INR","Period=FQ","BEST_FPERIOD_OVERRIDE=FQ","FILING_STATUS=OR","EQY_CONSOLIDATED=Y","FA_ADJUSTED=GAAP","Sort=A","Dates=H","DateFormat=P","Fill=—","Direction=H","UseDPDF=Y")</f>
        <v>#NAME?</v>
      </c>
      <c r="AN649" s="2" t="e">
        <f ca="1">_xll.BDH($C$628,"GEO_GROW_EBITDA","FQ1 2018","FQ1 2018","Currency=INR","Period=FQ","BEST_FPERIOD_OVERRIDE=FQ","FILING_STATUS=OR","EQY_CONSOLIDATED=Y","FA_ADJUSTED=GAAP","Sort=A","Dates=H","DateFormat=P","Fill=—","Direction=H","UseDPDF=Y")</f>
        <v>#NAME?</v>
      </c>
      <c r="AO649" s="2" t="e">
        <f ca="1">_xll.BDH($C$628,"GEO_GROW_OPER_INC","FQ1 2018","FQ1 2018","Currency=INR","Period=FQ","BEST_FPERIOD_OVERRIDE=FQ","FILING_STATUS=OR","EQY_CONSOLIDATED=Y","FA_ADJUSTED=GAAP","Sort=A","Dates=H","DateFormat=P","Fill=—","Direction=H","UseDPDF=Y")</f>
        <v>#NAME?</v>
      </c>
      <c r="AP649" s="2" t="e">
        <f ca="1">_xll.BDH($C$628,"NET_INCOME_TO_COMMON_5_YR_GROWTH","FQ1 2018","FQ1 2018","Currency=INR","Period=FQ","BEST_FPERIOD_OVERRIDE=FQ","FILING_STATUS=OR","EQY_CONSOLIDATED=Y","FA_ADJUSTED=GAAP","Sort=A","Dates=H","DateFormat=P","Fill=—","Direction=H","UseDPDF=Y")</f>
        <v>#NAME?</v>
      </c>
      <c r="AQ649" s="2" t="e">
        <f ca="1">_xll.BDH($C$628,"5Y_GEO_GROWTH_DILUTED_EPS","FQ1 2018","FQ1 2018","Currency=INR","Period=FQ","BEST_FPERIOD_OVERRIDE=FQ","FILING_STATUS=OR","EQY_CONSOLIDATED=Y","FA_ADJUSTED=GAAP","Sort=A","Dates=H","DateFormat=P","Fill=—","Direction=H","UseDPDF=Y")</f>
        <v>#NAME?</v>
      </c>
      <c r="AR649" s="2" t="e">
        <f ca="1">_xll.BDH($C$628,"GEO_GROW_DVD_PER_SH","FQ1 2018","FQ1 2018","Currency=INR","Period=FQ","BEST_FPERIOD_OVERRIDE=FQ","FILING_STATUS=OR","EQY_CONSOLIDATED=Y","Sort=A","Dates=H","DateFormat=P","Fill=—","Direction=H","UseDPDF=Y")</f>
        <v>#NAME?</v>
      </c>
      <c r="AS649" s="2" t="e">
        <f ca="1">_xll.BDH($C$628,"ACCOUNTS_RECEIVABLE_5_YR_GROWTH","FQ1 2018","FQ1 2018","Currency=INR","Period=FQ","BEST_FPERIOD_OVERRIDE=FQ","FILING_STATUS=OR","EQY_CONSOLIDATED=Y","Sort=A","Dates=H","DateFormat=P","Fill=—","Direction=H","UseDPDF=Y")</f>
        <v>#NAME?</v>
      </c>
      <c r="AT649" s="2" t="e">
        <f ca="1">_xll.BDH($C$628,"INVENTORY_5_YEAR_GROWTH","FQ1 2018","FQ1 2018","Currency=INR","Period=FQ","BEST_FPERIOD_OVERRIDE=FQ","FILING_STATUS=OR","EQY_CONSOLIDATED=Y","Sort=A","Dates=H","DateFormat=P","Fill=—","Direction=H","UseDPDF=Y")</f>
        <v>#NAME?</v>
      </c>
      <c r="AU649" s="2" t="e">
        <f ca="1">_xll.BDH($C$628,"NET_FIXED_ASSETS_5_YEAR_GROWTH","FQ1 2018","FQ1 2018","Currency=INR","Period=FQ","BEST_FPERIOD_OVERRIDE=FQ","FILING_STATUS=OR","EQY_CONSOLIDATED=Y","Sort=A","Dates=H","DateFormat=P","Fill=—","Direction=H","UseDPDF=Y")</f>
        <v>#NAME?</v>
      </c>
      <c r="AV649" s="2" t="e">
        <f ca="1">_xll.BDH($C$628,"GEO_GROW_TOT_ASSET","FQ1 2018","FQ1 2018","Currency=INR","Period=FQ","BEST_FPERIOD_OVERRIDE=FQ","FILING_STATUS=OR","EQY_CONSOLIDATED=Y","Sort=A","Dates=H","DateFormat=P","Fill=—","Direction=H","UseDPDF=Y")</f>
        <v>#NAME?</v>
      </c>
      <c r="AW649" s="2" t="e">
        <f ca="1">_xll.BDH($C$628,"MODIFIED_WORKING_CPTL_5YR_GRWTH","FQ1 2018","FQ1 2018","Currency=INR","Period=FQ","BEST_FPERIOD_OVERRIDE=FQ","FILING_STATUS=OR","EQY_CONSOLIDATED=Y","Sort=A","Dates=H","DateFormat=P","Fill=—","Direction=H","UseDPDF=Y")</f>
        <v>#NAME?</v>
      </c>
      <c r="AX649" s="2" t="e">
        <f ca="1">_xll.BDH($C$628,"WORKING_CAPITAL_5_YEAR_GROWTH","FQ1 2018","FQ1 2018","Currency=INR","Period=FQ","BEST_FPERIOD_OVERRIDE=FQ","FILING_STATUS=OR","EQY_CONSOLIDATED=Y","Sort=A","Dates=H","DateFormat=P","Fill=—","Direction=H","UseDPDF=Y")</f>
        <v>#NAME?</v>
      </c>
      <c r="AY649" s="2" t="e">
        <f ca="1">_xll.BDH($C$628,"ACCOUNTS_PAYABLE_5_YEAR_GROWTH","FQ1 2018","FQ1 2018","Currency=INR","Period=FQ","BEST_FPERIOD_OVERRIDE=FQ","FILING_STATUS=OR","EQY_CONSOLIDATED=Y","Sort=A","Dates=H","DateFormat=P","Fill=—","Direction=H","UseDPDF=Y")</f>
        <v>#NAME?</v>
      </c>
      <c r="AZ649" s="2" t="e">
        <f ca="1">_xll.BDH($C$628,"SHORT_TERM_DEBT_5_YEAR_GROWTH","FQ1 2018","FQ1 2018","Currency=INR","Period=FQ","BEST_FPERIOD_OVERRIDE=FQ","FILING_STATUS=OR","EQY_CONSOLIDATED=Y","Sort=A","Dates=H","DateFormat=P","Fill=—","Direction=H","UseDPDF=Y")</f>
        <v>#NAME?</v>
      </c>
      <c r="BA649" s="2" t="e">
        <f ca="1">_xll.BDH($C$628,"TOTAL_DEBT_5_YEAR_GROWTH","FQ1 2018","FQ1 2018","Currency=INR","Period=FQ","BEST_FPERIOD_OVERRIDE=FQ","FILING_STATUS=OR","EQY_CONSOLIDATED=Y","Sort=A","Dates=H","DateFormat=P","Fill=—","Direction=H","UseDPDF=Y")</f>
        <v>#NAME?</v>
      </c>
      <c r="BB649" s="2" t="e">
        <f ca="1">_xll.BDH($C$628,"GEO_GROW_TOT_SHRHLDR_EQY","FQ1 2018","FQ1 2018","Currency=INR","Period=FQ","BEST_FPERIOD_OVERRIDE=FQ","FILING_STATUS=OR","EQY_CONSOLIDATED=Y","Sort=A","Dates=H","DateFormat=P","Fill=—","Direction=H","UseDPDF=Y")</f>
        <v>#NAME?</v>
      </c>
      <c r="BC649" s="2" t="e">
        <f ca="1">_xll.BDH($C$628,"TOTAL_CAPITAL_5_YEAR_GROWTH","FQ1 2018","FQ1 2018","Currency=INR","Period=FQ","BEST_FPERIOD_OVERRIDE=FQ","FILING_STATUS=OR","EQY_CONSOLIDATED=Y","Sort=A","Dates=H","DateFormat=P","Fill=—","Direction=H","UseDPDF=Y")</f>
        <v>#NAME?</v>
      </c>
      <c r="BD649" s="2" t="e">
        <f ca="1">_xll.BDH($C$628,"GEO_GROW_BOOK_VAL","FQ1 2018","FQ1 2018","Currency=INR","Period=FQ","BEST_FPERIOD_OVERRIDE=FQ","FILING_STATUS=OR","EQY_CONSOLIDATED=Y","Sort=A","Dates=H","DateFormat=P","Fill=—","Direction=H","UseDPDF=Y")</f>
        <v>#NAME?</v>
      </c>
      <c r="BE649" s="2" t="e">
        <f ca="1">_xll.BDH($C$628,"GEO_GROW_CASH_OPER_ACT","FQ1 2018","FQ1 2018","Currency=INR","Period=FQ","BEST_FPERIOD_OVERRIDE=FQ","FILING_STATUS=OR","EQY_CONSOLIDATED=Y","Sort=A","Dates=H","DateFormat=P","Fill=—","Direction=H","UseDPDF=Y")</f>
        <v>#NAME?</v>
      </c>
      <c r="BF649" s="2" t="e">
        <f ca="1">_xll.BDH($C$628,"REVENUE_SEQUENTIAL_GROWTH","FQ1 2018","FQ1 2018","Currency=INR","Period=FQ","BEST_FPERIOD_OVERRIDE=FQ","FILING_STATUS=OR","EQY_CONSOLIDATED=Y","FA_ADJUSTED=GAAP","Sort=A","Dates=H","DateFormat=P","Fill=—","Direction=H","UseDPDF=Y")</f>
        <v>#NAME?</v>
      </c>
      <c r="BG649" s="2" t="e">
        <f ca="1">_xll.BDH($C$628,"EBITDA_SEQUENTIAL_GROWTH","FQ1 2018","FQ1 2018","Currency=INR","Period=FQ","BEST_FPERIOD_OVERRIDE=FQ","FILING_STATUS=OR","EQY_CONSOLIDATED=Y","FA_ADJUSTED=GAAP","Sort=A","Dates=H","DateFormat=P","Fill=—","Direction=H","UseDPDF=Y")</f>
        <v>#NAME?</v>
      </c>
      <c r="BH649" s="2" t="e">
        <f ca="1">_xll.BDH($C$628,"OPERATING_INCOME_SEQ_GROWTH","FQ1 2018","FQ1 2018","Currency=INR","Period=FQ","BEST_FPERIOD_OVERRIDE=FQ","FILING_STATUS=OR","EQY_CONSOLIDATED=Y","FA_ADJUSTED=GAAP","Sort=A","Dates=H","DateFormat=P","Fill=—","Direction=H","UseDPDF=Y")</f>
        <v>#NAME?</v>
      </c>
      <c r="BI649" s="2" t="e">
        <f ca="1">_xll.BDH($C$628,"NET_INCOME_TO_COMMON_SEQ_GROWTH","FQ1 2018","FQ1 2018","Currency=INR","Period=FQ","BEST_FPERIOD_OVERRIDE=FQ","FILING_STATUS=OR","EQY_CONSOLIDATED=Y","FA_ADJUSTED=GAAP","Sort=A","Dates=H","DateFormat=P","Fill=—","Direction=H","UseDPDF=Y")</f>
        <v>#NAME?</v>
      </c>
      <c r="BJ649" s="2" t="e">
        <f ca="1">_xll.BDH($C$628,"EPS_DILUTED_SEQUENTIAL_GROWTH","FQ1 2018","FQ1 2018","Currency=INR","Period=FQ","BEST_FPERIOD_OVERRIDE=FQ","FILING_STATUS=OR","EQY_CONSOLIDATED=Y","FA_ADJUSTED=GAAP","Sort=A","Dates=H","DateFormat=P","Fill=—","Direction=H","UseDPDF=Y")</f>
        <v>#NAME?</v>
      </c>
      <c r="BK649" s="2" t="e">
        <f ca="1">_xll.BDH($C$628,"DPS_SEQUENTIAL_GROWTH","FQ1 2018","FQ1 2018","Currency=INR","Period=FQ","BEST_FPERIOD_OVERRIDE=FQ","FILING_STATUS=OR","EQY_CONSOLIDATED=Y","Sort=A","Dates=H","DateFormat=P","Fill=—","Direction=H","UseDPDF=Y")</f>
        <v>#NAME?</v>
      </c>
      <c r="BL649" s="2" t="e">
        <f ca="1">_xll.BDH($C$628,"ACCOUNTS_RECEIVABLE_SEQ_GROWTH","FQ1 2018","FQ1 2018","Currency=INR","Period=FQ","BEST_FPERIOD_OVERRIDE=FQ","FILING_STATUS=OR","EQY_CONSOLIDATED=Y","Sort=A","Dates=H","DateFormat=P","Fill=—","Direction=H","UseDPDF=Y")</f>
        <v>#NAME?</v>
      </c>
      <c r="BM649" s="2" t="e">
        <f ca="1">_xll.BDH($C$628,"INVENTORY_SEQUENTIAL_GROWTH","FQ1 2018","FQ1 2018","Currency=INR","Period=FQ","BEST_FPERIOD_OVERRIDE=FQ","FILING_STATUS=OR","EQY_CONSOLIDATED=Y","Sort=A","Dates=H","DateFormat=P","Fill=—","Direction=H","UseDPDF=Y")</f>
        <v>#NAME?</v>
      </c>
      <c r="BN649" s="2" t="e">
        <f ca="1">_xll.BDH($C$628,"FIXED_ASSETS_SEQUENTIAL_GROWTH","FQ1 2018","FQ1 2018","Currency=INR","Period=FQ","BEST_FPERIOD_OVERRIDE=FQ","FILING_STATUS=OR","EQY_CONSOLIDATED=Y","Sort=A","Dates=H","DateFormat=P","Fill=—","Direction=H","UseDPDF=Y")</f>
        <v>#NAME?</v>
      </c>
      <c r="BO649" s="2" t="e">
        <f ca="1">_xll.BDH($C$628,"TOTAL_ASSETS_SEQUENTIAL_GROWTH","FQ1 2018","FQ1 2018","Currency=INR","Period=FQ","BEST_FPERIOD_OVERRIDE=FQ","FILING_STATUS=OR","EQY_CONSOLIDATED=Y","Sort=A","Dates=H","DateFormat=P","Fill=—","Direction=H","UseDPDF=Y")</f>
        <v>#NAME?</v>
      </c>
      <c r="BP649" s="2" t="e">
        <f ca="1">_xll.BDH($C$628,"MODIFIED_WORKING_CPTL_SEQ_GRWTH","FQ1 2018","FQ1 2018","Currency=INR","Period=FQ","BEST_FPERIOD_OVERRIDE=FQ","FILING_STATUS=OR","EQY_CONSOLIDATED=Y","Sort=A","Dates=H","DateFormat=P","Fill=—","Direction=H","UseDPDF=Y")</f>
        <v>#NAME?</v>
      </c>
      <c r="BQ649" s="2" t="e">
        <f ca="1">_xll.BDH($C$628,"WORKING_CAPITAL_SEQ_GROWTH","FQ1 2018","FQ1 2018","Currency=INR","Period=FQ","BEST_FPERIOD_OVERRIDE=FQ","FILING_STATUS=OR","EQY_CONSOLIDATED=Y","Sort=A","Dates=H","DateFormat=P","Fill=—","Direction=H","UseDPDF=Y")</f>
        <v>#NAME?</v>
      </c>
      <c r="BR649" s="2" t="e">
        <f ca="1">_xll.BDH($C$628,"ACCOUNTS_PAYABLE_SEQ_GROWTH","FQ1 2018","FQ1 2018","Currency=INR","Period=FQ","BEST_FPERIOD_OVERRIDE=FQ","FILING_STATUS=OR","EQY_CONSOLIDATED=Y","Sort=A","Dates=H","DateFormat=P","Fill=—","Direction=H","UseDPDF=Y")</f>
        <v>#NAME?</v>
      </c>
      <c r="BS649" s="2" t="e">
        <f ca="1">_xll.BDH($C$628,"ST_DEBT_SEQUENTIAL_GROWTH","FQ1 2018","FQ1 2018","Currency=INR","Period=FQ","BEST_FPERIOD_OVERRIDE=FQ","FILING_STATUS=OR","EQY_CONSOLIDATED=Y","Sort=A","Dates=H","DateFormat=P","Fill=—","Direction=H","UseDPDF=Y")</f>
        <v>#NAME?</v>
      </c>
      <c r="BT649" s="2" t="e">
        <f ca="1">_xll.BDH($C$628,"TOTAL_DEBT_SEQUENTIAL_GROWTH","FQ1 2018","FQ1 2018","Currency=INR","Period=FQ","BEST_FPERIOD_OVERRIDE=FQ","FILING_STATUS=OR","EQY_CONSOLIDATED=Y","Sort=A","Dates=H","DateFormat=P","Fill=—","Direction=H","UseDPDF=Y")</f>
        <v>#NAME?</v>
      </c>
      <c r="BU649" s="2" t="e">
        <f ca="1">_xll.BDH($C$628,"TOTAL_EQUITY_SEQUENTIAL_GROWTH","FQ1 2018","FQ1 2018","Currency=INR","Period=FQ","BEST_FPERIOD_OVERRIDE=FQ","FILING_STATUS=OR","EQY_CONSOLIDATED=Y","Sort=A","Dates=H","DateFormat=P","Fill=—","Direction=H","UseDPDF=Y")</f>
        <v>#NAME?</v>
      </c>
      <c r="BV649" s="2" t="e">
        <f ca="1">_xll.BDH($C$628,"TOTAL_CAPITAL_SEQUENTIAL_GROWTH","FQ1 2018","FQ1 2018","Currency=INR","Period=FQ","BEST_FPERIOD_OVERRIDE=FQ","FILING_STATUS=OR","EQY_CONSOLIDATED=Y","Sort=A","Dates=H","DateFormat=P","Fill=—","Direction=H","UseDPDF=Y")</f>
        <v>#NAME?</v>
      </c>
      <c r="BW649" s="2" t="e">
        <f ca="1">_xll.BDH($C$628,"BPS_SEQUENTIAL_GROWTH","FQ1 2018","FQ1 2018","Currency=INR","Period=FQ","BEST_FPERIOD_OVERRIDE=FQ","FILING_STATUS=OR","EQY_CONSOLIDATED=Y","Sort=A","Dates=H","DateFormat=P","Fill=—","Direction=H","UseDPDF=Y")</f>
        <v>#NAME?</v>
      </c>
      <c r="BX649" s="2" t="e">
        <f ca="1">_xll.BDH($C$628,"CFO_SEQUENTIAL_GROWTH","FQ1 2018","FQ1 2018","Currency=INR","Period=FQ","BEST_FPERIOD_OVERRIDE=FQ","FILING_STATUS=OR","EQY_CONSOLIDATED=Y","Sort=A","Dates=H","DateFormat=P","Fill=—","Direction=H","UseDPDF=Y")</f>
        <v>#NAME?</v>
      </c>
      <c r="BY649" s="3" t="e">
        <f ca="1">_xll.BDH($C$628,"SHORT_AND_LONG_TERM_DEBT","FQ1 2018","FQ1 2018","Currency=INR","Period=FQ","BEST_FPERIOD_OVERRIDE=FQ","FILING_STATUS=OR","EQY_CONSOLIDATED=Y","SCALING_FORMAT=MLN","Sort=A","Dates=H","DateFormat=P","Fill=—","Direction=H","UseDPDF=Y")</f>
        <v>#NAME?</v>
      </c>
      <c r="BZ649" s="3" t="e">
        <f ca="1">_xll.BDH($C$628,"BS_ST_BORROW","FQ1 2018","FQ1 2018","Currency=INR","Period=FQ","BEST_FPERIOD_OVERRIDE=FQ","FILING_STATUS=OR","EQY_CONSOLIDATED=Y","SCALING_FORMAT=MLN","Sort=A","Dates=H","DateFormat=P","Fill=—","Direction=H","UseDPDF=Y")</f>
        <v>#NAME?</v>
      </c>
      <c r="CA649" s="3" t="e">
        <f ca="1">_xll.BDH($C$628,"BS_LT_BORROW","FQ1 2018","FQ1 2018","Currency=INR","Period=FQ","BEST_FPERIOD_OVERRIDE=FQ","FILING_STATUS=OR","EQY_CONSOLIDATED=Y","SCALING_FORMAT=MLN","Sort=A","Dates=H","DateFormat=P","Fill=—","Direction=H","UseDPDF=Y")</f>
        <v>#NAME?</v>
      </c>
      <c r="CB649" s="2" t="e">
        <f ca="1">_xll.BDH($C$628,"TOT_DEBT_TO_EBITDA","FQ1 2018","FQ1 2018","Currency=INR","Period=FQ","BEST_FPERIOD_OVERRIDE=FQ","FILING_STATUS=OR","EQY_CONSOLIDATED=Y","FA_ADJUSTED=GAAP","Sort=A","Dates=H","DateFormat=P","Fill=—","Direction=H","UseDPDF=Y")</f>
        <v>#NAME?</v>
      </c>
      <c r="CC649" s="2" t="e">
        <f ca="1">_xll.BDH($C$628,"NET_DEBT_TO_EBITDA","FQ1 2018","FQ1 2018","Currency=INR","Period=FQ","BEST_FPERIOD_OVERRIDE=FQ","FILING_STATUS=OR","EQY_CONSOLIDATED=Y","FA_ADJUSTED=GAAP","Sort=A","Dates=H","DateFormat=P","Fill=—","Direction=H","UseDPDF=Y")</f>
        <v>#NAME?</v>
      </c>
      <c r="CD649" s="2" t="e">
        <f ca="1">_xll.BDH($C$628,"TOTAL_DEBT_TO_EBIT","FQ1 2018","FQ1 2018","Currency=INR","Period=FQ","BEST_FPERIOD_OVERRIDE=FQ","FILING_STATUS=OR","EQY_CONSOLIDATED=Y","FA_ADJUSTED=GAAP","Sort=A","Dates=H","DateFormat=P","Fill=—","Direction=H","UseDPDF=Y")</f>
        <v>#NAME?</v>
      </c>
      <c r="CE649" s="2" t="e">
        <f ca="1">_xll.BDH($C$628,"NET_DEBT_TO_EBIT","FQ1 2018","FQ1 2018","Currency=INR","Period=FQ","BEST_FPERIOD_OVERRIDE=FQ","FILING_STATUS=OR","EQY_CONSOLIDATED=Y","FA_ADJUSTED=GAAP","Sort=A","Dates=H","DateFormat=P","Fill=—","Direction=H","UseDPDF=Y")</f>
        <v>#NAME?</v>
      </c>
      <c r="CF649" s="2" t="e">
        <f ca="1">_xll.BDH($C$628,"EBITDA_TO_INTEREST_EXPN","FQ1 2018","FQ1 2018","Currency=INR","Period=FQ","BEST_FPERIOD_OVERRIDE=FQ","FILING_STATUS=OR","EQY_CONSOLIDATED=Y","FA_ADJUSTED=GAAP","Sort=A","Dates=H","DateFormat=P","Fill=—","Direction=H","UseDPDF=Y")</f>
        <v>#NAME?</v>
      </c>
      <c r="CG649" s="2" t="e">
        <f ca="1">_xll.BDH($C$628,"COM_EQY_TO_TOT_ASSET","FQ1 2018","FQ1 2018","Currency=INR","Period=FQ","BEST_FPERIOD_OVERRIDE=FQ","FILING_STATUS=OR","EQY_CONSOLIDATED=Y","Sort=A","Dates=H","DateFormat=P","Fill=—","Direction=H","UseDPDF=Y")</f>
        <v>#NAME?</v>
      </c>
      <c r="CH649" s="2" t="e">
        <f ca="1">_xll.BDH($C$628,"LT_DEBT_TO_TOT_EQY","FQ1 2018","FQ1 2018","Currency=INR","Period=FQ","BEST_FPERIOD_OVERRIDE=FQ","FILING_STATUS=OR","EQY_CONSOLIDATED=Y","Sort=A","Dates=H","DateFormat=P","Fill=—","Direction=H","UseDPDF=Y")</f>
        <v>#NAME?</v>
      </c>
      <c r="CI649" s="2" t="e">
        <f ca="1">_xll.BDH($C$628,"LT_DEBT_TO_TOT_CAP","FQ1 2018","FQ1 2018","Currency=INR","Period=FQ","BEST_FPERIOD_OVERRIDE=FQ","FILING_STATUS=OR","EQY_CONSOLIDATED=Y","Sort=A","Dates=H","DateFormat=P","Fill=—","Direction=H","UseDPDF=Y")</f>
        <v>#NAME?</v>
      </c>
      <c r="CJ649" s="2" t="e">
        <f ca="1">_xll.BDH($C$628,"LT_DEBT_TO_TOT_ASSET","FQ1 2018","FQ1 2018","Currency=INR","Period=FQ","BEST_FPERIOD_OVERRIDE=FQ","FILING_STATUS=OR","EQY_CONSOLIDATED=Y","Sort=A","Dates=H","DateFormat=P","Fill=—","Direction=H","UseDPDF=Y")</f>
        <v>#NAME?</v>
      </c>
      <c r="CK649" s="2" t="e">
        <f ca="1">_xll.BDH($C$628,"TOT_DEBT_TO_TOT_EQY","FQ1 2018","FQ1 2018","Currency=INR","Period=FQ","BEST_FPERIOD_OVERRIDE=FQ","FILING_STATUS=OR","EQY_CONSOLIDATED=Y","Sort=A","Dates=H","DateFormat=P","Fill=—","Direction=H","UseDPDF=Y")</f>
        <v>#NAME?</v>
      </c>
      <c r="CL649" s="2" t="e">
        <f ca="1">_xll.BDH($C$628,"TOT_DEBT_TO_TOT_CAP","FQ1 2018","FQ1 2018","Currency=INR","Period=FQ","BEST_FPERIOD_OVERRIDE=FQ","FILING_STATUS=OR","EQY_CONSOLIDATED=Y","Sort=A","Dates=H","DateFormat=P","Fill=—","Direction=H","UseDPDF=Y")</f>
        <v>#NAME?</v>
      </c>
      <c r="CM649" s="2" t="e">
        <f ca="1">_xll.BDH($C$628,"TOT_DEBT_TO_TOT_ASSET","FQ1 2018","FQ1 2018","Currency=INR","Period=FQ","BEST_FPERIOD_OVERRIDE=FQ","FILING_STATUS=OR","EQY_CONSOLIDATED=Y","Sort=A","Dates=H","DateFormat=P","Fill=—","Direction=H","UseDPDF=Y")</f>
        <v>#NAME?</v>
      </c>
      <c r="CN649" s="2" t="e">
        <f ca="1">_xll.BDH($C$628,"NET_DEBT_TO_SHRHLDR_EQTY","FQ1 2018","FQ1 2018","Currency=INR","Period=FQ","BEST_FPERIOD_OVERRIDE=FQ","FILING_STATUS=OR","EQY_CONSOLIDATED=Y","Sort=A","Dates=H","DateFormat=P","Fill=—","Direction=H","UseDPDF=Y")</f>
        <v>#NAME?</v>
      </c>
      <c r="CO649" s="2" t="e">
        <f ca="1">_xll.BDH($C$628,"NET_DEBT_%_CAPITAL","FQ1 2018","FQ1 2018","Currency=INR","Period=FQ","BEST_FPERIOD_OVERRIDE=FQ","FILING_STATUS=OR","EQY_CONSOLIDATED=Y","Sort=A","Dates=H","DateFormat=P","Fill=—","Direction=H","UseDPDF=Y")</f>
        <v>#NAME?</v>
      </c>
      <c r="CP649" s="3" t="e">
        <f ca="1">_xll.BDH($C$628,"EBITDA","FQ1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Q649" s="3" t="e">
        <f ca="1">_xll.BDH($C$628,"EBITDA_AFTER_CAPEX","FQ1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R649" s="3" t="e">
        <f ca="1">_xll.BDH($C$628,"IS_OPER_INC","FQ1 2018","FQ1 2018","Currency=INR","Period=FQ","BEST_FPERIOD_OVERRIDE=FQ","FILING_STATUS=OR","EQY_CONSOLIDATED=Y","SCALING_FORMAT=MLN","FA_ADJUSTED=GAAP","Sort=A","Dates=H","DateFormat=P","Fill=—","Direction=H","UseDPDF=Y")</f>
        <v>#NAME?</v>
      </c>
      <c r="CS649" s="2" t="e">
        <f ca="1">_xll.BDH($C$628,"CASH_RATIO","FQ1 2018","FQ1 2018","Currency=INR","Period=FQ","BEST_FPERIOD_OVERRIDE=FQ","FILING_STATUS=OR","EQY_CONSOLIDATED=Y","Sort=A","Dates=H","DateFormat=P","Fill=—","Direction=H","UseDPDF=Y")</f>
        <v>#NAME?</v>
      </c>
      <c r="CT649" s="2" t="e">
        <f ca="1">_xll.BDH($C$628,"CUR_RATIO","FQ1 2018","FQ1 2018","Currency=INR","Period=FQ","BEST_FPERIOD_OVERRIDE=FQ","FILING_STATUS=OR","EQY_CONSOLIDATED=Y","Sort=A","Dates=H","DateFormat=P","Fill=—","Direction=H","UseDPDF=Y")</f>
        <v>#NAME?</v>
      </c>
      <c r="CU649" s="2" t="e">
        <f ca="1">_xll.BDH($C$628,"QUICK_RATIO","FQ1 2018","FQ1 2018","Currency=INR","Period=FQ","BEST_FPERIOD_OVERRIDE=FQ","FILING_STATUS=OR","EQY_CONSOLIDATED=Y","Sort=A","Dates=H","DateFormat=P","Fill=—","Direction=H","UseDPDF=Y")</f>
        <v>#NAME?</v>
      </c>
      <c r="CV649" s="2" t="e">
        <f ca="1">_xll.BDH($C$628,"ALTMAN_Z_SCORE","FQ1 2018","FQ1 2018","Currency=INR","Period=FQ","BEST_FPERIOD_OVERRIDE=FQ","FILING_STATUS=OR","EQY_CONSOLIDATED=Y","Sort=A","Dates=H","DateFormat=P","Fill=—","Direction=H","UseDPDF=Y")</f>
        <v>#NAME?</v>
      </c>
      <c r="CW649" s="4" t="e">
        <f ca="1">_xll.BDH($C$628,"ACCT_RCV_TURN","FQ1 2018","FQ1 2018","Currency=INR","Period=FQ","BEST_FPERIOD_OVERRIDE=FQ","FILING_STATUS=OR","EQY_CONSOLIDATED=Y","FA_ADJUSTED=GAAP","Sort=A","Dates=H","DateFormat=P","Fill=—","Direction=H","UseDPDF=Y")</f>
        <v>#NAME?</v>
      </c>
      <c r="CX649" s="2" t="e">
        <f ca="1">_xll.BDH($C$628,"ACCT_RCV_DAYS","FQ1 2018","FQ1 2018","Currency=INR","Period=FQ","BEST_FPERIOD_OVERRIDE=FQ","FILING_STATUS=OR","EQY_CONSOLIDATED=Y","FA_ADJUSTED=GAAP","Sort=A","Dates=H","DateFormat=P","Fill=—","Direction=H","UseDPDF=Y")</f>
        <v>#NAME?</v>
      </c>
      <c r="CY649" s="4" t="e">
        <f ca="1">_xll.BDH($C$628,"INVENT_TURN","FQ1 2018","FQ1 2018","Currency=INR","Period=FQ","BEST_FPERIOD_OVERRIDE=FQ","FILING_STATUS=OR","EQY_CONSOLIDATED=Y","FA_ADJUSTED=GAAP","Sort=A","Dates=H","DateFormat=P","Fill=—","Direction=H","UseDPDF=Y")</f>
        <v>#NAME?</v>
      </c>
      <c r="CZ649" s="2" t="e">
        <f ca="1">_xll.BDH($C$628,"INVENT_DAYS","FQ1 2018","FQ1 2018","Currency=INR","Period=FQ","BEST_FPERIOD_OVERRIDE=FQ","FILING_STATUS=OR","EQY_CONSOLIDATED=Y","FA_ADJUSTED=GAAP","Sort=A","Dates=H","DateFormat=P","Fill=—","Direction=H","UseDPDF=Y")</f>
        <v>#NAME?</v>
      </c>
      <c r="DA649" s="4" t="e">
        <f ca="1">_xll.BDH($C$628,"ACCOUNTS_PAYABLE_TURNOVER","FQ1 2018","FQ1 2018","Currency=INR","Period=FQ","BEST_FPERIOD_OVERRIDE=FQ","FILING_STATUS=OR","EQY_CONSOLIDATED=Y","FA_ADJUSTED=GAAP","Sort=A","Dates=H","DateFormat=P","Fill=—","Direction=H","UseDPDF=Y")</f>
        <v>#NAME?</v>
      </c>
      <c r="DB649" s="2" t="e">
        <f ca="1">_xll.BDH($C$628,"ACCOUNTS_PAYABLE_TURNOVER_DAYS","FQ1 2018","FQ1 2018","Currency=INR","Period=FQ","BEST_FPERIOD_OVERRIDE=FQ","FILING_STATUS=OR","EQY_CONSOLIDATED=Y","FA_ADJUSTED=GAAP","Sort=A","Dates=H","DateFormat=P","Fill=—","Direction=H","UseDPDF=Y")</f>
        <v>#NAME?</v>
      </c>
      <c r="DC649" s="4" t="e">
        <f ca="1">_xll.BDH($C$628,"CASH_CONVERSION_CYCLE","FQ1 2018","FQ1 2018","Currency=INR","Period=FQ","BEST_FPERIOD_OVERRIDE=FQ","FILING_STATUS=OR","EQY_CONSOLIDATED=Y","FA_ADJUSTED=GAAP","Sort=A","Dates=H","DateFormat=P","Fill=—","Direction=H","UseDPDF=Y")</f>
        <v>#NAME?</v>
      </c>
      <c r="DD649" s="4" t="e">
        <f ca="1">_xll.BDH($C$628,"INV_TO_CASH_DAYS","FQ1 2018","FQ1 2018","Currency=INR","Period=FQ","BEST_FPERIOD_OVERRIDE=FQ","FILING_STATUS=OR","EQY_CONSOLIDATED=Y","FA_ADJUSTED=GAAP","Sort=A","Dates=H","DateFormat=P","Fill=—","Direction=H","UseDPDF=Y")</f>
        <v>#NAME?</v>
      </c>
      <c r="DE649" s="5" t="e">
        <f ca="1">_xll.BDH($C$628,"BS_INVENTORIES","FQ1 2018","FQ1 2018","Currency=INR","Period=FQ","BEST_FPERIOD_OVERRIDE=FQ","FILING_STATUS=OR","EQY_CONSOLIDATED=Y","SCALING_FORMAT=MLN","Sort=A","Dates=H","DateFormat=P","Fill=—","Direction=H","UseDPDF=Y")</f>
        <v>#NAME?</v>
      </c>
      <c r="DF649" s="3" t="e">
        <f ca="1">_xll.BDH($C$628,"INVTRY_RAW_MATERIALS","FQ1 2018","FQ1 2018","Currency=INR","Period=FQ","BEST_FPERIOD_OVERRIDE=FQ","FILING_STATUS=OR","EQY_CONSOLIDATED=Y","SCALING_FORMAT=MLN","Sort=A","Dates=H","DateFormat=P","Fill=—","Direction=H","UseDPDF=Y")</f>
        <v>#NAME?</v>
      </c>
      <c r="DG649" s="3" t="e">
        <f ca="1">_xll.BDH($C$628,"INVTRY_IN_PROGRESS","FQ1 2018","FQ1 2018","Currency=INR","Period=FQ","BEST_FPERIOD_OVERRIDE=FQ","FILING_STATUS=OR","EQY_CONSOLIDATED=Y","SCALING_FORMAT=MLN","Sort=A","Dates=H","DateFormat=P","Fill=—","Direction=H","UseDPDF=Y")</f>
        <v>#NAME?</v>
      </c>
      <c r="DH649" s="3" t="e">
        <f ca="1">_xll.BDH($C$628,"INVTRY_FINISHED_GOODS","FQ1 2018","FQ1 2018","Currency=INR","Period=FQ","BEST_FPERIOD_OVERRIDE=FQ","FILING_STATUS=OR","EQY_CONSOLIDATED=Y","SCALING_FORMAT=MLN","Sort=A","Dates=H","DateFormat=P","Fill=—","Direction=H","UseDPDF=Y")</f>
        <v>#NAME?</v>
      </c>
      <c r="DI649" s="3" t="e">
        <f ca="1">_xll.BDH($C$628,"BS_OTHER_INV","FQ1 2018","FQ1 2018","Currency=INR","Period=FQ","BEST_FPERIOD_OVERRIDE=FQ","FILING_STATUS=OR","EQY_CONSOLIDATED=Y","SCALING_FORMAT=MLN","Sort=A","Dates=H","DateFormat=P","Fill=—","Direction=H","UseDPDF=Y")</f>
        <v>#NAME?</v>
      </c>
    </row>
    <row r="650" spans="1:113" x14ac:dyDescent="0.3">
      <c r="A650" s="6"/>
      <c r="B650" s="6"/>
      <c r="C650" s="6"/>
      <c r="D650" s="6"/>
      <c r="E650" t="s">
        <v>79</v>
      </c>
      <c r="F650" t="e">
        <f ca="1">_xll.BDH($C$628,"RETURN_COM_EQY","FQ2 2018","FQ2 2018","Currency=INR","Period=FQ","BEST_FPERIOD_OVERRIDE=FQ","FILING_STATUS=OR","EQY_CONSOLIDATED=Y","FA_ADJUSTED=GAAP","Sort=A","Dates=H","DateFormat=P","Fill=—","Direction=H","UseDPDF=Y")</f>
        <v>#NAME?</v>
      </c>
      <c r="G650" t="e">
        <f ca="1">_xll.BDH($C$628,"RETURN_ON_ASSET","FQ2 2018","FQ2 2018","Currency=INR","Period=FQ","BEST_FPERIOD_OVERRIDE=FQ","FILING_STATUS=OR","EQY_CONSOLIDATED=Y","FA_ADJUSTED=GAAP","Sort=A","Dates=H","DateFormat=P","Fill=—","Direction=H","UseDPDF=Y")</f>
        <v>#NAME?</v>
      </c>
      <c r="H650" t="e">
        <f ca="1">_xll.BDH($C$628,"RETURN_ON_CAP","FQ2 2018","FQ2 2018","Currency=INR","Period=FQ","BEST_FPERIOD_OVERRIDE=FQ","FILING_STATUS=OR","EQY_CONSOLIDATED=Y","FA_ADJUSTED=GAAP","Sort=A","Dates=H","DateFormat=P","Fill=—","Direction=H","UseDPDF=Y")</f>
        <v>#NAME?</v>
      </c>
      <c r="I650" t="e">
        <f ca="1">_xll.BDH($C$628,"RETURN_ON_INV_CAPITAL","FQ2 2018","FQ2 2018","Currency=INR","Period=FQ","BEST_FPERIOD_OVERRIDE=FQ","FILING_STATUS=OR","EQY_CONSOLIDATED=Y","FA_ADJUSTED=GAAP","Sort=A","Dates=H","DateFormat=P","Fill=—","Direction=H","UseDPDF=Y")</f>
        <v>#NAME?</v>
      </c>
      <c r="J650" t="e">
        <f ca="1">_xll.BDH($C$628,"EBITDA_TO_REVENUE","FQ2 2018","FQ2 2018","Currency=INR","Period=FQ","BEST_FPERIOD_OVERRIDE=FQ","FILING_STATUS=OR","EQY_CONSOLIDATED=Y","FA_ADJUSTED=GAAP","Sort=A","Dates=H","DateFormat=P","Fill=—","Direction=H","UseDPDF=Y")</f>
        <v>#NAME?</v>
      </c>
      <c r="K650" t="e">
        <f ca="1">_xll.BDH($C$628,"OPER_MARGIN","FQ2 2018","FQ2 2018","Currency=INR","Period=FQ","BEST_FPERIOD_OVERRIDE=FQ","FILING_STATUS=OR","EQY_CONSOLIDATED=Y","FA_ADJUSTED=GAAP","Sort=A","Dates=H","DateFormat=P","Fill=—","Direction=H","UseDPDF=Y")</f>
        <v>#NAME?</v>
      </c>
      <c r="L650" t="e">
        <f ca="1">_xll.BDH($C$628,"INCREMENTAL_OPERATING_MARGIN","FQ2 2018","FQ2 2018","Currency=INR","Period=FQ","BEST_FPERIOD_OVERRIDE=FQ","FILING_STATUS=OR","EQY_CONSOLIDATED=Y","FA_ADJUSTED=GAAP","Sort=A","Dates=H","DateFormat=P","Fill=—","Direction=H","UseDPDF=Y")</f>
        <v>#NAME?</v>
      </c>
      <c r="M650" t="e">
        <f ca="1">_xll.BDH($C$628,"PRETAX_INC_TO_NET_SALES","FQ2 2018","FQ2 2018","Currency=INR","Period=FQ","BEST_FPERIOD_OVERRIDE=FQ","FILING_STATUS=OR","EQY_CONSOLIDATED=Y","FA_ADJUSTED=GAAP","Sort=A","Dates=H","DateFormat=P","Fill=—","Direction=H","UseDPDF=Y")</f>
        <v>#NAME?</v>
      </c>
      <c r="N650" t="e">
        <f ca="1">_xll.BDH($C$628,"INC_BEF_XO_ITEMS_TO_NET_SALES","FQ2 2018","FQ2 2018","Currency=INR","Period=FQ","BEST_FPERIOD_OVERRIDE=FQ","FILING_STATUS=OR","EQY_CONSOLIDATED=Y","FA_ADJUSTED=GAAP","Sort=A","Dates=H","DateFormat=P","Fill=—","Direction=H","UseDPDF=Y")</f>
        <v>#NAME?</v>
      </c>
      <c r="O650" t="e">
        <f ca="1">_xll.BDH($C$628,"PROF_MARGIN","FQ2 2018","FQ2 2018","Currency=INR","Period=FQ","BEST_FPERIOD_OVERRIDE=FQ","FILING_STATUS=OR","EQY_CONSOLIDATED=Y","FA_ADJUSTED=GAAP","Sort=A","Dates=H","DateFormat=P","Fill=—","Direction=H","UseDPDF=Y")</f>
        <v>#NAME?</v>
      </c>
      <c r="P650" t="e">
        <f ca="1">_xll.BDH($C$628,"NET_INCOME_TO_COMMON_MARGIN","FQ2 2018","FQ2 2018","Currency=INR","Period=FQ","BEST_FPERIOD_OVERRIDE=FQ","FILING_STATUS=OR","EQY_CONSOLIDATED=Y","FA_ADJUSTED=GAAP","Sort=A","Dates=H","DateFormat=P","Fill=—","Direction=H","UseDPDF=Y")</f>
        <v>#NAME?</v>
      </c>
      <c r="Q650" t="e">
        <f ca="1">_xll.BDH($C$628,"EFF_TAX_RATE","FQ2 2018","FQ2 2018","Currency=INR","Period=FQ","BEST_FPERIOD_OVERRIDE=FQ","FILING_STATUS=OR","EQY_CONSOLIDATED=Y","FA_ADJUSTED=GAAP","Sort=A","Dates=H","DateFormat=P","Fill=—","Direction=H","UseDPDF=Y")</f>
        <v>#NAME?</v>
      </c>
      <c r="R650" t="e">
        <f ca="1">_xll.BDH($C$628,"DVD_PAYOUT_RATIO","FQ2 2018","FQ2 2018","Currency=INR","Period=FQ","BEST_FPERIOD_OVERRIDE=FQ","FILING_STATUS=OR","EQY_CONSOLIDATED=Y","FA_ADJUSTED=GAAP","Sort=A","Dates=H","DateFormat=P","Fill=—","Direction=H","UseDPDF=Y")</f>
        <v>#NAME?</v>
      </c>
      <c r="S650" t="e">
        <f ca="1">_xll.BDH($C$628,"SUSTAIN_GROWTH_RT","FQ2 2018","FQ2 2018","Currency=INR","Period=FQ","BEST_FPERIOD_OVERRIDE=FQ","FILING_STATUS=OR","EQY_CONSOLIDATED=Y","FA_ADJUSTED=GAAP","Sort=A","Dates=H","DateFormat=P","Fill=—","Direction=H","UseDPDF=Y")</f>
        <v>#NAME?</v>
      </c>
      <c r="T650" s="2" t="e">
        <f ca="1">_xll.BDH($C$628,"SALES_GROWTH","FQ2 2018","FQ2 2018","Currency=INR","Period=FQ","BEST_FPERIOD_OVERRIDE=FQ","FILING_STATUS=OR","EQY_CONSOLIDATED=Y","FA_ADJUSTED=GAAP","Sort=A","Dates=H","DateFormat=P","Fill=—","Direction=H","UseDPDF=Y")</f>
        <v>#NAME?</v>
      </c>
      <c r="U650" s="2" t="e">
        <f ca="1">_xll.BDH($C$628,"EBITDA_GROWTH","FQ2 2018","FQ2 2018","Currency=INR","Period=FQ","BEST_FPERIOD_OVERRIDE=FQ","FILING_STATUS=OR","EQY_CONSOLIDATED=Y","FA_ADJUSTED=GAAP","Sort=A","Dates=H","DateFormat=P","Fill=—","Direction=H","UseDPDF=Y")</f>
        <v>#NAME?</v>
      </c>
      <c r="V650" s="2" t="e">
        <f ca="1">_xll.BDH($C$628,"OPER_INC_GROWTH","FQ2 2018","FQ2 2018","Currency=INR","Period=FQ","BEST_FPERIOD_OVERRIDE=FQ","FILING_STATUS=OR","EQY_CONSOLIDATED=Y","FA_ADJUSTED=GAAP","Sort=A","Dates=H","DateFormat=P","Fill=—","Direction=H","UseDPDF=Y")</f>
        <v>#NAME?</v>
      </c>
      <c r="W650" s="2" t="e">
        <f ca="1">_xll.BDH($C$628,"EARN_FOR_COM_GROWTH","FQ2 2018","FQ2 2018","Currency=INR","Period=FQ","BEST_FPERIOD_OVERRIDE=FQ","FILING_STATUS=OR","EQY_CONSOLIDATED=Y","FA_ADJUSTED=GAAP","Sort=A","Dates=H","DateFormat=P","Fill=—","Direction=H","UseDPDF=Y")</f>
        <v>#NAME?</v>
      </c>
      <c r="X650" s="2" t="e">
        <f ca="1">_xll.BDH($C$628,"DILUTED_EPS_AFT_XO_ITEMS_GROWTH","FQ2 2018","FQ2 2018","Currency=INR","Period=FQ","BEST_FPERIOD_OVERRIDE=FQ","FILING_STATUS=OR","EQY_CONSOLIDATED=Y","FA_ADJUSTED=GAAP","Sort=A","Dates=H","DateFormat=P","Fill=—","Direction=H","UseDPDF=Y")</f>
        <v>#NAME?</v>
      </c>
      <c r="Y650" s="2" t="e">
        <f ca="1">_xll.BDH($C$628,"DIVIDEND_PER_SHARE_1_YEAR_GROWTH","FQ2 2018","FQ2 2018","Currency=INR","Period=FQ","BEST_FPERIOD_OVERRIDE=FQ","FILING_STATUS=OR","EQY_CONSOLIDATED=Y","Sort=A","Dates=H","DateFormat=P","Fill=—","Direction=H","UseDPDF=Y")</f>
        <v>#NAME?</v>
      </c>
      <c r="Z650" s="2" t="e">
        <f ca="1">_xll.BDH($C$628,"ACCOUNTS_RECEIVABLE_GROWTH","FQ2 2018","FQ2 2018","Currency=INR","Period=FQ","BEST_FPERIOD_OVERRIDE=FQ","FILING_STATUS=OR","EQY_CONSOLIDATED=Y","Sort=A","Dates=H","DateFormat=P","Fill=—","Direction=H","UseDPDF=Y")</f>
        <v>#NAME?</v>
      </c>
      <c r="AA650" s="2" t="e">
        <f ca="1">_xll.BDH($C$628,"INVENTORY_GROWTH","FQ2 2018","FQ2 2018","Currency=INR","Period=FQ","BEST_FPERIOD_OVERRIDE=FQ","FILING_STATUS=OR","EQY_CONSOLIDATED=Y","Sort=A","Dates=H","DateFormat=P","Fill=—","Direction=H","UseDPDF=Y")</f>
        <v>#NAME?</v>
      </c>
      <c r="AB650" s="2" t="e">
        <f ca="1">_xll.BDH($C$628,"NET_FIXED_ASSETS_1_YEAR_GROWTH","FQ2 2018","FQ2 2018","Currency=INR","Period=FQ","BEST_FPERIOD_OVERRIDE=FQ","FILING_STATUS=OR","EQY_CONSOLIDATED=Y","Sort=A","Dates=H","DateFormat=P","Fill=—","Direction=H","UseDPDF=Y")</f>
        <v>#NAME?</v>
      </c>
      <c r="AC650" s="2" t="e">
        <f ca="1">_xll.BDH($C$628,"ASSET_GROWTH","FQ2 2018","FQ2 2018","Currency=INR","Period=FQ","BEST_FPERIOD_OVERRIDE=FQ","FILING_STATUS=OR","EQY_CONSOLIDATED=Y","Sort=A","Dates=H","DateFormat=P","Fill=—","Direction=H","UseDPDF=Y")</f>
        <v>#NAME?</v>
      </c>
      <c r="AD650" s="2" t="e">
        <f ca="1">_xll.BDH($C$628,"MODIFIED_WORK_CAP_GROWTH","FQ2 2018","FQ2 2018","Currency=INR","Period=FQ","BEST_FPERIOD_OVERRIDE=FQ","FILING_STATUS=OR","EQY_CONSOLIDATED=Y","Sort=A","Dates=H","DateFormat=P","Fill=—","Direction=H","UseDPDF=Y")</f>
        <v>#NAME?</v>
      </c>
      <c r="AE650" s="2" t="e">
        <f ca="1">_xll.BDH($C$628,"WORK_CAP_GROWTH","FQ2 2018","FQ2 2018","Currency=INR","Period=FQ","BEST_FPERIOD_OVERRIDE=FQ","FILING_STATUS=OR","EQY_CONSOLIDATED=Y","Sort=A","Dates=H","DateFormat=P","Fill=—","Direction=H","UseDPDF=Y")</f>
        <v>#NAME?</v>
      </c>
      <c r="AF650" s="2" t="e">
        <f ca="1">_xll.BDH($C$628,"ACCOUNTS_PAYABLE_GROWTH_1YR","FQ2 2018","FQ2 2018","Currency=INR","Period=FQ","BEST_FPERIOD_OVERRIDE=FQ","FILING_STATUS=OR","EQY_CONSOLIDATED=Y","Sort=A","Dates=H","DateFormat=P","Fill=—","Direction=H","UseDPDF=Y")</f>
        <v>#NAME?</v>
      </c>
      <c r="AG650" s="2" t="e">
        <f ca="1">_xll.BDH($C$628,"SHORT_TERM_DEBT_1_YEAR_GROWTH","FQ2 2018","FQ2 2018","Currency=INR","Period=FQ","BEST_FPERIOD_OVERRIDE=FQ","FILING_STATUS=OR","EQY_CONSOLIDATED=Y","Sort=A","Dates=H","DateFormat=P","Fill=—","Direction=H","UseDPDF=Y")</f>
        <v>#NAME?</v>
      </c>
      <c r="AH650" s="2" t="e">
        <f ca="1">_xll.BDH($C$628,"TOTAL_DEBT_1_YEAR_GROWTH","FQ2 2018","FQ2 2018","Currency=INR","Period=FQ","BEST_FPERIOD_OVERRIDE=FQ","FILING_STATUS=OR","EQY_CONSOLIDATED=Y","Sort=A","Dates=H","DateFormat=P","Fill=—","Direction=H","UseDPDF=Y")</f>
        <v>#NAME?</v>
      </c>
      <c r="AI650" s="2" t="e">
        <f ca="1">_xll.BDH($C$628,"TOTAL_EQUITY_1_YEAR_GROWTH","FQ2 2018","FQ2 2018","Currency=INR","Period=FQ","BEST_FPERIOD_OVERRIDE=FQ","FILING_STATUS=OR","EQY_CONSOLIDATED=Y","Sort=A","Dates=H","DateFormat=P","Fill=—","Direction=H","UseDPDF=Y")</f>
        <v>#NAME?</v>
      </c>
      <c r="AJ650" s="2" t="e">
        <f ca="1">_xll.BDH($C$628,"GROWTH_IN_CAP","FQ2 2018","FQ2 2018","Currency=INR","Period=FQ","BEST_FPERIOD_OVERRIDE=FQ","FILING_STATUS=OR","EQY_CONSOLIDATED=Y","Sort=A","Dates=H","DateFormat=P","Fill=—","Direction=H","UseDPDF=Y")</f>
        <v>#NAME?</v>
      </c>
      <c r="AK650" s="2" t="e">
        <f ca="1">_xll.BDH($C$628,"BVPS_GROWTH","FQ2 2018","FQ2 2018","Currency=INR","Period=FQ","BEST_FPERIOD_OVERRIDE=FQ","FILING_STATUS=OR","EQY_CONSOLIDATED=Y","Sort=A","Dates=H","DateFormat=P","Fill=—","Direction=H","UseDPDF=Y")</f>
        <v>#NAME?</v>
      </c>
      <c r="AL650" s="2" t="e">
        <f ca="1">_xll.BDH($C$628,"CASH_FLOW_GROWTH","FQ2 2018","FQ2 2018","Currency=INR","Period=FQ","BEST_FPERIOD_OVERRIDE=FQ","FILING_STATUS=OR","EQY_CONSOLIDATED=Y","Sort=A","Dates=H","DateFormat=P","Fill=—","Direction=H","UseDPDF=Y")</f>
        <v>#NAME?</v>
      </c>
      <c r="AM650" s="2" t="e">
        <f ca="1">_xll.BDH($C$628,"GEO_GROW_NET_SALES","FQ2 2018","FQ2 2018","Currency=INR","Period=FQ","BEST_FPERIOD_OVERRIDE=FQ","FILING_STATUS=OR","EQY_CONSOLIDATED=Y","FA_ADJUSTED=GAAP","Sort=A","Dates=H","DateFormat=P","Fill=—","Direction=H","UseDPDF=Y")</f>
        <v>#NAME?</v>
      </c>
      <c r="AN650" s="2" t="e">
        <f ca="1">_xll.BDH($C$628,"GEO_GROW_EBITDA","FQ2 2018","FQ2 2018","Currency=INR","Period=FQ","BEST_FPERIOD_OVERRIDE=FQ","FILING_STATUS=OR","EQY_CONSOLIDATED=Y","FA_ADJUSTED=GAAP","Sort=A","Dates=H","DateFormat=P","Fill=—","Direction=H","UseDPDF=Y")</f>
        <v>#NAME?</v>
      </c>
      <c r="AO650" s="2" t="e">
        <f ca="1">_xll.BDH($C$628,"GEO_GROW_OPER_INC","FQ2 2018","FQ2 2018","Currency=INR","Period=FQ","BEST_FPERIOD_OVERRIDE=FQ","FILING_STATUS=OR","EQY_CONSOLIDATED=Y","FA_ADJUSTED=GAAP","Sort=A","Dates=H","DateFormat=P","Fill=—","Direction=H","UseDPDF=Y")</f>
        <v>#NAME?</v>
      </c>
      <c r="AP650" s="2" t="e">
        <f ca="1">_xll.BDH($C$628,"NET_INCOME_TO_COMMON_5_YR_GROWTH","FQ2 2018","FQ2 2018","Currency=INR","Period=FQ","BEST_FPERIOD_OVERRIDE=FQ","FILING_STATUS=OR","EQY_CONSOLIDATED=Y","FA_ADJUSTED=GAAP","Sort=A","Dates=H","DateFormat=P","Fill=—","Direction=H","UseDPDF=Y")</f>
        <v>#NAME?</v>
      </c>
      <c r="AQ650" s="2" t="e">
        <f ca="1">_xll.BDH($C$628,"5Y_GEO_GROWTH_DILUTED_EPS","FQ2 2018","FQ2 2018","Currency=INR","Period=FQ","BEST_FPERIOD_OVERRIDE=FQ","FILING_STATUS=OR","EQY_CONSOLIDATED=Y","FA_ADJUSTED=GAAP","Sort=A","Dates=H","DateFormat=P","Fill=—","Direction=H","UseDPDF=Y")</f>
        <v>#NAME?</v>
      </c>
      <c r="AR650" s="2" t="e">
        <f ca="1">_xll.BDH($C$628,"GEO_GROW_DVD_PER_SH","FQ2 2018","FQ2 2018","Currency=INR","Period=FQ","BEST_FPERIOD_OVERRIDE=FQ","FILING_STATUS=OR","EQY_CONSOLIDATED=Y","Sort=A","Dates=H","DateFormat=P","Fill=—","Direction=H","UseDPDF=Y")</f>
        <v>#NAME?</v>
      </c>
      <c r="AS650" s="2" t="e">
        <f ca="1">_xll.BDH($C$628,"ACCOUNTS_RECEIVABLE_5_YR_GROWTH","FQ2 2018","FQ2 2018","Currency=INR","Period=FQ","BEST_FPERIOD_OVERRIDE=FQ","FILING_STATUS=OR","EQY_CONSOLIDATED=Y","Sort=A","Dates=H","DateFormat=P","Fill=—","Direction=H","UseDPDF=Y")</f>
        <v>#NAME?</v>
      </c>
      <c r="AT650" s="2" t="e">
        <f ca="1">_xll.BDH($C$628,"INVENTORY_5_YEAR_GROWTH","FQ2 2018","FQ2 2018","Currency=INR","Period=FQ","BEST_FPERIOD_OVERRIDE=FQ","FILING_STATUS=OR","EQY_CONSOLIDATED=Y","Sort=A","Dates=H","DateFormat=P","Fill=—","Direction=H","UseDPDF=Y")</f>
        <v>#NAME?</v>
      </c>
      <c r="AU650" s="2" t="e">
        <f ca="1">_xll.BDH($C$628,"NET_FIXED_ASSETS_5_YEAR_GROWTH","FQ2 2018","FQ2 2018","Currency=INR","Period=FQ","BEST_FPERIOD_OVERRIDE=FQ","FILING_STATUS=OR","EQY_CONSOLIDATED=Y","Sort=A","Dates=H","DateFormat=P","Fill=—","Direction=H","UseDPDF=Y")</f>
        <v>#NAME?</v>
      </c>
      <c r="AV650" s="2" t="e">
        <f ca="1">_xll.BDH($C$628,"GEO_GROW_TOT_ASSET","FQ2 2018","FQ2 2018","Currency=INR","Period=FQ","BEST_FPERIOD_OVERRIDE=FQ","FILING_STATUS=OR","EQY_CONSOLIDATED=Y","Sort=A","Dates=H","DateFormat=P","Fill=—","Direction=H","UseDPDF=Y")</f>
        <v>#NAME?</v>
      </c>
      <c r="AW650" s="2" t="e">
        <f ca="1">_xll.BDH($C$628,"MODIFIED_WORKING_CPTL_5YR_GRWTH","FQ2 2018","FQ2 2018","Currency=INR","Period=FQ","BEST_FPERIOD_OVERRIDE=FQ","FILING_STATUS=OR","EQY_CONSOLIDATED=Y","Sort=A","Dates=H","DateFormat=P","Fill=—","Direction=H","UseDPDF=Y")</f>
        <v>#NAME?</v>
      </c>
      <c r="AX650" s="2" t="e">
        <f ca="1">_xll.BDH($C$628,"WORKING_CAPITAL_5_YEAR_GROWTH","FQ2 2018","FQ2 2018","Currency=INR","Period=FQ","BEST_FPERIOD_OVERRIDE=FQ","FILING_STATUS=OR","EQY_CONSOLIDATED=Y","Sort=A","Dates=H","DateFormat=P","Fill=—","Direction=H","UseDPDF=Y")</f>
        <v>#NAME?</v>
      </c>
      <c r="AY650" s="2" t="e">
        <f ca="1">_xll.BDH($C$628,"ACCOUNTS_PAYABLE_5_YEAR_GROWTH","FQ2 2018","FQ2 2018","Currency=INR","Period=FQ","BEST_FPERIOD_OVERRIDE=FQ","FILING_STATUS=OR","EQY_CONSOLIDATED=Y","Sort=A","Dates=H","DateFormat=P","Fill=—","Direction=H","UseDPDF=Y")</f>
        <v>#NAME?</v>
      </c>
      <c r="AZ650" s="2" t="e">
        <f ca="1">_xll.BDH($C$628,"SHORT_TERM_DEBT_5_YEAR_GROWTH","FQ2 2018","FQ2 2018","Currency=INR","Period=FQ","BEST_FPERIOD_OVERRIDE=FQ","FILING_STATUS=OR","EQY_CONSOLIDATED=Y","Sort=A","Dates=H","DateFormat=P","Fill=—","Direction=H","UseDPDF=Y")</f>
        <v>#NAME?</v>
      </c>
      <c r="BA650" s="2" t="e">
        <f ca="1">_xll.BDH($C$628,"TOTAL_DEBT_5_YEAR_GROWTH","FQ2 2018","FQ2 2018","Currency=INR","Period=FQ","BEST_FPERIOD_OVERRIDE=FQ","FILING_STATUS=OR","EQY_CONSOLIDATED=Y","Sort=A","Dates=H","DateFormat=P","Fill=—","Direction=H","UseDPDF=Y")</f>
        <v>#NAME?</v>
      </c>
      <c r="BB650" s="2" t="e">
        <f ca="1">_xll.BDH($C$628,"GEO_GROW_TOT_SHRHLDR_EQY","FQ2 2018","FQ2 2018","Currency=INR","Period=FQ","BEST_FPERIOD_OVERRIDE=FQ","FILING_STATUS=OR","EQY_CONSOLIDATED=Y","Sort=A","Dates=H","DateFormat=P","Fill=—","Direction=H","UseDPDF=Y")</f>
        <v>#NAME?</v>
      </c>
      <c r="BC650" s="2" t="e">
        <f ca="1">_xll.BDH($C$628,"TOTAL_CAPITAL_5_YEAR_GROWTH","FQ2 2018","FQ2 2018","Currency=INR","Period=FQ","BEST_FPERIOD_OVERRIDE=FQ","FILING_STATUS=OR","EQY_CONSOLIDATED=Y","Sort=A","Dates=H","DateFormat=P","Fill=—","Direction=H","UseDPDF=Y")</f>
        <v>#NAME?</v>
      </c>
      <c r="BD650" s="2" t="e">
        <f ca="1">_xll.BDH($C$628,"GEO_GROW_BOOK_VAL","FQ2 2018","FQ2 2018","Currency=INR","Period=FQ","BEST_FPERIOD_OVERRIDE=FQ","FILING_STATUS=OR","EQY_CONSOLIDATED=Y","Sort=A","Dates=H","DateFormat=P","Fill=—","Direction=H","UseDPDF=Y")</f>
        <v>#NAME?</v>
      </c>
      <c r="BE650" s="2" t="e">
        <f ca="1">_xll.BDH($C$628,"GEO_GROW_CASH_OPER_ACT","FQ2 2018","FQ2 2018","Currency=INR","Period=FQ","BEST_FPERIOD_OVERRIDE=FQ","FILING_STATUS=OR","EQY_CONSOLIDATED=Y","Sort=A","Dates=H","DateFormat=P","Fill=—","Direction=H","UseDPDF=Y")</f>
        <v>#NAME?</v>
      </c>
      <c r="BF650" s="2" t="e">
        <f ca="1">_xll.BDH($C$628,"REVENUE_SEQUENTIAL_GROWTH","FQ2 2018","FQ2 2018","Currency=INR","Period=FQ","BEST_FPERIOD_OVERRIDE=FQ","FILING_STATUS=OR","EQY_CONSOLIDATED=Y","FA_ADJUSTED=GAAP","Sort=A","Dates=H","DateFormat=P","Fill=—","Direction=H","UseDPDF=Y")</f>
        <v>#NAME?</v>
      </c>
      <c r="BG650" s="2" t="e">
        <f ca="1">_xll.BDH($C$628,"EBITDA_SEQUENTIAL_GROWTH","FQ2 2018","FQ2 2018","Currency=INR","Period=FQ","BEST_FPERIOD_OVERRIDE=FQ","FILING_STATUS=OR","EQY_CONSOLIDATED=Y","FA_ADJUSTED=GAAP","Sort=A","Dates=H","DateFormat=P","Fill=—","Direction=H","UseDPDF=Y")</f>
        <v>#NAME?</v>
      </c>
      <c r="BH650" s="2" t="e">
        <f ca="1">_xll.BDH($C$628,"OPERATING_INCOME_SEQ_GROWTH","FQ2 2018","FQ2 2018","Currency=INR","Period=FQ","BEST_FPERIOD_OVERRIDE=FQ","FILING_STATUS=OR","EQY_CONSOLIDATED=Y","FA_ADJUSTED=GAAP","Sort=A","Dates=H","DateFormat=P","Fill=—","Direction=H","UseDPDF=Y")</f>
        <v>#NAME?</v>
      </c>
      <c r="BI650" s="2" t="e">
        <f ca="1">_xll.BDH($C$628,"NET_INCOME_TO_COMMON_SEQ_GROWTH","FQ2 2018","FQ2 2018","Currency=INR","Period=FQ","BEST_FPERIOD_OVERRIDE=FQ","FILING_STATUS=OR","EQY_CONSOLIDATED=Y","FA_ADJUSTED=GAAP","Sort=A","Dates=H","DateFormat=P","Fill=—","Direction=H","UseDPDF=Y")</f>
        <v>#NAME?</v>
      </c>
      <c r="BJ650" s="2" t="e">
        <f ca="1">_xll.BDH($C$628,"EPS_DILUTED_SEQUENTIAL_GROWTH","FQ2 2018","FQ2 2018","Currency=INR","Period=FQ","BEST_FPERIOD_OVERRIDE=FQ","FILING_STATUS=OR","EQY_CONSOLIDATED=Y","FA_ADJUSTED=GAAP","Sort=A","Dates=H","DateFormat=P","Fill=—","Direction=H","UseDPDF=Y")</f>
        <v>#NAME?</v>
      </c>
      <c r="BK650" s="2" t="e">
        <f ca="1">_xll.BDH($C$628,"DPS_SEQUENTIAL_GROWTH","FQ2 2018","FQ2 2018","Currency=INR","Period=FQ","BEST_FPERIOD_OVERRIDE=FQ","FILING_STATUS=OR","EQY_CONSOLIDATED=Y","Sort=A","Dates=H","DateFormat=P","Fill=—","Direction=H","UseDPDF=Y")</f>
        <v>#NAME?</v>
      </c>
      <c r="BL650" s="2" t="e">
        <f ca="1">_xll.BDH($C$628,"ACCOUNTS_RECEIVABLE_SEQ_GROWTH","FQ2 2018","FQ2 2018","Currency=INR","Period=FQ","BEST_FPERIOD_OVERRIDE=FQ","FILING_STATUS=OR","EQY_CONSOLIDATED=Y","Sort=A","Dates=H","DateFormat=P","Fill=—","Direction=H","UseDPDF=Y")</f>
        <v>#NAME?</v>
      </c>
      <c r="BM650" s="2" t="e">
        <f ca="1">_xll.BDH($C$628,"INVENTORY_SEQUENTIAL_GROWTH","FQ2 2018","FQ2 2018","Currency=INR","Period=FQ","BEST_FPERIOD_OVERRIDE=FQ","FILING_STATUS=OR","EQY_CONSOLIDATED=Y","Sort=A","Dates=H","DateFormat=P","Fill=—","Direction=H","UseDPDF=Y")</f>
        <v>#NAME?</v>
      </c>
      <c r="BN650" s="2" t="e">
        <f ca="1">_xll.BDH($C$628,"FIXED_ASSETS_SEQUENTIAL_GROWTH","FQ2 2018","FQ2 2018","Currency=INR","Period=FQ","BEST_FPERIOD_OVERRIDE=FQ","FILING_STATUS=OR","EQY_CONSOLIDATED=Y","Sort=A","Dates=H","DateFormat=P","Fill=—","Direction=H","UseDPDF=Y")</f>
        <v>#NAME?</v>
      </c>
      <c r="BO650" s="2" t="e">
        <f ca="1">_xll.BDH($C$628,"TOTAL_ASSETS_SEQUENTIAL_GROWTH","FQ2 2018","FQ2 2018","Currency=INR","Period=FQ","BEST_FPERIOD_OVERRIDE=FQ","FILING_STATUS=OR","EQY_CONSOLIDATED=Y","Sort=A","Dates=H","DateFormat=P","Fill=—","Direction=H","UseDPDF=Y")</f>
        <v>#NAME?</v>
      </c>
      <c r="BP650" s="2" t="e">
        <f ca="1">_xll.BDH($C$628,"MODIFIED_WORKING_CPTL_SEQ_GRWTH","FQ2 2018","FQ2 2018","Currency=INR","Period=FQ","BEST_FPERIOD_OVERRIDE=FQ","FILING_STATUS=OR","EQY_CONSOLIDATED=Y","Sort=A","Dates=H","DateFormat=P","Fill=—","Direction=H","UseDPDF=Y")</f>
        <v>#NAME?</v>
      </c>
      <c r="BQ650" s="2" t="e">
        <f ca="1">_xll.BDH($C$628,"WORKING_CAPITAL_SEQ_GROWTH","FQ2 2018","FQ2 2018","Currency=INR","Period=FQ","BEST_FPERIOD_OVERRIDE=FQ","FILING_STATUS=OR","EQY_CONSOLIDATED=Y","Sort=A","Dates=H","DateFormat=P","Fill=—","Direction=H","UseDPDF=Y")</f>
        <v>#NAME?</v>
      </c>
      <c r="BR650" s="2" t="e">
        <f ca="1">_xll.BDH($C$628,"ACCOUNTS_PAYABLE_SEQ_GROWTH","FQ2 2018","FQ2 2018","Currency=INR","Period=FQ","BEST_FPERIOD_OVERRIDE=FQ","FILING_STATUS=OR","EQY_CONSOLIDATED=Y","Sort=A","Dates=H","DateFormat=P","Fill=—","Direction=H","UseDPDF=Y")</f>
        <v>#NAME?</v>
      </c>
      <c r="BS650" s="2" t="e">
        <f ca="1">_xll.BDH($C$628,"ST_DEBT_SEQUENTIAL_GROWTH","FQ2 2018","FQ2 2018","Currency=INR","Period=FQ","BEST_FPERIOD_OVERRIDE=FQ","FILING_STATUS=OR","EQY_CONSOLIDATED=Y","Sort=A","Dates=H","DateFormat=P","Fill=—","Direction=H","UseDPDF=Y")</f>
        <v>#NAME?</v>
      </c>
      <c r="BT650" s="2" t="e">
        <f ca="1">_xll.BDH($C$628,"TOTAL_DEBT_SEQUENTIAL_GROWTH","FQ2 2018","FQ2 2018","Currency=INR","Period=FQ","BEST_FPERIOD_OVERRIDE=FQ","FILING_STATUS=OR","EQY_CONSOLIDATED=Y","Sort=A","Dates=H","DateFormat=P","Fill=—","Direction=H","UseDPDF=Y")</f>
        <v>#NAME?</v>
      </c>
      <c r="BU650" s="2" t="e">
        <f ca="1">_xll.BDH($C$628,"TOTAL_EQUITY_SEQUENTIAL_GROWTH","FQ2 2018","FQ2 2018","Currency=INR","Period=FQ","BEST_FPERIOD_OVERRIDE=FQ","FILING_STATUS=OR","EQY_CONSOLIDATED=Y","Sort=A","Dates=H","DateFormat=P","Fill=—","Direction=H","UseDPDF=Y")</f>
        <v>#NAME?</v>
      </c>
      <c r="BV650" s="2" t="e">
        <f ca="1">_xll.BDH($C$628,"TOTAL_CAPITAL_SEQUENTIAL_GROWTH","FQ2 2018","FQ2 2018","Currency=INR","Period=FQ","BEST_FPERIOD_OVERRIDE=FQ","FILING_STATUS=OR","EQY_CONSOLIDATED=Y","Sort=A","Dates=H","DateFormat=P","Fill=—","Direction=H","UseDPDF=Y")</f>
        <v>#NAME?</v>
      </c>
      <c r="BW650" s="2" t="e">
        <f ca="1">_xll.BDH($C$628,"BPS_SEQUENTIAL_GROWTH","FQ2 2018","FQ2 2018","Currency=INR","Period=FQ","BEST_FPERIOD_OVERRIDE=FQ","FILING_STATUS=OR","EQY_CONSOLIDATED=Y","Sort=A","Dates=H","DateFormat=P","Fill=—","Direction=H","UseDPDF=Y")</f>
        <v>#NAME?</v>
      </c>
      <c r="BX650" s="2" t="e">
        <f ca="1">_xll.BDH($C$628,"CFO_SEQUENTIAL_GROWTH","FQ2 2018","FQ2 2018","Currency=INR","Period=FQ","BEST_FPERIOD_OVERRIDE=FQ","FILING_STATUS=OR","EQY_CONSOLIDATED=Y","Sort=A","Dates=H","DateFormat=P","Fill=—","Direction=H","UseDPDF=Y")</f>
        <v>#NAME?</v>
      </c>
      <c r="BY650" s="3" t="e">
        <f ca="1">_xll.BDH($C$628,"SHORT_AND_LONG_TERM_DEBT","FQ2 2018","FQ2 2018","Currency=INR","Period=FQ","BEST_FPERIOD_OVERRIDE=FQ","FILING_STATUS=OR","EQY_CONSOLIDATED=Y","SCALING_FORMAT=MLN","Sort=A","Dates=H","DateFormat=P","Fill=—","Direction=H","UseDPDF=Y")</f>
        <v>#NAME?</v>
      </c>
      <c r="BZ650" s="3" t="e">
        <f ca="1">_xll.BDH($C$628,"BS_ST_BORROW","FQ2 2018","FQ2 2018","Currency=INR","Period=FQ","BEST_FPERIOD_OVERRIDE=FQ","FILING_STATUS=OR","EQY_CONSOLIDATED=Y","SCALING_FORMAT=MLN","Sort=A","Dates=H","DateFormat=P","Fill=—","Direction=H","UseDPDF=Y")</f>
        <v>#NAME?</v>
      </c>
      <c r="CA650" s="3" t="e">
        <f ca="1">_xll.BDH($C$628,"BS_LT_BORROW","FQ2 2018","FQ2 2018","Currency=INR","Period=FQ","BEST_FPERIOD_OVERRIDE=FQ","FILING_STATUS=OR","EQY_CONSOLIDATED=Y","SCALING_FORMAT=MLN","Sort=A","Dates=H","DateFormat=P","Fill=—","Direction=H","UseDPDF=Y")</f>
        <v>#NAME?</v>
      </c>
      <c r="CB650" s="2" t="e">
        <f ca="1">_xll.BDH($C$628,"TOT_DEBT_TO_EBITDA","FQ2 2018","FQ2 2018","Currency=INR","Period=FQ","BEST_FPERIOD_OVERRIDE=FQ","FILING_STATUS=OR","EQY_CONSOLIDATED=Y","FA_ADJUSTED=GAAP","Sort=A","Dates=H","DateFormat=P","Fill=—","Direction=H","UseDPDF=Y")</f>
        <v>#NAME?</v>
      </c>
      <c r="CC650" s="2" t="e">
        <f ca="1">_xll.BDH($C$628,"NET_DEBT_TO_EBITDA","FQ2 2018","FQ2 2018","Currency=INR","Period=FQ","BEST_FPERIOD_OVERRIDE=FQ","FILING_STATUS=OR","EQY_CONSOLIDATED=Y","FA_ADJUSTED=GAAP","Sort=A","Dates=H","DateFormat=P","Fill=—","Direction=H","UseDPDF=Y")</f>
        <v>#NAME?</v>
      </c>
      <c r="CD650" s="2" t="e">
        <f ca="1">_xll.BDH($C$628,"TOTAL_DEBT_TO_EBIT","FQ2 2018","FQ2 2018","Currency=INR","Period=FQ","BEST_FPERIOD_OVERRIDE=FQ","FILING_STATUS=OR","EQY_CONSOLIDATED=Y","FA_ADJUSTED=GAAP","Sort=A","Dates=H","DateFormat=P","Fill=—","Direction=H","UseDPDF=Y")</f>
        <v>#NAME?</v>
      </c>
      <c r="CE650" s="2" t="e">
        <f ca="1">_xll.BDH($C$628,"NET_DEBT_TO_EBIT","FQ2 2018","FQ2 2018","Currency=INR","Period=FQ","BEST_FPERIOD_OVERRIDE=FQ","FILING_STATUS=OR","EQY_CONSOLIDATED=Y","FA_ADJUSTED=GAAP","Sort=A","Dates=H","DateFormat=P","Fill=—","Direction=H","UseDPDF=Y")</f>
        <v>#NAME?</v>
      </c>
      <c r="CF650" s="2" t="e">
        <f ca="1">_xll.BDH($C$628,"EBITDA_TO_INTEREST_EXPN","FQ2 2018","FQ2 2018","Currency=INR","Period=FQ","BEST_FPERIOD_OVERRIDE=FQ","FILING_STATUS=OR","EQY_CONSOLIDATED=Y","FA_ADJUSTED=GAAP","Sort=A","Dates=H","DateFormat=P","Fill=—","Direction=H","UseDPDF=Y")</f>
        <v>#NAME?</v>
      </c>
      <c r="CG650" s="2" t="e">
        <f ca="1">_xll.BDH($C$628,"COM_EQY_TO_TOT_ASSET","FQ2 2018","FQ2 2018","Currency=INR","Period=FQ","BEST_FPERIOD_OVERRIDE=FQ","FILING_STATUS=OR","EQY_CONSOLIDATED=Y","Sort=A","Dates=H","DateFormat=P","Fill=—","Direction=H","UseDPDF=Y")</f>
        <v>#NAME?</v>
      </c>
      <c r="CH650" s="2" t="e">
        <f ca="1">_xll.BDH($C$628,"LT_DEBT_TO_TOT_EQY","FQ2 2018","FQ2 2018","Currency=INR","Period=FQ","BEST_FPERIOD_OVERRIDE=FQ","FILING_STATUS=OR","EQY_CONSOLIDATED=Y","Sort=A","Dates=H","DateFormat=P","Fill=—","Direction=H","UseDPDF=Y")</f>
        <v>#NAME?</v>
      </c>
      <c r="CI650" s="2" t="e">
        <f ca="1">_xll.BDH($C$628,"LT_DEBT_TO_TOT_CAP","FQ2 2018","FQ2 2018","Currency=INR","Period=FQ","BEST_FPERIOD_OVERRIDE=FQ","FILING_STATUS=OR","EQY_CONSOLIDATED=Y","Sort=A","Dates=H","DateFormat=P","Fill=—","Direction=H","UseDPDF=Y")</f>
        <v>#NAME?</v>
      </c>
      <c r="CJ650" s="2" t="e">
        <f ca="1">_xll.BDH($C$628,"LT_DEBT_TO_TOT_ASSET","FQ2 2018","FQ2 2018","Currency=INR","Period=FQ","BEST_FPERIOD_OVERRIDE=FQ","FILING_STATUS=OR","EQY_CONSOLIDATED=Y","Sort=A","Dates=H","DateFormat=P","Fill=—","Direction=H","UseDPDF=Y")</f>
        <v>#NAME?</v>
      </c>
      <c r="CK650" s="2" t="e">
        <f ca="1">_xll.BDH($C$628,"TOT_DEBT_TO_TOT_EQY","FQ2 2018","FQ2 2018","Currency=INR","Period=FQ","BEST_FPERIOD_OVERRIDE=FQ","FILING_STATUS=OR","EQY_CONSOLIDATED=Y","Sort=A","Dates=H","DateFormat=P","Fill=—","Direction=H","UseDPDF=Y")</f>
        <v>#NAME?</v>
      </c>
      <c r="CL650" s="2" t="e">
        <f ca="1">_xll.BDH($C$628,"TOT_DEBT_TO_TOT_CAP","FQ2 2018","FQ2 2018","Currency=INR","Period=FQ","BEST_FPERIOD_OVERRIDE=FQ","FILING_STATUS=OR","EQY_CONSOLIDATED=Y","Sort=A","Dates=H","DateFormat=P","Fill=—","Direction=H","UseDPDF=Y")</f>
        <v>#NAME?</v>
      </c>
      <c r="CM650" s="2" t="e">
        <f ca="1">_xll.BDH($C$628,"TOT_DEBT_TO_TOT_ASSET","FQ2 2018","FQ2 2018","Currency=INR","Period=FQ","BEST_FPERIOD_OVERRIDE=FQ","FILING_STATUS=OR","EQY_CONSOLIDATED=Y","Sort=A","Dates=H","DateFormat=P","Fill=—","Direction=H","UseDPDF=Y")</f>
        <v>#NAME?</v>
      </c>
      <c r="CN650" s="2" t="e">
        <f ca="1">_xll.BDH($C$628,"NET_DEBT_TO_SHRHLDR_EQTY","FQ2 2018","FQ2 2018","Currency=INR","Period=FQ","BEST_FPERIOD_OVERRIDE=FQ","FILING_STATUS=OR","EQY_CONSOLIDATED=Y","Sort=A","Dates=H","DateFormat=P","Fill=—","Direction=H","UseDPDF=Y")</f>
        <v>#NAME?</v>
      </c>
      <c r="CO650" s="2" t="e">
        <f ca="1">_xll.BDH($C$628,"NET_DEBT_%_CAPITAL","FQ2 2018","FQ2 2018","Currency=INR","Period=FQ","BEST_FPERIOD_OVERRIDE=FQ","FILING_STATUS=OR","EQY_CONSOLIDATED=Y","Sort=A","Dates=H","DateFormat=P","Fill=—","Direction=H","UseDPDF=Y")</f>
        <v>#NAME?</v>
      </c>
      <c r="CP650" s="3" t="e">
        <f ca="1">_xll.BDH($C$628,"EBITDA","FQ2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Q650" s="3" t="e">
        <f ca="1">_xll.BDH($C$628,"EBITDA_AFTER_CAPEX","FQ2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R650" s="3" t="e">
        <f ca="1">_xll.BDH($C$628,"IS_OPER_INC","FQ2 2018","FQ2 2018","Currency=INR","Period=FQ","BEST_FPERIOD_OVERRIDE=FQ","FILING_STATUS=OR","EQY_CONSOLIDATED=Y","SCALING_FORMAT=MLN","FA_ADJUSTED=GAAP","Sort=A","Dates=H","DateFormat=P","Fill=—","Direction=H","UseDPDF=Y")</f>
        <v>#NAME?</v>
      </c>
      <c r="CS650" s="2" t="e">
        <f ca="1">_xll.BDH($C$628,"CASH_RATIO","FQ2 2018","FQ2 2018","Currency=INR","Period=FQ","BEST_FPERIOD_OVERRIDE=FQ","FILING_STATUS=OR","EQY_CONSOLIDATED=Y","Sort=A","Dates=H","DateFormat=P","Fill=—","Direction=H","UseDPDF=Y")</f>
        <v>#NAME?</v>
      </c>
      <c r="CT650" s="2" t="e">
        <f ca="1">_xll.BDH($C$628,"CUR_RATIO","FQ2 2018","FQ2 2018","Currency=INR","Period=FQ","BEST_FPERIOD_OVERRIDE=FQ","FILING_STATUS=OR","EQY_CONSOLIDATED=Y","Sort=A","Dates=H","DateFormat=P","Fill=—","Direction=H","UseDPDF=Y")</f>
        <v>#NAME?</v>
      </c>
      <c r="CU650" s="2" t="e">
        <f ca="1">_xll.BDH($C$628,"QUICK_RATIO","FQ2 2018","FQ2 2018","Currency=INR","Period=FQ","BEST_FPERIOD_OVERRIDE=FQ","FILING_STATUS=OR","EQY_CONSOLIDATED=Y","Sort=A","Dates=H","DateFormat=P","Fill=—","Direction=H","UseDPDF=Y")</f>
        <v>#NAME?</v>
      </c>
      <c r="CV650" s="2" t="e">
        <f ca="1">_xll.BDH($C$628,"ALTMAN_Z_SCORE","FQ2 2018","FQ2 2018","Currency=INR","Period=FQ","BEST_FPERIOD_OVERRIDE=FQ","FILING_STATUS=OR","EQY_CONSOLIDATED=Y","Sort=A","Dates=H","DateFormat=P","Fill=—","Direction=H","UseDPDF=Y")</f>
        <v>#NAME?</v>
      </c>
      <c r="CW650" s="4" t="e">
        <f ca="1">_xll.BDH($C$628,"ACCT_RCV_TURN","FQ2 2018","FQ2 2018","Currency=INR","Period=FQ","BEST_FPERIOD_OVERRIDE=FQ","FILING_STATUS=OR","EQY_CONSOLIDATED=Y","FA_ADJUSTED=GAAP","Sort=A","Dates=H","DateFormat=P","Fill=—","Direction=H","UseDPDF=Y")</f>
        <v>#NAME?</v>
      </c>
      <c r="CX650" s="2" t="e">
        <f ca="1">_xll.BDH($C$628,"ACCT_RCV_DAYS","FQ2 2018","FQ2 2018","Currency=INR","Period=FQ","BEST_FPERIOD_OVERRIDE=FQ","FILING_STATUS=OR","EQY_CONSOLIDATED=Y","FA_ADJUSTED=GAAP","Sort=A","Dates=H","DateFormat=P","Fill=—","Direction=H","UseDPDF=Y")</f>
        <v>#NAME?</v>
      </c>
      <c r="CY650" s="4" t="e">
        <f ca="1">_xll.BDH($C$628,"INVENT_TURN","FQ2 2018","FQ2 2018","Currency=INR","Period=FQ","BEST_FPERIOD_OVERRIDE=FQ","FILING_STATUS=OR","EQY_CONSOLIDATED=Y","FA_ADJUSTED=GAAP","Sort=A","Dates=H","DateFormat=P","Fill=—","Direction=H","UseDPDF=Y")</f>
        <v>#NAME?</v>
      </c>
      <c r="CZ650" s="2" t="e">
        <f ca="1">_xll.BDH($C$628,"INVENT_DAYS","FQ2 2018","FQ2 2018","Currency=INR","Period=FQ","BEST_FPERIOD_OVERRIDE=FQ","FILING_STATUS=OR","EQY_CONSOLIDATED=Y","FA_ADJUSTED=GAAP","Sort=A","Dates=H","DateFormat=P","Fill=—","Direction=H","UseDPDF=Y")</f>
        <v>#NAME?</v>
      </c>
      <c r="DA650" s="4" t="e">
        <f ca="1">_xll.BDH($C$628,"ACCOUNTS_PAYABLE_TURNOVER","FQ2 2018","FQ2 2018","Currency=INR","Period=FQ","BEST_FPERIOD_OVERRIDE=FQ","FILING_STATUS=OR","EQY_CONSOLIDATED=Y","FA_ADJUSTED=GAAP","Sort=A","Dates=H","DateFormat=P","Fill=—","Direction=H","UseDPDF=Y")</f>
        <v>#NAME?</v>
      </c>
      <c r="DB650" s="2" t="e">
        <f ca="1">_xll.BDH($C$628,"ACCOUNTS_PAYABLE_TURNOVER_DAYS","FQ2 2018","FQ2 2018","Currency=INR","Period=FQ","BEST_FPERIOD_OVERRIDE=FQ","FILING_STATUS=OR","EQY_CONSOLIDATED=Y","FA_ADJUSTED=GAAP","Sort=A","Dates=H","DateFormat=P","Fill=—","Direction=H","UseDPDF=Y")</f>
        <v>#NAME?</v>
      </c>
      <c r="DC650" s="4" t="e">
        <f ca="1">_xll.BDH($C$628,"CASH_CONVERSION_CYCLE","FQ2 2018","FQ2 2018","Currency=INR","Period=FQ","BEST_FPERIOD_OVERRIDE=FQ","FILING_STATUS=OR","EQY_CONSOLIDATED=Y","FA_ADJUSTED=GAAP","Sort=A","Dates=H","DateFormat=P","Fill=—","Direction=H","UseDPDF=Y")</f>
        <v>#NAME?</v>
      </c>
      <c r="DD650" s="4" t="e">
        <f ca="1">_xll.BDH($C$628,"INV_TO_CASH_DAYS","FQ2 2018","FQ2 2018","Currency=INR","Period=FQ","BEST_FPERIOD_OVERRIDE=FQ","FILING_STATUS=OR","EQY_CONSOLIDATED=Y","FA_ADJUSTED=GAAP","Sort=A","Dates=H","DateFormat=P","Fill=—","Direction=H","UseDPDF=Y")</f>
        <v>#NAME?</v>
      </c>
      <c r="DE650" s="5" t="e">
        <f ca="1">_xll.BDH($C$628,"BS_INVENTORIES","FQ2 2018","FQ2 2018","Currency=INR","Period=FQ","BEST_FPERIOD_OVERRIDE=FQ","FILING_STATUS=OR","EQY_CONSOLIDATED=Y","SCALING_FORMAT=MLN","Sort=A","Dates=H","DateFormat=P","Fill=—","Direction=H","UseDPDF=Y")</f>
        <v>#NAME?</v>
      </c>
      <c r="DF650" s="3" t="e">
        <f ca="1">_xll.BDH($C$628,"INVTRY_RAW_MATERIALS","FQ2 2018","FQ2 2018","Currency=INR","Period=FQ","BEST_FPERIOD_OVERRIDE=FQ","FILING_STATUS=OR","EQY_CONSOLIDATED=Y","SCALING_FORMAT=MLN","Sort=A","Dates=H","DateFormat=P","Fill=—","Direction=H","UseDPDF=Y")</f>
        <v>#NAME?</v>
      </c>
      <c r="DG650" s="3" t="e">
        <f ca="1">_xll.BDH($C$628,"INVTRY_IN_PROGRESS","FQ2 2018","FQ2 2018","Currency=INR","Period=FQ","BEST_FPERIOD_OVERRIDE=FQ","FILING_STATUS=OR","EQY_CONSOLIDATED=Y","SCALING_FORMAT=MLN","Sort=A","Dates=H","DateFormat=P","Fill=—","Direction=H","UseDPDF=Y")</f>
        <v>#NAME?</v>
      </c>
      <c r="DH650" s="3" t="e">
        <f ca="1">_xll.BDH($C$628,"INVTRY_FINISHED_GOODS","FQ2 2018","FQ2 2018","Currency=INR","Period=FQ","BEST_FPERIOD_OVERRIDE=FQ","FILING_STATUS=OR","EQY_CONSOLIDATED=Y","SCALING_FORMAT=MLN","Sort=A","Dates=H","DateFormat=P","Fill=—","Direction=H","UseDPDF=Y")</f>
        <v>#NAME?</v>
      </c>
      <c r="DI650" s="3" t="e">
        <f ca="1">_xll.BDH($C$628,"BS_OTHER_INV","FQ2 2018","FQ2 2018","Currency=INR","Period=FQ","BEST_FPERIOD_OVERRIDE=FQ","FILING_STATUS=OR","EQY_CONSOLIDATED=Y","SCALING_FORMAT=MLN","Sort=A","Dates=H","DateFormat=P","Fill=—","Direction=H","UseDPDF=Y")</f>
        <v>#NAME?</v>
      </c>
    </row>
    <row r="651" spans="1:113" x14ac:dyDescent="0.3">
      <c r="A651" s="6"/>
      <c r="B651" s="6"/>
      <c r="C651" s="6"/>
      <c r="D651" s="6"/>
      <c r="E651" t="s">
        <v>80</v>
      </c>
      <c r="F651" t="e">
        <f ca="1">_xll.BDH($C$628,"RETURN_COM_EQY","FQ3 2018","FQ3 2018","Currency=INR","Period=FQ","BEST_FPERIOD_OVERRIDE=FQ","FILING_STATUS=OR","EQY_CONSOLIDATED=Y","FA_ADJUSTED=GAAP","Sort=A","Dates=H","DateFormat=P","Fill=—","Direction=H","UseDPDF=Y")</f>
        <v>#NAME?</v>
      </c>
      <c r="G651" t="e">
        <f ca="1">_xll.BDH($C$628,"RETURN_ON_ASSET","FQ3 2018","FQ3 2018","Currency=INR","Period=FQ","BEST_FPERIOD_OVERRIDE=FQ","FILING_STATUS=OR","EQY_CONSOLIDATED=Y","FA_ADJUSTED=GAAP","Sort=A","Dates=H","DateFormat=P","Fill=—","Direction=H","UseDPDF=Y")</f>
        <v>#NAME?</v>
      </c>
      <c r="H651" t="e">
        <f ca="1">_xll.BDH($C$628,"RETURN_ON_CAP","FQ3 2018","FQ3 2018","Currency=INR","Period=FQ","BEST_FPERIOD_OVERRIDE=FQ","FILING_STATUS=OR","EQY_CONSOLIDATED=Y","FA_ADJUSTED=GAAP","Sort=A","Dates=H","DateFormat=P","Fill=—","Direction=H","UseDPDF=Y")</f>
        <v>#NAME?</v>
      </c>
      <c r="I651" t="e">
        <f ca="1">_xll.BDH($C$628,"RETURN_ON_INV_CAPITAL","FQ3 2018","FQ3 2018","Currency=INR","Period=FQ","BEST_FPERIOD_OVERRIDE=FQ","FILING_STATUS=OR","EQY_CONSOLIDATED=Y","FA_ADJUSTED=GAAP","Sort=A","Dates=H","DateFormat=P","Fill=—","Direction=H","UseDPDF=Y")</f>
        <v>#NAME?</v>
      </c>
      <c r="J651" t="e">
        <f ca="1">_xll.BDH($C$628,"EBITDA_TO_REVENUE","FQ3 2018","FQ3 2018","Currency=INR","Period=FQ","BEST_FPERIOD_OVERRIDE=FQ","FILING_STATUS=OR","EQY_CONSOLIDATED=Y","FA_ADJUSTED=GAAP","Sort=A","Dates=H","DateFormat=P","Fill=—","Direction=H","UseDPDF=Y")</f>
        <v>#NAME?</v>
      </c>
      <c r="K651" t="e">
        <f ca="1">_xll.BDH($C$628,"OPER_MARGIN","FQ3 2018","FQ3 2018","Currency=INR","Period=FQ","BEST_FPERIOD_OVERRIDE=FQ","FILING_STATUS=OR","EQY_CONSOLIDATED=Y","FA_ADJUSTED=GAAP","Sort=A","Dates=H","DateFormat=P","Fill=—","Direction=H","UseDPDF=Y")</f>
        <v>#NAME?</v>
      </c>
      <c r="L651" t="e">
        <f ca="1">_xll.BDH($C$628,"INCREMENTAL_OPERATING_MARGIN","FQ3 2018","FQ3 2018","Currency=INR","Period=FQ","BEST_FPERIOD_OVERRIDE=FQ","FILING_STATUS=OR","EQY_CONSOLIDATED=Y","FA_ADJUSTED=GAAP","Sort=A","Dates=H","DateFormat=P","Fill=—","Direction=H","UseDPDF=Y")</f>
        <v>#NAME?</v>
      </c>
      <c r="M651" t="e">
        <f ca="1">_xll.BDH($C$628,"PRETAX_INC_TO_NET_SALES","FQ3 2018","FQ3 2018","Currency=INR","Period=FQ","BEST_FPERIOD_OVERRIDE=FQ","FILING_STATUS=OR","EQY_CONSOLIDATED=Y","FA_ADJUSTED=GAAP","Sort=A","Dates=H","DateFormat=P","Fill=—","Direction=H","UseDPDF=Y")</f>
        <v>#NAME?</v>
      </c>
      <c r="N651" t="e">
        <f ca="1">_xll.BDH($C$628,"INC_BEF_XO_ITEMS_TO_NET_SALES","FQ3 2018","FQ3 2018","Currency=INR","Period=FQ","BEST_FPERIOD_OVERRIDE=FQ","FILING_STATUS=OR","EQY_CONSOLIDATED=Y","FA_ADJUSTED=GAAP","Sort=A","Dates=H","DateFormat=P","Fill=—","Direction=H","UseDPDF=Y")</f>
        <v>#NAME?</v>
      </c>
      <c r="O651" t="e">
        <f ca="1">_xll.BDH($C$628,"PROF_MARGIN","FQ3 2018","FQ3 2018","Currency=INR","Period=FQ","BEST_FPERIOD_OVERRIDE=FQ","FILING_STATUS=OR","EQY_CONSOLIDATED=Y","FA_ADJUSTED=GAAP","Sort=A","Dates=H","DateFormat=P","Fill=—","Direction=H","UseDPDF=Y")</f>
        <v>#NAME?</v>
      </c>
      <c r="P651" t="e">
        <f ca="1">_xll.BDH($C$628,"NET_INCOME_TO_COMMON_MARGIN","FQ3 2018","FQ3 2018","Currency=INR","Period=FQ","BEST_FPERIOD_OVERRIDE=FQ","FILING_STATUS=OR","EQY_CONSOLIDATED=Y","FA_ADJUSTED=GAAP","Sort=A","Dates=H","DateFormat=P","Fill=—","Direction=H","UseDPDF=Y")</f>
        <v>#NAME?</v>
      </c>
      <c r="Q651" t="e">
        <f ca="1">_xll.BDH($C$628,"EFF_TAX_RATE","FQ3 2018","FQ3 2018","Currency=INR","Period=FQ","BEST_FPERIOD_OVERRIDE=FQ","FILING_STATUS=OR","EQY_CONSOLIDATED=Y","FA_ADJUSTED=GAAP","Sort=A","Dates=H","DateFormat=P","Fill=—","Direction=H","UseDPDF=Y")</f>
        <v>#NAME?</v>
      </c>
      <c r="R651" t="e">
        <f ca="1">_xll.BDH($C$628,"DVD_PAYOUT_RATIO","FQ3 2018","FQ3 2018","Currency=INR","Period=FQ","BEST_FPERIOD_OVERRIDE=FQ","FILING_STATUS=OR","EQY_CONSOLIDATED=Y","FA_ADJUSTED=GAAP","Sort=A","Dates=H","DateFormat=P","Fill=—","Direction=H","UseDPDF=Y")</f>
        <v>#NAME?</v>
      </c>
      <c r="S651" t="e">
        <f ca="1">_xll.BDH($C$628,"SUSTAIN_GROWTH_RT","FQ3 2018","FQ3 2018","Currency=INR","Period=FQ","BEST_FPERIOD_OVERRIDE=FQ","FILING_STATUS=OR","EQY_CONSOLIDATED=Y","FA_ADJUSTED=GAAP","Sort=A","Dates=H","DateFormat=P","Fill=—","Direction=H","UseDPDF=Y")</f>
        <v>#NAME?</v>
      </c>
      <c r="T651" s="2" t="e">
        <f ca="1">_xll.BDH($C$628,"SALES_GROWTH","FQ3 2018","FQ3 2018","Currency=INR","Period=FQ","BEST_FPERIOD_OVERRIDE=FQ","FILING_STATUS=OR","EQY_CONSOLIDATED=Y","FA_ADJUSTED=GAAP","Sort=A","Dates=H","DateFormat=P","Fill=—","Direction=H","UseDPDF=Y")</f>
        <v>#NAME?</v>
      </c>
      <c r="U651" s="2" t="e">
        <f ca="1">_xll.BDH($C$628,"EBITDA_GROWTH","FQ3 2018","FQ3 2018","Currency=INR","Period=FQ","BEST_FPERIOD_OVERRIDE=FQ","FILING_STATUS=OR","EQY_CONSOLIDATED=Y","FA_ADJUSTED=GAAP","Sort=A","Dates=H","DateFormat=P","Fill=—","Direction=H","UseDPDF=Y")</f>
        <v>#NAME?</v>
      </c>
      <c r="V651" s="2" t="e">
        <f ca="1">_xll.BDH($C$628,"OPER_INC_GROWTH","FQ3 2018","FQ3 2018","Currency=INR","Period=FQ","BEST_FPERIOD_OVERRIDE=FQ","FILING_STATUS=OR","EQY_CONSOLIDATED=Y","FA_ADJUSTED=GAAP","Sort=A","Dates=H","DateFormat=P","Fill=—","Direction=H","UseDPDF=Y")</f>
        <v>#NAME?</v>
      </c>
      <c r="W651" s="2" t="e">
        <f ca="1">_xll.BDH($C$628,"EARN_FOR_COM_GROWTH","FQ3 2018","FQ3 2018","Currency=INR","Period=FQ","BEST_FPERIOD_OVERRIDE=FQ","FILING_STATUS=OR","EQY_CONSOLIDATED=Y","FA_ADJUSTED=GAAP","Sort=A","Dates=H","DateFormat=P","Fill=—","Direction=H","UseDPDF=Y")</f>
        <v>#NAME?</v>
      </c>
      <c r="X651" s="2" t="e">
        <f ca="1">_xll.BDH($C$628,"DILUTED_EPS_AFT_XO_ITEMS_GROWTH","FQ3 2018","FQ3 2018","Currency=INR","Period=FQ","BEST_FPERIOD_OVERRIDE=FQ","FILING_STATUS=OR","EQY_CONSOLIDATED=Y","FA_ADJUSTED=GAAP","Sort=A","Dates=H","DateFormat=P","Fill=—","Direction=H","UseDPDF=Y")</f>
        <v>#NAME?</v>
      </c>
      <c r="Y651" s="2" t="e">
        <f ca="1">_xll.BDH($C$628,"DIVIDEND_PER_SHARE_1_YEAR_GROWTH","FQ3 2018","FQ3 2018","Currency=INR","Period=FQ","BEST_FPERIOD_OVERRIDE=FQ","FILING_STATUS=OR","EQY_CONSOLIDATED=Y","Sort=A","Dates=H","DateFormat=P","Fill=—","Direction=H","UseDPDF=Y")</f>
        <v>#NAME?</v>
      </c>
      <c r="Z651" s="2" t="e">
        <f ca="1">_xll.BDH($C$628,"ACCOUNTS_RECEIVABLE_GROWTH","FQ3 2018","FQ3 2018","Currency=INR","Period=FQ","BEST_FPERIOD_OVERRIDE=FQ","FILING_STATUS=OR","EQY_CONSOLIDATED=Y","Sort=A","Dates=H","DateFormat=P","Fill=—","Direction=H","UseDPDF=Y")</f>
        <v>#NAME?</v>
      </c>
      <c r="AA651" s="2" t="e">
        <f ca="1">_xll.BDH($C$628,"INVENTORY_GROWTH","FQ3 2018","FQ3 2018","Currency=INR","Period=FQ","BEST_FPERIOD_OVERRIDE=FQ","FILING_STATUS=OR","EQY_CONSOLIDATED=Y","Sort=A","Dates=H","DateFormat=P","Fill=—","Direction=H","UseDPDF=Y")</f>
        <v>#NAME?</v>
      </c>
      <c r="AB651" s="2" t="e">
        <f ca="1">_xll.BDH($C$628,"NET_FIXED_ASSETS_1_YEAR_GROWTH","FQ3 2018","FQ3 2018","Currency=INR","Period=FQ","BEST_FPERIOD_OVERRIDE=FQ","FILING_STATUS=OR","EQY_CONSOLIDATED=Y","Sort=A","Dates=H","DateFormat=P","Fill=—","Direction=H","UseDPDF=Y")</f>
        <v>#NAME?</v>
      </c>
      <c r="AC651" s="2" t="e">
        <f ca="1">_xll.BDH($C$628,"ASSET_GROWTH","FQ3 2018","FQ3 2018","Currency=INR","Period=FQ","BEST_FPERIOD_OVERRIDE=FQ","FILING_STATUS=OR","EQY_CONSOLIDATED=Y","Sort=A","Dates=H","DateFormat=P","Fill=—","Direction=H","UseDPDF=Y")</f>
        <v>#NAME?</v>
      </c>
      <c r="AD651" s="2" t="e">
        <f ca="1">_xll.BDH($C$628,"MODIFIED_WORK_CAP_GROWTH","FQ3 2018","FQ3 2018","Currency=INR","Period=FQ","BEST_FPERIOD_OVERRIDE=FQ","FILING_STATUS=OR","EQY_CONSOLIDATED=Y","Sort=A","Dates=H","DateFormat=P","Fill=—","Direction=H","UseDPDF=Y")</f>
        <v>#NAME?</v>
      </c>
      <c r="AE651" s="2" t="e">
        <f ca="1">_xll.BDH($C$628,"WORK_CAP_GROWTH","FQ3 2018","FQ3 2018","Currency=INR","Period=FQ","BEST_FPERIOD_OVERRIDE=FQ","FILING_STATUS=OR","EQY_CONSOLIDATED=Y","Sort=A","Dates=H","DateFormat=P","Fill=—","Direction=H","UseDPDF=Y")</f>
        <v>#NAME?</v>
      </c>
      <c r="AF651" s="2" t="e">
        <f ca="1">_xll.BDH($C$628,"ACCOUNTS_PAYABLE_GROWTH_1YR","FQ3 2018","FQ3 2018","Currency=INR","Period=FQ","BEST_FPERIOD_OVERRIDE=FQ","FILING_STATUS=OR","EQY_CONSOLIDATED=Y","Sort=A","Dates=H","DateFormat=P","Fill=—","Direction=H","UseDPDF=Y")</f>
        <v>#NAME?</v>
      </c>
      <c r="AG651" s="2" t="e">
        <f ca="1">_xll.BDH($C$628,"SHORT_TERM_DEBT_1_YEAR_GROWTH","FQ3 2018","FQ3 2018","Currency=INR","Period=FQ","BEST_FPERIOD_OVERRIDE=FQ","FILING_STATUS=OR","EQY_CONSOLIDATED=Y","Sort=A","Dates=H","DateFormat=P","Fill=—","Direction=H","UseDPDF=Y")</f>
        <v>#NAME?</v>
      </c>
      <c r="AH651" s="2" t="e">
        <f ca="1">_xll.BDH($C$628,"TOTAL_DEBT_1_YEAR_GROWTH","FQ3 2018","FQ3 2018","Currency=INR","Period=FQ","BEST_FPERIOD_OVERRIDE=FQ","FILING_STATUS=OR","EQY_CONSOLIDATED=Y","Sort=A","Dates=H","DateFormat=P","Fill=—","Direction=H","UseDPDF=Y")</f>
        <v>#NAME?</v>
      </c>
      <c r="AI651" s="2" t="e">
        <f ca="1">_xll.BDH($C$628,"TOTAL_EQUITY_1_YEAR_GROWTH","FQ3 2018","FQ3 2018","Currency=INR","Period=FQ","BEST_FPERIOD_OVERRIDE=FQ","FILING_STATUS=OR","EQY_CONSOLIDATED=Y","Sort=A","Dates=H","DateFormat=P","Fill=—","Direction=H","UseDPDF=Y")</f>
        <v>#NAME?</v>
      </c>
      <c r="AJ651" s="2" t="e">
        <f ca="1">_xll.BDH($C$628,"GROWTH_IN_CAP","FQ3 2018","FQ3 2018","Currency=INR","Period=FQ","BEST_FPERIOD_OVERRIDE=FQ","FILING_STATUS=OR","EQY_CONSOLIDATED=Y","Sort=A","Dates=H","DateFormat=P","Fill=—","Direction=H","UseDPDF=Y")</f>
        <v>#NAME?</v>
      </c>
      <c r="AK651" s="2" t="e">
        <f ca="1">_xll.BDH($C$628,"BVPS_GROWTH","FQ3 2018","FQ3 2018","Currency=INR","Period=FQ","BEST_FPERIOD_OVERRIDE=FQ","FILING_STATUS=OR","EQY_CONSOLIDATED=Y","Sort=A","Dates=H","DateFormat=P","Fill=—","Direction=H","UseDPDF=Y")</f>
        <v>#NAME?</v>
      </c>
      <c r="AL651" s="2" t="e">
        <f ca="1">_xll.BDH($C$628,"CASH_FLOW_GROWTH","FQ3 2018","FQ3 2018","Currency=INR","Period=FQ","BEST_FPERIOD_OVERRIDE=FQ","FILING_STATUS=OR","EQY_CONSOLIDATED=Y","Sort=A","Dates=H","DateFormat=P","Fill=—","Direction=H","UseDPDF=Y")</f>
        <v>#NAME?</v>
      </c>
      <c r="AM651" s="2" t="e">
        <f ca="1">_xll.BDH($C$628,"GEO_GROW_NET_SALES","FQ3 2018","FQ3 2018","Currency=INR","Period=FQ","BEST_FPERIOD_OVERRIDE=FQ","FILING_STATUS=OR","EQY_CONSOLIDATED=Y","FA_ADJUSTED=GAAP","Sort=A","Dates=H","DateFormat=P","Fill=—","Direction=H","UseDPDF=Y")</f>
        <v>#NAME?</v>
      </c>
      <c r="AN651" s="2" t="e">
        <f ca="1">_xll.BDH($C$628,"GEO_GROW_EBITDA","FQ3 2018","FQ3 2018","Currency=INR","Period=FQ","BEST_FPERIOD_OVERRIDE=FQ","FILING_STATUS=OR","EQY_CONSOLIDATED=Y","FA_ADJUSTED=GAAP","Sort=A","Dates=H","DateFormat=P","Fill=—","Direction=H","UseDPDF=Y")</f>
        <v>#NAME?</v>
      </c>
      <c r="AO651" s="2" t="e">
        <f ca="1">_xll.BDH($C$628,"GEO_GROW_OPER_INC","FQ3 2018","FQ3 2018","Currency=INR","Period=FQ","BEST_FPERIOD_OVERRIDE=FQ","FILING_STATUS=OR","EQY_CONSOLIDATED=Y","FA_ADJUSTED=GAAP","Sort=A","Dates=H","DateFormat=P","Fill=—","Direction=H","UseDPDF=Y")</f>
        <v>#NAME?</v>
      </c>
      <c r="AP651" s="2" t="e">
        <f ca="1">_xll.BDH($C$628,"NET_INCOME_TO_COMMON_5_YR_GROWTH","FQ3 2018","FQ3 2018","Currency=INR","Period=FQ","BEST_FPERIOD_OVERRIDE=FQ","FILING_STATUS=OR","EQY_CONSOLIDATED=Y","FA_ADJUSTED=GAAP","Sort=A","Dates=H","DateFormat=P","Fill=—","Direction=H","UseDPDF=Y")</f>
        <v>#NAME?</v>
      </c>
      <c r="AQ651" s="2" t="e">
        <f ca="1">_xll.BDH($C$628,"5Y_GEO_GROWTH_DILUTED_EPS","FQ3 2018","FQ3 2018","Currency=INR","Period=FQ","BEST_FPERIOD_OVERRIDE=FQ","FILING_STATUS=OR","EQY_CONSOLIDATED=Y","FA_ADJUSTED=GAAP","Sort=A","Dates=H","DateFormat=P","Fill=—","Direction=H","UseDPDF=Y")</f>
        <v>#NAME?</v>
      </c>
      <c r="AR651" s="2" t="e">
        <f ca="1">_xll.BDH($C$628,"GEO_GROW_DVD_PER_SH","FQ3 2018","FQ3 2018","Currency=INR","Period=FQ","BEST_FPERIOD_OVERRIDE=FQ","FILING_STATUS=OR","EQY_CONSOLIDATED=Y","Sort=A","Dates=H","DateFormat=P","Fill=—","Direction=H","UseDPDF=Y")</f>
        <v>#NAME?</v>
      </c>
      <c r="AS651" s="2" t="e">
        <f ca="1">_xll.BDH($C$628,"ACCOUNTS_RECEIVABLE_5_YR_GROWTH","FQ3 2018","FQ3 2018","Currency=INR","Period=FQ","BEST_FPERIOD_OVERRIDE=FQ","FILING_STATUS=OR","EQY_CONSOLIDATED=Y","Sort=A","Dates=H","DateFormat=P","Fill=—","Direction=H","UseDPDF=Y")</f>
        <v>#NAME?</v>
      </c>
      <c r="AT651" s="2" t="e">
        <f ca="1">_xll.BDH($C$628,"INVENTORY_5_YEAR_GROWTH","FQ3 2018","FQ3 2018","Currency=INR","Period=FQ","BEST_FPERIOD_OVERRIDE=FQ","FILING_STATUS=OR","EQY_CONSOLIDATED=Y","Sort=A","Dates=H","DateFormat=P","Fill=—","Direction=H","UseDPDF=Y")</f>
        <v>#NAME?</v>
      </c>
      <c r="AU651" s="2" t="e">
        <f ca="1">_xll.BDH($C$628,"NET_FIXED_ASSETS_5_YEAR_GROWTH","FQ3 2018","FQ3 2018","Currency=INR","Period=FQ","BEST_FPERIOD_OVERRIDE=FQ","FILING_STATUS=OR","EQY_CONSOLIDATED=Y","Sort=A","Dates=H","DateFormat=P","Fill=—","Direction=H","UseDPDF=Y")</f>
        <v>#NAME?</v>
      </c>
      <c r="AV651" s="2" t="e">
        <f ca="1">_xll.BDH($C$628,"GEO_GROW_TOT_ASSET","FQ3 2018","FQ3 2018","Currency=INR","Period=FQ","BEST_FPERIOD_OVERRIDE=FQ","FILING_STATUS=OR","EQY_CONSOLIDATED=Y","Sort=A","Dates=H","DateFormat=P","Fill=—","Direction=H","UseDPDF=Y")</f>
        <v>#NAME?</v>
      </c>
      <c r="AW651" s="2" t="e">
        <f ca="1">_xll.BDH($C$628,"MODIFIED_WORKING_CPTL_5YR_GRWTH","FQ3 2018","FQ3 2018","Currency=INR","Period=FQ","BEST_FPERIOD_OVERRIDE=FQ","FILING_STATUS=OR","EQY_CONSOLIDATED=Y","Sort=A","Dates=H","DateFormat=P","Fill=—","Direction=H","UseDPDF=Y")</f>
        <v>#NAME?</v>
      </c>
      <c r="AX651" s="2" t="e">
        <f ca="1">_xll.BDH($C$628,"WORKING_CAPITAL_5_YEAR_GROWTH","FQ3 2018","FQ3 2018","Currency=INR","Period=FQ","BEST_FPERIOD_OVERRIDE=FQ","FILING_STATUS=OR","EQY_CONSOLIDATED=Y","Sort=A","Dates=H","DateFormat=P","Fill=—","Direction=H","UseDPDF=Y")</f>
        <v>#NAME?</v>
      </c>
      <c r="AY651" s="2" t="e">
        <f ca="1">_xll.BDH($C$628,"ACCOUNTS_PAYABLE_5_YEAR_GROWTH","FQ3 2018","FQ3 2018","Currency=INR","Period=FQ","BEST_FPERIOD_OVERRIDE=FQ","FILING_STATUS=OR","EQY_CONSOLIDATED=Y","Sort=A","Dates=H","DateFormat=P","Fill=—","Direction=H","UseDPDF=Y")</f>
        <v>#NAME?</v>
      </c>
      <c r="AZ651" s="2" t="e">
        <f ca="1">_xll.BDH($C$628,"SHORT_TERM_DEBT_5_YEAR_GROWTH","FQ3 2018","FQ3 2018","Currency=INR","Period=FQ","BEST_FPERIOD_OVERRIDE=FQ","FILING_STATUS=OR","EQY_CONSOLIDATED=Y","Sort=A","Dates=H","DateFormat=P","Fill=—","Direction=H","UseDPDF=Y")</f>
        <v>#NAME?</v>
      </c>
      <c r="BA651" s="2" t="e">
        <f ca="1">_xll.BDH($C$628,"TOTAL_DEBT_5_YEAR_GROWTH","FQ3 2018","FQ3 2018","Currency=INR","Period=FQ","BEST_FPERIOD_OVERRIDE=FQ","FILING_STATUS=OR","EQY_CONSOLIDATED=Y","Sort=A","Dates=H","DateFormat=P","Fill=—","Direction=H","UseDPDF=Y")</f>
        <v>#NAME?</v>
      </c>
      <c r="BB651" s="2" t="e">
        <f ca="1">_xll.BDH($C$628,"GEO_GROW_TOT_SHRHLDR_EQY","FQ3 2018","FQ3 2018","Currency=INR","Period=FQ","BEST_FPERIOD_OVERRIDE=FQ","FILING_STATUS=OR","EQY_CONSOLIDATED=Y","Sort=A","Dates=H","DateFormat=P","Fill=—","Direction=H","UseDPDF=Y")</f>
        <v>#NAME?</v>
      </c>
      <c r="BC651" s="2" t="e">
        <f ca="1">_xll.BDH($C$628,"TOTAL_CAPITAL_5_YEAR_GROWTH","FQ3 2018","FQ3 2018","Currency=INR","Period=FQ","BEST_FPERIOD_OVERRIDE=FQ","FILING_STATUS=OR","EQY_CONSOLIDATED=Y","Sort=A","Dates=H","DateFormat=P","Fill=—","Direction=H","UseDPDF=Y")</f>
        <v>#NAME?</v>
      </c>
      <c r="BD651" s="2" t="e">
        <f ca="1">_xll.BDH($C$628,"GEO_GROW_BOOK_VAL","FQ3 2018","FQ3 2018","Currency=INR","Period=FQ","BEST_FPERIOD_OVERRIDE=FQ","FILING_STATUS=OR","EQY_CONSOLIDATED=Y","Sort=A","Dates=H","DateFormat=P","Fill=—","Direction=H","UseDPDF=Y")</f>
        <v>#NAME?</v>
      </c>
      <c r="BE651" s="2" t="e">
        <f ca="1">_xll.BDH($C$628,"GEO_GROW_CASH_OPER_ACT","FQ3 2018","FQ3 2018","Currency=INR","Period=FQ","BEST_FPERIOD_OVERRIDE=FQ","FILING_STATUS=OR","EQY_CONSOLIDATED=Y","Sort=A","Dates=H","DateFormat=P","Fill=—","Direction=H","UseDPDF=Y")</f>
        <v>#NAME?</v>
      </c>
      <c r="BF651" s="2" t="e">
        <f ca="1">_xll.BDH($C$628,"REVENUE_SEQUENTIAL_GROWTH","FQ3 2018","FQ3 2018","Currency=INR","Period=FQ","BEST_FPERIOD_OVERRIDE=FQ","FILING_STATUS=OR","EQY_CONSOLIDATED=Y","FA_ADJUSTED=GAAP","Sort=A","Dates=H","DateFormat=P","Fill=—","Direction=H","UseDPDF=Y")</f>
        <v>#NAME?</v>
      </c>
      <c r="BG651" s="2" t="e">
        <f ca="1">_xll.BDH($C$628,"EBITDA_SEQUENTIAL_GROWTH","FQ3 2018","FQ3 2018","Currency=INR","Period=FQ","BEST_FPERIOD_OVERRIDE=FQ","FILING_STATUS=OR","EQY_CONSOLIDATED=Y","FA_ADJUSTED=GAAP","Sort=A","Dates=H","DateFormat=P","Fill=—","Direction=H","UseDPDF=Y")</f>
        <v>#NAME?</v>
      </c>
      <c r="BH651" s="2" t="e">
        <f ca="1">_xll.BDH($C$628,"OPERATING_INCOME_SEQ_GROWTH","FQ3 2018","FQ3 2018","Currency=INR","Period=FQ","BEST_FPERIOD_OVERRIDE=FQ","FILING_STATUS=OR","EQY_CONSOLIDATED=Y","FA_ADJUSTED=GAAP","Sort=A","Dates=H","DateFormat=P","Fill=—","Direction=H","UseDPDF=Y")</f>
        <v>#NAME?</v>
      </c>
      <c r="BI651" s="2" t="e">
        <f ca="1">_xll.BDH($C$628,"NET_INCOME_TO_COMMON_SEQ_GROWTH","FQ3 2018","FQ3 2018","Currency=INR","Period=FQ","BEST_FPERIOD_OVERRIDE=FQ","FILING_STATUS=OR","EQY_CONSOLIDATED=Y","FA_ADJUSTED=GAAP","Sort=A","Dates=H","DateFormat=P","Fill=—","Direction=H","UseDPDF=Y")</f>
        <v>#NAME?</v>
      </c>
      <c r="BJ651" s="2" t="e">
        <f ca="1">_xll.BDH($C$628,"EPS_DILUTED_SEQUENTIAL_GROWTH","FQ3 2018","FQ3 2018","Currency=INR","Period=FQ","BEST_FPERIOD_OVERRIDE=FQ","FILING_STATUS=OR","EQY_CONSOLIDATED=Y","FA_ADJUSTED=GAAP","Sort=A","Dates=H","DateFormat=P","Fill=—","Direction=H","UseDPDF=Y")</f>
        <v>#NAME?</v>
      </c>
      <c r="BK651" s="2" t="e">
        <f ca="1">_xll.BDH($C$628,"DPS_SEQUENTIAL_GROWTH","FQ3 2018","FQ3 2018","Currency=INR","Period=FQ","BEST_FPERIOD_OVERRIDE=FQ","FILING_STATUS=OR","EQY_CONSOLIDATED=Y","Sort=A","Dates=H","DateFormat=P","Fill=—","Direction=H","UseDPDF=Y")</f>
        <v>#NAME?</v>
      </c>
      <c r="BL651" s="2" t="e">
        <f ca="1">_xll.BDH($C$628,"ACCOUNTS_RECEIVABLE_SEQ_GROWTH","FQ3 2018","FQ3 2018","Currency=INR","Period=FQ","BEST_FPERIOD_OVERRIDE=FQ","FILING_STATUS=OR","EQY_CONSOLIDATED=Y","Sort=A","Dates=H","DateFormat=P","Fill=—","Direction=H","UseDPDF=Y")</f>
        <v>#NAME?</v>
      </c>
      <c r="BM651" s="2" t="e">
        <f ca="1">_xll.BDH($C$628,"INVENTORY_SEQUENTIAL_GROWTH","FQ3 2018","FQ3 2018","Currency=INR","Period=FQ","BEST_FPERIOD_OVERRIDE=FQ","FILING_STATUS=OR","EQY_CONSOLIDATED=Y","Sort=A","Dates=H","DateFormat=P","Fill=—","Direction=H","UseDPDF=Y")</f>
        <v>#NAME?</v>
      </c>
      <c r="BN651" s="2" t="e">
        <f ca="1">_xll.BDH($C$628,"FIXED_ASSETS_SEQUENTIAL_GROWTH","FQ3 2018","FQ3 2018","Currency=INR","Period=FQ","BEST_FPERIOD_OVERRIDE=FQ","FILING_STATUS=OR","EQY_CONSOLIDATED=Y","Sort=A","Dates=H","DateFormat=P","Fill=—","Direction=H","UseDPDF=Y")</f>
        <v>#NAME?</v>
      </c>
      <c r="BO651" s="2" t="e">
        <f ca="1">_xll.BDH($C$628,"TOTAL_ASSETS_SEQUENTIAL_GROWTH","FQ3 2018","FQ3 2018","Currency=INR","Period=FQ","BEST_FPERIOD_OVERRIDE=FQ","FILING_STATUS=OR","EQY_CONSOLIDATED=Y","Sort=A","Dates=H","DateFormat=P","Fill=—","Direction=H","UseDPDF=Y")</f>
        <v>#NAME?</v>
      </c>
      <c r="BP651" s="2" t="e">
        <f ca="1">_xll.BDH($C$628,"MODIFIED_WORKING_CPTL_SEQ_GRWTH","FQ3 2018","FQ3 2018","Currency=INR","Period=FQ","BEST_FPERIOD_OVERRIDE=FQ","FILING_STATUS=OR","EQY_CONSOLIDATED=Y","Sort=A","Dates=H","DateFormat=P","Fill=—","Direction=H","UseDPDF=Y")</f>
        <v>#NAME?</v>
      </c>
      <c r="BQ651" s="2" t="e">
        <f ca="1">_xll.BDH($C$628,"WORKING_CAPITAL_SEQ_GROWTH","FQ3 2018","FQ3 2018","Currency=INR","Period=FQ","BEST_FPERIOD_OVERRIDE=FQ","FILING_STATUS=OR","EQY_CONSOLIDATED=Y","Sort=A","Dates=H","DateFormat=P","Fill=—","Direction=H","UseDPDF=Y")</f>
        <v>#NAME?</v>
      </c>
      <c r="BR651" s="2" t="e">
        <f ca="1">_xll.BDH($C$628,"ACCOUNTS_PAYABLE_SEQ_GROWTH","FQ3 2018","FQ3 2018","Currency=INR","Period=FQ","BEST_FPERIOD_OVERRIDE=FQ","FILING_STATUS=OR","EQY_CONSOLIDATED=Y","Sort=A","Dates=H","DateFormat=P","Fill=—","Direction=H","UseDPDF=Y")</f>
        <v>#NAME?</v>
      </c>
      <c r="BS651" s="2" t="e">
        <f ca="1">_xll.BDH($C$628,"ST_DEBT_SEQUENTIAL_GROWTH","FQ3 2018","FQ3 2018","Currency=INR","Period=FQ","BEST_FPERIOD_OVERRIDE=FQ","FILING_STATUS=OR","EQY_CONSOLIDATED=Y","Sort=A","Dates=H","DateFormat=P","Fill=—","Direction=H","UseDPDF=Y")</f>
        <v>#NAME?</v>
      </c>
      <c r="BT651" s="2" t="e">
        <f ca="1">_xll.BDH($C$628,"TOTAL_DEBT_SEQUENTIAL_GROWTH","FQ3 2018","FQ3 2018","Currency=INR","Period=FQ","BEST_FPERIOD_OVERRIDE=FQ","FILING_STATUS=OR","EQY_CONSOLIDATED=Y","Sort=A","Dates=H","DateFormat=P","Fill=—","Direction=H","UseDPDF=Y")</f>
        <v>#NAME?</v>
      </c>
      <c r="BU651" s="2" t="e">
        <f ca="1">_xll.BDH($C$628,"TOTAL_EQUITY_SEQUENTIAL_GROWTH","FQ3 2018","FQ3 2018","Currency=INR","Period=FQ","BEST_FPERIOD_OVERRIDE=FQ","FILING_STATUS=OR","EQY_CONSOLIDATED=Y","Sort=A","Dates=H","DateFormat=P","Fill=—","Direction=H","UseDPDF=Y")</f>
        <v>#NAME?</v>
      </c>
      <c r="BV651" s="2" t="e">
        <f ca="1">_xll.BDH($C$628,"TOTAL_CAPITAL_SEQUENTIAL_GROWTH","FQ3 2018","FQ3 2018","Currency=INR","Period=FQ","BEST_FPERIOD_OVERRIDE=FQ","FILING_STATUS=OR","EQY_CONSOLIDATED=Y","Sort=A","Dates=H","DateFormat=P","Fill=—","Direction=H","UseDPDF=Y")</f>
        <v>#NAME?</v>
      </c>
      <c r="BW651" s="2" t="e">
        <f ca="1">_xll.BDH($C$628,"BPS_SEQUENTIAL_GROWTH","FQ3 2018","FQ3 2018","Currency=INR","Period=FQ","BEST_FPERIOD_OVERRIDE=FQ","FILING_STATUS=OR","EQY_CONSOLIDATED=Y","Sort=A","Dates=H","DateFormat=P","Fill=—","Direction=H","UseDPDF=Y")</f>
        <v>#NAME?</v>
      </c>
      <c r="BX651" s="2" t="e">
        <f ca="1">_xll.BDH($C$628,"CFO_SEQUENTIAL_GROWTH","FQ3 2018","FQ3 2018","Currency=INR","Period=FQ","BEST_FPERIOD_OVERRIDE=FQ","FILING_STATUS=OR","EQY_CONSOLIDATED=Y","Sort=A","Dates=H","DateFormat=P","Fill=—","Direction=H","UseDPDF=Y")</f>
        <v>#NAME?</v>
      </c>
      <c r="BY651" s="3" t="e">
        <f ca="1">_xll.BDH($C$628,"SHORT_AND_LONG_TERM_DEBT","FQ3 2018","FQ3 2018","Currency=INR","Period=FQ","BEST_FPERIOD_OVERRIDE=FQ","FILING_STATUS=OR","EQY_CONSOLIDATED=Y","SCALING_FORMAT=MLN","Sort=A","Dates=H","DateFormat=P","Fill=—","Direction=H","UseDPDF=Y")</f>
        <v>#NAME?</v>
      </c>
      <c r="BZ651" s="3" t="e">
        <f ca="1">_xll.BDH($C$628,"BS_ST_BORROW","FQ3 2018","FQ3 2018","Currency=INR","Period=FQ","BEST_FPERIOD_OVERRIDE=FQ","FILING_STATUS=OR","EQY_CONSOLIDATED=Y","SCALING_FORMAT=MLN","Sort=A","Dates=H","DateFormat=P","Fill=—","Direction=H","UseDPDF=Y")</f>
        <v>#NAME?</v>
      </c>
      <c r="CA651" s="3" t="e">
        <f ca="1">_xll.BDH($C$628,"BS_LT_BORROW","FQ3 2018","FQ3 2018","Currency=INR","Period=FQ","BEST_FPERIOD_OVERRIDE=FQ","FILING_STATUS=OR","EQY_CONSOLIDATED=Y","SCALING_FORMAT=MLN","Sort=A","Dates=H","DateFormat=P","Fill=—","Direction=H","UseDPDF=Y")</f>
        <v>#NAME?</v>
      </c>
      <c r="CB651" s="2" t="e">
        <f ca="1">_xll.BDH($C$628,"TOT_DEBT_TO_EBITDA","FQ3 2018","FQ3 2018","Currency=INR","Period=FQ","BEST_FPERIOD_OVERRIDE=FQ","FILING_STATUS=OR","EQY_CONSOLIDATED=Y","FA_ADJUSTED=GAAP","Sort=A","Dates=H","DateFormat=P","Fill=—","Direction=H","UseDPDF=Y")</f>
        <v>#NAME?</v>
      </c>
      <c r="CC651" s="2" t="e">
        <f ca="1">_xll.BDH($C$628,"NET_DEBT_TO_EBITDA","FQ3 2018","FQ3 2018","Currency=INR","Period=FQ","BEST_FPERIOD_OVERRIDE=FQ","FILING_STATUS=OR","EQY_CONSOLIDATED=Y","FA_ADJUSTED=GAAP","Sort=A","Dates=H","DateFormat=P","Fill=—","Direction=H","UseDPDF=Y")</f>
        <v>#NAME?</v>
      </c>
      <c r="CD651" s="2" t="e">
        <f ca="1">_xll.BDH($C$628,"TOTAL_DEBT_TO_EBIT","FQ3 2018","FQ3 2018","Currency=INR","Period=FQ","BEST_FPERIOD_OVERRIDE=FQ","FILING_STATUS=OR","EQY_CONSOLIDATED=Y","FA_ADJUSTED=GAAP","Sort=A","Dates=H","DateFormat=P","Fill=—","Direction=H","UseDPDF=Y")</f>
        <v>#NAME?</v>
      </c>
      <c r="CE651" s="2" t="e">
        <f ca="1">_xll.BDH($C$628,"NET_DEBT_TO_EBIT","FQ3 2018","FQ3 2018","Currency=INR","Period=FQ","BEST_FPERIOD_OVERRIDE=FQ","FILING_STATUS=OR","EQY_CONSOLIDATED=Y","FA_ADJUSTED=GAAP","Sort=A","Dates=H","DateFormat=P","Fill=—","Direction=H","UseDPDF=Y")</f>
        <v>#NAME?</v>
      </c>
      <c r="CF651" s="2" t="e">
        <f ca="1">_xll.BDH($C$628,"EBITDA_TO_INTEREST_EXPN","FQ3 2018","FQ3 2018","Currency=INR","Period=FQ","BEST_FPERIOD_OVERRIDE=FQ","FILING_STATUS=OR","EQY_CONSOLIDATED=Y","FA_ADJUSTED=GAAP","Sort=A","Dates=H","DateFormat=P","Fill=—","Direction=H","UseDPDF=Y")</f>
        <v>#NAME?</v>
      </c>
      <c r="CG651" s="2" t="e">
        <f ca="1">_xll.BDH($C$628,"COM_EQY_TO_TOT_ASSET","FQ3 2018","FQ3 2018","Currency=INR","Period=FQ","BEST_FPERIOD_OVERRIDE=FQ","FILING_STATUS=OR","EQY_CONSOLIDATED=Y","Sort=A","Dates=H","DateFormat=P","Fill=—","Direction=H","UseDPDF=Y")</f>
        <v>#NAME?</v>
      </c>
      <c r="CH651" s="2" t="e">
        <f ca="1">_xll.BDH($C$628,"LT_DEBT_TO_TOT_EQY","FQ3 2018","FQ3 2018","Currency=INR","Period=FQ","BEST_FPERIOD_OVERRIDE=FQ","FILING_STATUS=OR","EQY_CONSOLIDATED=Y","Sort=A","Dates=H","DateFormat=P","Fill=—","Direction=H","UseDPDF=Y")</f>
        <v>#NAME?</v>
      </c>
      <c r="CI651" s="2" t="e">
        <f ca="1">_xll.BDH($C$628,"LT_DEBT_TO_TOT_CAP","FQ3 2018","FQ3 2018","Currency=INR","Period=FQ","BEST_FPERIOD_OVERRIDE=FQ","FILING_STATUS=OR","EQY_CONSOLIDATED=Y","Sort=A","Dates=H","DateFormat=P","Fill=—","Direction=H","UseDPDF=Y")</f>
        <v>#NAME?</v>
      </c>
      <c r="CJ651" s="2" t="e">
        <f ca="1">_xll.BDH($C$628,"LT_DEBT_TO_TOT_ASSET","FQ3 2018","FQ3 2018","Currency=INR","Period=FQ","BEST_FPERIOD_OVERRIDE=FQ","FILING_STATUS=OR","EQY_CONSOLIDATED=Y","Sort=A","Dates=H","DateFormat=P","Fill=—","Direction=H","UseDPDF=Y")</f>
        <v>#NAME?</v>
      </c>
      <c r="CK651" s="2" t="e">
        <f ca="1">_xll.BDH($C$628,"TOT_DEBT_TO_TOT_EQY","FQ3 2018","FQ3 2018","Currency=INR","Period=FQ","BEST_FPERIOD_OVERRIDE=FQ","FILING_STATUS=OR","EQY_CONSOLIDATED=Y","Sort=A","Dates=H","DateFormat=P","Fill=—","Direction=H","UseDPDF=Y")</f>
        <v>#NAME?</v>
      </c>
      <c r="CL651" s="2" t="e">
        <f ca="1">_xll.BDH($C$628,"TOT_DEBT_TO_TOT_CAP","FQ3 2018","FQ3 2018","Currency=INR","Period=FQ","BEST_FPERIOD_OVERRIDE=FQ","FILING_STATUS=OR","EQY_CONSOLIDATED=Y","Sort=A","Dates=H","DateFormat=P","Fill=—","Direction=H","UseDPDF=Y")</f>
        <v>#NAME?</v>
      </c>
      <c r="CM651" s="2" t="e">
        <f ca="1">_xll.BDH($C$628,"TOT_DEBT_TO_TOT_ASSET","FQ3 2018","FQ3 2018","Currency=INR","Period=FQ","BEST_FPERIOD_OVERRIDE=FQ","FILING_STATUS=OR","EQY_CONSOLIDATED=Y","Sort=A","Dates=H","DateFormat=P","Fill=—","Direction=H","UseDPDF=Y")</f>
        <v>#NAME?</v>
      </c>
      <c r="CN651" s="2" t="e">
        <f ca="1">_xll.BDH($C$628,"NET_DEBT_TO_SHRHLDR_EQTY","FQ3 2018","FQ3 2018","Currency=INR","Period=FQ","BEST_FPERIOD_OVERRIDE=FQ","FILING_STATUS=OR","EQY_CONSOLIDATED=Y","Sort=A","Dates=H","DateFormat=P","Fill=—","Direction=H","UseDPDF=Y")</f>
        <v>#NAME?</v>
      </c>
      <c r="CO651" s="2" t="e">
        <f ca="1">_xll.BDH($C$628,"NET_DEBT_%_CAPITAL","FQ3 2018","FQ3 2018","Currency=INR","Period=FQ","BEST_FPERIOD_OVERRIDE=FQ","FILING_STATUS=OR","EQY_CONSOLIDATED=Y","Sort=A","Dates=H","DateFormat=P","Fill=—","Direction=H","UseDPDF=Y")</f>
        <v>#NAME?</v>
      </c>
      <c r="CP651" s="3" t="e">
        <f ca="1">_xll.BDH($C$628,"EBITDA","FQ3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Q651" s="3" t="e">
        <f ca="1">_xll.BDH($C$628,"EBITDA_AFTER_CAPEX","FQ3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R651" s="3" t="e">
        <f ca="1">_xll.BDH($C$628,"IS_OPER_INC","FQ3 2018","FQ3 2018","Currency=INR","Period=FQ","BEST_FPERIOD_OVERRIDE=FQ","FILING_STATUS=OR","EQY_CONSOLIDATED=Y","SCALING_FORMAT=MLN","FA_ADJUSTED=GAAP","Sort=A","Dates=H","DateFormat=P","Fill=—","Direction=H","UseDPDF=Y")</f>
        <v>#NAME?</v>
      </c>
      <c r="CS651" s="2" t="e">
        <f ca="1">_xll.BDH($C$628,"CASH_RATIO","FQ3 2018","FQ3 2018","Currency=INR","Period=FQ","BEST_FPERIOD_OVERRIDE=FQ","FILING_STATUS=OR","EQY_CONSOLIDATED=Y","Sort=A","Dates=H","DateFormat=P","Fill=—","Direction=H","UseDPDF=Y")</f>
        <v>#NAME?</v>
      </c>
      <c r="CT651" s="2" t="e">
        <f ca="1">_xll.BDH($C$628,"CUR_RATIO","FQ3 2018","FQ3 2018","Currency=INR","Period=FQ","BEST_FPERIOD_OVERRIDE=FQ","FILING_STATUS=OR","EQY_CONSOLIDATED=Y","Sort=A","Dates=H","DateFormat=P","Fill=—","Direction=H","UseDPDF=Y")</f>
        <v>#NAME?</v>
      </c>
      <c r="CU651" s="2" t="e">
        <f ca="1">_xll.BDH($C$628,"QUICK_RATIO","FQ3 2018","FQ3 2018","Currency=INR","Period=FQ","BEST_FPERIOD_OVERRIDE=FQ","FILING_STATUS=OR","EQY_CONSOLIDATED=Y","Sort=A","Dates=H","DateFormat=P","Fill=—","Direction=H","UseDPDF=Y")</f>
        <v>#NAME?</v>
      </c>
      <c r="CV651" s="2" t="e">
        <f ca="1">_xll.BDH($C$628,"ALTMAN_Z_SCORE","FQ3 2018","FQ3 2018","Currency=INR","Period=FQ","BEST_FPERIOD_OVERRIDE=FQ","FILING_STATUS=OR","EQY_CONSOLIDATED=Y","Sort=A","Dates=H","DateFormat=P","Fill=—","Direction=H","UseDPDF=Y")</f>
        <v>#NAME?</v>
      </c>
      <c r="CW651" s="4" t="e">
        <f ca="1">_xll.BDH($C$628,"ACCT_RCV_TURN","FQ3 2018","FQ3 2018","Currency=INR","Period=FQ","BEST_FPERIOD_OVERRIDE=FQ","FILING_STATUS=OR","EQY_CONSOLIDATED=Y","FA_ADJUSTED=GAAP","Sort=A","Dates=H","DateFormat=P","Fill=—","Direction=H","UseDPDF=Y")</f>
        <v>#NAME?</v>
      </c>
      <c r="CX651" s="2" t="e">
        <f ca="1">_xll.BDH($C$628,"ACCT_RCV_DAYS","FQ3 2018","FQ3 2018","Currency=INR","Period=FQ","BEST_FPERIOD_OVERRIDE=FQ","FILING_STATUS=OR","EQY_CONSOLIDATED=Y","FA_ADJUSTED=GAAP","Sort=A","Dates=H","DateFormat=P","Fill=—","Direction=H","UseDPDF=Y")</f>
        <v>#NAME?</v>
      </c>
      <c r="CY651" s="4" t="e">
        <f ca="1">_xll.BDH($C$628,"INVENT_TURN","FQ3 2018","FQ3 2018","Currency=INR","Period=FQ","BEST_FPERIOD_OVERRIDE=FQ","FILING_STATUS=OR","EQY_CONSOLIDATED=Y","FA_ADJUSTED=GAAP","Sort=A","Dates=H","DateFormat=P","Fill=—","Direction=H","UseDPDF=Y")</f>
        <v>#NAME?</v>
      </c>
      <c r="CZ651" s="2" t="e">
        <f ca="1">_xll.BDH($C$628,"INVENT_DAYS","FQ3 2018","FQ3 2018","Currency=INR","Period=FQ","BEST_FPERIOD_OVERRIDE=FQ","FILING_STATUS=OR","EQY_CONSOLIDATED=Y","FA_ADJUSTED=GAAP","Sort=A","Dates=H","DateFormat=P","Fill=—","Direction=H","UseDPDF=Y")</f>
        <v>#NAME?</v>
      </c>
      <c r="DA651" s="4" t="e">
        <f ca="1">_xll.BDH($C$628,"ACCOUNTS_PAYABLE_TURNOVER","FQ3 2018","FQ3 2018","Currency=INR","Period=FQ","BEST_FPERIOD_OVERRIDE=FQ","FILING_STATUS=OR","EQY_CONSOLIDATED=Y","FA_ADJUSTED=GAAP","Sort=A","Dates=H","DateFormat=P","Fill=—","Direction=H","UseDPDF=Y")</f>
        <v>#NAME?</v>
      </c>
      <c r="DB651" s="2" t="e">
        <f ca="1">_xll.BDH($C$628,"ACCOUNTS_PAYABLE_TURNOVER_DAYS","FQ3 2018","FQ3 2018","Currency=INR","Period=FQ","BEST_FPERIOD_OVERRIDE=FQ","FILING_STATUS=OR","EQY_CONSOLIDATED=Y","FA_ADJUSTED=GAAP","Sort=A","Dates=H","DateFormat=P","Fill=—","Direction=H","UseDPDF=Y")</f>
        <v>#NAME?</v>
      </c>
      <c r="DC651" s="4" t="e">
        <f ca="1">_xll.BDH($C$628,"CASH_CONVERSION_CYCLE","FQ3 2018","FQ3 2018","Currency=INR","Period=FQ","BEST_FPERIOD_OVERRIDE=FQ","FILING_STATUS=OR","EQY_CONSOLIDATED=Y","FA_ADJUSTED=GAAP","Sort=A","Dates=H","DateFormat=P","Fill=—","Direction=H","UseDPDF=Y")</f>
        <v>#NAME?</v>
      </c>
      <c r="DD651" s="4" t="e">
        <f ca="1">_xll.BDH($C$628,"INV_TO_CASH_DAYS","FQ3 2018","FQ3 2018","Currency=INR","Period=FQ","BEST_FPERIOD_OVERRIDE=FQ","FILING_STATUS=OR","EQY_CONSOLIDATED=Y","FA_ADJUSTED=GAAP","Sort=A","Dates=H","DateFormat=P","Fill=—","Direction=H","UseDPDF=Y")</f>
        <v>#NAME?</v>
      </c>
      <c r="DE651" s="5" t="e">
        <f ca="1">_xll.BDH($C$628,"BS_INVENTORIES","FQ3 2018","FQ3 2018","Currency=INR","Period=FQ","BEST_FPERIOD_OVERRIDE=FQ","FILING_STATUS=OR","EQY_CONSOLIDATED=Y","SCALING_FORMAT=MLN","Sort=A","Dates=H","DateFormat=P","Fill=—","Direction=H","UseDPDF=Y")</f>
        <v>#NAME?</v>
      </c>
      <c r="DF651" s="3" t="e">
        <f ca="1">_xll.BDH($C$628,"INVTRY_RAW_MATERIALS","FQ3 2018","FQ3 2018","Currency=INR","Period=FQ","BEST_FPERIOD_OVERRIDE=FQ","FILING_STATUS=OR","EQY_CONSOLIDATED=Y","SCALING_FORMAT=MLN","Sort=A","Dates=H","DateFormat=P","Fill=—","Direction=H","UseDPDF=Y")</f>
        <v>#NAME?</v>
      </c>
      <c r="DG651" s="3" t="e">
        <f ca="1">_xll.BDH($C$628,"INVTRY_IN_PROGRESS","FQ3 2018","FQ3 2018","Currency=INR","Period=FQ","BEST_FPERIOD_OVERRIDE=FQ","FILING_STATUS=OR","EQY_CONSOLIDATED=Y","SCALING_FORMAT=MLN","Sort=A","Dates=H","DateFormat=P","Fill=—","Direction=H","UseDPDF=Y")</f>
        <v>#NAME?</v>
      </c>
      <c r="DH651" s="3" t="e">
        <f ca="1">_xll.BDH($C$628,"INVTRY_FINISHED_GOODS","FQ3 2018","FQ3 2018","Currency=INR","Period=FQ","BEST_FPERIOD_OVERRIDE=FQ","FILING_STATUS=OR","EQY_CONSOLIDATED=Y","SCALING_FORMAT=MLN","Sort=A","Dates=H","DateFormat=P","Fill=—","Direction=H","UseDPDF=Y")</f>
        <v>#NAME?</v>
      </c>
      <c r="DI651" s="3" t="e">
        <f ca="1">_xll.BDH($C$628,"BS_OTHER_INV","FQ3 2018","FQ3 2018","Currency=INR","Period=FQ","BEST_FPERIOD_OVERRIDE=FQ","FILING_STATUS=OR","EQY_CONSOLIDATED=Y","SCALING_FORMAT=MLN","Sort=A","Dates=H","DateFormat=P","Fill=—","Direction=H","UseDPDF=Y")</f>
        <v>#NAME?</v>
      </c>
    </row>
    <row r="652" spans="1:113" x14ac:dyDescent="0.3">
      <c r="A652" s="6"/>
      <c r="B652" s="6"/>
      <c r="C652" s="6"/>
      <c r="D652" s="6"/>
      <c r="E652" t="s">
        <v>81</v>
      </c>
      <c r="F652" t="e">
        <f ca="1">_xll.BDH($C$628,"RETURN_COM_EQY","FQ4 2018","FQ4 2018","Currency=INR","Period=FQ","BEST_FPERIOD_OVERRIDE=FQ","FILING_STATUS=OR","EQY_CONSOLIDATED=Y","FA_ADJUSTED=GAAP","Sort=A","Dates=H","DateFormat=P","Fill=—","Direction=H","UseDPDF=Y")</f>
        <v>#NAME?</v>
      </c>
      <c r="G652" t="e">
        <f ca="1">_xll.BDH($C$628,"RETURN_ON_ASSET","FQ4 2018","FQ4 2018","Currency=INR","Period=FQ","BEST_FPERIOD_OVERRIDE=FQ","FILING_STATUS=OR","EQY_CONSOLIDATED=Y","FA_ADJUSTED=GAAP","Sort=A","Dates=H","DateFormat=P","Fill=—","Direction=H","UseDPDF=Y")</f>
        <v>#NAME?</v>
      </c>
      <c r="H652" t="e">
        <f ca="1">_xll.BDH($C$628,"RETURN_ON_CAP","FQ4 2018","FQ4 2018","Currency=INR","Period=FQ","BEST_FPERIOD_OVERRIDE=FQ","FILING_STATUS=OR","EQY_CONSOLIDATED=Y","FA_ADJUSTED=GAAP","Sort=A","Dates=H","DateFormat=P","Fill=—","Direction=H","UseDPDF=Y")</f>
        <v>#NAME?</v>
      </c>
      <c r="I652" t="e">
        <f ca="1">_xll.BDH($C$628,"RETURN_ON_INV_CAPITAL","FQ4 2018","FQ4 2018","Currency=INR","Period=FQ","BEST_FPERIOD_OVERRIDE=FQ","FILING_STATUS=OR","EQY_CONSOLIDATED=Y","FA_ADJUSTED=GAAP","Sort=A","Dates=H","DateFormat=P","Fill=—","Direction=H","UseDPDF=Y")</f>
        <v>#NAME?</v>
      </c>
      <c r="J652" t="e">
        <f ca="1">_xll.BDH($C$628,"EBITDA_TO_REVENUE","FQ4 2018","FQ4 2018","Currency=INR","Period=FQ","BEST_FPERIOD_OVERRIDE=FQ","FILING_STATUS=OR","EQY_CONSOLIDATED=Y","FA_ADJUSTED=GAAP","Sort=A","Dates=H","DateFormat=P","Fill=—","Direction=H","UseDPDF=Y")</f>
        <v>#NAME?</v>
      </c>
      <c r="K652" t="e">
        <f ca="1">_xll.BDH($C$628,"OPER_MARGIN","FQ4 2018","FQ4 2018","Currency=INR","Period=FQ","BEST_FPERIOD_OVERRIDE=FQ","FILING_STATUS=OR","EQY_CONSOLIDATED=Y","FA_ADJUSTED=GAAP","Sort=A","Dates=H","DateFormat=P","Fill=—","Direction=H","UseDPDF=Y")</f>
        <v>#NAME?</v>
      </c>
      <c r="L652" t="e">
        <f ca="1">_xll.BDH($C$628,"INCREMENTAL_OPERATING_MARGIN","FQ4 2018","FQ4 2018","Currency=INR","Period=FQ","BEST_FPERIOD_OVERRIDE=FQ","FILING_STATUS=OR","EQY_CONSOLIDATED=Y","FA_ADJUSTED=GAAP","Sort=A","Dates=H","DateFormat=P","Fill=—","Direction=H","UseDPDF=Y")</f>
        <v>#NAME?</v>
      </c>
      <c r="M652" t="e">
        <f ca="1">_xll.BDH($C$628,"PRETAX_INC_TO_NET_SALES","FQ4 2018","FQ4 2018","Currency=INR","Period=FQ","BEST_FPERIOD_OVERRIDE=FQ","FILING_STATUS=OR","EQY_CONSOLIDATED=Y","FA_ADJUSTED=GAAP","Sort=A","Dates=H","DateFormat=P","Fill=—","Direction=H","UseDPDF=Y")</f>
        <v>#NAME?</v>
      </c>
      <c r="N652" t="e">
        <f ca="1">_xll.BDH($C$628,"INC_BEF_XO_ITEMS_TO_NET_SALES","FQ4 2018","FQ4 2018","Currency=INR","Period=FQ","BEST_FPERIOD_OVERRIDE=FQ","FILING_STATUS=OR","EQY_CONSOLIDATED=Y","FA_ADJUSTED=GAAP","Sort=A","Dates=H","DateFormat=P","Fill=—","Direction=H","UseDPDF=Y")</f>
        <v>#NAME?</v>
      </c>
      <c r="O652" t="e">
        <f ca="1">_xll.BDH($C$628,"PROF_MARGIN","FQ4 2018","FQ4 2018","Currency=INR","Period=FQ","BEST_FPERIOD_OVERRIDE=FQ","FILING_STATUS=OR","EQY_CONSOLIDATED=Y","FA_ADJUSTED=GAAP","Sort=A","Dates=H","DateFormat=P","Fill=—","Direction=H","UseDPDF=Y")</f>
        <v>#NAME?</v>
      </c>
      <c r="P652" t="e">
        <f ca="1">_xll.BDH($C$628,"NET_INCOME_TO_COMMON_MARGIN","FQ4 2018","FQ4 2018","Currency=INR","Period=FQ","BEST_FPERIOD_OVERRIDE=FQ","FILING_STATUS=OR","EQY_CONSOLIDATED=Y","FA_ADJUSTED=GAAP","Sort=A","Dates=H","DateFormat=P","Fill=—","Direction=H","UseDPDF=Y")</f>
        <v>#NAME?</v>
      </c>
      <c r="Q652" t="e">
        <f ca="1">_xll.BDH($C$628,"EFF_TAX_RATE","FQ4 2018","FQ4 2018","Currency=INR","Period=FQ","BEST_FPERIOD_OVERRIDE=FQ","FILING_STATUS=OR","EQY_CONSOLIDATED=Y","FA_ADJUSTED=GAAP","Sort=A","Dates=H","DateFormat=P","Fill=—","Direction=H","UseDPDF=Y")</f>
        <v>#NAME?</v>
      </c>
      <c r="R652" t="e">
        <f ca="1">_xll.BDH($C$628,"DVD_PAYOUT_RATIO","FQ4 2018","FQ4 2018","Currency=INR","Period=FQ","BEST_FPERIOD_OVERRIDE=FQ","FILING_STATUS=OR","EQY_CONSOLIDATED=Y","FA_ADJUSTED=GAAP","Sort=A","Dates=H","DateFormat=P","Fill=—","Direction=H","UseDPDF=Y")</f>
        <v>#NAME?</v>
      </c>
      <c r="S652" t="e">
        <f ca="1">_xll.BDH($C$628,"SUSTAIN_GROWTH_RT","FQ4 2018","FQ4 2018","Currency=INR","Period=FQ","BEST_FPERIOD_OVERRIDE=FQ","FILING_STATUS=OR","EQY_CONSOLIDATED=Y","FA_ADJUSTED=GAAP","Sort=A","Dates=H","DateFormat=P","Fill=—","Direction=H","UseDPDF=Y")</f>
        <v>#NAME?</v>
      </c>
      <c r="T652" s="2" t="e">
        <f ca="1">_xll.BDH($C$628,"SALES_GROWTH","FQ4 2018","FQ4 2018","Currency=INR","Period=FQ","BEST_FPERIOD_OVERRIDE=FQ","FILING_STATUS=OR","EQY_CONSOLIDATED=Y","FA_ADJUSTED=GAAP","Sort=A","Dates=H","DateFormat=P","Fill=—","Direction=H","UseDPDF=Y")</f>
        <v>#NAME?</v>
      </c>
      <c r="U652" s="2" t="e">
        <f ca="1">_xll.BDH($C$628,"EBITDA_GROWTH","FQ4 2018","FQ4 2018","Currency=INR","Period=FQ","BEST_FPERIOD_OVERRIDE=FQ","FILING_STATUS=OR","EQY_CONSOLIDATED=Y","FA_ADJUSTED=GAAP","Sort=A","Dates=H","DateFormat=P","Fill=—","Direction=H","UseDPDF=Y")</f>
        <v>#NAME?</v>
      </c>
      <c r="V652" s="2" t="e">
        <f ca="1">_xll.BDH($C$628,"OPER_INC_GROWTH","FQ4 2018","FQ4 2018","Currency=INR","Period=FQ","BEST_FPERIOD_OVERRIDE=FQ","FILING_STATUS=OR","EQY_CONSOLIDATED=Y","FA_ADJUSTED=GAAP","Sort=A","Dates=H","DateFormat=P","Fill=—","Direction=H","UseDPDF=Y")</f>
        <v>#NAME?</v>
      </c>
      <c r="W652" s="2" t="e">
        <f ca="1">_xll.BDH($C$628,"EARN_FOR_COM_GROWTH","FQ4 2018","FQ4 2018","Currency=INR","Period=FQ","BEST_FPERIOD_OVERRIDE=FQ","FILING_STATUS=OR","EQY_CONSOLIDATED=Y","FA_ADJUSTED=GAAP","Sort=A","Dates=H","DateFormat=P","Fill=—","Direction=H","UseDPDF=Y")</f>
        <v>#NAME?</v>
      </c>
      <c r="X652" s="2" t="e">
        <f ca="1">_xll.BDH($C$628,"DILUTED_EPS_AFT_XO_ITEMS_GROWTH","FQ4 2018","FQ4 2018","Currency=INR","Period=FQ","BEST_FPERIOD_OVERRIDE=FQ","FILING_STATUS=OR","EQY_CONSOLIDATED=Y","FA_ADJUSTED=GAAP","Sort=A","Dates=H","DateFormat=P","Fill=—","Direction=H","UseDPDF=Y")</f>
        <v>#NAME?</v>
      </c>
      <c r="Y652" s="2" t="e">
        <f ca="1">_xll.BDH($C$628,"DIVIDEND_PER_SHARE_1_YEAR_GROWTH","FQ4 2018","FQ4 2018","Currency=INR","Period=FQ","BEST_FPERIOD_OVERRIDE=FQ","FILING_STATUS=OR","EQY_CONSOLIDATED=Y","Sort=A","Dates=H","DateFormat=P","Fill=—","Direction=H","UseDPDF=Y")</f>
        <v>#NAME?</v>
      </c>
      <c r="Z652" s="2" t="e">
        <f ca="1">_xll.BDH($C$628,"ACCOUNTS_RECEIVABLE_GROWTH","FQ4 2018","FQ4 2018","Currency=INR","Period=FQ","BEST_FPERIOD_OVERRIDE=FQ","FILING_STATUS=OR","EQY_CONSOLIDATED=Y","Sort=A","Dates=H","DateFormat=P","Fill=—","Direction=H","UseDPDF=Y")</f>
        <v>#NAME?</v>
      </c>
      <c r="AA652" s="2" t="e">
        <f ca="1">_xll.BDH($C$628,"INVENTORY_GROWTH","FQ4 2018","FQ4 2018","Currency=INR","Period=FQ","BEST_FPERIOD_OVERRIDE=FQ","FILING_STATUS=OR","EQY_CONSOLIDATED=Y","Sort=A","Dates=H","DateFormat=P","Fill=—","Direction=H","UseDPDF=Y")</f>
        <v>#NAME?</v>
      </c>
      <c r="AB652" s="2" t="e">
        <f ca="1">_xll.BDH($C$628,"NET_FIXED_ASSETS_1_YEAR_GROWTH","FQ4 2018","FQ4 2018","Currency=INR","Period=FQ","BEST_FPERIOD_OVERRIDE=FQ","FILING_STATUS=OR","EQY_CONSOLIDATED=Y","Sort=A","Dates=H","DateFormat=P","Fill=—","Direction=H","UseDPDF=Y")</f>
        <v>#NAME?</v>
      </c>
      <c r="AC652" s="2" t="e">
        <f ca="1">_xll.BDH($C$628,"ASSET_GROWTH","FQ4 2018","FQ4 2018","Currency=INR","Period=FQ","BEST_FPERIOD_OVERRIDE=FQ","FILING_STATUS=OR","EQY_CONSOLIDATED=Y","Sort=A","Dates=H","DateFormat=P","Fill=—","Direction=H","UseDPDF=Y")</f>
        <v>#NAME?</v>
      </c>
      <c r="AD652" s="2" t="e">
        <f ca="1">_xll.BDH($C$628,"MODIFIED_WORK_CAP_GROWTH","FQ4 2018","FQ4 2018","Currency=INR","Period=FQ","BEST_FPERIOD_OVERRIDE=FQ","FILING_STATUS=OR","EQY_CONSOLIDATED=Y","Sort=A","Dates=H","DateFormat=P","Fill=—","Direction=H","UseDPDF=Y")</f>
        <v>#NAME?</v>
      </c>
      <c r="AE652" s="2" t="e">
        <f ca="1">_xll.BDH($C$628,"WORK_CAP_GROWTH","FQ4 2018","FQ4 2018","Currency=INR","Period=FQ","BEST_FPERIOD_OVERRIDE=FQ","FILING_STATUS=OR","EQY_CONSOLIDATED=Y","Sort=A","Dates=H","DateFormat=P","Fill=—","Direction=H","UseDPDF=Y")</f>
        <v>#NAME?</v>
      </c>
      <c r="AF652" s="2" t="e">
        <f ca="1">_xll.BDH($C$628,"ACCOUNTS_PAYABLE_GROWTH_1YR","FQ4 2018","FQ4 2018","Currency=INR","Period=FQ","BEST_FPERIOD_OVERRIDE=FQ","FILING_STATUS=OR","EQY_CONSOLIDATED=Y","Sort=A","Dates=H","DateFormat=P","Fill=—","Direction=H","UseDPDF=Y")</f>
        <v>#NAME?</v>
      </c>
      <c r="AG652" s="2" t="e">
        <f ca="1">_xll.BDH($C$628,"SHORT_TERM_DEBT_1_YEAR_GROWTH","FQ4 2018","FQ4 2018","Currency=INR","Period=FQ","BEST_FPERIOD_OVERRIDE=FQ","FILING_STATUS=OR","EQY_CONSOLIDATED=Y","Sort=A","Dates=H","DateFormat=P","Fill=—","Direction=H","UseDPDF=Y")</f>
        <v>#NAME?</v>
      </c>
      <c r="AH652" s="2" t="e">
        <f ca="1">_xll.BDH($C$628,"TOTAL_DEBT_1_YEAR_GROWTH","FQ4 2018","FQ4 2018","Currency=INR","Period=FQ","BEST_FPERIOD_OVERRIDE=FQ","FILING_STATUS=OR","EQY_CONSOLIDATED=Y","Sort=A","Dates=H","DateFormat=P","Fill=—","Direction=H","UseDPDF=Y")</f>
        <v>#NAME?</v>
      </c>
      <c r="AI652" s="2" t="e">
        <f ca="1">_xll.BDH($C$628,"TOTAL_EQUITY_1_YEAR_GROWTH","FQ4 2018","FQ4 2018","Currency=INR","Period=FQ","BEST_FPERIOD_OVERRIDE=FQ","FILING_STATUS=OR","EQY_CONSOLIDATED=Y","Sort=A","Dates=H","DateFormat=P","Fill=—","Direction=H","UseDPDF=Y")</f>
        <v>#NAME?</v>
      </c>
      <c r="AJ652" s="2" t="e">
        <f ca="1">_xll.BDH($C$628,"GROWTH_IN_CAP","FQ4 2018","FQ4 2018","Currency=INR","Period=FQ","BEST_FPERIOD_OVERRIDE=FQ","FILING_STATUS=OR","EQY_CONSOLIDATED=Y","Sort=A","Dates=H","DateFormat=P","Fill=—","Direction=H","UseDPDF=Y")</f>
        <v>#NAME?</v>
      </c>
      <c r="AK652" s="2" t="e">
        <f ca="1">_xll.BDH($C$628,"BVPS_GROWTH","FQ4 2018","FQ4 2018","Currency=INR","Period=FQ","BEST_FPERIOD_OVERRIDE=FQ","FILING_STATUS=OR","EQY_CONSOLIDATED=Y","Sort=A","Dates=H","DateFormat=P","Fill=—","Direction=H","UseDPDF=Y")</f>
        <v>#NAME?</v>
      </c>
      <c r="AL652" s="2" t="e">
        <f ca="1">_xll.BDH($C$628,"CASH_FLOW_GROWTH","FQ4 2018","FQ4 2018","Currency=INR","Period=FQ","BEST_FPERIOD_OVERRIDE=FQ","FILING_STATUS=OR","EQY_CONSOLIDATED=Y","Sort=A","Dates=H","DateFormat=P","Fill=—","Direction=H","UseDPDF=Y")</f>
        <v>#NAME?</v>
      </c>
      <c r="AM652" s="2" t="e">
        <f ca="1">_xll.BDH($C$628,"GEO_GROW_NET_SALES","FQ4 2018","FQ4 2018","Currency=INR","Period=FQ","BEST_FPERIOD_OVERRIDE=FQ","FILING_STATUS=OR","EQY_CONSOLIDATED=Y","FA_ADJUSTED=GAAP","Sort=A","Dates=H","DateFormat=P","Fill=—","Direction=H","UseDPDF=Y")</f>
        <v>#NAME?</v>
      </c>
      <c r="AN652" s="2" t="e">
        <f ca="1">_xll.BDH($C$628,"GEO_GROW_EBITDA","FQ4 2018","FQ4 2018","Currency=INR","Period=FQ","BEST_FPERIOD_OVERRIDE=FQ","FILING_STATUS=OR","EQY_CONSOLIDATED=Y","FA_ADJUSTED=GAAP","Sort=A","Dates=H","DateFormat=P","Fill=—","Direction=H","UseDPDF=Y")</f>
        <v>#NAME?</v>
      </c>
      <c r="AO652" s="2" t="e">
        <f ca="1">_xll.BDH($C$628,"GEO_GROW_OPER_INC","FQ4 2018","FQ4 2018","Currency=INR","Period=FQ","BEST_FPERIOD_OVERRIDE=FQ","FILING_STATUS=OR","EQY_CONSOLIDATED=Y","FA_ADJUSTED=GAAP","Sort=A","Dates=H","DateFormat=P","Fill=—","Direction=H","UseDPDF=Y")</f>
        <v>#NAME?</v>
      </c>
      <c r="AP652" s="2" t="e">
        <f ca="1">_xll.BDH($C$628,"NET_INCOME_TO_COMMON_5_YR_GROWTH","FQ4 2018","FQ4 2018","Currency=INR","Period=FQ","BEST_FPERIOD_OVERRIDE=FQ","FILING_STATUS=OR","EQY_CONSOLIDATED=Y","FA_ADJUSTED=GAAP","Sort=A","Dates=H","DateFormat=P","Fill=—","Direction=H","UseDPDF=Y")</f>
        <v>#NAME?</v>
      </c>
      <c r="AQ652" s="2" t="e">
        <f ca="1">_xll.BDH($C$628,"5Y_GEO_GROWTH_DILUTED_EPS","FQ4 2018","FQ4 2018","Currency=INR","Period=FQ","BEST_FPERIOD_OVERRIDE=FQ","FILING_STATUS=OR","EQY_CONSOLIDATED=Y","FA_ADJUSTED=GAAP","Sort=A","Dates=H","DateFormat=P","Fill=—","Direction=H","UseDPDF=Y")</f>
        <v>#NAME?</v>
      </c>
      <c r="AR652" s="2" t="e">
        <f ca="1">_xll.BDH($C$628,"GEO_GROW_DVD_PER_SH","FQ4 2018","FQ4 2018","Currency=INR","Period=FQ","BEST_FPERIOD_OVERRIDE=FQ","FILING_STATUS=OR","EQY_CONSOLIDATED=Y","Sort=A","Dates=H","DateFormat=P","Fill=—","Direction=H","UseDPDF=Y")</f>
        <v>#NAME?</v>
      </c>
      <c r="AS652" s="2" t="e">
        <f ca="1">_xll.BDH($C$628,"ACCOUNTS_RECEIVABLE_5_YR_GROWTH","FQ4 2018","FQ4 2018","Currency=INR","Period=FQ","BEST_FPERIOD_OVERRIDE=FQ","FILING_STATUS=OR","EQY_CONSOLIDATED=Y","Sort=A","Dates=H","DateFormat=P","Fill=—","Direction=H","UseDPDF=Y")</f>
        <v>#NAME?</v>
      </c>
      <c r="AT652" s="2" t="e">
        <f ca="1">_xll.BDH($C$628,"INVENTORY_5_YEAR_GROWTH","FQ4 2018","FQ4 2018","Currency=INR","Period=FQ","BEST_FPERIOD_OVERRIDE=FQ","FILING_STATUS=OR","EQY_CONSOLIDATED=Y","Sort=A","Dates=H","DateFormat=P","Fill=—","Direction=H","UseDPDF=Y")</f>
        <v>#NAME?</v>
      </c>
      <c r="AU652" s="2" t="e">
        <f ca="1">_xll.BDH($C$628,"NET_FIXED_ASSETS_5_YEAR_GROWTH","FQ4 2018","FQ4 2018","Currency=INR","Period=FQ","BEST_FPERIOD_OVERRIDE=FQ","FILING_STATUS=OR","EQY_CONSOLIDATED=Y","Sort=A","Dates=H","DateFormat=P","Fill=—","Direction=H","UseDPDF=Y")</f>
        <v>#NAME?</v>
      </c>
      <c r="AV652" s="2" t="e">
        <f ca="1">_xll.BDH($C$628,"GEO_GROW_TOT_ASSET","FQ4 2018","FQ4 2018","Currency=INR","Period=FQ","BEST_FPERIOD_OVERRIDE=FQ","FILING_STATUS=OR","EQY_CONSOLIDATED=Y","Sort=A","Dates=H","DateFormat=P","Fill=—","Direction=H","UseDPDF=Y")</f>
        <v>#NAME?</v>
      </c>
      <c r="AW652" s="2" t="e">
        <f ca="1">_xll.BDH($C$628,"MODIFIED_WORKING_CPTL_5YR_GRWTH","FQ4 2018","FQ4 2018","Currency=INR","Period=FQ","BEST_FPERIOD_OVERRIDE=FQ","FILING_STATUS=OR","EQY_CONSOLIDATED=Y","Sort=A","Dates=H","DateFormat=P","Fill=—","Direction=H","UseDPDF=Y")</f>
        <v>#NAME?</v>
      </c>
      <c r="AX652" s="2" t="e">
        <f ca="1">_xll.BDH($C$628,"WORKING_CAPITAL_5_YEAR_GROWTH","FQ4 2018","FQ4 2018","Currency=INR","Period=FQ","BEST_FPERIOD_OVERRIDE=FQ","FILING_STATUS=OR","EQY_CONSOLIDATED=Y","Sort=A","Dates=H","DateFormat=P","Fill=—","Direction=H","UseDPDF=Y")</f>
        <v>#NAME?</v>
      </c>
      <c r="AY652" s="2" t="e">
        <f ca="1">_xll.BDH($C$628,"ACCOUNTS_PAYABLE_5_YEAR_GROWTH","FQ4 2018","FQ4 2018","Currency=INR","Period=FQ","BEST_FPERIOD_OVERRIDE=FQ","FILING_STATUS=OR","EQY_CONSOLIDATED=Y","Sort=A","Dates=H","DateFormat=P","Fill=—","Direction=H","UseDPDF=Y")</f>
        <v>#NAME?</v>
      </c>
      <c r="AZ652" s="2" t="e">
        <f ca="1">_xll.BDH($C$628,"SHORT_TERM_DEBT_5_YEAR_GROWTH","FQ4 2018","FQ4 2018","Currency=INR","Period=FQ","BEST_FPERIOD_OVERRIDE=FQ","FILING_STATUS=OR","EQY_CONSOLIDATED=Y","Sort=A","Dates=H","DateFormat=P","Fill=—","Direction=H","UseDPDF=Y")</f>
        <v>#NAME?</v>
      </c>
      <c r="BA652" s="2" t="e">
        <f ca="1">_xll.BDH($C$628,"TOTAL_DEBT_5_YEAR_GROWTH","FQ4 2018","FQ4 2018","Currency=INR","Period=FQ","BEST_FPERIOD_OVERRIDE=FQ","FILING_STATUS=OR","EQY_CONSOLIDATED=Y","Sort=A","Dates=H","DateFormat=P","Fill=—","Direction=H","UseDPDF=Y")</f>
        <v>#NAME?</v>
      </c>
      <c r="BB652" s="2" t="e">
        <f ca="1">_xll.BDH($C$628,"GEO_GROW_TOT_SHRHLDR_EQY","FQ4 2018","FQ4 2018","Currency=INR","Period=FQ","BEST_FPERIOD_OVERRIDE=FQ","FILING_STATUS=OR","EQY_CONSOLIDATED=Y","Sort=A","Dates=H","DateFormat=P","Fill=—","Direction=H","UseDPDF=Y")</f>
        <v>#NAME?</v>
      </c>
      <c r="BC652" s="2" t="e">
        <f ca="1">_xll.BDH($C$628,"TOTAL_CAPITAL_5_YEAR_GROWTH","FQ4 2018","FQ4 2018","Currency=INR","Period=FQ","BEST_FPERIOD_OVERRIDE=FQ","FILING_STATUS=OR","EQY_CONSOLIDATED=Y","Sort=A","Dates=H","DateFormat=P","Fill=—","Direction=H","UseDPDF=Y")</f>
        <v>#NAME?</v>
      </c>
      <c r="BD652" s="2" t="e">
        <f ca="1">_xll.BDH($C$628,"GEO_GROW_BOOK_VAL","FQ4 2018","FQ4 2018","Currency=INR","Period=FQ","BEST_FPERIOD_OVERRIDE=FQ","FILING_STATUS=OR","EQY_CONSOLIDATED=Y","Sort=A","Dates=H","DateFormat=P","Fill=—","Direction=H","UseDPDF=Y")</f>
        <v>#NAME?</v>
      </c>
      <c r="BE652" s="2" t="e">
        <f ca="1">_xll.BDH($C$628,"GEO_GROW_CASH_OPER_ACT","FQ4 2018","FQ4 2018","Currency=INR","Period=FQ","BEST_FPERIOD_OVERRIDE=FQ","FILING_STATUS=OR","EQY_CONSOLIDATED=Y","Sort=A","Dates=H","DateFormat=P","Fill=—","Direction=H","UseDPDF=Y")</f>
        <v>#NAME?</v>
      </c>
      <c r="BF652" s="2" t="e">
        <f ca="1">_xll.BDH($C$628,"REVENUE_SEQUENTIAL_GROWTH","FQ4 2018","FQ4 2018","Currency=INR","Period=FQ","BEST_FPERIOD_OVERRIDE=FQ","FILING_STATUS=OR","EQY_CONSOLIDATED=Y","FA_ADJUSTED=GAAP","Sort=A","Dates=H","DateFormat=P","Fill=—","Direction=H","UseDPDF=Y")</f>
        <v>#NAME?</v>
      </c>
      <c r="BG652" s="2" t="e">
        <f ca="1">_xll.BDH($C$628,"EBITDA_SEQUENTIAL_GROWTH","FQ4 2018","FQ4 2018","Currency=INR","Period=FQ","BEST_FPERIOD_OVERRIDE=FQ","FILING_STATUS=OR","EQY_CONSOLIDATED=Y","FA_ADJUSTED=GAAP","Sort=A","Dates=H","DateFormat=P","Fill=—","Direction=H","UseDPDF=Y")</f>
        <v>#NAME?</v>
      </c>
      <c r="BH652" s="2" t="e">
        <f ca="1">_xll.BDH($C$628,"OPERATING_INCOME_SEQ_GROWTH","FQ4 2018","FQ4 2018","Currency=INR","Period=FQ","BEST_FPERIOD_OVERRIDE=FQ","FILING_STATUS=OR","EQY_CONSOLIDATED=Y","FA_ADJUSTED=GAAP","Sort=A","Dates=H","DateFormat=P","Fill=—","Direction=H","UseDPDF=Y")</f>
        <v>#NAME?</v>
      </c>
      <c r="BI652" s="2" t="e">
        <f ca="1">_xll.BDH($C$628,"NET_INCOME_TO_COMMON_SEQ_GROWTH","FQ4 2018","FQ4 2018","Currency=INR","Period=FQ","BEST_FPERIOD_OVERRIDE=FQ","FILING_STATUS=OR","EQY_CONSOLIDATED=Y","FA_ADJUSTED=GAAP","Sort=A","Dates=H","DateFormat=P","Fill=—","Direction=H","UseDPDF=Y")</f>
        <v>#NAME?</v>
      </c>
      <c r="BJ652" s="2" t="e">
        <f ca="1">_xll.BDH($C$628,"EPS_DILUTED_SEQUENTIAL_GROWTH","FQ4 2018","FQ4 2018","Currency=INR","Period=FQ","BEST_FPERIOD_OVERRIDE=FQ","FILING_STATUS=OR","EQY_CONSOLIDATED=Y","FA_ADJUSTED=GAAP","Sort=A","Dates=H","DateFormat=P","Fill=—","Direction=H","UseDPDF=Y")</f>
        <v>#NAME?</v>
      </c>
      <c r="BK652" s="2" t="e">
        <f ca="1">_xll.BDH($C$628,"DPS_SEQUENTIAL_GROWTH","FQ4 2018","FQ4 2018","Currency=INR","Period=FQ","BEST_FPERIOD_OVERRIDE=FQ","FILING_STATUS=OR","EQY_CONSOLIDATED=Y","Sort=A","Dates=H","DateFormat=P","Fill=—","Direction=H","UseDPDF=Y")</f>
        <v>#NAME?</v>
      </c>
      <c r="BL652" s="2" t="e">
        <f ca="1">_xll.BDH($C$628,"ACCOUNTS_RECEIVABLE_SEQ_GROWTH","FQ4 2018","FQ4 2018","Currency=INR","Period=FQ","BEST_FPERIOD_OVERRIDE=FQ","FILING_STATUS=OR","EQY_CONSOLIDATED=Y","Sort=A","Dates=H","DateFormat=P","Fill=—","Direction=H","UseDPDF=Y")</f>
        <v>#NAME?</v>
      </c>
      <c r="BM652" s="2" t="e">
        <f ca="1">_xll.BDH($C$628,"INVENTORY_SEQUENTIAL_GROWTH","FQ4 2018","FQ4 2018","Currency=INR","Period=FQ","BEST_FPERIOD_OVERRIDE=FQ","FILING_STATUS=OR","EQY_CONSOLIDATED=Y","Sort=A","Dates=H","DateFormat=P","Fill=—","Direction=H","UseDPDF=Y")</f>
        <v>#NAME?</v>
      </c>
      <c r="BN652" s="2" t="e">
        <f ca="1">_xll.BDH($C$628,"FIXED_ASSETS_SEQUENTIAL_GROWTH","FQ4 2018","FQ4 2018","Currency=INR","Period=FQ","BEST_FPERIOD_OVERRIDE=FQ","FILING_STATUS=OR","EQY_CONSOLIDATED=Y","Sort=A","Dates=H","DateFormat=P","Fill=—","Direction=H","UseDPDF=Y")</f>
        <v>#NAME?</v>
      </c>
      <c r="BO652" s="2" t="e">
        <f ca="1">_xll.BDH($C$628,"TOTAL_ASSETS_SEQUENTIAL_GROWTH","FQ4 2018","FQ4 2018","Currency=INR","Period=FQ","BEST_FPERIOD_OVERRIDE=FQ","FILING_STATUS=OR","EQY_CONSOLIDATED=Y","Sort=A","Dates=H","DateFormat=P","Fill=—","Direction=H","UseDPDF=Y")</f>
        <v>#NAME?</v>
      </c>
      <c r="BP652" s="2" t="e">
        <f ca="1">_xll.BDH($C$628,"MODIFIED_WORKING_CPTL_SEQ_GRWTH","FQ4 2018","FQ4 2018","Currency=INR","Period=FQ","BEST_FPERIOD_OVERRIDE=FQ","FILING_STATUS=OR","EQY_CONSOLIDATED=Y","Sort=A","Dates=H","DateFormat=P","Fill=—","Direction=H","UseDPDF=Y")</f>
        <v>#NAME?</v>
      </c>
      <c r="BQ652" s="2" t="e">
        <f ca="1">_xll.BDH($C$628,"WORKING_CAPITAL_SEQ_GROWTH","FQ4 2018","FQ4 2018","Currency=INR","Period=FQ","BEST_FPERIOD_OVERRIDE=FQ","FILING_STATUS=OR","EQY_CONSOLIDATED=Y","Sort=A","Dates=H","DateFormat=P","Fill=—","Direction=H","UseDPDF=Y")</f>
        <v>#NAME?</v>
      </c>
      <c r="BR652" s="2" t="e">
        <f ca="1">_xll.BDH($C$628,"ACCOUNTS_PAYABLE_SEQ_GROWTH","FQ4 2018","FQ4 2018","Currency=INR","Period=FQ","BEST_FPERIOD_OVERRIDE=FQ","FILING_STATUS=OR","EQY_CONSOLIDATED=Y","Sort=A","Dates=H","DateFormat=P","Fill=—","Direction=H","UseDPDF=Y")</f>
        <v>#NAME?</v>
      </c>
      <c r="BS652" s="2" t="e">
        <f ca="1">_xll.BDH($C$628,"ST_DEBT_SEQUENTIAL_GROWTH","FQ4 2018","FQ4 2018","Currency=INR","Period=FQ","BEST_FPERIOD_OVERRIDE=FQ","FILING_STATUS=OR","EQY_CONSOLIDATED=Y","Sort=A","Dates=H","DateFormat=P","Fill=—","Direction=H","UseDPDF=Y")</f>
        <v>#NAME?</v>
      </c>
      <c r="BT652" s="2" t="e">
        <f ca="1">_xll.BDH($C$628,"TOTAL_DEBT_SEQUENTIAL_GROWTH","FQ4 2018","FQ4 2018","Currency=INR","Period=FQ","BEST_FPERIOD_OVERRIDE=FQ","FILING_STATUS=OR","EQY_CONSOLIDATED=Y","Sort=A","Dates=H","DateFormat=P","Fill=—","Direction=H","UseDPDF=Y")</f>
        <v>#NAME?</v>
      </c>
      <c r="BU652" s="2" t="e">
        <f ca="1">_xll.BDH($C$628,"TOTAL_EQUITY_SEQUENTIAL_GROWTH","FQ4 2018","FQ4 2018","Currency=INR","Period=FQ","BEST_FPERIOD_OVERRIDE=FQ","FILING_STATUS=OR","EQY_CONSOLIDATED=Y","Sort=A","Dates=H","DateFormat=P","Fill=—","Direction=H","UseDPDF=Y")</f>
        <v>#NAME?</v>
      </c>
      <c r="BV652" s="2" t="e">
        <f ca="1">_xll.BDH($C$628,"TOTAL_CAPITAL_SEQUENTIAL_GROWTH","FQ4 2018","FQ4 2018","Currency=INR","Period=FQ","BEST_FPERIOD_OVERRIDE=FQ","FILING_STATUS=OR","EQY_CONSOLIDATED=Y","Sort=A","Dates=H","DateFormat=P","Fill=—","Direction=H","UseDPDF=Y")</f>
        <v>#NAME?</v>
      </c>
      <c r="BW652" s="2" t="e">
        <f ca="1">_xll.BDH($C$628,"BPS_SEQUENTIAL_GROWTH","FQ4 2018","FQ4 2018","Currency=INR","Period=FQ","BEST_FPERIOD_OVERRIDE=FQ","FILING_STATUS=OR","EQY_CONSOLIDATED=Y","Sort=A","Dates=H","DateFormat=P","Fill=—","Direction=H","UseDPDF=Y")</f>
        <v>#NAME?</v>
      </c>
      <c r="BX652" s="2" t="e">
        <f ca="1">_xll.BDH($C$628,"CFO_SEQUENTIAL_GROWTH","FQ4 2018","FQ4 2018","Currency=INR","Period=FQ","BEST_FPERIOD_OVERRIDE=FQ","FILING_STATUS=OR","EQY_CONSOLIDATED=Y","Sort=A","Dates=H","DateFormat=P","Fill=—","Direction=H","UseDPDF=Y")</f>
        <v>#NAME?</v>
      </c>
      <c r="BY652" s="3" t="e">
        <f ca="1">_xll.BDH($C$628,"SHORT_AND_LONG_TERM_DEBT","FQ4 2018","FQ4 2018","Currency=INR","Period=FQ","BEST_FPERIOD_OVERRIDE=FQ","FILING_STATUS=OR","EQY_CONSOLIDATED=Y","SCALING_FORMAT=MLN","Sort=A","Dates=H","DateFormat=P","Fill=—","Direction=H","UseDPDF=Y")</f>
        <v>#NAME?</v>
      </c>
      <c r="BZ652" s="3" t="e">
        <f ca="1">_xll.BDH($C$628,"BS_ST_BORROW","FQ4 2018","FQ4 2018","Currency=INR","Period=FQ","BEST_FPERIOD_OVERRIDE=FQ","FILING_STATUS=OR","EQY_CONSOLIDATED=Y","SCALING_FORMAT=MLN","Sort=A","Dates=H","DateFormat=P","Fill=—","Direction=H","UseDPDF=Y")</f>
        <v>#NAME?</v>
      </c>
      <c r="CA652" s="3" t="e">
        <f ca="1">_xll.BDH($C$628,"BS_LT_BORROW","FQ4 2018","FQ4 2018","Currency=INR","Period=FQ","BEST_FPERIOD_OVERRIDE=FQ","FILING_STATUS=OR","EQY_CONSOLIDATED=Y","SCALING_FORMAT=MLN","Sort=A","Dates=H","DateFormat=P","Fill=—","Direction=H","UseDPDF=Y")</f>
        <v>#NAME?</v>
      </c>
      <c r="CB652" s="2" t="e">
        <f ca="1">_xll.BDH($C$628,"TOT_DEBT_TO_EBITDA","FQ4 2018","FQ4 2018","Currency=INR","Period=FQ","BEST_FPERIOD_OVERRIDE=FQ","FILING_STATUS=OR","EQY_CONSOLIDATED=Y","FA_ADJUSTED=GAAP","Sort=A","Dates=H","DateFormat=P","Fill=—","Direction=H","UseDPDF=Y")</f>
        <v>#NAME?</v>
      </c>
      <c r="CC652" s="2" t="e">
        <f ca="1">_xll.BDH($C$628,"NET_DEBT_TO_EBITDA","FQ4 2018","FQ4 2018","Currency=INR","Period=FQ","BEST_FPERIOD_OVERRIDE=FQ","FILING_STATUS=OR","EQY_CONSOLIDATED=Y","FA_ADJUSTED=GAAP","Sort=A","Dates=H","DateFormat=P","Fill=—","Direction=H","UseDPDF=Y")</f>
        <v>#NAME?</v>
      </c>
      <c r="CD652" s="2" t="e">
        <f ca="1">_xll.BDH($C$628,"TOTAL_DEBT_TO_EBIT","FQ4 2018","FQ4 2018","Currency=INR","Period=FQ","BEST_FPERIOD_OVERRIDE=FQ","FILING_STATUS=OR","EQY_CONSOLIDATED=Y","FA_ADJUSTED=GAAP","Sort=A","Dates=H","DateFormat=P","Fill=—","Direction=H","UseDPDF=Y")</f>
        <v>#NAME?</v>
      </c>
      <c r="CE652" s="2" t="e">
        <f ca="1">_xll.BDH($C$628,"NET_DEBT_TO_EBIT","FQ4 2018","FQ4 2018","Currency=INR","Period=FQ","BEST_FPERIOD_OVERRIDE=FQ","FILING_STATUS=OR","EQY_CONSOLIDATED=Y","FA_ADJUSTED=GAAP","Sort=A","Dates=H","DateFormat=P","Fill=—","Direction=H","UseDPDF=Y")</f>
        <v>#NAME?</v>
      </c>
      <c r="CF652" s="2" t="e">
        <f ca="1">_xll.BDH($C$628,"EBITDA_TO_INTEREST_EXPN","FQ4 2018","FQ4 2018","Currency=INR","Period=FQ","BEST_FPERIOD_OVERRIDE=FQ","FILING_STATUS=OR","EQY_CONSOLIDATED=Y","FA_ADJUSTED=GAAP","Sort=A","Dates=H","DateFormat=P","Fill=—","Direction=H","UseDPDF=Y")</f>
        <v>#NAME?</v>
      </c>
      <c r="CG652" s="2" t="e">
        <f ca="1">_xll.BDH($C$628,"COM_EQY_TO_TOT_ASSET","FQ4 2018","FQ4 2018","Currency=INR","Period=FQ","BEST_FPERIOD_OVERRIDE=FQ","FILING_STATUS=OR","EQY_CONSOLIDATED=Y","Sort=A","Dates=H","DateFormat=P","Fill=—","Direction=H","UseDPDF=Y")</f>
        <v>#NAME?</v>
      </c>
      <c r="CH652" s="2" t="e">
        <f ca="1">_xll.BDH($C$628,"LT_DEBT_TO_TOT_EQY","FQ4 2018","FQ4 2018","Currency=INR","Period=FQ","BEST_FPERIOD_OVERRIDE=FQ","FILING_STATUS=OR","EQY_CONSOLIDATED=Y","Sort=A","Dates=H","DateFormat=P","Fill=—","Direction=H","UseDPDF=Y")</f>
        <v>#NAME?</v>
      </c>
      <c r="CI652" s="2" t="e">
        <f ca="1">_xll.BDH($C$628,"LT_DEBT_TO_TOT_CAP","FQ4 2018","FQ4 2018","Currency=INR","Period=FQ","BEST_FPERIOD_OVERRIDE=FQ","FILING_STATUS=OR","EQY_CONSOLIDATED=Y","Sort=A","Dates=H","DateFormat=P","Fill=—","Direction=H","UseDPDF=Y")</f>
        <v>#NAME?</v>
      </c>
      <c r="CJ652" s="2" t="e">
        <f ca="1">_xll.BDH($C$628,"LT_DEBT_TO_TOT_ASSET","FQ4 2018","FQ4 2018","Currency=INR","Period=FQ","BEST_FPERIOD_OVERRIDE=FQ","FILING_STATUS=OR","EQY_CONSOLIDATED=Y","Sort=A","Dates=H","DateFormat=P","Fill=—","Direction=H","UseDPDF=Y")</f>
        <v>#NAME?</v>
      </c>
      <c r="CK652" s="2" t="e">
        <f ca="1">_xll.BDH($C$628,"TOT_DEBT_TO_TOT_EQY","FQ4 2018","FQ4 2018","Currency=INR","Period=FQ","BEST_FPERIOD_OVERRIDE=FQ","FILING_STATUS=OR","EQY_CONSOLIDATED=Y","Sort=A","Dates=H","DateFormat=P","Fill=—","Direction=H","UseDPDF=Y")</f>
        <v>#NAME?</v>
      </c>
      <c r="CL652" s="2" t="e">
        <f ca="1">_xll.BDH($C$628,"TOT_DEBT_TO_TOT_CAP","FQ4 2018","FQ4 2018","Currency=INR","Period=FQ","BEST_FPERIOD_OVERRIDE=FQ","FILING_STATUS=OR","EQY_CONSOLIDATED=Y","Sort=A","Dates=H","DateFormat=P","Fill=—","Direction=H","UseDPDF=Y")</f>
        <v>#NAME?</v>
      </c>
      <c r="CM652" s="2" t="e">
        <f ca="1">_xll.BDH($C$628,"TOT_DEBT_TO_TOT_ASSET","FQ4 2018","FQ4 2018","Currency=INR","Period=FQ","BEST_FPERIOD_OVERRIDE=FQ","FILING_STATUS=OR","EQY_CONSOLIDATED=Y","Sort=A","Dates=H","DateFormat=P","Fill=—","Direction=H","UseDPDF=Y")</f>
        <v>#NAME?</v>
      </c>
      <c r="CN652" s="2" t="e">
        <f ca="1">_xll.BDH($C$628,"NET_DEBT_TO_SHRHLDR_EQTY","FQ4 2018","FQ4 2018","Currency=INR","Period=FQ","BEST_FPERIOD_OVERRIDE=FQ","FILING_STATUS=OR","EQY_CONSOLIDATED=Y","Sort=A","Dates=H","DateFormat=P","Fill=—","Direction=H","UseDPDF=Y")</f>
        <v>#NAME?</v>
      </c>
      <c r="CO652" s="2" t="e">
        <f ca="1">_xll.BDH($C$628,"NET_DEBT_%_CAPITAL","FQ4 2018","FQ4 2018","Currency=INR","Period=FQ","BEST_FPERIOD_OVERRIDE=FQ","FILING_STATUS=OR","EQY_CONSOLIDATED=Y","Sort=A","Dates=H","DateFormat=P","Fill=—","Direction=H","UseDPDF=Y")</f>
        <v>#NAME?</v>
      </c>
      <c r="CP652" s="3" t="e">
        <f ca="1">_xll.BDH($C$628,"EBITDA","FQ4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Q652" s="3" t="e">
        <f ca="1">_xll.BDH($C$628,"EBITDA_AFTER_CAPEX","FQ4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R652" s="3" t="e">
        <f ca="1">_xll.BDH($C$628,"IS_OPER_INC","FQ4 2018","FQ4 2018","Currency=INR","Period=FQ","BEST_FPERIOD_OVERRIDE=FQ","FILING_STATUS=OR","EQY_CONSOLIDATED=Y","SCALING_FORMAT=MLN","FA_ADJUSTED=GAAP","Sort=A","Dates=H","DateFormat=P","Fill=—","Direction=H","UseDPDF=Y")</f>
        <v>#NAME?</v>
      </c>
      <c r="CS652" s="2" t="e">
        <f ca="1">_xll.BDH($C$628,"CASH_RATIO","FQ4 2018","FQ4 2018","Currency=INR","Period=FQ","BEST_FPERIOD_OVERRIDE=FQ","FILING_STATUS=OR","EQY_CONSOLIDATED=Y","Sort=A","Dates=H","DateFormat=P","Fill=—","Direction=H","UseDPDF=Y")</f>
        <v>#NAME?</v>
      </c>
      <c r="CT652" s="2" t="e">
        <f ca="1">_xll.BDH($C$628,"CUR_RATIO","FQ4 2018","FQ4 2018","Currency=INR","Period=FQ","BEST_FPERIOD_OVERRIDE=FQ","FILING_STATUS=OR","EQY_CONSOLIDATED=Y","Sort=A","Dates=H","DateFormat=P","Fill=—","Direction=H","UseDPDF=Y")</f>
        <v>#NAME?</v>
      </c>
      <c r="CU652" s="2" t="e">
        <f ca="1">_xll.BDH($C$628,"QUICK_RATIO","FQ4 2018","FQ4 2018","Currency=INR","Period=FQ","BEST_FPERIOD_OVERRIDE=FQ","FILING_STATUS=OR","EQY_CONSOLIDATED=Y","Sort=A","Dates=H","DateFormat=P","Fill=—","Direction=H","UseDPDF=Y")</f>
        <v>#NAME?</v>
      </c>
      <c r="CV652" s="2" t="e">
        <f ca="1">_xll.BDH($C$628,"ALTMAN_Z_SCORE","FQ4 2018","FQ4 2018","Currency=INR","Period=FQ","BEST_FPERIOD_OVERRIDE=FQ","FILING_STATUS=OR","EQY_CONSOLIDATED=Y","Sort=A","Dates=H","DateFormat=P","Fill=—","Direction=H","UseDPDF=Y")</f>
        <v>#NAME?</v>
      </c>
      <c r="CW652" s="4" t="e">
        <f ca="1">_xll.BDH($C$628,"ACCT_RCV_TURN","FQ4 2018","FQ4 2018","Currency=INR","Period=FQ","BEST_FPERIOD_OVERRIDE=FQ","FILING_STATUS=OR","EQY_CONSOLIDATED=Y","FA_ADJUSTED=GAAP","Sort=A","Dates=H","DateFormat=P","Fill=—","Direction=H","UseDPDF=Y")</f>
        <v>#NAME?</v>
      </c>
      <c r="CX652" s="2" t="e">
        <f ca="1">_xll.BDH($C$628,"ACCT_RCV_DAYS","FQ4 2018","FQ4 2018","Currency=INR","Period=FQ","BEST_FPERIOD_OVERRIDE=FQ","FILING_STATUS=OR","EQY_CONSOLIDATED=Y","FA_ADJUSTED=GAAP","Sort=A","Dates=H","DateFormat=P","Fill=—","Direction=H","UseDPDF=Y")</f>
        <v>#NAME?</v>
      </c>
      <c r="CY652" s="4" t="e">
        <f ca="1">_xll.BDH($C$628,"INVENT_TURN","FQ4 2018","FQ4 2018","Currency=INR","Period=FQ","BEST_FPERIOD_OVERRIDE=FQ","FILING_STATUS=OR","EQY_CONSOLIDATED=Y","FA_ADJUSTED=GAAP","Sort=A","Dates=H","DateFormat=P","Fill=—","Direction=H","UseDPDF=Y")</f>
        <v>#NAME?</v>
      </c>
      <c r="CZ652" s="2" t="e">
        <f ca="1">_xll.BDH($C$628,"INVENT_DAYS","FQ4 2018","FQ4 2018","Currency=INR","Period=FQ","BEST_FPERIOD_OVERRIDE=FQ","FILING_STATUS=OR","EQY_CONSOLIDATED=Y","FA_ADJUSTED=GAAP","Sort=A","Dates=H","DateFormat=P","Fill=—","Direction=H","UseDPDF=Y")</f>
        <v>#NAME?</v>
      </c>
      <c r="DA652" s="4" t="e">
        <f ca="1">_xll.BDH($C$628,"ACCOUNTS_PAYABLE_TURNOVER","FQ4 2018","FQ4 2018","Currency=INR","Period=FQ","BEST_FPERIOD_OVERRIDE=FQ","FILING_STATUS=OR","EQY_CONSOLIDATED=Y","FA_ADJUSTED=GAAP","Sort=A","Dates=H","DateFormat=P","Fill=—","Direction=H","UseDPDF=Y")</f>
        <v>#NAME?</v>
      </c>
      <c r="DB652" s="2" t="e">
        <f ca="1">_xll.BDH($C$628,"ACCOUNTS_PAYABLE_TURNOVER_DAYS","FQ4 2018","FQ4 2018","Currency=INR","Period=FQ","BEST_FPERIOD_OVERRIDE=FQ","FILING_STATUS=OR","EQY_CONSOLIDATED=Y","FA_ADJUSTED=GAAP","Sort=A","Dates=H","DateFormat=P","Fill=—","Direction=H","UseDPDF=Y")</f>
        <v>#NAME?</v>
      </c>
      <c r="DC652" s="4" t="e">
        <f ca="1">_xll.BDH($C$628,"CASH_CONVERSION_CYCLE","FQ4 2018","FQ4 2018","Currency=INR","Period=FQ","BEST_FPERIOD_OVERRIDE=FQ","FILING_STATUS=OR","EQY_CONSOLIDATED=Y","FA_ADJUSTED=GAAP","Sort=A","Dates=H","DateFormat=P","Fill=—","Direction=H","UseDPDF=Y")</f>
        <v>#NAME?</v>
      </c>
      <c r="DD652" s="4" t="e">
        <f ca="1">_xll.BDH($C$628,"INV_TO_CASH_DAYS","FQ4 2018","FQ4 2018","Currency=INR","Period=FQ","BEST_FPERIOD_OVERRIDE=FQ","FILING_STATUS=OR","EQY_CONSOLIDATED=Y","FA_ADJUSTED=GAAP","Sort=A","Dates=H","DateFormat=P","Fill=—","Direction=H","UseDPDF=Y")</f>
        <v>#NAME?</v>
      </c>
      <c r="DE652" s="5" t="e">
        <f ca="1">_xll.BDH($C$628,"BS_INVENTORIES","FQ4 2018","FQ4 2018","Currency=INR","Period=FQ","BEST_FPERIOD_OVERRIDE=FQ","FILING_STATUS=OR","EQY_CONSOLIDATED=Y","SCALING_FORMAT=MLN","Sort=A","Dates=H","DateFormat=P","Fill=—","Direction=H","UseDPDF=Y")</f>
        <v>#NAME?</v>
      </c>
      <c r="DF652" s="3" t="e">
        <f ca="1">_xll.BDH($C$628,"INVTRY_RAW_MATERIALS","FQ4 2018","FQ4 2018","Currency=INR","Period=FQ","BEST_FPERIOD_OVERRIDE=FQ","FILING_STATUS=OR","EQY_CONSOLIDATED=Y","SCALING_FORMAT=MLN","Sort=A","Dates=H","DateFormat=P","Fill=—","Direction=H","UseDPDF=Y")</f>
        <v>#NAME?</v>
      </c>
      <c r="DG652" s="3" t="e">
        <f ca="1">_xll.BDH($C$628,"INVTRY_IN_PROGRESS","FQ4 2018","FQ4 2018","Currency=INR","Period=FQ","BEST_FPERIOD_OVERRIDE=FQ","FILING_STATUS=OR","EQY_CONSOLIDATED=Y","SCALING_FORMAT=MLN","Sort=A","Dates=H","DateFormat=P","Fill=—","Direction=H","UseDPDF=Y")</f>
        <v>#NAME?</v>
      </c>
      <c r="DH652" s="3" t="e">
        <f ca="1">_xll.BDH($C$628,"INVTRY_FINISHED_GOODS","FQ4 2018","FQ4 2018","Currency=INR","Period=FQ","BEST_FPERIOD_OVERRIDE=FQ","FILING_STATUS=OR","EQY_CONSOLIDATED=Y","SCALING_FORMAT=MLN","Sort=A","Dates=H","DateFormat=P","Fill=—","Direction=H","UseDPDF=Y")</f>
        <v>#NAME?</v>
      </c>
      <c r="DI652" s="3" t="e">
        <f ca="1">_xll.BDH($C$628,"BS_OTHER_INV","FQ4 2018","FQ4 2018","Currency=INR","Period=FQ","BEST_FPERIOD_OVERRIDE=FQ","FILING_STATUS=OR","EQY_CONSOLIDATED=Y","SCALING_FORMAT=MLN","Sort=A","Dates=H","DateFormat=P","Fill=—","Direction=H","UseDPDF=Y")</f>
        <v>#NAME?</v>
      </c>
    </row>
  </sheetData>
  <mergeCells count="208">
    <mergeCell ref="A28:A52"/>
    <mergeCell ref="B28:B52"/>
    <mergeCell ref="C28:C52"/>
    <mergeCell ref="D28:D32"/>
    <mergeCell ref="D33:D37"/>
    <mergeCell ref="D38:D42"/>
    <mergeCell ref="D43:D47"/>
    <mergeCell ref="D48:D52"/>
    <mergeCell ref="A3:A27"/>
    <mergeCell ref="B3:B27"/>
    <mergeCell ref="C3:C27"/>
    <mergeCell ref="D3:D7"/>
    <mergeCell ref="D8:D12"/>
    <mergeCell ref="D13:D17"/>
    <mergeCell ref="D18:D22"/>
    <mergeCell ref="D23:D27"/>
    <mergeCell ref="A78:A102"/>
    <mergeCell ref="B78:B102"/>
    <mergeCell ref="C78:C102"/>
    <mergeCell ref="D78:D82"/>
    <mergeCell ref="D83:D87"/>
    <mergeCell ref="D88:D92"/>
    <mergeCell ref="D93:D97"/>
    <mergeCell ref="D98:D102"/>
    <mergeCell ref="A53:A77"/>
    <mergeCell ref="B53:B77"/>
    <mergeCell ref="C53:C77"/>
    <mergeCell ref="D53:D57"/>
    <mergeCell ref="D58:D62"/>
    <mergeCell ref="D63:D67"/>
    <mergeCell ref="D68:D72"/>
    <mergeCell ref="D73:D77"/>
    <mergeCell ref="A128:A152"/>
    <mergeCell ref="B128:B152"/>
    <mergeCell ref="C128:C152"/>
    <mergeCell ref="D128:D132"/>
    <mergeCell ref="D133:D137"/>
    <mergeCell ref="D138:D142"/>
    <mergeCell ref="D143:D147"/>
    <mergeCell ref="D148:D152"/>
    <mergeCell ref="A103:A127"/>
    <mergeCell ref="B103:B127"/>
    <mergeCell ref="C103:C127"/>
    <mergeCell ref="D103:D107"/>
    <mergeCell ref="D108:D112"/>
    <mergeCell ref="D113:D117"/>
    <mergeCell ref="D118:D122"/>
    <mergeCell ref="D123:D127"/>
    <mergeCell ref="A178:A202"/>
    <mergeCell ref="B178:B202"/>
    <mergeCell ref="C178:C202"/>
    <mergeCell ref="D178:D182"/>
    <mergeCell ref="D183:D187"/>
    <mergeCell ref="D188:D192"/>
    <mergeCell ref="D193:D197"/>
    <mergeCell ref="D198:D202"/>
    <mergeCell ref="A153:A177"/>
    <mergeCell ref="B153:B177"/>
    <mergeCell ref="C153:C177"/>
    <mergeCell ref="D153:D157"/>
    <mergeCell ref="D158:D162"/>
    <mergeCell ref="D163:D167"/>
    <mergeCell ref="D168:D172"/>
    <mergeCell ref="D173:D177"/>
    <mergeCell ref="A228:A252"/>
    <mergeCell ref="B228:B252"/>
    <mergeCell ref="C228:C252"/>
    <mergeCell ref="D228:D232"/>
    <mergeCell ref="D233:D237"/>
    <mergeCell ref="D238:D242"/>
    <mergeCell ref="D243:D247"/>
    <mergeCell ref="D248:D252"/>
    <mergeCell ref="A203:A227"/>
    <mergeCell ref="B203:B227"/>
    <mergeCell ref="C203:C227"/>
    <mergeCell ref="D203:D207"/>
    <mergeCell ref="D208:D212"/>
    <mergeCell ref="D213:D217"/>
    <mergeCell ref="D218:D222"/>
    <mergeCell ref="D223:D227"/>
    <mergeCell ref="A278:A302"/>
    <mergeCell ref="B278:B302"/>
    <mergeCell ref="C278:C302"/>
    <mergeCell ref="D278:D282"/>
    <mergeCell ref="D283:D287"/>
    <mergeCell ref="D288:D292"/>
    <mergeCell ref="D293:D297"/>
    <mergeCell ref="D298:D302"/>
    <mergeCell ref="A253:A277"/>
    <mergeCell ref="B253:B277"/>
    <mergeCell ref="C253:C277"/>
    <mergeCell ref="D253:D257"/>
    <mergeCell ref="D258:D262"/>
    <mergeCell ref="D263:D267"/>
    <mergeCell ref="D268:D272"/>
    <mergeCell ref="D273:D277"/>
    <mergeCell ref="A328:A352"/>
    <mergeCell ref="B328:B352"/>
    <mergeCell ref="C328:C352"/>
    <mergeCell ref="D328:D332"/>
    <mergeCell ref="D333:D337"/>
    <mergeCell ref="D338:D342"/>
    <mergeCell ref="D343:D347"/>
    <mergeCell ref="D348:D352"/>
    <mergeCell ref="A303:A327"/>
    <mergeCell ref="B303:B327"/>
    <mergeCell ref="C303:C327"/>
    <mergeCell ref="D303:D307"/>
    <mergeCell ref="D308:D312"/>
    <mergeCell ref="D313:D317"/>
    <mergeCell ref="D318:D322"/>
    <mergeCell ref="D323:D327"/>
    <mergeCell ref="A378:A402"/>
    <mergeCell ref="B378:B402"/>
    <mergeCell ref="C378:C402"/>
    <mergeCell ref="D378:D382"/>
    <mergeCell ref="D383:D387"/>
    <mergeCell ref="D388:D392"/>
    <mergeCell ref="D393:D397"/>
    <mergeCell ref="D398:D402"/>
    <mergeCell ref="A353:A377"/>
    <mergeCell ref="B353:B377"/>
    <mergeCell ref="C353:C377"/>
    <mergeCell ref="D353:D357"/>
    <mergeCell ref="D358:D362"/>
    <mergeCell ref="D363:D367"/>
    <mergeCell ref="D368:D372"/>
    <mergeCell ref="D373:D377"/>
    <mergeCell ref="A428:A452"/>
    <mergeCell ref="B428:B452"/>
    <mergeCell ref="C428:C452"/>
    <mergeCell ref="D428:D432"/>
    <mergeCell ref="D433:D437"/>
    <mergeCell ref="D438:D442"/>
    <mergeCell ref="D443:D447"/>
    <mergeCell ref="D448:D452"/>
    <mergeCell ref="A403:A427"/>
    <mergeCell ref="B403:B427"/>
    <mergeCell ref="C403:C427"/>
    <mergeCell ref="D403:D407"/>
    <mergeCell ref="D408:D412"/>
    <mergeCell ref="D413:D417"/>
    <mergeCell ref="D418:D422"/>
    <mergeCell ref="D423:D427"/>
    <mergeCell ref="A478:A502"/>
    <mergeCell ref="B478:B502"/>
    <mergeCell ref="C478:C502"/>
    <mergeCell ref="D478:D482"/>
    <mergeCell ref="D483:D487"/>
    <mergeCell ref="D488:D492"/>
    <mergeCell ref="D493:D497"/>
    <mergeCell ref="D498:D502"/>
    <mergeCell ref="A453:A477"/>
    <mergeCell ref="B453:B477"/>
    <mergeCell ref="C453:C477"/>
    <mergeCell ref="D453:D457"/>
    <mergeCell ref="D458:D462"/>
    <mergeCell ref="D463:D467"/>
    <mergeCell ref="D468:D472"/>
    <mergeCell ref="D473:D477"/>
    <mergeCell ref="A528:A552"/>
    <mergeCell ref="B528:B552"/>
    <mergeCell ref="C528:C552"/>
    <mergeCell ref="D528:D532"/>
    <mergeCell ref="D533:D537"/>
    <mergeCell ref="D538:D542"/>
    <mergeCell ref="D543:D547"/>
    <mergeCell ref="D548:D552"/>
    <mergeCell ref="A503:A527"/>
    <mergeCell ref="B503:B527"/>
    <mergeCell ref="C503:C527"/>
    <mergeCell ref="D503:D507"/>
    <mergeCell ref="D508:D512"/>
    <mergeCell ref="D513:D517"/>
    <mergeCell ref="D518:D522"/>
    <mergeCell ref="D523:D527"/>
    <mergeCell ref="A578:A602"/>
    <mergeCell ref="B578:B602"/>
    <mergeCell ref="C578:C602"/>
    <mergeCell ref="D578:D582"/>
    <mergeCell ref="D583:D587"/>
    <mergeCell ref="D588:D592"/>
    <mergeCell ref="D593:D597"/>
    <mergeCell ref="D598:D602"/>
    <mergeCell ref="A553:A577"/>
    <mergeCell ref="B553:B577"/>
    <mergeCell ref="C553:C577"/>
    <mergeCell ref="D553:D557"/>
    <mergeCell ref="D558:D562"/>
    <mergeCell ref="D563:D567"/>
    <mergeCell ref="D568:D572"/>
    <mergeCell ref="D573:D577"/>
    <mergeCell ref="A628:A652"/>
    <mergeCell ref="B628:B652"/>
    <mergeCell ref="C628:C652"/>
    <mergeCell ref="D628:D632"/>
    <mergeCell ref="D633:D637"/>
    <mergeCell ref="D638:D642"/>
    <mergeCell ref="D643:D647"/>
    <mergeCell ref="D648:D652"/>
    <mergeCell ref="A603:A627"/>
    <mergeCell ref="B603:B627"/>
    <mergeCell ref="C603:C627"/>
    <mergeCell ref="D603:D607"/>
    <mergeCell ref="D608:D612"/>
    <mergeCell ref="D613:D617"/>
    <mergeCell ref="D618:D622"/>
    <mergeCell ref="D623:D6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652"/>
  <sheetViews>
    <sheetView tabSelected="1" workbookViewId="0">
      <selection sqref="A1:XFD1"/>
    </sheetView>
  </sheetViews>
  <sheetFormatPr defaultRowHeight="14.4" x14ac:dyDescent="0.3"/>
  <sheetData>
    <row r="1" spans="1:113" x14ac:dyDescent="0.3">
      <c r="S1" s="7" t="s">
        <v>136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 t="s">
        <v>137</v>
      </c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 t="s">
        <v>138</v>
      </c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</row>
    <row r="2" spans="1:11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19</v>
      </c>
      <c r="AN2" t="s">
        <v>20</v>
      </c>
      <c r="AO2" t="s">
        <v>21</v>
      </c>
      <c r="AP2" t="s">
        <v>22</v>
      </c>
      <c r="AQ2" t="s">
        <v>23</v>
      </c>
      <c r="AR2" t="s">
        <v>24</v>
      </c>
      <c r="AS2" t="s">
        <v>25</v>
      </c>
      <c r="AT2" t="s">
        <v>26</v>
      </c>
      <c r="AU2" t="s">
        <v>27</v>
      </c>
      <c r="AV2" t="s">
        <v>28</v>
      </c>
      <c r="AW2" t="s">
        <v>29</v>
      </c>
      <c r="AX2" t="s">
        <v>30</v>
      </c>
      <c r="AY2" t="s">
        <v>31</v>
      </c>
      <c r="AZ2" t="s">
        <v>32</v>
      </c>
      <c r="BA2" t="s">
        <v>33</v>
      </c>
      <c r="BB2" t="s">
        <v>34</v>
      </c>
      <c r="BC2" t="s">
        <v>35</v>
      </c>
      <c r="BD2" t="s">
        <v>36</v>
      </c>
      <c r="BE2" t="s">
        <v>37</v>
      </c>
      <c r="BF2" t="s">
        <v>19</v>
      </c>
      <c r="BG2" t="s">
        <v>20</v>
      </c>
      <c r="BH2" t="s">
        <v>21</v>
      </c>
      <c r="BI2" t="s">
        <v>22</v>
      </c>
      <c r="BJ2" t="s">
        <v>23</v>
      </c>
      <c r="BK2" t="s">
        <v>24</v>
      </c>
      <c r="BL2" t="s">
        <v>25</v>
      </c>
      <c r="BM2" t="s">
        <v>26</v>
      </c>
      <c r="BN2" t="s">
        <v>27</v>
      </c>
      <c r="BO2" t="s">
        <v>28</v>
      </c>
      <c r="BP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36</v>
      </c>
      <c r="BX2" t="s">
        <v>37</v>
      </c>
      <c r="BY2" t="s">
        <v>38</v>
      </c>
      <c r="BZ2" t="s">
        <v>39</v>
      </c>
      <c r="CA2" t="s">
        <v>40</v>
      </c>
      <c r="CB2" t="s">
        <v>41</v>
      </c>
      <c r="CC2" t="s">
        <v>42</v>
      </c>
      <c r="CD2" t="s">
        <v>43</v>
      </c>
      <c r="CE2" t="s">
        <v>44</v>
      </c>
      <c r="CF2" t="s">
        <v>45</v>
      </c>
      <c r="CG2" t="s">
        <v>46</v>
      </c>
      <c r="CH2" t="s">
        <v>47</v>
      </c>
      <c r="CI2" t="s">
        <v>48</v>
      </c>
      <c r="CJ2" t="s">
        <v>49</v>
      </c>
      <c r="CK2" t="s">
        <v>50</v>
      </c>
      <c r="CL2" t="s">
        <v>51</v>
      </c>
      <c r="CM2" t="s">
        <v>52</v>
      </c>
      <c r="CN2" t="s">
        <v>53</v>
      </c>
      <c r="CO2" t="s">
        <v>54</v>
      </c>
      <c r="CP2" t="s">
        <v>20</v>
      </c>
      <c r="CQ2" t="s">
        <v>55</v>
      </c>
      <c r="CR2" t="s">
        <v>56</v>
      </c>
      <c r="CS2" t="s">
        <v>57</v>
      </c>
      <c r="CT2" t="s">
        <v>58</v>
      </c>
      <c r="CU2" t="s">
        <v>59</v>
      </c>
      <c r="CV2" t="s">
        <v>60</v>
      </c>
      <c r="CW2" t="s">
        <v>61</v>
      </c>
      <c r="CX2" t="s">
        <v>62</v>
      </c>
      <c r="CY2" t="s">
        <v>63</v>
      </c>
      <c r="CZ2" t="s">
        <v>64</v>
      </c>
      <c r="DA2" t="s">
        <v>65</v>
      </c>
      <c r="DB2" t="s">
        <v>66</v>
      </c>
      <c r="DC2" t="s">
        <v>67</v>
      </c>
      <c r="DD2" t="s">
        <v>68</v>
      </c>
      <c r="DE2" t="s">
        <v>69</v>
      </c>
      <c r="DF2" t="s">
        <v>70</v>
      </c>
      <c r="DG2" t="s">
        <v>71</v>
      </c>
      <c r="DH2" t="s">
        <v>72</v>
      </c>
      <c r="DI2" t="s">
        <v>73</v>
      </c>
    </row>
    <row r="3" spans="1:113" x14ac:dyDescent="0.3">
      <c r="A3">
        <v>76</v>
      </c>
      <c r="B3" t="s">
        <v>74</v>
      </c>
      <c r="C3" t="s">
        <v>75</v>
      </c>
      <c r="D3" t="s">
        <v>76</v>
      </c>
      <c r="E3" t="s">
        <v>77</v>
      </c>
      <c r="F3">
        <v>14.885400000000001</v>
      </c>
      <c r="G3">
        <v>3.5685000000000002</v>
      </c>
      <c r="H3">
        <v>6.2945000000000002</v>
      </c>
      <c r="I3">
        <v>5.9725000000000001</v>
      </c>
      <c r="J3">
        <v>84.883499999999998</v>
      </c>
      <c r="K3">
        <v>58.634900000000002</v>
      </c>
      <c r="L3">
        <v>55.289099999999998</v>
      </c>
      <c r="M3">
        <v>40.768299999999996</v>
      </c>
      <c r="N3">
        <v>29.155100000000001</v>
      </c>
      <c r="O3">
        <v>29.155100000000001</v>
      </c>
      <c r="P3">
        <v>29.155100000000001</v>
      </c>
      <c r="Q3">
        <v>28.485900000000001</v>
      </c>
      <c r="R3">
        <v>30.9087</v>
      </c>
      <c r="S3">
        <v>10.2845</v>
      </c>
      <c r="T3">
        <v>18.927099999999999</v>
      </c>
      <c r="U3">
        <v>17.891400000000001</v>
      </c>
      <c r="V3">
        <v>17.656400000000001</v>
      </c>
      <c r="W3">
        <v>5.4484000000000004</v>
      </c>
      <c r="X3">
        <v>1.6093999999999999</v>
      </c>
      <c r="Y3">
        <v>-6.1818</v>
      </c>
      <c r="Z3">
        <v>8.5096000000000007</v>
      </c>
      <c r="AA3">
        <v>29.047699999999999</v>
      </c>
      <c r="AB3">
        <v>26.9848</v>
      </c>
      <c r="AC3">
        <v>24.788</v>
      </c>
      <c r="AD3">
        <v>11.002700000000001</v>
      </c>
      <c r="AE3">
        <v>-23.542100000000001</v>
      </c>
      <c r="AF3">
        <v>35.254199999999997</v>
      </c>
      <c r="AG3">
        <v>23.9117</v>
      </c>
      <c r="AH3">
        <v>21.645900000000001</v>
      </c>
      <c r="AI3">
        <v>31.4161</v>
      </c>
      <c r="AJ3">
        <v>24.3432</v>
      </c>
      <c r="AK3">
        <v>16.2974</v>
      </c>
      <c r="AL3">
        <v>27.940300000000001</v>
      </c>
      <c r="AM3" t="s">
        <v>135</v>
      </c>
      <c r="AN3" t="s">
        <v>135</v>
      </c>
      <c r="AO3" t="s">
        <v>135</v>
      </c>
      <c r="AP3" t="s">
        <v>135</v>
      </c>
      <c r="AQ3" t="s">
        <v>135</v>
      </c>
      <c r="AR3" t="s">
        <v>135</v>
      </c>
      <c r="AS3" t="s">
        <v>135</v>
      </c>
      <c r="AT3" t="s">
        <v>135</v>
      </c>
      <c r="AU3" t="s">
        <v>135</v>
      </c>
      <c r="AV3" t="s">
        <v>135</v>
      </c>
      <c r="AW3" t="s">
        <v>135</v>
      </c>
      <c r="AX3" t="s">
        <v>135</v>
      </c>
      <c r="AY3" t="s">
        <v>135</v>
      </c>
      <c r="AZ3" t="s">
        <v>135</v>
      </c>
      <c r="BA3" t="s">
        <v>135</v>
      </c>
      <c r="BB3" t="s">
        <v>135</v>
      </c>
      <c r="BC3" t="s">
        <v>135</v>
      </c>
      <c r="BD3" t="s">
        <v>135</v>
      </c>
      <c r="BE3" t="s">
        <v>135</v>
      </c>
      <c r="BF3">
        <v>18.927099999999999</v>
      </c>
      <c r="BG3">
        <v>17.891400000000001</v>
      </c>
      <c r="BH3">
        <v>17.656400000000001</v>
      </c>
      <c r="BI3">
        <v>5.4484000000000004</v>
      </c>
      <c r="BJ3">
        <v>1.6093999999999999</v>
      </c>
      <c r="BK3">
        <v>-6.1818</v>
      </c>
      <c r="BL3">
        <v>8.5096000000000007</v>
      </c>
      <c r="BM3">
        <v>29.047699999999999</v>
      </c>
      <c r="BN3">
        <v>26.9848</v>
      </c>
      <c r="BO3">
        <v>24.788</v>
      </c>
      <c r="BP3">
        <v>11.002700000000001</v>
      </c>
      <c r="BQ3" t="s">
        <v>135</v>
      </c>
      <c r="BR3">
        <v>35.254199999999997</v>
      </c>
      <c r="BS3">
        <v>23.9117</v>
      </c>
      <c r="BT3">
        <v>21.645900000000001</v>
      </c>
      <c r="BU3">
        <v>31.4161</v>
      </c>
      <c r="BV3">
        <v>24.3432</v>
      </c>
      <c r="BW3">
        <v>16.2974</v>
      </c>
      <c r="BX3">
        <v>27.940300000000001</v>
      </c>
      <c r="BY3">
        <v>842195.8</v>
      </c>
      <c r="BZ3">
        <v>64474.5</v>
      </c>
      <c r="CA3">
        <v>777721.3</v>
      </c>
      <c r="CB3">
        <v>6.3609999999999998</v>
      </c>
      <c r="CC3">
        <v>5.9688999999999997</v>
      </c>
      <c r="CD3">
        <v>9.2086000000000006</v>
      </c>
      <c r="CE3">
        <v>8.6409000000000002</v>
      </c>
      <c r="CF3">
        <v>4.2941000000000003</v>
      </c>
      <c r="CG3">
        <v>24.523299999999999</v>
      </c>
      <c r="CH3">
        <v>224.1405</v>
      </c>
      <c r="CI3">
        <v>65.400099999999995</v>
      </c>
      <c r="CJ3">
        <v>54.9666</v>
      </c>
      <c r="CK3">
        <v>242.72210000000001</v>
      </c>
      <c r="CL3">
        <v>70.821799999999996</v>
      </c>
      <c r="CM3">
        <v>59.523499999999999</v>
      </c>
      <c r="CN3">
        <v>227.76</v>
      </c>
      <c r="CO3">
        <v>69.489900000000006</v>
      </c>
      <c r="CP3">
        <v>132400.29999999999</v>
      </c>
      <c r="CQ3">
        <v>-136728.79999999999</v>
      </c>
      <c r="CR3">
        <v>91458</v>
      </c>
      <c r="CS3">
        <v>0.25990000000000002</v>
      </c>
      <c r="CT3">
        <v>0.48909999999999998</v>
      </c>
      <c r="CU3">
        <v>0.34089999999999998</v>
      </c>
      <c r="CV3">
        <v>0.54649999999999999</v>
      </c>
      <c r="CW3">
        <v>10.0319</v>
      </c>
      <c r="CX3">
        <v>36.384099999999997</v>
      </c>
      <c r="CY3">
        <v>0.34649999999999997</v>
      </c>
      <c r="CZ3">
        <v>1053.3178</v>
      </c>
      <c r="DA3">
        <v>1.2519</v>
      </c>
      <c r="DB3">
        <v>291.5514</v>
      </c>
      <c r="DC3">
        <v>798.15039999999999</v>
      </c>
      <c r="DD3">
        <v>1089.7019</v>
      </c>
      <c r="DE3">
        <v>7134.4</v>
      </c>
      <c r="DF3" t="s">
        <v>135</v>
      </c>
      <c r="DG3" t="s">
        <v>135</v>
      </c>
      <c r="DH3" t="s">
        <v>135</v>
      </c>
      <c r="DI3" t="s">
        <v>135</v>
      </c>
    </row>
    <row r="4" spans="1:113" x14ac:dyDescent="0.3">
      <c r="E4" t="s">
        <v>78</v>
      </c>
      <c r="F4" t="s">
        <v>135</v>
      </c>
      <c r="G4" t="s">
        <v>135</v>
      </c>
      <c r="H4" t="s">
        <v>135</v>
      </c>
      <c r="I4" t="s">
        <v>135</v>
      </c>
      <c r="J4" t="s">
        <v>135</v>
      </c>
      <c r="K4" t="s">
        <v>135</v>
      </c>
      <c r="L4" t="s">
        <v>135</v>
      </c>
      <c r="M4" t="s">
        <v>135</v>
      </c>
      <c r="N4" t="s">
        <v>135</v>
      </c>
      <c r="O4" t="s">
        <v>135</v>
      </c>
      <c r="P4" t="s">
        <v>135</v>
      </c>
      <c r="Q4" t="s">
        <v>135</v>
      </c>
      <c r="R4" t="s">
        <v>135</v>
      </c>
      <c r="S4" t="s">
        <v>135</v>
      </c>
      <c r="T4" t="s">
        <v>135</v>
      </c>
      <c r="U4" t="s">
        <v>135</v>
      </c>
      <c r="V4" t="s">
        <v>135</v>
      </c>
      <c r="W4" t="s">
        <v>135</v>
      </c>
      <c r="X4" t="s">
        <v>135</v>
      </c>
      <c r="Y4" t="s">
        <v>135</v>
      </c>
      <c r="Z4" t="s">
        <v>135</v>
      </c>
      <c r="AA4" t="s">
        <v>135</v>
      </c>
      <c r="AB4" t="s">
        <v>135</v>
      </c>
      <c r="AC4" t="s">
        <v>135</v>
      </c>
      <c r="AD4" t="s">
        <v>135</v>
      </c>
      <c r="AE4" t="s">
        <v>135</v>
      </c>
      <c r="AF4" t="s">
        <v>135</v>
      </c>
      <c r="AG4" t="s">
        <v>135</v>
      </c>
      <c r="AH4" t="s">
        <v>135</v>
      </c>
      <c r="AI4" t="s">
        <v>135</v>
      </c>
      <c r="AJ4" t="s">
        <v>135</v>
      </c>
      <c r="AK4" t="s">
        <v>135</v>
      </c>
      <c r="AL4" t="s">
        <v>135</v>
      </c>
      <c r="AM4" t="s">
        <v>135</v>
      </c>
      <c r="AN4" t="s">
        <v>135</v>
      </c>
      <c r="AO4" t="s">
        <v>135</v>
      </c>
      <c r="AP4" t="s">
        <v>135</v>
      </c>
      <c r="AQ4" t="s">
        <v>135</v>
      </c>
      <c r="AR4" t="s">
        <v>135</v>
      </c>
      <c r="AS4" t="s">
        <v>135</v>
      </c>
      <c r="AT4" t="s">
        <v>135</v>
      </c>
      <c r="AU4" t="s">
        <v>135</v>
      </c>
      <c r="AV4" t="s">
        <v>135</v>
      </c>
      <c r="AW4" t="s">
        <v>135</v>
      </c>
      <c r="AX4" t="s">
        <v>135</v>
      </c>
      <c r="AY4" t="s">
        <v>135</v>
      </c>
      <c r="AZ4" t="s">
        <v>135</v>
      </c>
      <c r="BA4" t="s">
        <v>135</v>
      </c>
      <c r="BB4" t="s">
        <v>135</v>
      </c>
      <c r="BC4" t="s">
        <v>135</v>
      </c>
      <c r="BD4" t="s">
        <v>135</v>
      </c>
      <c r="BE4" t="s">
        <v>135</v>
      </c>
      <c r="BF4" t="s">
        <v>135</v>
      </c>
      <c r="BG4" t="s">
        <v>135</v>
      </c>
      <c r="BH4" t="s">
        <v>135</v>
      </c>
      <c r="BI4" t="s">
        <v>135</v>
      </c>
      <c r="BJ4" t="s">
        <v>135</v>
      </c>
      <c r="BK4" t="s">
        <v>135</v>
      </c>
      <c r="BL4" t="s">
        <v>135</v>
      </c>
      <c r="BM4" t="s">
        <v>135</v>
      </c>
      <c r="BN4" t="s">
        <v>135</v>
      </c>
      <c r="BO4" t="s">
        <v>135</v>
      </c>
      <c r="BP4" t="s">
        <v>135</v>
      </c>
      <c r="BQ4" t="s">
        <v>135</v>
      </c>
      <c r="BR4" t="s">
        <v>135</v>
      </c>
      <c r="BS4" t="s">
        <v>135</v>
      </c>
      <c r="BT4" t="s">
        <v>135</v>
      </c>
      <c r="BU4" t="s">
        <v>135</v>
      </c>
      <c r="BV4" t="s">
        <v>135</v>
      </c>
      <c r="BW4" t="s">
        <v>135</v>
      </c>
      <c r="BX4" t="s">
        <v>135</v>
      </c>
      <c r="BY4" t="s">
        <v>135</v>
      </c>
      <c r="BZ4" t="s">
        <v>135</v>
      </c>
      <c r="CA4" t="s">
        <v>135</v>
      </c>
      <c r="CB4" t="s">
        <v>135</v>
      </c>
      <c r="CC4" t="s">
        <v>135</v>
      </c>
      <c r="CD4" t="s">
        <v>135</v>
      </c>
      <c r="CE4" t="s">
        <v>135</v>
      </c>
      <c r="CF4" t="s">
        <v>135</v>
      </c>
      <c r="CG4" t="s">
        <v>135</v>
      </c>
      <c r="CH4" t="s">
        <v>135</v>
      </c>
      <c r="CI4" t="s">
        <v>135</v>
      </c>
      <c r="CJ4" t="s">
        <v>135</v>
      </c>
      <c r="CK4" t="s">
        <v>135</v>
      </c>
      <c r="CL4" t="s">
        <v>135</v>
      </c>
      <c r="CM4" t="s">
        <v>135</v>
      </c>
      <c r="CN4" t="s">
        <v>135</v>
      </c>
      <c r="CO4" t="s">
        <v>135</v>
      </c>
      <c r="CP4" t="s">
        <v>135</v>
      </c>
      <c r="CQ4" t="s">
        <v>135</v>
      </c>
      <c r="CR4" t="s">
        <v>135</v>
      </c>
      <c r="CS4" t="s">
        <v>135</v>
      </c>
      <c r="CT4" t="s">
        <v>135</v>
      </c>
      <c r="CU4" t="s">
        <v>135</v>
      </c>
      <c r="CV4" t="s">
        <v>135</v>
      </c>
      <c r="CW4" t="s">
        <v>135</v>
      </c>
      <c r="CX4" t="s">
        <v>135</v>
      </c>
      <c r="CY4" t="s">
        <v>135</v>
      </c>
      <c r="CZ4" t="s">
        <v>135</v>
      </c>
      <c r="DA4" t="s">
        <v>135</v>
      </c>
      <c r="DB4" t="s">
        <v>135</v>
      </c>
      <c r="DC4" t="s">
        <v>135</v>
      </c>
      <c r="DD4" t="s">
        <v>135</v>
      </c>
      <c r="DE4" t="s">
        <v>135</v>
      </c>
      <c r="DF4" t="s">
        <v>135</v>
      </c>
      <c r="DG4" t="s">
        <v>135</v>
      </c>
      <c r="DH4" t="s">
        <v>135</v>
      </c>
      <c r="DI4" t="s">
        <v>135</v>
      </c>
    </row>
    <row r="5" spans="1:113" x14ac:dyDescent="0.3">
      <c r="E5" t="s">
        <v>79</v>
      </c>
      <c r="F5" t="s">
        <v>135</v>
      </c>
      <c r="G5" t="s">
        <v>135</v>
      </c>
      <c r="H5" t="s">
        <v>135</v>
      </c>
      <c r="I5" t="s">
        <v>135</v>
      </c>
      <c r="J5" t="s">
        <v>135</v>
      </c>
      <c r="K5" t="s">
        <v>135</v>
      </c>
      <c r="L5" t="s">
        <v>135</v>
      </c>
      <c r="M5" t="s">
        <v>135</v>
      </c>
      <c r="N5" t="s">
        <v>135</v>
      </c>
      <c r="O5" t="s">
        <v>135</v>
      </c>
      <c r="P5" t="s">
        <v>135</v>
      </c>
      <c r="Q5" t="s">
        <v>135</v>
      </c>
      <c r="R5" t="s">
        <v>135</v>
      </c>
      <c r="S5" t="s">
        <v>135</v>
      </c>
      <c r="T5" t="s">
        <v>135</v>
      </c>
      <c r="U5" t="s">
        <v>135</v>
      </c>
      <c r="V5" t="s">
        <v>135</v>
      </c>
      <c r="W5" t="s">
        <v>135</v>
      </c>
      <c r="X5" t="s">
        <v>135</v>
      </c>
      <c r="Y5" t="s">
        <v>135</v>
      </c>
      <c r="Z5" t="s">
        <v>135</v>
      </c>
      <c r="AA5" t="s">
        <v>135</v>
      </c>
      <c r="AB5" t="s">
        <v>135</v>
      </c>
      <c r="AC5" t="s">
        <v>135</v>
      </c>
      <c r="AD5" t="s">
        <v>135</v>
      </c>
      <c r="AE5" t="s">
        <v>135</v>
      </c>
      <c r="AF5" t="s">
        <v>135</v>
      </c>
      <c r="AG5" t="s">
        <v>135</v>
      </c>
      <c r="AH5" t="s">
        <v>135</v>
      </c>
      <c r="AI5" t="s">
        <v>135</v>
      </c>
      <c r="AJ5" t="s">
        <v>135</v>
      </c>
      <c r="AK5" t="s">
        <v>135</v>
      </c>
      <c r="AL5" t="s">
        <v>135</v>
      </c>
      <c r="AM5" t="s">
        <v>135</v>
      </c>
      <c r="AN5" t="s">
        <v>135</v>
      </c>
      <c r="AO5" t="s">
        <v>135</v>
      </c>
      <c r="AP5" t="s">
        <v>135</v>
      </c>
      <c r="AQ5" t="s">
        <v>135</v>
      </c>
      <c r="AR5" t="s">
        <v>135</v>
      </c>
      <c r="AS5" t="s">
        <v>135</v>
      </c>
      <c r="AT5" t="s">
        <v>135</v>
      </c>
      <c r="AU5" t="s">
        <v>135</v>
      </c>
      <c r="AV5" t="s">
        <v>135</v>
      </c>
      <c r="AW5" t="s">
        <v>135</v>
      </c>
      <c r="AX5" t="s">
        <v>135</v>
      </c>
      <c r="AY5" t="s">
        <v>135</v>
      </c>
      <c r="AZ5" t="s">
        <v>135</v>
      </c>
      <c r="BA5" t="s">
        <v>135</v>
      </c>
      <c r="BB5" t="s">
        <v>135</v>
      </c>
      <c r="BC5" t="s">
        <v>135</v>
      </c>
      <c r="BD5" t="s">
        <v>135</v>
      </c>
      <c r="BE5" t="s">
        <v>135</v>
      </c>
      <c r="BF5" t="s">
        <v>135</v>
      </c>
      <c r="BG5" t="s">
        <v>135</v>
      </c>
      <c r="BH5" t="s">
        <v>135</v>
      </c>
      <c r="BI5" t="s">
        <v>135</v>
      </c>
      <c r="BJ5" t="s">
        <v>135</v>
      </c>
      <c r="BK5" t="s">
        <v>135</v>
      </c>
      <c r="BL5" t="s">
        <v>135</v>
      </c>
      <c r="BM5" t="s">
        <v>135</v>
      </c>
      <c r="BN5" t="s">
        <v>135</v>
      </c>
      <c r="BO5" t="s">
        <v>135</v>
      </c>
      <c r="BP5" t="s">
        <v>135</v>
      </c>
      <c r="BQ5" t="s">
        <v>135</v>
      </c>
      <c r="BR5" t="s">
        <v>135</v>
      </c>
      <c r="BS5" t="s">
        <v>135</v>
      </c>
      <c r="BT5" t="s">
        <v>135</v>
      </c>
      <c r="BU5" t="s">
        <v>135</v>
      </c>
      <c r="BV5" t="s">
        <v>135</v>
      </c>
      <c r="BW5" t="s">
        <v>135</v>
      </c>
      <c r="BX5" t="s">
        <v>135</v>
      </c>
      <c r="BY5" t="s">
        <v>135</v>
      </c>
      <c r="BZ5" t="s">
        <v>135</v>
      </c>
      <c r="CA5" t="s">
        <v>135</v>
      </c>
      <c r="CB5" t="s">
        <v>135</v>
      </c>
      <c r="CC5" t="s">
        <v>135</v>
      </c>
      <c r="CD5" t="s">
        <v>135</v>
      </c>
      <c r="CE5" t="s">
        <v>135</v>
      </c>
      <c r="CF5" t="s">
        <v>135</v>
      </c>
      <c r="CG5" t="s">
        <v>135</v>
      </c>
      <c r="CH5" t="s">
        <v>135</v>
      </c>
      <c r="CI5" t="s">
        <v>135</v>
      </c>
      <c r="CJ5" t="s">
        <v>135</v>
      </c>
      <c r="CK5" t="s">
        <v>135</v>
      </c>
      <c r="CL5" t="s">
        <v>135</v>
      </c>
      <c r="CM5" t="s">
        <v>135</v>
      </c>
      <c r="CN5" t="s">
        <v>135</v>
      </c>
      <c r="CO5" t="s">
        <v>135</v>
      </c>
      <c r="CP5" t="s">
        <v>135</v>
      </c>
      <c r="CQ5" t="s">
        <v>135</v>
      </c>
      <c r="CR5" t="s">
        <v>135</v>
      </c>
      <c r="CS5" t="s">
        <v>135</v>
      </c>
      <c r="CT5" t="s">
        <v>135</v>
      </c>
      <c r="CU5" t="s">
        <v>135</v>
      </c>
      <c r="CV5" t="s">
        <v>135</v>
      </c>
      <c r="CW5" t="s">
        <v>135</v>
      </c>
      <c r="CX5" t="s">
        <v>135</v>
      </c>
      <c r="CY5" t="s">
        <v>135</v>
      </c>
      <c r="CZ5" t="s">
        <v>135</v>
      </c>
      <c r="DA5" t="s">
        <v>135</v>
      </c>
      <c r="DB5" t="s">
        <v>135</v>
      </c>
      <c r="DC5" t="s">
        <v>135</v>
      </c>
      <c r="DD5" t="s">
        <v>135</v>
      </c>
      <c r="DE5" t="s">
        <v>135</v>
      </c>
      <c r="DF5" t="s">
        <v>135</v>
      </c>
      <c r="DG5" t="s">
        <v>135</v>
      </c>
      <c r="DH5" t="s">
        <v>135</v>
      </c>
      <c r="DI5" t="s">
        <v>135</v>
      </c>
    </row>
    <row r="6" spans="1:113" x14ac:dyDescent="0.3">
      <c r="E6" t="s">
        <v>80</v>
      </c>
      <c r="F6" t="s">
        <v>135</v>
      </c>
      <c r="G6" t="s">
        <v>135</v>
      </c>
      <c r="H6" t="s">
        <v>135</v>
      </c>
      <c r="I6" t="s">
        <v>135</v>
      </c>
      <c r="J6" t="s">
        <v>135</v>
      </c>
      <c r="K6" t="s">
        <v>135</v>
      </c>
      <c r="L6" t="s">
        <v>135</v>
      </c>
      <c r="M6" t="s">
        <v>135</v>
      </c>
      <c r="N6" t="s">
        <v>135</v>
      </c>
      <c r="O6" t="s">
        <v>135</v>
      </c>
      <c r="P6" t="s">
        <v>135</v>
      </c>
      <c r="Q6" t="s">
        <v>135</v>
      </c>
      <c r="R6" t="s">
        <v>135</v>
      </c>
      <c r="S6" t="s">
        <v>135</v>
      </c>
      <c r="T6" t="s">
        <v>135</v>
      </c>
      <c r="U6" t="s">
        <v>135</v>
      </c>
      <c r="V6" t="s">
        <v>135</v>
      </c>
      <c r="W6" t="s">
        <v>135</v>
      </c>
      <c r="X6" t="s">
        <v>135</v>
      </c>
      <c r="Y6" t="s">
        <v>135</v>
      </c>
      <c r="Z6" t="s">
        <v>135</v>
      </c>
      <c r="AA6" t="s">
        <v>135</v>
      </c>
      <c r="AB6" t="s">
        <v>135</v>
      </c>
      <c r="AC6" t="s">
        <v>135</v>
      </c>
      <c r="AD6" t="s">
        <v>135</v>
      </c>
      <c r="AE6" t="s">
        <v>135</v>
      </c>
      <c r="AF6" t="s">
        <v>135</v>
      </c>
      <c r="AG6" t="s">
        <v>135</v>
      </c>
      <c r="AH6" t="s">
        <v>135</v>
      </c>
      <c r="AI6" t="s">
        <v>135</v>
      </c>
      <c r="AJ6" t="s">
        <v>135</v>
      </c>
      <c r="AK6" t="s">
        <v>135</v>
      </c>
      <c r="AL6" t="s">
        <v>135</v>
      </c>
      <c r="AM6" t="s">
        <v>135</v>
      </c>
      <c r="AN6" t="s">
        <v>135</v>
      </c>
      <c r="AO6" t="s">
        <v>135</v>
      </c>
      <c r="AP6" t="s">
        <v>135</v>
      </c>
      <c r="AQ6" t="s">
        <v>135</v>
      </c>
      <c r="AR6" t="s">
        <v>135</v>
      </c>
      <c r="AS6" t="s">
        <v>135</v>
      </c>
      <c r="AT6" t="s">
        <v>135</v>
      </c>
      <c r="AU6" t="s">
        <v>135</v>
      </c>
      <c r="AV6" t="s">
        <v>135</v>
      </c>
      <c r="AW6" t="s">
        <v>135</v>
      </c>
      <c r="AX6" t="s">
        <v>135</v>
      </c>
      <c r="AY6" t="s">
        <v>135</v>
      </c>
      <c r="AZ6" t="s">
        <v>135</v>
      </c>
      <c r="BA6" t="s">
        <v>135</v>
      </c>
      <c r="BB6" t="s">
        <v>135</v>
      </c>
      <c r="BC6" t="s">
        <v>135</v>
      </c>
      <c r="BD6" t="s">
        <v>135</v>
      </c>
      <c r="BE6" t="s">
        <v>135</v>
      </c>
      <c r="BF6" t="s">
        <v>135</v>
      </c>
      <c r="BG6" t="s">
        <v>135</v>
      </c>
      <c r="BH6" t="s">
        <v>135</v>
      </c>
      <c r="BI6" t="s">
        <v>135</v>
      </c>
      <c r="BJ6" t="s">
        <v>135</v>
      </c>
      <c r="BK6" t="s">
        <v>135</v>
      </c>
      <c r="BL6" t="s">
        <v>135</v>
      </c>
      <c r="BM6" t="s">
        <v>135</v>
      </c>
      <c r="BN6" t="s">
        <v>135</v>
      </c>
      <c r="BO6" t="s">
        <v>135</v>
      </c>
      <c r="BP6" t="s">
        <v>135</v>
      </c>
      <c r="BQ6" t="s">
        <v>135</v>
      </c>
      <c r="BR6" t="s">
        <v>135</v>
      </c>
      <c r="BS6" t="s">
        <v>135</v>
      </c>
      <c r="BT6" t="s">
        <v>135</v>
      </c>
      <c r="BU6" t="s">
        <v>135</v>
      </c>
      <c r="BV6" t="s">
        <v>135</v>
      </c>
      <c r="BW6" t="s">
        <v>135</v>
      </c>
      <c r="BX6" t="s">
        <v>135</v>
      </c>
      <c r="BY6" t="s">
        <v>135</v>
      </c>
      <c r="BZ6" t="s">
        <v>135</v>
      </c>
      <c r="CA6" t="s">
        <v>135</v>
      </c>
      <c r="CB6" t="s">
        <v>135</v>
      </c>
      <c r="CC6" t="s">
        <v>135</v>
      </c>
      <c r="CD6" t="s">
        <v>135</v>
      </c>
      <c r="CE6" t="s">
        <v>135</v>
      </c>
      <c r="CF6" t="s">
        <v>135</v>
      </c>
      <c r="CG6" t="s">
        <v>135</v>
      </c>
      <c r="CH6" t="s">
        <v>135</v>
      </c>
      <c r="CI6" t="s">
        <v>135</v>
      </c>
      <c r="CJ6" t="s">
        <v>135</v>
      </c>
      <c r="CK6" t="s">
        <v>135</v>
      </c>
      <c r="CL6" t="s">
        <v>135</v>
      </c>
      <c r="CM6" t="s">
        <v>135</v>
      </c>
      <c r="CN6" t="s">
        <v>135</v>
      </c>
      <c r="CO6" t="s">
        <v>135</v>
      </c>
      <c r="CP6" t="s">
        <v>135</v>
      </c>
      <c r="CQ6" t="s">
        <v>135</v>
      </c>
      <c r="CR6" t="s">
        <v>135</v>
      </c>
      <c r="CS6" t="s">
        <v>135</v>
      </c>
      <c r="CT6" t="s">
        <v>135</v>
      </c>
      <c r="CU6" t="s">
        <v>135</v>
      </c>
      <c r="CV6" t="s">
        <v>135</v>
      </c>
      <c r="CW6" t="s">
        <v>135</v>
      </c>
      <c r="CX6" t="s">
        <v>135</v>
      </c>
      <c r="CY6" t="s">
        <v>135</v>
      </c>
      <c r="CZ6" t="s">
        <v>135</v>
      </c>
      <c r="DA6" t="s">
        <v>135</v>
      </c>
      <c r="DB6" t="s">
        <v>135</v>
      </c>
      <c r="DC6" t="s">
        <v>135</v>
      </c>
      <c r="DD6" t="s">
        <v>135</v>
      </c>
      <c r="DE6" t="s">
        <v>135</v>
      </c>
      <c r="DF6" t="s">
        <v>135</v>
      </c>
      <c r="DG6" t="s">
        <v>135</v>
      </c>
      <c r="DH6" t="s">
        <v>135</v>
      </c>
      <c r="DI6" t="s">
        <v>135</v>
      </c>
    </row>
    <row r="7" spans="1:113" x14ac:dyDescent="0.3">
      <c r="E7" t="s">
        <v>81</v>
      </c>
      <c r="F7" t="s">
        <v>135</v>
      </c>
      <c r="G7" t="s">
        <v>135</v>
      </c>
      <c r="H7" t="s">
        <v>135</v>
      </c>
      <c r="I7" t="s">
        <v>135</v>
      </c>
      <c r="J7" t="s">
        <v>135</v>
      </c>
      <c r="K7" t="s">
        <v>135</v>
      </c>
      <c r="L7" t="s">
        <v>135</v>
      </c>
      <c r="M7" t="s">
        <v>135</v>
      </c>
      <c r="N7" t="s">
        <v>135</v>
      </c>
      <c r="O7" t="s">
        <v>135</v>
      </c>
      <c r="P7" t="s">
        <v>135</v>
      </c>
      <c r="Q7" t="s">
        <v>135</v>
      </c>
      <c r="R7" t="s">
        <v>135</v>
      </c>
      <c r="S7" t="s">
        <v>135</v>
      </c>
      <c r="T7" t="s">
        <v>135</v>
      </c>
      <c r="U7" t="s">
        <v>135</v>
      </c>
      <c r="V7" t="s">
        <v>135</v>
      </c>
      <c r="W7" t="s">
        <v>135</v>
      </c>
      <c r="X7" t="s">
        <v>135</v>
      </c>
      <c r="Y7" t="s">
        <v>135</v>
      </c>
      <c r="Z7" t="s">
        <v>135</v>
      </c>
      <c r="AA7" t="s">
        <v>135</v>
      </c>
      <c r="AB7" t="s">
        <v>135</v>
      </c>
      <c r="AC7" t="s">
        <v>135</v>
      </c>
      <c r="AD7" t="s">
        <v>135</v>
      </c>
      <c r="AE7" t="s">
        <v>135</v>
      </c>
      <c r="AF7" t="s">
        <v>135</v>
      </c>
      <c r="AG7" t="s">
        <v>135</v>
      </c>
      <c r="AH7" t="s">
        <v>135</v>
      </c>
      <c r="AI7" t="s">
        <v>135</v>
      </c>
      <c r="AJ7" t="s">
        <v>135</v>
      </c>
      <c r="AK7" t="s">
        <v>135</v>
      </c>
      <c r="AL7" t="s">
        <v>135</v>
      </c>
      <c r="AM7" t="s">
        <v>135</v>
      </c>
      <c r="AN7" t="s">
        <v>135</v>
      </c>
      <c r="AO7" t="s">
        <v>135</v>
      </c>
      <c r="AP7" t="s">
        <v>135</v>
      </c>
      <c r="AQ7" t="s">
        <v>135</v>
      </c>
      <c r="AR7" t="s">
        <v>135</v>
      </c>
      <c r="AS7" t="s">
        <v>135</v>
      </c>
      <c r="AT7" t="s">
        <v>135</v>
      </c>
      <c r="AU7" t="s">
        <v>135</v>
      </c>
      <c r="AV7" t="s">
        <v>135</v>
      </c>
      <c r="AW7" t="s">
        <v>135</v>
      </c>
      <c r="AX7" t="s">
        <v>135</v>
      </c>
      <c r="AY7" t="s">
        <v>135</v>
      </c>
      <c r="AZ7" t="s">
        <v>135</v>
      </c>
      <c r="BA7" t="s">
        <v>135</v>
      </c>
      <c r="BB7" t="s">
        <v>135</v>
      </c>
      <c r="BC7" t="s">
        <v>135</v>
      </c>
      <c r="BD7" t="s">
        <v>135</v>
      </c>
      <c r="BE7" t="s">
        <v>135</v>
      </c>
      <c r="BF7" t="s">
        <v>135</v>
      </c>
      <c r="BG7" t="s">
        <v>135</v>
      </c>
      <c r="BH7" t="s">
        <v>135</v>
      </c>
      <c r="BI7" t="s">
        <v>135</v>
      </c>
      <c r="BJ7" t="s">
        <v>135</v>
      </c>
      <c r="BK7" t="s">
        <v>135</v>
      </c>
      <c r="BL7" t="s">
        <v>135</v>
      </c>
      <c r="BM7" t="s">
        <v>135</v>
      </c>
      <c r="BN7" t="s">
        <v>135</v>
      </c>
      <c r="BO7" t="s">
        <v>135</v>
      </c>
      <c r="BP7" t="s">
        <v>135</v>
      </c>
      <c r="BQ7" t="s">
        <v>135</v>
      </c>
      <c r="BR7" t="s">
        <v>135</v>
      </c>
      <c r="BS7" t="s">
        <v>135</v>
      </c>
      <c r="BT7" t="s">
        <v>135</v>
      </c>
      <c r="BU7" t="s">
        <v>135</v>
      </c>
      <c r="BV7" t="s">
        <v>135</v>
      </c>
      <c r="BW7" t="s">
        <v>135</v>
      </c>
      <c r="BX7" t="s">
        <v>135</v>
      </c>
      <c r="BY7" t="s">
        <v>135</v>
      </c>
      <c r="BZ7" t="s">
        <v>135</v>
      </c>
      <c r="CA7" t="s">
        <v>135</v>
      </c>
      <c r="CB7" t="s">
        <v>135</v>
      </c>
      <c r="CC7" t="s">
        <v>135</v>
      </c>
      <c r="CD7" t="s">
        <v>135</v>
      </c>
      <c r="CE7" t="s">
        <v>135</v>
      </c>
      <c r="CF7" t="s">
        <v>135</v>
      </c>
      <c r="CG7" t="s">
        <v>135</v>
      </c>
      <c r="CH7" t="s">
        <v>135</v>
      </c>
      <c r="CI7" t="s">
        <v>135</v>
      </c>
      <c r="CJ7" t="s">
        <v>135</v>
      </c>
      <c r="CK7" t="s">
        <v>135</v>
      </c>
      <c r="CL7" t="s">
        <v>135</v>
      </c>
      <c r="CM7" t="s">
        <v>135</v>
      </c>
      <c r="CN7" t="s">
        <v>135</v>
      </c>
      <c r="CO7" t="s">
        <v>135</v>
      </c>
      <c r="CP7" t="s">
        <v>135</v>
      </c>
      <c r="CQ7" t="s">
        <v>135</v>
      </c>
      <c r="CR7" t="s">
        <v>135</v>
      </c>
      <c r="CS7" t="s">
        <v>135</v>
      </c>
      <c r="CT7" t="s">
        <v>135</v>
      </c>
      <c r="CU7" t="s">
        <v>135</v>
      </c>
      <c r="CV7" t="s">
        <v>135</v>
      </c>
      <c r="CW7" t="s">
        <v>135</v>
      </c>
      <c r="CX7" t="s">
        <v>135</v>
      </c>
      <c r="CY7" t="s">
        <v>135</v>
      </c>
      <c r="CZ7" t="s">
        <v>135</v>
      </c>
      <c r="DA7" t="s">
        <v>135</v>
      </c>
      <c r="DB7" t="s">
        <v>135</v>
      </c>
      <c r="DC7" t="s">
        <v>135</v>
      </c>
      <c r="DD7" t="s">
        <v>135</v>
      </c>
      <c r="DE7" t="s">
        <v>135</v>
      </c>
      <c r="DF7" t="s">
        <v>135</v>
      </c>
      <c r="DG7" t="s">
        <v>135</v>
      </c>
      <c r="DH7" t="s">
        <v>135</v>
      </c>
      <c r="DI7" t="s">
        <v>135</v>
      </c>
    </row>
    <row r="8" spans="1:113" x14ac:dyDescent="0.3">
      <c r="D8" t="s">
        <v>82</v>
      </c>
      <c r="E8" t="s">
        <v>77</v>
      </c>
      <c r="F8">
        <v>13.7995</v>
      </c>
      <c r="G8">
        <v>3.3391999999999999</v>
      </c>
      <c r="H8">
        <v>6.3986999999999998</v>
      </c>
      <c r="I8">
        <v>6.0438000000000001</v>
      </c>
      <c r="J8">
        <v>85.813199999999995</v>
      </c>
      <c r="K8">
        <v>56.398600000000002</v>
      </c>
      <c r="L8">
        <v>38.867899999999999</v>
      </c>
      <c r="M8">
        <v>36.383400000000002</v>
      </c>
      <c r="N8">
        <v>28.6629</v>
      </c>
      <c r="O8">
        <v>28.692</v>
      </c>
      <c r="P8">
        <v>28.692</v>
      </c>
      <c r="Q8">
        <v>21.219899999999999</v>
      </c>
      <c r="R8">
        <v>22.187100000000001</v>
      </c>
      <c r="S8">
        <v>10.7378</v>
      </c>
      <c r="T8">
        <v>12.756499999999999</v>
      </c>
      <c r="U8">
        <v>13.991400000000001</v>
      </c>
      <c r="V8">
        <v>8.4559999999999995</v>
      </c>
      <c r="W8">
        <v>10.9656</v>
      </c>
      <c r="X8">
        <v>1.9007000000000001</v>
      </c>
      <c r="Y8">
        <v>-22.480599999999999</v>
      </c>
      <c r="Z8">
        <v>36.376100000000001</v>
      </c>
      <c r="AA8">
        <v>0.75690000000000002</v>
      </c>
      <c r="AB8">
        <v>16.689900000000002</v>
      </c>
      <c r="AC8">
        <v>13.630700000000001</v>
      </c>
      <c r="AD8">
        <v>25.867999999999999</v>
      </c>
      <c r="AE8">
        <v>-34.438299999999998</v>
      </c>
      <c r="AF8">
        <v>23.260100000000001</v>
      </c>
      <c r="AG8">
        <v>-10.802899999999999</v>
      </c>
      <c r="AH8">
        <v>14.2768</v>
      </c>
      <c r="AI8">
        <v>10.781000000000001</v>
      </c>
      <c r="AJ8">
        <v>13.2568</v>
      </c>
      <c r="AK8">
        <v>10.781000000000001</v>
      </c>
      <c r="AL8">
        <v>-1.2544</v>
      </c>
      <c r="AM8" t="s">
        <v>135</v>
      </c>
      <c r="AN8" t="s">
        <v>135</v>
      </c>
      <c r="AO8" t="s">
        <v>135</v>
      </c>
      <c r="AP8" t="s">
        <v>135</v>
      </c>
      <c r="AQ8" t="s">
        <v>135</v>
      </c>
      <c r="AR8" t="s">
        <v>135</v>
      </c>
      <c r="AS8" t="s">
        <v>135</v>
      </c>
      <c r="AT8" t="s">
        <v>135</v>
      </c>
      <c r="AU8" t="s">
        <v>135</v>
      </c>
      <c r="AV8" t="s">
        <v>135</v>
      </c>
      <c r="AW8" t="s">
        <v>135</v>
      </c>
      <c r="AX8" t="s">
        <v>135</v>
      </c>
      <c r="AY8" t="s">
        <v>135</v>
      </c>
      <c r="AZ8" t="s">
        <v>135</v>
      </c>
      <c r="BA8" t="s">
        <v>135</v>
      </c>
      <c r="BB8" t="s">
        <v>135</v>
      </c>
      <c r="BC8" t="s">
        <v>135</v>
      </c>
      <c r="BD8" t="s">
        <v>135</v>
      </c>
      <c r="BE8" t="s">
        <v>135</v>
      </c>
      <c r="BF8">
        <v>12.756499999999999</v>
      </c>
      <c r="BG8">
        <v>13.991400000000001</v>
      </c>
      <c r="BH8">
        <v>8.4559999999999995</v>
      </c>
      <c r="BI8">
        <v>10.9656</v>
      </c>
      <c r="BJ8">
        <v>1.9007000000000001</v>
      </c>
      <c r="BK8">
        <v>-22.480599999999999</v>
      </c>
      <c r="BL8">
        <v>36.376100000000001</v>
      </c>
      <c r="BM8">
        <v>0.75690000000000002</v>
      </c>
      <c r="BN8">
        <v>16.689900000000002</v>
      </c>
      <c r="BO8">
        <v>13.630700000000001</v>
      </c>
      <c r="BP8">
        <v>25.867999999999999</v>
      </c>
      <c r="BQ8" t="s">
        <v>135</v>
      </c>
      <c r="BR8">
        <v>23.260100000000001</v>
      </c>
      <c r="BS8">
        <v>-10.802899999999999</v>
      </c>
      <c r="BT8">
        <v>14.2768</v>
      </c>
      <c r="BU8">
        <v>10.781000000000001</v>
      </c>
      <c r="BV8">
        <v>13.2568</v>
      </c>
      <c r="BW8">
        <v>10.781000000000001</v>
      </c>
      <c r="BX8">
        <v>-1.2544</v>
      </c>
      <c r="BY8">
        <v>962434.1</v>
      </c>
      <c r="BZ8">
        <v>57509.4</v>
      </c>
      <c r="CA8">
        <v>904924.7</v>
      </c>
      <c r="CB8">
        <v>6.3769</v>
      </c>
      <c r="CC8">
        <v>6.1656000000000004</v>
      </c>
      <c r="CD8">
        <v>9.7027999999999999</v>
      </c>
      <c r="CE8">
        <v>9.3812999999999995</v>
      </c>
      <c r="CF8">
        <v>3.8763999999999998</v>
      </c>
      <c r="CG8">
        <v>23.91</v>
      </c>
      <c r="CH8">
        <v>235.42</v>
      </c>
      <c r="CI8">
        <v>67.189700000000002</v>
      </c>
      <c r="CJ8">
        <v>56.288899999999998</v>
      </c>
      <c r="CK8">
        <v>250.38130000000001</v>
      </c>
      <c r="CL8">
        <v>71.459699999999998</v>
      </c>
      <c r="CM8">
        <v>59.866199999999999</v>
      </c>
      <c r="CN8">
        <v>242.08590000000001</v>
      </c>
      <c r="CO8">
        <v>70.767600000000002</v>
      </c>
      <c r="CP8">
        <v>150925</v>
      </c>
      <c r="CQ8">
        <v>-147672.70000000001</v>
      </c>
      <c r="CR8">
        <v>99191.7</v>
      </c>
      <c r="CS8">
        <v>0.1399</v>
      </c>
      <c r="CT8">
        <v>0.38979999999999998</v>
      </c>
      <c r="CU8">
        <v>0.23680000000000001</v>
      </c>
      <c r="CV8">
        <v>0.58499999999999996</v>
      </c>
      <c r="CW8">
        <v>9.1954999999999991</v>
      </c>
      <c r="CX8">
        <v>39.693100000000001</v>
      </c>
      <c r="CY8" t="s">
        <v>135</v>
      </c>
      <c r="CZ8" t="s">
        <v>135</v>
      </c>
      <c r="DA8" t="s">
        <v>135</v>
      </c>
      <c r="DB8" t="s">
        <v>135</v>
      </c>
      <c r="DC8" t="s">
        <v>135</v>
      </c>
      <c r="DD8" t="s">
        <v>135</v>
      </c>
      <c r="DE8">
        <v>7188.4</v>
      </c>
      <c r="DF8" t="s">
        <v>135</v>
      </c>
      <c r="DG8" t="s">
        <v>135</v>
      </c>
      <c r="DH8" t="s">
        <v>135</v>
      </c>
      <c r="DI8" t="s">
        <v>135</v>
      </c>
    </row>
    <row r="9" spans="1:113" x14ac:dyDescent="0.3">
      <c r="E9" t="s">
        <v>78</v>
      </c>
      <c r="F9" t="s">
        <v>135</v>
      </c>
      <c r="G9" t="s">
        <v>135</v>
      </c>
      <c r="H9" t="s">
        <v>135</v>
      </c>
      <c r="I9" t="s">
        <v>135</v>
      </c>
      <c r="J9" t="s">
        <v>135</v>
      </c>
      <c r="K9" t="s">
        <v>135</v>
      </c>
      <c r="L9" t="s">
        <v>135</v>
      </c>
      <c r="M9" t="s">
        <v>135</v>
      </c>
      <c r="N9" t="s">
        <v>135</v>
      </c>
      <c r="O9" t="s">
        <v>135</v>
      </c>
      <c r="P9" t="s">
        <v>135</v>
      </c>
      <c r="Q9" t="s">
        <v>135</v>
      </c>
      <c r="R9" t="s">
        <v>135</v>
      </c>
      <c r="S9" t="s">
        <v>135</v>
      </c>
      <c r="T9" t="s">
        <v>135</v>
      </c>
      <c r="U9" t="s">
        <v>135</v>
      </c>
      <c r="V9" t="s">
        <v>135</v>
      </c>
      <c r="W9" t="s">
        <v>135</v>
      </c>
      <c r="X9" t="s">
        <v>135</v>
      </c>
      <c r="Y9" t="s">
        <v>135</v>
      </c>
      <c r="Z9" t="s">
        <v>135</v>
      </c>
      <c r="AA9" t="s">
        <v>135</v>
      </c>
      <c r="AB9" t="s">
        <v>135</v>
      </c>
      <c r="AC9" t="s">
        <v>135</v>
      </c>
      <c r="AD9" t="s">
        <v>135</v>
      </c>
      <c r="AE9" t="s">
        <v>135</v>
      </c>
      <c r="AF9" t="s">
        <v>135</v>
      </c>
      <c r="AG9" t="s">
        <v>135</v>
      </c>
      <c r="AH9" t="s">
        <v>135</v>
      </c>
      <c r="AI9" t="s">
        <v>135</v>
      </c>
      <c r="AJ9" t="s">
        <v>135</v>
      </c>
      <c r="AK9" t="s">
        <v>135</v>
      </c>
      <c r="AL9" t="s">
        <v>135</v>
      </c>
      <c r="AM9" t="s">
        <v>135</v>
      </c>
      <c r="AN9" t="s">
        <v>135</v>
      </c>
      <c r="AO9" t="s">
        <v>135</v>
      </c>
      <c r="AP9" t="s">
        <v>135</v>
      </c>
      <c r="AQ9" t="s">
        <v>135</v>
      </c>
      <c r="AR9" t="s">
        <v>135</v>
      </c>
      <c r="AS9" t="s">
        <v>135</v>
      </c>
      <c r="AT9" t="s">
        <v>135</v>
      </c>
      <c r="AU9" t="s">
        <v>135</v>
      </c>
      <c r="AV9" t="s">
        <v>135</v>
      </c>
      <c r="AW9" t="s">
        <v>135</v>
      </c>
      <c r="AX9" t="s">
        <v>135</v>
      </c>
      <c r="AY9" t="s">
        <v>135</v>
      </c>
      <c r="AZ9" t="s">
        <v>135</v>
      </c>
      <c r="BA9" t="s">
        <v>135</v>
      </c>
      <c r="BB9" t="s">
        <v>135</v>
      </c>
      <c r="BC9" t="s">
        <v>135</v>
      </c>
      <c r="BD9" t="s">
        <v>135</v>
      </c>
      <c r="BE9" t="s">
        <v>135</v>
      </c>
      <c r="BF9" t="s">
        <v>135</v>
      </c>
      <c r="BG9" t="s">
        <v>135</v>
      </c>
      <c r="BH9" t="s">
        <v>135</v>
      </c>
      <c r="BI9" t="s">
        <v>135</v>
      </c>
      <c r="BJ9" t="s">
        <v>135</v>
      </c>
      <c r="BK9" t="s">
        <v>135</v>
      </c>
      <c r="BL9" t="s">
        <v>135</v>
      </c>
      <c r="BM9" t="s">
        <v>135</v>
      </c>
      <c r="BN9" t="s">
        <v>135</v>
      </c>
      <c r="BO9" t="s">
        <v>135</v>
      </c>
      <c r="BP9" t="s">
        <v>135</v>
      </c>
      <c r="BQ9" t="s">
        <v>135</v>
      </c>
      <c r="BR9" t="s">
        <v>135</v>
      </c>
      <c r="BS9" t="s">
        <v>135</v>
      </c>
      <c r="BT9" t="s">
        <v>135</v>
      </c>
      <c r="BU9" t="s">
        <v>135</v>
      </c>
      <c r="BV9" t="s">
        <v>135</v>
      </c>
      <c r="BW9" t="s">
        <v>135</v>
      </c>
      <c r="BX9" t="s">
        <v>135</v>
      </c>
      <c r="BY9" t="s">
        <v>135</v>
      </c>
      <c r="BZ9" t="s">
        <v>135</v>
      </c>
      <c r="CA9" t="s">
        <v>135</v>
      </c>
      <c r="CB9" t="s">
        <v>135</v>
      </c>
      <c r="CC9" t="s">
        <v>135</v>
      </c>
      <c r="CD9" t="s">
        <v>135</v>
      </c>
      <c r="CE9" t="s">
        <v>135</v>
      </c>
      <c r="CF9" t="s">
        <v>135</v>
      </c>
      <c r="CG9" t="s">
        <v>135</v>
      </c>
      <c r="CH9" t="s">
        <v>135</v>
      </c>
      <c r="CI9" t="s">
        <v>135</v>
      </c>
      <c r="CJ9" t="s">
        <v>135</v>
      </c>
      <c r="CK9" t="s">
        <v>135</v>
      </c>
      <c r="CL9" t="s">
        <v>135</v>
      </c>
      <c r="CM9" t="s">
        <v>135</v>
      </c>
      <c r="CN9" t="s">
        <v>135</v>
      </c>
      <c r="CO9" t="s">
        <v>135</v>
      </c>
      <c r="CP9" t="s">
        <v>135</v>
      </c>
      <c r="CQ9" t="s">
        <v>135</v>
      </c>
      <c r="CR9" t="s">
        <v>135</v>
      </c>
      <c r="CS9" t="s">
        <v>135</v>
      </c>
      <c r="CT9" t="s">
        <v>135</v>
      </c>
      <c r="CU9" t="s">
        <v>135</v>
      </c>
      <c r="CV9" t="s">
        <v>135</v>
      </c>
      <c r="CW9" t="s">
        <v>135</v>
      </c>
      <c r="CX9" t="s">
        <v>135</v>
      </c>
      <c r="CY9" t="s">
        <v>135</v>
      </c>
      <c r="CZ9" t="s">
        <v>135</v>
      </c>
      <c r="DA9" t="s">
        <v>135</v>
      </c>
      <c r="DB9" t="s">
        <v>135</v>
      </c>
      <c r="DC9" t="s">
        <v>135</v>
      </c>
      <c r="DD9" t="s">
        <v>135</v>
      </c>
      <c r="DE9" t="s">
        <v>135</v>
      </c>
      <c r="DF9" t="s">
        <v>135</v>
      </c>
      <c r="DG9" t="s">
        <v>135</v>
      </c>
      <c r="DH9" t="s">
        <v>135</v>
      </c>
      <c r="DI9" t="s">
        <v>135</v>
      </c>
    </row>
    <row r="10" spans="1:113" x14ac:dyDescent="0.3">
      <c r="E10" t="s">
        <v>79</v>
      </c>
      <c r="F10" t="s">
        <v>135</v>
      </c>
      <c r="G10" t="s">
        <v>135</v>
      </c>
      <c r="H10" t="s">
        <v>135</v>
      </c>
      <c r="I10" t="s">
        <v>135</v>
      </c>
      <c r="J10" t="s">
        <v>135</v>
      </c>
      <c r="K10" t="s">
        <v>135</v>
      </c>
      <c r="L10" t="s">
        <v>135</v>
      </c>
      <c r="M10" t="s">
        <v>135</v>
      </c>
      <c r="N10" t="s">
        <v>135</v>
      </c>
      <c r="O10" t="s">
        <v>135</v>
      </c>
      <c r="P10" t="s">
        <v>135</v>
      </c>
      <c r="Q10" t="s">
        <v>135</v>
      </c>
      <c r="R10" t="s">
        <v>135</v>
      </c>
      <c r="S10" t="s">
        <v>135</v>
      </c>
      <c r="T10" t="s">
        <v>135</v>
      </c>
      <c r="U10" t="s">
        <v>135</v>
      </c>
      <c r="V10" t="s">
        <v>135</v>
      </c>
      <c r="W10" t="s">
        <v>135</v>
      </c>
      <c r="X10" t="s">
        <v>135</v>
      </c>
      <c r="Y10" t="s">
        <v>135</v>
      </c>
      <c r="Z10" t="s">
        <v>135</v>
      </c>
      <c r="AA10" t="s">
        <v>135</v>
      </c>
      <c r="AB10" t="s">
        <v>135</v>
      </c>
      <c r="AC10" t="s">
        <v>135</v>
      </c>
      <c r="AD10" t="s">
        <v>135</v>
      </c>
      <c r="AE10" t="s">
        <v>135</v>
      </c>
      <c r="AF10" t="s">
        <v>135</v>
      </c>
      <c r="AG10" t="s">
        <v>135</v>
      </c>
      <c r="AH10" t="s">
        <v>135</v>
      </c>
      <c r="AI10" t="s">
        <v>135</v>
      </c>
      <c r="AJ10" t="s">
        <v>135</v>
      </c>
      <c r="AK10" t="s">
        <v>135</v>
      </c>
      <c r="AL10" t="s">
        <v>135</v>
      </c>
      <c r="AM10" t="s">
        <v>135</v>
      </c>
      <c r="AN10" t="s">
        <v>135</v>
      </c>
      <c r="AO10" t="s">
        <v>135</v>
      </c>
      <c r="AP10" t="s">
        <v>135</v>
      </c>
      <c r="AQ10" t="s">
        <v>135</v>
      </c>
      <c r="AR10" t="s">
        <v>135</v>
      </c>
      <c r="AS10" t="s">
        <v>135</v>
      </c>
      <c r="AT10" t="s">
        <v>135</v>
      </c>
      <c r="AU10" t="s">
        <v>135</v>
      </c>
      <c r="AV10" t="s">
        <v>135</v>
      </c>
      <c r="AW10" t="s">
        <v>135</v>
      </c>
      <c r="AX10" t="s">
        <v>135</v>
      </c>
      <c r="AY10" t="s">
        <v>135</v>
      </c>
      <c r="AZ10" t="s">
        <v>135</v>
      </c>
      <c r="BA10" t="s">
        <v>135</v>
      </c>
      <c r="BB10" t="s">
        <v>135</v>
      </c>
      <c r="BC10" t="s">
        <v>135</v>
      </c>
      <c r="BD10" t="s">
        <v>135</v>
      </c>
      <c r="BE10" t="s">
        <v>135</v>
      </c>
      <c r="BF10" t="s">
        <v>135</v>
      </c>
      <c r="BG10" t="s">
        <v>135</v>
      </c>
      <c r="BH10" t="s">
        <v>135</v>
      </c>
      <c r="BI10" t="s">
        <v>135</v>
      </c>
      <c r="BJ10" t="s">
        <v>135</v>
      </c>
      <c r="BK10" t="s">
        <v>135</v>
      </c>
      <c r="BL10" t="s">
        <v>135</v>
      </c>
      <c r="BM10" t="s">
        <v>135</v>
      </c>
      <c r="BN10" t="s">
        <v>135</v>
      </c>
      <c r="BO10" t="s">
        <v>135</v>
      </c>
      <c r="BP10" t="s">
        <v>135</v>
      </c>
      <c r="BQ10" t="s">
        <v>135</v>
      </c>
      <c r="BR10" t="s">
        <v>135</v>
      </c>
      <c r="BS10" t="s">
        <v>135</v>
      </c>
      <c r="BT10" t="s">
        <v>135</v>
      </c>
      <c r="BU10" t="s">
        <v>135</v>
      </c>
      <c r="BV10" t="s">
        <v>135</v>
      </c>
      <c r="BW10" t="s">
        <v>135</v>
      </c>
      <c r="BX10" t="s">
        <v>135</v>
      </c>
      <c r="BY10" t="s">
        <v>135</v>
      </c>
      <c r="BZ10" t="s">
        <v>135</v>
      </c>
      <c r="CA10" t="s">
        <v>135</v>
      </c>
      <c r="CB10" t="s">
        <v>135</v>
      </c>
      <c r="CC10" t="s">
        <v>135</v>
      </c>
      <c r="CD10" t="s">
        <v>135</v>
      </c>
      <c r="CE10" t="s">
        <v>135</v>
      </c>
      <c r="CF10" t="s">
        <v>135</v>
      </c>
      <c r="CG10" t="s">
        <v>135</v>
      </c>
      <c r="CH10" t="s">
        <v>135</v>
      </c>
      <c r="CI10" t="s">
        <v>135</v>
      </c>
      <c r="CJ10" t="s">
        <v>135</v>
      </c>
      <c r="CK10" t="s">
        <v>135</v>
      </c>
      <c r="CL10" t="s">
        <v>135</v>
      </c>
      <c r="CM10" t="s">
        <v>135</v>
      </c>
      <c r="CN10" t="s">
        <v>135</v>
      </c>
      <c r="CO10" t="s">
        <v>135</v>
      </c>
      <c r="CP10" t="s">
        <v>135</v>
      </c>
      <c r="CQ10" t="s">
        <v>135</v>
      </c>
      <c r="CR10" t="s">
        <v>135</v>
      </c>
      <c r="CS10" t="s">
        <v>135</v>
      </c>
      <c r="CT10" t="s">
        <v>135</v>
      </c>
      <c r="CU10" t="s">
        <v>135</v>
      </c>
      <c r="CV10" t="s">
        <v>135</v>
      </c>
      <c r="CW10" t="s">
        <v>135</v>
      </c>
      <c r="CX10" t="s">
        <v>135</v>
      </c>
      <c r="CY10" t="s">
        <v>135</v>
      </c>
      <c r="CZ10" t="s">
        <v>135</v>
      </c>
      <c r="DA10" t="s">
        <v>135</v>
      </c>
      <c r="DB10" t="s">
        <v>135</v>
      </c>
      <c r="DC10" t="s">
        <v>135</v>
      </c>
      <c r="DD10" t="s">
        <v>135</v>
      </c>
      <c r="DE10" t="s">
        <v>135</v>
      </c>
      <c r="DF10" t="s">
        <v>135</v>
      </c>
      <c r="DG10" t="s">
        <v>135</v>
      </c>
      <c r="DH10" t="s">
        <v>135</v>
      </c>
      <c r="DI10" t="s">
        <v>135</v>
      </c>
    </row>
    <row r="11" spans="1:113" x14ac:dyDescent="0.3">
      <c r="E11" t="s">
        <v>80</v>
      </c>
      <c r="F11" t="s">
        <v>135</v>
      </c>
      <c r="G11" t="s">
        <v>135</v>
      </c>
      <c r="H11" t="s">
        <v>135</v>
      </c>
      <c r="I11" t="s">
        <v>135</v>
      </c>
      <c r="J11" t="s">
        <v>135</v>
      </c>
      <c r="K11" t="s">
        <v>135</v>
      </c>
      <c r="L11" t="s">
        <v>135</v>
      </c>
      <c r="M11" t="s">
        <v>135</v>
      </c>
      <c r="N11" t="s">
        <v>135</v>
      </c>
      <c r="O11" t="s">
        <v>135</v>
      </c>
      <c r="P11" t="s">
        <v>135</v>
      </c>
      <c r="Q11" t="s">
        <v>135</v>
      </c>
      <c r="R11" t="s">
        <v>135</v>
      </c>
      <c r="S11" t="s">
        <v>135</v>
      </c>
      <c r="T11" t="s">
        <v>135</v>
      </c>
      <c r="U11" t="s">
        <v>135</v>
      </c>
      <c r="V11" t="s">
        <v>135</v>
      </c>
      <c r="W11" t="s">
        <v>135</v>
      </c>
      <c r="X11" t="s">
        <v>135</v>
      </c>
      <c r="Y11" t="s">
        <v>135</v>
      </c>
      <c r="Z11" t="s">
        <v>135</v>
      </c>
      <c r="AA11" t="s">
        <v>135</v>
      </c>
      <c r="AB11" t="s">
        <v>135</v>
      </c>
      <c r="AC11" t="s">
        <v>135</v>
      </c>
      <c r="AD11" t="s">
        <v>135</v>
      </c>
      <c r="AE11" t="s">
        <v>135</v>
      </c>
      <c r="AF11" t="s">
        <v>135</v>
      </c>
      <c r="AG11" t="s">
        <v>135</v>
      </c>
      <c r="AH11" t="s">
        <v>135</v>
      </c>
      <c r="AI11" t="s">
        <v>135</v>
      </c>
      <c r="AJ11" t="s">
        <v>135</v>
      </c>
      <c r="AK11" t="s">
        <v>135</v>
      </c>
      <c r="AL11" t="s">
        <v>135</v>
      </c>
      <c r="AM11" t="s">
        <v>135</v>
      </c>
      <c r="AN11" t="s">
        <v>135</v>
      </c>
      <c r="AO11" t="s">
        <v>135</v>
      </c>
      <c r="AP11" t="s">
        <v>135</v>
      </c>
      <c r="AQ11" t="s">
        <v>135</v>
      </c>
      <c r="AR11" t="s">
        <v>135</v>
      </c>
      <c r="AS11" t="s">
        <v>135</v>
      </c>
      <c r="AT11" t="s">
        <v>135</v>
      </c>
      <c r="AU11" t="s">
        <v>135</v>
      </c>
      <c r="AV11" t="s">
        <v>135</v>
      </c>
      <c r="AW11" t="s">
        <v>135</v>
      </c>
      <c r="AX11" t="s">
        <v>135</v>
      </c>
      <c r="AY11" t="s">
        <v>135</v>
      </c>
      <c r="AZ11" t="s">
        <v>135</v>
      </c>
      <c r="BA11" t="s">
        <v>135</v>
      </c>
      <c r="BB11" t="s">
        <v>135</v>
      </c>
      <c r="BC11" t="s">
        <v>135</v>
      </c>
      <c r="BD11" t="s">
        <v>135</v>
      </c>
      <c r="BE11" t="s">
        <v>135</v>
      </c>
      <c r="BF11" t="s">
        <v>135</v>
      </c>
      <c r="BG11" t="s">
        <v>135</v>
      </c>
      <c r="BH11" t="s">
        <v>135</v>
      </c>
      <c r="BI11" t="s">
        <v>135</v>
      </c>
      <c r="BJ11" t="s">
        <v>135</v>
      </c>
      <c r="BK11" t="s">
        <v>135</v>
      </c>
      <c r="BL11" t="s">
        <v>135</v>
      </c>
      <c r="BM11" t="s">
        <v>135</v>
      </c>
      <c r="BN11" t="s">
        <v>135</v>
      </c>
      <c r="BO11" t="s">
        <v>135</v>
      </c>
      <c r="BP11" t="s">
        <v>135</v>
      </c>
      <c r="BQ11" t="s">
        <v>135</v>
      </c>
      <c r="BR11" t="s">
        <v>135</v>
      </c>
      <c r="BS11" t="s">
        <v>135</v>
      </c>
      <c r="BT11" t="s">
        <v>135</v>
      </c>
      <c r="BU11" t="s">
        <v>135</v>
      </c>
      <c r="BV11" t="s">
        <v>135</v>
      </c>
      <c r="BW11" t="s">
        <v>135</v>
      </c>
      <c r="BX11" t="s">
        <v>135</v>
      </c>
      <c r="BY11" t="s">
        <v>135</v>
      </c>
      <c r="BZ11" t="s">
        <v>135</v>
      </c>
      <c r="CA11" t="s">
        <v>135</v>
      </c>
      <c r="CB11" t="s">
        <v>135</v>
      </c>
      <c r="CC11" t="s">
        <v>135</v>
      </c>
      <c r="CD11" t="s">
        <v>135</v>
      </c>
      <c r="CE11" t="s">
        <v>135</v>
      </c>
      <c r="CF11" t="s">
        <v>135</v>
      </c>
      <c r="CG11" t="s">
        <v>135</v>
      </c>
      <c r="CH11" t="s">
        <v>135</v>
      </c>
      <c r="CI11" t="s">
        <v>135</v>
      </c>
      <c r="CJ11" t="s">
        <v>135</v>
      </c>
      <c r="CK11" t="s">
        <v>135</v>
      </c>
      <c r="CL11" t="s">
        <v>135</v>
      </c>
      <c r="CM11" t="s">
        <v>135</v>
      </c>
      <c r="CN11" t="s">
        <v>135</v>
      </c>
      <c r="CO11" t="s">
        <v>135</v>
      </c>
      <c r="CP11" t="s">
        <v>135</v>
      </c>
      <c r="CQ11" t="s">
        <v>135</v>
      </c>
      <c r="CR11" t="s">
        <v>135</v>
      </c>
      <c r="CS11" t="s">
        <v>135</v>
      </c>
      <c r="CT11" t="s">
        <v>135</v>
      </c>
      <c r="CU11" t="s">
        <v>135</v>
      </c>
      <c r="CV11" t="s">
        <v>135</v>
      </c>
      <c r="CW11" t="s">
        <v>135</v>
      </c>
      <c r="CX11" t="s">
        <v>135</v>
      </c>
      <c r="CY11" t="s">
        <v>135</v>
      </c>
      <c r="CZ11" t="s">
        <v>135</v>
      </c>
      <c r="DA11" t="s">
        <v>135</v>
      </c>
      <c r="DB11" t="s">
        <v>135</v>
      </c>
      <c r="DC11" t="s">
        <v>135</v>
      </c>
      <c r="DD11" t="s">
        <v>135</v>
      </c>
      <c r="DE11" t="s">
        <v>135</v>
      </c>
      <c r="DF11" t="s">
        <v>135</v>
      </c>
      <c r="DG11" t="s">
        <v>135</v>
      </c>
      <c r="DH11" t="s">
        <v>135</v>
      </c>
      <c r="DI11" t="s">
        <v>135</v>
      </c>
    </row>
    <row r="12" spans="1:113" x14ac:dyDescent="0.3">
      <c r="E12" t="s">
        <v>81</v>
      </c>
      <c r="F12" t="s">
        <v>135</v>
      </c>
      <c r="G12" t="s">
        <v>135</v>
      </c>
      <c r="H12" t="s">
        <v>135</v>
      </c>
      <c r="I12" t="s">
        <v>135</v>
      </c>
      <c r="J12" t="s">
        <v>135</v>
      </c>
      <c r="K12" t="s">
        <v>135</v>
      </c>
      <c r="L12" t="s">
        <v>135</v>
      </c>
      <c r="M12" t="s">
        <v>135</v>
      </c>
      <c r="N12" t="s">
        <v>135</v>
      </c>
      <c r="O12" t="s">
        <v>135</v>
      </c>
      <c r="P12" t="s">
        <v>135</v>
      </c>
      <c r="Q12" t="s">
        <v>135</v>
      </c>
      <c r="R12" t="s">
        <v>135</v>
      </c>
      <c r="S12" t="s">
        <v>135</v>
      </c>
      <c r="T12" t="s">
        <v>135</v>
      </c>
      <c r="U12" t="s">
        <v>135</v>
      </c>
      <c r="V12" t="s">
        <v>135</v>
      </c>
      <c r="W12" t="s">
        <v>135</v>
      </c>
      <c r="X12" t="s">
        <v>135</v>
      </c>
      <c r="Y12" t="s">
        <v>135</v>
      </c>
      <c r="Z12" t="s">
        <v>135</v>
      </c>
      <c r="AA12" t="s">
        <v>135</v>
      </c>
      <c r="AB12" t="s">
        <v>135</v>
      </c>
      <c r="AC12" t="s">
        <v>135</v>
      </c>
      <c r="AD12" t="s">
        <v>135</v>
      </c>
      <c r="AE12" t="s">
        <v>135</v>
      </c>
      <c r="AF12" t="s">
        <v>135</v>
      </c>
      <c r="AG12" t="s">
        <v>135</v>
      </c>
      <c r="AH12" t="s">
        <v>135</v>
      </c>
      <c r="AI12" t="s">
        <v>135</v>
      </c>
      <c r="AJ12" t="s">
        <v>135</v>
      </c>
      <c r="AK12" t="s">
        <v>135</v>
      </c>
      <c r="AL12" t="s">
        <v>135</v>
      </c>
      <c r="AM12" t="s">
        <v>135</v>
      </c>
      <c r="AN12" t="s">
        <v>135</v>
      </c>
      <c r="AO12" t="s">
        <v>135</v>
      </c>
      <c r="AP12" t="s">
        <v>135</v>
      </c>
      <c r="AQ12" t="s">
        <v>135</v>
      </c>
      <c r="AR12" t="s">
        <v>135</v>
      </c>
      <c r="AS12" t="s">
        <v>135</v>
      </c>
      <c r="AT12" t="s">
        <v>135</v>
      </c>
      <c r="AU12" t="s">
        <v>135</v>
      </c>
      <c r="AV12" t="s">
        <v>135</v>
      </c>
      <c r="AW12" t="s">
        <v>135</v>
      </c>
      <c r="AX12" t="s">
        <v>135</v>
      </c>
      <c r="AY12" t="s">
        <v>135</v>
      </c>
      <c r="AZ12" t="s">
        <v>135</v>
      </c>
      <c r="BA12" t="s">
        <v>135</v>
      </c>
      <c r="BB12" t="s">
        <v>135</v>
      </c>
      <c r="BC12" t="s">
        <v>135</v>
      </c>
      <c r="BD12" t="s">
        <v>135</v>
      </c>
      <c r="BE12" t="s">
        <v>135</v>
      </c>
      <c r="BF12" t="s">
        <v>135</v>
      </c>
      <c r="BG12" t="s">
        <v>135</v>
      </c>
      <c r="BH12" t="s">
        <v>135</v>
      </c>
      <c r="BI12" t="s">
        <v>135</v>
      </c>
      <c r="BJ12" t="s">
        <v>135</v>
      </c>
      <c r="BK12" t="s">
        <v>135</v>
      </c>
      <c r="BL12" t="s">
        <v>135</v>
      </c>
      <c r="BM12" t="s">
        <v>135</v>
      </c>
      <c r="BN12" t="s">
        <v>135</v>
      </c>
      <c r="BO12" t="s">
        <v>135</v>
      </c>
      <c r="BP12" t="s">
        <v>135</v>
      </c>
      <c r="BQ12" t="s">
        <v>135</v>
      </c>
      <c r="BR12" t="s">
        <v>135</v>
      </c>
      <c r="BS12" t="s">
        <v>135</v>
      </c>
      <c r="BT12" t="s">
        <v>135</v>
      </c>
      <c r="BU12" t="s">
        <v>135</v>
      </c>
      <c r="BV12" t="s">
        <v>135</v>
      </c>
      <c r="BW12" t="s">
        <v>135</v>
      </c>
      <c r="BX12" t="s">
        <v>135</v>
      </c>
      <c r="BY12" t="s">
        <v>135</v>
      </c>
      <c r="BZ12" t="s">
        <v>135</v>
      </c>
      <c r="CA12" t="s">
        <v>135</v>
      </c>
      <c r="CB12" t="s">
        <v>135</v>
      </c>
      <c r="CC12" t="s">
        <v>135</v>
      </c>
      <c r="CD12" t="s">
        <v>135</v>
      </c>
      <c r="CE12" t="s">
        <v>135</v>
      </c>
      <c r="CF12" t="s">
        <v>135</v>
      </c>
      <c r="CG12" t="s">
        <v>135</v>
      </c>
      <c r="CH12" t="s">
        <v>135</v>
      </c>
      <c r="CI12" t="s">
        <v>135</v>
      </c>
      <c r="CJ12" t="s">
        <v>135</v>
      </c>
      <c r="CK12" t="s">
        <v>135</v>
      </c>
      <c r="CL12" t="s">
        <v>135</v>
      </c>
      <c r="CM12" t="s">
        <v>135</v>
      </c>
      <c r="CN12" t="s">
        <v>135</v>
      </c>
      <c r="CO12" t="s">
        <v>135</v>
      </c>
      <c r="CP12" t="s">
        <v>135</v>
      </c>
      <c r="CQ12" t="s">
        <v>135</v>
      </c>
      <c r="CR12" t="s">
        <v>135</v>
      </c>
      <c r="CS12" t="s">
        <v>135</v>
      </c>
      <c r="CT12" t="s">
        <v>135</v>
      </c>
      <c r="CU12" t="s">
        <v>135</v>
      </c>
      <c r="CV12" t="s">
        <v>135</v>
      </c>
      <c r="CW12" t="s">
        <v>135</v>
      </c>
      <c r="CX12" t="s">
        <v>135</v>
      </c>
      <c r="CY12" t="s">
        <v>135</v>
      </c>
      <c r="CZ12" t="s">
        <v>135</v>
      </c>
      <c r="DA12" t="s">
        <v>135</v>
      </c>
      <c r="DB12" t="s">
        <v>135</v>
      </c>
      <c r="DC12" t="s">
        <v>135</v>
      </c>
      <c r="DD12" t="s">
        <v>135</v>
      </c>
      <c r="DE12" t="s">
        <v>135</v>
      </c>
      <c r="DF12" t="s">
        <v>135</v>
      </c>
      <c r="DG12" t="s">
        <v>135</v>
      </c>
      <c r="DH12" t="s">
        <v>135</v>
      </c>
      <c r="DI12" t="s">
        <v>135</v>
      </c>
    </row>
    <row r="13" spans="1:113" x14ac:dyDescent="0.3">
      <c r="D13" t="s">
        <v>83</v>
      </c>
      <c r="E13" t="s">
        <v>77</v>
      </c>
      <c r="F13">
        <v>14.7766</v>
      </c>
      <c r="G13">
        <v>3.5103</v>
      </c>
      <c r="H13">
        <v>6.8434999999999997</v>
      </c>
      <c r="I13">
        <v>6.6014999999999997</v>
      </c>
      <c r="J13">
        <v>87.0017</v>
      </c>
      <c r="K13">
        <v>57.680999999999997</v>
      </c>
      <c r="L13">
        <v>63.7744</v>
      </c>
      <c r="M13">
        <v>35.910200000000003</v>
      </c>
      <c r="N13">
        <v>28.251799999999999</v>
      </c>
      <c r="O13">
        <v>28.251799999999999</v>
      </c>
      <c r="P13">
        <v>28.251799999999999</v>
      </c>
      <c r="Q13">
        <v>21.3264</v>
      </c>
      <c r="R13">
        <v>20.8978</v>
      </c>
      <c r="S13">
        <v>11.688599999999999</v>
      </c>
      <c r="T13">
        <v>21.0459</v>
      </c>
      <c r="U13">
        <v>22.722300000000001</v>
      </c>
      <c r="V13">
        <v>23.798300000000001</v>
      </c>
      <c r="W13">
        <v>19.188700000000001</v>
      </c>
      <c r="X13">
        <v>19.170999999999999</v>
      </c>
      <c r="Y13">
        <v>15.5</v>
      </c>
      <c r="Z13">
        <v>27.873200000000001</v>
      </c>
      <c r="AA13">
        <v>17.9998</v>
      </c>
      <c r="AB13">
        <v>12.5014</v>
      </c>
      <c r="AC13">
        <v>13.1592</v>
      </c>
      <c r="AD13">
        <v>33.287700000000001</v>
      </c>
      <c r="AE13">
        <v>-12.639699999999999</v>
      </c>
      <c r="AF13">
        <v>-20.035299999999999</v>
      </c>
      <c r="AG13">
        <v>42.4741</v>
      </c>
      <c r="AH13">
        <v>14.261699999999999</v>
      </c>
      <c r="AI13">
        <v>11.782299999999999</v>
      </c>
      <c r="AJ13">
        <v>13.554</v>
      </c>
      <c r="AK13">
        <v>11.782299999999999</v>
      </c>
      <c r="AL13">
        <v>-1.1055999999999999</v>
      </c>
      <c r="AM13">
        <v>19.8431</v>
      </c>
      <c r="AN13">
        <v>20.284400000000002</v>
      </c>
      <c r="AO13">
        <v>19.292100000000001</v>
      </c>
      <c r="AP13">
        <v>17.6187</v>
      </c>
      <c r="AQ13">
        <v>13.409000000000001</v>
      </c>
      <c r="AR13">
        <v>5.7096999999999998</v>
      </c>
      <c r="AS13">
        <v>18.632400000000001</v>
      </c>
      <c r="AT13">
        <v>17.276399999999999</v>
      </c>
      <c r="AU13">
        <v>21.250299999999999</v>
      </c>
      <c r="AV13">
        <v>18.558800000000002</v>
      </c>
      <c r="AW13">
        <v>19.748100000000001</v>
      </c>
      <c r="AX13" t="s">
        <v>135</v>
      </c>
      <c r="AY13">
        <v>8.1510999999999996</v>
      </c>
      <c r="AZ13">
        <v>17.184899999999999</v>
      </c>
      <c r="BA13">
        <v>21.453399999999998</v>
      </c>
      <c r="BB13">
        <v>14.940799999999999</v>
      </c>
      <c r="BC13">
        <v>19.396899999999999</v>
      </c>
      <c r="BD13">
        <v>12.1653</v>
      </c>
      <c r="BE13">
        <v>28.866099999999999</v>
      </c>
      <c r="BF13">
        <v>21.0459</v>
      </c>
      <c r="BG13">
        <v>22.722300000000001</v>
      </c>
      <c r="BH13">
        <v>23.798300000000001</v>
      </c>
      <c r="BI13">
        <v>19.188700000000001</v>
      </c>
      <c r="BJ13">
        <v>19.170999999999999</v>
      </c>
      <c r="BK13">
        <v>15.5</v>
      </c>
      <c r="BL13">
        <v>27.873200000000001</v>
      </c>
      <c r="BM13">
        <v>17.9998</v>
      </c>
      <c r="BN13">
        <v>12.5014</v>
      </c>
      <c r="BO13">
        <v>13.1592</v>
      </c>
      <c r="BP13">
        <v>33.287700000000001</v>
      </c>
      <c r="BQ13" t="s">
        <v>135</v>
      </c>
      <c r="BR13">
        <v>-20.035299999999999</v>
      </c>
      <c r="BS13">
        <v>42.4741</v>
      </c>
      <c r="BT13">
        <v>14.261699999999999</v>
      </c>
      <c r="BU13">
        <v>11.782299999999999</v>
      </c>
      <c r="BV13">
        <v>13.554</v>
      </c>
      <c r="BW13">
        <v>11.782299999999999</v>
      </c>
      <c r="BX13">
        <v>-1.1055999999999999</v>
      </c>
      <c r="BY13">
        <v>1099693.3</v>
      </c>
      <c r="BZ13">
        <v>81936</v>
      </c>
      <c r="CA13">
        <v>1017757.3</v>
      </c>
      <c r="CB13">
        <v>5.9373000000000005</v>
      </c>
      <c r="CC13">
        <v>5.7427999999999999</v>
      </c>
      <c r="CD13">
        <v>8.9552999999999994</v>
      </c>
      <c r="CE13">
        <v>8.6618999999999993</v>
      </c>
      <c r="CF13">
        <v>3.8077000000000001</v>
      </c>
      <c r="CG13">
        <v>23.6191</v>
      </c>
      <c r="CH13">
        <v>236.86580000000001</v>
      </c>
      <c r="CI13">
        <v>66.547499999999999</v>
      </c>
      <c r="CJ13">
        <v>55.945500000000003</v>
      </c>
      <c r="CK13">
        <v>255.935</v>
      </c>
      <c r="CL13">
        <v>71.905000000000001</v>
      </c>
      <c r="CM13">
        <v>60.449399999999997</v>
      </c>
      <c r="CN13">
        <v>247.55</v>
      </c>
      <c r="CO13">
        <v>71.227199999999996</v>
      </c>
      <c r="CP13">
        <v>185218.7</v>
      </c>
      <c r="CQ13">
        <v>-70867.8</v>
      </c>
      <c r="CR13">
        <v>122797.6</v>
      </c>
      <c r="CS13">
        <v>0.13439999999999999</v>
      </c>
      <c r="CT13">
        <v>0.41499999999999998</v>
      </c>
      <c r="CU13">
        <v>0.23960000000000001</v>
      </c>
      <c r="CV13">
        <v>0.52429999999999999</v>
      </c>
      <c r="CW13">
        <v>8.4664000000000001</v>
      </c>
      <c r="CX13">
        <v>43.229599999999998</v>
      </c>
      <c r="CY13" t="s">
        <v>135</v>
      </c>
      <c r="CZ13" t="s">
        <v>135</v>
      </c>
      <c r="DA13" t="s">
        <v>135</v>
      </c>
      <c r="DB13" t="s">
        <v>135</v>
      </c>
      <c r="DC13" t="s">
        <v>135</v>
      </c>
      <c r="DD13" t="s">
        <v>135</v>
      </c>
      <c r="DE13">
        <v>8482.2999999999993</v>
      </c>
      <c r="DF13" t="s">
        <v>135</v>
      </c>
      <c r="DG13" t="s">
        <v>135</v>
      </c>
      <c r="DH13" t="s">
        <v>135</v>
      </c>
      <c r="DI13" t="s">
        <v>135</v>
      </c>
    </row>
    <row r="14" spans="1:113" x14ac:dyDescent="0.3">
      <c r="E14" t="s">
        <v>78</v>
      </c>
      <c r="F14" t="s">
        <v>135</v>
      </c>
      <c r="G14" t="s">
        <v>135</v>
      </c>
      <c r="H14" t="s">
        <v>135</v>
      </c>
      <c r="I14" t="s">
        <v>135</v>
      </c>
      <c r="J14" t="s">
        <v>135</v>
      </c>
      <c r="K14" t="s">
        <v>135</v>
      </c>
      <c r="L14" t="s">
        <v>135</v>
      </c>
      <c r="M14" t="s">
        <v>135</v>
      </c>
      <c r="N14" t="s">
        <v>135</v>
      </c>
      <c r="O14" t="s">
        <v>135</v>
      </c>
      <c r="P14" t="s">
        <v>135</v>
      </c>
      <c r="Q14" t="s">
        <v>135</v>
      </c>
      <c r="R14" t="s">
        <v>135</v>
      </c>
      <c r="S14" t="s">
        <v>135</v>
      </c>
      <c r="T14" t="s">
        <v>135</v>
      </c>
      <c r="U14" t="s">
        <v>135</v>
      </c>
      <c r="V14" t="s">
        <v>135</v>
      </c>
      <c r="W14" t="s">
        <v>135</v>
      </c>
      <c r="X14" t="s">
        <v>135</v>
      </c>
      <c r="Y14" t="s">
        <v>135</v>
      </c>
      <c r="Z14" t="s">
        <v>135</v>
      </c>
      <c r="AA14" t="s">
        <v>135</v>
      </c>
      <c r="AB14" t="s">
        <v>135</v>
      </c>
      <c r="AC14" t="s">
        <v>135</v>
      </c>
      <c r="AD14" t="s">
        <v>135</v>
      </c>
      <c r="AE14" t="s">
        <v>135</v>
      </c>
      <c r="AF14" t="s">
        <v>135</v>
      </c>
      <c r="AG14" t="s">
        <v>135</v>
      </c>
      <c r="AH14" t="s">
        <v>135</v>
      </c>
      <c r="AI14" t="s">
        <v>135</v>
      </c>
      <c r="AJ14" t="s">
        <v>135</v>
      </c>
      <c r="AK14" t="s">
        <v>135</v>
      </c>
      <c r="AL14" t="s">
        <v>135</v>
      </c>
      <c r="AM14" t="s">
        <v>135</v>
      </c>
      <c r="AN14" t="s">
        <v>135</v>
      </c>
      <c r="AO14" t="s">
        <v>135</v>
      </c>
      <c r="AP14" t="s">
        <v>135</v>
      </c>
      <c r="AQ14" t="s">
        <v>135</v>
      </c>
      <c r="AR14" t="s">
        <v>135</v>
      </c>
      <c r="AS14" t="s">
        <v>135</v>
      </c>
      <c r="AT14" t="s">
        <v>135</v>
      </c>
      <c r="AU14" t="s">
        <v>135</v>
      </c>
      <c r="AV14" t="s">
        <v>135</v>
      </c>
      <c r="AW14" t="s">
        <v>135</v>
      </c>
      <c r="AX14" t="s">
        <v>135</v>
      </c>
      <c r="AY14" t="s">
        <v>135</v>
      </c>
      <c r="AZ14" t="s">
        <v>135</v>
      </c>
      <c r="BA14" t="s">
        <v>135</v>
      </c>
      <c r="BB14" t="s">
        <v>135</v>
      </c>
      <c r="BC14" t="s">
        <v>135</v>
      </c>
      <c r="BD14" t="s">
        <v>135</v>
      </c>
      <c r="BE14" t="s">
        <v>135</v>
      </c>
      <c r="BF14" t="s">
        <v>135</v>
      </c>
      <c r="BG14" t="s">
        <v>135</v>
      </c>
      <c r="BH14" t="s">
        <v>135</v>
      </c>
      <c r="BI14" t="s">
        <v>135</v>
      </c>
      <c r="BJ14" t="s">
        <v>135</v>
      </c>
      <c r="BK14" t="s">
        <v>135</v>
      </c>
      <c r="BL14" t="s">
        <v>135</v>
      </c>
      <c r="BM14" t="s">
        <v>135</v>
      </c>
      <c r="BN14" t="s">
        <v>135</v>
      </c>
      <c r="BO14" t="s">
        <v>135</v>
      </c>
      <c r="BP14" t="s">
        <v>135</v>
      </c>
      <c r="BQ14" t="s">
        <v>135</v>
      </c>
      <c r="BR14" t="s">
        <v>135</v>
      </c>
      <c r="BS14" t="s">
        <v>135</v>
      </c>
      <c r="BT14" t="s">
        <v>135</v>
      </c>
      <c r="BU14" t="s">
        <v>135</v>
      </c>
      <c r="BV14" t="s">
        <v>135</v>
      </c>
      <c r="BW14" t="s">
        <v>135</v>
      </c>
      <c r="BX14" t="s">
        <v>135</v>
      </c>
      <c r="BY14" t="s">
        <v>135</v>
      </c>
      <c r="BZ14" t="s">
        <v>135</v>
      </c>
      <c r="CA14" t="s">
        <v>135</v>
      </c>
      <c r="CB14" t="s">
        <v>135</v>
      </c>
      <c r="CC14" t="s">
        <v>135</v>
      </c>
      <c r="CD14" t="s">
        <v>135</v>
      </c>
      <c r="CE14" t="s">
        <v>135</v>
      </c>
      <c r="CF14" t="s">
        <v>135</v>
      </c>
      <c r="CG14" t="s">
        <v>135</v>
      </c>
      <c r="CH14" t="s">
        <v>135</v>
      </c>
      <c r="CI14" t="s">
        <v>135</v>
      </c>
      <c r="CJ14" t="s">
        <v>135</v>
      </c>
      <c r="CK14" t="s">
        <v>135</v>
      </c>
      <c r="CL14" t="s">
        <v>135</v>
      </c>
      <c r="CM14" t="s">
        <v>135</v>
      </c>
      <c r="CN14" t="s">
        <v>135</v>
      </c>
      <c r="CO14" t="s">
        <v>135</v>
      </c>
      <c r="CP14" t="s">
        <v>135</v>
      </c>
      <c r="CQ14" t="s">
        <v>135</v>
      </c>
      <c r="CR14" t="s">
        <v>135</v>
      </c>
      <c r="CS14" t="s">
        <v>135</v>
      </c>
      <c r="CT14" t="s">
        <v>135</v>
      </c>
      <c r="CU14" t="s">
        <v>135</v>
      </c>
      <c r="CV14" t="s">
        <v>135</v>
      </c>
      <c r="CW14" t="s">
        <v>135</v>
      </c>
      <c r="CX14" t="s">
        <v>135</v>
      </c>
      <c r="CY14" t="s">
        <v>135</v>
      </c>
      <c r="CZ14" t="s">
        <v>135</v>
      </c>
      <c r="DA14" t="s">
        <v>135</v>
      </c>
      <c r="DB14" t="s">
        <v>135</v>
      </c>
      <c r="DC14" t="s">
        <v>135</v>
      </c>
      <c r="DD14" t="s">
        <v>135</v>
      </c>
      <c r="DE14" t="s">
        <v>135</v>
      </c>
      <c r="DF14" t="s">
        <v>135</v>
      </c>
      <c r="DG14" t="s">
        <v>135</v>
      </c>
      <c r="DH14" t="s">
        <v>135</v>
      </c>
      <c r="DI14" t="s">
        <v>135</v>
      </c>
    </row>
    <row r="15" spans="1:113" x14ac:dyDescent="0.3">
      <c r="E15" t="s">
        <v>79</v>
      </c>
      <c r="F15" t="s">
        <v>135</v>
      </c>
      <c r="G15" t="s">
        <v>135</v>
      </c>
      <c r="H15" t="s">
        <v>135</v>
      </c>
      <c r="I15" t="s">
        <v>135</v>
      </c>
      <c r="J15" t="s">
        <v>135</v>
      </c>
      <c r="K15" t="s">
        <v>135</v>
      </c>
      <c r="L15" t="s">
        <v>135</v>
      </c>
      <c r="M15" t="s">
        <v>135</v>
      </c>
      <c r="N15" t="s">
        <v>135</v>
      </c>
      <c r="O15" t="s">
        <v>135</v>
      </c>
      <c r="P15" t="s">
        <v>135</v>
      </c>
      <c r="Q15" t="s">
        <v>135</v>
      </c>
      <c r="R15" t="s">
        <v>135</v>
      </c>
      <c r="S15" t="s">
        <v>135</v>
      </c>
      <c r="T15" t="s">
        <v>135</v>
      </c>
      <c r="U15" t="s">
        <v>135</v>
      </c>
      <c r="V15" t="s">
        <v>135</v>
      </c>
      <c r="W15" t="s">
        <v>135</v>
      </c>
      <c r="X15" t="s">
        <v>135</v>
      </c>
      <c r="Y15" t="s">
        <v>135</v>
      </c>
      <c r="Z15" t="s">
        <v>135</v>
      </c>
      <c r="AA15" t="s">
        <v>135</v>
      </c>
      <c r="AB15" t="s">
        <v>135</v>
      </c>
      <c r="AC15" t="s">
        <v>135</v>
      </c>
      <c r="AD15" t="s">
        <v>135</v>
      </c>
      <c r="AE15" t="s">
        <v>135</v>
      </c>
      <c r="AF15" t="s">
        <v>135</v>
      </c>
      <c r="AG15" t="s">
        <v>135</v>
      </c>
      <c r="AH15" t="s">
        <v>135</v>
      </c>
      <c r="AI15" t="s">
        <v>135</v>
      </c>
      <c r="AJ15" t="s">
        <v>135</v>
      </c>
      <c r="AK15" t="s">
        <v>135</v>
      </c>
      <c r="AL15" t="s">
        <v>135</v>
      </c>
      <c r="AM15" t="s">
        <v>135</v>
      </c>
      <c r="AN15" t="s">
        <v>135</v>
      </c>
      <c r="AO15" t="s">
        <v>135</v>
      </c>
      <c r="AP15" t="s">
        <v>135</v>
      </c>
      <c r="AQ15" t="s">
        <v>135</v>
      </c>
      <c r="AR15" t="s">
        <v>135</v>
      </c>
      <c r="AS15" t="s">
        <v>135</v>
      </c>
      <c r="AT15" t="s">
        <v>135</v>
      </c>
      <c r="AU15" t="s">
        <v>135</v>
      </c>
      <c r="AV15" t="s">
        <v>135</v>
      </c>
      <c r="AW15" t="s">
        <v>135</v>
      </c>
      <c r="AX15" t="s">
        <v>135</v>
      </c>
      <c r="AY15" t="s">
        <v>135</v>
      </c>
      <c r="AZ15" t="s">
        <v>135</v>
      </c>
      <c r="BA15" t="s">
        <v>135</v>
      </c>
      <c r="BB15" t="s">
        <v>135</v>
      </c>
      <c r="BC15" t="s">
        <v>135</v>
      </c>
      <c r="BD15" t="s">
        <v>135</v>
      </c>
      <c r="BE15" t="s">
        <v>135</v>
      </c>
      <c r="BF15" t="s">
        <v>135</v>
      </c>
      <c r="BG15" t="s">
        <v>135</v>
      </c>
      <c r="BH15" t="s">
        <v>135</v>
      </c>
      <c r="BI15" t="s">
        <v>135</v>
      </c>
      <c r="BJ15" t="s">
        <v>135</v>
      </c>
      <c r="BK15" t="s">
        <v>135</v>
      </c>
      <c r="BL15" t="s">
        <v>135</v>
      </c>
      <c r="BM15" t="s">
        <v>135</v>
      </c>
      <c r="BN15" t="s">
        <v>135</v>
      </c>
      <c r="BO15" t="s">
        <v>135</v>
      </c>
      <c r="BP15" t="s">
        <v>135</v>
      </c>
      <c r="BQ15" t="s">
        <v>135</v>
      </c>
      <c r="BR15" t="s">
        <v>135</v>
      </c>
      <c r="BS15" t="s">
        <v>135</v>
      </c>
      <c r="BT15" t="s">
        <v>135</v>
      </c>
      <c r="BU15" t="s">
        <v>135</v>
      </c>
      <c r="BV15" t="s">
        <v>135</v>
      </c>
      <c r="BW15" t="s">
        <v>135</v>
      </c>
      <c r="BX15" t="s">
        <v>135</v>
      </c>
      <c r="BY15" t="s">
        <v>135</v>
      </c>
      <c r="BZ15" t="s">
        <v>135</v>
      </c>
      <c r="CA15" t="s">
        <v>135</v>
      </c>
      <c r="CB15" t="s">
        <v>135</v>
      </c>
      <c r="CC15" t="s">
        <v>135</v>
      </c>
      <c r="CD15" t="s">
        <v>135</v>
      </c>
      <c r="CE15" t="s">
        <v>135</v>
      </c>
      <c r="CF15" t="s">
        <v>135</v>
      </c>
      <c r="CG15" t="s">
        <v>135</v>
      </c>
      <c r="CH15" t="s">
        <v>135</v>
      </c>
      <c r="CI15" t="s">
        <v>135</v>
      </c>
      <c r="CJ15" t="s">
        <v>135</v>
      </c>
      <c r="CK15" t="s">
        <v>135</v>
      </c>
      <c r="CL15" t="s">
        <v>135</v>
      </c>
      <c r="CM15" t="s">
        <v>135</v>
      </c>
      <c r="CN15" t="s">
        <v>135</v>
      </c>
      <c r="CO15" t="s">
        <v>135</v>
      </c>
      <c r="CP15" t="s">
        <v>135</v>
      </c>
      <c r="CQ15" t="s">
        <v>135</v>
      </c>
      <c r="CR15" t="s">
        <v>135</v>
      </c>
      <c r="CS15" t="s">
        <v>135</v>
      </c>
      <c r="CT15" t="s">
        <v>135</v>
      </c>
      <c r="CU15" t="s">
        <v>135</v>
      </c>
      <c r="CV15" t="s">
        <v>135</v>
      </c>
      <c r="CW15" t="s">
        <v>135</v>
      </c>
      <c r="CX15" t="s">
        <v>135</v>
      </c>
      <c r="CY15" t="s">
        <v>135</v>
      </c>
      <c r="CZ15" t="s">
        <v>135</v>
      </c>
      <c r="DA15" t="s">
        <v>135</v>
      </c>
      <c r="DB15" t="s">
        <v>135</v>
      </c>
      <c r="DC15" t="s">
        <v>135</v>
      </c>
      <c r="DD15" t="s">
        <v>135</v>
      </c>
      <c r="DE15" t="s">
        <v>135</v>
      </c>
      <c r="DF15" t="s">
        <v>135</v>
      </c>
      <c r="DG15" t="s">
        <v>135</v>
      </c>
      <c r="DH15" t="s">
        <v>135</v>
      </c>
      <c r="DI15" t="s">
        <v>135</v>
      </c>
    </row>
    <row r="16" spans="1:113" x14ac:dyDescent="0.3">
      <c r="E16" t="s">
        <v>80</v>
      </c>
      <c r="F16" t="s">
        <v>135</v>
      </c>
      <c r="G16" t="s">
        <v>135</v>
      </c>
      <c r="H16" t="s">
        <v>135</v>
      </c>
      <c r="I16" t="s">
        <v>135</v>
      </c>
      <c r="J16" t="s">
        <v>135</v>
      </c>
      <c r="K16" t="s">
        <v>135</v>
      </c>
      <c r="L16" t="s">
        <v>135</v>
      </c>
      <c r="M16" t="s">
        <v>135</v>
      </c>
      <c r="N16" t="s">
        <v>135</v>
      </c>
      <c r="O16" t="s">
        <v>135</v>
      </c>
      <c r="P16" t="s">
        <v>135</v>
      </c>
      <c r="Q16" t="s">
        <v>135</v>
      </c>
      <c r="R16" t="s">
        <v>135</v>
      </c>
      <c r="S16" t="s">
        <v>135</v>
      </c>
      <c r="T16" t="s">
        <v>135</v>
      </c>
      <c r="U16" t="s">
        <v>135</v>
      </c>
      <c r="V16" t="s">
        <v>135</v>
      </c>
      <c r="W16" t="s">
        <v>135</v>
      </c>
      <c r="X16" t="s">
        <v>135</v>
      </c>
      <c r="Y16" t="s">
        <v>135</v>
      </c>
      <c r="Z16" t="s">
        <v>135</v>
      </c>
      <c r="AA16" t="s">
        <v>135</v>
      </c>
      <c r="AB16" t="s">
        <v>135</v>
      </c>
      <c r="AC16" t="s">
        <v>135</v>
      </c>
      <c r="AD16" t="s">
        <v>135</v>
      </c>
      <c r="AE16" t="s">
        <v>135</v>
      </c>
      <c r="AF16" t="s">
        <v>135</v>
      </c>
      <c r="AG16" t="s">
        <v>135</v>
      </c>
      <c r="AH16" t="s">
        <v>135</v>
      </c>
      <c r="AI16" t="s">
        <v>135</v>
      </c>
      <c r="AJ16" t="s">
        <v>135</v>
      </c>
      <c r="AK16" t="s">
        <v>135</v>
      </c>
      <c r="AL16" t="s">
        <v>135</v>
      </c>
      <c r="AM16" t="s">
        <v>135</v>
      </c>
      <c r="AN16" t="s">
        <v>135</v>
      </c>
      <c r="AO16" t="s">
        <v>135</v>
      </c>
      <c r="AP16" t="s">
        <v>135</v>
      </c>
      <c r="AQ16" t="s">
        <v>135</v>
      </c>
      <c r="AR16" t="s">
        <v>135</v>
      </c>
      <c r="AS16" t="s">
        <v>135</v>
      </c>
      <c r="AT16" t="s">
        <v>135</v>
      </c>
      <c r="AU16" t="s">
        <v>135</v>
      </c>
      <c r="AV16" t="s">
        <v>135</v>
      </c>
      <c r="AW16" t="s">
        <v>135</v>
      </c>
      <c r="AX16" t="s">
        <v>135</v>
      </c>
      <c r="AY16" t="s">
        <v>135</v>
      </c>
      <c r="AZ16" t="s">
        <v>135</v>
      </c>
      <c r="BA16" t="s">
        <v>135</v>
      </c>
      <c r="BB16" t="s">
        <v>135</v>
      </c>
      <c r="BC16" t="s">
        <v>135</v>
      </c>
      <c r="BD16" t="s">
        <v>135</v>
      </c>
      <c r="BE16" t="s">
        <v>135</v>
      </c>
      <c r="BF16" t="s">
        <v>135</v>
      </c>
      <c r="BG16" t="s">
        <v>135</v>
      </c>
      <c r="BH16" t="s">
        <v>135</v>
      </c>
      <c r="BI16" t="s">
        <v>135</v>
      </c>
      <c r="BJ16" t="s">
        <v>135</v>
      </c>
      <c r="BK16" t="s">
        <v>135</v>
      </c>
      <c r="BL16" t="s">
        <v>135</v>
      </c>
      <c r="BM16" t="s">
        <v>135</v>
      </c>
      <c r="BN16" t="s">
        <v>135</v>
      </c>
      <c r="BO16" t="s">
        <v>135</v>
      </c>
      <c r="BP16" t="s">
        <v>135</v>
      </c>
      <c r="BQ16" t="s">
        <v>135</v>
      </c>
      <c r="BR16" t="s">
        <v>135</v>
      </c>
      <c r="BS16" t="s">
        <v>135</v>
      </c>
      <c r="BT16" t="s">
        <v>135</v>
      </c>
      <c r="BU16" t="s">
        <v>135</v>
      </c>
      <c r="BV16" t="s">
        <v>135</v>
      </c>
      <c r="BW16" t="s">
        <v>135</v>
      </c>
      <c r="BX16" t="s">
        <v>135</v>
      </c>
      <c r="BY16" t="s">
        <v>135</v>
      </c>
      <c r="BZ16" t="s">
        <v>135</v>
      </c>
      <c r="CA16" t="s">
        <v>135</v>
      </c>
      <c r="CB16" t="s">
        <v>135</v>
      </c>
      <c r="CC16" t="s">
        <v>135</v>
      </c>
      <c r="CD16" t="s">
        <v>135</v>
      </c>
      <c r="CE16" t="s">
        <v>135</v>
      </c>
      <c r="CF16" t="s">
        <v>135</v>
      </c>
      <c r="CG16" t="s">
        <v>135</v>
      </c>
      <c r="CH16" t="s">
        <v>135</v>
      </c>
      <c r="CI16" t="s">
        <v>135</v>
      </c>
      <c r="CJ16" t="s">
        <v>135</v>
      </c>
      <c r="CK16" t="s">
        <v>135</v>
      </c>
      <c r="CL16" t="s">
        <v>135</v>
      </c>
      <c r="CM16" t="s">
        <v>135</v>
      </c>
      <c r="CN16" t="s">
        <v>135</v>
      </c>
      <c r="CO16" t="s">
        <v>135</v>
      </c>
      <c r="CP16" t="s">
        <v>135</v>
      </c>
      <c r="CQ16" t="s">
        <v>135</v>
      </c>
      <c r="CR16" t="s">
        <v>135</v>
      </c>
      <c r="CS16" t="s">
        <v>135</v>
      </c>
      <c r="CT16" t="s">
        <v>135</v>
      </c>
      <c r="CU16" t="s">
        <v>135</v>
      </c>
      <c r="CV16" t="s">
        <v>135</v>
      </c>
      <c r="CW16" t="s">
        <v>135</v>
      </c>
      <c r="CX16" t="s">
        <v>135</v>
      </c>
      <c r="CY16" t="s">
        <v>135</v>
      </c>
      <c r="CZ16" t="s">
        <v>135</v>
      </c>
      <c r="DA16" t="s">
        <v>135</v>
      </c>
      <c r="DB16" t="s">
        <v>135</v>
      </c>
      <c r="DC16" t="s">
        <v>135</v>
      </c>
      <c r="DD16" t="s">
        <v>135</v>
      </c>
      <c r="DE16" t="s">
        <v>135</v>
      </c>
      <c r="DF16" t="s">
        <v>135</v>
      </c>
      <c r="DG16" t="s">
        <v>135</v>
      </c>
      <c r="DH16" t="s">
        <v>135</v>
      </c>
      <c r="DI16" t="s">
        <v>135</v>
      </c>
    </row>
    <row r="17" spans="1:113" x14ac:dyDescent="0.3">
      <c r="E17" t="s">
        <v>81</v>
      </c>
      <c r="F17" t="s">
        <v>135</v>
      </c>
      <c r="G17" t="s">
        <v>135</v>
      </c>
      <c r="H17" t="s">
        <v>135</v>
      </c>
      <c r="I17" t="s">
        <v>135</v>
      </c>
      <c r="J17" t="s">
        <v>135</v>
      </c>
      <c r="K17" t="s">
        <v>135</v>
      </c>
      <c r="L17" t="s">
        <v>135</v>
      </c>
      <c r="M17" t="s">
        <v>135</v>
      </c>
      <c r="N17" t="s">
        <v>135</v>
      </c>
      <c r="O17" t="s">
        <v>135</v>
      </c>
      <c r="P17" t="s">
        <v>135</v>
      </c>
      <c r="Q17" t="s">
        <v>135</v>
      </c>
      <c r="R17" t="s">
        <v>135</v>
      </c>
      <c r="S17" t="s">
        <v>135</v>
      </c>
      <c r="T17" t="s">
        <v>135</v>
      </c>
      <c r="U17" t="s">
        <v>135</v>
      </c>
      <c r="V17" t="s">
        <v>135</v>
      </c>
      <c r="W17" t="s">
        <v>135</v>
      </c>
      <c r="X17" t="s">
        <v>135</v>
      </c>
      <c r="Y17" t="s">
        <v>135</v>
      </c>
      <c r="Z17" t="s">
        <v>135</v>
      </c>
      <c r="AA17" t="s">
        <v>135</v>
      </c>
      <c r="AB17" t="s">
        <v>135</v>
      </c>
      <c r="AC17" t="s">
        <v>135</v>
      </c>
      <c r="AD17" t="s">
        <v>135</v>
      </c>
      <c r="AE17" t="s">
        <v>135</v>
      </c>
      <c r="AF17" t="s">
        <v>135</v>
      </c>
      <c r="AG17" t="s">
        <v>135</v>
      </c>
      <c r="AH17" t="s">
        <v>135</v>
      </c>
      <c r="AI17" t="s">
        <v>135</v>
      </c>
      <c r="AJ17" t="s">
        <v>135</v>
      </c>
      <c r="AK17" t="s">
        <v>135</v>
      </c>
      <c r="AL17" t="s">
        <v>135</v>
      </c>
      <c r="AM17" t="s">
        <v>135</v>
      </c>
      <c r="AN17" t="s">
        <v>135</v>
      </c>
      <c r="AO17" t="s">
        <v>135</v>
      </c>
      <c r="AP17" t="s">
        <v>135</v>
      </c>
      <c r="AQ17" t="s">
        <v>135</v>
      </c>
      <c r="AR17" t="s">
        <v>135</v>
      </c>
      <c r="AS17" t="s">
        <v>135</v>
      </c>
      <c r="AT17" t="s">
        <v>135</v>
      </c>
      <c r="AU17" t="s">
        <v>135</v>
      </c>
      <c r="AV17" t="s">
        <v>135</v>
      </c>
      <c r="AW17" t="s">
        <v>135</v>
      </c>
      <c r="AX17" t="s">
        <v>135</v>
      </c>
      <c r="AY17" t="s">
        <v>135</v>
      </c>
      <c r="AZ17" t="s">
        <v>135</v>
      </c>
      <c r="BA17" t="s">
        <v>135</v>
      </c>
      <c r="BB17" t="s">
        <v>135</v>
      </c>
      <c r="BC17" t="s">
        <v>135</v>
      </c>
      <c r="BD17" t="s">
        <v>135</v>
      </c>
      <c r="BE17" t="s">
        <v>135</v>
      </c>
      <c r="BF17" t="s">
        <v>135</v>
      </c>
      <c r="BG17" t="s">
        <v>135</v>
      </c>
      <c r="BH17" t="s">
        <v>135</v>
      </c>
      <c r="BI17" t="s">
        <v>135</v>
      </c>
      <c r="BJ17" t="s">
        <v>135</v>
      </c>
      <c r="BK17" t="s">
        <v>135</v>
      </c>
      <c r="BL17" t="s">
        <v>135</v>
      </c>
      <c r="BM17" t="s">
        <v>135</v>
      </c>
      <c r="BN17" t="s">
        <v>135</v>
      </c>
      <c r="BO17" t="s">
        <v>135</v>
      </c>
      <c r="BP17" t="s">
        <v>135</v>
      </c>
      <c r="BQ17" t="s">
        <v>135</v>
      </c>
      <c r="BR17" t="s">
        <v>135</v>
      </c>
      <c r="BS17" t="s">
        <v>135</v>
      </c>
      <c r="BT17" t="s">
        <v>135</v>
      </c>
      <c r="BU17" t="s">
        <v>135</v>
      </c>
      <c r="BV17" t="s">
        <v>135</v>
      </c>
      <c r="BW17" t="s">
        <v>135</v>
      </c>
      <c r="BX17" t="s">
        <v>135</v>
      </c>
      <c r="BY17" t="s">
        <v>135</v>
      </c>
      <c r="BZ17" t="s">
        <v>135</v>
      </c>
      <c r="CA17" t="s">
        <v>135</v>
      </c>
      <c r="CB17" t="s">
        <v>135</v>
      </c>
      <c r="CC17" t="s">
        <v>135</v>
      </c>
      <c r="CD17" t="s">
        <v>135</v>
      </c>
      <c r="CE17" t="s">
        <v>135</v>
      </c>
      <c r="CF17" t="s">
        <v>135</v>
      </c>
      <c r="CG17" t="s">
        <v>135</v>
      </c>
      <c r="CH17" t="s">
        <v>135</v>
      </c>
      <c r="CI17" t="s">
        <v>135</v>
      </c>
      <c r="CJ17" t="s">
        <v>135</v>
      </c>
      <c r="CK17" t="s">
        <v>135</v>
      </c>
      <c r="CL17" t="s">
        <v>135</v>
      </c>
      <c r="CM17" t="s">
        <v>135</v>
      </c>
      <c r="CN17" t="s">
        <v>135</v>
      </c>
      <c r="CO17" t="s">
        <v>135</v>
      </c>
      <c r="CP17" t="s">
        <v>135</v>
      </c>
      <c r="CQ17" t="s">
        <v>135</v>
      </c>
      <c r="CR17" t="s">
        <v>135</v>
      </c>
      <c r="CS17" t="s">
        <v>135</v>
      </c>
      <c r="CT17" t="s">
        <v>135</v>
      </c>
      <c r="CU17" t="s">
        <v>135</v>
      </c>
      <c r="CV17" t="s">
        <v>135</v>
      </c>
      <c r="CW17" t="s">
        <v>135</v>
      </c>
      <c r="CX17" t="s">
        <v>135</v>
      </c>
      <c r="CY17" t="s">
        <v>135</v>
      </c>
      <c r="CZ17" t="s">
        <v>135</v>
      </c>
      <c r="DA17" t="s">
        <v>135</v>
      </c>
      <c r="DB17" t="s">
        <v>135</v>
      </c>
      <c r="DC17" t="s">
        <v>135</v>
      </c>
      <c r="DD17" t="s">
        <v>135</v>
      </c>
      <c r="DE17" t="s">
        <v>135</v>
      </c>
      <c r="DF17" t="s">
        <v>135</v>
      </c>
      <c r="DG17" t="s">
        <v>135</v>
      </c>
      <c r="DH17" t="s">
        <v>135</v>
      </c>
      <c r="DI17" t="s">
        <v>135</v>
      </c>
    </row>
    <row r="18" spans="1:113" x14ac:dyDescent="0.3">
      <c r="D18" t="s">
        <v>84</v>
      </c>
      <c r="E18" t="s">
        <v>77</v>
      </c>
      <c r="F18">
        <v>15.8804</v>
      </c>
      <c r="G18">
        <v>3.9744000000000002</v>
      </c>
      <c r="H18">
        <v>8.4778000000000002</v>
      </c>
      <c r="I18">
        <v>6.8826000000000001</v>
      </c>
      <c r="J18">
        <v>88.628799999999998</v>
      </c>
      <c r="K18">
        <v>58.328000000000003</v>
      </c>
      <c r="L18">
        <v>56.7136</v>
      </c>
      <c r="M18">
        <v>37.107700000000001</v>
      </c>
      <c r="N18">
        <v>29.235399999999998</v>
      </c>
      <c r="O18">
        <v>29.235399999999998</v>
      </c>
      <c r="P18">
        <v>29.235399999999998</v>
      </c>
      <c r="Q18">
        <v>21.214700000000001</v>
      </c>
      <c r="R18">
        <v>30.543900000000001</v>
      </c>
      <c r="S18">
        <v>11.0299</v>
      </c>
      <c r="T18">
        <v>23.859100000000002</v>
      </c>
      <c r="U18">
        <v>23.680199999999999</v>
      </c>
      <c r="V18">
        <v>23.046500000000002</v>
      </c>
      <c r="W18">
        <v>25.041399999999999</v>
      </c>
      <c r="X18">
        <v>25.021899999999999</v>
      </c>
      <c r="Y18">
        <v>88.311700000000002</v>
      </c>
      <c r="Z18">
        <v>14.3261</v>
      </c>
      <c r="AA18">
        <v>28.203499999999998</v>
      </c>
      <c r="AB18">
        <v>9.4163999999999994</v>
      </c>
      <c r="AC18">
        <v>9.1210000000000004</v>
      </c>
      <c r="AD18">
        <v>15.700200000000001</v>
      </c>
      <c r="AE18">
        <v>8.1584000000000003</v>
      </c>
      <c r="AF18">
        <v>31.887</v>
      </c>
      <c r="AG18">
        <v>-4.2919999999999998</v>
      </c>
      <c r="AH18">
        <v>9.6209000000000007</v>
      </c>
      <c r="AI18">
        <v>13.408200000000001</v>
      </c>
      <c r="AJ18">
        <v>10.7128</v>
      </c>
      <c r="AK18">
        <v>13.408200000000001</v>
      </c>
      <c r="AL18">
        <v>54.629300000000001</v>
      </c>
      <c r="AM18">
        <v>19.837700000000002</v>
      </c>
      <c r="AN18">
        <v>21.208300000000001</v>
      </c>
      <c r="AO18">
        <v>20.0487</v>
      </c>
      <c r="AP18">
        <v>17.667999999999999</v>
      </c>
      <c r="AQ18">
        <v>14.805400000000001</v>
      </c>
      <c r="AR18">
        <v>15.568999999999999</v>
      </c>
      <c r="AS18">
        <v>15.4171</v>
      </c>
      <c r="AT18">
        <v>15.4994</v>
      </c>
      <c r="AU18">
        <v>17.8277</v>
      </c>
      <c r="AV18">
        <v>16.254899999999999</v>
      </c>
      <c r="AW18">
        <v>15.866300000000001</v>
      </c>
      <c r="AX18" t="s">
        <v>135</v>
      </c>
      <c r="AY18">
        <v>12.029</v>
      </c>
      <c r="AZ18">
        <v>12.2011</v>
      </c>
      <c r="BA18">
        <v>16.963899999999999</v>
      </c>
      <c r="BB18">
        <v>16.1554</v>
      </c>
      <c r="BC18">
        <v>16.721599999999999</v>
      </c>
      <c r="BD18">
        <v>13.3506</v>
      </c>
      <c r="BE18">
        <v>17.4161</v>
      </c>
      <c r="BF18">
        <v>23.859100000000002</v>
      </c>
      <c r="BG18">
        <v>23.680199999999999</v>
      </c>
      <c r="BH18">
        <v>23.046500000000002</v>
      </c>
      <c r="BI18">
        <v>25.041399999999999</v>
      </c>
      <c r="BJ18">
        <v>25.021899999999999</v>
      </c>
      <c r="BK18">
        <v>88.311700000000002</v>
      </c>
      <c r="BL18">
        <v>14.3261</v>
      </c>
      <c r="BM18">
        <v>28.203499999999998</v>
      </c>
      <c r="BN18">
        <v>9.4163999999999994</v>
      </c>
      <c r="BO18">
        <v>9.1210000000000004</v>
      </c>
      <c r="BP18">
        <v>15.700200000000001</v>
      </c>
      <c r="BQ18" t="s">
        <v>135</v>
      </c>
      <c r="BR18">
        <v>31.887</v>
      </c>
      <c r="BS18">
        <v>-4.2919999999999998</v>
      </c>
      <c r="BT18">
        <v>9.6209000000000007</v>
      </c>
      <c r="BU18">
        <v>13.408200000000001</v>
      </c>
      <c r="BV18">
        <v>10.7128</v>
      </c>
      <c r="BW18">
        <v>13.408200000000001</v>
      </c>
      <c r="BX18">
        <v>54.629300000000001</v>
      </c>
      <c r="BY18">
        <v>1189879.1000000001</v>
      </c>
      <c r="BZ18">
        <v>77347.399999999994</v>
      </c>
      <c r="CA18">
        <v>1112531.7</v>
      </c>
      <c r="CB18">
        <v>5.2679</v>
      </c>
      <c r="CC18">
        <v>5.1197999999999997</v>
      </c>
      <c r="CD18">
        <v>8.0045000000000002</v>
      </c>
      <c r="CE18">
        <v>7.7794999999999996</v>
      </c>
      <c r="CF18">
        <v>2.8834</v>
      </c>
      <c r="CG18">
        <v>25.4877</v>
      </c>
      <c r="CH18">
        <v>223.10650000000001</v>
      </c>
      <c r="CI18">
        <v>65.8874</v>
      </c>
      <c r="CJ18">
        <v>56.864800000000002</v>
      </c>
      <c r="CK18">
        <v>238.61770000000001</v>
      </c>
      <c r="CL18">
        <v>70.468199999999996</v>
      </c>
      <c r="CM18">
        <v>60.818300000000001</v>
      </c>
      <c r="CN18">
        <v>231.90979999999999</v>
      </c>
      <c r="CO18">
        <v>69.871300000000005</v>
      </c>
      <c r="CP18">
        <v>225873.1</v>
      </c>
      <c r="CQ18">
        <v>-13370.7</v>
      </c>
      <c r="CR18">
        <v>148650.6</v>
      </c>
      <c r="CS18">
        <v>0.1109</v>
      </c>
      <c r="CT18">
        <v>0.36809999999999998</v>
      </c>
      <c r="CU18">
        <v>0.21479999999999999</v>
      </c>
      <c r="CV18">
        <v>0.71050000000000002</v>
      </c>
      <c r="CW18">
        <v>8.6812000000000005</v>
      </c>
      <c r="CX18">
        <v>42.045099999999998</v>
      </c>
      <c r="CY18" t="s">
        <v>135</v>
      </c>
      <c r="CZ18" t="s">
        <v>135</v>
      </c>
      <c r="DA18" t="s">
        <v>135</v>
      </c>
      <c r="DB18" t="s">
        <v>135</v>
      </c>
      <c r="DC18" t="s">
        <v>135</v>
      </c>
      <c r="DD18" t="s">
        <v>135</v>
      </c>
      <c r="DE18">
        <v>9069.5</v>
      </c>
      <c r="DF18">
        <v>0</v>
      </c>
      <c r="DG18">
        <v>0</v>
      </c>
      <c r="DH18">
        <v>296.39999999999998</v>
      </c>
      <c r="DI18">
        <v>8773.1</v>
      </c>
    </row>
    <row r="19" spans="1:113" x14ac:dyDescent="0.3">
      <c r="E19" t="s">
        <v>78</v>
      </c>
      <c r="F19" t="s">
        <v>135</v>
      </c>
      <c r="G19" t="s">
        <v>135</v>
      </c>
      <c r="H19" t="s">
        <v>135</v>
      </c>
      <c r="I19" t="s">
        <v>135</v>
      </c>
      <c r="J19" t="s">
        <v>135</v>
      </c>
      <c r="K19" t="s">
        <v>135</v>
      </c>
      <c r="L19" t="s">
        <v>135</v>
      </c>
      <c r="M19" t="s">
        <v>135</v>
      </c>
      <c r="N19" t="s">
        <v>135</v>
      </c>
      <c r="O19" t="s">
        <v>135</v>
      </c>
      <c r="P19" t="s">
        <v>135</v>
      </c>
      <c r="Q19" t="s">
        <v>135</v>
      </c>
      <c r="R19" t="s">
        <v>135</v>
      </c>
      <c r="S19" t="s">
        <v>135</v>
      </c>
      <c r="T19" t="s">
        <v>135</v>
      </c>
      <c r="U19" t="s">
        <v>135</v>
      </c>
      <c r="V19" t="s">
        <v>135</v>
      </c>
      <c r="W19" t="s">
        <v>135</v>
      </c>
      <c r="X19" t="s">
        <v>135</v>
      </c>
      <c r="Y19" t="s">
        <v>135</v>
      </c>
      <c r="Z19" t="s">
        <v>135</v>
      </c>
      <c r="AA19" t="s">
        <v>135</v>
      </c>
      <c r="AB19" t="s">
        <v>135</v>
      </c>
      <c r="AC19" t="s">
        <v>135</v>
      </c>
      <c r="AD19" t="s">
        <v>135</v>
      </c>
      <c r="AE19" t="s">
        <v>135</v>
      </c>
      <c r="AF19" t="s">
        <v>135</v>
      </c>
      <c r="AG19" t="s">
        <v>135</v>
      </c>
      <c r="AH19" t="s">
        <v>135</v>
      </c>
      <c r="AI19" t="s">
        <v>135</v>
      </c>
      <c r="AJ19" t="s">
        <v>135</v>
      </c>
      <c r="AK19" t="s">
        <v>135</v>
      </c>
      <c r="AL19" t="s">
        <v>135</v>
      </c>
      <c r="AM19" t="s">
        <v>135</v>
      </c>
      <c r="AN19" t="s">
        <v>135</v>
      </c>
      <c r="AO19" t="s">
        <v>135</v>
      </c>
      <c r="AP19" t="s">
        <v>135</v>
      </c>
      <c r="AQ19" t="s">
        <v>135</v>
      </c>
      <c r="AR19" t="s">
        <v>135</v>
      </c>
      <c r="AS19" t="s">
        <v>135</v>
      </c>
      <c r="AT19" t="s">
        <v>135</v>
      </c>
      <c r="AU19" t="s">
        <v>135</v>
      </c>
      <c r="AV19" t="s">
        <v>135</v>
      </c>
      <c r="AW19" t="s">
        <v>135</v>
      </c>
      <c r="AX19" t="s">
        <v>135</v>
      </c>
      <c r="AY19" t="s">
        <v>135</v>
      </c>
      <c r="AZ19" t="s">
        <v>135</v>
      </c>
      <c r="BA19" t="s">
        <v>135</v>
      </c>
      <c r="BB19" t="s">
        <v>135</v>
      </c>
      <c r="BC19" t="s">
        <v>135</v>
      </c>
      <c r="BD19" t="s">
        <v>135</v>
      </c>
      <c r="BE19" t="s">
        <v>135</v>
      </c>
      <c r="BF19" t="s">
        <v>135</v>
      </c>
      <c r="BG19" t="s">
        <v>135</v>
      </c>
      <c r="BH19" t="s">
        <v>135</v>
      </c>
      <c r="BI19" t="s">
        <v>135</v>
      </c>
      <c r="BJ19" t="s">
        <v>135</v>
      </c>
      <c r="BK19" t="s">
        <v>135</v>
      </c>
      <c r="BL19" t="s">
        <v>135</v>
      </c>
      <c r="BM19" t="s">
        <v>135</v>
      </c>
      <c r="BN19" t="s">
        <v>135</v>
      </c>
      <c r="BO19" t="s">
        <v>135</v>
      </c>
      <c r="BP19" t="s">
        <v>135</v>
      </c>
      <c r="BQ19" t="s">
        <v>135</v>
      </c>
      <c r="BR19" t="s">
        <v>135</v>
      </c>
      <c r="BS19" t="s">
        <v>135</v>
      </c>
      <c r="BT19" t="s">
        <v>135</v>
      </c>
      <c r="BU19" t="s">
        <v>135</v>
      </c>
      <c r="BV19" t="s">
        <v>135</v>
      </c>
      <c r="BW19" t="s">
        <v>135</v>
      </c>
      <c r="BX19" t="s">
        <v>135</v>
      </c>
      <c r="BY19" t="s">
        <v>135</v>
      </c>
      <c r="BZ19" t="s">
        <v>135</v>
      </c>
      <c r="CA19" t="s">
        <v>135</v>
      </c>
      <c r="CB19" t="s">
        <v>135</v>
      </c>
      <c r="CC19" t="s">
        <v>135</v>
      </c>
      <c r="CD19" t="s">
        <v>135</v>
      </c>
      <c r="CE19" t="s">
        <v>135</v>
      </c>
      <c r="CF19" t="s">
        <v>135</v>
      </c>
      <c r="CG19" t="s">
        <v>135</v>
      </c>
      <c r="CH19" t="s">
        <v>135</v>
      </c>
      <c r="CI19" t="s">
        <v>135</v>
      </c>
      <c r="CJ19" t="s">
        <v>135</v>
      </c>
      <c r="CK19" t="s">
        <v>135</v>
      </c>
      <c r="CL19" t="s">
        <v>135</v>
      </c>
      <c r="CM19" t="s">
        <v>135</v>
      </c>
      <c r="CN19" t="s">
        <v>135</v>
      </c>
      <c r="CO19" t="s">
        <v>135</v>
      </c>
      <c r="CP19" t="s">
        <v>135</v>
      </c>
      <c r="CQ19" t="s">
        <v>135</v>
      </c>
      <c r="CR19" t="s">
        <v>135</v>
      </c>
      <c r="CS19" t="s">
        <v>135</v>
      </c>
      <c r="CT19" t="s">
        <v>135</v>
      </c>
      <c r="CU19" t="s">
        <v>135</v>
      </c>
      <c r="CV19" t="s">
        <v>135</v>
      </c>
      <c r="CW19" t="s">
        <v>135</v>
      </c>
      <c r="CX19" t="s">
        <v>135</v>
      </c>
      <c r="CY19" t="s">
        <v>135</v>
      </c>
      <c r="CZ19" t="s">
        <v>135</v>
      </c>
      <c r="DA19" t="s">
        <v>135</v>
      </c>
      <c r="DB19" t="s">
        <v>135</v>
      </c>
      <c r="DC19" t="s">
        <v>135</v>
      </c>
      <c r="DD19" t="s">
        <v>135</v>
      </c>
      <c r="DE19" t="s">
        <v>135</v>
      </c>
      <c r="DF19" t="s">
        <v>135</v>
      </c>
      <c r="DG19" t="s">
        <v>135</v>
      </c>
      <c r="DH19" t="s">
        <v>135</v>
      </c>
      <c r="DI19" t="s">
        <v>135</v>
      </c>
    </row>
    <row r="20" spans="1:113" x14ac:dyDescent="0.3">
      <c r="E20" t="s">
        <v>79</v>
      </c>
      <c r="F20" t="s">
        <v>135</v>
      </c>
      <c r="G20" t="s">
        <v>135</v>
      </c>
      <c r="H20" t="s">
        <v>135</v>
      </c>
      <c r="I20" t="s">
        <v>135</v>
      </c>
      <c r="J20" t="s">
        <v>135</v>
      </c>
      <c r="K20" t="s">
        <v>135</v>
      </c>
      <c r="L20" t="s">
        <v>135</v>
      </c>
      <c r="M20" t="s">
        <v>135</v>
      </c>
      <c r="N20" t="s">
        <v>135</v>
      </c>
      <c r="O20" t="s">
        <v>135</v>
      </c>
      <c r="P20" t="s">
        <v>135</v>
      </c>
      <c r="Q20" t="s">
        <v>135</v>
      </c>
      <c r="R20" t="s">
        <v>135</v>
      </c>
      <c r="S20" t="s">
        <v>135</v>
      </c>
      <c r="T20" t="s">
        <v>135</v>
      </c>
      <c r="U20" t="s">
        <v>135</v>
      </c>
      <c r="V20" t="s">
        <v>135</v>
      </c>
      <c r="W20" t="s">
        <v>135</v>
      </c>
      <c r="X20" t="s">
        <v>135</v>
      </c>
      <c r="Y20" t="s">
        <v>135</v>
      </c>
      <c r="Z20" t="s">
        <v>135</v>
      </c>
      <c r="AA20" t="s">
        <v>135</v>
      </c>
      <c r="AB20" t="s">
        <v>135</v>
      </c>
      <c r="AC20" t="s">
        <v>135</v>
      </c>
      <c r="AD20" t="s">
        <v>135</v>
      </c>
      <c r="AE20" t="s">
        <v>135</v>
      </c>
      <c r="AF20" t="s">
        <v>135</v>
      </c>
      <c r="AG20" t="s">
        <v>135</v>
      </c>
      <c r="AH20" t="s">
        <v>135</v>
      </c>
      <c r="AI20" t="s">
        <v>135</v>
      </c>
      <c r="AJ20" t="s">
        <v>135</v>
      </c>
      <c r="AK20" t="s">
        <v>135</v>
      </c>
      <c r="AL20" t="s">
        <v>135</v>
      </c>
      <c r="AM20" t="s">
        <v>135</v>
      </c>
      <c r="AN20" t="s">
        <v>135</v>
      </c>
      <c r="AO20" t="s">
        <v>135</v>
      </c>
      <c r="AP20" t="s">
        <v>135</v>
      </c>
      <c r="AQ20" t="s">
        <v>135</v>
      </c>
      <c r="AR20" t="s">
        <v>135</v>
      </c>
      <c r="AS20" t="s">
        <v>135</v>
      </c>
      <c r="AT20" t="s">
        <v>135</v>
      </c>
      <c r="AU20" t="s">
        <v>135</v>
      </c>
      <c r="AV20" t="s">
        <v>135</v>
      </c>
      <c r="AW20" t="s">
        <v>135</v>
      </c>
      <c r="AX20" t="s">
        <v>135</v>
      </c>
      <c r="AY20" t="s">
        <v>135</v>
      </c>
      <c r="AZ20" t="s">
        <v>135</v>
      </c>
      <c r="BA20" t="s">
        <v>135</v>
      </c>
      <c r="BB20" t="s">
        <v>135</v>
      </c>
      <c r="BC20" t="s">
        <v>135</v>
      </c>
      <c r="BD20" t="s">
        <v>135</v>
      </c>
      <c r="BE20" t="s">
        <v>135</v>
      </c>
      <c r="BF20" t="s">
        <v>135</v>
      </c>
      <c r="BG20" t="s">
        <v>135</v>
      </c>
      <c r="BH20" t="s">
        <v>135</v>
      </c>
      <c r="BI20" t="s">
        <v>135</v>
      </c>
      <c r="BJ20" t="s">
        <v>135</v>
      </c>
      <c r="BK20" t="s">
        <v>135</v>
      </c>
      <c r="BL20" t="s">
        <v>135</v>
      </c>
      <c r="BM20" t="s">
        <v>135</v>
      </c>
      <c r="BN20" t="s">
        <v>135</v>
      </c>
      <c r="BO20" t="s">
        <v>135</v>
      </c>
      <c r="BP20" t="s">
        <v>135</v>
      </c>
      <c r="BQ20" t="s">
        <v>135</v>
      </c>
      <c r="BR20" t="s">
        <v>135</v>
      </c>
      <c r="BS20" t="s">
        <v>135</v>
      </c>
      <c r="BT20" t="s">
        <v>135</v>
      </c>
      <c r="BU20" t="s">
        <v>135</v>
      </c>
      <c r="BV20" t="s">
        <v>135</v>
      </c>
      <c r="BW20" t="s">
        <v>135</v>
      </c>
      <c r="BX20" t="s">
        <v>135</v>
      </c>
      <c r="BY20" t="s">
        <v>135</v>
      </c>
      <c r="BZ20" t="s">
        <v>135</v>
      </c>
      <c r="CA20" t="s">
        <v>135</v>
      </c>
      <c r="CB20" t="s">
        <v>135</v>
      </c>
      <c r="CC20" t="s">
        <v>135</v>
      </c>
      <c r="CD20" t="s">
        <v>135</v>
      </c>
      <c r="CE20" t="s">
        <v>135</v>
      </c>
      <c r="CF20" t="s">
        <v>135</v>
      </c>
      <c r="CG20" t="s">
        <v>135</v>
      </c>
      <c r="CH20" t="s">
        <v>135</v>
      </c>
      <c r="CI20" t="s">
        <v>135</v>
      </c>
      <c r="CJ20" t="s">
        <v>135</v>
      </c>
      <c r="CK20" t="s">
        <v>135</v>
      </c>
      <c r="CL20" t="s">
        <v>135</v>
      </c>
      <c r="CM20" t="s">
        <v>135</v>
      </c>
      <c r="CN20" t="s">
        <v>135</v>
      </c>
      <c r="CO20" t="s">
        <v>135</v>
      </c>
      <c r="CP20" t="s">
        <v>135</v>
      </c>
      <c r="CQ20" t="s">
        <v>135</v>
      </c>
      <c r="CR20" t="s">
        <v>135</v>
      </c>
      <c r="CS20" t="s">
        <v>135</v>
      </c>
      <c r="CT20" t="s">
        <v>135</v>
      </c>
      <c r="CU20" t="s">
        <v>135</v>
      </c>
      <c r="CV20" t="s">
        <v>135</v>
      </c>
      <c r="CW20" t="s">
        <v>135</v>
      </c>
      <c r="CX20" t="s">
        <v>135</v>
      </c>
      <c r="CY20" t="s">
        <v>135</v>
      </c>
      <c r="CZ20" t="s">
        <v>135</v>
      </c>
      <c r="DA20" t="s">
        <v>135</v>
      </c>
      <c r="DB20" t="s">
        <v>135</v>
      </c>
      <c r="DC20" t="s">
        <v>135</v>
      </c>
      <c r="DD20" t="s">
        <v>135</v>
      </c>
      <c r="DE20" t="s">
        <v>135</v>
      </c>
      <c r="DF20" t="s">
        <v>135</v>
      </c>
      <c r="DG20" t="s">
        <v>135</v>
      </c>
      <c r="DH20" t="s">
        <v>135</v>
      </c>
      <c r="DI20" t="s">
        <v>135</v>
      </c>
    </row>
    <row r="21" spans="1:113" x14ac:dyDescent="0.3">
      <c r="E21" t="s">
        <v>80</v>
      </c>
      <c r="F21" t="s">
        <v>135</v>
      </c>
      <c r="G21" t="s">
        <v>135</v>
      </c>
      <c r="H21" t="s">
        <v>135</v>
      </c>
      <c r="I21" t="s">
        <v>135</v>
      </c>
      <c r="J21" t="s">
        <v>135</v>
      </c>
      <c r="K21" t="s">
        <v>135</v>
      </c>
      <c r="L21" t="s">
        <v>135</v>
      </c>
      <c r="M21" t="s">
        <v>135</v>
      </c>
      <c r="N21" t="s">
        <v>135</v>
      </c>
      <c r="O21" t="s">
        <v>135</v>
      </c>
      <c r="P21" t="s">
        <v>135</v>
      </c>
      <c r="Q21" t="s">
        <v>135</v>
      </c>
      <c r="R21" t="s">
        <v>135</v>
      </c>
      <c r="S21" t="s">
        <v>135</v>
      </c>
      <c r="T21" t="s">
        <v>135</v>
      </c>
      <c r="U21" t="s">
        <v>135</v>
      </c>
      <c r="V21" t="s">
        <v>135</v>
      </c>
      <c r="W21" t="s">
        <v>135</v>
      </c>
      <c r="X21" t="s">
        <v>135</v>
      </c>
      <c r="Y21" t="s">
        <v>135</v>
      </c>
      <c r="Z21" t="s">
        <v>135</v>
      </c>
      <c r="AA21" t="s">
        <v>135</v>
      </c>
      <c r="AB21" t="s">
        <v>135</v>
      </c>
      <c r="AC21" t="s">
        <v>135</v>
      </c>
      <c r="AD21" t="s">
        <v>135</v>
      </c>
      <c r="AE21" t="s">
        <v>135</v>
      </c>
      <c r="AF21" t="s">
        <v>135</v>
      </c>
      <c r="AG21" t="s">
        <v>135</v>
      </c>
      <c r="AH21" t="s">
        <v>135</v>
      </c>
      <c r="AI21" t="s">
        <v>135</v>
      </c>
      <c r="AJ21" t="s">
        <v>135</v>
      </c>
      <c r="AK21" t="s">
        <v>135</v>
      </c>
      <c r="AL21" t="s">
        <v>135</v>
      </c>
      <c r="AM21" t="s">
        <v>135</v>
      </c>
      <c r="AN21" t="s">
        <v>135</v>
      </c>
      <c r="AO21" t="s">
        <v>135</v>
      </c>
      <c r="AP21" t="s">
        <v>135</v>
      </c>
      <c r="AQ21" t="s">
        <v>135</v>
      </c>
      <c r="AR21" t="s">
        <v>135</v>
      </c>
      <c r="AS21" t="s">
        <v>135</v>
      </c>
      <c r="AT21" t="s">
        <v>135</v>
      </c>
      <c r="AU21" t="s">
        <v>135</v>
      </c>
      <c r="AV21" t="s">
        <v>135</v>
      </c>
      <c r="AW21" t="s">
        <v>135</v>
      </c>
      <c r="AX21" t="s">
        <v>135</v>
      </c>
      <c r="AY21" t="s">
        <v>135</v>
      </c>
      <c r="AZ21" t="s">
        <v>135</v>
      </c>
      <c r="BA21" t="s">
        <v>135</v>
      </c>
      <c r="BB21" t="s">
        <v>135</v>
      </c>
      <c r="BC21" t="s">
        <v>135</v>
      </c>
      <c r="BD21" t="s">
        <v>135</v>
      </c>
      <c r="BE21" t="s">
        <v>135</v>
      </c>
      <c r="BF21" t="s">
        <v>135</v>
      </c>
      <c r="BG21" t="s">
        <v>135</v>
      </c>
      <c r="BH21" t="s">
        <v>135</v>
      </c>
      <c r="BI21" t="s">
        <v>135</v>
      </c>
      <c r="BJ21" t="s">
        <v>135</v>
      </c>
      <c r="BK21" t="s">
        <v>135</v>
      </c>
      <c r="BL21" t="s">
        <v>135</v>
      </c>
      <c r="BM21" t="s">
        <v>135</v>
      </c>
      <c r="BN21" t="s">
        <v>135</v>
      </c>
      <c r="BO21" t="s">
        <v>135</v>
      </c>
      <c r="BP21" t="s">
        <v>135</v>
      </c>
      <c r="BQ21" t="s">
        <v>135</v>
      </c>
      <c r="BR21" t="s">
        <v>135</v>
      </c>
      <c r="BS21" t="s">
        <v>135</v>
      </c>
      <c r="BT21" t="s">
        <v>135</v>
      </c>
      <c r="BU21" t="s">
        <v>135</v>
      </c>
      <c r="BV21" t="s">
        <v>135</v>
      </c>
      <c r="BW21" t="s">
        <v>135</v>
      </c>
      <c r="BX21" t="s">
        <v>135</v>
      </c>
      <c r="BY21" t="s">
        <v>135</v>
      </c>
      <c r="BZ21" t="s">
        <v>135</v>
      </c>
      <c r="CA21" t="s">
        <v>135</v>
      </c>
      <c r="CB21" t="s">
        <v>135</v>
      </c>
      <c r="CC21" t="s">
        <v>135</v>
      </c>
      <c r="CD21" t="s">
        <v>135</v>
      </c>
      <c r="CE21" t="s">
        <v>135</v>
      </c>
      <c r="CF21" t="s">
        <v>135</v>
      </c>
      <c r="CG21" t="s">
        <v>135</v>
      </c>
      <c r="CH21" t="s">
        <v>135</v>
      </c>
      <c r="CI21" t="s">
        <v>135</v>
      </c>
      <c r="CJ21" t="s">
        <v>135</v>
      </c>
      <c r="CK21" t="s">
        <v>135</v>
      </c>
      <c r="CL21" t="s">
        <v>135</v>
      </c>
      <c r="CM21" t="s">
        <v>135</v>
      </c>
      <c r="CN21" t="s">
        <v>135</v>
      </c>
      <c r="CO21" t="s">
        <v>135</v>
      </c>
      <c r="CP21" t="s">
        <v>135</v>
      </c>
      <c r="CQ21" t="s">
        <v>135</v>
      </c>
      <c r="CR21" t="s">
        <v>135</v>
      </c>
      <c r="CS21" t="s">
        <v>135</v>
      </c>
      <c r="CT21" t="s">
        <v>135</v>
      </c>
      <c r="CU21" t="s">
        <v>135</v>
      </c>
      <c r="CV21" t="s">
        <v>135</v>
      </c>
      <c r="CW21" t="s">
        <v>135</v>
      </c>
      <c r="CX21" t="s">
        <v>135</v>
      </c>
      <c r="CY21" t="s">
        <v>135</v>
      </c>
      <c r="CZ21" t="s">
        <v>135</v>
      </c>
      <c r="DA21" t="s">
        <v>135</v>
      </c>
      <c r="DB21" t="s">
        <v>135</v>
      </c>
      <c r="DC21" t="s">
        <v>135</v>
      </c>
      <c r="DD21" t="s">
        <v>135</v>
      </c>
      <c r="DE21" t="s">
        <v>135</v>
      </c>
      <c r="DF21" t="s">
        <v>135</v>
      </c>
      <c r="DG21" t="s">
        <v>135</v>
      </c>
      <c r="DH21" t="s">
        <v>135</v>
      </c>
      <c r="DI21" t="s">
        <v>135</v>
      </c>
    </row>
    <row r="22" spans="1:113" x14ac:dyDescent="0.3">
      <c r="E22" t="s">
        <v>81</v>
      </c>
      <c r="F22" t="s">
        <v>135</v>
      </c>
      <c r="G22" t="s">
        <v>135</v>
      </c>
      <c r="H22" t="s">
        <v>135</v>
      </c>
      <c r="I22" t="s">
        <v>135</v>
      </c>
      <c r="J22" t="s">
        <v>135</v>
      </c>
      <c r="K22" t="s">
        <v>135</v>
      </c>
      <c r="L22" t="s">
        <v>135</v>
      </c>
      <c r="M22" t="s">
        <v>135</v>
      </c>
      <c r="N22" t="s">
        <v>135</v>
      </c>
      <c r="O22" t="s">
        <v>135</v>
      </c>
      <c r="P22" t="s">
        <v>135</v>
      </c>
      <c r="Q22" t="s">
        <v>135</v>
      </c>
      <c r="R22" t="s">
        <v>135</v>
      </c>
      <c r="S22" t="s">
        <v>135</v>
      </c>
      <c r="T22" t="s">
        <v>135</v>
      </c>
      <c r="U22" t="s">
        <v>135</v>
      </c>
      <c r="V22" t="s">
        <v>135</v>
      </c>
      <c r="W22" t="s">
        <v>135</v>
      </c>
      <c r="X22" t="s">
        <v>135</v>
      </c>
      <c r="Y22" t="s">
        <v>135</v>
      </c>
      <c r="Z22" t="s">
        <v>135</v>
      </c>
      <c r="AA22" t="s">
        <v>135</v>
      </c>
      <c r="AB22" t="s">
        <v>135</v>
      </c>
      <c r="AC22" t="s">
        <v>135</v>
      </c>
      <c r="AD22" t="s">
        <v>135</v>
      </c>
      <c r="AE22" t="s">
        <v>135</v>
      </c>
      <c r="AF22" t="s">
        <v>135</v>
      </c>
      <c r="AG22" t="s">
        <v>135</v>
      </c>
      <c r="AH22" t="s">
        <v>135</v>
      </c>
      <c r="AI22" t="s">
        <v>135</v>
      </c>
      <c r="AJ22" t="s">
        <v>135</v>
      </c>
      <c r="AK22" t="s">
        <v>135</v>
      </c>
      <c r="AL22" t="s">
        <v>135</v>
      </c>
      <c r="AM22" t="s">
        <v>135</v>
      </c>
      <c r="AN22" t="s">
        <v>135</v>
      </c>
      <c r="AO22" t="s">
        <v>135</v>
      </c>
      <c r="AP22" t="s">
        <v>135</v>
      </c>
      <c r="AQ22" t="s">
        <v>135</v>
      </c>
      <c r="AR22" t="s">
        <v>135</v>
      </c>
      <c r="AS22" t="s">
        <v>135</v>
      </c>
      <c r="AT22" t="s">
        <v>135</v>
      </c>
      <c r="AU22" t="s">
        <v>135</v>
      </c>
      <c r="AV22" t="s">
        <v>135</v>
      </c>
      <c r="AW22" t="s">
        <v>135</v>
      </c>
      <c r="AX22" t="s">
        <v>135</v>
      </c>
      <c r="AY22" t="s">
        <v>135</v>
      </c>
      <c r="AZ22" t="s">
        <v>135</v>
      </c>
      <c r="BA22" t="s">
        <v>135</v>
      </c>
      <c r="BB22" t="s">
        <v>135</v>
      </c>
      <c r="BC22" t="s">
        <v>135</v>
      </c>
      <c r="BD22" t="s">
        <v>135</v>
      </c>
      <c r="BE22" t="s">
        <v>135</v>
      </c>
      <c r="BF22" t="s">
        <v>135</v>
      </c>
      <c r="BG22" t="s">
        <v>135</v>
      </c>
      <c r="BH22" t="s">
        <v>135</v>
      </c>
      <c r="BI22" t="s">
        <v>135</v>
      </c>
      <c r="BJ22" t="s">
        <v>135</v>
      </c>
      <c r="BK22" t="s">
        <v>135</v>
      </c>
      <c r="BL22" t="s">
        <v>135</v>
      </c>
      <c r="BM22" t="s">
        <v>135</v>
      </c>
      <c r="BN22" t="s">
        <v>135</v>
      </c>
      <c r="BO22" t="s">
        <v>135</v>
      </c>
      <c r="BP22" t="s">
        <v>135</v>
      </c>
      <c r="BQ22" t="s">
        <v>135</v>
      </c>
      <c r="BR22" t="s">
        <v>135</v>
      </c>
      <c r="BS22" t="s">
        <v>135</v>
      </c>
      <c r="BT22" t="s">
        <v>135</v>
      </c>
      <c r="BU22" t="s">
        <v>135</v>
      </c>
      <c r="BV22" t="s">
        <v>135</v>
      </c>
      <c r="BW22" t="s">
        <v>135</v>
      </c>
      <c r="BX22" t="s">
        <v>135</v>
      </c>
      <c r="BY22" t="s">
        <v>135</v>
      </c>
      <c r="BZ22" t="s">
        <v>135</v>
      </c>
      <c r="CA22" t="s">
        <v>135</v>
      </c>
      <c r="CB22" t="s">
        <v>135</v>
      </c>
      <c r="CC22" t="s">
        <v>135</v>
      </c>
      <c r="CD22" t="s">
        <v>135</v>
      </c>
      <c r="CE22" t="s">
        <v>135</v>
      </c>
      <c r="CF22" t="s">
        <v>135</v>
      </c>
      <c r="CG22" t="s">
        <v>135</v>
      </c>
      <c r="CH22" t="s">
        <v>135</v>
      </c>
      <c r="CI22" t="s">
        <v>135</v>
      </c>
      <c r="CJ22" t="s">
        <v>135</v>
      </c>
      <c r="CK22" t="s">
        <v>135</v>
      </c>
      <c r="CL22" t="s">
        <v>135</v>
      </c>
      <c r="CM22" t="s">
        <v>135</v>
      </c>
      <c r="CN22" t="s">
        <v>135</v>
      </c>
      <c r="CO22" t="s">
        <v>135</v>
      </c>
      <c r="CP22" t="s">
        <v>135</v>
      </c>
      <c r="CQ22" t="s">
        <v>135</v>
      </c>
      <c r="CR22" t="s">
        <v>135</v>
      </c>
      <c r="CS22" t="s">
        <v>135</v>
      </c>
      <c r="CT22" t="s">
        <v>135</v>
      </c>
      <c r="CU22" t="s">
        <v>135</v>
      </c>
      <c r="CV22" t="s">
        <v>135</v>
      </c>
      <c r="CW22" t="s">
        <v>135</v>
      </c>
      <c r="CX22" t="s">
        <v>135</v>
      </c>
      <c r="CY22" t="s">
        <v>135</v>
      </c>
      <c r="CZ22" t="s">
        <v>135</v>
      </c>
      <c r="DA22" t="s">
        <v>135</v>
      </c>
      <c r="DB22" t="s">
        <v>135</v>
      </c>
      <c r="DC22" t="s">
        <v>135</v>
      </c>
      <c r="DD22" t="s">
        <v>135</v>
      </c>
      <c r="DE22" t="s">
        <v>135</v>
      </c>
      <c r="DF22" t="s">
        <v>135</v>
      </c>
      <c r="DG22" t="s">
        <v>135</v>
      </c>
      <c r="DH22" t="s">
        <v>135</v>
      </c>
      <c r="DI22" t="s">
        <v>135</v>
      </c>
    </row>
    <row r="23" spans="1:113" x14ac:dyDescent="0.3">
      <c r="D23" t="s">
        <v>85</v>
      </c>
      <c r="E23" t="s">
        <v>77</v>
      </c>
      <c r="F23">
        <v>15.7219</v>
      </c>
      <c r="G23">
        <v>3.9995000000000003</v>
      </c>
      <c r="H23">
        <v>8.4619999999999997</v>
      </c>
      <c r="I23">
        <v>7.0129999999999999</v>
      </c>
      <c r="J23">
        <v>87.292199999999994</v>
      </c>
      <c r="K23">
        <v>56.424500000000002</v>
      </c>
      <c r="L23">
        <v>45.420200000000001</v>
      </c>
      <c r="M23">
        <v>34.756100000000004</v>
      </c>
      <c r="N23">
        <v>27.4145</v>
      </c>
      <c r="O23">
        <v>27.4145</v>
      </c>
      <c r="P23">
        <v>27.4145</v>
      </c>
      <c r="Q23">
        <v>21.123000000000001</v>
      </c>
      <c r="R23">
        <v>15.6342</v>
      </c>
      <c r="S23">
        <v>13.2639</v>
      </c>
      <c r="T23">
        <v>17.3718</v>
      </c>
      <c r="U23">
        <v>15.581200000000001</v>
      </c>
      <c r="V23">
        <v>13.525600000000001</v>
      </c>
      <c r="W23">
        <v>10.0336</v>
      </c>
      <c r="X23">
        <v>10.0421</v>
      </c>
      <c r="Y23">
        <v>-43.678199999999997</v>
      </c>
      <c r="Z23">
        <v>16.222899999999999</v>
      </c>
      <c r="AA23">
        <v>15.701000000000001</v>
      </c>
      <c r="AB23">
        <v>10.209</v>
      </c>
      <c r="AC23">
        <v>9.5488</v>
      </c>
      <c r="AD23">
        <v>22.732500000000002</v>
      </c>
      <c r="AE23">
        <v>-8.0694999999999997</v>
      </c>
      <c r="AF23">
        <v>-41.919899999999998</v>
      </c>
      <c r="AG23">
        <v>13.677300000000001</v>
      </c>
      <c r="AH23">
        <v>10.517900000000001</v>
      </c>
      <c r="AI23">
        <v>9.1456</v>
      </c>
      <c r="AJ23">
        <v>10.1126</v>
      </c>
      <c r="AK23">
        <v>9.1456</v>
      </c>
      <c r="AL23">
        <v>-1.296</v>
      </c>
      <c r="AM23">
        <v>17.921099999999999</v>
      </c>
      <c r="AN23">
        <v>18.375599999999999</v>
      </c>
      <c r="AO23">
        <v>16.767199999999999</v>
      </c>
      <c r="AP23">
        <v>13.7095</v>
      </c>
      <c r="AQ23">
        <v>10.950799999999999</v>
      </c>
      <c r="AR23">
        <v>-2.2837999999999998</v>
      </c>
      <c r="AS23">
        <v>19.537199999999999</v>
      </c>
      <c r="AT23">
        <v>13.6744</v>
      </c>
      <c r="AU23">
        <v>14.6647</v>
      </c>
      <c r="AV23">
        <v>13.5808</v>
      </c>
      <c r="AW23">
        <v>20.023299999999999</v>
      </c>
      <c r="AX23" t="s">
        <v>135</v>
      </c>
      <c r="AY23">
        <v>-1.4029</v>
      </c>
      <c r="AZ23">
        <v>11.062799999999999</v>
      </c>
      <c r="BA23">
        <v>13.6904</v>
      </c>
      <c r="BB23">
        <v>15.566000000000001</v>
      </c>
      <c r="BC23">
        <v>14.220700000000001</v>
      </c>
      <c r="BD23">
        <v>12.775399999999999</v>
      </c>
      <c r="BE23">
        <v>10.0322</v>
      </c>
      <c r="BF23">
        <v>17.3718</v>
      </c>
      <c r="BG23">
        <v>15.581200000000001</v>
      </c>
      <c r="BH23">
        <v>13.525600000000001</v>
      </c>
      <c r="BI23">
        <v>10.0336</v>
      </c>
      <c r="BJ23">
        <v>10.0421</v>
      </c>
      <c r="BK23">
        <v>-43.678199999999997</v>
      </c>
      <c r="BL23">
        <v>16.222899999999999</v>
      </c>
      <c r="BM23">
        <v>15.701000000000001</v>
      </c>
      <c r="BN23">
        <v>10.209</v>
      </c>
      <c r="BO23">
        <v>9.5488</v>
      </c>
      <c r="BP23">
        <v>22.732500000000002</v>
      </c>
      <c r="BQ23" t="s">
        <v>135</v>
      </c>
      <c r="BR23">
        <v>-41.919899999999998</v>
      </c>
      <c r="BS23">
        <v>13.677300000000001</v>
      </c>
      <c r="BT23">
        <v>10.517900000000001</v>
      </c>
      <c r="BU23">
        <v>9.1456</v>
      </c>
      <c r="BV23">
        <v>10.1126</v>
      </c>
      <c r="BW23">
        <v>9.1456</v>
      </c>
      <c r="BX23">
        <v>-1.296</v>
      </c>
      <c r="BY23">
        <v>1315029.6000000001</v>
      </c>
      <c r="BZ23">
        <v>87926.399999999994</v>
      </c>
      <c r="CA23">
        <v>1227103.2</v>
      </c>
      <c r="CB23">
        <v>5.0374999999999996</v>
      </c>
      <c r="CC23">
        <v>4.9541000000000004</v>
      </c>
      <c r="CD23">
        <v>7.7934000000000001</v>
      </c>
      <c r="CE23">
        <v>7.6643999999999997</v>
      </c>
      <c r="CF23">
        <v>3.0225</v>
      </c>
      <c r="CG23">
        <v>25.393899999999999</v>
      </c>
      <c r="CH23">
        <v>225.46270000000001</v>
      </c>
      <c r="CI23">
        <v>65.998500000000007</v>
      </c>
      <c r="CJ23">
        <v>57.253900000000002</v>
      </c>
      <c r="CK23">
        <v>241.61789999999999</v>
      </c>
      <c r="CL23">
        <v>70.727500000000006</v>
      </c>
      <c r="CM23">
        <v>61.356299999999997</v>
      </c>
      <c r="CN23">
        <v>237.6191</v>
      </c>
      <c r="CO23">
        <v>70.380799999999994</v>
      </c>
      <c r="CP23">
        <v>261047</v>
      </c>
      <c r="CQ23">
        <v>-5468.3</v>
      </c>
      <c r="CR23">
        <v>168737.1</v>
      </c>
      <c r="CS23">
        <v>6.5799999999999997E-2</v>
      </c>
      <c r="CT23">
        <v>0.37740000000000001</v>
      </c>
      <c r="CU23">
        <v>0.1759</v>
      </c>
      <c r="CV23">
        <v>0.68169999999999997</v>
      </c>
      <c r="CW23">
        <v>8.8320000000000007</v>
      </c>
      <c r="CX23">
        <v>41.326999999999998</v>
      </c>
      <c r="CY23" t="s">
        <v>135</v>
      </c>
      <c r="CZ23" t="s">
        <v>135</v>
      </c>
      <c r="DA23" t="s">
        <v>135</v>
      </c>
      <c r="DB23" t="s">
        <v>135</v>
      </c>
      <c r="DC23" t="s">
        <v>135</v>
      </c>
      <c r="DD23" t="s">
        <v>135</v>
      </c>
      <c r="DE23">
        <v>10493.5</v>
      </c>
      <c r="DF23">
        <v>0</v>
      </c>
      <c r="DG23">
        <v>0</v>
      </c>
      <c r="DH23">
        <v>119</v>
      </c>
      <c r="DI23">
        <v>10374.5</v>
      </c>
    </row>
    <row r="24" spans="1:113" x14ac:dyDescent="0.3">
      <c r="E24" t="s">
        <v>78</v>
      </c>
      <c r="F24" t="s">
        <v>135</v>
      </c>
      <c r="G24" t="s">
        <v>135</v>
      </c>
      <c r="H24" t="s">
        <v>135</v>
      </c>
      <c r="I24" t="s">
        <v>135</v>
      </c>
      <c r="J24" t="s">
        <v>135</v>
      </c>
      <c r="K24" t="s">
        <v>135</v>
      </c>
      <c r="L24" t="s">
        <v>135</v>
      </c>
      <c r="M24" t="s">
        <v>135</v>
      </c>
      <c r="N24" t="s">
        <v>135</v>
      </c>
      <c r="O24" t="s">
        <v>135</v>
      </c>
      <c r="P24" t="s">
        <v>135</v>
      </c>
      <c r="Q24" t="s">
        <v>135</v>
      </c>
      <c r="R24" t="s">
        <v>135</v>
      </c>
      <c r="S24" t="s">
        <v>135</v>
      </c>
      <c r="T24" t="s">
        <v>135</v>
      </c>
      <c r="U24" t="s">
        <v>135</v>
      </c>
      <c r="V24" t="s">
        <v>135</v>
      </c>
      <c r="W24" t="s">
        <v>135</v>
      </c>
      <c r="X24" t="s">
        <v>135</v>
      </c>
      <c r="Y24" t="s">
        <v>135</v>
      </c>
      <c r="Z24" t="s">
        <v>135</v>
      </c>
      <c r="AA24" t="s">
        <v>135</v>
      </c>
      <c r="AB24" t="s">
        <v>135</v>
      </c>
      <c r="AC24" t="s">
        <v>135</v>
      </c>
      <c r="AD24" t="s">
        <v>135</v>
      </c>
      <c r="AE24" t="s">
        <v>135</v>
      </c>
      <c r="AF24" t="s">
        <v>135</v>
      </c>
      <c r="AG24" t="s">
        <v>135</v>
      </c>
      <c r="AH24" t="s">
        <v>135</v>
      </c>
      <c r="AI24" t="s">
        <v>135</v>
      </c>
      <c r="AJ24" t="s">
        <v>135</v>
      </c>
      <c r="AK24" t="s">
        <v>135</v>
      </c>
      <c r="AL24" t="s">
        <v>135</v>
      </c>
      <c r="AM24" t="s">
        <v>135</v>
      </c>
      <c r="AN24" t="s">
        <v>135</v>
      </c>
      <c r="AO24" t="s">
        <v>135</v>
      </c>
      <c r="AP24" t="s">
        <v>135</v>
      </c>
      <c r="AQ24" t="s">
        <v>135</v>
      </c>
      <c r="AR24" t="s">
        <v>135</v>
      </c>
      <c r="AS24" t="s">
        <v>135</v>
      </c>
      <c r="AT24" t="s">
        <v>135</v>
      </c>
      <c r="AU24" t="s">
        <v>135</v>
      </c>
      <c r="AV24" t="s">
        <v>135</v>
      </c>
      <c r="AW24" t="s">
        <v>135</v>
      </c>
      <c r="AX24" t="s">
        <v>135</v>
      </c>
      <c r="AY24" t="s">
        <v>135</v>
      </c>
      <c r="AZ24" t="s">
        <v>135</v>
      </c>
      <c r="BA24" t="s">
        <v>135</v>
      </c>
      <c r="BB24" t="s">
        <v>135</v>
      </c>
      <c r="BC24" t="s">
        <v>135</v>
      </c>
      <c r="BD24" t="s">
        <v>135</v>
      </c>
      <c r="BE24" t="s">
        <v>135</v>
      </c>
      <c r="BF24" t="s">
        <v>135</v>
      </c>
      <c r="BG24" t="s">
        <v>135</v>
      </c>
      <c r="BH24" t="s">
        <v>135</v>
      </c>
      <c r="BI24" t="s">
        <v>135</v>
      </c>
      <c r="BJ24" t="s">
        <v>135</v>
      </c>
      <c r="BK24" t="s">
        <v>135</v>
      </c>
      <c r="BL24" t="s">
        <v>135</v>
      </c>
      <c r="BM24" t="s">
        <v>135</v>
      </c>
      <c r="BN24" t="s">
        <v>135</v>
      </c>
      <c r="BO24" t="s">
        <v>135</v>
      </c>
      <c r="BP24" t="s">
        <v>135</v>
      </c>
      <c r="BQ24" t="s">
        <v>135</v>
      </c>
      <c r="BR24" t="s">
        <v>135</v>
      </c>
      <c r="BS24" t="s">
        <v>135</v>
      </c>
      <c r="BT24" t="s">
        <v>135</v>
      </c>
      <c r="BU24" t="s">
        <v>135</v>
      </c>
      <c r="BV24" t="s">
        <v>135</v>
      </c>
      <c r="BW24" t="s">
        <v>135</v>
      </c>
      <c r="BX24" t="s">
        <v>135</v>
      </c>
      <c r="BY24" t="s">
        <v>135</v>
      </c>
      <c r="BZ24" t="s">
        <v>135</v>
      </c>
      <c r="CA24" t="s">
        <v>135</v>
      </c>
      <c r="CB24" t="s">
        <v>135</v>
      </c>
      <c r="CC24" t="s">
        <v>135</v>
      </c>
      <c r="CD24" t="s">
        <v>135</v>
      </c>
      <c r="CE24" t="s">
        <v>135</v>
      </c>
      <c r="CF24" t="s">
        <v>135</v>
      </c>
      <c r="CG24" t="s">
        <v>135</v>
      </c>
      <c r="CH24" t="s">
        <v>135</v>
      </c>
      <c r="CI24" t="s">
        <v>135</v>
      </c>
      <c r="CJ24" t="s">
        <v>135</v>
      </c>
      <c r="CK24" t="s">
        <v>135</v>
      </c>
      <c r="CL24" t="s">
        <v>135</v>
      </c>
      <c r="CM24" t="s">
        <v>135</v>
      </c>
      <c r="CN24" t="s">
        <v>135</v>
      </c>
      <c r="CO24" t="s">
        <v>135</v>
      </c>
      <c r="CP24" t="s">
        <v>135</v>
      </c>
      <c r="CQ24" t="s">
        <v>135</v>
      </c>
      <c r="CR24" t="s">
        <v>135</v>
      </c>
      <c r="CS24" t="s">
        <v>135</v>
      </c>
      <c r="CT24" t="s">
        <v>135</v>
      </c>
      <c r="CU24" t="s">
        <v>135</v>
      </c>
      <c r="CV24" t="s">
        <v>135</v>
      </c>
      <c r="CW24" t="s">
        <v>135</v>
      </c>
      <c r="CX24" t="s">
        <v>135</v>
      </c>
      <c r="CY24" t="s">
        <v>135</v>
      </c>
      <c r="CZ24" t="s">
        <v>135</v>
      </c>
      <c r="DA24" t="s">
        <v>135</v>
      </c>
      <c r="DB24" t="s">
        <v>135</v>
      </c>
      <c r="DC24" t="s">
        <v>135</v>
      </c>
      <c r="DD24" t="s">
        <v>135</v>
      </c>
      <c r="DE24" t="s">
        <v>135</v>
      </c>
      <c r="DF24" t="s">
        <v>135</v>
      </c>
      <c r="DG24" t="s">
        <v>135</v>
      </c>
      <c r="DH24" t="s">
        <v>135</v>
      </c>
      <c r="DI24" t="s">
        <v>135</v>
      </c>
    </row>
    <row r="25" spans="1:113" x14ac:dyDescent="0.3">
      <c r="E25" t="s">
        <v>79</v>
      </c>
      <c r="F25" t="s">
        <v>135</v>
      </c>
      <c r="G25" t="s">
        <v>135</v>
      </c>
      <c r="H25" t="s">
        <v>135</v>
      </c>
      <c r="I25" t="s">
        <v>135</v>
      </c>
      <c r="J25" t="s">
        <v>135</v>
      </c>
      <c r="K25" t="s">
        <v>135</v>
      </c>
      <c r="L25" t="s">
        <v>135</v>
      </c>
      <c r="M25" t="s">
        <v>135</v>
      </c>
      <c r="N25" t="s">
        <v>135</v>
      </c>
      <c r="O25" t="s">
        <v>135</v>
      </c>
      <c r="P25" t="s">
        <v>135</v>
      </c>
      <c r="Q25" t="s">
        <v>135</v>
      </c>
      <c r="R25" t="s">
        <v>135</v>
      </c>
      <c r="S25" t="s">
        <v>135</v>
      </c>
      <c r="T25" t="s">
        <v>135</v>
      </c>
      <c r="U25" t="s">
        <v>135</v>
      </c>
      <c r="V25" t="s">
        <v>135</v>
      </c>
      <c r="W25" t="s">
        <v>135</v>
      </c>
      <c r="X25" t="s">
        <v>135</v>
      </c>
      <c r="Y25" t="s">
        <v>135</v>
      </c>
      <c r="Z25" t="s">
        <v>135</v>
      </c>
      <c r="AA25" t="s">
        <v>135</v>
      </c>
      <c r="AB25" t="s">
        <v>135</v>
      </c>
      <c r="AC25" t="s">
        <v>135</v>
      </c>
      <c r="AD25" t="s">
        <v>135</v>
      </c>
      <c r="AE25" t="s">
        <v>135</v>
      </c>
      <c r="AF25" t="s">
        <v>135</v>
      </c>
      <c r="AG25" t="s">
        <v>135</v>
      </c>
      <c r="AH25" t="s">
        <v>135</v>
      </c>
      <c r="AI25" t="s">
        <v>135</v>
      </c>
      <c r="AJ25" t="s">
        <v>135</v>
      </c>
      <c r="AK25" t="s">
        <v>135</v>
      </c>
      <c r="AL25" t="s">
        <v>135</v>
      </c>
      <c r="AM25" t="s">
        <v>135</v>
      </c>
      <c r="AN25" t="s">
        <v>135</v>
      </c>
      <c r="AO25" t="s">
        <v>135</v>
      </c>
      <c r="AP25" t="s">
        <v>135</v>
      </c>
      <c r="AQ25" t="s">
        <v>135</v>
      </c>
      <c r="AR25" t="s">
        <v>135</v>
      </c>
      <c r="AS25" t="s">
        <v>135</v>
      </c>
      <c r="AT25" t="s">
        <v>135</v>
      </c>
      <c r="AU25" t="s">
        <v>135</v>
      </c>
      <c r="AV25" t="s">
        <v>135</v>
      </c>
      <c r="AW25" t="s">
        <v>135</v>
      </c>
      <c r="AX25" t="s">
        <v>135</v>
      </c>
      <c r="AY25" t="s">
        <v>135</v>
      </c>
      <c r="AZ25" t="s">
        <v>135</v>
      </c>
      <c r="BA25" t="s">
        <v>135</v>
      </c>
      <c r="BB25" t="s">
        <v>135</v>
      </c>
      <c r="BC25" t="s">
        <v>135</v>
      </c>
      <c r="BD25" t="s">
        <v>135</v>
      </c>
      <c r="BE25" t="s">
        <v>135</v>
      </c>
      <c r="BF25" t="s">
        <v>135</v>
      </c>
      <c r="BG25" t="s">
        <v>135</v>
      </c>
      <c r="BH25" t="s">
        <v>135</v>
      </c>
      <c r="BI25" t="s">
        <v>135</v>
      </c>
      <c r="BJ25" t="s">
        <v>135</v>
      </c>
      <c r="BK25" t="s">
        <v>135</v>
      </c>
      <c r="BL25" t="s">
        <v>135</v>
      </c>
      <c r="BM25" t="s">
        <v>135</v>
      </c>
      <c r="BN25" t="s">
        <v>135</v>
      </c>
      <c r="BO25" t="s">
        <v>135</v>
      </c>
      <c r="BP25" t="s">
        <v>135</v>
      </c>
      <c r="BQ25" t="s">
        <v>135</v>
      </c>
      <c r="BR25" t="s">
        <v>135</v>
      </c>
      <c r="BS25" t="s">
        <v>135</v>
      </c>
      <c r="BT25" t="s">
        <v>135</v>
      </c>
      <c r="BU25" t="s">
        <v>135</v>
      </c>
      <c r="BV25" t="s">
        <v>135</v>
      </c>
      <c r="BW25" t="s">
        <v>135</v>
      </c>
      <c r="BX25" t="s">
        <v>135</v>
      </c>
      <c r="BY25" t="s">
        <v>135</v>
      </c>
      <c r="BZ25" t="s">
        <v>135</v>
      </c>
      <c r="CA25" t="s">
        <v>135</v>
      </c>
      <c r="CB25" t="s">
        <v>135</v>
      </c>
      <c r="CC25" t="s">
        <v>135</v>
      </c>
      <c r="CD25" t="s">
        <v>135</v>
      </c>
      <c r="CE25" t="s">
        <v>135</v>
      </c>
      <c r="CF25" t="s">
        <v>135</v>
      </c>
      <c r="CG25" t="s">
        <v>135</v>
      </c>
      <c r="CH25" t="s">
        <v>135</v>
      </c>
      <c r="CI25" t="s">
        <v>135</v>
      </c>
      <c r="CJ25" t="s">
        <v>135</v>
      </c>
      <c r="CK25" t="s">
        <v>135</v>
      </c>
      <c r="CL25" t="s">
        <v>135</v>
      </c>
      <c r="CM25" t="s">
        <v>135</v>
      </c>
      <c r="CN25" t="s">
        <v>135</v>
      </c>
      <c r="CO25" t="s">
        <v>135</v>
      </c>
      <c r="CP25" t="s">
        <v>135</v>
      </c>
      <c r="CQ25" t="s">
        <v>135</v>
      </c>
      <c r="CR25" t="s">
        <v>135</v>
      </c>
      <c r="CS25" t="s">
        <v>135</v>
      </c>
      <c r="CT25" t="s">
        <v>135</v>
      </c>
      <c r="CU25" t="s">
        <v>135</v>
      </c>
      <c r="CV25" t="s">
        <v>135</v>
      </c>
      <c r="CW25" t="s">
        <v>135</v>
      </c>
      <c r="CX25" t="s">
        <v>135</v>
      </c>
      <c r="CY25" t="s">
        <v>135</v>
      </c>
      <c r="CZ25" t="s">
        <v>135</v>
      </c>
      <c r="DA25" t="s">
        <v>135</v>
      </c>
      <c r="DB25" t="s">
        <v>135</v>
      </c>
      <c r="DC25" t="s">
        <v>135</v>
      </c>
      <c r="DD25" t="s">
        <v>135</v>
      </c>
      <c r="DE25" t="s">
        <v>135</v>
      </c>
      <c r="DF25" t="s">
        <v>135</v>
      </c>
      <c r="DG25" t="s">
        <v>135</v>
      </c>
      <c r="DH25" t="s">
        <v>135</v>
      </c>
      <c r="DI25" t="s">
        <v>135</v>
      </c>
    </row>
    <row r="26" spans="1:113" x14ac:dyDescent="0.3">
      <c r="E26" t="s">
        <v>80</v>
      </c>
      <c r="F26" t="s">
        <v>135</v>
      </c>
      <c r="G26" t="s">
        <v>135</v>
      </c>
      <c r="H26" t="s">
        <v>135</v>
      </c>
      <c r="I26" t="s">
        <v>135</v>
      </c>
      <c r="J26" t="s">
        <v>135</v>
      </c>
      <c r="K26" t="s">
        <v>135</v>
      </c>
      <c r="L26" t="s">
        <v>135</v>
      </c>
      <c r="M26" t="s">
        <v>135</v>
      </c>
      <c r="N26" t="s">
        <v>135</v>
      </c>
      <c r="O26" t="s">
        <v>135</v>
      </c>
      <c r="P26" t="s">
        <v>135</v>
      </c>
      <c r="Q26" t="s">
        <v>135</v>
      </c>
      <c r="R26" t="s">
        <v>135</v>
      </c>
      <c r="S26" t="s">
        <v>135</v>
      </c>
      <c r="T26" t="s">
        <v>135</v>
      </c>
      <c r="U26" t="s">
        <v>135</v>
      </c>
      <c r="V26" t="s">
        <v>135</v>
      </c>
      <c r="W26" t="s">
        <v>135</v>
      </c>
      <c r="X26" t="s">
        <v>135</v>
      </c>
      <c r="Y26" t="s">
        <v>135</v>
      </c>
      <c r="Z26" t="s">
        <v>135</v>
      </c>
      <c r="AA26" t="s">
        <v>135</v>
      </c>
      <c r="AB26" t="s">
        <v>135</v>
      </c>
      <c r="AC26" t="s">
        <v>135</v>
      </c>
      <c r="AD26" t="s">
        <v>135</v>
      </c>
      <c r="AE26" t="s">
        <v>135</v>
      </c>
      <c r="AF26" t="s">
        <v>135</v>
      </c>
      <c r="AG26" t="s">
        <v>135</v>
      </c>
      <c r="AH26" t="s">
        <v>135</v>
      </c>
      <c r="AI26" t="s">
        <v>135</v>
      </c>
      <c r="AJ26" t="s">
        <v>135</v>
      </c>
      <c r="AK26" t="s">
        <v>135</v>
      </c>
      <c r="AL26" t="s">
        <v>135</v>
      </c>
      <c r="AM26" t="s">
        <v>135</v>
      </c>
      <c r="AN26" t="s">
        <v>135</v>
      </c>
      <c r="AO26" t="s">
        <v>135</v>
      </c>
      <c r="AP26" t="s">
        <v>135</v>
      </c>
      <c r="AQ26" t="s">
        <v>135</v>
      </c>
      <c r="AR26" t="s">
        <v>135</v>
      </c>
      <c r="AS26" t="s">
        <v>135</v>
      </c>
      <c r="AT26" t="s">
        <v>135</v>
      </c>
      <c r="AU26" t="s">
        <v>135</v>
      </c>
      <c r="AV26" t="s">
        <v>135</v>
      </c>
      <c r="AW26" t="s">
        <v>135</v>
      </c>
      <c r="AX26" t="s">
        <v>135</v>
      </c>
      <c r="AY26" t="s">
        <v>135</v>
      </c>
      <c r="AZ26" t="s">
        <v>135</v>
      </c>
      <c r="BA26" t="s">
        <v>135</v>
      </c>
      <c r="BB26" t="s">
        <v>135</v>
      </c>
      <c r="BC26" t="s">
        <v>135</v>
      </c>
      <c r="BD26" t="s">
        <v>135</v>
      </c>
      <c r="BE26" t="s">
        <v>135</v>
      </c>
      <c r="BF26" t="s">
        <v>135</v>
      </c>
      <c r="BG26" t="s">
        <v>135</v>
      </c>
      <c r="BH26" t="s">
        <v>135</v>
      </c>
      <c r="BI26" t="s">
        <v>135</v>
      </c>
      <c r="BJ26" t="s">
        <v>135</v>
      </c>
      <c r="BK26" t="s">
        <v>135</v>
      </c>
      <c r="BL26" t="s">
        <v>135</v>
      </c>
      <c r="BM26" t="s">
        <v>135</v>
      </c>
      <c r="BN26" t="s">
        <v>135</v>
      </c>
      <c r="BO26" t="s">
        <v>135</v>
      </c>
      <c r="BP26" t="s">
        <v>135</v>
      </c>
      <c r="BQ26" t="s">
        <v>135</v>
      </c>
      <c r="BR26" t="s">
        <v>135</v>
      </c>
      <c r="BS26" t="s">
        <v>135</v>
      </c>
      <c r="BT26" t="s">
        <v>135</v>
      </c>
      <c r="BU26" t="s">
        <v>135</v>
      </c>
      <c r="BV26" t="s">
        <v>135</v>
      </c>
      <c r="BW26" t="s">
        <v>135</v>
      </c>
      <c r="BX26" t="s">
        <v>135</v>
      </c>
      <c r="BY26" t="s">
        <v>135</v>
      </c>
      <c r="BZ26" t="s">
        <v>135</v>
      </c>
      <c r="CA26" t="s">
        <v>135</v>
      </c>
      <c r="CB26" t="s">
        <v>135</v>
      </c>
      <c r="CC26" t="s">
        <v>135</v>
      </c>
      <c r="CD26" t="s">
        <v>135</v>
      </c>
      <c r="CE26" t="s">
        <v>135</v>
      </c>
      <c r="CF26" t="s">
        <v>135</v>
      </c>
      <c r="CG26" t="s">
        <v>135</v>
      </c>
      <c r="CH26" t="s">
        <v>135</v>
      </c>
      <c r="CI26" t="s">
        <v>135</v>
      </c>
      <c r="CJ26" t="s">
        <v>135</v>
      </c>
      <c r="CK26" t="s">
        <v>135</v>
      </c>
      <c r="CL26" t="s">
        <v>135</v>
      </c>
      <c r="CM26" t="s">
        <v>135</v>
      </c>
      <c r="CN26" t="s">
        <v>135</v>
      </c>
      <c r="CO26" t="s">
        <v>135</v>
      </c>
      <c r="CP26" t="s">
        <v>135</v>
      </c>
      <c r="CQ26" t="s">
        <v>135</v>
      </c>
      <c r="CR26" t="s">
        <v>135</v>
      </c>
      <c r="CS26" t="s">
        <v>135</v>
      </c>
      <c r="CT26" t="s">
        <v>135</v>
      </c>
      <c r="CU26" t="s">
        <v>135</v>
      </c>
      <c r="CV26" t="s">
        <v>135</v>
      </c>
      <c r="CW26" t="s">
        <v>135</v>
      </c>
      <c r="CX26" t="s">
        <v>135</v>
      </c>
      <c r="CY26" t="s">
        <v>135</v>
      </c>
      <c r="CZ26" t="s">
        <v>135</v>
      </c>
      <c r="DA26" t="s">
        <v>135</v>
      </c>
      <c r="DB26" t="s">
        <v>135</v>
      </c>
      <c r="DC26" t="s">
        <v>135</v>
      </c>
      <c r="DD26" t="s">
        <v>135</v>
      </c>
      <c r="DE26" t="s">
        <v>135</v>
      </c>
      <c r="DF26" t="s">
        <v>135</v>
      </c>
      <c r="DG26" t="s">
        <v>135</v>
      </c>
      <c r="DH26" t="s">
        <v>135</v>
      </c>
      <c r="DI26" t="s">
        <v>135</v>
      </c>
    </row>
    <row r="27" spans="1:113" x14ac:dyDescent="0.3">
      <c r="E27" t="s">
        <v>81</v>
      </c>
      <c r="F27" t="s">
        <v>135</v>
      </c>
      <c r="G27" t="s">
        <v>135</v>
      </c>
      <c r="H27" t="s">
        <v>135</v>
      </c>
      <c r="I27" t="s">
        <v>135</v>
      </c>
      <c r="J27" t="s">
        <v>135</v>
      </c>
      <c r="K27" t="s">
        <v>135</v>
      </c>
      <c r="L27" t="s">
        <v>135</v>
      </c>
      <c r="M27" t="s">
        <v>135</v>
      </c>
      <c r="N27" t="s">
        <v>135</v>
      </c>
      <c r="O27" t="s">
        <v>135</v>
      </c>
      <c r="P27" t="s">
        <v>135</v>
      </c>
      <c r="Q27" t="s">
        <v>135</v>
      </c>
      <c r="R27" t="s">
        <v>135</v>
      </c>
      <c r="S27" t="s">
        <v>135</v>
      </c>
      <c r="T27" t="s">
        <v>135</v>
      </c>
      <c r="U27" t="s">
        <v>135</v>
      </c>
      <c r="V27" t="s">
        <v>135</v>
      </c>
      <c r="W27" t="s">
        <v>135</v>
      </c>
      <c r="X27" t="s">
        <v>135</v>
      </c>
      <c r="Y27" t="s">
        <v>135</v>
      </c>
      <c r="Z27" t="s">
        <v>135</v>
      </c>
      <c r="AA27" t="s">
        <v>135</v>
      </c>
      <c r="AB27" t="s">
        <v>135</v>
      </c>
      <c r="AC27" t="s">
        <v>135</v>
      </c>
      <c r="AD27" t="s">
        <v>135</v>
      </c>
      <c r="AE27" t="s">
        <v>135</v>
      </c>
      <c r="AF27" t="s">
        <v>135</v>
      </c>
      <c r="AG27" t="s">
        <v>135</v>
      </c>
      <c r="AH27" t="s">
        <v>135</v>
      </c>
      <c r="AI27" t="s">
        <v>135</v>
      </c>
      <c r="AJ27" t="s">
        <v>135</v>
      </c>
      <c r="AK27" t="s">
        <v>135</v>
      </c>
      <c r="AL27" t="s">
        <v>135</v>
      </c>
      <c r="AM27" t="s">
        <v>135</v>
      </c>
      <c r="AN27" t="s">
        <v>135</v>
      </c>
      <c r="AO27" t="s">
        <v>135</v>
      </c>
      <c r="AP27" t="s">
        <v>135</v>
      </c>
      <c r="AQ27" t="s">
        <v>135</v>
      </c>
      <c r="AR27" t="s">
        <v>135</v>
      </c>
      <c r="AS27" t="s">
        <v>135</v>
      </c>
      <c r="AT27" t="s">
        <v>135</v>
      </c>
      <c r="AU27" t="s">
        <v>135</v>
      </c>
      <c r="AV27" t="s">
        <v>135</v>
      </c>
      <c r="AW27" t="s">
        <v>135</v>
      </c>
      <c r="AX27" t="s">
        <v>135</v>
      </c>
      <c r="AY27" t="s">
        <v>135</v>
      </c>
      <c r="AZ27" t="s">
        <v>135</v>
      </c>
      <c r="BA27" t="s">
        <v>135</v>
      </c>
      <c r="BB27" t="s">
        <v>135</v>
      </c>
      <c r="BC27" t="s">
        <v>135</v>
      </c>
      <c r="BD27" t="s">
        <v>135</v>
      </c>
      <c r="BE27" t="s">
        <v>135</v>
      </c>
      <c r="BF27" t="s">
        <v>135</v>
      </c>
      <c r="BG27" t="s">
        <v>135</v>
      </c>
      <c r="BH27" t="s">
        <v>135</v>
      </c>
      <c r="BI27" t="s">
        <v>135</v>
      </c>
      <c r="BJ27" t="s">
        <v>135</v>
      </c>
      <c r="BK27" t="s">
        <v>135</v>
      </c>
      <c r="BL27" t="s">
        <v>135</v>
      </c>
      <c r="BM27" t="s">
        <v>135</v>
      </c>
      <c r="BN27" t="s">
        <v>135</v>
      </c>
      <c r="BO27" t="s">
        <v>135</v>
      </c>
      <c r="BP27" t="s">
        <v>135</v>
      </c>
      <c r="BQ27" t="s">
        <v>135</v>
      </c>
      <c r="BR27" t="s">
        <v>135</v>
      </c>
      <c r="BS27" t="s">
        <v>135</v>
      </c>
      <c r="BT27" t="s">
        <v>135</v>
      </c>
      <c r="BU27" t="s">
        <v>135</v>
      </c>
      <c r="BV27" t="s">
        <v>135</v>
      </c>
      <c r="BW27" t="s">
        <v>135</v>
      </c>
      <c r="BX27" t="s">
        <v>135</v>
      </c>
      <c r="BY27" t="s">
        <v>135</v>
      </c>
      <c r="BZ27" t="s">
        <v>135</v>
      </c>
      <c r="CA27" t="s">
        <v>135</v>
      </c>
      <c r="CB27" t="s">
        <v>135</v>
      </c>
      <c r="CC27" t="s">
        <v>135</v>
      </c>
      <c r="CD27" t="s">
        <v>135</v>
      </c>
      <c r="CE27" t="s">
        <v>135</v>
      </c>
      <c r="CF27" t="s">
        <v>135</v>
      </c>
      <c r="CG27" t="s">
        <v>135</v>
      </c>
      <c r="CH27" t="s">
        <v>135</v>
      </c>
      <c r="CI27" t="s">
        <v>135</v>
      </c>
      <c r="CJ27" t="s">
        <v>135</v>
      </c>
      <c r="CK27" t="s">
        <v>135</v>
      </c>
      <c r="CL27" t="s">
        <v>135</v>
      </c>
      <c r="CM27" t="s">
        <v>135</v>
      </c>
      <c r="CN27" t="s">
        <v>135</v>
      </c>
      <c r="CO27" t="s">
        <v>135</v>
      </c>
      <c r="CP27" t="s">
        <v>135</v>
      </c>
      <c r="CQ27" t="s">
        <v>135</v>
      </c>
      <c r="CR27" t="s">
        <v>135</v>
      </c>
      <c r="CS27" t="s">
        <v>135</v>
      </c>
      <c r="CT27" t="s">
        <v>135</v>
      </c>
      <c r="CU27" t="s">
        <v>135</v>
      </c>
      <c r="CV27" t="s">
        <v>135</v>
      </c>
      <c r="CW27" t="s">
        <v>135</v>
      </c>
      <c r="CX27" t="s">
        <v>135</v>
      </c>
      <c r="CY27" t="s">
        <v>135</v>
      </c>
      <c r="CZ27" t="s">
        <v>135</v>
      </c>
      <c r="DA27" t="s">
        <v>135</v>
      </c>
      <c r="DB27" t="s">
        <v>135</v>
      </c>
      <c r="DC27" t="s">
        <v>135</v>
      </c>
      <c r="DD27" t="s">
        <v>135</v>
      </c>
      <c r="DE27" t="s">
        <v>135</v>
      </c>
      <c r="DF27" t="s">
        <v>135</v>
      </c>
      <c r="DG27" t="s">
        <v>135</v>
      </c>
      <c r="DH27" t="s">
        <v>135</v>
      </c>
      <c r="DI27" t="s">
        <v>135</v>
      </c>
    </row>
    <row r="28" spans="1:113" x14ac:dyDescent="0.3">
      <c r="A28">
        <v>77</v>
      </c>
      <c r="B28" t="s">
        <v>86</v>
      </c>
      <c r="C28" t="s">
        <v>87</v>
      </c>
      <c r="D28" t="s">
        <v>76</v>
      </c>
      <c r="E28" t="s">
        <v>77</v>
      </c>
      <c r="F28">
        <v>33.405200000000001</v>
      </c>
      <c r="G28">
        <v>21.907299999999999</v>
      </c>
      <c r="H28">
        <v>33.796399999999998</v>
      </c>
      <c r="I28">
        <v>28.1191</v>
      </c>
      <c r="J28">
        <v>20.549499999999998</v>
      </c>
      <c r="K28">
        <v>18.831099999999999</v>
      </c>
      <c r="L28">
        <v>45.885100000000001</v>
      </c>
      <c r="M28">
        <v>22.485299999999999</v>
      </c>
      <c r="N28">
        <v>14.752800000000001</v>
      </c>
      <c r="O28">
        <v>14.752800000000001</v>
      </c>
      <c r="P28">
        <v>14.752800000000001</v>
      </c>
      <c r="Q28">
        <v>34.389099999999999</v>
      </c>
      <c r="R28">
        <v>29.557600000000001</v>
      </c>
      <c r="S28">
        <v>23.531400000000001</v>
      </c>
      <c r="T28">
        <v>21.505600000000001</v>
      </c>
      <c r="U28">
        <v>67.899900000000002</v>
      </c>
      <c r="V28">
        <v>75.831199999999995</v>
      </c>
      <c r="W28">
        <v>48.6173</v>
      </c>
      <c r="X28">
        <v>48.602499999999999</v>
      </c>
      <c r="Y28">
        <v>10</v>
      </c>
      <c r="Z28">
        <v>6.4053000000000004</v>
      </c>
      <c r="AA28">
        <v>-0.3196</v>
      </c>
      <c r="AB28">
        <v>31.849599999999999</v>
      </c>
      <c r="AC28">
        <v>20.701799999999999</v>
      </c>
      <c r="AD28">
        <v>-449.04050000000001</v>
      </c>
      <c r="AE28">
        <v>27.7422</v>
      </c>
      <c r="AF28">
        <v>12.648</v>
      </c>
      <c r="AG28" t="s">
        <v>135</v>
      </c>
      <c r="AH28" t="s">
        <v>135</v>
      </c>
      <c r="AI28">
        <v>24.534300000000002</v>
      </c>
      <c r="AJ28">
        <v>24.534300000000002</v>
      </c>
      <c r="AK28">
        <v>24.534300000000002</v>
      </c>
      <c r="AL28">
        <v>132.68950000000001</v>
      </c>
      <c r="AM28">
        <v>21.511800000000001</v>
      </c>
      <c r="AN28">
        <v>15.049899999999999</v>
      </c>
      <c r="AO28">
        <v>14.682499999999999</v>
      </c>
      <c r="AP28">
        <v>11.0479</v>
      </c>
      <c r="AQ28">
        <v>11.046200000000001</v>
      </c>
      <c r="AR28">
        <v>4.0949999999999998</v>
      </c>
      <c r="AS28">
        <v>30.756799999999998</v>
      </c>
      <c r="AT28">
        <v>17.032699999999998</v>
      </c>
      <c r="AU28">
        <v>16.582100000000001</v>
      </c>
      <c r="AV28">
        <v>18.270900000000001</v>
      </c>
      <c r="AW28" t="s">
        <v>135</v>
      </c>
      <c r="AX28">
        <v>12.0717</v>
      </c>
      <c r="AY28" t="s">
        <v>135</v>
      </c>
      <c r="AZ28" t="s">
        <v>135</v>
      </c>
      <c r="BA28" t="s">
        <v>135</v>
      </c>
      <c r="BB28">
        <v>17.910599999999999</v>
      </c>
      <c r="BC28">
        <v>17.910599999999999</v>
      </c>
      <c r="BD28">
        <v>17.910599999999999</v>
      </c>
      <c r="BE28">
        <v>15.863899999999999</v>
      </c>
      <c r="BF28">
        <v>21.505600000000001</v>
      </c>
      <c r="BG28">
        <v>67.899900000000002</v>
      </c>
      <c r="BH28">
        <v>75.831199999999995</v>
      </c>
      <c r="BI28">
        <v>48.6173</v>
      </c>
      <c r="BJ28">
        <v>48.602499999999999</v>
      </c>
      <c r="BK28">
        <v>10</v>
      </c>
      <c r="BL28">
        <v>6.4053000000000004</v>
      </c>
      <c r="BM28">
        <v>-0.3196</v>
      </c>
      <c r="BN28">
        <v>31.849599999999999</v>
      </c>
      <c r="BO28">
        <v>20.701799999999999</v>
      </c>
      <c r="BP28" t="s">
        <v>135</v>
      </c>
      <c r="BQ28">
        <v>27.7422</v>
      </c>
      <c r="BR28">
        <v>12.648</v>
      </c>
      <c r="BS28" t="s">
        <v>135</v>
      </c>
      <c r="BT28" t="s">
        <v>135</v>
      </c>
      <c r="BU28">
        <v>24.534300000000002</v>
      </c>
      <c r="BV28">
        <v>24.534300000000002</v>
      </c>
      <c r="BW28">
        <v>24.534300000000002</v>
      </c>
      <c r="BX28">
        <v>132.68950000000001</v>
      </c>
      <c r="BY28">
        <v>0</v>
      </c>
      <c r="BZ28">
        <v>0</v>
      </c>
      <c r="CA28">
        <v>0</v>
      </c>
      <c r="CB28">
        <v>0</v>
      </c>
      <c r="CC28">
        <v>-0.63619999999999999</v>
      </c>
      <c r="CD28">
        <v>0</v>
      </c>
      <c r="CE28">
        <v>-0.69430000000000003</v>
      </c>
      <c r="CF28">
        <v>78.0501</v>
      </c>
      <c r="CG28">
        <v>66.507999999999996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-26.688600000000001</v>
      </c>
      <c r="CO28">
        <v>-36.404400000000003</v>
      </c>
      <c r="CP28">
        <v>4206.8999999999996</v>
      </c>
      <c r="CQ28">
        <v>2735.9</v>
      </c>
      <c r="CR28">
        <v>3855.1</v>
      </c>
      <c r="CS28">
        <v>0.53310000000000002</v>
      </c>
      <c r="CT28">
        <v>2.0164</v>
      </c>
      <c r="CU28">
        <v>0.70450000000000002</v>
      </c>
      <c r="CV28">
        <v>19.633099999999999</v>
      </c>
      <c r="CW28">
        <v>24.5291</v>
      </c>
      <c r="CX28">
        <v>14.8803</v>
      </c>
      <c r="CY28">
        <v>6.8056999999999999</v>
      </c>
      <c r="CZ28">
        <v>53.6312</v>
      </c>
      <c r="DA28">
        <v>3.7147000000000001</v>
      </c>
      <c r="DB28">
        <v>98.259299999999996</v>
      </c>
      <c r="DC28">
        <v>-29.747900000000001</v>
      </c>
      <c r="DD28">
        <v>68.511399999999995</v>
      </c>
      <c r="DE28">
        <v>1185.2</v>
      </c>
      <c r="DF28">
        <v>193.8</v>
      </c>
      <c r="DG28">
        <v>23.8</v>
      </c>
      <c r="DH28">
        <v>601.6</v>
      </c>
      <c r="DI28">
        <v>366</v>
      </c>
    </row>
    <row r="29" spans="1:113" x14ac:dyDescent="0.3">
      <c r="E29" t="s">
        <v>78</v>
      </c>
      <c r="F29" t="s">
        <v>135</v>
      </c>
      <c r="G29" t="s">
        <v>135</v>
      </c>
      <c r="H29" t="s">
        <v>135</v>
      </c>
      <c r="I29" t="s">
        <v>135</v>
      </c>
      <c r="J29">
        <v>14.9122</v>
      </c>
      <c r="K29">
        <v>13.242000000000001</v>
      </c>
      <c r="L29">
        <v>25.604900000000001</v>
      </c>
      <c r="M29">
        <v>17.6296</v>
      </c>
      <c r="N29">
        <v>11.119199999999999</v>
      </c>
      <c r="O29">
        <v>11.119199999999999</v>
      </c>
      <c r="P29">
        <v>11.119199999999999</v>
      </c>
      <c r="Q29">
        <v>36.928699999999999</v>
      </c>
      <c r="R29" t="s">
        <v>135</v>
      </c>
      <c r="S29" t="s">
        <v>135</v>
      </c>
      <c r="T29">
        <v>31.414000000000001</v>
      </c>
      <c r="U29">
        <v>71.521900000000002</v>
      </c>
      <c r="V29">
        <v>85.950400000000002</v>
      </c>
      <c r="W29">
        <v>21.029399999999999</v>
      </c>
      <c r="X29">
        <v>21.0349</v>
      </c>
      <c r="Y29" t="s">
        <v>135</v>
      </c>
      <c r="Z29" t="s">
        <v>135</v>
      </c>
      <c r="AA29" t="s">
        <v>135</v>
      </c>
      <c r="AB29" t="s">
        <v>135</v>
      </c>
      <c r="AC29" t="s">
        <v>135</v>
      </c>
      <c r="AD29" t="s">
        <v>135</v>
      </c>
      <c r="AE29" t="s">
        <v>135</v>
      </c>
      <c r="AF29" t="s">
        <v>135</v>
      </c>
      <c r="AG29" t="s">
        <v>135</v>
      </c>
      <c r="AH29" t="s">
        <v>135</v>
      </c>
      <c r="AI29" t="s">
        <v>135</v>
      </c>
      <c r="AJ29" t="s">
        <v>135</v>
      </c>
      <c r="AK29" t="s">
        <v>135</v>
      </c>
      <c r="AL29" t="s">
        <v>135</v>
      </c>
      <c r="AM29">
        <v>21.145299999999999</v>
      </c>
      <c r="AN29">
        <v>2.7498</v>
      </c>
      <c r="AO29">
        <v>1.3660999999999999</v>
      </c>
      <c r="AP29">
        <v>2.1922000000000001</v>
      </c>
      <c r="AQ29">
        <v>2.1932</v>
      </c>
      <c r="AR29" t="s">
        <v>135</v>
      </c>
      <c r="AS29" t="s">
        <v>135</v>
      </c>
      <c r="AT29" t="s">
        <v>135</v>
      </c>
      <c r="AU29" t="s">
        <v>135</v>
      </c>
      <c r="AV29" t="s">
        <v>135</v>
      </c>
      <c r="AW29" t="s">
        <v>135</v>
      </c>
      <c r="AX29" t="s">
        <v>135</v>
      </c>
      <c r="AY29" t="s">
        <v>135</v>
      </c>
      <c r="AZ29" t="s">
        <v>135</v>
      </c>
      <c r="BA29" t="s">
        <v>135</v>
      </c>
      <c r="BB29" t="s">
        <v>135</v>
      </c>
      <c r="BC29" t="s">
        <v>135</v>
      </c>
      <c r="BD29" t="s">
        <v>135</v>
      </c>
      <c r="BE29" t="s">
        <v>135</v>
      </c>
      <c r="BF29">
        <v>16.571999999999999</v>
      </c>
      <c r="BG29">
        <v>0.68510000000000004</v>
      </c>
      <c r="BH29">
        <v>2.3048000000000002</v>
      </c>
      <c r="BI29">
        <v>5.6295000000000002</v>
      </c>
      <c r="BJ29">
        <v>5.6319999999999997</v>
      </c>
      <c r="BK29" t="s">
        <v>135</v>
      </c>
      <c r="BL29" t="s">
        <v>135</v>
      </c>
      <c r="BM29" t="s">
        <v>135</v>
      </c>
      <c r="BN29" t="s">
        <v>135</v>
      </c>
      <c r="BO29" t="s">
        <v>135</v>
      </c>
      <c r="BP29" t="s">
        <v>135</v>
      </c>
      <c r="BQ29" t="s">
        <v>135</v>
      </c>
      <c r="BR29" t="s">
        <v>135</v>
      </c>
      <c r="BS29" t="s">
        <v>135</v>
      </c>
      <c r="BT29" t="s">
        <v>135</v>
      </c>
      <c r="BU29" t="s">
        <v>135</v>
      </c>
      <c r="BV29" t="s">
        <v>135</v>
      </c>
      <c r="BW29" t="s">
        <v>135</v>
      </c>
      <c r="BX29" t="s">
        <v>135</v>
      </c>
      <c r="BY29" t="s">
        <v>135</v>
      </c>
      <c r="BZ29" t="s">
        <v>135</v>
      </c>
      <c r="CA29" t="s">
        <v>135</v>
      </c>
      <c r="CB29" t="s">
        <v>135</v>
      </c>
      <c r="CC29" t="s">
        <v>135</v>
      </c>
      <c r="CD29" t="s">
        <v>135</v>
      </c>
      <c r="CE29" t="s">
        <v>135</v>
      </c>
      <c r="CF29">
        <v>3674</v>
      </c>
      <c r="CG29" t="s">
        <v>135</v>
      </c>
      <c r="CH29" t="s">
        <v>135</v>
      </c>
      <c r="CI29" t="s">
        <v>135</v>
      </c>
      <c r="CJ29" t="s">
        <v>135</v>
      </c>
      <c r="CK29" t="s">
        <v>135</v>
      </c>
      <c r="CL29" t="s">
        <v>135</v>
      </c>
      <c r="CM29" t="s">
        <v>135</v>
      </c>
      <c r="CN29" t="s">
        <v>135</v>
      </c>
      <c r="CO29" t="s">
        <v>135</v>
      </c>
      <c r="CP29">
        <v>734.8</v>
      </c>
      <c r="CQ29" t="s">
        <v>135</v>
      </c>
      <c r="CR29">
        <v>652.5</v>
      </c>
      <c r="CS29" t="s">
        <v>135</v>
      </c>
      <c r="CT29" t="s">
        <v>135</v>
      </c>
      <c r="CU29" t="s">
        <v>135</v>
      </c>
      <c r="CV29" t="s">
        <v>135</v>
      </c>
      <c r="CW29" t="s">
        <v>135</v>
      </c>
      <c r="CX29" t="s">
        <v>135</v>
      </c>
      <c r="CY29" t="s">
        <v>135</v>
      </c>
      <c r="CZ29" t="s">
        <v>135</v>
      </c>
      <c r="DA29" t="s">
        <v>135</v>
      </c>
      <c r="DB29" t="s">
        <v>135</v>
      </c>
      <c r="DC29" t="s">
        <v>135</v>
      </c>
      <c r="DD29" t="s">
        <v>135</v>
      </c>
      <c r="DE29" t="s">
        <v>135</v>
      </c>
      <c r="DF29" t="s">
        <v>135</v>
      </c>
      <c r="DG29" t="s">
        <v>135</v>
      </c>
      <c r="DH29" t="s">
        <v>135</v>
      </c>
      <c r="DI29" t="s">
        <v>135</v>
      </c>
    </row>
    <row r="30" spans="1:113" x14ac:dyDescent="0.3">
      <c r="E30" t="s">
        <v>79</v>
      </c>
      <c r="F30">
        <v>27.157800000000002</v>
      </c>
      <c r="G30">
        <v>19.074999999999999</v>
      </c>
      <c r="H30" t="s">
        <v>135</v>
      </c>
      <c r="I30">
        <v>21.565200000000001</v>
      </c>
      <c r="J30">
        <v>16.863199999999999</v>
      </c>
      <c r="K30">
        <v>15.3508</v>
      </c>
      <c r="L30">
        <v>28.554300000000001</v>
      </c>
      <c r="M30">
        <v>19.251999999999999</v>
      </c>
      <c r="N30">
        <v>13.4194</v>
      </c>
      <c r="O30">
        <v>13.4194</v>
      </c>
      <c r="P30">
        <v>13.4194</v>
      </c>
      <c r="Q30">
        <v>30.2959</v>
      </c>
      <c r="R30" t="s">
        <v>135</v>
      </c>
      <c r="S30" t="s">
        <v>135</v>
      </c>
      <c r="T30">
        <v>21.255099999999999</v>
      </c>
      <c r="U30">
        <v>46.231000000000002</v>
      </c>
      <c r="V30">
        <v>48.382199999999997</v>
      </c>
      <c r="W30">
        <v>41.822600000000001</v>
      </c>
      <c r="X30">
        <v>41.8521</v>
      </c>
      <c r="Y30" t="s">
        <v>135</v>
      </c>
      <c r="Z30">
        <v>41.551900000000003</v>
      </c>
      <c r="AA30">
        <v>-3.1709000000000001</v>
      </c>
      <c r="AB30">
        <v>35.020299999999999</v>
      </c>
      <c r="AC30">
        <v>19.0244</v>
      </c>
      <c r="AD30">
        <v>-4.4291</v>
      </c>
      <c r="AE30">
        <v>17.319400000000002</v>
      </c>
      <c r="AF30">
        <v>9.7235999999999994</v>
      </c>
      <c r="AG30" t="s">
        <v>135</v>
      </c>
      <c r="AH30" t="s">
        <v>135</v>
      </c>
      <c r="AI30">
        <v>17.629000000000001</v>
      </c>
      <c r="AJ30">
        <v>17.629000000000001</v>
      </c>
      <c r="AK30">
        <v>17.629000000000001</v>
      </c>
      <c r="AL30" t="s">
        <v>135</v>
      </c>
      <c r="AM30">
        <v>20.390799999999999</v>
      </c>
      <c r="AN30">
        <v>13.267799999999999</v>
      </c>
      <c r="AO30">
        <v>12.6656</v>
      </c>
      <c r="AP30">
        <v>10.2066</v>
      </c>
      <c r="AQ30">
        <v>10.222899999999999</v>
      </c>
      <c r="AR30" t="s">
        <v>135</v>
      </c>
      <c r="AS30" t="s">
        <v>135</v>
      </c>
      <c r="AT30" t="s">
        <v>135</v>
      </c>
      <c r="AU30" t="s">
        <v>135</v>
      </c>
      <c r="AV30" t="s">
        <v>135</v>
      </c>
      <c r="AW30" t="s">
        <v>135</v>
      </c>
      <c r="AX30" t="s">
        <v>135</v>
      </c>
      <c r="AY30" t="s">
        <v>135</v>
      </c>
      <c r="AZ30" t="s">
        <v>135</v>
      </c>
      <c r="BA30" t="s">
        <v>135</v>
      </c>
      <c r="BB30" t="s">
        <v>135</v>
      </c>
      <c r="BC30" t="s">
        <v>135</v>
      </c>
      <c r="BD30" t="s">
        <v>135</v>
      </c>
      <c r="BE30" t="s">
        <v>135</v>
      </c>
      <c r="BF30">
        <v>15.7971</v>
      </c>
      <c r="BG30">
        <v>30.947199999999999</v>
      </c>
      <c r="BH30">
        <v>34.237499999999997</v>
      </c>
      <c r="BI30">
        <v>39.751800000000003</v>
      </c>
      <c r="BJ30">
        <v>39.751199999999997</v>
      </c>
      <c r="BK30" t="s">
        <v>135</v>
      </c>
      <c r="BL30" t="s">
        <v>135</v>
      </c>
      <c r="BM30" t="s">
        <v>135</v>
      </c>
      <c r="BN30" t="s">
        <v>135</v>
      </c>
      <c r="BO30" t="s">
        <v>135</v>
      </c>
      <c r="BP30" t="s">
        <v>135</v>
      </c>
      <c r="BQ30" t="s">
        <v>135</v>
      </c>
      <c r="BR30" t="s">
        <v>135</v>
      </c>
      <c r="BS30" t="s">
        <v>135</v>
      </c>
      <c r="BT30" t="s">
        <v>135</v>
      </c>
      <c r="BU30" t="s">
        <v>135</v>
      </c>
      <c r="BV30" t="s">
        <v>135</v>
      </c>
      <c r="BW30" t="s">
        <v>135</v>
      </c>
      <c r="BX30" t="s">
        <v>135</v>
      </c>
      <c r="BY30">
        <v>0</v>
      </c>
      <c r="BZ30">
        <v>0</v>
      </c>
      <c r="CA30">
        <v>0</v>
      </c>
      <c r="CB30">
        <v>0</v>
      </c>
      <c r="CC30">
        <v>-0.44169999999999998</v>
      </c>
      <c r="CD30">
        <v>0</v>
      </c>
      <c r="CE30">
        <v>-0.49590000000000001</v>
      </c>
      <c r="CF30" t="s">
        <v>135</v>
      </c>
      <c r="CG30">
        <v>69.859300000000005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-14.5322</v>
      </c>
      <c r="CO30">
        <v>-17.0031</v>
      </c>
      <c r="CP30">
        <v>962.2</v>
      </c>
      <c r="CQ30" t="s">
        <v>135</v>
      </c>
      <c r="CR30">
        <v>875.9</v>
      </c>
      <c r="CS30">
        <v>0.33929999999999999</v>
      </c>
      <c r="CT30">
        <v>2.3163</v>
      </c>
      <c r="CU30">
        <v>0.56479999999999997</v>
      </c>
      <c r="CV30">
        <v>18.147500000000001</v>
      </c>
      <c r="CW30">
        <v>24.646000000000001</v>
      </c>
      <c r="CX30">
        <v>14.809699999999999</v>
      </c>
      <c r="CY30">
        <v>6.4184000000000001</v>
      </c>
      <c r="CZ30">
        <v>56.8673</v>
      </c>
      <c r="DA30">
        <v>2.7484999999999999</v>
      </c>
      <c r="DB30">
        <v>132.79839999999999</v>
      </c>
      <c r="DC30">
        <v>-61.121400000000001</v>
      </c>
      <c r="DD30">
        <v>71.677099999999996</v>
      </c>
      <c r="DE30">
        <v>1200.0999999999999</v>
      </c>
      <c r="DF30" t="s">
        <v>135</v>
      </c>
      <c r="DG30" t="s">
        <v>135</v>
      </c>
      <c r="DH30" t="s">
        <v>135</v>
      </c>
      <c r="DI30" t="s">
        <v>135</v>
      </c>
    </row>
    <row r="31" spans="1:113" x14ac:dyDescent="0.3">
      <c r="E31" t="s">
        <v>80</v>
      </c>
      <c r="F31" t="s">
        <v>135</v>
      </c>
      <c r="G31" t="s">
        <v>135</v>
      </c>
      <c r="H31" t="s">
        <v>135</v>
      </c>
      <c r="I31" t="s">
        <v>135</v>
      </c>
      <c r="J31">
        <v>21.762799999999999</v>
      </c>
      <c r="K31">
        <v>19.975999999999999</v>
      </c>
      <c r="L31">
        <v>50.262799999999999</v>
      </c>
      <c r="M31">
        <v>23.111799999999999</v>
      </c>
      <c r="N31">
        <v>16.140699999999999</v>
      </c>
      <c r="O31">
        <v>16.140699999999999</v>
      </c>
      <c r="P31">
        <v>16.140699999999999</v>
      </c>
      <c r="Q31">
        <v>30.162600000000001</v>
      </c>
      <c r="R31" t="s">
        <v>135</v>
      </c>
      <c r="S31" t="s">
        <v>135</v>
      </c>
      <c r="T31">
        <v>20.0946</v>
      </c>
      <c r="U31">
        <v>66.3459</v>
      </c>
      <c r="V31">
        <v>72.714699999999993</v>
      </c>
      <c r="W31">
        <v>55.039400000000001</v>
      </c>
      <c r="X31">
        <v>55.015599999999999</v>
      </c>
      <c r="Y31" t="s">
        <v>135</v>
      </c>
      <c r="Z31" t="s">
        <v>135</v>
      </c>
      <c r="AA31" t="s">
        <v>135</v>
      </c>
      <c r="AB31" t="s">
        <v>135</v>
      </c>
      <c r="AC31" t="s">
        <v>135</v>
      </c>
      <c r="AD31" t="s">
        <v>135</v>
      </c>
      <c r="AE31" t="s">
        <v>135</v>
      </c>
      <c r="AF31" t="s">
        <v>135</v>
      </c>
      <c r="AG31" t="s">
        <v>135</v>
      </c>
      <c r="AH31" t="s">
        <v>135</v>
      </c>
      <c r="AI31" t="s">
        <v>135</v>
      </c>
      <c r="AJ31" t="s">
        <v>135</v>
      </c>
      <c r="AK31" t="s">
        <v>135</v>
      </c>
      <c r="AL31" t="s">
        <v>135</v>
      </c>
      <c r="AM31">
        <v>22.9924</v>
      </c>
      <c r="AN31">
        <v>27.9848</v>
      </c>
      <c r="AO31">
        <v>29.026900000000001</v>
      </c>
      <c r="AP31">
        <v>18.317399999999999</v>
      </c>
      <c r="AQ31">
        <v>18.317799999999998</v>
      </c>
      <c r="AR31" t="s">
        <v>135</v>
      </c>
      <c r="AS31" t="s">
        <v>135</v>
      </c>
      <c r="AT31" t="s">
        <v>135</v>
      </c>
      <c r="AU31" t="s">
        <v>135</v>
      </c>
      <c r="AV31" t="s">
        <v>135</v>
      </c>
      <c r="AW31" t="s">
        <v>135</v>
      </c>
      <c r="AX31" t="s">
        <v>135</v>
      </c>
      <c r="AY31" t="s">
        <v>135</v>
      </c>
      <c r="AZ31" t="s">
        <v>135</v>
      </c>
      <c r="BA31" t="s">
        <v>135</v>
      </c>
      <c r="BB31" t="s">
        <v>135</v>
      </c>
      <c r="BC31" t="s">
        <v>135</v>
      </c>
      <c r="BD31" t="s">
        <v>135</v>
      </c>
      <c r="BE31" t="s">
        <v>135</v>
      </c>
      <c r="BF31">
        <v>-12.3101</v>
      </c>
      <c r="BG31">
        <v>13.1677</v>
      </c>
      <c r="BH31">
        <v>14.1112</v>
      </c>
      <c r="BI31">
        <v>5.4721000000000002</v>
      </c>
      <c r="BJ31">
        <v>5.4683999999999999</v>
      </c>
      <c r="BK31" t="s">
        <v>135</v>
      </c>
      <c r="BL31" t="s">
        <v>135</v>
      </c>
      <c r="BM31" t="s">
        <v>135</v>
      </c>
      <c r="BN31" t="s">
        <v>135</v>
      </c>
      <c r="BO31" t="s">
        <v>135</v>
      </c>
      <c r="BP31" t="s">
        <v>135</v>
      </c>
      <c r="BQ31" t="s">
        <v>135</v>
      </c>
      <c r="BR31" t="s">
        <v>135</v>
      </c>
      <c r="BS31" t="s">
        <v>135</v>
      </c>
      <c r="BT31" t="s">
        <v>135</v>
      </c>
      <c r="BU31" t="s">
        <v>135</v>
      </c>
      <c r="BV31" t="s">
        <v>135</v>
      </c>
      <c r="BW31" t="s">
        <v>135</v>
      </c>
      <c r="BX31" t="s">
        <v>135</v>
      </c>
      <c r="BY31" t="s">
        <v>135</v>
      </c>
      <c r="BZ31" t="s">
        <v>135</v>
      </c>
      <c r="CA31" t="s">
        <v>135</v>
      </c>
      <c r="CB31" t="s">
        <v>135</v>
      </c>
      <c r="CC31" t="s">
        <v>135</v>
      </c>
      <c r="CD31" t="s">
        <v>135</v>
      </c>
      <c r="CE31" t="s">
        <v>135</v>
      </c>
      <c r="CF31">
        <v>494.9545</v>
      </c>
      <c r="CG31" t="s">
        <v>135</v>
      </c>
      <c r="CH31" t="s">
        <v>135</v>
      </c>
      <c r="CI31" t="s">
        <v>135</v>
      </c>
      <c r="CJ31" t="s">
        <v>135</v>
      </c>
      <c r="CK31" t="s">
        <v>135</v>
      </c>
      <c r="CL31" t="s">
        <v>135</v>
      </c>
      <c r="CM31" t="s">
        <v>135</v>
      </c>
      <c r="CN31" t="s">
        <v>135</v>
      </c>
      <c r="CO31" t="s">
        <v>135</v>
      </c>
      <c r="CP31">
        <v>1088.9000000000001</v>
      </c>
      <c r="CQ31" t="s">
        <v>135</v>
      </c>
      <c r="CR31">
        <v>999.5</v>
      </c>
      <c r="CS31" t="s">
        <v>135</v>
      </c>
      <c r="CT31" t="s">
        <v>135</v>
      </c>
      <c r="CU31" t="s">
        <v>135</v>
      </c>
      <c r="CV31" t="s">
        <v>135</v>
      </c>
      <c r="CW31" t="s">
        <v>135</v>
      </c>
      <c r="CX31" t="s">
        <v>135</v>
      </c>
      <c r="CY31" t="s">
        <v>135</v>
      </c>
      <c r="CZ31" t="s">
        <v>135</v>
      </c>
      <c r="DA31" t="s">
        <v>135</v>
      </c>
      <c r="DB31" t="s">
        <v>135</v>
      </c>
      <c r="DC31" t="s">
        <v>135</v>
      </c>
      <c r="DD31" t="s">
        <v>135</v>
      </c>
      <c r="DE31" t="s">
        <v>135</v>
      </c>
      <c r="DF31" t="s">
        <v>135</v>
      </c>
      <c r="DG31" t="s">
        <v>135</v>
      </c>
      <c r="DH31" t="s">
        <v>135</v>
      </c>
      <c r="DI31" t="s">
        <v>135</v>
      </c>
    </row>
    <row r="32" spans="1:113" x14ac:dyDescent="0.3">
      <c r="E32" t="s">
        <v>81</v>
      </c>
      <c r="F32">
        <v>33.407400000000003</v>
      </c>
      <c r="G32">
        <v>21.908799999999999</v>
      </c>
      <c r="H32">
        <v>33.7986</v>
      </c>
      <c r="I32">
        <v>28.0867</v>
      </c>
      <c r="J32">
        <v>29.383099999999999</v>
      </c>
      <c r="K32">
        <v>27.4451</v>
      </c>
      <c r="L32">
        <v>113.3366</v>
      </c>
      <c r="M32">
        <v>30.605399999999999</v>
      </c>
      <c r="N32">
        <v>18.597300000000001</v>
      </c>
      <c r="O32">
        <v>18.597300000000001</v>
      </c>
      <c r="P32">
        <v>18.597300000000001</v>
      </c>
      <c r="Q32">
        <v>39.234999999999999</v>
      </c>
      <c r="R32" t="s">
        <v>135</v>
      </c>
      <c r="S32" t="s">
        <v>135</v>
      </c>
      <c r="T32">
        <v>14.386100000000001</v>
      </c>
      <c r="U32">
        <v>94.669799999999995</v>
      </c>
      <c r="V32">
        <v>108.059</v>
      </c>
      <c r="W32">
        <v>73.356499999999997</v>
      </c>
      <c r="X32">
        <v>73.341700000000003</v>
      </c>
      <c r="Y32" t="s">
        <v>135</v>
      </c>
      <c r="Z32">
        <v>6.4053000000000004</v>
      </c>
      <c r="AA32">
        <v>-0.3196</v>
      </c>
      <c r="AB32">
        <v>31.849599999999999</v>
      </c>
      <c r="AC32">
        <v>20.701799999999999</v>
      </c>
      <c r="AD32">
        <v>-449.04050000000001</v>
      </c>
      <c r="AE32">
        <v>27.7422</v>
      </c>
      <c r="AF32">
        <v>12.648</v>
      </c>
      <c r="AG32" t="s">
        <v>135</v>
      </c>
      <c r="AH32" t="s">
        <v>135</v>
      </c>
      <c r="AI32">
        <v>24.534300000000002</v>
      </c>
      <c r="AJ32">
        <v>24.534300000000002</v>
      </c>
      <c r="AK32">
        <v>24.534300000000002</v>
      </c>
      <c r="AL32" t="s">
        <v>135</v>
      </c>
      <c r="AM32">
        <v>21.701899999999998</v>
      </c>
      <c r="AN32">
        <v>16.899000000000001</v>
      </c>
      <c r="AO32">
        <v>16.809899999999999</v>
      </c>
      <c r="AP32">
        <v>13.4855</v>
      </c>
      <c r="AQ32">
        <v>13.4787</v>
      </c>
      <c r="AR32" t="s">
        <v>135</v>
      </c>
      <c r="AS32" t="s">
        <v>135</v>
      </c>
      <c r="AT32" t="s">
        <v>135</v>
      </c>
      <c r="AU32" t="s">
        <v>135</v>
      </c>
      <c r="AV32" t="s">
        <v>135</v>
      </c>
      <c r="AW32" t="s">
        <v>135</v>
      </c>
      <c r="AX32" t="s">
        <v>135</v>
      </c>
      <c r="AY32" t="s">
        <v>135</v>
      </c>
      <c r="AZ32" t="s">
        <v>135</v>
      </c>
      <c r="BA32" t="s">
        <v>135</v>
      </c>
      <c r="BB32" t="s">
        <v>135</v>
      </c>
      <c r="BC32" t="s">
        <v>135</v>
      </c>
      <c r="BD32" t="s">
        <v>135</v>
      </c>
      <c r="BE32" t="s">
        <v>135</v>
      </c>
      <c r="BF32">
        <v>-3.3656000000000001</v>
      </c>
      <c r="BG32">
        <v>30.4711</v>
      </c>
      <c r="BH32">
        <v>32.766399999999997</v>
      </c>
      <c r="BI32">
        <v>11.3422</v>
      </c>
      <c r="BJ32">
        <v>11.3344</v>
      </c>
      <c r="BK32" t="s">
        <v>135</v>
      </c>
      <c r="BL32" t="s">
        <v>135</v>
      </c>
      <c r="BM32" t="s">
        <v>135</v>
      </c>
      <c r="BN32" t="s">
        <v>135</v>
      </c>
      <c r="BO32" t="s">
        <v>135</v>
      </c>
      <c r="BP32" t="s">
        <v>135</v>
      </c>
      <c r="BQ32" t="s">
        <v>135</v>
      </c>
      <c r="BR32" t="s">
        <v>135</v>
      </c>
      <c r="BS32" t="s">
        <v>135</v>
      </c>
      <c r="BT32" t="s">
        <v>135</v>
      </c>
      <c r="BU32" t="s">
        <v>135</v>
      </c>
      <c r="BV32" t="s">
        <v>135</v>
      </c>
      <c r="BW32" t="s">
        <v>135</v>
      </c>
      <c r="BX32" t="s">
        <v>135</v>
      </c>
      <c r="BY32">
        <v>0</v>
      </c>
      <c r="BZ32">
        <v>0</v>
      </c>
      <c r="CA32">
        <v>0</v>
      </c>
      <c r="CB32">
        <v>0</v>
      </c>
      <c r="CC32">
        <v>-0.63629999999999998</v>
      </c>
      <c r="CD32">
        <v>0</v>
      </c>
      <c r="CE32">
        <v>-0.69430000000000003</v>
      </c>
      <c r="CF32">
        <v>27.586400000000001</v>
      </c>
      <c r="CG32">
        <v>66.507999999999996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-26.688600000000001</v>
      </c>
      <c r="CO32">
        <v>-36.404400000000003</v>
      </c>
      <c r="CP32">
        <v>1420.7</v>
      </c>
      <c r="CQ32" t="s">
        <v>135</v>
      </c>
      <c r="CR32">
        <v>1327</v>
      </c>
      <c r="CS32">
        <v>0.53310000000000002</v>
      </c>
      <c r="CT32">
        <v>2.0164</v>
      </c>
      <c r="CU32">
        <v>0.70450000000000002</v>
      </c>
      <c r="CV32">
        <v>19.633099999999999</v>
      </c>
      <c r="CW32">
        <v>24.5291</v>
      </c>
      <c r="CX32">
        <v>14.8803</v>
      </c>
      <c r="CY32">
        <v>6.8056999999999999</v>
      </c>
      <c r="CZ32">
        <v>53.6312</v>
      </c>
      <c r="DA32">
        <v>3.7147000000000001</v>
      </c>
      <c r="DB32">
        <v>98.259299999999996</v>
      </c>
      <c r="DC32">
        <v>-29.747900000000001</v>
      </c>
      <c r="DD32">
        <v>68.511399999999995</v>
      </c>
      <c r="DE32">
        <v>1185.2</v>
      </c>
      <c r="DF32">
        <v>193.8</v>
      </c>
      <c r="DG32">
        <v>23.8</v>
      </c>
      <c r="DH32">
        <v>601.6</v>
      </c>
      <c r="DI32">
        <v>366</v>
      </c>
    </row>
    <row r="33" spans="4:113" x14ac:dyDescent="0.3">
      <c r="D33" t="s">
        <v>82</v>
      </c>
      <c r="E33" t="s">
        <v>77</v>
      </c>
      <c r="F33">
        <v>31.021999999999998</v>
      </c>
      <c r="G33">
        <v>20.0335</v>
      </c>
      <c r="H33">
        <v>31.376300000000001</v>
      </c>
      <c r="I33">
        <v>26.9725</v>
      </c>
      <c r="J33">
        <v>20.770299999999999</v>
      </c>
      <c r="K33">
        <v>18.518000000000001</v>
      </c>
      <c r="L33">
        <v>16.2697</v>
      </c>
      <c r="M33">
        <v>21.473099999999999</v>
      </c>
      <c r="N33">
        <v>14.8413</v>
      </c>
      <c r="O33">
        <v>14.8413</v>
      </c>
      <c r="P33">
        <v>14.8413</v>
      </c>
      <c r="Q33">
        <v>30.884</v>
      </c>
      <c r="R33">
        <v>28.367100000000001</v>
      </c>
      <c r="S33">
        <v>22.221900000000002</v>
      </c>
      <c r="T33">
        <v>13.924900000000001</v>
      </c>
      <c r="U33">
        <v>15.148899999999999</v>
      </c>
      <c r="V33">
        <v>12.030799999999999</v>
      </c>
      <c r="W33">
        <v>14.6083</v>
      </c>
      <c r="X33">
        <v>14.6066</v>
      </c>
      <c r="Y33">
        <v>10</v>
      </c>
      <c r="Z33">
        <v>32.4114</v>
      </c>
      <c r="AA33">
        <v>0.46410000000000001</v>
      </c>
      <c r="AB33">
        <v>2.988</v>
      </c>
      <c r="AC33">
        <v>29.1616</v>
      </c>
      <c r="AD33">
        <v>-447.95440000000002</v>
      </c>
      <c r="AE33">
        <v>25.691199999999998</v>
      </c>
      <c r="AF33">
        <v>61.876600000000003</v>
      </c>
      <c r="AG33" t="s">
        <v>135</v>
      </c>
      <c r="AH33" t="s">
        <v>135</v>
      </c>
      <c r="AI33">
        <v>22.512699999999999</v>
      </c>
      <c r="AJ33">
        <v>22.512699999999999</v>
      </c>
      <c r="AK33">
        <v>22.512699999999999</v>
      </c>
      <c r="AL33">
        <v>27.251899999999999</v>
      </c>
      <c r="AM33">
        <v>20.901299999999999</v>
      </c>
      <c r="AN33">
        <v>13.2576</v>
      </c>
      <c r="AO33">
        <v>12.951000000000001</v>
      </c>
      <c r="AP33">
        <v>14.001099999999999</v>
      </c>
      <c r="AQ33">
        <v>14.0001</v>
      </c>
      <c r="AR33">
        <v>6.0983000000000001</v>
      </c>
      <c r="AS33">
        <v>31.769600000000001</v>
      </c>
      <c r="AT33">
        <v>16.958200000000001</v>
      </c>
      <c r="AU33">
        <v>12.056800000000001</v>
      </c>
      <c r="AV33">
        <v>18.691199999999998</v>
      </c>
      <c r="AW33" t="s">
        <v>135</v>
      </c>
      <c r="AX33">
        <v>13.533200000000001</v>
      </c>
      <c r="AY33" t="s">
        <v>135</v>
      </c>
      <c r="AZ33" t="s">
        <v>135</v>
      </c>
      <c r="BA33" t="s">
        <v>135</v>
      </c>
      <c r="BB33">
        <v>18.106999999999999</v>
      </c>
      <c r="BC33">
        <v>18.106999999999999</v>
      </c>
      <c r="BD33">
        <v>18.106999999999999</v>
      </c>
      <c r="BE33">
        <v>14.924300000000001</v>
      </c>
      <c r="BF33">
        <v>13.924900000000001</v>
      </c>
      <c r="BG33">
        <v>15.148899999999999</v>
      </c>
      <c r="BH33">
        <v>12.030799999999999</v>
      </c>
      <c r="BI33">
        <v>14.6083</v>
      </c>
      <c r="BJ33">
        <v>14.6066</v>
      </c>
      <c r="BK33">
        <v>10</v>
      </c>
      <c r="BL33">
        <v>32.4114</v>
      </c>
      <c r="BM33">
        <v>0.46410000000000001</v>
      </c>
      <c r="BN33">
        <v>2.988</v>
      </c>
      <c r="BO33">
        <v>29.1616</v>
      </c>
      <c r="BP33" t="s">
        <v>135</v>
      </c>
      <c r="BQ33">
        <v>25.691199999999998</v>
      </c>
      <c r="BR33">
        <v>61.876600000000003</v>
      </c>
      <c r="BS33" t="s">
        <v>135</v>
      </c>
      <c r="BT33" t="s">
        <v>135</v>
      </c>
      <c r="BU33">
        <v>22.512699999999999</v>
      </c>
      <c r="BV33">
        <v>22.512699999999999</v>
      </c>
      <c r="BW33">
        <v>22.512699999999999</v>
      </c>
      <c r="BX33">
        <v>27.251899999999999</v>
      </c>
      <c r="BY33">
        <v>0</v>
      </c>
      <c r="BZ33">
        <v>0</v>
      </c>
      <c r="CA33">
        <v>0</v>
      </c>
      <c r="CB33">
        <v>0</v>
      </c>
      <c r="CC33">
        <v>-1.274</v>
      </c>
      <c r="CD33">
        <v>0</v>
      </c>
      <c r="CE33">
        <v>-1.4289000000000001</v>
      </c>
      <c r="CF33">
        <v>84.688800000000001</v>
      </c>
      <c r="CG33">
        <v>63.084299999999999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-50.2271</v>
      </c>
      <c r="CO33">
        <v>-100.91240000000001</v>
      </c>
      <c r="CP33">
        <v>4844.2</v>
      </c>
      <c r="CQ33">
        <v>4059.9</v>
      </c>
      <c r="CR33">
        <v>4318.8999999999996</v>
      </c>
      <c r="CS33">
        <v>0.86229999999999996</v>
      </c>
      <c r="CT33">
        <v>1.8963000000000001</v>
      </c>
      <c r="CU33">
        <v>1.0215000000000001</v>
      </c>
      <c r="CV33">
        <v>21.4529</v>
      </c>
      <c r="CW33">
        <v>23.323899999999998</v>
      </c>
      <c r="CX33">
        <v>15.6492</v>
      </c>
      <c r="CY33">
        <v>7.7625999999999999</v>
      </c>
      <c r="CZ33">
        <v>47.020200000000003</v>
      </c>
      <c r="DA33">
        <v>3.0640000000000001</v>
      </c>
      <c r="DB33">
        <v>119.1251</v>
      </c>
      <c r="DC33">
        <v>-56.4557</v>
      </c>
      <c r="DD33">
        <v>62.669400000000003</v>
      </c>
      <c r="DE33">
        <v>1190.7</v>
      </c>
      <c r="DF33">
        <v>154</v>
      </c>
      <c r="DG33">
        <v>23.5</v>
      </c>
      <c r="DH33">
        <v>480.2</v>
      </c>
      <c r="DI33">
        <v>533</v>
      </c>
    </row>
    <row r="34" spans="4:113" x14ac:dyDescent="0.3">
      <c r="E34" t="s">
        <v>78</v>
      </c>
      <c r="F34" t="s">
        <v>135</v>
      </c>
      <c r="G34" t="s">
        <v>135</v>
      </c>
      <c r="H34" t="s">
        <v>135</v>
      </c>
      <c r="I34" t="s">
        <v>135</v>
      </c>
      <c r="J34">
        <v>13.706200000000001</v>
      </c>
      <c r="K34">
        <v>11.7714</v>
      </c>
      <c r="L34">
        <v>3.0996000000000001</v>
      </c>
      <c r="M34">
        <v>15.221</v>
      </c>
      <c r="N34">
        <v>10.6713</v>
      </c>
      <c r="O34">
        <v>10.6713</v>
      </c>
      <c r="P34">
        <v>10.6713</v>
      </c>
      <c r="Q34">
        <v>29.890599999999999</v>
      </c>
      <c r="R34" t="s">
        <v>135</v>
      </c>
      <c r="S34" t="s">
        <v>135</v>
      </c>
      <c r="T34">
        <v>16.957899999999999</v>
      </c>
      <c r="U34">
        <v>7.4985999999999997</v>
      </c>
      <c r="V34">
        <v>3.9693000000000001</v>
      </c>
      <c r="W34">
        <v>12.2468</v>
      </c>
      <c r="X34">
        <v>12.263</v>
      </c>
      <c r="Y34" t="s">
        <v>135</v>
      </c>
      <c r="Z34" t="s">
        <v>135</v>
      </c>
      <c r="AA34" t="s">
        <v>135</v>
      </c>
      <c r="AB34" t="s">
        <v>135</v>
      </c>
      <c r="AC34" t="s">
        <v>135</v>
      </c>
      <c r="AD34" t="s">
        <v>135</v>
      </c>
      <c r="AE34" t="s">
        <v>135</v>
      </c>
      <c r="AF34" t="s">
        <v>135</v>
      </c>
      <c r="AG34" t="s">
        <v>135</v>
      </c>
      <c r="AH34" t="s">
        <v>135</v>
      </c>
      <c r="AI34" t="s">
        <v>135</v>
      </c>
      <c r="AJ34" t="s">
        <v>135</v>
      </c>
      <c r="AK34" t="s">
        <v>135</v>
      </c>
      <c r="AL34" t="s">
        <v>135</v>
      </c>
      <c r="AM34">
        <v>20.647200000000002</v>
      </c>
      <c r="AN34">
        <v>2.5487000000000002</v>
      </c>
      <c r="AO34">
        <v>1.28</v>
      </c>
      <c r="AP34">
        <v>3.6208999999999998</v>
      </c>
      <c r="AQ34">
        <v>3.6242000000000001</v>
      </c>
      <c r="AR34" t="s">
        <v>135</v>
      </c>
      <c r="AS34" t="s">
        <v>135</v>
      </c>
      <c r="AT34" t="s">
        <v>135</v>
      </c>
      <c r="AU34" t="s">
        <v>135</v>
      </c>
      <c r="AV34" t="s">
        <v>135</v>
      </c>
      <c r="AW34" t="s">
        <v>135</v>
      </c>
      <c r="AX34" t="s">
        <v>135</v>
      </c>
      <c r="AY34" t="s">
        <v>135</v>
      </c>
      <c r="AZ34" t="s">
        <v>135</v>
      </c>
      <c r="BA34" t="s">
        <v>135</v>
      </c>
      <c r="BB34" t="s">
        <v>135</v>
      </c>
      <c r="BC34" t="s">
        <v>135</v>
      </c>
      <c r="BD34" t="s">
        <v>135</v>
      </c>
      <c r="BE34" t="s">
        <v>135</v>
      </c>
      <c r="BF34">
        <v>19.193000000000001</v>
      </c>
      <c r="BG34">
        <v>-44.400599999999997</v>
      </c>
      <c r="BH34">
        <v>-48.877200000000002</v>
      </c>
      <c r="BI34">
        <v>-31.605899999999998</v>
      </c>
      <c r="BJ34">
        <v>-31.5884</v>
      </c>
      <c r="BK34" t="s">
        <v>135</v>
      </c>
      <c r="BL34" t="s">
        <v>135</v>
      </c>
      <c r="BM34" t="s">
        <v>135</v>
      </c>
      <c r="BN34" t="s">
        <v>135</v>
      </c>
      <c r="BO34" t="s">
        <v>135</v>
      </c>
      <c r="BP34" t="s">
        <v>135</v>
      </c>
      <c r="BQ34" t="s">
        <v>135</v>
      </c>
      <c r="BR34" t="s">
        <v>135</v>
      </c>
      <c r="BS34" t="s">
        <v>135</v>
      </c>
      <c r="BT34" t="s">
        <v>135</v>
      </c>
      <c r="BU34" t="s">
        <v>135</v>
      </c>
      <c r="BV34" t="s">
        <v>135</v>
      </c>
      <c r="BW34" t="s">
        <v>135</v>
      </c>
      <c r="BX34" t="s">
        <v>135</v>
      </c>
      <c r="BY34" t="s">
        <v>135</v>
      </c>
      <c r="BZ34" t="s">
        <v>135</v>
      </c>
      <c r="CA34" t="s">
        <v>135</v>
      </c>
      <c r="CB34" t="s">
        <v>135</v>
      </c>
      <c r="CC34" t="s">
        <v>135</v>
      </c>
      <c r="CD34" t="s">
        <v>135</v>
      </c>
      <c r="CE34" t="s">
        <v>135</v>
      </c>
      <c r="CF34">
        <v>68.094800000000006</v>
      </c>
      <c r="CG34" t="s">
        <v>135</v>
      </c>
      <c r="CH34" t="s">
        <v>135</v>
      </c>
      <c r="CI34" t="s">
        <v>135</v>
      </c>
      <c r="CJ34" t="s">
        <v>135</v>
      </c>
      <c r="CK34" t="s">
        <v>135</v>
      </c>
      <c r="CL34" t="s">
        <v>135</v>
      </c>
      <c r="CM34" t="s">
        <v>135</v>
      </c>
      <c r="CN34" t="s">
        <v>135</v>
      </c>
      <c r="CO34" t="s">
        <v>135</v>
      </c>
      <c r="CP34">
        <v>789.9</v>
      </c>
      <c r="CQ34" t="s">
        <v>135</v>
      </c>
      <c r="CR34">
        <v>678.4</v>
      </c>
      <c r="CS34" t="s">
        <v>135</v>
      </c>
      <c r="CT34" t="s">
        <v>135</v>
      </c>
      <c r="CU34" t="s">
        <v>135</v>
      </c>
      <c r="CV34" t="s">
        <v>135</v>
      </c>
      <c r="CW34" t="s">
        <v>135</v>
      </c>
      <c r="CX34" t="s">
        <v>135</v>
      </c>
      <c r="CY34" t="s">
        <v>135</v>
      </c>
      <c r="CZ34" t="s">
        <v>135</v>
      </c>
      <c r="DA34" t="s">
        <v>135</v>
      </c>
      <c r="DB34" t="s">
        <v>135</v>
      </c>
      <c r="DC34" t="s">
        <v>135</v>
      </c>
      <c r="DD34" t="s">
        <v>135</v>
      </c>
      <c r="DE34" t="s">
        <v>135</v>
      </c>
      <c r="DF34" t="s">
        <v>135</v>
      </c>
      <c r="DG34" t="s">
        <v>135</v>
      </c>
      <c r="DH34" t="s">
        <v>135</v>
      </c>
      <c r="DI34" t="s">
        <v>135</v>
      </c>
    </row>
    <row r="35" spans="4:113" x14ac:dyDescent="0.3">
      <c r="E35" t="s">
        <v>79</v>
      </c>
      <c r="F35">
        <v>30.900300000000001</v>
      </c>
      <c r="G35">
        <v>21.7102</v>
      </c>
      <c r="H35">
        <v>31.349299999999999</v>
      </c>
      <c r="I35">
        <v>26.589500000000001</v>
      </c>
      <c r="J35">
        <v>19.915199999999999</v>
      </c>
      <c r="K35">
        <v>17.4511</v>
      </c>
      <c r="L35">
        <v>33.769100000000002</v>
      </c>
      <c r="M35">
        <v>20.031700000000001</v>
      </c>
      <c r="N35">
        <v>14.077</v>
      </c>
      <c r="O35">
        <v>14.077</v>
      </c>
      <c r="P35">
        <v>14.077</v>
      </c>
      <c r="Q35">
        <v>29.726400000000002</v>
      </c>
      <c r="R35" t="s">
        <v>135</v>
      </c>
      <c r="S35" t="s">
        <v>135</v>
      </c>
      <c r="T35">
        <v>12.870900000000001</v>
      </c>
      <c r="U35">
        <v>33.298699999999997</v>
      </c>
      <c r="V35">
        <v>28.313700000000001</v>
      </c>
      <c r="W35">
        <v>18.401499999999999</v>
      </c>
      <c r="X35">
        <v>18.397600000000001</v>
      </c>
      <c r="Y35" t="s">
        <v>135</v>
      </c>
      <c r="Z35">
        <v>-3.6471999999999998</v>
      </c>
      <c r="AA35">
        <v>14.5405</v>
      </c>
      <c r="AB35">
        <v>7.6138000000000003</v>
      </c>
      <c r="AC35">
        <v>21.812200000000001</v>
      </c>
      <c r="AD35">
        <v>-29.9558</v>
      </c>
      <c r="AE35">
        <v>22.958200000000001</v>
      </c>
      <c r="AF35">
        <v>13.4648</v>
      </c>
      <c r="AG35" t="s">
        <v>135</v>
      </c>
      <c r="AH35" t="s">
        <v>135</v>
      </c>
      <c r="AI35">
        <v>23.081499999999998</v>
      </c>
      <c r="AJ35">
        <v>23.081499999999998</v>
      </c>
      <c r="AK35">
        <v>23.081499999999998</v>
      </c>
      <c r="AL35" t="s">
        <v>135</v>
      </c>
      <c r="AM35">
        <v>18.588999999999999</v>
      </c>
      <c r="AN35">
        <v>5.7416</v>
      </c>
      <c r="AO35">
        <v>3.9878999999999998</v>
      </c>
      <c r="AP35">
        <v>3.9988999999999999</v>
      </c>
      <c r="AQ35">
        <v>3.9605999999999999</v>
      </c>
      <c r="AR35" t="s">
        <v>135</v>
      </c>
      <c r="AS35" t="s">
        <v>135</v>
      </c>
      <c r="AT35" t="s">
        <v>135</v>
      </c>
      <c r="AU35" t="s">
        <v>135</v>
      </c>
      <c r="AV35" t="s">
        <v>135</v>
      </c>
      <c r="AW35" t="s">
        <v>135</v>
      </c>
      <c r="AX35" t="s">
        <v>135</v>
      </c>
      <c r="AY35" t="s">
        <v>135</v>
      </c>
      <c r="AZ35" t="s">
        <v>135</v>
      </c>
      <c r="BA35" t="s">
        <v>135</v>
      </c>
      <c r="BB35" t="s">
        <v>135</v>
      </c>
      <c r="BC35" t="s">
        <v>135</v>
      </c>
      <c r="BD35" t="s">
        <v>135</v>
      </c>
      <c r="BE35" t="s">
        <v>135</v>
      </c>
      <c r="BF35">
        <v>11.7506</v>
      </c>
      <c r="BG35">
        <v>62.375</v>
      </c>
      <c r="BH35">
        <v>65.669200000000004</v>
      </c>
      <c r="BI35">
        <v>47.4146</v>
      </c>
      <c r="BJ35">
        <v>47.387900000000002</v>
      </c>
      <c r="BK35" t="s">
        <v>135</v>
      </c>
      <c r="BL35" t="s">
        <v>135</v>
      </c>
      <c r="BM35" t="s">
        <v>135</v>
      </c>
      <c r="BN35" t="s">
        <v>135</v>
      </c>
      <c r="BO35" t="s">
        <v>135</v>
      </c>
      <c r="BP35" t="s">
        <v>135</v>
      </c>
      <c r="BQ35" t="s">
        <v>135</v>
      </c>
      <c r="BR35" t="s">
        <v>135</v>
      </c>
      <c r="BS35" t="s">
        <v>135</v>
      </c>
      <c r="BT35" t="s">
        <v>135</v>
      </c>
      <c r="BU35" t="s">
        <v>135</v>
      </c>
      <c r="BV35" t="s">
        <v>135</v>
      </c>
      <c r="BW35" t="s">
        <v>135</v>
      </c>
      <c r="BX35" t="s">
        <v>135</v>
      </c>
      <c r="BY35">
        <v>0</v>
      </c>
      <c r="BZ35">
        <v>0</v>
      </c>
      <c r="CA35">
        <v>0</v>
      </c>
      <c r="CB35">
        <v>0</v>
      </c>
      <c r="CC35">
        <v>-0.92649999999999999</v>
      </c>
      <c r="CD35">
        <v>0</v>
      </c>
      <c r="CE35">
        <v>-1.0282</v>
      </c>
      <c r="CF35">
        <v>278.8261</v>
      </c>
      <c r="CG35">
        <v>70.587199999999996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-36.8217</v>
      </c>
      <c r="CO35">
        <v>-58.282200000000003</v>
      </c>
      <c r="CP35">
        <v>1282.5999999999999</v>
      </c>
      <c r="CQ35" t="s">
        <v>135</v>
      </c>
      <c r="CR35">
        <v>1123.9000000000001</v>
      </c>
      <c r="CS35">
        <v>0.88919999999999999</v>
      </c>
      <c r="CT35">
        <v>2.3601000000000001</v>
      </c>
      <c r="CU35">
        <v>1.0718000000000001</v>
      </c>
      <c r="CV35">
        <v>27.116499999999998</v>
      </c>
      <c r="CW35">
        <v>24.813700000000001</v>
      </c>
      <c r="CX35">
        <v>14.7096</v>
      </c>
      <c r="CY35">
        <v>6.9592999999999998</v>
      </c>
      <c r="CZ35">
        <v>52.447499999999998</v>
      </c>
      <c r="DA35">
        <v>2.8856999999999999</v>
      </c>
      <c r="DB35">
        <v>126.4868</v>
      </c>
      <c r="DC35">
        <v>-59.329599999999999</v>
      </c>
      <c r="DD35">
        <v>67.157200000000003</v>
      </c>
      <c r="DE35">
        <v>1374.6</v>
      </c>
      <c r="DF35" t="s">
        <v>135</v>
      </c>
      <c r="DG35" t="s">
        <v>135</v>
      </c>
      <c r="DH35" t="s">
        <v>135</v>
      </c>
      <c r="DI35" t="s">
        <v>135</v>
      </c>
    </row>
    <row r="36" spans="4:113" x14ac:dyDescent="0.3">
      <c r="E36" t="s">
        <v>80</v>
      </c>
      <c r="F36" t="s">
        <v>135</v>
      </c>
      <c r="G36" t="s">
        <v>135</v>
      </c>
      <c r="H36" t="s">
        <v>135</v>
      </c>
      <c r="I36" t="s">
        <v>135</v>
      </c>
      <c r="J36">
        <v>22.1343</v>
      </c>
      <c r="K36">
        <v>19.940899999999999</v>
      </c>
      <c r="L36">
        <v>19.618300000000001</v>
      </c>
      <c r="M36">
        <v>22.447900000000001</v>
      </c>
      <c r="N36">
        <v>15.660399999999999</v>
      </c>
      <c r="O36">
        <v>15.660399999999999</v>
      </c>
      <c r="P36">
        <v>15.660399999999999</v>
      </c>
      <c r="Q36">
        <v>30.236899999999999</v>
      </c>
      <c r="R36" t="s">
        <v>135</v>
      </c>
      <c r="S36" t="s">
        <v>135</v>
      </c>
      <c r="T36">
        <v>10.8904</v>
      </c>
      <c r="U36">
        <v>12.7835</v>
      </c>
      <c r="V36">
        <v>10.6953</v>
      </c>
      <c r="W36">
        <v>7.5903999999999998</v>
      </c>
      <c r="X36">
        <v>7.5964999999999998</v>
      </c>
      <c r="Y36" t="s">
        <v>135</v>
      </c>
      <c r="Z36" t="s">
        <v>135</v>
      </c>
      <c r="AA36" t="s">
        <v>135</v>
      </c>
      <c r="AB36" t="s">
        <v>135</v>
      </c>
      <c r="AC36" t="s">
        <v>135</v>
      </c>
      <c r="AD36" t="s">
        <v>135</v>
      </c>
      <c r="AE36" t="s">
        <v>135</v>
      </c>
      <c r="AF36" t="s">
        <v>135</v>
      </c>
      <c r="AG36" t="s">
        <v>135</v>
      </c>
      <c r="AH36" t="s">
        <v>135</v>
      </c>
      <c r="AI36" t="s">
        <v>135</v>
      </c>
      <c r="AJ36" t="s">
        <v>135</v>
      </c>
      <c r="AK36" t="s">
        <v>135</v>
      </c>
      <c r="AL36" t="s">
        <v>135</v>
      </c>
      <c r="AM36">
        <v>21.992899999999999</v>
      </c>
      <c r="AN36">
        <v>15.165800000000001</v>
      </c>
      <c r="AO36">
        <v>14.520099999999999</v>
      </c>
      <c r="AP36">
        <v>14.756499999999999</v>
      </c>
      <c r="AQ36">
        <v>31.822199999999999</v>
      </c>
      <c r="AR36" t="s">
        <v>135</v>
      </c>
      <c r="AS36" t="s">
        <v>135</v>
      </c>
      <c r="AT36" t="s">
        <v>135</v>
      </c>
      <c r="AU36" t="s">
        <v>135</v>
      </c>
      <c r="AV36" t="s">
        <v>135</v>
      </c>
      <c r="AW36" t="s">
        <v>135</v>
      </c>
      <c r="AX36" t="s">
        <v>135</v>
      </c>
      <c r="AY36" t="s">
        <v>135</v>
      </c>
      <c r="AZ36" t="s">
        <v>135</v>
      </c>
      <c r="BA36" t="s">
        <v>135</v>
      </c>
      <c r="BB36" t="s">
        <v>135</v>
      </c>
      <c r="BC36" t="s">
        <v>135</v>
      </c>
      <c r="BD36" t="s">
        <v>135</v>
      </c>
      <c r="BE36" t="s">
        <v>135</v>
      </c>
      <c r="BF36">
        <v>-13.848700000000001</v>
      </c>
      <c r="BG36">
        <v>-4.2492000000000001</v>
      </c>
      <c r="BH36">
        <v>-1.5571000000000002</v>
      </c>
      <c r="BI36">
        <v>-4.1584000000000003</v>
      </c>
      <c r="BJ36">
        <v>-4.1532</v>
      </c>
      <c r="BK36" t="s">
        <v>135</v>
      </c>
      <c r="BL36" t="s">
        <v>135</v>
      </c>
      <c r="BM36" t="s">
        <v>135</v>
      </c>
      <c r="BN36" t="s">
        <v>135</v>
      </c>
      <c r="BO36" t="s">
        <v>135</v>
      </c>
      <c r="BP36" t="s">
        <v>135</v>
      </c>
      <c r="BQ36" t="s">
        <v>135</v>
      </c>
      <c r="BR36" t="s">
        <v>135</v>
      </c>
      <c r="BS36" t="s">
        <v>135</v>
      </c>
      <c r="BT36" t="s">
        <v>135</v>
      </c>
      <c r="BU36" t="s">
        <v>135</v>
      </c>
      <c r="BV36" t="s">
        <v>135</v>
      </c>
      <c r="BW36" t="s">
        <v>135</v>
      </c>
      <c r="BX36" t="s">
        <v>135</v>
      </c>
      <c r="BY36" t="s">
        <v>135</v>
      </c>
      <c r="BZ36" t="s">
        <v>135</v>
      </c>
      <c r="CA36" t="s">
        <v>135</v>
      </c>
      <c r="CB36" t="s">
        <v>135</v>
      </c>
      <c r="CC36" t="s">
        <v>135</v>
      </c>
      <c r="CD36" t="s">
        <v>135</v>
      </c>
      <c r="CE36" t="s">
        <v>135</v>
      </c>
      <c r="CF36">
        <v>32.318399999999997</v>
      </c>
      <c r="CG36" t="s">
        <v>135</v>
      </c>
      <c r="CH36" t="s">
        <v>135</v>
      </c>
      <c r="CI36" t="s">
        <v>135</v>
      </c>
      <c r="CJ36" t="s">
        <v>135</v>
      </c>
      <c r="CK36" t="s">
        <v>135</v>
      </c>
      <c r="CL36" t="s">
        <v>135</v>
      </c>
      <c r="CM36" t="s">
        <v>135</v>
      </c>
      <c r="CN36" t="s">
        <v>135</v>
      </c>
      <c r="CO36" t="s">
        <v>135</v>
      </c>
      <c r="CP36">
        <v>1228.0999999999999</v>
      </c>
      <c r="CQ36" t="s">
        <v>135</v>
      </c>
      <c r="CR36">
        <v>1106.4000000000001</v>
      </c>
      <c r="CS36" t="s">
        <v>135</v>
      </c>
      <c r="CT36" t="s">
        <v>135</v>
      </c>
      <c r="CU36" t="s">
        <v>135</v>
      </c>
      <c r="CV36" t="s">
        <v>135</v>
      </c>
      <c r="CW36" t="s">
        <v>135</v>
      </c>
      <c r="CX36" t="s">
        <v>135</v>
      </c>
      <c r="CY36" t="s">
        <v>135</v>
      </c>
      <c r="CZ36" t="s">
        <v>135</v>
      </c>
      <c r="DA36" t="s">
        <v>135</v>
      </c>
      <c r="DB36" t="s">
        <v>135</v>
      </c>
      <c r="DC36" t="s">
        <v>135</v>
      </c>
      <c r="DD36" t="s">
        <v>135</v>
      </c>
      <c r="DE36" t="s">
        <v>135</v>
      </c>
      <c r="DF36" t="s">
        <v>135</v>
      </c>
      <c r="DG36" t="s">
        <v>135</v>
      </c>
      <c r="DH36" t="s">
        <v>135</v>
      </c>
      <c r="DI36" t="s">
        <v>135</v>
      </c>
    </row>
    <row r="37" spans="4:113" x14ac:dyDescent="0.3">
      <c r="E37" t="s">
        <v>81</v>
      </c>
      <c r="F37">
        <v>31.021999999999998</v>
      </c>
      <c r="G37">
        <v>20.0335</v>
      </c>
      <c r="H37">
        <v>31.376300000000001</v>
      </c>
      <c r="I37">
        <v>26.865200000000002</v>
      </c>
      <c r="J37">
        <v>27.708300000000001</v>
      </c>
      <c r="K37">
        <v>25.313700000000001</v>
      </c>
      <c r="L37">
        <v>11.307399999999999</v>
      </c>
      <c r="M37">
        <v>28.636299999999999</v>
      </c>
      <c r="N37">
        <v>19.223099999999999</v>
      </c>
      <c r="O37">
        <v>19.223099999999999</v>
      </c>
      <c r="P37">
        <v>19.223099999999999</v>
      </c>
      <c r="Q37">
        <v>32.871600000000001</v>
      </c>
      <c r="R37" t="s">
        <v>135</v>
      </c>
      <c r="S37" t="s">
        <v>135</v>
      </c>
      <c r="T37">
        <v>15.2179</v>
      </c>
      <c r="U37">
        <v>8.6507000000000005</v>
      </c>
      <c r="V37">
        <v>6.2698</v>
      </c>
      <c r="W37">
        <v>19.094799999999999</v>
      </c>
      <c r="X37">
        <v>19.0975</v>
      </c>
      <c r="Y37" t="s">
        <v>135</v>
      </c>
      <c r="Z37">
        <v>32.4114</v>
      </c>
      <c r="AA37">
        <v>0.46410000000000001</v>
      </c>
      <c r="AB37">
        <v>2.988</v>
      </c>
      <c r="AC37">
        <v>29.1616</v>
      </c>
      <c r="AD37">
        <v>-447.95440000000002</v>
      </c>
      <c r="AE37">
        <v>25.691199999999998</v>
      </c>
      <c r="AF37">
        <v>61.876600000000003</v>
      </c>
      <c r="AG37" t="s">
        <v>135</v>
      </c>
      <c r="AH37" t="s">
        <v>135</v>
      </c>
      <c r="AI37">
        <v>22.512699999999999</v>
      </c>
      <c r="AJ37">
        <v>22.512699999999999</v>
      </c>
      <c r="AK37">
        <v>22.512699999999999</v>
      </c>
      <c r="AL37" t="s">
        <v>135</v>
      </c>
      <c r="AM37">
        <v>23.003599999999999</v>
      </c>
      <c r="AN37">
        <v>50.9893</v>
      </c>
      <c r="AO37">
        <v>70.911299999999997</v>
      </c>
      <c r="AP37">
        <v>60.356099999999998</v>
      </c>
      <c r="AQ37">
        <v>60.3705</v>
      </c>
      <c r="AR37" t="s">
        <v>135</v>
      </c>
      <c r="AS37">
        <v>31.769600000000001</v>
      </c>
      <c r="AT37">
        <v>16.958200000000001</v>
      </c>
      <c r="AU37">
        <v>12.056800000000001</v>
      </c>
      <c r="AV37">
        <v>18.691199999999998</v>
      </c>
      <c r="AW37" t="s">
        <v>135</v>
      </c>
      <c r="AX37">
        <v>13.533200000000001</v>
      </c>
      <c r="AY37" t="s">
        <v>135</v>
      </c>
      <c r="AZ37" t="s">
        <v>135</v>
      </c>
      <c r="BA37" t="s">
        <v>135</v>
      </c>
      <c r="BB37">
        <v>18.106999999999999</v>
      </c>
      <c r="BC37">
        <v>18.106999999999999</v>
      </c>
      <c r="BD37">
        <v>18.106999999999999</v>
      </c>
      <c r="BE37" t="s">
        <v>135</v>
      </c>
      <c r="BF37">
        <v>0.40550000000000003</v>
      </c>
      <c r="BG37">
        <v>25.690100000000001</v>
      </c>
      <c r="BH37">
        <v>27.458400000000001</v>
      </c>
      <c r="BI37">
        <v>23.247800000000002</v>
      </c>
      <c r="BJ37">
        <v>23.234999999999999</v>
      </c>
      <c r="BK37" t="s">
        <v>135</v>
      </c>
      <c r="BL37" t="s">
        <v>135</v>
      </c>
      <c r="BM37" t="s">
        <v>135</v>
      </c>
      <c r="BN37" t="s">
        <v>135</v>
      </c>
      <c r="BO37" t="s">
        <v>135</v>
      </c>
      <c r="BP37" t="s">
        <v>135</v>
      </c>
      <c r="BQ37" t="s">
        <v>135</v>
      </c>
      <c r="BR37" t="s">
        <v>135</v>
      </c>
      <c r="BS37" t="s">
        <v>135</v>
      </c>
      <c r="BT37" t="s">
        <v>135</v>
      </c>
      <c r="BU37" t="s">
        <v>135</v>
      </c>
      <c r="BV37" t="s">
        <v>135</v>
      </c>
      <c r="BW37" t="s">
        <v>135</v>
      </c>
      <c r="BX37" t="s">
        <v>135</v>
      </c>
      <c r="BY37">
        <v>0</v>
      </c>
      <c r="BZ37">
        <v>0</v>
      </c>
      <c r="CA37">
        <v>0</v>
      </c>
      <c r="CB37">
        <v>0</v>
      </c>
      <c r="CC37">
        <v>-1.274</v>
      </c>
      <c r="CD37">
        <v>0</v>
      </c>
      <c r="CE37">
        <v>-1.4289000000000001</v>
      </c>
      <c r="CF37">
        <v>514.53330000000005</v>
      </c>
      <c r="CG37">
        <v>63.084299999999999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-50.2271</v>
      </c>
      <c r="CO37">
        <v>-100.91240000000001</v>
      </c>
      <c r="CP37">
        <v>1543.6</v>
      </c>
      <c r="CQ37" t="s">
        <v>135</v>
      </c>
      <c r="CR37">
        <v>1410.2</v>
      </c>
      <c r="CS37">
        <v>0.86229999999999996</v>
      </c>
      <c r="CT37">
        <v>1.8963000000000001</v>
      </c>
      <c r="CU37">
        <v>1.0215000000000001</v>
      </c>
      <c r="CV37">
        <v>21.4529</v>
      </c>
      <c r="CW37">
        <v>23.323899999999998</v>
      </c>
      <c r="CX37">
        <v>15.6492</v>
      </c>
      <c r="CY37">
        <v>7.7625999999999999</v>
      </c>
      <c r="CZ37">
        <v>47.020200000000003</v>
      </c>
      <c r="DA37">
        <v>3.0640000000000001</v>
      </c>
      <c r="DB37">
        <v>119.1251</v>
      </c>
      <c r="DC37">
        <v>-56.4557</v>
      </c>
      <c r="DD37">
        <v>62.669400000000003</v>
      </c>
      <c r="DE37">
        <v>1190.7</v>
      </c>
      <c r="DF37">
        <v>154</v>
      </c>
      <c r="DG37">
        <v>23.5</v>
      </c>
      <c r="DH37">
        <v>480.2</v>
      </c>
      <c r="DI37">
        <v>533</v>
      </c>
    </row>
    <row r="38" spans="4:113" x14ac:dyDescent="0.3">
      <c r="D38" t="s">
        <v>83</v>
      </c>
      <c r="E38" t="s">
        <v>77</v>
      </c>
      <c r="F38">
        <v>30.8903</v>
      </c>
      <c r="G38">
        <v>20.581299999999999</v>
      </c>
      <c r="H38">
        <v>31.0854</v>
      </c>
      <c r="I38">
        <v>26.988800000000001</v>
      </c>
      <c r="J38">
        <v>24.364100000000001</v>
      </c>
      <c r="K38">
        <v>22.281300000000002</v>
      </c>
      <c r="L38">
        <v>81.025400000000005</v>
      </c>
      <c r="M38">
        <v>25.6496</v>
      </c>
      <c r="N38">
        <v>17.052199999999999</v>
      </c>
      <c r="O38">
        <v>17.052199999999999</v>
      </c>
      <c r="P38">
        <v>17.052199999999999</v>
      </c>
      <c r="Q38">
        <v>33.518700000000003</v>
      </c>
      <c r="R38">
        <v>27.614699999999999</v>
      </c>
      <c r="S38">
        <v>22.36</v>
      </c>
      <c r="T38">
        <v>6.4062000000000001</v>
      </c>
      <c r="U38">
        <v>24.817299999999999</v>
      </c>
      <c r="V38">
        <v>28.0303</v>
      </c>
      <c r="W38">
        <v>22.256900000000002</v>
      </c>
      <c r="X38">
        <v>22.2639</v>
      </c>
      <c r="Y38">
        <v>19.008299999999998</v>
      </c>
      <c r="Z38">
        <v>31.314699999999998</v>
      </c>
      <c r="AA38">
        <v>7.0631000000000004</v>
      </c>
      <c r="AB38">
        <v>1.0955999999999999</v>
      </c>
      <c r="AC38">
        <v>11.1374</v>
      </c>
      <c r="AD38">
        <v>66.235900000000001</v>
      </c>
      <c r="AE38">
        <v>53.362699999999997</v>
      </c>
      <c r="AF38">
        <v>-12.938499999999999</v>
      </c>
      <c r="AG38" t="s">
        <v>135</v>
      </c>
      <c r="AH38" t="s">
        <v>135</v>
      </c>
      <c r="AI38">
        <v>22.994599999999998</v>
      </c>
      <c r="AJ38">
        <v>22.994599999999998</v>
      </c>
      <c r="AK38">
        <v>22.994599999999998</v>
      </c>
      <c r="AL38">
        <v>-17.1678</v>
      </c>
      <c r="AM38">
        <v>19.8672</v>
      </c>
      <c r="AN38">
        <v>29.893699999999999</v>
      </c>
      <c r="AO38">
        <v>31.3628</v>
      </c>
      <c r="AP38">
        <v>22.908200000000001</v>
      </c>
      <c r="AQ38">
        <v>22.9086</v>
      </c>
      <c r="AR38">
        <v>9.8560999999999996</v>
      </c>
      <c r="AS38">
        <v>36.984699999999997</v>
      </c>
      <c r="AT38">
        <v>14.303599999999999</v>
      </c>
      <c r="AU38">
        <v>12.1668</v>
      </c>
      <c r="AV38">
        <v>19.7865</v>
      </c>
      <c r="AW38" t="s">
        <v>135</v>
      </c>
      <c r="AX38">
        <v>24.980599999999999</v>
      </c>
      <c r="AY38">
        <v>16.0303</v>
      </c>
      <c r="AZ38" t="s">
        <v>135</v>
      </c>
      <c r="BA38" t="s">
        <v>135</v>
      </c>
      <c r="BB38">
        <v>20.266200000000001</v>
      </c>
      <c r="BC38">
        <v>20.266200000000001</v>
      </c>
      <c r="BD38">
        <v>20.266200000000001</v>
      </c>
      <c r="BE38">
        <v>23.508700000000001</v>
      </c>
      <c r="BF38">
        <v>6.4062000000000001</v>
      </c>
      <c r="BG38">
        <v>24.817299999999999</v>
      </c>
      <c r="BH38">
        <v>28.0303</v>
      </c>
      <c r="BI38">
        <v>22.256900000000002</v>
      </c>
      <c r="BJ38">
        <v>22.2639</v>
      </c>
      <c r="BK38">
        <v>19.008299999999998</v>
      </c>
      <c r="BL38">
        <v>31.314699999999998</v>
      </c>
      <c r="BM38">
        <v>7.0631000000000004</v>
      </c>
      <c r="BN38">
        <v>1.0955999999999999</v>
      </c>
      <c r="BO38">
        <v>11.1374</v>
      </c>
      <c r="BP38" t="s">
        <v>135</v>
      </c>
      <c r="BQ38">
        <v>53.362699999999997</v>
      </c>
      <c r="BR38">
        <v>-12.938499999999999</v>
      </c>
      <c r="BS38" t="s">
        <v>135</v>
      </c>
      <c r="BT38" t="s">
        <v>135</v>
      </c>
      <c r="BU38">
        <v>22.994599999999998</v>
      </c>
      <c r="BV38">
        <v>22.994599999999998</v>
      </c>
      <c r="BW38">
        <v>22.994599999999998</v>
      </c>
      <c r="BX38">
        <v>-17.1678</v>
      </c>
      <c r="BY38">
        <v>0</v>
      </c>
      <c r="BZ38">
        <v>0</v>
      </c>
      <c r="CA38">
        <v>0</v>
      </c>
      <c r="CB38">
        <v>0</v>
      </c>
      <c r="CC38">
        <v>-1.7753000000000001</v>
      </c>
      <c r="CD38">
        <v>0</v>
      </c>
      <c r="CE38">
        <v>-1.9412</v>
      </c>
      <c r="CF38">
        <v>150.40799999999999</v>
      </c>
      <c r="CG38">
        <v>69.814700000000002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-71.029799999999994</v>
      </c>
      <c r="CO38">
        <v>-245.18270000000001</v>
      </c>
      <c r="CP38">
        <v>6046.4</v>
      </c>
      <c r="CQ38">
        <v>5519.9</v>
      </c>
      <c r="CR38">
        <v>5529.5</v>
      </c>
      <c r="CS38">
        <v>1.6518999999999999</v>
      </c>
      <c r="CT38">
        <v>2.5137999999999998</v>
      </c>
      <c r="CU38">
        <v>1.8820999999999999</v>
      </c>
      <c r="CV38">
        <v>27.013999999999999</v>
      </c>
      <c r="CW38">
        <v>18.832000000000001</v>
      </c>
      <c r="CX38">
        <v>19.434999999999999</v>
      </c>
      <c r="CY38">
        <v>7.5045999999999999</v>
      </c>
      <c r="CZ38">
        <v>48.770099999999999</v>
      </c>
      <c r="DA38">
        <v>2.6808999999999998</v>
      </c>
      <c r="DB38">
        <v>136.5198</v>
      </c>
      <c r="DC38">
        <v>-68.314700000000002</v>
      </c>
      <c r="DD38">
        <v>68.205100000000002</v>
      </c>
      <c r="DE38">
        <v>1274.8</v>
      </c>
      <c r="DF38">
        <v>151.9</v>
      </c>
      <c r="DG38">
        <v>51.3</v>
      </c>
      <c r="DH38">
        <v>509</v>
      </c>
      <c r="DI38">
        <v>562.6</v>
      </c>
    </row>
    <row r="39" spans="4:113" x14ac:dyDescent="0.3">
      <c r="E39" t="s">
        <v>78</v>
      </c>
      <c r="F39" t="s">
        <v>135</v>
      </c>
      <c r="G39" t="s">
        <v>135</v>
      </c>
      <c r="H39" t="s">
        <v>135</v>
      </c>
      <c r="I39" t="s">
        <v>135</v>
      </c>
      <c r="J39">
        <v>16.182099999999998</v>
      </c>
      <c r="K39">
        <v>14.0571</v>
      </c>
      <c r="L39">
        <v>74.427099999999996</v>
      </c>
      <c r="M39">
        <v>17.410900000000002</v>
      </c>
      <c r="N39">
        <v>11.666399999999999</v>
      </c>
      <c r="O39">
        <v>11.666399999999999</v>
      </c>
      <c r="P39">
        <v>11.666399999999999</v>
      </c>
      <c r="Q39">
        <v>32.994</v>
      </c>
      <c r="R39" t="s">
        <v>135</v>
      </c>
      <c r="S39" t="s">
        <v>135</v>
      </c>
      <c r="T39">
        <v>3.7862</v>
      </c>
      <c r="U39">
        <v>22.534500000000001</v>
      </c>
      <c r="V39">
        <v>23.938700000000001</v>
      </c>
      <c r="W39">
        <v>13.4634</v>
      </c>
      <c r="X39">
        <v>13.4565</v>
      </c>
      <c r="Y39" t="s">
        <v>135</v>
      </c>
      <c r="Z39" t="s">
        <v>135</v>
      </c>
      <c r="AA39" t="s">
        <v>135</v>
      </c>
      <c r="AB39" t="s">
        <v>135</v>
      </c>
      <c r="AC39" t="s">
        <v>135</v>
      </c>
      <c r="AD39" t="s">
        <v>135</v>
      </c>
      <c r="AE39" t="s">
        <v>135</v>
      </c>
      <c r="AF39" t="s">
        <v>135</v>
      </c>
      <c r="AG39" t="s">
        <v>135</v>
      </c>
      <c r="AH39" t="s">
        <v>135</v>
      </c>
      <c r="AI39" t="s">
        <v>135</v>
      </c>
      <c r="AJ39" t="s">
        <v>135</v>
      </c>
      <c r="AK39" t="s">
        <v>135</v>
      </c>
      <c r="AL39" t="s">
        <v>135</v>
      </c>
      <c r="AM39">
        <v>21.295500000000001</v>
      </c>
      <c r="AN39">
        <v>21.784600000000001</v>
      </c>
      <c r="AO39">
        <v>21.835599999999999</v>
      </c>
      <c r="AP39">
        <v>17.346699999999998</v>
      </c>
      <c r="AQ39">
        <v>17.352499999999999</v>
      </c>
      <c r="AR39" t="s">
        <v>135</v>
      </c>
      <c r="AS39" t="s">
        <v>135</v>
      </c>
      <c r="AT39" t="s">
        <v>135</v>
      </c>
      <c r="AU39" t="s">
        <v>135</v>
      </c>
      <c r="AV39" t="s">
        <v>135</v>
      </c>
      <c r="AW39" t="s">
        <v>135</v>
      </c>
      <c r="AX39" t="s">
        <v>135</v>
      </c>
      <c r="AY39" t="s">
        <v>135</v>
      </c>
      <c r="AZ39" t="s">
        <v>135</v>
      </c>
      <c r="BA39" t="s">
        <v>135</v>
      </c>
      <c r="BB39" t="s">
        <v>135</v>
      </c>
      <c r="BC39" t="s">
        <v>135</v>
      </c>
      <c r="BD39" t="s">
        <v>135</v>
      </c>
      <c r="BE39" t="s">
        <v>135</v>
      </c>
      <c r="BF39">
        <v>7.3669000000000002</v>
      </c>
      <c r="BG39">
        <v>-37.295900000000003</v>
      </c>
      <c r="BH39">
        <v>-40.377299999999998</v>
      </c>
      <c r="BI39">
        <v>-34.8399</v>
      </c>
      <c r="BJ39">
        <v>-34.828699999999998</v>
      </c>
      <c r="BK39" t="s">
        <v>135</v>
      </c>
      <c r="BL39" t="s">
        <v>135</v>
      </c>
      <c r="BM39" t="s">
        <v>135</v>
      </c>
      <c r="BN39" t="s">
        <v>135</v>
      </c>
      <c r="BO39" t="s">
        <v>135</v>
      </c>
      <c r="BP39" t="s">
        <v>135</v>
      </c>
      <c r="BQ39" t="s">
        <v>135</v>
      </c>
      <c r="BR39" t="s">
        <v>135</v>
      </c>
      <c r="BS39" t="s">
        <v>135</v>
      </c>
      <c r="BT39" t="s">
        <v>135</v>
      </c>
      <c r="BU39" t="s">
        <v>135</v>
      </c>
      <c r="BV39" t="s">
        <v>135</v>
      </c>
      <c r="BW39" t="s">
        <v>135</v>
      </c>
      <c r="BX39" t="s">
        <v>135</v>
      </c>
      <c r="BY39" t="s">
        <v>135</v>
      </c>
      <c r="BZ39" t="s">
        <v>135</v>
      </c>
      <c r="CA39" t="s">
        <v>135</v>
      </c>
      <c r="CB39" t="s">
        <v>135</v>
      </c>
      <c r="CC39" t="s">
        <v>135</v>
      </c>
      <c r="CD39" t="s">
        <v>135</v>
      </c>
      <c r="CE39" t="s">
        <v>135</v>
      </c>
      <c r="CF39">
        <v>84.165199999999999</v>
      </c>
      <c r="CG39" t="s">
        <v>135</v>
      </c>
      <c r="CH39" t="s">
        <v>135</v>
      </c>
      <c r="CI39" t="s">
        <v>135</v>
      </c>
      <c r="CJ39" t="s">
        <v>135</v>
      </c>
      <c r="CK39" t="s">
        <v>135</v>
      </c>
      <c r="CL39" t="s">
        <v>135</v>
      </c>
      <c r="CM39" t="s">
        <v>135</v>
      </c>
      <c r="CN39" t="s">
        <v>135</v>
      </c>
      <c r="CO39" t="s">
        <v>135</v>
      </c>
      <c r="CP39">
        <v>967.9</v>
      </c>
      <c r="CQ39" t="s">
        <v>135</v>
      </c>
      <c r="CR39">
        <v>840.8</v>
      </c>
      <c r="CS39" t="s">
        <v>135</v>
      </c>
      <c r="CT39" t="s">
        <v>135</v>
      </c>
      <c r="CU39" t="s">
        <v>135</v>
      </c>
      <c r="CV39" t="s">
        <v>135</v>
      </c>
      <c r="CW39" t="s">
        <v>135</v>
      </c>
      <c r="CX39" t="s">
        <v>135</v>
      </c>
      <c r="CY39" t="s">
        <v>135</v>
      </c>
      <c r="CZ39" t="s">
        <v>135</v>
      </c>
      <c r="DA39" t="s">
        <v>135</v>
      </c>
      <c r="DB39" t="s">
        <v>135</v>
      </c>
      <c r="DC39" t="s">
        <v>135</v>
      </c>
      <c r="DD39" t="s">
        <v>135</v>
      </c>
      <c r="DE39" t="s">
        <v>135</v>
      </c>
      <c r="DF39" t="s">
        <v>135</v>
      </c>
      <c r="DG39" t="s">
        <v>135</v>
      </c>
      <c r="DH39" t="s">
        <v>135</v>
      </c>
      <c r="DI39" t="s">
        <v>135</v>
      </c>
    </row>
    <row r="40" spans="4:113" x14ac:dyDescent="0.3">
      <c r="E40" t="s">
        <v>79</v>
      </c>
      <c r="F40">
        <v>31.5807</v>
      </c>
      <c r="G40">
        <v>22.334099999999999</v>
      </c>
      <c r="H40">
        <v>31.998799999999999</v>
      </c>
      <c r="I40">
        <v>28.116599999999998</v>
      </c>
      <c r="J40">
        <v>30.291799999999999</v>
      </c>
      <c r="K40">
        <v>28.302199999999999</v>
      </c>
      <c r="L40">
        <v>129.2919</v>
      </c>
      <c r="M40">
        <v>30.866599999999998</v>
      </c>
      <c r="N40">
        <v>20.5684</v>
      </c>
      <c r="O40">
        <v>20.5684</v>
      </c>
      <c r="P40">
        <v>20.5684</v>
      </c>
      <c r="Q40">
        <v>33.363599999999998</v>
      </c>
      <c r="R40" t="s">
        <v>135</v>
      </c>
      <c r="S40" t="s">
        <v>135</v>
      </c>
      <c r="T40">
        <v>10.7448</v>
      </c>
      <c r="U40">
        <v>68.446899999999999</v>
      </c>
      <c r="V40">
        <v>79.606700000000004</v>
      </c>
      <c r="W40">
        <v>61.813400000000001</v>
      </c>
      <c r="X40">
        <v>61.797400000000003</v>
      </c>
      <c r="Y40" t="s">
        <v>135</v>
      </c>
      <c r="Z40">
        <v>51.972900000000003</v>
      </c>
      <c r="AA40">
        <v>-10.0684</v>
      </c>
      <c r="AB40">
        <v>3.7073</v>
      </c>
      <c r="AC40">
        <v>24.927299999999999</v>
      </c>
      <c r="AD40">
        <v>-34.477800000000002</v>
      </c>
      <c r="AE40">
        <v>41.903199999999998</v>
      </c>
      <c r="AF40">
        <v>20.8125</v>
      </c>
      <c r="AG40" t="s">
        <v>135</v>
      </c>
      <c r="AH40" t="s">
        <v>135</v>
      </c>
      <c r="AI40">
        <v>25.3522</v>
      </c>
      <c r="AJ40">
        <v>25.3522</v>
      </c>
      <c r="AK40">
        <v>25.3522</v>
      </c>
      <c r="AL40" t="s">
        <v>135</v>
      </c>
      <c r="AM40">
        <v>19.0214</v>
      </c>
      <c r="AN40">
        <v>31.0427</v>
      </c>
      <c r="AO40">
        <v>31.932500000000001</v>
      </c>
      <c r="AP40">
        <v>26.689299999999999</v>
      </c>
      <c r="AQ40">
        <v>26.6831</v>
      </c>
      <c r="AR40" t="s">
        <v>135</v>
      </c>
      <c r="AS40">
        <v>27.7424</v>
      </c>
      <c r="AT40">
        <v>16.570900000000002</v>
      </c>
      <c r="AU40">
        <v>11.7704</v>
      </c>
      <c r="AV40">
        <v>20.5075</v>
      </c>
      <c r="AW40" t="s">
        <v>135</v>
      </c>
      <c r="AX40">
        <v>16.715299999999999</v>
      </c>
      <c r="AY40" t="s">
        <v>135</v>
      </c>
      <c r="AZ40" t="s">
        <v>135</v>
      </c>
      <c r="BA40" t="s">
        <v>135</v>
      </c>
      <c r="BB40">
        <v>18.791399999999999</v>
      </c>
      <c r="BC40">
        <v>18.791399999999999</v>
      </c>
      <c r="BD40">
        <v>18.791399999999999</v>
      </c>
      <c r="BE40" t="s">
        <v>135</v>
      </c>
      <c r="BF40">
        <v>28.974699999999999</v>
      </c>
      <c r="BG40">
        <v>122.82380000000001</v>
      </c>
      <c r="BH40">
        <v>139.59639999999999</v>
      </c>
      <c r="BI40">
        <v>110.89709999999999</v>
      </c>
      <c r="BJ40">
        <v>110.87260000000001</v>
      </c>
      <c r="BK40" t="s">
        <v>135</v>
      </c>
      <c r="BL40" t="s">
        <v>135</v>
      </c>
      <c r="BM40" t="s">
        <v>135</v>
      </c>
      <c r="BN40" t="s">
        <v>135</v>
      </c>
      <c r="BO40" t="s">
        <v>135</v>
      </c>
      <c r="BP40" t="s">
        <v>135</v>
      </c>
      <c r="BQ40" t="s">
        <v>135</v>
      </c>
      <c r="BR40" t="s">
        <v>135</v>
      </c>
      <c r="BS40" t="s">
        <v>135</v>
      </c>
      <c r="BT40" t="s">
        <v>135</v>
      </c>
      <c r="BU40" t="s">
        <v>135</v>
      </c>
      <c r="BV40" t="s">
        <v>135</v>
      </c>
      <c r="BW40" t="s">
        <v>135</v>
      </c>
      <c r="BX40" t="s">
        <v>135</v>
      </c>
      <c r="BY40">
        <v>0</v>
      </c>
      <c r="BZ40">
        <v>0</v>
      </c>
      <c r="CA40">
        <v>0</v>
      </c>
      <c r="CB40">
        <v>0</v>
      </c>
      <c r="CC40">
        <v>-1.6974</v>
      </c>
      <c r="CD40">
        <v>0</v>
      </c>
      <c r="CE40">
        <v>-1.8628</v>
      </c>
      <c r="CF40">
        <v>93.934799999999996</v>
      </c>
      <c r="CG40">
        <v>70.827299999999994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-69.319000000000003</v>
      </c>
      <c r="CO40">
        <v>-225.93430000000001</v>
      </c>
      <c r="CP40">
        <v>2160.5</v>
      </c>
      <c r="CQ40" t="s">
        <v>135</v>
      </c>
      <c r="CR40">
        <v>2018.6</v>
      </c>
      <c r="CS40">
        <v>1.6919</v>
      </c>
      <c r="CT40">
        <v>2.5562</v>
      </c>
      <c r="CU40">
        <v>1.9157</v>
      </c>
      <c r="CV40">
        <v>21.941500000000001</v>
      </c>
      <c r="CW40">
        <v>21.652100000000001</v>
      </c>
      <c r="CX40">
        <v>16.857500000000002</v>
      </c>
      <c r="CY40">
        <v>6.8311000000000002</v>
      </c>
      <c r="CZ40">
        <v>53.432200000000002</v>
      </c>
      <c r="DA40">
        <v>2.3631000000000002</v>
      </c>
      <c r="DB40">
        <v>154.4563</v>
      </c>
      <c r="DC40">
        <v>-84.166700000000006</v>
      </c>
      <c r="DD40">
        <v>70.289699999999996</v>
      </c>
      <c r="DE40">
        <v>1236.2</v>
      </c>
      <c r="DF40" t="s">
        <v>135</v>
      </c>
      <c r="DG40" t="s">
        <v>135</v>
      </c>
      <c r="DH40" t="s">
        <v>135</v>
      </c>
      <c r="DI40" t="s">
        <v>135</v>
      </c>
    </row>
    <row r="41" spans="4:113" x14ac:dyDescent="0.3">
      <c r="E41" t="s">
        <v>80</v>
      </c>
      <c r="F41" t="s">
        <v>135</v>
      </c>
      <c r="G41" t="s">
        <v>135</v>
      </c>
      <c r="H41" t="s">
        <v>135</v>
      </c>
      <c r="I41" t="s">
        <v>135</v>
      </c>
      <c r="J41">
        <v>21.725899999999999</v>
      </c>
      <c r="K41">
        <v>19.707100000000001</v>
      </c>
      <c r="L41">
        <v>17.485900000000001</v>
      </c>
      <c r="M41">
        <v>23.5214</v>
      </c>
      <c r="N41">
        <v>15.8668</v>
      </c>
      <c r="O41">
        <v>15.8668</v>
      </c>
      <c r="P41">
        <v>15.8668</v>
      </c>
      <c r="Q41">
        <v>32.542999999999999</v>
      </c>
      <c r="R41" t="s">
        <v>135</v>
      </c>
      <c r="S41" t="s">
        <v>135</v>
      </c>
      <c r="T41">
        <v>10.5238</v>
      </c>
      <c r="U41">
        <v>8.4847000000000001</v>
      </c>
      <c r="V41">
        <v>9.2280999999999995</v>
      </c>
      <c r="W41">
        <v>11.980700000000001</v>
      </c>
      <c r="X41">
        <v>11.991</v>
      </c>
      <c r="Y41" t="s">
        <v>135</v>
      </c>
      <c r="Z41" t="s">
        <v>135</v>
      </c>
      <c r="AA41" t="s">
        <v>135</v>
      </c>
      <c r="AB41" t="s">
        <v>135</v>
      </c>
      <c r="AC41" t="s">
        <v>135</v>
      </c>
      <c r="AD41" t="s">
        <v>135</v>
      </c>
      <c r="AE41" t="s">
        <v>135</v>
      </c>
      <c r="AF41" t="s">
        <v>135</v>
      </c>
      <c r="AG41" t="s">
        <v>135</v>
      </c>
      <c r="AH41" t="s">
        <v>135</v>
      </c>
      <c r="AI41" t="s">
        <v>135</v>
      </c>
      <c r="AJ41" t="s">
        <v>135</v>
      </c>
      <c r="AK41" t="s">
        <v>135</v>
      </c>
      <c r="AL41" t="s">
        <v>135</v>
      </c>
      <c r="AM41">
        <v>21.209600000000002</v>
      </c>
      <c r="AN41">
        <v>23.528400000000001</v>
      </c>
      <c r="AO41">
        <v>24.3843</v>
      </c>
      <c r="AP41">
        <v>20.100100000000001</v>
      </c>
      <c r="AQ41">
        <v>20.1038</v>
      </c>
      <c r="AR41" t="s">
        <v>135</v>
      </c>
      <c r="AS41" t="s">
        <v>135</v>
      </c>
      <c r="AT41" t="s">
        <v>135</v>
      </c>
      <c r="AU41" t="s">
        <v>135</v>
      </c>
      <c r="AV41" t="s">
        <v>135</v>
      </c>
      <c r="AW41" t="s">
        <v>135</v>
      </c>
      <c r="AX41" t="s">
        <v>135</v>
      </c>
      <c r="AY41" t="s">
        <v>135</v>
      </c>
      <c r="AZ41" t="s">
        <v>135</v>
      </c>
      <c r="BA41" t="s">
        <v>135</v>
      </c>
      <c r="BB41" t="s">
        <v>135</v>
      </c>
      <c r="BC41" t="s">
        <v>135</v>
      </c>
      <c r="BD41" t="s">
        <v>135</v>
      </c>
      <c r="BE41" t="s">
        <v>135</v>
      </c>
      <c r="BF41">
        <v>-6.9227999999999996</v>
      </c>
      <c r="BG41">
        <v>-38.385100000000001</v>
      </c>
      <c r="BH41">
        <v>-40.188099999999999</v>
      </c>
      <c r="BI41">
        <v>-33.588200000000001</v>
      </c>
      <c r="BJ41">
        <v>-33.584400000000002</v>
      </c>
      <c r="BK41" t="s">
        <v>135</v>
      </c>
      <c r="BL41" t="s">
        <v>135</v>
      </c>
      <c r="BM41" t="s">
        <v>135</v>
      </c>
      <c r="BN41" t="s">
        <v>135</v>
      </c>
      <c r="BO41" t="s">
        <v>135</v>
      </c>
      <c r="BP41" t="s">
        <v>135</v>
      </c>
      <c r="BQ41" t="s">
        <v>135</v>
      </c>
      <c r="BR41" t="s">
        <v>135</v>
      </c>
      <c r="BS41" t="s">
        <v>135</v>
      </c>
      <c r="BT41" t="s">
        <v>135</v>
      </c>
      <c r="BU41" t="s">
        <v>135</v>
      </c>
      <c r="BV41" t="s">
        <v>135</v>
      </c>
      <c r="BW41" t="s">
        <v>135</v>
      </c>
      <c r="BX41" t="s">
        <v>135</v>
      </c>
      <c r="BY41" t="s">
        <v>135</v>
      </c>
      <c r="BZ41" t="s">
        <v>135</v>
      </c>
      <c r="CA41" t="s">
        <v>135</v>
      </c>
      <c r="CB41" t="s">
        <v>135</v>
      </c>
      <c r="CC41" t="s">
        <v>135</v>
      </c>
      <c r="CD41" t="s">
        <v>135</v>
      </c>
      <c r="CE41" t="s">
        <v>135</v>
      </c>
      <c r="CF41">
        <v>555.125</v>
      </c>
      <c r="CG41" t="s">
        <v>135</v>
      </c>
      <c r="CH41" t="s">
        <v>135</v>
      </c>
      <c r="CI41" t="s">
        <v>135</v>
      </c>
      <c r="CJ41" t="s">
        <v>135</v>
      </c>
      <c r="CK41" t="s">
        <v>135</v>
      </c>
      <c r="CL41" t="s">
        <v>135</v>
      </c>
      <c r="CM41" t="s">
        <v>135</v>
      </c>
      <c r="CN41" t="s">
        <v>135</v>
      </c>
      <c r="CO41" t="s">
        <v>135</v>
      </c>
      <c r="CP41">
        <v>1332.3</v>
      </c>
      <c r="CQ41" t="s">
        <v>135</v>
      </c>
      <c r="CR41">
        <v>1208.5</v>
      </c>
      <c r="CS41" t="s">
        <v>135</v>
      </c>
      <c r="CT41" t="s">
        <v>135</v>
      </c>
      <c r="CU41" t="s">
        <v>135</v>
      </c>
      <c r="CV41" t="s">
        <v>135</v>
      </c>
      <c r="CW41" t="s">
        <v>135</v>
      </c>
      <c r="CX41" t="s">
        <v>135</v>
      </c>
      <c r="CY41" t="s">
        <v>135</v>
      </c>
      <c r="CZ41" t="s">
        <v>135</v>
      </c>
      <c r="DA41" t="s">
        <v>135</v>
      </c>
      <c r="DB41" t="s">
        <v>135</v>
      </c>
      <c r="DC41" t="s">
        <v>135</v>
      </c>
      <c r="DD41" t="s">
        <v>135</v>
      </c>
      <c r="DE41" t="s">
        <v>135</v>
      </c>
      <c r="DF41" t="s">
        <v>135</v>
      </c>
      <c r="DG41" t="s">
        <v>135</v>
      </c>
      <c r="DH41" t="s">
        <v>135</v>
      </c>
      <c r="DI41" t="s">
        <v>135</v>
      </c>
    </row>
    <row r="42" spans="4:113" x14ac:dyDescent="0.3">
      <c r="E42" t="s">
        <v>81</v>
      </c>
      <c r="F42">
        <v>30.8428</v>
      </c>
      <c r="G42">
        <v>20.549700000000001</v>
      </c>
      <c r="H42">
        <v>31.110199999999999</v>
      </c>
      <c r="I42">
        <v>26.952500000000001</v>
      </c>
      <c r="J42">
        <v>28.463999999999999</v>
      </c>
      <c r="K42">
        <v>26.2363</v>
      </c>
      <c r="L42" t="s">
        <v>135</v>
      </c>
      <c r="M42">
        <v>30.1585</v>
      </c>
      <c r="N42">
        <v>19.637799999999999</v>
      </c>
      <c r="O42">
        <v>19.637799999999999</v>
      </c>
      <c r="P42">
        <v>19.637799999999999</v>
      </c>
      <c r="Q42">
        <v>34.884799999999998</v>
      </c>
      <c r="R42" t="s">
        <v>135</v>
      </c>
      <c r="S42" t="s">
        <v>135</v>
      </c>
      <c r="T42">
        <v>0</v>
      </c>
      <c r="U42">
        <v>2.7274000000000003</v>
      </c>
      <c r="V42">
        <v>3.6448999999999998</v>
      </c>
      <c r="W42">
        <v>2.1570999999999998</v>
      </c>
      <c r="X42">
        <v>2.1522000000000001</v>
      </c>
      <c r="Y42" t="s">
        <v>135</v>
      </c>
      <c r="Z42">
        <v>31.314699999999998</v>
      </c>
      <c r="AA42">
        <v>7.0631000000000004</v>
      </c>
      <c r="AB42">
        <v>1.0955999999999999</v>
      </c>
      <c r="AC42">
        <v>11.1374</v>
      </c>
      <c r="AD42">
        <v>66.235900000000001</v>
      </c>
      <c r="AE42">
        <v>53.362699999999997</v>
      </c>
      <c r="AF42">
        <v>-12.938499999999999</v>
      </c>
      <c r="AG42" t="s">
        <v>135</v>
      </c>
      <c r="AH42" t="s">
        <v>135</v>
      </c>
      <c r="AI42">
        <v>22.994599999999998</v>
      </c>
      <c r="AJ42">
        <v>22.994599999999998</v>
      </c>
      <c r="AK42">
        <v>22.994599999999998</v>
      </c>
      <c r="AL42" t="s">
        <v>135</v>
      </c>
      <c r="AM42">
        <v>17.893599999999999</v>
      </c>
      <c r="AN42">
        <v>45.652200000000001</v>
      </c>
      <c r="AO42">
        <v>52.057499999999997</v>
      </c>
      <c r="AP42">
        <v>25.152699999999999</v>
      </c>
      <c r="AQ42">
        <v>25.142700000000001</v>
      </c>
      <c r="AR42" t="s">
        <v>135</v>
      </c>
      <c r="AS42">
        <v>36.984699999999997</v>
      </c>
      <c r="AT42">
        <v>14.303599999999999</v>
      </c>
      <c r="AU42">
        <v>12.1668</v>
      </c>
      <c r="AV42">
        <v>19.7865</v>
      </c>
      <c r="AW42" t="s">
        <v>135</v>
      </c>
      <c r="AX42">
        <v>24.980599999999999</v>
      </c>
      <c r="AY42">
        <v>16.0303</v>
      </c>
      <c r="AZ42" t="s">
        <v>135</v>
      </c>
      <c r="BA42" t="s">
        <v>135</v>
      </c>
      <c r="BB42">
        <v>20.266200000000001</v>
      </c>
      <c r="BC42">
        <v>20.266200000000001</v>
      </c>
      <c r="BD42">
        <v>20.266200000000001</v>
      </c>
      <c r="BE42" t="s">
        <v>135</v>
      </c>
      <c r="BF42">
        <v>2.4458000000000002</v>
      </c>
      <c r="BG42">
        <v>18.8948</v>
      </c>
      <c r="BH42">
        <v>20.8034</v>
      </c>
      <c r="BI42">
        <v>12.713799999999999</v>
      </c>
      <c r="BJ42">
        <v>12.709</v>
      </c>
      <c r="BK42" t="s">
        <v>135</v>
      </c>
      <c r="BL42" t="s">
        <v>135</v>
      </c>
      <c r="BM42" t="s">
        <v>135</v>
      </c>
      <c r="BN42" t="s">
        <v>135</v>
      </c>
      <c r="BO42" t="s">
        <v>135</v>
      </c>
      <c r="BP42" t="s">
        <v>135</v>
      </c>
      <c r="BQ42" t="s">
        <v>135</v>
      </c>
      <c r="BR42" t="s">
        <v>135</v>
      </c>
      <c r="BS42" t="s">
        <v>135</v>
      </c>
      <c r="BT42" t="s">
        <v>135</v>
      </c>
      <c r="BU42" t="s">
        <v>135</v>
      </c>
      <c r="BV42" t="s">
        <v>135</v>
      </c>
      <c r="BW42" t="s">
        <v>135</v>
      </c>
      <c r="BX42" t="s">
        <v>135</v>
      </c>
      <c r="BY42">
        <v>0</v>
      </c>
      <c r="BZ42">
        <v>0</v>
      </c>
      <c r="CA42">
        <v>0</v>
      </c>
      <c r="CB42">
        <v>0</v>
      </c>
      <c r="CC42">
        <v>-1.7739</v>
      </c>
      <c r="CD42">
        <v>0</v>
      </c>
      <c r="CE42">
        <v>-1.9395</v>
      </c>
      <c r="CF42">
        <v>480.51519999999999</v>
      </c>
      <c r="CG42">
        <v>69.814700000000002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-71.029799999999994</v>
      </c>
      <c r="CO42">
        <v>-245.18270000000001</v>
      </c>
      <c r="CP42">
        <v>1585.7</v>
      </c>
      <c r="CQ42" t="s">
        <v>135</v>
      </c>
      <c r="CR42">
        <v>1461.6</v>
      </c>
      <c r="CS42">
        <v>1.6518999999999999</v>
      </c>
      <c r="CT42">
        <v>2.5137999999999998</v>
      </c>
      <c r="CU42">
        <v>1.8820999999999999</v>
      </c>
      <c r="CV42">
        <v>27.013999999999999</v>
      </c>
      <c r="CW42">
        <v>17.549900000000001</v>
      </c>
      <c r="CX42">
        <v>20.854900000000001</v>
      </c>
      <c r="CY42">
        <v>7.2831000000000001</v>
      </c>
      <c r="CZ42">
        <v>50.253</v>
      </c>
      <c r="DA42">
        <v>2.6025</v>
      </c>
      <c r="DB42">
        <v>140.63239999999999</v>
      </c>
      <c r="DC42">
        <v>-69.524500000000003</v>
      </c>
      <c r="DD42">
        <v>71.107900000000001</v>
      </c>
      <c r="DE42">
        <v>1274.8</v>
      </c>
      <c r="DF42">
        <v>151.9</v>
      </c>
      <c r="DG42">
        <v>51.3</v>
      </c>
      <c r="DH42">
        <v>509</v>
      </c>
      <c r="DI42">
        <v>562.6</v>
      </c>
    </row>
    <row r="43" spans="4:113" x14ac:dyDescent="0.3">
      <c r="D43" t="s">
        <v>84</v>
      </c>
      <c r="E43" t="s">
        <v>77</v>
      </c>
      <c r="F43">
        <v>39.738300000000002</v>
      </c>
      <c r="G43">
        <v>26.0169</v>
      </c>
      <c r="H43">
        <v>40.354700000000001</v>
      </c>
      <c r="I43">
        <v>33.202500000000001</v>
      </c>
      <c r="J43">
        <v>28.642900000000001</v>
      </c>
      <c r="K43">
        <v>26.0684</v>
      </c>
      <c r="L43">
        <v>112.70829999999999</v>
      </c>
      <c r="M43">
        <v>28.950600000000001</v>
      </c>
      <c r="N43">
        <v>18.648900000000001</v>
      </c>
      <c r="O43">
        <v>18.648900000000001</v>
      </c>
      <c r="P43">
        <v>18.648900000000001</v>
      </c>
      <c r="Q43">
        <v>35.583599999999997</v>
      </c>
      <c r="R43">
        <v>291.80380000000002</v>
      </c>
      <c r="S43">
        <v>-76.219499999999996</v>
      </c>
      <c r="T43">
        <v>1.9781</v>
      </c>
      <c r="U43">
        <v>9.7057000000000002</v>
      </c>
      <c r="V43">
        <v>9.1544000000000008</v>
      </c>
      <c r="W43">
        <v>2.4213</v>
      </c>
      <c r="X43">
        <v>2.4222999999999999</v>
      </c>
      <c r="Y43">
        <v>980.55560000000003</v>
      </c>
      <c r="Z43">
        <v>-11.2418</v>
      </c>
      <c r="AA43">
        <v>39.119900000000001</v>
      </c>
      <c r="AB43">
        <v>-7.2695999999999996</v>
      </c>
      <c r="AC43">
        <v>-46.4497</v>
      </c>
      <c r="AD43">
        <v>-12.7791</v>
      </c>
      <c r="AE43" t="s">
        <v>135</v>
      </c>
      <c r="AF43">
        <v>12.050700000000001</v>
      </c>
      <c r="AG43" t="s">
        <v>135</v>
      </c>
      <c r="AH43" t="s">
        <v>135</v>
      </c>
      <c r="AI43">
        <v>-68.148300000000006</v>
      </c>
      <c r="AJ43">
        <v>-68.148300000000006</v>
      </c>
      <c r="AK43">
        <v>-68.148300000000006</v>
      </c>
      <c r="AL43">
        <v>28.937799999999999</v>
      </c>
      <c r="AM43">
        <v>12.330400000000001</v>
      </c>
      <c r="AN43">
        <v>27.121500000000001</v>
      </c>
      <c r="AO43">
        <v>28.576499999999999</v>
      </c>
      <c r="AP43">
        <v>19.0059</v>
      </c>
      <c r="AQ43">
        <v>19.005700000000001</v>
      </c>
      <c r="AR43">
        <v>76.828999999999994</v>
      </c>
      <c r="AS43">
        <v>22.494900000000001</v>
      </c>
      <c r="AT43">
        <v>13.9611</v>
      </c>
      <c r="AU43">
        <v>7.5153999999999996</v>
      </c>
      <c r="AV43">
        <v>1.0969</v>
      </c>
      <c r="AW43" t="s">
        <v>135</v>
      </c>
      <c r="AX43" t="s">
        <v>135</v>
      </c>
      <c r="AY43">
        <v>7.2995000000000001</v>
      </c>
      <c r="AZ43" t="s">
        <v>135</v>
      </c>
      <c r="BA43" t="s">
        <v>135</v>
      </c>
      <c r="BB43">
        <v>-5.4707999999999997</v>
      </c>
      <c r="BC43">
        <v>-5.4707999999999997</v>
      </c>
      <c r="BD43">
        <v>-5.4707999999999997</v>
      </c>
      <c r="BE43">
        <v>19.3261</v>
      </c>
      <c r="BF43">
        <v>1.9781</v>
      </c>
      <c r="BG43">
        <v>9.7057000000000002</v>
      </c>
      <c r="BH43">
        <v>9.1544000000000008</v>
      </c>
      <c r="BI43">
        <v>2.4213</v>
      </c>
      <c r="BJ43">
        <v>2.4222999999999999</v>
      </c>
      <c r="BK43">
        <v>980.55560000000003</v>
      </c>
      <c r="BL43">
        <v>-11.2418</v>
      </c>
      <c r="BM43">
        <v>39.119900000000001</v>
      </c>
      <c r="BN43">
        <v>-7.2695999999999996</v>
      </c>
      <c r="BO43">
        <v>-46.4497</v>
      </c>
      <c r="BP43" t="s">
        <v>135</v>
      </c>
      <c r="BQ43">
        <v>-102.3822</v>
      </c>
      <c r="BR43">
        <v>12.050700000000001</v>
      </c>
      <c r="BS43" t="s">
        <v>135</v>
      </c>
      <c r="BT43" t="s">
        <v>135</v>
      </c>
      <c r="BU43">
        <v>-68.148300000000006</v>
      </c>
      <c r="BV43">
        <v>-68.148300000000006</v>
      </c>
      <c r="BW43">
        <v>-68.148300000000006</v>
      </c>
      <c r="BX43">
        <v>28.937799999999999</v>
      </c>
      <c r="BY43">
        <v>0</v>
      </c>
      <c r="BZ43">
        <v>0</v>
      </c>
      <c r="CA43">
        <v>0</v>
      </c>
      <c r="CB43">
        <v>0</v>
      </c>
      <c r="CC43">
        <v>-0.17580000000000001</v>
      </c>
      <c r="CD43">
        <v>0</v>
      </c>
      <c r="CE43">
        <v>-0.19309999999999999</v>
      </c>
      <c r="CF43">
        <v>63.784100000000002</v>
      </c>
      <c r="CG43">
        <v>45.350499999999997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-22.206</v>
      </c>
      <c r="CO43">
        <v>-28.544599999999999</v>
      </c>
      <c r="CP43">
        <v>6646.3</v>
      </c>
      <c r="CQ43">
        <v>6205</v>
      </c>
      <c r="CR43">
        <v>6048.9</v>
      </c>
      <c r="CS43">
        <v>0.1855</v>
      </c>
      <c r="CT43">
        <v>0.95760000000000001</v>
      </c>
      <c r="CU43">
        <v>0.39629999999999999</v>
      </c>
      <c r="CV43">
        <v>28.511199999999999</v>
      </c>
      <c r="CW43">
        <v>16.432300000000001</v>
      </c>
      <c r="CX43">
        <v>22.212399999999999</v>
      </c>
      <c r="CY43">
        <v>6.3384999999999998</v>
      </c>
      <c r="CZ43">
        <v>57.584699999999998</v>
      </c>
      <c r="DA43">
        <v>2.9563000000000001</v>
      </c>
      <c r="DB43">
        <v>123.4666</v>
      </c>
      <c r="DC43">
        <v>-43.669499999999999</v>
      </c>
      <c r="DD43">
        <v>79.7971</v>
      </c>
      <c r="DE43">
        <v>1773.5</v>
      </c>
      <c r="DF43">
        <v>209</v>
      </c>
      <c r="DG43">
        <v>13.7</v>
      </c>
      <c r="DH43">
        <v>986.8</v>
      </c>
      <c r="DI43">
        <v>564</v>
      </c>
    </row>
    <row r="44" spans="4:113" x14ac:dyDescent="0.3">
      <c r="E44" t="s">
        <v>78</v>
      </c>
      <c r="F44" t="s">
        <v>135</v>
      </c>
      <c r="G44" t="s">
        <v>135</v>
      </c>
      <c r="H44" t="s">
        <v>135</v>
      </c>
      <c r="I44" t="s">
        <v>135</v>
      </c>
      <c r="J44">
        <v>25.197500000000002</v>
      </c>
      <c r="K44">
        <v>23.078800000000001</v>
      </c>
      <c r="L44">
        <v>115.565</v>
      </c>
      <c r="M44">
        <v>26.759499999999999</v>
      </c>
      <c r="N44">
        <v>17.409600000000001</v>
      </c>
      <c r="O44">
        <v>17.409600000000001</v>
      </c>
      <c r="P44">
        <v>17.409600000000001</v>
      </c>
      <c r="Q44">
        <v>34.9405</v>
      </c>
      <c r="R44" t="s">
        <v>135</v>
      </c>
      <c r="S44" t="s">
        <v>135</v>
      </c>
      <c r="T44">
        <v>8.4809999999999999</v>
      </c>
      <c r="U44">
        <v>55.899299999999997</v>
      </c>
      <c r="V44">
        <v>64.332300000000004</v>
      </c>
      <c r="W44">
        <v>50.143799999999999</v>
      </c>
      <c r="X44">
        <v>50.116700000000002</v>
      </c>
      <c r="Y44" t="s">
        <v>135</v>
      </c>
      <c r="Z44" t="s">
        <v>135</v>
      </c>
      <c r="AA44" t="s">
        <v>135</v>
      </c>
      <c r="AB44" t="s">
        <v>135</v>
      </c>
      <c r="AC44" t="s">
        <v>135</v>
      </c>
      <c r="AD44" t="s">
        <v>135</v>
      </c>
      <c r="AE44" t="s">
        <v>135</v>
      </c>
      <c r="AF44" t="s">
        <v>135</v>
      </c>
      <c r="AG44" t="s">
        <v>135</v>
      </c>
      <c r="AH44" t="s">
        <v>135</v>
      </c>
      <c r="AI44" t="s">
        <v>135</v>
      </c>
      <c r="AJ44" t="s">
        <v>135</v>
      </c>
      <c r="AK44" t="s">
        <v>135</v>
      </c>
      <c r="AL44" t="s">
        <v>135</v>
      </c>
      <c r="AM44">
        <v>14.7446</v>
      </c>
      <c r="AN44">
        <v>34.005699999999997</v>
      </c>
      <c r="AO44">
        <v>37.131500000000003</v>
      </c>
      <c r="AP44">
        <v>19.543299999999999</v>
      </c>
      <c r="AQ44">
        <v>19.5383</v>
      </c>
      <c r="AR44" t="s">
        <v>135</v>
      </c>
      <c r="AS44" t="s">
        <v>135</v>
      </c>
      <c r="AT44" t="s">
        <v>135</v>
      </c>
      <c r="AU44" t="s">
        <v>135</v>
      </c>
      <c r="AV44" t="s">
        <v>135</v>
      </c>
      <c r="AW44" t="s">
        <v>135</v>
      </c>
      <c r="AX44" t="s">
        <v>135</v>
      </c>
      <c r="AY44" t="s">
        <v>135</v>
      </c>
      <c r="AZ44" t="s">
        <v>135</v>
      </c>
      <c r="BA44" t="s">
        <v>135</v>
      </c>
      <c r="BB44" t="s">
        <v>135</v>
      </c>
      <c r="BC44" t="s">
        <v>135</v>
      </c>
      <c r="BD44" t="s">
        <v>135</v>
      </c>
      <c r="BE44" t="s">
        <v>135</v>
      </c>
      <c r="BF44">
        <v>7.6845999999999997</v>
      </c>
      <c r="BG44">
        <v>-4.673</v>
      </c>
      <c r="BH44">
        <v>-5.2750000000000004</v>
      </c>
      <c r="BI44">
        <v>-4.5338000000000003</v>
      </c>
      <c r="BJ44">
        <v>-4.5400999999999998</v>
      </c>
      <c r="BK44" t="s">
        <v>135</v>
      </c>
      <c r="BL44" t="s">
        <v>135</v>
      </c>
      <c r="BM44" t="s">
        <v>135</v>
      </c>
      <c r="BN44" t="s">
        <v>135</v>
      </c>
      <c r="BO44" t="s">
        <v>135</v>
      </c>
      <c r="BP44" t="s">
        <v>135</v>
      </c>
      <c r="BQ44" t="s">
        <v>135</v>
      </c>
      <c r="BR44" t="s">
        <v>135</v>
      </c>
      <c r="BS44" t="s">
        <v>135</v>
      </c>
      <c r="BT44" t="s">
        <v>135</v>
      </c>
      <c r="BU44" t="s">
        <v>135</v>
      </c>
      <c r="BV44" t="s">
        <v>135</v>
      </c>
      <c r="BW44" t="s">
        <v>135</v>
      </c>
      <c r="BX44" t="s">
        <v>135</v>
      </c>
      <c r="BY44" t="s">
        <v>135</v>
      </c>
      <c r="BZ44" t="s">
        <v>135</v>
      </c>
      <c r="CA44" t="s">
        <v>135</v>
      </c>
      <c r="CB44" t="s">
        <v>135</v>
      </c>
      <c r="CC44" t="s">
        <v>135</v>
      </c>
      <c r="CD44" t="s">
        <v>135</v>
      </c>
      <c r="CE44" t="s">
        <v>135</v>
      </c>
      <c r="CF44">
        <v>351.53489999999999</v>
      </c>
      <c r="CG44" t="s">
        <v>135</v>
      </c>
      <c r="CH44" t="s">
        <v>135</v>
      </c>
      <c r="CI44" t="s">
        <v>135</v>
      </c>
      <c r="CJ44" t="s">
        <v>135</v>
      </c>
      <c r="CK44" t="s">
        <v>135</v>
      </c>
      <c r="CL44" t="s">
        <v>135</v>
      </c>
      <c r="CM44" t="s">
        <v>135</v>
      </c>
      <c r="CN44" t="s">
        <v>135</v>
      </c>
      <c r="CO44" t="s">
        <v>135</v>
      </c>
      <c r="CP44">
        <v>1511.6</v>
      </c>
      <c r="CQ44" t="s">
        <v>135</v>
      </c>
      <c r="CR44">
        <v>1384.5</v>
      </c>
      <c r="CS44" t="s">
        <v>135</v>
      </c>
      <c r="CT44" t="s">
        <v>135</v>
      </c>
      <c r="CU44" t="s">
        <v>135</v>
      </c>
      <c r="CV44" t="s">
        <v>135</v>
      </c>
      <c r="CW44" t="s">
        <v>135</v>
      </c>
      <c r="CX44" t="s">
        <v>135</v>
      </c>
      <c r="CY44" t="s">
        <v>135</v>
      </c>
      <c r="CZ44" t="s">
        <v>135</v>
      </c>
      <c r="DA44" t="s">
        <v>135</v>
      </c>
      <c r="DB44" t="s">
        <v>135</v>
      </c>
      <c r="DC44" t="s">
        <v>135</v>
      </c>
      <c r="DD44" t="s">
        <v>135</v>
      </c>
      <c r="DE44" t="s">
        <v>135</v>
      </c>
      <c r="DF44" t="s">
        <v>135</v>
      </c>
      <c r="DG44" t="s">
        <v>135</v>
      </c>
      <c r="DH44" t="s">
        <v>135</v>
      </c>
      <c r="DI44" t="s">
        <v>135</v>
      </c>
    </row>
    <row r="45" spans="4:113" x14ac:dyDescent="0.3">
      <c r="E45" t="s">
        <v>79</v>
      </c>
      <c r="F45">
        <v>28.739799999999999</v>
      </c>
      <c r="G45">
        <v>21.013500000000001</v>
      </c>
      <c r="H45">
        <v>28.974399999999999</v>
      </c>
      <c r="I45">
        <v>24.801200000000001</v>
      </c>
      <c r="J45">
        <v>35.541600000000003</v>
      </c>
      <c r="K45">
        <v>33.492400000000004</v>
      </c>
      <c r="L45" t="s">
        <v>135</v>
      </c>
      <c r="M45">
        <v>36.067100000000003</v>
      </c>
      <c r="N45">
        <v>23.4177</v>
      </c>
      <c r="O45">
        <v>23.4177</v>
      </c>
      <c r="P45">
        <v>23.4177</v>
      </c>
      <c r="Q45">
        <v>35.072000000000003</v>
      </c>
      <c r="R45" t="s">
        <v>135</v>
      </c>
      <c r="S45" t="s">
        <v>135</v>
      </c>
      <c r="T45">
        <v>-2.3754</v>
      </c>
      <c r="U45">
        <v>5.7207999999999997</v>
      </c>
      <c r="V45">
        <v>6.6172000000000004</v>
      </c>
      <c r="W45">
        <v>2.8052999999999999</v>
      </c>
      <c r="X45">
        <v>2.7913000000000001</v>
      </c>
      <c r="Y45" t="s">
        <v>135</v>
      </c>
      <c r="Z45">
        <v>58.336500000000001</v>
      </c>
      <c r="AA45">
        <v>27.964700000000001</v>
      </c>
      <c r="AB45">
        <v>-1.3620999999999999</v>
      </c>
      <c r="AC45">
        <v>15.2813</v>
      </c>
      <c r="AD45" t="s">
        <v>135</v>
      </c>
      <c r="AE45">
        <v>35.161999999999999</v>
      </c>
      <c r="AF45">
        <v>-15.099299999999999</v>
      </c>
      <c r="AG45" t="s">
        <v>135</v>
      </c>
      <c r="AH45" t="s">
        <v>135</v>
      </c>
      <c r="AI45">
        <v>22.239100000000001</v>
      </c>
      <c r="AJ45">
        <v>22.239100000000001</v>
      </c>
      <c r="AK45">
        <v>22.239100000000001</v>
      </c>
      <c r="AL45" t="s">
        <v>135</v>
      </c>
      <c r="AM45">
        <v>12.664899999999999</v>
      </c>
      <c r="AN45">
        <v>30.135000000000002</v>
      </c>
      <c r="AO45">
        <v>31.540600000000001</v>
      </c>
      <c r="AP45">
        <v>24.090800000000002</v>
      </c>
      <c r="AQ45">
        <v>24.0901</v>
      </c>
      <c r="AR45" t="s">
        <v>135</v>
      </c>
      <c r="AS45">
        <v>30.226600000000001</v>
      </c>
      <c r="AT45">
        <v>16.054400000000001</v>
      </c>
      <c r="AU45">
        <v>11.3634</v>
      </c>
      <c r="AV45">
        <v>19.7181</v>
      </c>
      <c r="AW45" t="s">
        <v>135</v>
      </c>
      <c r="AX45">
        <v>20.0625</v>
      </c>
      <c r="AY45" t="s">
        <v>135</v>
      </c>
      <c r="AZ45" t="s">
        <v>135</v>
      </c>
      <c r="BA45" t="s">
        <v>135</v>
      </c>
      <c r="BB45">
        <v>20.525300000000001</v>
      </c>
      <c r="BC45">
        <v>20.525300000000001</v>
      </c>
      <c r="BD45">
        <v>20.525300000000001</v>
      </c>
      <c r="BE45" t="s">
        <v>135</v>
      </c>
      <c r="BF45">
        <v>7.1233000000000004</v>
      </c>
      <c r="BG45">
        <v>51.230499999999999</v>
      </c>
      <c r="BH45">
        <v>55.594099999999997</v>
      </c>
      <c r="BI45">
        <v>44.216799999999999</v>
      </c>
      <c r="BJ45">
        <v>44.233800000000002</v>
      </c>
      <c r="BK45" t="s">
        <v>135</v>
      </c>
      <c r="BL45" t="s">
        <v>135</v>
      </c>
      <c r="BM45" t="s">
        <v>135</v>
      </c>
      <c r="BN45" t="s">
        <v>135</v>
      </c>
      <c r="BO45" t="s">
        <v>135</v>
      </c>
      <c r="BP45" t="s">
        <v>135</v>
      </c>
      <c r="BQ45" t="s">
        <v>135</v>
      </c>
      <c r="BR45" t="s">
        <v>135</v>
      </c>
      <c r="BS45" t="s">
        <v>135</v>
      </c>
      <c r="BT45" t="s">
        <v>135</v>
      </c>
      <c r="BU45" t="s">
        <v>135</v>
      </c>
      <c r="BV45" t="s">
        <v>135</v>
      </c>
      <c r="BW45" t="s">
        <v>135</v>
      </c>
      <c r="BX45" t="s">
        <v>135</v>
      </c>
      <c r="BY45">
        <v>0</v>
      </c>
      <c r="BZ45">
        <v>0</v>
      </c>
      <c r="CA45">
        <v>0</v>
      </c>
      <c r="CB45">
        <v>0</v>
      </c>
      <c r="CC45">
        <v>-1.8111000000000002</v>
      </c>
      <c r="CD45">
        <v>0</v>
      </c>
      <c r="CE45">
        <v>-1.9588999999999999</v>
      </c>
      <c r="CF45">
        <v>53.788200000000003</v>
      </c>
      <c r="CG45">
        <v>75.102000000000004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-68.864699999999999</v>
      </c>
      <c r="CO45">
        <v>-221.17920000000001</v>
      </c>
      <c r="CP45">
        <v>2286</v>
      </c>
      <c r="CQ45" t="s">
        <v>135</v>
      </c>
      <c r="CR45">
        <v>2154.1999999999998</v>
      </c>
      <c r="CS45">
        <v>2.0884999999999998</v>
      </c>
      <c r="CT45">
        <v>3.1381000000000001</v>
      </c>
      <c r="CU45">
        <v>2.4485999999999999</v>
      </c>
      <c r="CV45">
        <v>27.1235</v>
      </c>
      <c r="CW45">
        <v>13.6997</v>
      </c>
      <c r="CX45">
        <v>26.716000000000001</v>
      </c>
      <c r="CY45">
        <v>6.5982000000000003</v>
      </c>
      <c r="CZ45">
        <v>55.4696</v>
      </c>
      <c r="DA45">
        <v>2.5657999999999999</v>
      </c>
      <c r="DB45">
        <v>142.6439</v>
      </c>
      <c r="DC45">
        <v>-60.458300000000001</v>
      </c>
      <c r="DD45">
        <v>82.185599999999994</v>
      </c>
      <c r="DE45">
        <v>1581.9</v>
      </c>
      <c r="DF45" t="s">
        <v>135</v>
      </c>
      <c r="DG45" t="s">
        <v>135</v>
      </c>
      <c r="DH45" t="s">
        <v>135</v>
      </c>
      <c r="DI45" t="s">
        <v>135</v>
      </c>
    </row>
    <row r="46" spans="4:113" x14ac:dyDescent="0.3">
      <c r="E46" t="s">
        <v>80</v>
      </c>
      <c r="F46" t="s">
        <v>135</v>
      </c>
      <c r="G46" t="s">
        <v>135</v>
      </c>
      <c r="H46" t="s">
        <v>135</v>
      </c>
      <c r="I46" t="s">
        <v>135</v>
      </c>
      <c r="J46">
        <v>26.791799999999999</v>
      </c>
      <c r="K46">
        <v>24.319099999999999</v>
      </c>
      <c r="L46">
        <v>61.735399999999998</v>
      </c>
      <c r="M46">
        <v>28.121400000000001</v>
      </c>
      <c r="N46">
        <v>17.3611</v>
      </c>
      <c r="O46">
        <v>17.3611</v>
      </c>
      <c r="P46">
        <v>17.3611</v>
      </c>
      <c r="Q46">
        <v>38.2637</v>
      </c>
      <c r="R46" t="s">
        <v>135</v>
      </c>
      <c r="S46" t="s">
        <v>135</v>
      </c>
      <c r="T46">
        <v>5.5315000000000003</v>
      </c>
      <c r="U46">
        <v>15.280799999999999</v>
      </c>
      <c r="V46">
        <v>15.3484</v>
      </c>
      <c r="W46">
        <v>2.6478000000000002</v>
      </c>
      <c r="X46">
        <v>2.6421000000000001</v>
      </c>
      <c r="Y46" t="s">
        <v>135</v>
      </c>
      <c r="Z46" t="s">
        <v>135</v>
      </c>
      <c r="AA46" t="s">
        <v>135</v>
      </c>
      <c r="AB46" t="s">
        <v>135</v>
      </c>
      <c r="AC46" t="s">
        <v>135</v>
      </c>
      <c r="AD46" t="s">
        <v>135</v>
      </c>
      <c r="AE46" t="s">
        <v>135</v>
      </c>
      <c r="AF46" t="s">
        <v>135</v>
      </c>
      <c r="AG46" t="s">
        <v>135</v>
      </c>
      <c r="AH46" t="s">
        <v>135</v>
      </c>
      <c r="AI46" t="s">
        <v>135</v>
      </c>
      <c r="AJ46" t="s">
        <v>135</v>
      </c>
      <c r="AK46" t="s">
        <v>135</v>
      </c>
      <c r="AL46" t="s">
        <v>135</v>
      </c>
      <c r="AM46">
        <v>11.960800000000001</v>
      </c>
      <c r="AN46">
        <v>21.8919</v>
      </c>
      <c r="AO46">
        <v>22.7788</v>
      </c>
      <c r="AP46">
        <v>13.866</v>
      </c>
      <c r="AQ46">
        <v>13.8636</v>
      </c>
      <c r="AR46" t="s">
        <v>135</v>
      </c>
      <c r="AS46" t="s">
        <v>135</v>
      </c>
      <c r="AT46" t="s">
        <v>135</v>
      </c>
      <c r="AU46" t="s">
        <v>135</v>
      </c>
      <c r="AV46" t="s">
        <v>135</v>
      </c>
      <c r="AW46" t="s">
        <v>135</v>
      </c>
      <c r="AX46" t="s">
        <v>135</v>
      </c>
      <c r="AY46" t="s">
        <v>135</v>
      </c>
      <c r="AZ46" t="s">
        <v>135</v>
      </c>
      <c r="BA46" t="s">
        <v>135</v>
      </c>
      <c r="BB46" t="s">
        <v>135</v>
      </c>
      <c r="BC46" t="s">
        <v>135</v>
      </c>
      <c r="BD46" t="s">
        <v>135</v>
      </c>
      <c r="BE46" t="s">
        <v>135</v>
      </c>
      <c r="BF46">
        <v>-10.7845</v>
      </c>
      <c r="BG46">
        <v>-38.354500000000002</v>
      </c>
      <c r="BH46">
        <v>-40.921999999999997</v>
      </c>
      <c r="BI46">
        <v>-33.853400000000001</v>
      </c>
      <c r="BJ46">
        <v>-33.857799999999997</v>
      </c>
      <c r="BK46" t="s">
        <v>135</v>
      </c>
      <c r="BL46" t="s">
        <v>135</v>
      </c>
      <c r="BM46" t="s">
        <v>135</v>
      </c>
      <c r="BN46" t="s">
        <v>135</v>
      </c>
      <c r="BO46" t="s">
        <v>135</v>
      </c>
      <c r="BP46" t="s">
        <v>135</v>
      </c>
      <c r="BQ46" t="s">
        <v>135</v>
      </c>
      <c r="BR46" t="s">
        <v>135</v>
      </c>
      <c r="BS46" t="s">
        <v>135</v>
      </c>
      <c r="BT46" t="s">
        <v>135</v>
      </c>
      <c r="BU46" t="s">
        <v>135</v>
      </c>
      <c r="BV46" t="s">
        <v>135</v>
      </c>
      <c r="BW46" t="s">
        <v>135</v>
      </c>
      <c r="BX46" t="s">
        <v>135</v>
      </c>
      <c r="BY46" t="s">
        <v>135</v>
      </c>
      <c r="BZ46" t="s">
        <v>135</v>
      </c>
      <c r="CA46" t="s">
        <v>135</v>
      </c>
      <c r="CB46" t="s">
        <v>135</v>
      </c>
      <c r="CC46" t="s">
        <v>135</v>
      </c>
      <c r="CD46" t="s">
        <v>135</v>
      </c>
      <c r="CE46" t="s">
        <v>135</v>
      </c>
      <c r="CF46">
        <v>115.6015</v>
      </c>
      <c r="CG46" t="s">
        <v>135</v>
      </c>
      <c r="CH46" t="s">
        <v>135</v>
      </c>
      <c r="CI46" t="s">
        <v>135</v>
      </c>
      <c r="CJ46" t="s">
        <v>135</v>
      </c>
      <c r="CK46" t="s">
        <v>135</v>
      </c>
      <c r="CL46" t="s">
        <v>135</v>
      </c>
      <c r="CM46" t="s">
        <v>135</v>
      </c>
      <c r="CN46" t="s">
        <v>135</v>
      </c>
      <c r="CO46" t="s">
        <v>135</v>
      </c>
      <c r="CP46">
        <v>1537.5</v>
      </c>
      <c r="CQ46" t="s">
        <v>135</v>
      </c>
      <c r="CR46">
        <v>1395.6</v>
      </c>
      <c r="CS46" t="s">
        <v>135</v>
      </c>
      <c r="CT46" t="s">
        <v>135</v>
      </c>
      <c r="CU46" t="s">
        <v>135</v>
      </c>
      <c r="CV46" t="s">
        <v>135</v>
      </c>
      <c r="CW46" t="s">
        <v>135</v>
      </c>
      <c r="CX46" t="s">
        <v>135</v>
      </c>
      <c r="CY46" t="s">
        <v>135</v>
      </c>
      <c r="CZ46" t="s">
        <v>135</v>
      </c>
      <c r="DA46" t="s">
        <v>135</v>
      </c>
      <c r="DB46" t="s">
        <v>135</v>
      </c>
      <c r="DC46" t="s">
        <v>135</v>
      </c>
      <c r="DD46" t="s">
        <v>135</v>
      </c>
      <c r="DE46" t="s">
        <v>135</v>
      </c>
      <c r="DF46" t="s">
        <v>135</v>
      </c>
      <c r="DG46" t="s">
        <v>135</v>
      </c>
      <c r="DH46" t="s">
        <v>135</v>
      </c>
      <c r="DI46" t="s">
        <v>135</v>
      </c>
    </row>
    <row r="47" spans="4:113" x14ac:dyDescent="0.3">
      <c r="E47" t="s">
        <v>81</v>
      </c>
      <c r="F47">
        <v>39.738300000000002</v>
      </c>
      <c r="G47">
        <v>26.0169</v>
      </c>
      <c r="H47">
        <v>40.354700000000001</v>
      </c>
      <c r="I47">
        <v>34.356000000000002</v>
      </c>
      <c r="J47">
        <v>26.074300000000001</v>
      </c>
      <c r="K47">
        <v>22.1648</v>
      </c>
      <c r="L47">
        <v>-63.9985</v>
      </c>
      <c r="M47">
        <v>23.441400000000002</v>
      </c>
      <c r="N47">
        <v>15.5189</v>
      </c>
      <c r="O47">
        <v>15.5189</v>
      </c>
      <c r="P47">
        <v>15.5189</v>
      </c>
      <c r="Q47">
        <v>33.7971</v>
      </c>
      <c r="R47" t="s">
        <v>135</v>
      </c>
      <c r="S47" t="s">
        <v>135</v>
      </c>
      <c r="T47">
        <v>-9.7326999999999995</v>
      </c>
      <c r="U47">
        <v>-17.311</v>
      </c>
      <c r="V47">
        <v>-23.741099999999999</v>
      </c>
      <c r="W47">
        <v>-28.665399999999998</v>
      </c>
      <c r="X47">
        <v>-28.6647</v>
      </c>
      <c r="Y47" t="s">
        <v>135</v>
      </c>
      <c r="Z47">
        <v>-11.2418</v>
      </c>
      <c r="AA47">
        <v>39.119900000000001</v>
      </c>
      <c r="AB47">
        <v>-7.2695999999999996</v>
      </c>
      <c r="AC47">
        <v>-46.4497</v>
      </c>
      <c r="AD47">
        <v>-12.7791</v>
      </c>
      <c r="AE47" t="s">
        <v>135</v>
      </c>
      <c r="AF47">
        <v>12.050700000000001</v>
      </c>
      <c r="AG47" t="s">
        <v>135</v>
      </c>
      <c r="AH47" t="s">
        <v>135</v>
      </c>
      <c r="AI47">
        <v>-68.148300000000006</v>
      </c>
      <c r="AJ47">
        <v>-68.148300000000006</v>
      </c>
      <c r="AK47">
        <v>-68.148300000000006</v>
      </c>
      <c r="AL47" t="s">
        <v>135</v>
      </c>
      <c r="AM47">
        <v>9.9755000000000003</v>
      </c>
      <c r="AN47">
        <v>24.639700000000001</v>
      </c>
      <c r="AO47">
        <v>25.634599999999999</v>
      </c>
      <c r="AP47">
        <v>17.2148</v>
      </c>
      <c r="AQ47">
        <v>17.203600000000002</v>
      </c>
      <c r="AR47" t="s">
        <v>135</v>
      </c>
      <c r="AS47">
        <v>22.494900000000001</v>
      </c>
      <c r="AT47">
        <v>13.9611</v>
      </c>
      <c r="AU47">
        <v>7.5153999999999996</v>
      </c>
      <c r="AV47">
        <v>1.0969</v>
      </c>
      <c r="AW47" t="s">
        <v>135</v>
      </c>
      <c r="AX47" t="s">
        <v>135</v>
      </c>
      <c r="AY47">
        <v>7.2995000000000001</v>
      </c>
      <c r="AZ47" t="s">
        <v>135</v>
      </c>
      <c r="BA47" t="s">
        <v>135</v>
      </c>
      <c r="BB47">
        <v>-5.4707999999999997</v>
      </c>
      <c r="BC47">
        <v>-5.4707999999999997</v>
      </c>
      <c r="BD47">
        <v>-5.4707999999999997</v>
      </c>
      <c r="BE47" t="s">
        <v>135</v>
      </c>
      <c r="BF47">
        <v>-12.3721</v>
      </c>
      <c r="BG47">
        <v>-14.7187</v>
      </c>
      <c r="BH47">
        <v>-20.134699999999999</v>
      </c>
      <c r="BI47">
        <v>-21.670200000000001</v>
      </c>
      <c r="BJ47">
        <v>-21.668299999999999</v>
      </c>
      <c r="BK47" t="s">
        <v>135</v>
      </c>
      <c r="BL47" t="s">
        <v>135</v>
      </c>
      <c r="BM47" t="s">
        <v>135</v>
      </c>
      <c r="BN47" t="s">
        <v>135</v>
      </c>
      <c r="BO47" t="s">
        <v>135</v>
      </c>
      <c r="BP47" t="s">
        <v>135</v>
      </c>
      <c r="BQ47" t="s">
        <v>135</v>
      </c>
      <c r="BR47" t="s">
        <v>135</v>
      </c>
      <c r="BS47" t="s">
        <v>135</v>
      </c>
      <c r="BT47" t="s">
        <v>135</v>
      </c>
      <c r="BU47" t="s">
        <v>135</v>
      </c>
      <c r="BV47" t="s">
        <v>135</v>
      </c>
      <c r="BW47" t="s">
        <v>135</v>
      </c>
      <c r="BX47" t="s">
        <v>135</v>
      </c>
      <c r="BY47">
        <v>0</v>
      </c>
      <c r="BZ47">
        <v>0</v>
      </c>
      <c r="CA47">
        <v>0</v>
      </c>
      <c r="CB47">
        <v>0</v>
      </c>
      <c r="CC47">
        <v>-0.1704</v>
      </c>
      <c r="CD47">
        <v>0</v>
      </c>
      <c r="CE47">
        <v>-0.1867</v>
      </c>
      <c r="CF47">
        <v>29.732399999999998</v>
      </c>
      <c r="CG47">
        <v>45.350499999999997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-22.206</v>
      </c>
      <c r="CO47">
        <v>-28.544599999999999</v>
      </c>
      <c r="CP47">
        <v>1311.2</v>
      </c>
      <c r="CQ47" t="s">
        <v>135</v>
      </c>
      <c r="CR47">
        <v>1114.5999999999999</v>
      </c>
      <c r="CS47">
        <v>0.1855</v>
      </c>
      <c r="CT47">
        <v>0.95760000000000001</v>
      </c>
      <c r="CU47">
        <v>0.39629999999999999</v>
      </c>
      <c r="CV47">
        <v>28.511199999999999</v>
      </c>
      <c r="CW47">
        <v>16.432300000000001</v>
      </c>
      <c r="CX47">
        <v>22.212399999999999</v>
      </c>
      <c r="CY47">
        <v>6.3384999999999998</v>
      </c>
      <c r="CZ47">
        <v>57.584699999999998</v>
      </c>
      <c r="DA47">
        <v>2.9563000000000001</v>
      </c>
      <c r="DB47">
        <v>123.4666</v>
      </c>
      <c r="DC47">
        <v>-43.669499999999999</v>
      </c>
      <c r="DD47">
        <v>79.7971</v>
      </c>
      <c r="DE47">
        <v>1773.5</v>
      </c>
      <c r="DF47">
        <v>209</v>
      </c>
      <c r="DG47">
        <v>13.7</v>
      </c>
      <c r="DH47">
        <v>986.8</v>
      </c>
      <c r="DI47">
        <v>564</v>
      </c>
    </row>
    <row r="48" spans="4:113" x14ac:dyDescent="0.3">
      <c r="D48" t="s">
        <v>85</v>
      </c>
      <c r="E48" t="s">
        <v>77</v>
      </c>
      <c r="F48">
        <v>56.260800000000003</v>
      </c>
      <c r="G48">
        <v>28.976500000000001</v>
      </c>
      <c r="H48">
        <v>56.775300000000001</v>
      </c>
      <c r="I48">
        <v>48.011099999999999</v>
      </c>
      <c r="J48">
        <v>25.063800000000001</v>
      </c>
      <c r="K48">
        <v>22.930900000000001</v>
      </c>
      <c r="L48" t="s">
        <v>135</v>
      </c>
      <c r="M48">
        <v>23.694600000000001</v>
      </c>
      <c r="N48">
        <v>15.256399999999999</v>
      </c>
      <c r="O48">
        <v>15.256399999999999</v>
      </c>
      <c r="P48">
        <v>15.256399999999999</v>
      </c>
      <c r="Q48">
        <v>35.612000000000002</v>
      </c>
      <c r="R48">
        <v>34.662700000000001</v>
      </c>
      <c r="S48">
        <v>36.759300000000003</v>
      </c>
      <c r="T48">
        <v>5.8132000000000001</v>
      </c>
      <c r="U48">
        <v>-7.4085999999999999</v>
      </c>
      <c r="V48">
        <v>-6.9218999999999999</v>
      </c>
      <c r="W48">
        <v>-13.435600000000001</v>
      </c>
      <c r="X48">
        <v>-13.434900000000001</v>
      </c>
      <c r="Y48">
        <v>-89.717200000000005</v>
      </c>
      <c r="Z48">
        <v>11.7997</v>
      </c>
      <c r="AA48">
        <v>-30.3017</v>
      </c>
      <c r="AB48">
        <v>-16.830500000000001</v>
      </c>
      <c r="AC48">
        <v>22.862300000000001</v>
      </c>
      <c r="AD48">
        <v>-152.90350000000001</v>
      </c>
      <c r="AE48">
        <v>1287.4159</v>
      </c>
      <c r="AF48">
        <v>11.847799999999999</v>
      </c>
      <c r="AG48" t="s">
        <v>135</v>
      </c>
      <c r="AH48" t="s">
        <v>135</v>
      </c>
      <c r="AI48">
        <v>53.101999999999997</v>
      </c>
      <c r="AJ48">
        <v>53.101999999999997</v>
      </c>
      <c r="AK48">
        <v>53.101999999999997</v>
      </c>
      <c r="AL48">
        <v>-19.9283</v>
      </c>
      <c r="AM48">
        <v>7.8220999999999998</v>
      </c>
      <c r="AN48">
        <v>19.687200000000001</v>
      </c>
      <c r="AO48">
        <v>20.758299999999998</v>
      </c>
      <c r="AP48">
        <v>13.010300000000001</v>
      </c>
      <c r="AQ48">
        <v>13.008800000000001</v>
      </c>
      <c r="AR48">
        <v>9.8560999999999996</v>
      </c>
      <c r="AS48">
        <v>12.9198</v>
      </c>
      <c r="AT48">
        <v>0.78</v>
      </c>
      <c r="AU48">
        <v>1.1806000000000001</v>
      </c>
      <c r="AV48">
        <v>2.6715999999999998</v>
      </c>
      <c r="AW48" t="s">
        <v>135</v>
      </c>
      <c r="AX48">
        <v>-6.2796000000000003</v>
      </c>
      <c r="AY48">
        <v>14.717700000000001</v>
      </c>
      <c r="AZ48" t="s">
        <v>135</v>
      </c>
      <c r="BA48" t="s">
        <v>135</v>
      </c>
      <c r="BB48">
        <v>4.4999999999999997E-3</v>
      </c>
      <c r="BC48">
        <v>4.4999999999999997E-3</v>
      </c>
      <c r="BD48">
        <v>4.4999999999999997E-3</v>
      </c>
      <c r="BE48">
        <v>20.3611</v>
      </c>
      <c r="BF48">
        <v>5.8132000000000001</v>
      </c>
      <c r="BG48">
        <v>-7.4085999999999999</v>
      </c>
      <c r="BH48">
        <v>-6.9218999999999999</v>
      </c>
      <c r="BI48">
        <v>-13.435600000000001</v>
      </c>
      <c r="BJ48">
        <v>-13.434900000000001</v>
      </c>
      <c r="BK48">
        <v>-89.717200000000005</v>
      </c>
      <c r="BL48">
        <v>11.7997</v>
      </c>
      <c r="BM48">
        <v>-30.3017</v>
      </c>
      <c r="BN48">
        <v>-16.830500000000001</v>
      </c>
      <c r="BO48">
        <v>22.862300000000001</v>
      </c>
      <c r="BP48" t="s">
        <v>135</v>
      </c>
      <c r="BQ48">
        <v>1287.4159</v>
      </c>
      <c r="BR48">
        <v>11.847799999999999</v>
      </c>
      <c r="BS48" t="s">
        <v>135</v>
      </c>
      <c r="BT48" t="s">
        <v>135</v>
      </c>
      <c r="BU48">
        <v>53.101999999999997</v>
      </c>
      <c r="BV48">
        <v>53.101999999999997</v>
      </c>
      <c r="BW48">
        <v>53.101999999999997</v>
      </c>
      <c r="BX48">
        <v>-19.9283</v>
      </c>
      <c r="BY48">
        <v>0</v>
      </c>
      <c r="BZ48">
        <v>0</v>
      </c>
      <c r="CA48">
        <v>0</v>
      </c>
      <c r="CB48">
        <v>0</v>
      </c>
      <c r="CC48">
        <v>-0.64929999999999999</v>
      </c>
      <c r="CD48">
        <v>0</v>
      </c>
      <c r="CE48">
        <v>-0.7097</v>
      </c>
      <c r="CF48">
        <v>115.6748</v>
      </c>
      <c r="CG48">
        <v>56.5124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-49.607700000000001</v>
      </c>
      <c r="CO48">
        <v>-98.442999999999998</v>
      </c>
      <c r="CP48">
        <v>6153.9</v>
      </c>
      <c r="CQ48">
        <v>5804.5</v>
      </c>
      <c r="CR48">
        <v>5630.2</v>
      </c>
      <c r="CS48">
        <v>0.69969999999999999</v>
      </c>
      <c r="CT48">
        <v>1.5058</v>
      </c>
      <c r="CU48">
        <v>0.95960000000000001</v>
      </c>
      <c r="CV48">
        <v>34.822299999999998</v>
      </c>
      <c r="CW48">
        <v>17.458600000000001</v>
      </c>
      <c r="CX48">
        <v>20.906600000000001</v>
      </c>
      <c r="CY48">
        <v>5.8948</v>
      </c>
      <c r="CZ48">
        <v>61.918900000000001</v>
      </c>
      <c r="DA48">
        <v>2.1661000000000001</v>
      </c>
      <c r="DB48">
        <v>168.50550000000001</v>
      </c>
      <c r="DC48">
        <v>-85.68</v>
      </c>
      <c r="DD48">
        <v>82.825500000000005</v>
      </c>
      <c r="DE48">
        <v>1236.0999999999999</v>
      </c>
      <c r="DF48">
        <v>305.5</v>
      </c>
      <c r="DG48">
        <v>13</v>
      </c>
      <c r="DH48">
        <v>423.8</v>
      </c>
      <c r="DI48">
        <v>493.8</v>
      </c>
    </row>
    <row r="49" spans="1:113" x14ac:dyDescent="0.3">
      <c r="E49" t="s">
        <v>78</v>
      </c>
      <c r="F49" t="s">
        <v>135</v>
      </c>
      <c r="G49" t="s">
        <v>135</v>
      </c>
      <c r="H49" t="s">
        <v>135</v>
      </c>
      <c r="I49" t="s">
        <v>135</v>
      </c>
      <c r="J49">
        <v>28.505600000000001</v>
      </c>
      <c r="K49">
        <v>26.553000000000001</v>
      </c>
      <c r="L49">
        <v>63.25</v>
      </c>
      <c r="M49">
        <v>27.029</v>
      </c>
      <c r="N49">
        <v>17.5733</v>
      </c>
      <c r="O49">
        <v>17.5733</v>
      </c>
      <c r="P49">
        <v>17.5733</v>
      </c>
      <c r="Q49">
        <v>34.983699999999999</v>
      </c>
      <c r="R49" t="s">
        <v>135</v>
      </c>
      <c r="S49" t="s">
        <v>135</v>
      </c>
      <c r="T49">
        <v>9.5216999999999992</v>
      </c>
      <c r="U49">
        <v>24.0077</v>
      </c>
      <c r="V49">
        <v>26.117699999999999</v>
      </c>
      <c r="W49">
        <v>10.6473</v>
      </c>
      <c r="X49">
        <v>10.662100000000001</v>
      </c>
      <c r="Y49" t="s">
        <v>135</v>
      </c>
      <c r="Z49" t="s">
        <v>135</v>
      </c>
      <c r="AA49" t="s">
        <v>135</v>
      </c>
      <c r="AB49" t="s">
        <v>135</v>
      </c>
      <c r="AC49" t="s">
        <v>135</v>
      </c>
      <c r="AD49" t="s">
        <v>135</v>
      </c>
      <c r="AE49" t="s">
        <v>135</v>
      </c>
      <c r="AF49" t="s">
        <v>135</v>
      </c>
      <c r="AG49" t="s">
        <v>135</v>
      </c>
      <c r="AH49" t="s">
        <v>135</v>
      </c>
      <c r="AI49" t="s">
        <v>135</v>
      </c>
      <c r="AJ49" t="s">
        <v>135</v>
      </c>
      <c r="AK49" t="s">
        <v>135</v>
      </c>
      <c r="AL49" t="s">
        <v>135</v>
      </c>
      <c r="AM49">
        <v>11.890700000000001</v>
      </c>
      <c r="AN49">
        <v>34.340600000000002</v>
      </c>
      <c r="AO49">
        <v>37.840600000000002</v>
      </c>
      <c r="AP49">
        <v>20.6145</v>
      </c>
      <c r="AQ49">
        <v>20.614000000000001</v>
      </c>
      <c r="AR49" t="s">
        <v>135</v>
      </c>
      <c r="AS49" t="s">
        <v>135</v>
      </c>
      <c r="AT49" t="s">
        <v>135</v>
      </c>
      <c r="AU49" t="s">
        <v>135</v>
      </c>
      <c r="AV49" t="s">
        <v>135</v>
      </c>
      <c r="AW49" t="s">
        <v>135</v>
      </c>
      <c r="AX49" t="s">
        <v>135</v>
      </c>
      <c r="AY49" t="s">
        <v>135</v>
      </c>
      <c r="AZ49" t="s">
        <v>135</v>
      </c>
      <c r="BA49" t="s">
        <v>135</v>
      </c>
      <c r="BB49" t="s">
        <v>135</v>
      </c>
      <c r="BC49" t="s">
        <v>135</v>
      </c>
      <c r="BD49" t="s">
        <v>135</v>
      </c>
      <c r="BE49" t="s">
        <v>135</v>
      </c>
      <c r="BF49">
        <v>30.767399999999999</v>
      </c>
      <c r="BG49">
        <v>42.960599999999999</v>
      </c>
      <c r="BH49">
        <v>56.6571</v>
      </c>
      <c r="BI49">
        <v>48.0779</v>
      </c>
      <c r="BJ49">
        <v>48.086500000000001</v>
      </c>
      <c r="BK49" t="s">
        <v>135</v>
      </c>
      <c r="BL49" t="s">
        <v>135</v>
      </c>
      <c r="BM49" t="s">
        <v>135</v>
      </c>
      <c r="BN49" t="s">
        <v>135</v>
      </c>
      <c r="BO49" t="s">
        <v>135</v>
      </c>
      <c r="BP49" t="s">
        <v>135</v>
      </c>
      <c r="BQ49" t="s">
        <v>135</v>
      </c>
      <c r="BR49" t="s">
        <v>135</v>
      </c>
      <c r="BS49" t="s">
        <v>135</v>
      </c>
      <c r="BT49" t="s">
        <v>135</v>
      </c>
      <c r="BU49" t="s">
        <v>135</v>
      </c>
      <c r="BV49" t="s">
        <v>135</v>
      </c>
      <c r="BW49" t="s">
        <v>135</v>
      </c>
      <c r="BX49" t="s">
        <v>135</v>
      </c>
      <c r="BY49" t="s">
        <v>135</v>
      </c>
      <c r="BZ49" t="s">
        <v>135</v>
      </c>
      <c r="CA49" t="s">
        <v>135</v>
      </c>
      <c r="CB49" t="s">
        <v>135</v>
      </c>
      <c r="CC49" t="s">
        <v>135</v>
      </c>
      <c r="CD49" t="s">
        <v>135</v>
      </c>
      <c r="CE49" t="s">
        <v>135</v>
      </c>
      <c r="CF49">
        <v>457.19510000000002</v>
      </c>
      <c r="CG49" t="s">
        <v>135</v>
      </c>
      <c r="CH49" t="s">
        <v>135</v>
      </c>
      <c r="CI49" t="s">
        <v>135</v>
      </c>
      <c r="CJ49" t="s">
        <v>135</v>
      </c>
      <c r="CK49" t="s">
        <v>135</v>
      </c>
      <c r="CL49" t="s">
        <v>135</v>
      </c>
      <c r="CM49" t="s">
        <v>135</v>
      </c>
      <c r="CN49" t="s">
        <v>135</v>
      </c>
      <c r="CO49" t="s">
        <v>135</v>
      </c>
      <c r="CP49">
        <v>1874.5</v>
      </c>
      <c r="CQ49" t="s">
        <v>135</v>
      </c>
      <c r="CR49">
        <v>1746.1</v>
      </c>
      <c r="CS49" t="s">
        <v>135</v>
      </c>
      <c r="CT49" t="s">
        <v>135</v>
      </c>
      <c r="CU49" t="s">
        <v>135</v>
      </c>
      <c r="CV49" t="s">
        <v>135</v>
      </c>
      <c r="CW49" t="s">
        <v>135</v>
      </c>
      <c r="CX49" t="s">
        <v>135</v>
      </c>
      <c r="CY49" t="s">
        <v>135</v>
      </c>
      <c r="CZ49" t="s">
        <v>135</v>
      </c>
      <c r="DA49" t="s">
        <v>135</v>
      </c>
      <c r="DB49" t="s">
        <v>135</v>
      </c>
      <c r="DC49" t="s">
        <v>135</v>
      </c>
      <c r="DD49" t="s">
        <v>135</v>
      </c>
      <c r="DE49" t="s">
        <v>135</v>
      </c>
      <c r="DF49" t="s">
        <v>135</v>
      </c>
      <c r="DG49" t="s">
        <v>135</v>
      </c>
      <c r="DH49" t="s">
        <v>135</v>
      </c>
      <c r="DI49" t="s">
        <v>135</v>
      </c>
    </row>
    <row r="50" spans="1:113" x14ac:dyDescent="0.3">
      <c r="E50" t="s">
        <v>79</v>
      </c>
      <c r="F50">
        <v>34.897500000000001</v>
      </c>
      <c r="G50">
        <v>22.757200000000001</v>
      </c>
      <c r="H50">
        <v>35.247300000000003</v>
      </c>
      <c r="I50">
        <v>31.188800000000001</v>
      </c>
      <c r="J50">
        <v>30.862300000000001</v>
      </c>
      <c r="K50">
        <v>28.942299999999999</v>
      </c>
      <c r="L50" t="s">
        <v>135</v>
      </c>
      <c r="M50">
        <v>28.875499999999999</v>
      </c>
      <c r="N50">
        <v>18.637799999999999</v>
      </c>
      <c r="O50">
        <v>18.637799999999999</v>
      </c>
      <c r="P50">
        <v>18.637799999999999</v>
      </c>
      <c r="Q50">
        <v>35.454700000000003</v>
      </c>
      <c r="R50" t="s">
        <v>135</v>
      </c>
      <c r="S50" t="s">
        <v>135</v>
      </c>
      <c r="T50">
        <v>9.4708000000000006</v>
      </c>
      <c r="U50">
        <v>-12.866400000000001</v>
      </c>
      <c r="V50">
        <v>-13.7281</v>
      </c>
      <c r="W50">
        <v>-12.8668</v>
      </c>
      <c r="X50">
        <v>-12.866400000000001</v>
      </c>
      <c r="Y50" t="s">
        <v>135</v>
      </c>
      <c r="Z50">
        <v>11.002000000000001</v>
      </c>
      <c r="AA50">
        <v>-10.405200000000001</v>
      </c>
      <c r="AB50">
        <v>-9.1211000000000002</v>
      </c>
      <c r="AC50">
        <v>-41.407200000000003</v>
      </c>
      <c r="AD50" t="s">
        <v>135</v>
      </c>
      <c r="AE50">
        <v>-90.526799999999994</v>
      </c>
      <c r="AF50">
        <v>46.4405</v>
      </c>
      <c r="AG50" t="s">
        <v>135</v>
      </c>
      <c r="AH50" t="s">
        <v>135</v>
      </c>
      <c r="AI50">
        <v>-62.2926</v>
      </c>
      <c r="AJ50">
        <v>-62.2926</v>
      </c>
      <c r="AK50">
        <v>-62.2926</v>
      </c>
      <c r="AL50" t="s">
        <v>135</v>
      </c>
      <c r="AM50">
        <v>8.3949999999999996</v>
      </c>
      <c r="AN50">
        <v>26.991499999999998</v>
      </c>
      <c r="AO50">
        <v>28.122800000000002</v>
      </c>
      <c r="AP50">
        <v>19.440200000000001</v>
      </c>
      <c r="AQ50">
        <v>19.4434</v>
      </c>
      <c r="AR50" t="s">
        <v>135</v>
      </c>
      <c r="AS50">
        <v>29.506499999999999</v>
      </c>
      <c r="AT50">
        <v>2.7187999999999999</v>
      </c>
      <c r="AU50">
        <v>6.1981000000000002</v>
      </c>
      <c r="AV50">
        <v>4.1159999999999997</v>
      </c>
      <c r="AW50" t="s">
        <v>135</v>
      </c>
      <c r="AX50">
        <v>-23.494199999999999</v>
      </c>
      <c r="AY50">
        <v>13.3363</v>
      </c>
      <c r="AZ50" t="s">
        <v>135</v>
      </c>
      <c r="BA50" t="s">
        <v>135</v>
      </c>
      <c r="BB50">
        <v>-3.5070999999999999</v>
      </c>
      <c r="BC50">
        <v>-3.5070999999999999</v>
      </c>
      <c r="BD50">
        <v>-3.5070999999999999</v>
      </c>
      <c r="BE50" t="s">
        <v>135</v>
      </c>
      <c r="BF50">
        <v>7.0819000000000001</v>
      </c>
      <c r="BG50">
        <v>15.934900000000001</v>
      </c>
      <c r="BH50">
        <v>16.717300000000002</v>
      </c>
      <c r="BI50">
        <v>13.5687</v>
      </c>
      <c r="BJ50">
        <v>13.567399999999999</v>
      </c>
      <c r="BK50" t="s">
        <v>135</v>
      </c>
      <c r="BL50" t="s">
        <v>135</v>
      </c>
      <c r="BM50" t="s">
        <v>135</v>
      </c>
      <c r="BN50" t="s">
        <v>135</v>
      </c>
      <c r="BO50" t="s">
        <v>135</v>
      </c>
      <c r="BP50" t="s">
        <v>135</v>
      </c>
      <c r="BQ50" t="s">
        <v>135</v>
      </c>
      <c r="BR50" t="s">
        <v>135</v>
      </c>
      <c r="BS50" t="s">
        <v>135</v>
      </c>
      <c r="BT50" t="s">
        <v>135</v>
      </c>
      <c r="BU50" t="s">
        <v>135</v>
      </c>
      <c r="BV50" t="s">
        <v>135</v>
      </c>
      <c r="BW50" t="s">
        <v>135</v>
      </c>
      <c r="BX50" t="s">
        <v>135</v>
      </c>
      <c r="BY50">
        <v>0</v>
      </c>
      <c r="BZ50">
        <v>0</v>
      </c>
      <c r="CA50">
        <v>0</v>
      </c>
      <c r="CB50">
        <v>0</v>
      </c>
      <c r="CC50">
        <v>-0.4148</v>
      </c>
      <c r="CD50">
        <v>0</v>
      </c>
      <c r="CE50">
        <v>-0.45440000000000003</v>
      </c>
      <c r="CF50">
        <v>462.38299999999998</v>
      </c>
      <c r="CG50">
        <v>48.331899999999997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-42.939700000000002</v>
      </c>
      <c r="CO50">
        <v>-75.253200000000007</v>
      </c>
      <c r="CP50">
        <v>2173.1999999999998</v>
      </c>
      <c r="CQ50" t="s">
        <v>135</v>
      </c>
      <c r="CR50">
        <v>2038</v>
      </c>
      <c r="CS50">
        <v>0.40639999999999998</v>
      </c>
      <c r="CT50">
        <v>1.1676</v>
      </c>
      <c r="CU50">
        <v>0.73729999999999996</v>
      </c>
      <c r="CV50">
        <v>29.721</v>
      </c>
      <c r="CW50">
        <v>11.017899999999999</v>
      </c>
      <c r="CX50">
        <v>33.127800000000001</v>
      </c>
      <c r="CY50">
        <v>6.4490999999999996</v>
      </c>
      <c r="CZ50">
        <v>56.596899999999998</v>
      </c>
      <c r="DA50">
        <v>2.2353999999999998</v>
      </c>
      <c r="DB50">
        <v>163.28149999999999</v>
      </c>
      <c r="DC50">
        <v>-73.556799999999996</v>
      </c>
      <c r="DD50">
        <v>89.724699999999999</v>
      </c>
      <c r="DE50">
        <v>1417.3</v>
      </c>
      <c r="DF50" t="s">
        <v>135</v>
      </c>
      <c r="DG50" t="s">
        <v>135</v>
      </c>
      <c r="DH50" t="s">
        <v>135</v>
      </c>
      <c r="DI50" t="s">
        <v>135</v>
      </c>
    </row>
    <row r="51" spans="1:113" x14ac:dyDescent="0.3">
      <c r="E51" t="s">
        <v>80</v>
      </c>
      <c r="F51" t="s">
        <v>135</v>
      </c>
      <c r="G51" t="s">
        <v>135</v>
      </c>
      <c r="H51" t="s">
        <v>135</v>
      </c>
      <c r="I51" t="s">
        <v>135</v>
      </c>
      <c r="J51">
        <v>23.515999999999998</v>
      </c>
      <c r="K51">
        <v>21.1113</v>
      </c>
      <c r="L51">
        <v>-390.76310000000001</v>
      </c>
      <c r="M51">
        <v>22.204599999999999</v>
      </c>
      <c r="N51">
        <v>14.632</v>
      </c>
      <c r="O51">
        <v>14.632</v>
      </c>
      <c r="P51">
        <v>14.632</v>
      </c>
      <c r="Q51">
        <v>34.103900000000003</v>
      </c>
      <c r="R51" t="s">
        <v>135</v>
      </c>
      <c r="S51" t="s">
        <v>135</v>
      </c>
      <c r="T51">
        <v>-0.86780000000000002</v>
      </c>
      <c r="U51">
        <v>-12.9886</v>
      </c>
      <c r="V51">
        <v>-13.9438</v>
      </c>
      <c r="W51">
        <v>-16.450900000000001</v>
      </c>
      <c r="X51">
        <v>-16.454899999999999</v>
      </c>
      <c r="Y51" t="s">
        <v>135</v>
      </c>
      <c r="Z51" t="s">
        <v>135</v>
      </c>
      <c r="AA51" t="s">
        <v>135</v>
      </c>
      <c r="AB51" t="s">
        <v>135</v>
      </c>
      <c r="AC51" t="s">
        <v>135</v>
      </c>
      <c r="AD51" t="s">
        <v>135</v>
      </c>
      <c r="AE51" t="s">
        <v>135</v>
      </c>
      <c r="AF51" t="s">
        <v>135</v>
      </c>
      <c r="AG51" t="s">
        <v>135</v>
      </c>
      <c r="AH51" t="s">
        <v>135</v>
      </c>
      <c r="AI51" t="s">
        <v>135</v>
      </c>
      <c r="AJ51" t="s">
        <v>135</v>
      </c>
      <c r="AK51" t="s">
        <v>135</v>
      </c>
      <c r="AL51" t="s">
        <v>135</v>
      </c>
      <c r="AM51">
        <v>6.4279000000000002</v>
      </c>
      <c r="AN51">
        <v>15.3674</v>
      </c>
      <c r="AO51">
        <v>15.7225</v>
      </c>
      <c r="AP51">
        <v>9.8285999999999998</v>
      </c>
      <c r="AQ51">
        <v>9.8217999999999996</v>
      </c>
      <c r="AR51" t="s">
        <v>135</v>
      </c>
      <c r="AS51" t="s">
        <v>135</v>
      </c>
      <c r="AT51" t="s">
        <v>135</v>
      </c>
      <c r="AU51" t="s">
        <v>135</v>
      </c>
      <c r="AV51" t="s">
        <v>135</v>
      </c>
      <c r="AW51" t="s">
        <v>135</v>
      </c>
      <c r="AX51" t="s">
        <v>135</v>
      </c>
      <c r="AY51" t="s">
        <v>135</v>
      </c>
      <c r="AZ51" t="s">
        <v>135</v>
      </c>
      <c r="BA51" t="s">
        <v>135</v>
      </c>
      <c r="BB51" t="s">
        <v>135</v>
      </c>
      <c r="BC51" t="s">
        <v>135</v>
      </c>
      <c r="BD51" t="s">
        <v>135</v>
      </c>
      <c r="BE51" t="s">
        <v>135</v>
      </c>
      <c r="BF51">
        <v>-19.210100000000001</v>
      </c>
      <c r="BG51">
        <v>-38.441000000000003</v>
      </c>
      <c r="BH51">
        <v>-41.069699999999997</v>
      </c>
      <c r="BI51">
        <v>-36.574199999999998</v>
      </c>
      <c r="BJ51">
        <v>-36.581699999999998</v>
      </c>
      <c r="BK51" t="s">
        <v>135</v>
      </c>
      <c r="BL51" t="s">
        <v>135</v>
      </c>
      <c r="BM51" t="s">
        <v>135</v>
      </c>
      <c r="BN51" t="s">
        <v>135</v>
      </c>
      <c r="BO51" t="s">
        <v>135</v>
      </c>
      <c r="BP51" t="s">
        <v>135</v>
      </c>
      <c r="BQ51" t="s">
        <v>135</v>
      </c>
      <c r="BR51" t="s">
        <v>135</v>
      </c>
      <c r="BS51" t="s">
        <v>135</v>
      </c>
      <c r="BT51" t="s">
        <v>135</v>
      </c>
      <c r="BU51" t="s">
        <v>135</v>
      </c>
      <c r="BV51" t="s">
        <v>135</v>
      </c>
      <c r="BW51" t="s">
        <v>135</v>
      </c>
      <c r="BX51" t="s">
        <v>135</v>
      </c>
      <c r="BY51" t="s">
        <v>135</v>
      </c>
      <c r="BZ51" t="s">
        <v>135</v>
      </c>
      <c r="CA51" t="s">
        <v>135</v>
      </c>
      <c r="CB51" t="s">
        <v>135</v>
      </c>
      <c r="CC51" t="s">
        <v>135</v>
      </c>
      <c r="CD51" t="s">
        <v>135</v>
      </c>
      <c r="CE51" t="s">
        <v>135</v>
      </c>
      <c r="CF51">
        <v>343.0256</v>
      </c>
      <c r="CG51" t="s">
        <v>135</v>
      </c>
      <c r="CH51" t="s">
        <v>135</v>
      </c>
      <c r="CI51" t="s">
        <v>135</v>
      </c>
      <c r="CJ51" t="s">
        <v>135</v>
      </c>
      <c r="CK51" t="s">
        <v>135</v>
      </c>
      <c r="CL51" t="s">
        <v>135</v>
      </c>
      <c r="CM51" t="s">
        <v>135</v>
      </c>
      <c r="CN51" t="s">
        <v>135</v>
      </c>
      <c r="CO51" t="s">
        <v>135</v>
      </c>
      <c r="CP51">
        <v>1337.8</v>
      </c>
      <c r="CQ51" t="s">
        <v>135</v>
      </c>
      <c r="CR51">
        <v>1201</v>
      </c>
      <c r="CS51" t="s">
        <v>135</v>
      </c>
      <c r="CT51" t="s">
        <v>135</v>
      </c>
      <c r="CU51" t="s">
        <v>135</v>
      </c>
      <c r="CV51" t="s">
        <v>135</v>
      </c>
      <c r="CW51" t="s">
        <v>135</v>
      </c>
      <c r="CX51" t="s">
        <v>135</v>
      </c>
      <c r="CY51" t="s">
        <v>135</v>
      </c>
      <c r="CZ51" t="s">
        <v>135</v>
      </c>
      <c r="DA51" t="s">
        <v>135</v>
      </c>
      <c r="DB51" t="s">
        <v>135</v>
      </c>
      <c r="DC51" t="s">
        <v>135</v>
      </c>
      <c r="DD51" t="s">
        <v>135</v>
      </c>
      <c r="DE51" t="s">
        <v>135</v>
      </c>
      <c r="DF51" t="s">
        <v>135</v>
      </c>
      <c r="DG51" t="s">
        <v>135</v>
      </c>
      <c r="DH51" t="s">
        <v>135</v>
      </c>
      <c r="DI51" t="s">
        <v>135</v>
      </c>
    </row>
    <row r="52" spans="1:113" x14ac:dyDescent="0.3">
      <c r="E52" t="s">
        <v>81</v>
      </c>
      <c r="F52">
        <v>56.260800000000003</v>
      </c>
      <c r="G52">
        <v>28.976500000000001</v>
      </c>
      <c r="H52">
        <v>56.775300000000001</v>
      </c>
      <c r="I52">
        <v>48.616</v>
      </c>
      <c r="J52">
        <v>15.997299999999999</v>
      </c>
      <c r="K52">
        <v>13.6472</v>
      </c>
      <c r="L52" t="s">
        <v>135</v>
      </c>
      <c r="M52">
        <v>14.177099999999999</v>
      </c>
      <c r="N52">
        <v>8.4914000000000005</v>
      </c>
      <c r="O52">
        <v>8.4914000000000005</v>
      </c>
      <c r="P52">
        <v>8.4914000000000005</v>
      </c>
      <c r="Q52">
        <v>40.104900000000001</v>
      </c>
      <c r="R52" t="s">
        <v>135</v>
      </c>
      <c r="S52" t="s">
        <v>135</v>
      </c>
      <c r="T52">
        <v>4.3311000000000002</v>
      </c>
      <c r="U52">
        <v>-35.989899999999999</v>
      </c>
      <c r="V52">
        <v>-35.761699999999998</v>
      </c>
      <c r="W52">
        <v>-42.913899999999998</v>
      </c>
      <c r="X52">
        <v>-42.9285</v>
      </c>
      <c r="Y52" t="s">
        <v>135</v>
      </c>
      <c r="Z52">
        <v>11.7997</v>
      </c>
      <c r="AA52">
        <v>-30.3017</v>
      </c>
      <c r="AB52">
        <v>-16.830500000000001</v>
      </c>
      <c r="AC52">
        <v>22.862300000000001</v>
      </c>
      <c r="AD52">
        <v>-152.90350000000001</v>
      </c>
      <c r="AE52">
        <v>1287.4159</v>
      </c>
      <c r="AF52">
        <v>11.847799999999999</v>
      </c>
      <c r="AG52" t="s">
        <v>135</v>
      </c>
      <c r="AH52" t="s">
        <v>135</v>
      </c>
      <c r="AI52">
        <v>53.101999999999997</v>
      </c>
      <c r="AJ52">
        <v>53.101999999999997</v>
      </c>
      <c r="AK52">
        <v>53.101999999999997</v>
      </c>
      <c r="AL52" t="s">
        <v>135</v>
      </c>
      <c r="AM52">
        <v>4.4161000000000001</v>
      </c>
      <c r="AN52">
        <v>2.8353999999999999</v>
      </c>
      <c r="AO52">
        <v>2.3401000000000001</v>
      </c>
      <c r="AP52">
        <v>-2.9967000000000001</v>
      </c>
      <c r="AQ52">
        <v>-3.0036</v>
      </c>
      <c r="AR52" t="s">
        <v>135</v>
      </c>
      <c r="AS52">
        <v>12.9198</v>
      </c>
      <c r="AT52">
        <v>0.78</v>
      </c>
      <c r="AU52">
        <v>1.1806000000000001</v>
      </c>
      <c r="AV52">
        <v>2.6715999999999998</v>
      </c>
      <c r="AW52" t="s">
        <v>135</v>
      </c>
      <c r="AX52">
        <v>-6.2796000000000003</v>
      </c>
      <c r="AY52">
        <v>14.717700000000001</v>
      </c>
      <c r="AZ52" t="s">
        <v>135</v>
      </c>
      <c r="BA52" t="s">
        <v>135</v>
      </c>
      <c r="BB52">
        <v>4.4999999999999997E-3</v>
      </c>
      <c r="BC52">
        <v>4.4999999999999997E-3</v>
      </c>
      <c r="BD52">
        <v>4.4999999999999997E-3</v>
      </c>
      <c r="BE52" t="s">
        <v>135</v>
      </c>
      <c r="BF52">
        <v>-7.7765000000000004</v>
      </c>
      <c r="BG52">
        <v>-37.262700000000002</v>
      </c>
      <c r="BH52">
        <v>-40.383000000000003</v>
      </c>
      <c r="BI52">
        <v>-46.4801</v>
      </c>
      <c r="BJ52">
        <v>-46.489899999999999</v>
      </c>
      <c r="BK52" t="s">
        <v>135</v>
      </c>
      <c r="BL52" t="s">
        <v>135</v>
      </c>
      <c r="BM52" t="s">
        <v>135</v>
      </c>
      <c r="BN52" t="s">
        <v>135</v>
      </c>
      <c r="BO52" t="s">
        <v>135</v>
      </c>
      <c r="BP52" t="s">
        <v>135</v>
      </c>
      <c r="BQ52" t="s">
        <v>135</v>
      </c>
      <c r="BR52" t="s">
        <v>135</v>
      </c>
      <c r="BS52" t="s">
        <v>135</v>
      </c>
      <c r="BT52" t="s">
        <v>135</v>
      </c>
      <c r="BU52" t="s">
        <v>135</v>
      </c>
      <c r="BV52" t="s">
        <v>135</v>
      </c>
      <c r="BW52" t="s">
        <v>135</v>
      </c>
      <c r="BX52" t="s">
        <v>135</v>
      </c>
      <c r="BY52">
        <v>0</v>
      </c>
      <c r="BZ52">
        <v>0</v>
      </c>
      <c r="CA52">
        <v>0</v>
      </c>
      <c r="CB52">
        <v>0</v>
      </c>
      <c r="CC52">
        <v>-0.64190000000000003</v>
      </c>
      <c r="CD52">
        <v>0</v>
      </c>
      <c r="CE52">
        <v>-0.70089999999999997</v>
      </c>
      <c r="CF52">
        <v>20.723500000000001</v>
      </c>
      <c r="CG52">
        <v>56.5124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-49.607700000000001</v>
      </c>
      <c r="CO52">
        <v>-98.442999999999998</v>
      </c>
      <c r="CP52">
        <v>839.3</v>
      </c>
      <c r="CQ52" t="s">
        <v>135</v>
      </c>
      <c r="CR52">
        <v>716</v>
      </c>
      <c r="CS52">
        <v>0.69969999999999999</v>
      </c>
      <c r="CT52">
        <v>1.5058</v>
      </c>
      <c r="CU52">
        <v>0.95960000000000001</v>
      </c>
      <c r="CV52">
        <v>34.822299999999998</v>
      </c>
      <c r="CW52">
        <v>17.458600000000001</v>
      </c>
      <c r="CX52">
        <v>20.906600000000001</v>
      </c>
      <c r="CY52">
        <v>5.8948</v>
      </c>
      <c r="CZ52">
        <v>61.918900000000001</v>
      </c>
      <c r="DA52">
        <v>2.1661000000000001</v>
      </c>
      <c r="DB52">
        <v>168.50550000000001</v>
      </c>
      <c r="DC52">
        <v>-85.68</v>
      </c>
      <c r="DD52">
        <v>82.825500000000005</v>
      </c>
      <c r="DE52">
        <v>1236.0999999999999</v>
      </c>
      <c r="DF52">
        <v>305.5</v>
      </c>
      <c r="DG52">
        <v>13</v>
      </c>
      <c r="DH52">
        <v>423.8</v>
      </c>
      <c r="DI52">
        <v>493.8</v>
      </c>
    </row>
    <row r="53" spans="1:113" x14ac:dyDescent="0.3">
      <c r="A53">
        <v>78</v>
      </c>
      <c r="B53" t="s">
        <v>88</v>
      </c>
      <c r="C53" t="s">
        <v>89</v>
      </c>
      <c r="D53" t="s">
        <v>76</v>
      </c>
      <c r="E53" t="s">
        <v>77</v>
      </c>
      <c r="F53">
        <v>11.8154</v>
      </c>
      <c r="G53">
        <v>5.6858000000000004</v>
      </c>
      <c r="H53">
        <v>7.7990000000000004</v>
      </c>
      <c r="I53">
        <v>5.7286000000000001</v>
      </c>
      <c r="J53">
        <v>8.0629000000000008</v>
      </c>
      <c r="K53">
        <v>5.4847000000000001</v>
      </c>
      <c r="L53">
        <v>5.5430999999999999</v>
      </c>
      <c r="M53">
        <v>6.6204000000000001</v>
      </c>
      <c r="N53">
        <v>5.1898999999999997</v>
      </c>
      <c r="O53">
        <v>5.1772</v>
      </c>
      <c r="P53">
        <v>5.1772</v>
      </c>
      <c r="Q53">
        <v>21.607600000000001</v>
      </c>
      <c r="R53">
        <v>12.417199999999999</v>
      </c>
      <c r="S53">
        <v>10.3482</v>
      </c>
      <c r="T53">
        <v>9.4186999999999994</v>
      </c>
      <c r="U53">
        <v>6.1901000000000002</v>
      </c>
      <c r="V53">
        <v>9.5283999999999995</v>
      </c>
      <c r="W53">
        <v>7.7302999999999997</v>
      </c>
      <c r="X53">
        <v>8.0701000000000001</v>
      </c>
      <c r="Y53">
        <v>5.5556000000000001</v>
      </c>
      <c r="Z53">
        <v>-3.4769000000000001</v>
      </c>
      <c r="AA53">
        <v>2.5567000000000002</v>
      </c>
      <c r="AB53">
        <v>25.8796</v>
      </c>
      <c r="AC53">
        <v>18.348199999999999</v>
      </c>
      <c r="AD53">
        <v>-68.957800000000006</v>
      </c>
      <c r="AE53">
        <v>-39.783700000000003</v>
      </c>
      <c r="AF53">
        <v>22.454699999999999</v>
      </c>
      <c r="AG53">
        <v>4.09</v>
      </c>
      <c r="AH53">
        <v>29.418299999999999</v>
      </c>
      <c r="AI53">
        <v>9.0937999999999999</v>
      </c>
      <c r="AJ53">
        <v>16.602399999999999</v>
      </c>
      <c r="AK53">
        <v>9.0154999999999994</v>
      </c>
      <c r="AL53">
        <v>15.0581</v>
      </c>
      <c r="AM53">
        <v>23.499700000000001</v>
      </c>
      <c r="AN53">
        <v>7.7816999999999998</v>
      </c>
      <c r="AO53">
        <v>5.2702</v>
      </c>
      <c r="AP53">
        <v>8.4856999999999996</v>
      </c>
      <c r="AQ53">
        <v>7.1871</v>
      </c>
      <c r="AR53">
        <v>7.8852000000000002</v>
      </c>
      <c r="AS53">
        <v>14.200699999999999</v>
      </c>
      <c r="AT53">
        <v>22.730399999999999</v>
      </c>
      <c r="AU53">
        <v>-3.7336999999999998</v>
      </c>
      <c r="AV53">
        <v>11.749600000000001</v>
      </c>
      <c r="AW53" t="s">
        <v>135</v>
      </c>
      <c r="AX53">
        <v>20.208200000000001</v>
      </c>
      <c r="AY53">
        <v>12.021100000000001</v>
      </c>
      <c r="AZ53">
        <v>34.927599999999998</v>
      </c>
      <c r="BA53">
        <v>12.719200000000001</v>
      </c>
      <c r="BB53">
        <v>10.4617</v>
      </c>
      <c r="BC53">
        <v>11.3545</v>
      </c>
      <c r="BD53">
        <v>8.9181000000000008</v>
      </c>
      <c r="BE53">
        <v>27.990500000000001</v>
      </c>
      <c r="BF53">
        <v>9.4186999999999994</v>
      </c>
      <c r="BG53">
        <v>6.1901000000000002</v>
      </c>
      <c r="BH53">
        <v>9.5283999999999995</v>
      </c>
      <c r="BI53">
        <v>7.7302999999999997</v>
      </c>
      <c r="BJ53">
        <v>8.0701000000000001</v>
      </c>
      <c r="BK53">
        <v>5.5556000000000001</v>
      </c>
      <c r="BL53">
        <v>-3.4769000000000001</v>
      </c>
      <c r="BM53">
        <v>2.5567000000000002</v>
      </c>
      <c r="BN53">
        <v>25.8796</v>
      </c>
      <c r="BO53">
        <v>18.348199999999999</v>
      </c>
      <c r="BP53">
        <v>-68.957800000000006</v>
      </c>
      <c r="BQ53">
        <v>-39.783700000000003</v>
      </c>
      <c r="BR53">
        <v>22.454699999999999</v>
      </c>
      <c r="BS53">
        <v>4.09</v>
      </c>
      <c r="BT53">
        <v>29.418299999999999</v>
      </c>
      <c r="BU53">
        <v>9.0937999999999999</v>
      </c>
      <c r="BV53">
        <v>16.602399999999999</v>
      </c>
      <c r="BW53">
        <v>9.0154999999999994</v>
      </c>
      <c r="BX53">
        <v>15.0581</v>
      </c>
      <c r="BY53">
        <v>1387610</v>
      </c>
      <c r="BZ53">
        <v>377420</v>
      </c>
      <c r="CA53">
        <v>1010190</v>
      </c>
      <c r="CB53">
        <v>3.9611999999999998</v>
      </c>
      <c r="CC53">
        <v>1.8932</v>
      </c>
      <c r="CD53">
        <v>5.8231999999999999</v>
      </c>
      <c r="CE53">
        <v>2.7831000000000001</v>
      </c>
      <c r="CF53">
        <v>13.972899999999999</v>
      </c>
      <c r="CG53">
        <v>46.3309</v>
      </c>
      <c r="CH53">
        <v>50.5991</v>
      </c>
      <c r="CI53">
        <v>29.851299999999998</v>
      </c>
      <c r="CJ53">
        <v>23.5562</v>
      </c>
      <c r="CK53">
        <v>69.503500000000003</v>
      </c>
      <c r="CL53">
        <v>41.004199999999997</v>
      </c>
      <c r="CM53">
        <v>32.357100000000003</v>
      </c>
      <c r="CN53">
        <v>33.218299999999999</v>
      </c>
      <c r="CO53">
        <v>24.935200000000002</v>
      </c>
      <c r="CP53">
        <v>350300</v>
      </c>
      <c r="CQ53">
        <v>-250570</v>
      </c>
      <c r="CR53">
        <v>238290</v>
      </c>
      <c r="CS53">
        <v>0.62909999999999999</v>
      </c>
      <c r="CT53">
        <v>1.3119000000000001</v>
      </c>
      <c r="CU53">
        <v>0.71079999999999999</v>
      </c>
      <c r="CV53">
        <v>2.4722</v>
      </c>
      <c r="CW53">
        <v>45.348399999999998</v>
      </c>
      <c r="CX53">
        <v>8.0488</v>
      </c>
      <c r="CY53">
        <v>6.5747999999999998</v>
      </c>
      <c r="CZ53">
        <v>55.514699999999998</v>
      </c>
      <c r="DA53">
        <v>6.6024000000000003</v>
      </c>
      <c r="DB53">
        <v>55.283299999999997</v>
      </c>
      <c r="DC53">
        <v>8.2801000000000009</v>
      </c>
      <c r="DD53">
        <v>63.563499999999998</v>
      </c>
      <c r="DE53">
        <v>559970</v>
      </c>
      <c r="DF53">
        <v>75730</v>
      </c>
      <c r="DG53">
        <v>120120</v>
      </c>
      <c r="DH53">
        <v>334390</v>
      </c>
      <c r="DI53">
        <v>29730</v>
      </c>
    </row>
    <row r="54" spans="1:113" x14ac:dyDescent="0.3">
      <c r="E54" t="s">
        <v>78</v>
      </c>
      <c r="F54" t="s">
        <v>135</v>
      </c>
      <c r="G54" t="s">
        <v>135</v>
      </c>
      <c r="H54" t="s">
        <v>135</v>
      </c>
      <c r="I54" t="s">
        <v>135</v>
      </c>
      <c r="J54" t="s">
        <v>135</v>
      </c>
      <c r="K54" t="s">
        <v>135</v>
      </c>
      <c r="L54" t="s">
        <v>135</v>
      </c>
      <c r="M54" t="s">
        <v>135</v>
      </c>
      <c r="N54" t="s">
        <v>135</v>
      </c>
      <c r="O54" t="s">
        <v>135</v>
      </c>
      <c r="P54" t="s">
        <v>135</v>
      </c>
      <c r="Q54" t="s">
        <v>135</v>
      </c>
      <c r="R54" t="s">
        <v>135</v>
      </c>
      <c r="S54" t="s">
        <v>135</v>
      </c>
      <c r="T54" t="s">
        <v>135</v>
      </c>
      <c r="U54" t="s">
        <v>135</v>
      </c>
      <c r="V54" t="s">
        <v>135</v>
      </c>
      <c r="W54" t="s">
        <v>135</v>
      </c>
      <c r="X54" t="s">
        <v>135</v>
      </c>
      <c r="Y54" t="s">
        <v>135</v>
      </c>
      <c r="Z54" t="s">
        <v>135</v>
      </c>
      <c r="AA54" t="s">
        <v>135</v>
      </c>
      <c r="AB54" t="s">
        <v>135</v>
      </c>
      <c r="AC54" t="s">
        <v>135</v>
      </c>
      <c r="AD54" t="s">
        <v>135</v>
      </c>
      <c r="AE54" t="s">
        <v>135</v>
      </c>
      <c r="AF54" t="s">
        <v>135</v>
      </c>
      <c r="AG54" t="s">
        <v>135</v>
      </c>
      <c r="AH54" t="s">
        <v>135</v>
      </c>
      <c r="AI54" t="s">
        <v>135</v>
      </c>
      <c r="AJ54" t="s">
        <v>135</v>
      </c>
      <c r="AK54" t="s">
        <v>135</v>
      </c>
      <c r="AL54" t="s">
        <v>135</v>
      </c>
      <c r="AM54" t="s">
        <v>135</v>
      </c>
      <c r="AN54" t="s">
        <v>135</v>
      </c>
      <c r="AO54" t="s">
        <v>135</v>
      </c>
      <c r="AP54" t="s">
        <v>135</v>
      </c>
      <c r="AQ54" t="s">
        <v>135</v>
      </c>
      <c r="AR54" t="s">
        <v>135</v>
      </c>
      <c r="AS54" t="s">
        <v>135</v>
      </c>
      <c r="AT54" t="s">
        <v>135</v>
      </c>
      <c r="AU54" t="s">
        <v>135</v>
      </c>
      <c r="AV54" t="s">
        <v>135</v>
      </c>
      <c r="AW54" t="s">
        <v>135</v>
      </c>
      <c r="AX54" t="s">
        <v>135</v>
      </c>
      <c r="AY54" t="s">
        <v>135</v>
      </c>
      <c r="AZ54" t="s">
        <v>135</v>
      </c>
      <c r="BA54" t="s">
        <v>135</v>
      </c>
      <c r="BB54" t="s">
        <v>135</v>
      </c>
      <c r="BC54" t="s">
        <v>135</v>
      </c>
      <c r="BD54" t="s">
        <v>135</v>
      </c>
      <c r="BE54" t="s">
        <v>135</v>
      </c>
      <c r="BF54" t="s">
        <v>135</v>
      </c>
      <c r="BG54" t="s">
        <v>135</v>
      </c>
      <c r="BH54" t="s">
        <v>135</v>
      </c>
      <c r="BI54" t="s">
        <v>135</v>
      </c>
      <c r="BJ54" t="s">
        <v>135</v>
      </c>
      <c r="BK54" t="s">
        <v>135</v>
      </c>
      <c r="BL54" t="s">
        <v>135</v>
      </c>
      <c r="BM54" t="s">
        <v>135</v>
      </c>
      <c r="BN54" t="s">
        <v>135</v>
      </c>
      <c r="BO54" t="s">
        <v>135</v>
      </c>
      <c r="BP54" t="s">
        <v>135</v>
      </c>
      <c r="BQ54" t="s">
        <v>135</v>
      </c>
      <c r="BR54" t="s">
        <v>135</v>
      </c>
      <c r="BS54" t="s">
        <v>135</v>
      </c>
      <c r="BT54" t="s">
        <v>135</v>
      </c>
      <c r="BU54" t="s">
        <v>135</v>
      </c>
      <c r="BV54" t="s">
        <v>135</v>
      </c>
      <c r="BW54" t="s">
        <v>135</v>
      </c>
      <c r="BX54" t="s">
        <v>135</v>
      </c>
      <c r="BY54" t="s">
        <v>135</v>
      </c>
      <c r="BZ54" t="s">
        <v>135</v>
      </c>
      <c r="CA54" t="s">
        <v>135</v>
      </c>
      <c r="CB54" t="s">
        <v>135</v>
      </c>
      <c r="CC54" t="s">
        <v>135</v>
      </c>
      <c r="CD54" t="s">
        <v>135</v>
      </c>
      <c r="CE54" t="s">
        <v>135</v>
      </c>
      <c r="CF54" t="s">
        <v>135</v>
      </c>
      <c r="CG54" t="s">
        <v>135</v>
      </c>
      <c r="CH54" t="s">
        <v>135</v>
      </c>
      <c r="CI54" t="s">
        <v>135</v>
      </c>
      <c r="CJ54" t="s">
        <v>135</v>
      </c>
      <c r="CK54" t="s">
        <v>135</v>
      </c>
      <c r="CL54" t="s">
        <v>135</v>
      </c>
      <c r="CM54" t="s">
        <v>135</v>
      </c>
      <c r="CN54" t="s">
        <v>135</v>
      </c>
      <c r="CO54" t="s">
        <v>135</v>
      </c>
      <c r="CP54" t="s">
        <v>135</v>
      </c>
      <c r="CQ54" t="s">
        <v>135</v>
      </c>
      <c r="CR54" t="s">
        <v>135</v>
      </c>
      <c r="CS54" t="s">
        <v>135</v>
      </c>
      <c r="CT54" t="s">
        <v>135</v>
      </c>
      <c r="CU54" t="s">
        <v>135</v>
      </c>
      <c r="CV54" t="s">
        <v>135</v>
      </c>
      <c r="CW54" t="s">
        <v>135</v>
      </c>
      <c r="CX54" t="s">
        <v>135</v>
      </c>
      <c r="CY54" t="s">
        <v>135</v>
      </c>
      <c r="CZ54" t="s">
        <v>135</v>
      </c>
      <c r="DA54" t="s">
        <v>135</v>
      </c>
      <c r="DB54" t="s">
        <v>135</v>
      </c>
      <c r="DC54" t="s">
        <v>135</v>
      </c>
      <c r="DD54" t="s">
        <v>135</v>
      </c>
      <c r="DE54" t="s">
        <v>135</v>
      </c>
      <c r="DF54" t="s">
        <v>135</v>
      </c>
      <c r="DG54" t="s">
        <v>135</v>
      </c>
      <c r="DH54" t="s">
        <v>135</v>
      </c>
      <c r="DI54" t="s">
        <v>135</v>
      </c>
    </row>
    <row r="55" spans="1:113" x14ac:dyDescent="0.3">
      <c r="E55" t="s">
        <v>79</v>
      </c>
      <c r="F55" t="s">
        <v>135</v>
      </c>
      <c r="G55" t="s">
        <v>135</v>
      </c>
      <c r="H55" t="s">
        <v>135</v>
      </c>
      <c r="I55" t="s">
        <v>135</v>
      </c>
      <c r="J55" t="s">
        <v>135</v>
      </c>
      <c r="K55" t="s">
        <v>135</v>
      </c>
      <c r="L55" t="s">
        <v>135</v>
      </c>
      <c r="M55" t="s">
        <v>135</v>
      </c>
      <c r="N55" t="s">
        <v>135</v>
      </c>
      <c r="O55" t="s">
        <v>135</v>
      </c>
      <c r="P55" t="s">
        <v>135</v>
      </c>
      <c r="Q55" t="s">
        <v>135</v>
      </c>
      <c r="R55" t="s">
        <v>135</v>
      </c>
      <c r="S55" t="s">
        <v>135</v>
      </c>
      <c r="T55" t="s">
        <v>135</v>
      </c>
      <c r="U55" t="s">
        <v>135</v>
      </c>
      <c r="V55" t="s">
        <v>135</v>
      </c>
      <c r="W55" t="s">
        <v>135</v>
      </c>
      <c r="X55" t="s">
        <v>135</v>
      </c>
      <c r="Y55" t="s">
        <v>135</v>
      </c>
      <c r="Z55" t="s">
        <v>135</v>
      </c>
      <c r="AA55" t="s">
        <v>135</v>
      </c>
      <c r="AB55" t="s">
        <v>135</v>
      </c>
      <c r="AC55" t="s">
        <v>135</v>
      </c>
      <c r="AD55" t="s">
        <v>135</v>
      </c>
      <c r="AE55" t="s">
        <v>135</v>
      </c>
      <c r="AF55" t="s">
        <v>135</v>
      </c>
      <c r="AG55" t="s">
        <v>135</v>
      </c>
      <c r="AH55" t="s">
        <v>135</v>
      </c>
      <c r="AI55" t="s">
        <v>135</v>
      </c>
      <c r="AJ55" t="s">
        <v>135</v>
      </c>
      <c r="AK55" t="s">
        <v>135</v>
      </c>
      <c r="AL55" t="s">
        <v>135</v>
      </c>
      <c r="AM55" t="s">
        <v>135</v>
      </c>
      <c r="AN55" t="s">
        <v>135</v>
      </c>
      <c r="AO55" t="s">
        <v>135</v>
      </c>
      <c r="AP55" t="s">
        <v>135</v>
      </c>
      <c r="AQ55" t="s">
        <v>135</v>
      </c>
      <c r="AR55" t="s">
        <v>135</v>
      </c>
      <c r="AS55" t="s">
        <v>135</v>
      </c>
      <c r="AT55" t="s">
        <v>135</v>
      </c>
      <c r="AU55" t="s">
        <v>135</v>
      </c>
      <c r="AV55" t="s">
        <v>135</v>
      </c>
      <c r="AW55" t="s">
        <v>135</v>
      </c>
      <c r="AX55" t="s">
        <v>135</v>
      </c>
      <c r="AY55" t="s">
        <v>135</v>
      </c>
      <c r="AZ55" t="s">
        <v>135</v>
      </c>
      <c r="BA55" t="s">
        <v>135</v>
      </c>
      <c r="BB55" t="s">
        <v>135</v>
      </c>
      <c r="BC55" t="s">
        <v>135</v>
      </c>
      <c r="BD55" t="s">
        <v>135</v>
      </c>
      <c r="BE55" t="s">
        <v>135</v>
      </c>
      <c r="BF55" t="s">
        <v>135</v>
      </c>
      <c r="BG55" t="s">
        <v>135</v>
      </c>
      <c r="BH55" t="s">
        <v>135</v>
      </c>
      <c r="BI55" t="s">
        <v>135</v>
      </c>
      <c r="BJ55" t="s">
        <v>135</v>
      </c>
      <c r="BK55" t="s">
        <v>135</v>
      </c>
      <c r="BL55" t="s">
        <v>135</v>
      </c>
      <c r="BM55" t="s">
        <v>135</v>
      </c>
      <c r="BN55" t="s">
        <v>135</v>
      </c>
      <c r="BO55" t="s">
        <v>135</v>
      </c>
      <c r="BP55" t="s">
        <v>135</v>
      </c>
      <c r="BQ55" t="s">
        <v>135</v>
      </c>
      <c r="BR55" t="s">
        <v>135</v>
      </c>
      <c r="BS55" t="s">
        <v>135</v>
      </c>
      <c r="BT55" t="s">
        <v>135</v>
      </c>
      <c r="BU55" t="s">
        <v>135</v>
      </c>
      <c r="BV55" t="s">
        <v>135</v>
      </c>
      <c r="BW55" t="s">
        <v>135</v>
      </c>
      <c r="BX55" t="s">
        <v>135</v>
      </c>
      <c r="BY55" t="s">
        <v>135</v>
      </c>
      <c r="BZ55" t="s">
        <v>135</v>
      </c>
      <c r="CA55" t="s">
        <v>135</v>
      </c>
      <c r="CB55" t="s">
        <v>135</v>
      </c>
      <c r="CC55" t="s">
        <v>135</v>
      </c>
      <c r="CD55" t="s">
        <v>135</v>
      </c>
      <c r="CE55" t="s">
        <v>135</v>
      </c>
      <c r="CF55" t="s">
        <v>135</v>
      </c>
      <c r="CG55" t="s">
        <v>135</v>
      </c>
      <c r="CH55" t="s">
        <v>135</v>
      </c>
      <c r="CI55" t="s">
        <v>135</v>
      </c>
      <c r="CJ55" t="s">
        <v>135</v>
      </c>
      <c r="CK55" t="s">
        <v>135</v>
      </c>
      <c r="CL55" t="s">
        <v>135</v>
      </c>
      <c r="CM55" t="s">
        <v>135</v>
      </c>
      <c r="CN55" t="s">
        <v>135</v>
      </c>
      <c r="CO55" t="s">
        <v>135</v>
      </c>
      <c r="CP55" t="s">
        <v>135</v>
      </c>
      <c r="CQ55" t="s">
        <v>135</v>
      </c>
      <c r="CR55" t="s">
        <v>135</v>
      </c>
      <c r="CS55" t="s">
        <v>135</v>
      </c>
      <c r="CT55" t="s">
        <v>135</v>
      </c>
      <c r="CU55" t="s">
        <v>135</v>
      </c>
      <c r="CV55" t="s">
        <v>135</v>
      </c>
      <c r="CW55" t="s">
        <v>135</v>
      </c>
      <c r="CX55" t="s">
        <v>135</v>
      </c>
      <c r="CY55" t="s">
        <v>135</v>
      </c>
      <c r="CZ55" t="s">
        <v>135</v>
      </c>
      <c r="DA55" t="s">
        <v>135</v>
      </c>
      <c r="DB55" t="s">
        <v>135</v>
      </c>
      <c r="DC55" t="s">
        <v>135</v>
      </c>
      <c r="DD55" t="s">
        <v>135</v>
      </c>
      <c r="DE55" t="s">
        <v>135</v>
      </c>
      <c r="DF55" t="s">
        <v>135</v>
      </c>
      <c r="DG55" t="s">
        <v>135</v>
      </c>
      <c r="DH55" t="s">
        <v>135</v>
      </c>
      <c r="DI55" t="s">
        <v>135</v>
      </c>
    </row>
    <row r="56" spans="1:113" x14ac:dyDescent="0.3">
      <c r="E56" t="s">
        <v>80</v>
      </c>
      <c r="F56" t="s">
        <v>135</v>
      </c>
      <c r="G56" t="s">
        <v>135</v>
      </c>
      <c r="H56" t="s">
        <v>135</v>
      </c>
      <c r="I56" t="s">
        <v>135</v>
      </c>
      <c r="J56" t="s">
        <v>135</v>
      </c>
      <c r="K56" t="s">
        <v>135</v>
      </c>
      <c r="L56" t="s">
        <v>135</v>
      </c>
      <c r="M56" t="s">
        <v>135</v>
      </c>
      <c r="N56" t="s">
        <v>135</v>
      </c>
      <c r="O56" t="s">
        <v>135</v>
      </c>
      <c r="P56" t="s">
        <v>135</v>
      </c>
      <c r="Q56" t="s">
        <v>135</v>
      </c>
      <c r="R56" t="s">
        <v>135</v>
      </c>
      <c r="S56" t="s">
        <v>135</v>
      </c>
      <c r="T56" t="s">
        <v>135</v>
      </c>
      <c r="U56" t="s">
        <v>135</v>
      </c>
      <c r="V56" t="s">
        <v>135</v>
      </c>
      <c r="W56" t="s">
        <v>135</v>
      </c>
      <c r="X56" t="s">
        <v>135</v>
      </c>
      <c r="Y56" t="s">
        <v>135</v>
      </c>
      <c r="Z56" t="s">
        <v>135</v>
      </c>
      <c r="AA56" t="s">
        <v>135</v>
      </c>
      <c r="AB56" t="s">
        <v>135</v>
      </c>
      <c r="AC56" t="s">
        <v>135</v>
      </c>
      <c r="AD56" t="s">
        <v>135</v>
      </c>
      <c r="AE56" t="s">
        <v>135</v>
      </c>
      <c r="AF56" t="s">
        <v>135</v>
      </c>
      <c r="AG56" t="s">
        <v>135</v>
      </c>
      <c r="AH56" t="s">
        <v>135</v>
      </c>
      <c r="AI56" t="s">
        <v>135</v>
      </c>
      <c r="AJ56" t="s">
        <v>135</v>
      </c>
      <c r="AK56" t="s">
        <v>135</v>
      </c>
      <c r="AL56" t="s">
        <v>135</v>
      </c>
      <c r="AM56" t="s">
        <v>135</v>
      </c>
      <c r="AN56" t="s">
        <v>135</v>
      </c>
      <c r="AO56" t="s">
        <v>135</v>
      </c>
      <c r="AP56" t="s">
        <v>135</v>
      </c>
      <c r="AQ56" t="s">
        <v>135</v>
      </c>
      <c r="AR56" t="s">
        <v>135</v>
      </c>
      <c r="AS56" t="s">
        <v>135</v>
      </c>
      <c r="AT56" t="s">
        <v>135</v>
      </c>
      <c r="AU56" t="s">
        <v>135</v>
      </c>
      <c r="AV56" t="s">
        <v>135</v>
      </c>
      <c r="AW56" t="s">
        <v>135</v>
      </c>
      <c r="AX56" t="s">
        <v>135</v>
      </c>
      <c r="AY56" t="s">
        <v>135</v>
      </c>
      <c r="AZ56" t="s">
        <v>135</v>
      </c>
      <c r="BA56" t="s">
        <v>135</v>
      </c>
      <c r="BB56" t="s">
        <v>135</v>
      </c>
      <c r="BC56" t="s">
        <v>135</v>
      </c>
      <c r="BD56" t="s">
        <v>135</v>
      </c>
      <c r="BE56" t="s">
        <v>135</v>
      </c>
      <c r="BF56" t="s">
        <v>135</v>
      </c>
      <c r="BG56" t="s">
        <v>135</v>
      </c>
      <c r="BH56" t="s">
        <v>135</v>
      </c>
      <c r="BI56" t="s">
        <v>135</v>
      </c>
      <c r="BJ56" t="s">
        <v>135</v>
      </c>
      <c r="BK56" t="s">
        <v>135</v>
      </c>
      <c r="BL56" t="s">
        <v>135</v>
      </c>
      <c r="BM56" t="s">
        <v>135</v>
      </c>
      <c r="BN56" t="s">
        <v>135</v>
      </c>
      <c r="BO56" t="s">
        <v>135</v>
      </c>
      <c r="BP56" t="s">
        <v>135</v>
      </c>
      <c r="BQ56" t="s">
        <v>135</v>
      </c>
      <c r="BR56" t="s">
        <v>135</v>
      </c>
      <c r="BS56" t="s">
        <v>135</v>
      </c>
      <c r="BT56" t="s">
        <v>135</v>
      </c>
      <c r="BU56" t="s">
        <v>135</v>
      </c>
      <c r="BV56" t="s">
        <v>135</v>
      </c>
      <c r="BW56" t="s">
        <v>135</v>
      </c>
      <c r="BX56" t="s">
        <v>135</v>
      </c>
      <c r="BY56" t="s">
        <v>135</v>
      </c>
      <c r="BZ56" t="s">
        <v>135</v>
      </c>
      <c r="CA56" t="s">
        <v>135</v>
      </c>
      <c r="CB56" t="s">
        <v>135</v>
      </c>
      <c r="CC56" t="s">
        <v>135</v>
      </c>
      <c r="CD56" t="s">
        <v>135</v>
      </c>
      <c r="CE56" t="s">
        <v>135</v>
      </c>
      <c r="CF56" t="s">
        <v>135</v>
      </c>
      <c r="CG56" t="s">
        <v>135</v>
      </c>
      <c r="CH56" t="s">
        <v>135</v>
      </c>
      <c r="CI56" t="s">
        <v>135</v>
      </c>
      <c r="CJ56" t="s">
        <v>135</v>
      </c>
      <c r="CK56" t="s">
        <v>135</v>
      </c>
      <c r="CL56" t="s">
        <v>135</v>
      </c>
      <c r="CM56" t="s">
        <v>135</v>
      </c>
      <c r="CN56" t="s">
        <v>135</v>
      </c>
      <c r="CO56" t="s">
        <v>135</v>
      </c>
      <c r="CP56" t="s">
        <v>135</v>
      </c>
      <c r="CQ56" t="s">
        <v>135</v>
      </c>
      <c r="CR56" t="s">
        <v>135</v>
      </c>
      <c r="CS56" t="s">
        <v>135</v>
      </c>
      <c r="CT56" t="s">
        <v>135</v>
      </c>
      <c r="CU56" t="s">
        <v>135</v>
      </c>
      <c r="CV56" t="s">
        <v>135</v>
      </c>
      <c r="CW56" t="s">
        <v>135</v>
      </c>
      <c r="CX56" t="s">
        <v>135</v>
      </c>
      <c r="CY56" t="s">
        <v>135</v>
      </c>
      <c r="CZ56" t="s">
        <v>135</v>
      </c>
      <c r="DA56" t="s">
        <v>135</v>
      </c>
      <c r="DB56" t="s">
        <v>135</v>
      </c>
      <c r="DC56" t="s">
        <v>135</v>
      </c>
      <c r="DD56" t="s">
        <v>135</v>
      </c>
      <c r="DE56" t="s">
        <v>135</v>
      </c>
      <c r="DF56" t="s">
        <v>135</v>
      </c>
      <c r="DG56" t="s">
        <v>135</v>
      </c>
      <c r="DH56" t="s">
        <v>135</v>
      </c>
      <c r="DI56" t="s">
        <v>135</v>
      </c>
    </row>
    <row r="57" spans="1:113" x14ac:dyDescent="0.3">
      <c r="E57" t="s">
        <v>81</v>
      </c>
      <c r="F57" t="s">
        <v>135</v>
      </c>
      <c r="G57" t="s">
        <v>135</v>
      </c>
      <c r="H57" t="s">
        <v>135</v>
      </c>
      <c r="I57" t="s">
        <v>135</v>
      </c>
      <c r="J57" t="s">
        <v>135</v>
      </c>
      <c r="K57" t="s">
        <v>135</v>
      </c>
      <c r="L57" t="s">
        <v>135</v>
      </c>
      <c r="M57" t="s">
        <v>135</v>
      </c>
      <c r="N57" t="s">
        <v>135</v>
      </c>
      <c r="O57" t="s">
        <v>135</v>
      </c>
      <c r="P57" t="s">
        <v>135</v>
      </c>
      <c r="Q57" t="s">
        <v>135</v>
      </c>
      <c r="R57" t="s">
        <v>135</v>
      </c>
      <c r="S57" t="s">
        <v>135</v>
      </c>
      <c r="T57" t="s">
        <v>135</v>
      </c>
      <c r="U57" t="s">
        <v>135</v>
      </c>
      <c r="V57" t="s">
        <v>135</v>
      </c>
      <c r="W57" t="s">
        <v>135</v>
      </c>
      <c r="X57" t="s">
        <v>135</v>
      </c>
      <c r="Y57" t="s">
        <v>135</v>
      </c>
      <c r="Z57" t="s">
        <v>135</v>
      </c>
      <c r="AA57" t="s">
        <v>135</v>
      </c>
      <c r="AB57" t="s">
        <v>135</v>
      </c>
      <c r="AC57" t="s">
        <v>135</v>
      </c>
      <c r="AD57" t="s">
        <v>135</v>
      </c>
      <c r="AE57" t="s">
        <v>135</v>
      </c>
      <c r="AF57" t="s">
        <v>135</v>
      </c>
      <c r="AG57" t="s">
        <v>135</v>
      </c>
      <c r="AH57" t="s">
        <v>135</v>
      </c>
      <c r="AI57" t="s">
        <v>135</v>
      </c>
      <c r="AJ57" t="s">
        <v>135</v>
      </c>
      <c r="AK57" t="s">
        <v>135</v>
      </c>
      <c r="AL57" t="s">
        <v>135</v>
      </c>
      <c r="AM57" t="s">
        <v>135</v>
      </c>
      <c r="AN57" t="s">
        <v>135</v>
      </c>
      <c r="AO57" t="s">
        <v>135</v>
      </c>
      <c r="AP57" t="s">
        <v>135</v>
      </c>
      <c r="AQ57" t="s">
        <v>135</v>
      </c>
      <c r="AR57" t="s">
        <v>135</v>
      </c>
      <c r="AS57" t="s">
        <v>135</v>
      </c>
      <c r="AT57" t="s">
        <v>135</v>
      </c>
      <c r="AU57" t="s">
        <v>135</v>
      </c>
      <c r="AV57" t="s">
        <v>135</v>
      </c>
      <c r="AW57" t="s">
        <v>135</v>
      </c>
      <c r="AX57" t="s">
        <v>135</v>
      </c>
      <c r="AY57" t="s">
        <v>135</v>
      </c>
      <c r="AZ57" t="s">
        <v>135</v>
      </c>
      <c r="BA57" t="s">
        <v>135</v>
      </c>
      <c r="BB57" t="s">
        <v>135</v>
      </c>
      <c r="BC57" t="s">
        <v>135</v>
      </c>
      <c r="BD57" t="s">
        <v>135</v>
      </c>
      <c r="BE57" t="s">
        <v>135</v>
      </c>
      <c r="BF57" t="s">
        <v>135</v>
      </c>
      <c r="BG57" t="s">
        <v>135</v>
      </c>
      <c r="BH57" t="s">
        <v>135</v>
      </c>
      <c r="BI57" t="s">
        <v>135</v>
      </c>
      <c r="BJ57" t="s">
        <v>135</v>
      </c>
      <c r="BK57" t="s">
        <v>135</v>
      </c>
      <c r="BL57" t="s">
        <v>135</v>
      </c>
      <c r="BM57" t="s">
        <v>135</v>
      </c>
      <c r="BN57" t="s">
        <v>135</v>
      </c>
      <c r="BO57" t="s">
        <v>135</v>
      </c>
      <c r="BP57" t="s">
        <v>135</v>
      </c>
      <c r="BQ57" t="s">
        <v>135</v>
      </c>
      <c r="BR57" t="s">
        <v>135</v>
      </c>
      <c r="BS57" t="s">
        <v>135</v>
      </c>
      <c r="BT57" t="s">
        <v>135</v>
      </c>
      <c r="BU57" t="s">
        <v>135</v>
      </c>
      <c r="BV57" t="s">
        <v>135</v>
      </c>
      <c r="BW57" t="s">
        <v>135</v>
      </c>
      <c r="BX57" t="s">
        <v>135</v>
      </c>
      <c r="BY57" t="s">
        <v>135</v>
      </c>
      <c r="BZ57" t="s">
        <v>135</v>
      </c>
      <c r="CA57" t="s">
        <v>135</v>
      </c>
      <c r="CB57" t="s">
        <v>135</v>
      </c>
      <c r="CC57" t="s">
        <v>135</v>
      </c>
      <c r="CD57" t="s">
        <v>135</v>
      </c>
      <c r="CE57" t="s">
        <v>135</v>
      </c>
      <c r="CF57" t="s">
        <v>135</v>
      </c>
      <c r="CG57" t="s">
        <v>135</v>
      </c>
      <c r="CH57" t="s">
        <v>135</v>
      </c>
      <c r="CI57" t="s">
        <v>135</v>
      </c>
      <c r="CJ57" t="s">
        <v>135</v>
      </c>
      <c r="CK57" t="s">
        <v>135</v>
      </c>
      <c r="CL57" t="s">
        <v>135</v>
      </c>
      <c r="CM57" t="s">
        <v>135</v>
      </c>
      <c r="CN57" t="s">
        <v>135</v>
      </c>
      <c r="CO57" t="s">
        <v>135</v>
      </c>
      <c r="CP57" t="s">
        <v>135</v>
      </c>
      <c r="CQ57" t="s">
        <v>135</v>
      </c>
      <c r="CR57" t="s">
        <v>135</v>
      </c>
      <c r="CS57" t="s">
        <v>135</v>
      </c>
      <c r="CT57" t="s">
        <v>135</v>
      </c>
      <c r="CU57" t="s">
        <v>135</v>
      </c>
      <c r="CV57" t="s">
        <v>135</v>
      </c>
      <c r="CW57" t="s">
        <v>135</v>
      </c>
      <c r="CX57" t="s">
        <v>135</v>
      </c>
      <c r="CY57" t="s">
        <v>135</v>
      </c>
      <c r="CZ57" t="s">
        <v>135</v>
      </c>
      <c r="DA57" t="s">
        <v>135</v>
      </c>
      <c r="DB57" t="s">
        <v>135</v>
      </c>
      <c r="DC57" t="s">
        <v>135</v>
      </c>
      <c r="DD57" t="s">
        <v>135</v>
      </c>
      <c r="DE57" t="s">
        <v>135</v>
      </c>
      <c r="DF57" t="s">
        <v>135</v>
      </c>
      <c r="DG57" t="s">
        <v>135</v>
      </c>
      <c r="DH57" t="s">
        <v>135</v>
      </c>
      <c r="DI57" t="s">
        <v>135</v>
      </c>
    </row>
    <row r="58" spans="1:113" x14ac:dyDescent="0.3">
      <c r="D58" t="s">
        <v>82</v>
      </c>
      <c r="E58" t="s">
        <v>77</v>
      </c>
      <c r="F58">
        <v>11.297599999999999</v>
      </c>
      <c r="G58">
        <v>5.0499000000000001</v>
      </c>
      <c r="H58">
        <v>7.0834000000000001</v>
      </c>
      <c r="I58">
        <v>5.3080999999999996</v>
      </c>
      <c r="J58">
        <v>10.0153</v>
      </c>
      <c r="K58">
        <v>6.9397000000000002</v>
      </c>
      <c r="L58" t="s">
        <v>135</v>
      </c>
      <c r="M58">
        <v>8.2874999999999996</v>
      </c>
      <c r="N58">
        <v>6.2967000000000004</v>
      </c>
      <c r="O58">
        <v>6.2770000000000001</v>
      </c>
      <c r="P58">
        <v>6.2770000000000001</v>
      </c>
      <c r="Q58">
        <v>24.0213</v>
      </c>
      <c r="R58">
        <v>12.492599999999999</v>
      </c>
      <c r="S58">
        <v>9.8862000000000005</v>
      </c>
      <c r="T58">
        <v>-13.585800000000001</v>
      </c>
      <c r="U58">
        <v>7.3394000000000004</v>
      </c>
      <c r="V58">
        <v>9.3374000000000006</v>
      </c>
      <c r="W58">
        <v>4.7704000000000004</v>
      </c>
      <c r="X58">
        <v>4.6505999999999998</v>
      </c>
      <c r="Y58">
        <v>5.2632000000000003</v>
      </c>
      <c r="Z58">
        <v>-43.523499999999999</v>
      </c>
      <c r="AA58">
        <v>-6.1212999999999997</v>
      </c>
      <c r="AB58">
        <v>40.8705</v>
      </c>
      <c r="AC58">
        <v>17.6389</v>
      </c>
      <c r="AD58" t="s">
        <v>135</v>
      </c>
      <c r="AE58" t="s">
        <v>135</v>
      </c>
      <c r="AF58">
        <v>-2.3874</v>
      </c>
      <c r="AG58">
        <v>6.2106000000000003</v>
      </c>
      <c r="AH58">
        <v>15.9306</v>
      </c>
      <c r="AI58">
        <v>10.9649</v>
      </c>
      <c r="AJ58">
        <v>13.000999999999999</v>
      </c>
      <c r="AK58">
        <v>9.83</v>
      </c>
      <c r="AL58">
        <v>-21.507300000000001</v>
      </c>
      <c r="AM58">
        <v>13.003500000000001</v>
      </c>
      <c r="AN58">
        <v>4.5031999999999996</v>
      </c>
      <c r="AO58">
        <v>6.2705000000000002</v>
      </c>
      <c r="AP58">
        <v>-0.77690000000000003</v>
      </c>
      <c r="AQ58">
        <v>-0.53649999999999998</v>
      </c>
      <c r="AR58">
        <v>7.3940999999999999</v>
      </c>
      <c r="AS58">
        <v>-12.020099999999999</v>
      </c>
      <c r="AT58">
        <v>9.1354000000000006</v>
      </c>
      <c r="AU58">
        <v>3.5506000000000002</v>
      </c>
      <c r="AV58">
        <v>14.2249</v>
      </c>
      <c r="AW58" t="s">
        <v>135</v>
      </c>
      <c r="AX58" t="s">
        <v>135</v>
      </c>
      <c r="AY58">
        <v>9.2758000000000003</v>
      </c>
      <c r="AZ58">
        <v>37.843400000000003</v>
      </c>
      <c r="BA58">
        <v>20.015499999999999</v>
      </c>
      <c r="BB58">
        <v>9.3681999999999999</v>
      </c>
      <c r="BC58">
        <v>13.149699999999999</v>
      </c>
      <c r="BD58">
        <v>9.4112000000000009</v>
      </c>
      <c r="BE58">
        <v>12.825099999999999</v>
      </c>
      <c r="BF58">
        <v>-13.585800000000001</v>
      </c>
      <c r="BG58">
        <v>7.3394000000000004</v>
      </c>
      <c r="BH58">
        <v>9.3374000000000006</v>
      </c>
      <c r="BI58">
        <v>4.7704000000000004</v>
      </c>
      <c r="BJ58">
        <v>4.6505999999999998</v>
      </c>
      <c r="BK58">
        <v>5.2632000000000003</v>
      </c>
      <c r="BL58">
        <v>-43.523499999999999</v>
      </c>
      <c r="BM58">
        <v>-6.1212999999999997</v>
      </c>
      <c r="BN58">
        <v>40.8705</v>
      </c>
      <c r="BO58">
        <v>17.6389</v>
      </c>
      <c r="BP58">
        <v>-116.0121</v>
      </c>
      <c r="BQ58">
        <v>-105.5022</v>
      </c>
      <c r="BR58">
        <v>-2.3874</v>
      </c>
      <c r="BS58">
        <v>6.2106000000000003</v>
      </c>
      <c r="BT58">
        <v>15.9306</v>
      </c>
      <c r="BU58">
        <v>10.9649</v>
      </c>
      <c r="BV58">
        <v>13.000999999999999</v>
      </c>
      <c r="BW58">
        <v>9.83</v>
      </c>
      <c r="BX58">
        <v>-21.507300000000001</v>
      </c>
      <c r="BY58">
        <v>1608630</v>
      </c>
      <c r="BZ58">
        <v>400860</v>
      </c>
      <c r="CA58">
        <v>1207770</v>
      </c>
      <c r="CB58">
        <v>4.2782</v>
      </c>
      <c r="CC58">
        <v>2.5878000000000001</v>
      </c>
      <c r="CD58">
        <v>6.1741999999999999</v>
      </c>
      <c r="CE58">
        <v>3.7347000000000001</v>
      </c>
      <c r="CF58">
        <v>15.1251</v>
      </c>
      <c r="CG58">
        <v>43.311199999999999</v>
      </c>
      <c r="CH58">
        <v>54.517800000000001</v>
      </c>
      <c r="CI58">
        <v>31.5839</v>
      </c>
      <c r="CJ58">
        <v>23.9406</v>
      </c>
      <c r="CK58">
        <v>72.612200000000001</v>
      </c>
      <c r="CL58">
        <v>42.066699999999997</v>
      </c>
      <c r="CM58">
        <v>31.886500000000002</v>
      </c>
      <c r="CN58">
        <v>43.922199999999997</v>
      </c>
      <c r="CO58">
        <v>30.518000000000001</v>
      </c>
      <c r="CP58">
        <v>376010</v>
      </c>
      <c r="CQ58">
        <v>-257630</v>
      </c>
      <c r="CR58">
        <v>260540</v>
      </c>
      <c r="CS58">
        <v>0.4587</v>
      </c>
      <c r="CT58">
        <v>0.98570000000000002</v>
      </c>
      <c r="CU58">
        <v>0.49709999999999999</v>
      </c>
      <c r="CV58">
        <v>1.8092000000000001</v>
      </c>
      <c r="CW58">
        <v>50.989400000000003</v>
      </c>
      <c r="CX58">
        <v>7.1582999999999997</v>
      </c>
      <c r="CY58">
        <v>5.3209</v>
      </c>
      <c r="CZ58">
        <v>68.597700000000003</v>
      </c>
      <c r="DA58">
        <v>4.8075000000000001</v>
      </c>
      <c r="DB58">
        <v>75.923199999999994</v>
      </c>
      <c r="DC58">
        <v>-0.16719999999999999</v>
      </c>
      <c r="DD58">
        <v>75.756100000000004</v>
      </c>
      <c r="DE58">
        <v>532480</v>
      </c>
      <c r="DF58">
        <v>202760</v>
      </c>
      <c r="DG58">
        <v>108810</v>
      </c>
      <c r="DH58">
        <v>163650</v>
      </c>
      <c r="DI58">
        <v>57260</v>
      </c>
    </row>
    <row r="59" spans="1:113" x14ac:dyDescent="0.3">
      <c r="E59" t="s">
        <v>78</v>
      </c>
      <c r="F59" t="s">
        <v>135</v>
      </c>
      <c r="G59" t="s">
        <v>135</v>
      </c>
      <c r="H59" t="s">
        <v>135</v>
      </c>
      <c r="I59" t="s">
        <v>135</v>
      </c>
      <c r="J59">
        <v>8.5904000000000007</v>
      </c>
      <c r="K59">
        <v>5.9318</v>
      </c>
      <c r="L59" t="s">
        <v>135</v>
      </c>
      <c r="M59">
        <v>7.3863000000000003</v>
      </c>
      <c r="N59">
        <v>5.6995000000000005</v>
      </c>
      <c r="O59">
        <v>5.6928999999999998</v>
      </c>
      <c r="P59">
        <v>5.6928999999999998</v>
      </c>
      <c r="Q59">
        <v>22.836099999999998</v>
      </c>
      <c r="R59" t="s">
        <v>135</v>
      </c>
      <c r="S59" t="s">
        <v>135</v>
      </c>
      <c r="T59" t="s">
        <v>135</v>
      </c>
      <c r="U59" t="s">
        <v>135</v>
      </c>
      <c r="V59" t="s">
        <v>135</v>
      </c>
      <c r="W59" t="s">
        <v>135</v>
      </c>
      <c r="X59" t="s">
        <v>135</v>
      </c>
      <c r="Y59" t="s">
        <v>135</v>
      </c>
      <c r="Z59" t="s">
        <v>135</v>
      </c>
      <c r="AA59" t="s">
        <v>135</v>
      </c>
      <c r="AB59" t="s">
        <v>135</v>
      </c>
      <c r="AC59" t="s">
        <v>135</v>
      </c>
      <c r="AD59" t="s">
        <v>135</v>
      </c>
      <c r="AE59" t="s">
        <v>135</v>
      </c>
      <c r="AF59" t="s">
        <v>135</v>
      </c>
      <c r="AG59" t="s">
        <v>135</v>
      </c>
      <c r="AH59" t="s">
        <v>135</v>
      </c>
      <c r="AI59" t="s">
        <v>135</v>
      </c>
      <c r="AJ59" t="s">
        <v>135</v>
      </c>
      <c r="AK59" t="s">
        <v>135</v>
      </c>
      <c r="AL59" t="s">
        <v>135</v>
      </c>
      <c r="AM59" t="s">
        <v>135</v>
      </c>
      <c r="AN59" t="s">
        <v>135</v>
      </c>
      <c r="AO59" t="s">
        <v>135</v>
      </c>
      <c r="AP59" t="s">
        <v>135</v>
      </c>
      <c r="AQ59" t="s">
        <v>135</v>
      </c>
      <c r="AR59" t="s">
        <v>135</v>
      </c>
      <c r="AS59" t="s">
        <v>135</v>
      </c>
      <c r="AT59" t="s">
        <v>135</v>
      </c>
      <c r="AU59" t="s">
        <v>135</v>
      </c>
      <c r="AV59" t="s">
        <v>135</v>
      </c>
      <c r="AW59" t="s">
        <v>135</v>
      </c>
      <c r="AX59" t="s">
        <v>135</v>
      </c>
      <c r="AY59" t="s">
        <v>135</v>
      </c>
      <c r="AZ59" t="s">
        <v>135</v>
      </c>
      <c r="BA59" t="s">
        <v>135</v>
      </c>
      <c r="BB59" t="s">
        <v>135</v>
      </c>
      <c r="BC59" t="s">
        <v>135</v>
      </c>
      <c r="BD59" t="s">
        <v>135</v>
      </c>
      <c r="BE59" t="s">
        <v>135</v>
      </c>
      <c r="BF59" t="s">
        <v>135</v>
      </c>
      <c r="BG59" t="s">
        <v>135</v>
      </c>
      <c r="BH59" t="s">
        <v>135</v>
      </c>
      <c r="BI59" t="s">
        <v>135</v>
      </c>
      <c r="BJ59" t="s">
        <v>135</v>
      </c>
      <c r="BK59" t="s">
        <v>135</v>
      </c>
      <c r="BL59" t="s">
        <v>135</v>
      </c>
      <c r="BM59" t="s">
        <v>135</v>
      </c>
      <c r="BN59" t="s">
        <v>135</v>
      </c>
      <c r="BO59" t="s">
        <v>135</v>
      </c>
      <c r="BP59" t="s">
        <v>135</v>
      </c>
      <c r="BQ59" t="s">
        <v>135</v>
      </c>
      <c r="BR59" t="s">
        <v>135</v>
      </c>
      <c r="BS59" t="s">
        <v>135</v>
      </c>
      <c r="BT59" t="s">
        <v>135</v>
      </c>
      <c r="BU59" t="s">
        <v>135</v>
      </c>
      <c r="BV59" t="s">
        <v>135</v>
      </c>
      <c r="BW59" t="s">
        <v>135</v>
      </c>
      <c r="BX59" t="s">
        <v>135</v>
      </c>
      <c r="BY59" t="s">
        <v>135</v>
      </c>
      <c r="BZ59" t="s">
        <v>135</v>
      </c>
      <c r="CA59" t="s">
        <v>135</v>
      </c>
      <c r="CB59" t="s">
        <v>135</v>
      </c>
      <c r="CC59" t="s">
        <v>135</v>
      </c>
      <c r="CD59" t="s">
        <v>135</v>
      </c>
      <c r="CE59" t="s">
        <v>135</v>
      </c>
      <c r="CF59">
        <v>17.8</v>
      </c>
      <c r="CG59" t="s">
        <v>135</v>
      </c>
      <c r="CH59" t="s">
        <v>135</v>
      </c>
      <c r="CI59" t="s">
        <v>135</v>
      </c>
      <c r="CJ59" t="s">
        <v>135</v>
      </c>
      <c r="CK59" t="s">
        <v>135</v>
      </c>
      <c r="CL59" t="s">
        <v>135</v>
      </c>
      <c r="CM59" t="s">
        <v>135</v>
      </c>
      <c r="CN59" t="s">
        <v>135</v>
      </c>
      <c r="CO59" t="s">
        <v>135</v>
      </c>
      <c r="CP59">
        <v>89890</v>
      </c>
      <c r="CQ59" t="s">
        <v>135</v>
      </c>
      <c r="CR59">
        <v>62070</v>
      </c>
      <c r="CS59" t="s">
        <v>135</v>
      </c>
      <c r="CT59" t="s">
        <v>135</v>
      </c>
      <c r="CU59" t="s">
        <v>135</v>
      </c>
      <c r="CV59" t="s">
        <v>135</v>
      </c>
      <c r="CW59" t="s">
        <v>135</v>
      </c>
      <c r="CX59" t="s">
        <v>135</v>
      </c>
      <c r="CY59" t="s">
        <v>135</v>
      </c>
      <c r="CZ59" t="s">
        <v>135</v>
      </c>
      <c r="DA59" t="s">
        <v>135</v>
      </c>
      <c r="DB59" t="s">
        <v>135</v>
      </c>
      <c r="DC59" t="s">
        <v>135</v>
      </c>
      <c r="DD59" t="s">
        <v>135</v>
      </c>
      <c r="DE59" t="s">
        <v>135</v>
      </c>
      <c r="DF59" t="s">
        <v>135</v>
      </c>
      <c r="DG59" t="s">
        <v>135</v>
      </c>
      <c r="DH59" t="s">
        <v>135</v>
      </c>
      <c r="DI59" t="s">
        <v>135</v>
      </c>
    </row>
    <row r="60" spans="1:113" x14ac:dyDescent="0.3">
      <c r="E60" t="s">
        <v>79</v>
      </c>
      <c r="F60" t="s">
        <v>135</v>
      </c>
      <c r="G60" t="s">
        <v>135</v>
      </c>
      <c r="H60" t="s">
        <v>135</v>
      </c>
      <c r="I60" t="s">
        <v>135</v>
      </c>
      <c r="J60">
        <v>8.9420000000000002</v>
      </c>
      <c r="K60">
        <v>6.1878000000000002</v>
      </c>
      <c r="L60" t="s">
        <v>135</v>
      </c>
      <c r="M60">
        <v>7.1567999999999996</v>
      </c>
      <c r="N60">
        <v>5.4428000000000001</v>
      </c>
      <c r="O60">
        <v>5.4390999999999998</v>
      </c>
      <c r="P60">
        <v>5.4390999999999998</v>
      </c>
      <c r="Q60">
        <v>23.950099999999999</v>
      </c>
      <c r="R60" t="s">
        <v>135</v>
      </c>
      <c r="S60" t="s">
        <v>135</v>
      </c>
      <c r="T60" t="s">
        <v>135</v>
      </c>
      <c r="U60" t="s">
        <v>135</v>
      </c>
      <c r="V60" t="s">
        <v>135</v>
      </c>
      <c r="W60" t="s">
        <v>135</v>
      </c>
      <c r="X60" t="s">
        <v>135</v>
      </c>
      <c r="Y60" t="s">
        <v>135</v>
      </c>
      <c r="Z60" t="s">
        <v>135</v>
      </c>
      <c r="AA60" t="s">
        <v>135</v>
      </c>
      <c r="AB60" t="s">
        <v>135</v>
      </c>
      <c r="AC60" t="s">
        <v>135</v>
      </c>
      <c r="AD60" t="s">
        <v>135</v>
      </c>
      <c r="AE60" t="s">
        <v>135</v>
      </c>
      <c r="AF60" t="s">
        <v>135</v>
      </c>
      <c r="AG60" t="s">
        <v>135</v>
      </c>
      <c r="AH60" t="s">
        <v>135</v>
      </c>
      <c r="AI60" t="s">
        <v>135</v>
      </c>
      <c r="AJ60" t="s">
        <v>135</v>
      </c>
      <c r="AK60" t="s">
        <v>135</v>
      </c>
      <c r="AL60" t="s">
        <v>135</v>
      </c>
      <c r="AM60" t="s">
        <v>135</v>
      </c>
      <c r="AN60" t="s">
        <v>135</v>
      </c>
      <c r="AO60" t="s">
        <v>135</v>
      </c>
      <c r="AP60" t="s">
        <v>135</v>
      </c>
      <c r="AQ60" t="s">
        <v>135</v>
      </c>
      <c r="AR60" t="s">
        <v>135</v>
      </c>
      <c r="AS60" t="s">
        <v>135</v>
      </c>
      <c r="AT60" t="s">
        <v>135</v>
      </c>
      <c r="AU60" t="s">
        <v>135</v>
      </c>
      <c r="AV60" t="s">
        <v>135</v>
      </c>
      <c r="AW60" t="s">
        <v>135</v>
      </c>
      <c r="AX60" t="s">
        <v>135</v>
      </c>
      <c r="AY60" t="s">
        <v>135</v>
      </c>
      <c r="AZ60" t="s">
        <v>135</v>
      </c>
      <c r="BA60" t="s">
        <v>135</v>
      </c>
      <c r="BB60" t="s">
        <v>135</v>
      </c>
      <c r="BC60" t="s">
        <v>135</v>
      </c>
      <c r="BD60" t="s">
        <v>135</v>
      </c>
      <c r="BE60" t="s">
        <v>135</v>
      </c>
      <c r="BF60">
        <v>4.9283000000000001</v>
      </c>
      <c r="BG60">
        <v>9.2224000000000004</v>
      </c>
      <c r="BH60">
        <v>9.4571000000000005</v>
      </c>
      <c r="BI60">
        <v>0.25180000000000002</v>
      </c>
      <c r="BJ60">
        <v>0</v>
      </c>
      <c r="BK60" t="s">
        <v>135</v>
      </c>
      <c r="BL60" t="s">
        <v>135</v>
      </c>
      <c r="BM60" t="s">
        <v>135</v>
      </c>
      <c r="BN60" t="s">
        <v>135</v>
      </c>
      <c r="BO60" t="s">
        <v>135</v>
      </c>
      <c r="BP60" t="s">
        <v>135</v>
      </c>
      <c r="BQ60" t="s">
        <v>135</v>
      </c>
      <c r="BR60" t="s">
        <v>135</v>
      </c>
      <c r="BS60" t="s">
        <v>135</v>
      </c>
      <c r="BT60" t="s">
        <v>135</v>
      </c>
      <c r="BU60" t="s">
        <v>135</v>
      </c>
      <c r="BV60" t="s">
        <v>135</v>
      </c>
      <c r="BW60" t="s">
        <v>135</v>
      </c>
      <c r="BX60" t="s">
        <v>135</v>
      </c>
      <c r="BY60">
        <v>1330230</v>
      </c>
      <c r="BZ60">
        <v>270160</v>
      </c>
      <c r="CA60">
        <v>1060070</v>
      </c>
      <c r="CB60" t="s">
        <v>135</v>
      </c>
      <c r="CC60" t="s">
        <v>135</v>
      </c>
      <c r="CD60" t="s">
        <v>135</v>
      </c>
      <c r="CE60" t="s">
        <v>135</v>
      </c>
      <c r="CF60">
        <v>9.8475000000000001</v>
      </c>
      <c r="CG60">
        <v>44.419200000000004</v>
      </c>
      <c r="CH60">
        <v>49.745199999999997</v>
      </c>
      <c r="CI60">
        <v>30.626999999999999</v>
      </c>
      <c r="CJ60">
        <v>22.410900000000002</v>
      </c>
      <c r="CK60">
        <v>62.422800000000002</v>
      </c>
      <c r="CL60">
        <v>38.432299999999998</v>
      </c>
      <c r="CM60">
        <v>28.122299999999999</v>
      </c>
      <c r="CN60">
        <v>31.279199999999999</v>
      </c>
      <c r="CO60">
        <v>23.826499999999999</v>
      </c>
      <c r="CP60">
        <v>98180</v>
      </c>
      <c r="CQ60" t="s">
        <v>135</v>
      </c>
      <c r="CR60">
        <v>67940</v>
      </c>
      <c r="CS60">
        <v>0.50080000000000002</v>
      </c>
      <c r="CT60">
        <v>1.1645000000000001</v>
      </c>
      <c r="CU60">
        <v>0.58320000000000005</v>
      </c>
      <c r="CV60">
        <v>1.536</v>
      </c>
      <c r="CW60" t="s">
        <v>135</v>
      </c>
      <c r="CX60" t="s">
        <v>135</v>
      </c>
      <c r="CY60" t="s">
        <v>135</v>
      </c>
      <c r="CZ60" t="s">
        <v>135</v>
      </c>
      <c r="DA60" t="s">
        <v>135</v>
      </c>
      <c r="DB60" t="s">
        <v>135</v>
      </c>
      <c r="DC60" t="s">
        <v>135</v>
      </c>
      <c r="DD60" t="s">
        <v>135</v>
      </c>
      <c r="DE60">
        <v>623300</v>
      </c>
      <c r="DF60" t="s">
        <v>135</v>
      </c>
      <c r="DG60" t="s">
        <v>135</v>
      </c>
      <c r="DH60" t="s">
        <v>135</v>
      </c>
      <c r="DI60" t="s">
        <v>135</v>
      </c>
    </row>
    <row r="61" spans="1:113" x14ac:dyDescent="0.3">
      <c r="E61" t="s">
        <v>80</v>
      </c>
      <c r="F61" t="s">
        <v>135</v>
      </c>
      <c r="G61" t="s">
        <v>135</v>
      </c>
      <c r="H61" t="s">
        <v>135</v>
      </c>
      <c r="I61" t="s">
        <v>135</v>
      </c>
      <c r="J61">
        <v>9.2903000000000002</v>
      </c>
      <c r="K61">
        <v>6.1318999999999999</v>
      </c>
      <c r="L61" t="s">
        <v>135</v>
      </c>
      <c r="M61">
        <v>7.5036000000000005</v>
      </c>
      <c r="N61">
        <v>5.6356999999999999</v>
      </c>
      <c r="O61">
        <v>5.6196999999999999</v>
      </c>
      <c r="P61">
        <v>5.6196999999999999</v>
      </c>
      <c r="Q61">
        <v>24.8931</v>
      </c>
      <c r="R61" t="s">
        <v>135</v>
      </c>
      <c r="S61" t="s">
        <v>135</v>
      </c>
      <c r="T61" t="s">
        <v>135</v>
      </c>
      <c r="U61" t="s">
        <v>135</v>
      </c>
      <c r="V61" t="s">
        <v>135</v>
      </c>
      <c r="W61" t="s">
        <v>135</v>
      </c>
      <c r="X61" t="s">
        <v>135</v>
      </c>
      <c r="Y61" t="s">
        <v>135</v>
      </c>
      <c r="Z61" t="s">
        <v>135</v>
      </c>
      <c r="AA61" t="s">
        <v>135</v>
      </c>
      <c r="AB61" t="s">
        <v>135</v>
      </c>
      <c r="AC61" t="s">
        <v>135</v>
      </c>
      <c r="AD61" t="s">
        <v>135</v>
      </c>
      <c r="AE61" t="s">
        <v>135</v>
      </c>
      <c r="AF61" t="s">
        <v>135</v>
      </c>
      <c r="AG61" t="s">
        <v>135</v>
      </c>
      <c r="AH61" t="s">
        <v>135</v>
      </c>
      <c r="AI61" t="s">
        <v>135</v>
      </c>
      <c r="AJ61" t="s">
        <v>135</v>
      </c>
      <c r="AK61" t="s">
        <v>135</v>
      </c>
      <c r="AL61" t="s">
        <v>135</v>
      </c>
      <c r="AM61" t="s">
        <v>135</v>
      </c>
      <c r="AN61" t="s">
        <v>135</v>
      </c>
      <c r="AO61" t="s">
        <v>135</v>
      </c>
      <c r="AP61" t="s">
        <v>135</v>
      </c>
      <c r="AQ61" t="s">
        <v>135</v>
      </c>
      <c r="AR61" t="s">
        <v>135</v>
      </c>
      <c r="AS61" t="s">
        <v>135</v>
      </c>
      <c r="AT61" t="s">
        <v>135</v>
      </c>
      <c r="AU61" t="s">
        <v>135</v>
      </c>
      <c r="AV61" t="s">
        <v>135</v>
      </c>
      <c r="AW61" t="s">
        <v>135</v>
      </c>
      <c r="AX61" t="s">
        <v>135</v>
      </c>
      <c r="AY61" t="s">
        <v>135</v>
      </c>
      <c r="AZ61" t="s">
        <v>135</v>
      </c>
      <c r="BA61" t="s">
        <v>135</v>
      </c>
      <c r="BB61" t="s">
        <v>135</v>
      </c>
      <c r="BC61" t="s">
        <v>135</v>
      </c>
      <c r="BD61" t="s">
        <v>135</v>
      </c>
      <c r="BE61" t="s">
        <v>135</v>
      </c>
      <c r="BF61">
        <v>-14.817299999999999</v>
      </c>
      <c r="BG61">
        <v>-11.4993</v>
      </c>
      <c r="BH61">
        <v>-15.587300000000001</v>
      </c>
      <c r="BI61">
        <v>-11.9893</v>
      </c>
      <c r="BJ61">
        <v>-12.315300000000001</v>
      </c>
      <c r="BK61" t="s">
        <v>135</v>
      </c>
      <c r="BL61" t="s">
        <v>135</v>
      </c>
      <c r="BM61" t="s">
        <v>135</v>
      </c>
      <c r="BN61" t="s">
        <v>135</v>
      </c>
      <c r="BO61" t="s">
        <v>135</v>
      </c>
      <c r="BP61" t="s">
        <v>135</v>
      </c>
      <c r="BQ61" t="s">
        <v>135</v>
      </c>
      <c r="BR61" t="s">
        <v>135</v>
      </c>
      <c r="BS61" t="s">
        <v>135</v>
      </c>
      <c r="BT61" t="s">
        <v>135</v>
      </c>
      <c r="BU61" t="s">
        <v>135</v>
      </c>
      <c r="BV61" t="s">
        <v>135</v>
      </c>
      <c r="BW61" t="s">
        <v>135</v>
      </c>
      <c r="BX61" t="s">
        <v>135</v>
      </c>
      <c r="BY61" t="s">
        <v>135</v>
      </c>
      <c r="BZ61" t="s">
        <v>135</v>
      </c>
      <c r="CA61" t="s">
        <v>135</v>
      </c>
      <c r="CB61" t="s">
        <v>135</v>
      </c>
      <c r="CC61" t="s">
        <v>135</v>
      </c>
      <c r="CD61" t="s">
        <v>135</v>
      </c>
      <c r="CE61" t="s">
        <v>135</v>
      </c>
      <c r="CF61">
        <v>7.6420000000000003</v>
      </c>
      <c r="CG61" t="s">
        <v>135</v>
      </c>
      <c r="CH61" t="s">
        <v>135</v>
      </c>
      <c r="CI61" t="s">
        <v>135</v>
      </c>
      <c r="CJ61" t="s">
        <v>135</v>
      </c>
      <c r="CK61" t="s">
        <v>135</v>
      </c>
      <c r="CL61" t="s">
        <v>135</v>
      </c>
      <c r="CM61" t="s">
        <v>135</v>
      </c>
      <c r="CN61" t="s">
        <v>135</v>
      </c>
      <c r="CO61" t="s">
        <v>135</v>
      </c>
      <c r="CP61">
        <v>86890</v>
      </c>
      <c r="CQ61" t="s">
        <v>135</v>
      </c>
      <c r="CR61">
        <v>57350</v>
      </c>
      <c r="CS61" t="s">
        <v>135</v>
      </c>
      <c r="CT61" t="s">
        <v>135</v>
      </c>
      <c r="CU61" t="s">
        <v>135</v>
      </c>
      <c r="CV61" t="s">
        <v>135</v>
      </c>
      <c r="CW61" t="s">
        <v>135</v>
      </c>
      <c r="CX61" t="s">
        <v>135</v>
      </c>
      <c r="CY61" t="s">
        <v>135</v>
      </c>
      <c r="CZ61" t="s">
        <v>135</v>
      </c>
      <c r="DA61" t="s">
        <v>135</v>
      </c>
      <c r="DB61" t="s">
        <v>135</v>
      </c>
      <c r="DC61" t="s">
        <v>135</v>
      </c>
      <c r="DD61" t="s">
        <v>135</v>
      </c>
      <c r="DE61" t="s">
        <v>135</v>
      </c>
      <c r="DF61" t="s">
        <v>135</v>
      </c>
      <c r="DG61" t="s">
        <v>135</v>
      </c>
      <c r="DH61" t="s">
        <v>135</v>
      </c>
      <c r="DI61" t="s">
        <v>135</v>
      </c>
    </row>
    <row r="62" spans="1:113" x14ac:dyDescent="0.3">
      <c r="E62" t="s">
        <v>81</v>
      </c>
      <c r="F62" t="s">
        <v>135</v>
      </c>
      <c r="G62" t="s">
        <v>135</v>
      </c>
      <c r="H62" t="s">
        <v>135</v>
      </c>
      <c r="I62" t="s">
        <v>135</v>
      </c>
      <c r="J62">
        <v>14.6258</v>
      </c>
      <c r="K62">
        <v>10.494999999999999</v>
      </c>
      <c r="L62" t="s">
        <v>135</v>
      </c>
      <c r="M62">
        <v>12.611499999999999</v>
      </c>
      <c r="N62">
        <v>9.5287000000000006</v>
      </c>
      <c r="O62">
        <v>9.4574999999999996</v>
      </c>
      <c r="P62">
        <v>9.4574999999999996</v>
      </c>
      <c r="Q62">
        <v>24.444700000000001</v>
      </c>
      <c r="R62" t="s">
        <v>135</v>
      </c>
      <c r="S62" t="s">
        <v>135</v>
      </c>
      <c r="T62" t="s">
        <v>135</v>
      </c>
      <c r="U62" t="s">
        <v>135</v>
      </c>
      <c r="V62" t="s">
        <v>135</v>
      </c>
      <c r="W62" t="s">
        <v>135</v>
      </c>
      <c r="X62" t="s">
        <v>135</v>
      </c>
      <c r="Y62" t="s">
        <v>135</v>
      </c>
      <c r="Z62" t="s">
        <v>135</v>
      </c>
      <c r="AA62" t="s">
        <v>135</v>
      </c>
      <c r="AB62" t="s">
        <v>135</v>
      </c>
      <c r="AC62" t="s">
        <v>135</v>
      </c>
      <c r="AD62" t="s">
        <v>135</v>
      </c>
      <c r="AE62" t="s">
        <v>135</v>
      </c>
      <c r="AF62" t="s">
        <v>135</v>
      </c>
      <c r="AG62" t="s">
        <v>135</v>
      </c>
      <c r="AH62" t="s">
        <v>135</v>
      </c>
      <c r="AI62" t="s">
        <v>135</v>
      </c>
      <c r="AJ62" t="s">
        <v>135</v>
      </c>
      <c r="AK62" t="s">
        <v>135</v>
      </c>
      <c r="AL62" t="s">
        <v>135</v>
      </c>
      <c r="AM62" t="s">
        <v>135</v>
      </c>
      <c r="AN62" t="s">
        <v>135</v>
      </c>
      <c r="AO62" t="s">
        <v>135</v>
      </c>
      <c r="AP62" t="s">
        <v>135</v>
      </c>
      <c r="AQ62" t="s">
        <v>135</v>
      </c>
      <c r="AR62" t="s">
        <v>135</v>
      </c>
      <c r="AS62" t="s">
        <v>135</v>
      </c>
      <c r="AT62" t="s">
        <v>135</v>
      </c>
      <c r="AU62" t="s">
        <v>135</v>
      </c>
      <c r="AV62" t="s">
        <v>135</v>
      </c>
      <c r="AW62" t="s">
        <v>135</v>
      </c>
      <c r="AX62" t="s">
        <v>135</v>
      </c>
      <c r="AY62" t="s">
        <v>135</v>
      </c>
      <c r="AZ62" t="s">
        <v>135</v>
      </c>
      <c r="BA62" t="s">
        <v>135</v>
      </c>
      <c r="BB62" t="s">
        <v>135</v>
      </c>
      <c r="BC62" t="s">
        <v>135</v>
      </c>
      <c r="BD62" t="s">
        <v>135</v>
      </c>
      <c r="BE62" t="s">
        <v>135</v>
      </c>
      <c r="BF62">
        <v>-27.8612</v>
      </c>
      <c r="BG62">
        <v>13.568899999999999</v>
      </c>
      <c r="BH62">
        <v>23.469899999999999</v>
      </c>
      <c r="BI62">
        <v>21.4041</v>
      </c>
      <c r="BJ62">
        <v>21.9101</v>
      </c>
      <c r="BK62" t="s">
        <v>135</v>
      </c>
      <c r="BL62" t="s">
        <v>135</v>
      </c>
      <c r="BM62" t="s">
        <v>135</v>
      </c>
      <c r="BN62" t="s">
        <v>135</v>
      </c>
      <c r="BO62" t="s">
        <v>135</v>
      </c>
      <c r="BP62" t="s">
        <v>135</v>
      </c>
      <c r="BQ62" t="s">
        <v>135</v>
      </c>
      <c r="BR62" t="s">
        <v>135</v>
      </c>
      <c r="BS62" t="s">
        <v>135</v>
      </c>
      <c r="BT62" t="s">
        <v>135</v>
      </c>
      <c r="BU62" t="s">
        <v>135</v>
      </c>
      <c r="BV62" t="s">
        <v>135</v>
      </c>
      <c r="BW62" t="s">
        <v>135</v>
      </c>
      <c r="BX62" t="s">
        <v>135</v>
      </c>
      <c r="BY62">
        <v>1608630</v>
      </c>
      <c r="BZ62">
        <v>400860</v>
      </c>
      <c r="CA62">
        <v>1207770</v>
      </c>
      <c r="CB62">
        <v>4.3052999999999999</v>
      </c>
      <c r="CC62">
        <v>2.6042000000000001</v>
      </c>
      <c r="CD62">
        <v>6.2309000000000001</v>
      </c>
      <c r="CE62">
        <v>3.7690000000000001</v>
      </c>
      <c r="CF62">
        <v>14.5761</v>
      </c>
      <c r="CG62">
        <v>43.311199999999999</v>
      </c>
      <c r="CH62">
        <v>54.517800000000001</v>
      </c>
      <c r="CI62">
        <v>31.5839</v>
      </c>
      <c r="CJ62">
        <v>23.9406</v>
      </c>
      <c r="CK62">
        <v>72.612200000000001</v>
      </c>
      <c r="CL62">
        <v>42.066699999999997</v>
      </c>
      <c r="CM62">
        <v>31.886500000000002</v>
      </c>
      <c r="CN62">
        <v>43.922199999999997</v>
      </c>
      <c r="CO62">
        <v>30.518000000000001</v>
      </c>
      <c r="CP62">
        <v>98680</v>
      </c>
      <c r="CQ62" t="s">
        <v>135</v>
      </c>
      <c r="CR62">
        <v>70810</v>
      </c>
      <c r="CS62">
        <v>0.4587</v>
      </c>
      <c r="CT62">
        <v>0.98570000000000002</v>
      </c>
      <c r="CU62">
        <v>0.49709999999999999</v>
      </c>
      <c r="CV62">
        <v>1.8092000000000001</v>
      </c>
      <c r="CW62" t="s">
        <v>135</v>
      </c>
      <c r="CX62" t="s">
        <v>135</v>
      </c>
      <c r="CY62" t="s">
        <v>135</v>
      </c>
      <c r="CZ62" t="s">
        <v>135</v>
      </c>
      <c r="DA62" t="s">
        <v>135</v>
      </c>
      <c r="DB62" t="s">
        <v>135</v>
      </c>
      <c r="DC62" t="s">
        <v>135</v>
      </c>
      <c r="DD62" t="s">
        <v>135</v>
      </c>
      <c r="DE62">
        <v>532480</v>
      </c>
      <c r="DF62">
        <v>202760</v>
      </c>
      <c r="DG62">
        <v>108810</v>
      </c>
      <c r="DH62">
        <v>163650</v>
      </c>
      <c r="DI62">
        <v>57260</v>
      </c>
    </row>
    <row r="63" spans="1:113" x14ac:dyDescent="0.3">
      <c r="D63" t="s">
        <v>83</v>
      </c>
      <c r="E63" t="s">
        <v>77</v>
      </c>
      <c r="F63">
        <v>11.9572</v>
      </c>
      <c r="G63">
        <v>4.9752000000000001</v>
      </c>
      <c r="H63">
        <v>7.3109999999999999</v>
      </c>
      <c r="I63">
        <v>5.6601999999999997</v>
      </c>
      <c r="J63">
        <v>15.8047</v>
      </c>
      <c r="K63">
        <v>11.1342</v>
      </c>
      <c r="L63" t="s">
        <v>135</v>
      </c>
      <c r="M63">
        <v>13.010199999999999</v>
      </c>
      <c r="N63">
        <v>10.0219</v>
      </c>
      <c r="O63">
        <v>9.9911999999999992</v>
      </c>
      <c r="P63">
        <v>9.9911999999999992</v>
      </c>
      <c r="Q63">
        <v>22.969000000000001</v>
      </c>
      <c r="R63">
        <v>11.201599999999999</v>
      </c>
      <c r="S63">
        <v>10.617800000000001</v>
      </c>
      <c r="T63">
        <v>-26.340399999999999</v>
      </c>
      <c r="U63">
        <v>16.238900000000001</v>
      </c>
      <c r="V63">
        <v>18.1815</v>
      </c>
      <c r="W63">
        <v>17.245200000000001</v>
      </c>
      <c r="X63">
        <v>17.064</v>
      </c>
      <c r="Y63">
        <v>5</v>
      </c>
      <c r="Z63">
        <v>-7.8644999999999996</v>
      </c>
      <c r="AA63">
        <v>-11.801399999999999</v>
      </c>
      <c r="AB63">
        <v>37.554900000000004</v>
      </c>
      <c r="AC63">
        <v>20.1647</v>
      </c>
      <c r="AD63">
        <v>-1012.6777</v>
      </c>
      <c r="AE63">
        <v>-2900.1518000000001</v>
      </c>
      <c r="AF63">
        <v>3.1057000000000001</v>
      </c>
      <c r="AG63">
        <v>-0.66859999999999997</v>
      </c>
      <c r="AH63">
        <v>13.0266</v>
      </c>
      <c r="AI63">
        <v>11.450900000000001</v>
      </c>
      <c r="AJ63">
        <v>12.113799999999999</v>
      </c>
      <c r="AK63">
        <v>11.334</v>
      </c>
      <c r="AL63">
        <v>-1.2690999999999999</v>
      </c>
      <c r="AM63">
        <v>0.79490000000000005</v>
      </c>
      <c r="AN63">
        <v>2.9489999999999998</v>
      </c>
      <c r="AO63">
        <v>5.3971</v>
      </c>
      <c r="AP63">
        <v>7.4466999999999999</v>
      </c>
      <c r="AQ63">
        <v>7.6881000000000004</v>
      </c>
      <c r="AR63">
        <v>5.5892999999999997</v>
      </c>
      <c r="AS63">
        <v>-20.781199999999998</v>
      </c>
      <c r="AT63">
        <v>4.0437000000000003</v>
      </c>
      <c r="AU63">
        <v>20.231100000000001</v>
      </c>
      <c r="AV63">
        <v>14.5383</v>
      </c>
      <c r="AW63" t="s">
        <v>135</v>
      </c>
      <c r="AX63" t="s">
        <v>135</v>
      </c>
      <c r="AY63">
        <v>11.149100000000001</v>
      </c>
      <c r="AZ63">
        <v>17.3188</v>
      </c>
      <c r="BA63">
        <v>16.658000000000001</v>
      </c>
      <c r="BB63">
        <v>9.7725000000000009</v>
      </c>
      <c r="BC63">
        <v>12.391999999999999</v>
      </c>
      <c r="BD63">
        <v>9.8396000000000008</v>
      </c>
      <c r="BE63">
        <v>1.5606</v>
      </c>
      <c r="BF63">
        <v>-26.340399999999999</v>
      </c>
      <c r="BG63">
        <v>16.238900000000001</v>
      </c>
      <c r="BH63">
        <v>18.1815</v>
      </c>
      <c r="BI63">
        <v>17.245200000000001</v>
      </c>
      <c r="BJ63">
        <v>17.064</v>
      </c>
      <c r="BK63">
        <v>5</v>
      </c>
      <c r="BL63">
        <v>-7.8644999999999996</v>
      </c>
      <c r="BM63">
        <v>-11.801399999999999</v>
      </c>
      <c r="BN63">
        <v>37.554900000000004</v>
      </c>
      <c r="BO63">
        <v>20.1647</v>
      </c>
      <c r="BP63" t="s">
        <v>135</v>
      </c>
      <c r="BQ63" t="s">
        <v>135</v>
      </c>
      <c r="BR63">
        <v>3.1057000000000001</v>
      </c>
      <c r="BS63">
        <v>-0.66859999999999997</v>
      </c>
      <c r="BT63">
        <v>13.0266</v>
      </c>
      <c r="BU63">
        <v>11.450900000000001</v>
      </c>
      <c r="BV63">
        <v>12.113799999999999</v>
      </c>
      <c r="BW63">
        <v>11.334</v>
      </c>
      <c r="BX63">
        <v>-1.2690999999999999</v>
      </c>
      <c r="BY63">
        <v>1818180</v>
      </c>
      <c r="BZ63">
        <v>398180</v>
      </c>
      <c r="CA63">
        <v>1420000</v>
      </c>
      <c r="CB63">
        <v>4.1599000000000004</v>
      </c>
      <c r="CC63">
        <v>2.9901999999999997</v>
      </c>
      <c r="CD63">
        <v>5.9048999999999996</v>
      </c>
      <c r="CE63">
        <v>4.2445000000000004</v>
      </c>
      <c r="CF63">
        <v>17.392399999999999</v>
      </c>
      <c r="CG63">
        <v>40.1922</v>
      </c>
      <c r="CH63">
        <v>57.512</v>
      </c>
      <c r="CI63">
        <v>33.121600000000001</v>
      </c>
      <c r="CJ63">
        <v>23.424099999999999</v>
      </c>
      <c r="CK63">
        <v>73.638800000000003</v>
      </c>
      <c r="CL63">
        <v>42.409199999999998</v>
      </c>
      <c r="CM63">
        <v>29.9924</v>
      </c>
      <c r="CN63">
        <v>52.932499999999997</v>
      </c>
      <c r="CO63">
        <v>34.611699999999999</v>
      </c>
      <c r="CP63">
        <v>437070</v>
      </c>
      <c r="CQ63">
        <v>-59550</v>
      </c>
      <c r="CR63">
        <v>307910</v>
      </c>
      <c r="CS63">
        <v>0.27510000000000001</v>
      </c>
      <c r="CT63">
        <v>0.68110000000000004</v>
      </c>
      <c r="CU63">
        <v>0.3014</v>
      </c>
      <c r="CV63">
        <v>1.1638999999999999</v>
      </c>
      <c r="CW63">
        <v>54.160600000000002</v>
      </c>
      <c r="CX63">
        <v>6.7576999999999998</v>
      </c>
      <c r="CY63">
        <v>3.7218</v>
      </c>
      <c r="CZ63">
        <v>98.340299999999999</v>
      </c>
      <c r="DA63">
        <v>2.9868999999999999</v>
      </c>
      <c r="DB63">
        <v>122.53449999999999</v>
      </c>
      <c r="DC63">
        <v>-17.436499999999999</v>
      </c>
      <c r="DD63">
        <v>105.098</v>
      </c>
      <c r="DE63">
        <v>469640</v>
      </c>
      <c r="DF63">
        <v>149970</v>
      </c>
      <c r="DG63">
        <v>90830</v>
      </c>
      <c r="DH63">
        <v>156450</v>
      </c>
      <c r="DI63">
        <v>72390</v>
      </c>
    </row>
    <row r="64" spans="1:113" x14ac:dyDescent="0.3">
      <c r="E64" t="s">
        <v>78</v>
      </c>
      <c r="F64" t="s">
        <v>135</v>
      </c>
      <c r="G64" t="s">
        <v>135</v>
      </c>
      <c r="H64" t="s">
        <v>135</v>
      </c>
      <c r="I64" t="s">
        <v>135</v>
      </c>
      <c r="J64">
        <v>13.194599999999999</v>
      </c>
      <c r="K64">
        <v>9.2518999999999991</v>
      </c>
      <c r="L64" t="s">
        <v>135</v>
      </c>
      <c r="M64">
        <v>10.5692</v>
      </c>
      <c r="N64">
        <v>8.0681999999999992</v>
      </c>
      <c r="O64">
        <v>8.0669000000000004</v>
      </c>
      <c r="P64">
        <v>8.0669000000000004</v>
      </c>
      <c r="Q64">
        <v>23.6629</v>
      </c>
      <c r="R64" t="s">
        <v>135</v>
      </c>
      <c r="S64" t="s">
        <v>135</v>
      </c>
      <c r="T64">
        <v>-26.290099999999999</v>
      </c>
      <c r="U64">
        <v>13.216200000000001</v>
      </c>
      <c r="V64">
        <v>14.967000000000001</v>
      </c>
      <c r="W64">
        <v>4.4485000000000001</v>
      </c>
      <c r="X64">
        <v>-5.2835000000000001</v>
      </c>
      <c r="Y64" t="s">
        <v>135</v>
      </c>
      <c r="Z64" t="s">
        <v>135</v>
      </c>
      <c r="AA64" t="s">
        <v>135</v>
      </c>
      <c r="AB64" t="s">
        <v>135</v>
      </c>
      <c r="AC64" t="s">
        <v>135</v>
      </c>
      <c r="AD64" t="s">
        <v>135</v>
      </c>
      <c r="AE64" t="s">
        <v>135</v>
      </c>
      <c r="AF64" t="s">
        <v>135</v>
      </c>
      <c r="AG64" t="s">
        <v>135</v>
      </c>
      <c r="AH64" t="s">
        <v>135</v>
      </c>
      <c r="AI64" t="s">
        <v>135</v>
      </c>
      <c r="AJ64" t="s">
        <v>135</v>
      </c>
      <c r="AK64" t="s">
        <v>135</v>
      </c>
      <c r="AL64" t="s">
        <v>135</v>
      </c>
      <c r="AM64" t="s">
        <v>135</v>
      </c>
      <c r="AN64" t="s">
        <v>135</v>
      </c>
      <c r="AO64" t="s">
        <v>135</v>
      </c>
      <c r="AP64" t="s">
        <v>135</v>
      </c>
      <c r="AQ64" t="s">
        <v>135</v>
      </c>
      <c r="AR64" t="s">
        <v>135</v>
      </c>
      <c r="AS64" t="s">
        <v>135</v>
      </c>
      <c r="AT64" t="s">
        <v>135</v>
      </c>
      <c r="AU64" t="s">
        <v>135</v>
      </c>
      <c r="AV64" t="s">
        <v>135</v>
      </c>
      <c r="AW64" t="s">
        <v>135</v>
      </c>
      <c r="AX64" t="s">
        <v>135</v>
      </c>
      <c r="AY64" t="s">
        <v>135</v>
      </c>
      <c r="AZ64" t="s">
        <v>135</v>
      </c>
      <c r="BA64" t="s">
        <v>135</v>
      </c>
      <c r="BB64" t="s">
        <v>135</v>
      </c>
      <c r="BC64" t="s">
        <v>135</v>
      </c>
      <c r="BD64" t="s">
        <v>135</v>
      </c>
      <c r="BE64" t="s">
        <v>135</v>
      </c>
      <c r="BF64">
        <v>14.317500000000001</v>
      </c>
      <c r="BG64">
        <v>3.1313</v>
      </c>
      <c r="BH64">
        <v>0.77669999999999995</v>
      </c>
      <c r="BI64">
        <v>-2.4918</v>
      </c>
      <c r="BJ64">
        <v>-11.394299999999999</v>
      </c>
      <c r="BK64" t="s">
        <v>135</v>
      </c>
      <c r="BL64" t="s">
        <v>135</v>
      </c>
      <c r="BM64" t="s">
        <v>135</v>
      </c>
      <c r="BN64" t="s">
        <v>135</v>
      </c>
      <c r="BO64" t="s">
        <v>135</v>
      </c>
      <c r="BP64" t="s">
        <v>135</v>
      </c>
      <c r="BQ64" t="s">
        <v>135</v>
      </c>
      <c r="BR64" t="s">
        <v>135</v>
      </c>
      <c r="BS64" t="s">
        <v>135</v>
      </c>
      <c r="BT64" t="s">
        <v>135</v>
      </c>
      <c r="BU64" t="s">
        <v>135</v>
      </c>
      <c r="BV64" t="s">
        <v>135</v>
      </c>
      <c r="BW64" t="s">
        <v>135</v>
      </c>
      <c r="BX64" t="s">
        <v>135</v>
      </c>
      <c r="BY64" t="s">
        <v>135</v>
      </c>
      <c r="BZ64" t="s">
        <v>135</v>
      </c>
      <c r="CA64" t="s">
        <v>135</v>
      </c>
      <c r="CB64" t="s">
        <v>135</v>
      </c>
      <c r="CC64" t="s">
        <v>135</v>
      </c>
      <c r="CD64" t="s">
        <v>135</v>
      </c>
      <c r="CE64" t="s">
        <v>135</v>
      </c>
      <c r="CF64">
        <v>11.2827</v>
      </c>
      <c r="CG64" t="s">
        <v>135</v>
      </c>
      <c r="CH64" t="s">
        <v>135</v>
      </c>
      <c r="CI64" t="s">
        <v>135</v>
      </c>
      <c r="CJ64" t="s">
        <v>135</v>
      </c>
      <c r="CK64" t="s">
        <v>135</v>
      </c>
      <c r="CL64" t="s">
        <v>135</v>
      </c>
      <c r="CM64" t="s">
        <v>135</v>
      </c>
      <c r="CN64" t="s">
        <v>135</v>
      </c>
      <c r="CO64" t="s">
        <v>135</v>
      </c>
      <c r="CP64">
        <v>101770</v>
      </c>
      <c r="CQ64" t="s">
        <v>135</v>
      </c>
      <c r="CR64">
        <v>71360</v>
      </c>
      <c r="CS64" t="s">
        <v>135</v>
      </c>
      <c r="CT64" t="s">
        <v>135</v>
      </c>
      <c r="CU64" t="s">
        <v>135</v>
      </c>
      <c r="CV64" t="s">
        <v>135</v>
      </c>
      <c r="CW64" t="s">
        <v>135</v>
      </c>
      <c r="CX64" t="s">
        <v>135</v>
      </c>
      <c r="CY64" t="s">
        <v>135</v>
      </c>
      <c r="CZ64" t="s">
        <v>135</v>
      </c>
      <c r="DA64" t="s">
        <v>135</v>
      </c>
      <c r="DB64" t="s">
        <v>135</v>
      </c>
      <c r="DC64" t="s">
        <v>135</v>
      </c>
      <c r="DD64" t="s">
        <v>135</v>
      </c>
      <c r="DE64" t="s">
        <v>135</v>
      </c>
      <c r="DF64" t="s">
        <v>135</v>
      </c>
      <c r="DG64" t="s">
        <v>135</v>
      </c>
      <c r="DH64" t="s">
        <v>135</v>
      </c>
      <c r="DI64" t="s">
        <v>135</v>
      </c>
    </row>
    <row r="65" spans="1:113" x14ac:dyDescent="0.3">
      <c r="E65" t="s">
        <v>79</v>
      </c>
      <c r="F65">
        <v>11.040100000000001</v>
      </c>
      <c r="G65">
        <v>4.7050999999999998</v>
      </c>
      <c r="H65">
        <v>7.3968999999999996</v>
      </c>
      <c r="I65">
        <v>5.5327000000000002</v>
      </c>
      <c r="J65">
        <v>15.097099999999999</v>
      </c>
      <c r="K65">
        <v>10.624700000000001</v>
      </c>
      <c r="L65" t="s">
        <v>135</v>
      </c>
      <c r="M65">
        <v>11.9787</v>
      </c>
      <c r="N65">
        <v>9.4625000000000004</v>
      </c>
      <c r="O65">
        <v>9.4779999999999998</v>
      </c>
      <c r="P65">
        <v>9.4779999999999998</v>
      </c>
      <c r="Q65">
        <v>21.005500000000001</v>
      </c>
      <c r="R65" t="s">
        <v>135</v>
      </c>
      <c r="S65" t="s">
        <v>135</v>
      </c>
      <c r="T65">
        <v>-35.425400000000003</v>
      </c>
      <c r="U65">
        <v>9.0242000000000004</v>
      </c>
      <c r="V65">
        <v>10.8772</v>
      </c>
      <c r="W65">
        <v>12.5251</v>
      </c>
      <c r="X65">
        <v>12.3293</v>
      </c>
      <c r="Y65" t="s">
        <v>135</v>
      </c>
      <c r="Z65">
        <v>-16.1157</v>
      </c>
      <c r="AA65">
        <v>-11.5161</v>
      </c>
      <c r="AB65" t="s">
        <v>135</v>
      </c>
      <c r="AC65">
        <v>19.096</v>
      </c>
      <c r="AD65">
        <v>429.4479</v>
      </c>
      <c r="AE65" t="s">
        <v>135</v>
      </c>
      <c r="AF65">
        <v>-14.1762</v>
      </c>
      <c r="AG65">
        <v>9.8644999999999996</v>
      </c>
      <c r="AH65">
        <v>17.288</v>
      </c>
      <c r="AI65">
        <v>10.1028</v>
      </c>
      <c r="AJ65">
        <v>12.8642</v>
      </c>
      <c r="AK65">
        <v>10.077500000000001</v>
      </c>
      <c r="AL65" t="s">
        <v>135</v>
      </c>
      <c r="AM65" t="s">
        <v>135</v>
      </c>
      <c r="AN65" t="s">
        <v>135</v>
      </c>
      <c r="AO65" t="s">
        <v>135</v>
      </c>
      <c r="AP65" t="s">
        <v>135</v>
      </c>
      <c r="AQ65" t="s">
        <v>135</v>
      </c>
      <c r="AR65" t="s">
        <v>135</v>
      </c>
      <c r="AS65" t="s">
        <v>135</v>
      </c>
      <c r="AT65" t="s">
        <v>135</v>
      </c>
      <c r="AU65" t="s">
        <v>135</v>
      </c>
      <c r="AV65" t="s">
        <v>135</v>
      </c>
      <c r="AW65" t="s">
        <v>135</v>
      </c>
      <c r="AX65" t="s">
        <v>135</v>
      </c>
      <c r="AY65" t="s">
        <v>135</v>
      </c>
      <c r="AZ65" t="s">
        <v>135</v>
      </c>
      <c r="BA65" t="s">
        <v>135</v>
      </c>
      <c r="BB65" t="s">
        <v>135</v>
      </c>
      <c r="BC65" t="s">
        <v>135</v>
      </c>
      <c r="BD65" t="s">
        <v>135</v>
      </c>
      <c r="BE65" t="s">
        <v>135</v>
      </c>
      <c r="BF65">
        <v>-7.4581</v>
      </c>
      <c r="BG65">
        <v>7.4806999999999997</v>
      </c>
      <c r="BH65">
        <v>4.5088999999999997</v>
      </c>
      <c r="BI65">
        <v>11.553800000000001</v>
      </c>
      <c r="BJ65">
        <v>11.778700000000001</v>
      </c>
      <c r="BK65" t="s">
        <v>135</v>
      </c>
      <c r="BL65" t="s">
        <v>135</v>
      </c>
      <c r="BM65" t="s">
        <v>135</v>
      </c>
      <c r="BN65" t="s">
        <v>135</v>
      </c>
      <c r="BO65" t="s">
        <v>135</v>
      </c>
      <c r="BP65" t="s">
        <v>135</v>
      </c>
      <c r="BQ65" t="s">
        <v>135</v>
      </c>
      <c r="BR65" t="s">
        <v>135</v>
      </c>
      <c r="BS65" t="s">
        <v>135</v>
      </c>
      <c r="BT65" t="s">
        <v>135</v>
      </c>
      <c r="BU65" t="s">
        <v>135</v>
      </c>
      <c r="BV65" t="s">
        <v>135</v>
      </c>
      <c r="BW65" t="s">
        <v>135</v>
      </c>
      <c r="BX65" t="s">
        <v>135</v>
      </c>
      <c r="BY65">
        <v>1560200</v>
      </c>
      <c r="BZ65">
        <v>296810</v>
      </c>
      <c r="CA65">
        <v>1263390</v>
      </c>
      <c r="CB65">
        <v>3.9781</v>
      </c>
      <c r="CC65">
        <v>2.4361999999999999</v>
      </c>
      <c r="CD65">
        <v>5.6616999999999997</v>
      </c>
      <c r="CE65">
        <v>3.4672999999999998</v>
      </c>
      <c r="CF65">
        <v>11.0123</v>
      </c>
      <c r="CG65">
        <v>41.106400000000001</v>
      </c>
      <c r="CH65">
        <v>53.846299999999999</v>
      </c>
      <c r="CI65">
        <v>32.340800000000002</v>
      </c>
      <c r="CJ65">
        <v>22.4267</v>
      </c>
      <c r="CK65">
        <v>66.496499999999997</v>
      </c>
      <c r="CL65">
        <v>39.938699999999997</v>
      </c>
      <c r="CM65">
        <v>27.695399999999999</v>
      </c>
      <c r="CN65">
        <v>40.722999999999999</v>
      </c>
      <c r="CO65">
        <v>28.938400000000001</v>
      </c>
      <c r="CP65">
        <v>107040</v>
      </c>
      <c r="CQ65" t="s">
        <v>135</v>
      </c>
      <c r="CR65">
        <v>75330</v>
      </c>
      <c r="CS65">
        <v>0.3508</v>
      </c>
      <c r="CT65">
        <v>0.86650000000000005</v>
      </c>
      <c r="CU65">
        <v>0.40389999999999998</v>
      </c>
      <c r="CV65">
        <v>2.0615000000000001</v>
      </c>
      <c r="CW65">
        <v>30.7254</v>
      </c>
      <c r="CX65">
        <v>11.8794</v>
      </c>
      <c r="CY65">
        <v>3.7438000000000002</v>
      </c>
      <c r="CZ65">
        <v>97.494299999999996</v>
      </c>
      <c r="DA65">
        <v>3.1398000000000001</v>
      </c>
      <c r="DB65">
        <v>116.2512</v>
      </c>
      <c r="DC65">
        <v>-6.8774999999999995</v>
      </c>
      <c r="DD65">
        <v>109.3737</v>
      </c>
      <c r="DE65">
        <v>551520</v>
      </c>
      <c r="DF65" t="s">
        <v>135</v>
      </c>
      <c r="DG65" t="s">
        <v>135</v>
      </c>
      <c r="DH65" t="s">
        <v>135</v>
      </c>
      <c r="DI65" t="s">
        <v>135</v>
      </c>
    </row>
    <row r="66" spans="1:113" x14ac:dyDescent="0.3">
      <c r="E66" t="s">
        <v>80</v>
      </c>
      <c r="F66" t="s">
        <v>135</v>
      </c>
      <c r="G66" t="s">
        <v>135</v>
      </c>
      <c r="H66" t="s">
        <v>135</v>
      </c>
      <c r="I66" t="s">
        <v>135</v>
      </c>
      <c r="J66">
        <v>16.653700000000001</v>
      </c>
      <c r="K66">
        <v>12.064</v>
      </c>
      <c r="L66" t="s">
        <v>135</v>
      </c>
      <c r="M66">
        <v>14.268800000000001</v>
      </c>
      <c r="N66">
        <v>10.754300000000001</v>
      </c>
      <c r="O66">
        <v>10.679600000000001</v>
      </c>
      <c r="P66">
        <v>10.679600000000001</v>
      </c>
      <c r="Q66">
        <v>24.466100000000001</v>
      </c>
      <c r="R66" t="s">
        <v>135</v>
      </c>
      <c r="S66" t="s">
        <v>135</v>
      </c>
      <c r="T66">
        <v>-27.0154</v>
      </c>
      <c r="U66">
        <v>30.832100000000001</v>
      </c>
      <c r="V66">
        <v>43.591999999999999</v>
      </c>
      <c r="W66">
        <v>38.698599999999999</v>
      </c>
      <c r="X66">
        <v>39.325800000000001</v>
      </c>
      <c r="Y66" t="s">
        <v>135</v>
      </c>
      <c r="Z66" t="s">
        <v>135</v>
      </c>
      <c r="AA66" t="s">
        <v>135</v>
      </c>
      <c r="AB66" t="s">
        <v>135</v>
      </c>
      <c r="AC66" t="s">
        <v>135</v>
      </c>
      <c r="AD66" t="s">
        <v>135</v>
      </c>
      <c r="AE66" t="s">
        <v>135</v>
      </c>
      <c r="AF66" t="s">
        <v>135</v>
      </c>
      <c r="AG66" t="s">
        <v>135</v>
      </c>
      <c r="AH66" t="s">
        <v>135</v>
      </c>
      <c r="AI66" t="s">
        <v>135</v>
      </c>
      <c r="AJ66" t="s">
        <v>135</v>
      </c>
      <c r="AK66" t="s">
        <v>135</v>
      </c>
      <c r="AL66" t="s">
        <v>135</v>
      </c>
      <c r="AM66" t="s">
        <v>135</v>
      </c>
      <c r="AN66" t="s">
        <v>135</v>
      </c>
      <c r="AO66" t="s">
        <v>135</v>
      </c>
      <c r="AP66" t="s">
        <v>135</v>
      </c>
      <c r="AQ66" t="s">
        <v>135</v>
      </c>
      <c r="AR66" t="s">
        <v>135</v>
      </c>
      <c r="AS66" t="s">
        <v>135</v>
      </c>
      <c r="AT66" t="s">
        <v>135</v>
      </c>
      <c r="AU66" t="s">
        <v>135</v>
      </c>
      <c r="AV66" t="s">
        <v>135</v>
      </c>
      <c r="AW66" t="s">
        <v>135</v>
      </c>
      <c r="AX66" t="s">
        <v>135</v>
      </c>
      <c r="AY66" t="s">
        <v>135</v>
      </c>
      <c r="AZ66" t="s">
        <v>135</v>
      </c>
      <c r="BA66" t="s">
        <v>135</v>
      </c>
      <c r="BB66" t="s">
        <v>135</v>
      </c>
      <c r="BC66" t="s">
        <v>135</v>
      </c>
      <c r="BD66" t="s">
        <v>135</v>
      </c>
      <c r="BE66" t="s">
        <v>135</v>
      </c>
      <c r="BF66">
        <v>-2.9445999999999999</v>
      </c>
      <c r="BG66">
        <v>22.223400000000002</v>
      </c>
      <c r="BH66">
        <v>27.496500000000001</v>
      </c>
      <c r="BI66">
        <v>-21.990400000000001</v>
      </c>
      <c r="BJ66">
        <v>-21.791799999999999</v>
      </c>
      <c r="BK66" t="s">
        <v>135</v>
      </c>
      <c r="BL66" t="s">
        <v>135</v>
      </c>
      <c r="BM66" t="s">
        <v>135</v>
      </c>
      <c r="BN66" t="s">
        <v>135</v>
      </c>
      <c r="BO66" t="s">
        <v>135</v>
      </c>
      <c r="BP66" t="s">
        <v>135</v>
      </c>
      <c r="BQ66" t="s">
        <v>135</v>
      </c>
      <c r="BR66" t="s">
        <v>135</v>
      </c>
      <c r="BS66" t="s">
        <v>135</v>
      </c>
      <c r="BT66" t="s">
        <v>135</v>
      </c>
      <c r="BU66" t="s">
        <v>135</v>
      </c>
      <c r="BV66" t="s">
        <v>135</v>
      </c>
      <c r="BW66" t="s">
        <v>135</v>
      </c>
      <c r="BX66" t="s">
        <v>135</v>
      </c>
      <c r="BY66" t="s">
        <v>135</v>
      </c>
      <c r="BZ66" t="s">
        <v>135</v>
      </c>
      <c r="CA66" t="s">
        <v>135</v>
      </c>
      <c r="CB66" t="s">
        <v>135</v>
      </c>
      <c r="CC66" t="s">
        <v>135</v>
      </c>
      <c r="CD66" t="s">
        <v>135</v>
      </c>
      <c r="CE66" t="s">
        <v>135</v>
      </c>
      <c r="CF66">
        <v>12.3431</v>
      </c>
      <c r="CG66" t="s">
        <v>135</v>
      </c>
      <c r="CH66" t="s">
        <v>135</v>
      </c>
      <c r="CI66" t="s">
        <v>135</v>
      </c>
      <c r="CJ66" t="s">
        <v>135</v>
      </c>
      <c r="CK66" t="s">
        <v>135</v>
      </c>
      <c r="CL66" t="s">
        <v>135</v>
      </c>
      <c r="CM66" t="s">
        <v>135</v>
      </c>
      <c r="CN66" t="s">
        <v>135</v>
      </c>
      <c r="CO66" t="s">
        <v>135</v>
      </c>
      <c r="CP66">
        <v>113680</v>
      </c>
      <c r="CQ66" t="s">
        <v>135</v>
      </c>
      <c r="CR66">
        <v>82350</v>
      </c>
      <c r="CS66" t="s">
        <v>135</v>
      </c>
      <c r="CT66" t="s">
        <v>135</v>
      </c>
      <c r="CU66" t="s">
        <v>135</v>
      </c>
      <c r="CV66" t="s">
        <v>135</v>
      </c>
      <c r="CW66" t="s">
        <v>135</v>
      </c>
      <c r="CX66" t="s">
        <v>135</v>
      </c>
      <c r="CY66" t="s">
        <v>135</v>
      </c>
      <c r="CZ66" t="s">
        <v>135</v>
      </c>
      <c r="DA66" t="s">
        <v>135</v>
      </c>
      <c r="DB66" t="s">
        <v>135</v>
      </c>
      <c r="DC66" t="s">
        <v>135</v>
      </c>
      <c r="DD66" t="s">
        <v>135</v>
      </c>
      <c r="DE66" t="s">
        <v>135</v>
      </c>
      <c r="DF66" t="s">
        <v>135</v>
      </c>
      <c r="DG66" t="s">
        <v>135</v>
      </c>
      <c r="DH66" t="s">
        <v>135</v>
      </c>
      <c r="DI66" t="s">
        <v>135</v>
      </c>
    </row>
    <row r="67" spans="1:113" x14ac:dyDescent="0.3">
      <c r="E67" t="s">
        <v>81</v>
      </c>
      <c r="F67">
        <v>12.988</v>
      </c>
      <c r="G67">
        <v>5.4042000000000003</v>
      </c>
      <c r="H67">
        <v>8.1247000000000007</v>
      </c>
      <c r="I67">
        <v>5.6190999999999995</v>
      </c>
      <c r="J67">
        <v>19.929600000000001</v>
      </c>
      <c r="K67">
        <v>14.0029</v>
      </c>
      <c r="L67" t="s">
        <v>135</v>
      </c>
      <c r="M67">
        <v>15.8551</v>
      </c>
      <c r="N67">
        <v>12.3515</v>
      </c>
      <c r="O67">
        <v>12.2784</v>
      </c>
      <c r="P67">
        <v>12.2784</v>
      </c>
      <c r="Q67">
        <v>22.694400000000002</v>
      </c>
      <c r="R67" t="s">
        <v>135</v>
      </c>
      <c r="S67" t="s">
        <v>135</v>
      </c>
      <c r="T67">
        <v>-10.6981</v>
      </c>
      <c r="U67">
        <v>21.686299999999999</v>
      </c>
      <c r="V67">
        <v>19.149799999999999</v>
      </c>
      <c r="W67">
        <v>15.937899999999999</v>
      </c>
      <c r="X67">
        <v>15.668200000000001</v>
      </c>
      <c r="Y67" t="s">
        <v>135</v>
      </c>
      <c r="Z67">
        <v>-7.8644999999999996</v>
      </c>
      <c r="AA67">
        <v>-11.801399999999999</v>
      </c>
      <c r="AB67">
        <v>37.554900000000004</v>
      </c>
      <c r="AC67">
        <v>20.1647</v>
      </c>
      <c r="AD67">
        <v>-1012.6777</v>
      </c>
      <c r="AE67">
        <v>-2900.1518000000001</v>
      </c>
      <c r="AF67">
        <v>3.1057000000000001</v>
      </c>
      <c r="AG67">
        <v>-0.66859999999999997</v>
      </c>
      <c r="AH67">
        <v>13.0266</v>
      </c>
      <c r="AI67">
        <v>11.450900000000001</v>
      </c>
      <c r="AJ67">
        <v>12.113799999999999</v>
      </c>
      <c r="AK67">
        <v>11.334</v>
      </c>
      <c r="AL67" t="s">
        <v>135</v>
      </c>
      <c r="AM67" t="s">
        <v>135</v>
      </c>
      <c r="AN67" t="s">
        <v>135</v>
      </c>
      <c r="AO67" t="s">
        <v>135</v>
      </c>
      <c r="AP67" t="s">
        <v>135</v>
      </c>
      <c r="AQ67" t="s">
        <v>135</v>
      </c>
      <c r="AR67" t="s">
        <v>135</v>
      </c>
      <c r="AS67" t="s">
        <v>135</v>
      </c>
      <c r="AT67" t="s">
        <v>135</v>
      </c>
      <c r="AU67" t="s">
        <v>135</v>
      </c>
      <c r="AV67" t="s">
        <v>135</v>
      </c>
      <c r="AW67" t="s">
        <v>135</v>
      </c>
      <c r="AX67" t="s">
        <v>135</v>
      </c>
      <c r="AY67" t="s">
        <v>135</v>
      </c>
      <c r="AZ67" t="s">
        <v>135</v>
      </c>
      <c r="BA67" t="s">
        <v>135</v>
      </c>
      <c r="BB67" t="s">
        <v>135</v>
      </c>
      <c r="BC67" t="s">
        <v>135</v>
      </c>
      <c r="BD67" t="s">
        <v>135</v>
      </c>
      <c r="BE67" t="s">
        <v>135</v>
      </c>
      <c r="BF67">
        <v>-10.7484</v>
      </c>
      <c r="BG67">
        <v>6.7568000000000001</v>
      </c>
      <c r="BH67">
        <v>0.89690000000000003</v>
      </c>
      <c r="BI67">
        <v>2.1118000000000001</v>
      </c>
      <c r="BJ67">
        <v>2.4489999999999998</v>
      </c>
      <c r="BK67" t="s">
        <v>135</v>
      </c>
      <c r="BL67" t="s">
        <v>135</v>
      </c>
      <c r="BM67" t="s">
        <v>135</v>
      </c>
      <c r="BN67" t="s">
        <v>135</v>
      </c>
      <c r="BO67" t="s">
        <v>135</v>
      </c>
      <c r="BP67" t="s">
        <v>135</v>
      </c>
      <c r="BQ67" t="s">
        <v>135</v>
      </c>
      <c r="BR67" t="s">
        <v>135</v>
      </c>
      <c r="BS67" t="s">
        <v>135</v>
      </c>
      <c r="BT67" t="s">
        <v>135</v>
      </c>
      <c r="BU67" t="s">
        <v>135</v>
      </c>
      <c r="BV67" t="s">
        <v>135</v>
      </c>
      <c r="BW67" t="s">
        <v>135</v>
      </c>
      <c r="BX67" t="s">
        <v>135</v>
      </c>
      <c r="BY67">
        <v>1818180</v>
      </c>
      <c r="BZ67">
        <v>398180</v>
      </c>
      <c r="CA67">
        <v>1420000</v>
      </c>
      <c r="CB67">
        <v>4.2765000000000004</v>
      </c>
      <c r="CC67">
        <v>3.0739999999999998</v>
      </c>
      <c r="CD67">
        <v>5.9679000000000002</v>
      </c>
      <c r="CE67">
        <v>4.2897999999999996</v>
      </c>
      <c r="CF67">
        <v>14.77</v>
      </c>
      <c r="CG67">
        <v>40.1922</v>
      </c>
      <c r="CH67">
        <v>57.512</v>
      </c>
      <c r="CI67">
        <v>33.121600000000001</v>
      </c>
      <c r="CJ67">
        <v>23.424099999999999</v>
      </c>
      <c r="CK67">
        <v>73.638800000000003</v>
      </c>
      <c r="CL67">
        <v>42.409199999999998</v>
      </c>
      <c r="CM67">
        <v>29.9924</v>
      </c>
      <c r="CN67">
        <v>52.932499999999997</v>
      </c>
      <c r="CO67">
        <v>34.611699999999999</v>
      </c>
      <c r="CP67">
        <v>120080</v>
      </c>
      <c r="CQ67" t="s">
        <v>135</v>
      </c>
      <c r="CR67">
        <v>84370</v>
      </c>
      <c r="CS67">
        <v>0.27510000000000001</v>
      </c>
      <c r="CT67">
        <v>0.68110000000000004</v>
      </c>
      <c r="CU67">
        <v>0.3014</v>
      </c>
      <c r="CV67">
        <v>1.1638999999999999</v>
      </c>
      <c r="CW67">
        <v>53.800800000000002</v>
      </c>
      <c r="CX67">
        <v>6.8029000000000002</v>
      </c>
      <c r="CY67">
        <v>3.7183999999999999</v>
      </c>
      <c r="CZ67">
        <v>98.429000000000002</v>
      </c>
      <c r="DA67">
        <v>2.9840999999999998</v>
      </c>
      <c r="DB67">
        <v>122.6489</v>
      </c>
      <c r="DC67">
        <v>-17.417000000000002</v>
      </c>
      <c r="DD67">
        <v>105.2319</v>
      </c>
      <c r="DE67">
        <v>469640</v>
      </c>
      <c r="DF67">
        <v>149970</v>
      </c>
      <c r="DG67">
        <v>90830</v>
      </c>
      <c r="DH67">
        <v>156450</v>
      </c>
      <c r="DI67">
        <v>72390</v>
      </c>
    </row>
    <row r="68" spans="1:113" x14ac:dyDescent="0.3">
      <c r="D68" t="s">
        <v>84</v>
      </c>
      <c r="E68" t="s">
        <v>77</v>
      </c>
      <c r="F68">
        <v>12.0747</v>
      </c>
      <c r="G68">
        <v>4.5796999999999999</v>
      </c>
      <c r="H68">
        <v>7.3249000000000004</v>
      </c>
      <c r="I68">
        <v>5.5930999999999997</v>
      </c>
      <c r="J68">
        <v>15.1266</v>
      </c>
      <c r="K68">
        <v>11.313000000000001</v>
      </c>
      <c r="L68">
        <v>14.048999999999999</v>
      </c>
      <c r="M68">
        <v>13.109500000000001</v>
      </c>
      <c r="N68">
        <v>9.7690999999999999</v>
      </c>
      <c r="O68">
        <v>9.7912999999999997</v>
      </c>
      <c r="P68">
        <v>9.7912999999999997</v>
      </c>
      <c r="Q68">
        <v>25.480799999999999</v>
      </c>
      <c r="R68">
        <v>10.885300000000001</v>
      </c>
      <c r="S68">
        <v>10.760400000000001</v>
      </c>
      <c r="T68">
        <v>11.4537</v>
      </c>
      <c r="U68">
        <v>10.766400000000001</v>
      </c>
      <c r="V68">
        <v>14.6289</v>
      </c>
      <c r="W68">
        <v>0.52449999999999997</v>
      </c>
      <c r="X68">
        <v>0.3871</v>
      </c>
      <c r="Y68">
        <v>4.7618999999999998</v>
      </c>
      <c r="Z68">
        <v>83.135499999999993</v>
      </c>
      <c r="AA68">
        <v>15.0024</v>
      </c>
      <c r="AB68">
        <v>27.277000000000001</v>
      </c>
      <c r="AC68">
        <v>17.997599999999998</v>
      </c>
      <c r="AD68">
        <v>-60.0642</v>
      </c>
      <c r="AE68">
        <v>-54.271500000000003</v>
      </c>
      <c r="AF68">
        <v>27.031600000000001</v>
      </c>
      <c r="AG68">
        <v>13.929500000000001</v>
      </c>
      <c r="AH68">
        <v>8.8207000000000004</v>
      </c>
      <c r="AI68">
        <v>13.500399999999999</v>
      </c>
      <c r="AJ68">
        <v>11.465999999999999</v>
      </c>
      <c r="AK68">
        <v>13.465999999999999</v>
      </c>
      <c r="AL68">
        <v>16.8825</v>
      </c>
      <c r="AM68">
        <v>-3.1564999999999999</v>
      </c>
      <c r="AN68">
        <v>5.8506999999999998</v>
      </c>
      <c r="AO68">
        <v>9.0893999999999995</v>
      </c>
      <c r="AP68">
        <v>8.6770999999999994</v>
      </c>
      <c r="AQ68">
        <v>8.8626000000000005</v>
      </c>
      <c r="AR68">
        <v>5.2918000000000003</v>
      </c>
      <c r="AS68">
        <v>-13.5547</v>
      </c>
      <c r="AT68">
        <v>2.7442000000000002</v>
      </c>
      <c r="AU68">
        <v>30.668399999999998</v>
      </c>
      <c r="AV68">
        <v>16.6539</v>
      </c>
      <c r="AW68" t="s">
        <v>135</v>
      </c>
      <c r="AX68" t="s">
        <v>135</v>
      </c>
      <c r="AY68">
        <v>13.666499999999999</v>
      </c>
      <c r="AZ68">
        <v>10.4085</v>
      </c>
      <c r="BA68">
        <v>16.289000000000001</v>
      </c>
      <c r="BB68">
        <v>9.3871000000000002</v>
      </c>
      <c r="BC68">
        <v>12.013299999999999</v>
      </c>
      <c r="BD68">
        <v>9.3950999999999993</v>
      </c>
      <c r="BE68">
        <v>11.623900000000001</v>
      </c>
      <c r="BF68">
        <v>11.4537</v>
      </c>
      <c r="BG68">
        <v>10.766400000000001</v>
      </c>
      <c r="BH68">
        <v>14.6289</v>
      </c>
      <c r="BI68">
        <v>0.52449999999999997</v>
      </c>
      <c r="BJ68">
        <v>0.3871</v>
      </c>
      <c r="BK68">
        <v>4.7618999999999998</v>
      </c>
      <c r="BL68">
        <v>83.135499999999993</v>
      </c>
      <c r="BM68">
        <v>15.0024</v>
      </c>
      <c r="BN68">
        <v>27.277000000000001</v>
      </c>
      <c r="BO68">
        <v>17.997599999999998</v>
      </c>
      <c r="BP68" t="s">
        <v>135</v>
      </c>
      <c r="BQ68" t="s">
        <v>135</v>
      </c>
      <c r="BR68">
        <v>27.031600000000001</v>
      </c>
      <c r="BS68">
        <v>13.929500000000001</v>
      </c>
      <c r="BT68">
        <v>8.8207000000000004</v>
      </c>
      <c r="BU68">
        <v>13.500399999999999</v>
      </c>
      <c r="BV68">
        <v>11.465999999999999</v>
      </c>
      <c r="BW68">
        <v>13.465999999999999</v>
      </c>
      <c r="BX68">
        <v>16.8825</v>
      </c>
      <c r="BY68">
        <v>1966010</v>
      </c>
      <c r="BZ68">
        <v>444530</v>
      </c>
      <c r="CA68">
        <v>1521480</v>
      </c>
      <c r="CB68">
        <v>4.2560000000000002</v>
      </c>
      <c r="CC68">
        <v>3.0486</v>
      </c>
      <c r="CD68">
        <v>5.6906999999999996</v>
      </c>
      <c r="CE68">
        <v>4.0762999999999998</v>
      </c>
      <c r="CF68">
        <v>14.632199999999999</v>
      </c>
      <c r="CG68">
        <v>37.310200000000002</v>
      </c>
      <c r="CH68">
        <v>57.0642</v>
      </c>
      <c r="CI68">
        <v>32.845199999999998</v>
      </c>
      <c r="CJ68">
        <v>21.526299999999999</v>
      </c>
      <c r="CK68">
        <v>73.736599999999996</v>
      </c>
      <c r="CL68">
        <v>42.441600000000001</v>
      </c>
      <c r="CM68">
        <v>27.8156</v>
      </c>
      <c r="CN68">
        <v>52.818199999999997</v>
      </c>
      <c r="CO68">
        <v>34.562800000000003</v>
      </c>
      <c r="CP68">
        <v>461940</v>
      </c>
      <c r="CQ68">
        <v>-319150</v>
      </c>
      <c r="CR68">
        <v>345480</v>
      </c>
      <c r="CS68">
        <v>0.23699999999999999</v>
      </c>
      <c r="CT68">
        <v>0.62390000000000001</v>
      </c>
      <c r="CU68">
        <v>0.27179999999999999</v>
      </c>
      <c r="CV68">
        <v>1.1134999999999999</v>
      </c>
      <c r="CW68">
        <v>48.3123</v>
      </c>
      <c r="CX68">
        <v>7.5549999999999997</v>
      </c>
      <c r="CY68">
        <v>4.3527000000000005</v>
      </c>
      <c r="CZ68">
        <v>83.855800000000002</v>
      </c>
      <c r="DA68">
        <v>3.2799</v>
      </c>
      <c r="DB68">
        <v>111.2851</v>
      </c>
      <c r="DC68">
        <v>-19.874300000000002</v>
      </c>
      <c r="DD68">
        <v>91.410799999999995</v>
      </c>
      <c r="DE68">
        <v>534600</v>
      </c>
      <c r="DF68">
        <v>164120</v>
      </c>
      <c r="DG68">
        <v>114260</v>
      </c>
      <c r="DH68">
        <v>171490</v>
      </c>
      <c r="DI68">
        <v>84730</v>
      </c>
    </row>
    <row r="69" spans="1:113" x14ac:dyDescent="0.3">
      <c r="E69" t="s">
        <v>78</v>
      </c>
      <c r="F69" t="s">
        <v>135</v>
      </c>
      <c r="G69" t="s">
        <v>135</v>
      </c>
      <c r="H69" t="s">
        <v>135</v>
      </c>
      <c r="I69" t="s">
        <v>135</v>
      </c>
      <c r="J69">
        <v>17.268799999999999</v>
      </c>
      <c r="K69">
        <v>13.075900000000001</v>
      </c>
      <c r="L69" t="s">
        <v>135</v>
      </c>
      <c r="M69">
        <v>14.8607</v>
      </c>
      <c r="N69">
        <v>10.8894</v>
      </c>
      <c r="O69">
        <v>10.944800000000001</v>
      </c>
      <c r="P69">
        <v>10.944800000000001</v>
      </c>
      <c r="Q69">
        <v>26.724</v>
      </c>
      <c r="R69" t="s">
        <v>135</v>
      </c>
      <c r="S69" t="s">
        <v>135</v>
      </c>
      <c r="T69">
        <v>-15.173299999999999</v>
      </c>
      <c r="U69">
        <v>12.692</v>
      </c>
      <c r="V69">
        <v>17.896799999999999</v>
      </c>
      <c r="W69">
        <v>18.0777</v>
      </c>
      <c r="X69">
        <v>18.1373</v>
      </c>
      <c r="Y69" t="s">
        <v>135</v>
      </c>
      <c r="Z69" t="s">
        <v>135</v>
      </c>
      <c r="AA69" t="s">
        <v>135</v>
      </c>
      <c r="AB69" t="s">
        <v>135</v>
      </c>
      <c r="AC69" t="s">
        <v>135</v>
      </c>
      <c r="AD69" t="s">
        <v>135</v>
      </c>
      <c r="AE69" t="s">
        <v>135</v>
      </c>
      <c r="AF69" t="s">
        <v>135</v>
      </c>
      <c r="AG69" t="s">
        <v>135</v>
      </c>
      <c r="AH69" t="s">
        <v>135</v>
      </c>
      <c r="AI69" t="s">
        <v>135</v>
      </c>
      <c r="AJ69" t="s">
        <v>135</v>
      </c>
      <c r="AK69" t="s">
        <v>135</v>
      </c>
      <c r="AL69" t="s">
        <v>135</v>
      </c>
      <c r="AM69" t="s">
        <v>135</v>
      </c>
      <c r="AN69" t="s">
        <v>135</v>
      </c>
      <c r="AO69" t="s">
        <v>135</v>
      </c>
      <c r="AP69" t="s">
        <v>135</v>
      </c>
      <c r="AQ69" t="s">
        <v>135</v>
      </c>
      <c r="AR69" t="s">
        <v>135</v>
      </c>
      <c r="AS69" t="s">
        <v>135</v>
      </c>
      <c r="AT69" t="s">
        <v>135</v>
      </c>
      <c r="AU69" t="s">
        <v>135</v>
      </c>
      <c r="AV69" t="s">
        <v>135</v>
      </c>
      <c r="AW69" t="s">
        <v>135</v>
      </c>
      <c r="AX69" t="s">
        <v>135</v>
      </c>
      <c r="AY69" t="s">
        <v>135</v>
      </c>
      <c r="AZ69" t="s">
        <v>135</v>
      </c>
      <c r="BA69" t="s">
        <v>135</v>
      </c>
      <c r="BB69" t="s">
        <v>135</v>
      </c>
      <c r="BC69" t="s">
        <v>135</v>
      </c>
      <c r="BD69" t="s">
        <v>135</v>
      </c>
      <c r="BE69" t="s">
        <v>135</v>
      </c>
      <c r="BF69">
        <v>8.8682999999999996</v>
      </c>
      <c r="BG69">
        <v>-0.2223</v>
      </c>
      <c r="BH69">
        <v>4.7068000000000003</v>
      </c>
      <c r="BI69">
        <v>-0.75349999999999995</v>
      </c>
      <c r="BJ69">
        <v>-0.70050000000000001</v>
      </c>
      <c r="BK69" t="s">
        <v>135</v>
      </c>
      <c r="BL69" t="s">
        <v>135</v>
      </c>
      <c r="BM69" t="s">
        <v>135</v>
      </c>
      <c r="BN69" t="s">
        <v>135</v>
      </c>
      <c r="BO69" t="s">
        <v>135</v>
      </c>
      <c r="BP69" t="s">
        <v>135</v>
      </c>
      <c r="BQ69" t="s">
        <v>135</v>
      </c>
      <c r="BR69" t="s">
        <v>135</v>
      </c>
      <c r="BS69" t="s">
        <v>135</v>
      </c>
      <c r="BT69" t="s">
        <v>135</v>
      </c>
      <c r="BU69" t="s">
        <v>135</v>
      </c>
      <c r="BV69" t="s">
        <v>135</v>
      </c>
      <c r="BW69" t="s">
        <v>135</v>
      </c>
      <c r="BX69" t="s">
        <v>135</v>
      </c>
      <c r="BY69" t="s">
        <v>135</v>
      </c>
      <c r="BZ69" t="s">
        <v>135</v>
      </c>
      <c r="CA69" t="s">
        <v>135</v>
      </c>
      <c r="CB69" t="s">
        <v>135</v>
      </c>
      <c r="CC69" t="s">
        <v>135</v>
      </c>
      <c r="CD69" t="s">
        <v>135</v>
      </c>
      <c r="CE69" t="s">
        <v>135</v>
      </c>
      <c r="CF69">
        <v>9.3059999999999992</v>
      </c>
      <c r="CG69" t="s">
        <v>135</v>
      </c>
      <c r="CH69" t="s">
        <v>135</v>
      </c>
      <c r="CI69" t="s">
        <v>135</v>
      </c>
      <c r="CJ69" t="s">
        <v>135</v>
      </c>
      <c r="CK69" t="s">
        <v>135</v>
      </c>
      <c r="CL69" t="s">
        <v>135</v>
      </c>
      <c r="CM69" t="s">
        <v>135</v>
      </c>
      <c r="CN69" t="s">
        <v>135</v>
      </c>
      <c r="CO69" t="s">
        <v>135</v>
      </c>
      <c r="CP69">
        <v>112230</v>
      </c>
      <c r="CQ69" t="s">
        <v>135</v>
      </c>
      <c r="CR69">
        <v>84980</v>
      </c>
      <c r="CS69" t="s">
        <v>135</v>
      </c>
      <c r="CT69" t="s">
        <v>135</v>
      </c>
      <c r="CU69" t="s">
        <v>135</v>
      </c>
      <c r="CV69" t="s">
        <v>135</v>
      </c>
      <c r="CW69" t="s">
        <v>135</v>
      </c>
      <c r="CX69" t="s">
        <v>135</v>
      </c>
      <c r="CY69" t="s">
        <v>135</v>
      </c>
      <c r="CZ69" t="s">
        <v>135</v>
      </c>
      <c r="DA69" t="s">
        <v>135</v>
      </c>
      <c r="DB69" t="s">
        <v>135</v>
      </c>
      <c r="DC69" t="s">
        <v>135</v>
      </c>
      <c r="DD69" t="s">
        <v>135</v>
      </c>
      <c r="DE69" t="s">
        <v>135</v>
      </c>
      <c r="DF69" t="s">
        <v>135</v>
      </c>
      <c r="DG69" t="s">
        <v>135</v>
      </c>
      <c r="DH69" t="s">
        <v>135</v>
      </c>
      <c r="DI69" t="s">
        <v>135</v>
      </c>
    </row>
    <row r="70" spans="1:113" x14ac:dyDescent="0.3">
      <c r="E70" t="s">
        <v>79</v>
      </c>
      <c r="F70">
        <v>11.8139</v>
      </c>
      <c r="G70">
        <v>4.7289000000000003</v>
      </c>
      <c r="H70">
        <v>7.6319999999999997</v>
      </c>
      <c r="I70">
        <v>5.6798999999999999</v>
      </c>
      <c r="J70">
        <v>14.674200000000001</v>
      </c>
      <c r="K70">
        <v>11.0319</v>
      </c>
      <c r="L70">
        <v>33.333300000000001</v>
      </c>
      <c r="M70">
        <v>12.9778</v>
      </c>
      <c r="N70">
        <v>9.4221000000000004</v>
      </c>
      <c r="O70">
        <v>9.4615000000000009</v>
      </c>
      <c r="P70">
        <v>9.4615000000000009</v>
      </c>
      <c r="Q70">
        <v>27.3978</v>
      </c>
      <c r="R70" t="s">
        <v>135</v>
      </c>
      <c r="S70" t="s">
        <v>135</v>
      </c>
      <c r="T70">
        <v>8.2878000000000007</v>
      </c>
      <c r="U70">
        <v>20.159099999999999</v>
      </c>
      <c r="V70">
        <v>30.082100000000001</v>
      </c>
      <c r="W70">
        <v>-22.889199999999999</v>
      </c>
      <c r="X70">
        <v>-23.0532</v>
      </c>
      <c r="Y70" t="s">
        <v>135</v>
      </c>
      <c r="Z70">
        <v>-32.354500000000002</v>
      </c>
      <c r="AA70">
        <v>-6.3968999999999996</v>
      </c>
      <c r="AB70" t="s">
        <v>135</v>
      </c>
      <c r="AC70">
        <v>15.6998</v>
      </c>
      <c r="AD70" t="s">
        <v>135</v>
      </c>
      <c r="AE70">
        <v>-170.667</v>
      </c>
      <c r="AF70">
        <v>7.8689999999999998</v>
      </c>
      <c r="AG70">
        <v>-10.2658</v>
      </c>
      <c r="AH70">
        <v>16.127400000000002</v>
      </c>
      <c r="AI70">
        <v>9.8866999999999994</v>
      </c>
      <c r="AJ70">
        <v>12.379099999999999</v>
      </c>
      <c r="AK70">
        <v>20.743099999999998</v>
      </c>
      <c r="AL70" t="s">
        <v>135</v>
      </c>
      <c r="AM70" t="s">
        <v>135</v>
      </c>
      <c r="AN70" t="s">
        <v>135</v>
      </c>
      <c r="AO70" t="s">
        <v>135</v>
      </c>
      <c r="AP70" t="s">
        <v>135</v>
      </c>
      <c r="AQ70" t="s">
        <v>135</v>
      </c>
      <c r="AR70" t="s">
        <v>135</v>
      </c>
      <c r="AS70" t="s">
        <v>135</v>
      </c>
      <c r="AT70" t="s">
        <v>135</v>
      </c>
      <c r="AU70" t="s">
        <v>135</v>
      </c>
      <c r="AV70" t="s">
        <v>135</v>
      </c>
      <c r="AW70" t="s">
        <v>135</v>
      </c>
      <c r="AX70" t="s">
        <v>135</v>
      </c>
      <c r="AY70" t="s">
        <v>135</v>
      </c>
      <c r="AZ70" t="s">
        <v>135</v>
      </c>
      <c r="BA70" t="s">
        <v>135</v>
      </c>
      <c r="BB70" t="s">
        <v>135</v>
      </c>
      <c r="BC70" t="s">
        <v>135</v>
      </c>
      <c r="BD70" t="s">
        <v>135</v>
      </c>
      <c r="BE70" t="s">
        <v>135</v>
      </c>
      <c r="BF70">
        <v>17.188800000000001</v>
      </c>
      <c r="BG70">
        <v>-0.41880000000000001</v>
      </c>
      <c r="BH70">
        <v>-1.1296999999999999</v>
      </c>
      <c r="BI70">
        <v>1.3075000000000001</v>
      </c>
      <c r="BJ70">
        <v>1.2447999999999999</v>
      </c>
      <c r="BK70" t="s">
        <v>135</v>
      </c>
      <c r="BL70" t="s">
        <v>135</v>
      </c>
      <c r="BM70" t="s">
        <v>135</v>
      </c>
      <c r="BN70" t="s">
        <v>135</v>
      </c>
      <c r="BO70" t="s">
        <v>135</v>
      </c>
      <c r="BP70" t="s">
        <v>135</v>
      </c>
      <c r="BQ70" t="s">
        <v>135</v>
      </c>
      <c r="BR70" t="s">
        <v>135</v>
      </c>
      <c r="BS70" t="s">
        <v>135</v>
      </c>
      <c r="BT70" t="s">
        <v>135</v>
      </c>
      <c r="BU70" t="s">
        <v>135</v>
      </c>
      <c r="BV70" t="s">
        <v>135</v>
      </c>
      <c r="BW70" t="s">
        <v>135</v>
      </c>
      <c r="BX70" t="s">
        <v>135</v>
      </c>
      <c r="BY70">
        <v>1811820</v>
      </c>
      <c r="BZ70">
        <v>266340</v>
      </c>
      <c r="CA70">
        <v>1545480</v>
      </c>
      <c r="CB70">
        <v>4.0357000000000003</v>
      </c>
      <c r="CC70">
        <v>2.9439000000000002</v>
      </c>
      <c r="CD70">
        <v>5.4282000000000004</v>
      </c>
      <c r="CE70">
        <v>3.9596999999999998</v>
      </c>
      <c r="CF70">
        <v>12.5151</v>
      </c>
      <c r="CG70">
        <v>39.0959</v>
      </c>
      <c r="CH70">
        <v>59.942799999999998</v>
      </c>
      <c r="CI70">
        <v>35.203899999999997</v>
      </c>
      <c r="CJ70">
        <v>23.711400000000001</v>
      </c>
      <c r="CK70">
        <v>70.272999999999996</v>
      </c>
      <c r="CL70">
        <v>41.270800000000001</v>
      </c>
      <c r="CM70">
        <v>27.797699999999999</v>
      </c>
      <c r="CN70">
        <v>51.262500000000003</v>
      </c>
      <c r="CO70">
        <v>33.889800000000001</v>
      </c>
      <c r="CP70">
        <v>111760</v>
      </c>
      <c r="CQ70" t="s">
        <v>135</v>
      </c>
      <c r="CR70">
        <v>84020</v>
      </c>
      <c r="CS70">
        <v>0.25219999999999998</v>
      </c>
      <c r="CT70">
        <v>0.67949999999999999</v>
      </c>
      <c r="CU70">
        <v>0.28410000000000002</v>
      </c>
      <c r="CV70">
        <v>1.7429999999999999</v>
      </c>
      <c r="CW70">
        <v>34.946599999999997</v>
      </c>
      <c r="CX70">
        <v>10.473100000000001</v>
      </c>
      <c r="CY70">
        <v>3.3778000000000001</v>
      </c>
      <c r="CZ70">
        <v>108.3533</v>
      </c>
      <c r="DA70">
        <v>2.7180999999999997</v>
      </c>
      <c r="DB70">
        <v>134.65520000000001</v>
      </c>
      <c r="DC70">
        <v>-15.8287</v>
      </c>
      <c r="DD70">
        <v>118.8265</v>
      </c>
      <c r="DE70">
        <v>516240</v>
      </c>
      <c r="DF70" t="s">
        <v>135</v>
      </c>
      <c r="DG70" t="s">
        <v>135</v>
      </c>
      <c r="DH70" t="s">
        <v>135</v>
      </c>
      <c r="DI70" t="s">
        <v>135</v>
      </c>
    </row>
    <row r="71" spans="1:113" x14ac:dyDescent="0.3">
      <c r="E71" t="s">
        <v>80</v>
      </c>
      <c r="F71" t="s">
        <v>135</v>
      </c>
      <c r="G71" t="s">
        <v>135</v>
      </c>
      <c r="H71" t="s">
        <v>135</v>
      </c>
      <c r="I71" t="s">
        <v>135</v>
      </c>
      <c r="J71">
        <v>14.547700000000001</v>
      </c>
      <c r="K71">
        <v>11.0304</v>
      </c>
      <c r="L71">
        <v>3.3361000000000001</v>
      </c>
      <c r="M71">
        <v>12.8614</v>
      </c>
      <c r="N71">
        <v>9.4373000000000005</v>
      </c>
      <c r="O71">
        <v>9.4524000000000008</v>
      </c>
      <c r="P71">
        <v>9.4524000000000008</v>
      </c>
      <c r="Q71">
        <v>26.622900000000001</v>
      </c>
      <c r="R71" t="s">
        <v>135</v>
      </c>
      <c r="S71" t="s">
        <v>135</v>
      </c>
      <c r="T71">
        <v>17.627500000000001</v>
      </c>
      <c r="U71">
        <v>2.7027000000000001</v>
      </c>
      <c r="V71">
        <v>4.7477</v>
      </c>
      <c r="W71">
        <v>3.6025</v>
      </c>
      <c r="X71">
        <v>3.6734999999999998</v>
      </c>
      <c r="Y71" t="s">
        <v>135</v>
      </c>
      <c r="Z71" t="s">
        <v>135</v>
      </c>
      <c r="AA71" t="s">
        <v>135</v>
      </c>
      <c r="AB71" t="s">
        <v>135</v>
      </c>
      <c r="AC71" t="s">
        <v>135</v>
      </c>
      <c r="AD71" t="s">
        <v>135</v>
      </c>
      <c r="AE71" t="s">
        <v>135</v>
      </c>
      <c r="AF71" t="s">
        <v>135</v>
      </c>
      <c r="AG71" t="s">
        <v>135</v>
      </c>
      <c r="AH71" t="s">
        <v>135</v>
      </c>
      <c r="AI71" t="s">
        <v>135</v>
      </c>
      <c r="AJ71" t="s">
        <v>135</v>
      </c>
      <c r="AK71" t="s">
        <v>135</v>
      </c>
      <c r="AL71" t="s">
        <v>135</v>
      </c>
      <c r="AM71" t="s">
        <v>135</v>
      </c>
      <c r="AN71" t="s">
        <v>135</v>
      </c>
      <c r="AO71" t="s">
        <v>135</v>
      </c>
      <c r="AP71" t="s">
        <v>135</v>
      </c>
      <c r="AQ71" t="s">
        <v>135</v>
      </c>
      <c r="AR71" t="s">
        <v>135</v>
      </c>
      <c r="AS71" t="s">
        <v>135</v>
      </c>
      <c r="AT71" t="s">
        <v>135</v>
      </c>
      <c r="AU71" t="s">
        <v>135</v>
      </c>
      <c r="AV71" t="s">
        <v>135</v>
      </c>
      <c r="AW71" t="s">
        <v>135</v>
      </c>
      <c r="AX71" t="s">
        <v>135</v>
      </c>
      <c r="AY71" t="s">
        <v>135</v>
      </c>
      <c r="AZ71" t="s">
        <v>135</v>
      </c>
      <c r="BA71" t="s">
        <v>135</v>
      </c>
      <c r="BB71" t="s">
        <v>135</v>
      </c>
      <c r="BC71" t="s">
        <v>135</v>
      </c>
      <c r="BD71" t="s">
        <v>135</v>
      </c>
      <c r="BE71" t="s">
        <v>135</v>
      </c>
      <c r="BF71">
        <v>4.2633000000000001</v>
      </c>
      <c r="BG71">
        <v>3.4754999999999998</v>
      </c>
      <c r="BH71">
        <v>4.3981000000000003</v>
      </c>
      <c r="BI71">
        <v>4.1199000000000003</v>
      </c>
      <c r="BJ71">
        <v>4.0452000000000004</v>
      </c>
      <c r="BK71" t="s">
        <v>135</v>
      </c>
      <c r="BL71" t="s">
        <v>135</v>
      </c>
      <c r="BM71" t="s">
        <v>135</v>
      </c>
      <c r="BN71" t="s">
        <v>135</v>
      </c>
      <c r="BO71" t="s">
        <v>135</v>
      </c>
      <c r="BP71" t="s">
        <v>135</v>
      </c>
      <c r="BQ71" t="s">
        <v>135</v>
      </c>
      <c r="BR71" t="s">
        <v>135</v>
      </c>
      <c r="BS71" t="s">
        <v>135</v>
      </c>
      <c r="BT71" t="s">
        <v>135</v>
      </c>
      <c r="BU71" t="s">
        <v>135</v>
      </c>
      <c r="BV71" t="s">
        <v>135</v>
      </c>
      <c r="BW71" t="s">
        <v>135</v>
      </c>
      <c r="BX71" t="s">
        <v>135</v>
      </c>
      <c r="BY71" t="s">
        <v>135</v>
      </c>
      <c r="BZ71" t="s">
        <v>135</v>
      </c>
      <c r="CA71" t="s">
        <v>135</v>
      </c>
      <c r="CB71" t="s">
        <v>135</v>
      </c>
      <c r="CC71" t="s">
        <v>135</v>
      </c>
      <c r="CD71" t="s">
        <v>135</v>
      </c>
      <c r="CE71" t="s">
        <v>135</v>
      </c>
      <c r="CF71">
        <v>9.5549999999999997</v>
      </c>
      <c r="CG71" t="s">
        <v>135</v>
      </c>
      <c r="CH71" t="s">
        <v>135</v>
      </c>
      <c r="CI71" t="s">
        <v>135</v>
      </c>
      <c r="CJ71" t="s">
        <v>135</v>
      </c>
      <c r="CK71" t="s">
        <v>135</v>
      </c>
      <c r="CL71" t="s">
        <v>135</v>
      </c>
      <c r="CM71" t="s">
        <v>135</v>
      </c>
      <c r="CN71" t="s">
        <v>135</v>
      </c>
      <c r="CO71" t="s">
        <v>135</v>
      </c>
      <c r="CP71">
        <v>115520</v>
      </c>
      <c r="CQ71" t="s">
        <v>135</v>
      </c>
      <c r="CR71">
        <v>87590</v>
      </c>
      <c r="CS71" t="s">
        <v>135</v>
      </c>
      <c r="CT71" t="s">
        <v>135</v>
      </c>
      <c r="CU71" t="s">
        <v>135</v>
      </c>
      <c r="CV71" t="s">
        <v>135</v>
      </c>
      <c r="CW71" t="s">
        <v>135</v>
      </c>
      <c r="CX71" t="s">
        <v>135</v>
      </c>
      <c r="CY71" t="s">
        <v>135</v>
      </c>
      <c r="CZ71" t="s">
        <v>135</v>
      </c>
      <c r="DA71" t="s">
        <v>135</v>
      </c>
      <c r="DB71" t="s">
        <v>135</v>
      </c>
      <c r="DC71" t="s">
        <v>135</v>
      </c>
      <c r="DD71" t="s">
        <v>135</v>
      </c>
      <c r="DE71" t="s">
        <v>135</v>
      </c>
      <c r="DF71" t="s">
        <v>135</v>
      </c>
      <c r="DG71" t="s">
        <v>135</v>
      </c>
      <c r="DH71" t="s">
        <v>135</v>
      </c>
      <c r="DI71" t="s">
        <v>135</v>
      </c>
    </row>
    <row r="72" spans="1:113" x14ac:dyDescent="0.3">
      <c r="E72" t="s">
        <v>81</v>
      </c>
      <c r="F72">
        <v>12.063800000000001</v>
      </c>
      <c r="G72">
        <v>4.5755999999999997</v>
      </c>
      <c r="H72">
        <v>7.4359999999999999</v>
      </c>
      <c r="I72">
        <v>5.5881999999999996</v>
      </c>
      <c r="J72">
        <v>14.421799999999999</v>
      </c>
      <c r="K72">
        <v>10.467700000000001</v>
      </c>
      <c r="L72">
        <v>3.0366</v>
      </c>
      <c r="M72">
        <v>12.088699999999999</v>
      </c>
      <c r="N72">
        <v>9.4939</v>
      </c>
      <c r="O72">
        <v>9.4855999999999998</v>
      </c>
      <c r="P72">
        <v>9.4855999999999998</v>
      </c>
      <c r="Q72">
        <v>21.4648</v>
      </c>
      <c r="R72" t="s">
        <v>135</v>
      </c>
      <c r="S72" t="s">
        <v>135</v>
      </c>
      <c r="T72">
        <v>42.0916</v>
      </c>
      <c r="U72">
        <v>8.7570999999999994</v>
      </c>
      <c r="V72">
        <v>9.4011999999999993</v>
      </c>
      <c r="W72">
        <v>12.2645</v>
      </c>
      <c r="X72">
        <v>12.038</v>
      </c>
      <c r="Y72" t="s">
        <v>135</v>
      </c>
      <c r="Z72">
        <v>83.135499999999993</v>
      </c>
      <c r="AA72">
        <v>15.0024</v>
      </c>
      <c r="AB72">
        <v>27.277000000000001</v>
      </c>
      <c r="AC72">
        <v>17.997599999999998</v>
      </c>
      <c r="AD72">
        <v>-60.0642</v>
      </c>
      <c r="AE72">
        <v>-54.271500000000003</v>
      </c>
      <c r="AF72">
        <v>27.031600000000001</v>
      </c>
      <c r="AG72">
        <v>13.929500000000001</v>
      </c>
      <c r="AH72">
        <v>8.8207000000000004</v>
      </c>
      <c r="AI72">
        <v>13.500399999999999</v>
      </c>
      <c r="AJ72">
        <v>11.465999999999999</v>
      </c>
      <c r="AK72">
        <v>13.465999999999999</v>
      </c>
      <c r="AL72" t="s">
        <v>135</v>
      </c>
      <c r="AM72" t="s">
        <v>135</v>
      </c>
      <c r="AN72" t="s">
        <v>135</v>
      </c>
      <c r="AO72" t="s">
        <v>135</v>
      </c>
      <c r="AP72" t="s">
        <v>135</v>
      </c>
      <c r="AQ72" t="s">
        <v>135</v>
      </c>
      <c r="AR72" t="s">
        <v>135</v>
      </c>
      <c r="AS72" t="s">
        <v>135</v>
      </c>
      <c r="AT72" t="s">
        <v>135</v>
      </c>
      <c r="AU72" t="s">
        <v>135</v>
      </c>
      <c r="AV72" t="s">
        <v>135</v>
      </c>
      <c r="AW72" t="s">
        <v>135</v>
      </c>
      <c r="AX72" t="s">
        <v>135</v>
      </c>
      <c r="AY72" t="s">
        <v>135</v>
      </c>
      <c r="AZ72" t="s">
        <v>135</v>
      </c>
      <c r="BA72" t="s">
        <v>135</v>
      </c>
      <c r="BB72" t="s">
        <v>135</v>
      </c>
      <c r="BC72" t="s">
        <v>135</v>
      </c>
      <c r="BD72" t="s">
        <v>135</v>
      </c>
      <c r="BE72" t="s">
        <v>135</v>
      </c>
      <c r="BF72">
        <v>6.8192000000000004</v>
      </c>
      <c r="BG72">
        <v>5.8951000000000002</v>
      </c>
      <c r="BH72">
        <v>1.37</v>
      </c>
      <c r="BI72">
        <v>7.1942000000000004</v>
      </c>
      <c r="BJ72">
        <v>7.0536000000000003</v>
      </c>
      <c r="BK72" t="s">
        <v>135</v>
      </c>
      <c r="BL72" t="s">
        <v>135</v>
      </c>
      <c r="BM72" t="s">
        <v>135</v>
      </c>
      <c r="BN72" t="s">
        <v>135</v>
      </c>
      <c r="BO72" t="s">
        <v>135</v>
      </c>
      <c r="BP72" t="s">
        <v>135</v>
      </c>
      <c r="BQ72" t="s">
        <v>135</v>
      </c>
      <c r="BR72" t="s">
        <v>135</v>
      </c>
      <c r="BS72" t="s">
        <v>135</v>
      </c>
      <c r="BT72" t="s">
        <v>135</v>
      </c>
      <c r="BU72" t="s">
        <v>135</v>
      </c>
      <c r="BV72" t="s">
        <v>135</v>
      </c>
      <c r="BW72" t="s">
        <v>135</v>
      </c>
      <c r="BX72" t="s">
        <v>135</v>
      </c>
      <c r="BY72">
        <v>1966010</v>
      </c>
      <c r="BZ72">
        <v>444530</v>
      </c>
      <c r="CA72">
        <v>1521480</v>
      </c>
      <c r="CB72">
        <v>4.258</v>
      </c>
      <c r="CC72">
        <v>3.0501</v>
      </c>
      <c r="CD72">
        <v>5.6943000000000001</v>
      </c>
      <c r="CE72">
        <v>4.0789</v>
      </c>
      <c r="CF72">
        <v>22.001799999999999</v>
      </c>
      <c r="CG72">
        <v>37.310200000000002</v>
      </c>
      <c r="CH72">
        <v>57.0642</v>
      </c>
      <c r="CI72">
        <v>32.845199999999998</v>
      </c>
      <c r="CJ72">
        <v>21.526299999999999</v>
      </c>
      <c r="CK72">
        <v>73.736599999999996</v>
      </c>
      <c r="CL72">
        <v>42.441600000000001</v>
      </c>
      <c r="CM72">
        <v>27.8156</v>
      </c>
      <c r="CN72">
        <v>52.818199999999997</v>
      </c>
      <c r="CO72">
        <v>34.562800000000003</v>
      </c>
      <c r="CP72">
        <v>122330</v>
      </c>
      <c r="CQ72" t="s">
        <v>135</v>
      </c>
      <c r="CR72">
        <v>88790</v>
      </c>
      <c r="CS72">
        <v>0.23699999999999999</v>
      </c>
      <c r="CT72">
        <v>0.62390000000000001</v>
      </c>
      <c r="CU72">
        <v>0.27179999999999999</v>
      </c>
      <c r="CV72">
        <v>1.1134999999999999</v>
      </c>
      <c r="CW72">
        <v>48.3123</v>
      </c>
      <c r="CX72">
        <v>7.5549999999999997</v>
      </c>
      <c r="CY72">
        <v>4.3527000000000005</v>
      </c>
      <c r="CZ72">
        <v>83.855400000000003</v>
      </c>
      <c r="DA72">
        <v>3.2799</v>
      </c>
      <c r="DB72">
        <v>111.2846</v>
      </c>
      <c r="DC72">
        <v>-19.874099999999999</v>
      </c>
      <c r="DD72">
        <v>91.410399999999996</v>
      </c>
      <c r="DE72">
        <v>534600</v>
      </c>
      <c r="DF72">
        <v>164120</v>
      </c>
      <c r="DG72">
        <v>114260</v>
      </c>
      <c r="DH72">
        <v>171490</v>
      </c>
      <c r="DI72">
        <v>84730</v>
      </c>
    </row>
    <row r="73" spans="1:113" x14ac:dyDescent="0.3">
      <c r="D73" t="s">
        <v>85</v>
      </c>
      <c r="E73" t="s">
        <v>77</v>
      </c>
      <c r="F73">
        <v>12.9483</v>
      </c>
      <c r="G73">
        <v>4.7196999999999996</v>
      </c>
      <c r="H73">
        <v>8.4511000000000003</v>
      </c>
      <c r="I73">
        <v>6.7628000000000004</v>
      </c>
      <c r="J73">
        <v>16.384900000000002</v>
      </c>
      <c r="K73">
        <v>12.1197</v>
      </c>
      <c r="L73">
        <v>14.9742</v>
      </c>
      <c r="M73">
        <v>12.6191</v>
      </c>
      <c r="N73">
        <v>9.2117000000000004</v>
      </c>
      <c r="O73">
        <v>9.2103999999999999</v>
      </c>
      <c r="P73">
        <v>9.2103999999999999</v>
      </c>
      <c r="Q73">
        <v>27.001999999999999</v>
      </c>
      <c r="R73">
        <v>9.8491999999999997</v>
      </c>
      <c r="S73">
        <v>11.673</v>
      </c>
      <c r="T73">
        <v>28.258099999999999</v>
      </c>
      <c r="U73">
        <v>38.927100000000003</v>
      </c>
      <c r="V73">
        <v>37.402999999999999</v>
      </c>
      <c r="W73">
        <v>20.648099999999999</v>
      </c>
      <c r="X73">
        <v>20.407399999999999</v>
      </c>
      <c r="Y73">
        <v>9.0908999999999995</v>
      </c>
      <c r="Z73">
        <v>114.6875</v>
      </c>
      <c r="AA73">
        <v>24.281400000000001</v>
      </c>
      <c r="AB73">
        <v>14.587</v>
      </c>
      <c r="AC73">
        <v>14.601100000000001</v>
      </c>
      <c r="AD73">
        <v>-46.242400000000004</v>
      </c>
      <c r="AE73">
        <v>-46.963900000000002</v>
      </c>
      <c r="AF73">
        <v>39.514299999999999</v>
      </c>
      <c r="AG73">
        <v>67.798199999999994</v>
      </c>
      <c r="AH73">
        <v>11.2737</v>
      </c>
      <c r="AI73">
        <v>11.408899999999999</v>
      </c>
      <c r="AJ73">
        <v>11.3515</v>
      </c>
      <c r="AK73">
        <v>11.224399999999999</v>
      </c>
      <c r="AL73">
        <v>47.357199999999999</v>
      </c>
      <c r="AM73">
        <v>-0.2727</v>
      </c>
      <c r="AN73">
        <v>14.2361</v>
      </c>
      <c r="AO73">
        <v>16.887499999999999</v>
      </c>
      <c r="AP73">
        <v>11.557600000000001</v>
      </c>
      <c r="AQ73">
        <v>11.4467</v>
      </c>
      <c r="AR73">
        <v>5.9223999999999997</v>
      </c>
      <c r="AS73">
        <v>12.481</v>
      </c>
      <c r="AT73">
        <v>2.1865000000000001</v>
      </c>
      <c r="AU73">
        <v>32.994399999999999</v>
      </c>
      <c r="AV73">
        <v>17.638000000000002</v>
      </c>
      <c r="AW73" t="s">
        <v>135</v>
      </c>
      <c r="AX73" t="s">
        <v>135</v>
      </c>
      <c r="AY73">
        <v>16.544699999999999</v>
      </c>
      <c r="AZ73">
        <v>15.5183</v>
      </c>
      <c r="BA73">
        <v>15.329499999999999</v>
      </c>
      <c r="BB73">
        <v>10.1723</v>
      </c>
      <c r="BC73">
        <v>12.189299999999999</v>
      </c>
      <c r="BD73">
        <v>9.8393999999999995</v>
      </c>
      <c r="BE73">
        <v>7.7925000000000004</v>
      </c>
      <c r="BF73">
        <v>28.258099999999999</v>
      </c>
      <c r="BG73">
        <v>38.927100000000003</v>
      </c>
      <c r="BH73">
        <v>37.402999999999999</v>
      </c>
      <c r="BI73">
        <v>20.648099999999999</v>
      </c>
      <c r="BJ73">
        <v>20.407399999999999</v>
      </c>
      <c r="BK73">
        <v>9.0908999999999995</v>
      </c>
      <c r="BL73">
        <v>114.6875</v>
      </c>
      <c r="BM73">
        <v>24.281400000000001</v>
      </c>
      <c r="BN73">
        <v>14.587</v>
      </c>
      <c r="BO73">
        <v>14.601100000000001</v>
      </c>
      <c r="BP73" t="s">
        <v>135</v>
      </c>
      <c r="BQ73" t="s">
        <v>135</v>
      </c>
      <c r="BR73">
        <v>39.514299999999999</v>
      </c>
      <c r="BS73">
        <v>67.798199999999994</v>
      </c>
      <c r="BT73">
        <v>11.2737</v>
      </c>
      <c r="BU73">
        <v>11.408899999999999</v>
      </c>
      <c r="BV73">
        <v>11.3515</v>
      </c>
      <c r="BW73">
        <v>11.224399999999999</v>
      </c>
      <c r="BX73">
        <v>47.357199999999999</v>
      </c>
      <c r="BY73">
        <v>2187630</v>
      </c>
      <c r="BZ73">
        <v>745880</v>
      </c>
      <c r="CA73">
        <v>1441750</v>
      </c>
      <c r="CB73">
        <v>3.4087999999999998</v>
      </c>
      <c r="CC73">
        <v>2.4449000000000001</v>
      </c>
      <c r="CD73">
        <v>4.6083999999999996</v>
      </c>
      <c r="CE73">
        <v>3.3054000000000001</v>
      </c>
      <c r="CF73">
        <v>8.8567</v>
      </c>
      <c r="CG73">
        <v>35.953499999999998</v>
      </c>
      <c r="CH73">
        <v>48.5364</v>
      </c>
      <c r="CI73">
        <v>27.9513</v>
      </c>
      <c r="CJ73">
        <v>17.661000000000001</v>
      </c>
      <c r="CK73">
        <v>73.6464</v>
      </c>
      <c r="CL73">
        <v>42.411700000000003</v>
      </c>
      <c r="CM73">
        <v>26.797799999999999</v>
      </c>
      <c r="CN73">
        <v>52.822000000000003</v>
      </c>
      <c r="CO73">
        <v>34.564399999999999</v>
      </c>
      <c r="CP73">
        <v>641760</v>
      </c>
      <c r="CQ73">
        <v>-97770</v>
      </c>
      <c r="CR73">
        <v>474700</v>
      </c>
      <c r="CS73">
        <v>0.1971</v>
      </c>
      <c r="CT73">
        <v>0.58560000000000001</v>
      </c>
      <c r="CU73">
        <v>0.253</v>
      </c>
      <c r="CV73">
        <v>1.2246999999999999</v>
      </c>
      <c r="CW73">
        <v>30.442799999999998</v>
      </c>
      <c r="CX73">
        <v>11.989699999999999</v>
      </c>
      <c r="CY73">
        <v>5.0293000000000001</v>
      </c>
      <c r="CZ73">
        <v>72.575299999999999</v>
      </c>
      <c r="DA73">
        <v>3.1393</v>
      </c>
      <c r="DB73">
        <v>116.26779999999999</v>
      </c>
      <c r="DC73">
        <v>-31.7028</v>
      </c>
      <c r="DD73">
        <v>84.564999999999998</v>
      </c>
      <c r="DE73">
        <v>608370</v>
      </c>
      <c r="DF73">
        <v>194320</v>
      </c>
      <c r="DG73">
        <v>123210</v>
      </c>
      <c r="DH73">
        <v>236120</v>
      </c>
      <c r="DI73">
        <v>54720</v>
      </c>
    </row>
    <row r="74" spans="1:113" x14ac:dyDescent="0.3">
      <c r="E74" t="s">
        <v>78</v>
      </c>
      <c r="F74" t="s">
        <v>135</v>
      </c>
      <c r="G74" t="s">
        <v>135</v>
      </c>
      <c r="H74" t="s">
        <v>135</v>
      </c>
      <c r="I74" t="s">
        <v>135</v>
      </c>
      <c r="J74">
        <v>15.04</v>
      </c>
      <c r="K74">
        <v>11.4016</v>
      </c>
      <c r="L74">
        <v>5.5137999999999998</v>
      </c>
      <c r="M74">
        <v>13.9246</v>
      </c>
      <c r="N74">
        <v>10.876799999999999</v>
      </c>
      <c r="O74">
        <v>10.9116</v>
      </c>
      <c r="P74">
        <v>10.9116</v>
      </c>
      <c r="Q74">
        <v>21.887599999999999</v>
      </c>
      <c r="R74" t="s">
        <v>135</v>
      </c>
      <c r="S74" t="s">
        <v>135</v>
      </c>
      <c r="T74">
        <v>28.436699999999998</v>
      </c>
      <c r="U74">
        <v>11.8596</v>
      </c>
      <c r="V74">
        <v>11.991099999999999</v>
      </c>
      <c r="W74">
        <v>28.0472</v>
      </c>
      <c r="X74">
        <v>27.634900000000002</v>
      </c>
      <c r="Y74" t="s">
        <v>135</v>
      </c>
      <c r="Z74" t="s">
        <v>135</v>
      </c>
      <c r="AA74" t="s">
        <v>135</v>
      </c>
      <c r="AB74" t="s">
        <v>135</v>
      </c>
      <c r="AC74" t="s">
        <v>135</v>
      </c>
      <c r="AD74" t="s">
        <v>135</v>
      </c>
      <c r="AE74" t="s">
        <v>135</v>
      </c>
      <c r="AF74" t="s">
        <v>135</v>
      </c>
      <c r="AG74" t="s">
        <v>135</v>
      </c>
      <c r="AH74" t="s">
        <v>135</v>
      </c>
      <c r="AI74" t="s">
        <v>135</v>
      </c>
      <c r="AJ74" t="s">
        <v>135</v>
      </c>
      <c r="AK74" t="s">
        <v>135</v>
      </c>
      <c r="AL74" t="s">
        <v>135</v>
      </c>
      <c r="AM74" t="s">
        <v>135</v>
      </c>
      <c r="AN74" t="s">
        <v>135</v>
      </c>
      <c r="AO74" t="s">
        <v>135</v>
      </c>
      <c r="AP74" t="s">
        <v>135</v>
      </c>
      <c r="AQ74" t="s">
        <v>135</v>
      </c>
      <c r="AR74" t="s">
        <v>135</v>
      </c>
      <c r="AS74" t="s">
        <v>135</v>
      </c>
      <c r="AT74" t="s">
        <v>135</v>
      </c>
      <c r="AU74" t="s">
        <v>135</v>
      </c>
      <c r="AV74" t="s">
        <v>135</v>
      </c>
      <c r="AW74" t="s">
        <v>135</v>
      </c>
      <c r="AX74" t="s">
        <v>135</v>
      </c>
      <c r="AY74" t="s">
        <v>135</v>
      </c>
      <c r="AZ74" t="s">
        <v>135</v>
      </c>
      <c r="BA74" t="s">
        <v>135</v>
      </c>
      <c r="BB74" t="s">
        <v>135</v>
      </c>
      <c r="BC74" t="s">
        <v>135</v>
      </c>
      <c r="BD74" t="s">
        <v>135</v>
      </c>
      <c r="BE74" t="s">
        <v>135</v>
      </c>
      <c r="BF74">
        <v>-1.5939000000000001</v>
      </c>
      <c r="BG74">
        <v>2.6240000000000001</v>
      </c>
      <c r="BH74">
        <v>7.1855000000000002</v>
      </c>
      <c r="BI74">
        <v>13.1991</v>
      </c>
      <c r="BJ74">
        <v>13.123100000000001</v>
      </c>
      <c r="BK74" t="s">
        <v>135</v>
      </c>
      <c r="BL74" t="s">
        <v>135</v>
      </c>
      <c r="BM74" t="s">
        <v>135</v>
      </c>
      <c r="BN74" t="s">
        <v>135</v>
      </c>
      <c r="BO74" t="s">
        <v>135</v>
      </c>
      <c r="BP74" t="s">
        <v>135</v>
      </c>
      <c r="BQ74" t="s">
        <v>135</v>
      </c>
      <c r="BR74" t="s">
        <v>135</v>
      </c>
      <c r="BS74" t="s">
        <v>135</v>
      </c>
      <c r="BT74" t="s">
        <v>135</v>
      </c>
      <c r="BU74" t="s">
        <v>135</v>
      </c>
      <c r="BV74" t="s">
        <v>135</v>
      </c>
      <c r="BW74" t="s">
        <v>135</v>
      </c>
      <c r="BX74" t="s">
        <v>135</v>
      </c>
      <c r="BY74" t="s">
        <v>135</v>
      </c>
      <c r="BZ74" t="s">
        <v>135</v>
      </c>
      <c r="CA74" t="s">
        <v>135</v>
      </c>
      <c r="CB74" t="s">
        <v>135</v>
      </c>
      <c r="CC74" t="s">
        <v>135</v>
      </c>
      <c r="CD74" t="s">
        <v>135</v>
      </c>
      <c r="CE74" t="s">
        <v>135</v>
      </c>
      <c r="CF74">
        <v>11.2189</v>
      </c>
      <c r="CG74" t="s">
        <v>135</v>
      </c>
      <c r="CH74" t="s">
        <v>135</v>
      </c>
      <c r="CI74" t="s">
        <v>135</v>
      </c>
      <c r="CJ74" t="s">
        <v>135</v>
      </c>
      <c r="CK74" t="s">
        <v>135</v>
      </c>
      <c r="CL74" t="s">
        <v>135</v>
      </c>
      <c r="CM74" t="s">
        <v>135</v>
      </c>
      <c r="CN74" t="s">
        <v>135</v>
      </c>
      <c r="CO74" t="s">
        <v>135</v>
      </c>
      <c r="CP74">
        <v>125540</v>
      </c>
      <c r="CQ74" t="s">
        <v>135</v>
      </c>
      <c r="CR74">
        <v>95170</v>
      </c>
      <c r="CS74" t="s">
        <v>135</v>
      </c>
      <c r="CT74" t="s">
        <v>135</v>
      </c>
      <c r="CU74" t="s">
        <v>135</v>
      </c>
      <c r="CV74" t="s">
        <v>135</v>
      </c>
      <c r="CW74" t="s">
        <v>135</v>
      </c>
      <c r="CX74" t="s">
        <v>135</v>
      </c>
      <c r="CY74" t="s">
        <v>135</v>
      </c>
      <c r="CZ74" t="s">
        <v>135</v>
      </c>
      <c r="DA74" t="s">
        <v>135</v>
      </c>
      <c r="DB74" t="s">
        <v>135</v>
      </c>
      <c r="DC74" t="s">
        <v>135</v>
      </c>
      <c r="DD74" t="s">
        <v>135</v>
      </c>
      <c r="DE74" t="s">
        <v>135</v>
      </c>
      <c r="DF74" t="s">
        <v>135</v>
      </c>
      <c r="DG74" t="s">
        <v>135</v>
      </c>
      <c r="DH74" t="s">
        <v>135</v>
      </c>
      <c r="DI74" t="s">
        <v>135</v>
      </c>
    </row>
    <row r="75" spans="1:113" x14ac:dyDescent="0.3">
      <c r="E75" t="s">
        <v>79</v>
      </c>
      <c r="F75">
        <v>12.3393</v>
      </c>
      <c r="G75">
        <v>4.6685999999999996</v>
      </c>
      <c r="H75">
        <v>8.1415000000000006</v>
      </c>
      <c r="I75">
        <v>6.0933000000000002</v>
      </c>
      <c r="J75">
        <v>17.014500000000002</v>
      </c>
      <c r="K75">
        <v>12.328200000000001</v>
      </c>
      <c r="L75">
        <v>18.851199999999999</v>
      </c>
      <c r="M75">
        <v>12.3927</v>
      </c>
      <c r="N75">
        <v>8.8509999999999991</v>
      </c>
      <c r="O75">
        <v>8.8641000000000005</v>
      </c>
      <c r="P75">
        <v>8.8641000000000005</v>
      </c>
      <c r="Q75">
        <v>28.579000000000001</v>
      </c>
      <c r="R75" t="s">
        <v>135</v>
      </c>
      <c r="S75" t="s">
        <v>135</v>
      </c>
      <c r="T75">
        <v>20.115300000000001</v>
      </c>
      <c r="U75">
        <v>39.421399999999998</v>
      </c>
      <c r="V75">
        <v>34.421900000000001</v>
      </c>
      <c r="W75">
        <v>12.484400000000001</v>
      </c>
      <c r="X75">
        <v>11.9101</v>
      </c>
      <c r="Y75" t="s">
        <v>135</v>
      </c>
      <c r="Z75">
        <v>83.072500000000005</v>
      </c>
      <c r="AA75">
        <v>2.9153000000000002</v>
      </c>
      <c r="AB75">
        <v>23.376899999999999</v>
      </c>
      <c r="AC75">
        <v>15.3788</v>
      </c>
      <c r="AD75">
        <v>-108.2448</v>
      </c>
      <c r="AE75">
        <v>-85.944100000000006</v>
      </c>
      <c r="AF75">
        <v>25.392499999999998</v>
      </c>
      <c r="AG75">
        <v>49.823500000000003</v>
      </c>
      <c r="AH75">
        <v>3.8600000000000002E-2</v>
      </c>
      <c r="AI75">
        <v>8.2248999999999999</v>
      </c>
      <c r="AJ75">
        <v>4.8464</v>
      </c>
      <c r="AK75">
        <v>8.1024999999999991</v>
      </c>
      <c r="AL75" t="s">
        <v>135</v>
      </c>
      <c r="AM75" t="s">
        <v>135</v>
      </c>
      <c r="AN75" t="s">
        <v>135</v>
      </c>
      <c r="AO75" t="s">
        <v>135</v>
      </c>
      <c r="AP75" t="s">
        <v>135</v>
      </c>
      <c r="AQ75" t="s">
        <v>135</v>
      </c>
      <c r="AR75" t="s">
        <v>135</v>
      </c>
      <c r="AS75" t="s">
        <v>135</v>
      </c>
      <c r="AT75" t="s">
        <v>135</v>
      </c>
      <c r="AU75" t="s">
        <v>135</v>
      </c>
      <c r="AV75" t="s">
        <v>135</v>
      </c>
      <c r="AW75" t="s">
        <v>135</v>
      </c>
      <c r="AX75" t="s">
        <v>135</v>
      </c>
      <c r="AY75" t="s">
        <v>135</v>
      </c>
      <c r="AZ75" t="s">
        <v>135</v>
      </c>
      <c r="BA75" t="s">
        <v>135</v>
      </c>
      <c r="BB75" t="s">
        <v>135</v>
      </c>
      <c r="BC75" t="s">
        <v>135</v>
      </c>
      <c r="BD75" t="s">
        <v>135</v>
      </c>
      <c r="BE75" t="s">
        <v>135</v>
      </c>
      <c r="BF75">
        <v>9.5960999999999999</v>
      </c>
      <c r="BG75">
        <v>23.984400000000001</v>
      </c>
      <c r="BH75">
        <v>18.503699999999998</v>
      </c>
      <c r="BI75">
        <v>-10.968400000000001</v>
      </c>
      <c r="BJ75">
        <v>-11.183400000000001</v>
      </c>
      <c r="BK75" t="s">
        <v>135</v>
      </c>
      <c r="BL75" t="s">
        <v>135</v>
      </c>
      <c r="BM75" t="s">
        <v>135</v>
      </c>
      <c r="BN75" t="s">
        <v>135</v>
      </c>
      <c r="BO75" t="s">
        <v>135</v>
      </c>
      <c r="BP75" t="s">
        <v>135</v>
      </c>
      <c r="BQ75" t="s">
        <v>135</v>
      </c>
      <c r="BR75" t="s">
        <v>135</v>
      </c>
      <c r="BS75" t="s">
        <v>135</v>
      </c>
      <c r="BT75" t="s">
        <v>135</v>
      </c>
      <c r="BU75" t="s">
        <v>135</v>
      </c>
      <c r="BV75" t="s">
        <v>135</v>
      </c>
      <c r="BW75" t="s">
        <v>135</v>
      </c>
      <c r="BX75" t="s">
        <v>135</v>
      </c>
      <c r="BY75">
        <v>1812520</v>
      </c>
      <c r="BZ75">
        <v>399040</v>
      </c>
      <c r="CA75">
        <v>1413480</v>
      </c>
      <c r="CB75">
        <v>3.4920999999999998</v>
      </c>
      <c r="CC75">
        <v>2.3363</v>
      </c>
      <c r="CD75">
        <v>4.7161</v>
      </c>
      <c r="CE75">
        <v>3.1551999999999998</v>
      </c>
      <c r="CF75">
        <v>6.8507999999999996</v>
      </c>
      <c r="CG75">
        <v>36.741999999999997</v>
      </c>
      <c r="CH75">
        <v>50.656599999999997</v>
      </c>
      <c r="CI75">
        <v>30.7089</v>
      </c>
      <c r="CJ75">
        <v>18.7957</v>
      </c>
      <c r="CK75">
        <v>64.957400000000007</v>
      </c>
      <c r="CL75">
        <v>39.378300000000003</v>
      </c>
      <c r="CM75">
        <v>24.101900000000001</v>
      </c>
      <c r="CN75">
        <v>43.459200000000003</v>
      </c>
      <c r="CO75">
        <v>30.293800000000001</v>
      </c>
      <c r="CP75">
        <v>155650</v>
      </c>
      <c r="CQ75" t="s">
        <v>135</v>
      </c>
      <c r="CR75">
        <v>112780</v>
      </c>
      <c r="CS75">
        <v>0.21609999999999999</v>
      </c>
      <c r="CT75">
        <v>0.58279999999999998</v>
      </c>
      <c r="CU75">
        <v>0.25690000000000002</v>
      </c>
      <c r="CV75">
        <v>1.7227000000000001</v>
      </c>
      <c r="CW75">
        <v>38.670999999999999</v>
      </c>
      <c r="CX75">
        <v>9.4385999999999992</v>
      </c>
      <c r="CY75">
        <v>4.5434000000000001</v>
      </c>
      <c r="CZ75">
        <v>80.336100000000002</v>
      </c>
      <c r="DA75">
        <v>3.1475</v>
      </c>
      <c r="DB75">
        <v>115.965</v>
      </c>
      <c r="DC75">
        <v>-26.190200000000001</v>
      </c>
      <c r="DD75">
        <v>89.774699999999996</v>
      </c>
      <c r="DE75">
        <v>531290</v>
      </c>
      <c r="DF75" t="s">
        <v>135</v>
      </c>
      <c r="DG75" t="s">
        <v>135</v>
      </c>
      <c r="DH75" t="s">
        <v>135</v>
      </c>
      <c r="DI75" t="s">
        <v>135</v>
      </c>
    </row>
    <row r="76" spans="1:113" x14ac:dyDescent="0.3">
      <c r="E76" t="s">
        <v>80</v>
      </c>
      <c r="F76" t="s">
        <v>135</v>
      </c>
      <c r="G76" t="s">
        <v>135</v>
      </c>
      <c r="H76" t="s">
        <v>135</v>
      </c>
      <c r="I76" t="s">
        <v>135</v>
      </c>
      <c r="J76">
        <v>17.621500000000001</v>
      </c>
      <c r="K76">
        <v>13.0829</v>
      </c>
      <c r="L76">
        <v>21.0715</v>
      </c>
      <c r="M76">
        <v>13.245200000000001</v>
      </c>
      <c r="N76">
        <v>9.4629999999999992</v>
      </c>
      <c r="O76">
        <v>9.4408999999999992</v>
      </c>
      <c r="P76">
        <v>9.4408999999999992</v>
      </c>
      <c r="Q76">
        <v>28.555199999999999</v>
      </c>
      <c r="R76" t="s">
        <v>135</v>
      </c>
      <c r="S76" t="s">
        <v>135</v>
      </c>
      <c r="T76">
        <v>25.692599999999999</v>
      </c>
      <c r="U76">
        <v>52.250700000000002</v>
      </c>
      <c r="V76">
        <v>49.0809</v>
      </c>
      <c r="W76">
        <v>25.5396</v>
      </c>
      <c r="X76">
        <v>25.6693</v>
      </c>
      <c r="Y76" t="s">
        <v>135</v>
      </c>
      <c r="Z76" t="s">
        <v>135</v>
      </c>
      <c r="AA76" t="s">
        <v>135</v>
      </c>
      <c r="AB76" t="s">
        <v>135</v>
      </c>
      <c r="AC76" t="s">
        <v>135</v>
      </c>
      <c r="AD76" t="s">
        <v>135</v>
      </c>
      <c r="AE76" t="s">
        <v>135</v>
      </c>
      <c r="AF76" t="s">
        <v>135</v>
      </c>
      <c r="AG76" t="s">
        <v>135</v>
      </c>
      <c r="AH76" t="s">
        <v>135</v>
      </c>
      <c r="AI76" t="s">
        <v>135</v>
      </c>
      <c r="AJ76" t="s">
        <v>135</v>
      </c>
      <c r="AK76" t="s">
        <v>135</v>
      </c>
      <c r="AL76" t="s">
        <v>135</v>
      </c>
      <c r="AM76" t="s">
        <v>135</v>
      </c>
      <c r="AN76" t="s">
        <v>135</v>
      </c>
      <c r="AO76" t="s">
        <v>135</v>
      </c>
      <c r="AP76" t="s">
        <v>135</v>
      </c>
      <c r="AQ76" t="s">
        <v>135</v>
      </c>
      <c r="AR76" t="s">
        <v>135</v>
      </c>
      <c r="AS76" t="s">
        <v>135</v>
      </c>
      <c r="AT76" t="s">
        <v>135</v>
      </c>
      <c r="AU76" t="s">
        <v>135</v>
      </c>
      <c r="AV76" t="s">
        <v>135</v>
      </c>
      <c r="AW76" t="s">
        <v>135</v>
      </c>
      <c r="AX76" t="s">
        <v>135</v>
      </c>
      <c r="AY76" t="s">
        <v>135</v>
      </c>
      <c r="AZ76" t="s">
        <v>135</v>
      </c>
      <c r="BA76" t="s">
        <v>135</v>
      </c>
      <c r="BB76" t="s">
        <v>135</v>
      </c>
      <c r="BC76" t="s">
        <v>135</v>
      </c>
      <c r="BD76" t="s">
        <v>135</v>
      </c>
      <c r="BE76" t="s">
        <v>135</v>
      </c>
      <c r="BF76">
        <v>9.1045999999999996</v>
      </c>
      <c r="BG76">
        <v>12.9971</v>
      </c>
      <c r="BH76">
        <v>15.7829</v>
      </c>
      <c r="BI76">
        <v>16.2042</v>
      </c>
      <c r="BJ76">
        <v>16.837499999999999</v>
      </c>
      <c r="BK76" t="s">
        <v>135</v>
      </c>
      <c r="BL76" t="s">
        <v>135</v>
      </c>
      <c r="BM76" t="s">
        <v>135</v>
      </c>
      <c r="BN76" t="s">
        <v>135</v>
      </c>
      <c r="BO76" t="s">
        <v>135</v>
      </c>
      <c r="BP76" t="s">
        <v>135</v>
      </c>
      <c r="BQ76" t="s">
        <v>135</v>
      </c>
      <c r="BR76" t="s">
        <v>135</v>
      </c>
      <c r="BS76" t="s">
        <v>135</v>
      </c>
      <c r="BT76" t="s">
        <v>135</v>
      </c>
      <c r="BU76" t="s">
        <v>135</v>
      </c>
      <c r="BV76" t="s">
        <v>135</v>
      </c>
      <c r="BW76" t="s">
        <v>135</v>
      </c>
      <c r="BX76" t="s">
        <v>135</v>
      </c>
      <c r="BY76" t="s">
        <v>135</v>
      </c>
      <c r="BZ76" t="s">
        <v>135</v>
      </c>
      <c r="CA76" t="s">
        <v>135</v>
      </c>
      <c r="CB76" t="s">
        <v>135</v>
      </c>
      <c r="CC76" t="s">
        <v>135</v>
      </c>
      <c r="CD76" t="s">
        <v>135</v>
      </c>
      <c r="CE76" t="s">
        <v>135</v>
      </c>
      <c r="CF76">
        <v>8.3951999999999991</v>
      </c>
      <c r="CG76" t="s">
        <v>135</v>
      </c>
      <c r="CH76" t="s">
        <v>135</v>
      </c>
      <c r="CI76" t="s">
        <v>135</v>
      </c>
      <c r="CJ76" t="s">
        <v>135</v>
      </c>
      <c r="CK76" t="s">
        <v>135</v>
      </c>
      <c r="CL76" t="s">
        <v>135</v>
      </c>
      <c r="CM76" t="s">
        <v>135</v>
      </c>
      <c r="CN76" t="s">
        <v>135</v>
      </c>
      <c r="CO76" t="s">
        <v>135</v>
      </c>
      <c r="CP76">
        <v>175880</v>
      </c>
      <c r="CQ76" t="s">
        <v>135</v>
      </c>
      <c r="CR76">
        <v>130580</v>
      </c>
      <c r="CS76" t="s">
        <v>135</v>
      </c>
      <c r="CT76" t="s">
        <v>135</v>
      </c>
      <c r="CU76" t="s">
        <v>135</v>
      </c>
      <c r="CV76" t="s">
        <v>135</v>
      </c>
      <c r="CW76" t="s">
        <v>135</v>
      </c>
      <c r="CX76" t="s">
        <v>135</v>
      </c>
      <c r="CY76" t="s">
        <v>135</v>
      </c>
      <c r="CZ76" t="s">
        <v>135</v>
      </c>
      <c r="DA76" t="s">
        <v>135</v>
      </c>
      <c r="DB76" t="s">
        <v>135</v>
      </c>
      <c r="DC76" t="s">
        <v>135</v>
      </c>
      <c r="DD76" t="s">
        <v>135</v>
      </c>
      <c r="DE76" t="s">
        <v>135</v>
      </c>
      <c r="DF76" t="s">
        <v>135</v>
      </c>
      <c r="DG76" t="s">
        <v>135</v>
      </c>
      <c r="DH76" t="s">
        <v>135</v>
      </c>
      <c r="DI76" t="s">
        <v>135</v>
      </c>
    </row>
    <row r="77" spans="1:113" x14ac:dyDescent="0.3">
      <c r="E77" t="s">
        <v>81</v>
      </c>
      <c r="F77">
        <v>12.9483</v>
      </c>
      <c r="G77">
        <v>4.7196999999999996</v>
      </c>
      <c r="H77">
        <v>8.5713000000000008</v>
      </c>
      <c r="I77">
        <v>6.7412999999999998</v>
      </c>
      <c r="J77">
        <v>15.796900000000001</v>
      </c>
      <c r="K77">
        <v>11.6469</v>
      </c>
      <c r="L77">
        <v>14.7638</v>
      </c>
      <c r="M77">
        <v>11.329599999999999</v>
      </c>
      <c r="N77">
        <v>8.0905000000000005</v>
      </c>
      <c r="O77">
        <v>8.07</v>
      </c>
      <c r="P77">
        <v>8.07</v>
      </c>
      <c r="Q77">
        <v>28.5898</v>
      </c>
      <c r="R77" t="s">
        <v>135</v>
      </c>
      <c r="S77" t="s">
        <v>135</v>
      </c>
      <c r="T77">
        <v>37.834099999999999</v>
      </c>
      <c r="U77">
        <v>50.976900000000001</v>
      </c>
      <c r="V77">
        <v>53.361899999999999</v>
      </c>
      <c r="W77">
        <v>17.263200000000001</v>
      </c>
      <c r="X77">
        <v>17.094899999999999</v>
      </c>
      <c r="Y77" t="s">
        <v>135</v>
      </c>
      <c r="Z77">
        <v>114.6875</v>
      </c>
      <c r="AA77">
        <v>24.281400000000001</v>
      </c>
      <c r="AB77">
        <v>14.587</v>
      </c>
      <c r="AC77">
        <v>14.601100000000001</v>
      </c>
      <c r="AD77">
        <v>-46.242400000000004</v>
      </c>
      <c r="AE77">
        <v>-46.963900000000002</v>
      </c>
      <c r="AF77">
        <v>39.514299999999999</v>
      </c>
      <c r="AG77">
        <v>67.798199999999994</v>
      </c>
      <c r="AH77">
        <v>11.2737</v>
      </c>
      <c r="AI77">
        <v>11.408899999999999</v>
      </c>
      <c r="AJ77">
        <v>11.3515</v>
      </c>
      <c r="AK77">
        <v>11.224399999999999</v>
      </c>
      <c r="AL77" t="s">
        <v>135</v>
      </c>
      <c r="AM77" t="s">
        <v>135</v>
      </c>
      <c r="AN77" t="s">
        <v>135</v>
      </c>
      <c r="AO77" t="s">
        <v>135</v>
      </c>
      <c r="AP77" t="s">
        <v>135</v>
      </c>
      <c r="AQ77" t="s">
        <v>135</v>
      </c>
      <c r="AR77" t="s">
        <v>135</v>
      </c>
      <c r="AS77" t="s">
        <v>135</v>
      </c>
      <c r="AT77" t="s">
        <v>135</v>
      </c>
      <c r="AU77" t="s">
        <v>135</v>
      </c>
      <c r="AV77" t="s">
        <v>135</v>
      </c>
      <c r="AW77" t="s">
        <v>135</v>
      </c>
      <c r="AX77" t="s">
        <v>135</v>
      </c>
      <c r="AY77" t="s">
        <v>135</v>
      </c>
      <c r="AZ77" t="s">
        <v>135</v>
      </c>
      <c r="BA77" t="s">
        <v>135</v>
      </c>
      <c r="BB77" t="s">
        <v>135</v>
      </c>
      <c r="BC77" t="s">
        <v>135</v>
      </c>
      <c r="BD77" t="s">
        <v>135</v>
      </c>
      <c r="BE77" t="s">
        <v>135</v>
      </c>
      <c r="BF77">
        <v>17.137599999999999</v>
      </c>
      <c r="BG77">
        <v>5.0091000000000001</v>
      </c>
      <c r="BH77">
        <v>4.2808999999999999</v>
      </c>
      <c r="BI77">
        <v>0.1273</v>
      </c>
      <c r="BJ77">
        <v>-0.25059999999999999</v>
      </c>
      <c r="BK77" t="s">
        <v>135</v>
      </c>
      <c r="BL77" t="s">
        <v>135</v>
      </c>
      <c r="BM77" t="s">
        <v>135</v>
      </c>
      <c r="BN77" t="s">
        <v>135</v>
      </c>
      <c r="BO77" t="s">
        <v>135</v>
      </c>
      <c r="BP77" t="s">
        <v>135</v>
      </c>
      <c r="BQ77" t="s">
        <v>135</v>
      </c>
      <c r="BR77" t="s">
        <v>135</v>
      </c>
      <c r="BS77" t="s">
        <v>135</v>
      </c>
      <c r="BT77" t="s">
        <v>135</v>
      </c>
      <c r="BU77" t="s">
        <v>135</v>
      </c>
      <c r="BV77" t="s">
        <v>135</v>
      </c>
      <c r="BW77" t="s">
        <v>135</v>
      </c>
      <c r="BX77" t="s">
        <v>135</v>
      </c>
      <c r="BY77">
        <v>2187630</v>
      </c>
      <c r="BZ77">
        <v>745880</v>
      </c>
      <c r="CA77">
        <v>1441750</v>
      </c>
      <c r="CB77">
        <v>3.4087999999999998</v>
      </c>
      <c r="CC77">
        <v>2.4449000000000001</v>
      </c>
      <c r="CD77">
        <v>4.6083999999999996</v>
      </c>
      <c r="CE77">
        <v>3.3054000000000001</v>
      </c>
      <c r="CF77">
        <v>7.1975999999999996</v>
      </c>
      <c r="CG77">
        <v>35.953499999999998</v>
      </c>
      <c r="CH77">
        <v>48.5364</v>
      </c>
      <c r="CI77">
        <v>27.9513</v>
      </c>
      <c r="CJ77">
        <v>17.661000000000001</v>
      </c>
      <c r="CK77">
        <v>73.6464</v>
      </c>
      <c r="CL77">
        <v>42.411700000000003</v>
      </c>
      <c r="CM77">
        <v>26.797799999999999</v>
      </c>
      <c r="CN77">
        <v>52.822000000000003</v>
      </c>
      <c r="CO77">
        <v>34.564399999999999</v>
      </c>
      <c r="CP77">
        <v>184690</v>
      </c>
      <c r="CQ77" t="s">
        <v>135</v>
      </c>
      <c r="CR77">
        <v>136170</v>
      </c>
      <c r="CS77">
        <v>0.1971</v>
      </c>
      <c r="CT77">
        <v>0.58560000000000001</v>
      </c>
      <c r="CU77">
        <v>0.253</v>
      </c>
      <c r="CV77">
        <v>1.2246999999999999</v>
      </c>
      <c r="CW77">
        <v>30.442799999999998</v>
      </c>
      <c r="CX77">
        <v>11.989699999999999</v>
      </c>
      <c r="CY77">
        <v>5.0293000000000001</v>
      </c>
      <c r="CZ77">
        <v>72.575299999999999</v>
      </c>
      <c r="DA77">
        <v>3.1393</v>
      </c>
      <c r="DB77">
        <v>116.26779999999999</v>
      </c>
      <c r="DC77">
        <v>-31.7028</v>
      </c>
      <c r="DD77">
        <v>84.564999999999998</v>
      </c>
      <c r="DE77">
        <v>608370</v>
      </c>
      <c r="DF77">
        <v>194320</v>
      </c>
      <c r="DG77">
        <v>123210</v>
      </c>
      <c r="DH77">
        <v>236120</v>
      </c>
      <c r="DI77">
        <v>54720</v>
      </c>
    </row>
    <row r="78" spans="1:113" x14ac:dyDescent="0.3">
      <c r="A78">
        <v>79</v>
      </c>
      <c r="B78" t="s">
        <v>90</v>
      </c>
      <c r="C78" t="s">
        <v>91</v>
      </c>
      <c r="D78" t="s">
        <v>76</v>
      </c>
      <c r="E78" t="s">
        <v>77</v>
      </c>
      <c r="F78">
        <v>23.889199999999999</v>
      </c>
      <c r="G78">
        <v>1.2727999999999999</v>
      </c>
      <c r="H78" t="s">
        <v>135</v>
      </c>
      <c r="I78">
        <v>16.307400000000001</v>
      </c>
      <c r="J78" t="s">
        <v>135</v>
      </c>
      <c r="K78">
        <v>3.1164999999999998</v>
      </c>
      <c r="L78">
        <v>2.1570999999999998</v>
      </c>
      <c r="M78">
        <v>4.1813000000000002</v>
      </c>
      <c r="N78">
        <v>4.1813000000000002</v>
      </c>
      <c r="O78">
        <v>4.1813000000000002</v>
      </c>
      <c r="P78">
        <v>4.1813000000000002</v>
      </c>
      <c r="Q78">
        <v>0</v>
      </c>
      <c r="R78" t="s">
        <v>135</v>
      </c>
      <c r="S78" t="s">
        <v>135</v>
      </c>
      <c r="T78">
        <v>16.038599999999999</v>
      </c>
      <c r="U78" t="s">
        <v>135</v>
      </c>
      <c r="V78">
        <v>10.5793</v>
      </c>
      <c r="W78">
        <v>15.495799999999999</v>
      </c>
      <c r="X78">
        <v>15.5556</v>
      </c>
      <c r="Y78" t="s">
        <v>135</v>
      </c>
      <c r="Z78" t="s">
        <v>135</v>
      </c>
      <c r="AA78" t="s">
        <v>135</v>
      </c>
      <c r="AB78">
        <v>7.9192</v>
      </c>
      <c r="AC78">
        <v>12.8939</v>
      </c>
      <c r="AD78" t="s">
        <v>135</v>
      </c>
      <c r="AE78" t="s">
        <v>135</v>
      </c>
      <c r="AF78" t="s">
        <v>135</v>
      </c>
      <c r="AG78" t="s">
        <v>135</v>
      </c>
      <c r="AH78" t="s">
        <v>135</v>
      </c>
      <c r="AI78">
        <v>22.6538</v>
      </c>
      <c r="AJ78">
        <v>22.6538</v>
      </c>
      <c r="AK78">
        <v>22.6538</v>
      </c>
      <c r="AL78">
        <v>-65.861199999999997</v>
      </c>
      <c r="AM78" t="s">
        <v>135</v>
      </c>
      <c r="AN78" t="s">
        <v>135</v>
      </c>
      <c r="AO78" t="s">
        <v>135</v>
      </c>
      <c r="AP78" t="s">
        <v>135</v>
      </c>
      <c r="AQ78" t="s">
        <v>135</v>
      </c>
      <c r="AR78" t="s">
        <v>135</v>
      </c>
      <c r="AS78" t="s">
        <v>135</v>
      </c>
      <c r="AT78" t="s">
        <v>135</v>
      </c>
      <c r="AU78" t="s">
        <v>135</v>
      </c>
      <c r="AV78" t="s">
        <v>135</v>
      </c>
      <c r="AW78" t="s">
        <v>135</v>
      </c>
      <c r="AX78" t="s">
        <v>135</v>
      </c>
      <c r="AY78" t="s">
        <v>135</v>
      </c>
      <c r="AZ78" t="s">
        <v>135</v>
      </c>
      <c r="BA78" t="s">
        <v>135</v>
      </c>
      <c r="BB78" t="s">
        <v>135</v>
      </c>
      <c r="BC78" t="s">
        <v>135</v>
      </c>
      <c r="BD78" t="s">
        <v>135</v>
      </c>
      <c r="BE78" t="s">
        <v>135</v>
      </c>
      <c r="BF78">
        <v>16.038599999999999</v>
      </c>
      <c r="BG78" t="s">
        <v>135</v>
      </c>
      <c r="BH78">
        <v>10.5793</v>
      </c>
      <c r="BI78">
        <v>15.495799999999999</v>
      </c>
      <c r="BJ78">
        <v>15.5556</v>
      </c>
      <c r="BK78" t="s">
        <v>135</v>
      </c>
      <c r="BL78" t="s">
        <v>135</v>
      </c>
      <c r="BM78" t="s">
        <v>135</v>
      </c>
      <c r="BN78">
        <v>7.9192</v>
      </c>
      <c r="BO78">
        <v>12.8939</v>
      </c>
      <c r="BP78" t="s">
        <v>135</v>
      </c>
      <c r="BQ78" t="s">
        <v>135</v>
      </c>
      <c r="BR78" t="s">
        <v>135</v>
      </c>
      <c r="BS78" t="s">
        <v>135</v>
      </c>
      <c r="BT78" t="s">
        <v>135</v>
      </c>
      <c r="BU78">
        <v>22.6538</v>
      </c>
      <c r="BV78">
        <v>22.6538</v>
      </c>
      <c r="BW78">
        <v>22.6538</v>
      </c>
      <c r="BX78" t="s">
        <v>135</v>
      </c>
      <c r="BY78">
        <v>0</v>
      </c>
      <c r="BZ78" t="s">
        <v>135</v>
      </c>
      <c r="CA78">
        <v>0</v>
      </c>
      <c r="CB78" t="s">
        <v>135</v>
      </c>
      <c r="CC78" t="s">
        <v>135</v>
      </c>
      <c r="CD78">
        <v>0</v>
      </c>
      <c r="CE78">
        <v>-4.6868999999999996</v>
      </c>
      <c r="CF78" t="s">
        <v>135</v>
      </c>
      <c r="CG78">
        <v>5.5347999999999997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-75.746399999999994</v>
      </c>
      <c r="CO78">
        <v>-312.30930000000001</v>
      </c>
      <c r="CP78" t="s">
        <v>135</v>
      </c>
      <c r="CQ78" t="s">
        <v>135</v>
      </c>
      <c r="CR78">
        <v>5424.2</v>
      </c>
      <c r="CS78" t="s">
        <v>135</v>
      </c>
      <c r="CT78" t="s">
        <v>135</v>
      </c>
      <c r="CU78" t="s">
        <v>135</v>
      </c>
      <c r="CV78" t="s">
        <v>135</v>
      </c>
      <c r="CW78" t="s">
        <v>135</v>
      </c>
      <c r="CX78" t="s">
        <v>135</v>
      </c>
      <c r="CY78" t="s">
        <v>135</v>
      </c>
      <c r="CZ78" t="s">
        <v>135</v>
      </c>
      <c r="DA78" t="s">
        <v>135</v>
      </c>
      <c r="DB78" t="s">
        <v>135</v>
      </c>
      <c r="DC78" t="s">
        <v>135</v>
      </c>
      <c r="DD78" t="s">
        <v>135</v>
      </c>
      <c r="DE78" t="s">
        <v>135</v>
      </c>
      <c r="DF78" t="s">
        <v>135</v>
      </c>
      <c r="DG78" t="s">
        <v>135</v>
      </c>
      <c r="DH78" t="s">
        <v>135</v>
      </c>
      <c r="DI78" t="s">
        <v>135</v>
      </c>
    </row>
    <row r="79" spans="1:113" x14ac:dyDescent="0.3">
      <c r="E79" t="s">
        <v>78</v>
      </c>
      <c r="F79" t="s">
        <v>135</v>
      </c>
      <c r="G79" t="s">
        <v>135</v>
      </c>
      <c r="H79" t="s">
        <v>135</v>
      </c>
      <c r="I79" t="s">
        <v>135</v>
      </c>
      <c r="J79" t="s">
        <v>135</v>
      </c>
      <c r="K79" t="s">
        <v>135</v>
      </c>
      <c r="L79" t="s">
        <v>135</v>
      </c>
      <c r="M79" t="s">
        <v>135</v>
      </c>
      <c r="N79" t="s">
        <v>135</v>
      </c>
      <c r="O79" t="s">
        <v>135</v>
      </c>
      <c r="P79" t="s">
        <v>135</v>
      </c>
      <c r="Q79" t="s">
        <v>135</v>
      </c>
      <c r="R79" t="s">
        <v>135</v>
      </c>
      <c r="S79" t="s">
        <v>135</v>
      </c>
      <c r="T79" t="s">
        <v>135</v>
      </c>
      <c r="U79" t="s">
        <v>135</v>
      </c>
      <c r="V79" t="s">
        <v>135</v>
      </c>
      <c r="W79" t="s">
        <v>135</v>
      </c>
      <c r="X79" t="s">
        <v>135</v>
      </c>
      <c r="Y79" t="s">
        <v>135</v>
      </c>
      <c r="Z79" t="s">
        <v>135</v>
      </c>
      <c r="AA79" t="s">
        <v>135</v>
      </c>
      <c r="AB79" t="s">
        <v>135</v>
      </c>
      <c r="AC79" t="s">
        <v>135</v>
      </c>
      <c r="AD79" t="s">
        <v>135</v>
      </c>
      <c r="AE79" t="s">
        <v>135</v>
      </c>
      <c r="AF79" t="s">
        <v>135</v>
      </c>
      <c r="AG79" t="s">
        <v>135</v>
      </c>
      <c r="AH79" t="s">
        <v>135</v>
      </c>
      <c r="AI79" t="s">
        <v>135</v>
      </c>
      <c r="AJ79" t="s">
        <v>135</v>
      </c>
      <c r="AK79" t="s">
        <v>135</v>
      </c>
      <c r="AL79" t="s">
        <v>135</v>
      </c>
      <c r="AM79" t="s">
        <v>135</v>
      </c>
      <c r="AN79" t="s">
        <v>135</v>
      </c>
      <c r="AO79" t="s">
        <v>135</v>
      </c>
      <c r="AP79" t="s">
        <v>135</v>
      </c>
      <c r="AQ79" t="s">
        <v>135</v>
      </c>
      <c r="AR79" t="s">
        <v>135</v>
      </c>
      <c r="AS79" t="s">
        <v>135</v>
      </c>
      <c r="AT79" t="s">
        <v>135</v>
      </c>
      <c r="AU79" t="s">
        <v>135</v>
      </c>
      <c r="AV79" t="s">
        <v>135</v>
      </c>
      <c r="AW79" t="s">
        <v>135</v>
      </c>
      <c r="AX79" t="s">
        <v>135</v>
      </c>
      <c r="AY79" t="s">
        <v>135</v>
      </c>
      <c r="AZ79" t="s">
        <v>135</v>
      </c>
      <c r="BA79" t="s">
        <v>135</v>
      </c>
      <c r="BB79" t="s">
        <v>135</v>
      </c>
      <c r="BC79" t="s">
        <v>135</v>
      </c>
      <c r="BD79" t="s">
        <v>135</v>
      </c>
      <c r="BE79" t="s">
        <v>135</v>
      </c>
      <c r="BF79" t="s">
        <v>135</v>
      </c>
      <c r="BG79" t="s">
        <v>135</v>
      </c>
      <c r="BH79" t="s">
        <v>135</v>
      </c>
      <c r="BI79" t="s">
        <v>135</v>
      </c>
      <c r="BJ79" t="s">
        <v>135</v>
      </c>
      <c r="BK79" t="s">
        <v>135</v>
      </c>
      <c r="BL79" t="s">
        <v>135</v>
      </c>
      <c r="BM79" t="s">
        <v>135</v>
      </c>
      <c r="BN79" t="s">
        <v>135</v>
      </c>
      <c r="BO79" t="s">
        <v>135</v>
      </c>
      <c r="BP79" t="s">
        <v>135</v>
      </c>
      <c r="BQ79" t="s">
        <v>135</v>
      </c>
      <c r="BR79" t="s">
        <v>135</v>
      </c>
      <c r="BS79" t="s">
        <v>135</v>
      </c>
      <c r="BT79" t="s">
        <v>135</v>
      </c>
      <c r="BU79" t="s">
        <v>135</v>
      </c>
      <c r="BV79" t="s">
        <v>135</v>
      </c>
      <c r="BW79" t="s">
        <v>135</v>
      </c>
      <c r="BX79" t="s">
        <v>135</v>
      </c>
      <c r="BY79" t="s">
        <v>135</v>
      </c>
      <c r="BZ79" t="s">
        <v>135</v>
      </c>
      <c r="CA79" t="s">
        <v>135</v>
      </c>
      <c r="CB79" t="s">
        <v>135</v>
      </c>
      <c r="CC79" t="s">
        <v>135</v>
      </c>
      <c r="CD79" t="s">
        <v>135</v>
      </c>
      <c r="CE79" t="s">
        <v>135</v>
      </c>
      <c r="CF79" t="s">
        <v>135</v>
      </c>
      <c r="CG79" t="s">
        <v>135</v>
      </c>
      <c r="CH79" t="s">
        <v>135</v>
      </c>
      <c r="CI79" t="s">
        <v>135</v>
      </c>
      <c r="CJ79" t="s">
        <v>135</v>
      </c>
      <c r="CK79" t="s">
        <v>135</v>
      </c>
      <c r="CL79" t="s">
        <v>135</v>
      </c>
      <c r="CM79" t="s">
        <v>135</v>
      </c>
      <c r="CN79" t="s">
        <v>135</v>
      </c>
      <c r="CO79" t="s">
        <v>135</v>
      </c>
      <c r="CP79" t="s">
        <v>135</v>
      </c>
      <c r="CQ79" t="s">
        <v>135</v>
      </c>
      <c r="CR79" t="s">
        <v>135</v>
      </c>
      <c r="CS79" t="s">
        <v>135</v>
      </c>
      <c r="CT79" t="s">
        <v>135</v>
      </c>
      <c r="CU79" t="s">
        <v>135</v>
      </c>
      <c r="CV79" t="s">
        <v>135</v>
      </c>
      <c r="CW79" t="s">
        <v>135</v>
      </c>
      <c r="CX79" t="s">
        <v>135</v>
      </c>
      <c r="CY79" t="s">
        <v>135</v>
      </c>
      <c r="CZ79" t="s">
        <v>135</v>
      </c>
      <c r="DA79" t="s">
        <v>135</v>
      </c>
      <c r="DB79" t="s">
        <v>135</v>
      </c>
      <c r="DC79" t="s">
        <v>135</v>
      </c>
      <c r="DD79" t="s">
        <v>135</v>
      </c>
      <c r="DE79" t="s">
        <v>135</v>
      </c>
      <c r="DF79" t="s">
        <v>135</v>
      </c>
      <c r="DG79" t="s">
        <v>135</v>
      </c>
      <c r="DH79" t="s">
        <v>135</v>
      </c>
      <c r="DI79" t="s">
        <v>135</v>
      </c>
    </row>
    <row r="80" spans="1:113" x14ac:dyDescent="0.3">
      <c r="E80" t="s">
        <v>79</v>
      </c>
      <c r="F80" t="s">
        <v>135</v>
      </c>
      <c r="G80" t="s">
        <v>135</v>
      </c>
      <c r="H80" t="s">
        <v>135</v>
      </c>
      <c r="I80" t="s">
        <v>135</v>
      </c>
      <c r="J80" t="s">
        <v>135</v>
      </c>
      <c r="K80" t="s">
        <v>135</v>
      </c>
      <c r="L80" t="s">
        <v>135</v>
      </c>
      <c r="M80" t="s">
        <v>135</v>
      </c>
      <c r="N80" t="s">
        <v>135</v>
      </c>
      <c r="O80" t="s">
        <v>135</v>
      </c>
      <c r="P80" t="s">
        <v>135</v>
      </c>
      <c r="Q80" t="s">
        <v>135</v>
      </c>
      <c r="R80" t="s">
        <v>135</v>
      </c>
      <c r="S80" t="s">
        <v>135</v>
      </c>
      <c r="T80" t="s">
        <v>135</v>
      </c>
      <c r="U80" t="s">
        <v>135</v>
      </c>
      <c r="V80" t="s">
        <v>135</v>
      </c>
      <c r="W80" t="s">
        <v>135</v>
      </c>
      <c r="X80" t="s">
        <v>135</v>
      </c>
      <c r="Y80" t="s">
        <v>135</v>
      </c>
      <c r="Z80" t="s">
        <v>135</v>
      </c>
      <c r="AA80" t="s">
        <v>135</v>
      </c>
      <c r="AB80" t="s">
        <v>135</v>
      </c>
      <c r="AC80" t="s">
        <v>135</v>
      </c>
      <c r="AD80" t="s">
        <v>135</v>
      </c>
      <c r="AE80" t="s">
        <v>135</v>
      </c>
      <c r="AF80" t="s">
        <v>135</v>
      </c>
      <c r="AG80" t="s">
        <v>135</v>
      </c>
      <c r="AH80" t="s">
        <v>135</v>
      </c>
      <c r="AI80" t="s">
        <v>135</v>
      </c>
      <c r="AJ80" t="s">
        <v>135</v>
      </c>
      <c r="AK80" t="s">
        <v>135</v>
      </c>
      <c r="AL80" t="s">
        <v>135</v>
      </c>
      <c r="AM80" t="s">
        <v>135</v>
      </c>
      <c r="AN80" t="s">
        <v>135</v>
      </c>
      <c r="AO80" t="s">
        <v>135</v>
      </c>
      <c r="AP80" t="s">
        <v>135</v>
      </c>
      <c r="AQ80" t="s">
        <v>135</v>
      </c>
      <c r="AR80" t="s">
        <v>135</v>
      </c>
      <c r="AS80" t="s">
        <v>135</v>
      </c>
      <c r="AT80" t="s">
        <v>135</v>
      </c>
      <c r="AU80" t="s">
        <v>135</v>
      </c>
      <c r="AV80" t="s">
        <v>135</v>
      </c>
      <c r="AW80" t="s">
        <v>135</v>
      </c>
      <c r="AX80" t="s">
        <v>135</v>
      </c>
      <c r="AY80" t="s">
        <v>135</v>
      </c>
      <c r="AZ80" t="s">
        <v>135</v>
      </c>
      <c r="BA80" t="s">
        <v>135</v>
      </c>
      <c r="BB80" t="s">
        <v>135</v>
      </c>
      <c r="BC80" t="s">
        <v>135</v>
      </c>
      <c r="BD80" t="s">
        <v>135</v>
      </c>
      <c r="BE80" t="s">
        <v>135</v>
      </c>
      <c r="BF80" t="s">
        <v>135</v>
      </c>
      <c r="BG80" t="s">
        <v>135</v>
      </c>
      <c r="BH80" t="s">
        <v>135</v>
      </c>
      <c r="BI80" t="s">
        <v>135</v>
      </c>
      <c r="BJ80" t="s">
        <v>135</v>
      </c>
      <c r="BK80" t="s">
        <v>135</v>
      </c>
      <c r="BL80" t="s">
        <v>135</v>
      </c>
      <c r="BM80" t="s">
        <v>135</v>
      </c>
      <c r="BN80" t="s">
        <v>135</v>
      </c>
      <c r="BO80" t="s">
        <v>135</v>
      </c>
      <c r="BP80" t="s">
        <v>135</v>
      </c>
      <c r="BQ80" t="s">
        <v>135</v>
      </c>
      <c r="BR80" t="s">
        <v>135</v>
      </c>
      <c r="BS80" t="s">
        <v>135</v>
      </c>
      <c r="BT80" t="s">
        <v>135</v>
      </c>
      <c r="BU80" t="s">
        <v>135</v>
      </c>
      <c r="BV80" t="s">
        <v>135</v>
      </c>
      <c r="BW80" t="s">
        <v>135</v>
      </c>
      <c r="BX80" t="s">
        <v>135</v>
      </c>
      <c r="BY80" t="s">
        <v>135</v>
      </c>
      <c r="BZ80" t="s">
        <v>135</v>
      </c>
      <c r="CA80" t="s">
        <v>135</v>
      </c>
      <c r="CB80" t="s">
        <v>135</v>
      </c>
      <c r="CC80" t="s">
        <v>135</v>
      </c>
      <c r="CD80" t="s">
        <v>135</v>
      </c>
      <c r="CE80" t="s">
        <v>135</v>
      </c>
      <c r="CF80" t="s">
        <v>135</v>
      </c>
      <c r="CG80" t="s">
        <v>135</v>
      </c>
      <c r="CH80" t="s">
        <v>135</v>
      </c>
      <c r="CI80" t="s">
        <v>135</v>
      </c>
      <c r="CJ80" t="s">
        <v>135</v>
      </c>
      <c r="CK80" t="s">
        <v>135</v>
      </c>
      <c r="CL80" t="s">
        <v>135</v>
      </c>
      <c r="CM80" t="s">
        <v>135</v>
      </c>
      <c r="CN80" t="s">
        <v>135</v>
      </c>
      <c r="CO80" t="s">
        <v>135</v>
      </c>
      <c r="CP80" t="s">
        <v>135</v>
      </c>
      <c r="CQ80" t="s">
        <v>135</v>
      </c>
      <c r="CR80" t="s">
        <v>135</v>
      </c>
      <c r="CS80" t="s">
        <v>135</v>
      </c>
      <c r="CT80" t="s">
        <v>135</v>
      </c>
      <c r="CU80" t="s">
        <v>135</v>
      </c>
      <c r="CV80" t="s">
        <v>135</v>
      </c>
      <c r="CW80" t="s">
        <v>135</v>
      </c>
      <c r="CX80" t="s">
        <v>135</v>
      </c>
      <c r="CY80" t="s">
        <v>135</v>
      </c>
      <c r="CZ80" t="s">
        <v>135</v>
      </c>
      <c r="DA80" t="s">
        <v>135</v>
      </c>
      <c r="DB80" t="s">
        <v>135</v>
      </c>
      <c r="DC80" t="s">
        <v>135</v>
      </c>
      <c r="DD80" t="s">
        <v>135</v>
      </c>
      <c r="DE80" t="s">
        <v>135</v>
      </c>
      <c r="DF80" t="s">
        <v>135</v>
      </c>
      <c r="DG80" t="s">
        <v>135</v>
      </c>
      <c r="DH80" t="s">
        <v>135</v>
      </c>
      <c r="DI80" t="s">
        <v>135</v>
      </c>
    </row>
    <row r="81" spans="4:113" x14ac:dyDescent="0.3">
      <c r="E81" t="s">
        <v>80</v>
      </c>
      <c r="F81" t="s">
        <v>135</v>
      </c>
      <c r="G81" t="s">
        <v>135</v>
      </c>
      <c r="H81" t="s">
        <v>135</v>
      </c>
      <c r="I81" t="s">
        <v>135</v>
      </c>
      <c r="J81" t="s">
        <v>135</v>
      </c>
      <c r="K81" t="s">
        <v>135</v>
      </c>
      <c r="L81" t="s">
        <v>135</v>
      </c>
      <c r="M81" t="s">
        <v>135</v>
      </c>
      <c r="N81" t="s">
        <v>135</v>
      </c>
      <c r="O81" t="s">
        <v>135</v>
      </c>
      <c r="P81" t="s">
        <v>135</v>
      </c>
      <c r="Q81" t="s">
        <v>135</v>
      </c>
      <c r="R81" t="s">
        <v>135</v>
      </c>
      <c r="S81" t="s">
        <v>135</v>
      </c>
      <c r="T81" t="s">
        <v>135</v>
      </c>
      <c r="U81" t="s">
        <v>135</v>
      </c>
      <c r="V81" t="s">
        <v>135</v>
      </c>
      <c r="W81" t="s">
        <v>135</v>
      </c>
      <c r="X81" t="s">
        <v>135</v>
      </c>
      <c r="Y81" t="s">
        <v>135</v>
      </c>
      <c r="Z81" t="s">
        <v>135</v>
      </c>
      <c r="AA81" t="s">
        <v>135</v>
      </c>
      <c r="AB81" t="s">
        <v>135</v>
      </c>
      <c r="AC81" t="s">
        <v>135</v>
      </c>
      <c r="AD81" t="s">
        <v>135</v>
      </c>
      <c r="AE81" t="s">
        <v>135</v>
      </c>
      <c r="AF81" t="s">
        <v>135</v>
      </c>
      <c r="AG81" t="s">
        <v>135</v>
      </c>
      <c r="AH81" t="s">
        <v>135</v>
      </c>
      <c r="AI81" t="s">
        <v>135</v>
      </c>
      <c r="AJ81" t="s">
        <v>135</v>
      </c>
      <c r="AK81" t="s">
        <v>135</v>
      </c>
      <c r="AL81" t="s">
        <v>135</v>
      </c>
      <c r="AM81" t="s">
        <v>135</v>
      </c>
      <c r="AN81" t="s">
        <v>135</v>
      </c>
      <c r="AO81" t="s">
        <v>135</v>
      </c>
      <c r="AP81" t="s">
        <v>135</v>
      </c>
      <c r="AQ81" t="s">
        <v>135</v>
      </c>
      <c r="AR81" t="s">
        <v>135</v>
      </c>
      <c r="AS81" t="s">
        <v>135</v>
      </c>
      <c r="AT81" t="s">
        <v>135</v>
      </c>
      <c r="AU81" t="s">
        <v>135</v>
      </c>
      <c r="AV81" t="s">
        <v>135</v>
      </c>
      <c r="AW81" t="s">
        <v>135</v>
      </c>
      <c r="AX81" t="s">
        <v>135</v>
      </c>
      <c r="AY81" t="s">
        <v>135</v>
      </c>
      <c r="AZ81" t="s">
        <v>135</v>
      </c>
      <c r="BA81" t="s">
        <v>135</v>
      </c>
      <c r="BB81" t="s">
        <v>135</v>
      </c>
      <c r="BC81" t="s">
        <v>135</v>
      </c>
      <c r="BD81" t="s">
        <v>135</v>
      </c>
      <c r="BE81" t="s">
        <v>135</v>
      </c>
      <c r="BF81" t="s">
        <v>135</v>
      </c>
      <c r="BG81" t="s">
        <v>135</v>
      </c>
      <c r="BH81" t="s">
        <v>135</v>
      </c>
      <c r="BI81" t="s">
        <v>135</v>
      </c>
      <c r="BJ81" t="s">
        <v>135</v>
      </c>
      <c r="BK81" t="s">
        <v>135</v>
      </c>
      <c r="BL81" t="s">
        <v>135</v>
      </c>
      <c r="BM81" t="s">
        <v>135</v>
      </c>
      <c r="BN81" t="s">
        <v>135</v>
      </c>
      <c r="BO81" t="s">
        <v>135</v>
      </c>
      <c r="BP81" t="s">
        <v>135</v>
      </c>
      <c r="BQ81" t="s">
        <v>135</v>
      </c>
      <c r="BR81" t="s">
        <v>135</v>
      </c>
      <c r="BS81" t="s">
        <v>135</v>
      </c>
      <c r="BT81" t="s">
        <v>135</v>
      </c>
      <c r="BU81" t="s">
        <v>135</v>
      </c>
      <c r="BV81" t="s">
        <v>135</v>
      </c>
      <c r="BW81" t="s">
        <v>135</v>
      </c>
      <c r="BX81" t="s">
        <v>135</v>
      </c>
      <c r="BY81" t="s">
        <v>135</v>
      </c>
      <c r="BZ81" t="s">
        <v>135</v>
      </c>
      <c r="CA81" t="s">
        <v>135</v>
      </c>
      <c r="CB81" t="s">
        <v>135</v>
      </c>
      <c r="CC81" t="s">
        <v>135</v>
      </c>
      <c r="CD81" t="s">
        <v>135</v>
      </c>
      <c r="CE81" t="s">
        <v>135</v>
      </c>
      <c r="CF81" t="s">
        <v>135</v>
      </c>
      <c r="CG81" t="s">
        <v>135</v>
      </c>
      <c r="CH81" t="s">
        <v>135</v>
      </c>
      <c r="CI81" t="s">
        <v>135</v>
      </c>
      <c r="CJ81" t="s">
        <v>135</v>
      </c>
      <c r="CK81" t="s">
        <v>135</v>
      </c>
      <c r="CL81" t="s">
        <v>135</v>
      </c>
      <c r="CM81" t="s">
        <v>135</v>
      </c>
      <c r="CN81" t="s">
        <v>135</v>
      </c>
      <c r="CO81" t="s">
        <v>135</v>
      </c>
      <c r="CP81" t="s">
        <v>135</v>
      </c>
      <c r="CQ81" t="s">
        <v>135</v>
      </c>
      <c r="CR81" t="s">
        <v>135</v>
      </c>
      <c r="CS81" t="s">
        <v>135</v>
      </c>
      <c r="CT81" t="s">
        <v>135</v>
      </c>
      <c r="CU81" t="s">
        <v>135</v>
      </c>
      <c r="CV81" t="s">
        <v>135</v>
      </c>
      <c r="CW81" t="s">
        <v>135</v>
      </c>
      <c r="CX81" t="s">
        <v>135</v>
      </c>
      <c r="CY81" t="s">
        <v>135</v>
      </c>
      <c r="CZ81" t="s">
        <v>135</v>
      </c>
      <c r="DA81" t="s">
        <v>135</v>
      </c>
      <c r="DB81" t="s">
        <v>135</v>
      </c>
      <c r="DC81" t="s">
        <v>135</v>
      </c>
      <c r="DD81" t="s">
        <v>135</v>
      </c>
      <c r="DE81" t="s">
        <v>135</v>
      </c>
      <c r="DF81" t="s">
        <v>135</v>
      </c>
      <c r="DG81" t="s">
        <v>135</v>
      </c>
      <c r="DH81" t="s">
        <v>135</v>
      </c>
      <c r="DI81" t="s">
        <v>135</v>
      </c>
    </row>
    <row r="82" spans="4:113" x14ac:dyDescent="0.3">
      <c r="E82" t="s">
        <v>81</v>
      </c>
      <c r="F82" t="s">
        <v>135</v>
      </c>
      <c r="G82" t="s">
        <v>135</v>
      </c>
      <c r="H82" t="s">
        <v>135</v>
      </c>
      <c r="I82" t="s">
        <v>135</v>
      </c>
      <c r="J82" t="s">
        <v>135</v>
      </c>
      <c r="K82" t="s">
        <v>135</v>
      </c>
      <c r="L82" t="s">
        <v>135</v>
      </c>
      <c r="M82" t="s">
        <v>135</v>
      </c>
      <c r="N82" t="s">
        <v>135</v>
      </c>
      <c r="O82" t="s">
        <v>135</v>
      </c>
      <c r="P82" t="s">
        <v>135</v>
      </c>
      <c r="Q82" t="s">
        <v>135</v>
      </c>
      <c r="R82" t="s">
        <v>135</v>
      </c>
      <c r="S82" t="s">
        <v>135</v>
      </c>
      <c r="T82" t="s">
        <v>135</v>
      </c>
      <c r="U82" t="s">
        <v>135</v>
      </c>
      <c r="V82" t="s">
        <v>135</v>
      </c>
      <c r="W82" t="s">
        <v>135</v>
      </c>
      <c r="X82" t="s">
        <v>135</v>
      </c>
      <c r="Y82" t="s">
        <v>135</v>
      </c>
      <c r="Z82" t="s">
        <v>135</v>
      </c>
      <c r="AA82" t="s">
        <v>135</v>
      </c>
      <c r="AB82" t="s">
        <v>135</v>
      </c>
      <c r="AC82" t="s">
        <v>135</v>
      </c>
      <c r="AD82" t="s">
        <v>135</v>
      </c>
      <c r="AE82" t="s">
        <v>135</v>
      </c>
      <c r="AF82" t="s">
        <v>135</v>
      </c>
      <c r="AG82" t="s">
        <v>135</v>
      </c>
      <c r="AH82" t="s">
        <v>135</v>
      </c>
      <c r="AI82" t="s">
        <v>135</v>
      </c>
      <c r="AJ82" t="s">
        <v>135</v>
      </c>
      <c r="AK82" t="s">
        <v>135</v>
      </c>
      <c r="AL82" t="s">
        <v>135</v>
      </c>
      <c r="AM82" t="s">
        <v>135</v>
      </c>
      <c r="AN82" t="s">
        <v>135</v>
      </c>
      <c r="AO82" t="s">
        <v>135</v>
      </c>
      <c r="AP82" t="s">
        <v>135</v>
      </c>
      <c r="AQ82" t="s">
        <v>135</v>
      </c>
      <c r="AR82" t="s">
        <v>135</v>
      </c>
      <c r="AS82" t="s">
        <v>135</v>
      </c>
      <c r="AT82" t="s">
        <v>135</v>
      </c>
      <c r="AU82" t="s">
        <v>135</v>
      </c>
      <c r="AV82" t="s">
        <v>135</v>
      </c>
      <c r="AW82" t="s">
        <v>135</v>
      </c>
      <c r="AX82" t="s">
        <v>135</v>
      </c>
      <c r="AY82" t="s">
        <v>135</v>
      </c>
      <c r="AZ82" t="s">
        <v>135</v>
      </c>
      <c r="BA82" t="s">
        <v>135</v>
      </c>
      <c r="BB82" t="s">
        <v>135</v>
      </c>
      <c r="BC82" t="s">
        <v>135</v>
      </c>
      <c r="BD82" t="s">
        <v>135</v>
      </c>
      <c r="BE82" t="s">
        <v>135</v>
      </c>
      <c r="BF82" t="s">
        <v>135</v>
      </c>
      <c r="BG82" t="s">
        <v>135</v>
      </c>
      <c r="BH82" t="s">
        <v>135</v>
      </c>
      <c r="BI82" t="s">
        <v>135</v>
      </c>
      <c r="BJ82" t="s">
        <v>135</v>
      </c>
      <c r="BK82" t="s">
        <v>135</v>
      </c>
      <c r="BL82" t="s">
        <v>135</v>
      </c>
      <c r="BM82" t="s">
        <v>135</v>
      </c>
      <c r="BN82" t="s">
        <v>135</v>
      </c>
      <c r="BO82" t="s">
        <v>135</v>
      </c>
      <c r="BP82" t="s">
        <v>135</v>
      </c>
      <c r="BQ82" t="s">
        <v>135</v>
      </c>
      <c r="BR82" t="s">
        <v>135</v>
      </c>
      <c r="BS82" t="s">
        <v>135</v>
      </c>
      <c r="BT82" t="s">
        <v>135</v>
      </c>
      <c r="BU82" t="s">
        <v>135</v>
      </c>
      <c r="BV82" t="s">
        <v>135</v>
      </c>
      <c r="BW82" t="s">
        <v>135</v>
      </c>
      <c r="BX82" t="s">
        <v>135</v>
      </c>
      <c r="BY82" t="s">
        <v>135</v>
      </c>
      <c r="BZ82" t="s">
        <v>135</v>
      </c>
      <c r="CA82" t="s">
        <v>135</v>
      </c>
      <c r="CB82" t="s">
        <v>135</v>
      </c>
      <c r="CC82" t="s">
        <v>135</v>
      </c>
      <c r="CD82" t="s">
        <v>135</v>
      </c>
      <c r="CE82" t="s">
        <v>135</v>
      </c>
      <c r="CF82" t="s">
        <v>135</v>
      </c>
      <c r="CG82" t="s">
        <v>135</v>
      </c>
      <c r="CH82" t="s">
        <v>135</v>
      </c>
      <c r="CI82" t="s">
        <v>135</v>
      </c>
      <c r="CJ82" t="s">
        <v>135</v>
      </c>
      <c r="CK82" t="s">
        <v>135</v>
      </c>
      <c r="CL82" t="s">
        <v>135</v>
      </c>
      <c r="CM82" t="s">
        <v>135</v>
      </c>
      <c r="CN82" t="s">
        <v>135</v>
      </c>
      <c r="CO82" t="s">
        <v>135</v>
      </c>
      <c r="CP82" t="s">
        <v>135</v>
      </c>
      <c r="CQ82" t="s">
        <v>135</v>
      </c>
      <c r="CR82" t="s">
        <v>135</v>
      </c>
      <c r="CS82" t="s">
        <v>135</v>
      </c>
      <c r="CT82" t="s">
        <v>135</v>
      </c>
      <c r="CU82" t="s">
        <v>135</v>
      </c>
      <c r="CV82" t="s">
        <v>135</v>
      </c>
      <c r="CW82" t="s">
        <v>135</v>
      </c>
      <c r="CX82" t="s">
        <v>135</v>
      </c>
      <c r="CY82" t="s">
        <v>135</v>
      </c>
      <c r="CZ82" t="s">
        <v>135</v>
      </c>
      <c r="DA82" t="s">
        <v>135</v>
      </c>
      <c r="DB82" t="s">
        <v>135</v>
      </c>
      <c r="DC82" t="s">
        <v>135</v>
      </c>
      <c r="DD82" t="s">
        <v>135</v>
      </c>
      <c r="DE82" t="s">
        <v>135</v>
      </c>
      <c r="DF82" t="s">
        <v>135</v>
      </c>
      <c r="DG82" t="s">
        <v>135</v>
      </c>
      <c r="DH82" t="s">
        <v>135</v>
      </c>
      <c r="DI82" t="s">
        <v>135</v>
      </c>
    </row>
    <row r="83" spans="4:113" x14ac:dyDescent="0.3">
      <c r="D83" t="s">
        <v>82</v>
      </c>
      <c r="E83" t="s">
        <v>77</v>
      </c>
      <c r="F83">
        <v>21.985800000000001</v>
      </c>
      <c r="G83">
        <v>1.2094</v>
      </c>
      <c r="H83" t="s">
        <v>135</v>
      </c>
      <c r="I83">
        <v>20.3048</v>
      </c>
      <c r="J83" t="s">
        <v>135</v>
      </c>
      <c r="K83">
        <v>2.5522999999999998</v>
      </c>
      <c r="L83">
        <v>0.86909999999999998</v>
      </c>
      <c r="M83">
        <v>3.5688</v>
      </c>
      <c r="N83">
        <v>3.5065</v>
      </c>
      <c r="O83">
        <v>3.5065</v>
      </c>
      <c r="P83">
        <v>3.5065</v>
      </c>
      <c r="Q83">
        <v>1.7439</v>
      </c>
      <c r="R83" t="s">
        <v>135</v>
      </c>
      <c r="S83" t="s">
        <v>135</v>
      </c>
      <c r="T83">
        <v>33.516199999999998</v>
      </c>
      <c r="U83" t="s">
        <v>135</v>
      </c>
      <c r="V83">
        <v>9.3468</v>
      </c>
      <c r="W83">
        <v>11.9703</v>
      </c>
      <c r="X83">
        <v>11.9505</v>
      </c>
      <c r="Y83" t="s">
        <v>135</v>
      </c>
      <c r="Z83" t="s">
        <v>135</v>
      </c>
      <c r="AA83" t="s">
        <v>135</v>
      </c>
      <c r="AB83">
        <v>-3.1558000000000002</v>
      </c>
      <c r="AC83">
        <v>22.229800000000001</v>
      </c>
      <c r="AD83" t="s">
        <v>135</v>
      </c>
      <c r="AE83" t="s">
        <v>135</v>
      </c>
      <c r="AF83" t="s">
        <v>135</v>
      </c>
      <c r="AG83" t="s">
        <v>135</v>
      </c>
      <c r="AH83" t="s">
        <v>135</v>
      </c>
      <c r="AI83">
        <v>20.8567</v>
      </c>
      <c r="AJ83">
        <v>20.8567</v>
      </c>
      <c r="AK83">
        <v>20.8567</v>
      </c>
      <c r="AL83">
        <v>516.49350000000004</v>
      </c>
      <c r="AM83" t="s">
        <v>135</v>
      </c>
      <c r="AN83" t="s">
        <v>135</v>
      </c>
      <c r="AO83" t="s">
        <v>135</v>
      </c>
      <c r="AP83" t="s">
        <v>135</v>
      </c>
      <c r="AQ83" t="s">
        <v>135</v>
      </c>
      <c r="AR83" t="s">
        <v>135</v>
      </c>
      <c r="AS83" t="s">
        <v>135</v>
      </c>
      <c r="AT83" t="s">
        <v>135</v>
      </c>
      <c r="AU83" t="s">
        <v>135</v>
      </c>
      <c r="AV83" t="s">
        <v>135</v>
      </c>
      <c r="AW83" t="s">
        <v>135</v>
      </c>
      <c r="AX83" t="s">
        <v>135</v>
      </c>
      <c r="AY83" t="s">
        <v>135</v>
      </c>
      <c r="AZ83" t="s">
        <v>135</v>
      </c>
      <c r="BA83" t="s">
        <v>135</v>
      </c>
      <c r="BB83" t="s">
        <v>135</v>
      </c>
      <c r="BC83" t="s">
        <v>135</v>
      </c>
      <c r="BD83" t="s">
        <v>135</v>
      </c>
      <c r="BE83" t="s">
        <v>135</v>
      </c>
      <c r="BF83">
        <v>33.516199999999998</v>
      </c>
      <c r="BG83" t="s">
        <v>135</v>
      </c>
      <c r="BH83">
        <v>9.3468</v>
      </c>
      <c r="BI83">
        <v>11.9703</v>
      </c>
      <c r="BJ83">
        <v>11.9505</v>
      </c>
      <c r="BK83" t="s">
        <v>135</v>
      </c>
      <c r="BL83" t="s">
        <v>135</v>
      </c>
      <c r="BM83" t="s">
        <v>135</v>
      </c>
      <c r="BN83">
        <v>-3.1558000000000002</v>
      </c>
      <c r="BO83">
        <v>22.229800000000001</v>
      </c>
      <c r="BP83" t="s">
        <v>135</v>
      </c>
      <c r="BQ83" t="s">
        <v>135</v>
      </c>
      <c r="BR83" t="s">
        <v>135</v>
      </c>
      <c r="BS83" t="s">
        <v>135</v>
      </c>
      <c r="BT83" t="s">
        <v>135</v>
      </c>
      <c r="BU83">
        <v>20.8567</v>
      </c>
      <c r="BV83">
        <v>20.8567</v>
      </c>
      <c r="BW83">
        <v>20.8567</v>
      </c>
      <c r="BX83" t="s">
        <v>135</v>
      </c>
      <c r="BY83">
        <v>0</v>
      </c>
      <c r="BZ83" t="s">
        <v>135</v>
      </c>
      <c r="CA83">
        <v>0</v>
      </c>
      <c r="CB83" t="s">
        <v>135</v>
      </c>
      <c r="CC83" t="s">
        <v>135</v>
      </c>
      <c r="CD83">
        <v>0</v>
      </c>
      <c r="CE83">
        <v>-4.2550999999999997</v>
      </c>
      <c r="CF83" t="s">
        <v>135</v>
      </c>
      <c r="CG83">
        <v>5.4725999999999999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-62.2181</v>
      </c>
      <c r="CO83">
        <v>-164.6771</v>
      </c>
      <c r="CP83" t="s">
        <v>135</v>
      </c>
      <c r="CQ83" t="s">
        <v>135</v>
      </c>
      <c r="CR83">
        <v>5931.19</v>
      </c>
      <c r="CS83" t="s">
        <v>135</v>
      </c>
      <c r="CT83" t="s">
        <v>135</v>
      </c>
      <c r="CU83" t="s">
        <v>135</v>
      </c>
      <c r="CV83" t="s">
        <v>135</v>
      </c>
      <c r="CW83" t="s">
        <v>135</v>
      </c>
      <c r="CX83" t="s">
        <v>135</v>
      </c>
      <c r="CY83" t="s">
        <v>135</v>
      </c>
      <c r="CZ83" t="s">
        <v>135</v>
      </c>
      <c r="DA83" t="s">
        <v>135</v>
      </c>
      <c r="DB83" t="s">
        <v>135</v>
      </c>
      <c r="DC83" t="s">
        <v>135</v>
      </c>
      <c r="DD83" t="s">
        <v>135</v>
      </c>
      <c r="DE83" t="s">
        <v>135</v>
      </c>
      <c r="DF83" t="s">
        <v>135</v>
      </c>
      <c r="DG83" t="s">
        <v>135</v>
      </c>
      <c r="DH83" t="s">
        <v>135</v>
      </c>
      <c r="DI83" t="s">
        <v>135</v>
      </c>
    </row>
    <row r="84" spans="4:113" x14ac:dyDescent="0.3">
      <c r="E84" t="s">
        <v>78</v>
      </c>
      <c r="F84" t="s">
        <v>135</v>
      </c>
      <c r="G84" t="s">
        <v>135</v>
      </c>
      <c r="H84" t="s">
        <v>135</v>
      </c>
      <c r="I84" t="s">
        <v>135</v>
      </c>
      <c r="J84" t="s">
        <v>135</v>
      </c>
      <c r="K84" t="s">
        <v>135</v>
      </c>
      <c r="L84" t="s">
        <v>135</v>
      </c>
      <c r="M84" t="s">
        <v>135</v>
      </c>
      <c r="N84" t="s">
        <v>135</v>
      </c>
      <c r="O84" t="s">
        <v>135</v>
      </c>
      <c r="P84" t="s">
        <v>135</v>
      </c>
      <c r="Q84" t="s">
        <v>135</v>
      </c>
      <c r="R84" t="s">
        <v>135</v>
      </c>
      <c r="S84" t="s">
        <v>135</v>
      </c>
      <c r="T84" t="s">
        <v>135</v>
      </c>
      <c r="U84" t="s">
        <v>135</v>
      </c>
      <c r="V84" t="s">
        <v>135</v>
      </c>
      <c r="W84" t="s">
        <v>135</v>
      </c>
      <c r="X84" t="s">
        <v>135</v>
      </c>
      <c r="Y84" t="s">
        <v>135</v>
      </c>
      <c r="Z84" t="s">
        <v>135</v>
      </c>
      <c r="AA84" t="s">
        <v>135</v>
      </c>
      <c r="AB84" t="s">
        <v>135</v>
      </c>
      <c r="AC84" t="s">
        <v>135</v>
      </c>
      <c r="AD84" t="s">
        <v>135</v>
      </c>
      <c r="AE84" t="s">
        <v>135</v>
      </c>
      <c r="AF84" t="s">
        <v>135</v>
      </c>
      <c r="AG84" t="s">
        <v>135</v>
      </c>
      <c r="AH84" t="s">
        <v>135</v>
      </c>
      <c r="AI84" t="s">
        <v>135</v>
      </c>
      <c r="AJ84" t="s">
        <v>135</v>
      </c>
      <c r="AK84" t="s">
        <v>135</v>
      </c>
      <c r="AL84" t="s">
        <v>135</v>
      </c>
      <c r="AM84" t="s">
        <v>135</v>
      </c>
      <c r="AN84" t="s">
        <v>135</v>
      </c>
      <c r="AO84" t="s">
        <v>135</v>
      </c>
      <c r="AP84" t="s">
        <v>135</v>
      </c>
      <c r="AQ84" t="s">
        <v>135</v>
      </c>
      <c r="AR84" t="s">
        <v>135</v>
      </c>
      <c r="AS84" t="s">
        <v>135</v>
      </c>
      <c r="AT84" t="s">
        <v>135</v>
      </c>
      <c r="AU84" t="s">
        <v>135</v>
      </c>
      <c r="AV84" t="s">
        <v>135</v>
      </c>
      <c r="AW84" t="s">
        <v>135</v>
      </c>
      <c r="AX84" t="s">
        <v>135</v>
      </c>
      <c r="AY84" t="s">
        <v>135</v>
      </c>
      <c r="AZ84" t="s">
        <v>135</v>
      </c>
      <c r="BA84" t="s">
        <v>135</v>
      </c>
      <c r="BB84" t="s">
        <v>135</v>
      </c>
      <c r="BC84" t="s">
        <v>135</v>
      </c>
      <c r="BD84" t="s">
        <v>135</v>
      </c>
      <c r="BE84" t="s">
        <v>135</v>
      </c>
      <c r="BF84" t="s">
        <v>135</v>
      </c>
      <c r="BG84" t="s">
        <v>135</v>
      </c>
      <c r="BH84" t="s">
        <v>135</v>
      </c>
      <c r="BI84" t="s">
        <v>135</v>
      </c>
      <c r="BJ84" t="s">
        <v>135</v>
      </c>
      <c r="BK84" t="s">
        <v>135</v>
      </c>
      <c r="BL84" t="s">
        <v>135</v>
      </c>
      <c r="BM84" t="s">
        <v>135</v>
      </c>
      <c r="BN84" t="s">
        <v>135</v>
      </c>
      <c r="BO84" t="s">
        <v>135</v>
      </c>
      <c r="BP84" t="s">
        <v>135</v>
      </c>
      <c r="BQ84" t="s">
        <v>135</v>
      </c>
      <c r="BR84" t="s">
        <v>135</v>
      </c>
      <c r="BS84" t="s">
        <v>135</v>
      </c>
      <c r="BT84" t="s">
        <v>135</v>
      </c>
      <c r="BU84" t="s">
        <v>135</v>
      </c>
      <c r="BV84" t="s">
        <v>135</v>
      </c>
      <c r="BW84" t="s">
        <v>135</v>
      </c>
      <c r="BX84" t="s">
        <v>135</v>
      </c>
      <c r="BY84" t="s">
        <v>135</v>
      </c>
      <c r="BZ84" t="s">
        <v>135</v>
      </c>
      <c r="CA84" t="s">
        <v>135</v>
      </c>
      <c r="CB84" t="s">
        <v>135</v>
      </c>
      <c r="CC84" t="s">
        <v>135</v>
      </c>
      <c r="CD84" t="s">
        <v>135</v>
      </c>
      <c r="CE84" t="s">
        <v>135</v>
      </c>
      <c r="CF84" t="s">
        <v>135</v>
      </c>
      <c r="CG84" t="s">
        <v>135</v>
      </c>
      <c r="CH84" t="s">
        <v>135</v>
      </c>
      <c r="CI84" t="s">
        <v>135</v>
      </c>
      <c r="CJ84" t="s">
        <v>135</v>
      </c>
      <c r="CK84" t="s">
        <v>135</v>
      </c>
      <c r="CL84" t="s">
        <v>135</v>
      </c>
      <c r="CM84" t="s">
        <v>135</v>
      </c>
      <c r="CN84" t="s">
        <v>135</v>
      </c>
      <c r="CO84" t="s">
        <v>135</v>
      </c>
      <c r="CP84" t="s">
        <v>135</v>
      </c>
      <c r="CQ84" t="s">
        <v>135</v>
      </c>
      <c r="CR84" t="s">
        <v>135</v>
      </c>
      <c r="CS84" t="s">
        <v>135</v>
      </c>
      <c r="CT84" t="s">
        <v>135</v>
      </c>
      <c r="CU84" t="s">
        <v>135</v>
      </c>
      <c r="CV84" t="s">
        <v>135</v>
      </c>
      <c r="CW84" t="s">
        <v>135</v>
      </c>
      <c r="CX84" t="s">
        <v>135</v>
      </c>
      <c r="CY84" t="s">
        <v>135</v>
      </c>
      <c r="CZ84" t="s">
        <v>135</v>
      </c>
      <c r="DA84" t="s">
        <v>135</v>
      </c>
      <c r="DB84" t="s">
        <v>135</v>
      </c>
      <c r="DC84" t="s">
        <v>135</v>
      </c>
      <c r="DD84" t="s">
        <v>135</v>
      </c>
      <c r="DE84" t="s">
        <v>135</v>
      </c>
      <c r="DF84" t="s">
        <v>135</v>
      </c>
      <c r="DG84" t="s">
        <v>135</v>
      </c>
      <c r="DH84" t="s">
        <v>135</v>
      </c>
      <c r="DI84" t="s">
        <v>135</v>
      </c>
    </row>
    <row r="85" spans="4:113" x14ac:dyDescent="0.3">
      <c r="E85" t="s">
        <v>79</v>
      </c>
      <c r="F85" t="s">
        <v>135</v>
      </c>
      <c r="G85" t="s">
        <v>135</v>
      </c>
      <c r="H85" t="s">
        <v>135</v>
      </c>
      <c r="I85" t="s">
        <v>135</v>
      </c>
      <c r="J85" t="s">
        <v>135</v>
      </c>
      <c r="K85" t="s">
        <v>135</v>
      </c>
      <c r="L85" t="s">
        <v>135</v>
      </c>
      <c r="M85" t="s">
        <v>135</v>
      </c>
      <c r="N85" t="s">
        <v>135</v>
      </c>
      <c r="O85" t="s">
        <v>135</v>
      </c>
      <c r="P85" t="s">
        <v>135</v>
      </c>
      <c r="Q85" t="s">
        <v>135</v>
      </c>
      <c r="R85" t="s">
        <v>135</v>
      </c>
      <c r="S85" t="s">
        <v>135</v>
      </c>
      <c r="T85" t="s">
        <v>135</v>
      </c>
      <c r="U85" t="s">
        <v>135</v>
      </c>
      <c r="V85" t="s">
        <v>135</v>
      </c>
      <c r="W85" t="s">
        <v>135</v>
      </c>
      <c r="X85" t="s">
        <v>135</v>
      </c>
      <c r="Y85" t="s">
        <v>135</v>
      </c>
      <c r="Z85" t="s">
        <v>135</v>
      </c>
      <c r="AA85" t="s">
        <v>135</v>
      </c>
      <c r="AB85" t="s">
        <v>135</v>
      </c>
      <c r="AC85" t="s">
        <v>135</v>
      </c>
      <c r="AD85" t="s">
        <v>135</v>
      </c>
      <c r="AE85" t="s">
        <v>135</v>
      </c>
      <c r="AF85" t="s">
        <v>135</v>
      </c>
      <c r="AG85" t="s">
        <v>135</v>
      </c>
      <c r="AH85" t="s">
        <v>135</v>
      </c>
      <c r="AI85" t="s">
        <v>135</v>
      </c>
      <c r="AJ85" t="s">
        <v>135</v>
      </c>
      <c r="AK85" t="s">
        <v>135</v>
      </c>
      <c r="AL85" t="s">
        <v>135</v>
      </c>
      <c r="AM85" t="s">
        <v>135</v>
      </c>
      <c r="AN85" t="s">
        <v>135</v>
      </c>
      <c r="AO85" t="s">
        <v>135</v>
      </c>
      <c r="AP85" t="s">
        <v>135</v>
      </c>
      <c r="AQ85" t="s">
        <v>135</v>
      </c>
      <c r="AR85" t="s">
        <v>135</v>
      </c>
      <c r="AS85" t="s">
        <v>135</v>
      </c>
      <c r="AT85" t="s">
        <v>135</v>
      </c>
      <c r="AU85" t="s">
        <v>135</v>
      </c>
      <c r="AV85" t="s">
        <v>135</v>
      </c>
      <c r="AW85" t="s">
        <v>135</v>
      </c>
      <c r="AX85" t="s">
        <v>135</v>
      </c>
      <c r="AY85" t="s">
        <v>135</v>
      </c>
      <c r="AZ85" t="s">
        <v>135</v>
      </c>
      <c r="BA85" t="s">
        <v>135</v>
      </c>
      <c r="BB85" t="s">
        <v>135</v>
      </c>
      <c r="BC85" t="s">
        <v>135</v>
      </c>
      <c r="BD85" t="s">
        <v>135</v>
      </c>
      <c r="BE85" t="s">
        <v>135</v>
      </c>
      <c r="BF85" t="s">
        <v>135</v>
      </c>
      <c r="BG85" t="s">
        <v>135</v>
      </c>
      <c r="BH85" t="s">
        <v>135</v>
      </c>
      <c r="BI85" t="s">
        <v>135</v>
      </c>
      <c r="BJ85" t="s">
        <v>135</v>
      </c>
      <c r="BK85" t="s">
        <v>135</v>
      </c>
      <c r="BL85" t="s">
        <v>135</v>
      </c>
      <c r="BM85" t="s">
        <v>135</v>
      </c>
      <c r="BN85" t="s">
        <v>135</v>
      </c>
      <c r="BO85" t="s">
        <v>135</v>
      </c>
      <c r="BP85" t="s">
        <v>135</v>
      </c>
      <c r="BQ85" t="s">
        <v>135</v>
      </c>
      <c r="BR85" t="s">
        <v>135</v>
      </c>
      <c r="BS85" t="s">
        <v>135</v>
      </c>
      <c r="BT85" t="s">
        <v>135</v>
      </c>
      <c r="BU85" t="s">
        <v>135</v>
      </c>
      <c r="BV85" t="s">
        <v>135</v>
      </c>
      <c r="BW85" t="s">
        <v>135</v>
      </c>
      <c r="BX85" t="s">
        <v>135</v>
      </c>
      <c r="BY85" t="s">
        <v>135</v>
      </c>
      <c r="BZ85" t="s">
        <v>135</v>
      </c>
      <c r="CA85" t="s">
        <v>135</v>
      </c>
      <c r="CB85" t="s">
        <v>135</v>
      </c>
      <c r="CC85" t="s">
        <v>135</v>
      </c>
      <c r="CD85" t="s">
        <v>135</v>
      </c>
      <c r="CE85" t="s">
        <v>135</v>
      </c>
      <c r="CF85" t="s">
        <v>135</v>
      </c>
      <c r="CG85" t="s">
        <v>135</v>
      </c>
      <c r="CH85" t="s">
        <v>135</v>
      </c>
      <c r="CI85" t="s">
        <v>135</v>
      </c>
      <c r="CJ85" t="s">
        <v>135</v>
      </c>
      <c r="CK85" t="s">
        <v>135</v>
      </c>
      <c r="CL85" t="s">
        <v>135</v>
      </c>
      <c r="CM85" t="s">
        <v>135</v>
      </c>
      <c r="CN85" t="s">
        <v>135</v>
      </c>
      <c r="CO85" t="s">
        <v>135</v>
      </c>
      <c r="CP85" t="s">
        <v>135</v>
      </c>
      <c r="CQ85" t="s">
        <v>135</v>
      </c>
      <c r="CR85" t="s">
        <v>135</v>
      </c>
      <c r="CS85" t="s">
        <v>135</v>
      </c>
      <c r="CT85" t="s">
        <v>135</v>
      </c>
      <c r="CU85" t="s">
        <v>135</v>
      </c>
      <c r="CV85" t="s">
        <v>135</v>
      </c>
      <c r="CW85" t="s">
        <v>135</v>
      </c>
      <c r="CX85" t="s">
        <v>135</v>
      </c>
      <c r="CY85" t="s">
        <v>135</v>
      </c>
      <c r="CZ85" t="s">
        <v>135</v>
      </c>
      <c r="DA85" t="s">
        <v>135</v>
      </c>
      <c r="DB85" t="s">
        <v>135</v>
      </c>
      <c r="DC85" t="s">
        <v>135</v>
      </c>
      <c r="DD85" t="s">
        <v>135</v>
      </c>
      <c r="DE85" t="s">
        <v>135</v>
      </c>
      <c r="DF85" t="s">
        <v>135</v>
      </c>
      <c r="DG85" t="s">
        <v>135</v>
      </c>
      <c r="DH85" t="s">
        <v>135</v>
      </c>
      <c r="DI85" t="s">
        <v>135</v>
      </c>
    </row>
    <row r="86" spans="4:113" x14ac:dyDescent="0.3">
      <c r="E86" t="s">
        <v>80</v>
      </c>
      <c r="F86" t="s">
        <v>135</v>
      </c>
      <c r="G86" t="s">
        <v>135</v>
      </c>
      <c r="H86" t="s">
        <v>135</v>
      </c>
      <c r="I86" t="s">
        <v>135</v>
      </c>
      <c r="J86" t="s">
        <v>135</v>
      </c>
      <c r="K86" t="s">
        <v>135</v>
      </c>
      <c r="L86" t="s">
        <v>135</v>
      </c>
      <c r="M86" t="s">
        <v>135</v>
      </c>
      <c r="N86" t="s">
        <v>135</v>
      </c>
      <c r="O86" t="s">
        <v>135</v>
      </c>
      <c r="P86" t="s">
        <v>135</v>
      </c>
      <c r="Q86" t="s">
        <v>135</v>
      </c>
      <c r="R86" t="s">
        <v>135</v>
      </c>
      <c r="S86" t="s">
        <v>135</v>
      </c>
      <c r="T86" t="s">
        <v>135</v>
      </c>
      <c r="U86" t="s">
        <v>135</v>
      </c>
      <c r="V86" t="s">
        <v>135</v>
      </c>
      <c r="W86" t="s">
        <v>135</v>
      </c>
      <c r="X86" t="s">
        <v>135</v>
      </c>
      <c r="Y86" t="s">
        <v>135</v>
      </c>
      <c r="Z86" t="s">
        <v>135</v>
      </c>
      <c r="AA86" t="s">
        <v>135</v>
      </c>
      <c r="AB86" t="s">
        <v>135</v>
      </c>
      <c r="AC86" t="s">
        <v>135</v>
      </c>
      <c r="AD86" t="s">
        <v>135</v>
      </c>
      <c r="AE86" t="s">
        <v>135</v>
      </c>
      <c r="AF86" t="s">
        <v>135</v>
      </c>
      <c r="AG86" t="s">
        <v>135</v>
      </c>
      <c r="AH86" t="s">
        <v>135</v>
      </c>
      <c r="AI86" t="s">
        <v>135</v>
      </c>
      <c r="AJ86" t="s">
        <v>135</v>
      </c>
      <c r="AK86" t="s">
        <v>135</v>
      </c>
      <c r="AL86" t="s">
        <v>135</v>
      </c>
      <c r="AM86" t="s">
        <v>135</v>
      </c>
      <c r="AN86" t="s">
        <v>135</v>
      </c>
      <c r="AO86" t="s">
        <v>135</v>
      </c>
      <c r="AP86" t="s">
        <v>135</v>
      </c>
      <c r="AQ86" t="s">
        <v>135</v>
      </c>
      <c r="AR86" t="s">
        <v>135</v>
      </c>
      <c r="AS86" t="s">
        <v>135</v>
      </c>
      <c r="AT86" t="s">
        <v>135</v>
      </c>
      <c r="AU86" t="s">
        <v>135</v>
      </c>
      <c r="AV86" t="s">
        <v>135</v>
      </c>
      <c r="AW86" t="s">
        <v>135</v>
      </c>
      <c r="AX86" t="s">
        <v>135</v>
      </c>
      <c r="AY86" t="s">
        <v>135</v>
      </c>
      <c r="AZ86" t="s">
        <v>135</v>
      </c>
      <c r="BA86" t="s">
        <v>135</v>
      </c>
      <c r="BB86" t="s">
        <v>135</v>
      </c>
      <c r="BC86" t="s">
        <v>135</v>
      </c>
      <c r="BD86" t="s">
        <v>135</v>
      </c>
      <c r="BE86" t="s">
        <v>135</v>
      </c>
      <c r="BF86" t="s">
        <v>135</v>
      </c>
      <c r="BG86" t="s">
        <v>135</v>
      </c>
      <c r="BH86" t="s">
        <v>135</v>
      </c>
      <c r="BI86" t="s">
        <v>135</v>
      </c>
      <c r="BJ86" t="s">
        <v>135</v>
      </c>
      <c r="BK86" t="s">
        <v>135</v>
      </c>
      <c r="BL86" t="s">
        <v>135</v>
      </c>
      <c r="BM86" t="s">
        <v>135</v>
      </c>
      <c r="BN86" t="s">
        <v>135</v>
      </c>
      <c r="BO86" t="s">
        <v>135</v>
      </c>
      <c r="BP86" t="s">
        <v>135</v>
      </c>
      <c r="BQ86" t="s">
        <v>135</v>
      </c>
      <c r="BR86" t="s">
        <v>135</v>
      </c>
      <c r="BS86" t="s">
        <v>135</v>
      </c>
      <c r="BT86" t="s">
        <v>135</v>
      </c>
      <c r="BU86" t="s">
        <v>135</v>
      </c>
      <c r="BV86" t="s">
        <v>135</v>
      </c>
      <c r="BW86" t="s">
        <v>135</v>
      </c>
      <c r="BX86" t="s">
        <v>135</v>
      </c>
      <c r="BY86" t="s">
        <v>135</v>
      </c>
      <c r="BZ86" t="s">
        <v>135</v>
      </c>
      <c r="CA86" t="s">
        <v>135</v>
      </c>
      <c r="CB86" t="s">
        <v>135</v>
      </c>
      <c r="CC86" t="s">
        <v>135</v>
      </c>
      <c r="CD86" t="s">
        <v>135</v>
      </c>
      <c r="CE86" t="s">
        <v>135</v>
      </c>
      <c r="CF86" t="s">
        <v>135</v>
      </c>
      <c r="CG86" t="s">
        <v>135</v>
      </c>
      <c r="CH86" t="s">
        <v>135</v>
      </c>
      <c r="CI86" t="s">
        <v>135</v>
      </c>
      <c r="CJ86" t="s">
        <v>135</v>
      </c>
      <c r="CK86" t="s">
        <v>135</v>
      </c>
      <c r="CL86" t="s">
        <v>135</v>
      </c>
      <c r="CM86" t="s">
        <v>135</v>
      </c>
      <c r="CN86" t="s">
        <v>135</v>
      </c>
      <c r="CO86" t="s">
        <v>135</v>
      </c>
      <c r="CP86" t="s">
        <v>135</v>
      </c>
      <c r="CQ86" t="s">
        <v>135</v>
      </c>
      <c r="CR86" t="s">
        <v>135</v>
      </c>
      <c r="CS86" t="s">
        <v>135</v>
      </c>
      <c r="CT86" t="s">
        <v>135</v>
      </c>
      <c r="CU86" t="s">
        <v>135</v>
      </c>
      <c r="CV86" t="s">
        <v>135</v>
      </c>
      <c r="CW86" t="s">
        <v>135</v>
      </c>
      <c r="CX86" t="s">
        <v>135</v>
      </c>
      <c r="CY86" t="s">
        <v>135</v>
      </c>
      <c r="CZ86" t="s">
        <v>135</v>
      </c>
      <c r="DA86" t="s">
        <v>135</v>
      </c>
      <c r="DB86" t="s">
        <v>135</v>
      </c>
      <c r="DC86" t="s">
        <v>135</v>
      </c>
      <c r="DD86" t="s">
        <v>135</v>
      </c>
      <c r="DE86" t="s">
        <v>135</v>
      </c>
      <c r="DF86" t="s">
        <v>135</v>
      </c>
      <c r="DG86" t="s">
        <v>135</v>
      </c>
      <c r="DH86" t="s">
        <v>135</v>
      </c>
      <c r="DI86" t="s">
        <v>135</v>
      </c>
    </row>
    <row r="87" spans="4:113" x14ac:dyDescent="0.3">
      <c r="E87" t="s">
        <v>81</v>
      </c>
      <c r="F87" t="s">
        <v>135</v>
      </c>
      <c r="G87" t="s">
        <v>135</v>
      </c>
      <c r="H87" t="s">
        <v>135</v>
      </c>
      <c r="I87" t="s">
        <v>135</v>
      </c>
      <c r="J87" t="s">
        <v>135</v>
      </c>
      <c r="K87" t="s">
        <v>135</v>
      </c>
      <c r="L87" t="s">
        <v>135</v>
      </c>
      <c r="M87" t="s">
        <v>135</v>
      </c>
      <c r="N87" t="s">
        <v>135</v>
      </c>
      <c r="O87" t="s">
        <v>135</v>
      </c>
      <c r="P87" t="s">
        <v>135</v>
      </c>
      <c r="Q87" t="s">
        <v>135</v>
      </c>
      <c r="R87" t="s">
        <v>135</v>
      </c>
      <c r="S87" t="s">
        <v>135</v>
      </c>
      <c r="T87" t="s">
        <v>135</v>
      </c>
      <c r="U87" t="s">
        <v>135</v>
      </c>
      <c r="V87" t="s">
        <v>135</v>
      </c>
      <c r="W87" t="s">
        <v>135</v>
      </c>
      <c r="X87" t="s">
        <v>135</v>
      </c>
      <c r="Y87" t="s">
        <v>135</v>
      </c>
      <c r="Z87" t="s">
        <v>135</v>
      </c>
      <c r="AA87" t="s">
        <v>135</v>
      </c>
      <c r="AB87" t="s">
        <v>135</v>
      </c>
      <c r="AC87" t="s">
        <v>135</v>
      </c>
      <c r="AD87" t="s">
        <v>135</v>
      </c>
      <c r="AE87" t="s">
        <v>135</v>
      </c>
      <c r="AF87" t="s">
        <v>135</v>
      </c>
      <c r="AG87" t="s">
        <v>135</v>
      </c>
      <c r="AH87" t="s">
        <v>135</v>
      </c>
      <c r="AI87" t="s">
        <v>135</v>
      </c>
      <c r="AJ87" t="s">
        <v>135</v>
      </c>
      <c r="AK87" t="s">
        <v>135</v>
      </c>
      <c r="AL87" t="s">
        <v>135</v>
      </c>
      <c r="AM87" t="s">
        <v>135</v>
      </c>
      <c r="AN87" t="s">
        <v>135</v>
      </c>
      <c r="AO87" t="s">
        <v>135</v>
      </c>
      <c r="AP87" t="s">
        <v>135</v>
      </c>
      <c r="AQ87" t="s">
        <v>135</v>
      </c>
      <c r="AR87" t="s">
        <v>135</v>
      </c>
      <c r="AS87" t="s">
        <v>135</v>
      </c>
      <c r="AT87" t="s">
        <v>135</v>
      </c>
      <c r="AU87" t="s">
        <v>135</v>
      </c>
      <c r="AV87" t="s">
        <v>135</v>
      </c>
      <c r="AW87" t="s">
        <v>135</v>
      </c>
      <c r="AX87" t="s">
        <v>135</v>
      </c>
      <c r="AY87" t="s">
        <v>135</v>
      </c>
      <c r="AZ87" t="s">
        <v>135</v>
      </c>
      <c r="BA87" t="s">
        <v>135</v>
      </c>
      <c r="BB87" t="s">
        <v>135</v>
      </c>
      <c r="BC87" t="s">
        <v>135</v>
      </c>
      <c r="BD87" t="s">
        <v>135</v>
      </c>
      <c r="BE87" t="s">
        <v>135</v>
      </c>
      <c r="BF87" t="s">
        <v>135</v>
      </c>
      <c r="BG87" t="s">
        <v>135</v>
      </c>
      <c r="BH87" t="s">
        <v>135</v>
      </c>
      <c r="BI87" t="s">
        <v>135</v>
      </c>
      <c r="BJ87" t="s">
        <v>135</v>
      </c>
      <c r="BK87" t="s">
        <v>135</v>
      </c>
      <c r="BL87" t="s">
        <v>135</v>
      </c>
      <c r="BM87" t="s">
        <v>135</v>
      </c>
      <c r="BN87" t="s">
        <v>135</v>
      </c>
      <c r="BO87" t="s">
        <v>135</v>
      </c>
      <c r="BP87" t="s">
        <v>135</v>
      </c>
      <c r="BQ87" t="s">
        <v>135</v>
      </c>
      <c r="BR87" t="s">
        <v>135</v>
      </c>
      <c r="BS87" t="s">
        <v>135</v>
      </c>
      <c r="BT87" t="s">
        <v>135</v>
      </c>
      <c r="BU87" t="s">
        <v>135</v>
      </c>
      <c r="BV87" t="s">
        <v>135</v>
      </c>
      <c r="BW87" t="s">
        <v>135</v>
      </c>
      <c r="BX87" t="s">
        <v>135</v>
      </c>
      <c r="BY87" t="s">
        <v>135</v>
      </c>
      <c r="BZ87" t="s">
        <v>135</v>
      </c>
      <c r="CA87" t="s">
        <v>135</v>
      </c>
      <c r="CB87" t="s">
        <v>135</v>
      </c>
      <c r="CC87" t="s">
        <v>135</v>
      </c>
      <c r="CD87" t="s">
        <v>135</v>
      </c>
      <c r="CE87" t="s">
        <v>135</v>
      </c>
      <c r="CF87" t="s">
        <v>135</v>
      </c>
      <c r="CG87" t="s">
        <v>135</v>
      </c>
      <c r="CH87" t="s">
        <v>135</v>
      </c>
      <c r="CI87" t="s">
        <v>135</v>
      </c>
      <c r="CJ87" t="s">
        <v>135</v>
      </c>
      <c r="CK87" t="s">
        <v>135</v>
      </c>
      <c r="CL87" t="s">
        <v>135</v>
      </c>
      <c r="CM87" t="s">
        <v>135</v>
      </c>
      <c r="CN87" t="s">
        <v>135</v>
      </c>
      <c r="CO87" t="s">
        <v>135</v>
      </c>
      <c r="CP87" t="s">
        <v>135</v>
      </c>
      <c r="CQ87" t="s">
        <v>135</v>
      </c>
      <c r="CR87" t="s">
        <v>135</v>
      </c>
      <c r="CS87" t="s">
        <v>135</v>
      </c>
      <c r="CT87" t="s">
        <v>135</v>
      </c>
      <c r="CU87" t="s">
        <v>135</v>
      </c>
      <c r="CV87" t="s">
        <v>135</v>
      </c>
      <c r="CW87" t="s">
        <v>135</v>
      </c>
      <c r="CX87" t="s">
        <v>135</v>
      </c>
      <c r="CY87" t="s">
        <v>135</v>
      </c>
      <c r="CZ87" t="s">
        <v>135</v>
      </c>
      <c r="DA87" t="s">
        <v>135</v>
      </c>
      <c r="DB87" t="s">
        <v>135</v>
      </c>
      <c r="DC87" t="s">
        <v>135</v>
      </c>
      <c r="DD87" t="s">
        <v>135</v>
      </c>
      <c r="DE87" t="s">
        <v>135</v>
      </c>
      <c r="DF87" t="s">
        <v>135</v>
      </c>
      <c r="DG87" t="s">
        <v>135</v>
      </c>
      <c r="DH87" t="s">
        <v>135</v>
      </c>
      <c r="DI87" t="s">
        <v>135</v>
      </c>
    </row>
    <row r="88" spans="4:113" x14ac:dyDescent="0.3">
      <c r="D88" t="s">
        <v>83</v>
      </c>
      <c r="E88" t="s">
        <v>77</v>
      </c>
      <c r="F88">
        <v>19.2072</v>
      </c>
      <c r="G88">
        <v>1.0714999999999999</v>
      </c>
      <c r="H88" t="s">
        <v>135</v>
      </c>
      <c r="I88">
        <v>17.4697</v>
      </c>
      <c r="J88" t="s">
        <v>135</v>
      </c>
      <c r="K88">
        <v>2.9855999999999998</v>
      </c>
      <c r="L88">
        <v>-0.5111</v>
      </c>
      <c r="M88">
        <v>4.4607000000000001</v>
      </c>
      <c r="N88">
        <v>4.4032999999999998</v>
      </c>
      <c r="O88">
        <v>4.4032999999999998</v>
      </c>
      <c r="P88">
        <v>4.4032999999999998</v>
      </c>
      <c r="Q88">
        <v>1.2866</v>
      </c>
      <c r="R88" t="s">
        <v>135</v>
      </c>
      <c r="S88" t="s">
        <v>135</v>
      </c>
      <c r="T88">
        <v>-17.508400000000002</v>
      </c>
      <c r="U88" t="s">
        <v>135</v>
      </c>
      <c r="V88">
        <v>-3.5060000000000002</v>
      </c>
      <c r="W88">
        <v>3.5878000000000001</v>
      </c>
      <c r="X88">
        <v>3.5583</v>
      </c>
      <c r="Y88" t="s">
        <v>135</v>
      </c>
      <c r="Z88" t="s">
        <v>135</v>
      </c>
      <c r="AA88" t="s">
        <v>135</v>
      </c>
      <c r="AB88">
        <v>49.8658</v>
      </c>
      <c r="AC88">
        <v>12.5587</v>
      </c>
      <c r="AD88" t="s">
        <v>135</v>
      </c>
      <c r="AE88" t="s">
        <v>135</v>
      </c>
      <c r="AF88" t="s">
        <v>135</v>
      </c>
      <c r="AG88" t="s">
        <v>135</v>
      </c>
      <c r="AH88" t="s">
        <v>135</v>
      </c>
      <c r="AI88">
        <v>16.684000000000001</v>
      </c>
      <c r="AJ88">
        <v>16.684000000000001</v>
      </c>
      <c r="AK88">
        <v>16.684000000000001</v>
      </c>
      <c r="AL88">
        <v>99.001099999999994</v>
      </c>
      <c r="AM88" t="s">
        <v>135</v>
      </c>
      <c r="AN88" t="s">
        <v>135</v>
      </c>
      <c r="AO88" t="s">
        <v>135</v>
      </c>
      <c r="AP88" t="s">
        <v>135</v>
      </c>
      <c r="AQ88" t="s">
        <v>135</v>
      </c>
      <c r="AR88" t="s">
        <v>135</v>
      </c>
      <c r="AS88" t="s">
        <v>135</v>
      </c>
      <c r="AT88" t="s">
        <v>135</v>
      </c>
      <c r="AU88" t="s">
        <v>135</v>
      </c>
      <c r="AV88" t="s">
        <v>135</v>
      </c>
      <c r="AW88" t="s">
        <v>135</v>
      </c>
      <c r="AX88" t="s">
        <v>135</v>
      </c>
      <c r="AY88" t="s">
        <v>135</v>
      </c>
      <c r="AZ88" t="s">
        <v>135</v>
      </c>
      <c r="BA88" t="s">
        <v>135</v>
      </c>
      <c r="BB88" t="s">
        <v>135</v>
      </c>
      <c r="BC88" t="s">
        <v>135</v>
      </c>
      <c r="BD88" t="s">
        <v>135</v>
      </c>
      <c r="BE88" t="s">
        <v>135</v>
      </c>
      <c r="BF88">
        <v>-17.508400000000002</v>
      </c>
      <c r="BG88" t="s">
        <v>135</v>
      </c>
      <c r="BH88">
        <v>-3.5060000000000002</v>
      </c>
      <c r="BI88">
        <v>3.5878000000000001</v>
      </c>
      <c r="BJ88">
        <v>3.5583</v>
      </c>
      <c r="BK88" t="s">
        <v>135</v>
      </c>
      <c r="BL88" t="s">
        <v>135</v>
      </c>
      <c r="BM88" t="s">
        <v>135</v>
      </c>
      <c r="BN88">
        <v>49.8658</v>
      </c>
      <c r="BO88">
        <v>12.5587</v>
      </c>
      <c r="BP88" t="s">
        <v>135</v>
      </c>
      <c r="BQ88" t="s">
        <v>135</v>
      </c>
      <c r="BR88" t="s">
        <v>135</v>
      </c>
      <c r="BS88" t="s">
        <v>135</v>
      </c>
      <c r="BT88" t="s">
        <v>135</v>
      </c>
      <c r="BU88">
        <v>16.684000000000001</v>
      </c>
      <c r="BV88">
        <v>16.684000000000001</v>
      </c>
      <c r="BW88">
        <v>16.684000000000001</v>
      </c>
      <c r="BX88" t="s">
        <v>135</v>
      </c>
      <c r="BY88">
        <v>0</v>
      </c>
      <c r="BZ88" t="s">
        <v>135</v>
      </c>
      <c r="CA88">
        <v>0</v>
      </c>
      <c r="CB88" t="s">
        <v>135</v>
      </c>
      <c r="CC88" t="s">
        <v>135</v>
      </c>
      <c r="CD88">
        <v>0</v>
      </c>
      <c r="CE88">
        <v>-4.5722000000000005</v>
      </c>
      <c r="CF88" t="s">
        <v>135</v>
      </c>
      <c r="CG88">
        <v>5.6731999999999996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-55.2864</v>
      </c>
      <c r="CO88">
        <v>-123.64579999999999</v>
      </c>
      <c r="CP88" t="s">
        <v>135</v>
      </c>
      <c r="CQ88" t="s">
        <v>135</v>
      </c>
      <c r="CR88">
        <v>5723.24</v>
      </c>
      <c r="CS88" t="s">
        <v>135</v>
      </c>
      <c r="CT88" t="s">
        <v>135</v>
      </c>
      <c r="CU88" t="s">
        <v>135</v>
      </c>
      <c r="CV88" t="s">
        <v>135</v>
      </c>
      <c r="CW88" t="s">
        <v>135</v>
      </c>
      <c r="CX88" t="s">
        <v>135</v>
      </c>
      <c r="CY88" t="s">
        <v>135</v>
      </c>
      <c r="CZ88" t="s">
        <v>135</v>
      </c>
      <c r="DA88" t="s">
        <v>135</v>
      </c>
      <c r="DB88" t="s">
        <v>135</v>
      </c>
      <c r="DC88" t="s">
        <v>135</v>
      </c>
      <c r="DD88" t="s">
        <v>135</v>
      </c>
      <c r="DE88" t="s">
        <v>135</v>
      </c>
      <c r="DF88" t="s">
        <v>135</v>
      </c>
      <c r="DG88" t="s">
        <v>135</v>
      </c>
      <c r="DH88" t="s">
        <v>135</v>
      </c>
      <c r="DI88" t="s">
        <v>135</v>
      </c>
    </row>
    <row r="89" spans="4:113" x14ac:dyDescent="0.3">
      <c r="E89" t="s">
        <v>78</v>
      </c>
      <c r="F89" t="s">
        <v>135</v>
      </c>
      <c r="G89" t="s">
        <v>135</v>
      </c>
      <c r="H89" t="s">
        <v>135</v>
      </c>
      <c r="I89" t="s">
        <v>135</v>
      </c>
      <c r="J89" t="s">
        <v>135</v>
      </c>
      <c r="K89" t="s">
        <v>135</v>
      </c>
      <c r="L89" t="s">
        <v>135</v>
      </c>
      <c r="M89" t="s">
        <v>135</v>
      </c>
      <c r="N89" t="s">
        <v>135</v>
      </c>
      <c r="O89" t="s">
        <v>135</v>
      </c>
      <c r="P89" t="s">
        <v>135</v>
      </c>
      <c r="Q89" t="s">
        <v>135</v>
      </c>
      <c r="R89" t="s">
        <v>135</v>
      </c>
      <c r="S89" t="s">
        <v>135</v>
      </c>
      <c r="T89" t="s">
        <v>135</v>
      </c>
      <c r="U89" t="s">
        <v>135</v>
      </c>
      <c r="V89" t="s">
        <v>135</v>
      </c>
      <c r="W89" t="s">
        <v>135</v>
      </c>
      <c r="X89" t="s">
        <v>135</v>
      </c>
      <c r="Y89" t="s">
        <v>135</v>
      </c>
      <c r="Z89" t="s">
        <v>135</v>
      </c>
      <c r="AA89" t="s">
        <v>135</v>
      </c>
      <c r="AB89" t="s">
        <v>135</v>
      </c>
      <c r="AC89" t="s">
        <v>135</v>
      </c>
      <c r="AD89" t="s">
        <v>135</v>
      </c>
      <c r="AE89" t="s">
        <v>135</v>
      </c>
      <c r="AF89" t="s">
        <v>135</v>
      </c>
      <c r="AG89" t="s">
        <v>135</v>
      </c>
      <c r="AH89" t="s">
        <v>135</v>
      </c>
      <c r="AI89" t="s">
        <v>135</v>
      </c>
      <c r="AJ89" t="s">
        <v>135</v>
      </c>
      <c r="AK89" t="s">
        <v>135</v>
      </c>
      <c r="AL89" t="s">
        <v>135</v>
      </c>
      <c r="AM89" t="s">
        <v>135</v>
      </c>
      <c r="AN89" t="s">
        <v>135</v>
      </c>
      <c r="AO89" t="s">
        <v>135</v>
      </c>
      <c r="AP89" t="s">
        <v>135</v>
      </c>
      <c r="AQ89" t="s">
        <v>135</v>
      </c>
      <c r="AR89" t="s">
        <v>135</v>
      </c>
      <c r="AS89" t="s">
        <v>135</v>
      </c>
      <c r="AT89" t="s">
        <v>135</v>
      </c>
      <c r="AU89" t="s">
        <v>135</v>
      </c>
      <c r="AV89" t="s">
        <v>135</v>
      </c>
      <c r="AW89" t="s">
        <v>135</v>
      </c>
      <c r="AX89" t="s">
        <v>135</v>
      </c>
      <c r="AY89" t="s">
        <v>135</v>
      </c>
      <c r="AZ89" t="s">
        <v>135</v>
      </c>
      <c r="BA89" t="s">
        <v>135</v>
      </c>
      <c r="BB89" t="s">
        <v>135</v>
      </c>
      <c r="BC89" t="s">
        <v>135</v>
      </c>
      <c r="BD89" t="s">
        <v>135</v>
      </c>
      <c r="BE89" t="s">
        <v>135</v>
      </c>
      <c r="BF89" t="s">
        <v>135</v>
      </c>
      <c r="BG89" t="s">
        <v>135</v>
      </c>
      <c r="BH89" t="s">
        <v>135</v>
      </c>
      <c r="BI89" t="s">
        <v>135</v>
      </c>
      <c r="BJ89" t="s">
        <v>135</v>
      </c>
      <c r="BK89" t="s">
        <v>135</v>
      </c>
      <c r="BL89" t="s">
        <v>135</v>
      </c>
      <c r="BM89" t="s">
        <v>135</v>
      </c>
      <c r="BN89" t="s">
        <v>135</v>
      </c>
      <c r="BO89" t="s">
        <v>135</v>
      </c>
      <c r="BP89" t="s">
        <v>135</v>
      </c>
      <c r="BQ89" t="s">
        <v>135</v>
      </c>
      <c r="BR89" t="s">
        <v>135</v>
      </c>
      <c r="BS89" t="s">
        <v>135</v>
      </c>
      <c r="BT89" t="s">
        <v>135</v>
      </c>
      <c r="BU89" t="s">
        <v>135</v>
      </c>
      <c r="BV89" t="s">
        <v>135</v>
      </c>
      <c r="BW89" t="s">
        <v>135</v>
      </c>
      <c r="BX89" t="s">
        <v>135</v>
      </c>
      <c r="BY89" t="s">
        <v>135</v>
      </c>
      <c r="BZ89" t="s">
        <v>135</v>
      </c>
      <c r="CA89" t="s">
        <v>135</v>
      </c>
      <c r="CB89" t="s">
        <v>135</v>
      </c>
      <c r="CC89" t="s">
        <v>135</v>
      </c>
      <c r="CD89" t="s">
        <v>135</v>
      </c>
      <c r="CE89" t="s">
        <v>135</v>
      </c>
      <c r="CF89" t="s">
        <v>135</v>
      </c>
      <c r="CG89" t="s">
        <v>135</v>
      </c>
      <c r="CH89" t="s">
        <v>135</v>
      </c>
      <c r="CI89" t="s">
        <v>135</v>
      </c>
      <c r="CJ89" t="s">
        <v>135</v>
      </c>
      <c r="CK89" t="s">
        <v>135</v>
      </c>
      <c r="CL89" t="s">
        <v>135</v>
      </c>
      <c r="CM89" t="s">
        <v>135</v>
      </c>
      <c r="CN89" t="s">
        <v>135</v>
      </c>
      <c r="CO89" t="s">
        <v>135</v>
      </c>
      <c r="CP89" t="s">
        <v>135</v>
      </c>
      <c r="CQ89" t="s">
        <v>135</v>
      </c>
      <c r="CR89" t="s">
        <v>135</v>
      </c>
      <c r="CS89" t="s">
        <v>135</v>
      </c>
      <c r="CT89" t="s">
        <v>135</v>
      </c>
      <c r="CU89" t="s">
        <v>135</v>
      </c>
      <c r="CV89" t="s">
        <v>135</v>
      </c>
      <c r="CW89" t="s">
        <v>135</v>
      </c>
      <c r="CX89" t="s">
        <v>135</v>
      </c>
      <c r="CY89" t="s">
        <v>135</v>
      </c>
      <c r="CZ89" t="s">
        <v>135</v>
      </c>
      <c r="DA89" t="s">
        <v>135</v>
      </c>
      <c r="DB89" t="s">
        <v>135</v>
      </c>
      <c r="DC89" t="s">
        <v>135</v>
      </c>
      <c r="DD89" t="s">
        <v>135</v>
      </c>
      <c r="DE89" t="s">
        <v>135</v>
      </c>
      <c r="DF89" t="s">
        <v>135</v>
      </c>
      <c r="DG89" t="s">
        <v>135</v>
      </c>
      <c r="DH89" t="s">
        <v>135</v>
      </c>
      <c r="DI89" t="s">
        <v>135</v>
      </c>
    </row>
    <row r="90" spans="4:113" x14ac:dyDescent="0.3">
      <c r="E90" t="s">
        <v>79</v>
      </c>
      <c r="F90" t="s">
        <v>135</v>
      </c>
      <c r="G90" t="s">
        <v>135</v>
      </c>
      <c r="H90" t="s">
        <v>135</v>
      </c>
      <c r="I90" t="s">
        <v>135</v>
      </c>
      <c r="J90" t="s">
        <v>135</v>
      </c>
      <c r="K90" t="s">
        <v>135</v>
      </c>
      <c r="L90" t="s">
        <v>135</v>
      </c>
      <c r="M90" t="s">
        <v>135</v>
      </c>
      <c r="N90" t="s">
        <v>135</v>
      </c>
      <c r="O90" t="s">
        <v>135</v>
      </c>
      <c r="P90" t="s">
        <v>135</v>
      </c>
      <c r="Q90" t="s">
        <v>135</v>
      </c>
      <c r="R90" t="s">
        <v>135</v>
      </c>
      <c r="S90" t="s">
        <v>135</v>
      </c>
      <c r="T90" t="s">
        <v>135</v>
      </c>
      <c r="U90" t="s">
        <v>135</v>
      </c>
      <c r="V90" t="s">
        <v>135</v>
      </c>
      <c r="W90" t="s">
        <v>135</v>
      </c>
      <c r="X90" t="s">
        <v>135</v>
      </c>
      <c r="Y90" t="s">
        <v>135</v>
      </c>
      <c r="Z90" t="s">
        <v>135</v>
      </c>
      <c r="AA90" t="s">
        <v>135</v>
      </c>
      <c r="AB90" t="s">
        <v>135</v>
      </c>
      <c r="AC90" t="s">
        <v>135</v>
      </c>
      <c r="AD90" t="s">
        <v>135</v>
      </c>
      <c r="AE90" t="s">
        <v>135</v>
      </c>
      <c r="AF90" t="s">
        <v>135</v>
      </c>
      <c r="AG90" t="s">
        <v>135</v>
      </c>
      <c r="AH90" t="s">
        <v>135</v>
      </c>
      <c r="AI90" t="s">
        <v>135</v>
      </c>
      <c r="AJ90" t="s">
        <v>135</v>
      </c>
      <c r="AK90" t="s">
        <v>135</v>
      </c>
      <c r="AL90" t="s">
        <v>135</v>
      </c>
      <c r="AM90" t="s">
        <v>135</v>
      </c>
      <c r="AN90" t="s">
        <v>135</v>
      </c>
      <c r="AO90" t="s">
        <v>135</v>
      </c>
      <c r="AP90" t="s">
        <v>135</v>
      </c>
      <c r="AQ90" t="s">
        <v>135</v>
      </c>
      <c r="AR90" t="s">
        <v>135</v>
      </c>
      <c r="AS90" t="s">
        <v>135</v>
      </c>
      <c r="AT90" t="s">
        <v>135</v>
      </c>
      <c r="AU90" t="s">
        <v>135</v>
      </c>
      <c r="AV90" t="s">
        <v>135</v>
      </c>
      <c r="AW90" t="s">
        <v>135</v>
      </c>
      <c r="AX90" t="s">
        <v>135</v>
      </c>
      <c r="AY90" t="s">
        <v>135</v>
      </c>
      <c r="AZ90" t="s">
        <v>135</v>
      </c>
      <c r="BA90" t="s">
        <v>135</v>
      </c>
      <c r="BB90" t="s">
        <v>135</v>
      </c>
      <c r="BC90" t="s">
        <v>135</v>
      </c>
      <c r="BD90" t="s">
        <v>135</v>
      </c>
      <c r="BE90" t="s">
        <v>135</v>
      </c>
      <c r="BF90" t="s">
        <v>135</v>
      </c>
      <c r="BG90" t="s">
        <v>135</v>
      </c>
      <c r="BH90" t="s">
        <v>135</v>
      </c>
      <c r="BI90" t="s">
        <v>135</v>
      </c>
      <c r="BJ90" t="s">
        <v>135</v>
      </c>
      <c r="BK90" t="s">
        <v>135</v>
      </c>
      <c r="BL90" t="s">
        <v>135</v>
      </c>
      <c r="BM90" t="s">
        <v>135</v>
      </c>
      <c r="BN90" t="s">
        <v>135</v>
      </c>
      <c r="BO90" t="s">
        <v>135</v>
      </c>
      <c r="BP90" t="s">
        <v>135</v>
      </c>
      <c r="BQ90" t="s">
        <v>135</v>
      </c>
      <c r="BR90" t="s">
        <v>135</v>
      </c>
      <c r="BS90" t="s">
        <v>135</v>
      </c>
      <c r="BT90" t="s">
        <v>135</v>
      </c>
      <c r="BU90" t="s">
        <v>135</v>
      </c>
      <c r="BV90" t="s">
        <v>135</v>
      </c>
      <c r="BW90" t="s">
        <v>135</v>
      </c>
      <c r="BX90" t="s">
        <v>135</v>
      </c>
      <c r="BY90" t="s">
        <v>135</v>
      </c>
      <c r="BZ90" t="s">
        <v>135</v>
      </c>
      <c r="CA90" t="s">
        <v>135</v>
      </c>
      <c r="CB90" t="s">
        <v>135</v>
      </c>
      <c r="CC90" t="s">
        <v>135</v>
      </c>
      <c r="CD90" t="s">
        <v>135</v>
      </c>
      <c r="CE90" t="s">
        <v>135</v>
      </c>
      <c r="CF90" t="s">
        <v>135</v>
      </c>
      <c r="CG90" t="s">
        <v>135</v>
      </c>
      <c r="CH90" t="s">
        <v>135</v>
      </c>
      <c r="CI90" t="s">
        <v>135</v>
      </c>
      <c r="CJ90" t="s">
        <v>135</v>
      </c>
      <c r="CK90" t="s">
        <v>135</v>
      </c>
      <c r="CL90" t="s">
        <v>135</v>
      </c>
      <c r="CM90" t="s">
        <v>135</v>
      </c>
      <c r="CN90" t="s">
        <v>135</v>
      </c>
      <c r="CO90" t="s">
        <v>135</v>
      </c>
      <c r="CP90" t="s">
        <v>135</v>
      </c>
      <c r="CQ90" t="s">
        <v>135</v>
      </c>
      <c r="CR90" t="s">
        <v>135</v>
      </c>
      <c r="CS90" t="s">
        <v>135</v>
      </c>
      <c r="CT90" t="s">
        <v>135</v>
      </c>
      <c r="CU90" t="s">
        <v>135</v>
      </c>
      <c r="CV90" t="s">
        <v>135</v>
      </c>
      <c r="CW90" t="s">
        <v>135</v>
      </c>
      <c r="CX90" t="s">
        <v>135</v>
      </c>
      <c r="CY90" t="s">
        <v>135</v>
      </c>
      <c r="CZ90" t="s">
        <v>135</v>
      </c>
      <c r="DA90" t="s">
        <v>135</v>
      </c>
      <c r="DB90" t="s">
        <v>135</v>
      </c>
      <c r="DC90" t="s">
        <v>135</v>
      </c>
      <c r="DD90" t="s">
        <v>135</v>
      </c>
      <c r="DE90" t="s">
        <v>135</v>
      </c>
      <c r="DF90" t="s">
        <v>135</v>
      </c>
      <c r="DG90" t="s">
        <v>135</v>
      </c>
      <c r="DH90" t="s">
        <v>135</v>
      </c>
      <c r="DI90" t="s">
        <v>135</v>
      </c>
    </row>
    <row r="91" spans="4:113" x14ac:dyDescent="0.3">
      <c r="E91" t="s">
        <v>80</v>
      </c>
      <c r="F91" t="s">
        <v>135</v>
      </c>
      <c r="G91" t="s">
        <v>135</v>
      </c>
      <c r="H91" t="s">
        <v>135</v>
      </c>
      <c r="I91" t="s">
        <v>135</v>
      </c>
      <c r="J91" t="s">
        <v>135</v>
      </c>
      <c r="K91" t="s">
        <v>135</v>
      </c>
      <c r="L91" t="s">
        <v>135</v>
      </c>
      <c r="M91" t="s">
        <v>135</v>
      </c>
      <c r="N91" t="s">
        <v>135</v>
      </c>
      <c r="O91" t="s">
        <v>135</v>
      </c>
      <c r="P91" t="s">
        <v>135</v>
      </c>
      <c r="Q91" t="s">
        <v>135</v>
      </c>
      <c r="R91" t="s">
        <v>135</v>
      </c>
      <c r="S91" t="s">
        <v>135</v>
      </c>
      <c r="T91" t="s">
        <v>135</v>
      </c>
      <c r="U91" t="s">
        <v>135</v>
      </c>
      <c r="V91" t="s">
        <v>135</v>
      </c>
      <c r="W91" t="s">
        <v>135</v>
      </c>
      <c r="X91" t="s">
        <v>135</v>
      </c>
      <c r="Y91" t="s">
        <v>135</v>
      </c>
      <c r="Z91" t="s">
        <v>135</v>
      </c>
      <c r="AA91" t="s">
        <v>135</v>
      </c>
      <c r="AB91" t="s">
        <v>135</v>
      </c>
      <c r="AC91" t="s">
        <v>135</v>
      </c>
      <c r="AD91" t="s">
        <v>135</v>
      </c>
      <c r="AE91" t="s">
        <v>135</v>
      </c>
      <c r="AF91" t="s">
        <v>135</v>
      </c>
      <c r="AG91" t="s">
        <v>135</v>
      </c>
      <c r="AH91" t="s">
        <v>135</v>
      </c>
      <c r="AI91" t="s">
        <v>135</v>
      </c>
      <c r="AJ91" t="s">
        <v>135</v>
      </c>
      <c r="AK91" t="s">
        <v>135</v>
      </c>
      <c r="AL91" t="s">
        <v>135</v>
      </c>
      <c r="AM91" t="s">
        <v>135</v>
      </c>
      <c r="AN91" t="s">
        <v>135</v>
      </c>
      <c r="AO91" t="s">
        <v>135</v>
      </c>
      <c r="AP91" t="s">
        <v>135</v>
      </c>
      <c r="AQ91" t="s">
        <v>135</v>
      </c>
      <c r="AR91" t="s">
        <v>135</v>
      </c>
      <c r="AS91" t="s">
        <v>135</v>
      </c>
      <c r="AT91" t="s">
        <v>135</v>
      </c>
      <c r="AU91" t="s">
        <v>135</v>
      </c>
      <c r="AV91" t="s">
        <v>135</v>
      </c>
      <c r="AW91" t="s">
        <v>135</v>
      </c>
      <c r="AX91" t="s">
        <v>135</v>
      </c>
      <c r="AY91" t="s">
        <v>135</v>
      </c>
      <c r="AZ91" t="s">
        <v>135</v>
      </c>
      <c r="BA91" t="s">
        <v>135</v>
      </c>
      <c r="BB91" t="s">
        <v>135</v>
      </c>
      <c r="BC91" t="s">
        <v>135</v>
      </c>
      <c r="BD91" t="s">
        <v>135</v>
      </c>
      <c r="BE91" t="s">
        <v>135</v>
      </c>
      <c r="BF91" t="s">
        <v>135</v>
      </c>
      <c r="BG91" t="s">
        <v>135</v>
      </c>
      <c r="BH91" t="s">
        <v>135</v>
      </c>
      <c r="BI91" t="s">
        <v>135</v>
      </c>
      <c r="BJ91" t="s">
        <v>135</v>
      </c>
      <c r="BK91" t="s">
        <v>135</v>
      </c>
      <c r="BL91" t="s">
        <v>135</v>
      </c>
      <c r="BM91" t="s">
        <v>135</v>
      </c>
      <c r="BN91" t="s">
        <v>135</v>
      </c>
      <c r="BO91" t="s">
        <v>135</v>
      </c>
      <c r="BP91" t="s">
        <v>135</v>
      </c>
      <c r="BQ91" t="s">
        <v>135</v>
      </c>
      <c r="BR91" t="s">
        <v>135</v>
      </c>
      <c r="BS91" t="s">
        <v>135</v>
      </c>
      <c r="BT91" t="s">
        <v>135</v>
      </c>
      <c r="BU91" t="s">
        <v>135</v>
      </c>
      <c r="BV91" t="s">
        <v>135</v>
      </c>
      <c r="BW91" t="s">
        <v>135</v>
      </c>
      <c r="BX91" t="s">
        <v>135</v>
      </c>
      <c r="BY91" t="s">
        <v>135</v>
      </c>
      <c r="BZ91" t="s">
        <v>135</v>
      </c>
      <c r="CA91" t="s">
        <v>135</v>
      </c>
      <c r="CB91" t="s">
        <v>135</v>
      </c>
      <c r="CC91" t="s">
        <v>135</v>
      </c>
      <c r="CD91" t="s">
        <v>135</v>
      </c>
      <c r="CE91" t="s">
        <v>135</v>
      </c>
      <c r="CF91" t="s">
        <v>135</v>
      </c>
      <c r="CG91" t="s">
        <v>135</v>
      </c>
      <c r="CH91" t="s">
        <v>135</v>
      </c>
      <c r="CI91" t="s">
        <v>135</v>
      </c>
      <c r="CJ91" t="s">
        <v>135</v>
      </c>
      <c r="CK91" t="s">
        <v>135</v>
      </c>
      <c r="CL91" t="s">
        <v>135</v>
      </c>
      <c r="CM91" t="s">
        <v>135</v>
      </c>
      <c r="CN91" t="s">
        <v>135</v>
      </c>
      <c r="CO91" t="s">
        <v>135</v>
      </c>
      <c r="CP91" t="s">
        <v>135</v>
      </c>
      <c r="CQ91" t="s">
        <v>135</v>
      </c>
      <c r="CR91" t="s">
        <v>135</v>
      </c>
      <c r="CS91" t="s">
        <v>135</v>
      </c>
      <c r="CT91" t="s">
        <v>135</v>
      </c>
      <c r="CU91" t="s">
        <v>135</v>
      </c>
      <c r="CV91" t="s">
        <v>135</v>
      </c>
      <c r="CW91" t="s">
        <v>135</v>
      </c>
      <c r="CX91" t="s">
        <v>135</v>
      </c>
      <c r="CY91" t="s">
        <v>135</v>
      </c>
      <c r="CZ91" t="s">
        <v>135</v>
      </c>
      <c r="DA91" t="s">
        <v>135</v>
      </c>
      <c r="DB91" t="s">
        <v>135</v>
      </c>
      <c r="DC91" t="s">
        <v>135</v>
      </c>
      <c r="DD91" t="s">
        <v>135</v>
      </c>
      <c r="DE91" t="s">
        <v>135</v>
      </c>
      <c r="DF91" t="s">
        <v>135</v>
      </c>
      <c r="DG91" t="s">
        <v>135</v>
      </c>
      <c r="DH91" t="s">
        <v>135</v>
      </c>
      <c r="DI91" t="s">
        <v>135</v>
      </c>
    </row>
    <row r="92" spans="4:113" x14ac:dyDescent="0.3">
      <c r="E92" t="s">
        <v>81</v>
      </c>
      <c r="F92" t="s">
        <v>135</v>
      </c>
      <c r="G92" t="s">
        <v>135</v>
      </c>
      <c r="H92" t="s">
        <v>135</v>
      </c>
      <c r="I92" t="s">
        <v>135</v>
      </c>
      <c r="J92" t="s">
        <v>135</v>
      </c>
      <c r="K92" t="s">
        <v>135</v>
      </c>
      <c r="L92" t="s">
        <v>135</v>
      </c>
      <c r="M92" t="s">
        <v>135</v>
      </c>
      <c r="N92" t="s">
        <v>135</v>
      </c>
      <c r="O92" t="s">
        <v>135</v>
      </c>
      <c r="P92" t="s">
        <v>135</v>
      </c>
      <c r="Q92" t="s">
        <v>135</v>
      </c>
      <c r="R92" t="s">
        <v>135</v>
      </c>
      <c r="S92" t="s">
        <v>135</v>
      </c>
      <c r="T92" t="s">
        <v>135</v>
      </c>
      <c r="U92" t="s">
        <v>135</v>
      </c>
      <c r="V92" t="s">
        <v>135</v>
      </c>
      <c r="W92" t="s">
        <v>135</v>
      </c>
      <c r="X92" t="s">
        <v>135</v>
      </c>
      <c r="Y92" t="s">
        <v>135</v>
      </c>
      <c r="Z92" t="s">
        <v>135</v>
      </c>
      <c r="AA92" t="s">
        <v>135</v>
      </c>
      <c r="AB92" t="s">
        <v>135</v>
      </c>
      <c r="AC92" t="s">
        <v>135</v>
      </c>
      <c r="AD92" t="s">
        <v>135</v>
      </c>
      <c r="AE92" t="s">
        <v>135</v>
      </c>
      <c r="AF92" t="s">
        <v>135</v>
      </c>
      <c r="AG92" t="s">
        <v>135</v>
      </c>
      <c r="AH92" t="s">
        <v>135</v>
      </c>
      <c r="AI92" t="s">
        <v>135</v>
      </c>
      <c r="AJ92" t="s">
        <v>135</v>
      </c>
      <c r="AK92" t="s">
        <v>135</v>
      </c>
      <c r="AL92" t="s">
        <v>135</v>
      </c>
      <c r="AM92" t="s">
        <v>135</v>
      </c>
      <c r="AN92" t="s">
        <v>135</v>
      </c>
      <c r="AO92" t="s">
        <v>135</v>
      </c>
      <c r="AP92" t="s">
        <v>135</v>
      </c>
      <c r="AQ92" t="s">
        <v>135</v>
      </c>
      <c r="AR92" t="s">
        <v>135</v>
      </c>
      <c r="AS92" t="s">
        <v>135</v>
      </c>
      <c r="AT92" t="s">
        <v>135</v>
      </c>
      <c r="AU92" t="s">
        <v>135</v>
      </c>
      <c r="AV92" t="s">
        <v>135</v>
      </c>
      <c r="AW92" t="s">
        <v>135</v>
      </c>
      <c r="AX92" t="s">
        <v>135</v>
      </c>
      <c r="AY92" t="s">
        <v>135</v>
      </c>
      <c r="AZ92" t="s">
        <v>135</v>
      </c>
      <c r="BA92" t="s">
        <v>135</v>
      </c>
      <c r="BB92" t="s">
        <v>135</v>
      </c>
      <c r="BC92" t="s">
        <v>135</v>
      </c>
      <c r="BD92" t="s">
        <v>135</v>
      </c>
      <c r="BE92" t="s">
        <v>135</v>
      </c>
      <c r="BF92" t="s">
        <v>135</v>
      </c>
      <c r="BG92" t="s">
        <v>135</v>
      </c>
      <c r="BH92" t="s">
        <v>135</v>
      </c>
      <c r="BI92" t="s">
        <v>135</v>
      </c>
      <c r="BJ92" t="s">
        <v>135</v>
      </c>
      <c r="BK92" t="s">
        <v>135</v>
      </c>
      <c r="BL92" t="s">
        <v>135</v>
      </c>
      <c r="BM92" t="s">
        <v>135</v>
      </c>
      <c r="BN92" t="s">
        <v>135</v>
      </c>
      <c r="BO92" t="s">
        <v>135</v>
      </c>
      <c r="BP92" t="s">
        <v>135</v>
      </c>
      <c r="BQ92" t="s">
        <v>135</v>
      </c>
      <c r="BR92" t="s">
        <v>135</v>
      </c>
      <c r="BS92" t="s">
        <v>135</v>
      </c>
      <c r="BT92" t="s">
        <v>135</v>
      </c>
      <c r="BU92" t="s">
        <v>135</v>
      </c>
      <c r="BV92" t="s">
        <v>135</v>
      </c>
      <c r="BW92" t="s">
        <v>135</v>
      </c>
      <c r="BX92" t="s">
        <v>135</v>
      </c>
      <c r="BY92" t="s">
        <v>135</v>
      </c>
      <c r="BZ92" t="s">
        <v>135</v>
      </c>
      <c r="CA92" t="s">
        <v>135</v>
      </c>
      <c r="CB92" t="s">
        <v>135</v>
      </c>
      <c r="CC92" t="s">
        <v>135</v>
      </c>
      <c r="CD92" t="s">
        <v>135</v>
      </c>
      <c r="CE92" t="s">
        <v>135</v>
      </c>
      <c r="CF92" t="s">
        <v>135</v>
      </c>
      <c r="CG92" t="s">
        <v>135</v>
      </c>
      <c r="CH92" t="s">
        <v>135</v>
      </c>
      <c r="CI92" t="s">
        <v>135</v>
      </c>
      <c r="CJ92" t="s">
        <v>135</v>
      </c>
      <c r="CK92" t="s">
        <v>135</v>
      </c>
      <c r="CL92" t="s">
        <v>135</v>
      </c>
      <c r="CM92" t="s">
        <v>135</v>
      </c>
      <c r="CN92" t="s">
        <v>135</v>
      </c>
      <c r="CO92" t="s">
        <v>135</v>
      </c>
      <c r="CP92" t="s">
        <v>135</v>
      </c>
      <c r="CQ92" t="s">
        <v>135</v>
      </c>
      <c r="CR92" t="s">
        <v>135</v>
      </c>
      <c r="CS92" t="s">
        <v>135</v>
      </c>
      <c r="CT92" t="s">
        <v>135</v>
      </c>
      <c r="CU92" t="s">
        <v>135</v>
      </c>
      <c r="CV92" t="s">
        <v>135</v>
      </c>
      <c r="CW92" t="s">
        <v>135</v>
      </c>
      <c r="CX92" t="s">
        <v>135</v>
      </c>
      <c r="CY92" t="s">
        <v>135</v>
      </c>
      <c r="CZ92" t="s">
        <v>135</v>
      </c>
      <c r="DA92" t="s">
        <v>135</v>
      </c>
      <c r="DB92" t="s">
        <v>135</v>
      </c>
      <c r="DC92" t="s">
        <v>135</v>
      </c>
      <c r="DD92" t="s">
        <v>135</v>
      </c>
      <c r="DE92" t="s">
        <v>135</v>
      </c>
      <c r="DF92" t="s">
        <v>135</v>
      </c>
      <c r="DG92" t="s">
        <v>135</v>
      </c>
      <c r="DH92" t="s">
        <v>135</v>
      </c>
      <c r="DI92" t="s">
        <v>135</v>
      </c>
    </row>
    <row r="93" spans="4:113" x14ac:dyDescent="0.3">
      <c r="D93" t="s">
        <v>84</v>
      </c>
      <c r="E93" t="s">
        <v>77</v>
      </c>
      <c r="F93">
        <v>18.563700000000001</v>
      </c>
      <c r="G93">
        <v>1.0283</v>
      </c>
      <c r="H93" t="s">
        <v>135</v>
      </c>
      <c r="I93">
        <v>19.681100000000001</v>
      </c>
      <c r="J93" t="s">
        <v>135</v>
      </c>
      <c r="K93">
        <v>2.1728999999999998</v>
      </c>
      <c r="L93">
        <v>0.78239999999999998</v>
      </c>
      <c r="M93">
        <v>3.2086999999999999</v>
      </c>
      <c r="N93">
        <v>3.1431</v>
      </c>
      <c r="O93">
        <v>3.1431</v>
      </c>
      <c r="P93">
        <v>3.1431</v>
      </c>
      <c r="Q93">
        <v>2.0436000000000001</v>
      </c>
      <c r="R93" t="s">
        <v>135</v>
      </c>
      <c r="S93" t="s">
        <v>135</v>
      </c>
      <c r="T93">
        <v>58.441899999999997</v>
      </c>
      <c r="U93" t="s">
        <v>135</v>
      </c>
      <c r="V93">
        <v>15.315099999999999</v>
      </c>
      <c r="W93">
        <v>13.0967</v>
      </c>
      <c r="X93">
        <v>13.1517</v>
      </c>
      <c r="Y93" t="s">
        <v>135</v>
      </c>
      <c r="Z93" t="s">
        <v>135</v>
      </c>
      <c r="AA93" t="s">
        <v>135</v>
      </c>
      <c r="AB93">
        <v>20.397100000000002</v>
      </c>
      <c r="AC93">
        <v>22.546700000000001</v>
      </c>
      <c r="AD93" t="s">
        <v>135</v>
      </c>
      <c r="AE93" t="s">
        <v>135</v>
      </c>
      <c r="AF93" t="s">
        <v>135</v>
      </c>
      <c r="AG93" t="s">
        <v>135</v>
      </c>
      <c r="AH93" t="s">
        <v>135</v>
      </c>
      <c r="AI93">
        <v>17.3032</v>
      </c>
      <c r="AJ93">
        <v>17.3032</v>
      </c>
      <c r="AK93">
        <v>17.3032</v>
      </c>
      <c r="AL93">
        <v>45.299900000000001</v>
      </c>
      <c r="AM93" t="s">
        <v>135</v>
      </c>
      <c r="AN93" t="s">
        <v>135</v>
      </c>
      <c r="AO93" t="s">
        <v>135</v>
      </c>
      <c r="AP93" t="s">
        <v>135</v>
      </c>
      <c r="AQ93" t="s">
        <v>135</v>
      </c>
      <c r="AR93" t="s">
        <v>135</v>
      </c>
      <c r="AS93" t="s">
        <v>135</v>
      </c>
      <c r="AT93" t="s">
        <v>135</v>
      </c>
      <c r="AU93" t="s">
        <v>135</v>
      </c>
      <c r="AV93" t="s">
        <v>135</v>
      </c>
      <c r="AW93" t="s">
        <v>135</v>
      </c>
      <c r="AX93" t="s">
        <v>135</v>
      </c>
      <c r="AY93" t="s">
        <v>135</v>
      </c>
      <c r="AZ93" t="s">
        <v>135</v>
      </c>
      <c r="BA93" t="s">
        <v>135</v>
      </c>
      <c r="BB93" t="s">
        <v>135</v>
      </c>
      <c r="BC93" t="s">
        <v>135</v>
      </c>
      <c r="BD93" t="s">
        <v>135</v>
      </c>
      <c r="BE93" t="s">
        <v>135</v>
      </c>
      <c r="BF93">
        <v>58.441899999999997</v>
      </c>
      <c r="BG93" t="s">
        <v>135</v>
      </c>
      <c r="BH93">
        <v>15.315099999999999</v>
      </c>
      <c r="BI93">
        <v>13.0967</v>
      </c>
      <c r="BJ93">
        <v>13.1517</v>
      </c>
      <c r="BK93" t="s">
        <v>135</v>
      </c>
      <c r="BL93" t="s">
        <v>135</v>
      </c>
      <c r="BM93" t="s">
        <v>135</v>
      </c>
      <c r="BN93">
        <v>20.397100000000002</v>
      </c>
      <c r="BO93">
        <v>22.546700000000001</v>
      </c>
      <c r="BP93" t="s">
        <v>135</v>
      </c>
      <c r="BQ93" t="s">
        <v>135</v>
      </c>
      <c r="BR93" t="s">
        <v>135</v>
      </c>
      <c r="BS93" t="s">
        <v>135</v>
      </c>
      <c r="BT93" t="s">
        <v>135</v>
      </c>
      <c r="BU93">
        <v>17.3032</v>
      </c>
      <c r="BV93">
        <v>17.3032</v>
      </c>
      <c r="BW93">
        <v>17.3032</v>
      </c>
      <c r="BX93" t="s">
        <v>135</v>
      </c>
      <c r="BY93">
        <v>0</v>
      </c>
      <c r="BZ93" t="s">
        <v>135</v>
      </c>
      <c r="CA93">
        <v>0</v>
      </c>
      <c r="CB93" t="s">
        <v>135</v>
      </c>
      <c r="CC93" t="s">
        <v>135</v>
      </c>
      <c r="CD93">
        <v>0</v>
      </c>
      <c r="CE93">
        <v>-3.6817000000000002</v>
      </c>
      <c r="CF93" t="s">
        <v>135</v>
      </c>
      <c r="CG93">
        <v>5.4305000000000003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-43.764499999999998</v>
      </c>
      <c r="CO93">
        <v>-77.823700000000002</v>
      </c>
      <c r="CP93" t="s">
        <v>135</v>
      </c>
      <c r="CQ93" t="s">
        <v>135</v>
      </c>
      <c r="CR93">
        <v>6599.76</v>
      </c>
      <c r="CS93" t="s">
        <v>135</v>
      </c>
      <c r="CT93" t="s">
        <v>135</v>
      </c>
      <c r="CU93" t="s">
        <v>135</v>
      </c>
      <c r="CV93" t="s">
        <v>135</v>
      </c>
      <c r="CW93" t="s">
        <v>135</v>
      </c>
      <c r="CX93" t="s">
        <v>135</v>
      </c>
      <c r="CY93" t="s">
        <v>135</v>
      </c>
      <c r="CZ93" t="s">
        <v>135</v>
      </c>
      <c r="DA93" t="s">
        <v>135</v>
      </c>
      <c r="DB93" t="s">
        <v>135</v>
      </c>
      <c r="DC93" t="s">
        <v>135</v>
      </c>
      <c r="DD93" t="s">
        <v>135</v>
      </c>
      <c r="DE93" t="s">
        <v>135</v>
      </c>
      <c r="DF93" t="s">
        <v>135</v>
      </c>
      <c r="DG93" t="s">
        <v>135</v>
      </c>
      <c r="DH93" t="s">
        <v>135</v>
      </c>
      <c r="DI93" t="s">
        <v>135</v>
      </c>
    </row>
    <row r="94" spans="4:113" x14ac:dyDescent="0.3">
      <c r="E94" t="s">
        <v>78</v>
      </c>
      <c r="F94" t="s">
        <v>135</v>
      </c>
      <c r="G94" t="s">
        <v>135</v>
      </c>
      <c r="H94" t="s">
        <v>135</v>
      </c>
      <c r="I94" t="s">
        <v>135</v>
      </c>
      <c r="J94" t="s">
        <v>135</v>
      </c>
      <c r="K94" t="s">
        <v>135</v>
      </c>
      <c r="L94" t="s">
        <v>135</v>
      </c>
      <c r="M94" t="s">
        <v>135</v>
      </c>
      <c r="N94" t="s">
        <v>135</v>
      </c>
      <c r="O94" t="s">
        <v>135</v>
      </c>
      <c r="P94" t="s">
        <v>135</v>
      </c>
      <c r="Q94" t="s">
        <v>135</v>
      </c>
      <c r="R94" t="s">
        <v>135</v>
      </c>
      <c r="S94" t="s">
        <v>135</v>
      </c>
      <c r="T94" t="s">
        <v>135</v>
      </c>
      <c r="U94" t="s">
        <v>135</v>
      </c>
      <c r="V94" t="s">
        <v>135</v>
      </c>
      <c r="W94" t="s">
        <v>135</v>
      </c>
      <c r="X94" t="s">
        <v>135</v>
      </c>
      <c r="Y94" t="s">
        <v>135</v>
      </c>
      <c r="Z94" t="s">
        <v>135</v>
      </c>
      <c r="AA94" t="s">
        <v>135</v>
      </c>
      <c r="AB94" t="s">
        <v>135</v>
      </c>
      <c r="AC94" t="s">
        <v>135</v>
      </c>
      <c r="AD94" t="s">
        <v>135</v>
      </c>
      <c r="AE94" t="s">
        <v>135</v>
      </c>
      <c r="AF94" t="s">
        <v>135</v>
      </c>
      <c r="AG94" t="s">
        <v>135</v>
      </c>
      <c r="AH94" t="s">
        <v>135</v>
      </c>
      <c r="AI94" t="s">
        <v>135</v>
      </c>
      <c r="AJ94" t="s">
        <v>135</v>
      </c>
      <c r="AK94" t="s">
        <v>135</v>
      </c>
      <c r="AL94" t="s">
        <v>135</v>
      </c>
      <c r="AM94" t="s">
        <v>135</v>
      </c>
      <c r="AN94" t="s">
        <v>135</v>
      </c>
      <c r="AO94" t="s">
        <v>135</v>
      </c>
      <c r="AP94" t="s">
        <v>135</v>
      </c>
      <c r="AQ94" t="s">
        <v>135</v>
      </c>
      <c r="AR94" t="s">
        <v>135</v>
      </c>
      <c r="AS94" t="s">
        <v>135</v>
      </c>
      <c r="AT94" t="s">
        <v>135</v>
      </c>
      <c r="AU94" t="s">
        <v>135</v>
      </c>
      <c r="AV94" t="s">
        <v>135</v>
      </c>
      <c r="AW94" t="s">
        <v>135</v>
      </c>
      <c r="AX94" t="s">
        <v>135</v>
      </c>
      <c r="AY94" t="s">
        <v>135</v>
      </c>
      <c r="AZ94" t="s">
        <v>135</v>
      </c>
      <c r="BA94" t="s">
        <v>135</v>
      </c>
      <c r="BB94" t="s">
        <v>135</v>
      </c>
      <c r="BC94" t="s">
        <v>135</v>
      </c>
      <c r="BD94" t="s">
        <v>135</v>
      </c>
      <c r="BE94" t="s">
        <v>135</v>
      </c>
      <c r="BF94" t="s">
        <v>135</v>
      </c>
      <c r="BG94" t="s">
        <v>135</v>
      </c>
      <c r="BH94" t="s">
        <v>135</v>
      </c>
      <c r="BI94" t="s">
        <v>135</v>
      </c>
      <c r="BJ94" t="s">
        <v>135</v>
      </c>
      <c r="BK94" t="s">
        <v>135</v>
      </c>
      <c r="BL94" t="s">
        <v>135</v>
      </c>
      <c r="BM94" t="s">
        <v>135</v>
      </c>
      <c r="BN94" t="s">
        <v>135</v>
      </c>
      <c r="BO94" t="s">
        <v>135</v>
      </c>
      <c r="BP94" t="s">
        <v>135</v>
      </c>
      <c r="BQ94" t="s">
        <v>135</v>
      </c>
      <c r="BR94" t="s">
        <v>135</v>
      </c>
      <c r="BS94" t="s">
        <v>135</v>
      </c>
      <c r="BT94" t="s">
        <v>135</v>
      </c>
      <c r="BU94" t="s">
        <v>135</v>
      </c>
      <c r="BV94" t="s">
        <v>135</v>
      </c>
      <c r="BW94" t="s">
        <v>135</v>
      </c>
      <c r="BX94" t="s">
        <v>135</v>
      </c>
      <c r="BY94" t="s">
        <v>135</v>
      </c>
      <c r="BZ94" t="s">
        <v>135</v>
      </c>
      <c r="CA94" t="s">
        <v>135</v>
      </c>
      <c r="CB94" t="s">
        <v>135</v>
      </c>
      <c r="CC94" t="s">
        <v>135</v>
      </c>
      <c r="CD94" t="s">
        <v>135</v>
      </c>
      <c r="CE94" t="s">
        <v>135</v>
      </c>
      <c r="CF94" t="s">
        <v>135</v>
      </c>
      <c r="CG94" t="s">
        <v>135</v>
      </c>
      <c r="CH94" t="s">
        <v>135</v>
      </c>
      <c r="CI94" t="s">
        <v>135</v>
      </c>
      <c r="CJ94" t="s">
        <v>135</v>
      </c>
      <c r="CK94" t="s">
        <v>135</v>
      </c>
      <c r="CL94" t="s">
        <v>135</v>
      </c>
      <c r="CM94" t="s">
        <v>135</v>
      </c>
      <c r="CN94" t="s">
        <v>135</v>
      </c>
      <c r="CO94" t="s">
        <v>135</v>
      </c>
      <c r="CP94" t="s">
        <v>135</v>
      </c>
      <c r="CQ94" t="s">
        <v>135</v>
      </c>
      <c r="CR94" t="s">
        <v>135</v>
      </c>
      <c r="CS94" t="s">
        <v>135</v>
      </c>
      <c r="CT94" t="s">
        <v>135</v>
      </c>
      <c r="CU94" t="s">
        <v>135</v>
      </c>
      <c r="CV94" t="s">
        <v>135</v>
      </c>
      <c r="CW94" t="s">
        <v>135</v>
      </c>
      <c r="CX94" t="s">
        <v>135</v>
      </c>
      <c r="CY94" t="s">
        <v>135</v>
      </c>
      <c r="CZ94" t="s">
        <v>135</v>
      </c>
      <c r="DA94" t="s">
        <v>135</v>
      </c>
      <c r="DB94" t="s">
        <v>135</v>
      </c>
      <c r="DC94" t="s">
        <v>135</v>
      </c>
      <c r="DD94" t="s">
        <v>135</v>
      </c>
      <c r="DE94" t="s">
        <v>135</v>
      </c>
      <c r="DF94" t="s">
        <v>135</v>
      </c>
      <c r="DG94" t="s">
        <v>135</v>
      </c>
      <c r="DH94" t="s">
        <v>135</v>
      </c>
      <c r="DI94" t="s">
        <v>135</v>
      </c>
    </row>
    <row r="95" spans="4:113" x14ac:dyDescent="0.3">
      <c r="E95" t="s">
        <v>79</v>
      </c>
      <c r="F95" t="s">
        <v>135</v>
      </c>
      <c r="G95" t="s">
        <v>135</v>
      </c>
      <c r="H95" t="s">
        <v>135</v>
      </c>
      <c r="I95" t="s">
        <v>135</v>
      </c>
      <c r="J95" t="s">
        <v>135</v>
      </c>
      <c r="K95" t="s">
        <v>135</v>
      </c>
      <c r="L95" t="s">
        <v>135</v>
      </c>
      <c r="M95" t="s">
        <v>135</v>
      </c>
      <c r="N95" t="s">
        <v>135</v>
      </c>
      <c r="O95" t="s">
        <v>135</v>
      </c>
      <c r="P95" t="s">
        <v>135</v>
      </c>
      <c r="Q95" t="s">
        <v>135</v>
      </c>
      <c r="R95" t="s">
        <v>135</v>
      </c>
      <c r="S95" t="s">
        <v>135</v>
      </c>
      <c r="T95" t="s">
        <v>135</v>
      </c>
      <c r="U95" t="s">
        <v>135</v>
      </c>
      <c r="V95" t="s">
        <v>135</v>
      </c>
      <c r="W95" t="s">
        <v>135</v>
      </c>
      <c r="X95" t="s">
        <v>135</v>
      </c>
      <c r="Y95" t="s">
        <v>135</v>
      </c>
      <c r="Z95" t="s">
        <v>135</v>
      </c>
      <c r="AA95" t="s">
        <v>135</v>
      </c>
      <c r="AB95" t="s">
        <v>135</v>
      </c>
      <c r="AC95" t="s">
        <v>135</v>
      </c>
      <c r="AD95" t="s">
        <v>135</v>
      </c>
      <c r="AE95" t="s">
        <v>135</v>
      </c>
      <c r="AF95" t="s">
        <v>135</v>
      </c>
      <c r="AG95" t="s">
        <v>135</v>
      </c>
      <c r="AH95" t="s">
        <v>135</v>
      </c>
      <c r="AI95" t="s">
        <v>135</v>
      </c>
      <c r="AJ95" t="s">
        <v>135</v>
      </c>
      <c r="AK95" t="s">
        <v>135</v>
      </c>
      <c r="AL95" t="s">
        <v>135</v>
      </c>
      <c r="AM95" t="s">
        <v>135</v>
      </c>
      <c r="AN95" t="s">
        <v>135</v>
      </c>
      <c r="AO95" t="s">
        <v>135</v>
      </c>
      <c r="AP95" t="s">
        <v>135</v>
      </c>
      <c r="AQ95" t="s">
        <v>135</v>
      </c>
      <c r="AR95" t="s">
        <v>135</v>
      </c>
      <c r="AS95" t="s">
        <v>135</v>
      </c>
      <c r="AT95" t="s">
        <v>135</v>
      </c>
      <c r="AU95" t="s">
        <v>135</v>
      </c>
      <c r="AV95" t="s">
        <v>135</v>
      </c>
      <c r="AW95" t="s">
        <v>135</v>
      </c>
      <c r="AX95" t="s">
        <v>135</v>
      </c>
      <c r="AY95" t="s">
        <v>135</v>
      </c>
      <c r="AZ95" t="s">
        <v>135</v>
      </c>
      <c r="BA95" t="s">
        <v>135</v>
      </c>
      <c r="BB95" t="s">
        <v>135</v>
      </c>
      <c r="BC95" t="s">
        <v>135</v>
      </c>
      <c r="BD95" t="s">
        <v>135</v>
      </c>
      <c r="BE95" t="s">
        <v>135</v>
      </c>
      <c r="BF95" t="s">
        <v>135</v>
      </c>
      <c r="BG95" t="s">
        <v>135</v>
      </c>
      <c r="BH95" t="s">
        <v>135</v>
      </c>
      <c r="BI95" t="s">
        <v>135</v>
      </c>
      <c r="BJ95" t="s">
        <v>135</v>
      </c>
      <c r="BK95" t="s">
        <v>135</v>
      </c>
      <c r="BL95" t="s">
        <v>135</v>
      </c>
      <c r="BM95" t="s">
        <v>135</v>
      </c>
      <c r="BN95" t="s">
        <v>135</v>
      </c>
      <c r="BO95" t="s">
        <v>135</v>
      </c>
      <c r="BP95" t="s">
        <v>135</v>
      </c>
      <c r="BQ95" t="s">
        <v>135</v>
      </c>
      <c r="BR95" t="s">
        <v>135</v>
      </c>
      <c r="BS95" t="s">
        <v>135</v>
      </c>
      <c r="BT95" t="s">
        <v>135</v>
      </c>
      <c r="BU95" t="s">
        <v>135</v>
      </c>
      <c r="BV95" t="s">
        <v>135</v>
      </c>
      <c r="BW95" t="s">
        <v>135</v>
      </c>
      <c r="BX95" t="s">
        <v>135</v>
      </c>
      <c r="BY95" t="s">
        <v>135</v>
      </c>
      <c r="BZ95" t="s">
        <v>135</v>
      </c>
      <c r="CA95" t="s">
        <v>135</v>
      </c>
      <c r="CB95" t="s">
        <v>135</v>
      </c>
      <c r="CC95" t="s">
        <v>135</v>
      </c>
      <c r="CD95" t="s">
        <v>135</v>
      </c>
      <c r="CE95" t="s">
        <v>135</v>
      </c>
      <c r="CF95" t="s">
        <v>135</v>
      </c>
      <c r="CG95" t="s">
        <v>135</v>
      </c>
      <c r="CH95" t="s">
        <v>135</v>
      </c>
      <c r="CI95" t="s">
        <v>135</v>
      </c>
      <c r="CJ95" t="s">
        <v>135</v>
      </c>
      <c r="CK95" t="s">
        <v>135</v>
      </c>
      <c r="CL95" t="s">
        <v>135</v>
      </c>
      <c r="CM95" t="s">
        <v>135</v>
      </c>
      <c r="CN95" t="s">
        <v>135</v>
      </c>
      <c r="CO95" t="s">
        <v>135</v>
      </c>
      <c r="CP95" t="s">
        <v>135</v>
      </c>
      <c r="CQ95" t="s">
        <v>135</v>
      </c>
      <c r="CR95" t="s">
        <v>135</v>
      </c>
      <c r="CS95" t="s">
        <v>135</v>
      </c>
      <c r="CT95" t="s">
        <v>135</v>
      </c>
      <c r="CU95" t="s">
        <v>135</v>
      </c>
      <c r="CV95" t="s">
        <v>135</v>
      </c>
      <c r="CW95" t="s">
        <v>135</v>
      </c>
      <c r="CX95" t="s">
        <v>135</v>
      </c>
      <c r="CY95" t="s">
        <v>135</v>
      </c>
      <c r="CZ95" t="s">
        <v>135</v>
      </c>
      <c r="DA95" t="s">
        <v>135</v>
      </c>
      <c r="DB95" t="s">
        <v>135</v>
      </c>
      <c r="DC95" t="s">
        <v>135</v>
      </c>
      <c r="DD95" t="s">
        <v>135</v>
      </c>
      <c r="DE95" t="s">
        <v>135</v>
      </c>
      <c r="DF95" t="s">
        <v>135</v>
      </c>
      <c r="DG95" t="s">
        <v>135</v>
      </c>
      <c r="DH95" t="s">
        <v>135</v>
      </c>
      <c r="DI95" t="s">
        <v>135</v>
      </c>
    </row>
    <row r="96" spans="4:113" x14ac:dyDescent="0.3">
      <c r="E96" t="s">
        <v>80</v>
      </c>
      <c r="F96" t="s">
        <v>135</v>
      </c>
      <c r="G96" t="s">
        <v>135</v>
      </c>
      <c r="H96" t="s">
        <v>135</v>
      </c>
      <c r="I96" t="s">
        <v>135</v>
      </c>
      <c r="J96" t="s">
        <v>135</v>
      </c>
      <c r="K96" t="s">
        <v>135</v>
      </c>
      <c r="L96" t="s">
        <v>135</v>
      </c>
      <c r="M96" t="s">
        <v>135</v>
      </c>
      <c r="N96" t="s">
        <v>135</v>
      </c>
      <c r="O96" t="s">
        <v>135</v>
      </c>
      <c r="P96" t="s">
        <v>135</v>
      </c>
      <c r="Q96" t="s">
        <v>135</v>
      </c>
      <c r="R96" t="s">
        <v>135</v>
      </c>
      <c r="S96" t="s">
        <v>135</v>
      </c>
      <c r="T96" t="s">
        <v>135</v>
      </c>
      <c r="U96" t="s">
        <v>135</v>
      </c>
      <c r="V96" t="s">
        <v>135</v>
      </c>
      <c r="W96" t="s">
        <v>135</v>
      </c>
      <c r="X96" t="s">
        <v>135</v>
      </c>
      <c r="Y96" t="s">
        <v>135</v>
      </c>
      <c r="Z96" t="s">
        <v>135</v>
      </c>
      <c r="AA96" t="s">
        <v>135</v>
      </c>
      <c r="AB96" t="s">
        <v>135</v>
      </c>
      <c r="AC96" t="s">
        <v>135</v>
      </c>
      <c r="AD96" t="s">
        <v>135</v>
      </c>
      <c r="AE96" t="s">
        <v>135</v>
      </c>
      <c r="AF96" t="s">
        <v>135</v>
      </c>
      <c r="AG96" t="s">
        <v>135</v>
      </c>
      <c r="AH96" t="s">
        <v>135</v>
      </c>
      <c r="AI96" t="s">
        <v>135</v>
      </c>
      <c r="AJ96" t="s">
        <v>135</v>
      </c>
      <c r="AK96" t="s">
        <v>135</v>
      </c>
      <c r="AL96" t="s">
        <v>135</v>
      </c>
      <c r="AM96" t="s">
        <v>135</v>
      </c>
      <c r="AN96" t="s">
        <v>135</v>
      </c>
      <c r="AO96" t="s">
        <v>135</v>
      </c>
      <c r="AP96" t="s">
        <v>135</v>
      </c>
      <c r="AQ96" t="s">
        <v>135</v>
      </c>
      <c r="AR96" t="s">
        <v>135</v>
      </c>
      <c r="AS96" t="s">
        <v>135</v>
      </c>
      <c r="AT96" t="s">
        <v>135</v>
      </c>
      <c r="AU96" t="s">
        <v>135</v>
      </c>
      <c r="AV96" t="s">
        <v>135</v>
      </c>
      <c r="AW96" t="s">
        <v>135</v>
      </c>
      <c r="AX96" t="s">
        <v>135</v>
      </c>
      <c r="AY96" t="s">
        <v>135</v>
      </c>
      <c r="AZ96" t="s">
        <v>135</v>
      </c>
      <c r="BA96" t="s">
        <v>135</v>
      </c>
      <c r="BB96" t="s">
        <v>135</v>
      </c>
      <c r="BC96" t="s">
        <v>135</v>
      </c>
      <c r="BD96" t="s">
        <v>135</v>
      </c>
      <c r="BE96" t="s">
        <v>135</v>
      </c>
      <c r="BF96" t="s">
        <v>135</v>
      </c>
      <c r="BG96" t="s">
        <v>135</v>
      </c>
      <c r="BH96" t="s">
        <v>135</v>
      </c>
      <c r="BI96" t="s">
        <v>135</v>
      </c>
      <c r="BJ96" t="s">
        <v>135</v>
      </c>
      <c r="BK96" t="s">
        <v>135</v>
      </c>
      <c r="BL96" t="s">
        <v>135</v>
      </c>
      <c r="BM96" t="s">
        <v>135</v>
      </c>
      <c r="BN96" t="s">
        <v>135</v>
      </c>
      <c r="BO96" t="s">
        <v>135</v>
      </c>
      <c r="BP96" t="s">
        <v>135</v>
      </c>
      <c r="BQ96" t="s">
        <v>135</v>
      </c>
      <c r="BR96" t="s">
        <v>135</v>
      </c>
      <c r="BS96" t="s">
        <v>135</v>
      </c>
      <c r="BT96" t="s">
        <v>135</v>
      </c>
      <c r="BU96" t="s">
        <v>135</v>
      </c>
      <c r="BV96" t="s">
        <v>135</v>
      </c>
      <c r="BW96" t="s">
        <v>135</v>
      </c>
      <c r="BX96" t="s">
        <v>135</v>
      </c>
      <c r="BY96" t="s">
        <v>135</v>
      </c>
      <c r="BZ96" t="s">
        <v>135</v>
      </c>
      <c r="CA96" t="s">
        <v>135</v>
      </c>
      <c r="CB96" t="s">
        <v>135</v>
      </c>
      <c r="CC96" t="s">
        <v>135</v>
      </c>
      <c r="CD96" t="s">
        <v>135</v>
      </c>
      <c r="CE96" t="s">
        <v>135</v>
      </c>
      <c r="CF96" t="s">
        <v>135</v>
      </c>
      <c r="CG96" t="s">
        <v>135</v>
      </c>
      <c r="CH96" t="s">
        <v>135</v>
      </c>
      <c r="CI96" t="s">
        <v>135</v>
      </c>
      <c r="CJ96" t="s">
        <v>135</v>
      </c>
      <c r="CK96" t="s">
        <v>135</v>
      </c>
      <c r="CL96" t="s">
        <v>135</v>
      </c>
      <c r="CM96" t="s">
        <v>135</v>
      </c>
      <c r="CN96" t="s">
        <v>135</v>
      </c>
      <c r="CO96" t="s">
        <v>135</v>
      </c>
      <c r="CP96" t="s">
        <v>135</v>
      </c>
      <c r="CQ96" t="s">
        <v>135</v>
      </c>
      <c r="CR96" t="s">
        <v>135</v>
      </c>
      <c r="CS96" t="s">
        <v>135</v>
      </c>
      <c r="CT96" t="s">
        <v>135</v>
      </c>
      <c r="CU96" t="s">
        <v>135</v>
      </c>
      <c r="CV96" t="s">
        <v>135</v>
      </c>
      <c r="CW96" t="s">
        <v>135</v>
      </c>
      <c r="CX96" t="s">
        <v>135</v>
      </c>
      <c r="CY96" t="s">
        <v>135</v>
      </c>
      <c r="CZ96" t="s">
        <v>135</v>
      </c>
      <c r="DA96" t="s">
        <v>135</v>
      </c>
      <c r="DB96" t="s">
        <v>135</v>
      </c>
      <c r="DC96" t="s">
        <v>135</v>
      </c>
      <c r="DD96" t="s">
        <v>135</v>
      </c>
      <c r="DE96" t="s">
        <v>135</v>
      </c>
      <c r="DF96" t="s">
        <v>135</v>
      </c>
      <c r="DG96" t="s">
        <v>135</v>
      </c>
      <c r="DH96" t="s">
        <v>135</v>
      </c>
      <c r="DI96" t="s">
        <v>135</v>
      </c>
    </row>
    <row r="97" spans="1:113" x14ac:dyDescent="0.3">
      <c r="E97" t="s">
        <v>81</v>
      </c>
      <c r="F97" t="s">
        <v>135</v>
      </c>
      <c r="G97" t="s">
        <v>135</v>
      </c>
      <c r="H97" t="s">
        <v>135</v>
      </c>
      <c r="I97" t="s">
        <v>135</v>
      </c>
      <c r="J97" t="s">
        <v>135</v>
      </c>
      <c r="K97" t="s">
        <v>135</v>
      </c>
      <c r="L97" t="s">
        <v>135</v>
      </c>
      <c r="M97" t="s">
        <v>135</v>
      </c>
      <c r="N97" t="s">
        <v>135</v>
      </c>
      <c r="O97" t="s">
        <v>135</v>
      </c>
      <c r="P97" t="s">
        <v>135</v>
      </c>
      <c r="Q97" t="s">
        <v>135</v>
      </c>
      <c r="R97" t="s">
        <v>135</v>
      </c>
      <c r="S97" t="s">
        <v>135</v>
      </c>
      <c r="T97" t="s">
        <v>135</v>
      </c>
      <c r="U97" t="s">
        <v>135</v>
      </c>
      <c r="V97" t="s">
        <v>135</v>
      </c>
      <c r="W97" t="s">
        <v>135</v>
      </c>
      <c r="X97" t="s">
        <v>135</v>
      </c>
      <c r="Y97" t="s">
        <v>135</v>
      </c>
      <c r="Z97" t="s">
        <v>135</v>
      </c>
      <c r="AA97" t="s">
        <v>135</v>
      </c>
      <c r="AB97" t="s">
        <v>135</v>
      </c>
      <c r="AC97" t="s">
        <v>135</v>
      </c>
      <c r="AD97" t="s">
        <v>135</v>
      </c>
      <c r="AE97" t="s">
        <v>135</v>
      </c>
      <c r="AF97" t="s">
        <v>135</v>
      </c>
      <c r="AG97" t="s">
        <v>135</v>
      </c>
      <c r="AH97" t="s">
        <v>135</v>
      </c>
      <c r="AI97" t="s">
        <v>135</v>
      </c>
      <c r="AJ97" t="s">
        <v>135</v>
      </c>
      <c r="AK97" t="s">
        <v>135</v>
      </c>
      <c r="AL97" t="s">
        <v>135</v>
      </c>
      <c r="AM97" t="s">
        <v>135</v>
      </c>
      <c r="AN97" t="s">
        <v>135</v>
      </c>
      <c r="AO97" t="s">
        <v>135</v>
      </c>
      <c r="AP97" t="s">
        <v>135</v>
      </c>
      <c r="AQ97" t="s">
        <v>135</v>
      </c>
      <c r="AR97" t="s">
        <v>135</v>
      </c>
      <c r="AS97" t="s">
        <v>135</v>
      </c>
      <c r="AT97" t="s">
        <v>135</v>
      </c>
      <c r="AU97" t="s">
        <v>135</v>
      </c>
      <c r="AV97" t="s">
        <v>135</v>
      </c>
      <c r="AW97" t="s">
        <v>135</v>
      </c>
      <c r="AX97" t="s">
        <v>135</v>
      </c>
      <c r="AY97" t="s">
        <v>135</v>
      </c>
      <c r="AZ97" t="s">
        <v>135</v>
      </c>
      <c r="BA97" t="s">
        <v>135</v>
      </c>
      <c r="BB97" t="s">
        <v>135</v>
      </c>
      <c r="BC97" t="s">
        <v>135</v>
      </c>
      <c r="BD97" t="s">
        <v>135</v>
      </c>
      <c r="BE97" t="s">
        <v>135</v>
      </c>
      <c r="BF97" t="s">
        <v>135</v>
      </c>
      <c r="BG97" t="s">
        <v>135</v>
      </c>
      <c r="BH97" t="s">
        <v>135</v>
      </c>
      <c r="BI97" t="s">
        <v>135</v>
      </c>
      <c r="BJ97" t="s">
        <v>135</v>
      </c>
      <c r="BK97" t="s">
        <v>135</v>
      </c>
      <c r="BL97" t="s">
        <v>135</v>
      </c>
      <c r="BM97" t="s">
        <v>135</v>
      </c>
      <c r="BN97" t="s">
        <v>135</v>
      </c>
      <c r="BO97" t="s">
        <v>135</v>
      </c>
      <c r="BP97" t="s">
        <v>135</v>
      </c>
      <c r="BQ97" t="s">
        <v>135</v>
      </c>
      <c r="BR97" t="s">
        <v>135</v>
      </c>
      <c r="BS97" t="s">
        <v>135</v>
      </c>
      <c r="BT97" t="s">
        <v>135</v>
      </c>
      <c r="BU97" t="s">
        <v>135</v>
      </c>
      <c r="BV97" t="s">
        <v>135</v>
      </c>
      <c r="BW97" t="s">
        <v>135</v>
      </c>
      <c r="BX97" t="s">
        <v>135</v>
      </c>
      <c r="BY97" t="s">
        <v>135</v>
      </c>
      <c r="BZ97" t="s">
        <v>135</v>
      </c>
      <c r="CA97" t="s">
        <v>135</v>
      </c>
      <c r="CB97" t="s">
        <v>135</v>
      </c>
      <c r="CC97" t="s">
        <v>135</v>
      </c>
      <c r="CD97" t="s">
        <v>135</v>
      </c>
      <c r="CE97" t="s">
        <v>135</v>
      </c>
      <c r="CF97" t="s">
        <v>135</v>
      </c>
      <c r="CG97" t="s">
        <v>135</v>
      </c>
      <c r="CH97" t="s">
        <v>135</v>
      </c>
      <c r="CI97" t="s">
        <v>135</v>
      </c>
      <c r="CJ97" t="s">
        <v>135</v>
      </c>
      <c r="CK97" t="s">
        <v>135</v>
      </c>
      <c r="CL97" t="s">
        <v>135</v>
      </c>
      <c r="CM97" t="s">
        <v>135</v>
      </c>
      <c r="CN97" t="s">
        <v>135</v>
      </c>
      <c r="CO97" t="s">
        <v>135</v>
      </c>
      <c r="CP97" t="s">
        <v>135</v>
      </c>
      <c r="CQ97" t="s">
        <v>135</v>
      </c>
      <c r="CR97" t="s">
        <v>135</v>
      </c>
      <c r="CS97" t="s">
        <v>135</v>
      </c>
      <c r="CT97" t="s">
        <v>135</v>
      </c>
      <c r="CU97" t="s">
        <v>135</v>
      </c>
      <c r="CV97" t="s">
        <v>135</v>
      </c>
      <c r="CW97" t="s">
        <v>135</v>
      </c>
      <c r="CX97" t="s">
        <v>135</v>
      </c>
      <c r="CY97" t="s">
        <v>135</v>
      </c>
      <c r="CZ97" t="s">
        <v>135</v>
      </c>
      <c r="DA97" t="s">
        <v>135</v>
      </c>
      <c r="DB97" t="s">
        <v>135</v>
      </c>
      <c r="DC97" t="s">
        <v>135</v>
      </c>
      <c r="DD97" t="s">
        <v>135</v>
      </c>
      <c r="DE97" t="s">
        <v>135</v>
      </c>
      <c r="DF97" t="s">
        <v>135</v>
      </c>
      <c r="DG97" t="s">
        <v>135</v>
      </c>
      <c r="DH97" t="s">
        <v>135</v>
      </c>
      <c r="DI97" t="s">
        <v>135</v>
      </c>
    </row>
    <row r="98" spans="1:113" x14ac:dyDescent="0.3">
      <c r="D98" t="s">
        <v>85</v>
      </c>
      <c r="E98" t="s">
        <v>77</v>
      </c>
      <c r="F98">
        <v>19.046399999999998</v>
      </c>
      <c r="G98">
        <v>1.0274000000000001</v>
      </c>
      <c r="H98" t="s">
        <v>135</v>
      </c>
      <c r="I98">
        <v>14.273400000000001</v>
      </c>
      <c r="J98" t="s">
        <v>135</v>
      </c>
      <c r="K98">
        <v>3.0392000000000001</v>
      </c>
      <c r="L98">
        <v>10.5474</v>
      </c>
      <c r="M98">
        <v>3.4965000000000002</v>
      </c>
      <c r="N98">
        <v>3.3959000000000001</v>
      </c>
      <c r="O98">
        <v>3.3959000000000001</v>
      </c>
      <c r="P98">
        <v>3.3959000000000001</v>
      </c>
      <c r="Q98">
        <v>2.8761000000000001</v>
      </c>
      <c r="R98">
        <v>17.385400000000001</v>
      </c>
      <c r="S98">
        <v>15.735099999999999</v>
      </c>
      <c r="T98">
        <v>11.536099999999999</v>
      </c>
      <c r="U98" t="s">
        <v>135</v>
      </c>
      <c r="V98">
        <v>55.994599999999998</v>
      </c>
      <c r="W98">
        <v>20.503699999999998</v>
      </c>
      <c r="X98">
        <v>20.418800000000001</v>
      </c>
      <c r="Y98" t="s">
        <v>135</v>
      </c>
      <c r="Z98" t="s">
        <v>135</v>
      </c>
      <c r="AA98" t="s">
        <v>135</v>
      </c>
      <c r="AB98">
        <v>7.9515000000000002</v>
      </c>
      <c r="AC98">
        <v>19.0428</v>
      </c>
      <c r="AD98" t="s">
        <v>135</v>
      </c>
      <c r="AE98" t="s">
        <v>135</v>
      </c>
      <c r="AF98" t="s">
        <v>135</v>
      </c>
      <c r="AG98" t="s">
        <v>135</v>
      </c>
      <c r="AH98" t="s">
        <v>135</v>
      </c>
      <c r="AI98">
        <v>17.574300000000001</v>
      </c>
      <c r="AJ98">
        <v>17.574300000000001</v>
      </c>
      <c r="AK98">
        <v>17.574300000000001</v>
      </c>
      <c r="AL98">
        <v>21.916799999999999</v>
      </c>
      <c r="AM98">
        <v>17.696400000000001</v>
      </c>
      <c r="AN98" t="s">
        <v>135</v>
      </c>
      <c r="AO98">
        <v>15.9832</v>
      </c>
      <c r="AP98">
        <v>12.793900000000001</v>
      </c>
      <c r="AQ98">
        <v>12.7902</v>
      </c>
      <c r="AR98" t="s">
        <v>135</v>
      </c>
      <c r="AS98" t="s">
        <v>135</v>
      </c>
      <c r="AT98" t="s">
        <v>135</v>
      </c>
      <c r="AU98">
        <v>15.2773</v>
      </c>
      <c r="AV98">
        <v>17.773099999999999</v>
      </c>
      <c r="AW98" t="s">
        <v>135</v>
      </c>
      <c r="AX98" t="s">
        <v>135</v>
      </c>
      <c r="AY98" t="s">
        <v>135</v>
      </c>
      <c r="AZ98" t="s">
        <v>135</v>
      </c>
      <c r="BA98" t="s">
        <v>135</v>
      </c>
      <c r="BB98">
        <v>18.991800000000001</v>
      </c>
      <c r="BC98">
        <v>18.991800000000001</v>
      </c>
      <c r="BD98">
        <v>18.991800000000001</v>
      </c>
      <c r="BE98">
        <v>49.304299999999998</v>
      </c>
      <c r="BF98">
        <v>11.536099999999999</v>
      </c>
      <c r="BG98" t="s">
        <v>135</v>
      </c>
      <c r="BH98">
        <v>55.994599999999998</v>
      </c>
      <c r="BI98">
        <v>20.503699999999998</v>
      </c>
      <c r="BJ98">
        <v>20.418800000000001</v>
      </c>
      <c r="BK98" t="s">
        <v>135</v>
      </c>
      <c r="BL98" t="s">
        <v>135</v>
      </c>
      <c r="BM98" t="s">
        <v>135</v>
      </c>
      <c r="BN98">
        <v>7.9515000000000002</v>
      </c>
      <c r="BO98">
        <v>19.0428</v>
      </c>
      <c r="BP98" t="s">
        <v>135</v>
      </c>
      <c r="BQ98" t="s">
        <v>135</v>
      </c>
      <c r="BR98" t="s">
        <v>135</v>
      </c>
      <c r="BS98" t="s">
        <v>135</v>
      </c>
      <c r="BT98" t="s">
        <v>135</v>
      </c>
      <c r="BU98">
        <v>17.574300000000001</v>
      </c>
      <c r="BV98">
        <v>17.574300000000001</v>
      </c>
      <c r="BW98">
        <v>17.574300000000001</v>
      </c>
      <c r="BX98" t="s">
        <v>135</v>
      </c>
      <c r="BY98">
        <v>0</v>
      </c>
      <c r="BZ98">
        <v>0</v>
      </c>
      <c r="CA98">
        <v>0</v>
      </c>
      <c r="CB98" t="s">
        <v>135</v>
      </c>
      <c r="CC98" t="s">
        <v>135</v>
      </c>
      <c r="CD98">
        <v>0</v>
      </c>
      <c r="CE98">
        <v>-2.5688</v>
      </c>
      <c r="CF98" t="s">
        <v>135</v>
      </c>
      <c r="CG98">
        <v>5.3635000000000002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-40.513199999999998</v>
      </c>
      <c r="CO98">
        <v>-68.104500000000002</v>
      </c>
      <c r="CP98" t="s">
        <v>135</v>
      </c>
      <c r="CQ98" t="s">
        <v>135</v>
      </c>
      <c r="CR98">
        <v>10295.280000000001</v>
      </c>
      <c r="CS98" t="s">
        <v>135</v>
      </c>
      <c r="CT98" t="s">
        <v>135</v>
      </c>
      <c r="CU98" t="s">
        <v>135</v>
      </c>
      <c r="CV98" t="s">
        <v>135</v>
      </c>
      <c r="CW98" t="s">
        <v>135</v>
      </c>
      <c r="CX98" t="s">
        <v>135</v>
      </c>
      <c r="CY98" t="s">
        <v>135</v>
      </c>
      <c r="CZ98" t="s">
        <v>135</v>
      </c>
      <c r="DA98" t="s">
        <v>135</v>
      </c>
      <c r="DB98" t="s">
        <v>135</v>
      </c>
      <c r="DC98" t="s">
        <v>135</v>
      </c>
      <c r="DD98" t="s">
        <v>135</v>
      </c>
      <c r="DE98" t="s">
        <v>135</v>
      </c>
      <c r="DF98" t="s">
        <v>135</v>
      </c>
      <c r="DG98" t="s">
        <v>135</v>
      </c>
      <c r="DH98" t="s">
        <v>135</v>
      </c>
      <c r="DI98" t="s">
        <v>135</v>
      </c>
    </row>
    <row r="99" spans="1:113" x14ac:dyDescent="0.3">
      <c r="E99" t="s">
        <v>78</v>
      </c>
      <c r="F99" t="s">
        <v>135</v>
      </c>
      <c r="G99" t="s">
        <v>135</v>
      </c>
      <c r="H99" t="s">
        <v>135</v>
      </c>
      <c r="I99" t="s">
        <v>135</v>
      </c>
      <c r="J99" t="s">
        <v>135</v>
      </c>
      <c r="K99" t="s">
        <v>135</v>
      </c>
      <c r="L99" t="s">
        <v>135</v>
      </c>
      <c r="M99" t="s">
        <v>135</v>
      </c>
      <c r="N99" t="s">
        <v>135</v>
      </c>
      <c r="O99" t="s">
        <v>135</v>
      </c>
      <c r="P99" t="s">
        <v>135</v>
      </c>
      <c r="Q99" t="s">
        <v>135</v>
      </c>
      <c r="R99" t="s">
        <v>135</v>
      </c>
      <c r="S99" t="s">
        <v>135</v>
      </c>
      <c r="T99" t="s">
        <v>135</v>
      </c>
      <c r="U99" t="s">
        <v>135</v>
      </c>
      <c r="V99" t="s">
        <v>135</v>
      </c>
      <c r="W99" t="s">
        <v>135</v>
      </c>
      <c r="X99" t="s">
        <v>135</v>
      </c>
      <c r="Y99" t="s">
        <v>135</v>
      </c>
      <c r="Z99" t="s">
        <v>135</v>
      </c>
      <c r="AA99" t="s">
        <v>135</v>
      </c>
      <c r="AB99" t="s">
        <v>135</v>
      </c>
      <c r="AC99" t="s">
        <v>135</v>
      </c>
      <c r="AD99" t="s">
        <v>135</v>
      </c>
      <c r="AE99" t="s">
        <v>135</v>
      </c>
      <c r="AF99" t="s">
        <v>135</v>
      </c>
      <c r="AG99" t="s">
        <v>135</v>
      </c>
      <c r="AH99" t="s">
        <v>135</v>
      </c>
      <c r="AI99" t="s">
        <v>135</v>
      </c>
      <c r="AJ99" t="s">
        <v>135</v>
      </c>
      <c r="AK99" t="s">
        <v>135</v>
      </c>
      <c r="AL99" t="s">
        <v>135</v>
      </c>
      <c r="AM99" t="s">
        <v>135</v>
      </c>
      <c r="AN99" t="s">
        <v>135</v>
      </c>
      <c r="AO99" t="s">
        <v>135</v>
      </c>
      <c r="AP99" t="s">
        <v>135</v>
      </c>
      <c r="AQ99" t="s">
        <v>135</v>
      </c>
      <c r="AR99" t="s">
        <v>135</v>
      </c>
      <c r="AS99" t="s">
        <v>135</v>
      </c>
      <c r="AT99" t="s">
        <v>135</v>
      </c>
      <c r="AU99" t="s">
        <v>135</v>
      </c>
      <c r="AV99" t="s">
        <v>135</v>
      </c>
      <c r="AW99" t="s">
        <v>135</v>
      </c>
      <c r="AX99" t="s">
        <v>135</v>
      </c>
      <c r="AY99" t="s">
        <v>135</v>
      </c>
      <c r="AZ99" t="s">
        <v>135</v>
      </c>
      <c r="BA99" t="s">
        <v>135</v>
      </c>
      <c r="BB99" t="s">
        <v>135</v>
      </c>
      <c r="BC99" t="s">
        <v>135</v>
      </c>
      <c r="BD99" t="s">
        <v>135</v>
      </c>
      <c r="BE99" t="s">
        <v>135</v>
      </c>
      <c r="BF99" t="s">
        <v>135</v>
      </c>
      <c r="BG99" t="s">
        <v>135</v>
      </c>
      <c r="BH99" t="s">
        <v>135</v>
      </c>
      <c r="BI99" t="s">
        <v>135</v>
      </c>
      <c r="BJ99" t="s">
        <v>135</v>
      </c>
      <c r="BK99" t="s">
        <v>135</v>
      </c>
      <c r="BL99" t="s">
        <v>135</v>
      </c>
      <c r="BM99" t="s">
        <v>135</v>
      </c>
      <c r="BN99" t="s">
        <v>135</v>
      </c>
      <c r="BO99" t="s">
        <v>135</v>
      </c>
      <c r="BP99" t="s">
        <v>135</v>
      </c>
      <c r="BQ99" t="s">
        <v>135</v>
      </c>
      <c r="BR99" t="s">
        <v>135</v>
      </c>
      <c r="BS99" t="s">
        <v>135</v>
      </c>
      <c r="BT99" t="s">
        <v>135</v>
      </c>
      <c r="BU99" t="s">
        <v>135</v>
      </c>
      <c r="BV99" t="s">
        <v>135</v>
      </c>
      <c r="BW99" t="s">
        <v>135</v>
      </c>
      <c r="BX99" t="s">
        <v>135</v>
      </c>
      <c r="BY99" t="s">
        <v>135</v>
      </c>
      <c r="BZ99" t="s">
        <v>135</v>
      </c>
      <c r="CA99" t="s">
        <v>135</v>
      </c>
      <c r="CB99" t="s">
        <v>135</v>
      </c>
      <c r="CC99" t="s">
        <v>135</v>
      </c>
      <c r="CD99" t="s">
        <v>135</v>
      </c>
      <c r="CE99" t="s">
        <v>135</v>
      </c>
      <c r="CF99" t="s">
        <v>135</v>
      </c>
      <c r="CG99" t="s">
        <v>135</v>
      </c>
      <c r="CH99" t="s">
        <v>135</v>
      </c>
      <c r="CI99" t="s">
        <v>135</v>
      </c>
      <c r="CJ99" t="s">
        <v>135</v>
      </c>
      <c r="CK99" t="s">
        <v>135</v>
      </c>
      <c r="CL99" t="s">
        <v>135</v>
      </c>
      <c r="CM99" t="s">
        <v>135</v>
      </c>
      <c r="CN99" t="s">
        <v>135</v>
      </c>
      <c r="CO99" t="s">
        <v>135</v>
      </c>
      <c r="CP99" t="s">
        <v>135</v>
      </c>
      <c r="CQ99" t="s">
        <v>135</v>
      </c>
      <c r="CR99" t="s">
        <v>135</v>
      </c>
      <c r="CS99" t="s">
        <v>135</v>
      </c>
      <c r="CT99" t="s">
        <v>135</v>
      </c>
      <c r="CU99" t="s">
        <v>135</v>
      </c>
      <c r="CV99" t="s">
        <v>135</v>
      </c>
      <c r="CW99" t="s">
        <v>135</v>
      </c>
      <c r="CX99" t="s">
        <v>135</v>
      </c>
      <c r="CY99" t="s">
        <v>135</v>
      </c>
      <c r="CZ99" t="s">
        <v>135</v>
      </c>
      <c r="DA99" t="s">
        <v>135</v>
      </c>
      <c r="DB99" t="s">
        <v>135</v>
      </c>
      <c r="DC99" t="s">
        <v>135</v>
      </c>
      <c r="DD99" t="s">
        <v>135</v>
      </c>
      <c r="DE99" t="s">
        <v>135</v>
      </c>
      <c r="DF99" t="s">
        <v>135</v>
      </c>
      <c r="DG99" t="s">
        <v>135</v>
      </c>
      <c r="DH99" t="s">
        <v>135</v>
      </c>
      <c r="DI99" t="s">
        <v>135</v>
      </c>
    </row>
    <row r="100" spans="1:113" x14ac:dyDescent="0.3">
      <c r="E100" t="s">
        <v>79</v>
      </c>
      <c r="F100" t="s">
        <v>135</v>
      </c>
      <c r="G100" t="s">
        <v>135</v>
      </c>
      <c r="H100" t="s">
        <v>135</v>
      </c>
      <c r="I100" t="s">
        <v>135</v>
      </c>
      <c r="J100" t="s">
        <v>135</v>
      </c>
      <c r="K100">
        <v>3.6625000000000001</v>
      </c>
      <c r="L100" t="s">
        <v>135</v>
      </c>
      <c r="M100">
        <v>3.0074999999999998</v>
      </c>
      <c r="N100">
        <v>2.9150999999999998</v>
      </c>
      <c r="O100">
        <v>2.9150999999999998</v>
      </c>
      <c r="P100">
        <v>2.9150999999999998</v>
      </c>
      <c r="Q100">
        <v>3.0737000000000001</v>
      </c>
      <c r="R100" t="s">
        <v>135</v>
      </c>
      <c r="S100" t="s">
        <v>135</v>
      </c>
      <c r="T100" t="s">
        <v>135</v>
      </c>
      <c r="U100" t="s">
        <v>135</v>
      </c>
      <c r="V100" t="s">
        <v>135</v>
      </c>
      <c r="W100" t="s">
        <v>135</v>
      </c>
      <c r="X100" t="s">
        <v>135</v>
      </c>
      <c r="Y100" t="s">
        <v>135</v>
      </c>
      <c r="Z100" t="s">
        <v>135</v>
      </c>
      <c r="AA100" t="s">
        <v>135</v>
      </c>
      <c r="AB100" t="s">
        <v>135</v>
      </c>
      <c r="AC100" t="s">
        <v>135</v>
      </c>
      <c r="AD100" t="s">
        <v>135</v>
      </c>
      <c r="AE100" t="s">
        <v>135</v>
      </c>
      <c r="AF100" t="s">
        <v>135</v>
      </c>
      <c r="AG100" t="s">
        <v>135</v>
      </c>
      <c r="AH100" t="s">
        <v>135</v>
      </c>
      <c r="AI100" t="s">
        <v>135</v>
      </c>
      <c r="AJ100" t="s">
        <v>135</v>
      </c>
      <c r="AK100" t="s">
        <v>135</v>
      </c>
      <c r="AL100" t="s">
        <v>135</v>
      </c>
      <c r="AM100" t="s">
        <v>135</v>
      </c>
      <c r="AN100" t="s">
        <v>135</v>
      </c>
      <c r="AO100" t="s">
        <v>135</v>
      </c>
      <c r="AP100" t="s">
        <v>135</v>
      </c>
      <c r="AQ100" t="s">
        <v>135</v>
      </c>
      <c r="AR100" t="s">
        <v>135</v>
      </c>
      <c r="AS100" t="s">
        <v>135</v>
      </c>
      <c r="AT100" t="s">
        <v>135</v>
      </c>
      <c r="AU100" t="s">
        <v>135</v>
      </c>
      <c r="AV100" t="s">
        <v>135</v>
      </c>
      <c r="AW100" t="s">
        <v>135</v>
      </c>
      <c r="AX100" t="s">
        <v>135</v>
      </c>
      <c r="AY100" t="s">
        <v>135</v>
      </c>
      <c r="AZ100" t="s">
        <v>135</v>
      </c>
      <c r="BA100" t="s">
        <v>135</v>
      </c>
      <c r="BB100" t="s">
        <v>135</v>
      </c>
      <c r="BC100" t="s">
        <v>135</v>
      </c>
      <c r="BD100" t="s">
        <v>135</v>
      </c>
      <c r="BE100" t="s">
        <v>135</v>
      </c>
      <c r="BF100" t="s">
        <v>135</v>
      </c>
      <c r="BG100" t="s">
        <v>135</v>
      </c>
      <c r="BH100" t="s">
        <v>135</v>
      </c>
      <c r="BI100" t="s">
        <v>135</v>
      </c>
      <c r="BJ100" t="s">
        <v>135</v>
      </c>
      <c r="BK100" t="s">
        <v>135</v>
      </c>
      <c r="BL100" t="s">
        <v>135</v>
      </c>
      <c r="BM100" t="s">
        <v>135</v>
      </c>
      <c r="BN100" t="s">
        <v>135</v>
      </c>
      <c r="BO100" t="s">
        <v>135</v>
      </c>
      <c r="BP100" t="s">
        <v>135</v>
      </c>
      <c r="BQ100" t="s">
        <v>135</v>
      </c>
      <c r="BR100" t="s">
        <v>135</v>
      </c>
      <c r="BS100" t="s">
        <v>135</v>
      </c>
      <c r="BT100" t="s">
        <v>135</v>
      </c>
      <c r="BU100" t="s">
        <v>135</v>
      </c>
      <c r="BV100" t="s">
        <v>135</v>
      </c>
      <c r="BW100" t="s">
        <v>135</v>
      </c>
      <c r="BX100" t="s">
        <v>135</v>
      </c>
      <c r="BY100">
        <v>0</v>
      </c>
      <c r="BZ100" t="s">
        <v>135</v>
      </c>
      <c r="CA100">
        <v>0</v>
      </c>
      <c r="CB100" t="s">
        <v>135</v>
      </c>
      <c r="CC100" t="s">
        <v>135</v>
      </c>
      <c r="CD100" t="s">
        <v>135</v>
      </c>
      <c r="CE100" t="s">
        <v>135</v>
      </c>
      <c r="CF100" t="s">
        <v>135</v>
      </c>
      <c r="CG100">
        <v>5.6462000000000003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-30.853000000000002</v>
      </c>
      <c r="CO100">
        <v>-44.619399999999999</v>
      </c>
      <c r="CP100" t="s">
        <v>135</v>
      </c>
      <c r="CQ100" t="s">
        <v>135</v>
      </c>
      <c r="CR100">
        <v>2832.8</v>
      </c>
      <c r="CS100" t="s">
        <v>135</v>
      </c>
      <c r="CT100" t="s">
        <v>135</v>
      </c>
      <c r="CU100" t="s">
        <v>135</v>
      </c>
      <c r="CV100" t="s">
        <v>135</v>
      </c>
      <c r="CW100" t="s">
        <v>135</v>
      </c>
      <c r="CX100" t="s">
        <v>135</v>
      </c>
      <c r="CY100" t="s">
        <v>135</v>
      </c>
      <c r="CZ100" t="s">
        <v>135</v>
      </c>
      <c r="DA100" t="s">
        <v>135</v>
      </c>
      <c r="DB100" t="s">
        <v>135</v>
      </c>
      <c r="DC100" t="s">
        <v>135</v>
      </c>
      <c r="DD100" t="s">
        <v>135</v>
      </c>
      <c r="DE100" t="s">
        <v>135</v>
      </c>
      <c r="DF100" t="s">
        <v>135</v>
      </c>
      <c r="DG100" t="s">
        <v>135</v>
      </c>
      <c r="DH100" t="s">
        <v>135</v>
      </c>
      <c r="DI100" t="s">
        <v>135</v>
      </c>
    </row>
    <row r="101" spans="1:113" x14ac:dyDescent="0.3">
      <c r="E101" t="s">
        <v>80</v>
      </c>
      <c r="F101" t="s">
        <v>135</v>
      </c>
      <c r="G101" t="s">
        <v>135</v>
      </c>
      <c r="H101" t="s">
        <v>135</v>
      </c>
      <c r="I101" t="s">
        <v>135</v>
      </c>
      <c r="J101" t="s">
        <v>135</v>
      </c>
      <c r="K101">
        <v>2.2625999999999999</v>
      </c>
      <c r="L101" t="s">
        <v>135</v>
      </c>
      <c r="M101">
        <v>2.5087000000000002</v>
      </c>
      <c r="N101">
        <v>2.4022000000000001</v>
      </c>
      <c r="O101">
        <v>2.4022000000000001</v>
      </c>
      <c r="P101">
        <v>2.4022000000000001</v>
      </c>
      <c r="Q101">
        <v>4.2454999999999998</v>
      </c>
      <c r="R101" t="s">
        <v>135</v>
      </c>
      <c r="S101" t="s">
        <v>135</v>
      </c>
      <c r="T101" t="s">
        <v>135</v>
      </c>
      <c r="U101" t="s">
        <v>135</v>
      </c>
      <c r="V101" t="s">
        <v>135</v>
      </c>
      <c r="W101" t="s">
        <v>135</v>
      </c>
      <c r="X101" t="s">
        <v>135</v>
      </c>
      <c r="Y101" t="s">
        <v>135</v>
      </c>
      <c r="Z101" t="s">
        <v>135</v>
      </c>
      <c r="AA101" t="s">
        <v>135</v>
      </c>
      <c r="AB101" t="s">
        <v>135</v>
      </c>
      <c r="AC101" t="s">
        <v>135</v>
      </c>
      <c r="AD101" t="s">
        <v>135</v>
      </c>
      <c r="AE101" t="s">
        <v>135</v>
      </c>
      <c r="AF101" t="s">
        <v>135</v>
      </c>
      <c r="AG101" t="s">
        <v>135</v>
      </c>
      <c r="AH101" t="s">
        <v>135</v>
      </c>
      <c r="AI101" t="s">
        <v>135</v>
      </c>
      <c r="AJ101" t="s">
        <v>135</v>
      </c>
      <c r="AK101" t="s">
        <v>135</v>
      </c>
      <c r="AL101" t="s">
        <v>135</v>
      </c>
      <c r="AM101" t="s">
        <v>135</v>
      </c>
      <c r="AN101" t="s">
        <v>135</v>
      </c>
      <c r="AO101" t="s">
        <v>135</v>
      </c>
      <c r="AP101" t="s">
        <v>135</v>
      </c>
      <c r="AQ101" t="s">
        <v>135</v>
      </c>
      <c r="AR101" t="s">
        <v>135</v>
      </c>
      <c r="AS101" t="s">
        <v>135</v>
      </c>
      <c r="AT101" t="s">
        <v>135</v>
      </c>
      <c r="AU101" t="s">
        <v>135</v>
      </c>
      <c r="AV101" t="s">
        <v>135</v>
      </c>
      <c r="AW101" t="s">
        <v>135</v>
      </c>
      <c r="AX101" t="s">
        <v>135</v>
      </c>
      <c r="AY101" t="s">
        <v>135</v>
      </c>
      <c r="AZ101" t="s">
        <v>135</v>
      </c>
      <c r="BA101" t="s">
        <v>135</v>
      </c>
      <c r="BB101" t="s">
        <v>135</v>
      </c>
      <c r="BC101" t="s">
        <v>135</v>
      </c>
      <c r="BD101" t="s">
        <v>135</v>
      </c>
      <c r="BE101" t="s">
        <v>135</v>
      </c>
      <c r="BF101">
        <v>23.939799999999998</v>
      </c>
      <c r="BG101" t="s">
        <v>135</v>
      </c>
      <c r="BH101">
        <v>-23.432600000000001</v>
      </c>
      <c r="BI101">
        <v>2.1333000000000002</v>
      </c>
      <c r="BJ101">
        <v>2.2222</v>
      </c>
      <c r="BK101" t="s">
        <v>135</v>
      </c>
      <c r="BL101" t="s">
        <v>135</v>
      </c>
      <c r="BM101" t="s">
        <v>135</v>
      </c>
      <c r="BN101">
        <v>-0.87529999999999997</v>
      </c>
      <c r="BO101">
        <v>6.7347000000000001</v>
      </c>
      <c r="BP101" t="s">
        <v>135</v>
      </c>
      <c r="BQ101" t="s">
        <v>135</v>
      </c>
      <c r="BR101" t="s">
        <v>135</v>
      </c>
      <c r="BS101" t="s">
        <v>135</v>
      </c>
      <c r="BT101" t="s">
        <v>135</v>
      </c>
      <c r="BU101">
        <v>4.0885999999999996</v>
      </c>
      <c r="BV101">
        <v>4.0885999999999996</v>
      </c>
      <c r="BW101">
        <v>4.0885999999999996</v>
      </c>
      <c r="BX101" t="s">
        <v>135</v>
      </c>
      <c r="BY101">
        <v>0</v>
      </c>
      <c r="BZ101">
        <v>0</v>
      </c>
      <c r="CA101">
        <v>0</v>
      </c>
      <c r="CB101" t="s">
        <v>135</v>
      </c>
      <c r="CC101" t="s">
        <v>135</v>
      </c>
      <c r="CD101" t="s">
        <v>135</v>
      </c>
      <c r="CE101" t="s">
        <v>135</v>
      </c>
      <c r="CF101" t="s">
        <v>135</v>
      </c>
      <c r="CG101">
        <v>5.5061999999999998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-39.162599999999998</v>
      </c>
      <c r="CO101">
        <v>-64.372600000000006</v>
      </c>
      <c r="CP101" t="s">
        <v>135</v>
      </c>
      <c r="CQ101" t="s">
        <v>135</v>
      </c>
      <c r="CR101">
        <v>2169</v>
      </c>
      <c r="CS101" t="s">
        <v>135</v>
      </c>
      <c r="CT101" t="s">
        <v>135</v>
      </c>
      <c r="CU101" t="s">
        <v>135</v>
      </c>
      <c r="CV101" t="s">
        <v>135</v>
      </c>
      <c r="CW101" t="s">
        <v>135</v>
      </c>
      <c r="CX101" t="s">
        <v>135</v>
      </c>
      <c r="CY101" t="s">
        <v>135</v>
      </c>
      <c r="CZ101" t="s">
        <v>135</v>
      </c>
      <c r="DA101" t="s">
        <v>135</v>
      </c>
      <c r="DB101" t="s">
        <v>135</v>
      </c>
      <c r="DC101" t="s">
        <v>135</v>
      </c>
      <c r="DD101" t="s">
        <v>135</v>
      </c>
      <c r="DE101" t="s">
        <v>135</v>
      </c>
      <c r="DF101" t="s">
        <v>135</v>
      </c>
      <c r="DG101" t="s">
        <v>135</v>
      </c>
      <c r="DH101" t="s">
        <v>135</v>
      </c>
      <c r="DI101" t="s">
        <v>135</v>
      </c>
    </row>
    <row r="102" spans="1:113" x14ac:dyDescent="0.3">
      <c r="E102" t="s">
        <v>81</v>
      </c>
      <c r="F102" t="s">
        <v>135</v>
      </c>
      <c r="G102" t="s">
        <v>135</v>
      </c>
      <c r="H102" t="s">
        <v>135</v>
      </c>
      <c r="I102" t="s">
        <v>135</v>
      </c>
      <c r="J102" t="s">
        <v>135</v>
      </c>
      <c r="K102">
        <v>3.8721999999999999</v>
      </c>
      <c r="L102" t="s">
        <v>135</v>
      </c>
      <c r="M102">
        <v>3.8277999999999999</v>
      </c>
      <c r="N102">
        <v>3.7496999999999998</v>
      </c>
      <c r="O102">
        <v>3.7496999999999998</v>
      </c>
      <c r="P102">
        <v>3.7496999999999998</v>
      </c>
      <c r="Q102">
        <v>2.0403000000000002</v>
      </c>
      <c r="R102">
        <v>52.464500000000001</v>
      </c>
      <c r="S102" t="s">
        <v>135</v>
      </c>
      <c r="T102" t="s">
        <v>135</v>
      </c>
      <c r="U102" t="s">
        <v>135</v>
      </c>
      <c r="V102" t="s">
        <v>135</v>
      </c>
      <c r="W102" t="s">
        <v>135</v>
      </c>
      <c r="X102" t="s">
        <v>135</v>
      </c>
      <c r="Y102" t="s">
        <v>135</v>
      </c>
      <c r="Z102" t="s">
        <v>135</v>
      </c>
      <c r="AA102" t="s">
        <v>135</v>
      </c>
      <c r="AB102" t="s">
        <v>135</v>
      </c>
      <c r="AC102" t="s">
        <v>135</v>
      </c>
      <c r="AD102" t="s">
        <v>135</v>
      </c>
      <c r="AE102" t="s">
        <v>135</v>
      </c>
      <c r="AF102" t="s">
        <v>135</v>
      </c>
      <c r="AG102" t="s">
        <v>135</v>
      </c>
      <c r="AH102" t="s">
        <v>135</v>
      </c>
      <c r="AI102" t="s">
        <v>135</v>
      </c>
      <c r="AJ102" t="s">
        <v>135</v>
      </c>
      <c r="AK102" t="s">
        <v>135</v>
      </c>
      <c r="AL102" t="s">
        <v>135</v>
      </c>
      <c r="AM102" t="s">
        <v>135</v>
      </c>
      <c r="AN102" t="s">
        <v>135</v>
      </c>
      <c r="AO102" t="s">
        <v>135</v>
      </c>
      <c r="AP102" t="s">
        <v>135</v>
      </c>
      <c r="AQ102" t="s">
        <v>135</v>
      </c>
      <c r="AR102" t="s">
        <v>135</v>
      </c>
      <c r="AS102" t="s">
        <v>135</v>
      </c>
      <c r="AT102" t="s">
        <v>135</v>
      </c>
      <c r="AU102" t="s">
        <v>135</v>
      </c>
      <c r="AV102" t="s">
        <v>135</v>
      </c>
      <c r="AW102" t="s">
        <v>135</v>
      </c>
      <c r="AX102" t="s">
        <v>135</v>
      </c>
      <c r="AY102" t="s">
        <v>135</v>
      </c>
      <c r="AZ102" t="s">
        <v>135</v>
      </c>
      <c r="BA102" t="s">
        <v>135</v>
      </c>
      <c r="BB102" t="s">
        <v>135</v>
      </c>
      <c r="BC102" t="s">
        <v>135</v>
      </c>
      <c r="BD102" t="s">
        <v>135</v>
      </c>
      <c r="BE102" t="s">
        <v>135</v>
      </c>
      <c r="BF102">
        <v>6.0526</v>
      </c>
      <c r="BG102" t="s">
        <v>135</v>
      </c>
      <c r="BH102">
        <v>81.493799999999993</v>
      </c>
      <c r="BI102">
        <v>65.541899999999998</v>
      </c>
      <c r="BJ102">
        <v>65.652199999999993</v>
      </c>
      <c r="BK102" t="s">
        <v>135</v>
      </c>
      <c r="BL102" t="s">
        <v>135</v>
      </c>
      <c r="BM102" t="s">
        <v>135</v>
      </c>
      <c r="BN102">
        <v>4.7485999999999997</v>
      </c>
      <c r="BO102">
        <v>4.1409000000000002</v>
      </c>
      <c r="BP102" t="s">
        <v>135</v>
      </c>
      <c r="BQ102" t="s">
        <v>135</v>
      </c>
      <c r="BR102" t="s">
        <v>135</v>
      </c>
      <c r="BS102" t="s">
        <v>135</v>
      </c>
      <c r="BT102" t="s">
        <v>135</v>
      </c>
      <c r="BU102">
        <v>1.4410000000000001</v>
      </c>
      <c r="BV102">
        <v>1.4410000000000001</v>
      </c>
      <c r="BW102">
        <v>1.4410000000000001</v>
      </c>
      <c r="BX102" t="s">
        <v>135</v>
      </c>
      <c r="BY102">
        <v>0</v>
      </c>
      <c r="BZ102">
        <v>0</v>
      </c>
      <c r="CA102">
        <v>0</v>
      </c>
      <c r="CB102" t="s">
        <v>135</v>
      </c>
      <c r="CC102" t="s">
        <v>135</v>
      </c>
      <c r="CD102" t="s">
        <v>135</v>
      </c>
      <c r="CE102" t="s">
        <v>135</v>
      </c>
      <c r="CF102" t="s">
        <v>135</v>
      </c>
      <c r="CG102">
        <v>5.3635000000000002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-40.513199999999998</v>
      </c>
      <c r="CO102">
        <v>-68.104500000000002</v>
      </c>
      <c r="CP102" t="s">
        <v>135</v>
      </c>
      <c r="CQ102" t="s">
        <v>135</v>
      </c>
      <c r="CR102">
        <v>3936.6</v>
      </c>
      <c r="CS102" t="s">
        <v>135</v>
      </c>
      <c r="CT102" t="s">
        <v>135</v>
      </c>
      <c r="CU102" t="s">
        <v>135</v>
      </c>
      <c r="CV102" t="s">
        <v>135</v>
      </c>
      <c r="CW102" t="s">
        <v>135</v>
      </c>
      <c r="CX102" t="s">
        <v>135</v>
      </c>
      <c r="CY102" t="s">
        <v>135</v>
      </c>
      <c r="CZ102" t="s">
        <v>135</v>
      </c>
      <c r="DA102" t="s">
        <v>135</v>
      </c>
      <c r="DB102" t="s">
        <v>135</v>
      </c>
      <c r="DC102" t="s">
        <v>135</v>
      </c>
      <c r="DD102" t="s">
        <v>135</v>
      </c>
      <c r="DE102" t="s">
        <v>135</v>
      </c>
      <c r="DF102" t="s">
        <v>135</v>
      </c>
      <c r="DG102" t="s">
        <v>135</v>
      </c>
      <c r="DH102" t="s">
        <v>135</v>
      </c>
      <c r="DI102" t="s">
        <v>135</v>
      </c>
    </row>
    <row r="103" spans="1:113" x14ac:dyDescent="0.3">
      <c r="A103">
        <v>80</v>
      </c>
      <c r="B103" t="s">
        <v>92</v>
      </c>
      <c r="C103" t="s">
        <v>93</v>
      </c>
      <c r="D103" t="s">
        <v>76</v>
      </c>
      <c r="E103" t="s">
        <v>77</v>
      </c>
      <c r="F103">
        <v>18.404699999999998</v>
      </c>
      <c r="G103">
        <v>11.6721</v>
      </c>
      <c r="H103">
        <v>16.1874</v>
      </c>
      <c r="I103">
        <v>14.4215</v>
      </c>
      <c r="J103">
        <v>23.192599999999999</v>
      </c>
      <c r="K103">
        <v>13.8338</v>
      </c>
      <c r="L103" t="s">
        <v>135</v>
      </c>
      <c r="M103">
        <v>13.872299999999999</v>
      </c>
      <c r="N103">
        <v>13.3973</v>
      </c>
      <c r="O103">
        <v>13.3973</v>
      </c>
      <c r="P103">
        <v>13.3973</v>
      </c>
      <c r="Q103">
        <v>3.4239999999999999</v>
      </c>
      <c r="R103">
        <v>9.7359000000000009</v>
      </c>
      <c r="S103">
        <v>16.6129</v>
      </c>
      <c r="T103">
        <v>5.5457999999999998</v>
      </c>
      <c r="U103">
        <v>-12.144500000000001</v>
      </c>
      <c r="V103">
        <v>-27.131699999999999</v>
      </c>
      <c r="W103">
        <v>-21.587900000000001</v>
      </c>
      <c r="X103">
        <v>-21.587199999999999</v>
      </c>
      <c r="Y103">
        <v>10</v>
      </c>
      <c r="Z103">
        <v>-5.7427000000000001</v>
      </c>
      <c r="AA103">
        <v>52.650399999999998</v>
      </c>
      <c r="AB103">
        <v>54.143799999999999</v>
      </c>
      <c r="AC103">
        <v>18.970300000000002</v>
      </c>
      <c r="AD103">
        <v>20.200399999999998</v>
      </c>
      <c r="AE103">
        <v>-2.5901999999999998</v>
      </c>
      <c r="AF103">
        <v>132.28479999999999</v>
      </c>
      <c r="AG103">
        <v>-10.882</v>
      </c>
      <c r="AH103">
        <v>-6.8597000000000001</v>
      </c>
      <c r="AI103">
        <v>22.561800000000002</v>
      </c>
      <c r="AJ103">
        <v>15.1762</v>
      </c>
      <c r="AK103">
        <v>22.561800000000002</v>
      </c>
      <c r="AL103">
        <v>23.0517</v>
      </c>
      <c r="AM103" t="s">
        <v>135</v>
      </c>
      <c r="AN103" t="s">
        <v>135</v>
      </c>
      <c r="AO103" t="s">
        <v>135</v>
      </c>
      <c r="AP103" t="s">
        <v>135</v>
      </c>
      <c r="AQ103" t="s">
        <v>135</v>
      </c>
      <c r="AR103" t="s">
        <v>135</v>
      </c>
      <c r="AS103" t="s">
        <v>135</v>
      </c>
      <c r="AT103" t="s">
        <v>135</v>
      </c>
      <c r="AU103" t="s">
        <v>135</v>
      </c>
      <c r="AV103" t="s">
        <v>135</v>
      </c>
      <c r="AW103" t="s">
        <v>135</v>
      </c>
      <c r="AX103" t="s">
        <v>135</v>
      </c>
      <c r="AY103" t="s">
        <v>135</v>
      </c>
      <c r="AZ103" t="s">
        <v>135</v>
      </c>
      <c r="BA103" t="s">
        <v>135</v>
      </c>
      <c r="BB103" t="s">
        <v>135</v>
      </c>
      <c r="BC103" t="s">
        <v>135</v>
      </c>
      <c r="BD103" t="s">
        <v>135</v>
      </c>
      <c r="BE103" t="s">
        <v>135</v>
      </c>
      <c r="BF103">
        <v>5.5457999999999998</v>
      </c>
      <c r="BG103">
        <v>-12.144500000000001</v>
      </c>
      <c r="BH103">
        <v>-27.131699999999999</v>
      </c>
      <c r="BI103">
        <v>-21.587900000000001</v>
      </c>
      <c r="BJ103">
        <v>-21.587199999999999</v>
      </c>
      <c r="BK103">
        <v>10</v>
      </c>
      <c r="BL103">
        <v>-5.7427000000000001</v>
      </c>
      <c r="BM103">
        <v>52.650399999999998</v>
      </c>
      <c r="BN103">
        <v>54.143799999999999</v>
      </c>
      <c r="BO103">
        <v>18.970300000000002</v>
      </c>
      <c r="BP103">
        <v>20.200399999999998</v>
      </c>
      <c r="BQ103">
        <v>-2.5901999999999998</v>
      </c>
      <c r="BR103">
        <v>132.28479999999999</v>
      </c>
      <c r="BS103">
        <v>-10.882</v>
      </c>
      <c r="BT103">
        <v>-6.8597000000000001</v>
      </c>
      <c r="BU103">
        <v>22.561800000000002</v>
      </c>
      <c r="BV103">
        <v>15.1762</v>
      </c>
      <c r="BW103">
        <v>22.561800000000002</v>
      </c>
      <c r="BX103">
        <v>23.0517</v>
      </c>
      <c r="BY103">
        <v>11998.7</v>
      </c>
      <c r="BZ103">
        <v>7531.9</v>
      </c>
      <c r="CA103">
        <v>4466.8</v>
      </c>
      <c r="CB103">
        <v>0.88049999999999995</v>
      </c>
      <c r="CC103">
        <v>0.23150000000000001</v>
      </c>
      <c r="CD103">
        <v>1.4761</v>
      </c>
      <c r="CE103">
        <v>0.3881</v>
      </c>
      <c r="CF103">
        <v>12.3529</v>
      </c>
      <c r="CG103">
        <v>64.278999999999996</v>
      </c>
      <c r="CH103">
        <v>9.4819999999999993</v>
      </c>
      <c r="CI103">
        <v>7.5571999999999999</v>
      </c>
      <c r="CJ103">
        <v>6.0949999999999998</v>
      </c>
      <c r="CK103">
        <v>25.470600000000001</v>
      </c>
      <c r="CL103">
        <v>20.3</v>
      </c>
      <c r="CM103">
        <v>16.372199999999999</v>
      </c>
      <c r="CN103">
        <v>6.6975999999999996</v>
      </c>
      <c r="CO103">
        <v>6.2771999999999997</v>
      </c>
      <c r="CP103">
        <v>13627.7</v>
      </c>
      <c r="CQ103">
        <v>-2218.5</v>
      </c>
      <c r="CR103">
        <v>8128.6</v>
      </c>
      <c r="CS103">
        <v>0.58979999999999999</v>
      </c>
      <c r="CT103">
        <v>1.5552999999999999</v>
      </c>
      <c r="CU103">
        <v>0.78769999999999996</v>
      </c>
      <c r="CV103">
        <v>7.2214</v>
      </c>
      <c r="CW103">
        <v>19.2258</v>
      </c>
      <c r="CX103">
        <v>18.9849</v>
      </c>
      <c r="CY103">
        <v>1.038</v>
      </c>
      <c r="CZ103">
        <v>351.62509999999997</v>
      </c>
      <c r="DA103">
        <v>7.2667999999999999</v>
      </c>
      <c r="DB103">
        <v>50.228099999999998</v>
      </c>
      <c r="DC103">
        <v>320.38189999999997</v>
      </c>
      <c r="DD103">
        <v>370.61</v>
      </c>
      <c r="DE103">
        <v>8097.8</v>
      </c>
      <c r="DF103">
        <v>261.60000000000002</v>
      </c>
      <c r="DG103">
        <v>427.2</v>
      </c>
      <c r="DH103">
        <v>4071.8</v>
      </c>
      <c r="DI103">
        <v>3337.2</v>
      </c>
    </row>
    <row r="104" spans="1:113" x14ac:dyDescent="0.3">
      <c r="E104" t="s">
        <v>78</v>
      </c>
      <c r="F104" t="s">
        <v>135</v>
      </c>
      <c r="G104" t="s">
        <v>135</v>
      </c>
      <c r="H104" t="s">
        <v>135</v>
      </c>
      <c r="I104" t="s">
        <v>135</v>
      </c>
      <c r="J104" t="s">
        <v>135</v>
      </c>
      <c r="K104" t="s">
        <v>135</v>
      </c>
      <c r="L104" t="s">
        <v>135</v>
      </c>
      <c r="M104" t="s">
        <v>135</v>
      </c>
      <c r="N104" t="s">
        <v>135</v>
      </c>
      <c r="O104" t="s">
        <v>135</v>
      </c>
      <c r="P104" t="s">
        <v>135</v>
      </c>
      <c r="Q104" t="s">
        <v>135</v>
      </c>
      <c r="R104" t="s">
        <v>135</v>
      </c>
      <c r="S104" t="s">
        <v>135</v>
      </c>
      <c r="T104" t="s">
        <v>135</v>
      </c>
      <c r="U104" t="s">
        <v>135</v>
      </c>
      <c r="V104" t="s">
        <v>135</v>
      </c>
      <c r="W104" t="s">
        <v>135</v>
      </c>
      <c r="X104" t="s">
        <v>135</v>
      </c>
      <c r="Y104" t="s">
        <v>135</v>
      </c>
      <c r="Z104" t="s">
        <v>135</v>
      </c>
      <c r="AA104" t="s">
        <v>135</v>
      </c>
      <c r="AB104" t="s">
        <v>135</v>
      </c>
      <c r="AC104" t="s">
        <v>135</v>
      </c>
      <c r="AD104" t="s">
        <v>135</v>
      </c>
      <c r="AE104" t="s">
        <v>135</v>
      </c>
      <c r="AF104" t="s">
        <v>135</v>
      </c>
      <c r="AG104" t="s">
        <v>135</v>
      </c>
      <c r="AH104" t="s">
        <v>135</v>
      </c>
      <c r="AI104" t="s">
        <v>135</v>
      </c>
      <c r="AJ104" t="s">
        <v>135</v>
      </c>
      <c r="AK104" t="s">
        <v>135</v>
      </c>
      <c r="AL104" t="s">
        <v>135</v>
      </c>
      <c r="AM104" t="s">
        <v>135</v>
      </c>
      <c r="AN104" t="s">
        <v>135</v>
      </c>
      <c r="AO104" t="s">
        <v>135</v>
      </c>
      <c r="AP104" t="s">
        <v>135</v>
      </c>
      <c r="AQ104" t="s">
        <v>135</v>
      </c>
      <c r="AR104" t="s">
        <v>135</v>
      </c>
      <c r="AS104" t="s">
        <v>135</v>
      </c>
      <c r="AT104" t="s">
        <v>135</v>
      </c>
      <c r="AU104" t="s">
        <v>135</v>
      </c>
      <c r="AV104" t="s">
        <v>135</v>
      </c>
      <c r="AW104" t="s">
        <v>135</v>
      </c>
      <c r="AX104" t="s">
        <v>135</v>
      </c>
      <c r="AY104" t="s">
        <v>135</v>
      </c>
      <c r="AZ104" t="s">
        <v>135</v>
      </c>
      <c r="BA104" t="s">
        <v>135</v>
      </c>
      <c r="BB104" t="s">
        <v>135</v>
      </c>
      <c r="BC104" t="s">
        <v>135</v>
      </c>
      <c r="BD104" t="s">
        <v>135</v>
      </c>
      <c r="BE104" t="s">
        <v>135</v>
      </c>
      <c r="BF104" t="s">
        <v>135</v>
      </c>
      <c r="BG104" t="s">
        <v>135</v>
      </c>
      <c r="BH104" t="s">
        <v>135</v>
      </c>
      <c r="BI104" t="s">
        <v>135</v>
      </c>
      <c r="BJ104" t="s">
        <v>135</v>
      </c>
      <c r="BK104" t="s">
        <v>135</v>
      </c>
      <c r="BL104" t="s">
        <v>135</v>
      </c>
      <c r="BM104" t="s">
        <v>135</v>
      </c>
      <c r="BN104" t="s">
        <v>135</v>
      </c>
      <c r="BO104" t="s">
        <v>135</v>
      </c>
      <c r="BP104" t="s">
        <v>135</v>
      </c>
      <c r="BQ104" t="s">
        <v>135</v>
      </c>
      <c r="BR104" t="s">
        <v>135</v>
      </c>
      <c r="BS104" t="s">
        <v>135</v>
      </c>
      <c r="BT104" t="s">
        <v>135</v>
      </c>
      <c r="BU104" t="s">
        <v>135</v>
      </c>
      <c r="BV104" t="s">
        <v>135</v>
      </c>
      <c r="BW104" t="s">
        <v>135</v>
      </c>
      <c r="BX104" t="s">
        <v>135</v>
      </c>
      <c r="BY104" t="s">
        <v>135</v>
      </c>
      <c r="BZ104" t="s">
        <v>135</v>
      </c>
      <c r="CA104" t="s">
        <v>135</v>
      </c>
      <c r="CB104" t="s">
        <v>135</v>
      </c>
      <c r="CC104" t="s">
        <v>135</v>
      </c>
      <c r="CD104" t="s">
        <v>135</v>
      </c>
      <c r="CE104" t="s">
        <v>135</v>
      </c>
      <c r="CF104" t="s">
        <v>135</v>
      </c>
      <c r="CG104" t="s">
        <v>135</v>
      </c>
      <c r="CH104" t="s">
        <v>135</v>
      </c>
      <c r="CI104" t="s">
        <v>135</v>
      </c>
      <c r="CJ104" t="s">
        <v>135</v>
      </c>
      <c r="CK104" t="s">
        <v>135</v>
      </c>
      <c r="CL104" t="s">
        <v>135</v>
      </c>
      <c r="CM104" t="s">
        <v>135</v>
      </c>
      <c r="CN104" t="s">
        <v>135</v>
      </c>
      <c r="CO104" t="s">
        <v>135</v>
      </c>
      <c r="CP104" t="s">
        <v>135</v>
      </c>
      <c r="CQ104" t="s">
        <v>135</v>
      </c>
      <c r="CR104" t="s">
        <v>135</v>
      </c>
      <c r="CS104" t="s">
        <v>135</v>
      </c>
      <c r="CT104" t="s">
        <v>135</v>
      </c>
      <c r="CU104" t="s">
        <v>135</v>
      </c>
      <c r="CV104" t="s">
        <v>135</v>
      </c>
      <c r="CW104" t="s">
        <v>135</v>
      </c>
      <c r="CX104" t="s">
        <v>135</v>
      </c>
      <c r="CY104" t="s">
        <v>135</v>
      </c>
      <c r="CZ104" t="s">
        <v>135</v>
      </c>
      <c r="DA104" t="s">
        <v>135</v>
      </c>
      <c r="DB104" t="s">
        <v>135</v>
      </c>
      <c r="DC104" t="s">
        <v>135</v>
      </c>
      <c r="DD104" t="s">
        <v>135</v>
      </c>
      <c r="DE104" t="s">
        <v>135</v>
      </c>
      <c r="DF104" t="s">
        <v>135</v>
      </c>
      <c r="DG104" t="s">
        <v>135</v>
      </c>
      <c r="DH104" t="s">
        <v>135</v>
      </c>
      <c r="DI104" t="s">
        <v>135</v>
      </c>
    </row>
    <row r="105" spans="1:113" x14ac:dyDescent="0.3">
      <c r="E105" t="s">
        <v>79</v>
      </c>
      <c r="F105" t="s">
        <v>135</v>
      </c>
      <c r="G105" t="s">
        <v>135</v>
      </c>
      <c r="H105" t="s">
        <v>135</v>
      </c>
      <c r="I105" t="s">
        <v>135</v>
      </c>
      <c r="J105" t="s">
        <v>135</v>
      </c>
      <c r="K105" t="s">
        <v>135</v>
      </c>
      <c r="L105" t="s">
        <v>135</v>
      </c>
      <c r="M105" t="s">
        <v>135</v>
      </c>
      <c r="N105" t="s">
        <v>135</v>
      </c>
      <c r="O105" t="s">
        <v>135</v>
      </c>
      <c r="P105" t="s">
        <v>135</v>
      </c>
      <c r="Q105" t="s">
        <v>135</v>
      </c>
      <c r="R105" t="s">
        <v>135</v>
      </c>
      <c r="S105" t="s">
        <v>135</v>
      </c>
      <c r="T105" t="s">
        <v>135</v>
      </c>
      <c r="U105" t="s">
        <v>135</v>
      </c>
      <c r="V105" t="s">
        <v>135</v>
      </c>
      <c r="W105" t="s">
        <v>135</v>
      </c>
      <c r="X105" t="s">
        <v>135</v>
      </c>
      <c r="Y105" t="s">
        <v>135</v>
      </c>
      <c r="Z105" t="s">
        <v>135</v>
      </c>
      <c r="AA105" t="s">
        <v>135</v>
      </c>
      <c r="AB105" t="s">
        <v>135</v>
      </c>
      <c r="AC105" t="s">
        <v>135</v>
      </c>
      <c r="AD105" t="s">
        <v>135</v>
      </c>
      <c r="AE105" t="s">
        <v>135</v>
      </c>
      <c r="AF105" t="s">
        <v>135</v>
      </c>
      <c r="AG105" t="s">
        <v>135</v>
      </c>
      <c r="AH105" t="s">
        <v>135</v>
      </c>
      <c r="AI105" t="s">
        <v>135</v>
      </c>
      <c r="AJ105" t="s">
        <v>135</v>
      </c>
      <c r="AK105" t="s">
        <v>135</v>
      </c>
      <c r="AL105" t="s">
        <v>135</v>
      </c>
      <c r="AM105" t="s">
        <v>135</v>
      </c>
      <c r="AN105" t="s">
        <v>135</v>
      </c>
      <c r="AO105" t="s">
        <v>135</v>
      </c>
      <c r="AP105" t="s">
        <v>135</v>
      </c>
      <c r="AQ105" t="s">
        <v>135</v>
      </c>
      <c r="AR105" t="s">
        <v>135</v>
      </c>
      <c r="AS105" t="s">
        <v>135</v>
      </c>
      <c r="AT105" t="s">
        <v>135</v>
      </c>
      <c r="AU105" t="s">
        <v>135</v>
      </c>
      <c r="AV105" t="s">
        <v>135</v>
      </c>
      <c r="AW105" t="s">
        <v>135</v>
      </c>
      <c r="AX105" t="s">
        <v>135</v>
      </c>
      <c r="AY105" t="s">
        <v>135</v>
      </c>
      <c r="AZ105" t="s">
        <v>135</v>
      </c>
      <c r="BA105" t="s">
        <v>135</v>
      </c>
      <c r="BB105" t="s">
        <v>135</v>
      </c>
      <c r="BC105" t="s">
        <v>135</v>
      </c>
      <c r="BD105" t="s">
        <v>135</v>
      </c>
      <c r="BE105" t="s">
        <v>135</v>
      </c>
      <c r="BF105" t="s">
        <v>135</v>
      </c>
      <c r="BG105" t="s">
        <v>135</v>
      </c>
      <c r="BH105" t="s">
        <v>135</v>
      </c>
      <c r="BI105" t="s">
        <v>135</v>
      </c>
      <c r="BJ105" t="s">
        <v>135</v>
      </c>
      <c r="BK105" t="s">
        <v>135</v>
      </c>
      <c r="BL105" t="s">
        <v>135</v>
      </c>
      <c r="BM105" t="s">
        <v>135</v>
      </c>
      <c r="BN105" t="s">
        <v>135</v>
      </c>
      <c r="BO105" t="s">
        <v>135</v>
      </c>
      <c r="BP105" t="s">
        <v>135</v>
      </c>
      <c r="BQ105" t="s">
        <v>135</v>
      </c>
      <c r="BR105" t="s">
        <v>135</v>
      </c>
      <c r="BS105" t="s">
        <v>135</v>
      </c>
      <c r="BT105" t="s">
        <v>135</v>
      </c>
      <c r="BU105" t="s">
        <v>135</v>
      </c>
      <c r="BV105" t="s">
        <v>135</v>
      </c>
      <c r="BW105" t="s">
        <v>135</v>
      </c>
      <c r="BX105" t="s">
        <v>135</v>
      </c>
      <c r="BY105" t="s">
        <v>135</v>
      </c>
      <c r="BZ105" t="s">
        <v>135</v>
      </c>
      <c r="CA105" t="s">
        <v>135</v>
      </c>
      <c r="CB105" t="s">
        <v>135</v>
      </c>
      <c r="CC105" t="s">
        <v>135</v>
      </c>
      <c r="CD105" t="s">
        <v>135</v>
      </c>
      <c r="CE105" t="s">
        <v>135</v>
      </c>
      <c r="CF105" t="s">
        <v>135</v>
      </c>
      <c r="CG105" t="s">
        <v>135</v>
      </c>
      <c r="CH105" t="s">
        <v>135</v>
      </c>
      <c r="CI105" t="s">
        <v>135</v>
      </c>
      <c r="CJ105" t="s">
        <v>135</v>
      </c>
      <c r="CK105" t="s">
        <v>135</v>
      </c>
      <c r="CL105" t="s">
        <v>135</v>
      </c>
      <c r="CM105" t="s">
        <v>135</v>
      </c>
      <c r="CN105" t="s">
        <v>135</v>
      </c>
      <c r="CO105" t="s">
        <v>135</v>
      </c>
      <c r="CP105" t="s">
        <v>135</v>
      </c>
      <c r="CQ105" t="s">
        <v>135</v>
      </c>
      <c r="CR105" t="s">
        <v>135</v>
      </c>
      <c r="CS105" t="s">
        <v>135</v>
      </c>
      <c r="CT105" t="s">
        <v>135</v>
      </c>
      <c r="CU105" t="s">
        <v>135</v>
      </c>
      <c r="CV105" t="s">
        <v>135</v>
      </c>
      <c r="CW105" t="s">
        <v>135</v>
      </c>
      <c r="CX105" t="s">
        <v>135</v>
      </c>
      <c r="CY105" t="s">
        <v>135</v>
      </c>
      <c r="CZ105" t="s">
        <v>135</v>
      </c>
      <c r="DA105" t="s">
        <v>135</v>
      </c>
      <c r="DB105" t="s">
        <v>135</v>
      </c>
      <c r="DC105" t="s">
        <v>135</v>
      </c>
      <c r="DD105" t="s">
        <v>135</v>
      </c>
      <c r="DE105" t="s">
        <v>135</v>
      </c>
      <c r="DF105" t="s">
        <v>135</v>
      </c>
      <c r="DG105" t="s">
        <v>135</v>
      </c>
      <c r="DH105" t="s">
        <v>135</v>
      </c>
      <c r="DI105" t="s">
        <v>135</v>
      </c>
    </row>
    <row r="106" spans="1:113" x14ac:dyDescent="0.3">
      <c r="E106" t="s">
        <v>80</v>
      </c>
      <c r="F106" t="s">
        <v>135</v>
      </c>
      <c r="G106" t="s">
        <v>135</v>
      </c>
      <c r="H106" t="s">
        <v>135</v>
      </c>
      <c r="I106" t="s">
        <v>135</v>
      </c>
      <c r="J106" t="s">
        <v>135</v>
      </c>
      <c r="K106" t="s">
        <v>135</v>
      </c>
      <c r="L106" t="s">
        <v>135</v>
      </c>
      <c r="M106" t="s">
        <v>135</v>
      </c>
      <c r="N106" t="s">
        <v>135</v>
      </c>
      <c r="O106" t="s">
        <v>135</v>
      </c>
      <c r="P106" t="s">
        <v>135</v>
      </c>
      <c r="Q106" t="s">
        <v>135</v>
      </c>
      <c r="R106" t="s">
        <v>135</v>
      </c>
      <c r="S106" t="s">
        <v>135</v>
      </c>
      <c r="T106" t="s">
        <v>135</v>
      </c>
      <c r="U106" t="s">
        <v>135</v>
      </c>
      <c r="V106" t="s">
        <v>135</v>
      </c>
      <c r="W106" t="s">
        <v>135</v>
      </c>
      <c r="X106" t="s">
        <v>135</v>
      </c>
      <c r="Y106" t="s">
        <v>135</v>
      </c>
      <c r="Z106" t="s">
        <v>135</v>
      </c>
      <c r="AA106" t="s">
        <v>135</v>
      </c>
      <c r="AB106" t="s">
        <v>135</v>
      </c>
      <c r="AC106" t="s">
        <v>135</v>
      </c>
      <c r="AD106" t="s">
        <v>135</v>
      </c>
      <c r="AE106" t="s">
        <v>135</v>
      </c>
      <c r="AF106" t="s">
        <v>135</v>
      </c>
      <c r="AG106" t="s">
        <v>135</v>
      </c>
      <c r="AH106" t="s">
        <v>135</v>
      </c>
      <c r="AI106" t="s">
        <v>135</v>
      </c>
      <c r="AJ106" t="s">
        <v>135</v>
      </c>
      <c r="AK106" t="s">
        <v>135</v>
      </c>
      <c r="AL106" t="s">
        <v>135</v>
      </c>
      <c r="AM106" t="s">
        <v>135</v>
      </c>
      <c r="AN106" t="s">
        <v>135</v>
      </c>
      <c r="AO106" t="s">
        <v>135</v>
      </c>
      <c r="AP106" t="s">
        <v>135</v>
      </c>
      <c r="AQ106" t="s">
        <v>135</v>
      </c>
      <c r="AR106" t="s">
        <v>135</v>
      </c>
      <c r="AS106" t="s">
        <v>135</v>
      </c>
      <c r="AT106" t="s">
        <v>135</v>
      </c>
      <c r="AU106" t="s">
        <v>135</v>
      </c>
      <c r="AV106" t="s">
        <v>135</v>
      </c>
      <c r="AW106" t="s">
        <v>135</v>
      </c>
      <c r="AX106" t="s">
        <v>135</v>
      </c>
      <c r="AY106" t="s">
        <v>135</v>
      </c>
      <c r="AZ106" t="s">
        <v>135</v>
      </c>
      <c r="BA106" t="s">
        <v>135</v>
      </c>
      <c r="BB106" t="s">
        <v>135</v>
      </c>
      <c r="BC106" t="s">
        <v>135</v>
      </c>
      <c r="BD106" t="s">
        <v>135</v>
      </c>
      <c r="BE106" t="s">
        <v>135</v>
      </c>
      <c r="BF106" t="s">
        <v>135</v>
      </c>
      <c r="BG106" t="s">
        <v>135</v>
      </c>
      <c r="BH106" t="s">
        <v>135</v>
      </c>
      <c r="BI106" t="s">
        <v>135</v>
      </c>
      <c r="BJ106" t="s">
        <v>135</v>
      </c>
      <c r="BK106" t="s">
        <v>135</v>
      </c>
      <c r="BL106" t="s">
        <v>135</v>
      </c>
      <c r="BM106" t="s">
        <v>135</v>
      </c>
      <c r="BN106" t="s">
        <v>135</v>
      </c>
      <c r="BO106" t="s">
        <v>135</v>
      </c>
      <c r="BP106" t="s">
        <v>135</v>
      </c>
      <c r="BQ106" t="s">
        <v>135</v>
      </c>
      <c r="BR106" t="s">
        <v>135</v>
      </c>
      <c r="BS106" t="s">
        <v>135</v>
      </c>
      <c r="BT106" t="s">
        <v>135</v>
      </c>
      <c r="BU106" t="s">
        <v>135</v>
      </c>
      <c r="BV106" t="s">
        <v>135</v>
      </c>
      <c r="BW106" t="s">
        <v>135</v>
      </c>
      <c r="BX106" t="s">
        <v>135</v>
      </c>
      <c r="BY106" t="s">
        <v>135</v>
      </c>
      <c r="BZ106" t="s">
        <v>135</v>
      </c>
      <c r="CA106" t="s">
        <v>135</v>
      </c>
      <c r="CB106" t="s">
        <v>135</v>
      </c>
      <c r="CC106" t="s">
        <v>135</v>
      </c>
      <c r="CD106" t="s">
        <v>135</v>
      </c>
      <c r="CE106" t="s">
        <v>135</v>
      </c>
      <c r="CF106" t="s">
        <v>135</v>
      </c>
      <c r="CG106" t="s">
        <v>135</v>
      </c>
      <c r="CH106" t="s">
        <v>135</v>
      </c>
      <c r="CI106" t="s">
        <v>135</v>
      </c>
      <c r="CJ106" t="s">
        <v>135</v>
      </c>
      <c r="CK106" t="s">
        <v>135</v>
      </c>
      <c r="CL106" t="s">
        <v>135</v>
      </c>
      <c r="CM106" t="s">
        <v>135</v>
      </c>
      <c r="CN106" t="s">
        <v>135</v>
      </c>
      <c r="CO106" t="s">
        <v>135</v>
      </c>
      <c r="CP106" t="s">
        <v>135</v>
      </c>
      <c r="CQ106" t="s">
        <v>135</v>
      </c>
      <c r="CR106" t="s">
        <v>135</v>
      </c>
      <c r="CS106" t="s">
        <v>135</v>
      </c>
      <c r="CT106" t="s">
        <v>135</v>
      </c>
      <c r="CU106" t="s">
        <v>135</v>
      </c>
      <c r="CV106" t="s">
        <v>135</v>
      </c>
      <c r="CW106" t="s">
        <v>135</v>
      </c>
      <c r="CX106" t="s">
        <v>135</v>
      </c>
      <c r="CY106" t="s">
        <v>135</v>
      </c>
      <c r="CZ106" t="s">
        <v>135</v>
      </c>
      <c r="DA106" t="s">
        <v>135</v>
      </c>
      <c r="DB106" t="s">
        <v>135</v>
      </c>
      <c r="DC106" t="s">
        <v>135</v>
      </c>
      <c r="DD106" t="s">
        <v>135</v>
      </c>
      <c r="DE106" t="s">
        <v>135</v>
      </c>
      <c r="DF106" t="s">
        <v>135</v>
      </c>
      <c r="DG106" t="s">
        <v>135</v>
      </c>
      <c r="DH106" t="s">
        <v>135</v>
      </c>
      <c r="DI106" t="s">
        <v>135</v>
      </c>
    </row>
    <row r="107" spans="1:113" x14ac:dyDescent="0.3">
      <c r="E107" t="s">
        <v>81</v>
      </c>
      <c r="F107" t="s">
        <v>135</v>
      </c>
      <c r="G107" t="s">
        <v>135</v>
      </c>
      <c r="H107" t="s">
        <v>135</v>
      </c>
      <c r="I107" t="s">
        <v>135</v>
      </c>
      <c r="J107" t="s">
        <v>135</v>
      </c>
      <c r="K107" t="s">
        <v>135</v>
      </c>
      <c r="L107" t="s">
        <v>135</v>
      </c>
      <c r="M107" t="s">
        <v>135</v>
      </c>
      <c r="N107" t="s">
        <v>135</v>
      </c>
      <c r="O107" t="s">
        <v>135</v>
      </c>
      <c r="P107" t="s">
        <v>135</v>
      </c>
      <c r="Q107" t="s">
        <v>135</v>
      </c>
      <c r="R107" t="s">
        <v>135</v>
      </c>
      <c r="S107" t="s">
        <v>135</v>
      </c>
      <c r="T107" t="s">
        <v>135</v>
      </c>
      <c r="U107" t="s">
        <v>135</v>
      </c>
      <c r="V107" t="s">
        <v>135</v>
      </c>
      <c r="W107" t="s">
        <v>135</v>
      </c>
      <c r="X107" t="s">
        <v>135</v>
      </c>
      <c r="Y107" t="s">
        <v>135</v>
      </c>
      <c r="Z107" t="s">
        <v>135</v>
      </c>
      <c r="AA107" t="s">
        <v>135</v>
      </c>
      <c r="AB107" t="s">
        <v>135</v>
      </c>
      <c r="AC107" t="s">
        <v>135</v>
      </c>
      <c r="AD107" t="s">
        <v>135</v>
      </c>
      <c r="AE107" t="s">
        <v>135</v>
      </c>
      <c r="AF107" t="s">
        <v>135</v>
      </c>
      <c r="AG107" t="s">
        <v>135</v>
      </c>
      <c r="AH107" t="s">
        <v>135</v>
      </c>
      <c r="AI107" t="s">
        <v>135</v>
      </c>
      <c r="AJ107" t="s">
        <v>135</v>
      </c>
      <c r="AK107" t="s">
        <v>135</v>
      </c>
      <c r="AL107" t="s">
        <v>135</v>
      </c>
      <c r="AM107" t="s">
        <v>135</v>
      </c>
      <c r="AN107" t="s">
        <v>135</v>
      </c>
      <c r="AO107" t="s">
        <v>135</v>
      </c>
      <c r="AP107" t="s">
        <v>135</v>
      </c>
      <c r="AQ107" t="s">
        <v>135</v>
      </c>
      <c r="AR107" t="s">
        <v>135</v>
      </c>
      <c r="AS107" t="s">
        <v>135</v>
      </c>
      <c r="AT107" t="s">
        <v>135</v>
      </c>
      <c r="AU107" t="s">
        <v>135</v>
      </c>
      <c r="AV107" t="s">
        <v>135</v>
      </c>
      <c r="AW107" t="s">
        <v>135</v>
      </c>
      <c r="AX107" t="s">
        <v>135</v>
      </c>
      <c r="AY107" t="s">
        <v>135</v>
      </c>
      <c r="AZ107" t="s">
        <v>135</v>
      </c>
      <c r="BA107" t="s">
        <v>135</v>
      </c>
      <c r="BB107" t="s">
        <v>135</v>
      </c>
      <c r="BC107" t="s">
        <v>135</v>
      </c>
      <c r="BD107" t="s">
        <v>135</v>
      </c>
      <c r="BE107" t="s">
        <v>135</v>
      </c>
      <c r="BF107" t="s">
        <v>135</v>
      </c>
      <c r="BG107" t="s">
        <v>135</v>
      </c>
      <c r="BH107" t="s">
        <v>135</v>
      </c>
      <c r="BI107" t="s">
        <v>135</v>
      </c>
      <c r="BJ107" t="s">
        <v>135</v>
      </c>
      <c r="BK107" t="s">
        <v>135</v>
      </c>
      <c r="BL107" t="s">
        <v>135</v>
      </c>
      <c r="BM107" t="s">
        <v>135</v>
      </c>
      <c r="BN107" t="s">
        <v>135</v>
      </c>
      <c r="BO107" t="s">
        <v>135</v>
      </c>
      <c r="BP107" t="s">
        <v>135</v>
      </c>
      <c r="BQ107" t="s">
        <v>135</v>
      </c>
      <c r="BR107" t="s">
        <v>135</v>
      </c>
      <c r="BS107" t="s">
        <v>135</v>
      </c>
      <c r="BT107" t="s">
        <v>135</v>
      </c>
      <c r="BU107" t="s">
        <v>135</v>
      </c>
      <c r="BV107" t="s">
        <v>135</v>
      </c>
      <c r="BW107" t="s">
        <v>135</v>
      </c>
      <c r="BX107" t="s">
        <v>135</v>
      </c>
      <c r="BY107" t="s">
        <v>135</v>
      </c>
      <c r="BZ107" t="s">
        <v>135</v>
      </c>
      <c r="CA107" t="s">
        <v>135</v>
      </c>
      <c r="CB107" t="s">
        <v>135</v>
      </c>
      <c r="CC107" t="s">
        <v>135</v>
      </c>
      <c r="CD107" t="s">
        <v>135</v>
      </c>
      <c r="CE107" t="s">
        <v>135</v>
      </c>
      <c r="CF107" t="s">
        <v>135</v>
      </c>
      <c r="CG107" t="s">
        <v>135</v>
      </c>
      <c r="CH107" t="s">
        <v>135</v>
      </c>
      <c r="CI107" t="s">
        <v>135</v>
      </c>
      <c r="CJ107" t="s">
        <v>135</v>
      </c>
      <c r="CK107" t="s">
        <v>135</v>
      </c>
      <c r="CL107" t="s">
        <v>135</v>
      </c>
      <c r="CM107" t="s">
        <v>135</v>
      </c>
      <c r="CN107" t="s">
        <v>135</v>
      </c>
      <c r="CO107" t="s">
        <v>135</v>
      </c>
      <c r="CP107" t="s">
        <v>135</v>
      </c>
      <c r="CQ107" t="s">
        <v>135</v>
      </c>
      <c r="CR107" t="s">
        <v>135</v>
      </c>
      <c r="CS107" t="s">
        <v>135</v>
      </c>
      <c r="CT107" t="s">
        <v>135</v>
      </c>
      <c r="CU107" t="s">
        <v>135</v>
      </c>
      <c r="CV107" t="s">
        <v>135</v>
      </c>
      <c r="CW107" t="s">
        <v>135</v>
      </c>
      <c r="CX107" t="s">
        <v>135</v>
      </c>
      <c r="CY107" t="s">
        <v>135</v>
      </c>
      <c r="CZ107" t="s">
        <v>135</v>
      </c>
      <c r="DA107" t="s">
        <v>135</v>
      </c>
      <c r="DB107" t="s">
        <v>135</v>
      </c>
      <c r="DC107" t="s">
        <v>135</v>
      </c>
      <c r="DD107" t="s">
        <v>135</v>
      </c>
      <c r="DE107" t="s">
        <v>135</v>
      </c>
      <c r="DF107" t="s">
        <v>135</v>
      </c>
      <c r="DG107" t="s">
        <v>135</v>
      </c>
      <c r="DH107" t="s">
        <v>135</v>
      </c>
      <c r="DI107" t="s">
        <v>135</v>
      </c>
    </row>
    <row r="108" spans="1:113" x14ac:dyDescent="0.3">
      <c r="D108" t="s">
        <v>82</v>
      </c>
      <c r="E108" t="s">
        <v>77</v>
      </c>
      <c r="F108" t="s">
        <v>135</v>
      </c>
      <c r="G108" t="s">
        <v>135</v>
      </c>
      <c r="H108" t="s">
        <v>135</v>
      </c>
      <c r="I108" t="s">
        <v>135</v>
      </c>
      <c r="J108" t="s">
        <v>135</v>
      </c>
      <c r="K108" t="s">
        <v>135</v>
      </c>
      <c r="L108" t="s">
        <v>135</v>
      </c>
      <c r="M108" t="s">
        <v>135</v>
      </c>
      <c r="N108" t="s">
        <v>135</v>
      </c>
      <c r="O108" t="s">
        <v>135</v>
      </c>
      <c r="P108" t="s">
        <v>135</v>
      </c>
      <c r="Q108" t="s">
        <v>135</v>
      </c>
      <c r="R108" t="s">
        <v>135</v>
      </c>
      <c r="S108" t="s">
        <v>135</v>
      </c>
      <c r="T108" t="s">
        <v>135</v>
      </c>
      <c r="U108" t="s">
        <v>135</v>
      </c>
      <c r="V108" t="s">
        <v>135</v>
      </c>
      <c r="W108" t="s">
        <v>135</v>
      </c>
      <c r="X108" t="s">
        <v>135</v>
      </c>
      <c r="Y108" t="s">
        <v>135</v>
      </c>
      <c r="Z108" t="s">
        <v>135</v>
      </c>
      <c r="AA108" t="s">
        <v>135</v>
      </c>
      <c r="AB108" t="s">
        <v>135</v>
      </c>
      <c r="AC108" t="s">
        <v>135</v>
      </c>
      <c r="AD108" t="s">
        <v>135</v>
      </c>
      <c r="AE108" t="s">
        <v>135</v>
      </c>
      <c r="AF108" t="s">
        <v>135</v>
      </c>
      <c r="AG108" t="s">
        <v>135</v>
      </c>
      <c r="AH108" t="s">
        <v>135</v>
      </c>
      <c r="AI108" t="s">
        <v>135</v>
      </c>
      <c r="AJ108" t="s">
        <v>135</v>
      </c>
      <c r="AK108" t="s">
        <v>135</v>
      </c>
      <c r="AL108" t="s">
        <v>135</v>
      </c>
      <c r="AM108" t="s">
        <v>135</v>
      </c>
      <c r="AN108" t="s">
        <v>135</v>
      </c>
      <c r="AO108" t="s">
        <v>135</v>
      </c>
      <c r="AP108" t="s">
        <v>135</v>
      </c>
      <c r="AQ108" t="s">
        <v>135</v>
      </c>
      <c r="AR108" t="s">
        <v>135</v>
      </c>
      <c r="AS108" t="s">
        <v>135</v>
      </c>
      <c r="AT108" t="s">
        <v>135</v>
      </c>
      <c r="AU108" t="s">
        <v>135</v>
      </c>
      <c r="AV108" t="s">
        <v>135</v>
      </c>
      <c r="AW108" t="s">
        <v>135</v>
      </c>
      <c r="AX108" t="s">
        <v>135</v>
      </c>
      <c r="AY108" t="s">
        <v>135</v>
      </c>
      <c r="AZ108" t="s">
        <v>135</v>
      </c>
      <c r="BA108" t="s">
        <v>135</v>
      </c>
      <c r="BB108" t="s">
        <v>135</v>
      </c>
      <c r="BC108" t="s">
        <v>135</v>
      </c>
      <c r="BD108" t="s">
        <v>135</v>
      </c>
      <c r="BE108" t="s">
        <v>135</v>
      </c>
      <c r="BF108" t="s">
        <v>135</v>
      </c>
      <c r="BG108" t="s">
        <v>135</v>
      </c>
      <c r="BH108" t="s">
        <v>135</v>
      </c>
      <c r="BI108" t="s">
        <v>135</v>
      </c>
      <c r="BJ108" t="s">
        <v>135</v>
      </c>
      <c r="BK108" t="s">
        <v>135</v>
      </c>
      <c r="BL108" t="s">
        <v>135</v>
      </c>
      <c r="BM108" t="s">
        <v>135</v>
      </c>
      <c r="BN108" t="s">
        <v>135</v>
      </c>
      <c r="BO108" t="s">
        <v>135</v>
      </c>
      <c r="BP108" t="s">
        <v>135</v>
      </c>
      <c r="BQ108" t="s">
        <v>135</v>
      </c>
      <c r="BR108" t="s">
        <v>135</v>
      </c>
      <c r="BS108" t="s">
        <v>135</v>
      </c>
      <c r="BT108" t="s">
        <v>135</v>
      </c>
      <c r="BU108" t="s">
        <v>135</v>
      </c>
      <c r="BV108" t="s">
        <v>135</v>
      </c>
      <c r="BW108" t="s">
        <v>135</v>
      </c>
      <c r="BX108" t="s">
        <v>135</v>
      </c>
      <c r="BY108" t="s">
        <v>135</v>
      </c>
      <c r="BZ108" t="s">
        <v>135</v>
      </c>
      <c r="CA108" t="s">
        <v>135</v>
      </c>
      <c r="CB108" t="s">
        <v>135</v>
      </c>
      <c r="CC108" t="s">
        <v>135</v>
      </c>
      <c r="CD108" t="s">
        <v>135</v>
      </c>
      <c r="CE108" t="s">
        <v>135</v>
      </c>
      <c r="CF108" t="s">
        <v>135</v>
      </c>
      <c r="CG108" t="s">
        <v>135</v>
      </c>
      <c r="CH108" t="s">
        <v>135</v>
      </c>
      <c r="CI108" t="s">
        <v>135</v>
      </c>
      <c r="CJ108" t="s">
        <v>135</v>
      </c>
      <c r="CK108" t="s">
        <v>135</v>
      </c>
      <c r="CL108" t="s">
        <v>135</v>
      </c>
      <c r="CM108" t="s">
        <v>135</v>
      </c>
      <c r="CN108" t="s">
        <v>135</v>
      </c>
      <c r="CO108" t="s">
        <v>135</v>
      </c>
      <c r="CP108" t="s">
        <v>135</v>
      </c>
      <c r="CQ108" t="s">
        <v>135</v>
      </c>
      <c r="CR108" t="s">
        <v>135</v>
      </c>
      <c r="CS108" t="s">
        <v>135</v>
      </c>
      <c r="CT108" t="s">
        <v>135</v>
      </c>
      <c r="CU108" t="s">
        <v>135</v>
      </c>
      <c r="CV108" t="s">
        <v>135</v>
      </c>
      <c r="CW108" t="s">
        <v>135</v>
      </c>
      <c r="CX108" t="s">
        <v>135</v>
      </c>
      <c r="CY108" t="s">
        <v>135</v>
      </c>
      <c r="CZ108" t="s">
        <v>135</v>
      </c>
      <c r="DA108" t="s">
        <v>135</v>
      </c>
      <c r="DB108" t="s">
        <v>135</v>
      </c>
      <c r="DC108" t="s">
        <v>135</v>
      </c>
      <c r="DD108" t="s">
        <v>135</v>
      </c>
      <c r="DE108" t="s">
        <v>135</v>
      </c>
      <c r="DF108" t="s">
        <v>135</v>
      </c>
      <c r="DG108" t="s">
        <v>135</v>
      </c>
      <c r="DH108" t="s">
        <v>135</v>
      </c>
      <c r="DI108" t="s">
        <v>135</v>
      </c>
    </row>
    <row r="109" spans="1:113" x14ac:dyDescent="0.3">
      <c r="E109" t="s">
        <v>78</v>
      </c>
      <c r="F109" t="s">
        <v>135</v>
      </c>
      <c r="G109" t="s">
        <v>135</v>
      </c>
      <c r="H109" t="s">
        <v>135</v>
      </c>
      <c r="I109" t="s">
        <v>135</v>
      </c>
      <c r="J109" t="s">
        <v>135</v>
      </c>
      <c r="K109" t="s">
        <v>135</v>
      </c>
      <c r="L109" t="s">
        <v>135</v>
      </c>
      <c r="M109" t="s">
        <v>135</v>
      </c>
      <c r="N109" t="s">
        <v>135</v>
      </c>
      <c r="O109" t="s">
        <v>135</v>
      </c>
      <c r="P109" t="s">
        <v>135</v>
      </c>
      <c r="Q109" t="s">
        <v>135</v>
      </c>
      <c r="R109" t="s">
        <v>135</v>
      </c>
      <c r="S109" t="s">
        <v>135</v>
      </c>
      <c r="T109" t="s">
        <v>135</v>
      </c>
      <c r="U109" t="s">
        <v>135</v>
      </c>
      <c r="V109" t="s">
        <v>135</v>
      </c>
      <c r="W109" t="s">
        <v>135</v>
      </c>
      <c r="X109" t="s">
        <v>135</v>
      </c>
      <c r="Y109" t="s">
        <v>135</v>
      </c>
      <c r="Z109" t="s">
        <v>135</v>
      </c>
      <c r="AA109" t="s">
        <v>135</v>
      </c>
      <c r="AB109" t="s">
        <v>135</v>
      </c>
      <c r="AC109" t="s">
        <v>135</v>
      </c>
      <c r="AD109" t="s">
        <v>135</v>
      </c>
      <c r="AE109" t="s">
        <v>135</v>
      </c>
      <c r="AF109" t="s">
        <v>135</v>
      </c>
      <c r="AG109" t="s">
        <v>135</v>
      </c>
      <c r="AH109" t="s">
        <v>135</v>
      </c>
      <c r="AI109" t="s">
        <v>135</v>
      </c>
      <c r="AJ109" t="s">
        <v>135</v>
      </c>
      <c r="AK109" t="s">
        <v>135</v>
      </c>
      <c r="AL109" t="s">
        <v>135</v>
      </c>
      <c r="AM109" t="s">
        <v>135</v>
      </c>
      <c r="AN109" t="s">
        <v>135</v>
      </c>
      <c r="AO109" t="s">
        <v>135</v>
      </c>
      <c r="AP109" t="s">
        <v>135</v>
      </c>
      <c r="AQ109" t="s">
        <v>135</v>
      </c>
      <c r="AR109" t="s">
        <v>135</v>
      </c>
      <c r="AS109" t="s">
        <v>135</v>
      </c>
      <c r="AT109" t="s">
        <v>135</v>
      </c>
      <c r="AU109" t="s">
        <v>135</v>
      </c>
      <c r="AV109" t="s">
        <v>135</v>
      </c>
      <c r="AW109" t="s">
        <v>135</v>
      </c>
      <c r="AX109" t="s">
        <v>135</v>
      </c>
      <c r="AY109" t="s">
        <v>135</v>
      </c>
      <c r="AZ109" t="s">
        <v>135</v>
      </c>
      <c r="BA109" t="s">
        <v>135</v>
      </c>
      <c r="BB109" t="s">
        <v>135</v>
      </c>
      <c r="BC109" t="s">
        <v>135</v>
      </c>
      <c r="BD109" t="s">
        <v>135</v>
      </c>
      <c r="BE109" t="s">
        <v>135</v>
      </c>
      <c r="BF109" t="s">
        <v>135</v>
      </c>
      <c r="BG109" t="s">
        <v>135</v>
      </c>
      <c r="BH109" t="s">
        <v>135</v>
      </c>
      <c r="BI109" t="s">
        <v>135</v>
      </c>
      <c r="BJ109" t="s">
        <v>135</v>
      </c>
      <c r="BK109" t="s">
        <v>135</v>
      </c>
      <c r="BL109" t="s">
        <v>135</v>
      </c>
      <c r="BM109" t="s">
        <v>135</v>
      </c>
      <c r="BN109" t="s">
        <v>135</v>
      </c>
      <c r="BO109" t="s">
        <v>135</v>
      </c>
      <c r="BP109" t="s">
        <v>135</v>
      </c>
      <c r="BQ109" t="s">
        <v>135</v>
      </c>
      <c r="BR109" t="s">
        <v>135</v>
      </c>
      <c r="BS109" t="s">
        <v>135</v>
      </c>
      <c r="BT109" t="s">
        <v>135</v>
      </c>
      <c r="BU109" t="s">
        <v>135</v>
      </c>
      <c r="BV109" t="s">
        <v>135</v>
      </c>
      <c r="BW109" t="s">
        <v>135</v>
      </c>
      <c r="BX109" t="s">
        <v>135</v>
      </c>
      <c r="BY109" t="s">
        <v>135</v>
      </c>
      <c r="BZ109" t="s">
        <v>135</v>
      </c>
      <c r="CA109" t="s">
        <v>135</v>
      </c>
      <c r="CB109" t="s">
        <v>135</v>
      </c>
      <c r="CC109" t="s">
        <v>135</v>
      </c>
      <c r="CD109" t="s">
        <v>135</v>
      </c>
      <c r="CE109" t="s">
        <v>135</v>
      </c>
      <c r="CF109" t="s">
        <v>135</v>
      </c>
      <c r="CG109" t="s">
        <v>135</v>
      </c>
      <c r="CH109" t="s">
        <v>135</v>
      </c>
      <c r="CI109" t="s">
        <v>135</v>
      </c>
      <c r="CJ109" t="s">
        <v>135</v>
      </c>
      <c r="CK109" t="s">
        <v>135</v>
      </c>
      <c r="CL109" t="s">
        <v>135</v>
      </c>
      <c r="CM109" t="s">
        <v>135</v>
      </c>
      <c r="CN109" t="s">
        <v>135</v>
      </c>
      <c r="CO109" t="s">
        <v>135</v>
      </c>
      <c r="CP109" t="s">
        <v>135</v>
      </c>
      <c r="CQ109" t="s">
        <v>135</v>
      </c>
      <c r="CR109" t="s">
        <v>135</v>
      </c>
      <c r="CS109" t="s">
        <v>135</v>
      </c>
      <c r="CT109" t="s">
        <v>135</v>
      </c>
      <c r="CU109" t="s">
        <v>135</v>
      </c>
      <c r="CV109" t="s">
        <v>135</v>
      </c>
      <c r="CW109" t="s">
        <v>135</v>
      </c>
      <c r="CX109" t="s">
        <v>135</v>
      </c>
      <c r="CY109" t="s">
        <v>135</v>
      </c>
      <c r="CZ109" t="s">
        <v>135</v>
      </c>
      <c r="DA109" t="s">
        <v>135</v>
      </c>
      <c r="DB109" t="s">
        <v>135</v>
      </c>
      <c r="DC109" t="s">
        <v>135</v>
      </c>
      <c r="DD109" t="s">
        <v>135</v>
      </c>
      <c r="DE109" t="s">
        <v>135</v>
      </c>
      <c r="DF109" t="s">
        <v>135</v>
      </c>
      <c r="DG109" t="s">
        <v>135</v>
      </c>
      <c r="DH109" t="s">
        <v>135</v>
      </c>
      <c r="DI109" t="s">
        <v>135</v>
      </c>
    </row>
    <row r="110" spans="1:113" x14ac:dyDescent="0.3">
      <c r="E110" t="s">
        <v>79</v>
      </c>
      <c r="F110" t="s">
        <v>135</v>
      </c>
      <c r="G110" t="s">
        <v>135</v>
      </c>
      <c r="H110" t="s">
        <v>135</v>
      </c>
      <c r="I110" t="s">
        <v>135</v>
      </c>
      <c r="J110" t="s">
        <v>135</v>
      </c>
      <c r="K110" t="s">
        <v>135</v>
      </c>
      <c r="L110" t="s">
        <v>135</v>
      </c>
      <c r="M110" t="s">
        <v>135</v>
      </c>
      <c r="N110" t="s">
        <v>135</v>
      </c>
      <c r="O110" t="s">
        <v>135</v>
      </c>
      <c r="P110" t="s">
        <v>135</v>
      </c>
      <c r="Q110" t="s">
        <v>135</v>
      </c>
      <c r="R110" t="s">
        <v>135</v>
      </c>
      <c r="S110" t="s">
        <v>135</v>
      </c>
      <c r="T110" t="s">
        <v>135</v>
      </c>
      <c r="U110" t="s">
        <v>135</v>
      </c>
      <c r="V110" t="s">
        <v>135</v>
      </c>
      <c r="W110" t="s">
        <v>135</v>
      </c>
      <c r="X110" t="s">
        <v>135</v>
      </c>
      <c r="Y110" t="s">
        <v>135</v>
      </c>
      <c r="Z110" t="s">
        <v>135</v>
      </c>
      <c r="AA110" t="s">
        <v>135</v>
      </c>
      <c r="AB110" t="s">
        <v>135</v>
      </c>
      <c r="AC110" t="s">
        <v>135</v>
      </c>
      <c r="AD110" t="s">
        <v>135</v>
      </c>
      <c r="AE110" t="s">
        <v>135</v>
      </c>
      <c r="AF110" t="s">
        <v>135</v>
      </c>
      <c r="AG110" t="s">
        <v>135</v>
      </c>
      <c r="AH110" t="s">
        <v>135</v>
      </c>
      <c r="AI110" t="s">
        <v>135</v>
      </c>
      <c r="AJ110" t="s">
        <v>135</v>
      </c>
      <c r="AK110" t="s">
        <v>135</v>
      </c>
      <c r="AL110" t="s">
        <v>135</v>
      </c>
      <c r="AM110" t="s">
        <v>135</v>
      </c>
      <c r="AN110" t="s">
        <v>135</v>
      </c>
      <c r="AO110" t="s">
        <v>135</v>
      </c>
      <c r="AP110" t="s">
        <v>135</v>
      </c>
      <c r="AQ110" t="s">
        <v>135</v>
      </c>
      <c r="AR110" t="s">
        <v>135</v>
      </c>
      <c r="AS110" t="s">
        <v>135</v>
      </c>
      <c r="AT110" t="s">
        <v>135</v>
      </c>
      <c r="AU110" t="s">
        <v>135</v>
      </c>
      <c r="AV110" t="s">
        <v>135</v>
      </c>
      <c r="AW110" t="s">
        <v>135</v>
      </c>
      <c r="AX110" t="s">
        <v>135</v>
      </c>
      <c r="AY110" t="s">
        <v>135</v>
      </c>
      <c r="AZ110" t="s">
        <v>135</v>
      </c>
      <c r="BA110" t="s">
        <v>135</v>
      </c>
      <c r="BB110" t="s">
        <v>135</v>
      </c>
      <c r="BC110" t="s">
        <v>135</v>
      </c>
      <c r="BD110" t="s">
        <v>135</v>
      </c>
      <c r="BE110" t="s">
        <v>135</v>
      </c>
      <c r="BF110" t="s">
        <v>135</v>
      </c>
      <c r="BG110" t="s">
        <v>135</v>
      </c>
      <c r="BH110" t="s">
        <v>135</v>
      </c>
      <c r="BI110" t="s">
        <v>135</v>
      </c>
      <c r="BJ110" t="s">
        <v>135</v>
      </c>
      <c r="BK110" t="s">
        <v>135</v>
      </c>
      <c r="BL110" t="s">
        <v>135</v>
      </c>
      <c r="BM110" t="s">
        <v>135</v>
      </c>
      <c r="BN110" t="s">
        <v>135</v>
      </c>
      <c r="BO110" t="s">
        <v>135</v>
      </c>
      <c r="BP110" t="s">
        <v>135</v>
      </c>
      <c r="BQ110" t="s">
        <v>135</v>
      </c>
      <c r="BR110" t="s">
        <v>135</v>
      </c>
      <c r="BS110" t="s">
        <v>135</v>
      </c>
      <c r="BT110" t="s">
        <v>135</v>
      </c>
      <c r="BU110" t="s">
        <v>135</v>
      </c>
      <c r="BV110" t="s">
        <v>135</v>
      </c>
      <c r="BW110" t="s">
        <v>135</v>
      </c>
      <c r="BX110" t="s">
        <v>135</v>
      </c>
      <c r="BY110" t="s">
        <v>135</v>
      </c>
      <c r="BZ110" t="s">
        <v>135</v>
      </c>
      <c r="CA110" t="s">
        <v>135</v>
      </c>
      <c r="CB110" t="s">
        <v>135</v>
      </c>
      <c r="CC110" t="s">
        <v>135</v>
      </c>
      <c r="CD110" t="s">
        <v>135</v>
      </c>
      <c r="CE110" t="s">
        <v>135</v>
      </c>
      <c r="CF110" t="s">
        <v>135</v>
      </c>
      <c r="CG110" t="s">
        <v>135</v>
      </c>
      <c r="CH110" t="s">
        <v>135</v>
      </c>
      <c r="CI110" t="s">
        <v>135</v>
      </c>
      <c r="CJ110" t="s">
        <v>135</v>
      </c>
      <c r="CK110" t="s">
        <v>135</v>
      </c>
      <c r="CL110" t="s">
        <v>135</v>
      </c>
      <c r="CM110" t="s">
        <v>135</v>
      </c>
      <c r="CN110" t="s">
        <v>135</v>
      </c>
      <c r="CO110" t="s">
        <v>135</v>
      </c>
      <c r="CP110" t="s">
        <v>135</v>
      </c>
      <c r="CQ110" t="s">
        <v>135</v>
      </c>
      <c r="CR110" t="s">
        <v>135</v>
      </c>
      <c r="CS110" t="s">
        <v>135</v>
      </c>
      <c r="CT110" t="s">
        <v>135</v>
      </c>
      <c r="CU110" t="s">
        <v>135</v>
      </c>
      <c r="CV110" t="s">
        <v>135</v>
      </c>
      <c r="CW110" t="s">
        <v>135</v>
      </c>
      <c r="CX110" t="s">
        <v>135</v>
      </c>
      <c r="CY110" t="s">
        <v>135</v>
      </c>
      <c r="CZ110" t="s">
        <v>135</v>
      </c>
      <c r="DA110" t="s">
        <v>135</v>
      </c>
      <c r="DB110" t="s">
        <v>135</v>
      </c>
      <c r="DC110" t="s">
        <v>135</v>
      </c>
      <c r="DD110" t="s">
        <v>135</v>
      </c>
      <c r="DE110" t="s">
        <v>135</v>
      </c>
      <c r="DF110" t="s">
        <v>135</v>
      </c>
      <c r="DG110" t="s">
        <v>135</v>
      </c>
      <c r="DH110" t="s">
        <v>135</v>
      </c>
      <c r="DI110" t="s">
        <v>135</v>
      </c>
    </row>
    <row r="111" spans="1:113" x14ac:dyDescent="0.3">
      <c r="E111" t="s">
        <v>80</v>
      </c>
      <c r="F111" t="s">
        <v>135</v>
      </c>
      <c r="G111" t="s">
        <v>135</v>
      </c>
      <c r="H111" t="s">
        <v>135</v>
      </c>
      <c r="I111" t="s">
        <v>135</v>
      </c>
      <c r="J111" t="s">
        <v>135</v>
      </c>
      <c r="K111" t="s">
        <v>135</v>
      </c>
      <c r="L111" t="s">
        <v>135</v>
      </c>
      <c r="M111" t="s">
        <v>135</v>
      </c>
      <c r="N111" t="s">
        <v>135</v>
      </c>
      <c r="O111" t="s">
        <v>135</v>
      </c>
      <c r="P111" t="s">
        <v>135</v>
      </c>
      <c r="Q111" t="s">
        <v>135</v>
      </c>
      <c r="R111" t="s">
        <v>135</v>
      </c>
      <c r="S111" t="s">
        <v>135</v>
      </c>
      <c r="T111" t="s">
        <v>135</v>
      </c>
      <c r="U111" t="s">
        <v>135</v>
      </c>
      <c r="V111" t="s">
        <v>135</v>
      </c>
      <c r="W111" t="s">
        <v>135</v>
      </c>
      <c r="X111" t="s">
        <v>135</v>
      </c>
      <c r="Y111" t="s">
        <v>135</v>
      </c>
      <c r="Z111" t="s">
        <v>135</v>
      </c>
      <c r="AA111" t="s">
        <v>135</v>
      </c>
      <c r="AB111" t="s">
        <v>135</v>
      </c>
      <c r="AC111" t="s">
        <v>135</v>
      </c>
      <c r="AD111" t="s">
        <v>135</v>
      </c>
      <c r="AE111" t="s">
        <v>135</v>
      </c>
      <c r="AF111" t="s">
        <v>135</v>
      </c>
      <c r="AG111" t="s">
        <v>135</v>
      </c>
      <c r="AH111" t="s">
        <v>135</v>
      </c>
      <c r="AI111" t="s">
        <v>135</v>
      </c>
      <c r="AJ111" t="s">
        <v>135</v>
      </c>
      <c r="AK111" t="s">
        <v>135</v>
      </c>
      <c r="AL111" t="s">
        <v>135</v>
      </c>
      <c r="AM111" t="s">
        <v>135</v>
      </c>
      <c r="AN111" t="s">
        <v>135</v>
      </c>
      <c r="AO111" t="s">
        <v>135</v>
      </c>
      <c r="AP111" t="s">
        <v>135</v>
      </c>
      <c r="AQ111" t="s">
        <v>135</v>
      </c>
      <c r="AR111" t="s">
        <v>135</v>
      </c>
      <c r="AS111" t="s">
        <v>135</v>
      </c>
      <c r="AT111" t="s">
        <v>135</v>
      </c>
      <c r="AU111" t="s">
        <v>135</v>
      </c>
      <c r="AV111" t="s">
        <v>135</v>
      </c>
      <c r="AW111" t="s">
        <v>135</v>
      </c>
      <c r="AX111" t="s">
        <v>135</v>
      </c>
      <c r="AY111" t="s">
        <v>135</v>
      </c>
      <c r="AZ111" t="s">
        <v>135</v>
      </c>
      <c r="BA111" t="s">
        <v>135</v>
      </c>
      <c r="BB111" t="s">
        <v>135</v>
      </c>
      <c r="BC111" t="s">
        <v>135</v>
      </c>
      <c r="BD111" t="s">
        <v>135</v>
      </c>
      <c r="BE111" t="s">
        <v>135</v>
      </c>
      <c r="BF111" t="s">
        <v>135</v>
      </c>
      <c r="BG111" t="s">
        <v>135</v>
      </c>
      <c r="BH111" t="s">
        <v>135</v>
      </c>
      <c r="BI111" t="s">
        <v>135</v>
      </c>
      <c r="BJ111" t="s">
        <v>135</v>
      </c>
      <c r="BK111" t="s">
        <v>135</v>
      </c>
      <c r="BL111" t="s">
        <v>135</v>
      </c>
      <c r="BM111" t="s">
        <v>135</v>
      </c>
      <c r="BN111" t="s">
        <v>135</v>
      </c>
      <c r="BO111" t="s">
        <v>135</v>
      </c>
      <c r="BP111" t="s">
        <v>135</v>
      </c>
      <c r="BQ111" t="s">
        <v>135</v>
      </c>
      <c r="BR111" t="s">
        <v>135</v>
      </c>
      <c r="BS111" t="s">
        <v>135</v>
      </c>
      <c r="BT111" t="s">
        <v>135</v>
      </c>
      <c r="BU111" t="s">
        <v>135</v>
      </c>
      <c r="BV111" t="s">
        <v>135</v>
      </c>
      <c r="BW111" t="s">
        <v>135</v>
      </c>
      <c r="BX111" t="s">
        <v>135</v>
      </c>
      <c r="BY111" t="s">
        <v>135</v>
      </c>
      <c r="BZ111" t="s">
        <v>135</v>
      </c>
      <c r="CA111" t="s">
        <v>135</v>
      </c>
      <c r="CB111" t="s">
        <v>135</v>
      </c>
      <c r="CC111" t="s">
        <v>135</v>
      </c>
      <c r="CD111" t="s">
        <v>135</v>
      </c>
      <c r="CE111" t="s">
        <v>135</v>
      </c>
      <c r="CF111" t="s">
        <v>135</v>
      </c>
      <c r="CG111" t="s">
        <v>135</v>
      </c>
      <c r="CH111" t="s">
        <v>135</v>
      </c>
      <c r="CI111" t="s">
        <v>135</v>
      </c>
      <c r="CJ111" t="s">
        <v>135</v>
      </c>
      <c r="CK111" t="s">
        <v>135</v>
      </c>
      <c r="CL111" t="s">
        <v>135</v>
      </c>
      <c r="CM111" t="s">
        <v>135</v>
      </c>
      <c r="CN111" t="s">
        <v>135</v>
      </c>
      <c r="CO111" t="s">
        <v>135</v>
      </c>
      <c r="CP111" t="s">
        <v>135</v>
      </c>
      <c r="CQ111" t="s">
        <v>135</v>
      </c>
      <c r="CR111" t="s">
        <v>135</v>
      </c>
      <c r="CS111" t="s">
        <v>135</v>
      </c>
      <c r="CT111" t="s">
        <v>135</v>
      </c>
      <c r="CU111" t="s">
        <v>135</v>
      </c>
      <c r="CV111" t="s">
        <v>135</v>
      </c>
      <c r="CW111" t="s">
        <v>135</v>
      </c>
      <c r="CX111" t="s">
        <v>135</v>
      </c>
      <c r="CY111" t="s">
        <v>135</v>
      </c>
      <c r="CZ111" t="s">
        <v>135</v>
      </c>
      <c r="DA111" t="s">
        <v>135</v>
      </c>
      <c r="DB111" t="s">
        <v>135</v>
      </c>
      <c r="DC111" t="s">
        <v>135</v>
      </c>
      <c r="DD111" t="s">
        <v>135</v>
      </c>
      <c r="DE111" t="s">
        <v>135</v>
      </c>
      <c r="DF111" t="s">
        <v>135</v>
      </c>
      <c r="DG111" t="s">
        <v>135</v>
      </c>
      <c r="DH111" t="s">
        <v>135</v>
      </c>
      <c r="DI111" t="s">
        <v>135</v>
      </c>
    </row>
    <row r="112" spans="1:113" x14ac:dyDescent="0.3">
      <c r="E112" t="s">
        <v>81</v>
      </c>
      <c r="F112" t="s">
        <v>135</v>
      </c>
      <c r="G112" t="s">
        <v>135</v>
      </c>
      <c r="H112" t="s">
        <v>135</v>
      </c>
      <c r="I112" t="s">
        <v>135</v>
      </c>
      <c r="J112" t="s">
        <v>135</v>
      </c>
      <c r="K112" t="s">
        <v>135</v>
      </c>
      <c r="L112" t="s">
        <v>135</v>
      </c>
      <c r="M112" t="s">
        <v>135</v>
      </c>
      <c r="N112" t="s">
        <v>135</v>
      </c>
      <c r="O112" t="s">
        <v>135</v>
      </c>
      <c r="P112" t="s">
        <v>135</v>
      </c>
      <c r="Q112" t="s">
        <v>135</v>
      </c>
      <c r="R112" t="s">
        <v>135</v>
      </c>
      <c r="S112" t="s">
        <v>135</v>
      </c>
      <c r="T112" t="s">
        <v>135</v>
      </c>
      <c r="U112" t="s">
        <v>135</v>
      </c>
      <c r="V112" t="s">
        <v>135</v>
      </c>
      <c r="W112" t="s">
        <v>135</v>
      </c>
      <c r="X112" t="s">
        <v>135</v>
      </c>
      <c r="Y112" t="s">
        <v>135</v>
      </c>
      <c r="Z112" t="s">
        <v>135</v>
      </c>
      <c r="AA112" t="s">
        <v>135</v>
      </c>
      <c r="AB112" t="s">
        <v>135</v>
      </c>
      <c r="AC112" t="s">
        <v>135</v>
      </c>
      <c r="AD112" t="s">
        <v>135</v>
      </c>
      <c r="AE112" t="s">
        <v>135</v>
      </c>
      <c r="AF112" t="s">
        <v>135</v>
      </c>
      <c r="AG112" t="s">
        <v>135</v>
      </c>
      <c r="AH112" t="s">
        <v>135</v>
      </c>
      <c r="AI112" t="s">
        <v>135</v>
      </c>
      <c r="AJ112" t="s">
        <v>135</v>
      </c>
      <c r="AK112" t="s">
        <v>135</v>
      </c>
      <c r="AL112" t="s">
        <v>135</v>
      </c>
      <c r="AM112" t="s">
        <v>135</v>
      </c>
      <c r="AN112" t="s">
        <v>135</v>
      </c>
      <c r="AO112" t="s">
        <v>135</v>
      </c>
      <c r="AP112" t="s">
        <v>135</v>
      </c>
      <c r="AQ112" t="s">
        <v>135</v>
      </c>
      <c r="AR112" t="s">
        <v>135</v>
      </c>
      <c r="AS112" t="s">
        <v>135</v>
      </c>
      <c r="AT112" t="s">
        <v>135</v>
      </c>
      <c r="AU112" t="s">
        <v>135</v>
      </c>
      <c r="AV112" t="s">
        <v>135</v>
      </c>
      <c r="AW112" t="s">
        <v>135</v>
      </c>
      <c r="AX112" t="s">
        <v>135</v>
      </c>
      <c r="AY112" t="s">
        <v>135</v>
      </c>
      <c r="AZ112" t="s">
        <v>135</v>
      </c>
      <c r="BA112" t="s">
        <v>135</v>
      </c>
      <c r="BB112" t="s">
        <v>135</v>
      </c>
      <c r="BC112" t="s">
        <v>135</v>
      </c>
      <c r="BD112" t="s">
        <v>135</v>
      </c>
      <c r="BE112" t="s">
        <v>135</v>
      </c>
      <c r="BF112" t="s">
        <v>135</v>
      </c>
      <c r="BG112" t="s">
        <v>135</v>
      </c>
      <c r="BH112" t="s">
        <v>135</v>
      </c>
      <c r="BI112" t="s">
        <v>135</v>
      </c>
      <c r="BJ112" t="s">
        <v>135</v>
      </c>
      <c r="BK112" t="s">
        <v>135</v>
      </c>
      <c r="BL112" t="s">
        <v>135</v>
      </c>
      <c r="BM112" t="s">
        <v>135</v>
      </c>
      <c r="BN112" t="s">
        <v>135</v>
      </c>
      <c r="BO112" t="s">
        <v>135</v>
      </c>
      <c r="BP112" t="s">
        <v>135</v>
      </c>
      <c r="BQ112" t="s">
        <v>135</v>
      </c>
      <c r="BR112" t="s">
        <v>135</v>
      </c>
      <c r="BS112" t="s">
        <v>135</v>
      </c>
      <c r="BT112" t="s">
        <v>135</v>
      </c>
      <c r="BU112" t="s">
        <v>135</v>
      </c>
      <c r="BV112" t="s">
        <v>135</v>
      </c>
      <c r="BW112" t="s">
        <v>135</v>
      </c>
      <c r="BX112" t="s">
        <v>135</v>
      </c>
      <c r="BY112" t="s">
        <v>135</v>
      </c>
      <c r="BZ112" t="s">
        <v>135</v>
      </c>
      <c r="CA112" t="s">
        <v>135</v>
      </c>
      <c r="CB112" t="s">
        <v>135</v>
      </c>
      <c r="CC112" t="s">
        <v>135</v>
      </c>
      <c r="CD112" t="s">
        <v>135</v>
      </c>
      <c r="CE112" t="s">
        <v>135</v>
      </c>
      <c r="CF112" t="s">
        <v>135</v>
      </c>
      <c r="CG112" t="s">
        <v>135</v>
      </c>
      <c r="CH112" t="s">
        <v>135</v>
      </c>
      <c r="CI112" t="s">
        <v>135</v>
      </c>
      <c r="CJ112" t="s">
        <v>135</v>
      </c>
      <c r="CK112" t="s">
        <v>135</v>
      </c>
      <c r="CL112" t="s">
        <v>135</v>
      </c>
      <c r="CM112" t="s">
        <v>135</v>
      </c>
      <c r="CN112" t="s">
        <v>135</v>
      </c>
      <c r="CO112" t="s">
        <v>135</v>
      </c>
      <c r="CP112" t="s">
        <v>135</v>
      </c>
      <c r="CQ112" t="s">
        <v>135</v>
      </c>
      <c r="CR112" t="s">
        <v>135</v>
      </c>
      <c r="CS112" t="s">
        <v>135</v>
      </c>
      <c r="CT112" t="s">
        <v>135</v>
      </c>
      <c r="CU112" t="s">
        <v>135</v>
      </c>
      <c r="CV112" t="s">
        <v>135</v>
      </c>
      <c r="CW112" t="s">
        <v>135</v>
      </c>
      <c r="CX112" t="s">
        <v>135</v>
      </c>
      <c r="CY112" t="s">
        <v>135</v>
      </c>
      <c r="CZ112" t="s">
        <v>135</v>
      </c>
      <c r="DA112" t="s">
        <v>135</v>
      </c>
      <c r="DB112" t="s">
        <v>135</v>
      </c>
      <c r="DC112" t="s">
        <v>135</v>
      </c>
      <c r="DD112" t="s">
        <v>135</v>
      </c>
      <c r="DE112" t="s">
        <v>135</v>
      </c>
      <c r="DF112" t="s">
        <v>135</v>
      </c>
      <c r="DG112" t="s">
        <v>135</v>
      </c>
      <c r="DH112" t="s">
        <v>135</v>
      </c>
      <c r="DI112" t="s">
        <v>135</v>
      </c>
    </row>
    <row r="113" spans="1:113" x14ac:dyDescent="0.3">
      <c r="D113" t="s">
        <v>83</v>
      </c>
      <c r="E113" t="s">
        <v>77</v>
      </c>
      <c r="F113" t="s">
        <v>135</v>
      </c>
      <c r="G113" t="s">
        <v>135</v>
      </c>
      <c r="H113" t="s">
        <v>135</v>
      </c>
      <c r="I113" t="s">
        <v>135</v>
      </c>
      <c r="J113" t="s">
        <v>135</v>
      </c>
      <c r="K113" t="s">
        <v>135</v>
      </c>
      <c r="L113" t="s">
        <v>135</v>
      </c>
      <c r="M113" t="s">
        <v>135</v>
      </c>
      <c r="N113" t="s">
        <v>135</v>
      </c>
      <c r="O113" t="s">
        <v>135</v>
      </c>
      <c r="P113" t="s">
        <v>135</v>
      </c>
      <c r="Q113" t="s">
        <v>135</v>
      </c>
      <c r="R113" t="s">
        <v>135</v>
      </c>
      <c r="S113" t="s">
        <v>135</v>
      </c>
      <c r="T113" t="s">
        <v>135</v>
      </c>
      <c r="U113" t="s">
        <v>135</v>
      </c>
      <c r="V113" t="s">
        <v>135</v>
      </c>
      <c r="W113" t="s">
        <v>135</v>
      </c>
      <c r="X113" t="s">
        <v>135</v>
      </c>
      <c r="Y113" t="s">
        <v>135</v>
      </c>
      <c r="Z113" t="s">
        <v>135</v>
      </c>
      <c r="AA113" t="s">
        <v>135</v>
      </c>
      <c r="AB113" t="s">
        <v>135</v>
      </c>
      <c r="AC113" t="s">
        <v>135</v>
      </c>
      <c r="AD113" t="s">
        <v>135</v>
      </c>
      <c r="AE113" t="s">
        <v>135</v>
      </c>
      <c r="AF113" t="s">
        <v>135</v>
      </c>
      <c r="AG113" t="s">
        <v>135</v>
      </c>
      <c r="AH113" t="s">
        <v>135</v>
      </c>
      <c r="AI113" t="s">
        <v>135</v>
      </c>
      <c r="AJ113" t="s">
        <v>135</v>
      </c>
      <c r="AK113" t="s">
        <v>135</v>
      </c>
      <c r="AL113" t="s">
        <v>135</v>
      </c>
      <c r="AM113" t="s">
        <v>135</v>
      </c>
      <c r="AN113" t="s">
        <v>135</v>
      </c>
      <c r="AO113" t="s">
        <v>135</v>
      </c>
      <c r="AP113" t="s">
        <v>135</v>
      </c>
      <c r="AQ113" t="s">
        <v>135</v>
      </c>
      <c r="AR113" t="s">
        <v>135</v>
      </c>
      <c r="AS113" t="s">
        <v>135</v>
      </c>
      <c r="AT113" t="s">
        <v>135</v>
      </c>
      <c r="AU113" t="s">
        <v>135</v>
      </c>
      <c r="AV113" t="s">
        <v>135</v>
      </c>
      <c r="AW113" t="s">
        <v>135</v>
      </c>
      <c r="AX113" t="s">
        <v>135</v>
      </c>
      <c r="AY113" t="s">
        <v>135</v>
      </c>
      <c r="AZ113" t="s">
        <v>135</v>
      </c>
      <c r="BA113" t="s">
        <v>135</v>
      </c>
      <c r="BB113" t="s">
        <v>135</v>
      </c>
      <c r="BC113" t="s">
        <v>135</v>
      </c>
      <c r="BD113" t="s">
        <v>135</v>
      </c>
      <c r="BE113" t="s">
        <v>135</v>
      </c>
      <c r="BF113" t="s">
        <v>135</v>
      </c>
      <c r="BG113" t="s">
        <v>135</v>
      </c>
      <c r="BH113" t="s">
        <v>135</v>
      </c>
      <c r="BI113" t="s">
        <v>135</v>
      </c>
      <c r="BJ113" t="s">
        <v>135</v>
      </c>
      <c r="BK113" t="s">
        <v>135</v>
      </c>
      <c r="BL113" t="s">
        <v>135</v>
      </c>
      <c r="BM113" t="s">
        <v>135</v>
      </c>
      <c r="BN113" t="s">
        <v>135</v>
      </c>
      <c r="BO113" t="s">
        <v>135</v>
      </c>
      <c r="BP113" t="s">
        <v>135</v>
      </c>
      <c r="BQ113" t="s">
        <v>135</v>
      </c>
      <c r="BR113" t="s">
        <v>135</v>
      </c>
      <c r="BS113" t="s">
        <v>135</v>
      </c>
      <c r="BT113" t="s">
        <v>135</v>
      </c>
      <c r="BU113" t="s">
        <v>135</v>
      </c>
      <c r="BV113" t="s">
        <v>135</v>
      </c>
      <c r="BW113" t="s">
        <v>135</v>
      </c>
      <c r="BX113" t="s">
        <v>135</v>
      </c>
      <c r="BY113" t="s">
        <v>135</v>
      </c>
      <c r="BZ113" t="s">
        <v>135</v>
      </c>
      <c r="CA113" t="s">
        <v>135</v>
      </c>
      <c r="CB113" t="s">
        <v>135</v>
      </c>
      <c r="CC113" t="s">
        <v>135</v>
      </c>
      <c r="CD113" t="s">
        <v>135</v>
      </c>
      <c r="CE113" t="s">
        <v>135</v>
      </c>
      <c r="CF113" t="s">
        <v>135</v>
      </c>
      <c r="CG113" t="s">
        <v>135</v>
      </c>
      <c r="CH113" t="s">
        <v>135</v>
      </c>
      <c r="CI113" t="s">
        <v>135</v>
      </c>
      <c r="CJ113" t="s">
        <v>135</v>
      </c>
      <c r="CK113" t="s">
        <v>135</v>
      </c>
      <c r="CL113" t="s">
        <v>135</v>
      </c>
      <c r="CM113" t="s">
        <v>135</v>
      </c>
      <c r="CN113" t="s">
        <v>135</v>
      </c>
      <c r="CO113" t="s">
        <v>135</v>
      </c>
      <c r="CP113" t="s">
        <v>135</v>
      </c>
      <c r="CQ113" t="s">
        <v>135</v>
      </c>
      <c r="CR113" t="s">
        <v>135</v>
      </c>
      <c r="CS113" t="s">
        <v>135</v>
      </c>
      <c r="CT113" t="s">
        <v>135</v>
      </c>
      <c r="CU113" t="s">
        <v>135</v>
      </c>
      <c r="CV113" t="s">
        <v>135</v>
      </c>
      <c r="CW113" t="s">
        <v>135</v>
      </c>
      <c r="CX113" t="s">
        <v>135</v>
      </c>
      <c r="CY113" t="s">
        <v>135</v>
      </c>
      <c r="CZ113" t="s">
        <v>135</v>
      </c>
      <c r="DA113" t="s">
        <v>135</v>
      </c>
      <c r="DB113" t="s">
        <v>135</v>
      </c>
      <c r="DC113" t="s">
        <v>135</v>
      </c>
      <c r="DD113" t="s">
        <v>135</v>
      </c>
      <c r="DE113" t="s">
        <v>135</v>
      </c>
      <c r="DF113" t="s">
        <v>135</v>
      </c>
      <c r="DG113" t="s">
        <v>135</v>
      </c>
      <c r="DH113" t="s">
        <v>135</v>
      </c>
      <c r="DI113" t="s">
        <v>135</v>
      </c>
    </row>
    <row r="114" spans="1:113" x14ac:dyDescent="0.3">
      <c r="E114" t="s">
        <v>78</v>
      </c>
      <c r="F114" t="s">
        <v>135</v>
      </c>
      <c r="G114" t="s">
        <v>135</v>
      </c>
      <c r="H114" t="s">
        <v>135</v>
      </c>
      <c r="I114" t="s">
        <v>135</v>
      </c>
      <c r="J114" t="s">
        <v>135</v>
      </c>
      <c r="K114" t="s">
        <v>135</v>
      </c>
      <c r="L114" t="s">
        <v>135</v>
      </c>
      <c r="M114" t="s">
        <v>135</v>
      </c>
      <c r="N114" t="s">
        <v>135</v>
      </c>
      <c r="O114" t="s">
        <v>135</v>
      </c>
      <c r="P114" t="s">
        <v>135</v>
      </c>
      <c r="Q114" t="s">
        <v>135</v>
      </c>
      <c r="R114" t="s">
        <v>135</v>
      </c>
      <c r="S114" t="s">
        <v>135</v>
      </c>
      <c r="T114" t="s">
        <v>135</v>
      </c>
      <c r="U114" t="s">
        <v>135</v>
      </c>
      <c r="V114" t="s">
        <v>135</v>
      </c>
      <c r="W114" t="s">
        <v>135</v>
      </c>
      <c r="X114" t="s">
        <v>135</v>
      </c>
      <c r="Y114" t="s">
        <v>135</v>
      </c>
      <c r="Z114" t="s">
        <v>135</v>
      </c>
      <c r="AA114" t="s">
        <v>135</v>
      </c>
      <c r="AB114" t="s">
        <v>135</v>
      </c>
      <c r="AC114" t="s">
        <v>135</v>
      </c>
      <c r="AD114" t="s">
        <v>135</v>
      </c>
      <c r="AE114" t="s">
        <v>135</v>
      </c>
      <c r="AF114" t="s">
        <v>135</v>
      </c>
      <c r="AG114" t="s">
        <v>135</v>
      </c>
      <c r="AH114" t="s">
        <v>135</v>
      </c>
      <c r="AI114" t="s">
        <v>135</v>
      </c>
      <c r="AJ114" t="s">
        <v>135</v>
      </c>
      <c r="AK114" t="s">
        <v>135</v>
      </c>
      <c r="AL114" t="s">
        <v>135</v>
      </c>
      <c r="AM114" t="s">
        <v>135</v>
      </c>
      <c r="AN114" t="s">
        <v>135</v>
      </c>
      <c r="AO114" t="s">
        <v>135</v>
      </c>
      <c r="AP114" t="s">
        <v>135</v>
      </c>
      <c r="AQ114" t="s">
        <v>135</v>
      </c>
      <c r="AR114" t="s">
        <v>135</v>
      </c>
      <c r="AS114" t="s">
        <v>135</v>
      </c>
      <c r="AT114" t="s">
        <v>135</v>
      </c>
      <c r="AU114" t="s">
        <v>135</v>
      </c>
      <c r="AV114" t="s">
        <v>135</v>
      </c>
      <c r="AW114" t="s">
        <v>135</v>
      </c>
      <c r="AX114" t="s">
        <v>135</v>
      </c>
      <c r="AY114" t="s">
        <v>135</v>
      </c>
      <c r="AZ114" t="s">
        <v>135</v>
      </c>
      <c r="BA114" t="s">
        <v>135</v>
      </c>
      <c r="BB114" t="s">
        <v>135</v>
      </c>
      <c r="BC114" t="s">
        <v>135</v>
      </c>
      <c r="BD114" t="s">
        <v>135</v>
      </c>
      <c r="BE114" t="s">
        <v>135</v>
      </c>
      <c r="BF114" t="s">
        <v>135</v>
      </c>
      <c r="BG114" t="s">
        <v>135</v>
      </c>
      <c r="BH114" t="s">
        <v>135</v>
      </c>
      <c r="BI114" t="s">
        <v>135</v>
      </c>
      <c r="BJ114" t="s">
        <v>135</v>
      </c>
      <c r="BK114" t="s">
        <v>135</v>
      </c>
      <c r="BL114" t="s">
        <v>135</v>
      </c>
      <c r="BM114" t="s">
        <v>135</v>
      </c>
      <c r="BN114" t="s">
        <v>135</v>
      </c>
      <c r="BO114" t="s">
        <v>135</v>
      </c>
      <c r="BP114" t="s">
        <v>135</v>
      </c>
      <c r="BQ114" t="s">
        <v>135</v>
      </c>
      <c r="BR114" t="s">
        <v>135</v>
      </c>
      <c r="BS114" t="s">
        <v>135</v>
      </c>
      <c r="BT114" t="s">
        <v>135</v>
      </c>
      <c r="BU114" t="s">
        <v>135</v>
      </c>
      <c r="BV114" t="s">
        <v>135</v>
      </c>
      <c r="BW114" t="s">
        <v>135</v>
      </c>
      <c r="BX114" t="s">
        <v>135</v>
      </c>
      <c r="BY114" t="s">
        <v>135</v>
      </c>
      <c r="BZ114" t="s">
        <v>135</v>
      </c>
      <c r="CA114" t="s">
        <v>135</v>
      </c>
      <c r="CB114" t="s">
        <v>135</v>
      </c>
      <c r="CC114" t="s">
        <v>135</v>
      </c>
      <c r="CD114" t="s">
        <v>135</v>
      </c>
      <c r="CE114" t="s">
        <v>135</v>
      </c>
      <c r="CF114" t="s">
        <v>135</v>
      </c>
      <c r="CG114" t="s">
        <v>135</v>
      </c>
      <c r="CH114" t="s">
        <v>135</v>
      </c>
      <c r="CI114" t="s">
        <v>135</v>
      </c>
      <c r="CJ114" t="s">
        <v>135</v>
      </c>
      <c r="CK114" t="s">
        <v>135</v>
      </c>
      <c r="CL114" t="s">
        <v>135</v>
      </c>
      <c r="CM114" t="s">
        <v>135</v>
      </c>
      <c r="CN114" t="s">
        <v>135</v>
      </c>
      <c r="CO114" t="s">
        <v>135</v>
      </c>
      <c r="CP114" t="s">
        <v>135</v>
      </c>
      <c r="CQ114" t="s">
        <v>135</v>
      </c>
      <c r="CR114" t="s">
        <v>135</v>
      </c>
      <c r="CS114" t="s">
        <v>135</v>
      </c>
      <c r="CT114" t="s">
        <v>135</v>
      </c>
      <c r="CU114" t="s">
        <v>135</v>
      </c>
      <c r="CV114" t="s">
        <v>135</v>
      </c>
      <c r="CW114" t="s">
        <v>135</v>
      </c>
      <c r="CX114" t="s">
        <v>135</v>
      </c>
      <c r="CY114" t="s">
        <v>135</v>
      </c>
      <c r="CZ114" t="s">
        <v>135</v>
      </c>
      <c r="DA114" t="s">
        <v>135</v>
      </c>
      <c r="DB114" t="s">
        <v>135</v>
      </c>
      <c r="DC114" t="s">
        <v>135</v>
      </c>
      <c r="DD114" t="s">
        <v>135</v>
      </c>
      <c r="DE114" t="s">
        <v>135</v>
      </c>
      <c r="DF114" t="s">
        <v>135</v>
      </c>
      <c r="DG114" t="s">
        <v>135</v>
      </c>
      <c r="DH114" t="s">
        <v>135</v>
      </c>
      <c r="DI114" t="s">
        <v>135</v>
      </c>
    </row>
    <row r="115" spans="1:113" x14ac:dyDescent="0.3">
      <c r="E115" t="s">
        <v>79</v>
      </c>
      <c r="F115" t="s">
        <v>135</v>
      </c>
      <c r="G115" t="s">
        <v>135</v>
      </c>
      <c r="H115" t="s">
        <v>135</v>
      </c>
      <c r="I115" t="s">
        <v>135</v>
      </c>
      <c r="J115" t="s">
        <v>135</v>
      </c>
      <c r="K115" t="s">
        <v>135</v>
      </c>
      <c r="L115" t="s">
        <v>135</v>
      </c>
      <c r="M115" t="s">
        <v>135</v>
      </c>
      <c r="N115" t="s">
        <v>135</v>
      </c>
      <c r="O115" t="s">
        <v>135</v>
      </c>
      <c r="P115" t="s">
        <v>135</v>
      </c>
      <c r="Q115" t="s">
        <v>135</v>
      </c>
      <c r="R115" t="s">
        <v>135</v>
      </c>
      <c r="S115" t="s">
        <v>135</v>
      </c>
      <c r="T115" t="s">
        <v>135</v>
      </c>
      <c r="U115" t="s">
        <v>135</v>
      </c>
      <c r="V115" t="s">
        <v>135</v>
      </c>
      <c r="W115" t="s">
        <v>135</v>
      </c>
      <c r="X115" t="s">
        <v>135</v>
      </c>
      <c r="Y115" t="s">
        <v>135</v>
      </c>
      <c r="Z115" t="s">
        <v>135</v>
      </c>
      <c r="AA115" t="s">
        <v>135</v>
      </c>
      <c r="AB115" t="s">
        <v>135</v>
      </c>
      <c r="AC115" t="s">
        <v>135</v>
      </c>
      <c r="AD115" t="s">
        <v>135</v>
      </c>
      <c r="AE115" t="s">
        <v>135</v>
      </c>
      <c r="AF115" t="s">
        <v>135</v>
      </c>
      <c r="AG115" t="s">
        <v>135</v>
      </c>
      <c r="AH115" t="s">
        <v>135</v>
      </c>
      <c r="AI115" t="s">
        <v>135</v>
      </c>
      <c r="AJ115" t="s">
        <v>135</v>
      </c>
      <c r="AK115" t="s">
        <v>135</v>
      </c>
      <c r="AL115" t="s">
        <v>135</v>
      </c>
      <c r="AM115" t="s">
        <v>135</v>
      </c>
      <c r="AN115" t="s">
        <v>135</v>
      </c>
      <c r="AO115" t="s">
        <v>135</v>
      </c>
      <c r="AP115" t="s">
        <v>135</v>
      </c>
      <c r="AQ115" t="s">
        <v>135</v>
      </c>
      <c r="AR115" t="s">
        <v>135</v>
      </c>
      <c r="AS115" t="s">
        <v>135</v>
      </c>
      <c r="AT115" t="s">
        <v>135</v>
      </c>
      <c r="AU115" t="s">
        <v>135</v>
      </c>
      <c r="AV115" t="s">
        <v>135</v>
      </c>
      <c r="AW115" t="s">
        <v>135</v>
      </c>
      <c r="AX115" t="s">
        <v>135</v>
      </c>
      <c r="AY115" t="s">
        <v>135</v>
      </c>
      <c r="AZ115" t="s">
        <v>135</v>
      </c>
      <c r="BA115" t="s">
        <v>135</v>
      </c>
      <c r="BB115" t="s">
        <v>135</v>
      </c>
      <c r="BC115" t="s">
        <v>135</v>
      </c>
      <c r="BD115" t="s">
        <v>135</v>
      </c>
      <c r="BE115" t="s">
        <v>135</v>
      </c>
      <c r="BF115" t="s">
        <v>135</v>
      </c>
      <c r="BG115" t="s">
        <v>135</v>
      </c>
      <c r="BH115" t="s">
        <v>135</v>
      </c>
      <c r="BI115" t="s">
        <v>135</v>
      </c>
      <c r="BJ115" t="s">
        <v>135</v>
      </c>
      <c r="BK115" t="s">
        <v>135</v>
      </c>
      <c r="BL115" t="s">
        <v>135</v>
      </c>
      <c r="BM115" t="s">
        <v>135</v>
      </c>
      <c r="BN115" t="s">
        <v>135</v>
      </c>
      <c r="BO115" t="s">
        <v>135</v>
      </c>
      <c r="BP115" t="s">
        <v>135</v>
      </c>
      <c r="BQ115" t="s">
        <v>135</v>
      </c>
      <c r="BR115" t="s">
        <v>135</v>
      </c>
      <c r="BS115" t="s">
        <v>135</v>
      </c>
      <c r="BT115" t="s">
        <v>135</v>
      </c>
      <c r="BU115" t="s">
        <v>135</v>
      </c>
      <c r="BV115" t="s">
        <v>135</v>
      </c>
      <c r="BW115" t="s">
        <v>135</v>
      </c>
      <c r="BX115" t="s">
        <v>135</v>
      </c>
      <c r="BY115" t="s">
        <v>135</v>
      </c>
      <c r="BZ115" t="s">
        <v>135</v>
      </c>
      <c r="CA115" t="s">
        <v>135</v>
      </c>
      <c r="CB115" t="s">
        <v>135</v>
      </c>
      <c r="CC115" t="s">
        <v>135</v>
      </c>
      <c r="CD115" t="s">
        <v>135</v>
      </c>
      <c r="CE115" t="s">
        <v>135</v>
      </c>
      <c r="CF115" t="s">
        <v>135</v>
      </c>
      <c r="CG115" t="s">
        <v>135</v>
      </c>
      <c r="CH115" t="s">
        <v>135</v>
      </c>
      <c r="CI115" t="s">
        <v>135</v>
      </c>
      <c r="CJ115" t="s">
        <v>135</v>
      </c>
      <c r="CK115" t="s">
        <v>135</v>
      </c>
      <c r="CL115" t="s">
        <v>135</v>
      </c>
      <c r="CM115" t="s">
        <v>135</v>
      </c>
      <c r="CN115" t="s">
        <v>135</v>
      </c>
      <c r="CO115" t="s">
        <v>135</v>
      </c>
      <c r="CP115" t="s">
        <v>135</v>
      </c>
      <c r="CQ115" t="s">
        <v>135</v>
      </c>
      <c r="CR115" t="s">
        <v>135</v>
      </c>
      <c r="CS115" t="s">
        <v>135</v>
      </c>
      <c r="CT115" t="s">
        <v>135</v>
      </c>
      <c r="CU115" t="s">
        <v>135</v>
      </c>
      <c r="CV115" t="s">
        <v>135</v>
      </c>
      <c r="CW115" t="s">
        <v>135</v>
      </c>
      <c r="CX115" t="s">
        <v>135</v>
      </c>
      <c r="CY115" t="s">
        <v>135</v>
      </c>
      <c r="CZ115" t="s">
        <v>135</v>
      </c>
      <c r="DA115" t="s">
        <v>135</v>
      </c>
      <c r="DB115" t="s">
        <v>135</v>
      </c>
      <c r="DC115" t="s">
        <v>135</v>
      </c>
      <c r="DD115" t="s">
        <v>135</v>
      </c>
      <c r="DE115" t="s">
        <v>135</v>
      </c>
      <c r="DF115" t="s">
        <v>135</v>
      </c>
      <c r="DG115" t="s">
        <v>135</v>
      </c>
      <c r="DH115" t="s">
        <v>135</v>
      </c>
      <c r="DI115" t="s">
        <v>135</v>
      </c>
    </row>
    <row r="116" spans="1:113" x14ac:dyDescent="0.3">
      <c r="E116" t="s">
        <v>80</v>
      </c>
      <c r="F116" t="s">
        <v>135</v>
      </c>
      <c r="G116" t="s">
        <v>135</v>
      </c>
      <c r="H116" t="s">
        <v>135</v>
      </c>
      <c r="I116" t="s">
        <v>135</v>
      </c>
      <c r="J116" t="s">
        <v>135</v>
      </c>
      <c r="K116" t="s">
        <v>135</v>
      </c>
      <c r="L116" t="s">
        <v>135</v>
      </c>
      <c r="M116" t="s">
        <v>135</v>
      </c>
      <c r="N116" t="s">
        <v>135</v>
      </c>
      <c r="O116" t="s">
        <v>135</v>
      </c>
      <c r="P116" t="s">
        <v>135</v>
      </c>
      <c r="Q116" t="s">
        <v>135</v>
      </c>
      <c r="R116" t="s">
        <v>135</v>
      </c>
      <c r="S116" t="s">
        <v>135</v>
      </c>
      <c r="T116" t="s">
        <v>135</v>
      </c>
      <c r="U116" t="s">
        <v>135</v>
      </c>
      <c r="V116" t="s">
        <v>135</v>
      </c>
      <c r="W116" t="s">
        <v>135</v>
      </c>
      <c r="X116" t="s">
        <v>135</v>
      </c>
      <c r="Y116" t="s">
        <v>135</v>
      </c>
      <c r="Z116" t="s">
        <v>135</v>
      </c>
      <c r="AA116" t="s">
        <v>135</v>
      </c>
      <c r="AB116" t="s">
        <v>135</v>
      </c>
      <c r="AC116" t="s">
        <v>135</v>
      </c>
      <c r="AD116" t="s">
        <v>135</v>
      </c>
      <c r="AE116" t="s">
        <v>135</v>
      </c>
      <c r="AF116" t="s">
        <v>135</v>
      </c>
      <c r="AG116" t="s">
        <v>135</v>
      </c>
      <c r="AH116" t="s">
        <v>135</v>
      </c>
      <c r="AI116" t="s">
        <v>135</v>
      </c>
      <c r="AJ116" t="s">
        <v>135</v>
      </c>
      <c r="AK116" t="s">
        <v>135</v>
      </c>
      <c r="AL116" t="s">
        <v>135</v>
      </c>
      <c r="AM116" t="s">
        <v>135</v>
      </c>
      <c r="AN116" t="s">
        <v>135</v>
      </c>
      <c r="AO116" t="s">
        <v>135</v>
      </c>
      <c r="AP116" t="s">
        <v>135</v>
      </c>
      <c r="AQ116" t="s">
        <v>135</v>
      </c>
      <c r="AR116" t="s">
        <v>135</v>
      </c>
      <c r="AS116" t="s">
        <v>135</v>
      </c>
      <c r="AT116" t="s">
        <v>135</v>
      </c>
      <c r="AU116" t="s">
        <v>135</v>
      </c>
      <c r="AV116" t="s">
        <v>135</v>
      </c>
      <c r="AW116" t="s">
        <v>135</v>
      </c>
      <c r="AX116" t="s">
        <v>135</v>
      </c>
      <c r="AY116" t="s">
        <v>135</v>
      </c>
      <c r="AZ116" t="s">
        <v>135</v>
      </c>
      <c r="BA116" t="s">
        <v>135</v>
      </c>
      <c r="BB116" t="s">
        <v>135</v>
      </c>
      <c r="BC116" t="s">
        <v>135</v>
      </c>
      <c r="BD116" t="s">
        <v>135</v>
      </c>
      <c r="BE116" t="s">
        <v>135</v>
      </c>
      <c r="BF116" t="s">
        <v>135</v>
      </c>
      <c r="BG116" t="s">
        <v>135</v>
      </c>
      <c r="BH116" t="s">
        <v>135</v>
      </c>
      <c r="BI116" t="s">
        <v>135</v>
      </c>
      <c r="BJ116" t="s">
        <v>135</v>
      </c>
      <c r="BK116" t="s">
        <v>135</v>
      </c>
      <c r="BL116" t="s">
        <v>135</v>
      </c>
      <c r="BM116" t="s">
        <v>135</v>
      </c>
      <c r="BN116" t="s">
        <v>135</v>
      </c>
      <c r="BO116" t="s">
        <v>135</v>
      </c>
      <c r="BP116" t="s">
        <v>135</v>
      </c>
      <c r="BQ116" t="s">
        <v>135</v>
      </c>
      <c r="BR116" t="s">
        <v>135</v>
      </c>
      <c r="BS116" t="s">
        <v>135</v>
      </c>
      <c r="BT116" t="s">
        <v>135</v>
      </c>
      <c r="BU116" t="s">
        <v>135</v>
      </c>
      <c r="BV116" t="s">
        <v>135</v>
      </c>
      <c r="BW116" t="s">
        <v>135</v>
      </c>
      <c r="BX116" t="s">
        <v>135</v>
      </c>
      <c r="BY116" t="s">
        <v>135</v>
      </c>
      <c r="BZ116" t="s">
        <v>135</v>
      </c>
      <c r="CA116" t="s">
        <v>135</v>
      </c>
      <c r="CB116" t="s">
        <v>135</v>
      </c>
      <c r="CC116" t="s">
        <v>135</v>
      </c>
      <c r="CD116" t="s">
        <v>135</v>
      </c>
      <c r="CE116" t="s">
        <v>135</v>
      </c>
      <c r="CF116" t="s">
        <v>135</v>
      </c>
      <c r="CG116" t="s">
        <v>135</v>
      </c>
      <c r="CH116" t="s">
        <v>135</v>
      </c>
      <c r="CI116" t="s">
        <v>135</v>
      </c>
      <c r="CJ116" t="s">
        <v>135</v>
      </c>
      <c r="CK116" t="s">
        <v>135</v>
      </c>
      <c r="CL116" t="s">
        <v>135</v>
      </c>
      <c r="CM116" t="s">
        <v>135</v>
      </c>
      <c r="CN116" t="s">
        <v>135</v>
      </c>
      <c r="CO116" t="s">
        <v>135</v>
      </c>
      <c r="CP116" t="s">
        <v>135</v>
      </c>
      <c r="CQ116" t="s">
        <v>135</v>
      </c>
      <c r="CR116" t="s">
        <v>135</v>
      </c>
      <c r="CS116" t="s">
        <v>135</v>
      </c>
      <c r="CT116" t="s">
        <v>135</v>
      </c>
      <c r="CU116" t="s">
        <v>135</v>
      </c>
      <c r="CV116" t="s">
        <v>135</v>
      </c>
      <c r="CW116" t="s">
        <v>135</v>
      </c>
      <c r="CX116" t="s">
        <v>135</v>
      </c>
      <c r="CY116" t="s">
        <v>135</v>
      </c>
      <c r="CZ116" t="s">
        <v>135</v>
      </c>
      <c r="DA116" t="s">
        <v>135</v>
      </c>
      <c r="DB116" t="s">
        <v>135</v>
      </c>
      <c r="DC116" t="s">
        <v>135</v>
      </c>
      <c r="DD116" t="s">
        <v>135</v>
      </c>
      <c r="DE116" t="s">
        <v>135</v>
      </c>
      <c r="DF116" t="s">
        <v>135</v>
      </c>
      <c r="DG116" t="s">
        <v>135</v>
      </c>
      <c r="DH116" t="s">
        <v>135</v>
      </c>
      <c r="DI116" t="s">
        <v>135</v>
      </c>
    </row>
    <row r="117" spans="1:113" x14ac:dyDescent="0.3">
      <c r="E117" t="s">
        <v>81</v>
      </c>
      <c r="F117" t="s">
        <v>135</v>
      </c>
      <c r="G117" t="s">
        <v>135</v>
      </c>
      <c r="H117" t="s">
        <v>135</v>
      </c>
      <c r="I117" t="s">
        <v>135</v>
      </c>
      <c r="J117" t="s">
        <v>135</v>
      </c>
      <c r="K117" t="s">
        <v>135</v>
      </c>
      <c r="L117" t="s">
        <v>135</v>
      </c>
      <c r="M117" t="s">
        <v>135</v>
      </c>
      <c r="N117" t="s">
        <v>135</v>
      </c>
      <c r="O117" t="s">
        <v>135</v>
      </c>
      <c r="P117" t="s">
        <v>135</v>
      </c>
      <c r="Q117" t="s">
        <v>135</v>
      </c>
      <c r="R117" t="s">
        <v>135</v>
      </c>
      <c r="S117" t="s">
        <v>135</v>
      </c>
      <c r="T117" t="s">
        <v>135</v>
      </c>
      <c r="U117" t="s">
        <v>135</v>
      </c>
      <c r="V117" t="s">
        <v>135</v>
      </c>
      <c r="W117" t="s">
        <v>135</v>
      </c>
      <c r="X117" t="s">
        <v>135</v>
      </c>
      <c r="Y117" t="s">
        <v>135</v>
      </c>
      <c r="Z117" t="s">
        <v>135</v>
      </c>
      <c r="AA117" t="s">
        <v>135</v>
      </c>
      <c r="AB117" t="s">
        <v>135</v>
      </c>
      <c r="AC117" t="s">
        <v>135</v>
      </c>
      <c r="AD117" t="s">
        <v>135</v>
      </c>
      <c r="AE117" t="s">
        <v>135</v>
      </c>
      <c r="AF117" t="s">
        <v>135</v>
      </c>
      <c r="AG117" t="s">
        <v>135</v>
      </c>
      <c r="AH117" t="s">
        <v>135</v>
      </c>
      <c r="AI117" t="s">
        <v>135</v>
      </c>
      <c r="AJ117" t="s">
        <v>135</v>
      </c>
      <c r="AK117" t="s">
        <v>135</v>
      </c>
      <c r="AL117" t="s">
        <v>135</v>
      </c>
      <c r="AM117" t="s">
        <v>135</v>
      </c>
      <c r="AN117" t="s">
        <v>135</v>
      </c>
      <c r="AO117" t="s">
        <v>135</v>
      </c>
      <c r="AP117" t="s">
        <v>135</v>
      </c>
      <c r="AQ117" t="s">
        <v>135</v>
      </c>
      <c r="AR117" t="s">
        <v>135</v>
      </c>
      <c r="AS117" t="s">
        <v>135</v>
      </c>
      <c r="AT117" t="s">
        <v>135</v>
      </c>
      <c r="AU117" t="s">
        <v>135</v>
      </c>
      <c r="AV117" t="s">
        <v>135</v>
      </c>
      <c r="AW117" t="s">
        <v>135</v>
      </c>
      <c r="AX117" t="s">
        <v>135</v>
      </c>
      <c r="AY117" t="s">
        <v>135</v>
      </c>
      <c r="AZ117" t="s">
        <v>135</v>
      </c>
      <c r="BA117" t="s">
        <v>135</v>
      </c>
      <c r="BB117" t="s">
        <v>135</v>
      </c>
      <c r="BC117" t="s">
        <v>135</v>
      </c>
      <c r="BD117" t="s">
        <v>135</v>
      </c>
      <c r="BE117" t="s">
        <v>135</v>
      </c>
      <c r="BF117" t="s">
        <v>135</v>
      </c>
      <c r="BG117" t="s">
        <v>135</v>
      </c>
      <c r="BH117" t="s">
        <v>135</v>
      </c>
      <c r="BI117" t="s">
        <v>135</v>
      </c>
      <c r="BJ117" t="s">
        <v>135</v>
      </c>
      <c r="BK117" t="s">
        <v>135</v>
      </c>
      <c r="BL117" t="s">
        <v>135</v>
      </c>
      <c r="BM117" t="s">
        <v>135</v>
      </c>
      <c r="BN117" t="s">
        <v>135</v>
      </c>
      <c r="BO117" t="s">
        <v>135</v>
      </c>
      <c r="BP117" t="s">
        <v>135</v>
      </c>
      <c r="BQ117" t="s">
        <v>135</v>
      </c>
      <c r="BR117" t="s">
        <v>135</v>
      </c>
      <c r="BS117" t="s">
        <v>135</v>
      </c>
      <c r="BT117" t="s">
        <v>135</v>
      </c>
      <c r="BU117" t="s">
        <v>135</v>
      </c>
      <c r="BV117" t="s">
        <v>135</v>
      </c>
      <c r="BW117" t="s">
        <v>135</v>
      </c>
      <c r="BX117" t="s">
        <v>135</v>
      </c>
      <c r="BY117" t="s">
        <v>135</v>
      </c>
      <c r="BZ117" t="s">
        <v>135</v>
      </c>
      <c r="CA117" t="s">
        <v>135</v>
      </c>
      <c r="CB117" t="s">
        <v>135</v>
      </c>
      <c r="CC117" t="s">
        <v>135</v>
      </c>
      <c r="CD117" t="s">
        <v>135</v>
      </c>
      <c r="CE117" t="s">
        <v>135</v>
      </c>
      <c r="CF117" t="s">
        <v>135</v>
      </c>
      <c r="CG117" t="s">
        <v>135</v>
      </c>
      <c r="CH117" t="s">
        <v>135</v>
      </c>
      <c r="CI117" t="s">
        <v>135</v>
      </c>
      <c r="CJ117" t="s">
        <v>135</v>
      </c>
      <c r="CK117" t="s">
        <v>135</v>
      </c>
      <c r="CL117" t="s">
        <v>135</v>
      </c>
      <c r="CM117" t="s">
        <v>135</v>
      </c>
      <c r="CN117" t="s">
        <v>135</v>
      </c>
      <c r="CO117" t="s">
        <v>135</v>
      </c>
      <c r="CP117" t="s">
        <v>135</v>
      </c>
      <c r="CQ117" t="s">
        <v>135</v>
      </c>
      <c r="CR117" t="s">
        <v>135</v>
      </c>
      <c r="CS117" t="s">
        <v>135</v>
      </c>
      <c r="CT117" t="s">
        <v>135</v>
      </c>
      <c r="CU117" t="s">
        <v>135</v>
      </c>
      <c r="CV117" t="s">
        <v>135</v>
      </c>
      <c r="CW117" t="s">
        <v>135</v>
      </c>
      <c r="CX117" t="s">
        <v>135</v>
      </c>
      <c r="CY117" t="s">
        <v>135</v>
      </c>
      <c r="CZ117" t="s">
        <v>135</v>
      </c>
      <c r="DA117" t="s">
        <v>135</v>
      </c>
      <c r="DB117" t="s">
        <v>135</v>
      </c>
      <c r="DC117" t="s">
        <v>135</v>
      </c>
      <c r="DD117" t="s">
        <v>135</v>
      </c>
      <c r="DE117" t="s">
        <v>135</v>
      </c>
      <c r="DF117" t="s">
        <v>135</v>
      </c>
      <c r="DG117" t="s">
        <v>135</v>
      </c>
      <c r="DH117" t="s">
        <v>135</v>
      </c>
      <c r="DI117" t="s">
        <v>135</v>
      </c>
    </row>
    <row r="118" spans="1:113" x14ac:dyDescent="0.3">
      <c r="D118" t="s">
        <v>84</v>
      </c>
      <c r="E118" t="s">
        <v>77</v>
      </c>
      <c r="F118" t="s">
        <v>135</v>
      </c>
      <c r="G118" t="s">
        <v>135</v>
      </c>
      <c r="H118" t="s">
        <v>135</v>
      </c>
      <c r="I118" t="s">
        <v>135</v>
      </c>
      <c r="J118">
        <v>27.787500000000001</v>
      </c>
      <c r="K118">
        <v>13.3767</v>
      </c>
      <c r="L118" t="s">
        <v>135</v>
      </c>
      <c r="M118">
        <v>18.160499999999999</v>
      </c>
      <c r="N118">
        <v>15.8863</v>
      </c>
      <c r="O118">
        <v>15.8863</v>
      </c>
      <c r="P118">
        <v>15.8863</v>
      </c>
      <c r="Q118">
        <v>12.523</v>
      </c>
      <c r="R118">
        <v>36.4221</v>
      </c>
      <c r="S118" t="s">
        <v>135</v>
      </c>
      <c r="T118" t="s">
        <v>135</v>
      </c>
      <c r="U118" t="s">
        <v>135</v>
      </c>
      <c r="V118" t="s">
        <v>135</v>
      </c>
      <c r="W118" t="s">
        <v>135</v>
      </c>
      <c r="X118" t="s">
        <v>135</v>
      </c>
      <c r="Y118" t="s">
        <v>135</v>
      </c>
      <c r="Z118" t="s">
        <v>135</v>
      </c>
      <c r="AA118" t="s">
        <v>135</v>
      </c>
      <c r="AB118" t="s">
        <v>135</v>
      </c>
      <c r="AC118" t="s">
        <v>135</v>
      </c>
      <c r="AD118" t="s">
        <v>135</v>
      </c>
      <c r="AE118" t="s">
        <v>135</v>
      </c>
      <c r="AF118" t="s">
        <v>135</v>
      </c>
      <c r="AG118" t="s">
        <v>135</v>
      </c>
      <c r="AH118" t="s">
        <v>135</v>
      </c>
      <c r="AI118" t="s">
        <v>135</v>
      </c>
      <c r="AJ118" t="s">
        <v>135</v>
      </c>
      <c r="AK118" t="s">
        <v>135</v>
      </c>
      <c r="AL118" t="s">
        <v>135</v>
      </c>
      <c r="AM118" t="s">
        <v>135</v>
      </c>
      <c r="AN118" t="s">
        <v>135</v>
      </c>
      <c r="AO118" t="s">
        <v>135</v>
      </c>
      <c r="AP118" t="s">
        <v>135</v>
      </c>
      <c r="AQ118" t="s">
        <v>135</v>
      </c>
      <c r="AR118" t="s">
        <v>135</v>
      </c>
      <c r="AS118" t="s">
        <v>135</v>
      </c>
      <c r="AT118" t="s">
        <v>135</v>
      </c>
      <c r="AU118" t="s">
        <v>135</v>
      </c>
      <c r="AV118" t="s">
        <v>135</v>
      </c>
      <c r="AW118" t="s">
        <v>135</v>
      </c>
      <c r="AX118" t="s">
        <v>135</v>
      </c>
      <c r="AY118" t="s">
        <v>135</v>
      </c>
      <c r="AZ118" t="s">
        <v>135</v>
      </c>
      <c r="BA118" t="s">
        <v>135</v>
      </c>
      <c r="BB118" t="s">
        <v>135</v>
      </c>
      <c r="BC118" t="s">
        <v>135</v>
      </c>
      <c r="BD118" t="s">
        <v>135</v>
      </c>
      <c r="BE118" t="s">
        <v>135</v>
      </c>
      <c r="BF118" t="s">
        <v>135</v>
      </c>
      <c r="BG118" t="s">
        <v>135</v>
      </c>
      <c r="BH118" t="s">
        <v>135</v>
      </c>
      <c r="BI118" t="s">
        <v>135</v>
      </c>
      <c r="BJ118" t="s">
        <v>135</v>
      </c>
      <c r="BK118" t="s">
        <v>135</v>
      </c>
      <c r="BL118" t="s">
        <v>135</v>
      </c>
      <c r="BM118" t="s">
        <v>135</v>
      </c>
      <c r="BN118" t="s">
        <v>135</v>
      </c>
      <c r="BO118" t="s">
        <v>135</v>
      </c>
      <c r="BP118" t="s">
        <v>135</v>
      </c>
      <c r="BQ118" t="s">
        <v>135</v>
      </c>
      <c r="BR118" t="s">
        <v>135</v>
      </c>
      <c r="BS118" t="s">
        <v>135</v>
      </c>
      <c r="BT118" t="s">
        <v>135</v>
      </c>
      <c r="BU118" t="s">
        <v>135</v>
      </c>
      <c r="BV118" t="s">
        <v>135</v>
      </c>
      <c r="BW118" t="s">
        <v>135</v>
      </c>
      <c r="BX118" t="s">
        <v>135</v>
      </c>
      <c r="BY118">
        <v>12925.3</v>
      </c>
      <c r="BZ118">
        <v>7737.9</v>
      </c>
      <c r="CA118">
        <v>5187.3999999999996</v>
      </c>
      <c r="CB118">
        <v>0.55179999999999996</v>
      </c>
      <c r="CC118">
        <v>0.22509999999999999</v>
      </c>
      <c r="CD118">
        <v>1.1463000000000001</v>
      </c>
      <c r="CE118">
        <v>0.4677</v>
      </c>
      <c r="CF118">
        <v>18.4299</v>
      </c>
      <c r="CG118">
        <v>68.941599999999994</v>
      </c>
      <c r="CH118">
        <v>6.7385999999999999</v>
      </c>
      <c r="CI118">
        <v>5.7698</v>
      </c>
      <c r="CJ118">
        <v>4.6456999999999997</v>
      </c>
      <c r="CK118">
        <v>16.790500000000002</v>
      </c>
      <c r="CL118">
        <v>14.3766</v>
      </c>
      <c r="CM118">
        <v>11.5756</v>
      </c>
      <c r="CN118">
        <v>6.85</v>
      </c>
      <c r="CO118">
        <v>6.4108000000000001</v>
      </c>
      <c r="CP118">
        <v>23422.5</v>
      </c>
      <c r="CQ118">
        <v>10613.5</v>
      </c>
      <c r="CR118">
        <v>11275.4</v>
      </c>
      <c r="CS118">
        <v>0.38469999999999999</v>
      </c>
      <c r="CT118">
        <v>1.6501999999999999</v>
      </c>
      <c r="CU118">
        <v>0.55320000000000003</v>
      </c>
      <c r="CV118">
        <v>12.5449</v>
      </c>
      <c r="CW118" t="s">
        <v>135</v>
      </c>
      <c r="CX118" t="s">
        <v>135</v>
      </c>
      <c r="CY118" t="s">
        <v>135</v>
      </c>
      <c r="CZ118" t="s">
        <v>135</v>
      </c>
      <c r="DA118" t="s">
        <v>135</v>
      </c>
      <c r="DB118" t="s">
        <v>135</v>
      </c>
      <c r="DC118" t="s">
        <v>135</v>
      </c>
      <c r="DD118" t="s">
        <v>135</v>
      </c>
      <c r="DE118">
        <v>13145</v>
      </c>
      <c r="DF118">
        <v>312.3</v>
      </c>
      <c r="DG118">
        <v>1277</v>
      </c>
      <c r="DH118">
        <v>7417.7</v>
      </c>
      <c r="DI118">
        <v>4138</v>
      </c>
    </row>
    <row r="119" spans="1:113" x14ac:dyDescent="0.3">
      <c r="E119" t="s">
        <v>78</v>
      </c>
      <c r="F119" t="s">
        <v>135</v>
      </c>
      <c r="G119" t="s">
        <v>135</v>
      </c>
      <c r="H119" t="s">
        <v>135</v>
      </c>
      <c r="I119" t="s">
        <v>135</v>
      </c>
      <c r="J119" t="s">
        <v>135</v>
      </c>
      <c r="K119" t="s">
        <v>135</v>
      </c>
      <c r="L119" t="s">
        <v>135</v>
      </c>
      <c r="M119" t="s">
        <v>135</v>
      </c>
      <c r="N119" t="s">
        <v>135</v>
      </c>
      <c r="O119" t="s">
        <v>135</v>
      </c>
      <c r="P119" t="s">
        <v>135</v>
      </c>
      <c r="Q119" t="s">
        <v>135</v>
      </c>
      <c r="R119" t="s">
        <v>135</v>
      </c>
      <c r="S119" t="s">
        <v>135</v>
      </c>
      <c r="T119" t="s">
        <v>135</v>
      </c>
      <c r="U119" t="s">
        <v>135</v>
      </c>
      <c r="V119" t="s">
        <v>135</v>
      </c>
      <c r="W119" t="s">
        <v>135</v>
      </c>
      <c r="X119" t="s">
        <v>135</v>
      </c>
      <c r="Y119" t="s">
        <v>135</v>
      </c>
      <c r="Z119" t="s">
        <v>135</v>
      </c>
      <c r="AA119" t="s">
        <v>135</v>
      </c>
      <c r="AB119" t="s">
        <v>135</v>
      </c>
      <c r="AC119" t="s">
        <v>135</v>
      </c>
      <c r="AD119" t="s">
        <v>135</v>
      </c>
      <c r="AE119" t="s">
        <v>135</v>
      </c>
      <c r="AF119" t="s">
        <v>135</v>
      </c>
      <c r="AG119" t="s">
        <v>135</v>
      </c>
      <c r="AH119" t="s">
        <v>135</v>
      </c>
      <c r="AI119" t="s">
        <v>135</v>
      </c>
      <c r="AJ119" t="s">
        <v>135</v>
      </c>
      <c r="AK119" t="s">
        <v>135</v>
      </c>
      <c r="AL119" t="s">
        <v>135</v>
      </c>
      <c r="AM119" t="s">
        <v>135</v>
      </c>
      <c r="AN119" t="s">
        <v>135</v>
      </c>
      <c r="AO119" t="s">
        <v>135</v>
      </c>
      <c r="AP119" t="s">
        <v>135</v>
      </c>
      <c r="AQ119" t="s">
        <v>135</v>
      </c>
      <c r="AR119" t="s">
        <v>135</v>
      </c>
      <c r="AS119" t="s">
        <v>135</v>
      </c>
      <c r="AT119" t="s">
        <v>135</v>
      </c>
      <c r="AU119" t="s">
        <v>135</v>
      </c>
      <c r="AV119" t="s">
        <v>135</v>
      </c>
      <c r="AW119" t="s">
        <v>135</v>
      </c>
      <c r="AX119" t="s">
        <v>135</v>
      </c>
      <c r="AY119" t="s">
        <v>135</v>
      </c>
      <c r="AZ119" t="s">
        <v>135</v>
      </c>
      <c r="BA119" t="s">
        <v>135</v>
      </c>
      <c r="BB119" t="s">
        <v>135</v>
      </c>
      <c r="BC119" t="s">
        <v>135</v>
      </c>
      <c r="BD119" t="s">
        <v>135</v>
      </c>
      <c r="BE119" t="s">
        <v>135</v>
      </c>
      <c r="BF119" t="s">
        <v>135</v>
      </c>
      <c r="BG119" t="s">
        <v>135</v>
      </c>
      <c r="BH119" t="s">
        <v>135</v>
      </c>
      <c r="BI119" t="s">
        <v>135</v>
      </c>
      <c r="BJ119" t="s">
        <v>135</v>
      </c>
      <c r="BK119" t="s">
        <v>135</v>
      </c>
      <c r="BL119" t="s">
        <v>135</v>
      </c>
      <c r="BM119" t="s">
        <v>135</v>
      </c>
      <c r="BN119" t="s">
        <v>135</v>
      </c>
      <c r="BO119" t="s">
        <v>135</v>
      </c>
      <c r="BP119" t="s">
        <v>135</v>
      </c>
      <c r="BQ119" t="s">
        <v>135</v>
      </c>
      <c r="BR119" t="s">
        <v>135</v>
      </c>
      <c r="BS119" t="s">
        <v>135</v>
      </c>
      <c r="BT119" t="s">
        <v>135</v>
      </c>
      <c r="BU119" t="s">
        <v>135</v>
      </c>
      <c r="BV119" t="s">
        <v>135</v>
      </c>
      <c r="BW119" t="s">
        <v>135</v>
      </c>
      <c r="BX119" t="s">
        <v>135</v>
      </c>
      <c r="BY119" t="s">
        <v>135</v>
      </c>
      <c r="BZ119" t="s">
        <v>135</v>
      </c>
      <c r="CA119" t="s">
        <v>135</v>
      </c>
      <c r="CB119" t="s">
        <v>135</v>
      </c>
      <c r="CC119" t="s">
        <v>135</v>
      </c>
      <c r="CD119" t="s">
        <v>135</v>
      </c>
      <c r="CE119" t="s">
        <v>135</v>
      </c>
      <c r="CF119" t="s">
        <v>135</v>
      </c>
      <c r="CG119" t="s">
        <v>135</v>
      </c>
      <c r="CH119" t="s">
        <v>135</v>
      </c>
      <c r="CI119" t="s">
        <v>135</v>
      </c>
      <c r="CJ119" t="s">
        <v>135</v>
      </c>
      <c r="CK119" t="s">
        <v>135</v>
      </c>
      <c r="CL119" t="s">
        <v>135</v>
      </c>
      <c r="CM119" t="s">
        <v>135</v>
      </c>
      <c r="CN119" t="s">
        <v>135</v>
      </c>
      <c r="CO119" t="s">
        <v>135</v>
      </c>
      <c r="CP119" t="s">
        <v>135</v>
      </c>
      <c r="CQ119" t="s">
        <v>135</v>
      </c>
      <c r="CR119" t="s">
        <v>135</v>
      </c>
      <c r="CS119" t="s">
        <v>135</v>
      </c>
      <c r="CT119" t="s">
        <v>135</v>
      </c>
      <c r="CU119" t="s">
        <v>135</v>
      </c>
      <c r="CV119" t="s">
        <v>135</v>
      </c>
      <c r="CW119" t="s">
        <v>135</v>
      </c>
      <c r="CX119" t="s">
        <v>135</v>
      </c>
      <c r="CY119" t="s">
        <v>135</v>
      </c>
      <c r="CZ119" t="s">
        <v>135</v>
      </c>
      <c r="DA119" t="s">
        <v>135</v>
      </c>
      <c r="DB119" t="s">
        <v>135</v>
      </c>
      <c r="DC119" t="s">
        <v>135</v>
      </c>
      <c r="DD119" t="s">
        <v>135</v>
      </c>
      <c r="DE119" t="s">
        <v>135</v>
      </c>
      <c r="DF119" t="s">
        <v>135</v>
      </c>
      <c r="DG119" t="s">
        <v>135</v>
      </c>
      <c r="DH119" t="s">
        <v>135</v>
      </c>
      <c r="DI119" t="s">
        <v>135</v>
      </c>
    </row>
    <row r="120" spans="1:113" x14ac:dyDescent="0.3">
      <c r="E120" t="s">
        <v>79</v>
      </c>
      <c r="F120" t="s">
        <v>135</v>
      </c>
      <c r="G120" t="s">
        <v>135</v>
      </c>
      <c r="H120" t="s">
        <v>135</v>
      </c>
      <c r="I120" t="s">
        <v>135</v>
      </c>
      <c r="J120" t="s">
        <v>135</v>
      </c>
      <c r="K120" t="s">
        <v>135</v>
      </c>
      <c r="L120" t="s">
        <v>135</v>
      </c>
      <c r="M120" t="s">
        <v>135</v>
      </c>
      <c r="N120" t="s">
        <v>135</v>
      </c>
      <c r="O120" t="s">
        <v>135</v>
      </c>
      <c r="P120" t="s">
        <v>135</v>
      </c>
      <c r="Q120" t="s">
        <v>135</v>
      </c>
      <c r="R120" t="s">
        <v>135</v>
      </c>
      <c r="S120" t="s">
        <v>135</v>
      </c>
      <c r="T120" t="s">
        <v>135</v>
      </c>
      <c r="U120" t="s">
        <v>135</v>
      </c>
      <c r="V120" t="s">
        <v>135</v>
      </c>
      <c r="W120" t="s">
        <v>135</v>
      </c>
      <c r="X120" t="s">
        <v>135</v>
      </c>
      <c r="Y120" t="s">
        <v>135</v>
      </c>
      <c r="Z120" t="s">
        <v>135</v>
      </c>
      <c r="AA120" t="s">
        <v>135</v>
      </c>
      <c r="AB120" t="s">
        <v>135</v>
      </c>
      <c r="AC120" t="s">
        <v>135</v>
      </c>
      <c r="AD120" t="s">
        <v>135</v>
      </c>
      <c r="AE120" t="s">
        <v>135</v>
      </c>
      <c r="AF120" t="s">
        <v>135</v>
      </c>
      <c r="AG120" t="s">
        <v>135</v>
      </c>
      <c r="AH120" t="s">
        <v>135</v>
      </c>
      <c r="AI120" t="s">
        <v>135</v>
      </c>
      <c r="AJ120" t="s">
        <v>135</v>
      </c>
      <c r="AK120" t="s">
        <v>135</v>
      </c>
      <c r="AL120" t="s">
        <v>135</v>
      </c>
      <c r="AM120" t="s">
        <v>135</v>
      </c>
      <c r="AN120" t="s">
        <v>135</v>
      </c>
      <c r="AO120" t="s">
        <v>135</v>
      </c>
      <c r="AP120" t="s">
        <v>135</v>
      </c>
      <c r="AQ120" t="s">
        <v>135</v>
      </c>
      <c r="AR120" t="s">
        <v>135</v>
      </c>
      <c r="AS120" t="s">
        <v>135</v>
      </c>
      <c r="AT120" t="s">
        <v>135</v>
      </c>
      <c r="AU120" t="s">
        <v>135</v>
      </c>
      <c r="AV120" t="s">
        <v>135</v>
      </c>
      <c r="AW120" t="s">
        <v>135</v>
      </c>
      <c r="AX120" t="s">
        <v>135</v>
      </c>
      <c r="AY120" t="s">
        <v>135</v>
      </c>
      <c r="AZ120" t="s">
        <v>135</v>
      </c>
      <c r="BA120" t="s">
        <v>135</v>
      </c>
      <c r="BB120" t="s">
        <v>135</v>
      </c>
      <c r="BC120" t="s">
        <v>135</v>
      </c>
      <c r="BD120" t="s">
        <v>135</v>
      </c>
      <c r="BE120" t="s">
        <v>135</v>
      </c>
      <c r="BF120" t="s">
        <v>135</v>
      </c>
      <c r="BG120" t="s">
        <v>135</v>
      </c>
      <c r="BH120" t="s">
        <v>135</v>
      </c>
      <c r="BI120" t="s">
        <v>135</v>
      </c>
      <c r="BJ120" t="s">
        <v>135</v>
      </c>
      <c r="BK120" t="s">
        <v>135</v>
      </c>
      <c r="BL120" t="s">
        <v>135</v>
      </c>
      <c r="BM120" t="s">
        <v>135</v>
      </c>
      <c r="BN120" t="s">
        <v>135</v>
      </c>
      <c r="BO120" t="s">
        <v>135</v>
      </c>
      <c r="BP120" t="s">
        <v>135</v>
      </c>
      <c r="BQ120" t="s">
        <v>135</v>
      </c>
      <c r="BR120" t="s">
        <v>135</v>
      </c>
      <c r="BS120" t="s">
        <v>135</v>
      </c>
      <c r="BT120" t="s">
        <v>135</v>
      </c>
      <c r="BU120" t="s">
        <v>135</v>
      </c>
      <c r="BV120" t="s">
        <v>135</v>
      </c>
      <c r="BW120" t="s">
        <v>135</v>
      </c>
      <c r="BX120" t="s">
        <v>135</v>
      </c>
      <c r="BY120" t="s">
        <v>135</v>
      </c>
      <c r="BZ120" t="s">
        <v>135</v>
      </c>
      <c r="CA120" t="s">
        <v>135</v>
      </c>
      <c r="CB120" t="s">
        <v>135</v>
      </c>
      <c r="CC120" t="s">
        <v>135</v>
      </c>
      <c r="CD120" t="s">
        <v>135</v>
      </c>
      <c r="CE120" t="s">
        <v>135</v>
      </c>
      <c r="CF120" t="s">
        <v>135</v>
      </c>
      <c r="CG120" t="s">
        <v>135</v>
      </c>
      <c r="CH120" t="s">
        <v>135</v>
      </c>
      <c r="CI120" t="s">
        <v>135</v>
      </c>
      <c r="CJ120" t="s">
        <v>135</v>
      </c>
      <c r="CK120" t="s">
        <v>135</v>
      </c>
      <c r="CL120" t="s">
        <v>135</v>
      </c>
      <c r="CM120" t="s">
        <v>135</v>
      </c>
      <c r="CN120" t="s">
        <v>135</v>
      </c>
      <c r="CO120" t="s">
        <v>135</v>
      </c>
      <c r="CP120" t="s">
        <v>135</v>
      </c>
      <c r="CQ120" t="s">
        <v>135</v>
      </c>
      <c r="CR120" t="s">
        <v>135</v>
      </c>
      <c r="CS120" t="s">
        <v>135</v>
      </c>
      <c r="CT120" t="s">
        <v>135</v>
      </c>
      <c r="CU120" t="s">
        <v>135</v>
      </c>
      <c r="CV120" t="s">
        <v>135</v>
      </c>
      <c r="CW120" t="s">
        <v>135</v>
      </c>
      <c r="CX120" t="s">
        <v>135</v>
      </c>
      <c r="CY120" t="s">
        <v>135</v>
      </c>
      <c r="CZ120" t="s">
        <v>135</v>
      </c>
      <c r="DA120" t="s">
        <v>135</v>
      </c>
      <c r="DB120" t="s">
        <v>135</v>
      </c>
      <c r="DC120" t="s">
        <v>135</v>
      </c>
      <c r="DD120" t="s">
        <v>135</v>
      </c>
      <c r="DE120" t="s">
        <v>135</v>
      </c>
      <c r="DF120" t="s">
        <v>135</v>
      </c>
      <c r="DG120" t="s">
        <v>135</v>
      </c>
      <c r="DH120" t="s">
        <v>135</v>
      </c>
      <c r="DI120" t="s">
        <v>135</v>
      </c>
    </row>
    <row r="121" spans="1:113" x14ac:dyDescent="0.3">
      <c r="E121" t="s">
        <v>80</v>
      </c>
      <c r="F121" t="s">
        <v>135</v>
      </c>
      <c r="G121" t="s">
        <v>135</v>
      </c>
      <c r="H121" t="s">
        <v>135</v>
      </c>
      <c r="I121" t="s">
        <v>135</v>
      </c>
      <c r="J121" t="s">
        <v>135</v>
      </c>
      <c r="K121" t="s">
        <v>135</v>
      </c>
      <c r="L121" t="s">
        <v>135</v>
      </c>
      <c r="M121" t="s">
        <v>135</v>
      </c>
      <c r="N121" t="s">
        <v>135</v>
      </c>
      <c r="O121" t="s">
        <v>135</v>
      </c>
      <c r="P121" t="s">
        <v>135</v>
      </c>
      <c r="Q121" t="s">
        <v>135</v>
      </c>
      <c r="R121" t="s">
        <v>135</v>
      </c>
      <c r="S121" t="s">
        <v>135</v>
      </c>
      <c r="T121" t="s">
        <v>135</v>
      </c>
      <c r="U121" t="s">
        <v>135</v>
      </c>
      <c r="V121" t="s">
        <v>135</v>
      </c>
      <c r="W121" t="s">
        <v>135</v>
      </c>
      <c r="X121" t="s">
        <v>135</v>
      </c>
      <c r="Y121" t="s">
        <v>135</v>
      </c>
      <c r="Z121" t="s">
        <v>135</v>
      </c>
      <c r="AA121" t="s">
        <v>135</v>
      </c>
      <c r="AB121" t="s">
        <v>135</v>
      </c>
      <c r="AC121" t="s">
        <v>135</v>
      </c>
      <c r="AD121" t="s">
        <v>135</v>
      </c>
      <c r="AE121" t="s">
        <v>135</v>
      </c>
      <c r="AF121" t="s">
        <v>135</v>
      </c>
      <c r="AG121" t="s">
        <v>135</v>
      </c>
      <c r="AH121" t="s">
        <v>135</v>
      </c>
      <c r="AI121" t="s">
        <v>135</v>
      </c>
      <c r="AJ121" t="s">
        <v>135</v>
      </c>
      <c r="AK121" t="s">
        <v>135</v>
      </c>
      <c r="AL121" t="s">
        <v>135</v>
      </c>
      <c r="AM121" t="s">
        <v>135</v>
      </c>
      <c r="AN121" t="s">
        <v>135</v>
      </c>
      <c r="AO121" t="s">
        <v>135</v>
      </c>
      <c r="AP121" t="s">
        <v>135</v>
      </c>
      <c r="AQ121" t="s">
        <v>135</v>
      </c>
      <c r="AR121" t="s">
        <v>135</v>
      </c>
      <c r="AS121" t="s">
        <v>135</v>
      </c>
      <c r="AT121" t="s">
        <v>135</v>
      </c>
      <c r="AU121" t="s">
        <v>135</v>
      </c>
      <c r="AV121" t="s">
        <v>135</v>
      </c>
      <c r="AW121" t="s">
        <v>135</v>
      </c>
      <c r="AX121" t="s">
        <v>135</v>
      </c>
      <c r="AY121" t="s">
        <v>135</v>
      </c>
      <c r="AZ121" t="s">
        <v>135</v>
      </c>
      <c r="BA121" t="s">
        <v>135</v>
      </c>
      <c r="BB121" t="s">
        <v>135</v>
      </c>
      <c r="BC121" t="s">
        <v>135</v>
      </c>
      <c r="BD121" t="s">
        <v>135</v>
      </c>
      <c r="BE121" t="s">
        <v>135</v>
      </c>
      <c r="BF121" t="s">
        <v>135</v>
      </c>
      <c r="BG121" t="s">
        <v>135</v>
      </c>
      <c r="BH121" t="s">
        <v>135</v>
      </c>
      <c r="BI121" t="s">
        <v>135</v>
      </c>
      <c r="BJ121" t="s">
        <v>135</v>
      </c>
      <c r="BK121" t="s">
        <v>135</v>
      </c>
      <c r="BL121" t="s">
        <v>135</v>
      </c>
      <c r="BM121" t="s">
        <v>135</v>
      </c>
      <c r="BN121" t="s">
        <v>135</v>
      </c>
      <c r="BO121" t="s">
        <v>135</v>
      </c>
      <c r="BP121" t="s">
        <v>135</v>
      </c>
      <c r="BQ121" t="s">
        <v>135</v>
      </c>
      <c r="BR121" t="s">
        <v>135</v>
      </c>
      <c r="BS121" t="s">
        <v>135</v>
      </c>
      <c r="BT121" t="s">
        <v>135</v>
      </c>
      <c r="BU121" t="s">
        <v>135</v>
      </c>
      <c r="BV121" t="s">
        <v>135</v>
      </c>
      <c r="BW121" t="s">
        <v>135</v>
      </c>
      <c r="BX121" t="s">
        <v>135</v>
      </c>
      <c r="BY121" t="s">
        <v>135</v>
      </c>
      <c r="BZ121" t="s">
        <v>135</v>
      </c>
      <c r="CA121" t="s">
        <v>135</v>
      </c>
      <c r="CB121" t="s">
        <v>135</v>
      </c>
      <c r="CC121" t="s">
        <v>135</v>
      </c>
      <c r="CD121" t="s">
        <v>135</v>
      </c>
      <c r="CE121" t="s">
        <v>135</v>
      </c>
      <c r="CF121" t="s">
        <v>135</v>
      </c>
      <c r="CG121" t="s">
        <v>135</v>
      </c>
      <c r="CH121" t="s">
        <v>135</v>
      </c>
      <c r="CI121" t="s">
        <v>135</v>
      </c>
      <c r="CJ121" t="s">
        <v>135</v>
      </c>
      <c r="CK121" t="s">
        <v>135</v>
      </c>
      <c r="CL121" t="s">
        <v>135</v>
      </c>
      <c r="CM121" t="s">
        <v>135</v>
      </c>
      <c r="CN121" t="s">
        <v>135</v>
      </c>
      <c r="CO121" t="s">
        <v>135</v>
      </c>
      <c r="CP121" t="s">
        <v>135</v>
      </c>
      <c r="CQ121" t="s">
        <v>135</v>
      </c>
      <c r="CR121" t="s">
        <v>135</v>
      </c>
      <c r="CS121" t="s">
        <v>135</v>
      </c>
      <c r="CT121" t="s">
        <v>135</v>
      </c>
      <c r="CU121" t="s">
        <v>135</v>
      </c>
      <c r="CV121" t="s">
        <v>135</v>
      </c>
      <c r="CW121" t="s">
        <v>135</v>
      </c>
      <c r="CX121" t="s">
        <v>135</v>
      </c>
      <c r="CY121" t="s">
        <v>135</v>
      </c>
      <c r="CZ121" t="s">
        <v>135</v>
      </c>
      <c r="DA121" t="s">
        <v>135</v>
      </c>
      <c r="DB121" t="s">
        <v>135</v>
      </c>
      <c r="DC121" t="s">
        <v>135</v>
      </c>
      <c r="DD121" t="s">
        <v>135</v>
      </c>
      <c r="DE121" t="s">
        <v>135</v>
      </c>
      <c r="DF121" t="s">
        <v>135</v>
      </c>
      <c r="DG121" t="s">
        <v>135</v>
      </c>
      <c r="DH121" t="s">
        <v>135</v>
      </c>
      <c r="DI121" t="s">
        <v>135</v>
      </c>
    </row>
    <row r="122" spans="1:113" x14ac:dyDescent="0.3">
      <c r="E122" t="s">
        <v>81</v>
      </c>
      <c r="F122" t="s">
        <v>135</v>
      </c>
      <c r="G122" t="s">
        <v>135</v>
      </c>
      <c r="H122" t="s">
        <v>135</v>
      </c>
      <c r="I122" t="s">
        <v>135</v>
      </c>
      <c r="J122" t="s">
        <v>135</v>
      </c>
      <c r="K122" t="s">
        <v>135</v>
      </c>
      <c r="L122" t="s">
        <v>135</v>
      </c>
      <c r="M122" t="s">
        <v>135</v>
      </c>
      <c r="N122" t="s">
        <v>135</v>
      </c>
      <c r="O122" t="s">
        <v>135</v>
      </c>
      <c r="P122" t="s">
        <v>135</v>
      </c>
      <c r="Q122" t="s">
        <v>135</v>
      </c>
      <c r="R122" t="s">
        <v>135</v>
      </c>
      <c r="S122" t="s">
        <v>135</v>
      </c>
      <c r="T122" t="s">
        <v>135</v>
      </c>
      <c r="U122" t="s">
        <v>135</v>
      </c>
      <c r="V122" t="s">
        <v>135</v>
      </c>
      <c r="W122" t="s">
        <v>135</v>
      </c>
      <c r="X122" t="s">
        <v>135</v>
      </c>
      <c r="Y122" t="s">
        <v>135</v>
      </c>
      <c r="Z122" t="s">
        <v>135</v>
      </c>
      <c r="AA122" t="s">
        <v>135</v>
      </c>
      <c r="AB122" t="s">
        <v>135</v>
      </c>
      <c r="AC122" t="s">
        <v>135</v>
      </c>
      <c r="AD122" t="s">
        <v>135</v>
      </c>
      <c r="AE122" t="s">
        <v>135</v>
      </c>
      <c r="AF122" t="s">
        <v>135</v>
      </c>
      <c r="AG122" t="s">
        <v>135</v>
      </c>
      <c r="AH122" t="s">
        <v>135</v>
      </c>
      <c r="AI122" t="s">
        <v>135</v>
      </c>
      <c r="AJ122" t="s">
        <v>135</v>
      </c>
      <c r="AK122" t="s">
        <v>135</v>
      </c>
      <c r="AL122" t="s">
        <v>135</v>
      </c>
      <c r="AM122" t="s">
        <v>135</v>
      </c>
      <c r="AN122" t="s">
        <v>135</v>
      </c>
      <c r="AO122" t="s">
        <v>135</v>
      </c>
      <c r="AP122" t="s">
        <v>135</v>
      </c>
      <c r="AQ122" t="s">
        <v>135</v>
      </c>
      <c r="AR122" t="s">
        <v>135</v>
      </c>
      <c r="AS122" t="s">
        <v>135</v>
      </c>
      <c r="AT122" t="s">
        <v>135</v>
      </c>
      <c r="AU122" t="s">
        <v>135</v>
      </c>
      <c r="AV122" t="s">
        <v>135</v>
      </c>
      <c r="AW122" t="s">
        <v>135</v>
      </c>
      <c r="AX122" t="s">
        <v>135</v>
      </c>
      <c r="AY122" t="s">
        <v>135</v>
      </c>
      <c r="AZ122" t="s">
        <v>135</v>
      </c>
      <c r="BA122" t="s">
        <v>135</v>
      </c>
      <c r="BB122" t="s">
        <v>135</v>
      </c>
      <c r="BC122" t="s">
        <v>135</v>
      </c>
      <c r="BD122" t="s">
        <v>135</v>
      </c>
      <c r="BE122" t="s">
        <v>135</v>
      </c>
      <c r="BF122" t="s">
        <v>135</v>
      </c>
      <c r="BG122" t="s">
        <v>135</v>
      </c>
      <c r="BH122" t="s">
        <v>135</v>
      </c>
      <c r="BI122" t="s">
        <v>135</v>
      </c>
      <c r="BJ122" t="s">
        <v>135</v>
      </c>
      <c r="BK122" t="s">
        <v>135</v>
      </c>
      <c r="BL122" t="s">
        <v>135</v>
      </c>
      <c r="BM122" t="s">
        <v>135</v>
      </c>
      <c r="BN122" t="s">
        <v>135</v>
      </c>
      <c r="BO122" t="s">
        <v>135</v>
      </c>
      <c r="BP122" t="s">
        <v>135</v>
      </c>
      <c r="BQ122" t="s">
        <v>135</v>
      </c>
      <c r="BR122" t="s">
        <v>135</v>
      </c>
      <c r="BS122" t="s">
        <v>135</v>
      </c>
      <c r="BT122" t="s">
        <v>135</v>
      </c>
      <c r="BU122" t="s">
        <v>135</v>
      </c>
      <c r="BV122" t="s">
        <v>135</v>
      </c>
      <c r="BW122" t="s">
        <v>135</v>
      </c>
      <c r="BX122" t="s">
        <v>135</v>
      </c>
      <c r="BY122" t="s">
        <v>135</v>
      </c>
      <c r="BZ122" t="s">
        <v>135</v>
      </c>
      <c r="CA122" t="s">
        <v>135</v>
      </c>
      <c r="CB122" t="s">
        <v>135</v>
      </c>
      <c r="CC122" t="s">
        <v>135</v>
      </c>
      <c r="CD122" t="s">
        <v>135</v>
      </c>
      <c r="CE122" t="s">
        <v>135</v>
      </c>
      <c r="CF122" t="s">
        <v>135</v>
      </c>
      <c r="CG122" t="s">
        <v>135</v>
      </c>
      <c r="CH122" t="s">
        <v>135</v>
      </c>
      <c r="CI122" t="s">
        <v>135</v>
      </c>
      <c r="CJ122" t="s">
        <v>135</v>
      </c>
      <c r="CK122" t="s">
        <v>135</v>
      </c>
      <c r="CL122" t="s">
        <v>135</v>
      </c>
      <c r="CM122" t="s">
        <v>135</v>
      </c>
      <c r="CN122" t="s">
        <v>135</v>
      </c>
      <c r="CO122" t="s">
        <v>135</v>
      </c>
      <c r="CP122" t="s">
        <v>135</v>
      </c>
      <c r="CQ122" t="s">
        <v>135</v>
      </c>
      <c r="CR122" t="s">
        <v>135</v>
      </c>
      <c r="CS122" t="s">
        <v>135</v>
      </c>
      <c r="CT122" t="s">
        <v>135</v>
      </c>
      <c r="CU122" t="s">
        <v>135</v>
      </c>
      <c r="CV122" t="s">
        <v>135</v>
      </c>
      <c r="CW122" t="s">
        <v>135</v>
      </c>
      <c r="CX122" t="s">
        <v>135</v>
      </c>
      <c r="CY122" t="s">
        <v>135</v>
      </c>
      <c r="CZ122" t="s">
        <v>135</v>
      </c>
      <c r="DA122" t="s">
        <v>135</v>
      </c>
      <c r="DB122" t="s">
        <v>135</v>
      </c>
      <c r="DC122" t="s">
        <v>135</v>
      </c>
      <c r="DD122" t="s">
        <v>135</v>
      </c>
      <c r="DE122" t="s">
        <v>135</v>
      </c>
      <c r="DF122" t="s">
        <v>135</v>
      </c>
      <c r="DG122" t="s">
        <v>135</v>
      </c>
      <c r="DH122" t="s">
        <v>135</v>
      </c>
      <c r="DI122" t="s">
        <v>135</v>
      </c>
    </row>
    <row r="123" spans="1:113" x14ac:dyDescent="0.3">
      <c r="D123" t="s">
        <v>85</v>
      </c>
      <c r="E123" t="s">
        <v>77</v>
      </c>
      <c r="F123">
        <v>16.681899999999999</v>
      </c>
      <c r="G123">
        <v>10.5228</v>
      </c>
      <c r="H123">
        <v>13.8833</v>
      </c>
      <c r="I123">
        <v>11.3284</v>
      </c>
      <c r="J123">
        <v>24.575099999999999</v>
      </c>
      <c r="K123">
        <v>15.4284</v>
      </c>
      <c r="L123">
        <v>19.664999999999999</v>
      </c>
      <c r="M123">
        <v>18.581399999999999</v>
      </c>
      <c r="N123">
        <v>14.0764</v>
      </c>
      <c r="O123">
        <v>14.0764</v>
      </c>
      <c r="P123">
        <v>14.0764</v>
      </c>
      <c r="Q123">
        <v>24.244599999999998</v>
      </c>
      <c r="R123">
        <v>12.584300000000001</v>
      </c>
      <c r="S123">
        <v>14.582599999999999</v>
      </c>
      <c r="T123">
        <v>14.414199999999999</v>
      </c>
      <c r="U123">
        <v>-2.8816000000000002</v>
      </c>
      <c r="V123">
        <v>19.1295</v>
      </c>
      <c r="W123">
        <v>3.3656999999999999</v>
      </c>
      <c r="X123">
        <v>3.3664999999999998</v>
      </c>
      <c r="Y123">
        <v>-64.285700000000006</v>
      </c>
      <c r="Z123">
        <v>37.040500000000002</v>
      </c>
      <c r="AA123">
        <v>19.362500000000001</v>
      </c>
      <c r="AB123">
        <v>51.792400000000001</v>
      </c>
      <c r="AC123">
        <v>35.605400000000003</v>
      </c>
      <c r="AD123">
        <v>0.23580000000000001</v>
      </c>
      <c r="AE123">
        <v>111.3489</v>
      </c>
      <c r="AF123">
        <v>106.7958</v>
      </c>
      <c r="AG123">
        <v>54.226599999999998</v>
      </c>
      <c r="AH123">
        <v>163.16759999999999</v>
      </c>
      <c r="AI123">
        <v>15.571099999999999</v>
      </c>
      <c r="AJ123">
        <v>36.790399999999998</v>
      </c>
      <c r="AK123">
        <v>15.571099999999999</v>
      </c>
      <c r="AL123">
        <v>1.7662</v>
      </c>
      <c r="AM123" t="s">
        <v>135</v>
      </c>
      <c r="AN123" t="s">
        <v>135</v>
      </c>
      <c r="AO123" t="s">
        <v>135</v>
      </c>
      <c r="AP123" t="s">
        <v>135</v>
      </c>
      <c r="AQ123" t="s">
        <v>135</v>
      </c>
      <c r="AR123" t="s">
        <v>135</v>
      </c>
      <c r="AS123" t="s">
        <v>135</v>
      </c>
      <c r="AT123" t="s">
        <v>135</v>
      </c>
      <c r="AU123" t="s">
        <v>135</v>
      </c>
      <c r="AV123" t="s">
        <v>135</v>
      </c>
      <c r="AW123" t="s">
        <v>135</v>
      </c>
      <c r="AX123" t="s">
        <v>135</v>
      </c>
      <c r="AY123" t="s">
        <v>135</v>
      </c>
      <c r="AZ123" t="s">
        <v>135</v>
      </c>
      <c r="BA123" t="s">
        <v>135</v>
      </c>
      <c r="BB123" t="s">
        <v>135</v>
      </c>
      <c r="BC123" t="s">
        <v>135</v>
      </c>
      <c r="BD123" t="s">
        <v>135</v>
      </c>
      <c r="BE123" t="s">
        <v>135</v>
      </c>
      <c r="BF123">
        <v>14.414199999999999</v>
      </c>
      <c r="BG123">
        <v>-2.8816000000000002</v>
      </c>
      <c r="BH123">
        <v>19.1295</v>
      </c>
      <c r="BI123">
        <v>3.3656999999999999</v>
      </c>
      <c r="BJ123">
        <v>3.3664999999999998</v>
      </c>
      <c r="BK123">
        <v>-64.285700000000006</v>
      </c>
      <c r="BL123">
        <v>37.040500000000002</v>
      </c>
      <c r="BM123">
        <v>19.362500000000001</v>
      </c>
      <c r="BN123">
        <v>51.792400000000001</v>
      </c>
      <c r="BO123">
        <v>35.605400000000003</v>
      </c>
      <c r="BP123">
        <v>0.23580000000000001</v>
      </c>
      <c r="BQ123">
        <v>111.3489</v>
      </c>
      <c r="BR123">
        <v>106.7958</v>
      </c>
      <c r="BS123">
        <v>54.226599999999998</v>
      </c>
      <c r="BT123">
        <v>163.16759999999999</v>
      </c>
      <c r="BU123">
        <v>15.571099999999999</v>
      </c>
      <c r="BV123">
        <v>36.790399999999998</v>
      </c>
      <c r="BW123">
        <v>15.571099999999999</v>
      </c>
      <c r="BX123">
        <v>1.7662</v>
      </c>
      <c r="BY123">
        <v>34015.199999999997</v>
      </c>
      <c r="BZ123">
        <v>11933.9</v>
      </c>
      <c r="CA123">
        <v>22081.3</v>
      </c>
      <c r="CB123">
        <v>1.4076</v>
      </c>
      <c r="CC123">
        <v>0.31840000000000002</v>
      </c>
      <c r="CD123">
        <v>2.2421000000000002</v>
      </c>
      <c r="CE123">
        <v>0.50719999999999998</v>
      </c>
      <c r="CF123">
        <v>19.550899999999999</v>
      </c>
      <c r="CG123">
        <v>58.756100000000004</v>
      </c>
      <c r="CH123">
        <v>24.819800000000001</v>
      </c>
      <c r="CI123">
        <v>17.954899999999999</v>
      </c>
      <c r="CJ123">
        <v>14.5831</v>
      </c>
      <c r="CK123">
        <v>38.233699999999999</v>
      </c>
      <c r="CL123">
        <v>27.6587</v>
      </c>
      <c r="CM123">
        <v>22.464600000000001</v>
      </c>
      <c r="CN123">
        <v>8.6494</v>
      </c>
      <c r="CO123">
        <v>7.9608999999999996</v>
      </c>
      <c r="CP123">
        <v>24164.9</v>
      </c>
      <c r="CQ123">
        <v>-1086.4000000000001</v>
      </c>
      <c r="CR123">
        <v>15170.9</v>
      </c>
      <c r="CS123">
        <v>0.88700000000000001</v>
      </c>
      <c r="CT123">
        <v>1.9211</v>
      </c>
      <c r="CU123">
        <v>1.0418000000000001</v>
      </c>
      <c r="CV123">
        <v>7.4386000000000001</v>
      </c>
      <c r="CW123">
        <v>24.757000000000001</v>
      </c>
      <c r="CX123">
        <v>14.7433</v>
      </c>
      <c r="CY123">
        <v>0.22020000000000001</v>
      </c>
      <c r="CZ123">
        <v>1657.5608</v>
      </c>
      <c r="DA123">
        <v>1.0603</v>
      </c>
      <c r="DB123">
        <v>344.2518</v>
      </c>
      <c r="DC123">
        <v>1328.0523000000001</v>
      </c>
      <c r="DD123">
        <v>1672.3041000000001</v>
      </c>
      <c r="DE123">
        <v>15690.2</v>
      </c>
      <c r="DF123">
        <v>477.6</v>
      </c>
      <c r="DG123">
        <v>1567.5</v>
      </c>
      <c r="DH123">
        <v>8499.1</v>
      </c>
      <c r="DI123">
        <v>5146</v>
      </c>
    </row>
    <row r="124" spans="1:113" x14ac:dyDescent="0.3">
      <c r="E124" t="s">
        <v>78</v>
      </c>
      <c r="F124" t="s">
        <v>135</v>
      </c>
      <c r="G124" t="s">
        <v>135</v>
      </c>
      <c r="H124" t="s">
        <v>135</v>
      </c>
      <c r="I124" t="s">
        <v>135</v>
      </c>
      <c r="J124" t="s">
        <v>135</v>
      </c>
      <c r="K124" t="s">
        <v>135</v>
      </c>
      <c r="L124" t="s">
        <v>135</v>
      </c>
      <c r="M124" t="s">
        <v>135</v>
      </c>
      <c r="N124" t="s">
        <v>135</v>
      </c>
      <c r="O124" t="s">
        <v>135</v>
      </c>
      <c r="P124" t="s">
        <v>135</v>
      </c>
      <c r="Q124" t="s">
        <v>135</v>
      </c>
      <c r="R124" t="s">
        <v>135</v>
      </c>
      <c r="S124" t="s">
        <v>135</v>
      </c>
      <c r="T124" t="s">
        <v>135</v>
      </c>
      <c r="U124" t="s">
        <v>135</v>
      </c>
      <c r="V124" t="s">
        <v>135</v>
      </c>
      <c r="W124" t="s">
        <v>135</v>
      </c>
      <c r="X124" t="s">
        <v>135</v>
      </c>
      <c r="Y124" t="s">
        <v>135</v>
      </c>
      <c r="Z124" t="s">
        <v>135</v>
      </c>
      <c r="AA124" t="s">
        <v>135</v>
      </c>
      <c r="AB124" t="s">
        <v>135</v>
      </c>
      <c r="AC124" t="s">
        <v>135</v>
      </c>
      <c r="AD124" t="s">
        <v>135</v>
      </c>
      <c r="AE124" t="s">
        <v>135</v>
      </c>
      <c r="AF124" t="s">
        <v>135</v>
      </c>
      <c r="AG124" t="s">
        <v>135</v>
      </c>
      <c r="AH124" t="s">
        <v>135</v>
      </c>
      <c r="AI124" t="s">
        <v>135</v>
      </c>
      <c r="AJ124" t="s">
        <v>135</v>
      </c>
      <c r="AK124" t="s">
        <v>135</v>
      </c>
      <c r="AL124" t="s">
        <v>135</v>
      </c>
      <c r="AM124" t="s">
        <v>135</v>
      </c>
      <c r="AN124" t="s">
        <v>135</v>
      </c>
      <c r="AO124" t="s">
        <v>135</v>
      </c>
      <c r="AP124" t="s">
        <v>135</v>
      </c>
      <c r="AQ124" t="s">
        <v>135</v>
      </c>
      <c r="AR124" t="s">
        <v>135</v>
      </c>
      <c r="AS124" t="s">
        <v>135</v>
      </c>
      <c r="AT124" t="s">
        <v>135</v>
      </c>
      <c r="AU124" t="s">
        <v>135</v>
      </c>
      <c r="AV124" t="s">
        <v>135</v>
      </c>
      <c r="AW124" t="s">
        <v>135</v>
      </c>
      <c r="AX124" t="s">
        <v>135</v>
      </c>
      <c r="AY124" t="s">
        <v>135</v>
      </c>
      <c r="AZ124" t="s">
        <v>135</v>
      </c>
      <c r="BA124" t="s">
        <v>135</v>
      </c>
      <c r="BB124" t="s">
        <v>135</v>
      </c>
      <c r="BC124" t="s">
        <v>135</v>
      </c>
      <c r="BD124" t="s">
        <v>135</v>
      </c>
      <c r="BE124" t="s">
        <v>135</v>
      </c>
      <c r="BF124" t="s">
        <v>135</v>
      </c>
      <c r="BG124" t="s">
        <v>135</v>
      </c>
      <c r="BH124" t="s">
        <v>135</v>
      </c>
      <c r="BI124" t="s">
        <v>135</v>
      </c>
      <c r="BJ124" t="s">
        <v>135</v>
      </c>
      <c r="BK124" t="s">
        <v>135</v>
      </c>
      <c r="BL124" t="s">
        <v>135</v>
      </c>
      <c r="BM124" t="s">
        <v>135</v>
      </c>
      <c r="BN124" t="s">
        <v>135</v>
      </c>
      <c r="BO124" t="s">
        <v>135</v>
      </c>
      <c r="BP124" t="s">
        <v>135</v>
      </c>
      <c r="BQ124" t="s">
        <v>135</v>
      </c>
      <c r="BR124" t="s">
        <v>135</v>
      </c>
      <c r="BS124" t="s">
        <v>135</v>
      </c>
      <c r="BT124" t="s">
        <v>135</v>
      </c>
      <c r="BU124" t="s">
        <v>135</v>
      </c>
      <c r="BV124" t="s">
        <v>135</v>
      </c>
      <c r="BW124" t="s">
        <v>135</v>
      </c>
      <c r="BX124" t="s">
        <v>135</v>
      </c>
      <c r="BY124" t="s">
        <v>135</v>
      </c>
      <c r="BZ124" t="s">
        <v>135</v>
      </c>
      <c r="CA124" t="s">
        <v>135</v>
      </c>
      <c r="CB124" t="s">
        <v>135</v>
      </c>
      <c r="CC124" t="s">
        <v>135</v>
      </c>
      <c r="CD124" t="s">
        <v>135</v>
      </c>
      <c r="CE124" t="s">
        <v>135</v>
      </c>
      <c r="CF124" t="s">
        <v>135</v>
      </c>
      <c r="CG124" t="s">
        <v>135</v>
      </c>
      <c r="CH124" t="s">
        <v>135</v>
      </c>
      <c r="CI124" t="s">
        <v>135</v>
      </c>
      <c r="CJ124" t="s">
        <v>135</v>
      </c>
      <c r="CK124" t="s">
        <v>135</v>
      </c>
      <c r="CL124" t="s">
        <v>135</v>
      </c>
      <c r="CM124" t="s">
        <v>135</v>
      </c>
      <c r="CN124" t="s">
        <v>135</v>
      </c>
      <c r="CO124" t="s">
        <v>135</v>
      </c>
      <c r="CP124" t="s">
        <v>135</v>
      </c>
      <c r="CQ124" t="s">
        <v>135</v>
      </c>
      <c r="CR124" t="s">
        <v>135</v>
      </c>
      <c r="CS124" t="s">
        <v>135</v>
      </c>
      <c r="CT124" t="s">
        <v>135</v>
      </c>
      <c r="CU124" t="s">
        <v>135</v>
      </c>
      <c r="CV124" t="s">
        <v>135</v>
      </c>
      <c r="CW124" t="s">
        <v>135</v>
      </c>
      <c r="CX124" t="s">
        <v>135</v>
      </c>
      <c r="CY124" t="s">
        <v>135</v>
      </c>
      <c r="CZ124" t="s">
        <v>135</v>
      </c>
      <c r="DA124" t="s">
        <v>135</v>
      </c>
      <c r="DB124" t="s">
        <v>135</v>
      </c>
      <c r="DC124" t="s">
        <v>135</v>
      </c>
      <c r="DD124" t="s">
        <v>135</v>
      </c>
      <c r="DE124" t="s">
        <v>135</v>
      </c>
      <c r="DF124" t="s">
        <v>135</v>
      </c>
      <c r="DG124" t="s">
        <v>135</v>
      </c>
      <c r="DH124" t="s">
        <v>135</v>
      </c>
      <c r="DI124" t="s">
        <v>135</v>
      </c>
    </row>
    <row r="125" spans="1:113" x14ac:dyDescent="0.3">
      <c r="E125" t="s">
        <v>79</v>
      </c>
      <c r="F125" t="s">
        <v>135</v>
      </c>
      <c r="G125" t="s">
        <v>135</v>
      </c>
      <c r="H125" t="s">
        <v>135</v>
      </c>
      <c r="I125" t="s">
        <v>135</v>
      </c>
      <c r="J125" t="s">
        <v>135</v>
      </c>
      <c r="K125" t="s">
        <v>135</v>
      </c>
      <c r="L125" t="s">
        <v>135</v>
      </c>
      <c r="M125" t="s">
        <v>135</v>
      </c>
      <c r="N125" t="s">
        <v>135</v>
      </c>
      <c r="O125" t="s">
        <v>135</v>
      </c>
      <c r="P125" t="s">
        <v>135</v>
      </c>
      <c r="Q125" t="s">
        <v>135</v>
      </c>
      <c r="R125" t="s">
        <v>135</v>
      </c>
      <c r="S125" t="s">
        <v>135</v>
      </c>
      <c r="T125" t="s">
        <v>135</v>
      </c>
      <c r="U125" t="s">
        <v>135</v>
      </c>
      <c r="V125" t="s">
        <v>135</v>
      </c>
      <c r="W125" t="s">
        <v>135</v>
      </c>
      <c r="X125" t="s">
        <v>135</v>
      </c>
      <c r="Y125" t="s">
        <v>135</v>
      </c>
      <c r="Z125" t="s">
        <v>135</v>
      </c>
      <c r="AA125" t="s">
        <v>135</v>
      </c>
      <c r="AB125" t="s">
        <v>135</v>
      </c>
      <c r="AC125" t="s">
        <v>135</v>
      </c>
      <c r="AD125" t="s">
        <v>135</v>
      </c>
      <c r="AE125" t="s">
        <v>135</v>
      </c>
      <c r="AF125" t="s">
        <v>135</v>
      </c>
      <c r="AG125" t="s">
        <v>135</v>
      </c>
      <c r="AH125" t="s">
        <v>135</v>
      </c>
      <c r="AI125" t="s">
        <v>135</v>
      </c>
      <c r="AJ125" t="s">
        <v>135</v>
      </c>
      <c r="AK125" t="s">
        <v>135</v>
      </c>
      <c r="AL125" t="s">
        <v>135</v>
      </c>
      <c r="AM125" t="s">
        <v>135</v>
      </c>
      <c r="AN125" t="s">
        <v>135</v>
      </c>
      <c r="AO125" t="s">
        <v>135</v>
      </c>
      <c r="AP125" t="s">
        <v>135</v>
      </c>
      <c r="AQ125" t="s">
        <v>135</v>
      </c>
      <c r="AR125" t="s">
        <v>135</v>
      </c>
      <c r="AS125" t="s">
        <v>135</v>
      </c>
      <c r="AT125" t="s">
        <v>135</v>
      </c>
      <c r="AU125" t="s">
        <v>135</v>
      </c>
      <c r="AV125" t="s">
        <v>135</v>
      </c>
      <c r="AW125" t="s">
        <v>135</v>
      </c>
      <c r="AX125" t="s">
        <v>135</v>
      </c>
      <c r="AY125" t="s">
        <v>135</v>
      </c>
      <c r="AZ125" t="s">
        <v>135</v>
      </c>
      <c r="BA125" t="s">
        <v>135</v>
      </c>
      <c r="BB125" t="s">
        <v>135</v>
      </c>
      <c r="BC125" t="s">
        <v>135</v>
      </c>
      <c r="BD125" t="s">
        <v>135</v>
      </c>
      <c r="BE125" t="s">
        <v>135</v>
      </c>
      <c r="BF125" t="s">
        <v>135</v>
      </c>
      <c r="BG125" t="s">
        <v>135</v>
      </c>
      <c r="BH125" t="s">
        <v>135</v>
      </c>
      <c r="BI125" t="s">
        <v>135</v>
      </c>
      <c r="BJ125" t="s">
        <v>135</v>
      </c>
      <c r="BK125" t="s">
        <v>135</v>
      </c>
      <c r="BL125" t="s">
        <v>135</v>
      </c>
      <c r="BM125" t="s">
        <v>135</v>
      </c>
      <c r="BN125" t="s">
        <v>135</v>
      </c>
      <c r="BO125" t="s">
        <v>135</v>
      </c>
      <c r="BP125" t="s">
        <v>135</v>
      </c>
      <c r="BQ125" t="s">
        <v>135</v>
      </c>
      <c r="BR125" t="s">
        <v>135</v>
      </c>
      <c r="BS125" t="s">
        <v>135</v>
      </c>
      <c r="BT125" t="s">
        <v>135</v>
      </c>
      <c r="BU125" t="s">
        <v>135</v>
      </c>
      <c r="BV125" t="s">
        <v>135</v>
      </c>
      <c r="BW125" t="s">
        <v>135</v>
      </c>
      <c r="BX125" t="s">
        <v>135</v>
      </c>
      <c r="BY125" t="s">
        <v>135</v>
      </c>
      <c r="BZ125" t="s">
        <v>135</v>
      </c>
      <c r="CA125" t="s">
        <v>135</v>
      </c>
      <c r="CB125" t="s">
        <v>135</v>
      </c>
      <c r="CC125" t="s">
        <v>135</v>
      </c>
      <c r="CD125" t="s">
        <v>135</v>
      </c>
      <c r="CE125" t="s">
        <v>135</v>
      </c>
      <c r="CF125" t="s">
        <v>135</v>
      </c>
      <c r="CG125" t="s">
        <v>135</v>
      </c>
      <c r="CH125" t="s">
        <v>135</v>
      </c>
      <c r="CI125" t="s">
        <v>135</v>
      </c>
      <c r="CJ125" t="s">
        <v>135</v>
      </c>
      <c r="CK125" t="s">
        <v>135</v>
      </c>
      <c r="CL125" t="s">
        <v>135</v>
      </c>
      <c r="CM125" t="s">
        <v>135</v>
      </c>
      <c r="CN125" t="s">
        <v>135</v>
      </c>
      <c r="CO125" t="s">
        <v>135</v>
      </c>
      <c r="CP125" t="s">
        <v>135</v>
      </c>
      <c r="CQ125" t="s">
        <v>135</v>
      </c>
      <c r="CR125" t="s">
        <v>135</v>
      </c>
      <c r="CS125" t="s">
        <v>135</v>
      </c>
      <c r="CT125" t="s">
        <v>135</v>
      </c>
      <c r="CU125" t="s">
        <v>135</v>
      </c>
      <c r="CV125" t="s">
        <v>135</v>
      </c>
      <c r="CW125" t="s">
        <v>135</v>
      </c>
      <c r="CX125" t="s">
        <v>135</v>
      </c>
      <c r="CY125" t="s">
        <v>135</v>
      </c>
      <c r="CZ125" t="s">
        <v>135</v>
      </c>
      <c r="DA125" t="s">
        <v>135</v>
      </c>
      <c r="DB125" t="s">
        <v>135</v>
      </c>
      <c r="DC125" t="s">
        <v>135</v>
      </c>
      <c r="DD125" t="s">
        <v>135</v>
      </c>
      <c r="DE125" t="s">
        <v>135</v>
      </c>
      <c r="DF125" t="s">
        <v>135</v>
      </c>
      <c r="DG125" t="s">
        <v>135</v>
      </c>
      <c r="DH125" t="s">
        <v>135</v>
      </c>
      <c r="DI125" t="s">
        <v>135</v>
      </c>
    </row>
    <row r="126" spans="1:113" x14ac:dyDescent="0.3">
      <c r="E126" t="s">
        <v>80</v>
      </c>
      <c r="F126" t="s">
        <v>135</v>
      </c>
      <c r="G126" t="s">
        <v>135</v>
      </c>
      <c r="H126" t="s">
        <v>135</v>
      </c>
      <c r="I126" t="s">
        <v>135</v>
      </c>
      <c r="J126" t="s">
        <v>135</v>
      </c>
      <c r="K126" t="s">
        <v>135</v>
      </c>
      <c r="L126" t="s">
        <v>135</v>
      </c>
      <c r="M126" t="s">
        <v>135</v>
      </c>
      <c r="N126" t="s">
        <v>135</v>
      </c>
      <c r="O126" t="s">
        <v>135</v>
      </c>
      <c r="P126" t="s">
        <v>135</v>
      </c>
      <c r="Q126" t="s">
        <v>135</v>
      </c>
      <c r="R126" t="s">
        <v>135</v>
      </c>
      <c r="S126" t="s">
        <v>135</v>
      </c>
      <c r="T126" t="s">
        <v>135</v>
      </c>
      <c r="U126" t="s">
        <v>135</v>
      </c>
      <c r="V126" t="s">
        <v>135</v>
      </c>
      <c r="W126" t="s">
        <v>135</v>
      </c>
      <c r="X126" t="s">
        <v>135</v>
      </c>
      <c r="Y126" t="s">
        <v>135</v>
      </c>
      <c r="Z126" t="s">
        <v>135</v>
      </c>
      <c r="AA126" t="s">
        <v>135</v>
      </c>
      <c r="AB126" t="s">
        <v>135</v>
      </c>
      <c r="AC126" t="s">
        <v>135</v>
      </c>
      <c r="AD126" t="s">
        <v>135</v>
      </c>
      <c r="AE126" t="s">
        <v>135</v>
      </c>
      <c r="AF126" t="s">
        <v>135</v>
      </c>
      <c r="AG126" t="s">
        <v>135</v>
      </c>
      <c r="AH126" t="s">
        <v>135</v>
      </c>
      <c r="AI126" t="s">
        <v>135</v>
      </c>
      <c r="AJ126" t="s">
        <v>135</v>
      </c>
      <c r="AK126" t="s">
        <v>135</v>
      </c>
      <c r="AL126" t="s">
        <v>135</v>
      </c>
      <c r="AM126" t="s">
        <v>135</v>
      </c>
      <c r="AN126" t="s">
        <v>135</v>
      </c>
      <c r="AO126" t="s">
        <v>135</v>
      </c>
      <c r="AP126" t="s">
        <v>135</v>
      </c>
      <c r="AQ126" t="s">
        <v>135</v>
      </c>
      <c r="AR126" t="s">
        <v>135</v>
      </c>
      <c r="AS126" t="s">
        <v>135</v>
      </c>
      <c r="AT126" t="s">
        <v>135</v>
      </c>
      <c r="AU126" t="s">
        <v>135</v>
      </c>
      <c r="AV126" t="s">
        <v>135</v>
      </c>
      <c r="AW126" t="s">
        <v>135</v>
      </c>
      <c r="AX126" t="s">
        <v>135</v>
      </c>
      <c r="AY126" t="s">
        <v>135</v>
      </c>
      <c r="AZ126" t="s">
        <v>135</v>
      </c>
      <c r="BA126" t="s">
        <v>135</v>
      </c>
      <c r="BB126" t="s">
        <v>135</v>
      </c>
      <c r="BC126" t="s">
        <v>135</v>
      </c>
      <c r="BD126" t="s">
        <v>135</v>
      </c>
      <c r="BE126" t="s">
        <v>135</v>
      </c>
      <c r="BF126" t="s">
        <v>135</v>
      </c>
      <c r="BG126" t="s">
        <v>135</v>
      </c>
      <c r="BH126" t="s">
        <v>135</v>
      </c>
      <c r="BI126" t="s">
        <v>135</v>
      </c>
      <c r="BJ126" t="s">
        <v>135</v>
      </c>
      <c r="BK126" t="s">
        <v>135</v>
      </c>
      <c r="BL126" t="s">
        <v>135</v>
      </c>
      <c r="BM126" t="s">
        <v>135</v>
      </c>
      <c r="BN126" t="s">
        <v>135</v>
      </c>
      <c r="BO126" t="s">
        <v>135</v>
      </c>
      <c r="BP126" t="s">
        <v>135</v>
      </c>
      <c r="BQ126" t="s">
        <v>135</v>
      </c>
      <c r="BR126" t="s">
        <v>135</v>
      </c>
      <c r="BS126" t="s">
        <v>135</v>
      </c>
      <c r="BT126" t="s">
        <v>135</v>
      </c>
      <c r="BU126" t="s">
        <v>135</v>
      </c>
      <c r="BV126" t="s">
        <v>135</v>
      </c>
      <c r="BW126" t="s">
        <v>135</v>
      </c>
      <c r="BX126" t="s">
        <v>135</v>
      </c>
      <c r="BY126" t="s">
        <v>135</v>
      </c>
      <c r="BZ126" t="s">
        <v>135</v>
      </c>
      <c r="CA126" t="s">
        <v>135</v>
      </c>
      <c r="CB126" t="s">
        <v>135</v>
      </c>
      <c r="CC126" t="s">
        <v>135</v>
      </c>
      <c r="CD126" t="s">
        <v>135</v>
      </c>
      <c r="CE126" t="s">
        <v>135</v>
      </c>
      <c r="CF126" t="s">
        <v>135</v>
      </c>
      <c r="CG126" t="s">
        <v>135</v>
      </c>
      <c r="CH126" t="s">
        <v>135</v>
      </c>
      <c r="CI126" t="s">
        <v>135</v>
      </c>
      <c r="CJ126" t="s">
        <v>135</v>
      </c>
      <c r="CK126" t="s">
        <v>135</v>
      </c>
      <c r="CL126" t="s">
        <v>135</v>
      </c>
      <c r="CM126" t="s">
        <v>135</v>
      </c>
      <c r="CN126" t="s">
        <v>135</v>
      </c>
      <c r="CO126" t="s">
        <v>135</v>
      </c>
      <c r="CP126" t="s">
        <v>135</v>
      </c>
      <c r="CQ126" t="s">
        <v>135</v>
      </c>
      <c r="CR126" t="s">
        <v>135</v>
      </c>
      <c r="CS126" t="s">
        <v>135</v>
      </c>
      <c r="CT126" t="s">
        <v>135</v>
      </c>
      <c r="CU126" t="s">
        <v>135</v>
      </c>
      <c r="CV126" t="s">
        <v>135</v>
      </c>
      <c r="CW126" t="s">
        <v>135</v>
      </c>
      <c r="CX126" t="s">
        <v>135</v>
      </c>
      <c r="CY126" t="s">
        <v>135</v>
      </c>
      <c r="CZ126" t="s">
        <v>135</v>
      </c>
      <c r="DA126" t="s">
        <v>135</v>
      </c>
      <c r="DB126" t="s">
        <v>135</v>
      </c>
      <c r="DC126" t="s">
        <v>135</v>
      </c>
      <c r="DD126" t="s">
        <v>135</v>
      </c>
      <c r="DE126" t="s">
        <v>135</v>
      </c>
      <c r="DF126" t="s">
        <v>135</v>
      </c>
      <c r="DG126" t="s">
        <v>135</v>
      </c>
      <c r="DH126" t="s">
        <v>135</v>
      </c>
      <c r="DI126" t="s">
        <v>135</v>
      </c>
    </row>
    <row r="127" spans="1:113" x14ac:dyDescent="0.3">
      <c r="E127" t="s">
        <v>81</v>
      </c>
      <c r="F127" t="s">
        <v>135</v>
      </c>
      <c r="G127" t="s">
        <v>135</v>
      </c>
      <c r="H127" t="s">
        <v>135</v>
      </c>
      <c r="I127" t="s">
        <v>135</v>
      </c>
      <c r="J127" t="s">
        <v>135</v>
      </c>
      <c r="K127" t="s">
        <v>135</v>
      </c>
      <c r="L127" t="s">
        <v>135</v>
      </c>
      <c r="M127" t="s">
        <v>135</v>
      </c>
      <c r="N127" t="s">
        <v>135</v>
      </c>
      <c r="O127" t="s">
        <v>135</v>
      </c>
      <c r="P127" t="s">
        <v>135</v>
      </c>
      <c r="Q127" t="s">
        <v>135</v>
      </c>
      <c r="R127" t="s">
        <v>135</v>
      </c>
      <c r="S127" t="s">
        <v>135</v>
      </c>
      <c r="T127" t="s">
        <v>135</v>
      </c>
      <c r="U127" t="s">
        <v>135</v>
      </c>
      <c r="V127" t="s">
        <v>135</v>
      </c>
      <c r="W127" t="s">
        <v>135</v>
      </c>
      <c r="X127" t="s">
        <v>135</v>
      </c>
      <c r="Y127" t="s">
        <v>135</v>
      </c>
      <c r="Z127" t="s">
        <v>135</v>
      </c>
      <c r="AA127" t="s">
        <v>135</v>
      </c>
      <c r="AB127" t="s">
        <v>135</v>
      </c>
      <c r="AC127" t="s">
        <v>135</v>
      </c>
      <c r="AD127" t="s">
        <v>135</v>
      </c>
      <c r="AE127" t="s">
        <v>135</v>
      </c>
      <c r="AF127" t="s">
        <v>135</v>
      </c>
      <c r="AG127" t="s">
        <v>135</v>
      </c>
      <c r="AH127" t="s">
        <v>135</v>
      </c>
      <c r="AI127" t="s">
        <v>135</v>
      </c>
      <c r="AJ127" t="s">
        <v>135</v>
      </c>
      <c r="AK127" t="s">
        <v>135</v>
      </c>
      <c r="AL127" t="s">
        <v>135</v>
      </c>
      <c r="AM127" t="s">
        <v>135</v>
      </c>
      <c r="AN127" t="s">
        <v>135</v>
      </c>
      <c r="AO127" t="s">
        <v>135</v>
      </c>
      <c r="AP127" t="s">
        <v>135</v>
      </c>
      <c r="AQ127" t="s">
        <v>135</v>
      </c>
      <c r="AR127" t="s">
        <v>135</v>
      </c>
      <c r="AS127" t="s">
        <v>135</v>
      </c>
      <c r="AT127" t="s">
        <v>135</v>
      </c>
      <c r="AU127" t="s">
        <v>135</v>
      </c>
      <c r="AV127" t="s">
        <v>135</v>
      </c>
      <c r="AW127" t="s">
        <v>135</v>
      </c>
      <c r="AX127" t="s">
        <v>135</v>
      </c>
      <c r="AY127" t="s">
        <v>135</v>
      </c>
      <c r="AZ127" t="s">
        <v>135</v>
      </c>
      <c r="BA127" t="s">
        <v>135</v>
      </c>
      <c r="BB127" t="s">
        <v>135</v>
      </c>
      <c r="BC127" t="s">
        <v>135</v>
      </c>
      <c r="BD127" t="s">
        <v>135</v>
      </c>
      <c r="BE127" t="s">
        <v>135</v>
      </c>
      <c r="BF127" t="s">
        <v>135</v>
      </c>
      <c r="BG127" t="s">
        <v>135</v>
      </c>
      <c r="BH127" t="s">
        <v>135</v>
      </c>
      <c r="BI127" t="s">
        <v>135</v>
      </c>
      <c r="BJ127" t="s">
        <v>135</v>
      </c>
      <c r="BK127" t="s">
        <v>135</v>
      </c>
      <c r="BL127" t="s">
        <v>135</v>
      </c>
      <c r="BM127" t="s">
        <v>135</v>
      </c>
      <c r="BN127" t="s">
        <v>135</v>
      </c>
      <c r="BO127" t="s">
        <v>135</v>
      </c>
      <c r="BP127" t="s">
        <v>135</v>
      </c>
      <c r="BQ127" t="s">
        <v>135</v>
      </c>
      <c r="BR127" t="s">
        <v>135</v>
      </c>
      <c r="BS127" t="s">
        <v>135</v>
      </c>
      <c r="BT127" t="s">
        <v>135</v>
      </c>
      <c r="BU127" t="s">
        <v>135</v>
      </c>
      <c r="BV127" t="s">
        <v>135</v>
      </c>
      <c r="BW127" t="s">
        <v>135</v>
      </c>
      <c r="BX127" t="s">
        <v>135</v>
      </c>
      <c r="BY127" t="s">
        <v>135</v>
      </c>
      <c r="BZ127" t="s">
        <v>135</v>
      </c>
      <c r="CA127" t="s">
        <v>135</v>
      </c>
      <c r="CB127" t="s">
        <v>135</v>
      </c>
      <c r="CC127" t="s">
        <v>135</v>
      </c>
      <c r="CD127" t="s">
        <v>135</v>
      </c>
      <c r="CE127" t="s">
        <v>135</v>
      </c>
      <c r="CF127" t="s">
        <v>135</v>
      </c>
      <c r="CG127" t="s">
        <v>135</v>
      </c>
      <c r="CH127" t="s">
        <v>135</v>
      </c>
      <c r="CI127" t="s">
        <v>135</v>
      </c>
      <c r="CJ127" t="s">
        <v>135</v>
      </c>
      <c r="CK127" t="s">
        <v>135</v>
      </c>
      <c r="CL127" t="s">
        <v>135</v>
      </c>
      <c r="CM127" t="s">
        <v>135</v>
      </c>
      <c r="CN127" t="s">
        <v>135</v>
      </c>
      <c r="CO127" t="s">
        <v>135</v>
      </c>
      <c r="CP127" t="s">
        <v>135</v>
      </c>
      <c r="CQ127" t="s">
        <v>135</v>
      </c>
      <c r="CR127" t="s">
        <v>135</v>
      </c>
      <c r="CS127" t="s">
        <v>135</v>
      </c>
      <c r="CT127" t="s">
        <v>135</v>
      </c>
      <c r="CU127" t="s">
        <v>135</v>
      </c>
      <c r="CV127" t="s">
        <v>135</v>
      </c>
      <c r="CW127" t="s">
        <v>135</v>
      </c>
      <c r="CX127" t="s">
        <v>135</v>
      </c>
      <c r="CY127" t="s">
        <v>135</v>
      </c>
      <c r="CZ127" t="s">
        <v>135</v>
      </c>
      <c r="DA127" t="s">
        <v>135</v>
      </c>
      <c r="DB127" t="s">
        <v>135</v>
      </c>
      <c r="DC127" t="s">
        <v>135</v>
      </c>
      <c r="DD127" t="s">
        <v>135</v>
      </c>
      <c r="DE127" t="s">
        <v>135</v>
      </c>
      <c r="DF127" t="s">
        <v>135</v>
      </c>
      <c r="DG127" t="s">
        <v>135</v>
      </c>
      <c r="DH127" t="s">
        <v>135</v>
      </c>
      <c r="DI127" t="s">
        <v>135</v>
      </c>
    </row>
    <row r="128" spans="1:113" x14ac:dyDescent="0.3">
      <c r="A128">
        <v>81</v>
      </c>
      <c r="B128" t="s">
        <v>94</v>
      </c>
      <c r="C128" t="s">
        <v>95</v>
      </c>
      <c r="D128" t="s">
        <v>76</v>
      </c>
      <c r="E128" t="s">
        <v>77</v>
      </c>
      <c r="F128">
        <v>17.137</v>
      </c>
      <c r="G128">
        <v>2.7269000000000001</v>
      </c>
      <c r="H128">
        <v>3.0910000000000002</v>
      </c>
      <c r="I128">
        <v>5.8888999999999996</v>
      </c>
      <c r="J128">
        <v>71.728899999999996</v>
      </c>
      <c r="K128">
        <v>44.776299999999999</v>
      </c>
      <c r="L128" t="s">
        <v>135</v>
      </c>
      <c r="M128">
        <v>23.2361</v>
      </c>
      <c r="N128">
        <v>30.857399999999998</v>
      </c>
      <c r="O128">
        <v>16.013100000000001</v>
      </c>
      <c r="P128">
        <v>30.857399999999998</v>
      </c>
      <c r="Q128">
        <v>31.0854</v>
      </c>
      <c r="R128">
        <v>11.695499999999999</v>
      </c>
      <c r="S128">
        <v>15.1327</v>
      </c>
      <c r="T128">
        <v>20.87</v>
      </c>
      <c r="U128">
        <v>18.241399999999999</v>
      </c>
      <c r="V128">
        <v>-8.8871000000000002</v>
      </c>
      <c r="W128">
        <v>-7.2084999999999999</v>
      </c>
      <c r="X128">
        <v>-7.2237</v>
      </c>
      <c r="Y128">
        <v>0</v>
      </c>
      <c r="Z128" t="s">
        <v>135</v>
      </c>
      <c r="AA128" t="s">
        <v>135</v>
      </c>
      <c r="AB128">
        <v>120.5562</v>
      </c>
      <c r="AC128">
        <v>10.6785</v>
      </c>
      <c r="AD128" t="s">
        <v>135</v>
      </c>
      <c r="AE128" t="s">
        <v>135</v>
      </c>
      <c r="AF128" t="s">
        <v>135</v>
      </c>
      <c r="AG128">
        <v>15.301399999999999</v>
      </c>
      <c r="AH128">
        <v>15.707699999999999</v>
      </c>
      <c r="AI128">
        <v>15.976100000000001</v>
      </c>
      <c r="AJ128">
        <v>15.7561</v>
      </c>
      <c r="AK128">
        <v>15.9665</v>
      </c>
      <c r="AL128">
        <v>51.490299999999998</v>
      </c>
      <c r="AM128">
        <v>17.845600000000001</v>
      </c>
      <c r="AN128">
        <v>15.7056</v>
      </c>
      <c r="AO128">
        <v>12.8283</v>
      </c>
      <c r="AP128">
        <v>17.2651</v>
      </c>
      <c r="AQ128">
        <v>15.8826</v>
      </c>
      <c r="AR128">
        <v>6.9610000000000003</v>
      </c>
      <c r="AS128" t="s">
        <v>135</v>
      </c>
      <c r="AT128" t="s">
        <v>135</v>
      </c>
      <c r="AU128">
        <v>2.6019000000000001</v>
      </c>
      <c r="AV128">
        <v>15.918100000000001</v>
      </c>
      <c r="AW128" t="s">
        <v>135</v>
      </c>
      <c r="AX128" t="s">
        <v>135</v>
      </c>
      <c r="AY128" t="s">
        <v>135</v>
      </c>
      <c r="AZ128">
        <v>31.292300000000001</v>
      </c>
      <c r="BA128">
        <v>13.9344</v>
      </c>
      <c r="BB128">
        <v>29.722799999999999</v>
      </c>
      <c r="BC128">
        <v>16.006499999999999</v>
      </c>
      <c r="BD128">
        <v>26.9328</v>
      </c>
      <c r="BE128" t="s">
        <v>135</v>
      </c>
      <c r="BF128">
        <v>20.87</v>
      </c>
      <c r="BG128">
        <v>18.241399999999999</v>
      </c>
      <c r="BH128">
        <v>-8.8871000000000002</v>
      </c>
      <c r="BI128">
        <v>-7.2084999999999999</v>
      </c>
      <c r="BJ128">
        <v>-7.2237</v>
      </c>
      <c r="BK128">
        <v>0</v>
      </c>
      <c r="BL128">
        <v>38812.244899999998</v>
      </c>
      <c r="BM128" t="s">
        <v>135</v>
      </c>
      <c r="BN128">
        <v>120.5562</v>
      </c>
      <c r="BO128">
        <v>10.6785</v>
      </c>
      <c r="BP128" t="s">
        <v>135</v>
      </c>
      <c r="BQ128" t="s">
        <v>135</v>
      </c>
      <c r="BR128" t="s">
        <v>135</v>
      </c>
      <c r="BS128">
        <v>15.301399999999999</v>
      </c>
      <c r="BT128">
        <v>15.707699999999999</v>
      </c>
      <c r="BU128">
        <v>15.976100000000001</v>
      </c>
      <c r="BV128">
        <v>15.7561</v>
      </c>
      <c r="BW128">
        <v>15.9665</v>
      </c>
      <c r="BX128" t="s">
        <v>135</v>
      </c>
      <c r="BY128">
        <v>386304.712</v>
      </c>
      <c r="BZ128">
        <v>142343.88200000001</v>
      </c>
      <c r="CA128">
        <v>243960.83</v>
      </c>
      <c r="CB128">
        <v>6.3507999999999996</v>
      </c>
      <c r="CC128">
        <v>5.1806000000000001</v>
      </c>
      <c r="CD128">
        <v>19.604800000000001</v>
      </c>
      <c r="CE128">
        <v>15.9922</v>
      </c>
      <c r="CF128">
        <v>1.4910999999999999</v>
      </c>
      <c r="CG128">
        <v>16.264900000000001</v>
      </c>
      <c r="CH128">
        <v>286.66950000000003</v>
      </c>
      <c r="CI128">
        <v>51.7517</v>
      </c>
      <c r="CJ128">
        <v>46.6265</v>
      </c>
      <c r="CK128">
        <v>453.93259999999998</v>
      </c>
      <c r="CL128">
        <v>81.947299999999998</v>
      </c>
      <c r="CM128">
        <v>73.831599999999995</v>
      </c>
      <c r="CN128">
        <v>370.28649999999999</v>
      </c>
      <c r="CO128">
        <v>78.736400000000003</v>
      </c>
      <c r="CP128">
        <v>60827.476000000002</v>
      </c>
      <c r="CQ128">
        <v>59653.142</v>
      </c>
      <c r="CR128">
        <v>19704.632000000001</v>
      </c>
      <c r="CS128" t="s">
        <v>135</v>
      </c>
      <c r="CT128" t="s">
        <v>135</v>
      </c>
      <c r="CU128" t="s">
        <v>135</v>
      </c>
      <c r="CV128" t="s">
        <v>135</v>
      </c>
      <c r="CW128" t="s">
        <v>135</v>
      </c>
      <c r="CX128" t="s">
        <v>135</v>
      </c>
      <c r="CY128" t="s">
        <v>135</v>
      </c>
      <c r="CZ128" t="s">
        <v>135</v>
      </c>
      <c r="DA128" t="s">
        <v>135</v>
      </c>
      <c r="DB128" t="s">
        <v>135</v>
      </c>
      <c r="DC128" t="s">
        <v>135</v>
      </c>
      <c r="DD128" t="s">
        <v>135</v>
      </c>
      <c r="DE128" t="s">
        <v>135</v>
      </c>
      <c r="DF128" t="s">
        <v>135</v>
      </c>
      <c r="DG128" t="s">
        <v>135</v>
      </c>
      <c r="DH128" t="s">
        <v>135</v>
      </c>
      <c r="DI128" t="s">
        <v>135</v>
      </c>
    </row>
    <row r="129" spans="4:113" x14ac:dyDescent="0.3">
      <c r="E129" t="s">
        <v>78</v>
      </c>
      <c r="F129" t="s">
        <v>135</v>
      </c>
      <c r="G129" t="s">
        <v>135</v>
      </c>
      <c r="H129" t="s">
        <v>135</v>
      </c>
      <c r="I129" t="s">
        <v>135</v>
      </c>
      <c r="J129">
        <v>73.219499999999996</v>
      </c>
      <c r="K129">
        <v>49.044499999999999</v>
      </c>
      <c r="L129">
        <v>15.3736</v>
      </c>
      <c r="M129">
        <v>26.1191</v>
      </c>
      <c r="N129">
        <v>34.345799999999997</v>
      </c>
      <c r="O129">
        <v>18.283799999999999</v>
      </c>
      <c r="P129">
        <v>34.345799999999997</v>
      </c>
      <c r="Q129">
        <v>29.9983</v>
      </c>
      <c r="R129" t="s">
        <v>135</v>
      </c>
      <c r="S129" t="s">
        <v>135</v>
      </c>
      <c r="T129">
        <v>25.2423</v>
      </c>
      <c r="U129">
        <v>26.284600000000001</v>
      </c>
      <c r="V129">
        <v>3.6236999999999999</v>
      </c>
      <c r="W129">
        <v>7.0713999999999997</v>
      </c>
      <c r="X129">
        <v>6.9535999999999998</v>
      </c>
      <c r="Y129" t="s">
        <v>135</v>
      </c>
      <c r="Z129" t="s">
        <v>135</v>
      </c>
      <c r="AA129" t="s">
        <v>135</v>
      </c>
      <c r="AB129" t="s">
        <v>135</v>
      </c>
      <c r="AC129" t="s">
        <v>135</v>
      </c>
      <c r="AD129" t="s">
        <v>135</v>
      </c>
      <c r="AE129" t="s">
        <v>135</v>
      </c>
      <c r="AF129" t="s">
        <v>135</v>
      </c>
      <c r="AG129" t="s">
        <v>135</v>
      </c>
      <c r="AH129" t="s">
        <v>135</v>
      </c>
      <c r="AI129" t="s">
        <v>135</v>
      </c>
      <c r="AJ129" t="s">
        <v>135</v>
      </c>
      <c r="AK129" t="s">
        <v>135</v>
      </c>
      <c r="AL129" t="s">
        <v>135</v>
      </c>
      <c r="AM129" t="s">
        <v>135</v>
      </c>
      <c r="AN129" t="s">
        <v>135</v>
      </c>
      <c r="AO129" t="s">
        <v>135</v>
      </c>
      <c r="AP129" t="s">
        <v>135</v>
      </c>
      <c r="AQ129" t="s">
        <v>135</v>
      </c>
      <c r="AR129" t="s">
        <v>135</v>
      </c>
      <c r="AS129" t="s">
        <v>135</v>
      </c>
      <c r="AT129" t="s">
        <v>135</v>
      </c>
      <c r="AU129" t="s">
        <v>135</v>
      </c>
      <c r="AV129" t="s">
        <v>135</v>
      </c>
      <c r="AW129" t="s">
        <v>135</v>
      </c>
      <c r="AX129" t="s">
        <v>135</v>
      </c>
      <c r="AY129" t="s">
        <v>135</v>
      </c>
      <c r="AZ129" t="s">
        <v>135</v>
      </c>
      <c r="BA129" t="s">
        <v>135</v>
      </c>
      <c r="BB129" t="s">
        <v>135</v>
      </c>
      <c r="BC129" t="s">
        <v>135</v>
      </c>
      <c r="BD129" t="s">
        <v>135</v>
      </c>
      <c r="BE129" t="s">
        <v>135</v>
      </c>
      <c r="BF129">
        <v>5.0465999999999998</v>
      </c>
      <c r="BG129">
        <v>1.6924000000000001</v>
      </c>
      <c r="BH129">
        <v>-7.2446000000000002</v>
      </c>
      <c r="BI129">
        <v>-4.4828999999999999</v>
      </c>
      <c r="BJ129">
        <v>-4.4379</v>
      </c>
      <c r="BK129" t="s">
        <v>135</v>
      </c>
      <c r="BL129" t="s">
        <v>135</v>
      </c>
      <c r="BM129" t="s">
        <v>135</v>
      </c>
      <c r="BN129" t="s">
        <v>135</v>
      </c>
      <c r="BO129" t="s">
        <v>135</v>
      </c>
      <c r="BP129" t="s">
        <v>135</v>
      </c>
      <c r="BQ129" t="s">
        <v>135</v>
      </c>
      <c r="BR129" t="s">
        <v>135</v>
      </c>
      <c r="BS129" t="s">
        <v>135</v>
      </c>
      <c r="BT129" t="s">
        <v>135</v>
      </c>
      <c r="BU129" t="s">
        <v>135</v>
      </c>
      <c r="BV129" t="s">
        <v>135</v>
      </c>
      <c r="BW129" t="s">
        <v>135</v>
      </c>
      <c r="BX129" t="s">
        <v>135</v>
      </c>
      <c r="BY129" t="s">
        <v>135</v>
      </c>
      <c r="BZ129" t="s">
        <v>135</v>
      </c>
      <c r="CA129" t="s">
        <v>135</v>
      </c>
      <c r="CB129" t="s">
        <v>135</v>
      </c>
      <c r="CC129" t="s">
        <v>135</v>
      </c>
      <c r="CD129" t="s">
        <v>135</v>
      </c>
      <c r="CE129" t="s">
        <v>135</v>
      </c>
      <c r="CF129">
        <v>1.5657000000000001</v>
      </c>
      <c r="CG129" t="s">
        <v>135</v>
      </c>
      <c r="CH129" t="s">
        <v>135</v>
      </c>
      <c r="CI129" t="s">
        <v>135</v>
      </c>
      <c r="CJ129" t="s">
        <v>135</v>
      </c>
      <c r="CK129" t="s">
        <v>135</v>
      </c>
      <c r="CL129" t="s">
        <v>135</v>
      </c>
      <c r="CM129" t="s">
        <v>135</v>
      </c>
      <c r="CN129" t="s">
        <v>135</v>
      </c>
      <c r="CO129" t="s">
        <v>135</v>
      </c>
      <c r="CP129">
        <v>14667.7</v>
      </c>
      <c r="CQ129" t="s">
        <v>135</v>
      </c>
      <c r="CR129">
        <v>5230.2</v>
      </c>
      <c r="CS129" t="s">
        <v>135</v>
      </c>
      <c r="CT129" t="s">
        <v>135</v>
      </c>
      <c r="CU129" t="s">
        <v>135</v>
      </c>
      <c r="CV129" t="s">
        <v>135</v>
      </c>
      <c r="CW129" t="s">
        <v>135</v>
      </c>
      <c r="CX129" t="s">
        <v>135</v>
      </c>
      <c r="CY129" t="s">
        <v>135</v>
      </c>
      <c r="CZ129" t="s">
        <v>135</v>
      </c>
      <c r="DA129" t="s">
        <v>135</v>
      </c>
      <c r="DB129" t="s">
        <v>135</v>
      </c>
      <c r="DC129" t="s">
        <v>135</v>
      </c>
      <c r="DD129" t="s">
        <v>135</v>
      </c>
      <c r="DE129" t="s">
        <v>135</v>
      </c>
      <c r="DF129" t="s">
        <v>135</v>
      </c>
      <c r="DG129" t="s">
        <v>135</v>
      </c>
      <c r="DH129" t="s">
        <v>135</v>
      </c>
      <c r="DI129" t="s">
        <v>135</v>
      </c>
    </row>
    <row r="130" spans="4:113" x14ac:dyDescent="0.3">
      <c r="E130" t="s">
        <v>79</v>
      </c>
      <c r="F130">
        <v>19.969100000000001</v>
      </c>
      <c r="G130">
        <v>3.1867000000000001</v>
      </c>
      <c r="H130">
        <v>4.7442000000000002</v>
      </c>
      <c r="I130">
        <v>8.0667000000000009</v>
      </c>
      <c r="J130">
        <v>74.964799999999997</v>
      </c>
      <c r="K130">
        <v>48.729599999999998</v>
      </c>
      <c r="L130" t="s">
        <v>135</v>
      </c>
      <c r="M130">
        <v>24.314399999999999</v>
      </c>
      <c r="N130">
        <v>33.793300000000002</v>
      </c>
      <c r="O130">
        <v>16.755099999999999</v>
      </c>
      <c r="P130">
        <v>33.793300000000002</v>
      </c>
      <c r="Q130">
        <v>31.0901</v>
      </c>
      <c r="R130" t="s">
        <v>135</v>
      </c>
      <c r="S130" t="s">
        <v>135</v>
      </c>
      <c r="T130">
        <v>22.9636</v>
      </c>
      <c r="U130">
        <v>22.952400000000001</v>
      </c>
      <c r="V130">
        <v>-5.6044</v>
      </c>
      <c r="W130">
        <v>-2.9346000000000001</v>
      </c>
      <c r="X130">
        <v>-3.1612999999999998</v>
      </c>
      <c r="Y130" t="s">
        <v>135</v>
      </c>
      <c r="Z130" t="s">
        <v>135</v>
      </c>
      <c r="AA130" t="s">
        <v>135</v>
      </c>
      <c r="AB130">
        <v>47.688899999999997</v>
      </c>
      <c r="AC130">
        <v>38.967100000000002</v>
      </c>
      <c r="AD130" t="s">
        <v>135</v>
      </c>
      <c r="AE130" t="s">
        <v>135</v>
      </c>
      <c r="AF130" t="s">
        <v>135</v>
      </c>
      <c r="AG130">
        <v>27.510100000000001</v>
      </c>
      <c r="AH130">
        <v>51.376399999999997</v>
      </c>
      <c r="AI130">
        <v>19.588000000000001</v>
      </c>
      <c r="AJ130">
        <v>43.018300000000004</v>
      </c>
      <c r="AK130">
        <v>19.308700000000002</v>
      </c>
      <c r="AL130" t="s">
        <v>135</v>
      </c>
      <c r="AM130" t="s">
        <v>135</v>
      </c>
      <c r="AN130" t="s">
        <v>135</v>
      </c>
      <c r="AO130" t="s">
        <v>135</v>
      </c>
      <c r="AP130" t="s">
        <v>135</v>
      </c>
      <c r="AQ130" t="s">
        <v>135</v>
      </c>
      <c r="AR130" t="s">
        <v>135</v>
      </c>
      <c r="AS130" t="s">
        <v>135</v>
      </c>
      <c r="AT130" t="s">
        <v>135</v>
      </c>
      <c r="AU130" t="s">
        <v>135</v>
      </c>
      <c r="AV130" t="s">
        <v>135</v>
      </c>
      <c r="AW130" t="s">
        <v>135</v>
      </c>
      <c r="AX130" t="s">
        <v>135</v>
      </c>
      <c r="AY130" t="s">
        <v>135</v>
      </c>
      <c r="AZ130" t="s">
        <v>135</v>
      </c>
      <c r="BA130" t="s">
        <v>135</v>
      </c>
      <c r="BB130" t="s">
        <v>135</v>
      </c>
      <c r="BC130" t="s">
        <v>135</v>
      </c>
      <c r="BD130" t="s">
        <v>135</v>
      </c>
      <c r="BE130" t="s">
        <v>135</v>
      </c>
      <c r="BF130">
        <v>3.5066999999999999</v>
      </c>
      <c r="BG130">
        <v>7.2827999999999999</v>
      </c>
      <c r="BH130">
        <v>-2.9712000000000001</v>
      </c>
      <c r="BI130">
        <v>-3.9150999999999998</v>
      </c>
      <c r="BJ130">
        <v>-3.9649000000000001</v>
      </c>
      <c r="BK130" t="s">
        <v>135</v>
      </c>
      <c r="BL130" t="s">
        <v>135</v>
      </c>
      <c r="BM130" t="s">
        <v>135</v>
      </c>
      <c r="BN130" t="s">
        <v>135</v>
      </c>
      <c r="BO130" t="s">
        <v>135</v>
      </c>
      <c r="BP130" t="s">
        <v>135</v>
      </c>
      <c r="BQ130" t="s">
        <v>135</v>
      </c>
      <c r="BR130" t="s">
        <v>135</v>
      </c>
      <c r="BS130" t="s">
        <v>135</v>
      </c>
      <c r="BT130" t="s">
        <v>135</v>
      </c>
      <c r="BU130" t="s">
        <v>135</v>
      </c>
      <c r="BV130" t="s">
        <v>135</v>
      </c>
      <c r="BW130" t="s">
        <v>135</v>
      </c>
      <c r="BX130" t="s">
        <v>135</v>
      </c>
      <c r="BY130">
        <v>285870.90000000002</v>
      </c>
      <c r="BZ130">
        <v>54026.8</v>
      </c>
      <c r="CA130">
        <v>231844.1</v>
      </c>
      <c r="CB130">
        <v>4.8969000000000005</v>
      </c>
      <c r="CC130">
        <v>3.5630999999999999</v>
      </c>
      <c r="CD130">
        <v>13.300700000000001</v>
      </c>
      <c r="CE130">
        <v>9.6776999999999997</v>
      </c>
      <c r="CF130">
        <v>1.4868000000000001</v>
      </c>
      <c r="CG130">
        <v>14.944900000000001</v>
      </c>
      <c r="CH130">
        <v>287.78559999999999</v>
      </c>
      <c r="CI130">
        <v>63.270699999999998</v>
      </c>
      <c r="CJ130">
        <v>43.0092</v>
      </c>
      <c r="CK130">
        <v>354.8485</v>
      </c>
      <c r="CL130">
        <v>78.014700000000005</v>
      </c>
      <c r="CM130">
        <v>53.031599999999997</v>
      </c>
      <c r="CN130">
        <v>258.19189999999998</v>
      </c>
      <c r="CO130">
        <v>72.081999999999994</v>
      </c>
      <c r="CP130">
        <v>15745.9</v>
      </c>
      <c r="CQ130" t="s">
        <v>135</v>
      </c>
      <c r="CR130">
        <v>5074.8</v>
      </c>
      <c r="CS130" t="s">
        <v>135</v>
      </c>
      <c r="CT130" t="s">
        <v>135</v>
      </c>
      <c r="CU130" t="s">
        <v>135</v>
      </c>
      <c r="CV130" t="s">
        <v>135</v>
      </c>
      <c r="CW130" t="s">
        <v>135</v>
      </c>
      <c r="CX130" t="s">
        <v>135</v>
      </c>
      <c r="CY130" t="s">
        <v>135</v>
      </c>
      <c r="CZ130" t="s">
        <v>135</v>
      </c>
      <c r="DA130" t="s">
        <v>135</v>
      </c>
      <c r="DB130" t="s">
        <v>135</v>
      </c>
      <c r="DC130" t="s">
        <v>135</v>
      </c>
      <c r="DD130" t="s">
        <v>135</v>
      </c>
      <c r="DE130" t="s">
        <v>135</v>
      </c>
      <c r="DF130" t="s">
        <v>135</v>
      </c>
      <c r="DG130" t="s">
        <v>135</v>
      </c>
      <c r="DH130" t="s">
        <v>135</v>
      </c>
      <c r="DI130" t="s">
        <v>135</v>
      </c>
    </row>
    <row r="131" spans="4:113" x14ac:dyDescent="0.3">
      <c r="E131" t="s">
        <v>80</v>
      </c>
      <c r="F131" t="s">
        <v>135</v>
      </c>
      <c r="G131" t="s">
        <v>135</v>
      </c>
      <c r="H131" t="s">
        <v>135</v>
      </c>
      <c r="I131" t="s">
        <v>135</v>
      </c>
      <c r="J131">
        <v>72.559700000000007</v>
      </c>
      <c r="K131">
        <v>43.0413</v>
      </c>
      <c r="L131" t="s">
        <v>135</v>
      </c>
      <c r="M131">
        <v>21.0457</v>
      </c>
      <c r="N131">
        <v>30.2515</v>
      </c>
      <c r="O131">
        <v>14.787100000000001</v>
      </c>
      <c r="P131">
        <v>30.2515</v>
      </c>
      <c r="Q131">
        <v>29.7379</v>
      </c>
      <c r="R131" t="s">
        <v>135</v>
      </c>
      <c r="S131" t="s">
        <v>135</v>
      </c>
      <c r="T131">
        <v>22.064299999999999</v>
      </c>
      <c r="U131">
        <v>17.805900000000001</v>
      </c>
      <c r="V131">
        <v>-16.712</v>
      </c>
      <c r="W131">
        <v>-13.4495</v>
      </c>
      <c r="X131">
        <v>-13.422000000000001</v>
      </c>
      <c r="Y131" t="s">
        <v>135</v>
      </c>
      <c r="Z131" t="s">
        <v>135</v>
      </c>
      <c r="AA131" t="s">
        <v>135</v>
      </c>
      <c r="AB131" t="s">
        <v>135</v>
      </c>
      <c r="AC131" t="s">
        <v>135</v>
      </c>
      <c r="AD131" t="s">
        <v>135</v>
      </c>
      <c r="AE131" t="s">
        <v>135</v>
      </c>
      <c r="AF131" t="s">
        <v>135</v>
      </c>
      <c r="AG131" t="s">
        <v>135</v>
      </c>
      <c r="AH131" t="s">
        <v>135</v>
      </c>
      <c r="AI131" t="s">
        <v>135</v>
      </c>
      <c r="AJ131" t="s">
        <v>135</v>
      </c>
      <c r="AK131" t="s">
        <v>135</v>
      </c>
      <c r="AL131" t="s">
        <v>135</v>
      </c>
      <c r="AM131" t="s">
        <v>135</v>
      </c>
      <c r="AN131" t="s">
        <v>135</v>
      </c>
      <c r="AO131" t="s">
        <v>135</v>
      </c>
      <c r="AP131" t="s">
        <v>135</v>
      </c>
      <c r="AQ131" t="s">
        <v>135</v>
      </c>
      <c r="AR131" t="s">
        <v>135</v>
      </c>
      <c r="AS131" t="s">
        <v>135</v>
      </c>
      <c r="AT131" t="s">
        <v>135</v>
      </c>
      <c r="AU131" t="s">
        <v>135</v>
      </c>
      <c r="AV131" t="s">
        <v>135</v>
      </c>
      <c r="AW131" t="s">
        <v>135</v>
      </c>
      <c r="AX131" t="s">
        <v>135</v>
      </c>
      <c r="AY131" t="s">
        <v>135</v>
      </c>
      <c r="AZ131" t="s">
        <v>135</v>
      </c>
      <c r="BA131" t="s">
        <v>135</v>
      </c>
      <c r="BB131" t="s">
        <v>135</v>
      </c>
      <c r="BC131" t="s">
        <v>135</v>
      </c>
      <c r="BD131" t="s">
        <v>135</v>
      </c>
      <c r="BE131" t="s">
        <v>135</v>
      </c>
      <c r="BF131">
        <v>4.5895000000000001</v>
      </c>
      <c r="BG131">
        <v>1.234</v>
      </c>
      <c r="BH131">
        <v>-8.9245000000000001</v>
      </c>
      <c r="BI131">
        <v>-7.6947000000000001</v>
      </c>
      <c r="BJ131">
        <v>-7.6704999999999997</v>
      </c>
      <c r="BK131" t="s">
        <v>135</v>
      </c>
      <c r="BL131" t="s">
        <v>135</v>
      </c>
      <c r="BM131" t="s">
        <v>135</v>
      </c>
      <c r="BN131" t="s">
        <v>135</v>
      </c>
      <c r="BO131" t="s">
        <v>135</v>
      </c>
      <c r="BP131" t="s">
        <v>135</v>
      </c>
      <c r="BQ131" t="s">
        <v>135</v>
      </c>
      <c r="BR131" t="s">
        <v>135</v>
      </c>
      <c r="BS131" t="s">
        <v>135</v>
      </c>
      <c r="BT131" t="s">
        <v>135</v>
      </c>
      <c r="BU131" t="s">
        <v>135</v>
      </c>
      <c r="BV131" t="s">
        <v>135</v>
      </c>
      <c r="BW131" t="s">
        <v>135</v>
      </c>
      <c r="BX131" t="s">
        <v>135</v>
      </c>
      <c r="BY131" t="s">
        <v>135</v>
      </c>
      <c r="BZ131" t="s">
        <v>135</v>
      </c>
      <c r="CA131" t="s">
        <v>135</v>
      </c>
      <c r="CB131" t="s">
        <v>135</v>
      </c>
      <c r="CC131" t="s">
        <v>135</v>
      </c>
      <c r="CD131" t="s">
        <v>135</v>
      </c>
      <c r="CE131" t="s">
        <v>135</v>
      </c>
      <c r="CF131">
        <v>1.4194</v>
      </c>
      <c r="CG131" t="s">
        <v>135</v>
      </c>
      <c r="CH131" t="s">
        <v>135</v>
      </c>
      <c r="CI131" t="s">
        <v>135</v>
      </c>
      <c r="CJ131" t="s">
        <v>135</v>
      </c>
      <c r="CK131" t="s">
        <v>135</v>
      </c>
      <c r="CL131" t="s">
        <v>135</v>
      </c>
      <c r="CM131" t="s">
        <v>135</v>
      </c>
      <c r="CN131" t="s">
        <v>135</v>
      </c>
      <c r="CO131" t="s">
        <v>135</v>
      </c>
      <c r="CP131">
        <v>15940.2</v>
      </c>
      <c r="CQ131" t="s">
        <v>135</v>
      </c>
      <c r="CR131">
        <v>4621.8999999999996</v>
      </c>
      <c r="CS131" t="s">
        <v>135</v>
      </c>
      <c r="CT131" t="s">
        <v>135</v>
      </c>
      <c r="CU131" t="s">
        <v>135</v>
      </c>
      <c r="CV131" t="s">
        <v>135</v>
      </c>
      <c r="CW131" t="s">
        <v>135</v>
      </c>
      <c r="CX131" t="s">
        <v>135</v>
      </c>
      <c r="CY131" t="s">
        <v>135</v>
      </c>
      <c r="CZ131" t="s">
        <v>135</v>
      </c>
      <c r="DA131" t="s">
        <v>135</v>
      </c>
      <c r="DB131" t="s">
        <v>135</v>
      </c>
      <c r="DC131" t="s">
        <v>135</v>
      </c>
      <c r="DD131" t="s">
        <v>135</v>
      </c>
      <c r="DE131" t="s">
        <v>135</v>
      </c>
      <c r="DF131" t="s">
        <v>135</v>
      </c>
      <c r="DG131" t="s">
        <v>135</v>
      </c>
      <c r="DH131" t="s">
        <v>135</v>
      </c>
      <c r="DI131" t="s">
        <v>135</v>
      </c>
    </row>
    <row r="132" spans="4:113" x14ac:dyDescent="0.3">
      <c r="E132" t="s">
        <v>81</v>
      </c>
      <c r="F132">
        <v>17.137</v>
      </c>
      <c r="G132">
        <v>2.7269000000000001</v>
      </c>
      <c r="H132">
        <v>3.0910000000000002</v>
      </c>
      <c r="I132">
        <v>5.8822999999999999</v>
      </c>
      <c r="J132">
        <v>72.5471</v>
      </c>
      <c r="K132">
        <v>44.153300000000002</v>
      </c>
      <c r="L132" t="s">
        <v>135</v>
      </c>
      <c r="M132">
        <v>22.0609</v>
      </c>
      <c r="N132">
        <v>29.356300000000001</v>
      </c>
      <c r="O132">
        <v>14.649699999999999</v>
      </c>
      <c r="P132">
        <v>29.356300000000001</v>
      </c>
      <c r="Q132">
        <v>33.594099999999997</v>
      </c>
      <c r="R132" t="s">
        <v>135</v>
      </c>
      <c r="S132" t="s">
        <v>135</v>
      </c>
      <c r="T132">
        <v>12.7136</v>
      </c>
      <c r="U132">
        <v>8.1123999999999992</v>
      </c>
      <c r="V132">
        <v>-16.007200000000001</v>
      </c>
      <c r="W132">
        <v>-17.881900000000002</v>
      </c>
      <c r="X132">
        <v>-17.869800000000001</v>
      </c>
      <c r="Y132" t="s">
        <v>135</v>
      </c>
      <c r="Z132" t="s">
        <v>135</v>
      </c>
      <c r="AA132" t="s">
        <v>135</v>
      </c>
      <c r="AB132">
        <v>120.5562</v>
      </c>
      <c r="AC132">
        <v>10.6785</v>
      </c>
      <c r="AD132" t="s">
        <v>135</v>
      </c>
      <c r="AE132" t="s">
        <v>135</v>
      </c>
      <c r="AF132" t="s">
        <v>135</v>
      </c>
      <c r="AG132">
        <v>15.301399999999999</v>
      </c>
      <c r="AH132">
        <v>15.707699999999999</v>
      </c>
      <c r="AI132">
        <v>15.976100000000001</v>
      </c>
      <c r="AJ132">
        <v>15.7561</v>
      </c>
      <c r="AK132">
        <v>15.9665</v>
      </c>
      <c r="AL132" t="s">
        <v>135</v>
      </c>
      <c r="AM132">
        <v>17.059100000000001</v>
      </c>
      <c r="AN132">
        <v>15.259</v>
      </c>
      <c r="AO132">
        <v>-8.8454999999999995</v>
      </c>
      <c r="AP132">
        <v>15.4002</v>
      </c>
      <c r="AQ132">
        <v>14.059699999999999</v>
      </c>
      <c r="AR132" t="s">
        <v>135</v>
      </c>
      <c r="AS132" t="s">
        <v>135</v>
      </c>
      <c r="AT132" t="s">
        <v>135</v>
      </c>
      <c r="AU132">
        <v>2.6019000000000001</v>
      </c>
      <c r="AV132">
        <v>15.918100000000001</v>
      </c>
      <c r="AW132" t="s">
        <v>135</v>
      </c>
      <c r="AX132" t="s">
        <v>135</v>
      </c>
      <c r="AY132" t="s">
        <v>135</v>
      </c>
      <c r="AZ132">
        <v>31.292300000000001</v>
      </c>
      <c r="BA132">
        <v>13.9344</v>
      </c>
      <c r="BB132">
        <v>29.722799999999999</v>
      </c>
      <c r="BC132">
        <v>16.006499999999999</v>
      </c>
      <c r="BD132">
        <v>26.9328</v>
      </c>
      <c r="BE132" t="s">
        <v>135</v>
      </c>
      <c r="BF132">
        <v>-2.1566999999999998</v>
      </c>
      <c r="BG132">
        <v>-2.1737000000000002</v>
      </c>
      <c r="BH132">
        <v>2.4708000000000001</v>
      </c>
      <c r="BI132">
        <v>-3.0659999999999998</v>
      </c>
      <c r="BJ132">
        <v>-3.0726</v>
      </c>
      <c r="BK132" t="s">
        <v>135</v>
      </c>
      <c r="BL132" t="s">
        <v>135</v>
      </c>
      <c r="BM132" t="s">
        <v>135</v>
      </c>
      <c r="BN132" t="s">
        <v>135</v>
      </c>
      <c r="BO132" t="s">
        <v>135</v>
      </c>
      <c r="BP132" t="s">
        <v>135</v>
      </c>
      <c r="BQ132" t="s">
        <v>135</v>
      </c>
      <c r="BR132" t="s">
        <v>135</v>
      </c>
      <c r="BS132" t="s">
        <v>135</v>
      </c>
      <c r="BT132" t="s">
        <v>135</v>
      </c>
      <c r="BU132" t="s">
        <v>135</v>
      </c>
      <c r="BV132" t="s">
        <v>135</v>
      </c>
      <c r="BW132" t="s">
        <v>135</v>
      </c>
      <c r="BX132" t="s">
        <v>135</v>
      </c>
      <c r="BY132">
        <v>386304.712</v>
      </c>
      <c r="BZ132">
        <v>142343.88200000001</v>
      </c>
      <c r="CA132">
        <v>243960.83</v>
      </c>
      <c r="CB132">
        <v>6.2351000000000001</v>
      </c>
      <c r="CC132">
        <v>5.0861000000000001</v>
      </c>
      <c r="CD132">
        <v>19.6463</v>
      </c>
      <c r="CE132">
        <v>16.0261</v>
      </c>
      <c r="CF132">
        <v>1.4480999999999999</v>
      </c>
      <c r="CG132">
        <v>16.264900000000001</v>
      </c>
      <c r="CH132">
        <v>286.66950000000003</v>
      </c>
      <c r="CI132">
        <v>51.7517</v>
      </c>
      <c r="CJ132">
        <v>46.6265</v>
      </c>
      <c r="CK132">
        <v>453.93259999999998</v>
      </c>
      <c r="CL132">
        <v>81.947299999999998</v>
      </c>
      <c r="CM132">
        <v>73.831599999999995</v>
      </c>
      <c r="CN132">
        <v>370.28649999999999</v>
      </c>
      <c r="CO132">
        <v>78.736400000000003</v>
      </c>
      <c r="CP132">
        <v>15593.7</v>
      </c>
      <c r="CQ132" t="s">
        <v>135</v>
      </c>
      <c r="CR132">
        <v>4736.1000000000004</v>
      </c>
      <c r="CS132" t="s">
        <v>135</v>
      </c>
      <c r="CT132" t="s">
        <v>135</v>
      </c>
      <c r="CU132" t="s">
        <v>135</v>
      </c>
      <c r="CV132" t="s">
        <v>135</v>
      </c>
      <c r="CW132" t="s">
        <v>135</v>
      </c>
      <c r="CX132" t="s">
        <v>135</v>
      </c>
      <c r="CY132" t="s">
        <v>135</v>
      </c>
      <c r="CZ132" t="s">
        <v>135</v>
      </c>
      <c r="DA132" t="s">
        <v>135</v>
      </c>
      <c r="DB132" t="s">
        <v>135</v>
      </c>
      <c r="DC132" t="s">
        <v>135</v>
      </c>
      <c r="DD132" t="s">
        <v>135</v>
      </c>
      <c r="DE132" t="s">
        <v>135</v>
      </c>
      <c r="DF132" t="s">
        <v>135</v>
      </c>
      <c r="DG132" t="s">
        <v>135</v>
      </c>
      <c r="DH132" t="s">
        <v>135</v>
      </c>
      <c r="DI132" t="s">
        <v>135</v>
      </c>
    </row>
    <row r="133" spans="4:113" x14ac:dyDescent="0.3">
      <c r="D133" t="s">
        <v>82</v>
      </c>
      <c r="E133" t="s">
        <v>77</v>
      </c>
      <c r="F133">
        <v>11.571199999999999</v>
      </c>
      <c r="G133">
        <v>1.7966</v>
      </c>
      <c r="H133">
        <v>1.9950000000000001</v>
      </c>
      <c r="I133">
        <v>5.1481000000000003</v>
      </c>
      <c r="J133">
        <v>68.700800000000001</v>
      </c>
      <c r="K133">
        <v>36.128</v>
      </c>
      <c r="L133" t="s">
        <v>135</v>
      </c>
      <c r="M133">
        <v>17.969799999999999</v>
      </c>
      <c r="N133">
        <v>22.524699999999999</v>
      </c>
      <c r="O133">
        <v>11.2036</v>
      </c>
      <c r="P133">
        <v>22.524699999999999</v>
      </c>
      <c r="Q133">
        <v>37.653199999999998</v>
      </c>
      <c r="R133">
        <v>22.0608</v>
      </c>
      <c r="S133">
        <v>9.0184999999999995</v>
      </c>
      <c r="T133">
        <v>8.2477999999999998</v>
      </c>
      <c r="U133">
        <v>3.6779000000000002</v>
      </c>
      <c r="V133">
        <v>-16.285900000000002</v>
      </c>
      <c r="W133">
        <v>-24.264199999999999</v>
      </c>
      <c r="X133">
        <v>-24.2607</v>
      </c>
      <c r="Y133">
        <v>42.857100000000003</v>
      </c>
      <c r="Z133" t="s">
        <v>135</v>
      </c>
      <c r="AA133" t="s">
        <v>135</v>
      </c>
      <c r="AB133">
        <v>6.4699999999999994E-2</v>
      </c>
      <c r="AC133">
        <v>18.767299999999999</v>
      </c>
      <c r="AD133" t="s">
        <v>135</v>
      </c>
      <c r="AE133" t="s">
        <v>135</v>
      </c>
      <c r="AF133" t="s">
        <v>135</v>
      </c>
      <c r="AG133">
        <v>-2.7781000000000002</v>
      </c>
      <c r="AH133">
        <v>20.8748</v>
      </c>
      <c r="AI133">
        <v>8.8793000000000006</v>
      </c>
      <c r="AJ133">
        <v>18.709299999999999</v>
      </c>
      <c r="AK133">
        <v>8.8793000000000006</v>
      </c>
      <c r="AL133">
        <v>-137.0284</v>
      </c>
      <c r="AM133">
        <v>15.345599999999999</v>
      </c>
      <c r="AN133">
        <v>11.950699999999999</v>
      </c>
      <c r="AO133">
        <v>4.4861000000000004</v>
      </c>
      <c r="AP133">
        <v>3.331</v>
      </c>
      <c r="AQ133">
        <v>2.0731000000000002</v>
      </c>
      <c r="AR133">
        <v>10.756600000000001</v>
      </c>
      <c r="AS133" t="s">
        <v>135</v>
      </c>
      <c r="AT133" t="s">
        <v>135</v>
      </c>
      <c r="AU133">
        <v>26.861999999999998</v>
      </c>
      <c r="AV133">
        <v>18.168800000000001</v>
      </c>
      <c r="AW133" t="s">
        <v>135</v>
      </c>
      <c r="AX133" t="s">
        <v>135</v>
      </c>
      <c r="AY133" t="s">
        <v>135</v>
      </c>
      <c r="AZ133">
        <v>71.0411</v>
      </c>
      <c r="BA133">
        <v>20.3947</v>
      </c>
      <c r="BB133">
        <v>19.238700000000001</v>
      </c>
      <c r="BC133">
        <v>20.198599999999999</v>
      </c>
      <c r="BD133">
        <v>19.094899999999999</v>
      </c>
      <c r="BE133" t="s">
        <v>135</v>
      </c>
      <c r="BF133">
        <v>8.2477999999999998</v>
      </c>
      <c r="BG133">
        <v>3.6779000000000002</v>
      </c>
      <c r="BH133">
        <v>-16.285900000000002</v>
      </c>
      <c r="BI133">
        <v>-24.264199999999999</v>
      </c>
      <c r="BJ133">
        <v>-24.2607</v>
      </c>
      <c r="BK133">
        <v>42.857100000000003</v>
      </c>
      <c r="BL133">
        <v>56.741999999999997</v>
      </c>
      <c r="BM133" t="s">
        <v>135</v>
      </c>
      <c r="BN133">
        <v>6.4699999999999994E-2</v>
      </c>
      <c r="BO133">
        <v>18.767299999999999</v>
      </c>
      <c r="BP133" t="s">
        <v>135</v>
      </c>
      <c r="BQ133" t="s">
        <v>135</v>
      </c>
      <c r="BR133" t="s">
        <v>135</v>
      </c>
      <c r="BS133">
        <v>-2.7781000000000002</v>
      </c>
      <c r="BT133">
        <v>20.8748</v>
      </c>
      <c r="BU133">
        <v>8.8793000000000006</v>
      </c>
      <c r="BV133">
        <v>18.709299999999999</v>
      </c>
      <c r="BW133">
        <v>8.8793000000000006</v>
      </c>
      <c r="BX133" t="s">
        <v>135</v>
      </c>
      <c r="BY133">
        <v>466945.19199999998</v>
      </c>
      <c r="BZ133">
        <v>138389.36199999999</v>
      </c>
      <c r="CA133">
        <v>328555.83</v>
      </c>
      <c r="CB133">
        <v>7.4042000000000003</v>
      </c>
      <c r="CC133">
        <v>6.6493000000000002</v>
      </c>
      <c r="CD133">
        <v>28.307300000000001</v>
      </c>
      <c r="CE133">
        <v>25.420999999999999</v>
      </c>
      <c r="CF133">
        <v>1.3669</v>
      </c>
      <c r="CG133">
        <v>14.9079</v>
      </c>
      <c r="CH133">
        <v>354.58909999999997</v>
      </c>
      <c r="CI133">
        <v>58.712299999999999</v>
      </c>
      <c r="CJ133">
        <v>52.861899999999999</v>
      </c>
      <c r="CK133">
        <v>503.94389999999999</v>
      </c>
      <c r="CL133">
        <v>83.4422</v>
      </c>
      <c r="CM133">
        <v>75.127600000000001</v>
      </c>
      <c r="CN133">
        <v>452.55950000000001</v>
      </c>
      <c r="CO133">
        <v>81.9024</v>
      </c>
      <c r="CP133">
        <v>63064.661999999997</v>
      </c>
      <c r="CQ133">
        <v>62612.351999999999</v>
      </c>
      <c r="CR133">
        <v>16495.555</v>
      </c>
      <c r="CS133" t="s">
        <v>135</v>
      </c>
      <c r="CT133" t="s">
        <v>135</v>
      </c>
      <c r="CU133" t="s">
        <v>135</v>
      </c>
      <c r="CV133" t="s">
        <v>135</v>
      </c>
      <c r="CW133" t="s">
        <v>135</v>
      </c>
      <c r="CX133" t="s">
        <v>135</v>
      </c>
      <c r="CY133" t="s">
        <v>135</v>
      </c>
      <c r="CZ133" t="s">
        <v>135</v>
      </c>
      <c r="DA133" t="s">
        <v>135</v>
      </c>
      <c r="DB133" t="s">
        <v>135</v>
      </c>
      <c r="DC133" t="s">
        <v>135</v>
      </c>
      <c r="DD133" t="s">
        <v>135</v>
      </c>
      <c r="DE133" t="s">
        <v>135</v>
      </c>
      <c r="DF133" t="s">
        <v>135</v>
      </c>
      <c r="DG133" t="s">
        <v>135</v>
      </c>
      <c r="DH133" t="s">
        <v>135</v>
      </c>
      <c r="DI133" t="s">
        <v>135</v>
      </c>
    </row>
    <row r="134" spans="4:113" x14ac:dyDescent="0.3">
      <c r="E134" t="s">
        <v>78</v>
      </c>
      <c r="F134" t="s">
        <v>135</v>
      </c>
      <c r="G134" t="s">
        <v>135</v>
      </c>
      <c r="H134" t="s">
        <v>135</v>
      </c>
      <c r="I134" t="s">
        <v>135</v>
      </c>
      <c r="J134">
        <v>70.550700000000006</v>
      </c>
      <c r="K134">
        <v>41.2425</v>
      </c>
      <c r="L134" t="s">
        <v>135</v>
      </c>
      <c r="M134">
        <v>21.054200000000002</v>
      </c>
      <c r="N134">
        <v>28.527699999999999</v>
      </c>
      <c r="O134">
        <v>14.5563</v>
      </c>
      <c r="P134">
        <v>28.527699999999999</v>
      </c>
      <c r="Q134">
        <v>30.863099999999999</v>
      </c>
      <c r="R134" t="s">
        <v>135</v>
      </c>
      <c r="S134" t="s">
        <v>135</v>
      </c>
      <c r="T134">
        <v>5.9287000000000001</v>
      </c>
      <c r="U134">
        <v>3.3283</v>
      </c>
      <c r="V134">
        <v>-13.51</v>
      </c>
      <c r="W134">
        <v>-14.571199999999999</v>
      </c>
      <c r="X134">
        <v>-14.613</v>
      </c>
      <c r="Y134" t="s">
        <v>135</v>
      </c>
      <c r="Z134" t="s">
        <v>135</v>
      </c>
      <c r="AA134" t="s">
        <v>135</v>
      </c>
      <c r="AB134" t="s">
        <v>135</v>
      </c>
      <c r="AC134" t="s">
        <v>135</v>
      </c>
      <c r="AD134" t="s">
        <v>135</v>
      </c>
      <c r="AE134" t="s">
        <v>135</v>
      </c>
      <c r="AF134" t="s">
        <v>135</v>
      </c>
      <c r="AG134" t="s">
        <v>135</v>
      </c>
      <c r="AH134" t="s">
        <v>135</v>
      </c>
      <c r="AI134" t="s">
        <v>135</v>
      </c>
      <c r="AJ134" t="s">
        <v>135</v>
      </c>
      <c r="AK134" t="s">
        <v>135</v>
      </c>
      <c r="AL134" t="s">
        <v>135</v>
      </c>
      <c r="AM134" t="s">
        <v>135</v>
      </c>
      <c r="AN134" t="s">
        <v>135</v>
      </c>
      <c r="AO134" t="s">
        <v>135</v>
      </c>
      <c r="AP134" t="s">
        <v>135</v>
      </c>
      <c r="AQ134" t="s">
        <v>135</v>
      </c>
      <c r="AR134" t="s">
        <v>135</v>
      </c>
      <c r="AS134" t="s">
        <v>135</v>
      </c>
      <c r="AT134" t="s">
        <v>135</v>
      </c>
      <c r="AU134" t="s">
        <v>135</v>
      </c>
      <c r="AV134" t="s">
        <v>135</v>
      </c>
      <c r="AW134" t="s">
        <v>135</v>
      </c>
      <c r="AX134" t="s">
        <v>135</v>
      </c>
      <c r="AY134" t="s">
        <v>135</v>
      </c>
      <c r="AZ134" t="s">
        <v>135</v>
      </c>
      <c r="BA134" t="s">
        <v>135</v>
      </c>
      <c r="BB134" t="s">
        <v>135</v>
      </c>
      <c r="BC134" t="s">
        <v>135</v>
      </c>
      <c r="BD134" t="s">
        <v>135</v>
      </c>
      <c r="BE134" t="s">
        <v>135</v>
      </c>
      <c r="BF134">
        <v>2.3E-3</v>
      </c>
      <c r="BG134">
        <v>-3.1570999999999998</v>
      </c>
      <c r="BH134">
        <v>-4.5029000000000003</v>
      </c>
      <c r="BI134">
        <v>-0.63200000000000001</v>
      </c>
      <c r="BJ134">
        <v>-0.64839999999999998</v>
      </c>
      <c r="BK134" t="s">
        <v>135</v>
      </c>
      <c r="BL134" t="s">
        <v>135</v>
      </c>
      <c r="BM134" t="s">
        <v>135</v>
      </c>
      <c r="BN134" t="s">
        <v>135</v>
      </c>
      <c r="BO134" t="s">
        <v>135</v>
      </c>
      <c r="BP134" t="s">
        <v>135</v>
      </c>
      <c r="BQ134" t="s">
        <v>135</v>
      </c>
      <c r="BR134" t="s">
        <v>135</v>
      </c>
      <c r="BS134" t="s">
        <v>135</v>
      </c>
      <c r="BT134" t="s">
        <v>135</v>
      </c>
      <c r="BU134" t="s">
        <v>135</v>
      </c>
      <c r="BV134" t="s">
        <v>135</v>
      </c>
      <c r="BW134" t="s">
        <v>135</v>
      </c>
      <c r="BX134" t="s">
        <v>135</v>
      </c>
      <c r="BY134" t="s">
        <v>135</v>
      </c>
      <c r="BZ134" t="s">
        <v>135</v>
      </c>
      <c r="CA134" t="s">
        <v>135</v>
      </c>
      <c r="CB134" t="s">
        <v>135</v>
      </c>
      <c r="CC134" t="s">
        <v>135</v>
      </c>
      <c r="CD134" t="s">
        <v>135</v>
      </c>
      <c r="CE134" t="s">
        <v>135</v>
      </c>
      <c r="CF134">
        <v>1.4405000000000001</v>
      </c>
      <c r="CG134" t="s">
        <v>135</v>
      </c>
      <c r="CH134" t="s">
        <v>135</v>
      </c>
      <c r="CI134" t="s">
        <v>135</v>
      </c>
      <c r="CJ134" t="s">
        <v>135</v>
      </c>
      <c r="CK134" t="s">
        <v>135</v>
      </c>
      <c r="CL134" t="s">
        <v>135</v>
      </c>
      <c r="CM134" t="s">
        <v>135</v>
      </c>
      <c r="CN134" t="s">
        <v>135</v>
      </c>
      <c r="CO134" t="s">
        <v>135</v>
      </c>
      <c r="CP134">
        <v>15165.5</v>
      </c>
      <c r="CQ134" t="s">
        <v>135</v>
      </c>
      <c r="CR134">
        <v>4523.6000000000004</v>
      </c>
      <c r="CS134" t="s">
        <v>135</v>
      </c>
      <c r="CT134" t="s">
        <v>135</v>
      </c>
      <c r="CU134" t="s">
        <v>135</v>
      </c>
      <c r="CV134" t="s">
        <v>135</v>
      </c>
      <c r="CW134" t="s">
        <v>135</v>
      </c>
      <c r="CX134" t="s">
        <v>135</v>
      </c>
      <c r="CY134" t="s">
        <v>135</v>
      </c>
      <c r="CZ134" t="s">
        <v>135</v>
      </c>
      <c r="DA134" t="s">
        <v>135</v>
      </c>
      <c r="DB134" t="s">
        <v>135</v>
      </c>
      <c r="DC134" t="s">
        <v>135</v>
      </c>
      <c r="DD134" t="s">
        <v>135</v>
      </c>
      <c r="DE134" t="s">
        <v>135</v>
      </c>
      <c r="DF134" t="s">
        <v>135</v>
      </c>
      <c r="DG134" t="s">
        <v>135</v>
      </c>
      <c r="DH134" t="s">
        <v>135</v>
      </c>
      <c r="DI134" t="s">
        <v>135</v>
      </c>
    </row>
    <row r="135" spans="4:113" x14ac:dyDescent="0.3">
      <c r="E135" t="s">
        <v>79</v>
      </c>
      <c r="F135">
        <v>14.6927</v>
      </c>
      <c r="G135">
        <v>2.2654999999999998</v>
      </c>
      <c r="H135">
        <v>3.2082000000000002</v>
      </c>
      <c r="I135">
        <v>6.6516999999999999</v>
      </c>
      <c r="J135">
        <v>72.391599999999997</v>
      </c>
      <c r="K135">
        <v>42.089300000000001</v>
      </c>
      <c r="L135" t="s">
        <v>135</v>
      </c>
      <c r="M135">
        <v>20.472799999999999</v>
      </c>
      <c r="N135">
        <v>28.252700000000001</v>
      </c>
      <c r="O135">
        <v>13.7164</v>
      </c>
      <c r="P135">
        <v>28.252700000000001</v>
      </c>
      <c r="Q135">
        <v>33.002000000000002</v>
      </c>
      <c r="R135" t="s">
        <v>135</v>
      </c>
      <c r="S135" t="s">
        <v>135</v>
      </c>
      <c r="T135">
        <v>7.6135999999999999</v>
      </c>
      <c r="U135">
        <v>3.9198</v>
      </c>
      <c r="V135">
        <v>-8.9855999999999998</v>
      </c>
      <c r="W135">
        <v>-11.902900000000001</v>
      </c>
      <c r="X135">
        <v>-11.861499999999999</v>
      </c>
      <c r="Y135" t="s">
        <v>135</v>
      </c>
      <c r="Z135" t="s">
        <v>135</v>
      </c>
      <c r="AA135" t="s">
        <v>135</v>
      </c>
      <c r="AB135">
        <v>76.579300000000003</v>
      </c>
      <c r="AC135">
        <v>6.7907000000000002</v>
      </c>
      <c r="AD135" t="s">
        <v>135</v>
      </c>
      <c r="AE135" t="s">
        <v>135</v>
      </c>
      <c r="AF135" t="s">
        <v>135</v>
      </c>
      <c r="AG135">
        <v>-17.4102</v>
      </c>
      <c r="AH135">
        <v>15.2338</v>
      </c>
      <c r="AI135">
        <v>13.351699999999999</v>
      </c>
      <c r="AJ135">
        <v>14.82</v>
      </c>
      <c r="AK135">
        <v>13.351699999999999</v>
      </c>
      <c r="AL135" t="s">
        <v>135</v>
      </c>
      <c r="AM135" t="s">
        <v>135</v>
      </c>
      <c r="AN135" t="s">
        <v>135</v>
      </c>
      <c r="AO135" t="s">
        <v>135</v>
      </c>
      <c r="AP135" t="s">
        <v>135</v>
      </c>
      <c r="AQ135" t="s">
        <v>135</v>
      </c>
      <c r="AR135" t="s">
        <v>135</v>
      </c>
      <c r="AS135" t="s">
        <v>135</v>
      </c>
      <c r="AT135" t="s">
        <v>135</v>
      </c>
      <c r="AU135" t="s">
        <v>135</v>
      </c>
      <c r="AV135" t="s">
        <v>135</v>
      </c>
      <c r="AW135" t="s">
        <v>135</v>
      </c>
      <c r="AX135" t="s">
        <v>135</v>
      </c>
      <c r="AY135" t="s">
        <v>135</v>
      </c>
      <c r="AZ135" t="s">
        <v>135</v>
      </c>
      <c r="BA135" t="s">
        <v>135</v>
      </c>
      <c r="BB135" t="s">
        <v>135</v>
      </c>
      <c r="BC135" t="s">
        <v>135</v>
      </c>
      <c r="BD135" t="s">
        <v>135</v>
      </c>
      <c r="BE135" t="s">
        <v>135</v>
      </c>
      <c r="BF135">
        <v>5.1531000000000002</v>
      </c>
      <c r="BG135">
        <v>7.8969000000000005</v>
      </c>
      <c r="BH135">
        <v>2.1044999999999998</v>
      </c>
      <c r="BI135">
        <v>-0.91400000000000003</v>
      </c>
      <c r="BJ135">
        <v>-0.87019999999999997</v>
      </c>
      <c r="BK135" t="s">
        <v>135</v>
      </c>
      <c r="BL135" t="s">
        <v>135</v>
      </c>
      <c r="BM135" t="s">
        <v>135</v>
      </c>
      <c r="BN135" t="s">
        <v>135</v>
      </c>
      <c r="BO135" t="s">
        <v>135</v>
      </c>
      <c r="BP135" t="s">
        <v>135</v>
      </c>
      <c r="BQ135" t="s">
        <v>135</v>
      </c>
      <c r="BR135" t="s">
        <v>135</v>
      </c>
      <c r="BS135" t="s">
        <v>135</v>
      </c>
      <c r="BT135" t="s">
        <v>135</v>
      </c>
      <c r="BU135" t="s">
        <v>135</v>
      </c>
      <c r="BV135" t="s">
        <v>135</v>
      </c>
      <c r="BW135" t="s">
        <v>135</v>
      </c>
      <c r="BX135" t="s">
        <v>135</v>
      </c>
      <c r="BY135">
        <v>329419.90000000002</v>
      </c>
      <c r="BZ135">
        <v>44620.6</v>
      </c>
      <c r="CA135">
        <v>284799.3</v>
      </c>
      <c r="CB135">
        <v>5.2182000000000004</v>
      </c>
      <c r="CC135">
        <v>4.2302</v>
      </c>
      <c r="CD135">
        <v>17.805299999999999</v>
      </c>
      <c r="CE135">
        <v>14.4339</v>
      </c>
      <c r="CF135">
        <v>1.407</v>
      </c>
      <c r="CG135">
        <v>15.863099999999999</v>
      </c>
      <c r="CH135">
        <v>311.87740000000002</v>
      </c>
      <c r="CI135">
        <v>67.6905</v>
      </c>
      <c r="CJ135">
        <v>49.473300000000002</v>
      </c>
      <c r="CK135">
        <v>360.7405</v>
      </c>
      <c r="CL135">
        <v>78.2958</v>
      </c>
      <c r="CM135">
        <v>57.224499999999999</v>
      </c>
      <c r="CN135">
        <v>292.4348</v>
      </c>
      <c r="CO135">
        <v>74.518100000000004</v>
      </c>
      <c r="CP135">
        <v>16363.1</v>
      </c>
      <c r="CQ135" t="s">
        <v>135</v>
      </c>
      <c r="CR135">
        <v>4618.8</v>
      </c>
      <c r="CS135" t="s">
        <v>135</v>
      </c>
      <c r="CT135" t="s">
        <v>135</v>
      </c>
      <c r="CU135" t="s">
        <v>135</v>
      </c>
      <c r="CV135" t="s">
        <v>135</v>
      </c>
      <c r="CW135" t="s">
        <v>135</v>
      </c>
      <c r="CX135" t="s">
        <v>135</v>
      </c>
      <c r="CY135" t="s">
        <v>135</v>
      </c>
      <c r="CZ135" t="s">
        <v>135</v>
      </c>
      <c r="DA135" t="s">
        <v>135</v>
      </c>
      <c r="DB135" t="s">
        <v>135</v>
      </c>
      <c r="DC135" t="s">
        <v>135</v>
      </c>
      <c r="DD135" t="s">
        <v>135</v>
      </c>
      <c r="DE135" t="s">
        <v>135</v>
      </c>
      <c r="DF135" t="s">
        <v>135</v>
      </c>
      <c r="DG135" t="s">
        <v>135</v>
      </c>
      <c r="DH135" t="s">
        <v>135</v>
      </c>
      <c r="DI135" t="s">
        <v>135</v>
      </c>
    </row>
    <row r="136" spans="4:113" x14ac:dyDescent="0.3">
      <c r="E136" t="s">
        <v>80</v>
      </c>
      <c r="F136" t="s">
        <v>135</v>
      </c>
      <c r="G136" t="s">
        <v>135</v>
      </c>
      <c r="H136" t="s">
        <v>135</v>
      </c>
      <c r="I136" t="s">
        <v>135</v>
      </c>
      <c r="J136">
        <v>72.447900000000004</v>
      </c>
      <c r="K136">
        <v>42.359400000000001</v>
      </c>
      <c r="L136">
        <v>31.243400000000001</v>
      </c>
      <c r="M136">
        <v>20.626999999999999</v>
      </c>
      <c r="N136">
        <v>28.189</v>
      </c>
      <c r="O136">
        <v>13.695499999999999</v>
      </c>
      <c r="P136">
        <v>28.189</v>
      </c>
      <c r="Q136">
        <v>33.604100000000003</v>
      </c>
      <c r="R136" t="s">
        <v>135</v>
      </c>
      <c r="S136" t="s">
        <v>135</v>
      </c>
      <c r="T136">
        <v>6.7811000000000003</v>
      </c>
      <c r="U136">
        <v>6.6166</v>
      </c>
      <c r="V136">
        <v>4.4527000000000001</v>
      </c>
      <c r="W136">
        <v>-1.1020000000000001</v>
      </c>
      <c r="X136">
        <v>-1.1173</v>
      </c>
      <c r="Y136" t="s">
        <v>135</v>
      </c>
      <c r="Z136" t="s">
        <v>135</v>
      </c>
      <c r="AA136" t="s">
        <v>135</v>
      </c>
      <c r="AB136" t="s">
        <v>135</v>
      </c>
      <c r="AC136" t="s">
        <v>135</v>
      </c>
      <c r="AD136" t="s">
        <v>135</v>
      </c>
      <c r="AE136" t="s">
        <v>135</v>
      </c>
      <c r="AF136" t="s">
        <v>135</v>
      </c>
      <c r="AG136" t="s">
        <v>135</v>
      </c>
      <c r="AH136" t="s">
        <v>135</v>
      </c>
      <c r="AI136" t="s">
        <v>135</v>
      </c>
      <c r="AJ136" t="s">
        <v>135</v>
      </c>
      <c r="AK136" t="s">
        <v>135</v>
      </c>
      <c r="AL136" t="s">
        <v>135</v>
      </c>
      <c r="AM136" t="s">
        <v>135</v>
      </c>
      <c r="AN136" t="s">
        <v>135</v>
      </c>
      <c r="AO136" t="s">
        <v>135</v>
      </c>
      <c r="AP136" t="s">
        <v>135</v>
      </c>
      <c r="AQ136" t="s">
        <v>135</v>
      </c>
      <c r="AR136" t="s">
        <v>135</v>
      </c>
      <c r="AS136" t="s">
        <v>135</v>
      </c>
      <c r="AT136" t="s">
        <v>135</v>
      </c>
      <c r="AU136" t="s">
        <v>135</v>
      </c>
      <c r="AV136" t="s">
        <v>135</v>
      </c>
      <c r="AW136" t="s">
        <v>135</v>
      </c>
      <c r="AX136" t="s">
        <v>135</v>
      </c>
      <c r="AY136" t="s">
        <v>135</v>
      </c>
      <c r="AZ136" t="s">
        <v>135</v>
      </c>
      <c r="BA136" t="s">
        <v>135</v>
      </c>
      <c r="BB136" t="s">
        <v>135</v>
      </c>
      <c r="BC136" t="s">
        <v>135</v>
      </c>
      <c r="BD136" t="s">
        <v>135</v>
      </c>
      <c r="BE136" t="s">
        <v>135</v>
      </c>
      <c r="BF136">
        <v>3.7804000000000002</v>
      </c>
      <c r="BG136">
        <v>3.8611</v>
      </c>
      <c r="BH136">
        <v>4.5228000000000002</v>
      </c>
      <c r="BI136">
        <v>3.6221000000000001</v>
      </c>
      <c r="BJ136">
        <v>3.5845000000000002</v>
      </c>
      <c r="BK136" t="s">
        <v>135</v>
      </c>
      <c r="BL136" t="s">
        <v>135</v>
      </c>
      <c r="BM136" t="s">
        <v>135</v>
      </c>
      <c r="BN136" t="s">
        <v>135</v>
      </c>
      <c r="BO136" t="s">
        <v>135</v>
      </c>
      <c r="BP136" t="s">
        <v>135</v>
      </c>
      <c r="BQ136" t="s">
        <v>135</v>
      </c>
      <c r="BR136" t="s">
        <v>135</v>
      </c>
      <c r="BS136" t="s">
        <v>135</v>
      </c>
      <c r="BT136" t="s">
        <v>135</v>
      </c>
      <c r="BU136" t="s">
        <v>135</v>
      </c>
      <c r="BV136" t="s">
        <v>135</v>
      </c>
      <c r="BW136" t="s">
        <v>135</v>
      </c>
      <c r="BX136" t="s">
        <v>135</v>
      </c>
      <c r="BY136" t="s">
        <v>135</v>
      </c>
      <c r="BZ136" t="s">
        <v>135</v>
      </c>
      <c r="CA136" t="s">
        <v>135</v>
      </c>
      <c r="CB136" t="s">
        <v>135</v>
      </c>
      <c r="CC136" t="s">
        <v>135</v>
      </c>
      <c r="CD136" t="s">
        <v>135</v>
      </c>
      <c r="CE136" t="s">
        <v>135</v>
      </c>
      <c r="CF136">
        <v>1.4091</v>
      </c>
      <c r="CG136" t="s">
        <v>135</v>
      </c>
      <c r="CH136" t="s">
        <v>135</v>
      </c>
      <c r="CI136" t="s">
        <v>135</v>
      </c>
      <c r="CJ136" t="s">
        <v>135</v>
      </c>
      <c r="CK136" t="s">
        <v>135</v>
      </c>
      <c r="CL136" t="s">
        <v>135</v>
      </c>
      <c r="CM136" t="s">
        <v>135</v>
      </c>
      <c r="CN136" t="s">
        <v>135</v>
      </c>
      <c r="CO136" t="s">
        <v>135</v>
      </c>
      <c r="CP136">
        <v>16994.900000000001</v>
      </c>
      <c r="CQ136" t="s">
        <v>135</v>
      </c>
      <c r="CR136">
        <v>4827.7</v>
      </c>
      <c r="CS136" t="s">
        <v>135</v>
      </c>
      <c r="CT136" t="s">
        <v>135</v>
      </c>
      <c r="CU136" t="s">
        <v>135</v>
      </c>
      <c r="CV136" t="s">
        <v>135</v>
      </c>
      <c r="CW136" t="s">
        <v>135</v>
      </c>
      <c r="CX136" t="s">
        <v>135</v>
      </c>
      <c r="CY136" t="s">
        <v>135</v>
      </c>
      <c r="CZ136" t="s">
        <v>135</v>
      </c>
      <c r="DA136" t="s">
        <v>135</v>
      </c>
      <c r="DB136" t="s">
        <v>135</v>
      </c>
      <c r="DC136" t="s">
        <v>135</v>
      </c>
      <c r="DD136" t="s">
        <v>135</v>
      </c>
      <c r="DE136" t="s">
        <v>135</v>
      </c>
      <c r="DF136" t="s">
        <v>135</v>
      </c>
      <c r="DG136" t="s">
        <v>135</v>
      </c>
      <c r="DH136" t="s">
        <v>135</v>
      </c>
      <c r="DI136" t="s">
        <v>135</v>
      </c>
    </row>
    <row r="137" spans="4:113" x14ac:dyDescent="0.3">
      <c r="E137" t="s">
        <v>81</v>
      </c>
      <c r="F137">
        <v>11.571099999999999</v>
      </c>
      <c r="G137">
        <v>1.7966</v>
      </c>
      <c r="H137">
        <v>1.9950000000000001</v>
      </c>
      <c r="I137">
        <v>5.1449999999999996</v>
      </c>
      <c r="J137">
        <v>62.478400000000001</v>
      </c>
      <c r="K137">
        <v>21.406300000000002</v>
      </c>
      <c r="L137" t="s">
        <v>135</v>
      </c>
      <c r="M137">
        <v>10.341100000000001</v>
      </c>
      <c r="N137">
        <v>7.2112999999999996</v>
      </c>
      <c r="O137">
        <v>3.4794</v>
      </c>
      <c r="P137">
        <v>7.2112999999999996</v>
      </c>
      <c r="Q137">
        <v>66.353800000000007</v>
      </c>
      <c r="R137" t="s">
        <v>135</v>
      </c>
      <c r="S137" t="s">
        <v>135</v>
      </c>
      <c r="T137">
        <v>12.6204</v>
      </c>
      <c r="U137">
        <v>-3.4163999999999999</v>
      </c>
      <c r="V137">
        <v>-47.216500000000003</v>
      </c>
      <c r="W137">
        <v>-73.251000000000005</v>
      </c>
      <c r="X137">
        <v>-73.270899999999997</v>
      </c>
      <c r="Y137" t="s">
        <v>135</v>
      </c>
      <c r="Z137" t="s">
        <v>135</v>
      </c>
      <c r="AA137" t="s">
        <v>135</v>
      </c>
      <c r="AB137">
        <v>6.4699999999999994E-2</v>
      </c>
      <c r="AC137">
        <v>18.767299999999999</v>
      </c>
      <c r="AD137" t="s">
        <v>135</v>
      </c>
      <c r="AE137" t="s">
        <v>135</v>
      </c>
      <c r="AF137" t="s">
        <v>135</v>
      </c>
      <c r="AG137">
        <v>-2.7781000000000002</v>
      </c>
      <c r="AH137">
        <v>20.8748</v>
      </c>
      <c r="AI137">
        <v>8.8793000000000006</v>
      </c>
      <c r="AJ137">
        <v>18.709299999999999</v>
      </c>
      <c r="AK137">
        <v>8.8793000000000006</v>
      </c>
      <c r="AL137" t="s">
        <v>135</v>
      </c>
      <c r="AM137">
        <v>15.023400000000001</v>
      </c>
      <c r="AN137">
        <v>9.4548000000000005</v>
      </c>
      <c r="AO137">
        <v>-8.3533000000000008</v>
      </c>
      <c r="AP137">
        <v>-20.4498</v>
      </c>
      <c r="AQ137">
        <v>-20.7927</v>
      </c>
      <c r="AR137" t="s">
        <v>135</v>
      </c>
      <c r="AS137" t="s">
        <v>135</v>
      </c>
      <c r="AT137" t="s">
        <v>135</v>
      </c>
      <c r="AU137">
        <v>26.861999999999998</v>
      </c>
      <c r="AV137">
        <v>18.168800000000001</v>
      </c>
      <c r="AW137" t="s">
        <v>135</v>
      </c>
      <c r="AX137" t="s">
        <v>135</v>
      </c>
      <c r="AY137" t="s">
        <v>135</v>
      </c>
      <c r="AZ137">
        <v>71.0411</v>
      </c>
      <c r="BA137">
        <v>20.3947</v>
      </c>
      <c r="BB137">
        <v>19.238700000000001</v>
      </c>
      <c r="BC137">
        <v>20.198599999999999</v>
      </c>
      <c r="BD137">
        <v>19.094899999999999</v>
      </c>
      <c r="BE137" t="s">
        <v>135</v>
      </c>
      <c r="BF137">
        <v>3.1976</v>
      </c>
      <c r="BG137">
        <v>-11.003299999999999</v>
      </c>
      <c r="BH137">
        <v>-48.209299999999999</v>
      </c>
      <c r="BI137">
        <v>-73.782200000000003</v>
      </c>
      <c r="BJ137">
        <v>-73.799400000000006</v>
      </c>
      <c r="BK137" t="s">
        <v>135</v>
      </c>
      <c r="BL137" t="s">
        <v>135</v>
      </c>
      <c r="BM137" t="s">
        <v>135</v>
      </c>
      <c r="BN137" t="s">
        <v>135</v>
      </c>
      <c r="BO137" t="s">
        <v>135</v>
      </c>
      <c r="BP137" t="s">
        <v>135</v>
      </c>
      <c r="BQ137" t="s">
        <v>135</v>
      </c>
      <c r="BR137" t="s">
        <v>135</v>
      </c>
      <c r="BS137" t="s">
        <v>135</v>
      </c>
      <c r="BT137" t="s">
        <v>135</v>
      </c>
      <c r="BU137" t="s">
        <v>135</v>
      </c>
      <c r="BV137" t="s">
        <v>135</v>
      </c>
      <c r="BW137" t="s">
        <v>135</v>
      </c>
      <c r="BX137" t="s">
        <v>135</v>
      </c>
      <c r="BY137">
        <v>466945.19199999998</v>
      </c>
      <c r="BZ137">
        <v>138389.36199999999</v>
      </c>
      <c r="CA137">
        <v>328555.83</v>
      </c>
      <c r="CB137">
        <v>7.3362999999999996</v>
      </c>
      <c r="CC137">
        <v>6.5883000000000003</v>
      </c>
      <c r="CD137">
        <v>28.3506</v>
      </c>
      <c r="CE137">
        <v>25.459800000000001</v>
      </c>
      <c r="CF137">
        <v>1.2073</v>
      </c>
      <c r="CG137">
        <v>14.9079</v>
      </c>
      <c r="CH137">
        <v>354.58909999999997</v>
      </c>
      <c r="CI137">
        <v>58.712299999999999</v>
      </c>
      <c r="CJ137">
        <v>52.861899999999999</v>
      </c>
      <c r="CK137">
        <v>503.94389999999999</v>
      </c>
      <c r="CL137">
        <v>83.4422</v>
      </c>
      <c r="CM137">
        <v>75.127600000000001</v>
      </c>
      <c r="CN137">
        <v>452.55950000000001</v>
      </c>
      <c r="CO137">
        <v>81.9024</v>
      </c>
      <c r="CP137">
        <v>15124.9</v>
      </c>
      <c r="CQ137" t="s">
        <v>135</v>
      </c>
      <c r="CR137">
        <v>2500.3000000000002</v>
      </c>
      <c r="CS137" t="s">
        <v>135</v>
      </c>
      <c r="CT137" t="s">
        <v>135</v>
      </c>
      <c r="CU137" t="s">
        <v>135</v>
      </c>
      <c r="CV137" t="s">
        <v>135</v>
      </c>
      <c r="CW137" t="s">
        <v>135</v>
      </c>
      <c r="CX137" t="s">
        <v>135</v>
      </c>
      <c r="CY137" t="s">
        <v>135</v>
      </c>
      <c r="CZ137" t="s">
        <v>135</v>
      </c>
      <c r="DA137" t="s">
        <v>135</v>
      </c>
      <c r="DB137" t="s">
        <v>135</v>
      </c>
      <c r="DC137" t="s">
        <v>135</v>
      </c>
      <c r="DD137" t="s">
        <v>135</v>
      </c>
      <c r="DE137" t="s">
        <v>135</v>
      </c>
      <c r="DF137" t="s">
        <v>135</v>
      </c>
      <c r="DG137" t="s">
        <v>135</v>
      </c>
      <c r="DH137" t="s">
        <v>135</v>
      </c>
      <c r="DI137" t="s">
        <v>135</v>
      </c>
    </row>
    <row r="138" spans="4:113" x14ac:dyDescent="0.3">
      <c r="D138" t="s">
        <v>83</v>
      </c>
      <c r="E138" t="s">
        <v>77</v>
      </c>
      <c r="F138">
        <v>12.176299999999999</v>
      </c>
      <c r="G138">
        <v>1.8186</v>
      </c>
      <c r="H138">
        <v>2.0419999999999998</v>
      </c>
      <c r="I138">
        <v>5.6210000000000004</v>
      </c>
      <c r="J138">
        <v>66.185100000000006</v>
      </c>
      <c r="K138">
        <v>33.667900000000003</v>
      </c>
      <c r="L138">
        <v>18.663699999999999</v>
      </c>
      <c r="M138">
        <v>17.348500000000001</v>
      </c>
      <c r="N138">
        <v>22.2715</v>
      </c>
      <c r="O138">
        <v>11.476100000000001</v>
      </c>
      <c r="P138">
        <v>22.2715</v>
      </c>
      <c r="Q138">
        <v>33.849400000000003</v>
      </c>
      <c r="R138">
        <v>19.168600000000001</v>
      </c>
      <c r="S138">
        <v>9.8422999999999998</v>
      </c>
      <c r="T138">
        <v>12.354900000000001</v>
      </c>
      <c r="U138">
        <v>8.2407000000000004</v>
      </c>
      <c r="V138">
        <v>8.4702999999999999</v>
      </c>
      <c r="W138">
        <v>15.088200000000001</v>
      </c>
      <c r="X138">
        <v>15.0893</v>
      </c>
      <c r="Y138">
        <v>0</v>
      </c>
      <c r="Z138" t="s">
        <v>135</v>
      </c>
      <c r="AA138" t="s">
        <v>135</v>
      </c>
      <c r="AB138">
        <v>-1.4639</v>
      </c>
      <c r="AC138">
        <v>9.4280000000000008</v>
      </c>
      <c r="AD138" t="s">
        <v>135</v>
      </c>
      <c r="AE138" t="s">
        <v>135</v>
      </c>
      <c r="AF138" t="s">
        <v>135</v>
      </c>
      <c r="AG138">
        <v>39.252899999999997</v>
      </c>
      <c r="AH138">
        <v>6.6292</v>
      </c>
      <c r="AI138">
        <v>9.8173999999999992</v>
      </c>
      <c r="AJ138">
        <v>7.1570999999999998</v>
      </c>
      <c r="AK138">
        <v>9.8173999999999992</v>
      </c>
      <c r="AL138">
        <v>42.698599999999999</v>
      </c>
      <c r="AM138">
        <v>13.4681</v>
      </c>
      <c r="AN138">
        <v>10.9155</v>
      </c>
      <c r="AO138">
        <v>-0.53090000000000004</v>
      </c>
      <c r="AP138">
        <v>-0.55649999999999999</v>
      </c>
      <c r="AQ138">
        <v>-0.63190000000000002</v>
      </c>
      <c r="AR138">
        <v>8.9977</v>
      </c>
      <c r="AS138">
        <v>261.28570000000002</v>
      </c>
      <c r="AT138" t="s">
        <v>135</v>
      </c>
      <c r="AU138">
        <v>29.037299999999998</v>
      </c>
      <c r="AV138">
        <v>16.1875</v>
      </c>
      <c r="AW138" t="s">
        <v>135</v>
      </c>
      <c r="AX138" t="s">
        <v>135</v>
      </c>
      <c r="AY138" t="s">
        <v>135</v>
      </c>
      <c r="AZ138">
        <v>20.907900000000001</v>
      </c>
      <c r="BA138">
        <v>19.794499999999999</v>
      </c>
      <c r="BB138">
        <v>15.7683</v>
      </c>
      <c r="BC138">
        <v>19.050699999999999</v>
      </c>
      <c r="BD138">
        <v>15.6945</v>
      </c>
      <c r="BE138" t="s">
        <v>135</v>
      </c>
      <c r="BF138">
        <v>12.354900000000001</v>
      </c>
      <c r="BG138">
        <v>8.2407000000000004</v>
      </c>
      <c r="BH138">
        <v>8.4702999999999999</v>
      </c>
      <c r="BI138">
        <v>15.088200000000001</v>
      </c>
      <c r="BJ138">
        <v>15.0893</v>
      </c>
      <c r="BK138">
        <v>0</v>
      </c>
      <c r="BL138">
        <v>237.77690000000001</v>
      </c>
      <c r="BM138" t="s">
        <v>135</v>
      </c>
      <c r="BN138">
        <v>-1.4639</v>
      </c>
      <c r="BO138">
        <v>9.4280000000000008</v>
      </c>
      <c r="BP138" t="s">
        <v>135</v>
      </c>
      <c r="BQ138" t="s">
        <v>135</v>
      </c>
      <c r="BR138" t="s">
        <v>135</v>
      </c>
      <c r="BS138">
        <v>39.252899999999997</v>
      </c>
      <c r="BT138">
        <v>6.6292</v>
      </c>
      <c r="BU138">
        <v>9.8173999999999992</v>
      </c>
      <c r="BV138">
        <v>7.1570999999999998</v>
      </c>
      <c r="BW138">
        <v>9.8173999999999992</v>
      </c>
      <c r="BX138" t="s">
        <v>135</v>
      </c>
      <c r="BY138">
        <v>497900.08</v>
      </c>
      <c r="BZ138">
        <v>192711.20600000001</v>
      </c>
      <c r="CA138">
        <v>305188.87400000001</v>
      </c>
      <c r="CB138">
        <v>7.2939999999999996</v>
      </c>
      <c r="CC138">
        <v>6.9474999999999998</v>
      </c>
      <c r="CD138">
        <v>27.826899999999998</v>
      </c>
      <c r="CE138">
        <v>26.504799999999999</v>
      </c>
      <c r="CF138">
        <v>1.3653999999999999</v>
      </c>
      <c r="CG138">
        <v>14.961</v>
      </c>
      <c r="CH138">
        <v>299.92570000000001</v>
      </c>
      <c r="CI138">
        <v>50.894100000000002</v>
      </c>
      <c r="CJ138">
        <v>44.8718</v>
      </c>
      <c r="CK138">
        <v>489.3134</v>
      </c>
      <c r="CL138">
        <v>83.031099999999995</v>
      </c>
      <c r="CM138">
        <v>73.206100000000006</v>
      </c>
      <c r="CN138">
        <v>466.0659</v>
      </c>
      <c r="CO138">
        <v>82.334199999999996</v>
      </c>
      <c r="CP138">
        <v>68261.631999999998</v>
      </c>
      <c r="CQ138">
        <v>67896.159</v>
      </c>
      <c r="CR138">
        <v>17892.784</v>
      </c>
      <c r="CS138" t="s">
        <v>135</v>
      </c>
      <c r="CT138" t="s">
        <v>135</v>
      </c>
      <c r="CU138" t="s">
        <v>135</v>
      </c>
      <c r="CV138" t="s">
        <v>135</v>
      </c>
      <c r="CW138" t="s">
        <v>135</v>
      </c>
      <c r="CX138" t="s">
        <v>135</v>
      </c>
      <c r="CY138" t="s">
        <v>135</v>
      </c>
      <c r="CZ138" t="s">
        <v>135</v>
      </c>
      <c r="DA138" t="s">
        <v>135</v>
      </c>
      <c r="DB138" t="s">
        <v>135</v>
      </c>
      <c r="DC138" t="s">
        <v>135</v>
      </c>
      <c r="DD138" t="s">
        <v>135</v>
      </c>
      <c r="DE138" t="s">
        <v>135</v>
      </c>
      <c r="DF138" t="s">
        <v>135</v>
      </c>
      <c r="DG138" t="s">
        <v>135</v>
      </c>
      <c r="DH138" t="s">
        <v>135</v>
      </c>
      <c r="DI138" t="s">
        <v>135</v>
      </c>
    </row>
    <row r="139" spans="4:113" x14ac:dyDescent="0.3">
      <c r="E139" t="s">
        <v>78</v>
      </c>
      <c r="F139" t="s">
        <v>135</v>
      </c>
      <c r="G139" t="s">
        <v>135</v>
      </c>
      <c r="H139" t="s">
        <v>135</v>
      </c>
      <c r="I139" t="s">
        <v>135</v>
      </c>
      <c r="J139" t="s">
        <v>135</v>
      </c>
      <c r="K139" t="s">
        <v>135</v>
      </c>
      <c r="L139" t="s">
        <v>135</v>
      </c>
      <c r="M139" t="s">
        <v>135</v>
      </c>
      <c r="N139" t="s">
        <v>135</v>
      </c>
      <c r="O139" t="s">
        <v>135</v>
      </c>
      <c r="P139" t="s">
        <v>135</v>
      </c>
      <c r="Q139" t="s">
        <v>135</v>
      </c>
      <c r="R139" t="s">
        <v>135</v>
      </c>
      <c r="S139" t="s">
        <v>135</v>
      </c>
      <c r="T139" t="s">
        <v>135</v>
      </c>
      <c r="U139" t="s">
        <v>135</v>
      </c>
      <c r="V139" t="s">
        <v>135</v>
      </c>
      <c r="W139" t="s">
        <v>135</v>
      </c>
      <c r="X139" t="s">
        <v>135</v>
      </c>
      <c r="Y139" t="s">
        <v>135</v>
      </c>
      <c r="Z139" t="s">
        <v>135</v>
      </c>
      <c r="AA139" t="s">
        <v>135</v>
      </c>
      <c r="AB139" t="s">
        <v>135</v>
      </c>
      <c r="AC139" t="s">
        <v>135</v>
      </c>
      <c r="AD139" t="s">
        <v>135</v>
      </c>
      <c r="AE139" t="s">
        <v>135</v>
      </c>
      <c r="AF139" t="s">
        <v>135</v>
      </c>
      <c r="AG139" t="s">
        <v>135</v>
      </c>
      <c r="AH139" t="s">
        <v>135</v>
      </c>
      <c r="AI139" t="s">
        <v>135</v>
      </c>
      <c r="AJ139" t="s">
        <v>135</v>
      </c>
      <c r="AK139" t="s">
        <v>135</v>
      </c>
      <c r="AL139" t="s">
        <v>135</v>
      </c>
      <c r="AM139" t="s">
        <v>135</v>
      </c>
      <c r="AN139" t="s">
        <v>135</v>
      </c>
      <c r="AO139" t="s">
        <v>135</v>
      </c>
      <c r="AP139" t="s">
        <v>135</v>
      </c>
      <c r="AQ139" t="s">
        <v>135</v>
      </c>
      <c r="AR139" t="s">
        <v>135</v>
      </c>
      <c r="AS139" t="s">
        <v>135</v>
      </c>
      <c r="AT139" t="s">
        <v>135</v>
      </c>
      <c r="AU139" t="s">
        <v>135</v>
      </c>
      <c r="AV139" t="s">
        <v>135</v>
      </c>
      <c r="AW139" t="s">
        <v>135</v>
      </c>
      <c r="AX139" t="s">
        <v>135</v>
      </c>
      <c r="AY139" t="s">
        <v>135</v>
      </c>
      <c r="AZ139" t="s">
        <v>135</v>
      </c>
      <c r="BA139" t="s">
        <v>135</v>
      </c>
      <c r="BB139" t="s">
        <v>135</v>
      </c>
      <c r="BC139" t="s">
        <v>135</v>
      </c>
      <c r="BD139" t="s">
        <v>135</v>
      </c>
      <c r="BE139" t="s">
        <v>135</v>
      </c>
      <c r="BF139" t="s">
        <v>135</v>
      </c>
      <c r="BG139" t="s">
        <v>135</v>
      </c>
      <c r="BH139" t="s">
        <v>135</v>
      </c>
      <c r="BI139" t="s">
        <v>135</v>
      </c>
      <c r="BJ139" t="s">
        <v>135</v>
      </c>
      <c r="BK139" t="s">
        <v>135</v>
      </c>
      <c r="BL139" t="s">
        <v>135</v>
      </c>
      <c r="BM139" t="s">
        <v>135</v>
      </c>
      <c r="BN139" t="s">
        <v>135</v>
      </c>
      <c r="BO139" t="s">
        <v>135</v>
      </c>
      <c r="BP139" t="s">
        <v>135</v>
      </c>
      <c r="BQ139" t="s">
        <v>135</v>
      </c>
      <c r="BR139" t="s">
        <v>135</v>
      </c>
      <c r="BS139" t="s">
        <v>135</v>
      </c>
      <c r="BT139" t="s">
        <v>135</v>
      </c>
      <c r="BU139" t="s">
        <v>135</v>
      </c>
      <c r="BV139" t="s">
        <v>135</v>
      </c>
      <c r="BW139" t="s">
        <v>135</v>
      </c>
      <c r="BX139" t="s">
        <v>135</v>
      </c>
      <c r="BY139" t="s">
        <v>135</v>
      </c>
      <c r="BZ139" t="s">
        <v>135</v>
      </c>
      <c r="CA139" t="s">
        <v>135</v>
      </c>
      <c r="CB139" t="s">
        <v>135</v>
      </c>
      <c r="CC139" t="s">
        <v>135</v>
      </c>
      <c r="CD139" t="s">
        <v>135</v>
      </c>
      <c r="CE139" t="s">
        <v>135</v>
      </c>
      <c r="CF139" t="s">
        <v>135</v>
      </c>
      <c r="CG139" t="s">
        <v>135</v>
      </c>
      <c r="CH139" t="s">
        <v>135</v>
      </c>
      <c r="CI139" t="s">
        <v>135</v>
      </c>
      <c r="CJ139" t="s">
        <v>135</v>
      </c>
      <c r="CK139" t="s">
        <v>135</v>
      </c>
      <c r="CL139" t="s">
        <v>135</v>
      </c>
      <c r="CM139" t="s">
        <v>135</v>
      </c>
      <c r="CN139" t="s">
        <v>135</v>
      </c>
      <c r="CO139" t="s">
        <v>135</v>
      </c>
      <c r="CP139" t="s">
        <v>135</v>
      </c>
      <c r="CQ139" t="s">
        <v>135</v>
      </c>
      <c r="CR139" t="s">
        <v>135</v>
      </c>
      <c r="CS139" t="s">
        <v>135</v>
      </c>
      <c r="CT139" t="s">
        <v>135</v>
      </c>
      <c r="CU139" t="s">
        <v>135</v>
      </c>
      <c r="CV139" t="s">
        <v>135</v>
      </c>
      <c r="CW139" t="s">
        <v>135</v>
      </c>
      <c r="CX139" t="s">
        <v>135</v>
      </c>
      <c r="CY139" t="s">
        <v>135</v>
      </c>
      <c r="CZ139" t="s">
        <v>135</v>
      </c>
      <c r="DA139" t="s">
        <v>135</v>
      </c>
      <c r="DB139" t="s">
        <v>135</v>
      </c>
      <c r="DC139" t="s">
        <v>135</v>
      </c>
      <c r="DD139" t="s">
        <v>135</v>
      </c>
      <c r="DE139" t="s">
        <v>135</v>
      </c>
      <c r="DF139" t="s">
        <v>135</v>
      </c>
      <c r="DG139" t="s">
        <v>135</v>
      </c>
      <c r="DH139" t="s">
        <v>135</v>
      </c>
      <c r="DI139" t="s">
        <v>135</v>
      </c>
    </row>
    <row r="140" spans="4:113" x14ac:dyDescent="0.3">
      <c r="E140" t="s">
        <v>79</v>
      </c>
      <c r="F140" t="s">
        <v>135</v>
      </c>
      <c r="G140" t="s">
        <v>135</v>
      </c>
      <c r="H140" t="s">
        <v>135</v>
      </c>
      <c r="I140" t="s">
        <v>135</v>
      </c>
      <c r="J140" t="s">
        <v>135</v>
      </c>
      <c r="K140" t="s">
        <v>135</v>
      </c>
      <c r="L140" t="s">
        <v>135</v>
      </c>
      <c r="M140" t="s">
        <v>135</v>
      </c>
      <c r="N140" t="s">
        <v>135</v>
      </c>
      <c r="O140" t="s">
        <v>135</v>
      </c>
      <c r="P140" t="s">
        <v>135</v>
      </c>
      <c r="Q140" t="s">
        <v>135</v>
      </c>
      <c r="R140" t="s">
        <v>135</v>
      </c>
      <c r="S140" t="s">
        <v>135</v>
      </c>
      <c r="T140" t="s">
        <v>135</v>
      </c>
      <c r="U140" t="s">
        <v>135</v>
      </c>
      <c r="V140" t="s">
        <v>135</v>
      </c>
      <c r="W140" t="s">
        <v>135</v>
      </c>
      <c r="X140" t="s">
        <v>135</v>
      </c>
      <c r="Y140" t="s">
        <v>135</v>
      </c>
      <c r="Z140" t="s">
        <v>135</v>
      </c>
      <c r="AA140" t="s">
        <v>135</v>
      </c>
      <c r="AB140" t="s">
        <v>135</v>
      </c>
      <c r="AC140" t="s">
        <v>135</v>
      </c>
      <c r="AD140" t="s">
        <v>135</v>
      </c>
      <c r="AE140" t="s">
        <v>135</v>
      </c>
      <c r="AF140" t="s">
        <v>135</v>
      </c>
      <c r="AG140" t="s">
        <v>135</v>
      </c>
      <c r="AH140" t="s">
        <v>135</v>
      </c>
      <c r="AI140" t="s">
        <v>135</v>
      </c>
      <c r="AJ140" t="s">
        <v>135</v>
      </c>
      <c r="AK140" t="s">
        <v>135</v>
      </c>
      <c r="AL140" t="s">
        <v>135</v>
      </c>
      <c r="AM140" t="s">
        <v>135</v>
      </c>
      <c r="AN140" t="s">
        <v>135</v>
      </c>
      <c r="AO140" t="s">
        <v>135</v>
      </c>
      <c r="AP140" t="s">
        <v>135</v>
      </c>
      <c r="AQ140" t="s">
        <v>135</v>
      </c>
      <c r="AR140" t="s">
        <v>135</v>
      </c>
      <c r="AS140" t="s">
        <v>135</v>
      </c>
      <c r="AT140" t="s">
        <v>135</v>
      </c>
      <c r="AU140" t="s">
        <v>135</v>
      </c>
      <c r="AV140" t="s">
        <v>135</v>
      </c>
      <c r="AW140" t="s">
        <v>135</v>
      </c>
      <c r="AX140" t="s">
        <v>135</v>
      </c>
      <c r="AY140" t="s">
        <v>135</v>
      </c>
      <c r="AZ140" t="s">
        <v>135</v>
      </c>
      <c r="BA140" t="s">
        <v>135</v>
      </c>
      <c r="BB140" t="s">
        <v>135</v>
      </c>
      <c r="BC140" t="s">
        <v>135</v>
      </c>
      <c r="BD140" t="s">
        <v>135</v>
      </c>
      <c r="BE140" t="s">
        <v>135</v>
      </c>
      <c r="BF140" t="s">
        <v>135</v>
      </c>
      <c r="BG140" t="s">
        <v>135</v>
      </c>
      <c r="BH140" t="s">
        <v>135</v>
      </c>
      <c r="BI140" t="s">
        <v>135</v>
      </c>
      <c r="BJ140" t="s">
        <v>135</v>
      </c>
      <c r="BK140" t="s">
        <v>135</v>
      </c>
      <c r="BL140" t="s">
        <v>135</v>
      </c>
      <c r="BM140" t="s">
        <v>135</v>
      </c>
      <c r="BN140" t="s">
        <v>135</v>
      </c>
      <c r="BO140" t="s">
        <v>135</v>
      </c>
      <c r="BP140" t="s">
        <v>135</v>
      </c>
      <c r="BQ140" t="s">
        <v>135</v>
      </c>
      <c r="BR140" t="s">
        <v>135</v>
      </c>
      <c r="BS140" t="s">
        <v>135</v>
      </c>
      <c r="BT140" t="s">
        <v>135</v>
      </c>
      <c r="BU140" t="s">
        <v>135</v>
      </c>
      <c r="BV140" t="s">
        <v>135</v>
      </c>
      <c r="BW140" t="s">
        <v>135</v>
      </c>
      <c r="BX140" t="s">
        <v>135</v>
      </c>
      <c r="BY140" t="s">
        <v>135</v>
      </c>
      <c r="BZ140" t="s">
        <v>135</v>
      </c>
      <c r="CA140" t="s">
        <v>135</v>
      </c>
      <c r="CB140" t="s">
        <v>135</v>
      </c>
      <c r="CC140" t="s">
        <v>135</v>
      </c>
      <c r="CD140" t="s">
        <v>135</v>
      </c>
      <c r="CE140" t="s">
        <v>135</v>
      </c>
      <c r="CF140" t="s">
        <v>135</v>
      </c>
      <c r="CG140" t="s">
        <v>135</v>
      </c>
      <c r="CH140" t="s">
        <v>135</v>
      </c>
      <c r="CI140" t="s">
        <v>135</v>
      </c>
      <c r="CJ140" t="s">
        <v>135</v>
      </c>
      <c r="CK140" t="s">
        <v>135</v>
      </c>
      <c r="CL140" t="s">
        <v>135</v>
      </c>
      <c r="CM140" t="s">
        <v>135</v>
      </c>
      <c r="CN140" t="s">
        <v>135</v>
      </c>
      <c r="CO140" t="s">
        <v>135</v>
      </c>
      <c r="CP140" t="s">
        <v>135</v>
      </c>
      <c r="CQ140" t="s">
        <v>135</v>
      </c>
      <c r="CR140" t="s">
        <v>135</v>
      </c>
      <c r="CS140" t="s">
        <v>135</v>
      </c>
      <c r="CT140" t="s">
        <v>135</v>
      </c>
      <c r="CU140" t="s">
        <v>135</v>
      </c>
      <c r="CV140" t="s">
        <v>135</v>
      </c>
      <c r="CW140" t="s">
        <v>135</v>
      </c>
      <c r="CX140" t="s">
        <v>135</v>
      </c>
      <c r="CY140" t="s">
        <v>135</v>
      </c>
      <c r="CZ140" t="s">
        <v>135</v>
      </c>
      <c r="DA140" t="s">
        <v>135</v>
      </c>
      <c r="DB140" t="s">
        <v>135</v>
      </c>
      <c r="DC140" t="s">
        <v>135</v>
      </c>
      <c r="DD140" t="s">
        <v>135</v>
      </c>
      <c r="DE140" t="s">
        <v>135</v>
      </c>
      <c r="DF140" t="s">
        <v>135</v>
      </c>
      <c r="DG140" t="s">
        <v>135</v>
      </c>
      <c r="DH140" t="s">
        <v>135</v>
      </c>
      <c r="DI140" t="s">
        <v>135</v>
      </c>
    </row>
    <row r="141" spans="4:113" x14ac:dyDescent="0.3">
      <c r="E141" t="s">
        <v>80</v>
      </c>
      <c r="F141" t="s">
        <v>135</v>
      </c>
      <c r="G141" t="s">
        <v>135</v>
      </c>
      <c r="H141" t="s">
        <v>135</v>
      </c>
      <c r="I141" t="s">
        <v>135</v>
      </c>
      <c r="J141" t="s">
        <v>135</v>
      </c>
      <c r="K141" t="s">
        <v>135</v>
      </c>
      <c r="L141" t="s">
        <v>135</v>
      </c>
      <c r="M141" t="s">
        <v>135</v>
      </c>
      <c r="N141" t="s">
        <v>135</v>
      </c>
      <c r="O141" t="s">
        <v>135</v>
      </c>
      <c r="P141" t="s">
        <v>135</v>
      </c>
      <c r="Q141" t="s">
        <v>135</v>
      </c>
      <c r="R141" t="s">
        <v>135</v>
      </c>
      <c r="S141" t="s">
        <v>135</v>
      </c>
      <c r="T141" t="s">
        <v>135</v>
      </c>
      <c r="U141" t="s">
        <v>135</v>
      </c>
      <c r="V141" t="s">
        <v>135</v>
      </c>
      <c r="W141" t="s">
        <v>135</v>
      </c>
      <c r="X141" t="s">
        <v>135</v>
      </c>
      <c r="Y141" t="s">
        <v>135</v>
      </c>
      <c r="Z141" t="s">
        <v>135</v>
      </c>
      <c r="AA141" t="s">
        <v>135</v>
      </c>
      <c r="AB141" t="s">
        <v>135</v>
      </c>
      <c r="AC141" t="s">
        <v>135</v>
      </c>
      <c r="AD141" t="s">
        <v>135</v>
      </c>
      <c r="AE141" t="s">
        <v>135</v>
      </c>
      <c r="AF141" t="s">
        <v>135</v>
      </c>
      <c r="AG141" t="s">
        <v>135</v>
      </c>
      <c r="AH141" t="s">
        <v>135</v>
      </c>
      <c r="AI141" t="s">
        <v>135</v>
      </c>
      <c r="AJ141" t="s">
        <v>135</v>
      </c>
      <c r="AK141" t="s">
        <v>135</v>
      </c>
      <c r="AL141" t="s">
        <v>135</v>
      </c>
      <c r="AM141" t="s">
        <v>135</v>
      </c>
      <c r="AN141" t="s">
        <v>135</v>
      </c>
      <c r="AO141" t="s">
        <v>135</v>
      </c>
      <c r="AP141" t="s">
        <v>135</v>
      </c>
      <c r="AQ141" t="s">
        <v>135</v>
      </c>
      <c r="AR141" t="s">
        <v>135</v>
      </c>
      <c r="AS141" t="s">
        <v>135</v>
      </c>
      <c r="AT141" t="s">
        <v>135</v>
      </c>
      <c r="AU141" t="s">
        <v>135</v>
      </c>
      <c r="AV141" t="s">
        <v>135</v>
      </c>
      <c r="AW141" t="s">
        <v>135</v>
      </c>
      <c r="AX141" t="s">
        <v>135</v>
      </c>
      <c r="AY141" t="s">
        <v>135</v>
      </c>
      <c r="AZ141" t="s">
        <v>135</v>
      </c>
      <c r="BA141" t="s">
        <v>135</v>
      </c>
      <c r="BB141" t="s">
        <v>135</v>
      </c>
      <c r="BC141" t="s">
        <v>135</v>
      </c>
      <c r="BD141" t="s">
        <v>135</v>
      </c>
      <c r="BE141" t="s">
        <v>135</v>
      </c>
      <c r="BF141" t="s">
        <v>135</v>
      </c>
      <c r="BG141" t="s">
        <v>135</v>
      </c>
      <c r="BH141" t="s">
        <v>135</v>
      </c>
      <c r="BI141" t="s">
        <v>135</v>
      </c>
      <c r="BJ141" t="s">
        <v>135</v>
      </c>
      <c r="BK141" t="s">
        <v>135</v>
      </c>
      <c r="BL141" t="s">
        <v>135</v>
      </c>
      <c r="BM141" t="s">
        <v>135</v>
      </c>
      <c r="BN141" t="s">
        <v>135</v>
      </c>
      <c r="BO141" t="s">
        <v>135</v>
      </c>
      <c r="BP141" t="s">
        <v>135</v>
      </c>
      <c r="BQ141" t="s">
        <v>135</v>
      </c>
      <c r="BR141" t="s">
        <v>135</v>
      </c>
      <c r="BS141" t="s">
        <v>135</v>
      </c>
      <c r="BT141" t="s">
        <v>135</v>
      </c>
      <c r="BU141" t="s">
        <v>135</v>
      </c>
      <c r="BV141" t="s">
        <v>135</v>
      </c>
      <c r="BW141" t="s">
        <v>135</v>
      </c>
      <c r="BX141" t="s">
        <v>135</v>
      </c>
      <c r="BY141" t="s">
        <v>135</v>
      </c>
      <c r="BZ141" t="s">
        <v>135</v>
      </c>
      <c r="CA141" t="s">
        <v>135</v>
      </c>
      <c r="CB141" t="s">
        <v>135</v>
      </c>
      <c r="CC141" t="s">
        <v>135</v>
      </c>
      <c r="CD141" t="s">
        <v>135</v>
      </c>
      <c r="CE141" t="s">
        <v>135</v>
      </c>
      <c r="CF141" t="s">
        <v>135</v>
      </c>
      <c r="CG141" t="s">
        <v>135</v>
      </c>
      <c r="CH141" t="s">
        <v>135</v>
      </c>
      <c r="CI141" t="s">
        <v>135</v>
      </c>
      <c r="CJ141" t="s">
        <v>135</v>
      </c>
      <c r="CK141" t="s">
        <v>135</v>
      </c>
      <c r="CL141" t="s">
        <v>135</v>
      </c>
      <c r="CM141" t="s">
        <v>135</v>
      </c>
      <c r="CN141" t="s">
        <v>135</v>
      </c>
      <c r="CO141" t="s">
        <v>135</v>
      </c>
      <c r="CP141" t="s">
        <v>135</v>
      </c>
      <c r="CQ141" t="s">
        <v>135</v>
      </c>
      <c r="CR141" t="s">
        <v>135</v>
      </c>
      <c r="CS141" t="s">
        <v>135</v>
      </c>
      <c r="CT141" t="s">
        <v>135</v>
      </c>
      <c r="CU141" t="s">
        <v>135</v>
      </c>
      <c r="CV141" t="s">
        <v>135</v>
      </c>
      <c r="CW141" t="s">
        <v>135</v>
      </c>
      <c r="CX141" t="s">
        <v>135</v>
      </c>
      <c r="CY141" t="s">
        <v>135</v>
      </c>
      <c r="CZ141" t="s">
        <v>135</v>
      </c>
      <c r="DA141" t="s">
        <v>135</v>
      </c>
      <c r="DB141" t="s">
        <v>135</v>
      </c>
      <c r="DC141" t="s">
        <v>135</v>
      </c>
      <c r="DD141" t="s">
        <v>135</v>
      </c>
      <c r="DE141" t="s">
        <v>135</v>
      </c>
      <c r="DF141" t="s">
        <v>135</v>
      </c>
      <c r="DG141" t="s">
        <v>135</v>
      </c>
      <c r="DH141" t="s">
        <v>135</v>
      </c>
      <c r="DI141" t="s">
        <v>135</v>
      </c>
    </row>
    <row r="142" spans="4:113" x14ac:dyDescent="0.3">
      <c r="E142" t="s">
        <v>81</v>
      </c>
      <c r="F142" t="s">
        <v>135</v>
      </c>
      <c r="G142" t="s">
        <v>135</v>
      </c>
      <c r="H142" t="s">
        <v>135</v>
      </c>
      <c r="I142" t="s">
        <v>135</v>
      </c>
      <c r="J142" t="s">
        <v>135</v>
      </c>
      <c r="K142" t="s">
        <v>135</v>
      </c>
      <c r="L142" t="s">
        <v>135</v>
      </c>
      <c r="M142" t="s">
        <v>135</v>
      </c>
      <c r="N142" t="s">
        <v>135</v>
      </c>
      <c r="O142" t="s">
        <v>135</v>
      </c>
      <c r="P142" t="s">
        <v>135</v>
      </c>
      <c r="Q142" t="s">
        <v>135</v>
      </c>
      <c r="R142" t="s">
        <v>135</v>
      </c>
      <c r="S142" t="s">
        <v>135</v>
      </c>
      <c r="T142" t="s">
        <v>135</v>
      </c>
      <c r="U142" t="s">
        <v>135</v>
      </c>
      <c r="V142" t="s">
        <v>135</v>
      </c>
      <c r="W142" t="s">
        <v>135</v>
      </c>
      <c r="X142" t="s">
        <v>135</v>
      </c>
      <c r="Y142" t="s">
        <v>135</v>
      </c>
      <c r="Z142" t="s">
        <v>135</v>
      </c>
      <c r="AA142" t="s">
        <v>135</v>
      </c>
      <c r="AB142" t="s">
        <v>135</v>
      </c>
      <c r="AC142" t="s">
        <v>135</v>
      </c>
      <c r="AD142" t="s">
        <v>135</v>
      </c>
      <c r="AE142" t="s">
        <v>135</v>
      </c>
      <c r="AF142" t="s">
        <v>135</v>
      </c>
      <c r="AG142" t="s">
        <v>135</v>
      </c>
      <c r="AH142" t="s">
        <v>135</v>
      </c>
      <c r="AI142" t="s">
        <v>135</v>
      </c>
      <c r="AJ142" t="s">
        <v>135</v>
      </c>
      <c r="AK142" t="s">
        <v>135</v>
      </c>
      <c r="AL142" t="s">
        <v>135</v>
      </c>
      <c r="AM142" t="s">
        <v>135</v>
      </c>
      <c r="AN142" t="s">
        <v>135</v>
      </c>
      <c r="AO142" t="s">
        <v>135</v>
      </c>
      <c r="AP142" t="s">
        <v>135</v>
      </c>
      <c r="AQ142" t="s">
        <v>135</v>
      </c>
      <c r="AR142" t="s">
        <v>135</v>
      </c>
      <c r="AS142" t="s">
        <v>135</v>
      </c>
      <c r="AT142" t="s">
        <v>135</v>
      </c>
      <c r="AU142" t="s">
        <v>135</v>
      </c>
      <c r="AV142" t="s">
        <v>135</v>
      </c>
      <c r="AW142" t="s">
        <v>135</v>
      </c>
      <c r="AX142" t="s">
        <v>135</v>
      </c>
      <c r="AY142" t="s">
        <v>135</v>
      </c>
      <c r="AZ142" t="s">
        <v>135</v>
      </c>
      <c r="BA142" t="s">
        <v>135</v>
      </c>
      <c r="BB142" t="s">
        <v>135</v>
      </c>
      <c r="BC142" t="s">
        <v>135</v>
      </c>
      <c r="BD142" t="s">
        <v>135</v>
      </c>
      <c r="BE142" t="s">
        <v>135</v>
      </c>
      <c r="BF142" t="s">
        <v>135</v>
      </c>
      <c r="BG142" t="s">
        <v>135</v>
      </c>
      <c r="BH142" t="s">
        <v>135</v>
      </c>
      <c r="BI142" t="s">
        <v>135</v>
      </c>
      <c r="BJ142" t="s">
        <v>135</v>
      </c>
      <c r="BK142" t="s">
        <v>135</v>
      </c>
      <c r="BL142" t="s">
        <v>135</v>
      </c>
      <c r="BM142" t="s">
        <v>135</v>
      </c>
      <c r="BN142" t="s">
        <v>135</v>
      </c>
      <c r="BO142" t="s">
        <v>135</v>
      </c>
      <c r="BP142" t="s">
        <v>135</v>
      </c>
      <c r="BQ142" t="s">
        <v>135</v>
      </c>
      <c r="BR142" t="s">
        <v>135</v>
      </c>
      <c r="BS142" t="s">
        <v>135</v>
      </c>
      <c r="BT142" t="s">
        <v>135</v>
      </c>
      <c r="BU142" t="s">
        <v>135</v>
      </c>
      <c r="BV142" t="s">
        <v>135</v>
      </c>
      <c r="BW142" t="s">
        <v>135</v>
      </c>
      <c r="BX142" t="s">
        <v>135</v>
      </c>
      <c r="BY142" t="s">
        <v>135</v>
      </c>
      <c r="BZ142" t="s">
        <v>135</v>
      </c>
      <c r="CA142" t="s">
        <v>135</v>
      </c>
      <c r="CB142" t="s">
        <v>135</v>
      </c>
      <c r="CC142" t="s">
        <v>135</v>
      </c>
      <c r="CD142" t="s">
        <v>135</v>
      </c>
      <c r="CE142" t="s">
        <v>135</v>
      </c>
      <c r="CF142" t="s">
        <v>135</v>
      </c>
      <c r="CG142" t="s">
        <v>135</v>
      </c>
      <c r="CH142" t="s">
        <v>135</v>
      </c>
      <c r="CI142" t="s">
        <v>135</v>
      </c>
      <c r="CJ142" t="s">
        <v>135</v>
      </c>
      <c r="CK142" t="s">
        <v>135</v>
      </c>
      <c r="CL142" t="s">
        <v>135</v>
      </c>
      <c r="CM142" t="s">
        <v>135</v>
      </c>
      <c r="CN142" t="s">
        <v>135</v>
      </c>
      <c r="CO142" t="s">
        <v>135</v>
      </c>
      <c r="CP142" t="s">
        <v>135</v>
      </c>
      <c r="CQ142" t="s">
        <v>135</v>
      </c>
      <c r="CR142" t="s">
        <v>135</v>
      </c>
      <c r="CS142" t="s">
        <v>135</v>
      </c>
      <c r="CT142" t="s">
        <v>135</v>
      </c>
      <c r="CU142" t="s">
        <v>135</v>
      </c>
      <c r="CV142" t="s">
        <v>135</v>
      </c>
      <c r="CW142" t="s">
        <v>135</v>
      </c>
      <c r="CX142" t="s">
        <v>135</v>
      </c>
      <c r="CY142" t="s">
        <v>135</v>
      </c>
      <c r="CZ142" t="s">
        <v>135</v>
      </c>
      <c r="DA142" t="s">
        <v>135</v>
      </c>
      <c r="DB142" t="s">
        <v>135</v>
      </c>
      <c r="DC142" t="s">
        <v>135</v>
      </c>
      <c r="DD142" t="s">
        <v>135</v>
      </c>
      <c r="DE142" t="s">
        <v>135</v>
      </c>
      <c r="DF142" t="s">
        <v>135</v>
      </c>
      <c r="DG142" t="s">
        <v>135</v>
      </c>
      <c r="DH142" t="s">
        <v>135</v>
      </c>
      <c r="DI142" t="s">
        <v>135</v>
      </c>
    </row>
    <row r="143" spans="4:113" x14ac:dyDescent="0.3">
      <c r="D143" t="s">
        <v>84</v>
      </c>
      <c r="E143" t="s">
        <v>77</v>
      </c>
      <c r="F143">
        <v>11.769299999999999</v>
      </c>
      <c r="G143">
        <v>1.7768000000000002</v>
      </c>
      <c r="H143">
        <v>2.0352000000000001</v>
      </c>
      <c r="I143">
        <v>5.9981</v>
      </c>
      <c r="J143">
        <v>65.209000000000003</v>
      </c>
      <c r="K143">
        <v>33.607599999999998</v>
      </c>
      <c r="L143">
        <v>36.8264</v>
      </c>
      <c r="M143">
        <v>17.773</v>
      </c>
      <c r="N143">
        <v>21.947299999999998</v>
      </c>
      <c r="O143">
        <v>11.6066</v>
      </c>
      <c r="P143">
        <v>21.947299999999998</v>
      </c>
      <c r="Q143">
        <v>34.695500000000003</v>
      </c>
      <c r="R143">
        <v>17.926400000000001</v>
      </c>
      <c r="S143">
        <v>9.6594999999999995</v>
      </c>
      <c r="T143">
        <v>5.2355</v>
      </c>
      <c r="U143">
        <v>4.1683000000000003</v>
      </c>
      <c r="V143">
        <v>8.3146000000000004</v>
      </c>
      <c r="W143">
        <v>6.9292999999999996</v>
      </c>
      <c r="X143">
        <v>6.9196999999999997</v>
      </c>
      <c r="Y143">
        <v>0</v>
      </c>
      <c r="Z143" t="s">
        <v>135</v>
      </c>
      <c r="AA143" t="s">
        <v>135</v>
      </c>
      <c r="AB143">
        <v>-12.0002</v>
      </c>
      <c r="AC143">
        <v>9.4643999999999995</v>
      </c>
      <c r="AD143" t="s">
        <v>135</v>
      </c>
      <c r="AE143" t="s">
        <v>135</v>
      </c>
      <c r="AF143" t="s">
        <v>135</v>
      </c>
      <c r="AG143">
        <v>-3.3218000000000001</v>
      </c>
      <c r="AH143">
        <v>6.6068999999999996</v>
      </c>
      <c r="AI143">
        <v>11.365</v>
      </c>
      <c r="AJ143">
        <v>7.4142999999999999</v>
      </c>
      <c r="AK143">
        <v>11.365</v>
      </c>
      <c r="AL143">
        <v>51.671999999999997</v>
      </c>
      <c r="AM143">
        <v>12.0291</v>
      </c>
      <c r="AN143">
        <v>9.8748000000000005</v>
      </c>
      <c r="AO143">
        <v>-0.19969999999999999</v>
      </c>
      <c r="AP143">
        <v>-0.66869999999999996</v>
      </c>
      <c r="AQ143">
        <v>-0.71240000000000003</v>
      </c>
      <c r="AR143">
        <v>8.9977</v>
      </c>
      <c r="AS143">
        <v>102.0063</v>
      </c>
      <c r="AT143" t="s">
        <v>135</v>
      </c>
      <c r="AU143">
        <v>21.476199999999999</v>
      </c>
      <c r="AV143">
        <v>14.985900000000001</v>
      </c>
      <c r="AW143" t="s">
        <v>135</v>
      </c>
      <c r="AX143" t="s">
        <v>135</v>
      </c>
      <c r="AY143" t="s">
        <v>135</v>
      </c>
      <c r="AZ143">
        <v>15.7248</v>
      </c>
      <c r="BA143">
        <v>17.071200000000001</v>
      </c>
      <c r="BB143">
        <v>13.4382</v>
      </c>
      <c r="BC143">
        <v>16.380299999999998</v>
      </c>
      <c r="BD143">
        <v>13.379899999999999</v>
      </c>
      <c r="BE143" t="s">
        <v>135</v>
      </c>
      <c r="BF143">
        <v>5.2355</v>
      </c>
      <c r="BG143">
        <v>4.1683000000000003</v>
      </c>
      <c r="BH143">
        <v>8.3146000000000004</v>
      </c>
      <c r="BI143">
        <v>6.9292999999999996</v>
      </c>
      <c r="BJ143">
        <v>6.9196999999999997</v>
      </c>
      <c r="BK143">
        <v>0</v>
      </c>
      <c r="BL143">
        <v>-14.03</v>
      </c>
      <c r="BM143" t="s">
        <v>135</v>
      </c>
      <c r="BN143">
        <v>-12.0002</v>
      </c>
      <c r="BO143">
        <v>9.4643999999999995</v>
      </c>
      <c r="BP143" t="s">
        <v>135</v>
      </c>
      <c r="BQ143" t="s">
        <v>135</v>
      </c>
      <c r="BR143" t="s">
        <v>135</v>
      </c>
      <c r="BS143">
        <v>-3.3218000000000001</v>
      </c>
      <c r="BT143">
        <v>6.6068999999999996</v>
      </c>
      <c r="BU143">
        <v>11.365</v>
      </c>
      <c r="BV143">
        <v>7.4142999999999999</v>
      </c>
      <c r="BW143">
        <v>11.365</v>
      </c>
      <c r="BX143" t="s">
        <v>135</v>
      </c>
      <c r="BY143">
        <v>530795.92200000002</v>
      </c>
      <c r="BZ143">
        <v>186309.79699999999</v>
      </c>
      <c r="CA143">
        <v>344486.125</v>
      </c>
      <c r="CB143">
        <v>7.4648000000000003</v>
      </c>
      <c r="CC143">
        <v>6.8395999999999999</v>
      </c>
      <c r="CD143">
        <v>27.388100000000001</v>
      </c>
      <c r="CE143">
        <v>25.0944</v>
      </c>
      <c r="CF143">
        <v>1.3839999999999999</v>
      </c>
      <c r="CG143">
        <v>15.220800000000001</v>
      </c>
      <c r="CH143">
        <v>303.99590000000001</v>
      </c>
      <c r="CI143">
        <v>53.482100000000003</v>
      </c>
      <c r="CJ143">
        <v>46.270499999999998</v>
      </c>
      <c r="CK143">
        <v>468.40730000000002</v>
      </c>
      <c r="CL143">
        <v>82.406999999999996</v>
      </c>
      <c r="CM143">
        <v>71.295100000000005</v>
      </c>
      <c r="CN143">
        <v>429.17910000000001</v>
      </c>
      <c r="CO143">
        <v>81.102800000000002</v>
      </c>
      <c r="CP143">
        <v>71106.964000000007</v>
      </c>
      <c r="CQ143">
        <v>70929.888000000006</v>
      </c>
      <c r="CR143">
        <v>19380.498</v>
      </c>
      <c r="CS143" t="s">
        <v>135</v>
      </c>
      <c r="CT143" t="s">
        <v>135</v>
      </c>
      <c r="CU143" t="s">
        <v>135</v>
      </c>
      <c r="CV143" t="s">
        <v>135</v>
      </c>
      <c r="CW143" t="s">
        <v>135</v>
      </c>
      <c r="CX143" t="s">
        <v>135</v>
      </c>
      <c r="CY143" t="s">
        <v>135</v>
      </c>
      <c r="CZ143" t="s">
        <v>135</v>
      </c>
      <c r="DA143" t="s">
        <v>135</v>
      </c>
      <c r="DB143" t="s">
        <v>135</v>
      </c>
      <c r="DC143" t="s">
        <v>135</v>
      </c>
      <c r="DD143" t="s">
        <v>135</v>
      </c>
      <c r="DE143" t="s">
        <v>135</v>
      </c>
      <c r="DF143" t="s">
        <v>135</v>
      </c>
      <c r="DG143" t="s">
        <v>135</v>
      </c>
      <c r="DH143" t="s">
        <v>135</v>
      </c>
      <c r="DI143" t="s">
        <v>135</v>
      </c>
    </row>
    <row r="144" spans="4:113" x14ac:dyDescent="0.3">
      <c r="E144" t="s">
        <v>78</v>
      </c>
      <c r="F144" t="s">
        <v>135</v>
      </c>
      <c r="G144" t="s">
        <v>135</v>
      </c>
      <c r="H144" t="s">
        <v>135</v>
      </c>
      <c r="I144" t="s">
        <v>135</v>
      </c>
      <c r="J144" t="s">
        <v>135</v>
      </c>
      <c r="K144" t="s">
        <v>135</v>
      </c>
      <c r="L144" t="s">
        <v>135</v>
      </c>
      <c r="M144" t="s">
        <v>135</v>
      </c>
      <c r="N144" t="s">
        <v>135</v>
      </c>
      <c r="O144" t="s">
        <v>135</v>
      </c>
      <c r="P144" t="s">
        <v>135</v>
      </c>
      <c r="Q144" t="s">
        <v>135</v>
      </c>
      <c r="R144" t="s">
        <v>135</v>
      </c>
      <c r="S144" t="s">
        <v>135</v>
      </c>
      <c r="T144" t="s">
        <v>135</v>
      </c>
      <c r="U144" t="s">
        <v>135</v>
      </c>
      <c r="V144" t="s">
        <v>135</v>
      </c>
      <c r="W144" t="s">
        <v>135</v>
      </c>
      <c r="X144" t="s">
        <v>135</v>
      </c>
      <c r="Y144" t="s">
        <v>135</v>
      </c>
      <c r="Z144" t="s">
        <v>135</v>
      </c>
      <c r="AA144" t="s">
        <v>135</v>
      </c>
      <c r="AB144" t="s">
        <v>135</v>
      </c>
      <c r="AC144" t="s">
        <v>135</v>
      </c>
      <c r="AD144" t="s">
        <v>135</v>
      </c>
      <c r="AE144" t="s">
        <v>135</v>
      </c>
      <c r="AF144" t="s">
        <v>135</v>
      </c>
      <c r="AG144" t="s">
        <v>135</v>
      </c>
      <c r="AH144" t="s">
        <v>135</v>
      </c>
      <c r="AI144" t="s">
        <v>135</v>
      </c>
      <c r="AJ144" t="s">
        <v>135</v>
      </c>
      <c r="AK144" t="s">
        <v>135</v>
      </c>
      <c r="AL144" t="s">
        <v>135</v>
      </c>
      <c r="AM144" t="s">
        <v>135</v>
      </c>
      <c r="AN144" t="s">
        <v>135</v>
      </c>
      <c r="AO144" t="s">
        <v>135</v>
      </c>
      <c r="AP144" t="s">
        <v>135</v>
      </c>
      <c r="AQ144" t="s">
        <v>135</v>
      </c>
      <c r="AR144" t="s">
        <v>135</v>
      </c>
      <c r="AS144" t="s">
        <v>135</v>
      </c>
      <c r="AT144" t="s">
        <v>135</v>
      </c>
      <c r="AU144" t="s">
        <v>135</v>
      </c>
      <c r="AV144" t="s">
        <v>135</v>
      </c>
      <c r="AW144" t="s">
        <v>135</v>
      </c>
      <c r="AX144" t="s">
        <v>135</v>
      </c>
      <c r="AY144" t="s">
        <v>135</v>
      </c>
      <c r="AZ144" t="s">
        <v>135</v>
      </c>
      <c r="BA144" t="s">
        <v>135</v>
      </c>
      <c r="BB144" t="s">
        <v>135</v>
      </c>
      <c r="BC144" t="s">
        <v>135</v>
      </c>
      <c r="BD144" t="s">
        <v>135</v>
      </c>
      <c r="BE144" t="s">
        <v>135</v>
      </c>
      <c r="BF144" t="s">
        <v>135</v>
      </c>
      <c r="BG144" t="s">
        <v>135</v>
      </c>
      <c r="BH144" t="s">
        <v>135</v>
      </c>
      <c r="BI144" t="s">
        <v>135</v>
      </c>
      <c r="BJ144" t="s">
        <v>135</v>
      </c>
      <c r="BK144" t="s">
        <v>135</v>
      </c>
      <c r="BL144" t="s">
        <v>135</v>
      </c>
      <c r="BM144" t="s">
        <v>135</v>
      </c>
      <c r="BN144" t="s">
        <v>135</v>
      </c>
      <c r="BO144" t="s">
        <v>135</v>
      </c>
      <c r="BP144" t="s">
        <v>135</v>
      </c>
      <c r="BQ144" t="s">
        <v>135</v>
      </c>
      <c r="BR144" t="s">
        <v>135</v>
      </c>
      <c r="BS144" t="s">
        <v>135</v>
      </c>
      <c r="BT144" t="s">
        <v>135</v>
      </c>
      <c r="BU144" t="s">
        <v>135</v>
      </c>
      <c r="BV144" t="s">
        <v>135</v>
      </c>
      <c r="BW144" t="s">
        <v>135</v>
      </c>
      <c r="BX144" t="s">
        <v>135</v>
      </c>
      <c r="BY144" t="s">
        <v>135</v>
      </c>
      <c r="BZ144" t="s">
        <v>135</v>
      </c>
      <c r="CA144" t="s">
        <v>135</v>
      </c>
      <c r="CB144" t="s">
        <v>135</v>
      </c>
      <c r="CC144" t="s">
        <v>135</v>
      </c>
      <c r="CD144" t="s">
        <v>135</v>
      </c>
      <c r="CE144" t="s">
        <v>135</v>
      </c>
      <c r="CF144" t="s">
        <v>135</v>
      </c>
      <c r="CG144" t="s">
        <v>135</v>
      </c>
      <c r="CH144" t="s">
        <v>135</v>
      </c>
      <c r="CI144" t="s">
        <v>135</v>
      </c>
      <c r="CJ144" t="s">
        <v>135</v>
      </c>
      <c r="CK144" t="s">
        <v>135</v>
      </c>
      <c r="CL144" t="s">
        <v>135</v>
      </c>
      <c r="CM144" t="s">
        <v>135</v>
      </c>
      <c r="CN144" t="s">
        <v>135</v>
      </c>
      <c r="CO144" t="s">
        <v>135</v>
      </c>
      <c r="CP144" t="s">
        <v>135</v>
      </c>
      <c r="CQ144" t="s">
        <v>135</v>
      </c>
      <c r="CR144" t="s">
        <v>135</v>
      </c>
      <c r="CS144" t="s">
        <v>135</v>
      </c>
      <c r="CT144" t="s">
        <v>135</v>
      </c>
      <c r="CU144" t="s">
        <v>135</v>
      </c>
      <c r="CV144" t="s">
        <v>135</v>
      </c>
      <c r="CW144" t="s">
        <v>135</v>
      </c>
      <c r="CX144" t="s">
        <v>135</v>
      </c>
      <c r="CY144" t="s">
        <v>135</v>
      </c>
      <c r="CZ144" t="s">
        <v>135</v>
      </c>
      <c r="DA144" t="s">
        <v>135</v>
      </c>
      <c r="DB144" t="s">
        <v>135</v>
      </c>
      <c r="DC144" t="s">
        <v>135</v>
      </c>
      <c r="DD144" t="s">
        <v>135</v>
      </c>
      <c r="DE144" t="s">
        <v>135</v>
      </c>
      <c r="DF144" t="s">
        <v>135</v>
      </c>
      <c r="DG144" t="s">
        <v>135</v>
      </c>
      <c r="DH144" t="s">
        <v>135</v>
      </c>
      <c r="DI144" t="s">
        <v>135</v>
      </c>
    </row>
    <row r="145" spans="1:113" x14ac:dyDescent="0.3">
      <c r="E145" t="s">
        <v>79</v>
      </c>
      <c r="F145" t="s">
        <v>135</v>
      </c>
      <c r="G145" t="s">
        <v>135</v>
      </c>
      <c r="H145" t="s">
        <v>135</v>
      </c>
      <c r="I145" t="s">
        <v>135</v>
      </c>
      <c r="J145" t="s">
        <v>135</v>
      </c>
      <c r="K145" t="s">
        <v>135</v>
      </c>
      <c r="L145" t="s">
        <v>135</v>
      </c>
      <c r="M145" t="s">
        <v>135</v>
      </c>
      <c r="N145" t="s">
        <v>135</v>
      </c>
      <c r="O145" t="s">
        <v>135</v>
      </c>
      <c r="P145" t="s">
        <v>135</v>
      </c>
      <c r="Q145" t="s">
        <v>135</v>
      </c>
      <c r="R145" t="s">
        <v>135</v>
      </c>
      <c r="S145" t="s">
        <v>135</v>
      </c>
      <c r="T145" t="s">
        <v>135</v>
      </c>
      <c r="U145" t="s">
        <v>135</v>
      </c>
      <c r="V145" t="s">
        <v>135</v>
      </c>
      <c r="W145" t="s">
        <v>135</v>
      </c>
      <c r="X145" t="s">
        <v>135</v>
      </c>
      <c r="Y145" t="s">
        <v>135</v>
      </c>
      <c r="Z145" t="s">
        <v>135</v>
      </c>
      <c r="AA145" t="s">
        <v>135</v>
      </c>
      <c r="AB145" t="s">
        <v>135</v>
      </c>
      <c r="AC145" t="s">
        <v>135</v>
      </c>
      <c r="AD145" t="s">
        <v>135</v>
      </c>
      <c r="AE145" t="s">
        <v>135</v>
      </c>
      <c r="AF145" t="s">
        <v>135</v>
      </c>
      <c r="AG145" t="s">
        <v>135</v>
      </c>
      <c r="AH145" t="s">
        <v>135</v>
      </c>
      <c r="AI145" t="s">
        <v>135</v>
      </c>
      <c r="AJ145" t="s">
        <v>135</v>
      </c>
      <c r="AK145" t="s">
        <v>135</v>
      </c>
      <c r="AL145" t="s">
        <v>135</v>
      </c>
      <c r="AM145" t="s">
        <v>135</v>
      </c>
      <c r="AN145" t="s">
        <v>135</v>
      </c>
      <c r="AO145" t="s">
        <v>135</v>
      </c>
      <c r="AP145" t="s">
        <v>135</v>
      </c>
      <c r="AQ145" t="s">
        <v>135</v>
      </c>
      <c r="AR145" t="s">
        <v>135</v>
      </c>
      <c r="AS145" t="s">
        <v>135</v>
      </c>
      <c r="AT145" t="s">
        <v>135</v>
      </c>
      <c r="AU145" t="s">
        <v>135</v>
      </c>
      <c r="AV145" t="s">
        <v>135</v>
      </c>
      <c r="AW145" t="s">
        <v>135</v>
      </c>
      <c r="AX145" t="s">
        <v>135</v>
      </c>
      <c r="AY145" t="s">
        <v>135</v>
      </c>
      <c r="AZ145" t="s">
        <v>135</v>
      </c>
      <c r="BA145" t="s">
        <v>135</v>
      </c>
      <c r="BB145" t="s">
        <v>135</v>
      </c>
      <c r="BC145" t="s">
        <v>135</v>
      </c>
      <c r="BD145" t="s">
        <v>135</v>
      </c>
      <c r="BE145" t="s">
        <v>135</v>
      </c>
      <c r="BF145" t="s">
        <v>135</v>
      </c>
      <c r="BG145" t="s">
        <v>135</v>
      </c>
      <c r="BH145" t="s">
        <v>135</v>
      </c>
      <c r="BI145" t="s">
        <v>135</v>
      </c>
      <c r="BJ145" t="s">
        <v>135</v>
      </c>
      <c r="BK145" t="s">
        <v>135</v>
      </c>
      <c r="BL145" t="s">
        <v>135</v>
      </c>
      <c r="BM145" t="s">
        <v>135</v>
      </c>
      <c r="BN145" t="s">
        <v>135</v>
      </c>
      <c r="BO145" t="s">
        <v>135</v>
      </c>
      <c r="BP145" t="s">
        <v>135</v>
      </c>
      <c r="BQ145" t="s">
        <v>135</v>
      </c>
      <c r="BR145" t="s">
        <v>135</v>
      </c>
      <c r="BS145" t="s">
        <v>135</v>
      </c>
      <c r="BT145" t="s">
        <v>135</v>
      </c>
      <c r="BU145" t="s">
        <v>135</v>
      </c>
      <c r="BV145" t="s">
        <v>135</v>
      </c>
      <c r="BW145" t="s">
        <v>135</v>
      </c>
      <c r="BX145" t="s">
        <v>135</v>
      </c>
      <c r="BY145" t="s">
        <v>135</v>
      </c>
      <c r="BZ145" t="s">
        <v>135</v>
      </c>
      <c r="CA145" t="s">
        <v>135</v>
      </c>
      <c r="CB145" t="s">
        <v>135</v>
      </c>
      <c r="CC145" t="s">
        <v>135</v>
      </c>
      <c r="CD145" t="s">
        <v>135</v>
      </c>
      <c r="CE145" t="s">
        <v>135</v>
      </c>
      <c r="CF145" t="s">
        <v>135</v>
      </c>
      <c r="CG145" t="s">
        <v>135</v>
      </c>
      <c r="CH145" t="s">
        <v>135</v>
      </c>
      <c r="CI145" t="s">
        <v>135</v>
      </c>
      <c r="CJ145" t="s">
        <v>135</v>
      </c>
      <c r="CK145" t="s">
        <v>135</v>
      </c>
      <c r="CL145" t="s">
        <v>135</v>
      </c>
      <c r="CM145" t="s">
        <v>135</v>
      </c>
      <c r="CN145" t="s">
        <v>135</v>
      </c>
      <c r="CO145" t="s">
        <v>135</v>
      </c>
      <c r="CP145" t="s">
        <v>135</v>
      </c>
      <c r="CQ145" t="s">
        <v>135</v>
      </c>
      <c r="CR145" t="s">
        <v>135</v>
      </c>
      <c r="CS145" t="s">
        <v>135</v>
      </c>
      <c r="CT145" t="s">
        <v>135</v>
      </c>
      <c r="CU145" t="s">
        <v>135</v>
      </c>
      <c r="CV145" t="s">
        <v>135</v>
      </c>
      <c r="CW145" t="s">
        <v>135</v>
      </c>
      <c r="CX145" t="s">
        <v>135</v>
      </c>
      <c r="CY145" t="s">
        <v>135</v>
      </c>
      <c r="CZ145" t="s">
        <v>135</v>
      </c>
      <c r="DA145" t="s">
        <v>135</v>
      </c>
      <c r="DB145" t="s">
        <v>135</v>
      </c>
      <c r="DC145" t="s">
        <v>135</v>
      </c>
      <c r="DD145" t="s">
        <v>135</v>
      </c>
      <c r="DE145" t="s">
        <v>135</v>
      </c>
      <c r="DF145" t="s">
        <v>135</v>
      </c>
      <c r="DG145" t="s">
        <v>135</v>
      </c>
      <c r="DH145" t="s">
        <v>135</v>
      </c>
      <c r="DI145" t="s">
        <v>135</v>
      </c>
    </row>
    <row r="146" spans="1:113" x14ac:dyDescent="0.3">
      <c r="E146" t="s">
        <v>80</v>
      </c>
      <c r="F146" t="s">
        <v>135</v>
      </c>
      <c r="G146" t="s">
        <v>135</v>
      </c>
      <c r="H146" t="s">
        <v>135</v>
      </c>
      <c r="I146" t="s">
        <v>135</v>
      </c>
      <c r="J146" t="s">
        <v>135</v>
      </c>
      <c r="K146" t="s">
        <v>135</v>
      </c>
      <c r="L146" t="s">
        <v>135</v>
      </c>
      <c r="M146" t="s">
        <v>135</v>
      </c>
      <c r="N146" t="s">
        <v>135</v>
      </c>
      <c r="O146" t="s">
        <v>135</v>
      </c>
      <c r="P146" t="s">
        <v>135</v>
      </c>
      <c r="Q146" t="s">
        <v>135</v>
      </c>
      <c r="R146" t="s">
        <v>135</v>
      </c>
      <c r="S146" t="s">
        <v>135</v>
      </c>
      <c r="T146" t="s">
        <v>135</v>
      </c>
      <c r="U146" t="s">
        <v>135</v>
      </c>
      <c r="V146" t="s">
        <v>135</v>
      </c>
      <c r="W146" t="s">
        <v>135</v>
      </c>
      <c r="X146" t="s">
        <v>135</v>
      </c>
      <c r="Y146" t="s">
        <v>135</v>
      </c>
      <c r="Z146" t="s">
        <v>135</v>
      </c>
      <c r="AA146" t="s">
        <v>135</v>
      </c>
      <c r="AB146" t="s">
        <v>135</v>
      </c>
      <c r="AC146" t="s">
        <v>135</v>
      </c>
      <c r="AD146" t="s">
        <v>135</v>
      </c>
      <c r="AE146" t="s">
        <v>135</v>
      </c>
      <c r="AF146" t="s">
        <v>135</v>
      </c>
      <c r="AG146" t="s">
        <v>135</v>
      </c>
      <c r="AH146" t="s">
        <v>135</v>
      </c>
      <c r="AI146" t="s">
        <v>135</v>
      </c>
      <c r="AJ146" t="s">
        <v>135</v>
      </c>
      <c r="AK146" t="s">
        <v>135</v>
      </c>
      <c r="AL146" t="s">
        <v>135</v>
      </c>
      <c r="AM146" t="s">
        <v>135</v>
      </c>
      <c r="AN146" t="s">
        <v>135</v>
      </c>
      <c r="AO146" t="s">
        <v>135</v>
      </c>
      <c r="AP146" t="s">
        <v>135</v>
      </c>
      <c r="AQ146" t="s">
        <v>135</v>
      </c>
      <c r="AR146" t="s">
        <v>135</v>
      </c>
      <c r="AS146" t="s">
        <v>135</v>
      </c>
      <c r="AT146" t="s">
        <v>135</v>
      </c>
      <c r="AU146" t="s">
        <v>135</v>
      </c>
      <c r="AV146" t="s">
        <v>135</v>
      </c>
      <c r="AW146" t="s">
        <v>135</v>
      </c>
      <c r="AX146" t="s">
        <v>135</v>
      </c>
      <c r="AY146" t="s">
        <v>135</v>
      </c>
      <c r="AZ146" t="s">
        <v>135</v>
      </c>
      <c r="BA146" t="s">
        <v>135</v>
      </c>
      <c r="BB146" t="s">
        <v>135</v>
      </c>
      <c r="BC146" t="s">
        <v>135</v>
      </c>
      <c r="BD146" t="s">
        <v>135</v>
      </c>
      <c r="BE146" t="s">
        <v>135</v>
      </c>
      <c r="BF146" t="s">
        <v>135</v>
      </c>
      <c r="BG146" t="s">
        <v>135</v>
      </c>
      <c r="BH146" t="s">
        <v>135</v>
      </c>
      <c r="BI146" t="s">
        <v>135</v>
      </c>
      <c r="BJ146" t="s">
        <v>135</v>
      </c>
      <c r="BK146" t="s">
        <v>135</v>
      </c>
      <c r="BL146" t="s">
        <v>135</v>
      </c>
      <c r="BM146" t="s">
        <v>135</v>
      </c>
      <c r="BN146" t="s">
        <v>135</v>
      </c>
      <c r="BO146" t="s">
        <v>135</v>
      </c>
      <c r="BP146" t="s">
        <v>135</v>
      </c>
      <c r="BQ146" t="s">
        <v>135</v>
      </c>
      <c r="BR146" t="s">
        <v>135</v>
      </c>
      <c r="BS146" t="s">
        <v>135</v>
      </c>
      <c r="BT146" t="s">
        <v>135</v>
      </c>
      <c r="BU146" t="s">
        <v>135</v>
      </c>
      <c r="BV146" t="s">
        <v>135</v>
      </c>
      <c r="BW146" t="s">
        <v>135</v>
      </c>
      <c r="BX146" t="s">
        <v>135</v>
      </c>
      <c r="BY146" t="s">
        <v>135</v>
      </c>
      <c r="BZ146" t="s">
        <v>135</v>
      </c>
      <c r="CA146" t="s">
        <v>135</v>
      </c>
      <c r="CB146" t="s">
        <v>135</v>
      </c>
      <c r="CC146" t="s">
        <v>135</v>
      </c>
      <c r="CD146" t="s">
        <v>135</v>
      </c>
      <c r="CE146" t="s">
        <v>135</v>
      </c>
      <c r="CF146" t="s">
        <v>135</v>
      </c>
      <c r="CG146" t="s">
        <v>135</v>
      </c>
      <c r="CH146" t="s">
        <v>135</v>
      </c>
      <c r="CI146" t="s">
        <v>135</v>
      </c>
      <c r="CJ146" t="s">
        <v>135</v>
      </c>
      <c r="CK146" t="s">
        <v>135</v>
      </c>
      <c r="CL146" t="s">
        <v>135</v>
      </c>
      <c r="CM146" t="s">
        <v>135</v>
      </c>
      <c r="CN146" t="s">
        <v>135</v>
      </c>
      <c r="CO146" t="s">
        <v>135</v>
      </c>
      <c r="CP146" t="s">
        <v>135</v>
      </c>
      <c r="CQ146" t="s">
        <v>135</v>
      </c>
      <c r="CR146" t="s">
        <v>135</v>
      </c>
      <c r="CS146" t="s">
        <v>135</v>
      </c>
      <c r="CT146" t="s">
        <v>135</v>
      </c>
      <c r="CU146" t="s">
        <v>135</v>
      </c>
      <c r="CV146" t="s">
        <v>135</v>
      </c>
      <c r="CW146" t="s">
        <v>135</v>
      </c>
      <c r="CX146" t="s">
        <v>135</v>
      </c>
      <c r="CY146" t="s">
        <v>135</v>
      </c>
      <c r="CZ146" t="s">
        <v>135</v>
      </c>
      <c r="DA146" t="s">
        <v>135</v>
      </c>
      <c r="DB146" t="s">
        <v>135</v>
      </c>
      <c r="DC146" t="s">
        <v>135</v>
      </c>
      <c r="DD146" t="s">
        <v>135</v>
      </c>
      <c r="DE146" t="s">
        <v>135</v>
      </c>
      <c r="DF146" t="s">
        <v>135</v>
      </c>
      <c r="DG146" t="s">
        <v>135</v>
      </c>
      <c r="DH146" t="s">
        <v>135</v>
      </c>
      <c r="DI146" t="s">
        <v>135</v>
      </c>
    </row>
    <row r="147" spans="1:113" x14ac:dyDescent="0.3">
      <c r="E147" t="s">
        <v>81</v>
      </c>
      <c r="F147" t="s">
        <v>135</v>
      </c>
      <c r="G147" t="s">
        <v>135</v>
      </c>
      <c r="H147" t="s">
        <v>135</v>
      </c>
      <c r="I147" t="s">
        <v>135</v>
      </c>
      <c r="J147" t="s">
        <v>135</v>
      </c>
      <c r="K147" t="s">
        <v>135</v>
      </c>
      <c r="L147" t="s">
        <v>135</v>
      </c>
      <c r="M147" t="s">
        <v>135</v>
      </c>
      <c r="N147" t="s">
        <v>135</v>
      </c>
      <c r="O147" t="s">
        <v>135</v>
      </c>
      <c r="P147" t="s">
        <v>135</v>
      </c>
      <c r="Q147" t="s">
        <v>135</v>
      </c>
      <c r="R147" t="s">
        <v>135</v>
      </c>
      <c r="S147" t="s">
        <v>135</v>
      </c>
      <c r="T147" t="s">
        <v>135</v>
      </c>
      <c r="U147" t="s">
        <v>135</v>
      </c>
      <c r="V147" t="s">
        <v>135</v>
      </c>
      <c r="W147" t="s">
        <v>135</v>
      </c>
      <c r="X147" t="s">
        <v>135</v>
      </c>
      <c r="Y147" t="s">
        <v>135</v>
      </c>
      <c r="Z147" t="s">
        <v>135</v>
      </c>
      <c r="AA147" t="s">
        <v>135</v>
      </c>
      <c r="AB147" t="s">
        <v>135</v>
      </c>
      <c r="AC147" t="s">
        <v>135</v>
      </c>
      <c r="AD147" t="s">
        <v>135</v>
      </c>
      <c r="AE147" t="s">
        <v>135</v>
      </c>
      <c r="AF147" t="s">
        <v>135</v>
      </c>
      <c r="AG147" t="s">
        <v>135</v>
      </c>
      <c r="AH147" t="s">
        <v>135</v>
      </c>
      <c r="AI147" t="s">
        <v>135</v>
      </c>
      <c r="AJ147" t="s">
        <v>135</v>
      </c>
      <c r="AK147" t="s">
        <v>135</v>
      </c>
      <c r="AL147" t="s">
        <v>135</v>
      </c>
      <c r="AM147" t="s">
        <v>135</v>
      </c>
      <c r="AN147" t="s">
        <v>135</v>
      </c>
      <c r="AO147" t="s">
        <v>135</v>
      </c>
      <c r="AP147" t="s">
        <v>135</v>
      </c>
      <c r="AQ147" t="s">
        <v>135</v>
      </c>
      <c r="AR147" t="s">
        <v>135</v>
      </c>
      <c r="AS147" t="s">
        <v>135</v>
      </c>
      <c r="AT147" t="s">
        <v>135</v>
      </c>
      <c r="AU147" t="s">
        <v>135</v>
      </c>
      <c r="AV147" t="s">
        <v>135</v>
      </c>
      <c r="AW147" t="s">
        <v>135</v>
      </c>
      <c r="AX147" t="s">
        <v>135</v>
      </c>
      <c r="AY147" t="s">
        <v>135</v>
      </c>
      <c r="AZ147" t="s">
        <v>135</v>
      </c>
      <c r="BA147" t="s">
        <v>135</v>
      </c>
      <c r="BB147" t="s">
        <v>135</v>
      </c>
      <c r="BC147" t="s">
        <v>135</v>
      </c>
      <c r="BD147" t="s">
        <v>135</v>
      </c>
      <c r="BE147" t="s">
        <v>135</v>
      </c>
      <c r="BF147" t="s">
        <v>135</v>
      </c>
      <c r="BG147" t="s">
        <v>135</v>
      </c>
      <c r="BH147" t="s">
        <v>135</v>
      </c>
      <c r="BI147" t="s">
        <v>135</v>
      </c>
      <c r="BJ147" t="s">
        <v>135</v>
      </c>
      <c r="BK147" t="s">
        <v>135</v>
      </c>
      <c r="BL147" t="s">
        <v>135</v>
      </c>
      <c r="BM147" t="s">
        <v>135</v>
      </c>
      <c r="BN147" t="s">
        <v>135</v>
      </c>
      <c r="BO147" t="s">
        <v>135</v>
      </c>
      <c r="BP147" t="s">
        <v>135</v>
      </c>
      <c r="BQ147" t="s">
        <v>135</v>
      </c>
      <c r="BR147" t="s">
        <v>135</v>
      </c>
      <c r="BS147" t="s">
        <v>135</v>
      </c>
      <c r="BT147" t="s">
        <v>135</v>
      </c>
      <c r="BU147" t="s">
        <v>135</v>
      </c>
      <c r="BV147" t="s">
        <v>135</v>
      </c>
      <c r="BW147" t="s">
        <v>135</v>
      </c>
      <c r="BX147" t="s">
        <v>135</v>
      </c>
      <c r="BY147" t="s">
        <v>135</v>
      </c>
      <c r="BZ147" t="s">
        <v>135</v>
      </c>
      <c r="CA147" t="s">
        <v>135</v>
      </c>
      <c r="CB147" t="s">
        <v>135</v>
      </c>
      <c r="CC147" t="s">
        <v>135</v>
      </c>
      <c r="CD147" t="s">
        <v>135</v>
      </c>
      <c r="CE147" t="s">
        <v>135</v>
      </c>
      <c r="CF147" t="s">
        <v>135</v>
      </c>
      <c r="CG147" t="s">
        <v>135</v>
      </c>
      <c r="CH147" t="s">
        <v>135</v>
      </c>
      <c r="CI147" t="s">
        <v>135</v>
      </c>
      <c r="CJ147" t="s">
        <v>135</v>
      </c>
      <c r="CK147" t="s">
        <v>135</v>
      </c>
      <c r="CL147" t="s">
        <v>135</v>
      </c>
      <c r="CM147" t="s">
        <v>135</v>
      </c>
      <c r="CN147" t="s">
        <v>135</v>
      </c>
      <c r="CO147" t="s">
        <v>135</v>
      </c>
      <c r="CP147" t="s">
        <v>135</v>
      </c>
      <c r="CQ147" t="s">
        <v>135</v>
      </c>
      <c r="CR147" t="s">
        <v>135</v>
      </c>
      <c r="CS147" t="s">
        <v>135</v>
      </c>
      <c r="CT147" t="s">
        <v>135</v>
      </c>
      <c r="CU147" t="s">
        <v>135</v>
      </c>
      <c r="CV147" t="s">
        <v>135</v>
      </c>
      <c r="CW147" t="s">
        <v>135</v>
      </c>
      <c r="CX147" t="s">
        <v>135</v>
      </c>
      <c r="CY147" t="s">
        <v>135</v>
      </c>
      <c r="CZ147" t="s">
        <v>135</v>
      </c>
      <c r="DA147" t="s">
        <v>135</v>
      </c>
      <c r="DB147" t="s">
        <v>135</v>
      </c>
      <c r="DC147" t="s">
        <v>135</v>
      </c>
      <c r="DD147" t="s">
        <v>135</v>
      </c>
      <c r="DE147" t="s">
        <v>135</v>
      </c>
      <c r="DF147" t="s">
        <v>135</v>
      </c>
      <c r="DG147" t="s">
        <v>135</v>
      </c>
      <c r="DH147" t="s">
        <v>135</v>
      </c>
      <c r="DI147" t="s">
        <v>135</v>
      </c>
    </row>
    <row r="148" spans="1:113" x14ac:dyDescent="0.3">
      <c r="D148" t="s">
        <v>85</v>
      </c>
      <c r="E148" t="s">
        <v>77</v>
      </c>
      <c r="F148">
        <v>13.016299999999999</v>
      </c>
      <c r="G148">
        <v>1.9109</v>
      </c>
      <c r="H148">
        <v>2.4897999999999998</v>
      </c>
      <c r="I148">
        <v>7.3346999999999998</v>
      </c>
      <c r="J148">
        <v>61.802599999999998</v>
      </c>
      <c r="K148">
        <v>31.572600000000001</v>
      </c>
      <c r="L148">
        <v>21.282599999999999</v>
      </c>
      <c r="M148">
        <v>19.273700000000002</v>
      </c>
      <c r="N148">
        <v>22.5382</v>
      </c>
      <c r="O148">
        <v>12.68</v>
      </c>
      <c r="P148">
        <v>22.5382</v>
      </c>
      <c r="Q148">
        <v>34.307299999999998</v>
      </c>
      <c r="R148">
        <v>16.0335</v>
      </c>
      <c r="S148">
        <v>10.929399999999999</v>
      </c>
      <c r="T148">
        <v>12.5884</v>
      </c>
      <c r="U148">
        <v>6.7069999999999999</v>
      </c>
      <c r="V148">
        <v>12.523899999999999</v>
      </c>
      <c r="W148">
        <v>23.0016</v>
      </c>
      <c r="X148">
        <v>23.001100000000001</v>
      </c>
      <c r="Y148">
        <v>10</v>
      </c>
      <c r="Z148" t="s">
        <v>135</v>
      </c>
      <c r="AA148" t="s">
        <v>135</v>
      </c>
      <c r="AB148">
        <v>-10.753399999999999</v>
      </c>
      <c r="AC148">
        <v>18.8599</v>
      </c>
      <c r="AD148" t="s">
        <v>135</v>
      </c>
      <c r="AE148" t="s">
        <v>135</v>
      </c>
      <c r="AF148" t="s">
        <v>135</v>
      </c>
      <c r="AG148">
        <v>-58.7973</v>
      </c>
      <c r="AH148">
        <v>-9.4710999999999999</v>
      </c>
      <c r="AI148">
        <v>11.084199999999999</v>
      </c>
      <c r="AJ148">
        <v>-5.8548</v>
      </c>
      <c r="AK148">
        <v>11.0974</v>
      </c>
      <c r="AL148" t="s">
        <v>135</v>
      </c>
      <c r="AM148">
        <v>11.8413</v>
      </c>
      <c r="AN148">
        <v>8.0823999999999998</v>
      </c>
      <c r="AO148">
        <v>0.16689999999999999</v>
      </c>
      <c r="AP148">
        <v>1.244</v>
      </c>
      <c r="AQ148">
        <v>1.24</v>
      </c>
      <c r="AR148">
        <v>9.4609000000000005</v>
      </c>
      <c r="AS148" t="s">
        <v>135</v>
      </c>
      <c r="AT148" t="s">
        <v>135</v>
      </c>
      <c r="AU148">
        <v>11.2996</v>
      </c>
      <c r="AV148">
        <v>13.3575</v>
      </c>
      <c r="AW148" t="s">
        <v>135</v>
      </c>
      <c r="AX148" t="s">
        <v>135</v>
      </c>
      <c r="AY148" t="s">
        <v>135</v>
      </c>
      <c r="AZ148">
        <v>-9.0648999999999997</v>
      </c>
      <c r="BA148">
        <v>7.5547000000000004</v>
      </c>
      <c r="BB148">
        <v>11.398</v>
      </c>
      <c r="BC148">
        <v>8.2883999999999993</v>
      </c>
      <c r="BD148">
        <v>11.3934</v>
      </c>
      <c r="BE148" t="s">
        <v>135</v>
      </c>
      <c r="BF148">
        <v>12.5884</v>
      </c>
      <c r="BG148">
        <v>6.7069999999999999</v>
      </c>
      <c r="BH148">
        <v>12.523899999999999</v>
      </c>
      <c r="BI148">
        <v>23.0016</v>
      </c>
      <c r="BJ148">
        <v>23.001100000000001</v>
      </c>
      <c r="BK148">
        <v>10</v>
      </c>
      <c r="BL148" t="s">
        <v>135</v>
      </c>
      <c r="BM148" t="s">
        <v>135</v>
      </c>
      <c r="BN148">
        <v>-10.753399999999999</v>
      </c>
      <c r="BO148">
        <v>18.8599</v>
      </c>
      <c r="BP148" t="s">
        <v>135</v>
      </c>
      <c r="BQ148" t="s">
        <v>135</v>
      </c>
      <c r="BR148" t="s">
        <v>135</v>
      </c>
      <c r="BS148">
        <v>-58.7973</v>
      </c>
      <c r="BT148">
        <v>-9.4710999999999999</v>
      </c>
      <c r="BU148">
        <v>11.084199999999999</v>
      </c>
      <c r="BV148">
        <v>-5.8548</v>
      </c>
      <c r="BW148">
        <v>11.0974</v>
      </c>
      <c r="BX148" t="s">
        <v>135</v>
      </c>
      <c r="BY148">
        <v>480523.8</v>
      </c>
      <c r="BZ148">
        <v>76764.600000000006</v>
      </c>
      <c r="CA148">
        <v>403759.2</v>
      </c>
      <c r="CB148">
        <v>6.3330000000000002</v>
      </c>
      <c r="CC148">
        <v>5.8536000000000001</v>
      </c>
      <c r="CD148">
        <v>22.034600000000001</v>
      </c>
      <c r="CE148">
        <v>20.366599999999998</v>
      </c>
      <c r="CF148">
        <v>1.413</v>
      </c>
      <c r="CG148">
        <v>14.226000000000001</v>
      </c>
      <c r="CH148">
        <v>320.74950000000001</v>
      </c>
      <c r="CI148">
        <v>66.582599999999999</v>
      </c>
      <c r="CJ148">
        <v>45.6297</v>
      </c>
      <c r="CK148">
        <v>381.73200000000003</v>
      </c>
      <c r="CL148">
        <v>79.241600000000005</v>
      </c>
      <c r="CM148">
        <v>54.305</v>
      </c>
      <c r="CN148">
        <v>352.83530000000002</v>
      </c>
      <c r="CO148">
        <v>77.916899999999998</v>
      </c>
      <c r="CP148">
        <v>75876.100000000006</v>
      </c>
      <c r="CQ148" t="s">
        <v>135</v>
      </c>
      <c r="CR148">
        <v>21807.7</v>
      </c>
      <c r="CS148" t="s">
        <v>135</v>
      </c>
      <c r="CT148" t="s">
        <v>135</v>
      </c>
      <c r="CU148" t="s">
        <v>135</v>
      </c>
      <c r="CV148" t="s">
        <v>135</v>
      </c>
      <c r="CW148" t="s">
        <v>135</v>
      </c>
      <c r="CX148" t="s">
        <v>135</v>
      </c>
      <c r="CY148" t="s">
        <v>135</v>
      </c>
      <c r="CZ148" t="s">
        <v>135</v>
      </c>
      <c r="DA148" t="s">
        <v>135</v>
      </c>
      <c r="DB148" t="s">
        <v>135</v>
      </c>
      <c r="DC148" t="s">
        <v>135</v>
      </c>
      <c r="DD148" t="s">
        <v>135</v>
      </c>
      <c r="DE148" t="s">
        <v>135</v>
      </c>
      <c r="DF148" t="s">
        <v>135</v>
      </c>
      <c r="DG148" t="s">
        <v>135</v>
      </c>
      <c r="DH148" t="s">
        <v>135</v>
      </c>
      <c r="DI148" t="s">
        <v>135</v>
      </c>
    </row>
    <row r="149" spans="1:113" x14ac:dyDescent="0.3">
      <c r="E149" t="s">
        <v>78</v>
      </c>
      <c r="F149" t="s">
        <v>135</v>
      </c>
      <c r="G149" t="s">
        <v>135</v>
      </c>
      <c r="H149" t="s">
        <v>135</v>
      </c>
      <c r="I149" t="s">
        <v>135</v>
      </c>
      <c r="J149" t="s">
        <v>135</v>
      </c>
      <c r="K149" t="s">
        <v>135</v>
      </c>
      <c r="L149" t="s">
        <v>135</v>
      </c>
      <c r="M149" t="s">
        <v>135</v>
      </c>
      <c r="N149" t="s">
        <v>135</v>
      </c>
      <c r="O149" t="s">
        <v>135</v>
      </c>
      <c r="P149" t="s">
        <v>135</v>
      </c>
      <c r="Q149" t="s">
        <v>135</v>
      </c>
      <c r="R149" t="s">
        <v>135</v>
      </c>
      <c r="S149" t="s">
        <v>135</v>
      </c>
      <c r="T149" t="s">
        <v>135</v>
      </c>
      <c r="U149" t="s">
        <v>135</v>
      </c>
      <c r="V149" t="s">
        <v>135</v>
      </c>
      <c r="W149" t="s">
        <v>135</v>
      </c>
      <c r="X149" t="s">
        <v>135</v>
      </c>
      <c r="Y149" t="s">
        <v>135</v>
      </c>
      <c r="Z149" t="s">
        <v>135</v>
      </c>
      <c r="AA149" t="s">
        <v>135</v>
      </c>
      <c r="AB149" t="s">
        <v>135</v>
      </c>
      <c r="AC149" t="s">
        <v>135</v>
      </c>
      <c r="AD149" t="s">
        <v>135</v>
      </c>
      <c r="AE149" t="s">
        <v>135</v>
      </c>
      <c r="AF149" t="s">
        <v>135</v>
      </c>
      <c r="AG149" t="s">
        <v>135</v>
      </c>
      <c r="AH149" t="s">
        <v>135</v>
      </c>
      <c r="AI149" t="s">
        <v>135</v>
      </c>
      <c r="AJ149" t="s">
        <v>135</v>
      </c>
      <c r="AK149" t="s">
        <v>135</v>
      </c>
      <c r="AL149" t="s">
        <v>135</v>
      </c>
      <c r="AM149" t="s">
        <v>135</v>
      </c>
      <c r="AN149" t="s">
        <v>135</v>
      </c>
      <c r="AO149" t="s">
        <v>135</v>
      </c>
      <c r="AP149" t="s">
        <v>135</v>
      </c>
      <c r="AQ149" t="s">
        <v>135</v>
      </c>
      <c r="AR149" t="s">
        <v>135</v>
      </c>
      <c r="AS149" t="s">
        <v>135</v>
      </c>
      <c r="AT149" t="s">
        <v>135</v>
      </c>
      <c r="AU149" t="s">
        <v>135</v>
      </c>
      <c r="AV149" t="s">
        <v>135</v>
      </c>
      <c r="AW149" t="s">
        <v>135</v>
      </c>
      <c r="AX149" t="s">
        <v>135</v>
      </c>
      <c r="AY149" t="s">
        <v>135</v>
      </c>
      <c r="AZ149" t="s">
        <v>135</v>
      </c>
      <c r="BA149" t="s">
        <v>135</v>
      </c>
      <c r="BB149" t="s">
        <v>135</v>
      </c>
      <c r="BC149" t="s">
        <v>135</v>
      </c>
      <c r="BD149" t="s">
        <v>135</v>
      </c>
      <c r="BE149" t="s">
        <v>135</v>
      </c>
      <c r="BF149" t="s">
        <v>135</v>
      </c>
      <c r="BG149" t="s">
        <v>135</v>
      </c>
      <c r="BH149" t="s">
        <v>135</v>
      </c>
      <c r="BI149" t="s">
        <v>135</v>
      </c>
      <c r="BJ149" t="s">
        <v>135</v>
      </c>
      <c r="BK149" t="s">
        <v>135</v>
      </c>
      <c r="BL149" t="s">
        <v>135</v>
      </c>
      <c r="BM149" t="s">
        <v>135</v>
      </c>
      <c r="BN149" t="s">
        <v>135</v>
      </c>
      <c r="BO149" t="s">
        <v>135</v>
      </c>
      <c r="BP149" t="s">
        <v>135</v>
      </c>
      <c r="BQ149" t="s">
        <v>135</v>
      </c>
      <c r="BR149" t="s">
        <v>135</v>
      </c>
      <c r="BS149" t="s">
        <v>135</v>
      </c>
      <c r="BT149" t="s">
        <v>135</v>
      </c>
      <c r="BU149" t="s">
        <v>135</v>
      </c>
      <c r="BV149" t="s">
        <v>135</v>
      </c>
      <c r="BW149" t="s">
        <v>135</v>
      </c>
      <c r="BX149" t="s">
        <v>135</v>
      </c>
      <c r="BY149" t="s">
        <v>135</v>
      </c>
      <c r="BZ149" t="s">
        <v>135</v>
      </c>
      <c r="CA149" t="s">
        <v>135</v>
      </c>
      <c r="CB149" t="s">
        <v>135</v>
      </c>
      <c r="CC149" t="s">
        <v>135</v>
      </c>
      <c r="CD149" t="s">
        <v>135</v>
      </c>
      <c r="CE149" t="s">
        <v>135</v>
      </c>
      <c r="CF149" t="s">
        <v>135</v>
      </c>
      <c r="CG149" t="s">
        <v>135</v>
      </c>
      <c r="CH149" t="s">
        <v>135</v>
      </c>
      <c r="CI149" t="s">
        <v>135</v>
      </c>
      <c r="CJ149" t="s">
        <v>135</v>
      </c>
      <c r="CK149" t="s">
        <v>135</v>
      </c>
      <c r="CL149" t="s">
        <v>135</v>
      </c>
      <c r="CM149" t="s">
        <v>135</v>
      </c>
      <c r="CN149" t="s">
        <v>135</v>
      </c>
      <c r="CO149" t="s">
        <v>135</v>
      </c>
      <c r="CP149" t="s">
        <v>135</v>
      </c>
      <c r="CQ149" t="s">
        <v>135</v>
      </c>
      <c r="CR149" t="s">
        <v>135</v>
      </c>
      <c r="CS149" t="s">
        <v>135</v>
      </c>
      <c r="CT149" t="s">
        <v>135</v>
      </c>
      <c r="CU149" t="s">
        <v>135</v>
      </c>
      <c r="CV149" t="s">
        <v>135</v>
      </c>
      <c r="CW149" t="s">
        <v>135</v>
      </c>
      <c r="CX149" t="s">
        <v>135</v>
      </c>
      <c r="CY149" t="s">
        <v>135</v>
      </c>
      <c r="CZ149" t="s">
        <v>135</v>
      </c>
      <c r="DA149" t="s">
        <v>135</v>
      </c>
      <c r="DB149" t="s">
        <v>135</v>
      </c>
      <c r="DC149" t="s">
        <v>135</v>
      </c>
      <c r="DD149" t="s">
        <v>135</v>
      </c>
      <c r="DE149" t="s">
        <v>135</v>
      </c>
      <c r="DF149" t="s">
        <v>135</v>
      </c>
      <c r="DG149" t="s">
        <v>135</v>
      </c>
      <c r="DH149" t="s">
        <v>135</v>
      </c>
      <c r="DI149" t="s">
        <v>135</v>
      </c>
    </row>
    <row r="150" spans="1:113" x14ac:dyDescent="0.3">
      <c r="E150" t="s">
        <v>79</v>
      </c>
      <c r="F150" t="s">
        <v>135</v>
      </c>
      <c r="G150" t="s">
        <v>135</v>
      </c>
      <c r="H150" t="s">
        <v>135</v>
      </c>
      <c r="I150" t="s">
        <v>135</v>
      </c>
      <c r="J150" t="s">
        <v>135</v>
      </c>
      <c r="K150" t="s">
        <v>135</v>
      </c>
      <c r="L150" t="s">
        <v>135</v>
      </c>
      <c r="M150" t="s">
        <v>135</v>
      </c>
      <c r="N150" t="s">
        <v>135</v>
      </c>
      <c r="O150" t="s">
        <v>135</v>
      </c>
      <c r="P150" t="s">
        <v>135</v>
      </c>
      <c r="Q150" t="s">
        <v>135</v>
      </c>
      <c r="R150" t="s">
        <v>135</v>
      </c>
      <c r="S150" t="s">
        <v>135</v>
      </c>
      <c r="T150" t="s">
        <v>135</v>
      </c>
      <c r="U150" t="s">
        <v>135</v>
      </c>
      <c r="V150" t="s">
        <v>135</v>
      </c>
      <c r="W150" t="s">
        <v>135</v>
      </c>
      <c r="X150" t="s">
        <v>135</v>
      </c>
      <c r="Y150" t="s">
        <v>135</v>
      </c>
      <c r="Z150" t="s">
        <v>135</v>
      </c>
      <c r="AA150" t="s">
        <v>135</v>
      </c>
      <c r="AB150" t="s">
        <v>135</v>
      </c>
      <c r="AC150" t="s">
        <v>135</v>
      </c>
      <c r="AD150" t="s">
        <v>135</v>
      </c>
      <c r="AE150" t="s">
        <v>135</v>
      </c>
      <c r="AF150" t="s">
        <v>135</v>
      </c>
      <c r="AG150" t="s">
        <v>135</v>
      </c>
      <c r="AH150" t="s">
        <v>135</v>
      </c>
      <c r="AI150" t="s">
        <v>135</v>
      </c>
      <c r="AJ150" t="s">
        <v>135</v>
      </c>
      <c r="AK150" t="s">
        <v>135</v>
      </c>
      <c r="AL150" t="s">
        <v>135</v>
      </c>
      <c r="AM150" t="s">
        <v>135</v>
      </c>
      <c r="AN150" t="s">
        <v>135</v>
      </c>
      <c r="AO150" t="s">
        <v>135</v>
      </c>
      <c r="AP150" t="s">
        <v>135</v>
      </c>
      <c r="AQ150" t="s">
        <v>135</v>
      </c>
      <c r="AR150" t="s">
        <v>135</v>
      </c>
      <c r="AS150" t="s">
        <v>135</v>
      </c>
      <c r="AT150" t="s">
        <v>135</v>
      </c>
      <c r="AU150" t="s">
        <v>135</v>
      </c>
      <c r="AV150" t="s">
        <v>135</v>
      </c>
      <c r="AW150" t="s">
        <v>135</v>
      </c>
      <c r="AX150" t="s">
        <v>135</v>
      </c>
      <c r="AY150" t="s">
        <v>135</v>
      </c>
      <c r="AZ150" t="s">
        <v>135</v>
      </c>
      <c r="BA150" t="s">
        <v>135</v>
      </c>
      <c r="BB150" t="s">
        <v>135</v>
      </c>
      <c r="BC150" t="s">
        <v>135</v>
      </c>
      <c r="BD150" t="s">
        <v>135</v>
      </c>
      <c r="BE150" t="s">
        <v>135</v>
      </c>
      <c r="BF150" t="s">
        <v>135</v>
      </c>
      <c r="BG150" t="s">
        <v>135</v>
      </c>
      <c r="BH150" t="s">
        <v>135</v>
      </c>
      <c r="BI150" t="s">
        <v>135</v>
      </c>
      <c r="BJ150" t="s">
        <v>135</v>
      </c>
      <c r="BK150" t="s">
        <v>135</v>
      </c>
      <c r="BL150" t="s">
        <v>135</v>
      </c>
      <c r="BM150" t="s">
        <v>135</v>
      </c>
      <c r="BN150" t="s">
        <v>135</v>
      </c>
      <c r="BO150" t="s">
        <v>135</v>
      </c>
      <c r="BP150" t="s">
        <v>135</v>
      </c>
      <c r="BQ150" t="s">
        <v>135</v>
      </c>
      <c r="BR150" t="s">
        <v>135</v>
      </c>
      <c r="BS150" t="s">
        <v>135</v>
      </c>
      <c r="BT150" t="s">
        <v>135</v>
      </c>
      <c r="BU150" t="s">
        <v>135</v>
      </c>
      <c r="BV150" t="s">
        <v>135</v>
      </c>
      <c r="BW150" t="s">
        <v>135</v>
      </c>
      <c r="BX150" t="s">
        <v>135</v>
      </c>
      <c r="BY150" t="s">
        <v>135</v>
      </c>
      <c r="BZ150" t="s">
        <v>135</v>
      </c>
      <c r="CA150" t="s">
        <v>135</v>
      </c>
      <c r="CB150" t="s">
        <v>135</v>
      </c>
      <c r="CC150" t="s">
        <v>135</v>
      </c>
      <c r="CD150" t="s">
        <v>135</v>
      </c>
      <c r="CE150" t="s">
        <v>135</v>
      </c>
      <c r="CF150" t="s">
        <v>135</v>
      </c>
      <c r="CG150" t="s">
        <v>135</v>
      </c>
      <c r="CH150" t="s">
        <v>135</v>
      </c>
      <c r="CI150" t="s">
        <v>135</v>
      </c>
      <c r="CJ150" t="s">
        <v>135</v>
      </c>
      <c r="CK150" t="s">
        <v>135</v>
      </c>
      <c r="CL150" t="s">
        <v>135</v>
      </c>
      <c r="CM150" t="s">
        <v>135</v>
      </c>
      <c r="CN150" t="s">
        <v>135</v>
      </c>
      <c r="CO150" t="s">
        <v>135</v>
      </c>
      <c r="CP150" t="s">
        <v>135</v>
      </c>
      <c r="CQ150" t="s">
        <v>135</v>
      </c>
      <c r="CR150" t="s">
        <v>135</v>
      </c>
      <c r="CS150" t="s">
        <v>135</v>
      </c>
      <c r="CT150" t="s">
        <v>135</v>
      </c>
      <c r="CU150" t="s">
        <v>135</v>
      </c>
      <c r="CV150" t="s">
        <v>135</v>
      </c>
      <c r="CW150" t="s">
        <v>135</v>
      </c>
      <c r="CX150" t="s">
        <v>135</v>
      </c>
      <c r="CY150" t="s">
        <v>135</v>
      </c>
      <c r="CZ150" t="s">
        <v>135</v>
      </c>
      <c r="DA150" t="s">
        <v>135</v>
      </c>
      <c r="DB150" t="s">
        <v>135</v>
      </c>
      <c r="DC150" t="s">
        <v>135</v>
      </c>
      <c r="DD150" t="s">
        <v>135</v>
      </c>
      <c r="DE150" t="s">
        <v>135</v>
      </c>
      <c r="DF150" t="s">
        <v>135</v>
      </c>
      <c r="DG150" t="s">
        <v>135</v>
      </c>
      <c r="DH150" t="s">
        <v>135</v>
      </c>
      <c r="DI150" t="s">
        <v>135</v>
      </c>
    </row>
    <row r="151" spans="1:113" x14ac:dyDescent="0.3">
      <c r="E151" t="s">
        <v>80</v>
      </c>
      <c r="F151" t="s">
        <v>135</v>
      </c>
      <c r="G151" t="s">
        <v>135</v>
      </c>
      <c r="H151" t="s">
        <v>135</v>
      </c>
      <c r="I151" t="s">
        <v>135</v>
      </c>
      <c r="J151" t="s">
        <v>135</v>
      </c>
      <c r="K151" t="s">
        <v>135</v>
      </c>
      <c r="L151" t="s">
        <v>135</v>
      </c>
      <c r="M151" t="s">
        <v>135</v>
      </c>
      <c r="N151" t="s">
        <v>135</v>
      </c>
      <c r="O151" t="s">
        <v>135</v>
      </c>
      <c r="P151" t="s">
        <v>135</v>
      </c>
      <c r="Q151" t="s">
        <v>135</v>
      </c>
      <c r="R151" t="s">
        <v>135</v>
      </c>
      <c r="S151" t="s">
        <v>135</v>
      </c>
      <c r="T151" t="s">
        <v>135</v>
      </c>
      <c r="U151" t="s">
        <v>135</v>
      </c>
      <c r="V151" t="s">
        <v>135</v>
      </c>
      <c r="W151" t="s">
        <v>135</v>
      </c>
      <c r="X151" t="s">
        <v>135</v>
      </c>
      <c r="Y151" t="s">
        <v>135</v>
      </c>
      <c r="Z151" t="s">
        <v>135</v>
      </c>
      <c r="AA151" t="s">
        <v>135</v>
      </c>
      <c r="AB151" t="s">
        <v>135</v>
      </c>
      <c r="AC151" t="s">
        <v>135</v>
      </c>
      <c r="AD151" t="s">
        <v>135</v>
      </c>
      <c r="AE151" t="s">
        <v>135</v>
      </c>
      <c r="AF151" t="s">
        <v>135</v>
      </c>
      <c r="AG151" t="s">
        <v>135</v>
      </c>
      <c r="AH151" t="s">
        <v>135</v>
      </c>
      <c r="AI151" t="s">
        <v>135</v>
      </c>
      <c r="AJ151" t="s">
        <v>135</v>
      </c>
      <c r="AK151" t="s">
        <v>135</v>
      </c>
      <c r="AL151" t="s">
        <v>135</v>
      </c>
      <c r="AM151" t="s">
        <v>135</v>
      </c>
      <c r="AN151" t="s">
        <v>135</v>
      </c>
      <c r="AO151" t="s">
        <v>135</v>
      </c>
      <c r="AP151" t="s">
        <v>135</v>
      </c>
      <c r="AQ151" t="s">
        <v>135</v>
      </c>
      <c r="AR151" t="s">
        <v>135</v>
      </c>
      <c r="AS151" t="s">
        <v>135</v>
      </c>
      <c r="AT151" t="s">
        <v>135</v>
      </c>
      <c r="AU151" t="s">
        <v>135</v>
      </c>
      <c r="AV151" t="s">
        <v>135</v>
      </c>
      <c r="AW151" t="s">
        <v>135</v>
      </c>
      <c r="AX151" t="s">
        <v>135</v>
      </c>
      <c r="AY151" t="s">
        <v>135</v>
      </c>
      <c r="AZ151" t="s">
        <v>135</v>
      </c>
      <c r="BA151" t="s">
        <v>135</v>
      </c>
      <c r="BB151" t="s">
        <v>135</v>
      </c>
      <c r="BC151" t="s">
        <v>135</v>
      </c>
      <c r="BD151" t="s">
        <v>135</v>
      </c>
      <c r="BE151" t="s">
        <v>135</v>
      </c>
      <c r="BF151" t="s">
        <v>135</v>
      </c>
      <c r="BG151" t="s">
        <v>135</v>
      </c>
      <c r="BH151" t="s">
        <v>135</v>
      </c>
      <c r="BI151" t="s">
        <v>135</v>
      </c>
      <c r="BJ151" t="s">
        <v>135</v>
      </c>
      <c r="BK151" t="s">
        <v>135</v>
      </c>
      <c r="BL151" t="s">
        <v>135</v>
      </c>
      <c r="BM151" t="s">
        <v>135</v>
      </c>
      <c r="BN151" t="s">
        <v>135</v>
      </c>
      <c r="BO151" t="s">
        <v>135</v>
      </c>
      <c r="BP151" t="s">
        <v>135</v>
      </c>
      <c r="BQ151" t="s">
        <v>135</v>
      </c>
      <c r="BR151" t="s">
        <v>135</v>
      </c>
      <c r="BS151" t="s">
        <v>135</v>
      </c>
      <c r="BT151" t="s">
        <v>135</v>
      </c>
      <c r="BU151" t="s">
        <v>135</v>
      </c>
      <c r="BV151" t="s">
        <v>135</v>
      </c>
      <c r="BW151" t="s">
        <v>135</v>
      </c>
      <c r="BX151" t="s">
        <v>135</v>
      </c>
      <c r="BY151" t="s">
        <v>135</v>
      </c>
      <c r="BZ151" t="s">
        <v>135</v>
      </c>
      <c r="CA151" t="s">
        <v>135</v>
      </c>
      <c r="CB151" t="s">
        <v>135</v>
      </c>
      <c r="CC151" t="s">
        <v>135</v>
      </c>
      <c r="CD151" t="s">
        <v>135</v>
      </c>
      <c r="CE151" t="s">
        <v>135</v>
      </c>
      <c r="CF151" t="s">
        <v>135</v>
      </c>
      <c r="CG151" t="s">
        <v>135</v>
      </c>
      <c r="CH151" t="s">
        <v>135</v>
      </c>
      <c r="CI151" t="s">
        <v>135</v>
      </c>
      <c r="CJ151" t="s">
        <v>135</v>
      </c>
      <c r="CK151" t="s">
        <v>135</v>
      </c>
      <c r="CL151" t="s">
        <v>135</v>
      </c>
      <c r="CM151" t="s">
        <v>135</v>
      </c>
      <c r="CN151" t="s">
        <v>135</v>
      </c>
      <c r="CO151" t="s">
        <v>135</v>
      </c>
      <c r="CP151" t="s">
        <v>135</v>
      </c>
      <c r="CQ151" t="s">
        <v>135</v>
      </c>
      <c r="CR151" t="s">
        <v>135</v>
      </c>
      <c r="CS151" t="s">
        <v>135</v>
      </c>
      <c r="CT151" t="s">
        <v>135</v>
      </c>
      <c r="CU151" t="s">
        <v>135</v>
      </c>
      <c r="CV151" t="s">
        <v>135</v>
      </c>
      <c r="CW151" t="s">
        <v>135</v>
      </c>
      <c r="CX151" t="s">
        <v>135</v>
      </c>
      <c r="CY151" t="s">
        <v>135</v>
      </c>
      <c r="CZ151" t="s">
        <v>135</v>
      </c>
      <c r="DA151" t="s">
        <v>135</v>
      </c>
      <c r="DB151" t="s">
        <v>135</v>
      </c>
      <c r="DC151" t="s">
        <v>135</v>
      </c>
      <c r="DD151" t="s">
        <v>135</v>
      </c>
      <c r="DE151" t="s">
        <v>135</v>
      </c>
      <c r="DF151" t="s">
        <v>135</v>
      </c>
      <c r="DG151" t="s">
        <v>135</v>
      </c>
      <c r="DH151" t="s">
        <v>135</v>
      </c>
      <c r="DI151" t="s">
        <v>135</v>
      </c>
    </row>
    <row r="152" spans="1:113" x14ac:dyDescent="0.3">
      <c r="E152" t="s">
        <v>81</v>
      </c>
      <c r="F152" t="s">
        <v>135</v>
      </c>
      <c r="G152" t="s">
        <v>135</v>
      </c>
      <c r="H152" t="s">
        <v>135</v>
      </c>
      <c r="I152" t="s">
        <v>135</v>
      </c>
      <c r="J152" t="s">
        <v>135</v>
      </c>
      <c r="K152" t="s">
        <v>135</v>
      </c>
      <c r="L152" t="s">
        <v>135</v>
      </c>
      <c r="M152" t="s">
        <v>135</v>
      </c>
      <c r="N152" t="s">
        <v>135</v>
      </c>
      <c r="O152" t="s">
        <v>135</v>
      </c>
      <c r="P152" t="s">
        <v>135</v>
      </c>
      <c r="Q152" t="s">
        <v>135</v>
      </c>
      <c r="R152" t="s">
        <v>135</v>
      </c>
      <c r="S152" t="s">
        <v>135</v>
      </c>
      <c r="T152" t="s">
        <v>135</v>
      </c>
      <c r="U152" t="s">
        <v>135</v>
      </c>
      <c r="V152" t="s">
        <v>135</v>
      </c>
      <c r="W152" t="s">
        <v>135</v>
      </c>
      <c r="X152" t="s">
        <v>135</v>
      </c>
      <c r="Y152" t="s">
        <v>135</v>
      </c>
      <c r="Z152" t="s">
        <v>135</v>
      </c>
      <c r="AA152" t="s">
        <v>135</v>
      </c>
      <c r="AB152" t="s">
        <v>135</v>
      </c>
      <c r="AC152" t="s">
        <v>135</v>
      </c>
      <c r="AD152" t="s">
        <v>135</v>
      </c>
      <c r="AE152" t="s">
        <v>135</v>
      </c>
      <c r="AF152" t="s">
        <v>135</v>
      </c>
      <c r="AG152" t="s">
        <v>135</v>
      </c>
      <c r="AH152" t="s">
        <v>135</v>
      </c>
      <c r="AI152" t="s">
        <v>135</v>
      </c>
      <c r="AJ152" t="s">
        <v>135</v>
      </c>
      <c r="AK152" t="s">
        <v>135</v>
      </c>
      <c r="AL152" t="s">
        <v>135</v>
      </c>
      <c r="AM152" t="s">
        <v>135</v>
      </c>
      <c r="AN152" t="s">
        <v>135</v>
      </c>
      <c r="AO152" t="s">
        <v>135</v>
      </c>
      <c r="AP152" t="s">
        <v>135</v>
      </c>
      <c r="AQ152" t="s">
        <v>135</v>
      </c>
      <c r="AR152" t="s">
        <v>135</v>
      </c>
      <c r="AS152" t="s">
        <v>135</v>
      </c>
      <c r="AT152" t="s">
        <v>135</v>
      </c>
      <c r="AU152" t="s">
        <v>135</v>
      </c>
      <c r="AV152" t="s">
        <v>135</v>
      </c>
      <c r="AW152" t="s">
        <v>135</v>
      </c>
      <c r="AX152" t="s">
        <v>135</v>
      </c>
      <c r="AY152" t="s">
        <v>135</v>
      </c>
      <c r="AZ152" t="s">
        <v>135</v>
      </c>
      <c r="BA152" t="s">
        <v>135</v>
      </c>
      <c r="BB152" t="s">
        <v>135</v>
      </c>
      <c r="BC152" t="s">
        <v>135</v>
      </c>
      <c r="BD152" t="s">
        <v>135</v>
      </c>
      <c r="BE152" t="s">
        <v>135</v>
      </c>
      <c r="BF152" t="s">
        <v>135</v>
      </c>
      <c r="BG152" t="s">
        <v>135</v>
      </c>
      <c r="BH152" t="s">
        <v>135</v>
      </c>
      <c r="BI152" t="s">
        <v>135</v>
      </c>
      <c r="BJ152" t="s">
        <v>135</v>
      </c>
      <c r="BK152" t="s">
        <v>135</v>
      </c>
      <c r="BL152" t="s">
        <v>135</v>
      </c>
      <c r="BM152" t="s">
        <v>135</v>
      </c>
      <c r="BN152" t="s">
        <v>135</v>
      </c>
      <c r="BO152" t="s">
        <v>135</v>
      </c>
      <c r="BP152" t="s">
        <v>135</v>
      </c>
      <c r="BQ152" t="s">
        <v>135</v>
      </c>
      <c r="BR152" t="s">
        <v>135</v>
      </c>
      <c r="BS152" t="s">
        <v>135</v>
      </c>
      <c r="BT152" t="s">
        <v>135</v>
      </c>
      <c r="BU152" t="s">
        <v>135</v>
      </c>
      <c r="BV152" t="s">
        <v>135</v>
      </c>
      <c r="BW152" t="s">
        <v>135</v>
      </c>
      <c r="BX152" t="s">
        <v>135</v>
      </c>
      <c r="BY152" t="s">
        <v>135</v>
      </c>
      <c r="BZ152" t="s">
        <v>135</v>
      </c>
      <c r="CA152" t="s">
        <v>135</v>
      </c>
      <c r="CB152" t="s">
        <v>135</v>
      </c>
      <c r="CC152" t="s">
        <v>135</v>
      </c>
      <c r="CD152" t="s">
        <v>135</v>
      </c>
      <c r="CE152" t="s">
        <v>135</v>
      </c>
      <c r="CF152" t="s">
        <v>135</v>
      </c>
      <c r="CG152" t="s">
        <v>135</v>
      </c>
      <c r="CH152" t="s">
        <v>135</v>
      </c>
      <c r="CI152" t="s">
        <v>135</v>
      </c>
      <c r="CJ152" t="s">
        <v>135</v>
      </c>
      <c r="CK152" t="s">
        <v>135</v>
      </c>
      <c r="CL152" t="s">
        <v>135</v>
      </c>
      <c r="CM152" t="s">
        <v>135</v>
      </c>
      <c r="CN152" t="s">
        <v>135</v>
      </c>
      <c r="CO152" t="s">
        <v>135</v>
      </c>
      <c r="CP152" t="s">
        <v>135</v>
      </c>
      <c r="CQ152" t="s">
        <v>135</v>
      </c>
      <c r="CR152" t="s">
        <v>135</v>
      </c>
      <c r="CS152" t="s">
        <v>135</v>
      </c>
      <c r="CT152" t="s">
        <v>135</v>
      </c>
      <c r="CU152" t="s">
        <v>135</v>
      </c>
      <c r="CV152" t="s">
        <v>135</v>
      </c>
      <c r="CW152" t="s">
        <v>135</v>
      </c>
      <c r="CX152" t="s">
        <v>135</v>
      </c>
      <c r="CY152" t="s">
        <v>135</v>
      </c>
      <c r="CZ152" t="s">
        <v>135</v>
      </c>
      <c r="DA152" t="s">
        <v>135</v>
      </c>
      <c r="DB152" t="s">
        <v>135</v>
      </c>
      <c r="DC152" t="s">
        <v>135</v>
      </c>
      <c r="DD152" t="s">
        <v>135</v>
      </c>
      <c r="DE152" t="s">
        <v>135</v>
      </c>
      <c r="DF152" t="s">
        <v>135</v>
      </c>
      <c r="DG152" t="s">
        <v>135</v>
      </c>
      <c r="DH152" t="s">
        <v>135</v>
      </c>
      <c r="DI152" t="s">
        <v>135</v>
      </c>
    </row>
    <row r="153" spans="1:113" x14ac:dyDescent="0.3">
      <c r="A153">
        <v>82</v>
      </c>
      <c r="B153" t="s">
        <v>96</v>
      </c>
      <c r="C153" t="s">
        <v>97</v>
      </c>
      <c r="D153" t="s">
        <v>76</v>
      </c>
      <c r="E153" t="s">
        <v>77</v>
      </c>
      <c r="F153" t="s">
        <v>135</v>
      </c>
      <c r="G153" t="s">
        <v>135</v>
      </c>
      <c r="H153" t="s">
        <v>135</v>
      </c>
      <c r="I153" t="s">
        <v>135</v>
      </c>
      <c r="J153" t="s">
        <v>135</v>
      </c>
      <c r="K153" t="s">
        <v>135</v>
      </c>
      <c r="L153" t="s">
        <v>135</v>
      </c>
      <c r="M153" t="s">
        <v>135</v>
      </c>
      <c r="N153" t="s">
        <v>135</v>
      </c>
      <c r="O153" t="s">
        <v>135</v>
      </c>
      <c r="P153" t="s">
        <v>135</v>
      </c>
      <c r="Q153" t="s">
        <v>135</v>
      </c>
      <c r="R153" t="s">
        <v>135</v>
      </c>
      <c r="S153" t="s">
        <v>135</v>
      </c>
      <c r="T153" t="s">
        <v>135</v>
      </c>
      <c r="U153" t="s">
        <v>135</v>
      </c>
      <c r="V153" t="s">
        <v>135</v>
      </c>
      <c r="W153" t="s">
        <v>135</v>
      </c>
      <c r="X153" t="s">
        <v>135</v>
      </c>
      <c r="Y153" t="s">
        <v>135</v>
      </c>
      <c r="Z153" t="s">
        <v>135</v>
      </c>
      <c r="AA153" t="s">
        <v>135</v>
      </c>
      <c r="AB153" t="s">
        <v>135</v>
      </c>
      <c r="AC153" t="s">
        <v>135</v>
      </c>
      <c r="AD153" t="s">
        <v>135</v>
      </c>
      <c r="AE153" t="s">
        <v>135</v>
      </c>
      <c r="AF153" t="s">
        <v>135</v>
      </c>
      <c r="AG153" t="s">
        <v>135</v>
      </c>
      <c r="AH153" t="s">
        <v>135</v>
      </c>
      <c r="AI153" t="s">
        <v>135</v>
      </c>
      <c r="AJ153" t="s">
        <v>135</v>
      </c>
      <c r="AK153" t="s">
        <v>135</v>
      </c>
      <c r="AL153" t="s">
        <v>135</v>
      </c>
      <c r="AM153" t="s">
        <v>135</v>
      </c>
      <c r="AN153" t="s">
        <v>135</v>
      </c>
      <c r="AO153" t="s">
        <v>135</v>
      </c>
      <c r="AP153" t="s">
        <v>135</v>
      </c>
      <c r="AQ153" t="s">
        <v>135</v>
      </c>
      <c r="AR153" t="s">
        <v>135</v>
      </c>
      <c r="AS153" t="s">
        <v>135</v>
      </c>
      <c r="AT153" t="s">
        <v>135</v>
      </c>
      <c r="AU153" t="s">
        <v>135</v>
      </c>
      <c r="AV153" t="s">
        <v>135</v>
      </c>
      <c r="AW153" t="s">
        <v>135</v>
      </c>
      <c r="AX153" t="s">
        <v>135</v>
      </c>
      <c r="AY153" t="s">
        <v>135</v>
      </c>
      <c r="AZ153" t="s">
        <v>135</v>
      </c>
      <c r="BA153" t="s">
        <v>135</v>
      </c>
      <c r="BB153" t="s">
        <v>135</v>
      </c>
      <c r="BC153" t="s">
        <v>135</v>
      </c>
      <c r="BD153" t="s">
        <v>135</v>
      </c>
      <c r="BE153" t="s">
        <v>135</v>
      </c>
      <c r="BF153" t="s">
        <v>135</v>
      </c>
      <c r="BG153" t="s">
        <v>135</v>
      </c>
      <c r="BH153" t="s">
        <v>135</v>
      </c>
      <c r="BI153" t="s">
        <v>135</v>
      </c>
      <c r="BJ153" t="s">
        <v>135</v>
      </c>
      <c r="BK153" t="s">
        <v>135</v>
      </c>
      <c r="BL153" t="s">
        <v>135</v>
      </c>
      <c r="BM153" t="s">
        <v>135</v>
      </c>
      <c r="BN153" t="s">
        <v>135</v>
      </c>
      <c r="BO153" t="s">
        <v>135</v>
      </c>
      <c r="BP153" t="s">
        <v>135</v>
      </c>
      <c r="BQ153" t="s">
        <v>135</v>
      </c>
      <c r="BR153" t="s">
        <v>135</v>
      </c>
      <c r="BS153" t="s">
        <v>135</v>
      </c>
      <c r="BT153" t="s">
        <v>135</v>
      </c>
      <c r="BU153" t="s">
        <v>135</v>
      </c>
      <c r="BV153" t="s">
        <v>135</v>
      </c>
      <c r="BW153" t="s">
        <v>135</v>
      </c>
      <c r="BX153" t="s">
        <v>135</v>
      </c>
      <c r="BY153" t="s">
        <v>135</v>
      </c>
      <c r="BZ153" t="s">
        <v>135</v>
      </c>
      <c r="CA153" t="s">
        <v>135</v>
      </c>
      <c r="CB153" t="s">
        <v>135</v>
      </c>
      <c r="CC153" t="s">
        <v>135</v>
      </c>
      <c r="CD153" t="s">
        <v>135</v>
      </c>
      <c r="CE153" t="s">
        <v>135</v>
      </c>
      <c r="CF153" t="s">
        <v>135</v>
      </c>
      <c r="CG153" t="s">
        <v>135</v>
      </c>
      <c r="CH153" t="s">
        <v>135</v>
      </c>
      <c r="CI153" t="s">
        <v>135</v>
      </c>
      <c r="CJ153" t="s">
        <v>135</v>
      </c>
      <c r="CK153" t="s">
        <v>135</v>
      </c>
      <c r="CL153" t="s">
        <v>135</v>
      </c>
      <c r="CM153" t="s">
        <v>135</v>
      </c>
      <c r="CN153" t="s">
        <v>135</v>
      </c>
      <c r="CO153" t="s">
        <v>135</v>
      </c>
      <c r="CP153" t="s">
        <v>135</v>
      </c>
      <c r="CQ153" t="s">
        <v>135</v>
      </c>
      <c r="CR153" t="s">
        <v>135</v>
      </c>
      <c r="CS153" t="s">
        <v>135</v>
      </c>
      <c r="CT153" t="s">
        <v>135</v>
      </c>
      <c r="CU153" t="s">
        <v>135</v>
      </c>
      <c r="CV153" t="s">
        <v>135</v>
      </c>
      <c r="CW153" t="s">
        <v>135</v>
      </c>
      <c r="CX153" t="s">
        <v>135</v>
      </c>
      <c r="CY153" t="s">
        <v>135</v>
      </c>
      <c r="CZ153" t="s">
        <v>135</v>
      </c>
      <c r="DA153" t="s">
        <v>135</v>
      </c>
      <c r="DB153" t="s">
        <v>135</v>
      </c>
      <c r="DC153" t="s">
        <v>135</v>
      </c>
      <c r="DD153" t="s">
        <v>135</v>
      </c>
      <c r="DE153" t="s">
        <v>135</v>
      </c>
      <c r="DF153" t="s">
        <v>135</v>
      </c>
      <c r="DG153" t="s">
        <v>135</v>
      </c>
      <c r="DH153" t="s">
        <v>135</v>
      </c>
      <c r="DI153" t="s">
        <v>135</v>
      </c>
    </row>
    <row r="154" spans="1:113" x14ac:dyDescent="0.3">
      <c r="E154" t="s">
        <v>78</v>
      </c>
      <c r="F154" t="s">
        <v>135</v>
      </c>
      <c r="G154" t="s">
        <v>135</v>
      </c>
      <c r="H154" t="s">
        <v>135</v>
      </c>
      <c r="I154" t="s">
        <v>135</v>
      </c>
      <c r="J154" t="s">
        <v>135</v>
      </c>
      <c r="K154" t="s">
        <v>135</v>
      </c>
      <c r="L154" t="s">
        <v>135</v>
      </c>
      <c r="M154" t="s">
        <v>135</v>
      </c>
      <c r="N154" t="s">
        <v>135</v>
      </c>
      <c r="O154" t="s">
        <v>135</v>
      </c>
      <c r="P154" t="s">
        <v>135</v>
      </c>
      <c r="Q154" t="s">
        <v>135</v>
      </c>
      <c r="R154" t="s">
        <v>135</v>
      </c>
      <c r="S154" t="s">
        <v>135</v>
      </c>
      <c r="T154" t="s">
        <v>135</v>
      </c>
      <c r="U154" t="s">
        <v>135</v>
      </c>
      <c r="V154" t="s">
        <v>135</v>
      </c>
      <c r="W154" t="s">
        <v>135</v>
      </c>
      <c r="X154" t="s">
        <v>135</v>
      </c>
      <c r="Y154" t="s">
        <v>135</v>
      </c>
      <c r="Z154" t="s">
        <v>135</v>
      </c>
      <c r="AA154" t="s">
        <v>135</v>
      </c>
      <c r="AB154" t="s">
        <v>135</v>
      </c>
      <c r="AC154" t="s">
        <v>135</v>
      </c>
      <c r="AD154" t="s">
        <v>135</v>
      </c>
      <c r="AE154" t="s">
        <v>135</v>
      </c>
      <c r="AF154" t="s">
        <v>135</v>
      </c>
      <c r="AG154" t="s">
        <v>135</v>
      </c>
      <c r="AH154" t="s">
        <v>135</v>
      </c>
      <c r="AI154" t="s">
        <v>135</v>
      </c>
      <c r="AJ154" t="s">
        <v>135</v>
      </c>
      <c r="AK154" t="s">
        <v>135</v>
      </c>
      <c r="AL154" t="s">
        <v>135</v>
      </c>
      <c r="AM154" t="s">
        <v>135</v>
      </c>
      <c r="AN154" t="s">
        <v>135</v>
      </c>
      <c r="AO154" t="s">
        <v>135</v>
      </c>
      <c r="AP154" t="s">
        <v>135</v>
      </c>
      <c r="AQ154" t="s">
        <v>135</v>
      </c>
      <c r="AR154" t="s">
        <v>135</v>
      </c>
      <c r="AS154" t="s">
        <v>135</v>
      </c>
      <c r="AT154" t="s">
        <v>135</v>
      </c>
      <c r="AU154" t="s">
        <v>135</v>
      </c>
      <c r="AV154" t="s">
        <v>135</v>
      </c>
      <c r="AW154" t="s">
        <v>135</v>
      </c>
      <c r="AX154" t="s">
        <v>135</v>
      </c>
      <c r="AY154" t="s">
        <v>135</v>
      </c>
      <c r="AZ154" t="s">
        <v>135</v>
      </c>
      <c r="BA154" t="s">
        <v>135</v>
      </c>
      <c r="BB154" t="s">
        <v>135</v>
      </c>
      <c r="BC154" t="s">
        <v>135</v>
      </c>
      <c r="BD154" t="s">
        <v>135</v>
      </c>
      <c r="BE154" t="s">
        <v>135</v>
      </c>
      <c r="BF154" t="s">
        <v>135</v>
      </c>
      <c r="BG154" t="s">
        <v>135</v>
      </c>
      <c r="BH154" t="s">
        <v>135</v>
      </c>
      <c r="BI154" t="s">
        <v>135</v>
      </c>
      <c r="BJ154" t="s">
        <v>135</v>
      </c>
      <c r="BK154" t="s">
        <v>135</v>
      </c>
      <c r="BL154" t="s">
        <v>135</v>
      </c>
      <c r="BM154" t="s">
        <v>135</v>
      </c>
      <c r="BN154" t="s">
        <v>135</v>
      </c>
      <c r="BO154" t="s">
        <v>135</v>
      </c>
      <c r="BP154" t="s">
        <v>135</v>
      </c>
      <c r="BQ154" t="s">
        <v>135</v>
      </c>
      <c r="BR154" t="s">
        <v>135</v>
      </c>
      <c r="BS154" t="s">
        <v>135</v>
      </c>
      <c r="BT154" t="s">
        <v>135</v>
      </c>
      <c r="BU154" t="s">
        <v>135</v>
      </c>
      <c r="BV154" t="s">
        <v>135</v>
      </c>
      <c r="BW154" t="s">
        <v>135</v>
      </c>
      <c r="BX154" t="s">
        <v>135</v>
      </c>
      <c r="BY154" t="s">
        <v>135</v>
      </c>
      <c r="BZ154" t="s">
        <v>135</v>
      </c>
      <c r="CA154" t="s">
        <v>135</v>
      </c>
      <c r="CB154" t="s">
        <v>135</v>
      </c>
      <c r="CC154" t="s">
        <v>135</v>
      </c>
      <c r="CD154" t="s">
        <v>135</v>
      </c>
      <c r="CE154" t="s">
        <v>135</v>
      </c>
      <c r="CF154" t="s">
        <v>135</v>
      </c>
      <c r="CG154" t="s">
        <v>135</v>
      </c>
      <c r="CH154" t="s">
        <v>135</v>
      </c>
      <c r="CI154" t="s">
        <v>135</v>
      </c>
      <c r="CJ154" t="s">
        <v>135</v>
      </c>
      <c r="CK154" t="s">
        <v>135</v>
      </c>
      <c r="CL154" t="s">
        <v>135</v>
      </c>
      <c r="CM154" t="s">
        <v>135</v>
      </c>
      <c r="CN154" t="s">
        <v>135</v>
      </c>
      <c r="CO154" t="s">
        <v>135</v>
      </c>
      <c r="CP154" t="s">
        <v>135</v>
      </c>
      <c r="CQ154" t="s">
        <v>135</v>
      </c>
      <c r="CR154" t="s">
        <v>135</v>
      </c>
      <c r="CS154" t="s">
        <v>135</v>
      </c>
      <c r="CT154" t="s">
        <v>135</v>
      </c>
      <c r="CU154" t="s">
        <v>135</v>
      </c>
      <c r="CV154" t="s">
        <v>135</v>
      </c>
      <c r="CW154" t="s">
        <v>135</v>
      </c>
      <c r="CX154" t="s">
        <v>135</v>
      </c>
      <c r="CY154" t="s">
        <v>135</v>
      </c>
      <c r="CZ154" t="s">
        <v>135</v>
      </c>
      <c r="DA154" t="s">
        <v>135</v>
      </c>
      <c r="DB154" t="s">
        <v>135</v>
      </c>
      <c r="DC154" t="s">
        <v>135</v>
      </c>
      <c r="DD154" t="s">
        <v>135</v>
      </c>
      <c r="DE154" t="s">
        <v>135</v>
      </c>
      <c r="DF154" t="s">
        <v>135</v>
      </c>
      <c r="DG154" t="s">
        <v>135</v>
      </c>
      <c r="DH154" t="s">
        <v>135</v>
      </c>
      <c r="DI154" t="s">
        <v>135</v>
      </c>
    </row>
    <row r="155" spans="1:113" x14ac:dyDescent="0.3">
      <c r="E155" t="s">
        <v>79</v>
      </c>
      <c r="F155" t="s">
        <v>135</v>
      </c>
      <c r="G155" t="s">
        <v>135</v>
      </c>
      <c r="H155" t="s">
        <v>135</v>
      </c>
      <c r="I155" t="s">
        <v>135</v>
      </c>
      <c r="J155" t="s">
        <v>135</v>
      </c>
      <c r="K155" t="s">
        <v>135</v>
      </c>
      <c r="L155" t="s">
        <v>135</v>
      </c>
      <c r="M155" t="s">
        <v>135</v>
      </c>
      <c r="N155" t="s">
        <v>135</v>
      </c>
      <c r="O155" t="s">
        <v>135</v>
      </c>
      <c r="P155" t="s">
        <v>135</v>
      </c>
      <c r="Q155" t="s">
        <v>135</v>
      </c>
      <c r="R155" t="s">
        <v>135</v>
      </c>
      <c r="S155" t="s">
        <v>135</v>
      </c>
      <c r="T155" t="s">
        <v>135</v>
      </c>
      <c r="U155" t="s">
        <v>135</v>
      </c>
      <c r="V155" t="s">
        <v>135</v>
      </c>
      <c r="W155" t="s">
        <v>135</v>
      </c>
      <c r="X155" t="s">
        <v>135</v>
      </c>
      <c r="Y155" t="s">
        <v>135</v>
      </c>
      <c r="Z155" t="s">
        <v>135</v>
      </c>
      <c r="AA155" t="s">
        <v>135</v>
      </c>
      <c r="AB155" t="s">
        <v>135</v>
      </c>
      <c r="AC155" t="s">
        <v>135</v>
      </c>
      <c r="AD155" t="s">
        <v>135</v>
      </c>
      <c r="AE155" t="s">
        <v>135</v>
      </c>
      <c r="AF155" t="s">
        <v>135</v>
      </c>
      <c r="AG155" t="s">
        <v>135</v>
      </c>
      <c r="AH155" t="s">
        <v>135</v>
      </c>
      <c r="AI155" t="s">
        <v>135</v>
      </c>
      <c r="AJ155" t="s">
        <v>135</v>
      </c>
      <c r="AK155" t="s">
        <v>135</v>
      </c>
      <c r="AL155" t="s">
        <v>135</v>
      </c>
      <c r="AM155" t="s">
        <v>135</v>
      </c>
      <c r="AN155" t="s">
        <v>135</v>
      </c>
      <c r="AO155" t="s">
        <v>135</v>
      </c>
      <c r="AP155" t="s">
        <v>135</v>
      </c>
      <c r="AQ155" t="s">
        <v>135</v>
      </c>
      <c r="AR155" t="s">
        <v>135</v>
      </c>
      <c r="AS155" t="s">
        <v>135</v>
      </c>
      <c r="AT155" t="s">
        <v>135</v>
      </c>
      <c r="AU155" t="s">
        <v>135</v>
      </c>
      <c r="AV155" t="s">
        <v>135</v>
      </c>
      <c r="AW155" t="s">
        <v>135</v>
      </c>
      <c r="AX155" t="s">
        <v>135</v>
      </c>
      <c r="AY155" t="s">
        <v>135</v>
      </c>
      <c r="AZ155" t="s">
        <v>135</v>
      </c>
      <c r="BA155" t="s">
        <v>135</v>
      </c>
      <c r="BB155" t="s">
        <v>135</v>
      </c>
      <c r="BC155" t="s">
        <v>135</v>
      </c>
      <c r="BD155" t="s">
        <v>135</v>
      </c>
      <c r="BE155" t="s">
        <v>135</v>
      </c>
      <c r="BF155" t="s">
        <v>135</v>
      </c>
      <c r="BG155" t="s">
        <v>135</v>
      </c>
      <c r="BH155" t="s">
        <v>135</v>
      </c>
      <c r="BI155" t="s">
        <v>135</v>
      </c>
      <c r="BJ155" t="s">
        <v>135</v>
      </c>
      <c r="BK155" t="s">
        <v>135</v>
      </c>
      <c r="BL155" t="s">
        <v>135</v>
      </c>
      <c r="BM155" t="s">
        <v>135</v>
      </c>
      <c r="BN155" t="s">
        <v>135</v>
      </c>
      <c r="BO155" t="s">
        <v>135</v>
      </c>
      <c r="BP155" t="s">
        <v>135</v>
      </c>
      <c r="BQ155" t="s">
        <v>135</v>
      </c>
      <c r="BR155" t="s">
        <v>135</v>
      </c>
      <c r="BS155" t="s">
        <v>135</v>
      </c>
      <c r="BT155" t="s">
        <v>135</v>
      </c>
      <c r="BU155" t="s">
        <v>135</v>
      </c>
      <c r="BV155" t="s">
        <v>135</v>
      </c>
      <c r="BW155" t="s">
        <v>135</v>
      </c>
      <c r="BX155" t="s">
        <v>135</v>
      </c>
      <c r="BY155" t="s">
        <v>135</v>
      </c>
      <c r="BZ155" t="s">
        <v>135</v>
      </c>
      <c r="CA155" t="s">
        <v>135</v>
      </c>
      <c r="CB155" t="s">
        <v>135</v>
      </c>
      <c r="CC155" t="s">
        <v>135</v>
      </c>
      <c r="CD155" t="s">
        <v>135</v>
      </c>
      <c r="CE155" t="s">
        <v>135</v>
      </c>
      <c r="CF155" t="s">
        <v>135</v>
      </c>
      <c r="CG155" t="s">
        <v>135</v>
      </c>
      <c r="CH155" t="s">
        <v>135</v>
      </c>
      <c r="CI155" t="s">
        <v>135</v>
      </c>
      <c r="CJ155" t="s">
        <v>135</v>
      </c>
      <c r="CK155" t="s">
        <v>135</v>
      </c>
      <c r="CL155" t="s">
        <v>135</v>
      </c>
      <c r="CM155" t="s">
        <v>135</v>
      </c>
      <c r="CN155" t="s">
        <v>135</v>
      </c>
      <c r="CO155" t="s">
        <v>135</v>
      </c>
      <c r="CP155" t="s">
        <v>135</v>
      </c>
      <c r="CQ155" t="s">
        <v>135</v>
      </c>
      <c r="CR155" t="s">
        <v>135</v>
      </c>
      <c r="CS155" t="s">
        <v>135</v>
      </c>
      <c r="CT155" t="s">
        <v>135</v>
      </c>
      <c r="CU155" t="s">
        <v>135</v>
      </c>
      <c r="CV155" t="s">
        <v>135</v>
      </c>
      <c r="CW155" t="s">
        <v>135</v>
      </c>
      <c r="CX155" t="s">
        <v>135</v>
      </c>
      <c r="CY155" t="s">
        <v>135</v>
      </c>
      <c r="CZ155" t="s">
        <v>135</v>
      </c>
      <c r="DA155" t="s">
        <v>135</v>
      </c>
      <c r="DB155" t="s">
        <v>135</v>
      </c>
      <c r="DC155" t="s">
        <v>135</v>
      </c>
      <c r="DD155" t="s">
        <v>135</v>
      </c>
      <c r="DE155" t="s">
        <v>135</v>
      </c>
      <c r="DF155" t="s">
        <v>135</v>
      </c>
      <c r="DG155" t="s">
        <v>135</v>
      </c>
      <c r="DH155" t="s">
        <v>135</v>
      </c>
      <c r="DI155" t="s">
        <v>135</v>
      </c>
    </row>
    <row r="156" spans="1:113" x14ac:dyDescent="0.3">
      <c r="E156" t="s">
        <v>80</v>
      </c>
      <c r="F156" t="s">
        <v>135</v>
      </c>
      <c r="G156" t="s">
        <v>135</v>
      </c>
      <c r="H156" t="s">
        <v>135</v>
      </c>
      <c r="I156" t="s">
        <v>135</v>
      </c>
      <c r="J156" t="s">
        <v>135</v>
      </c>
      <c r="K156" t="s">
        <v>135</v>
      </c>
      <c r="L156" t="s">
        <v>135</v>
      </c>
      <c r="M156" t="s">
        <v>135</v>
      </c>
      <c r="N156" t="s">
        <v>135</v>
      </c>
      <c r="O156" t="s">
        <v>135</v>
      </c>
      <c r="P156" t="s">
        <v>135</v>
      </c>
      <c r="Q156" t="s">
        <v>135</v>
      </c>
      <c r="R156" t="s">
        <v>135</v>
      </c>
      <c r="S156" t="s">
        <v>135</v>
      </c>
      <c r="T156" t="s">
        <v>135</v>
      </c>
      <c r="U156" t="s">
        <v>135</v>
      </c>
      <c r="V156" t="s">
        <v>135</v>
      </c>
      <c r="W156" t="s">
        <v>135</v>
      </c>
      <c r="X156" t="s">
        <v>135</v>
      </c>
      <c r="Y156" t="s">
        <v>135</v>
      </c>
      <c r="Z156" t="s">
        <v>135</v>
      </c>
      <c r="AA156" t="s">
        <v>135</v>
      </c>
      <c r="AB156" t="s">
        <v>135</v>
      </c>
      <c r="AC156" t="s">
        <v>135</v>
      </c>
      <c r="AD156" t="s">
        <v>135</v>
      </c>
      <c r="AE156" t="s">
        <v>135</v>
      </c>
      <c r="AF156" t="s">
        <v>135</v>
      </c>
      <c r="AG156" t="s">
        <v>135</v>
      </c>
      <c r="AH156" t="s">
        <v>135</v>
      </c>
      <c r="AI156" t="s">
        <v>135</v>
      </c>
      <c r="AJ156" t="s">
        <v>135</v>
      </c>
      <c r="AK156" t="s">
        <v>135</v>
      </c>
      <c r="AL156" t="s">
        <v>135</v>
      </c>
      <c r="AM156" t="s">
        <v>135</v>
      </c>
      <c r="AN156" t="s">
        <v>135</v>
      </c>
      <c r="AO156" t="s">
        <v>135</v>
      </c>
      <c r="AP156" t="s">
        <v>135</v>
      </c>
      <c r="AQ156" t="s">
        <v>135</v>
      </c>
      <c r="AR156" t="s">
        <v>135</v>
      </c>
      <c r="AS156" t="s">
        <v>135</v>
      </c>
      <c r="AT156" t="s">
        <v>135</v>
      </c>
      <c r="AU156" t="s">
        <v>135</v>
      </c>
      <c r="AV156" t="s">
        <v>135</v>
      </c>
      <c r="AW156" t="s">
        <v>135</v>
      </c>
      <c r="AX156" t="s">
        <v>135</v>
      </c>
      <c r="AY156" t="s">
        <v>135</v>
      </c>
      <c r="AZ156" t="s">
        <v>135</v>
      </c>
      <c r="BA156" t="s">
        <v>135</v>
      </c>
      <c r="BB156" t="s">
        <v>135</v>
      </c>
      <c r="BC156" t="s">
        <v>135</v>
      </c>
      <c r="BD156" t="s">
        <v>135</v>
      </c>
      <c r="BE156" t="s">
        <v>135</v>
      </c>
      <c r="BF156" t="s">
        <v>135</v>
      </c>
      <c r="BG156" t="s">
        <v>135</v>
      </c>
      <c r="BH156" t="s">
        <v>135</v>
      </c>
      <c r="BI156" t="s">
        <v>135</v>
      </c>
      <c r="BJ156" t="s">
        <v>135</v>
      </c>
      <c r="BK156" t="s">
        <v>135</v>
      </c>
      <c r="BL156" t="s">
        <v>135</v>
      </c>
      <c r="BM156" t="s">
        <v>135</v>
      </c>
      <c r="BN156" t="s">
        <v>135</v>
      </c>
      <c r="BO156" t="s">
        <v>135</v>
      </c>
      <c r="BP156" t="s">
        <v>135</v>
      </c>
      <c r="BQ156" t="s">
        <v>135</v>
      </c>
      <c r="BR156" t="s">
        <v>135</v>
      </c>
      <c r="BS156" t="s">
        <v>135</v>
      </c>
      <c r="BT156" t="s">
        <v>135</v>
      </c>
      <c r="BU156" t="s">
        <v>135</v>
      </c>
      <c r="BV156" t="s">
        <v>135</v>
      </c>
      <c r="BW156" t="s">
        <v>135</v>
      </c>
      <c r="BX156" t="s">
        <v>135</v>
      </c>
      <c r="BY156" t="s">
        <v>135</v>
      </c>
      <c r="BZ156" t="s">
        <v>135</v>
      </c>
      <c r="CA156" t="s">
        <v>135</v>
      </c>
      <c r="CB156" t="s">
        <v>135</v>
      </c>
      <c r="CC156" t="s">
        <v>135</v>
      </c>
      <c r="CD156" t="s">
        <v>135</v>
      </c>
      <c r="CE156" t="s">
        <v>135</v>
      </c>
      <c r="CF156" t="s">
        <v>135</v>
      </c>
      <c r="CG156" t="s">
        <v>135</v>
      </c>
      <c r="CH156" t="s">
        <v>135</v>
      </c>
      <c r="CI156" t="s">
        <v>135</v>
      </c>
      <c r="CJ156" t="s">
        <v>135</v>
      </c>
      <c r="CK156" t="s">
        <v>135</v>
      </c>
      <c r="CL156" t="s">
        <v>135</v>
      </c>
      <c r="CM156" t="s">
        <v>135</v>
      </c>
      <c r="CN156" t="s">
        <v>135</v>
      </c>
      <c r="CO156" t="s">
        <v>135</v>
      </c>
      <c r="CP156" t="s">
        <v>135</v>
      </c>
      <c r="CQ156" t="s">
        <v>135</v>
      </c>
      <c r="CR156" t="s">
        <v>135</v>
      </c>
      <c r="CS156" t="s">
        <v>135</v>
      </c>
      <c r="CT156" t="s">
        <v>135</v>
      </c>
      <c r="CU156" t="s">
        <v>135</v>
      </c>
      <c r="CV156" t="s">
        <v>135</v>
      </c>
      <c r="CW156" t="s">
        <v>135</v>
      </c>
      <c r="CX156" t="s">
        <v>135</v>
      </c>
      <c r="CY156" t="s">
        <v>135</v>
      </c>
      <c r="CZ156" t="s">
        <v>135</v>
      </c>
      <c r="DA156" t="s">
        <v>135</v>
      </c>
      <c r="DB156" t="s">
        <v>135</v>
      </c>
      <c r="DC156" t="s">
        <v>135</v>
      </c>
      <c r="DD156" t="s">
        <v>135</v>
      </c>
      <c r="DE156" t="s">
        <v>135</v>
      </c>
      <c r="DF156" t="s">
        <v>135</v>
      </c>
      <c r="DG156" t="s">
        <v>135</v>
      </c>
      <c r="DH156" t="s">
        <v>135</v>
      </c>
      <c r="DI156" t="s">
        <v>135</v>
      </c>
    </row>
    <row r="157" spans="1:113" x14ac:dyDescent="0.3">
      <c r="E157" t="s">
        <v>81</v>
      </c>
      <c r="F157" t="s">
        <v>135</v>
      </c>
      <c r="G157" t="s">
        <v>135</v>
      </c>
      <c r="H157" t="s">
        <v>135</v>
      </c>
      <c r="I157" t="s">
        <v>135</v>
      </c>
      <c r="J157" t="s">
        <v>135</v>
      </c>
      <c r="K157" t="s">
        <v>135</v>
      </c>
      <c r="L157" t="s">
        <v>135</v>
      </c>
      <c r="M157" t="s">
        <v>135</v>
      </c>
      <c r="N157" t="s">
        <v>135</v>
      </c>
      <c r="O157" t="s">
        <v>135</v>
      </c>
      <c r="P157" t="s">
        <v>135</v>
      </c>
      <c r="Q157" t="s">
        <v>135</v>
      </c>
      <c r="R157" t="s">
        <v>135</v>
      </c>
      <c r="S157" t="s">
        <v>135</v>
      </c>
      <c r="T157" t="s">
        <v>135</v>
      </c>
      <c r="U157" t="s">
        <v>135</v>
      </c>
      <c r="V157" t="s">
        <v>135</v>
      </c>
      <c r="W157" t="s">
        <v>135</v>
      </c>
      <c r="X157" t="s">
        <v>135</v>
      </c>
      <c r="Y157" t="s">
        <v>135</v>
      </c>
      <c r="Z157" t="s">
        <v>135</v>
      </c>
      <c r="AA157" t="s">
        <v>135</v>
      </c>
      <c r="AB157" t="s">
        <v>135</v>
      </c>
      <c r="AC157" t="s">
        <v>135</v>
      </c>
      <c r="AD157" t="s">
        <v>135</v>
      </c>
      <c r="AE157" t="s">
        <v>135</v>
      </c>
      <c r="AF157" t="s">
        <v>135</v>
      </c>
      <c r="AG157" t="s">
        <v>135</v>
      </c>
      <c r="AH157" t="s">
        <v>135</v>
      </c>
      <c r="AI157" t="s">
        <v>135</v>
      </c>
      <c r="AJ157" t="s">
        <v>135</v>
      </c>
      <c r="AK157" t="s">
        <v>135</v>
      </c>
      <c r="AL157" t="s">
        <v>135</v>
      </c>
      <c r="AM157" t="s">
        <v>135</v>
      </c>
      <c r="AN157" t="s">
        <v>135</v>
      </c>
      <c r="AO157" t="s">
        <v>135</v>
      </c>
      <c r="AP157" t="s">
        <v>135</v>
      </c>
      <c r="AQ157" t="s">
        <v>135</v>
      </c>
      <c r="AR157" t="s">
        <v>135</v>
      </c>
      <c r="AS157" t="s">
        <v>135</v>
      </c>
      <c r="AT157" t="s">
        <v>135</v>
      </c>
      <c r="AU157" t="s">
        <v>135</v>
      </c>
      <c r="AV157" t="s">
        <v>135</v>
      </c>
      <c r="AW157" t="s">
        <v>135</v>
      </c>
      <c r="AX157" t="s">
        <v>135</v>
      </c>
      <c r="AY157" t="s">
        <v>135</v>
      </c>
      <c r="AZ157" t="s">
        <v>135</v>
      </c>
      <c r="BA157" t="s">
        <v>135</v>
      </c>
      <c r="BB157" t="s">
        <v>135</v>
      </c>
      <c r="BC157" t="s">
        <v>135</v>
      </c>
      <c r="BD157" t="s">
        <v>135</v>
      </c>
      <c r="BE157" t="s">
        <v>135</v>
      </c>
      <c r="BF157" t="s">
        <v>135</v>
      </c>
      <c r="BG157" t="s">
        <v>135</v>
      </c>
      <c r="BH157" t="s">
        <v>135</v>
      </c>
      <c r="BI157" t="s">
        <v>135</v>
      </c>
      <c r="BJ157" t="s">
        <v>135</v>
      </c>
      <c r="BK157" t="s">
        <v>135</v>
      </c>
      <c r="BL157" t="s">
        <v>135</v>
      </c>
      <c r="BM157" t="s">
        <v>135</v>
      </c>
      <c r="BN157" t="s">
        <v>135</v>
      </c>
      <c r="BO157" t="s">
        <v>135</v>
      </c>
      <c r="BP157" t="s">
        <v>135</v>
      </c>
      <c r="BQ157" t="s">
        <v>135</v>
      </c>
      <c r="BR157" t="s">
        <v>135</v>
      </c>
      <c r="BS157" t="s">
        <v>135</v>
      </c>
      <c r="BT157" t="s">
        <v>135</v>
      </c>
      <c r="BU157" t="s">
        <v>135</v>
      </c>
      <c r="BV157" t="s">
        <v>135</v>
      </c>
      <c r="BW157" t="s">
        <v>135</v>
      </c>
      <c r="BX157" t="s">
        <v>135</v>
      </c>
      <c r="BY157" t="s">
        <v>135</v>
      </c>
      <c r="BZ157" t="s">
        <v>135</v>
      </c>
      <c r="CA157" t="s">
        <v>135</v>
      </c>
      <c r="CB157" t="s">
        <v>135</v>
      </c>
      <c r="CC157" t="s">
        <v>135</v>
      </c>
      <c r="CD157" t="s">
        <v>135</v>
      </c>
      <c r="CE157" t="s">
        <v>135</v>
      </c>
      <c r="CF157" t="s">
        <v>135</v>
      </c>
      <c r="CG157" t="s">
        <v>135</v>
      </c>
      <c r="CH157" t="s">
        <v>135</v>
      </c>
      <c r="CI157" t="s">
        <v>135</v>
      </c>
      <c r="CJ157" t="s">
        <v>135</v>
      </c>
      <c r="CK157" t="s">
        <v>135</v>
      </c>
      <c r="CL157" t="s">
        <v>135</v>
      </c>
      <c r="CM157" t="s">
        <v>135</v>
      </c>
      <c r="CN157" t="s">
        <v>135</v>
      </c>
      <c r="CO157" t="s">
        <v>135</v>
      </c>
      <c r="CP157" t="s">
        <v>135</v>
      </c>
      <c r="CQ157" t="s">
        <v>135</v>
      </c>
      <c r="CR157" t="s">
        <v>135</v>
      </c>
      <c r="CS157" t="s">
        <v>135</v>
      </c>
      <c r="CT157" t="s">
        <v>135</v>
      </c>
      <c r="CU157" t="s">
        <v>135</v>
      </c>
      <c r="CV157" t="s">
        <v>135</v>
      </c>
      <c r="CW157" t="s">
        <v>135</v>
      </c>
      <c r="CX157" t="s">
        <v>135</v>
      </c>
      <c r="CY157" t="s">
        <v>135</v>
      </c>
      <c r="CZ157" t="s">
        <v>135</v>
      </c>
      <c r="DA157" t="s">
        <v>135</v>
      </c>
      <c r="DB157" t="s">
        <v>135</v>
      </c>
      <c r="DC157" t="s">
        <v>135</v>
      </c>
      <c r="DD157" t="s">
        <v>135</v>
      </c>
      <c r="DE157" t="s">
        <v>135</v>
      </c>
      <c r="DF157" t="s">
        <v>135</v>
      </c>
      <c r="DG157" t="s">
        <v>135</v>
      </c>
      <c r="DH157" t="s">
        <v>135</v>
      </c>
      <c r="DI157" t="s">
        <v>135</v>
      </c>
    </row>
    <row r="158" spans="1:113" x14ac:dyDescent="0.3">
      <c r="D158" t="s">
        <v>82</v>
      </c>
      <c r="E158" t="s">
        <v>77</v>
      </c>
      <c r="F158" t="s">
        <v>135</v>
      </c>
      <c r="G158" t="s">
        <v>135</v>
      </c>
      <c r="H158" t="s">
        <v>135</v>
      </c>
      <c r="I158" t="s">
        <v>135</v>
      </c>
      <c r="J158">
        <v>9.9007000000000005</v>
      </c>
      <c r="K158">
        <v>7.7386999999999997</v>
      </c>
      <c r="L158" t="s">
        <v>135</v>
      </c>
      <c r="M158">
        <v>16.323699999999999</v>
      </c>
      <c r="N158">
        <v>11.3604</v>
      </c>
      <c r="O158">
        <v>11.294599999999999</v>
      </c>
      <c r="P158">
        <v>11.294599999999999</v>
      </c>
      <c r="Q158">
        <v>30.405899999999999</v>
      </c>
      <c r="R158">
        <v>30.321899999999999</v>
      </c>
      <c r="S158" t="s">
        <v>135</v>
      </c>
      <c r="T158" t="s">
        <v>135</v>
      </c>
      <c r="U158" t="s">
        <v>135</v>
      </c>
      <c r="V158" t="s">
        <v>135</v>
      </c>
      <c r="W158" t="s">
        <v>135</v>
      </c>
      <c r="X158" t="s">
        <v>135</v>
      </c>
      <c r="Y158" t="s">
        <v>135</v>
      </c>
      <c r="Z158" t="s">
        <v>135</v>
      </c>
      <c r="AA158" t="s">
        <v>135</v>
      </c>
      <c r="AB158" t="s">
        <v>135</v>
      </c>
      <c r="AC158" t="s">
        <v>135</v>
      </c>
      <c r="AD158" t="s">
        <v>135</v>
      </c>
      <c r="AE158" t="s">
        <v>135</v>
      </c>
      <c r="AF158" t="s">
        <v>135</v>
      </c>
      <c r="AG158" t="s">
        <v>135</v>
      </c>
      <c r="AH158" t="s">
        <v>135</v>
      </c>
      <c r="AI158" t="s">
        <v>135</v>
      </c>
      <c r="AJ158" t="s">
        <v>135</v>
      </c>
      <c r="AK158" t="s">
        <v>135</v>
      </c>
      <c r="AL158" t="s">
        <v>135</v>
      </c>
      <c r="AM158" t="s">
        <v>135</v>
      </c>
      <c r="AN158" t="s">
        <v>135</v>
      </c>
      <c r="AO158" t="s">
        <v>135</v>
      </c>
      <c r="AP158" t="s">
        <v>135</v>
      </c>
      <c r="AQ158" t="s">
        <v>135</v>
      </c>
      <c r="AR158" t="s">
        <v>135</v>
      </c>
      <c r="AS158" t="s">
        <v>135</v>
      </c>
      <c r="AT158" t="s">
        <v>135</v>
      </c>
      <c r="AU158" t="s">
        <v>135</v>
      </c>
      <c r="AV158" t="s">
        <v>135</v>
      </c>
      <c r="AW158" t="s">
        <v>135</v>
      </c>
      <c r="AX158" t="s">
        <v>135</v>
      </c>
      <c r="AY158" t="s">
        <v>135</v>
      </c>
      <c r="AZ158" t="s">
        <v>135</v>
      </c>
      <c r="BA158" t="s">
        <v>135</v>
      </c>
      <c r="BB158" t="s">
        <v>135</v>
      </c>
      <c r="BC158" t="s">
        <v>135</v>
      </c>
      <c r="BD158" t="s">
        <v>135</v>
      </c>
      <c r="BE158" t="s">
        <v>135</v>
      </c>
      <c r="BF158" t="s">
        <v>135</v>
      </c>
      <c r="BG158" t="s">
        <v>135</v>
      </c>
      <c r="BH158" t="s">
        <v>135</v>
      </c>
      <c r="BI158" t="s">
        <v>135</v>
      </c>
      <c r="BJ158" t="s">
        <v>135</v>
      </c>
      <c r="BK158" t="s">
        <v>135</v>
      </c>
      <c r="BL158" t="s">
        <v>135</v>
      </c>
      <c r="BM158" t="s">
        <v>135</v>
      </c>
      <c r="BN158" t="s">
        <v>135</v>
      </c>
      <c r="BO158" t="s">
        <v>135</v>
      </c>
      <c r="BP158" t="s">
        <v>135</v>
      </c>
      <c r="BQ158" t="s">
        <v>135</v>
      </c>
      <c r="BR158" t="s">
        <v>135</v>
      </c>
      <c r="BS158" t="s">
        <v>135</v>
      </c>
      <c r="BT158" t="s">
        <v>135</v>
      </c>
      <c r="BU158" t="s">
        <v>135</v>
      </c>
      <c r="BV158" t="s">
        <v>135</v>
      </c>
      <c r="BW158" t="s">
        <v>135</v>
      </c>
      <c r="BX158" t="s">
        <v>135</v>
      </c>
      <c r="BY158">
        <v>252</v>
      </c>
      <c r="BZ158">
        <v>252</v>
      </c>
      <c r="CA158">
        <v>0</v>
      </c>
      <c r="CB158">
        <v>2.46E-2</v>
      </c>
      <c r="CC158">
        <v>-2.024</v>
      </c>
      <c r="CD158">
        <v>3.15E-2</v>
      </c>
      <c r="CE158">
        <v>-2.5895000000000001</v>
      </c>
      <c r="CF158">
        <v>146.21430000000001</v>
      </c>
      <c r="CG158">
        <v>48.388800000000003</v>
      </c>
      <c r="CH158">
        <v>0</v>
      </c>
      <c r="CI158">
        <v>0</v>
      </c>
      <c r="CJ158">
        <v>0</v>
      </c>
      <c r="CK158">
        <v>0.4924</v>
      </c>
      <c r="CL158">
        <v>0.49</v>
      </c>
      <c r="CM158">
        <v>0.23830000000000001</v>
      </c>
      <c r="CN158">
        <v>-40.479100000000003</v>
      </c>
      <c r="CO158">
        <v>-68.008300000000006</v>
      </c>
      <c r="CP158">
        <v>10235</v>
      </c>
      <c r="CQ158">
        <v>7346</v>
      </c>
      <c r="CR158">
        <v>8000</v>
      </c>
      <c r="CS158">
        <v>0.41239999999999999</v>
      </c>
      <c r="CT158">
        <v>1.5347</v>
      </c>
      <c r="CU158">
        <v>1.0106999999999999</v>
      </c>
      <c r="CV158">
        <v>6.9465000000000003</v>
      </c>
      <c r="CW158" t="s">
        <v>135</v>
      </c>
      <c r="CX158" t="s">
        <v>135</v>
      </c>
      <c r="CY158" t="s">
        <v>135</v>
      </c>
      <c r="CZ158" t="s">
        <v>135</v>
      </c>
      <c r="DA158" t="s">
        <v>135</v>
      </c>
      <c r="DB158" t="s">
        <v>135</v>
      </c>
      <c r="DC158" t="s">
        <v>135</v>
      </c>
      <c r="DD158" t="s">
        <v>135</v>
      </c>
      <c r="DE158">
        <v>9546</v>
      </c>
      <c r="DF158">
        <v>2223</v>
      </c>
      <c r="DG158">
        <v>3278</v>
      </c>
      <c r="DH158">
        <v>4045</v>
      </c>
      <c r="DI158">
        <v>0</v>
      </c>
    </row>
    <row r="159" spans="1:113" x14ac:dyDescent="0.3">
      <c r="E159" t="s">
        <v>78</v>
      </c>
      <c r="F159" t="s">
        <v>135</v>
      </c>
      <c r="G159" t="s">
        <v>135</v>
      </c>
      <c r="H159" t="s">
        <v>135</v>
      </c>
      <c r="I159" t="s">
        <v>135</v>
      </c>
      <c r="J159" t="s">
        <v>135</v>
      </c>
      <c r="K159" t="s">
        <v>135</v>
      </c>
      <c r="L159" t="s">
        <v>135</v>
      </c>
      <c r="M159" t="s">
        <v>135</v>
      </c>
      <c r="N159" t="s">
        <v>135</v>
      </c>
      <c r="O159" t="s">
        <v>135</v>
      </c>
      <c r="P159" t="s">
        <v>135</v>
      </c>
      <c r="Q159" t="s">
        <v>135</v>
      </c>
      <c r="R159" t="s">
        <v>135</v>
      </c>
      <c r="S159" t="s">
        <v>135</v>
      </c>
      <c r="T159" t="s">
        <v>135</v>
      </c>
      <c r="U159" t="s">
        <v>135</v>
      </c>
      <c r="V159" t="s">
        <v>135</v>
      </c>
      <c r="W159" t="s">
        <v>135</v>
      </c>
      <c r="X159" t="s">
        <v>135</v>
      </c>
      <c r="Y159" t="s">
        <v>135</v>
      </c>
      <c r="Z159" t="s">
        <v>135</v>
      </c>
      <c r="AA159" t="s">
        <v>135</v>
      </c>
      <c r="AB159" t="s">
        <v>135</v>
      </c>
      <c r="AC159" t="s">
        <v>135</v>
      </c>
      <c r="AD159" t="s">
        <v>135</v>
      </c>
      <c r="AE159" t="s">
        <v>135</v>
      </c>
      <c r="AF159" t="s">
        <v>135</v>
      </c>
      <c r="AG159" t="s">
        <v>135</v>
      </c>
      <c r="AH159" t="s">
        <v>135</v>
      </c>
      <c r="AI159" t="s">
        <v>135</v>
      </c>
      <c r="AJ159" t="s">
        <v>135</v>
      </c>
      <c r="AK159" t="s">
        <v>135</v>
      </c>
      <c r="AL159" t="s">
        <v>135</v>
      </c>
      <c r="AM159" t="s">
        <v>135</v>
      </c>
      <c r="AN159" t="s">
        <v>135</v>
      </c>
      <c r="AO159" t="s">
        <v>135</v>
      </c>
      <c r="AP159" t="s">
        <v>135</v>
      </c>
      <c r="AQ159" t="s">
        <v>135</v>
      </c>
      <c r="AR159" t="s">
        <v>135</v>
      </c>
      <c r="AS159" t="s">
        <v>135</v>
      </c>
      <c r="AT159" t="s">
        <v>135</v>
      </c>
      <c r="AU159" t="s">
        <v>135</v>
      </c>
      <c r="AV159" t="s">
        <v>135</v>
      </c>
      <c r="AW159" t="s">
        <v>135</v>
      </c>
      <c r="AX159" t="s">
        <v>135</v>
      </c>
      <c r="AY159" t="s">
        <v>135</v>
      </c>
      <c r="AZ159" t="s">
        <v>135</v>
      </c>
      <c r="BA159" t="s">
        <v>135</v>
      </c>
      <c r="BB159" t="s">
        <v>135</v>
      </c>
      <c r="BC159" t="s">
        <v>135</v>
      </c>
      <c r="BD159" t="s">
        <v>135</v>
      </c>
      <c r="BE159" t="s">
        <v>135</v>
      </c>
      <c r="BF159" t="s">
        <v>135</v>
      </c>
      <c r="BG159" t="s">
        <v>135</v>
      </c>
      <c r="BH159" t="s">
        <v>135</v>
      </c>
      <c r="BI159" t="s">
        <v>135</v>
      </c>
      <c r="BJ159" t="s">
        <v>135</v>
      </c>
      <c r="BK159" t="s">
        <v>135</v>
      </c>
      <c r="BL159" t="s">
        <v>135</v>
      </c>
      <c r="BM159" t="s">
        <v>135</v>
      </c>
      <c r="BN159" t="s">
        <v>135</v>
      </c>
      <c r="BO159" t="s">
        <v>135</v>
      </c>
      <c r="BP159" t="s">
        <v>135</v>
      </c>
      <c r="BQ159" t="s">
        <v>135</v>
      </c>
      <c r="BR159" t="s">
        <v>135</v>
      </c>
      <c r="BS159" t="s">
        <v>135</v>
      </c>
      <c r="BT159" t="s">
        <v>135</v>
      </c>
      <c r="BU159" t="s">
        <v>135</v>
      </c>
      <c r="BV159" t="s">
        <v>135</v>
      </c>
      <c r="BW159" t="s">
        <v>135</v>
      </c>
      <c r="BX159" t="s">
        <v>135</v>
      </c>
      <c r="BY159" t="s">
        <v>135</v>
      </c>
      <c r="BZ159" t="s">
        <v>135</v>
      </c>
      <c r="CA159" t="s">
        <v>135</v>
      </c>
      <c r="CB159" t="s">
        <v>135</v>
      </c>
      <c r="CC159" t="s">
        <v>135</v>
      </c>
      <c r="CD159" t="s">
        <v>135</v>
      </c>
      <c r="CE159" t="s">
        <v>135</v>
      </c>
      <c r="CF159" t="s">
        <v>135</v>
      </c>
      <c r="CG159" t="s">
        <v>135</v>
      </c>
      <c r="CH159" t="s">
        <v>135</v>
      </c>
      <c r="CI159" t="s">
        <v>135</v>
      </c>
      <c r="CJ159" t="s">
        <v>135</v>
      </c>
      <c r="CK159" t="s">
        <v>135</v>
      </c>
      <c r="CL159" t="s">
        <v>135</v>
      </c>
      <c r="CM159" t="s">
        <v>135</v>
      </c>
      <c r="CN159" t="s">
        <v>135</v>
      </c>
      <c r="CO159" t="s">
        <v>135</v>
      </c>
      <c r="CP159" t="s">
        <v>135</v>
      </c>
      <c r="CQ159" t="s">
        <v>135</v>
      </c>
      <c r="CR159" t="s">
        <v>135</v>
      </c>
      <c r="CS159" t="s">
        <v>135</v>
      </c>
      <c r="CT159" t="s">
        <v>135</v>
      </c>
      <c r="CU159" t="s">
        <v>135</v>
      </c>
      <c r="CV159" t="s">
        <v>135</v>
      </c>
      <c r="CW159" t="s">
        <v>135</v>
      </c>
      <c r="CX159" t="s">
        <v>135</v>
      </c>
      <c r="CY159" t="s">
        <v>135</v>
      </c>
      <c r="CZ159" t="s">
        <v>135</v>
      </c>
      <c r="DA159" t="s">
        <v>135</v>
      </c>
      <c r="DB159" t="s">
        <v>135</v>
      </c>
      <c r="DC159" t="s">
        <v>135</v>
      </c>
      <c r="DD159" t="s">
        <v>135</v>
      </c>
      <c r="DE159" t="s">
        <v>135</v>
      </c>
      <c r="DF159" t="s">
        <v>135</v>
      </c>
      <c r="DG159" t="s">
        <v>135</v>
      </c>
      <c r="DH159" t="s">
        <v>135</v>
      </c>
      <c r="DI159" t="s">
        <v>135</v>
      </c>
    </row>
    <row r="160" spans="1:113" x14ac:dyDescent="0.3">
      <c r="E160" t="s">
        <v>79</v>
      </c>
      <c r="F160" t="s">
        <v>135</v>
      </c>
      <c r="G160" t="s">
        <v>135</v>
      </c>
      <c r="H160" t="s">
        <v>135</v>
      </c>
      <c r="I160" t="s">
        <v>135</v>
      </c>
      <c r="J160" t="s">
        <v>135</v>
      </c>
      <c r="K160" t="s">
        <v>135</v>
      </c>
      <c r="L160" t="s">
        <v>135</v>
      </c>
      <c r="M160" t="s">
        <v>135</v>
      </c>
      <c r="N160" t="s">
        <v>135</v>
      </c>
      <c r="O160" t="s">
        <v>135</v>
      </c>
      <c r="P160" t="s">
        <v>135</v>
      </c>
      <c r="Q160" t="s">
        <v>135</v>
      </c>
      <c r="R160" t="s">
        <v>135</v>
      </c>
      <c r="S160" t="s">
        <v>135</v>
      </c>
      <c r="T160" t="s">
        <v>135</v>
      </c>
      <c r="U160" t="s">
        <v>135</v>
      </c>
      <c r="V160" t="s">
        <v>135</v>
      </c>
      <c r="W160" t="s">
        <v>135</v>
      </c>
      <c r="X160" t="s">
        <v>135</v>
      </c>
      <c r="Y160" t="s">
        <v>135</v>
      </c>
      <c r="Z160" t="s">
        <v>135</v>
      </c>
      <c r="AA160" t="s">
        <v>135</v>
      </c>
      <c r="AB160" t="s">
        <v>135</v>
      </c>
      <c r="AC160" t="s">
        <v>135</v>
      </c>
      <c r="AD160" t="s">
        <v>135</v>
      </c>
      <c r="AE160" t="s">
        <v>135</v>
      </c>
      <c r="AF160" t="s">
        <v>135</v>
      </c>
      <c r="AG160" t="s">
        <v>135</v>
      </c>
      <c r="AH160" t="s">
        <v>135</v>
      </c>
      <c r="AI160" t="s">
        <v>135</v>
      </c>
      <c r="AJ160" t="s">
        <v>135</v>
      </c>
      <c r="AK160" t="s">
        <v>135</v>
      </c>
      <c r="AL160" t="s">
        <v>135</v>
      </c>
      <c r="AM160" t="s">
        <v>135</v>
      </c>
      <c r="AN160" t="s">
        <v>135</v>
      </c>
      <c r="AO160" t="s">
        <v>135</v>
      </c>
      <c r="AP160" t="s">
        <v>135</v>
      </c>
      <c r="AQ160" t="s">
        <v>135</v>
      </c>
      <c r="AR160" t="s">
        <v>135</v>
      </c>
      <c r="AS160" t="s">
        <v>135</v>
      </c>
      <c r="AT160" t="s">
        <v>135</v>
      </c>
      <c r="AU160" t="s">
        <v>135</v>
      </c>
      <c r="AV160" t="s">
        <v>135</v>
      </c>
      <c r="AW160" t="s">
        <v>135</v>
      </c>
      <c r="AX160" t="s">
        <v>135</v>
      </c>
      <c r="AY160" t="s">
        <v>135</v>
      </c>
      <c r="AZ160" t="s">
        <v>135</v>
      </c>
      <c r="BA160" t="s">
        <v>135</v>
      </c>
      <c r="BB160" t="s">
        <v>135</v>
      </c>
      <c r="BC160" t="s">
        <v>135</v>
      </c>
      <c r="BD160" t="s">
        <v>135</v>
      </c>
      <c r="BE160" t="s">
        <v>135</v>
      </c>
      <c r="BF160" t="s">
        <v>135</v>
      </c>
      <c r="BG160" t="s">
        <v>135</v>
      </c>
      <c r="BH160" t="s">
        <v>135</v>
      </c>
      <c r="BI160" t="s">
        <v>135</v>
      </c>
      <c r="BJ160" t="s">
        <v>135</v>
      </c>
      <c r="BK160" t="s">
        <v>135</v>
      </c>
      <c r="BL160" t="s">
        <v>135</v>
      </c>
      <c r="BM160" t="s">
        <v>135</v>
      </c>
      <c r="BN160" t="s">
        <v>135</v>
      </c>
      <c r="BO160" t="s">
        <v>135</v>
      </c>
      <c r="BP160" t="s">
        <v>135</v>
      </c>
      <c r="BQ160" t="s">
        <v>135</v>
      </c>
      <c r="BR160" t="s">
        <v>135</v>
      </c>
      <c r="BS160" t="s">
        <v>135</v>
      </c>
      <c r="BT160" t="s">
        <v>135</v>
      </c>
      <c r="BU160" t="s">
        <v>135</v>
      </c>
      <c r="BV160" t="s">
        <v>135</v>
      </c>
      <c r="BW160" t="s">
        <v>135</v>
      </c>
      <c r="BX160" t="s">
        <v>135</v>
      </c>
      <c r="BY160" t="s">
        <v>135</v>
      </c>
      <c r="BZ160" t="s">
        <v>135</v>
      </c>
      <c r="CA160" t="s">
        <v>135</v>
      </c>
      <c r="CB160" t="s">
        <v>135</v>
      </c>
      <c r="CC160" t="s">
        <v>135</v>
      </c>
      <c r="CD160" t="s">
        <v>135</v>
      </c>
      <c r="CE160" t="s">
        <v>135</v>
      </c>
      <c r="CF160" t="s">
        <v>135</v>
      </c>
      <c r="CG160" t="s">
        <v>135</v>
      </c>
      <c r="CH160" t="s">
        <v>135</v>
      </c>
      <c r="CI160" t="s">
        <v>135</v>
      </c>
      <c r="CJ160" t="s">
        <v>135</v>
      </c>
      <c r="CK160" t="s">
        <v>135</v>
      </c>
      <c r="CL160" t="s">
        <v>135</v>
      </c>
      <c r="CM160" t="s">
        <v>135</v>
      </c>
      <c r="CN160" t="s">
        <v>135</v>
      </c>
      <c r="CO160" t="s">
        <v>135</v>
      </c>
      <c r="CP160" t="s">
        <v>135</v>
      </c>
      <c r="CQ160" t="s">
        <v>135</v>
      </c>
      <c r="CR160" t="s">
        <v>135</v>
      </c>
      <c r="CS160" t="s">
        <v>135</v>
      </c>
      <c r="CT160" t="s">
        <v>135</v>
      </c>
      <c r="CU160" t="s">
        <v>135</v>
      </c>
      <c r="CV160" t="s">
        <v>135</v>
      </c>
      <c r="CW160" t="s">
        <v>135</v>
      </c>
      <c r="CX160" t="s">
        <v>135</v>
      </c>
      <c r="CY160" t="s">
        <v>135</v>
      </c>
      <c r="CZ160" t="s">
        <v>135</v>
      </c>
      <c r="DA160" t="s">
        <v>135</v>
      </c>
      <c r="DB160" t="s">
        <v>135</v>
      </c>
      <c r="DC160" t="s">
        <v>135</v>
      </c>
      <c r="DD160" t="s">
        <v>135</v>
      </c>
      <c r="DE160" t="s">
        <v>135</v>
      </c>
      <c r="DF160" t="s">
        <v>135</v>
      </c>
      <c r="DG160" t="s">
        <v>135</v>
      </c>
      <c r="DH160" t="s">
        <v>135</v>
      </c>
      <c r="DI160" t="s">
        <v>135</v>
      </c>
    </row>
    <row r="161" spans="4:113" x14ac:dyDescent="0.3">
      <c r="E161" t="s">
        <v>80</v>
      </c>
      <c r="F161" t="s">
        <v>135</v>
      </c>
      <c r="G161" t="s">
        <v>135</v>
      </c>
      <c r="H161" t="s">
        <v>135</v>
      </c>
      <c r="I161" t="s">
        <v>135</v>
      </c>
      <c r="J161" t="s">
        <v>135</v>
      </c>
      <c r="K161" t="s">
        <v>135</v>
      </c>
      <c r="L161" t="s">
        <v>135</v>
      </c>
      <c r="M161" t="s">
        <v>135</v>
      </c>
      <c r="N161" t="s">
        <v>135</v>
      </c>
      <c r="O161" t="s">
        <v>135</v>
      </c>
      <c r="P161" t="s">
        <v>135</v>
      </c>
      <c r="Q161" t="s">
        <v>135</v>
      </c>
      <c r="R161" t="s">
        <v>135</v>
      </c>
      <c r="S161" t="s">
        <v>135</v>
      </c>
      <c r="T161" t="s">
        <v>135</v>
      </c>
      <c r="U161" t="s">
        <v>135</v>
      </c>
      <c r="V161" t="s">
        <v>135</v>
      </c>
      <c r="W161" t="s">
        <v>135</v>
      </c>
      <c r="X161" t="s">
        <v>135</v>
      </c>
      <c r="Y161" t="s">
        <v>135</v>
      </c>
      <c r="Z161" t="s">
        <v>135</v>
      </c>
      <c r="AA161" t="s">
        <v>135</v>
      </c>
      <c r="AB161" t="s">
        <v>135</v>
      </c>
      <c r="AC161" t="s">
        <v>135</v>
      </c>
      <c r="AD161" t="s">
        <v>135</v>
      </c>
      <c r="AE161" t="s">
        <v>135</v>
      </c>
      <c r="AF161" t="s">
        <v>135</v>
      </c>
      <c r="AG161" t="s">
        <v>135</v>
      </c>
      <c r="AH161" t="s">
        <v>135</v>
      </c>
      <c r="AI161" t="s">
        <v>135</v>
      </c>
      <c r="AJ161" t="s">
        <v>135</v>
      </c>
      <c r="AK161" t="s">
        <v>135</v>
      </c>
      <c r="AL161" t="s">
        <v>135</v>
      </c>
      <c r="AM161" t="s">
        <v>135</v>
      </c>
      <c r="AN161" t="s">
        <v>135</v>
      </c>
      <c r="AO161" t="s">
        <v>135</v>
      </c>
      <c r="AP161" t="s">
        <v>135</v>
      </c>
      <c r="AQ161" t="s">
        <v>135</v>
      </c>
      <c r="AR161" t="s">
        <v>135</v>
      </c>
      <c r="AS161" t="s">
        <v>135</v>
      </c>
      <c r="AT161" t="s">
        <v>135</v>
      </c>
      <c r="AU161" t="s">
        <v>135</v>
      </c>
      <c r="AV161" t="s">
        <v>135</v>
      </c>
      <c r="AW161" t="s">
        <v>135</v>
      </c>
      <c r="AX161" t="s">
        <v>135</v>
      </c>
      <c r="AY161" t="s">
        <v>135</v>
      </c>
      <c r="AZ161" t="s">
        <v>135</v>
      </c>
      <c r="BA161" t="s">
        <v>135</v>
      </c>
      <c r="BB161" t="s">
        <v>135</v>
      </c>
      <c r="BC161" t="s">
        <v>135</v>
      </c>
      <c r="BD161" t="s">
        <v>135</v>
      </c>
      <c r="BE161" t="s">
        <v>135</v>
      </c>
      <c r="BF161" t="s">
        <v>135</v>
      </c>
      <c r="BG161" t="s">
        <v>135</v>
      </c>
      <c r="BH161" t="s">
        <v>135</v>
      </c>
      <c r="BI161" t="s">
        <v>135</v>
      </c>
      <c r="BJ161" t="s">
        <v>135</v>
      </c>
      <c r="BK161" t="s">
        <v>135</v>
      </c>
      <c r="BL161" t="s">
        <v>135</v>
      </c>
      <c r="BM161" t="s">
        <v>135</v>
      </c>
      <c r="BN161" t="s">
        <v>135</v>
      </c>
      <c r="BO161" t="s">
        <v>135</v>
      </c>
      <c r="BP161" t="s">
        <v>135</v>
      </c>
      <c r="BQ161" t="s">
        <v>135</v>
      </c>
      <c r="BR161" t="s">
        <v>135</v>
      </c>
      <c r="BS161" t="s">
        <v>135</v>
      </c>
      <c r="BT161" t="s">
        <v>135</v>
      </c>
      <c r="BU161" t="s">
        <v>135</v>
      </c>
      <c r="BV161" t="s">
        <v>135</v>
      </c>
      <c r="BW161" t="s">
        <v>135</v>
      </c>
      <c r="BX161" t="s">
        <v>135</v>
      </c>
      <c r="BY161" t="s">
        <v>135</v>
      </c>
      <c r="BZ161" t="s">
        <v>135</v>
      </c>
      <c r="CA161" t="s">
        <v>135</v>
      </c>
      <c r="CB161" t="s">
        <v>135</v>
      </c>
      <c r="CC161" t="s">
        <v>135</v>
      </c>
      <c r="CD161" t="s">
        <v>135</v>
      </c>
      <c r="CE161" t="s">
        <v>135</v>
      </c>
      <c r="CF161" t="s">
        <v>135</v>
      </c>
      <c r="CG161" t="s">
        <v>135</v>
      </c>
      <c r="CH161" t="s">
        <v>135</v>
      </c>
      <c r="CI161" t="s">
        <v>135</v>
      </c>
      <c r="CJ161" t="s">
        <v>135</v>
      </c>
      <c r="CK161" t="s">
        <v>135</v>
      </c>
      <c r="CL161" t="s">
        <v>135</v>
      </c>
      <c r="CM161" t="s">
        <v>135</v>
      </c>
      <c r="CN161" t="s">
        <v>135</v>
      </c>
      <c r="CO161" t="s">
        <v>135</v>
      </c>
      <c r="CP161" t="s">
        <v>135</v>
      </c>
      <c r="CQ161" t="s">
        <v>135</v>
      </c>
      <c r="CR161" t="s">
        <v>135</v>
      </c>
      <c r="CS161" t="s">
        <v>135</v>
      </c>
      <c r="CT161" t="s">
        <v>135</v>
      </c>
      <c r="CU161" t="s">
        <v>135</v>
      </c>
      <c r="CV161" t="s">
        <v>135</v>
      </c>
      <c r="CW161" t="s">
        <v>135</v>
      </c>
      <c r="CX161" t="s">
        <v>135</v>
      </c>
      <c r="CY161" t="s">
        <v>135</v>
      </c>
      <c r="CZ161" t="s">
        <v>135</v>
      </c>
      <c r="DA161" t="s">
        <v>135</v>
      </c>
      <c r="DB161" t="s">
        <v>135</v>
      </c>
      <c r="DC161" t="s">
        <v>135</v>
      </c>
      <c r="DD161" t="s">
        <v>135</v>
      </c>
      <c r="DE161" t="s">
        <v>135</v>
      </c>
      <c r="DF161" t="s">
        <v>135</v>
      </c>
      <c r="DG161" t="s">
        <v>135</v>
      </c>
      <c r="DH161" t="s">
        <v>135</v>
      </c>
      <c r="DI161" t="s">
        <v>135</v>
      </c>
    </row>
    <row r="162" spans="4:113" x14ac:dyDescent="0.3">
      <c r="E162" t="s">
        <v>81</v>
      </c>
      <c r="F162" t="s">
        <v>135</v>
      </c>
      <c r="G162" t="s">
        <v>135</v>
      </c>
      <c r="H162" t="s">
        <v>135</v>
      </c>
      <c r="I162" t="s">
        <v>135</v>
      </c>
      <c r="J162" t="s">
        <v>135</v>
      </c>
      <c r="K162" t="s">
        <v>135</v>
      </c>
      <c r="L162" t="s">
        <v>135</v>
      </c>
      <c r="M162" t="s">
        <v>135</v>
      </c>
      <c r="N162" t="s">
        <v>135</v>
      </c>
      <c r="O162" t="s">
        <v>135</v>
      </c>
      <c r="P162" t="s">
        <v>135</v>
      </c>
      <c r="Q162" t="s">
        <v>135</v>
      </c>
      <c r="R162" t="s">
        <v>135</v>
      </c>
      <c r="S162" t="s">
        <v>135</v>
      </c>
      <c r="T162" t="s">
        <v>135</v>
      </c>
      <c r="U162" t="s">
        <v>135</v>
      </c>
      <c r="V162" t="s">
        <v>135</v>
      </c>
      <c r="W162" t="s">
        <v>135</v>
      </c>
      <c r="X162" t="s">
        <v>135</v>
      </c>
      <c r="Y162" t="s">
        <v>135</v>
      </c>
      <c r="Z162" t="s">
        <v>135</v>
      </c>
      <c r="AA162" t="s">
        <v>135</v>
      </c>
      <c r="AB162" t="s">
        <v>135</v>
      </c>
      <c r="AC162" t="s">
        <v>135</v>
      </c>
      <c r="AD162" t="s">
        <v>135</v>
      </c>
      <c r="AE162" t="s">
        <v>135</v>
      </c>
      <c r="AF162" t="s">
        <v>135</v>
      </c>
      <c r="AG162" t="s">
        <v>135</v>
      </c>
      <c r="AH162" t="s">
        <v>135</v>
      </c>
      <c r="AI162" t="s">
        <v>135</v>
      </c>
      <c r="AJ162" t="s">
        <v>135</v>
      </c>
      <c r="AK162" t="s">
        <v>135</v>
      </c>
      <c r="AL162" t="s">
        <v>135</v>
      </c>
      <c r="AM162" t="s">
        <v>135</v>
      </c>
      <c r="AN162" t="s">
        <v>135</v>
      </c>
      <c r="AO162" t="s">
        <v>135</v>
      </c>
      <c r="AP162" t="s">
        <v>135</v>
      </c>
      <c r="AQ162" t="s">
        <v>135</v>
      </c>
      <c r="AR162" t="s">
        <v>135</v>
      </c>
      <c r="AS162" t="s">
        <v>135</v>
      </c>
      <c r="AT162" t="s">
        <v>135</v>
      </c>
      <c r="AU162" t="s">
        <v>135</v>
      </c>
      <c r="AV162" t="s">
        <v>135</v>
      </c>
      <c r="AW162" t="s">
        <v>135</v>
      </c>
      <c r="AX162" t="s">
        <v>135</v>
      </c>
      <c r="AY162" t="s">
        <v>135</v>
      </c>
      <c r="AZ162" t="s">
        <v>135</v>
      </c>
      <c r="BA162" t="s">
        <v>135</v>
      </c>
      <c r="BB162" t="s">
        <v>135</v>
      </c>
      <c r="BC162" t="s">
        <v>135</v>
      </c>
      <c r="BD162" t="s">
        <v>135</v>
      </c>
      <c r="BE162" t="s">
        <v>135</v>
      </c>
      <c r="BF162" t="s">
        <v>135</v>
      </c>
      <c r="BG162" t="s">
        <v>135</v>
      </c>
      <c r="BH162" t="s">
        <v>135</v>
      </c>
      <c r="BI162" t="s">
        <v>135</v>
      </c>
      <c r="BJ162" t="s">
        <v>135</v>
      </c>
      <c r="BK162" t="s">
        <v>135</v>
      </c>
      <c r="BL162" t="s">
        <v>135</v>
      </c>
      <c r="BM162" t="s">
        <v>135</v>
      </c>
      <c r="BN162" t="s">
        <v>135</v>
      </c>
      <c r="BO162" t="s">
        <v>135</v>
      </c>
      <c r="BP162" t="s">
        <v>135</v>
      </c>
      <c r="BQ162" t="s">
        <v>135</v>
      </c>
      <c r="BR162" t="s">
        <v>135</v>
      </c>
      <c r="BS162" t="s">
        <v>135</v>
      </c>
      <c r="BT162" t="s">
        <v>135</v>
      </c>
      <c r="BU162" t="s">
        <v>135</v>
      </c>
      <c r="BV162" t="s">
        <v>135</v>
      </c>
      <c r="BW162" t="s">
        <v>135</v>
      </c>
      <c r="BX162" t="s">
        <v>135</v>
      </c>
      <c r="BY162" t="s">
        <v>135</v>
      </c>
      <c r="BZ162" t="s">
        <v>135</v>
      </c>
      <c r="CA162" t="s">
        <v>135</v>
      </c>
      <c r="CB162" t="s">
        <v>135</v>
      </c>
      <c r="CC162" t="s">
        <v>135</v>
      </c>
      <c r="CD162" t="s">
        <v>135</v>
      </c>
      <c r="CE162" t="s">
        <v>135</v>
      </c>
      <c r="CF162" t="s">
        <v>135</v>
      </c>
      <c r="CG162" t="s">
        <v>135</v>
      </c>
      <c r="CH162" t="s">
        <v>135</v>
      </c>
      <c r="CI162" t="s">
        <v>135</v>
      </c>
      <c r="CJ162" t="s">
        <v>135</v>
      </c>
      <c r="CK162" t="s">
        <v>135</v>
      </c>
      <c r="CL162" t="s">
        <v>135</v>
      </c>
      <c r="CM162" t="s">
        <v>135</v>
      </c>
      <c r="CN162" t="s">
        <v>135</v>
      </c>
      <c r="CO162" t="s">
        <v>135</v>
      </c>
      <c r="CP162" t="s">
        <v>135</v>
      </c>
      <c r="CQ162" t="s">
        <v>135</v>
      </c>
      <c r="CR162" t="s">
        <v>135</v>
      </c>
      <c r="CS162" t="s">
        <v>135</v>
      </c>
      <c r="CT162" t="s">
        <v>135</v>
      </c>
      <c r="CU162" t="s">
        <v>135</v>
      </c>
      <c r="CV162" t="s">
        <v>135</v>
      </c>
      <c r="CW162" t="s">
        <v>135</v>
      </c>
      <c r="CX162" t="s">
        <v>135</v>
      </c>
      <c r="CY162" t="s">
        <v>135</v>
      </c>
      <c r="CZ162" t="s">
        <v>135</v>
      </c>
      <c r="DA162" t="s">
        <v>135</v>
      </c>
      <c r="DB162" t="s">
        <v>135</v>
      </c>
      <c r="DC162" t="s">
        <v>135</v>
      </c>
      <c r="DD162" t="s">
        <v>135</v>
      </c>
      <c r="DE162" t="s">
        <v>135</v>
      </c>
      <c r="DF162" t="s">
        <v>135</v>
      </c>
      <c r="DG162" t="s">
        <v>135</v>
      </c>
      <c r="DH162" t="s">
        <v>135</v>
      </c>
      <c r="DI162" t="s">
        <v>135</v>
      </c>
    </row>
    <row r="163" spans="4:113" x14ac:dyDescent="0.3">
      <c r="D163" t="s">
        <v>83</v>
      </c>
      <c r="E163" t="s">
        <v>77</v>
      </c>
      <c r="F163">
        <v>48.6999</v>
      </c>
      <c r="G163">
        <v>25.450199999999999</v>
      </c>
      <c r="H163">
        <v>48.590299999999999</v>
      </c>
      <c r="I163">
        <v>10.569100000000001</v>
      </c>
      <c r="J163">
        <v>9.3074999999999992</v>
      </c>
      <c r="K163">
        <v>7.0885999999999996</v>
      </c>
      <c r="L163" t="s">
        <v>135</v>
      </c>
      <c r="M163">
        <v>36.713799999999999</v>
      </c>
      <c r="N163">
        <v>27.167999999999999</v>
      </c>
      <c r="O163">
        <v>26.8797</v>
      </c>
      <c r="P163">
        <v>26.8797</v>
      </c>
      <c r="Q163">
        <v>26.000399999999999</v>
      </c>
      <c r="R163">
        <v>7.4363999999999999</v>
      </c>
      <c r="S163">
        <v>45.078400000000002</v>
      </c>
      <c r="T163">
        <v>2.3197000000000001</v>
      </c>
      <c r="U163">
        <v>-3.5844</v>
      </c>
      <c r="V163">
        <v>-5.9930000000000003</v>
      </c>
      <c r="W163">
        <v>147.90299999999999</v>
      </c>
      <c r="X163">
        <v>147.90289999999999</v>
      </c>
      <c r="Y163">
        <v>-40</v>
      </c>
      <c r="Z163">
        <v>-0.1183</v>
      </c>
      <c r="AA163">
        <v>5.8872999999999998</v>
      </c>
      <c r="AB163">
        <v>-8.4629999999999992</v>
      </c>
      <c r="AC163">
        <v>11.2592</v>
      </c>
      <c r="AD163">
        <v>14.4537</v>
      </c>
      <c r="AE163">
        <v>58.0548</v>
      </c>
      <c r="AF163">
        <v>-7.5960999999999999</v>
      </c>
      <c r="AG163">
        <v>0</v>
      </c>
      <c r="AH163">
        <v>0</v>
      </c>
      <c r="AI163">
        <v>28.1572</v>
      </c>
      <c r="AJ163">
        <v>28.019200000000001</v>
      </c>
      <c r="AK163">
        <v>28.1572</v>
      </c>
      <c r="AL163">
        <v>-7.2384000000000004</v>
      </c>
      <c r="AM163" t="s">
        <v>135</v>
      </c>
      <c r="AN163" t="s">
        <v>135</v>
      </c>
      <c r="AO163" t="s">
        <v>135</v>
      </c>
      <c r="AP163" t="s">
        <v>135</v>
      </c>
      <c r="AQ163" t="s">
        <v>135</v>
      </c>
      <c r="AR163" t="s">
        <v>135</v>
      </c>
      <c r="AS163" t="s">
        <v>135</v>
      </c>
      <c r="AT163" t="s">
        <v>135</v>
      </c>
      <c r="AU163" t="s">
        <v>135</v>
      </c>
      <c r="AV163" t="s">
        <v>135</v>
      </c>
      <c r="AW163" t="s">
        <v>135</v>
      </c>
      <c r="AX163" t="s">
        <v>135</v>
      </c>
      <c r="AY163" t="s">
        <v>135</v>
      </c>
      <c r="AZ163" t="s">
        <v>135</v>
      </c>
      <c r="BA163" t="s">
        <v>135</v>
      </c>
      <c r="BB163" t="s">
        <v>135</v>
      </c>
      <c r="BC163" t="s">
        <v>135</v>
      </c>
      <c r="BD163" t="s">
        <v>135</v>
      </c>
      <c r="BE163" t="s">
        <v>135</v>
      </c>
      <c r="BF163">
        <v>2.3197000000000001</v>
      </c>
      <c r="BG163">
        <v>-3.5844</v>
      </c>
      <c r="BH163">
        <v>-5.9930000000000003</v>
      </c>
      <c r="BI163">
        <v>147.90299999999999</v>
      </c>
      <c r="BJ163">
        <v>147.90289999999999</v>
      </c>
      <c r="BK163">
        <v>-40</v>
      </c>
      <c r="BL163">
        <v>-0.1183</v>
      </c>
      <c r="BM163">
        <v>5.8872999999999998</v>
      </c>
      <c r="BN163">
        <v>-8.4629999999999992</v>
      </c>
      <c r="BO163">
        <v>11.2592</v>
      </c>
      <c r="BP163">
        <v>14.4537</v>
      </c>
      <c r="BQ163">
        <v>58.0548</v>
      </c>
      <c r="BR163">
        <v>-7.5960999999999999</v>
      </c>
      <c r="BS163">
        <v>0</v>
      </c>
      <c r="BT163">
        <v>0</v>
      </c>
      <c r="BU163">
        <v>28.1572</v>
      </c>
      <c r="BV163">
        <v>28.019200000000001</v>
      </c>
      <c r="BW163">
        <v>28.1572</v>
      </c>
      <c r="BX163">
        <v>-7.2384000000000004</v>
      </c>
      <c r="BY163">
        <v>252</v>
      </c>
      <c r="BZ163">
        <v>252</v>
      </c>
      <c r="CA163">
        <v>0</v>
      </c>
      <c r="CB163">
        <v>2.5600000000000001E-2</v>
      </c>
      <c r="CC163">
        <v>-3.5399000000000003</v>
      </c>
      <c r="CD163">
        <v>3.3599999999999998E-2</v>
      </c>
      <c r="CE163">
        <v>-4.6478999999999999</v>
      </c>
      <c r="CF163">
        <v>124.6203</v>
      </c>
      <c r="CG163">
        <v>55.738100000000003</v>
      </c>
      <c r="CH163">
        <v>0</v>
      </c>
      <c r="CI163">
        <v>0</v>
      </c>
      <c r="CJ163">
        <v>0</v>
      </c>
      <c r="CK163">
        <v>0.38419999999999999</v>
      </c>
      <c r="CL163">
        <v>0.38279999999999997</v>
      </c>
      <c r="CM163">
        <v>0.2142</v>
      </c>
      <c r="CN163">
        <v>-53.1355</v>
      </c>
      <c r="CO163">
        <v>-113.3813</v>
      </c>
      <c r="CP163">
        <v>9845</v>
      </c>
      <c r="CQ163">
        <v>6839</v>
      </c>
      <c r="CR163">
        <v>7498</v>
      </c>
      <c r="CS163">
        <v>0.70860000000000001</v>
      </c>
      <c r="CT163">
        <v>1.8456999999999999</v>
      </c>
      <c r="CU163">
        <v>1.3220000000000001</v>
      </c>
      <c r="CV163">
        <v>7.0566000000000004</v>
      </c>
      <c r="CW163">
        <v>3.4788000000000001</v>
      </c>
      <c r="CX163">
        <v>105.2101</v>
      </c>
      <c r="CY163">
        <v>5.6086</v>
      </c>
      <c r="CZ163">
        <v>65.256600000000006</v>
      </c>
      <c r="DA163">
        <v>2.4302000000000001</v>
      </c>
      <c r="DB163">
        <v>150.60239999999999</v>
      </c>
      <c r="DC163">
        <v>19.8642</v>
      </c>
      <c r="DD163">
        <v>170.4667</v>
      </c>
      <c r="DE163">
        <v>10108</v>
      </c>
      <c r="DF163">
        <v>3599</v>
      </c>
      <c r="DG163">
        <v>3969</v>
      </c>
      <c r="DH163">
        <v>2540</v>
      </c>
      <c r="DI163">
        <v>0</v>
      </c>
    </row>
    <row r="164" spans="4:113" x14ac:dyDescent="0.3">
      <c r="E164" t="s">
        <v>78</v>
      </c>
      <c r="F164" t="s">
        <v>135</v>
      </c>
      <c r="G164" t="s">
        <v>135</v>
      </c>
      <c r="H164" t="s">
        <v>135</v>
      </c>
      <c r="I164" t="s">
        <v>135</v>
      </c>
      <c r="J164" t="s">
        <v>135</v>
      </c>
      <c r="K164" t="s">
        <v>135</v>
      </c>
      <c r="L164" t="s">
        <v>135</v>
      </c>
      <c r="M164" t="s">
        <v>135</v>
      </c>
      <c r="N164" t="s">
        <v>135</v>
      </c>
      <c r="O164" t="s">
        <v>135</v>
      </c>
      <c r="P164" t="s">
        <v>135</v>
      </c>
      <c r="Q164" t="s">
        <v>135</v>
      </c>
      <c r="R164" t="s">
        <v>135</v>
      </c>
      <c r="S164" t="s">
        <v>135</v>
      </c>
      <c r="T164" t="s">
        <v>135</v>
      </c>
      <c r="U164" t="s">
        <v>135</v>
      </c>
      <c r="V164" t="s">
        <v>135</v>
      </c>
      <c r="W164" t="s">
        <v>135</v>
      </c>
      <c r="X164" t="s">
        <v>135</v>
      </c>
      <c r="Y164" t="s">
        <v>135</v>
      </c>
      <c r="Z164" t="s">
        <v>135</v>
      </c>
      <c r="AA164" t="s">
        <v>135</v>
      </c>
      <c r="AB164" t="s">
        <v>135</v>
      </c>
      <c r="AC164" t="s">
        <v>135</v>
      </c>
      <c r="AD164" t="s">
        <v>135</v>
      </c>
      <c r="AE164" t="s">
        <v>135</v>
      </c>
      <c r="AF164" t="s">
        <v>135</v>
      </c>
      <c r="AG164" t="s">
        <v>135</v>
      </c>
      <c r="AH164" t="s">
        <v>135</v>
      </c>
      <c r="AI164" t="s">
        <v>135</v>
      </c>
      <c r="AJ164" t="s">
        <v>135</v>
      </c>
      <c r="AK164" t="s">
        <v>135</v>
      </c>
      <c r="AL164" t="s">
        <v>135</v>
      </c>
      <c r="AM164" t="s">
        <v>135</v>
      </c>
      <c r="AN164" t="s">
        <v>135</v>
      </c>
      <c r="AO164" t="s">
        <v>135</v>
      </c>
      <c r="AP164" t="s">
        <v>135</v>
      </c>
      <c r="AQ164" t="s">
        <v>135</v>
      </c>
      <c r="AR164" t="s">
        <v>135</v>
      </c>
      <c r="AS164" t="s">
        <v>135</v>
      </c>
      <c r="AT164" t="s">
        <v>135</v>
      </c>
      <c r="AU164" t="s">
        <v>135</v>
      </c>
      <c r="AV164" t="s">
        <v>135</v>
      </c>
      <c r="AW164" t="s">
        <v>135</v>
      </c>
      <c r="AX164" t="s">
        <v>135</v>
      </c>
      <c r="AY164" t="s">
        <v>135</v>
      </c>
      <c r="AZ164" t="s">
        <v>135</v>
      </c>
      <c r="BA164" t="s">
        <v>135</v>
      </c>
      <c r="BB164" t="s">
        <v>135</v>
      </c>
      <c r="BC164" t="s">
        <v>135</v>
      </c>
      <c r="BD164" t="s">
        <v>135</v>
      </c>
      <c r="BE164" t="s">
        <v>135</v>
      </c>
      <c r="BF164" t="s">
        <v>135</v>
      </c>
      <c r="BG164" t="s">
        <v>135</v>
      </c>
      <c r="BH164" t="s">
        <v>135</v>
      </c>
      <c r="BI164" t="s">
        <v>135</v>
      </c>
      <c r="BJ164" t="s">
        <v>135</v>
      </c>
      <c r="BK164" t="s">
        <v>135</v>
      </c>
      <c r="BL164" t="s">
        <v>135</v>
      </c>
      <c r="BM164" t="s">
        <v>135</v>
      </c>
      <c r="BN164" t="s">
        <v>135</v>
      </c>
      <c r="BO164" t="s">
        <v>135</v>
      </c>
      <c r="BP164" t="s">
        <v>135</v>
      </c>
      <c r="BQ164" t="s">
        <v>135</v>
      </c>
      <c r="BR164" t="s">
        <v>135</v>
      </c>
      <c r="BS164" t="s">
        <v>135</v>
      </c>
      <c r="BT164" t="s">
        <v>135</v>
      </c>
      <c r="BU164" t="s">
        <v>135</v>
      </c>
      <c r="BV164" t="s">
        <v>135</v>
      </c>
      <c r="BW164" t="s">
        <v>135</v>
      </c>
      <c r="BX164" t="s">
        <v>135</v>
      </c>
      <c r="BY164" t="s">
        <v>135</v>
      </c>
      <c r="BZ164" t="s">
        <v>135</v>
      </c>
      <c r="CA164" t="s">
        <v>135</v>
      </c>
      <c r="CB164" t="s">
        <v>135</v>
      </c>
      <c r="CC164" t="s">
        <v>135</v>
      </c>
      <c r="CD164" t="s">
        <v>135</v>
      </c>
      <c r="CE164" t="s">
        <v>135</v>
      </c>
      <c r="CF164" t="s">
        <v>135</v>
      </c>
      <c r="CG164" t="s">
        <v>135</v>
      </c>
      <c r="CH164" t="s">
        <v>135</v>
      </c>
      <c r="CI164" t="s">
        <v>135</v>
      </c>
      <c r="CJ164" t="s">
        <v>135</v>
      </c>
      <c r="CK164" t="s">
        <v>135</v>
      </c>
      <c r="CL164" t="s">
        <v>135</v>
      </c>
      <c r="CM164" t="s">
        <v>135</v>
      </c>
      <c r="CN164" t="s">
        <v>135</v>
      </c>
      <c r="CO164" t="s">
        <v>135</v>
      </c>
      <c r="CP164" t="s">
        <v>135</v>
      </c>
      <c r="CQ164" t="s">
        <v>135</v>
      </c>
      <c r="CR164" t="s">
        <v>135</v>
      </c>
      <c r="CS164" t="s">
        <v>135</v>
      </c>
      <c r="CT164" t="s">
        <v>135</v>
      </c>
      <c r="CU164" t="s">
        <v>135</v>
      </c>
      <c r="CV164" t="s">
        <v>135</v>
      </c>
      <c r="CW164" t="s">
        <v>135</v>
      </c>
      <c r="CX164" t="s">
        <v>135</v>
      </c>
      <c r="CY164" t="s">
        <v>135</v>
      </c>
      <c r="CZ164" t="s">
        <v>135</v>
      </c>
      <c r="DA164" t="s">
        <v>135</v>
      </c>
      <c r="DB164" t="s">
        <v>135</v>
      </c>
      <c r="DC164" t="s">
        <v>135</v>
      </c>
      <c r="DD164" t="s">
        <v>135</v>
      </c>
      <c r="DE164" t="s">
        <v>135</v>
      </c>
      <c r="DF164" t="s">
        <v>135</v>
      </c>
      <c r="DG164" t="s">
        <v>135</v>
      </c>
      <c r="DH164" t="s">
        <v>135</v>
      </c>
      <c r="DI164" t="s">
        <v>135</v>
      </c>
    </row>
    <row r="165" spans="4:113" x14ac:dyDescent="0.3">
      <c r="E165" t="s">
        <v>79</v>
      </c>
      <c r="F165" t="s">
        <v>135</v>
      </c>
      <c r="G165" t="s">
        <v>135</v>
      </c>
      <c r="H165" t="s">
        <v>135</v>
      </c>
      <c r="I165" t="s">
        <v>135</v>
      </c>
      <c r="J165" t="s">
        <v>135</v>
      </c>
      <c r="K165" t="s">
        <v>135</v>
      </c>
      <c r="L165" t="s">
        <v>135</v>
      </c>
      <c r="M165" t="s">
        <v>135</v>
      </c>
      <c r="N165" t="s">
        <v>135</v>
      </c>
      <c r="O165" t="s">
        <v>135</v>
      </c>
      <c r="P165" t="s">
        <v>135</v>
      </c>
      <c r="Q165" t="s">
        <v>135</v>
      </c>
      <c r="R165" t="s">
        <v>135</v>
      </c>
      <c r="S165" t="s">
        <v>135</v>
      </c>
      <c r="T165" t="s">
        <v>135</v>
      </c>
      <c r="U165" t="s">
        <v>135</v>
      </c>
      <c r="V165" t="s">
        <v>135</v>
      </c>
      <c r="W165" t="s">
        <v>135</v>
      </c>
      <c r="X165" t="s">
        <v>135</v>
      </c>
      <c r="Y165" t="s">
        <v>135</v>
      </c>
      <c r="Z165" t="s">
        <v>135</v>
      </c>
      <c r="AA165" t="s">
        <v>135</v>
      </c>
      <c r="AB165" t="s">
        <v>135</v>
      </c>
      <c r="AC165" t="s">
        <v>135</v>
      </c>
      <c r="AD165" t="s">
        <v>135</v>
      </c>
      <c r="AE165" t="s">
        <v>135</v>
      </c>
      <c r="AF165" t="s">
        <v>135</v>
      </c>
      <c r="AG165" t="s">
        <v>135</v>
      </c>
      <c r="AH165" t="s">
        <v>135</v>
      </c>
      <c r="AI165" t="s">
        <v>135</v>
      </c>
      <c r="AJ165" t="s">
        <v>135</v>
      </c>
      <c r="AK165" t="s">
        <v>135</v>
      </c>
      <c r="AL165" t="s">
        <v>135</v>
      </c>
      <c r="AM165" t="s">
        <v>135</v>
      </c>
      <c r="AN165" t="s">
        <v>135</v>
      </c>
      <c r="AO165" t="s">
        <v>135</v>
      </c>
      <c r="AP165" t="s">
        <v>135</v>
      </c>
      <c r="AQ165" t="s">
        <v>135</v>
      </c>
      <c r="AR165" t="s">
        <v>135</v>
      </c>
      <c r="AS165" t="s">
        <v>135</v>
      </c>
      <c r="AT165" t="s">
        <v>135</v>
      </c>
      <c r="AU165" t="s">
        <v>135</v>
      </c>
      <c r="AV165" t="s">
        <v>135</v>
      </c>
      <c r="AW165" t="s">
        <v>135</v>
      </c>
      <c r="AX165" t="s">
        <v>135</v>
      </c>
      <c r="AY165" t="s">
        <v>135</v>
      </c>
      <c r="AZ165" t="s">
        <v>135</v>
      </c>
      <c r="BA165" t="s">
        <v>135</v>
      </c>
      <c r="BB165" t="s">
        <v>135</v>
      </c>
      <c r="BC165" t="s">
        <v>135</v>
      </c>
      <c r="BD165" t="s">
        <v>135</v>
      </c>
      <c r="BE165" t="s">
        <v>135</v>
      </c>
      <c r="BF165" t="s">
        <v>135</v>
      </c>
      <c r="BG165" t="s">
        <v>135</v>
      </c>
      <c r="BH165" t="s">
        <v>135</v>
      </c>
      <c r="BI165" t="s">
        <v>135</v>
      </c>
      <c r="BJ165" t="s">
        <v>135</v>
      </c>
      <c r="BK165" t="s">
        <v>135</v>
      </c>
      <c r="BL165" t="s">
        <v>135</v>
      </c>
      <c r="BM165" t="s">
        <v>135</v>
      </c>
      <c r="BN165" t="s">
        <v>135</v>
      </c>
      <c r="BO165" t="s">
        <v>135</v>
      </c>
      <c r="BP165" t="s">
        <v>135</v>
      </c>
      <c r="BQ165" t="s">
        <v>135</v>
      </c>
      <c r="BR165" t="s">
        <v>135</v>
      </c>
      <c r="BS165" t="s">
        <v>135</v>
      </c>
      <c r="BT165" t="s">
        <v>135</v>
      </c>
      <c r="BU165" t="s">
        <v>135</v>
      </c>
      <c r="BV165" t="s">
        <v>135</v>
      </c>
      <c r="BW165" t="s">
        <v>135</v>
      </c>
      <c r="BX165" t="s">
        <v>135</v>
      </c>
      <c r="BY165" t="s">
        <v>135</v>
      </c>
      <c r="BZ165" t="s">
        <v>135</v>
      </c>
      <c r="CA165" t="s">
        <v>135</v>
      </c>
      <c r="CB165" t="s">
        <v>135</v>
      </c>
      <c r="CC165" t="s">
        <v>135</v>
      </c>
      <c r="CD165" t="s">
        <v>135</v>
      </c>
      <c r="CE165" t="s">
        <v>135</v>
      </c>
      <c r="CF165" t="s">
        <v>135</v>
      </c>
      <c r="CG165" t="s">
        <v>135</v>
      </c>
      <c r="CH165" t="s">
        <v>135</v>
      </c>
      <c r="CI165" t="s">
        <v>135</v>
      </c>
      <c r="CJ165" t="s">
        <v>135</v>
      </c>
      <c r="CK165" t="s">
        <v>135</v>
      </c>
      <c r="CL165" t="s">
        <v>135</v>
      </c>
      <c r="CM165" t="s">
        <v>135</v>
      </c>
      <c r="CN165" t="s">
        <v>135</v>
      </c>
      <c r="CO165" t="s">
        <v>135</v>
      </c>
      <c r="CP165" t="s">
        <v>135</v>
      </c>
      <c r="CQ165" t="s">
        <v>135</v>
      </c>
      <c r="CR165" t="s">
        <v>135</v>
      </c>
      <c r="CS165" t="s">
        <v>135</v>
      </c>
      <c r="CT165" t="s">
        <v>135</v>
      </c>
      <c r="CU165" t="s">
        <v>135</v>
      </c>
      <c r="CV165" t="s">
        <v>135</v>
      </c>
      <c r="CW165" t="s">
        <v>135</v>
      </c>
      <c r="CX165" t="s">
        <v>135</v>
      </c>
      <c r="CY165" t="s">
        <v>135</v>
      </c>
      <c r="CZ165" t="s">
        <v>135</v>
      </c>
      <c r="DA165" t="s">
        <v>135</v>
      </c>
      <c r="DB165" t="s">
        <v>135</v>
      </c>
      <c r="DC165" t="s">
        <v>135</v>
      </c>
      <c r="DD165" t="s">
        <v>135</v>
      </c>
      <c r="DE165" t="s">
        <v>135</v>
      </c>
      <c r="DF165" t="s">
        <v>135</v>
      </c>
      <c r="DG165" t="s">
        <v>135</v>
      </c>
      <c r="DH165" t="s">
        <v>135</v>
      </c>
      <c r="DI165" t="s">
        <v>135</v>
      </c>
    </row>
    <row r="166" spans="4:113" x14ac:dyDescent="0.3">
      <c r="E166" t="s">
        <v>80</v>
      </c>
      <c r="F166" t="s">
        <v>135</v>
      </c>
      <c r="G166" t="s">
        <v>135</v>
      </c>
      <c r="H166" t="s">
        <v>135</v>
      </c>
      <c r="I166" t="s">
        <v>135</v>
      </c>
      <c r="J166" t="s">
        <v>135</v>
      </c>
      <c r="K166" t="s">
        <v>135</v>
      </c>
      <c r="L166" t="s">
        <v>135</v>
      </c>
      <c r="M166" t="s">
        <v>135</v>
      </c>
      <c r="N166" t="s">
        <v>135</v>
      </c>
      <c r="O166" t="s">
        <v>135</v>
      </c>
      <c r="P166" t="s">
        <v>135</v>
      </c>
      <c r="Q166" t="s">
        <v>135</v>
      </c>
      <c r="R166" t="s">
        <v>135</v>
      </c>
      <c r="S166" t="s">
        <v>135</v>
      </c>
      <c r="T166" t="s">
        <v>135</v>
      </c>
      <c r="U166" t="s">
        <v>135</v>
      </c>
      <c r="V166" t="s">
        <v>135</v>
      </c>
      <c r="W166" t="s">
        <v>135</v>
      </c>
      <c r="X166" t="s">
        <v>135</v>
      </c>
      <c r="Y166" t="s">
        <v>135</v>
      </c>
      <c r="Z166" t="s">
        <v>135</v>
      </c>
      <c r="AA166" t="s">
        <v>135</v>
      </c>
      <c r="AB166" t="s">
        <v>135</v>
      </c>
      <c r="AC166" t="s">
        <v>135</v>
      </c>
      <c r="AD166" t="s">
        <v>135</v>
      </c>
      <c r="AE166" t="s">
        <v>135</v>
      </c>
      <c r="AF166" t="s">
        <v>135</v>
      </c>
      <c r="AG166" t="s">
        <v>135</v>
      </c>
      <c r="AH166" t="s">
        <v>135</v>
      </c>
      <c r="AI166" t="s">
        <v>135</v>
      </c>
      <c r="AJ166" t="s">
        <v>135</v>
      </c>
      <c r="AK166" t="s">
        <v>135</v>
      </c>
      <c r="AL166" t="s">
        <v>135</v>
      </c>
      <c r="AM166" t="s">
        <v>135</v>
      </c>
      <c r="AN166" t="s">
        <v>135</v>
      </c>
      <c r="AO166" t="s">
        <v>135</v>
      </c>
      <c r="AP166" t="s">
        <v>135</v>
      </c>
      <c r="AQ166" t="s">
        <v>135</v>
      </c>
      <c r="AR166" t="s">
        <v>135</v>
      </c>
      <c r="AS166" t="s">
        <v>135</v>
      </c>
      <c r="AT166" t="s">
        <v>135</v>
      </c>
      <c r="AU166" t="s">
        <v>135</v>
      </c>
      <c r="AV166" t="s">
        <v>135</v>
      </c>
      <c r="AW166" t="s">
        <v>135</v>
      </c>
      <c r="AX166" t="s">
        <v>135</v>
      </c>
      <c r="AY166" t="s">
        <v>135</v>
      </c>
      <c r="AZ166" t="s">
        <v>135</v>
      </c>
      <c r="BA166" t="s">
        <v>135</v>
      </c>
      <c r="BB166" t="s">
        <v>135</v>
      </c>
      <c r="BC166" t="s">
        <v>135</v>
      </c>
      <c r="BD166" t="s">
        <v>135</v>
      </c>
      <c r="BE166" t="s">
        <v>135</v>
      </c>
      <c r="BF166" t="s">
        <v>135</v>
      </c>
      <c r="BG166" t="s">
        <v>135</v>
      </c>
      <c r="BH166" t="s">
        <v>135</v>
      </c>
      <c r="BI166" t="s">
        <v>135</v>
      </c>
      <c r="BJ166" t="s">
        <v>135</v>
      </c>
      <c r="BK166" t="s">
        <v>135</v>
      </c>
      <c r="BL166" t="s">
        <v>135</v>
      </c>
      <c r="BM166" t="s">
        <v>135</v>
      </c>
      <c r="BN166" t="s">
        <v>135</v>
      </c>
      <c r="BO166" t="s">
        <v>135</v>
      </c>
      <c r="BP166" t="s">
        <v>135</v>
      </c>
      <c r="BQ166" t="s">
        <v>135</v>
      </c>
      <c r="BR166" t="s">
        <v>135</v>
      </c>
      <c r="BS166" t="s">
        <v>135</v>
      </c>
      <c r="BT166" t="s">
        <v>135</v>
      </c>
      <c r="BU166" t="s">
        <v>135</v>
      </c>
      <c r="BV166" t="s">
        <v>135</v>
      </c>
      <c r="BW166" t="s">
        <v>135</v>
      </c>
      <c r="BX166" t="s">
        <v>135</v>
      </c>
      <c r="BY166" t="s">
        <v>135</v>
      </c>
      <c r="BZ166" t="s">
        <v>135</v>
      </c>
      <c r="CA166" t="s">
        <v>135</v>
      </c>
      <c r="CB166" t="s">
        <v>135</v>
      </c>
      <c r="CC166" t="s">
        <v>135</v>
      </c>
      <c r="CD166" t="s">
        <v>135</v>
      </c>
      <c r="CE166" t="s">
        <v>135</v>
      </c>
      <c r="CF166" t="s">
        <v>135</v>
      </c>
      <c r="CG166" t="s">
        <v>135</v>
      </c>
      <c r="CH166" t="s">
        <v>135</v>
      </c>
      <c r="CI166" t="s">
        <v>135</v>
      </c>
      <c r="CJ166" t="s">
        <v>135</v>
      </c>
      <c r="CK166" t="s">
        <v>135</v>
      </c>
      <c r="CL166" t="s">
        <v>135</v>
      </c>
      <c r="CM166" t="s">
        <v>135</v>
      </c>
      <c r="CN166" t="s">
        <v>135</v>
      </c>
      <c r="CO166" t="s">
        <v>135</v>
      </c>
      <c r="CP166" t="s">
        <v>135</v>
      </c>
      <c r="CQ166" t="s">
        <v>135</v>
      </c>
      <c r="CR166" t="s">
        <v>135</v>
      </c>
      <c r="CS166" t="s">
        <v>135</v>
      </c>
      <c r="CT166" t="s">
        <v>135</v>
      </c>
      <c r="CU166" t="s">
        <v>135</v>
      </c>
      <c r="CV166" t="s">
        <v>135</v>
      </c>
      <c r="CW166" t="s">
        <v>135</v>
      </c>
      <c r="CX166" t="s">
        <v>135</v>
      </c>
      <c r="CY166" t="s">
        <v>135</v>
      </c>
      <c r="CZ166" t="s">
        <v>135</v>
      </c>
      <c r="DA166" t="s">
        <v>135</v>
      </c>
      <c r="DB166" t="s">
        <v>135</v>
      </c>
      <c r="DC166" t="s">
        <v>135</v>
      </c>
      <c r="DD166" t="s">
        <v>135</v>
      </c>
      <c r="DE166" t="s">
        <v>135</v>
      </c>
      <c r="DF166" t="s">
        <v>135</v>
      </c>
      <c r="DG166" t="s">
        <v>135</v>
      </c>
      <c r="DH166" t="s">
        <v>135</v>
      </c>
      <c r="DI166" t="s">
        <v>135</v>
      </c>
    </row>
    <row r="167" spans="4:113" x14ac:dyDescent="0.3">
      <c r="E167" t="s">
        <v>81</v>
      </c>
      <c r="F167" t="s">
        <v>135</v>
      </c>
      <c r="G167" t="s">
        <v>135</v>
      </c>
      <c r="H167" t="s">
        <v>135</v>
      </c>
      <c r="I167" t="s">
        <v>135</v>
      </c>
      <c r="J167" t="s">
        <v>135</v>
      </c>
      <c r="K167" t="s">
        <v>135</v>
      </c>
      <c r="L167" t="s">
        <v>135</v>
      </c>
      <c r="M167" t="s">
        <v>135</v>
      </c>
      <c r="N167" t="s">
        <v>135</v>
      </c>
      <c r="O167" t="s">
        <v>135</v>
      </c>
      <c r="P167" t="s">
        <v>135</v>
      </c>
      <c r="Q167" t="s">
        <v>135</v>
      </c>
      <c r="R167" t="s">
        <v>135</v>
      </c>
      <c r="S167" t="s">
        <v>135</v>
      </c>
      <c r="T167" t="s">
        <v>135</v>
      </c>
      <c r="U167" t="s">
        <v>135</v>
      </c>
      <c r="V167" t="s">
        <v>135</v>
      </c>
      <c r="W167" t="s">
        <v>135</v>
      </c>
      <c r="X167" t="s">
        <v>135</v>
      </c>
      <c r="Y167" t="s">
        <v>135</v>
      </c>
      <c r="Z167" t="s">
        <v>135</v>
      </c>
      <c r="AA167" t="s">
        <v>135</v>
      </c>
      <c r="AB167" t="s">
        <v>135</v>
      </c>
      <c r="AC167" t="s">
        <v>135</v>
      </c>
      <c r="AD167" t="s">
        <v>135</v>
      </c>
      <c r="AE167" t="s">
        <v>135</v>
      </c>
      <c r="AF167" t="s">
        <v>135</v>
      </c>
      <c r="AG167" t="s">
        <v>135</v>
      </c>
      <c r="AH167" t="s">
        <v>135</v>
      </c>
      <c r="AI167" t="s">
        <v>135</v>
      </c>
      <c r="AJ167" t="s">
        <v>135</v>
      </c>
      <c r="AK167" t="s">
        <v>135</v>
      </c>
      <c r="AL167" t="s">
        <v>135</v>
      </c>
      <c r="AM167" t="s">
        <v>135</v>
      </c>
      <c r="AN167" t="s">
        <v>135</v>
      </c>
      <c r="AO167" t="s">
        <v>135</v>
      </c>
      <c r="AP167" t="s">
        <v>135</v>
      </c>
      <c r="AQ167" t="s">
        <v>135</v>
      </c>
      <c r="AR167" t="s">
        <v>135</v>
      </c>
      <c r="AS167" t="s">
        <v>135</v>
      </c>
      <c r="AT167" t="s">
        <v>135</v>
      </c>
      <c r="AU167" t="s">
        <v>135</v>
      </c>
      <c r="AV167" t="s">
        <v>135</v>
      </c>
      <c r="AW167" t="s">
        <v>135</v>
      </c>
      <c r="AX167" t="s">
        <v>135</v>
      </c>
      <c r="AY167" t="s">
        <v>135</v>
      </c>
      <c r="AZ167" t="s">
        <v>135</v>
      </c>
      <c r="BA167" t="s">
        <v>135</v>
      </c>
      <c r="BB167" t="s">
        <v>135</v>
      </c>
      <c r="BC167" t="s">
        <v>135</v>
      </c>
      <c r="BD167" t="s">
        <v>135</v>
      </c>
      <c r="BE167" t="s">
        <v>135</v>
      </c>
      <c r="BF167" t="s">
        <v>135</v>
      </c>
      <c r="BG167" t="s">
        <v>135</v>
      </c>
      <c r="BH167" t="s">
        <v>135</v>
      </c>
      <c r="BI167" t="s">
        <v>135</v>
      </c>
      <c r="BJ167" t="s">
        <v>135</v>
      </c>
      <c r="BK167" t="s">
        <v>135</v>
      </c>
      <c r="BL167" t="s">
        <v>135</v>
      </c>
      <c r="BM167" t="s">
        <v>135</v>
      </c>
      <c r="BN167" t="s">
        <v>135</v>
      </c>
      <c r="BO167" t="s">
        <v>135</v>
      </c>
      <c r="BP167" t="s">
        <v>135</v>
      </c>
      <c r="BQ167" t="s">
        <v>135</v>
      </c>
      <c r="BR167" t="s">
        <v>135</v>
      </c>
      <c r="BS167" t="s">
        <v>135</v>
      </c>
      <c r="BT167" t="s">
        <v>135</v>
      </c>
      <c r="BU167" t="s">
        <v>135</v>
      </c>
      <c r="BV167" t="s">
        <v>135</v>
      </c>
      <c r="BW167" t="s">
        <v>135</v>
      </c>
      <c r="BX167" t="s">
        <v>135</v>
      </c>
      <c r="BY167" t="s">
        <v>135</v>
      </c>
      <c r="BZ167" t="s">
        <v>135</v>
      </c>
      <c r="CA167" t="s">
        <v>135</v>
      </c>
      <c r="CB167" t="s">
        <v>135</v>
      </c>
      <c r="CC167" t="s">
        <v>135</v>
      </c>
      <c r="CD167" t="s">
        <v>135</v>
      </c>
      <c r="CE167" t="s">
        <v>135</v>
      </c>
      <c r="CF167" t="s">
        <v>135</v>
      </c>
      <c r="CG167" t="s">
        <v>135</v>
      </c>
      <c r="CH167" t="s">
        <v>135</v>
      </c>
      <c r="CI167" t="s">
        <v>135</v>
      </c>
      <c r="CJ167" t="s">
        <v>135</v>
      </c>
      <c r="CK167" t="s">
        <v>135</v>
      </c>
      <c r="CL167" t="s">
        <v>135</v>
      </c>
      <c r="CM167" t="s">
        <v>135</v>
      </c>
      <c r="CN167" t="s">
        <v>135</v>
      </c>
      <c r="CO167" t="s">
        <v>135</v>
      </c>
      <c r="CP167" t="s">
        <v>135</v>
      </c>
      <c r="CQ167" t="s">
        <v>135</v>
      </c>
      <c r="CR167" t="s">
        <v>135</v>
      </c>
      <c r="CS167" t="s">
        <v>135</v>
      </c>
      <c r="CT167" t="s">
        <v>135</v>
      </c>
      <c r="CU167" t="s">
        <v>135</v>
      </c>
      <c r="CV167" t="s">
        <v>135</v>
      </c>
      <c r="CW167" t="s">
        <v>135</v>
      </c>
      <c r="CX167" t="s">
        <v>135</v>
      </c>
      <c r="CY167" t="s">
        <v>135</v>
      </c>
      <c r="CZ167" t="s">
        <v>135</v>
      </c>
      <c r="DA167" t="s">
        <v>135</v>
      </c>
      <c r="DB167" t="s">
        <v>135</v>
      </c>
      <c r="DC167" t="s">
        <v>135</v>
      </c>
      <c r="DD167" t="s">
        <v>135</v>
      </c>
      <c r="DE167" t="s">
        <v>135</v>
      </c>
      <c r="DF167" t="s">
        <v>135</v>
      </c>
      <c r="DG167" t="s">
        <v>135</v>
      </c>
      <c r="DH167" t="s">
        <v>135</v>
      </c>
      <c r="DI167" t="s">
        <v>135</v>
      </c>
    </row>
    <row r="168" spans="4:113" x14ac:dyDescent="0.3">
      <c r="D168" t="s">
        <v>84</v>
      </c>
      <c r="E168" t="s">
        <v>77</v>
      </c>
      <c r="F168">
        <v>15.684799999999999</v>
      </c>
      <c r="G168">
        <v>9.0485000000000007</v>
      </c>
      <c r="H168">
        <v>15.7317</v>
      </c>
      <c r="I168">
        <v>8.8221000000000007</v>
      </c>
      <c r="J168">
        <v>9.7744999999999997</v>
      </c>
      <c r="K168">
        <v>7.9401000000000002</v>
      </c>
      <c r="L168">
        <v>30.851600000000001</v>
      </c>
      <c r="M168">
        <v>15.4778</v>
      </c>
      <c r="N168">
        <v>10.541399999999999</v>
      </c>
      <c r="O168">
        <v>10.541399999999999</v>
      </c>
      <c r="P168">
        <v>10.541399999999999</v>
      </c>
      <c r="Q168">
        <v>31.8933</v>
      </c>
      <c r="R168">
        <v>21.931899999999999</v>
      </c>
      <c r="S168">
        <v>12.2448</v>
      </c>
      <c r="T168">
        <v>1.9428000000000001</v>
      </c>
      <c r="U168">
        <v>3.2928000000000002</v>
      </c>
      <c r="V168">
        <v>7.9969999999999999</v>
      </c>
      <c r="W168">
        <v>-60.575099999999999</v>
      </c>
      <c r="X168">
        <v>-60.575099999999999</v>
      </c>
      <c r="Y168">
        <v>16.666699999999999</v>
      </c>
      <c r="Z168">
        <v>13.2706</v>
      </c>
      <c r="AA168">
        <v>1.0487</v>
      </c>
      <c r="AB168">
        <v>7.4889999999999999</v>
      </c>
      <c r="AC168">
        <v>9.6100999999999992</v>
      </c>
      <c r="AD168">
        <v>-2.7576999999999998</v>
      </c>
      <c r="AE168">
        <v>15.114000000000001</v>
      </c>
      <c r="AF168">
        <v>21.046900000000001</v>
      </c>
      <c r="AG168" t="s">
        <v>135</v>
      </c>
      <c r="AH168" t="s">
        <v>135</v>
      </c>
      <c r="AI168">
        <v>13.035600000000001</v>
      </c>
      <c r="AJ168">
        <v>12.618399999999999</v>
      </c>
      <c r="AK168">
        <v>13.035600000000001</v>
      </c>
      <c r="AL168">
        <v>22.6418</v>
      </c>
      <c r="AM168" t="s">
        <v>135</v>
      </c>
      <c r="AN168" t="s">
        <v>135</v>
      </c>
      <c r="AO168" t="s">
        <v>135</v>
      </c>
      <c r="AP168" t="s">
        <v>135</v>
      </c>
      <c r="AQ168" t="s">
        <v>135</v>
      </c>
      <c r="AR168" t="s">
        <v>135</v>
      </c>
      <c r="AS168" t="s">
        <v>135</v>
      </c>
      <c r="AT168" t="s">
        <v>135</v>
      </c>
      <c r="AU168" t="s">
        <v>135</v>
      </c>
      <c r="AV168" t="s">
        <v>135</v>
      </c>
      <c r="AW168" t="s">
        <v>135</v>
      </c>
      <c r="AX168" t="s">
        <v>135</v>
      </c>
      <c r="AY168" t="s">
        <v>135</v>
      </c>
      <c r="AZ168" t="s">
        <v>135</v>
      </c>
      <c r="BA168" t="s">
        <v>135</v>
      </c>
      <c r="BB168" t="s">
        <v>135</v>
      </c>
      <c r="BC168" t="s">
        <v>135</v>
      </c>
      <c r="BD168" t="s">
        <v>135</v>
      </c>
      <c r="BE168" t="s">
        <v>135</v>
      </c>
      <c r="BF168">
        <v>1.9428000000000001</v>
      </c>
      <c r="BG168">
        <v>3.2928000000000002</v>
      </c>
      <c r="BH168">
        <v>7.9969999999999999</v>
      </c>
      <c r="BI168">
        <v>-60.575099999999999</v>
      </c>
      <c r="BJ168">
        <v>-60.575099999999999</v>
      </c>
      <c r="BK168">
        <v>16.666699999999999</v>
      </c>
      <c r="BL168">
        <v>13.2706</v>
      </c>
      <c r="BM168">
        <v>1.0487</v>
      </c>
      <c r="BN168">
        <v>7.4889999999999999</v>
      </c>
      <c r="BO168">
        <v>9.6100999999999992</v>
      </c>
      <c r="BP168">
        <v>-2.7576999999999998</v>
      </c>
      <c r="BQ168">
        <v>15.114000000000001</v>
      </c>
      <c r="BR168">
        <v>21.046900000000001</v>
      </c>
      <c r="BS168">
        <v>-100</v>
      </c>
      <c r="BT168">
        <v>-100</v>
      </c>
      <c r="BU168">
        <v>13.035600000000001</v>
      </c>
      <c r="BV168">
        <v>12.618399999999999</v>
      </c>
      <c r="BW168">
        <v>13.035600000000001</v>
      </c>
      <c r="BX168">
        <v>22.6418</v>
      </c>
      <c r="BY168">
        <v>0</v>
      </c>
      <c r="BZ168">
        <v>0</v>
      </c>
      <c r="CA168">
        <v>0</v>
      </c>
      <c r="CB168">
        <v>0</v>
      </c>
      <c r="CC168">
        <v>-3.8609</v>
      </c>
      <c r="CD168">
        <v>0</v>
      </c>
      <c r="CE168">
        <v>-4.7529000000000003</v>
      </c>
      <c r="CF168">
        <v>133.4177</v>
      </c>
      <c r="CG168">
        <v>58.536200000000001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-52.913899999999998</v>
      </c>
      <c r="CO168">
        <v>-112.3771</v>
      </c>
      <c r="CP168">
        <v>10540</v>
      </c>
      <c r="CQ168">
        <v>7676</v>
      </c>
      <c r="CR168">
        <v>8562</v>
      </c>
      <c r="CS168">
        <v>0.78480000000000005</v>
      </c>
      <c r="CT168">
        <v>1.9832000000000001</v>
      </c>
      <c r="CU168">
        <v>1.4464000000000001</v>
      </c>
      <c r="CV168">
        <v>6.6227</v>
      </c>
      <c r="CW168">
        <v>3.339</v>
      </c>
      <c r="CX168">
        <v>109.3135</v>
      </c>
      <c r="CY168">
        <v>3.6358999999999999</v>
      </c>
      <c r="CZ168">
        <v>100.3888</v>
      </c>
      <c r="DA168">
        <v>1.5232000000000001</v>
      </c>
      <c r="DB168">
        <v>239.62909999999999</v>
      </c>
      <c r="DC168">
        <v>-29.9268</v>
      </c>
      <c r="DD168">
        <v>209.70230000000001</v>
      </c>
      <c r="DE168">
        <v>10214</v>
      </c>
      <c r="DF168">
        <v>3951</v>
      </c>
      <c r="DG168">
        <v>3432</v>
      </c>
      <c r="DH168">
        <v>2831</v>
      </c>
      <c r="DI168">
        <v>0</v>
      </c>
    </row>
    <row r="169" spans="4:113" x14ac:dyDescent="0.3">
      <c r="E169" t="s">
        <v>78</v>
      </c>
      <c r="F169" t="s">
        <v>135</v>
      </c>
      <c r="G169" t="s">
        <v>135</v>
      </c>
      <c r="H169" t="s">
        <v>135</v>
      </c>
      <c r="I169" t="s">
        <v>135</v>
      </c>
      <c r="J169" t="s">
        <v>135</v>
      </c>
      <c r="K169" t="s">
        <v>135</v>
      </c>
      <c r="L169" t="s">
        <v>135</v>
      </c>
      <c r="M169" t="s">
        <v>135</v>
      </c>
      <c r="N169" t="s">
        <v>135</v>
      </c>
      <c r="O169" t="s">
        <v>135</v>
      </c>
      <c r="P169" t="s">
        <v>135</v>
      </c>
      <c r="Q169" t="s">
        <v>135</v>
      </c>
      <c r="R169" t="s">
        <v>135</v>
      </c>
      <c r="S169" t="s">
        <v>135</v>
      </c>
      <c r="T169" t="s">
        <v>135</v>
      </c>
      <c r="U169" t="s">
        <v>135</v>
      </c>
      <c r="V169" t="s">
        <v>135</v>
      </c>
      <c r="W169" t="s">
        <v>135</v>
      </c>
      <c r="X169" t="s">
        <v>135</v>
      </c>
      <c r="Y169" t="s">
        <v>135</v>
      </c>
      <c r="Z169" t="s">
        <v>135</v>
      </c>
      <c r="AA169" t="s">
        <v>135</v>
      </c>
      <c r="AB169" t="s">
        <v>135</v>
      </c>
      <c r="AC169" t="s">
        <v>135</v>
      </c>
      <c r="AD169" t="s">
        <v>135</v>
      </c>
      <c r="AE169" t="s">
        <v>135</v>
      </c>
      <c r="AF169" t="s">
        <v>135</v>
      </c>
      <c r="AG169" t="s">
        <v>135</v>
      </c>
      <c r="AH169" t="s">
        <v>135</v>
      </c>
      <c r="AI169" t="s">
        <v>135</v>
      </c>
      <c r="AJ169" t="s">
        <v>135</v>
      </c>
      <c r="AK169" t="s">
        <v>135</v>
      </c>
      <c r="AL169" t="s">
        <v>135</v>
      </c>
      <c r="AM169" t="s">
        <v>135</v>
      </c>
      <c r="AN169" t="s">
        <v>135</v>
      </c>
      <c r="AO169" t="s">
        <v>135</v>
      </c>
      <c r="AP169" t="s">
        <v>135</v>
      </c>
      <c r="AQ169" t="s">
        <v>135</v>
      </c>
      <c r="AR169" t="s">
        <v>135</v>
      </c>
      <c r="AS169" t="s">
        <v>135</v>
      </c>
      <c r="AT169" t="s">
        <v>135</v>
      </c>
      <c r="AU169" t="s">
        <v>135</v>
      </c>
      <c r="AV169" t="s">
        <v>135</v>
      </c>
      <c r="AW169" t="s">
        <v>135</v>
      </c>
      <c r="AX169" t="s">
        <v>135</v>
      </c>
      <c r="AY169" t="s">
        <v>135</v>
      </c>
      <c r="AZ169" t="s">
        <v>135</v>
      </c>
      <c r="BA169" t="s">
        <v>135</v>
      </c>
      <c r="BB169" t="s">
        <v>135</v>
      </c>
      <c r="BC169" t="s">
        <v>135</v>
      </c>
      <c r="BD169" t="s">
        <v>135</v>
      </c>
      <c r="BE169" t="s">
        <v>135</v>
      </c>
      <c r="BF169" t="s">
        <v>135</v>
      </c>
      <c r="BG169" t="s">
        <v>135</v>
      </c>
      <c r="BH169" t="s">
        <v>135</v>
      </c>
      <c r="BI169" t="s">
        <v>135</v>
      </c>
      <c r="BJ169" t="s">
        <v>135</v>
      </c>
      <c r="BK169" t="s">
        <v>135</v>
      </c>
      <c r="BL169" t="s">
        <v>135</v>
      </c>
      <c r="BM169" t="s">
        <v>135</v>
      </c>
      <c r="BN169" t="s">
        <v>135</v>
      </c>
      <c r="BO169" t="s">
        <v>135</v>
      </c>
      <c r="BP169" t="s">
        <v>135</v>
      </c>
      <c r="BQ169" t="s">
        <v>135</v>
      </c>
      <c r="BR169" t="s">
        <v>135</v>
      </c>
      <c r="BS169" t="s">
        <v>135</v>
      </c>
      <c r="BT169" t="s">
        <v>135</v>
      </c>
      <c r="BU169" t="s">
        <v>135</v>
      </c>
      <c r="BV169" t="s">
        <v>135</v>
      </c>
      <c r="BW169" t="s">
        <v>135</v>
      </c>
      <c r="BX169" t="s">
        <v>135</v>
      </c>
      <c r="BY169" t="s">
        <v>135</v>
      </c>
      <c r="BZ169" t="s">
        <v>135</v>
      </c>
      <c r="CA169" t="s">
        <v>135</v>
      </c>
      <c r="CB169" t="s">
        <v>135</v>
      </c>
      <c r="CC169" t="s">
        <v>135</v>
      </c>
      <c r="CD169" t="s">
        <v>135</v>
      </c>
      <c r="CE169" t="s">
        <v>135</v>
      </c>
      <c r="CF169" t="s">
        <v>135</v>
      </c>
      <c r="CG169" t="s">
        <v>135</v>
      </c>
      <c r="CH169" t="s">
        <v>135</v>
      </c>
      <c r="CI169" t="s">
        <v>135</v>
      </c>
      <c r="CJ169" t="s">
        <v>135</v>
      </c>
      <c r="CK169" t="s">
        <v>135</v>
      </c>
      <c r="CL169" t="s">
        <v>135</v>
      </c>
      <c r="CM169" t="s">
        <v>135</v>
      </c>
      <c r="CN169" t="s">
        <v>135</v>
      </c>
      <c r="CO169" t="s">
        <v>135</v>
      </c>
      <c r="CP169" t="s">
        <v>135</v>
      </c>
      <c r="CQ169" t="s">
        <v>135</v>
      </c>
      <c r="CR169" t="s">
        <v>135</v>
      </c>
      <c r="CS169" t="s">
        <v>135</v>
      </c>
      <c r="CT169" t="s">
        <v>135</v>
      </c>
      <c r="CU169" t="s">
        <v>135</v>
      </c>
      <c r="CV169" t="s">
        <v>135</v>
      </c>
      <c r="CW169" t="s">
        <v>135</v>
      </c>
      <c r="CX169" t="s">
        <v>135</v>
      </c>
      <c r="CY169" t="s">
        <v>135</v>
      </c>
      <c r="CZ169" t="s">
        <v>135</v>
      </c>
      <c r="DA169" t="s">
        <v>135</v>
      </c>
      <c r="DB169" t="s">
        <v>135</v>
      </c>
      <c r="DC169" t="s">
        <v>135</v>
      </c>
      <c r="DD169" t="s">
        <v>135</v>
      </c>
      <c r="DE169" t="s">
        <v>135</v>
      </c>
      <c r="DF169" t="s">
        <v>135</v>
      </c>
      <c r="DG169" t="s">
        <v>135</v>
      </c>
      <c r="DH169" t="s">
        <v>135</v>
      </c>
      <c r="DI169" t="s">
        <v>135</v>
      </c>
    </row>
    <row r="170" spans="4:113" x14ac:dyDescent="0.3">
      <c r="E170" t="s">
        <v>79</v>
      </c>
      <c r="F170" t="s">
        <v>135</v>
      </c>
      <c r="G170" t="s">
        <v>135</v>
      </c>
      <c r="H170" t="s">
        <v>135</v>
      </c>
      <c r="I170" t="s">
        <v>135</v>
      </c>
      <c r="J170" t="s">
        <v>135</v>
      </c>
      <c r="K170" t="s">
        <v>135</v>
      </c>
      <c r="L170" t="s">
        <v>135</v>
      </c>
      <c r="M170" t="s">
        <v>135</v>
      </c>
      <c r="N170" t="s">
        <v>135</v>
      </c>
      <c r="O170" t="s">
        <v>135</v>
      </c>
      <c r="P170" t="s">
        <v>135</v>
      </c>
      <c r="Q170" t="s">
        <v>135</v>
      </c>
      <c r="R170" t="s">
        <v>135</v>
      </c>
      <c r="S170" t="s">
        <v>135</v>
      </c>
      <c r="T170" t="s">
        <v>135</v>
      </c>
      <c r="U170" t="s">
        <v>135</v>
      </c>
      <c r="V170" t="s">
        <v>135</v>
      </c>
      <c r="W170" t="s">
        <v>135</v>
      </c>
      <c r="X170" t="s">
        <v>135</v>
      </c>
      <c r="Y170" t="s">
        <v>135</v>
      </c>
      <c r="Z170" t="s">
        <v>135</v>
      </c>
      <c r="AA170" t="s">
        <v>135</v>
      </c>
      <c r="AB170" t="s">
        <v>135</v>
      </c>
      <c r="AC170" t="s">
        <v>135</v>
      </c>
      <c r="AD170" t="s">
        <v>135</v>
      </c>
      <c r="AE170" t="s">
        <v>135</v>
      </c>
      <c r="AF170" t="s">
        <v>135</v>
      </c>
      <c r="AG170" t="s">
        <v>135</v>
      </c>
      <c r="AH170" t="s">
        <v>135</v>
      </c>
      <c r="AI170" t="s">
        <v>135</v>
      </c>
      <c r="AJ170" t="s">
        <v>135</v>
      </c>
      <c r="AK170" t="s">
        <v>135</v>
      </c>
      <c r="AL170" t="s">
        <v>135</v>
      </c>
      <c r="AM170" t="s">
        <v>135</v>
      </c>
      <c r="AN170" t="s">
        <v>135</v>
      </c>
      <c r="AO170" t="s">
        <v>135</v>
      </c>
      <c r="AP170" t="s">
        <v>135</v>
      </c>
      <c r="AQ170" t="s">
        <v>135</v>
      </c>
      <c r="AR170" t="s">
        <v>135</v>
      </c>
      <c r="AS170" t="s">
        <v>135</v>
      </c>
      <c r="AT170" t="s">
        <v>135</v>
      </c>
      <c r="AU170" t="s">
        <v>135</v>
      </c>
      <c r="AV170" t="s">
        <v>135</v>
      </c>
      <c r="AW170" t="s">
        <v>135</v>
      </c>
      <c r="AX170" t="s">
        <v>135</v>
      </c>
      <c r="AY170" t="s">
        <v>135</v>
      </c>
      <c r="AZ170" t="s">
        <v>135</v>
      </c>
      <c r="BA170" t="s">
        <v>135</v>
      </c>
      <c r="BB170" t="s">
        <v>135</v>
      </c>
      <c r="BC170" t="s">
        <v>135</v>
      </c>
      <c r="BD170" t="s">
        <v>135</v>
      </c>
      <c r="BE170" t="s">
        <v>135</v>
      </c>
      <c r="BF170" t="s">
        <v>135</v>
      </c>
      <c r="BG170" t="s">
        <v>135</v>
      </c>
      <c r="BH170" t="s">
        <v>135</v>
      </c>
      <c r="BI170" t="s">
        <v>135</v>
      </c>
      <c r="BJ170" t="s">
        <v>135</v>
      </c>
      <c r="BK170" t="s">
        <v>135</v>
      </c>
      <c r="BL170" t="s">
        <v>135</v>
      </c>
      <c r="BM170" t="s">
        <v>135</v>
      </c>
      <c r="BN170" t="s">
        <v>135</v>
      </c>
      <c r="BO170" t="s">
        <v>135</v>
      </c>
      <c r="BP170" t="s">
        <v>135</v>
      </c>
      <c r="BQ170" t="s">
        <v>135</v>
      </c>
      <c r="BR170" t="s">
        <v>135</v>
      </c>
      <c r="BS170" t="s">
        <v>135</v>
      </c>
      <c r="BT170" t="s">
        <v>135</v>
      </c>
      <c r="BU170" t="s">
        <v>135</v>
      </c>
      <c r="BV170" t="s">
        <v>135</v>
      </c>
      <c r="BW170" t="s">
        <v>135</v>
      </c>
      <c r="BX170" t="s">
        <v>135</v>
      </c>
      <c r="BY170" t="s">
        <v>135</v>
      </c>
      <c r="BZ170" t="s">
        <v>135</v>
      </c>
      <c r="CA170" t="s">
        <v>135</v>
      </c>
      <c r="CB170" t="s">
        <v>135</v>
      </c>
      <c r="CC170" t="s">
        <v>135</v>
      </c>
      <c r="CD170" t="s">
        <v>135</v>
      </c>
      <c r="CE170" t="s">
        <v>135</v>
      </c>
      <c r="CF170" t="s">
        <v>135</v>
      </c>
      <c r="CG170" t="s">
        <v>135</v>
      </c>
      <c r="CH170" t="s">
        <v>135</v>
      </c>
      <c r="CI170" t="s">
        <v>135</v>
      </c>
      <c r="CJ170" t="s">
        <v>135</v>
      </c>
      <c r="CK170" t="s">
        <v>135</v>
      </c>
      <c r="CL170" t="s">
        <v>135</v>
      </c>
      <c r="CM170" t="s">
        <v>135</v>
      </c>
      <c r="CN170" t="s">
        <v>135</v>
      </c>
      <c r="CO170" t="s">
        <v>135</v>
      </c>
      <c r="CP170" t="s">
        <v>135</v>
      </c>
      <c r="CQ170" t="s">
        <v>135</v>
      </c>
      <c r="CR170" t="s">
        <v>135</v>
      </c>
      <c r="CS170" t="s">
        <v>135</v>
      </c>
      <c r="CT170" t="s">
        <v>135</v>
      </c>
      <c r="CU170" t="s">
        <v>135</v>
      </c>
      <c r="CV170" t="s">
        <v>135</v>
      </c>
      <c r="CW170" t="s">
        <v>135</v>
      </c>
      <c r="CX170" t="s">
        <v>135</v>
      </c>
      <c r="CY170" t="s">
        <v>135</v>
      </c>
      <c r="CZ170" t="s">
        <v>135</v>
      </c>
      <c r="DA170" t="s">
        <v>135</v>
      </c>
      <c r="DB170" t="s">
        <v>135</v>
      </c>
      <c r="DC170" t="s">
        <v>135</v>
      </c>
      <c r="DD170" t="s">
        <v>135</v>
      </c>
      <c r="DE170" t="s">
        <v>135</v>
      </c>
      <c r="DF170" t="s">
        <v>135</v>
      </c>
      <c r="DG170" t="s">
        <v>135</v>
      </c>
      <c r="DH170" t="s">
        <v>135</v>
      </c>
      <c r="DI170" t="s">
        <v>135</v>
      </c>
    </row>
    <row r="171" spans="4:113" x14ac:dyDescent="0.3">
      <c r="E171" t="s">
        <v>80</v>
      </c>
      <c r="F171" t="s">
        <v>135</v>
      </c>
      <c r="G171" t="s">
        <v>135</v>
      </c>
      <c r="H171" t="s">
        <v>135</v>
      </c>
      <c r="I171" t="s">
        <v>135</v>
      </c>
      <c r="J171" t="s">
        <v>135</v>
      </c>
      <c r="K171" t="s">
        <v>135</v>
      </c>
      <c r="L171" t="s">
        <v>135</v>
      </c>
      <c r="M171" t="s">
        <v>135</v>
      </c>
      <c r="N171" t="s">
        <v>135</v>
      </c>
      <c r="O171" t="s">
        <v>135</v>
      </c>
      <c r="P171" t="s">
        <v>135</v>
      </c>
      <c r="Q171" t="s">
        <v>135</v>
      </c>
      <c r="R171" t="s">
        <v>135</v>
      </c>
      <c r="S171" t="s">
        <v>135</v>
      </c>
      <c r="T171" t="s">
        <v>135</v>
      </c>
      <c r="U171" t="s">
        <v>135</v>
      </c>
      <c r="V171" t="s">
        <v>135</v>
      </c>
      <c r="W171" t="s">
        <v>135</v>
      </c>
      <c r="X171" t="s">
        <v>135</v>
      </c>
      <c r="Y171" t="s">
        <v>135</v>
      </c>
      <c r="Z171" t="s">
        <v>135</v>
      </c>
      <c r="AA171" t="s">
        <v>135</v>
      </c>
      <c r="AB171" t="s">
        <v>135</v>
      </c>
      <c r="AC171" t="s">
        <v>135</v>
      </c>
      <c r="AD171" t="s">
        <v>135</v>
      </c>
      <c r="AE171" t="s">
        <v>135</v>
      </c>
      <c r="AF171" t="s">
        <v>135</v>
      </c>
      <c r="AG171" t="s">
        <v>135</v>
      </c>
      <c r="AH171" t="s">
        <v>135</v>
      </c>
      <c r="AI171" t="s">
        <v>135</v>
      </c>
      <c r="AJ171" t="s">
        <v>135</v>
      </c>
      <c r="AK171" t="s">
        <v>135</v>
      </c>
      <c r="AL171" t="s">
        <v>135</v>
      </c>
      <c r="AM171" t="s">
        <v>135</v>
      </c>
      <c r="AN171" t="s">
        <v>135</v>
      </c>
      <c r="AO171" t="s">
        <v>135</v>
      </c>
      <c r="AP171" t="s">
        <v>135</v>
      </c>
      <c r="AQ171" t="s">
        <v>135</v>
      </c>
      <c r="AR171" t="s">
        <v>135</v>
      </c>
      <c r="AS171" t="s">
        <v>135</v>
      </c>
      <c r="AT171" t="s">
        <v>135</v>
      </c>
      <c r="AU171" t="s">
        <v>135</v>
      </c>
      <c r="AV171" t="s">
        <v>135</v>
      </c>
      <c r="AW171" t="s">
        <v>135</v>
      </c>
      <c r="AX171" t="s">
        <v>135</v>
      </c>
      <c r="AY171" t="s">
        <v>135</v>
      </c>
      <c r="AZ171" t="s">
        <v>135</v>
      </c>
      <c r="BA171" t="s">
        <v>135</v>
      </c>
      <c r="BB171" t="s">
        <v>135</v>
      </c>
      <c r="BC171" t="s">
        <v>135</v>
      </c>
      <c r="BD171" t="s">
        <v>135</v>
      </c>
      <c r="BE171" t="s">
        <v>135</v>
      </c>
      <c r="BF171" t="s">
        <v>135</v>
      </c>
      <c r="BG171" t="s">
        <v>135</v>
      </c>
      <c r="BH171" t="s">
        <v>135</v>
      </c>
      <c r="BI171" t="s">
        <v>135</v>
      </c>
      <c r="BJ171" t="s">
        <v>135</v>
      </c>
      <c r="BK171" t="s">
        <v>135</v>
      </c>
      <c r="BL171" t="s">
        <v>135</v>
      </c>
      <c r="BM171" t="s">
        <v>135</v>
      </c>
      <c r="BN171" t="s">
        <v>135</v>
      </c>
      <c r="BO171" t="s">
        <v>135</v>
      </c>
      <c r="BP171" t="s">
        <v>135</v>
      </c>
      <c r="BQ171" t="s">
        <v>135</v>
      </c>
      <c r="BR171" t="s">
        <v>135</v>
      </c>
      <c r="BS171" t="s">
        <v>135</v>
      </c>
      <c r="BT171" t="s">
        <v>135</v>
      </c>
      <c r="BU171" t="s">
        <v>135</v>
      </c>
      <c r="BV171" t="s">
        <v>135</v>
      </c>
      <c r="BW171" t="s">
        <v>135</v>
      </c>
      <c r="BX171" t="s">
        <v>135</v>
      </c>
      <c r="BY171" t="s">
        <v>135</v>
      </c>
      <c r="BZ171" t="s">
        <v>135</v>
      </c>
      <c r="CA171" t="s">
        <v>135</v>
      </c>
      <c r="CB171" t="s">
        <v>135</v>
      </c>
      <c r="CC171" t="s">
        <v>135</v>
      </c>
      <c r="CD171" t="s">
        <v>135</v>
      </c>
      <c r="CE171" t="s">
        <v>135</v>
      </c>
      <c r="CF171" t="s">
        <v>135</v>
      </c>
      <c r="CG171" t="s">
        <v>135</v>
      </c>
      <c r="CH171" t="s">
        <v>135</v>
      </c>
      <c r="CI171" t="s">
        <v>135</v>
      </c>
      <c r="CJ171" t="s">
        <v>135</v>
      </c>
      <c r="CK171" t="s">
        <v>135</v>
      </c>
      <c r="CL171" t="s">
        <v>135</v>
      </c>
      <c r="CM171" t="s">
        <v>135</v>
      </c>
      <c r="CN171" t="s">
        <v>135</v>
      </c>
      <c r="CO171" t="s">
        <v>135</v>
      </c>
      <c r="CP171" t="s">
        <v>135</v>
      </c>
      <c r="CQ171" t="s">
        <v>135</v>
      </c>
      <c r="CR171" t="s">
        <v>135</v>
      </c>
      <c r="CS171" t="s">
        <v>135</v>
      </c>
      <c r="CT171" t="s">
        <v>135</v>
      </c>
      <c r="CU171" t="s">
        <v>135</v>
      </c>
      <c r="CV171" t="s">
        <v>135</v>
      </c>
      <c r="CW171" t="s">
        <v>135</v>
      </c>
      <c r="CX171" t="s">
        <v>135</v>
      </c>
      <c r="CY171" t="s">
        <v>135</v>
      </c>
      <c r="CZ171" t="s">
        <v>135</v>
      </c>
      <c r="DA171" t="s">
        <v>135</v>
      </c>
      <c r="DB171" t="s">
        <v>135</v>
      </c>
      <c r="DC171" t="s">
        <v>135</v>
      </c>
      <c r="DD171" t="s">
        <v>135</v>
      </c>
      <c r="DE171" t="s">
        <v>135</v>
      </c>
      <c r="DF171" t="s">
        <v>135</v>
      </c>
      <c r="DG171" t="s">
        <v>135</v>
      </c>
      <c r="DH171" t="s">
        <v>135</v>
      </c>
      <c r="DI171" t="s">
        <v>135</v>
      </c>
    </row>
    <row r="172" spans="4:113" x14ac:dyDescent="0.3">
      <c r="E172" t="s">
        <v>81</v>
      </c>
      <c r="F172" t="s">
        <v>135</v>
      </c>
      <c r="G172" t="s">
        <v>135</v>
      </c>
      <c r="H172" t="s">
        <v>135</v>
      </c>
      <c r="I172" t="s">
        <v>135</v>
      </c>
      <c r="J172" t="s">
        <v>135</v>
      </c>
      <c r="K172" t="s">
        <v>135</v>
      </c>
      <c r="L172" t="s">
        <v>135</v>
      </c>
      <c r="M172" t="s">
        <v>135</v>
      </c>
      <c r="N172" t="s">
        <v>135</v>
      </c>
      <c r="O172" t="s">
        <v>135</v>
      </c>
      <c r="P172" t="s">
        <v>135</v>
      </c>
      <c r="Q172" t="s">
        <v>135</v>
      </c>
      <c r="R172" t="s">
        <v>135</v>
      </c>
      <c r="S172" t="s">
        <v>135</v>
      </c>
      <c r="T172" t="s">
        <v>135</v>
      </c>
      <c r="U172" t="s">
        <v>135</v>
      </c>
      <c r="V172" t="s">
        <v>135</v>
      </c>
      <c r="W172" t="s">
        <v>135</v>
      </c>
      <c r="X172" t="s">
        <v>135</v>
      </c>
      <c r="Y172" t="s">
        <v>135</v>
      </c>
      <c r="Z172" t="s">
        <v>135</v>
      </c>
      <c r="AA172" t="s">
        <v>135</v>
      </c>
      <c r="AB172" t="s">
        <v>135</v>
      </c>
      <c r="AC172" t="s">
        <v>135</v>
      </c>
      <c r="AD172" t="s">
        <v>135</v>
      </c>
      <c r="AE172" t="s">
        <v>135</v>
      </c>
      <c r="AF172" t="s">
        <v>135</v>
      </c>
      <c r="AG172" t="s">
        <v>135</v>
      </c>
      <c r="AH172" t="s">
        <v>135</v>
      </c>
      <c r="AI172" t="s">
        <v>135</v>
      </c>
      <c r="AJ172" t="s">
        <v>135</v>
      </c>
      <c r="AK172" t="s">
        <v>135</v>
      </c>
      <c r="AL172" t="s">
        <v>135</v>
      </c>
      <c r="AM172" t="s">
        <v>135</v>
      </c>
      <c r="AN172" t="s">
        <v>135</v>
      </c>
      <c r="AO172" t="s">
        <v>135</v>
      </c>
      <c r="AP172" t="s">
        <v>135</v>
      </c>
      <c r="AQ172" t="s">
        <v>135</v>
      </c>
      <c r="AR172" t="s">
        <v>135</v>
      </c>
      <c r="AS172" t="s">
        <v>135</v>
      </c>
      <c r="AT172" t="s">
        <v>135</v>
      </c>
      <c r="AU172" t="s">
        <v>135</v>
      </c>
      <c r="AV172" t="s">
        <v>135</v>
      </c>
      <c r="AW172" t="s">
        <v>135</v>
      </c>
      <c r="AX172" t="s">
        <v>135</v>
      </c>
      <c r="AY172" t="s">
        <v>135</v>
      </c>
      <c r="AZ172" t="s">
        <v>135</v>
      </c>
      <c r="BA172" t="s">
        <v>135</v>
      </c>
      <c r="BB172" t="s">
        <v>135</v>
      </c>
      <c r="BC172" t="s">
        <v>135</v>
      </c>
      <c r="BD172" t="s">
        <v>135</v>
      </c>
      <c r="BE172" t="s">
        <v>135</v>
      </c>
      <c r="BF172" t="s">
        <v>135</v>
      </c>
      <c r="BG172" t="s">
        <v>135</v>
      </c>
      <c r="BH172" t="s">
        <v>135</v>
      </c>
      <c r="BI172" t="s">
        <v>135</v>
      </c>
      <c r="BJ172" t="s">
        <v>135</v>
      </c>
      <c r="BK172" t="s">
        <v>135</v>
      </c>
      <c r="BL172" t="s">
        <v>135</v>
      </c>
      <c r="BM172" t="s">
        <v>135</v>
      </c>
      <c r="BN172" t="s">
        <v>135</v>
      </c>
      <c r="BO172" t="s">
        <v>135</v>
      </c>
      <c r="BP172" t="s">
        <v>135</v>
      </c>
      <c r="BQ172" t="s">
        <v>135</v>
      </c>
      <c r="BR172" t="s">
        <v>135</v>
      </c>
      <c r="BS172" t="s">
        <v>135</v>
      </c>
      <c r="BT172" t="s">
        <v>135</v>
      </c>
      <c r="BU172" t="s">
        <v>135</v>
      </c>
      <c r="BV172" t="s">
        <v>135</v>
      </c>
      <c r="BW172" t="s">
        <v>135</v>
      </c>
      <c r="BX172" t="s">
        <v>135</v>
      </c>
      <c r="BY172" t="s">
        <v>135</v>
      </c>
      <c r="BZ172" t="s">
        <v>135</v>
      </c>
      <c r="CA172" t="s">
        <v>135</v>
      </c>
      <c r="CB172" t="s">
        <v>135</v>
      </c>
      <c r="CC172" t="s">
        <v>135</v>
      </c>
      <c r="CD172" t="s">
        <v>135</v>
      </c>
      <c r="CE172" t="s">
        <v>135</v>
      </c>
      <c r="CF172" t="s">
        <v>135</v>
      </c>
      <c r="CG172" t="s">
        <v>135</v>
      </c>
      <c r="CH172" t="s">
        <v>135</v>
      </c>
      <c r="CI172" t="s">
        <v>135</v>
      </c>
      <c r="CJ172" t="s">
        <v>135</v>
      </c>
      <c r="CK172" t="s">
        <v>135</v>
      </c>
      <c r="CL172" t="s">
        <v>135</v>
      </c>
      <c r="CM172" t="s">
        <v>135</v>
      </c>
      <c r="CN172" t="s">
        <v>135</v>
      </c>
      <c r="CO172" t="s">
        <v>135</v>
      </c>
      <c r="CP172" t="s">
        <v>135</v>
      </c>
      <c r="CQ172" t="s">
        <v>135</v>
      </c>
      <c r="CR172" t="s">
        <v>135</v>
      </c>
      <c r="CS172" t="s">
        <v>135</v>
      </c>
      <c r="CT172" t="s">
        <v>135</v>
      </c>
      <c r="CU172" t="s">
        <v>135</v>
      </c>
      <c r="CV172" t="s">
        <v>135</v>
      </c>
      <c r="CW172" t="s">
        <v>135</v>
      </c>
      <c r="CX172" t="s">
        <v>135</v>
      </c>
      <c r="CY172" t="s">
        <v>135</v>
      </c>
      <c r="CZ172" t="s">
        <v>135</v>
      </c>
      <c r="DA172" t="s">
        <v>135</v>
      </c>
      <c r="DB172" t="s">
        <v>135</v>
      </c>
      <c r="DC172" t="s">
        <v>135</v>
      </c>
      <c r="DD172" t="s">
        <v>135</v>
      </c>
      <c r="DE172" t="s">
        <v>135</v>
      </c>
      <c r="DF172" t="s">
        <v>135</v>
      </c>
      <c r="DG172" t="s">
        <v>135</v>
      </c>
      <c r="DH172" t="s">
        <v>135</v>
      </c>
      <c r="DI172" t="s">
        <v>135</v>
      </c>
    </row>
    <row r="173" spans="4:113" x14ac:dyDescent="0.3">
      <c r="D173" t="s">
        <v>85</v>
      </c>
      <c r="E173" t="s">
        <v>77</v>
      </c>
      <c r="F173">
        <v>11.272399999999999</v>
      </c>
      <c r="G173">
        <v>6.5602999999999998</v>
      </c>
      <c r="H173">
        <v>11.3384</v>
      </c>
      <c r="I173">
        <v>9.3964999999999996</v>
      </c>
      <c r="J173">
        <v>10.735200000000001</v>
      </c>
      <c r="K173">
        <v>9.1362000000000005</v>
      </c>
      <c r="L173">
        <v>17.295000000000002</v>
      </c>
      <c r="M173">
        <v>11.3353</v>
      </c>
      <c r="N173">
        <v>7.2888999999999999</v>
      </c>
      <c r="O173">
        <v>7.2888999999999999</v>
      </c>
      <c r="P173">
        <v>7.2888999999999999</v>
      </c>
      <c r="Q173">
        <v>35.697499999999998</v>
      </c>
      <c r="R173">
        <v>27.6631</v>
      </c>
      <c r="S173">
        <v>8.1540999999999997</v>
      </c>
      <c r="T173">
        <v>14.659800000000001</v>
      </c>
      <c r="U173">
        <v>25.9298</v>
      </c>
      <c r="V173">
        <v>31.931799999999999</v>
      </c>
      <c r="W173">
        <v>-20.7179</v>
      </c>
      <c r="X173">
        <v>-20.705500000000001</v>
      </c>
      <c r="Y173">
        <v>0</v>
      </c>
      <c r="Z173">
        <v>7.0167000000000002</v>
      </c>
      <c r="AA173">
        <v>12.6297</v>
      </c>
      <c r="AB173">
        <v>-4.274</v>
      </c>
      <c r="AC173">
        <v>9.1191999999999993</v>
      </c>
      <c r="AD173">
        <v>-1.3704000000000001</v>
      </c>
      <c r="AE173">
        <v>3.0990000000000002</v>
      </c>
      <c r="AF173">
        <v>14.7973</v>
      </c>
      <c r="AG173" t="s">
        <v>135</v>
      </c>
      <c r="AH173" t="s">
        <v>135</v>
      </c>
      <c r="AI173">
        <v>7.9097</v>
      </c>
      <c r="AJ173">
        <v>7.9097</v>
      </c>
      <c r="AK173">
        <v>7.9097</v>
      </c>
      <c r="AL173">
        <v>-53.558199999999999</v>
      </c>
      <c r="AM173" t="s">
        <v>135</v>
      </c>
      <c r="AN173" t="s">
        <v>135</v>
      </c>
      <c r="AO173" t="s">
        <v>135</v>
      </c>
      <c r="AP173" t="s">
        <v>135</v>
      </c>
      <c r="AQ173" t="s">
        <v>135</v>
      </c>
      <c r="AR173" t="s">
        <v>135</v>
      </c>
      <c r="AS173" t="s">
        <v>135</v>
      </c>
      <c r="AT173" t="s">
        <v>135</v>
      </c>
      <c r="AU173" t="s">
        <v>135</v>
      </c>
      <c r="AV173" t="s">
        <v>135</v>
      </c>
      <c r="AW173" t="s">
        <v>135</v>
      </c>
      <c r="AX173" t="s">
        <v>135</v>
      </c>
      <c r="AY173" t="s">
        <v>135</v>
      </c>
      <c r="AZ173" t="s">
        <v>135</v>
      </c>
      <c r="BA173" t="s">
        <v>135</v>
      </c>
      <c r="BB173" t="s">
        <v>135</v>
      </c>
      <c r="BC173" t="s">
        <v>135</v>
      </c>
      <c r="BD173" t="s">
        <v>135</v>
      </c>
      <c r="BE173" t="s">
        <v>135</v>
      </c>
      <c r="BF173">
        <v>14.659800000000001</v>
      </c>
      <c r="BG173">
        <v>25.9298</v>
      </c>
      <c r="BH173">
        <v>31.931799999999999</v>
      </c>
      <c r="BI173">
        <v>-20.7179</v>
      </c>
      <c r="BJ173">
        <v>-20.705500000000001</v>
      </c>
      <c r="BK173">
        <v>0</v>
      </c>
      <c r="BL173">
        <v>7.0167000000000002</v>
      </c>
      <c r="BM173">
        <v>12.6297</v>
      </c>
      <c r="BN173">
        <v>-4.274</v>
      </c>
      <c r="BO173">
        <v>9.1191999999999993</v>
      </c>
      <c r="BP173">
        <v>-1.3704000000000001</v>
      </c>
      <c r="BQ173">
        <v>3.0990000000000002</v>
      </c>
      <c r="BR173">
        <v>14.7973</v>
      </c>
      <c r="BS173" t="s">
        <v>135</v>
      </c>
      <c r="BT173" t="s">
        <v>135</v>
      </c>
      <c r="BU173">
        <v>7.9097</v>
      </c>
      <c r="BV173">
        <v>7.9097</v>
      </c>
      <c r="BW173">
        <v>7.9097</v>
      </c>
      <c r="BX173">
        <v>-53.558199999999999</v>
      </c>
      <c r="BY173">
        <v>0</v>
      </c>
      <c r="BZ173">
        <v>0</v>
      </c>
      <c r="CA173">
        <v>0</v>
      </c>
      <c r="CB173">
        <v>0</v>
      </c>
      <c r="CC173">
        <v>-2.7770999999999999</v>
      </c>
      <c r="CD173">
        <v>0</v>
      </c>
      <c r="CE173">
        <v>-3.2631999999999999</v>
      </c>
      <c r="CF173">
        <v>161.86590000000001</v>
      </c>
      <c r="CG173">
        <v>57.887300000000003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-44.416699999999999</v>
      </c>
      <c r="CO173">
        <v>-79.910200000000003</v>
      </c>
      <c r="CP173">
        <v>13273</v>
      </c>
      <c r="CQ173">
        <v>11367</v>
      </c>
      <c r="CR173">
        <v>11296</v>
      </c>
      <c r="CS173">
        <v>0.63980000000000004</v>
      </c>
      <c r="CT173">
        <v>1.9123000000000001</v>
      </c>
      <c r="CU173">
        <v>1.2770000000000001</v>
      </c>
      <c r="CV173">
        <v>5.3865999999999996</v>
      </c>
      <c r="CW173">
        <v>3.4821</v>
      </c>
      <c r="CX173">
        <v>104.8224</v>
      </c>
      <c r="CY173">
        <v>4.9016000000000002</v>
      </c>
      <c r="CZ173">
        <v>74.464699999999993</v>
      </c>
      <c r="DA173">
        <v>1.9055</v>
      </c>
      <c r="DB173">
        <v>191.55520000000001</v>
      </c>
      <c r="DC173">
        <v>-12.2681</v>
      </c>
      <c r="DD173">
        <v>179.28710000000001</v>
      </c>
      <c r="DE173">
        <v>11504</v>
      </c>
      <c r="DF173">
        <v>4218</v>
      </c>
      <c r="DG173">
        <v>3165</v>
      </c>
      <c r="DH173">
        <v>4121</v>
      </c>
      <c r="DI173">
        <v>0</v>
      </c>
    </row>
    <row r="174" spans="4:113" x14ac:dyDescent="0.3">
      <c r="E174" t="s">
        <v>78</v>
      </c>
      <c r="F174" t="s">
        <v>135</v>
      </c>
      <c r="G174" t="s">
        <v>135</v>
      </c>
      <c r="H174" t="s">
        <v>135</v>
      </c>
      <c r="I174" t="s">
        <v>135</v>
      </c>
      <c r="J174" t="s">
        <v>135</v>
      </c>
      <c r="K174" t="s">
        <v>135</v>
      </c>
      <c r="L174" t="s">
        <v>135</v>
      </c>
      <c r="M174" t="s">
        <v>135</v>
      </c>
      <c r="N174" t="s">
        <v>135</v>
      </c>
      <c r="O174" t="s">
        <v>135</v>
      </c>
      <c r="P174" t="s">
        <v>135</v>
      </c>
      <c r="Q174" t="s">
        <v>135</v>
      </c>
      <c r="R174" t="s">
        <v>135</v>
      </c>
      <c r="S174" t="s">
        <v>135</v>
      </c>
      <c r="T174" t="s">
        <v>135</v>
      </c>
      <c r="U174" t="s">
        <v>135</v>
      </c>
      <c r="V174" t="s">
        <v>135</v>
      </c>
      <c r="W174" t="s">
        <v>135</v>
      </c>
      <c r="X174" t="s">
        <v>135</v>
      </c>
      <c r="Y174" t="s">
        <v>135</v>
      </c>
      <c r="Z174" t="s">
        <v>135</v>
      </c>
      <c r="AA174" t="s">
        <v>135</v>
      </c>
      <c r="AB174" t="s">
        <v>135</v>
      </c>
      <c r="AC174" t="s">
        <v>135</v>
      </c>
      <c r="AD174" t="s">
        <v>135</v>
      </c>
      <c r="AE174" t="s">
        <v>135</v>
      </c>
      <c r="AF174" t="s">
        <v>135</v>
      </c>
      <c r="AG174" t="s">
        <v>135</v>
      </c>
      <c r="AH174" t="s">
        <v>135</v>
      </c>
      <c r="AI174" t="s">
        <v>135</v>
      </c>
      <c r="AJ174" t="s">
        <v>135</v>
      </c>
      <c r="AK174" t="s">
        <v>135</v>
      </c>
      <c r="AL174" t="s">
        <v>135</v>
      </c>
      <c r="AM174" t="s">
        <v>135</v>
      </c>
      <c r="AN174" t="s">
        <v>135</v>
      </c>
      <c r="AO174" t="s">
        <v>135</v>
      </c>
      <c r="AP174" t="s">
        <v>135</v>
      </c>
      <c r="AQ174" t="s">
        <v>135</v>
      </c>
      <c r="AR174" t="s">
        <v>135</v>
      </c>
      <c r="AS174" t="s">
        <v>135</v>
      </c>
      <c r="AT174" t="s">
        <v>135</v>
      </c>
      <c r="AU174" t="s">
        <v>135</v>
      </c>
      <c r="AV174" t="s">
        <v>135</v>
      </c>
      <c r="AW174" t="s">
        <v>135</v>
      </c>
      <c r="AX174" t="s">
        <v>135</v>
      </c>
      <c r="AY174" t="s">
        <v>135</v>
      </c>
      <c r="AZ174" t="s">
        <v>135</v>
      </c>
      <c r="BA174" t="s">
        <v>135</v>
      </c>
      <c r="BB174" t="s">
        <v>135</v>
      </c>
      <c r="BC174" t="s">
        <v>135</v>
      </c>
      <c r="BD174" t="s">
        <v>135</v>
      </c>
      <c r="BE174" t="s">
        <v>135</v>
      </c>
      <c r="BF174" t="s">
        <v>135</v>
      </c>
      <c r="BG174" t="s">
        <v>135</v>
      </c>
      <c r="BH174" t="s">
        <v>135</v>
      </c>
      <c r="BI174" t="s">
        <v>135</v>
      </c>
      <c r="BJ174" t="s">
        <v>135</v>
      </c>
      <c r="BK174" t="s">
        <v>135</v>
      </c>
      <c r="BL174" t="s">
        <v>135</v>
      </c>
      <c r="BM174" t="s">
        <v>135</v>
      </c>
      <c r="BN174" t="s">
        <v>135</v>
      </c>
      <c r="BO174" t="s">
        <v>135</v>
      </c>
      <c r="BP174" t="s">
        <v>135</v>
      </c>
      <c r="BQ174" t="s">
        <v>135</v>
      </c>
      <c r="BR174" t="s">
        <v>135</v>
      </c>
      <c r="BS174" t="s">
        <v>135</v>
      </c>
      <c r="BT174" t="s">
        <v>135</v>
      </c>
      <c r="BU174" t="s">
        <v>135</v>
      </c>
      <c r="BV174" t="s">
        <v>135</v>
      </c>
      <c r="BW174" t="s">
        <v>135</v>
      </c>
      <c r="BX174" t="s">
        <v>135</v>
      </c>
      <c r="BY174" t="s">
        <v>135</v>
      </c>
      <c r="BZ174" t="s">
        <v>135</v>
      </c>
      <c r="CA174" t="s">
        <v>135</v>
      </c>
      <c r="CB174" t="s">
        <v>135</v>
      </c>
      <c r="CC174" t="s">
        <v>135</v>
      </c>
      <c r="CD174" t="s">
        <v>135</v>
      </c>
      <c r="CE174" t="s">
        <v>135</v>
      </c>
      <c r="CF174" t="s">
        <v>135</v>
      </c>
      <c r="CG174" t="s">
        <v>135</v>
      </c>
      <c r="CH174" t="s">
        <v>135</v>
      </c>
      <c r="CI174" t="s">
        <v>135</v>
      </c>
      <c r="CJ174" t="s">
        <v>135</v>
      </c>
      <c r="CK174" t="s">
        <v>135</v>
      </c>
      <c r="CL174" t="s">
        <v>135</v>
      </c>
      <c r="CM174" t="s">
        <v>135</v>
      </c>
      <c r="CN174" t="s">
        <v>135</v>
      </c>
      <c r="CO174" t="s">
        <v>135</v>
      </c>
      <c r="CP174" t="s">
        <v>135</v>
      </c>
      <c r="CQ174" t="s">
        <v>135</v>
      </c>
      <c r="CR174" t="s">
        <v>135</v>
      </c>
      <c r="CS174" t="s">
        <v>135</v>
      </c>
      <c r="CT174" t="s">
        <v>135</v>
      </c>
      <c r="CU174" t="s">
        <v>135</v>
      </c>
      <c r="CV174" t="s">
        <v>135</v>
      </c>
      <c r="CW174" t="s">
        <v>135</v>
      </c>
      <c r="CX174" t="s">
        <v>135</v>
      </c>
      <c r="CY174" t="s">
        <v>135</v>
      </c>
      <c r="CZ174" t="s">
        <v>135</v>
      </c>
      <c r="DA174" t="s">
        <v>135</v>
      </c>
      <c r="DB174" t="s">
        <v>135</v>
      </c>
      <c r="DC174" t="s">
        <v>135</v>
      </c>
      <c r="DD174" t="s">
        <v>135</v>
      </c>
      <c r="DE174" t="s">
        <v>135</v>
      </c>
      <c r="DF174" t="s">
        <v>135</v>
      </c>
      <c r="DG174" t="s">
        <v>135</v>
      </c>
      <c r="DH174" t="s">
        <v>135</v>
      </c>
      <c r="DI174" t="s">
        <v>135</v>
      </c>
    </row>
    <row r="175" spans="4:113" x14ac:dyDescent="0.3">
      <c r="E175" t="s">
        <v>79</v>
      </c>
      <c r="F175" t="s">
        <v>135</v>
      </c>
      <c r="G175" t="s">
        <v>135</v>
      </c>
      <c r="H175" t="s">
        <v>135</v>
      </c>
      <c r="I175" t="s">
        <v>135</v>
      </c>
      <c r="J175" t="s">
        <v>135</v>
      </c>
      <c r="K175" t="s">
        <v>135</v>
      </c>
      <c r="L175" t="s">
        <v>135</v>
      </c>
      <c r="M175" t="s">
        <v>135</v>
      </c>
      <c r="N175" t="s">
        <v>135</v>
      </c>
      <c r="O175" t="s">
        <v>135</v>
      </c>
      <c r="P175" t="s">
        <v>135</v>
      </c>
      <c r="Q175" t="s">
        <v>135</v>
      </c>
      <c r="R175" t="s">
        <v>135</v>
      </c>
      <c r="S175" t="s">
        <v>135</v>
      </c>
      <c r="T175" t="s">
        <v>135</v>
      </c>
      <c r="U175" t="s">
        <v>135</v>
      </c>
      <c r="V175" t="s">
        <v>135</v>
      </c>
      <c r="W175" t="s">
        <v>135</v>
      </c>
      <c r="X175" t="s">
        <v>135</v>
      </c>
      <c r="Y175" t="s">
        <v>135</v>
      </c>
      <c r="Z175" t="s">
        <v>135</v>
      </c>
      <c r="AA175" t="s">
        <v>135</v>
      </c>
      <c r="AB175" t="s">
        <v>135</v>
      </c>
      <c r="AC175" t="s">
        <v>135</v>
      </c>
      <c r="AD175" t="s">
        <v>135</v>
      </c>
      <c r="AE175" t="s">
        <v>135</v>
      </c>
      <c r="AF175" t="s">
        <v>135</v>
      </c>
      <c r="AG175" t="s">
        <v>135</v>
      </c>
      <c r="AH175" t="s">
        <v>135</v>
      </c>
      <c r="AI175" t="s">
        <v>135</v>
      </c>
      <c r="AJ175" t="s">
        <v>135</v>
      </c>
      <c r="AK175" t="s">
        <v>135</v>
      </c>
      <c r="AL175" t="s">
        <v>135</v>
      </c>
      <c r="AM175" t="s">
        <v>135</v>
      </c>
      <c r="AN175" t="s">
        <v>135</v>
      </c>
      <c r="AO175" t="s">
        <v>135</v>
      </c>
      <c r="AP175" t="s">
        <v>135</v>
      </c>
      <c r="AQ175" t="s">
        <v>135</v>
      </c>
      <c r="AR175" t="s">
        <v>135</v>
      </c>
      <c r="AS175" t="s">
        <v>135</v>
      </c>
      <c r="AT175" t="s">
        <v>135</v>
      </c>
      <c r="AU175" t="s">
        <v>135</v>
      </c>
      <c r="AV175" t="s">
        <v>135</v>
      </c>
      <c r="AW175" t="s">
        <v>135</v>
      </c>
      <c r="AX175" t="s">
        <v>135</v>
      </c>
      <c r="AY175" t="s">
        <v>135</v>
      </c>
      <c r="AZ175" t="s">
        <v>135</v>
      </c>
      <c r="BA175" t="s">
        <v>135</v>
      </c>
      <c r="BB175" t="s">
        <v>135</v>
      </c>
      <c r="BC175" t="s">
        <v>135</v>
      </c>
      <c r="BD175" t="s">
        <v>135</v>
      </c>
      <c r="BE175" t="s">
        <v>135</v>
      </c>
      <c r="BF175" t="s">
        <v>135</v>
      </c>
      <c r="BG175" t="s">
        <v>135</v>
      </c>
      <c r="BH175" t="s">
        <v>135</v>
      </c>
      <c r="BI175" t="s">
        <v>135</v>
      </c>
      <c r="BJ175" t="s">
        <v>135</v>
      </c>
      <c r="BK175" t="s">
        <v>135</v>
      </c>
      <c r="BL175" t="s">
        <v>135</v>
      </c>
      <c r="BM175" t="s">
        <v>135</v>
      </c>
      <c r="BN175" t="s">
        <v>135</v>
      </c>
      <c r="BO175" t="s">
        <v>135</v>
      </c>
      <c r="BP175" t="s">
        <v>135</v>
      </c>
      <c r="BQ175" t="s">
        <v>135</v>
      </c>
      <c r="BR175" t="s">
        <v>135</v>
      </c>
      <c r="BS175" t="s">
        <v>135</v>
      </c>
      <c r="BT175" t="s">
        <v>135</v>
      </c>
      <c r="BU175" t="s">
        <v>135</v>
      </c>
      <c r="BV175" t="s">
        <v>135</v>
      </c>
      <c r="BW175" t="s">
        <v>135</v>
      </c>
      <c r="BX175" t="s">
        <v>135</v>
      </c>
      <c r="BY175" t="s">
        <v>135</v>
      </c>
      <c r="BZ175" t="s">
        <v>135</v>
      </c>
      <c r="CA175" t="s">
        <v>135</v>
      </c>
      <c r="CB175" t="s">
        <v>135</v>
      </c>
      <c r="CC175" t="s">
        <v>135</v>
      </c>
      <c r="CD175" t="s">
        <v>135</v>
      </c>
      <c r="CE175" t="s">
        <v>135</v>
      </c>
      <c r="CF175" t="s">
        <v>135</v>
      </c>
      <c r="CG175" t="s">
        <v>135</v>
      </c>
      <c r="CH175" t="s">
        <v>135</v>
      </c>
      <c r="CI175" t="s">
        <v>135</v>
      </c>
      <c r="CJ175" t="s">
        <v>135</v>
      </c>
      <c r="CK175" t="s">
        <v>135</v>
      </c>
      <c r="CL175" t="s">
        <v>135</v>
      </c>
      <c r="CM175" t="s">
        <v>135</v>
      </c>
      <c r="CN175" t="s">
        <v>135</v>
      </c>
      <c r="CO175" t="s">
        <v>135</v>
      </c>
      <c r="CP175" t="s">
        <v>135</v>
      </c>
      <c r="CQ175" t="s">
        <v>135</v>
      </c>
      <c r="CR175" t="s">
        <v>135</v>
      </c>
      <c r="CS175" t="s">
        <v>135</v>
      </c>
      <c r="CT175" t="s">
        <v>135</v>
      </c>
      <c r="CU175" t="s">
        <v>135</v>
      </c>
      <c r="CV175" t="s">
        <v>135</v>
      </c>
      <c r="CW175" t="s">
        <v>135</v>
      </c>
      <c r="CX175" t="s">
        <v>135</v>
      </c>
      <c r="CY175" t="s">
        <v>135</v>
      </c>
      <c r="CZ175" t="s">
        <v>135</v>
      </c>
      <c r="DA175" t="s">
        <v>135</v>
      </c>
      <c r="DB175" t="s">
        <v>135</v>
      </c>
      <c r="DC175" t="s">
        <v>135</v>
      </c>
      <c r="DD175" t="s">
        <v>135</v>
      </c>
      <c r="DE175" t="s">
        <v>135</v>
      </c>
      <c r="DF175" t="s">
        <v>135</v>
      </c>
      <c r="DG175" t="s">
        <v>135</v>
      </c>
      <c r="DH175" t="s">
        <v>135</v>
      </c>
      <c r="DI175" t="s">
        <v>135</v>
      </c>
    </row>
    <row r="176" spans="4:113" x14ac:dyDescent="0.3">
      <c r="E176" t="s">
        <v>80</v>
      </c>
      <c r="F176" t="s">
        <v>135</v>
      </c>
      <c r="G176" t="s">
        <v>135</v>
      </c>
      <c r="H176" t="s">
        <v>135</v>
      </c>
      <c r="I176" t="s">
        <v>135</v>
      </c>
      <c r="J176" t="s">
        <v>135</v>
      </c>
      <c r="K176" t="s">
        <v>135</v>
      </c>
      <c r="L176" t="s">
        <v>135</v>
      </c>
      <c r="M176" t="s">
        <v>135</v>
      </c>
      <c r="N176" t="s">
        <v>135</v>
      </c>
      <c r="O176" t="s">
        <v>135</v>
      </c>
      <c r="P176" t="s">
        <v>135</v>
      </c>
      <c r="Q176" t="s">
        <v>135</v>
      </c>
      <c r="R176" t="s">
        <v>135</v>
      </c>
      <c r="S176" t="s">
        <v>135</v>
      </c>
      <c r="T176" t="s">
        <v>135</v>
      </c>
      <c r="U176" t="s">
        <v>135</v>
      </c>
      <c r="V176" t="s">
        <v>135</v>
      </c>
      <c r="W176" t="s">
        <v>135</v>
      </c>
      <c r="X176" t="s">
        <v>135</v>
      </c>
      <c r="Y176" t="s">
        <v>135</v>
      </c>
      <c r="Z176" t="s">
        <v>135</v>
      </c>
      <c r="AA176" t="s">
        <v>135</v>
      </c>
      <c r="AB176" t="s">
        <v>135</v>
      </c>
      <c r="AC176" t="s">
        <v>135</v>
      </c>
      <c r="AD176" t="s">
        <v>135</v>
      </c>
      <c r="AE176" t="s">
        <v>135</v>
      </c>
      <c r="AF176" t="s">
        <v>135</v>
      </c>
      <c r="AG176" t="s">
        <v>135</v>
      </c>
      <c r="AH176" t="s">
        <v>135</v>
      </c>
      <c r="AI176" t="s">
        <v>135</v>
      </c>
      <c r="AJ176" t="s">
        <v>135</v>
      </c>
      <c r="AK176" t="s">
        <v>135</v>
      </c>
      <c r="AL176" t="s">
        <v>135</v>
      </c>
      <c r="AM176" t="s">
        <v>135</v>
      </c>
      <c r="AN176" t="s">
        <v>135</v>
      </c>
      <c r="AO176" t="s">
        <v>135</v>
      </c>
      <c r="AP176" t="s">
        <v>135</v>
      </c>
      <c r="AQ176" t="s">
        <v>135</v>
      </c>
      <c r="AR176" t="s">
        <v>135</v>
      </c>
      <c r="AS176" t="s">
        <v>135</v>
      </c>
      <c r="AT176" t="s">
        <v>135</v>
      </c>
      <c r="AU176" t="s">
        <v>135</v>
      </c>
      <c r="AV176" t="s">
        <v>135</v>
      </c>
      <c r="AW176" t="s">
        <v>135</v>
      </c>
      <c r="AX176" t="s">
        <v>135</v>
      </c>
      <c r="AY176" t="s">
        <v>135</v>
      </c>
      <c r="AZ176" t="s">
        <v>135</v>
      </c>
      <c r="BA176" t="s">
        <v>135</v>
      </c>
      <c r="BB176" t="s">
        <v>135</v>
      </c>
      <c r="BC176" t="s">
        <v>135</v>
      </c>
      <c r="BD176" t="s">
        <v>135</v>
      </c>
      <c r="BE176" t="s">
        <v>135</v>
      </c>
      <c r="BF176" t="s">
        <v>135</v>
      </c>
      <c r="BG176" t="s">
        <v>135</v>
      </c>
      <c r="BH176" t="s">
        <v>135</v>
      </c>
      <c r="BI176" t="s">
        <v>135</v>
      </c>
      <c r="BJ176" t="s">
        <v>135</v>
      </c>
      <c r="BK176" t="s">
        <v>135</v>
      </c>
      <c r="BL176" t="s">
        <v>135</v>
      </c>
      <c r="BM176" t="s">
        <v>135</v>
      </c>
      <c r="BN176" t="s">
        <v>135</v>
      </c>
      <c r="BO176" t="s">
        <v>135</v>
      </c>
      <c r="BP176" t="s">
        <v>135</v>
      </c>
      <c r="BQ176" t="s">
        <v>135</v>
      </c>
      <c r="BR176" t="s">
        <v>135</v>
      </c>
      <c r="BS176" t="s">
        <v>135</v>
      </c>
      <c r="BT176" t="s">
        <v>135</v>
      </c>
      <c r="BU176" t="s">
        <v>135</v>
      </c>
      <c r="BV176" t="s">
        <v>135</v>
      </c>
      <c r="BW176" t="s">
        <v>135</v>
      </c>
      <c r="BX176" t="s">
        <v>135</v>
      </c>
      <c r="BY176" t="s">
        <v>135</v>
      </c>
      <c r="BZ176" t="s">
        <v>135</v>
      </c>
      <c r="CA176" t="s">
        <v>135</v>
      </c>
      <c r="CB176" t="s">
        <v>135</v>
      </c>
      <c r="CC176" t="s">
        <v>135</v>
      </c>
      <c r="CD176" t="s">
        <v>135</v>
      </c>
      <c r="CE176" t="s">
        <v>135</v>
      </c>
      <c r="CF176" t="s">
        <v>135</v>
      </c>
      <c r="CG176" t="s">
        <v>135</v>
      </c>
      <c r="CH176" t="s">
        <v>135</v>
      </c>
      <c r="CI176" t="s">
        <v>135</v>
      </c>
      <c r="CJ176" t="s">
        <v>135</v>
      </c>
      <c r="CK176" t="s">
        <v>135</v>
      </c>
      <c r="CL176" t="s">
        <v>135</v>
      </c>
      <c r="CM176" t="s">
        <v>135</v>
      </c>
      <c r="CN176" t="s">
        <v>135</v>
      </c>
      <c r="CO176" t="s">
        <v>135</v>
      </c>
      <c r="CP176" t="s">
        <v>135</v>
      </c>
      <c r="CQ176" t="s">
        <v>135</v>
      </c>
      <c r="CR176" t="s">
        <v>135</v>
      </c>
      <c r="CS176" t="s">
        <v>135</v>
      </c>
      <c r="CT176" t="s">
        <v>135</v>
      </c>
      <c r="CU176" t="s">
        <v>135</v>
      </c>
      <c r="CV176" t="s">
        <v>135</v>
      </c>
      <c r="CW176" t="s">
        <v>135</v>
      </c>
      <c r="CX176" t="s">
        <v>135</v>
      </c>
      <c r="CY176" t="s">
        <v>135</v>
      </c>
      <c r="CZ176" t="s">
        <v>135</v>
      </c>
      <c r="DA176" t="s">
        <v>135</v>
      </c>
      <c r="DB176" t="s">
        <v>135</v>
      </c>
      <c r="DC176" t="s">
        <v>135</v>
      </c>
      <c r="DD176" t="s">
        <v>135</v>
      </c>
      <c r="DE176" t="s">
        <v>135</v>
      </c>
      <c r="DF176" t="s">
        <v>135</v>
      </c>
      <c r="DG176" t="s">
        <v>135</v>
      </c>
      <c r="DH176" t="s">
        <v>135</v>
      </c>
      <c r="DI176" t="s">
        <v>135</v>
      </c>
    </row>
    <row r="177" spans="1:113" x14ac:dyDescent="0.3">
      <c r="E177" t="s">
        <v>81</v>
      </c>
      <c r="F177" t="s">
        <v>135</v>
      </c>
      <c r="G177" t="s">
        <v>135</v>
      </c>
      <c r="H177" t="s">
        <v>135</v>
      </c>
      <c r="I177" t="s">
        <v>135</v>
      </c>
      <c r="J177" t="s">
        <v>135</v>
      </c>
      <c r="K177" t="s">
        <v>135</v>
      </c>
      <c r="L177" t="s">
        <v>135</v>
      </c>
      <c r="M177" t="s">
        <v>135</v>
      </c>
      <c r="N177" t="s">
        <v>135</v>
      </c>
      <c r="O177" t="s">
        <v>135</v>
      </c>
      <c r="P177" t="s">
        <v>135</v>
      </c>
      <c r="Q177" t="s">
        <v>135</v>
      </c>
      <c r="R177" t="s">
        <v>135</v>
      </c>
      <c r="S177" t="s">
        <v>135</v>
      </c>
      <c r="T177" t="s">
        <v>135</v>
      </c>
      <c r="U177" t="s">
        <v>135</v>
      </c>
      <c r="V177" t="s">
        <v>135</v>
      </c>
      <c r="W177" t="s">
        <v>135</v>
      </c>
      <c r="X177" t="s">
        <v>135</v>
      </c>
      <c r="Y177" t="s">
        <v>135</v>
      </c>
      <c r="Z177" t="s">
        <v>135</v>
      </c>
      <c r="AA177" t="s">
        <v>135</v>
      </c>
      <c r="AB177" t="s">
        <v>135</v>
      </c>
      <c r="AC177" t="s">
        <v>135</v>
      </c>
      <c r="AD177" t="s">
        <v>135</v>
      </c>
      <c r="AE177" t="s">
        <v>135</v>
      </c>
      <c r="AF177" t="s">
        <v>135</v>
      </c>
      <c r="AG177" t="s">
        <v>135</v>
      </c>
      <c r="AH177" t="s">
        <v>135</v>
      </c>
      <c r="AI177" t="s">
        <v>135</v>
      </c>
      <c r="AJ177" t="s">
        <v>135</v>
      </c>
      <c r="AK177" t="s">
        <v>135</v>
      </c>
      <c r="AL177" t="s">
        <v>135</v>
      </c>
      <c r="AM177" t="s">
        <v>135</v>
      </c>
      <c r="AN177" t="s">
        <v>135</v>
      </c>
      <c r="AO177" t="s">
        <v>135</v>
      </c>
      <c r="AP177" t="s">
        <v>135</v>
      </c>
      <c r="AQ177" t="s">
        <v>135</v>
      </c>
      <c r="AR177" t="s">
        <v>135</v>
      </c>
      <c r="AS177" t="s">
        <v>135</v>
      </c>
      <c r="AT177" t="s">
        <v>135</v>
      </c>
      <c r="AU177" t="s">
        <v>135</v>
      </c>
      <c r="AV177" t="s">
        <v>135</v>
      </c>
      <c r="AW177" t="s">
        <v>135</v>
      </c>
      <c r="AX177" t="s">
        <v>135</v>
      </c>
      <c r="AY177" t="s">
        <v>135</v>
      </c>
      <c r="AZ177" t="s">
        <v>135</v>
      </c>
      <c r="BA177" t="s">
        <v>135</v>
      </c>
      <c r="BB177" t="s">
        <v>135</v>
      </c>
      <c r="BC177" t="s">
        <v>135</v>
      </c>
      <c r="BD177" t="s">
        <v>135</v>
      </c>
      <c r="BE177" t="s">
        <v>135</v>
      </c>
      <c r="BF177" t="s">
        <v>135</v>
      </c>
      <c r="BG177" t="s">
        <v>135</v>
      </c>
      <c r="BH177" t="s">
        <v>135</v>
      </c>
      <c r="BI177" t="s">
        <v>135</v>
      </c>
      <c r="BJ177" t="s">
        <v>135</v>
      </c>
      <c r="BK177" t="s">
        <v>135</v>
      </c>
      <c r="BL177" t="s">
        <v>135</v>
      </c>
      <c r="BM177" t="s">
        <v>135</v>
      </c>
      <c r="BN177" t="s">
        <v>135</v>
      </c>
      <c r="BO177" t="s">
        <v>135</v>
      </c>
      <c r="BP177" t="s">
        <v>135</v>
      </c>
      <c r="BQ177" t="s">
        <v>135</v>
      </c>
      <c r="BR177" t="s">
        <v>135</v>
      </c>
      <c r="BS177" t="s">
        <v>135</v>
      </c>
      <c r="BT177" t="s">
        <v>135</v>
      </c>
      <c r="BU177" t="s">
        <v>135</v>
      </c>
      <c r="BV177" t="s">
        <v>135</v>
      </c>
      <c r="BW177" t="s">
        <v>135</v>
      </c>
      <c r="BX177" t="s">
        <v>135</v>
      </c>
      <c r="BY177" t="s">
        <v>135</v>
      </c>
      <c r="BZ177" t="s">
        <v>135</v>
      </c>
      <c r="CA177" t="s">
        <v>135</v>
      </c>
      <c r="CB177" t="s">
        <v>135</v>
      </c>
      <c r="CC177" t="s">
        <v>135</v>
      </c>
      <c r="CD177" t="s">
        <v>135</v>
      </c>
      <c r="CE177" t="s">
        <v>135</v>
      </c>
      <c r="CF177" t="s">
        <v>135</v>
      </c>
      <c r="CG177" t="s">
        <v>135</v>
      </c>
      <c r="CH177" t="s">
        <v>135</v>
      </c>
      <c r="CI177" t="s">
        <v>135</v>
      </c>
      <c r="CJ177" t="s">
        <v>135</v>
      </c>
      <c r="CK177" t="s">
        <v>135</v>
      </c>
      <c r="CL177" t="s">
        <v>135</v>
      </c>
      <c r="CM177" t="s">
        <v>135</v>
      </c>
      <c r="CN177" t="s">
        <v>135</v>
      </c>
      <c r="CO177" t="s">
        <v>135</v>
      </c>
      <c r="CP177" t="s">
        <v>135</v>
      </c>
      <c r="CQ177" t="s">
        <v>135</v>
      </c>
      <c r="CR177" t="s">
        <v>135</v>
      </c>
      <c r="CS177" t="s">
        <v>135</v>
      </c>
      <c r="CT177" t="s">
        <v>135</v>
      </c>
      <c r="CU177" t="s">
        <v>135</v>
      </c>
      <c r="CV177" t="s">
        <v>135</v>
      </c>
      <c r="CW177" t="s">
        <v>135</v>
      </c>
      <c r="CX177" t="s">
        <v>135</v>
      </c>
      <c r="CY177" t="s">
        <v>135</v>
      </c>
      <c r="CZ177" t="s">
        <v>135</v>
      </c>
      <c r="DA177" t="s">
        <v>135</v>
      </c>
      <c r="DB177" t="s">
        <v>135</v>
      </c>
      <c r="DC177" t="s">
        <v>135</v>
      </c>
      <c r="DD177" t="s">
        <v>135</v>
      </c>
      <c r="DE177" t="s">
        <v>135</v>
      </c>
      <c r="DF177" t="s">
        <v>135</v>
      </c>
      <c r="DG177" t="s">
        <v>135</v>
      </c>
      <c r="DH177" t="s">
        <v>135</v>
      </c>
      <c r="DI177" t="s">
        <v>135</v>
      </c>
    </row>
    <row r="178" spans="1:113" x14ac:dyDescent="0.3">
      <c r="A178">
        <v>83</v>
      </c>
      <c r="B178" t="s">
        <v>98</v>
      </c>
      <c r="C178" t="s">
        <v>99</v>
      </c>
      <c r="D178" t="s">
        <v>76</v>
      </c>
      <c r="E178" t="s">
        <v>77</v>
      </c>
      <c r="F178">
        <v>10.406499999999999</v>
      </c>
      <c r="G178">
        <v>0.62590000000000001</v>
      </c>
      <c r="H178">
        <v>3.5377999999999998</v>
      </c>
      <c r="I178">
        <v>8.4820999999999991</v>
      </c>
      <c r="J178" t="s">
        <v>135</v>
      </c>
      <c r="K178">
        <v>20.389800000000001</v>
      </c>
      <c r="L178" t="s">
        <v>135</v>
      </c>
      <c r="M178">
        <v>9.4331999999999994</v>
      </c>
      <c r="N178">
        <v>14.157500000000001</v>
      </c>
      <c r="O178">
        <v>13.5518</v>
      </c>
      <c r="P178">
        <v>13.5518</v>
      </c>
      <c r="Q178">
        <v>32.055799999999998</v>
      </c>
      <c r="R178">
        <v>15.8019</v>
      </c>
      <c r="S178">
        <v>8.7620000000000005</v>
      </c>
      <c r="T178">
        <v>12.187200000000001</v>
      </c>
      <c r="U178" t="s">
        <v>135</v>
      </c>
      <c r="V178">
        <v>-17.604199999999999</v>
      </c>
      <c r="W178">
        <v>-20.8886</v>
      </c>
      <c r="X178">
        <v>-23.544</v>
      </c>
      <c r="Y178">
        <v>-27.710799999999999</v>
      </c>
      <c r="Z178" t="s">
        <v>135</v>
      </c>
      <c r="AA178" t="s">
        <v>135</v>
      </c>
      <c r="AB178">
        <v>12.698700000000001</v>
      </c>
      <c r="AC178">
        <v>12.323499999999999</v>
      </c>
      <c r="AD178" t="s">
        <v>135</v>
      </c>
      <c r="AE178" t="s">
        <v>135</v>
      </c>
      <c r="AF178" t="s">
        <v>135</v>
      </c>
      <c r="AG178">
        <v>6.6875</v>
      </c>
      <c r="AH178">
        <v>9.1008999999999993</v>
      </c>
      <c r="AI178">
        <v>17.784300000000002</v>
      </c>
      <c r="AJ178">
        <v>11.943300000000001</v>
      </c>
      <c r="AK178">
        <v>7.9919000000000002</v>
      </c>
      <c r="AL178" t="s">
        <v>135</v>
      </c>
      <c r="AM178">
        <v>15.1318</v>
      </c>
      <c r="AN178" t="s">
        <v>135</v>
      </c>
      <c r="AO178">
        <v>3.5543</v>
      </c>
      <c r="AP178">
        <v>5.2864000000000004</v>
      </c>
      <c r="AQ178">
        <v>3.3898000000000001</v>
      </c>
      <c r="AR178">
        <v>0.68030000000000002</v>
      </c>
      <c r="AS178" t="s">
        <v>135</v>
      </c>
      <c r="AT178" t="s">
        <v>135</v>
      </c>
      <c r="AU178">
        <v>15.116899999999999</v>
      </c>
      <c r="AV178">
        <v>12.923999999999999</v>
      </c>
      <c r="AW178" t="s">
        <v>135</v>
      </c>
      <c r="AX178" t="s">
        <v>135</v>
      </c>
      <c r="AY178" t="s">
        <v>135</v>
      </c>
      <c r="AZ178">
        <v>6.0404999999999998</v>
      </c>
      <c r="BA178">
        <v>20.543500000000002</v>
      </c>
      <c r="BB178">
        <v>15.3344</v>
      </c>
      <c r="BC178">
        <v>18.5898</v>
      </c>
      <c r="BD178">
        <v>11.6046</v>
      </c>
      <c r="BE178" t="s">
        <v>135</v>
      </c>
      <c r="BF178">
        <v>12.187200000000001</v>
      </c>
      <c r="BG178" t="s">
        <v>135</v>
      </c>
      <c r="BH178">
        <v>-17.604199999999999</v>
      </c>
      <c r="BI178">
        <v>-20.8886</v>
      </c>
      <c r="BJ178">
        <v>-23.544</v>
      </c>
      <c r="BK178">
        <v>-27.710799999999999</v>
      </c>
      <c r="BL178" t="s">
        <v>135</v>
      </c>
      <c r="BM178" t="s">
        <v>135</v>
      </c>
      <c r="BN178">
        <v>12.698700000000001</v>
      </c>
      <c r="BO178">
        <v>12.323499999999999</v>
      </c>
      <c r="BP178" t="s">
        <v>135</v>
      </c>
      <c r="BQ178" t="s">
        <v>135</v>
      </c>
      <c r="BR178" t="s">
        <v>135</v>
      </c>
      <c r="BS178">
        <v>6.6875</v>
      </c>
      <c r="BT178">
        <v>9.1008999999999993</v>
      </c>
      <c r="BU178">
        <v>17.784300000000002</v>
      </c>
      <c r="BV178">
        <v>11.943300000000001</v>
      </c>
      <c r="BW178">
        <v>7.9919000000000002</v>
      </c>
      <c r="BX178" t="s">
        <v>135</v>
      </c>
      <c r="BY178">
        <v>2898543.2629999998</v>
      </c>
      <c r="BZ178">
        <v>660988.06799999997</v>
      </c>
      <c r="CA178">
        <v>2237555.1949999998</v>
      </c>
      <c r="CB178" t="s">
        <v>135</v>
      </c>
      <c r="CC178" t="s">
        <v>135</v>
      </c>
      <c r="CD178">
        <v>13.591900000000001</v>
      </c>
      <c r="CE178">
        <v>5.7533000000000003</v>
      </c>
      <c r="CF178" t="s">
        <v>135</v>
      </c>
      <c r="CG178">
        <v>6.1506999999999996</v>
      </c>
      <c r="CH178">
        <v>146.93719999999999</v>
      </c>
      <c r="CI178">
        <v>50.6081</v>
      </c>
      <c r="CJ178">
        <v>9.3387999999999991</v>
      </c>
      <c r="CK178">
        <v>190.3434</v>
      </c>
      <c r="CL178">
        <v>65.558000000000007</v>
      </c>
      <c r="CM178">
        <v>12.0975</v>
      </c>
      <c r="CN178">
        <v>80.570800000000006</v>
      </c>
      <c r="CO178">
        <v>44.620100000000001</v>
      </c>
      <c r="CP178" t="s">
        <v>135</v>
      </c>
      <c r="CQ178" t="s">
        <v>135</v>
      </c>
      <c r="CR178">
        <v>213255.432</v>
      </c>
      <c r="CS178" t="s">
        <v>135</v>
      </c>
      <c r="CT178" t="s">
        <v>135</v>
      </c>
      <c r="CU178" t="s">
        <v>135</v>
      </c>
      <c r="CV178" t="s">
        <v>135</v>
      </c>
      <c r="CW178" t="s">
        <v>135</v>
      </c>
      <c r="CX178" t="s">
        <v>135</v>
      </c>
      <c r="CY178" t="s">
        <v>135</v>
      </c>
      <c r="CZ178" t="s">
        <v>135</v>
      </c>
      <c r="DA178" t="s">
        <v>135</v>
      </c>
      <c r="DB178" t="s">
        <v>135</v>
      </c>
      <c r="DC178" t="s">
        <v>135</v>
      </c>
      <c r="DD178" t="s">
        <v>135</v>
      </c>
      <c r="DE178" t="s">
        <v>135</v>
      </c>
      <c r="DF178" t="s">
        <v>135</v>
      </c>
      <c r="DG178" t="s">
        <v>135</v>
      </c>
      <c r="DH178" t="s">
        <v>135</v>
      </c>
      <c r="DI178" t="s">
        <v>135</v>
      </c>
    </row>
    <row r="179" spans="1:113" x14ac:dyDescent="0.3">
      <c r="E179" t="s">
        <v>78</v>
      </c>
      <c r="F179" t="s">
        <v>135</v>
      </c>
      <c r="G179" t="s">
        <v>135</v>
      </c>
      <c r="H179" t="s">
        <v>135</v>
      </c>
      <c r="I179" t="s">
        <v>135</v>
      </c>
      <c r="J179" t="s">
        <v>135</v>
      </c>
      <c r="K179">
        <v>25.879300000000001</v>
      </c>
      <c r="L179" t="s">
        <v>135</v>
      </c>
      <c r="M179">
        <v>11.915900000000001</v>
      </c>
      <c r="N179">
        <v>18.555199999999999</v>
      </c>
      <c r="O179">
        <v>17.781500000000001</v>
      </c>
      <c r="P179">
        <v>17.781500000000001</v>
      </c>
      <c r="Q179">
        <v>29.733799999999999</v>
      </c>
      <c r="R179" t="s">
        <v>135</v>
      </c>
      <c r="S179" t="s">
        <v>135</v>
      </c>
      <c r="T179">
        <v>12.0898</v>
      </c>
      <c r="U179" t="s">
        <v>135</v>
      </c>
      <c r="V179">
        <v>-16.542200000000001</v>
      </c>
      <c r="W179">
        <v>-11.818999999999999</v>
      </c>
      <c r="X179">
        <v>-13.491199999999999</v>
      </c>
      <c r="Y179" t="s">
        <v>135</v>
      </c>
      <c r="Z179" t="s">
        <v>135</v>
      </c>
      <c r="AA179" t="s">
        <v>135</v>
      </c>
      <c r="AB179" t="s">
        <v>135</v>
      </c>
      <c r="AC179" t="s">
        <v>135</v>
      </c>
      <c r="AD179" t="s">
        <v>135</v>
      </c>
      <c r="AE179" t="s">
        <v>135</v>
      </c>
      <c r="AF179" t="s">
        <v>135</v>
      </c>
      <c r="AG179" t="s">
        <v>135</v>
      </c>
      <c r="AH179" t="s">
        <v>135</v>
      </c>
      <c r="AI179" t="s">
        <v>135</v>
      </c>
      <c r="AJ179" t="s">
        <v>135</v>
      </c>
      <c r="AK179" t="s">
        <v>135</v>
      </c>
      <c r="AL179" t="s">
        <v>135</v>
      </c>
      <c r="AM179">
        <v>17.195900000000002</v>
      </c>
      <c r="AN179" t="s">
        <v>135</v>
      </c>
      <c r="AO179">
        <v>19.862300000000001</v>
      </c>
      <c r="AP179">
        <v>21.240300000000001</v>
      </c>
      <c r="AQ179">
        <v>19.376899999999999</v>
      </c>
      <c r="AR179" t="s">
        <v>135</v>
      </c>
      <c r="AS179" t="s">
        <v>135</v>
      </c>
      <c r="AT179" t="s">
        <v>135</v>
      </c>
      <c r="AU179" t="s">
        <v>135</v>
      </c>
      <c r="AV179" t="s">
        <v>135</v>
      </c>
      <c r="AW179" t="s">
        <v>135</v>
      </c>
      <c r="AX179" t="s">
        <v>135</v>
      </c>
      <c r="AY179" t="s">
        <v>135</v>
      </c>
      <c r="AZ179" t="s">
        <v>135</v>
      </c>
      <c r="BA179" t="s">
        <v>135</v>
      </c>
      <c r="BB179" t="s">
        <v>135</v>
      </c>
      <c r="BC179" t="s">
        <v>135</v>
      </c>
      <c r="BD179" t="s">
        <v>135</v>
      </c>
      <c r="BE179" t="s">
        <v>135</v>
      </c>
      <c r="BF179">
        <v>-0.78469999999999995</v>
      </c>
      <c r="BG179" t="s">
        <v>135</v>
      </c>
      <c r="BH179">
        <v>39.6633</v>
      </c>
      <c r="BI179">
        <v>12.5931</v>
      </c>
      <c r="BJ179">
        <v>10.7387</v>
      </c>
      <c r="BK179" t="s">
        <v>135</v>
      </c>
      <c r="BL179" t="s">
        <v>135</v>
      </c>
      <c r="BM179" t="s">
        <v>135</v>
      </c>
      <c r="BN179">
        <v>3.7595999999999998</v>
      </c>
      <c r="BO179">
        <v>2.1760000000000002</v>
      </c>
      <c r="BP179" t="s">
        <v>135</v>
      </c>
      <c r="BQ179" t="s">
        <v>135</v>
      </c>
      <c r="BR179" t="s">
        <v>135</v>
      </c>
      <c r="BS179" t="s">
        <v>135</v>
      </c>
      <c r="BT179">
        <v>-21.1996</v>
      </c>
      <c r="BU179">
        <v>5.3693</v>
      </c>
      <c r="BV179">
        <v>-12.5025</v>
      </c>
      <c r="BW179">
        <v>5.2851999999999997</v>
      </c>
      <c r="BX179" t="s">
        <v>135</v>
      </c>
      <c r="BY179">
        <v>2093533.7</v>
      </c>
      <c r="BZ179" t="s">
        <v>135</v>
      </c>
      <c r="CA179">
        <v>2093533.7</v>
      </c>
      <c r="CB179" t="s">
        <v>135</v>
      </c>
      <c r="CC179" t="s">
        <v>135</v>
      </c>
      <c r="CD179">
        <v>8.4763000000000002</v>
      </c>
      <c r="CE179">
        <v>3.6661999999999999</v>
      </c>
      <c r="CF179" t="s">
        <v>135</v>
      </c>
      <c r="CG179">
        <v>6.0399000000000003</v>
      </c>
      <c r="CH179">
        <v>153.67779999999999</v>
      </c>
      <c r="CI179">
        <v>60.579900000000002</v>
      </c>
      <c r="CJ179">
        <v>9.6054999999999993</v>
      </c>
      <c r="CK179">
        <v>153.67779999999999</v>
      </c>
      <c r="CL179">
        <v>60.579900000000002</v>
      </c>
      <c r="CM179">
        <v>9.6054999999999993</v>
      </c>
      <c r="CN179">
        <v>66.469700000000003</v>
      </c>
      <c r="CO179">
        <v>39.929000000000002</v>
      </c>
      <c r="CP179" t="s">
        <v>135</v>
      </c>
      <c r="CQ179" t="s">
        <v>135</v>
      </c>
      <c r="CR179">
        <v>62561.4</v>
      </c>
      <c r="CS179" t="s">
        <v>135</v>
      </c>
      <c r="CT179" t="s">
        <v>135</v>
      </c>
      <c r="CU179" t="s">
        <v>135</v>
      </c>
      <c r="CV179" t="s">
        <v>135</v>
      </c>
      <c r="CW179" t="s">
        <v>135</v>
      </c>
      <c r="CX179" t="s">
        <v>135</v>
      </c>
      <c r="CY179" t="s">
        <v>135</v>
      </c>
      <c r="CZ179" t="s">
        <v>135</v>
      </c>
      <c r="DA179" t="s">
        <v>135</v>
      </c>
      <c r="DB179" t="s">
        <v>135</v>
      </c>
      <c r="DC179" t="s">
        <v>135</v>
      </c>
      <c r="DD179" t="s">
        <v>135</v>
      </c>
      <c r="DE179" t="s">
        <v>135</v>
      </c>
      <c r="DF179" t="s">
        <v>135</v>
      </c>
      <c r="DG179" t="s">
        <v>135</v>
      </c>
      <c r="DH179" t="s">
        <v>135</v>
      </c>
      <c r="DI179" t="s">
        <v>135</v>
      </c>
    </row>
    <row r="180" spans="1:113" x14ac:dyDescent="0.3">
      <c r="E180" t="s">
        <v>79</v>
      </c>
      <c r="F180">
        <v>12.5267</v>
      </c>
      <c r="G180">
        <v>0.75149999999999995</v>
      </c>
      <c r="H180">
        <v>4.9832000000000001</v>
      </c>
      <c r="I180">
        <v>10.068</v>
      </c>
      <c r="J180" t="s">
        <v>135</v>
      </c>
      <c r="K180">
        <v>18.379200000000001</v>
      </c>
      <c r="L180">
        <v>-566.34960000000001</v>
      </c>
      <c r="M180">
        <v>7.9345999999999997</v>
      </c>
      <c r="N180">
        <v>14.110200000000001</v>
      </c>
      <c r="O180">
        <v>13.3994</v>
      </c>
      <c r="P180">
        <v>13.3994</v>
      </c>
      <c r="Q180">
        <v>24.331</v>
      </c>
      <c r="R180" t="s">
        <v>135</v>
      </c>
      <c r="S180" t="s">
        <v>135</v>
      </c>
      <c r="T180">
        <v>6.4128999999999996</v>
      </c>
      <c r="U180" t="s">
        <v>135</v>
      </c>
      <c r="V180">
        <v>-39.802399999999999</v>
      </c>
      <c r="W180">
        <v>-32.840200000000003</v>
      </c>
      <c r="X180">
        <v>-34.115600000000001</v>
      </c>
      <c r="Y180" t="s">
        <v>135</v>
      </c>
      <c r="Z180" t="s">
        <v>135</v>
      </c>
      <c r="AA180" t="s">
        <v>135</v>
      </c>
      <c r="AB180">
        <v>16.216999999999999</v>
      </c>
      <c r="AC180">
        <v>15.582800000000001</v>
      </c>
      <c r="AD180" t="s">
        <v>135</v>
      </c>
      <c r="AE180" t="s">
        <v>135</v>
      </c>
      <c r="AF180" t="s">
        <v>135</v>
      </c>
      <c r="AG180" t="s">
        <v>135</v>
      </c>
      <c r="AH180">
        <v>30.437200000000001</v>
      </c>
      <c r="AI180">
        <v>17.242000000000001</v>
      </c>
      <c r="AJ180">
        <v>25.0428</v>
      </c>
      <c r="AK180">
        <v>14.9595</v>
      </c>
      <c r="AL180" t="s">
        <v>135</v>
      </c>
      <c r="AM180">
        <v>14.4217</v>
      </c>
      <c r="AN180" t="s">
        <v>135</v>
      </c>
      <c r="AO180">
        <v>-1.9814000000000001</v>
      </c>
      <c r="AP180">
        <v>5.2584</v>
      </c>
      <c r="AQ180">
        <v>3.6996000000000002</v>
      </c>
      <c r="AR180" t="s">
        <v>135</v>
      </c>
      <c r="AS180" t="s">
        <v>135</v>
      </c>
      <c r="AT180" t="s">
        <v>135</v>
      </c>
      <c r="AU180" t="s">
        <v>135</v>
      </c>
      <c r="AV180" t="s">
        <v>135</v>
      </c>
      <c r="AW180" t="s">
        <v>135</v>
      </c>
      <c r="AX180" t="s">
        <v>135</v>
      </c>
      <c r="AY180" t="s">
        <v>135</v>
      </c>
      <c r="AZ180" t="s">
        <v>135</v>
      </c>
      <c r="BA180" t="s">
        <v>135</v>
      </c>
      <c r="BB180" t="s">
        <v>135</v>
      </c>
      <c r="BC180" t="s">
        <v>135</v>
      </c>
      <c r="BD180" t="s">
        <v>135</v>
      </c>
      <c r="BE180" t="s">
        <v>135</v>
      </c>
      <c r="BF180">
        <v>1.1738999999999999</v>
      </c>
      <c r="BG180" t="s">
        <v>135</v>
      </c>
      <c r="BH180">
        <v>-32.630200000000002</v>
      </c>
      <c r="BI180">
        <v>-28.516300000000001</v>
      </c>
      <c r="BJ180">
        <v>-28.5169</v>
      </c>
      <c r="BK180" t="s">
        <v>135</v>
      </c>
      <c r="BL180" t="s">
        <v>135</v>
      </c>
      <c r="BM180" t="s">
        <v>135</v>
      </c>
      <c r="BN180">
        <v>3.5181</v>
      </c>
      <c r="BO180">
        <v>3.6791999999999998</v>
      </c>
      <c r="BP180" t="s">
        <v>135</v>
      </c>
      <c r="BQ180" t="s">
        <v>135</v>
      </c>
      <c r="BR180" t="s">
        <v>135</v>
      </c>
      <c r="BS180" t="s">
        <v>135</v>
      </c>
      <c r="BT180">
        <v>8.5317000000000007</v>
      </c>
      <c r="BU180">
        <v>3.6696999999999997</v>
      </c>
      <c r="BV180">
        <v>6.6151</v>
      </c>
      <c r="BW180">
        <v>3.6414</v>
      </c>
      <c r="BX180" t="s">
        <v>135</v>
      </c>
      <c r="BY180">
        <v>2272146.7000000002</v>
      </c>
      <c r="BZ180" t="s">
        <v>135</v>
      </c>
      <c r="CA180">
        <v>2272146.7000000002</v>
      </c>
      <c r="CB180" t="s">
        <v>135</v>
      </c>
      <c r="CC180" t="s">
        <v>135</v>
      </c>
      <c r="CD180">
        <v>10.3695</v>
      </c>
      <c r="CE180">
        <v>3.7793000000000001</v>
      </c>
      <c r="CF180" t="s">
        <v>135</v>
      </c>
      <c r="CG180">
        <v>6.0377000000000001</v>
      </c>
      <c r="CH180">
        <v>160.88509999999999</v>
      </c>
      <c r="CI180">
        <v>61.668900000000001</v>
      </c>
      <c r="CJ180">
        <v>10.055099999999999</v>
      </c>
      <c r="CK180">
        <v>160.88509999999999</v>
      </c>
      <c r="CL180">
        <v>61.668900000000001</v>
      </c>
      <c r="CM180">
        <v>10.055099999999999</v>
      </c>
      <c r="CN180">
        <v>58.636899999999997</v>
      </c>
      <c r="CO180">
        <v>36.963000000000001</v>
      </c>
      <c r="CP180" t="s">
        <v>135</v>
      </c>
      <c r="CQ180" t="s">
        <v>135</v>
      </c>
      <c r="CR180">
        <v>42147.5</v>
      </c>
      <c r="CS180" t="s">
        <v>135</v>
      </c>
      <c r="CT180" t="s">
        <v>135</v>
      </c>
      <c r="CU180" t="s">
        <v>135</v>
      </c>
      <c r="CV180" t="s">
        <v>135</v>
      </c>
      <c r="CW180" t="s">
        <v>135</v>
      </c>
      <c r="CX180" t="s">
        <v>135</v>
      </c>
      <c r="CY180" t="s">
        <v>135</v>
      </c>
      <c r="CZ180" t="s">
        <v>135</v>
      </c>
      <c r="DA180" t="s">
        <v>135</v>
      </c>
      <c r="DB180" t="s">
        <v>135</v>
      </c>
      <c r="DC180" t="s">
        <v>135</v>
      </c>
      <c r="DD180" t="s">
        <v>135</v>
      </c>
      <c r="DE180" t="s">
        <v>135</v>
      </c>
      <c r="DF180" t="s">
        <v>135</v>
      </c>
      <c r="DG180" t="s">
        <v>135</v>
      </c>
      <c r="DH180" t="s">
        <v>135</v>
      </c>
      <c r="DI180" t="s">
        <v>135</v>
      </c>
    </row>
    <row r="181" spans="1:113" x14ac:dyDescent="0.3">
      <c r="E181" t="s">
        <v>80</v>
      </c>
      <c r="F181">
        <v>10.8169</v>
      </c>
      <c r="G181">
        <v>0.64759999999999995</v>
      </c>
      <c r="H181">
        <v>4.3239999999999998</v>
      </c>
      <c r="I181">
        <v>9.7977000000000007</v>
      </c>
      <c r="J181" t="s">
        <v>135</v>
      </c>
      <c r="K181">
        <v>16.8751</v>
      </c>
      <c r="L181" t="s">
        <v>135</v>
      </c>
      <c r="M181">
        <v>7.9053000000000004</v>
      </c>
      <c r="N181">
        <v>10.780100000000001</v>
      </c>
      <c r="O181">
        <v>10.333</v>
      </c>
      <c r="P181">
        <v>10.333</v>
      </c>
      <c r="Q181">
        <v>37.828699999999998</v>
      </c>
      <c r="R181" t="s">
        <v>135</v>
      </c>
      <c r="S181" t="s">
        <v>135</v>
      </c>
      <c r="T181">
        <v>15.1152</v>
      </c>
      <c r="U181" t="s">
        <v>135</v>
      </c>
      <c r="V181">
        <v>-33.4071</v>
      </c>
      <c r="W181">
        <v>-38.933900000000001</v>
      </c>
      <c r="X181">
        <v>-40.089500000000001</v>
      </c>
      <c r="Y181" t="s">
        <v>135</v>
      </c>
      <c r="Z181" t="s">
        <v>135</v>
      </c>
      <c r="AA181" t="s">
        <v>135</v>
      </c>
      <c r="AB181">
        <v>15.157500000000001</v>
      </c>
      <c r="AC181">
        <v>16.447900000000001</v>
      </c>
      <c r="AD181" t="s">
        <v>135</v>
      </c>
      <c r="AE181" t="s">
        <v>135</v>
      </c>
      <c r="AF181" t="s">
        <v>135</v>
      </c>
      <c r="AG181" t="s">
        <v>135</v>
      </c>
      <c r="AH181">
        <v>29.6127</v>
      </c>
      <c r="AI181">
        <v>12.516</v>
      </c>
      <c r="AJ181">
        <v>22.528600000000001</v>
      </c>
      <c r="AK181">
        <v>10.2667</v>
      </c>
      <c r="AL181" t="s">
        <v>135</v>
      </c>
      <c r="AM181">
        <v>14.104200000000001</v>
      </c>
      <c r="AN181" t="s">
        <v>135</v>
      </c>
      <c r="AO181">
        <v>-5.1967999999999996</v>
      </c>
      <c r="AP181">
        <v>-4.6814</v>
      </c>
      <c r="AQ181">
        <v>-6.1003999999999996</v>
      </c>
      <c r="AR181" t="s">
        <v>135</v>
      </c>
      <c r="AS181" t="s">
        <v>135</v>
      </c>
      <c r="AT181" t="s">
        <v>135</v>
      </c>
      <c r="AU181" t="s">
        <v>135</v>
      </c>
      <c r="AV181" t="s">
        <v>135</v>
      </c>
      <c r="AW181" t="s">
        <v>135</v>
      </c>
      <c r="AX181" t="s">
        <v>135</v>
      </c>
      <c r="AY181" t="s">
        <v>135</v>
      </c>
      <c r="AZ181" t="s">
        <v>135</v>
      </c>
      <c r="BA181" t="s">
        <v>135</v>
      </c>
      <c r="BB181" t="s">
        <v>135</v>
      </c>
      <c r="BC181" t="s">
        <v>135</v>
      </c>
      <c r="BD181" t="s">
        <v>135</v>
      </c>
      <c r="BE181" t="s">
        <v>135</v>
      </c>
      <c r="BF181">
        <v>10.3985</v>
      </c>
      <c r="BG181" t="s">
        <v>135</v>
      </c>
      <c r="BH181">
        <v>9.9908999999999999</v>
      </c>
      <c r="BI181">
        <v>-7.6201999999999996</v>
      </c>
      <c r="BJ181">
        <v>-7.6135000000000002</v>
      </c>
      <c r="BK181" t="s">
        <v>135</v>
      </c>
      <c r="BL181" t="s">
        <v>135</v>
      </c>
      <c r="BM181" t="s">
        <v>135</v>
      </c>
      <c r="BN181">
        <v>3.6353</v>
      </c>
      <c r="BO181">
        <v>3.1547999999999998</v>
      </c>
      <c r="BP181" t="s">
        <v>135</v>
      </c>
      <c r="BQ181" t="s">
        <v>135</v>
      </c>
      <c r="BR181" t="s">
        <v>135</v>
      </c>
      <c r="BS181" t="s">
        <v>135</v>
      </c>
      <c r="BT181">
        <v>1.8475000000000001</v>
      </c>
      <c r="BU181">
        <v>0.63919999999999999</v>
      </c>
      <c r="BV181">
        <v>1.3844000000000001</v>
      </c>
      <c r="BW181">
        <v>0.60129999999999995</v>
      </c>
      <c r="BX181" t="s">
        <v>135</v>
      </c>
      <c r="BY181">
        <v>2314124.5</v>
      </c>
      <c r="BZ181" t="s">
        <v>135</v>
      </c>
      <c r="CA181">
        <v>2314124.5</v>
      </c>
      <c r="CB181" t="s">
        <v>135</v>
      </c>
      <c r="CC181" t="s">
        <v>135</v>
      </c>
      <c r="CD181">
        <v>11.815099999999999</v>
      </c>
      <c r="CE181">
        <v>4.8567</v>
      </c>
      <c r="CF181" t="s">
        <v>135</v>
      </c>
      <c r="CG181">
        <v>5.8886000000000003</v>
      </c>
      <c r="CH181">
        <v>162.8167</v>
      </c>
      <c r="CI181">
        <v>61.950699999999998</v>
      </c>
      <c r="CJ181">
        <v>9.9283000000000001</v>
      </c>
      <c r="CK181">
        <v>162.8167</v>
      </c>
      <c r="CL181">
        <v>61.950699999999998</v>
      </c>
      <c r="CM181">
        <v>9.9283000000000001</v>
      </c>
      <c r="CN181">
        <v>66.927599999999998</v>
      </c>
      <c r="CO181">
        <v>40.093800000000002</v>
      </c>
      <c r="CP181" t="s">
        <v>135</v>
      </c>
      <c r="CQ181" t="s">
        <v>135</v>
      </c>
      <c r="CR181">
        <v>46358.400000000001</v>
      </c>
      <c r="CS181" t="s">
        <v>135</v>
      </c>
      <c r="CT181" t="s">
        <v>135</v>
      </c>
      <c r="CU181" t="s">
        <v>135</v>
      </c>
      <c r="CV181" t="s">
        <v>135</v>
      </c>
      <c r="CW181" t="s">
        <v>135</v>
      </c>
      <c r="CX181" t="s">
        <v>135</v>
      </c>
      <c r="CY181" t="s">
        <v>135</v>
      </c>
      <c r="CZ181" t="s">
        <v>135</v>
      </c>
      <c r="DA181" t="s">
        <v>135</v>
      </c>
      <c r="DB181" t="s">
        <v>135</v>
      </c>
      <c r="DC181" t="s">
        <v>135</v>
      </c>
      <c r="DD181" t="s">
        <v>135</v>
      </c>
      <c r="DE181" t="s">
        <v>135</v>
      </c>
      <c r="DF181" t="s">
        <v>135</v>
      </c>
      <c r="DG181" t="s">
        <v>135</v>
      </c>
      <c r="DH181" t="s">
        <v>135</v>
      </c>
      <c r="DI181" t="s">
        <v>135</v>
      </c>
    </row>
    <row r="182" spans="1:113" x14ac:dyDescent="0.3">
      <c r="E182" t="s">
        <v>81</v>
      </c>
      <c r="F182">
        <v>10.406499999999999</v>
      </c>
      <c r="G182">
        <v>0.62590000000000001</v>
      </c>
      <c r="H182">
        <v>3.5377999999999998</v>
      </c>
      <c r="I182">
        <v>7.4057000000000004</v>
      </c>
      <c r="J182" t="s">
        <v>135</v>
      </c>
      <c r="K182">
        <v>20.133700000000001</v>
      </c>
      <c r="L182">
        <v>29.2485</v>
      </c>
      <c r="M182">
        <v>9.9213000000000005</v>
      </c>
      <c r="N182">
        <v>13.3529</v>
      </c>
      <c r="O182">
        <v>12.833</v>
      </c>
      <c r="P182">
        <v>12.833</v>
      </c>
      <c r="Q182">
        <v>35.323599999999999</v>
      </c>
      <c r="R182" t="s">
        <v>135</v>
      </c>
      <c r="S182" t="s">
        <v>135</v>
      </c>
      <c r="T182">
        <v>18.4513</v>
      </c>
      <c r="U182" t="s">
        <v>135</v>
      </c>
      <c r="V182">
        <v>38.83</v>
      </c>
      <c r="W182">
        <v>3.8254000000000001</v>
      </c>
      <c r="X182">
        <v>-3.9215999999999998</v>
      </c>
      <c r="Y182" t="s">
        <v>135</v>
      </c>
      <c r="Z182" t="s">
        <v>135</v>
      </c>
      <c r="AA182" t="s">
        <v>135</v>
      </c>
      <c r="AB182">
        <v>12.698700000000001</v>
      </c>
      <c r="AC182">
        <v>12.323499999999999</v>
      </c>
      <c r="AD182" t="s">
        <v>135</v>
      </c>
      <c r="AE182" t="s">
        <v>135</v>
      </c>
      <c r="AF182" t="s">
        <v>135</v>
      </c>
      <c r="AG182">
        <v>6.6875</v>
      </c>
      <c r="AH182">
        <v>9.1008999999999993</v>
      </c>
      <c r="AI182">
        <v>17.784300000000002</v>
      </c>
      <c r="AJ182">
        <v>11.943300000000001</v>
      </c>
      <c r="AK182">
        <v>7.9919000000000002</v>
      </c>
      <c r="AL182" t="s">
        <v>135</v>
      </c>
      <c r="AM182">
        <v>8.8500999999999994</v>
      </c>
      <c r="AN182" t="s">
        <v>135</v>
      </c>
      <c r="AO182">
        <v>-0.68320000000000003</v>
      </c>
      <c r="AP182">
        <v>-2.3214000000000001</v>
      </c>
      <c r="AQ182">
        <v>-4.9312000000000005</v>
      </c>
      <c r="AR182" t="s">
        <v>135</v>
      </c>
      <c r="AS182" t="s">
        <v>135</v>
      </c>
      <c r="AT182" t="s">
        <v>135</v>
      </c>
      <c r="AU182">
        <v>15.116899999999999</v>
      </c>
      <c r="AV182">
        <v>12.923999999999999</v>
      </c>
      <c r="AW182" t="s">
        <v>135</v>
      </c>
      <c r="AX182" t="s">
        <v>135</v>
      </c>
      <c r="AY182" t="s">
        <v>135</v>
      </c>
      <c r="AZ182">
        <v>6.0404999999999998</v>
      </c>
      <c r="BA182">
        <v>20.543500000000002</v>
      </c>
      <c r="BB182">
        <v>15.3344</v>
      </c>
      <c r="BC182">
        <v>18.5898</v>
      </c>
      <c r="BD182">
        <v>11.6046</v>
      </c>
      <c r="BE182" t="s">
        <v>135</v>
      </c>
      <c r="BF182">
        <v>6.875</v>
      </c>
      <c r="BG182" t="s">
        <v>135</v>
      </c>
      <c r="BH182">
        <v>34.1464</v>
      </c>
      <c r="BI182">
        <v>39.639200000000002</v>
      </c>
      <c r="BJ182">
        <v>31.375499999999999</v>
      </c>
      <c r="BK182" t="s">
        <v>135</v>
      </c>
      <c r="BL182" t="s">
        <v>135</v>
      </c>
      <c r="BM182" t="s">
        <v>135</v>
      </c>
      <c r="BN182">
        <v>1.2432000000000001</v>
      </c>
      <c r="BO182">
        <v>2.7948</v>
      </c>
      <c r="BP182" t="s">
        <v>135</v>
      </c>
      <c r="BQ182" t="s">
        <v>135</v>
      </c>
      <c r="BR182" t="s">
        <v>135</v>
      </c>
      <c r="BS182" t="s">
        <v>135</v>
      </c>
      <c r="BT182">
        <v>25.2544</v>
      </c>
      <c r="BU182">
        <v>7.1406000000000001</v>
      </c>
      <c r="BV182">
        <v>18.362200000000001</v>
      </c>
      <c r="BW182">
        <v>-1.6245000000000001</v>
      </c>
      <c r="BX182" t="s">
        <v>135</v>
      </c>
      <c r="BY182">
        <v>2898543.2629999998</v>
      </c>
      <c r="BZ182">
        <v>660988.06799999997</v>
      </c>
      <c r="CA182">
        <v>2237555.1949999998</v>
      </c>
      <c r="CB182" t="s">
        <v>135</v>
      </c>
      <c r="CC182" t="s">
        <v>135</v>
      </c>
      <c r="CD182">
        <v>13.591900000000001</v>
      </c>
      <c r="CE182">
        <v>5.7533000000000003</v>
      </c>
      <c r="CF182" t="s">
        <v>135</v>
      </c>
      <c r="CG182">
        <v>6.1506999999999996</v>
      </c>
      <c r="CH182">
        <v>146.93719999999999</v>
      </c>
      <c r="CI182">
        <v>50.6081</v>
      </c>
      <c r="CJ182">
        <v>9.3387999999999991</v>
      </c>
      <c r="CK182">
        <v>190.3434</v>
      </c>
      <c r="CL182">
        <v>65.558000000000007</v>
      </c>
      <c r="CM182">
        <v>12.0975</v>
      </c>
      <c r="CN182">
        <v>80.570800000000006</v>
      </c>
      <c r="CO182">
        <v>44.620100000000001</v>
      </c>
      <c r="CP182" t="s">
        <v>135</v>
      </c>
      <c r="CQ182" t="s">
        <v>135</v>
      </c>
      <c r="CR182">
        <v>62188.131999999998</v>
      </c>
      <c r="CS182" t="s">
        <v>135</v>
      </c>
      <c r="CT182" t="s">
        <v>135</v>
      </c>
      <c r="CU182" t="s">
        <v>135</v>
      </c>
      <c r="CV182" t="s">
        <v>135</v>
      </c>
      <c r="CW182" t="s">
        <v>135</v>
      </c>
      <c r="CX182" t="s">
        <v>135</v>
      </c>
      <c r="CY182" t="s">
        <v>135</v>
      </c>
      <c r="CZ182" t="s">
        <v>135</v>
      </c>
      <c r="DA182" t="s">
        <v>135</v>
      </c>
      <c r="DB182" t="s">
        <v>135</v>
      </c>
      <c r="DC182" t="s">
        <v>135</v>
      </c>
      <c r="DD182" t="s">
        <v>135</v>
      </c>
      <c r="DE182" t="s">
        <v>135</v>
      </c>
      <c r="DF182" t="s">
        <v>135</v>
      </c>
      <c r="DG182" t="s">
        <v>135</v>
      </c>
      <c r="DH182" t="s">
        <v>135</v>
      </c>
      <c r="DI182" t="s">
        <v>135</v>
      </c>
    </row>
    <row r="183" spans="1:113" x14ac:dyDescent="0.3">
      <c r="D183" t="s">
        <v>82</v>
      </c>
      <c r="E183" t="s">
        <v>77</v>
      </c>
      <c r="F183">
        <v>11.0082</v>
      </c>
      <c r="G183">
        <v>0.66700000000000004</v>
      </c>
      <c r="H183">
        <v>4.0591999999999997</v>
      </c>
      <c r="I183">
        <v>9.1236999999999995</v>
      </c>
      <c r="J183" t="s">
        <v>135</v>
      </c>
      <c r="K183">
        <v>20.7211</v>
      </c>
      <c r="L183">
        <v>22.437899999999999</v>
      </c>
      <c r="M183">
        <v>10.1449</v>
      </c>
      <c r="N183">
        <v>14.2913</v>
      </c>
      <c r="O183">
        <v>13.620100000000001</v>
      </c>
      <c r="P183">
        <v>13.620100000000001</v>
      </c>
      <c r="Q183">
        <v>31.859100000000002</v>
      </c>
      <c r="R183">
        <v>15.582699999999999</v>
      </c>
      <c r="S183">
        <v>9.2927999999999997</v>
      </c>
      <c r="T183">
        <v>14.1038</v>
      </c>
      <c r="U183" t="s">
        <v>135</v>
      </c>
      <c r="V183">
        <v>21.237500000000001</v>
      </c>
      <c r="W183">
        <v>19.8996</v>
      </c>
      <c r="X183">
        <v>11.5686</v>
      </c>
      <c r="Y183">
        <v>16.666699999999999</v>
      </c>
      <c r="Z183" t="s">
        <v>135</v>
      </c>
      <c r="AA183" t="s">
        <v>135</v>
      </c>
      <c r="AB183">
        <v>17.230599999999999</v>
      </c>
      <c r="AC183">
        <v>12.693300000000001</v>
      </c>
      <c r="AD183" t="s">
        <v>135</v>
      </c>
      <c r="AE183" t="s">
        <v>135</v>
      </c>
      <c r="AF183" t="s">
        <v>135</v>
      </c>
      <c r="AG183">
        <v>-62.322200000000002</v>
      </c>
      <c r="AH183">
        <v>-6.9988000000000001</v>
      </c>
      <c r="AI183">
        <v>9.5908999999999995</v>
      </c>
      <c r="AJ183">
        <v>-1.2849999999999999</v>
      </c>
      <c r="AK183">
        <v>9.5114000000000001</v>
      </c>
      <c r="AL183">
        <v>-825.88670000000002</v>
      </c>
      <c r="AM183">
        <v>13.827199999999999</v>
      </c>
      <c r="AN183" t="s">
        <v>135</v>
      </c>
      <c r="AO183">
        <v>6.9610000000000003</v>
      </c>
      <c r="AP183">
        <v>7.6893000000000002</v>
      </c>
      <c r="AQ183">
        <v>4.2521000000000004</v>
      </c>
      <c r="AR183">
        <v>3.1310000000000002</v>
      </c>
      <c r="AS183" t="s">
        <v>135</v>
      </c>
      <c r="AT183" t="s">
        <v>135</v>
      </c>
      <c r="AU183">
        <v>15.5335</v>
      </c>
      <c r="AV183">
        <v>13.2385</v>
      </c>
      <c r="AW183" t="s">
        <v>135</v>
      </c>
      <c r="AX183" t="s">
        <v>135</v>
      </c>
      <c r="AY183" t="s">
        <v>135</v>
      </c>
      <c r="AZ183">
        <v>-14.8278</v>
      </c>
      <c r="BA183">
        <v>8.6991999999999994</v>
      </c>
      <c r="BB183">
        <v>14.2403</v>
      </c>
      <c r="BC183">
        <v>10.6274</v>
      </c>
      <c r="BD183">
        <v>10.545400000000001</v>
      </c>
      <c r="BE183" t="s">
        <v>135</v>
      </c>
      <c r="BF183">
        <v>14.1038</v>
      </c>
      <c r="BG183" t="s">
        <v>135</v>
      </c>
      <c r="BH183">
        <v>21.237500000000001</v>
      </c>
      <c r="BI183">
        <v>19.8996</v>
      </c>
      <c r="BJ183">
        <v>11.5686</v>
      </c>
      <c r="BK183">
        <v>16.666699999999999</v>
      </c>
      <c r="BL183" t="s">
        <v>135</v>
      </c>
      <c r="BM183" t="s">
        <v>135</v>
      </c>
      <c r="BN183">
        <v>17.230599999999999</v>
      </c>
      <c r="BO183">
        <v>12.693300000000001</v>
      </c>
      <c r="BP183" t="s">
        <v>135</v>
      </c>
      <c r="BQ183" t="s">
        <v>135</v>
      </c>
      <c r="BR183" t="s">
        <v>135</v>
      </c>
      <c r="BS183">
        <v>-62.322200000000002</v>
      </c>
      <c r="BT183">
        <v>-6.9988000000000001</v>
      </c>
      <c r="BU183">
        <v>9.5908999999999995</v>
      </c>
      <c r="BV183">
        <v>-1.2849999999999999</v>
      </c>
      <c r="BW183">
        <v>9.5114000000000001</v>
      </c>
      <c r="BX183" t="s">
        <v>135</v>
      </c>
      <c r="BY183">
        <v>2695680.7560000001</v>
      </c>
      <c r="BZ183">
        <v>249046.08499999999</v>
      </c>
      <c r="CA183">
        <v>2446634.6710000001</v>
      </c>
      <c r="CB183" t="s">
        <v>135</v>
      </c>
      <c r="CC183" t="s">
        <v>135</v>
      </c>
      <c r="CD183">
        <v>10.426299999999999</v>
      </c>
      <c r="CE183">
        <v>2.3586</v>
      </c>
      <c r="CF183" t="s">
        <v>135</v>
      </c>
      <c r="CG183">
        <v>5.9771000000000001</v>
      </c>
      <c r="CH183">
        <v>146.6063</v>
      </c>
      <c r="CI183">
        <v>56.057299999999998</v>
      </c>
      <c r="CJ183">
        <v>9.0611999999999995</v>
      </c>
      <c r="CK183">
        <v>161.52959999999999</v>
      </c>
      <c r="CL183">
        <v>61.763399999999997</v>
      </c>
      <c r="CM183">
        <v>9.9835999999999991</v>
      </c>
      <c r="CN183">
        <v>36.5411</v>
      </c>
      <c r="CO183">
        <v>26.762</v>
      </c>
      <c r="CP183" t="s">
        <v>135</v>
      </c>
      <c r="CQ183" t="s">
        <v>135</v>
      </c>
      <c r="CR183">
        <v>258545.65</v>
      </c>
      <c r="CS183" t="s">
        <v>135</v>
      </c>
      <c r="CT183" t="s">
        <v>135</v>
      </c>
      <c r="CU183" t="s">
        <v>135</v>
      </c>
      <c r="CV183" t="s">
        <v>135</v>
      </c>
      <c r="CW183" t="s">
        <v>135</v>
      </c>
      <c r="CX183" t="s">
        <v>135</v>
      </c>
      <c r="CY183" t="s">
        <v>135</v>
      </c>
      <c r="CZ183" t="s">
        <v>135</v>
      </c>
      <c r="DA183" t="s">
        <v>135</v>
      </c>
      <c r="DB183" t="s">
        <v>135</v>
      </c>
      <c r="DC183" t="s">
        <v>135</v>
      </c>
      <c r="DD183" t="s">
        <v>135</v>
      </c>
      <c r="DE183" t="s">
        <v>135</v>
      </c>
      <c r="DF183" t="s">
        <v>135</v>
      </c>
      <c r="DG183" t="s">
        <v>135</v>
      </c>
      <c r="DH183" t="s">
        <v>135</v>
      </c>
      <c r="DI183" t="s">
        <v>135</v>
      </c>
    </row>
    <row r="184" spans="1:113" x14ac:dyDescent="0.3">
      <c r="E184" t="s">
        <v>78</v>
      </c>
      <c r="F184">
        <v>10.095499999999999</v>
      </c>
      <c r="G184">
        <v>0.62239999999999995</v>
      </c>
      <c r="H184">
        <v>4.1124999999999998</v>
      </c>
      <c r="I184">
        <v>9.4703999999999997</v>
      </c>
      <c r="J184" t="s">
        <v>135</v>
      </c>
      <c r="K184">
        <v>24.439499999999999</v>
      </c>
      <c r="L184">
        <v>16.577100000000002</v>
      </c>
      <c r="M184">
        <v>11.5306</v>
      </c>
      <c r="N184">
        <v>16.285699999999999</v>
      </c>
      <c r="O184">
        <v>15.5524</v>
      </c>
      <c r="P184">
        <v>15.5524</v>
      </c>
      <c r="Q184">
        <v>34.3673</v>
      </c>
      <c r="R184" t="s">
        <v>135</v>
      </c>
      <c r="S184" t="s">
        <v>135</v>
      </c>
      <c r="T184">
        <v>15.4634</v>
      </c>
      <c r="U184" t="s">
        <v>135</v>
      </c>
      <c r="V184">
        <v>11.729900000000001</v>
      </c>
      <c r="W184">
        <v>3.48</v>
      </c>
      <c r="X184">
        <v>-5.1878000000000002</v>
      </c>
      <c r="Y184" t="s">
        <v>135</v>
      </c>
      <c r="Z184" t="s">
        <v>135</v>
      </c>
      <c r="AA184" t="s">
        <v>135</v>
      </c>
      <c r="AB184">
        <v>11.3017</v>
      </c>
      <c r="AC184">
        <v>11.182600000000001</v>
      </c>
      <c r="AD184" t="s">
        <v>135</v>
      </c>
      <c r="AE184" t="s">
        <v>135</v>
      </c>
      <c r="AF184" t="s">
        <v>135</v>
      </c>
      <c r="AG184" t="s">
        <v>135</v>
      </c>
      <c r="AH184">
        <v>7.8437999999999999</v>
      </c>
      <c r="AI184">
        <v>15.3484</v>
      </c>
      <c r="AJ184">
        <v>10.802099999999999</v>
      </c>
      <c r="AK184">
        <v>5.875</v>
      </c>
      <c r="AL184" t="s">
        <v>135</v>
      </c>
      <c r="AM184">
        <v>12.842600000000001</v>
      </c>
      <c r="AN184" t="s">
        <v>135</v>
      </c>
      <c r="AO184">
        <v>9.2070000000000007</v>
      </c>
      <c r="AP184">
        <v>10.0273</v>
      </c>
      <c r="AQ184">
        <v>6.5178000000000003</v>
      </c>
      <c r="AR184" t="s">
        <v>135</v>
      </c>
      <c r="AS184" t="s">
        <v>135</v>
      </c>
      <c r="AT184" t="s">
        <v>135</v>
      </c>
      <c r="AU184" t="s">
        <v>135</v>
      </c>
      <c r="AV184" t="s">
        <v>135</v>
      </c>
      <c r="AW184" t="s">
        <v>135</v>
      </c>
      <c r="AX184" t="s">
        <v>135</v>
      </c>
      <c r="AY184" t="s">
        <v>135</v>
      </c>
      <c r="AZ184" t="s">
        <v>135</v>
      </c>
      <c r="BA184" t="s">
        <v>135</v>
      </c>
      <c r="BB184" t="s">
        <v>135</v>
      </c>
      <c r="BC184" t="s">
        <v>135</v>
      </c>
      <c r="BD184" t="s">
        <v>135</v>
      </c>
      <c r="BE184" t="s">
        <v>135</v>
      </c>
      <c r="BF184">
        <v>-3.2873000000000001</v>
      </c>
      <c r="BG184" t="s">
        <v>135</v>
      </c>
      <c r="BH184">
        <v>12.400499999999999</v>
      </c>
      <c r="BI184">
        <v>12.2186</v>
      </c>
      <c r="BJ184">
        <v>9.2792999999999992</v>
      </c>
      <c r="BK184" t="s">
        <v>135</v>
      </c>
      <c r="BL184" t="s">
        <v>135</v>
      </c>
      <c r="BM184" t="s">
        <v>135</v>
      </c>
      <c r="BN184">
        <v>2.4733999999999998</v>
      </c>
      <c r="BO184">
        <v>1.1371</v>
      </c>
      <c r="BP184" t="s">
        <v>135</v>
      </c>
      <c r="BQ184" t="s">
        <v>135</v>
      </c>
      <c r="BR184" t="s">
        <v>135</v>
      </c>
      <c r="BS184" t="s">
        <v>135</v>
      </c>
      <c r="BT184">
        <v>-22.107500000000002</v>
      </c>
      <c r="BU184">
        <v>3.1901000000000002</v>
      </c>
      <c r="BV184">
        <v>-13.394500000000001</v>
      </c>
      <c r="BW184">
        <v>3.2214</v>
      </c>
      <c r="BX184" t="s">
        <v>135</v>
      </c>
      <c r="BY184">
        <v>2257746.4</v>
      </c>
      <c r="BZ184" t="s">
        <v>135</v>
      </c>
      <c r="CA184">
        <v>2257746.4</v>
      </c>
      <c r="CB184" t="s">
        <v>135</v>
      </c>
      <c r="CC184" t="s">
        <v>135</v>
      </c>
      <c r="CD184">
        <v>10.2349</v>
      </c>
      <c r="CE184">
        <v>3.4192999999999998</v>
      </c>
      <c r="CF184" t="s">
        <v>135</v>
      </c>
      <c r="CG184">
        <v>6.2774999999999999</v>
      </c>
      <c r="CH184">
        <v>143.67959999999999</v>
      </c>
      <c r="CI184">
        <v>58.962499999999999</v>
      </c>
      <c r="CJ184">
        <v>9.3170999999999999</v>
      </c>
      <c r="CK184">
        <v>143.67959999999999</v>
      </c>
      <c r="CL184">
        <v>58.962499999999999</v>
      </c>
      <c r="CM184">
        <v>9.3170999999999999</v>
      </c>
      <c r="CN184">
        <v>48.0015</v>
      </c>
      <c r="CO184">
        <v>32.433100000000003</v>
      </c>
      <c r="CP184" t="s">
        <v>135</v>
      </c>
      <c r="CQ184" t="s">
        <v>135</v>
      </c>
      <c r="CR184">
        <v>69899.8</v>
      </c>
      <c r="CS184" t="s">
        <v>135</v>
      </c>
      <c r="CT184" t="s">
        <v>135</v>
      </c>
      <c r="CU184" t="s">
        <v>135</v>
      </c>
      <c r="CV184" t="s">
        <v>135</v>
      </c>
      <c r="CW184" t="s">
        <v>135</v>
      </c>
      <c r="CX184" t="s">
        <v>135</v>
      </c>
      <c r="CY184" t="s">
        <v>135</v>
      </c>
      <c r="CZ184" t="s">
        <v>135</v>
      </c>
      <c r="DA184" t="s">
        <v>135</v>
      </c>
      <c r="DB184" t="s">
        <v>135</v>
      </c>
      <c r="DC184" t="s">
        <v>135</v>
      </c>
      <c r="DD184" t="s">
        <v>135</v>
      </c>
      <c r="DE184" t="s">
        <v>135</v>
      </c>
      <c r="DF184" t="s">
        <v>135</v>
      </c>
      <c r="DG184" t="s">
        <v>135</v>
      </c>
      <c r="DH184" t="s">
        <v>135</v>
      </c>
      <c r="DI184" t="s">
        <v>135</v>
      </c>
    </row>
    <row r="185" spans="1:113" x14ac:dyDescent="0.3">
      <c r="E185" t="s">
        <v>79</v>
      </c>
      <c r="F185">
        <v>10.4283</v>
      </c>
      <c r="G185">
        <v>0.64349999999999996</v>
      </c>
      <c r="H185">
        <v>4.2092999999999998</v>
      </c>
      <c r="I185">
        <v>9.7097999999999995</v>
      </c>
      <c r="J185" t="s">
        <v>135</v>
      </c>
      <c r="K185">
        <v>19.631599999999999</v>
      </c>
      <c r="L185">
        <v>25.282599999999999</v>
      </c>
      <c r="M185">
        <v>9.0013000000000005</v>
      </c>
      <c r="N185">
        <v>14.827</v>
      </c>
      <c r="O185">
        <v>14.3635</v>
      </c>
      <c r="P185">
        <v>14.3635</v>
      </c>
      <c r="Q185">
        <v>25.018699999999999</v>
      </c>
      <c r="R185" t="s">
        <v>135</v>
      </c>
      <c r="S185" t="s">
        <v>135</v>
      </c>
      <c r="T185">
        <v>15.023099999999999</v>
      </c>
      <c r="U185" t="s">
        <v>135</v>
      </c>
      <c r="V185">
        <v>30.485800000000001</v>
      </c>
      <c r="W185">
        <v>30.951599999999999</v>
      </c>
      <c r="X185">
        <v>19.991099999999999</v>
      </c>
      <c r="Y185" t="s">
        <v>135</v>
      </c>
      <c r="Z185" t="s">
        <v>135</v>
      </c>
      <c r="AA185" t="s">
        <v>135</v>
      </c>
      <c r="AB185">
        <v>11.648899999999999</v>
      </c>
      <c r="AC185">
        <v>10.111499999999999</v>
      </c>
      <c r="AD185" t="s">
        <v>135</v>
      </c>
      <c r="AE185" t="s">
        <v>135</v>
      </c>
      <c r="AF185" t="s">
        <v>135</v>
      </c>
      <c r="AG185" t="s">
        <v>135</v>
      </c>
      <c r="AH185">
        <v>-0.91510000000000002</v>
      </c>
      <c r="AI185">
        <v>14.5465</v>
      </c>
      <c r="AJ185">
        <v>5.0114999999999998</v>
      </c>
      <c r="AK185">
        <v>5.1044</v>
      </c>
      <c r="AL185" t="s">
        <v>135</v>
      </c>
      <c r="AM185">
        <v>13.0411</v>
      </c>
      <c r="AN185" t="s">
        <v>135</v>
      </c>
      <c r="AO185">
        <v>2.4925999999999999</v>
      </c>
      <c r="AP185">
        <v>5.6914999999999996</v>
      </c>
      <c r="AQ185">
        <v>2.3201000000000001</v>
      </c>
      <c r="AR185" t="s">
        <v>135</v>
      </c>
      <c r="AS185" t="s">
        <v>135</v>
      </c>
      <c r="AT185" t="s">
        <v>135</v>
      </c>
      <c r="AU185" t="s">
        <v>135</v>
      </c>
      <c r="AV185" t="s">
        <v>135</v>
      </c>
      <c r="AW185" t="s">
        <v>135</v>
      </c>
      <c r="AX185" t="s">
        <v>135</v>
      </c>
      <c r="AY185" t="s">
        <v>135</v>
      </c>
      <c r="AZ185" t="s">
        <v>135</v>
      </c>
      <c r="BA185" t="s">
        <v>135</v>
      </c>
      <c r="BB185" t="s">
        <v>135</v>
      </c>
      <c r="BC185" t="s">
        <v>135</v>
      </c>
      <c r="BD185" t="s">
        <v>135</v>
      </c>
      <c r="BE185" t="s">
        <v>135</v>
      </c>
      <c r="BF185">
        <v>0.78810000000000002</v>
      </c>
      <c r="BG185" t="s">
        <v>135</v>
      </c>
      <c r="BH185">
        <v>-21.320900000000002</v>
      </c>
      <c r="BI185">
        <v>-9.5389999999999997</v>
      </c>
      <c r="BJ185">
        <v>-9.5334000000000003</v>
      </c>
      <c r="BK185" t="s">
        <v>135</v>
      </c>
      <c r="BL185" t="s">
        <v>135</v>
      </c>
      <c r="BM185" t="s">
        <v>135</v>
      </c>
      <c r="BN185">
        <v>3.8411</v>
      </c>
      <c r="BO185">
        <v>2.6741999999999999</v>
      </c>
      <c r="BP185" t="s">
        <v>135</v>
      </c>
      <c r="BQ185" t="s">
        <v>135</v>
      </c>
      <c r="BR185" t="s">
        <v>135</v>
      </c>
      <c r="BS185" t="s">
        <v>135</v>
      </c>
      <c r="BT185">
        <v>-0.28310000000000002</v>
      </c>
      <c r="BU185">
        <v>2.9491000000000001</v>
      </c>
      <c r="BV185">
        <v>1.0432999999999999</v>
      </c>
      <c r="BW185">
        <v>2.887</v>
      </c>
      <c r="BX185" t="s">
        <v>135</v>
      </c>
      <c r="BY185">
        <v>2251354.2000000002</v>
      </c>
      <c r="BZ185" t="s">
        <v>135</v>
      </c>
      <c r="CA185">
        <v>2251354.2000000002</v>
      </c>
      <c r="CB185" t="s">
        <v>135</v>
      </c>
      <c r="CC185" t="s">
        <v>135</v>
      </c>
      <c r="CD185">
        <v>9.6440999999999999</v>
      </c>
      <c r="CE185">
        <v>3.0564</v>
      </c>
      <c r="CF185" t="s">
        <v>135</v>
      </c>
      <c r="CG185">
        <v>6.2904999999999998</v>
      </c>
      <c r="CH185">
        <v>139.1686</v>
      </c>
      <c r="CI185">
        <v>58.188499999999998</v>
      </c>
      <c r="CJ185">
        <v>9.0487000000000002</v>
      </c>
      <c r="CK185">
        <v>139.1686</v>
      </c>
      <c r="CL185">
        <v>58.188499999999998</v>
      </c>
      <c r="CM185">
        <v>9.0487000000000002</v>
      </c>
      <c r="CN185">
        <v>44.105200000000004</v>
      </c>
      <c r="CO185">
        <v>30.606200000000001</v>
      </c>
      <c r="CP185" t="s">
        <v>135</v>
      </c>
      <c r="CQ185" t="s">
        <v>135</v>
      </c>
      <c r="CR185">
        <v>54996.5</v>
      </c>
      <c r="CS185" t="s">
        <v>135</v>
      </c>
      <c r="CT185" t="s">
        <v>135</v>
      </c>
      <c r="CU185" t="s">
        <v>135</v>
      </c>
      <c r="CV185" t="s">
        <v>135</v>
      </c>
      <c r="CW185" t="s">
        <v>135</v>
      </c>
      <c r="CX185" t="s">
        <v>135</v>
      </c>
      <c r="CY185" t="s">
        <v>135</v>
      </c>
      <c r="CZ185" t="s">
        <v>135</v>
      </c>
      <c r="DA185" t="s">
        <v>135</v>
      </c>
      <c r="DB185" t="s">
        <v>135</v>
      </c>
      <c r="DC185" t="s">
        <v>135</v>
      </c>
      <c r="DD185" t="s">
        <v>135</v>
      </c>
      <c r="DE185" t="s">
        <v>135</v>
      </c>
      <c r="DF185" t="s">
        <v>135</v>
      </c>
      <c r="DG185" t="s">
        <v>135</v>
      </c>
      <c r="DH185" t="s">
        <v>135</v>
      </c>
      <c r="DI185" t="s">
        <v>135</v>
      </c>
    </row>
    <row r="186" spans="1:113" x14ac:dyDescent="0.3">
      <c r="E186" t="s">
        <v>80</v>
      </c>
      <c r="F186">
        <v>10.9163</v>
      </c>
      <c r="G186">
        <v>0.66930000000000001</v>
      </c>
      <c r="H186">
        <v>4.4489000000000001</v>
      </c>
      <c r="I186">
        <v>10.246499999999999</v>
      </c>
      <c r="J186" t="s">
        <v>135</v>
      </c>
      <c r="K186">
        <v>17.910499999999999</v>
      </c>
      <c r="L186">
        <v>26.373200000000001</v>
      </c>
      <c r="M186">
        <v>8.5480999999999998</v>
      </c>
      <c r="N186">
        <v>12.852499999999999</v>
      </c>
      <c r="O186">
        <v>12.4156</v>
      </c>
      <c r="P186">
        <v>12.4156</v>
      </c>
      <c r="Q186">
        <v>29.5047</v>
      </c>
      <c r="R186" t="s">
        <v>135</v>
      </c>
      <c r="S186" t="s">
        <v>135</v>
      </c>
      <c r="T186">
        <v>10.1541</v>
      </c>
      <c r="U186" t="s">
        <v>135</v>
      </c>
      <c r="V186">
        <v>19.125599999999999</v>
      </c>
      <c r="W186">
        <v>34.8613</v>
      </c>
      <c r="X186">
        <v>23.6145</v>
      </c>
      <c r="Y186" t="s">
        <v>135</v>
      </c>
      <c r="Z186" t="s">
        <v>135</v>
      </c>
      <c r="AA186" t="s">
        <v>135</v>
      </c>
      <c r="AB186">
        <v>11.4834</v>
      </c>
      <c r="AC186">
        <v>8.4984999999999999</v>
      </c>
      <c r="AD186" t="s">
        <v>135</v>
      </c>
      <c r="AE186" t="s">
        <v>135</v>
      </c>
      <c r="AF186" t="s">
        <v>135</v>
      </c>
      <c r="AG186" t="s">
        <v>135</v>
      </c>
      <c r="AH186">
        <v>-4.9048999999999996</v>
      </c>
      <c r="AI186">
        <v>16.8538</v>
      </c>
      <c r="AJ186">
        <v>3.3740999999999999</v>
      </c>
      <c r="AK186">
        <v>7.2888000000000002</v>
      </c>
      <c r="AL186" t="s">
        <v>135</v>
      </c>
      <c r="AM186">
        <v>14.920299999999999</v>
      </c>
      <c r="AN186" t="s">
        <v>135</v>
      </c>
      <c r="AO186">
        <v>1.8532</v>
      </c>
      <c r="AP186">
        <v>2.9853000000000001</v>
      </c>
      <c r="AQ186">
        <v>-0.28989999999999999</v>
      </c>
      <c r="AR186" t="s">
        <v>135</v>
      </c>
      <c r="AS186" t="s">
        <v>135</v>
      </c>
      <c r="AT186" t="s">
        <v>135</v>
      </c>
      <c r="AU186" t="s">
        <v>135</v>
      </c>
      <c r="AV186" t="s">
        <v>135</v>
      </c>
      <c r="AW186" t="s">
        <v>135</v>
      </c>
      <c r="AX186" t="s">
        <v>135</v>
      </c>
      <c r="AY186" t="s">
        <v>135</v>
      </c>
      <c r="AZ186" t="s">
        <v>135</v>
      </c>
      <c r="BA186" t="s">
        <v>135</v>
      </c>
      <c r="BB186" t="s">
        <v>135</v>
      </c>
      <c r="BC186" t="s">
        <v>135</v>
      </c>
      <c r="BD186" t="s">
        <v>135</v>
      </c>
      <c r="BE186" t="s">
        <v>135</v>
      </c>
      <c r="BF186">
        <v>5.7382</v>
      </c>
      <c r="BG186" t="s">
        <v>135</v>
      </c>
      <c r="BH186">
        <v>0.41489999999999999</v>
      </c>
      <c r="BI186">
        <v>-4.8620000000000001</v>
      </c>
      <c r="BJ186">
        <v>-4.8236999999999997</v>
      </c>
      <c r="BK186" t="s">
        <v>135</v>
      </c>
      <c r="BL186" t="s">
        <v>135</v>
      </c>
      <c r="BM186" t="s">
        <v>135</v>
      </c>
      <c r="BN186">
        <v>3.4817</v>
      </c>
      <c r="BO186">
        <v>1.6436999999999999</v>
      </c>
      <c r="BP186" t="s">
        <v>135</v>
      </c>
      <c r="BQ186" t="s">
        <v>135</v>
      </c>
      <c r="BR186" t="s">
        <v>135</v>
      </c>
      <c r="BS186" t="s">
        <v>135</v>
      </c>
      <c r="BT186">
        <v>-2.2536</v>
      </c>
      <c r="BU186">
        <v>2.6663000000000001</v>
      </c>
      <c r="BV186">
        <v>-0.19650000000000001</v>
      </c>
      <c r="BW186">
        <v>2.6920999999999999</v>
      </c>
      <c r="BX186" t="s">
        <v>135</v>
      </c>
      <c r="BY186">
        <v>2200618.7999999998</v>
      </c>
      <c r="BZ186" t="s">
        <v>135</v>
      </c>
      <c r="CA186">
        <v>2200618.7999999998</v>
      </c>
      <c r="CB186" t="s">
        <v>135</v>
      </c>
      <c r="CC186" t="s">
        <v>135</v>
      </c>
      <c r="CD186">
        <v>9.0818999999999992</v>
      </c>
      <c r="CE186">
        <v>2.6339000000000001</v>
      </c>
      <c r="CF186" t="s">
        <v>135</v>
      </c>
      <c r="CG186">
        <v>6.3554000000000004</v>
      </c>
      <c r="CH186">
        <v>132.49950000000001</v>
      </c>
      <c r="CI186">
        <v>56.989199999999997</v>
      </c>
      <c r="CJ186">
        <v>8.7018000000000004</v>
      </c>
      <c r="CK186">
        <v>132.49950000000001</v>
      </c>
      <c r="CL186">
        <v>56.989199999999997</v>
      </c>
      <c r="CM186">
        <v>8.7018000000000004</v>
      </c>
      <c r="CN186">
        <v>38.427700000000002</v>
      </c>
      <c r="CO186">
        <v>27.760100000000001</v>
      </c>
      <c r="CP186" t="s">
        <v>135</v>
      </c>
      <c r="CQ186" t="s">
        <v>135</v>
      </c>
      <c r="CR186">
        <v>55224.7</v>
      </c>
      <c r="CS186" t="s">
        <v>135</v>
      </c>
      <c r="CT186" t="s">
        <v>135</v>
      </c>
      <c r="CU186" t="s">
        <v>135</v>
      </c>
      <c r="CV186" t="s">
        <v>135</v>
      </c>
      <c r="CW186" t="s">
        <v>135</v>
      </c>
      <c r="CX186" t="s">
        <v>135</v>
      </c>
      <c r="CY186" t="s">
        <v>135</v>
      </c>
      <c r="CZ186" t="s">
        <v>135</v>
      </c>
      <c r="DA186" t="s">
        <v>135</v>
      </c>
      <c r="DB186" t="s">
        <v>135</v>
      </c>
      <c r="DC186" t="s">
        <v>135</v>
      </c>
      <c r="DD186" t="s">
        <v>135</v>
      </c>
      <c r="DE186" t="s">
        <v>135</v>
      </c>
      <c r="DF186" t="s">
        <v>135</v>
      </c>
      <c r="DG186" t="s">
        <v>135</v>
      </c>
      <c r="DH186" t="s">
        <v>135</v>
      </c>
      <c r="DI186" t="s">
        <v>135</v>
      </c>
    </row>
    <row r="187" spans="1:113" x14ac:dyDescent="0.3">
      <c r="E187" t="s">
        <v>81</v>
      </c>
      <c r="F187">
        <v>11.0082</v>
      </c>
      <c r="G187">
        <v>0.66700000000000004</v>
      </c>
      <c r="H187">
        <v>4.0591999999999997</v>
      </c>
      <c r="I187">
        <v>8.5234000000000005</v>
      </c>
      <c r="J187" t="s">
        <v>135</v>
      </c>
      <c r="K187">
        <v>21.391400000000001</v>
      </c>
      <c r="L187">
        <v>28.119900000000001</v>
      </c>
      <c r="M187">
        <v>11.0511</v>
      </c>
      <c r="N187">
        <v>13.794599999999999</v>
      </c>
      <c r="O187">
        <v>12.803900000000001</v>
      </c>
      <c r="P187">
        <v>12.803900000000001</v>
      </c>
      <c r="Q187">
        <v>37.355600000000003</v>
      </c>
      <c r="R187" t="s">
        <v>135</v>
      </c>
      <c r="S187" t="s">
        <v>135</v>
      </c>
      <c r="T187">
        <v>13.2157</v>
      </c>
      <c r="U187" t="s">
        <v>135</v>
      </c>
      <c r="V187">
        <v>26.108699999999999</v>
      </c>
      <c r="W187">
        <v>18.4237</v>
      </c>
      <c r="X187">
        <v>15.313700000000001</v>
      </c>
      <c r="Y187" t="s">
        <v>135</v>
      </c>
      <c r="Z187" t="s">
        <v>135</v>
      </c>
      <c r="AA187" t="s">
        <v>135</v>
      </c>
      <c r="AB187">
        <v>17.230599999999999</v>
      </c>
      <c r="AC187">
        <v>12.693300000000001</v>
      </c>
      <c r="AD187" t="s">
        <v>135</v>
      </c>
      <c r="AE187" t="s">
        <v>135</v>
      </c>
      <c r="AF187" t="s">
        <v>135</v>
      </c>
      <c r="AG187">
        <v>-62.322200000000002</v>
      </c>
      <c r="AH187">
        <v>-6.9988000000000001</v>
      </c>
      <c r="AI187">
        <v>9.5908999999999995</v>
      </c>
      <c r="AJ187">
        <v>-1.2849999999999999</v>
      </c>
      <c r="AK187">
        <v>9.5114000000000001</v>
      </c>
      <c r="AL187" t="s">
        <v>135</v>
      </c>
      <c r="AM187">
        <v>8.9362999999999992</v>
      </c>
      <c r="AN187" t="s">
        <v>135</v>
      </c>
      <c r="AO187">
        <v>7.9763999999999999</v>
      </c>
      <c r="AP187">
        <v>6.3815</v>
      </c>
      <c r="AQ187">
        <v>2.9889999999999999</v>
      </c>
      <c r="AR187" t="s">
        <v>135</v>
      </c>
      <c r="AS187" t="s">
        <v>135</v>
      </c>
      <c r="AT187" t="s">
        <v>135</v>
      </c>
      <c r="AU187">
        <v>15.5335</v>
      </c>
      <c r="AV187">
        <v>13.2385</v>
      </c>
      <c r="AW187" t="s">
        <v>135</v>
      </c>
      <c r="AX187" t="s">
        <v>135</v>
      </c>
      <c r="AY187" t="s">
        <v>135</v>
      </c>
      <c r="AZ187">
        <v>-14.8278</v>
      </c>
      <c r="BA187">
        <v>8.6991999999999994</v>
      </c>
      <c r="BB187">
        <v>14.2403</v>
      </c>
      <c r="BC187">
        <v>10.6274</v>
      </c>
      <c r="BD187">
        <v>10.545400000000001</v>
      </c>
      <c r="BE187" t="s">
        <v>135</v>
      </c>
      <c r="BF187">
        <v>9.8454999999999995</v>
      </c>
      <c r="BG187" t="s">
        <v>135</v>
      </c>
      <c r="BH187">
        <v>42.010100000000001</v>
      </c>
      <c r="BI187">
        <v>22.619199999999999</v>
      </c>
      <c r="BJ187">
        <v>22.553599999999999</v>
      </c>
      <c r="BK187" t="s">
        <v>135</v>
      </c>
      <c r="BL187" t="s">
        <v>135</v>
      </c>
      <c r="BM187" t="s">
        <v>135</v>
      </c>
      <c r="BN187">
        <v>6.4626000000000001</v>
      </c>
      <c r="BO187">
        <v>6.7492000000000001</v>
      </c>
      <c r="BP187" t="s">
        <v>135</v>
      </c>
      <c r="BQ187" t="s">
        <v>135</v>
      </c>
      <c r="BR187" t="s">
        <v>135</v>
      </c>
      <c r="BS187" t="s">
        <v>135</v>
      </c>
      <c r="BT187">
        <v>22.496500000000001</v>
      </c>
      <c r="BU187">
        <v>0.48139999999999999</v>
      </c>
      <c r="BV187">
        <v>13.0276</v>
      </c>
      <c r="BW187">
        <v>0.41349999999999998</v>
      </c>
      <c r="BX187" t="s">
        <v>135</v>
      </c>
      <c r="BY187">
        <v>2695680.7560000001</v>
      </c>
      <c r="BZ187">
        <v>249046.08499999999</v>
      </c>
      <c r="CA187">
        <v>2446634.6710000001</v>
      </c>
      <c r="CB187" t="s">
        <v>135</v>
      </c>
      <c r="CC187" t="s">
        <v>135</v>
      </c>
      <c r="CD187">
        <v>10.426299999999999</v>
      </c>
      <c r="CE187">
        <v>2.3586</v>
      </c>
      <c r="CF187" t="s">
        <v>135</v>
      </c>
      <c r="CG187">
        <v>5.9771000000000001</v>
      </c>
      <c r="CH187">
        <v>146.6063</v>
      </c>
      <c r="CI187">
        <v>56.057299999999998</v>
      </c>
      <c r="CJ187">
        <v>9.0611999999999995</v>
      </c>
      <c r="CK187">
        <v>161.52959999999999</v>
      </c>
      <c r="CL187">
        <v>61.763399999999997</v>
      </c>
      <c r="CM187">
        <v>9.9835999999999991</v>
      </c>
      <c r="CN187">
        <v>36.5411</v>
      </c>
      <c r="CO187">
        <v>26.762</v>
      </c>
      <c r="CP187" t="s">
        <v>135</v>
      </c>
      <c r="CQ187" t="s">
        <v>135</v>
      </c>
      <c r="CR187">
        <v>78424.649999999994</v>
      </c>
      <c r="CS187" t="s">
        <v>135</v>
      </c>
      <c r="CT187" t="s">
        <v>135</v>
      </c>
      <c r="CU187" t="s">
        <v>135</v>
      </c>
      <c r="CV187" t="s">
        <v>135</v>
      </c>
      <c r="CW187" t="s">
        <v>135</v>
      </c>
      <c r="CX187" t="s">
        <v>135</v>
      </c>
      <c r="CY187" t="s">
        <v>135</v>
      </c>
      <c r="CZ187" t="s">
        <v>135</v>
      </c>
      <c r="DA187" t="s">
        <v>135</v>
      </c>
      <c r="DB187" t="s">
        <v>135</v>
      </c>
      <c r="DC187" t="s">
        <v>135</v>
      </c>
      <c r="DD187" t="s">
        <v>135</v>
      </c>
      <c r="DE187" t="s">
        <v>135</v>
      </c>
      <c r="DF187" t="s">
        <v>135</v>
      </c>
      <c r="DG187" t="s">
        <v>135</v>
      </c>
      <c r="DH187" t="s">
        <v>135</v>
      </c>
      <c r="DI187" t="s">
        <v>135</v>
      </c>
    </row>
    <row r="188" spans="1:113" x14ac:dyDescent="0.3">
      <c r="D188" t="s">
        <v>83</v>
      </c>
      <c r="E188" t="s">
        <v>77</v>
      </c>
      <c r="F188">
        <v>7.1493000000000002</v>
      </c>
      <c r="G188">
        <v>0.43109999999999998</v>
      </c>
      <c r="H188">
        <v>2.7707000000000002</v>
      </c>
      <c r="I188">
        <v>11.655200000000001</v>
      </c>
      <c r="J188" t="s">
        <v>135</v>
      </c>
      <c r="K188">
        <v>14.0358</v>
      </c>
      <c r="L188" t="s">
        <v>135</v>
      </c>
      <c r="M188">
        <v>6.6692</v>
      </c>
      <c r="N188">
        <v>10.0532</v>
      </c>
      <c r="O188">
        <v>9.4396000000000004</v>
      </c>
      <c r="P188">
        <v>9.4396000000000004</v>
      </c>
      <c r="Q188">
        <v>29.892499999999998</v>
      </c>
      <c r="R188">
        <v>16.510300000000001</v>
      </c>
      <c r="S188">
        <v>5.9688999999999997</v>
      </c>
      <c r="T188">
        <v>5.6589999999999998</v>
      </c>
      <c r="U188" t="s">
        <v>135</v>
      </c>
      <c r="V188">
        <v>-29.696000000000002</v>
      </c>
      <c r="W188">
        <v>-28.066500000000001</v>
      </c>
      <c r="X188">
        <v>-29.9209</v>
      </c>
      <c r="Y188">
        <v>-25.714300000000001</v>
      </c>
      <c r="Z188" t="s">
        <v>135</v>
      </c>
      <c r="AA188" t="s">
        <v>135</v>
      </c>
      <c r="AB188">
        <v>23.235499999999998</v>
      </c>
      <c r="AC188">
        <v>10.0288</v>
      </c>
      <c r="AD188" t="s">
        <v>135</v>
      </c>
      <c r="AE188" t="s">
        <v>135</v>
      </c>
      <c r="AF188" t="s">
        <v>135</v>
      </c>
      <c r="AG188">
        <v>-11.0106</v>
      </c>
      <c r="AH188">
        <v>3.0156999999999998</v>
      </c>
      <c r="AI188">
        <v>11.9694</v>
      </c>
      <c r="AJ188">
        <v>6.2957999999999998</v>
      </c>
      <c r="AK188">
        <v>7.6178999999999997</v>
      </c>
      <c r="AL188" t="s">
        <v>135</v>
      </c>
      <c r="AM188">
        <v>13.164099999999999</v>
      </c>
      <c r="AN188" t="s">
        <v>135</v>
      </c>
      <c r="AO188">
        <v>-1.5981000000000001</v>
      </c>
      <c r="AP188">
        <v>2.7288000000000001</v>
      </c>
      <c r="AQ188">
        <v>-1.0660000000000001</v>
      </c>
      <c r="AR188">
        <v>-2.8214000000000001</v>
      </c>
      <c r="AS188" t="s">
        <v>135</v>
      </c>
      <c r="AT188" t="s">
        <v>135</v>
      </c>
      <c r="AU188">
        <v>18.653300000000002</v>
      </c>
      <c r="AV188">
        <v>12.5101</v>
      </c>
      <c r="AW188" t="s">
        <v>135</v>
      </c>
      <c r="AX188" t="s">
        <v>135</v>
      </c>
      <c r="AY188" t="s">
        <v>135</v>
      </c>
      <c r="AZ188">
        <v>-5.4166999999999996</v>
      </c>
      <c r="BA188">
        <v>8.8948</v>
      </c>
      <c r="BB188">
        <v>16.667999999999999</v>
      </c>
      <c r="BC188">
        <v>11.526</v>
      </c>
      <c r="BD188">
        <v>12.0943</v>
      </c>
      <c r="BE188" t="s">
        <v>135</v>
      </c>
      <c r="BF188">
        <v>5.6589999999999998</v>
      </c>
      <c r="BG188" t="s">
        <v>135</v>
      </c>
      <c r="BH188">
        <v>-29.696000000000002</v>
      </c>
      <c r="BI188">
        <v>-28.066500000000001</v>
      </c>
      <c r="BJ188">
        <v>-29.9209</v>
      </c>
      <c r="BK188">
        <v>-25.714300000000001</v>
      </c>
      <c r="BL188" t="s">
        <v>135</v>
      </c>
      <c r="BM188" t="s">
        <v>135</v>
      </c>
      <c r="BN188">
        <v>23.235499999999998</v>
      </c>
      <c r="BO188">
        <v>10.0288</v>
      </c>
      <c r="BP188" t="s">
        <v>135</v>
      </c>
      <c r="BQ188" t="s">
        <v>135</v>
      </c>
      <c r="BR188" t="s">
        <v>135</v>
      </c>
      <c r="BS188">
        <v>-11.0106</v>
      </c>
      <c r="BT188">
        <v>3.0156999999999998</v>
      </c>
      <c r="BU188">
        <v>11.9694</v>
      </c>
      <c r="BV188">
        <v>6.2957999999999998</v>
      </c>
      <c r="BW188">
        <v>7.6178999999999997</v>
      </c>
      <c r="BX188" t="s">
        <v>135</v>
      </c>
      <c r="BY188">
        <v>2973732.8319999999</v>
      </c>
      <c r="BZ188">
        <v>391630.527</v>
      </c>
      <c r="CA188">
        <v>2582102.3050000002</v>
      </c>
      <c r="CB188" t="s">
        <v>135</v>
      </c>
      <c r="CC188" t="s">
        <v>135</v>
      </c>
      <c r="CD188">
        <v>16.360099999999999</v>
      </c>
      <c r="CE188">
        <v>5.1281999999999996</v>
      </c>
      <c r="CF188" t="s">
        <v>135</v>
      </c>
      <c r="CG188">
        <v>6.0787000000000004</v>
      </c>
      <c r="CH188">
        <v>138.184</v>
      </c>
      <c r="CI188">
        <v>53.323500000000003</v>
      </c>
      <c r="CJ188">
        <v>8.6913</v>
      </c>
      <c r="CK188">
        <v>159.14250000000001</v>
      </c>
      <c r="CL188">
        <v>61.411200000000001</v>
      </c>
      <c r="CM188">
        <v>10.009499999999999</v>
      </c>
      <c r="CN188">
        <v>49.884399999999999</v>
      </c>
      <c r="CO188">
        <v>33.2819</v>
      </c>
      <c r="CP188" t="s">
        <v>135</v>
      </c>
      <c r="CQ188" t="s">
        <v>135</v>
      </c>
      <c r="CR188">
        <v>181767.90700000001</v>
      </c>
      <c r="CS188" t="s">
        <v>135</v>
      </c>
      <c r="CT188" t="s">
        <v>135</v>
      </c>
      <c r="CU188" t="s">
        <v>135</v>
      </c>
      <c r="CV188" t="s">
        <v>135</v>
      </c>
      <c r="CW188" t="s">
        <v>135</v>
      </c>
      <c r="CX188" t="s">
        <v>135</v>
      </c>
      <c r="CY188" t="s">
        <v>135</v>
      </c>
      <c r="CZ188" t="s">
        <v>135</v>
      </c>
      <c r="DA188" t="s">
        <v>135</v>
      </c>
      <c r="DB188" t="s">
        <v>135</v>
      </c>
      <c r="DC188" t="s">
        <v>135</v>
      </c>
      <c r="DD188" t="s">
        <v>135</v>
      </c>
      <c r="DE188" t="s">
        <v>135</v>
      </c>
      <c r="DF188" t="s">
        <v>135</v>
      </c>
      <c r="DG188" t="s">
        <v>135</v>
      </c>
      <c r="DH188" t="s">
        <v>135</v>
      </c>
      <c r="DI188" t="s">
        <v>135</v>
      </c>
    </row>
    <row r="189" spans="1:113" x14ac:dyDescent="0.3">
      <c r="E189" t="s">
        <v>78</v>
      </c>
      <c r="F189">
        <v>10.716100000000001</v>
      </c>
      <c r="G189">
        <v>0.67210000000000003</v>
      </c>
      <c r="H189">
        <v>4.5160999999999998</v>
      </c>
      <c r="I189">
        <v>10.4252</v>
      </c>
      <c r="J189" t="s">
        <v>135</v>
      </c>
      <c r="K189">
        <v>25.176600000000001</v>
      </c>
      <c r="L189" t="s">
        <v>135</v>
      </c>
      <c r="M189">
        <v>11.184699999999999</v>
      </c>
      <c r="N189">
        <v>17.583400000000001</v>
      </c>
      <c r="O189">
        <v>16.860900000000001</v>
      </c>
      <c r="P189">
        <v>16.860900000000001</v>
      </c>
      <c r="Q189">
        <v>31.0398</v>
      </c>
      <c r="R189" t="s">
        <v>135</v>
      </c>
      <c r="S189" t="s">
        <v>135</v>
      </c>
      <c r="T189">
        <v>3.8048000000000002</v>
      </c>
      <c r="U189" t="s">
        <v>135</v>
      </c>
      <c r="V189">
        <v>0.69069999999999998</v>
      </c>
      <c r="W189">
        <v>5.9669999999999996</v>
      </c>
      <c r="X189">
        <v>4.5652999999999997</v>
      </c>
      <c r="Y189" t="s">
        <v>135</v>
      </c>
      <c r="Z189" t="s">
        <v>135</v>
      </c>
      <c r="AA189" t="s">
        <v>135</v>
      </c>
      <c r="AB189">
        <v>15.652699999999999</v>
      </c>
      <c r="AC189">
        <v>11.9422</v>
      </c>
      <c r="AD189" t="s">
        <v>135</v>
      </c>
      <c r="AE189" t="s">
        <v>135</v>
      </c>
      <c r="AF189" t="s">
        <v>135</v>
      </c>
      <c r="AG189" t="s">
        <v>135</v>
      </c>
      <c r="AH189">
        <v>7.3606999999999996</v>
      </c>
      <c r="AI189">
        <v>11.8788</v>
      </c>
      <c r="AJ189">
        <v>9.2148000000000003</v>
      </c>
      <c r="AK189">
        <v>10.277799999999999</v>
      </c>
      <c r="AL189" t="s">
        <v>135</v>
      </c>
      <c r="AM189">
        <v>13.912599999999999</v>
      </c>
      <c r="AN189" t="s">
        <v>135</v>
      </c>
      <c r="AO189">
        <v>4.5023</v>
      </c>
      <c r="AP189">
        <v>6.9710999999999999</v>
      </c>
      <c r="AQ189">
        <v>3.2823000000000002</v>
      </c>
      <c r="AR189" t="s">
        <v>135</v>
      </c>
      <c r="AS189" t="s">
        <v>135</v>
      </c>
      <c r="AT189" t="s">
        <v>135</v>
      </c>
      <c r="AU189" t="s">
        <v>135</v>
      </c>
      <c r="AV189" t="s">
        <v>135</v>
      </c>
      <c r="AW189" t="s">
        <v>135</v>
      </c>
      <c r="AX189" t="s">
        <v>135</v>
      </c>
      <c r="AY189" t="s">
        <v>135</v>
      </c>
      <c r="AZ189" t="s">
        <v>135</v>
      </c>
      <c r="BA189" t="s">
        <v>135</v>
      </c>
      <c r="BB189" t="s">
        <v>135</v>
      </c>
      <c r="BC189" t="s">
        <v>135</v>
      </c>
      <c r="BD189" t="s">
        <v>135</v>
      </c>
      <c r="BE189" t="s">
        <v>135</v>
      </c>
      <c r="BF189">
        <v>-11.3264</v>
      </c>
      <c r="BG189" t="s">
        <v>135</v>
      </c>
      <c r="BH189">
        <v>-10.2545</v>
      </c>
      <c r="BI189">
        <v>0.41460000000000002</v>
      </c>
      <c r="BJ189">
        <v>-0.90659999999999996</v>
      </c>
      <c r="BK189" t="s">
        <v>135</v>
      </c>
      <c r="BL189" t="s">
        <v>135</v>
      </c>
      <c r="BM189" t="s">
        <v>135</v>
      </c>
      <c r="BN189">
        <v>1.0941000000000001</v>
      </c>
      <c r="BO189">
        <v>0.46310000000000001</v>
      </c>
      <c r="BP189" t="s">
        <v>135</v>
      </c>
      <c r="BQ189" t="s">
        <v>135</v>
      </c>
      <c r="BR189" t="s">
        <v>135</v>
      </c>
      <c r="BS189" t="s">
        <v>135</v>
      </c>
      <c r="BT189">
        <v>-16.0304</v>
      </c>
      <c r="BU189">
        <v>5.3445</v>
      </c>
      <c r="BV189">
        <v>-8.2001000000000008</v>
      </c>
      <c r="BW189">
        <v>3.9436999999999998</v>
      </c>
      <c r="BX189" t="s">
        <v>135</v>
      </c>
      <c r="BY189">
        <v>2423931.7999999998</v>
      </c>
      <c r="BZ189" t="s">
        <v>135</v>
      </c>
      <c r="CA189">
        <v>2423931.7999999998</v>
      </c>
      <c r="CB189" t="s">
        <v>135</v>
      </c>
      <c r="CC189" t="s">
        <v>135</v>
      </c>
      <c r="CD189">
        <v>9.3577999999999992</v>
      </c>
      <c r="CE189">
        <v>3.6447000000000003</v>
      </c>
      <c r="CF189" t="s">
        <v>135</v>
      </c>
      <c r="CG189">
        <v>6.2674000000000003</v>
      </c>
      <c r="CH189">
        <v>137.87710000000001</v>
      </c>
      <c r="CI189">
        <v>57.961500000000001</v>
      </c>
      <c r="CJ189">
        <v>8.9358000000000004</v>
      </c>
      <c r="CK189">
        <v>137.87710000000001</v>
      </c>
      <c r="CL189">
        <v>57.961500000000001</v>
      </c>
      <c r="CM189">
        <v>8.9358000000000004</v>
      </c>
      <c r="CN189">
        <v>53.701099999999997</v>
      </c>
      <c r="CO189">
        <v>34.938699999999997</v>
      </c>
      <c r="CP189" t="s">
        <v>135</v>
      </c>
      <c r="CQ189" t="s">
        <v>135</v>
      </c>
      <c r="CR189">
        <v>70382.600000000006</v>
      </c>
      <c r="CS189" t="s">
        <v>135</v>
      </c>
      <c r="CT189" t="s">
        <v>135</v>
      </c>
      <c r="CU189" t="s">
        <v>135</v>
      </c>
      <c r="CV189" t="s">
        <v>135</v>
      </c>
      <c r="CW189" t="s">
        <v>135</v>
      </c>
      <c r="CX189" t="s">
        <v>135</v>
      </c>
      <c r="CY189" t="s">
        <v>135</v>
      </c>
      <c r="CZ189" t="s">
        <v>135</v>
      </c>
      <c r="DA189" t="s">
        <v>135</v>
      </c>
      <c r="DB189" t="s">
        <v>135</v>
      </c>
      <c r="DC189" t="s">
        <v>135</v>
      </c>
      <c r="DD189" t="s">
        <v>135</v>
      </c>
      <c r="DE189" t="s">
        <v>135</v>
      </c>
      <c r="DF189" t="s">
        <v>135</v>
      </c>
      <c r="DG189" t="s">
        <v>135</v>
      </c>
      <c r="DH189" t="s">
        <v>135</v>
      </c>
      <c r="DI189" t="s">
        <v>135</v>
      </c>
    </row>
    <row r="190" spans="1:113" x14ac:dyDescent="0.3">
      <c r="E190" t="s">
        <v>79</v>
      </c>
      <c r="F190">
        <v>10.8109</v>
      </c>
      <c r="G190">
        <v>0.69179999999999997</v>
      </c>
      <c r="H190">
        <v>4.6139000000000001</v>
      </c>
      <c r="I190">
        <v>10.343</v>
      </c>
      <c r="J190" t="s">
        <v>135</v>
      </c>
      <c r="K190">
        <v>25.063199999999998</v>
      </c>
      <c r="L190">
        <v>77.595600000000005</v>
      </c>
      <c r="M190">
        <v>11.6349</v>
      </c>
      <c r="N190">
        <v>16.792899999999999</v>
      </c>
      <c r="O190">
        <v>16.148700000000002</v>
      </c>
      <c r="P190">
        <v>16.148700000000002</v>
      </c>
      <c r="Q190">
        <v>33.455599999999997</v>
      </c>
      <c r="R190" t="s">
        <v>135</v>
      </c>
      <c r="S190" t="s">
        <v>135</v>
      </c>
      <c r="T190">
        <v>8.9809000000000001</v>
      </c>
      <c r="U190" t="s">
        <v>135</v>
      </c>
      <c r="V190">
        <v>40.867699999999999</v>
      </c>
      <c r="W190">
        <v>24.053100000000001</v>
      </c>
      <c r="X190">
        <v>21.335799999999999</v>
      </c>
      <c r="Y190" t="s">
        <v>135</v>
      </c>
      <c r="Z190" t="s">
        <v>135</v>
      </c>
      <c r="AA190" t="s">
        <v>135</v>
      </c>
      <c r="AB190">
        <v>14.1807</v>
      </c>
      <c r="AC190">
        <v>11.7859</v>
      </c>
      <c r="AD190" t="s">
        <v>135</v>
      </c>
      <c r="AE190" t="s">
        <v>135</v>
      </c>
      <c r="AF190" t="s">
        <v>135</v>
      </c>
      <c r="AG190" t="s">
        <v>135</v>
      </c>
      <c r="AH190">
        <v>13.485300000000001</v>
      </c>
      <c r="AI190">
        <v>15.3965</v>
      </c>
      <c r="AJ190">
        <v>14.2844</v>
      </c>
      <c r="AK190">
        <v>11.0373</v>
      </c>
      <c r="AL190" t="s">
        <v>135</v>
      </c>
      <c r="AM190">
        <v>11.9155</v>
      </c>
      <c r="AN190" t="s">
        <v>135</v>
      </c>
      <c r="AO190">
        <v>10.943999999999999</v>
      </c>
      <c r="AP190">
        <v>16.123999999999999</v>
      </c>
      <c r="AQ190">
        <v>11.9275</v>
      </c>
      <c r="AR190" t="s">
        <v>135</v>
      </c>
      <c r="AS190" t="s">
        <v>135</v>
      </c>
      <c r="AT190" t="s">
        <v>135</v>
      </c>
      <c r="AU190" t="s">
        <v>135</v>
      </c>
      <c r="AV190" t="s">
        <v>135</v>
      </c>
      <c r="AW190" t="s">
        <v>135</v>
      </c>
      <c r="AX190" t="s">
        <v>135</v>
      </c>
      <c r="AY190" t="s">
        <v>135</v>
      </c>
      <c r="AZ190" t="s">
        <v>135</v>
      </c>
      <c r="BA190" t="s">
        <v>135</v>
      </c>
      <c r="BB190" t="s">
        <v>135</v>
      </c>
      <c r="BC190" t="s">
        <v>135</v>
      </c>
      <c r="BD190" t="s">
        <v>135</v>
      </c>
      <c r="BE190" t="s">
        <v>135</v>
      </c>
      <c r="BF190">
        <v>5.4165999999999999</v>
      </c>
      <c r="BG190" t="s">
        <v>135</v>
      </c>
      <c r="BH190">
        <v>10.0731</v>
      </c>
      <c r="BI190">
        <v>5.9005999999999998</v>
      </c>
      <c r="BJ190">
        <v>4.9759000000000002</v>
      </c>
      <c r="BK190" t="s">
        <v>135</v>
      </c>
      <c r="BL190" t="s">
        <v>135</v>
      </c>
      <c r="BM190" t="s">
        <v>135</v>
      </c>
      <c r="BN190">
        <v>2.5194000000000001</v>
      </c>
      <c r="BO190">
        <v>2.5308000000000002</v>
      </c>
      <c r="BP190" t="s">
        <v>135</v>
      </c>
      <c r="BQ190" t="s">
        <v>135</v>
      </c>
      <c r="BR190" t="s">
        <v>135</v>
      </c>
      <c r="BS190" t="s">
        <v>135</v>
      </c>
      <c r="BT190">
        <v>5.4054000000000002</v>
      </c>
      <c r="BU190">
        <v>6.1859000000000002</v>
      </c>
      <c r="BV190">
        <v>5.7335000000000003</v>
      </c>
      <c r="BW190">
        <v>3.5956000000000001</v>
      </c>
      <c r="BX190" t="s">
        <v>135</v>
      </c>
      <c r="BY190">
        <v>2554955.5</v>
      </c>
      <c r="BZ190" t="s">
        <v>135</v>
      </c>
      <c r="CA190">
        <v>2554955.5</v>
      </c>
      <c r="CB190" t="s">
        <v>135</v>
      </c>
      <c r="CC190" t="s">
        <v>135</v>
      </c>
      <c r="CD190">
        <v>9.0761000000000003</v>
      </c>
      <c r="CE190">
        <v>4.0160999999999998</v>
      </c>
      <c r="CF190" t="s">
        <v>135</v>
      </c>
      <c r="CG190">
        <v>6.4969999999999999</v>
      </c>
      <c r="CH190">
        <v>136.86369999999999</v>
      </c>
      <c r="CI190">
        <v>57.781599999999997</v>
      </c>
      <c r="CJ190">
        <v>9.1862999999999992</v>
      </c>
      <c r="CK190">
        <v>136.86369999999999</v>
      </c>
      <c r="CL190">
        <v>57.781599999999997</v>
      </c>
      <c r="CM190">
        <v>9.1862999999999992</v>
      </c>
      <c r="CN190">
        <v>60.561</v>
      </c>
      <c r="CO190">
        <v>37.718400000000003</v>
      </c>
      <c r="CP190" t="s">
        <v>135</v>
      </c>
      <c r="CQ190" t="s">
        <v>135</v>
      </c>
      <c r="CR190">
        <v>77472.3</v>
      </c>
      <c r="CS190" t="s">
        <v>135</v>
      </c>
      <c r="CT190" t="s">
        <v>135</v>
      </c>
      <c r="CU190" t="s">
        <v>135</v>
      </c>
      <c r="CV190" t="s">
        <v>135</v>
      </c>
      <c r="CW190" t="s">
        <v>135</v>
      </c>
      <c r="CX190" t="s">
        <v>135</v>
      </c>
      <c r="CY190" t="s">
        <v>135</v>
      </c>
      <c r="CZ190" t="s">
        <v>135</v>
      </c>
      <c r="DA190" t="s">
        <v>135</v>
      </c>
      <c r="DB190" t="s">
        <v>135</v>
      </c>
      <c r="DC190" t="s">
        <v>135</v>
      </c>
      <c r="DD190" t="s">
        <v>135</v>
      </c>
      <c r="DE190" t="s">
        <v>135</v>
      </c>
      <c r="DF190" t="s">
        <v>135</v>
      </c>
      <c r="DG190" t="s">
        <v>135</v>
      </c>
      <c r="DH190" t="s">
        <v>135</v>
      </c>
      <c r="DI190" t="s">
        <v>135</v>
      </c>
    </row>
    <row r="191" spans="1:113" x14ac:dyDescent="0.3">
      <c r="E191" t="s">
        <v>80</v>
      </c>
      <c r="F191">
        <v>9.1418999999999997</v>
      </c>
      <c r="G191">
        <v>0.58479999999999999</v>
      </c>
      <c r="H191">
        <v>4.0168999999999997</v>
      </c>
      <c r="I191">
        <v>10.705</v>
      </c>
      <c r="J191" t="s">
        <v>135</v>
      </c>
      <c r="K191">
        <v>7.0673000000000004</v>
      </c>
      <c r="L191" t="s">
        <v>135</v>
      </c>
      <c r="M191">
        <v>3.3058999999999998</v>
      </c>
      <c r="N191">
        <v>4.5930999999999997</v>
      </c>
      <c r="O191">
        <v>3.9832999999999998</v>
      </c>
      <c r="P191">
        <v>3.9832999999999998</v>
      </c>
      <c r="Q191">
        <v>38.512099999999997</v>
      </c>
      <c r="R191" t="s">
        <v>135</v>
      </c>
      <c r="S191" t="s">
        <v>135</v>
      </c>
      <c r="T191">
        <v>4.6269999999999998</v>
      </c>
      <c r="U191" t="s">
        <v>135</v>
      </c>
      <c r="V191">
        <v>-59.535899999999998</v>
      </c>
      <c r="W191">
        <v>-67.099699999999999</v>
      </c>
      <c r="X191">
        <v>-68.616</v>
      </c>
      <c r="Y191" t="s">
        <v>135</v>
      </c>
      <c r="Z191" t="s">
        <v>135</v>
      </c>
      <c r="AA191" t="s">
        <v>135</v>
      </c>
      <c r="AB191">
        <v>10.315899999999999</v>
      </c>
      <c r="AC191">
        <v>11.7079</v>
      </c>
      <c r="AD191" t="s">
        <v>135</v>
      </c>
      <c r="AE191" t="s">
        <v>135</v>
      </c>
      <c r="AF191" t="s">
        <v>135</v>
      </c>
      <c r="AG191" t="s">
        <v>135</v>
      </c>
      <c r="AH191">
        <v>15.031700000000001</v>
      </c>
      <c r="AI191">
        <v>13.2081</v>
      </c>
      <c r="AJ191">
        <v>14.247400000000001</v>
      </c>
      <c r="AK191">
        <v>8.8162000000000003</v>
      </c>
      <c r="AL191" t="s">
        <v>135</v>
      </c>
      <c r="AM191">
        <v>12.8285</v>
      </c>
      <c r="AN191" t="s">
        <v>135</v>
      </c>
      <c r="AO191">
        <v>-18.281400000000001</v>
      </c>
      <c r="AP191">
        <v>-19.433800000000002</v>
      </c>
      <c r="AQ191">
        <v>-22.725200000000001</v>
      </c>
      <c r="AR191" t="s">
        <v>135</v>
      </c>
      <c r="AS191" t="s">
        <v>135</v>
      </c>
      <c r="AT191" t="s">
        <v>135</v>
      </c>
      <c r="AU191" t="s">
        <v>135</v>
      </c>
      <c r="AV191" t="s">
        <v>135</v>
      </c>
      <c r="AW191" t="s">
        <v>135</v>
      </c>
      <c r="AX191" t="s">
        <v>135</v>
      </c>
      <c r="AY191" t="s">
        <v>135</v>
      </c>
      <c r="AZ191" t="s">
        <v>135</v>
      </c>
      <c r="BA191" t="s">
        <v>135</v>
      </c>
      <c r="BB191" t="s">
        <v>135</v>
      </c>
      <c r="BC191" t="s">
        <v>135</v>
      </c>
      <c r="BD191" t="s">
        <v>135</v>
      </c>
      <c r="BE191" t="s">
        <v>135</v>
      </c>
      <c r="BF191">
        <v>1.5139</v>
      </c>
      <c r="BG191" t="s">
        <v>135</v>
      </c>
      <c r="BH191">
        <v>-71.155900000000003</v>
      </c>
      <c r="BI191">
        <v>-74.768299999999996</v>
      </c>
      <c r="BJ191">
        <v>-75.382300000000001</v>
      </c>
      <c r="BK191" t="s">
        <v>135</v>
      </c>
      <c r="BL191" t="s">
        <v>135</v>
      </c>
      <c r="BM191" t="s">
        <v>135</v>
      </c>
      <c r="BN191">
        <v>-2.0899999999999998E-2</v>
      </c>
      <c r="BO191">
        <v>1.5916999999999999</v>
      </c>
      <c r="BP191" t="s">
        <v>135</v>
      </c>
      <c r="BQ191" t="s">
        <v>135</v>
      </c>
      <c r="BR191" t="s">
        <v>135</v>
      </c>
      <c r="BS191" t="s">
        <v>135</v>
      </c>
      <c r="BT191">
        <v>-0.92159999999999997</v>
      </c>
      <c r="BU191">
        <v>0.71930000000000005</v>
      </c>
      <c r="BV191">
        <v>-0.2288</v>
      </c>
      <c r="BW191">
        <v>0.63790000000000002</v>
      </c>
      <c r="BX191" t="s">
        <v>135</v>
      </c>
      <c r="BY191">
        <v>2531409.2999999998</v>
      </c>
      <c r="BZ191" t="s">
        <v>135</v>
      </c>
      <c r="CA191">
        <v>2531409.2999999998</v>
      </c>
      <c r="CB191" t="s">
        <v>135</v>
      </c>
      <c r="CC191" t="s">
        <v>135</v>
      </c>
      <c r="CD191">
        <v>10.1816</v>
      </c>
      <c r="CE191">
        <v>4.8383000000000003</v>
      </c>
      <c r="CF191" t="s">
        <v>135</v>
      </c>
      <c r="CG191">
        <v>6.4359999999999999</v>
      </c>
      <c r="CH191">
        <v>134.63390000000001</v>
      </c>
      <c r="CI191">
        <v>57.380400000000002</v>
      </c>
      <c r="CJ191">
        <v>8.9589999999999996</v>
      </c>
      <c r="CK191">
        <v>134.63390000000001</v>
      </c>
      <c r="CL191">
        <v>57.380400000000002</v>
      </c>
      <c r="CM191">
        <v>8.9589999999999996</v>
      </c>
      <c r="CN191">
        <v>63.978000000000002</v>
      </c>
      <c r="CO191">
        <v>39.016199999999998</v>
      </c>
      <c r="CP191" t="s">
        <v>135</v>
      </c>
      <c r="CQ191" t="s">
        <v>135</v>
      </c>
      <c r="CR191">
        <v>22346.2</v>
      </c>
      <c r="CS191" t="s">
        <v>135</v>
      </c>
      <c r="CT191" t="s">
        <v>135</v>
      </c>
      <c r="CU191" t="s">
        <v>135</v>
      </c>
      <c r="CV191" t="s">
        <v>135</v>
      </c>
      <c r="CW191" t="s">
        <v>135</v>
      </c>
      <c r="CX191" t="s">
        <v>135</v>
      </c>
      <c r="CY191" t="s">
        <v>135</v>
      </c>
      <c r="CZ191" t="s">
        <v>135</v>
      </c>
      <c r="DA191" t="s">
        <v>135</v>
      </c>
      <c r="DB191" t="s">
        <v>135</v>
      </c>
      <c r="DC191" t="s">
        <v>135</v>
      </c>
      <c r="DD191" t="s">
        <v>135</v>
      </c>
      <c r="DE191" t="s">
        <v>135</v>
      </c>
      <c r="DF191" t="s">
        <v>135</v>
      </c>
      <c r="DG191" t="s">
        <v>135</v>
      </c>
      <c r="DH191" t="s">
        <v>135</v>
      </c>
      <c r="DI191" t="s">
        <v>135</v>
      </c>
    </row>
    <row r="192" spans="1:113" x14ac:dyDescent="0.3">
      <c r="E192" t="s">
        <v>81</v>
      </c>
      <c r="F192">
        <v>7.1493000000000002</v>
      </c>
      <c r="G192">
        <v>0.43109999999999998</v>
      </c>
      <c r="H192">
        <v>2.7707000000000002</v>
      </c>
      <c r="I192">
        <v>10.317399999999999</v>
      </c>
      <c r="J192" t="s">
        <v>135</v>
      </c>
      <c r="K192">
        <v>2.9403999999999999</v>
      </c>
      <c r="L192" t="s">
        <v>135</v>
      </c>
      <c r="M192">
        <v>1.5266999999999999</v>
      </c>
      <c r="N192">
        <v>3.7124999999999999</v>
      </c>
      <c r="O192">
        <v>3.2025999999999999</v>
      </c>
      <c r="P192">
        <v>3.2025999999999999</v>
      </c>
      <c r="Q192" t="s">
        <v>135</v>
      </c>
      <c r="R192" t="s">
        <v>135</v>
      </c>
      <c r="S192" t="s">
        <v>135</v>
      </c>
      <c r="T192">
        <v>6.7618</v>
      </c>
      <c r="U192" t="s">
        <v>135</v>
      </c>
      <c r="V192">
        <v>-85.251099999999994</v>
      </c>
      <c r="W192">
        <v>-73.1614</v>
      </c>
      <c r="X192">
        <v>-74.053600000000003</v>
      </c>
      <c r="Y192" t="s">
        <v>135</v>
      </c>
      <c r="Z192" t="s">
        <v>135</v>
      </c>
      <c r="AA192" t="s">
        <v>135</v>
      </c>
      <c r="AB192">
        <v>23.235499999999998</v>
      </c>
      <c r="AC192">
        <v>10.0288</v>
      </c>
      <c r="AD192" t="s">
        <v>135</v>
      </c>
      <c r="AE192" t="s">
        <v>135</v>
      </c>
      <c r="AF192" t="s">
        <v>135</v>
      </c>
      <c r="AG192">
        <v>-11.0106</v>
      </c>
      <c r="AH192">
        <v>3.0156999999999998</v>
      </c>
      <c r="AI192">
        <v>11.9694</v>
      </c>
      <c r="AJ192">
        <v>6.2957999999999998</v>
      </c>
      <c r="AK192">
        <v>7.6178999999999997</v>
      </c>
      <c r="AL192" t="s">
        <v>135</v>
      </c>
      <c r="AM192">
        <v>14.1105</v>
      </c>
      <c r="AN192" t="s">
        <v>135</v>
      </c>
      <c r="AO192">
        <v>-18.979600000000001</v>
      </c>
      <c r="AP192">
        <v>0.23300000000000001</v>
      </c>
      <c r="AQ192">
        <v>-3.6238999999999999</v>
      </c>
      <c r="AR192" t="s">
        <v>135</v>
      </c>
      <c r="AS192" t="s">
        <v>135</v>
      </c>
      <c r="AT192" t="s">
        <v>135</v>
      </c>
      <c r="AU192">
        <v>18.653300000000002</v>
      </c>
      <c r="AV192">
        <v>12.5101</v>
      </c>
      <c r="AW192" t="s">
        <v>135</v>
      </c>
      <c r="AX192" t="s">
        <v>135</v>
      </c>
      <c r="AY192" t="s">
        <v>135</v>
      </c>
      <c r="AZ192">
        <v>-5.4166999999999996</v>
      </c>
      <c r="BA192">
        <v>8.8948</v>
      </c>
      <c r="BB192">
        <v>16.667999999999999</v>
      </c>
      <c r="BC192">
        <v>11.526</v>
      </c>
      <c r="BD192">
        <v>12.0943</v>
      </c>
      <c r="BE192" t="s">
        <v>135</v>
      </c>
      <c r="BF192">
        <v>12.0868</v>
      </c>
      <c r="BG192" t="s">
        <v>135</v>
      </c>
      <c r="BH192">
        <v>-48.238100000000003</v>
      </c>
      <c r="BI192">
        <v>2.7400000000000001E-2</v>
      </c>
      <c r="BJ192">
        <v>1.3197999999999999</v>
      </c>
      <c r="BK192" t="s">
        <v>135</v>
      </c>
      <c r="BL192" t="s">
        <v>135</v>
      </c>
      <c r="BM192" t="s">
        <v>135</v>
      </c>
      <c r="BN192">
        <v>18.930800000000001</v>
      </c>
      <c r="BO192">
        <v>5.1445999999999996</v>
      </c>
      <c r="BP192" t="s">
        <v>135</v>
      </c>
      <c r="BQ192" t="s">
        <v>135</v>
      </c>
      <c r="BR192" t="s">
        <v>135</v>
      </c>
      <c r="BS192" t="s">
        <v>135</v>
      </c>
      <c r="BT192">
        <v>17.473400000000002</v>
      </c>
      <c r="BU192">
        <v>-0.61799999999999999</v>
      </c>
      <c r="BV192">
        <v>9.7629000000000001</v>
      </c>
      <c r="BW192">
        <v>-0.69220000000000004</v>
      </c>
      <c r="BX192" t="s">
        <v>135</v>
      </c>
      <c r="BY192">
        <v>2973732.8319999999</v>
      </c>
      <c r="BZ192">
        <v>391630.527</v>
      </c>
      <c r="CA192">
        <v>2582102.3050000002</v>
      </c>
      <c r="CB192" t="s">
        <v>135</v>
      </c>
      <c r="CC192" t="s">
        <v>135</v>
      </c>
      <c r="CD192">
        <v>16.360099999999999</v>
      </c>
      <c r="CE192">
        <v>5.1281999999999996</v>
      </c>
      <c r="CF192" t="s">
        <v>135</v>
      </c>
      <c r="CG192">
        <v>6.0787000000000004</v>
      </c>
      <c r="CH192">
        <v>138.184</v>
      </c>
      <c r="CI192">
        <v>53.323500000000003</v>
      </c>
      <c r="CJ192">
        <v>8.6913</v>
      </c>
      <c r="CK192">
        <v>159.14250000000001</v>
      </c>
      <c r="CL192">
        <v>61.411200000000001</v>
      </c>
      <c r="CM192">
        <v>10.009499999999999</v>
      </c>
      <c r="CN192">
        <v>49.884399999999999</v>
      </c>
      <c r="CO192">
        <v>33.2819</v>
      </c>
      <c r="CP192" t="s">
        <v>135</v>
      </c>
      <c r="CQ192" t="s">
        <v>135</v>
      </c>
      <c r="CR192">
        <v>11566.807000000001</v>
      </c>
      <c r="CS192" t="s">
        <v>135</v>
      </c>
      <c r="CT192" t="s">
        <v>135</v>
      </c>
      <c r="CU192" t="s">
        <v>135</v>
      </c>
      <c r="CV192" t="s">
        <v>135</v>
      </c>
      <c r="CW192" t="s">
        <v>135</v>
      </c>
      <c r="CX192" t="s">
        <v>135</v>
      </c>
      <c r="CY192" t="s">
        <v>135</v>
      </c>
      <c r="CZ192" t="s">
        <v>135</v>
      </c>
      <c r="DA192" t="s">
        <v>135</v>
      </c>
      <c r="DB192" t="s">
        <v>135</v>
      </c>
      <c r="DC192" t="s">
        <v>135</v>
      </c>
      <c r="DD192" t="s">
        <v>135</v>
      </c>
      <c r="DE192" t="s">
        <v>135</v>
      </c>
      <c r="DF192" t="s">
        <v>135</v>
      </c>
      <c r="DG192" t="s">
        <v>135</v>
      </c>
      <c r="DH192" t="s">
        <v>135</v>
      </c>
      <c r="DI192" t="s">
        <v>135</v>
      </c>
    </row>
    <row r="193" spans="1:113" x14ac:dyDescent="0.3">
      <c r="D193" t="s">
        <v>84</v>
      </c>
      <c r="E193" t="s">
        <v>77</v>
      </c>
      <c r="F193">
        <v>0.12130000000000001</v>
      </c>
      <c r="G193">
        <v>7.4000000000000003E-3</v>
      </c>
      <c r="H193">
        <v>-1.6500000000000001E-2</v>
      </c>
      <c r="I193">
        <v>10.1013</v>
      </c>
      <c r="J193" t="s">
        <v>135</v>
      </c>
      <c r="K193">
        <v>0.63919999999999999</v>
      </c>
      <c r="L193" t="s">
        <v>135</v>
      </c>
      <c r="M193">
        <v>0.31819999999999998</v>
      </c>
      <c r="N193">
        <v>-6.59E-2</v>
      </c>
      <c r="O193">
        <v>0.16320000000000001</v>
      </c>
      <c r="P193">
        <v>0.16320000000000001</v>
      </c>
      <c r="Q193">
        <v>141.3486</v>
      </c>
      <c r="R193">
        <v>874.07910000000004</v>
      </c>
      <c r="S193">
        <v>-0.93889999999999996</v>
      </c>
      <c r="T193">
        <v>8.7055000000000007</v>
      </c>
      <c r="U193" t="s">
        <v>135</v>
      </c>
      <c r="V193">
        <v>-94.802000000000007</v>
      </c>
      <c r="W193">
        <v>-98.026700000000005</v>
      </c>
      <c r="X193">
        <v>-98.056399999999996</v>
      </c>
      <c r="Y193">
        <v>0</v>
      </c>
      <c r="Z193" t="s">
        <v>135</v>
      </c>
      <c r="AA193" t="s">
        <v>135</v>
      </c>
      <c r="AB193">
        <v>233.91319999999999</v>
      </c>
      <c r="AC193">
        <v>12.091799999999999</v>
      </c>
      <c r="AD193" t="s">
        <v>135</v>
      </c>
      <c r="AE193" t="s">
        <v>135</v>
      </c>
      <c r="AF193" t="s">
        <v>135</v>
      </c>
      <c r="AG193">
        <v>-20.7913</v>
      </c>
      <c r="AH193">
        <v>-8.2823999999999991</v>
      </c>
      <c r="AI193">
        <v>19.700900000000001</v>
      </c>
      <c r="AJ193">
        <v>0.61919999999999997</v>
      </c>
      <c r="AK193">
        <v>17.088100000000001</v>
      </c>
      <c r="AL193" t="s">
        <v>135</v>
      </c>
      <c r="AM193">
        <v>11.0243</v>
      </c>
      <c r="AN193" t="s">
        <v>135</v>
      </c>
      <c r="AO193">
        <v>-47.838799999999999</v>
      </c>
      <c r="AP193">
        <v>-56.418300000000002</v>
      </c>
      <c r="AQ193">
        <v>-58.1524</v>
      </c>
      <c r="AR193">
        <v>-5.7717999999999998</v>
      </c>
      <c r="AS193" t="s">
        <v>135</v>
      </c>
      <c r="AT193" t="s">
        <v>135</v>
      </c>
      <c r="AU193">
        <v>47.052799999999998</v>
      </c>
      <c r="AV193">
        <v>13.4887</v>
      </c>
      <c r="AW193" t="s">
        <v>135</v>
      </c>
      <c r="AX193" t="s">
        <v>135</v>
      </c>
      <c r="AY193" t="s">
        <v>135</v>
      </c>
      <c r="AZ193">
        <v>-9.5873000000000008</v>
      </c>
      <c r="BA193">
        <v>11.906499999999999</v>
      </c>
      <c r="BB193">
        <v>15.2601</v>
      </c>
      <c r="BC193">
        <v>13.1067</v>
      </c>
      <c r="BD193">
        <v>11.465299999999999</v>
      </c>
      <c r="BE193" t="s">
        <v>135</v>
      </c>
      <c r="BF193">
        <v>8.7055000000000007</v>
      </c>
      <c r="BG193" t="s">
        <v>135</v>
      </c>
      <c r="BH193">
        <v>-94.802000000000007</v>
      </c>
      <c r="BI193">
        <v>-98.026700000000005</v>
      </c>
      <c r="BJ193">
        <v>-98.056399999999996</v>
      </c>
      <c r="BK193">
        <v>0</v>
      </c>
      <c r="BL193" t="s">
        <v>135</v>
      </c>
      <c r="BM193" t="s">
        <v>135</v>
      </c>
      <c r="BN193">
        <v>233.91319999999999</v>
      </c>
      <c r="BO193">
        <v>12.091799999999999</v>
      </c>
      <c r="BP193" t="s">
        <v>135</v>
      </c>
      <c r="BQ193" t="s">
        <v>135</v>
      </c>
      <c r="BR193" t="s">
        <v>135</v>
      </c>
      <c r="BS193">
        <v>-20.7913</v>
      </c>
      <c r="BT193">
        <v>-8.2823999999999991</v>
      </c>
      <c r="BU193">
        <v>19.700900000000001</v>
      </c>
      <c r="BV193">
        <v>0.61919999999999997</v>
      </c>
      <c r="BW193">
        <v>17.088100000000001</v>
      </c>
      <c r="BX193" t="s">
        <v>135</v>
      </c>
      <c r="BY193">
        <v>3673822.9569999999</v>
      </c>
      <c r="BZ193">
        <v>310205.30900000001</v>
      </c>
      <c r="CA193">
        <v>3363617.648</v>
      </c>
      <c r="CB193" t="s">
        <v>135</v>
      </c>
      <c r="CC193" t="s">
        <v>135</v>
      </c>
      <c r="CD193">
        <v>388.83550000000002</v>
      </c>
      <c r="CE193">
        <v>99.685100000000006</v>
      </c>
      <c r="CF193" t="s">
        <v>135</v>
      </c>
      <c r="CG193">
        <v>6.3042999999999996</v>
      </c>
      <c r="CH193">
        <v>150.38120000000001</v>
      </c>
      <c r="CI193">
        <v>56.908700000000003</v>
      </c>
      <c r="CJ193">
        <v>9.7634000000000007</v>
      </c>
      <c r="CK193">
        <v>164.2499</v>
      </c>
      <c r="CL193">
        <v>62.156999999999996</v>
      </c>
      <c r="CM193">
        <v>10.6638</v>
      </c>
      <c r="CN193">
        <v>42.108400000000003</v>
      </c>
      <c r="CO193">
        <v>29.6312</v>
      </c>
      <c r="CP193" t="s">
        <v>135</v>
      </c>
      <c r="CQ193" t="s">
        <v>135</v>
      </c>
      <c r="CR193">
        <v>9448.2710000000006</v>
      </c>
      <c r="CS193" t="s">
        <v>135</v>
      </c>
      <c r="CT193" t="s">
        <v>135</v>
      </c>
      <c r="CU193" t="s">
        <v>135</v>
      </c>
      <c r="CV193" t="s">
        <v>135</v>
      </c>
      <c r="CW193" t="s">
        <v>135</v>
      </c>
      <c r="CX193" t="s">
        <v>135</v>
      </c>
      <c r="CY193" t="s">
        <v>135</v>
      </c>
      <c r="CZ193" t="s">
        <v>135</v>
      </c>
      <c r="DA193" t="s">
        <v>135</v>
      </c>
      <c r="DB193" t="s">
        <v>135</v>
      </c>
      <c r="DC193" t="s">
        <v>135</v>
      </c>
      <c r="DD193" t="s">
        <v>135</v>
      </c>
      <c r="DE193" t="s">
        <v>135</v>
      </c>
      <c r="DF193" t="s">
        <v>135</v>
      </c>
      <c r="DG193" t="s">
        <v>135</v>
      </c>
      <c r="DH193" t="s">
        <v>135</v>
      </c>
      <c r="DI193" t="s">
        <v>135</v>
      </c>
    </row>
    <row r="194" spans="1:113" x14ac:dyDescent="0.3">
      <c r="E194" t="s">
        <v>78</v>
      </c>
      <c r="F194">
        <v>4.4561000000000002</v>
      </c>
      <c r="G194">
        <v>0.30049999999999999</v>
      </c>
      <c r="H194">
        <v>2.0402</v>
      </c>
      <c r="I194">
        <v>12.905900000000001</v>
      </c>
      <c r="J194" t="s">
        <v>135</v>
      </c>
      <c r="K194">
        <v>4.2929000000000004</v>
      </c>
      <c r="L194" t="s">
        <v>135</v>
      </c>
      <c r="M194">
        <v>2.0438000000000001</v>
      </c>
      <c r="N194">
        <v>2.8329</v>
      </c>
      <c r="O194">
        <v>3.1650999999999998</v>
      </c>
      <c r="P194">
        <v>3.1650999999999998</v>
      </c>
      <c r="Q194">
        <v>38.866</v>
      </c>
      <c r="R194" t="s">
        <v>135</v>
      </c>
      <c r="S194" t="s">
        <v>135</v>
      </c>
      <c r="T194">
        <v>9.8953000000000007</v>
      </c>
      <c r="U194" t="s">
        <v>135</v>
      </c>
      <c r="V194">
        <v>-79.842699999999994</v>
      </c>
      <c r="W194">
        <v>-77.808800000000005</v>
      </c>
      <c r="X194">
        <v>-78.330699999999993</v>
      </c>
      <c r="Y194" t="s">
        <v>135</v>
      </c>
      <c r="Z194" t="s">
        <v>135</v>
      </c>
      <c r="AA194" t="s">
        <v>135</v>
      </c>
      <c r="AB194">
        <v>278.69580000000002</v>
      </c>
      <c r="AC194">
        <v>9.9352999999999998</v>
      </c>
      <c r="AD194" t="s">
        <v>135</v>
      </c>
      <c r="AE194" t="s">
        <v>135</v>
      </c>
      <c r="AF194" t="s">
        <v>135</v>
      </c>
      <c r="AG194" t="s">
        <v>135</v>
      </c>
      <c r="AH194">
        <v>2.2082999999999999</v>
      </c>
      <c r="AI194">
        <v>25.2698</v>
      </c>
      <c r="AJ194">
        <v>11.903</v>
      </c>
      <c r="AK194">
        <v>22.717500000000001</v>
      </c>
      <c r="AL194" t="s">
        <v>135</v>
      </c>
      <c r="AM194">
        <v>12.1495</v>
      </c>
      <c r="AN194" t="s">
        <v>135</v>
      </c>
      <c r="AO194">
        <v>-19.898099999999999</v>
      </c>
      <c r="AP194">
        <v>-16.076000000000001</v>
      </c>
      <c r="AQ194">
        <v>-19.352</v>
      </c>
      <c r="AR194" t="s">
        <v>135</v>
      </c>
      <c r="AS194" t="s">
        <v>135</v>
      </c>
      <c r="AT194" t="s">
        <v>135</v>
      </c>
      <c r="AU194" t="s">
        <v>135</v>
      </c>
      <c r="AV194" t="s">
        <v>135</v>
      </c>
      <c r="AW194" t="s">
        <v>135</v>
      </c>
      <c r="AX194" t="s">
        <v>135</v>
      </c>
      <c r="AY194" t="s">
        <v>135</v>
      </c>
      <c r="AZ194" t="s">
        <v>135</v>
      </c>
      <c r="BA194" t="s">
        <v>135</v>
      </c>
      <c r="BB194" t="s">
        <v>135</v>
      </c>
      <c r="BC194" t="s">
        <v>135</v>
      </c>
      <c r="BD194" t="s">
        <v>135</v>
      </c>
      <c r="BE194" t="s">
        <v>135</v>
      </c>
      <c r="BF194">
        <v>-8.4187999999999992</v>
      </c>
      <c r="BG194" t="s">
        <v>135</v>
      </c>
      <c r="BH194">
        <v>22.654399999999999</v>
      </c>
      <c r="BI194">
        <v>-16.973300000000002</v>
      </c>
      <c r="BJ194">
        <v>-17.4786</v>
      </c>
      <c r="BK194" t="s">
        <v>135</v>
      </c>
      <c r="BL194" t="s">
        <v>135</v>
      </c>
      <c r="BM194" t="s">
        <v>135</v>
      </c>
      <c r="BN194">
        <v>210.6567</v>
      </c>
      <c r="BO194">
        <v>-2.9725999999999999</v>
      </c>
      <c r="BP194" t="s">
        <v>135</v>
      </c>
      <c r="BQ194" t="s">
        <v>135</v>
      </c>
      <c r="BR194" t="s">
        <v>135</v>
      </c>
      <c r="BS194" t="s">
        <v>135</v>
      </c>
      <c r="BT194">
        <v>-38.149799999999999</v>
      </c>
      <c r="BU194">
        <v>17.857900000000001</v>
      </c>
      <c r="BV194">
        <v>-20.333600000000001</v>
      </c>
      <c r="BW194">
        <v>18.527799999999999</v>
      </c>
      <c r="BX194" t="s">
        <v>135</v>
      </c>
      <c r="BY194">
        <v>2477459.9</v>
      </c>
      <c r="BZ194" t="s">
        <v>135</v>
      </c>
      <c r="CA194">
        <v>2477459.9</v>
      </c>
      <c r="CB194" t="s">
        <v>135</v>
      </c>
      <c r="CC194" t="s">
        <v>135</v>
      </c>
      <c r="CD194">
        <v>19.729299999999999</v>
      </c>
      <c r="CE194">
        <v>7.6014999999999997</v>
      </c>
      <c r="CF194" t="s">
        <v>135</v>
      </c>
      <c r="CG194">
        <v>7.1779000000000002</v>
      </c>
      <c r="CH194">
        <v>112.49469999999999</v>
      </c>
      <c r="CI194">
        <v>52.94</v>
      </c>
      <c r="CJ194">
        <v>8.3077000000000005</v>
      </c>
      <c r="CK194">
        <v>112.49469999999999</v>
      </c>
      <c r="CL194">
        <v>52.94</v>
      </c>
      <c r="CM194">
        <v>8.3077000000000005</v>
      </c>
      <c r="CN194">
        <v>43.343200000000003</v>
      </c>
      <c r="CO194">
        <v>30.237400000000001</v>
      </c>
      <c r="CP194" t="s">
        <v>135</v>
      </c>
      <c r="CQ194" t="s">
        <v>135</v>
      </c>
      <c r="CR194">
        <v>14187.2</v>
      </c>
      <c r="CS194" t="s">
        <v>135</v>
      </c>
      <c r="CT194" t="s">
        <v>135</v>
      </c>
      <c r="CU194" t="s">
        <v>135</v>
      </c>
      <c r="CV194" t="s">
        <v>135</v>
      </c>
      <c r="CW194" t="s">
        <v>135</v>
      </c>
      <c r="CX194" t="s">
        <v>135</v>
      </c>
      <c r="CY194" t="s">
        <v>135</v>
      </c>
      <c r="CZ194" t="s">
        <v>135</v>
      </c>
      <c r="DA194" t="s">
        <v>135</v>
      </c>
      <c r="DB194" t="s">
        <v>135</v>
      </c>
      <c r="DC194" t="s">
        <v>135</v>
      </c>
      <c r="DD194" t="s">
        <v>135</v>
      </c>
      <c r="DE194" t="s">
        <v>135</v>
      </c>
      <c r="DF194" t="s">
        <v>135</v>
      </c>
      <c r="DG194" t="s">
        <v>135</v>
      </c>
      <c r="DH194" t="s">
        <v>135</v>
      </c>
      <c r="DI194" t="s">
        <v>135</v>
      </c>
    </row>
    <row r="195" spans="1:113" x14ac:dyDescent="0.3">
      <c r="E195" t="s">
        <v>79</v>
      </c>
      <c r="F195">
        <v>1.8096000000000001</v>
      </c>
      <c r="G195">
        <v>0.122</v>
      </c>
      <c r="H195">
        <v>0.82499999999999996</v>
      </c>
      <c r="I195">
        <v>13.202400000000001</v>
      </c>
      <c r="J195" t="s">
        <v>135</v>
      </c>
      <c r="K195">
        <v>-0.52800000000000002</v>
      </c>
      <c r="L195" t="s">
        <v>135</v>
      </c>
      <c r="M195">
        <v>-0.26150000000000001</v>
      </c>
      <c r="N195">
        <v>-6.0699999999999997E-2</v>
      </c>
      <c r="O195">
        <v>5.7299999999999997E-2</v>
      </c>
      <c r="P195">
        <v>5.7299999999999997E-2</v>
      </c>
      <c r="Q195" t="s">
        <v>135</v>
      </c>
      <c r="R195" t="s">
        <v>135</v>
      </c>
      <c r="S195" t="s">
        <v>135</v>
      </c>
      <c r="T195">
        <v>9.5104000000000006</v>
      </c>
      <c r="U195" t="s">
        <v>135</v>
      </c>
      <c r="V195" t="s">
        <v>135</v>
      </c>
      <c r="W195">
        <v>-99.585300000000004</v>
      </c>
      <c r="X195">
        <v>-99.541300000000007</v>
      </c>
      <c r="Y195" t="s">
        <v>135</v>
      </c>
      <c r="Z195" t="s">
        <v>135</v>
      </c>
      <c r="AA195" t="s">
        <v>135</v>
      </c>
      <c r="AB195">
        <v>291.47280000000001</v>
      </c>
      <c r="AC195">
        <v>11.4551</v>
      </c>
      <c r="AD195" t="s">
        <v>135</v>
      </c>
      <c r="AE195" t="s">
        <v>135</v>
      </c>
      <c r="AF195" t="s">
        <v>135</v>
      </c>
      <c r="AG195" t="s">
        <v>135</v>
      </c>
      <c r="AH195">
        <v>3.0878999999999999</v>
      </c>
      <c r="AI195">
        <v>19.020099999999999</v>
      </c>
      <c r="AJ195">
        <v>9.8141999999999996</v>
      </c>
      <c r="AK195">
        <v>19.335999999999999</v>
      </c>
      <c r="AL195" t="s">
        <v>135</v>
      </c>
      <c r="AM195">
        <v>12.0688</v>
      </c>
      <c r="AN195" t="s">
        <v>135</v>
      </c>
      <c r="AO195" t="s">
        <v>135</v>
      </c>
      <c r="AP195">
        <v>-64.098100000000002</v>
      </c>
      <c r="AQ195">
        <v>-64.689300000000003</v>
      </c>
      <c r="AR195" t="s">
        <v>135</v>
      </c>
      <c r="AS195" t="s">
        <v>135</v>
      </c>
      <c r="AT195" t="s">
        <v>135</v>
      </c>
      <c r="AU195">
        <v>48.470399999999998</v>
      </c>
      <c r="AV195">
        <v>12.891299999999999</v>
      </c>
      <c r="AW195" t="s">
        <v>135</v>
      </c>
      <c r="AX195" t="s">
        <v>135</v>
      </c>
      <c r="AY195" t="s">
        <v>135</v>
      </c>
      <c r="AZ195" t="s">
        <v>135</v>
      </c>
      <c r="BA195">
        <v>13.011900000000001</v>
      </c>
      <c r="BB195">
        <v>18.693200000000001</v>
      </c>
      <c r="BC195">
        <v>15.4062</v>
      </c>
      <c r="BD195">
        <v>14.197800000000001</v>
      </c>
      <c r="BE195" t="s">
        <v>135</v>
      </c>
      <c r="BF195">
        <v>5.0472999999999999</v>
      </c>
      <c r="BG195" t="s">
        <v>135</v>
      </c>
      <c r="BH195">
        <v>-113.4396</v>
      </c>
      <c r="BI195">
        <v>-98.021000000000001</v>
      </c>
      <c r="BJ195">
        <v>-97.777799999999999</v>
      </c>
      <c r="BK195" t="s">
        <v>135</v>
      </c>
      <c r="BL195" t="s">
        <v>135</v>
      </c>
      <c r="BM195" t="s">
        <v>135</v>
      </c>
      <c r="BN195">
        <v>5.9783999999999997</v>
      </c>
      <c r="BO195">
        <v>3.7989000000000002</v>
      </c>
      <c r="BP195" t="s">
        <v>135</v>
      </c>
      <c r="BQ195" t="s">
        <v>135</v>
      </c>
      <c r="BR195" t="s">
        <v>135</v>
      </c>
      <c r="BS195" t="s">
        <v>135</v>
      </c>
      <c r="BT195">
        <v>4.2093999999999996</v>
      </c>
      <c r="BU195">
        <v>0.88829999999999998</v>
      </c>
      <c r="BV195">
        <v>2.6630000000000003</v>
      </c>
      <c r="BW195">
        <v>0.74099999999999999</v>
      </c>
      <c r="BX195" t="s">
        <v>135</v>
      </c>
      <c r="BY195">
        <v>2633851.1</v>
      </c>
      <c r="BZ195" t="s">
        <v>135</v>
      </c>
      <c r="CA195">
        <v>2633851.1</v>
      </c>
      <c r="CB195" t="s">
        <v>135</v>
      </c>
      <c r="CC195" t="s">
        <v>135</v>
      </c>
      <c r="CD195">
        <v>57.017800000000001</v>
      </c>
      <c r="CE195">
        <v>19.099599999999999</v>
      </c>
      <c r="CF195" t="s">
        <v>135</v>
      </c>
      <c r="CG195">
        <v>6.9564000000000004</v>
      </c>
      <c r="CH195">
        <v>118.54300000000001</v>
      </c>
      <c r="CI195">
        <v>54.242400000000004</v>
      </c>
      <c r="CJ195">
        <v>8.4967000000000006</v>
      </c>
      <c r="CK195">
        <v>118.54300000000001</v>
      </c>
      <c r="CL195">
        <v>54.242400000000004</v>
      </c>
      <c r="CM195">
        <v>8.4967000000000006</v>
      </c>
      <c r="CN195">
        <v>39.709200000000003</v>
      </c>
      <c r="CO195">
        <v>28.422699999999999</v>
      </c>
      <c r="CP195" t="s">
        <v>135</v>
      </c>
      <c r="CQ195" t="s">
        <v>135</v>
      </c>
      <c r="CR195">
        <v>-1906.7</v>
      </c>
      <c r="CS195" t="s">
        <v>135</v>
      </c>
      <c r="CT195" t="s">
        <v>135</v>
      </c>
      <c r="CU195" t="s">
        <v>135</v>
      </c>
      <c r="CV195" t="s">
        <v>135</v>
      </c>
      <c r="CW195" t="s">
        <v>135</v>
      </c>
      <c r="CX195" t="s">
        <v>135</v>
      </c>
      <c r="CY195" t="s">
        <v>135</v>
      </c>
      <c r="CZ195" t="s">
        <v>135</v>
      </c>
      <c r="DA195" t="s">
        <v>135</v>
      </c>
      <c r="DB195" t="s">
        <v>135</v>
      </c>
      <c r="DC195" t="s">
        <v>135</v>
      </c>
      <c r="DD195" t="s">
        <v>135</v>
      </c>
      <c r="DE195" t="s">
        <v>135</v>
      </c>
      <c r="DF195" t="s">
        <v>135</v>
      </c>
      <c r="DG195" t="s">
        <v>135</v>
      </c>
      <c r="DH195" t="s">
        <v>135</v>
      </c>
      <c r="DI195" t="s">
        <v>135</v>
      </c>
    </row>
    <row r="196" spans="1:113" x14ac:dyDescent="0.3">
      <c r="E196" t="s">
        <v>80</v>
      </c>
      <c r="F196">
        <v>2.2397</v>
      </c>
      <c r="G196">
        <v>0.14510000000000001</v>
      </c>
      <c r="H196">
        <v>0.98140000000000005</v>
      </c>
      <c r="I196">
        <v>13.0844</v>
      </c>
      <c r="J196" t="s">
        <v>135</v>
      </c>
      <c r="K196">
        <v>3.7473000000000001</v>
      </c>
      <c r="L196" t="s">
        <v>135</v>
      </c>
      <c r="M196">
        <v>4.1919000000000004</v>
      </c>
      <c r="N196">
        <v>6.4587000000000003</v>
      </c>
      <c r="O196">
        <v>6.0282</v>
      </c>
      <c r="P196">
        <v>6.0282</v>
      </c>
      <c r="Q196">
        <v>27.506900000000002</v>
      </c>
      <c r="R196" t="s">
        <v>135</v>
      </c>
      <c r="S196" t="s">
        <v>135</v>
      </c>
      <c r="T196">
        <v>9.1552000000000007</v>
      </c>
      <c r="U196" t="s">
        <v>135</v>
      </c>
      <c r="V196">
        <v>-40.128500000000003</v>
      </c>
      <c r="W196">
        <v>70.881100000000004</v>
      </c>
      <c r="X196">
        <v>72.049700000000001</v>
      </c>
      <c r="Y196" t="s">
        <v>135</v>
      </c>
      <c r="Z196" t="s">
        <v>135</v>
      </c>
      <c r="AA196" t="s">
        <v>135</v>
      </c>
      <c r="AB196">
        <v>297.02670000000001</v>
      </c>
      <c r="AC196">
        <v>18.502299999999998</v>
      </c>
      <c r="AD196" t="s">
        <v>135</v>
      </c>
      <c r="AE196" t="s">
        <v>135</v>
      </c>
      <c r="AF196" t="s">
        <v>135</v>
      </c>
      <c r="AG196" t="s">
        <v>135</v>
      </c>
      <c r="AH196">
        <v>13.6149</v>
      </c>
      <c r="AI196">
        <v>19.7026</v>
      </c>
      <c r="AJ196">
        <v>16.209399999999999</v>
      </c>
      <c r="AK196">
        <v>19.928000000000001</v>
      </c>
      <c r="AL196" t="s">
        <v>135</v>
      </c>
      <c r="AM196">
        <v>11.3223</v>
      </c>
      <c r="AN196" t="s">
        <v>135</v>
      </c>
      <c r="AO196">
        <v>-27.242599999999999</v>
      </c>
      <c r="AP196">
        <v>-12.9999</v>
      </c>
      <c r="AQ196">
        <v>-16.440799999999999</v>
      </c>
      <c r="AR196" t="s">
        <v>135</v>
      </c>
      <c r="AS196" t="s">
        <v>135</v>
      </c>
      <c r="AT196" t="s">
        <v>135</v>
      </c>
      <c r="AU196" t="s">
        <v>135</v>
      </c>
      <c r="AV196" t="s">
        <v>135</v>
      </c>
      <c r="AW196" t="s">
        <v>135</v>
      </c>
      <c r="AX196" t="s">
        <v>135</v>
      </c>
      <c r="AY196" t="s">
        <v>135</v>
      </c>
      <c r="AZ196" t="s">
        <v>135</v>
      </c>
      <c r="BA196" t="s">
        <v>135</v>
      </c>
      <c r="BB196" t="s">
        <v>135</v>
      </c>
      <c r="BC196" t="s">
        <v>135</v>
      </c>
      <c r="BD196" t="s">
        <v>135</v>
      </c>
      <c r="BE196" t="s">
        <v>135</v>
      </c>
      <c r="BF196">
        <v>1.1846000000000001</v>
      </c>
      <c r="BG196" t="s">
        <v>135</v>
      </c>
      <c r="BH196" t="s">
        <v>135</v>
      </c>
      <c r="BI196">
        <v>10297.2464</v>
      </c>
      <c r="BJ196">
        <v>9133.3333000000002</v>
      </c>
      <c r="BK196" t="s">
        <v>135</v>
      </c>
      <c r="BL196" t="s">
        <v>135</v>
      </c>
      <c r="BM196" t="s">
        <v>135</v>
      </c>
      <c r="BN196">
        <v>1.3975</v>
      </c>
      <c r="BO196">
        <v>7.9417999999999997</v>
      </c>
      <c r="BP196" t="s">
        <v>135</v>
      </c>
      <c r="BQ196" t="s">
        <v>135</v>
      </c>
      <c r="BR196" t="s">
        <v>135</v>
      </c>
      <c r="BS196" t="s">
        <v>135</v>
      </c>
      <c r="BT196">
        <v>8.0051000000000005</v>
      </c>
      <c r="BU196">
        <v>1.2968999999999999</v>
      </c>
      <c r="BV196">
        <v>4.9538000000000002</v>
      </c>
      <c r="BW196">
        <v>1.1372</v>
      </c>
      <c r="BX196" t="s">
        <v>135</v>
      </c>
      <c r="BY196">
        <v>2876057.6000000001</v>
      </c>
      <c r="BZ196" t="s">
        <v>135</v>
      </c>
      <c r="CA196">
        <v>2876057.6000000001</v>
      </c>
      <c r="CB196" t="s">
        <v>135</v>
      </c>
      <c r="CC196" t="s">
        <v>135</v>
      </c>
      <c r="CD196">
        <v>77.258700000000005</v>
      </c>
      <c r="CE196">
        <v>26.099</v>
      </c>
      <c r="CF196" t="s">
        <v>135</v>
      </c>
      <c r="CG196">
        <v>6.5133999999999999</v>
      </c>
      <c r="CH196">
        <v>127.7868</v>
      </c>
      <c r="CI196">
        <v>56.099299999999999</v>
      </c>
      <c r="CJ196">
        <v>8.5894999999999992</v>
      </c>
      <c r="CK196">
        <v>127.7868</v>
      </c>
      <c r="CL196">
        <v>56.099299999999999</v>
      </c>
      <c r="CM196">
        <v>8.5894999999999992</v>
      </c>
      <c r="CN196">
        <v>43.167999999999999</v>
      </c>
      <c r="CO196">
        <v>30.152000000000001</v>
      </c>
      <c r="CP196" t="s">
        <v>135</v>
      </c>
      <c r="CQ196" t="s">
        <v>135</v>
      </c>
      <c r="CR196">
        <v>13379</v>
      </c>
      <c r="CS196" t="s">
        <v>135</v>
      </c>
      <c r="CT196" t="s">
        <v>135</v>
      </c>
      <c r="CU196" t="s">
        <v>135</v>
      </c>
      <c r="CV196" t="s">
        <v>135</v>
      </c>
      <c r="CW196" t="s">
        <v>135</v>
      </c>
      <c r="CX196" t="s">
        <v>135</v>
      </c>
      <c r="CY196" t="s">
        <v>135</v>
      </c>
      <c r="CZ196" t="s">
        <v>135</v>
      </c>
      <c r="DA196" t="s">
        <v>135</v>
      </c>
      <c r="DB196" t="s">
        <v>135</v>
      </c>
      <c r="DC196" t="s">
        <v>135</v>
      </c>
      <c r="DD196" t="s">
        <v>135</v>
      </c>
      <c r="DE196" t="s">
        <v>135</v>
      </c>
      <c r="DF196" t="s">
        <v>135</v>
      </c>
      <c r="DG196" t="s">
        <v>135</v>
      </c>
      <c r="DH196" t="s">
        <v>135</v>
      </c>
      <c r="DI196" t="s">
        <v>135</v>
      </c>
    </row>
    <row r="197" spans="1:113" x14ac:dyDescent="0.3">
      <c r="E197" t="s">
        <v>81</v>
      </c>
      <c r="F197">
        <v>0.12130000000000001</v>
      </c>
      <c r="G197">
        <v>7.4000000000000003E-3</v>
      </c>
      <c r="H197">
        <v>-1.6500000000000001E-2</v>
      </c>
      <c r="I197">
        <v>8.7150999999999996</v>
      </c>
      <c r="J197" t="s">
        <v>135</v>
      </c>
      <c r="K197">
        <v>-23.241700000000002</v>
      </c>
      <c r="L197">
        <v>-50.165999999999997</v>
      </c>
      <c r="M197">
        <v>-4.1782000000000004</v>
      </c>
      <c r="N197">
        <v>-47.564</v>
      </c>
      <c r="O197">
        <v>-42.6907</v>
      </c>
      <c r="P197">
        <v>-42.6907</v>
      </c>
      <c r="Q197" t="s">
        <v>135</v>
      </c>
      <c r="R197" t="s">
        <v>135</v>
      </c>
      <c r="S197" t="s">
        <v>135</v>
      </c>
      <c r="T197">
        <v>6.6059999999999999</v>
      </c>
      <c r="U197" t="s">
        <v>135</v>
      </c>
      <c r="V197" t="s">
        <v>135</v>
      </c>
      <c r="W197" t="s">
        <v>135</v>
      </c>
      <c r="X197" t="s">
        <v>135</v>
      </c>
      <c r="Y197" t="s">
        <v>135</v>
      </c>
      <c r="Z197" t="s">
        <v>135</v>
      </c>
      <c r="AA197" t="s">
        <v>135</v>
      </c>
      <c r="AB197">
        <v>233.91319999999999</v>
      </c>
      <c r="AC197">
        <v>12.091799999999999</v>
      </c>
      <c r="AD197" t="s">
        <v>135</v>
      </c>
      <c r="AE197" t="s">
        <v>135</v>
      </c>
      <c r="AF197" t="s">
        <v>135</v>
      </c>
      <c r="AG197">
        <v>-20.7913</v>
      </c>
      <c r="AH197">
        <v>-8.2823999999999991</v>
      </c>
      <c r="AI197">
        <v>19.700900000000001</v>
      </c>
      <c r="AJ197">
        <v>0.61919999999999997</v>
      </c>
      <c r="AK197">
        <v>17.088100000000001</v>
      </c>
      <c r="AL197" t="s">
        <v>135</v>
      </c>
      <c r="AM197">
        <v>9.0139999999999993</v>
      </c>
      <c r="AN197" t="s">
        <v>135</v>
      </c>
      <c r="AO197" t="s">
        <v>135</v>
      </c>
      <c r="AP197" t="s">
        <v>135</v>
      </c>
      <c r="AQ197" t="s">
        <v>135</v>
      </c>
      <c r="AR197" t="s">
        <v>135</v>
      </c>
      <c r="AS197" t="s">
        <v>135</v>
      </c>
      <c r="AT197" t="s">
        <v>135</v>
      </c>
      <c r="AU197">
        <v>47.052799999999998</v>
      </c>
      <c r="AV197">
        <v>13.4887</v>
      </c>
      <c r="AW197" t="s">
        <v>135</v>
      </c>
      <c r="AX197" t="s">
        <v>135</v>
      </c>
      <c r="AY197" t="s">
        <v>135</v>
      </c>
      <c r="AZ197">
        <v>-9.5873000000000008</v>
      </c>
      <c r="BA197">
        <v>11.906499999999999</v>
      </c>
      <c r="BB197">
        <v>15.2601</v>
      </c>
      <c r="BC197">
        <v>13.1067</v>
      </c>
      <c r="BD197">
        <v>11.465299999999999</v>
      </c>
      <c r="BE197" t="s">
        <v>135</v>
      </c>
      <c r="BF197">
        <v>9.5155999999999992</v>
      </c>
      <c r="BG197" t="s">
        <v>135</v>
      </c>
      <c r="BH197">
        <v>-221.16919999999999</v>
      </c>
      <c r="BI197">
        <v>-238.35409999999999</v>
      </c>
      <c r="BJ197">
        <v>-235.3655</v>
      </c>
      <c r="BK197" t="s">
        <v>135</v>
      </c>
      <c r="BL197" t="s">
        <v>135</v>
      </c>
      <c r="BM197" t="s">
        <v>135</v>
      </c>
      <c r="BN197">
        <v>2.4899999999999999E-2</v>
      </c>
      <c r="BO197">
        <v>2.8909000000000002</v>
      </c>
      <c r="BP197" t="s">
        <v>135</v>
      </c>
      <c r="BQ197" t="s">
        <v>135</v>
      </c>
      <c r="BR197" t="s">
        <v>135</v>
      </c>
      <c r="BS197" t="s">
        <v>135</v>
      </c>
      <c r="BT197">
        <v>27.738199999999999</v>
      </c>
      <c r="BU197">
        <v>-0.61939999999999995</v>
      </c>
      <c r="BV197">
        <v>15.289</v>
      </c>
      <c r="BW197">
        <v>-3.0438999999999998</v>
      </c>
      <c r="BX197" t="s">
        <v>135</v>
      </c>
      <c r="BY197">
        <v>3673822.9569999999</v>
      </c>
      <c r="BZ197">
        <v>310205.30900000001</v>
      </c>
      <c r="CA197">
        <v>3363617.648</v>
      </c>
      <c r="CB197" t="s">
        <v>135</v>
      </c>
      <c r="CC197" t="s">
        <v>135</v>
      </c>
      <c r="CD197">
        <v>388.83550000000002</v>
      </c>
      <c r="CE197">
        <v>99.685100000000006</v>
      </c>
      <c r="CF197" t="s">
        <v>135</v>
      </c>
      <c r="CG197">
        <v>6.3042999999999996</v>
      </c>
      <c r="CH197">
        <v>150.38120000000001</v>
      </c>
      <c r="CI197">
        <v>56.908700000000003</v>
      </c>
      <c r="CJ197">
        <v>9.7634000000000007</v>
      </c>
      <c r="CK197">
        <v>164.2499</v>
      </c>
      <c r="CL197">
        <v>62.156999999999996</v>
      </c>
      <c r="CM197">
        <v>10.6638</v>
      </c>
      <c r="CN197">
        <v>42.108400000000003</v>
      </c>
      <c r="CO197">
        <v>29.6312</v>
      </c>
      <c r="CP197" t="s">
        <v>135</v>
      </c>
      <c r="CQ197" t="s">
        <v>135</v>
      </c>
      <c r="CR197">
        <v>-16211.228999999999</v>
      </c>
      <c r="CS197" t="s">
        <v>135</v>
      </c>
      <c r="CT197" t="s">
        <v>135</v>
      </c>
      <c r="CU197" t="s">
        <v>135</v>
      </c>
      <c r="CV197" t="s">
        <v>135</v>
      </c>
      <c r="CW197" t="s">
        <v>135</v>
      </c>
      <c r="CX197" t="s">
        <v>135</v>
      </c>
      <c r="CY197" t="s">
        <v>135</v>
      </c>
      <c r="CZ197" t="s">
        <v>135</v>
      </c>
      <c r="DA197" t="s">
        <v>135</v>
      </c>
      <c r="DB197" t="s">
        <v>135</v>
      </c>
      <c r="DC197" t="s">
        <v>135</v>
      </c>
      <c r="DD197" t="s">
        <v>135</v>
      </c>
      <c r="DE197" t="s">
        <v>135</v>
      </c>
      <c r="DF197" t="s">
        <v>135</v>
      </c>
      <c r="DG197" t="s">
        <v>135</v>
      </c>
      <c r="DH197" t="s">
        <v>135</v>
      </c>
      <c r="DI197" t="s">
        <v>135</v>
      </c>
    </row>
    <row r="198" spans="1:113" x14ac:dyDescent="0.3">
      <c r="D198" t="s">
        <v>85</v>
      </c>
      <c r="E198" t="s">
        <v>77</v>
      </c>
      <c r="F198">
        <v>-2.0362999999999998</v>
      </c>
      <c r="G198">
        <v>-0.129</v>
      </c>
      <c r="H198">
        <v>-0.61380000000000001</v>
      </c>
      <c r="I198">
        <v>9.7899999999999991</v>
      </c>
      <c r="J198" t="s">
        <v>135</v>
      </c>
      <c r="K198">
        <v>-8.0693000000000001</v>
      </c>
      <c r="L198" t="s">
        <v>135</v>
      </c>
      <c r="M198">
        <v>-4.1041999999999996</v>
      </c>
      <c r="N198">
        <v>-2.4706999999999999</v>
      </c>
      <c r="O198">
        <v>-3.0026000000000002</v>
      </c>
      <c r="P198">
        <v>-3.0026000000000002</v>
      </c>
      <c r="Q198" t="s">
        <v>135</v>
      </c>
      <c r="R198" t="s">
        <v>135</v>
      </c>
      <c r="S198" t="s">
        <v>135</v>
      </c>
      <c r="T198">
        <v>0.48220000000000002</v>
      </c>
      <c r="U198" t="s">
        <v>135</v>
      </c>
      <c r="V198" t="s">
        <v>135</v>
      </c>
      <c r="W198" t="s">
        <v>135</v>
      </c>
      <c r="X198" t="s">
        <v>135</v>
      </c>
      <c r="Y198" t="s">
        <v>135</v>
      </c>
      <c r="Z198" t="s">
        <v>135</v>
      </c>
      <c r="AA198" t="s">
        <v>135</v>
      </c>
      <c r="AB198">
        <v>-19.071100000000001</v>
      </c>
      <c r="AC198">
        <v>4.9725999999999999</v>
      </c>
      <c r="AD198" t="s">
        <v>135</v>
      </c>
      <c r="AE198" t="s">
        <v>135</v>
      </c>
      <c r="AF198" t="s">
        <v>135</v>
      </c>
      <c r="AG198">
        <v>-13.9938</v>
      </c>
      <c r="AH198">
        <v>7.7206000000000001</v>
      </c>
      <c r="AI198">
        <v>5.0361000000000002</v>
      </c>
      <c r="AJ198">
        <v>6.7046999999999999</v>
      </c>
      <c r="AK198">
        <v>-5.2559000000000005</v>
      </c>
      <c r="AL198">
        <v>55.003300000000003</v>
      </c>
      <c r="AM198">
        <v>8.1647999999999996</v>
      </c>
      <c r="AN198" t="s">
        <v>135</v>
      </c>
      <c r="AO198" t="s">
        <v>135</v>
      </c>
      <c r="AP198" t="s">
        <v>135</v>
      </c>
      <c r="AQ198" t="s">
        <v>135</v>
      </c>
      <c r="AR198">
        <v>-100</v>
      </c>
      <c r="AS198" t="s">
        <v>135</v>
      </c>
      <c r="AT198" t="s">
        <v>135</v>
      </c>
      <c r="AU198">
        <v>34.488900000000001</v>
      </c>
      <c r="AV198">
        <v>11.1357</v>
      </c>
      <c r="AW198" t="s">
        <v>135</v>
      </c>
      <c r="AX198" t="s">
        <v>135</v>
      </c>
      <c r="AY198" t="s">
        <v>135</v>
      </c>
      <c r="AZ198">
        <v>-15.507199999999999</v>
      </c>
      <c r="BA198">
        <v>8.2962000000000007</v>
      </c>
      <c r="BB198">
        <v>12.688499999999999</v>
      </c>
      <c r="BC198">
        <v>9.8123000000000005</v>
      </c>
      <c r="BD198">
        <v>7.1421000000000001</v>
      </c>
      <c r="BE198" t="s">
        <v>135</v>
      </c>
      <c r="BF198">
        <v>0.48220000000000002</v>
      </c>
      <c r="BG198" t="s">
        <v>135</v>
      </c>
      <c r="BH198">
        <v>-1395.9952000000001</v>
      </c>
      <c r="BI198">
        <v>-1988.7546</v>
      </c>
      <c r="BJ198">
        <v>-1822.5806</v>
      </c>
      <c r="BK198">
        <v>-100</v>
      </c>
      <c r="BL198" t="s">
        <v>135</v>
      </c>
      <c r="BM198" t="s">
        <v>135</v>
      </c>
      <c r="BN198">
        <v>-19.071100000000001</v>
      </c>
      <c r="BO198">
        <v>4.9725999999999999</v>
      </c>
      <c r="BP198" t="s">
        <v>135</v>
      </c>
      <c r="BQ198" t="s">
        <v>135</v>
      </c>
      <c r="BR198" t="s">
        <v>135</v>
      </c>
      <c r="BS198">
        <v>-13.9938</v>
      </c>
      <c r="BT198">
        <v>7.7206000000000001</v>
      </c>
      <c r="BU198">
        <v>5.0361000000000002</v>
      </c>
      <c r="BV198">
        <v>6.7046999999999999</v>
      </c>
      <c r="BW198">
        <v>-5.2559000000000005</v>
      </c>
      <c r="BX198" t="s">
        <v>135</v>
      </c>
      <c r="BY198">
        <v>3957464.1409999998</v>
      </c>
      <c r="BZ198">
        <v>266795.65299999999</v>
      </c>
      <c r="CA198">
        <v>3690668.4879999999</v>
      </c>
      <c r="CB198" t="s">
        <v>135</v>
      </c>
      <c r="CC198" t="s">
        <v>135</v>
      </c>
      <c r="CD198" t="s">
        <v>135</v>
      </c>
      <c r="CE198" t="s">
        <v>135</v>
      </c>
      <c r="CF198" t="s">
        <v>135</v>
      </c>
      <c r="CG198">
        <v>6.3688000000000002</v>
      </c>
      <c r="CH198">
        <v>157.0917</v>
      </c>
      <c r="CI198">
        <v>58.518500000000003</v>
      </c>
      <c r="CJ198">
        <v>10.205299999999999</v>
      </c>
      <c r="CK198">
        <v>168.4478</v>
      </c>
      <c r="CL198">
        <v>62.748800000000003</v>
      </c>
      <c r="CM198">
        <v>10.943</v>
      </c>
      <c r="CN198">
        <v>85.323800000000006</v>
      </c>
      <c r="CO198">
        <v>46.040399999999998</v>
      </c>
      <c r="CP198" t="s">
        <v>135</v>
      </c>
      <c r="CQ198" t="s">
        <v>135</v>
      </c>
      <c r="CR198">
        <v>-122449.13800000001</v>
      </c>
      <c r="CS198" t="s">
        <v>135</v>
      </c>
      <c r="CT198" t="s">
        <v>135</v>
      </c>
      <c r="CU198" t="s">
        <v>135</v>
      </c>
      <c r="CV198" t="s">
        <v>135</v>
      </c>
      <c r="CW198" t="s">
        <v>135</v>
      </c>
      <c r="CX198" t="s">
        <v>135</v>
      </c>
      <c r="CY198" t="s">
        <v>135</v>
      </c>
      <c r="CZ198" t="s">
        <v>135</v>
      </c>
      <c r="DA198" t="s">
        <v>135</v>
      </c>
      <c r="DB198" t="s">
        <v>135</v>
      </c>
      <c r="DC198" t="s">
        <v>135</v>
      </c>
      <c r="DD198" t="s">
        <v>135</v>
      </c>
      <c r="DE198" t="s">
        <v>135</v>
      </c>
      <c r="DF198" t="s">
        <v>135</v>
      </c>
      <c r="DG198" t="s">
        <v>135</v>
      </c>
      <c r="DH198" t="s">
        <v>135</v>
      </c>
      <c r="DI198" t="s">
        <v>135</v>
      </c>
    </row>
    <row r="199" spans="1:113" x14ac:dyDescent="0.3">
      <c r="E199" t="s">
        <v>78</v>
      </c>
      <c r="F199">
        <v>0.98229999999999995</v>
      </c>
      <c r="G199">
        <v>7.0499999999999993E-2</v>
      </c>
      <c r="H199">
        <v>0.45019999999999999</v>
      </c>
      <c r="I199">
        <v>11.5616</v>
      </c>
      <c r="J199" t="s">
        <v>135</v>
      </c>
      <c r="K199">
        <v>13.118399999999999</v>
      </c>
      <c r="L199">
        <v>1264.5214000000001</v>
      </c>
      <c r="M199">
        <v>6.1685999999999996</v>
      </c>
      <c r="N199">
        <v>9.5912000000000006</v>
      </c>
      <c r="O199">
        <v>9.1098999999999997</v>
      </c>
      <c r="P199">
        <v>9.1098999999999997</v>
      </c>
      <c r="Q199">
        <v>28.8733</v>
      </c>
      <c r="R199" t="s">
        <v>135</v>
      </c>
      <c r="S199" t="s">
        <v>135</v>
      </c>
      <c r="T199">
        <v>1.9617</v>
      </c>
      <c r="U199" t="s">
        <v>135</v>
      </c>
      <c r="V199">
        <v>207.738</v>
      </c>
      <c r="W199">
        <v>189.85470000000001</v>
      </c>
      <c r="X199">
        <v>160.17269999999999</v>
      </c>
      <c r="Y199" t="s">
        <v>135</v>
      </c>
      <c r="Z199" t="s">
        <v>135</v>
      </c>
      <c r="AA199" t="s">
        <v>135</v>
      </c>
      <c r="AB199">
        <v>7.9965000000000002</v>
      </c>
      <c r="AC199">
        <v>11.662800000000001</v>
      </c>
      <c r="AD199" t="s">
        <v>135</v>
      </c>
      <c r="AE199" t="s">
        <v>135</v>
      </c>
      <c r="AF199" t="s">
        <v>135</v>
      </c>
      <c r="AG199" t="s">
        <v>135</v>
      </c>
      <c r="AH199">
        <v>-3.9794999999999998</v>
      </c>
      <c r="AI199">
        <v>10.416700000000001</v>
      </c>
      <c r="AJ199">
        <v>2.7237</v>
      </c>
      <c r="AK199">
        <v>0.57950000000000002</v>
      </c>
      <c r="AL199" t="s">
        <v>135</v>
      </c>
      <c r="AM199">
        <v>8.6064000000000007</v>
      </c>
      <c r="AN199" t="s">
        <v>135</v>
      </c>
      <c r="AO199">
        <v>-10.247299999999999</v>
      </c>
      <c r="AP199">
        <v>-9.0603999999999996</v>
      </c>
      <c r="AQ199">
        <v>-13.526299999999999</v>
      </c>
      <c r="AR199" t="s">
        <v>135</v>
      </c>
      <c r="AS199" t="s">
        <v>135</v>
      </c>
      <c r="AT199" t="s">
        <v>135</v>
      </c>
      <c r="AU199" t="s">
        <v>135</v>
      </c>
      <c r="AV199" t="s">
        <v>135</v>
      </c>
      <c r="AW199" t="s">
        <v>135</v>
      </c>
      <c r="AX199" t="s">
        <v>135</v>
      </c>
      <c r="AY199" t="s">
        <v>135</v>
      </c>
      <c r="AZ199" t="s">
        <v>135</v>
      </c>
      <c r="BA199" t="s">
        <v>135</v>
      </c>
      <c r="BB199" t="s">
        <v>135</v>
      </c>
      <c r="BC199" t="s">
        <v>135</v>
      </c>
      <c r="BD199" t="s">
        <v>135</v>
      </c>
      <c r="BE199" t="s">
        <v>135</v>
      </c>
      <c r="BF199">
        <v>-12.4085</v>
      </c>
      <c r="BG199" t="s">
        <v>135</v>
      </c>
      <c r="BH199" t="s">
        <v>135</v>
      </c>
      <c r="BI199" t="s">
        <v>135</v>
      </c>
      <c r="BJ199" t="s">
        <v>135</v>
      </c>
      <c r="BK199" t="s">
        <v>135</v>
      </c>
      <c r="BL199" t="s">
        <v>135</v>
      </c>
      <c r="BM199" t="s">
        <v>135</v>
      </c>
      <c r="BN199">
        <v>0.47470000000000001</v>
      </c>
      <c r="BO199">
        <v>-3.2048000000000001</v>
      </c>
      <c r="BP199" t="s">
        <v>135</v>
      </c>
      <c r="BQ199" t="s">
        <v>135</v>
      </c>
      <c r="BR199" t="s">
        <v>135</v>
      </c>
      <c r="BS199" t="s">
        <v>135</v>
      </c>
      <c r="BT199">
        <v>-33.941299999999998</v>
      </c>
      <c r="BU199">
        <v>8.7166999999999994</v>
      </c>
      <c r="BV199">
        <v>-17.798300000000001</v>
      </c>
      <c r="BW199">
        <v>1.8163</v>
      </c>
      <c r="BX199" t="s">
        <v>135</v>
      </c>
      <c r="BY199">
        <v>2426878.5</v>
      </c>
      <c r="BZ199" t="s">
        <v>135</v>
      </c>
      <c r="CA199">
        <v>2426878.5</v>
      </c>
      <c r="CB199" t="s">
        <v>135</v>
      </c>
      <c r="CC199" t="s">
        <v>135</v>
      </c>
      <c r="CD199">
        <v>62.354799999999997</v>
      </c>
      <c r="CE199">
        <v>3.8317999999999999</v>
      </c>
      <c r="CF199" t="s">
        <v>135</v>
      </c>
      <c r="CG199">
        <v>7.1791</v>
      </c>
      <c r="CH199">
        <v>99.801900000000003</v>
      </c>
      <c r="CI199">
        <v>49.950400000000002</v>
      </c>
      <c r="CJ199">
        <v>7.2775999999999996</v>
      </c>
      <c r="CK199">
        <v>99.801900000000003</v>
      </c>
      <c r="CL199">
        <v>49.950400000000002</v>
      </c>
      <c r="CM199">
        <v>7.2775999999999996</v>
      </c>
      <c r="CN199">
        <v>6.133</v>
      </c>
      <c r="CO199">
        <v>5.7786</v>
      </c>
      <c r="CP199" t="s">
        <v>135</v>
      </c>
      <c r="CQ199" t="s">
        <v>135</v>
      </c>
      <c r="CR199">
        <v>43659.4</v>
      </c>
      <c r="CS199" t="s">
        <v>135</v>
      </c>
      <c r="CT199" t="s">
        <v>135</v>
      </c>
      <c r="CU199" t="s">
        <v>135</v>
      </c>
      <c r="CV199" t="s">
        <v>135</v>
      </c>
      <c r="CW199" t="s">
        <v>135</v>
      </c>
      <c r="CX199" t="s">
        <v>135</v>
      </c>
      <c r="CY199" t="s">
        <v>135</v>
      </c>
      <c r="CZ199" t="s">
        <v>135</v>
      </c>
      <c r="DA199" t="s">
        <v>135</v>
      </c>
      <c r="DB199" t="s">
        <v>135</v>
      </c>
      <c r="DC199" t="s">
        <v>135</v>
      </c>
      <c r="DD199" t="s">
        <v>135</v>
      </c>
      <c r="DE199" t="s">
        <v>135</v>
      </c>
      <c r="DF199" t="s">
        <v>135</v>
      </c>
      <c r="DG199" t="s">
        <v>135</v>
      </c>
      <c r="DH199" t="s">
        <v>135</v>
      </c>
      <c r="DI199" t="s">
        <v>135</v>
      </c>
    </row>
    <row r="200" spans="1:113" x14ac:dyDescent="0.3">
      <c r="E200" t="s">
        <v>79</v>
      </c>
      <c r="F200">
        <v>1.7686999999999999</v>
      </c>
      <c r="G200">
        <v>0.12479999999999999</v>
      </c>
      <c r="H200">
        <v>0.85640000000000005</v>
      </c>
      <c r="I200">
        <v>11.7674</v>
      </c>
      <c r="J200" t="s">
        <v>135</v>
      </c>
      <c r="K200">
        <v>-9.4059000000000008</v>
      </c>
      <c r="L200" t="s">
        <v>135</v>
      </c>
      <c r="M200">
        <v>1.8914</v>
      </c>
      <c r="N200">
        <v>5.3494999999999999</v>
      </c>
      <c r="O200">
        <v>4.7838000000000003</v>
      </c>
      <c r="P200">
        <v>4.7838000000000003</v>
      </c>
      <c r="Q200" t="s">
        <v>135</v>
      </c>
      <c r="R200" t="s">
        <v>135</v>
      </c>
      <c r="S200" t="s">
        <v>135</v>
      </c>
      <c r="T200">
        <v>2.7841</v>
      </c>
      <c r="U200" t="s">
        <v>135</v>
      </c>
      <c r="V200">
        <v>-1797.8653999999999</v>
      </c>
      <c r="W200">
        <v>8790.9662000000008</v>
      </c>
      <c r="X200">
        <v>6933.3333000000002</v>
      </c>
      <c r="Y200" t="s">
        <v>135</v>
      </c>
      <c r="Z200" t="s">
        <v>135</v>
      </c>
      <c r="AA200" t="s">
        <v>135</v>
      </c>
      <c r="AB200">
        <v>2.5497999999999998</v>
      </c>
      <c r="AC200">
        <v>9.0923999999999996</v>
      </c>
      <c r="AD200" t="s">
        <v>135</v>
      </c>
      <c r="AE200" t="s">
        <v>135</v>
      </c>
      <c r="AF200" t="s">
        <v>135</v>
      </c>
      <c r="AG200" t="s">
        <v>135</v>
      </c>
      <c r="AH200">
        <v>-4.2747999999999999</v>
      </c>
      <c r="AI200">
        <v>10.9415</v>
      </c>
      <c r="AJ200">
        <v>2.6463999999999999</v>
      </c>
      <c r="AK200">
        <v>0.9103</v>
      </c>
      <c r="AL200" t="s">
        <v>135</v>
      </c>
      <c r="AM200">
        <v>8.4680999999999997</v>
      </c>
      <c r="AN200" t="s">
        <v>135</v>
      </c>
      <c r="AO200" t="s">
        <v>135</v>
      </c>
      <c r="AP200">
        <v>-16.6511</v>
      </c>
      <c r="AQ200">
        <v>-20.909400000000002</v>
      </c>
      <c r="AR200" t="s">
        <v>135</v>
      </c>
      <c r="AS200" t="s">
        <v>135</v>
      </c>
      <c r="AT200" t="s">
        <v>135</v>
      </c>
      <c r="AU200">
        <v>42.846800000000002</v>
      </c>
      <c r="AV200">
        <v>11.5977</v>
      </c>
      <c r="AW200" t="s">
        <v>135</v>
      </c>
      <c r="AX200" t="s">
        <v>135</v>
      </c>
      <c r="AY200" t="s">
        <v>135</v>
      </c>
      <c r="AZ200" t="s">
        <v>135</v>
      </c>
      <c r="BA200">
        <v>7.9118000000000004</v>
      </c>
      <c r="BB200">
        <v>15.397</v>
      </c>
      <c r="BC200">
        <v>11.218</v>
      </c>
      <c r="BD200">
        <v>10.069800000000001</v>
      </c>
      <c r="BE200" t="s">
        <v>135</v>
      </c>
      <c r="BF200">
        <v>5.8945999999999996</v>
      </c>
      <c r="BG200" t="s">
        <v>135</v>
      </c>
      <c r="BH200">
        <v>-182.88390000000001</v>
      </c>
      <c r="BI200">
        <v>-39.297400000000003</v>
      </c>
      <c r="BJ200">
        <v>-39.926000000000002</v>
      </c>
      <c r="BK200" t="s">
        <v>135</v>
      </c>
      <c r="BL200" t="s">
        <v>135</v>
      </c>
      <c r="BM200" t="s">
        <v>135</v>
      </c>
      <c r="BN200">
        <v>0.63349999999999995</v>
      </c>
      <c r="BO200">
        <v>1.4784999999999999</v>
      </c>
      <c r="BP200" t="s">
        <v>135</v>
      </c>
      <c r="BQ200" t="s">
        <v>135</v>
      </c>
      <c r="BR200" t="s">
        <v>135</v>
      </c>
      <c r="BS200" t="s">
        <v>135</v>
      </c>
      <c r="BT200">
        <v>5.0345000000000004</v>
      </c>
      <c r="BU200">
        <v>1.3677999999999999</v>
      </c>
      <c r="BV200">
        <v>3.1993</v>
      </c>
      <c r="BW200">
        <v>1.0724</v>
      </c>
      <c r="BX200" t="s">
        <v>135</v>
      </c>
      <c r="BY200">
        <v>2549058.6</v>
      </c>
      <c r="BZ200" t="s">
        <v>135</v>
      </c>
      <c r="CA200">
        <v>2549058.6</v>
      </c>
      <c r="CB200" t="s">
        <v>135</v>
      </c>
      <c r="CC200" t="s">
        <v>135</v>
      </c>
      <c r="CD200">
        <v>549.29849999999999</v>
      </c>
      <c r="CE200">
        <v>160.65100000000001</v>
      </c>
      <c r="CF200" t="s">
        <v>135</v>
      </c>
      <c r="CG200">
        <v>7.1504000000000003</v>
      </c>
      <c r="CH200">
        <v>103.4119</v>
      </c>
      <c r="CI200">
        <v>50.838700000000003</v>
      </c>
      <c r="CJ200">
        <v>7.5326000000000004</v>
      </c>
      <c r="CK200">
        <v>103.4119</v>
      </c>
      <c r="CL200">
        <v>50.838700000000003</v>
      </c>
      <c r="CM200">
        <v>7.5326000000000004</v>
      </c>
      <c r="CN200">
        <v>30.244399999999999</v>
      </c>
      <c r="CO200">
        <v>23.221299999999999</v>
      </c>
      <c r="CP200" t="s">
        <v>135</v>
      </c>
      <c r="CQ200" t="s">
        <v>135</v>
      </c>
      <c r="CR200">
        <v>-36186.6</v>
      </c>
      <c r="CS200" t="s">
        <v>135</v>
      </c>
      <c r="CT200" t="s">
        <v>135</v>
      </c>
      <c r="CU200" t="s">
        <v>135</v>
      </c>
      <c r="CV200" t="s">
        <v>135</v>
      </c>
      <c r="CW200" t="s">
        <v>135</v>
      </c>
      <c r="CX200" t="s">
        <v>135</v>
      </c>
      <c r="CY200" t="s">
        <v>135</v>
      </c>
      <c r="CZ200" t="s">
        <v>135</v>
      </c>
      <c r="DA200" t="s">
        <v>135</v>
      </c>
      <c r="DB200" t="s">
        <v>135</v>
      </c>
      <c r="DC200" t="s">
        <v>135</v>
      </c>
      <c r="DD200" t="s">
        <v>135</v>
      </c>
      <c r="DE200" t="s">
        <v>135</v>
      </c>
      <c r="DF200" t="s">
        <v>135</v>
      </c>
      <c r="DG200" t="s">
        <v>135</v>
      </c>
      <c r="DH200" t="s">
        <v>135</v>
      </c>
      <c r="DI200" t="s">
        <v>135</v>
      </c>
    </row>
    <row r="201" spans="1:113" x14ac:dyDescent="0.3">
      <c r="E201" t="s">
        <v>80</v>
      </c>
      <c r="F201">
        <v>3.5999999999999999E-3</v>
      </c>
      <c r="G201">
        <v>2.0000000000000001E-4</v>
      </c>
      <c r="H201">
        <v>5.2200000000000003E-2</v>
      </c>
      <c r="I201">
        <v>11.6982</v>
      </c>
      <c r="J201" t="s">
        <v>135</v>
      </c>
      <c r="K201">
        <v>-16.526900000000001</v>
      </c>
      <c r="L201" t="s">
        <v>135</v>
      </c>
      <c r="M201">
        <v>-8.4199000000000002</v>
      </c>
      <c r="N201">
        <v>-4.4112999999999998</v>
      </c>
      <c r="O201">
        <v>-4.9912999999999998</v>
      </c>
      <c r="P201">
        <v>-4.9912999999999998</v>
      </c>
      <c r="Q201" t="s">
        <v>135</v>
      </c>
      <c r="R201" t="s">
        <v>135</v>
      </c>
      <c r="S201" t="s">
        <v>135</v>
      </c>
      <c r="T201">
        <v>0.55379999999999996</v>
      </c>
      <c r="U201" t="s">
        <v>135</v>
      </c>
      <c r="V201" t="s">
        <v>135</v>
      </c>
      <c r="W201" t="s">
        <v>135</v>
      </c>
      <c r="X201" t="s">
        <v>135</v>
      </c>
      <c r="Y201" t="s">
        <v>135</v>
      </c>
      <c r="Z201" t="s">
        <v>135</v>
      </c>
      <c r="AA201" t="s">
        <v>135</v>
      </c>
      <c r="AB201">
        <v>-19.456299999999999</v>
      </c>
      <c r="AC201">
        <v>1.9887000000000001</v>
      </c>
      <c r="AD201" t="s">
        <v>135</v>
      </c>
      <c r="AE201" t="s">
        <v>135</v>
      </c>
      <c r="AF201" t="s">
        <v>135</v>
      </c>
      <c r="AG201" t="s">
        <v>135</v>
      </c>
      <c r="AH201">
        <v>-6.0477999999999996</v>
      </c>
      <c r="AI201">
        <v>3.3542999999999998</v>
      </c>
      <c r="AJ201">
        <v>-1.9201999999999999</v>
      </c>
      <c r="AK201">
        <v>-5.9596999999999998</v>
      </c>
      <c r="AL201" t="s">
        <v>135</v>
      </c>
      <c r="AM201">
        <v>7.8088999999999995</v>
      </c>
      <c r="AN201" t="s">
        <v>135</v>
      </c>
      <c r="AO201" t="s">
        <v>135</v>
      </c>
      <c r="AP201" t="s">
        <v>135</v>
      </c>
      <c r="AQ201" t="s">
        <v>135</v>
      </c>
      <c r="AR201" t="s">
        <v>135</v>
      </c>
      <c r="AS201" t="s">
        <v>135</v>
      </c>
      <c r="AT201" t="s">
        <v>135</v>
      </c>
      <c r="AU201">
        <v>35.268999999999998</v>
      </c>
      <c r="AV201">
        <v>11.275600000000001</v>
      </c>
      <c r="AW201" t="s">
        <v>135</v>
      </c>
      <c r="AX201" t="s">
        <v>135</v>
      </c>
      <c r="AY201" t="s">
        <v>135</v>
      </c>
      <c r="AZ201" t="s">
        <v>135</v>
      </c>
      <c r="BA201">
        <v>8.6408000000000005</v>
      </c>
      <c r="BB201">
        <v>12.988300000000001</v>
      </c>
      <c r="BC201">
        <v>10.525700000000001</v>
      </c>
      <c r="BD201">
        <v>7.7420999999999998</v>
      </c>
      <c r="BE201" t="s">
        <v>135</v>
      </c>
      <c r="BF201">
        <v>-1.0108999999999999</v>
      </c>
      <c r="BG201" t="s">
        <v>135</v>
      </c>
      <c r="BH201" t="s">
        <v>135</v>
      </c>
      <c r="BI201">
        <v>-202.50700000000001</v>
      </c>
      <c r="BJ201">
        <v>-203.79150000000001</v>
      </c>
      <c r="BK201" t="s">
        <v>135</v>
      </c>
      <c r="BL201" t="s">
        <v>135</v>
      </c>
      <c r="BM201" t="s">
        <v>135</v>
      </c>
      <c r="BN201">
        <v>-20.3613</v>
      </c>
      <c r="BO201">
        <v>0.91310000000000002</v>
      </c>
      <c r="BP201" t="s">
        <v>135</v>
      </c>
      <c r="BQ201" t="s">
        <v>135</v>
      </c>
      <c r="BR201" t="s">
        <v>135</v>
      </c>
      <c r="BS201" t="s">
        <v>135</v>
      </c>
      <c r="BT201">
        <v>6.0045999999999999</v>
      </c>
      <c r="BU201">
        <v>-5.6307</v>
      </c>
      <c r="BV201">
        <v>0.28449999999999998</v>
      </c>
      <c r="BW201">
        <v>-5.7483000000000004</v>
      </c>
      <c r="BX201" t="s">
        <v>135</v>
      </c>
      <c r="BY201">
        <v>2702119.4</v>
      </c>
      <c r="BZ201" t="s">
        <v>135</v>
      </c>
      <c r="CA201">
        <v>2702119.4</v>
      </c>
      <c r="CB201" t="s">
        <v>135</v>
      </c>
      <c r="CC201" t="s">
        <v>135</v>
      </c>
      <c r="CD201" t="s">
        <v>135</v>
      </c>
      <c r="CE201" t="s">
        <v>135</v>
      </c>
      <c r="CF201" t="s">
        <v>135</v>
      </c>
      <c r="CG201">
        <v>6.6783999999999999</v>
      </c>
      <c r="CH201">
        <v>116.1621</v>
      </c>
      <c r="CI201">
        <v>53.738399999999999</v>
      </c>
      <c r="CJ201">
        <v>7.9127000000000001</v>
      </c>
      <c r="CK201">
        <v>116.1621</v>
      </c>
      <c r="CL201">
        <v>53.738399999999999</v>
      </c>
      <c r="CM201">
        <v>7.9127000000000001</v>
      </c>
      <c r="CN201">
        <v>38.925400000000003</v>
      </c>
      <c r="CO201">
        <v>28.018899999999999</v>
      </c>
      <c r="CP201" t="s">
        <v>135</v>
      </c>
      <c r="CQ201" t="s">
        <v>135</v>
      </c>
      <c r="CR201">
        <v>-62467.6</v>
      </c>
      <c r="CS201" t="s">
        <v>135</v>
      </c>
      <c r="CT201" t="s">
        <v>135</v>
      </c>
      <c r="CU201" t="s">
        <v>135</v>
      </c>
      <c r="CV201" t="s">
        <v>135</v>
      </c>
      <c r="CW201" t="s">
        <v>135</v>
      </c>
      <c r="CX201" t="s">
        <v>135</v>
      </c>
      <c r="CY201" t="s">
        <v>135</v>
      </c>
      <c r="CZ201" t="s">
        <v>135</v>
      </c>
      <c r="DA201" t="s">
        <v>135</v>
      </c>
      <c r="DB201" t="s">
        <v>135</v>
      </c>
      <c r="DC201" t="s">
        <v>135</v>
      </c>
      <c r="DD201" t="s">
        <v>135</v>
      </c>
      <c r="DE201" t="s">
        <v>135</v>
      </c>
      <c r="DF201" t="s">
        <v>135</v>
      </c>
      <c r="DG201" t="s">
        <v>135</v>
      </c>
      <c r="DH201" t="s">
        <v>135</v>
      </c>
      <c r="DI201" t="s">
        <v>135</v>
      </c>
    </row>
    <row r="202" spans="1:113" x14ac:dyDescent="0.3">
      <c r="E202" t="s">
        <v>81</v>
      </c>
      <c r="F202">
        <v>-2.0362999999999998</v>
      </c>
      <c r="G202">
        <v>-0.129</v>
      </c>
      <c r="H202">
        <v>-0.61380000000000001</v>
      </c>
      <c r="I202">
        <v>9.2378</v>
      </c>
      <c r="J202" t="s">
        <v>135</v>
      </c>
      <c r="K202">
        <v>-54.540100000000002</v>
      </c>
      <c r="L202" t="s">
        <v>135</v>
      </c>
      <c r="M202">
        <v>-25.565999999999999</v>
      </c>
      <c r="N202">
        <v>-59.283000000000001</v>
      </c>
      <c r="O202">
        <v>-60.981000000000002</v>
      </c>
      <c r="P202">
        <v>-60.981000000000002</v>
      </c>
      <c r="Q202" t="s">
        <v>135</v>
      </c>
      <c r="R202" t="s">
        <v>135</v>
      </c>
      <c r="S202" t="s">
        <v>135</v>
      </c>
      <c r="T202">
        <v>-42.968299999999999</v>
      </c>
      <c r="U202" t="s">
        <v>135</v>
      </c>
      <c r="V202">
        <v>-316.09640000000002</v>
      </c>
      <c r="W202">
        <v>-153.28399999999999</v>
      </c>
      <c r="X202">
        <v>-144.22450000000001</v>
      </c>
      <c r="Y202" t="s">
        <v>135</v>
      </c>
      <c r="Z202" t="s">
        <v>135</v>
      </c>
      <c r="AA202" t="s">
        <v>135</v>
      </c>
      <c r="AB202">
        <v>-19.071100000000001</v>
      </c>
      <c r="AC202">
        <v>4.9725999999999999</v>
      </c>
      <c r="AD202" t="s">
        <v>135</v>
      </c>
      <c r="AE202" t="s">
        <v>135</v>
      </c>
      <c r="AF202" t="s">
        <v>135</v>
      </c>
      <c r="AG202">
        <v>-13.9938</v>
      </c>
      <c r="AH202">
        <v>7.7206000000000001</v>
      </c>
      <c r="AI202">
        <v>5.0361000000000002</v>
      </c>
      <c r="AJ202">
        <v>6.7046999999999999</v>
      </c>
      <c r="AK202">
        <v>-5.2559000000000005</v>
      </c>
      <c r="AL202" t="s">
        <v>135</v>
      </c>
      <c r="AM202">
        <v>-2.7278000000000002</v>
      </c>
      <c r="AN202" t="s">
        <v>135</v>
      </c>
      <c r="AO202" t="s">
        <v>135</v>
      </c>
      <c r="AP202" t="s">
        <v>135</v>
      </c>
      <c r="AQ202" t="s">
        <v>135</v>
      </c>
      <c r="AR202" t="s">
        <v>135</v>
      </c>
      <c r="AS202" t="s">
        <v>135</v>
      </c>
      <c r="AT202" t="s">
        <v>135</v>
      </c>
      <c r="AU202">
        <v>34.488900000000001</v>
      </c>
      <c r="AV202">
        <v>11.1357</v>
      </c>
      <c r="AW202" t="s">
        <v>135</v>
      </c>
      <c r="AX202" t="s">
        <v>135</v>
      </c>
      <c r="AY202" t="s">
        <v>135</v>
      </c>
      <c r="AZ202">
        <v>-15.507199999999999</v>
      </c>
      <c r="BA202">
        <v>8.2962000000000007</v>
      </c>
      <c r="BB202">
        <v>12.688499999999999</v>
      </c>
      <c r="BC202">
        <v>9.8123000000000005</v>
      </c>
      <c r="BD202">
        <v>7.1421000000000001</v>
      </c>
      <c r="BE202" t="s">
        <v>135</v>
      </c>
      <c r="BF202">
        <v>-37.885399999999997</v>
      </c>
      <c r="BG202" t="s">
        <v>135</v>
      </c>
      <c r="BH202" t="s">
        <v>135</v>
      </c>
      <c r="BI202" t="s">
        <v>135</v>
      </c>
      <c r="BJ202" t="s">
        <v>135</v>
      </c>
      <c r="BK202" t="s">
        <v>135</v>
      </c>
      <c r="BL202" t="s">
        <v>135</v>
      </c>
      <c r="BM202" t="s">
        <v>135</v>
      </c>
      <c r="BN202">
        <v>0.50329999999999997</v>
      </c>
      <c r="BO202">
        <v>5.9012000000000002</v>
      </c>
      <c r="BP202" t="s">
        <v>135</v>
      </c>
      <c r="BQ202" t="s">
        <v>135</v>
      </c>
      <c r="BR202" t="s">
        <v>135</v>
      </c>
      <c r="BS202" t="s">
        <v>135</v>
      </c>
      <c r="BT202">
        <v>46.457799999999999</v>
      </c>
      <c r="BU202">
        <v>0.99770000000000003</v>
      </c>
      <c r="BV202">
        <v>25.427199999999999</v>
      </c>
      <c r="BW202">
        <v>-2.3182999999999998</v>
      </c>
      <c r="BX202" t="s">
        <v>135</v>
      </c>
      <c r="BY202">
        <v>3957464.1409999998</v>
      </c>
      <c r="BZ202">
        <v>266795.65299999999</v>
      </c>
      <c r="CA202">
        <v>3690668.4879999999</v>
      </c>
      <c r="CB202" t="s">
        <v>135</v>
      </c>
      <c r="CC202" t="s">
        <v>135</v>
      </c>
      <c r="CD202" t="s">
        <v>135</v>
      </c>
      <c r="CE202" t="s">
        <v>135</v>
      </c>
      <c r="CF202" t="s">
        <v>135</v>
      </c>
      <c r="CG202">
        <v>6.3688000000000002</v>
      </c>
      <c r="CH202">
        <v>157.0917</v>
      </c>
      <c r="CI202">
        <v>58.518500000000003</v>
      </c>
      <c r="CJ202">
        <v>10.205299999999999</v>
      </c>
      <c r="CK202">
        <v>168.4478</v>
      </c>
      <c r="CL202">
        <v>62.748800000000003</v>
      </c>
      <c r="CM202">
        <v>10.943</v>
      </c>
      <c r="CN202">
        <v>85.323800000000006</v>
      </c>
      <c r="CO202">
        <v>46.040399999999998</v>
      </c>
      <c r="CP202" t="s">
        <v>135</v>
      </c>
      <c r="CQ202" t="s">
        <v>135</v>
      </c>
      <c r="CR202">
        <v>-67454.338000000003</v>
      </c>
      <c r="CS202" t="s">
        <v>135</v>
      </c>
      <c r="CT202" t="s">
        <v>135</v>
      </c>
      <c r="CU202" t="s">
        <v>135</v>
      </c>
      <c r="CV202" t="s">
        <v>135</v>
      </c>
      <c r="CW202" t="s">
        <v>135</v>
      </c>
      <c r="CX202" t="s">
        <v>135</v>
      </c>
      <c r="CY202" t="s">
        <v>135</v>
      </c>
      <c r="CZ202" t="s">
        <v>135</v>
      </c>
      <c r="DA202" t="s">
        <v>135</v>
      </c>
      <c r="DB202" t="s">
        <v>135</v>
      </c>
      <c r="DC202" t="s">
        <v>135</v>
      </c>
      <c r="DD202" t="s">
        <v>135</v>
      </c>
      <c r="DE202" t="s">
        <v>135</v>
      </c>
      <c r="DF202" t="s">
        <v>135</v>
      </c>
      <c r="DG202" t="s">
        <v>135</v>
      </c>
      <c r="DH202" t="s">
        <v>135</v>
      </c>
      <c r="DI202" t="s">
        <v>135</v>
      </c>
    </row>
    <row r="203" spans="1:113" x14ac:dyDescent="0.3">
      <c r="A203">
        <v>84</v>
      </c>
      <c r="B203" t="s">
        <v>100</v>
      </c>
      <c r="C203" t="s">
        <v>101</v>
      </c>
      <c r="D203" t="s">
        <v>76</v>
      </c>
      <c r="E203" t="s">
        <v>77</v>
      </c>
      <c r="F203">
        <v>6.2416</v>
      </c>
      <c r="G203">
        <v>2.9371</v>
      </c>
      <c r="H203">
        <v>4.6893000000000002</v>
      </c>
      <c r="I203">
        <v>2.8654999999999999</v>
      </c>
      <c r="J203">
        <v>9.0812000000000008</v>
      </c>
      <c r="K203">
        <v>5.3776000000000002</v>
      </c>
      <c r="L203" t="s">
        <v>135</v>
      </c>
      <c r="M203">
        <v>7.2066999999999997</v>
      </c>
      <c r="N203">
        <v>5.6873000000000005</v>
      </c>
      <c r="O203">
        <v>5.6873000000000005</v>
      </c>
      <c r="P203">
        <v>5.6873000000000005</v>
      </c>
      <c r="Q203">
        <v>21.072299999999998</v>
      </c>
      <c r="R203">
        <v>31.472100000000001</v>
      </c>
      <c r="S203">
        <v>4.2771999999999997</v>
      </c>
      <c r="T203">
        <v>4.8065999999999995</v>
      </c>
      <c r="U203">
        <v>-14.892200000000001</v>
      </c>
      <c r="V203">
        <v>-27.207000000000001</v>
      </c>
      <c r="W203">
        <v>13.827299999999999</v>
      </c>
      <c r="X203">
        <v>13.829800000000001</v>
      </c>
      <c r="Y203">
        <v>1</v>
      </c>
      <c r="Z203">
        <v>20.8781</v>
      </c>
      <c r="AA203">
        <v>-4.9512999999999998</v>
      </c>
      <c r="AB203">
        <v>14.601599999999999</v>
      </c>
      <c r="AC203">
        <v>8.6937999999999995</v>
      </c>
      <c r="AD203">
        <v>2.1118000000000001</v>
      </c>
      <c r="AE203" t="s">
        <v>135</v>
      </c>
      <c r="AF203">
        <v>-6.2632000000000003</v>
      </c>
      <c r="AG203">
        <v>42.195900000000002</v>
      </c>
      <c r="AH203">
        <v>15.754300000000001</v>
      </c>
      <c r="AI203">
        <v>3.9916999999999998</v>
      </c>
      <c r="AJ203">
        <v>8.1222999999999992</v>
      </c>
      <c r="AK203">
        <v>3.9916999999999998</v>
      </c>
      <c r="AL203">
        <v>106.2184</v>
      </c>
      <c r="AM203">
        <v>1.5245</v>
      </c>
      <c r="AN203">
        <v>-14.6722</v>
      </c>
      <c r="AO203">
        <v>-20.761800000000001</v>
      </c>
      <c r="AP203">
        <v>-15.748799999999999</v>
      </c>
      <c r="AQ203">
        <v>-15.7448</v>
      </c>
      <c r="AR203">
        <v>-4.923</v>
      </c>
      <c r="AS203">
        <v>12.3881</v>
      </c>
      <c r="AT203">
        <v>8.3574999999999999</v>
      </c>
      <c r="AU203">
        <v>24.555299999999999</v>
      </c>
      <c r="AV203">
        <v>10.9617</v>
      </c>
      <c r="AW203">
        <v>13.813499999999999</v>
      </c>
      <c r="AX203" t="s">
        <v>135</v>
      </c>
      <c r="AY203">
        <v>-4.7742000000000004</v>
      </c>
      <c r="AZ203">
        <v>17.562100000000001</v>
      </c>
      <c r="BA203">
        <v>24.590399999999999</v>
      </c>
      <c r="BB203">
        <v>8.7696000000000005</v>
      </c>
      <c r="BC203">
        <v>13.3203</v>
      </c>
      <c r="BD203">
        <v>8.7695000000000007</v>
      </c>
      <c r="BE203">
        <v>-3.5146999999999999</v>
      </c>
      <c r="BF203">
        <v>4.8065999999999995</v>
      </c>
      <c r="BG203">
        <v>-14.892200000000001</v>
      </c>
      <c r="BH203">
        <v>-27.207000000000001</v>
      </c>
      <c r="BI203">
        <v>13.827299999999999</v>
      </c>
      <c r="BJ203">
        <v>13.829800000000001</v>
      </c>
      <c r="BK203">
        <v>1</v>
      </c>
      <c r="BL203">
        <v>20.8781</v>
      </c>
      <c r="BM203">
        <v>-4.9512999999999998</v>
      </c>
      <c r="BN203">
        <v>14.601599999999999</v>
      </c>
      <c r="BO203">
        <v>8.6937999999999995</v>
      </c>
      <c r="BP203">
        <v>2.1118000000000001</v>
      </c>
      <c r="BQ203">
        <v>-125.1472</v>
      </c>
      <c r="BR203">
        <v>-6.2632000000000003</v>
      </c>
      <c r="BS203">
        <v>42.195900000000002</v>
      </c>
      <c r="BT203">
        <v>15.754300000000001</v>
      </c>
      <c r="BU203">
        <v>3.9916999999999998</v>
      </c>
      <c r="BV203">
        <v>8.1222999999999992</v>
      </c>
      <c r="BW203">
        <v>3.9916999999999998</v>
      </c>
      <c r="BX203">
        <v>106.2184</v>
      </c>
      <c r="BY203">
        <v>260896.3</v>
      </c>
      <c r="BZ203">
        <v>119215.6</v>
      </c>
      <c r="CA203">
        <v>141680.70000000001</v>
      </c>
      <c r="CB203">
        <v>6.1631</v>
      </c>
      <c r="CC203">
        <v>5.4066000000000001</v>
      </c>
      <c r="CD203">
        <v>10.4076</v>
      </c>
      <c r="CE203">
        <v>9.1302000000000003</v>
      </c>
      <c r="CF203">
        <v>6.9489000000000001</v>
      </c>
      <c r="CG203">
        <v>46.058700000000002</v>
      </c>
      <c r="CH203">
        <v>32.715699999999998</v>
      </c>
      <c r="CI203">
        <v>20.4162</v>
      </c>
      <c r="CJ203">
        <v>15.0684</v>
      </c>
      <c r="CK203">
        <v>60.243899999999996</v>
      </c>
      <c r="CL203">
        <v>37.595100000000002</v>
      </c>
      <c r="CM203">
        <v>27.747599999999998</v>
      </c>
      <c r="CN203">
        <v>52.849800000000002</v>
      </c>
      <c r="CO203">
        <v>34.576300000000003</v>
      </c>
      <c r="CP203">
        <v>42332.3</v>
      </c>
      <c r="CQ203">
        <v>-47238</v>
      </c>
      <c r="CR203">
        <v>25067.8</v>
      </c>
      <c r="CS203">
        <v>0.111</v>
      </c>
      <c r="CT203">
        <v>0.95430000000000004</v>
      </c>
      <c r="CU203">
        <v>0.30170000000000002</v>
      </c>
      <c r="CV203">
        <v>1.4216</v>
      </c>
      <c r="CW203">
        <v>9.2756000000000007</v>
      </c>
      <c r="CX203">
        <v>39.350700000000003</v>
      </c>
      <c r="CY203">
        <v>1.2694000000000001</v>
      </c>
      <c r="CZ203">
        <v>287.5369</v>
      </c>
      <c r="DA203">
        <v>5.7705000000000002</v>
      </c>
      <c r="DB203">
        <v>63.252499999999998</v>
      </c>
      <c r="DC203">
        <v>263.6352</v>
      </c>
      <c r="DD203">
        <v>326.88760000000002</v>
      </c>
      <c r="DE203">
        <v>153654.9</v>
      </c>
      <c r="DF203">
        <v>35891.1</v>
      </c>
      <c r="DG203">
        <v>24415.5</v>
      </c>
      <c r="DH203">
        <v>65551.8</v>
      </c>
      <c r="DI203">
        <v>27796.5</v>
      </c>
    </row>
    <row r="204" spans="1:113" x14ac:dyDescent="0.3">
      <c r="E204" t="s">
        <v>78</v>
      </c>
      <c r="F204" t="s">
        <v>135</v>
      </c>
      <c r="G204" t="s">
        <v>135</v>
      </c>
      <c r="H204" t="s">
        <v>135</v>
      </c>
      <c r="I204" t="s">
        <v>135</v>
      </c>
      <c r="J204" t="s">
        <v>135</v>
      </c>
      <c r="K204" t="s">
        <v>135</v>
      </c>
      <c r="L204" t="s">
        <v>135</v>
      </c>
      <c r="M204" t="s">
        <v>135</v>
      </c>
      <c r="N204" t="s">
        <v>135</v>
      </c>
      <c r="O204" t="s">
        <v>135</v>
      </c>
      <c r="P204" t="s">
        <v>135</v>
      </c>
      <c r="Q204" t="s">
        <v>135</v>
      </c>
      <c r="R204" t="s">
        <v>135</v>
      </c>
      <c r="S204" t="s">
        <v>135</v>
      </c>
      <c r="T204" t="s">
        <v>135</v>
      </c>
      <c r="U204" t="s">
        <v>135</v>
      </c>
      <c r="V204" t="s">
        <v>135</v>
      </c>
      <c r="W204" t="s">
        <v>135</v>
      </c>
      <c r="X204" t="s">
        <v>135</v>
      </c>
      <c r="Y204" t="s">
        <v>135</v>
      </c>
      <c r="Z204" t="s">
        <v>135</v>
      </c>
      <c r="AA204" t="s">
        <v>135</v>
      </c>
      <c r="AB204" t="s">
        <v>135</v>
      </c>
      <c r="AC204" t="s">
        <v>135</v>
      </c>
      <c r="AD204" t="s">
        <v>135</v>
      </c>
      <c r="AE204" t="s">
        <v>135</v>
      </c>
      <c r="AF204" t="s">
        <v>135</v>
      </c>
      <c r="AG204" t="s">
        <v>135</v>
      </c>
      <c r="AH204" t="s">
        <v>135</v>
      </c>
      <c r="AI204" t="s">
        <v>135</v>
      </c>
      <c r="AJ204" t="s">
        <v>135</v>
      </c>
      <c r="AK204" t="s">
        <v>135</v>
      </c>
      <c r="AL204" t="s">
        <v>135</v>
      </c>
      <c r="AM204" t="s">
        <v>135</v>
      </c>
      <c r="AN204" t="s">
        <v>135</v>
      </c>
      <c r="AO204" t="s">
        <v>135</v>
      </c>
      <c r="AP204" t="s">
        <v>135</v>
      </c>
      <c r="AQ204" t="s">
        <v>135</v>
      </c>
      <c r="AR204" t="s">
        <v>135</v>
      </c>
      <c r="AS204" t="s">
        <v>135</v>
      </c>
      <c r="AT204" t="s">
        <v>135</v>
      </c>
      <c r="AU204" t="s">
        <v>135</v>
      </c>
      <c r="AV204" t="s">
        <v>135</v>
      </c>
      <c r="AW204" t="s">
        <v>135</v>
      </c>
      <c r="AX204" t="s">
        <v>135</v>
      </c>
      <c r="AY204" t="s">
        <v>135</v>
      </c>
      <c r="AZ204" t="s">
        <v>135</v>
      </c>
      <c r="BA204" t="s">
        <v>135</v>
      </c>
      <c r="BB204" t="s">
        <v>135</v>
      </c>
      <c r="BC204" t="s">
        <v>135</v>
      </c>
      <c r="BD204" t="s">
        <v>135</v>
      </c>
      <c r="BE204" t="s">
        <v>135</v>
      </c>
      <c r="BF204" t="s">
        <v>135</v>
      </c>
      <c r="BG204" t="s">
        <v>135</v>
      </c>
      <c r="BH204" t="s">
        <v>135</v>
      </c>
      <c r="BI204" t="s">
        <v>135</v>
      </c>
      <c r="BJ204" t="s">
        <v>135</v>
      </c>
      <c r="BK204" t="s">
        <v>135</v>
      </c>
      <c r="BL204" t="s">
        <v>135</v>
      </c>
      <c r="BM204" t="s">
        <v>135</v>
      </c>
      <c r="BN204" t="s">
        <v>135</v>
      </c>
      <c r="BO204" t="s">
        <v>135</v>
      </c>
      <c r="BP204" t="s">
        <v>135</v>
      </c>
      <c r="BQ204" t="s">
        <v>135</v>
      </c>
      <c r="BR204" t="s">
        <v>135</v>
      </c>
      <c r="BS204" t="s">
        <v>135</v>
      </c>
      <c r="BT204" t="s">
        <v>135</v>
      </c>
      <c r="BU204" t="s">
        <v>135</v>
      </c>
      <c r="BV204" t="s">
        <v>135</v>
      </c>
      <c r="BW204" t="s">
        <v>135</v>
      </c>
      <c r="BX204" t="s">
        <v>135</v>
      </c>
      <c r="BY204" t="s">
        <v>135</v>
      </c>
      <c r="BZ204" t="s">
        <v>135</v>
      </c>
      <c r="CA204" t="s">
        <v>135</v>
      </c>
      <c r="CB204" t="s">
        <v>135</v>
      </c>
      <c r="CC204" t="s">
        <v>135</v>
      </c>
      <c r="CD204" t="s">
        <v>135</v>
      </c>
      <c r="CE204" t="s">
        <v>135</v>
      </c>
      <c r="CF204" t="s">
        <v>135</v>
      </c>
      <c r="CG204" t="s">
        <v>135</v>
      </c>
      <c r="CH204" t="s">
        <v>135</v>
      </c>
      <c r="CI204" t="s">
        <v>135</v>
      </c>
      <c r="CJ204" t="s">
        <v>135</v>
      </c>
      <c r="CK204" t="s">
        <v>135</v>
      </c>
      <c r="CL204" t="s">
        <v>135</v>
      </c>
      <c r="CM204" t="s">
        <v>135</v>
      </c>
      <c r="CN204" t="s">
        <v>135</v>
      </c>
      <c r="CO204" t="s">
        <v>135</v>
      </c>
      <c r="CP204" t="s">
        <v>135</v>
      </c>
      <c r="CQ204" t="s">
        <v>135</v>
      </c>
      <c r="CR204" t="s">
        <v>135</v>
      </c>
      <c r="CS204" t="s">
        <v>135</v>
      </c>
      <c r="CT204" t="s">
        <v>135</v>
      </c>
      <c r="CU204" t="s">
        <v>135</v>
      </c>
      <c r="CV204" t="s">
        <v>135</v>
      </c>
      <c r="CW204" t="s">
        <v>135</v>
      </c>
      <c r="CX204" t="s">
        <v>135</v>
      </c>
      <c r="CY204" t="s">
        <v>135</v>
      </c>
      <c r="CZ204" t="s">
        <v>135</v>
      </c>
      <c r="DA204" t="s">
        <v>135</v>
      </c>
      <c r="DB204" t="s">
        <v>135</v>
      </c>
      <c r="DC204" t="s">
        <v>135</v>
      </c>
      <c r="DD204" t="s">
        <v>135</v>
      </c>
      <c r="DE204" t="s">
        <v>135</v>
      </c>
      <c r="DF204" t="s">
        <v>135</v>
      </c>
      <c r="DG204" t="s">
        <v>135</v>
      </c>
      <c r="DH204" t="s">
        <v>135</v>
      </c>
      <c r="DI204" t="s">
        <v>135</v>
      </c>
    </row>
    <row r="205" spans="1:113" x14ac:dyDescent="0.3">
      <c r="E205" t="s">
        <v>79</v>
      </c>
      <c r="F205" t="s">
        <v>135</v>
      </c>
      <c r="G205" t="s">
        <v>135</v>
      </c>
      <c r="H205" t="s">
        <v>135</v>
      </c>
      <c r="I205" t="s">
        <v>135</v>
      </c>
      <c r="J205" t="s">
        <v>135</v>
      </c>
      <c r="K205" t="s">
        <v>135</v>
      </c>
      <c r="L205" t="s">
        <v>135</v>
      </c>
      <c r="M205" t="s">
        <v>135</v>
      </c>
      <c r="N205" t="s">
        <v>135</v>
      </c>
      <c r="O205" t="s">
        <v>135</v>
      </c>
      <c r="P205" t="s">
        <v>135</v>
      </c>
      <c r="Q205" t="s">
        <v>135</v>
      </c>
      <c r="R205" t="s">
        <v>135</v>
      </c>
      <c r="S205" t="s">
        <v>135</v>
      </c>
      <c r="T205" t="s">
        <v>135</v>
      </c>
      <c r="U205" t="s">
        <v>135</v>
      </c>
      <c r="V205" t="s">
        <v>135</v>
      </c>
      <c r="W205" t="s">
        <v>135</v>
      </c>
      <c r="X205" t="s">
        <v>135</v>
      </c>
      <c r="Y205" t="s">
        <v>135</v>
      </c>
      <c r="Z205" t="s">
        <v>135</v>
      </c>
      <c r="AA205" t="s">
        <v>135</v>
      </c>
      <c r="AB205" t="s">
        <v>135</v>
      </c>
      <c r="AC205" t="s">
        <v>135</v>
      </c>
      <c r="AD205" t="s">
        <v>135</v>
      </c>
      <c r="AE205" t="s">
        <v>135</v>
      </c>
      <c r="AF205" t="s">
        <v>135</v>
      </c>
      <c r="AG205" t="s">
        <v>135</v>
      </c>
      <c r="AH205" t="s">
        <v>135</v>
      </c>
      <c r="AI205" t="s">
        <v>135</v>
      </c>
      <c r="AJ205" t="s">
        <v>135</v>
      </c>
      <c r="AK205" t="s">
        <v>135</v>
      </c>
      <c r="AL205" t="s">
        <v>135</v>
      </c>
      <c r="AM205" t="s">
        <v>135</v>
      </c>
      <c r="AN205" t="s">
        <v>135</v>
      </c>
      <c r="AO205" t="s">
        <v>135</v>
      </c>
      <c r="AP205" t="s">
        <v>135</v>
      </c>
      <c r="AQ205" t="s">
        <v>135</v>
      </c>
      <c r="AR205" t="s">
        <v>135</v>
      </c>
      <c r="AS205" t="s">
        <v>135</v>
      </c>
      <c r="AT205" t="s">
        <v>135</v>
      </c>
      <c r="AU205" t="s">
        <v>135</v>
      </c>
      <c r="AV205" t="s">
        <v>135</v>
      </c>
      <c r="AW205" t="s">
        <v>135</v>
      </c>
      <c r="AX205" t="s">
        <v>135</v>
      </c>
      <c r="AY205" t="s">
        <v>135</v>
      </c>
      <c r="AZ205" t="s">
        <v>135</v>
      </c>
      <c r="BA205" t="s">
        <v>135</v>
      </c>
      <c r="BB205" t="s">
        <v>135</v>
      </c>
      <c r="BC205" t="s">
        <v>135</v>
      </c>
      <c r="BD205" t="s">
        <v>135</v>
      </c>
      <c r="BE205" t="s">
        <v>135</v>
      </c>
      <c r="BF205" t="s">
        <v>135</v>
      </c>
      <c r="BG205" t="s">
        <v>135</v>
      </c>
      <c r="BH205" t="s">
        <v>135</v>
      </c>
      <c r="BI205" t="s">
        <v>135</v>
      </c>
      <c r="BJ205" t="s">
        <v>135</v>
      </c>
      <c r="BK205" t="s">
        <v>135</v>
      </c>
      <c r="BL205" t="s">
        <v>135</v>
      </c>
      <c r="BM205" t="s">
        <v>135</v>
      </c>
      <c r="BN205" t="s">
        <v>135</v>
      </c>
      <c r="BO205" t="s">
        <v>135</v>
      </c>
      <c r="BP205" t="s">
        <v>135</v>
      </c>
      <c r="BQ205" t="s">
        <v>135</v>
      </c>
      <c r="BR205" t="s">
        <v>135</v>
      </c>
      <c r="BS205" t="s">
        <v>135</v>
      </c>
      <c r="BT205" t="s">
        <v>135</v>
      </c>
      <c r="BU205" t="s">
        <v>135</v>
      </c>
      <c r="BV205" t="s">
        <v>135</v>
      </c>
      <c r="BW205" t="s">
        <v>135</v>
      </c>
      <c r="BX205" t="s">
        <v>135</v>
      </c>
      <c r="BY205" t="s">
        <v>135</v>
      </c>
      <c r="BZ205" t="s">
        <v>135</v>
      </c>
      <c r="CA205" t="s">
        <v>135</v>
      </c>
      <c r="CB205" t="s">
        <v>135</v>
      </c>
      <c r="CC205" t="s">
        <v>135</v>
      </c>
      <c r="CD205" t="s">
        <v>135</v>
      </c>
      <c r="CE205" t="s">
        <v>135</v>
      </c>
      <c r="CF205" t="s">
        <v>135</v>
      </c>
      <c r="CG205" t="s">
        <v>135</v>
      </c>
      <c r="CH205" t="s">
        <v>135</v>
      </c>
      <c r="CI205" t="s">
        <v>135</v>
      </c>
      <c r="CJ205" t="s">
        <v>135</v>
      </c>
      <c r="CK205" t="s">
        <v>135</v>
      </c>
      <c r="CL205" t="s">
        <v>135</v>
      </c>
      <c r="CM205" t="s">
        <v>135</v>
      </c>
      <c r="CN205" t="s">
        <v>135</v>
      </c>
      <c r="CO205" t="s">
        <v>135</v>
      </c>
      <c r="CP205" t="s">
        <v>135</v>
      </c>
      <c r="CQ205" t="s">
        <v>135</v>
      </c>
      <c r="CR205" t="s">
        <v>135</v>
      </c>
      <c r="CS205" t="s">
        <v>135</v>
      </c>
      <c r="CT205" t="s">
        <v>135</v>
      </c>
      <c r="CU205" t="s">
        <v>135</v>
      </c>
      <c r="CV205" t="s">
        <v>135</v>
      </c>
      <c r="CW205" t="s">
        <v>135</v>
      </c>
      <c r="CX205" t="s">
        <v>135</v>
      </c>
      <c r="CY205" t="s">
        <v>135</v>
      </c>
      <c r="CZ205" t="s">
        <v>135</v>
      </c>
      <c r="DA205" t="s">
        <v>135</v>
      </c>
      <c r="DB205" t="s">
        <v>135</v>
      </c>
      <c r="DC205" t="s">
        <v>135</v>
      </c>
      <c r="DD205" t="s">
        <v>135</v>
      </c>
      <c r="DE205" t="s">
        <v>135</v>
      </c>
      <c r="DF205" t="s">
        <v>135</v>
      </c>
      <c r="DG205" t="s">
        <v>135</v>
      </c>
      <c r="DH205" t="s">
        <v>135</v>
      </c>
      <c r="DI205" t="s">
        <v>135</v>
      </c>
    </row>
    <row r="206" spans="1:113" x14ac:dyDescent="0.3">
      <c r="E206" t="s">
        <v>80</v>
      </c>
      <c r="F206" t="s">
        <v>135</v>
      </c>
      <c r="G206" t="s">
        <v>135</v>
      </c>
      <c r="H206" t="s">
        <v>135</v>
      </c>
      <c r="I206" t="s">
        <v>135</v>
      </c>
      <c r="J206" t="s">
        <v>135</v>
      </c>
      <c r="K206" t="s">
        <v>135</v>
      </c>
      <c r="L206" t="s">
        <v>135</v>
      </c>
      <c r="M206" t="s">
        <v>135</v>
      </c>
      <c r="N206" t="s">
        <v>135</v>
      </c>
      <c r="O206" t="s">
        <v>135</v>
      </c>
      <c r="P206" t="s">
        <v>135</v>
      </c>
      <c r="Q206" t="s">
        <v>135</v>
      </c>
      <c r="R206" t="s">
        <v>135</v>
      </c>
      <c r="S206" t="s">
        <v>135</v>
      </c>
      <c r="T206" t="s">
        <v>135</v>
      </c>
      <c r="U206" t="s">
        <v>135</v>
      </c>
      <c r="V206" t="s">
        <v>135</v>
      </c>
      <c r="W206" t="s">
        <v>135</v>
      </c>
      <c r="X206" t="s">
        <v>135</v>
      </c>
      <c r="Y206" t="s">
        <v>135</v>
      </c>
      <c r="Z206" t="s">
        <v>135</v>
      </c>
      <c r="AA206" t="s">
        <v>135</v>
      </c>
      <c r="AB206" t="s">
        <v>135</v>
      </c>
      <c r="AC206" t="s">
        <v>135</v>
      </c>
      <c r="AD206" t="s">
        <v>135</v>
      </c>
      <c r="AE206" t="s">
        <v>135</v>
      </c>
      <c r="AF206" t="s">
        <v>135</v>
      </c>
      <c r="AG206" t="s">
        <v>135</v>
      </c>
      <c r="AH206" t="s">
        <v>135</v>
      </c>
      <c r="AI206" t="s">
        <v>135</v>
      </c>
      <c r="AJ206" t="s">
        <v>135</v>
      </c>
      <c r="AK206" t="s">
        <v>135</v>
      </c>
      <c r="AL206" t="s">
        <v>135</v>
      </c>
      <c r="AM206" t="s">
        <v>135</v>
      </c>
      <c r="AN206" t="s">
        <v>135</v>
      </c>
      <c r="AO206" t="s">
        <v>135</v>
      </c>
      <c r="AP206" t="s">
        <v>135</v>
      </c>
      <c r="AQ206" t="s">
        <v>135</v>
      </c>
      <c r="AR206" t="s">
        <v>135</v>
      </c>
      <c r="AS206" t="s">
        <v>135</v>
      </c>
      <c r="AT206" t="s">
        <v>135</v>
      </c>
      <c r="AU206" t="s">
        <v>135</v>
      </c>
      <c r="AV206" t="s">
        <v>135</v>
      </c>
      <c r="AW206" t="s">
        <v>135</v>
      </c>
      <c r="AX206" t="s">
        <v>135</v>
      </c>
      <c r="AY206" t="s">
        <v>135</v>
      </c>
      <c r="AZ206" t="s">
        <v>135</v>
      </c>
      <c r="BA206" t="s">
        <v>135</v>
      </c>
      <c r="BB206" t="s">
        <v>135</v>
      </c>
      <c r="BC206" t="s">
        <v>135</v>
      </c>
      <c r="BD206" t="s">
        <v>135</v>
      </c>
      <c r="BE206" t="s">
        <v>135</v>
      </c>
      <c r="BF206" t="s">
        <v>135</v>
      </c>
      <c r="BG206" t="s">
        <v>135</v>
      </c>
      <c r="BH206" t="s">
        <v>135</v>
      </c>
      <c r="BI206" t="s">
        <v>135</v>
      </c>
      <c r="BJ206" t="s">
        <v>135</v>
      </c>
      <c r="BK206" t="s">
        <v>135</v>
      </c>
      <c r="BL206" t="s">
        <v>135</v>
      </c>
      <c r="BM206" t="s">
        <v>135</v>
      </c>
      <c r="BN206" t="s">
        <v>135</v>
      </c>
      <c r="BO206" t="s">
        <v>135</v>
      </c>
      <c r="BP206" t="s">
        <v>135</v>
      </c>
      <c r="BQ206" t="s">
        <v>135</v>
      </c>
      <c r="BR206" t="s">
        <v>135</v>
      </c>
      <c r="BS206" t="s">
        <v>135</v>
      </c>
      <c r="BT206" t="s">
        <v>135</v>
      </c>
      <c r="BU206" t="s">
        <v>135</v>
      </c>
      <c r="BV206" t="s">
        <v>135</v>
      </c>
      <c r="BW206" t="s">
        <v>135</v>
      </c>
      <c r="BX206" t="s">
        <v>135</v>
      </c>
      <c r="BY206" t="s">
        <v>135</v>
      </c>
      <c r="BZ206" t="s">
        <v>135</v>
      </c>
      <c r="CA206" t="s">
        <v>135</v>
      </c>
      <c r="CB206" t="s">
        <v>135</v>
      </c>
      <c r="CC206" t="s">
        <v>135</v>
      </c>
      <c r="CD206" t="s">
        <v>135</v>
      </c>
      <c r="CE206" t="s">
        <v>135</v>
      </c>
      <c r="CF206" t="s">
        <v>135</v>
      </c>
      <c r="CG206" t="s">
        <v>135</v>
      </c>
      <c r="CH206" t="s">
        <v>135</v>
      </c>
      <c r="CI206" t="s">
        <v>135</v>
      </c>
      <c r="CJ206" t="s">
        <v>135</v>
      </c>
      <c r="CK206" t="s">
        <v>135</v>
      </c>
      <c r="CL206" t="s">
        <v>135</v>
      </c>
      <c r="CM206" t="s">
        <v>135</v>
      </c>
      <c r="CN206" t="s">
        <v>135</v>
      </c>
      <c r="CO206" t="s">
        <v>135</v>
      </c>
      <c r="CP206" t="s">
        <v>135</v>
      </c>
      <c r="CQ206" t="s">
        <v>135</v>
      </c>
      <c r="CR206" t="s">
        <v>135</v>
      </c>
      <c r="CS206" t="s">
        <v>135</v>
      </c>
      <c r="CT206" t="s">
        <v>135</v>
      </c>
      <c r="CU206" t="s">
        <v>135</v>
      </c>
      <c r="CV206" t="s">
        <v>135</v>
      </c>
      <c r="CW206" t="s">
        <v>135</v>
      </c>
      <c r="CX206" t="s">
        <v>135</v>
      </c>
      <c r="CY206" t="s">
        <v>135</v>
      </c>
      <c r="CZ206" t="s">
        <v>135</v>
      </c>
      <c r="DA206" t="s">
        <v>135</v>
      </c>
      <c r="DB206" t="s">
        <v>135</v>
      </c>
      <c r="DC206" t="s">
        <v>135</v>
      </c>
      <c r="DD206" t="s">
        <v>135</v>
      </c>
      <c r="DE206" t="s">
        <v>135</v>
      </c>
      <c r="DF206" t="s">
        <v>135</v>
      </c>
      <c r="DG206" t="s">
        <v>135</v>
      </c>
      <c r="DH206" t="s">
        <v>135</v>
      </c>
      <c r="DI206" t="s">
        <v>135</v>
      </c>
    </row>
    <row r="207" spans="1:113" x14ac:dyDescent="0.3">
      <c r="E207" t="s">
        <v>81</v>
      </c>
      <c r="F207" t="s">
        <v>135</v>
      </c>
      <c r="G207" t="s">
        <v>135</v>
      </c>
      <c r="H207" t="s">
        <v>135</v>
      </c>
      <c r="I207" t="s">
        <v>135</v>
      </c>
      <c r="J207" t="s">
        <v>135</v>
      </c>
      <c r="K207" t="s">
        <v>135</v>
      </c>
      <c r="L207" t="s">
        <v>135</v>
      </c>
      <c r="M207" t="s">
        <v>135</v>
      </c>
      <c r="N207" t="s">
        <v>135</v>
      </c>
      <c r="O207" t="s">
        <v>135</v>
      </c>
      <c r="P207" t="s">
        <v>135</v>
      </c>
      <c r="Q207" t="s">
        <v>135</v>
      </c>
      <c r="R207" t="s">
        <v>135</v>
      </c>
      <c r="S207" t="s">
        <v>135</v>
      </c>
      <c r="T207" t="s">
        <v>135</v>
      </c>
      <c r="U207" t="s">
        <v>135</v>
      </c>
      <c r="V207" t="s">
        <v>135</v>
      </c>
      <c r="W207" t="s">
        <v>135</v>
      </c>
      <c r="X207" t="s">
        <v>135</v>
      </c>
      <c r="Y207" t="s">
        <v>135</v>
      </c>
      <c r="Z207" t="s">
        <v>135</v>
      </c>
      <c r="AA207" t="s">
        <v>135</v>
      </c>
      <c r="AB207" t="s">
        <v>135</v>
      </c>
      <c r="AC207" t="s">
        <v>135</v>
      </c>
      <c r="AD207" t="s">
        <v>135</v>
      </c>
      <c r="AE207" t="s">
        <v>135</v>
      </c>
      <c r="AF207" t="s">
        <v>135</v>
      </c>
      <c r="AG207" t="s">
        <v>135</v>
      </c>
      <c r="AH207" t="s">
        <v>135</v>
      </c>
      <c r="AI207" t="s">
        <v>135</v>
      </c>
      <c r="AJ207" t="s">
        <v>135</v>
      </c>
      <c r="AK207" t="s">
        <v>135</v>
      </c>
      <c r="AL207" t="s">
        <v>135</v>
      </c>
      <c r="AM207" t="s">
        <v>135</v>
      </c>
      <c r="AN207" t="s">
        <v>135</v>
      </c>
      <c r="AO207" t="s">
        <v>135</v>
      </c>
      <c r="AP207" t="s">
        <v>135</v>
      </c>
      <c r="AQ207" t="s">
        <v>135</v>
      </c>
      <c r="AR207" t="s">
        <v>135</v>
      </c>
      <c r="AS207" t="s">
        <v>135</v>
      </c>
      <c r="AT207" t="s">
        <v>135</v>
      </c>
      <c r="AU207" t="s">
        <v>135</v>
      </c>
      <c r="AV207" t="s">
        <v>135</v>
      </c>
      <c r="AW207" t="s">
        <v>135</v>
      </c>
      <c r="AX207" t="s">
        <v>135</v>
      </c>
      <c r="AY207" t="s">
        <v>135</v>
      </c>
      <c r="AZ207" t="s">
        <v>135</v>
      </c>
      <c r="BA207" t="s">
        <v>135</v>
      </c>
      <c r="BB207" t="s">
        <v>135</v>
      </c>
      <c r="BC207" t="s">
        <v>135</v>
      </c>
      <c r="BD207" t="s">
        <v>135</v>
      </c>
      <c r="BE207" t="s">
        <v>135</v>
      </c>
      <c r="BF207" t="s">
        <v>135</v>
      </c>
      <c r="BG207" t="s">
        <v>135</v>
      </c>
      <c r="BH207" t="s">
        <v>135</v>
      </c>
      <c r="BI207" t="s">
        <v>135</v>
      </c>
      <c r="BJ207" t="s">
        <v>135</v>
      </c>
      <c r="BK207" t="s">
        <v>135</v>
      </c>
      <c r="BL207" t="s">
        <v>135</v>
      </c>
      <c r="BM207" t="s">
        <v>135</v>
      </c>
      <c r="BN207" t="s">
        <v>135</v>
      </c>
      <c r="BO207" t="s">
        <v>135</v>
      </c>
      <c r="BP207" t="s">
        <v>135</v>
      </c>
      <c r="BQ207" t="s">
        <v>135</v>
      </c>
      <c r="BR207" t="s">
        <v>135</v>
      </c>
      <c r="BS207" t="s">
        <v>135</v>
      </c>
      <c r="BT207" t="s">
        <v>135</v>
      </c>
      <c r="BU207" t="s">
        <v>135</v>
      </c>
      <c r="BV207" t="s">
        <v>135</v>
      </c>
      <c r="BW207" t="s">
        <v>135</v>
      </c>
      <c r="BX207" t="s">
        <v>135</v>
      </c>
      <c r="BY207" t="s">
        <v>135</v>
      </c>
      <c r="BZ207" t="s">
        <v>135</v>
      </c>
      <c r="CA207" t="s">
        <v>135</v>
      </c>
      <c r="CB207" t="s">
        <v>135</v>
      </c>
      <c r="CC207" t="s">
        <v>135</v>
      </c>
      <c r="CD207" t="s">
        <v>135</v>
      </c>
      <c r="CE207" t="s">
        <v>135</v>
      </c>
      <c r="CF207" t="s">
        <v>135</v>
      </c>
      <c r="CG207" t="s">
        <v>135</v>
      </c>
      <c r="CH207" t="s">
        <v>135</v>
      </c>
      <c r="CI207" t="s">
        <v>135</v>
      </c>
      <c r="CJ207" t="s">
        <v>135</v>
      </c>
      <c r="CK207" t="s">
        <v>135</v>
      </c>
      <c r="CL207" t="s">
        <v>135</v>
      </c>
      <c r="CM207" t="s">
        <v>135</v>
      </c>
      <c r="CN207" t="s">
        <v>135</v>
      </c>
      <c r="CO207" t="s">
        <v>135</v>
      </c>
      <c r="CP207" t="s">
        <v>135</v>
      </c>
      <c r="CQ207" t="s">
        <v>135</v>
      </c>
      <c r="CR207" t="s">
        <v>135</v>
      </c>
      <c r="CS207" t="s">
        <v>135</v>
      </c>
      <c r="CT207" t="s">
        <v>135</v>
      </c>
      <c r="CU207" t="s">
        <v>135</v>
      </c>
      <c r="CV207" t="s">
        <v>135</v>
      </c>
      <c r="CW207" t="s">
        <v>135</v>
      </c>
      <c r="CX207" t="s">
        <v>135</v>
      </c>
      <c r="CY207" t="s">
        <v>135</v>
      </c>
      <c r="CZ207" t="s">
        <v>135</v>
      </c>
      <c r="DA207" t="s">
        <v>135</v>
      </c>
      <c r="DB207" t="s">
        <v>135</v>
      </c>
      <c r="DC207" t="s">
        <v>135</v>
      </c>
      <c r="DD207" t="s">
        <v>135</v>
      </c>
      <c r="DE207" t="s">
        <v>135</v>
      </c>
      <c r="DF207" t="s">
        <v>135</v>
      </c>
      <c r="DG207" t="s">
        <v>135</v>
      </c>
      <c r="DH207" t="s">
        <v>135</v>
      </c>
      <c r="DI207" t="s">
        <v>135</v>
      </c>
    </row>
    <row r="208" spans="1:113" x14ac:dyDescent="0.3">
      <c r="D208" t="s">
        <v>82</v>
      </c>
      <c r="E208" t="s">
        <v>77</v>
      </c>
      <c r="F208">
        <v>4.9336000000000002</v>
      </c>
      <c r="G208">
        <v>2.2113999999999998</v>
      </c>
      <c r="H208">
        <v>4.8494000000000002</v>
      </c>
      <c r="I208">
        <v>3.6987999999999999</v>
      </c>
      <c r="J208">
        <v>11.1127</v>
      </c>
      <c r="K208">
        <v>6.9288999999999996</v>
      </c>
      <c r="L208" t="s">
        <v>135</v>
      </c>
      <c r="M208">
        <v>5.4187000000000003</v>
      </c>
      <c r="N208">
        <v>4.7462</v>
      </c>
      <c r="O208">
        <v>4.7462</v>
      </c>
      <c r="P208">
        <v>4.7462</v>
      </c>
      <c r="Q208">
        <v>12.417</v>
      </c>
      <c r="R208">
        <v>38.278199999999998</v>
      </c>
      <c r="S208">
        <v>3.0451000000000001</v>
      </c>
      <c r="T208">
        <v>-2.1433</v>
      </c>
      <c r="U208">
        <v>20.9269</v>
      </c>
      <c r="V208">
        <v>28.16</v>
      </c>
      <c r="W208">
        <v>-18.625699999999998</v>
      </c>
      <c r="X208">
        <v>-18.691600000000001</v>
      </c>
      <c r="Y208">
        <v>0</v>
      </c>
      <c r="Z208">
        <v>-41.395800000000001</v>
      </c>
      <c r="AA208">
        <v>16.851199999999999</v>
      </c>
      <c r="AB208">
        <v>8.1324000000000005</v>
      </c>
      <c r="AC208">
        <v>7.9370000000000003</v>
      </c>
      <c r="AD208">
        <v>-0.66180000000000005</v>
      </c>
      <c r="AE208">
        <v>-336.846</v>
      </c>
      <c r="AF208">
        <v>13.478999999999999</v>
      </c>
      <c r="AG208">
        <v>35.732999999999997</v>
      </c>
      <c r="AH208">
        <v>17.4971</v>
      </c>
      <c r="AI208">
        <v>2.1217000000000001</v>
      </c>
      <c r="AJ208">
        <v>7.8943000000000003</v>
      </c>
      <c r="AK208">
        <v>2.1217000000000001</v>
      </c>
      <c r="AL208">
        <v>-61.888100000000001</v>
      </c>
      <c r="AM208">
        <v>2.3039000000000001</v>
      </c>
      <c r="AN208">
        <v>-12.7133</v>
      </c>
      <c r="AO208">
        <v>-18.092400000000001</v>
      </c>
      <c r="AP208">
        <v>-20.627400000000002</v>
      </c>
      <c r="AQ208">
        <v>-20.646699999999999</v>
      </c>
      <c r="AR208">
        <v>-8.9718</v>
      </c>
      <c r="AS208">
        <v>-2.3925000000000001</v>
      </c>
      <c r="AT208">
        <v>14.3888</v>
      </c>
      <c r="AU208">
        <v>17.624300000000002</v>
      </c>
      <c r="AV208">
        <v>7.5232000000000001</v>
      </c>
      <c r="AW208">
        <v>22.164899999999999</v>
      </c>
      <c r="AX208" t="s">
        <v>135</v>
      </c>
      <c r="AY208">
        <v>-10.5867</v>
      </c>
      <c r="AZ208">
        <v>9.9495000000000005</v>
      </c>
      <c r="BA208">
        <v>11.6296</v>
      </c>
      <c r="BB208">
        <v>5.5479000000000003</v>
      </c>
      <c r="BC208">
        <v>7.7929000000000004</v>
      </c>
      <c r="BD208">
        <v>5.5479000000000003</v>
      </c>
      <c r="BE208">
        <v>-20.543299999999999</v>
      </c>
      <c r="BF208">
        <v>-2.1433</v>
      </c>
      <c r="BG208">
        <v>20.9269</v>
      </c>
      <c r="BH208">
        <v>28.16</v>
      </c>
      <c r="BI208">
        <v>-18.625699999999998</v>
      </c>
      <c r="BJ208">
        <v>-18.691600000000001</v>
      </c>
      <c r="BK208">
        <v>0</v>
      </c>
      <c r="BL208">
        <v>-41.395800000000001</v>
      </c>
      <c r="BM208">
        <v>16.851199999999999</v>
      </c>
      <c r="BN208">
        <v>8.1324000000000005</v>
      </c>
      <c r="BO208">
        <v>7.9370000000000003</v>
      </c>
      <c r="BP208">
        <v>-0.66180000000000005</v>
      </c>
      <c r="BQ208" t="s">
        <v>135</v>
      </c>
      <c r="BR208">
        <v>13.478999999999999</v>
      </c>
      <c r="BS208">
        <v>35.732999999999997</v>
      </c>
      <c r="BT208">
        <v>17.4971</v>
      </c>
      <c r="BU208">
        <v>2.1217000000000001</v>
      </c>
      <c r="BV208">
        <v>7.8943000000000003</v>
      </c>
      <c r="BW208">
        <v>2.1217000000000001</v>
      </c>
      <c r="BX208">
        <v>-61.888100000000001</v>
      </c>
      <c r="BY208">
        <v>305732.7</v>
      </c>
      <c r="BZ208">
        <v>161352.20000000001</v>
      </c>
      <c r="CA208">
        <v>144380.5</v>
      </c>
      <c r="CB208">
        <v>6.0503</v>
      </c>
      <c r="CC208">
        <v>5.5263</v>
      </c>
      <c r="CD208">
        <v>9.7035999999999998</v>
      </c>
      <c r="CE208">
        <v>8.8630999999999993</v>
      </c>
      <c r="CF208">
        <v>3.3142</v>
      </c>
      <c r="CG208">
        <v>43.627499999999998</v>
      </c>
      <c r="CH208">
        <v>32.6631</v>
      </c>
      <c r="CI208">
        <v>19.308299999999999</v>
      </c>
      <c r="CJ208">
        <v>14.2501</v>
      </c>
      <c r="CK208">
        <v>69.165700000000001</v>
      </c>
      <c r="CL208">
        <v>40.886400000000002</v>
      </c>
      <c r="CM208">
        <v>30.1753</v>
      </c>
      <c r="CN208">
        <v>63.174599999999998</v>
      </c>
      <c r="CO208">
        <v>38.716000000000001</v>
      </c>
      <c r="CP208">
        <v>50531.6</v>
      </c>
      <c r="CQ208">
        <v>-13726.1</v>
      </c>
      <c r="CR208">
        <v>31507.1</v>
      </c>
      <c r="CS208">
        <v>7.6100000000000001E-2</v>
      </c>
      <c r="CT208">
        <v>0.83330000000000004</v>
      </c>
      <c r="CU208">
        <v>0.1686</v>
      </c>
      <c r="CV208">
        <v>1.2271000000000001</v>
      </c>
      <c r="CW208">
        <v>10.441700000000001</v>
      </c>
      <c r="CX208">
        <v>34.956099999999999</v>
      </c>
      <c r="CY208">
        <v>1.1547000000000001</v>
      </c>
      <c r="CZ208">
        <v>316.10039999999998</v>
      </c>
      <c r="DA208">
        <v>6.3888999999999996</v>
      </c>
      <c r="DB208">
        <v>57.130200000000002</v>
      </c>
      <c r="DC208">
        <v>293.9264</v>
      </c>
      <c r="DD208">
        <v>351.05650000000003</v>
      </c>
      <c r="DE208">
        <v>179429.6</v>
      </c>
      <c r="DF208">
        <v>44405.3</v>
      </c>
      <c r="DG208">
        <v>33199.300000000003</v>
      </c>
      <c r="DH208">
        <v>73187.7</v>
      </c>
      <c r="DI208">
        <v>28637.3</v>
      </c>
    </row>
    <row r="209" spans="4:113" x14ac:dyDescent="0.3">
      <c r="E209" t="s">
        <v>78</v>
      </c>
      <c r="F209" t="s">
        <v>135</v>
      </c>
      <c r="G209" t="s">
        <v>135</v>
      </c>
      <c r="H209" t="s">
        <v>135</v>
      </c>
      <c r="I209" t="s">
        <v>135</v>
      </c>
      <c r="J209" t="s">
        <v>135</v>
      </c>
      <c r="K209" t="s">
        <v>135</v>
      </c>
      <c r="L209" t="s">
        <v>135</v>
      </c>
      <c r="M209" t="s">
        <v>135</v>
      </c>
      <c r="N209" t="s">
        <v>135</v>
      </c>
      <c r="O209" t="s">
        <v>135</v>
      </c>
      <c r="P209" t="s">
        <v>135</v>
      </c>
      <c r="Q209" t="s">
        <v>135</v>
      </c>
      <c r="R209" t="s">
        <v>135</v>
      </c>
      <c r="S209" t="s">
        <v>135</v>
      </c>
      <c r="T209" t="s">
        <v>135</v>
      </c>
      <c r="U209" t="s">
        <v>135</v>
      </c>
      <c r="V209" t="s">
        <v>135</v>
      </c>
      <c r="W209" t="s">
        <v>135</v>
      </c>
      <c r="X209" t="s">
        <v>135</v>
      </c>
      <c r="Y209" t="s">
        <v>135</v>
      </c>
      <c r="Z209" t="s">
        <v>135</v>
      </c>
      <c r="AA209" t="s">
        <v>135</v>
      </c>
      <c r="AB209" t="s">
        <v>135</v>
      </c>
      <c r="AC209" t="s">
        <v>135</v>
      </c>
      <c r="AD209" t="s">
        <v>135</v>
      </c>
      <c r="AE209" t="s">
        <v>135</v>
      </c>
      <c r="AF209" t="s">
        <v>135</v>
      </c>
      <c r="AG209" t="s">
        <v>135</v>
      </c>
      <c r="AH209" t="s">
        <v>135</v>
      </c>
      <c r="AI209" t="s">
        <v>135</v>
      </c>
      <c r="AJ209" t="s">
        <v>135</v>
      </c>
      <c r="AK209" t="s">
        <v>135</v>
      </c>
      <c r="AL209" t="s">
        <v>135</v>
      </c>
      <c r="AM209" t="s">
        <v>135</v>
      </c>
      <c r="AN209" t="s">
        <v>135</v>
      </c>
      <c r="AO209" t="s">
        <v>135</v>
      </c>
      <c r="AP209" t="s">
        <v>135</v>
      </c>
      <c r="AQ209" t="s">
        <v>135</v>
      </c>
      <c r="AR209" t="s">
        <v>135</v>
      </c>
      <c r="AS209" t="s">
        <v>135</v>
      </c>
      <c r="AT209" t="s">
        <v>135</v>
      </c>
      <c r="AU209" t="s">
        <v>135</v>
      </c>
      <c r="AV209" t="s">
        <v>135</v>
      </c>
      <c r="AW209" t="s">
        <v>135</v>
      </c>
      <c r="AX209" t="s">
        <v>135</v>
      </c>
      <c r="AY209" t="s">
        <v>135</v>
      </c>
      <c r="AZ209" t="s">
        <v>135</v>
      </c>
      <c r="BA209" t="s">
        <v>135</v>
      </c>
      <c r="BB209" t="s">
        <v>135</v>
      </c>
      <c r="BC209" t="s">
        <v>135</v>
      </c>
      <c r="BD209" t="s">
        <v>135</v>
      </c>
      <c r="BE209" t="s">
        <v>135</v>
      </c>
      <c r="BF209" t="s">
        <v>135</v>
      </c>
      <c r="BG209" t="s">
        <v>135</v>
      </c>
      <c r="BH209" t="s">
        <v>135</v>
      </c>
      <c r="BI209" t="s">
        <v>135</v>
      </c>
      <c r="BJ209" t="s">
        <v>135</v>
      </c>
      <c r="BK209" t="s">
        <v>135</v>
      </c>
      <c r="BL209" t="s">
        <v>135</v>
      </c>
      <c r="BM209" t="s">
        <v>135</v>
      </c>
      <c r="BN209" t="s">
        <v>135</v>
      </c>
      <c r="BO209" t="s">
        <v>135</v>
      </c>
      <c r="BP209" t="s">
        <v>135</v>
      </c>
      <c r="BQ209" t="s">
        <v>135</v>
      </c>
      <c r="BR209" t="s">
        <v>135</v>
      </c>
      <c r="BS209" t="s">
        <v>135</v>
      </c>
      <c r="BT209" t="s">
        <v>135</v>
      </c>
      <c r="BU209" t="s">
        <v>135</v>
      </c>
      <c r="BV209" t="s">
        <v>135</v>
      </c>
      <c r="BW209" t="s">
        <v>135</v>
      </c>
      <c r="BX209" t="s">
        <v>135</v>
      </c>
      <c r="BY209" t="s">
        <v>135</v>
      </c>
      <c r="BZ209" t="s">
        <v>135</v>
      </c>
      <c r="CA209" t="s">
        <v>135</v>
      </c>
      <c r="CB209" t="s">
        <v>135</v>
      </c>
      <c r="CC209" t="s">
        <v>135</v>
      </c>
      <c r="CD209" t="s">
        <v>135</v>
      </c>
      <c r="CE209" t="s">
        <v>135</v>
      </c>
      <c r="CF209" t="s">
        <v>135</v>
      </c>
      <c r="CG209" t="s">
        <v>135</v>
      </c>
      <c r="CH209" t="s">
        <v>135</v>
      </c>
      <c r="CI209" t="s">
        <v>135</v>
      </c>
      <c r="CJ209" t="s">
        <v>135</v>
      </c>
      <c r="CK209" t="s">
        <v>135</v>
      </c>
      <c r="CL209" t="s">
        <v>135</v>
      </c>
      <c r="CM209" t="s">
        <v>135</v>
      </c>
      <c r="CN209" t="s">
        <v>135</v>
      </c>
      <c r="CO209" t="s">
        <v>135</v>
      </c>
      <c r="CP209" t="s">
        <v>135</v>
      </c>
      <c r="CQ209" t="s">
        <v>135</v>
      </c>
      <c r="CR209" t="s">
        <v>135</v>
      </c>
      <c r="CS209" t="s">
        <v>135</v>
      </c>
      <c r="CT209" t="s">
        <v>135</v>
      </c>
      <c r="CU209" t="s">
        <v>135</v>
      </c>
      <c r="CV209" t="s">
        <v>135</v>
      </c>
      <c r="CW209" t="s">
        <v>135</v>
      </c>
      <c r="CX209" t="s">
        <v>135</v>
      </c>
      <c r="CY209" t="s">
        <v>135</v>
      </c>
      <c r="CZ209" t="s">
        <v>135</v>
      </c>
      <c r="DA209" t="s">
        <v>135</v>
      </c>
      <c r="DB209" t="s">
        <v>135</v>
      </c>
      <c r="DC209" t="s">
        <v>135</v>
      </c>
      <c r="DD209" t="s">
        <v>135</v>
      </c>
      <c r="DE209" t="s">
        <v>135</v>
      </c>
      <c r="DF209" t="s">
        <v>135</v>
      </c>
      <c r="DG209" t="s">
        <v>135</v>
      </c>
      <c r="DH209" t="s">
        <v>135</v>
      </c>
      <c r="DI209" t="s">
        <v>135</v>
      </c>
    </row>
    <row r="210" spans="4:113" x14ac:dyDescent="0.3">
      <c r="E210" t="s">
        <v>79</v>
      </c>
      <c r="F210" t="s">
        <v>135</v>
      </c>
      <c r="G210" t="s">
        <v>135</v>
      </c>
      <c r="H210" t="s">
        <v>135</v>
      </c>
      <c r="I210" t="s">
        <v>135</v>
      </c>
      <c r="J210" t="s">
        <v>135</v>
      </c>
      <c r="K210" t="s">
        <v>135</v>
      </c>
      <c r="L210" t="s">
        <v>135</v>
      </c>
      <c r="M210" t="s">
        <v>135</v>
      </c>
      <c r="N210" t="s">
        <v>135</v>
      </c>
      <c r="O210" t="s">
        <v>135</v>
      </c>
      <c r="P210" t="s">
        <v>135</v>
      </c>
      <c r="Q210" t="s">
        <v>135</v>
      </c>
      <c r="R210" t="s">
        <v>135</v>
      </c>
      <c r="S210" t="s">
        <v>135</v>
      </c>
      <c r="T210" t="s">
        <v>135</v>
      </c>
      <c r="U210" t="s">
        <v>135</v>
      </c>
      <c r="V210" t="s">
        <v>135</v>
      </c>
      <c r="W210" t="s">
        <v>135</v>
      </c>
      <c r="X210" t="s">
        <v>135</v>
      </c>
      <c r="Y210" t="s">
        <v>135</v>
      </c>
      <c r="Z210" t="s">
        <v>135</v>
      </c>
      <c r="AA210" t="s">
        <v>135</v>
      </c>
      <c r="AB210" t="s">
        <v>135</v>
      </c>
      <c r="AC210" t="s">
        <v>135</v>
      </c>
      <c r="AD210" t="s">
        <v>135</v>
      </c>
      <c r="AE210" t="s">
        <v>135</v>
      </c>
      <c r="AF210" t="s">
        <v>135</v>
      </c>
      <c r="AG210" t="s">
        <v>135</v>
      </c>
      <c r="AH210" t="s">
        <v>135</v>
      </c>
      <c r="AI210" t="s">
        <v>135</v>
      </c>
      <c r="AJ210" t="s">
        <v>135</v>
      </c>
      <c r="AK210" t="s">
        <v>135</v>
      </c>
      <c r="AL210" t="s">
        <v>135</v>
      </c>
      <c r="AM210" t="s">
        <v>135</v>
      </c>
      <c r="AN210" t="s">
        <v>135</v>
      </c>
      <c r="AO210" t="s">
        <v>135</v>
      </c>
      <c r="AP210" t="s">
        <v>135</v>
      </c>
      <c r="AQ210" t="s">
        <v>135</v>
      </c>
      <c r="AR210" t="s">
        <v>135</v>
      </c>
      <c r="AS210" t="s">
        <v>135</v>
      </c>
      <c r="AT210" t="s">
        <v>135</v>
      </c>
      <c r="AU210" t="s">
        <v>135</v>
      </c>
      <c r="AV210" t="s">
        <v>135</v>
      </c>
      <c r="AW210" t="s">
        <v>135</v>
      </c>
      <c r="AX210" t="s">
        <v>135</v>
      </c>
      <c r="AY210" t="s">
        <v>135</v>
      </c>
      <c r="AZ210" t="s">
        <v>135</v>
      </c>
      <c r="BA210" t="s">
        <v>135</v>
      </c>
      <c r="BB210" t="s">
        <v>135</v>
      </c>
      <c r="BC210" t="s">
        <v>135</v>
      </c>
      <c r="BD210" t="s">
        <v>135</v>
      </c>
      <c r="BE210" t="s">
        <v>135</v>
      </c>
      <c r="BF210" t="s">
        <v>135</v>
      </c>
      <c r="BG210" t="s">
        <v>135</v>
      </c>
      <c r="BH210" t="s">
        <v>135</v>
      </c>
      <c r="BI210" t="s">
        <v>135</v>
      </c>
      <c r="BJ210" t="s">
        <v>135</v>
      </c>
      <c r="BK210" t="s">
        <v>135</v>
      </c>
      <c r="BL210" t="s">
        <v>135</v>
      </c>
      <c r="BM210" t="s">
        <v>135</v>
      </c>
      <c r="BN210" t="s">
        <v>135</v>
      </c>
      <c r="BO210" t="s">
        <v>135</v>
      </c>
      <c r="BP210" t="s">
        <v>135</v>
      </c>
      <c r="BQ210" t="s">
        <v>135</v>
      </c>
      <c r="BR210" t="s">
        <v>135</v>
      </c>
      <c r="BS210" t="s">
        <v>135</v>
      </c>
      <c r="BT210" t="s">
        <v>135</v>
      </c>
      <c r="BU210" t="s">
        <v>135</v>
      </c>
      <c r="BV210" t="s">
        <v>135</v>
      </c>
      <c r="BW210" t="s">
        <v>135</v>
      </c>
      <c r="BX210" t="s">
        <v>135</v>
      </c>
      <c r="BY210" t="s">
        <v>135</v>
      </c>
      <c r="BZ210" t="s">
        <v>135</v>
      </c>
      <c r="CA210" t="s">
        <v>135</v>
      </c>
      <c r="CB210" t="s">
        <v>135</v>
      </c>
      <c r="CC210" t="s">
        <v>135</v>
      </c>
      <c r="CD210" t="s">
        <v>135</v>
      </c>
      <c r="CE210" t="s">
        <v>135</v>
      </c>
      <c r="CF210" t="s">
        <v>135</v>
      </c>
      <c r="CG210" t="s">
        <v>135</v>
      </c>
      <c r="CH210" t="s">
        <v>135</v>
      </c>
      <c r="CI210" t="s">
        <v>135</v>
      </c>
      <c r="CJ210" t="s">
        <v>135</v>
      </c>
      <c r="CK210" t="s">
        <v>135</v>
      </c>
      <c r="CL210" t="s">
        <v>135</v>
      </c>
      <c r="CM210" t="s">
        <v>135</v>
      </c>
      <c r="CN210" t="s">
        <v>135</v>
      </c>
      <c r="CO210" t="s">
        <v>135</v>
      </c>
      <c r="CP210" t="s">
        <v>135</v>
      </c>
      <c r="CQ210" t="s">
        <v>135</v>
      </c>
      <c r="CR210" t="s">
        <v>135</v>
      </c>
      <c r="CS210" t="s">
        <v>135</v>
      </c>
      <c r="CT210" t="s">
        <v>135</v>
      </c>
      <c r="CU210" t="s">
        <v>135</v>
      </c>
      <c r="CV210" t="s">
        <v>135</v>
      </c>
      <c r="CW210" t="s">
        <v>135</v>
      </c>
      <c r="CX210" t="s">
        <v>135</v>
      </c>
      <c r="CY210" t="s">
        <v>135</v>
      </c>
      <c r="CZ210" t="s">
        <v>135</v>
      </c>
      <c r="DA210" t="s">
        <v>135</v>
      </c>
      <c r="DB210" t="s">
        <v>135</v>
      </c>
      <c r="DC210" t="s">
        <v>135</v>
      </c>
      <c r="DD210" t="s">
        <v>135</v>
      </c>
      <c r="DE210" t="s">
        <v>135</v>
      </c>
      <c r="DF210" t="s">
        <v>135</v>
      </c>
      <c r="DG210" t="s">
        <v>135</v>
      </c>
      <c r="DH210" t="s">
        <v>135</v>
      </c>
      <c r="DI210" t="s">
        <v>135</v>
      </c>
    </row>
    <row r="211" spans="4:113" x14ac:dyDescent="0.3">
      <c r="E211" t="s">
        <v>80</v>
      </c>
      <c r="F211" t="s">
        <v>135</v>
      </c>
      <c r="G211" t="s">
        <v>135</v>
      </c>
      <c r="H211" t="s">
        <v>135</v>
      </c>
      <c r="I211" t="s">
        <v>135</v>
      </c>
      <c r="J211" t="s">
        <v>135</v>
      </c>
      <c r="K211" t="s">
        <v>135</v>
      </c>
      <c r="L211" t="s">
        <v>135</v>
      </c>
      <c r="M211" t="s">
        <v>135</v>
      </c>
      <c r="N211" t="s">
        <v>135</v>
      </c>
      <c r="O211" t="s">
        <v>135</v>
      </c>
      <c r="P211" t="s">
        <v>135</v>
      </c>
      <c r="Q211" t="s">
        <v>135</v>
      </c>
      <c r="R211" t="s">
        <v>135</v>
      </c>
      <c r="S211" t="s">
        <v>135</v>
      </c>
      <c r="T211" t="s">
        <v>135</v>
      </c>
      <c r="U211" t="s">
        <v>135</v>
      </c>
      <c r="V211" t="s">
        <v>135</v>
      </c>
      <c r="W211" t="s">
        <v>135</v>
      </c>
      <c r="X211" t="s">
        <v>135</v>
      </c>
      <c r="Y211" t="s">
        <v>135</v>
      </c>
      <c r="Z211" t="s">
        <v>135</v>
      </c>
      <c r="AA211" t="s">
        <v>135</v>
      </c>
      <c r="AB211" t="s">
        <v>135</v>
      </c>
      <c r="AC211" t="s">
        <v>135</v>
      </c>
      <c r="AD211" t="s">
        <v>135</v>
      </c>
      <c r="AE211" t="s">
        <v>135</v>
      </c>
      <c r="AF211" t="s">
        <v>135</v>
      </c>
      <c r="AG211" t="s">
        <v>135</v>
      </c>
      <c r="AH211" t="s">
        <v>135</v>
      </c>
      <c r="AI211" t="s">
        <v>135</v>
      </c>
      <c r="AJ211" t="s">
        <v>135</v>
      </c>
      <c r="AK211" t="s">
        <v>135</v>
      </c>
      <c r="AL211" t="s">
        <v>135</v>
      </c>
      <c r="AM211" t="s">
        <v>135</v>
      </c>
      <c r="AN211" t="s">
        <v>135</v>
      </c>
      <c r="AO211" t="s">
        <v>135</v>
      </c>
      <c r="AP211" t="s">
        <v>135</v>
      </c>
      <c r="AQ211" t="s">
        <v>135</v>
      </c>
      <c r="AR211" t="s">
        <v>135</v>
      </c>
      <c r="AS211" t="s">
        <v>135</v>
      </c>
      <c r="AT211" t="s">
        <v>135</v>
      </c>
      <c r="AU211" t="s">
        <v>135</v>
      </c>
      <c r="AV211" t="s">
        <v>135</v>
      </c>
      <c r="AW211" t="s">
        <v>135</v>
      </c>
      <c r="AX211" t="s">
        <v>135</v>
      </c>
      <c r="AY211" t="s">
        <v>135</v>
      </c>
      <c r="AZ211" t="s">
        <v>135</v>
      </c>
      <c r="BA211" t="s">
        <v>135</v>
      </c>
      <c r="BB211" t="s">
        <v>135</v>
      </c>
      <c r="BC211" t="s">
        <v>135</v>
      </c>
      <c r="BD211" t="s">
        <v>135</v>
      </c>
      <c r="BE211" t="s">
        <v>135</v>
      </c>
      <c r="BF211" t="s">
        <v>135</v>
      </c>
      <c r="BG211" t="s">
        <v>135</v>
      </c>
      <c r="BH211" t="s">
        <v>135</v>
      </c>
      <c r="BI211" t="s">
        <v>135</v>
      </c>
      <c r="BJ211" t="s">
        <v>135</v>
      </c>
      <c r="BK211" t="s">
        <v>135</v>
      </c>
      <c r="BL211" t="s">
        <v>135</v>
      </c>
      <c r="BM211" t="s">
        <v>135</v>
      </c>
      <c r="BN211" t="s">
        <v>135</v>
      </c>
      <c r="BO211" t="s">
        <v>135</v>
      </c>
      <c r="BP211" t="s">
        <v>135</v>
      </c>
      <c r="BQ211" t="s">
        <v>135</v>
      </c>
      <c r="BR211" t="s">
        <v>135</v>
      </c>
      <c r="BS211" t="s">
        <v>135</v>
      </c>
      <c r="BT211" t="s">
        <v>135</v>
      </c>
      <c r="BU211" t="s">
        <v>135</v>
      </c>
      <c r="BV211" t="s">
        <v>135</v>
      </c>
      <c r="BW211" t="s">
        <v>135</v>
      </c>
      <c r="BX211" t="s">
        <v>135</v>
      </c>
      <c r="BY211" t="s">
        <v>135</v>
      </c>
      <c r="BZ211" t="s">
        <v>135</v>
      </c>
      <c r="CA211" t="s">
        <v>135</v>
      </c>
      <c r="CB211" t="s">
        <v>135</v>
      </c>
      <c r="CC211" t="s">
        <v>135</v>
      </c>
      <c r="CD211" t="s">
        <v>135</v>
      </c>
      <c r="CE211" t="s">
        <v>135</v>
      </c>
      <c r="CF211" t="s">
        <v>135</v>
      </c>
      <c r="CG211" t="s">
        <v>135</v>
      </c>
      <c r="CH211" t="s">
        <v>135</v>
      </c>
      <c r="CI211" t="s">
        <v>135</v>
      </c>
      <c r="CJ211" t="s">
        <v>135</v>
      </c>
      <c r="CK211" t="s">
        <v>135</v>
      </c>
      <c r="CL211" t="s">
        <v>135</v>
      </c>
      <c r="CM211" t="s">
        <v>135</v>
      </c>
      <c r="CN211" t="s">
        <v>135</v>
      </c>
      <c r="CO211" t="s">
        <v>135</v>
      </c>
      <c r="CP211" t="s">
        <v>135</v>
      </c>
      <c r="CQ211" t="s">
        <v>135</v>
      </c>
      <c r="CR211" t="s">
        <v>135</v>
      </c>
      <c r="CS211" t="s">
        <v>135</v>
      </c>
      <c r="CT211" t="s">
        <v>135</v>
      </c>
      <c r="CU211" t="s">
        <v>135</v>
      </c>
      <c r="CV211" t="s">
        <v>135</v>
      </c>
      <c r="CW211" t="s">
        <v>135</v>
      </c>
      <c r="CX211" t="s">
        <v>135</v>
      </c>
      <c r="CY211" t="s">
        <v>135</v>
      </c>
      <c r="CZ211" t="s">
        <v>135</v>
      </c>
      <c r="DA211" t="s">
        <v>135</v>
      </c>
      <c r="DB211" t="s">
        <v>135</v>
      </c>
      <c r="DC211" t="s">
        <v>135</v>
      </c>
      <c r="DD211" t="s">
        <v>135</v>
      </c>
      <c r="DE211" t="s">
        <v>135</v>
      </c>
      <c r="DF211" t="s">
        <v>135</v>
      </c>
      <c r="DG211" t="s">
        <v>135</v>
      </c>
      <c r="DH211" t="s">
        <v>135</v>
      </c>
      <c r="DI211" t="s">
        <v>135</v>
      </c>
    </row>
    <row r="212" spans="4:113" x14ac:dyDescent="0.3">
      <c r="E212" t="s">
        <v>81</v>
      </c>
      <c r="F212" t="s">
        <v>135</v>
      </c>
      <c r="G212" t="s">
        <v>135</v>
      </c>
      <c r="H212" t="s">
        <v>135</v>
      </c>
      <c r="I212" t="s">
        <v>135</v>
      </c>
      <c r="J212" t="s">
        <v>135</v>
      </c>
      <c r="K212" t="s">
        <v>135</v>
      </c>
      <c r="L212" t="s">
        <v>135</v>
      </c>
      <c r="M212" t="s">
        <v>135</v>
      </c>
      <c r="N212" t="s">
        <v>135</v>
      </c>
      <c r="O212" t="s">
        <v>135</v>
      </c>
      <c r="P212" t="s">
        <v>135</v>
      </c>
      <c r="Q212" t="s">
        <v>135</v>
      </c>
      <c r="R212" t="s">
        <v>135</v>
      </c>
      <c r="S212" t="s">
        <v>135</v>
      </c>
      <c r="T212" t="s">
        <v>135</v>
      </c>
      <c r="U212" t="s">
        <v>135</v>
      </c>
      <c r="V212" t="s">
        <v>135</v>
      </c>
      <c r="W212" t="s">
        <v>135</v>
      </c>
      <c r="X212" t="s">
        <v>135</v>
      </c>
      <c r="Y212" t="s">
        <v>135</v>
      </c>
      <c r="Z212" t="s">
        <v>135</v>
      </c>
      <c r="AA212" t="s">
        <v>135</v>
      </c>
      <c r="AB212" t="s">
        <v>135</v>
      </c>
      <c r="AC212" t="s">
        <v>135</v>
      </c>
      <c r="AD212" t="s">
        <v>135</v>
      </c>
      <c r="AE212" t="s">
        <v>135</v>
      </c>
      <c r="AF212" t="s">
        <v>135</v>
      </c>
      <c r="AG212" t="s">
        <v>135</v>
      </c>
      <c r="AH212" t="s">
        <v>135</v>
      </c>
      <c r="AI212" t="s">
        <v>135</v>
      </c>
      <c r="AJ212" t="s">
        <v>135</v>
      </c>
      <c r="AK212" t="s">
        <v>135</v>
      </c>
      <c r="AL212" t="s">
        <v>135</v>
      </c>
      <c r="AM212" t="s">
        <v>135</v>
      </c>
      <c r="AN212" t="s">
        <v>135</v>
      </c>
      <c r="AO212" t="s">
        <v>135</v>
      </c>
      <c r="AP212" t="s">
        <v>135</v>
      </c>
      <c r="AQ212" t="s">
        <v>135</v>
      </c>
      <c r="AR212" t="s">
        <v>135</v>
      </c>
      <c r="AS212" t="s">
        <v>135</v>
      </c>
      <c r="AT212" t="s">
        <v>135</v>
      </c>
      <c r="AU212" t="s">
        <v>135</v>
      </c>
      <c r="AV212" t="s">
        <v>135</v>
      </c>
      <c r="AW212" t="s">
        <v>135</v>
      </c>
      <c r="AX212" t="s">
        <v>135</v>
      </c>
      <c r="AY212" t="s">
        <v>135</v>
      </c>
      <c r="AZ212" t="s">
        <v>135</v>
      </c>
      <c r="BA212" t="s">
        <v>135</v>
      </c>
      <c r="BB212" t="s">
        <v>135</v>
      </c>
      <c r="BC212" t="s">
        <v>135</v>
      </c>
      <c r="BD212" t="s">
        <v>135</v>
      </c>
      <c r="BE212" t="s">
        <v>135</v>
      </c>
      <c r="BF212" t="s">
        <v>135</v>
      </c>
      <c r="BG212" t="s">
        <v>135</v>
      </c>
      <c r="BH212" t="s">
        <v>135</v>
      </c>
      <c r="BI212" t="s">
        <v>135</v>
      </c>
      <c r="BJ212" t="s">
        <v>135</v>
      </c>
      <c r="BK212" t="s">
        <v>135</v>
      </c>
      <c r="BL212" t="s">
        <v>135</v>
      </c>
      <c r="BM212" t="s">
        <v>135</v>
      </c>
      <c r="BN212" t="s">
        <v>135</v>
      </c>
      <c r="BO212" t="s">
        <v>135</v>
      </c>
      <c r="BP212" t="s">
        <v>135</v>
      </c>
      <c r="BQ212" t="s">
        <v>135</v>
      </c>
      <c r="BR212" t="s">
        <v>135</v>
      </c>
      <c r="BS212" t="s">
        <v>135</v>
      </c>
      <c r="BT212" t="s">
        <v>135</v>
      </c>
      <c r="BU212" t="s">
        <v>135</v>
      </c>
      <c r="BV212" t="s">
        <v>135</v>
      </c>
      <c r="BW212" t="s">
        <v>135</v>
      </c>
      <c r="BX212" t="s">
        <v>135</v>
      </c>
      <c r="BY212" t="s">
        <v>135</v>
      </c>
      <c r="BZ212" t="s">
        <v>135</v>
      </c>
      <c r="CA212" t="s">
        <v>135</v>
      </c>
      <c r="CB212" t="s">
        <v>135</v>
      </c>
      <c r="CC212" t="s">
        <v>135</v>
      </c>
      <c r="CD212" t="s">
        <v>135</v>
      </c>
      <c r="CE212" t="s">
        <v>135</v>
      </c>
      <c r="CF212" t="s">
        <v>135</v>
      </c>
      <c r="CG212" t="s">
        <v>135</v>
      </c>
      <c r="CH212" t="s">
        <v>135</v>
      </c>
      <c r="CI212" t="s">
        <v>135</v>
      </c>
      <c r="CJ212" t="s">
        <v>135</v>
      </c>
      <c r="CK212" t="s">
        <v>135</v>
      </c>
      <c r="CL212" t="s">
        <v>135</v>
      </c>
      <c r="CM212" t="s">
        <v>135</v>
      </c>
      <c r="CN212" t="s">
        <v>135</v>
      </c>
      <c r="CO212" t="s">
        <v>135</v>
      </c>
      <c r="CP212" t="s">
        <v>135</v>
      </c>
      <c r="CQ212" t="s">
        <v>135</v>
      </c>
      <c r="CR212" t="s">
        <v>135</v>
      </c>
      <c r="CS212" t="s">
        <v>135</v>
      </c>
      <c r="CT212" t="s">
        <v>135</v>
      </c>
      <c r="CU212" t="s">
        <v>135</v>
      </c>
      <c r="CV212" t="s">
        <v>135</v>
      </c>
      <c r="CW212" t="s">
        <v>135</v>
      </c>
      <c r="CX212" t="s">
        <v>135</v>
      </c>
      <c r="CY212" t="s">
        <v>135</v>
      </c>
      <c r="CZ212" t="s">
        <v>135</v>
      </c>
      <c r="DA212" t="s">
        <v>135</v>
      </c>
      <c r="DB212" t="s">
        <v>135</v>
      </c>
      <c r="DC212" t="s">
        <v>135</v>
      </c>
      <c r="DD212" t="s">
        <v>135</v>
      </c>
      <c r="DE212" t="s">
        <v>135</v>
      </c>
      <c r="DF212" t="s">
        <v>135</v>
      </c>
      <c r="DG212" t="s">
        <v>135</v>
      </c>
      <c r="DH212" t="s">
        <v>135</v>
      </c>
      <c r="DI212" t="s">
        <v>135</v>
      </c>
    </row>
    <row r="213" spans="4:113" x14ac:dyDescent="0.3">
      <c r="D213" t="s">
        <v>83</v>
      </c>
      <c r="E213" t="s">
        <v>77</v>
      </c>
      <c r="F213">
        <v>-10.2667</v>
      </c>
      <c r="G213">
        <v>-4.2271000000000001</v>
      </c>
      <c r="H213">
        <v>-4.0145</v>
      </c>
      <c r="I213">
        <v>-4.3823999999999996</v>
      </c>
      <c r="J213">
        <v>-8.9846000000000004</v>
      </c>
      <c r="K213">
        <v>-14.827299999999999</v>
      </c>
      <c r="L213">
        <v>-131.12809999999999</v>
      </c>
      <c r="M213">
        <v>-19.101400000000002</v>
      </c>
      <c r="N213">
        <v>-11.334</v>
      </c>
      <c r="O213">
        <v>-11.0266</v>
      </c>
      <c r="P213">
        <v>-11.0266</v>
      </c>
      <c r="Q213" t="s">
        <v>135</v>
      </c>
      <c r="R213" t="s">
        <v>135</v>
      </c>
      <c r="S213" t="s">
        <v>135</v>
      </c>
      <c r="T213">
        <v>-14.5284</v>
      </c>
      <c r="U213" t="s">
        <v>135</v>
      </c>
      <c r="V213" t="s">
        <v>135</v>
      </c>
      <c r="W213" t="s">
        <v>135</v>
      </c>
      <c r="X213" t="s">
        <v>135</v>
      </c>
      <c r="Y213" t="s">
        <v>135</v>
      </c>
      <c r="Z213">
        <v>-13.074199999999999</v>
      </c>
      <c r="AA213">
        <v>-14.815200000000001</v>
      </c>
      <c r="AB213">
        <v>5.5498000000000003</v>
      </c>
      <c r="AC213">
        <v>-1.9211</v>
      </c>
      <c r="AD213">
        <v>-20.5245</v>
      </c>
      <c r="AE213">
        <v>-160.1114</v>
      </c>
      <c r="AF213">
        <v>12.838699999999999</v>
      </c>
      <c r="AG213">
        <v>7.9104000000000001</v>
      </c>
      <c r="AH213">
        <v>7.1079999999999997</v>
      </c>
      <c r="AI213">
        <v>-9.1912000000000003</v>
      </c>
      <c r="AJ213">
        <v>-2.2606000000000002</v>
      </c>
      <c r="AK213">
        <v>-8.7721</v>
      </c>
      <c r="AL213">
        <v>27.694600000000001</v>
      </c>
      <c r="AM213">
        <v>-1.8812</v>
      </c>
      <c r="AN213" t="s">
        <v>135</v>
      </c>
      <c r="AO213" t="s">
        <v>135</v>
      </c>
      <c r="AP213" t="s">
        <v>135</v>
      </c>
      <c r="AQ213" t="s">
        <v>135</v>
      </c>
      <c r="AR213">
        <v>-100</v>
      </c>
      <c r="AS213">
        <v>-7.0864000000000003</v>
      </c>
      <c r="AT213">
        <v>5.9515000000000002</v>
      </c>
      <c r="AU213">
        <v>13.0497</v>
      </c>
      <c r="AV213">
        <v>5.2073</v>
      </c>
      <c r="AW213">
        <v>2.4209999999999998</v>
      </c>
      <c r="AX213" t="s">
        <v>135</v>
      </c>
      <c r="AY213">
        <v>5.6688000000000001</v>
      </c>
      <c r="AZ213">
        <v>30.6754</v>
      </c>
      <c r="BA213">
        <v>10.954599999999999</v>
      </c>
      <c r="BB213">
        <v>0.96319999999999995</v>
      </c>
      <c r="BC213">
        <v>4.9302000000000001</v>
      </c>
      <c r="BD213">
        <v>1.2030000000000001</v>
      </c>
      <c r="BE213">
        <v>-10.795500000000001</v>
      </c>
      <c r="BF213">
        <v>-14.5284</v>
      </c>
      <c r="BG213">
        <v>-172.42060000000001</v>
      </c>
      <c r="BH213">
        <v>-298.70760000000001</v>
      </c>
      <c r="BI213">
        <v>-311.10930000000002</v>
      </c>
      <c r="BJ213">
        <v>-311.06</v>
      </c>
      <c r="BK213">
        <v>-100</v>
      </c>
      <c r="BL213">
        <v>-13.074199999999999</v>
      </c>
      <c r="BM213">
        <v>-14.815200000000001</v>
      </c>
      <c r="BN213">
        <v>5.5498000000000003</v>
      </c>
      <c r="BO213">
        <v>-1.9211</v>
      </c>
      <c r="BP213">
        <v>-20.5245</v>
      </c>
      <c r="BQ213" t="s">
        <v>135</v>
      </c>
      <c r="BR213">
        <v>12.838699999999999</v>
      </c>
      <c r="BS213">
        <v>7.9104000000000001</v>
      </c>
      <c r="BT213">
        <v>7.1079999999999997</v>
      </c>
      <c r="BU213">
        <v>-9.1912000000000003</v>
      </c>
      <c r="BV213">
        <v>-2.2606000000000002</v>
      </c>
      <c r="BW213">
        <v>-8.7721</v>
      </c>
      <c r="BX213">
        <v>27.694600000000001</v>
      </c>
      <c r="BY213">
        <v>344312.2</v>
      </c>
      <c r="BZ213">
        <v>177308.3</v>
      </c>
      <c r="CA213">
        <v>167003.9</v>
      </c>
      <c r="CB213" t="s">
        <v>135</v>
      </c>
      <c r="CC213" t="s">
        <v>135</v>
      </c>
      <c r="CD213" t="s">
        <v>135</v>
      </c>
      <c r="CE213" t="s">
        <v>135</v>
      </c>
      <c r="CF213">
        <v>-1.617</v>
      </c>
      <c r="CG213">
        <v>39.668900000000001</v>
      </c>
      <c r="CH213">
        <v>42.321800000000003</v>
      </c>
      <c r="CI213">
        <v>22.601199999999999</v>
      </c>
      <c r="CJ213">
        <v>16.590599999999998</v>
      </c>
      <c r="CK213">
        <v>87.254900000000006</v>
      </c>
      <c r="CL213">
        <v>46.596899999999998</v>
      </c>
      <c r="CM213">
        <v>34.204799999999999</v>
      </c>
      <c r="CN213">
        <v>85.379900000000006</v>
      </c>
      <c r="CO213">
        <v>46.056699999999999</v>
      </c>
      <c r="CP213">
        <v>-35010.300000000003</v>
      </c>
      <c r="CQ213">
        <v>-101602.8</v>
      </c>
      <c r="CR213">
        <v>-57777.599999999999</v>
      </c>
      <c r="CS213">
        <v>1.9099999999999999E-2</v>
      </c>
      <c r="CT213">
        <v>0.5897</v>
      </c>
      <c r="CU213">
        <v>9.1899999999999996E-2</v>
      </c>
      <c r="CV213">
        <v>0.61480000000000001</v>
      </c>
      <c r="CW213">
        <v>12.827999999999999</v>
      </c>
      <c r="CX213">
        <v>28.531400000000001</v>
      </c>
      <c r="CY213">
        <v>1.0744</v>
      </c>
      <c r="CZ213">
        <v>340.64449999999999</v>
      </c>
      <c r="DA213">
        <v>3.7641999999999998</v>
      </c>
      <c r="DB213">
        <v>97.233000000000004</v>
      </c>
      <c r="DC213">
        <v>271.94290000000001</v>
      </c>
      <c r="DD213">
        <v>369.17599999999999</v>
      </c>
      <c r="DE213">
        <v>153636.1</v>
      </c>
      <c r="DF213">
        <v>28460.6</v>
      </c>
      <c r="DG213">
        <v>43421.9</v>
      </c>
      <c r="DH213">
        <v>56614.7</v>
      </c>
      <c r="DI213">
        <v>25138.9</v>
      </c>
    </row>
    <row r="214" spans="4:113" x14ac:dyDescent="0.3">
      <c r="E214" t="s">
        <v>78</v>
      </c>
      <c r="F214" t="s">
        <v>135</v>
      </c>
      <c r="G214" t="s">
        <v>135</v>
      </c>
      <c r="H214" t="s">
        <v>135</v>
      </c>
      <c r="I214" t="s">
        <v>135</v>
      </c>
      <c r="J214" t="s">
        <v>135</v>
      </c>
      <c r="K214" t="s">
        <v>135</v>
      </c>
      <c r="L214" t="s">
        <v>135</v>
      </c>
      <c r="M214" t="s">
        <v>135</v>
      </c>
      <c r="N214" t="s">
        <v>135</v>
      </c>
      <c r="O214" t="s">
        <v>135</v>
      </c>
      <c r="P214" t="s">
        <v>135</v>
      </c>
      <c r="Q214" t="s">
        <v>135</v>
      </c>
      <c r="R214" t="s">
        <v>135</v>
      </c>
      <c r="S214" t="s">
        <v>135</v>
      </c>
      <c r="T214" t="s">
        <v>135</v>
      </c>
      <c r="U214" t="s">
        <v>135</v>
      </c>
      <c r="V214" t="s">
        <v>135</v>
      </c>
      <c r="W214" t="s">
        <v>135</v>
      </c>
      <c r="X214" t="s">
        <v>135</v>
      </c>
      <c r="Y214" t="s">
        <v>135</v>
      </c>
      <c r="Z214" t="s">
        <v>135</v>
      </c>
      <c r="AA214" t="s">
        <v>135</v>
      </c>
      <c r="AB214" t="s">
        <v>135</v>
      </c>
      <c r="AC214" t="s">
        <v>135</v>
      </c>
      <c r="AD214" t="s">
        <v>135</v>
      </c>
      <c r="AE214" t="s">
        <v>135</v>
      </c>
      <c r="AF214" t="s">
        <v>135</v>
      </c>
      <c r="AG214" t="s">
        <v>135</v>
      </c>
      <c r="AH214" t="s">
        <v>135</v>
      </c>
      <c r="AI214" t="s">
        <v>135</v>
      </c>
      <c r="AJ214" t="s">
        <v>135</v>
      </c>
      <c r="AK214" t="s">
        <v>135</v>
      </c>
      <c r="AL214" t="s">
        <v>135</v>
      </c>
      <c r="AM214" t="s">
        <v>135</v>
      </c>
      <c r="AN214" t="s">
        <v>135</v>
      </c>
      <c r="AO214" t="s">
        <v>135</v>
      </c>
      <c r="AP214" t="s">
        <v>135</v>
      </c>
      <c r="AQ214" t="s">
        <v>135</v>
      </c>
      <c r="AR214" t="s">
        <v>135</v>
      </c>
      <c r="AS214" t="s">
        <v>135</v>
      </c>
      <c r="AT214" t="s">
        <v>135</v>
      </c>
      <c r="AU214" t="s">
        <v>135</v>
      </c>
      <c r="AV214" t="s">
        <v>135</v>
      </c>
      <c r="AW214" t="s">
        <v>135</v>
      </c>
      <c r="AX214" t="s">
        <v>135</v>
      </c>
      <c r="AY214" t="s">
        <v>135</v>
      </c>
      <c r="AZ214" t="s">
        <v>135</v>
      </c>
      <c r="BA214" t="s">
        <v>135</v>
      </c>
      <c r="BB214" t="s">
        <v>135</v>
      </c>
      <c r="BC214" t="s">
        <v>135</v>
      </c>
      <c r="BD214" t="s">
        <v>135</v>
      </c>
      <c r="BE214" t="s">
        <v>135</v>
      </c>
      <c r="BF214" t="s">
        <v>135</v>
      </c>
      <c r="BG214" t="s">
        <v>135</v>
      </c>
      <c r="BH214" t="s">
        <v>135</v>
      </c>
      <c r="BI214" t="s">
        <v>135</v>
      </c>
      <c r="BJ214" t="s">
        <v>135</v>
      </c>
      <c r="BK214" t="s">
        <v>135</v>
      </c>
      <c r="BL214" t="s">
        <v>135</v>
      </c>
      <c r="BM214" t="s">
        <v>135</v>
      </c>
      <c r="BN214" t="s">
        <v>135</v>
      </c>
      <c r="BO214" t="s">
        <v>135</v>
      </c>
      <c r="BP214" t="s">
        <v>135</v>
      </c>
      <c r="BQ214" t="s">
        <v>135</v>
      </c>
      <c r="BR214" t="s">
        <v>135</v>
      </c>
      <c r="BS214" t="s">
        <v>135</v>
      </c>
      <c r="BT214" t="s">
        <v>135</v>
      </c>
      <c r="BU214" t="s">
        <v>135</v>
      </c>
      <c r="BV214" t="s">
        <v>135</v>
      </c>
      <c r="BW214" t="s">
        <v>135</v>
      </c>
      <c r="BX214" t="s">
        <v>135</v>
      </c>
      <c r="BY214" t="s">
        <v>135</v>
      </c>
      <c r="BZ214" t="s">
        <v>135</v>
      </c>
      <c r="CA214" t="s">
        <v>135</v>
      </c>
      <c r="CB214" t="s">
        <v>135</v>
      </c>
      <c r="CC214" t="s">
        <v>135</v>
      </c>
      <c r="CD214" t="s">
        <v>135</v>
      </c>
      <c r="CE214" t="s">
        <v>135</v>
      </c>
      <c r="CF214" t="s">
        <v>135</v>
      </c>
      <c r="CG214" t="s">
        <v>135</v>
      </c>
      <c r="CH214" t="s">
        <v>135</v>
      </c>
      <c r="CI214" t="s">
        <v>135</v>
      </c>
      <c r="CJ214" t="s">
        <v>135</v>
      </c>
      <c r="CK214" t="s">
        <v>135</v>
      </c>
      <c r="CL214" t="s">
        <v>135</v>
      </c>
      <c r="CM214" t="s">
        <v>135</v>
      </c>
      <c r="CN214" t="s">
        <v>135</v>
      </c>
      <c r="CO214" t="s">
        <v>135</v>
      </c>
      <c r="CP214" t="s">
        <v>135</v>
      </c>
      <c r="CQ214" t="s">
        <v>135</v>
      </c>
      <c r="CR214" t="s">
        <v>135</v>
      </c>
      <c r="CS214" t="s">
        <v>135</v>
      </c>
      <c r="CT214" t="s">
        <v>135</v>
      </c>
      <c r="CU214" t="s">
        <v>135</v>
      </c>
      <c r="CV214" t="s">
        <v>135</v>
      </c>
      <c r="CW214" t="s">
        <v>135</v>
      </c>
      <c r="CX214" t="s">
        <v>135</v>
      </c>
      <c r="CY214" t="s">
        <v>135</v>
      </c>
      <c r="CZ214" t="s">
        <v>135</v>
      </c>
      <c r="DA214" t="s">
        <v>135</v>
      </c>
      <c r="DB214" t="s">
        <v>135</v>
      </c>
      <c r="DC214" t="s">
        <v>135</v>
      </c>
      <c r="DD214" t="s">
        <v>135</v>
      </c>
      <c r="DE214" t="s">
        <v>135</v>
      </c>
      <c r="DF214" t="s">
        <v>135</v>
      </c>
      <c r="DG214" t="s">
        <v>135</v>
      </c>
      <c r="DH214" t="s">
        <v>135</v>
      </c>
      <c r="DI214" t="s">
        <v>135</v>
      </c>
    </row>
    <row r="215" spans="4:113" x14ac:dyDescent="0.3">
      <c r="E215" t="s">
        <v>79</v>
      </c>
      <c r="F215" t="s">
        <v>135</v>
      </c>
      <c r="G215" t="s">
        <v>135</v>
      </c>
      <c r="H215" t="s">
        <v>135</v>
      </c>
      <c r="I215" t="s">
        <v>135</v>
      </c>
      <c r="J215" t="s">
        <v>135</v>
      </c>
      <c r="K215" t="s">
        <v>135</v>
      </c>
      <c r="L215" t="s">
        <v>135</v>
      </c>
      <c r="M215" t="s">
        <v>135</v>
      </c>
      <c r="N215" t="s">
        <v>135</v>
      </c>
      <c r="O215" t="s">
        <v>135</v>
      </c>
      <c r="P215" t="s">
        <v>135</v>
      </c>
      <c r="Q215" t="s">
        <v>135</v>
      </c>
      <c r="R215" t="s">
        <v>135</v>
      </c>
      <c r="S215" t="s">
        <v>135</v>
      </c>
      <c r="T215" t="s">
        <v>135</v>
      </c>
      <c r="U215" t="s">
        <v>135</v>
      </c>
      <c r="V215" t="s">
        <v>135</v>
      </c>
      <c r="W215" t="s">
        <v>135</v>
      </c>
      <c r="X215" t="s">
        <v>135</v>
      </c>
      <c r="Y215" t="s">
        <v>135</v>
      </c>
      <c r="Z215" t="s">
        <v>135</v>
      </c>
      <c r="AA215" t="s">
        <v>135</v>
      </c>
      <c r="AB215" t="s">
        <v>135</v>
      </c>
      <c r="AC215" t="s">
        <v>135</v>
      </c>
      <c r="AD215" t="s">
        <v>135</v>
      </c>
      <c r="AE215" t="s">
        <v>135</v>
      </c>
      <c r="AF215" t="s">
        <v>135</v>
      </c>
      <c r="AG215" t="s">
        <v>135</v>
      </c>
      <c r="AH215" t="s">
        <v>135</v>
      </c>
      <c r="AI215" t="s">
        <v>135</v>
      </c>
      <c r="AJ215" t="s">
        <v>135</v>
      </c>
      <c r="AK215" t="s">
        <v>135</v>
      </c>
      <c r="AL215" t="s">
        <v>135</v>
      </c>
      <c r="AM215" t="s">
        <v>135</v>
      </c>
      <c r="AN215" t="s">
        <v>135</v>
      </c>
      <c r="AO215" t="s">
        <v>135</v>
      </c>
      <c r="AP215" t="s">
        <v>135</v>
      </c>
      <c r="AQ215" t="s">
        <v>135</v>
      </c>
      <c r="AR215" t="s">
        <v>135</v>
      </c>
      <c r="AS215" t="s">
        <v>135</v>
      </c>
      <c r="AT215" t="s">
        <v>135</v>
      </c>
      <c r="AU215" t="s">
        <v>135</v>
      </c>
      <c r="AV215" t="s">
        <v>135</v>
      </c>
      <c r="AW215" t="s">
        <v>135</v>
      </c>
      <c r="AX215" t="s">
        <v>135</v>
      </c>
      <c r="AY215" t="s">
        <v>135</v>
      </c>
      <c r="AZ215" t="s">
        <v>135</v>
      </c>
      <c r="BA215" t="s">
        <v>135</v>
      </c>
      <c r="BB215" t="s">
        <v>135</v>
      </c>
      <c r="BC215" t="s">
        <v>135</v>
      </c>
      <c r="BD215" t="s">
        <v>135</v>
      </c>
      <c r="BE215" t="s">
        <v>135</v>
      </c>
      <c r="BF215" t="s">
        <v>135</v>
      </c>
      <c r="BG215" t="s">
        <v>135</v>
      </c>
      <c r="BH215" t="s">
        <v>135</v>
      </c>
      <c r="BI215" t="s">
        <v>135</v>
      </c>
      <c r="BJ215" t="s">
        <v>135</v>
      </c>
      <c r="BK215" t="s">
        <v>135</v>
      </c>
      <c r="BL215" t="s">
        <v>135</v>
      </c>
      <c r="BM215" t="s">
        <v>135</v>
      </c>
      <c r="BN215" t="s">
        <v>135</v>
      </c>
      <c r="BO215" t="s">
        <v>135</v>
      </c>
      <c r="BP215" t="s">
        <v>135</v>
      </c>
      <c r="BQ215" t="s">
        <v>135</v>
      </c>
      <c r="BR215" t="s">
        <v>135</v>
      </c>
      <c r="BS215" t="s">
        <v>135</v>
      </c>
      <c r="BT215" t="s">
        <v>135</v>
      </c>
      <c r="BU215" t="s">
        <v>135</v>
      </c>
      <c r="BV215" t="s">
        <v>135</v>
      </c>
      <c r="BW215" t="s">
        <v>135</v>
      </c>
      <c r="BX215" t="s">
        <v>135</v>
      </c>
      <c r="BY215" t="s">
        <v>135</v>
      </c>
      <c r="BZ215" t="s">
        <v>135</v>
      </c>
      <c r="CA215" t="s">
        <v>135</v>
      </c>
      <c r="CB215" t="s">
        <v>135</v>
      </c>
      <c r="CC215" t="s">
        <v>135</v>
      </c>
      <c r="CD215" t="s">
        <v>135</v>
      </c>
      <c r="CE215" t="s">
        <v>135</v>
      </c>
      <c r="CF215" t="s">
        <v>135</v>
      </c>
      <c r="CG215" t="s">
        <v>135</v>
      </c>
      <c r="CH215" t="s">
        <v>135</v>
      </c>
      <c r="CI215" t="s">
        <v>135</v>
      </c>
      <c r="CJ215" t="s">
        <v>135</v>
      </c>
      <c r="CK215" t="s">
        <v>135</v>
      </c>
      <c r="CL215" t="s">
        <v>135</v>
      </c>
      <c r="CM215" t="s">
        <v>135</v>
      </c>
      <c r="CN215" t="s">
        <v>135</v>
      </c>
      <c r="CO215" t="s">
        <v>135</v>
      </c>
      <c r="CP215" t="s">
        <v>135</v>
      </c>
      <c r="CQ215" t="s">
        <v>135</v>
      </c>
      <c r="CR215" t="s">
        <v>135</v>
      </c>
      <c r="CS215" t="s">
        <v>135</v>
      </c>
      <c r="CT215" t="s">
        <v>135</v>
      </c>
      <c r="CU215" t="s">
        <v>135</v>
      </c>
      <c r="CV215" t="s">
        <v>135</v>
      </c>
      <c r="CW215" t="s">
        <v>135</v>
      </c>
      <c r="CX215" t="s">
        <v>135</v>
      </c>
      <c r="CY215" t="s">
        <v>135</v>
      </c>
      <c r="CZ215" t="s">
        <v>135</v>
      </c>
      <c r="DA215" t="s">
        <v>135</v>
      </c>
      <c r="DB215" t="s">
        <v>135</v>
      </c>
      <c r="DC215" t="s">
        <v>135</v>
      </c>
      <c r="DD215" t="s">
        <v>135</v>
      </c>
      <c r="DE215" t="s">
        <v>135</v>
      </c>
      <c r="DF215" t="s">
        <v>135</v>
      </c>
      <c r="DG215" t="s">
        <v>135</v>
      </c>
      <c r="DH215" t="s">
        <v>135</v>
      </c>
      <c r="DI215" t="s">
        <v>135</v>
      </c>
    </row>
    <row r="216" spans="4:113" x14ac:dyDescent="0.3">
      <c r="E216" t="s">
        <v>80</v>
      </c>
      <c r="F216" t="s">
        <v>135</v>
      </c>
      <c r="G216" t="s">
        <v>135</v>
      </c>
      <c r="H216" t="s">
        <v>135</v>
      </c>
      <c r="I216" t="s">
        <v>135</v>
      </c>
      <c r="J216" t="s">
        <v>135</v>
      </c>
      <c r="K216" t="s">
        <v>135</v>
      </c>
      <c r="L216" t="s">
        <v>135</v>
      </c>
      <c r="M216" t="s">
        <v>135</v>
      </c>
      <c r="N216" t="s">
        <v>135</v>
      </c>
      <c r="O216" t="s">
        <v>135</v>
      </c>
      <c r="P216" t="s">
        <v>135</v>
      </c>
      <c r="Q216" t="s">
        <v>135</v>
      </c>
      <c r="R216" t="s">
        <v>135</v>
      </c>
      <c r="S216" t="s">
        <v>135</v>
      </c>
      <c r="T216" t="s">
        <v>135</v>
      </c>
      <c r="U216" t="s">
        <v>135</v>
      </c>
      <c r="V216" t="s">
        <v>135</v>
      </c>
      <c r="W216" t="s">
        <v>135</v>
      </c>
      <c r="X216" t="s">
        <v>135</v>
      </c>
      <c r="Y216" t="s">
        <v>135</v>
      </c>
      <c r="Z216" t="s">
        <v>135</v>
      </c>
      <c r="AA216" t="s">
        <v>135</v>
      </c>
      <c r="AB216" t="s">
        <v>135</v>
      </c>
      <c r="AC216" t="s">
        <v>135</v>
      </c>
      <c r="AD216" t="s">
        <v>135</v>
      </c>
      <c r="AE216" t="s">
        <v>135</v>
      </c>
      <c r="AF216" t="s">
        <v>135</v>
      </c>
      <c r="AG216" t="s">
        <v>135</v>
      </c>
      <c r="AH216" t="s">
        <v>135</v>
      </c>
      <c r="AI216" t="s">
        <v>135</v>
      </c>
      <c r="AJ216" t="s">
        <v>135</v>
      </c>
      <c r="AK216" t="s">
        <v>135</v>
      </c>
      <c r="AL216" t="s">
        <v>135</v>
      </c>
      <c r="AM216" t="s">
        <v>135</v>
      </c>
      <c r="AN216" t="s">
        <v>135</v>
      </c>
      <c r="AO216" t="s">
        <v>135</v>
      </c>
      <c r="AP216" t="s">
        <v>135</v>
      </c>
      <c r="AQ216" t="s">
        <v>135</v>
      </c>
      <c r="AR216" t="s">
        <v>135</v>
      </c>
      <c r="AS216" t="s">
        <v>135</v>
      </c>
      <c r="AT216" t="s">
        <v>135</v>
      </c>
      <c r="AU216" t="s">
        <v>135</v>
      </c>
      <c r="AV216" t="s">
        <v>135</v>
      </c>
      <c r="AW216" t="s">
        <v>135</v>
      </c>
      <c r="AX216" t="s">
        <v>135</v>
      </c>
      <c r="AY216" t="s">
        <v>135</v>
      </c>
      <c r="AZ216" t="s">
        <v>135</v>
      </c>
      <c r="BA216" t="s">
        <v>135</v>
      </c>
      <c r="BB216" t="s">
        <v>135</v>
      </c>
      <c r="BC216" t="s">
        <v>135</v>
      </c>
      <c r="BD216" t="s">
        <v>135</v>
      </c>
      <c r="BE216" t="s">
        <v>135</v>
      </c>
      <c r="BF216" t="s">
        <v>135</v>
      </c>
      <c r="BG216" t="s">
        <v>135</v>
      </c>
      <c r="BH216" t="s">
        <v>135</v>
      </c>
      <c r="BI216" t="s">
        <v>135</v>
      </c>
      <c r="BJ216" t="s">
        <v>135</v>
      </c>
      <c r="BK216" t="s">
        <v>135</v>
      </c>
      <c r="BL216" t="s">
        <v>135</v>
      </c>
      <c r="BM216" t="s">
        <v>135</v>
      </c>
      <c r="BN216" t="s">
        <v>135</v>
      </c>
      <c r="BO216" t="s">
        <v>135</v>
      </c>
      <c r="BP216" t="s">
        <v>135</v>
      </c>
      <c r="BQ216" t="s">
        <v>135</v>
      </c>
      <c r="BR216" t="s">
        <v>135</v>
      </c>
      <c r="BS216" t="s">
        <v>135</v>
      </c>
      <c r="BT216" t="s">
        <v>135</v>
      </c>
      <c r="BU216" t="s">
        <v>135</v>
      </c>
      <c r="BV216" t="s">
        <v>135</v>
      </c>
      <c r="BW216" t="s">
        <v>135</v>
      </c>
      <c r="BX216" t="s">
        <v>135</v>
      </c>
      <c r="BY216" t="s">
        <v>135</v>
      </c>
      <c r="BZ216" t="s">
        <v>135</v>
      </c>
      <c r="CA216" t="s">
        <v>135</v>
      </c>
      <c r="CB216" t="s">
        <v>135</v>
      </c>
      <c r="CC216" t="s">
        <v>135</v>
      </c>
      <c r="CD216" t="s">
        <v>135</v>
      </c>
      <c r="CE216" t="s">
        <v>135</v>
      </c>
      <c r="CF216" t="s">
        <v>135</v>
      </c>
      <c r="CG216" t="s">
        <v>135</v>
      </c>
      <c r="CH216" t="s">
        <v>135</v>
      </c>
      <c r="CI216" t="s">
        <v>135</v>
      </c>
      <c r="CJ216" t="s">
        <v>135</v>
      </c>
      <c r="CK216" t="s">
        <v>135</v>
      </c>
      <c r="CL216" t="s">
        <v>135</v>
      </c>
      <c r="CM216" t="s">
        <v>135</v>
      </c>
      <c r="CN216" t="s">
        <v>135</v>
      </c>
      <c r="CO216" t="s">
        <v>135</v>
      </c>
      <c r="CP216" t="s">
        <v>135</v>
      </c>
      <c r="CQ216" t="s">
        <v>135</v>
      </c>
      <c r="CR216" t="s">
        <v>135</v>
      </c>
      <c r="CS216" t="s">
        <v>135</v>
      </c>
      <c r="CT216" t="s">
        <v>135</v>
      </c>
      <c r="CU216" t="s">
        <v>135</v>
      </c>
      <c r="CV216" t="s">
        <v>135</v>
      </c>
      <c r="CW216" t="s">
        <v>135</v>
      </c>
      <c r="CX216" t="s">
        <v>135</v>
      </c>
      <c r="CY216" t="s">
        <v>135</v>
      </c>
      <c r="CZ216" t="s">
        <v>135</v>
      </c>
      <c r="DA216" t="s">
        <v>135</v>
      </c>
      <c r="DB216" t="s">
        <v>135</v>
      </c>
      <c r="DC216" t="s">
        <v>135</v>
      </c>
      <c r="DD216" t="s">
        <v>135</v>
      </c>
      <c r="DE216" t="s">
        <v>135</v>
      </c>
      <c r="DF216" t="s">
        <v>135</v>
      </c>
      <c r="DG216" t="s">
        <v>135</v>
      </c>
      <c r="DH216" t="s">
        <v>135</v>
      </c>
      <c r="DI216" t="s">
        <v>135</v>
      </c>
    </row>
    <row r="217" spans="4:113" x14ac:dyDescent="0.3">
      <c r="E217" t="s">
        <v>81</v>
      </c>
      <c r="F217" t="s">
        <v>135</v>
      </c>
      <c r="G217" t="s">
        <v>135</v>
      </c>
      <c r="H217" t="s">
        <v>135</v>
      </c>
      <c r="I217" t="s">
        <v>135</v>
      </c>
      <c r="J217" t="s">
        <v>135</v>
      </c>
      <c r="K217" t="s">
        <v>135</v>
      </c>
      <c r="L217" t="s">
        <v>135</v>
      </c>
      <c r="M217" t="s">
        <v>135</v>
      </c>
      <c r="N217" t="s">
        <v>135</v>
      </c>
      <c r="O217" t="s">
        <v>135</v>
      </c>
      <c r="P217" t="s">
        <v>135</v>
      </c>
      <c r="Q217" t="s">
        <v>135</v>
      </c>
      <c r="R217" t="s">
        <v>135</v>
      </c>
      <c r="S217" t="s">
        <v>135</v>
      </c>
      <c r="T217" t="s">
        <v>135</v>
      </c>
      <c r="U217" t="s">
        <v>135</v>
      </c>
      <c r="V217" t="s">
        <v>135</v>
      </c>
      <c r="W217" t="s">
        <v>135</v>
      </c>
      <c r="X217" t="s">
        <v>135</v>
      </c>
      <c r="Y217" t="s">
        <v>135</v>
      </c>
      <c r="Z217" t="s">
        <v>135</v>
      </c>
      <c r="AA217" t="s">
        <v>135</v>
      </c>
      <c r="AB217" t="s">
        <v>135</v>
      </c>
      <c r="AC217" t="s">
        <v>135</v>
      </c>
      <c r="AD217" t="s">
        <v>135</v>
      </c>
      <c r="AE217" t="s">
        <v>135</v>
      </c>
      <c r="AF217" t="s">
        <v>135</v>
      </c>
      <c r="AG217" t="s">
        <v>135</v>
      </c>
      <c r="AH217" t="s">
        <v>135</v>
      </c>
      <c r="AI217" t="s">
        <v>135</v>
      </c>
      <c r="AJ217" t="s">
        <v>135</v>
      </c>
      <c r="AK217" t="s">
        <v>135</v>
      </c>
      <c r="AL217" t="s">
        <v>135</v>
      </c>
      <c r="AM217" t="s">
        <v>135</v>
      </c>
      <c r="AN217" t="s">
        <v>135</v>
      </c>
      <c r="AO217" t="s">
        <v>135</v>
      </c>
      <c r="AP217" t="s">
        <v>135</v>
      </c>
      <c r="AQ217" t="s">
        <v>135</v>
      </c>
      <c r="AR217" t="s">
        <v>135</v>
      </c>
      <c r="AS217" t="s">
        <v>135</v>
      </c>
      <c r="AT217" t="s">
        <v>135</v>
      </c>
      <c r="AU217" t="s">
        <v>135</v>
      </c>
      <c r="AV217" t="s">
        <v>135</v>
      </c>
      <c r="AW217" t="s">
        <v>135</v>
      </c>
      <c r="AX217" t="s">
        <v>135</v>
      </c>
      <c r="AY217" t="s">
        <v>135</v>
      </c>
      <c r="AZ217" t="s">
        <v>135</v>
      </c>
      <c r="BA217" t="s">
        <v>135</v>
      </c>
      <c r="BB217" t="s">
        <v>135</v>
      </c>
      <c r="BC217" t="s">
        <v>135</v>
      </c>
      <c r="BD217" t="s">
        <v>135</v>
      </c>
      <c r="BE217" t="s">
        <v>135</v>
      </c>
      <c r="BF217" t="s">
        <v>135</v>
      </c>
      <c r="BG217" t="s">
        <v>135</v>
      </c>
      <c r="BH217" t="s">
        <v>135</v>
      </c>
      <c r="BI217" t="s">
        <v>135</v>
      </c>
      <c r="BJ217" t="s">
        <v>135</v>
      </c>
      <c r="BK217" t="s">
        <v>135</v>
      </c>
      <c r="BL217" t="s">
        <v>135</v>
      </c>
      <c r="BM217" t="s">
        <v>135</v>
      </c>
      <c r="BN217" t="s">
        <v>135</v>
      </c>
      <c r="BO217" t="s">
        <v>135</v>
      </c>
      <c r="BP217" t="s">
        <v>135</v>
      </c>
      <c r="BQ217" t="s">
        <v>135</v>
      </c>
      <c r="BR217" t="s">
        <v>135</v>
      </c>
      <c r="BS217" t="s">
        <v>135</v>
      </c>
      <c r="BT217" t="s">
        <v>135</v>
      </c>
      <c r="BU217" t="s">
        <v>135</v>
      </c>
      <c r="BV217" t="s">
        <v>135</v>
      </c>
      <c r="BW217" t="s">
        <v>135</v>
      </c>
      <c r="BX217" t="s">
        <v>135</v>
      </c>
      <c r="BY217" t="s">
        <v>135</v>
      </c>
      <c r="BZ217" t="s">
        <v>135</v>
      </c>
      <c r="CA217" t="s">
        <v>135</v>
      </c>
      <c r="CB217" t="s">
        <v>135</v>
      </c>
      <c r="CC217" t="s">
        <v>135</v>
      </c>
      <c r="CD217" t="s">
        <v>135</v>
      </c>
      <c r="CE217" t="s">
        <v>135</v>
      </c>
      <c r="CF217" t="s">
        <v>135</v>
      </c>
      <c r="CG217" t="s">
        <v>135</v>
      </c>
      <c r="CH217" t="s">
        <v>135</v>
      </c>
      <c r="CI217" t="s">
        <v>135</v>
      </c>
      <c r="CJ217" t="s">
        <v>135</v>
      </c>
      <c r="CK217" t="s">
        <v>135</v>
      </c>
      <c r="CL217" t="s">
        <v>135</v>
      </c>
      <c r="CM217" t="s">
        <v>135</v>
      </c>
      <c r="CN217" t="s">
        <v>135</v>
      </c>
      <c r="CO217" t="s">
        <v>135</v>
      </c>
      <c r="CP217" t="s">
        <v>135</v>
      </c>
      <c r="CQ217" t="s">
        <v>135</v>
      </c>
      <c r="CR217" t="s">
        <v>135</v>
      </c>
      <c r="CS217" t="s">
        <v>135</v>
      </c>
      <c r="CT217" t="s">
        <v>135</v>
      </c>
      <c r="CU217" t="s">
        <v>135</v>
      </c>
      <c r="CV217" t="s">
        <v>135</v>
      </c>
      <c r="CW217" t="s">
        <v>135</v>
      </c>
      <c r="CX217" t="s">
        <v>135</v>
      </c>
      <c r="CY217" t="s">
        <v>135</v>
      </c>
      <c r="CZ217" t="s">
        <v>135</v>
      </c>
      <c r="DA217" t="s">
        <v>135</v>
      </c>
      <c r="DB217" t="s">
        <v>135</v>
      </c>
      <c r="DC217" t="s">
        <v>135</v>
      </c>
      <c r="DD217" t="s">
        <v>135</v>
      </c>
      <c r="DE217" t="s">
        <v>135</v>
      </c>
      <c r="DF217" t="s">
        <v>135</v>
      </c>
      <c r="DG217" t="s">
        <v>135</v>
      </c>
      <c r="DH217" t="s">
        <v>135</v>
      </c>
      <c r="DI217" t="s">
        <v>135</v>
      </c>
    </row>
    <row r="218" spans="4:113" x14ac:dyDescent="0.3">
      <c r="D218" t="s">
        <v>84</v>
      </c>
      <c r="E218" t="s">
        <v>77</v>
      </c>
      <c r="F218">
        <v>-7.1409000000000002</v>
      </c>
      <c r="G218">
        <v>-2.6385000000000001</v>
      </c>
      <c r="H218">
        <v>-1.3309</v>
      </c>
      <c r="I218">
        <v>-1.5803</v>
      </c>
      <c r="J218">
        <v>0.1527</v>
      </c>
      <c r="K218">
        <v>-5.9493</v>
      </c>
      <c r="L218">
        <v>49.896099999999997</v>
      </c>
      <c r="M218">
        <v>-10.730499999999999</v>
      </c>
      <c r="N218">
        <v>-6.2716000000000003</v>
      </c>
      <c r="O218">
        <v>-6.2716000000000003</v>
      </c>
      <c r="P218">
        <v>-6.2716000000000003</v>
      </c>
      <c r="Q218" t="s">
        <v>135</v>
      </c>
      <c r="R218" t="s">
        <v>135</v>
      </c>
      <c r="S218" t="s">
        <v>135</v>
      </c>
      <c r="T218">
        <v>13.997299999999999</v>
      </c>
      <c r="U218" t="s">
        <v>135</v>
      </c>
      <c r="V218">
        <v>50.733800000000002</v>
      </c>
      <c r="W218">
        <v>34.0077</v>
      </c>
      <c r="X218">
        <v>34.025700000000001</v>
      </c>
      <c r="Y218" t="s">
        <v>135</v>
      </c>
      <c r="Z218">
        <v>-6.8772000000000002</v>
      </c>
      <c r="AA218">
        <v>6.9882999999999997</v>
      </c>
      <c r="AB218">
        <v>3.9370000000000003</v>
      </c>
      <c r="AC218">
        <v>6.2317999999999998</v>
      </c>
      <c r="AD218">
        <v>-3.0537999999999998</v>
      </c>
      <c r="AE218">
        <v>-43.467700000000001</v>
      </c>
      <c r="AF218">
        <v>30.999300000000002</v>
      </c>
      <c r="AG218">
        <v>27.2117</v>
      </c>
      <c r="AH218">
        <v>17.628799999999998</v>
      </c>
      <c r="AI218">
        <v>-7.7435999999999998</v>
      </c>
      <c r="AJ218">
        <v>3.7157999999999998</v>
      </c>
      <c r="AK218">
        <v>-7.7435999999999998</v>
      </c>
      <c r="AL218" t="s">
        <v>135</v>
      </c>
      <c r="AM218">
        <v>-0.91210000000000002</v>
      </c>
      <c r="AN218">
        <v>-59.832900000000002</v>
      </c>
      <c r="AO218" t="s">
        <v>135</v>
      </c>
      <c r="AP218" t="s">
        <v>135</v>
      </c>
      <c r="AQ218" t="s">
        <v>135</v>
      </c>
      <c r="AR218">
        <v>-100</v>
      </c>
      <c r="AS218">
        <v>-9.5531000000000006</v>
      </c>
      <c r="AT218">
        <v>2.5335000000000001</v>
      </c>
      <c r="AU218">
        <v>9.5314999999999994</v>
      </c>
      <c r="AV218">
        <v>6.5141999999999998</v>
      </c>
      <c r="AW218">
        <v>-2.6720999999999999</v>
      </c>
      <c r="AX218" t="s">
        <v>135</v>
      </c>
      <c r="AY218">
        <v>9.3948999999999998</v>
      </c>
      <c r="AZ218">
        <v>31.666699999999999</v>
      </c>
      <c r="BA218">
        <v>17.450700000000001</v>
      </c>
      <c r="BB218">
        <v>-1.6609</v>
      </c>
      <c r="BC218">
        <v>5.6544999999999996</v>
      </c>
      <c r="BD218">
        <v>-1.6637</v>
      </c>
      <c r="BE218" t="s">
        <v>135</v>
      </c>
      <c r="BF218">
        <v>13.997299999999999</v>
      </c>
      <c r="BG218" t="s">
        <v>135</v>
      </c>
      <c r="BH218" t="s">
        <v>135</v>
      </c>
      <c r="BI218" t="s">
        <v>135</v>
      </c>
      <c r="BJ218" t="s">
        <v>135</v>
      </c>
      <c r="BK218" t="s">
        <v>135</v>
      </c>
      <c r="BL218">
        <v>-6.8772000000000002</v>
      </c>
      <c r="BM218">
        <v>6.9882999999999997</v>
      </c>
      <c r="BN218">
        <v>3.9370000000000003</v>
      </c>
      <c r="BO218">
        <v>6.2317999999999998</v>
      </c>
      <c r="BP218">
        <v>-3.0537999999999998</v>
      </c>
      <c r="BQ218" t="s">
        <v>135</v>
      </c>
      <c r="BR218">
        <v>30.999300000000002</v>
      </c>
      <c r="BS218">
        <v>27.2117</v>
      </c>
      <c r="BT218">
        <v>17.628799999999998</v>
      </c>
      <c r="BU218">
        <v>-7.7435999999999998</v>
      </c>
      <c r="BV218">
        <v>3.7157999999999998</v>
      </c>
      <c r="BW218">
        <v>-7.7435999999999998</v>
      </c>
      <c r="BX218">
        <v>-123.87779999999999</v>
      </c>
      <c r="BY218">
        <v>389005.2</v>
      </c>
      <c r="BZ218">
        <v>198130.4</v>
      </c>
      <c r="CA218">
        <v>190874.8</v>
      </c>
      <c r="CB218">
        <v>579.82590000000005</v>
      </c>
      <c r="CC218">
        <v>576.68100000000004</v>
      </c>
      <c r="CD218" t="s">
        <v>135</v>
      </c>
      <c r="CE218" t="s">
        <v>135</v>
      </c>
      <c r="CF218">
        <v>2.6599999999999999E-2</v>
      </c>
      <c r="CG218">
        <v>34.420999999999999</v>
      </c>
      <c r="CH218">
        <v>51.5289</v>
      </c>
      <c r="CI218">
        <v>25.134</v>
      </c>
      <c r="CJ218">
        <v>17.736799999999999</v>
      </c>
      <c r="CK218">
        <v>105.01649999999999</v>
      </c>
      <c r="CL218">
        <v>51.223399999999998</v>
      </c>
      <c r="CM218">
        <v>36.147799999999997</v>
      </c>
      <c r="CN218">
        <v>104.4469</v>
      </c>
      <c r="CO218">
        <v>51.087600000000002</v>
      </c>
      <c r="CP218">
        <v>670.9</v>
      </c>
      <c r="CQ218">
        <v>-53871.8</v>
      </c>
      <c r="CR218">
        <v>-26145.3</v>
      </c>
      <c r="CS218">
        <v>4.5999999999999999E-3</v>
      </c>
      <c r="CT218">
        <v>0.5544</v>
      </c>
      <c r="CU218">
        <v>6.7799999999999999E-2</v>
      </c>
      <c r="CV218">
        <v>0.64470000000000005</v>
      </c>
      <c r="CW218">
        <v>14.441599999999999</v>
      </c>
      <c r="CX218">
        <v>25.2742</v>
      </c>
      <c r="CY218">
        <v>1.3902000000000001</v>
      </c>
      <c r="CZ218">
        <v>262.55720000000002</v>
      </c>
      <c r="DA218">
        <v>4.8227000000000002</v>
      </c>
      <c r="DB218">
        <v>75.683099999999996</v>
      </c>
      <c r="DC218">
        <v>212.1482</v>
      </c>
      <c r="DD218">
        <v>287.8313</v>
      </c>
      <c r="DE218">
        <v>157360.9</v>
      </c>
      <c r="DF218">
        <v>40454.400000000001</v>
      </c>
      <c r="DG218">
        <v>39910.1</v>
      </c>
      <c r="DH218">
        <v>58295.9</v>
      </c>
      <c r="DI218">
        <v>18700.5</v>
      </c>
    </row>
    <row r="219" spans="4:113" x14ac:dyDescent="0.3">
      <c r="E219" t="s">
        <v>78</v>
      </c>
      <c r="F219" t="s">
        <v>135</v>
      </c>
      <c r="G219" t="s">
        <v>135</v>
      </c>
      <c r="H219" t="s">
        <v>135</v>
      </c>
      <c r="I219" t="s">
        <v>135</v>
      </c>
      <c r="J219" t="s">
        <v>135</v>
      </c>
      <c r="K219" t="s">
        <v>135</v>
      </c>
      <c r="L219" t="s">
        <v>135</v>
      </c>
      <c r="M219" t="s">
        <v>135</v>
      </c>
      <c r="N219" t="s">
        <v>135</v>
      </c>
      <c r="O219" t="s">
        <v>135</v>
      </c>
      <c r="P219" t="s">
        <v>135</v>
      </c>
      <c r="Q219" t="s">
        <v>135</v>
      </c>
      <c r="R219" t="s">
        <v>135</v>
      </c>
      <c r="S219" t="s">
        <v>135</v>
      </c>
      <c r="T219" t="s">
        <v>135</v>
      </c>
      <c r="U219" t="s">
        <v>135</v>
      </c>
      <c r="V219" t="s">
        <v>135</v>
      </c>
      <c r="W219" t="s">
        <v>135</v>
      </c>
      <c r="X219" t="s">
        <v>135</v>
      </c>
      <c r="Y219" t="s">
        <v>135</v>
      </c>
      <c r="Z219" t="s">
        <v>135</v>
      </c>
      <c r="AA219" t="s">
        <v>135</v>
      </c>
      <c r="AB219" t="s">
        <v>135</v>
      </c>
      <c r="AC219" t="s">
        <v>135</v>
      </c>
      <c r="AD219" t="s">
        <v>135</v>
      </c>
      <c r="AE219" t="s">
        <v>135</v>
      </c>
      <c r="AF219" t="s">
        <v>135</v>
      </c>
      <c r="AG219" t="s">
        <v>135</v>
      </c>
      <c r="AH219" t="s">
        <v>135</v>
      </c>
      <c r="AI219" t="s">
        <v>135</v>
      </c>
      <c r="AJ219" t="s">
        <v>135</v>
      </c>
      <c r="AK219" t="s">
        <v>135</v>
      </c>
      <c r="AL219" t="s">
        <v>135</v>
      </c>
      <c r="AM219" t="s">
        <v>135</v>
      </c>
      <c r="AN219" t="s">
        <v>135</v>
      </c>
      <c r="AO219" t="s">
        <v>135</v>
      </c>
      <c r="AP219" t="s">
        <v>135</v>
      </c>
      <c r="AQ219" t="s">
        <v>135</v>
      </c>
      <c r="AR219" t="s">
        <v>135</v>
      </c>
      <c r="AS219" t="s">
        <v>135</v>
      </c>
      <c r="AT219" t="s">
        <v>135</v>
      </c>
      <c r="AU219" t="s">
        <v>135</v>
      </c>
      <c r="AV219" t="s">
        <v>135</v>
      </c>
      <c r="AW219" t="s">
        <v>135</v>
      </c>
      <c r="AX219" t="s">
        <v>135</v>
      </c>
      <c r="AY219" t="s">
        <v>135</v>
      </c>
      <c r="AZ219" t="s">
        <v>135</v>
      </c>
      <c r="BA219" t="s">
        <v>135</v>
      </c>
      <c r="BB219" t="s">
        <v>135</v>
      </c>
      <c r="BC219" t="s">
        <v>135</v>
      </c>
      <c r="BD219" t="s">
        <v>135</v>
      </c>
      <c r="BE219" t="s">
        <v>135</v>
      </c>
      <c r="BF219" t="s">
        <v>135</v>
      </c>
      <c r="BG219" t="s">
        <v>135</v>
      </c>
      <c r="BH219" t="s">
        <v>135</v>
      </c>
      <c r="BI219" t="s">
        <v>135</v>
      </c>
      <c r="BJ219" t="s">
        <v>135</v>
      </c>
      <c r="BK219" t="s">
        <v>135</v>
      </c>
      <c r="BL219" t="s">
        <v>135</v>
      </c>
      <c r="BM219" t="s">
        <v>135</v>
      </c>
      <c r="BN219" t="s">
        <v>135</v>
      </c>
      <c r="BO219" t="s">
        <v>135</v>
      </c>
      <c r="BP219" t="s">
        <v>135</v>
      </c>
      <c r="BQ219" t="s">
        <v>135</v>
      </c>
      <c r="BR219" t="s">
        <v>135</v>
      </c>
      <c r="BS219" t="s">
        <v>135</v>
      </c>
      <c r="BT219" t="s">
        <v>135</v>
      </c>
      <c r="BU219" t="s">
        <v>135</v>
      </c>
      <c r="BV219" t="s">
        <v>135</v>
      </c>
      <c r="BW219" t="s">
        <v>135</v>
      </c>
      <c r="BX219" t="s">
        <v>135</v>
      </c>
      <c r="BY219" t="s">
        <v>135</v>
      </c>
      <c r="BZ219" t="s">
        <v>135</v>
      </c>
      <c r="CA219" t="s">
        <v>135</v>
      </c>
      <c r="CB219" t="s">
        <v>135</v>
      </c>
      <c r="CC219" t="s">
        <v>135</v>
      </c>
      <c r="CD219" t="s">
        <v>135</v>
      </c>
      <c r="CE219" t="s">
        <v>135</v>
      </c>
      <c r="CF219" t="s">
        <v>135</v>
      </c>
      <c r="CG219" t="s">
        <v>135</v>
      </c>
      <c r="CH219" t="s">
        <v>135</v>
      </c>
      <c r="CI219" t="s">
        <v>135</v>
      </c>
      <c r="CJ219" t="s">
        <v>135</v>
      </c>
      <c r="CK219" t="s">
        <v>135</v>
      </c>
      <c r="CL219" t="s">
        <v>135</v>
      </c>
      <c r="CM219" t="s">
        <v>135</v>
      </c>
      <c r="CN219" t="s">
        <v>135</v>
      </c>
      <c r="CO219" t="s">
        <v>135</v>
      </c>
      <c r="CP219" t="s">
        <v>135</v>
      </c>
      <c r="CQ219" t="s">
        <v>135</v>
      </c>
      <c r="CR219" t="s">
        <v>135</v>
      </c>
      <c r="CS219" t="s">
        <v>135</v>
      </c>
      <c r="CT219" t="s">
        <v>135</v>
      </c>
      <c r="CU219" t="s">
        <v>135</v>
      </c>
      <c r="CV219" t="s">
        <v>135</v>
      </c>
      <c r="CW219" t="s">
        <v>135</v>
      </c>
      <c r="CX219" t="s">
        <v>135</v>
      </c>
      <c r="CY219" t="s">
        <v>135</v>
      </c>
      <c r="CZ219" t="s">
        <v>135</v>
      </c>
      <c r="DA219" t="s">
        <v>135</v>
      </c>
      <c r="DB219" t="s">
        <v>135</v>
      </c>
      <c r="DC219" t="s">
        <v>135</v>
      </c>
      <c r="DD219" t="s">
        <v>135</v>
      </c>
      <c r="DE219" t="s">
        <v>135</v>
      </c>
      <c r="DF219" t="s">
        <v>135</v>
      </c>
      <c r="DG219" t="s">
        <v>135</v>
      </c>
      <c r="DH219" t="s">
        <v>135</v>
      </c>
      <c r="DI219" t="s">
        <v>135</v>
      </c>
    </row>
    <row r="220" spans="4:113" x14ac:dyDescent="0.3">
      <c r="E220" t="s">
        <v>79</v>
      </c>
      <c r="F220" t="s">
        <v>135</v>
      </c>
      <c r="G220" t="s">
        <v>135</v>
      </c>
      <c r="H220" t="s">
        <v>135</v>
      </c>
      <c r="I220" t="s">
        <v>135</v>
      </c>
      <c r="J220" t="s">
        <v>135</v>
      </c>
      <c r="K220" t="s">
        <v>135</v>
      </c>
      <c r="L220" t="s">
        <v>135</v>
      </c>
      <c r="M220" t="s">
        <v>135</v>
      </c>
      <c r="N220" t="s">
        <v>135</v>
      </c>
      <c r="O220" t="s">
        <v>135</v>
      </c>
      <c r="P220" t="s">
        <v>135</v>
      </c>
      <c r="Q220" t="s">
        <v>135</v>
      </c>
      <c r="R220" t="s">
        <v>135</v>
      </c>
      <c r="S220" t="s">
        <v>135</v>
      </c>
      <c r="T220" t="s">
        <v>135</v>
      </c>
      <c r="U220" t="s">
        <v>135</v>
      </c>
      <c r="V220" t="s">
        <v>135</v>
      </c>
      <c r="W220" t="s">
        <v>135</v>
      </c>
      <c r="X220" t="s">
        <v>135</v>
      </c>
      <c r="Y220" t="s">
        <v>135</v>
      </c>
      <c r="Z220" t="s">
        <v>135</v>
      </c>
      <c r="AA220" t="s">
        <v>135</v>
      </c>
      <c r="AB220" t="s">
        <v>135</v>
      </c>
      <c r="AC220" t="s">
        <v>135</v>
      </c>
      <c r="AD220" t="s">
        <v>135</v>
      </c>
      <c r="AE220" t="s">
        <v>135</v>
      </c>
      <c r="AF220" t="s">
        <v>135</v>
      </c>
      <c r="AG220" t="s">
        <v>135</v>
      </c>
      <c r="AH220" t="s">
        <v>135</v>
      </c>
      <c r="AI220" t="s">
        <v>135</v>
      </c>
      <c r="AJ220" t="s">
        <v>135</v>
      </c>
      <c r="AK220" t="s">
        <v>135</v>
      </c>
      <c r="AL220" t="s">
        <v>135</v>
      </c>
      <c r="AM220" t="s">
        <v>135</v>
      </c>
      <c r="AN220" t="s">
        <v>135</v>
      </c>
      <c r="AO220" t="s">
        <v>135</v>
      </c>
      <c r="AP220" t="s">
        <v>135</v>
      </c>
      <c r="AQ220" t="s">
        <v>135</v>
      </c>
      <c r="AR220" t="s">
        <v>135</v>
      </c>
      <c r="AS220" t="s">
        <v>135</v>
      </c>
      <c r="AT220" t="s">
        <v>135</v>
      </c>
      <c r="AU220" t="s">
        <v>135</v>
      </c>
      <c r="AV220" t="s">
        <v>135</v>
      </c>
      <c r="AW220" t="s">
        <v>135</v>
      </c>
      <c r="AX220" t="s">
        <v>135</v>
      </c>
      <c r="AY220" t="s">
        <v>135</v>
      </c>
      <c r="AZ220" t="s">
        <v>135</v>
      </c>
      <c r="BA220" t="s">
        <v>135</v>
      </c>
      <c r="BB220" t="s">
        <v>135</v>
      </c>
      <c r="BC220" t="s">
        <v>135</v>
      </c>
      <c r="BD220" t="s">
        <v>135</v>
      </c>
      <c r="BE220" t="s">
        <v>135</v>
      </c>
      <c r="BF220" t="s">
        <v>135</v>
      </c>
      <c r="BG220" t="s">
        <v>135</v>
      </c>
      <c r="BH220" t="s">
        <v>135</v>
      </c>
      <c r="BI220" t="s">
        <v>135</v>
      </c>
      <c r="BJ220" t="s">
        <v>135</v>
      </c>
      <c r="BK220" t="s">
        <v>135</v>
      </c>
      <c r="BL220" t="s">
        <v>135</v>
      </c>
      <c r="BM220" t="s">
        <v>135</v>
      </c>
      <c r="BN220" t="s">
        <v>135</v>
      </c>
      <c r="BO220" t="s">
        <v>135</v>
      </c>
      <c r="BP220" t="s">
        <v>135</v>
      </c>
      <c r="BQ220" t="s">
        <v>135</v>
      </c>
      <c r="BR220" t="s">
        <v>135</v>
      </c>
      <c r="BS220" t="s">
        <v>135</v>
      </c>
      <c r="BT220" t="s">
        <v>135</v>
      </c>
      <c r="BU220" t="s">
        <v>135</v>
      </c>
      <c r="BV220" t="s">
        <v>135</v>
      </c>
      <c r="BW220" t="s">
        <v>135</v>
      </c>
      <c r="BX220" t="s">
        <v>135</v>
      </c>
      <c r="BY220" t="s">
        <v>135</v>
      </c>
      <c r="BZ220" t="s">
        <v>135</v>
      </c>
      <c r="CA220" t="s">
        <v>135</v>
      </c>
      <c r="CB220" t="s">
        <v>135</v>
      </c>
      <c r="CC220" t="s">
        <v>135</v>
      </c>
      <c r="CD220" t="s">
        <v>135</v>
      </c>
      <c r="CE220" t="s">
        <v>135</v>
      </c>
      <c r="CF220" t="s">
        <v>135</v>
      </c>
      <c r="CG220" t="s">
        <v>135</v>
      </c>
      <c r="CH220" t="s">
        <v>135</v>
      </c>
      <c r="CI220" t="s">
        <v>135</v>
      </c>
      <c r="CJ220" t="s">
        <v>135</v>
      </c>
      <c r="CK220" t="s">
        <v>135</v>
      </c>
      <c r="CL220" t="s">
        <v>135</v>
      </c>
      <c r="CM220" t="s">
        <v>135</v>
      </c>
      <c r="CN220" t="s">
        <v>135</v>
      </c>
      <c r="CO220" t="s">
        <v>135</v>
      </c>
      <c r="CP220" t="s">
        <v>135</v>
      </c>
      <c r="CQ220" t="s">
        <v>135</v>
      </c>
      <c r="CR220" t="s">
        <v>135</v>
      </c>
      <c r="CS220" t="s">
        <v>135</v>
      </c>
      <c r="CT220" t="s">
        <v>135</v>
      </c>
      <c r="CU220" t="s">
        <v>135</v>
      </c>
      <c r="CV220" t="s">
        <v>135</v>
      </c>
      <c r="CW220" t="s">
        <v>135</v>
      </c>
      <c r="CX220" t="s">
        <v>135</v>
      </c>
      <c r="CY220" t="s">
        <v>135</v>
      </c>
      <c r="CZ220" t="s">
        <v>135</v>
      </c>
      <c r="DA220" t="s">
        <v>135</v>
      </c>
      <c r="DB220" t="s">
        <v>135</v>
      </c>
      <c r="DC220" t="s">
        <v>135</v>
      </c>
      <c r="DD220" t="s">
        <v>135</v>
      </c>
      <c r="DE220" t="s">
        <v>135</v>
      </c>
      <c r="DF220" t="s">
        <v>135</v>
      </c>
      <c r="DG220" t="s">
        <v>135</v>
      </c>
      <c r="DH220" t="s">
        <v>135</v>
      </c>
      <c r="DI220" t="s">
        <v>135</v>
      </c>
    </row>
    <row r="221" spans="4:113" x14ac:dyDescent="0.3">
      <c r="E221" t="s">
        <v>80</v>
      </c>
      <c r="F221" t="s">
        <v>135</v>
      </c>
      <c r="G221" t="s">
        <v>135</v>
      </c>
      <c r="H221" t="s">
        <v>135</v>
      </c>
      <c r="I221" t="s">
        <v>135</v>
      </c>
      <c r="J221" t="s">
        <v>135</v>
      </c>
      <c r="K221" t="s">
        <v>135</v>
      </c>
      <c r="L221" t="s">
        <v>135</v>
      </c>
      <c r="M221" t="s">
        <v>135</v>
      </c>
      <c r="N221" t="s">
        <v>135</v>
      </c>
      <c r="O221" t="s">
        <v>135</v>
      </c>
      <c r="P221" t="s">
        <v>135</v>
      </c>
      <c r="Q221" t="s">
        <v>135</v>
      </c>
      <c r="R221" t="s">
        <v>135</v>
      </c>
      <c r="S221" t="s">
        <v>135</v>
      </c>
      <c r="T221" t="s">
        <v>135</v>
      </c>
      <c r="U221" t="s">
        <v>135</v>
      </c>
      <c r="V221" t="s">
        <v>135</v>
      </c>
      <c r="W221" t="s">
        <v>135</v>
      </c>
      <c r="X221" t="s">
        <v>135</v>
      </c>
      <c r="Y221" t="s">
        <v>135</v>
      </c>
      <c r="Z221" t="s">
        <v>135</v>
      </c>
      <c r="AA221" t="s">
        <v>135</v>
      </c>
      <c r="AB221" t="s">
        <v>135</v>
      </c>
      <c r="AC221" t="s">
        <v>135</v>
      </c>
      <c r="AD221" t="s">
        <v>135</v>
      </c>
      <c r="AE221" t="s">
        <v>135</v>
      </c>
      <c r="AF221" t="s">
        <v>135</v>
      </c>
      <c r="AG221" t="s">
        <v>135</v>
      </c>
      <c r="AH221" t="s">
        <v>135</v>
      </c>
      <c r="AI221" t="s">
        <v>135</v>
      </c>
      <c r="AJ221" t="s">
        <v>135</v>
      </c>
      <c r="AK221" t="s">
        <v>135</v>
      </c>
      <c r="AL221" t="s">
        <v>135</v>
      </c>
      <c r="AM221" t="s">
        <v>135</v>
      </c>
      <c r="AN221" t="s">
        <v>135</v>
      </c>
      <c r="AO221" t="s">
        <v>135</v>
      </c>
      <c r="AP221" t="s">
        <v>135</v>
      </c>
      <c r="AQ221" t="s">
        <v>135</v>
      </c>
      <c r="AR221" t="s">
        <v>135</v>
      </c>
      <c r="AS221" t="s">
        <v>135</v>
      </c>
      <c r="AT221" t="s">
        <v>135</v>
      </c>
      <c r="AU221" t="s">
        <v>135</v>
      </c>
      <c r="AV221" t="s">
        <v>135</v>
      </c>
      <c r="AW221" t="s">
        <v>135</v>
      </c>
      <c r="AX221" t="s">
        <v>135</v>
      </c>
      <c r="AY221" t="s">
        <v>135</v>
      </c>
      <c r="AZ221" t="s">
        <v>135</v>
      </c>
      <c r="BA221" t="s">
        <v>135</v>
      </c>
      <c r="BB221" t="s">
        <v>135</v>
      </c>
      <c r="BC221" t="s">
        <v>135</v>
      </c>
      <c r="BD221" t="s">
        <v>135</v>
      </c>
      <c r="BE221" t="s">
        <v>135</v>
      </c>
      <c r="BF221" t="s">
        <v>135</v>
      </c>
      <c r="BG221" t="s">
        <v>135</v>
      </c>
      <c r="BH221" t="s">
        <v>135</v>
      </c>
      <c r="BI221" t="s">
        <v>135</v>
      </c>
      <c r="BJ221" t="s">
        <v>135</v>
      </c>
      <c r="BK221" t="s">
        <v>135</v>
      </c>
      <c r="BL221" t="s">
        <v>135</v>
      </c>
      <c r="BM221" t="s">
        <v>135</v>
      </c>
      <c r="BN221" t="s">
        <v>135</v>
      </c>
      <c r="BO221" t="s">
        <v>135</v>
      </c>
      <c r="BP221" t="s">
        <v>135</v>
      </c>
      <c r="BQ221" t="s">
        <v>135</v>
      </c>
      <c r="BR221" t="s">
        <v>135</v>
      </c>
      <c r="BS221" t="s">
        <v>135</v>
      </c>
      <c r="BT221" t="s">
        <v>135</v>
      </c>
      <c r="BU221" t="s">
        <v>135</v>
      </c>
      <c r="BV221" t="s">
        <v>135</v>
      </c>
      <c r="BW221" t="s">
        <v>135</v>
      </c>
      <c r="BX221" t="s">
        <v>135</v>
      </c>
      <c r="BY221" t="s">
        <v>135</v>
      </c>
      <c r="BZ221" t="s">
        <v>135</v>
      </c>
      <c r="CA221" t="s">
        <v>135</v>
      </c>
      <c r="CB221" t="s">
        <v>135</v>
      </c>
      <c r="CC221" t="s">
        <v>135</v>
      </c>
      <c r="CD221" t="s">
        <v>135</v>
      </c>
      <c r="CE221" t="s">
        <v>135</v>
      </c>
      <c r="CF221" t="s">
        <v>135</v>
      </c>
      <c r="CG221" t="s">
        <v>135</v>
      </c>
      <c r="CH221" t="s">
        <v>135</v>
      </c>
      <c r="CI221" t="s">
        <v>135</v>
      </c>
      <c r="CJ221" t="s">
        <v>135</v>
      </c>
      <c r="CK221" t="s">
        <v>135</v>
      </c>
      <c r="CL221" t="s">
        <v>135</v>
      </c>
      <c r="CM221" t="s">
        <v>135</v>
      </c>
      <c r="CN221" t="s">
        <v>135</v>
      </c>
      <c r="CO221" t="s">
        <v>135</v>
      </c>
      <c r="CP221" t="s">
        <v>135</v>
      </c>
      <c r="CQ221" t="s">
        <v>135</v>
      </c>
      <c r="CR221" t="s">
        <v>135</v>
      </c>
      <c r="CS221" t="s">
        <v>135</v>
      </c>
      <c r="CT221" t="s">
        <v>135</v>
      </c>
      <c r="CU221" t="s">
        <v>135</v>
      </c>
      <c r="CV221" t="s">
        <v>135</v>
      </c>
      <c r="CW221" t="s">
        <v>135</v>
      </c>
      <c r="CX221" t="s">
        <v>135</v>
      </c>
      <c r="CY221" t="s">
        <v>135</v>
      </c>
      <c r="CZ221" t="s">
        <v>135</v>
      </c>
      <c r="DA221" t="s">
        <v>135</v>
      </c>
      <c r="DB221" t="s">
        <v>135</v>
      </c>
      <c r="DC221" t="s">
        <v>135</v>
      </c>
      <c r="DD221" t="s">
        <v>135</v>
      </c>
      <c r="DE221" t="s">
        <v>135</v>
      </c>
      <c r="DF221" t="s">
        <v>135</v>
      </c>
      <c r="DG221" t="s">
        <v>135</v>
      </c>
      <c r="DH221" t="s">
        <v>135</v>
      </c>
      <c r="DI221" t="s">
        <v>135</v>
      </c>
    </row>
    <row r="222" spans="4:113" x14ac:dyDescent="0.3">
      <c r="E222" t="s">
        <v>81</v>
      </c>
      <c r="F222" t="s">
        <v>135</v>
      </c>
      <c r="G222" t="s">
        <v>135</v>
      </c>
      <c r="H222" t="s">
        <v>135</v>
      </c>
      <c r="I222" t="s">
        <v>135</v>
      </c>
      <c r="J222" t="s">
        <v>135</v>
      </c>
      <c r="K222" t="s">
        <v>135</v>
      </c>
      <c r="L222" t="s">
        <v>135</v>
      </c>
      <c r="M222" t="s">
        <v>135</v>
      </c>
      <c r="N222" t="s">
        <v>135</v>
      </c>
      <c r="O222" t="s">
        <v>135</v>
      </c>
      <c r="P222" t="s">
        <v>135</v>
      </c>
      <c r="Q222" t="s">
        <v>135</v>
      </c>
      <c r="R222" t="s">
        <v>135</v>
      </c>
      <c r="S222" t="s">
        <v>135</v>
      </c>
      <c r="T222" t="s">
        <v>135</v>
      </c>
      <c r="U222" t="s">
        <v>135</v>
      </c>
      <c r="V222" t="s">
        <v>135</v>
      </c>
      <c r="W222" t="s">
        <v>135</v>
      </c>
      <c r="X222" t="s">
        <v>135</v>
      </c>
      <c r="Y222" t="s">
        <v>135</v>
      </c>
      <c r="Z222" t="s">
        <v>135</v>
      </c>
      <c r="AA222" t="s">
        <v>135</v>
      </c>
      <c r="AB222" t="s">
        <v>135</v>
      </c>
      <c r="AC222" t="s">
        <v>135</v>
      </c>
      <c r="AD222" t="s">
        <v>135</v>
      </c>
      <c r="AE222" t="s">
        <v>135</v>
      </c>
      <c r="AF222" t="s">
        <v>135</v>
      </c>
      <c r="AG222" t="s">
        <v>135</v>
      </c>
      <c r="AH222" t="s">
        <v>135</v>
      </c>
      <c r="AI222" t="s">
        <v>135</v>
      </c>
      <c r="AJ222" t="s">
        <v>135</v>
      </c>
      <c r="AK222" t="s">
        <v>135</v>
      </c>
      <c r="AL222" t="s">
        <v>135</v>
      </c>
      <c r="AM222" t="s">
        <v>135</v>
      </c>
      <c r="AN222" t="s">
        <v>135</v>
      </c>
      <c r="AO222" t="s">
        <v>135</v>
      </c>
      <c r="AP222" t="s">
        <v>135</v>
      </c>
      <c r="AQ222" t="s">
        <v>135</v>
      </c>
      <c r="AR222" t="s">
        <v>135</v>
      </c>
      <c r="AS222" t="s">
        <v>135</v>
      </c>
      <c r="AT222" t="s">
        <v>135</v>
      </c>
      <c r="AU222" t="s">
        <v>135</v>
      </c>
      <c r="AV222" t="s">
        <v>135</v>
      </c>
      <c r="AW222" t="s">
        <v>135</v>
      </c>
      <c r="AX222" t="s">
        <v>135</v>
      </c>
      <c r="AY222" t="s">
        <v>135</v>
      </c>
      <c r="AZ222" t="s">
        <v>135</v>
      </c>
      <c r="BA222" t="s">
        <v>135</v>
      </c>
      <c r="BB222" t="s">
        <v>135</v>
      </c>
      <c r="BC222" t="s">
        <v>135</v>
      </c>
      <c r="BD222" t="s">
        <v>135</v>
      </c>
      <c r="BE222" t="s">
        <v>135</v>
      </c>
      <c r="BF222" t="s">
        <v>135</v>
      </c>
      <c r="BG222" t="s">
        <v>135</v>
      </c>
      <c r="BH222" t="s">
        <v>135</v>
      </c>
      <c r="BI222" t="s">
        <v>135</v>
      </c>
      <c r="BJ222" t="s">
        <v>135</v>
      </c>
      <c r="BK222" t="s">
        <v>135</v>
      </c>
      <c r="BL222" t="s">
        <v>135</v>
      </c>
      <c r="BM222" t="s">
        <v>135</v>
      </c>
      <c r="BN222" t="s">
        <v>135</v>
      </c>
      <c r="BO222" t="s">
        <v>135</v>
      </c>
      <c r="BP222" t="s">
        <v>135</v>
      </c>
      <c r="BQ222" t="s">
        <v>135</v>
      </c>
      <c r="BR222" t="s">
        <v>135</v>
      </c>
      <c r="BS222" t="s">
        <v>135</v>
      </c>
      <c r="BT222" t="s">
        <v>135</v>
      </c>
      <c r="BU222" t="s">
        <v>135</v>
      </c>
      <c r="BV222" t="s">
        <v>135</v>
      </c>
      <c r="BW222" t="s">
        <v>135</v>
      </c>
      <c r="BX222" t="s">
        <v>135</v>
      </c>
      <c r="BY222" t="s">
        <v>135</v>
      </c>
      <c r="BZ222" t="s">
        <v>135</v>
      </c>
      <c r="CA222" t="s">
        <v>135</v>
      </c>
      <c r="CB222" t="s">
        <v>135</v>
      </c>
      <c r="CC222" t="s">
        <v>135</v>
      </c>
      <c r="CD222" t="s">
        <v>135</v>
      </c>
      <c r="CE222" t="s">
        <v>135</v>
      </c>
      <c r="CF222" t="s">
        <v>135</v>
      </c>
      <c r="CG222" t="s">
        <v>135</v>
      </c>
      <c r="CH222" t="s">
        <v>135</v>
      </c>
      <c r="CI222" t="s">
        <v>135</v>
      </c>
      <c r="CJ222" t="s">
        <v>135</v>
      </c>
      <c r="CK222" t="s">
        <v>135</v>
      </c>
      <c r="CL222" t="s">
        <v>135</v>
      </c>
      <c r="CM222" t="s">
        <v>135</v>
      </c>
      <c r="CN222" t="s">
        <v>135</v>
      </c>
      <c r="CO222" t="s">
        <v>135</v>
      </c>
      <c r="CP222" t="s">
        <v>135</v>
      </c>
      <c r="CQ222" t="s">
        <v>135</v>
      </c>
      <c r="CR222" t="s">
        <v>135</v>
      </c>
      <c r="CS222" t="s">
        <v>135</v>
      </c>
      <c r="CT222" t="s">
        <v>135</v>
      </c>
      <c r="CU222" t="s">
        <v>135</v>
      </c>
      <c r="CV222" t="s">
        <v>135</v>
      </c>
      <c r="CW222" t="s">
        <v>135</v>
      </c>
      <c r="CX222" t="s">
        <v>135</v>
      </c>
      <c r="CY222" t="s">
        <v>135</v>
      </c>
      <c r="CZ222" t="s">
        <v>135</v>
      </c>
      <c r="DA222" t="s">
        <v>135</v>
      </c>
      <c r="DB222" t="s">
        <v>135</v>
      </c>
      <c r="DC222" t="s">
        <v>135</v>
      </c>
      <c r="DD222" t="s">
        <v>135</v>
      </c>
      <c r="DE222" t="s">
        <v>135</v>
      </c>
      <c r="DF222" t="s">
        <v>135</v>
      </c>
      <c r="DG222" t="s">
        <v>135</v>
      </c>
      <c r="DH222" t="s">
        <v>135</v>
      </c>
      <c r="DI222" t="s">
        <v>135</v>
      </c>
    </row>
    <row r="223" spans="4:113" x14ac:dyDescent="0.3">
      <c r="D223" t="s">
        <v>85</v>
      </c>
      <c r="E223" t="s">
        <v>77</v>
      </c>
      <c r="F223">
        <v>-0.76070000000000004</v>
      </c>
      <c r="G223">
        <v>-0.25230000000000002</v>
      </c>
      <c r="H223">
        <v>2.1756000000000002</v>
      </c>
      <c r="I223">
        <v>1.6105</v>
      </c>
      <c r="J223">
        <v>8.1442999999999994</v>
      </c>
      <c r="K223">
        <v>2.7576999999999998</v>
      </c>
      <c r="L223">
        <v>32.256</v>
      </c>
      <c r="M223">
        <v>-0.92520000000000002</v>
      </c>
      <c r="N223">
        <v>-0.49440000000000001</v>
      </c>
      <c r="O223">
        <v>-0.49440000000000001</v>
      </c>
      <c r="P223">
        <v>-0.49440000000000001</v>
      </c>
      <c r="Q223" t="s">
        <v>135</v>
      </c>
      <c r="R223" t="s">
        <v>135</v>
      </c>
      <c r="S223" t="s">
        <v>135</v>
      </c>
      <c r="T223">
        <v>29.517099999999999</v>
      </c>
      <c r="U223">
        <v>6809.5393999999997</v>
      </c>
      <c r="V223" t="s">
        <v>135</v>
      </c>
      <c r="W223">
        <v>89.790199999999999</v>
      </c>
      <c r="X223">
        <v>89.805099999999996</v>
      </c>
      <c r="Y223" t="s">
        <v>135</v>
      </c>
      <c r="Z223">
        <v>31.904599999999999</v>
      </c>
      <c r="AA223">
        <v>8.1862999999999992</v>
      </c>
      <c r="AB223">
        <v>4.8758999999999997</v>
      </c>
      <c r="AC223">
        <v>7.2720000000000002</v>
      </c>
      <c r="AD223">
        <v>-0.62229999999999996</v>
      </c>
      <c r="AE223">
        <v>33.963000000000001</v>
      </c>
      <c r="AF223">
        <v>44.232399999999998</v>
      </c>
      <c r="AG223">
        <v>-38.200699999999998</v>
      </c>
      <c r="AH223">
        <v>8.0228999999999999</v>
      </c>
      <c r="AI223">
        <v>-0.2581</v>
      </c>
      <c r="AJ223">
        <v>3.9836999999999998</v>
      </c>
      <c r="AK223">
        <v>-0.2581</v>
      </c>
      <c r="AL223" t="s">
        <v>135</v>
      </c>
      <c r="AM223">
        <v>5.0564999999999998</v>
      </c>
      <c r="AN223">
        <v>-1.3991</v>
      </c>
      <c r="AO223" t="s">
        <v>135</v>
      </c>
      <c r="AP223" t="s">
        <v>135</v>
      </c>
      <c r="AQ223" t="s">
        <v>135</v>
      </c>
      <c r="AR223">
        <v>-100</v>
      </c>
      <c r="AS223">
        <v>-3.1829999999999998</v>
      </c>
      <c r="AT223">
        <v>1.0401</v>
      </c>
      <c r="AU223">
        <v>7.3541999999999996</v>
      </c>
      <c r="AV223">
        <v>5.9411000000000005</v>
      </c>
      <c r="AW223">
        <v>-5.0026000000000002</v>
      </c>
      <c r="AX223" t="s">
        <v>135</v>
      </c>
      <c r="AY223">
        <v>16.972200000000001</v>
      </c>
      <c r="AZ223">
        <v>7.8693</v>
      </c>
      <c r="BA223">
        <v>13.2682</v>
      </c>
      <c r="BB223">
        <v>-2.3654000000000002</v>
      </c>
      <c r="BC223">
        <v>4.2332000000000001</v>
      </c>
      <c r="BD223">
        <v>-2.3654000000000002</v>
      </c>
      <c r="BE223">
        <v>3.1882999999999999</v>
      </c>
      <c r="BF223">
        <v>29.517099999999999</v>
      </c>
      <c r="BG223">
        <v>6809.5393999999997</v>
      </c>
      <c r="BH223" t="s">
        <v>135</v>
      </c>
      <c r="BI223" t="s">
        <v>135</v>
      </c>
      <c r="BJ223" t="s">
        <v>135</v>
      </c>
      <c r="BK223" t="s">
        <v>135</v>
      </c>
      <c r="BL223">
        <v>31.904599999999999</v>
      </c>
      <c r="BM223">
        <v>8.1862999999999992</v>
      </c>
      <c r="BN223">
        <v>4.8758999999999997</v>
      </c>
      <c r="BO223">
        <v>7.2720000000000002</v>
      </c>
      <c r="BP223">
        <v>-0.62229999999999996</v>
      </c>
      <c r="BQ223" t="s">
        <v>135</v>
      </c>
      <c r="BR223">
        <v>44.232399999999998</v>
      </c>
      <c r="BS223">
        <v>-38.200699999999998</v>
      </c>
      <c r="BT223">
        <v>8.0228999999999999</v>
      </c>
      <c r="BU223">
        <v>-0.2581</v>
      </c>
      <c r="BV223">
        <v>3.9836999999999998</v>
      </c>
      <c r="BW223">
        <v>-0.2581</v>
      </c>
      <c r="BX223" t="s">
        <v>135</v>
      </c>
      <c r="BY223">
        <v>420214.8</v>
      </c>
      <c r="BZ223">
        <v>122443.2</v>
      </c>
      <c r="CA223">
        <v>297771.59999999998</v>
      </c>
      <c r="CB223">
        <v>9.0648999999999997</v>
      </c>
      <c r="CC223">
        <v>9.0280000000000005</v>
      </c>
      <c r="CD223">
        <v>26.7714</v>
      </c>
      <c r="CE223">
        <v>26.662400000000002</v>
      </c>
      <c r="CF223">
        <v>1.6501000000000001</v>
      </c>
      <c r="CG223">
        <v>32.004800000000003</v>
      </c>
      <c r="CH223">
        <v>80.594999999999999</v>
      </c>
      <c r="CI223">
        <v>37.707799999999999</v>
      </c>
      <c r="CJ223">
        <v>25.7943</v>
      </c>
      <c r="CK223">
        <v>113.7355</v>
      </c>
      <c r="CL223">
        <v>53.213200000000001</v>
      </c>
      <c r="CM223">
        <v>36.400799999999997</v>
      </c>
      <c r="CN223">
        <v>113.2726</v>
      </c>
      <c r="CO223">
        <v>53.111699999999999</v>
      </c>
      <c r="CP223">
        <v>46356.1</v>
      </c>
      <c r="CQ223">
        <v>-21220.1</v>
      </c>
      <c r="CR223">
        <v>15696.4</v>
      </c>
      <c r="CS223">
        <v>3.8999999999999998E-3</v>
      </c>
      <c r="CT223">
        <v>0.6855</v>
      </c>
      <c r="CU223">
        <v>9.3100000000000002E-2</v>
      </c>
      <c r="CV223">
        <v>0.9244</v>
      </c>
      <c r="CW223">
        <v>16.726700000000001</v>
      </c>
      <c r="CX223">
        <v>21.821300000000001</v>
      </c>
      <c r="CY223">
        <v>1.6322999999999999</v>
      </c>
      <c r="CZ223">
        <v>223.60659999999999</v>
      </c>
      <c r="DA223">
        <v>4.3979999999999997</v>
      </c>
      <c r="DB223">
        <v>82.992999999999995</v>
      </c>
      <c r="DC223">
        <v>162.4349</v>
      </c>
      <c r="DD223">
        <v>245.428</v>
      </c>
      <c r="DE223">
        <v>170243</v>
      </c>
      <c r="DF223">
        <v>71809.899999999994</v>
      </c>
      <c r="DG223">
        <v>32136.400000000001</v>
      </c>
      <c r="DH223">
        <v>44402.5</v>
      </c>
      <c r="DI223">
        <v>21894.2</v>
      </c>
    </row>
    <row r="224" spans="4:113" x14ac:dyDescent="0.3">
      <c r="E224" t="s">
        <v>78</v>
      </c>
      <c r="F224" t="s">
        <v>135</v>
      </c>
      <c r="G224" t="s">
        <v>135</v>
      </c>
      <c r="H224" t="s">
        <v>135</v>
      </c>
      <c r="I224" t="s">
        <v>135</v>
      </c>
      <c r="J224" t="s">
        <v>135</v>
      </c>
      <c r="K224" t="s">
        <v>135</v>
      </c>
      <c r="L224" t="s">
        <v>135</v>
      </c>
      <c r="M224" t="s">
        <v>135</v>
      </c>
      <c r="N224" t="s">
        <v>135</v>
      </c>
      <c r="O224" t="s">
        <v>135</v>
      </c>
      <c r="P224" t="s">
        <v>135</v>
      </c>
      <c r="Q224" t="s">
        <v>135</v>
      </c>
      <c r="R224" t="s">
        <v>135</v>
      </c>
      <c r="S224" t="s">
        <v>135</v>
      </c>
      <c r="T224" t="s">
        <v>135</v>
      </c>
      <c r="U224" t="s">
        <v>135</v>
      </c>
      <c r="V224" t="s">
        <v>135</v>
      </c>
      <c r="W224" t="s">
        <v>135</v>
      </c>
      <c r="X224" t="s">
        <v>135</v>
      </c>
      <c r="Y224" t="s">
        <v>135</v>
      </c>
      <c r="Z224" t="s">
        <v>135</v>
      </c>
      <c r="AA224" t="s">
        <v>135</v>
      </c>
      <c r="AB224" t="s">
        <v>135</v>
      </c>
      <c r="AC224" t="s">
        <v>135</v>
      </c>
      <c r="AD224" t="s">
        <v>135</v>
      </c>
      <c r="AE224" t="s">
        <v>135</v>
      </c>
      <c r="AF224" t="s">
        <v>135</v>
      </c>
      <c r="AG224" t="s">
        <v>135</v>
      </c>
      <c r="AH224" t="s">
        <v>135</v>
      </c>
      <c r="AI224" t="s">
        <v>135</v>
      </c>
      <c r="AJ224" t="s">
        <v>135</v>
      </c>
      <c r="AK224" t="s">
        <v>135</v>
      </c>
      <c r="AL224" t="s">
        <v>135</v>
      </c>
      <c r="AM224" t="s">
        <v>135</v>
      </c>
      <c r="AN224" t="s">
        <v>135</v>
      </c>
      <c r="AO224" t="s">
        <v>135</v>
      </c>
      <c r="AP224" t="s">
        <v>135</v>
      </c>
      <c r="AQ224" t="s">
        <v>135</v>
      </c>
      <c r="AR224" t="s">
        <v>135</v>
      </c>
      <c r="AS224" t="s">
        <v>135</v>
      </c>
      <c r="AT224" t="s">
        <v>135</v>
      </c>
      <c r="AU224" t="s">
        <v>135</v>
      </c>
      <c r="AV224" t="s">
        <v>135</v>
      </c>
      <c r="AW224" t="s">
        <v>135</v>
      </c>
      <c r="AX224" t="s">
        <v>135</v>
      </c>
      <c r="AY224" t="s">
        <v>135</v>
      </c>
      <c r="AZ224" t="s">
        <v>135</v>
      </c>
      <c r="BA224" t="s">
        <v>135</v>
      </c>
      <c r="BB224" t="s">
        <v>135</v>
      </c>
      <c r="BC224" t="s">
        <v>135</v>
      </c>
      <c r="BD224" t="s">
        <v>135</v>
      </c>
      <c r="BE224" t="s">
        <v>135</v>
      </c>
      <c r="BF224" t="s">
        <v>135</v>
      </c>
      <c r="BG224" t="s">
        <v>135</v>
      </c>
      <c r="BH224" t="s">
        <v>135</v>
      </c>
      <c r="BI224" t="s">
        <v>135</v>
      </c>
      <c r="BJ224" t="s">
        <v>135</v>
      </c>
      <c r="BK224" t="s">
        <v>135</v>
      </c>
      <c r="BL224" t="s">
        <v>135</v>
      </c>
      <c r="BM224" t="s">
        <v>135</v>
      </c>
      <c r="BN224" t="s">
        <v>135</v>
      </c>
      <c r="BO224" t="s">
        <v>135</v>
      </c>
      <c r="BP224" t="s">
        <v>135</v>
      </c>
      <c r="BQ224" t="s">
        <v>135</v>
      </c>
      <c r="BR224" t="s">
        <v>135</v>
      </c>
      <c r="BS224" t="s">
        <v>135</v>
      </c>
      <c r="BT224" t="s">
        <v>135</v>
      </c>
      <c r="BU224" t="s">
        <v>135</v>
      </c>
      <c r="BV224" t="s">
        <v>135</v>
      </c>
      <c r="BW224" t="s">
        <v>135</v>
      </c>
      <c r="BX224" t="s">
        <v>135</v>
      </c>
      <c r="BY224" t="s">
        <v>135</v>
      </c>
      <c r="BZ224" t="s">
        <v>135</v>
      </c>
      <c r="CA224" t="s">
        <v>135</v>
      </c>
      <c r="CB224" t="s">
        <v>135</v>
      </c>
      <c r="CC224" t="s">
        <v>135</v>
      </c>
      <c r="CD224" t="s">
        <v>135</v>
      </c>
      <c r="CE224" t="s">
        <v>135</v>
      </c>
      <c r="CF224" t="s">
        <v>135</v>
      </c>
      <c r="CG224" t="s">
        <v>135</v>
      </c>
      <c r="CH224" t="s">
        <v>135</v>
      </c>
      <c r="CI224" t="s">
        <v>135</v>
      </c>
      <c r="CJ224" t="s">
        <v>135</v>
      </c>
      <c r="CK224" t="s">
        <v>135</v>
      </c>
      <c r="CL224" t="s">
        <v>135</v>
      </c>
      <c r="CM224" t="s">
        <v>135</v>
      </c>
      <c r="CN224" t="s">
        <v>135</v>
      </c>
      <c r="CO224" t="s">
        <v>135</v>
      </c>
      <c r="CP224" t="s">
        <v>135</v>
      </c>
      <c r="CQ224" t="s">
        <v>135</v>
      </c>
      <c r="CR224" t="s">
        <v>135</v>
      </c>
      <c r="CS224" t="s">
        <v>135</v>
      </c>
      <c r="CT224" t="s">
        <v>135</v>
      </c>
      <c r="CU224" t="s">
        <v>135</v>
      </c>
      <c r="CV224" t="s">
        <v>135</v>
      </c>
      <c r="CW224" t="s">
        <v>135</v>
      </c>
      <c r="CX224" t="s">
        <v>135</v>
      </c>
      <c r="CY224" t="s">
        <v>135</v>
      </c>
      <c r="CZ224" t="s">
        <v>135</v>
      </c>
      <c r="DA224" t="s">
        <v>135</v>
      </c>
      <c r="DB224" t="s">
        <v>135</v>
      </c>
      <c r="DC224" t="s">
        <v>135</v>
      </c>
      <c r="DD224" t="s">
        <v>135</v>
      </c>
      <c r="DE224" t="s">
        <v>135</v>
      </c>
      <c r="DF224" t="s">
        <v>135</v>
      </c>
      <c r="DG224" t="s">
        <v>135</v>
      </c>
      <c r="DH224" t="s">
        <v>135</v>
      </c>
      <c r="DI224" t="s">
        <v>135</v>
      </c>
    </row>
    <row r="225" spans="1:113" x14ac:dyDescent="0.3">
      <c r="E225" t="s">
        <v>79</v>
      </c>
      <c r="F225" t="s">
        <v>135</v>
      </c>
      <c r="G225" t="s">
        <v>135</v>
      </c>
      <c r="H225" t="s">
        <v>135</v>
      </c>
      <c r="I225" t="s">
        <v>135</v>
      </c>
      <c r="J225" t="s">
        <v>135</v>
      </c>
      <c r="K225" t="s">
        <v>135</v>
      </c>
      <c r="L225" t="s">
        <v>135</v>
      </c>
      <c r="M225" t="s">
        <v>135</v>
      </c>
      <c r="N225" t="s">
        <v>135</v>
      </c>
      <c r="O225" t="s">
        <v>135</v>
      </c>
      <c r="P225" t="s">
        <v>135</v>
      </c>
      <c r="Q225" t="s">
        <v>135</v>
      </c>
      <c r="R225" t="s">
        <v>135</v>
      </c>
      <c r="S225" t="s">
        <v>135</v>
      </c>
      <c r="T225" t="s">
        <v>135</v>
      </c>
      <c r="U225" t="s">
        <v>135</v>
      </c>
      <c r="V225" t="s">
        <v>135</v>
      </c>
      <c r="W225" t="s">
        <v>135</v>
      </c>
      <c r="X225" t="s">
        <v>135</v>
      </c>
      <c r="Y225" t="s">
        <v>135</v>
      </c>
      <c r="Z225" t="s">
        <v>135</v>
      </c>
      <c r="AA225" t="s">
        <v>135</v>
      </c>
      <c r="AB225" t="s">
        <v>135</v>
      </c>
      <c r="AC225" t="s">
        <v>135</v>
      </c>
      <c r="AD225" t="s">
        <v>135</v>
      </c>
      <c r="AE225" t="s">
        <v>135</v>
      </c>
      <c r="AF225" t="s">
        <v>135</v>
      </c>
      <c r="AG225" t="s">
        <v>135</v>
      </c>
      <c r="AH225" t="s">
        <v>135</v>
      </c>
      <c r="AI225" t="s">
        <v>135</v>
      </c>
      <c r="AJ225" t="s">
        <v>135</v>
      </c>
      <c r="AK225" t="s">
        <v>135</v>
      </c>
      <c r="AL225" t="s">
        <v>135</v>
      </c>
      <c r="AM225" t="s">
        <v>135</v>
      </c>
      <c r="AN225" t="s">
        <v>135</v>
      </c>
      <c r="AO225" t="s">
        <v>135</v>
      </c>
      <c r="AP225" t="s">
        <v>135</v>
      </c>
      <c r="AQ225" t="s">
        <v>135</v>
      </c>
      <c r="AR225" t="s">
        <v>135</v>
      </c>
      <c r="AS225" t="s">
        <v>135</v>
      </c>
      <c r="AT225" t="s">
        <v>135</v>
      </c>
      <c r="AU225" t="s">
        <v>135</v>
      </c>
      <c r="AV225" t="s">
        <v>135</v>
      </c>
      <c r="AW225" t="s">
        <v>135</v>
      </c>
      <c r="AX225" t="s">
        <v>135</v>
      </c>
      <c r="AY225" t="s">
        <v>135</v>
      </c>
      <c r="AZ225" t="s">
        <v>135</v>
      </c>
      <c r="BA225" t="s">
        <v>135</v>
      </c>
      <c r="BB225" t="s">
        <v>135</v>
      </c>
      <c r="BC225" t="s">
        <v>135</v>
      </c>
      <c r="BD225" t="s">
        <v>135</v>
      </c>
      <c r="BE225" t="s">
        <v>135</v>
      </c>
      <c r="BF225" t="s">
        <v>135</v>
      </c>
      <c r="BG225" t="s">
        <v>135</v>
      </c>
      <c r="BH225" t="s">
        <v>135</v>
      </c>
      <c r="BI225" t="s">
        <v>135</v>
      </c>
      <c r="BJ225" t="s">
        <v>135</v>
      </c>
      <c r="BK225" t="s">
        <v>135</v>
      </c>
      <c r="BL225" t="s">
        <v>135</v>
      </c>
      <c r="BM225" t="s">
        <v>135</v>
      </c>
      <c r="BN225" t="s">
        <v>135</v>
      </c>
      <c r="BO225" t="s">
        <v>135</v>
      </c>
      <c r="BP225" t="s">
        <v>135</v>
      </c>
      <c r="BQ225" t="s">
        <v>135</v>
      </c>
      <c r="BR225" t="s">
        <v>135</v>
      </c>
      <c r="BS225" t="s">
        <v>135</v>
      </c>
      <c r="BT225" t="s">
        <v>135</v>
      </c>
      <c r="BU225" t="s">
        <v>135</v>
      </c>
      <c r="BV225" t="s">
        <v>135</v>
      </c>
      <c r="BW225" t="s">
        <v>135</v>
      </c>
      <c r="BX225" t="s">
        <v>135</v>
      </c>
      <c r="BY225" t="s">
        <v>135</v>
      </c>
      <c r="BZ225" t="s">
        <v>135</v>
      </c>
      <c r="CA225" t="s">
        <v>135</v>
      </c>
      <c r="CB225" t="s">
        <v>135</v>
      </c>
      <c r="CC225" t="s">
        <v>135</v>
      </c>
      <c r="CD225" t="s">
        <v>135</v>
      </c>
      <c r="CE225" t="s">
        <v>135</v>
      </c>
      <c r="CF225" t="s">
        <v>135</v>
      </c>
      <c r="CG225" t="s">
        <v>135</v>
      </c>
      <c r="CH225" t="s">
        <v>135</v>
      </c>
      <c r="CI225" t="s">
        <v>135</v>
      </c>
      <c r="CJ225" t="s">
        <v>135</v>
      </c>
      <c r="CK225" t="s">
        <v>135</v>
      </c>
      <c r="CL225" t="s">
        <v>135</v>
      </c>
      <c r="CM225" t="s">
        <v>135</v>
      </c>
      <c r="CN225" t="s">
        <v>135</v>
      </c>
      <c r="CO225" t="s">
        <v>135</v>
      </c>
      <c r="CP225" t="s">
        <v>135</v>
      </c>
      <c r="CQ225" t="s">
        <v>135</v>
      </c>
      <c r="CR225" t="s">
        <v>135</v>
      </c>
      <c r="CS225" t="s">
        <v>135</v>
      </c>
      <c r="CT225" t="s">
        <v>135</v>
      </c>
      <c r="CU225" t="s">
        <v>135</v>
      </c>
      <c r="CV225" t="s">
        <v>135</v>
      </c>
      <c r="CW225" t="s">
        <v>135</v>
      </c>
      <c r="CX225" t="s">
        <v>135</v>
      </c>
      <c r="CY225" t="s">
        <v>135</v>
      </c>
      <c r="CZ225" t="s">
        <v>135</v>
      </c>
      <c r="DA225" t="s">
        <v>135</v>
      </c>
      <c r="DB225" t="s">
        <v>135</v>
      </c>
      <c r="DC225" t="s">
        <v>135</v>
      </c>
      <c r="DD225" t="s">
        <v>135</v>
      </c>
      <c r="DE225" t="s">
        <v>135</v>
      </c>
      <c r="DF225" t="s">
        <v>135</v>
      </c>
      <c r="DG225" t="s">
        <v>135</v>
      </c>
      <c r="DH225" t="s">
        <v>135</v>
      </c>
      <c r="DI225" t="s">
        <v>135</v>
      </c>
    </row>
    <row r="226" spans="1:113" x14ac:dyDescent="0.3">
      <c r="E226" t="s">
        <v>80</v>
      </c>
      <c r="F226" t="s">
        <v>135</v>
      </c>
      <c r="G226" t="s">
        <v>135</v>
      </c>
      <c r="H226" t="s">
        <v>135</v>
      </c>
      <c r="I226" t="s">
        <v>135</v>
      </c>
      <c r="J226" t="s">
        <v>135</v>
      </c>
      <c r="K226" t="s">
        <v>135</v>
      </c>
      <c r="L226" t="s">
        <v>135</v>
      </c>
      <c r="M226" t="s">
        <v>135</v>
      </c>
      <c r="N226" t="s">
        <v>135</v>
      </c>
      <c r="O226" t="s">
        <v>135</v>
      </c>
      <c r="P226" t="s">
        <v>135</v>
      </c>
      <c r="Q226" t="s">
        <v>135</v>
      </c>
      <c r="R226" t="s">
        <v>135</v>
      </c>
      <c r="S226" t="s">
        <v>135</v>
      </c>
      <c r="T226" t="s">
        <v>135</v>
      </c>
      <c r="U226" t="s">
        <v>135</v>
      </c>
      <c r="V226" t="s">
        <v>135</v>
      </c>
      <c r="W226" t="s">
        <v>135</v>
      </c>
      <c r="X226" t="s">
        <v>135</v>
      </c>
      <c r="Y226" t="s">
        <v>135</v>
      </c>
      <c r="Z226" t="s">
        <v>135</v>
      </c>
      <c r="AA226" t="s">
        <v>135</v>
      </c>
      <c r="AB226" t="s">
        <v>135</v>
      </c>
      <c r="AC226" t="s">
        <v>135</v>
      </c>
      <c r="AD226" t="s">
        <v>135</v>
      </c>
      <c r="AE226" t="s">
        <v>135</v>
      </c>
      <c r="AF226" t="s">
        <v>135</v>
      </c>
      <c r="AG226" t="s">
        <v>135</v>
      </c>
      <c r="AH226" t="s">
        <v>135</v>
      </c>
      <c r="AI226" t="s">
        <v>135</v>
      </c>
      <c r="AJ226" t="s">
        <v>135</v>
      </c>
      <c r="AK226" t="s">
        <v>135</v>
      </c>
      <c r="AL226" t="s">
        <v>135</v>
      </c>
      <c r="AM226" t="s">
        <v>135</v>
      </c>
      <c r="AN226" t="s">
        <v>135</v>
      </c>
      <c r="AO226" t="s">
        <v>135</v>
      </c>
      <c r="AP226" t="s">
        <v>135</v>
      </c>
      <c r="AQ226" t="s">
        <v>135</v>
      </c>
      <c r="AR226" t="s">
        <v>135</v>
      </c>
      <c r="AS226" t="s">
        <v>135</v>
      </c>
      <c r="AT226" t="s">
        <v>135</v>
      </c>
      <c r="AU226" t="s">
        <v>135</v>
      </c>
      <c r="AV226" t="s">
        <v>135</v>
      </c>
      <c r="AW226" t="s">
        <v>135</v>
      </c>
      <c r="AX226" t="s">
        <v>135</v>
      </c>
      <c r="AY226" t="s">
        <v>135</v>
      </c>
      <c r="AZ226" t="s">
        <v>135</v>
      </c>
      <c r="BA226" t="s">
        <v>135</v>
      </c>
      <c r="BB226" t="s">
        <v>135</v>
      </c>
      <c r="BC226" t="s">
        <v>135</v>
      </c>
      <c r="BD226" t="s">
        <v>135</v>
      </c>
      <c r="BE226" t="s">
        <v>135</v>
      </c>
      <c r="BF226" t="s">
        <v>135</v>
      </c>
      <c r="BG226" t="s">
        <v>135</v>
      </c>
      <c r="BH226" t="s">
        <v>135</v>
      </c>
      <c r="BI226" t="s">
        <v>135</v>
      </c>
      <c r="BJ226" t="s">
        <v>135</v>
      </c>
      <c r="BK226" t="s">
        <v>135</v>
      </c>
      <c r="BL226" t="s">
        <v>135</v>
      </c>
      <c r="BM226" t="s">
        <v>135</v>
      </c>
      <c r="BN226" t="s">
        <v>135</v>
      </c>
      <c r="BO226" t="s">
        <v>135</v>
      </c>
      <c r="BP226" t="s">
        <v>135</v>
      </c>
      <c r="BQ226" t="s">
        <v>135</v>
      </c>
      <c r="BR226" t="s">
        <v>135</v>
      </c>
      <c r="BS226" t="s">
        <v>135</v>
      </c>
      <c r="BT226" t="s">
        <v>135</v>
      </c>
      <c r="BU226" t="s">
        <v>135</v>
      </c>
      <c r="BV226" t="s">
        <v>135</v>
      </c>
      <c r="BW226" t="s">
        <v>135</v>
      </c>
      <c r="BX226" t="s">
        <v>135</v>
      </c>
      <c r="BY226" t="s">
        <v>135</v>
      </c>
      <c r="BZ226" t="s">
        <v>135</v>
      </c>
      <c r="CA226" t="s">
        <v>135</v>
      </c>
      <c r="CB226" t="s">
        <v>135</v>
      </c>
      <c r="CC226" t="s">
        <v>135</v>
      </c>
      <c r="CD226" t="s">
        <v>135</v>
      </c>
      <c r="CE226" t="s">
        <v>135</v>
      </c>
      <c r="CF226" t="s">
        <v>135</v>
      </c>
      <c r="CG226" t="s">
        <v>135</v>
      </c>
      <c r="CH226" t="s">
        <v>135</v>
      </c>
      <c r="CI226" t="s">
        <v>135</v>
      </c>
      <c r="CJ226" t="s">
        <v>135</v>
      </c>
      <c r="CK226" t="s">
        <v>135</v>
      </c>
      <c r="CL226" t="s">
        <v>135</v>
      </c>
      <c r="CM226" t="s">
        <v>135</v>
      </c>
      <c r="CN226" t="s">
        <v>135</v>
      </c>
      <c r="CO226" t="s">
        <v>135</v>
      </c>
      <c r="CP226" t="s">
        <v>135</v>
      </c>
      <c r="CQ226" t="s">
        <v>135</v>
      </c>
      <c r="CR226" t="s">
        <v>135</v>
      </c>
      <c r="CS226" t="s">
        <v>135</v>
      </c>
      <c r="CT226" t="s">
        <v>135</v>
      </c>
      <c r="CU226" t="s">
        <v>135</v>
      </c>
      <c r="CV226" t="s">
        <v>135</v>
      </c>
      <c r="CW226" t="s">
        <v>135</v>
      </c>
      <c r="CX226" t="s">
        <v>135</v>
      </c>
      <c r="CY226" t="s">
        <v>135</v>
      </c>
      <c r="CZ226" t="s">
        <v>135</v>
      </c>
      <c r="DA226" t="s">
        <v>135</v>
      </c>
      <c r="DB226" t="s">
        <v>135</v>
      </c>
      <c r="DC226" t="s">
        <v>135</v>
      </c>
      <c r="DD226" t="s">
        <v>135</v>
      </c>
      <c r="DE226" t="s">
        <v>135</v>
      </c>
      <c r="DF226" t="s">
        <v>135</v>
      </c>
      <c r="DG226" t="s">
        <v>135</v>
      </c>
      <c r="DH226" t="s">
        <v>135</v>
      </c>
      <c r="DI226" t="s">
        <v>135</v>
      </c>
    </row>
    <row r="227" spans="1:113" x14ac:dyDescent="0.3">
      <c r="E227" t="s">
        <v>81</v>
      </c>
      <c r="F227" t="s">
        <v>135</v>
      </c>
      <c r="G227" t="s">
        <v>135</v>
      </c>
      <c r="H227" t="s">
        <v>135</v>
      </c>
      <c r="I227" t="s">
        <v>135</v>
      </c>
      <c r="J227" t="s">
        <v>135</v>
      </c>
      <c r="K227" t="s">
        <v>135</v>
      </c>
      <c r="L227" t="s">
        <v>135</v>
      </c>
      <c r="M227" t="s">
        <v>135</v>
      </c>
      <c r="N227" t="s">
        <v>135</v>
      </c>
      <c r="O227" t="s">
        <v>135</v>
      </c>
      <c r="P227" t="s">
        <v>135</v>
      </c>
      <c r="Q227" t="s">
        <v>135</v>
      </c>
      <c r="R227" t="s">
        <v>135</v>
      </c>
      <c r="S227" t="s">
        <v>135</v>
      </c>
      <c r="T227" t="s">
        <v>135</v>
      </c>
      <c r="U227" t="s">
        <v>135</v>
      </c>
      <c r="V227" t="s">
        <v>135</v>
      </c>
      <c r="W227" t="s">
        <v>135</v>
      </c>
      <c r="X227" t="s">
        <v>135</v>
      </c>
      <c r="Y227" t="s">
        <v>135</v>
      </c>
      <c r="Z227" t="s">
        <v>135</v>
      </c>
      <c r="AA227" t="s">
        <v>135</v>
      </c>
      <c r="AB227" t="s">
        <v>135</v>
      </c>
      <c r="AC227" t="s">
        <v>135</v>
      </c>
      <c r="AD227" t="s">
        <v>135</v>
      </c>
      <c r="AE227" t="s">
        <v>135</v>
      </c>
      <c r="AF227" t="s">
        <v>135</v>
      </c>
      <c r="AG227" t="s">
        <v>135</v>
      </c>
      <c r="AH227" t="s">
        <v>135</v>
      </c>
      <c r="AI227" t="s">
        <v>135</v>
      </c>
      <c r="AJ227" t="s">
        <v>135</v>
      </c>
      <c r="AK227" t="s">
        <v>135</v>
      </c>
      <c r="AL227" t="s">
        <v>135</v>
      </c>
      <c r="AM227" t="s">
        <v>135</v>
      </c>
      <c r="AN227" t="s">
        <v>135</v>
      </c>
      <c r="AO227" t="s">
        <v>135</v>
      </c>
      <c r="AP227" t="s">
        <v>135</v>
      </c>
      <c r="AQ227" t="s">
        <v>135</v>
      </c>
      <c r="AR227" t="s">
        <v>135</v>
      </c>
      <c r="AS227" t="s">
        <v>135</v>
      </c>
      <c r="AT227" t="s">
        <v>135</v>
      </c>
      <c r="AU227" t="s">
        <v>135</v>
      </c>
      <c r="AV227" t="s">
        <v>135</v>
      </c>
      <c r="AW227" t="s">
        <v>135</v>
      </c>
      <c r="AX227" t="s">
        <v>135</v>
      </c>
      <c r="AY227" t="s">
        <v>135</v>
      </c>
      <c r="AZ227" t="s">
        <v>135</v>
      </c>
      <c r="BA227" t="s">
        <v>135</v>
      </c>
      <c r="BB227" t="s">
        <v>135</v>
      </c>
      <c r="BC227" t="s">
        <v>135</v>
      </c>
      <c r="BD227" t="s">
        <v>135</v>
      </c>
      <c r="BE227" t="s">
        <v>135</v>
      </c>
      <c r="BF227" t="s">
        <v>135</v>
      </c>
      <c r="BG227" t="s">
        <v>135</v>
      </c>
      <c r="BH227" t="s">
        <v>135</v>
      </c>
      <c r="BI227" t="s">
        <v>135</v>
      </c>
      <c r="BJ227" t="s">
        <v>135</v>
      </c>
      <c r="BK227" t="s">
        <v>135</v>
      </c>
      <c r="BL227" t="s">
        <v>135</v>
      </c>
      <c r="BM227" t="s">
        <v>135</v>
      </c>
      <c r="BN227" t="s">
        <v>135</v>
      </c>
      <c r="BO227" t="s">
        <v>135</v>
      </c>
      <c r="BP227" t="s">
        <v>135</v>
      </c>
      <c r="BQ227" t="s">
        <v>135</v>
      </c>
      <c r="BR227" t="s">
        <v>135</v>
      </c>
      <c r="BS227" t="s">
        <v>135</v>
      </c>
      <c r="BT227" t="s">
        <v>135</v>
      </c>
      <c r="BU227" t="s">
        <v>135</v>
      </c>
      <c r="BV227" t="s">
        <v>135</v>
      </c>
      <c r="BW227" t="s">
        <v>135</v>
      </c>
      <c r="BX227" t="s">
        <v>135</v>
      </c>
      <c r="BY227" t="s">
        <v>135</v>
      </c>
      <c r="BZ227" t="s">
        <v>135</v>
      </c>
      <c r="CA227" t="s">
        <v>135</v>
      </c>
      <c r="CB227" t="s">
        <v>135</v>
      </c>
      <c r="CC227" t="s">
        <v>135</v>
      </c>
      <c r="CD227" t="s">
        <v>135</v>
      </c>
      <c r="CE227" t="s">
        <v>135</v>
      </c>
      <c r="CF227" t="s">
        <v>135</v>
      </c>
      <c r="CG227" t="s">
        <v>135</v>
      </c>
      <c r="CH227" t="s">
        <v>135</v>
      </c>
      <c r="CI227" t="s">
        <v>135</v>
      </c>
      <c r="CJ227" t="s">
        <v>135</v>
      </c>
      <c r="CK227" t="s">
        <v>135</v>
      </c>
      <c r="CL227" t="s">
        <v>135</v>
      </c>
      <c r="CM227" t="s">
        <v>135</v>
      </c>
      <c r="CN227" t="s">
        <v>135</v>
      </c>
      <c r="CO227" t="s">
        <v>135</v>
      </c>
      <c r="CP227" t="s">
        <v>135</v>
      </c>
      <c r="CQ227" t="s">
        <v>135</v>
      </c>
      <c r="CR227" t="s">
        <v>135</v>
      </c>
      <c r="CS227" t="s">
        <v>135</v>
      </c>
      <c r="CT227" t="s">
        <v>135</v>
      </c>
      <c r="CU227" t="s">
        <v>135</v>
      </c>
      <c r="CV227" t="s">
        <v>135</v>
      </c>
      <c r="CW227" t="s">
        <v>135</v>
      </c>
      <c r="CX227" t="s">
        <v>135</v>
      </c>
      <c r="CY227" t="s">
        <v>135</v>
      </c>
      <c r="CZ227" t="s">
        <v>135</v>
      </c>
      <c r="DA227" t="s">
        <v>135</v>
      </c>
      <c r="DB227" t="s">
        <v>135</v>
      </c>
      <c r="DC227" t="s">
        <v>135</v>
      </c>
      <c r="DD227" t="s">
        <v>135</v>
      </c>
      <c r="DE227" t="s">
        <v>135</v>
      </c>
      <c r="DF227" t="s">
        <v>135</v>
      </c>
      <c r="DG227" t="s">
        <v>135</v>
      </c>
      <c r="DH227" t="s">
        <v>135</v>
      </c>
      <c r="DI227" t="s">
        <v>135</v>
      </c>
    </row>
    <row r="228" spans="1:113" x14ac:dyDescent="0.3">
      <c r="A228">
        <v>85</v>
      </c>
      <c r="B228" t="s">
        <v>102</v>
      </c>
      <c r="C228" t="s">
        <v>103</v>
      </c>
      <c r="D228" t="s">
        <v>76</v>
      </c>
      <c r="E228" t="s">
        <v>77</v>
      </c>
      <c r="F228">
        <v>24.4817</v>
      </c>
      <c r="G228">
        <v>15.4506</v>
      </c>
      <c r="H228">
        <v>21.1327</v>
      </c>
      <c r="I228">
        <v>15.8376</v>
      </c>
      <c r="J228">
        <v>20.217600000000001</v>
      </c>
      <c r="K228">
        <v>17.912099999999999</v>
      </c>
      <c r="L228">
        <v>62.795099999999998</v>
      </c>
      <c r="M228">
        <v>20.549800000000001</v>
      </c>
      <c r="N228">
        <v>18.155000000000001</v>
      </c>
      <c r="O228">
        <v>18.155000000000001</v>
      </c>
      <c r="P228">
        <v>18.155000000000001</v>
      </c>
      <c r="Q228">
        <v>11.653600000000001</v>
      </c>
      <c r="R228">
        <v>0</v>
      </c>
      <c r="S228">
        <v>24.4817</v>
      </c>
      <c r="T228">
        <v>91.374399999999994</v>
      </c>
      <c r="U228" t="s">
        <v>135</v>
      </c>
      <c r="V228" t="s">
        <v>135</v>
      </c>
      <c r="W228" t="s">
        <v>135</v>
      </c>
      <c r="X228" t="s">
        <v>135</v>
      </c>
      <c r="Y228" t="s">
        <v>135</v>
      </c>
      <c r="Z228">
        <v>11.743500000000001</v>
      </c>
      <c r="AA228" t="s">
        <v>135</v>
      </c>
      <c r="AB228">
        <v>-0.70469999999999999</v>
      </c>
      <c r="AC228">
        <v>-12.1791</v>
      </c>
      <c r="AD228" t="s">
        <v>135</v>
      </c>
      <c r="AE228">
        <v>59.301600000000001</v>
      </c>
      <c r="AF228">
        <v>132.51650000000001</v>
      </c>
      <c r="AG228">
        <v>-98.210800000000006</v>
      </c>
      <c r="AH228">
        <v>-93.588099999999997</v>
      </c>
      <c r="AI228">
        <v>28.4681</v>
      </c>
      <c r="AJ228">
        <v>-23.675699999999999</v>
      </c>
      <c r="AK228">
        <v>28.4681</v>
      </c>
      <c r="AL228" t="s">
        <v>135</v>
      </c>
      <c r="AM228">
        <v>36.582099999999997</v>
      </c>
      <c r="AN228" t="s">
        <v>135</v>
      </c>
      <c r="AO228" t="s">
        <v>135</v>
      </c>
      <c r="AP228" t="s">
        <v>135</v>
      </c>
      <c r="AQ228" t="s">
        <v>135</v>
      </c>
      <c r="AR228" t="s">
        <v>135</v>
      </c>
      <c r="AS228">
        <v>122.922</v>
      </c>
      <c r="AT228" t="s">
        <v>135</v>
      </c>
      <c r="AU228">
        <v>2.6406000000000001</v>
      </c>
      <c r="AV228">
        <v>24.421700000000001</v>
      </c>
      <c r="AW228" t="s">
        <v>135</v>
      </c>
      <c r="AX228" t="s">
        <v>135</v>
      </c>
      <c r="AY228" t="s">
        <v>135</v>
      </c>
      <c r="AZ228">
        <v>-4.4481000000000002</v>
      </c>
      <c r="BA228">
        <v>24.7163</v>
      </c>
      <c r="BB228">
        <v>31.313800000000001</v>
      </c>
      <c r="BC228">
        <v>31.038399999999999</v>
      </c>
      <c r="BD228">
        <v>28.2743</v>
      </c>
      <c r="BE228" t="s">
        <v>135</v>
      </c>
      <c r="BF228">
        <v>91.374399999999994</v>
      </c>
      <c r="BG228" t="s">
        <v>135</v>
      </c>
      <c r="BH228" t="s">
        <v>135</v>
      </c>
      <c r="BI228" t="s">
        <v>135</v>
      </c>
      <c r="BJ228" t="s">
        <v>135</v>
      </c>
      <c r="BK228" t="s">
        <v>135</v>
      </c>
      <c r="BL228">
        <v>11.743500000000001</v>
      </c>
      <c r="BM228" t="s">
        <v>135</v>
      </c>
      <c r="BN228">
        <v>-0.70469999999999999</v>
      </c>
      <c r="BO228">
        <v>-12.1791</v>
      </c>
      <c r="BP228">
        <v>-114.2491</v>
      </c>
      <c r="BQ228">
        <v>59.301600000000001</v>
      </c>
      <c r="BR228">
        <v>132.51650000000001</v>
      </c>
      <c r="BS228">
        <v>-98.210800000000006</v>
      </c>
      <c r="BT228">
        <v>-93.588099999999997</v>
      </c>
      <c r="BU228">
        <v>28.4681</v>
      </c>
      <c r="BV228">
        <v>-23.675699999999999</v>
      </c>
      <c r="BW228">
        <v>28.4681</v>
      </c>
      <c r="BX228" t="s">
        <v>135</v>
      </c>
      <c r="BY228">
        <v>51.854999999999997</v>
      </c>
      <c r="BZ228">
        <v>13.689</v>
      </c>
      <c r="CA228">
        <v>38.165999999999997</v>
      </c>
      <c r="CB228">
        <v>0.15359999999999999</v>
      </c>
      <c r="CC228">
        <v>-0.23300000000000001</v>
      </c>
      <c r="CD228">
        <v>0.17330000000000001</v>
      </c>
      <c r="CE228">
        <v>-0.26300000000000001</v>
      </c>
      <c r="CF228">
        <v>6.0331999999999999</v>
      </c>
      <c r="CG228">
        <v>75.896000000000001</v>
      </c>
      <c r="CH228">
        <v>2.7399</v>
      </c>
      <c r="CI228">
        <v>2.6414999999999997</v>
      </c>
      <c r="CJ228">
        <v>2.0794000000000001</v>
      </c>
      <c r="CK228">
        <v>3.7225999999999999</v>
      </c>
      <c r="CL228">
        <v>3.589</v>
      </c>
      <c r="CM228">
        <v>2.8252999999999999</v>
      </c>
      <c r="CN228">
        <v>-5.6495999999999995</v>
      </c>
      <c r="CO228">
        <v>-5.9878999999999998</v>
      </c>
      <c r="CP228">
        <v>337.69400000000002</v>
      </c>
      <c r="CQ228">
        <v>300.95400000000001</v>
      </c>
      <c r="CR228">
        <v>299.185</v>
      </c>
      <c r="CS228">
        <v>0.33660000000000001</v>
      </c>
      <c r="CT228">
        <v>2.8388</v>
      </c>
      <c r="CU228">
        <v>1.0584</v>
      </c>
      <c r="CV228">
        <v>47.787799999999997</v>
      </c>
      <c r="CW228">
        <v>6.2964000000000002</v>
      </c>
      <c r="CX228">
        <v>57.969299999999997</v>
      </c>
      <c r="CY228" t="s">
        <v>135</v>
      </c>
      <c r="CZ228" t="s">
        <v>135</v>
      </c>
      <c r="DA228">
        <v>0.3765</v>
      </c>
      <c r="DB228">
        <v>969.47500000000002</v>
      </c>
      <c r="DC228" t="s">
        <v>135</v>
      </c>
      <c r="DD228" t="s">
        <v>135</v>
      </c>
      <c r="DE228">
        <v>0</v>
      </c>
      <c r="DF228">
        <v>0</v>
      </c>
      <c r="DG228">
        <v>0</v>
      </c>
      <c r="DH228">
        <v>0</v>
      </c>
      <c r="DI228">
        <v>0</v>
      </c>
    </row>
    <row r="229" spans="1:113" x14ac:dyDescent="0.3">
      <c r="E229" t="s">
        <v>78</v>
      </c>
      <c r="F229" t="s">
        <v>135</v>
      </c>
      <c r="G229" t="s">
        <v>135</v>
      </c>
      <c r="H229" t="s">
        <v>135</v>
      </c>
      <c r="I229" t="s">
        <v>135</v>
      </c>
      <c r="J229">
        <v>29.716799999999999</v>
      </c>
      <c r="K229">
        <v>27.2498</v>
      </c>
      <c r="L229">
        <v>95.937200000000004</v>
      </c>
      <c r="M229">
        <v>26.661100000000001</v>
      </c>
      <c r="N229">
        <v>26.661100000000001</v>
      </c>
      <c r="O229">
        <v>26.661100000000001</v>
      </c>
      <c r="P229">
        <v>26.661100000000001</v>
      </c>
      <c r="Q229">
        <v>0</v>
      </c>
      <c r="R229" t="s">
        <v>135</v>
      </c>
      <c r="S229" t="s">
        <v>135</v>
      </c>
      <c r="T229">
        <v>459.09089999999998</v>
      </c>
      <c r="U229" t="s">
        <v>135</v>
      </c>
      <c r="V229" t="s">
        <v>135</v>
      </c>
      <c r="W229" t="s">
        <v>135</v>
      </c>
      <c r="X229" t="s">
        <v>135</v>
      </c>
      <c r="Y229" t="s">
        <v>135</v>
      </c>
      <c r="Z229" t="s">
        <v>135</v>
      </c>
      <c r="AA229" t="s">
        <v>135</v>
      </c>
      <c r="AB229" t="s">
        <v>135</v>
      </c>
      <c r="AC229" t="s">
        <v>135</v>
      </c>
      <c r="AD229" t="s">
        <v>135</v>
      </c>
      <c r="AE229" t="s">
        <v>135</v>
      </c>
      <c r="AF229" t="s">
        <v>135</v>
      </c>
      <c r="AG229" t="s">
        <v>135</v>
      </c>
      <c r="AH229" t="s">
        <v>135</v>
      </c>
      <c r="AI229" t="s">
        <v>135</v>
      </c>
      <c r="AJ229" t="s">
        <v>135</v>
      </c>
      <c r="AK229" t="s">
        <v>135</v>
      </c>
      <c r="AL229" t="s">
        <v>135</v>
      </c>
      <c r="AM229">
        <v>49.791899999999998</v>
      </c>
      <c r="AN229" t="s">
        <v>135</v>
      </c>
      <c r="AO229" t="s">
        <v>135</v>
      </c>
      <c r="AP229" t="s">
        <v>135</v>
      </c>
      <c r="AQ229" t="s">
        <v>135</v>
      </c>
      <c r="AR229" t="s">
        <v>135</v>
      </c>
      <c r="AS229" t="s">
        <v>135</v>
      </c>
      <c r="AT229" t="s">
        <v>135</v>
      </c>
      <c r="AU229" t="s">
        <v>135</v>
      </c>
      <c r="AV229" t="s">
        <v>135</v>
      </c>
      <c r="AW229" t="s">
        <v>135</v>
      </c>
      <c r="AX229" t="s">
        <v>135</v>
      </c>
      <c r="AY229" t="s">
        <v>135</v>
      </c>
      <c r="AZ229" t="s">
        <v>135</v>
      </c>
      <c r="BA229" t="s">
        <v>135</v>
      </c>
      <c r="BB229" t="s">
        <v>135</v>
      </c>
      <c r="BC229" t="s">
        <v>135</v>
      </c>
      <c r="BD229" t="s">
        <v>135</v>
      </c>
      <c r="BE229" t="s">
        <v>135</v>
      </c>
      <c r="BF229">
        <v>-50.341099999999997</v>
      </c>
      <c r="BG229">
        <v>-76.805300000000003</v>
      </c>
      <c r="BH229">
        <v>-78.322900000000004</v>
      </c>
      <c r="BI229">
        <v>-78.406000000000006</v>
      </c>
      <c r="BJ229">
        <v>-79.487200000000001</v>
      </c>
      <c r="BK229" t="s">
        <v>135</v>
      </c>
      <c r="BL229" t="s">
        <v>135</v>
      </c>
      <c r="BM229" t="s">
        <v>135</v>
      </c>
      <c r="BN229" t="s">
        <v>135</v>
      </c>
      <c r="BO229" t="s">
        <v>135</v>
      </c>
      <c r="BP229" t="s">
        <v>135</v>
      </c>
      <c r="BQ229" t="s">
        <v>135</v>
      </c>
      <c r="BR229" t="s">
        <v>135</v>
      </c>
      <c r="BS229" t="s">
        <v>135</v>
      </c>
      <c r="BT229" t="s">
        <v>135</v>
      </c>
      <c r="BU229" t="s">
        <v>135</v>
      </c>
      <c r="BV229" t="s">
        <v>135</v>
      </c>
      <c r="BW229" t="s">
        <v>135</v>
      </c>
      <c r="BX229" t="s">
        <v>135</v>
      </c>
      <c r="BY229" t="s">
        <v>135</v>
      </c>
      <c r="BZ229" t="s">
        <v>135</v>
      </c>
      <c r="CA229" t="s">
        <v>135</v>
      </c>
      <c r="CB229" t="s">
        <v>135</v>
      </c>
      <c r="CC229" t="s">
        <v>135</v>
      </c>
      <c r="CD229" t="s">
        <v>135</v>
      </c>
      <c r="CE229" t="s">
        <v>135</v>
      </c>
      <c r="CF229" t="s">
        <v>135</v>
      </c>
      <c r="CG229" t="s">
        <v>135</v>
      </c>
      <c r="CH229" t="s">
        <v>135</v>
      </c>
      <c r="CI229" t="s">
        <v>135</v>
      </c>
      <c r="CJ229" t="s">
        <v>135</v>
      </c>
      <c r="CK229" t="s">
        <v>135</v>
      </c>
      <c r="CL229" t="s">
        <v>135</v>
      </c>
      <c r="CM229" t="s">
        <v>135</v>
      </c>
      <c r="CN229" t="s">
        <v>135</v>
      </c>
      <c r="CO229" t="s">
        <v>135</v>
      </c>
      <c r="CP229">
        <v>106</v>
      </c>
      <c r="CQ229" t="s">
        <v>135</v>
      </c>
      <c r="CR229">
        <v>97.2</v>
      </c>
      <c r="CS229" t="s">
        <v>135</v>
      </c>
      <c r="CT229" t="s">
        <v>135</v>
      </c>
      <c r="CU229" t="s">
        <v>135</v>
      </c>
      <c r="CV229" t="s">
        <v>135</v>
      </c>
      <c r="CW229" t="s">
        <v>135</v>
      </c>
      <c r="CX229" t="s">
        <v>135</v>
      </c>
      <c r="CY229" t="s">
        <v>135</v>
      </c>
      <c r="CZ229" t="s">
        <v>135</v>
      </c>
      <c r="DA229" t="s">
        <v>135</v>
      </c>
      <c r="DB229" t="s">
        <v>135</v>
      </c>
      <c r="DC229" t="s">
        <v>135</v>
      </c>
      <c r="DD229" t="s">
        <v>135</v>
      </c>
      <c r="DE229" t="s">
        <v>135</v>
      </c>
      <c r="DF229" t="s">
        <v>135</v>
      </c>
      <c r="DG229" t="s">
        <v>135</v>
      </c>
      <c r="DH229" t="s">
        <v>135</v>
      </c>
      <c r="DI229" t="s">
        <v>135</v>
      </c>
    </row>
    <row r="230" spans="1:113" x14ac:dyDescent="0.3">
      <c r="E230" t="s">
        <v>79</v>
      </c>
      <c r="F230">
        <v>19.904199999999999</v>
      </c>
      <c r="G230">
        <v>10.622400000000001</v>
      </c>
      <c r="H230" t="s">
        <v>135</v>
      </c>
      <c r="I230">
        <v>12.5763</v>
      </c>
      <c r="J230">
        <v>-29.876200000000001</v>
      </c>
      <c r="K230">
        <v>-33.359099999999998</v>
      </c>
      <c r="L230">
        <v>71.319699999999997</v>
      </c>
      <c r="M230">
        <v>-29.6053</v>
      </c>
      <c r="N230">
        <v>-29.6053</v>
      </c>
      <c r="O230">
        <v>-29.6053</v>
      </c>
      <c r="P230">
        <v>-29.6053</v>
      </c>
      <c r="Q230" t="s">
        <v>135</v>
      </c>
      <c r="R230" t="s">
        <v>135</v>
      </c>
      <c r="S230" t="s">
        <v>135</v>
      </c>
      <c r="T230">
        <v>432.7835</v>
      </c>
      <c r="U230">
        <v>66.051000000000002</v>
      </c>
      <c r="V230">
        <v>63.459099999999999</v>
      </c>
      <c r="W230">
        <v>68.283600000000007</v>
      </c>
      <c r="X230">
        <v>72.881399999999999</v>
      </c>
      <c r="Y230" t="s">
        <v>135</v>
      </c>
      <c r="Z230">
        <v>-7.1828000000000003</v>
      </c>
      <c r="AA230" t="s">
        <v>135</v>
      </c>
      <c r="AB230">
        <v>-0.59350000000000003</v>
      </c>
      <c r="AC230">
        <v>-3.5215000000000001</v>
      </c>
      <c r="AD230">
        <v>-7.1828000000000003</v>
      </c>
      <c r="AE230">
        <v>4.2206000000000001</v>
      </c>
      <c r="AF230" t="s">
        <v>135</v>
      </c>
      <c r="AG230">
        <v>-29.261600000000001</v>
      </c>
      <c r="AH230">
        <v>-28.345600000000001</v>
      </c>
      <c r="AI230">
        <v>2.1120000000000001</v>
      </c>
      <c r="AJ230">
        <v>-10.8498</v>
      </c>
      <c r="AK230">
        <v>2.0688</v>
      </c>
      <c r="AL230" t="s">
        <v>135</v>
      </c>
      <c r="AM230">
        <v>91.627799999999993</v>
      </c>
      <c r="AN230" t="s">
        <v>135</v>
      </c>
      <c r="AO230" t="s">
        <v>135</v>
      </c>
      <c r="AP230" t="s">
        <v>135</v>
      </c>
      <c r="AQ230" t="s">
        <v>135</v>
      </c>
      <c r="AR230" t="s">
        <v>135</v>
      </c>
      <c r="AS230" t="s">
        <v>135</v>
      </c>
      <c r="AT230" t="s">
        <v>135</v>
      </c>
      <c r="AU230" t="s">
        <v>135</v>
      </c>
      <c r="AV230" t="s">
        <v>135</v>
      </c>
      <c r="AW230" t="s">
        <v>135</v>
      </c>
      <c r="AX230" t="s">
        <v>135</v>
      </c>
      <c r="AY230" t="s">
        <v>135</v>
      </c>
      <c r="AZ230" t="s">
        <v>135</v>
      </c>
      <c r="BA230" t="s">
        <v>135</v>
      </c>
      <c r="BB230" t="s">
        <v>135</v>
      </c>
      <c r="BC230" t="s">
        <v>135</v>
      </c>
      <c r="BD230" t="s">
        <v>135</v>
      </c>
      <c r="BE230" t="s">
        <v>135</v>
      </c>
      <c r="BF230">
        <v>-27.558199999999999</v>
      </c>
      <c r="BG230">
        <v>-172.83019999999999</v>
      </c>
      <c r="BH230">
        <v>-188.6831</v>
      </c>
      <c r="BI230">
        <v>-180.44159999999999</v>
      </c>
      <c r="BJ230">
        <v>-180</v>
      </c>
      <c r="BK230" t="s">
        <v>135</v>
      </c>
      <c r="BL230" t="s">
        <v>135</v>
      </c>
      <c r="BM230" t="s">
        <v>135</v>
      </c>
      <c r="BN230" t="s">
        <v>135</v>
      </c>
      <c r="BO230" t="s">
        <v>135</v>
      </c>
      <c r="BP230" t="s">
        <v>135</v>
      </c>
      <c r="BQ230" t="s">
        <v>135</v>
      </c>
      <c r="BR230" t="s">
        <v>135</v>
      </c>
      <c r="BS230" t="s">
        <v>135</v>
      </c>
      <c r="BT230" t="s">
        <v>135</v>
      </c>
      <c r="BU230" t="s">
        <v>135</v>
      </c>
      <c r="BV230" t="s">
        <v>135</v>
      </c>
      <c r="BW230" t="s">
        <v>135</v>
      </c>
      <c r="BX230" t="s">
        <v>135</v>
      </c>
      <c r="BY230">
        <v>575.6</v>
      </c>
      <c r="BZ230">
        <v>537.4</v>
      </c>
      <c r="CA230">
        <v>38.200000000000003</v>
      </c>
      <c r="CB230">
        <v>2.1936</v>
      </c>
      <c r="CC230">
        <v>0.44169999999999998</v>
      </c>
      <c r="CD230">
        <v>2.5312000000000001</v>
      </c>
      <c r="CE230">
        <v>0.50970000000000004</v>
      </c>
      <c r="CF230" t="s">
        <v>135</v>
      </c>
      <c r="CG230">
        <v>54.909700000000001</v>
      </c>
      <c r="CH230">
        <v>3.4500999999999999</v>
      </c>
      <c r="CI230">
        <v>2.27</v>
      </c>
      <c r="CJ230">
        <v>1.8944999999999999</v>
      </c>
      <c r="CK230">
        <v>51.987000000000002</v>
      </c>
      <c r="CL230">
        <v>34.204900000000002</v>
      </c>
      <c r="CM230">
        <v>28.5459</v>
      </c>
      <c r="CN230">
        <v>10.4678</v>
      </c>
      <c r="CO230">
        <v>9.4758999999999993</v>
      </c>
      <c r="CP230">
        <v>-77.2</v>
      </c>
      <c r="CQ230" t="s">
        <v>135</v>
      </c>
      <c r="CR230">
        <v>-86.2</v>
      </c>
      <c r="CS230">
        <v>0.54079999999999995</v>
      </c>
      <c r="CT230">
        <v>1.5491000000000001</v>
      </c>
      <c r="CU230">
        <v>0.8145</v>
      </c>
      <c r="CV230">
        <v>21.8736</v>
      </c>
      <c r="CW230">
        <v>5.6936999999999998</v>
      </c>
      <c r="CX230">
        <v>64.105800000000002</v>
      </c>
      <c r="CY230" t="s">
        <v>135</v>
      </c>
      <c r="CZ230" t="s">
        <v>135</v>
      </c>
      <c r="DA230" t="s">
        <v>135</v>
      </c>
      <c r="DB230" t="s">
        <v>135</v>
      </c>
      <c r="DC230" t="s">
        <v>135</v>
      </c>
      <c r="DD230" t="s">
        <v>135</v>
      </c>
      <c r="DE230" t="s">
        <v>135</v>
      </c>
      <c r="DF230" t="s">
        <v>135</v>
      </c>
      <c r="DG230" t="s">
        <v>135</v>
      </c>
      <c r="DH230" t="s">
        <v>135</v>
      </c>
      <c r="DI230" t="s">
        <v>135</v>
      </c>
    </row>
    <row r="231" spans="1:113" x14ac:dyDescent="0.3">
      <c r="E231" t="s">
        <v>80</v>
      </c>
      <c r="F231" t="s">
        <v>135</v>
      </c>
      <c r="G231" t="s">
        <v>135</v>
      </c>
      <c r="H231" t="s">
        <v>135</v>
      </c>
      <c r="I231" t="s">
        <v>135</v>
      </c>
      <c r="J231">
        <v>56.092100000000002</v>
      </c>
      <c r="K231">
        <v>54.662399999999998</v>
      </c>
      <c r="L231">
        <v>98.093000000000004</v>
      </c>
      <c r="M231">
        <v>56.5687</v>
      </c>
      <c r="N231">
        <v>49.197800000000001</v>
      </c>
      <c r="O231">
        <v>49.197800000000001</v>
      </c>
      <c r="P231">
        <v>49.197800000000001</v>
      </c>
      <c r="Q231">
        <v>13.03</v>
      </c>
      <c r="R231" t="s">
        <v>135</v>
      </c>
      <c r="S231" t="s">
        <v>135</v>
      </c>
      <c r="T231">
        <v>1391.7062000000001</v>
      </c>
      <c r="U231" t="s">
        <v>135</v>
      </c>
      <c r="V231" t="s">
        <v>135</v>
      </c>
      <c r="W231" t="s">
        <v>135</v>
      </c>
      <c r="X231" t="s">
        <v>135</v>
      </c>
      <c r="Y231" t="s">
        <v>135</v>
      </c>
      <c r="Z231" t="s">
        <v>135</v>
      </c>
      <c r="AA231" t="s">
        <v>135</v>
      </c>
      <c r="AB231" t="s">
        <v>135</v>
      </c>
      <c r="AC231" t="s">
        <v>135</v>
      </c>
      <c r="AD231" t="s">
        <v>135</v>
      </c>
      <c r="AE231" t="s">
        <v>135</v>
      </c>
      <c r="AF231" t="s">
        <v>135</v>
      </c>
      <c r="AG231" t="s">
        <v>135</v>
      </c>
      <c r="AH231" t="s">
        <v>135</v>
      </c>
      <c r="AI231" t="s">
        <v>135</v>
      </c>
      <c r="AJ231" t="s">
        <v>135</v>
      </c>
      <c r="AK231" t="s">
        <v>135</v>
      </c>
      <c r="AL231" t="s">
        <v>135</v>
      </c>
      <c r="AM231">
        <v>102.47190000000001</v>
      </c>
      <c r="AN231" t="s">
        <v>135</v>
      </c>
      <c r="AO231" t="s">
        <v>135</v>
      </c>
      <c r="AP231" t="s">
        <v>135</v>
      </c>
      <c r="AQ231" t="s">
        <v>135</v>
      </c>
      <c r="AR231" t="s">
        <v>135</v>
      </c>
      <c r="AS231" t="s">
        <v>135</v>
      </c>
      <c r="AT231" t="s">
        <v>135</v>
      </c>
      <c r="AU231" t="s">
        <v>135</v>
      </c>
      <c r="AV231" t="s">
        <v>135</v>
      </c>
      <c r="AW231" t="s">
        <v>135</v>
      </c>
      <c r="AX231" t="s">
        <v>135</v>
      </c>
      <c r="AY231" t="s">
        <v>135</v>
      </c>
      <c r="AZ231" t="s">
        <v>135</v>
      </c>
      <c r="BA231" t="s">
        <v>135</v>
      </c>
      <c r="BB231" t="s">
        <v>135</v>
      </c>
      <c r="BC231" t="s">
        <v>135</v>
      </c>
      <c r="BD231" t="s">
        <v>135</v>
      </c>
      <c r="BE231" t="s">
        <v>135</v>
      </c>
      <c r="BF231">
        <v>143.6146</v>
      </c>
      <c r="BG231" t="s">
        <v>135</v>
      </c>
      <c r="BH231" t="s">
        <v>135</v>
      </c>
      <c r="BI231" t="s">
        <v>135</v>
      </c>
      <c r="BJ231" t="s">
        <v>135</v>
      </c>
      <c r="BK231" t="s">
        <v>135</v>
      </c>
      <c r="BL231" t="s">
        <v>135</v>
      </c>
      <c r="BM231" t="s">
        <v>135</v>
      </c>
      <c r="BN231" t="s">
        <v>135</v>
      </c>
      <c r="BO231" t="s">
        <v>135</v>
      </c>
      <c r="BP231" t="s">
        <v>135</v>
      </c>
      <c r="BQ231" t="s">
        <v>135</v>
      </c>
      <c r="BR231" t="s">
        <v>135</v>
      </c>
      <c r="BS231" t="s">
        <v>135</v>
      </c>
      <c r="BT231" t="s">
        <v>135</v>
      </c>
      <c r="BU231" t="s">
        <v>135</v>
      </c>
      <c r="BV231" t="s">
        <v>135</v>
      </c>
      <c r="BW231" t="s">
        <v>135</v>
      </c>
      <c r="BX231" t="s">
        <v>135</v>
      </c>
      <c r="BY231" t="s">
        <v>135</v>
      </c>
      <c r="BZ231" t="s">
        <v>135</v>
      </c>
      <c r="CA231" t="s">
        <v>135</v>
      </c>
      <c r="CB231" t="s">
        <v>135</v>
      </c>
      <c r="CC231" t="s">
        <v>135</v>
      </c>
      <c r="CD231" t="s">
        <v>135</v>
      </c>
      <c r="CE231" t="s">
        <v>135</v>
      </c>
      <c r="CF231" t="s">
        <v>135</v>
      </c>
      <c r="CG231" t="s">
        <v>135</v>
      </c>
      <c r="CH231" t="s">
        <v>135</v>
      </c>
      <c r="CI231" t="s">
        <v>135</v>
      </c>
      <c r="CJ231" t="s">
        <v>135</v>
      </c>
      <c r="CK231" t="s">
        <v>135</v>
      </c>
      <c r="CL231" t="s">
        <v>135</v>
      </c>
      <c r="CM231" t="s">
        <v>135</v>
      </c>
      <c r="CN231" t="s">
        <v>135</v>
      </c>
      <c r="CO231" t="s">
        <v>135</v>
      </c>
      <c r="CP231">
        <v>353.1</v>
      </c>
      <c r="CQ231" t="s">
        <v>135</v>
      </c>
      <c r="CR231">
        <v>344.1</v>
      </c>
      <c r="CS231" t="s">
        <v>135</v>
      </c>
      <c r="CT231" t="s">
        <v>135</v>
      </c>
      <c r="CU231" t="s">
        <v>135</v>
      </c>
      <c r="CV231" t="s">
        <v>135</v>
      </c>
      <c r="CW231" t="s">
        <v>135</v>
      </c>
      <c r="CX231" t="s">
        <v>135</v>
      </c>
      <c r="CY231" t="s">
        <v>135</v>
      </c>
      <c r="CZ231" t="s">
        <v>135</v>
      </c>
      <c r="DA231" t="s">
        <v>135</v>
      </c>
      <c r="DB231" t="s">
        <v>135</v>
      </c>
      <c r="DC231" t="s">
        <v>135</v>
      </c>
      <c r="DD231" t="s">
        <v>135</v>
      </c>
      <c r="DE231" t="s">
        <v>135</v>
      </c>
      <c r="DF231" t="s">
        <v>135</v>
      </c>
      <c r="DG231" t="s">
        <v>135</v>
      </c>
      <c r="DH231" t="s">
        <v>135</v>
      </c>
      <c r="DI231" t="s">
        <v>135</v>
      </c>
    </row>
    <row r="232" spans="1:113" x14ac:dyDescent="0.3">
      <c r="E232" t="s">
        <v>81</v>
      </c>
      <c r="F232">
        <v>24.478300000000001</v>
      </c>
      <c r="G232">
        <v>15.448399999999999</v>
      </c>
      <c r="H232" t="s">
        <v>135</v>
      </c>
      <c r="I232">
        <v>15.7949</v>
      </c>
      <c r="J232">
        <v>-11.0406</v>
      </c>
      <c r="K232">
        <v>-13.1313</v>
      </c>
      <c r="L232">
        <v>-172.35130000000001</v>
      </c>
      <c r="M232">
        <v>-7.3996000000000004</v>
      </c>
      <c r="N232">
        <v>-5.8962000000000003</v>
      </c>
      <c r="O232">
        <v>-5.8962000000000003</v>
      </c>
      <c r="P232">
        <v>-5.8962000000000003</v>
      </c>
      <c r="Q232" t="s">
        <v>135</v>
      </c>
      <c r="R232" t="s">
        <v>135</v>
      </c>
      <c r="S232" t="s">
        <v>135</v>
      </c>
      <c r="T232">
        <v>-40.735100000000003</v>
      </c>
      <c r="U232" t="s">
        <v>135</v>
      </c>
      <c r="V232" t="s">
        <v>135</v>
      </c>
      <c r="W232" t="s">
        <v>135</v>
      </c>
      <c r="X232" t="s">
        <v>135</v>
      </c>
      <c r="Y232" t="s">
        <v>135</v>
      </c>
      <c r="Z232">
        <v>11.743500000000001</v>
      </c>
      <c r="AA232" t="s">
        <v>135</v>
      </c>
      <c r="AB232">
        <v>-0.70469999999999999</v>
      </c>
      <c r="AC232">
        <v>-12.1791</v>
      </c>
      <c r="AD232" t="s">
        <v>135</v>
      </c>
      <c r="AE232">
        <v>59.301600000000001</v>
      </c>
      <c r="AF232">
        <v>132.51650000000001</v>
      </c>
      <c r="AG232">
        <v>-98.210800000000006</v>
      </c>
      <c r="AH232">
        <v>-93.588099999999997</v>
      </c>
      <c r="AI232">
        <v>28.4681</v>
      </c>
      <c r="AJ232">
        <v>-23.675699999999999</v>
      </c>
      <c r="AK232">
        <v>28.4681</v>
      </c>
      <c r="AL232" t="s">
        <v>135</v>
      </c>
      <c r="AM232">
        <v>9.0835000000000008</v>
      </c>
      <c r="AN232" t="s">
        <v>135</v>
      </c>
      <c r="AO232" t="s">
        <v>135</v>
      </c>
      <c r="AP232" t="s">
        <v>135</v>
      </c>
      <c r="AQ232" t="s">
        <v>135</v>
      </c>
      <c r="AR232" t="s">
        <v>135</v>
      </c>
      <c r="AS232">
        <v>122.922</v>
      </c>
      <c r="AT232" t="s">
        <v>135</v>
      </c>
      <c r="AU232">
        <v>2.6406000000000001</v>
      </c>
      <c r="AV232">
        <v>24.421700000000001</v>
      </c>
      <c r="AW232" t="s">
        <v>135</v>
      </c>
      <c r="AX232" t="s">
        <v>135</v>
      </c>
      <c r="AY232" t="s">
        <v>135</v>
      </c>
      <c r="AZ232">
        <v>-4.4481000000000002</v>
      </c>
      <c r="BA232">
        <v>24.7163</v>
      </c>
      <c r="BB232">
        <v>31.313800000000001</v>
      </c>
      <c r="BC232">
        <v>31.038399999999999</v>
      </c>
      <c r="BD232">
        <v>28.2743</v>
      </c>
      <c r="BE232" t="s">
        <v>135</v>
      </c>
      <c r="BF232">
        <v>-32.374899999999997</v>
      </c>
      <c r="BG232">
        <v>-113.3107</v>
      </c>
      <c r="BH232">
        <v>-116.2453</v>
      </c>
      <c r="BI232">
        <v>-108.1046</v>
      </c>
      <c r="BJ232">
        <v>-108.3969</v>
      </c>
      <c r="BK232" t="s">
        <v>135</v>
      </c>
      <c r="BL232" t="s">
        <v>135</v>
      </c>
      <c r="BM232" t="s">
        <v>135</v>
      </c>
      <c r="BN232" t="s">
        <v>135</v>
      </c>
      <c r="BO232" t="s">
        <v>135</v>
      </c>
      <c r="BP232" t="s">
        <v>135</v>
      </c>
      <c r="BQ232" t="s">
        <v>135</v>
      </c>
      <c r="BR232" t="s">
        <v>135</v>
      </c>
      <c r="BS232" t="s">
        <v>135</v>
      </c>
      <c r="BT232" t="s">
        <v>135</v>
      </c>
      <c r="BU232" t="s">
        <v>135</v>
      </c>
      <c r="BV232" t="s">
        <v>135</v>
      </c>
      <c r="BW232" t="s">
        <v>135</v>
      </c>
      <c r="BX232" t="s">
        <v>135</v>
      </c>
      <c r="BY232">
        <v>51.854999999999997</v>
      </c>
      <c r="BZ232">
        <v>13.689</v>
      </c>
      <c r="CA232">
        <v>38.165999999999997</v>
      </c>
      <c r="CB232">
        <v>0.15479999999999999</v>
      </c>
      <c r="CC232">
        <v>-0.23499999999999999</v>
      </c>
      <c r="CD232">
        <v>0.17330000000000001</v>
      </c>
      <c r="CE232">
        <v>-0.26300000000000001</v>
      </c>
      <c r="CF232" t="s">
        <v>135</v>
      </c>
      <c r="CG232">
        <v>75.896000000000001</v>
      </c>
      <c r="CH232">
        <v>2.7399</v>
      </c>
      <c r="CI232">
        <v>2.6414999999999997</v>
      </c>
      <c r="CJ232">
        <v>2.0794000000000001</v>
      </c>
      <c r="CK232">
        <v>3.7225999999999999</v>
      </c>
      <c r="CL232">
        <v>3.589</v>
      </c>
      <c r="CM232">
        <v>2.8252999999999999</v>
      </c>
      <c r="CN232">
        <v>-5.6495999999999995</v>
      </c>
      <c r="CO232">
        <v>-5.9878999999999998</v>
      </c>
      <c r="CP232">
        <v>-47</v>
      </c>
      <c r="CQ232" t="s">
        <v>135</v>
      </c>
      <c r="CR232">
        <v>-55.9</v>
      </c>
      <c r="CS232">
        <v>0.33660000000000001</v>
      </c>
      <c r="CT232">
        <v>2.8388</v>
      </c>
      <c r="CU232">
        <v>1.0584</v>
      </c>
      <c r="CV232">
        <v>47.787799999999997</v>
      </c>
      <c r="CW232">
        <v>6.2964000000000002</v>
      </c>
      <c r="CX232">
        <v>57.969200000000001</v>
      </c>
      <c r="CY232" t="s">
        <v>135</v>
      </c>
      <c r="CZ232" t="s">
        <v>135</v>
      </c>
      <c r="DA232">
        <v>0.37659999999999999</v>
      </c>
      <c r="DB232">
        <v>969.22080000000005</v>
      </c>
      <c r="DC232" t="s">
        <v>135</v>
      </c>
      <c r="DD232" t="s">
        <v>135</v>
      </c>
      <c r="DE232">
        <v>0</v>
      </c>
      <c r="DF232">
        <v>0</v>
      </c>
      <c r="DG232">
        <v>0</v>
      </c>
      <c r="DH232">
        <v>0</v>
      </c>
      <c r="DI232">
        <v>0</v>
      </c>
    </row>
    <row r="233" spans="1:113" x14ac:dyDescent="0.3">
      <c r="D233" t="s">
        <v>82</v>
      </c>
      <c r="E233" t="s">
        <v>77</v>
      </c>
      <c r="F233">
        <v>-33.057699999999997</v>
      </c>
      <c r="G233">
        <v>-24.229900000000001</v>
      </c>
      <c r="H233">
        <v>-31.692599999999999</v>
      </c>
      <c r="I233">
        <v>-33.289400000000001</v>
      </c>
      <c r="J233">
        <v>-22.3565</v>
      </c>
      <c r="K233">
        <v>-27.184000000000001</v>
      </c>
      <c r="L233">
        <v>-639.85940000000005</v>
      </c>
      <c r="M233">
        <v>-25.376000000000001</v>
      </c>
      <c r="N233">
        <v>-25.376000000000001</v>
      </c>
      <c r="O233">
        <v>-25.376000000000001</v>
      </c>
      <c r="P233">
        <v>-25.376000000000001</v>
      </c>
      <c r="Q233" t="s">
        <v>135</v>
      </c>
      <c r="R233" t="s">
        <v>135</v>
      </c>
      <c r="S233" t="s">
        <v>135</v>
      </c>
      <c r="T233">
        <v>-6.7606000000000002</v>
      </c>
      <c r="U233" t="s">
        <v>135</v>
      </c>
      <c r="V233" t="s">
        <v>135</v>
      </c>
      <c r="W233" t="s">
        <v>135</v>
      </c>
      <c r="X233" t="s">
        <v>135</v>
      </c>
      <c r="Y233" t="s">
        <v>135</v>
      </c>
      <c r="Z233">
        <v>-28.972899999999999</v>
      </c>
      <c r="AA233" t="s">
        <v>135</v>
      </c>
      <c r="AB233">
        <v>2.4</v>
      </c>
      <c r="AC233">
        <v>-22.267399999999999</v>
      </c>
      <c r="AD233">
        <v>-307.6857</v>
      </c>
      <c r="AE233">
        <v>-63.846800000000002</v>
      </c>
      <c r="AF233">
        <v>-9.1964000000000006</v>
      </c>
      <c r="AG233">
        <v>-31.2806</v>
      </c>
      <c r="AH233">
        <v>-18.771599999999999</v>
      </c>
      <c r="AI233">
        <v>-28.356400000000001</v>
      </c>
      <c r="AJ233">
        <v>-28.0124</v>
      </c>
      <c r="AK233">
        <v>-28.356400000000001</v>
      </c>
      <c r="AL233" t="s">
        <v>135</v>
      </c>
      <c r="AM233">
        <v>35.3401</v>
      </c>
      <c r="AN233" t="s">
        <v>135</v>
      </c>
      <c r="AO233" t="s">
        <v>135</v>
      </c>
      <c r="AP233" t="s">
        <v>135</v>
      </c>
      <c r="AQ233" t="s">
        <v>135</v>
      </c>
      <c r="AR233" t="s">
        <v>135</v>
      </c>
      <c r="AS233">
        <v>108.5911</v>
      </c>
      <c r="AT233" t="s">
        <v>135</v>
      </c>
      <c r="AU233">
        <v>1.2101999999999999</v>
      </c>
      <c r="AV233">
        <v>14.6341</v>
      </c>
      <c r="AW233" t="s">
        <v>135</v>
      </c>
      <c r="AX233" t="s">
        <v>135</v>
      </c>
      <c r="AY233" t="s">
        <v>135</v>
      </c>
      <c r="AZ233" t="s">
        <v>135</v>
      </c>
      <c r="BA233">
        <v>14.610300000000001</v>
      </c>
      <c r="BB233">
        <v>47.853700000000003</v>
      </c>
      <c r="BC233">
        <v>44.9514</v>
      </c>
      <c r="BD233">
        <v>44.431399999999996</v>
      </c>
      <c r="BE233" t="s">
        <v>135</v>
      </c>
      <c r="BF233">
        <v>-6.7606000000000002</v>
      </c>
      <c r="BG233">
        <v>-203.1037</v>
      </c>
      <c r="BH233">
        <v>-241.5034</v>
      </c>
      <c r="BI233">
        <v>-230.32499999999999</v>
      </c>
      <c r="BJ233">
        <v>-230.46879999999999</v>
      </c>
      <c r="BK233" t="s">
        <v>135</v>
      </c>
      <c r="BL233">
        <v>-28.972899999999999</v>
      </c>
      <c r="BM233" t="s">
        <v>135</v>
      </c>
      <c r="BN233">
        <v>2.4</v>
      </c>
      <c r="BO233">
        <v>-22.267399999999999</v>
      </c>
      <c r="BP233" t="s">
        <v>135</v>
      </c>
      <c r="BQ233">
        <v>-63.846800000000002</v>
      </c>
      <c r="BR233">
        <v>-9.1964000000000006</v>
      </c>
      <c r="BS233">
        <v>-31.2806</v>
      </c>
      <c r="BT233">
        <v>-18.771599999999999</v>
      </c>
      <c r="BU233">
        <v>-28.356400000000001</v>
      </c>
      <c r="BV233">
        <v>-28.0124</v>
      </c>
      <c r="BW233">
        <v>-28.356400000000001</v>
      </c>
      <c r="BX233">
        <v>-223.04920000000001</v>
      </c>
      <c r="BY233">
        <v>42.121000000000002</v>
      </c>
      <c r="BZ233">
        <v>9.407</v>
      </c>
      <c r="CA233">
        <v>32.713999999999999</v>
      </c>
      <c r="CB233" t="s">
        <v>135</v>
      </c>
      <c r="CC233" t="s">
        <v>135</v>
      </c>
      <c r="CD233" t="s">
        <v>135</v>
      </c>
      <c r="CE233" t="s">
        <v>135</v>
      </c>
      <c r="CF233">
        <v>-159.49379999999999</v>
      </c>
      <c r="CG233">
        <v>69.950800000000001</v>
      </c>
      <c r="CH233">
        <v>3.278</v>
      </c>
      <c r="CI233">
        <v>3.1453000000000002</v>
      </c>
      <c r="CJ233">
        <v>2.2930000000000001</v>
      </c>
      <c r="CK233">
        <v>4.2206000000000001</v>
      </c>
      <c r="CL233">
        <v>4.0496999999999996</v>
      </c>
      <c r="CM233">
        <v>2.9523000000000001</v>
      </c>
      <c r="CN233">
        <v>-6.4466000000000001</v>
      </c>
      <c r="CO233">
        <v>-6.8908000000000005</v>
      </c>
      <c r="CP233">
        <v>-348.17500000000001</v>
      </c>
      <c r="CQ233">
        <v>-429.12400000000002</v>
      </c>
      <c r="CR233">
        <v>-423.35700000000003</v>
      </c>
      <c r="CS233">
        <v>0.28660000000000002</v>
      </c>
      <c r="CT233">
        <v>1.6941999999999999</v>
      </c>
      <c r="CU233">
        <v>0.82189999999999996</v>
      </c>
      <c r="CV233">
        <v>161.78100000000001</v>
      </c>
      <c r="CW233">
        <v>6.5045999999999999</v>
      </c>
      <c r="CX233">
        <v>56.114600000000003</v>
      </c>
      <c r="CY233" t="s">
        <v>135</v>
      </c>
      <c r="CZ233" t="s">
        <v>135</v>
      </c>
      <c r="DA233">
        <v>0.35580000000000001</v>
      </c>
      <c r="DB233">
        <v>1025.9151999999999</v>
      </c>
      <c r="DC233" t="s">
        <v>135</v>
      </c>
      <c r="DD233" t="s">
        <v>135</v>
      </c>
      <c r="DE233">
        <v>0</v>
      </c>
      <c r="DF233">
        <v>0</v>
      </c>
      <c r="DG233">
        <v>0</v>
      </c>
      <c r="DH233">
        <v>0</v>
      </c>
      <c r="DI233">
        <v>0</v>
      </c>
    </row>
    <row r="234" spans="1:113" x14ac:dyDescent="0.3">
      <c r="E234" t="s">
        <v>78</v>
      </c>
      <c r="F234" t="s">
        <v>135</v>
      </c>
      <c r="G234" t="s">
        <v>135</v>
      </c>
      <c r="H234" t="s">
        <v>135</v>
      </c>
      <c r="I234" t="s">
        <v>135</v>
      </c>
      <c r="J234">
        <v>-26.499300000000002</v>
      </c>
      <c r="K234">
        <v>-30.962299999999999</v>
      </c>
      <c r="L234" t="s">
        <v>135</v>
      </c>
      <c r="M234">
        <v>-27.168800000000001</v>
      </c>
      <c r="N234">
        <v>-27.168800000000001</v>
      </c>
      <c r="O234">
        <v>-27.168800000000001</v>
      </c>
      <c r="P234">
        <v>-27.168800000000001</v>
      </c>
      <c r="Q234" t="s">
        <v>135</v>
      </c>
      <c r="R234" t="s">
        <v>135</v>
      </c>
      <c r="S234" t="s">
        <v>135</v>
      </c>
      <c r="T234">
        <v>0.50460000000000005</v>
      </c>
      <c r="U234" t="s">
        <v>135</v>
      </c>
      <c r="V234" t="s">
        <v>135</v>
      </c>
      <c r="W234" t="s">
        <v>135</v>
      </c>
      <c r="X234" t="s">
        <v>135</v>
      </c>
      <c r="Y234" t="s">
        <v>135</v>
      </c>
      <c r="Z234" t="s">
        <v>135</v>
      </c>
      <c r="AA234" t="s">
        <v>135</v>
      </c>
      <c r="AB234" t="s">
        <v>135</v>
      </c>
      <c r="AC234" t="s">
        <v>135</v>
      </c>
      <c r="AD234" t="s">
        <v>135</v>
      </c>
      <c r="AE234" t="s">
        <v>135</v>
      </c>
      <c r="AF234" t="s">
        <v>135</v>
      </c>
      <c r="AG234" t="s">
        <v>135</v>
      </c>
      <c r="AH234" t="s">
        <v>135</v>
      </c>
      <c r="AI234" t="s">
        <v>135</v>
      </c>
      <c r="AJ234" t="s">
        <v>135</v>
      </c>
      <c r="AK234" t="s">
        <v>135</v>
      </c>
      <c r="AL234" t="s">
        <v>135</v>
      </c>
      <c r="AM234">
        <v>66.879099999999994</v>
      </c>
      <c r="AN234" t="s">
        <v>135</v>
      </c>
      <c r="AO234" t="s">
        <v>135</v>
      </c>
      <c r="AP234" t="s">
        <v>135</v>
      </c>
      <c r="AQ234" t="s">
        <v>135</v>
      </c>
      <c r="AR234" t="s">
        <v>135</v>
      </c>
      <c r="AS234" t="s">
        <v>135</v>
      </c>
      <c r="AT234" t="s">
        <v>135</v>
      </c>
      <c r="AU234" t="s">
        <v>135</v>
      </c>
      <c r="AV234" t="s">
        <v>135</v>
      </c>
      <c r="AW234" t="s">
        <v>135</v>
      </c>
      <c r="AX234" t="s">
        <v>135</v>
      </c>
      <c r="AY234" t="s">
        <v>135</v>
      </c>
      <c r="AZ234" t="s">
        <v>135</v>
      </c>
      <c r="BA234" t="s">
        <v>135</v>
      </c>
      <c r="BB234" t="s">
        <v>135</v>
      </c>
      <c r="BC234" t="s">
        <v>135</v>
      </c>
      <c r="BD234" t="s">
        <v>135</v>
      </c>
      <c r="BE234" t="s">
        <v>135</v>
      </c>
      <c r="BF234">
        <v>-15.7858</v>
      </c>
      <c r="BG234" t="s">
        <v>135</v>
      </c>
      <c r="BH234" t="s">
        <v>135</v>
      </c>
      <c r="BI234" t="s">
        <v>135</v>
      </c>
      <c r="BJ234" t="s">
        <v>135</v>
      </c>
      <c r="BK234" t="s">
        <v>135</v>
      </c>
      <c r="BL234" t="s">
        <v>135</v>
      </c>
      <c r="BM234" t="s">
        <v>135</v>
      </c>
      <c r="BN234" t="s">
        <v>135</v>
      </c>
      <c r="BO234" t="s">
        <v>135</v>
      </c>
      <c r="BP234" t="s">
        <v>135</v>
      </c>
      <c r="BQ234" t="s">
        <v>135</v>
      </c>
      <c r="BR234" t="s">
        <v>135</v>
      </c>
      <c r="BS234" t="s">
        <v>135</v>
      </c>
      <c r="BT234" t="s">
        <v>135</v>
      </c>
      <c r="BU234" t="s">
        <v>135</v>
      </c>
      <c r="BV234" t="s">
        <v>135</v>
      </c>
      <c r="BW234" t="s">
        <v>135</v>
      </c>
      <c r="BX234" t="s">
        <v>135</v>
      </c>
      <c r="BY234" t="s">
        <v>135</v>
      </c>
      <c r="BZ234" t="s">
        <v>135</v>
      </c>
      <c r="CA234" t="s">
        <v>135</v>
      </c>
      <c r="CB234" t="s">
        <v>135</v>
      </c>
      <c r="CC234" t="s">
        <v>135</v>
      </c>
      <c r="CD234" t="s">
        <v>135</v>
      </c>
      <c r="CE234" t="s">
        <v>135</v>
      </c>
      <c r="CF234" t="s">
        <v>135</v>
      </c>
      <c r="CG234" t="s">
        <v>135</v>
      </c>
      <c r="CH234" t="s">
        <v>135</v>
      </c>
      <c r="CI234" t="s">
        <v>135</v>
      </c>
      <c r="CJ234" t="s">
        <v>135</v>
      </c>
      <c r="CK234" t="s">
        <v>135</v>
      </c>
      <c r="CL234" t="s">
        <v>135</v>
      </c>
      <c r="CM234" t="s">
        <v>135</v>
      </c>
      <c r="CN234" t="s">
        <v>135</v>
      </c>
      <c r="CO234" t="s">
        <v>135</v>
      </c>
      <c r="CP234">
        <v>-95</v>
      </c>
      <c r="CQ234" t="s">
        <v>135</v>
      </c>
      <c r="CR234">
        <v>-111</v>
      </c>
      <c r="CS234" t="s">
        <v>135</v>
      </c>
      <c r="CT234" t="s">
        <v>135</v>
      </c>
      <c r="CU234" t="s">
        <v>135</v>
      </c>
      <c r="CV234" t="s">
        <v>135</v>
      </c>
      <c r="CW234" t="s">
        <v>135</v>
      </c>
      <c r="CX234" t="s">
        <v>135</v>
      </c>
      <c r="CY234" t="s">
        <v>135</v>
      </c>
      <c r="CZ234" t="s">
        <v>135</v>
      </c>
      <c r="DA234" t="s">
        <v>135</v>
      </c>
      <c r="DB234" t="s">
        <v>135</v>
      </c>
      <c r="DC234" t="s">
        <v>135</v>
      </c>
      <c r="DD234" t="s">
        <v>135</v>
      </c>
      <c r="DE234" t="s">
        <v>135</v>
      </c>
      <c r="DF234" t="s">
        <v>135</v>
      </c>
      <c r="DG234" t="s">
        <v>135</v>
      </c>
      <c r="DH234" t="s">
        <v>135</v>
      </c>
      <c r="DI234" t="s">
        <v>135</v>
      </c>
    </row>
    <row r="235" spans="1:113" x14ac:dyDescent="0.3">
      <c r="E235" t="s">
        <v>79</v>
      </c>
      <c r="F235">
        <v>14.445399999999999</v>
      </c>
      <c r="G235">
        <v>9.3500999999999994</v>
      </c>
      <c r="H235" t="s">
        <v>135</v>
      </c>
      <c r="I235">
        <v>8.3694000000000006</v>
      </c>
      <c r="J235">
        <v>-8.7099999999999997E-2</v>
      </c>
      <c r="K235">
        <v>-4.5742000000000003</v>
      </c>
      <c r="L235">
        <v>32.4863</v>
      </c>
      <c r="M235">
        <v>-3.2019000000000002</v>
      </c>
      <c r="N235">
        <v>-3.2019000000000002</v>
      </c>
      <c r="O235">
        <v>-3.2019000000000002</v>
      </c>
      <c r="P235">
        <v>-3.2019000000000002</v>
      </c>
      <c r="Q235" t="s">
        <v>135</v>
      </c>
      <c r="R235" t="s">
        <v>135</v>
      </c>
      <c r="S235" t="s">
        <v>135</v>
      </c>
      <c r="T235">
        <v>77.670299999999997</v>
      </c>
      <c r="U235">
        <v>99.481899999999996</v>
      </c>
      <c r="V235">
        <v>75.638099999999994</v>
      </c>
      <c r="W235">
        <v>80.784300000000002</v>
      </c>
      <c r="X235">
        <v>81.25</v>
      </c>
      <c r="Y235" t="s">
        <v>135</v>
      </c>
      <c r="Z235">
        <v>81.556299999999993</v>
      </c>
      <c r="AA235" t="s">
        <v>135</v>
      </c>
      <c r="AB235">
        <v>4.0723000000000003</v>
      </c>
      <c r="AC235">
        <v>-17.0105</v>
      </c>
      <c r="AD235">
        <v>81.556299999999993</v>
      </c>
      <c r="AE235">
        <v>22.027000000000001</v>
      </c>
      <c r="AF235" t="s">
        <v>135</v>
      </c>
      <c r="AG235">
        <v>-99.981399999999994</v>
      </c>
      <c r="AH235">
        <v>-94.301599999999993</v>
      </c>
      <c r="AI235">
        <v>15.706300000000001</v>
      </c>
      <c r="AJ235">
        <v>-21.921800000000001</v>
      </c>
      <c r="AK235">
        <v>15.706300000000001</v>
      </c>
      <c r="AL235" t="s">
        <v>135</v>
      </c>
      <c r="AM235">
        <v>49.88</v>
      </c>
      <c r="AN235" t="s">
        <v>135</v>
      </c>
      <c r="AO235" t="s">
        <v>135</v>
      </c>
      <c r="AP235" t="s">
        <v>135</v>
      </c>
      <c r="AQ235" t="s">
        <v>135</v>
      </c>
      <c r="AR235" t="s">
        <v>135</v>
      </c>
      <c r="AS235" t="s">
        <v>135</v>
      </c>
      <c r="AT235" t="s">
        <v>135</v>
      </c>
      <c r="AU235" t="s">
        <v>135</v>
      </c>
      <c r="AV235" t="s">
        <v>135</v>
      </c>
      <c r="AW235" t="s">
        <v>135</v>
      </c>
      <c r="AX235" t="s">
        <v>135</v>
      </c>
      <c r="AY235" t="s">
        <v>135</v>
      </c>
      <c r="AZ235" t="s">
        <v>135</v>
      </c>
      <c r="BA235" t="s">
        <v>135</v>
      </c>
      <c r="BB235" t="s">
        <v>135</v>
      </c>
      <c r="BC235" t="s">
        <v>135</v>
      </c>
      <c r="BD235" t="s">
        <v>135</v>
      </c>
      <c r="BE235" t="s">
        <v>135</v>
      </c>
      <c r="BF235">
        <v>28.061399999999999</v>
      </c>
      <c r="BG235" t="s">
        <v>135</v>
      </c>
      <c r="BH235" t="s">
        <v>135</v>
      </c>
      <c r="BI235" t="s">
        <v>135</v>
      </c>
      <c r="BJ235" t="s">
        <v>135</v>
      </c>
      <c r="BK235" t="s">
        <v>135</v>
      </c>
      <c r="BL235" t="s">
        <v>135</v>
      </c>
      <c r="BM235" t="s">
        <v>135</v>
      </c>
      <c r="BN235" t="s">
        <v>135</v>
      </c>
      <c r="BO235" t="s">
        <v>135</v>
      </c>
      <c r="BP235" t="s">
        <v>135</v>
      </c>
      <c r="BQ235" t="s">
        <v>135</v>
      </c>
      <c r="BR235" t="s">
        <v>135</v>
      </c>
      <c r="BS235" t="s">
        <v>135</v>
      </c>
      <c r="BT235" t="s">
        <v>135</v>
      </c>
      <c r="BU235" t="s">
        <v>135</v>
      </c>
      <c r="BV235" t="s">
        <v>135</v>
      </c>
      <c r="BW235" t="s">
        <v>135</v>
      </c>
      <c r="BX235" t="s">
        <v>135</v>
      </c>
      <c r="BY235">
        <v>32.799999999999997</v>
      </c>
      <c r="BZ235">
        <v>0.1</v>
      </c>
      <c r="CA235">
        <v>32.700000000000003</v>
      </c>
      <c r="CB235">
        <v>0.15570000000000001</v>
      </c>
      <c r="CC235">
        <v>-0.2046</v>
      </c>
      <c r="CD235">
        <v>0.21</v>
      </c>
      <c r="CE235">
        <v>-0.27589999999999998</v>
      </c>
      <c r="CF235" t="s">
        <v>135</v>
      </c>
      <c r="CG235">
        <v>76.556700000000006</v>
      </c>
      <c r="CH235">
        <v>2.5525000000000002</v>
      </c>
      <c r="CI235">
        <v>2.4887999999999999</v>
      </c>
      <c r="CJ235">
        <v>1.9540999999999999</v>
      </c>
      <c r="CK235">
        <v>2.5602999999999998</v>
      </c>
      <c r="CL235">
        <v>2.4964</v>
      </c>
      <c r="CM235">
        <v>1.9601</v>
      </c>
      <c r="CN235">
        <v>-3.3643000000000001</v>
      </c>
      <c r="CO235">
        <v>-3.4813999999999998</v>
      </c>
      <c r="CP235">
        <v>-0.4</v>
      </c>
      <c r="CQ235" t="s">
        <v>135</v>
      </c>
      <c r="CR235">
        <v>-21</v>
      </c>
      <c r="CS235">
        <v>0.22289999999999999</v>
      </c>
      <c r="CT235">
        <v>2.6724999999999999</v>
      </c>
      <c r="CU235">
        <v>1.4631000000000001</v>
      </c>
      <c r="CV235">
        <v>74.528499999999994</v>
      </c>
      <c r="CW235">
        <v>5.7193000000000005</v>
      </c>
      <c r="CX235">
        <v>63.8185</v>
      </c>
      <c r="CY235" t="s">
        <v>135</v>
      </c>
      <c r="CZ235" t="s">
        <v>135</v>
      </c>
      <c r="DA235" t="s">
        <v>135</v>
      </c>
      <c r="DB235" t="s">
        <v>135</v>
      </c>
      <c r="DC235" t="s">
        <v>135</v>
      </c>
      <c r="DD235" t="s">
        <v>135</v>
      </c>
      <c r="DE235" t="s">
        <v>135</v>
      </c>
      <c r="DF235" t="s">
        <v>135</v>
      </c>
      <c r="DG235" t="s">
        <v>135</v>
      </c>
      <c r="DH235" t="s">
        <v>135</v>
      </c>
      <c r="DI235" t="s">
        <v>135</v>
      </c>
    </row>
    <row r="236" spans="1:113" x14ac:dyDescent="0.3">
      <c r="E236" t="s">
        <v>80</v>
      </c>
      <c r="F236" t="s">
        <v>135</v>
      </c>
      <c r="G236" t="s">
        <v>135</v>
      </c>
      <c r="H236" t="s">
        <v>135</v>
      </c>
      <c r="I236" t="s">
        <v>135</v>
      </c>
      <c r="J236">
        <v>-57.480800000000002</v>
      </c>
      <c r="K236">
        <v>-63.235300000000002</v>
      </c>
      <c r="L236">
        <v>-171.10830000000001</v>
      </c>
      <c r="M236">
        <v>-60.454000000000001</v>
      </c>
      <c r="N236">
        <v>-60.454000000000001</v>
      </c>
      <c r="O236">
        <v>-60.454000000000001</v>
      </c>
      <c r="P236">
        <v>-60.454000000000001</v>
      </c>
      <c r="Q236" t="s">
        <v>135</v>
      </c>
      <c r="R236" t="s">
        <v>135</v>
      </c>
      <c r="S236" t="s">
        <v>135</v>
      </c>
      <c r="T236">
        <v>-50.309800000000003</v>
      </c>
      <c r="U236" t="s">
        <v>135</v>
      </c>
      <c r="V236" t="s">
        <v>135</v>
      </c>
      <c r="W236" t="s">
        <v>135</v>
      </c>
      <c r="X236" t="s">
        <v>135</v>
      </c>
      <c r="Y236" t="s">
        <v>135</v>
      </c>
      <c r="Z236" t="s">
        <v>135</v>
      </c>
      <c r="AA236" t="s">
        <v>135</v>
      </c>
      <c r="AB236" t="s">
        <v>135</v>
      </c>
      <c r="AC236" t="s">
        <v>135</v>
      </c>
      <c r="AD236" t="s">
        <v>135</v>
      </c>
      <c r="AE236" t="s">
        <v>135</v>
      </c>
      <c r="AF236" t="s">
        <v>135</v>
      </c>
      <c r="AG236" t="s">
        <v>135</v>
      </c>
      <c r="AH236" t="s">
        <v>135</v>
      </c>
      <c r="AI236" t="s">
        <v>135</v>
      </c>
      <c r="AJ236" t="s">
        <v>135</v>
      </c>
      <c r="AK236" t="s">
        <v>135</v>
      </c>
      <c r="AL236" t="s">
        <v>135</v>
      </c>
      <c r="AM236">
        <v>27.182600000000001</v>
      </c>
      <c r="AN236" t="s">
        <v>135</v>
      </c>
      <c r="AO236" t="s">
        <v>135</v>
      </c>
      <c r="AP236" t="s">
        <v>135</v>
      </c>
      <c r="AQ236" t="s">
        <v>135</v>
      </c>
      <c r="AR236" t="s">
        <v>135</v>
      </c>
      <c r="AS236" t="s">
        <v>135</v>
      </c>
      <c r="AT236" t="s">
        <v>135</v>
      </c>
      <c r="AU236" t="s">
        <v>135</v>
      </c>
      <c r="AV236" t="s">
        <v>135</v>
      </c>
      <c r="AW236" t="s">
        <v>135</v>
      </c>
      <c r="AX236" t="s">
        <v>135</v>
      </c>
      <c r="AY236" t="s">
        <v>135</v>
      </c>
      <c r="AZ236" t="s">
        <v>135</v>
      </c>
      <c r="BA236" t="s">
        <v>135</v>
      </c>
      <c r="BB236" t="s">
        <v>135</v>
      </c>
      <c r="BC236" t="s">
        <v>135</v>
      </c>
      <c r="BD236" t="s">
        <v>135</v>
      </c>
      <c r="BE236" t="s">
        <v>135</v>
      </c>
      <c r="BF236">
        <v>-31.866700000000002</v>
      </c>
      <c r="BG236" t="s">
        <v>135</v>
      </c>
      <c r="BH236" t="s">
        <v>135</v>
      </c>
      <c r="BI236" t="s">
        <v>135</v>
      </c>
      <c r="BJ236" t="s">
        <v>135</v>
      </c>
      <c r="BK236" t="s">
        <v>135</v>
      </c>
      <c r="BL236" t="s">
        <v>135</v>
      </c>
      <c r="BM236" t="s">
        <v>135</v>
      </c>
      <c r="BN236" t="s">
        <v>135</v>
      </c>
      <c r="BO236" t="s">
        <v>135</v>
      </c>
      <c r="BP236" t="s">
        <v>135</v>
      </c>
      <c r="BQ236" t="s">
        <v>135</v>
      </c>
      <c r="BR236" t="s">
        <v>135</v>
      </c>
      <c r="BS236" t="s">
        <v>135</v>
      </c>
      <c r="BT236" t="s">
        <v>135</v>
      </c>
      <c r="BU236" t="s">
        <v>135</v>
      </c>
      <c r="BV236" t="s">
        <v>135</v>
      </c>
      <c r="BW236" t="s">
        <v>135</v>
      </c>
      <c r="BX236" t="s">
        <v>135</v>
      </c>
      <c r="BY236" t="s">
        <v>135</v>
      </c>
      <c r="BZ236" t="s">
        <v>135</v>
      </c>
      <c r="CA236" t="s">
        <v>135</v>
      </c>
      <c r="CB236" t="s">
        <v>135</v>
      </c>
      <c r="CC236" t="s">
        <v>135</v>
      </c>
      <c r="CD236" t="s">
        <v>135</v>
      </c>
      <c r="CE236" t="s">
        <v>135</v>
      </c>
      <c r="CF236" t="s">
        <v>135</v>
      </c>
      <c r="CG236" t="s">
        <v>135</v>
      </c>
      <c r="CH236" t="s">
        <v>135</v>
      </c>
      <c r="CI236" t="s">
        <v>135</v>
      </c>
      <c r="CJ236" t="s">
        <v>135</v>
      </c>
      <c r="CK236" t="s">
        <v>135</v>
      </c>
      <c r="CL236" t="s">
        <v>135</v>
      </c>
      <c r="CM236" t="s">
        <v>135</v>
      </c>
      <c r="CN236" t="s">
        <v>135</v>
      </c>
      <c r="CO236" t="s">
        <v>135</v>
      </c>
      <c r="CP236">
        <v>-179.8</v>
      </c>
      <c r="CQ236" t="s">
        <v>135</v>
      </c>
      <c r="CR236">
        <v>-197.8</v>
      </c>
      <c r="CS236" t="s">
        <v>135</v>
      </c>
      <c r="CT236" t="s">
        <v>135</v>
      </c>
      <c r="CU236" t="s">
        <v>135</v>
      </c>
      <c r="CV236" t="s">
        <v>135</v>
      </c>
      <c r="CW236" t="s">
        <v>135</v>
      </c>
      <c r="CX236" t="s">
        <v>135</v>
      </c>
      <c r="CY236" t="s">
        <v>135</v>
      </c>
      <c r="CZ236" t="s">
        <v>135</v>
      </c>
      <c r="DA236" t="s">
        <v>135</v>
      </c>
      <c r="DB236" t="s">
        <v>135</v>
      </c>
      <c r="DC236" t="s">
        <v>135</v>
      </c>
      <c r="DD236" t="s">
        <v>135</v>
      </c>
      <c r="DE236" t="s">
        <v>135</v>
      </c>
      <c r="DF236" t="s">
        <v>135</v>
      </c>
      <c r="DG236" t="s">
        <v>135</v>
      </c>
      <c r="DH236" t="s">
        <v>135</v>
      </c>
      <c r="DI236" t="s">
        <v>135</v>
      </c>
    </row>
    <row r="237" spans="1:113" x14ac:dyDescent="0.3">
      <c r="E237" t="s">
        <v>81</v>
      </c>
      <c r="F237">
        <v>-33.057699999999997</v>
      </c>
      <c r="G237">
        <v>-24.229900000000001</v>
      </c>
      <c r="H237" t="s">
        <v>135</v>
      </c>
      <c r="I237">
        <v>-33.685400000000001</v>
      </c>
      <c r="J237">
        <v>-18.735399999999998</v>
      </c>
      <c r="K237">
        <v>-22.904</v>
      </c>
      <c r="L237" t="s">
        <v>135</v>
      </c>
      <c r="M237">
        <v>-22.014099999999999</v>
      </c>
      <c r="N237">
        <v>-22.014099999999999</v>
      </c>
      <c r="O237">
        <v>-22.014099999999999</v>
      </c>
      <c r="P237">
        <v>-22.014099999999999</v>
      </c>
      <c r="Q237" t="s">
        <v>135</v>
      </c>
      <c r="R237" t="s">
        <v>135</v>
      </c>
      <c r="S237" t="s">
        <v>135</v>
      </c>
      <c r="T237">
        <v>0.3054</v>
      </c>
      <c r="U237">
        <v>-70.212800000000001</v>
      </c>
      <c r="V237">
        <v>-74.955299999999994</v>
      </c>
      <c r="W237">
        <v>-274.50200000000001</v>
      </c>
      <c r="X237">
        <v>-263.63639999999998</v>
      </c>
      <c r="Y237" t="s">
        <v>135</v>
      </c>
      <c r="Z237">
        <v>-28.972899999999999</v>
      </c>
      <c r="AA237" t="s">
        <v>135</v>
      </c>
      <c r="AB237">
        <v>2.4</v>
      </c>
      <c r="AC237">
        <v>-22.267399999999999</v>
      </c>
      <c r="AD237">
        <v>-307.6857</v>
      </c>
      <c r="AE237">
        <v>-63.846800000000002</v>
      </c>
      <c r="AF237">
        <v>-9.1964000000000006</v>
      </c>
      <c r="AG237">
        <v>-31.2806</v>
      </c>
      <c r="AH237">
        <v>-18.771599999999999</v>
      </c>
      <c r="AI237">
        <v>-28.356400000000001</v>
      </c>
      <c r="AJ237">
        <v>-28.0124</v>
      </c>
      <c r="AK237">
        <v>-28.356400000000001</v>
      </c>
      <c r="AL237" t="s">
        <v>135</v>
      </c>
      <c r="AM237">
        <v>21.604900000000001</v>
      </c>
      <c r="AN237" t="s">
        <v>135</v>
      </c>
      <c r="AO237" t="s">
        <v>135</v>
      </c>
      <c r="AP237" t="s">
        <v>135</v>
      </c>
      <c r="AQ237" t="s">
        <v>135</v>
      </c>
      <c r="AR237" t="s">
        <v>135</v>
      </c>
      <c r="AS237">
        <v>108.5911</v>
      </c>
      <c r="AT237" t="s">
        <v>135</v>
      </c>
      <c r="AU237">
        <v>1.2101999999999999</v>
      </c>
      <c r="AV237">
        <v>14.6341</v>
      </c>
      <c r="AW237" t="s">
        <v>135</v>
      </c>
      <c r="AX237" t="s">
        <v>135</v>
      </c>
      <c r="AY237" t="s">
        <v>135</v>
      </c>
      <c r="AZ237" t="s">
        <v>135</v>
      </c>
      <c r="BA237">
        <v>14.610300000000001</v>
      </c>
      <c r="BB237">
        <v>47.853700000000003</v>
      </c>
      <c r="BC237">
        <v>44.9514</v>
      </c>
      <c r="BD237">
        <v>44.431399999999996</v>
      </c>
      <c r="BE237" t="s">
        <v>135</v>
      </c>
      <c r="BF237">
        <v>36.509</v>
      </c>
      <c r="BG237" t="s">
        <v>135</v>
      </c>
      <c r="BH237" t="s">
        <v>135</v>
      </c>
      <c r="BI237" t="s">
        <v>135</v>
      </c>
      <c r="BJ237" t="s">
        <v>135</v>
      </c>
      <c r="BK237" t="s">
        <v>135</v>
      </c>
      <c r="BL237" t="s">
        <v>135</v>
      </c>
      <c r="BM237" t="s">
        <v>135</v>
      </c>
      <c r="BN237" t="s">
        <v>135</v>
      </c>
      <c r="BO237" t="s">
        <v>135</v>
      </c>
      <c r="BP237" t="s">
        <v>135</v>
      </c>
      <c r="BQ237" t="s">
        <v>135</v>
      </c>
      <c r="BR237" t="s">
        <v>135</v>
      </c>
      <c r="BS237" t="s">
        <v>135</v>
      </c>
      <c r="BT237" t="s">
        <v>135</v>
      </c>
      <c r="BU237" t="s">
        <v>135</v>
      </c>
      <c r="BV237" t="s">
        <v>135</v>
      </c>
      <c r="BW237" t="s">
        <v>135</v>
      </c>
      <c r="BX237" t="s">
        <v>135</v>
      </c>
      <c r="BY237">
        <v>42.121000000000002</v>
      </c>
      <c r="BZ237">
        <v>9.407</v>
      </c>
      <c r="CA237">
        <v>32.713999999999999</v>
      </c>
      <c r="CB237" t="s">
        <v>135</v>
      </c>
      <c r="CC237" t="s">
        <v>135</v>
      </c>
      <c r="CD237" t="s">
        <v>135</v>
      </c>
      <c r="CE237" t="s">
        <v>135</v>
      </c>
      <c r="CF237">
        <v>-160</v>
      </c>
      <c r="CG237">
        <v>69.950800000000001</v>
      </c>
      <c r="CH237">
        <v>3.278</v>
      </c>
      <c r="CI237">
        <v>3.1453000000000002</v>
      </c>
      <c r="CJ237">
        <v>2.2930000000000001</v>
      </c>
      <c r="CK237">
        <v>4.2206000000000001</v>
      </c>
      <c r="CL237">
        <v>4.0496999999999996</v>
      </c>
      <c r="CM237">
        <v>2.9523000000000001</v>
      </c>
      <c r="CN237">
        <v>-6.4466000000000001</v>
      </c>
      <c r="CO237">
        <v>-6.8908000000000005</v>
      </c>
      <c r="CP237">
        <v>-80</v>
      </c>
      <c r="CQ237" t="s">
        <v>135</v>
      </c>
      <c r="CR237">
        <v>-97.8</v>
      </c>
      <c r="CS237">
        <v>0.28660000000000002</v>
      </c>
      <c r="CT237">
        <v>1.6941999999999999</v>
      </c>
      <c r="CU237">
        <v>0.82189999999999996</v>
      </c>
      <c r="CV237">
        <v>161.78100000000001</v>
      </c>
      <c r="CW237">
        <v>6.5046999999999997</v>
      </c>
      <c r="CX237">
        <v>56.113700000000001</v>
      </c>
      <c r="CY237" t="s">
        <v>135</v>
      </c>
      <c r="CZ237" t="s">
        <v>135</v>
      </c>
      <c r="DA237">
        <v>0.35589999999999999</v>
      </c>
      <c r="DB237">
        <v>1025.5597</v>
      </c>
      <c r="DC237" t="s">
        <v>135</v>
      </c>
      <c r="DD237" t="s">
        <v>135</v>
      </c>
      <c r="DE237">
        <v>0</v>
      </c>
      <c r="DF237">
        <v>0</v>
      </c>
      <c r="DG237">
        <v>0</v>
      </c>
      <c r="DH237">
        <v>0</v>
      </c>
      <c r="DI237">
        <v>0</v>
      </c>
    </row>
    <row r="238" spans="1:113" x14ac:dyDescent="0.3">
      <c r="D238" t="s">
        <v>83</v>
      </c>
      <c r="E238" t="s">
        <v>77</v>
      </c>
      <c r="F238">
        <v>-106.37</v>
      </c>
      <c r="G238">
        <v>-45.846800000000002</v>
      </c>
      <c r="H238">
        <v>-71.602999999999994</v>
      </c>
      <c r="I238">
        <v>-73.607900000000001</v>
      </c>
      <c r="J238">
        <v>-39.009</v>
      </c>
      <c r="K238">
        <v>-43.880699999999997</v>
      </c>
      <c r="L238" t="s">
        <v>135</v>
      </c>
      <c r="M238">
        <v>-43.397199999999998</v>
      </c>
      <c r="N238">
        <v>-43.397199999999998</v>
      </c>
      <c r="O238">
        <v>-43.397199999999998</v>
      </c>
      <c r="P238">
        <v>-43.397199999999998</v>
      </c>
      <c r="Q238" t="s">
        <v>135</v>
      </c>
      <c r="R238" t="s">
        <v>135</v>
      </c>
      <c r="S238" t="s">
        <v>135</v>
      </c>
      <c r="T238">
        <v>3.5604</v>
      </c>
      <c r="U238">
        <v>-80.6982</v>
      </c>
      <c r="V238">
        <v>-67.168099999999995</v>
      </c>
      <c r="W238">
        <v>-77.1053</v>
      </c>
      <c r="X238">
        <v>-78.451499999999996</v>
      </c>
      <c r="Y238" t="s">
        <v>135</v>
      </c>
      <c r="Z238">
        <v>-53.941299999999998</v>
      </c>
      <c r="AA238" t="s">
        <v>135</v>
      </c>
      <c r="AB238">
        <v>6.0079000000000002</v>
      </c>
      <c r="AC238">
        <v>14.011699999999999</v>
      </c>
      <c r="AD238">
        <v>-587.70619999999997</v>
      </c>
      <c r="AE238" t="s">
        <v>135</v>
      </c>
      <c r="AF238">
        <v>115.2891</v>
      </c>
      <c r="AG238">
        <v>5536.3771999999999</v>
      </c>
      <c r="AH238">
        <v>1223.5084999999999</v>
      </c>
      <c r="AI238">
        <v>-68.133399999999995</v>
      </c>
      <c r="AJ238">
        <v>-15.8261</v>
      </c>
      <c r="AK238">
        <v>-67.914299999999997</v>
      </c>
      <c r="AL238">
        <v>-21.2212</v>
      </c>
      <c r="AM238">
        <v>22.549800000000001</v>
      </c>
      <c r="AN238" t="s">
        <v>135</v>
      </c>
      <c r="AO238" t="s">
        <v>135</v>
      </c>
      <c r="AP238" t="s">
        <v>135</v>
      </c>
      <c r="AQ238" t="s">
        <v>135</v>
      </c>
      <c r="AR238" t="s">
        <v>135</v>
      </c>
      <c r="AS238">
        <v>27.584399999999999</v>
      </c>
      <c r="AT238" t="s">
        <v>135</v>
      </c>
      <c r="AU238">
        <v>1.9340999999999999</v>
      </c>
      <c r="AV238">
        <v>15.9839</v>
      </c>
      <c r="AW238" t="s">
        <v>135</v>
      </c>
      <c r="AX238" t="s">
        <v>135</v>
      </c>
      <c r="AY238" t="s">
        <v>135</v>
      </c>
      <c r="AZ238" t="s">
        <v>135</v>
      </c>
      <c r="BA238">
        <v>54.659599999999998</v>
      </c>
      <c r="BB238">
        <v>41.413400000000003</v>
      </c>
      <c r="BC238">
        <v>48.994500000000002</v>
      </c>
      <c r="BD238">
        <v>38.329700000000003</v>
      </c>
      <c r="BE238" t="s">
        <v>135</v>
      </c>
      <c r="BF238">
        <v>3.5604</v>
      </c>
      <c r="BG238" t="s">
        <v>135</v>
      </c>
      <c r="BH238" t="s">
        <v>135</v>
      </c>
      <c r="BI238" t="s">
        <v>135</v>
      </c>
      <c r="BJ238" t="s">
        <v>135</v>
      </c>
      <c r="BK238" t="s">
        <v>135</v>
      </c>
      <c r="BL238">
        <v>-53.941299999999998</v>
      </c>
      <c r="BM238" t="s">
        <v>135</v>
      </c>
      <c r="BN238">
        <v>6.0079000000000002</v>
      </c>
      <c r="BO238">
        <v>14.011699999999999</v>
      </c>
      <c r="BP238" t="s">
        <v>135</v>
      </c>
      <c r="BQ238">
        <v>-325.8689</v>
      </c>
      <c r="BR238">
        <v>115.2891</v>
      </c>
      <c r="BS238">
        <v>5536.3771999999999</v>
      </c>
      <c r="BT238">
        <v>1223.5084999999999</v>
      </c>
      <c r="BU238">
        <v>-68.133399999999995</v>
      </c>
      <c r="BV238">
        <v>-15.8261</v>
      </c>
      <c r="BW238">
        <v>-67.914299999999997</v>
      </c>
      <c r="BX238" t="s">
        <v>135</v>
      </c>
      <c r="BY238">
        <v>557.47500000000002</v>
      </c>
      <c r="BZ238">
        <v>530.21400000000006</v>
      </c>
      <c r="CA238">
        <v>27.260999999999999</v>
      </c>
      <c r="CB238" t="s">
        <v>135</v>
      </c>
      <c r="CC238" t="s">
        <v>135</v>
      </c>
      <c r="CD238" t="s">
        <v>135</v>
      </c>
      <c r="CE238" t="s">
        <v>135</v>
      </c>
      <c r="CF238">
        <v>-29.169</v>
      </c>
      <c r="CG238">
        <v>19.551400000000001</v>
      </c>
      <c r="CH238">
        <v>8.5719999999999992</v>
      </c>
      <c r="CI238">
        <v>3.1137999999999999</v>
      </c>
      <c r="CJ238">
        <v>1.6758999999999999</v>
      </c>
      <c r="CK238">
        <v>175.29339999999999</v>
      </c>
      <c r="CL238">
        <v>63.6751</v>
      </c>
      <c r="CM238">
        <v>34.272399999999998</v>
      </c>
      <c r="CN238">
        <v>156.70580000000001</v>
      </c>
      <c r="CO238">
        <v>61.044899999999998</v>
      </c>
      <c r="CP238">
        <v>-629.14599999999996</v>
      </c>
      <c r="CQ238">
        <v>-752.42899999999997</v>
      </c>
      <c r="CR238">
        <v>-707.71799999999996</v>
      </c>
      <c r="CS238">
        <v>4.7399999999999998E-2</v>
      </c>
      <c r="CT238">
        <v>0.53339999999999999</v>
      </c>
      <c r="CU238">
        <v>0.1207</v>
      </c>
      <c r="CV238">
        <v>29.693200000000001</v>
      </c>
      <c r="CW238">
        <v>11.1052</v>
      </c>
      <c r="CX238">
        <v>32.957700000000003</v>
      </c>
      <c r="CY238" t="s">
        <v>135</v>
      </c>
      <c r="CZ238" t="s">
        <v>135</v>
      </c>
      <c r="DA238">
        <v>0.44309999999999999</v>
      </c>
      <c r="DB238">
        <v>825.97659999999996</v>
      </c>
      <c r="DC238" t="s">
        <v>135</v>
      </c>
      <c r="DD238" t="s">
        <v>135</v>
      </c>
      <c r="DE238">
        <v>0</v>
      </c>
      <c r="DF238">
        <v>0</v>
      </c>
      <c r="DG238">
        <v>0</v>
      </c>
      <c r="DH238">
        <v>0</v>
      </c>
      <c r="DI238">
        <v>0</v>
      </c>
    </row>
    <row r="239" spans="1:113" x14ac:dyDescent="0.3">
      <c r="E239" t="s">
        <v>78</v>
      </c>
      <c r="F239" t="s">
        <v>135</v>
      </c>
      <c r="G239" t="s">
        <v>135</v>
      </c>
      <c r="H239" t="s">
        <v>135</v>
      </c>
      <c r="I239" t="s">
        <v>135</v>
      </c>
      <c r="J239">
        <v>2.3E-2</v>
      </c>
      <c r="K239">
        <v>-4.1666999999999996</v>
      </c>
      <c r="L239">
        <v>122.39790000000001</v>
      </c>
      <c r="M239">
        <v>-3.7983000000000002</v>
      </c>
      <c r="N239">
        <v>-3.7983000000000002</v>
      </c>
      <c r="O239">
        <v>-3.7983000000000002</v>
      </c>
      <c r="P239">
        <v>-3.7983000000000002</v>
      </c>
      <c r="Q239" t="s">
        <v>135</v>
      </c>
      <c r="R239" t="s">
        <v>135</v>
      </c>
      <c r="S239" t="s">
        <v>135</v>
      </c>
      <c r="T239">
        <v>21.171500000000002</v>
      </c>
      <c r="U239" t="s">
        <v>135</v>
      </c>
      <c r="V239">
        <v>83.693700000000007</v>
      </c>
      <c r="W239">
        <v>83.0595</v>
      </c>
      <c r="X239">
        <v>82.9268</v>
      </c>
      <c r="Y239" t="s">
        <v>135</v>
      </c>
      <c r="Z239" t="s">
        <v>135</v>
      </c>
      <c r="AA239" t="s">
        <v>135</v>
      </c>
      <c r="AB239" t="s">
        <v>135</v>
      </c>
      <c r="AC239" t="s">
        <v>135</v>
      </c>
      <c r="AD239" t="s">
        <v>135</v>
      </c>
      <c r="AE239" t="s">
        <v>135</v>
      </c>
      <c r="AF239" t="s">
        <v>135</v>
      </c>
      <c r="AG239" t="s">
        <v>135</v>
      </c>
      <c r="AH239" t="s">
        <v>135</v>
      </c>
      <c r="AI239" t="s">
        <v>135</v>
      </c>
      <c r="AJ239" t="s">
        <v>135</v>
      </c>
      <c r="AK239" t="s">
        <v>135</v>
      </c>
      <c r="AL239" t="s">
        <v>135</v>
      </c>
      <c r="AM239">
        <v>24.147300000000001</v>
      </c>
      <c r="AN239" t="s">
        <v>135</v>
      </c>
      <c r="AO239" t="s">
        <v>135</v>
      </c>
      <c r="AP239" t="s">
        <v>135</v>
      </c>
      <c r="AQ239" t="s">
        <v>135</v>
      </c>
      <c r="AR239" t="s">
        <v>135</v>
      </c>
      <c r="AS239" t="s">
        <v>135</v>
      </c>
      <c r="AT239" t="s">
        <v>135</v>
      </c>
      <c r="AU239" t="s">
        <v>135</v>
      </c>
      <c r="AV239" t="s">
        <v>135</v>
      </c>
      <c r="AW239" t="s">
        <v>135</v>
      </c>
      <c r="AX239" t="s">
        <v>135</v>
      </c>
      <c r="AY239" t="s">
        <v>135</v>
      </c>
      <c r="AZ239" t="s">
        <v>135</v>
      </c>
      <c r="BA239" t="s">
        <v>135</v>
      </c>
      <c r="BB239" t="s">
        <v>135</v>
      </c>
      <c r="BC239" t="s">
        <v>135</v>
      </c>
      <c r="BD239" t="s">
        <v>135</v>
      </c>
      <c r="BE239" t="s">
        <v>135</v>
      </c>
      <c r="BF239">
        <v>1.7330000000000001</v>
      </c>
      <c r="BG239" t="s">
        <v>135</v>
      </c>
      <c r="BH239" t="s">
        <v>135</v>
      </c>
      <c r="BI239" t="s">
        <v>135</v>
      </c>
      <c r="BJ239" t="s">
        <v>135</v>
      </c>
      <c r="BK239" t="s">
        <v>135</v>
      </c>
      <c r="BL239" t="s">
        <v>135</v>
      </c>
      <c r="BM239" t="s">
        <v>135</v>
      </c>
      <c r="BN239" t="s">
        <v>135</v>
      </c>
      <c r="BO239" t="s">
        <v>135</v>
      </c>
      <c r="BP239" t="s">
        <v>135</v>
      </c>
      <c r="BQ239" t="s">
        <v>135</v>
      </c>
      <c r="BR239" t="s">
        <v>135</v>
      </c>
      <c r="BS239" t="s">
        <v>135</v>
      </c>
      <c r="BT239" t="s">
        <v>135</v>
      </c>
      <c r="BU239" t="s">
        <v>135</v>
      </c>
      <c r="BV239" t="s">
        <v>135</v>
      </c>
      <c r="BW239" t="s">
        <v>135</v>
      </c>
      <c r="BX239" t="s">
        <v>135</v>
      </c>
      <c r="BY239" t="s">
        <v>135</v>
      </c>
      <c r="BZ239" t="s">
        <v>135</v>
      </c>
      <c r="CA239" t="s">
        <v>135</v>
      </c>
      <c r="CB239" t="s">
        <v>135</v>
      </c>
      <c r="CC239" t="s">
        <v>135</v>
      </c>
      <c r="CD239" t="s">
        <v>135</v>
      </c>
      <c r="CE239" t="s">
        <v>135</v>
      </c>
      <c r="CF239" t="s">
        <v>135</v>
      </c>
      <c r="CG239" t="s">
        <v>135</v>
      </c>
      <c r="CH239" t="s">
        <v>135</v>
      </c>
      <c r="CI239" t="s">
        <v>135</v>
      </c>
      <c r="CJ239" t="s">
        <v>135</v>
      </c>
      <c r="CK239" t="s">
        <v>135</v>
      </c>
      <c r="CL239" t="s">
        <v>135</v>
      </c>
      <c r="CM239" t="s">
        <v>135</v>
      </c>
      <c r="CN239" t="s">
        <v>135</v>
      </c>
      <c r="CO239" t="s">
        <v>135</v>
      </c>
      <c r="CP239">
        <v>0.1</v>
      </c>
      <c r="CQ239" t="s">
        <v>135</v>
      </c>
      <c r="CR239">
        <v>-18.100000000000001</v>
      </c>
      <c r="CS239" t="s">
        <v>135</v>
      </c>
      <c r="CT239" t="s">
        <v>135</v>
      </c>
      <c r="CU239" t="s">
        <v>135</v>
      </c>
      <c r="CV239" t="s">
        <v>135</v>
      </c>
      <c r="CW239" t="s">
        <v>135</v>
      </c>
      <c r="CX239" t="s">
        <v>135</v>
      </c>
      <c r="CY239" t="s">
        <v>135</v>
      </c>
      <c r="CZ239" t="s">
        <v>135</v>
      </c>
      <c r="DA239" t="s">
        <v>135</v>
      </c>
      <c r="DB239" t="s">
        <v>135</v>
      </c>
      <c r="DC239" t="s">
        <v>135</v>
      </c>
      <c r="DD239" t="s">
        <v>135</v>
      </c>
      <c r="DE239" t="s">
        <v>135</v>
      </c>
      <c r="DF239" t="s">
        <v>135</v>
      </c>
      <c r="DG239" t="s">
        <v>135</v>
      </c>
      <c r="DH239" t="s">
        <v>135</v>
      </c>
      <c r="DI239" t="s">
        <v>135</v>
      </c>
    </row>
    <row r="240" spans="1:113" x14ac:dyDescent="0.3">
      <c r="E240" t="s">
        <v>79</v>
      </c>
      <c r="F240">
        <v>-45.731299999999997</v>
      </c>
      <c r="G240">
        <v>-28.3886</v>
      </c>
      <c r="H240" t="s">
        <v>135</v>
      </c>
      <c r="I240">
        <v>-42.119</v>
      </c>
      <c r="J240">
        <v>-36.873800000000003</v>
      </c>
      <c r="K240">
        <v>-41.256999999999998</v>
      </c>
      <c r="L240">
        <v>-562.36559999999997</v>
      </c>
      <c r="M240">
        <v>-41.140999999999998</v>
      </c>
      <c r="N240">
        <v>-41.140999999999998</v>
      </c>
      <c r="O240">
        <v>-41.140999999999998</v>
      </c>
      <c r="P240">
        <v>-41.140999999999998</v>
      </c>
      <c r="Q240" t="s">
        <v>135</v>
      </c>
      <c r="R240" t="s">
        <v>135</v>
      </c>
      <c r="S240" t="s">
        <v>135</v>
      </c>
      <c r="T240">
        <v>-6.0770999999999997</v>
      </c>
      <c r="U240">
        <v>-39650</v>
      </c>
      <c r="V240">
        <v>-747.14290000000005</v>
      </c>
      <c r="W240">
        <v>-1106.8027</v>
      </c>
      <c r="X240">
        <v>-1150</v>
      </c>
      <c r="Y240" t="s">
        <v>135</v>
      </c>
      <c r="Z240">
        <v>-3.4573</v>
      </c>
      <c r="AA240" t="s">
        <v>135</v>
      </c>
      <c r="AB240">
        <v>1.1915</v>
      </c>
      <c r="AC240">
        <v>0.81869999999999998</v>
      </c>
      <c r="AD240">
        <v>-3.4573</v>
      </c>
      <c r="AE240" t="s">
        <v>135</v>
      </c>
      <c r="AF240" t="s">
        <v>135</v>
      </c>
      <c r="AG240">
        <v>164300</v>
      </c>
      <c r="AH240">
        <v>484.45119999999997</v>
      </c>
      <c r="AI240">
        <v>-37.163400000000003</v>
      </c>
      <c r="AJ240">
        <v>-24.1419</v>
      </c>
      <c r="AK240">
        <v>-37.163400000000003</v>
      </c>
      <c r="AL240" t="s">
        <v>135</v>
      </c>
      <c r="AM240">
        <v>10.698499999999999</v>
      </c>
      <c r="AN240" t="s">
        <v>135</v>
      </c>
      <c r="AO240" t="s">
        <v>135</v>
      </c>
      <c r="AP240" t="s">
        <v>135</v>
      </c>
      <c r="AQ240" t="s">
        <v>135</v>
      </c>
      <c r="AR240" t="s">
        <v>135</v>
      </c>
      <c r="AS240">
        <v>82.751999999999995</v>
      </c>
      <c r="AT240" t="s">
        <v>135</v>
      </c>
      <c r="AU240">
        <v>1.8841999999999999</v>
      </c>
      <c r="AV240">
        <v>17.263400000000001</v>
      </c>
      <c r="AW240">
        <v>82.751999999999995</v>
      </c>
      <c r="AX240" t="s">
        <v>135</v>
      </c>
      <c r="AY240" t="s">
        <v>135</v>
      </c>
      <c r="AZ240" t="s">
        <v>135</v>
      </c>
      <c r="BA240">
        <v>48.550899999999999</v>
      </c>
      <c r="BB240">
        <v>28.009399999999999</v>
      </c>
      <c r="BC240">
        <v>30.762899999999998</v>
      </c>
      <c r="BD240">
        <v>25.044899999999998</v>
      </c>
      <c r="BE240" t="s">
        <v>135</v>
      </c>
      <c r="BF240">
        <v>-0.73660000000000003</v>
      </c>
      <c r="BG240">
        <v>-159100</v>
      </c>
      <c r="BH240" t="s">
        <v>135</v>
      </c>
      <c r="BI240" t="s">
        <v>135</v>
      </c>
      <c r="BJ240" t="s">
        <v>135</v>
      </c>
      <c r="BK240" t="s">
        <v>135</v>
      </c>
      <c r="BL240" t="s">
        <v>135</v>
      </c>
      <c r="BM240" t="s">
        <v>135</v>
      </c>
      <c r="BN240" t="s">
        <v>135</v>
      </c>
      <c r="BO240" t="s">
        <v>135</v>
      </c>
      <c r="BP240" t="s">
        <v>135</v>
      </c>
      <c r="BQ240" t="s">
        <v>135</v>
      </c>
      <c r="BR240" t="s">
        <v>135</v>
      </c>
      <c r="BS240" t="s">
        <v>135</v>
      </c>
      <c r="BT240" t="s">
        <v>135</v>
      </c>
      <c r="BU240" t="s">
        <v>135</v>
      </c>
      <c r="BV240" t="s">
        <v>135</v>
      </c>
      <c r="BW240" t="s">
        <v>135</v>
      </c>
      <c r="BX240" t="s">
        <v>135</v>
      </c>
      <c r="BY240">
        <v>191.7</v>
      </c>
      <c r="BZ240">
        <v>164.4</v>
      </c>
      <c r="CA240">
        <v>27.3</v>
      </c>
      <c r="CB240" t="s">
        <v>135</v>
      </c>
      <c r="CC240" t="s">
        <v>135</v>
      </c>
      <c r="CD240" t="s">
        <v>135</v>
      </c>
      <c r="CE240" t="s">
        <v>135</v>
      </c>
      <c r="CF240" t="s">
        <v>135</v>
      </c>
      <c r="CG240">
        <v>47.715000000000003</v>
      </c>
      <c r="CH240">
        <v>3.3913000000000002</v>
      </c>
      <c r="CI240">
        <v>2.7389999999999999</v>
      </c>
      <c r="CJ240">
        <v>1.6181999999999999</v>
      </c>
      <c r="CK240">
        <v>23.813700000000001</v>
      </c>
      <c r="CL240">
        <v>19.233499999999999</v>
      </c>
      <c r="CM240">
        <v>11.3627</v>
      </c>
      <c r="CN240">
        <v>15.403700000000001</v>
      </c>
      <c r="CO240">
        <v>13.3477</v>
      </c>
      <c r="CP240">
        <v>-159</v>
      </c>
      <c r="CQ240" t="s">
        <v>135</v>
      </c>
      <c r="CR240">
        <v>-177.9</v>
      </c>
      <c r="CS240">
        <v>8.1699999999999995E-2</v>
      </c>
      <c r="CT240">
        <v>0.95709999999999995</v>
      </c>
      <c r="CU240">
        <v>0.57389999999999997</v>
      </c>
      <c r="CV240">
        <v>62.405000000000001</v>
      </c>
      <c r="CW240">
        <v>3.8683999999999998</v>
      </c>
      <c r="CX240">
        <v>94.353399999999993</v>
      </c>
      <c r="CY240" t="s">
        <v>135</v>
      </c>
      <c r="CZ240" t="s">
        <v>135</v>
      </c>
      <c r="DA240" t="s">
        <v>135</v>
      </c>
      <c r="DB240" t="s">
        <v>135</v>
      </c>
      <c r="DC240" t="s">
        <v>135</v>
      </c>
      <c r="DD240" t="s">
        <v>135</v>
      </c>
      <c r="DE240" t="s">
        <v>135</v>
      </c>
      <c r="DF240" t="s">
        <v>135</v>
      </c>
      <c r="DG240" t="s">
        <v>135</v>
      </c>
      <c r="DH240" t="s">
        <v>135</v>
      </c>
      <c r="DI240" t="s">
        <v>135</v>
      </c>
    </row>
    <row r="241" spans="1:113" x14ac:dyDescent="0.3">
      <c r="E241" t="s">
        <v>80</v>
      </c>
      <c r="F241" t="s">
        <v>135</v>
      </c>
      <c r="G241" t="s">
        <v>135</v>
      </c>
      <c r="H241" t="s">
        <v>135</v>
      </c>
      <c r="I241" t="s">
        <v>135</v>
      </c>
      <c r="J241">
        <v>-116.27419999999999</v>
      </c>
      <c r="K241">
        <v>-121.96720000000001</v>
      </c>
      <c r="L241" t="s">
        <v>135</v>
      </c>
      <c r="M241">
        <v>-122.2653</v>
      </c>
      <c r="N241">
        <v>-122.2653</v>
      </c>
      <c r="O241">
        <v>-122.2653</v>
      </c>
      <c r="P241">
        <v>-122.2653</v>
      </c>
      <c r="Q241" t="s">
        <v>135</v>
      </c>
      <c r="R241" t="s">
        <v>135</v>
      </c>
      <c r="S241" t="s">
        <v>135</v>
      </c>
      <c r="T241">
        <v>7.2569999999999997</v>
      </c>
      <c r="U241">
        <v>-116.9633</v>
      </c>
      <c r="V241">
        <v>-106.87560000000001</v>
      </c>
      <c r="W241">
        <v>-116.92230000000001</v>
      </c>
      <c r="X241">
        <v>-116.25</v>
      </c>
      <c r="Y241" t="s">
        <v>135</v>
      </c>
      <c r="Z241" t="s">
        <v>135</v>
      </c>
      <c r="AA241" t="s">
        <v>135</v>
      </c>
      <c r="AB241" t="s">
        <v>135</v>
      </c>
      <c r="AC241" t="s">
        <v>135</v>
      </c>
      <c r="AD241" t="s">
        <v>135</v>
      </c>
      <c r="AE241" t="s">
        <v>135</v>
      </c>
      <c r="AF241" t="s">
        <v>135</v>
      </c>
      <c r="AG241" t="s">
        <v>135</v>
      </c>
      <c r="AH241" t="s">
        <v>135</v>
      </c>
      <c r="AI241" t="s">
        <v>135</v>
      </c>
      <c r="AJ241" t="s">
        <v>135</v>
      </c>
      <c r="AK241" t="s">
        <v>135</v>
      </c>
      <c r="AL241" t="s">
        <v>135</v>
      </c>
      <c r="AM241">
        <v>22.484300000000001</v>
      </c>
      <c r="AN241" t="s">
        <v>135</v>
      </c>
      <c r="AO241" t="s">
        <v>135</v>
      </c>
      <c r="AP241" t="s">
        <v>135</v>
      </c>
      <c r="AQ241" t="s">
        <v>135</v>
      </c>
      <c r="AR241" t="s">
        <v>135</v>
      </c>
      <c r="AS241" t="s">
        <v>135</v>
      </c>
      <c r="AT241" t="s">
        <v>135</v>
      </c>
      <c r="AU241" t="s">
        <v>135</v>
      </c>
      <c r="AV241" t="s">
        <v>135</v>
      </c>
      <c r="AW241" t="s">
        <v>135</v>
      </c>
      <c r="AX241" t="s">
        <v>135</v>
      </c>
      <c r="AY241" t="s">
        <v>135</v>
      </c>
      <c r="AZ241" t="s">
        <v>135</v>
      </c>
      <c r="BA241" t="s">
        <v>135</v>
      </c>
      <c r="BB241" t="s">
        <v>135</v>
      </c>
      <c r="BC241" t="s">
        <v>135</v>
      </c>
      <c r="BD241" t="s">
        <v>135</v>
      </c>
      <c r="BE241" t="s">
        <v>135</v>
      </c>
      <c r="BF241">
        <v>-22.193899999999999</v>
      </c>
      <c r="BG241" t="s">
        <v>135</v>
      </c>
      <c r="BH241" t="s">
        <v>135</v>
      </c>
      <c r="BI241" t="s">
        <v>135</v>
      </c>
      <c r="BJ241" t="s">
        <v>135</v>
      </c>
      <c r="BK241" t="s">
        <v>135</v>
      </c>
      <c r="BL241" t="s">
        <v>135</v>
      </c>
      <c r="BM241" t="s">
        <v>135</v>
      </c>
      <c r="BN241" t="s">
        <v>135</v>
      </c>
      <c r="BO241" t="s">
        <v>135</v>
      </c>
      <c r="BP241" t="s">
        <v>135</v>
      </c>
      <c r="BQ241" t="s">
        <v>135</v>
      </c>
      <c r="BR241" t="s">
        <v>135</v>
      </c>
      <c r="BS241" t="s">
        <v>135</v>
      </c>
      <c r="BT241" t="s">
        <v>135</v>
      </c>
      <c r="BU241" t="s">
        <v>135</v>
      </c>
      <c r="BV241" t="s">
        <v>135</v>
      </c>
      <c r="BW241" t="s">
        <v>135</v>
      </c>
      <c r="BX241" t="s">
        <v>135</v>
      </c>
      <c r="BY241" t="s">
        <v>135</v>
      </c>
      <c r="BZ241" t="s">
        <v>135</v>
      </c>
      <c r="CA241" t="s">
        <v>135</v>
      </c>
      <c r="CB241" t="s">
        <v>135</v>
      </c>
      <c r="CC241" t="s">
        <v>135</v>
      </c>
      <c r="CD241" t="s">
        <v>135</v>
      </c>
      <c r="CE241" t="s">
        <v>135</v>
      </c>
      <c r="CF241" t="s">
        <v>135</v>
      </c>
      <c r="CG241" t="s">
        <v>135</v>
      </c>
      <c r="CH241" t="s">
        <v>135</v>
      </c>
      <c r="CI241" t="s">
        <v>135</v>
      </c>
      <c r="CJ241" t="s">
        <v>135</v>
      </c>
      <c r="CK241" t="s">
        <v>135</v>
      </c>
      <c r="CL241" t="s">
        <v>135</v>
      </c>
      <c r="CM241" t="s">
        <v>135</v>
      </c>
      <c r="CN241" t="s">
        <v>135</v>
      </c>
      <c r="CO241" t="s">
        <v>135</v>
      </c>
      <c r="CP241">
        <v>-390.1</v>
      </c>
      <c r="CQ241" t="s">
        <v>135</v>
      </c>
      <c r="CR241">
        <v>-409.2</v>
      </c>
      <c r="CS241" t="s">
        <v>135</v>
      </c>
      <c r="CT241" t="s">
        <v>135</v>
      </c>
      <c r="CU241" t="s">
        <v>135</v>
      </c>
      <c r="CV241" t="s">
        <v>135</v>
      </c>
      <c r="CW241" t="s">
        <v>135</v>
      </c>
      <c r="CX241" t="s">
        <v>135</v>
      </c>
      <c r="CY241" t="s">
        <v>135</v>
      </c>
      <c r="CZ241" t="s">
        <v>135</v>
      </c>
      <c r="DA241" t="s">
        <v>135</v>
      </c>
      <c r="DB241" t="s">
        <v>135</v>
      </c>
      <c r="DC241" t="s">
        <v>135</v>
      </c>
      <c r="DD241" t="s">
        <v>135</v>
      </c>
      <c r="DE241" t="s">
        <v>135</v>
      </c>
      <c r="DF241" t="s">
        <v>135</v>
      </c>
      <c r="DG241" t="s">
        <v>135</v>
      </c>
      <c r="DH241" t="s">
        <v>135</v>
      </c>
      <c r="DI241" t="s">
        <v>135</v>
      </c>
    </row>
    <row r="242" spans="1:113" x14ac:dyDescent="0.3">
      <c r="E242" t="s">
        <v>81</v>
      </c>
      <c r="F242">
        <v>-106.367</v>
      </c>
      <c r="G242">
        <v>-45.845500000000001</v>
      </c>
      <c r="H242" t="s">
        <v>135</v>
      </c>
      <c r="I242">
        <v>-73.844899999999996</v>
      </c>
      <c r="J242">
        <v>-20.9862</v>
      </c>
      <c r="K242">
        <v>-25.7469</v>
      </c>
      <c r="L242">
        <v>-53.594799999999999</v>
      </c>
      <c r="M242">
        <v>-23.269400000000001</v>
      </c>
      <c r="N242">
        <v>-23.269400000000001</v>
      </c>
      <c r="O242">
        <v>-23.269400000000001</v>
      </c>
      <c r="P242">
        <v>-23.269400000000001</v>
      </c>
      <c r="Q242" t="s">
        <v>135</v>
      </c>
      <c r="R242" t="s">
        <v>135</v>
      </c>
      <c r="S242" t="s">
        <v>135</v>
      </c>
      <c r="T242">
        <v>-3.5831</v>
      </c>
      <c r="U242">
        <v>-8</v>
      </c>
      <c r="V242">
        <v>-8.3844999999999992</v>
      </c>
      <c r="W242">
        <v>-1.9149</v>
      </c>
      <c r="X242">
        <v>-0.6804</v>
      </c>
      <c r="Y242" t="s">
        <v>135</v>
      </c>
      <c r="Z242">
        <v>-53.941299999999998</v>
      </c>
      <c r="AA242" t="s">
        <v>135</v>
      </c>
      <c r="AB242">
        <v>6.0079000000000002</v>
      </c>
      <c r="AC242">
        <v>14.011699999999999</v>
      </c>
      <c r="AD242">
        <v>-587.70619999999997</v>
      </c>
      <c r="AE242" t="s">
        <v>135</v>
      </c>
      <c r="AF242">
        <v>115.2891</v>
      </c>
      <c r="AG242">
        <v>5536.3771999999999</v>
      </c>
      <c r="AH242">
        <v>1223.5084999999999</v>
      </c>
      <c r="AI242">
        <v>-68.133399999999995</v>
      </c>
      <c r="AJ242">
        <v>-15.8261</v>
      </c>
      <c r="AK242">
        <v>-67.914299999999997</v>
      </c>
      <c r="AL242" t="s">
        <v>135</v>
      </c>
      <c r="AM242">
        <v>52.218699999999998</v>
      </c>
      <c r="AN242" t="s">
        <v>135</v>
      </c>
      <c r="AO242" t="s">
        <v>135</v>
      </c>
      <c r="AP242" t="s">
        <v>135</v>
      </c>
      <c r="AQ242" t="s">
        <v>135</v>
      </c>
      <c r="AR242" t="s">
        <v>135</v>
      </c>
      <c r="AS242">
        <v>27.584399999999999</v>
      </c>
      <c r="AT242" t="s">
        <v>135</v>
      </c>
      <c r="AU242">
        <v>1.9340999999999999</v>
      </c>
      <c r="AV242">
        <v>15.9839</v>
      </c>
      <c r="AW242" t="s">
        <v>135</v>
      </c>
      <c r="AX242" t="s">
        <v>135</v>
      </c>
      <c r="AY242" t="s">
        <v>135</v>
      </c>
      <c r="AZ242" t="s">
        <v>135</v>
      </c>
      <c r="BA242">
        <v>54.659599999999998</v>
      </c>
      <c r="BB242">
        <v>41.413400000000003</v>
      </c>
      <c r="BC242">
        <v>48.994500000000002</v>
      </c>
      <c r="BD242">
        <v>38.329700000000003</v>
      </c>
      <c r="BE242" t="s">
        <v>135</v>
      </c>
      <c r="BF242">
        <v>22.712399999999999</v>
      </c>
      <c r="BG242" t="s">
        <v>135</v>
      </c>
      <c r="BH242" t="s">
        <v>135</v>
      </c>
      <c r="BI242" t="s">
        <v>135</v>
      </c>
      <c r="BJ242" t="s">
        <v>135</v>
      </c>
      <c r="BK242" t="s">
        <v>135</v>
      </c>
      <c r="BL242" t="s">
        <v>135</v>
      </c>
      <c r="BM242" t="s">
        <v>135</v>
      </c>
      <c r="BN242" t="s">
        <v>135</v>
      </c>
      <c r="BO242" t="s">
        <v>135</v>
      </c>
      <c r="BP242" t="s">
        <v>135</v>
      </c>
      <c r="BQ242" t="s">
        <v>135</v>
      </c>
      <c r="BR242" t="s">
        <v>135</v>
      </c>
      <c r="BS242" t="s">
        <v>135</v>
      </c>
      <c r="BT242" t="s">
        <v>135</v>
      </c>
      <c r="BU242" t="s">
        <v>135</v>
      </c>
      <c r="BV242" t="s">
        <v>135</v>
      </c>
      <c r="BW242" t="s">
        <v>135</v>
      </c>
      <c r="BX242" t="s">
        <v>135</v>
      </c>
      <c r="BY242">
        <v>557.47500000000002</v>
      </c>
      <c r="BZ242">
        <v>530.21400000000006</v>
      </c>
      <c r="CA242">
        <v>27.260999999999999</v>
      </c>
      <c r="CB242" t="s">
        <v>135</v>
      </c>
      <c r="CC242" t="s">
        <v>135</v>
      </c>
      <c r="CD242" t="s">
        <v>135</v>
      </c>
      <c r="CE242" t="s">
        <v>135</v>
      </c>
      <c r="CF242">
        <v>-6.6462000000000003</v>
      </c>
      <c r="CG242">
        <v>19.551400000000001</v>
      </c>
      <c r="CH242">
        <v>8.5719999999999992</v>
      </c>
      <c r="CI242">
        <v>3.1137999999999999</v>
      </c>
      <c r="CJ242">
        <v>1.6758999999999999</v>
      </c>
      <c r="CK242">
        <v>175.29339999999999</v>
      </c>
      <c r="CL242">
        <v>63.6751</v>
      </c>
      <c r="CM242">
        <v>34.272399999999998</v>
      </c>
      <c r="CN242">
        <v>156.70580000000001</v>
      </c>
      <c r="CO242">
        <v>61.044899999999998</v>
      </c>
      <c r="CP242">
        <v>-86.4</v>
      </c>
      <c r="CQ242" t="s">
        <v>135</v>
      </c>
      <c r="CR242">
        <v>-106</v>
      </c>
      <c r="CS242">
        <v>4.7399999999999998E-2</v>
      </c>
      <c r="CT242">
        <v>0.53339999999999999</v>
      </c>
      <c r="CU242">
        <v>0.1207</v>
      </c>
      <c r="CV242">
        <v>29.693200000000001</v>
      </c>
      <c r="CW242">
        <v>11.105</v>
      </c>
      <c r="CX242">
        <v>32.958199999999998</v>
      </c>
      <c r="CY242" t="s">
        <v>135</v>
      </c>
      <c r="CZ242" t="s">
        <v>135</v>
      </c>
      <c r="DA242">
        <v>0.44319999999999998</v>
      </c>
      <c r="DB242">
        <v>825.89340000000004</v>
      </c>
      <c r="DC242" t="s">
        <v>135</v>
      </c>
      <c r="DD242" t="s">
        <v>135</v>
      </c>
      <c r="DE242">
        <v>0</v>
      </c>
      <c r="DF242">
        <v>0</v>
      </c>
      <c r="DG242">
        <v>0</v>
      </c>
      <c r="DH242">
        <v>0</v>
      </c>
      <c r="DI242">
        <v>0</v>
      </c>
    </row>
    <row r="243" spans="1:113" x14ac:dyDescent="0.3">
      <c r="D243" t="s">
        <v>84</v>
      </c>
      <c r="E243" t="s">
        <v>77</v>
      </c>
      <c r="F243">
        <v>-125.6382</v>
      </c>
      <c r="G243">
        <v>-55.080399999999997</v>
      </c>
      <c r="H243">
        <v>-95.067400000000006</v>
      </c>
      <c r="I243">
        <v>-102.6876</v>
      </c>
      <c r="J243">
        <v>-68.034000000000006</v>
      </c>
      <c r="K243">
        <v>-72.958600000000004</v>
      </c>
      <c r="L243" t="s">
        <v>135</v>
      </c>
      <c r="M243">
        <v>-66.436899999999994</v>
      </c>
      <c r="N243">
        <v>-66.436899999999994</v>
      </c>
      <c r="O243">
        <v>-66.436899999999994</v>
      </c>
      <c r="P243">
        <v>-66.436899999999994</v>
      </c>
      <c r="Q243" t="s">
        <v>135</v>
      </c>
      <c r="R243" t="s">
        <v>135</v>
      </c>
      <c r="S243" t="s">
        <v>135</v>
      </c>
      <c r="T243">
        <v>12.2409</v>
      </c>
      <c r="U243">
        <v>-95.754900000000006</v>
      </c>
      <c r="V243">
        <v>-86.618399999999994</v>
      </c>
      <c r="W243">
        <v>-71.830100000000002</v>
      </c>
      <c r="X243">
        <v>-64.527000000000001</v>
      </c>
      <c r="Y243" t="s">
        <v>135</v>
      </c>
      <c r="Z243">
        <v>324.69319999999999</v>
      </c>
      <c r="AA243" t="s">
        <v>135</v>
      </c>
      <c r="AB243">
        <v>-0.28789999999999999</v>
      </c>
      <c r="AC243">
        <v>68.472399999999993</v>
      </c>
      <c r="AD243">
        <v>-13.3925</v>
      </c>
      <c r="AE243" t="s">
        <v>135</v>
      </c>
      <c r="AF243">
        <v>62.426699999999997</v>
      </c>
      <c r="AG243">
        <v>-98.196600000000004</v>
      </c>
      <c r="AH243">
        <v>-94.372699999999995</v>
      </c>
      <c r="AI243">
        <v>401.99919999999997</v>
      </c>
      <c r="AJ243">
        <v>85.933899999999994</v>
      </c>
      <c r="AK243">
        <v>401.99919999999997</v>
      </c>
      <c r="AL243">
        <v>-165.79560000000001</v>
      </c>
      <c r="AM243">
        <v>44.2575</v>
      </c>
      <c r="AN243" t="s">
        <v>135</v>
      </c>
      <c r="AO243" t="s">
        <v>135</v>
      </c>
      <c r="AP243" t="s">
        <v>135</v>
      </c>
      <c r="AQ243" t="s">
        <v>135</v>
      </c>
      <c r="AR243" t="s">
        <v>135</v>
      </c>
      <c r="AS243">
        <v>55.604799999999997</v>
      </c>
      <c r="AT243" t="s">
        <v>135</v>
      </c>
      <c r="AU243">
        <v>1.6520999999999999</v>
      </c>
      <c r="AV243">
        <v>26.1876</v>
      </c>
      <c r="AW243" t="s">
        <v>135</v>
      </c>
      <c r="AX243" t="s">
        <v>135</v>
      </c>
      <c r="AY243">
        <v>42.217399999999998</v>
      </c>
      <c r="AZ243">
        <v>-56.666600000000003</v>
      </c>
      <c r="BA243">
        <v>-46</v>
      </c>
      <c r="BB243" t="s">
        <v>135</v>
      </c>
      <c r="BC243">
        <v>148.63149999999999</v>
      </c>
      <c r="BD243" t="s">
        <v>135</v>
      </c>
      <c r="BE243" t="s">
        <v>135</v>
      </c>
      <c r="BF243">
        <v>12.2409</v>
      </c>
      <c r="BG243" t="s">
        <v>135</v>
      </c>
      <c r="BH243" t="s">
        <v>135</v>
      </c>
      <c r="BI243" t="s">
        <v>135</v>
      </c>
      <c r="BJ243" t="s">
        <v>135</v>
      </c>
      <c r="BK243" t="s">
        <v>135</v>
      </c>
      <c r="BL243">
        <v>324.69319999999999</v>
      </c>
      <c r="BM243" t="s">
        <v>135</v>
      </c>
      <c r="BN243">
        <v>-0.28789999999999999</v>
      </c>
      <c r="BO243">
        <v>68.472399999999993</v>
      </c>
      <c r="BP243" t="s">
        <v>135</v>
      </c>
      <c r="BQ243" t="s">
        <v>135</v>
      </c>
      <c r="BR243">
        <v>62.426699999999997</v>
      </c>
      <c r="BS243">
        <v>-98.196600000000004</v>
      </c>
      <c r="BT243">
        <v>-94.372699999999995</v>
      </c>
      <c r="BU243">
        <v>401.99919999999997</v>
      </c>
      <c r="BV243">
        <v>85.933899999999994</v>
      </c>
      <c r="BW243">
        <v>401.99919999999997</v>
      </c>
      <c r="BX243" t="s">
        <v>135</v>
      </c>
      <c r="BY243">
        <v>31.370999999999999</v>
      </c>
      <c r="BZ243">
        <v>9.5619999999999994</v>
      </c>
      <c r="CA243">
        <v>21.809000000000001</v>
      </c>
      <c r="CB243" t="s">
        <v>135</v>
      </c>
      <c r="CC243" t="s">
        <v>135</v>
      </c>
      <c r="CD243" t="s">
        <v>135</v>
      </c>
      <c r="CE243" t="s">
        <v>135</v>
      </c>
      <c r="CF243">
        <v>-67.676900000000003</v>
      </c>
      <c r="CG243">
        <v>58.2577</v>
      </c>
      <c r="CH243">
        <v>1.3660999999999999</v>
      </c>
      <c r="CI243">
        <v>1.3397000000000001</v>
      </c>
      <c r="CJ243">
        <v>0.79579999999999995</v>
      </c>
      <c r="CK243">
        <v>1.9649999999999999</v>
      </c>
      <c r="CL243">
        <v>1.9271</v>
      </c>
      <c r="CM243">
        <v>1.1448</v>
      </c>
      <c r="CN243">
        <v>-43.847000000000001</v>
      </c>
      <c r="CO243">
        <v>-78.084699999999998</v>
      </c>
      <c r="CP243">
        <v>-1231.5840000000001</v>
      </c>
      <c r="CQ243">
        <v>-1317.38</v>
      </c>
      <c r="CR243">
        <v>-1320.732</v>
      </c>
      <c r="CS243">
        <v>0.67700000000000005</v>
      </c>
      <c r="CT243">
        <v>1.468</v>
      </c>
      <c r="CU243">
        <v>1.0370999999999999</v>
      </c>
      <c r="CV243">
        <v>38.518299999999996</v>
      </c>
      <c r="CW243">
        <v>7.5332999999999997</v>
      </c>
      <c r="CX243">
        <v>48.4514</v>
      </c>
      <c r="CY243" t="s">
        <v>135</v>
      </c>
      <c r="CZ243" t="s">
        <v>135</v>
      </c>
      <c r="DA243">
        <v>0.3301</v>
      </c>
      <c r="DB243">
        <v>1105.8920000000001</v>
      </c>
      <c r="DC243" t="s">
        <v>135</v>
      </c>
      <c r="DD243" t="s">
        <v>135</v>
      </c>
      <c r="DE243">
        <v>0</v>
      </c>
      <c r="DF243">
        <v>0</v>
      </c>
      <c r="DG243">
        <v>0</v>
      </c>
      <c r="DH243">
        <v>0</v>
      </c>
      <c r="DI243">
        <v>0</v>
      </c>
    </row>
    <row r="244" spans="1:113" x14ac:dyDescent="0.3">
      <c r="E244" t="s">
        <v>78</v>
      </c>
      <c r="F244" t="s">
        <v>135</v>
      </c>
      <c r="G244" t="s">
        <v>135</v>
      </c>
      <c r="H244" t="s">
        <v>135</v>
      </c>
      <c r="I244" t="s">
        <v>135</v>
      </c>
      <c r="J244">
        <v>-168.10990000000001</v>
      </c>
      <c r="K244">
        <v>-177.2346</v>
      </c>
      <c r="L244">
        <v>-165.11840000000001</v>
      </c>
      <c r="M244">
        <v>-169.50649999999999</v>
      </c>
      <c r="N244">
        <v>-169.50649999999999</v>
      </c>
      <c r="O244">
        <v>-169.50649999999999</v>
      </c>
      <c r="P244">
        <v>-169.50649999999999</v>
      </c>
      <c r="Q244" t="s">
        <v>135</v>
      </c>
      <c r="R244" t="s">
        <v>135</v>
      </c>
      <c r="S244" t="s">
        <v>135</v>
      </c>
      <c r="T244">
        <v>-50.552500000000002</v>
      </c>
      <c r="U244" t="s">
        <v>135</v>
      </c>
      <c r="V244">
        <v>-2003.3149000000001</v>
      </c>
      <c r="W244">
        <v>-2106.6667000000002</v>
      </c>
      <c r="X244">
        <v>-2014.2882999999999</v>
      </c>
      <c r="Y244" t="s">
        <v>135</v>
      </c>
      <c r="Z244" t="s">
        <v>135</v>
      </c>
      <c r="AA244" t="s">
        <v>135</v>
      </c>
      <c r="AB244" t="s">
        <v>135</v>
      </c>
      <c r="AC244" t="s">
        <v>135</v>
      </c>
      <c r="AD244" t="s">
        <v>135</v>
      </c>
      <c r="AE244" t="s">
        <v>135</v>
      </c>
      <c r="AF244" t="s">
        <v>135</v>
      </c>
      <c r="AG244" t="s">
        <v>135</v>
      </c>
      <c r="AH244" t="s">
        <v>135</v>
      </c>
      <c r="AI244" t="s">
        <v>135</v>
      </c>
      <c r="AJ244" t="s">
        <v>135</v>
      </c>
      <c r="AK244" t="s">
        <v>135</v>
      </c>
      <c r="AL244" t="s">
        <v>135</v>
      </c>
      <c r="AM244">
        <v>16.336200000000002</v>
      </c>
      <c r="AN244" t="s">
        <v>135</v>
      </c>
      <c r="AO244" t="s">
        <v>135</v>
      </c>
      <c r="AP244" t="s">
        <v>135</v>
      </c>
      <c r="AQ244" t="s">
        <v>135</v>
      </c>
      <c r="AR244" t="s">
        <v>135</v>
      </c>
      <c r="AS244" t="s">
        <v>135</v>
      </c>
      <c r="AT244" t="s">
        <v>135</v>
      </c>
      <c r="AU244" t="s">
        <v>135</v>
      </c>
      <c r="AV244" t="s">
        <v>135</v>
      </c>
      <c r="AW244" t="s">
        <v>135</v>
      </c>
      <c r="AX244" t="s">
        <v>135</v>
      </c>
      <c r="AY244" t="s">
        <v>135</v>
      </c>
      <c r="AZ244" t="s">
        <v>135</v>
      </c>
      <c r="BA244" t="s">
        <v>135</v>
      </c>
      <c r="BB244" t="s">
        <v>135</v>
      </c>
      <c r="BC244" t="s">
        <v>135</v>
      </c>
      <c r="BD244" t="s">
        <v>135</v>
      </c>
      <c r="BE244" t="s">
        <v>135</v>
      </c>
      <c r="BF244">
        <v>-47.826099999999997</v>
      </c>
      <c r="BG244" t="s">
        <v>135</v>
      </c>
      <c r="BH244" t="s">
        <v>135</v>
      </c>
      <c r="BI244" t="s">
        <v>135</v>
      </c>
      <c r="BJ244" t="s">
        <v>135</v>
      </c>
      <c r="BK244" t="s">
        <v>135</v>
      </c>
      <c r="BL244" t="s">
        <v>135</v>
      </c>
      <c r="BM244" t="s">
        <v>135</v>
      </c>
      <c r="BN244" t="s">
        <v>135</v>
      </c>
      <c r="BO244" t="s">
        <v>135</v>
      </c>
      <c r="BP244" t="s">
        <v>135</v>
      </c>
      <c r="BQ244" t="s">
        <v>135</v>
      </c>
      <c r="BR244" t="s">
        <v>135</v>
      </c>
      <c r="BS244" t="s">
        <v>135</v>
      </c>
      <c r="BT244" t="s">
        <v>135</v>
      </c>
      <c r="BU244" t="s">
        <v>135</v>
      </c>
      <c r="BV244" t="s">
        <v>135</v>
      </c>
      <c r="BW244" t="s">
        <v>135</v>
      </c>
      <c r="BX244" t="s">
        <v>135</v>
      </c>
      <c r="BY244" t="s">
        <v>135</v>
      </c>
      <c r="BZ244" t="s">
        <v>135</v>
      </c>
      <c r="CA244" t="s">
        <v>135</v>
      </c>
      <c r="CB244" t="s">
        <v>135</v>
      </c>
      <c r="CC244" t="s">
        <v>135</v>
      </c>
      <c r="CD244" t="s">
        <v>135</v>
      </c>
      <c r="CE244" t="s">
        <v>135</v>
      </c>
      <c r="CF244">
        <v>-27.150400000000001</v>
      </c>
      <c r="CG244" t="s">
        <v>135</v>
      </c>
      <c r="CH244" t="s">
        <v>135</v>
      </c>
      <c r="CI244" t="s">
        <v>135</v>
      </c>
      <c r="CJ244" t="s">
        <v>135</v>
      </c>
      <c r="CK244" t="s">
        <v>135</v>
      </c>
      <c r="CL244" t="s">
        <v>135</v>
      </c>
      <c r="CM244" t="s">
        <v>135</v>
      </c>
      <c r="CN244" t="s">
        <v>135</v>
      </c>
      <c r="CO244" t="s">
        <v>135</v>
      </c>
      <c r="CP244">
        <v>-361.1</v>
      </c>
      <c r="CQ244" t="s">
        <v>135</v>
      </c>
      <c r="CR244">
        <v>-380.7</v>
      </c>
      <c r="CS244" t="s">
        <v>135</v>
      </c>
      <c r="CT244" t="s">
        <v>135</v>
      </c>
      <c r="CU244" t="s">
        <v>135</v>
      </c>
      <c r="CV244" t="s">
        <v>135</v>
      </c>
      <c r="CW244" t="s">
        <v>135</v>
      </c>
      <c r="CX244" t="s">
        <v>135</v>
      </c>
      <c r="CY244" t="s">
        <v>135</v>
      </c>
      <c r="CZ244" t="s">
        <v>135</v>
      </c>
      <c r="DA244" t="s">
        <v>135</v>
      </c>
      <c r="DB244" t="s">
        <v>135</v>
      </c>
      <c r="DC244" t="s">
        <v>135</v>
      </c>
      <c r="DD244" t="s">
        <v>135</v>
      </c>
      <c r="DE244" t="s">
        <v>135</v>
      </c>
      <c r="DF244" t="s">
        <v>135</v>
      </c>
      <c r="DG244" t="s">
        <v>135</v>
      </c>
      <c r="DH244" t="s">
        <v>135</v>
      </c>
      <c r="DI244" t="s">
        <v>135</v>
      </c>
    </row>
    <row r="245" spans="1:113" x14ac:dyDescent="0.3">
      <c r="E245" t="s">
        <v>79</v>
      </c>
      <c r="F245">
        <v>-42.668599999999998</v>
      </c>
      <c r="G245">
        <v>-27.4238</v>
      </c>
      <c r="H245" t="s">
        <v>135</v>
      </c>
      <c r="I245">
        <v>-43.0749</v>
      </c>
      <c r="J245">
        <v>13.952999999999999</v>
      </c>
      <c r="K245">
        <v>11.7294</v>
      </c>
      <c r="L245">
        <v>55.862499999999997</v>
      </c>
      <c r="M245">
        <v>15.533799999999999</v>
      </c>
      <c r="N245">
        <v>15.533799999999999</v>
      </c>
      <c r="O245">
        <v>15.533799999999999</v>
      </c>
      <c r="P245">
        <v>15.533799999999999</v>
      </c>
      <c r="Q245">
        <v>0</v>
      </c>
      <c r="R245" t="s">
        <v>135</v>
      </c>
      <c r="S245" t="s">
        <v>135</v>
      </c>
      <c r="T245">
        <v>120.0603</v>
      </c>
      <c r="U245" t="s">
        <v>135</v>
      </c>
      <c r="V245" t="s">
        <v>135</v>
      </c>
      <c r="W245" t="s">
        <v>135</v>
      </c>
      <c r="X245" t="s">
        <v>135</v>
      </c>
      <c r="Y245" t="s">
        <v>135</v>
      </c>
      <c r="Z245">
        <v>-40.201099999999997</v>
      </c>
      <c r="AA245" t="s">
        <v>135</v>
      </c>
      <c r="AB245">
        <v>3.8814000000000002</v>
      </c>
      <c r="AC245">
        <v>112.4059</v>
      </c>
      <c r="AD245" t="s">
        <v>135</v>
      </c>
      <c r="AE245" t="s">
        <v>135</v>
      </c>
      <c r="AF245" t="s">
        <v>135</v>
      </c>
      <c r="AG245">
        <v>-99.695899999999995</v>
      </c>
      <c r="AH245">
        <v>-88.367199999999997</v>
      </c>
      <c r="AI245">
        <v>220.8075</v>
      </c>
      <c r="AJ245">
        <v>161.3424</v>
      </c>
      <c r="AK245">
        <v>209.64680000000001</v>
      </c>
      <c r="AL245" t="s">
        <v>135</v>
      </c>
      <c r="AM245">
        <v>56.307499999999997</v>
      </c>
      <c r="AN245" t="s">
        <v>135</v>
      </c>
      <c r="AO245" t="s">
        <v>135</v>
      </c>
      <c r="AP245" t="s">
        <v>135</v>
      </c>
      <c r="AQ245" t="s">
        <v>135</v>
      </c>
      <c r="AR245" t="s">
        <v>135</v>
      </c>
      <c r="AS245">
        <v>62.828600000000002</v>
      </c>
      <c r="AT245" t="s">
        <v>135</v>
      </c>
      <c r="AU245">
        <v>1.9539</v>
      </c>
      <c r="AV245">
        <v>33.820999999999998</v>
      </c>
      <c r="AW245" t="s">
        <v>135</v>
      </c>
      <c r="AX245" t="s">
        <v>135</v>
      </c>
      <c r="AY245" t="s">
        <v>135</v>
      </c>
      <c r="AZ245" t="s">
        <v>135</v>
      </c>
      <c r="BA245">
        <v>-42.500500000000002</v>
      </c>
      <c r="BB245" t="s">
        <v>135</v>
      </c>
      <c r="BC245">
        <v>98.936099999999996</v>
      </c>
      <c r="BD245" t="s">
        <v>135</v>
      </c>
      <c r="BE245" t="s">
        <v>135</v>
      </c>
      <c r="BF245">
        <v>341.75979999999998</v>
      </c>
      <c r="BG245" t="s">
        <v>135</v>
      </c>
      <c r="BH245" t="s">
        <v>135</v>
      </c>
      <c r="BI245" t="s">
        <v>135</v>
      </c>
      <c r="BJ245" t="s">
        <v>135</v>
      </c>
      <c r="BK245" t="s">
        <v>135</v>
      </c>
      <c r="BL245" t="s">
        <v>135</v>
      </c>
      <c r="BM245" t="s">
        <v>135</v>
      </c>
      <c r="BN245" t="s">
        <v>135</v>
      </c>
      <c r="BO245" t="s">
        <v>135</v>
      </c>
      <c r="BP245" t="s">
        <v>135</v>
      </c>
      <c r="BQ245" t="s">
        <v>135</v>
      </c>
      <c r="BR245" t="s">
        <v>135</v>
      </c>
      <c r="BS245" t="s">
        <v>135</v>
      </c>
      <c r="BT245" t="s">
        <v>135</v>
      </c>
      <c r="BU245" t="s">
        <v>135</v>
      </c>
      <c r="BV245" t="s">
        <v>135</v>
      </c>
      <c r="BW245" t="s">
        <v>135</v>
      </c>
      <c r="BX245" t="s">
        <v>135</v>
      </c>
      <c r="BY245">
        <v>22.3</v>
      </c>
      <c r="BZ245">
        <v>0.5</v>
      </c>
      <c r="CA245">
        <v>21.8</v>
      </c>
      <c r="CB245" t="s">
        <v>135</v>
      </c>
      <c r="CC245" t="s">
        <v>135</v>
      </c>
      <c r="CD245" t="s">
        <v>135</v>
      </c>
      <c r="CE245" t="s">
        <v>135</v>
      </c>
      <c r="CF245">
        <v>30.790700000000001</v>
      </c>
      <c r="CG245">
        <v>72.066400000000002</v>
      </c>
      <c r="CH245">
        <v>0.84409999999999996</v>
      </c>
      <c r="CI245">
        <v>0.83689999999999998</v>
      </c>
      <c r="CJ245">
        <v>0.60829999999999995</v>
      </c>
      <c r="CK245">
        <v>0.86350000000000005</v>
      </c>
      <c r="CL245">
        <v>0.85609999999999997</v>
      </c>
      <c r="CM245">
        <v>0.62229999999999996</v>
      </c>
      <c r="CN245">
        <v>-71.562399999999997</v>
      </c>
      <c r="CO245">
        <v>-251.64760000000001</v>
      </c>
      <c r="CP245">
        <v>132.4</v>
      </c>
      <c r="CQ245" t="s">
        <v>135</v>
      </c>
      <c r="CR245">
        <v>111.3</v>
      </c>
      <c r="CS245">
        <v>1.9765000000000001</v>
      </c>
      <c r="CT245">
        <v>2.7446000000000002</v>
      </c>
      <c r="CU245">
        <v>2.2342</v>
      </c>
      <c r="CV245">
        <v>47.949399999999997</v>
      </c>
      <c r="CW245">
        <v>5.8662000000000001</v>
      </c>
      <c r="CX245">
        <v>62.391800000000003</v>
      </c>
      <c r="CY245" t="s">
        <v>135</v>
      </c>
      <c r="CZ245" t="s">
        <v>135</v>
      </c>
      <c r="DA245" t="s">
        <v>135</v>
      </c>
      <c r="DB245" t="s">
        <v>135</v>
      </c>
      <c r="DC245" t="s">
        <v>135</v>
      </c>
      <c r="DD245" t="s">
        <v>135</v>
      </c>
      <c r="DE245">
        <v>0</v>
      </c>
      <c r="DF245" t="s">
        <v>135</v>
      </c>
      <c r="DG245" t="s">
        <v>135</v>
      </c>
      <c r="DH245" t="s">
        <v>135</v>
      </c>
      <c r="DI245" t="s">
        <v>135</v>
      </c>
    </row>
    <row r="246" spans="1:113" x14ac:dyDescent="0.3">
      <c r="E246" t="s">
        <v>80</v>
      </c>
      <c r="F246" t="s">
        <v>135</v>
      </c>
      <c r="G246" t="s">
        <v>135</v>
      </c>
      <c r="H246" t="s">
        <v>135</v>
      </c>
      <c r="I246" t="s">
        <v>135</v>
      </c>
      <c r="J246">
        <v>-290.97609999999997</v>
      </c>
      <c r="K246">
        <v>-300.04340000000002</v>
      </c>
      <c r="L246">
        <v>-268.95240000000001</v>
      </c>
      <c r="M246">
        <v>-287.76569999999998</v>
      </c>
      <c r="N246">
        <v>-287.76569999999998</v>
      </c>
      <c r="O246">
        <v>-287.76569999999998</v>
      </c>
      <c r="P246">
        <v>-287.76569999999998</v>
      </c>
      <c r="Q246" t="s">
        <v>135</v>
      </c>
      <c r="R246" t="s">
        <v>135</v>
      </c>
      <c r="S246" t="s">
        <v>135</v>
      </c>
      <c r="T246">
        <v>-31.296600000000002</v>
      </c>
      <c r="U246">
        <v>-71.930300000000003</v>
      </c>
      <c r="V246">
        <v>-69.012699999999995</v>
      </c>
      <c r="W246">
        <v>-61.701599999999999</v>
      </c>
      <c r="X246">
        <v>-56.549300000000002</v>
      </c>
      <c r="Y246" t="s">
        <v>135</v>
      </c>
      <c r="Z246" t="s">
        <v>135</v>
      </c>
      <c r="AA246" t="s">
        <v>135</v>
      </c>
      <c r="AB246" t="s">
        <v>135</v>
      </c>
      <c r="AC246" t="s">
        <v>135</v>
      </c>
      <c r="AD246" t="s">
        <v>135</v>
      </c>
      <c r="AE246" t="s">
        <v>135</v>
      </c>
      <c r="AF246" t="s">
        <v>135</v>
      </c>
      <c r="AG246" t="s">
        <v>135</v>
      </c>
      <c r="AH246" t="s">
        <v>135</v>
      </c>
      <c r="AI246" t="s">
        <v>135</v>
      </c>
      <c r="AJ246" t="s">
        <v>135</v>
      </c>
      <c r="AK246" t="s">
        <v>135</v>
      </c>
      <c r="AL246" t="s">
        <v>135</v>
      </c>
      <c r="AM246">
        <v>38.579500000000003</v>
      </c>
      <c r="AN246" t="s">
        <v>135</v>
      </c>
      <c r="AO246" t="s">
        <v>135</v>
      </c>
      <c r="AP246" t="s">
        <v>135</v>
      </c>
      <c r="AQ246" t="s">
        <v>135</v>
      </c>
      <c r="AR246" t="s">
        <v>135</v>
      </c>
      <c r="AS246" t="s">
        <v>135</v>
      </c>
      <c r="AT246" t="s">
        <v>135</v>
      </c>
      <c r="AU246" t="s">
        <v>135</v>
      </c>
      <c r="AV246" t="s">
        <v>135</v>
      </c>
      <c r="AW246" t="s">
        <v>135</v>
      </c>
      <c r="AX246" t="s">
        <v>135</v>
      </c>
      <c r="AY246" t="s">
        <v>135</v>
      </c>
      <c r="AZ246" t="s">
        <v>135</v>
      </c>
      <c r="BA246" t="s">
        <v>135</v>
      </c>
      <c r="BB246" t="s">
        <v>135</v>
      </c>
      <c r="BC246" t="s">
        <v>135</v>
      </c>
      <c r="BD246" t="s">
        <v>135</v>
      </c>
      <c r="BE246" t="s">
        <v>135</v>
      </c>
      <c r="BF246">
        <v>-75.708699999999993</v>
      </c>
      <c r="BG246">
        <v>-596.44709999999998</v>
      </c>
      <c r="BH246">
        <v>-706.66669999999999</v>
      </c>
      <c r="BI246">
        <v>-541.90539999999999</v>
      </c>
      <c r="BJ246">
        <v>-540.98360000000002</v>
      </c>
      <c r="BK246" t="s">
        <v>135</v>
      </c>
      <c r="BL246" t="s">
        <v>135</v>
      </c>
      <c r="BM246" t="s">
        <v>135</v>
      </c>
      <c r="BN246" t="s">
        <v>135</v>
      </c>
      <c r="BO246" t="s">
        <v>135</v>
      </c>
      <c r="BP246" t="s">
        <v>135</v>
      </c>
      <c r="BQ246" t="s">
        <v>135</v>
      </c>
      <c r="BR246" t="s">
        <v>135</v>
      </c>
      <c r="BS246" t="s">
        <v>135</v>
      </c>
      <c r="BT246" t="s">
        <v>135</v>
      </c>
      <c r="BU246" t="s">
        <v>135</v>
      </c>
      <c r="BV246" t="s">
        <v>135</v>
      </c>
      <c r="BW246" t="s">
        <v>135</v>
      </c>
      <c r="BX246" t="s">
        <v>135</v>
      </c>
      <c r="BY246" t="s">
        <v>135</v>
      </c>
      <c r="BZ246" t="s">
        <v>135</v>
      </c>
      <c r="CA246" t="s">
        <v>135</v>
      </c>
      <c r="CB246" t="s">
        <v>135</v>
      </c>
      <c r="CC246" t="s">
        <v>135</v>
      </c>
      <c r="CD246" t="s">
        <v>135</v>
      </c>
      <c r="CE246" t="s">
        <v>135</v>
      </c>
      <c r="CF246">
        <v>-2235.6667000000002</v>
      </c>
      <c r="CG246" t="s">
        <v>135</v>
      </c>
      <c r="CH246" t="s">
        <v>135</v>
      </c>
      <c r="CI246" t="s">
        <v>135</v>
      </c>
      <c r="CJ246" t="s">
        <v>135</v>
      </c>
      <c r="CK246" t="s">
        <v>135</v>
      </c>
      <c r="CL246" t="s">
        <v>135</v>
      </c>
      <c r="CM246" t="s">
        <v>135</v>
      </c>
      <c r="CN246" t="s">
        <v>135</v>
      </c>
      <c r="CO246" t="s">
        <v>135</v>
      </c>
      <c r="CP246">
        <v>-670.7</v>
      </c>
      <c r="CQ246" t="s">
        <v>135</v>
      </c>
      <c r="CR246">
        <v>-691.6</v>
      </c>
      <c r="CS246" t="s">
        <v>135</v>
      </c>
      <c r="CT246" t="s">
        <v>135</v>
      </c>
      <c r="CU246" t="s">
        <v>135</v>
      </c>
      <c r="CV246" t="s">
        <v>135</v>
      </c>
      <c r="CW246" t="s">
        <v>135</v>
      </c>
      <c r="CX246" t="s">
        <v>135</v>
      </c>
      <c r="CY246" t="s">
        <v>135</v>
      </c>
      <c r="CZ246" t="s">
        <v>135</v>
      </c>
      <c r="DA246" t="s">
        <v>135</v>
      </c>
      <c r="DB246" t="s">
        <v>135</v>
      </c>
      <c r="DC246" t="s">
        <v>135</v>
      </c>
      <c r="DD246" t="s">
        <v>135</v>
      </c>
      <c r="DE246" t="s">
        <v>135</v>
      </c>
      <c r="DF246" t="s">
        <v>135</v>
      </c>
      <c r="DG246" t="s">
        <v>135</v>
      </c>
      <c r="DH246" t="s">
        <v>135</v>
      </c>
      <c r="DI246" t="s">
        <v>135</v>
      </c>
    </row>
    <row r="247" spans="1:113" x14ac:dyDescent="0.3">
      <c r="E247" t="s">
        <v>81</v>
      </c>
      <c r="F247">
        <v>-125.35899999999999</v>
      </c>
      <c r="G247">
        <v>-54.957999999999998</v>
      </c>
      <c r="H247">
        <v>-94.853800000000007</v>
      </c>
      <c r="I247">
        <v>-103.17619999999999</v>
      </c>
      <c r="J247">
        <v>-81.490399999999994</v>
      </c>
      <c r="K247">
        <v>-86.490399999999994</v>
      </c>
      <c r="L247" t="s">
        <v>135</v>
      </c>
      <c r="M247">
        <v>-77.572100000000006</v>
      </c>
      <c r="N247">
        <v>-77.572100000000006</v>
      </c>
      <c r="O247">
        <v>-77.572100000000006</v>
      </c>
      <c r="P247">
        <v>-77.572100000000006</v>
      </c>
      <c r="Q247" t="s">
        <v>135</v>
      </c>
      <c r="R247" t="s">
        <v>135</v>
      </c>
      <c r="S247" t="s">
        <v>135</v>
      </c>
      <c r="T247">
        <v>1.0444</v>
      </c>
      <c r="U247">
        <v>-292.36110000000002</v>
      </c>
      <c r="V247">
        <v>-239.434</v>
      </c>
      <c r="W247">
        <v>-236.8476</v>
      </c>
      <c r="X247">
        <v>-227.5</v>
      </c>
      <c r="Y247" t="s">
        <v>135</v>
      </c>
      <c r="Z247">
        <v>324.69319999999999</v>
      </c>
      <c r="AA247" t="s">
        <v>135</v>
      </c>
      <c r="AB247">
        <v>-0.28789999999999999</v>
      </c>
      <c r="AC247">
        <v>68.472399999999993</v>
      </c>
      <c r="AD247">
        <v>-13.3925</v>
      </c>
      <c r="AE247" t="s">
        <v>135</v>
      </c>
      <c r="AF247">
        <v>62.426699999999997</v>
      </c>
      <c r="AG247">
        <v>-98.196600000000004</v>
      </c>
      <c r="AH247">
        <v>-94.372699999999995</v>
      </c>
      <c r="AI247">
        <v>401.99919999999997</v>
      </c>
      <c r="AJ247">
        <v>85.933899999999994</v>
      </c>
      <c r="AK247">
        <v>401.99919999999997</v>
      </c>
      <c r="AL247" t="s">
        <v>135</v>
      </c>
      <c r="AM247">
        <v>58.036099999999998</v>
      </c>
      <c r="AN247" t="s">
        <v>135</v>
      </c>
      <c r="AO247" t="s">
        <v>135</v>
      </c>
      <c r="AP247" t="s">
        <v>135</v>
      </c>
      <c r="AQ247" t="s">
        <v>135</v>
      </c>
      <c r="AR247" t="s">
        <v>135</v>
      </c>
      <c r="AS247">
        <v>55.604799999999997</v>
      </c>
      <c r="AT247" t="s">
        <v>135</v>
      </c>
      <c r="AU247">
        <v>1.6520999999999999</v>
      </c>
      <c r="AV247">
        <v>26.1876</v>
      </c>
      <c r="AW247" t="s">
        <v>135</v>
      </c>
      <c r="AX247" t="s">
        <v>135</v>
      </c>
      <c r="AY247">
        <v>42.217399999999998</v>
      </c>
      <c r="AZ247">
        <v>-56.666600000000003</v>
      </c>
      <c r="BA247">
        <v>-46</v>
      </c>
      <c r="BB247" t="s">
        <v>135</v>
      </c>
      <c r="BC247">
        <v>148.63149999999999</v>
      </c>
      <c r="BD247" t="s">
        <v>135</v>
      </c>
      <c r="BE247" t="s">
        <v>135</v>
      </c>
      <c r="BF247">
        <v>80.477199999999996</v>
      </c>
      <c r="BG247" t="s">
        <v>135</v>
      </c>
      <c r="BH247" t="s">
        <v>135</v>
      </c>
      <c r="BI247" t="s">
        <v>135</v>
      </c>
      <c r="BJ247" t="s">
        <v>135</v>
      </c>
      <c r="BK247" t="s">
        <v>135</v>
      </c>
      <c r="BL247" t="s">
        <v>135</v>
      </c>
      <c r="BM247" t="s">
        <v>135</v>
      </c>
      <c r="BN247" t="s">
        <v>135</v>
      </c>
      <c r="BO247" t="s">
        <v>135</v>
      </c>
      <c r="BP247" t="s">
        <v>135</v>
      </c>
      <c r="BQ247" t="s">
        <v>135</v>
      </c>
      <c r="BR247" t="s">
        <v>135</v>
      </c>
      <c r="BS247" t="s">
        <v>135</v>
      </c>
      <c r="BT247" t="s">
        <v>135</v>
      </c>
      <c r="BU247" t="s">
        <v>135</v>
      </c>
      <c r="BV247" t="s">
        <v>135</v>
      </c>
      <c r="BW247" t="s">
        <v>135</v>
      </c>
      <c r="BX247" t="s">
        <v>135</v>
      </c>
      <c r="BY247">
        <v>31.370999999999999</v>
      </c>
      <c r="BZ247">
        <v>9.5619999999999994</v>
      </c>
      <c r="CA247">
        <v>21.809000000000001</v>
      </c>
      <c r="CB247" t="s">
        <v>135</v>
      </c>
      <c r="CC247" t="s">
        <v>135</v>
      </c>
      <c r="CD247" t="s">
        <v>135</v>
      </c>
      <c r="CE247" t="s">
        <v>135</v>
      </c>
      <c r="CF247">
        <v>-1130</v>
      </c>
      <c r="CG247">
        <v>58.2577</v>
      </c>
      <c r="CH247">
        <v>1.3660999999999999</v>
      </c>
      <c r="CI247">
        <v>1.3397000000000001</v>
      </c>
      <c r="CJ247">
        <v>0.79579999999999995</v>
      </c>
      <c r="CK247">
        <v>1.9649999999999999</v>
      </c>
      <c r="CL247">
        <v>1.9271</v>
      </c>
      <c r="CM247">
        <v>1.1448</v>
      </c>
      <c r="CN247">
        <v>-43.847000000000001</v>
      </c>
      <c r="CO247">
        <v>-78.084699999999998</v>
      </c>
      <c r="CP247">
        <v>-339</v>
      </c>
      <c r="CQ247" t="s">
        <v>135</v>
      </c>
      <c r="CR247">
        <v>-359.8</v>
      </c>
      <c r="CS247">
        <v>0.67700000000000005</v>
      </c>
      <c r="CT247">
        <v>1.468</v>
      </c>
      <c r="CU247">
        <v>1.0370999999999999</v>
      </c>
      <c r="CV247">
        <v>38.518299999999996</v>
      </c>
      <c r="CW247">
        <v>7.5331000000000001</v>
      </c>
      <c r="CX247">
        <v>48.4527</v>
      </c>
      <c r="CY247" t="s">
        <v>135</v>
      </c>
      <c r="CZ247" t="s">
        <v>135</v>
      </c>
      <c r="DA247">
        <v>0.33</v>
      </c>
      <c r="DB247">
        <v>1106.0456999999999</v>
      </c>
      <c r="DC247" t="s">
        <v>135</v>
      </c>
      <c r="DD247" t="s">
        <v>135</v>
      </c>
      <c r="DE247">
        <v>0</v>
      </c>
      <c r="DF247" t="s">
        <v>135</v>
      </c>
      <c r="DG247" t="s">
        <v>135</v>
      </c>
      <c r="DH247" t="s">
        <v>135</v>
      </c>
      <c r="DI247" t="s">
        <v>135</v>
      </c>
    </row>
    <row r="248" spans="1:113" x14ac:dyDescent="0.3">
      <c r="D248" t="s">
        <v>85</v>
      </c>
      <c r="E248" t="s">
        <v>77</v>
      </c>
      <c r="F248">
        <v>-114.9076</v>
      </c>
      <c r="G248">
        <v>-67.771900000000002</v>
      </c>
      <c r="H248">
        <v>-113.42440000000001</v>
      </c>
      <c r="I248">
        <v>-135.16499999999999</v>
      </c>
      <c r="J248">
        <v>-310.00740000000002</v>
      </c>
      <c r="K248">
        <v>-320.4658</v>
      </c>
      <c r="L248">
        <v>-116.6285</v>
      </c>
      <c r="M248">
        <v>-251.7259</v>
      </c>
      <c r="N248">
        <v>-251.7259</v>
      </c>
      <c r="O248">
        <v>-251.7259</v>
      </c>
      <c r="P248">
        <v>-251.7259</v>
      </c>
      <c r="Q248" t="s">
        <v>135</v>
      </c>
      <c r="R248" t="s">
        <v>135</v>
      </c>
      <c r="S248" t="s">
        <v>135</v>
      </c>
      <c r="T248">
        <v>-56.768999999999998</v>
      </c>
      <c r="U248">
        <v>-97.726500000000001</v>
      </c>
      <c r="V248">
        <v>-91.534700000000001</v>
      </c>
      <c r="W248">
        <v>-65.491100000000003</v>
      </c>
      <c r="X248">
        <v>-64.049599999999998</v>
      </c>
      <c r="Y248" t="s">
        <v>135</v>
      </c>
      <c r="Z248">
        <v>-54.860399999999998</v>
      </c>
      <c r="AA248" t="s">
        <v>135</v>
      </c>
      <c r="AB248">
        <v>-22.4406</v>
      </c>
      <c r="AC248">
        <v>13.305899999999999</v>
      </c>
      <c r="AD248">
        <v>-52.873800000000003</v>
      </c>
      <c r="AE248">
        <v>17.638100000000001</v>
      </c>
      <c r="AF248">
        <v>8.5037000000000003</v>
      </c>
      <c r="AG248">
        <v>-74.695899999999995</v>
      </c>
      <c r="AH248">
        <v>-32.879399999999997</v>
      </c>
      <c r="AI248">
        <v>16.7987</v>
      </c>
      <c r="AJ248">
        <v>15.9977</v>
      </c>
      <c r="AK248">
        <v>14.918100000000001</v>
      </c>
      <c r="AL248">
        <v>-51.907800000000002</v>
      </c>
      <c r="AM248">
        <v>-2.1581000000000001</v>
      </c>
      <c r="AN248" t="s">
        <v>135</v>
      </c>
      <c r="AO248" t="s">
        <v>135</v>
      </c>
      <c r="AP248" t="s">
        <v>135</v>
      </c>
      <c r="AQ248" t="s">
        <v>135</v>
      </c>
      <c r="AR248" t="s">
        <v>135</v>
      </c>
      <c r="AS248">
        <v>-6.8639000000000001</v>
      </c>
      <c r="AT248" t="s">
        <v>135</v>
      </c>
      <c r="AU248">
        <v>-3.5750000000000002</v>
      </c>
      <c r="AV248">
        <v>8.1214999999999993</v>
      </c>
      <c r="AW248" t="s">
        <v>135</v>
      </c>
      <c r="AX248">
        <v>5.7141000000000002</v>
      </c>
      <c r="AY248">
        <v>51.612900000000003</v>
      </c>
      <c r="AZ248">
        <v>-73.290700000000001</v>
      </c>
      <c r="BA248">
        <v>-53.598199999999999</v>
      </c>
      <c r="BB248">
        <v>11.243399999999999</v>
      </c>
      <c r="BC248">
        <v>-0.30180000000000001</v>
      </c>
      <c r="BD248">
        <v>10.1012</v>
      </c>
      <c r="BE248" t="s">
        <v>135</v>
      </c>
      <c r="BF248">
        <v>-56.768999999999998</v>
      </c>
      <c r="BG248" t="s">
        <v>135</v>
      </c>
      <c r="BH248" t="s">
        <v>135</v>
      </c>
      <c r="BI248" t="s">
        <v>135</v>
      </c>
      <c r="BJ248" t="s">
        <v>135</v>
      </c>
      <c r="BK248" t="s">
        <v>135</v>
      </c>
      <c r="BL248">
        <v>-54.860399999999998</v>
      </c>
      <c r="BM248" t="s">
        <v>135</v>
      </c>
      <c r="BN248">
        <v>-22.4406</v>
      </c>
      <c r="BO248">
        <v>13.305899999999999</v>
      </c>
      <c r="BP248" t="s">
        <v>135</v>
      </c>
      <c r="BQ248">
        <v>17.638100000000001</v>
      </c>
      <c r="BR248">
        <v>8.5037000000000003</v>
      </c>
      <c r="BS248">
        <v>-74.695899999999995</v>
      </c>
      <c r="BT248">
        <v>-32.879399999999997</v>
      </c>
      <c r="BU248">
        <v>16.7987</v>
      </c>
      <c r="BV248">
        <v>15.9977</v>
      </c>
      <c r="BW248">
        <v>14.918100000000001</v>
      </c>
      <c r="BX248" t="s">
        <v>135</v>
      </c>
      <c r="BY248">
        <v>17.396999999999998</v>
      </c>
      <c r="BZ248">
        <v>1.04</v>
      </c>
      <c r="CA248">
        <v>16.356999999999999</v>
      </c>
      <c r="CB248" t="s">
        <v>135</v>
      </c>
      <c r="CC248" t="s">
        <v>135</v>
      </c>
      <c r="CD248" t="s">
        <v>135</v>
      </c>
      <c r="CE248" t="s">
        <v>135</v>
      </c>
      <c r="CF248">
        <v>-1967.6269</v>
      </c>
      <c r="CG248">
        <v>59.818100000000001</v>
      </c>
      <c r="CH248">
        <v>0.88549999999999995</v>
      </c>
      <c r="CI248">
        <v>0.87719999999999998</v>
      </c>
      <c r="CJ248">
        <v>0.52969999999999995</v>
      </c>
      <c r="CK248">
        <v>0.94179999999999997</v>
      </c>
      <c r="CL248">
        <v>0.93300000000000005</v>
      </c>
      <c r="CM248">
        <v>0.56340000000000001</v>
      </c>
      <c r="CN248">
        <v>-57.398800000000001</v>
      </c>
      <c r="CO248">
        <v>-134.73509999999999</v>
      </c>
      <c r="CP248">
        <v>-2426.0839999999998</v>
      </c>
      <c r="CQ248">
        <v>-2752.386</v>
      </c>
      <c r="CR248">
        <v>-2507.9299999999998</v>
      </c>
      <c r="CS248">
        <v>0.92820000000000003</v>
      </c>
      <c r="CT248">
        <v>1.5091000000000001</v>
      </c>
      <c r="CU248">
        <v>1.0793999999999999</v>
      </c>
      <c r="CV248">
        <v>41.129899999999999</v>
      </c>
      <c r="CW248">
        <v>2.7721999999999998</v>
      </c>
      <c r="CX248">
        <v>131.66399999999999</v>
      </c>
      <c r="CY248" t="s">
        <v>135</v>
      </c>
      <c r="CZ248" t="s">
        <v>135</v>
      </c>
      <c r="DA248">
        <v>0.2722</v>
      </c>
      <c r="DB248">
        <v>1340.7624000000001</v>
      </c>
      <c r="DC248" t="s">
        <v>135</v>
      </c>
      <c r="DD248" t="s">
        <v>135</v>
      </c>
      <c r="DE248">
        <v>0</v>
      </c>
      <c r="DF248">
        <v>0</v>
      </c>
      <c r="DG248">
        <v>0</v>
      </c>
      <c r="DH248">
        <v>0</v>
      </c>
      <c r="DI248">
        <v>0</v>
      </c>
    </row>
    <row r="249" spans="1:113" x14ac:dyDescent="0.3">
      <c r="E249" t="s">
        <v>78</v>
      </c>
      <c r="F249" t="s">
        <v>135</v>
      </c>
      <c r="G249" t="s">
        <v>135</v>
      </c>
      <c r="H249" t="s">
        <v>135</v>
      </c>
      <c r="I249" t="s">
        <v>135</v>
      </c>
      <c r="J249">
        <v>-333.21929999999998</v>
      </c>
      <c r="K249">
        <v>-342.0265</v>
      </c>
      <c r="L249" t="s">
        <v>135</v>
      </c>
      <c r="M249">
        <v>-337.06709999999998</v>
      </c>
      <c r="N249">
        <v>-337.06709999999998</v>
      </c>
      <c r="O249">
        <v>-337.06709999999998</v>
      </c>
      <c r="P249">
        <v>-337.06709999999998</v>
      </c>
      <c r="Q249" t="s">
        <v>135</v>
      </c>
      <c r="R249" t="s">
        <v>135</v>
      </c>
      <c r="S249" t="s">
        <v>135</v>
      </c>
      <c r="T249">
        <v>8.8919999999999995</v>
      </c>
      <c r="U249">
        <v>-115.84050000000001</v>
      </c>
      <c r="V249">
        <v>-110.1392</v>
      </c>
      <c r="W249">
        <v>-116.5339</v>
      </c>
      <c r="X249">
        <v>-117.0068</v>
      </c>
      <c r="Y249" t="s">
        <v>135</v>
      </c>
      <c r="Z249" t="s">
        <v>135</v>
      </c>
      <c r="AA249" t="s">
        <v>135</v>
      </c>
      <c r="AB249" t="s">
        <v>135</v>
      </c>
      <c r="AC249" t="s">
        <v>135</v>
      </c>
      <c r="AD249" t="s">
        <v>135</v>
      </c>
      <c r="AE249" t="s">
        <v>135</v>
      </c>
      <c r="AF249" t="s">
        <v>135</v>
      </c>
      <c r="AG249" t="s">
        <v>135</v>
      </c>
      <c r="AH249" t="s">
        <v>135</v>
      </c>
      <c r="AI249" t="s">
        <v>135</v>
      </c>
      <c r="AJ249" t="s">
        <v>135</v>
      </c>
      <c r="AK249" t="s">
        <v>135</v>
      </c>
      <c r="AL249" t="s">
        <v>135</v>
      </c>
      <c r="AM249">
        <v>29.6707</v>
      </c>
      <c r="AN249" t="s">
        <v>135</v>
      </c>
      <c r="AO249" t="s">
        <v>135</v>
      </c>
      <c r="AP249" t="s">
        <v>135</v>
      </c>
      <c r="AQ249" t="s">
        <v>135</v>
      </c>
      <c r="AR249" t="s">
        <v>135</v>
      </c>
      <c r="AS249" t="s">
        <v>135</v>
      </c>
      <c r="AT249" t="s">
        <v>135</v>
      </c>
      <c r="AU249" t="s">
        <v>135</v>
      </c>
      <c r="AV249" t="s">
        <v>135</v>
      </c>
      <c r="AW249" t="s">
        <v>135</v>
      </c>
      <c r="AX249" t="s">
        <v>135</v>
      </c>
      <c r="AY249" t="s">
        <v>135</v>
      </c>
      <c r="AZ249" t="s">
        <v>135</v>
      </c>
      <c r="BA249" t="s">
        <v>135</v>
      </c>
      <c r="BB249" t="s">
        <v>135</v>
      </c>
      <c r="BC249" t="s">
        <v>135</v>
      </c>
      <c r="BD249" t="s">
        <v>135</v>
      </c>
      <c r="BE249" t="s">
        <v>135</v>
      </c>
      <c r="BF249">
        <v>-43.774000000000001</v>
      </c>
      <c r="BG249" t="s">
        <v>135</v>
      </c>
      <c r="BH249" t="s">
        <v>135</v>
      </c>
      <c r="BI249" t="s">
        <v>135</v>
      </c>
      <c r="BJ249" t="s">
        <v>135</v>
      </c>
      <c r="BK249" t="s">
        <v>135</v>
      </c>
      <c r="BL249" t="s">
        <v>135</v>
      </c>
      <c r="BM249" t="s">
        <v>135</v>
      </c>
      <c r="BN249" t="s">
        <v>135</v>
      </c>
      <c r="BO249" t="s">
        <v>135</v>
      </c>
      <c r="BP249" t="s">
        <v>135</v>
      </c>
      <c r="BQ249" t="s">
        <v>135</v>
      </c>
      <c r="BR249" t="s">
        <v>135</v>
      </c>
      <c r="BS249" t="s">
        <v>135</v>
      </c>
      <c r="BT249" t="s">
        <v>135</v>
      </c>
      <c r="BU249" t="s">
        <v>135</v>
      </c>
      <c r="BV249" t="s">
        <v>135</v>
      </c>
      <c r="BW249" t="s">
        <v>135</v>
      </c>
      <c r="BX249" t="s">
        <v>135</v>
      </c>
      <c r="BY249" t="s">
        <v>135</v>
      </c>
      <c r="BZ249" t="s">
        <v>135</v>
      </c>
      <c r="CA249" t="s">
        <v>135</v>
      </c>
      <c r="CB249" t="s">
        <v>135</v>
      </c>
      <c r="CC249" t="s">
        <v>135</v>
      </c>
      <c r="CD249" t="s">
        <v>135</v>
      </c>
      <c r="CE249" t="s">
        <v>135</v>
      </c>
      <c r="CF249">
        <v>-1113.4286</v>
      </c>
      <c r="CG249" t="s">
        <v>135</v>
      </c>
      <c r="CH249" t="s">
        <v>135</v>
      </c>
      <c r="CI249" t="s">
        <v>135</v>
      </c>
      <c r="CJ249" t="s">
        <v>135</v>
      </c>
      <c r="CK249" t="s">
        <v>135</v>
      </c>
      <c r="CL249" t="s">
        <v>135</v>
      </c>
      <c r="CM249" t="s">
        <v>135</v>
      </c>
      <c r="CN249" t="s">
        <v>135</v>
      </c>
      <c r="CO249" t="s">
        <v>135</v>
      </c>
      <c r="CP249">
        <v>-779.4</v>
      </c>
      <c r="CQ249" t="s">
        <v>135</v>
      </c>
      <c r="CR249">
        <v>-800</v>
      </c>
      <c r="CS249" t="s">
        <v>135</v>
      </c>
      <c r="CT249" t="s">
        <v>135</v>
      </c>
      <c r="CU249" t="s">
        <v>135</v>
      </c>
      <c r="CV249" t="s">
        <v>135</v>
      </c>
      <c r="CW249" t="s">
        <v>135</v>
      </c>
      <c r="CX249" t="s">
        <v>135</v>
      </c>
      <c r="CY249" t="s">
        <v>135</v>
      </c>
      <c r="CZ249" t="s">
        <v>135</v>
      </c>
      <c r="DA249" t="s">
        <v>135</v>
      </c>
      <c r="DB249" t="s">
        <v>135</v>
      </c>
      <c r="DC249" t="s">
        <v>135</v>
      </c>
      <c r="DD249" t="s">
        <v>135</v>
      </c>
      <c r="DE249" t="s">
        <v>135</v>
      </c>
      <c r="DF249" t="s">
        <v>135</v>
      </c>
      <c r="DG249" t="s">
        <v>135</v>
      </c>
      <c r="DH249" t="s">
        <v>135</v>
      </c>
      <c r="DI249" t="s">
        <v>135</v>
      </c>
    </row>
    <row r="250" spans="1:113" x14ac:dyDescent="0.3">
      <c r="E250" t="s">
        <v>79</v>
      </c>
      <c r="F250">
        <v>-119.8929</v>
      </c>
      <c r="G250">
        <v>-79.338499999999996</v>
      </c>
      <c r="H250">
        <v>-118.6913</v>
      </c>
      <c r="I250">
        <v>-121.6999</v>
      </c>
      <c r="J250">
        <v>-400.1302</v>
      </c>
      <c r="K250">
        <v>-413.67189999999999</v>
      </c>
      <c r="L250">
        <v>-94.2286</v>
      </c>
      <c r="M250">
        <v>-407.35680000000002</v>
      </c>
      <c r="N250">
        <v>-407.35680000000002</v>
      </c>
      <c r="O250">
        <v>-407.35680000000002</v>
      </c>
      <c r="P250">
        <v>-407.35680000000002</v>
      </c>
      <c r="Q250" t="s">
        <v>135</v>
      </c>
      <c r="R250" t="s">
        <v>135</v>
      </c>
      <c r="S250" t="s">
        <v>135</v>
      </c>
      <c r="T250">
        <v>-83.812799999999996</v>
      </c>
      <c r="U250" t="s">
        <v>135</v>
      </c>
      <c r="V250" t="s">
        <v>135</v>
      </c>
      <c r="W250" t="s">
        <v>135</v>
      </c>
      <c r="X250" t="s">
        <v>135</v>
      </c>
      <c r="Y250" t="s">
        <v>135</v>
      </c>
      <c r="Z250">
        <v>-43.724400000000003</v>
      </c>
      <c r="AA250" t="s">
        <v>135</v>
      </c>
      <c r="AB250">
        <v>-0.65769999999999995</v>
      </c>
      <c r="AC250">
        <v>-31.430199999999999</v>
      </c>
      <c r="AD250">
        <v>-33.523400000000002</v>
      </c>
      <c r="AE250">
        <v>-81.228399999999993</v>
      </c>
      <c r="AF250">
        <v>9.0648999999999997</v>
      </c>
      <c r="AG250" t="s">
        <v>135</v>
      </c>
      <c r="AH250">
        <v>-26.4574</v>
      </c>
      <c r="AI250">
        <v>-45.212000000000003</v>
      </c>
      <c r="AJ250">
        <v>-45.051400000000001</v>
      </c>
      <c r="AK250">
        <v>-45.212000000000003</v>
      </c>
      <c r="AL250" t="s">
        <v>135</v>
      </c>
      <c r="AM250">
        <v>25.930199999999999</v>
      </c>
      <c r="AN250" t="s">
        <v>135</v>
      </c>
      <c r="AO250" t="s">
        <v>135</v>
      </c>
      <c r="AP250" t="s">
        <v>135</v>
      </c>
      <c r="AQ250" t="s">
        <v>135</v>
      </c>
      <c r="AR250" t="s">
        <v>135</v>
      </c>
      <c r="AS250">
        <v>-11.3508</v>
      </c>
      <c r="AT250" t="s">
        <v>135</v>
      </c>
      <c r="AU250">
        <v>1.5577999999999999</v>
      </c>
      <c r="AV250">
        <v>3.2900999999999998</v>
      </c>
      <c r="AW250" t="s">
        <v>135</v>
      </c>
      <c r="AX250">
        <v>-7.0975000000000001</v>
      </c>
      <c r="AY250" t="s">
        <v>135</v>
      </c>
      <c r="AZ250">
        <v>-100</v>
      </c>
      <c r="BA250">
        <v>-54.0809</v>
      </c>
      <c r="BB250">
        <v>5.4667000000000003</v>
      </c>
      <c r="BC250">
        <v>-5.3841000000000001</v>
      </c>
      <c r="BD250">
        <v>4.7135999999999996</v>
      </c>
      <c r="BE250" t="s">
        <v>135</v>
      </c>
      <c r="BF250">
        <v>-34.3309</v>
      </c>
      <c r="BG250" t="s">
        <v>135</v>
      </c>
      <c r="BH250" t="s">
        <v>135</v>
      </c>
      <c r="BI250" t="s">
        <v>135</v>
      </c>
      <c r="BJ250" t="s">
        <v>135</v>
      </c>
      <c r="BK250" t="s">
        <v>135</v>
      </c>
      <c r="BL250" t="s">
        <v>135</v>
      </c>
      <c r="BM250" t="s">
        <v>135</v>
      </c>
      <c r="BN250" t="s">
        <v>135</v>
      </c>
      <c r="BO250" t="s">
        <v>135</v>
      </c>
      <c r="BP250" t="s">
        <v>135</v>
      </c>
      <c r="BQ250" t="s">
        <v>135</v>
      </c>
      <c r="BR250" t="s">
        <v>135</v>
      </c>
      <c r="BS250" t="s">
        <v>135</v>
      </c>
      <c r="BT250" t="s">
        <v>135</v>
      </c>
      <c r="BU250" t="s">
        <v>135</v>
      </c>
      <c r="BV250" t="s">
        <v>135</v>
      </c>
      <c r="BW250" t="s">
        <v>135</v>
      </c>
      <c r="BX250" t="s">
        <v>135</v>
      </c>
      <c r="BY250">
        <v>16.399999999999999</v>
      </c>
      <c r="BZ250">
        <v>0</v>
      </c>
      <c r="CA250">
        <v>16.399999999999999</v>
      </c>
      <c r="CB250" t="s">
        <v>135</v>
      </c>
      <c r="CC250" t="s">
        <v>135</v>
      </c>
      <c r="CD250" t="s">
        <v>135</v>
      </c>
      <c r="CE250" t="s">
        <v>135</v>
      </c>
      <c r="CF250">
        <v>-3073</v>
      </c>
      <c r="CG250">
        <v>57.581800000000001</v>
      </c>
      <c r="CH250">
        <v>1.1591</v>
      </c>
      <c r="CI250">
        <v>1.1457999999999999</v>
      </c>
      <c r="CJ250">
        <v>0.66739999999999999</v>
      </c>
      <c r="CK250">
        <v>1.1591</v>
      </c>
      <c r="CL250">
        <v>1.1457999999999999</v>
      </c>
      <c r="CM250">
        <v>0.66739999999999999</v>
      </c>
      <c r="CN250">
        <v>-48.922199999999997</v>
      </c>
      <c r="CO250">
        <v>-95.779700000000005</v>
      </c>
      <c r="CP250">
        <v>-614.6</v>
      </c>
      <c r="CQ250" t="s">
        <v>135</v>
      </c>
      <c r="CR250">
        <v>-635.4</v>
      </c>
      <c r="CS250">
        <v>0.72170000000000001</v>
      </c>
      <c r="CT250">
        <v>1.3155999999999999</v>
      </c>
      <c r="CU250">
        <v>0.86150000000000004</v>
      </c>
      <c r="CV250">
        <v>51.933799999999998</v>
      </c>
      <c r="CW250">
        <v>5.4278000000000004</v>
      </c>
      <c r="CX250">
        <v>67.246099999999998</v>
      </c>
      <c r="CY250" t="s">
        <v>135</v>
      </c>
      <c r="CZ250" t="s">
        <v>135</v>
      </c>
      <c r="DA250">
        <v>0.34849999999999998</v>
      </c>
      <c r="DB250">
        <v>1047.3742999999999</v>
      </c>
      <c r="DC250" t="s">
        <v>135</v>
      </c>
      <c r="DD250" t="s">
        <v>135</v>
      </c>
      <c r="DE250">
        <v>0</v>
      </c>
      <c r="DF250" t="s">
        <v>135</v>
      </c>
      <c r="DG250" t="s">
        <v>135</v>
      </c>
      <c r="DH250" t="s">
        <v>135</v>
      </c>
      <c r="DI250" t="s">
        <v>135</v>
      </c>
    </row>
    <row r="251" spans="1:113" x14ac:dyDescent="0.3">
      <c r="E251" t="s">
        <v>80</v>
      </c>
      <c r="F251" t="s">
        <v>135</v>
      </c>
      <c r="G251" t="s">
        <v>135</v>
      </c>
      <c r="H251" t="s">
        <v>135</v>
      </c>
      <c r="I251" t="s">
        <v>135</v>
      </c>
      <c r="J251">
        <v>-299.53660000000002</v>
      </c>
      <c r="K251">
        <v>-309.93819999999999</v>
      </c>
      <c r="L251" t="s">
        <v>135</v>
      </c>
      <c r="M251">
        <v>-299.02159999999998</v>
      </c>
      <c r="N251">
        <v>-299.02159999999998</v>
      </c>
      <c r="O251">
        <v>-299.02159999999998</v>
      </c>
      <c r="P251">
        <v>-299.02159999999998</v>
      </c>
      <c r="Q251" t="s">
        <v>135</v>
      </c>
      <c r="R251" t="s">
        <v>135</v>
      </c>
      <c r="S251" t="s">
        <v>135</v>
      </c>
      <c r="T251">
        <v>-15.7484</v>
      </c>
      <c r="U251">
        <v>13.2697</v>
      </c>
      <c r="V251">
        <v>12.969899999999999</v>
      </c>
      <c r="W251">
        <v>12.4529</v>
      </c>
      <c r="X251">
        <v>56.283200000000001</v>
      </c>
      <c r="Y251" t="s">
        <v>135</v>
      </c>
      <c r="Z251" t="s">
        <v>135</v>
      </c>
      <c r="AA251" t="s">
        <v>135</v>
      </c>
      <c r="AB251" t="s">
        <v>135</v>
      </c>
      <c r="AC251" t="s">
        <v>135</v>
      </c>
      <c r="AD251" t="s">
        <v>135</v>
      </c>
      <c r="AE251" t="s">
        <v>135</v>
      </c>
      <c r="AF251" t="s">
        <v>135</v>
      </c>
      <c r="AG251" t="s">
        <v>135</v>
      </c>
      <c r="AH251" t="s">
        <v>135</v>
      </c>
      <c r="AI251" t="s">
        <v>135</v>
      </c>
      <c r="AJ251" t="s">
        <v>135</v>
      </c>
      <c r="AK251" t="s">
        <v>135</v>
      </c>
      <c r="AL251" t="s">
        <v>135</v>
      </c>
      <c r="AM251">
        <v>35.702300000000001</v>
      </c>
      <c r="AN251" t="s">
        <v>135</v>
      </c>
      <c r="AO251" t="s">
        <v>135</v>
      </c>
      <c r="AP251" t="s">
        <v>135</v>
      </c>
      <c r="AQ251" t="s">
        <v>135</v>
      </c>
      <c r="AR251" t="s">
        <v>135</v>
      </c>
      <c r="AS251" t="s">
        <v>135</v>
      </c>
      <c r="AT251" t="s">
        <v>135</v>
      </c>
      <c r="AU251" t="s">
        <v>135</v>
      </c>
      <c r="AV251" t="s">
        <v>135</v>
      </c>
      <c r="AW251" t="s">
        <v>135</v>
      </c>
      <c r="AX251" t="s">
        <v>135</v>
      </c>
      <c r="AY251" t="s">
        <v>135</v>
      </c>
      <c r="AZ251" t="s">
        <v>135</v>
      </c>
      <c r="BA251" t="s">
        <v>135</v>
      </c>
      <c r="BB251" t="s">
        <v>135</v>
      </c>
      <c r="BC251" t="s">
        <v>135</v>
      </c>
      <c r="BD251" t="s">
        <v>135</v>
      </c>
      <c r="BE251" t="s">
        <v>135</v>
      </c>
      <c r="BF251">
        <v>26.432300000000001</v>
      </c>
      <c r="BG251" t="s">
        <v>135</v>
      </c>
      <c r="BH251" t="s">
        <v>135</v>
      </c>
      <c r="BI251" t="s">
        <v>135</v>
      </c>
      <c r="BJ251" t="s">
        <v>135</v>
      </c>
      <c r="BK251" t="s">
        <v>135</v>
      </c>
      <c r="BL251" t="s">
        <v>135</v>
      </c>
      <c r="BM251" t="s">
        <v>135</v>
      </c>
      <c r="BN251" t="s">
        <v>135</v>
      </c>
      <c r="BO251" t="s">
        <v>135</v>
      </c>
      <c r="BP251" t="s">
        <v>135</v>
      </c>
      <c r="BQ251" t="s">
        <v>135</v>
      </c>
      <c r="BR251" t="s">
        <v>135</v>
      </c>
      <c r="BS251" t="s">
        <v>135</v>
      </c>
      <c r="BT251" t="s">
        <v>135</v>
      </c>
      <c r="BU251" t="s">
        <v>135</v>
      </c>
      <c r="BV251" t="s">
        <v>135</v>
      </c>
      <c r="BW251" t="s">
        <v>135</v>
      </c>
      <c r="BX251" t="s">
        <v>135</v>
      </c>
      <c r="BY251" t="s">
        <v>135</v>
      </c>
      <c r="BZ251" t="s">
        <v>135</v>
      </c>
      <c r="CA251" t="s">
        <v>135</v>
      </c>
      <c r="CB251" t="s">
        <v>135</v>
      </c>
      <c r="CC251" t="s">
        <v>135</v>
      </c>
      <c r="CD251" t="s">
        <v>135</v>
      </c>
      <c r="CE251" t="s">
        <v>135</v>
      </c>
      <c r="CF251">
        <v>-2908.5</v>
      </c>
      <c r="CG251" t="s">
        <v>135</v>
      </c>
      <c r="CH251" t="s">
        <v>135</v>
      </c>
      <c r="CI251" t="s">
        <v>135</v>
      </c>
      <c r="CJ251" t="s">
        <v>135</v>
      </c>
      <c r="CK251" t="s">
        <v>135</v>
      </c>
      <c r="CL251" t="s">
        <v>135</v>
      </c>
      <c r="CM251" t="s">
        <v>135</v>
      </c>
      <c r="CN251" t="s">
        <v>135</v>
      </c>
      <c r="CO251" t="s">
        <v>135</v>
      </c>
      <c r="CP251">
        <v>-581.70000000000005</v>
      </c>
      <c r="CQ251" t="s">
        <v>135</v>
      </c>
      <c r="CR251">
        <v>-601.9</v>
      </c>
      <c r="CS251" t="s">
        <v>135</v>
      </c>
      <c r="CT251" t="s">
        <v>135</v>
      </c>
      <c r="CU251" t="s">
        <v>135</v>
      </c>
      <c r="CV251" t="s">
        <v>135</v>
      </c>
      <c r="CW251" t="s">
        <v>135</v>
      </c>
      <c r="CX251" t="s">
        <v>135</v>
      </c>
      <c r="CY251" t="s">
        <v>135</v>
      </c>
      <c r="CZ251" t="s">
        <v>135</v>
      </c>
      <c r="DA251" t="s">
        <v>135</v>
      </c>
      <c r="DB251" t="s">
        <v>135</v>
      </c>
      <c r="DC251" t="s">
        <v>135</v>
      </c>
      <c r="DD251" t="s">
        <v>135</v>
      </c>
      <c r="DE251" t="s">
        <v>135</v>
      </c>
      <c r="DF251" t="s">
        <v>135</v>
      </c>
      <c r="DG251" t="s">
        <v>135</v>
      </c>
      <c r="DH251" t="s">
        <v>135</v>
      </c>
      <c r="DI251" t="s">
        <v>135</v>
      </c>
    </row>
    <row r="252" spans="1:113" x14ac:dyDescent="0.3">
      <c r="E252" t="s">
        <v>81</v>
      </c>
      <c r="F252">
        <v>-114.9089</v>
      </c>
      <c r="G252">
        <v>-67.772599999999997</v>
      </c>
      <c r="H252">
        <v>-113.42700000000001</v>
      </c>
      <c r="I252">
        <v>-143.6961</v>
      </c>
      <c r="J252">
        <v>-223.94229999999999</v>
      </c>
      <c r="K252">
        <v>-233.99700000000001</v>
      </c>
      <c r="L252">
        <v>-52.859099999999998</v>
      </c>
      <c r="M252">
        <v>12.3444</v>
      </c>
      <c r="N252">
        <v>12.3444</v>
      </c>
      <c r="O252">
        <v>12.3444</v>
      </c>
      <c r="P252">
        <v>12.3444</v>
      </c>
      <c r="Q252">
        <v>0</v>
      </c>
      <c r="R252">
        <v>0</v>
      </c>
      <c r="S252">
        <v>-114.9089</v>
      </c>
      <c r="T252">
        <v>-51.706699999999998</v>
      </c>
      <c r="U252">
        <v>-34.058399999999999</v>
      </c>
      <c r="V252">
        <v>-31.9024</v>
      </c>
      <c r="W252" t="s">
        <v>135</v>
      </c>
      <c r="X252" t="s">
        <v>135</v>
      </c>
      <c r="Y252" t="s">
        <v>135</v>
      </c>
      <c r="Z252">
        <v>-54.860399999999998</v>
      </c>
      <c r="AA252" t="s">
        <v>135</v>
      </c>
      <c r="AB252">
        <v>-22.4406</v>
      </c>
      <c r="AC252">
        <v>13.305899999999999</v>
      </c>
      <c r="AD252">
        <v>-52.873800000000003</v>
      </c>
      <c r="AE252">
        <v>17.638100000000001</v>
      </c>
      <c r="AF252">
        <v>8.5037000000000003</v>
      </c>
      <c r="AG252">
        <v>-74.695899999999995</v>
      </c>
      <c r="AH252">
        <v>-32.879399999999997</v>
      </c>
      <c r="AI252">
        <v>16.7987</v>
      </c>
      <c r="AJ252">
        <v>15.9977</v>
      </c>
      <c r="AK252">
        <v>14.918100000000001</v>
      </c>
      <c r="AL252" t="s">
        <v>135</v>
      </c>
      <c r="AM252">
        <v>-22.4941</v>
      </c>
      <c r="AN252" t="s">
        <v>135</v>
      </c>
      <c r="AO252" t="s">
        <v>135</v>
      </c>
      <c r="AP252" t="s">
        <v>135</v>
      </c>
      <c r="AQ252" t="s">
        <v>135</v>
      </c>
      <c r="AR252" t="s">
        <v>135</v>
      </c>
      <c r="AS252">
        <v>-6.8639000000000001</v>
      </c>
      <c r="AT252" t="s">
        <v>135</v>
      </c>
      <c r="AU252">
        <v>-3.5750000000000002</v>
      </c>
      <c r="AV252">
        <v>8.1214999999999993</v>
      </c>
      <c r="AW252" t="s">
        <v>135</v>
      </c>
      <c r="AX252">
        <v>5.7141000000000002</v>
      </c>
      <c r="AY252">
        <v>51.612900000000003</v>
      </c>
      <c r="AZ252">
        <v>-73.290700000000001</v>
      </c>
      <c r="BA252">
        <v>-53.598199999999999</v>
      </c>
      <c r="BB252">
        <v>11.243399999999999</v>
      </c>
      <c r="BC252">
        <v>-0.30180000000000001</v>
      </c>
      <c r="BD252">
        <v>10.1012</v>
      </c>
      <c r="BE252" t="s">
        <v>135</v>
      </c>
      <c r="BF252">
        <v>3.4500999999999999</v>
      </c>
      <c r="BG252" t="s">
        <v>135</v>
      </c>
      <c r="BH252" t="s">
        <v>135</v>
      </c>
      <c r="BI252" t="s">
        <v>135</v>
      </c>
      <c r="BJ252" t="s">
        <v>135</v>
      </c>
      <c r="BK252" t="s">
        <v>135</v>
      </c>
      <c r="BL252" t="s">
        <v>135</v>
      </c>
      <c r="BM252" t="s">
        <v>135</v>
      </c>
      <c r="BN252" t="s">
        <v>135</v>
      </c>
      <c r="BO252" t="s">
        <v>135</v>
      </c>
      <c r="BP252" t="s">
        <v>135</v>
      </c>
      <c r="BQ252" t="s">
        <v>135</v>
      </c>
      <c r="BR252" t="s">
        <v>135</v>
      </c>
      <c r="BS252" t="s">
        <v>135</v>
      </c>
      <c r="BT252" t="s">
        <v>135</v>
      </c>
      <c r="BU252" t="s">
        <v>135</v>
      </c>
      <c r="BV252" t="s">
        <v>135</v>
      </c>
      <c r="BW252" t="s">
        <v>135</v>
      </c>
      <c r="BX252" t="s">
        <v>135</v>
      </c>
      <c r="BY252">
        <v>17.396999999999998</v>
      </c>
      <c r="BZ252">
        <v>1.04</v>
      </c>
      <c r="CA252">
        <v>16.356999999999999</v>
      </c>
      <c r="CB252" t="s">
        <v>135</v>
      </c>
      <c r="CC252" t="s">
        <v>135</v>
      </c>
      <c r="CD252" t="s">
        <v>135</v>
      </c>
      <c r="CE252" t="s">
        <v>135</v>
      </c>
      <c r="CF252">
        <v>-4499</v>
      </c>
      <c r="CG252">
        <v>59.818100000000001</v>
      </c>
      <c r="CH252">
        <v>0.88549999999999995</v>
      </c>
      <c r="CI252">
        <v>0.87719999999999998</v>
      </c>
      <c r="CJ252">
        <v>0.52969999999999995</v>
      </c>
      <c r="CK252">
        <v>0.94179999999999997</v>
      </c>
      <c r="CL252">
        <v>0.93300000000000005</v>
      </c>
      <c r="CM252">
        <v>0.56340000000000001</v>
      </c>
      <c r="CN252">
        <v>-57.398800000000001</v>
      </c>
      <c r="CO252">
        <v>-134.73509999999999</v>
      </c>
      <c r="CP252">
        <v>-449.9</v>
      </c>
      <c r="CQ252" t="s">
        <v>135</v>
      </c>
      <c r="CR252">
        <v>-470.1</v>
      </c>
      <c r="CS252">
        <v>0.92820000000000003</v>
      </c>
      <c r="CT252">
        <v>1.5091000000000001</v>
      </c>
      <c r="CU252">
        <v>1.0793999999999999</v>
      </c>
      <c r="CV252">
        <v>41.129899999999999</v>
      </c>
      <c r="CW252">
        <v>2.7721999999999998</v>
      </c>
      <c r="CX252">
        <v>131.66210000000001</v>
      </c>
      <c r="CY252" t="s">
        <v>135</v>
      </c>
      <c r="CZ252" t="s">
        <v>135</v>
      </c>
      <c r="DA252">
        <v>0.2717</v>
      </c>
      <c r="DB252">
        <v>1343.5943</v>
      </c>
      <c r="DC252" t="s">
        <v>135</v>
      </c>
      <c r="DD252" t="s">
        <v>135</v>
      </c>
      <c r="DE252">
        <v>0</v>
      </c>
      <c r="DF252">
        <v>0</v>
      </c>
      <c r="DG252">
        <v>0</v>
      </c>
      <c r="DH252">
        <v>0</v>
      </c>
      <c r="DI252">
        <v>0</v>
      </c>
    </row>
    <row r="253" spans="1:113" x14ac:dyDescent="0.3">
      <c r="A253">
        <v>86</v>
      </c>
      <c r="B253" t="s">
        <v>104</v>
      </c>
      <c r="C253" t="s">
        <v>105</v>
      </c>
      <c r="D253" t="s">
        <v>76</v>
      </c>
      <c r="E253" t="s">
        <v>77</v>
      </c>
      <c r="F253">
        <v>25.438800000000001</v>
      </c>
      <c r="G253">
        <v>21.99</v>
      </c>
      <c r="H253">
        <v>25.529699999999998</v>
      </c>
      <c r="I253">
        <v>23.295500000000001</v>
      </c>
      <c r="J253">
        <v>67.791300000000007</v>
      </c>
      <c r="K253">
        <v>46.394599999999997</v>
      </c>
      <c r="L253">
        <v>17.763300000000001</v>
      </c>
      <c r="M253">
        <v>50.594499999999996</v>
      </c>
      <c r="N253">
        <v>34.035499999999999</v>
      </c>
      <c r="O253">
        <v>33.639299999999999</v>
      </c>
      <c r="P253">
        <v>33.639299999999999</v>
      </c>
      <c r="Q253">
        <v>32.728900000000003</v>
      </c>
      <c r="R253">
        <v>50.0501</v>
      </c>
      <c r="S253">
        <v>12.7066</v>
      </c>
      <c r="T253">
        <v>15.632899999999999</v>
      </c>
      <c r="U253">
        <v>6.1585999999999999</v>
      </c>
      <c r="V253">
        <v>5.4588000000000001</v>
      </c>
      <c r="W253">
        <v>5.4188999999999998</v>
      </c>
      <c r="X253">
        <v>5.3859000000000004</v>
      </c>
      <c r="Y253">
        <v>0</v>
      </c>
      <c r="Z253">
        <v>8.6907999999999994</v>
      </c>
      <c r="AA253">
        <v>14</v>
      </c>
      <c r="AB253">
        <v>-6.8739999999999997</v>
      </c>
      <c r="AC253">
        <v>10.000299999999999</v>
      </c>
      <c r="AD253">
        <v>7.4263000000000003</v>
      </c>
      <c r="AE253">
        <v>46.939500000000002</v>
      </c>
      <c r="AF253">
        <v>27.521699999999999</v>
      </c>
      <c r="AG253" t="s">
        <v>135</v>
      </c>
      <c r="AH253" t="s">
        <v>135</v>
      </c>
      <c r="AI253">
        <v>11.3165</v>
      </c>
      <c r="AJ253">
        <v>11.3165</v>
      </c>
      <c r="AK253">
        <v>11.129300000000001</v>
      </c>
      <c r="AL253">
        <v>40.093000000000004</v>
      </c>
      <c r="AM253">
        <v>16.4284</v>
      </c>
      <c r="AN253">
        <v>14.750999999999999</v>
      </c>
      <c r="AO253">
        <v>13.9419</v>
      </c>
      <c r="AP253">
        <v>15.2216</v>
      </c>
      <c r="AQ253">
        <v>15.2118</v>
      </c>
      <c r="AR253">
        <v>30.604099999999999</v>
      </c>
      <c r="AS253">
        <v>21.333500000000001</v>
      </c>
      <c r="AT253">
        <v>34.396000000000001</v>
      </c>
      <c r="AU253">
        <v>3.5569999999999999</v>
      </c>
      <c r="AV253">
        <v>11.620900000000001</v>
      </c>
      <c r="AW253">
        <v>24.6372</v>
      </c>
      <c r="AX253">
        <v>16.397600000000001</v>
      </c>
      <c r="AY253">
        <v>0.49199999999999999</v>
      </c>
      <c r="AZ253">
        <v>-100</v>
      </c>
      <c r="BA253">
        <v>-100</v>
      </c>
      <c r="BB253">
        <v>12.502000000000001</v>
      </c>
      <c r="BC253">
        <v>11.597200000000001</v>
      </c>
      <c r="BD253">
        <v>12.712300000000001</v>
      </c>
      <c r="BE253">
        <v>15.9544</v>
      </c>
      <c r="BF253">
        <v>15.632899999999999</v>
      </c>
      <c r="BG253">
        <v>6.1585999999999999</v>
      </c>
      <c r="BH253">
        <v>5.4588000000000001</v>
      </c>
      <c r="BI253">
        <v>5.4188999999999998</v>
      </c>
      <c r="BJ253">
        <v>5.3859000000000004</v>
      </c>
      <c r="BK253">
        <v>0</v>
      </c>
      <c r="BL253">
        <v>8.6907999999999994</v>
      </c>
      <c r="BM253">
        <v>14</v>
      </c>
      <c r="BN253">
        <v>-6.8739999999999997</v>
      </c>
      <c r="BO253">
        <v>10.000299999999999</v>
      </c>
      <c r="BP253">
        <v>7.4263000000000003</v>
      </c>
      <c r="BQ253">
        <v>46.939500000000002</v>
      </c>
      <c r="BR253">
        <v>27.521699999999999</v>
      </c>
      <c r="BS253" t="s">
        <v>135</v>
      </c>
      <c r="BT253" t="s">
        <v>135</v>
      </c>
      <c r="BU253">
        <v>11.3165</v>
      </c>
      <c r="BV253">
        <v>11.3165</v>
      </c>
      <c r="BW253">
        <v>11.129300000000001</v>
      </c>
      <c r="BX253">
        <v>40.093000000000004</v>
      </c>
      <c r="BY253">
        <v>0</v>
      </c>
      <c r="BZ253">
        <v>0</v>
      </c>
      <c r="CA253">
        <v>0</v>
      </c>
      <c r="CB253">
        <v>0</v>
      </c>
      <c r="CC253">
        <v>-0.57640000000000002</v>
      </c>
      <c r="CD253">
        <v>0</v>
      </c>
      <c r="CE253">
        <v>-0.84230000000000005</v>
      </c>
      <c r="CF253">
        <v>326.98919999999998</v>
      </c>
      <c r="CG253">
        <v>86.862899999999996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-27.708100000000002</v>
      </c>
      <c r="CO253">
        <v>-38.328000000000003</v>
      </c>
      <c r="CP253">
        <v>15074.2</v>
      </c>
      <c r="CQ253">
        <v>14867.5</v>
      </c>
      <c r="CR253">
        <v>10316.4</v>
      </c>
      <c r="CS253">
        <v>2.8595999999999999</v>
      </c>
      <c r="CT253">
        <v>5.6565000000000003</v>
      </c>
      <c r="CU253">
        <v>4.9467999999999996</v>
      </c>
      <c r="CV253">
        <v>31.782399999999999</v>
      </c>
      <c r="CW253">
        <v>3.6522000000000001</v>
      </c>
      <c r="CX253">
        <v>99.939899999999994</v>
      </c>
      <c r="CY253">
        <v>562.35509999999999</v>
      </c>
      <c r="CZ253">
        <v>0.64910000000000001</v>
      </c>
      <c r="DA253">
        <v>7.1726999999999999</v>
      </c>
      <c r="DB253">
        <v>50.887500000000003</v>
      </c>
      <c r="DC253">
        <v>49.701500000000003</v>
      </c>
      <c r="DD253">
        <v>100.589</v>
      </c>
      <c r="DE253">
        <v>5.7</v>
      </c>
      <c r="DF253">
        <v>0</v>
      </c>
      <c r="DG253">
        <v>0</v>
      </c>
      <c r="DH253">
        <v>5.7</v>
      </c>
      <c r="DI253">
        <v>0</v>
      </c>
    </row>
    <row r="254" spans="1:113" x14ac:dyDescent="0.3">
      <c r="E254" t="s">
        <v>78</v>
      </c>
      <c r="F254" t="s">
        <v>135</v>
      </c>
      <c r="G254" t="s">
        <v>135</v>
      </c>
      <c r="H254" t="s">
        <v>135</v>
      </c>
      <c r="I254" t="s">
        <v>135</v>
      </c>
      <c r="J254" t="s">
        <v>135</v>
      </c>
      <c r="K254" t="s">
        <v>135</v>
      </c>
      <c r="L254" t="s">
        <v>135</v>
      </c>
      <c r="M254" t="s">
        <v>135</v>
      </c>
      <c r="N254" t="s">
        <v>135</v>
      </c>
      <c r="O254" t="s">
        <v>135</v>
      </c>
      <c r="P254" t="s">
        <v>135</v>
      </c>
      <c r="Q254" t="s">
        <v>135</v>
      </c>
      <c r="R254" t="s">
        <v>135</v>
      </c>
      <c r="S254" t="s">
        <v>135</v>
      </c>
      <c r="T254" t="s">
        <v>135</v>
      </c>
      <c r="U254" t="s">
        <v>135</v>
      </c>
      <c r="V254" t="s">
        <v>135</v>
      </c>
      <c r="W254" t="s">
        <v>135</v>
      </c>
      <c r="X254" t="s">
        <v>135</v>
      </c>
      <c r="Y254" t="s">
        <v>135</v>
      </c>
      <c r="Z254" t="s">
        <v>135</v>
      </c>
      <c r="AA254" t="s">
        <v>135</v>
      </c>
      <c r="AB254" t="s">
        <v>135</v>
      </c>
      <c r="AC254" t="s">
        <v>135</v>
      </c>
      <c r="AD254" t="s">
        <v>135</v>
      </c>
      <c r="AE254" t="s">
        <v>135</v>
      </c>
      <c r="AF254" t="s">
        <v>135</v>
      </c>
      <c r="AG254" t="s">
        <v>135</v>
      </c>
      <c r="AH254" t="s">
        <v>135</v>
      </c>
      <c r="AI254" t="s">
        <v>135</v>
      </c>
      <c r="AJ254" t="s">
        <v>135</v>
      </c>
      <c r="AK254" t="s">
        <v>135</v>
      </c>
      <c r="AL254" t="s">
        <v>135</v>
      </c>
      <c r="AM254" t="s">
        <v>135</v>
      </c>
      <c r="AN254" t="s">
        <v>135</v>
      </c>
      <c r="AO254" t="s">
        <v>135</v>
      </c>
      <c r="AP254" t="s">
        <v>135</v>
      </c>
      <c r="AQ254" t="s">
        <v>135</v>
      </c>
      <c r="AR254" t="s">
        <v>135</v>
      </c>
      <c r="AS254" t="s">
        <v>135</v>
      </c>
      <c r="AT254" t="s">
        <v>135</v>
      </c>
      <c r="AU254" t="s">
        <v>135</v>
      </c>
      <c r="AV254" t="s">
        <v>135</v>
      </c>
      <c r="AW254" t="s">
        <v>135</v>
      </c>
      <c r="AX254" t="s">
        <v>135</v>
      </c>
      <c r="AY254" t="s">
        <v>135</v>
      </c>
      <c r="AZ254" t="s">
        <v>135</v>
      </c>
      <c r="BA254" t="s">
        <v>135</v>
      </c>
      <c r="BB254" t="s">
        <v>135</v>
      </c>
      <c r="BC254" t="s">
        <v>135</v>
      </c>
      <c r="BD254" t="s">
        <v>135</v>
      </c>
      <c r="BE254" t="s">
        <v>135</v>
      </c>
      <c r="BF254" t="s">
        <v>135</v>
      </c>
      <c r="BG254" t="s">
        <v>135</v>
      </c>
      <c r="BH254" t="s">
        <v>135</v>
      </c>
      <c r="BI254" t="s">
        <v>135</v>
      </c>
      <c r="BJ254" t="s">
        <v>135</v>
      </c>
      <c r="BK254" t="s">
        <v>135</v>
      </c>
      <c r="BL254" t="s">
        <v>135</v>
      </c>
      <c r="BM254" t="s">
        <v>135</v>
      </c>
      <c r="BN254" t="s">
        <v>135</v>
      </c>
      <c r="BO254" t="s">
        <v>135</v>
      </c>
      <c r="BP254" t="s">
        <v>135</v>
      </c>
      <c r="BQ254" t="s">
        <v>135</v>
      </c>
      <c r="BR254" t="s">
        <v>135</v>
      </c>
      <c r="BS254" t="s">
        <v>135</v>
      </c>
      <c r="BT254" t="s">
        <v>135</v>
      </c>
      <c r="BU254" t="s">
        <v>135</v>
      </c>
      <c r="BV254" t="s">
        <v>135</v>
      </c>
      <c r="BW254" t="s">
        <v>135</v>
      </c>
      <c r="BX254" t="s">
        <v>135</v>
      </c>
      <c r="BY254" t="s">
        <v>135</v>
      </c>
      <c r="BZ254" t="s">
        <v>135</v>
      </c>
      <c r="CA254" t="s">
        <v>135</v>
      </c>
      <c r="CB254" t="s">
        <v>135</v>
      </c>
      <c r="CC254" t="s">
        <v>135</v>
      </c>
      <c r="CD254" t="s">
        <v>135</v>
      </c>
      <c r="CE254" t="s">
        <v>135</v>
      </c>
      <c r="CF254" t="s">
        <v>135</v>
      </c>
      <c r="CG254" t="s">
        <v>135</v>
      </c>
      <c r="CH254" t="s">
        <v>135</v>
      </c>
      <c r="CI254" t="s">
        <v>135</v>
      </c>
      <c r="CJ254" t="s">
        <v>135</v>
      </c>
      <c r="CK254" t="s">
        <v>135</v>
      </c>
      <c r="CL254" t="s">
        <v>135</v>
      </c>
      <c r="CM254" t="s">
        <v>135</v>
      </c>
      <c r="CN254" t="s">
        <v>135</v>
      </c>
      <c r="CO254" t="s">
        <v>135</v>
      </c>
      <c r="CP254" t="s">
        <v>135</v>
      </c>
      <c r="CQ254" t="s">
        <v>135</v>
      </c>
      <c r="CR254" t="s">
        <v>135</v>
      </c>
      <c r="CS254" t="s">
        <v>135</v>
      </c>
      <c r="CT254" t="s">
        <v>135</v>
      </c>
      <c r="CU254" t="s">
        <v>135</v>
      </c>
      <c r="CV254" t="s">
        <v>135</v>
      </c>
      <c r="CW254" t="s">
        <v>135</v>
      </c>
      <c r="CX254" t="s">
        <v>135</v>
      </c>
      <c r="CY254" t="s">
        <v>135</v>
      </c>
      <c r="CZ254" t="s">
        <v>135</v>
      </c>
      <c r="DA254" t="s">
        <v>135</v>
      </c>
      <c r="DB254" t="s">
        <v>135</v>
      </c>
      <c r="DC254" t="s">
        <v>135</v>
      </c>
      <c r="DD254" t="s">
        <v>135</v>
      </c>
      <c r="DE254" t="s">
        <v>135</v>
      </c>
      <c r="DF254" t="s">
        <v>135</v>
      </c>
      <c r="DG254" t="s">
        <v>135</v>
      </c>
      <c r="DH254" t="s">
        <v>135</v>
      </c>
      <c r="DI254" t="s">
        <v>135</v>
      </c>
    </row>
    <row r="255" spans="1:113" x14ac:dyDescent="0.3">
      <c r="E255" t="s">
        <v>79</v>
      </c>
      <c r="F255" t="s">
        <v>135</v>
      </c>
      <c r="G255" t="s">
        <v>135</v>
      </c>
      <c r="H255" t="s">
        <v>135</v>
      </c>
      <c r="I255" t="s">
        <v>135</v>
      </c>
      <c r="J255" t="s">
        <v>135</v>
      </c>
      <c r="K255" t="s">
        <v>135</v>
      </c>
      <c r="L255" t="s">
        <v>135</v>
      </c>
      <c r="M255" t="s">
        <v>135</v>
      </c>
      <c r="N255" t="s">
        <v>135</v>
      </c>
      <c r="O255" t="s">
        <v>135</v>
      </c>
      <c r="P255" t="s">
        <v>135</v>
      </c>
      <c r="Q255" t="s">
        <v>135</v>
      </c>
      <c r="R255" t="s">
        <v>135</v>
      </c>
      <c r="S255" t="s">
        <v>135</v>
      </c>
      <c r="T255" t="s">
        <v>135</v>
      </c>
      <c r="U255" t="s">
        <v>135</v>
      </c>
      <c r="V255" t="s">
        <v>135</v>
      </c>
      <c r="W255" t="s">
        <v>135</v>
      </c>
      <c r="X255" t="s">
        <v>135</v>
      </c>
      <c r="Y255" t="s">
        <v>135</v>
      </c>
      <c r="Z255" t="s">
        <v>135</v>
      </c>
      <c r="AA255" t="s">
        <v>135</v>
      </c>
      <c r="AB255" t="s">
        <v>135</v>
      </c>
      <c r="AC255" t="s">
        <v>135</v>
      </c>
      <c r="AD255" t="s">
        <v>135</v>
      </c>
      <c r="AE255" t="s">
        <v>135</v>
      </c>
      <c r="AF255" t="s">
        <v>135</v>
      </c>
      <c r="AG255" t="s">
        <v>135</v>
      </c>
      <c r="AH255" t="s">
        <v>135</v>
      </c>
      <c r="AI255" t="s">
        <v>135</v>
      </c>
      <c r="AJ255" t="s">
        <v>135</v>
      </c>
      <c r="AK255" t="s">
        <v>135</v>
      </c>
      <c r="AL255" t="s">
        <v>135</v>
      </c>
      <c r="AM255" t="s">
        <v>135</v>
      </c>
      <c r="AN255" t="s">
        <v>135</v>
      </c>
      <c r="AO255" t="s">
        <v>135</v>
      </c>
      <c r="AP255" t="s">
        <v>135</v>
      </c>
      <c r="AQ255" t="s">
        <v>135</v>
      </c>
      <c r="AR255" t="s">
        <v>135</v>
      </c>
      <c r="AS255" t="s">
        <v>135</v>
      </c>
      <c r="AT255" t="s">
        <v>135</v>
      </c>
      <c r="AU255" t="s">
        <v>135</v>
      </c>
      <c r="AV255" t="s">
        <v>135</v>
      </c>
      <c r="AW255" t="s">
        <v>135</v>
      </c>
      <c r="AX255" t="s">
        <v>135</v>
      </c>
      <c r="AY255" t="s">
        <v>135</v>
      </c>
      <c r="AZ255" t="s">
        <v>135</v>
      </c>
      <c r="BA255" t="s">
        <v>135</v>
      </c>
      <c r="BB255" t="s">
        <v>135</v>
      </c>
      <c r="BC255" t="s">
        <v>135</v>
      </c>
      <c r="BD255" t="s">
        <v>135</v>
      </c>
      <c r="BE255" t="s">
        <v>135</v>
      </c>
      <c r="BF255" t="s">
        <v>135</v>
      </c>
      <c r="BG255" t="s">
        <v>135</v>
      </c>
      <c r="BH255" t="s">
        <v>135</v>
      </c>
      <c r="BI255" t="s">
        <v>135</v>
      </c>
      <c r="BJ255" t="s">
        <v>135</v>
      </c>
      <c r="BK255" t="s">
        <v>135</v>
      </c>
      <c r="BL255" t="s">
        <v>135</v>
      </c>
      <c r="BM255" t="s">
        <v>135</v>
      </c>
      <c r="BN255" t="s">
        <v>135</v>
      </c>
      <c r="BO255" t="s">
        <v>135</v>
      </c>
      <c r="BP255" t="s">
        <v>135</v>
      </c>
      <c r="BQ255" t="s">
        <v>135</v>
      </c>
      <c r="BR255" t="s">
        <v>135</v>
      </c>
      <c r="BS255" t="s">
        <v>135</v>
      </c>
      <c r="BT255" t="s">
        <v>135</v>
      </c>
      <c r="BU255" t="s">
        <v>135</v>
      </c>
      <c r="BV255" t="s">
        <v>135</v>
      </c>
      <c r="BW255" t="s">
        <v>135</v>
      </c>
      <c r="BX255" t="s">
        <v>135</v>
      </c>
      <c r="BY255" t="s">
        <v>135</v>
      </c>
      <c r="BZ255" t="s">
        <v>135</v>
      </c>
      <c r="CA255" t="s">
        <v>135</v>
      </c>
      <c r="CB255" t="s">
        <v>135</v>
      </c>
      <c r="CC255" t="s">
        <v>135</v>
      </c>
      <c r="CD255" t="s">
        <v>135</v>
      </c>
      <c r="CE255" t="s">
        <v>135</v>
      </c>
      <c r="CF255" t="s">
        <v>135</v>
      </c>
      <c r="CG255" t="s">
        <v>135</v>
      </c>
      <c r="CH255" t="s">
        <v>135</v>
      </c>
      <c r="CI255" t="s">
        <v>135</v>
      </c>
      <c r="CJ255" t="s">
        <v>135</v>
      </c>
      <c r="CK255" t="s">
        <v>135</v>
      </c>
      <c r="CL255" t="s">
        <v>135</v>
      </c>
      <c r="CM255" t="s">
        <v>135</v>
      </c>
      <c r="CN255" t="s">
        <v>135</v>
      </c>
      <c r="CO255" t="s">
        <v>135</v>
      </c>
      <c r="CP255" t="s">
        <v>135</v>
      </c>
      <c r="CQ255" t="s">
        <v>135</v>
      </c>
      <c r="CR255" t="s">
        <v>135</v>
      </c>
      <c r="CS255" t="s">
        <v>135</v>
      </c>
      <c r="CT255" t="s">
        <v>135</v>
      </c>
      <c r="CU255" t="s">
        <v>135</v>
      </c>
      <c r="CV255" t="s">
        <v>135</v>
      </c>
      <c r="CW255" t="s">
        <v>135</v>
      </c>
      <c r="CX255" t="s">
        <v>135</v>
      </c>
      <c r="CY255" t="s">
        <v>135</v>
      </c>
      <c r="CZ255" t="s">
        <v>135</v>
      </c>
      <c r="DA255" t="s">
        <v>135</v>
      </c>
      <c r="DB255" t="s">
        <v>135</v>
      </c>
      <c r="DC255" t="s">
        <v>135</v>
      </c>
      <c r="DD255" t="s">
        <v>135</v>
      </c>
      <c r="DE255" t="s">
        <v>135</v>
      </c>
      <c r="DF255" t="s">
        <v>135</v>
      </c>
      <c r="DG255" t="s">
        <v>135</v>
      </c>
      <c r="DH255" t="s">
        <v>135</v>
      </c>
      <c r="DI255" t="s">
        <v>135</v>
      </c>
    </row>
    <row r="256" spans="1:113" x14ac:dyDescent="0.3">
      <c r="E256" t="s">
        <v>80</v>
      </c>
      <c r="F256" t="s">
        <v>135</v>
      </c>
      <c r="G256" t="s">
        <v>135</v>
      </c>
      <c r="H256" t="s">
        <v>135</v>
      </c>
      <c r="I256" t="s">
        <v>135</v>
      </c>
      <c r="J256" t="s">
        <v>135</v>
      </c>
      <c r="K256" t="s">
        <v>135</v>
      </c>
      <c r="L256" t="s">
        <v>135</v>
      </c>
      <c r="M256" t="s">
        <v>135</v>
      </c>
      <c r="N256" t="s">
        <v>135</v>
      </c>
      <c r="O256" t="s">
        <v>135</v>
      </c>
      <c r="P256" t="s">
        <v>135</v>
      </c>
      <c r="Q256" t="s">
        <v>135</v>
      </c>
      <c r="R256" t="s">
        <v>135</v>
      </c>
      <c r="S256" t="s">
        <v>135</v>
      </c>
      <c r="T256" t="s">
        <v>135</v>
      </c>
      <c r="U256" t="s">
        <v>135</v>
      </c>
      <c r="V256" t="s">
        <v>135</v>
      </c>
      <c r="W256" t="s">
        <v>135</v>
      </c>
      <c r="X256" t="s">
        <v>135</v>
      </c>
      <c r="Y256" t="s">
        <v>135</v>
      </c>
      <c r="Z256" t="s">
        <v>135</v>
      </c>
      <c r="AA256" t="s">
        <v>135</v>
      </c>
      <c r="AB256" t="s">
        <v>135</v>
      </c>
      <c r="AC256" t="s">
        <v>135</v>
      </c>
      <c r="AD256" t="s">
        <v>135</v>
      </c>
      <c r="AE256" t="s">
        <v>135</v>
      </c>
      <c r="AF256" t="s">
        <v>135</v>
      </c>
      <c r="AG256" t="s">
        <v>135</v>
      </c>
      <c r="AH256" t="s">
        <v>135</v>
      </c>
      <c r="AI256" t="s">
        <v>135</v>
      </c>
      <c r="AJ256" t="s">
        <v>135</v>
      </c>
      <c r="AK256" t="s">
        <v>135</v>
      </c>
      <c r="AL256" t="s">
        <v>135</v>
      </c>
      <c r="AM256" t="s">
        <v>135</v>
      </c>
      <c r="AN256" t="s">
        <v>135</v>
      </c>
      <c r="AO256" t="s">
        <v>135</v>
      </c>
      <c r="AP256" t="s">
        <v>135</v>
      </c>
      <c r="AQ256" t="s">
        <v>135</v>
      </c>
      <c r="AR256" t="s">
        <v>135</v>
      </c>
      <c r="AS256" t="s">
        <v>135</v>
      </c>
      <c r="AT256" t="s">
        <v>135</v>
      </c>
      <c r="AU256" t="s">
        <v>135</v>
      </c>
      <c r="AV256" t="s">
        <v>135</v>
      </c>
      <c r="AW256" t="s">
        <v>135</v>
      </c>
      <c r="AX256" t="s">
        <v>135</v>
      </c>
      <c r="AY256" t="s">
        <v>135</v>
      </c>
      <c r="AZ256" t="s">
        <v>135</v>
      </c>
      <c r="BA256" t="s">
        <v>135</v>
      </c>
      <c r="BB256" t="s">
        <v>135</v>
      </c>
      <c r="BC256" t="s">
        <v>135</v>
      </c>
      <c r="BD256" t="s">
        <v>135</v>
      </c>
      <c r="BE256" t="s">
        <v>135</v>
      </c>
      <c r="BF256" t="s">
        <v>135</v>
      </c>
      <c r="BG256" t="s">
        <v>135</v>
      </c>
      <c r="BH256" t="s">
        <v>135</v>
      </c>
      <c r="BI256" t="s">
        <v>135</v>
      </c>
      <c r="BJ256" t="s">
        <v>135</v>
      </c>
      <c r="BK256" t="s">
        <v>135</v>
      </c>
      <c r="BL256" t="s">
        <v>135</v>
      </c>
      <c r="BM256" t="s">
        <v>135</v>
      </c>
      <c r="BN256" t="s">
        <v>135</v>
      </c>
      <c r="BO256" t="s">
        <v>135</v>
      </c>
      <c r="BP256" t="s">
        <v>135</v>
      </c>
      <c r="BQ256" t="s">
        <v>135</v>
      </c>
      <c r="BR256" t="s">
        <v>135</v>
      </c>
      <c r="BS256" t="s">
        <v>135</v>
      </c>
      <c r="BT256" t="s">
        <v>135</v>
      </c>
      <c r="BU256" t="s">
        <v>135</v>
      </c>
      <c r="BV256" t="s">
        <v>135</v>
      </c>
      <c r="BW256" t="s">
        <v>135</v>
      </c>
      <c r="BX256" t="s">
        <v>135</v>
      </c>
      <c r="BY256" t="s">
        <v>135</v>
      </c>
      <c r="BZ256" t="s">
        <v>135</v>
      </c>
      <c r="CA256" t="s">
        <v>135</v>
      </c>
      <c r="CB256" t="s">
        <v>135</v>
      </c>
      <c r="CC256" t="s">
        <v>135</v>
      </c>
      <c r="CD256" t="s">
        <v>135</v>
      </c>
      <c r="CE256" t="s">
        <v>135</v>
      </c>
      <c r="CF256" t="s">
        <v>135</v>
      </c>
      <c r="CG256" t="s">
        <v>135</v>
      </c>
      <c r="CH256" t="s">
        <v>135</v>
      </c>
      <c r="CI256" t="s">
        <v>135</v>
      </c>
      <c r="CJ256" t="s">
        <v>135</v>
      </c>
      <c r="CK256" t="s">
        <v>135</v>
      </c>
      <c r="CL256" t="s">
        <v>135</v>
      </c>
      <c r="CM256" t="s">
        <v>135</v>
      </c>
      <c r="CN256" t="s">
        <v>135</v>
      </c>
      <c r="CO256" t="s">
        <v>135</v>
      </c>
      <c r="CP256" t="s">
        <v>135</v>
      </c>
      <c r="CQ256" t="s">
        <v>135</v>
      </c>
      <c r="CR256" t="s">
        <v>135</v>
      </c>
      <c r="CS256" t="s">
        <v>135</v>
      </c>
      <c r="CT256" t="s">
        <v>135</v>
      </c>
      <c r="CU256" t="s">
        <v>135</v>
      </c>
      <c r="CV256" t="s">
        <v>135</v>
      </c>
      <c r="CW256" t="s">
        <v>135</v>
      </c>
      <c r="CX256" t="s">
        <v>135</v>
      </c>
      <c r="CY256" t="s">
        <v>135</v>
      </c>
      <c r="CZ256" t="s">
        <v>135</v>
      </c>
      <c r="DA256" t="s">
        <v>135</v>
      </c>
      <c r="DB256" t="s">
        <v>135</v>
      </c>
      <c r="DC256" t="s">
        <v>135</v>
      </c>
      <c r="DD256" t="s">
        <v>135</v>
      </c>
      <c r="DE256" t="s">
        <v>135</v>
      </c>
      <c r="DF256" t="s">
        <v>135</v>
      </c>
      <c r="DG256" t="s">
        <v>135</v>
      </c>
      <c r="DH256" t="s">
        <v>135</v>
      </c>
      <c r="DI256" t="s">
        <v>135</v>
      </c>
    </row>
    <row r="257" spans="4:113" x14ac:dyDescent="0.3">
      <c r="E257" t="s">
        <v>81</v>
      </c>
      <c r="F257" t="s">
        <v>135</v>
      </c>
      <c r="G257" t="s">
        <v>135</v>
      </c>
      <c r="H257" t="s">
        <v>135</v>
      </c>
      <c r="I257" t="s">
        <v>135</v>
      </c>
      <c r="J257" t="s">
        <v>135</v>
      </c>
      <c r="K257" t="s">
        <v>135</v>
      </c>
      <c r="L257" t="s">
        <v>135</v>
      </c>
      <c r="M257" t="s">
        <v>135</v>
      </c>
      <c r="N257" t="s">
        <v>135</v>
      </c>
      <c r="O257" t="s">
        <v>135</v>
      </c>
      <c r="P257" t="s">
        <v>135</v>
      </c>
      <c r="Q257" t="s">
        <v>135</v>
      </c>
      <c r="R257" t="s">
        <v>135</v>
      </c>
      <c r="S257" t="s">
        <v>135</v>
      </c>
      <c r="T257" t="s">
        <v>135</v>
      </c>
      <c r="U257" t="s">
        <v>135</v>
      </c>
      <c r="V257" t="s">
        <v>135</v>
      </c>
      <c r="W257" t="s">
        <v>135</v>
      </c>
      <c r="X257" t="s">
        <v>135</v>
      </c>
      <c r="Y257" t="s">
        <v>135</v>
      </c>
      <c r="Z257" t="s">
        <v>135</v>
      </c>
      <c r="AA257" t="s">
        <v>135</v>
      </c>
      <c r="AB257" t="s">
        <v>135</v>
      </c>
      <c r="AC257" t="s">
        <v>135</v>
      </c>
      <c r="AD257" t="s">
        <v>135</v>
      </c>
      <c r="AE257" t="s">
        <v>135</v>
      </c>
      <c r="AF257" t="s">
        <v>135</v>
      </c>
      <c r="AG257" t="s">
        <v>135</v>
      </c>
      <c r="AH257" t="s">
        <v>135</v>
      </c>
      <c r="AI257" t="s">
        <v>135</v>
      </c>
      <c r="AJ257" t="s">
        <v>135</v>
      </c>
      <c r="AK257" t="s">
        <v>135</v>
      </c>
      <c r="AL257" t="s">
        <v>135</v>
      </c>
      <c r="AM257" t="s">
        <v>135</v>
      </c>
      <c r="AN257" t="s">
        <v>135</v>
      </c>
      <c r="AO257" t="s">
        <v>135</v>
      </c>
      <c r="AP257" t="s">
        <v>135</v>
      </c>
      <c r="AQ257" t="s">
        <v>135</v>
      </c>
      <c r="AR257" t="s">
        <v>135</v>
      </c>
      <c r="AS257" t="s">
        <v>135</v>
      </c>
      <c r="AT257" t="s">
        <v>135</v>
      </c>
      <c r="AU257" t="s">
        <v>135</v>
      </c>
      <c r="AV257" t="s">
        <v>135</v>
      </c>
      <c r="AW257" t="s">
        <v>135</v>
      </c>
      <c r="AX257" t="s">
        <v>135</v>
      </c>
      <c r="AY257" t="s">
        <v>135</v>
      </c>
      <c r="AZ257" t="s">
        <v>135</v>
      </c>
      <c r="BA257" t="s">
        <v>135</v>
      </c>
      <c r="BB257" t="s">
        <v>135</v>
      </c>
      <c r="BC257" t="s">
        <v>135</v>
      </c>
      <c r="BD257" t="s">
        <v>135</v>
      </c>
      <c r="BE257" t="s">
        <v>135</v>
      </c>
      <c r="BF257" t="s">
        <v>135</v>
      </c>
      <c r="BG257" t="s">
        <v>135</v>
      </c>
      <c r="BH257" t="s">
        <v>135</v>
      </c>
      <c r="BI257" t="s">
        <v>135</v>
      </c>
      <c r="BJ257" t="s">
        <v>135</v>
      </c>
      <c r="BK257" t="s">
        <v>135</v>
      </c>
      <c r="BL257" t="s">
        <v>135</v>
      </c>
      <c r="BM257" t="s">
        <v>135</v>
      </c>
      <c r="BN257" t="s">
        <v>135</v>
      </c>
      <c r="BO257" t="s">
        <v>135</v>
      </c>
      <c r="BP257" t="s">
        <v>135</v>
      </c>
      <c r="BQ257" t="s">
        <v>135</v>
      </c>
      <c r="BR257" t="s">
        <v>135</v>
      </c>
      <c r="BS257" t="s">
        <v>135</v>
      </c>
      <c r="BT257" t="s">
        <v>135</v>
      </c>
      <c r="BU257" t="s">
        <v>135</v>
      </c>
      <c r="BV257" t="s">
        <v>135</v>
      </c>
      <c r="BW257" t="s">
        <v>135</v>
      </c>
      <c r="BX257" t="s">
        <v>135</v>
      </c>
      <c r="BY257" t="s">
        <v>135</v>
      </c>
      <c r="BZ257" t="s">
        <v>135</v>
      </c>
      <c r="CA257" t="s">
        <v>135</v>
      </c>
      <c r="CB257" t="s">
        <v>135</v>
      </c>
      <c r="CC257" t="s">
        <v>135</v>
      </c>
      <c r="CD257" t="s">
        <v>135</v>
      </c>
      <c r="CE257" t="s">
        <v>135</v>
      </c>
      <c r="CF257" t="s">
        <v>135</v>
      </c>
      <c r="CG257" t="s">
        <v>135</v>
      </c>
      <c r="CH257" t="s">
        <v>135</v>
      </c>
      <c r="CI257" t="s">
        <v>135</v>
      </c>
      <c r="CJ257" t="s">
        <v>135</v>
      </c>
      <c r="CK257" t="s">
        <v>135</v>
      </c>
      <c r="CL257" t="s">
        <v>135</v>
      </c>
      <c r="CM257" t="s">
        <v>135</v>
      </c>
      <c r="CN257" t="s">
        <v>135</v>
      </c>
      <c r="CO257" t="s">
        <v>135</v>
      </c>
      <c r="CP257" t="s">
        <v>135</v>
      </c>
      <c r="CQ257" t="s">
        <v>135</v>
      </c>
      <c r="CR257" t="s">
        <v>135</v>
      </c>
      <c r="CS257" t="s">
        <v>135</v>
      </c>
      <c r="CT257" t="s">
        <v>135</v>
      </c>
      <c r="CU257" t="s">
        <v>135</v>
      </c>
      <c r="CV257" t="s">
        <v>135</v>
      </c>
      <c r="CW257" t="s">
        <v>135</v>
      </c>
      <c r="CX257" t="s">
        <v>135</v>
      </c>
      <c r="CY257" t="s">
        <v>135</v>
      </c>
      <c r="CZ257" t="s">
        <v>135</v>
      </c>
      <c r="DA257" t="s">
        <v>135</v>
      </c>
      <c r="DB257" t="s">
        <v>135</v>
      </c>
      <c r="DC257" t="s">
        <v>135</v>
      </c>
      <c r="DD257" t="s">
        <v>135</v>
      </c>
      <c r="DE257" t="s">
        <v>135</v>
      </c>
      <c r="DF257" t="s">
        <v>135</v>
      </c>
      <c r="DG257" t="s">
        <v>135</v>
      </c>
      <c r="DH257" t="s">
        <v>135</v>
      </c>
      <c r="DI257" t="s">
        <v>135</v>
      </c>
    </row>
    <row r="258" spans="4:113" x14ac:dyDescent="0.3">
      <c r="D258" t="s">
        <v>82</v>
      </c>
      <c r="E258" t="s">
        <v>77</v>
      </c>
      <c r="F258">
        <v>23.589600000000001</v>
      </c>
      <c r="G258">
        <v>21.400500000000001</v>
      </c>
      <c r="H258">
        <v>23.720500000000001</v>
      </c>
      <c r="I258">
        <v>21.330100000000002</v>
      </c>
      <c r="J258">
        <v>70.387600000000006</v>
      </c>
      <c r="K258">
        <v>44.700200000000002</v>
      </c>
      <c r="L258">
        <v>20.767299999999999</v>
      </c>
      <c r="M258">
        <v>48.930900000000001</v>
      </c>
      <c r="N258">
        <v>33.235599999999998</v>
      </c>
      <c r="O258">
        <v>32.647799999999997</v>
      </c>
      <c r="P258">
        <v>32.647799999999997</v>
      </c>
      <c r="Q258">
        <v>32.076300000000003</v>
      </c>
      <c r="R258">
        <v>56.691499999999998</v>
      </c>
      <c r="S258">
        <v>10.2163</v>
      </c>
      <c r="T258">
        <v>7.7243000000000004</v>
      </c>
      <c r="U258">
        <v>11.5961</v>
      </c>
      <c r="V258">
        <v>3.4460999999999999</v>
      </c>
      <c r="W258">
        <v>4.5494000000000003</v>
      </c>
      <c r="X258">
        <v>4.5311000000000003</v>
      </c>
      <c r="Y258">
        <v>18.421099999999999</v>
      </c>
      <c r="Z258">
        <v>20.169699999999999</v>
      </c>
      <c r="AA258">
        <v>-15.7895</v>
      </c>
      <c r="AB258">
        <v>-8.0985999999999994</v>
      </c>
      <c r="AC258">
        <v>5.0914999999999999</v>
      </c>
      <c r="AD258">
        <v>19.639399999999998</v>
      </c>
      <c r="AE258">
        <v>28.9541</v>
      </c>
      <c r="AF258">
        <v>25.104399999999998</v>
      </c>
      <c r="AG258" t="s">
        <v>135</v>
      </c>
      <c r="AH258" t="s">
        <v>135</v>
      </c>
      <c r="AI258">
        <v>8.2612000000000005</v>
      </c>
      <c r="AJ258">
        <v>8.2612000000000005</v>
      </c>
      <c r="AK258">
        <v>7.9249000000000001</v>
      </c>
      <c r="AL258">
        <v>-1.9664999999999999</v>
      </c>
      <c r="AM258">
        <v>10.5176</v>
      </c>
      <c r="AN258">
        <v>9.0911000000000008</v>
      </c>
      <c r="AO258">
        <v>6.8071000000000002</v>
      </c>
      <c r="AP258">
        <v>8.5079999999999991</v>
      </c>
      <c r="AQ258">
        <v>8.5074000000000005</v>
      </c>
      <c r="AR258">
        <v>8.4472000000000005</v>
      </c>
      <c r="AS258">
        <v>18.137</v>
      </c>
      <c r="AT258">
        <v>-29.209399999999999</v>
      </c>
      <c r="AU258">
        <v>-3.7185000000000001</v>
      </c>
      <c r="AV258">
        <v>8.3733000000000004</v>
      </c>
      <c r="AW258">
        <v>18.507999999999999</v>
      </c>
      <c r="AX258">
        <v>25.424099999999999</v>
      </c>
      <c r="AY258">
        <v>13.380100000000001</v>
      </c>
      <c r="AZ258" t="s">
        <v>135</v>
      </c>
      <c r="BA258">
        <v>-100</v>
      </c>
      <c r="BB258">
        <v>12.7041</v>
      </c>
      <c r="BC258">
        <v>12.702500000000001</v>
      </c>
      <c r="BD258">
        <v>12.787699999999999</v>
      </c>
      <c r="BE258">
        <v>9.7950999999999997</v>
      </c>
      <c r="BF258">
        <v>7.7243000000000004</v>
      </c>
      <c r="BG258">
        <v>11.5961</v>
      </c>
      <c r="BH258">
        <v>3.4460999999999999</v>
      </c>
      <c r="BI258">
        <v>4.5494000000000003</v>
      </c>
      <c r="BJ258">
        <v>4.5311000000000003</v>
      </c>
      <c r="BK258">
        <v>18.421099999999999</v>
      </c>
      <c r="BL258">
        <v>20.169699999999999</v>
      </c>
      <c r="BM258">
        <v>-15.7895</v>
      </c>
      <c r="BN258">
        <v>-8.0985999999999994</v>
      </c>
      <c r="BO258">
        <v>5.0914999999999999</v>
      </c>
      <c r="BP258">
        <v>19.639399999999998</v>
      </c>
      <c r="BQ258">
        <v>28.9541</v>
      </c>
      <c r="BR258">
        <v>25.104399999999998</v>
      </c>
      <c r="BS258" t="s">
        <v>135</v>
      </c>
      <c r="BT258" t="s">
        <v>135</v>
      </c>
      <c r="BU258">
        <v>8.2612000000000005</v>
      </c>
      <c r="BV258">
        <v>8.2612000000000005</v>
      </c>
      <c r="BW258">
        <v>7.9249000000000001</v>
      </c>
      <c r="BX258">
        <v>-1.9664999999999999</v>
      </c>
      <c r="BY258">
        <v>0</v>
      </c>
      <c r="BZ258">
        <v>0</v>
      </c>
      <c r="CA258">
        <v>0</v>
      </c>
      <c r="CB258">
        <v>0</v>
      </c>
      <c r="CC258">
        <v>-0.60009999999999997</v>
      </c>
      <c r="CD258">
        <v>0</v>
      </c>
      <c r="CE258">
        <v>-0.94499999999999995</v>
      </c>
      <c r="CF258">
        <v>736.26639999999998</v>
      </c>
      <c r="CG258">
        <v>91.8964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-28.941299999999998</v>
      </c>
      <c r="CO258">
        <v>-40.7288</v>
      </c>
      <c r="CP258">
        <v>16860.5</v>
      </c>
      <c r="CQ258">
        <v>16567.5</v>
      </c>
      <c r="CR258">
        <v>10707.4</v>
      </c>
      <c r="CS258">
        <v>4.5598999999999998</v>
      </c>
      <c r="CT258">
        <v>9.0289999999999999</v>
      </c>
      <c r="CU258">
        <v>7.9736000000000002</v>
      </c>
      <c r="CV258">
        <v>45.369199999999999</v>
      </c>
      <c r="CW258">
        <v>3.452</v>
      </c>
      <c r="CX258">
        <v>105.7372</v>
      </c>
      <c r="CY258">
        <v>547.61900000000003</v>
      </c>
      <c r="CZ258">
        <v>0.66649999999999998</v>
      </c>
      <c r="DA258">
        <v>4.4424999999999999</v>
      </c>
      <c r="DB258">
        <v>82.160200000000003</v>
      </c>
      <c r="DC258">
        <v>24.243500000000001</v>
      </c>
      <c r="DD258">
        <v>106.4037</v>
      </c>
      <c r="DE258">
        <v>4.8</v>
      </c>
      <c r="DF258">
        <v>0</v>
      </c>
      <c r="DG258">
        <v>0</v>
      </c>
      <c r="DH258">
        <v>4.8</v>
      </c>
      <c r="DI258">
        <v>0</v>
      </c>
    </row>
    <row r="259" spans="4:113" x14ac:dyDescent="0.3">
      <c r="E259" t="s">
        <v>78</v>
      </c>
      <c r="F259" t="s">
        <v>135</v>
      </c>
      <c r="G259" t="s">
        <v>135</v>
      </c>
      <c r="H259" t="s">
        <v>135</v>
      </c>
      <c r="I259" t="s">
        <v>135</v>
      </c>
      <c r="J259" t="s">
        <v>135</v>
      </c>
      <c r="K259" t="s">
        <v>135</v>
      </c>
      <c r="L259" t="s">
        <v>135</v>
      </c>
      <c r="M259" t="s">
        <v>135</v>
      </c>
      <c r="N259" t="s">
        <v>135</v>
      </c>
      <c r="O259" t="s">
        <v>135</v>
      </c>
      <c r="P259" t="s">
        <v>135</v>
      </c>
      <c r="Q259" t="s">
        <v>135</v>
      </c>
      <c r="R259" t="s">
        <v>135</v>
      </c>
      <c r="S259" t="s">
        <v>135</v>
      </c>
      <c r="T259" t="s">
        <v>135</v>
      </c>
      <c r="U259" t="s">
        <v>135</v>
      </c>
      <c r="V259" t="s">
        <v>135</v>
      </c>
      <c r="W259" t="s">
        <v>135</v>
      </c>
      <c r="X259" t="s">
        <v>135</v>
      </c>
      <c r="Y259" t="s">
        <v>135</v>
      </c>
      <c r="Z259" t="s">
        <v>135</v>
      </c>
      <c r="AA259" t="s">
        <v>135</v>
      </c>
      <c r="AB259" t="s">
        <v>135</v>
      </c>
      <c r="AC259" t="s">
        <v>135</v>
      </c>
      <c r="AD259" t="s">
        <v>135</v>
      </c>
      <c r="AE259" t="s">
        <v>135</v>
      </c>
      <c r="AF259" t="s">
        <v>135</v>
      </c>
      <c r="AG259" t="s">
        <v>135</v>
      </c>
      <c r="AH259" t="s">
        <v>135</v>
      </c>
      <c r="AI259" t="s">
        <v>135</v>
      </c>
      <c r="AJ259" t="s">
        <v>135</v>
      </c>
      <c r="AK259" t="s">
        <v>135</v>
      </c>
      <c r="AL259" t="s">
        <v>135</v>
      </c>
      <c r="AM259" t="s">
        <v>135</v>
      </c>
      <c r="AN259" t="s">
        <v>135</v>
      </c>
      <c r="AO259" t="s">
        <v>135</v>
      </c>
      <c r="AP259" t="s">
        <v>135</v>
      </c>
      <c r="AQ259" t="s">
        <v>135</v>
      </c>
      <c r="AR259" t="s">
        <v>135</v>
      </c>
      <c r="AS259" t="s">
        <v>135</v>
      </c>
      <c r="AT259" t="s">
        <v>135</v>
      </c>
      <c r="AU259" t="s">
        <v>135</v>
      </c>
      <c r="AV259" t="s">
        <v>135</v>
      </c>
      <c r="AW259" t="s">
        <v>135</v>
      </c>
      <c r="AX259" t="s">
        <v>135</v>
      </c>
      <c r="AY259" t="s">
        <v>135</v>
      </c>
      <c r="AZ259" t="s">
        <v>135</v>
      </c>
      <c r="BA259" t="s">
        <v>135</v>
      </c>
      <c r="BB259" t="s">
        <v>135</v>
      </c>
      <c r="BC259" t="s">
        <v>135</v>
      </c>
      <c r="BD259" t="s">
        <v>135</v>
      </c>
      <c r="BE259" t="s">
        <v>135</v>
      </c>
      <c r="BF259" t="s">
        <v>135</v>
      </c>
      <c r="BG259" t="s">
        <v>135</v>
      </c>
      <c r="BH259" t="s">
        <v>135</v>
      </c>
      <c r="BI259" t="s">
        <v>135</v>
      </c>
      <c r="BJ259" t="s">
        <v>135</v>
      </c>
      <c r="BK259" t="s">
        <v>135</v>
      </c>
      <c r="BL259" t="s">
        <v>135</v>
      </c>
      <c r="BM259" t="s">
        <v>135</v>
      </c>
      <c r="BN259" t="s">
        <v>135</v>
      </c>
      <c r="BO259" t="s">
        <v>135</v>
      </c>
      <c r="BP259" t="s">
        <v>135</v>
      </c>
      <c r="BQ259" t="s">
        <v>135</v>
      </c>
      <c r="BR259" t="s">
        <v>135</v>
      </c>
      <c r="BS259" t="s">
        <v>135</v>
      </c>
      <c r="BT259" t="s">
        <v>135</v>
      </c>
      <c r="BU259" t="s">
        <v>135</v>
      </c>
      <c r="BV259" t="s">
        <v>135</v>
      </c>
      <c r="BW259" t="s">
        <v>135</v>
      </c>
      <c r="BX259" t="s">
        <v>135</v>
      </c>
      <c r="BY259" t="s">
        <v>135</v>
      </c>
      <c r="BZ259" t="s">
        <v>135</v>
      </c>
      <c r="CA259" t="s">
        <v>135</v>
      </c>
      <c r="CB259" t="s">
        <v>135</v>
      </c>
      <c r="CC259" t="s">
        <v>135</v>
      </c>
      <c r="CD259" t="s">
        <v>135</v>
      </c>
      <c r="CE259" t="s">
        <v>135</v>
      </c>
      <c r="CF259" t="s">
        <v>135</v>
      </c>
      <c r="CG259" t="s">
        <v>135</v>
      </c>
      <c r="CH259" t="s">
        <v>135</v>
      </c>
      <c r="CI259" t="s">
        <v>135</v>
      </c>
      <c r="CJ259" t="s">
        <v>135</v>
      </c>
      <c r="CK259" t="s">
        <v>135</v>
      </c>
      <c r="CL259" t="s">
        <v>135</v>
      </c>
      <c r="CM259" t="s">
        <v>135</v>
      </c>
      <c r="CN259" t="s">
        <v>135</v>
      </c>
      <c r="CO259" t="s">
        <v>135</v>
      </c>
      <c r="CP259" t="s">
        <v>135</v>
      </c>
      <c r="CQ259" t="s">
        <v>135</v>
      </c>
      <c r="CR259" t="s">
        <v>135</v>
      </c>
      <c r="CS259" t="s">
        <v>135</v>
      </c>
      <c r="CT259" t="s">
        <v>135</v>
      </c>
      <c r="CU259" t="s">
        <v>135</v>
      </c>
      <c r="CV259" t="s">
        <v>135</v>
      </c>
      <c r="CW259" t="s">
        <v>135</v>
      </c>
      <c r="CX259" t="s">
        <v>135</v>
      </c>
      <c r="CY259" t="s">
        <v>135</v>
      </c>
      <c r="CZ259" t="s">
        <v>135</v>
      </c>
      <c r="DA259" t="s">
        <v>135</v>
      </c>
      <c r="DB259" t="s">
        <v>135</v>
      </c>
      <c r="DC259" t="s">
        <v>135</v>
      </c>
      <c r="DD259" t="s">
        <v>135</v>
      </c>
      <c r="DE259" t="s">
        <v>135</v>
      </c>
      <c r="DF259" t="s">
        <v>135</v>
      </c>
      <c r="DG259" t="s">
        <v>135</v>
      </c>
      <c r="DH259" t="s">
        <v>135</v>
      </c>
      <c r="DI259" t="s">
        <v>135</v>
      </c>
    </row>
    <row r="260" spans="4:113" x14ac:dyDescent="0.3">
      <c r="E260" t="s">
        <v>79</v>
      </c>
      <c r="F260" t="s">
        <v>135</v>
      </c>
      <c r="G260" t="s">
        <v>135</v>
      </c>
      <c r="H260" t="s">
        <v>135</v>
      </c>
      <c r="I260" t="s">
        <v>135</v>
      </c>
      <c r="J260" t="s">
        <v>135</v>
      </c>
      <c r="K260" t="s">
        <v>135</v>
      </c>
      <c r="L260" t="s">
        <v>135</v>
      </c>
      <c r="M260" t="s">
        <v>135</v>
      </c>
      <c r="N260" t="s">
        <v>135</v>
      </c>
      <c r="O260" t="s">
        <v>135</v>
      </c>
      <c r="P260" t="s">
        <v>135</v>
      </c>
      <c r="Q260" t="s">
        <v>135</v>
      </c>
      <c r="R260" t="s">
        <v>135</v>
      </c>
      <c r="S260" t="s">
        <v>135</v>
      </c>
      <c r="T260" t="s">
        <v>135</v>
      </c>
      <c r="U260" t="s">
        <v>135</v>
      </c>
      <c r="V260" t="s">
        <v>135</v>
      </c>
      <c r="W260" t="s">
        <v>135</v>
      </c>
      <c r="X260" t="s">
        <v>135</v>
      </c>
      <c r="Y260" t="s">
        <v>135</v>
      </c>
      <c r="Z260" t="s">
        <v>135</v>
      </c>
      <c r="AA260" t="s">
        <v>135</v>
      </c>
      <c r="AB260" t="s">
        <v>135</v>
      </c>
      <c r="AC260" t="s">
        <v>135</v>
      </c>
      <c r="AD260" t="s">
        <v>135</v>
      </c>
      <c r="AE260" t="s">
        <v>135</v>
      </c>
      <c r="AF260" t="s">
        <v>135</v>
      </c>
      <c r="AG260" t="s">
        <v>135</v>
      </c>
      <c r="AH260" t="s">
        <v>135</v>
      </c>
      <c r="AI260" t="s">
        <v>135</v>
      </c>
      <c r="AJ260" t="s">
        <v>135</v>
      </c>
      <c r="AK260" t="s">
        <v>135</v>
      </c>
      <c r="AL260" t="s">
        <v>135</v>
      </c>
      <c r="AM260" t="s">
        <v>135</v>
      </c>
      <c r="AN260" t="s">
        <v>135</v>
      </c>
      <c r="AO260" t="s">
        <v>135</v>
      </c>
      <c r="AP260" t="s">
        <v>135</v>
      </c>
      <c r="AQ260" t="s">
        <v>135</v>
      </c>
      <c r="AR260" t="s">
        <v>135</v>
      </c>
      <c r="AS260" t="s">
        <v>135</v>
      </c>
      <c r="AT260" t="s">
        <v>135</v>
      </c>
      <c r="AU260" t="s">
        <v>135</v>
      </c>
      <c r="AV260" t="s">
        <v>135</v>
      </c>
      <c r="AW260" t="s">
        <v>135</v>
      </c>
      <c r="AX260" t="s">
        <v>135</v>
      </c>
      <c r="AY260" t="s">
        <v>135</v>
      </c>
      <c r="AZ260" t="s">
        <v>135</v>
      </c>
      <c r="BA260" t="s">
        <v>135</v>
      </c>
      <c r="BB260" t="s">
        <v>135</v>
      </c>
      <c r="BC260" t="s">
        <v>135</v>
      </c>
      <c r="BD260" t="s">
        <v>135</v>
      </c>
      <c r="BE260" t="s">
        <v>135</v>
      </c>
      <c r="BF260" t="s">
        <v>135</v>
      </c>
      <c r="BG260" t="s">
        <v>135</v>
      </c>
      <c r="BH260" t="s">
        <v>135</v>
      </c>
      <c r="BI260" t="s">
        <v>135</v>
      </c>
      <c r="BJ260" t="s">
        <v>135</v>
      </c>
      <c r="BK260" t="s">
        <v>135</v>
      </c>
      <c r="BL260" t="s">
        <v>135</v>
      </c>
      <c r="BM260" t="s">
        <v>135</v>
      </c>
      <c r="BN260" t="s">
        <v>135</v>
      </c>
      <c r="BO260" t="s">
        <v>135</v>
      </c>
      <c r="BP260" t="s">
        <v>135</v>
      </c>
      <c r="BQ260" t="s">
        <v>135</v>
      </c>
      <c r="BR260" t="s">
        <v>135</v>
      </c>
      <c r="BS260" t="s">
        <v>135</v>
      </c>
      <c r="BT260" t="s">
        <v>135</v>
      </c>
      <c r="BU260" t="s">
        <v>135</v>
      </c>
      <c r="BV260" t="s">
        <v>135</v>
      </c>
      <c r="BW260" t="s">
        <v>135</v>
      </c>
      <c r="BX260" t="s">
        <v>135</v>
      </c>
      <c r="BY260" t="s">
        <v>135</v>
      </c>
      <c r="BZ260" t="s">
        <v>135</v>
      </c>
      <c r="CA260" t="s">
        <v>135</v>
      </c>
      <c r="CB260" t="s">
        <v>135</v>
      </c>
      <c r="CC260" t="s">
        <v>135</v>
      </c>
      <c r="CD260" t="s">
        <v>135</v>
      </c>
      <c r="CE260" t="s">
        <v>135</v>
      </c>
      <c r="CF260" t="s">
        <v>135</v>
      </c>
      <c r="CG260" t="s">
        <v>135</v>
      </c>
      <c r="CH260" t="s">
        <v>135</v>
      </c>
      <c r="CI260" t="s">
        <v>135</v>
      </c>
      <c r="CJ260" t="s">
        <v>135</v>
      </c>
      <c r="CK260" t="s">
        <v>135</v>
      </c>
      <c r="CL260" t="s">
        <v>135</v>
      </c>
      <c r="CM260" t="s">
        <v>135</v>
      </c>
      <c r="CN260" t="s">
        <v>135</v>
      </c>
      <c r="CO260" t="s">
        <v>135</v>
      </c>
      <c r="CP260" t="s">
        <v>135</v>
      </c>
      <c r="CQ260" t="s">
        <v>135</v>
      </c>
      <c r="CR260" t="s">
        <v>135</v>
      </c>
      <c r="CS260" t="s">
        <v>135</v>
      </c>
      <c r="CT260" t="s">
        <v>135</v>
      </c>
      <c r="CU260" t="s">
        <v>135</v>
      </c>
      <c r="CV260" t="s">
        <v>135</v>
      </c>
      <c r="CW260" t="s">
        <v>135</v>
      </c>
      <c r="CX260" t="s">
        <v>135</v>
      </c>
      <c r="CY260" t="s">
        <v>135</v>
      </c>
      <c r="CZ260" t="s">
        <v>135</v>
      </c>
      <c r="DA260" t="s">
        <v>135</v>
      </c>
      <c r="DB260" t="s">
        <v>135</v>
      </c>
      <c r="DC260" t="s">
        <v>135</v>
      </c>
      <c r="DD260" t="s">
        <v>135</v>
      </c>
      <c r="DE260" t="s">
        <v>135</v>
      </c>
      <c r="DF260" t="s">
        <v>135</v>
      </c>
      <c r="DG260" t="s">
        <v>135</v>
      </c>
      <c r="DH260" t="s">
        <v>135</v>
      </c>
      <c r="DI260" t="s">
        <v>135</v>
      </c>
    </row>
    <row r="261" spans="4:113" x14ac:dyDescent="0.3">
      <c r="E261" t="s">
        <v>80</v>
      </c>
      <c r="F261" t="s">
        <v>135</v>
      </c>
      <c r="G261" t="s">
        <v>135</v>
      </c>
      <c r="H261" t="s">
        <v>135</v>
      </c>
      <c r="I261" t="s">
        <v>135</v>
      </c>
      <c r="J261" t="s">
        <v>135</v>
      </c>
      <c r="K261" t="s">
        <v>135</v>
      </c>
      <c r="L261" t="s">
        <v>135</v>
      </c>
      <c r="M261" t="s">
        <v>135</v>
      </c>
      <c r="N261" t="s">
        <v>135</v>
      </c>
      <c r="O261" t="s">
        <v>135</v>
      </c>
      <c r="P261" t="s">
        <v>135</v>
      </c>
      <c r="Q261" t="s">
        <v>135</v>
      </c>
      <c r="R261" t="s">
        <v>135</v>
      </c>
      <c r="S261" t="s">
        <v>135</v>
      </c>
      <c r="T261" t="s">
        <v>135</v>
      </c>
      <c r="U261" t="s">
        <v>135</v>
      </c>
      <c r="V261" t="s">
        <v>135</v>
      </c>
      <c r="W261" t="s">
        <v>135</v>
      </c>
      <c r="X261" t="s">
        <v>135</v>
      </c>
      <c r="Y261" t="s">
        <v>135</v>
      </c>
      <c r="Z261" t="s">
        <v>135</v>
      </c>
      <c r="AA261" t="s">
        <v>135</v>
      </c>
      <c r="AB261" t="s">
        <v>135</v>
      </c>
      <c r="AC261" t="s">
        <v>135</v>
      </c>
      <c r="AD261" t="s">
        <v>135</v>
      </c>
      <c r="AE261" t="s">
        <v>135</v>
      </c>
      <c r="AF261" t="s">
        <v>135</v>
      </c>
      <c r="AG261" t="s">
        <v>135</v>
      </c>
      <c r="AH261" t="s">
        <v>135</v>
      </c>
      <c r="AI261" t="s">
        <v>135</v>
      </c>
      <c r="AJ261" t="s">
        <v>135</v>
      </c>
      <c r="AK261" t="s">
        <v>135</v>
      </c>
      <c r="AL261" t="s">
        <v>135</v>
      </c>
      <c r="AM261" t="s">
        <v>135</v>
      </c>
      <c r="AN261" t="s">
        <v>135</v>
      </c>
      <c r="AO261" t="s">
        <v>135</v>
      </c>
      <c r="AP261" t="s">
        <v>135</v>
      </c>
      <c r="AQ261" t="s">
        <v>135</v>
      </c>
      <c r="AR261" t="s">
        <v>135</v>
      </c>
      <c r="AS261" t="s">
        <v>135</v>
      </c>
      <c r="AT261" t="s">
        <v>135</v>
      </c>
      <c r="AU261" t="s">
        <v>135</v>
      </c>
      <c r="AV261" t="s">
        <v>135</v>
      </c>
      <c r="AW261" t="s">
        <v>135</v>
      </c>
      <c r="AX261" t="s">
        <v>135</v>
      </c>
      <c r="AY261" t="s">
        <v>135</v>
      </c>
      <c r="AZ261" t="s">
        <v>135</v>
      </c>
      <c r="BA261" t="s">
        <v>135</v>
      </c>
      <c r="BB261" t="s">
        <v>135</v>
      </c>
      <c r="BC261" t="s">
        <v>135</v>
      </c>
      <c r="BD261" t="s">
        <v>135</v>
      </c>
      <c r="BE261" t="s">
        <v>135</v>
      </c>
      <c r="BF261" t="s">
        <v>135</v>
      </c>
      <c r="BG261" t="s">
        <v>135</v>
      </c>
      <c r="BH261" t="s">
        <v>135</v>
      </c>
      <c r="BI261" t="s">
        <v>135</v>
      </c>
      <c r="BJ261" t="s">
        <v>135</v>
      </c>
      <c r="BK261" t="s">
        <v>135</v>
      </c>
      <c r="BL261" t="s">
        <v>135</v>
      </c>
      <c r="BM261" t="s">
        <v>135</v>
      </c>
      <c r="BN261" t="s">
        <v>135</v>
      </c>
      <c r="BO261" t="s">
        <v>135</v>
      </c>
      <c r="BP261" t="s">
        <v>135</v>
      </c>
      <c r="BQ261" t="s">
        <v>135</v>
      </c>
      <c r="BR261" t="s">
        <v>135</v>
      </c>
      <c r="BS261" t="s">
        <v>135</v>
      </c>
      <c r="BT261" t="s">
        <v>135</v>
      </c>
      <c r="BU261" t="s">
        <v>135</v>
      </c>
      <c r="BV261" t="s">
        <v>135</v>
      </c>
      <c r="BW261" t="s">
        <v>135</v>
      </c>
      <c r="BX261" t="s">
        <v>135</v>
      </c>
      <c r="BY261" t="s">
        <v>135</v>
      </c>
      <c r="BZ261" t="s">
        <v>135</v>
      </c>
      <c r="CA261" t="s">
        <v>135</v>
      </c>
      <c r="CB261" t="s">
        <v>135</v>
      </c>
      <c r="CC261" t="s">
        <v>135</v>
      </c>
      <c r="CD261" t="s">
        <v>135</v>
      </c>
      <c r="CE261" t="s">
        <v>135</v>
      </c>
      <c r="CF261" t="s">
        <v>135</v>
      </c>
      <c r="CG261" t="s">
        <v>135</v>
      </c>
      <c r="CH261" t="s">
        <v>135</v>
      </c>
      <c r="CI261" t="s">
        <v>135</v>
      </c>
      <c r="CJ261" t="s">
        <v>135</v>
      </c>
      <c r="CK261" t="s">
        <v>135</v>
      </c>
      <c r="CL261" t="s">
        <v>135</v>
      </c>
      <c r="CM261" t="s">
        <v>135</v>
      </c>
      <c r="CN261" t="s">
        <v>135</v>
      </c>
      <c r="CO261" t="s">
        <v>135</v>
      </c>
      <c r="CP261" t="s">
        <v>135</v>
      </c>
      <c r="CQ261" t="s">
        <v>135</v>
      </c>
      <c r="CR261" t="s">
        <v>135</v>
      </c>
      <c r="CS261" t="s">
        <v>135</v>
      </c>
      <c r="CT261" t="s">
        <v>135</v>
      </c>
      <c r="CU261" t="s">
        <v>135</v>
      </c>
      <c r="CV261" t="s">
        <v>135</v>
      </c>
      <c r="CW261" t="s">
        <v>135</v>
      </c>
      <c r="CX261" t="s">
        <v>135</v>
      </c>
      <c r="CY261" t="s">
        <v>135</v>
      </c>
      <c r="CZ261" t="s">
        <v>135</v>
      </c>
      <c r="DA261" t="s">
        <v>135</v>
      </c>
      <c r="DB261" t="s">
        <v>135</v>
      </c>
      <c r="DC261" t="s">
        <v>135</v>
      </c>
      <c r="DD261" t="s">
        <v>135</v>
      </c>
      <c r="DE261" t="s">
        <v>135</v>
      </c>
      <c r="DF261" t="s">
        <v>135</v>
      </c>
      <c r="DG261" t="s">
        <v>135</v>
      </c>
      <c r="DH261" t="s">
        <v>135</v>
      </c>
      <c r="DI261" t="s">
        <v>135</v>
      </c>
    </row>
    <row r="262" spans="4:113" x14ac:dyDescent="0.3">
      <c r="E262" t="s">
        <v>81</v>
      </c>
      <c r="F262" t="s">
        <v>135</v>
      </c>
      <c r="G262" t="s">
        <v>135</v>
      </c>
      <c r="H262" t="s">
        <v>135</v>
      </c>
      <c r="I262" t="s">
        <v>135</v>
      </c>
      <c r="J262" t="s">
        <v>135</v>
      </c>
      <c r="K262" t="s">
        <v>135</v>
      </c>
      <c r="L262" t="s">
        <v>135</v>
      </c>
      <c r="M262" t="s">
        <v>135</v>
      </c>
      <c r="N262" t="s">
        <v>135</v>
      </c>
      <c r="O262" t="s">
        <v>135</v>
      </c>
      <c r="P262" t="s">
        <v>135</v>
      </c>
      <c r="Q262" t="s">
        <v>135</v>
      </c>
      <c r="R262" t="s">
        <v>135</v>
      </c>
      <c r="S262" t="s">
        <v>135</v>
      </c>
      <c r="T262" t="s">
        <v>135</v>
      </c>
      <c r="U262" t="s">
        <v>135</v>
      </c>
      <c r="V262" t="s">
        <v>135</v>
      </c>
      <c r="W262" t="s">
        <v>135</v>
      </c>
      <c r="X262" t="s">
        <v>135</v>
      </c>
      <c r="Y262" t="s">
        <v>135</v>
      </c>
      <c r="Z262" t="s">
        <v>135</v>
      </c>
      <c r="AA262" t="s">
        <v>135</v>
      </c>
      <c r="AB262" t="s">
        <v>135</v>
      </c>
      <c r="AC262" t="s">
        <v>135</v>
      </c>
      <c r="AD262" t="s">
        <v>135</v>
      </c>
      <c r="AE262" t="s">
        <v>135</v>
      </c>
      <c r="AF262" t="s">
        <v>135</v>
      </c>
      <c r="AG262" t="s">
        <v>135</v>
      </c>
      <c r="AH262" t="s">
        <v>135</v>
      </c>
      <c r="AI262" t="s">
        <v>135</v>
      </c>
      <c r="AJ262" t="s">
        <v>135</v>
      </c>
      <c r="AK262" t="s">
        <v>135</v>
      </c>
      <c r="AL262" t="s">
        <v>135</v>
      </c>
      <c r="AM262" t="s">
        <v>135</v>
      </c>
      <c r="AN262" t="s">
        <v>135</v>
      </c>
      <c r="AO262" t="s">
        <v>135</v>
      </c>
      <c r="AP262" t="s">
        <v>135</v>
      </c>
      <c r="AQ262" t="s">
        <v>135</v>
      </c>
      <c r="AR262" t="s">
        <v>135</v>
      </c>
      <c r="AS262" t="s">
        <v>135</v>
      </c>
      <c r="AT262" t="s">
        <v>135</v>
      </c>
      <c r="AU262" t="s">
        <v>135</v>
      </c>
      <c r="AV262" t="s">
        <v>135</v>
      </c>
      <c r="AW262" t="s">
        <v>135</v>
      </c>
      <c r="AX262" t="s">
        <v>135</v>
      </c>
      <c r="AY262" t="s">
        <v>135</v>
      </c>
      <c r="AZ262" t="s">
        <v>135</v>
      </c>
      <c r="BA262" t="s">
        <v>135</v>
      </c>
      <c r="BB262" t="s">
        <v>135</v>
      </c>
      <c r="BC262" t="s">
        <v>135</v>
      </c>
      <c r="BD262" t="s">
        <v>135</v>
      </c>
      <c r="BE262" t="s">
        <v>135</v>
      </c>
      <c r="BF262" t="s">
        <v>135</v>
      </c>
      <c r="BG262" t="s">
        <v>135</v>
      </c>
      <c r="BH262" t="s">
        <v>135</v>
      </c>
      <c r="BI262" t="s">
        <v>135</v>
      </c>
      <c r="BJ262" t="s">
        <v>135</v>
      </c>
      <c r="BK262" t="s">
        <v>135</v>
      </c>
      <c r="BL262" t="s">
        <v>135</v>
      </c>
      <c r="BM262" t="s">
        <v>135</v>
      </c>
      <c r="BN262" t="s">
        <v>135</v>
      </c>
      <c r="BO262" t="s">
        <v>135</v>
      </c>
      <c r="BP262" t="s">
        <v>135</v>
      </c>
      <c r="BQ262" t="s">
        <v>135</v>
      </c>
      <c r="BR262" t="s">
        <v>135</v>
      </c>
      <c r="BS262" t="s">
        <v>135</v>
      </c>
      <c r="BT262" t="s">
        <v>135</v>
      </c>
      <c r="BU262" t="s">
        <v>135</v>
      </c>
      <c r="BV262" t="s">
        <v>135</v>
      </c>
      <c r="BW262" t="s">
        <v>135</v>
      </c>
      <c r="BX262" t="s">
        <v>135</v>
      </c>
      <c r="BY262" t="s">
        <v>135</v>
      </c>
      <c r="BZ262" t="s">
        <v>135</v>
      </c>
      <c r="CA262" t="s">
        <v>135</v>
      </c>
      <c r="CB262" t="s">
        <v>135</v>
      </c>
      <c r="CC262" t="s">
        <v>135</v>
      </c>
      <c r="CD262" t="s">
        <v>135</v>
      </c>
      <c r="CE262" t="s">
        <v>135</v>
      </c>
      <c r="CF262" t="s">
        <v>135</v>
      </c>
      <c r="CG262" t="s">
        <v>135</v>
      </c>
      <c r="CH262" t="s">
        <v>135</v>
      </c>
      <c r="CI262" t="s">
        <v>135</v>
      </c>
      <c r="CJ262" t="s">
        <v>135</v>
      </c>
      <c r="CK262" t="s">
        <v>135</v>
      </c>
      <c r="CL262" t="s">
        <v>135</v>
      </c>
      <c r="CM262" t="s">
        <v>135</v>
      </c>
      <c r="CN262" t="s">
        <v>135</v>
      </c>
      <c r="CO262" t="s">
        <v>135</v>
      </c>
      <c r="CP262" t="s">
        <v>135</v>
      </c>
      <c r="CQ262" t="s">
        <v>135</v>
      </c>
      <c r="CR262" t="s">
        <v>135</v>
      </c>
      <c r="CS262" t="s">
        <v>135</v>
      </c>
      <c r="CT262" t="s">
        <v>135</v>
      </c>
      <c r="CU262" t="s">
        <v>135</v>
      </c>
      <c r="CV262" t="s">
        <v>135</v>
      </c>
      <c r="CW262" t="s">
        <v>135</v>
      </c>
      <c r="CX262" t="s">
        <v>135</v>
      </c>
      <c r="CY262" t="s">
        <v>135</v>
      </c>
      <c r="CZ262" t="s">
        <v>135</v>
      </c>
      <c r="DA262" t="s">
        <v>135</v>
      </c>
      <c r="DB262" t="s">
        <v>135</v>
      </c>
      <c r="DC262" t="s">
        <v>135</v>
      </c>
      <c r="DD262" t="s">
        <v>135</v>
      </c>
      <c r="DE262" t="s">
        <v>135</v>
      </c>
      <c r="DF262" t="s">
        <v>135</v>
      </c>
      <c r="DG262" t="s">
        <v>135</v>
      </c>
      <c r="DH262" t="s">
        <v>135</v>
      </c>
      <c r="DI262" t="s">
        <v>135</v>
      </c>
    </row>
    <row r="263" spans="4:113" x14ac:dyDescent="0.3">
      <c r="D263" t="s">
        <v>83</v>
      </c>
      <c r="E263" t="s">
        <v>77</v>
      </c>
      <c r="F263">
        <v>25.870100000000001</v>
      </c>
      <c r="G263">
        <v>23.313400000000001</v>
      </c>
      <c r="H263">
        <v>25.567299999999999</v>
      </c>
      <c r="I263">
        <v>23.465299999999999</v>
      </c>
      <c r="J263">
        <v>70.021600000000007</v>
      </c>
      <c r="K263">
        <v>50.372399999999999</v>
      </c>
      <c r="L263">
        <v>128.27979999999999</v>
      </c>
      <c r="M263">
        <v>53.610799999999998</v>
      </c>
      <c r="N263">
        <v>35.521299999999997</v>
      </c>
      <c r="O263">
        <v>35.543100000000003</v>
      </c>
      <c r="P263">
        <v>35.543100000000003</v>
      </c>
      <c r="Q263">
        <v>34.513800000000003</v>
      </c>
      <c r="R263">
        <v>68.2179</v>
      </c>
      <c r="S263">
        <v>8.2220999999999993</v>
      </c>
      <c r="T263">
        <v>7.2807000000000004</v>
      </c>
      <c r="U263">
        <v>6.7228000000000003</v>
      </c>
      <c r="V263">
        <v>20.893999999999998</v>
      </c>
      <c r="W263">
        <v>16.794499999999999</v>
      </c>
      <c r="X263">
        <v>16.834700000000002</v>
      </c>
      <c r="Y263">
        <v>37.777799999999999</v>
      </c>
      <c r="Z263">
        <v>8.8542000000000005</v>
      </c>
      <c r="AA263">
        <v>135.41669999999999</v>
      </c>
      <c r="AB263">
        <v>-38.004800000000003</v>
      </c>
      <c r="AC263">
        <v>9.2287999999999997</v>
      </c>
      <c r="AD263">
        <v>8.4380000000000006</v>
      </c>
      <c r="AE263">
        <v>32.447299999999998</v>
      </c>
      <c r="AF263">
        <v>13.6699</v>
      </c>
      <c r="AG263" t="s">
        <v>135</v>
      </c>
      <c r="AH263" t="s">
        <v>135</v>
      </c>
      <c r="AI263">
        <v>8.5547000000000004</v>
      </c>
      <c r="AJ263">
        <v>8.5547000000000004</v>
      </c>
      <c r="AK263">
        <v>5.1779000000000002</v>
      </c>
      <c r="AL263">
        <v>14.026400000000001</v>
      </c>
      <c r="AM263">
        <v>5.0003000000000002</v>
      </c>
      <c r="AN263">
        <v>2.6625000000000001</v>
      </c>
      <c r="AO263">
        <v>3.3582000000000001</v>
      </c>
      <c r="AP263">
        <v>3.4807000000000001</v>
      </c>
      <c r="AQ263">
        <v>3.4862000000000002</v>
      </c>
      <c r="AR263">
        <v>12.1153</v>
      </c>
      <c r="AS263">
        <v>13.953200000000001</v>
      </c>
      <c r="AT263">
        <v>-4.3308999999999997</v>
      </c>
      <c r="AU263">
        <v>-11.8947</v>
      </c>
      <c r="AV263">
        <v>7.3746</v>
      </c>
      <c r="AW263">
        <v>14.8239</v>
      </c>
      <c r="AX263">
        <v>24.669699999999999</v>
      </c>
      <c r="AY263">
        <v>7.1695000000000002</v>
      </c>
      <c r="AZ263">
        <v>-100</v>
      </c>
      <c r="BA263">
        <v>-100</v>
      </c>
      <c r="BB263">
        <v>10.678599999999999</v>
      </c>
      <c r="BC263">
        <v>10.677199999999999</v>
      </c>
      <c r="BD263">
        <v>9.9403000000000006</v>
      </c>
      <c r="BE263">
        <v>3.5973999999999999</v>
      </c>
      <c r="BF263">
        <v>7.2807000000000004</v>
      </c>
      <c r="BG263">
        <v>6.7228000000000003</v>
      </c>
      <c r="BH263">
        <v>20.893999999999998</v>
      </c>
      <c r="BI263">
        <v>16.794499999999999</v>
      </c>
      <c r="BJ263">
        <v>16.834700000000002</v>
      </c>
      <c r="BK263">
        <v>37.777799999999999</v>
      </c>
      <c r="BL263">
        <v>8.8542000000000005</v>
      </c>
      <c r="BM263">
        <v>135.41669999999999</v>
      </c>
      <c r="BN263">
        <v>-38.004800000000003</v>
      </c>
      <c r="BO263">
        <v>9.2287999999999997</v>
      </c>
      <c r="BP263">
        <v>8.4380000000000006</v>
      </c>
      <c r="BQ263">
        <v>32.447299999999998</v>
      </c>
      <c r="BR263">
        <v>13.6699</v>
      </c>
      <c r="BS263" t="s">
        <v>135</v>
      </c>
      <c r="BT263" t="s">
        <v>135</v>
      </c>
      <c r="BU263">
        <v>8.5547000000000004</v>
      </c>
      <c r="BV263">
        <v>8.5547000000000004</v>
      </c>
      <c r="BW263">
        <v>5.1779000000000002</v>
      </c>
      <c r="BX263">
        <v>14.026400000000001</v>
      </c>
      <c r="BY263">
        <v>0</v>
      </c>
      <c r="BZ263">
        <v>0</v>
      </c>
      <c r="CA263">
        <v>0</v>
      </c>
      <c r="CB263">
        <v>0</v>
      </c>
      <c r="CC263">
        <v>-0.74950000000000006</v>
      </c>
      <c r="CD263">
        <v>0</v>
      </c>
      <c r="CE263">
        <v>-1.0419</v>
      </c>
      <c r="CF263">
        <v>886.40390000000002</v>
      </c>
      <c r="CG263">
        <v>88.488399999999999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-35.5366</v>
      </c>
      <c r="CO263">
        <v>-55.1267</v>
      </c>
      <c r="CP263">
        <v>17994</v>
      </c>
      <c r="CQ263">
        <v>17594</v>
      </c>
      <c r="CR263">
        <v>12944.6</v>
      </c>
      <c r="CS263">
        <v>4.9888000000000003</v>
      </c>
      <c r="CT263">
        <v>9.7284000000000006</v>
      </c>
      <c r="CU263">
        <v>8.0388000000000002</v>
      </c>
      <c r="CV263">
        <v>35.177</v>
      </c>
      <c r="CW263">
        <v>3.2486999999999999</v>
      </c>
      <c r="CX263">
        <v>112.6615</v>
      </c>
      <c r="CY263">
        <v>375.01859999999999</v>
      </c>
      <c r="CZ263">
        <v>0.97599999999999998</v>
      </c>
      <c r="DA263">
        <v>3.9379999999999997</v>
      </c>
      <c r="DB263">
        <v>92.939599999999999</v>
      </c>
      <c r="DC263">
        <v>20.697800000000001</v>
      </c>
      <c r="DD263">
        <v>113.6374</v>
      </c>
      <c r="DE263">
        <v>11.3</v>
      </c>
      <c r="DF263">
        <v>0</v>
      </c>
      <c r="DG263">
        <v>0</v>
      </c>
      <c r="DH263">
        <v>11.3</v>
      </c>
      <c r="DI263">
        <v>0</v>
      </c>
    </row>
    <row r="264" spans="4:113" x14ac:dyDescent="0.3">
      <c r="E264" t="s">
        <v>78</v>
      </c>
      <c r="F264" t="s">
        <v>135</v>
      </c>
      <c r="G264" t="s">
        <v>135</v>
      </c>
      <c r="H264" t="s">
        <v>135</v>
      </c>
      <c r="I264" t="s">
        <v>135</v>
      </c>
      <c r="J264" t="s">
        <v>135</v>
      </c>
      <c r="K264" t="s">
        <v>135</v>
      </c>
      <c r="L264" t="s">
        <v>135</v>
      </c>
      <c r="M264" t="s">
        <v>135</v>
      </c>
      <c r="N264" t="s">
        <v>135</v>
      </c>
      <c r="O264" t="s">
        <v>135</v>
      </c>
      <c r="P264" t="s">
        <v>135</v>
      </c>
      <c r="Q264" t="s">
        <v>135</v>
      </c>
      <c r="R264" t="s">
        <v>135</v>
      </c>
      <c r="S264" t="s">
        <v>135</v>
      </c>
      <c r="T264" t="s">
        <v>135</v>
      </c>
      <c r="U264" t="s">
        <v>135</v>
      </c>
      <c r="V264" t="s">
        <v>135</v>
      </c>
      <c r="W264" t="s">
        <v>135</v>
      </c>
      <c r="X264" t="s">
        <v>135</v>
      </c>
      <c r="Y264" t="s">
        <v>135</v>
      </c>
      <c r="Z264" t="s">
        <v>135</v>
      </c>
      <c r="AA264" t="s">
        <v>135</v>
      </c>
      <c r="AB264" t="s">
        <v>135</v>
      </c>
      <c r="AC264" t="s">
        <v>135</v>
      </c>
      <c r="AD264" t="s">
        <v>135</v>
      </c>
      <c r="AE264" t="s">
        <v>135</v>
      </c>
      <c r="AF264" t="s">
        <v>135</v>
      </c>
      <c r="AG264" t="s">
        <v>135</v>
      </c>
      <c r="AH264" t="s">
        <v>135</v>
      </c>
      <c r="AI264" t="s">
        <v>135</v>
      </c>
      <c r="AJ264" t="s">
        <v>135</v>
      </c>
      <c r="AK264" t="s">
        <v>135</v>
      </c>
      <c r="AL264" t="s">
        <v>135</v>
      </c>
      <c r="AM264" t="s">
        <v>135</v>
      </c>
      <c r="AN264" t="s">
        <v>135</v>
      </c>
      <c r="AO264" t="s">
        <v>135</v>
      </c>
      <c r="AP264" t="s">
        <v>135</v>
      </c>
      <c r="AQ264" t="s">
        <v>135</v>
      </c>
      <c r="AR264" t="s">
        <v>135</v>
      </c>
      <c r="AS264" t="s">
        <v>135</v>
      </c>
      <c r="AT264" t="s">
        <v>135</v>
      </c>
      <c r="AU264" t="s">
        <v>135</v>
      </c>
      <c r="AV264" t="s">
        <v>135</v>
      </c>
      <c r="AW264" t="s">
        <v>135</v>
      </c>
      <c r="AX264" t="s">
        <v>135</v>
      </c>
      <c r="AY264" t="s">
        <v>135</v>
      </c>
      <c r="AZ264" t="s">
        <v>135</v>
      </c>
      <c r="BA264" t="s">
        <v>135</v>
      </c>
      <c r="BB264" t="s">
        <v>135</v>
      </c>
      <c r="BC264" t="s">
        <v>135</v>
      </c>
      <c r="BD264" t="s">
        <v>135</v>
      </c>
      <c r="BE264" t="s">
        <v>135</v>
      </c>
      <c r="BF264" t="s">
        <v>135</v>
      </c>
      <c r="BG264" t="s">
        <v>135</v>
      </c>
      <c r="BH264" t="s">
        <v>135</v>
      </c>
      <c r="BI264" t="s">
        <v>135</v>
      </c>
      <c r="BJ264" t="s">
        <v>135</v>
      </c>
      <c r="BK264" t="s">
        <v>135</v>
      </c>
      <c r="BL264" t="s">
        <v>135</v>
      </c>
      <c r="BM264" t="s">
        <v>135</v>
      </c>
      <c r="BN264" t="s">
        <v>135</v>
      </c>
      <c r="BO264" t="s">
        <v>135</v>
      </c>
      <c r="BP264" t="s">
        <v>135</v>
      </c>
      <c r="BQ264" t="s">
        <v>135</v>
      </c>
      <c r="BR264" t="s">
        <v>135</v>
      </c>
      <c r="BS264" t="s">
        <v>135</v>
      </c>
      <c r="BT264" t="s">
        <v>135</v>
      </c>
      <c r="BU264" t="s">
        <v>135</v>
      </c>
      <c r="BV264" t="s">
        <v>135</v>
      </c>
      <c r="BW264" t="s">
        <v>135</v>
      </c>
      <c r="BX264" t="s">
        <v>135</v>
      </c>
      <c r="BY264" t="s">
        <v>135</v>
      </c>
      <c r="BZ264" t="s">
        <v>135</v>
      </c>
      <c r="CA264" t="s">
        <v>135</v>
      </c>
      <c r="CB264" t="s">
        <v>135</v>
      </c>
      <c r="CC264" t="s">
        <v>135</v>
      </c>
      <c r="CD264" t="s">
        <v>135</v>
      </c>
      <c r="CE264" t="s">
        <v>135</v>
      </c>
      <c r="CF264" t="s">
        <v>135</v>
      </c>
      <c r="CG264" t="s">
        <v>135</v>
      </c>
      <c r="CH264" t="s">
        <v>135</v>
      </c>
      <c r="CI264" t="s">
        <v>135</v>
      </c>
      <c r="CJ264" t="s">
        <v>135</v>
      </c>
      <c r="CK264" t="s">
        <v>135</v>
      </c>
      <c r="CL264" t="s">
        <v>135</v>
      </c>
      <c r="CM264" t="s">
        <v>135</v>
      </c>
      <c r="CN264" t="s">
        <v>135</v>
      </c>
      <c r="CO264" t="s">
        <v>135</v>
      </c>
      <c r="CP264" t="s">
        <v>135</v>
      </c>
      <c r="CQ264" t="s">
        <v>135</v>
      </c>
      <c r="CR264" t="s">
        <v>135</v>
      </c>
      <c r="CS264" t="s">
        <v>135</v>
      </c>
      <c r="CT264" t="s">
        <v>135</v>
      </c>
      <c r="CU264" t="s">
        <v>135</v>
      </c>
      <c r="CV264" t="s">
        <v>135</v>
      </c>
      <c r="CW264" t="s">
        <v>135</v>
      </c>
      <c r="CX264" t="s">
        <v>135</v>
      </c>
      <c r="CY264" t="s">
        <v>135</v>
      </c>
      <c r="CZ264" t="s">
        <v>135</v>
      </c>
      <c r="DA264" t="s">
        <v>135</v>
      </c>
      <c r="DB264" t="s">
        <v>135</v>
      </c>
      <c r="DC264" t="s">
        <v>135</v>
      </c>
      <c r="DD264" t="s">
        <v>135</v>
      </c>
      <c r="DE264" t="s">
        <v>135</v>
      </c>
      <c r="DF264" t="s">
        <v>135</v>
      </c>
      <c r="DG264" t="s">
        <v>135</v>
      </c>
      <c r="DH264" t="s">
        <v>135</v>
      </c>
      <c r="DI264" t="s">
        <v>135</v>
      </c>
    </row>
    <row r="265" spans="4:113" x14ac:dyDescent="0.3">
      <c r="E265" t="s">
        <v>79</v>
      </c>
      <c r="F265" t="s">
        <v>135</v>
      </c>
      <c r="G265" t="s">
        <v>135</v>
      </c>
      <c r="H265" t="s">
        <v>135</v>
      </c>
      <c r="I265" t="s">
        <v>135</v>
      </c>
      <c r="J265" t="s">
        <v>135</v>
      </c>
      <c r="K265" t="s">
        <v>135</v>
      </c>
      <c r="L265" t="s">
        <v>135</v>
      </c>
      <c r="M265" t="s">
        <v>135</v>
      </c>
      <c r="N265" t="s">
        <v>135</v>
      </c>
      <c r="O265" t="s">
        <v>135</v>
      </c>
      <c r="P265" t="s">
        <v>135</v>
      </c>
      <c r="Q265" t="s">
        <v>135</v>
      </c>
      <c r="R265" t="s">
        <v>135</v>
      </c>
      <c r="S265" t="s">
        <v>135</v>
      </c>
      <c r="T265" t="s">
        <v>135</v>
      </c>
      <c r="U265" t="s">
        <v>135</v>
      </c>
      <c r="V265" t="s">
        <v>135</v>
      </c>
      <c r="W265" t="s">
        <v>135</v>
      </c>
      <c r="X265" t="s">
        <v>135</v>
      </c>
      <c r="Y265" t="s">
        <v>135</v>
      </c>
      <c r="Z265" t="s">
        <v>135</v>
      </c>
      <c r="AA265" t="s">
        <v>135</v>
      </c>
      <c r="AB265" t="s">
        <v>135</v>
      </c>
      <c r="AC265" t="s">
        <v>135</v>
      </c>
      <c r="AD265" t="s">
        <v>135</v>
      </c>
      <c r="AE265" t="s">
        <v>135</v>
      </c>
      <c r="AF265" t="s">
        <v>135</v>
      </c>
      <c r="AG265" t="s">
        <v>135</v>
      </c>
      <c r="AH265" t="s">
        <v>135</v>
      </c>
      <c r="AI265" t="s">
        <v>135</v>
      </c>
      <c r="AJ265" t="s">
        <v>135</v>
      </c>
      <c r="AK265" t="s">
        <v>135</v>
      </c>
      <c r="AL265" t="s">
        <v>135</v>
      </c>
      <c r="AM265" t="s">
        <v>135</v>
      </c>
      <c r="AN265" t="s">
        <v>135</v>
      </c>
      <c r="AO265" t="s">
        <v>135</v>
      </c>
      <c r="AP265" t="s">
        <v>135</v>
      </c>
      <c r="AQ265" t="s">
        <v>135</v>
      </c>
      <c r="AR265" t="s">
        <v>135</v>
      </c>
      <c r="AS265" t="s">
        <v>135</v>
      </c>
      <c r="AT265" t="s">
        <v>135</v>
      </c>
      <c r="AU265" t="s">
        <v>135</v>
      </c>
      <c r="AV265" t="s">
        <v>135</v>
      </c>
      <c r="AW265" t="s">
        <v>135</v>
      </c>
      <c r="AX265" t="s">
        <v>135</v>
      </c>
      <c r="AY265" t="s">
        <v>135</v>
      </c>
      <c r="AZ265" t="s">
        <v>135</v>
      </c>
      <c r="BA265" t="s">
        <v>135</v>
      </c>
      <c r="BB265" t="s">
        <v>135</v>
      </c>
      <c r="BC265" t="s">
        <v>135</v>
      </c>
      <c r="BD265" t="s">
        <v>135</v>
      </c>
      <c r="BE265" t="s">
        <v>135</v>
      </c>
      <c r="BF265" t="s">
        <v>135</v>
      </c>
      <c r="BG265" t="s">
        <v>135</v>
      </c>
      <c r="BH265" t="s">
        <v>135</v>
      </c>
      <c r="BI265" t="s">
        <v>135</v>
      </c>
      <c r="BJ265" t="s">
        <v>135</v>
      </c>
      <c r="BK265" t="s">
        <v>135</v>
      </c>
      <c r="BL265" t="s">
        <v>135</v>
      </c>
      <c r="BM265" t="s">
        <v>135</v>
      </c>
      <c r="BN265" t="s">
        <v>135</v>
      </c>
      <c r="BO265" t="s">
        <v>135</v>
      </c>
      <c r="BP265" t="s">
        <v>135</v>
      </c>
      <c r="BQ265" t="s">
        <v>135</v>
      </c>
      <c r="BR265" t="s">
        <v>135</v>
      </c>
      <c r="BS265" t="s">
        <v>135</v>
      </c>
      <c r="BT265" t="s">
        <v>135</v>
      </c>
      <c r="BU265" t="s">
        <v>135</v>
      </c>
      <c r="BV265" t="s">
        <v>135</v>
      </c>
      <c r="BW265" t="s">
        <v>135</v>
      </c>
      <c r="BX265" t="s">
        <v>135</v>
      </c>
      <c r="BY265" t="s">
        <v>135</v>
      </c>
      <c r="BZ265" t="s">
        <v>135</v>
      </c>
      <c r="CA265" t="s">
        <v>135</v>
      </c>
      <c r="CB265" t="s">
        <v>135</v>
      </c>
      <c r="CC265" t="s">
        <v>135</v>
      </c>
      <c r="CD265" t="s">
        <v>135</v>
      </c>
      <c r="CE265" t="s">
        <v>135</v>
      </c>
      <c r="CF265" t="s">
        <v>135</v>
      </c>
      <c r="CG265" t="s">
        <v>135</v>
      </c>
      <c r="CH265" t="s">
        <v>135</v>
      </c>
      <c r="CI265" t="s">
        <v>135</v>
      </c>
      <c r="CJ265" t="s">
        <v>135</v>
      </c>
      <c r="CK265" t="s">
        <v>135</v>
      </c>
      <c r="CL265" t="s">
        <v>135</v>
      </c>
      <c r="CM265" t="s">
        <v>135</v>
      </c>
      <c r="CN265" t="s">
        <v>135</v>
      </c>
      <c r="CO265" t="s">
        <v>135</v>
      </c>
      <c r="CP265" t="s">
        <v>135</v>
      </c>
      <c r="CQ265" t="s">
        <v>135</v>
      </c>
      <c r="CR265" t="s">
        <v>135</v>
      </c>
      <c r="CS265" t="s">
        <v>135</v>
      </c>
      <c r="CT265" t="s">
        <v>135</v>
      </c>
      <c r="CU265" t="s">
        <v>135</v>
      </c>
      <c r="CV265" t="s">
        <v>135</v>
      </c>
      <c r="CW265" t="s">
        <v>135</v>
      </c>
      <c r="CX265" t="s">
        <v>135</v>
      </c>
      <c r="CY265" t="s">
        <v>135</v>
      </c>
      <c r="CZ265" t="s">
        <v>135</v>
      </c>
      <c r="DA265" t="s">
        <v>135</v>
      </c>
      <c r="DB265" t="s">
        <v>135</v>
      </c>
      <c r="DC265" t="s">
        <v>135</v>
      </c>
      <c r="DD265" t="s">
        <v>135</v>
      </c>
      <c r="DE265" t="s">
        <v>135</v>
      </c>
      <c r="DF265" t="s">
        <v>135</v>
      </c>
      <c r="DG265" t="s">
        <v>135</v>
      </c>
      <c r="DH265" t="s">
        <v>135</v>
      </c>
      <c r="DI265" t="s">
        <v>135</v>
      </c>
    </row>
    <row r="266" spans="4:113" x14ac:dyDescent="0.3">
      <c r="E266" t="s">
        <v>80</v>
      </c>
      <c r="F266" t="s">
        <v>135</v>
      </c>
      <c r="G266" t="s">
        <v>135</v>
      </c>
      <c r="H266" t="s">
        <v>135</v>
      </c>
      <c r="I266" t="s">
        <v>135</v>
      </c>
      <c r="J266" t="s">
        <v>135</v>
      </c>
      <c r="K266" t="s">
        <v>135</v>
      </c>
      <c r="L266" t="s">
        <v>135</v>
      </c>
      <c r="M266" t="s">
        <v>135</v>
      </c>
      <c r="N266" t="s">
        <v>135</v>
      </c>
      <c r="O266" t="s">
        <v>135</v>
      </c>
      <c r="P266" t="s">
        <v>135</v>
      </c>
      <c r="Q266" t="s">
        <v>135</v>
      </c>
      <c r="R266" t="s">
        <v>135</v>
      </c>
      <c r="S266" t="s">
        <v>135</v>
      </c>
      <c r="T266" t="s">
        <v>135</v>
      </c>
      <c r="U266" t="s">
        <v>135</v>
      </c>
      <c r="V266" t="s">
        <v>135</v>
      </c>
      <c r="W266" t="s">
        <v>135</v>
      </c>
      <c r="X266" t="s">
        <v>135</v>
      </c>
      <c r="Y266" t="s">
        <v>135</v>
      </c>
      <c r="Z266" t="s">
        <v>135</v>
      </c>
      <c r="AA266" t="s">
        <v>135</v>
      </c>
      <c r="AB266" t="s">
        <v>135</v>
      </c>
      <c r="AC266" t="s">
        <v>135</v>
      </c>
      <c r="AD266" t="s">
        <v>135</v>
      </c>
      <c r="AE266" t="s">
        <v>135</v>
      </c>
      <c r="AF266" t="s">
        <v>135</v>
      </c>
      <c r="AG266" t="s">
        <v>135</v>
      </c>
      <c r="AH266" t="s">
        <v>135</v>
      </c>
      <c r="AI266" t="s">
        <v>135</v>
      </c>
      <c r="AJ266" t="s">
        <v>135</v>
      </c>
      <c r="AK266" t="s">
        <v>135</v>
      </c>
      <c r="AL266" t="s">
        <v>135</v>
      </c>
      <c r="AM266" t="s">
        <v>135</v>
      </c>
      <c r="AN266" t="s">
        <v>135</v>
      </c>
      <c r="AO266" t="s">
        <v>135</v>
      </c>
      <c r="AP266" t="s">
        <v>135</v>
      </c>
      <c r="AQ266" t="s">
        <v>135</v>
      </c>
      <c r="AR266" t="s">
        <v>135</v>
      </c>
      <c r="AS266" t="s">
        <v>135</v>
      </c>
      <c r="AT266" t="s">
        <v>135</v>
      </c>
      <c r="AU266" t="s">
        <v>135</v>
      </c>
      <c r="AV266" t="s">
        <v>135</v>
      </c>
      <c r="AW266" t="s">
        <v>135</v>
      </c>
      <c r="AX266" t="s">
        <v>135</v>
      </c>
      <c r="AY266" t="s">
        <v>135</v>
      </c>
      <c r="AZ266" t="s">
        <v>135</v>
      </c>
      <c r="BA266" t="s">
        <v>135</v>
      </c>
      <c r="BB266" t="s">
        <v>135</v>
      </c>
      <c r="BC266" t="s">
        <v>135</v>
      </c>
      <c r="BD266" t="s">
        <v>135</v>
      </c>
      <c r="BE266" t="s">
        <v>135</v>
      </c>
      <c r="BF266" t="s">
        <v>135</v>
      </c>
      <c r="BG266" t="s">
        <v>135</v>
      </c>
      <c r="BH266" t="s">
        <v>135</v>
      </c>
      <c r="BI266" t="s">
        <v>135</v>
      </c>
      <c r="BJ266" t="s">
        <v>135</v>
      </c>
      <c r="BK266" t="s">
        <v>135</v>
      </c>
      <c r="BL266" t="s">
        <v>135</v>
      </c>
      <c r="BM266" t="s">
        <v>135</v>
      </c>
      <c r="BN266" t="s">
        <v>135</v>
      </c>
      <c r="BO266" t="s">
        <v>135</v>
      </c>
      <c r="BP266" t="s">
        <v>135</v>
      </c>
      <c r="BQ266" t="s">
        <v>135</v>
      </c>
      <c r="BR266" t="s">
        <v>135</v>
      </c>
      <c r="BS266" t="s">
        <v>135</v>
      </c>
      <c r="BT266" t="s">
        <v>135</v>
      </c>
      <c r="BU266" t="s">
        <v>135</v>
      </c>
      <c r="BV266" t="s">
        <v>135</v>
      </c>
      <c r="BW266" t="s">
        <v>135</v>
      </c>
      <c r="BX266" t="s">
        <v>135</v>
      </c>
      <c r="BY266" t="s">
        <v>135</v>
      </c>
      <c r="BZ266" t="s">
        <v>135</v>
      </c>
      <c r="CA266" t="s">
        <v>135</v>
      </c>
      <c r="CB266" t="s">
        <v>135</v>
      </c>
      <c r="CC266" t="s">
        <v>135</v>
      </c>
      <c r="CD266" t="s">
        <v>135</v>
      </c>
      <c r="CE266" t="s">
        <v>135</v>
      </c>
      <c r="CF266" t="s">
        <v>135</v>
      </c>
      <c r="CG266" t="s">
        <v>135</v>
      </c>
      <c r="CH266" t="s">
        <v>135</v>
      </c>
      <c r="CI266" t="s">
        <v>135</v>
      </c>
      <c r="CJ266" t="s">
        <v>135</v>
      </c>
      <c r="CK266" t="s">
        <v>135</v>
      </c>
      <c r="CL266" t="s">
        <v>135</v>
      </c>
      <c r="CM266" t="s">
        <v>135</v>
      </c>
      <c r="CN266" t="s">
        <v>135</v>
      </c>
      <c r="CO266" t="s">
        <v>135</v>
      </c>
      <c r="CP266" t="s">
        <v>135</v>
      </c>
      <c r="CQ266" t="s">
        <v>135</v>
      </c>
      <c r="CR266" t="s">
        <v>135</v>
      </c>
      <c r="CS266" t="s">
        <v>135</v>
      </c>
      <c r="CT266" t="s">
        <v>135</v>
      </c>
      <c r="CU266" t="s">
        <v>135</v>
      </c>
      <c r="CV266" t="s">
        <v>135</v>
      </c>
      <c r="CW266" t="s">
        <v>135</v>
      </c>
      <c r="CX266" t="s">
        <v>135</v>
      </c>
      <c r="CY266" t="s">
        <v>135</v>
      </c>
      <c r="CZ266" t="s">
        <v>135</v>
      </c>
      <c r="DA266" t="s">
        <v>135</v>
      </c>
      <c r="DB266" t="s">
        <v>135</v>
      </c>
      <c r="DC266" t="s">
        <v>135</v>
      </c>
      <c r="DD266" t="s">
        <v>135</v>
      </c>
      <c r="DE266" t="s">
        <v>135</v>
      </c>
      <c r="DF266" t="s">
        <v>135</v>
      </c>
      <c r="DG266" t="s">
        <v>135</v>
      </c>
      <c r="DH266" t="s">
        <v>135</v>
      </c>
      <c r="DI266" t="s">
        <v>135</v>
      </c>
    </row>
    <row r="267" spans="4:113" x14ac:dyDescent="0.3">
      <c r="E267" t="s">
        <v>81</v>
      </c>
      <c r="F267" t="s">
        <v>135</v>
      </c>
      <c r="G267" t="s">
        <v>135</v>
      </c>
      <c r="H267" t="s">
        <v>135</v>
      </c>
      <c r="I267" t="s">
        <v>135</v>
      </c>
      <c r="J267" t="s">
        <v>135</v>
      </c>
      <c r="K267" t="s">
        <v>135</v>
      </c>
      <c r="L267" t="s">
        <v>135</v>
      </c>
      <c r="M267" t="s">
        <v>135</v>
      </c>
      <c r="N267" t="s">
        <v>135</v>
      </c>
      <c r="O267" t="s">
        <v>135</v>
      </c>
      <c r="P267" t="s">
        <v>135</v>
      </c>
      <c r="Q267" t="s">
        <v>135</v>
      </c>
      <c r="R267" t="s">
        <v>135</v>
      </c>
      <c r="S267" t="s">
        <v>135</v>
      </c>
      <c r="T267" t="s">
        <v>135</v>
      </c>
      <c r="U267" t="s">
        <v>135</v>
      </c>
      <c r="V267" t="s">
        <v>135</v>
      </c>
      <c r="W267" t="s">
        <v>135</v>
      </c>
      <c r="X267" t="s">
        <v>135</v>
      </c>
      <c r="Y267" t="s">
        <v>135</v>
      </c>
      <c r="Z267" t="s">
        <v>135</v>
      </c>
      <c r="AA267" t="s">
        <v>135</v>
      </c>
      <c r="AB267" t="s">
        <v>135</v>
      </c>
      <c r="AC267" t="s">
        <v>135</v>
      </c>
      <c r="AD267" t="s">
        <v>135</v>
      </c>
      <c r="AE267" t="s">
        <v>135</v>
      </c>
      <c r="AF267" t="s">
        <v>135</v>
      </c>
      <c r="AG267" t="s">
        <v>135</v>
      </c>
      <c r="AH267" t="s">
        <v>135</v>
      </c>
      <c r="AI267" t="s">
        <v>135</v>
      </c>
      <c r="AJ267" t="s">
        <v>135</v>
      </c>
      <c r="AK267" t="s">
        <v>135</v>
      </c>
      <c r="AL267" t="s">
        <v>135</v>
      </c>
      <c r="AM267" t="s">
        <v>135</v>
      </c>
      <c r="AN267" t="s">
        <v>135</v>
      </c>
      <c r="AO267" t="s">
        <v>135</v>
      </c>
      <c r="AP267" t="s">
        <v>135</v>
      </c>
      <c r="AQ267" t="s">
        <v>135</v>
      </c>
      <c r="AR267" t="s">
        <v>135</v>
      </c>
      <c r="AS267" t="s">
        <v>135</v>
      </c>
      <c r="AT267" t="s">
        <v>135</v>
      </c>
      <c r="AU267" t="s">
        <v>135</v>
      </c>
      <c r="AV267" t="s">
        <v>135</v>
      </c>
      <c r="AW267" t="s">
        <v>135</v>
      </c>
      <c r="AX267" t="s">
        <v>135</v>
      </c>
      <c r="AY267" t="s">
        <v>135</v>
      </c>
      <c r="AZ267" t="s">
        <v>135</v>
      </c>
      <c r="BA267" t="s">
        <v>135</v>
      </c>
      <c r="BB267" t="s">
        <v>135</v>
      </c>
      <c r="BC267" t="s">
        <v>135</v>
      </c>
      <c r="BD267" t="s">
        <v>135</v>
      </c>
      <c r="BE267" t="s">
        <v>135</v>
      </c>
      <c r="BF267" t="s">
        <v>135</v>
      </c>
      <c r="BG267" t="s">
        <v>135</v>
      </c>
      <c r="BH267" t="s">
        <v>135</v>
      </c>
      <c r="BI267" t="s">
        <v>135</v>
      </c>
      <c r="BJ267" t="s">
        <v>135</v>
      </c>
      <c r="BK267" t="s">
        <v>135</v>
      </c>
      <c r="BL267" t="s">
        <v>135</v>
      </c>
      <c r="BM267" t="s">
        <v>135</v>
      </c>
      <c r="BN267" t="s">
        <v>135</v>
      </c>
      <c r="BO267" t="s">
        <v>135</v>
      </c>
      <c r="BP267" t="s">
        <v>135</v>
      </c>
      <c r="BQ267" t="s">
        <v>135</v>
      </c>
      <c r="BR267" t="s">
        <v>135</v>
      </c>
      <c r="BS267" t="s">
        <v>135</v>
      </c>
      <c r="BT267" t="s">
        <v>135</v>
      </c>
      <c r="BU267" t="s">
        <v>135</v>
      </c>
      <c r="BV267" t="s">
        <v>135</v>
      </c>
      <c r="BW267" t="s">
        <v>135</v>
      </c>
      <c r="BX267" t="s">
        <v>135</v>
      </c>
      <c r="BY267" t="s">
        <v>135</v>
      </c>
      <c r="BZ267" t="s">
        <v>135</v>
      </c>
      <c r="CA267" t="s">
        <v>135</v>
      </c>
      <c r="CB267" t="s">
        <v>135</v>
      </c>
      <c r="CC267" t="s">
        <v>135</v>
      </c>
      <c r="CD267" t="s">
        <v>135</v>
      </c>
      <c r="CE267" t="s">
        <v>135</v>
      </c>
      <c r="CF267" t="s">
        <v>135</v>
      </c>
      <c r="CG267" t="s">
        <v>135</v>
      </c>
      <c r="CH267" t="s">
        <v>135</v>
      </c>
      <c r="CI267" t="s">
        <v>135</v>
      </c>
      <c r="CJ267" t="s">
        <v>135</v>
      </c>
      <c r="CK267" t="s">
        <v>135</v>
      </c>
      <c r="CL267" t="s">
        <v>135</v>
      </c>
      <c r="CM267" t="s">
        <v>135</v>
      </c>
      <c r="CN267" t="s">
        <v>135</v>
      </c>
      <c r="CO267" t="s">
        <v>135</v>
      </c>
      <c r="CP267" t="s">
        <v>135</v>
      </c>
      <c r="CQ267" t="s">
        <v>135</v>
      </c>
      <c r="CR267" t="s">
        <v>135</v>
      </c>
      <c r="CS267" t="s">
        <v>135</v>
      </c>
      <c r="CT267" t="s">
        <v>135</v>
      </c>
      <c r="CU267" t="s">
        <v>135</v>
      </c>
      <c r="CV267" t="s">
        <v>135</v>
      </c>
      <c r="CW267" t="s">
        <v>135</v>
      </c>
      <c r="CX267" t="s">
        <v>135</v>
      </c>
      <c r="CY267" t="s">
        <v>135</v>
      </c>
      <c r="CZ267" t="s">
        <v>135</v>
      </c>
      <c r="DA267" t="s">
        <v>135</v>
      </c>
      <c r="DB267" t="s">
        <v>135</v>
      </c>
      <c r="DC267" t="s">
        <v>135</v>
      </c>
      <c r="DD267" t="s">
        <v>135</v>
      </c>
      <c r="DE267" t="s">
        <v>135</v>
      </c>
      <c r="DF267" t="s">
        <v>135</v>
      </c>
      <c r="DG267" t="s">
        <v>135</v>
      </c>
      <c r="DH267" t="s">
        <v>135</v>
      </c>
      <c r="DI267" t="s">
        <v>135</v>
      </c>
    </row>
    <row r="268" spans="4:113" x14ac:dyDescent="0.3">
      <c r="D268" t="s">
        <v>84</v>
      </c>
      <c r="E268" t="s">
        <v>77</v>
      </c>
      <c r="F268">
        <v>27.464400000000001</v>
      </c>
      <c r="G268">
        <v>25.306100000000001</v>
      </c>
      <c r="H268">
        <v>27.468699999999998</v>
      </c>
      <c r="I268">
        <v>23.788799999999998</v>
      </c>
      <c r="J268">
        <v>66.860399999999998</v>
      </c>
      <c r="K268">
        <v>51.758699999999997</v>
      </c>
      <c r="L268">
        <v>58.740099999999998</v>
      </c>
      <c r="M268">
        <v>58.62</v>
      </c>
      <c r="N268">
        <v>38.956099999999999</v>
      </c>
      <c r="O268">
        <v>38.940600000000003</v>
      </c>
      <c r="P268">
        <v>38.940600000000003</v>
      </c>
      <c r="Q268">
        <v>33.544600000000003</v>
      </c>
      <c r="R268">
        <v>38.250500000000002</v>
      </c>
      <c r="S268">
        <v>16.959099999999999</v>
      </c>
      <c r="T268">
        <v>6.9565000000000001</v>
      </c>
      <c r="U268">
        <v>0.27610000000000001</v>
      </c>
      <c r="V268">
        <v>7.9696999999999996</v>
      </c>
      <c r="W268">
        <v>11.762499999999999</v>
      </c>
      <c r="X268">
        <v>11.7521</v>
      </c>
      <c r="Y268">
        <v>-35.483899999999998</v>
      </c>
      <c r="Z268">
        <v>-0.45229999999999998</v>
      </c>
      <c r="AA268">
        <v>-21.238900000000001</v>
      </c>
      <c r="AB268">
        <v>74.662000000000006</v>
      </c>
      <c r="AC268">
        <v>16.511500000000002</v>
      </c>
      <c r="AD268">
        <v>-2.8119000000000001</v>
      </c>
      <c r="AE268">
        <v>-4.452</v>
      </c>
      <c r="AF268">
        <v>29.710799999999999</v>
      </c>
      <c r="AG268" t="s">
        <v>135</v>
      </c>
      <c r="AH268" t="s">
        <v>135</v>
      </c>
      <c r="AI268">
        <v>15.956</v>
      </c>
      <c r="AJ268">
        <v>15.956</v>
      </c>
      <c r="AK268">
        <v>15.9589</v>
      </c>
      <c r="AL268">
        <v>0.74439999999999995</v>
      </c>
      <c r="AM268">
        <v>7.4501999999999997</v>
      </c>
      <c r="AN268">
        <v>4.5137999999999998</v>
      </c>
      <c r="AO268">
        <v>7.6582999999999997</v>
      </c>
      <c r="AP268">
        <v>8.2565000000000008</v>
      </c>
      <c r="AQ268">
        <v>8.2622</v>
      </c>
      <c r="AR268">
        <v>1.0310999999999999</v>
      </c>
      <c r="AS268">
        <v>8.7032000000000007</v>
      </c>
      <c r="AT268">
        <v>11.78</v>
      </c>
      <c r="AU268">
        <v>-1.0875999999999999</v>
      </c>
      <c r="AV268">
        <v>8.5564</v>
      </c>
      <c r="AW268">
        <v>8.5686999999999998</v>
      </c>
      <c r="AX268">
        <v>21.688400000000001</v>
      </c>
      <c r="AY268">
        <v>10.101699999999999</v>
      </c>
      <c r="AZ268" t="s">
        <v>135</v>
      </c>
      <c r="BA268" t="s">
        <v>135</v>
      </c>
      <c r="BB268">
        <v>9.6717999999999993</v>
      </c>
      <c r="BC268">
        <v>9.6717999999999993</v>
      </c>
      <c r="BD268">
        <v>9.907</v>
      </c>
      <c r="BE268">
        <v>8.3483000000000001</v>
      </c>
      <c r="BF268">
        <v>6.9565000000000001</v>
      </c>
      <c r="BG268">
        <v>0.27610000000000001</v>
      </c>
      <c r="BH268">
        <v>7.9696999999999996</v>
      </c>
      <c r="BI268">
        <v>11.762499999999999</v>
      </c>
      <c r="BJ268">
        <v>11.7521</v>
      </c>
      <c r="BK268">
        <v>-35.483899999999998</v>
      </c>
      <c r="BL268">
        <v>-0.45229999999999998</v>
      </c>
      <c r="BM268">
        <v>-21.238900000000001</v>
      </c>
      <c r="BN268">
        <v>74.662000000000006</v>
      </c>
      <c r="BO268">
        <v>16.511500000000002</v>
      </c>
      <c r="BP268">
        <v>-2.8119000000000001</v>
      </c>
      <c r="BQ268">
        <v>-4.452</v>
      </c>
      <c r="BR268">
        <v>29.710799999999999</v>
      </c>
      <c r="BS268" t="s">
        <v>135</v>
      </c>
      <c r="BT268" t="s">
        <v>135</v>
      </c>
      <c r="BU268">
        <v>15.956</v>
      </c>
      <c r="BV268">
        <v>15.956</v>
      </c>
      <c r="BW268">
        <v>15.9589</v>
      </c>
      <c r="BX268">
        <v>0.74439999999999995</v>
      </c>
      <c r="BY268">
        <v>0</v>
      </c>
      <c r="BZ268">
        <v>0</v>
      </c>
      <c r="CA268">
        <v>0</v>
      </c>
      <c r="CB268">
        <v>0</v>
      </c>
      <c r="CC268">
        <v>-0.75380000000000003</v>
      </c>
      <c r="CD268">
        <v>0</v>
      </c>
      <c r="CE268">
        <v>-0.9738</v>
      </c>
      <c r="CF268">
        <v>1717.4175</v>
      </c>
      <c r="CG268">
        <v>91.938900000000004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-33.072600000000001</v>
      </c>
      <c r="CO268">
        <v>-49.415599999999998</v>
      </c>
      <c r="CP268">
        <v>17689.400000000001</v>
      </c>
      <c r="CQ268">
        <v>13799.1</v>
      </c>
      <c r="CR268">
        <v>13693.9</v>
      </c>
      <c r="CS268">
        <v>4.7510000000000003</v>
      </c>
      <c r="CT268">
        <v>8.0620999999999992</v>
      </c>
      <c r="CU268">
        <v>7.5036000000000005</v>
      </c>
      <c r="CV268">
        <v>56.927399999999999</v>
      </c>
      <c r="CW268">
        <v>3.4167000000000001</v>
      </c>
      <c r="CX268">
        <v>106.82899999999999</v>
      </c>
      <c r="CY268" t="s">
        <v>135</v>
      </c>
      <c r="CZ268" t="s">
        <v>135</v>
      </c>
      <c r="DA268" t="s">
        <v>135</v>
      </c>
      <c r="DB268" t="s">
        <v>135</v>
      </c>
      <c r="DC268" t="s">
        <v>135</v>
      </c>
      <c r="DD268" t="s">
        <v>135</v>
      </c>
      <c r="DE268">
        <v>8.9</v>
      </c>
      <c r="DF268">
        <v>0</v>
      </c>
      <c r="DG268">
        <v>0</v>
      </c>
      <c r="DH268">
        <v>8.9</v>
      </c>
      <c r="DI268">
        <v>0</v>
      </c>
    </row>
    <row r="269" spans="4:113" x14ac:dyDescent="0.3">
      <c r="E269" t="s">
        <v>78</v>
      </c>
      <c r="F269" t="s">
        <v>135</v>
      </c>
      <c r="G269" t="s">
        <v>135</v>
      </c>
      <c r="H269" t="s">
        <v>135</v>
      </c>
      <c r="I269" t="s">
        <v>135</v>
      </c>
      <c r="J269" t="s">
        <v>135</v>
      </c>
      <c r="K269" t="s">
        <v>135</v>
      </c>
      <c r="L269" t="s">
        <v>135</v>
      </c>
      <c r="M269" t="s">
        <v>135</v>
      </c>
      <c r="N269" t="s">
        <v>135</v>
      </c>
      <c r="O269" t="s">
        <v>135</v>
      </c>
      <c r="P269" t="s">
        <v>135</v>
      </c>
      <c r="Q269" t="s">
        <v>135</v>
      </c>
      <c r="R269" t="s">
        <v>135</v>
      </c>
      <c r="S269" t="s">
        <v>135</v>
      </c>
      <c r="T269" t="s">
        <v>135</v>
      </c>
      <c r="U269" t="s">
        <v>135</v>
      </c>
      <c r="V269" t="s">
        <v>135</v>
      </c>
      <c r="W269" t="s">
        <v>135</v>
      </c>
      <c r="X269" t="s">
        <v>135</v>
      </c>
      <c r="Y269" t="s">
        <v>135</v>
      </c>
      <c r="Z269" t="s">
        <v>135</v>
      </c>
      <c r="AA269" t="s">
        <v>135</v>
      </c>
      <c r="AB269" t="s">
        <v>135</v>
      </c>
      <c r="AC269" t="s">
        <v>135</v>
      </c>
      <c r="AD269" t="s">
        <v>135</v>
      </c>
      <c r="AE269" t="s">
        <v>135</v>
      </c>
      <c r="AF269" t="s">
        <v>135</v>
      </c>
      <c r="AG269" t="s">
        <v>135</v>
      </c>
      <c r="AH269" t="s">
        <v>135</v>
      </c>
      <c r="AI269" t="s">
        <v>135</v>
      </c>
      <c r="AJ269" t="s">
        <v>135</v>
      </c>
      <c r="AK269" t="s">
        <v>135</v>
      </c>
      <c r="AL269" t="s">
        <v>135</v>
      </c>
      <c r="AM269" t="s">
        <v>135</v>
      </c>
      <c r="AN269" t="s">
        <v>135</v>
      </c>
      <c r="AO269" t="s">
        <v>135</v>
      </c>
      <c r="AP269" t="s">
        <v>135</v>
      </c>
      <c r="AQ269" t="s">
        <v>135</v>
      </c>
      <c r="AR269" t="s">
        <v>135</v>
      </c>
      <c r="AS269" t="s">
        <v>135</v>
      </c>
      <c r="AT269" t="s">
        <v>135</v>
      </c>
      <c r="AU269" t="s">
        <v>135</v>
      </c>
      <c r="AV269" t="s">
        <v>135</v>
      </c>
      <c r="AW269" t="s">
        <v>135</v>
      </c>
      <c r="AX269" t="s">
        <v>135</v>
      </c>
      <c r="AY269" t="s">
        <v>135</v>
      </c>
      <c r="AZ269" t="s">
        <v>135</v>
      </c>
      <c r="BA269" t="s">
        <v>135</v>
      </c>
      <c r="BB269" t="s">
        <v>135</v>
      </c>
      <c r="BC269" t="s">
        <v>135</v>
      </c>
      <c r="BD269" t="s">
        <v>135</v>
      </c>
      <c r="BE269" t="s">
        <v>135</v>
      </c>
      <c r="BF269" t="s">
        <v>135</v>
      </c>
      <c r="BG269" t="s">
        <v>135</v>
      </c>
      <c r="BH269" t="s">
        <v>135</v>
      </c>
      <c r="BI269" t="s">
        <v>135</v>
      </c>
      <c r="BJ269" t="s">
        <v>135</v>
      </c>
      <c r="BK269" t="s">
        <v>135</v>
      </c>
      <c r="BL269" t="s">
        <v>135</v>
      </c>
      <c r="BM269" t="s">
        <v>135</v>
      </c>
      <c r="BN269" t="s">
        <v>135</v>
      </c>
      <c r="BO269" t="s">
        <v>135</v>
      </c>
      <c r="BP269" t="s">
        <v>135</v>
      </c>
      <c r="BQ269" t="s">
        <v>135</v>
      </c>
      <c r="BR269" t="s">
        <v>135</v>
      </c>
      <c r="BS269" t="s">
        <v>135</v>
      </c>
      <c r="BT269" t="s">
        <v>135</v>
      </c>
      <c r="BU269" t="s">
        <v>135</v>
      </c>
      <c r="BV269" t="s">
        <v>135</v>
      </c>
      <c r="BW269" t="s">
        <v>135</v>
      </c>
      <c r="BX269" t="s">
        <v>135</v>
      </c>
      <c r="BY269" t="s">
        <v>135</v>
      </c>
      <c r="BZ269" t="s">
        <v>135</v>
      </c>
      <c r="CA269" t="s">
        <v>135</v>
      </c>
      <c r="CB269" t="s">
        <v>135</v>
      </c>
      <c r="CC269" t="s">
        <v>135</v>
      </c>
      <c r="CD269" t="s">
        <v>135</v>
      </c>
      <c r="CE269" t="s">
        <v>135</v>
      </c>
      <c r="CF269" t="s">
        <v>135</v>
      </c>
      <c r="CG269" t="s">
        <v>135</v>
      </c>
      <c r="CH269" t="s">
        <v>135</v>
      </c>
      <c r="CI269" t="s">
        <v>135</v>
      </c>
      <c r="CJ269" t="s">
        <v>135</v>
      </c>
      <c r="CK269" t="s">
        <v>135</v>
      </c>
      <c r="CL269" t="s">
        <v>135</v>
      </c>
      <c r="CM269" t="s">
        <v>135</v>
      </c>
      <c r="CN269" t="s">
        <v>135</v>
      </c>
      <c r="CO269" t="s">
        <v>135</v>
      </c>
      <c r="CP269" t="s">
        <v>135</v>
      </c>
      <c r="CQ269" t="s">
        <v>135</v>
      </c>
      <c r="CR269" t="s">
        <v>135</v>
      </c>
      <c r="CS269" t="s">
        <v>135</v>
      </c>
      <c r="CT269" t="s">
        <v>135</v>
      </c>
      <c r="CU269" t="s">
        <v>135</v>
      </c>
      <c r="CV269" t="s">
        <v>135</v>
      </c>
      <c r="CW269" t="s">
        <v>135</v>
      </c>
      <c r="CX269" t="s">
        <v>135</v>
      </c>
      <c r="CY269" t="s">
        <v>135</v>
      </c>
      <c r="CZ269" t="s">
        <v>135</v>
      </c>
      <c r="DA269" t="s">
        <v>135</v>
      </c>
      <c r="DB269" t="s">
        <v>135</v>
      </c>
      <c r="DC269" t="s">
        <v>135</v>
      </c>
      <c r="DD269" t="s">
        <v>135</v>
      </c>
      <c r="DE269" t="s">
        <v>135</v>
      </c>
      <c r="DF269" t="s">
        <v>135</v>
      </c>
      <c r="DG269" t="s">
        <v>135</v>
      </c>
      <c r="DH269" t="s">
        <v>135</v>
      </c>
      <c r="DI269" t="s">
        <v>135</v>
      </c>
    </row>
    <row r="270" spans="4:113" x14ac:dyDescent="0.3">
      <c r="E270" t="s">
        <v>79</v>
      </c>
      <c r="F270" t="s">
        <v>135</v>
      </c>
      <c r="G270" t="s">
        <v>135</v>
      </c>
      <c r="H270" t="s">
        <v>135</v>
      </c>
      <c r="I270" t="s">
        <v>135</v>
      </c>
      <c r="J270" t="s">
        <v>135</v>
      </c>
      <c r="K270" t="s">
        <v>135</v>
      </c>
      <c r="L270" t="s">
        <v>135</v>
      </c>
      <c r="M270" t="s">
        <v>135</v>
      </c>
      <c r="N270" t="s">
        <v>135</v>
      </c>
      <c r="O270" t="s">
        <v>135</v>
      </c>
      <c r="P270" t="s">
        <v>135</v>
      </c>
      <c r="Q270" t="s">
        <v>135</v>
      </c>
      <c r="R270" t="s">
        <v>135</v>
      </c>
      <c r="S270" t="s">
        <v>135</v>
      </c>
      <c r="T270" t="s">
        <v>135</v>
      </c>
      <c r="U270" t="s">
        <v>135</v>
      </c>
      <c r="V270" t="s">
        <v>135</v>
      </c>
      <c r="W270" t="s">
        <v>135</v>
      </c>
      <c r="X270" t="s">
        <v>135</v>
      </c>
      <c r="Y270" t="s">
        <v>135</v>
      </c>
      <c r="Z270" t="s">
        <v>135</v>
      </c>
      <c r="AA270" t="s">
        <v>135</v>
      </c>
      <c r="AB270" t="s">
        <v>135</v>
      </c>
      <c r="AC270" t="s">
        <v>135</v>
      </c>
      <c r="AD270" t="s">
        <v>135</v>
      </c>
      <c r="AE270" t="s">
        <v>135</v>
      </c>
      <c r="AF270" t="s">
        <v>135</v>
      </c>
      <c r="AG270" t="s">
        <v>135</v>
      </c>
      <c r="AH270" t="s">
        <v>135</v>
      </c>
      <c r="AI270" t="s">
        <v>135</v>
      </c>
      <c r="AJ270" t="s">
        <v>135</v>
      </c>
      <c r="AK270" t="s">
        <v>135</v>
      </c>
      <c r="AL270" t="s">
        <v>135</v>
      </c>
      <c r="AM270" t="s">
        <v>135</v>
      </c>
      <c r="AN270" t="s">
        <v>135</v>
      </c>
      <c r="AO270" t="s">
        <v>135</v>
      </c>
      <c r="AP270" t="s">
        <v>135</v>
      </c>
      <c r="AQ270" t="s">
        <v>135</v>
      </c>
      <c r="AR270" t="s">
        <v>135</v>
      </c>
      <c r="AS270" t="s">
        <v>135</v>
      </c>
      <c r="AT270" t="s">
        <v>135</v>
      </c>
      <c r="AU270" t="s">
        <v>135</v>
      </c>
      <c r="AV270" t="s">
        <v>135</v>
      </c>
      <c r="AW270" t="s">
        <v>135</v>
      </c>
      <c r="AX270" t="s">
        <v>135</v>
      </c>
      <c r="AY270" t="s">
        <v>135</v>
      </c>
      <c r="AZ270" t="s">
        <v>135</v>
      </c>
      <c r="BA270" t="s">
        <v>135</v>
      </c>
      <c r="BB270" t="s">
        <v>135</v>
      </c>
      <c r="BC270" t="s">
        <v>135</v>
      </c>
      <c r="BD270" t="s">
        <v>135</v>
      </c>
      <c r="BE270" t="s">
        <v>135</v>
      </c>
      <c r="BF270" t="s">
        <v>135</v>
      </c>
      <c r="BG270" t="s">
        <v>135</v>
      </c>
      <c r="BH270" t="s">
        <v>135</v>
      </c>
      <c r="BI270" t="s">
        <v>135</v>
      </c>
      <c r="BJ270" t="s">
        <v>135</v>
      </c>
      <c r="BK270" t="s">
        <v>135</v>
      </c>
      <c r="BL270" t="s">
        <v>135</v>
      </c>
      <c r="BM270" t="s">
        <v>135</v>
      </c>
      <c r="BN270" t="s">
        <v>135</v>
      </c>
      <c r="BO270" t="s">
        <v>135</v>
      </c>
      <c r="BP270" t="s">
        <v>135</v>
      </c>
      <c r="BQ270" t="s">
        <v>135</v>
      </c>
      <c r="BR270" t="s">
        <v>135</v>
      </c>
      <c r="BS270" t="s">
        <v>135</v>
      </c>
      <c r="BT270" t="s">
        <v>135</v>
      </c>
      <c r="BU270" t="s">
        <v>135</v>
      </c>
      <c r="BV270" t="s">
        <v>135</v>
      </c>
      <c r="BW270" t="s">
        <v>135</v>
      </c>
      <c r="BX270" t="s">
        <v>135</v>
      </c>
      <c r="BY270" t="s">
        <v>135</v>
      </c>
      <c r="BZ270" t="s">
        <v>135</v>
      </c>
      <c r="CA270" t="s">
        <v>135</v>
      </c>
      <c r="CB270" t="s">
        <v>135</v>
      </c>
      <c r="CC270" t="s">
        <v>135</v>
      </c>
      <c r="CD270" t="s">
        <v>135</v>
      </c>
      <c r="CE270" t="s">
        <v>135</v>
      </c>
      <c r="CF270" t="s">
        <v>135</v>
      </c>
      <c r="CG270" t="s">
        <v>135</v>
      </c>
      <c r="CH270" t="s">
        <v>135</v>
      </c>
      <c r="CI270" t="s">
        <v>135</v>
      </c>
      <c r="CJ270" t="s">
        <v>135</v>
      </c>
      <c r="CK270" t="s">
        <v>135</v>
      </c>
      <c r="CL270" t="s">
        <v>135</v>
      </c>
      <c r="CM270" t="s">
        <v>135</v>
      </c>
      <c r="CN270" t="s">
        <v>135</v>
      </c>
      <c r="CO270" t="s">
        <v>135</v>
      </c>
      <c r="CP270" t="s">
        <v>135</v>
      </c>
      <c r="CQ270" t="s">
        <v>135</v>
      </c>
      <c r="CR270" t="s">
        <v>135</v>
      </c>
      <c r="CS270" t="s">
        <v>135</v>
      </c>
      <c r="CT270" t="s">
        <v>135</v>
      </c>
      <c r="CU270" t="s">
        <v>135</v>
      </c>
      <c r="CV270" t="s">
        <v>135</v>
      </c>
      <c r="CW270" t="s">
        <v>135</v>
      </c>
      <c r="CX270" t="s">
        <v>135</v>
      </c>
      <c r="CY270" t="s">
        <v>135</v>
      </c>
      <c r="CZ270" t="s">
        <v>135</v>
      </c>
      <c r="DA270" t="s">
        <v>135</v>
      </c>
      <c r="DB270" t="s">
        <v>135</v>
      </c>
      <c r="DC270" t="s">
        <v>135</v>
      </c>
      <c r="DD270" t="s">
        <v>135</v>
      </c>
      <c r="DE270" t="s">
        <v>135</v>
      </c>
      <c r="DF270" t="s">
        <v>135</v>
      </c>
      <c r="DG270" t="s">
        <v>135</v>
      </c>
      <c r="DH270" t="s">
        <v>135</v>
      </c>
      <c r="DI270" t="s">
        <v>135</v>
      </c>
    </row>
    <row r="271" spans="4:113" x14ac:dyDescent="0.3">
      <c r="E271" t="s">
        <v>80</v>
      </c>
      <c r="F271" t="s">
        <v>135</v>
      </c>
      <c r="G271" t="s">
        <v>135</v>
      </c>
      <c r="H271" t="s">
        <v>135</v>
      </c>
      <c r="I271" t="s">
        <v>135</v>
      </c>
      <c r="J271" t="s">
        <v>135</v>
      </c>
      <c r="K271" t="s">
        <v>135</v>
      </c>
      <c r="L271" t="s">
        <v>135</v>
      </c>
      <c r="M271" t="s">
        <v>135</v>
      </c>
      <c r="N271" t="s">
        <v>135</v>
      </c>
      <c r="O271" t="s">
        <v>135</v>
      </c>
      <c r="P271" t="s">
        <v>135</v>
      </c>
      <c r="Q271" t="s">
        <v>135</v>
      </c>
      <c r="R271" t="s">
        <v>135</v>
      </c>
      <c r="S271" t="s">
        <v>135</v>
      </c>
      <c r="T271" t="s">
        <v>135</v>
      </c>
      <c r="U271" t="s">
        <v>135</v>
      </c>
      <c r="V271" t="s">
        <v>135</v>
      </c>
      <c r="W271" t="s">
        <v>135</v>
      </c>
      <c r="X271" t="s">
        <v>135</v>
      </c>
      <c r="Y271" t="s">
        <v>135</v>
      </c>
      <c r="Z271" t="s">
        <v>135</v>
      </c>
      <c r="AA271" t="s">
        <v>135</v>
      </c>
      <c r="AB271" t="s">
        <v>135</v>
      </c>
      <c r="AC271" t="s">
        <v>135</v>
      </c>
      <c r="AD271" t="s">
        <v>135</v>
      </c>
      <c r="AE271" t="s">
        <v>135</v>
      </c>
      <c r="AF271" t="s">
        <v>135</v>
      </c>
      <c r="AG271" t="s">
        <v>135</v>
      </c>
      <c r="AH271" t="s">
        <v>135</v>
      </c>
      <c r="AI271" t="s">
        <v>135</v>
      </c>
      <c r="AJ271" t="s">
        <v>135</v>
      </c>
      <c r="AK271" t="s">
        <v>135</v>
      </c>
      <c r="AL271" t="s">
        <v>135</v>
      </c>
      <c r="AM271" t="s">
        <v>135</v>
      </c>
      <c r="AN271" t="s">
        <v>135</v>
      </c>
      <c r="AO271" t="s">
        <v>135</v>
      </c>
      <c r="AP271" t="s">
        <v>135</v>
      </c>
      <c r="AQ271" t="s">
        <v>135</v>
      </c>
      <c r="AR271" t="s">
        <v>135</v>
      </c>
      <c r="AS271" t="s">
        <v>135</v>
      </c>
      <c r="AT271" t="s">
        <v>135</v>
      </c>
      <c r="AU271" t="s">
        <v>135</v>
      </c>
      <c r="AV271" t="s">
        <v>135</v>
      </c>
      <c r="AW271" t="s">
        <v>135</v>
      </c>
      <c r="AX271" t="s">
        <v>135</v>
      </c>
      <c r="AY271" t="s">
        <v>135</v>
      </c>
      <c r="AZ271" t="s">
        <v>135</v>
      </c>
      <c r="BA271" t="s">
        <v>135</v>
      </c>
      <c r="BB271" t="s">
        <v>135</v>
      </c>
      <c r="BC271" t="s">
        <v>135</v>
      </c>
      <c r="BD271" t="s">
        <v>135</v>
      </c>
      <c r="BE271" t="s">
        <v>135</v>
      </c>
      <c r="BF271" t="s">
        <v>135</v>
      </c>
      <c r="BG271" t="s">
        <v>135</v>
      </c>
      <c r="BH271" t="s">
        <v>135</v>
      </c>
      <c r="BI271" t="s">
        <v>135</v>
      </c>
      <c r="BJ271" t="s">
        <v>135</v>
      </c>
      <c r="BK271" t="s">
        <v>135</v>
      </c>
      <c r="BL271" t="s">
        <v>135</v>
      </c>
      <c r="BM271" t="s">
        <v>135</v>
      </c>
      <c r="BN271" t="s">
        <v>135</v>
      </c>
      <c r="BO271" t="s">
        <v>135</v>
      </c>
      <c r="BP271" t="s">
        <v>135</v>
      </c>
      <c r="BQ271" t="s">
        <v>135</v>
      </c>
      <c r="BR271" t="s">
        <v>135</v>
      </c>
      <c r="BS271" t="s">
        <v>135</v>
      </c>
      <c r="BT271" t="s">
        <v>135</v>
      </c>
      <c r="BU271" t="s">
        <v>135</v>
      </c>
      <c r="BV271" t="s">
        <v>135</v>
      </c>
      <c r="BW271" t="s">
        <v>135</v>
      </c>
      <c r="BX271" t="s">
        <v>135</v>
      </c>
      <c r="BY271" t="s">
        <v>135</v>
      </c>
      <c r="BZ271" t="s">
        <v>135</v>
      </c>
      <c r="CA271" t="s">
        <v>135</v>
      </c>
      <c r="CB271" t="s">
        <v>135</v>
      </c>
      <c r="CC271" t="s">
        <v>135</v>
      </c>
      <c r="CD271" t="s">
        <v>135</v>
      </c>
      <c r="CE271" t="s">
        <v>135</v>
      </c>
      <c r="CF271" t="s">
        <v>135</v>
      </c>
      <c r="CG271" t="s">
        <v>135</v>
      </c>
      <c r="CH271" t="s">
        <v>135</v>
      </c>
      <c r="CI271" t="s">
        <v>135</v>
      </c>
      <c r="CJ271" t="s">
        <v>135</v>
      </c>
      <c r="CK271" t="s">
        <v>135</v>
      </c>
      <c r="CL271" t="s">
        <v>135</v>
      </c>
      <c r="CM271" t="s">
        <v>135</v>
      </c>
      <c r="CN271" t="s">
        <v>135</v>
      </c>
      <c r="CO271" t="s">
        <v>135</v>
      </c>
      <c r="CP271" t="s">
        <v>135</v>
      </c>
      <c r="CQ271" t="s">
        <v>135</v>
      </c>
      <c r="CR271" t="s">
        <v>135</v>
      </c>
      <c r="CS271" t="s">
        <v>135</v>
      </c>
      <c r="CT271" t="s">
        <v>135</v>
      </c>
      <c r="CU271" t="s">
        <v>135</v>
      </c>
      <c r="CV271" t="s">
        <v>135</v>
      </c>
      <c r="CW271" t="s">
        <v>135</v>
      </c>
      <c r="CX271" t="s">
        <v>135</v>
      </c>
      <c r="CY271" t="s">
        <v>135</v>
      </c>
      <c r="CZ271" t="s">
        <v>135</v>
      </c>
      <c r="DA271" t="s">
        <v>135</v>
      </c>
      <c r="DB271" t="s">
        <v>135</v>
      </c>
      <c r="DC271" t="s">
        <v>135</v>
      </c>
      <c r="DD271" t="s">
        <v>135</v>
      </c>
      <c r="DE271" t="s">
        <v>135</v>
      </c>
      <c r="DF271" t="s">
        <v>135</v>
      </c>
      <c r="DG271" t="s">
        <v>135</v>
      </c>
      <c r="DH271" t="s">
        <v>135</v>
      </c>
      <c r="DI271" t="s">
        <v>135</v>
      </c>
    </row>
    <row r="272" spans="4:113" x14ac:dyDescent="0.3">
      <c r="E272" t="s">
        <v>81</v>
      </c>
      <c r="F272" t="s">
        <v>135</v>
      </c>
      <c r="G272" t="s">
        <v>135</v>
      </c>
      <c r="H272" t="s">
        <v>135</v>
      </c>
      <c r="I272" t="s">
        <v>135</v>
      </c>
      <c r="J272" t="s">
        <v>135</v>
      </c>
      <c r="K272" t="s">
        <v>135</v>
      </c>
      <c r="L272" t="s">
        <v>135</v>
      </c>
      <c r="M272" t="s">
        <v>135</v>
      </c>
      <c r="N272" t="s">
        <v>135</v>
      </c>
      <c r="O272" t="s">
        <v>135</v>
      </c>
      <c r="P272" t="s">
        <v>135</v>
      </c>
      <c r="Q272" t="s">
        <v>135</v>
      </c>
      <c r="R272" t="s">
        <v>135</v>
      </c>
      <c r="S272" t="s">
        <v>135</v>
      </c>
      <c r="T272" t="s">
        <v>135</v>
      </c>
      <c r="U272" t="s">
        <v>135</v>
      </c>
      <c r="V272" t="s">
        <v>135</v>
      </c>
      <c r="W272" t="s">
        <v>135</v>
      </c>
      <c r="X272" t="s">
        <v>135</v>
      </c>
      <c r="Y272" t="s">
        <v>135</v>
      </c>
      <c r="Z272" t="s">
        <v>135</v>
      </c>
      <c r="AA272" t="s">
        <v>135</v>
      </c>
      <c r="AB272" t="s">
        <v>135</v>
      </c>
      <c r="AC272" t="s">
        <v>135</v>
      </c>
      <c r="AD272" t="s">
        <v>135</v>
      </c>
      <c r="AE272" t="s">
        <v>135</v>
      </c>
      <c r="AF272" t="s">
        <v>135</v>
      </c>
      <c r="AG272" t="s">
        <v>135</v>
      </c>
      <c r="AH272" t="s">
        <v>135</v>
      </c>
      <c r="AI272" t="s">
        <v>135</v>
      </c>
      <c r="AJ272" t="s">
        <v>135</v>
      </c>
      <c r="AK272" t="s">
        <v>135</v>
      </c>
      <c r="AL272" t="s">
        <v>135</v>
      </c>
      <c r="AM272" t="s">
        <v>135</v>
      </c>
      <c r="AN272" t="s">
        <v>135</v>
      </c>
      <c r="AO272" t="s">
        <v>135</v>
      </c>
      <c r="AP272" t="s">
        <v>135</v>
      </c>
      <c r="AQ272" t="s">
        <v>135</v>
      </c>
      <c r="AR272" t="s">
        <v>135</v>
      </c>
      <c r="AS272" t="s">
        <v>135</v>
      </c>
      <c r="AT272" t="s">
        <v>135</v>
      </c>
      <c r="AU272" t="s">
        <v>135</v>
      </c>
      <c r="AV272" t="s">
        <v>135</v>
      </c>
      <c r="AW272" t="s">
        <v>135</v>
      </c>
      <c r="AX272" t="s">
        <v>135</v>
      </c>
      <c r="AY272" t="s">
        <v>135</v>
      </c>
      <c r="AZ272" t="s">
        <v>135</v>
      </c>
      <c r="BA272" t="s">
        <v>135</v>
      </c>
      <c r="BB272" t="s">
        <v>135</v>
      </c>
      <c r="BC272" t="s">
        <v>135</v>
      </c>
      <c r="BD272" t="s">
        <v>135</v>
      </c>
      <c r="BE272" t="s">
        <v>135</v>
      </c>
      <c r="BF272" t="s">
        <v>135</v>
      </c>
      <c r="BG272" t="s">
        <v>135</v>
      </c>
      <c r="BH272" t="s">
        <v>135</v>
      </c>
      <c r="BI272" t="s">
        <v>135</v>
      </c>
      <c r="BJ272" t="s">
        <v>135</v>
      </c>
      <c r="BK272" t="s">
        <v>135</v>
      </c>
      <c r="BL272" t="s">
        <v>135</v>
      </c>
      <c r="BM272" t="s">
        <v>135</v>
      </c>
      <c r="BN272" t="s">
        <v>135</v>
      </c>
      <c r="BO272" t="s">
        <v>135</v>
      </c>
      <c r="BP272" t="s">
        <v>135</v>
      </c>
      <c r="BQ272" t="s">
        <v>135</v>
      </c>
      <c r="BR272" t="s">
        <v>135</v>
      </c>
      <c r="BS272" t="s">
        <v>135</v>
      </c>
      <c r="BT272" t="s">
        <v>135</v>
      </c>
      <c r="BU272" t="s">
        <v>135</v>
      </c>
      <c r="BV272" t="s">
        <v>135</v>
      </c>
      <c r="BW272" t="s">
        <v>135</v>
      </c>
      <c r="BX272" t="s">
        <v>135</v>
      </c>
      <c r="BY272" t="s">
        <v>135</v>
      </c>
      <c r="BZ272" t="s">
        <v>135</v>
      </c>
      <c r="CA272" t="s">
        <v>135</v>
      </c>
      <c r="CB272" t="s">
        <v>135</v>
      </c>
      <c r="CC272" t="s">
        <v>135</v>
      </c>
      <c r="CD272" t="s">
        <v>135</v>
      </c>
      <c r="CE272" t="s">
        <v>135</v>
      </c>
      <c r="CF272" t="s">
        <v>135</v>
      </c>
      <c r="CG272" t="s">
        <v>135</v>
      </c>
      <c r="CH272" t="s">
        <v>135</v>
      </c>
      <c r="CI272" t="s">
        <v>135</v>
      </c>
      <c r="CJ272" t="s">
        <v>135</v>
      </c>
      <c r="CK272" t="s">
        <v>135</v>
      </c>
      <c r="CL272" t="s">
        <v>135</v>
      </c>
      <c r="CM272" t="s">
        <v>135</v>
      </c>
      <c r="CN272" t="s">
        <v>135</v>
      </c>
      <c r="CO272" t="s">
        <v>135</v>
      </c>
      <c r="CP272" t="s">
        <v>135</v>
      </c>
      <c r="CQ272" t="s">
        <v>135</v>
      </c>
      <c r="CR272" t="s">
        <v>135</v>
      </c>
      <c r="CS272" t="s">
        <v>135</v>
      </c>
      <c r="CT272" t="s">
        <v>135</v>
      </c>
      <c r="CU272" t="s">
        <v>135</v>
      </c>
      <c r="CV272" t="s">
        <v>135</v>
      </c>
      <c r="CW272" t="s">
        <v>135</v>
      </c>
      <c r="CX272" t="s">
        <v>135</v>
      </c>
      <c r="CY272" t="s">
        <v>135</v>
      </c>
      <c r="CZ272" t="s">
        <v>135</v>
      </c>
      <c r="DA272" t="s">
        <v>135</v>
      </c>
      <c r="DB272" t="s">
        <v>135</v>
      </c>
      <c r="DC272" t="s">
        <v>135</v>
      </c>
      <c r="DD272" t="s">
        <v>135</v>
      </c>
      <c r="DE272" t="s">
        <v>135</v>
      </c>
      <c r="DF272" t="s">
        <v>135</v>
      </c>
      <c r="DG272" t="s">
        <v>135</v>
      </c>
      <c r="DH272" t="s">
        <v>135</v>
      </c>
      <c r="DI272" t="s">
        <v>135</v>
      </c>
    </row>
    <row r="273" spans="1:113" x14ac:dyDescent="0.3">
      <c r="D273" t="s">
        <v>85</v>
      </c>
      <c r="E273" t="s">
        <v>77</v>
      </c>
      <c r="F273">
        <v>26.041699999999999</v>
      </c>
      <c r="G273">
        <v>23.505800000000001</v>
      </c>
      <c r="H273">
        <v>26.044499999999999</v>
      </c>
      <c r="I273">
        <v>23.3644</v>
      </c>
      <c r="J273">
        <v>67.625600000000006</v>
      </c>
      <c r="K273">
        <v>52.438699999999997</v>
      </c>
      <c r="L273">
        <v>58.109000000000002</v>
      </c>
      <c r="M273">
        <v>57.971600000000002</v>
      </c>
      <c r="N273">
        <v>38.319299999999998</v>
      </c>
      <c r="O273">
        <v>38.305900000000001</v>
      </c>
      <c r="P273">
        <v>38.305900000000001</v>
      </c>
      <c r="Q273">
        <v>33.899799999999999</v>
      </c>
      <c r="R273">
        <v>8.6801999999999992</v>
      </c>
      <c r="S273">
        <v>23.781300000000002</v>
      </c>
      <c r="T273">
        <v>11.993</v>
      </c>
      <c r="U273">
        <v>13.2753</v>
      </c>
      <c r="V273">
        <v>13.464399999999999</v>
      </c>
      <c r="W273">
        <v>10.167300000000001</v>
      </c>
      <c r="X273">
        <v>10.1721</v>
      </c>
      <c r="Y273">
        <v>-75</v>
      </c>
      <c r="Z273">
        <v>37.709000000000003</v>
      </c>
      <c r="AA273">
        <v>-71.9101</v>
      </c>
      <c r="AB273">
        <v>-0.91659999999999997</v>
      </c>
      <c r="AC273">
        <v>20.4039</v>
      </c>
      <c r="AD273">
        <v>39.784399999999998</v>
      </c>
      <c r="AE273">
        <v>31.570599999999999</v>
      </c>
      <c r="AF273">
        <v>16.186299999999999</v>
      </c>
      <c r="AG273" t="s">
        <v>135</v>
      </c>
      <c r="AH273" t="s">
        <v>135</v>
      </c>
      <c r="AI273">
        <v>16.376899999999999</v>
      </c>
      <c r="AJ273">
        <v>16.376899999999999</v>
      </c>
      <c r="AK273">
        <v>16.381699999999999</v>
      </c>
      <c r="AL273">
        <v>3.8797999999999999</v>
      </c>
      <c r="AM273">
        <v>9.0312999999999999</v>
      </c>
      <c r="AN273">
        <v>7.1304999999999996</v>
      </c>
      <c r="AO273">
        <v>9.6953999999999994</v>
      </c>
      <c r="AP273">
        <v>9.8505000000000003</v>
      </c>
      <c r="AQ273">
        <v>9.8514999999999997</v>
      </c>
      <c r="AR273">
        <v>-23.432700000000001</v>
      </c>
      <c r="AS273">
        <v>12.765599999999999</v>
      </c>
      <c r="AT273">
        <v>-12.944900000000001</v>
      </c>
      <c r="AU273">
        <v>-2.2505999999999999</v>
      </c>
      <c r="AV273">
        <v>10.244400000000001</v>
      </c>
      <c r="AW273">
        <v>12.3728</v>
      </c>
      <c r="AX273">
        <v>22.051400000000001</v>
      </c>
      <c r="AY273">
        <v>17.8507</v>
      </c>
      <c r="AZ273" t="s">
        <v>135</v>
      </c>
      <c r="BA273" t="s">
        <v>135</v>
      </c>
      <c r="BB273">
        <v>10.742699999999999</v>
      </c>
      <c r="BC273">
        <v>10.742699999999999</v>
      </c>
      <c r="BD273">
        <v>10.975300000000001</v>
      </c>
      <c r="BE273">
        <v>9.8371999999999993</v>
      </c>
      <c r="BF273">
        <v>11.993</v>
      </c>
      <c r="BG273">
        <v>13.2753</v>
      </c>
      <c r="BH273">
        <v>13.464399999999999</v>
      </c>
      <c r="BI273">
        <v>10.167300000000001</v>
      </c>
      <c r="BJ273">
        <v>10.1721</v>
      </c>
      <c r="BK273">
        <v>-75</v>
      </c>
      <c r="BL273">
        <v>37.709000000000003</v>
      </c>
      <c r="BM273">
        <v>-71.9101</v>
      </c>
      <c r="BN273">
        <v>-0.91659999999999997</v>
      </c>
      <c r="BO273">
        <v>20.4039</v>
      </c>
      <c r="BP273">
        <v>39.784399999999998</v>
      </c>
      <c r="BQ273">
        <v>31.570599999999999</v>
      </c>
      <c r="BR273">
        <v>16.186299999999999</v>
      </c>
      <c r="BS273" t="s">
        <v>135</v>
      </c>
      <c r="BT273" t="s">
        <v>135</v>
      </c>
      <c r="BU273">
        <v>16.376899999999999</v>
      </c>
      <c r="BV273">
        <v>16.376899999999999</v>
      </c>
      <c r="BW273">
        <v>16.381699999999999</v>
      </c>
      <c r="BX273">
        <v>3.8797999999999999</v>
      </c>
      <c r="BY273">
        <v>0</v>
      </c>
      <c r="BZ273">
        <v>0</v>
      </c>
      <c r="CA273">
        <v>0</v>
      </c>
      <c r="CB273">
        <v>0</v>
      </c>
      <c r="CC273">
        <v>-0.94199999999999995</v>
      </c>
      <c r="CD273">
        <v>0</v>
      </c>
      <c r="CE273">
        <v>-1.2147999999999999</v>
      </c>
      <c r="CF273">
        <v>1855.3333</v>
      </c>
      <c r="CG273">
        <v>88.868600000000001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-40.225499999999997</v>
      </c>
      <c r="CO273">
        <v>-67.295299999999997</v>
      </c>
      <c r="CP273">
        <v>20037.599999999999</v>
      </c>
      <c r="CQ273">
        <v>18680.2</v>
      </c>
      <c r="CR273">
        <v>15537.7</v>
      </c>
      <c r="CS273">
        <v>3.827</v>
      </c>
      <c r="CT273">
        <v>6.2877000000000001</v>
      </c>
      <c r="CU273">
        <v>5.9840999999999998</v>
      </c>
      <c r="CV273">
        <v>37.7363</v>
      </c>
      <c r="CW273">
        <v>3.2267000000000001</v>
      </c>
      <c r="CX273">
        <v>113.1172</v>
      </c>
      <c r="CY273" t="s">
        <v>135</v>
      </c>
      <c r="CZ273" t="s">
        <v>135</v>
      </c>
      <c r="DA273" t="s">
        <v>135</v>
      </c>
      <c r="DB273" t="s">
        <v>135</v>
      </c>
      <c r="DC273" t="s">
        <v>135</v>
      </c>
      <c r="DD273" t="s">
        <v>135</v>
      </c>
      <c r="DE273">
        <v>2.5</v>
      </c>
      <c r="DF273">
        <v>0</v>
      </c>
      <c r="DG273">
        <v>0</v>
      </c>
      <c r="DH273">
        <v>2.5</v>
      </c>
      <c r="DI273">
        <v>0</v>
      </c>
    </row>
    <row r="274" spans="1:113" x14ac:dyDescent="0.3">
      <c r="E274" t="s">
        <v>78</v>
      </c>
      <c r="F274" t="s">
        <v>135</v>
      </c>
      <c r="G274" t="s">
        <v>135</v>
      </c>
      <c r="H274" t="s">
        <v>135</v>
      </c>
      <c r="I274" t="s">
        <v>135</v>
      </c>
      <c r="J274" t="s">
        <v>135</v>
      </c>
      <c r="K274" t="s">
        <v>135</v>
      </c>
      <c r="L274" t="s">
        <v>135</v>
      </c>
      <c r="M274" t="s">
        <v>135</v>
      </c>
      <c r="N274" t="s">
        <v>135</v>
      </c>
      <c r="O274" t="s">
        <v>135</v>
      </c>
      <c r="P274" t="s">
        <v>135</v>
      </c>
      <c r="Q274" t="s">
        <v>135</v>
      </c>
      <c r="R274" t="s">
        <v>135</v>
      </c>
      <c r="S274" t="s">
        <v>135</v>
      </c>
      <c r="T274" t="s">
        <v>135</v>
      </c>
      <c r="U274" t="s">
        <v>135</v>
      </c>
      <c r="V274" t="s">
        <v>135</v>
      </c>
      <c r="W274" t="s">
        <v>135</v>
      </c>
      <c r="X274" t="s">
        <v>135</v>
      </c>
      <c r="Y274" t="s">
        <v>135</v>
      </c>
      <c r="Z274" t="s">
        <v>135</v>
      </c>
      <c r="AA274" t="s">
        <v>135</v>
      </c>
      <c r="AB274" t="s">
        <v>135</v>
      </c>
      <c r="AC274" t="s">
        <v>135</v>
      </c>
      <c r="AD274" t="s">
        <v>135</v>
      </c>
      <c r="AE274" t="s">
        <v>135</v>
      </c>
      <c r="AF274" t="s">
        <v>135</v>
      </c>
      <c r="AG274" t="s">
        <v>135</v>
      </c>
      <c r="AH274" t="s">
        <v>135</v>
      </c>
      <c r="AI274" t="s">
        <v>135</v>
      </c>
      <c r="AJ274" t="s">
        <v>135</v>
      </c>
      <c r="AK274" t="s">
        <v>135</v>
      </c>
      <c r="AL274" t="s">
        <v>135</v>
      </c>
      <c r="AM274" t="s">
        <v>135</v>
      </c>
      <c r="AN274" t="s">
        <v>135</v>
      </c>
      <c r="AO274" t="s">
        <v>135</v>
      </c>
      <c r="AP274" t="s">
        <v>135</v>
      </c>
      <c r="AQ274" t="s">
        <v>135</v>
      </c>
      <c r="AR274" t="s">
        <v>135</v>
      </c>
      <c r="AS274" t="s">
        <v>135</v>
      </c>
      <c r="AT274" t="s">
        <v>135</v>
      </c>
      <c r="AU274" t="s">
        <v>135</v>
      </c>
      <c r="AV274" t="s">
        <v>135</v>
      </c>
      <c r="AW274" t="s">
        <v>135</v>
      </c>
      <c r="AX274" t="s">
        <v>135</v>
      </c>
      <c r="AY274" t="s">
        <v>135</v>
      </c>
      <c r="AZ274" t="s">
        <v>135</v>
      </c>
      <c r="BA274" t="s">
        <v>135</v>
      </c>
      <c r="BB274" t="s">
        <v>135</v>
      </c>
      <c r="BC274" t="s">
        <v>135</v>
      </c>
      <c r="BD274" t="s">
        <v>135</v>
      </c>
      <c r="BE274" t="s">
        <v>135</v>
      </c>
      <c r="BF274" t="s">
        <v>135</v>
      </c>
      <c r="BG274" t="s">
        <v>135</v>
      </c>
      <c r="BH274" t="s">
        <v>135</v>
      </c>
      <c r="BI274" t="s">
        <v>135</v>
      </c>
      <c r="BJ274" t="s">
        <v>135</v>
      </c>
      <c r="BK274" t="s">
        <v>135</v>
      </c>
      <c r="BL274" t="s">
        <v>135</v>
      </c>
      <c r="BM274" t="s">
        <v>135</v>
      </c>
      <c r="BN274" t="s">
        <v>135</v>
      </c>
      <c r="BO274" t="s">
        <v>135</v>
      </c>
      <c r="BP274" t="s">
        <v>135</v>
      </c>
      <c r="BQ274" t="s">
        <v>135</v>
      </c>
      <c r="BR274" t="s">
        <v>135</v>
      </c>
      <c r="BS274" t="s">
        <v>135</v>
      </c>
      <c r="BT274" t="s">
        <v>135</v>
      </c>
      <c r="BU274" t="s">
        <v>135</v>
      </c>
      <c r="BV274" t="s">
        <v>135</v>
      </c>
      <c r="BW274" t="s">
        <v>135</v>
      </c>
      <c r="BX274" t="s">
        <v>135</v>
      </c>
      <c r="BY274" t="s">
        <v>135</v>
      </c>
      <c r="BZ274" t="s">
        <v>135</v>
      </c>
      <c r="CA274" t="s">
        <v>135</v>
      </c>
      <c r="CB274" t="s">
        <v>135</v>
      </c>
      <c r="CC274" t="s">
        <v>135</v>
      </c>
      <c r="CD274" t="s">
        <v>135</v>
      </c>
      <c r="CE274" t="s">
        <v>135</v>
      </c>
      <c r="CF274" t="s">
        <v>135</v>
      </c>
      <c r="CG274" t="s">
        <v>135</v>
      </c>
      <c r="CH274" t="s">
        <v>135</v>
      </c>
      <c r="CI274" t="s">
        <v>135</v>
      </c>
      <c r="CJ274" t="s">
        <v>135</v>
      </c>
      <c r="CK274" t="s">
        <v>135</v>
      </c>
      <c r="CL274" t="s">
        <v>135</v>
      </c>
      <c r="CM274" t="s">
        <v>135</v>
      </c>
      <c r="CN274" t="s">
        <v>135</v>
      </c>
      <c r="CO274" t="s">
        <v>135</v>
      </c>
      <c r="CP274" t="s">
        <v>135</v>
      </c>
      <c r="CQ274" t="s">
        <v>135</v>
      </c>
      <c r="CR274" t="s">
        <v>135</v>
      </c>
      <c r="CS274" t="s">
        <v>135</v>
      </c>
      <c r="CT274" t="s">
        <v>135</v>
      </c>
      <c r="CU274" t="s">
        <v>135</v>
      </c>
      <c r="CV274" t="s">
        <v>135</v>
      </c>
      <c r="CW274" t="s">
        <v>135</v>
      </c>
      <c r="CX274" t="s">
        <v>135</v>
      </c>
      <c r="CY274" t="s">
        <v>135</v>
      </c>
      <c r="CZ274" t="s">
        <v>135</v>
      </c>
      <c r="DA274" t="s">
        <v>135</v>
      </c>
      <c r="DB274" t="s">
        <v>135</v>
      </c>
      <c r="DC274" t="s">
        <v>135</v>
      </c>
      <c r="DD274" t="s">
        <v>135</v>
      </c>
      <c r="DE274" t="s">
        <v>135</v>
      </c>
      <c r="DF274" t="s">
        <v>135</v>
      </c>
      <c r="DG274" t="s">
        <v>135</v>
      </c>
      <c r="DH274" t="s">
        <v>135</v>
      </c>
      <c r="DI274" t="s">
        <v>135</v>
      </c>
    </row>
    <row r="275" spans="1:113" x14ac:dyDescent="0.3">
      <c r="E275" t="s">
        <v>79</v>
      </c>
      <c r="F275" t="s">
        <v>135</v>
      </c>
      <c r="G275" t="s">
        <v>135</v>
      </c>
      <c r="H275" t="s">
        <v>135</v>
      </c>
      <c r="I275" t="s">
        <v>135</v>
      </c>
      <c r="J275" t="s">
        <v>135</v>
      </c>
      <c r="K275" t="s">
        <v>135</v>
      </c>
      <c r="L275" t="s">
        <v>135</v>
      </c>
      <c r="M275" t="s">
        <v>135</v>
      </c>
      <c r="N275" t="s">
        <v>135</v>
      </c>
      <c r="O275" t="s">
        <v>135</v>
      </c>
      <c r="P275" t="s">
        <v>135</v>
      </c>
      <c r="Q275" t="s">
        <v>135</v>
      </c>
      <c r="R275" t="s">
        <v>135</v>
      </c>
      <c r="S275" t="s">
        <v>135</v>
      </c>
      <c r="T275" t="s">
        <v>135</v>
      </c>
      <c r="U275" t="s">
        <v>135</v>
      </c>
      <c r="V275" t="s">
        <v>135</v>
      </c>
      <c r="W275" t="s">
        <v>135</v>
      </c>
      <c r="X275" t="s">
        <v>135</v>
      </c>
      <c r="Y275" t="s">
        <v>135</v>
      </c>
      <c r="Z275" t="s">
        <v>135</v>
      </c>
      <c r="AA275" t="s">
        <v>135</v>
      </c>
      <c r="AB275" t="s">
        <v>135</v>
      </c>
      <c r="AC275" t="s">
        <v>135</v>
      </c>
      <c r="AD275" t="s">
        <v>135</v>
      </c>
      <c r="AE275" t="s">
        <v>135</v>
      </c>
      <c r="AF275" t="s">
        <v>135</v>
      </c>
      <c r="AG275" t="s">
        <v>135</v>
      </c>
      <c r="AH275" t="s">
        <v>135</v>
      </c>
      <c r="AI275" t="s">
        <v>135</v>
      </c>
      <c r="AJ275" t="s">
        <v>135</v>
      </c>
      <c r="AK275" t="s">
        <v>135</v>
      </c>
      <c r="AL275" t="s">
        <v>135</v>
      </c>
      <c r="AM275" t="s">
        <v>135</v>
      </c>
      <c r="AN275" t="s">
        <v>135</v>
      </c>
      <c r="AO275" t="s">
        <v>135</v>
      </c>
      <c r="AP275" t="s">
        <v>135</v>
      </c>
      <c r="AQ275" t="s">
        <v>135</v>
      </c>
      <c r="AR275" t="s">
        <v>135</v>
      </c>
      <c r="AS275" t="s">
        <v>135</v>
      </c>
      <c r="AT275" t="s">
        <v>135</v>
      </c>
      <c r="AU275" t="s">
        <v>135</v>
      </c>
      <c r="AV275" t="s">
        <v>135</v>
      </c>
      <c r="AW275" t="s">
        <v>135</v>
      </c>
      <c r="AX275" t="s">
        <v>135</v>
      </c>
      <c r="AY275" t="s">
        <v>135</v>
      </c>
      <c r="AZ275" t="s">
        <v>135</v>
      </c>
      <c r="BA275" t="s">
        <v>135</v>
      </c>
      <c r="BB275" t="s">
        <v>135</v>
      </c>
      <c r="BC275" t="s">
        <v>135</v>
      </c>
      <c r="BD275" t="s">
        <v>135</v>
      </c>
      <c r="BE275" t="s">
        <v>135</v>
      </c>
      <c r="BF275" t="s">
        <v>135</v>
      </c>
      <c r="BG275" t="s">
        <v>135</v>
      </c>
      <c r="BH275" t="s">
        <v>135</v>
      </c>
      <c r="BI275" t="s">
        <v>135</v>
      </c>
      <c r="BJ275" t="s">
        <v>135</v>
      </c>
      <c r="BK275" t="s">
        <v>135</v>
      </c>
      <c r="BL275" t="s">
        <v>135</v>
      </c>
      <c r="BM275" t="s">
        <v>135</v>
      </c>
      <c r="BN275" t="s">
        <v>135</v>
      </c>
      <c r="BO275" t="s">
        <v>135</v>
      </c>
      <c r="BP275" t="s">
        <v>135</v>
      </c>
      <c r="BQ275" t="s">
        <v>135</v>
      </c>
      <c r="BR275" t="s">
        <v>135</v>
      </c>
      <c r="BS275" t="s">
        <v>135</v>
      </c>
      <c r="BT275" t="s">
        <v>135</v>
      </c>
      <c r="BU275" t="s">
        <v>135</v>
      </c>
      <c r="BV275" t="s">
        <v>135</v>
      </c>
      <c r="BW275" t="s">
        <v>135</v>
      </c>
      <c r="BX275" t="s">
        <v>135</v>
      </c>
      <c r="BY275" t="s">
        <v>135</v>
      </c>
      <c r="BZ275" t="s">
        <v>135</v>
      </c>
      <c r="CA275" t="s">
        <v>135</v>
      </c>
      <c r="CB275" t="s">
        <v>135</v>
      </c>
      <c r="CC275" t="s">
        <v>135</v>
      </c>
      <c r="CD275" t="s">
        <v>135</v>
      </c>
      <c r="CE275" t="s">
        <v>135</v>
      </c>
      <c r="CF275" t="s">
        <v>135</v>
      </c>
      <c r="CG275" t="s">
        <v>135</v>
      </c>
      <c r="CH275" t="s">
        <v>135</v>
      </c>
      <c r="CI275" t="s">
        <v>135</v>
      </c>
      <c r="CJ275" t="s">
        <v>135</v>
      </c>
      <c r="CK275" t="s">
        <v>135</v>
      </c>
      <c r="CL275" t="s">
        <v>135</v>
      </c>
      <c r="CM275" t="s">
        <v>135</v>
      </c>
      <c r="CN275" t="s">
        <v>135</v>
      </c>
      <c r="CO275" t="s">
        <v>135</v>
      </c>
      <c r="CP275" t="s">
        <v>135</v>
      </c>
      <c r="CQ275" t="s">
        <v>135</v>
      </c>
      <c r="CR275" t="s">
        <v>135</v>
      </c>
      <c r="CS275" t="s">
        <v>135</v>
      </c>
      <c r="CT275" t="s">
        <v>135</v>
      </c>
      <c r="CU275" t="s">
        <v>135</v>
      </c>
      <c r="CV275" t="s">
        <v>135</v>
      </c>
      <c r="CW275" t="s">
        <v>135</v>
      </c>
      <c r="CX275" t="s">
        <v>135</v>
      </c>
      <c r="CY275" t="s">
        <v>135</v>
      </c>
      <c r="CZ275" t="s">
        <v>135</v>
      </c>
      <c r="DA275" t="s">
        <v>135</v>
      </c>
      <c r="DB275" t="s">
        <v>135</v>
      </c>
      <c r="DC275" t="s">
        <v>135</v>
      </c>
      <c r="DD275" t="s">
        <v>135</v>
      </c>
      <c r="DE275" t="s">
        <v>135</v>
      </c>
      <c r="DF275" t="s">
        <v>135</v>
      </c>
      <c r="DG275" t="s">
        <v>135</v>
      </c>
      <c r="DH275" t="s">
        <v>135</v>
      </c>
      <c r="DI275" t="s">
        <v>135</v>
      </c>
    </row>
    <row r="276" spans="1:113" x14ac:dyDescent="0.3">
      <c r="E276" t="s">
        <v>80</v>
      </c>
      <c r="F276" t="s">
        <v>135</v>
      </c>
      <c r="G276" t="s">
        <v>135</v>
      </c>
      <c r="H276" t="s">
        <v>135</v>
      </c>
      <c r="I276" t="s">
        <v>135</v>
      </c>
      <c r="J276" t="s">
        <v>135</v>
      </c>
      <c r="K276" t="s">
        <v>135</v>
      </c>
      <c r="L276" t="s">
        <v>135</v>
      </c>
      <c r="M276" t="s">
        <v>135</v>
      </c>
      <c r="N276" t="s">
        <v>135</v>
      </c>
      <c r="O276" t="s">
        <v>135</v>
      </c>
      <c r="P276" t="s">
        <v>135</v>
      </c>
      <c r="Q276" t="s">
        <v>135</v>
      </c>
      <c r="R276" t="s">
        <v>135</v>
      </c>
      <c r="S276" t="s">
        <v>135</v>
      </c>
      <c r="T276" t="s">
        <v>135</v>
      </c>
      <c r="U276" t="s">
        <v>135</v>
      </c>
      <c r="V276" t="s">
        <v>135</v>
      </c>
      <c r="W276" t="s">
        <v>135</v>
      </c>
      <c r="X276" t="s">
        <v>135</v>
      </c>
      <c r="Y276" t="s">
        <v>135</v>
      </c>
      <c r="Z276" t="s">
        <v>135</v>
      </c>
      <c r="AA276" t="s">
        <v>135</v>
      </c>
      <c r="AB276" t="s">
        <v>135</v>
      </c>
      <c r="AC276" t="s">
        <v>135</v>
      </c>
      <c r="AD276" t="s">
        <v>135</v>
      </c>
      <c r="AE276" t="s">
        <v>135</v>
      </c>
      <c r="AF276" t="s">
        <v>135</v>
      </c>
      <c r="AG276" t="s">
        <v>135</v>
      </c>
      <c r="AH276" t="s">
        <v>135</v>
      </c>
      <c r="AI276" t="s">
        <v>135</v>
      </c>
      <c r="AJ276" t="s">
        <v>135</v>
      </c>
      <c r="AK276" t="s">
        <v>135</v>
      </c>
      <c r="AL276" t="s">
        <v>135</v>
      </c>
      <c r="AM276" t="s">
        <v>135</v>
      </c>
      <c r="AN276" t="s">
        <v>135</v>
      </c>
      <c r="AO276" t="s">
        <v>135</v>
      </c>
      <c r="AP276" t="s">
        <v>135</v>
      </c>
      <c r="AQ276" t="s">
        <v>135</v>
      </c>
      <c r="AR276" t="s">
        <v>135</v>
      </c>
      <c r="AS276" t="s">
        <v>135</v>
      </c>
      <c r="AT276" t="s">
        <v>135</v>
      </c>
      <c r="AU276" t="s">
        <v>135</v>
      </c>
      <c r="AV276" t="s">
        <v>135</v>
      </c>
      <c r="AW276" t="s">
        <v>135</v>
      </c>
      <c r="AX276" t="s">
        <v>135</v>
      </c>
      <c r="AY276" t="s">
        <v>135</v>
      </c>
      <c r="AZ276" t="s">
        <v>135</v>
      </c>
      <c r="BA276" t="s">
        <v>135</v>
      </c>
      <c r="BB276" t="s">
        <v>135</v>
      </c>
      <c r="BC276" t="s">
        <v>135</v>
      </c>
      <c r="BD276" t="s">
        <v>135</v>
      </c>
      <c r="BE276" t="s">
        <v>135</v>
      </c>
      <c r="BF276" t="s">
        <v>135</v>
      </c>
      <c r="BG276" t="s">
        <v>135</v>
      </c>
      <c r="BH276" t="s">
        <v>135</v>
      </c>
      <c r="BI276" t="s">
        <v>135</v>
      </c>
      <c r="BJ276" t="s">
        <v>135</v>
      </c>
      <c r="BK276" t="s">
        <v>135</v>
      </c>
      <c r="BL276" t="s">
        <v>135</v>
      </c>
      <c r="BM276" t="s">
        <v>135</v>
      </c>
      <c r="BN276" t="s">
        <v>135</v>
      </c>
      <c r="BO276" t="s">
        <v>135</v>
      </c>
      <c r="BP276" t="s">
        <v>135</v>
      </c>
      <c r="BQ276" t="s">
        <v>135</v>
      </c>
      <c r="BR276" t="s">
        <v>135</v>
      </c>
      <c r="BS276" t="s">
        <v>135</v>
      </c>
      <c r="BT276" t="s">
        <v>135</v>
      </c>
      <c r="BU276" t="s">
        <v>135</v>
      </c>
      <c r="BV276" t="s">
        <v>135</v>
      </c>
      <c r="BW276" t="s">
        <v>135</v>
      </c>
      <c r="BX276" t="s">
        <v>135</v>
      </c>
      <c r="BY276" t="s">
        <v>135</v>
      </c>
      <c r="BZ276" t="s">
        <v>135</v>
      </c>
      <c r="CA276" t="s">
        <v>135</v>
      </c>
      <c r="CB276" t="s">
        <v>135</v>
      </c>
      <c r="CC276" t="s">
        <v>135</v>
      </c>
      <c r="CD276" t="s">
        <v>135</v>
      </c>
      <c r="CE276" t="s">
        <v>135</v>
      </c>
      <c r="CF276" t="s">
        <v>135</v>
      </c>
      <c r="CG276" t="s">
        <v>135</v>
      </c>
      <c r="CH276" t="s">
        <v>135</v>
      </c>
      <c r="CI276" t="s">
        <v>135</v>
      </c>
      <c r="CJ276" t="s">
        <v>135</v>
      </c>
      <c r="CK276" t="s">
        <v>135</v>
      </c>
      <c r="CL276" t="s">
        <v>135</v>
      </c>
      <c r="CM276" t="s">
        <v>135</v>
      </c>
      <c r="CN276" t="s">
        <v>135</v>
      </c>
      <c r="CO276" t="s">
        <v>135</v>
      </c>
      <c r="CP276" t="s">
        <v>135</v>
      </c>
      <c r="CQ276" t="s">
        <v>135</v>
      </c>
      <c r="CR276" t="s">
        <v>135</v>
      </c>
      <c r="CS276" t="s">
        <v>135</v>
      </c>
      <c r="CT276" t="s">
        <v>135</v>
      </c>
      <c r="CU276" t="s">
        <v>135</v>
      </c>
      <c r="CV276" t="s">
        <v>135</v>
      </c>
      <c r="CW276" t="s">
        <v>135</v>
      </c>
      <c r="CX276" t="s">
        <v>135</v>
      </c>
      <c r="CY276" t="s">
        <v>135</v>
      </c>
      <c r="CZ276" t="s">
        <v>135</v>
      </c>
      <c r="DA276" t="s">
        <v>135</v>
      </c>
      <c r="DB276" t="s">
        <v>135</v>
      </c>
      <c r="DC276" t="s">
        <v>135</v>
      </c>
      <c r="DD276" t="s">
        <v>135</v>
      </c>
      <c r="DE276" t="s">
        <v>135</v>
      </c>
      <c r="DF276" t="s">
        <v>135</v>
      </c>
      <c r="DG276" t="s">
        <v>135</v>
      </c>
      <c r="DH276" t="s">
        <v>135</v>
      </c>
      <c r="DI276" t="s">
        <v>135</v>
      </c>
    </row>
    <row r="277" spans="1:113" x14ac:dyDescent="0.3">
      <c r="E277" t="s">
        <v>81</v>
      </c>
      <c r="F277" t="s">
        <v>135</v>
      </c>
      <c r="G277" t="s">
        <v>135</v>
      </c>
      <c r="H277" t="s">
        <v>135</v>
      </c>
      <c r="I277" t="s">
        <v>135</v>
      </c>
      <c r="J277" t="s">
        <v>135</v>
      </c>
      <c r="K277" t="s">
        <v>135</v>
      </c>
      <c r="L277" t="s">
        <v>135</v>
      </c>
      <c r="M277" t="s">
        <v>135</v>
      </c>
      <c r="N277" t="s">
        <v>135</v>
      </c>
      <c r="O277" t="s">
        <v>135</v>
      </c>
      <c r="P277" t="s">
        <v>135</v>
      </c>
      <c r="Q277" t="s">
        <v>135</v>
      </c>
      <c r="R277" t="s">
        <v>135</v>
      </c>
      <c r="S277" t="s">
        <v>135</v>
      </c>
      <c r="T277" t="s">
        <v>135</v>
      </c>
      <c r="U277" t="s">
        <v>135</v>
      </c>
      <c r="V277" t="s">
        <v>135</v>
      </c>
      <c r="W277" t="s">
        <v>135</v>
      </c>
      <c r="X277" t="s">
        <v>135</v>
      </c>
      <c r="Y277" t="s">
        <v>135</v>
      </c>
      <c r="Z277" t="s">
        <v>135</v>
      </c>
      <c r="AA277" t="s">
        <v>135</v>
      </c>
      <c r="AB277" t="s">
        <v>135</v>
      </c>
      <c r="AC277" t="s">
        <v>135</v>
      </c>
      <c r="AD277" t="s">
        <v>135</v>
      </c>
      <c r="AE277" t="s">
        <v>135</v>
      </c>
      <c r="AF277" t="s">
        <v>135</v>
      </c>
      <c r="AG277" t="s">
        <v>135</v>
      </c>
      <c r="AH277" t="s">
        <v>135</v>
      </c>
      <c r="AI277" t="s">
        <v>135</v>
      </c>
      <c r="AJ277" t="s">
        <v>135</v>
      </c>
      <c r="AK277" t="s">
        <v>135</v>
      </c>
      <c r="AL277" t="s">
        <v>135</v>
      </c>
      <c r="AM277" t="s">
        <v>135</v>
      </c>
      <c r="AN277" t="s">
        <v>135</v>
      </c>
      <c r="AO277" t="s">
        <v>135</v>
      </c>
      <c r="AP277" t="s">
        <v>135</v>
      </c>
      <c r="AQ277" t="s">
        <v>135</v>
      </c>
      <c r="AR277" t="s">
        <v>135</v>
      </c>
      <c r="AS277" t="s">
        <v>135</v>
      </c>
      <c r="AT277" t="s">
        <v>135</v>
      </c>
      <c r="AU277" t="s">
        <v>135</v>
      </c>
      <c r="AV277" t="s">
        <v>135</v>
      </c>
      <c r="AW277" t="s">
        <v>135</v>
      </c>
      <c r="AX277" t="s">
        <v>135</v>
      </c>
      <c r="AY277" t="s">
        <v>135</v>
      </c>
      <c r="AZ277" t="s">
        <v>135</v>
      </c>
      <c r="BA277" t="s">
        <v>135</v>
      </c>
      <c r="BB277" t="s">
        <v>135</v>
      </c>
      <c r="BC277" t="s">
        <v>135</v>
      </c>
      <c r="BD277" t="s">
        <v>135</v>
      </c>
      <c r="BE277" t="s">
        <v>135</v>
      </c>
      <c r="BF277" t="s">
        <v>135</v>
      </c>
      <c r="BG277" t="s">
        <v>135</v>
      </c>
      <c r="BH277" t="s">
        <v>135</v>
      </c>
      <c r="BI277" t="s">
        <v>135</v>
      </c>
      <c r="BJ277" t="s">
        <v>135</v>
      </c>
      <c r="BK277" t="s">
        <v>135</v>
      </c>
      <c r="BL277" t="s">
        <v>135</v>
      </c>
      <c r="BM277" t="s">
        <v>135</v>
      </c>
      <c r="BN277" t="s">
        <v>135</v>
      </c>
      <c r="BO277" t="s">
        <v>135</v>
      </c>
      <c r="BP277" t="s">
        <v>135</v>
      </c>
      <c r="BQ277" t="s">
        <v>135</v>
      </c>
      <c r="BR277" t="s">
        <v>135</v>
      </c>
      <c r="BS277" t="s">
        <v>135</v>
      </c>
      <c r="BT277" t="s">
        <v>135</v>
      </c>
      <c r="BU277" t="s">
        <v>135</v>
      </c>
      <c r="BV277" t="s">
        <v>135</v>
      </c>
      <c r="BW277" t="s">
        <v>135</v>
      </c>
      <c r="BX277" t="s">
        <v>135</v>
      </c>
      <c r="BY277" t="s">
        <v>135</v>
      </c>
      <c r="BZ277" t="s">
        <v>135</v>
      </c>
      <c r="CA277" t="s">
        <v>135</v>
      </c>
      <c r="CB277" t="s">
        <v>135</v>
      </c>
      <c r="CC277" t="s">
        <v>135</v>
      </c>
      <c r="CD277" t="s">
        <v>135</v>
      </c>
      <c r="CE277" t="s">
        <v>135</v>
      </c>
      <c r="CF277" t="s">
        <v>135</v>
      </c>
      <c r="CG277" t="s">
        <v>135</v>
      </c>
      <c r="CH277" t="s">
        <v>135</v>
      </c>
      <c r="CI277" t="s">
        <v>135</v>
      </c>
      <c r="CJ277" t="s">
        <v>135</v>
      </c>
      <c r="CK277" t="s">
        <v>135</v>
      </c>
      <c r="CL277" t="s">
        <v>135</v>
      </c>
      <c r="CM277" t="s">
        <v>135</v>
      </c>
      <c r="CN277" t="s">
        <v>135</v>
      </c>
      <c r="CO277" t="s">
        <v>135</v>
      </c>
      <c r="CP277" t="s">
        <v>135</v>
      </c>
      <c r="CQ277" t="s">
        <v>135</v>
      </c>
      <c r="CR277" t="s">
        <v>135</v>
      </c>
      <c r="CS277" t="s">
        <v>135</v>
      </c>
      <c r="CT277" t="s">
        <v>135</v>
      </c>
      <c r="CU277" t="s">
        <v>135</v>
      </c>
      <c r="CV277" t="s">
        <v>135</v>
      </c>
      <c r="CW277" t="s">
        <v>135</v>
      </c>
      <c r="CX277" t="s">
        <v>135</v>
      </c>
      <c r="CY277" t="s">
        <v>135</v>
      </c>
      <c r="CZ277" t="s">
        <v>135</v>
      </c>
      <c r="DA277" t="s">
        <v>135</v>
      </c>
      <c r="DB277" t="s">
        <v>135</v>
      </c>
      <c r="DC277" t="s">
        <v>135</v>
      </c>
      <c r="DD277" t="s">
        <v>135</v>
      </c>
      <c r="DE277" t="s">
        <v>135</v>
      </c>
      <c r="DF277" t="s">
        <v>135</v>
      </c>
      <c r="DG277" t="s">
        <v>135</v>
      </c>
      <c r="DH277" t="s">
        <v>135</v>
      </c>
      <c r="DI277" t="s">
        <v>135</v>
      </c>
    </row>
    <row r="278" spans="1:113" x14ac:dyDescent="0.3">
      <c r="A278">
        <v>87</v>
      </c>
      <c r="B278" t="s">
        <v>106</v>
      </c>
      <c r="C278" t="s">
        <v>107</v>
      </c>
      <c r="D278" t="s">
        <v>76</v>
      </c>
      <c r="E278" t="s">
        <v>77</v>
      </c>
      <c r="F278">
        <v>40.725700000000003</v>
      </c>
      <c r="G278">
        <v>31.577100000000002</v>
      </c>
      <c r="H278">
        <v>40.420299999999997</v>
      </c>
      <c r="I278">
        <v>38.1678</v>
      </c>
      <c r="J278">
        <v>30.720500000000001</v>
      </c>
      <c r="K278">
        <v>29.101800000000001</v>
      </c>
      <c r="L278">
        <v>36.387</v>
      </c>
      <c r="M278">
        <v>31.0442</v>
      </c>
      <c r="N278">
        <v>23.622900000000001</v>
      </c>
      <c r="O278">
        <v>23.3675</v>
      </c>
      <c r="P278">
        <v>23.3675</v>
      </c>
      <c r="Q278">
        <v>23.9054</v>
      </c>
      <c r="R278">
        <v>32.787500000000001</v>
      </c>
      <c r="S278">
        <v>27.372699999999998</v>
      </c>
      <c r="T278">
        <v>29.877800000000001</v>
      </c>
      <c r="U278">
        <v>39.314500000000002</v>
      </c>
      <c r="V278">
        <v>40.377299999999998</v>
      </c>
      <c r="W278">
        <v>37.579799999999999</v>
      </c>
      <c r="X278">
        <v>37.484200000000001</v>
      </c>
      <c r="Y278">
        <v>45.454500000000003</v>
      </c>
      <c r="Z278">
        <v>29.334199999999999</v>
      </c>
      <c r="AA278" t="s">
        <v>135</v>
      </c>
      <c r="AB278">
        <v>31.409600000000001</v>
      </c>
      <c r="AC278">
        <v>32.0976</v>
      </c>
      <c r="AD278">
        <v>85.136200000000002</v>
      </c>
      <c r="AE278">
        <v>61.627499999999998</v>
      </c>
      <c r="AF278" t="s">
        <v>135</v>
      </c>
      <c r="AG278">
        <v>67.4499</v>
      </c>
      <c r="AH278">
        <v>27.8125</v>
      </c>
      <c r="AI278">
        <v>42.410200000000003</v>
      </c>
      <c r="AJ278">
        <v>42.3245</v>
      </c>
      <c r="AK278">
        <v>43.446800000000003</v>
      </c>
      <c r="AL278">
        <v>28.688099999999999</v>
      </c>
      <c r="AM278">
        <v>24.082699999999999</v>
      </c>
      <c r="AN278">
        <v>28.5123</v>
      </c>
      <c r="AO278">
        <v>29.229099999999999</v>
      </c>
      <c r="AP278">
        <v>29.5032</v>
      </c>
      <c r="AQ278">
        <v>29.483499999999999</v>
      </c>
      <c r="AR278">
        <v>35.522199999999998</v>
      </c>
      <c r="AS278">
        <v>24.3398</v>
      </c>
      <c r="AT278" t="s">
        <v>135</v>
      </c>
      <c r="AU278">
        <v>21.879100000000001</v>
      </c>
      <c r="AV278">
        <v>24.937999999999999</v>
      </c>
      <c r="AW278">
        <v>36.404699999999998</v>
      </c>
      <c r="AX278">
        <v>29.9238</v>
      </c>
      <c r="AY278" t="s">
        <v>135</v>
      </c>
      <c r="AZ278">
        <v>-19.858000000000001</v>
      </c>
      <c r="BA278">
        <v>-12.0419</v>
      </c>
      <c r="BB278">
        <v>28.521999999999998</v>
      </c>
      <c r="BC278">
        <v>27.7685</v>
      </c>
      <c r="BD278">
        <v>28.797799999999999</v>
      </c>
      <c r="BE278">
        <v>23.3034</v>
      </c>
      <c r="BF278">
        <v>29.877800000000001</v>
      </c>
      <c r="BG278">
        <v>39.314500000000002</v>
      </c>
      <c r="BH278">
        <v>40.377299999999998</v>
      </c>
      <c r="BI278">
        <v>37.579799999999999</v>
      </c>
      <c r="BJ278">
        <v>37.484200000000001</v>
      </c>
      <c r="BK278">
        <v>45.454500000000003</v>
      </c>
      <c r="BL278">
        <v>29.334199999999999</v>
      </c>
      <c r="BM278" t="s">
        <v>135</v>
      </c>
      <c r="BN278">
        <v>31.409600000000001</v>
      </c>
      <c r="BO278">
        <v>32.0976</v>
      </c>
      <c r="BP278">
        <v>85.136200000000002</v>
      </c>
      <c r="BQ278">
        <v>61.627499999999998</v>
      </c>
      <c r="BR278" t="s">
        <v>135</v>
      </c>
      <c r="BS278">
        <v>67.4499</v>
      </c>
      <c r="BT278">
        <v>27.8125</v>
      </c>
      <c r="BU278">
        <v>42.410200000000003</v>
      </c>
      <c r="BV278">
        <v>42.3245</v>
      </c>
      <c r="BW278">
        <v>43.446800000000003</v>
      </c>
      <c r="BX278">
        <v>28.688099999999999</v>
      </c>
      <c r="BY278">
        <v>2968.7</v>
      </c>
      <c r="BZ278">
        <v>1696.1</v>
      </c>
      <c r="CA278">
        <v>1272.5999999999999</v>
      </c>
      <c r="CB278">
        <v>1.18E-2</v>
      </c>
      <c r="CC278">
        <v>-0.6109</v>
      </c>
      <c r="CD278">
        <v>1.2500000000000001E-2</v>
      </c>
      <c r="CE278">
        <v>-0.64490000000000003</v>
      </c>
      <c r="CF278">
        <v>348.13979999999998</v>
      </c>
      <c r="CG278">
        <v>80.297700000000006</v>
      </c>
      <c r="CH278">
        <v>0.2271</v>
      </c>
      <c r="CI278">
        <v>0.22589999999999999</v>
      </c>
      <c r="CJ278">
        <v>0.1847</v>
      </c>
      <c r="CK278">
        <v>0.52990000000000004</v>
      </c>
      <c r="CL278">
        <v>0.52710000000000001</v>
      </c>
      <c r="CM278">
        <v>0.43080000000000002</v>
      </c>
      <c r="CN278">
        <v>-27.402899999999999</v>
      </c>
      <c r="CO278">
        <v>-37.746600000000001</v>
      </c>
      <c r="CP278">
        <v>251322.1</v>
      </c>
      <c r="CQ278">
        <v>220576.4</v>
      </c>
      <c r="CR278">
        <v>238079.8</v>
      </c>
      <c r="CS278">
        <v>1.413</v>
      </c>
      <c r="CT278">
        <v>3.8799000000000001</v>
      </c>
      <c r="CU278">
        <v>3.0590999999999999</v>
      </c>
      <c r="CV278">
        <v>23.639900000000001</v>
      </c>
      <c r="CW278">
        <v>5.0614999999999997</v>
      </c>
      <c r="CX278">
        <v>72.112700000000004</v>
      </c>
      <c r="CY278" t="s">
        <v>135</v>
      </c>
      <c r="CZ278" t="s">
        <v>135</v>
      </c>
      <c r="DA278" t="s">
        <v>135</v>
      </c>
      <c r="DB278" t="s">
        <v>135</v>
      </c>
      <c r="DC278" t="s">
        <v>135</v>
      </c>
      <c r="DD278" t="s">
        <v>135</v>
      </c>
      <c r="DE278" t="s">
        <v>135</v>
      </c>
      <c r="DF278" t="s">
        <v>135</v>
      </c>
      <c r="DG278" t="s">
        <v>135</v>
      </c>
      <c r="DH278" t="s">
        <v>135</v>
      </c>
      <c r="DI278" t="s">
        <v>135</v>
      </c>
    </row>
    <row r="279" spans="1:113" x14ac:dyDescent="0.3">
      <c r="E279" t="s">
        <v>78</v>
      </c>
      <c r="F279">
        <v>38.912199999999999</v>
      </c>
      <c r="G279">
        <v>27.912700000000001</v>
      </c>
      <c r="H279" t="s">
        <v>135</v>
      </c>
      <c r="I279">
        <v>36.759799999999998</v>
      </c>
      <c r="J279">
        <v>28.649699999999999</v>
      </c>
      <c r="K279">
        <v>27.034600000000001</v>
      </c>
      <c r="L279">
        <v>24.790299999999998</v>
      </c>
      <c r="M279">
        <v>28.434000000000001</v>
      </c>
      <c r="N279">
        <v>21.589099999999998</v>
      </c>
      <c r="O279">
        <v>21.104900000000001</v>
      </c>
      <c r="P279">
        <v>21.104900000000001</v>
      </c>
      <c r="Q279">
        <v>24.073</v>
      </c>
      <c r="R279" t="s">
        <v>135</v>
      </c>
      <c r="S279" t="s">
        <v>135</v>
      </c>
      <c r="T279">
        <v>20.9726</v>
      </c>
      <c r="U279">
        <v>18.936399999999999</v>
      </c>
      <c r="V279">
        <v>18.9025</v>
      </c>
      <c r="W279">
        <v>15.7172</v>
      </c>
      <c r="X279">
        <v>15.751799999999999</v>
      </c>
      <c r="Y279" t="s">
        <v>135</v>
      </c>
      <c r="Z279">
        <v>26.103000000000002</v>
      </c>
      <c r="AA279" t="s">
        <v>135</v>
      </c>
      <c r="AB279">
        <v>26.3002</v>
      </c>
      <c r="AC279">
        <v>24.415099999999999</v>
      </c>
      <c r="AD279">
        <v>26.103000000000002</v>
      </c>
      <c r="AE279">
        <v>35.645699999999998</v>
      </c>
      <c r="AF279" t="s">
        <v>135</v>
      </c>
      <c r="AG279">
        <v>101.7038</v>
      </c>
      <c r="AH279">
        <v>52.483600000000003</v>
      </c>
      <c r="AI279">
        <v>29.850999999999999</v>
      </c>
      <c r="AJ279">
        <v>29.994599999999998</v>
      </c>
      <c r="AK279">
        <v>29.843</v>
      </c>
      <c r="AL279">
        <v>-16.976299999999998</v>
      </c>
      <c r="AM279">
        <v>22.916699999999999</v>
      </c>
      <c r="AN279" t="s">
        <v>135</v>
      </c>
      <c r="AO279">
        <v>28.814699999999998</v>
      </c>
      <c r="AP279">
        <v>24.0823</v>
      </c>
      <c r="AQ279">
        <v>24.084499999999998</v>
      </c>
      <c r="AR279" t="s">
        <v>135</v>
      </c>
      <c r="AS279">
        <v>22.110299999999999</v>
      </c>
      <c r="AT279" t="s">
        <v>135</v>
      </c>
      <c r="AU279">
        <v>19.9024</v>
      </c>
      <c r="AV279">
        <v>23.625800000000002</v>
      </c>
      <c r="AW279">
        <v>34.343699999999998</v>
      </c>
      <c r="AX279">
        <v>21.479700000000001</v>
      </c>
      <c r="AY279" t="s">
        <v>135</v>
      </c>
      <c r="AZ279">
        <v>51.944299999999998</v>
      </c>
      <c r="BA279">
        <v>-7.3982000000000001</v>
      </c>
      <c r="BB279">
        <v>26.364599999999999</v>
      </c>
      <c r="BC279">
        <v>25.674299999999999</v>
      </c>
      <c r="BD279">
        <v>26.562000000000001</v>
      </c>
      <c r="BE279">
        <v>13.9343</v>
      </c>
      <c r="BF279">
        <v>9.4763999999999999</v>
      </c>
      <c r="BG279">
        <v>11.6043</v>
      </c>
      <c r="BH279">
        <v>12.367100000000001</v>
      </c>
      <c r="BI279">
        <v>4.9927999999999999</v>
      </c>
      <c r="BJ279">
        <v>5.0162000000000004</v>
      </c>
      <c r="BK279" t="s">
        <v>135</v>
      </c>
      <c r="BL279">
        <v>15.317</v>
      </c>
      <c r="BM279" t="s">
        <v>135</v>
      </c>
      <c r="BN279">
        <v>9.3305000000000007</v>
      </c>
      <c r="BO279">
        <v>10.227399999999999</v>
      </c>
      <c r="BP279">
        <v>65.071299999999994</v>
      </c>
      <c r="BQ279">
        <v>14.074299999999999</v>
      </c>
      <c r="BR279" t="s">
        <v>135</v>
      </c>
      <c r="BS279">
        <v>89.337500000000006</v>
      </c>
      <c r="BT279">
        <v>37.981700000000004</v>
      </c>
      <c r="BU279">
        <v>8.6631</v>
      </c>
      <c r="BV279">
        <v>8.8352000000000004</v>
      </c>
      <c r="BW279">
        <v>9.0434000000000001</v>
      </c>
      <c r="BX279">
        <v>-37.155900000000003</v>
      </c>
      <c r="BY279">
        <v>3204.9</v>
      </c>
      <c r="BZ279">
        <v>1917.8</v>
      </c>
      <c r="CA279">
        <v>1287.0999999999999</v>
      </c>
      <c r="CB279">
        <v>1.7000000000000001E-2</v>
      </c>
      <c r="CC279">
        <v>-0.4793</v>
      </c>
      <c r="CD279">
        <v>1.8100000000000002E-2</v>
      </c>
      <c r="CE279">
        <v>-0.50939999999999996</v>
      </c>
      <c r="CF279">
        <v>374.23669999999998</v>
      </c>
      <c r="CG279">
        <v>73.094300000000004</v>
      </c>
      <c r="CH279">
        <v>0.30109999999999998</v>
      </c>
      <c r="CI279">
        <v>0.29880000000000001</v>
      </c>
      <c r="CJ279">
        <v>0.2238</v>
      </c>
      <c r="CK279">
        <v>0.74970000000000003</v>
      </c>
      <c r="CL279">
        <v>0.74409999999999998</v>
      </c>
      <c r="CM279">
        <v>0.55730000000000002</v>
      </c>
      <c r="CN279">
        <v>-21.153099999999998</v>
      </c>
      <c r="CO279">
        <v>-26.828099999999999</v>
      </c>
      <c r="CP279">
        <v>51532.4</v>
      </c>
      <c r="CQ279">
        <v>43925.9</v>
      </c>
      <c r="CR279">
        <v>48627.3</v>
      </c>
      <c r="CS279">
        <v>0.70369999999999999</v>
      </c>
      <c r="CT279">
        <v>2.6917999999999997</v>
      </c>
      <c r="CU279">
        <v>1.9253</v>
      </c>
      <c r="CV279">
        <v>15.938599999999999</v>
      </c>
      <c r="CW279">
        <v>4.5365000000000002</v>
      </c>
      <c r="CX279">
        <v>80.457599999999999</v>
      </c>
      <c r="CY279" t="s">
        <v>135</v>
      </c>
      <c r="CZ279" t="s">
        <v>135</v>
      </c>
      <c r="DA279" t="s">
        <v>135</v>
      </c>
      <c r="DB279" t="s">
        <v>135</v>
      </c>
      <c r="DC279" t="s">
        <v>135</v>
      </c>
      <c r="DD279" t="s">
        <v>135</v>
      </c>
      <c r="DE279" t="s">
        <v>135</v>
      </c>
      <c r="DF279" t="s">
        <v>135</v>
      </c>
      <c r="DG279" t="s">
        <v>135</v>
      </c>
      <c r="DH279" t="s">
        <v>135</v>
      </c>
      <c r="DI279" t="s">
        <v>135</v>
      </c>
    </row>
    <row r="280" spans="1:113" x14ac:dyDescent="0.3">
      <c r="E280" t="s">
        <v>79</v>
      </c>
      <c r="F280">
        <v>38.952800000000003</v>
      </c>
      <c r="G280">
        <v>30.340399999999999</v>
      </c>
      <c r="H280" t="s">
        <v>135</v>
      </c>
      <c r="I280">
        <v>37.630000000000003</v>
      </c>
      <c r="J280">
        <v>31.648499999999999</v>
      </c>
      <c r="K280">
        <v>30.173200000000001</v>
      </c>
      <c r="L280">
        <v>40.149099999999997</v>
      </c>
      <c r="M280">
        <v>29.9695</v>
      </c>
      <c r="N280">
        <v>22.5504</v>
      </c>
      <c r="O280">
        <v>22.413599999999999</v>
      </c>
      <c r="P280">
        <v>22.413599999999999</v>
      </c>
      <c r="Q280">
        <v>24.755600000000001</v>
      </c>
      <c r="R280" t="s">
        <v>135</v>
      </c>
      <c r="S280" t="s">
        <v>135</v>
      </c>
      <c r="T280">
        <v>34.290799999999997</v>
      </c>
      <c r="U280">
        <v>49.512999999999998</v>
      </c>
      <c r="V280">
        <v>51.462499999999999</v>
      </c>
      <c r="W280">
        <v>33.8675</v>
      </c>
      <c r="X280">
        <v>33.704700000000003</v>
      </c>
      <c r="Y280" t="s">
        <v>135</v>
      </c>
      <c r="Z280">
        <v>36.807899999999997</v>
      </c>
      <c r="AA280" t="s">
        <v>135</v>
      </c>
      <c r="AB280">
        <v>28.480899999999998</v>
      </c>
      <c r="AC280">
        <v>32.473599999999998</v>
      </c>
      <c r="AD280">
        <v>36.807899999999997</v>
      </c>
      <c r="AE280">
        <v>23.4833</v>
      </c>
      <c r="AF280" t="s">
        <v>135</v>
      </c>
      <c r="AG280">
        <v>-50.382300000000001</v>
      </c>
      <c r="AH280">
        <v>-27.169699999999999</v>
      </c>
      <c r="AI280">
        <v>31.840699999999998</v>
      </c>
      <c r="AJ280">
        <v>31.343399999999999</v>
      </c>
      <c r="AK280">
        <v>32.166699999999999</v>
      </c>
      <c r="AL280">
        <v>39.603400000000001</v>
      </c>
      <c r="AM280">
        <v>24.712700000000002</v>
      </c>
      <c r="AN280" t="s">
        <v>135</v>
      </c>
      <c r="AO280">
        <v>30.3751</v>
      </c>
      <c r="AP280">
        <v>29.904299999999999</v>
      </c>
      <c r="AQ280">
        <v>29.875299999999999</v>
      </c>
      <c r="AR280" t="s">
        <v>135</v>
      </c>
      <c r="AS280">
        <v>22.568999999999999</v>
      </c>
      <c r="AT280" t="s">
        <v>135</v>
      </c>
      <c r="AU280">
        <v>21.2271</v>
      </c>
      <c r="AV280">
        <v>24.034500000000001</v>
      </c>
      <c r="AW280">
        <v>32.5747</v>
      </c>
      <c r="AX280">
        <v>20.148499999999999</v>
      </c>
      <c r="AY280" t="s">
        <v>135</v>
      </c>
      <c r="AZ280">
        <v>65.862499999999997</v>
      </c>
      <c r="BA280">
        <v>-14.7982</v>
      </c>
      <c r="BB280">
        <v>27.1966</v>
      </c>
      <c r="BC280">
        <v>26.447400000000002</v>
      </c>
      <c r="BD280">
        <v>27.466899999999999</v>
      </c>
      <c r="BE280">
        <v>37.633200000000002</v>
      </c>
      <c r="BF280">
        <v>16.623999999999999</v>
      </c>
      <c r="BG280">
        <v>28.831399999999999</v>
      </c>
      <c r="BH280">
        <v>30.163699999999999</v>
      </c>
      <c r="BI280">
        <v>17.939699999999998</v>
      </c>
      <c r="BJ280">
        <v>17.8203</v>
      </c>
      <c r="BK280" t="s">
        <v>135</v>
      </c>
      <c r="BL280">
        <v>6.0746000000000002</v>
      </c>
      <c r="BM280" t="s">
        <v>135</v>
      </c>
      <c r="BN280">
        <v>6.6085000000000003</v>
      </c>
      <c r="BO280">
        <v>3.5762</v>
      </c>
      <c r="BP280">
        <v>6.0746000000000002</v>
      </c>
      <c r="BQ280">
        <v>4.7168000000000001</v>
      </c>
      <c r="BR280" t="s">
        <v>135</v>
      </c>
      <c r="BS280">
        <v>-52.283900000000003</v>
      </c>
      <c r="BT280">
        <v>-31.189699999999998</v>
      </c>
      <c r="BU280">
        <v>9.8788999999999998</v>
      </c>
      <c r="BV280">
        <v>9.5732999999999997</v>
      </c>
      <c r="BW280">
        <v>10.213699999999999</v>
      </c>
      <c r="BX280">
        <v>83.039299999999997</v>
      </c>
      <c r="BY280">
        <v>2205.3000000000002</v>
      </c>
      <c r="BZ280">
        <v>915.1</v>
      </c>
      <c r="CA280">
        <v>1290.2</v>
      </c>
      <c r="CB280">
        <v>1.0500000000000001E-2</v>
      </c>
      <c r="CC280">
        <v>-0.2989</v>
      </c>
      <c r="CD280">
        <v>1.11E-2</v>
      </c>
      <c r="CE280">
        <v>-0.31640000000000001</v>
      </c>
      <c r="CF280">
        <v>337.17570000000001</v>
      </c>
      <c r="CG280">
        <v>77.838200000000001</v>
      </c>
      <c r="CH280">
        <v>0.2747</v>
      </c>
      <c r="CI280">
        <v>0.27339999999999998</v>
      </c>
      <c r="CJ280">
        <v>0.21659999999999999</v>
      </c>
      <c r="CK280">
        <v>0.46949999999999997</v>
      </c>
      <c r="CL280">
        <v>0.46729999999999999</v>
      </c>
      <c r="CM280">
        <v>0.37030000000000002</v>
      </c>
      <c r="CN280">
        <v>-13.403</v>
      </c>
      <c r="CO280">
        <v>-15.477399999999999</v>
      </c>
      <c r="CP280">
        <v>66389.899999999994</v>
      </c>
      <c r="CQ280">
        <v>59376.800000000003</v>
      </c>
      <c r="CR280">
        <v>63295.1</v>
      </c>
      <c r="CS280">
        <v>0.59009999999999996</v>
      </c>
      <c r="CT280">
        <v>3.1347999999999998</v>
      </c>
      <c r="CU280">
        <v>2.1516000000000002</v>
      </c>
      <c r="CV280">
        <v>22.056799999999999</v>
      </c>
      <c r="CW280">
        <v>4.7889999999999997</v>
      </c>
      <c r="CX280">
        <v>76.215999999999994</v>
      </c>
      <c r="CY280" t="s">
        <v>135</v>
      </c>
      <c r="CZ280" t="s">
        <v>135</v>
      </c>
      <c r="DA280" t="s">
        <v>135</v>
      </c>
      <c r="DB280" t="s">
        <v>135</v>
      </c>
      <c r="DC280" t="s">
        <v>135</v>
      </c>
      <c r="DD280" t="s">
        <v>135</v>
      </c>
      <c r="DE280" t="s">
        <v>135</v>
      </c>
      <c r="DF280" t="s">
        <v>135</v>
      </c>
      <c r="DG280" t="s">
        <v>135</v>
      </c>
      <c r="DH280" t="s">
        <v>135</v>
      </c>
      <c r="DI280" t="s">
        <v>135</v>
      </c>
    </row>
    <row r="281" spans="1:113" x14ac:dyDescent="0.3">
      <c r="E281" t="s">
        <v>80</v>
      </c>
      <c r="F281">
        <v>39.494100000000003</v>
      </c>
      <c r="G281">
        <v>31.215800000000002</v>
      </c>
      <c r="H281" t="s">
        <v>135</v>
      </c>
      <c r="I281">
        <v>37.670699999999997</v>
      </c>
      <c r="J281">
        <v>31.4011</v>
      </c>
      <c r="K281">
        <v>29.748799999999999</v>
      </c>
      <c r="L281">
        <v>37.399299999999997</v>
      </c>
      <c r="M281">
        <v>32.908900000000003</v>
      </c>
      <c r="N281">
        <v>25.149100000000001</v>
      </c>
      <c r="O281">
        <v>24.9556</v>
      </c>
      <c r="P281">
        <v>24.9556</v>
      </c>
      <c r="Q281">
        <v>23.579699999999999</v>
      </c>
      <c r="R281">
        <v>14.7438</v>
      </c>
      <c r="S281">
        <v>33.671199999999999</v>
      </c>
      <c r="T281">
        <v>32.508299999999998</v>
      </c>
      <c r="U281">
        <v>43.6706</v>
      </c>
      <c r="V281">
        <v>44.596899999999998</v>
      </c>
      <c r="W281">
        <v>49.615400000000001</v>
      </c>
      <c r="X281">
        <v>49.476599999999998</v>
      </c>
      <c r="Y281">
        <v>33.333300000000001</v>
      </c>
      <c r="Z281">
        <v>31.732800000000001</v>
      </c>
      <c r="AA281" t="s">
        <v>135</v>
      </c>
      <c r="AB281">
        <v>26.042300000000001</v>
      </c>
      <c r="AC281">
        <v>31.411899999999999</v>
      </c>
      <c r="AD281">
        <v>31.732800000000001</v>
      </c>
      <c r="AE281">
        <v>37.231499999999997</v>
      </c>
      <c r="AF281" t="s">
        <v>135</v>
      </c>
      <c r="AG281">
        <v>-89.789199999999994</v>
      </c>
      <c r="AH281">
        <v>-68.989199999999997</v>
      </c>
      <c r="AI281">
        <v>33.429499999999997</v>
      </c>
      <c r="AJ281">
        <v>32.090600000000002</v>
      </c>
      <c r="AK281">
        <v>33.8172</v>
      </c>
      <c r="AL281">
        <v>53.020899999999997</v>
      </c>
      <c r="AM281">
        <v>23.953900000000001</v>
      </c>
      <c r="AN281" t="s">
        <v>135</v>
      </c>
      <c r="AO281">
        <v>28.6645</v>
      </c>
      <c r="AP281">
        <v>31.2943</v>
      </c>
      <c r="AQ281">
        <v>31.270800000000001</v>
      </c>
      <c r="AR281" t="s">
        <v>135</v>
      </c>
      <c r="AS281">
        <v>23.1097</v>
      </c>
      <c r="AT281" t="s">
        <v>135</v>
      </c>
      <c r="AU281">
        <v>20.797899999999998</v>
      </c>
      <c r="AV281">
        <v>23.772400000000001</v>
      </c>
      <c r="AW281">
        <v>34.949300000000001</v>
      </c>
      <c r="AX281">
        <v>28.175000000000001</v>
      </c>
      <c r="AY281" t="s">
        <v>135</v>
      </c>
      <c r="AZ281">
        <v>98.042000000000002</v>
      </c>
      <c r="BA281">
        <v>-20.852</v>
      </c>
      <c r="BB281">
        <v>27.874500000000001</v>
      </c>
      <c r="BC281">
        <v>27.103000000000002</v>
      </c>
      <c r="BD281">
        <v>28.144600000000001</v>
      </c>
      <c r="BE281">
        <v>22.816400000000002</v>
      </c>
      <c r="BF281">
        <v>1.5098</v>
      </c>
      <c r="BG281">
        <v>0.71609999999999996</v>
      </c>
      <c r="BH281">
        <v>8.1799999999999998E-2</v>
      </c>
      <c r="BI281">
        <v>14.185600000000001</v>
      </c>
      <c r="BJ281">
        <v>14.1835</v>
      </c>
      <c r="BK281">
        <v>0</v>
      </c>
      <c r="BL281">
        <v>1.3951</v>
      </c>
      <c r="BM281" t="s">
        <v>135</v>
      </c>
      <c r="BN281">
        <v>4.6193999999999997</v>
      </c>
      <c r="BO281">
        <v>7.3311999999999999</v>
      </c>
      <c r="BP281">
        <v>1.3951</v>
      </c>
      <c r="BQ281">
        <v>19.083100000000002</v>
      </c>
      <c r="BR281" t="s">
        <v>135</v>
      </c>
      <c r="BS281">
        <v>-58.387099999999997</v>
      </c>
      <c r="BT281">
        <v>-27.991700000000002</v>
      </c>
      <c r="BU281">
        <v>9.8114000000000008</v>
      </c>
      <c r="BV281">
        <v>9.6348000000000003</v>
      </c>
      <c r="BW281">
        <v>9.8766999999999996</v>
      </c>
      <c r="BX281">
        <v>38.0672</v>
      </c>
      <c r="BY281">
        <v>1588</v>
      </c>
      <c r="BZ281">
        <v>380.8</v>
      </c>
      <c r="CA281">
        <v>1207.2</v>
      </c>
      <c r="CB281">
        <v>6.8999999999999999E-3</v>
      </c>
      <c r="CC281">
        <v>-0.52280000000000004</v>
      </c>
      <c r="CD281">
        <v>7.3000000000000001E-3</v>
      </c>
      <c r="CE281">
        <v>-0.55249999999999999</v>
      </c>
      <c r="CF281">
        <v>474.8956</v>
      </c>
      <c r="CG281">
        <v>79.684299999999993</v>
      </c>
      <c r="CH281">
        <v>0.23400000000000001</v>
      </c>
      <c r="CI281">
        <v>0.23330000000000001</v>
      </c>
      <c r="CJ281">
        <v>0.1888</v>
      </c>
      <c r="CK281">
        <v>0.30790000000000001</v>
      </c>
      <c r="CL281">
        <v>0.30690000000000001</v>
      </c>
      <c r="CM281">
        <v>0.24840000000000001</v>
      </c>
      <c r="CN281">
        <v>-23.409099999999999</v>
      </c>
      <c r="CO281">
        <v>-30.563800000000001</v>
      </c>
      <c r="CP281">
        <v>66865.3</v>
      </c>
      <c r="CQ281">
        <v>59347.8</v>
      </c>
      <c r="CR281">
        <v>63346.9</v>
      </c>
      <c r="CS281">
        <v>1.145</v>
      </c>
      <c r="CT281">
        <v>3.6274999999999999</v>
      </c>
      <c r="CU281">
        <v>2.7814000000000001</v>
      </c>
      <c r="CV281">
        <v>24.841000000000001</v>
      </c>
      <c r="CW281">
        <v>4.9873000000000003</v>
      </c>
      <c r="CX281">
        <v>73.186599999999999</v>
      </c>
      <c r="CY281" t="s">
        <v>135</v>
      </c>
      <c r="CZ281" t="s">
        <v>135</v>
      </c>
      <c r="DA281" t="s">
        <v>135</v>
      </c>
      <c r="DB281" t="s">
        <v>135</v>
      </c>
      <c r="DC281" t="s">
        <v>135</v>
      </c>
      <c r="DD281" t="s">
        <v>135</v>
      </c>
      <c r="DE281" t="s">
        <v>135</v>
      </c>
      <c r="DF281" t="s">
        <v>135</v>
      </c>
      <c r="DG281" t="s">
        <v>135</v>
      </c>
      <c r="DH281" t="s">
        <v>135</v>
      </c>
      <c r="DI281" t="s">
        <v>135</v>
      </c>
    </row>
    <row r="282" spans="1:113" x14ac:dyDescent="0.3">
      <c r="E282" t="s">
        <v>81</v>
      </c>
      <c r="F282">
        <v>40.743000000000002</v>
      </c>
      <c r="G282">
        <v>31.590499999999999</v>
      </c>
      <c r="H282">
        <v>40.4373</v>
      </c>
      <c r="I282">
        <v>38.156700000000001</v>
      </c>
      <c r="J282">
        <v>30.872900000000001</v>
      </c>
      <c r="K282">
        <v>29.1449</v>
      </c>
      <c r="L282">
        <v>38.146999999999998</v>
      </c>
      <c r="M282">
        <v>32.426200000000001</v>
      </c>
      <c r="N282">
        <v>24.8565</v>
      </c>
      <c r="O282">
        <v>24.615300000000001</v>
      </c>
      <c r="P282">
        <v>24.615300000000001</v>
      </c>
      <c r="Q282">
        <v>23.3445</v>
      </c>
      <c r="R282">
        <v>103.3852</v>
      </c>
      <c r="S282">
        <v>-1.3792</v>
      </c>
      <c r="T282">
        <v>31.168399999999998</v>
      </c>
      <c r="U282">
        <v>44.094499999999996</v>
      </c>
      <c r="V282">
        <v>45.141399999999997</v>
      </c>
      <c r="W282">
        <v>46.719799999999999</v>
      </c>
      <c r="X282">
        <v>46.494199999999999</v>
      </c>
      <c r="Y282">
        <v>47.368400000000001</v>
      </c>
      <c r="Z282">
        <v>29.334199999999999</v>
      </c>
      <c r="AA282" t="s">
        <v>135</v>
      </c>
      <c r="AB282">
        <v>31.409600000000001</v>
      </c>
      <c r="AC282">
        <v>32.0976</v>
      </c>
      <c r="AD282">
        <v>85.136200000000002</v>
      </c>
      <c r="AE282">
        <v>61.627499999999998</v>
      </c>
      <c r="AF282" t="s">
        <v>135</v>
      </c>
      <c r="AG282">
        <v>67.4499</v>
      </c>
      <c r="AH282">
        <v>27.8125</v>
      </c>
      <c r="AI282">
        <v>42.410200000000003</v>
      </c>
      <c r="AJ282">
        <v>42.3245</v>
      </c>
      <c r="AK282">
        <v>43.446800000000003</v>
      </c>
      <c r="AL282">
        <v>30.986000000000001</v>
      </c>
      <c r="AM282">
        <v>24.6145</v>
      </c>
      <c r="AN282">
        <v>25.062799999999999</v>
      </c>
      <c r="AO282">
        <v>29.006599999999999</v>
      </c>
      <c r="AP282">
        <v>31.820900000000002</v>
      </c>
      <c r="AQ282">
        <v>31.7804</v>
      </c>
      <c r="AR282" t="s">
        <v>135</v>
      </c>
      <c r="AS282">
        <v>24.3398</v>
      </c>
      <c r="AT282" t="s">
        <v>135</v>
      </c>
      <c r="AU282">
        <v>21.879100000000001</v>
      </c>
      <c r="AV282">
        <v>24.937999999999999</v>
      </c>
      <c r="AW282">
        <v>36.404699999999998</v>
      </c>
      <c r="AX282">
        <v>29.9238</v>
      </c>
      <c r="AY282" t="s">
        <v>135</v>
      </c>
      <c r="AZ282">
        <v>-19.858000000000001</v>
      </c>
      <c r="BA282">
        <v>-12.0419</v>
      </c>
      <c r="BB282">
        <v>28.521999999999998</v>
      </c>
      <c r="BC282">
        <v>27.7685</v>
      </c>
      <c r="BD282">
        <v>28.797799999999999</v>
      </c>
      <c r="BE282">
        <v>20.6553</v>
      </c>
      <c r="BF282">
        <v>1.2075</v>
      </c>
      <c r="BG282">
        <v>-0.49469999999999997</v>
      </c>
      <c r="BH282">
        <v>-0.8468</v>
      </c>
      <c r="BI282">
        <v>2.4171</v>
      </c>
      <c r="BJ282">
        <v>2.3538999999999999</v>
      </c>
      <c r="BK282">
        <v>600</v>
      </c>
      <c r="BL282">
        <v>4.2778</v>
      </c>
      <c r="BM282" t="s">
        <v>135</v>
      </c>
      <c r="BN282">
        <v>7.7660999999999998</v>
      </c>
      <c r="BO282">
        <v>7.8002000000000002</v>
      </c>
      <c r="BP282">
        <v>4.2778</v>
      </c>
      <c r="BQ282">
        <v>13.621600000000001</v>
      </c>
      <c r="BR282" t="s">
        <v>135</v>
      </c>
      <c r="BS282">
        <v>345.40440000000001</v>
      </c>
      <c r="BT282">
        <v>86.945800000000006</v>
      </c>
      <c r="BU282">
        <v>8.6168999999999993</v>
      </c>
      <c r="BV282">
        <v>8.8573000000000004</v>
      </c>
      <c r="BW282">
        <v>8.6302000000000003</v>
      </c>
      <c r="BX282">
        <v>-17.5244</v>
      </c>
      <c r="BY282">
        <v>2968.7</v>
      </c>
      <c r="BZ282">
        <v>1696.1</v>
      </c>
      <c r="CA282">
        <v>1272.5999999999999</v>
      </c>
      <c r="CB282">
        <v>1.18E-2</v>
      </c>
      <c r="CC282">
        <v>-0.6109</v>
      </c>
      <c r="CD282">
        <v>1.2500000000000001E-2</v>
      </c>
      <c r="CE282">
        <v>-0.64490000000000003</v>
      </c>
      <c r="CF282">
        <v>269.91680000000002</v>
      </c>
      <c r="CG282">
        <v>80.297700000000006</v>
      </c>
      <c r="CH282">
        <v>0.2271</v>
      </c>
      <c r="CI282">
        <v>0.22589999999999999</v>
      </c>
      <c r="CJ282">
        <v>0.1847</v>
      </c>
      <c r="CK282">
        <v>0.52990000000000004</v>
      </c>
      <c r="CL282">
        <v>0.52710000000000001</v>
      </c>
      <c r="CM282">
        <v>0.43080000000000002</v>
      </c>
      <c r="CN282">
        <v>-27.402899999999999</v>
      </c>
      <c r="CO282">
        <v>-37.746600000000001</v>
      </c>
      <c r="CP282">
        <v>66534.5</v>
      </c>
      <c r="CQ282">
        <v>57925.9</v>
      </c>
      <c r="CR282">
        <v>62810.5</v>
      </c>
      <c r="CS282">
        <v>1.413</v>
      </c>
      <c r="CT282">
        <v>3.8799000000000001</v>
      </c>
      <c r="CU282">
        <v>3.0590999999999999</v>
      </c>
      <c r="CV282">
        <v>23.639900000000001</v>
      </c>
      <c r="CW282">
        <v>5.0614999999999997</v>
      </c>
      <c r="CX282">
        <v>72.112700000000004</v>
      </c>
      <c r="CY282" t="s">
        <v>135</v>
      </c>
      <c r="CZ282" t="s">
        <v>135</v>
      </c>
      <c r="DA282" t="s">
        <v>135</v>
      </c>
      <c r="DB282" t="s">
        <v>135</v>
      </c>
      <c r="DC282" t="s">
        <v>135</v>
      </c>
      <c r="DD282" t="s">
        <v>135</v>
      </c>
      <c r="DE282" t="s">
        <v>135</v>
      </c>
      <c r="DF282" t="s">
        <v>135</v>
      </c>
      <c r="DG282" t="s">
        <v>135</v>
      </c>
      <c r="DH282" t="s">
        <v>135</v>
      </c>
      <c r="DI282" t="s">
        <v>135</v>
      </c>
    </row>
    <row r="283" spans="1:113" x14ac:dyDescent="0.3">
      <c r="D283" t="s">
        <v>82</v>
      </c>
      <c r="E283" t="s">
        <v>77</v>
      </c>
      <c r="F283">
        <v>34.8339</v>
      </c>
      <c r="G283">
        <v>27.2896</v>
      </c>
      <c r="H283">
        <v>34.6571</v>
      </c>
      <c r="I283">
        <v>31.030799999999999</v>
      </c>
      <c r="J283">
        <v>26.061</v>
      </c>
      <c r="K283">
        <v>24.0854</v>
      </c>
      <c r="L283" t="s">
        <v>135</v>
      </c>
      <c r="M283">
        <v>27.4026</v>
      </c>
      <c r="N283">
        <v>20.9757</v>
      </c>
      <c r="O283">
        <v>20.759399999999999</v>
      </c>
      <c r="P283">
        <v>20.759399999999999</v>
      </c>
      <c r="Q283">
        <v>23.453600000000002</v>
      </c>
      <c r="R283">
        <v>78.754300000000001</v>
      </c>
      <c r="S283">
        <v>7.4006999999999996</v>
      </c>
      <c r="T283">
        <v>15.693899999999999</v>
      </c>
      <c r="U283">
        <v>-1.8536000000000001</v>
      </c>
      <c r="V283">
        <v>-4.2485999999999997</v>
      </c>
      <c r="W283">
        <v>2.7806999999999999</v>
      </c>
      <c r="X283">
        <v>2.7766000000000002</v>
      </c>
      <c r="Y283">
        <v>21.875</v>
      </c>
      <c r="Z283">
        <v>12.119899999999999</v>
      </c>
      <c r="AA283" t="s">
        <v>135</v>
      </c>
      <c r="AB283">
        <v>11.647500000000001</v>
      </c>
      <c r="AC283">
        <v>8.9596</v>
      </c>
      <c r="AD283">
        <v>12.119899999999999</v>
      </c>
      <c r="AE283">
        <v>7.3187999999999995</v>
      </c>
      <c r="AF283" t="s">
        <v>135</v>
      </c>
      <c r="AG283">
        <v>43.517499999999998</v>
      </c>
      <c r="AH283">
        <v>20.490500000000001</v>
      </c>
      <c r="AI283">
        <v>4.2206000000000001</v>
      </c>
      <c r="AJ283">
        <v>4.3063000000000002</v>
      </c>
      <c r="AK283">
        <v>3.8700999999999999</v>
      </c>
      <c r="AL283">
        <v>33.186599999999999</v>
      </c>
      <c r="AM283">
        <v>25.809899999999999</v>
      </c>
      <c r="AN283">
        <v>23.1889</v>
      </c>
      <c r="AO283">
        <v>23.194400000000002</v>
      </c>
      <c r="AP283">
        <v>22.9941</v>
      </c>
      <c r="AQ283">
        <v>22.9726</v>
      </c>
      <c r="AR283">
        <v>31.284300000000002</v>
      </c>
      <c r="AS283">
        <v>28.4057</v>
      </c>
      <c r="AT283" t="s">
        <v>135</v>
      </c>
      <c r="AU283">
        <v>22.0611</v>
      </c>
      <c r="AV283">
        <v>22.343499999999999</v>
      </c>
      <c r="AW283">
        <v>47.8264</v>
      </c>
      <c r="AX283">
        <v>28.430700000000002</v>
      </c>
      <c r="AY283" t="s">
        <v>135</v>
      </c>
      <c r="AZ283">
        <v>33.082999999999998</v>
      </c>
      <c r="BA283">
        <v>28.211099999999998</v>
      </c>
      <c r="BB283">
        <v>25.402200000000001</v>
      </c>
      <c r="BC283">
        <v>25.418199999999999</v>
      </c>
      <c r="BD283">
        <v>25.610299999999999</v>
      </c>
      <c r="BE283">
        <v>23.119399999999999</v>
      </c>
      <c r="BF283">
        <v>15.693899999999999</v>
      </c>
      <c r="BG283">
        <v>-1.8536000000000001</v>
      </c>
      <c r="BH283">
        <v>-4.2485999999999997</v>
      </c>
      <c r="BI283">
        <v>2.7806999999999999</v>
      </c>
      <c r="BJ283">
        <v>2.7766000000000002</v>
      </c>
      <c r="BK283">
        <v>21.875</v>
      </c>
      <c r="BL283">
        <v>12.119899999999999</v>
      </c>
      <c r="BM283" t="s">
        <v>135</v>
      </c>
      <c r="BN283">
        <v>11.647500000000001</v>
      </c>
      <c r="BO283">
        <v>8.9596</v>
      </c>
      <c r="BP283">
        <v>12.119899999999999</v>
      </c>
      <c r="BQ283">
        <v>7.3187999999999995</v>
      </c>
      <c r="BR283" t="s">
        <v>135</v>
      </c>
      <c r="BS283">
        <v>43.517499999999998</v>
      </c>
      <c r="BT283">
        <v>20.490500000000001</v>
      </c>
      <c r="BU283">
        <v>4.2206000000000001</v>
      </c>
      <c r="BV283">
        <v>4.3063000000000002</v>
      </c>
      <c r="BW283">
        <v>3.8700999999999999</v>
      </c>
      <c r="BX283">
        <v>33.186599999999999</v>
      </c>
      <c r="BY283">
        <v>3577</v>
      </c>
      <c r="BZ283">
        <v>2434.1999999999998</v>
      </c>
      <c r="CA283">
        <v>1142.8</v>
      </c>
      <c r="CB283">
        <v>1.4500000000000001E-2</v>
      </c>
      <c r="CC283">
        <v>-0.78600000000000003</v>
      </c>
      <c r="CD283">
        <v>1.5699999999999999E-2</v>
      </c>
      <c r="CE283">
        <v>-0.85050000000000003</v>
      </c>
      <c r="CF283">
        <v>217.28649999999999</v>
      </c>
      <c r="CG283">
        <v>76.546999999999997</v>
      </c>
      <c r="CH283">
        <v>0.19570000000000001</v>
      </c>
      <c r="CI283">
        <v>0.19450000000000001</v>
      </c>
      <c r="CJ283">
        <v>0.1522</v>
      </c>
      <c r="CK283">
        <v>0.61260000000000003</v>
      </c>
      <c r="CL283">
        <v>0.6089</v>
      </c>
      <c r="CM283">
        <v>0.47639999999999999</v>
      </c>
      <c r="CN283">
        <v>-33.204700000000003</v>
      </c>
      <c r="CO283">
        <v>-49.711100000000002</v>
      </c>
      <c r="CP283">
        <v>246663.6</v>
      </c>
      <c r="CQ283">
        <v>217801.9</v>
      </c>
      <c r="CR283">
        <v>227964.79999999999</v>
      </c>
      <c r="CS283">
        <v>1.3458999999999999</v>
      </c>
      <c r="CT283">
        <v>3.3330000000000002</v>
      </c>
      <c r="CU283">
        <v>2.7389999999999999</v>
      </c>
      <c r="CV283">
        <v>22.0093</v>
      </c>
      <c r="CW283">
        <v>4.8951000000000002</v>
      </c>
      <c r="CX283">
        <v>74.563699999999997</v>
      </c>
      <c r="CY283" t="s">
        <v>135</v>
      </c>
      <c r="CZ283" t="s">
        <v>135</v>
      </c>
      <c r="DA283" t="s">
        <v>135</v>
      </c>
      <c r="DB283" t="s">
        <v>135</v>
      </c>
      <c r="DC283" t="s">
        <v>135</v>
      </c>
      <c r="DD283" t="s">
        <v>135</v>
      </c>
      <c r="DE283" t="s">
        <v>135</v>
      </c>
      <c r="DF283" t="s">
        <v>135</v>
      </c>
      <c r="DG283" t="s">
        <v>135</v>
      </c>
      <c r="DH283" t="s">
        <v>135</v>
      </c>
      <c r="DI283" t="s">
        <v>135</v>
      </c>
    </row>
    <row r="284" spans="1:113" x14ac:dyDescent="0.3">
      <c r="E284" t="s">
        <v>78</v>
      </c>
      <c r="F284">
        <v>41.306399999999996</v>
      </c>
      <c r="G284">
        <v>30.560099999999998</v>
      </c>
      <c r="H284">
        <v>40.934899999999999</v>
      </c>
      <c r="I284">
        <v>38.406300000000002</v>
      </c>
      <c r="J284">
        <v>28.7957</v>
      </c>
      <c r="K284">
        <v>26.2987</v>
      </c>
      <c r="L284">
        <v>23.088999999999999</v>
      </c>
      <c r="M284">
        <v>29.9849</v>
      </c>
      <c r="N284">
        <v>23.059699999999999</v>
      </c>
      <c r="O284">
        <v>22.874500000000001</v>
      </c>
      <c r="P284">
        <v>22.874500000000001</v>
      </c>
      <c r="Q284">
        <v>23.095700000000001</v>
      </c>
      <c r="R284">
        <v>0</v>
      </c>
      <c r="S284">
        <v>41.306399999999996</v>
      </c>
      <c r="T284">
        <v>22.927399999999999</v>
      </c>
      <c r="U284">
        <v>23.553899999999999</v>
      </c>
      <c r="V284">
        <v>19.581199999999999</v>
      </c>
      <c r="W284">
        <v>26.8704</v>
      </c>
      <c r="X284">
        <v>26.754999999999999</v>
      </c>
      <c r="Y284" t="s">
        <v>135</v>
      </c>
      <c r="Z284">
        <v>17.7347</v>
      </c>
      <c r="AA284" t="s">
        <v>135</v>
      </c>
      <c r="AB284">
        <v>22.1966</v>
      </c>
      <c r="AC284">
        <v>29.853899999999999</v>
      </c>
      <c r="AD284">
        <v>17.7347</v>
      </c>
      <c r="AE284">
        <v>52.217700000000001</v>
      </c>
      <c r="AF284" t="s">
        <v>135</v>
      </c>
      <c r="AG284">
        <v>-57.581600000000002</v>
      </c>
      <c r="AH284">
        <v>-36.896599999999999</v>
      </c>
      <c r="AI284">
        <v>32.043999999999997</v>
      </c>
      <c r="AJ284">
        <v>31.530999999999999</v>
      </c>
      <c r="AK284">
        <v>32.549500000000002</v>
      </c>
      <c r="AL284">
        <v>122.1999</v>
      </c>
      <c r="AM284">
        <v>25.1328</v>
      </c>
      <c r="AN284" t="s">
        <v>135</v>
      </c>
      <c r="AO284">
        <v>26.336500000000001</v>
      </c>
      <c r="AP284">
        <v>26.949400000000001</v>
      </c>
      <c r="AQ284">
        <v>26.951799999999999</v>
      </c>
      <c r="AR284" t="s">
        <v>135</v>
      </c>
      <c r="AS284">
        <v>26.459</v>
      </c>
      <c r="AT284" t="s">
        <v>135</v>
      </c>
      <c r="AU284">
        <v>22.0837</v>
      </c>
      <c r="AV284">
        <v>25.0703</v>
      </c>
      <c r="AW284">
        <v>41.092700000000001</v>
      </c>
      <c r="AX284">
        <v>28.271699999999999</v>
      </c>
      <c r="AY284" t="s">
        <v>135</v>
      </c>
      <c r="AZ284">
        <v>-30.0334</v>
      </c>
      <c r="BA284">
        <v>-17.732099999999999</v>
      </c>
      <c r="BB284">
        <v>26.682300000000001</v>
      </c>
      <c r="BC284">
        <v>26.000699999999998</v>
      </c>
      <c r="BD284">
        <v>26.938700000000001</v>
      </c>
      <c r="BE284">
        <v>29.629799999999999</v>
      </c>
      <c r="BF284">
        <v>2.5981999999999998</v>
      </c>
      <c r="BG284">
        <v>-4.3048000000000002</v>
      </c>
      <c r="BH284">
        <v>-7.4214000000000002</v>
      </c>
      <c r="BI284">
        <v>-4.6574</v>
      </c>
      <c r="BJ284">
        <v>-4.5907999999999998</v>
      </c>
      <c r="BK284">
        <v>-100</v>
      </c>
      <c r="BL284">
        <v>4.9747000000000003</v>
      </c>
      <c r="BM284" t="s">
        <v>135</v>
      </c>
      <c r="BN284">
        <v>1.6654</v>
      </c>
      <c r="BO284">
        <v>8.3551000000000002</v>
      </c>
      <c r="BP284">
        <v>4.9747000000000003</v>
      </c>
      <c r="BQ284">
        <v>7.4329999999999998</v>
      </c>
      <c r="BR284" t="s">
        <v>135</v>
      </c>
      <c r="BS284">
        <v>-52.036999999999999</v>
      </c>
      <c r="BT284">
        <v>-31.875900000000001</v>
      </c>
      <c r="BU284">
        <v>0.75339999999999996</v>
      </c>
      <c r="BV284">
        <v>0.58140000000000003</v>
      </c>
      <c r="BW284">
        <v>0.75960000000000005</v>
      </c>
      <c r="BX284">
        <v>6.6063999999999998</v>
      </c>
      <c r="BY284">
        <v>2022.4</v>
      </c>
      <c r="BZ284">
        <v>813.5</v>
      </c>
      <c r="CA284">
        <v>1208.9000000000001</v>
      </c>
      <c r="CB284">
        <v>7.7000000000000002E-3</v>
      </c>
      <c r="CC284">
        <v>-0.78900000000000003</v>
      </c>
      <c r="CD284">
        <v>8.2000000000000007E-3</v>
      </c>
      <c r="CE284">
        <v>-0.83950000000000002</v>
      </c>
      <c r="CF284">
        <v>734.37490000000003</v>
      </c>
      <c r="CG284">
        <v>74.668999999999997</v>
      </c>
      <c r="CH284">
        <v>0.2142</v>
      </c>
      <c r="CI284">
        <v>0.21340000000000001</v>
      </c>
      <c r="CJ284">
        <v>0.16189999999999999</v>
      </c>
      <c r="CK284">
        <v>0.35830000000000001</v>
      </c>
      <c r="CL284">
        <v>0.35699999999999998</v>
      </c>
      <c r="CM284">
        <v>0.27079999999999999</v>
      </c>
      <c r="CN284">
        <v>-36.8247</v>
      </c>
      <c r="CO284">
        <v>-58.2898</v>
      </c>
      <c r="CP284">
        <v>63670.3</v>
      </c>
      <c r="CQ284">
        <v>55662.5</v>
      </c>
      <c r="CR284">
        <v>58149.1</v>
      </c>
      <c r="CS284">
        <v>1.276</v>
      </c>
      <c r="CT284">
        <v>3.0832000000000002</v>
      </c>
      <c r="CU284">
        <v>2.4394</v>
      </c>
      <c r="CV284">
        <v>19.639600000000002</v>
      </c>
      <c r="CW284">
        <v>4.8560999999999996</v>
      </c>
      <c r="CX284">
        <v>75.163200000000003</v>
      </c>
      <c r="CY284" t="s">
        <v>135</v>
      </c>
      <c r="CZ284" t="s">
        <v>135</v>
      </c>
      <c r="DA284" t="s">
        <v>135</v>
      </c>
      <c r="DB284" t="s">
        <v>135</v>
      </c>
      <c r="DC284" t="s">
        <v>135</v>
      </c>
      <c r="DD284" t="s">
        <v>135</v>
      </c>
      <c r="DE284" t="s">
        <v>135</v>
      </c>
      <c r="DF284" t="s">
        <v>135</v>
      </c>
      <c r="DG284" t="s">
        <v>135</v>
      </c>
      <c r="DH284" t="s">
        <v>135</v>
      </c>
      <c r="DI284" t="s">
        <v>135</v>
      </c>
    </row>
    <row r="285" spans="1:113" x14ac:dyDescent="0.3">
      <c r="E285" t="s">
        <v>79</v>
      </c>
      <c r="F285">
        <v>42.916400000000003</v>
      </c>
      <c r="G285">
        <v>33.137900000000002</v>
      </c>
      <c r="H285">
        <v>42.668300000000002</v>
      </c>
      <c r="I285">
        <v>39.031399999999998</v>
      </c>
      <c r="J285">
        <v>28.5884</v>
      </c>
      <c r="K285">
        <v>26.847899999999999</v>
      </c>
      <c r="L285">
        <v>2.2795000000000001</v>
      </c>
      <c r="M285">
        <v>29.2241</v>
      </c>
      <c r="N285">
        <v>22.486999999999998</v>
      </c>
      <c r="O285">
        <v>22.204599999999999</v>
      </c>
      <c r="P285">
        <v>22.204599999999999</v>
      </c>
      <c r="Q285">
        <v>23.0532</v>
      </c>
      <c r="R285">
        <v>166.67349999999999</v>
      </c>
      <c r="S285">
        <v>-28.613900000000001</v>
      </c>
      <c r="T285">
        <v>13.5349</v>
      </c>
      <c r="U285">
        <v>2.5571999999999999</v>
      </c>
      <c r="V285">
        <v>1.0225</v>
      </c>
      <c r="W285">
        <v>13.633599999999999</v>
      </c>
      <c r="X285">
        <v>13.6364</v>
      </c>
      <c r="Y285">
        <v>25</v>
      </c>
      <c r="Z285">
        <v>15.4643</v>
      </c>
      <c r="AA285" t="s">
        <v>135</v>
      </c>
      <c r="AB285">
        <v>21.3918</v>
      </c>
      <c r="AC285">
        <v>11.0837</v>
      </c>
      <c r="AD285">
        <v>15.4643</v>
      </c>
      <c r="AE285">
        <v>29.4877</v>
      </c>
      <c r="AF285" t="s">
        <v>135</v>
      </c>
      <c r="AG285">
        <v>36.2911</v>
      </c>
      <c r="AH285">
        <v>20.477899999999998</v>
      </c>
      <c r="AI285">
        <v>9.7370999999999999</v>
      </c>
      <c r="AJ285">
        <v>9.7873000000000001</v>
      </c>
      <c r="AK285">
        <v>9.3938000000000006</v>
      </c>
      <c r="AL285">
        <v>35.527999999999999</v>
      </c>
      <c r="AM285">
        <v>26.2166</v>
      </c>
      <c r="AN285" t="s">
        <v>135</v>
      </c>
      <c r="AO285">
        <v>26.782900000000001</v>
      </c>
      <c r="AP285">
        <v>26.350899999999999</v>
      </c>
      <c r="AQ285">
        <v>26.3642</v>
      </c>
      <c r="AR285" t="s">
        <v>135</v>
      </c>
      <c r="AS285">
        <v>27.033300000000001</v>
      </c>
      <c r="AT285" t="s">
        <v>135</v>
      </c>
      <c r="AU285">
        <v>23.001100000000001</v>
      </c>
      <c r="AV285">
        <v>21.357600000000001</v>
      </c>
      <c r="AW285">
        <v>43.775500000000001</v>
      </c>
      <c r="AX285">
        <v>22.291699999999999</v>
      </c>
      <c r="AY285" t="s">
        <v>135</v>
      </c>
      <c r="AZ285">
        <v>-23.791899999999998</v>
      </c>
      <c r="BA285">
        <v>-12.8924</v>
      </c>
      <c r="BB285">
        <v>22.5258</v>
      </c>
      <c r="BC285">
        <v>21.967300000000002</v>
      </c>
      <c r="BD285">
        <v>22.659600000000001</v>
      </c>
      <c r="BE285">
        <v>20.345400000000001</v>
      </c>
      <c r="BF285">
        <v>7.7130999999999998</v>
      </c>
      <c r="BG285">
        <v>6.9378000000000002</v>
      </c>
      <c r="BH285">
        <v>9.9626999999999999</v>
      </c>
      <c r="BI285">
        <v>4.5585000000000004</v>
      </c>
      <c r="BJ285">
        <v>4.5701000000000001</v>
      </c>
      <c r="BK285" t="s">
        <v>135</v>
      </c>
      <c r="BL285">
        <v>4.0289999999999999</v>
      </c>
      <c r="BM285" t="s">
        <v>135</v>
      </c>
      <c r="BN285">
        <v>5.9062999999999999</v>
      </c>
      <c r="BO285">
        <v>-11.3956</v>
      </c>
      <c r="BP285">
        <v>4.0289999999999999</v>
      </c>
      <c r="BQ285">
        <v>-10.9201</v>
      </c>
      <c r="BR285" t="s">
        <v>135</v>
      </c>
      <c r="BS285">
        <v>53.312800000000003</v>
      </c>
      <c r="BT285">
        <v>31.3736</v>
      </c>
      <c r="BU285">
        <v>-8.6835000000000004</v>
      </c>
      <c r="BV285">
        <v>-8.5404999999999998</v>
      </c>
      <c r="BW285">
        <v>-9.0399999999999991</v>
      </c>
      <c r="BX285">
        <v>11.6424</v>
      </c>
      <c r="BY285">
        <v>2656.9</v>
      </c>
      <c r="BZ285">
        <v>1247.2</v>
      </c>
      <c r="CA285">
        <v>1409.7</v>
      </c>
      <c r="CB285">
        <v>0.01</v>
      </c>
      <c r="CC285">
        <v>-0.46310000000000001</v>
      </c>
      <c r="CD285">
        <v>1.0699999999999999E-2</v>
      </c>
      <c r="CE285">
        <v>-0.49459999999999998</v>
      </c>
      <c r="CF285">
        <v>97.658600000000007</v>
      </c>
      <c r="CG285">
        <v>76.6541</v>
      </c>
      <c r="CH285">
        <v>0.27350000000000002</v>
      </c>
      <c r="CI285">
        <v>0.27210000000000001</v>
      </c>
      <c r="CJ285">
        <v>0.21310000000000001</v>
      </c>
      <c r="CK285">
        <v>0.51539999999999997</v>
      </c>
      <c r="CL285">
        <v>0.51280000000000003</v>
      </c>
      <c r="CM285">
        <v>0.40160000000000001</v>
      </c>
      <c r="CN285">
        <v>-23.821300000000001</v>
      </c>
      <c r="CO285">
        <v>-31.270399999999999</v>
      </c>
      <c r="CP285">
        <v>68087.600000000006</v>
      </c>
      <c r="CQ285">
        <v>61166.1</v>
      </c>
      <c r="CR285">
        <v>63942.3</v>
      </c>
      <c r="CS285">
        <v>0.99890000000000001</v>
      </c>
      <c r="CT285">
        <v>3.4304999999999999</v>
      </c>
      <c r="CU285">
        <v>2.5840000000000001</v>
      </c>
      <c r="CV285">
        <v>26.408899999999999</v>
      </c>
      <c r="CW285">
        <v>4.7790999999999997</v>
      </c>
      <c r="CX285">
        <v>76.374300000000005</v>
      </c>
      <c r="CY285" t="s">
        <v>135</v>
      </c>
      <c r="CZ285" t="s">
        <v>135</v>
      </c>
      <c r="DA285" t="s">
        <v>135</v>
      </c>
      <c r="DB285" t="s">
        <v>135</v>
      </c>
      <c r="DC285" t="s">
        <v>135</v>
      </c>
      <c r="DD285" t="s">
        <v>135</v>
      </c>
      <c r="DE285" t="s">
        <v>135</v>
      </c>
      <c r="DF285">
        <v>134.30000000000001</v>
      </c>
      <c r="DG285" t="s">
        <v>135</v>
      </c>
      <c r="DH285">
        <v>72.900000000000006</v>
      </c>
      <c r="DI285">
        <v>38.1</v>
      </c>
    </row>
    <row r="286" spans="1:113" x14ac:dyDescent="0.3">
      <c r="E286" t="s">
        <v>80</v>
      </c>
      <c r="F286">
        <v>39.759799999999998</v>
      </c>
      <c r="G286">
        <v>31.281400000000001</v>
      </c>
      <c r="H286">
        <v>39.612400000000001</v>
      </c>
      <c r="I286">
        <v>36.247399999999999</v>
      </c>
      <c r="J286">
        <v>28.787199999999999</v>
      </c>
      <c r="K286">
        <v>27.036000000000001</v>
      </c>
      <c r="L286">
        <v>9.0251000000000001</v>
      </c>
      <c r="M286">
        <v>29.605399999999999</v>
      </c>
      <c r="N286">
        <v>22.4819</v>
      </c>
      <c r="O286">
        <v>22.2196</v>
      </c>
      <c r="P286">
        <v>22.2196</v>
      </c>
      <c r="Q286">
        <v>24.061499999999999</v>
      </c>
      <c r="R286">
        <v>17.989599999999999</v>
      </c>
      <c r="S286">
        <v>32.607199999999999</v>
      </c>
      <c r="T286">
        <v>15.061500000000001</v>
      </c>
      <c r="U286">
        <v>5.4833999999999996</v>
      </c>
      <c r="V286">
        <v>4.5693000000000001</v>
      </c>
      <c r="W286">
        <v>5.1045999999999996</v>
      </c>
      <c r="X286">
        <v>5.1059000000000001</v>
      </c>
      <c r="Y286">
        <v>25</v>
      </c>
      <c r="Z286">
        <v>18.474499999999999</v>
      </c>
      <c r="AA286" t="s">
        <v>135</v>
      </c>
      <c r="AB286">
        <v>19.302900000000001</v>
      </c>
      <c r="AC286">
        <v>10.9824</v>
      </c>
      <c r="AD286">
        <v>18.474499999999999</v>
      </c>
      <c r="AE286">
        <v>21.799600000000002</v>
      </c>
      <c r="AF286" t="s">
        <v>135</v>
      </c>
      <c r="AG286">
        <v>453.36130000000003</v>
      </c>
      <c r="AH286">
        <v>112.3111</v>
      </c>
      <c r="AI286">
        <v>8.6516000000000002</v>
      </c>
      <c r="AJ286">
        <v>8.9696999999999996</v>
      </c>
      <c r="AK286">
        <v>8.3125999999999998</v>
      </c>
      <c r="AL286">
        <v>-6.1715</v>
      </c>
      <c r="AM286">
        <v>26.2181</v>
      </c>
      <c r="AN286" t="s">
        <v>135</v>
      </c>
      <c r="AO286">
        <v>25.771599999999999</v>
      </c>
      <c r="AP286">
        <v>24.446999999999999</v>
      </c>
      <c r="AQ286">
        <v>24.448</v>
      </c>
      <c r="AR286" t="s">
        <v>135</v>
      </c>
      <c r="AS286">
        <v>28.4038</v>
      </c>
      <c r="AT286" t="s">
        <v>135</v>
      </c>
      <c r="AU286">
        <v>22.927599999999998</v>
      </c>
      <c r="AV286">
        <v>22.210599999999999</v>
      </c>
      <c r="AW286">
        <v>46.009500000000003</v>
      </c>
      <c r="AX286">
        <v>22.473800000000001</v>
      </c>
      <c r="AY286" t="s">
        <v>135</v>
      </c>
      <c r="AZ286">
        <v>178.8426</v>
      </c>
      <c r="BA286">
        <v>48.998899999999999</v>
      </c>
      <c r="BB286">
        <v>22.727399999999999</v>
      </c>
      <c r="BC286">
        <v>22.8187</v>
      </c>
      <c r="BD286">
        <v>22.856300000000001</v>
      </c>
      <c r="BE286">
        <v>18.252400000000002</v>
      </c>
      <c r="BF286">
        <v>2.8746999999999998</v>
      </c>
      <c r="BG286">
        <v>3.5897999999999999</v>
      </c>
      <c r="BH286">
        <v>3.5956000000000001</v>
      </c>
      <c r="BI286">
        <v>2.9443999999999999</v>
      </c>
      <c r="BJ286">
        <v>2.9258999999999999</v>
      </c>
      <c r="BK286">
        <v>0</v>
      </c>
      <c r="BL286">
        <v>4.0385</v>
      </c>
      <c r="BM286" t="s">
        <v>135</v>
      </c>
      <c r="BN286">
        <v>2.8191000000000002</v>
      </c>
      <c r="BO286">
        <v>7.2332000000000001</v>
      </c>
      <c r="BP286">
        <v>4.0385</v>
      </c>
      <c r="BQ286">
        <v>12.0128</v>
      </c>
      <c r="BR286" t="s">
        <v>135</v>
      </c>
      <c r="BS286">
        <v>68.954499999999996</v>
      </c>
      <c r="BT286">
        <v>26.896000000000001</v>
      </c>
      <c r="BU286">
        <v>8.7251999999999992</v>
      </c>
      <c r="BV286">
        <v>8.8183000000000007</v>
      </c>
      <c r="BW286">
        <v>8.7906999999999993</v>
      </c>
      <c r="BX286">
        <v>-4.4135</v>
      </c>
      <c r="BY286">
        <v>3371.5</v>
      </c>
      <c r="BZ286">
        <v>2107.1999999999998</v>
      </c>
      <c r="CA286">
        <v>1264.3</v>
      </c>
      <c r="CB286">
        <v>1.2500000000000001E-2</v>
      </c>
      <c r="CC286">
        <v>-0.56889999999999996</v>
      </c>
      <c r="CD286">
        <v>1.34E-2</v>
      </c>
      <c r="CE286">
        <v>-0.6089</v>
      </c>
      <c r="CF286">
        <v>334.90879999999999</v>
      </c>
      <c r="CG286">
        <v>77.767399999999995</v>
      </c>
      <c r="CH286">
        <v>0.22559999999999999</v>
      </c>
      <c r="CI286">
        <v>0.22420000000000001</v>
      </c>
      <c r="CJ286">
        <v>0.1782</v>
      </c>
      <c r="CK286">
        <v>0.60160000000000002</v>
      </c>
      <c r="CL286">
        <v>0.59799999999999998</v>
      </c>
      <c r="CM286">
        <v>0.47520000000000001</v>
      </c>
      <c r="CN286">
        <v>-27.286799999999999</v>
      </c>
      <c r="CO286">
        <v>-37.526600000000002</v>
      </c>
      <c r="CP286">
        <v>70531.8</v>
      </c>
      <c r="CQ286">
        <v>63160.6</v>
      </c>
      <c r="CR286">
        <v>66241.399999999994</v>
      </c>
      <c r="CS286">
        <v>1.194</v>
      </c>
      <c r="CT286">
        <v>3.6120999999999999</v>
      </c>
      <c r="CU286">
        <v>2.7763999999999998</v>
      </c>
      <c r="CV286">
        <v>24.480399999999999</v>
      </c>
      <c r="CW286">
        <v>4.8163</v>
      </c>
      <c r="CX286">
        <v>75.783699999999996</v>
      </c>
      <c r="CY286" t="s">
        <v>135</v>
      </c>
      <c r="CZ286" t="s">
        <v>135</v>
      </c>
      <c r="DA286" t="s">
        <v>135</v>
      </c>
      <c r="DB286" t="s">
        <v>135</v>
      </c>
      <c r="DC286" t="s">
        <v>135</v>
      </c>
      <c r="DD286" t="s">
        <v>135</v>
      </c>
      <c r="DE286" t="s">
        <v>135</v>
      </c>
      <c r="DF286" t="s">
        <v>135</v>
      </c>
      <c r="DG286" t="s">
        <v>135</v>
      </c>
      <c r="DH286" t="s">
        <v>135</v>
      </c>
      <c r="DI286" t="s">
        <v>135</v>
      </c>
    </row>
    <row r="287" spans="1:113" x14ac:dyDescent="0.3">
      <c r="E287" t="s">
        <v>81</v>
      </c>
      <c r="F287">
        <v>34.8339</v>
      </c>
      <c r="G287">
        <v>27.2896</v>
      </c>
      <c r="H287">
        <v>34.6571</v>
      </c>
      <c r="I287">
        <v>30.890499999999999</v>
      </c>
      <c r="J287">
        <v>18.321400000000001</v>
      </c>
      <c r="K287">
        <v>16.363499999999998</v>
      </c>
      <c r="L287" t="s">
        <v>135</v>
      </c>
      <c r="M287">
        <v>21.025600000000001</v>
      </c>
      <c r="N287">
        <v>16.063300000000002</v>
      </c>
      <c r="O287">
        <v>15.93</v>
      </c>
      <c r="P287">
        <v>15.93</v>
      </c>
      <c r="Q287">
        <v>23.600899999999999</v>
      </c>
      <c r="R287">
        <v>147.227</v>
      </c>
      <c r="S287">
        <v>-16.451000000000001</v>
      </c>
      <c r="T287">
        <v>12.382999999999999</v>
      </c>
      <c r="U287">
        <v>-33.306899999999999</v>
      </c>
      <c r="V287">
        <v>-36.902299999999997</v>
      </c>
      <c r="W287">
        <v>-27.270499999999998</v>
      </c>
      <c r="X287">
        <v>-27.214500000000001</v>
      </c>
      <c r="Y287">
        <v>3.5714000000000001</v>
      </c>
      <c r="Z287">
        <v>12.119899999999999</v>
      </c>
      <c r="AA287" t="s">
        <v>135</v>
      </c>
      <c r="AB287">
        <v>11.647500000000001</v>
      </c>
      <c r="AC287">
        <v>8.9596</v>
      </c>
      <c r="AD287">
        <v>12.119899999999999</v>
      </c>
      <c r="AE287">
        <v>7.3187999999999995</v>
      </c>
      <c r="AF287" t="s">
        <v>135</v>
      </c>
      <c r="AG287">
        <v>43.517499999999998</v>
      </c>
      <c r="AH287">
        <v>20.490500000000001</v>
      </c>
      <c r="AI287">
        <v>4.2206000000000001</v>
      </c>
      <c r="AJ287">
        <v>4.3063000000000002</v>
      </c>
      <c r="AK287">
        <v>3.8700999999999999</v>
      </c>
      <c r="AL287">
        <v>36.1447</v>
      </c>
      <c r="AM287">
        <v>25.633700000000001</v>
      </c>
      <c r="AN287">
        <v>13.6623</v>
      </c>
      <c r="AO287">
        <v>12.801500000000001</v>
      </c>
      <c r="AP287">
        <v>14.036899999999999</v>
      </c>
      <c r="AQ287">
        <v>14.019299999999999</v>
      </c>
      <c r="AR287" t="s">
        <v>135</v>
      </c>
      <c r="AS287">
        <v>28.4057</v>
      </c>
      <c r="AT287" t="s">
        <v>135</v>
      </c>
      <c r="AU287">
        <v>22.0611</v>
      </c>
      <c r="AV287">
        <v>22.343499999999999</v>
      </c>
      <c r="AW287">
        <v>47.8264</v>
      </c>
      <c r="AX287">
        <v>28.430700000000002</v>
      </c>
      <c r="AY287" t="s">
        <v>135</v>
      </c>
      <c r="AZ287">
        <v>33.082999999999998</v>
      </c>
      <c r="BA287">
        <v>28.211099999999998</v>
      </c>
      <c r="BB287">
        <v>25.402200000000001</v>
      </c>
      <c r="BC287">
        <v>25.418199999999999</v>
      </c>
      <c r="BD287">
        <v>25.610299999999999</v>
      </c>
      <c r="BE287">
        <v>26.1465</v>
      </c>
      <c r="BF287">
        <v>-1.1484000000000001</v>
      </c>
      <c r="BG287">
        <v>-37.0867</v>
      </c>
      <c r="BH287">
        <v>-40.170299999999997</v>
      </c>
      <c r="BI287">
        <v>-29.130099999999999</v>
      </c>
      <c r="BJ287">
        <v>-29.1203</v>
      </c>
      <c r="BK287">
        <v>480</v>
      </c>
      <c r="BL287">
        <v>-1.3153999999999999</v>
      </c>
      <c r="BM287" t="s">
        <v>135</v>
      </c>
      <c r="BN287">
        <v>0.85099999999999998</v>
      </c>
      <c r="BO287">
        <v>5.8354999999999997</v>
      </c>
      <c r="BP287">
        <v>-1.3153999999999999</v>
      </c>
      <c r="BQ287">
        <v>0.11310000000000001</v>
      </c>
      <c r="BR287" t="s">
        <v>135</v>
      </c>
      <c r="BS287">
        <v>15.5182</v>
      </c>
      <c r="BT287">
        <v>6.0952000000000002</v>
      </c>
      <c r="BU287">
        <v>4.1871999999999998</v>
      </c>
      <c r="BV287">
        <v>4.1986999999999997</v>
      </c>
      <c r="BW287">
        <v>4.1745999999999999</v>
      </c>
      <c r="BX287">
        <v>19.671700000000001</v>
      </c>
      <c r="BY287">
        <v>3577</v>
      </c>
      <c r="BZ287">
        <v>2434.1999999999998</v>
      </c>
      <c r="CA287">
        <v>1142.8</v>
      </c>
      <c r="CB287">
        <v>1.4500000000000001E-2</v>
      </c>
      <c r="CC287">
        <v>-0.78600000000000003</v>
      </c>
      <c r="CD287">
        <v>1.5699999999999999E-2</v>
      </c>
      <c r="CE287">
        <v>-0.85050000000000003</v>
      </c>
      <c r="CF287">
        <v>315.37950000000001</v>
      </c>
      <c r="CG287">
        <v>76.546999999999997</v>
      </c>
      <c r="CH287">
        <v>0.19570000000000001</v>
      </c>
      <c r="CI287">
        <v>0.19450000000000001</v>
      </c>
      <c r="CJ287">
        <v>0.1522</v>
      </c>
      <c r="CK287">
        <v>0.61260000000000003</v>
      </c>
      <c r="CL287">
        <v>0.6089</v>
      </c>
      <c r="CM287">
        <v>0.47639999999999999</v>
      </c>
      <c r="CN287">
        <v>-33.204700000000003</v>
      </c>
      <c r="CO287">
        <v>-49.711100000000002</v>
      </c>
      <c r="CP287">
        <v>44373.9</v>
      </c>
      <c r="CQ287">
        <v>37812.699999999997</v>
      </c>
      <c r="CR287">
        <v>39632</v>
      </c>
      <c r="CS287">
        <v>1.3458999999999999</v>
      </c>
      <c r="CT287">
        <v>3.3330000000000002</v>
      </c>
      <c r="CU287">
        <v>2.7389999999999999</v>
      </c>
      <c r="CV287">
        <v>22.0093</v>
      </c>
      <c r="CW287">
        <v>4.8951000000000002</v>
      </c>
      <c r="CX287">
        <v>74.563699999999997</v>
      </c>
      <c r="CY287" t="s">
        <v>135</v>
      </c>
      <c r="CZ287" t="s">
        <v>135</v>
      </c>
      <c r="DA287" t="s">
        <v>135</v>
      </c>
      <c r="DB287" t="s">
        <v>135</v>
      </c>
      <c r="DC287" t="s">
        <v>135</v>
      </c>
      <c r="DD287" t="s">
        <v>135</v>
      </c>
      <c r="DE287" t="s">
        <v>135</v>
      </c>
      <c r="DF287" t="s">
        <v>135</v>
      </c>
      <c r="DG287" t="s">
        <v>135</v>
      </c>
      <c r="DH287" t="s">
        <v>135</v>
      </c>
      <c r="DI287" t="s">
        <v>135</v>
      </c>
    </row>
    <row r="288" spans="1:113" x14ac:dyDescent="0.3">
      <c r="D288" t="s">
        <v>83</v>
      </c>
      <c r="E288" t="s">
        <v>77</v>
      </c>
      <c r="F288">
        <v>37.063600000000001</v>
      </c>
      <c r="G288">
        <v>29.122</v>
      </c>
      <c r="H288">
        <v>36.7639</v>
      </c>
      <c r="I288">
        <v>33.922699999999999</v>
      </c>
      <c r="J288">
        <v>28.236599999999999</v>
      </c>
      <c r="K288">
        <v>26.498899999999999</v>
      </c>
      <c r="L288">
        <v>42.818199999999997</v>
      </c>
      <c r="M288">
        <v>29.3064</v>
      </c>
      <c r="N288">
        <v>22.4008</v>
      </c>
      <c r="O288">
        <v>22.287800000000001</v>
      </c>
      <c r="P288">
        <v>22.287800000000001</v>
      </c>
      <c r="Q288">
        <v>23.563400000000001</v>
      </c>
      <c r="R288">
        <v>35.397100000000002</v>
      </c>
      <c r="S288">
        <v>23.944199999999999</v>
      </c>
      <c r="T288">
        <v>14.789300000000001</v>
      </c>
      <c r="U288">
        <v>24.3719</v>
      </c>
      <c r="V288">
        <v>26.291799999999999</v>
      </c>
      <c r="W288">
        <v>23.241</v>
      </c>
      <c r="X288">
        <v>22.789400000000001</v>
      </c>
      <c r="Y288">
        <v>11.538499999999999</v>
      </c>
      <c r="Z288">
        <v>17.773700000000002</v>
      </c>
      <c r="AA288" t="s">
        <v>135</v>
      </c>
      <c r="AB288">
        <v>1.8873</v>
      </c>
      <c r="AC288">
        <v>21.476299999999998</v>
      </c>
      <c r="AD288">
        <v>17.773700000000002</v>
      </c>
      <c r="AE288">
        <v>39.192500000000003</v>
      </c>
      <c r="AF288" t="s">
        <v>135</v>
      </c>
      <c r="AG288">
        <v>-33.325099999999999</v>
      </c>
      <c r="AH288">
        <v>-31.554400000000001</v>
      </c>
      <c r="AI288">
        <v>25.9528</v>
      </c>
      <c r="AJ288">
        <v>25.602599999999999</v>
      </c>
      <c r="AK288">
        <v>26.5823</v>
      </c>
      <c r="AL288">
        <v>-1.3632</v>
      </c>
      <c r="AM288">
        <v>23.823799999999999</v>
      </c>
      <c r="AN288">
        <v>22.374199999999998</v>
      </c>
      <c r="AO288">
        <v>22.4849</v>
      </c>
      <c r="AP288">
        <v>21.7408</v>
      </c>
      <c r="AQ288">
        <v>21.630099999999999</v>
      </c>
      <c r="AR288">
        <v>25.450500000000002</v>
      </c>
      <c r="AS288">
        <v>24.049800000000001</v>
      </c>
      <c r="AT288" t="s">
        <v>135</v>
      </c>
      <c r="AU288">
        <v>18.111499999999999</v>
      </c>
      <c r="AV288">
        <v>22.786899999999999</v>
      </c>
      <c r="AW288">
        <v>33.649000000000001</v>
      </c>
      <c r="AX288">
        <v>37.228200000000001</v>
      </c>
      <c r="AY288" t="s">
        <v>135</v>
      </c>
      <c r="AZ288">
        <v>34.334899999999998</v>
      </c>
      <c r="BA288">
        <v>26.763000000000002</v>
      </c>
      <c r="BB288">
        <v>24.122499999999999</v>
      </c>
      <c r="BC288">
        <v>24.130700000000001</v>
      </c>
      <c r="BD288">
        <v>24.397300000000001</v>
      </c>
      <c r="BE288">
        <v>24.464300000000001</v>
      </c>
      <c r="BF288">
        <v>14.789300000000001</v>
      </c>
      <c r="BG288">
        <v>24.3719</v>
      </c>
      <c r="BH288">
        <v>26.291799999999999</v>
      </c>
      <c r="BI288">
        <v>23.241</v>
      </c>
      <c r="BJ288">
        <v>22.789400000000001</v>
      </c>
      <c r="BK288">
        <v>11.538499999999999</v>
      </c>
      <c r="BL288">
        <v>17.773700000000002</v>
      </c>
      <c r="BM288" t="s">
        <v>135</v>
      </c>
      <c r="BN288">
        <v>1.8873</v>
      </c>
      <c r="BO288">
        <v>21.476299999999998</v>
      </c>
      <c r="BP288">
        <v>17.773700000000002</v>
      </c>
      <c r="BQ288">
        <v>39.192500000000003</v>
      </c>
      <c r="BR288" t="s">
        <v>135</v>
      </c>
      <c r="BS288">
        <v>-33.325099999999999</v>
      </c>
      <c r="BT288">
        <v>-31.554400000000001</v>
      </c>
      <c r="BU288">
        <v>25.9528</v>
      </c>
      <c r="BV288">
        <v>25.602599999999999</v>
      </c>
      <c r="BW288">
        <v>26.5823</v>
      </c>
      <c r="BX288">
        <v>-1.3632</v>
      </c>
      <c r="BY288">
        <v>2448.3000000000002</v>
      </c>
      <c r="BZ288">
        <v>1623</v>
      </c>
      <c r="CA288">
        <v>825.3</v>
      </c>
      <c r="CB288">
        <v>8.0000000000000002E-3</v>
      </c>
      <c r="CC288">
        <v>-0.93169999999999997</v>
      </c>
      <c r="CD288">
        <v>8.5000000000000006E-3</v>
      </c>
      <c r="CE288">
        <v>-0.99280000000000002</v>
      </c>
      <c r="CF288">
        <v>927.10820000000001</v>
      </c>
      <c r="CG288">
        <v>80.240899999999996</v>
      </c>
      <c r="CH288">
        <v>0.11219999999999999</v>
      </c>
      <c r="CI288">
        <v>0.1118</v>
      </c>
      <c r="CJ288">
        <v>9.0499999999999997E-2</v>
      </c>
      <c r="CK288">
        <v>0.33289999999999997</v>
      </c>
      <c r="CL288">
        <v>0.33179999999999998</v>
      </c>
      <c r="CM288">
        <v>0.26840000000000003</v>
      </c>
      <c r="CN288">
        <v>-38.864100000000001</v>
      </c>
      <c r="CO288">
        <v>-63.57</v>
      </c>
      <c r="CP288">
        <v>306780.09999999998</v>
      </c>
      <c r="CQ288">
        <v>286911.40000000002</v>
      </c>
      <c r="CR288">
        <v>287900.79999999999</v>
      </c>
      <c r="CS288">
        <v>1.8515999999999999</v>
      </c>
      <c r="CT288">
        <v>4.0602</v>
      </c>
      <c r="CU288">
        <v>3.3976999999999999</v>
      </c>
      <c r="CV288">
        <v>20.7545</v>
      </c>
      <c r="CW288">
        <v>4.8815999999999997</v>
      </c>
      <c r="CX288">
        <v>74.975800000000007</v>
      </c>
      <c r="CY288" t="s">
        <v>135</v>
      </c>
      <c r="CZ288" t="s">
        <v>135</v>
      </c>
      <c r="DA288" t="s">
        <v>135</v>
      </c>
      <c r="DB288" t="s">
        <v>135</v>
      </c>
      <c r="DC288" t="s">
        <v>135</v>
      </c>
      <c r="DD288" t="s">
        <v>135</v>
      </c>
      <c r="DE288" t="s">
        <v>135</v>
      </c>
      <c r="DF288" t="s">
        <v>135</v>
      </c>
      <c r="DG288" t="s">
        <v>135</v>
      </c>
      <c r="DH288" t="s">
        <v>135</v>
      </c>
      <c r="DI288" t="s">
        <v>135</v>
      </c>
    </row>
    <row r="289" spans="1:113" x14ac:dyDescent="0.3">
      <c r="E289" t="s">
        <v>78</v>
      </c>
      <c r="F289">
        <v>35.825499999999998</v>
      </c>
      <c r="G289">
        <v>26.31</v>
      </c>
      <c r="H289">
        <v>35.6663</v>
      </c>
      <c r="I289">
        <v>31.746500000000001</v>
      </c>
      <c r="J289">
        <v>28.057500000000001</v>
      </c>
      <c r="K289">
        <v>26.291</v>
      </c>
      <c r="L289">
        <v>26.243200000000002</v>
      </c>
      <c r="M289">
        <v>29.295000000000002</v>
      </c>
      <c r="N289">
        <v>22.489799999999999</v>
      </c>
      <c r="O289">
        <v>22.241399999999999</v>
      </c>
      <c r="P289">
        <v>22.241399999999999</v>
      </c>
      <c r="Q289">
        <v>23.229800000000001</v>
      </c>
      <c r="R289">
        <v>18.8704</v>
      </c>
      <c r="S289">
        <v>29.065100000000001</v>
      </c>
      <c r="T289">
        <v>16.087399999999999</v>
      </c>
      <c r="U289">
        <v>13.111499999999999</v>
      </c>
      <c r="V289">
        <v>16.0534</v>
      </c>
      <c r="W289">
        <v>12.8742</v>
      </c>
      <c r="X289">
        <v>12.897</v>
      </c>
      <c r="Y289" t="s">
        <v>135</v>
      </c>
      <c r="Z289">
        <v>14.150600000000001</v>
      </c>
      <c r="AA289" t="s">
        <v>135</v>
      </c>
      <c r="AB289">
        <v>10.402100000000001</v>
      </c>
      <c r="AC289">
        <v>6.6558000000000002</v>
      </c>
      <c r="AD289">
        <v>14.150600000000001</v>
      </c>
      <c r="AE289">
        <v>1.1621999999999999</v>
      </c>
      <c r="AF289" t="s">
        <v>135</v>
      </c>
      <c r="AG289">
        <v>270.62079999999997</v>
      </c>
      <c r="AH289">
        <v>95.950400000000002</v>
      </c>
      <c r="AI289">
        <v>3.71</v>
      </c>
      <c r="AJ289">
        <v>4.0392999999999999</v>
      </c>
      <c r="AK289">
        <v>3.2524999999999999</v>
      </c>
      <c r="AL289">
        <v>-32.847299999999997</v>
      </c>
      <c r="AM289">
        <v>25.583600000000001</v>
      </c>
      <c r="AN289" t="s">
        <v>135</v>
      </c>
      <c r="AO289">
        <v>24.7821</v>
      </c>
      <c r="AP289">
        <v>25.3567</v>
      </c>
      <c r="AQ289">
        <v>25.347999999999999</v>
      </c>
      <c r="AR289" t="s">
        <v>135</v>
      </c>
      <c r="AS289">
        <v>27.234400000000001</v>
      </c>
      <c r="AT289" t="s">
        <v>135</v>
      </c>
      <c r="AU289">
        <v>21.787800000000001</v>
      </c>
      <c r="AV289">
        <v>21.464700000000001</v>
      </c>
      <c r="AW289">
        <v>27.144300000000001</v>
      </c>
      <c r="AX289">
        <v>34.268700000000003</v>
      </c>
      <c r="AY289" t="s">
        <v>135</v>
      </c>
      <c r="AZ289">
        <v>5.3940000000000001</v>
      </c>
      <c r="BA289">
        <v>10.258900000000001</v>
      </c>
      <c r="BB289">
        <v>20.319299999999998</v>
      </c>
      <c r="BC289">
        <v>20.230899999999998</v>
      </c>
      <c r="BD289">
        <v>20.322199999999999</v>
      </c>
      <c r="BE289">
        <v>22.081</v>
      </c>
      <c r="BF289">
        <v>5.98</v>
      </c>
      <c r="BG289">
        <v>62.298999999999999</v>
      </c>
      <c r="BH289">
        <v>70.276499999999999</v>
      </c>
      <c r="BI289">
        <v>47.969000000000001</v>
      </c>
      <c r="BJ289">
        <v>47.988500000000002</v>
      </c>
      <c r="BK289">
        <v>-81.034499999999994</v>
      </c>
      <c r="BL289">
        <v>6.8758999999999997</v>
      </c>
      <c r="BM289" t="s">
        <v>135</v>
      </c>
      <c r="BN289">
        <v>0.53139999999999998</v>
      </c>
      <c r="BO289">
        <v>6.0640999999999998</v>
      </c>
      <c r="BP289">
        <v>6.8758999999999997</v>
      </c>
      <c r="BQ289">
        <v>1.2699</v>
      </c>
      <c r="BR289" t="s">
        <v>135</v>
      </c>
      <c r="BS289">
        <v>23.86</v>
      </c>
      <c r="BT289">
        <v>10.788399999999999</v>
      </c>
      <c r="BU289">
        <v>0.25990000000000002</v>
      </c>
      <c r="BV289">
        <v>0.32400000000000001</v>
      </c>
      <c r="BW289">
        <v>0.16059999999999999</v>
      </c>
      <c r="BX289">
        <v>-47.416899999999998</v>
      </c>
      <c r="BY289">
        <v>3962.9</v>
      </c>
      <c r="BZ289">
        <v>3015</v>
      </c>
      <c r="CA289">
        <v>947.9</v>
      </c>
      <c r="CB289">
        <v>1.55E-2</v>
      </c>
      <c r="CC289">
        <v>-0.90269999999999995</v>
      </c>
      <c r="CD289">
        <v>1.67E-2</v>
      </c>
      <c r="CE289">
        <v>-0.97009999999999996</v>
      </c>
      <c r="CF289">
        <v>978.51089999999999</v>
      </c>
      <c r="CG289">
        <v>72.2864</v>
      </c>
      <c r="CH289">
        <v>0.16189999999999999</v>
      </c>
      <c r="CI289">
        <v>0.1608</v>
      </c>
      <c r="CJ289">
        <v>0.11899999999999999</v>
      </c>
      <c r="CK289">
        <v>0.67689999999999995</v>
      </c>
      <c r="CL289">
        <v>0.6724</v>
      </c>
      <c r="CM289">
        <v>0.49759999999999999</v>
      </c>
      <c r="CN289">
        <v>-39.322800000000001</v>
      </c>
      <c r="CO289">
        <v>-64.806600000000003</v>
      </c>
      <c r="CP289">
        <v>72018.399999999994</v>
      </c>
      <c r="CQ289">
        <v>66859.399999999994</v>
      </c>
      <c r="CR289">
        <v>67484</v>
      </c>
      <c r="CS289">
        <v>1.2262999999999999</v>
      </c>
      <c r="CT289">
        <v>2.8153000000000001</v>
      </c>
      <c r="CU289">
        <v>2.3702999999999999</v>
      </c>
      <c r="CV289">
        <v>18.098099999999999</v>
      </c>
      <c r="CW289">
        <v>4.7925000000000004</v>
      </c>
      <c r="CX289">
        <v>76.16</v>
      </c>
      <c r="CY289" t="s">
        <v>135</v>
      </c>
      <c r="CZ289" t="s">
        <v>135</v>
      </c>
      <c r="DA289" t="s">
        <v>135</v>
      </c>
      <c r="DB289" t="s">
        <v>135</v>
      </c>
      <c r="DC289" t="s">
        <v>135</v>
      </c>
      <c r="DD289" t="s">
        <v>135</v>
      </c>
      <c r="DE289" t="s">
        <v>135</v>
      </c>
      <c r="DF289" t="s">
        <v>135</v>
      </c>
      <c r="DG289" t="s">
        <v>135</v>
      </c>
      <c r="DH289" t="s">
        <v>135</v>
      </c>
      <c r="DI289" t="s">
        <v>135</v>
      </c>
    </row>
    <row r="290" spans="1:113" x14ac:dyDescent="0.3">
      <c r="E290" t="s">
        <v>79</v>
      </c>
      <c r="F290">
        <v>37.016800000000003</v>
      </c>
      <c r="G290">
        <v>29.086500000000001</v>
      </c>
      <c r="H290">
        <v>36.939</v>
      </c>
      <c r="I290">
        <v>33.282699999999998</v>
      </c>
      <c r="J290">
        <v>28.795400000000001</v>
      </c>
      <c r="K290">
        <v>27.069400000000002</v>
      </c>
      <c r="L290">
        <v>28.6447</v>
      </c>
      <c r="M290">
        <v>29.554400000000001</v>
      </c>
      <c r="N290">
        <v>22.429099999999998</v>
      </c>
      <c r="O290">
        <v>22.290099999999999</v>
      </c>
      <c r="P290">
        <v>22.290099999999999</v>
      </c>
      <c r="Q290">
        <v>24.109200000000001</v>
      </c>
      <c r="R290">
        <v>17.897600000000001</v>
      </c>
      <c r="S290">
        <v>30.3917</v>
      </c>
      <c r="T290">
        <v>14.0617</v>
      </c>
      <c r="U290">
        <v>14.8874</v>
      </c>
      <c r="V290">
        <v>15.002700000000001</v>
      </c>
      <c r="W290">
        <v>14.5009</v>
      </c>
      <c r="X290">
        <v>14.148099999999999</v>
      </c>
      <c r="Y290">
        <v>10</v>
      </c>
      <c r="Z290">
        <v>13.145</v>
      </c>
      <c r="AA290" t="s">
        <v>135</v>
      </c>
      <c r="AB290">
        <v>4.8799000000000001</v>
      </c>
      <c r="AC290">
        <v>18.941199999999998</v>
      </c>
      <c r="AD290">
        <v>13.145</v>
      </c>
      <c r="AE290">
        <v>32.481000000000002</v>
      </c>
      <c r="AF290" t="s">
        <v>135</v>
      </c>
      <c r="AG290">
        <v>-53.359499999999997</v>
      </c>
      <c r="AH290">
        <v>-43.494300000000003</v>
      </c>
      <c r="AI290">
        <v>22.9542</v>
      </c>
      <c r="AJ290">
        <v>22.613499999999998</v>
      </c>
      <c r="AK290">
        <v>23.692900000000002</v>
      </c>
      <c r="AL290">
        <v>2.4523000000000001</v>
      </c>
      <c r="AM290">
        <v>23.9465</v>
      </c>
      <c r="AN290" t="s">
        <v>135</v>
      </c>
      <c r="AO290">
        <v>23.105399999999999</v>
      </c>
      <c r="AP290">
        <v>23.5136</v>
      </c>
      <c r="AQ290">
        <v>23.4253</v>
      </c>
      <c r="AR290" t="s">
        <v>135</v>
      </c>
      <c r="AS290">
        <v>26.170300000000001</v>
      </c>
      <c r="AT290" t="s">
        <v>135</v>
      </c>
      <c r="AU290">
        <v>20.932300000000001</v>
      </c>
      <c r="AV290">
        <v>22.515599999999999</v>
      </c>
      <c r="AW290">
        <v>26.076699999999999</v>
      </c>
      <c r="AX290">
        <v>36.991500000000002</v>
      </c>
      <c r="AY290" t="s">
        <v>135</v>
      </c>
      <c r="AZ290">
        <v>-24.747900000000001</v>
      </c>
      <c r="BA290">
        <v>-9.8379999999999992</v>
      </c>
      <c r="BB290">
        <v>23.8443</v>
      </c>
      <c r="BC290">
        <v>23.617899999999999</v>
      </c>
      <c r="BD290">
        <v>24.049900000000001</v>
      </c>
      <c r="BE290">
        <v>26.2257</v>
      </c>
      <c r="BF290">
        <v>5.8339999999999996</v>
      </c>
      <c r="BG290">
        <v>8.6295000000000002</v>
      </c>
      <c r="BH290">
        <v>8.9735999999999994</v>
      </c>
      <c r="BI290">
        <v>6.0643000000000002</v>
      </c>
      <c r="BJ290">
        <v>5.7290000000000001</v>
      </c>
      <c r="BK290">
        <v>0</v>
      </c>
      <c r="BL290">
        <v>3.1126999999999998</v>
      </c>
      <c r="BM290" t="s">
        <v>135</v>
      </c>
      <c r="BN290">
        <v>0.60899999999999999</v>
      </c>
      <c r="BO290">
        <v>-1.1895</v>
      </c>
      <c r="BP290">
        <v>3.1126999999999998</v>
      </c>
      <c r="BQ290">
        <v>16.658100000000001</v>
      </c>
      <c r="BR290" t="s">
        <v>135</v>
      </c>
      <c r="BS290">
        <v>-80.706500000000005</v>
      </c>
      <c r="BT290">
        <v>-62.116100000000003</v>
      </c>
      <c r="BU290">
        <v>8.2609999999999992</v>
      </c>
      <c r="BV290">
        <v>7.7877999999999998</v>
      </c>
      <c r="BW290">
        <v>8.9667999999999992</v>
      </c>
      <c r="BX290">
        <v>70.401799999999994</v>
      </c>
      <c r="BY290">
        <v>1501.3</v>
      </c>
      <c r="BZ290">
        <v>581.70000000000005</v>
      </c>
      <c r="CA290">
        <v>919.6</v>
      </c>
      <c r="CB290">
        <v>5.7000000000000002E-3</v>
      </c>
      <c r="CC290">
        <v>-0.79579999999999995</v>
      </c>
      <c r="CD290">
        <v>6.1000000000000004E-3</v>
      </c>
      <c r="CE290">
        <v>-0.85470000000000002</v>
      </c>
      <c r="CF290">
        <v>1021.2023</v>
      </c>
      <c r="CG290">
        <v>80.192599999999999</v>
      </c>
      <c r="CH290">
        <v>0.14510000000000001</v>
      </c>
      <c r="CI290">
        <v>0.14480000000000001</v>
      </c>
      <c r="CJ290">
        <v>0.1169</v>
      </c>
      <c r="CK290">
        <v>0.2369</v>
      </c>
      <c r="CL290">
        <v>0.23630000000000001</v>
      </c>
      <c r="CM290">
        <v>0.1908</v>
      </c>
      <c r="CN290">
        <v>-33.293399999999998</v>
      </c>
      <c r="CO290">
        <v>-49.9101</v>
      </c>
      <c r="CP290">
        <v>78224.100000000006</v>
      </c>
      <c r="CQ290">
        <v>73483.399999999994</v>
      </c>
      <c r="CR290">
        <v>73535.399999999994</v>
      </c>
      <c r="CS290">
        <v>1.6038999999999999</v>
      </c>
      <c r="CT290">
        <v>4.0521000000000003</v>
      </c>
      <c r="CU290">
        <v>3.3039999999999998</v>
      </c>
      <c r="CV290">
        <v>24.018899999999999</v>
      </c>
      <c r="CW290">
        <v>4.7865000000000002</v>
      </c>
      <c r="CX290">
        <v>76.256100000000004</v>
      </c>
      <c r="CY290" t="s">
        <v>135</v>
      </c>
      <c r="CZ290" t="s">
        <v>135</v>
      </c>
      <c r="DA290" t="s">
        <v>135</v>
      </c>
      <c r="DB290" t="s">
        <v>135</v>
      </c>
      <c r="DC290" t="s">
        <v>135</v>
      </c>
      <c r="DD290" t="s">
        <v>135</v>
      </c>
      <c r="DE290" t="s">
        <v>135</v>
      </c>
      <c r="DF290" t="s">
        <v>135</v>
      </c>
      <c r="DG290" t="s">
        <v>135</v>
      </c>
      <c r="DH290" t="s">
        <v>135</v>
      </c>
      <c r="DI290" t="s">
        <v>135</v>
      </c>
    </row>
    <row r="291" spans="1:113" x14ac:dyDescent="0.3">
      <c r="E291" t="s">
        <v>80</v>
      </c>
      <c r="F291">
        <v>35.307200000000002</v>
      </c>
      <c r="G291">
        <v>28.020700000000001</v>
      </c>
      <c r="H291">
        <v>35.121200000000002</v>
      </c>
      <c r="I291">
        <v>31.758099999999999</v>
      </c>
      <c r="J291">
        <v>28.3108</v>
      </c>
      <c r="K291">
        <v>26.590499999999999</v>
      </c>
      <c r="L291">
        <v>22.7775</v>
      </c>
      <c r="M291">
        <v>29.145099999999999</v>
      </c>
      <c r="N291">
        <v>22.3841</v>
      </c>
      <c r="O291">
        <v>22.326899999999998</v>
      </c>
      <c r="P291">
        <v>22.326899999999998</v>
      </c>
      <c r="Q291">
        <v>23.197700000000001</v>
      </c>
      <c r="R291">
        <v>17.738399999999999</v>
      </c>
      <c r="S291">
        <v>29.0442</v>
      </c>
      <c r="T291">
        <v>11.6846</v>
      </c>
      <c r="U291">
        <v>9.8367000000000004</v>
      </c>
      <c r="V291">
        <v>9.8440999999999992</v>
      </c>
      <c r="W291">
        <v>12.224</v>
      </c>
      <c r="X291">
        <v>11.5869</v>
      </c>
      <c r="Y291">
        <v>10</v>
      </c>
      <c r="Z291">
        <v>10.3948</v>
      </c>
      <c r="AA291" t="s">
        <v>135</v>
      </c>
      <c r="AB291">
        <v>1.8077000000000001</v>
      </c>
      <c r="AC291">
        <v>18.631399999999999</v>
      </c>
      <c r="AD291">
        <v>10.3948</v>
      </c>
      <c r="AE291">
        <v>31.572900000000001</v>
      </c>
      <c r="AF291" t="s">
        <v>135</v>
      </c>
      <c r="AG291">
        <v>-56.976100000000002</v>
      </c>
      <c r="AH291">
        <v>-47.180799999999998</v>
      </c>
      <c r="AI291">
        <v>21.7104</v>
      </c>
      <c r="AJ291">
        <v>21.298500000000001</v>
      </c>
      <c r="AK291">
        <v>22.385400000000001</v>
      </c>
      <c r="AL291">
        <v>15.849</v>
      </c>
      <c r="AM291">
        <v>23.1432</v>
      </c>
      <c r="AN291" t="s">
        <v>135</v>
      </c>
      <c r="AO291">
        <v>21.810500000000001</v>
      </c>
      <c r="AP291">
        <v>21.261800000000001</v>
      </c>
      <c r="AQ291">
        <v>21.092700000000001</v>
      </c>
      <c r="AR291" t="s">
        <v>135</v>
      </c>
      <c r="AS291">
        <v>24.3841</v>
      </c>
      <c r="AT291" t="s">
        <v>135</v>
      </c>
      <c r="AU291">
        <v>19.3764</v>
      </c>
      <c r="AV291">
        <v>21.979900000000001</v>
      </c>
      <c r="AW291">
        <v>24.308399999999999</v>
      </c>
      <c r="AX291">
        <v>34.8767</v>
      </c>
      <c r="AY291" t="s">
        <v>135</v>
      </c>
      <c r="AZ291">
        <v>-19.724699999999999</v>
      </c>
      <c r="BA291">
        <v>-8.7932000000000006</v>
      </c>
      <c r="BB291">
        <v>23.603000000000002</v>
      </c>
      <c r="BC291">
        <v>23.374500000000001</v>
      </c>
      <c r="BD291">
        <v>23.795000000000002</v>
      </c>
      <c r="BE291">
        <v>19.5731</v>
      </c>
      <c r="BF291">
        <v>0.73260000000000003</v>
      </c>
      <c r="BG291">
        <v>-0.95909999999999995</v>
      </c>
      <c r="BH291">
        <v>-1.0441</v>
      </c>
      <c r="BI291">
        <v>0.90069999999999995</v>
      </c>
      <c r="BJ291">
        <v>0.61650000000000005</v>
      </c>
      <c r="BK291">
        <v>0</v>
      </c>
      <c r="BL291">
        <v>1.5096000000000001</v>
      </c>
      <c r="BM291" t="s">
        <v>135</v>
      </c>
      <c r="BN291">
        <v>-0.1928</v>
      </c>
      <c r="BO291">
        <v>6.9539</v>
      </c>
      <c r="BP291">
        <v>1.5096000000000001</v>
      </c>
      <c r="BQ291">
        <v>11.244999999999999</v>
      </c>
      <c r="BR291" t="s">
        <v>135</v>
      </c>
      <c r="BS291">
        <v>55.853499999999997</v>
      </c>
      <c r="BT291">
        <v>18.6172</v>
      </c>
      <c r="BU291">
        <v>7.6253000000000002</v>
      </c>
      <c r="BV291">
        <v>7.6513</v>
      </c>
      <c r="BW291">
        <v>7.6406999999999998</v>
      </c>
      <c r="BX291">
        <v>8.0561000000000007</v>
      </c>
      <c r="BY291">
        <v>1780.8</v>
      </c>
      <c r="BZ291">
        <v>906.6</v>
      </c>
      <c r="CA291">
        <v>874.2</v>
      </c>
      <c r="CB291">
        <v>6.4999999999999997E-3</v>
      </c>
      <c r="CC291">
        <v>-0.92749999999999999</v>
      </c>
      <c r="CD291">
        <v>7.0000000000000001E-3</v>
      </c>
      <c r="CE291">
        <v>-0.99580000000000002</v>
      </c>
      <c r="CF291">
        <v>926.67219999999998</v>
      </c>
      <c r="CG291">
        <v>80.707499999999996</v>
      </c>
      <c r="CH291">
        <v>0.12820000000000001</v>
      </c>
      <c r="CI291">
        <v>0.1278</v>
      </c>
      <c r="CJ291">
        <v>0.10390000000000001</v>
      </c>
      <c r="CK291">
        <v>0.2611</v>
      </c>
      <c r="CL291">
        <v>0.26040000000000002</v>
      </c>
      <c r="CM291">
        <v>0.21160000000000001</v>
      </c>
      <c r="CN291">
        <v>-36.993899999999996</v>
      </c>
      <c r="CO291">
        <v>-58.7149</v>
      </c>
      <c r="CP291">
        <v>77469.8</v>
      </c>
      <c r="CQ291">
        <v>72754.3</v>
      </c>
      <c r="CR291">
        <v>72762.3</v>
      </c>
      <c r="CS291">
        <v>1.837</v>
      </c>
      <c r="CT291">
        <v>4.2519999999999998</v>
      </c>
      <c r="CU291">
        <v>3.4899</v>
      </c>
      <c r="CV291">
        <v>22.145</v>
      </c>
      <c r="CW291">
        <v>4.7922000000000002</v>
      </c>
      <c r="CX291">
        <v>76.165300000000002</v>
      </c>
      <c r="CY291" t="s">
        <v>135</v>
      </c>
      <c r="CZ291" t="s">
        <v>135</v>
      </c>
      <c r="DA291" t="s">
        <v>135</v>
      </c>
      <c r="DB291" t="s">
        <v>135</v>
      </c>
      <c r="DC291" t="s">
        <v>135</v>
      </c>
      <c r="DD291" t="s">
        <v>135</v>
      </c>
      <c r="DE291" t="s">
        <v>135</v>
      </c>
      <c r="DF291" t="s">
        <v>135</v>
      </c>
      <c r="DG291" t="s">
        <v>135</v>
      </c>
      <c r="DH291" t="s">
        <v>135</v>
      </c>
      <c r="DI291" t="s">
        <v>135</v>
      </c>
    </row>
    <row r="292" spans="1:113" x14ac:dyDescent="0.3">
      <c r="E292" t="s">
        <v>81</v>
      </c>
      <c r="F292">
        <v>37.064100000000003</v>
      </c>
      <c r="G292">
        <v>29.122399999999999</v>
      </c>
      <c r="H292">
        <v>36.7637</v>
      </c>
      <c r="I292">
        <v>33.921399999999998</v>
      </c>
      <c r="J292">
        <v>27.793199999999999</v>
      </c>
      <c r="K292">
        <v>26.053699999999999</v>
      </c>
      <c r="L292">
        <v>81.552000000000007</v>
      </c>
      <c r="M292">
        <v>29.2349</v>
      </c>
      <c r="N292">
        <v>22.3096</v>
      </c>
      <c r="O292">
        <v>22.29</v>
      </c>
      <c r="P292">
        <v>22.29</v>
      </c>
      <c r="Q292">
        <v>23.688700000000001</v>
      </c>
      <c r="R292">
        <v>83.999899999999997</v>
      </c>
      <c r="S292">
        <v>5.9302999999999999</v>
      </c>
      <c r="T292">
        <v>17.4603</v>
      </c>
      <c r="U292">
        <v>78.185400000000001</v>
      </c>
      <c r="V292">
        <v>87.018299999999996</v>
      </c>
      <c r="W292">
        <v>64.356200000000001</v>
      </c>
      <c r="X292">
        <v>63.380299999999998</v>
      </c>
      <c r="Y292">
        <v>-6.8966000000000003</v>
      </c>
      <c r="Z292">
        <v>17.773700000000002</v>
      </c>
      <c r="AA292" t="s">
        <v>135</v>
      </c>
      <c r="AB292">
        <v>1.8873</v>
      </c>
      <c r="AC292">
        <v>21.476299999999998</v>
      </c>
      <c r="AD292">
        <v>17.773700000000002</v>
      </c>
      <c r="AE292">
        <v>39.192500000000003</v>
      </c>
      <c r="AF292" t="s">
        <v>135</v>
      </c>
      <c r="AG292">
        <v>-33.325099999999999</v>
      </c>
      <c r="AH292">
        <v>-31.554400000000001</v>
      </c>
      <c r="AI292">
        <v>25.9528</v>
      </c>
      <c r="AJ292">
        <v>25.602599999999999</v>
      </c>
      <c r="AK292">
        <v>26.5823</v>
      </c>
      <c r="AL292">
        <v>5.5716000000000001</v>
      </c>
      <c r="AM292">
        <v>22.872599999999998</v>
      </c>
      <c r="AN292">
        <v>20.648800000000001</v>
      </c>
      <c r="AO292">
        <v>20.81</v>
      </c>
      <c r="AP292">
        <v>19.309999999999999</v>
      </c>
      <c r="AQ292">
        <v>19.1496</v>
      </c>
      <c r="AR292" t="s">
        <v>135</v>
      </c>
      <c r="AS292">
        <v>24.049800000000001</v>
      </c>
      <c r="AT292" t="s">
        <v>135</v>
      </c>
      <c r="AU292">
        <v>18.111499999999999</v>
      </c>
      <c r="AV292">
        <v>22.786899999999999</v>
      </c>
      <c r="AW292">
        <v>33.649000000000001</v>
      </c>
      <c r="AX292">
        <v>37.228200000000001</v>
      </c>
      <c r="AY292" t="s">
        <v>135</v>
      </c>
      <c r="AZ292">
        <v>34.334899999999998</v>
      </c>
      <c r="BA292">
        <v>26.763000000000002</v>
      </c>
      <c r="BB292">
        <v>24.122499999999999</v>
      </c>
      <c r="BC292">
        <v>24.130700000000001</v>
      </c>
      <c r="BD292">
        <v>24.397300000000001</v>
      </c>
      <c r="BE292">
        <v>31.3081</v>
      </c>
      <c r="BF292">
        <v>3.9636</v>
      </c>
      <c r="BG292">
        <v>2.0625</v>
      </c>
      <c r="BH292">
        <v>1.8679000000000001</v>
      </c>
      <c r="BI292">
        <v>3.7838000000000003</v>
      </c>
      <c r="BJ292">
        <v>3.7787999999999999</v>
      </c>
      <c r="BK292">
        <v>390.90910000000002</v>
      </c>
      <c r="BL292">
        <v>5.2808999999999999</v>
      </c>
      <c r="BM292" t="s">
        <v>135</v>
      </c>
      <c r="BN292">
        <v>0.92989999999999995</v>
      </c>
      <c r="BO292">
        <v>8.3735999999999997</v>
      </c>
      <c r="BP292">
        <v>49.512900000000002</v>
      </c>
      <c r="BQ292">
        <v>5.9108000000000001</v>
      </c>
      <c r="BR292" t="s">
        <v>135</v>
      </c>
      <c r="BS292">
        <v>79.020499999999998</v>
      </c>
      <c r="BT292">
        <v>37.483199999999997</v>
      </c>
      <c r="BU292">
        <v>7.8187999999999995</v>
      </c>
      <c r="BV292">
        <v>7.8960999999999997</v>
      </c>
      <c r="BW292">
        <v>7.7469999999999999</v>
      </c>
      <c r="BX292">
        <v>9.0213000000000001</v>
      </c>
      <c r="BY292">
        <v>2448.3000000000002</v>
      </c>
      <c r="BZ292">
        <v>1623</v>
      </c>
      <c r="CA292">
        <v>825.3</v>
      </c>
      <c r="CB292">
        <v>8.0000000000000002E-3</v>
      </c>
      <c r="CC292">
        <v>-0.93169999999999997</v>
      </c>
      <c r="CD292">
        <v>8.5000000000000006E-3</v>
      </c>
      <c r="CE292">
        <v>-0.99280000000000002</v>
      </c>
      <c r="CF292">
        <v>814.29250000000002</v>
      </c>
      <c r="CG292">
        <v>80.240899999999996</v>
      </c>
      <c r="CH292">
        <v>0.11219999999999999</v>
      </c>
      <c r="CI292">
        <v>0.1118</v>
      </c>
      <c r="CJ292">
        <v>9.0499999999999997E-2</v>
      </c>
      <c r="CK292">
        <v>0.33289999999999997</v>
      </c>
      <c r="CL292">
        <v>0.33179999999999998</v>
      </c>
      <c r="CM292">
        <v>0.26840000000000003</v>
      </c>
      <c r="CN292">
        <v>-38.864100000000001</v>
      </c>
      <c r="CO292">
        <v>-63.57</v>
      </c>
      <c r="CP292">
        <v>79067.8</v>
      </c>
      <c r="CQ292">
        <v>73814.3</v>
      </c>
      <c r="CR292">
        <v>74119.100000000006</v>
      </c>
      <c r="CS292">
        <v>1.8515999999999999</v>
      </c>
      <c r="CT292">
        <v>4.0602</v>
      </c>
      <c r="CU292">
        <v>3.3976999999999999</v>
      </c>
      <c r="CV292">
        <v>20.7545</v>
      </c>
      <c r="CW292">
        <v>4.8815999999999997</v>
      </c>
      <c r="CX292">
        <v>74.976200000000006</v>
      </c>
      <c r="CY292" t="s">
        <v>135</v>
      </c>
      <c r="CZ292" t="s">
        <v>135</v>
      </c>
      <c r="DA292" t="s">
        <v>135</v>
      </c>
      <c r="DB292" t="s">
        <v>135</v>
      </c>
      <c r="DC292" t="s">
        <v>135</v>
      </c>
      <c r="DD292" t="s">
        <v>135</v>
      </c>
      <c r="DE292" t="s">
        <v>135</v>
      </c>
      <c r="DF292" t="s">
        <v>135</v>
      </c>
      <c r="DG292" t="s">
        <v>135</v>
      </c>
      <c r="DH292" t="s">
        <v>135</v>
      </c>
      <c r="DI292" t="s">
        <v>135</v>
      </c>
    </row>
    <row r="293" spans="1:113" x14ac:dyDescent="0.3">
      <c r="D293" t="s">
        <v>84</v>
      </c>
      <c r="E293" t="s">
        <v>77</v>
      </c>
      <c r="F293">
        <v>32.9876</v>
      </c>
      <c r="G293">
        <v>27.0395</v>
      </c>
      <c r="H293">
        <v>32.844999999999999</v>
      </c>
      <c r="I293">
        <v>28.7989</v>
      </c>
      <c r="J293">
        <v>27.3901</v>
      </c>
      <c r="K293">
        <v>25.7057</v>
      </c>
      <c r="L293">
        <v>16.47</v>
      </c>
      <c r="M293">
        <v>29.256699999999999</v>
      </c>
      <c r="N293">
        <v>22.3429</v>
      </c>
      <c r="O293">
        <v>22.2852</v>
      </c>
      <c r="P293">
        <v>22.2852</v>
      </c>
      <c r="Q293">
        <v>23.631699999999999</v>
      </c>
      <c r="R293">
        <v>35.227699999999999</v>
      </c>
      <c r="S293">
        <v>21.366800000000001</v>
      </c>
      <c r="T293">
        <v>8.5783000000000005</v>
      </c>
      <c r="U293">
        <v>5.3265000000000002</v>
      </c>
      <c r="V293">
        <v>5.3319000000000001</v>
      </c>
      <c r="W293">
        <v>8.3188999999999993</v>
      </c>
      <c r="X293">
        <v>8.3048999999999999</v>
      </c>
      <c r="Y293">
        <v>8.0459999999999994</v>
      </c>
      <c r="Z293">
        <v>-5.7698999999999998</v>
      </c>
      <c r="AA293" t="s">
        <v>135</v>
      </c>
      <c r="AB293">
        <v>0.85899999999999999</v>
      </c>
      <c r="AC293">
        <v>18.246600000000001</v>
      </c>
      <c r="AD293">
        <v>-5.8324999999999996</v>
      </c>
      <c r="AE293">
        <v>38.556800000000003</v>
      </c>
      <c r="AF293" t="s">
        <v>135</v>
      </c>
      <c r="AG293">
        <v>34.567900000000002</v>
      </c>
      <c r="AH293">
        <v>17.959199999999999</v>
      </c>
      <c r="AI293">
        <v>24.156099999999999</v>
      </c>
      <c r="AJ293">
        <v>24.134899999999998</v>
      </c>
      <c r="AK293">
        <v>24.261299999999999</v>
      </c>
      <c r="AL293">
        <v>29.049499999999998</v>
      </c>
      <c r="AM293">
        <v>19.261600000000001</v>
      </c>
      <c r="AN293">
        <v>17.485700000000001</v>
      </c>
      <c r="AO293">
        <v>17.5382</v>
      </c>
      <c r="AP293">
        <v>20.406300000000002</v>
      </c>
      <c r="AQ293">
        <v>20.245200000000001</v>
      </c>
      <c r="AR293">
        <v>22.554600000000001</v>
      </c>
      <c r="AS293">
        <v>14.511900000000001</v>
      </c>
      <c r="AT293" t="s">
        <v>135</v>
      </c>
      <c r="AU293">
        <v>13.377700000000001</v>
      </c>
      <c r="AV293">
        <v>20.58</v>
      </c>
      <c r="AW293">
        <v>22.309699999999999</v>
      </c>
      <c r="AX293">
        <v>39.108499999999999</v>
      </c>
      <c r="AY293" t="s">
        <v>135</v>
      </c>
      <c r="AZ293">
        <v>81.135199999999998</v>
      </c>
      <c r="BA293">
        <v>17.957899999999999</v>
      </c>
      <c r="BB293">
        <v>24.091799999999999</v>
      </c>
      <c r="BC293">
        <v>24.0686</v>
      </c>
      <c r="BD293">
        <v>24.371099999999998</v>
      </c>
      <c r="BE293">
        <v>29.607299999999999</v>
      </c>
      <c r="BF293">
        <v>8.5783000000000005</v>
      </c>
      <c r="BG293">
        <v>5.3265000000000002</v>
      </c>
      <c r="BH293">
        <v>5.3319000000000001</v>
      </c>
      <c r="BI293">
        <v>8.3188999999999993</v>
      </c>
      <c r="BJ293">
        <v>8.3048999999999999</v>
      </c>
      <c r="BK293">
        <v>8.0459999999999994</v>
      </c>
      <c r="BL293">
        <v>-5.7698999999999998</v>
      </c>
      <c r="BM293" t="s">
        <v>135</v>
      </c>
      <c r="BN293">
        <v>0.85899999999999999</v>
      </c>
      <c r="BO293">
        <v>18.246600000000001</v>
      </c>
      <c r="BP293">
        <v>-5.8324999999999996</v>
      </c>
      <c r="BQ293">
        <v>38.556800000000003</v>
      </c>
      <c r="BR293" t="s">
        <v>135</v>
      </c>
      <c r="BS293">
        <v>34.567900000000002</v>
      </c>
      <c r="BT293">
        <v>17.959199999999999</v>
      </c>
      <c r="BU293">
        <v>24.156099999999999</v>
      </c>
      <c r="BV293">
        <v>24.134899999999998</v>
      </c>
      <c r="BW293">
        <v>24.261299999999999</v>
      </c>
      <c r="BX293">
        <v>29.049499999999998</v>
      </c>
      <c r="BY293">
        <v>2890</v>
      </c>
      <c r="BZ293">
        <v>2180</v>
      </c>
      <c r="CA293">
        <v>710</v>
      </c>
      <c r="CB293">
        <v>8.8999999999999999E-3</v>
      </c>
      <c r="CC293">
        <v>-1.4043000000000001</v>
      </c>
      <c r="CD293">
        <v>9.4999999999999998E-3</v>
      </c>
      <c r="CE293">
        <v>-1.4963</v>
      </c>
      <c r="CF293">
        <v>1009.7188</v>
      </c>
      <c r="CG293">
        <v>83.827699999999993</v>
      </c>
      <c r="CH293">
        <v>8.0100000000000005E-2</v>
      </c>
      <c r="CI293">
        <v>7.9799999999999996E-2</v>
      </c>
      <c r="CJ293">
        <v>6.7400000000000002E-2</v>
      </c>
      <c r="CK293">
        <v>0.32590000000000002</v>
      </c>
      <c r="CL293">
        <v>0.32479999999999998</v>
      </c>
      <c r="CM293">
        <v>0.27429999999999999</v>
      </c>
      <c r="CN293">
        <v>-51.165399999999998</v>
      </c>
      <c r="CO293">
        <v>-104.77290000000001</v>
      </c>
      <c r="CP293">
        <v>323110</v>
      </c>
      <c r="CQ293">
        <v>303220</v>
      </c>
      <c r="CR293">
        <v>303240</v>
      </c>
      <c r="CS293">
        <v>3.1465999999999998</v>
      </c>
      <c r="CT293">
        <v>5.5488999999999997</v>
      </c>
      <c r="CU293">
        <v>4.7096999999999998</v>
      </c>
      <c r="CV293">
        <v>21.2912</v>
      </c>
      <c r="CW293">
        <v>5.0458999999999996</v>
      </c>
      <c r="CX293">
        <v>72.335700000000003</v>
      </c>
      <c r="CY293" t="s">
        <v>135</v>
      </c>
      <c r="CZ293" t="s">
        <v>135</v>
      </c>
      <c r="DA293" t="s">
        <v>135</v>
      </c>
      <c r="DB293" t="s">
        <v>135</v>
      </c>
      <c r="DC293" t="s">
        <v>135</v>
      </c>
      <c r="DD293" t="s">
        <v>135</v>
      </c>
      <c r="DE293" t="s">
        <v>135</v>
      </c>
      <c r="DF293" t="s">
        <v>135</v>
      </c>
      <c r="DG293" t="s">
        <v>135</v>
      </c>
      <c r="DH293" t="s">
        <v>135</v>
      </c>
      <c r="DI293" t="s">
        <v>135</v>
      </c>
    </row>
    <row r="294" spans="1:113" x14ac:dyDescent="0.3">
      <c r="E294" t="s">
        <v>78</v>
      </c>
      <c r="F294">
        <v>37.939</v>
      </c>
      <c r="G294">
        <v>28.9589</v>
      </c>
      <c r="H294">
        <v>37.552500000000002</v>
      </c>
      <c r="I294">
        <v>34.188699999999997</v>
      </c>
      <c r="J294">
        <v>26.746300000000002</v>
      </c>
      <c r="K294">
        <v>25.070799999999998</v>
      </c>
      <c r="L294">
        <v>16.4696</v>
      </c>
      <c r="M294">
        <v>28.3569</v>
      </c>
      <c r="N294">
        <v>21.5595</v>
      </c>
      <c r="O294">
        <v>21.556000000000001</v>
      </c>
      <c r="P294">
        <v>21.556000000000001</v>
      </c>
      <c r="Q294">
        <v>23.9711</v>
      </c>
      <c r="R294">
        <v>20.275099999999998</v>
      </c>
      <c r="S294">
        <v>30.2469</v>
      </c>
      <c r="T294">
        <v>14.1694</v>
      </c>
      <c r="U294">
        <v>8.8460000000000001</v>
      </c>
      <c r="V294">
        <v>8.8766999999999996</v>
      </c>
      <c r="W294">
        <v>10.649900000000001</v>
      </c>
      <c r="X294">
        <v>9.9827999999999992</v>
      </c>
      <c r="Y294">
        <v>18.181799999999999</v>
      </c>
      <c r="Z294">
        <v>13.2553</v>
      </c>
      <c r="AA294" t="s">
        <v>135</v>
      </c>
      <c r="AB294">
        <v>1.9681</v>
      </c>
      <c r="AC294">
        <v>15.2546</v>
      </c>
      <c r="AD294">
        <v>13.2553</v>
      </c>
      <c r="AE294">
        <v>43.788200000000003</v>
      </c>
      <c r="AF294" t="s">
        <v>135</v>
      </c>
      <c r="AG294">
        <v>-83.747900000000001</v>
      </c>
      <c r="AH294">
        <v>-71.737899999999996</v>
      </c>
      <c r="AI294">
        <v>25.769600000000001</v>
      </c>
      <c r="AJ294">
        <v>25.113900000000001</v>
      </c>
      <c r="AK294">
        <v>26.540099999999999</v>
      </c>
      <c r="AL294">
        <v>83.954899999999995</v>
      </c>
      <c r="AM294">
        <v>22.103300000000001</v>
      </c>
      <c r="AN294" t="s">
        <v>135</v>
      </c>
      <c r="AO294">
        <v>21.055800000000001</v>
      </c>
      <c r="AP294">
        <v>21.555599999999998</v>
      </c>
      <c r="AQ294">
        <v>21.3965</v>
      </c>
      <c r="AR294" t="s">
        <v>135</v>
      </c>
      <c r="AS294">
        <v>22.1632</v>
      </c>
      <c r="AT294" t="s">
        <v>135</v>
      </c>
      <c r="AU294">
        <v>16.972200000000001</v>
      </c>
      <c r="AV294">
        <v>20.893000000000001</v>
      </c>
      <c r="AW294">
        <v>22.1632</v>
      </c>
      <c r="AX294">
        <v>29.407299999999999</v>
      </c>
      <c r="AY294" t="s">
        <v>135</v>
      </c>
      <c r="AZ294">
        <v>96.560400000000001</v>
      </c>
      <c r="BA294">
        <v>81.604699999999994</v>
      </c>
      <c r="BB294">
        <v>21.176600000000001</v>
      </c>
      <c r="BC294">
        <v>21.208600000000001</v>
      </c>
      <c r="BD294">
        <v>21.183</v>
      </c>
      <c r="BE294">
        <v>29.87</v>
      </c>
      <c r="BF294">
        <v>3.0089000000000001</v>
      </c>
      <c r="BG294">
        <v>-0.87260000000000004</v>
      </c>
      <c r="BH294">
        <v>-0.877</v>
      </c>
      <c r="BI294">
        <v>-0.36280000000000001</v>
      </c>
      <c r="BJ294">
        <v>-0.37290000000000001</v>
      </c>
      <c r="BK294">
        <v>-75.925899999999999</v>
      </c>
      <c r="BL294">
        <v>2.7749000000000001</v>
      </c>
      <c r="BM294" t="s">
        <v>135</v>
      </c>
      <c r="BN294">
        <v>1.8984999999999999</v>
      </c>
      <c r="BO294">
        <v>3.0226000000000002</v>
      </c>
      <c r="BP294">
        <v>2.7065999999999999</v>
      </c>
      <c r="BQ294">
        <v>4.6154999999999999</v>
      </c>
      <c r="BR294" t="s">
        <v>135</v>
      </c>
      <c r="BS294">
        <v>-69.753100000000003</v>
      </c>
      <c r="BT294">
        <v>-54.285699999999999</v>
      </c>
      <c r="BU294">
        <v>3.0815000000000001</v>
      </c>
      <c r="BV294">
        <v>2.8853999999999997</v>
      </c>
      <c r="BW294">
        <v>3.1109</v>
      </c>
      <c r="BX294">
        <v>-8.3815000000000008</v>
      </c>
      <c r="BY294">
        <v>1120</v>
      </c>
      <c r="BZ294">
        <v>490</v>
      </c>
      <c r="CA294">
        <v>630</v>
      </c>
      <c r="CB294">
        <v>3.5999999999999999E-3</v>
      </c>
      <c r="CC294">
        <v>-0.8619</v>
      </c>
      <c r="CD294">
        <v>3.8E-3</v>
      </c>
      <c r="CE294">
        <v>-0.91839999999999999</v>
      </c>
      <c r="CF294">
        <v>653.16669999999999</v>
      </c>
      <c r="CG294">
        <v>79.838499999999996</v>
      </c>
      <c r="CH294">
        <v>8.5599999999999996E-2</v>
      </c>
      <c r="CI294">
        <v>8.5400000000000004E-2</v>
      </c>
      <c r="CJ294">
        <v>6.8599999999999994E-2</v>
      </c>
      <c r="CK294">
        <v>0.15210000000000001</v>
      </c>
      <c r="CL294">
        <v>0.15190000000000001</v>
      </c>
      <c r="CM294">
        <v>0.122</v>
      </c>
      <c r="CN294">
        <v>-36.657200000000003</v>
      </c>
      <c r="CO294">
        <v>-57.871299999999998</v>
      </c>
      <c r="CP294">
        <v>78380</v>
      </c>
      <c r="CQ294">
        <v>72180</v>
      </c>
      <c r="CR294">
        <v>73470</v>
      </c>
      <c r="CS294">
        <v>1.6924999999999999</v>
      </c>
      <c r="CT294">
        <v>4.1127000000000002</v>
      </c>
      <c r="CU294">
        <v>3.2376</v>
      </c>
      <c r="CV294">
        <v>20.7408</v>
      </c>
      <c r="CW294">
        <v>4.8204000000000002</v>
      </c>
      <c r="CX294">
        <v>75.926900000000003</v>
      </c>
      <c r="CY294" t="s">
        <v>135</v>
      </c>
      <c r="CZ294" t="s">
        <v>135</v>
      </c>
      <c r="DA294" t="s">
        <v>135</v>
      </c>
      <c r="DB294" t="s">
        <v>135</v>
      </c>
      <c r="DC294" t="s">
        <v>135</v>
      </c>
      <c r="DD294" t="s">
        <v>135</v>
      </c>
      <c r="DE294" t="s">
        <v>135</v>
      </c>
      <c r="DF294" t="s">
        <v>135</v>
      </c>
      <c r="DG294" t="s">
        <v>135</v>
      </c>
      <c r="DH294" t="s">
        <v>135</v>
      </c>
      <c r="DI294" t="s">
        <v>135</v>
      </c>
    </row>
    <row r="295" spans="1:113" x14ac:dyDescent="0.3">
      <c r="E295" t="s">
        <v>79</v>
      </c>
      <c r="F295">
        <v>35.809100000000001</v>
      </c>
      <c r="G295">
        <v>29.135400000000001</v>
      </c>
      <c r="H295">
        <v>35.683</v>
      </c>
      <c r="I295">
        <v>32.122900000000001</v>
      </c>
      <c r="J295">
        <v>27.7011</v>
      </c>
      <c r="K295">
        <v>26.0108</v>
      </c>
      <c r="L295">
        <v>12.4587</v>
      </c>
      <c r="M295">
        <v>29.603200000000001</v>
      </c>
      <c r="N295">
        <v>22.548100000000002</v>
      </c>
      <c r="O295">
        <v>22.490099999999998</v>
      </c>
      <c r="P295">
        <v>22.490099999999998</v>
      </c>
      <c r="Q295">
        <v>23.832000000000001</v>
      </c>
      <c r="R295">
        <v>19.446999999999999</v>
      </c>
      <c r="S295">
        <v>28.845300000000002</v>
      </c>
      <c r="T295">
        <v>7.8004999999999995</v>
      </c>
      <c r="U295">
        <v>3.7075</v>
      </c>
      <c r="V295">
        <v>3.5903999999999998</v>
      </c>
      <c r="W295">
        <v>8.7696000000000005</v>
      </c>
      <c r="X295">
        <v>8.4685000000000006</v>
      </c>
      <c r="Y295">
        <v>18.181799999999999</v>
      </c>
      <c r="Z295">
        <v>11.257099999999999</v>
      </c>
      <c r="AA295" t="s">
        <v>135</v>
      </c>
      <c r="AB295">
        <v>0.505</v>
      </c>
      <c r="AC295">
        <v>21.158300000000001</v>
      </c>
      <c r="AD295">
        <v>11.257099999999999</v>
      </c>
      <c r="AE295">
        <v>38.256599999999999</v>
      </c>
      <c r="AF295" t="s">
        <v>135</v>
      </c>
      <c r="AG295">
        <v>-36.393299999999996</v>
      </c>
      <c r="AH295">
        <v>-35.389299999999999</v>
      </c>
      <c r="AI295">
        <v>24.411999999999999</v>
      </c>
      <c r="AJ295">
        <v>24.270700000000001</v>
      </c>
      <c r="AK295">
        <v>24.386299999999999</v>
      </c>
      <c r="AL295">
        <v>4.9824999999999999</v>
      </c>
      <c r="AM295">
        <v>20.2774</v>
      </c>
      <c r="AN295" t="s">
        <v>135</v>
      </c>
      <c r="AO295">
        <v>19.282800000000002</v>
      </c>
      <c r="AP295">
        <v>21.978300000000001</v>
      </c>
      <c r="AQ295">
        <v>21.821400000000001</v>
      </c>
      <c r="AR295" t="s">
        <v>135</v>
      </c>
      <c r="AS295">
        <v>19.690000000000001</v>
      </c>
      <c r="AT295" t="s">
        <v>135</v>
      </c>
      <c r="AU295">
        <v>15.6957</v>
      </c>
      <c r="AV295">
        <v>21.111799999999999</v>
      </c>
      <c r="AW295">
        <v>19.690000000000001</v>
      </c>
      <c r="AX295">
        <v>30.869299999999999</v>
      </c>
      <c r="AY295" t="s">
        <v>135</v>
      </c>
      <c r="AZ295">
        <v>-44.151699999999998</v>
      </c>
      <c r="BA295">
        <v>-32.3491</v>
      </c>
      <c r="BB295">
        <v>23.101500000000001</v>
      </c>
      <c r="BC295">
        <v>22.536200000000001</v>
      </c>
      <c r="BD295">
        <v>23.232700000000001</v>
      </c>
      <c r="BE295">
        <v>31.223299999999998</v>
      </c>
      <c r="BF295">
        <v>-7.17E-2</v>
      </c>
      <c r="BG295">
        <v>3.4958</v>
      </c>
      <c r="BH295">
        <v>3.6749999999999998</v>
      </c>
      <c r="BI295">
        <v>4.2584</v>
      </c>
      <c r="BJ295">
        <v>4.2732000000000001</v>
      </c>
      <c r="BK295">
        <v>0</v>
      </c>
      <c r="BL295">
        <v>1.2934000000000001</v>
      </c>
      <c r="BM295" t="s">
        <v>135</v>
      </c>
      <c r="BN295">
        <v>-0.83460000000000001</v>
      </c>
      <c r="BO295">
        <v>3.8719000000000001</v>
      </c>
      <c r="BP295">
        <v>1.2934000000000001</v>
      </c>
      <c r="BQ295">
        <v>12.170199999999999</v>
      </c>
      <c r="BR295" t="s">
        <v>135</v>
      </c>
      <c r="BS295">
        <v>-24.489799999999999</v>
      </c>
      <c r="BT295">
        <v>-13.392900000000001</v>
      </c>
      <c r="BU295">
        <v>7.0923999999999996</v>
      </c>
      <c r="BV295">
        <v>7.0613000000000001</v>
      </c>
      <c r="BW295">
        <v>7.1121999999999996</v>
      </c>
      <c r="BX295">
        <v>-2.7256999999999998</v>
      </c>
      <c r="BY295">
        <v>970</v>
      </c>
      <c r="BZ295">
        <v>370</v>
      </c>
      <c r="CA295">
        <v>600</v>
      </c>
      <c r="CB295">
        <v>3.0999999999999999E-3</v>
      </c>
      <c r="CC295">
        <v>-1.0179</v>
      </c>
      <c r="CD295">
        <v>3.3E-3</v>
      </c>
      <c r="CE295">
        <v>-1.085</v>
      </c>
      <c r="CF295">
        <v>1622.4</v>
      </c>
      <c r="CG295">
        <v>82.329099999999997</v>
      </c>
      <c r="CH295">
        <v>7.6100000000000001E-2</v>
      </c>
      <c r="CI295">
        <v>7.5999999999999998E-2</v>
      </c>
      <c r="CJ295">
        <v>6.2899999999999998E-2</v>
      </c>
      <c r="CK295">
        <v>0.123</v>
      </c>
      <c r="CL295">
        <v>0.1229</v>
      </c>
      <c r="CM295">
        <v>0.1017</v>
      </c>
      <c r="CN295">
        <v>-40.8003</v>
      </c>
      <c r="CO295">
        <v>-68.919600000000003</v>
      </c>
      <c r="CP295">
        <v>81120</v>
      </c>
      <c r="CQ295">
        <v>76770</v>
      </c>
      <c r="CR295">
        <v>76170</v>
      </c>
      <c r="CS295">
        <v>2.2612000000000001</v>
      </c>
      <c r="CT295">
        <v>4.9179000000000004</v>
      </c>
      <c r="CU295">
        <v>4.0174000000000003</v>
      </c>
      <c r="CV295">
        <v>21.5716</v>
      </c>
      <c r="CW295">
        <v>4.8082000000000003</v>
      </c>
      <c r="CX295">
        <v>76.120099999999994</v>
      </c>
      <c r="CY295" t="s">
        <v>135</v>
      </c>
      <c r="CZ295" t="s">
        <v>135</v>
      </c>
      <c r="DA295" t="s">
        <v>135</v>
      </c>
      <c r="DB295" t="s">
        <v>135</v>
      </c>
      <c r="DC295" t="s">
        <v>135</v>
      </c>
      <c r="DD295" t="s">
        <v>135</v>
      </c>
      <c r="DE295" t="s">
        <v>135</v>
      </c>
      <c r="DF295" t="s">
        <v>135</v>
      </c>
      <c r="DG295" t="s">
        <v>135</v>
      </c>
      <c r="DH295" t="s">
        <v>135</v>
      </c>
      <c r="DI295" t="s">
        <v>135</v>
      </c>
    </row>
    <row r="296" spans="1:113" x14ac:dyDescent="0.3">
      <c r="E296" t="s">
        <v>80</v>
      </c>
      <c r="F296">
        <v>34.289000000000001</v>
      </c>
      <c r="G296">
        <v>28.166699999999999</v>
      </c>
      <c r="H296">
        <v>34.162799999999997</v>
      </c>
      <c r="I296">
        <v>30.418800000000001</v>
      </c>
      <c r="J296">
        <v>27.671099999999999</v>
      </c>
      <c r="K296">
        <v>26.006399999999999</v>
      </c>
      <c r="L296">
        <v>19.2746</v>
      </c>
      <c r="M296">
        <v>29.991599999999998</v>
      </c>
      <c r="N296">
        <v>22.915800000000001</v>
      </c>
      <c r="O296">
        <v>22.794699999999999</v>
      </c>
      <c r="P296">
        <v>22.794699999999999</v>
      </c>
      <c r="Q296">
        <v>23.592700000000001</v>
      </c>
      <c r="R296">
        <v>18.896100000000001</v>
      </c>
      <c r="S296">
        <v>27.809699999999999</v>
      </c>
      <c r="T296">
        <v>8.6646999999999998</v>
      </c>
      <c r="U296">
        <v>6.2088999999999999</v>
      </c>
      <c r="V296">
        <v>6.2808999999999999</v>
      </c>
      <c r="W296">
        <v>10.9329</v>
      </c>
      <c r="X296">
        <v>10.932</v>
      </c>
      <c r="Y296">
        <v>18.181799999999999</v>
      </c>
      <c r="Z296">
        <v>5.8895</v>
      </c>
      <c r="AA296" t="s">
        <v>135</v>
      </c>
      <c r="AB296">
        <v>0.1341</v>
      </c>
      <c r="AC296">
        <v>19.5258</v>
      </c>
      <c r="AD296">
        <v>50.377200000000002</v>
      </c>
      <c r="AE296">
        <v>36.960799999999999</v>
      </c>
      <c r="AF296" t="s">
        <v>135</v>
      </c>
      <c r="AG296">
        <v>116.19240000000001</v>
      </c>
      <c r="AH296">
        <v>43.194099999999999</v>
      </c>
      <c r="AI296">
        <v>23.4407</v>
      </c>
      <c r="AJ296">
        <v>23.4922</v>
      </c>
      <c r="AK296">
        <v>23.4359</v>
      </c>
      <c r="AL296">
        <v>35.3461</v>
      </c>
      <c r="AM296">
        <v>17.628499999999999</v>
      </c>
      <c r="AN296" t="s">
        <v>135</v>
      </c>
      <c r="AO296">
        <v>14.897500000000001</v>
      </c>
      <c r="AP296">
        <v>18.616199999999999</v>
      </c>
      <c r="AQ296">
        <v>18.454999999999998</v>
      </c>
      <c r="AR296" t="s">
        <v>135</v>
      </c>
      <c r="AS296">
        <v>16.002800000000001</v>
      </c>
      <c r="AT296" t="s">
        <v>135</v>
      </c>
      <c r="AU296">
        <v>14.0328</v>
      </c>
      <c r="AV296">
        <v>20.9636</v>
      </c>
      <c r="AW296">
        <v>16.002800000000001</v>
      </c>
      <c r="AX296">
        <v>32.4298</v>
      </c>
      <c r="AY296" t="s">
        <v>135</v>
      </c>
      <c r="AZ296">
        <v>52.632899999999999</v>
      </c>
      <c r="BA296">
        <v>57.369799999999998</v>
      </c>
      <c r="BB296">
        <v>22.823499999999999</v>
      </c>
      <c r="BC296">
        <v>22.876300000000001</v>
      </c>
      <c r="BD296">
        <v>22.9574</v>
      </c>
      <c r="BE296">
        <v>30.154399999999999</v>
      </c>
      <c r="BF296">
        <v>1.5401</v>
      </c>
      <c r="BG296">
        <v>1.43</v>
      </c>
      <c r="BH296">
        <v>1.5228999999999999</v>
      </c>
      <c r="BI296">
        <v>2.9153000000000002</v>
      </c>
      <c r="BJ296">
        <v>2.9016000000000002</v>
      </c>
      <c r="BK296">
        <v>0</v>
      </c>
      <c r="BL296">
        <v>-3.3877000000000002</v>
      </c>
      <c r="BM296" t="s">
        <v>135</v>
      </c>
      <c r="BN296">
        <v>-0.56110000000000004</v>
      </c>
      <c r="BO296">
        <v>5.5126999999999997</v>
      </c>
      <c r="BP296">
        <v>-3.3877000000000002</v>
      </c>
      <c r="BQ296">
        <v>10.202299999999999</v>
      </c>
      <c r="BR296" t="s">
        <v>135</v>
      </c>
      <c r="BS296">
        <v>429.72969999999998</v>
      </c>
      <c r="BT296">
        <v>162.88659999999999</v>
      </c>
      <c r="BU296">
        <v>6.7850000000000001</v>
      </c>
      <c r="BV296">
        <v>6.9767999999999999</v>
      </c>
      <c r="BW296">
        <v>6.8182999999999998</v>
      </c>
      <c r="BX296">
        <v>35.254100000000001</v>
      </c>
      <c r="BY296">
        <v>2550</v>
      </c>
      <c r="BZ296">
        <v>1960</v>
      </c>
      <c r="CA296">
        <v>590</v>
      </c>
      <c r="CB296">
        <v>7.9000000000000008E-3</v>
      </c>
      <c r="CC296">
        <v>-1.2022999999999999</v>
      </c>
      <c r="CD296">
        <v>8.5000000000000006E-3</v>
      </c>
      <c r="CE296">
        <v>-1.2812000000000001</v>
      </c>
      <c r="CF296">
        <v>1175.4286</v>
      </c>
      <c r="CG296">
        <v>83.347700000000003</v>
      </c>
      <c r="CH296">
        <v>7.0099999999999996E-2</v>
      </c>
      <c r="CI296">
        <v>6.9900000000000004E-2</v>
      </c>
      <c r="CJ296">
        <v>5.8599999999999999E-2</v>
      </c>
      <c r="CK296">
        <v>0.3029</v>
      </c>
      <c r="CL296">
        <v>0.3019</v>
      </c>
      <c r="CM296">
        <v>0.2535</v>
      </c>
      <c r="CN296">
        <v>-45.814700000000002</v>
      </c>
      <c r="CO296">
        <v>-84.552000000000007</v>
      </c>
      <c r="CP296">
        <v>82280</v>
      </c>
      <c r="CQ296">
        <v>78170</v>
      </c>
      <c r="CR296">
        <v>77330</v>
      </c>
      <c r="CS296">
        <v>2.7231000000000001</v>
      </c>
      <c r="CT296">
        <v>5.3207000000000004</v>
      </c>
      <c r="CU296">
        <v>4.4210000000000003</v>
      </c>
      <c r="CV296">
        <v>21.159700000000001</v>
      </c>
      <c r="CW296">
        <v>4.9608999999999996</v>
      </c>
      <c r="CX296">
        <v>73.776899999999998</v>
      </c>
      <c r="CY296" t="s">
        <v>135</v>
      </c>
      <c r="CZ296" t="s">
        <v>135</v>
      </c>
      <c r="DA296" t="s">
        <v>135</v>
      </c>
      <c r="DB296" t="s">
        <v>135</v>
      </c>
      <c r="DC296" t="s">
        <v>135</v>
      </c>
      <c r="DD296" t="s">
        <v>135</v>
      </c>
      <c r="DE296" t="s">
        <v>135</v>
      </c>
      <c r="DF296" t="s">
        <v>135</v>
      </c>
      <c r="DG296" t="s">
        <v>135</v>
      </c>
      <c r="DH296" t="s">
        <v>135</v>
      </c>
      <c r="DI296" t="s">
        <v>135</v>
      </c>
    </row>
    <row r="297" spans="1:113" x14ac:dyDescent="0.3">
      <c r="E297" t="s">
        <v>81</v>
      </c>
      <c r="F297">
        <v>32.9876</v>
      </c>
      <c r="G297">
        <v>27.0395</v>
      </c>
      <c r="H297">
        <v>32.844999999999999</v>
      </c>
      <c r="I297">
        <v>28.798999999999999</v>
      </c>
      <c r="J297">
        <v>27.4374</v>
      </c>
      <c r="K297">
        <v>25.730399999999999</v>
      </c>
      <c r="L297">
        <v>18.021799999999999</v>
      </c>
      <c r="M297">
        <v>29.0669</v>
      </c>
      <c r="N297">
        <v>22.3399</v>
      </c>
      <c r="O297">
        <v>22.2927</v>
      </c>
      <c r="P297">
        <v>22.2927</v>
      </c>
      <c r="Q297">
        <v>23.143000000000001</v>
      </c>
      <c r="R297">
        <v>82.001800000000003</v>
      </c>
      <c r="S297">
        <v>5.9371999999999998</v>
      </c>
      <c r="T297">
        <v>4.1935000000000002</v>
      </c>
      <c r="U297">
        <v>2.8582000000000001</v>
      </c>
      <c r="V297">
        <v>2.9007000000000001</v>
      </c>
      <c r="W297">
        <v>4.2271000000000001</v>
      </c>
      <c r="X297">
        <v>4.2134</v>
      </c>
      <c r="Y297">
        <v>1.8519000000000001</v>
      </c>
      <c r="Z297">
        <v>-5.7698999999999998</v>
      </c>
      <c r="AA297" t="s">
        <v>135</v>
      </c>
      <c r="AB297">
        <v>0.85899999999999999</v>
      </c>
      <c r="AC297">
        <v>18.246600000000001</v>
      </c>
      <c r="AD297">
        <v>-5.8324999999999996</v>
      </c>
      <c r="AE297">
        <v>38.556800000000003</v>
      </c>
      <c r="AF297" t="s">
        <v>135</v>
      </c>
      <c r="AG297">
        <v>34.567900000000002</v>
      </c>
      <c r="AH297">
        <v>17.959199999999999</v>
      </c>
      <c r="AI297">
        <v>24.156099999999999</v>
      </c>
      <c r="AJ297">
        <v>24.134899999999998</v>
      </c>
      <c r="AK297">
        <v>24.261299999999999</v>
      </c>
      <c r="AL297">
        <v>16.357099999999999</v>
      </c>
      <c r="AM297">
        <v>17.456499999999998</v>
      </c>
      <c r="AN297">
        <v>15.6891</v>
      </c>
      <c r="AO297">
        <v>15.6843</v>
      </c>
      <c r="AP297">
        <v>17.9466</v>
      </c>
      <c r="AQ297">
        <v>17.7881</v>
      </c>
      <c r="AR297" t="s">
        <v>135</v>
      </c>
      <c r="AS297">
        <v>14.511900000000001</v>
      </c>
      <c r="AT297" t="s">
        <v>135</v>
      </c>
      <c r="AU297">
        <v>13.377700000000001</v>
      </c>
      <c r="AV297">
        <v>20.58</v>
      </c>
      <c r="AW297">
        <v>22.309699999999999</v>
      </c>
      <c r="AX297">
        <v>39.108499999999999</v>
      </c>
      <c r="AY297" t="s">
        <v>135</v>
      </c>
      <c r="AZ297">
        <v>81.135199999999998</v>
      </c>
      <c r="BA297">
        <v>17.957899999999999</v>
      </c>
      <c r="BB297">
        <v>24.091799999999999</v>
      </c>
      <c r="BC297">
        <v>24.0686</v>
      </c>
      <c r="BD297">
        <v>24.371099999999998</v>
      </c>
      <c r="BE297">
        <v>26.099900000000002</v>
      </c>
      <c r="BF297">
        <v>-0.31280000000000002</v>
      </c>
      <c r="BG297">
        <v>-1.1666000000000001</v>
      </c>
      <c r="BH297">
        <v>-1.3707</v>
      </c>
      <c r="BI297">
        <v>-2.5080999999999998</v>
      </c>
      <c r="BJ297">
        <v>-2.512</v>
      </c>
      <c r="BK297">
        <v>323.07690000000002</v>
      </c>
      <c r="BL297">
        <v>-6.3109000000000002</v>
      </c>
      <c r="BM297" t="s">
        <v>135</v>
      </c>
      <c r="BN297">
        <v>0.37619999999999998</v>
      </c>
      <c r="BO297">
        <v>4.7256999999999998</v>
      </c>
      <c r="BP297">
        <v>-6.3109000000000002</v>
      </c>
      <c r="BQ297">
        <v>7.1429999999999998</v>
      </c>
      <c r="BR297" t="s">
        <v>135</v>
      </c>
      <c r="BS297">
        <v>11.224500000000001</v>
      </c>
      <c r="BT297">
        <v>13.333299999999999</v>
      </c>
      <c r="BU297">
        <v>5.3219000000000003</v>
      </c>
      <c r="BV297">
        <v>5.3460000000000001</v>
      </c>
      <c r="BW297">
        <v>5.3288000000000002</v>
      </c>
      <c r="BX297">
        <v>-8.2010000000000005</v>
      </c>
      <c r="BY297">
        <v>2890</v>
      </c>
      <c r="BZ297">
        <v>2180</v>
      </c>
      <c r="CA297">
        <v>710</v>
      </c>
      <c r="CB297">
        <v>8.8999999999999999E-3</v>
      </c>
      <c r="CC297">
        <v>-1.4041999999999999</v>
      </c>
      <c r="CD297">
        <v>9.4999999999999998E-3</v>
      </c>
      <c r="CE297">
        <v>-1.4963</v>
      </c>
      <c r="CF297">
        <v>1016.625</v>
      </c>
      <c r="CG297">
        <v>83.827699999999993</v>
      </c>
      <c r="CH297">
        <v>8.0100000000000005E-2</v>
      </c>
      <c r="CI297">
        <v>7.9799999999999996E-2</v>
      </c>
      <c r="CJ297">
        <v>6.7400000000000002E-2</v>
      </c>
      <c r="CK297">
        <v>0.32590000000000002</v>
      </c>
      <c r="CL297">
        <v>0.32479999999999998</v>
      </c>
      <c r="CM297">
        <v>0.27429999999999999</v>
      </c>
      <c r="CN297">
        <v>-51.165399999999998</v>
      </c>
      <c r="CO297">
        <v>-104.77290000000001</v>
      </c>
      <c r="CP297">
        <v>81330</v>
      </c>
      <c r="CQ297">
        <v>76100</v>
      </c>
      <c r="CR297">
        <v>76270</v>
      </c>
      <c r="CS297">
        <v>3.1465999999999998</v>
      </c>
      <c r="CT297">
        <v>5.5488999999999997</v>
      </c>
      <c r="CU297">
        <v>4.7096999999999998</v>
      </c>
      <c r="CV297">
        <v>21.2912</v>
      </c>
      <c r="CW297">
        <v>5.0458999999999996</v>
      </c>
      <c r="CX297">
        <v>72.335700000000003</v>
      </c>
      <c r="CY297" t="s">
        <v>135</v>
      </c>
      <c r="CZ297" t="s">
        <v>135</v>
      </c>
      <c r="DA297" t="s">
        <v>135</v>
      </c>
      <c r="DB297" t="s">
        <v>135</v>
      </c>
      <c r="DC297" t="s">
        <v>135</v>
      </c>
      <c r="DD297" t="s">
        <v>135</v>
      </c>
      <c r="DE297" t="s">
        <v>135</v>
      </c>
      <c r="DF297" t="s">
        <v>135</v>
      </c>
      <c r="DG297" t="s">
        <v>135</v>
      </c>
      <c r="DH297" t="s">
        <v>135</v>
      </c>
      <c r="DI297" t="s">
        <v>135</v>
      </c>
    </row>
    <row r="298" spans="1:113" x14ac:dyDescent="0.3">
      <c r="D298" t="s">
        <v>85</v>
      </c>
      <c r="E298" t="s">
        <v>77</v>
      </c>
      <c r="F298">
        <v>29.422000000000001</v>
      </c>
      <c r="G298">
        <v>24.1633</v>
      </c>
      <c r="H298">
        <v>29.310700000000001</v>
      </c>
      <c r="I298">
        <v>26.379100000000001</v>
      </c>
      <c r="J298">
        <v>26.413399999999999</v>
      </c>
      <c r="K298">
        <v>24.7774</v>
      </c>
      <c r="L298">
        <v>3.4643999999999999</v>
      </c>
      <c r="M298">
        <v>27.6937</v>
      </c>
      <c r="N298">
        <v>21.0229</v>
      </c>
      <c r="O298">
        <v>20.978999999999999</v>
      </c>
      <c r="P298">
        <v>20.978999999999999</v>
      </c>
      <c r="Q298">
        <v>24.087800000000001</v>
      </c>
      <c r="R298">
        <v>37.061199999999999</v>
      </c>
      <c r="S298">
        <v>18.517800000000001</v>
      </c>
      <c r="T298">
        <v>4.3555000000000001</v>
      </c>
      <c r="U298">
        <v>0.63449999999999995</v>
      </c>
      <c r="V298">
        <v>0.58699999999999997</v>
      </c>
      <c r="W298">
        <v>-1.7612000000000001</v>
      </c>
      <c r="X298">
        <v>0.5847</v>
      </c>
      <c r="Y298">
        <v>6.383</v>
      </c>
      <c r="Z298">
        <v>10.2843</v>
      </c>
      <c r="AA298" t="s">
        <v>135</v>
      </c>
      <c r="AB298">
        <v>-1.2009000000000001</v>
      </c>
      <c r="AC298">
        <v>2.9007000000000001</v>
      </c>
      <c r="AD298">
        <v>12.065300000000001</v>
      </c>
      <c r="AE298">
        <v>-3.6593999999999998</v>
      </c>
      <c r="AF298">
        <v>3.8532000000000002</v>
      </c>
      <c r="AG298">
        <v>-11.4679</v>
      </c>
      <c r="AH298">
        <v>-14.5329</v>
      </c>
      <c r="AI298">
        <v>-1.1705000000000001</v>
      </c>
      <c r="AJ298">
        <v>-1.2139</v>
      </c>
      <c r="AK298">
        <v>1.6808999999999998</v>
      </c>
      <c r="AL298">
        <v>2.0247999999999999</v>
      </c>
      <c r="AM298">
        <v>14.3407</v>
      </c>
      <c r="AN298">
        <v>12.5052</v>
      </c>
      <c r="AO298">
        <v>12.455500000000001</v>
      </c>
      <c r="AP298">
        <v>13.1981</v>
      </c>
      <c r="AQ298">
        <v>13.5807</v>
      </c>
      <c r="AR298">
        <v>17.8445</v>
      </c>
      <c r="AS298">
        <v>12.0916</v>
      </c>
      <c r="AT298" t="s">
        <v>135</v>
      </c>
      <c r="AU298">
        <v>8.0211000000000006</v>
      </c>
      <c r="AV298">
        <v>15.7531</v>
      </c>
      <c r="AW298">
        <v>15.05</v>
      </c>
      <c r="AX298">
        <v>26.290399999999998</v>
      </c>
      <c r="AY298" t="s">
        <v>135</v>
      </c>
      <c r="AZ298">
        <v>13.7622</v>
      </c>
      <c r="BA298">
        <v>1.2373000000000001</v>
      </c>
      <c r="BB298">
        <v>17.374600000000001</v>
      </c>
      <c r="BC298">
        <v>17.302499999999998</v>
      </c>
      <c r="BD298">
        <v>18.270199999999999</v>
      </c>
      <c r="BE298">
        <v>17.8841</v>
      </c>
      <c r="BF298">
        <v>4.3555000000000001</v>
      </c>
      <c r="BG298">
        <v>0.63449999999999995</v>
      </c>
      <c r="BH298">
        <v>0.58699999999999997</v>
      </c>
      <c r="BI298">
        <v>-1.7612000000000001</v>
      </c>
      <c r="BJ298">
        <v>0.5847</v>
      </c>
      <c r="BK298">
        <v>6.383</v>
      </c>
      <c r="BL298">
        <v>10.2843</v>
      </c>
      <c r="BM298" t="s">
        <v>135</v>
      </c>
      <c r="BN298">
        <v>-1.2009000000000001</v>
      </c>
      <c r="BO298">
        <v>2.9007000000000001</v>
      </c>
      <c r="BP298">
        <v>12.065300000000001</v>
      </c>
      <c r="BQ298">
        <v>-3.6593999999999998</v>
      </c>
      <c r="BR298">
        <v>3.8532000000000002</v>
      </c>
      <c r="BS298">
        <v>-11.4679</v>
      </c>
      <c r="BT298">
        <v>-14.5329</v>
      </c>
      <c r="BU298">
        <v>-1.1705000000000001</v>
      </c>
      <c r="BV298">
        <v>-1.2139</v>
      </c>
      <c r="BW298">
        <v>1.6808999999999998</v>
      </c>
      <c r="BX298">
        <v>2.0247999999999999</v>
      </c>
      <c r="BY298">
        <v>2470</v>
      </c>
      <c r="BZ298">
        <v>1930</v>
      </c>
      <c r="CA298">
        <v>540</v>
      </c>
      <c r="CB298">
        <v>7.6E-3</v>
      </c>
      <c r="CC298">
        <v>-1.3039000000000001</v>
      </c>
      <c r="CD298">
        <v>8.0999999999999996E-3</v>
      </c>
      <c r="CE298">
        <v>-1.3900000000000001</v>
      </c>
      <c r="CF298">
        <v>625.30769999999995</v>
      </c>
      <c r="CG298">
        <v>80.4739</v>
      </c>
      <c r="CH298">
        <v>6.1600000000000002E-2</v>
      </c>
      <c r="CI298">
        <v>6.1400000000000003E-2</v>
      </c>
      <c r="CJ298">
        <v>4.9799999999999997E-2</v>
      </c>
      <c r="CK298">
        <v>0.28179999999999999</v>
      </c>
      <c r="CL298">
        <v>0.28100000000000003</v>
      </c>
      <c r="CM298">
        <v>0.2278</v>
      </c>
      <c r="CN298">
        <v>-48.376899999999999</v>
      </c>
      <c r="CO298">
        <v>-93.7119</v>
      </c>
      <c r="CP298">
        <v>325160</v>
      </c>
      <c r="CQ298">
        <v>306540</v>
      </c>
      <c r="CR298">
        <v>305020</v>
      </c>
      <c r="CS298">
        <v>2.3921000000000001</v>
      </c>
      <c r="CT298">
        <v>4.556</v>
      </c>
      <c r="CU298">
        <v>3.7911999999999999</v>
      </c>
      <c r="CV298">
        <v>19.7562</v>
      </c>
      <c r="CW298">
        <v>5.1768000000000001</v>
      </c>
      <c r="CX298">
        <v>70.507099999999994</v>
      </c>
      <c r="CY298" t="s">
        <v>135</v>
      </c>
      <c r="CZ298" t="s">
        <v>135</v>
      </c>
      <c r="DA298" t="s">
        <v>135</v>
      </c>
      <c r="DB298" t="s">
        <v>135</v>
      </c>
      <c r="DC298" t="s">
        <v>135</v>
      </c>
      <c r="DD298" t="s">
        <v>135</v>
      </c>
      <c r="DE298" t="s">
        <v>135</v>
      </c>
      <c r="DF298" t="s">
        <v>135</v>
      </c>
      <c r="DG298" t="s">
        <v>135</v>
      </c>
      <c r="DH298" t="s">
        <v>135</v>
      </c>
      <c r="DI298" t="s">
        <v>135</v>
      </c>
    </row>
    <row r="299" spans="1:113" x14ac:dyDescent="0.3">
      <c r="E299" t="s">
        <v>78</v>
      </c>
      <c r="F299">
        <v>35.5976</v>
      </c>
      <c r="G299">
        <v>28.523499999999999</v>
      </c>
      <c r="H299">
        <v>35.530099999999997</v>
      </c>
      <c r="I299">
        <v>31.286100000000001</v>
      </c>
      <c r="J299">
        <v>25.057500000000001</v>
      </c>
      <c r="K299">
        <v>23.370699999999999</v>
      </c>
      <c r="L299" t="s">
        <v>135</v>
      </c>
      <c r="M299">
        <v>26.521100000000001</v>
      </c>
      <c r="N299">
        <v>20.112200000000001</v>
      </c>
      <c r="O299">
        <v>20.095300000000002</v>
      </c>
      <c r="P299">
        <v>20.095300000000002</v>
      </c>
      <c r="Q299">
        <v>24.165199999999999</v>
      </c>
      <c r="R299">
        <v>22.54</v>
      </c>
      <c r="S299">
        <v>27.573899999999998</v>
      </c>
      <c r="T299">
        <v>0.95209999999999995</v>
      </c>
      <c r="U299">
        <v>-5.4222999999999999</v>
      </c>
      <c r="V299">
        <v>-5.8936000000000002</v>
      </c>
      <c r="W299">
        <v>-5.8888999999999996</v>
      </c>
      <c r="X299">
        <v>-5.1778000000000004</v>
      </c>
      <c r="Y299">
        <v>7.6923000000000004</v>
      </c>
      <c r="Z299">
        <v>-8.2697000000000003</v>
      </c>
      <c r="AA299" t="s">
        <v>135</v>
      </c>
      <c r="AB299">
        <v>1.2561</v>
      </c>
      <c r="AC299">
        <v>-2.0198</v>
      </c>
      <c r="AD299">
        <v>-8.2697000000000003</v>
      </c>
      <c r="AE299">
        <v>-0.18659999999999999</v>
      </c>
      <c r="AF299" t="s">
        <v>135</v>
      </c>
      <c r="AG299">
        <v>-57.142899999999997</v>
      </c>
      <c r="AH299">
        <v>-25.892900000000001</v>
      </c>
      <c r="AI299">
        <v>-1.2984</v>
      </c>
      <c r="AJ299">
        <v>-1.3357999999999999</v>
      </c>
      <c r="AK299">
        <v>1.5912999999999999</v>
      </c>
      <c r="AL299">
        <v>5.1106999999999996</v>
      </c>
      <c r="AM299">
        <v>14.751099999999999</v>
      </c>
      <c r="AN299">
        <v>11.3386</v>
      </c>
      <c r="AO299">
        <v>11.072900000000001</v>
      </c>
      <c r="AP299">
        <v>12.6266</v>
      </c>
      <c r="AQ299">
        <v>12.6471</v>
      </c>
      <c r="AR299" t="s">
        <v>135</v>
      </c>
      <c r="AS299">
        <v>11.9788</v>
      </c>
      <c r="AT299" t="s">
        <v>135</v>
      </c>
      <c r="AU299">
        <v>11.960599999999999</v>
      </c>
      <c r="AV299">
        <v>14.241</v>
      </c>
      <c r="AW299">
        <v>11.9788</v>
      </c>
      <c r="AX299">
        <v>24.5548</v>
      </c>
      <c r="AY299" t="s">
        <v>135</v>
      </c>
      <c r="AZ299">
        <v>-26.069099999999999</v>
      </c>
      <c r="BA299">
        <v>-16.958100000000002</v>
      </c>
      <c r="BB299">
        <v>17.159300000000002</v>
      </c>
      <c r="BC299">
        <v>17.036999999999999</v>
      </c>
      <c r="BD299">
        <v>17.965900000000001</v>
      </c>
      <c r="BE299">
        <v>19.0793</v>
      </c>
      <c r="BF299">
        <v>-0.19570000000000001</v>
      </c>
      <c r="BG299">
        <v>-8.8415999999999997</v>
      </c>
      <c r="BH299">
        <v>-9.3483999999999998</v>
      </c>
      <c r="BI299">
        <v>-10.033300000000001</v>
      </c>
      <c r="BJ299">
        <v>-9.3507999999999996</v>
      </c>
      <c r="BK299">
        <v>-74.545500000000004</v>
      </c>
      <c r="BL299">
        <v>0.34489999999999998</v>
      </c>
      <c r="BM299" t="s">
        <v>135</v>
      </c>
      <c r="BN299">
        <v>2.2995999999999999</v>
      </c>
      <c r="BO299">
        <v>-14.634600000000001</v>
      </c>
      <c r="BP299">
        <v>28.133500000000002</v>
      </c>
      <c r="BQ299">
        <v>-24.396699999999999</v>
      </c>
      <c r="BR299" t="s">
        <v>135</v>
      </c>
      <c r="BS299">
        <v>-90.367000000000004</v>
      </c>
      <c r="BT299">
        <v>-71.280299999999997</v>
      </c>
      <c r="BU299">
        <v>-18.052299999999999</v>
      </c>
      <c r="BV299">
        <v>-18.225200000000001</v>
      </c>
      <c r="BW299">
        <v>-15.7004</v>
      </c>
      <c r="BX299">
        <v>-20.2121</v>
      </c>
      <c r="BY299">
        <v>830</v>
      </c>
      <c r="BZ299">
        <v>210</v>
      </c>
      <c r="CA299">
        <v>620</v>
      </c>
      <c r="CB299">
        <v>2.5999999999999999E-3</v>
      </c>
      <c r="CC299">
        <v>-0.99760000000000004</v>
      </c>
      <c r="CD299">
        <v>2.8E-3</v>
      </c>
      <c r="CE299">
        <v>-1.0642</v>
      </c>
      <c r="CF299">
        <v>274.55560000000003</v>
      </c>
      <c r="CG299">
        <v>80.422499999999999</v>
      </c>
      <c r="CH299">
        <v>8.5300000000000001E-2</v>
      </c>
      <c r="CI299">
        <v>8.5199999999999998E-2</v>
      </c>
      <c r="CJ299">
        <v>6.8900000000000003E-2</v>
      </c>
      <c r="CK299">
        <v>0.1142</v>
      </c>
      <c r="CL299">
        <v>0.11409999999999999</v>
      </c>
      <c r="CM299">
        <v>9.2299999999999993E-2</v>
      </c>
      <c r="CN299">
        <v>-43.770600000000002</v>
      </c>
      <c r="CO299">
        <v>-77.843000000000004</v>
      </c>
      <c r="CP299">
        <v>74130</v>
      </c>
      <c r="CQ299">
        <v>68250</v>
      </c>
      <c r="CR299">
        <v>69140</v>
      </c>
      <c r="CS299">
        <v>2.1074000000000002</v>
      </c>
      <c r="CT299">
        <v>4.2874999999999996</v>
      </c>
      <c r="CU299">
        <v>3.6071</v>
      </c>
      <c r="CV299">
        <v>20.069600000000001</v>
      </c>
      <c r="CW299">
        <v>4.9855</v>
      </c>
      <c r="CX299">
        <v>73.212999999999994</v>
      </c>
      <c r="CY299" t="s">
        <v>135</v>
      </c>
      <c r="CZ299" t="s">
        <v>135</v>
      </c>
      <c r="DA299" t="s">
        <v>135</v>
      </c>
      <c r="DB299" t="s">
        <v>135</v>
      </c>
      <c r="DC299" t="s">
        <v>135</v>
      </c>
      <c r="DD299" t="s">
        <v>135</v>
      </c>
      <c r="DE299" t="s">
        <v>135</v>
      </c>
      <c r="DF299" t="s">
        <v>135</v>
      </c>
      <c r="DG299" t="s">
        <v>135</v>
      </c>
      <c r="DH299" t="s">
        <v>135</v>
      </c>
      <c r="DI299" t="s">
        <v>135</v>
      </c>
    </row>
    <row r="300" spans="1:113" x14ac:dyDescent="0.3">
      <c r="E300" t="s">
        <v>79</v>
      </c>
      <c r="F300">
        <v>33.1203</v>
      </c>
      <c r="G300">
        <v>26.933499999999999</v>
      </c>
      <c r="H300">
        <v>33.068100000000001</v>
      </c>
      <c r="I300">
        <v>29.3902</v>
      </c>
      <c r="J300">
        <v>26.731300000000001</v>
      </c>
      <c r="K300">
        <v>25.081</v>
      </c>
      <c r="L300">
        <v>3.4207999999999998</v>
      </c>
      <c r="M300">
        <v>27.739799999999999</v>
      </c>
      <c r="N300">
        <v>21.151900000000001</v>
      </c>
      <c r="O300">
        <v>21.106100000000001</v>
      </c>
      <c r="P300">
        <v>21.106100000000001</v>
      </c>
      <c r="Q300">
        <v>23.748799999999999</v>
      </c>
      <c r="R300">
        <v>20.7881</v>
      </c>
      <c r="S300">
        <v>26.235199999999999</v>
      </c>
      <c r="T300">
        <v>4.2923999999999998</v>
      </c>
      <c r="U300">
        <v>0.64100000000000001</v>
      </c>
      <c r="V300">
        <v>0.5645</v>
      </c>
      <c r="W300">
        <v>-2.1257000000000001</v>
      </c>
      <c r="X300">
        <v>0.71789999999999998</v>
      </c>
      <c r="Y300">
        <v>7.6923000000000004</v>
      </c>
      <c r="Z300">
        <v>-1.2688999999999999</v>
      </c>
      <c r="AA300" t="s">
        <v>135</v>
      </c>
      <c r="AB300">
        <v>0.51859999999999995</v>
      </c>
      <c r="AC300">
        <v>0.76149999999999995</v>
      </c>
      <c r="AD300">
        <v>-22.900099999999998</v>
      </c>
      <c r="AE300">
        <v>-2.5362999999999998</v>
      </c>
      <c r="AF300" t="s">
        <v>135</v>
      </c>
      <c r="AG300">
        <v>-45.945900000000002</v>
      </c>
      <c r="AH300">
        <v>-18.556699999999999</v>
      </c>
      <c r="AI300">
        <v>-1.6867000000000001</v>
      </c>
      <c r="AJ300">
        <v>-1.7075</v>
      </c>
      <c r="AK300">
        <v>1.1847000000000001</v>
      </c>
      <c r="AL300">
        <v>-1.2579</v>
      </c>
      <c r="AM300">
        <v>14.35</v>
      </c>
      <c r="AN300">
        <v>12.952500000000001</v>
      </c>
      <c r="AO300">
        <v>12.8841</v>
      </c>
      <c r="AP300">
        <v>12.9122</v>
      </c>
      <c r="AQ300">
        <v>13.405900000000001</v>
      </c>
      <c r="AR300" t="s">
        <v>135</v>
      </c>
      <c r="AS300">
        <v>14.444599999999999</v>
      </c>
      <c r="AT300" t="s">
        <v>135</v>
      </c>
      <c r="AU300">
        <v>10.5684</v>
      </c>
      <c r="AV300">
        <v>16.399699999999999</v>
      </c>
      <c r="AW300">
        <v>8.9219000000000008</v>
      </c>
      <c r="AX300">
        <v>23.34</v>
      </c>
      <c r="AY300" t="s">
        <v>135</v>
      </c>
      <c r="AZ300">
        <v>-35.873199999999997</v>
      </c>
      <c r="BA300">
        <v>-23.564699999999998</v>
      </c>
      <c r="BB300">
        <v>16.821899999999999</v>
      </c>
      <c r="BC300">
        <v>16.648099999999999</v>
      </c>
      <c r="BD300">
        <v>17.616800000000001</v>
      </c>
      <c r="BE300">
        <v>15.6723</v>
      </c>
      <c r="BF300">
        <v>3.2349000000000001</v>
      </c>
      <c r="BG300">
        <v>10.1309</v>
      </c>
      <c r="BH300">
        <v>10.7897</v>
      </c>
      <c r="BI300">
        <v>8.4271999999999991</v>
      </c>
      <c r="BJ300">
        <v>10.756600000000001</v>
      </c>
      <c r="BK300">
        <v>0</v>
      </c>
      <c r="BL300">
        <v>9.0239999999999991</v>
      </c>
      <c r="BM300" t="s">
        <v>135</v>
      </c>
      <c r="BN300">
        <v>-1.5569</v>
      </c>
      <c r="BO300">
        <v>6.8205</v>
      </c>
      <c r="BP300">
        <v>-14.862299999999999</v>
      </c>
      <c r="BQ300">
        <v>9.5296000000000003</v>
      </c>
      <c r="BR300" t="s">
        <v>135</v>
      </c>
      <c r="BS300">
        <v>-4.7618999999999998</v>
      </c>
      <c r="BT300">
        <v>-4.8193000000000001</v>
      </c>
      <c r="BU300">
        <v>6.6711</v>
      </c>
      <c r="BV300">
        <v>6.6580000000000004</v>
      </c>
      <c r="BW300">
        <v>6.6833999999999998</v>
      </c>
      <c r="BX300">
        <v>-5.8509000000000002</v>
      </c>
      <c r="BY300">
        <v>790</v>
      </c>
      <c r="BZ300">
        <v>200</v>
      </c>
      <c r="CA300">
        <v>590</v>
      </c>
      <c r="CB300">
        <v>2.5000000000000001E-3</v>
      </c>
      <c r="CC300">
        <v>-1.0476000000000001</v>
      </c>
      <c r="CD300">
        <v>2.5999999999999999E-3</v>
      </c>
      <c r="CE300">
        <v>-1.1177999999999999</v>
      </c>
      <c r="CF300">
        <v>1166.2856999999999</v>
      </c>
      <c r="CG300">
        <v>80.319400000000002</v>
      </c>
      <c r="CH300">
        <v>7.6100000000000001E-2</v>
      </c>
      <c r="CI300">
        <v>7.5999999999999998E-2</v>
      </c>
      <c r="CJ300">
        <v>6.1400000000000003E-2</v>
      </c>
      <c r="CK300">
        <v>0.1019</v>
      </c>
      <c r="CL300">
        <v>0.1018</v>
      </c>
      <c r="CM300">
        <v>8.2199999999999995E-2</v>
      </c>
      <c r="CN300">
        <v>-43.161799999999999</v>
      </c>
      <c r="CO300">
        <v>-75.937899999999999</v>
      </c>
      <c r="CP300">
        <v>81640</v>
      </c>
      <c r="CQ300">
        <v>76750</v>
      </c>
      <c r="CR300">
        <v>76600</v>
      </c>
      <c r="CS300">
        <v>2.0546000000000002</v>
      </c>
      <c r="CT300">
        <v>4.3383000000000003</v>
      </c>
      <c r="CU300">
        <v>3.5705</v>
      </c>
      <c r="CV300">
        <v>19.2944</v>
      </c>
      <c r="CW300">
        <v>4.7988999999999997</v>
      </c>
      <c r="CX300">
        <v>76.059200000000004</v>
      </c>
      <c r="CY300" t="s">
        <v>135</v>
      </c>
      <c r="CZ300" t="s">
        <v>135</v>
      </c>
      <c r="DA300" t="s">
        <v>135</v>
      </c>
      <c r="DB300" t="s">
        <v>135</v>
      </c>
      <c r="DC300" t="s">
        <v>135</v>
      </c>
      <c r="DD300" t="s">
        <v>135</v>
      </c>
      <c r="DE300" t="s">
        <v>135</v>
      </c>
      <c r="DF300" t="s">
        <v>135</v>
      </c>
      <c r="DG300" t="s">
        <v>135</v>
      </c>
      <c r="DH300" t="s">
        <v>135</v>
      </c>
      <c r="DI300" t="s">
        <v>135</v>
      </c>
    </row>
    <row r="301" spans="1:113" x14ac:dyDescent="0.3">
      <c r="E301" t="s">
        <v>80</v>
      </c>
      <c r="F301">
        <v>30.864599999999999</v>
      </c>
      <c r="G301">
        <v>25.4068</v>
      </c>
      <c r="H301">
        <v>30.770399999999999</v>
      </c>
      <c r="I301">
        <v>27.666399999999999</v>
      </c>
      <c r="J301">
        <v>26.815300000000001</v>
      </c>
      <c r="K301">
        <v>25.178000000000001</v>
      </c>
      <c r="L301">
        <v>4.1060999999999996</v>
      </c>
      <c r="M301">
        <v>27.973700000000001</v>
      </c>
      <c r="N301">
        <v>21.1785</v>
      </c>
      <c r="O301">
        <v>21.133199999999999</v>
      </c>
      <c r="P301">
        <v>21.133199999999999</v>
      </c>
      <c r="Q301">
        <v>24.291499999999999</v>
      </c>
      <c r="R301">
        <v>20.517600000000002</v>
      </c>
      <c r="S301">
        <v>24.532</v>
      </c>
      <c r="T301">
        <v>3.9314</v>
      </c>
      <c r="U301">
        <v>0.70479999999999998</v>
      </c>
      <c r="V301">
        <v>0.62070000000000003</v>
      </c>
      <c r="W301">
        <v>-3.6440999999999999</v>
      </c>
      <c r="X301">
        <v>-0.81399999999999995</v>
      </c>
      <c r="Y301">
        <v>7.6923000000000004</v>
      </c>
      <c r="Z301">
        <v>0.13220000000000001</v>
      </c>
      <c r="AA301" t="s">
        <v>135</v>
      </c>
      <c r="AB301">
        <v>-0.2394</v>
      </c>
      <c r="AC301">
        <v>-0.2266</v>
      </c>
      <c r="AD301">
        <v>-21.9024</v>
      </c>
      <c r="AE301">
        <v>-7.0326000000000004</v>
      </c>
      <c r="AF301" t="s">
        <v>135</v>
      </c>
      <c r="AG301">
        <v>-90.306100000000001</v>
      </c>
      <c r="AH301">
        <v>-70.196100000000001</v>
      </c>
      <c r="AI301">
        <v>-2.6710000000000003</v>
      </c>
      <c r="AJ301">
        <v>-2.8749000000000002</v>
      </c>
      <c r="AK301">
        <v>0.15579999999999999</v>
      </c>
      <c r="AL301">
        <v>-4.1005000000000003</v>
      </c>
      <c r="AM301">
        <v>13.9725</v>
      </c>
      <c r="AN301">
        <v>12.231</v>
      </c>
      <c r="AO301">
        <v>12.1744</v>
      </c>
      <c r="AP301">
        <v>12.9552</v>
      </c>
      <c r="AQ301">
        <v>13.4557</v>
      </c>
      <c r="AR301">
        <v>18.4664</v>
      </c>
      <c r="AS301">
        <v>12.807700000000001</v>
      </c>
      <c r="AT301" t="s">
        <v>135</v>
      </c>
      <c r="AU301">
        <v>8.8673999999999999</v>
      </c>
      <c r="AV301">
        <v>15.587999999999999</v>
      </c>
      <c r="AW301">
        <v>7.3375000000000004</v>
      </c>
      <c r="AX301">
        <v>22.867999999999999</v>
      </c>
      <c r="AY301" t="s">
        <v>135</v>
      </c>
      <c r="AZ301">
        <v>-44.865600000000001</v>
      </c>
      <c r="BA301">
        <v>-31.7197</v>
      </c>
      <c r="BB301">
        <v>16.215299999999999</v>
      </c>
      <c r="BC301">
        <v>15.9313</v>
      </c>
      <c r="BD301">
        <v>17.0059</v>
      </c>
      <c r="BE301">
        <v>17.124300000000002</v>
      </c>
      <c r="BF301">
        <v>1.1886000000000001</v>
      </c>
      <c r="BG301">
        <v>1.5066000000000002</v>
      </c>
      <c r="BH301">
        <v>1.5796000000000001</v>
      </c>
      <c r="BI301">
        <v>1.3186</v>
      </c>
      <c r="BJ301">
        <v>1.3365</v>
      </c>
      <c r="BK301">
        <v>0</v>
      </c>
      <c r="BL301">
        <v>-2.0167000000000002</v>
      </c>
      <c r="BM301" t="s">
        <v>135</v>
      </c>
      <c r="BN301">
        <v>-1.3109</v>
      </c>
      <c r="BO301">
        <v>4.4779999999999998</v>
      </c>
      <c r="BP301">
        <v>-2.1375000000000002</v>
      </c>
      <c r="BQ301">
        <v>5.1182999999999996</v>
      </c>
      <c r="BR301">
        <v>-1.5864</v>
      </c>
      <c r="BS301">
        <v>-5</v>
      </c>
      <c r="BT301">
        <v>-3.7974999999999999</v>
      </c>
      <c r="BU301">
        <v>5.7158999999999995</v>
      </c>
      <c r="BV301">
        <v>5.7062999999999997</v>
      </c>
      <c r="BW301">
        <v>5.7321</v>
      </c>
      <c r="BX301">
        <v>34.067799999999998</v>
      </c>
      <c r="BY301">
        <v>760</v>
      </c>
      <c r="BZ301">
        <v>190</v>
      </c>
      <c r="CA301">
        <v>570</v>
      </c>
      <c r="CB301">
        <v>2.3999999999999998E-3</v>
      </c>
      <c r="CC301">
        <v>-1.1456</v>
      </c>
      <c r="CD301">
        <v>2.5000000000000001E-3</v>
      </c>
      <c r="CE301">
        <v>-1.2225999999999999</v>
      </c>
      <c r="CF301">
        <v>1381.1667</v>
      </c>
      <c r="CG301">
        <v>81.2834</v>
      </c>
      <c r="CH301">
        <v>6.9599999999999995E-2</v>
      </c>
      <c r="CI301">
        <v>6.9500000000000006E-2</v>
      </c>
      <c r="CJ301">
        <v>5.6800000000000003E-2</v>
      </c>
      <c r="CK301">
        <v>9.2700000000000005E-2</v>
      </c>
      <c r="CL301">
        <v>9.2700000000000005E-2</v>
      </c>
      <c r="CM301">
        <v>7.5700000000000003E-2</v>
      </c>
      <c r="CN301">
        <v>-44.727899999999998</v>
      </c>
      <c r="CO301">
        <v>-80.923299999999998</v>
      </c>
      <c r="CP301">
        <v>82870</v>
      </c>
      <c r="CQ301">
        <v>79090</v>
      </c>
      <c r="CR301">
        <v>77810</v>
      </c>
      <c r="CS301">
        <v>2.2721</v>
      </c>
      <c r="CT301">
        <v>4.5431999999999997</v>
      </c>
      <c r="CU301">
        <v>3.7717999999999998</v>
      </c>
      <c r="CV301">
        <v>20.9785</v>
      </c>
      <c r="CW301">
        <v>4.9805999999999999</v>
      </c>
      <c r="CX301">
        <v>73.283699999999996</v>
      </c>
      <c r="CY301" t="s">
        <v>135</v>
      </c>
      <c r="CZ301" t="s">
        <v>135</v>
      </c>
      <c r="DA301" t="s">
        <v>135</v>
      </c>
      <c r="DB301" t="s">
        <v>135</v>
      </c>
      <c r="DC301" t="s">
        <v>135</v>
      </c>
      <c r="DD301" t="s">
        <v>135</v>
      </c>
      <c r="DE301" t="s">
        <v>135</v>
      </c>
      <c r="DF301" t="s">
        <v>135</v>
      </c>
      <c r="DG301" t="s">
        <v>135</v>
      </c>
      <c r="DH301" t="s">
        <v>135</v>
      </c>
      <c r="DI301" t="s">
        <v>135</v>
      </c>
    </row>
    <row r="302" spans="1:113" x14ac:dyDescent="0.3">
      <c r="E302" t="s">
        <v>81</v>
      </c>
      <c r="F302">
        <v>29.422000000000001</v>
      </c>
      <c r="G302">
        <v>24.1633</v>
      </c>
      <c r="H302">
        <v>29.310700000000001</v>
      </c>
      <c r="I302">
        <v>26.3794</v>
      </c>
      <c r="J302">
        <v>26.974299999999999</v>
      </c>
      <c r="K302">
        <v>25.399799999999999</v>
      </c>
      <c r="L302">
        <v>21.372800000000002</v>
      </c>
      <c r="M302">
        <v>28.461400000000001</v>
      </c>
      <c r="N302">
        <v>21.59</v>
      </c>
      <c r="O302">
        <v>21.5246</v>
      </c>
      <c r="P302">
        <v>21.5246</v>
      </c>
      <c r="Q302">
        <v>24.142800000000001</v>
      </c>
      <c r="R302">
        <v>80.409000000000006</v>
      </c>
      <c r="S302">
        <v>5.7641</v>
      </c>
      <c r="T302">
        <v>8.2079000000000004</v>
      </c>
      <c r="U302">
        <v>6.3944999999999999</v>
      </c>
      <c r="V302">
        <v>6.8178999999999998</v>
      </c>
      <c r="W302">
        <v>4.4794</v>
      </c>
      <c r="X302">
        <v>7.5499000000000001</v>
      </c>
      <c r="Y302">
        <v>5.4545000000000003</v>
      </c>
      <c r="Z302">
        <v>10.2843</v>
      </c>
      <c r="AA302" t="s">
        <v>135</v>
      </c>
      <c r="AB302">
        <v>-1.2009000000000001</v>
      </c>
      <c r="AC302">
        <v>2.9007000000000001</v>
      </c>
      <c r="AD302">
        <v>12.065300000000001</v>
      </c>
      <c r="AE302">
        <v>-3.6593999999999998</v>
      </c>
      <c r="AF302">
        <v>3.8532000000000002</v>
      </c>
      <c r="AG302">
        <v>-11.4679</v>
      </c>
      <c r="AH302">
        <v>-14.5329</v>
      </c>
      <c r="AI302">
        <v>-1.1705000000000001</v>
      </c>
      <c r="AJ302">
        <v>-1.2139</v>
      </c>
      <c r="AK302">
        <v>1.6808999999999998</v>
      </c>
      <c r="AL302">
        <v>8.6124000000000009</v>
      </c>
      <c r="AM302">
        <v>14.3156</v>
      </c>
      <c r="AN302">
        <v>13.3818</v>
      </c>
      <c r="AO302">
        <v>13.4884</v>
      </c>
      <c r="AP302">
        <v>13.810700000000001</v>
      </c>
      <c r="AQ302">
        <v>14.318</v>
      </c>
      <c r="AR302">
        <v>8.8250999999999991</v>
      </c>
      <c r="AS302">
        <v>12.0916</v>
      </c>
      <c r="AT302" t="s">
        <v>135</v>
      </c>
      <c r="AU302">
        <v>8.0211000000000006</v>
      </c>
      <c r="AV302">
        <v>15.7531</v>
      </c>
      <c r="AW302">
        <v>15.05</v>
      </c>
      <c r="AX302">
        <v>26.290399999999998</v>
      </c>
      <c r="AY302" t="s">
        <v>135</v>
      </c>
      <c r="AZ302">
        <v>13.7622</v>
      </c>
      <c r="BA302">
        <v>1.2373000000000001</v>
      </c>
      <c r="BB302">
        <v>17.374600000000001</v>
      </c>
      <c r="BC302">
        <v>17.302499999999998</v>
      </c>
      <c r="BD302">
        <v>18.270199999999999</v>
      </c>
      <c r="BE302">
        <v>19.794599999999999</v>
      </c>
      <c r="BF302">
        <v>3.7892000000000001</v>
      </c>
      <c r="BG302">
        <v>4.4044999999999996</v>
      </c>
      <c r="BH302">
        <v>4.7038000000000002</v>
      </c>
      <c r="BI302">
        <v>5.7111999999999998</v>
      </c>
      <c r="BJ302">
        <v>5.7085999999999997</v>
      </c>
      <c r="BK302">
        <v>314.28570000000002</v>
      </c>
      <c r="BL302">
        <v>2.8832</v>
      </c>
      <c r="BM302" t="s">
        <v>135</v>
      </c>
      <c r="BN302">
        <v>-0.59130000000000005</v>
      </c>
      <c r="BO302">
        <v>8.0083000000000002</v>
      </c>
      <c r="BP302">
        <v>4.9711999999999996</v>
      </c>
      <c r="BQ302">
        <v>10.6774</v>
      </c>
      <c r="BR302">
        <v>-4.5172999999999996</v>
      </c>
      <c r="BS302">
        <v>915.78949999999998</v>
      </c>
      <c r="BT302">
        <v>225</v>
      </c>
      <c r="BU302">
        <v>6.9455999999999998</v>
      </c>
      <c r="BV302">
        <v>7.1475999999999997</v>
      </c>
      <c r="BW302">
        <v>6.9325999999999999</v>
      </c>
      <c r="BX302">
        <v>7.8453999999999997</v>
      </c>
      <c r="BY302">
        <v>2470</v>
      </c>
      <c r="BZ302">
        <v>1930</v>
      </c>
      <c r="CA302">
        <v>540</v>
      </c>
      <c r="CB302">
        <v>7.6E-3</v>
      </c>
      <c r="CC302">
        <v>-1.3039000000000001</v>
      </c>
      <c r="CD302">
        <v>8.0999999999999996E-3</v>
      </c>
      <c r="CE302">
        <v>-1.3900000000000001</v>
      </c>
      <c r="CF302">
        <v>721</v>
      </c>
      <c r="CG302">
        <v>80.4739</v>
      </c>
      <c r="CH302">
        <v>6.1600000000000002E-2</v>
      </c>
      <c r="CI302">
        <v>6.1400000000000003E-2</v>
      </c>
      <c r="CJ302">
        <v>4.9799999999999997E-2</v>
      </c>
      <c r="CK302">
        <v>0.28179999999999999</v>
      </c>
      <c r="CL302">
        <v>0.28100000000000003</v>
      </c>
      <c r="CM302">
        <v>0.2278</v>
      </c>
      <c r="CN302">
        <v>-48.376899999999999</v>
      </c>
      <c r="CO302">
        <v>-93.7119</v>
      </c>
      <c r="CP302">
        <v>86520</v>
      </c>
      <c r="CQ302">
        <v>82450</v>
      </c>
      <c r="CR302">
        <v>81470</v>
      </c>
      <c r="CS302">
        <v>2.3921000000000001</v>
      </c>
      <c r="CT302">
        <v>4.556</v>
      </c>
      <c r="CU302">
        <v>3.7911999999999999</v>
      </c>
      <c r="CV302">
        <v>19.7562</v>
      </c>
      <c r="CW302">
        <v>5.1768000000000001</v>
      </c>
      <c r="CX302">
        <v>70.507099999999994</v>
      </c>
      <c r="CY302" t="s">
        <v>135</v>
      </c>
      <c r="CZ302" t="s">
        <v>135</v>
      </c>
      <c r="DA302" t="s">
        <v>135</v>
      </c>
      <c r="DB302" t="s">
        <v>135</v>
      </c>
      <c r="DC302" t="s">
        <v>135</v>
      </c>
      <c r="DD302" t="s">
        <v>135</v>
      </c>
      <c r="DE302" t="s">
        <v>135</v>
      </c>
      <c r="DF302" t="s">
        <v>135</v>
      </c>
      <c r="DG302" t="s">
        <v>135</v>
      </c>
      <c r="DH302" t="s">
        <v>135</v>
      </c>
      <c r="DI302" t="s">
        <v>135</v>
      </c>
    </row>
    <row r="303" spans="1:113" x14ac:dyDescent="0.3">
      <c r="A303">
        <v>88</v>
      </c>
      <c r="B303" t="s">
        <v>108</v>
      </c>
      <c r="C303" t="s">
        <v>109</v>
      </c>
      <c r="D303" t="s">
        <v>76</v>
      </c>
      <c r="E303" t="s">
        <v>77</v>
      </c>
      <c r="F303">
        <v>27.1037</v>
      </c>
      <c r="G303">
        <v>7.1680000000000001</v>
      </c>
      <c r="H303">
        <v>15.000999999999999</v>
      </c>
      <c r="I303">
        <v>12.8247</v>
      </c>
      <c r="J303">
        <v>13.504899999999999</v>
      </c>
      <c r="K303">
        <v>8.6469000000000005</v>
      </c>
      <c r="L303">
        <v>11.1669</v>
      </c>
      <c r="M303">
        <v>8.2777999999999992</v>
      </c>
      <c r="N303">
        <v>6.1638999999999999</v>
      </c>
      <c r="O303">
        <v>6.1379000000000001</v>
      </c>
      <c r="P303">
        <v>6.1379000000000001</v>
      </c>
      <c r="Q303">
        <v>25.251999999999999</v>
      </c>
      <c r="R303">
        <v>4.6010999999999997</v>
      </c>
      <c r="S303">
        <v>25.8566</v>
      </c>
      <c r="T303">
        <v>23.3154</v>
      </c>
      <c r="U303">
        <v>36.852200000000003</v>
      </c>
      <c r="V303">
        <v>32.305700000000002</v>
      </c>
      <c r="W303">
        <v>41.429000000000002</v>
      </c>
      <c r="X303">
        <v>41.619300000000003</v>
      </c>
      <c r="Y303">
        <v>0</v>
      </c>
      <c r="Z303">
        <v>-3.5163000000000002</v>
      </c>
      <c r="AA303">
        <v>29.6341</v>
      </c>
      <c r="AB303">
        <v>37.108199999999997</v>
      </c>
      <c r="AC303">
        <v>29.1235</v>
      </c>
      <c r="AD303">
        <v>-67.885800000000003</v>
      </c>
      <c r="AE303" t="s">
        <v>135</v>
      </c>
      <c r="AF303">
        <v>28.7135</v>
      </c>
      <c r="AG303">
        <v>-20.836600000000001</v>
      </c>
      <c r="AH303">
        <v>13.2432</v>
      </c>
      <c r="AI303">
        <v>73.712100000000007</v>
      </c>
      <c r="AJ303">
        <v>37.154699999999998</v>
      </c>
      <c r="AK303">
        <v>72.757499999999993</v>
      </c>
      <c r="AL303">
        <v>67.574700000000007</v>
      </c>
      <c r="AM303">
        <v>26.669</v>
      </c>
      <c r="AN303">
        <v>65.503399999999999</v>
      </c>
      <c r="AO303" t="s">
        <v>135</v>
      </c>
      <c r="AP303" t="s">
        <v>135</v>
      </c>
      <c r="AQ303" t="s">
        <v>135</v>
      </c>
      <c r="AR303">
        <v>10.756600000000001</v>
      </c>
      <c r="AS303">
        <v>17.1371</v>
      </c>
      <c r="AT303">
        <v>20.019600000000001</v>
      </c>
      <c r="AU303">
        <v>10.911799999999999</v>
      </c>
      <c r="AV303">
        <v>24.2179</v>
      </c>
      <c r="AW303" t="s">
        <v>135</v>
      </c>
      <c r="AX303" t="s">
        <v>135</v>
      </c>
      <c r="AY303">
        <v>23.007999999999999</v>
      </c>
      <c r="AZ303">
        <v>7.2908999999999997</v>
      </c>
      <c r="BA303">
        <v>10.908300000000001</v>
      </c>
      <c r="BB303">
        <v>59.761600000000001</v>
      </c>
      <c r="BC303">
        <v>23.677499999999998</v>
      </c>
      <c r="BD303">
        <v>54.550800000000002</v>
      </c>
      <c r="BE303" t="s">
        <v>135</v>
      </c>
      <c r="BF303">
        <v>23.3154</v>
      </c>
      <c r="BG303">
        <v>36.852200000000003</v>
      </c>
      <c r="BH303">
        <v>32.305700000000002</v>
      </c>
      <c r="BI303">
        <v>41.429000000000002</v>
      </c>
      <c r="BJ303">
        <v>41.619300000000003</v>
      </c>
      <c r="BK303">
        <v>0</v>
      </c>
      <c r="BL303">
        <v>-3.5163000000000002</v>
      </c>
      <c r="BM303">
        <v>29.6341</v>
      </c>
      <c r="BN303">
        <v>37.108199999999997</v>
      </c>
      <c r="BO303">
        <v>29.1235</v>
      </c>
      <c r="BP303" t="s">
        <v>135</v>
      </c>
      <c r="BQ303" t="s">
        <v>135</v>
      </c>
      <c r="BR303">
        <v>28.7135</v>
      </c>
      <c r="BS303">
        <v>-20.836600000000001</v>
      </c>
      <c r="BT303">
        <v>13.2432</v>
      </c>
      <c r="BU303">
        <v>73.712100000000007</v>
      </c>
      <c r="BV303">
        <v>37.154699999999998</v>
      </c>
      <c r="BW303">
        <v>72.757499999999993</v>
      </c>
      <c r="BX303">
        <v>67.574700000000007</v>
      </c>
      <c r="BY303">
        <v>658043.19999999995</v>
      </c>
      <c r="BZ303">
        <v>205457.1</v>
      </c>
      <c r="CA303">
        <v>452586.1</v>
      </c>
      <c r="CB303">
        <v>2.1375999999999999</v>
      </c>
      <c r="CC303">
        <v>0.86970000000000003</v>
      </c>
      <c r="CD303">
        <v>3.3386</v>
      </c>
      <c r="CE303">
        <v>1.3583000000000001</v>
      </c>
      <c r="CF303">
        <v>7.5529000000000002</v>
      </c>
      <c r="CG303">
        <v>29.82</v>
      </c>
      <c r="CH303">
        <v>68.548599999999993</v>
      </c>
      <c r="CI303">
        <v>34.331499999999998</v>
      </c>
      <c r="CJ303">
        <v>20.572299999999998</v>
      </c>
      <c r="CK303">
        <v>99.667100000000005</v>
      </c>
      <c r="CL303">
        <v>49.916600000000003</v>
      </c>
      <c r="CM303">
        <v>29.911300000000001</v>
      </c>
      <c r="CN303">
        <v>40.549900000000001</v>
      </c>
      <c r="CO303">
        <v>28.850899999999999</v>
      </c>
      <c r="CP303">
        <v>307838.40000000002</v>
      </c>
      <c r="CQ303">
        <v>38087.1</v>
      </c>
      <c r="CR303">
        <v>197102</v>
      </c>
      <c r="CS303">
        <v>0.42259999999999998</v>
      </c>
      <c r="CT303">
        <v>1.0378000000000001</v>
      </c>
      <c r="CU303">
        <v>0.53710000000000002</v>
      </c>
      <c r="CV303">
        <v>2.5571999999999999</v>
      </c>
      <c r="CW303">
        <v>21.170999999999999</v>
      </c>
      <c r="CX303">
        <v>17.240600000000001</v>
      </c>
      <c r="CY303">
        <v>6.0622999999999996</v>
      </c>
      <c r="CZ303">
        <v>60.208599999999997</v>
      </c>
      <c r="DA303">
        <v>3.2946</v>
      </c>
      <c r="DB303">
        <v>110.78659999999999</v>
      </c>
      <c r="DC303">
        <v>-33.337499999999999</v>
      </c>
      <c r="DD303">
        <v>77.449200000000005</v>
      </c>
      <c r="DE303">
        <v>272708.90000000002</v>
      </c>
      <c r="DF303">
        <v>17772.400000000001</v>
      </c>
      <c r="DG303">
        <v>26570.400000000001</v>
      </c>
      <c r="DH303">
        <v>225108.1</v>
      </c>
      <c r="DI303">
        <v>3258</v>
      </c>
    </row>
    <row r="304" spans="1:113" x14ac:dyDescent="0.3">
      <c r="E304" t="s">
        <v>78</v>
      </c>
      <c r="F304" t="s">
        <v>135</v>
      </c>
      <c r="G304" t="s">
        <v>135</v>
      </c>
      <c r="H304" t="s">
        <v>135</v>
      </c>
      <c r="I304" t="s">
        <v>135</v>
      </c>
      <c r="J304">
        <v>13.3027</v>
      </c>
      <c r="K304">
        <v>8.2812000000000001</v>
      </c>
      <c r="L304" t="s">
        <v>135</v>
      </c>
      <c r="M304">
        <v>6.2606999999999999</v>
      </c>
      <c r="N304">
        <v>3.7343999999999999</v>
      </c>
      <c r="O304">
        <v>3.6920000000000002</v>
      </c>
      <c r="P304">
        <v>3.6920000000000002</v>
      </c>
      <c r="Q304">
        <v>39.773299999999999</v>
      </c>
      <c r="R304" t="s">
        <v>135</v>
      </c>
      <c r="S304" t="s">
        <v>135</v>
      </c>
      <c r="T304">
        <v>8.2928999999999995</v>
      </c>
      <c r="U304">
        <v>8.0683000000000007</v>
      </c>
      <c r="V304">
        <v>-7.5784000000000002</v>
      </c>
      <c r="W304">
        <v>-23.111799999999999</v>
      </c>
      <c r="X304">
        <v>-23.579499999999999</v>
      </c>
      <c r="Y304" t="s">
        <v>135</v>
      </c>
      <c r="Z304" t="s">
        <v>135</v>
      </c>
      <c r="AA304" t="s">
        <v>135</v>
      </c>
      <c r="AB304" t="s">
        <v>135</v>
      </c>
      <c r="AC304" t="s">
        <v>135</v>
      </c>
      <c r="AD304" t="s">
        <v>135</v>
      </c>
      <c r="AE304" t="s">
        <v>135</v>
      </c>
      <c r="AF304" t="s">
        <v>135</v>
      </c>
      <c r="AG304" t="s">
        <v>135</v>
      </c>
      <c r="AH304" t="s">
        <v>135</v>
      </c>
      <c r="AI304" t="s">
        <v>135</v>
      </c>
      <c r="AJ304" t="s">
        <v>135</v>
      </c>
      <c r="AK304" t="s">
        <v>135</v>
      </c>
      <c r="AL304" t="s">
        <v>135</v>
      </c>
      <c r="AM304">
        <v>26.532</v>
      </c>
      <c r="AN304">
        <v>29.871300000000002</v>
      </c>
      <c r="AO304">
        <v>23.932400000000001</v>
      </c>
      <c r="AP304">
        <v>19.119399999999999</v>
      </c>
      <c r="AQ304">
        <v>10.6059</v>
      </c>
      <c r="AR304" t="s">
        <v>135</v>
      </c>
      <c r="AS304" t="s">
        <v>135</v>
      </c>
      <c r="AT304" t="s">
        <v>135</v>
      </c>
      <c r="AU304" t="s">
        <v>135</v>
      </c>
      <c r="AV304" t="s">
        <v>135</v>
      </c>
      <c r="AW304" t="s">
        <v>135</v>
      </c>
      <c r="AX304" t="s">
        <v>135</v>
      </c>
      <c r="AY304" t="s">
        <v>135</v>
      </c>
      <c r="AZ304" t="s">
        <v>135</v>
      </c>
      <c r="BA304" t="s">
        <v>135</v>
      </c>
      <c r="BB304" t="s">
        <v>135</v>
      </c>
      <c r="BC304" t="s">
        <v>135</v>
      </c>
      <c r="BD304" t="s">
        <v>135</v>
      </c>
      <c r="BE304" t="s">
        <v>135</v>
      </c>
      <c r="BF304">
        <v>-16.2789</v>
      </c>
      <c r="BG304">
        <v>-20.404</v>
      </c>
      <c r="BH304">
        <v>-29.185099999999998</v>
      </c>
      <c r="BI304">
        <v>-56.251899999999999</v>
      </c>
      <c r="BJ304">
        <v>-56.153199999999998</v>
      </c>
      <c r="BK304" t="s">
        <v>135</v>
      </c>
      <c r="BL304" t="s">
        <v>135</v>
      </c>
      <c r="BM304" t="s">
        <v>135</v>
      </c>
      <c r="BN304" t="s">
        <v>135</v>
      </c>
      <c r="BO304" t="s">
        <v>135</v>
      </c>
      <c r="BP304" t="s">
        <v>135</v>
      </c>
      <c r="BQ304" t="s">
        <v>135</v>
      </c>
      <c r="BR304" t="s">
        <v>135</v>
      </c>
      <c r="BS304" t="s">
        <v>135</v>
      </c>
      <c r="BT304" t="s">
        <v>135</v>
      </c>
      <c r="BU304" t="s">
        <v>135</v>
      </c>
      <c r="BV304" t="s">
        <v>135</v>
      </c>
      <c r="BW304" t="s">
        <v>135</v>
      </c>
      <c r="BX304" t="s">
        <v>135</v>
      </c>
      <c r="BY304" t="s">
        <v>135</v>
      </c>
      <c r="BZ304" t="s">
        <v>135</v>
      </c>
      <c r="CA304" t="s">
        <v>135</v>
      </c>
      <c r="CB304" t="s">
        <v>135</v>
      </c>
      <c r="CC304" t="s">
        <v>135</v>
      </c>
      <c r="CD304" t="s">
        <v>135</v>
      </c>
      <c r="CE304" t="s">
        <v>135</v>
      </c>
      <c r="CF304">
        <v>6.5587</v>
      </c>
      <c r="CG304" t="s">
        <v>135</v>
      </c>
      <c r="CH304" t="s">
        <v>135</v>
      </c>
      <c r="CI304" t="s">
        <v>135</v>
      </c>
      <c r="CJ304" t="s">
        <v>135</v>
      </c>
      <c r="CK304" t="s">
        <v>135</v>
      </c>
      <c r="CL304" t="s">
        <v>135</v>
      </c>
      <c r="CM304" t="s">
        <v>135</v>
      </c>
      <c r="CN304" t="s">
        <v>135</v>
      </c>
      <c r="CO304" t="s">
        <v>135</v>
      </c>
      <c r="CP304">
        <v>62192</v>
      </c>
      <c r="CQ304" t="s">
        <v>135</v>
      </c>
      <c r="CR304">
        <v>38715.5</v>
      </c>
      <c r="CS304" t="s">
        <v>135</v>
      </c>
      <c r="CT304" t="s">
        <v>135</v>
      </c>
      <c r="CU304" t="s">
        <v>135</v>
      </c>
      <c r="CV304" t="s">
        <v>135</v>
      </c>
      <c r="CW304" t="s">
        <v>135</v>
      </c>
      <c r="CX304" t="s">
        <v>135</v>
      </c>
      <c r="CY304" t="s">
        <v>135</v>
      </c>
      <c r="CZ304" t="s">
        <v>135</v>
      </c>
      <c r="DA304" t="s">
        <v>135</v>
      </c>
      <c r="DB304" t="s">
        <v>135</v>
      </c>
      <c r="DC304" t="s">
        <v>135</v>
      </c>
      <c r="DD304" t="s">
        <v>135</v>
      </c>
      <c r="DE304" t="s">
        <v>135</v>
      </c>
      <c r="DF304" t="s">
        <v>135</v>
      </c>
      <c r="DG304" t="s">
        <v>135</v>
      </c>
      <c r="DH304" t="s">
        <v>135</v>
      </c>
      <c r="DI304" t="s">
        <v>135</v>
      </c>
    </row>
    <row r="305" spans="4:113" x14ac:dyDescent="0.3">
      <c r="E305" t="s">
        <v>79</v>
      </c>
      <c r="F305">
        <v>22.677499999999998</v>
      </c>
      <c r="G305">
        <v>6.0145999999999997</v>
      </c>
      <c r="H305">
        <v>14.219900000000001</v>
      </c>
      <c r="I305">
        <v>14.2036</v>
      </c>
      <c r="J305">
        <v>15.502599999999999</v>
      </c>
      <c r="K305">
        <v>10.6028</v>
      </c>
      <c r="L305">
        <v>16.8188</v>
      </c>
      <c r="M305">
        <v>8.5319000000000003</v>
      </c>
      <c r="N305">
        <v>6.3777999999999997</v>
      </c>
      <c r="O305">
        <v>6.3586999999999998</v>
      </c>
      <c r="P305">
        <v>6.3586999999999998</v>
      </c>
      <c r="Q305">
        <v>25.112200000000001</v>
      </c>
      <c r="R305" t="s">
        <v>135</v>
      </c>
      <c r="S305" t="s">
        <v>135</v>
      </c>
      <c r="T305">
        <v>30.085599999999999</v>
      </c>
      <c r="U305">
        <v>61.9</v>
      </c>
      <c r="V305">
        <v>57.9437</v>
      </c>
      <c r="W305">
        <v>70.714299999999994</v>
      </c>
      <c r="X305">
        <v>70.123800000000003</v>
      </c>
      <c r="Y305" t="s">
        <v>135</v>
      </c>
      <c r="Z305">
        <v>48.441400000000002</v>
      </c>
      <c r="AA305">
        <v>26.511099999999999</v>
      </c>
      <c r="AB305">
        <v>33.932000000000002</v>
      </c>
      <c r="AC305">
        <v>28.447800000000001</v>
      </c>
      <c r="AD305">
        <v>-7.4497</v>
      </c>
      <c r="AE305">
        <v>55.6325</v>
      </c>
      <c r="AF305">
        <v>26.5273</v>
      </c>
      <c r="AG305">
        <v>11.6767</v>
      </c>
      <c r="AH305">
        <v>32.278799999999997</v>
      </c>
      <c r="AI305">
        <v>36.764000000000003</v>
      </c>
      <c r="AJ305">
        <v>34.493600000000001</v>
      </c>
      <c r="AK305">
        <v>35.698399999999999</v>
      </c>
      <c r="AL305" t="s">
        <v>135</v>
      </c>
      <c r="AM305">
        <v>19.533799999999999</v>
      </c>
      <c r="AN305">
        <v>43.7682</v>
      </c>
      <c r="AO305">
        <v>50.725099999999998</v>
      </c>
      <c r="AP305" t="s">
        <v>135</v>
      </c>
      <c r="AQ305" t="s">
        <v>135</v>
      </c>
      <c r="AR305" t="s">
        <v>135</v>
      </c>
      <c r="AS305" t="s">
        <v>135</v>
      </c>
      <c r="AT305" t="s">
        <v>135</v>
      </c>
      <c r="AU305" t="s">
        <v>135</v>
      </c>
      <c r="AV305" t="s">
        <v>135</v>
      </c>
      <c r="AW305" t="s">
        <v>135</v>
      </c>
      <c r="AX305" t="s">
        <v>135</v>
      </c>
      <c r="AY305" t="s">
        <v>135</v>
      </c>
      <c r="AZ305" t="s">
        <v>135</v>
      </c>
      <c r="BA305" t="s">
        <v>135</v>
      </c>
      <c r="BB305" t="s">
        <v>135</v>
      </c>
      <c r="BC305" t="s">
        <v>135</v>
      </c>
      <c r="BD305" t="s">
        <v>135</v>
      </c>
      <c r="BE305" t="s">
        <v>135</v>
      </c>
      <c r="BF305">
        <v>19.116599999999998</v>
      </c>
      <c r="BG305">
        <v>38.527299999999997</v>
      </c>
      <c r="BH305">
        <v>52.289200000000001</v>
      </c>
      <c r="BI305">
        <v>105.1979</v>
      </c>
      <c r="BJ305">
        <v>104.27509999999999</v>
      </c>
      <c r="BK305" t="s">
        <v>135</v>
      </c>
      <c r="BL305" t="s">
        <v>135</v>
      </c>
      <c r="BM305" t="s">
        <v>135</v>
      </c>
      <c r="BN305" t="s">
        <v>135</v>
      </c>
      <c r="BO305" t="s">
        <v>135</v>
      </c>
      <c r="BP305" t="s">
        <v>135</v>
      </c>
      <c r="BQ305" t="s">
        <v>135</v>
      </c>
      <c r="BR305" t="s">
        <v>135</v>
      </c>
      <c r="BS305" t="s">
        <v>135</v>
      </c>
      <c r="BT305" t="s">
        <v>135</v>
      </c>
      <c r="BU305" t="s">
        <v>135</v>
      </c>
      <c r="BV305" t="s">
        <v>135</v>
      </c>
      <c r="BW305" t="s">
        <v>135</v>
      </c>
      <c r="BX305" t="s">
        <v>135</v>
      </c>
      <c r="BY305">
        <v>551926.5</v>
      </c>
      <c r="BZ305">
        <v>147670.9</v>
      </c>
      <c r="CA305">
        <v>404255.6</v>
      </c>
      <c r="CB305">
        <v>1.9476</v>
      </c>
      <c r="CC305">
        <v>0.82930000000000004</v>
      </c>
      <c r="CD305">
        <v>2.9298000000000002</v>
      </c>
      <c r="CE305">
        <v>1.2475000000000001</v>
      </c>
      <c r="CF305">
        <v>7.7671999999999999</v>
      </c>
      <c r="CG305">
        <v>27.261500000000002</v>
      </c>
      <c r="CH305">
        <v>72.620500000000007</v>
      </c>
      <c r="CI305">
        <v>36.465600000000002</v>
      </c>
      <c r="CJ305">
        <v>19.944600000000001</v>
      </c>
      <c r="CK305">
        <v>99.148099999999999</v>
      </c>
      <c r="CL305">
        <v>49.786099999999998</v>
      </c>
      <c r="CM305">
        <v>27.2301</v>
      </c>
      <c r="CN305">
        <v>42.217300000000002</v>
      </c>
      <c r="CO305">
        <v>29.685099999999998</v>
      </c>
      <c r="CP305">
        <v>86351.3</v>
      </c>
      <c r="CQ305" t="s">
        <v>135</v>
      </c>
      <c r="CR305">
        <v>59058.8</v>
      </c>
      <c r="CS305">
        <v>0.35570000000000002</v>
      </c>
      <c r="CT305">
        <v>0.94789999999999996</v>
      </c>
      <c r="CU305">
        <v>0.48099999999999998</v>
      </c>
      <c r="CV305">
        <v>2.1088</v>
      </c>
      <c r="CW305">
        <v>21.855399999999999</v>
      </c>
      <c r="CX305">
        <v>16.700600000000001</v>
      </c>
      <c r="CY305">
        <v>5.3051000000000004</v>
      </c>
      <c r="CZ305">
        <v>68.801299999999998</v>
      </c>
      <c r="DA305">
        <v>3.1831999999999998</v>
      </c>
      <c r="DB305">
        <v>114.6649</v>
      </c>
      <c r="DC305">
        <v>-29.1629</v>
      </c>
      <c r="DD305">
        <v>85.501900000000006</v>
      </c>
      <c r="DE305">
        <v>275866.90000000002</v>
      </c>
      <c r="DF305" t="s">
        <v>135</v>
      </c>
      <c r="DG305" t="s">
        <v>135</v>
      </c>
      <c r="DH305" t="s">
        <v>135</v>
      </c>
      <c r="DI305" t="s">
        <v>135</v>
      </c>
    </row>
    <row r="306" spans="4:113" x14ac:dyDescent="0.3">
      <c r="E306" t="s">
        <v>80</v>
      </c>
      <c r="F306" t="s">
        <v>135</v>
      </c>
      <c r="G306" t="s">
        <v>135</v>
      </c>
      <c r="H306" t="s">
        <v>135</v>
      </c>
      <c r="I306" t="s">
        <v>135</v>
      </c>
      <c r="J306">
        <v>15.657999999999999</v>
      </c>
      <c r="K306">
        <v>11.168100000000001</v>
      </c>
      <c r="L306">
        <v>19.805399999999999</v>
      </c>
      <c r="M306">
        <v>9.6445000000000007</v>
      </c>
      <c r="N306">
        <v>7.5757000000000003</v>
      </c>
      <c r="O306">
        <v>7.5623000000000005</v>
      </c>
      <c r="P306">
        <v>7.5623000000000005</v>
      </c>
      <c r="Q306">
        <v>21.3551</v>
      </c>
      <c r="R306" t="s">
        <v>135</v>
      </c>
      <c r="S306" t="s">
        <v>135</v>
      </c>
      <c r="T306">
        <v>38.660499999999999</v>
      </c>
      <c r="U306">
        <v>75.852599999999995</v>
      </c>
      <c r="V306">
        <v>97.802300000000002</v>
      </c>
      <c r="W306">
        <v>195.22579999999999</v>
      </c>
      <c r="X306">
        <v>194.08279999999999</v>
      </c>
      <c r="Y306" t="s">
        <v>135</v>
      </c>
      <c r="Z306" t="s">
        <v>135</v>
      </c>
      <c r="AA306" t="s">
        <v>135</v>
      </c>
      <c r="AB306" t="s">
        <v>135</v>
      </c>
      <c r="AC306" t="s">
        <v>135</v>
      </c>
      <c r="AD306" t="s">
        <v>135</v>
      </c>
      <c r="AE306" t="s">
        <v>135</v>
      </c>
      <c r="AF306" t="s">
        <v>135</v>
      </c>
      <c r="AG306" t="s">
        <v>135</v>
      </c>
      <c r="AH306" t="s">
        <v>135</v>
      </c>
      <c r="AI306" t="s">
        <v>135</v>
      </c>
      <c r="AJ306" t="s">
        <v>135</v>
      </c>
      <c r="AK306" t="s">
        <v>135</v>
      </c>
      <c r="AL306" t="s">
        <v>135</v>
      </c>
      <c r="AM306">
        <v>29.366299999999999</v>
      </c>
      <c r="AN306" t="s">
        <v>135</v>
      </c>
      <c r="AO306" t="s">
        <v>135</v>
      </c>
      <c r="AP306" t="s">
        <v>135</v>
      </c>
      <c r="AQ306" t="s">
        <v>135</v>
      </c>
      <c r="AR306" t="s">
        <v>135</v>
      </c>
      <c r="AS306" t="s">
        <v>135</v>
      </c>
      <c r="AT306" t="s">
        <v>135</v>
      </c>
      <c r="AU306" t="s">
        <v>135</v>
      </c>
      <c r="AV306" t="s">
        <v>135</v>
      </c>
      <c r="AW306" t="s">
        <v>135</v>
      </c>
      <c r="AX306" t="s">
        <v>135</v>
      </c>
      <c r="AY306" t="s">
        <v>135</v>
      </c>
      <c r="AZ306" t="s">
        <v>135</v>
      </c>
      <c r="BA306" t="s">
        <v>135</v>
      </c>
      <c r="BB306" t="s">
        <v>135</v>
      </c>
      <c r="BC306" t="s">
        <v>135</v>
      </c>
      <c r="BD306" t="s">
        <v>135</v>
      </c>
      <c r="BE306" t="s">
        <v>135</v>
      </c>
      <c r="BF306">
        <v>14.0952</v>
      </c>
      <c r="BG306">
        <v>15.0609</v>
      </c>
      <c r="BH306">
        <v>20.0777</v>
      </c>
      <c r="BI306">
        <v>35.657499999999999</v>
      </c>
      <c r="BJ306">
        <v>35.668799999999997</v>
      </c>
      <c r="BK306" t="s">
        <v>135</v>
      </c>
      <c r="BL306" t="s">
        <v>135</v>
      </c>
      <c r="BM306" t="s">
        <v>135</v>
      </c>
      <c r="BN306" t="s">
        <v>135</v>
      </c>
      <c r="BO306" t="s">
        <v>135</v>
      </c>
      <c r="BP306" t="s">
        <v>135</v>
      </c>
      <c r="BQ306" t="s">
        <v>135</v>
      </c>
      <c r="BR306" t="s">
        <v>135</v>
      </c>
      <c r="BS306" t="s">
        <v>135</v>
      </c>
      <c r="BT306" t="s">
        <v>135</v>
      </c>
      <c r="BU306" t="s">
        <v>135</v>
      </c>
      <c r="BV306" t="s">
        <v>135</v>
      </c>
      <c r="BW306" t="s">
        <v>135</v>
      </c>
      <c r="BX306" t="s">
        <v>135</v>
      </c>
      <c r="BY306" t="s">
        <v>135</v>
      </c>
      <c r="BZ306" t="s">
        <v>135</v>
      </c>
      <c r="CA306" t="s">
        <v>135</v>
      </c>
      <c r="CB306" t="s">
        <v>135</v>
      </c>
      <c r="CC306" t="s">
        <v>135</v>
      </c>
      <c r="CD306" t="s">
        <v>135</v>
      </c>
      <c r="CE306" t="s">
        <v>135</v>
      </c>
      <c r="CF306">
        <v>9.9365000000000006</v>
      </c>
      <c r="CG306" t="s">
        <v>135</v>
      </c>
      <c r="CH306" t="s">
        <v>135</v>
      </c>
      <c r="CI306" t="s">
        <v>135</v>
      </c>
      <c r="CJ306" t="s">
        <v>135</v>
      </c>
      <c r="CK306" t="s">
        <v>135</v>
      </c>
      <c r="CL306" t="s">
        <v>135</v>
      </c>
      <c r="CM306" t="s">
        <v>135</v>
      </c>
      <c r="CN306" t="s">
        <v>135</v>
      </c>
      <c r="CO306" t="s">
        <v>135</v>
      </c>
      <c r="CP306">
        <v>99484.9</v>
      </c>
      <c r="CQ306" t="s">
        <v>135</v>
      </c>
      <c r="CR306">
        <v>70958</v>
      </c>
      <c r="CS306" t="s">
        <v>135</v>
      </c>
      <c r="CT306" t="s">
        <v>135</v>
      </c>
      <c r="CU306" t="s">
        <v>135</v>
      </c>
      <c r="CV306" t="s">
        <v>135</v>
      </c>
      <c r="CW306" t="s">
        <v>135</v>
      </c>
      <c r="CX306" t="s">
        <v>135</v>
      </c>
      <c r="CY306" t="s">
        <v>135</v>
      </c>
      <c r="CZ306" t="s">
        <v>135</v>
      </c>
      <c r="DA306" t="s">
        <v>135</v>
      </c>
      <c r="DB306" t="s">
        <v>135</v>
      </c>
      <c r="DC306" t="s">
        <v>135</v>
      </c>
      <c r="DD306" t="s">
        <v>135</v>
      </c>
      <c r="DE306" t="s">
        <v>135</v>
      </c>
      <c r="DF306" t="s">
        <v>135</v>
      </c>
      <c r="DG306" t="s">
        <v>135</v>
      </c>
      <c r="DH306" t="s">
        <v>135</v>
      </c>
      <c r="DI306" t="s">
        <v>135</v>
      </c>
    </row>
    <row r="307" spans="4:113" x14ac:dyDescent="0.3">
      <c r="E307" t="s">
        <v>81</v>
      </c>
      <c r="F307">
        <v>27.1037</v>
      </c>
      <c r="G307">
        <v>7.1680000000000001</v>
      </c>
      <c r="H307">
        <v>15.432600000000001</v>
      </c>
      <c r="I307">
        <v>15.4405</v>
      </c>
      <c r="J307">
        <v>15.4518</v>
      </c>
      <c r="K307">
        <v>10.622299999999999</v>
      </c>
      <c r="L307">
        <v>15.8569</v>
      </c>
      <c r="M307">
        <v>7.8079999999999998</v>
      </c>
      <c r="N307">
        <v>6.0862999999999996</v>
      </c>
      <c r="O307">
        <v>6.0545999999999998</v>
      </c>
      <c r="P307">
        <v>6.0545999999999998</v>
      </c>
      <c r="Q307">
        <v>21.708400000000001</v>
      </c>
      <c r="R307" t="s">
        <v>135</v>
      </c>
      <c r="S307" t="s">
        <v>135</v>
      </c>
      <c r="T307">
        <v>15.891500000000001</v>
      </c>
      <c r="U307">
        <v>27.9815</v>
      </c>
      <c r="V307">
        <v>25.738499999999998</v>
      </c>
      <c r="W307">
        <v>-0.68889999999999996</v>
      </c>
      <c r="X307">
        <v>-0.89649999999999996</v>
      </c>
      <c r="Y307" t="s">
        <v>135</v>
      </c>
      <c r="Z307">
        <v>-3.5163000000000002</v>
      </c>
      <c r="AA307">
        <v>29.6341</v>
      </c>
      <c r="AB307">
        <v>37.108199999999997</v>
      </c>
      <c r="AC307">
        <v>29.1235</v>
      </c>
      <c r="AD307">
        <v>-67.885800000000003</v>
      </c>
      <c r="AE307" t="s">
        <v>135</v>
      </c>
      <c r="AF307">
        <v>28.7135</v>
      </c>
      <c r="AG307">
        <v>-20.836600000000001</v>
      </c>
      <c r="AH307">
        <v>13.2432</v>
      </c>
      <c r="AI307">
        <v>73.712100000000007</v>
      </c>
      <c r="AJ307">
        <v>37.154699999999998</v>
      </c>
      <c r="AK307">
        <v>72.757499999999993</v>
      </c>
      <c r="AL307" t="s">
        <v>135</v>
      </c>
      <c r="AM307">
        <v>33.739199999999997</v>
      </c>
      <c r="AN307">
        <v>215.24119999999999</v>
      </c>
      <c r="AO307" t="s">
        <v>135</v>
      </c>
      <c r="AP307">
        <v>65.493499999999997</v>
      </c>
      <c r="AQ307">
        <v>58.116999999999997</v>
      </c>
      <c r="AR307" t="s">
        <v>135</v>
      </c>
      <c r="AS307">
        <v>17.1371</v>
      </c>
      <c r="AT307">
        <v>20.019600000000001</v>
      </c>
      <c r="AU307">
        <v>10.911799999999999</v>
      </c>
      <c r="AV307">
        <v>24.2179</v>
      </c>
      <c r="AW307" t="s">
        <v>135</v>
      </c>
      <c r="AX307" t="s">
        <v>135</v>
      </c>
      <c r="AY307">
        <v>23.007999999999999</v>
      </c>
      <c r="AZ307">
        <v>7.2908999999999997</v>
      </c>
      <c r="BA307">
        <v>10.908300000000001</v>
      </c>
      <c r="BB307">
        <v>59.761600000000001</v>
      </c>
      <c r="BC307">
        <v>23.677499999999998</v>
      </c>
      <c r="BD307">
        <v>54.550800000000002</v>
      </c>
      <c r="BE307" t="s">
        <v>135</v>
      </c>
      <c r="BF307">
        <v>1.8946000000000001</v>
      </c>
      <c r="BG307">
        <v>0.41839999999999999</v>
      </c>
      <c r="BH307">
        <v>-3.1493000000000002</v>
      </c>
      <c r="BI307">
        <v>-18.450500000000002</v>
      </c>
      <c r="BJ307">
        <v>-18.443999999999999</v>
      </c>
      <c r="BK307" t="s">
        <v>135</v>
      </c>
      <c r="BL307" t="s">
        <v>135</v>
      </c>
      <c r="BM307" t="s">
        <v>135</v>
      </c>
      <c r="BN307" t="s">
        <v>135</v>
      </c>
      <c r="BO307" t="s">
        <v>135</v>
      </c>
      <c r="BP307" t="s">
        <v>135</v>
      </c>
      <c r="BQ307" t="s">
        <v>135</v>
      </c>
      <c r="BR307" t="s">
        <v>135</v>
      </c>
      <c r="BS307" t="s">
        <v>135</v>
      </c>
      <c r="BT307" t="s">
        <v>135</v>
      </c>
      <c r="BU307" t="s">
        <v>135</v>
      </c>
      <c r="BV307" t="s">
        <v>135</v>
      </c>
      <c r="BW307" t="s">
        <v>135</v>
      </c>
      <c r="BX307" t="s">
        <v>135</v>
      </c>
      <c r="BY307">
        <v>658043.19999999995</v>
      </c>
      <c r="BZ307">
        <v>205457.1</v>
      </c>
      <c r="CA307">
        <v>452586.1</v>
      </c>
      <c r="CB307">
        <v>1.8889</v>
      </c>
      <c r="CC307">
        <v>0.76849999999999996</v>
      </c>
      <c r="CD307">
        <v>2.7696000000000001</v>
      </c>
      <c r="CE307">
        <v>1.1268</v>
      </c>
      <c r="CF307">
        <v>5.9966999999999997</v>
      </c>
      <c r="CG307">
        <v>29.82</v>
      </c>
      <c r="CH307">
        <v>68.548599999999993</v>
      </c>
      <c r="CI307">
        <v>34.331499999999998</v>
      </c>
      <c r="CJ307">
        <v>20.572299999999998</v>
      </c>
      <c r="CK307">
        <v>99.667100000000005</v>
      </c>
      <c r="CL307">
        <v>49.916600000000003</v>
      </c>
      <c r="CM307">
        <v>29.911300000000001</v>
      </c>
      <c r="CN307">
        <v>40.549900000000001</v>
      </c>
      <c r="CO307">
        <v>28.850899999999999</v>
      </c>
      <c r="CP307">
        <v>99997.8</v>
      </c>
      <c r="CQ307" t="s">
        <v>135</v>
      </c>
      <c r="CR307">
        <v>68743</v>
      </c>
      <c r="CS307">
        <v>0.42259999999999998</v>
      </c>
      <c r="CT307">
        <v>1.0378000000000001</v>
      </c>
      <c r="CU307">
        <v>0.53710000000000002</v>
      </c>
      <c r="CV307">
        <v>2.5571999999999999</v>
      </c>
      <c r="CW307">
        <v>21.424600000000002</v>
      </c>
      <c r="CX307">
        <v>17.0365</v>
      </c>
      <c r="CY307">
        <v>6.0622999999999996</v>
      </c>
      <c r="CZ307">
        <v>60.208599999999997</v>
      </c>
      <c r="DA307">
        <v>3.2946</v>
      </c>
      <c r="DB307">
        <v>110.78659999999999</v>
      </c>
      <c r="DC307">
        <v>-33.541600000000003</v>
      </c>
      <c r="DD307">
        <v>77.245000000000005</v>
      </c>
      <c r="DE307">
        <v>272708.90000000002</v>
      </c>
      <c r="DF307">
        <v>17772.400000000001</v>
      </c>
      <c r="DG307">
        <v>26570.400000000001</v>
      </c>
      <c r="DH307">
        <v>225108.1</v>
      </c>
      <c r="DI307">
        <v>3258</v>
      </c>
    </row>
    <row r="308" spans="4:113" x14ac:dyDescent="0.3">
      <c r="D308" t="s">
        <v>82</v>
      </c>
      <c r="E308" t="s">
        <v>77</v>
      </c>
      <c r="F308">
        <v>22.953700000000001</v>
      </c>
      <c r="G308">
        <v>6.0987999999999998</v>
      </c>
      <c r="H308">
        <v>12.540900000000001</v>
      </c>
      <c r="I308">
        <v>11.569800000000001</v>
      </c>
      <c r="J308">
        <v>14.413399999999999</v>
      </c>
      <c r="K308">
        <v>9.2357999999999993</v>
      </c>
      <c r="L308">
        <v>13.622999999999999</v>
      </c>
      <c r="M308">
        <v>8.3941999999999997</v>
      </c>
      <c r="N308">
        <v>5.4432</v>
      </c>
      <c r="O308">
        <v>5.4097</v>
      </c>
      <c r="P308">
        <v>5.4097</v>
      </c>
      <c r="Q308">
        <v>35.2166</v>
      </c>
      <c r="R308">
        <v>0</v>
      </c>
      <c r="S308">
        <v>22.953700000000001</v>
      </c>
      <c r="T308">
        <v>13.422700000000001</v>
      </c>
      <c r="U308">
        <v>21.053000000000001</v>
      </c>
      <c r="V308">
        <v>21.147400000000001</v>
      </c>
      <c r="W308">
        <v>-3.3799999999999997E-2</v>
      </c>
      <c r="X308">
        <v>-0.16819999999999999</v>
      </c>
      <c r="Y308" t="s">
        <v>135</v>
      </c>
      <c r="Z308">
        <v>18.960899999999999</v>
      </c>
      <c r="AA308">
        <v>7.3391000000000002</v>
      </c>
      <c r="AB308">
        <v>21.295999999999999</v>
      </c>
      <c r="AC308">
        <v>8.4817</v>
      </c>
      <c r="AD308">
        <v>19.775400000000001</v>
      </c>
      <c r="AE308">
        <v>-57.4</v>
      </c>
      <c r="AF308">
        <v>2.2565</v>
      </c>
      <c r="AG308">
        <v>5.2083000000000004</v>
      </c>
      <c r="AH308">
        <v>18.0578</v>
      </c>
      <c r="AI308">
        <v>-14.1294</v>
      </c>
      <c r="AJ308">
        <v>1.9374</v>
      </c>
      <c r="AK308">
        <v>-14.2394</v>
      </c>
      <c r="AL308">
        <v>-3.3260999999999998</v>
      </c>
      <c r="AM308">
        <v>23.372399999999999</v>
      </c>
      <c r="AN308">
        <v>42.6053</v>
      </c>
      <c r="AO308">
        <v>58.883299999999998</v>
      </c>
      <c r="AP308">
        <v>40.319499999999998</v>
      </c>
      <c r="AQ308">
        <v>37.637900000000002</v>
      </c>
      <c r="AR308">
        <v>-100</v>
      </c>
      <c r="AS308">
        <v>11.8332</v>
      </c>
      <c r="AT308">
        <v>20.9437</v>
      </c>
      <c r="AU308">
        <v>15.9939</v>
      </c>
      <c r="AV308">
        <v>22.357700000000001</v>
      </c>
      <c r="AW308" t="s">
        <v>135</v>
      </c>
      <c r="AX308" t="s">
        <v>135</v>
      </c>
      <c r="AY308">
        <v>19.3934</v>
      </c>
      <c r="AZ308">
        <v>4.1340000000000003</v>
      </c>
      <c r="BA308">
        <v>12.932</v>
      </c>
      <c r="BB308">
        <v>46.435699999999997</v>
      </c>
      <c r="BC308">
        <v>21.519300000000001</v>
      </c>
      <c r="BD308">
        <v>43.459699999999998</v>
      </c>
      <c r="BE308">
        <v>35.801200000000001</v>
      </c>
      <c r="BF308">
        <v>13.422700000000001</v>
      </c>
      <c r="BG308">
        <v>21.053000000000001</v>
      </c>
      <c r="BH308">
        <v>21.147400000000001</v>
      </c>
      <c r="BI308">
        <v>-3.3799999999999997E-2</v>
      </c>
      <c r="BJ308">
        <v>-0.16819999999999999</v>
      </c>
      <c r="BK308">
        <v>-100</v>
      </c>
      <c r="BL308">
        <v>18.960899999999999</v>
      </c>
      <c r="BM308">
        <v>7.3391000000000002</v>
      </c>
      <c r="BN308">
        <v>21.295999999999999</v>
      </c>
      <c r="BO308">
        <v>8.4817</v>
      </c>
      <c r="BP308" t="s">
        <v>135</v>
      </c>
      <c r="BQ308">
        <v>-57.4</v>
      </c>
      <c r="BR308">
        <v>2.2565</v>
      </c>
      <c r="BS308">
        <v>5.2083000000000004</v>
      </c>
      <c r="BT308">
        <v>18.0578</v>
      </c>
      <c r="BU308">
        <v>-14.1294</v>
      </c>
      <c r="BV308">
        <v>1.9374</v>
      </c>
      <c r="BW308">
        <v>-14.2394</v>
      </c>
      <c r="BX308">
        <v>-3.3260999999999998</v>
      </c>
      <c r="BY308">
        <v>776871.4</v>
      </c>
      <c r="BZ308">
        <v>216158</v>
      </c>
      <c r="CA308">
        <v>560713.4</v>
      </c>
      <c r="CB308">
        <v>2.0846999999999998</v>
      </c>
      <c r="CC308">
        <v>0.84460000000000002</v>
      </c>
      <c r="CD308">
        <v>3.2534000000000001</v>
      </c>
      <c r="CE308">
        <v>1.3181</v>
      </c>
      <c r="CF308">
        <v>9.2156000000000002</v>
      </c>
      <c r="CG308">
        <v>23.574300000000001</v>
      </c>
      <c r="CH308">
        <v>98.899500000000003</v>
      </c>
      <c r="CI308">
        <v>41.725200000000001</v>
      </c>
      <c r="CJ308">
        <v>23.494399999999999</v>
      </c>
      <c r="CK308">
        <v>137.0258</v>
      </c>
      <c r="CL308">
        <v>57.810499999999998</v>
      </c>
      <c r="CM308">
        <v>32.551699999999997</v>
      </c>
      <c r="CN308">
        <v>55.516399999999997</v>
      </c>
      <c r="CO308">
        <v>35.698099999999997</v>
      </c>
      <c r="CP308">
        <v>372647.5</v>
      </c>
      <c r="CQ308">
        <v>56509.5</v>
      </c>
      <c r="CR308">
        <v>238783.9</v>
      </c>
      <c r="CS308">
        <v>0.46089999999999998</v>
      </c>
      <c r="CT308">
        <v>1.0147999999999999</v>
      </c>
      <c r="CU308">
        <v>0.58630000000000004</v>
      </c>
      <c r="CV308">
        <v>2.8090000000000002</v>
      </c>
      <c r="CW308">
        <v>22.332999999999998</v>
      </c>
      <c r="CX308">
        <v>16.343499999999999</v>
      </c>
      <c r="CY308">
        <v>5.7744</v>
      </c>
      <c r="CZ308">
        <v>63.210500000000003</v>
      </c>
      <c r="DA308">
        <v>3.1332</v>
      </c>
      <c r="DB308">
        <v>116.49420000000001</v>
      </c>
      <c r="DC308">
        <v>-36.940100000000001</v>
      </c>
      <c r="DD308">
        <v>79.554100000000005</v>
      </c>
      <c r="DE308">
        <v>292723.40000000002</v>
      </c>
      <c r="DF308">
        <v>22018.2</v>
      </c>
      <c r="DG308">
        <v>33672.6</v>
      </c>
      <c r="DH308">
        <v>232908.1</v>
      </c>
      <c r="DI308">
        <v>4124.5</v>
      </c>
    </row>
    <row r="309" spans="4:113" x14ac:dyDescent="0.3">
      <c r="E309" t="s">
        <v>78</v>
      </c>
      <c r="F309" t="s">
        <v>135</v>
      </c>
      <c r="G309" t="s">
        <v>135</v>
      </c>
      <c r="H309" t="s">
        <v>135</v>
      </c>
      <c r="I309" t="s">
        <v>135</v>
      </c>
      <c r="J309">
        <v>17.3691</v>
      </c>
      <c r="K309">
        <v>12.724399999999999</v>
      </c>
      <c r="L309">
        <v>24.640799999999999</v>
      </c>
      <c r="M309">
        <v>11.7356</v>
      </c>
      <c r="N309">
        <v>8.4460999999999995</v>
      </c>
      <c r="O309">
        <v>8.4148999999999994</v>
      </c>
      <c r="P309">
        <v>8.4148999999999994</v>
      </c>
      <c r="Q309">
        <v>28.094100000000001</v>
      </c>
      <c r="R309" t="s">
        <v>135</v>
      </c>
      <c r="S309" t="s">
        <v>135</v>
      </c>
      <c r="T309">
        <v>37.185899999999997</v>
      </c>
      <c r="U309">
        <v>78.749399999999994</v>
      </c>
      <c r="V309">
        <v>110.4864</v>
      </c>
      <c r="W309">
        <v>212.7457</v>
      </c>
      <c r="X309">
        <v>211.3383</v>
      </c>
      <c r="Y309" t="s">
        <v>135</v>
      </c>
      <c r="Z309" t="s">
        <v>135</v>
      </c>
      <c r="AA309" t="s">
        <v>135</v>
      </c>
      <c r="AB309" t="s">
        <v>135</v>
      </c>
      <c r="AC309" t="s">
        <v>135</v>
      </c>
      <c r="AD309" t="s">
        <v>135</v>
      </c>
      <c r="AE309" t="s">
        <v>135</v>
      </c>
      <c r="AF309" t="s">
        <v>135</v>
      </c>
      <c r="AG309" t="s">
        <v>135</v>
      </c>
      <c r="AH309" t="s">
        <v>135</v>
      </c>
      <c r="AI309" t="s">
        <v>135</v>
      </c>
      <c r="AJ309" t="s">
        <v>135</v>
      </c>
      <c r="AK309" t="s">
        <v>135</v>
      </c>
      <c r="AL309" t="s">
        <v>135</v>
      </c>
      <c r="AM309">
        <v>31.540099999999999</v>
      </c>
      <c r="AN309">
        <v>85.822900000000004</v>
      </c>
      <c r="AO309" t="s">
        <v>135</v>
      </c>
      <c r="AP309" t="s">
        <v>135</v>
      </c>
      <c r="AQ309" t="s">
        <v>135</v>
      </c>
      <c r="AR309" t="s">
        <v>135</v>
      </c>
      <c r="AS309" t="s">
        <v>135</v>
      </c>
      <c r="AT309" t="s">
        <v>135</v>
      </c>
      <c r="AU309" t="s">
        <v>135</v>
      </c>
      <c r="AV309" t="s">
        <v>135</v>
      </c>
      <c r="AW309" t="s">
        <v>135</v>
      </c>
      <c r="AX309" t="s">
        <v>135</v>
      </c>
      <c r="AY309" t="s">
        <v>135</v>
      </c>
      <c r="AZ309" t="s">
        <v>135</v>
      </c>
      <c r="BA309" t="s">
        <v>135</v>
      </c>
      <c r="BB309" t="s">
        <v>135</v>
      </c>
      <c r="BC309" t="s">
        <v>135</v>
      </c>
      <c r="BD309" t="s">
        <v>135</v>
      </c>
      <c r="BE309" t="s">
        <v>135</v>
      </c>
      <c r="BF309">
        <v>-0.87319999999999998</v>
      </c>
      <c r="BG309">
        <v>11.426299999999999</v>
      </c>
      <c r="BH309">
        <v>18.7439</v>
      </c>
      <c r="BI309">
        <v>37.769500000000001</v>
      </c>
      <c r="BJ309">
        <v>37.746699999999997</v>
      </c>
      <c r="BK309" t="s">
        <v>135</v>
      </c>
      <c r="BL309" t="s">
        <v>135</v>
      </c>
      <c r="BM309" t="s">
        <v>135</v>
      </c>
      <c r="BN309" t="s">
        <v>135</v>
      </c>
      <c r="BO309" t="s">
        <v>135</v>
      </c>
      <c r="BP309" t="s">
        <v>135</v>
      </c>
      <c r="BQ309" t="s">
        <v>135</v>
      </c>
      <c r="BR309" t="s">
        <v>135</v>
      </c>
      <c r="BS309" t="s">
        <v>135</v>
      </c>
      <c r="BT309" t="s">
        <v>135</v>
      </c>
      <c r="BU309" t="s">
        <v>135</v>
      </c>
      <c r="BV309" t="s">
        <v>135</v>
      </c>
      <c r="BW309" t="s">
        <v>135</v>
      </c>
      <c r="BX309" t="s">
        <v>135</v>
      </c>
      <c r="BY309" t="s">
        <v>135</v>
      </c>
      <c r="BZ309" t="s">
        <v>135</v>
      </c>
      <c r="CA309" t="s">
        <v>135</v>
      </c>
      <c r="CB309" t="s">
        <v>135</v>
      </c>
      <c r="CC309" t="s">
        <v>135</v>
      </c>
      <c r="CD309" t="s">
        <v>135</v>
      </c>
      <c r="CE309" t="s">
        <v>135</v>
      </c>
      <c r="CF309">
        <v>11.8337</v>
      </c>
      <c r="CG309" t="s">
        <v>135</v>
      </c>
      <c r="CH309" t="s">
        <v>135</v>
      </c>
      <c r="CI309" t="s">
        <v>135</v>
      </c>
      <c r="CJ309" t="s">
        <v>135</v>
      </c>
      <c r="CK309" t="s">
        <v>135</v>
      </c>
      <c r="CL309" t="s">
        <v>135</v>
      </c>
      <c r="CM309" t="s">
        <v>135</v>
      </c>
      <c r="CN309" t="s">
        <v>135</v>
      </c>
      <c r="CO309" t="s">
        <v>135</v>
      </c>
      <c r="CP309">
        <v>111423.8</v>
      </c>
      <c r="CQ309" t="s">
        <v>135</v>
      </c>
      <c r="CR309">
        <v>81628.100000000006</v>
      </c>
      <c r="CS309" t="s">
        <v>135</v>
      </c>
      <c r="CT309" t="s">
        <v>135</v>
      </c>
      <c r="CU309" t="s">
        <v>135</v>
      </c>
      <c r="CV309" t="s">
        <v>135</v>
      </c>
      <c r="CW309" t="s">
        <v>135</v>
      </c>
      <c r="CX309" t="s">
        <v>135</v>
      </c>
      <c r="CY309" t="s">
        <v>135</v>
      </c>
      <c r="CZ309" t="s">
        <v>135</v>
      </c>
      <c r="DA309" t="s">
        <v>135</v>
      </c>
      <c r="DB309" t="s">
        <v>135</v>
      </c>
      <c r="DC309" t="s">
        <v>135</v>
      </c>
      <c r="DD309" t="s">
        <v>135</v>
      </c>
      <c r="DE309" t="s">
        <v>135</v>
      </c>
      <c r="DF309" t="s">
        <v>135</v>
      </c>
      <c r="DG309" t="s">
        <v>135</v>
      </c>
      <c r="DH309" t="s">
        <v>135</v>
      </c>
      <c r="DI309" t="s">
        <v>135</v>
      </c>
    </row>
    <row r="310" spans="4:113" x14ac:dyDescent="0.3">
      <c r="E310" t="s">
        <v>79</v>
      </c>
      <c r="F310">
        <v>28.292300000000001</v>
      </c>
      <c r="G310">
        <v>8.0290999999999997</v>
      </c>
      <c r="H310">
        <v>17.290900000000001</v>
      </c>
      <c r="I310">
        <v>17.250900000000001</v>
      </c>
      <c r="J310">
        <v>15.9008</v>
      </c>
      <c r="K310">
        <v>10.559699999999999</v>
      </c>
      <c r="L310">
        <v>9.9122000000000003</v>
      </c>
      <c r="M310">
        <v>9.4254999999999995</v>
      </c>
      <c r="N310">
        <v>5.5021000000000004</v>
      </c>
      <c r="O310">
        <v>5.4698000000000002</v>
      </c>
      <c r="P310">
        <v>5.4698000000000002</v>
      </c>
      <c r="Q310">
        <v>41.686199999999999</v>
      </c>
      <c r="R310" t="s">
        <v>135</v>
      </c>
      <c r="S310" t="s">
        <v>135</v>
      </c>
      <c r="T310">
        <v>8.0397999999999996</v>
      </c>
      <c r="U310">
        <v>10.6434</v>
      </c>
      <c r="V310">
        <v>7.5098000000000003</v>
      </c>
      <c r="W310">
        <v>-7.0867000000000004</v>
      </c>
      <c r="X310">
        <v>-7.0974000000000004</v>
      </c>
      <c r="Y310" t="s">
        <v>135</v>
      </c>
      <c r="Z310">
        <v>-10.4377</v>
      </c>
      <c r="AA310">
        <v>6.2358000000000002</v>
      </c>
      <c r="AB310">
        <v>21.9374</v>
      </c>
      <c r="AC310">
        <v>13.985900000000001</v>
      </c>
      <c r="AD310">
        <v>-55.0687</v>
      </c>
      <c r="AE310" t="s">
        <v>135</v>
      </c>
      <c r="AF310">
        <v>11.778700000000001</v>
      </c>
      <c r="AG310">
        <v>-13.474600000000001</v>
      </c>
      <c r="AH310">
        <v>10.1119</v>
      </c>
      <c r="AI310">
        <v>22.613399999999999</v>
      </c>
      <c r="AJ310">
        <v>16.389399999999998</v>
      </c>
      <c r="AK310">
        <v>22.757200000000001</v>
      </c>
      <c r="AL310" t="s">
        <v>135</v>
      </c>
      <c r="AM310">
        <v>23.561199999999999</v>
      </c>
      <c r="AN310">
        <v>44.741599999999998</v>
      </c>
      <c r="AO310">
        <v>57.384300000000003</v>
      </c>
      <c r="AP310">
        <v>172.80369999999999</v>
      </c>
      <c r="AQ310">
        <v>172.46039999999999</v>
      </c>
      <c r="AR310" t="s">
        <v>135</v>
      </c>
      <c r="AS310" t="s">
        <v>135</v>
      </c>
      <c r="AT310" t="s">
        <v>135</v>
      </c>
      <c r="AU310" t="s">
        <v>135</v>
      </c>
      <c r="AV310" t="s">
        <v>135</v>
      </c>
      <c r="AW310" t="s">
        <v>135</v>
      </c>
      <c r="AX310" t="s">
        <v>135</v>
      </c>
      <c r="AY310" t="s">
        <v>135</v>
      </c>
      <c r="AZ310" t="s">
        <v>135</v>
      </c>
      <c r="BA310" t="s">
        <v>135</v>
      </c>
      <c r="BB310" t="s">
        <v>135</v>
      </c>
      <c r="BC310" t="s">
        <v>135</v>
      </c>
      <c r="BD310" t="s">
        <v>135</v>
      </c>
      <c r="BE310" t="s">
        <v>135</v>
      </c>
      <c r="BF310">
        <v>-6.2146999999999997</v>
      </c>
      <c r="BG310">
        <v>-14.142799999999999</v>
      </c>
      <c r="BH310">
        <v>-22.169899999999998</v>
      </c>
      <c r="BI310">
        <v>-39.0379</v>
      </c>
      <c r="BJ310">
        <v>-39.044800000000002</v>
      </c>
      <c r="BK310" t="s">
        <v>135</v>
      </c>
      <c r="BL310" t="s">
        <v>135</v>
      </c>
      <c r="BM310" t="s">
        <v>135</v>
      </c>
      <c r="BN310" t="s">
        <v>135</v>
      </c>
      <c r="BO310" t="s">
        <v>135</v>
      </c>
      <c r="BP310" t="s">
        <v>135</v>
      </c>
      <c r="BQ310" t="s">
        <v>135</v>
      </c>
      <c r="BR310" t="s">
        <v>135</v>
      </c>
      <c r="BS310" t="s">
        <v>135</v>
      </c>
      <c r="BT310" t="s">
        <v>135</v>
      </c>
      <c r="BU310" t="s">
        <v>135</v>
      </c>
      <c r="BV310" t="s">
        <v>135</v>
      </c>
      <c r="BW310" t="s">
        <v>135</v>
      </c>
      <c r="BX310" t="s">
        <v>135</v>
      </c>
      <c r="BY310">
        <v>607736.69999999995</v>
      </c>
      <c r="BZ310">
        <v>127772.8</v>
      </c>
      <c r="CA310">
        <v>479963.9</v>
      </c>
      <c r="CB310">
        <v>1.4944</v>
      </c>
      <c r="CC310">
        <v>0.44379999999999997</v>
      </c>
      <c r="CD310">
        <v>2.1333000000000002</v>
      </c>
      <c r="CE310">
        <v>0.63349999999999995</v>
      </c>
      <c r="CF310">
        <v>10.3178</v>
      </c>
      <c r="CG310">
        <v>29.359300000000001</v>
      </c>
      <c r="CH310">
        <v>70.319199999999995</v>
      </c>
      <c r="CI310">
        <v>37.1982</v>
      </c>
      <c r="CJ310">
        <v>20.7743</v>
      </c>
      <c r="CK310">
        <v>89.039100000000005</v>
      </c>
      <c r="CL310">
        <v>47.100900000000003</v>
      </c>
      <c r="CM310">
        <v>26.3047</v>
      </c>
      <c r="CN310">
        <v>26.441400000000002</v>
      </c>
      <c r="CO310">
        <v>20.911999999999999</v>
      </c>
      <c r="CP310">
        <v>95665.4</v>
      </c>
      <c r="CQ310" t="s">
        <v>135</v>
      </c>
      <c r="CR310">
        <v>63531.199999999997</v>
      </c>
      <c r="CS310">
        <v>0.4526</v>
      </c>
      <c r="CT310">
        <v>1.0236000000000001</v>
      </c>
      <c r="CU310">
        <v>0.5585</v>
      </c>
      <c r="CV310">
        <v>2.5251000000000001</v>
      </c>
      <c r="CW310">
        <v>23.8734</v>
      </c>
      <c r="CX310">
        <v>15.289</v>
      </c>
      <c r="CY310">
        <v>5.5716999999999999</v>
      </c>
      <c r="CZ310">
        <v>65.509699999999995</v>
      </c>
      <c r="DA310">
        <v>3.1516999999999999</v>
      </c>
      <c r="DB310">
        <v>115.81</v>
      </c>
      <c r="DC310">
        <v>-35.011299999999999</v>
      </c>
      <c r="DD310">
        <v>80.798699999999997</v>
      </c>
      <c r="DE310">
        <v>293069.40000000002</v>
      </c>
      <c r="DF310" t="s">
        <v>135</v>
      </c>
      <c r="DG310" t="s">
        <v>135</v>
      </c>
      <c r="DH310" t="s">
        <v>135</v>
      </c>
      <c r="DI310" t="s">
        <v>135</v>
      </c>
    </row>
    <row r="311" spans="4:113" x14ac:dyDescent="0.3">
      <c r="E311" t="s">
        <v>80</v>
      </c>
      <c r="F311" t="s">
        <v>135</v>
      </c>
      <c r="G311" t="s">
        <v>135</v>
      </c>
      <c r="H311" t="s">
        <v>135</v>
      </c>
      <c r="I311" t="s">
        <v>135</v>
      </c>
      <c r="J311">
        <v>14.5449</v>
      </c>
      <c r="K311">
        <v>9.7144999999999992</v>
      </c>
      <c r="L311" t="s">
        <v>135</v>
      </c>
      <c r="M311">
        <v>8.2932000000000006</v>
      </c>
      <c r="N311">
        <v>5.1997999999999998</v>
      </c>
      <c r="O311">
        <v>5.1802999999999999</v>
      </c>
      <c r="P311">
        <v>5.1802999999999999</v>
      </c>
      <c r="Q311">
        <v>37.338299999999997</v>
      </c>
      <c r="R311" t="s">
        <v>135</v>
      </c>
      <c r="S311" t="s">
        <v>135</v>
      </c>
      <c r="T311">
        <v>8.8315000000000001</v>
      </c>
      <c r="U311">
        <v>0.9597</v>
      </c>
      <c r="V311">
        <v>-5.3963000000000001</v>
      </c>
      <c r="W311">
        <v>-25.476199999999999</v>
      </c>
      <c r="X311">
        <v>-25.4863</v>
      </c>
      <c r="Y311" t="s">
        <v>135</v>
      </c>
      <c r="Z311" t="s">
        <v>135</v>
      </c>
      <c r="AA311" t="s">
        <v>135</v>
      </c>
      <c r="AB311" t="s">
        <v>135</v>
      </c>
      <c r="AC311" t="s">
        <v>135</v>
      </c>
      <c r="AD311" t="s">
        <v>135</v>
      </c>
      <c r="AE311" t="s">
        <v>135</v>
      </c>
      <c r="AF311" t="s">
        <v>135</v>
      </c>
      <c r="AG311" t="s">
        <v>135</v>
      </c>
      <c r="AH311" t="s">
        <v>135</v>
      </c>
      <c r="AI311" t="s">
        <v>135</v>
      </c>
      <c r="AJ311" t="s">
        <v>135</v>
      </c>
      <c r="AK311" t="s">
        <v>135</v>
      </c>
      <c r="AL311" t="s">
        <v>135</v>
      </c>
      <c r="AM311">
        <v>21.6175</v>
      </c>
      <c r="AN311">
        <v>27.6035</v>
      </c>
      <c r="AO311">
        <v>32.174399999999999</v>
      </c>
      <c r="AP311">
        <v>40.661999999999999</v>
      </c>
      <c r="AQ311">
        <v>38.273000000000003</v>
      </c>
      <c r="AR311" t="s">
        <v>135</v>
      </c>
      <c r="AS311" t="s">
        <v>135</v>
      </c>
      <c r="AT311" t="s">
        <v>135</v>
      </c>
      <c r="AU311" t="s">
        <v>135</v>
      </c>
      <c r="AV311" t="s">
        <v>135</v>
      </c>
      <c r="AW311" t="s">
        <v>135</v>
      </c>
      <c r="AX311" t="s">
        <v>135</v>
      </c>
      <c r="AY311" t="s">
        <v>135</v>
      </c>
      <c r="AZ311" t="s">
        <v>135</v>
      </c>
      <c r="BA311" t="s">
        <v>135</v>
      </c>
      <c r="BB311" t="s">
        <v>135</v>
      </c>
      <c r="BC311" t="s">
        <v>135</v>
      </c>
      <c r="BD311" t="s">
        <v>135</v>
      </c>
      <c r="BE311" t="s">
        <v>135</v>
      </c>
      <c r="BF311">
        <v>14.8887</v>
      </c>
      <c r="BG311">
        <v>5.0922000000000001</v>
      </c>
      <c r="BH311">
        <v>5.6931000000000003</v>
      </c>
      <c r="BI311">
        <v>8.8079999999999998</v>
      </c>
      <c r="BJ311">
        <v>8.8148999999999997</v>
      </c>
      <c r="BK311" t="s">
        <v>135</v>
      </c>
      <c r="BL311" t="s">
        <v>135</v>
      </c>
      <c r="BM311" t="s">
        <v>135</v>
      </c>
      <c r="BN311" t="s">
        <v>135</v>
      </c>
      <c r="BO311" t="s">
        <v>135</v>
      </c>
      <c r="BP311" t="s">
        <v>135</v>
      </c>
      <c r="BQ311" t="s">
        <v>135</v>
      </c>
      <c r="BR311" t="s">
        <v>135</v>
      </c>
      <c r="BS311" t="s">
        <v>135</v>
      </c>
      <c r="BT311" t="s">
        <v>135</v>
      </c>
      <c r="BU311" t="s">
        <v>135</v>
      </c>
      <c r="BV311" t="s">
        <v>135</v>
      </c>
      <c r="BW311" t="s">
        <v>135</v>
      </c>
      <c r="BX311" t="s">
        <v>135</v>
      </c>
      <c r="BY311" t="s">
        <v>135</v>
      </c>
      <c r="BZ311" t="s">
        <v>135</v>
      </c>
      <c r="CA311" t="s">
        <v>135</v>
      </c>
      <c r="CB311" t="s">
        <v>135</v>
      </c>
      <c r="CC311" t="s">
        <v>135</v>
      </c>
      <c r="CD311" t="s">
        <v>135</v>
      </c>
      <c r="CE311" t="s">
        <v>135</v>
      </c>
      <c r="CF311">
        <v>9.4808000000000003</v>
      </c>
      <c r="CG311" t="s">
        <v>135</v>
      </c>
      <c r="CH311" t="s">
        <v>135</v>
      </c>
      <c r="CI311" t="s">
        <v>135</v>
      </c>
      <c r="CJ311" t="s">
        <v>135</v>
      </c>
      <c r="CK311" t="s">
        <v>135</v>
      </c>
      <c r="CL311" t="s">
        <v>135</v>
      </c>
      <c r="CM311" t="s">
        <v>135</v>
      </c>
      <c r="CN311" t="s">
        <v>135</v>
      </c>
      <c r="CO311" t="s">
        <v>135</v>
      </c>
      <c r="CP311">
        <v>100536.9</v>
      </c>
      <c r="CQ311" t="s">
        <v>135</v>
      </c>
      <c r="CR311">
        <v>67148.100000000006</v>
      </c>
      <c r="CS311" t="s">
        <v>135</v>
      </c>
      <c r="CT311" t="s">
        <v>135</v>
      </c>
      <c r="CU311" t="s">
        <v>135</v>
      </c>
      <c r="CV311" t="s">
        <v>135</v>
      </c>
      <c r="CW311" t="s">
        <v>135</v>
      </c>
      <c r="CX311" t="s">
        <v>135</v>
      </c>
      <c r="CY311" t="s">
        <v>135</v>
      </c>
      <c r="CZ311" t="s">
        <v>135</v>
      </c>
      <c r="DA311" t="s">
        <v>135</v>
      </c>
      <c r="DB311" t="s">
        <v>135</v>
      </c>
      <c r="DC311" t="s">
        <v>135</v>
      </c>
      <c r="DD311" t="s">
        <v>135</v>
      </c>
      <c r="DE311" t="s">
        <v>135</v>
      </c>
      <c r="DF311" t="s">
        <v>135</v>
      </c>
      <c r="DG311" t="s">
        <v>135</v>
      </c>
      <c r="DH311" t="s">
        <v>135</v>
      </c>
      <c r="DI311" t="s">
        <v>135</v>
      </c>
    </row>
    <row r="312" spans="4:113" x14ac:dyDescent="0.3">
      <c r="E312" t="s">
        <v>81</v>
      </c>
      <c r="F312">
        <v>22.953700000000001</v>
      </c>
      <c r="G312">
        <v>6.0987999999999998</v>
      </c>
      <c r="H312">
        <v>12.9206</v>
      </c>
      <c r="I312">
        <v>12.4679</v>
      </c>
      <c r="J312">
        <v>12.5387</v>
      </c>
      <c r="K312">
        <v>6.8078000000000003</v>
      </c>
      <c r="L312" t="s">
        <v>135</v>
      </c>
      <c r="M312">
        <v>4.1174999999999997</v>
      </c>
      <c r="N312">
        <v>2.6009000000000002</v>
      </c>
      <c r="O312">
        <v>2.5506000000000002</v>
      </c>
      <c r="P312">
        <v>2.5506000000000002</v>
      </c>
      <c r="Q312">
        <v>36.938899999999997</v>
      </c>
      <c r="R312" t="s">
        <v>135</v>
      </c>
      <c r="S312" t="s">
        <v>135</v>
      </c>
      <c r="T312">
        <v>3.99</v>
      </c>
      <c r="U312">
        <v>-15.6151</v>
      </c>
      <c r="V312">
        <v>-33.352600000000002</v>
      </c>
      <c r="W312">
        <v>-56.192599999999999</v>
      </c>
      <c r="X312">
        <v>-56.25</v>
      </c>
      <c r="Y312" t="s">
        <v>135</v>
      </c>
      <c r="Z312">
        <v>18.960899999999999</v>
      </c>
      <c r="AA312">
        <v>7.3391000000000002</v>
      </c>
      <c r="AB312">
        <v>21.295999999999999</v>
      </c>
      <c r="AC312">
        <v>8.4817</v>
      </c>
      <c r="AD312">
        <v>19.775400000000001</v>
      </c>
      <c r="AE312">
        <v>-57.4</v>
      </c>
      <c r="AF312">
        <v>2.2565</v>
      </c>
      <c r="AG312">
        <v>5.2083000000000004</v>
      </c>
      <c r="AH312">
        <v>18.0578</v>
      </c>
      <c r="AI312">
        <v>-14.1294</v>
      </c>
      <c r="AJ312">
        <v>1.9374</v>
      </c>
      <c r="AK312">
        <v>-14.2394</v>
      </c>
      <c r="AL312" t="s">
        <v>135</v>
      </c>
      <c r="AM312">
        <v>19.777100000000001</v>
      </c>
      <c r="AN312">
        <v>44.5291</v>
      </c>
      <c r="AO312">
        <v>64.771100000000004</v>
      </c>
      <c r="AP312">
        <v>-5.0808999999999997</v>
      </c>
      <c r="AQ312">
        <v>-6.6835000000000004</v>
      </c>
      <c r="AR312" t="s">
        <v>135</v>
      </c>
      <c r="AS312">
        <v>11.8332</v>
      </c>
      <c r="AT312">
        <v>20.9437</v>
      </c>
      <c r="AU312">
        <v>15.9939</v>
      </c>
      <c r="AV312">
        <v>22.357700000000001</v>
      </c>
      <c r="AW312" t="s">
        <v>135</v>
      </c>
      <c r="AX312" t="s">
        <v>135</v>
      </c>
      <c r="AY312">
        <v>19.3934</v>
      </c>
      <c r="AZ312">
        <v>4.1340000000000003</v>
      </c>
      <c r="BA312">
        <v>12.932</v>
      </c>
      <c r="BB312">
        <v>46.435699999999997</v>
      </c>
      <c r="BC312">
        <v>21.519300000000001</v>
      </c>
      <c r="BD312">
        <v>43.459699999999998</v>
      </c>
      <c r="BE312" t="s">
        <v>135</v>
      </c>
      <c r="BF312">
        <v>-2.6383000000000001</v>
      </c>
      <c r="BG312">
        <v>-16.067599999999999</v>
      </c>
      <c r="BH312">
        <v>-31.769600000000001</v>
      </c>
      <c r="BI312">
        <v>-52.0627</v>
      </c>
      <c r="BJ312">
        <v>-52.115200000000002</v>
      </c>
      <c r="BK312" t="s">
        <v>135</v>
      </c>
      <c r="BL312" t="s">
        <v>135</v>
      </c>
      <c r="BM312" t="s">
        <v>135</v>
      </c>
      <c r="BN312" t="s">
        <v>135</v>
      </c>
      <c r="BO312" t="s">
        <v>135</v>
      </c>
      <c r="BP312" t="s">
        <v>135</v>
      </c>
      <c r="BQ312" t="s">
        <v>135</v>
      </c>
      <c r="BR312" t="s">
        <v>135</v>
      </c>
      <c r="BS312" t="s">
        <v>135</v>
      </c>
      <c r="BT312" t="s">
        <v>135</v>
      </c>
      <c r="BU312" t="s">
        <v>135</v>
      </c>
      <c r="BV312" t="s">
        <v>135</v>
      </c>
      <c r="BW312" t="s">
        <v>135</v>
      </c>
      <c r="BX312" t="s">
        <v>135</v>
      </c>
      <c r="BY312">
        <v>776871.4</v>
      </c>
      <c r="BZ312">
        <v>216158</v>
      </c>
      <c r="CA312">
        <v>560713.4</v>
      </c>
      <c r="CB312">
        <v>1.9818</v>
      </c>
      <c r="CC312">
        <v>0.80289999999999995</v>
      </c>
      <c r="CD312">
        <v>3.0097</v>
      </c>
      <c r="CE312">
        <v>1.2194</v>
      </c>
      <c r="CF312">
        <v>4.4539999999999997</v>
      </c>
      <c r="CG312">
        <v>23.574300000000001</v>
      </c>
      <c r="CH312">
        <v>98.899500000000003</v>
      </c>
      <c r="CI312">
        <v>41.725200000000001</v>
      </c>
      <c r="CJ312">
        <v>23.494399999999999</v>
      </c>
      <c r="CK312">
        <v>137.0258</v>
      </c>
      <c r="CL312">
        <v>57.810499999999998</v>
      </c>
      <c r="CM312">
        <v>32.551699999999997</v>
      </c>
      <c r="CN312">
        <v>55.516399999999997</v>
      </c>
      <c r="CO312">
        <v>35.698099999999997</v>
      </c>
      <c r="CP312">
        <v>84383</v>
      </c>
      <c r="CQ312" t="s">
        <v>135</v>
      </c>
      <c r="CR312">
        <v>45815.4</v>
      </c>
      <c r="CS312">
        <v>0.46089999999999998</v>
      </c>
      <c r="CT312">
        <v>1.0147999999999999</v>
      </c>
      <c r="CU312">
        <v>0.58630000000000004</v>
      </c>
      <c r="CV312">
        <v>2.8090000000000002</v>
      </c>
      <c r="CW312">
        <v>22.522300000000001</v>
      </c>
      <c r="CX312">
        <v>16.206199999999999</v>
      </c>
      <c r="CY312">
        <v>5.7744</v>
      </c>
      <c r="CZ312">
        <v>63.210500000000003</v>
      </c>
      <c r="DA312">
        <v>3.1332</v>
      </c>
      <c r="DB312">
        <v>116.49420000000001</v>
      </c>
      <c r="DC312">
        <v>-37.077500000000001</v>
      </c>
      <c r="DD312">
        <v>79.416700000000006</v>
      </c>
      <c r="DE312">
        <v>292723.40000000002</v>
      </c>
      <c r="DF312">
        <v>22018.2</v>
      </c>
      <c r="DG312">
        <v>33672.6</v>
      </c>
      <c r="DH312">
        <v>232908.1</v>
      </c>
      <c r="DI312">
        <v>4124.5</v>
      </c>
    </row>
    <row r="313" spans="4:113" x14ac:dyDescent="0.3">
      <c r="D313" t="s">
        <v>83</v>
      </c>
      <c r="E313" t="s">
        <v>77</v>
      </c>
      <c r="F313">
        <v>16.087800000000001</v>
      </c>
      <c r="G313">
        <v>4.3403999999999998</v>
      </c>
      <c r="H313">
        <v>9.7697000000000003</v>
      </c>
      <c r="I313">
        <v>11.549799999999999</v>
      </c>
      <c r="J313">
        <v>14.173400000000001</v>
      </c>
      <c r="K313">
        <v>7.8779000000000003</v>
      </c>
      <c r="L313" t="s">
        <v>135</v>
      </c>
      <c r="M313">
        <v>5.1730999999999998</v>
      </c>
      <c r="N313">
        <v>4.1181000000000001</v>
      </c>
      <c r="O313">
        <v>4.0789</v>
      </c>
      <c r="P313">
        <v>4.0789</v>
      </c>
      <c r="Q313">
        <v>20.546600000000002</v>
      </c>
      <c r="R313">
        <v>0.61609999999999998</v>
      </c>
      <c r="S313">
        <v>15.9887</v>
      </c>
      <c r="T313">
        <v>4.532</v>
      </c>
      <c r="U313">
        <v>2.7911000000000001</v>
      </c>
      <c r="V313">
        <v>-10.8371</v>
      </c>
      <c r="W313">
        <v>-21.181699999999999</v>
      </c>
      <c r="X313">
        <v>-23.320599999999999</v>
      </c>
      <c r="Y313" t="s">
        <v>135</v>
      </c>
      <c r="Z313">
        <v>3.2654000000000001</v>
      </c>
      <c r="AA313">
        <v>14.0974</v>
      </c>
      <c r="AB313">
        <v>15.017300000000001</v>
      </c>
      <c r="AC313">
        <v>12.8383</v>
      </c>
      <c r="AD313">
        <v>-15.5382</v>
      </c>
      <c r="AE313">
        <v>202.38630000000001</v>
      </c>
      <c r="AF313">
        <v>11.852600000000001</v>
      </c>
      <c r="AG313">
        <v>4.4306000000000001</v>
      </c>
      <c r="AH313">
        <v>-4.1670999999999996</v>
      </c>
      <c r="AI313">
        <v>44.052500000000002</v>
      </c>
      <c r="AJ313">
        <v>16.176500000000001</v>
      </c>
      <c r="AK313">
        <v>37.558700000000002</v>
      </c>
      <c r="AL313">
        <v>14.287800000000001</v>
      </c>
      <c r="AM313">
        <v>17.639800000000001</v>
      </c>
      <c r="AN313">
        <v>19.881699999999999</v>
      </c>
      <c r="AO313">
        <v>14.498699999999999</v>
      </c>
      <c r="AP313">
        <v>3.5179999999999998</v>
      </c>
      <c r="AQ313">
        <v>2.7330999999999999</v>
      </c>
      <c r="AR313">
        <v>-44.954599999999999</v>
      </c>
      <c r="AS313">
        <v>14.761699999999999</v>
      </c>
      <c r="AT313">
        <v>18.8734</v>
      </c>
      <c r="AU313">
        <v>23.179099999999998</v>
      </c>
      <c r="AV313">
        <v>21.6662</v>
      </c>
      <c r="AW313" t="s">
        <v>135</v>
      </c>
      <c r="AX313" t="s">
        <v>135</v>
      </c>
      <c r="AY313">
        <v>21.516100000000002</v>
      </c>
      <c r="AZ313">
        <v>1.5102</v>
      </c>
      <c r="BA313">
        <v>14.2776</v>
      </c>
      <c r="BB313">
        <v>33.282200000000003</v>
      </c>
      <c r="BC313">
        <v>22.062200000000001</v>
      </c>
      <c r="BD313">
        <v>31.816500000000001</v>
      </c>
      <c r="BE313">
        <v>30.148</v>
      </c>
      <c r="BF313">
        <v>4.532</v>
      </c>
      <c r="BG313">
        <v>2.7911000000000001</v>
      </c>
      <c r="BH313">
        <v>-10.8371</v>
      </c>
      <c r="BI313">
        <v>-21.181699999999999</v>
      </c>
      <c r="BJ313">
        <v>-23.320599999999999</v>
      </c>
      <c r="BK313" t="s">
        <v>135</v>
      </c>
      <c r="BL313">
        <v>3.2654000000000001</v>
      </c>
      <c r="BM313">
        <v>14.0974</v>
      </c>
      <c r="BN313">
        <v>15.017300000000001</v>
      </c>
      <c r="BO313">
        <v>12.8383</v>
      </c>
      <c r="BP313" t="s">
        <v>135</v>
      </c>
      <c r="BQ313">
        <v>202.38630000000001</v>
      </c>
      <c r="BR313">
        <v>11.852600000000001</v>
      </c>
      <c r="BS313">
        <v>4.4306000000000001</v>
      </c>
      <c r="BT313">
        <v>-4.1670999999999996</v>
      </c>
      <c r="BU313">
        <v>44.052500000000002</v>
      </c>
      <c r="BV313">
        <v>16.176500000000001</v>
      </c>
      <c r="BW313">
        <v>37.558700000000002</v>
      </c>
      <c r="BX313">
        <v>14.287800000000001</v>
      </c>
      <c r="BY313">
        <v>744498.2</v>
      </c>
      <c r="BZ313">
        <v>225735.1</v>
      </c>
      <c r="CA313">
        <v>518763.1</v>
      </c>
      <c r="CB313">
        <v>1.9436</v>
      </c>
      <c r="CC313">
        <v>0.5837</v>
      </c>
      <c r="CD313">
        <v>3.4967999999999999</v>
      </c>
      <c r="CE313">
        <v>1.0501</v>
      </c>
      <c r="CF313">
        <v>9.9425000000000008</v>
      </c>
      <c r="CG313">
        <v>29.997499999999999</v>
      </c>
      <c r="CH313">
        <v>63.518700000000003</v>
      </c>
      <c r="CI313">
        <v>33.228299999999997</v>
      </c>
      <c r="CJ313">
        <v>19.2636</v>
      </c>
      <c r="CK313">
        <v>91.158299999999997</v>
      </c>
      <c r="CL313">
        <v>47.6873</v>
      </c>
      <c r="CM313">
        <v>27.645900000000001</v>
      </c>
      <c r="CN313">
        <v>27.374400000000001</v>
      </c>
      <c r="CO313">
        <v>21.491299999999999</v>
      </c>
      <c r="CP313">
        <v>383048.4</v>
      </c>
      <c r="CQ313">
        <v>56227.6</v>
      </c>
      <c r="CR313">
        <v>212906.6</v>
      </c>
      <c r="CS313">
        <v>0.47010000000000002</v>
      </c>
      <c r="CT313">
        <v>1.0406</v>
      </c>
      <c r="CU313">
        <v>0.58730000000000004</v>
      </c>
      <c r="CV313">
        <v>2.4653999999999998</v>
      </c>
      <c r="CW313">
        <v>21.139500000000002</v>
      </c>
      <c r="CX313">
        <v>17.313600000000001</v>
      </c>
      <c r="CY313">
        <v>5.2750000000000004</v>
      </c>
      <c r="CZ313">
        <v>69.383899999999997</v>
      </c>
      <c r="DA313">
        <v>2.9990999999999999</v>
      </c>
      <c r="DB313">
        <v>122.03660000000001</v>
      </c>
      <c r="DC313">
        <v>-35.339199999999998</v>
      </c>
      <c r="DD313">
        <v>86.697400000000002</v>
      </c>
      <c r="DE313">
        <v>333989.8</v>
      </c>
      <c r="DF313">
        <v>26799</v>
      </c>
      <c r="DG313">
        <v>42807.5</v>
      </c>
      <c r="DH313">
        <v>259474.7</v>
      </c>
      <c r="DI313">
        <v>4908.6000000000004</v>
      </c>
    </row>
    <row r="314" spans="4:113" x14ac:dyDescent="0.3">
      <c r="E314" t="s">
        <v>78</v>
      </c>
      <c r="F314" t="s">
        <v>135</v>
      </c>
      <c r="G314" t="s">
        <v>135</v>
      </c>
      <c r="H314" t="s">
        <v>135</v>
      </c>
      <c r="I314" t="s">
        <v>135</v>
      </c>
      <c r="J314">
        <v>15.1357</v>
      </c>
      <c r="K314">
        <v>8.7827999999999999</v>
      </c>
      <c r="L314">
        <v>-72.471999999999994</v>
      </c>
      <c r="M314">
        <v>7.2427999999999999</v>
      </c>
      <c r="N314">
        <v>4.6417999999999999</v>
      </c>
      <c r="O314">
        <v>4.601</v>
      </c>
      <c r="P314">
        <v>4.601</v>
      </c>
      <c r="Q314">
        <v>36.025799999999997</v>
      </c>
      <c r="R314" t="s">
        <v>135</v>
      </c>
      <c r="S314" t="s">
        <v>135</v>
      </c>
      <c r="T314">
        <v>-6.1887999999999996</v>
      </c>
      <c r="U314">
        <v>-18.251200000000001</v>
      </c>
      <c r="V314">
        <v>-35.248399999999997</v>
      </c>
      <c r="W314">
        <v>-48.706899999999997</v>
      </c>
      <c r="X314">
        <v>-49.735199999999999</v>
      </c>
      <c r="Y314" t="s">
        <v>135</v>
      </c>
      <c r="Z314" t="s">
        <v>135</v>
      </c>
      <c r="AA314" t="s">
        <v>135</v>
      </c>
      <c r="AB314" t="s">
        <v>135</v>
      </c>
      <c r="AC314" t="s">
        <v>135</v>
      </c>
      <c r="AD314" t="s">
        <v>135</v>
      </c>
      <c r="AE314" t="s">
        <v>135</v>
      </c>
      <c r="AF314" t="s">
        <v>135</v>
      </c>
      <c r="AG314" t="s">
        <v>135</v>
      </c>
      <c r="AH314" t="s">
        <v>135</v>
      </c>
      <c r="AI314" t="s">
        <v>135</v>
      </c>
      <c r="AJ314" t="s">
        <v>135</v>
      </c>
      <c r="AK314" t="s">
        <v>135</v>
      </c>
      <c r="AL314" t="s">
        <v>135</v>
      </c>
      <c r="AM314">
        <v>17.494599999999998</v>
      </c>
      <c r="AN314">
        <v>18.7622</v>
      </c>
      <c r="AO314">
        <v>13.1975</v>
      </c>
      <c r="AP314">
        <v>6.8430999999999997</v>
      </c>
      <c r="AQ314">
        <v>5.5587999999999997</v>
      </c>
      <c r="AR314" t="s">
        <v>135</v>
      </c>
      <c r="AS314" t="s">
        <v>135</v>
      </c>
      <c r="AT314" t="s">
        <v>135</v>
      </c>
      <c r="AU314" t="s">
        <v>135</v>
      </c>
      <c r="AV314" t="s">
        <v>135</v>
      </c>
      <c r="AW314" t="s">
        <v>135</v>
      </c>
      <c r="AX314" t="s">
        <v>135</v>
      </c>
      <c r="AY314" t="s">
        <v>135</v>
      </c>
      <c r="AZ314" t="s">
        <v>135</v>
      </c>
      <c r="BA314" t="s">
        <v>135</v>
      </c>
      <c r="BB314" t="s">
        <v>135</v>
      </c>
      <c r="BC314" t="s">
        <v>135</v>
      </c>
      <c r="BD314" t="s">
        <v>135</v>
      </c>
      <c r="BE314" t="s">
        <v>135</v>
      </c>
      <c r="BF314">
        <v>-10.576000000000001</v>
      </c>
      <c r="BG314">
        <v>7.9454000000000002</v>
      </c>
      <c r="BH314">
        <v>15.366199999999999</v>
      </c>
      <c r="BI314">
        <v>61.311399999999999</v>
      </c>
      <c r="BJ314">
        <v>60.063600000000001</v>
      </c>
      <c r="BK314" t="s">
        <v>135</v>
      </c>
      <c r="BL314" t="s">
        <v>135</v>
      </c>
      <c r="BM314" t="s">
        <v>135</v>
      </c>
      <c r="BN314" t="s">
        <v>135</v>
      </c>
      <c r="BO314" t="s">
        <v>135</v>
      </c>
      <c r="BP314" t="s">
        <v>135</v>
      </c>
      <c r="BQ314" t="s">
        <v>135</v>
      </c>
      <c r="BR314" t="s">
        <v>135</v>
      </c>
      <c r="BS314" t="s">
        <v>135</v>
      </c>
      <c r="BT314" t="s">
        <v>135</v>
      </c>
      <c r="BU314" t="s">
        <v>135</v>
      </c>
      <c r="BV314" t="s">
        <v>135</v>
      </c>
      <c r="BW314" t="s">
        <v>135</v>
      </c>
      <c r="BX314" t="s">
        <v>135</v>
      </c>
      <c r="BY314" t="s">
        <v>135</v>
      </c>
      <c r="BZ314" t="s">
        <v>135</v>
      </c>
      <c r="CA314" t="s">
        <v>135</v>
      </c>
      <c r="CB314" t="s">
        <v>135</v>
      </c>
      <c r="CC314" t="s">
        <v>135</v>
      </c>
      <c r="CD314" t="s">
        <v>135</v>
      </c>
      <c r="CE314" t="s">
        <v>135</v>
      </c>
      <c r="CF314">
        <v>8.1521000000000008</v>
      </c>
      <c r="CG314" t="s">
        <v>135</v>
      </c>
      <c r="CH314" t="s">
        <v>135</v>
      </c>
      <c r="CI314" t="s">
        <v>135</v>
      </c>
      <c r="CJ314" t="s">
        <v>135</v>
      </c>
      <c r="CK314" t="s">
        <v>135</v>
      </c>
      <c r="CL314" t="s">
        <v>135</v>
      </c>
      <c r="CM314" t="s">
        <v>135</v>
      </c>
      <c r="CN314" t="s">
        <v>135</v>
      </c>
      <c r="CO314" t="s">
        <v>135</v>
      </c>
      <c r="CP314">
        <v>91087.6</v>
      </c>
      <c r="CQ314" t="s">
        <v>135</v>
      </c>
      <c r="CR314">
        <v>52855.5</v>
      </c>
      <c r="CS314" t="s">
        <v>135</v>
      </c>
      <c r="CT314" t="s">
        <v>135</v>
      </c>
      <c r="CU314" t="s">
        <v>135</v>
      </c>
      <c r="CV314" t="s">
        <v>135</v>
      </c>
      <c r="CW314" t="s">
        <v>135</v>
      </c>
      <c r="CX314" t="s">
        <v>135</v>
      </c>
      <c r="CY314" t="s">
        <v>135</v>
      </c>
      <c r="CZ314" t="s">
        <v>135</v>
      </c>
      <c r="DA314" t="s">
        <v>135</v>
      </c>
      <c r="DB314" t="s">
        <v>135</v>
      </c>
      <c r="DC314" t="s">
        <v>135</v>
      </c>
      <c r="DD314" t="s">
        <v>135</v>
      </c>
      <c r="DE314" t="s">
        <v>135</v>
      </c>
      <c r="DF314" t="s">
        <v>135</v>
      </c>
      <c r="DG314" t="s">
        <v>135</v>
      </c>
      <c r="DH314" t="s">
        <v>135</v>
      </c>
      <c r="DI314" t="s">
        <v>135</v>
      </c>
    </row>
    <row r="315" spans="4:113" x14ac:dyDescent="0.3">
      <c r="E315" t="s">
        <v>79</v>
      </c>
      <c r="F315">
        <v>13.5754</v>
      </c>
      <c r="G315">
        <v>4.1509999999999998</v>
      </c>
      <c r="H315">
        <v>10.088699999999999</v>
      </c>
      <c r="I315">
        <v>10.6166</v>
      </c>
      <c r="J315">
        <v>11.3065</v>
      </c>
      <c r="K315">
        <v>4.0301</v>
      </c>
      <c r="L315" t="s">
        <v>135</v>
      </c>
      <c r="M315">
        <v>-1.8317000000000001</v>
      </c>
      <c r="N315">
        <v>-0.66910000000000003</v>
      </c>
      <c r="O315">
        <v>-0.70620000000000005</v>
      </c>
      <c r="P315">
        <v>-0.70620000000000005</v>
      </c>
      <c r="Q315" t="s">
        <v>135</v>
      </c>
      <c r="R315" t="s">
        <v>135</v>
      </c>
      <c r="S315" t="s">
        <v>135</v>
      </c>
      <c r="T315">
        <v>1.1453</v>
      </c>
      <c r="U315">
        <v>-28.079000000000001</v>
      </c>
      <c r="V315">
        <v>-61.398299999999999</v>
      </c>
      <c r="W315" t="s">
        <v>135</v>
      </c>
      <c r="X315" t="s">
        <v>135</v>
      </c>
      <c r="Y315" t="s">
        <v>135</v>
      </c>
      <c r="Z315">
        <v>21.8125</v>
      </c>
      <c r="AA315">
        <v>23.4267</v>
      </c>
      <c r="AB315">
        <v>17.382000000000001</v>
      </c>
      <c r="AC315">
        <v>10.5939</v>
      </c>
      <c r="AD315">
        <v>61.574800000000003</v>
      </c>
      <c r="AE315">
        <v>185.43360000000001</v>
      </c>
      <c r="AF315">
        <v>0.38069999999999998</v>
      </c>
      <c r="AG315">
        <v>0.52300000000000002</v>
      </c>
      <c r="AH315">
        <v>8.8470999999999993</v>
      </c>
      <c r="AI315">
        <v>19.202500000000001</v>
      </c>
      <c r="AJ315">
        <v>14.324999999999999</v>
      </c>
      <c r="AK315">
        <v>14.3269</v>
      </c>
      <c r="AL315" t="s">
        <v>135</v>
      </c>
      <c r="AM315">
        <v>16.3232</v>
      </c>
      <c r="AN315">
        <v>11.448600000000001</v>
      </c>
      <c r="AO315">
        <v>-3.3424</v>
      </c>
      <c r="AP315" t="s">
        <v>135</v>
      </c>
      <c r="AQ315" t="s">
        <v>135</v>
      </c>
      <c r="AR315" t="s">
        <v>135</v>
      </c>
      <c r="AS315">
        <v>12.948</v>
      </c>
      <c r="AT315">
        <v>22.402000000000001</v>
      </c>
      <c r="AU315" t="s">
        <v>135</v>
      </c>
      <c r="AV315">
        <v>22.8689</v>
      </c>
      <c r="AW315" t="s">
        <v>135</v>
      </c>
      <c r="AX315" t="s">
        <v>135</v>
      </c>
      <c r="AY315" t="s">
        <v>135</v>
      </c>
      <c r="AZ315" t="s">
        <v>135</v>
      </c>
      <c r="BA315">
        <v>12.5884</v>
      </c>
      <c r="BB315">
        <v>44.984299999999998</v>
      </c>
      <c r="BC315">
        <v>24.525300000000001</v>
      </c>
      <c r="BD315">
        <v>40.6845</v>
      </c>
      <c r="BE315" t="s">
        <v>135</v>
      </c>
      <c r="BF315">
        <v>3.1677</v>
      </c>
      <c r="BG315">
        <v>-37.49</v>
      </c>
      <c r="BH315">
        <v>-66.244600000000005</v>
      </c>
      <c r="BI315">
        <v>-108.21559999999999</v>
      </c>
      <c r="BJ315">
        <v>-108.05840000000001</v>
      </c>
      <c r="BK315" t="s">
        <v>135</v>
      </c>
      <c r="BL315" t="s">
        <v>135</v>
      </c>
      <c r="BM315" t="s">
        <v>135</v>
      </c>
      <c r="BN315" t="s">
        <v>135</v>
      </c>
      <c r="BO315" t="s">
        <v>135</v>
      </c>
      <c r="BP315" t="s">
        <v>135</v>
      </c>
      <c r="BQ315" t="s">
        <v>135</v>
      </c>
      <c r="BR315" t="s">
        <v>135</v>
      </c>
      <c r="BS315" t="s">
        <v>135</v>
      </c>
      <c r="BT315" t="s">
        <v>135</v>
      </c>
      <c r="BU315" t="s">
        <v>135</v>
      </c>
      <c r="BV315" t="s">
        <v>135</v>
      </c>
      <c r="BW315" t="s">
        <v>135</v>
      </c>
      <c r="BX315" t="s">
        <v>135</v>
      </c>
      <c r="BY315">
        <v>661503.9</v>
      </c>
      <c r="BZ315">
        <v>128441</v>
      </c>
      <c r="CA315">
        <v>533062.9</v>
      </c>
      <c r="CB315">
        <v>1.8184</v>
      </c>
      <c r="CC315">
        <v>0.83430000000000004</v>
      </c>
      <c r="CD315">
        <v>3.1478999999999999</v>
      </c>
      <c r="CE315">
        <v>1.4442999999999999</v>
      </c>
      <c r="CF315">
        <v>5.9345999999999997</v>
      </c>
      <c r="CG315">
        <v>31.679400000000001</v>
      </c>
      <c r="CH315">
        <v>65.517700000000005</v>
      </c>
      <c r="CI315">
        <v>36.136899999999997</v>
      </c>
      <c r="CJ315">
        <v>20.862400000000001</v>
      </c>
      <c r="CK315">
        <v>81.304100000000005</v>
      </c>
      <c r="CL315">
        <v>44.844000000000001</v>
      </c>
      <c r="CM315">
        <v>25.889199999999999</v>
      </c>
      <c r="CN315">
        <v>37.304499999999997</v>
      </c>
      <c r="CO315">
        <v>27.1692</v>
      </c>
      <c r="CP315">
        <v>68803.5</v>
      </c>
      <c r="CQ315" t="s">
        <v>135</v>
      </c>
      <c r="CR315">
        <v>24524.1</v>
      </c>
      <c r="CS315">
        <v>0.36459999999999998</v>
      </c>
      <c r="CT315">
        <v>1.0649</v>
      </c>
      <c r="CU315">
        <v>0.48859999999999998</v>
      </c>
      <c r="CV315">
        <v>2.1143999999999998</v>
      </c>
      <c r="CW315">
        <v>23.114999999999998</v>
      </c>
      <c r="CX315">
        <v>15.7906</v>
      </c>
      <c r="CY315">
        <v>4.9688999999999997</v>
      </c>
      <c r="CZ315">
        <v>73.457400000000007</v>
      </c>
      <c r="DA315">
        <v>3.1535000000000002</v>
      </c>
      <c r="DB315">
        <v>115.745</v>
      </c>
      <c r="DC315">
        <v>-26.497</v>
      </c>
      <c r="DD315">
        <v>89.247900000000001</v>
      </c>
      <c r="DE315">
        <v>361725.9</v>
      </c>
      <c r="DF315" t="s">
        <v>135</v>
      </c>
      <c r="DG315" t="s">
        <v>135</v>
      </c>
      <c r="DH315" t="s">
        <v>135</v>
      </c>
      <c r="DI315" t="s">
        <v>135</v>
      </c>
    </row>
    <row r="316" spans="4:113" x14ac:dyDescent="0.3">
      <c r="E316" t="s">
        <v>80</v>
      </c>
      <c r="F316" t="s">
        <v>135</v>
      </c>
      <c r="G316" t="s">
        <v>135</v>
      </c>
      <c r="H316" t="s">
        <v>135</v>
      </c>
      <c r="I316" t="s">
        <v>135</v>
      </c>
      <c r="J316">
        <v>13.0848</v>
      </c>
      <c r="K316">
        <v>7.0317999999999996</v>
      </c>
      <c r="L316" t="s">
        <v>135</v>
      </c>
      <c r="M316">
        <v>5.8250000000000002</v>
      </c>
      <c r="N316">
        <v>4.9214000000000002</v>
      </c>
      <c r="O316">
        <v>4.8929</v>
      </c>
      <c r="P316">
        <v>4.8929</v>
      </c>
      <c r="Q316">
        <v>15.5969</v>
      </c>
      <c r="R316" t="s">
        <v>135</v>
      </c>
      <c r="S316" t="s">
        <v>135</v>
      </c>
      <c r="T316">
        <v>3.7100999999999997</v>
      </c>
      <c r="U316">
        <v>-6.7013999999999996</v>
      </c>
      <c r="V316">
        <v>-24.929500000000001</v>
      </c>
      <c r="W316">
        <v>-2.0436999999999999</v>
      </c>
      <c r="X316">
        <v>-6.2054</v>
      </c>
      <c r="Y316" t="s">
        <v>135</v>
      </c>
      <c r="Z316" t="s">
        <v>135</v>
      </c>
      <c r="AA316" t="s">
        <v>135</v>
      </c>
      <c r="AB316" t="s">
        <v>135</v>
      </c>
      <c r="AC316" t="s">
        <v>135</v>
      </c>
      <c r="AD316" t="s">
        <v>135</v>
      </c>
      <c r="AE316" t="s">
        <v>135</v>
      </c>
      <c r="AF316" t="s">
        <v>135</v>
      </c>
      <c r="AG316" t="s">
        <v>135</v>
      </c>
      <c r="AH316" t="s">
        <v>135</v>
      </c>
      <c r="AI316" t="s">
        <v>135</v>
      </c>
      <c r="AJ316" t="s">
        <v>135</v>
      </c>
      <c r="AK316" t="s">
        <v>135</v>
      </c>
      <c r="AL316" t="s">
        <v>135</v>
      </c>
      <c r="AM316">
        <v>17.871099999999998</v>
      </c>
      <c r="AN316">
        <v>15.8825</v>
      </c>
      <c r="AO316">
        <v>9.1761999999999997</v>
      </c>
      <c r="AP316">
        <v>7.6664000000000003</v>
      </c>
      <c r="AQ316">
        <v>7.2252999999999998</v>
      </c>
      <c r="AR316" t="s">
        <v>135</v>
      </c>
      <c r="AS316" t="s">
        <v>135</v>
      </c>
      <c r="AT316" t="s">
        <v>135</v>
      </c>
      <c r="AU316" t="s">
        <v>135</v>
      </c>
      <c r="AV316" t="s">
        <v>135</v>
      </c>
      <c r="AW316" t="s">
        <v>135</v>
      </c>
      <c r="AX316" t="s">
        <v>135</v>
      </c>
      <c r="AY316" t="s">
        <v>135</v>
      </c>
      <c r="AZ316" t="s">
        <v>135</v>
      </c>
      <c r="BA316" t="s">
        <v>135</v>
      </c>
      <c r="BB316" t="s">
        <v>135</v>
      </c>
      <c r="BC316" t="s">
        <v>135</v>
      </c>
      <c r="BD316" t="s">
        <v>135</v>
      </c>
      <c r="BE316" t="s">
        <v>135</v>
      </c>
      <c r="BF316">
        <v>17.467400000000001</v>
      </c>
      <c r="BG316">
        <v>43.888300000000001</v>
      </c>
      <c r="BH316">
        <v>133.68379999999999</v>
      </c>
      <c r="BI316" t="s">
        <v>135</v>
      </c>
      <c r="BJ316" t="s">
        <v>135</v>
      </c>
      <c r="BK316" t="s">
        <v>135</v>
      </c>
      <c r="BL316" t="s">
        <v>135</v>
      </c>
      <c r="BM316" t="s">
        <v>135</v>
      </c>
      <c r="BN316" t="s">
        <v>135</v>
      </c>
      <c r="BO316" t="s">
        <v>135</v>
      </c>
      <c r="BP316" t="s">
        <v>135</v>
      </c>
      <c r="BQ316" t="s">
        <v>135</v>
      </c>
      <c r="BR316" t="s">
        <v>135</v>
      </c>
      <c r="BS316" t="s">
        <v>135</v>
      </c>
      <c r="BT316" t="s">
        <v>135</v>
      </c>
      <c r="BU316" t="s">
        <v>135</v>
      </c>
      <c r="BV316" t="s">
        <v>135</v>
      </c>
      <c r="BW316" t="s">
        <v>135</v>
      </c>
      <c r="BX316" t="s">
        <v>135</v>
      </c>
      <c r="BY316" t="s">
        <v>135</v>
      </c>
      <c r="BZ316" t="s">
        <v>135</v>
      </c>
      <c r="CA316" t="s">
        <v>135</v>
      </c>
      <c r="CB316" t="s">
        <v>135</v>
      </c>
      <c r="CC316" t="s">
        <v>135</v>
      </c>
      <c r="CD316" t="s">
        <v>135</v>
      </c>
      <c r="CE316" t="s">
        <v>135</v>
      </c>
      <c r="CF316">
        <v>8.5938999999999997</v>
      </c>
      <c r="CG316" t="s">
        <v>135</v>
      </c>
      <c r="CH316" t="s">
        <v>135</v>
      </c>
      <c r="CI316" t="s">
        <v>135</v>
      </c>
      <c r="CJ316" t="s">
        <v>135</v>
      </c>
      <c r="CK316" t="s">
        <v>135</v>
      </c>
      <c r="CL316" t="s">
        <v>135</v>
      </c>
      <c r="CM316" t="s">
        <v>135</v>
      </c>
      <c r="CN316" t="s">
        <v>135</v>
      </c>
      <c r="CO316" t="s">
        <v>135</v>
      </c>
      <c r="CP316">
        <v>93799.5</v>
      </c>
      <c r="CQ316" t="s">
        <v>135</v>
      </c>
      <c r="CR316">
        <v>50408.4</v>
      </c>
      <c r="CS316" t="s">
        <v>135</v>
      </c>
      <c r="CT316" t="s">
        <v>135</v>
      </c>
      <c r="CU316" t="s">
        <v>135</v>
      </c>
      <c r="CV316" t="s">
        <v>135</v>
      </c>
      <c r="CW316" t="s">
        <v>135</v>
      </c>
      <c r="CX316" t="s">
        <v>135</v>
      </c>
      <c r="CY316" t="s">
        <v>135</v>
      </c>
      <c r="CZ316" t="s">
        <v>135</v>
      </c>
      <c r="DA316" t="s">
        <v>135</v>
      </c>
      <c r="DB316" t="s">
        <v>135</v>
      </c>
      <c r="DC316" t="s">
        <v>135</v>
      </c>
      <c r="DD316" t="s">
        <v>135</v>
      </c>
      <c r="DE316" t="s">
        <v>135</v>
      </c>
      <c r="DF316" t="s">
        <v>135</v>
      </c>
      <c r="DG316" t="s">
        <v>135</v>
      </c>
      <c r="DH316" t="s">
        <v>135</v>
      </c>
      <c r="DI316" t="s">
        <v>135</v>
      </c>
    </row>
    <row r="317" spans="4:113" x14ac:dyDescent="0.3">
      <c r="E317" t="s">
        <v>81</v>
      </c>
      <c r="F317">
        <v>16.900400000000001</v>
      </c>
      <c r="G317">
        <v>4.5597000000000003</v>
      </c>
      <c r="H317">
        <v>10.604699999999999</v>
      </c>
      <c r="I317">
        <v>10.9528</v>
      </c>
      <c r="J317">
        <v>14.2471</v>
      </c>
      <c r="K317">
        <v>8.7120999999999995</v>
      </c>
      <c r="L317">
        <v>18.860399999999998</v>
      </c>
      <c r="M317">
        <v>8.2088999999999999</v>
      </c>
      <c r="N317">
        <v>6.5251999999999999</v>
      </c>
      <c r="O317">
        <v>6.4772999999999996</v>
      </c>
      <c r="P317">
        <v>6.4772999999999996</v>
      </c>
      <c r="Q317">
        <v>20.6463</v>
      </c>
      <c r="R317" t="s">
        <v>135</v>
      </c>
      <c r="S317" t="s">
        <v>135</v>
      </c>
      <c r="T317">
        <v>18.764499999999998</v>
      </c>
      <c r="U317">
        <v>34.946300000000001</v>
      </c>
      <c r="V317">
        <v>51.984900000000003</v>
      </c>
      <c r="W317">
        <v>201.60560000000001</v>
      </c>
      <c r="X317">
        <v>192.64930000000001</v>
      </c>
      <c r="Y317" t="s">
        <v>135</v>
      </c>
      <c r="Z317">
        <v>3.2654000000000001</v>
      </c>
      <c r="AA317">
        <v>14.0974</v>
      </c>
      <c r="AB317">
        <v>15.017300000000001</v>
      </c>
      <c r="AC317">
        <v>12.8383</v>
      </c>
      <c r="AD317">
        <v>-15.5382</v>
      </c>
      <c r="AE317">
        <v>202.38630000000001</v>
      </c>
      <c r="AF317">
        <v>11.852600000000001</v>
      </c>
      <c r="AG317">
        <v>4.4306000000000001</v>
      </c>
      <c r="AH317">
        <v>-4.1670999999999996</v>
      </c>
      <c r="AI317">
        <v>44.052500000000002</v>
      </c>
      <c r="AJ317">
        <v>16.176500000000001</v>
      </c>
      <c r="AK317">
        <v>37.558700000000002</v>
      </c>
      <c r="AL317" t="s">
        <v>135</v>
      </c>
      <c r="AM317">
        <v>19.3553</v>
      </c>
      <c r="AN317">
        <v>29.5184</v>
      </c>
      <c r="AO317">
        <v>30.803799999999999</v>
      </c>
      <c r="AP317">
        <v>14.4399</v>
      </c>
      <c r="AQ317">
        <v>14.5677</v>
      </c>
      <c r="AR317" t="s">
        <v>135</v>
      </c>
      <c r="AS317">
        <v>14.761699999999999</v>
      </c>
      <c r="AT317">
        <v>18.8734</v>
      </c>
      <c r="AU317">
        <v>23.179099999999998</v>
      </c>
      <c r="AV317">
        <v>21.6662</v>
      </c>
      <c r="AW317" t="s">
        <v>135</v>
      </c>
      <c r="AX317" t="s">
        <v>135</v>
      </c>
      <c r="AY317">
        <v>21.516100000000002</v>
      </c>
      <c r="AZ317">
        <v>1.5102</v>
      </c>
      <c r="BA317">
        <v>14.2776</v>
      </c>
      <c r="BB317">
        <v>33.282200000000003</v>
      </c>
      <c r="BC317">
        <v>22.062200000000001</v>
      </c>
      <c r="BD317">
        <v>31.816500000000001</v>
      </c>
      <c r="BE317" t="s">
        <v>135</v>
      </c>
      <c r="BF317">
        <v>16.8962</v>
      </c>
      <c r="BG317">
        <v>28.603300000000001</v>
      </c>
      <c r="BH317">
        <v>51.620899999999999</v>
      </c>
      <c r="BI317">
        <v>76.447599999999994</v>
      </c>
      <c r="BJ317">
        <v>76.682100000000005</v>
      </c>
      <c r="BK317" t="s">
        <v>135</v>
      </c>
      <c r="BL317" t="s">
        <v>135</v>
      </c>
      <c r="BM317" t="s">
        <v>135</v>
      </c>
      <c r="BN317" t="s">
        <v>135</v>
      </c>
      <c r="BO317" t="s">
        <v>135</v>
      </c>
      <c r="BP317" t="s">
        <v>135</v>
      </c>
      <c r="BQ317" t="s">
        <v>135</v>
      </c>
      <c r="BR317" t="s">
        <v>135</v>
      </c>
      <c r="BS317" t="s">
        <v>135</v>
      </c>
      <c r="BT317" t="s">
        <v>135</v>
      </c>
      <c r="BU317" t="s">
        <v>135</v>
      </c>
      <c r="BV317" t="s">
        <v>135</v>
      </c>
      <c r="BW317" t="s">
        <v>135</v>
      </c>
      <c r="BX317" t="s">
        <v>135</v>
      </c>
      <c r="BY317">
        <v>744498.2</v>
      </c>
      <c r="BZ317">
        <v>225735.1</v>
      </c>
      <c r="CA317">
        <v>518763.1</v>
      </c>
      <c r="CB317">
        <v>1.9713000000000001</v>
      </c>
      <c r="CC317">
        <v>0.59199999999999997</v>
      </c>
      <c r="CD317">
        <v>3.5489000000000002</v>
      </c>
      <c r="CE317">
        <v>1.0657000000000001</v>
      </c>
      <c r="CF317">
        <v>9.0722000000000005</v>
      </c>
      <c r="CG317">
        <v>29.997499999999999</v>
      </c>
      <c r="CH317">
        <v>63.518700000000003</v>
      </c>
      <c r="CI317">
        <v>33.228299999999997</v>
      </c>
      <c r="CJ317">
        <v>19.2636</v>
      </c>
      <c r="CK317">
        <v>91.158299999999997</v>
      </c>
      <c r="CL317">
        <v>47.6873</v>
      </c>
      <c r="CM317">
        <v>27.645900000000001</v>
      </c>
      <c r="CN317">
        <v>27.374400000000001</v>
      </c>
      <c r="CO317">
        <v>21.491299999999999</v>
      </c>
      <c r="CP317">
        <v>113871.7</v>
      </c>
      <c r="CQ317" t="s">
        <v>135</v>
      </c>
      <c r="CR317">
        <v>69632.5</v>
      </c>
      <c r="CS317">
        <v>0.47010000000000002</v>
      </c>
      <c r="CT317">
        <v>1.0406</v>
      </c>
      <c r="CU317">
        <v>0.58730000000000004</v>
      </c>
      <c r="CV317">
        <v>2.4653999999999998</v>
      </c>
      <c r="CW317">
        <v>20.987100000000002</v>
      </c>
      <c r="CX317">
        <v>17.439299999999999</v>
      </c>
      <c r="CY317">
        <v>5.3053999999999997</v>
      </c>
      <c r="CZ317">
        <v>68.986199999999997</v>
      </c>
      <c r="DA317">
        <v>3.016</v>
      </c>
      <c r="DB317">
        <v>121.35420000000001</v>
      </c>
      <c r="DC317">
        <v>-34.928600000000003</v>
      </c>
      <c r="DD317">
        <v>86.425600000000003</v>
      </c>
      <c r="DE317">
        <v>333989.8</v>
      </c>
      <c r="DF317">
        <v>26799</v>
      </c>
      <c r="DG317">
        <v>42807.5</v>
      </c>
      <c r="DH317">
        <v>259474.7</v>
      </c>
      <c r="DI317">
        <v>4908.6000000000004</v>
      </c>
    </row>
    <row r="318" spans="4:113" x14ac:dyDescent="0.3">
      <c r="D318" t="s">
        <v>84</v>
      </c>
      <c r="E318" t="s">
        <v>77</v>
      </c>
      <c r="F318">
        <v>10.8811</v>
      </c>
      <c r="G318">
        <v>2.7563</v>
      </c>
      <c r="H318">
        <v>6.8719000000000001</v>
      </c>
      <c r="I318">
        <v>8.1865000000000006</v>
      </c>
      <c r="J318">
        <v>12.689</v>
      </c>
      <c r="K318">
        <v>5.9068000000000005</v>
      </c>
      <c r="L318">
        <v>-180.7774</v>
      </c>
      <c r="M318">
        <v>3.5282999999999998</v>
      </c>
      <c r="N318">
        <v>2.8622999999999998</v>
      </c>
      <c r="O318">
        <v>2.8235999999999999</v>
      </c>
      <c r="P318">
        <v>2.8235999999999999</v>
      </c>
      <c r="Q318">
        <v>34.904000000000003</v>
      </c>
      <c r="R318">
        <v>0</v>
      </c>
      <c r="S318">
        <v>10.8811</v>
      </c>
      <c r="T318">
        <v>-1.2422</v>
      </c>
      <c r="U318">
        <v>-12.552899999999999</v>
      </c>
      <c r="V318">
        <v>-27.7956</v>
      </c>
      <c r="W318">
        <v>-35.6235</v>
      </c>
      <c r="X318">
        <v>-35.952100000000002</v>
      </c>
      <c r="Y318" t="s">
        <v>135</v>
      </c>
      <c r="Z318">
        <v>6.2839</v>
      </c>
      <c r="AA318">
        <v>7.44</v>
      </c>
      <c r="AB318">
        <v>-2.3736999999999999</v>
      </c>
      <c r="AC318">
        <v>2.4754999999999998</v>
      </c>
      <c r="AD318">
        <v>67.247200000000007</v>
      </c>
      <c r="AE318">
        <v>-58.168399999999998</v>
      </c>
      <c r="AF318">
        <v>0.20469999999999999</v>
      </c>
      <c r="AG318">
        <v>-4.8124000000000002</v>
      </c>
      <c r="AH318">
        <v>13.2661</v>
      </c>
      <c r="AI318">
        <v>-26.2898</v>
      </c>
      <c r="AJ318">
        <v>-7.8367000000000004</v>
      </c>
      <c r="AK318">
        <v>-26.459600000000002</v>
      </c>
      <c r="AL318">
        <v>-20.780100000000001</v>
      </c>
      <c r="AM318">
        <v>10.152200000000001</v>
      </c>
      <c r="AN318">
        <v>10.824</v>
      </c>
      <c r="AO318">
        <v>1.5810999999999999</v>
      </c>
      <c r="AP318">
        <v>-11.2212</v>
      </c>
      <c r="AQ318">
        <v>-11.4239</v>
      </c>
      <c r="AR318">
        <v>-100</v>
      </c>
      <c r="AS318">
        <v>20.452999999999999</v>
      </c>
      <c r="AT318">
        <v>14.0077</v>
      </c>
      <c r="AU318">
        <v>18.203800000000001</v>
      </c>
      <c r="AV318">
        <v>13.563800000000001</v>
      </c>
      <c r="AW318" t="s">
        <v>135</v>
      </c>
      <c r="AX318" t="s">
        <v>135</v>
      </c>
      <c r="AY318">
        <v>12.0905</v>
      </c>
      <c r="AZ318">
        <v>-5.0056000000000003</v>
      </c>
      <c r="BA318">
        <v>8.9463000000000008</v>
      </c>
      <c r="BB318">
        <v>12.133599999999999</v>
      </c>
      <c r="BC318">
        <v>10.2394</v>
      </c>
      <c r="BD318">
        <v>10.8919</v>
      </c>
      <c r="BE318">
        <v>10.9331</v>
      </c>
      <c r="BF318">
        <v>-1.2422</v>
      </c>
      <c r="BG318">
        <v>-12.552899999999999</v>
      </c>
      <c r="BH318">
        <v>-27.7956</v>
      </c>
      <c r="BI318">
        <v>-35.6235</v>
      </c>
      <c r="BJ318">
        <v>-35.952100000000002</v>
      </c>
      <c r="BK318">
        <v>-100</v>
      </c>
      <c r="BL318">
        <v>6.2839</v>
      </c>
      <c r="BM318">
        <v>7.44</v>
      </c>
      <c r="BN318">
        <v>-2.3736999999999999</v>
      </c>
      <c r="BO318">
        <v>2.4754999999999998</v>
      </c>
      <c r="BP318" t="s">
        <v>135</v>
      </c>
      <c r="BQ318">
        <v>-58.168399999999998</v>
      </c>
      <c r="BR318">
        <v>0.20469999999999999</v>
      </c>
      <c r="BS318">
        <v>-4.8124000000000002</v>
      </c>
      <c r="BT318">
        <v>13.2661</v>
      </c>
      <c r="BU318">
        <v>-26.2898</v>
      </c>
      <c r="BV318">
        <v>-7.8367000000000004</v>
      </c>
      <c r="BW318">
        <v>-26.459600000000002</v>
      </c>
      <c r="BX318">
        <v>-20.780100000000001</v>
      </c>
      <c r="BY318">
        <v>786261</v>
      </c>
      <c r="BZ318">
        <v>179969.2</v>
      </c>
      <c r="CA318">
        <v>606291.80000000005</v>
      </c>
      <c r="CB318">
        <v>2.3471000000000002</v>
      </c>
      <c r="CC318">
        <v>0.82830000000000004</v>
      </c>
      <c r="CD318">
        <v>5.0420999999999996</v>
      </c>
      <c r="CE318">
        <v>1.7793000000000001</v>
      </c>
      <c r="CF318">
        <v>9.6134000000000004</v>
      </c>
      <c r="CG318">
        <v>21.209499999999998</v>
      </c>
      <c r="CH318">
        <v>103.613</v>
      </c>
      <c r="CI318">
        <v>44.209299999999999</v>
      </c>
      <c r="CJ318">
        <v>22.147300000000001</v>
      </c>
      <c r="CK318">
        <v>134.369</v>
      </c>
      <c r="CL318">
        <v>57.3322</v>
      </c>
      <c r="CM318">
        <v>28.721399999999999</v>
      </c>
      <c r="CN318">
        <v>47.415900000000001</v>
      </c>
      <c r="CO318">
        <v>32.164700000000003</v>
      </c>
      <c r="CP318">
        <v>334987.90000000002</v>
      </c>
      <c r="CQ318">
        <v>174270.1</v>
      </c>
      <c r="CR318">
        <v>155938</v>
      </c>
      <c r="CS318">
        <v>0.44</v>
      </c>
      <c r="CT318">
        <v>1.0104</v>
      </c>
      <c r="CU318">
        <v>0.62070000000000003</v>
      </c>
      <c r="CV318">
        <v>2.2791000000000001</v>
      </c>
      <c r="CW318">
        <v>13.0253</v>
      </c>
      <c r="CX318">
        <v>28.022400000000001</v>
      </c>
      <c r="CY318">
        <v>5.1163999999999996</v>
      </c>
      <c r="CZ318">
        <v>71.339699999999993</v>
      </c>
      <c r="DA318">
        <v>3.0487000000000002</v>
      </c>
      <c r="DB318">
        <v>119.7242</v>
      </c>
      <c r="DC318">
        <v>-20.362100000000002</v>
      </c>
      <c r="DD318">
        <v>99.362099999999998</v>
      </c>
      <c r="DE318">
        <v>350853.1</v>
      </c>
      <c r="DF318">
        <v>26938</v>
      </c>
      <c r="DG318">
        <v>36425.599999999999</v>
      </c>
      <c r="DH318">
        <v>282351.7</v>
      </c>
      <c r="DI318">
        <v>5137.8</v>
      </c>
    </row>
    <row r="319" spans="4:113" x14ac:dyDescent="0.3">
      <c r="E319" t="s">
        <v>78</v>
      </c>
      <c r="F319" t="s">
        <v>135</v>
      </c>
      <c r="G319" t="s">
        <v>135</v>
      </c>
      <c r="H319" t="s">
        <v>135</v>
      </c>
      <c r="I319" t="s">
        <v>135</v>
      </c>
      <c r="J319">
        <v>11.723000000000001</v>
      </c>
      <c r="K319">
        <v>4.7153</v>
      </c>
      <c r="L319" t="s">
        <v>135</v>
      </c>
      <c r="M319">
        <v>3.9289000000000001</v>
      </c>
      <c r="N319">
        <v>3.4807000000000001</v>
      </c>
      <c r="O319">
        <v>3.4438</v>
      </c>
      <c r="P319">
        <v>3.4438</v>
      </c>
      <c r="Q319">
        <v>28.2209</v>
      </c>
      <c r="R319" t="s">
        <v>135</v>
      </c>
      <c r="S319" t="s">
        <v>135</v>
      </c>
      <c r="T319">
        <v>10.0968</v>
      </c>
      <c r="U319">
        <v>-30.834299999999999</v>
      </c>
      <c r="V319">
        <v>-57.852499999999999</v>
      </c>
      <c r="W319">
        <v>-57.247799999999998</v>
      </c>
      <c r="X319">
        <v>-58.312199999999997</v>
      </c>
      <c r="Y319" t="s">
        <v>135</v>
      </c>
      <c r="Z319" t="s">
        <v>135</v>
      </c>
      <c r="AA319" t="s">
        <v>135</v>
      </c>
      <c r="AB319" t="s">
        <v>135</v>
      </c>
      <c r="AC319" t="s">
        <v>135</v>
      </c>
      <c r="AD319" t="s">
        <v>135</v>
      </c>
      <c r="AE319" t="s">
        <v>135</v>
      </c>
      <c r="AF319" t="s">
        <v>135</v>
      </c>
      <c r="AG319" t="s">
        <v>135</v>
      </c>
      <c r="AH319" t="s">
        <v>135</v>
      </c>
      <c r="AI319" t="s">
        <v>135</v>
      </c>
      <c r="AJ319" t="s">
        <v>135</v>
      </c>
      <c r="AK319" t="s">
        <v>135</v>
      </c>
      <c r="AL319" t="s">
        <v>135</v>
      </c>
      <c r="AM319">
        <v>14.2286</v>
      </c>
      <c r="AN319">
        <v>12.4404</v>
      </c>
      <c r="AO319">
        <v>-0.1981</v>
      </c>
      <c r="AP319">
        <v>2.2633000000000001</v>
      </c>
      <c r="AQ319">
        <v>1.9881</v>
      </c>
      <c r="AR319" t="s">
        <v>135</v>
      </c>
      <c r="AS319" t="s">
        <v>135</v>
      </c>
      <c r="AT319" t="s">
        <v>135</v>
      </c>
      <c r="AU319" t="s">
        <v>135</v>
      </c>
      <c r="AV319" t="s">
        <v>135</v>
      </c>
      <c r="AW319" t="s">
        <v>135</v>
      </c>
      <c r="AX319" t="s">
        <v>135</v>
      </c>
      <c r="AY319" t="s">
        <v>135</v>
      </c>
      <c r="AZ319" t="s">
        <v>135</v>
      </c>
      <c r="BA319" t="s">
        <v>135</v>
      </c>
      <c r="BB319" t="s">
        <v>135</v>
      </c>
      <c r="BC319" t="s">
        <v>135</v>
      </c>
      <c r="BD319" t="s">
        <v>135</v>
      </c>
      <c r="BE319" t="s">
        <v>135</v>
      </c>
      <c r="BF319">
        <v>-18.3245</v>
      </c>
      <c r="BG319">
        <v>-37.216200000000001</v>
      </c>
      <c r="BH319">
        <v>-60.642000000000003</v>
      </c>
      <c r="BI319">
        <v>-56.792099999999998</v>
      </c>
      <c r="BJ319">
        <v>-56.833100000000002</v>
      </c>
      <c r="BK319" t="s">
        <v>135</v>
      </c>
      <c r="BL319" t="s">
        <v>135</v>
      </c>
      <c r="BM319" t="s">
        <v>135</v>
      </c>
      <c r="BN319" t="s">
        <v>135</v>
      </c>
      <c r="BO319" t="s">
        <v>135</v>
      </c>
      <c r="BP319" t="s">
        <v>135</v>
      </c>
      <c r="BQ319" t="s">
        <v>135</v>
      </c>
      <c r="BR319" t="s">
        <v>135</v>
      </c>
      <c r="BS319" t="s">
        <v>135</v>
      </c>
      <c r="BT319" t="s">
        <v>135</v>
      </c>
      <c r="BU319" t="s">
        <v>135</v>
      </c>
      <c r="BV319" t="s">
        <v>135</v>
      </c>
      <c r="BW319" t="s">
        <v>135</v>
      </c>
      <c r="BX319" t="s">
        <v>135</v>
      </c>
      <c r="BY319" t="s">
        <v>135</v>
      </c>
      <c r="BZ319" t="s">
        <v>135</v>
      </c>
      <c r="CA319" t="s">
        <v>135</v>
      </c>
      <c r="CB319" t="s">
        <v>135</v>
      </c>
      <c r="CC319" t="s">
        <v>135</v>
      </c>
      <c r="CD319" t="s">
        <v>135</v>
      </c>
      <c r="CE319" t="s">
        <v>135</v>
      </c>
      <c r="CF319">
        <v>6.51</v>
      </c>
      <c r="CG319" t="s">
        <v>135</v>
      </c>
      <c r="CH319" t="s">
        <v>135</v>
      </c>
      <c r="CI319" t="s">
        <v>135</v>
      </c>
      <c r="CJ319" t="s">
        <v>135</v>
      </c>
      <c r="CK319" t="s">
        <v>135</v>
      </c>
      <c r="CL319" t="s">
        <v>135</v>
      </c>
      <c r="CM319" t="s">
        <v>135</v>
      </c>
      <c r="CN319" t="s">
        <v>135</v>
      </c>
      <c r="CO319" t="s">
        <v>135</v>
      </c>
      <c r="CP319">
        <v>76129.3</v>
      </c>
      <c r="CQ319" t="s">
        <v>135</v>
      </c>
      <c r="CR319">
        <v>30621.1</v>
      </c>
      <c r="CS319" t="s">
        <v>135</v>
      </c>
      <c r="CT319" t="s">
        <v>135</v>
      </c>
      <c r="CU319" t="s">
        <v>135</v>
      </c>
      <c r="CV319" t="s">
        <v>135</v>
      </c>
      <c r="CW319" t="s">
        <v>135</v>
      </c>
      <c r="CX319" t="s">
        <v>135</v>
      </c>
      <c r="CY319" t="s">
        <v>135</v>
      </c>
      <c r="CZ319" t="s">
        <v>135</v>
      </c>
      <c r="DA319" t="s">
        <v>135</v>
      </c>
      <c r="DB319" t="s">
        <v>135</v>
      </c>
      <c r="DC319" t="s">
        <v>135</v>
      </c>
      <c r="DD319" t="s">
        <v>135</v>
      </c>
      <c r="DE319" t="s">
        <v>135</v>
      </c>
      <c r="DF319" t="s">
        <v>135</v>
      </c>
      <c r="DG319" t="s">
        <v>135</v>
      </c>
      <c r="DH319" t="s">
        <v>135</v>
      </c>
      <c r="DI319" t="s">
        <v>135</v>
      </c>
    </row>
    <row r="320" spans="4:113" x14ac:dyDescent="0.3">
      <c r="E320" t="s">
        <v>79</v>
      </c>
      <c r="F320">
        <v>16.476400000000002</v>
      </c>
      <c r="G320">
        <v>4.3110999999999997</v>
      </c>
      <c r="H320">
        <v>10.9763</v>
      </c>
      <c r="I320">
        <v>11.616</v>
      </c>
      <c r="J320">
        <v>9.6446000000000005</v>
      </c>
      <c r="K320">
        <v>2.8071000000000002</v>
      </c>
      <c r="L320" t="s">
        <v>135</v>
      </c>
      <c r="M320">
        <v>1.534</v>
      </c>
      <c r="N320">
        <v>1.302</v>
      </c>
      <c r="O320">
        <v>1.2716000000000001</v>
      </c>
      <c r="P320">
        <v>1.2716000000000001</v>
      </c>
      <c r="Q320">
        <v>42.493200000000002</v>
      </c>
      <c r="R320" t="s">
        <v>135</v>
      </c>
      <c r="S320" t="s">
        <v>135</v>
      </c>
      <c r="T320">
        <v>6.7419000000000002</v>
      </c>
      <c r="U320">
        <v>-3.6254999999999997</v>
      </c>
      <c r="V320">
        <v>-15.23</v>
      </c>
      <c r="W320" t="s">
        <v>135</v>
      </c>
      <c r="X320" t="s">
        <v>135</v>
      </c>
      <c r="Y320" t="s">
        <v>135</v>
      </c>
      <c r="Z320">
        <v>2.0840999999999998</v>
      </c>
      <c r="AA320">
        <v>2.6372999999999998</v>
      </c>
      <c r="AB320">
        <v>-45.797600000000003</v>
      </c>
      <c r="AC320">
        <v>2.8917000000000002</v>
      </c>
      <c r="AD320">
        <v>-2.8761000000000001</v>
      </c>
      <c r="AE320" t="s">
        <v>135</v>
      </c>
      <c r="AF320">
        <v>2.5366999999999997</v>
      </c>
      <c r="AG320">
        <v>16.635000000000002</v>
      </c>
      <c r="AH320">
        <v>4.3677999999999999</v>
      </c>
      <c r="AI320">
        <v>-32.247100000000003</v>
      </c>
      <c r="AJ320">
        <v>-15.827500000000001</v>
      </c>
      <c r="AK320">
        <v>-32.4251</v>
      </c>
      <c r="AL320" t="s">
        <v>135</v>
      </c>
      <c r="AM320">
        <v>12.6312</v>
      </c>
      <c r="AN320">
        <v>6.8830999999999998</v>
      </c>
      <c r="AO320">
        <v>-10.4375</v>
      </c>
      <c r="AP320">
        <v>-15.0945</v>
      </c>
      <c r="AQ320">
        <v>-15.4176</v>
      </c>
      <c r="AR320" t="s">
        <v>135</v>
      </c>
      <c r="AS320">
        <v>12.373799999999999</v>
      </c>
      <c r="AT320">
        <v>16.9375</v>
      </c>
      <c r="AU320" t="s">
        <v>135</v>
      </c>
      <c r="AV320">
        <v>16.6312</v>
      </c>
      <c r="AW320" t="s">
        <v>135</v>
      </c>
      <c r="AX320" t="s">
        <v>135</v>
      </c>
      <c r="AY320" t="s">
        <v>135</v>
      </c>
      <c r="AZ320" t="s">
        <v>135</v>
      </c>
      <c r="BA320">
        <v>9.4414999999999996</v>
      </c>
      <c r="BB320">
        <v>18.619900000000001</v>
      </c>
      <c r="BC320">
        <v>12.9818</v>
      </c>
      <c r="BD320">
        <v>17.471900000000002</v>
      </c>
      <c r="BE320" t="s">
        <v>135</v>
      </c>
      <c r="BF320">
        <v>0.2092</v>
      </c>
      <c r="BG320">
        <v>-30.406199999999998</v>
      </c>
      <c r="BH320">
        <v>-59.152799999999999</v>
      </c>
      <c r="BI320">
        <v>-62.959800000000001</v>
      </c>
      <c r="BJ320">
        <v>-63.165900000000001</v>
      </c>
      <c r="BK320" t="s">
        <v>135</v>
      </c>
      <c r="BL320" t="s">
        <v>135</v>
      </c>
      <c r="BM320" t="s">
        <v>135</v>
      </c>
      <c r="BN320" t="s">
        <v>135</v>
      </c>
      <c r="BO320" t="s">
        <v>135</v>
      </c>
      <c r="BP320" t="s">
        <v>135</v>
      </c>
      <c r="BQ320" t="s">
        <v>135</v>
      </c>
      <c r="BR320" t="s">
        <v>135</v>
      </c>
      <c r="BS320" t="s">
        <v>135</v>
      </c>
      <c r="BT320" t="s">
        <v>135</v>
      </c>
      <c r="BU320" t="s">
        <v>135</v>
      </c>
      <c r="BV320" t="s">
        <v>135</v>
      </c>
      <c r="BW320" t="s">
        <v>135</v>
      </c>
      <c r="BX320" t="s">
        <v>135</v>
      </c>
      <c r="BY320">
        <v>690396.9</v>
      </c>
      <c r="BZ320">
        <v>149807.1</v>
      </c>
      <c r="CA320">
        <v>540589.80000000005</v>
      </c>
      <c r="CB320">
        <v>1.9024000000000001</v>
      </c>
      <c r="CC320">
        <v>0.78759999999999997</v>
      </c>
      <c r="CD320">
        <v>3.6962999999999999</v>
      </c>
      <c r="CE320">
        <v>1.5303</v>
      </c>
      <c r="CF320">
        <v>6.1302000000000003</v>
      </c>
      <c r="CG320">
        <v>20.805700000000002</v>
      </c>
      <c r="CH320">
        <v>98.066299999999998</v>
      </c>
      <c r="CI320">
        <v>43.538200000000003</v>
      </c>
      <c r="CJ320">
        <v>20.5624</v>
      </c>
      <c r="CK320">
        <v>125.2423</v>
      </c>
      <c r="CL320">
        <v>55.603400000000001</v>
      </c>
      <c r="CM320">
        <v>26.2606</v>
      </c>
      <c r="CN320">
        <v>51.850900000000003</v>
      </c>
      <c r="CO320">
        <v>34.145899999999997</v>
      </c>
      <c r="CP320">
        <v>62825.7</v>
      </c>
      <c r="CQ320" t="s">
        <v>135</v>
      </c>
      <c r="CR320">
        <v>18285.900000000001</v>
      </c>
      <c r="CS320">
        <v>0.375</v>
      </c>
      <c r="CT320">
        <v>0.98409999999999997</v>
      </c>
      <c r="CU320">
        <v>0.49020000000000002</v>
      </c>
      <c r="CV320">
        <v>2.5388999999999999</v>
      </c>
      <c r="CW320">
        <v>22.597999999999999</v>
      </c>
      <c r="CX320">
        <v>16.196100000000001</v>
      </c>
      <c r="CY320">
        <v>4.7407000000000004</v>
      </c>
      <c r="CZ320">
        <v>77.203699999999998</v>
      </c>
      <c r="DA320">
        <v>3.2025999999999999</v>
      </c>
      <c r="DB320">
        <v>114.28360000000001</v>
      </c>
      <c r="DC320">
        <v>-20.883800000000001</v>
      </c>
      <c r="DD320">
        <v>93.399799999999999</v>
      </c>
      <c r="DE320">
        <v>371265.8</v>
      </c>
      <c r="DF320" t="s">
        <v>135</v>
      </c>
      <c r="DG320" t="s">
        <v>135</v>
      </c>
      <c r="DH320" t="s">
        <v>135</v>
      </c>
      <c r="DI320" t="s">
        <v>135</v>
      </c>
    </row>
    <row r="321" spans="1:113" x14ac:dyDescent="0.3">
      <c r="E321" t="s">
        <v>80</v>
      </c>
      <c r="F321" t="s">
        <v>135</v>
      </c>
      <c r="G321" t="s">
        <v>135</v>
      </c>
      <c r="H321" t="s">
        <v>135</v>
      </c>
      <c r="I321" t="s">
        <v>135</v>
      </c>
      <c r="J321">
        <v>7.72</v>
      </c>
      <c r="K321">
        <v>1.393</v>
      </c>
      <c r="L321">
        <v>-241.1275</v>
      </c>
      <c r="M321">
        <v>0.89539999999999997</v>
      </c>
      <c r="N321">
        <v>0.16689999999999999</v>
      </c>
      <c r="O321">
        <v>0.14030000000000001</v>
      </c>
      <c r="P321">
        <v>0.14030000000000001</v>
      </c>
      <c r="Q321">
        <v>144.83199999999999</v>
      </c>
      <c r="R321" t="s">
        <v>135</v>
      </c>
      <c r="S321" t="s">
        <v>135</v>
      </c>
      <c r="T321">
        <v>-2.2206999999999999</v>
      </c>
      <c r="U321">
        <v>-41.710799999999999</v>
      </c>
      <c r="V321">
        <v>-79.722300000000004</v>
      </c>
      <c r="W321">
        <v>-96.804100000000005</v>
      </c>
      <c r="X321">
        <v>-96.983800000000002</v>
      </c>
      <c r="Y321" t="s">
        <v>135</v>
      </c>
      <c r="Z321" t="s">
        <v>135</v>
      </c>
      <c r="AA321" t="s">
        <v>135</v>
      </c>
      <c r="AB321" t="s">
        <v>135</v>
      </c>
      <c r="AC321" t="s">
        <v>135</v>
      </c>
      <c r="AD321" t="s">
        <v>135</v>
      </c>
      <c r="AE321" t="s">
        <v>135</v>
      </c>
      <c r="AF321" t="s">
        <v>135</v>
      </c>
      <c r="AG321" t="s">
        <v>135</v>
      </c>
      <c r="AH321" t="s">
        <v>135</v>
      </c>
      <c r="AI321" t="s">
        <v>135</v>
      </c>
      <c r="AJ321" t="s">
        <v>135</v>
      </c>
      <c r="AK321" t="s">
        <v>135</v>
      </c>
      <c r="AL321" t="s">
        <v>135</v>
      </c>
      <c r="AM321">
        <v>8.1435999999999993</v>
      </c>
      <c r="AN321">
        <v>-5.4405999999999999</v>
      </c>
      <c r="AO321">
        <v>-29.135400000000001</v>
      </c>
      <c r="AP321">
        <v>-51.249899999999997</v>
      </c>
      <c r="AQ321">
        <v>-51.931399999999996</v>
      </c>
      <c r="AR321" t="s">
        <v>135</v>
      </c>
      <c r="AS321" t="s">
        <v>135</v>
      </c>
      <c r="AT321" t="s">
        <v>135</v>
      </c>
      <c r="AU321" t="s">
        <v>135</v>
      </c>
      <c r="AV321" t="s">
        <v>135</v>
      </c>
      <c r="AW321" t="s">
        <v>135</v>
      </c>
      <c r="AX321" t="s">
        <v>135</v>
      </c>
      <c r="AY321" t="s">
        <v>135</v>
      </c>
      <c r="AZ321" t="s">
        <v>135</v>
      </c>
      <c r="BA321" t="s">
        <v>135</v>
      </c>
      <c r="BB321" t="s">
        <v>135</v>
      </c>
      <c r="BC321" t="s">
        <v>135</v>
      </c>
      <c r="BD321" t="s">
        <v>135</v>
      </c>
      <c r="BE321" t="s">
        <v>135</v>
      </c>
      <c r="BF321">
        <v>2.6318999999999999</v>
      </c>
      <c r="BG321">
        <v>-17.848700000000001</v>
      </c>
      <c r="BH321">
        <v>-49.072200000000002</v>
      </c>
      <c r="BI321">
        <v>-88.68</v>
      </c>
      <c r="BJ321">
        <v>-89.256200000000007</v>
      </c>
      <c r="BK321" t="s">
        <v>135</v>
      </c>
      <c r="BL321" t="s">
        <v>135</v>
      </c>
      <c r="BM321" t="s">
        <v>135</v>
      </c>
      <c r="BN321" t="s">
        <v>135</v>
      </c>
      <c r="BO321" t="s">
        <v>135</v>
      </c>
      <c r="BP321" t="s">
        <v>135</v>
      </c>
      <c r="BQ321" t="s">
        <v>135</v>
      </c>
      <c r="BR321" t="s">
        <v>135</v>
      </c>
      <c r="BS321" t="s">
        <v>135</v>
      </c>
      <c r="BT321" t="s">
        <v>135</v>
      </c>
      <c r="BU321" t="s">
        <v>135</v>
      </c>
      <c r="BV321" t="s">
        <v>135</v>
      </c>
      <c r="BW321" t="s">
        <v>135</v>
      </c>
      <c r="BX321" t="s">
        <v>135</v>
      </c>
      <c r="BY321" t="s">
        <v>135</v>
      </c>
      <c r="BZ321" t="s">
        <v>135</v>
      </c>
      <c r="CA321" t="s">
        <v>135</v>
      </c>
      <c r="CB321" t="s">
        <v>135</v>
      </c>
      <c r="CC321" t="s">
        <v>135</v>
      </c>
      <c r="CD321" t="s">
        <v>135</v>
      </c>
      <c r="CE321" t="s">
        <v>135</v>
      </c>
      <c r="CF321">
        <v>5.9276</v>
      </c>
      <c r="CG321" t="s">
        <v>135</v>
      </c>
      <c r="CH321" t="s">
        <v>135</v>
      </c>
      <c r="CI321" t="s">
        <v>135</v>
      </c>
      <c r="CJ321" t="s">
        <v>135</v>
      </c>
      <c r="CK321" t="s">
        <v>135</v>
      </c>
      <c r="CL321" t="s">
        <v>135</v>
      </c>
      <c r="CM321" t="s">
        <v>135</v>
      </c>
      <c r="CN321" t="s">
        <v>135</v>
      </c>
      <c r="CO321" t="s">
        <v>135</v>
      </c>
      <c r="CP321">
        <v>51612.1</v>
      </c>
      <c r="CQ321" t="s">
        <v>135</v>
      </c>
      <c r="CR321">
        <v>9312.6</v>
      </c>
      <c r="CS321" t="s">
        <v>135</v>
      </c>
      <c r="CT321" t="s">
        <v>135</v>
      </c>
      <c r="CU321" t="s">
        <v>135</v>
      </c>
      <c r="CV321" t="s">
        <v>135</v>
      </c>
      <c r="CW321" t="s">
        <v>135</v>
      </c>
      <c r="CX321" t="s">
        <v>135</v>
      </c>
      <c r="CY321" t="s">
        <v>135</v>
      </c>
      <c r="CZ321" t="s">
        <v>135</v>
      </c>
      <c r="DA321" t="s">
        <v>135</v>
      </c>
      <c r="DB321" t="s">
        <v>135</v>
      </c>
      <c r="DC321" t="s">
        <v>135</v>
      </c>
      <c r="DD321" t="s">
        <v>135</v>
      </c>
      <c r="DE321" t="s">
        <v>135</v>
      </c>
      <c r="DF321" t="s">
        <v>135</v>
      </c>
      <c r="DG321" t="s">
        <v>135</v>
      </c>
      <c r="DH321" t="s">
        <v>135</v>
      </c>
      <c r="DI321" t="s">
        <v>135</v>
      </c>
    </row>
    <row r="322" spans="1:113" x14ac:dyDescent="0.3">
      <c r="E322" t="s">
        <v>81</v>
      </c>
      <c r="F322">
        <v>10.8811</v>
      </c>
      <c r="G322">
        <v>2.7563</v>
      </c>
      <c r="H322">
        <v>7.2149000000000001</v>
      </c>
      <c r="I322">
        <v>6.6097000000000001</v>
      </c>
      <c r="J322">
        <v>13.988</v>
      </c>
      <c r="K322">
        <v>7.9398999999999997</v>
      </c>
      <c r="L322">
        <v>-71.933499999999995</v>
      </c>
      <c r="M322">
        <v>6.6896000000000004</v>
      </c>
      <c r="N322">
        <v>5.6158999999999999</v>
      </c>
      <c r="O322">
        <v>5.5632999999999999</v>
      </c>
      <c r="P322">
        <v>5.5632999999999999</v>
      </c>
      <c r="Q322">
        <v>23.998100000000001</v>
      </c>
      <c r="R322" t="s">
        <v>135</v>
      </c>
      <c r="S322" t="s">
        <v>135</v>
      </c>
      <c r="T322">
        <v>-2.8834999999999997</v>
      </c>
      <c r="U322">
        <v>-10.922700000000001</v>
      </c>
      <c r="V322">
        <v>-21.197800000000001</v>
      </c>
      <c r="W322">
        <v>-17.002199999999998</v>
      </c>
      <c r="X322">
        <v>-17.017099999999999</v>
      </c>
      <c r="Y322" t="s">
        <v>135</v>
      </c>
      <c r="Z322">
        <v>6.2839</v>
      </c>
      <c r="AA322">
        <v>7.44</v>
      </c>
      <c r="AB322">
        <v>-2.3736999999999999</v>
      </c>
      <c r="AC322">
        <v>2.4754999999999998</v>
      </c>
      <c r="AD322">
        <v>67.247200000000007</v>
      </c>
      <c r="AE322">
        <v>-58.168399999999998</v>
      </c>
      <c r="AF322">
        <v>0.20469999999999999</v>
      </c>
      <c r="AG322">
        <v>-4.8124000000000002</v>
      </c>
      <c r="AH322">
        <v>13.2661</v>
      </c>
      <c r="AI322">
        <v>-26.2898</v>
      </c>
      <c r="AJ322">
        <v>-7.8367000000000004</v>
      </c>
      <c r="AK322">
        <v>-26.459600000000002</v>
      </c>
      <c r="AL322" t="s">
        <v>135</v>
      </c>
      <c r="AM322">
        <v>8.8172999999999995</v>
      </c>
      <c r="AN322">
        <v>9.8764000000000003</v>
      </c>
      <c r="AO322">
        <v>3.3125</v>
      </c>
      <c r="AP322">
        <v>-7.1768000000000001</v>
      </c>
      <c r="AQ322">
        <v>-8.2463999999999995</v>
      </c>
      <c r="AR322" t="s">
        <v>135</v>
      </c>
      <c r="AS322">
        <v>20.452999999999999</v>
      </c>
      <c r="AT322">
        <v>14.0077</v>
      </c>
      <c r="AU322">
        <v>18.203800000000001</v>
      </c>
      <c r="AV322">
        <v>13.563800000000001</v>
      </c>
      <c r="AW322" t="s">
        <v>135</v>
      </c>
      <c r="AX322" t="s">
        <v>135</v>
      </c>
      <c r="AY322">
        <v>12.0905</v>
      </c>
      <c r="AZ322">
        <v>-5.0056000000000003</v>
      </c>
      <c r="BA322">
        <v>8.9463000000000008</v>
      </c>
      <c r="BB322">
        <v>12.133599999999999</v>
      </c>
      <c r="BC322">
        <v>10.2394</v>
      </c>
      <c r="BD322">
        <v>10.8919</v>
      </c>
      <c r="BE322" t="s">
        <v>135</v>
      </c>
      <c r="BF322">
        <v>20.778300000000002</v>
      </c>
      <c r="BG322">
        <v>73.086500000000001</v>
      </c>
      <c r="BH322">
        <v>204.96369999999999</v>
      </c>
      <c r="BI322">
        <v>4481.2627000000002</v>
      </c>
      <c r="BJ322">
        <v>4757.6922999999997</v>
      </c>
      <c r="BK322" t="s">
        <v>135</v>
      </c>
      <c r="BL322" t="s">
        <v>135</v>
      </c>
      <c r="BM322" t="s">
        <v>135</v>
      </c>
      <c r="BN322" t="s">
        <v>135</v>
      </c>
      <c r="BO322" t="s">
        <v>135</v>
      </c>
      <c r="BP322" t="s">
        <v>135</v>
      </c>
      <c r="BQ322" t="s">
        <v>135</v>
      </c>
      <c r="BR322" t="s">
        <v>135</v>
      </c>
      <c r="BS322" t="s">
        <v>135</v>
      </c>
      <c r="BT322" t="s">
        <v>135</v>
      </c>
      <c r="BU322" t="s">
        <v>135</v>
      </c>
      <c r="BV322" t="s">
        <v>135</v>
      </c>
      <c r="BW322" t="s">
        <v>135</v>
      </c>
      <c r="BX322" t="s">
        <v>135</v>
      </c>
      <c r="BY322">
        <v>786261</v>
      </c>
      <c r="BZ322">
        <v>179969.2</v>
      </c>
      <c r="CA322">
        <v>606291.80000000005</v>
      </c>
      <c r="CB322">
        <v>2.4304000000000001</v>
      </c>
      <c r="CC322">
        <v>0.85760000000000003</v>
      </c>
      <c r="CD322">
        <v>5.4424999999999999</v>
      </c>
      <c r="CE322">
        <v>1.9205999999999999</v>
      </c>
      <c r="CF322">
        <v>9.2796000000000003</v>
      </c>
      <c r="CG322">
        <v>21.209499999999998</v>
      </c>
      <c r="CH322">
        <v>103.613</v>
      </c>
      <c r="CI322">
        <v>44.209299999999999</v>
      </c>
      <c r="CJ322">
        <v>22.147300000000001</v>
      </c>
      <c r="CK322">
        <v>134.369</v>
      </c>
      <c r="CL322">
        <v>57.3322</v>
      </c>
      <c r="CM322">
        <v>28.721399999999999</v>
      </c>
      <c r="CN322">
        <v>47.415900000000001</v>
      </c>
      <c r="CO322">
        <v>32.164700000000003</v>
      </c>
      <c r="CP322">
        <v>108011.7</v>
      </c>
      <c r="CQ322" t="s">
        <v>135</v>
      </c>
      <c r="CR322">
        <v>61309.3</v>
      </c>
      <c r="CS322">
        <v>0.44</v>
      </c>
      <c r="CT322">
        <v>1.0104</v>
      </c>
      <c r="CU322">
        <v>0.62070000000000003</v>
      </c>
      <c r="CV322">
        <v>2.2791000000000001</v>
      </c>
      <c r="CW322">
        <v>13.385300000000001</v>
      </c>
      <c r="CX322">
        <v>27.268799999999999</v>
      </c>
      <c r="CY322">
        <v>5.1163999999999996</v>
      </c>
      <c r="CZ322">
        <v>71.339699999999993</v>
      </c>
      <c r="DA322">
        <v>3.0487000000000002</v>
      </c>
      <c r="DB322">
        <v>119.7242</v>
      </c>
      <c r="DC322">
        <v>-21.1158</v>
      </c>
      <c r="DD322">
        <v>98.608500000000006</v>
      </c>
      <c r="DE322">
        <v>350853.1</v>
      </c>
      <c r="DF322">
        <v>26938</v>
      </c>
      <c r="DG322">
        <v>36425.599999999999</v>
      </c>
      <c r="DH322">
        <v>282351.7</v>
      </c>
      <c r="DI322">
        <v>5137.8</v>
      </c>
    </row>
    <row r="323" spans="1:113" x14ac:dyDescent="0.3">
      <c r="D323" t="s">
        <v>85</v>
      </c>
      <c r="E323" t="s">
        <v>77</v>
      </c>
      <c r="F323">
        <v>11.7127</v>
      </c>
      <c r="G323">
        <v>2.9710000000000001</v>
      </c>
      <c r="H323">
        <v>7.0488999999999997</v>
      </c>
      <c r="I323">
        <v>5.8258999999999999</v>
      </c>
      <c r="J323">
        <v>11.552899999999999</v>
      </c>
      <c r="K323">
        <v>4.0843999999999996</v>
      </c>
      <c r="L323" t="s">
        <v>135</v>
      </c>
      <c r="M323">
        <v>3.8653</v>
      </c>
      <c r="N323">
        <v>3.1501999999999999</v>
      </c>
      <c r="O323">
        <v>3.1147</v>
      </c>
      <c r="P323">
        <v>3.1147</v>
      </c>
      <c r="Q323">
        <v>38.923499999999997</v>
      </c>
      <c r="R323">
        <v>0</v>
      </c>
      <c r="S323">
        <v>11.7127</v>
      </c>
      <c r="T323">
        <v>9.3169000000000004</v>
      </c>
      <c r="U323">
        <v>-0.47070000000000001</v>
      </c>
      <c r="V323">
        <v>-24.408999999999999</v>
      </c>
      <c r="W323">
        <v>20.585899999999999</v>
      </c>
      <c r="X323">
        <v>20.611000000000001</v>
      </c>
      <c r="Y323" t="s">
        <v>135</v>
      </c>
      <c r="Z323">
        <v>35.4754</v>
      </c>
      <c r="AA323">
        <v>20.1005</v>
      </c>
      <c r="AB323">
        <v>28.989699999999999</v>
      </c>
      <c r="AC323">
        <v>21.039400000000001</v>
      </c>
      <c r="AD323">
        <v>7.0350999999999999</v>
      </c>
      <c r="AE323" t="s">
        <v>135</v>
      </c>
      <c r="AF323">
        <v>24.8535</v>
      </c>
      <c r="AG323">
        <v>54.322000000000003</v>
      </c>
      <c r="AH323">
        <v>13.1592</v>
      </c>
      <c r="AI323">
        <v>63.98</v>
      </c>
      <c r="AJ323">
        <v>34.843299999999999</v>
      </c>
      <c r="AK323">
        <v>64.355500000000006</v>
      </c>
      <c r="AL323">
        <v>-19.854399999999998</v>
      </c>
      <c r="AM323">
        <v>9.3188999999999993</v>
      </c>
      <c r="AN323">
        <v>8.1887000000000008</v>
      </c>
      <c r="AO323">
        <v>-4.5750999999999999</v>
      </c>
      <c r="AP323">
        <v>-1.8976999999999999</v>
      </c>
      <c r="AQ323">
        <v>-2.7467999999999999</v>
      </c>
      <c r="AR323">
        <v>-100</v>
      </c>
      <c r="AS323">
        <v>20.887899999999998</v>
      </c>
      <c r="AT323">
        <v>14.9048</v>
      </c>
      <c r="AU323">
        <v>19.411100000000001</v>
      </c>
      <c r="AV323">
        <v>14.2286</v>
      </c>
      <c r="AW323" t="s">
        <v>135</v>
      </c>
      <c r="AX323" t="s">
        <v>135</v>
      </c>
      <c r="AY323">
        <v>12.1968</v>
      </c>
      <c r="AZ323">
        <v>1.3645</v>
      </c>
      <c r="BA323">
        <v>8.8937000000000008</v>
      </c>
      <c r="BB323">
        <v>20.3475</v>
      </c>
      <c r="BC323">
        <v>13.982900000000001</v>
      </c>
      <c r="BD323">
        <v>19.204000000000001</v>
      </c>
      <c r="BE323">
        <v>2.7214999999999998</v>
      </c>
      <c r="BF323">
        <v>9.3169000000000004</v>
      </c>
      <c r="BG323">
        <v>-0.47070000000000001</v>
      </c>
      <c r="BH323">
        <v>-24.408999999999999</v>
      </c>
      <c r="BI323">
        <v>20.585899999999999</v>
      </c>
      <c r="BJ323">
        <v>20.611000000000001</v>
      </c>
      <c r="BK323" t="s">
        <v>135</v>
      </c>
      <c r="BL323">
        <v>35.4754</v>
      </c>
      <c r="BM323">
        <v>20.1005</v>
      </c>
      <c r="BN323">
        <v>28.989699999999999</v>
      </c>
      <c r="BO323">
        <v>21.039400000000001</v>
      </c>
      <c r="BP323" t="s">
        <v>135</v>
      </c>
      <c r="BQ323">
        <v>-1578.2102</v>
      </c>
      <c r="BR323">
        <v>24.8535</v>
      </c>
      <c r="BS323">
        <v>54.322000000000003</v>
      </c>
      <c r="BT323">
        <v>13.1592</v>
      </c>
      <c r="BU323">
        <v>63.98</v>
      </c>
      <c r="BV323">
        <v>34.843299999999999</v>
      </c>
      <c r="BW323">
        <v>64.355500000000006</v>
      </c>
      <c r="BX323">
        <v>-19.854399999999998</v>
      </c>
      <c r="BY323">
        <v>889727</v>
      </c>
      <c r="BZ323">
        <v>277732</v>
      </c>
      <c r="CA323">
        <v>611995</v>
      </c>
      <c r="CB323">
        <v>2.6686000000000001</v>
      </c>
      <c r="CC323">
        <v>1.1757</v>
      </c>
      <c r="CD323">
        <v>7.548</v>
      </c>
      <c r="CE323">
        <v>3.3254000000000001</v>
      </c>
      <c r="CF323">
        <v>9.0115999999999996</v>
      </c>
      <c r="CG323">
        <v>28.799700000000001</v>
      </c>
      <c r="CH323">
        <v>63.780700000000003</v>
      </c>
      <c r="CI323">
        <v>33.094099999999997</v>
      </c>
      <c r="CJ323">
        <v>18.4697</v>
      </c>
      <c r="CK323">
        <v>92.725300000000004</v>
      </c>
      <c r="CL323">
        <v>48.112699999999997</v>
      </c>
      <c r="CM323">
        <v>26.851500000000001</v>
      </c>
      <c r="CN323">
        <v>40.850900000000003</v>
      </c>
      <c r="CO323">
        <v>29.003</v>
      </c>
      <c r="CP323">
        <v>333411</v>
      </c>
      <c r="CQ323">
        <v>134756.70000000001</v>
      </c>
      <c r="CR323">
        <v>117875.1</v>
      </c>
      <c r="CS323">
        <v>0.34749999999999998</v>
      </c>
      <c r="CT323">
        <v>0.94940000000000002</v>
      </c>
      <c r="CU323">
        <v>0.54510000000000003</v>
      </c>
      <c r="CV323">
        <v>1.8776999999999999</v>
      </c>
      <c r="CW323">
        <v>11.7362</v>
      </c>
      <c r="CX323">
        <v>31.1004</v>
      </c>
      <c r="CY323">
        <v>4.8662999999999998</v>
      </c>
      <c r="CZ323">
        <v>75.004999999999995</v>
      </c>
      <c r="DA323">
        <v>3.0053000000000001</v>
      </c>
      <c r="DB323">
        <v>121.4521</v>
      </c>
      <c r="DC323">
        <v>-15.3467</v>
      </c>
      <c r="DD323">
        <v>106.10550000000001</v>
      </c>
      <c r="DE323">
        <v>421376.3</v>
      </c>
      <c r="DF323">
        <v>30192.799999999999</v>
      </c>
      <c r="DG323">
        <v>40431.699999999997</v>
      </c>
      <c r="DH323">
        <v>344909</v>
      </c>
      <c r="DI323">
        <v>5842.8</v>
      </c>
    </row>
    <row r="324" spans="1:113" x14ac:dyDescent="0.3">
      <c r="E324" t="s">
        <v>78</v>
      </c>
      <c r="F324" t="s">
        <v>135</v>
      </c>
      <c r="G324" t="s">
        <v>135</v>
      </c>
      <c r="H324" t="s">
        <v>135</v>
      </c>
      <c r="I324" t="s">
        <v>135</v>
      </c>
      <c r="J324">
        <v>8.4878999999999998</v>
      </c>
      <c r="K324">
        <v>0.75270000000000004</v>
      </c>
      <c r="L324">
        <v>-61.989899999999999</v>
      </c>
      <c r="M324">
        <v>6.3887</v>
      </c>
      <c r="N324">
        <v>5.4706000000000001</v>
      </c>
      <c r="O324">
        <v>5.4404000000000003</v>
      </c>
      <c r="P324">
        <v>5.4404000000000003</v>
      </c>
      <c r="Q324">
        <v>32.310499999999998</v>
      </c>
      <c r="R324" t="s">
        <v>135</v>
      </c>
      <c r="S324" t="s">
        <v>135</v>
      </c>
      <c r="T324">
        <v>-10.0168</v>
      </c>
      <c r="U324">
        <v>-45.003100000000003</v>
      </c>
      <c r="V324">
        <v>-90.165199999999999</v>
      </c>
      <c r="W324">
        <v>42.295099999999998</v>
      </c>
      <c r="X324">
        <v>42.313499999999998</v>
      </c>
      <c r="Y324" t="s">
        <v>135</v>
      </c>
      <c r="Z324" t="s">
        <v>135</v>
      </c>
      <c r="AA324" t="s">
        <v>135</v>
      </c>
      <c r="AB324" t="s">
        <v>135</v>
      </c>
      <c r="AC324" t="s">
        <v>135</v>
      </c>
      <c r="AD324" t="s">
        <v>135</v>
      </c>
      <c r="AE324" t="s">
        <v>135</v>
      </c>
      <c r="AF324" t="s">
        <v>135</v>
      </c>
      <c r="AG324" t="s">
        <v>135</v>
      </c>
      <c r="AH324" t="s">
        <v>135</v>
      </c>
      <c r="AI324" t="s">
        <v>135</v>
      </c>
      <c r="AJ324" t="s">
        <v>135</v>
      </c>
      <c r="AK324" t="s">
        <v>135</v>
      </c>
      <c r="AL324" t="s">
        <v>135</v>
      </c>
      <c r="AM324">
        <v>6.2630999999999997</v>
      </c>
      <c r="AN324">
        <v>-2.9102000000000001</v>
      </c>
      <c r="AO324">
        <v>-36.273299999999999</v>
      </c>
      <c r="AP324">
        <v>7.2278000000000002</v>
      </c>
      <c r="AQ324">
        <v>6.0655999999999999</v>
      </c>
      <c r="AR324" t="s">
        <v>135</v>
      </c>
      <c r="AS324" t="s">
        <v>135</v>
      </c>
      <c r="AT324" t="s">
        <v>135</v>
      </c>
      <c r="AU324" t="s">
        <v>135</v>
      </c>
      <c r="AV324" t="s">
        <v>135</v>
      </c>
      <c r="AW324" t="s">
        <v>135</v>
      </c>
      <c r="AX324" t="s">
        <v>135</v>
      </c>
      <c r="AY324" t="s">
        <v>135</v>
      </c>
      <c r="AZ324" t="s">
        <v>135</v>
      </c>
      <c r="BA324" t="s">
        <v>135</v>
      </c>
      <c r="BB324" t="s">
        <v>135</v>
      </c>
      <c r="BC324" t="s">
        <v>135</v>
      </c>
      <c r="BD324" t="s">
        <v>135</v>
      </c>
      <c r="BE324" t="s">
        <v>135</v>
      </c>
      <c r="BF324">
        <v>-24.2483</v>
      </c>
      <c r="BG324">
        <v>-54.034300000000002</v>
      </c>
      <c r="BH324">
        <v>-92.818899999999999</v>
      </c>
      <c r="BI324">
        <v>-25.922499999999999</v>
      </c>
      <c r="BJ324">
        <v>-25.969899999999999</v>
      </c>
      <c r="BK324" t="s">
        <v>135</v>
      </c>
      <c r="BL324" t="s">
        <v>135</v>
      </c>
      <c r="BM324" t="s">
        <v>135</v>
      </c>
      <c r="BN324" t="s">
        <v>135</v>
      </c>
      <c r="BO324" t="s">
        <v>135</v>
      </c>
      <c r="BP324" t="s">
        <v>135</v>
      </c>
      <c r="BQ324" t="s">
        <v>135</v>
      </c>
      <c r="BR324" t="s">
        <v>135</v>
      </c>
      <c r="BS324" t="s">
        <v>135</v>
      </c>
      <c r="BT324" t="s">
        <v>135</v>
      </c>
      <c r="BU324" t="s">
        <v>135</v>
      </c>
      <c r="BV324" t="s">
        <v>135</v>
      </c>
      <c r="BW324" t="s">
        <v>135</v>
      </c>
      <c r="BX324" t="s">
        <v>135</v>
      </c>
      <c r="BY324" t="s">
        <v>135</v>
      </c>
      <c r="BZ324" t="s">
        <v>135</v>
      </c>
      <c r="CA324" t="s">
        <v>135</v>
      </c>
      <c r="CB324" t="s">
        <v>135</v>
      </c>
      <c r="CC324" t="s">
        <v>135</v>
      </c>
      <c r="CD324" t="s">
        <v>135</v>
      </c>
      <c r="CE324" t="s">
        <v>135</v>
      </c>
      <c r="CF324">
        <v>4.4775</v>
      </c>
      <c r="CG324" t="s">
        <v>135</v>
      </c>
      <c r="CH324" t="s">
        <v>135</v>
      </c>
      <c r="CI324" t="s">
        <v>135</v>
      </c>
      <c r="CJ324" t="s">
        <v>135</v>
      </c>
      <c r="CK324" t="s">
        <v>135</v>
      </c>
      <c r="CL324" t="s">
        <v>135</v>
      </c>
      <c r="CM324" t="s">
        <v>135</v>
      </c>
      <c r="CN324" t="s">
        <v>135</v>
      </c>
      <c r="CO324" t="s">
        <v>135</v>
      </c>
      <c r="CP324">
        <v>49648.3</v>
      </c>
      <c r="CQ324" t="s">
        <v>135</v>
      </c>
      <c r="CR324">
        <v>4402.7</v>
      </c>
      <c r="CS324" t="s">
        <v>135</v>
      </c>
      <c r="CT324" t="s">
        <v>135</v>
      </c>
      <c r="CU324" t="s">
        <v>135</v>
      </c>
      <c r="CV324" t="s">
        <v>135</v>
      </c>
      <c r="CW324" t="s">
        <v>135</v>
      </c>
      <c r="CX324" t="s">
        <v>135</v>
      </c>
      <c r="CY324" t="s">
        <v>135</v>
      </c>
      <c r="CZ324" t="s">
        <v>135</v>
      </c>
      <c r="DA324" t="s">
        <v>135</v>
      </c>
      <c r="DB324" t="s">
        <v>135</v>
      </c>
      <c r="DC324" t="s">
        <v>135</v>
      </c>
      <c r="DD324" t="s">
        <v>135</v>
      </c>
      <c r="DE324" t="s">
        <v>135</v>
      </c>
      <c r="DF324" t="s">
        <v>135</v>
      </c>
      <c r="DG324" t="s">
        <v>135</v>
      </c>
      <c r="DH324" t="s">
        <v>135</v>
      </c>
      <c r="DI324" t="s">
        <v>135</v>
      </c>
    </row>
    <row r="325" spans="1:113" x14ac:dyDescent="0.3">
      <c r="E325" t="s">
        <v>79</v>
      </c>
      <c r="F325">
        <v>14.9564</v>
      </c>
      <c r="G325">
        <v>3.6280999999999999</v>
      </c>
      <c r="H325">
        <v>9.2118000000000002</v>
      </c>
      <c r="I325">
        <v>6.2244000000000002</v>
      </c>
      <c r="J325">
        <v>12.740600000000001</v>
      </c>
      <c r="K325">
        <v>5.6566000000000001</v>
      </c>
      <c r="L325">
        <v>42.667200000000001</v>
      </c>
      <c r="M325">
        <v>4.3921999999999999</v>
      </c>
      <c r="N325">
        <v>3.5659000000000001</v>
      </c>
      <c r="O325">
        <v>3.5388999999999999</v>
      </c>
      <c r="P325">
        <v>3.5388999999999999</v>
      </c>
      <c r="Q325">
        <v>35.366700000000002</v>
      </c>
      <c r="R325" t="s">
        <v>135</v>
      </c>
      <c r="S325" t="s">
        <v>135</v>
      </c>
      <c r="T325">
        <v>7.6989999999999998</v>
      </c>
      <c r="U325">
        <v>42.271700000000003</v>
      </c>
      <c r="V325">
        <v>117.0219</v>
      </c>
      <c r="W325">
        <v>199.72229999999999</v>
      </c>
      <c r="X325">
        <v>201.2397</v>
      </c>
      <c r="Y325" t="s">
        <v>135</v>
      </c>
      <c r="Z325">
        <v>10.1305</v>
      </c>
      <c r="AA325">
        <v>9.3117999999999999</v>
      </c>
      <c r="AB325">
        <v>17.6145</v>
      </c>
      <c r="AC325">
        <v>10.8276</v>
      </c>
      <c r="AD325">
        <v>29.744900000000001</v>
      </c>
      <c r="AE325">
        <v>-20.805599999999998</v>
      </c>
      <c r="AF325">
        <v>5.4821999999999997</v>
      </c>
      <c r="AG325">
        <v>-8.3848000000000003</v>
      </c>
      <c r="AH325">
        <v>10.6998</v>
      </c>
      <c r="AI325">
        <v>45.711799999999997</v>
      </c>
      <c r="AJ325">
        <v>26.2439</v>
      </c>
      <c r="AK325">
        <v>45.797199999999997</v>
      </c>
      <c r="AL325" t="s">
        <v>135</v>
      </c>
      <c r="AM325">
        <v>10.3788</v>
      </c>
      <c r="AN325">
        <v>10.878399999999999</v>
      </c>
      <c r="AO325">
        <v>1.1970000000000001</v>
      </c>
      <c r="AP325">
        <v>3.6562000000000001</v>
      </c>
      <c r="AQ325">
        <v>2.6657999999999999</v>
      </c>
      <c r="AR325" t="s">
        <v>135</v>
      </c>
      <c r="AS325">
        <v>12.732099999999999</v>
      </c>
      <c r="AT325">
        <v>13.2286</v>
      </c>
      <c r="AU325">
        <v>4.0926999999999998</v>
      </c>
      <c r="AV325">
        <v>13.049200000000001</v>
      </c>
      <c r="AW325" t="s">
        <v>135</v>
      </c>
      <c r="AX325" t="s">
        <v>135</v>
      </c>
      <c r="AY325">
        <v>8.9558</v>
      </c>
      <c r="AZ325">
        <v>0.74729999999999996</v>
      </c>
      <c r="BA325">
        <v>12.868</v>
      </c>
      <c r="BB325">
        <v>14.562799999999999</v>
      </c>
      <c r="BC325">
        <v>13.717499999999999</v>
      </c>
      <c r="BD325">
        <v>13.4125</v>
      </c>
      <c r="BE325" t="s">
        <v>135</v>
      </c>
      <c r="BF325">
        <v>19.938300000000002</v>
      </c>
      <c r="BG325">
        <v>80.032799999999995</v>
      </c>
      <c r="BH325">
        <v>801.36509999999998</v>
      </c>
      <c r="BI325">
        <v>-21.980599999999999</v>
      </c>
      <c r="BJ325">
        <v>-22.0321</v>
      </c>
      <c r="BK325" t="s">
        <v>135</v>
      </c>
      <c r="BL325" t="s">
        <v>135</v>
      </c>
      <c r="BM325" t="s">
        <v>135</v>
      </c>
      <c r="BN325" t="s">
        <v>135</v>
      </c>
      <c r="BO325" t="s">
        <v>135</v>
      </c>
      <c r="BP325" t="s">
        <v>135</v>
      </c>
      <c r="BQ325" t="s">
        <v>135</v>
      </c>
      <c r="BR325" t="s">
        <v>135</v>
      </c>
      <c r="BS325" t="s">
        <v>135</v>
      </c>
      <c r="BT325" t="s">
        <v>135</v>
      </c>
      <c r="BU325" t="s">
        <v>135</v>
      </c>
      <c r="BV325" t="s">
        <v>135</v>
      </c>
      <c r="BW325" t="s">
        <v>135</v>
      </c>
      <c r="BX325" t="s">
        <v>135</v>
      </c>
      <c r="BY325">
        <v>764268</v>
      </c>
      <c r="BZ325">
        <v>137246.1</v>
      </c>
      <c r="CA325">
        <v>627021.9</v>
      </c>
      <c r="CB325">
        <v>2.4698000000000002</v>
      </c>
      <c r="CC325">
        <v>1.1713</v>
      </c>
      <c r="CD325">
        <v>6.0898000000000003</v>
      </c>
      <c r="CE325">
        <v>2.8879999999999999</v>
      </c>
      <c r="CF325">
        <v>7.7904999999999998</v>
      </c>
      <c r="CG325">
        <v>27.372199999999999</v>
      </c>
      <c r="CH325">
        <v>78.062100000000001</v>
      </c>
      <c r="CI325">
        <v>40.001300000000001</v>
      </c>
      <c r="CJ325">
        <v>21.5199</v>
      </c>
      <c r="CK325">
        <v>95.148799999999994</v>
      </c>
      <c r="CL325">
        <v>48.756999999999998</v>
      </c>
      <c r="CM325">
        <v>26.2303</v>
      </c>
      <c r="CN325">
        <v>45.123100000000001</v>
      </c>
      <c r="CO325">
        <v>31.093</v>
      </c>
      <c r="CP325">
        <v>89383.2</v>
      </c>
      <c r="CQ325" t="s">
        <v>135</v>
      </c>
      <c r="CR325">
        <v>39684.400000000001</v>
      </c>
      <c r="CS325">
        <v>0.3468</v>
      </c>
      <c r="CT325">
        <v>0.98209999999999997</v>
      </c>
      <c r="CU325">
        <v>0.46489999999999998</v>
      </c>
      <c r="CV325">
        <v>2.2149999999999999</v>
      </c>
      <c r="CW325">
        <v>20.658899999999999</v>
      </c>
      <c r="CX325">
        <v>17.667899999999999</v>
      </c>
      <c r="CY325">
        <v>4.4023000000000003</v>
      </c>
      <c r="CZ325">
        <v>82.911000000000001</v>
      </c>
      <c r="DA325">
        <v>3.0752000000000002</v>
      </c>
      <c r="DB325">
        <v>118.6905</v>
      </c>
      <c r="DC325">
        <v>-18.111599999999999</v>
      </c>
      <c r="DD325">
        <v>100.5789</v>
      </c>
      <c r="DE325">
        <v>405837.5</v>
      </c>
      <c r="DF325" t="s">
        <v>135</v>
      </c>
      <c r="DG325" t="s">
        <v>135</v>
      </c>
      <c r="DH325" t="s">
        <v>135</v>
      </c>
      <c r="DI325" t="s">
        <v>135</v>
      </c>
    </row>
    <row r="326" spans="1:113" x14ac:dyDescent="0.3">
      <c r="E326" t="s">
        <v>80</v>
      </c>
      <c r="F326" t="s">
        <v>135</v>
      </c>
      <c r="G326" t="s">
        <v>135</v>
      </c>
      <c r="H326" t="s">
        <v>135</v>
      </c>
      <c r="I326" t="s">
        <v>135</v>
      </c>
      <c r="J326">
        <v>11.521000000000001</v>
      </c>
      <c r="K326">
        <v>4.0087000000000002</v>
      </c>
      <c r="L326">
        <v>9.4134999999999991</v>
      </c>
      <c r="M326">
        <v>2.7361</v>
      </c>
      <c r="N326">
        <v>1.6379000000000001</v>
      </c>
      <c r="O326">
        <v>1.6164000000000001</v>
      </c>
      <c r="P326">
        <v>1.6164000000000001</v>
      </c>
      <c r="Q326">
        <v>52.616500000000002</v>
      </c>
      <c r="R326" t="s">
        <v>135</v>
      </c>
      <c r="S326" t="s">
        <v>135</v>
      </c>
      <c r="T326">
        <v>15.9903</v>
      </c>
      <c r="U326">
        <v>36.908099999999997</v>
      </c>
      <c r="V326">
        <v>47.869100000000003</v>
      </c>
      <c r="W326">
        <v>1178.2660000000001</v>
      </c>
      <c r="X326">
        <v>1250</v>
      </c>
      <c r="Y326" t="s">
        <v>135</v>
      </c>
      <c r="Z326" t="s">
        <v>135</v>
      </c>
      <c r="AA326" t="s">
        <v>135</v>
      </c>
      <c r="AB326" t="s">
        <v>135</v>
      </c>
      <c r="AC326" t="s">
        <v>135</v>
      </c>
      <c r="AD326" t="s">
        <v>135</v>
      </c>
      <c r="AE326" t="s">
        <v>135</v>
      </c>
      <c r="AF326" t="s">
        <v>135</v>
      </c>
      <c r="AG326" t="s">
        <v>135</v>
      </c>
      <c r="AH326" t="s">
        <v>135</v>
      </c>
      <c r="AI326" t="s">
        <v>135</v>
      </c>
      <c r="AJ326" t="s">
        <v>135</v>
      </c>
      <c r="AK326" t="s">
        <v>135</v>
      </c>
      <c r="AL326" t="s">
        <v>135</v>
      </c>
      <c r="AM326">
        <v>10.107200000000001</v>
      </c>
      <c r="AN326">
        <v>8.5939999999999994</v>
      </c>
      <c r="AO326">
        <v>-3.6886999999999999</v>
      </c>
      <c r="AP326">
        <v>-5.9340000000000002</v>
      </c>
      <c r="AQ326">
        <v>-6.8921000000000001</v>
      </c>
      <c r="AR326" t="s">
        <v>135</v>
      </c>
      <c r="AS326" t="s">
        <v>135</v>
      </c>
      <c r="AT326" t="s">
        <v>135</v>
      </c>
      <c r="AU326" t="s">
        <v>135</v>
      </c>
      <c r="AV326" t="s">
        <v>135</v>
      </c>
      <c r="AW326" t="s">
        <v>135</v>
      </c>
      <c r="AX326" t="s">
        <v>135</v>
      </c>
      <c r="AY326" t="s">
        <v>135</v>
      </c>
      <c r="AZ326" t="s">
        <v>135</v>
      </c>
      <c r="BA326" t="s">
        <v>135</v>
      </c>
      <c r="BB326" t="s">
        <v>135</v>
      </c>
      <c r="BC326" t="s">
        <v>135</v>
      </c>
      <c r="BD326" t="s">
        <v>135</v>
      </c>
      <c r="BE326" t="s">
        <v>135</v>
      </c>
      <c r="BF326">
        <v>5.7790999999999997</v>
      </c>
      <c r="BG326">
        <v>-0.8992</v>
      </c>
      <c r="BH326">
        <v>-18.581199999999999</v>
      </c>
      <c r="BI326">
        <v>-51.722299999999997</v>
      </c>
      <c r="BJ326">
        <v>-51.851900000000001</v>
      </c>
      <c r="BK326" t="s">
        <v>135</v>
      </c>
      <c r="BL326" t="s">
        <v>135</v>
      </c>
      <c r="BM326" t="s">
        <v>135</v>
      </c>
      <c r="BN326" t="s">
        <v>135</v>
      </c>
      <c r="BO326" t="s">
        <v>135</v>
      </c>
      <c r="BP326" t="s">
        <v>135</v>
      </c>
      <c r="BQ326" t="s">
        <v>135</v>
      </c>
      <c r="BR326" t="s">
        <v>135</v>
      </c>
      <c r="BS326" t="s">
        <v>135</v>
      </c>
      <c r="BT326" t="s">
        <v>135</v>
      </c>
      <c r="BU326" t="s">
        <v>135</v>
      </c>
      <c r="BV326" t="s">
        <v>135</v>
      </c>
      <c r="BW326" t="s">
        <v>135</v>
      </c>
      <c r="BX326" t="s">
        <v>135</v>
      </c>
      <c r="BY326" t="s">
        <v>135</v>
      </c>
      <c r="BZ326" t="s">
        <v>135</v>
      </c>
      <c r="CA326" t="s">
        <v>135</v>
      </c>
      <c r="CB326" t="s">
        <v>135</v>
      </c>
      <c r="CC326" t="s">
        <v>135</v>
      </c>
      <c r="CD326" t="s">
        <v>135</v>
      </c>
      <c r="CE326" t="s">
        <v>135</v>
      </c>
      <c r="CF326">
        <v>6.8493000000000004</v>
      </c>
      <c r="CG326" t="s">
        <v>135</v>
      </c>
      <c r="CH326" t="s">
        <v>135</v>
      </c>
      <c r="CI326" t="s">
        <v>135</v>
      </c>
      <c r="CJ326" t="s">
        <v>135</v>
      </c>
      <c r="CK326" t="s">
        <v>135</v>
      </c>
      <c r="CL326" t="s">
        <v>135</v>
      </c>
      <c r="CM326" t="s">
        <v>135</v>
      </c>
      <c r="CN326" t="s">
        <v>135</v>
      </c>
      <c r="CO326" t="s">
        <v>135</v>
      </c>
      <c r="CP326">
        <v>85435.199999999997</v>
      </c>
      <c r="CQ326" t="s">
        <v>135</v>
      </c>
      <c r="CR326">
        <v>29727.3</v>
      </c>
      <c r="CS326" t="s">
        <v>135</v>
      </c>
      <c r="CT326" t="s">
        <v>135</v>
      </c>
      <c r="CU326" t="s">
        <v>135</v>
      </c>
      <c r="CV326" t="s">
        <v>135</v>
      </c>
      <c r="CW326" t="s">
        <v>135</v>
      </c>
      <c r="CX326" t="s">
        <v>135</v>
      </c>
      <c r="CY326" t="s">
        <v>135</v>
      </c>
      <c r="CZ326" t="s">
        <v>135</v>
      </c>
      <c r="DA326" t="s">
        <v>135</v>
      </c>
      <c r="DB326" t="s">
        <v>135</v>
      </c>
      <c r="DC326" t="s">
        <v>135</v>
      </c>
      <c r="DD326" t="s">
        <v>135</v>
      </c>
      <c r="DE326" t="s">
        <v>135</v>
      </c>
      <c r="DF326" t="s">
        <v>135</v>
      </c>
      <c r="DG326" t="s">
        <v>135</v>
      </c>
      <c r="DH326" t="s">
        <v>135</v>
      </c>
      <c r="DI326" t="s">
        <v>135</v>
      </c>
    </row>
    <row r="327" spans="1:113" x14ac:dyDescent="0.3">
      <c r="E327" t="s">
        <v>81</v>
      </c>
      <c r="F327">
        <v>11.7127</v>
      </c>
      <c r="G327">
        <v>2.9710000000000001</v>
      </c>
      <c r="H327">
        <v>7.4213000000000005</v>
      </c>
      <c r="I327">
        <v>5.4417999999999997</v>
      </c>
      <c r="J327">
        <v>11.924300000000001</v>
      </c>
      <c r="K327">
        <v>4.8161000000000005</v>
      </c>
      <c r="L327" t="s">
        <v>135</v>
      </c>
      <c r="M327">
        <v>2.5281000000000002</v>
      </c>
      <c r="N327">
        <v>2.383</v>
      </c>
      <c r="O327">
        <v>2.3283</v>
      </c>
      <c r="P327">
        <v>2.3283</v>
      </c>
      <c r="Q327">
        <v>42.342199999999998</v>
      </c>
      <c r="R327" t="s">
        <v>135</v>
      </c>
      <c r="S327" t="s">
        <v>135</v>
      </c>
      <c r="T327">
        <v>18.210799999999999</v>
      </c>
      <c r="U327">
        <v>0.77080000000000004</v>
      </c>
      <c r="V327">
        <v>-28.296800000000001</v>
      </c>
      <c r="W327">
        <v>-50.528100000000002</v>
      </c>
      <c r="X327">
        <v>-50.593800000000002</v>
      </c>
      <c r="Y327" t="s">
        <v>135</v>
      </c>
      <c r="Z327">
        <v>35.4754</v>
      </c>
      <c r="AA327">
        <v>20.1005</v>
      </c>
      <c r="AB327">
        <v>28.989699999999999</v>
      </c>
      <c r="AC327">
        <v>21.039400000000001</v>
      </c>
      <c r="AD327">
        <v>7.0350999999999999</v>
      </c>
      <c r="AE327" t="s">
        <v>135</v>
      </c>
      <c r="AF327">
        <v>24.8535</v>
      </c>
      <c r="AG327">
        <v>54.322000000000003</v>
      </c>
      <c r="AH327">
        <v>13.1592</v>
      </c>
      <c r="AI327">
        <v>63.98</v>
      </c>
      <c r="AJ327">
        <v>34.843299999999999</v>
      </c>
      <c r="AK327">
        <v>64.355500000000006</v>
      </c>
      <c r="AL327" t="s">
        <v>135</v>
      </c>
      <c r="AM327">
        <v>10.327199999999999</v>
      </c>
      <c r="AN327">
        <v>6.8544</v>
      </c>
      <c r="AO327">
        <v>-4.2671999999999999</v>
      </c>
      <c r="AP327">
        <v>-11.6388</v>
      </c>
      <c r="AQ327">
        <v>-12.462400000000001</v>
      </c>
      <c r="AR327" t="s">
        <v>135</v>
      </c>
      <c r="AS327">
        <v>20.887899999999998</v>
      </c>
      <c r="AT327">
        <v>14.9048</v>
      </c>
      <c r="AU327">
        <v>19.411100000000001</v>
      </c>
      <c r="AV327">
        <v>14.2286</v>
      </c>
      <c r="AW327" t="s">
        <v>135</v>
      </c>
      <c r="AX327" t="s">
        <v>135</v>
      </c>
      <c r="AY327">
        <v>12.1968</v>
      </c>
      <c r="AZ327">
        <v>1.3645</v>
      </c>
      <c r="BA327">
        <v>8.8937000000000008</v>
      </c>
      <c r="BB327">
        <v>20.3475</v>
      </c>
      <c r="BC327">
        <v>13.982900000000001</v>
      </c>
      <c r="BD327">
        <v>19.204000000000001</v>
      </c>
      <c r="BE327" t="s">
        <v>135</v>
      </c>
      <c r="BF327">
        <v>23.090499999999999</v>
      </c>
      <c r="BG327">
        <v>27.399799999999999</v>
      </c>
      <c r="BH327">
        <v>47.879899999999999</v>
      </c>
      <c r="BI327">
        <v>77.305800000000005</v>
      </c>
      <c r="BJ327">
        <v>77.777799999999999</v>
      </c>
      <c r="BK327" t="s">
        <v>135</v>
      </c>
      <c r="BL327" t="s">
        <v>135</v>
      </c>
      <c r="BM327" t="s">
        <v>135</v>
      </c>
      <c r="BN327" t="s">
        <v>135</v>
      </c>
      <c r="BO327" t="s">
        <v>135</v>
      </c>
      <c r="BP327" t="s">
        <v>135</v>
      </c>
      <c r="BQ327" t="s">
        <v>135</v>
      </c>
      <c r="BR327" t="s">
        <v>135</v>
      </c>
      <c r="BS327" t="s">
        <v>135</v>
      </c>
      <c r="BT327" t="s">
        <v>135</v>
      </c>
      <c r="BU327" t="s">
        <v>135</v>
      </c>
      <c r="BV327" t="s">
        <v>135</v>
      </c>
      <c r="BW327" t="s">
        <v>135</v>
      </c>
      <c r="BX327" t="s">
        <v>135</v>
      </c>
      <c r="BY327">
        <v>889727</v>
      </c>
      <c r="BZ327">
        <v>277732</v>
      </c>
      <c r="CA327">
        <v>611995</v>
      </c>
      <c r="CB327">
        <v>2.6949999999999998</v>
      </c>
      <c r="CC327">
        <v>1.1873</v>
      </c>
      <c r="CD327">
        <v>7.7636000000000003</v>
      </c>
      <c r="CE327">
        <v>3.4203000000000001</v>
      </c>
      <c r="CF327">
        <v>9.2378</v>
      </c>
      <c r="CG327">
        <v>28.799700000000001</v>
      </c>
      <c r="CH327">
        <v>63.780700000000003</v>
      </c>
      <c r="CI327">
        <v>33.094099999999997</v>
      </c>
      <c r="CJ327">
        <v>18.4697</v>
      </c>
      <c r="CK327">
        <v>92.725300000000004</v>
      </c>
      <c r="CL327">
        <v>48.112699999999997</v>
      </c>
      <c r="CM327">
        <v>26.851500000000001</v>
      </c>
      <c r="CN327">
        <v>40.850900000000003</v>
      </c>
      <c r="CO327">
        <v>29.003</v>
      </c>
      <c r="CP327">
        <v>108844.3</v>
      </c>
      <c r="CQ327" t="s">
        <v>135</v>
      </c>
      <c r="CR327">
        <v>43960.7</v>
      </c>
      <c r="CS327">
        <v>0.34749999999999998</v>
      </c>
      <c r="CT327">
        <v>0.94940000000000002</v>
      </c>
      <c r="CU327">
        <v>0.54510000000000003</v>
      </c>
      <c r="CV327">
        <v>1.8776999999999999</v>
      </c>
      <c r="CW327">
        <v>11.9573</v>
      </c>
      <c r="CX327">
        <v>30.525300000000001</v>
      </c>
      <c r="CY327">
        <v>4.8662999999999998</v>
      </c>
      <c r="CZ327">
        <v>75.004999999999995</v>
      </c>
      <c r="DA327">
        <v>3.0053000000000001</v>
      </c>
      <c r="DB327">
        <v>121.4521</v>
      </c>
      <c r="DC327">
        <v>-15.9217</v>
      </c>
      <c r="DD327">
        <v>105.5304</v>
      </c>
      <c r="DE327">
        <v>421376.3</v>
      </c>
      <c r="DF327">
        <v>30192.799999999999</v>
      </c>
      <c r="DG327">
        <v>40431.699999999997</v>
      </c>
      <c r="DH327">
        <v>344909</v>
      </c>
      <c r="DI327">
        <v>5842.8</v>
      </c>
    </row>
    <row r="328" spans="1:113" x14ac:dyDescent="0.3">
      <c r="A328">
        <v>89</v>
      </c>
      <c r="B328" t="s">
        <v>110</v>
      </c>
      <c r="C328" t="s">
        <v>109</v>
      </c>
      <c r="D328" t="s">
        <v>76</v>
      </c>
      <c r="E328" t="s">
        <v>77</v>
      </c>
      <c r="F328">
        <v>27.1037</v>
      </c>
      <c r="G328">
        <v>7.1680000000000001</v>
      </c>
      <c r="H328">
        <v>15.000999999999999</v>
      </c>
      <c r="I328">
        <v>12.8247</v>
      </c>
      <c r="J328">
        <v>13.504899999999999</v>
      </c>
      <c r="K328">
        <v>8.6469000000000005</v>
      </c>
      <c r="L328">
        <v>11.1669</v>
      </c>
      <c r="M328">
        <v>8.2777999999999992</v>
      </c>
      <c r="N328">
        <v>6.1638999999999999</v>
      </c>
      <c r="O328">
        <v>6.1379000000000001</v>
      </c>
      <c r="P328">
        <v>6.1379000000000001</v>
      </c>
      <c r="Q328">
        <v>25.251999999999999</v>
      </c>
      <c r="R328">
        <v>4.6010999999999997</v>
      </c>
      <c r="S328">
        <v>25.8566</v>
      </c>
      <c r="T328">
        <v>23.3154</v>
      </c>
      <c r="U328">
        <v>36.852200000000003</v>
      </c>
      <c r="V328">
        <v>32.305700000000002</v>
      </c>
      <c r="W328">
        <v>41.429000000000002</v>
      </c>
      <c r="X328">
        <v>41.619300000000003</v>
      </c>
      <c r="Y328">
        <v>0</v>
      </c>
      <c r="Z328">
        <v>-3.5163000000000002</v>
      </c>
      <c r="AA328">
        <v>29.6341</v>
      </c>
      <c r="AB328">
        <v>37.108199999999997</v>
      </c>
      <c r="AC328">
        <v>29.1235</v>
      </c>
      <c r="AD328">
        <v>-67.885800000000003</v>
      </c>
      <c r="AE328" t="s">
        <v>135</v>
      </c>
      <c r="AF328">
        <v>28.7135</v>
      </c>
      <c r="AG328">
        <v>-20.836600000000001</v>
      </c>
      <c r="AH328">
        <v>13.2432</v>
      </c>
      <c r="AI328">
        <v>73.712100000000007</v>
      </c>
      <c r="AJ328">
        <v>37.154699999999998</v>
      </c>
      <c r="AK328">
        <v>72.757499999999993</v>
      </c>
      <c r="AL328">
        <v>67.574700000000007</v>
      </c>
      <c r="AM328">
        <v>26.669</v>
      </c>
      <c r="AN328">
        <v>65.503399999999999</v>
      </c>
      <c r="AO328" t="s">
        <v>135</v>
      </c>
      <c r="AP328" t="s">
        <v>135</v>
      </c>
      <c r="AQ328" t="s">
        <v>135</v>
      </c>
      <c r="AR328">
        <v>10.756600000000001</v>
      </c>
      <c r="AS328">
        <v>17.1371</v>
      </c>
      <c r="AT328">
        <v>20.019600000000001</v>
      </c>
      <c r="AU328">
        <v>10.911799999999999</v>
      </c>
      <c r="AV328">
        <v>24.2179</v>
      </c>
      <c r="AW328" t="s">
        <v>135</v>
      </c>
      <c r="AX328" t="s">
        <v>135</v>
      </c>
      <c r="AY328">
        <v>23.007999999999999</v>
      </c>
      <c r="AZ328">
        <v>7.2908999999999997</v>
      </c>
      <c r="BA328">
        <v>10.908300000000001</v>
      </c>
      <c r="BB328">
        <v>59.761600000000001</v>
      </c>
      <c r="BC328">
        <v>23.677499999999998</v>
      </c>
      <c r="BD328">
        <v>54.550800000000002</v>
      </c>
      <c r="BE328" t="s">
        <v>135</v>
      </c>
      <c r="BF328">
        <v>23.3154</v>
      </c>
      <c r="BG328">
        <v>36.852200000000003</v>
      </c>
      <c r="BH328">
        <v>32.305700000000002</v>
      </c>
      <c r="BI328">
        <v>41.429000000000002</v>
      </c>
      <c r="BJ328">
        <v>41.619300000000003</v>
      </c>
      <c r="BK328">
        <v>0</v>
      </c>
      <c r="BL328">
        <v>-3.5163000000000002</v>
      </c>
      <c r="BM328">
        <v>29.6341</v>
      </c>
      <c r="BN328">
        <v>37.108199999999997</v>
      </c>
      <c r="BO328">
        <v>29.1235</v>
      </c>
      <c r="BP328" t="s">
        <v>135</v>
      </c>
      <c r="BQ328" t="s">
        <v>135</v>
      </c>
      <c r="BR328">
        <v>28.7135</v>
      </c>
      <c r="BS328">
        <v>-20.836600000000001</v>
      </c>
      <c r="BT328">
        <v>13.2432</v>
      </c>
      <c r="BU328">
        <v>73.712100000000007</v>
      </c>
      <c r="BV328">
        <v>37.154699999999998</v>
      </c>
      <c r="BW328">
        <v>72.757499999999993</v>
      </c>
      <c r="BX328">
        <v>67.574700000000007</v>
      </c>
      <c r="BY328">
        <v>658043.19999999995</v>
      </c>
      <c r="BZ328">
        <v>205457.1</v>
      </c>
      <c r="CA328">
        <v>452586.1</v>
      </c>
      <c r="CB328">
        <v>2.1375999999999999</v>
      </c>
      <c r="CC328">
        <v>0.86970000000000003</v>
      </c>
      <c r="CD328">
        <v>3.3386</v>
      </c>
      <c r="CE328">
        <v>1.3583000000000001</v>
      </c>
      <c r="CF328">
        <v>7.5529000000000002</v>
      </c>
      <c r="CG328">
        <v>29.82</v>
      </c>
      <c r="CH328">
        <v>68.548599999999993</v>
      </c>
      <c r="CI328">
        <v>34.331499999999998</v>
      </c>
      <c r="CJ328">
        <v>20.572299999999998</v>
      </c>
      <c r="CK328">
        <v>99.667100000000005</v>
      </c>
      <c r="CL328">
        <v>49.916600000000003</v>
      </c>
      <c r="CM328">
        <v>29.911300000000001</v>
      </c>
      <c r="CN328">
        <v>40.549900000000001</v>
      </c>
      <c r="CO328">
        <v>28.850899999999999</v>
      </c>
      <c r="CP328">
        <v>307838.40000000002</v>
      </c>
      <c r="CQ328">
        <v>38087.1</v>
      </c>
      <c r="CR328">
        <v>197102</v>
      </c>
      <c r="CS328">
        <v>0.42259999999999998</v>
      </c>
      <c r="CT328">
        <v>1.0378000000000001</v>
      </c>
      <c r="CU328">
        <v>0.53710000000000002</v>
      </c>
      <c r="CV328">
        <v>2.5571999999999999</v>
      </c>
      <c r="CW328">
        <v>21.170999999999999</v>
      </c>
      <c r="CX328">
        <v>17.240600000000001</v>
      </c>
      <c r="CY328">
        <v>6.0622999999999996</v>
      </c>
      <c r="CZ328">
        <v>60.208599999999997</v>
      </c>
      <c r="DA328">
        <v>3.2946</v>
      </c>
      <c r="DB328">
        <v>110.78659999999999</v>
      </c>
      <c r="DC328">
        <v>-33.337499999999999</v>
      </c>
      <c r="DD328">
        <v>77.449200000000005</v>
      </c>
      <c r="DE328">
        <v>272708.90000000002</v>
      </c>
      <c r="DF328">
        <v>17772.400000000001</v>
      </c>
      <c r="DG328">
        <v>26570.400000000001</v>
      </c>
      <c r="DH328">
        <v>225108.1</v>
      </c>
      <c r="DI328">
        <v>3258</v>
      </c>
    </row>
    <row r="329" spans="1:113" x14ac:dyDescent="0.3">
      <c r="E329" t="s">
        <v>78</v>
      </c>
      <c r="F329" t="s">
        <v>135</v>
      </c>
      <c r="G329" t="s">
        <v>135</v>
      </c>
      <c r="H329" t="s">
        <v>135</v>
      </c>
      <c r="I329" t="s">
        <v>135</v>
      </c>
      <c r="J329">
        <v>13.3027</v>
      </c>
      <c r="K329">
        <v>8.2812000000000001</v>
      </c>
      <c r="L329" t="s">
        <v>135</v>
      </c>
      <c r="M329">
        <v>6.2606999999999999</v>
      </c>
      <c r="N329">
        <v>3.7343999999999999</v>
      </c>
      <c r="O329">
        <v>3.6920000000000002</v>
      </c>
      <c r="P329">
        <v>3.6920000000000002</v>
      </c>
      <c r="Q329">
        <v>39.773299999999999</v>
      </c>
      <c r="R329" t="s">
        <v>135</v>
      </c>
      <c r="S329" t="s">
        <v>135</v>
      </c>
      <c r="T329">
        <v>8.2928999999999995</v>
      </c>
      <c r="U329">
        <v>8.0683000000000007</v>
      </c>
      <c r="V329">
        <v>-7.5784000000000002</v>
      </c>
      <c r="W329">
        <v>-23.111799999999999</v>
      </c>
      <c r="X329">
        <v>-23.579499999999999</v>
      </c>
      <c r="Y329" t="s">
        <v>135</v>
      </c>
      <c r="Z329" t="s">
        <v>135</v>
      </c>
      <c r="AA329" t="s">
        <v>135</v>
      </c>
      <c r="AB329" t="s">
        <v>135</v>
      </c>
      <c r="AC329" t="s">
        <v>135</v>
      </c>
      <c r="AD329" t="s">
        <v>135</v>
      </c>
      <c r="AE329" t="s">
        <v>135</v>
      </c>
      <c r="AF329" t="s">
        <v>135</v>
      </c>
      <c r="AG329" t="s">
        <v>135</v>
      </c>
      <c r="AH329" t="s">
        <v>135</v>
      </c>
      <c r="AI329" t="s">
        <v>135</v>
      </c>
      <c r="AJ329" t="s">
        <v>135</v>
      </c>
      <c r="AK329" t="s">
        <v>135</v>
      </c>
      <c r="AL329" t="s">
        <v>135</v>
      </c>
      <c r="AM329">
        <v>26.532</v>
      </c>
      <c r="AN329">
        <v>29.871300000000002</v>
      </c>
      <c r="AO329">
        <v>23.932400000000001</v>
      </c>
      <c r="AP329">
        <v>19.119399999999999</v>
      </c>
      <c r="AQ329">
        <v>10.6059</v>
      </c>
      <c r="AR329" t="s">
        <v>135</v>
      </c>
      <c r="AS329" t="s">
        <v>135</v>
      </c>
      <c r="AT329" t="s">
        <v>135</v>
      </c>
      <c r="AU329" t="s">
        <v>135</v>
      </c>
      <c r="AV329" t="s">
        <v>135</v>
      </c>
      <c r="AW329" t="s">
        <v>135</v>
      </c>
      <c r="AX329" t="s">
        <v>135</v>
      </c>
      <c r="AY329" t="s">
        <v>135</v>
      </c>
      <c r="AZ329" t="s">
        <v>135</v>
      </c>
      <c r="BA329" t="s">
        <v>135</v>
      </c>
      <c r="BB329" t="s">
        <v>135</v>
      </c>
      <c r="BC329" t="s">
        <v>135</v>
      </c>
      <c r="BD329" t="s">
        <v>135</v>
      </c>
      <c r="BE329" t="s">
        <v>135</v>
      </c>
      <c r="BF329">
        <v>-16.2789</v>
      </c>
      <c r="BG329">
        <v>-20.404</v>
      </c>
      <c r="BH329">
        <v>-29.185099999999998</v>
      </c>
      <c r="BI329">
        <v>-56.251899999999999</v>
      </c>
      <c r="BJ329">
        <v>-56.153199999999998</v>
      </c>
      <c r="BK329" t="s">
        <v>135</v>
      </c>
      <c r="BL329" t="s">
        <v>135</v>
      </c>
      <c r="BM329" t="s">
        <v>135</v>
      </c>
      <c r="BN329" t="s">
        <v>135</v>
      </c>
      <c r="BO329" t="s">
        <v>135</v>
      </c>
      <c r="BP329" t="s">
        <v>135</v>
      </c>
      <c r="BQ329" t="s">
        <v>135</v>
      </c>
      <c r="BR329" t="s">
        <v>135</v>
      </c>
      <c r="BS329" t="s">
        <v>135</v>
      </c>
      <c r="BT329" t="s">
        <v>135</v>
      </c>
      <c r="BU329" t="s">
        <v>135</v>
      </c>
      <c r="BV329" t="s">
        <v>135</v>
      </c>
      <c r="BW329" t="s">
        <v>135</v>
      </c>
      <c r="BX329" t="s">
        <v>135</v>
      </c>
      <c r="BY329" t="s">
        <v>135</v>
      </c>
      <c r="BZ329" t="s">
        <v>135</v>
      </c>
      <c r="CA329" t="s">
        <v>135</v>
      </c>
      <c r="CB329" t="s">
        <v>135</v>
      </c>
      <c r="CC329" t="s">
        <v>135</v>
      </c>
      <c r="CD329" t="s">
        <v>135</v>
      </c>
      <c r="CE329" t="s">
        <v>135</v>
      </c>
      <c r="CF329">
        <v>6.5587</v>
      </c>
      <c r="CG329" t="s">
        <v>135</v>
      </c>
      <c r="CH329" t="s">
        <v>135</v>
      </c>
      <c r="CI329" t="s">
        <v>135</v>
      </c>
      <c r="CJ329" t="s">
        <v>135</v>
      </c>
      <c r="CK329" t="s">
        <v>135</v>
      </c>
      <c r="CL329" t="s">
        <v>135</v>
      </c>
      <c r="CM329" t="s">
        <v>135</v>
      </c>
      <c r="CN329" t="s">
        <v>135</v>
      </c>
      <c r="CO329" t="s">
        <v>135</v>
      </c>
      <c r="CP329">
        <v>62192</v>
      </c>
      <c r="CQ329" t="s">
        <v>135</v>
      </c>
      <c r="CR329">
        <v>38715.5</v>
      </c>
      <c r="CS329" t="s">
        <v>135</v>
      </c>
      <c r="CT329" t="s">
        <v>135</v>
      </c>
      <c r="CU329" t="s">
        <v>135</v>
      </c>
      <c r="CV329" t="s">
        <v>135</v>
      </c>
      <c r="CW329" t="s">
        <v>135</v>
      </c>
      <c r="CX329" t="s">
        <v>135</v>
      </c>
      <c r="CY329" t="s">
        <v>135</v>
      </c>
      <c r="CZ329" t="s">
        <v>135</v>
      </c>
      <c r="DA329" t="s">
        <v>135</v>
      </c>
      <c r="DB329" t="s">
        <v>135</v>
      </c>
      <c r="DC329" t="s">
        <v>135</v>
      </c>
      <c r="DD329" t="s">
        <v>135</v>
      </c>
      <c r="DE329" t="s">
        <v>135</v>
      </c>
      <c r="DF329" t="s">
        <v>135</v>
      </c>
      <c r="DG329" t="s">
        <v>135</v>
      </c>
      <c r="DH329" t="s">
        <v>135</v>
      </c>
      <c r="DI329" t="s">
        <v>135</v>
      </c>
    </row>
    <row r="330" spans="1:113" x14ac:dyDescent="0.3">
      <c r="E330" t="s">
        <v>79</v>
      </c>
      <c r="F330">
        <v>22.677499999999998</v>
      </c>
      <c r="G330">
        <v>6.0145999999999997</v>
      </c>
      <c r="H330">
        <v>14.219900000000001</v>
      </c>
      <c r="I330">
        <v>14.2036</v>
      </c>
      <c r="J330">
        <v>15.502599999999999</v>
      </c>
      <c r="K330">
        <v>10.6028</v>
      </c>
      <c r="L330">
        <v>16.8188</v>
      </c>
      <c r="M330">
        <v>8.5319000000000003</v>
      </c>
      <c r="N330">
        <v>6.3777999999999997</v>
      </c>
      <c r="O330">
        <v>6.3586999999999998</v>
      </c>
      <c r="P330">
        <v>6.3586999999999998</v>
      </c>
      <c r="Q330">
        <v>25.112200000000001</v>
      </c>
      <c r="R330" t="s">
        <v>135</v>
      </c>
      <c r="S330" t="s">
        <v>135</v>
      </c>
      <c r="T330">
        <v>30.085599999999999</v>
      </c>
      <c r="U330">
        <v>61.9</v>
      </c>
      <c r="V330">
        <v>57.9437</v>
      </c>
      <c r="W330">
        <v>70.714299999999994</v>
      </c>
      <c r="X330">
        <v>70.123800000000003</v>
      </c>
      <c r="Y330" t="s">
        <v>135</v>
      </c>
      <c r="Z330">
        <v>48.441400000000002</v>
      </c>
      <c r="AA330">
        <v>26.511099999999999</v>
      </c>
      <c r="AB330">
        <v>33.932000000000002</v>
      </c>
      <c r="AC330">
        <v>28.447800000000001</v>
      </c>
      <c r="AD330">
        <v>-7.4497</v>
      </c>
      <c r="AE330">
        <v>55.6325</v>
      </c>
      <c r="AF330">
        <v>26.5273</v>
      </c>
      <c r="AG330">
        <v>11.6767</v>
      </c>
      <c r="AH330">
        <v>32.278799999999997</v>
      </c>
      <c r="AI330">
        <v>36.764000000000003</v>
      </c>
      <c r="AJ330">
        <v>34.493600000000001</v>
      </c>
      <c r="AK330">
        <v>35.698399999999999</v>
      </c>
      <c r="AL330" t="s">
        <v>135</v>
      </c>
      <c r="AM330">
        <v>19.533799999999999</v>
      </c>
      <c r="AN330">
        <v>43.7682</v>
      </c>
      <c r="AO330">
        <v>50.725099999999998</v>
      </c>
      <c r="AP330" t="s">
        <v>135</v>
      </c>
      <c r="AQ330" t="s">
        <v>135</v>
      </c>
      <c r="AR330" t="s">
        <v>135</v>
      </c>
      <c r="AS330" t="s">
        <v>135</v>
      </c>
      <c r="AT330" t="s">
        <v>135</v>
      </c>
      <c r="AU330" t="s">
        <v>135</v>
      </c>
      <c r="AV330" t="s">
        <v>135</v>
      </c>
      <c r="AW330" t="s">
        <v>135</v>
      </c>
      <c r="AX330" t="s">
        <v>135</v>
      </c>
      <c r="AY330" t="s">
        <v>135</v>
      </c>
      <c r="AZ330" t="s">
        <v>135</v>
      </c>
      <c r="BA330" t="s">
        <v>135</v>
      </c>
      <c r="BB330" t="s">
        <v>135</v>
      </c>
      <c r="BC330" t="s">
        <v>135</v>
      </c>
      <c r="BD330" t="s">
        <v>135</v>
      </c>
      <c r="BE330" t="s">
        <v>135</v>
      </c>
      <c r="BF330">
        <v>19.116599999999998</v>
      </c>
      <c r="BG330">
        <v>38.527299999999997</v>
      </c>
      <c r="BH330">
        <v>52.289200000000001</v>
      </c>
      <c r="BI330">
        <v>105.1979</v>
      </c>
      <c r="BJ330">
        <v>104.27509999999999</v>
      </c>
      <c r="BK330" t="s">
        <v>135</v>
      </c>
      <c r="BL330" t="s">
        <v>135</v>
      </c>
      <c r="BM330" t="s">
        <v>135</v>
      </c>
      <c r="BN330" t="s">
        <v>135</v>
      </c>
      <c r="BO330" t="s">
        <v>135</v>
      </c>
      <c r="BP330" t="s">
        <v>135</v>
      </c>
      <c r="BQ330" t="s">
        <v>135</v>
      </c>
      <c r="BR330" t="s">
        <v>135</v>
      </c>
      <c r="BS330" t="s">
        <v>135</v>
      </c>
      <c r="BT330" t="s">
        <v>135</v>
      </c>
      <c r="BU330" t="s">
        <v>135</v>
      </c>
      <c r="BV330" t="s">
        <v>135</v>
      </c>
      <c r="BW330" t="s">
        <v>135</v>
      </c>
      <c r="BX330" t="s">
        <v>135</v>
      </c>
      <c r="BY330">
        <v>551926.5</v>
      </c>
      <c r="BZ330">
        <v>147670.9</v>
      </c>
      <c r="CA330">
        <v>404255.6</v>
      </c>
      <c r="CB330">
        <v>1.9476</v>
      </c>
      <c r="CC330">
        <v>0.82930000000000004</v>
      </c>
      <c r="CD330">
        <v>2.9298000000000002</v>
      </c>
      <c r="CE330">
        <v>1.2475000000000001</v>
      </c>
      <c r="CF330">
        <v>7.7671999999999999</v>
      </c>
      <c r="CG330">
        <v>27.261500000000002</v>
      </c>
      <c r="CH330">
        <v>72.620500000000007</v>
      </c>
      <c r="CI330">
        <v>36.465600000000002</v>
      </c>
      <c r="CJ330">
        <v>19.944600000000001</v>
      </c>
      <c r="CK330">
        <v>99.148099999999999</v>
      </c>
      <c r="CL330">
        <v>49.786099999999998</v>
      </c>
      <c r="CM330">
        <v>27.2301</v>
      </c>
      <c r="CN330">
        <v>42.217300000000002</v>
      </c>
      <c r="CO330">
        <v>29.685099999999998</v>
      </c>
      <c r="CP330">
        <v>86351.3</v>
      </c>
      <c r="CQ330" t="s">
        <v>135</v>
      </c>
      <c r="CR330">
        <v>59058.8</v>
      </c>
      <c r="CS330">
        <v>0.35570000000000002</v>
      </c>
      <c r="CT330">
        <v>0.94789999999999996</v>
      </c>
      <c r="CU330">
        <v>0.48099999999999998</v>
      </c>
      <c r="CV330">
        <v>2.1088</v>
      </c>
      <c r="CW330">
        <v>21.855399999999999</v>
      </c>
      <c r="CX330">
        <v>16.700600000000001</v>
      </c>
      <c r="CY330">
        <v>5.3051000000000004</v>
      </c>
      <c r="CZ330">
        <v>68.801299999999998</v>
      </c>
      <c r="DA330">
        <v>3.1831999999999998</v>
      </c>
      <c r="DB330">
        <v>114.6649</v>
      </c>
      <c r="DC330">
        <v>-29.1629</v>
      </c>
      <c r="DD330">
        <v>85.501900000000006</v>
      </c>
      <c r="DE330">
        <v>275866.90000000002</v>
      </c>
      <c r="DF330" t="s">
        <v>135</v>
      </c>
      <c r="DG330" t="s">
        <v>135</v>
      </c>
      <c r="DH330" t="s">
        <v>135</v>
      </c>
      <c r="DI330" t="s">
        <v>135</v>
      </c>
    </row>
    <row r="331" spans="1:113" x14ac:dyDescent="0.3">
      <c r="E331" t="s">
        <v>80</v>
      </c>
      <c r="F331" t="s">
        <v>135</v>
      </c>
      <c r="G331" t="s">
        <v>135</v>
      </c>
      <c r="H331" t="s">
        <v>135</v>
      </c>
      <c r="I331" t="s">
        <v>135</v>
      </c>
      <c r="J331">
        <v>15.657999999999999</v>
      </c>
      <c r="K331">
        <v>11.168100000000001</v>
      </c>
      <c r="L331">
        <v>19.805399999999999</v>
      </c>
      <c r="M331">
        <v>9.6445000000000007</v>
      </c>
      <c r="N331">
        <v>7.5757000000000003</v>
      </c>
      <c r="O331">
        <v>7.5623000000000005</v>
      </c>
      <c r="P331">
        <v>7.5623000000000005</v>
      </c>
      <c r="Q331">
        <v>21.3551</v>
      </c>
      <c r="R331" t="s">
        <v>135</v>
      </c>
      <c r="S331" t="s">
        <v>135</v>
      </c>
      <c r="T331">
        <v>38.660499999999999</v>
      </c>
      <c r="U331">
        <v>75.852599999999995</v>
      </c>
      <c r="V331">
        <v>97.802300000000002</v>
      </c>
      <c r="W331">
        <v>195.22579999999999</v>
      </c>
      <c r="X331">
        <v>194.08279999999999</v>
      </c>
      <c r="Y331" t="s">
        <v>135</v>
      </c>
      <c r="Z331" t="s">
        <v>135</v>
      </c>
      <c r="AA331" t="s">
        <v>135</v>
      </c>
      <c r="AB331" t="s">
        <v>135</v>
      </c>
      <c r="AC331" t="s">
        <v>135</v>
      </c>
      <c r="AD331" t="s">
        <v>135</v>
      </c>
      <c r="AE331" t="s">
        <v>135</v>
      </c>
      <c r="AF331" t="s">
        <v>135</v>
      </c>
      <c r="AG331" t="s">
        <v>135</v>
      </c>
      <c r="AH331" t="s">
        <v>135</v>
      </c>
      <c r="AI331" t="s">
        <v>135</v>
      </c>
      <c r="AJ331" t="s">
        <v>135</v>
      </c>
      <c r="AK331" t="s">
        <v>135</v>
      </c>
      <c r="AL331" t="s">
        <v>135</v>
      </c>
      <c r="AM331">
        <v>29.366299999999999</v>
      </c>
      <c r="AN331" t="s">
        <v>135</v>
      </c>
      <c r="AO331" t="s">
        <v>135</v>
      </c>
      <c r="AP331" t="s">
        <v>135</v>
      </c>
      <c r="AQ331" t="s">
        <v>135</v>
      </c>
      <c r="AR331" t="s">
        <v>135</v>
      </c>
      <c r="AS331" t="s">
        <v>135</v>
      </c>
      <c r="AT331" t="s">
        <v>135</v>
      </c>
      <c r="AU331" t="s">
        <v>135</v>
      </c>
      <c r="AV331" t="s">
        <v>135</v>
      </c>
      <c r="AW331" t="s">
        <v>135</v>
      </c>
      <c r="AX331" t="s">
        <v>135</v>
      </c>
      <c r="AY331" t="s">
        <v>135</v>
      </c>
      <c r="AZ331" t="s">
        <v>135</v>
      </c>
      <c r="BA331" t="s">
        <v>135</v>
      </c>
      <c r="BB331" t="s">
        <v>135</v>
      </c>
      <c r="BC331" t="s">
        <v>135</v>
      </c>
      <c r="BD331" t="s">
        <v>135</v>
      </c>
      <c r="BE331" t="s">
        <v>135</v>
      </c>
      <c r="BF331">
        <v>14.0952</v>
      </c>
      <c r="BG331">
        <v>15.0609</v>
      </c>
      <c r="BH331">
        <v>20.0777</v>
      </c>
      <c r="BI331">
        <v>35.657499999999999</v>
      </c>
      <c r="BJ331">
        <v>35.668799999999997</v>
      </c>
      <c r="BK331" t="s">
        <v>135</v>
      </c>
      <c r="BL331" t="s">
        <v>135</v>
      </c>
      <c r="BM331" t="s">
        <v>135</v>
      </c>
      <c r="BN331" t="s">
        <v>135</v>
      </c>
      <c r="BO331" t="s">
        <v>135</v>
      </c>
      <c r="BP331" t="s">
        <v>135</v>
      </c>
      <c r="BQ331" t="s">
        <v>135</v>
      </c>
      <c r="BR331" t="s">
        <v>135</v>
      </c>
      <c r="BS331" t="s">
        <v>135</v>
      </c>
      <c r="BT331" t="s">
        <v>135</v>
      </c>
      <c r="BU331" t="s">
        <v>135</v>
      </c>
      <c r="BV331" t="s">
        <v>135</v>
      </c>
      <c r="BW331" t="s">
        <v>135</v>
      </c>
      <c r="BX331" t="s">
        <v>135</v>
      </c>
      <c r="BY331" t="s">
        <v>135</v>
      </c>
      <c r="BZ331" t="s">
        <v>135</v>
      </c>
      <c r="CA331" t="s">
        <v>135</v>
      </c>
      <c r="CB331" t="s">
        <v>135</v>
      </c>
      <c r="CC331" t="s">
        <v>135</v>
      </c>
      <c r="CD331" t="s">
        <v>135</v>
      </c>
      <c r="CE331" t="s">
        <v>135</v>
      </c>
      <c r="CF331">
        <v>9.9365000000000006</v>
      </c>
      <c r="CG331" t="s">
        <v>135</v>
      </c>
      <c r="CH331" t="s">
        <v>135</v>
      </c>
      <c r="CI331" t="s">
        <v>135</v>
      </c>
      <c r="CJ331" t="s">
        <v>135</v>
      </c>
      <c r="CK331" t="s">
        <v>135</v>
      </c>
      <c r="CL331" t="s">
        <v>135</v>
      </c>
      <c r="CM331" t="s">
        <v>135</v>
      </c>
      <c r="CN331" t="s">
        <v>135</v>
      </c>
      <c r="CO331" t="s">
        <v>135</v>
      </c>
      <c r="CP331">
        <v>99484.9</v>
      </c>
      <c r="CQ331" t="s">
        <v>135</v>
      </c>
      <c r="CR331">
        <v>70958</v>
      </c>
      <c r="CS331" t="s">
        <v>135</v>
      </c>
      <c r="CT331" t="s">
        <v>135</v>
      </c>
      <c r="CU331" t="s">
        <v>135</v>
      </c>
      <c r="CV331" t="s">
        <v>135</v>
      </c>
      <c r="CW331" t="s">
        <v>135</v>
      </c>
      <c r="CX331" t="s">
        <v>135</v>
      </c>
      <c r="CY331" t="s">
        <v>135</v>
      </c>
      <c r="CZ331" t="s">
        <v>135</v>
      </c>
      <c r="DA331" t="s">
        <v>135</v>
      </c>
      <c r="DB331" t="s">
        <v>135</v>
      </c>
      <c r="DC331" t="s">
        <v>135</v>
      </c>
      <c r="DD331" t="s">
        <v>135</v>
      </c>
      <c r="DE331" t="s">
        <v>135</v>
      </c>
      <c r="DF331" t="s">
        <v>135</v>
      </c>
      <c r="DG331" t="s">
        <v>135</v>
      </c>
      <c r="DH331" t="s">
        <v>135</v>
      </c>
      <c r="DI331" t="s">
        <v>135</v>
      </c>
    </row>
    <row r="332" spans="1:113" x14ac:dyDescent="0.3">
      <c r="E332" t="s">
        <v>81</v>
      </c>
      <c r="F332">
        <v>27.1037</v>
      </c>
      <c r="G332">
        <v>7.1680000000000001</v>
      </c>
      <c r="H332">
        <v>15.432600000000001</v>
      </c>
      <c r="I332">
        <v>15.4405</v>
      </c>
      <c r="J332">
        <v>15.4518</v>
      </c>
      <c r="K332">
        <v>10.622299999999999</v>
      </c>
      <c r="L332">
        <v>15.8569</v>
      </c>
      <c r="M332">
        <v>7.8079999999999998</v>
      </c>
      <c r="N332">
        <v>6.0862999999999996</v>
      </c>
      <c r="O332">
        <v>6.0545999999999998</v>
      </c>
      <c r="P332">
        <v>6.0545999999999998</v>
      </c>
      <c r="Q332">
        <v>21.708400000000001</v>
      </c>
      <c r="R332" t="s">
        <v>135</v>
      </c>
      <c r="S332" t="s">
        <v>135</v>
      </c>
      <c r="T332">
        <v>15.891500000000001</v>
      </c>
      <c r="U332">
        <v>27.9815</v>
      </c>
      <c r="V332">
        <v>25.738499999999998</v>
      </c>
      <c r="W332">
        <v>-0.68889999999999996</v>
      </c>
      <c r="X332">
        <v>-0.89649999999999996</v>
      </c>
      <c r="Y332" t="s">
        <v>135</v>
      </c>
      <c r="Z332">
        <v>-3.5163000000000002</v>
      </c>
      <c r="AA332">
        <v>29.6341</v>
      </c>
      <c r="AB332">
        <v>37.108199999999997</v>
      </c>
      <c r="AC332">
        <v>29.1235</v>
      </c>
      <c r="AD332">
        <v>-67.885800000000003</v>
      </c>
      <c r="AE332" t="s">
        <v>135</v>
      </c>
      <c r="AF332">
        <v>28.7135</v>
      </c>
      <c r="AG332">
        <v>-20.836600000000001</v>
      </c>
      <c r="AH332">
        <v>13.2432</v>
      </c>
      <c r="AI332">
        <v>73.712100000000007</v>
      </c>
      <c r="AJ332">
        <v>37.154699999999998</v>
      </c>
      <c r="AK332">
        <v>72.757499999999993</v>
      </c>
      <c r="AL332" t="s">
        <v>135</v>
      </c>
      <c r="AM332">
        <v>33.739199999999997</v>
      </c>
      <c r="AN332">
        <v>215.24119999999999</v>
      </c>
      <c r="AO332" t="s">
        <v>135</v>
      </c>
      <c r="AP332">
        <v>65.493499999999997</v>
      </c>
      <c r="AQ332">
        <v>58.116999999999997</v>
      </c>
      <c r="AR332" t="s">
        <v>135</v>
      </c>
      <c r="AS332">
        <v>17.1371</v>
      </c>
      <c r="AT332">
        <v>20.019600000000001</v>
      </c>
      <c r="AU332">
        <v>10.911799999999999</v>
      </c>
      <c r="AV332">
        <v>24.2179</v>
      </c>
      <c r="AW332" t="s">
        <v>135</v>
      </c>
      <c r="AX332" t="s">
        <v>135</v>
      </c>
      <c r="AY332">
        <v>23.007999999999999</v>
      </c>
      <c r="AZ332">
        <v>7.2908999999999997</v>
      </c>
      <c r="BA332">
        <v>10.908300000000001</v>
      </c>
      <c r="BB332">
        <v>59.761600000000001</v>
      </c>
      <c r="BC332">
        <v>23.677499999999998</v>
      </c>
      <c r="BD332">
        <v>54.550800000000002</v>
      </c>
      <c r="BE332" t="s">
        <v>135</v>
      </c>
      <c r="BF332">
        <v>1.8946000000000001</v>
      </c>
      <c r="BG332">
        <v>0.41839999999999999</v>
      </c>
      <c r="BH332">
        <v>-3.1493000000000002</v>
      </c>
      <c r="BI332">
        <v>-18.450500000000002</v>
      </c>
      <c r="BJ332">
        <v>-18.443999999999999</v>
      </c>
      <c r="BK332" t="s">
        <v>135</v>
      </c>
      <c r="BL332" t="s">
        <v>135</v>
      </c>
      <c r="BM332" t="s">
        <v>135</v>
      </c>
      <c r="BN332" t="s">
        <v>135</v>
      </c>
      <c r="BO332" t="s">
        <v>135</v>
      </c>
      <c r="BP332" t="s">
        <v>135</v>
      </c>
      <c r="BQ332" t="s">
        <v>135</v>
      </c>
      <c r="BR332" t="s">
        <v>135</v>
      </c>
      <c r="BS332" t="s">
        <v>135</v>
      </c>
      <c r="BT332" t="s">
        <v>135</v>
      </c>
      <c r="BU332" t="s">
        <v>135</v>
      </c>
      <c r="BV332" t="s">
        <v>135</v>
      </c>
      <c r="BW332" t="s">
        <v>135</v>
      </c>
      <c r="BX332" t="s">
        <v>135</v>
      </c>
      <c r="BY332">
        <v>658043.19999999995</v>
      </c>
      <c r="BZ332">
        <v>205457.1</v>
      </c>
      <c r="CA332">
        <v>452586.1</v>
      </c>
      <c r="CB332">
        <v>1.8889</v>
      </c>
      <c r="CC332">
        <v>0.76849999999999996</v>
      </c>
      <c r="CD332">
        <v>2.7696000000000001</v>
      </c>
      <c r="CE332">
        <v>1.1268</v>
      </c>
      <c r="CF332">
        <v>5.9966999999999997</v>
      </c>
      <c r="CG332">
        <v>29.82</v>
      </c>
      <c r="CH332">
        <v>68.548599999999993</v>
      </c>
      <c r="CI332">
        <v>34.331499999999998</v>
      </c>
      <c r="CJ332">
        <v>20.572299999999998</v>
      </c>
      <c r="CK332">
        <v>99.667100000000005</v>
      </c>
      <c r="CL332">
        <v>49.916600000000003</v>
      </c>
      <c r="CM332">
        <v>29.911300000000001</v>
      </c>
      <c r="CN332">
        <v>40.549900000000001</v>
      </c>
      <c r="CO332">
        <v>28.850899999999999</v>
      </c>
      <c r="CP332">
        <v>99997.8</v>
      </c>
      <c r="CQ332" t="s">
        <v>135</v>
      </c>
      <c r="CR332">
        <v>68743</v>
      </c>
      <c r="CS332">
        <v>0.42259999999999998</v>
      </c>
      <c r="CT332">
        <v>1.0378000000000001</v>
      </c>
      <c r="CU332">
        <v>0.53710000000000002</v>
      </c>
      <c r="CV332">
        <v>2.5571999999999999</v>
      </c>
      <c r="CW332">
        <v>21.424600000000002</v>
      </c>
      <c r="CX332">
        <v>17.0365</v>
      </c>
      <c r="CY332">
        <v>6.0622999999999996</v>
      </c>
      <c r="CZ332">
        <v>60.208599999999997</v>
      </c>
      <c r="DA332">
        <v>3.2946</v>
      </c>
      <c r="DB332">
        <v>110.78659999999999</v>
      </c>
      <c r="DC332">
        <v>-33.541600000000003</v>
      </c>
      <c r="DD332">
        <v>77.245000000000005</v>
      </c>
      <c r="DE332">
        <v>272708.90000000002</v>
      </c>
      <c r="DF332">
        <v>17772.400000000001</v>
      </c>
      <c r="DG332">
        <v>26570.400000000001</v>
      </c>
      <c r="DH332">
        <v>225108.1</v>
      </c>
      <c r="DI332">
        <v>3258</v>
      </c>
    </row>
    <row r="333" spans="1:113" x14ac:dyDescent="0.3">
      <c r="D333" t="s">
        <v>82</v>
      </c>
      <c r="E333" t="s">
        <v>77</v>
      </c>
      <c r="F333">
        <v>22.953700000000001</v>
      </c>
      <c r="G333">
        <v>6.0987999999999998</v>
      </c>
      <c r="H333">
        <v>12.540900000000001</v>
      </c>
      <c r="I333">
        <v>11.569800000000001</v>
      </c>
      <c r="J333">
        <v>14.413399999999999</v>
      </c>
      <c r="K333">
        <v>9.2357999999999993</v>
      </c>
      <c r="L333">
        <v>13.622999999999999</v>
      </c>
      <c r="M333">
        <v>8.3941999999999997</v>
      </c>
      <c r="N333">
        <v>5.4432</v>
      </c>
      <c r="O333">
        <v>5.4097</v>
      </c>
      <c r="P333">
        <v>5.4097</v>
      </c>
      <c r="Q333">
        <v>35.2166</v>
      </c>
      <c r="R333">
        <v>0</v>
      </c>
      <c r="S333">
        <v>22.953700000000001</v>
      </c>
      <c r="T333">
        <v>13.422700000000001</v>
      </c>
      <c r="U333">
        <v>21.053000000000001</v>
      </c>
      <c r="V333">
        <v>21.147400000000001</v>
      </c>
      <c r="W333">
        <v>-3.3799999999999997E-2</v>
      </c>
      <c r="X333">
        <v>-0.16819999999999999</v>
      </c>
      <c r="Y333" t="s">
        <v>135</v>
      </c>
      <c r="Z333">
        <v>18.960899999999999</v>
      </c>
      <c r="AA333">
        <v>7.3391000000000002</v>
      </c>
      <c r="AB333">
        <v>21.295999999999999</v>
      </c>
      <c r="AC333">
        <v>8.4817</v>
      </c>
      <c r="AD333">
        <v>19.775400000000001</v>
      </c>
      <c r="AE333">
        <v>-57.4</v>
      </c>
      <c r="AF333">
        <v>2.2565</v>
      </c>
      <c r="AG333">
        <v>5.2083000000000004</v>
      </c>
      <c r="AH333">
        <v>18.0578</v>
      </c>
      <c r="AI333">
        <v>-14.1294</v>
      </c>
      <c r="AJ333">
        <v>1.9374</v>
      </c>
      <c r="AK333">
        <v>-14.2394</v>
      </c>
      <c r="AL333">
        <v>-3.3260999999999998</v>
      </c>
      <c r="AM333">
        <v>23.372399999999999</v>
      </c>
      <c r="AN333">
        <v>42.6053</v>
      </c>
      <c r="AO333">
        <v>58.883299999999998</v>
      </c>
      <c r="AP333">
        <v>40.319499999999998</v>
      </c>
      <c r="AQ333">
        <v>37.637900000000002</v>
      </c>
      <c r="AR333">
        <v>-100</v>
      </c>
      <c r="AS333">
        <v>11.8332</v>
      </c>
      <c r="AT333">
        <v>20.9437</v>
      </c>
      <c r="AU333">
        <v>15.9939</v>
      </c>
      <c r="AV333">
        <v>22.357700000000001</v>
      </c>
      <c r="AW333" t="s">
        <v>135</v>
      </c>
      <c r="AX333" t="s">
        <v>135</v>
      </c>
      <c r="AY333">
        <v>19.3934</v>
      </c>
      <c r="AZ333">
        <v>4.1340000000000003</v>
      </c>
      <c r="BA333">
        <v>12.932</v>
      </c>
      <c r="BB333">
        <v>46.435699999999997</v>
      </c>
      <c r="BC333">
        <v>21.519300000000001</v>
      </c>
      <c r="BD333">
        <v>43.459699999999998</v>
      </c>
      <c r="BE333">
        <v>35.801200000000001</v>
      </c>
      <c r="BF333">
        <v>13.422700000000001</v>
      </c>
      <c r="BG333">
        <v>21.053000000000001</v>
      </c>
      <c r="BH333">
        <v>21.147400000000001</v>
      </c>
      <c r="BI333">
        <v>-3.3799999999999997E-2</v>
      </c>
      <c r="BJ333">
        <v>-0.16819999999999999</v>
      </c>
      <c r="BK333">
        <v>-100</v>
      </c>
      <c r="BL333">
        <v>18.960899999999999</v>
      </c>
      <c r="BM333">
        <v>7.3391000000000002</v>
      </c>
      <c r="BN333">
        <v>21.295999999999999</v>
      </c>
      <c r="BO333">
        <v>8.4817</v>
      </c>
      <c r="BP333" t="s">
        <v>135</v>
      </c>
      <c r="BQ333">
        <v>-57.4</v>
      </c>
      <c r="BR333">
        <v>2.2565</v>
      </c>
      <c r="BS333">
        <v>5.2083000000000004</v>
      </c>
      <c r="BT333">
        <v>18.0578</v>
      </c>
      <c r="BU333">
        <v>-14.1294</v>
      </c>
      <c r="BV333">
        <v>1.9374</v>
      </c>
      <c r="BW333">
        <v>-14.2394</v>
      </c>
      <c r="BX333">
        <v>-3.3260999999999998</v>
      </c>
      <c r="BY333">
        <v>776871.4</v>
      </c>
      <c r="BZ333">
        <v>216158</v>
      </c>
      <c r="CA333">
        <v>560713.4</v>
      </c>
      <c r="CB333">
        <v>2.0846999999999998</v>
      </c>
      <c r="CC333">
        <v>0.84460000000000002</v>
      </c>
      <c r="CD333">
        <v>3.2534000000000001</v>
      </c>
      <c r="CE333">
        <v>1.3181</v>
      </c>
      <c r="CF333">
        <v>9.2156000000000002</v>
      </c>
      <c r="CG333">
        <v>23.574300000000001</v>
      </c>
      <c r="CH333">
        <v>98.899500000000003</v>
      </c>
      <c r="CI333">
        <v>41.725200000000001</v>
      </c>
      <c r="CJ333">
        <v>23.494399999999999</v>
      </c>
      <c r="CK333">
        <v>137.0258</v>
      </c>
      <c r="CL333">
        <v>57.810499999999998</v>
      </c>
      <c r="CM333">
        <v>32.551699999999997</v>
      </c>
      <c r="CN333">
        <v>55.516399999999997</v>
      </c>
      <c r="CO333">
        <v>35.698099999999997</v>
      </c>
      <c r="CP333">
        <v>372647.5</v>
      </c>
      <c r="CQ333">
        <v>56509.5</v>
      </c>
      <c r="CR333">
        <v>238783.9</v>
      </c>
      <c r="CS333">
        <v>0.46089999999999998</v>
      </c>
      <c r="CT333">
        <v>1.0147999999999999</v>
      </c>
      <c r="CU333">
        <v>0.58630000000000004</v>
      </c>
      <c r="CV333">
        <v>2.8090000000000002</v>
      </c>
      <c r="CW333">
        <v>22.332999999999998</v>
      </c>
      <c r="CX333">
        <v>16.343499999999999</v>
      </c>
      <c r="CY333">
        <v>5.7744</v>
      </c>
      <c r="CZ333">
        <v>63.210500000000003</v>
      </c>
      <c r="DA333">
        <v>3.1332</v>
      </c>
      <c r="DB333">
        <v>116.49420000000001</v>
      </c>
      <c r="DC333">
        <v>-36.940100000000001</v>
      </c>
      <c r="DD333">
        <v>79.554100000000005</v>
      </c>
      <c r="DE333">
        <v>292723.40000000002</v>
      </c>
      <c r="DF333">
        <v>22018.2</v>
      </c>
      <c r="DG333">
        <v>33672.6</v>
      </c>
      <c r="DH333">
        <v>232908.1</v>
      </c>
      <c r="DI333">
        <v>4124.5</v>
      </c>
    </row>
    <row r="334" spans="1:113" x14ac:dyDescent="0.3">
      <c r="E334" t="s">
        <v>78</v>
      </c>
      <c r="F334" t="s">
        <v>135</v>
      </c>
      <c r="G334" t="s">
        <v>135</v>
      </c>
      <c r="H334" t="s">
        <v>135</v>
      </c>
      <c r="I334" t="s">
        <v>135</v>
      </c>
      <c r="J334">
        <v>17.3691</v>
      </c>
      <c r="K334">
        <v>12.724399999999999</v>
      </c>
      <c r="L334">
        <v>24.640799999999999</v>
      </c>
      <c r="M334">
        <v>11.7356</v>
      </c>
      <c r="N334">
        <v>8.4460999999999995</v>
      </c>
      <c r="O334">
        <v>8.4148999999999994</v>
      </c>
      <c r="P334">
        <v>8.4148999999999994</v>
      </c>
      <c r="Q334">
        <v>28.094100000000001</v>
      </c>
      <c r="R334" t="s">
        <v>135</v>
      </c>
      <c r="S334" t="s">
        <v>135</v>
      </c>
      <c r="T334">
        <v>37.185899999999997</v>
      </c>
      <c r="U334">
        <v>78.749399999999994</v>
      </c>
      <c r="V334">
        <v>110.4864</v>
      </c>
      <c r="W334">
        <v>212.7457</v>
      </c>
      <c r="X334">
        <v>211.3383</v>
      </c>
      <c r="Y334" t="s">
        <v>135</v>
      </c>
      <c r="Z334" t="s">
        <v>135</v>
      </c>
      <c r="AA334" t="s">
        <v>135</v>
      </c>
      <c r="AB334" t="s">
        <v>135</v>
      </c>
      <c r="AC334" t="s">
        <v>135</v>
      </c>
      <c r="AD334" t="s">
        <v>135</v>
      </c>
      <c r="AE334" t="s">
        <v>135</v>
      </c>
      <c r="AF334" t="s">
        <v>135</v>
      </c>
      <c r="AG334" t="s">
        <v>135</v>
      </c>
      <c r="AH334" t="s">
        <v>135</v>
      </c>
      <c r="AI334" t="s">
        <v>135</v>
      </c>
      <c r="AJ334" t="s">
        <v>135</v>
      </c>
      <c r="AK334" t="s">
        <v>135</v>
      </c>
      <c r="AL334" t="s">
        <v>135</v>
      </c>
      <c r="AM334">
        <v>31.540099999999999</v>
      </c>
      <c r="AN334">
        <v>85.822900000000004</v>
      </c>
      <c r="AO334" t="s">
        <v>135</v>
      </c>
      <c r="AP334" t="s">
        <v>135</v>
      </c>
      <c r="AQ334" t="s">
        <v>135</v>
      </c>
      <c r="AR334" t="s">
        <v>135</v>
      </c>
      <c r="AS334" t="s">
        <v>135</v>
      </c>
      <c r="AT334" t="s">
        <v>135</v>
      </c>
      <c r="AU334" t="s">
        <v>135</v>
      </c>
      <c r="AV334" t="s">
        <v>135</v>
      </c>
      <c r="AW334" t="s">
        <v>135</v>
      </c>
      <c r="AX334" t="s">
        <v>135</v>
      </c>
      <c r="AY334" t="s">
        <v>135</v>
      </c>
      <c r="AZ334" t="s">
        <v>135</v>
      </c>
      <c r="BA334" t="s">
        <v>135</v>
      </c>
      <c r="BB334" t="s">
        <v>135</v>
      </c>
      <c r="BC334" t="s">
        <v>135</v>
      </c>
      <c r="BD334" t="s">
        <v>135</v>
      </c>
      <c r="BE334" t="s">
        <v>135</v>
      </c>
      <c r="BF334">
        <v>-0.87319999999999998</v>
      </c>
      <c r="BG334">
        <v>11.426299999999999</v>
      </c>
      <c r="BH334">
        <v>18.7439</v>
      </c>
      <c r="BI334">
        <v>37.769500000000001</v>
      </c>
      <c r="BJ334">
        <v>37.746699999999997</v>
      </c>
      <c r="BK334" t="s">
        <v>135</v>
      </c>
      <c r="BL334" t="s">
        <v>135</v>
      </c>
      <c r="BM334" t="s">
        <v>135</v>
      </c>
      <c r="BN334" t="s">
        <v>135</v>
      </c>
      <c r="BO334" t="s">
        <v>135</v>
      </c>
      <c r="BP334" t="s">
        <v>135</v>
      </c>
      <c r="BQ334" t="s">
        <v>135</v>
      </c>
      <c r="BR334" t="s">
        <v>135</v>
      </c>
      <c r="BS334" t="s">
        <v>135</v>
      </c>
      <c r="BT334" t="s">
        <v>135</v>
      </c>
      <c r="BU334" t="s">
        <v>135</v>
      </c>
      <c r="BV334" t="s">
        <v>135</v>
      </c>
      <c r="BW334" t="s">
        <v>135</v>
      </c>
      <c r="BX334" t="s">
        <v>135</v>
      </c>
      <c r="BY334" t="s">
        <v>135</v>
      </c>
      <c r="BZ334" t="s">
        <v>135</v>
      </c>
      <c r="CA334" t="s">
        <v>135</v>
      </c>
      <c r="CB334" t="s">
        <v>135</v>
      </c>
      <c r="CC334" t="s">
        <v>135</v>
      </c>
      <c r="CD334" t="s">
        <v>135</v>
      </c>
      <c r="CE334" t="s">
        <v>135</v>
      </c>
      <c r="CF334">
        <v>11.8337</v>
      </c>
      <c r="CG334" t="s">
        <v>135</v>
      </c>
      <c r="CH334" t="s">
        <v>135</v>
      </c>
      <c r="CI334" t="s">
        <v>135</v>
      </c>
      <c r="CJ334" t="s">
        <v>135</v>
      </c>
      <c r="CK334" t="s">
        <v>135</v>
      </c>
      <c r="CL334" t="s">
        <v>135</v>
      </c>
      <c r="CM334" t="s">
        <v>135</v>
      </c>
      <c r="CN334" t="s">
        <v>135</v>
      </c>
      <c r="CO334" t="s">
        <v>135</v>
      </c>
      <c r="CP334">
        <v>111423.8</v>
      </c>
      <c r="CQ334" t="s">
        <v>135</v>
      </c>
      <c r="CR334">
        <v>81628.100000000006</v>
      </c>
      <c r="CS334" t="s">
        <v>135</v>
      </c>
      <c r="CT334" t="s">
        <v>135</v>
      </c>
      <c r="CU334" t="s">
        <v>135</v>
      </c>
      <c r="CV334" t="s">
        <v>135</v>
      </c>
      <c r="CW334" t="s">
        <v>135</v>
      </c>
      <c r="CX334" t="s">
        <v>135</v>
      </c>
      <c r="CY334" t="s">
        <v>135</v>
      </c>
      <c r="CZ334" t="s">
        <v>135</v>
      </c>
      <c r="DA334" t="s">
        <v>135</v>
      </c>
      <c r="DB334" t="s">
        <v>135</v>
      </c>
      <c r="DC334" t="s">
        <v>135</v>
      </c>
      <c r="DD334" t="s">
        <v>135</v>
      </c>
      <c r="DE334" t="s">
        <v>135</v>
      </c>
      <c r="DF334" t="s">
        <v>135</v>
      </c>
      <c r="DG334" t="s">
        <v>135</v>
      </c>
      <c r="DH334" t="s">
        <v>135</v>
      </c>
      <c r="DI334" t="s">
        <v>135</v>
      </c>
    </row>
    <row r="335" spans="1:113" x14ac:dyDescent="0.3">
      <c r="E335" t="s">
        <v>79</v>
      </c>
      <c r="F335">
        <v>28.292300000000001</v>
      </c>
      <c r="G335">
        <v>8.0290999999999997</v>
      </c>
      <c r="H335">
        <v>17.290900000000001</v>
      </c>
      <c r="I335">
        <v>17.250900000000001</v>
      </c>
      <c r="J335">
        <v>15.9008</v>
      </c>
      <c r="K335">
        <v>10.559699999999999</v>
      </c>
      <c r="L335">
        <v>9.9122000000000003</v>
      </c>
      <c r="M335">
        <v>9.4254999999999995</v>
      </c>
      <c r="N335">
        <v>5.5021000000000004</v>
      </c>
      <c r="O335">
        <v>5.4698000000000002</v>
      </c>
      <c r="P335">
        <v>5.4698000000000002</v>
      </c>
      <c r="Q335">
        <v>41.686199999999999</v>
      </c>
      <c r="R335" t="s">
        <v>135</v>
      </c>
      <c r="S335" t="s">
        <v>135</v>
      </c>
      <c r="T335">
        <v>8.0397999999999996</v>
      </c>
      <c r="U335">
        <v>10.6434</v>
      </c>
      <c r="V335">
        <v>7.5098000000000003</v>
      </c>
      <c r="W335">
        <v>-7.0867000000000004</v>
      </c>
      <c r="X335">
        <v>-7.0974000000000004</v>
      </c>
      <c r="Y335" t="s">
        <v>135</v>
      </c>
      <c r="Z335">
        <v>-10.4377</v>
      </c>
      <c r="AA335">
        <v>6.2358000000000002</v>
      </c>
      <c r="AB335">
        <v>21.9374</v>
      </c>
      <c r="AC335">
        <v>13.985900000000001</v>
      </c>
      <c r="AD335">
        <v>-55.0687</v>
      </c>
      <c r="AE335" t="s">
        <v>135</v>
      </c>
      <c r="AF335">
        <v>11.778700000000001</v>
      </c>
      <c r="AG335">
        <v>-13.474600000000001</v>
      </c>
      <c r="AH335">
        <v>10.1119</v>
      </c>
      <c r="AI335">
        <v>22.613399999999999</v>
      </c>
      <c r="AJ335">
        <v>16.389399999999998</v>
      </c>
      <c r="AK335">
        <v>22.757200000000001</v>
      </c>
      <c r="AL335" t="s">
        <v>135</v>
      </c>
      <c r="AM335">
        <v>23.561199999999999</v>
      </c>
      <c r="AN335">
        <v>44.741599999999998</v>
      </c>
      <c r="AO335">
        <v>57.384300000000003</v>
      </c>
      <c r="AP335">
        <v>172.80369999999999</v>
      </c>
      <c r="AQ335">
        <v>172.46039999999999</v>
      </c>
      <c r="AR335" t="s">
        <v>135</v>
      </c>
      <c r="AS335" t="s">
        <v>135</v>
      </c>
      <c r="AT335" t="s">
        <v>135</v>
      </c>
      <c r="AU335" t="s">
        <v>135</v>
      </c>
      <c r="AV335" t="s">
        <v>135</v>
      </c>
      <c r="AW335" t="s">
        <v>135</v>
      </c>
      <c r="AX335" t="s">
        <v>135</v>
      </c>
      <c r="AY335" t="s">
        <v>135</v>
      </c>
      <c r="AZ335" t="s">
        <v>135</v>
      </c>
      <c r="BA335" t="s">
        <v>135</v>
      </c>
      <c r="BB335" t="s">
        <v>135</v>
      </c>
      <c r="BC335" t="s">
        <v>135</v>
      </c>
      <c r="BD335" t="s">
        <v>135</v>
      </c>
      <c r="BE335" t="s">
        <v>135</v>
      </c>
      <c r="BF335">
        <v>-6.2146999999999997</v>
      </c>
      <c r="BG335">
        <v>-14.142799999999999</v>
      </c>
      <c r="BH335">
        <v>-22.169899999999998</v>
      </c>
      <c r="BI335">
        <v>-39.0379</v>
      </c>
      <c r="BJ335">
        <v>-39.044800000000002</v>
      </c>
      <c r="BK335" t="s">
        <v>135</v>
      </c>
      <c r="BL335" t="s">
        <v>135</v>
      </c>
      <c r="BM335" t="s">
        <v>135</v>
      </c>
      <c r="BN335" t="s">
        <v>135</v>
      </c>
      <c r="BO335" t="s">
        <v>135</v>
      </c>
      <c r="BP335" t="s">
        <v>135</v>
      </c>
      <c r="BQ335" t="s">
        <v>135</v>
      </c>
      <c r="BR335" t="s">
        <v>135</v>
      </c>
      <c r="BS335" t="s">
        <v>135</v>
      </c>
      <c r="BT335" t="s">
        <v>135</v>
      </c>
      <c r="BU335" t="s">
        <v>135</v>
      </c>
      <c r="BV335" t="s">
        <v>135</v>
      </c>
      <c r="BW335" t="s">
        <v>135</v>
      </c>
      <c r="BX335" t="s">
        <v>135</v>
      </c>
      <c r="BY335">
        <v>607736.69999999995</v>
      </c>
      <c r="BZ335">
        <v>127772.8</v>
      </c>
      <c r="CA335">
        <v>479963.9</v>
      </c>
      <c r="CB335">
        <v>1.4944</v>
      </c>
      <c r="CC335">
        <v>0.44379999999999997</v>
      </c>
      <c r="CD335">
        <v>2.1333000000000002</v>
      </c>
      <c r="CE335">
        <v>0.63349999999999995</v>
      </c>
      <c r="CF335">
        <v>10.3178</v>
      </c>
      <c r="CG335">
        <v>29.359300000000001</v>
      </c>
      <c r="CH335">
        <v>70.319199999999995</v>
      </c>
      <c r="CI335">
        <v>37.1982</v>
      </c>
      <c r="CJ335">
        <v>20.7743</v>
      </c>
      <c r="CK335">
        <v>89.039100000000005</v>
      </c>
      <c r="CL335">
        <v>47.100900000000003</v>
      </c>
      <c r="CM335">
        <v>26.3047</v>
      </c>
      <c r="CN335">
        <v>26.441400000000002</v>
      </c>
      <c r="CO335">
        <v>20.911999999999999</v>
      </c>
      <c r="CP335">
        <v>95665.4</v>
      </c>
      <c r="CQ335" t="s">
        <v>135</v>
      </c>
      <c r="CR335">
        <v>63531.199999999997</v>
      </c>
      <c r="CS335">
        <v>0.4526</v>
      </c>
      <c r="CT335">
        <v>1.0236000000000001</v>
      </c>
      <c r="CU335">
        <v>0.5585</v>
      </c>
      <c r="CV335">
        <v>2.5251000000000001</v>
      </c>
      <c r="CW335">
        <v>23.8734</v>
      </c>
      <c r="CX335">
        <v>15.289</v>
      </c>
      <c r="CY335">
        <v>5.5716999999999999</v>
      </c>
      <c r="CZ335">
        <v>65.509699999999995</v>
      </c>
      <c r="DA335">
        <v>3.1516999999999999</v>
      </c>
      <c r="DB335">
        <v>115.81</v>
      </c>
      <c r="DC335">
        <v>-35.011299999999999</v>
      </c>
      <c r="DD335">
        <v>80.798699999999997</v>
      </c>
      <c r="DE335">
        <v>293069.40000000002</v>
      </c>
      <c r="DF335" t="s">
        <v>135</v>
      </c>
      <c r="DG335" t="s">
        <v>135</v>
      </c>
      <c r="DH335" t="s">
        <v>135</v>
      </c>
      <c r="DI335" t="s">
        <v>135</v>
      </c>
    </row>
    <row r="336" spans="1:113" x14ac:dyDescent="0.3">
      <c r="E336" t="s">
        <v>80</v>
      </c>
      <c r="F336" t="s">
        <v>135</v>
      </c>
      <c r="G336" t="s">
        <v>135</v>
      </c>
      <c r="H336" t="s">
        <v>135</v>
      </c>
      <c r="I336" t="s">
        <v>135</v>
      </c>
      <c r="J336">
        <v>14.5449</v>
      </c>
      <c r="K336">
        <v>9.7144999999999992</v>
      </c>
      <c r="L336" t="s">
        <v>135</v>
      </c>
      <c r="M336">
        <v>8.2932000000000006</v>
      </c>
      <c r="N336">
        <v>5.1997999999999998</v>
      </c>
      <c r="O336">
        <v>5.1802999999999999</v>
      </c>
      <c r="P336">
        <v>5.1802999999999999</v>
      </c>
      <c r="Q336">
        <v>37.338299999999997</v>
      </c>
      <c r="R336" t="s">
        <v>135</v>
      </c>
      <c r="S336" t="s">
        <v>135</v>
      </c>
      <c r="T336">
        <v>8.8315000000000001</v>
      </c>
      <c r="U336">
        <v>0.9597</v>
      </c>
      <c r="V336">
        <v>-5.3963000000000001</v>
      </c>
      <c r="W336">
        <v>-25.476199999999999</v>
      </c>
      <c r="X336">
        <v>-25.4863</v>
      </c>
      <c r="Y336" t="s">
        <v>135</v>
      </c>
      <c r="Z336" t="s">
        <v>135</v>
      </c>
      <c r="AA336" t="s">
        <v>135</v>
      </c>
      <c r="AB336" t="s">
        <v>135</v>
      </c>
      <c r="AC336" t="s">
        <v>135</v>
      </c>
      <c r="AD336" t="s">
        <v>135</v>
      </c>
      <c r="AE336" t="s">
        <v>135</v>
      </c>
      <c r="AF336" t="s">
        <v>135</v>
      </c>
      <c r="AG336" t="s">
        <v>135</v>
      </c>
      <c r="AH336" t="s">
        <v>135</v>
      </c>
      <c r="AI336" t="s">
        <v>135</v>
      </c>
      <c r="AJ336" t="s">
        <v>135</v>
      </c>
      <c r="AK336" t="s">
        <v>135</v>
      </c>
      <c r="AL336" t="s">
        <v>135</v>
      </c>
      <c r="AM336">
        <v>21.6175</v>
      </c>
      <c r="AN336">
        <v>27.6035</v>
      </c>
      <c r="AO336">
        <v>32.174399999999999</v>
      </c>
      <c r="AP336">
        <v>40.661999999999999</v>
      </c>
      <c r="AQ336">
        <v>38.273000000000003</v>
      </c>
      <c r="AR336" t="s">
        <v>135</v>
      </c>
      <c r="AS336" t="s">
        <v>135</v>
      </c>
      <c r="AT336" t="s">
        <v>135</v>
      </c>
      <c r="AU336" t="s">
        <v>135</v>
      </c>
      <c r="AV336" t="s">
        <v>135</v>
      </c>
      <c r="AW336" t="s">
        <v>135</v>
      </c>
      <c r="AX336" t="s">
        <v>135</v>
      </c>
      <c r="AY336" t="s">
        <v>135</v>
      </c>
      <c r="AZ336" t="s">
        <v>135</v>
      </c>
      <c r="BA336" t="s">
        <v>135</v>
      </c>
      <c r="BB336" t="s">
        <v>135</v>
      </c>
      <c r="BC336" t="s">
        <v>135</v>
      </c>
      <c r="BD336" t="s">
        <v>135</v>
      </c>
      <c r="BE336" t="s">
        <v>135</v>
      </c>
      <c r="BF336">
        <v>14.8887</v>
      </c>
      <c r="BG336">
        <v>5.0922000000000001</v>
      </c>
      <c r="BH336">
        <v>5.6931000000000003</v>
      </c>
      <c r="BI336">
        <v>8.8079999999999998</v>
      </c>
      <c r="BJ336">
        <v>8.8148999999999997</v>
      </c>
      <c r="BK336" t="s">
        <v>135</v>
      </c>
      <c r="BL336" t="s">
        <v>135</v>
      </c>
      <c r="BM336" t="s">
        <v>135</v>
      </c>
      <c r="BN336" t="s">
        <v>135</v>
      </c>
      <c r="BO336" t="s">
        <v>135</v>
      </c>
      <c r="BP336" t="s">
        <v>135</v>
      </c>
      <c r="BQ336" t="s">
        <v>135</v>
      </c>
      <c r="BR336" t="s">
        <v>135</v>
      </c>
      <c r="BS336" t="s">
        <v>135</v>
      </c>
      <c r="BT336" t="s">
        <v>135</v>
      </c>
      <c r="BU336" t="s">
        <v>135</v>
      </c>
      <c r="BV336" t="s">
        <v>135</v>
      </c>
      <c r="BW336" t="s">
        <v>135</v>
      </c>
      <c r="BX336" t="s">
        <v>135</v>
      </c>
      <c r="BY336" t="s">
        <v>135</v>
      </c>
      <c r="BZ336" t="s">
        <v>135</v>
      </c>
      <c r="CA336" t="s">
        <v>135</v>
      </c>
      <c r="CB336" t="s">
        <v>135</v>
      </c>
      <c r="CC336" t="s">
        <v>135</v>
      </c>
      <c r="CD336" t="s">
        <v>135</v>
      </c>
      <c r="CE336" t="s">
        <v>135</v>
      </c>
      <c r="CF336">
        <v>9.4808000000000003</v>
      </c>
      <c r="CG336" t="s">
        <v>135</v>
      </c>
      <c r="CH336" t="s">
        <v>135</v>
      </c>
      <c r="CI336" t="s">
        <v>135</v>
      </c>
      <c r="CJ336" t="s">
        <v>135</v>
      </c>
      <c r="CK336" t="s">
        <v>135</v>
      </c>
      <c r="CL336" t="s">
        <v>135</v>
      </c>
      <c r="CM336" t="s">
        <v>135</v>
      </c>
      <c r="CN336" t="s">
        <v>135</v>
      </c>
      <c r="CO336" t="s">
        <v>135</v>
      </c>
      <c r="CP336">
        <v>100536.9</v>
      </c>
      <c r="CQ336" t="s">
        <v>135</v>
      </c>
      <c r="CR336">
        <v>67148.100000000006</v>
      </c>
      <c r="CS336" t="s">
        <v>135</v>
      </c>
      <c r="CT336" t="s">
        <v>135</v>
      </c>
      <c r="CU336" t="s">
        <v>135</v>
      </c>
      <c r="CV336" t="s">
        <v>135</v>
      </c>
      <c r="CW336" t="s">
        <v>135</v>
      </c>
      <c r="CX336" t="s">
        <v>135</v>
      </c>
      <c r="CY336" t="s">
        <v>135</v>
      </c>
      <c r="CZ336" t="s">
        <v>135</v>
      </c>
      <c r="DA336" t="s">
        <v>135</v>
      </c>
      <c r="DB336" t="s">
        <v>135</v>
      </c>
      <c r="DC336" t="s">
        <v>135</v>
      </c>
      <c r="DD336" t="s">
        <v>135</v>
      </c>
      <c r="DE336" t="s">
        <v>135</v>
      </c>
      <c r="DF336" t="s">
        <v>135</v>
      </c>
      <c r="DG336" t="s">
        <v>135</v>
      </c>
      <c r="DH336" t="s">
        <v>135</v>
      </c>
      <c r="DI336" t="s">
        <v>135</v>
      </c>
    </row>
    <row r="337" spans="4:113" x14ac:dyDescent="0.3">
      <c r="E337" t="s">
        <v>81</v>
      </c>
      <c r="F337">
        <v>22.953700000000001</v>
      </c>
      <c r="G337">
        <v>6.0987999999999998</v>
      </c>
      <c r="H337">
        <v>12.9206</v>
      </c>
      <c r="I337">
        <v>12.4679</v>
      </c>
      <c r="J337">
        <v>12.5387</v>
      </c>
      <c r="K337">
        <v>6.8078000000000003</v>
      </c>
      <c r="L337" t="s">
        <v>135</v>
      </c>
      <c r="M337">
        <v>4.1174999999999997</v>
      </c>
      <c r="N337">
        <v>2.6009000000000002</v>
      </c>
      <c r="O337">
        <v>2.5506000000000002</v>
      </c>
      <c r="P337">
        <v>2.5506000000000002</v>
      </c>
      <c r="Q337">
        <v>36.938899999999997</v>
      </c>
      <c r="R337" t="s">
        <v>135</v>
      </c>
      <c r="S337" t="s">
        <v>135</v>
      </c>
      <c r="T337">
        <v>3.99</v>
      </c>
      <c r="U337">
        <v>-15.6151</v>
      </c>
      <c r="V337">
        <v>-33.352600000000002</v>
      </c>
      <c r="W337">
        <v>-56.192599999999999</v>
      </c>
      <c r="X337">
        <v>-56.25</v>
      </c>
      <c r="Y337" t="s">
        <v>135</v>
      </c>
      <c r="Z337">
        <v>18.960899999999999</v>
      </c>
      <c r="AA337">
        <v>7.3391000000000002</v>
      </c>
      <c r="AB337">
        <v>21.295999999999999</v>
      </c>
      <c r="AC337">
        <v>8.4817</v>
      </c>
      <c r="AD337">
        <v>19.775400000000001</v>
      </c>
      <c r="AE337">
        <v>-57.4</v>
      </c>
      <c r="AF337">
        <v>2.2565</v>
      </c>
      <c r="AG337">
        <v>5.2083000000000004</v>
      </c>
      <c r="AH337">
        <v>18.0578</v>
      </c>
      <c r="AI337">
        <v>-14.1294</v>
      </c>
      <c r="AJ337">
        <v>1.9374</v>
      </c>
      <c r="AK337">
        <v>-14.2394</v>
      </c>
      <c r="AL337" t="s">
        <v>135</v>
      </c>
      <c r="AM337">
        <v>19.777100000000001</v>
      </c>
      <c r="AN337">
        <v>44.5291</v>
      </c>
      <c r="AO337">
        <v>64.771100000000004</v>
      </c>
      <c r="AP337">
        <v>-5.0808999999999997</v>
      </c>
      <c r="AQ337">
        <v>-6.6835000000000004</v>
      </c>
      <c r="AR337" t="s">
        <v>135</v>
      </c>
      <c r="AS337">
        <v>11.8332</v>
      </c>
      <c r="AT337">
        <v>20.9437</v>
      </c>
      <c r="AU337">
        <v>15.9939</v>
      </c>
      <c r="AV337">
        <v>22.357700000000001</v>
      </c>
      <c r="AW337" t="s">
        <v>135</v>
      </c>
      <c r="AX337" t="s">
        <v>135</v>
      </c>
      <c r="AY337">
        <v>19.3934</v>
      </c>
      <c r="AZ337">
        <v>4.1340000000000003</v>
      </c>
      <c r="BA337">
        <v>12.932</v>
      </c>
      <c r="BB337">
        <v>46.435699999999997</v>
      </c>
      <c r="BC337">
        <v>21.519300000000001</v>
      </c>
      <c r="BD337">
        <v>43.459699999999998</v>
      </c>
      <c r="BE337" t="s">
        <v>135</v>
      </c>
      <c r="BF337">
        <v>-2.6383000000000001</v>
      </c>
      <c r="BG337">
        <v>-16.067599999999999</v>
      </c>
      <c r="BH337">
        <v>-31.769600000000001</v>
      </c>
      <c r="BI337">
        <v>-52.0627</v>
      </c>
      <c r="BJ337">
        <v>-52.115200000000002</v>
      </c>
      <c r="BK337" t="s">
        <v>135</v>
      </c>
      <c r="BL337" t="s">
        <v>135</v>
      </c>
      <c r="BM337" t="s">
        <v>135</v>
      </c>
      <c r="BN337" t="s">
        <v>135</v>
      </c>
      <c r="BO337" t="s">
        <v>135</v>
      </c>
      <c r="BP337" t="s">
        <v>135</v>
      </c>
      <c r="BQ337" t="s">
        <v>135</v>
      </c>
      <c r="BR337" t="s">
        <v>135</v>
      </c>
      <c r="BS337" t="s">
        <v>135</v>
      </c>
      <c r="BT337" t="s">
        <v>135</v>
      </c>
      <c r="BU337" t="s">
        <v>135</v>
      </c>
      <c r="BV337" t="s">
        <v>135</v>
      </c>
      <c r="BW337" t="s">
        <v>135</v>
      </c>
      <c r="BX337" t="s">
        <v>135</v>
      </c>
      <c r="BY337">
        <v>776871.4</v>
      </c>
      <c r="BZ337">
        <v>216158</v>
      </c>
      <c r="CA337">
        <v>560713.4</v>
      </c>
      <c r="CB337">
        <v>1.9818</v>
      </c>
      <c r="CC337">
        <v>0.80289999999999995</v>
      </c>
      <c r="CD337">
        <v>3.0097</v>
      </c>
      <c r="CE337">
        <v>1.2194</v>
      </c>
      <c r="CF337">
        <v>4.4539999999999997</v>
      </c>
      <c r="CG337">
        <v>23.574300000000001</v>
      </c>
      <c r="CH337">
        <v>98.899500000000003</v>
      </c>
      <c r="CI337">
        <v>41.725200000000001</v>
      </c>
      <c r="CJ337">
        <v>23.494399999999999</v>
      </c>
      <c r="CK337">
        <v>137.0258</v>
      </c>
      <c r="CL337">
        <v>57.810499999999998</v>
      </c>
      <c r="CM337">
        <v>32.551699999999997</v>
      </c>
      <c r="CN337">
        <v>55.516399999999997</v>
      </c>
      <c r="CO337">
        <v>35.698099999999997</v>
      </c>
      <c r="CP337">
        <v>84383</v>
      </c>
      <c r="CQ337" t="s">
        <v>135</v>
      </c>
      <c r="CR337">
        <v>45815.4</v>
      </c>
      <c r="CS337">
        <v>0.46089999999999998</v>
      </c>
      <c r="CT337">
        <v>1.0147999999999999</v>
      </c>
      <c r="CU337">
        <v>0.58630000000000004</v>
      </c>
      <c r="CV337">
        <v>2.8090000000000002</v>
      </c>
      <c r="CW337">
        <v>22.522300000000001</v>
      </c>
      <c r="CX337">
        <v>16.206199999999999</v>
      </c>
      <c r="CY337">
        <v>5.7744</v>
      </c>
      <c r="CZ337">
        <v>63.210500000000003</v>
      </c>
      <c r="DA337">
        <v>3.1332</v>
      </c>
      <c r="DB337">
        <v>116.49420000000001</v>
      </c>
      <c r="DC337">
        <v>-37.077500000000001</v>
      </c>
      <c r="DD337">
        <v>79.416700000000006</v>
      </c>
      <c r="DE337">
        <v>292723.40000000002</v>
      </c>
      <c r="DF337">
        <v>22018.2</v>
      </c>
      <c r="DG337">
        <v>33672.6</v>
      </c>
      <c r="DH337">
        <v>232908.1</v>
      </c>
      <c r="DI337">
        <v>4124.5</v>
      </c>
    </row>
    <row r="338" spans="4:113" x14ac:dyDescent="0.3">
      <c r="D338" t="s">
        <v>83</v>
      </c>
      <c r="E338" t="s">
        <v>77</v>
      </c>
      <c r="F338">
        <v>16.087800000000001</v>
      </c>
      <c r="G338">
        <v>4.3403999999999998</v>
      </c>
      <c r="H338">
        <v>9.7697000000000003</v>
      </c>
      <c r="I338">
        <v>11.549799999999999</v>
      </c>
      <c r="J338">
        <v>14.173400000000001</v>
      </c>
      <c r="K338">
        <v>7.8779000000000003</v>
      </c>
      <c r="L338" t="s">
        <v>135</v>
      </c>
      <c r="M338">
        <v>5.1730999999999998</v>
      </c>
      <c r="N338">
        <v>4.1181000000000001</v>
      </c>
      <c r="O338">
        <v>4.0789</v>
      </c>
      <c r="P338">
        <v>4.0789</v>
      </c>
      <c r="Q338">
        <v>20.546600000000002</v>
      </c>
      <c r="R338">
        <v>0.61609999999999998</v>
      </c>
      <c r="S338">
        <v>15.9887</v>
      </c>
      <c r="T338">
        <v>4.532</v>
      </c>
      <c r="U338">
        <v>2.7911000000000001</v>
      </c>
      <c r="V338">
        <v>-10.8371</v>
      </c>
      <c r="W338">
        <v>-21.181699999999999</v>
      </c>
      <c r="X338">
        <v>-23.320599999999999</v>
      </c>
      <c r="Y338" t="s">
        <v>135</v>
      </c>
      <c r="Z338">
        <v>3.2654000000000001</v>
      </c>
      <c r="AA338">
        <v>14.0974</v>
      </c>
      <c r="AB338">
        <v>15.017300000000001</v>
      </c>
      <c r="AC338">
        <v>12.8383</v>
      </c>
      <c r="AD338">
        <v>-15.5382</v>
      </c>
      <c r="AE338">
        <v>202.38630000000001</v>
      </c>
      <c r="AF338">
        <v>11.852600000000001</v>
      </c>
      <c r="AG338">
        <v>4.4306000000000001</v>
      </c>
      <c r="AH338">
        <v>-4.1670999999999996</v>
      </c>
      <c r="AI338">
        <v>44.052500000000002</v>
      </c>
      <c r="AJ338">
        <v>16.176500000000001</v>
      </c>
      <c r="AK338">
        <v>37.558700000000002</v>
      </c>
      <c r="AL338">
        <v>14.287800000000001</v>
      </c>
      <c r="AM338">
        <v>17.639800000000001</v>
      </c>
      <c r="AN338">
        <v>19.881699999999999</v>
      </c>
      <c r="AO338">
        <v>14.498699999999999</v>
      </c>
      <c r="AP338">
        <v>3.5179999999999998</v>
      </c>
      <c r="AQ338">
        <v>2.7330999999999999</v>
      </c>
      <c r="AR338">
        <v>-44.954599999999999</v>
      </c>
      <c r="AS338">
        <v>14.761699999999999</v>
      </c>
      <c r="AT338">
        <v>18.8734</v>
      </c>
      <c r="AU338">
        <v>23.179099999999998</v>
      </c>
      <c r="AV338">
        <v>21.6662</v>
      </c>
      <c r="AW338" t="s">
        <v>135</v>
      </c>
      <c r="AX338" t="s">
        <v>135</v>
      </c>
      <c r="AY338">
        <v>21.516100000000002</v>
      </c>
      <c r="AZ338">
        <v>1.5102</v>
      </c>
      <c r="BA338">
        <v>14.2776</v>
      </c>
      <c r="BB338">
        <v>33.282200000000003</v>
      </c>
      <c r="BC338">
        <v>22.062200000000001</v>
      </c>
      <c r="BD338">
        <v>31.816500000000001</v>
      </c>
      <c r="BE338">
        <v>30.148</v>
      </c>
      <c r="BF338">
        <v>4.532</v>
      </c>
      <c r="BG338">
        <v>2.7911000000000001</v>
      </c>
      <c r="BH338">
        <v>-10.8371</v>
      </c>
      <c r="BI338">
        <v>-21.181699999999999</v>
      </c>
      <c r="BJ338">
        <v>-23.320599999999999</v>
      </c>
      <c r="BK338" t="s">
        <v>135</v>
      </c>
      <c r="BL338">
        <v>3.2654000000000001</v>
      </c>
      <c r="BM338">
        <v>14.0974</v>
      </c>
      <c r="BN338">
        <v>15.017300000000001</v>
      </c>
      <c r="BO338">
        <v>12.8383</v>
      </c>
      <c r="BP338" t="s">
        <v>135</v>
      </c>
      <c r="BQ338">
        <v>202.38630000000001</v>
      </c>
      <c r="BR338">
        <v>11.852600000000001</v>
      </c>
      <c r="BS338">
        <v>4.4306000000000001</v>
      </c>
      <c r="BT338">
        <v>-4.1670999999999996</v>
      </c>
      <c r="BU338">
        <v>44.052500000000002</v>
      </c>
      <c r="BV338">
        <v>16.176500000000001</v>
      </c>
      <c r="BW338">
        <v>37.558700000000002</v>
      </c>
      <c r="BX338">
        <v>14.287800000000001</v>
      </c>
      <c r="BY338">
        <v>744498.2</v>
      </c>
      <c r="BZ338">
        <v>225735.1</v>
      </c>
      <c r="CA338">
        <v>518763.1</v>
      </c>
      <c r="CB338">
        <v>1.9436</v>
      </c>
      <c r="CC338">
        <v>0.5837</v>
      </c>
      <c r="CD338">
        <v>3.4967999999999999</v>
      </c>
      <c r="CE338">
        <v>1.0501</v>
      </c>
      <c r="CF338">
        <v>9.9425000000000008</v>
      </c>
      <c r="CG338">
        <v>29.997499999999999</v>
      </c>
      <c r="CH338">
        <v>63.518700000000003</v>
      </c>
      <c r="CI338">
        <v>33.228299999999997</v>
      </c>
      <c r="CJ338">
        <v>19.2636</v>
      </c>
      <c r="CK338">
        <v>91.158299999999997</v>
      </c>
      <c r="CL338">
        <v>47.6873</v>
      </c>
      <c r="CM338">
        <v>27.645900000000001</v>
      </c>
      <c r="CN338">
        <v>27.374400000000001</v>
      </c>
      <c r="CO338">
        <v>21.491299999999999</v>
      </c>
      <c r="CP338">
        <v>383048.4</v>
      </c>
      <c r="CQ338">
        <v>56227.6</v>
      </c>
      <c r="CR338">
        <v>212906.6</v>
      </c>
      <c r="CS338">
        <v>0.47010000000000002</v>
      </c>
      <c r="CT338">
        <v>1.0406</v>
      </c>
      <c r="CU338">
        <v>0.58730000000000004</v>
      </c>
      <c r="CV338">
        <v>2.4653999999999998</v>
      </c>
      <c r="CW338">
        <v>21.139500000000002</v>
      </c>
      <c r="CX338">
        <v>17.313600000000001</v>
      </c>
      <c r="CY338">
        <v>5.2750000000000004</v>
      </c>
      <c r="CZ338">
        <v>69.383899999999997</v>
      </c>
      <c r="DA338">
        <v>2.9990999999999999</v>
      </c>
      <c r="DB338">
        <v>122.03660000000001</v>
      </c>
      <c r="DC338">
        <v>-35.339199999999998</v>
      </c>
      <c r="DD338">
        <v>86.697400000000002</v>
      </c>
      <c r="DE338">
        <v>333989.8</v>
      </c>
      <c r="DF338">
        <v>26799</v>
      </c>
      <c r="DG338">
        <v>42807.5</v>
      </c>
      <c r="DH338">
        <v>259474.7</v>
      </c>
      <c r="DI338">
        <v>4908.6000000000004</v>
      </c>
    </row>
    <row r="339" spans="4:113" x14ac:dyDescent="0.3">
      <c r="E339" t="s">
        <v>78</v>
      </c>
      <c r="F339" t="s">
        <v>135</v>
      </c>
      <c r="G339" t="s">
        <v>135</v>
      </c>
      <c r="H339" t="s">
        <v>135</v>
      </c>
      <c r="I339" t="s">
        <v>135</v>
      </c>
      <c r="J339">
        <v>15.1357</v>
      </c>
      <c r="K339">
        <v>8.7827999999999999</v>
      </c>
      <c r="L339">
        <v>-72.471999999999994</v>
      </c>
      <c r="M339">
        <v>7.2427999999999999</v>
      </c>
      <c r="N339">
        <v>4.6417999999999999</v>
      </c>
      <c r="O339">
        <v>4.601</v>
      </c>
      <c r="P339">
        <v>4.601</v>
      </c>
      <c r="Q339">
        <v>36.025799999999997</v>
      </c>
      <c r="R339" t="s">
        <v>135</v>
      </c>
      <c r="S339" t="s">
        <v>135</v>
      </c>
      <c r="T339">
        <v>-6.1887999999999996</v>
      </c>
      <c r="U339">
        <v>-18.251200000000001</v>
      </c>
      <c r="V339">
        <v>-35.248399999999997</v>
      </c>
      <c r="W339">
        <v>-48.706899999999997</v>
      </c>
      <c r="X339">
        <v>-49.735199999999999</v>
      </c>
      <c r="Y339" t="s">
        <v>135</v>
      </c>
      <c r="Z339" t="s">
        <v>135</v>
      </c>
      <c r="AA339" t="s">
        <v>135</v>
      </c>
      <c r="AB339" t="s">
        <v>135</v>
      </c>
      <c r="AC339" t="s">
        <v>135</v>
      </c>
      <c r="AD339" t="s">
        <v>135</v>
      </c>
      <c r="AE339" t="s">
        <v>135</v>
      </c>
      <c r="AF339" t="s">
        <v>135</v>
      </c>
      <c r="AG339" t="s">
        <v>135</v>
      </c>
      <c r="AH339" t="s">
        <v>135</v>
      </c>
      <c r="AI339" t="s">
        <v>135</v>
      </c>
      <c r="AJ339" t="s">
        <v>135</v>
      </c>
      <c r="AK339" t="s">
        <v>135</v>
      </c>
      <c r="AL339" t="s">
        <v>135</v>
      </c>
      <c r="AM339">
        <v>17.494599999999998</v>
      </c>
      <c r="AN339">
        <v>18.7622</v>
      </c>
      <c r="AO339">
        <v>13.1975</v>
      </c>
      <c r="AP339">
        <v>6.8430999999999997</v>
      </c>
      <c r="AQ339">
        <v>5.5587999999999997</v>
      </c>
      <c r="AR339" t="s">
        <v>135</v>
      </c>
      <c r="AS339" t="s">
        <v>135</v>
      </c>
      <c r="AT339" t="s">
        <v>135</v>
      </c>
      <c r="AU339" t="s">
        <v>135</v>
      </c>
      <c r="AV339" t="s">
        <v>135</v>
      </c>
      <c r="AW339" t="s">
        <v>135</v>
      </c>
      <c r="AX339" t="s">
        <v>135</v>
      </c>
      <c r="AY339" t="s">
        <v>135</v>
      </c>
      <c r="AZ339" t="s">
        <v>135</v>
      </c>
      <c r="BA339" t="s">
        <v>135</v>
      </c>
      <c r="BB339" t="s">
        <v>135</v>
      </c>
      <c r="BC339" t="s">
        <v>135</v>
      </c>
      <c r="BD339" t="s">
        <v>135</v>
      </c>
      <c r="BE339" t="s">
        <v>135</v>
      </c>
      <c r="BF339">
        <v>-10.576000000000001</v>
      </c>
      <c r="BG339">
        <v>7.9454000000000002</v>
      </c>
      <c r="BH339">
        <v>15.366199999999999</v>
      </c>
      <c r="BI339">
        <v>61.311399999999999</v>
      </c>
      <c r="BJ339">
        <v>60.063600000000001</v>
      </c>
      <c r="BK339" t="s">
        <v>135</v>
      </c>
      <c r="BL339" t="s">
        <v>135</v>
      </c>
      <c r="BM339" t="s">
        <v>135</v>
      </c>
      <c r="BN339" t="s">
        <v>135</v>
      </c>
      <c r="BO339" t="s">
        <v>135</v>
      </c>
      <c r="BP339" t="s">
        <v>135</v>
      </c>
      <c r="BQ339" t="s">
        <v>135</v>
      </c>
      <c r="BR339" t="s">
        <v>135</v>
      </c>
      <c r="BS339" t="s">
        <v>135</v>
      </c>
      <c r="BT339" t="s">
        <v>135</v>
      </c>
      <c r="BU339" t="s">
        <v>135</v>
      </c>
      <c r="BV339" t="s">
        <v>135</v>
      </c>
      <c r="BW339" t="s">
        <v>135</v>
      </c>
      <c r="BX339" t="s">
        <v>135</v>
      </c>
      <c r="BY339" t="s">
        <v>135</v>
      </c>
      <c r="BZ339" t="s">
        <v>135</v>
      </c>
      <c r="CA339" t="s">
        <v>135</v>
      </c>
      <c r="CB339" t="s">
        <v>135</v>
      </c>
      <c r="CC339" t="s">
        <v>135</v>
      </c>
      <c r="CD339" t="s">
        <v>135</v>
      </c>
      <c r="CE339" t="s">
        <v>135</v>
      </c>
      <c r="CF339">
        <v>8.1521000000000008</v>
      </c>
      <c r="CG339" t="s">
        <v>135</v>
      </c>
      <c r="CH339" t="s">
        <v>135</v>
      </c>
      <c r="CI339" t="s">
        <v>135</v>
      </c>
      <c r="CJ339" t="s">
        <v>135</v>
      </c>
      <c r="CK339" t="s">
        <v>135</v>
      </c>
      <c r="CL339" t="s">
        <v>135</v>
      </c>
      <c r="CM339" t="s">
        <v>135</v>
      </c>
      <c r="CN339" t="s">
        <v>135</v>
      </c>
      <c r="CO339" t="s">
        <v>135</v>
      </c>
      <c r="CP339">
        <v>91087.6</v>
      </c>
      <c r="CQ339" t="s">
        <v>135</v>
      </c>
      <c r="CR339">
        <v>52855.5</v>
      </c>
      <c r="CS339" t="s">
        <v>135</v>
      </c>
      <c r="CT339" t="s">
        <v>135</v>
      </c>
      <c r="CU339" t="s">
        <v>135</v>
      </c>
      <c r="CV339" t="s">
        <v>135</v>
      </c>
      <c r="CW339" t="s">
        <v>135</v>
      </c>
      <c r="CX339" t="s">
        <v>135</v>
      </c>
      <c r="CY339" t="s">
        <v>135</v>
      </c>
      <c r="CZ339" t="s">
        <v>135</v>
      </c>
      <c r="DA339" t="s">
        <v>135</v>
      </c>
      <c r="DB339" t="s">
        <v>135</v>
      </c>
      <c r="DC339" t="s">
        <v>135</v>
      </c>
      <c r="DD339" t="s">
        <v>135</v>
      </c>
      <c r="DE339" t="s">
        <v>135</v>
      </c>
      <c r="DF339" t="s">
        <v>135</v>
      </c>
      <c r="DG339" t="s">
        <v>135</v>
      </c>
      <c r="DH339" t="s">
        <v>135</v>
      </c>
      <c r="DI339" t="s">
        <v>135</v>
      </c>
    </row>
    <row r="340" spans="4:113" x14ac:dyDescent="0.3">
      <c r="E340" t="s">
        <v>79</v>
      </c>
      <c r="F340">
        <v>13.5754</v>
      </c>
      <c r="G340">
        <v>4.1509999999999998</v>
      </c>
      <c r="H340">
        <v>10.088699999999999</v>
      </c>
      <c r="I340">
        <v>10.6166</v>
      </c>
      <c r="J340">
        <v>11.3065</v>
      </c>
      <c r="K340">
        <v>4.0301</v>
      </c>
      <c r="L340" t="s">
        <v>135</v>
      </c>
      <c r="M340">
        <v>-1.8317000000000001</v>
      </c>
      <c r="N340">
        <v>-0.66910000000000003</v>
      </c>
      <c r="O340">
        <v>-0.70620000000000005</v>
      </c>
      <c r="P340">
        <v>-0.70620000000000005</v>
      </c>
      <c r="Q340" t="s">
        <v>135</v>
      </c>
      <c r="R340" t="s">
        <v>135</v>
      </c>
      <c r="S340" t="s">
        <v>135</v>
      </c>
      <c r="T340">
        <v>1.1453</v>
      </c>
      <c r="U340">
        <v>-28.079000000000001</v>
      </c>
      <c r="V340">
        <v>-61.398299999999999</v>
      </c>
      <c r="W340" t="s">
        <v>135</v>
      </c>
      <c r="X340" t="s">
        <v>135</v>
      </c>
      <c r="Y340" t="s">
        <v>135</v>
      </c>
      <c r="Z340">
        <v>21.8125</v>
      </c>
      <c r="AA340">
        <v>23.4267</v>
      </c>
      <c r="AB340">
        <v>17.382000000000001</v>
      </c>
      <c r="AC340">
        <v>10.5939</v>
      </c>
      <c r="AD340">
        <v>61.574800000000003</v>
      </c>
      <c r="AE340">
        <v>185.43360000000001</v>
      </c>
      <c r="AF340">
        <v>0.38069999999999998</v>
      </c>
      <c r="AG340">
        <v>0.52300000000000002</v>
      </c>
      <c r="AH340">
        <v>8.8470999999999993</v>
      </c>
      <c r="AI340">
        <v>19.202500000000001</v>
      </c>
      <c r="AJ340">
        <v>14.324999999999999</v>
      </c>
      <c r="AK340">
        <v>14.3269</v>
      </c>
      <c r="AL340" t="s">
        <v>135</v>
      </c>
      <c r="AM340">
        <v>16.3232</v>
      </c>
      <c r="AN340">
        <v>11.448600000000001</v>
      </c>
      <c r="AO340">
        <v>-3.3424</v>
      </c>
      <c r="AP340" t="s">
        <v>135</v>
      </c>
      <c r="AQ340" t="s">
        <v>135</v>
      </c>
      <c r="AR340" t="s">
        <v>135</v>
      </c>
      <c r="AS340">
        <v>12.948</v>
      </c>
      <c r="AT340">
        <v>22.402000000000001</v>
      </c>
      <c r="AU340" t="s">
        <v>135</v>
      </c>
      <c r="AV340">
        <v>22.8689</v>
      </c>
      <c r="AW340" t="s">
        <v>135</v>
      </c>
      <c r="AX340" t="s">
        <v>135</v>
      </c>
      <c r="AY340" t="s">
        <v>135</v>
      </c>
      <c r="AZ340" t="s">
        <v>135</v>
      </c>
      <c r="BA340">
        <v>12.5884</v>
      </c>
      <c r="BB340">
        <v>44.984299999999998</v>
      </c>
      <c r="BC340">
        <v>24.525300000000001</v>
      </c>
      <c r="BD340">
        <v>40.6845</v>
      </c>
      <c r="BE340" t="s">
        <v>135</v>
      </c>
      <c r="BF340">
        <v>3.1677</v>
      </c>
      <c r="BG340">
        <v>-37.49</v>
      </c>
      <c r="BH340">
        <v>-66.244600000000005</v>
      </c>
      <c r="BI340">
        <v>-108.21559999999999</v>
      </c>
      <c r="BJ340">
        <v>-108.05840000000001</v>
      </c>
      <c r="BK340" t="s">
        <v>135</v>
      </c>
      <c r="BL340" t="s">
        <v>135</v>
      </c>
      <c r="BM340" t="s">
        <v>135</v>
      </c>
      <c r="BN340" t="s">
        <v>135</v>
      </c>
      <c r="BO340" t="s">
        <v>135</v>
      </c>
      <c r="BP340" t="s">
        <v>135</v>
      </c>
      <c r="BQ340" t="s">
        <v>135</v>
      </c>
      <c r="BR340" t="s">
        <v>135</v>
      </c>
      <c r="BS340" t="s">
        <v>135</v>
      </c>
      <c r="BT340" t="s">
        <v>135</v>
      </c>
      <c r="BU340" t="s">
        <v>135</v>
      </c>
      <c r="BV340" t="s">
        <v>135</v>
      </c>
      <c r="BW340" t="s">
        <v>135</v>
      </c>
      <c r="BX340" t="s">
        <v>135</v>
      </c>
      <c r="BY340">
        <v>661503.9</v>
      </c>
      <c r="BZ340">
        <v>128441</v>
      </c>
      <c r="CA340">
        <v>533062.9</v>
      </c>
      <c r="CB340">
        <v>1.8184</v>
      </c>
      <c r="CC340">
        <v>0.83430000000000004</v>
      </c>
      <c r="CD340">
        <v>3.1478999999999999</v>
      </c>
      <c r="CE340">
        <v>1.4442999999999999</v>
      </c>
      <c r="CF340">
        <v>5.9345999999999997</v>
      </c>
      <c r="CG340">
        <v>31.679400000000001</v>
      </c>
      <c r="CH340">
        <v>65.517700000000005</v>
      </c>
      <c r="CI340">
        <v>36.136899999999997</v>
      </c>
      <c r="CJ340">
        <v>20.862400000000001</v>
      </c>
      <c r="CK340">
        <v>81.304100000000005</v>
      </c>
      <c r="CL340">
        <v>44.844000000000001</v>
      </c>
      <c r="CM340">
        <v>25.889199999999999</v>
      </c>
      <c r="CN340">
        <v>37.304499999999997</v>
      </c>
      <c r="CO340">
        <v>27.1692</v>
      </c>
      <c r="CP340">
        <v>68803.5</v>
      </c>
      <c r="CQ340" t="s">
        <v>135</v>
      </c>
      <c r="CR340">
        <v>24524.1</v>
      </c>
      <c r="CS340">
        <v>0.36459999999999998</v>
      </c>
      <c r="CT340">
        <v>1.0649</v>
      </c>
      <c r="CU340">
        <v>0.48859999999999998</v>
      </c>
      <c r="CV340">
        <v>2.1143999999999998</v>
      </c>
      <c r="CW340">
        <v>23.114999999999998</v>
      </c>
      <c r="CX340">
        <v>15.7906</v>
      </c>
      <c r="CY340">
        <v>4.9688999999999997</v>
      </c>
      <c r="CZ340">
        <v>73.457400000000007</v>
      </c>
      <c r="DA340">
        <v>3.1535000000000002</v>
      </c>
      <c r="DB340">
        <v>115.745</v>
      </c>
      <c r="DC340">
        <v>-26.497</v>
      </c>
      <c r="DD340">
        <v>89.247900000000001</v>
      </c>
      <c r="DE340">
        <v>361725.9</v>
      </c>
      <c r="DF340" t="s">
        <v>135</v>
      </c>
      <c r="DG340" t="s">
        <v>135</v>
      </c>
      <c r="DH340" t="s">
        <v>135</v>
      </c>
      <c r="DI340" t="s">
        <v>135</v>
      </c>
    </row>
    <row r="341" spans="4:113" x14ac:dyDescent="0.3">
      <c r="E341" t="s">
        <v>80</v>
      </c>
      <c r="F341" t="s">
        <v>135</v>
      </c>
      <c r="G341" t="s">
        <v>135</v>
      </c>
      <c r="H341" t="s">
        <v>135</v>
      </c>
      <c r="I341" t="s">
        <v>135</v>
      </c>
      <c r="J341">
        <v>13.0848</v>
      </c>
      <c r="K341">
        <v>7.0317999999999996</v>
      </c>
      <c r="L341" t="s">
        <v>135</v>
      </c>
      <c r="M341">
        <v>5.8250000000000002</v>
      </c>
      <c r="N341">
        <v>4.9214000000000002</v>
      </c>
      <c r="O341">
        <v>4.8929</v>
      </c>
      <c r="P341">
        <v>4.8929</v>
      </c>
      <c r="Q341">
        <v>15.5969</v>
      </c>
      <c r="R341" t="s">
        <v>135</v>
      </c>
      <c r="S341" t="s">
        <v>135</v>
      </c>
      <c r="T341">
        <v>3.7100999999999997</v>
      </c>
      <c r="U341">
        <v>-6.7013999999999996</v>
      </c>
      <c r="V341">
        <v>-24.929500000000001</v>
      </c>
      <c r="W341">
        <v>-2.0436999999999999</v>
      </c>
      <c r="X341">
        <v>-6.2054</v>
      </c>
      <c r="Y341" t="s">
        <v>135</v>
      </c>
      <c r="Z341" t="s">
        <v>135</v>
      </c>
      <c r="AA341" t="s">
        <v>135</v>
      </c>
      <c r="AB341" t="s">
        <v>135</v>
      </c>
      <c r="AC341" t="s">
        <v>135</v>
      </c>
      <c r="AD341" t="s">
        <v>135</v>
      </c>
      <c r="AE341" t="s">
        <v>135</v>
      </c>
      <c r="AF341" t="s">
        <v>135</v>
      </c>
      <c r="AG341" t="s">
        <v>135</v>
      </c>
      <c r="AH341" t="s">
        <v>135</v>
      </c>
      <c r="AI341" t="s">
        <v>135</v>
      </c>
      <c r="AJ341" t="s">
        <v>135</v>
      </c>
      <c r="AK341" t="s">
        <v>135</v>
      </c>
      <c r="AL341" t="s">
        <v>135</v>
      </c>
      <c r="AM341">
        <v>17.871099999999998</v>
      </c>
      <c r="AN341">
        <v>15.8825</v>
      </c>
      <c r="AO341">
        <v>9.1761999999999997</v>
      </c>
      <c r="AP341">
        <v>7.6664000000000003</v>
      </c>
      <c r="AQ341">
        <v>7.2252999999999998</v>
      </c>
      <c r="AR341" t="s">
        <v>135</v>
      </c>
      <c r="AS341" t="s">
        <v>135</v>
      </c>
      <c r="AT341" t="s">
        <v>135</v>
      </c>
      <c r="AU341" t="s">
        <v>135</v>
      </c>
      <c r="AV341" t="s">
        <v>135</v>
      </c>
      <c r="AW341" t="s">
        <v>135</v>
      </c>
      <c r="AX341" t="s">
        <v>135</v>
      </c>
      <c r="AY341" t="s">
        <v>135</v>
      </c>
      <c r="AZ341" t="s">
        <v>135</v>
      </c>
      <c r="BA341" t="s">
        <v>135</v>
      </c>
      <c r="BB341" t="s">
        <v>135</v>
      </c>
      <c r="BC341" t="s">
        <v>135</v>
      </c>
      <c r="BD341" t="s">
        <v>135</v>
      </c>
      <c r="BE341" t="s">
        <v>135</v>
      </c>
      <c r="BF341">
        <v>17.467400000000001</v>
      </c>
      <c r="BG341">
        <v>43.888300000000001</v>
      </c>
      <c r="BH341">
        <v>133.68379999999999</v>
      </c>
      <c r="BI341" t="s">
        <v>135</v>
      </c>
      <c r="BJ341" t="s">
        <v>135</v>
      </c>
      <c r="BK341" t="s">
        <v>135</v>
      </c>
      <c r="BL341" t="s">
        <v>135</v>
      </c>
      <c r="BM341" t="s">
        <v>135</v>
      </c>
      <c r="BN341" t="s">
        <v>135</v>
      </c>
      <c r="BO341" t="s">
        <v>135</v>
      </c>
      <c r="BP341" t="s">
        <v>135</v>
      </c>
      <c r="BQ341" t="s">
        <v>135</v>
      </c>
      <c r="BR341" t="s">
        <v>135</v>
      </c>
      <c r="BS341" t="s">
        <v>135</v>
      </c>
      <c r="BT341" t="s">
        <v>135</v>
      </c>
      <c r="BU341" t="s">
        <v>135</v>
      </c>
      <c r="BV341" t="s">
        <v>135</v>
      </c>
      <c r="BW341" t="s">
        <v>135</v>
      </c>
      <c r="BX341" t="s">
        <v>135</v>
      </c>
      <c r="BY341" t="s">
        <v>135</v>
      </c>
      <c r="BZ341" t="s">
        <v>135</v>
      </c>
      <c r="CA341" t="s">
        <v>135</v>
      </c>
      <c r="CB341" t="s">
        <v>135</v>
      </c>
      <c r="CC341" t="s">
        <v>135</v>
      </c>
      <c r="CD341" t="s">
        <v>135</v>
      </c>
      <c r="CE341" t="s">
        <v>135</v>
      </c>
      <c r="CF341">
        <v>8.5938999999999997</v>
      </c>
      <c r="CG341" t="s">
        <v>135</v>
      </c>
      <c r="CH341" t="s">
        <v>135</v>
      </c>
      <c r="CI341" t="s">
        <v>135</v>
      </c>
      <c r="CJ341" t="s">
        <v>135</v>
      </c>
      <c r="CK341" t="s">
        <v>135</v>
      </c>
      <c r="CL341" t="s">
        <v>135</v>
      </c>
      <c r="CM341" t="s">
        <v>135</v>
      </c>
      <c r="CN341" t="s">
        <v>135</v>
      </c>
      <c r="CO341" t="s">
        <v>135</v>
      </c>
      <c r="CP341">
        <v>93799.5</v>
      </c>
      <c r="CQ341" t="s">
        <v>135</v>
      </c>
      <c r="CR341">
        <v>50408.4</v>
      </c>
      <c r="CS341" t="s">
        <v>135</v>
      </c>
      <c r="CT341" t="s">
        <v>135</v>
      </c>
      <c r="CU341" t="s">
        <v>135</v>
      </c>
      <c r="CV341" t="s">
        <v>135</v>
      </c>
      <c r="CW341" t="s">
        <v>135</v>
      </c>
      <c r="CX341" t="s">
        <v>135</v>
      </c>
      <c r="CY341" t="s">
        <v>135</v>
      </c>
      <c r="CZ341" t="s">
        <v>135</v>
      </c>
      <c r="DA341" t="s">
        <v>135</v>
      </c>
      <c r="DB341" t="s">
        <v>135</v>
      </c>
      <c r="DC341" t="s">
        <v>135</v>
      </c>
      <c r="DD341" t="s">
        <v>135</v>
      </c>
      <c r="DE341" t="s">
        <v>135</v>
      </c>
      <c r="DF341" t="s">
        <v>135</v>
      </c>
      <c r="DG341" t="s">
        <v>135</v>
      </c>
      <c r="DH341" t="s">
        <v>135</v>
      </c>
      <c r="DI341" t="s">
        <v>135</v>
      </c>
    </row>
    <row r="342" spans="4:113" x14ac:dyDescent="0.3">
      <c r="E342" t="s">
        <v>81</v>
      </c>
      <c r="F342">
        <v>16.900400000000001</v>
      </c>
      <c r="G342">
        <v>4.5597000000000003</v>
      </c>
      <c r="H342">
        <v>10.604699999999999</v>
      </c>
      <c r="I342">
        <v>10.9528</v>
      </c>
      <c r="J342">
        <v>14.2471</v>
      </c>
      <c r="K342">
        <v>8.7120999999999995</v>
      </c>
      <c r="L342">
        <v>18.860399999999998</v>
      </c>
      <c r="M342">
        <v>8.2088999999999999</v>
      </c>
      <c r="N342">
        <v>6.5251999999999999</v>
      </c>
      <c r="O342">
        <v>6.4772999999999996</v>
      </c>
      <c r="P342">
        <v>6.4772999999999996</v>
      </c>
      <c r="Q342">
        <v>20.6463</v>
      </c>
      <c r="R342" t="s">
        <v>135</v>
      </c>
      <c r="S342" t="s">
        <v>135</v>
      </c>
      <c r="T342">
        <v>18.764499999999998</v>
      </c>
      <c r="U342">
        <v>34.946300000000001</v>
      </c>
      <c r="V342">
        <v>51.984900000000003</v>
      </c>
      <c r="W342">
        <v>201.60560000000001</v>
      </c>
      <c r="X342">
        <v>192.64930000000001</v>
      </c>
      <c r="Y342" t="s">
        <v>135</v>
      </c>
      <c r="Z342">
        <v>3.2654000000000001</v>
      </c>
      <c r="AA342">
        <v>14.0974</v>
      </c>
      <c r="AB342">
        <v>15.017300000000001</v>
      </c>
      <c r="AC342">
        <v>12.8383</v>
      </c>
      <c r="AD342">
        <v>-15.5382</v>
      </c>
      <c r="AE342">
        <v>202.38630000000001</v>
      </c>
      <c r="AF342">
        <v>11.852600000000001</v>
      </c>
      <c r="AG342">
        <v>4.4306000000000001</v>
      </c>
      <c r="AH342">
        <v>-4.1670999999999996</v>
      </c>
      <c r="AI342">
        <v>44.052500000000002</v>
      </c>
      <c r="AJ342">
        <v>16.176500000000001</v>
      </c>
      <c r="AK342">
        <v>37.558700000000002</v>
      </c>
      <c r="AL342" t="s">
        <v>135</v>
      </c>
      <c r="AM342">
        <v>19.3553</v>
      </c>
      <c r="AN342">
        <v>29.5184</v>
      </c>
      <c r="AO342">
        <v>30.803799999999999</v>
      </c>
      <c r="AP342">
        <v>14.4399</v>
      </c>
      <c r="AQ342">
        <v>14.5677</v>
      </c>
      <c r="AR342" t="s">
        <v>135</v>
      </c>
      <c r="AS342">
        <v>14.761699999999999</v>
      </c>
      <c r="AT342">
        <v>18.8734</v>
      </c>
      <c r="AU342">
        <v>23.179099999999998</v>
      </c>
      <c r="AV342">
        <v>21.6662</v>
      </c>
      <c r="AW342" t="s">
        <v>135</v>
      </c>
      <c r="AX342" t="s">
        <v>135</v>
      </c>
      <c r="AY342">
        <v>21.516100000000002</v>
      </c>
      <c r="AZ342">
        <v>1.5102</v>
      </c>
      <c r="BA342">
        <v>14.2776</v>
      </c>
      <c r="BB342">
        <v>33.282200000000003</v>
      </c>
      <c r="BC342">
        <v>22.062200000000001</v>
      </c>
      <c r="BD342">
        <v>31.816500000000001</v>
      </c>
      <c r="BE342" t="s">
        <v>135</v>
      </c>
      <c r="BF342">
        <v>16.8962</v>
      </c>
      <c r="BG342">
        <v>28.603300000000001</v>
      </c>
      <c r="BH342">
        <v>51.620899999999999</v>
      </c>
      <c r="BI342">
        <v>76.447599999999994</v>
      </c>
      <c r="BJ342">
        <v>76.682100000000005</v>
      </c>
      <c r="BK342" t="s">
        <v>135</v>
      </c>
      <c r="BL342" t="s">
        <v>135</v>
      </c>
      <c r="BM342" t="s">
        <v>135</v>
      </c>
      <c r="BN342" t="s">
        <v>135</v>
      </c>
      <c r="BO342" t="s">
        <v>135</v>
      </c>
      <c r="BP342" t="s">
        <v>135</v>
      </c>
      <c r="BQ342" t="s">
        <v>135</v>
      </c>
      <c r="BR342" t="s">
        <v>135</v>
      </c>
      <c r="BS342" t="s">
        <v>135</v>
      </c>
      <c r="BT342" t="s">
        <v>135</v>
      </c>
      <c r="BU342" t="s">
        <v>135</v>
      </c>
      <c r="BV342" t="s">
        <v>135</v>
      </c>
      <c r="BW342" t="s">
        <v>135</v>
      </c>
      <c r="BX342" t="s">
        <v>135</v>
      </c>
      <c r="BY342">
        <v>744498.2</v>
      </c>
      <c r="BZ342">
        <v>225735.1</v>
      </c>
      <c r="CA342">
        <v>518763.1</v>
      </c>
      <c r="CB342">
        <v>1.9713000000000001</v>
      </c>
      <c r="CC342">
        <v>0.59199999999999997</v>
      </c>
      <c r="CD342">
        <v>3.5489000000000002</v>
      </c>
      <c r="CE342">
        <v>1.0657000000000001</v>
      </c>
      <c r="CF342">
        <v>9.0722000000000005</v>
      </c>
      <c r="CG342">
        <v>29.997499999999999</v>
      </c>
      <c r="CH342">
        <v>63.518700000000003</v>
      </c>
      <c r="CI342">
        <v>33.228299999999997</v>
      </c>
      <c r="CJ342">
        <v>19.2636</v>
      </c>
      <c r="CK342">
        <v>91.158299999999997</v>
      </c>
      <c r="CL342">
        <v>47.6873</v>
      </c>
      <c r="CM342">
        <v>27.645900000000001</v>
      </c>
      <c r="CN342">
        <v>27.374400000000001</v>
      </c>
      <c r="CO342">
        <v>21.491299999999999</v>
      </c>
      <c r="CP342">
        <v>113871.7</v>
      </c>
      <c r="CQ342" t="s">
        <v>135</v>
      </c>
      <c r="CR342">
        <v>69632.5</v>
      </c>
      <c r="CS342">
        <v>0.47010000000000002</v>
      </c>
      <c r="CT342">
        <v>1.0406</v>
      </c>
      <c r="CU342">
        <v>0.58730000000000004</v>
      </c>
      <c r="CV342">
        <v>2.4653999999999998</v>
      </c>
      <c r="CW342">
        <v>20.987100000000002</v>
      </c>
      <c r="CX342">
        <v>17.439299999999999</v>
      </c>
      <c r="CY342">
        <v>5.3053999999999997</v>
      </c>
      <c r="CZ342">
        <v>68.986199999999997</v>
      </c>
      <c r="DA342">
        <v>3.016</v>
      </c>
      <c r="DB342">
        <v>121.35420000000001</v>
      </c>
      <c r="DC342">
        <v>-34.928600000000003</v>
      </c>
      <c r="DD342">
        <v>86.425600000000003</v>
      </c>
      <c r="DE342">
        <v>333989.8</v>
      </c>
      <c r="DF342">
        <v>26799</v>
      </c>
      <c r="DG342">
        <v>42807.5</v>
      </c>
      <c r="DH342">
        <v>259474.7</v>
      </c>
      <c r="DI342">
        <v>4908.6000000000004</v>
      </c>
    </row>
    <row r="343" spans="4:113" x14ac:dyDescent="0.3">
      <c r="D343" t="s">
        <v>84</v>
      </c>
      <c r="E343" t="s">
        <v>77</v>
      </c>
      <c r="F343">
        <v>10.8811</v>
      </c>
      <c r="G343">
        <v>2.7563</v>
      </c>
      <c r="H343">
        <v>6.8719000000000001</v>
      </c>
      <c r="I343">
        <v>8.1865000000000006</v>
      </c>
      <c r="J343">
        <v>12.689</v>
      </c>
      <c r="K343">
        <v>5.9068000000000005</v>
      </c>
      <c r="L343">
        <v>-180.7774</v>
      </c>
      <c r="M343">
        <v>3.5282999999999998</v>
      </c>
      <c r="N343">
        <v>2.8622999999999998</v>
      </c>
      <c r="O343">
        <v>2.8235999999999999</v>
      </c>
      <c r="P343">
        <v>2.8235999999999999</v>
      </c>
      <c r="Q343">
        <v>34.904000000000003</v>
      </c>
      <c r="R343">
        <v>0</v>
      </c>
      <c r="S343">
        <v>10.8811</v>
      </c>
      <c r="T343">
        <v>-1.2422</v>
      </c>
      <c r="U343">
        <v>-12.552899999999999</v>
      </c>
      <c r="V343">
        <v>-27.7956</v>
      </c>
      <c r="W343">
        <v>-35.6235</v>
      </c>
      <c r="X343">
        <v>-35.952100000000002</v>
      </c>
      <c r="Y343" t="s">
        <v>135</v>
      </c>
      <c r="Z343">
        <v>6.2839</v>
      </c>
      <c r="AA343">
        <v>7.44</v>
      </c>
      <c r="AB343">
        <v>-2.3736999999999999</v>
      </c>
      <c r="AC343">
        <v>2.4754999999999998</v>
      </c>
      <c r="AD343">
        <v>67.247200000000007</v>
      </c>
      <c r="AE343">
        <v>-58.168399999999998</v>
      </c>
      <c r="AF343">
        <v>0.20469999999999999</v>
      </c>
      <c r="AG343">
        <v>-4.8124000000000002</v>
      </c>
      <c r="AH343">
        <v>13.2661</v>
      </c>
      <c r="AI343">
        <v>-26.2898</v>
      </c>
      <c r="AJ343">
        <v>-7.8367000000000004</v>
      </c>
      <c r="AK343">
        <v>-26.459600000000002</v>
      </c>
      <c r="AL343">
        <v>-20.780100000000001</v>
      </c>
      <c r="AM343">
        <v>10.152200000000001</v>
      </c>
      <c r="AN343">
        <v>10.824</v>
      </c>
      <c r="AO343">
        <v>1.5810999999999999</v>
      </c>
      <c r="AP343">
        <v>-11.2212</v>
      </c>
      <c r="AQ343">
        <v>-11.4239</v>
      </c>
      <c r="AR343">
        <v>-100</v>
      </c>
      <c r="AS343">
        <v>20.452999999999999</v>
      </c>
      <c r="AT343">
        <v>14.0077</v>
      </c>
      <c r="AU343">
        <v>18.203800000000001</v>
      </c>
      <c r="AV343">
        <v>13.563800000000001</v>
      </c>
      <c r="AW343" t="s">
        <v>135</v>
      </c>
      <c r="AX343" t="s">
        <v>135</v>
      </c>
      <c r="AY343">
        <v>12.0905</v>
      </c>
      <c r="AZ343">
        <v>-5.0056000000000003</v>
      </c>
      <c r="BA343">
        <v>8.9463000000000008</v>
      </c>
      <c r="BB343">
        <v>12.133599999999999</v>
      </c>
      <c r="BC343">
        <v>10.2394</v>
      </c>
      <c r="BD343">
        <v>10.8919</v>
      </c>
      <c r="BE343">
        <v>10.9331</v>
      </c>
      <c r="BF343">
        <v>-1.2422</v>
      </c>
      <c r="BG343">
        <v>-12.552899999999999</v>
      </c>
      <c r="BH343">
        <v>-27.7956</v>
      </c>
      <c r="BI343">
        <v>-35.6235</v>
      </c>
      <c r="BJ343">
        <v>-35.952100000000002</v>
      </c>
      <c r="BK343">
        <v>-100</v>
      </c>
      <c r="BL343">
        <v>6.2839</v>
      </c>
      <c r="BM343">
        <v>7.44</v>
      </c>
      <c r="BN343">
        <v>-2.3736999999999999</v>
      </c>
      <c r="BO343">
        <v>2.4754999999999998</v>
      </c>
      <c r="BP343" t="s">
        <v>135</v>
      </c>
      <c r="BQ343">
        <v>-58.168399999999998</v>
      </c>
      <c r="BR343">
        <v>0.20469999999999999</v>
      </c>
      <c r="BS343">
        <v>-4.8124000000000002</v>
      </c>
      <c r="BT343">
        <v>13.2661</v>
      </c>
      <c r="BU343">
        <v>-26.2898</v>
      </c>
      <c r="BV343">
        <v>-7.8367000000000004</v>
      </c>
      <c r="BW343">
        <v>-26.459600000000002</v>
      </c>
      <c r="BX343">
        <v>-20.780100000000001</v>
      </c>
      <c r="BY343">
        <v>786261</v>
      </c>
      <c r="BZ343">
        <v>179969.2</v>
      </c>
      <c r="CA343">
        <v>606291.80000000005</v>
      </c>
      <c r="CB343">
        <v>2.3471000000000002</v>
      </c>
      <c r="CC343">
        <v>0.82830000000000004</v>
      </c>
      <c r="CD343">
        <v>5.0420999999999996</v>
      </c>
      <c r="CE343">
        <v>1.7793000000000001</v>
      </c>
      <c r="CF343">
        <v>9.6134000000000004</v>
      </c>
      <c r="CG343">
        <v>21.209499999999998</v>
      </c>
      <c r="CH343">
        <v>103.613</v>
      </c>
      <c r="CI343">
        <v>44.209299999999999</v>
      </c>
      <c r="CJ343">
        <v>22.147300000000001</v>
      </c>
      <c r="CK343">
        <v>134.369</v>
      </c>
      <c r="CL343">
        <v>57.3322</v>
      </c>
      <c r="CM343">
        <v>28.721399999999999</v>
      </c>
      <c r="CN343">
        <v>47.415900000000001</v>
      </c>
      <c r="CO343">
        <v>32.164700000000003</v>
      </c>
      <c r="CP343">
        <v>334987.90000000002</v>
      </c>
      <c r="CQ343">
        <v>174270.1</v>
      </c>
      <c r="CR343">
        <v>155938</v>
      </c>
      <c r="CS343">
        <v>0.44</v>
      </c>
      <c r="CT343">
        <v>1.0104</v>
      </c>
      <c r="CU343">
        <v>0.62070000000000003</v>
      </c>
      <c r="CV343">
        <v>2.2791000000000001</v>
      </c>
      <c r="CW343">
        <v>13.0253</v>
      </c>
      <c r="CX343">
        <v>28.022400000000001</v>
      </c>
      <c r="CY343">
        <v>5.1163999999999996</v>
      </c>
      <c r="CZ343">
        <v>71.339699999999993</v>
      </c>
      <c r="DA343">
        <v>3.0487000000000002</v>
      </c>
      <c r="DB343">
        <v>119.7242</v>
      </c>
      <c r="DC343">
        <v>-20.362100000000002</v>
      </c>
      <c r="DD343">
        <v>99.362099999999998</v>
      </c>
      <c r="DE343">
        <v>350853.1</v>
      </c>
      <c r="DF343">
        <v>26938</v>
      </c>
      <c r="DG343">
        <v>36425.599999999999</v>
      </c>
      <c r="DH343">
        <v>282351.7</v>
      </c>
      <c r="DI343">
        <v>5137.8</v>
      </c>
    </row>
    <row r="344" spans="4:113" x14ac:dyDescent="0.3">
      <c r="E344" t="s">
        <v>78</v>
      </c>
      <c r="F344" t="s">
        <v>135</v>
      </c>
      <c r="G344" t="s">
        <v>135</v>
      </c>
      <c r="H344" t="s">
        <v>135</v>
      </c>
      <c r="I344" t="s">
        <v>135</v>
      </c>
      <c r="J344">
        <v>11.723000000000001</v>
      </c>
      <c r="K344">
        <v>4.7153</v>
      </c>
      <c r="L344" t="s">
        <v>135</v>
      </c>
      <c r="M344">
        <v>3.9289000000000001</v>
      </c>
      <c r="N344">
        <v>3.4807000000000001</v>
      </c>
      <c r="O344">
        <v>3.4438</v>
      </c>
      <c r="P344">
        <v>3.4438</v>
      </c>
      <c r="Q344">
        <v>28.2209</v>
      </c>
      <c r="R344" t="s">
        <v>135</v>
      </c>
      <c r="S344" t="s">
        <v>135</v>
      </c>
      <c r="T344">
        <v>10.0968</v>
      </c>
      <c r="U344">
        <v>-30.834299999999999</v>
      </c>
      <c r="V344">
        <v>-57.852499999999999</v>
      </c>
      <c r="W344">
        <v>-57.247799999999998</v>
      </c>
      <c r="X344">
        <v>-58.312199999999997</v>
      </c>
      <c r="Y344" t="s">
        <v>135</v>
      </c>
      <c r="Z344" t="s">
        <v>135</v>
      </c>
      <c r="AA344" t="s">
        <v>135</v>
      </c>
      <c r="AB344" t="s">
        <v>135</v>
      </c>
      <c r="AC344" t="s">
        <v>135</v>
      </c>
      <c r="AD344" t="s">
        <v>135</v>
      </c>
      <c r="AE344" t="s">
        <v>135</v>
      </c>
      <c r="AF344" t="s">
        <v>135</v>
      </c>
      <c r="AG344" t="s">
        <v>135</v>
      </c>
      <c r="AH344" t="s">
        <v>135</v>
      </c>
      <c r="AI344" t="s">
        <v>135</v>
      </c>
      <c r="AJ344" t="s">
        <v>135</v>
      </c>
      <c r="AK344" t="s">
        <v>135</v>
      </c>
      <c r="AL344" t="s">
        <v>135</v>
      </c>
      <c r="AM344">
        <v>14.2286</v>
      </c>
      <c r="AN344">
        <v>12.4404</v>
      </c>
      <c r="AO344">
        <v>-0.1981</v>
      </c>
      <c r="AP344">
        <v>2.2633000000000001</v>
      </c>
      <c r="AQ344">
        <v>1.9881</v>
      </c>
      <c r="AR344" t="s">
        <v>135</v>
      </c>
      <c r="AS344" t="s">
        <v>135</v>
      </c>
      <c r="AT344" t="s">
        <v>135</v>
      </c>
      <c r="AU344" t="s">
        <v>135</v>
      </c>
      <c r="AV344" t="s">
        <v>135</v>
      </c>
      <c r="AW344" t="s">
        <v>135</v>
      </c>
      <c r="AX344" t="s">
        <v>135</v>
      </c>
      <c r="AY344" t="s">
        <v>135</v>
      </c>
      <c r="AZ344" t="s">
        <v>135</v>
      </c>
      <c r="BA344" t="s">
        <v>135</v>
      </c>
      <c r="BB344" t="s">
        <v>135</v>
      </c>
      <c r="BC344" t="s">
        <v>135</v>
      </c>
      <c r="BD344" t="s">
        <v>135</v>
      </c>
      <c r="BE344" t="s">
        <v>135</v>
      </c>
      <c r="BF344">
        <v>-18.3245</v>
      </c>
      <c r="BG344">
        <v>-37.216200000000001</v>
      </c>
      <c r="BH344">
        <v>-60.642000000000003</v>
      </c>
      <c r="BI344">
        <v>-56.792099999999998</v>
      </c>
      <c r="BJ344">
        <v>-56.833100000000002</v>
      </c>
      <c r="BK344" t="s">
        <v>135</v>
      </c>
      <c r="BL344" t="s">
        <v>135</v>
      </c>
      <c r="BM344" t="s">
        <v>135</v>
      </c>
      <c r="BN344" t="s">
        <v>135</v>
      </c>
      <c r="BO344" t="s">
        <v>135</v>
      </c>
      <c r="BP344" t="s">
        <v>135</v>
      </c>
      <c r="BQ344" t="s">
        <v>135</v>
      </c>
      <c r="BR344" t="s">
        <v>135</v>
      </c>
      <c r="BS344" t="s">
        <v>135</v>
      </c>
      <c r="BT344" t="s">
        <v>135</v>
      </c>
      <c r="BU344" t="s">
        <v>135</v>
      </c>
      <c r="BV344" t="s">
        <v>135</v>
      </c>
      <c r="BW344" t="s">
        <v>135</v>
      </c>
      <c r="BX344" t="s">
        <v>135</v>
      </c>
      <c r="BY344" t="s">
        <v>135</v>
      </c>
      <c r="BZ344" t="s">
        <v>135</v>
      </c>
      <c r="CA344" t="s">
        <v>135</v>
      </c>
      <c r="CB344" t="s">
        <v>135</v>
      </c>
      <c r="CC344" t="s">
        <v>135</v>
      </c>
      <c r="CD344" t="s">
        <v>135</v>
      </c>
      <c r="CE344" t="s">
        <v>135</v>
      </c>
      <c r="CF344">
        <v>6.51</v>
      </c>
      <c r="CG344" t="s">
        <v>135</v>
      </c>
      <c r="CH344" t="s">
        <v>135</v>
      </c>
      <c r="CI344" t="s">
        <v>135</v>
      </c>
      <c r="CJ344" t="s">
        <v>135</v>
      </c>
      <c r="CK344" t="s">
        <v>135</v>
      </c>
      <c r="CL344" t="s">
        <v>135</v>
      </c>
      <c r="CM344" t="s">
        <v>135</v>
      </c>
      <c r="CN344" t="s">
        <v>135</v>
      </c>
      <c r="CO344" t="s">
        <v>135</v>
      </c>
      <c r="CP344">
        <v>76129.3</v>
      </c>
      <c r="CQ344" t="s">
        <v>135</v>
      </c>
      <c r="CR344">
        <v>30621.1</v>
      </c>
      <c r="CS344" t="s">
        <v>135</v>
      </c>
      <c r="CT344" t="s">
        <v>135</v>
      </c>
      <c r="CU344" t="s">
        <v>135</v>
      </c>
      <c r="CV344" t="s">
        <v>135</v>
      </c>
      <c r="CW344" t="s">
        <v>135</v>
      </c>
      <c r="CX344" t="s">
        <v>135</v>
      </c>
      <c r="CY344" t="s">
        <v>135</v>
      </c>
      <c r="CZ344" t="s">
        <v>135</v>
      </c>
      <c r="DA344" t="s">
        <v>135</v>
      </c>
      <c r="DB344" t="s">
        <v>135</v>
      </c>
      <c r="DC344" t="s">
        <v>135</v>
      </c>
      <c r="DD344" t="s">
        <v>135</v>
      </c>
      <c r="DE344" t="s">
        <v>135</v>
      </c>
      <c r="DF344" t="s">
        <v>135</v>
      </c>
      <c r="DG344" t="s">
        <v>135</v>
      </c>
      <c r="DH344" t="s">
        <v>135</v>
      </c>
      <c r="DI344" t="s">
        <v>135</v>
      </c>
    </row>
    <row r="345" spans="4:113" x14ac:dyDescent="0.3">
      <c r="E345" t="s">
        <v>79</v>
      </c>
      <c r="F345">
        <v>16.476400000000002</v>
      </c>
      <c r="G345">
        <v>4.3110999999999997</v>
      </c>
      <c r="H345">
        <v>10.9763</v>
      </c>
      <c r="I345">
        <v>11.616</v>
      </c>
      <c r="J345">
        <v>9.6446000000000005</v>
      </c>
      <c r="K345">
        <v>2.8071000000000002</v>
      </c>
      <c r="L345" t="s">
        <v>135</v>
      </c>
      <c r="M345">
        <v>1.534</v>
      </c>
      <c r="N345">
        <v>1.302</v>
      </c>
      <c r="O345">
        <v>1.2716000000000001</v>
      </c>
      <c r="P345">
        <v>1.2716000000000001</v>
      </c>
      <c r="Q345">
        <v>42.493200000000002</v>
      </c>
      <c r="R345" t="s">
        <v>135</v>
      </c>
      <c r="S345" t="s">
        <v>135</v>
      </c>
      <c r="T345">
        <v>6.7419000000000002</v>
      </c>
      <c r="U345">
        <v>-3.6254999999999997</v>
      </c>
      <c r="V345">
        <v>-15.23</v>
      </c>
      <c r="W345" t="s">
        <v>135</v>
      </c>
      <c r="X345" t="s">
        <v>135</v>
      </c>
      <c r="Y345" t="s">
        <v>135</v>
      </c>
      <c r="Z345">
        <v>2.0840999999999998</v>
      </c>
      <c r="AA345">
        <v>2.6372999999999998</v>
      </c>
      <c r="AB345">
        <v>-45.797600000000003</v>
      </c>
      <c r="AC345">
        <v>2.8917000000000002</v>
      </c>
      <c r="AD345">
        <v>-2.8761000000000001</v>
      </c>
      <c r="AE345" t="s">
        <v>135</v>
      </c>
      <c r="AF345">
        <v>2.5366999999999997</v>
      </c>
      <c r="AG345">
        <v>16.635000000000002</v>
      </c>
      <c r="AH345">
        <v>4.3677999999999999</v>
      </c>
      <c r="AI345">
        <v>-32.247100000000003</v>
      </c>
      <c r="AJ345">
        <v>-15.827500000000001</v>
      </c>
      <c r="AK345">
        <v>-32.4251</v>
      </c>
      <c r="AL345" t="s">
        <v>135</v>
      </c>
      <c r="AM345">
        <v>12.6312</v>
      </c>
      <c r="AN345">
        <v>6.8830999999999998</v>
      </c>
      <c r="AO345">
        <v>-10.4375</v>
      </c>
      <c r="AP345">
        <v>-15.0945</v>
      </c>
      <c r="AQ345">
        <v>-15.4176</v>
      </c>
      <c r="AR345" t="s">
        <v>135</v>
      </c>
      <c r="AS345">
        <v>12.373799999999999</v>
      </c>
      <c r="AT345">
        <v>16.9375</v>
      </c>
      <c r="AU345" t="s">
        <v>135</v>
      </c>
      <c r="AV345">
        <v>16.6312</v>
      </c>
      <c r="AW345" t="s">
        <v>135</v>
      </c>
      <c r="AX345" t="s">
        <v>135</v>
      </c>
      <c r="AY345" t="s">
        <v>135</v>
      </c>
      <c r="AZ345" t="s">
        <v>135</v>
      </c>
      <c r="BA345">
        <v>9.4414999999999996</v>
      </c>
      <c r="BB345">
        <v>18.619900000000001</v>
      </c>
      <c r="BC345">
        <v>12.9818</v>
      </c>
      <c r="BD345">
        <v>17.471900000000002</v>
      </c>
      <c r="BE345" t="s">
        <v>135</v>
      </c>
      <c r="BF345">
        <v>0.2092</v>
      </c>
      <c r="BG345">
        <v>-30.406199999999998</v>
      </c>
      <c r="BH345">
        <v>-59.152799999999999</v>
      </c>
      <c r="BI345">
        <v>-62.959800000000001</v>
      </c>
      <c r="BJ345">
        <v>-63.165900000000001</v>
      </c>
      <c r="BK345" t="s">
        <v>135</v>
      </c>
      <c r="BL345" t="s">
        <v>135</v>
      </c>
      <c r="BM345" t="s">
        <v>135</v>
      </c>
      <c r="BN345" t="s">
        <v>135</v>
      </c>
      <c r="BO345" t="s">
        <v>135</v>
      </c>
      <c r="BP345" t="s">
        <v>135</v>
      </c>
      <c r="BQ345" t="s">
        <v>135</v>
      </c>
      <c r="BR345" t="s">
        <v>135</v>
      </c>
      <c r="BS345" t="s">
        <v>135</v>
      </c>
      <c r="BT345" t="s">
        <v>135</v>
      </c>
      <c r="BU345" t="s">
        <v>135</v>
      </c>
      <c r="BV345" t="s">
        <v>135</v>
      </c>
      <c r="BW345" t="s">
        <v>135</v>
      </c>
      <c r="BX345" t="s">
        <v>135</v>
      </c>
      <c r="BY345">
        <v>690396.9</v>
      </c>
      <c r="BZ345">
        <v>149807.1</v>
      </c>
      <c r="CA345">
        <v>540589.80000000005</v>
      </c>
      <c r="CB345">
        <v>1.9024000000000001</v>
      </c>
      <c r="CC345">
        <v>0.78759999999999997</v>
      </c>
      <c r="CD345">
        <v>3.6962999999999999</v>
      </c>
      <c r="CE345">
        <v>1.5303</v>
      </c>
      <c r="CF345">
        <v>6.1302000000000003</v>
      </c>
      <c r="CG345">
        <v>20.805700000000002</v>
      </c>
      <c r="CH345">
        <v>98.066299999999998</v>
      </c>
      <c r="CI345">
        <v>43.538200000000003</v>
      </c>
      <c r="CJ345">
        <v>20.5624</v>
      </c>
      <c r="CK345">
        <v>125.2423</v>
      </c>
      <c r="CL345">
        <v>55.603400000000001</v>
      </c>
      <c r="CM345">
        <v>26.2606</v>
      </c>
      <c r="CN345">
        <v>51.850900000000003</v>
      </c>
      <c r="CO345">
        <v>34.145899999999997</v>
      </c>
      <c r="CP345">
        <v>62825.7</v>
      </c>
      <c r="CQ345" t="s">
        <v>135</v>
      </c>
      <c r="CR345">
        <v>18285.900000000001</v>
      </c>
      <c r="CS345">
        <v>0.375</v>
      </c>
      <c r="CT345">
        <v>0.98409999999999997</v>
      </c>
      <c r="CU345">
        <v>0.49020000000000002</v>
      </c>
      <c r="CV345">
        <v>2.5388999999999999</v>
      </c>
      <c r="CW345">
        <v>22.597999999999999</v>
      </c>
      <c r="CX345">
        <v>16.196100000000001</v>
      </c>
      <c r="CY345">
        <v>4.7407000000000004</v>
      </c>
      <c r="CZ345">
        <v>77.203699999999998</v>
      </c>
      <c r="DA345">
        <v>3.2025999999999999</v>
      </c>
      <c r="DB345">
        <v>114.28360000000001</v>
      </c>
      <c r="DC345">
        <v>-20.883800000000001</v>
      </c>
      <c r="DD345">
        <v>93.399799999999999</v>
      </c>
      <c r="DE345">
        <v>371265.8</v>
      </c>
      <c r="DF345" t="s">
        <v>135</v>
      </c>
      <c r="DG345" t="s">
        <v>135</v>
      </c>
      <c r="DH345" t="s">
        <v>135</v>
      </c>
      <c r="DI345" t="s">
        <v>135</v>
      </c>
    </row>
    <row r="346" spans="4:113" x14ac:dyDescent="0.3">
      <c r="E346" t="s">
        <v>80</v>
      </c>
      <c r="F346" t="s">
        <v>135</v>
      </c>
      <c r="G346" t="s">
        <v>135</v>
      </c>
      <c r="H346" t="s">
        <v>135</v>
      </c>
      <c r="I346" t="s">
        <v>135</v>
      </c>
      <c r="J346">
        <v>7.72</v>
      </c>
      <c r="K346">
        <v>1.393</v>
      </c>
      <c r="L346">
        <v>-241.1275</v>
      </c>
      <c r="M346">
        <v>0.89539999999999997</v>
      </c>
      <c r="N346">
        <v>0.16689999999999999</v>
      </c>
      <c r="O346">
        <v>0.14030000000000001</v>
      </c>
      <c r="P346">
        <v>0.14030000000000001</v>
      </c>
      <c r="Q346">
        <v>144.83199999999999</v>
      </c>
      <c r="R346" t="s">
        <v>135</v>
      </c>
      <c r="S346" t="s">
        <v>135</v>
      </c>
      <c r="T346">
        <v>-2.2206999999999999</v>
      </c>
      <c r="U346">
        <v>-41.710799999999999</v>
      </c>
      <c r="V346">
        <v>-79.722300000000004</v>
      </c>
      <c r="W346">
        <v>-96.804100000000005</v>
      </c>
      <c r="X346">
        <v>-96.983800000000002</v>
      </c>
      <c r="Y346" t="s">
        <v>135</v>
      </c>
      <c r="Z346" t="s">
        <v>135</v>
      </c>
      <c r="AA346" t="s">
        <v>135</v>
      </c>
      <c r="AB346" t="s">
        <v>135</v>
      </c>
      <c r="AC346" t="s">
        <v>135</v>
      </c>
      <c r="AD346" t="s">
        <v>135</v>
      </c>
      <c r="AE346" t="s">
        <v>135</v>
      </c>
      <c r="AF346" t="s">
        <v>135</v>
      </c>
      <c r="AG346" t="s">
        <v>135</v>
      </c>
      <c r="AH346" t="s">
        <v>135</v>
      </c>
      <c r="AI346" t="s">
        <v>135</v>
      </c>
      <c r="AJ346" t="s">
        <v>135</v>
      </c>
      <c r="AK346" t="s">
        <v>135</v>
      </c>
      <c r="AL346" t="s">
        <v>135</v>
      </c>
      <c r="AM346">
        <v>8.1435999999999993</v>
      </c>
      <c r="AN346">
        <v>-5.4405999999999999</v>
      </c>
      <c r="AO346">
        <v>-29.135400000000001</v>
      </c>
      <c r="AP346">
        <v>-51.249899999999997</v>
      </c>
      <c r="AQ346">
        <v>-51.931399999999996</v>
      </c>
      <c r="AR346" t="s">
        <v>135</v>
      </c>
      <c r="AS346" t="s">
        <v>135</v>
      </c>
      <c r="AT346" t="s">
        <v>135</v>
      </c>
      <c r="AU346" t="s">
        <v>135</v>
      </c>
      <c r="AV346" t="s">
        <v>135</v>
      </c>
      <c r="AW346" t="s">
        <v>135</v>
      </c>
      <c r="AX346" t="s">
        <v>135</v>
      </c>
      <c r="AY346" t="s">
        <v>135</v>
      </c>
      <c r="AZ346" t="s">
        <v>135</v>
      </c>
      <c r="BA346" t="s">
        <v>135</v>
      </c>
      <c r="BB346" t="s">
        <v>135</v>
      </c>
      <c r="BC346" t="s">
        <v>135</v>
      </c>
      <c r="BD346" t="s">
        <v>135</v>
      </c>
      <c r="BE346" t="s">
        <v>135</v>
      </c>
      <c r="BF346">
        <v>2.6318999999999999</v>
      </c>
      <c r="BG346">
        <v>-17.848700000000001</v>
      </c>
      <c r="BH346">
        <v>-49.072200000000002</v>
      </c>
      <c r="BI346">
        <v>-88.68</v>
      </c>
      <c r="BJ346">
        <v>-89.256200000000007</v>
      </c>
      <c r="BK346" t="s">
        <v>135</v>
      </c>
      <c r="BL346" t="s">
        <v>135</v>
      </c>
      <c r="BM346" t="s">
        <v>135</v>
      </c>
      <c r="BN346" t="s">
        <v>135</v>
      </c>
      <c r="BO346" t="s">
        <v>135</v>
      </c>
      <c r="BP346" t="s">
        <v>135</v>
      </c>
      <c r="BQ346" t="s">
        <v>135</v>
      </c>
      <c r="BR346" t="s">
        <v>135</v>
      </c>
      <c r="BS346" t="s">
        <v>135</v>
      </c>
      <c r="BT346" t="s">
        <v>135</v>
      </c>
      <c r="BU346" t="s">
        <v>135</v>
      </c>
      <c r="BV346" t="s">
        <v>135</v>
      </c>
      <c r="BW346" t="s">
        <v>135</v>
      </c>
      <c r="BX346" t="s">
        <v>135</v>
      </c>
      <c r="BY346" t="s">
        <v>135</v>
      </c>
      <c r="BZ346" t="s">
        <v>135</v>
      </c>
      <c r="CA346" t="s">
        <v>135</v>
      </c>
      <c r="CB346" t="s">
        <v>135</v>
      </c>
      <c r="CC346" t="s">
        <v>135</v>
      </c>
      <c r="CD346" t="s">
        <v>135</v>
      </c>
      <c r="CE346" t="s">
        <v>135</v>
      </c>
      <c r="CF346">
        <v>5.9276</v>
      </c>
      <c r="CG346" t="s">
        <v>135</v>
      </c>
      <c r="CH346" t="s">
        <v>135</v>
      </c>
      <c r="CI346" t="s">
        <v>135</v>
      </c>
      <c r="CJ346" t="s">
        <v>135</v>
      </c>
      <c r="CK346" t="s">
        <v>135</v>
      </c>
      <c r="CL346" t="s">
        <v>135</v>
      </c>
      <c r="CM346" t="s">
        <v>135</v>
      </c>
      <c r="CN346" t="s">
        <v>135</v>
      </c>
      <c r="CO346" t="s">
        <v>135</v>
      </c>
      <c r="CP346">
        <v>51612.1</v>
      </c>
      <c r="CQ346" t="s">
        <v>135</v>
      </c>
      <c r="CR346">
        <v>9312.6</v>
      </c>
      <c r="CS346" t="s">
        <v>135</v>
      </c>
      <c r="CT346" t="s">
        <v>135</v>
      </c>
      <c r="CU346" t="s">
        <v>135</v>
      </c>
      <c r="CV346" t="s">
        <v>135</v>
      </c>
      <c r="CW346" t="s">
        <v>135</v>
      </c>
      <c r="CX346" t="s">
        <v>135</v>
      </c>
      <c r="CY346" t="s">
        <v>135</v>
      </c>
      <c r="CZ346" t="s">
        <v>135</v>
      </c>
      <c r="DA346" t="s">
        <v>135</v>
      </c>
      <c r="DB346" t="s">
        <v>135</v>
      </c>
      <c r="DC346" t="s">
        <v>135</v>
      </c>
      <c r="DD346" t="s">
        <v>135</v>
      </c>
      <c r="DE346" t="s">
        <v>135</v>
      </c>
      <c r="DF346" t="s">
        <v>135</v>
      </c>
      <c r="DG346" t="s">
        <v>135</v>
      </c>
      <c r="DH346" t="s">
        <v>135</v>
      </c>
      <c r="DI346" t="s">
        <v>135</v>
      </c>
    </row>
    <row r="347" spans="4:113" x14ac:dyDescent="0.3">
      <c r="E347" t="s">
        <v>81</v>
      </c>
      <c r="F347">
        <v>10.8811</v>
      </c>
      <c r="G347">
        <v>2.7563</v>
      </c>
      <c r="H347">
        <v>7.2149000000000001</v>
      </c>
      <c r="I347">
        <v>6.6097000000000001</v>
      </c>
      <c r="J347">
        <v>13.988</v>
      </c>
      <c r="K347">
        <v>7.9398999999999997</v>
      </c>
      <c r="L347">
        <v>-71.933499999999995</v>
      </c>
      <c r="M347">
        <v>6.6896000000000004</v>
      </c>
      <c r="N347">
        <v>5.6158999999999999</v>
      </c>
      <c r="O347">
        <v>5.5632999999999999</v>
      </c>
      <c r="P347">
        <v>5.5632999999999999</v>
      </c>
      <c r="Q347">
        <v>23.998100000000001</v>
      </c>
      <c r="R347" t="s">
        <v>135</v>
      </c>
      <c r="S347" t="s">
        <v>135</v>
      </c>
      <c r="T347">
        <v>-2.8834999999999997</v>
      </c>
      <c r="U347">
        <v>-10.922700000000001</v>
      </c>
      <c r="V347">
        <v>-21.197800000000001</v>
      </c>
      <c r="W347">
        <v>-17.002199999999998</v>
      </c>
      <c r="X347">
        <v>-17.017099999999999</v>
      </c>
      <c r="Y347" t="s">
        <v>135</v>
      </c>
      <c r="Z347">
        <v>6.2839</v>
      </c>
      <c r="AA347">
        <v>7.44</v>
      </c>
      <c r="AB347">
        <v>-2.3736999999999999</v>
      </c>
      <c r="AC347">
        <v>2.4754999999999998</v>
      </c>
      <c r="AD347">
        <v>67.247200000000007</v>
      </c>
      <c r="AE347">
        <v>-58.168399999999998</v>
      </c>
      <c r="AF347">
        <v>0.20469999999999999</v>
      </c>
      <c r="AG347">
        <v>-4.8124000000000002</v>
      </c>
      <c r="AH347">
        <v>13.2661</v>
      </c>
      <c r="AI347">
        <v>-26.2898</v>
      </c>
      <c r="AJ347">
        <v>-7.8367000000000004</v>
      </c>
      <c r="AK347">
        <v>-26.459600000000002</v>
      </c>
      <c r="AL347" t="s">
        <v>135</v>
      </c>
      <c r="AM347">
        <v>8.8172999999999995</v>
      </c>
      <c r="AN347">
        <v>9.8764000000000003</v>
      </c>
      <c r="AO347">
        <v>3.3125</v>
      </c>
      <c r="AP347">
        <v>-7.1768000000000001</v>
      </c>
      <c r="AQ347">
        <v>-8.2463999999999995</v>
      </c>
      <c r="AR347" t="s">
        <v>135</v>
      </c>
      <c r="AS347">
        <v>20.452999999999999</v>
      </c>
      <c r="AT347">
        <v>14.0077</v>
      </c>
      <c r="AU347">
        <v>18.203800000000001</v>
      </c>
      <c r="AV347">
        <v>13.563800000000001</v>
      </c>
      <c r="AW347" t="s">
        <v>135</v>
      </c>
      <c r="AX347" t="s">
        <v>135</v>
      </c>
      <c r="AY347">
        <v>12.0905</v>
      </c>
      <c r="AZ347">
        <v>-5.0056000000000003</v>
      </c>
      <c r="BA347">
        <v>8.9463000000000008</v>
      </c>
      <c r="BB347">
        <v>12.133599999999999</v>
      </c>
      <c r="BC347">
        <v>10.2394</v>
      </c>
      <c r="BD347">
        <v>10.8919</v>
      </c>
      <c r="BE347" t="s">
        <v>135</v>
      </c>
      <c r="BF347">
        <v>20.778300000000002</v>
      </c>
      <c r="BG347">
        <v>73.086500000000001</v>
      </c>
      <c r="BH347">
        <v>204.96369999999999</v>
      </c>
      <c r="BI347">
        <v>4481.2627000000002</v>
      </c>
      <c r="BJ347">
        <v>4757.6922999999997</v>
      </c>
      <c r="BK347" t="s">
        <v>135</v>
      </c>
      <c r="BL347" t="s">
        <v>135</v>
      </c>
      <c r="BM347" t="s">
        <v>135</v>
      </c>
      <c r="BN347" t="s">
        <v>135</v>
      </c>
      <c r="BO347" t="s">
        <v>135</v>
      </c>
      <c r="BP347" t="s">
        <v>135</v>
      </c>
      <c r="BQ347" t="s">
        <v>135</v>
      </c>
      <c r="BR347" t="s">
        <v>135</v>
      </c>
      <c r="BS347" t="s">
        <v>135</v>
      </c>
      <c r="BT347" t="s">
        <v>135</v>
      </c>
      <c r="BU347" t="s">
        <v>135</v>
      </c>
      <c r="BV347" t="s">
        <v>135</v>
      </c>
      <c r="BW347" t="s">
        <v>135</v>
      </c>
      <c r="BX347" t="s">
        <v>135</v>
      </c>
      <c r="BY347">
        <v>786261</v>
      </c>
      <c r="BZ347">
        <v>179969.2</v>
      </c>
      <c r="CA347">
        <v>606291.80000000005</v>
      </c>
      <c r="CB347">
        <v>2.4304000000000001</v>
      </c>
      <c r="CC347">
        <v>0.85760000000000003</v>
      </c>
      <c r="CD347">
        <v>5.4424999999999999</v>
      </c>
      <c r="CE347">
        <v>1.9205999999999999</v>
      </c>
      <c r="CF347">
        <v>9.2796000000000003</v>
      </c>
      <c r="CG347">
        <v>21.209499999999998</v>
      </c>
      <c r="CH347">
        <v>103.613</v>
      </c>
      <c r="CI347">
        <v>44.209299999999999</v>
      </c>
      <c r="CJ347">
        <v>22.147300000000001</v>
      </c>
      <c r="CK347">
        <v>134.369</v>
      </c>
      <c r="CL347">
        <v>57.3322</v>
      </c>
      <c r="CM347">
        <v>28.721399999999999</v>
      </c>
      <c r="CN347">
        <v>47.415900000000001</v>
      </c>
      <c r="CO347">
        <v>32.164700000000003</v>
      </c>
      <c r="CP347">
        <v>108011.7</v>
      </c>
      <c r="CQ347" t="s">
        <v>135</v>
      </c>
      <c r="CR347">
        <v>61309.3</v>
      </c>
      <c r="CS347">
        <v>0.44</v>
      </c>
      <c r="CT347">
        <v>1.0104</v>
      </c>
      <c r="CU347">
        <v>0.62070000000000003</v>
      </c>
      <c r="CV347">
        <v>2.2791000000000001</v>
      </c>
      <c r="CW347">
        <v>13.385300000000001</v>
      </c>
      <c r="CX347">
        <v>27.268799999999999</v>
      </c>
      <c r="CY347">
        <v>5.1163999999999996</v>
      </c>
      <c r="CZ347">
        <v>71.339699999999993</v>
      </c>
      <c r="DA347">
        <v>3.0487000000000002</v>
      </c>
      <c r="DB347">
        <v>119.7242</v>
      </c>
      <c r="DC347">
        <v>-21.1158</v>
      </c>
      <c r="DD347">
        <v>98.608500000000006</v>
      </c>
      <c r="DE347">
        <v>350853.1</v>
      </c>
      <c r="DF347">
        <v>26938</v>
      </c>
      <c r="DG347">
        <v>36425.599999999999</v>
      </c>
      <c r="DH347">
        <v>282351.7</v>
      </c>
      <c r="DI347">
        <v>5137.8</v>
      </c>
    </row>
    <row r="348" spans="4:113" x14ac:dyDescent="0.3">
      <c r="D348" t="s">
        <v>85</v>
      </c>
      <c r="E348" t="s">
        <v>77</v>
      </c>
      <c r="F348">
        <v>11.7127</v>
      </c>
      <c r="G348">
        <v>2.9710000000000001</v>
      </c>
      <c r="H348">
        <v>7.0488999999999997</v>
      </c>
      <c r="I348">
        <v>5.8258999999999999</v>
      </c>
      <c r="J348">
        <v>11.552899999999999</v>
      </c>
      <c r="K348">
        <v>4.0843999999999996</v>
      </c>
      <c r="L348" t="s">
        <v>135</v>
      </c>
      <c r="M348">
        <v>3.8653</v>
      </c>
      <c r="N348">
        <v>3.1501999999999999</v>
      </c>
      <c r="O348">
        <v>3.1147</v>
      </c>
      <c r="P348">
        <v>3.1147</v>
      </c>
      <c r="Q348">
        <v>38.923499999999997</v>
      </c>
      <c r="R348">
        <v>0</v>
      </c>
      <c r="S348">
        <v>11.7127</v>
      </c>
      <c r="T348">
        <v>9.3169000000000004</v>
      </c>
      <c r="U348">
        <v>-0.47070000000000001</v>
      </c>
      <c r="V348">
        <v>-24.408999999999999</v>
      </c>
      <c r="W348">
        <v>20.585899999999999</v>
      </c>
      <c r="X348">
        <v>20.611000000000001</v>
      </c>
      <c r="Y348" t="s">
        <v>135</v>
      </c>
      <c r="Z348">
        <v>35.4754</v>
      </c>
      <c r="AA348">
        <v>20.1005</v>
      </c>
      <c r="AB348">
        <v>28.989699999999999</v>
      </c>
      <c r="AC348">
        <v>21.039400000000001</v>
      </c>
      <c r="AD348">
        <v>7.0350999999999999</v>
      </c>
      <c r="AE348" t="s">
        <v>135</v>
      </c>
      <c r="AF348">
        <v>24.8535</v>
      </c>
      <c r="AG348">
        <v>54.322000000000003</v>
      </c>
      <c r="AH348">
        <v>13.1592</v>
      </c>
      <c r="AI348">
        <v>63.98</v>
      </c>
      <c r="AJ348">
        <v>34.843299999999999</v>
      </c>
      <c r="AK348">
        <v>64.355500000000006</v>
      </c>
      <c r="AL348">
        <v>-19.854399999999998</v>
      </c>
      <c r="AM348">
        <v>9.3188999999999993</v>
      </c>
      <c r="AN348">
        <v>8.1887000000000008</v>
      </c>
      <c r="AO348">
        <v>-4.5750999999999999</v>
      </c>
      <c r="AP348">
        <v>-1.8976999999999999</v>
      </c>
      <c r="AQ348">
        <v>-2.7467999999999999</v>
      </c>
      <c r="AR348">
        <v>-100</v>
      </c>
      <c r="AS348">
        <v>20.887899999999998</v>
      </c>
      <c r="AT348">
        <v>14.9048</v>
      </c>
      <c r="AU348">
        <v>19.411100000000001</v>
      </c>
      <c r="AV348">
        <v>14.2286</v>
      </c>
      <c r="AW348" t="s">
        <v>135</v>
      </c>
      <c r="AX348" t="s">
        <v>135</v>
      </c>
      <c r="AY348">
        <v>12.1968</v>
      </c>
      <c r="AZ348">
        <v>1.3645</v>
      </c>
      <c r="BA348">
        <v>8.8937000000000008</v>
      </c>
      <c r="BB348">
        <v>20.3475</v>
      </c>
      <c r="BC348">
        <v>13.982900000000001</v>
      </c>
      <c r="BD348">
        <v>19.204000000000001</v>
      </c>
      <c r="BE348">
        <v>2.7214999999999998</v>
      </c>
      <c r="BF348">
        <v>9.3169000000000004</v>
      </c>
      <c r="BG348">
        <v>-0.47070000000000001</v>
      </c>
      <c r="BH348">
        <v>-24.408999999999999</v>
      </c>
      <c r="BI348">
        <v>20.585899999999999</v>
      </c>
      <c r="BJ348">
        <v>20.611000000000001</v>
      </c>
      <c r="BK348" t="s">
        <v>135</v>
      </c>
      <c r="BL348">
        <v>35.4754</v>
      </c>
      <c r="BM348">
        <v>20.1005</v>
      </c>
      <c r="BN348">
        <v>28.989699999999999</v>
      </c>
      <c r="BO348">
        <v>21.039400000000001</v>
      </c>
      <c r="BP348" t="s">
        <v>135</v>
      </c>
      <c r="BQ348">
        <v>-1578.2102</v>
      </c>
      <c r="BR348">
        <v>24.8535</v>
      </c>
      <c r="BS348">
        <v>54.322000000000003</v>
      </c>
      <c r="BT348">
        <v>13.1592</v>
      </c>
      <c r="BU348">
        <v>63.98</v>
      </c>
      <c r="BV348">
        <v>34.843299999999999</v>
      </c>
      <c r="BW348">
        <v>64.355500000000006</v>
      </c>
      <c r="BX348">
        <v>-19.854399999999998</v>
      </c>
      <c r="BY348">
        <v>889727</v>
      </c>
      <c r="BZ348">
        <v>277732</v>
      </c>
      <c r="CA348">
        <v>611995</v>
      </c>
      <c r="CB348">
        <v>2.6686000000000001</v>
      </c>
      <c r="CC348">
        <v>1.1757</v>
      </c>
      <c r="CD348">
        <v>7.548</v>
      </c>
      <c r="CE348">
        <v>3.3254000000000001</v>
      </c>
      <c r="CF348">
        <v>9.0115999999999996</v>
      </c>
      <c r="CG348">
        <v>28.799700000000001</v>
      </c>
      <c r="CH348">
        <v>63.780700000000003</v>
      </c>
      <c r="CI348">
        <v>33.094099999999997</v>
      </c>
      <c r="CJ348">
        <v>18.4697</v>
      </c>
      <c r="CK348">
        <v>92.725300000000004</v>
      </c>
      <c r="CL348">
        <v>48.112699999999997</v>
      </c>
      <c r="CM348">
        <v>26.851500000000001</v>
      </c>
      <c r="CN348">
        <v>40.850900000000003</v>
      </c>
      <c r="CO348">
        <v>29.003</v>
      </c>
      <c r="CP348">
        <v>333411</v>
      </c>
      <c r="CQ348">
        <v>134756.70000000001</v>
      </c>
      <c r="CR348">
        <v>117875.1</v>
      </c>
      <c r="CS348">
        <v>0.34749999999999998</v>
      </c>
      <c r="CT348">
        <v>0.94940000000000002</v>
      </c>
      <c r="CU348">
        <v>0.54510000000000003</v>
      </c>
      <c r="CV348">
        <v>1.8776999999999999</v>
      </c>
      <c r="CW348">
        <v>11.7362</v>
      </c>
      <c r="CX348">
        <v>31.1004</v>
      </c>
      <c r="CY348">
        <v>4.8662999999999998</v>
      </c>
      <c r="CZ348">
        <v>75.004999999999995</v>
      </c>
      <c r="DA348">
        <v>3.0053000000000001</v>
      </c>
      <c r="DB348">
        <v>121.4521</v>
      </c>
      <c r="DC348">
        <v>-15.3467</v>
      </c>
      <c r="DD348">
        <v>106.10550000000001</v>
      </c>
      <c r="DE348">
        <v>421376.3</v>
      </c>
      <c r="DF348">
        <v>30192.799999999999</v>
      </c>
      <c r="DG348">
        <v>40431.699999999997</v>
      </c>
      <c r="DH348">
        <v>344909</v>
      </c>
      <c r="DI348">
        <v>5842.8</v>
      </c>
    </row>
    <row r="349" spans="4:113" x14ac:dyDescent="0.3">
      <c r="E349" t="s">
        <v>78</v>
      </c>
      <c r="F349" t="s">
        <v>135</v>
      </c>
      <c r="G349" t="s">
        <v>135</v>
      </c>
      <c r="H349" t="s">
        <v>135</v>
      </c>
      <c r="I349" t="s">
        <v>135</v>
      </c>
      <c r="J349">
        <v>8.4878999999999998</v>
      </c>
      <c r="K349">
        <v>0.75270000000000004</v>
      </c>
      <c r="L349">
        <v>-61.989899999999999</v>
      </c>
      <c r="M349">
        <v>6.3887</v>
      </c>
      <c r="N349">
        <v>5.4706000000000001</v>
      </c>
      <c r="O349">
        <v>5.4404000000000003</v>
      </c>
      <c r="P349">
        <v>5.4404000000000003</v>
      </c>
      <c r="Q349">
        <v>32.310499999999998</v>
      </c>
      <c r="R349" t="s">
        <v>135</v>
      </c>
      <c r="S349" t="s">
        <v>135</v>
      </c>
      <c r="T349">
        <v>-10.0168</v>
      </c>
      <c r="U349">
        <v>-45.003100000000003</v>
      </c>
      <c r="V349">
        <v>-90.165199999999999</v>
      </c>
      <c r="W349">
        <v>42.295099999999998</v>
      </c>
      <c r="X349">
        <v>42.313499999999998</v>
      </c>
      <c r="Y349" t="s">
        <v>135</v>
      </c>
      <c r="Z349" t="s">
        <v>135</v>
      </c>
      <c r="AA349" t="s">
        <v>135</v>
      </c>
      <c r="AB349" t="s">
        <v>135</v>
      </c>
      <c r="AC349" t="s">
        <v>135</v>
      </c>
      <c r="AD349" t="s">
        <v>135</v>
      </c>
      <c r="AE349" t="s">
        <v>135</v>
      </c>
      <c r="AF349" t="s">
        <v>135</v>
      </c>
      <c r="AG349" t="s">
        <v>135</v>
      </c>
      <c r="AH349" t="s">
        <v>135</v>
      </c>
      <c r="AI349" t="s">
        <v>135</v>
      </c>
      <c r="AJ349" t="s">
        <v>135</v>
      </c>
      <c r="AK349" t="s">
        <v>135</v>
      </c>
      <c r="AL349" t="s">
        <v>135</v>
      </c>
      <c r="AM349">
        <v>6.2630999999999997</v>
      </c>
      <c r="AN349">
        <v>-2.9102000000000001</v>
      </c>
      <c r="AO349">
        <v>-36.273299999999999</v>
      </c>
      <c r="AP349">
        <v>7.2278000000000002</v>
      </c>
      <c r="AQ349">
        <v>6.0655999999999999</v>
      </c>
      <c r="AR349" t="s">
        <v>135</v>
      </c>
      <c r="AS349" t="s">
        <v>135</v>
      </c>
      <c r="AT349" t="s">
        <v>135</v>
      </c>
      <c r="AU349" t="s">
        <v>135</v>
      </c>
      <c r="AV349" t="s">
        <v>135</v>
      </c>
      <c r="AW349" t="s">
        <v>135</v>
      </c>
      <c r="AX349" t="s">
        <v>135</v>
      </c>
      <c r="AY349" t="s">
        <v>135</v>
      </c>
      <c r="AZ349" t="s">
        <v>135</v>
      </c>
      <c r="BA349" t="s">
        <v>135</v>
      </c>
      <c r="BB349" t="s">
        <v>135</v>
      </c>
      <c r="BC349" t="s">
        <v>135</v>
      </c>
      <c r="BD349" t="s">
        <v>135</v>
      </c>
      <c r="BE349" t="s">
        <v>135</v>
      </c>
      <c r="BF349">
        <v>-24.2483</v>
      </c>
      <c r="BG349">
        <v>-54.034300000000002</v>
      </c>
      <c r="BH349">
        <v>-92.818899999999999</v>
      </c>
      <c r="BI349">
        <v>-25.922499999999999</v>
      </c>
      <c r="BJ349">
        <v>-25.969899999999999</v>
      </c>
      <c r="BK349" t="s">
        <v>135</v>
      </c>
      <c r="BL349" t="s">
        <v>135</v>
      </c>
      <c r="BM349" t="s">
        <v>135</v>
      </c>
      <c r="BN349" t="s">
        <v>135</v>
      </c>
      <c r="BO349" t="s">
        <v>135</v>
      </c>
      <c r="BP349" t="s">
        <v>135</v>
      </c>
      <c r="BQ349" t="s">
        <v>135</v>
      </c>
      <c r="BR349" t="s">
        <v>135</v>
      </c>
      <c r="BS349" t="s">
        <v>135</v>
      </c>
      <c r="BT349" t="s">
        <v>135</v>
      </c>
      <c r="BU349" t="s">
        <v>135</v>
      </c>
      <c r="BV349" t="s">
        <v>135</v>
      </c>
      <c r="BW349" t="s">
        <v>135</v>
      </c>
      <c r="BX349" t="s">
        <v>135</v>
      </c>
      <c r="BY349" t="s">
        <v>135</v>
      </c>
      <c r="BZ349" t="s">
        <v>135</v>
      </c>
      <c r="CA349" t="s">
        <v>135</v>
      </c>
      <c r="CB349" t="s">
        <v>135</v>
      </c>
      <c r="CC349" t="s">
        <v>135</v>
      </c>
      <c r="CD349" t="s">
        <v>135</v>
      </c>
      <c r="CE349" t="s">
        <v>135</v>
      </c>
      <c r="CF349">
        <v>4.4775</v>
      </c>
      <c r="CG349" t="s">
        <v>135</v>
      </c>
      <c r="CH349" t="s">
        <v>135</v>
      </c>
      <c r="CI349" t="s">
        <v>135</v>
      </c>
      <c r="CJ349" t="s">
        <v>135</v>
      </c>
      <c r="CK349" t="s">
        <v>135</v>
      </c>
      <c r="CL349" t="s">
        <v>135</v>
      </c>
      <c r="CM349" t="s">
        <v>135</v>
      </c>
      <c r="CN349" t="s">
        <v>135</v>
      </c>
      <c r="CO349" t="s">
        <v>135</v>
      </c>
      <c r="CP349">
        <v>49648.3</v>
      </c>
      <c r="CQ349" t="s">
        <v>135</v>
      </c>
      <c r="CR349">
        <v>4402.7</v>
      </c>
      <c r="CS349" t="s">
        <v>135</v>
      </c>
      <c r="CT349" t="s">
        <v>135</v>
      </c>
      <c r="CU349" t="s">
        <v>135</v>
      </c>
      <c r="CV349" t="s">
        <v>135</v>
      </c>
      <c r="CW349" t="s">
        <v>135</v>
      </c>
      <c r="CX349" t="s">
        <v>135</v>
      </c>
      <c r="CY349" t="s">
        <v>135</v>
      </c>
      <c r="CZ349" t="s">
        <v>135</v>
      </c>
      <c r="DA349" t="s">
        <v>135</v>
      </c>
      <c r="DB349" t="s">
        <v>135</v>
      </c>
      <c r="DC349" t="s">
        <v>135</v>
      </c>
      <c r="DD349" t="s">
        <v>135</v>
      </c>
      <c r="DE349" t="s">
        <v>135</v>
      </c>
      <c r="DF349" t="s">
        <v>135</v>
      </c>
      <c r="DG349" t="s">
        <v>135</v>
      </c>
      <c r="DH349" t="s">
        <v>135</v>
      </c>
      <c r="DI349" t="s">
        <v>135</v>
      </c>
    </row>
    <row r="350" spans="4:113" x14ac:dyDescent="0.3">
      <c r="E350" t="s">
        <v>79</v>
      </c>
      <c r="F350">
        <v>14.9564</v>
      </c>
      <c r="G350">
        <v>3.6280999999999999</v>
      </c>
      <c r="H350">
        <v>9.2118000000000002</v>
      </c>
      <c r="I350">
        <v>6.2244000000000002</v>
      </c>
      <c r="J350">
        <v>12.740600000000001</v>
      </c>
      <c r="K350">
        <v>5.6566000000000001</v>
      </c>
      <c r="L350">
        <v>42.667200000000001</v>
      </c>
      <c r="M350">
        <v>4.3921999999999999</v>
      </c>
      <c r="N350">
        <v>3.5659000000000001</v>
      </c>
      <c r="O350">
        <v>3.5388999999999999</v>
      </c>
      <c r="P350">
        <v>3.5388999999999999</v>
      </c>
      <c r="Q350">
        <v>35.366700000000002</v>
      </c>
      <c r="R350" t="s">
        <v>135</v>
      </c>
      <c r="S350" t="s">
        <v>135</v>
      </c>
      <c r="T350">
        <v>7.6989999999999998</v>
      </c>
      <c r="U350">
        <v>42.271700000000003</v>
      </c>
      <c r="V350">
        <v>117.0219</v>
      </c>
      <c r="W350">
        <v>199.72229999999999</v>
      </c>
      <c r="X350">
        <v>201.2397</v>
      </c>
      <c r="Y350" t="s">
        <v>135</v>
      </c>
      <c r="Z350">
        <v>10.1305</v>
      </c>
      <c r="AA350">
        <v>9.3117999999999999</v>
      </c>
      <c r="AB350">
        <v>17.6145</v>
      </c>
      <c r="AC350">
        <v>10.8276</v>
      </c>
      <c r="AD350">
        <v>29.744900000000001</v>
      </c>
      <c r="AE350">
        <v>-20.805599999999998</v>
      </c>
      <c r="AF350">
        <v>5.4821999999999997</v>
      </c>
      <c r="AG350">
        <v>-8.3848000000000003</v>
      </c>
      <c r="AH350">
        <v>10.6998</v>
      </c>
      <c r="AI350">
        <v>45.711799999999997</v>
      </c>
      <c r="AJ350">
        <v>26.2439</v>
      </c>
      <c r="AK350">
        <v>45.797199999999997</v>
      </c>
      <c r="AL350" t="s">
        <v>135</v>
      </c>
      <c r="AM350">
        <v>10.3788</v>
      </c>
      <c r="AN350">
        <v>10.878399999999999</v>
      </c>
      <c r="AO350">
        <v>1.1970000000000001</v>
      </c>
      <c r="AP350">
        <v>3.6562000000000001</v>
      </c>
      <c r="AQ350">
        <v>2.6657999999999999</v>
      </c>
      <c r="AR350" t="s">
        <v>135</v>
      </c>
      <c r="AS350">
        <v>12.732099999999999</v>
      </c>
      <c r="AT350">
        <v>13.2286</v>
      </c>
      <c r="AU350">
        <v>4.0926999999999998</v>
      </c>
      <c r="AV350">
        <v>13.049200000000001</v>
      </c>
      <c r="AW350" t="s">
        <v>135</v>
      </c>
      <c r="AX350" t="s">
        <v>135</v>
      </c>
      <c r="AY350">
        <v>8.9558</v>
      </c>
      <c r="AZ350">
        <v>0.74729999999999996</v>
      </c>
      <c r="BA350">
        <v>12.868</v>
      </c>
      <c r="BB350">
        <v>14.562799999999999</v>
      </c>
      <c r="BC350">
        <v>13.717499999999999</v>
      </c>
      <c r="BD350">
        <v>13.4125</v>
      </c>
      <c r="BE350" t="s">
        <v>135</v>
      </c>
      <c r="BF350">
        <v>19.938300000000002</v>
      </c>
      <c r="BG350">
        <v>80.032799999999995</v>
      </c>
      <c r="BH350">
        <v>801.36509999999998</v>
      </c>
      <c r="BI350">
        <v>-21.980599999999999</v>
      </c>
      <c r="BJ350">
        <v>-22.0321</v>
      </c>
      <c r="BK350" t="s">
        <v>135</v>
      </c>
      <c r="BL350" t="s">
        <v>135</v>
      </c>
      <c r="BM350" t="s">
        <v>135</v>
      </c>
      <c r="BN350" t="s">
        <v>135</v>
      </c>
      <c r="BO350" t="s">
        <v>135</v>
      </c>
      <c r="BP350" t="s">
        <v>135</v>
      </c>
      <c r="BQ350" t="s">
        <v>135</v>
      </c>
      <c r="BR350" t="s">
        <v>135</v>
      </c>
      <c r="BS350" t="s">
        <v>135</v>
      </c>
      <c r="BT350" t="s">
        <v>135</v>
      </c>
      <c r="BU350" t="s">
        <v>135</v>
      </c>
      <c r="BV350" t="s">
        <v>135</v>
      </c>
      <c r="BW350" t="s">
        <v>135</v>
      </c>
      <c r="BX350" t="s">
        <v>135</v>
      </c>
      <c r="BY350">
        <v>764268</v>
      </c>
      <c r="BZ350">
        <v>137246.1</v>
      </c>
      <c r="CA350">
        <v>627021.9</v>
      </c>
      <c r="CB350">
        <v>2.4698000000000002</v>
      </c>
      <c r="CC350">
        <v>1.1713</v>
      </c>
      <c r="CD350">
        <v>6.0898000000000003</v>
      </c>
      <c r="CE350">
        <v>2.8879999999999999</v>
      </c>
      <c r="CF350">
        <v>7.7904999999999998</v>
      </c>
      <c r="CG350">
        <v>27.372199999999999</v>
      </c>
      <c r="CH350">
        <v>78.062100000000001</v>
      </c>
      <c r="CI350">
        <v>40.001300000000001</v>
      </c>
      <c r="CJ350">
        <v>21.5199</v>
      </c>
      <c r="CK350">
        <v>95.148799999999994</v>
      </c>
      <c r="CL350">
        <v>48.756999999999998</v>
      </c>
      <c r="CM350">
        <v>26.2303</v>
      </c>
      <c r="CN350">
        <v>45.123100000000001</v>
      </c>
      <c r="CO350">
        <v>31.093</v>
      </c>
      <c r="CP350">
        <v>89383.2</v>
      </c>
      <c r="CQ350" t="s">
        <v>135</v>
      </c>
      <c r="CR350">
        <v>39684.400000000001</v>
      </c>
      <c r="CS350">
        <v>0.3468</v>
      </c>
      <c r="CT350">
        <v>0.98209999999999997</v>
      </c>
      <c r="CU350">
        <v>0.46489999999999998</v>
      </c>
      <c r="CV350">
        <v>2.2149999999999999</v>
      </c>
      <c r="CW350">
        <v>20.658899999999999</v>
      </c>
      <c r="CX350">
        <v>17.667899999999999</v>
      </c>
      <c r="CY350">
        <v>4.4023000000000003</v>
      </c>
      <c r="CZ350">
        <v>82.911000000000001</v>
      </c>
      <c r="DA350">
        <v>3.0752000000000002</v>
      </c>
      <c r="DB350">
        <v>118.6905</v>
      </c>
      <c r="DC350">
        <v>-18.111599999999999</v>
      </c>
      <c r="DD350">
        <v>100.5789</v>
      </c>
      <c r="DE350">
        <v>405837.5</v>
      </c>
      <c r="DF350" t="s">
        <v>135</v>
      </c>
      <c r="DG350" t="s">
        <v>135</v>
      </c>
      <c r="DH350" t="s">
        <v>135</v>
      </c>
      <c r="DI350" t="s">
        <v>135</v>
      </c>
    </row>
    <row r="351" spans="4:113" x14ac:dyDescent="0.3">
      <c r="E351" t="s">
        <v>80</v>
      </c>
      <c r="F351" t="s">
        <v>135</v>
      </c>
      <c r="G351" t="s">
        <v>135</v>
      </c>
      <c r="H351" t="s">
        <v>135</v>
      </c>
      <c r="I351" t="s">
        <v>135</v>
      </c>
      <c r="J351">
        <v>11.521000000000001</v>
      </c>
      <c r="K351">
        <v>4.0087000000000002</v>
      </c>
      <c r="L351">
        <v>9.4134999999999991</v>
      </c>
      <c r="M351">
        <v>2.7361</v>
      </c>
      <c r="N351">
        <v>1.6379000000000001</v>
      </c>
      <c r="O351">
        <v>1.6164000000000001</v>
      </c>
      <c r="P351">
        <v>1.6164000000000001</v>
      </c>
      <c r="Q351">
        <v>52.616500000000002</v>
      </c>
      <c r="R351" t="s">
        <v>135</v>
      </c>
      <c r="S351" t="s">
        <v>135</v>
      </c>
      <c r="T351">
        <v>15.9903</v>
      </c>
      <c r="U351">
        <v>36.908099999999997</v>
      </c>
      <c r="V351">
        <v>47.869100000000003</v>
      </c>
      <c r="W351">
        <v>1178.2660000000001</v>
      </c>
      <c r="X351">
        <v>1250</v>
      </c>
      <c r="Y351" t="s">
        <v>135</v>
      </c>
      <c r="Z351" t="s">
        <v>135</v>
      </c>
      <c r="AA351" t="s">
        <v>135</v>
      </c>
      <c r="AB351" t="s">
        <v>135</v>
      </c>
      <c r="AC351" t="s">
        <v>135</v>
      </c>
      <c r="AD351" t="s">
        <v>135</v>
      </c>
      <c r="AE351" t="s">
        <v>135</v>
      </c>
      <c r="AF351" t="s">
        <v>135</v>
      </c>
      <c r="AG351" t="s">
        <v>135</v>
      </c>
      <c r="AH351" t="s">
        <v>135</v>
      </c>
      <c r="AI351" t="s">
        <v>135</v>
      </c>
      <c r="AJ351" t="s">
        <v>135</v>
      </c>
      <c r="AK351" t="s">
        <v>135</v>
      </c>
      <c r="AL351" t="s">
        <v>135</v>
      </c>
      <c r="AM351">
        <v>10.107200000000001</v>
      </c>
      <c r="AN351">
        <v>8.5939999999999994</v>
      </c>
      <c r="AO351">
        <v>-3.6886999999999999</v>
      </c>
      <c r="AP351">
        <v>-5.9340000000000002</v>
      </c>
      <c r="AQ351">
        <v>-6.8921000000000001</v>
      </c>
      <c r="AR351" t="s">
        <v>135</v>
      </c>
      <c r="AS351" t="s">
        <v>135</v>
      </c>
      <c r="AT351" t="s">
        <v>135</v>
      </c>
      <c r="AU351" t="s">
        <v>135</v>
      </c>
      <c r="AV351" t="s">
        <v>135</v>
      </c>
      <c r="AW351" t="s">
        <v>135</v>
      </c>
      <c r="AX351" t="s">
        <v>135</v>
      </c>
      <c r="AY351" t="s">
        <v>135</v>
      </c>
      <c r="AZ351" t="s">
        <v>135</v>
      </c>
      <c r="BA351" t="s">
        <v>135</v>
      </c>
      <c r="BB351" t="s">
        <v>135</v>
      </c>
      <c r="BC351" t="s">
        <v>135</v>
      </c>
      <c r="BD351" t="s">
        <v>135</v>
      </c>
      <c r="BE351" t="s">
        <v>135</v>
      </c>
      <c r="BF351">
        <v>5.7790999999999997</v>
      </c>
      <c r="BG351">
        <v>-0.8992</v>
      </c>
      <c r="BH351">
        <v>-18.581199999999999</v>
      </c>
      <c r="BI351">
        <v>-51.722299999999997</v>
      </c>
      <c r="BJ351">
        <v>-51.851900000000001</v>
      </c>
      <c r="BK351" t="s">
        <v>135</v>
      </c>
      <c r="BL351" t="s">
        <v>135</v>
      </c>
      <c r="BM351" t="s">
        <v>135</v>
      </c>
      <c r="BN351" t="s">
        <v>135</v>
      </c>
      <c r="BO351" t="s">
        <v>135</v>
      </c>
      <c r="BP351" t="s">
        <v>135</v>
      </c>
      <c r="BQ351" t="s">
        <v>135</v>
      </c>
      <c r="BR351" t="s">
        <v>135</v>
      </c>
      <c r="BS351" t="s">
        <v>135</v>
      </c>
      <c r="BT351" t="s">
        <v>135</v>
      </c>
      <c r="BU351" t="s">
        <v>135</v>
      </c>
      <c r="BV351" t="s">
        <v>135</v>
      </c>
      <c r="BW351" t="s">
        <v>135</v>
      </c>
      <c r="BX351" t="s">
        <v>135</v>
      </c>
      <c r="BY351" t="s">
        <v>135</v>
      </c>
      <c r="BZ351" t="s">
        <v>135</v>
      </c>
      <c r="CA351" t="s">
        <v>135</v>
      </c>
      <c r="CB351" t="s">
        <v>135</v>
      </c>
      <c r="CC351" t="s">
        <v>135</v>
      </c>
      <c r="CD351" t="s">
        <v>135</v>
      </c>
      <c r="CE351" t="s">
        <v>135</v>
      </c>
      <c r="CF351">
        <v>6.8493000000000004</v>
      </c>
      <c r="CG351" t="s">
        <v>135</v>
      </c>
      <c r="CH351" t="s">
        <v>135</v>
      </c>
      <c r="CI351" t="s">
        <v>135</v>
      </c>
      <c r="CJ351" t="s">
        <v>135</v>
      </c>
      <c r="CK351" t="s">
        <v>135</v>
      </c>
      <c r="CL351" t="s">
        <v>135</v>
      </c>
      <c r="CM351" t="s">
        <v>135</v>
      </c>
      <c r="CN351" t="s">
        <v>135</v>
      </c>
      <c r="CO351" t="s">
        <v>135</v>
      </c>
      <c r="CP351">
        <v>85435.199999999997</v>
      </c>
      <c r="CQ351" t="s">
        <v>135</v>
      </c>
      <c r="CR351">
        <v>29727.3</v>
      </c>
      <c r="CS351" t="s">
        <v>135</v>
      </c>
      <c r="CT351" t="s">
        <v>135</v>
      </c>
      <c r="CU351" t="s">
        <v>135</v>
      </c>
      <c r="CV351" t="s">
        <v>135</v>
      </c>
      <c r="CW351" t="s">
        <v>135</v>
      </c>
      <c r="CX351" t="s">
        <v>135</v>
      </c>
      <c r="CY351" t="s">
        <v>135</v>
      </c>
      <c r="CZ351" t="s">
        <v>135</v>
      </c>
      <c r="DA351" t="s">
        <v>135</v>
      </c>
      <c r="DB351" t="s">
        <v>135</v>
      </c>
      <c r="DC351" t="s">
        <v>135</v>
      </c>
      <c r="DD351" t="s">
        <v>135</v>
      </c>
      <c r="DE351" t="s">
        <v>135</v>
      </c>
      <c r="DF351" t="s">
        <v>135</v>
      </c>
      <c r="DG351" t="s">
        <v>135</v>
      </c>
      <c r="DH351" t="s">
        <v>135</v>
      </c>
      <c r="DI351" t="s">
        <v>135</v>
      </c>
    </row>
    <row r="352" spans="4:113" x14ac:dyDescent="0.3">
      <c r="E352" t="s">
        <v>81</v>
      </c>
      <c r="F352">
        <v>11.7127</v>
      </c>
      <c r="G352">
        <v>2.9710000000000001</v>
      </c>
      <c r="H352">
        <v>7.4213000000000005</v>
      </c>
      <c r="I352">
        <v>5.4417999999999997</v>
      </c>
      <c r="J352">
        <v>11.924300000000001</v>
      </c>
      <c r="K352">
        <v>4.8161000000000005</v>
      </c>
      <c r="L352" t="s">
        <v>135</v>
      </c>
      <c r="M352">
        <v>2.5281000000000002</v>
      </c>
      <c r="N352">
        <v>2.383</v>
      </c>
      <c r="O352">
        <v>2.3283</v>
      </c>
      <c r="P352">
        <v>2.3283</v>
      </c>
      <c r="Q352">
        <v>42.342199999999998</v>
      </c>
      <c r="R352" t="s">
        <v>135</v>
      </c>
      <c r="S352" t="s">
        <v>135</v>
      </c>
      <c r="T352">
        <v>18.210799999999999</v>
      </c>
      <c r="U352">
        <v>0.77080000000000004</v>
      </c>
      <c r="V352">
        <v>-28.296800000000001</v>
      </c>
      <c r="W352">
        <v>-50.528100000000002</v>
      </c>
      <c r="X352">
        <v>-50.593800000000002</v>
      </c>
      <c r="Y352" t="s">
        <v>135</v>
      </c>
      <c r="Z352">
        <v>35.4754</v>
      </c>
      <c r="AA352">
        <v>20.1005</v>
      </c>
      <c r="AB352">
        <v>28.989699999999999</v>
      </c>
      <c r="AC352">
        <v>21.039400000000001</v>
      </c>
      <c r="AD352">
        <v>7.0350999999999999</v>
      </c>
      <c r="AE352" t="s">
        <v>135</v>
      </c>
      <c r="AF352">
        <v>24.8535</v>
      </c>
      <c r="AG352">
        <v>54.322000000000003</v>
      </c>
      <c r="AH352">
        <v>13.1592</v>
      </c>
      <c r="AI352">
        <v>63.98</v>
      </c>
      <c r="AJ352">
        <v>34.843299999999999</v>
      </c>
      <c r="AK352">
        <v>64.355500000000006</v>
      </c>
      <c r="AL352" t="s">
        <v>135</v>
      </c>
      <c r="AM352">
        <v>10.327199999999999</v>
      </c>
      <c r="AN352">
        <v>6.8544</v>
      </c>
      <c r="AO352">
        <v>-4.2671999999999999</v>
      </c>
      <c r="AP352">
        <v>-11.6388</v>
      </c>
      <c r="AQ352">
        <v>-12.462400000000001</v>
      </c>
      <c r="AR352" t="s">
        <v>135</v>
      </c>
      <c r="AS352">
        <v>20.887899999999998</v>
      </c>
      <c r="AT352">
        <v>14.9048</v>
      </c>
      <c r="AU352">
        <v>19.411100000000001</v>
      </c>
      <c r="AV352">
        <v>14.2286</v>
      </c>
      <c r="AW352" t="s">
        <v>135</v>
      </c>
      <c r="AX352" t="s">
        <v>135</v>
      </c>
      <c r="AY352">
        <v>12.1968</v>
      </c>
      <c r="AZ352">
        <v>1.3645</v>
      </c>
      <c r="BA352">
        <v>8.8937000000000008</v>
      </c>
      <c r="BB352">
        <v>20.3475</v>
      </c>
      <c r="BC352">
        <v>13.982900000000001</v>
      </c>
      <c r="BD352">
        <v>19.204000000000001</v>
      </c>
      <c r="BE352" t="s">
        <v>135</v>
      </c>
      <c r="BF352">
        <v>23.090499999999999</v>
      </c>
      <c r="BG352">
        <v>27.399799999999999</v>
      </c>
      <c r="BH352">
        <v>47.879899999999999</v>
      </c>
      <c r="BI352">
        <v>77.305800000000005</v>
      </c>
      <c r="BJ352">
        <v>77.777799999999999</v>
      </c>
      <c r="BK352" t="s">
        <v>135</v>
      </c>
      <c r="BL352" t="s">
        <v>135</v>
      </c>
      <c r="BM352" t="s">
        <v>135</v>
      </c>
      <c r="BN352" t="s">
        <v>135</v>
      </c>
      <c r="BO352" t="s">
        <v>135</v>
      </c>
      <c r="BP352" t="s">
        <v>135</v>
      </c>
      <c r="BQ352" t="s">
        <v>135</v>
      </c>
      <c r="BR352" t="s">
        <v>135</v>
      </c>
      <c r="BS352" t="s">
        <v>135</v>
      </c>
      <c r="BT352" t="s">
        <v>135</v>
      </c>
      <c r="BU352" t="s">
        <v>135</v>
      </c>
      <c r="BV352" t="s">
        <v>135</v>
      </c>
      <c r="BW352" t="s">
        <v>135</v>
      </c>
      <c r="BX352" t="s">
        <v>135</v>
      </c>
      <c r="BY352">
        <v>889727</v>
      </c>
      <c r="BZ352">
        <v>277732</v>
      </c>
      <c r="CA352">
        <v>611995</v>
      </c>
      <c r="CB352">
        <v>2.6949999999999998</v>
      </c>
      <c r="CC352">
        <v>1.1873</v>
      </c>
      <c r="CD352">
        <v>7.7636000000000003</v>
      </c>
      <c r="CE352">
        <v>3.4203000000000001</v>
      </c>
      <c r="CF352">
        <v>9.2378</v>
      </c>
      <c r="CG352">
        <v>28.799700000000001</v>
      </c>
      <c r="CH352">
        <v>63.780700000000003</v>
      </c>
      <c r="CI352">
        <v>33.094099999999997</v>
      </c>
      <c r="CJ352">
        <v>18.4697</v>
      </c>
      <c r="CK352">
        <v>92.725300000000004</v>
      </c>
      <c r="CL352">
        <v>48.112699999999997</v>
      </c>
      <c r="CM352">
        <v>26.851500000000001</v>
      </c>
      <c r="CN352">
        <v>40.850900000000003</v>
      </c>
      <c r="CO352">
        <v>29.003</v>
      </c>
      <c r="CP352">
        <v>108844.3</v>
      </c>
      <c r="CQ352" t="s">
        <v>135</v>
      </c>
      <c r="CR352">
        <v>43960.7</v>
      </c>
      <c r="CS352">
        <v>0.34749999999999998</v>
      </c>
      <c r="CT352">
        <v>0.94940000000000002</v>
      </c>
      <c r="CU352">
        <v>0.54510000000000003</v>
      </c>
      <c r="CV352">
        <v>1.8776999999999999</v>
      </c>
      <c r="CW352">
        <v>11.9573</v>
      </c>
      <c r="CX352">
        <v>30.525300000000001</v>
      </c>
      <c r="CY352">
        <v>4.8662999999999998</v>
      </c>
      <c r="CZ352">
        <v>75.004999999999995</v>
      </c>
      <c r="DA352">
        <v>3.0053000000000001</v>
      </c>
      <c r="DB352">
        <v>121.4521</v>
      </c>
      <c r="DC352">
        <v>-15.9217</v>
      </c>
      <c r="DD352">
        <v>105.5304</v>
      </c>
      <c r="DE352">
        <v>421376.3</v>
      </c>
      <c r="DF352">
        <v>30192.799999999999</v>
      </c>
      <c r="DG352">
        <v>40431.699999999997</v>
      </c>
      <c r="DH352">
        <v>344909</v>
      </c>
      <c r="DI352">
        <v>5842.8</v>
      </c>
    </row>
    <row r="353" spans="1:113" x14ac:dyDescent="0.3">
      <c r="A353">
        <v>90</v>
      </c>
      <c r="B353" t="s">
        <v>111</v>
      </c>
      <c r="C353" t="s">
        <v>112</v>
      </c>
      <c r="D353" t="s">
        <v>76</v>
      </c>
      <c r="E353" t="s">
        <v>77</v>
      </c>
      <c r="F353">
        <v>9.6242999999999999</v>
      </c>
      <c r="G353">
        <v>2.2570000000000001</v>
      </c>
      <c r="H353">
        <v>5.0414000000000003</v>
      </c>
      <c r="I353">
        <v>3.4167000000000001</v>
      </c>
      <c r="J353">
        <v>11.137600000000001</v>
      </c>
      <c r="K353">
        <v>7.1734</v>
      </c>
      <c r="L353">
        <v>27.4495</v>
      </c>
      <c r="M353">
        <v>4.5621</v>
      </c>
      <c r="N353">
        <v>2.4872000000000001</v>
      </c>
      <c r="O353">
        <v>2.4397000000000002</v>
      </c>
      <c r="P353">
        <v>2.4397000000000002</v>
      </c>
      <c r="Q353">
        <v>45.493899999999996</v>
      </c>
      <c r="R353">
        <v>27.016400000000001</v>
      </c>
      <c r="S353">
        <v>7.0242000000000004</v>
      </c>
      <c r="T353">
        <v>10.4415</v>
      </c>
      <c r="U353">
        <v>33.193199999999997</v>
      </c>
      <c r="V353">
        <v>56.684899999999999</v>
      </c>
      <c r="W353" t="s">
        <v>135</v>
      </c>
      <c r="X353" t="s">
        <v>135</v>
      </c>
      <c r="Y353">
        <v>25</v>
      </c>
      <c r="Z353">
        <v>14.376300000000001</v>
      </c>
      <c r="AA353">
        <v>11.5761</v>
      </c>
      <c r="AB353">
        <v>23.481100000000001</v>
      </c>
      <c r="AC353">
        <v>16.834199999999999</v>
      </c>
      <c r="AD353">
        <v>6.5926999999999998</v>
      </c>
      <c r="AE353" t="s">
        <v>135</v>
      </c>
      <c r="AF353">
        <v>18.432600000000001</v>
      </c>
      <c r="AG353">
        <v>35.07</v>
      </c>
      <c r="AH353">
        <v>19.123999999999999</v>
      </c>
      <c r="AI353">
        <v>17.9207</v>
      </c>
      <c r="AJ353">
        <v>18.7105</v>
      </c>
      <c r="AK353">
        <v>18.610800000000001</v>
      </c>
      <c r="AL353">
        <v>-12.2529</v>
      </c>
      <c r="AM353">
        <v>0.22700000000000001</v>
      </c>
      <c r="AN353">
        <v>-1.9701</v>
      </c>
      <c r="AO353">
        <v>-5.2789999999999999</v>
      </c>
      <c r="AP353" t="s">
        <v>135</v>
      </c>
      <c r="AQ353" t="s">
        <v>135</v>
      </c>
      <c r="AR353">
        <v>-11.090999999999999</v>
      </c>
      <c r="AS353">
        <v>4.1970999999999998</v>
      </c>
      <c r="AT353">
        <v>4.4044999999999996</v>
      </c>
      <c r="AU353">
        <v>12.872400000000001</v>
      </c>
      <c r="AV353">
        <v>7.1359000000000004</v>
      </c>
      <c r="AW353">
        <v>9.1705000000000005</v>
      </c>
      <c r="AX353" t="s">
        <v>135</v>
      </c>
      <c r="AY353">
        <v>0.97950000000000004</v>
      </c>
      <c r="AZ353">
        <v>187.70699999999999</v>
      </c>
      <c r="BA353">
        <v>6.3803000000000001</v>
      </c>
      <c r="BB353">
        <v>8.1166999999999998</v>
      </c>
      <c r="BC353">
        <v>6.9542000000000002</v>
      </c>
      <c r="BD353">
        <v>1.8957999999999999</v>
      </c>
      <c r="BE353">
        <v>-4.8963999999999999</v>
      </c>
      <c r="BF353">
        <v>10.4415</v>
      </c>
      <c r="BG353">
        <v>33.193199999999997</v>
      </c>
      <c r="BH353">
        <v>56.684899999999999</v>
      </c>
      <c r="BI353" t="s">
        <v>135</v>
      </c>
      <c r="BJ353" t="s">
        <v>135</v>
      </c>
      <c r="BK353">
        <v>25</v>
      </c>
      <c r="BL353">
        <v>14.376300000000001</v>
      </c>
      <c r="BM353">
        <v>11.5761</v>
      </c>
      <c r="BN353">
        <v>23.481100000000001</v>
      </c>
      <c r="BO353">
        <v>16.834199999999999</v>
      </c>
      <c r="BP353">
        <v>6.5926999999999998</v>
      </c>
      <c r="BQ353">
        <v>-416.27760000000001</v>
      </c>
      <c r="BR353">
        <v>18.432600000000001</v>
      </c>
      <c r="BS353">
        <v>35.07</v>
      </c>
      <c r="BT353">
        <v>19.123999999999999</v>
      </c>
      <c r="BU353">
        <v>17.9207</v>
      </c>
      <c r="BV353">
        <v>18.7105</v>
      </c>
      <c r="BW353">
        <v>18.610800000000001</v>
      </c>
      <c r="BX353">
        <v>-12.2529</v>
      </c>
      <c r="BY353">
        <v>816086.5</v>
      </c>
      <c r="BZ353">
        <v>292422.40000000002</v>
      </c>
      <c r="CA353">
        <v>523664.1</v>
      </c>
      <c r="CB353">
        <v>4.9728000000000003</v>
      </c>
      <c r="CC353">
        <v>4.2858999999999998</v>
      </c>
      <c r="CD353">
        <v>7.7209000000000003</v>
      </c>
      <c r="CE353">
        <v>6.6543999999999999</v>
      </c>
      <c r="CF353">
        <v>4.2816000000000001</v>
      </c>
      <c r="CG353">
        <v>23.613900000000001</v>
      </c>
      <c r="CH353">
        <v>123.8279</v>
      </c>
      <c r="CI353">
        <v>42.265599999999999</v>
      </c>
      <c r="CJ353">
        <v>30.508700000000001</v>
      </c>
      <c r="CK353">
        <v>192.9753</v>
      </c>
      <c r="CL353">
        <v>65.867400000000004</v>
      </c>
      <c r="CM353">
        <v>47.545200000000001</v>
      </c>
      <c r="CN353">
        <v>166.31890000000001</v>
      </c>
      <c r="CO353">
        <v>62.451000000000001</v>
      </c>
      <c r="CP353">
        <v>164110.1</v>
      </c>
      <c r="CQ353">
        <v>-90.8</v>
      </c>
      <c r="CR353">
        <v>105697.9</v>
      </c>
      <c r="CS353">
        <v>0.17580000000000001</v>
      </c>
      <c r="CT353">
        <v>0.90429999999999999</v>
      </c>
      <c r="CU353">
        <v>0.4254</v>
      </c>
      <c r="CV353">
        <v>1.4182999999999999</v>
      </c>
      <c r="CW353">
        <v>9.8231999999999999</v>
      </c>
      <c r="CX353">
        <v>37.156799999999997</v>
      </c>
      <c r="CY353">
        <v>2.4817999999999998</v>
      </c>
      <c r="CZ353">
        <v>147.06829999999999</v>
      </c>
      <c r="DA353">
        <v>3.1265999999999998</v>
      </c>
      <c r="DB353">
        <v>116.7402</v>
      </c>
      <c r="DC353">
        <v>67.484800000000007</v>
      </c>
      <c r="DD353">
        <v>184.22499999999999</v>
      </c>
      <c r="DE353">
        <v>268800</v>
      </c>
      <c r="DF353">
        <v>62132.4</v>
      </c>
      <c r="DG353">
        <v>57684</v>
      </c>
      <c r="DH353">
        <v>112512.7</v>
      </c>
      <c r="DI353">
        <v>36470.9</v>
      </c>
    </row>
    <row r="354" spans="1:113" x14ac:dyDescent="0.3">
      <c r="E354" t="s">
        <v>78</v>
      </c>
      <c r="F354" t="s">
        <v>135</v>
      </c>
      <c r="G354" t="s">
        <v>135</v>
      </c>
      <c r="H354" t="s">
        <v>135</v>
      </c>
      <c r="I354" t="s">
        <v>135</v>
      </c>
      <c r="J354">
        <v>11.330299999999999</v>
      </c>
      <c r="K354">
        <v>7.0191999999999997</v>
      </c>
      <c r="L354" t="s">
        <v>135</v>
      </c>
      <c r="M354">
        <v>4.5890000000000004</v>
      </c>
      <c r="N354">
        <v>3.4903</v>
      </c>
      <c r="O354">
        <v>3.4992000000000001</v>
      </c>
      <c r="P354">
        <v>3.4992000000000001</v>
      </c>
      <c r="Q354">
        <v>23.5245</v>
      </c>
      <c r="R354" t="s">
        <v>135</v>
      </c>
      <c r="S354" t="s">
        <v>135</v>
      </c>
      <c r="T354">
        <v>-2.9733999999999998</v>
      </c>
      <c r="U354">
        <v>8.3672000000000004</v>
      </c>
      <c r="V354">
        <v>9.0426000000000002</v>
      </c>
      <c r="W354">
        <v>90.508099999999999</v>
      </c>
      <c r="X354">
        <v>90.508099999999999</v>
      </c>
      <c r="Y354" t="s">
        <v>135</v>
      </c>
      <c r="Z354" t="s">
        <v>135</v>
      </c>
      <c r="AA354" t="s">
        <v>135</v>
      </c>
      <c r="AB354" t="s">
        <v>135</v>
      </c>
      <c r="AC354" t="s">
        <v>135</v>
      </c>
      <c r="AD354" t="s">
        <v>135</v>
      </c>
      <c r="AE354" t="s">
        <v>135</v>
      </c>
      <c r="AF354" t="s">
        <v>135</v>
      </c>
      <c r="AG354" t="s">
        <v>135</v>
      </c>
      <c r="AH354" t="s">
        <v>135</v>
      </c>
      <c r="AI354" t="s">
        <v>135</v>
      </c>
      <c r="AJ354" t="s">
        <v>135</v>
      </c>
      <c r="AK354" t="s">
        <v>135</v>
      </c>
      <c r="AL354" t="s">
        <v>135</v>
      </c>
      <c r="AM354">
        <v>-5.58</v>
      </c>
      <c r="AN354">
        <v>-12.849</v>
      </c>
      <c r="AO354">
        <v>-18.179400000000001</v>
      </c>
      <c r="AP354">
        <v>-21.824200000000001</v>
      </c>
      <c r="AQ354">
        <v>-24.2911</v>
      </c>
      <c r="AR354" t="s">
        <v>135</v>
      </c>
      <c r="AS354" t="s">
        <v>135</v>
      </c>
      <c r="AT354" t="s">
        <v>135</v>
      </c>
      <c r="AU354" t="s">
        <v>135</v>
      </c>
      <c r="AV354" t="s">
        <v>135</v>
      </c>
      <c r="AW354" t="s">
        <v>135</v>
      </c>
      <c r="AX354" t="s">
        <v>135</v>
      </c>
      <c r="AY354" t="s">
        <v>135</v>
      </c>
      <c r="AZ354" t="s">
        <v>135</v>
      </c>
      <c r="BA354" t="s">
        <v>135</v>
      </c>
      <c r="BB354" t="s">
        <v>135</v>
      </c>
      <c r="BC354" t="s">
        <v>135</v>
      </c>
      <c r="BD354" t="s">
        <v>135</v>
      </c>
      <c r="BE354" t="s">
        <v>135</v>
      </c>
      <c r="BF354">
        <v>-4.7683999999999997</v>
      </c>
      <c r="BG354">
        <v>-15.585000000000001</v>
      </c>
      <c r="BH354">
        <v>-21.198</v>
      </c>
      <c r="BI354" t="s">
        <v>135</v>
      </c>
      <c r="BJ354" t="s">
        <v>135</v>
      </c>
      <c r="BK354" t="s">
        <v>135</v>
      </c>
      <c r="BL354" t="s">
        <v>135</v>
      </c>
      <c r="BM354" t="s">
        <v>135</v>
      </c>
      <c r="BN354" t="s">
        <v>135</v>
      </c>
      <c r="BO354" t="s">
        <v>135</v>
      </c>
      <c r="BP354" t="s">
        <v>135</v>
      </c>
      <c r="BQ354" t="s">
        <v>135</v>
      </c>
      <c r="BR354" t="s">
        <v>135</v>
      </c>
      <c r="BS354" t="s">
        <v>135</v>
      </c>
      <c r="BT354" t="s">
        <v>135</v>
      </c>
      <c r="BU354" t="s">
        <v>135</v>
      </c>
      <c r="BV354" t="s">
        <v>135</v>
      </c>
      <c r="BW354" t="s">
        <v>135</v>
      </c>
      <c r="BX354" t="s">
        <v>135</v>
      </c>
      <c r="BY354" t="s">
        <v>135</v>
      </c>
      <c r="BZ354" t="s">
        <v>135</v>
      </c>
      <c r="CA354" t="s">
        <v>135</v>
      </c>
      <c r="CB354" t="s">
        <v>135</v>
      </c>
      <c r="CC354" t="s">
        <v>135</v>
      </c>
      <c r="CD354" t="s">
        <v>135</v>
      </c>
      <c r="CE354" t="s">
        <v>135</v>
      </c>
      <c r="CF354" t="s">
        <v>135</v>
      </c>
      <c r="CG354" t="s">
        <v>135</v>
      </c>
      <c r="CH354" t="s">
        <v>135</v>
      </c>
      <c r="CI354" t="s">
        <v>135</v>
      </c>
      <c r="CJ354" t="s">
        <v>135</v>
      </c>
      <c r="CK354" t="s">
        <v>135</v>
      </c>
      <c r="CL354" t="s">
        <v>135</v>
      </c>
      <c r="CM354" t="s">
        <v>135</v>
      </c>
      <c r="CN354" t="s">
        <v>135</v>
      </c>
      <c r="CO354" t="s">
        <v>135</v>
      </c>
      <c r="CP354">
        <v>36880.400000000001</v>
      </c>
      <c r="CQ354" t="s">
        <v>135</v>
      </c>
      <c r="CR354">
        <v>22847.7</v>
      </c>
      <c r="CS354" t="s">
        <v>135</v>
      </c>
      <c r="CT354" t="s">
        <v>135</v>
      </c>
      <c r="CU354" t="s">
        <v>135</v>
      </c>
      <c r="CV354" t="s">
        <v>135</v>
      </c>
      <c r="CW354" t="s">
        <v>135</v>
      </c>
      <c r="CX354" t="s">
        <v>135</v>
      </c>
      <c r="CY354" t="s">
        <v>135</v>
      </c>
      <c r="CZ354" t="s">
        <v>135</v>
      </c>
      <c r="DA354" t="s">
        <v>135</v>
      </c>
      <c r="DB354" t="s">
        <v>135</v>
      </c>
      <c r="DC354" t="s">
        <v>135</v>
      </c>
      <c r="DD354" t="s">
        <v>135</v>
      </c>
      <c r="DE354" t="s">
        <v>135</v>
      </c>
      <c r="DF354" t="s">
        <v>135</v>
      </c>
      <c r="DG354" t="s">
        <v>135</v>
      </c>
      <c r="DH354" t="s">
        <v>135</v>
      </c>
      <c r="DI354" t="s">
        <v>135</v>
      </c>
    </row>
    <row r="355" spans="1:113" x14ac:dyDescent="0.3">
      <c r="E355" t="s">
        <v>79</v>
      </c>
      <c r="F355" t="s">
        <v>135</v>
      </c>
      <c r="G355">
        <v>-3.2568999999999999</v>
      </c>
      <c r="H355" t="s">
        <v>135</v>
      </c>
      <c r="I355">
        <v>1.1940999999999999</v>
      </c>
      <c r="J355">
        <v>10.188000000000001</v>
      </c>
      <c r="K355">
        <v>6.2176999999999998</v>
      </c>
      <c r="L355">
        <v>51.4011</v>
      </c>
      <c r="M355">
        <v>3.8441000000000001</v>
      </c>
      <c r="N355">
        <v>2.6238000000000001</v>
      </c>
      <c r="O355">
        <v>2.5207000000000002</v>
      </c>
      <c r="P355">
        <v>2.5207000000000002</v>
      </c>
      <c r="Q355">
        <v>31.982700000000001</v>
      </c>
      <c r="R355" t="s">
        <v>135</v>
      </c>
      <c r="S355" t="s">
        <v>135</v>
      </c>
      <c r="T355">
        <v>7.3886000000000003</v>
      </c>
      <c r="U355">
        <v>60.3992</v>
      </c>
      <c r="V355">
        <v>131.90110000000001</v>
      </c>
      <c r="W355" t="s">
        <v>135</v>
      </c>
      <c r="X355" t="s">
        <v>135</v>
      </c>
      <c r="Y355" t="s">
        <v>135</v>
      </c>
      <c r="Z355">
        <v>2.8105000000000002</v>
      </c>
      <c r="AA355">
        <v>7.4842000000000004</v>
      </c>
      <c r="AB355">
        <v>20.040500000000002</v>
      </c>
      <c r="AC355">
        <v>12.9642</v>
      </c>
      <c r="AD355">
        <v>-19.092500000000001</v>
      </c>
      <c r="AE355">
        <v>-93.090699999999998</v>
      </c>
      <c r="AF355">
        <v>33.618000000000002</v>
      </c>
      <c r="AG355">
        <v>32.827300000000001</v>
      </c>
      <c r="AH355">
        <v>21.977699999999999</v>
      </c>
      <c r="AI355">
        <v>-4.2213000000000003</v>
      </c>
      <c r="AJ355" t="s">
        <v>135</v>
      </c>
      <c r="AK355" t="s">
        <v>135</v>
      </c>
      <c r="AL355" t="s">
        <v>135</v>
      </c>
      <c r="AM355">
        <v>-3.7593999999999999</v>
      </c>
      <c r="AN355">
        <v>-14.744999999999999</v>
      </c>
      <c r="AO355">
        <v>-20.407900000000001</v>
      </c>
      <c r="AP355" t="s">
        <v>135</v>
      </c>
      <c r="AQ355" t="s">
        <v>135</v>
      </c>
      <c r="AR355" t="s">
        <v>135</v>
      </c>
      <c r="AS355" t="s">
        <v>135</v>
      </c>
      <c r="AT355" t="s">
        <v>135</v>
      </c>
      <c r="AU355" t="s">
        <v>135</v>
      </c>
      <c r="AV355" t="s">
        <v>135</v>
      </c>
      <c r="AW355" t="s">
        <v>135</v>
      </c>
      <c r="AX355" t="s">
        <v>135</v>
      </c>
      <c r="AY355" t="s">
        <v>135</v>
      </c>
      <c r="AZ355" t="s">
        <v>135</v>
      </c>
      <c r="BA355" t="s">
        <v>135</v>
      </c>
      <c r="BB355" t="s">
        <v>135</v>
      </c>
      <c r="BC355" t="s">
        <v>135</v>
      </c>
      <c r="BD355" t="s">
        <v>135</v>
      </c>
      <c r="BE355" t="s">
        <v>135</v>
      </c>
      <c r="BF355">
        <v>11.7051</v>
      </c>
      <c r="BG355">
        <v>0.46939999999999998</v>
      </c>
      <c r="BH355">
        <v>-1.0246</v>
      </c>
      <c r="BI355">
        <v>-19.511700000000001</v>
      </c>
      <c r="BJ355">
        <v>-19.511700000000001</v>
      </c>
      <c r="BK355" t="s">
        <v>135</v>
      </c>
      <c r="BL355" t="s">
        <v>135</v>
      </c>
      <c r="BM355" t="s">
        <v>135</v>
      </c>
      <c r="BN355" t="s">
        <v>135</v>
      </c>
      <c r="BO355" t="s">
        <v>135</v>
      </c>
      <c r="BP355" t="s">
        <v>135</v>
      </c>
      <c r="BQ355" t="s">
        <v>135</v>
      </c>
      <c r="BR355" t="s">
        <v>135</v>
      </c>
      <c r="BS355" t="s">
        <v>135</v>
      </c>
      <c r="BT355" t="s">
        <v>135</v>
      </c>
      <c r="BU355" t="s">
        <v>135</v>
      </c>
      <c r="BV355" t="s">
        <v>135</v>
      </c>
      <c r="BW355" t="s">
        <v>135</v>
      </c>
      <c r="BX355" t="s">
        <v>135</v>
      </c>
      <c r="BY355">
        <v>651741.4</v>
      </c>
      <c r="BZ355">
        <v>107210.5</v>
      </c>
      <c r="CA355">
        <v>544530.9</v>
      </c>
      <c r="CB355">
        <v>4.6548999999999996</v>
      </c>
      <c r="CC355">
        <v>3.7456</v>
      </c>
      <c r="CD355">
        <v>7.9272</v>
      </c>
      <c r="CE355">
        <v>6.3787000000000003</v>
      </c>
      <c r="CF355" t="s">
        <v>135</v>
      </c>
      <c r="CG355" t="s">
        <v>135</v>
      </c>
      <c r="CH355">
        <v>127.8783</v>
      </c>
      <c r="CI355" t="s">
        <v>135</v>
      </c>
      <c r="CJ355">
        <v>31.9284</v>
      </c>
      <c r="CK355">
        <v>153.0557</v>
      </c>
      <c r="CL355" t="s">
        <v>135</v>
      </c>
      <c r="CM355">
        <v>38.214599999999997</v>
      </c>
      <c r="CN355">
        <v>123.1572</v>
      </c>
      <c r="CO355" t="s">
        <v>135</v>
      </c>
      <c r="CP355">
        <v>37053.5</v>
      </c>
      <c r="CQ355" t="s">
        <v>135</v>
      </c>
      <c r="CR355">
        <v>22613.599999999999</v>
      </c>
      <c r="CS355">
        <v>0.20810000000000001</v>
      </c>
      <c r="CT355">
        <v>1.0053000000000001</v>
      </c>
      <c r="CU355">
        <v>0.4526</v>
      </c>
      <c r="CV355">
        <v>1.5428999999999999</v>
      </c>
      <c r="CW355">
        <v>9.1471</v>
      </c>
      <c r="CX355">
        <v>39.903300000000002</v>
      </c>
      <c r="CY355">
        <v>1.9771999999999998</v>
      </c>
      <c r="CZ355">
        <v>184.60130000000001</v>
      </c>
      <c r="DA355">
        <v>2.5103999999999997</v>
      </c>
      <c r="DB355">
        <v>145.39269999999999</v>
      </c>
      <c r="DC355">
        <v>79.111900000000006</v>
      </c>
      <c r="DD355">
        <v>224.50460000000001</v>
      </c>
      <c r="DE355">
        <v>294223.59999999998</v>
      </c>
      <c r="DF355" t="s">
        <v>135</v>
      </c>
      <c r="DG355" t="s">
        <v>135</v>
      </c>
      <c r="DH355" t="s">
        <v>135</v>
      </c>
      <c r="DI355" t="s">
        <v>135</v>
      </c>
    </row>
    <row r="356" spans="1:113" x14ac:dyDescent="0.3">
      <c r="E356" t="s">
        <v>80</v>
      </c>
      <c r="F356" t="s">
        <v>135</v>
      </c>
      <c r="G356" t="s">
        <v>135</v>
      </c>
      <c r="H356" t="s">
        <v>135</v>
      </c>
      <c r="I356" t="s">
        <v>135</v>
      </c>
      <c r="J356">
        <v>11.004</v>
      </c>
      <c r="K356">
        <v>6.8235999999999999</v>
      </c>
      <c r="L356">
        <v>37.233400000000003</v>
      </c>
      <c r="M356">
        <v>3.8303000000000003</v>
      </c>
      <c r="N356">
        <v>1.3746</v>
      </c>
      <c r="O356">
        <v>1.3822000000000001</v>
      </c>
      <c r="P356">
        <v>1.3822000000000001</v>
      </c>
      <c r="Q356">
        <v>64.183000000000007</v>
      </c>
      <c r="R356" t="s">
        <v>135</v>
      </c>
      <c r="S356" t="s">
        <v>135</v>
      </c>
      <c r="T356">
        <v>14.418900000000001</v>
      </c>
      <c r="U356">
        <v>78.950500000000005</v>
      </c>
      <c r="V356">
        <v>220.13220000000001</v>
      </c>
      <c r="W356" t="s">
        <v>135</v>
      </c>
      <c r="X356" t="s">
        <v>135</v>
      </c>
      <c r="Y356" t="s">
        <v>135</v>
      </c>
      <c r="Z356" t="s">
        <v>135</v>
      </c>
      <c r="AA356" t="s">
        <v>135</v>
      </c>
      <c r="AB356" t="s">
        <v>135</v>
      </c>
      <c r="AC356" t="s">
        <v>135</v>
      </c>
      <c r="AD356" t="s">
        <v>135</v>
      </c>
      <c r="AE356" t="s">
        <v>135</v>
      </c>
      <c r="AF356" t="s">
        <v>135</v>
      </c>
      <c r="AG356" t="s">
        <v>135</v>
      </c>
      <c r="AH356" t="s">
        <v>135</v>
      </c>
      <c r="AI356" t="s">
        <v>135</v>
      </c>
      <c r="AJ356" t="s">
        <v>135</v>
      </c>
      <c r="AK356" t="s">
        <v>135</v>
      </c>
      <c r="AL356" t="s">
        <v>135</v>
      </c>
      <c r="AM356">
        <v>2.2887</v>
      </c>
      <c r="AN356">
        <v>6.8358999999999996</v>
      </c>
      <c r="AO356">
        <v>6.7351999999999999</v>
      </c>
      <c r="AP356" t="s">
        <v>135</v>
      </c>
      <c r="AQ356" t="s">
        <v>135</v>
      </c>
      <c r="AR356" t="s">
        <v>135</v>
      </c>
      <c r="AS356" t="s">
        <v>135</v>
      </c>
      <c r="AT356" t="s">
        <v>135</v>
      </c>
      <c r="AU356" t="s">
        <v>135</v>
      </c>
      <c r="AV356" t="s">
        <v>135</v>
      </c>
      <c r="AW356" t="s">
        <v>135</v>
      </c>
      <c r="AX356" t="s">
        <v>135</v>
      </c>
      <c r="AY356" t="s">
        <v>135</v>
      </c>
      <c r="AZ356" t="s">
        <v>135</v>
      </c>
      <c r="BA356" t="s">
        <v>135</v>
      </c>
      <c r="BB356" t="s">
        <v>135</v>
      </c>
      <c r="BC356" t="s">
        <v>135</v>
      </c>
      <c r="BD356" t="s">
        <v>135</v>
      </c>
      <c r="BE356" t="s">
        <v>135</v>
      </c>
      <c r="BF356">
        <v>0.13350000000000001</v>
      </c>
      <c r="BG356">
        <v>8.1285000000000007</v>
      </c>
      <c r="BH356">
        <v>9.8652999999999995</v>
      </c>
      <c r="BI356">
        <v>-45.107300000000002</v>
      </c>
      <c r="BJ356">
        <v>-45.107300000000002</v>
      </c>
      <c r="BK356" t="s">
        <v>135</v>
      </c>
      <c r="BL356" t="s">
        <v>135</v>
      </c>
      <c r="BM356" t="s">
        <v>135</v>
      </c>
      <c r="BN356" t="s">
        <v>135</v>
      </c>
      <c r="BO356" t="s">
        <v>135</v>
      </c>
      <c r="BP356" t="s">
        <v>135</v>
      </c>
      <c r="BQ356" t="s">
        <v>135</v>
      </c>
      <c r="BR356" t="s">
        <v>135</v>
      </c>
      <c r="BS356" t="s">
        <v>135</v>
      </c>
      <c r="BT356" t="s">
        <v>135</v>
      </c>
      <c r="BU356" t="s">
        <v>135</v>
      </c>
      <c r="BV356" t="s">
        <v>135</v>
      </c>
      <c r="BW356" t="s">
        <v>135</v>
      </c>
      <c r="BX356" t="s">
        <v>135</v>
      </c>
      <c r="BY356" t="s">
        <v>135</v>
      </c>
      <c r="BZ356" t="s">
        <v>135</v>
      </c>
      <c r="CA356" t="s">
        <v>135</v>
      </c>
      <c r="CB356" t="s">
        <v>135</v>
      </c>
      <c r="CC356" t="s">
        <v>135</v>
      </c>
      <c r="CD356" t="s">
        <v>135</v>
      </c>
      <c r="CE356" t="s">
        <v>135</v>
      </c>
      <c r="CF356" t="s">
        <v>135</v>
      </c>
      <c r="CG356" t="s">
        <v>135</v>
      </c>
      <c r="CH356" t="s">
        <v>135</v>
      </c>
      <c r="CI356" t="s">
        <v>135</v>
      </c>
      <c r="CJ356" t="s">
        <v>135</v>
      </c>
      <c r="CK356" t="s">
        <v>135</v>
      </c>
      <c r="CL356" t="s">
        <v>135</v>
      </c>
      <c r="CM356" t="s">
        <v>135</v>
      </c>
      <c r="CN356" t="s">
        <v>135</v>
      </c>
      <c r="CO356" t="s">
        <v>135</v>
      </c>
      <c r="CP356">
        <v>40065.4</v>
      </c>
      <c r="CQ356" t="s">
        <v>135</v>
      </c>
      <c r="CR356">
        <v>24844.5</v>
      </c>
      <c r="CS356" t="s">
        <v>135</v>
      </c>
      <c r="CT356" t="s">
        <v>135</v>
      </c>
      <c r="CU356" t="s">
        <v>135</v>
      </c>
      <c r="CV356" t="s">
        <v>135</v>
      </c>
      <c r="CW356" t="s">
        <v>135</v>
      </c>
      <c r="CX356" t="s">
        <v>135</v>
      </c>
      <c r="CY356" t="s">
        <v>135</v>
      </c>
      <c r="CZ356" t="s">
        <v>135</v>
      </c>
      <c r="DA356" t="s">
        <v>135</v>
      </c>
      <c r="DB356" t="s">
        <v>135</v>
      </c>
      <c r="DC356" t="s">
        <v>135</v>
      </c>
      <c r="DD356" t="s">
        <v>135</v>
      </c>
      <c r="DE356" t="s">
        <v>135</v>
      </c>
      <c r="DF356" t="s">
        <v>135</v>
      </c>
      <c r="DG356" t="s">
        <v>135</v>
      </c>
      <c r="DH356" t="s">
        <v>135</v>
      </c>
      <c r="DI356" t="s">
        <v>135</v>
      </c>
    </row>
    <row r="357" spans="1:113" x14ac:dyDescent="0.3">
      <c r="E357" t="s">
        <v>81</v>
      </c>
      <c r="F357">
        <v>9.6242999999999999</v>
      </c>
      <c r="G357">
        <v>2.2570000000000001</v>
      </c>
      <c r="H357" t="s">
        <v>135</v>
      </c>
      <c r="I357">
        <v>4.8396999999999997</v>
      </c>
      <c r="J357">
        <v>11.9261</v>
      </c>
      <c r="K357">
        <v>8.4231999999999996</v>
      </c>
      <c r="L357">
        <v>8.1636000000000006</v>
      </c>
      <c r="M357">
        <v>5.7968999999999999</v>
      </c>
      <c r="N357">
        <v>2.556</v>
      </c>
      <c r="O357">
        <v>2.4653</v>
      </c>
      <c r="P357">
        <v>2.4653</v>
      </c>
      <c r="Q357">
        <v>56.021599999999999</v>
      </c>
      <c r="R357" t="s">
        <v>135</v>
      </c>
      <c r="S357" t="s">
        <v>135</v>
      </c>
      <c r="T357">
        <v>22.930299999999999</v>
      </c>
      <c r="U357">
        <v>14.697800000000001</v>
      </c>
      <c r="V357">
        <v>22.067799999999998</v>
      </c>
      <c r="W357" t="s">
        <v>135</v>
      </c>
      <c r="X357" t="s">
        <v>135</v>
      </c>
      <c r="Y357" t="s">
        <v>135</v>
      </c>
      <c r="Z357">
        <v>14.376300000000001</v>
      </c>
      <c r="AA357">
        <v>11.5761</v>
      </c>
      <c r="AB357">
        <v>23.481100000000001</v>
      </c>
      <c r="AC357">
        <v>16.834199999999999</v>
      </c>
      <c r="AD357">
        <v>6.5926999999999998</v>
      </c>
      <c r="AE357" t="s">
        <v>135</v>
      </c>
      <c r="AF357">
        <v>18.432600000000001</v>
      </c>
      <c r="AG357">
        <v>35.07</v>
      </c>
      <c r="AH357">
        <v>19.123999999999999</v>
      </c>
      <c r="AI357">
        <v>17.9207</v>
      </c>
      <c r="AJ357">
        <v>18.7105</v>
      </c>
      <c r="AK357">
        <v>18.610800000000001</v>
      </c>
      <c r="AL357" t="s">
        <v>135</v>
      </c>
      <c r="AM357">
        <v>10.2912</v>
      </c>
      <c r="AN357" t="s">
        <v>135</v>
      </c>
      <c r="AO357" t="s">
        <v>135</v>
      </c>
      <c r="AP357" t="s">
        <v>135</v>
      </c>
      <c r="AQ357" t="s">
        <v>135</v>
      </c>
      <c r="AR357" t="s">
        <v>135</v>
      </c>
      <c r="AS357">
        <v>4.1970999999999998</v>
      </c>
      <c r="AT357">
        <v>4.4044999999999996</v>
      </c>
      <c r="AU357">
        <v>12.872400000000001</v>
      </c>
      <c r="AV357">
        <v>7.1359000000000004</v>
      </c>
      <c r="AW357">
        <v>9.1705000000000005</v>
      </c>
      <c r="AX357" t="s">
        <v>135</v>
      </c>
      <c r="AY357">
        <v>0.97950000000000004</v>
      </c>
      <c r="AZ357">
        <v>187.70699999999999</v>
      </c>
      <c r="BA357">
        <v>6.3803000000000001</v>
      </c>
      <c r="BB357">
        <v>8.1166999999999998</v>
      </c>
      <c r="BC357">
        <v>6.9542000000000002</v>
      </c>
      <c r="BD357">
        <v>1.8957999999999999</v>
      </c>
      <c r="BE357" t="s">
        <v>135</v>
      </c>
      <c r="BF357">
        <v>15.401999999999999</v>
      </c>
      <c r="BG357">
        <v>25.072500000000002</v>
      </c>
      <c r="BH357">
        <v>42.454500000000003</v>
      </c>
      <c r="BI357">
        <v>105.8402</v>
      </c>
      <c r="BJ357">
        <v>105.8402</v>
      </c>
      <c r="BK357" t="s">
        <v>135</v>
      </c>
      <c r="BL357" t="s">
        <v>135</v>
      </c>
      <c r="BM357" t="s">
        <v>135</v>
      </c>
      <c r="BN357" t="s">
        <v>135</v>
      </c>
      <c r="BO357" t="s">
        <v>135</v>
      </c>
      <c r="BP357" t="s">
        <v>135</v>
      </c>
      <c r="BQ357" t="s">
        <v>135</v>
      </c>
      <c r="BR357" t="s">
        <v>135</v>
      </c>
      <c r="BS357" t="s">
        <v>135</v>
      </c>
      <c r="BT357" t="s">
        <v>135</v>
      </c>
      <c r="BU357" t="s">
        <v>135</v>
      </c>
      <c r="BV357" t="s">
        <v>135</v>
      </c>
      <c r="BW357" t="s">
        <v>135</v>
      </c>
      <c r="BX357" t="s">
        <v>135</v>
      </c>
      <c r="BY357">
        <v>816086.5</v>
      </c>
      <c r="BZ357">
        <v>292422.40000000002</v>
      </c>
      <c r="CA357">
        <v>523664.1</v>
      </c>
      <c r="CB357">
        <v>4.9728000000000003</v>
      </c>
      <c r="CC357">
        <v>4.2858999999999998</v>
      </c>
      <c r="CD357">
        <v>7.7209000000000003</v>
      </c>
      <c r="CE357">
        <v>6.6543999999999999</v>
      </c>
      <c r="CF357">
        <v>4.2854000000000001</v>
      </c>
      <c r="CG357">
        <v>23.613900000000001</v>
      </c>
      <c r="CH357">
        <v>123.8279</v>
      </c>
      <c r="CI357">
        <v>42.265599999999999</v>
      </c>
      <c r="CJ357">
        <v>30.508700000000001</v>
      </c>
      <c r="CK357">
        <v>192.9753</v>
      </c>
      <c r="CL357">
        <v>65.867400000000004</v>
      </c>
      <c r="CM357">
        <v>47.545200000000001</v>
      </c>
      <c r="CN357">
        <v>166.31890000000001</v>
      </c>
      <c r="CO357">
        <v>62.451000000000001</v>
      </c>
      <c r="CP357">
        <v>50110.8</v>
      </c>
      <c r="CQ357" t="s">
        <v>135</v>
      </c>
      <c r="CR357">
        <v>35392.1</v>
      </c>
      <c r="CS357">
        <v>0.17580000000000001</v>
      </c>
      <c r="CT357">
        <v>0.90429999999999999</v>
      </c>
      <c r="CU357">
        <v>0.4254</v>
      </c>
      <c r="CV357">
        <v>1.4182999999999999</v>
      </c>
      <c r="CW357">
        <v>9.8231999999999999</v>
      </c>
      <c r="CX357">
        <v>37.156799999999997</v>
      </c>
      <c r="CY357">
        <v>2.4817999999999998</v>
      </c>
      <c r="CZ357">
        <v>147.06829999999999</v>
      </c>
      <c r="DA357">
        <v>3.1265999999999998</v>
      </c>
      <c r="DB357">
        <v>116.7402</v>
      </c>
      <c r="DC357">
        <v>67.484800000000007</v>
      </c>
      <c r="DD357">
        <v>184.22499999999999</v>
      </c>
      <c r="DE357">
        <v>268800</v>
      </c>
      <c r="DF357">
        <v>62132.4</v>
      </c>
      <c r="DG357">
        <v>57684</v>
      </c>
      <c r="DH357">
        <v>112512.7</v>
      </c>
      <c r="DI357">
        <v>36470.9</v>
      </c>
    </row>
    <row r="358" spans="1:113" x14ac:dyDescent="0.3">
      <c r="D358" t="s">
        <v>82</v>
      </c>
      <c r="E358" t="s">
        <v>77</v>
      </c>
      <c r="F358">
        <v>-11.411</v>
      </c>
      <c r="G358">
        <v>-2.3749000000000002</v>
      </c>
      <c r="H358">
        <v>-0.9143</v>
      </c>
      <c r="I358">
        <v>-0.43380000000000002</v>
      </c>
      <c r="J358">
        <v>9.0629000000000008</v>
      </c>
      <c r="K358">
        <v>4.7659000000000002</v>
      </c>
      <c r="L358">
        <v>-44.057099999999998</v>
      </c>
      <c r="M358">
        <v>-1.0035000000000001</v>
      </c>
      <c r="N358">
        <v>-2.8475999999999999</v>
      </c>
      <c r="O358">
        <v>-2.8380000000000001</v>
      </c>
      <c r="P358">
        <v>-2.9649999999999999</v>
      </c>
      <c r="Q358" t="s">
        <v>135</v>
      </c>
      <c r="R358" t="s">
        <v>135</v>
      </c>
      <c r="S358" t="s">
        <v>135</v>
      </c>
      <c r="T358">
        <v>-6.1273</v>
      </c>
      <c r="U358">
        <v>-23.613800000000001</v>
      </c>
      <c r="V358">
        <v>-37.632199999999997</v>
      </c>
      <c r="W358" t="s">
        <v>135</v>
      </c>
      <c r="X358" t="s">
        <v>135</v>
      </c>
      <c r="Y358">
        <v>-20</v>
      </c>
      <c r="Z358">
        <v>-16.843299999999999</v>
      </c>
      <c r="AA358">
        <v>-6.4363000000000001</v>
      </c>
      <c r="AB358">
        <v>-2.5954000000000002</v>
      </c>
      <c r="AC358">
        <v>-7.3983999999999996</v>
      </c>
      <c r="AD358">
        <v>-3.5606999999999998</v>
      </c>
      <c r="AE358" t="s">
        <v>135</v>
      </c>
      <c r="AF358">
        <v>-16.217500000000001</v>
      </c>
      <c r="AG358">
        <v>-48.615099999999998</v>
      </c>
      <c r="AH358">
        <v>-1.1117999999999999</v>
      </c>
      <c r="AI358">
        <v>-21.793500000000002</v>
      </c>
      <c r="AJ358">
        <v>-8.1709999999999994</v>
      </c>
      <c r="AK358">
        <v>-22.655100000000001</v>
      </c>
      <c r="AL358">
        <v>-30.866</v>
      </c>
      <c r="AM358">
        <v>6.3316999999999997</v>
      </c>
      <c r="AN358">
        <v>9.2823999999999991</v>
      </c>
      <c r="AO358">
        <v>13.1715</v>
      </c>
      <c r="AP358" t="s">
        <v>135</v>
      </c>
      <c r="AQ358" t="s">
        <v>135</v>
      </c>
      <c r="AR358">
        <v>-1.9735</v>
      </c>
      <c r="AS358">
        <v>2.9441000000000002</v>
      </c>
      <c r="AT358">
        <v>6.1208999999999998</v>
      </c>
      <c r="AU358">
        <v>12.0435</v>
      </c>
      <c r="AV358">
        <v>7.6833</v>
      </c>
      <c r="AW358">
        <v>18.707000000000001</v>
      </c>
      <c r="AX358">
        <v>-13.0496</v>
      </c>
      <c r="AY358">
        <v>-2.7172999999999998</v>
      </c>
      <c r="AZ358">
        <v>140.86330000000001</v>
      </c>
      <c r="BA358">
        <v>8.7317999999999998</v>
      </c>
      <c r="BB358">
        <v>6.8781999999999996</v>
      </c>
      <c r="BC358">
        <v>8.173</v>
      </c>
      <c r="BD358">
        <v>4.6204000000000001</v>
      </c>
      <c r="BE358">
        <v>-2.0670999999999999</v>
      </c>
      <c r="BF358">
        <v>-6.1273</v>
      </c>
      <c r="BG358">
        <v>-23.613800000000001</v>
      </c>
      <c r="BH358">
        <v>-37.632199999999997</v>
      </c>
      <c r="BI358">
        <v>-214.08359999999999</v>
      </c>
      <c r="BJ358">
        <v>-214.11789999999999</v>
      </c>
      <c r="BK358">
        <v>-20</v>
      </c>
      <c r="BL358">
        <v>-16.843299999999999</v>
      </c>
      <c r="BM358">
        <v>-6.4363000000000001</v>
      </c>
      <c r="BN358">
        <v>-2.5954000000000002</v>
      </c>
      <c r="BO358">
        <v>-7.3983999999999996</v>
      </c>
      <c r="BP358">
        <v>-3.5606999999999998</v>
      </c>
      <c r="BQ358" t="s">
        <v>135</v>
      </c>
      <c r="BR358">
        <v>-16.217500000000001</v>
      </c>
      <c r="BS358">
        <v>-48.615099999999998</v>
      </c>
      <c r="BT358">
        <v>-1.1117999999999999</v>
      </c>
      <c r="BU358">
        <v>-21.793500000000002</v>
      </c>
      <c r="BV358">
        <v>-8.1709999999999994</v>
      </c>
      <c r="BW358">
        <v>-22.655100000000001</v>
      </c>
      <c r="BX358">
        <v>-30.866</v>
      </c>
      <c r="BY358">
        <v>807012.9</v>
      </c>
      <c r="BZ358">
        <v>150260.9</v>
      </c>
      <c r="CA358">
        <v>656752</v>
      </c>
      <c r="CB358">
        <v>6.4376999999999995</v>
      </c>
      <c r="CC358">
        <v>5.63</v>
      </c>
      <c r="CD358">
        <v>12.242000000000001</v>
      </c>
      <c r="CE358">
        <v>10.706200000000001</v>
      </c>
      <c r="CF358">
        <v>2.8738999999999999</v>
      </c>
      <c r="CG358">
        <v>19.723400000000002</v>
      </c>
      <c r="CH358">
        <v>198.57490000000001</v>
      </c>
      <c r="CI358">
        <v>57.723999999999997</v>
      </c>
      <c r="CJ358">
        <v>41.319299999999998</v>
      </c>
      <c r="CK358">
        <v>244.0077</v>
      </c>
      <c r="CL358">
        <v>70.930899999999994</v>
      </c>
      <c r="CM358">
        <v>50.7729</v>
      </c>
      <c r="CN358">
        <v>213.39510000000001</v>
      </c>
      <c r="CO358">
        <v>68.091399999999993</v>
      </c>
      <c r="CP358">
        <v>125357.5</v>
      </c>
      <c r="CQ358">
        <v>-9566.2000000000007</v>
      </c>
      <c r="CR358">
        <v>65921.5</v>
      </c>
      <c r="CS358">
        <v>0.22090000000000001</v>
      </c>
      <c r="CT358">
        <v>1.1695</v>
      </c>
      <c r="CU358">
        <v>0.51139999999999997</v>
      </c>
      <c r="CV358">
        <v>1.3721000000000001</v>
      </c>
      <c r="CW358">
        <v>9.4365000000000006</v>
      </c>
      <c r="CX358">
        <v>38.679499999999997</v>
      </c>
      <c r="CY358">
        <v>2.0977999999999999</v>
      </c>
      <c r="CZ358">
        <v>173.99080000000001</v>
      </c>
      <c r="DA358">
        <v>2.5108000000000001</v>
      </c>
      <c r="DB358">
        <v>145.37389999999999</v>
      </c>
      <c r="DC358">
        <v>67.296400000000006</v>
      </c>
      <c r="DD358">
        <v>212.6703</v>
      </c>
      <c r="DE358">
        <v>251499.1</v>
      </c>
      <c r="DF358">
        <v>64623.5</v>
      </c>
      <c r="DG358">
        <v>47642.2</v>
      </c>
      <c r="DH358">
        <v>104052.3</v>
      </c>
      <c r="DI358">
        <v>35181.1</v>
      </c>
    </row>
    <row r="359" spans="1:113" x14ac:dyDescent="0.3">
      <c r="E359" t="s">
        <v>78</v>
      </c>
      <c r="F359" t="s">
        <v>135</v>
      </c>
      <c r="G359" t="s">
        <v>135</v>
      </c>
      <c r="H359" t="s">
        <v>135</v>
      </c>
      <c r="I359" t="s">
        <v>135</v>
      </c>
      <c r="J359">
        <v>11.821199999999999</v>
      </c>
      <c r="K359">
        <v>7.5319000000000003</v>
      </c>
      <c r="L359">
        <v>12.205299999999999</v>
      </c>
      <c r="M359">
        <v>3.9386999999999999</v>
      </c>
      <c r="N359">
        <v>0.97319999999999995</v>
      </c>
      <c r="O359">
        <v>0.93330000000000002</v>
      </c>
      <c r="P359">
        <v>0.93330000000000002</v>
      </c>
      <c r="Q359">
        <v>75.893900000000002</v>
      </c>
      <c r="R359" t="s">
        <v>135</v>
      </c>
      <c r="S359" t="s">
        <v>135</v>
      </c>
      <c r="T359">
        <v>11.0099</v>
      </c>
      <c r="U359">
        <v>15.849299999999999</v>
      </c>
      <c r="V359">
        <v>19.1494</v>
      </c>
      <c r="W359">
        <v>-70.383899999999997</v>
      </c>
      <c r="X359">
        <v>-70.383899999999997</v>
      </c>
      <c r="Y359" t="s">
        <v>135</v>
      </c>
      <c r="Z359" t="s">
        <v>135</v>
      </c>
      <c r="AA359" t="s">
        <v>135</v>
      </c>
      <c r="AB359" t="s">
        <v>135</v>
      </c>
      <c r="AC359" t="s">
        <v>135</v>
      </c>
      <c r="AD359" t="s">
        <v>135</v>
      </c>
      <c r="AE359" t="s">
        <v>135</v>
      </c>
      <c r="AF359" t="s">
        <v>135</v>
      </c>
      <c r="AG359" t="s">
        <v>135</v>
      </c>
      <c r="AH359" t="s">
        <v>135</v>
      </c>
      <c r="AI359" t="s">
        <v>135</v>
      </c>
      <c r="AJ359" t="s">
        <v>135</v>
      </c>
      <c r="AK359" t="s">
        <v>135</v>
      </c>
      <c r="AL359" t="s">
        <v>135</v>
      </c>
      <c r="AM359">
        <v>9.2834000000000003</v>
      </c>
      <c r="AN359" t="s">
        <v>135</v>
      </c>
      <c r="AO359" t="s">
        <v>135</v>
      </c>
      <c r="AP359" t="s">
        <v>135</v>
      </c>
      <c r="AQ359" t="s">
        <v>135</v>
      </c>
      <c r="AR359" t="s">
        <v>135</v>
      </c>
      <c r="AS359" t="s">
        <v>135</v>
      </c>
      <c r="AT359" t="s">
        <v>135</v>
      </c>
      <c r="AU359" t="s">
        <v>135</v>
      </c>
      <c r="AV359" t="s">
        <v>135</v>
      </c>
      <c r="AW359" t="s">
        <v>135</v>
      </c>
      <c r="AX359" t="s">
        <v>135</v>
      </c>
      <c r="AY359" t="s">
        <v>135</v>
      </c>
      <c r="AZ359" t="s">
        <v>135</v>
      </c>
      <c r="BA359" t="s">
        <v>135</v>
      </c>
      <c r="BB359" t="s">
        <v>135</v>
      </c>
      <c r="BC359" t="s">
        <v>135</v>
      </c>
      <c r="BD359" t="s">
        <v>135</v>
      </c>
      <c r="BE359" t="s">
        <v>135</v>
      </c>
      <c r="BF359">
        <v>-13.980700000000001</v>
      </c>
      <c r="BG359">
        <v>-14.737500000000001</v>
      </c>
      <c r="BH359">
        <v>-23.082000000000001</v>
      </c>
      <c r="BI359">
        <v>-67.435100000000006</v>
      </c>
      <c r="BJ359">
        <v>-67.435100000000006</v>
      </c>
      <c r="BK359" t="s">
        <v>135</v>
      </c>
      <c r="BL359" t="s">
        <v>135</v>
      </c>
      <c r="BM359" t="s">
        <v>135</v>
      </c>
      <c r="BN359" t="s">
        <v>135</v>
      </c>
      <c r="BO359" t="s">
        <v>135</v>
      </c>
      <c r="BP359" t="s">
        <v>135</v>
      </c>
      <c r="BQ359" t="s">
        <v>135</v>
      </c>
      <c r="BR359" t="s">
        <v>135</v>
      </c>
      <c r="BS359" t="s">
        <v>135</v>
      </c>
      <c r="BT359" t="s">
        <v>135</v>
      </c>
      <c r="BU359" t="s">
        <v>135</v>
      </c>
      <c r="BV359" t="s">
        <v>135</v>
      </c>
      <c r="BW359" t="s">
        <v>135</v>
      </c>
      <c r="BX359" t="s">
        <v>135</v>
      </c>
      <c r="BY359" t="s">
        <v>135</v>
      </c>
      <c r="BZ359" t="s">
        <v>135</v>
      </c>
      <c r="CA359" t="s">
        <v>135</v>
      </c>
      <c r="CB359" t="s">
        <v>135</v>
      </c>
      <c r="CC359" t="s">
        <v>135</v>
      </c>
      <c r="CD359" t="s">
        <v>135</v>
      </c>
      <c r="CE359" t="s">
        <v>135</v>
      </c>
      <c r="CF359" t="s">
        <v>135</v>
      </c>
      <c r="CG359" t="s">
        <v>135</v>
      </c>
      <c r="CH359" t="s">
        <v>135</v>
      </c>
      <c r="CI359" t="s">
        <v>135</v>
      </c>
      <c r="CJ359" t="s">
        <v>135</v>
      </c>
      <c r="CK359" t="s">
        <v>135</v>
      </c>
      <c r="CL359" t="s">
        <v>135</v>
      </c>
      <c r="CM359" t="s">
        <v>135</v>
      </c>
      <c r="CN359" t="s">
        <v>135</v>
      </c>
      <c r="CO359" t="s">
        <v>135</v>
      </c>
      <c r="CP359">
        <v>42725.7</v>
      </c>
      <c r="CQ359" t="s">
        <v>135</v>
      </c>
      <c r="CR359">
        <v>27222.9</v>
      </c>
      <c r="CS359" t="s">
        <v>135</v>
      </c>
      <c r="CT359" t="s">
        <v>135</v>
      </c>
      <c r="CU359" t="s">
        <v>135</v>
      </c>
      <c r="CV359" t="s">
        <v>135</v>
      </c>
      <c r="CW359" t="s">
        <v>135</v>
      </c>
      <c r="CX359" t="s">
        <v>135</v>
      </c>
      <c r="CY359" t="s">
        <v>135</v>
      </c>
      <c r="CZ359" t="s">
        <v>135</v>
      </c>
      <c r="DA359" t="s">
        <v>135</v>
      </c>
      <c r="DB359" t="s">
        <v>135</v>
      </c>
      <c r="DC359" t="s">
        <v>135</v>
      </c>
      <c r="DD359" t="s">
        <v>135</v>
      </c>
      <c r="DE359" t="s">
        <v>135</v>
      </c>
      <c r="DF359" t="s">
        <v>135</v>
      </c>
      <c r="DG359" t="s">
        <v>135</v>
      </c>
      <c r="DH359" t="s">
        <v>135</v>
      </c>
      <c r="DI359" t="s">
        <v>135</v>
      </c>
    </row>
    <row r="360" spans="1:113" x14ac:dyDescent="0.3">
      <c r="E360" t="s">
        <v>79</v>
      </c>
      <c r="F360" t="s">
        <v>135</v>
      </c>
      <c r="G360">
        <v>1.8252000000000002</v>
      </c>
      <c r="H360" t="s">
        <v>135</v>
      </c>
      <c r="I360">
        <v>3.9407000000000001</v>
      </c>
      <c r="J360">
        <v>10.2605</v>
      </c>
      <c r="K360">
        <v>6.2340999999999998</v>
      </c>
      <c r="L360">
        <v>-5.6002999999999998</v>
      </c>
      <c r="M360">
        <v>6.8925000000000001</v>
      </c>
      <c r="N360">
        <v>3.5423999999999998</v>
      </c>
      <c r="O360">
        <v>3.5329999999999999</v>
      </c>
      <c r="P360">
        <v>3.5329999999999999</v>
      </c>
      <c r="Q360">
        <v>48.007399999999997</v>
      </c>
      <c r="R360" t="s">
        <v>135</v>
      </c>
      <c r="S360" t="s">
        <v>135</v>
      </c>
      <c r="T360">
        <v>-2.3595999999999999</v>
      </c>
      <c r="U360">
        <v>-1.6876</v>
      </c>
      <c r="V360">
        <v>-2.1248</v>
      </c>
      <c r="W360">
        <v>36.820599999999999</v>
      </c>
      <c r="X360">
        <v>36.820599999999999</v>
      </c>
      <c r="Y360" t="s">
        <v>135</v>
      </c>
      <c r="Z360">
        <v>-10.9695</v>
      </c>
      <c r="AA360">
        <v>-4.9501999999999997</v>
      </c>
      <c r="AB360">
        <v>6.0754999999999999</v>
      </c>
      <c r="AC360">
        <v>1.1533</v>
      </c>
      <c r="AD360">
        <v>13.499700000000001</v>
      </c>
      <c r="AE360" t="s">
        <v>135</v>
      </c>
      <c r="AF360">
        <v>-20.770399999999999</v>
      </c>
      <c r="AG360">
        <v>-30.1</v>
      </c>
      <c r="AH360">
        <v>-12.709</v>
      </c>
      <c r="AI360">
        <v>8.2942</v>
      </c>
      <c r="AJ360" t="s">
        <v>135</v>
      </c>
      <c r="AK360" t="s">
        <v>135</v>
      </c>
      <c r="AL360" t="s">
        <v>135</v>
      </c>
      <c r="AM360">
        <v>7.0315000000000003</v>
      </c>
      <c r="AN360">
        <v>57.8431</v>
      </c>
      <c r="AO360" t="s">
        <v>135</v>
      </c>
      <c r="AP360" t="s">
        <v>135</v>
      </c>
      <c r="AQ360" t="s">
        <v>135</v>
      </c>
      <c r="AR360" t="s">
        <v>135</v>
      </c>
      <c r="AS360">
        <v>1.7597</v>
      </c>
      <c r="AT360">
        <v>7.8734000000000002</v>
      </c>
      <c r="AU360">
        <v>12.5626</v>
      </c>
      <c r="AV360">
        <v>7.5298999999999996</v>
      </c>
      <c r="AW360">
        <v>-8.3504000000000005</v>
      </c>
      <c r="AX360" t="s">
        <v>135</v>
      </c>
      <c r="AY360" t="s">
        <v>135</v>
      </c>
      <c r="AZ360" t="s">
        <v>135</v>
      </c>
      <c r="BA360">
        <v>-1.7096</v>
      </c>
      <c r="BB360">
        <v>13.053000000000001</v>
      </c>
      <c r="BC360" t="s">
        <v>135</v>
      </c>
      <c r="BD360" t="s">
        <v>135</v>
      </c>
      <c r="BE360" t="s">
        <v>135</v>
      </c>
      <c r="BF360">
        <v>-1.7803</v>
      </c>
      <c r="BG360">
        <v>-14.7394</v>
      </c>
      <c r="BH360">
        <v>-18.6968</v>
      </c>
      <c r="BI360">
        <v>271.84059999999999</v>
      </c>
      <c r="BJ360">
        <v>271.84059999999999</v>
      </c>
      <c r="BK360" t="s">
        <v>135</v>
      </c>
      <c r="BL360" t="s">
        <v>135</v>
      </c>
      <c r="BM360" t="s">
        <v>135</v>
      </c>
      <c r="BN360" t="s">
        <v>135</v>
      </c>
      <c r="BO360" t="s">
        <v>135</v>
      </c>
      <c r="BP360" t="s">
        <v>135</v>
      </c>
      <c r="BQ360" t="s">
        <v>135</v>
      </c>
      <c r="BR360" t="s">
        <v>135</v>
      </c>
      <c r="BS360" t="s">
        <v>135</v>
      </c>
      <c r="BT360" t="s">
        <v>135</v>
      </c>
      <c r="BU360" t="s">
        <v>135</v>
      </c>
      <c r="BV360" t="s">
        <v>135</v>
      </c>
      <c r="BW360" t="s">
        <v>135</v>
      </c>
      <c r="BX360" t="s">
        <v>135</v>
      </c>
      <c r="BY360">
        <v>568911.6</v>
      </c>
      <c r="BZ360">
        <v>74940.100000000006</v>
      </c>
      <c r="CA360">
        <v>493971.5</v>
      </c>
      <c r="CB360">
        <v>3.3597999999999999</v>
      </c>
      <c r="CC360">
        <v>2.5116000000000001</v>
      </c>
      <c r="CD360">
        <v>5.1910999999999996</v>
      </c>
      <c r="CE360">
        <v>3.8806000000000003</v>
      </c>
      <c r="CF360" t="s">
        <v>135</v>
      </c>
      <c r="CG360" t="s">
        <v>135</v>
      </c>
      <c r="CH360">
        <v>107.12009999999999</v>
      </c>
      <c r="CI360" t="s">
        <v>135</v>
      </c>
      <c r="CJ360">
        <v>28.633600000000001</v>
      </c>
      <c r="CK360">
        <v>123.3712</v>
      </c>
      <c r="CL360" t="s">
        <v>135</v>
      </c>
      <c r="CM360">
        <v>32.977600000000002</v>
      </c>
      <c r="CN360">
        <v>92.224699999999999</v>
      </c>
      <c r="CO360" t="s">
        <v>135</v>
      </c>
      <c r="CP360">
        <v>36428.199999999997</v>
      </c>
      <c r="CQ360" t="s">
        <v>135</v>
      </c>
      <c r="CR360">
        <v>22133.1</v>
      </c>
      <c r="CS360">
        <v>0.2165</v>
      </c>
      <c r="CT360">
        <v>0.9224</v>
      </c>
      <c r="CU360">
        <v>0.41720000000000002</v>
      </c>
      <c r="CV360">
        <v>1.7524</v>
      </c>
      <c r="CW360">
        <v>10.6173</v>
      </c>
      <c r="CX360">
        <v>34.378</v>
      </c>
      <c r="CY360">
        <v>2.177</v>
      </c>
      <c r="CZ360">
        <v>167.66480000000001</v>
      </c>
      <c r="DA360">
        <v>2.5672999999999999</v>
      </c>
      <c r="DB360">
        <v>142.17490000000001</v>
      </c>
      <c r="DC360">
        <v>59.867899999999999</v>
      </c>
      <c r="DD360">
        <v>202.0428</v>
      </c>
      <c r="DE360">
        <v>279658.8</v>
      </c>
      <c r="DF360" t="s">
        <v>135</v>
      </c>
      <c r="DG360" t="s">
        <v>135</v>
      </c>
      <c r="DH360" t="s">
        <v>135</v>
      </c>
      <c r="DI360" t="s">
        <v>135</v>
      </c>
    </row>
    <row r="361" spans="1:113" x14ac:dyDescent="0.3">
      <c r="E361" t="s">
        <v>80</v>
      </c>
      <c r="F361" t="s">
        <v>135</v>
      </c>
      <c r="G361" t="s">
        <v>135</v>
      </c>
      <c r="H361" t="s">
        <v>135</v>
      </c>
      <c r="I361" t="s">
        <v>135</v>
      </c>
      <c r="J361">
        <v>9.2347999999999999</v>
      </c>
      <c r="K361">
        <v>4.8803000000000001</v>
      </c>
      <c r="L361">
        <v>-27.808199999999999</v>
      </c>
      <c r="M361">
        <v>1.7345000000000002</v>
      </c>
      <c r="N361">
        <v>0.42459999999999998</v>
      </c>
      <c r="O361">
        <v>0.47149999999999997</v>
      </c>
      <c r="P361">
        <v>0.47149999999999997</v>
      </c>
      <c r="Q361">
        <v>77.280299999999997</v>
      </c>
      <c r="R361" t="s">
        <v>135</v>
      </c>
      <c r="S361" t="s">
        <v>135</v>
      </c>
      <c r="T361">
        <v>-8.4756</v>
      </c>
      <c r="U361">
        <v>-23.190799999999999</v>
      </c>
      <c r="V361">
        <v>-34.540799999999997</v>
      </c>
      <c r="W361">
        <v>-68.780299999999997</v>
      </c>
      <c r="X361">
        <v>-68.780299999999997</v>
      </c>
      <c r="Y361" t="s">
        <v>135</v>
      </c>
      <c r="Z361" t="s">
        <v>135</v>
      </c>
      <c r="AA361" t="s">
        <v>135</v>
      </c>
      <c r="AB361" t="s">
        <v>135</v>
      </c>
      <c r="AC361" t="s">
        <v>135</v>
      </c>
      <c r="AD361" t="s">
        <v>135</v>
      </c>
      <c r="AE361" t="s">
        <v>135</v>
      </c>
      <c r="AF361" t="s">
        <v>135</v>
      </c>
      <c r="AG361" t="s">
        <v>135</v>
      </c>
      <c r="AH361" t="s">
        <v>135</v>
      </c>
      <c r="AI361" t="s">
        <v>135</v>
      </c>
      <c r="AJ361" t="s">
        <v>135</v>
      </c>
      <c r="AK361" t="s">
        <v>135</v>
      </c>
      <c r="AL361" t="s">
        <v>135</v>
      </c>
      <c r="AM361">
        <v>5.0335000000000001</v>
      </c>
      <c r="AN361">
        <v>0.84519999999999995</v>
      </c>
      <c r="AO361">
        <v>-1.9643000000000002</v>
      </c>
      <c r="AP361" t="s">
        <v>135</v>
      </c>
      <c r="AQ361" t="s">
        <v>135</v>
      </c>
      <c r="AR361" t="s">
        <v>135</v>
      </c>
      <c r="AS361" t="s">
        <v>135</v>
      </c>
      <c r="AT361" t="s">
        <v>135</v>
      </c>
      <c r="AU361" t="s">
        <v>135</v>
      </c>
      <c r="AV361" t="s">
        <v>135</v>
      </c>
      <c r="AW361" t="s">
        <v>135</v>
      </c>
      <c r="AX361" t="s">
        <v>135</v>
      </c>
      <c r="AY361" t="s">
        <v>135</v>
      </c>
      <c r="AZ361" t="s">
        <v>135</v>
      </c>
      <c r="BA361" t="s">
        <v>135</v>
      </c>
      <c r="BB361" t="s">
        <v>135</v>
      </c>
      <c r="BC361" t="s">
        <v>135</v>
      </c>
      <c r="BD361" t="s">
        <v>135</v>
      </c>
      <c r="BE361" t="s">
        <v>135</v>
      </c>
      <c r="BF361">
        <v>-6.1504000000000003</v>
      </c>
      <c r="BG361">
        <v>-15.521800000000001</v>
      </c>
      <c r="BH361">
        <v>-26.521799999999999</v>
      </c>
      <c r="BI361">
        <v>-87.474599999999995</v>
      </c>
      <c r="BJ361">
        <v>-87.474599999999995</v>
      </c>
      <c r="BK361" t="s">
        <v>135</v>
      </c>
      <c r="BL361" t="s">
        <v>135</v>
      </c>
      <c r="BM361" t="s">
        <v>135</v>
      </c>
      <c r="BN361" t="s">
        <v>135</v>
      </c>
      <c r="BO361" t="s">
        <v>135</v>
      </c>
      <c r="BP361" t="s">
        <v>135</v>
      </c>
      <c r="BQ361" t="s">
        <v>135</v>
      </c>
      <c r="BR361" t="s">
        <v>135</v>
      </c>
      <c r="BS361" t="s">
        <v>135</v>
      </c>
      <c r="BT361" t="s">
        <v>135</v>
      </c>
      <c r="BU361" t="s">
        <v>135</v>
      </c>
      <c r="BV361" t="s">
        <v>135</v>
      </c>
      <c r="BW361" t="s">
        <v>135</v>
      </c>
      <c r="BX361" t="s">
        <v>135</v>
      </c>
      <c r="BY361" t="s">
        <v>135</v>
      </c>
      <c r="BZ361" t="s">
        <v>135</v>
      </c>
      <c r="CA361" t="s">
        <v>135</v>
      </c>
      <c r="CB361" t="s">
        <v>135</v>
      </c>
      <c r="CC361" t="s">
        <v>135</v>
      </c>
      <c r="CD361" t="s">
        <v>135</v>
      </c>
      <c r="CE361" t="s">
        <v>135</v>
      </c>
      <c r="CF361" t="s">
        <v>135</v>
      </c>
      <c r="CG361" t="s">
        <v>135</v>
      </c>
      <c r="CH361" t="s">
        <v>135</v>
      </c>
      <c r="CI361" t="s">
        <v>135</v>
      </c>
      <c r="CJ361" t="s">
        <v>135</v>
      </c>
      <c r="CK361" t="s">
        <v>135</v>
      </c>
      <c r="CL361" t="s">
        <v>135</v>
      </c>
      <c r="CM361" t="s">
        <v>135</v>
      </c>
      <c r="CN361" t="s">
        <v>135</v>
      </c>
      <c r="CO361" t="s">
        <v>135</v>
      </c>
      <c r="CP361">
        <v>30773.9</v>
      </c>
      <c r="CQ361" t="s">
        <v>135</v>
      </c>
      <c r="CR361">
        <v>16263</v>
      </c>
      <c r="CS361" t="s">
        <v>135</v>
      </c>
      <c r="CT361" t="s">
        <v>135</v>
      </c>
      <c r="CU361" t="s">
        <v>135</v>
      </c>
      <c r="CV361" t="s">
        <v>135</v>
      </c>
      <c r="CW361" t="s">
        <v>135</v>
      </c>
      <c r="CX361" t="s">
        <v>135</v>
      </c>
      <c r="CY361" t="s">
        <v>135</v>
      </c>
      <c r="CZ361" t="s">
        <v>135</v>
      </c>
      <c r="DA361" t="s">
        <v>135</v>
      </c>
      <c r="DB361" t="s">
        <v>135</v>
      </c>
      <c r="DC361" t="s">
        <v>135</v>
      </c>
      <c r="DD361" t="s">
        <v>135</v>
      </c>
      <c r="DE361" t="s">
        <v>135</v>
      </c>
      <c r="DF361" t="s">
        <v>135</v>
      </c>
      <c r="DG361" t="s">
        <v>135</v>
      </c>
      <c r="DH361" t="s">
        <v>135</v>
      </c>
      <c r="DI361" t="s">
        <v>135</v>
      </c>
    </row>
    <row r="362" spans="1:113" x14ac:dyDescent="0.3">
      <c r="E362" t="s">
        <v>81</v>
      </c>
      <c r="F362">
        <v>-10.9222</v>
      </c>
      <c r="G362">
        <v>-2.3749000000000002</v>
      </c>
      <c r="H362" t="s">
        <v>135</v>
      </c>
      <c r="I362">
        <v>0.26629999999999998</v>
      </c>
      <c r="J362">
        <v>4.6284000000000001</v>
      </c>
      <c r="K362">
        <v>9.0700000000000003E-2</v>
      </c>
      <c r="L362">
        <v>-40.421999999999997</v>
      </c>
      <c r="M362">
        <v>-17.508400000000002</v>
      </c>
      <c r="N362">
        <v>-17.067299999999999</v>
      </c>
      <c r="O362">
        <v>-17.021100000000001</v>
      </c>
      <c r="P362">
        <v>-17.021100000000001</v>
      </c>
      <c r="Q362" t="s">
        <v>135</v>
      </c>
      <c r="R362" t="s">
        <v>135</v>
      </c>
      <c r="S362" t="s">
        <v>135</v>
      </c>
      <c r="T362">
        <v>-20.6599</v>
      </c>
      <c r="U362">
        <v>-69.208799999999997</v>
      </c>
      <c r="V362">
        <v>-99.145300000000006</v>
      </c>
      <c r="W362" t="s">
        <v>135</v>
      </c>
      <c r="X362" t="s">
        <v>135</v>
      </c>
      <c r="Y362" t="s">
        <v>135</v>
      </c>
      <c r="Z362">
        <v>-16.843299999999999</v>
      </c>
      <c r="AA362">
        <v>-6.4363000000000001</v>
      </c>
      <c r="AB362">
        <v>-2.5954000000000002</v>
      </c>
      <c r="AC362">
        <v>-7.3983999999999996</v>
      </c>
      <c r="AD362">
        <v>-3.5606999999999998</v>
      </c>
      <c r="AE362" t="s">
        <v>135</v>
      </c>
      <c r="AF362">
        <v>-16.217500000000001</v>
      </c>
      <c r="AG362">
        <v>-48.615099999999998</v>
      </c>
      <c r="AH362">
        <v>-1.1117999999999999</v>
      </c>
      <c r="AI362">
        <v>-21.793500000000002</v>
      </c>
      <c r="AJ362">
        <v>-8.1709999999999994</v>
      </c>
      <c r="AK362">
        <v>-22.655100000000001</v>
      </c>
      <c r="AL362" t="s">
        <v>135</v>
      </c>
      <c r="AM362">
        <v>4.1334</v>
      </c>
      <c r="AN362">
        <v>-20.139900000000001</v>
      </c>
      <c r="AO362">
        <v>-61.668700000000001</v>
      </c>
      <c r="AP362" t="s">
        <v>135</v>
      </c>
      <c r="AQ362" t="s">
        <v>135</v>
      </c>
      <c r="AR362" t="s">
        <v>135</v>
      </c>
      <c r="AS362">
        <v>2.9441000000000002</v>
      </c>
      <c r="AT362">
        <v>6.1208999999999998</v>
      </c>
      <c r="AU362">
        <v>12.0435</v>
      </c>
      <c r="AV362">
        <v>7.6833</v>
      </c>
      <c r="AW362">
        <v>18.707000000000001</v>
      </c>
      <c r="AX362">
        <v>-13.0496</v>
      </c>
      <c r="AY362">
        <v>-2.7172999999999998</v>
      </c>
      <c r="AZ362">
        <v>140.86330000000001</v>
      </c>
      <c r="BA362">
        <v>8.7317999999999998</v>
      </c>
      <c r="BB362">
        <v>6.8781999999999996</v>
      </c>
      <c r="BC362">
        <v>8.173</v>
      </c>
      <c r="BD362">
        <v>4.6204000000000001</v>
      </c>
      <c r="BE362" t="s">
        <v>135</v>
      </c>
      <c r="BF362">
        <v>2.76E-2</v>
      </c>
      <c r="BG362">
        <v>-49.8611</v>
      </c>
      <c r="BH362">
        <v>-98.139899999999997</v>
      </c>
      <c r="BI362">
        <v>-3711.6669999999999</v>
      </c>
      <c r="BJ362">
        <v>-3711.6664000000001</v>
      </c>
      <c r="BK362" t="s">
        <v>135</v>
      </c>
      <c r="BL362" t="s">
        <v>135</v>
      </c>
      <c r="BM362" t="s">
        <v>135</v>
      </c>
      <c r="BN362" t="s">
        <v>135</v>
      </c>
      <c r="BO362" t="s">
        <v>135</v>
      </c>
      <c r="BP362" t="s">
        <v>135</v>
      </c>
      <c r="BQ362" t="s">
        <v>135</v>
      </c>
      <c r="BR362" t="s">
        <v>135</v>
      </c>
      <c r="BS362" t="s">
        <v>135</v>
      </c>
      <c r="BT362" t="s">
        <v>135</v>
      </c>
      <c r="BU362" t="s">
        <v>135</v>
      </c>
      <c r="BV362" t="s">
        <v>135</v>
      </c>
      <c r="BW362" t="s">
        <v>135</v>
      </c>
      <c r="BX362" t="s">
        <v>135</v>
      </c>
      <c r="BY362">
        <v>807012.9</v>
      </c>
      <c r="BZ362">
        <v>150260.9</v>
      </c>
      <c r="CA362">
        <v>656752</v>
      </c>
      <c r="CB362">
        <v>6.4376999999999995</v>
      </c>
      <c r="CC362">
        <v>5.63</v>
      </c>
      <c r="CD362">
        <v>12.242000000000001</v>
      </c>
      <c r="CE362">
        <v>10.706200000000001</v>
      </c>
      <c r="CF362">
        <v>1.2909999999999999</v>
      </c>
      <c r="CG362">
        <v>19.723400000000002</v>
      </c>
      <c r="CH362">
        <v>198.57490000000001</v>
      </c>
      <c r="CI362">
        <v>57.723999999999997</v>
      </c>
      <c r="CJ362">
        <v>41.319299999999998</v>
      </c>
      <c r="CK362">
        <v>244.0077</v>
      </c>
      <c r="CL362">
        <v>70.930899999999994</v>
      </c>
      <c r="CM362">
        <v>50.7729</v>
      </c>
      <c r="CN362">
        <v>213.39510000000001</v>
      </c>
      <c r="CO362">
        <v>68.091399999999993</v>
      </c>
      <c r="CP362">
        <v>15429.7</v>
      </c>
      <c r="CQ362" t="s">
        <v>135</v>
      </c>
      <c r="CR362">
        <v>302.5</v>
      </c>
      <c r="CS362">
        <v>0.22090000000000001</v>
      </c>
      <c r="CT362">
        <v>1.1695</v>
      </c>
      <c r="CU362">
        <v>0.51139999999999997</v>
      </c>
      <c r="CV362">
        <v>1.3721000000000001</v>
      </c>
      <c r="CW362">
        <v>9.4365000000000006</v>
      </c>
      <c r="CX362">
        <v>38.679499999999997</v>
      </c>
      <c r="CY362">
        <v>2.0977999999999999</v>
      </c>
      <c r="CZ362">
        <v>173.99080000000001</v>
      </c>
      <c r="DA362">
        <v>2.5108000000000001</v>
      </c>
      <c r="DB362">
        <v>145.37389999999999</v>
      </c>
      <c r="DC362">
        <v>67.296400000000006</v>
      </c>
      <c r="DD362">
        <v>212.6703</v>
      </c>
      <c r="DE362">
        <v>251499.1</v>
      </c>
      <c r="DF362">
        <v>64623.5</v>
      </c>
      <c r="DG362">
        <v>47642.2</v>
      </c>
      <c r="DH362">
        <v>104052.3</v>
      </c>
      <c r="DI362">
        <v>35181.1</v>
      </c>
    </row>
    <row r="363" spans="1:113" x14ac:dyDescent="0.3">
      <c r="D363" t="s">
        <v>83</v>
      </c>
      <c r="E363" t="s">
        <v>77</v>
      </c>
      <c r="F363">
        <v>-10.1936</v>
      </c>
      <c r="G363">
        <v>-1.8917000000000002</v>
      </c>
      <c r="H363">
        <v>-0.76239999999999997</v>
      </c>
      <c r="I363">
        <v>-9.9402000000000008</v>
      </c>
      <c r="J363">
        <v>6.5420999999999996</v>
      </c>
      <c r="K363">
        <v>2.1593999999999998</v>
      </c>
      <c r="L363">
        <v>-18.278300000000002</v>
      </c>
      <c r="M363">
        <v>-1.4437</v>
      </c>
      <c r="N363">
        <v>-2.7237999999999998</v>
      </c>
      <c r="O363">
        <v>-2.6297999999999999</v>
      </c>
      <c r="P363">
        <v>-2.6297999999999999</v>
      </c>
      <c r="Q363" t="s">
        <v>135</v>
      </c>
      <c r="R363" t="s">
        <v>135</v>
      </c>
      <c r="S363" t="s">
        <v>135</v>
      </c>
      <c r="T363">
        <v>-16.1707</v>
      </c>
      <c r="U363">
        <v>-39.487900000000003</v>
      </c>
      <c r="V363">
        <v>-62.018300000000004</v>
      </c>
      <c r="W363">
        <v>25.6477</v>
      </c>
      <c r="X363">
        <v>25.5655</v>
      </c>
      <c r="Y363">
        <v>0</v>
      </c>
      <c r="Z363">
        <v>-12.086399999999999</v>
      </c>
      <c r="AA363">
        <v>-19.061399999999999</v>
      </c>
      <c r="AB363">
        <v>1.2514000000000001</v>
      </c>
      <c r="AC363">
        <v>2.5878000000000001</v>
      </c>
      <c r="AD363">
        <v>-39.444899999999997</v>
      </c>
      <c r="AE363" t="s">
        <v>135</v>
      </c>
      <c r="AF363">
        <v>6.2449000000000003</v>
      </c>
      <c r="AG363">
        <v>18.7913</v>
      </c>
      <c r="AH363">
        <v>6.8182999999999998</v>
      </c>
      <c r="AI363">
        <v>-8.8293999999999997</v>
      </c>
      <c r="AJ363">
        <v>2.2696999999999998</v>
      </c>
      <c r="AK363">
        <v>-9.0472000000000001</v>
      </c>
      <c r="AL363">
        <v>16.4437</v>
      </c>
      <c r="AM363">
        <v>-0.2054</v>
      </c>
      <c r="AN363">
        <v>-13.8613</v>
      </c>
      <c r="AO363">
        <v>-26.383900000000001</v>
      </c>
      <c r="AP363" t="s">
        <v>135</v>
      </c>
      <c r="AQ363" t="s">
        <v>135</v>
      </c>
      <c r="AR363">
        <v>-7.7892000000000001</v>
      </c>
      <c r="AS363">
        <v>-4.6054000000000004</v>
      </c>
      <c r="AT363">
        <v>-3.2843999999999998</v>
      </c>
      <c r="AU363">
        <v>10.626099999999999</v>
      </c>
      <c r="AV363">
        <v>3.7983000000000002</v>
      </c>
      <c r="AW363">
        <v>-10.5791</v>
      </c>
      <c r="AX363" t="s">
        <v>135</v>
      </c>
      <c r="AY363">
        <v>2.0097</v>
      </c>
      <c r="AZ363">
        <v>9.3279999999999994</v>
      </c>
      <c r="BA363">
        <v>7.2747999999999999</v>
      </c>
      <c r="BB363">
        <v>-3.7326999999999999</v>
      </c>
      <c r="BC363">
        <v>3.6741999999999999</v>
      </c>
      <c r="BD363">
        <v>-4.5834000000000001</v>
      </c>
      <c r="BE363">
        <v>44.254899999999999</v>
      </c>
      <c r="BF363">
        <v>-16.1707</v>
      </c>
      <c r="BG363">
        <v>-39.487900000000003</v>
      </c>
      <c r="BH363">
        <v>-62.018300000000004</v>
      </c>
      <c r="BI363" t="s">
        <v>135</v>
      </c>
      <c r="BJ363" t="s">
        <v>135</v>
      </c>
      <c r="BK363">
        <v>0</v>
      </c>
      <c r="BL363">
        <v>-12.086399999999999</v>
      </c>
      <c r="BM363">
        <v>-19.061399999999999</v>
      </c>
      <c r="BN363">
        <v>1.2514000000000001</v>
      </c>
      <c r="BO363">
        <v>2.5878000000000001</v>
      </c>
      <c r="BP363">
        <v>-39.444899999999997</v>
      </c>
      <c r="BQ363">
        <v>-139.4726</v>
      </c>
      <c r="BR363">
        <v>6.2449000000000003</v>
      </c>
      <c r="BS363">
        <v>18.7913</v>
      </c>
      <c r="BT363">
        <v>6.8182999999999998</v>
      </c>
      <c r="BU363">
        <v>-8.8293999999999997</v>
      </c>
      <c r="BV363">
        <v>2.2696999999999998</v>
      </c>
      <c r="BW363">
        <v>-9.0472000000000001</v>
      </c>
      <c r="BX363">
        <v>16.4437</v>
      </c>
      <c r="BY363">
        <v>862037.8</v>
      </c>
      <c r="BZ363">
        <v>178496.9</v>
      </c>
      <c r="CA363">
        <v>683540.9</v>
      </c>
      <c r="CB363">
        <v>11.364100000000001</v>
      </c>
      <c r="CC363">
        <v>9.8569999999999993</v>
      </c>
      <c r="CD363">
        <v>34.429000000000002</v>
      </c>
      <c r="CE363">
        <v>29.863299999999999</v>
      </c>
      <c r="CF363">
        <v>2.1745999999999999</v>
      </c>
      <c r="CG363">
        <v>17.444900000000001</v>
      </c>
      <c r="CH363">
        <v>226.6902</v>
      </c>
      <c r="CI363">
        <v>58.745199999999997</v>
      </c>
      <c r="CJ363">
        <v>41.870800000000003</v>
      </c>
      <c r="CK363">
        <v>285.88709999999998</v>
      </c>
      <c r="CL363">
        <v>74.085700000000003</v>
      </c>
      <c r="CM363">
        <v>52.8048</v>
      </c>
      <c r="CN363">
        <v>247.97489999999999</v>
      </c>
      <c r="CO363">
        <v>71.262299999999996</v>
      </c>
      <c r="CP363">
        <v>75856.5</v>
      </c>
      <c r="CQ363">
        <v>-39002.400000000001</v>
      </c>
      <c r="CR363">
        <v>25038.1</v>
      </c>
      <c r="CS363">
        <v>0.2261</v>
      </c>
      <c r="CT363">
        <v>0.93930000000000002</v>
      </c>
      <c r="CU363">
        <v>0.45760000000000001</v>
      </c>
      <c r="CV363">
        <v>0.77200000000000002</v>
      </c>
      <c r="CW363">
        <v>9.2720000000000002</v>
      </c>
      <c r="CX363">
        <v>39.473500000000001</v>
      </c>
      <c r="CY363">
        <v>1.8618000000000001</v>
      </c>
      <c r="CZ363">
        <v>196.57990000000001</v>
      </c>
      <c r="DA363">
        <v>1.8984000000000001</v>
      </c>
      <c r="DB363">
        <v>192.78960000000001</v>
      </c>
      <c r="DC363">
        <v>43.263800000000003</v>
      </c>
      <c r="DD363">
        <v>236.05340000000001</v>
      </c>
      <c r="DE363">
        <v>203559.8</v>
      </c>
      <c r="DF363">
        <v>40580</v>
      </c>
      <c r="DG363">
        <v>43369.8</v>
      </c>
      <c r="DH363">
        <v>87693</v>
      </c>
      <c r="DI363">
        <v>31917</v>
      </c>
    </row>
    <row r="364" spans="1:113" x14ac:dyDescent="0.3">
      <c r="E364" t="s">
        <v>78</v>
      </c>
      <c r="F364" t="s">
        <v>135</v>
      </c>
      <c r="G364" t="s">
        <v>135</v>
      </c>
      <c r="H364" t="s">
        <v>135</v>
      </c>
      <c r="I364" t="s">
        <v>135</v>
      </c>
      <c r="J364">
        <v>9.2783999999999995</v>
      </c>
      <c r="K364">
        <v>4.7750000000000004</v>
      </c>
      <c r="L364">
        <v>-20.723800000000001</v>
      </c>
      <c r="M364">
        <v>4.1816000000000004</v>
      </c>
      <c r="N364">
        <v>2.5289999999999999</v>
      </c>
      <c r="O364">
        <v>2.5516999999999999</v>
      </c>
      <c r="P364">
        <v>2.5516999999999999</v>
      </c>
      <c r="Q364">
        <v>41.2194</v>
      </c>
      <c r="R364" t="s">
        <v>135</v>
      </c>
      <c r="S364" t="s">
        <v>135</v>
      </c>
      <c r="T364">
        <v>-17.281400000000001</v>
      </c>
      <c r="U364">
        <v>-35.068600000000004</v>
      </c>
      <c r="V364">
        <v>-47.553699999999999</v>
      </c>
      <c r="W364">
        <v>126.17610000000001</v>
      </c>
      <c r="X364">
        <v>126.44889999999999</v>
      </c>
      <c r="Y364" t="s">
        <v>135</v>
      </c>
      <c r="Z364" t="s">
        <v>135</v>
      </c>
      <c r="AA364" t="s">
        <v>135</v>
      </c>
      <c r="AB364" t="s">
        <v>135</v>
      </c>
      <c r="AC364" t="s">
        <v>135</v>
      </c>
      <c r="AD364" t="s">
        <v>135</v>
      </c>
      <c r="AE364" t="s">
        <v>135</v>
      </c>
      <c r="AF364" t="s">
        <v>135</v>
      </c>
      <c r="AG364" t="s">
        <v>135</v>
      </c>
      <c r="AH364" t="s">
        <v>135</v>
      </c>
      <c r="AI364" t="s">
        <v>135</v>
      </c>
      <c r="AJ364" t="s">
        <v>135</v>
      </c>
      <c r="AK364" t="s">
        <v>135</v>
      </c>
      <c r="AL364" t="s">
        <v>135</v>
      </c>
      <c r="AM364">
        <v>2.0539000000000001</v>
      </c>
      <c r="AN364">
        <v>-8.9464000000000006</v>
      </c>
      <c r="AO364">
        <v>-15.8751</v>
      </c>
      <c r="AP364">
        <v>-16.008500000000002</v>
      </c>
      <c r="AQ364">
        <v>-16.8383</v>
      </c>
      <c r="AR364" t="s">
        <v>135</v>
      </c>
      <c r="AS364" t="s">
        <v>135</v>
      </c>
      <c r="AT364" t="s">
        <v>135</v>
      </c>
      <c r="AU364" t="s">
        <v>135</v>
      </c>
      <c r="AV364" t="s">
        <v>135</v>
      </c>
      <c r="AW364" t="s">
        <v>135</v>
      </c>
      <c r="AX364" t="s">
        <v>135</v>
      </c>
      <c r="AY364" t="s">
        <v>135</v>
      </c>
      <c r="AZ364" t="s">
        <v>135</v>
      </c>
      <c r="BA364" t="s">
        <v>135</v>
      </c>
      <c r="BB364" t="s">
        <v>135</v>
      </c>
      <c r="BC364" t="s">
        <v>135</v>
      </c>
      <c r="BD364" t="s">
        <v>135</v>
      </c>
      <c r="BE364" t="s">
        <v>135</v>
      </c>
      <c r="BF364">
        <v>-10.309100000000001</v>
      </c>
      <c r="BG364">
        <v>79.798699999999997</v>
      </c>
      <c r="BH364">
        <v>4619.8017</v>
      </c>
      <c r="BI364" t="s">
        <v>135</v>
      </c>
      <c r="BJ364" t="s">
        <v>135</v>
      </c>
      <c r="BK364" t="s">
        <v>135</v>
      </c>
      <c r="BL364" t="s">
        <v>135</v>
      </c>
      <c r="BM364" t="s">
        <v>135</v>
      </c>
      <c r="BN364" t="s">
        <v>135</v>
      </c>
      <c r="BO364" t="s">
        <v>135</v>
      </c>
      <c r="BP364" t="s">
        <v>135</v>
      </c>
      <c r="BQ364" t="s">
        <v>135</v>
      </c>
      <c r="BR364" t="s">
        <v>135</v>
      </c>
      <c r="BS364" t="s">
        <v>135</v>
      </c>
      <c r="BT364" t="s">
        <v>135</v>
      </c>
      <c r="BU364" t="s">
        <v>135</v>
      </c>
      <c r="BV364" t="s">
        <v>135</v>
      </c>
      <c r="BW364" t="s">
        <v>135</v>
      </c>
      <c r="BX364" t="s">
        <v>135</v>
      </c>
      <c r="BY364" t="s">
        <v>135</v>
      </c>
      <c r="BZ364" t="s">
        <v>135</v>
      </c>
      <c r="CA364" t="s">
        <v>135</v>
      </c>
      <c r="CB364" t="s">
        <v>135</v>
      </c>
      <c r="CC364" t="s">
        <v>135</v>
      </c>
      <c r="CD364" t="s">
        <v>135</v>
      </c>
      <c r="CE364" t="s">
        <v>135</v>
      </c>
      <c r="CF364" t="s">
        <v>135</v>
      </c>
      <c r="CG364" t="s">
        <v>135</v>
      </c>
      <c r="CH364" t="s">
        <v>135</v>
      </c>
      <c r="CI364" t="s">
        <v>135</v>
      </c>
      <c r="CJ364" t="s">
        <v>135</v>
      </c>
      <c r="CK364" t="s">
        <v>135</v>
      </c>
      <c r="CL364" t="s">
        <v>135</v>
      </c>
      <c r="CM364" t="s">
        <v>135</v>
      </c>
      <c r="CN364" t="s">
        <v>135</v>
      </c>
      <c r="CO364" t="s">
        <v>135</v>
      </c>
      <c r="CP364">
        <v>27742.400000000001</v>
      </c>
      <c r="CQ364" t="s">
        <v>135</v>
      </c>
      <c r="CR364">
        <v>14277.4</v>
      </c>
      <c r="CS364" t="s">
        <v>135</v>
      </c>
      <c r="CT364" t="s">
        <v>135</v>
      </c>
      <c r="CU364" t="s">
        <v>135</v>
      </c>
      <c r="CV364" t="s">
        <v>135</v>
      </c>
      <c r="CW364" t="s">
        <v>135</v>
      </c>
      <c r="CX364" t="s">
        <v>135</v>
      </c>
      <c r="CY364" t="s">
        <v>135</v>
      </c>
      <c r="CZ364" t="s">
        <v>135</v>
      </c>
      <c r="DA364" t="s">
        <v>135</v>
      </c>
      <c r="DB364" t="s">
        <v>135</v>
      </c>
      <c r="DC364" t="s">
        <v>135</v>
      </c>
      <c r="DD364" t="s">
        <v>135</v>
      </c>
      <c r="DE364" t="s">
        <v>135</v>
      </c>
      <c r="DF364" t="s">
        <v>135</v>
      </c>
      <c r="DG364" t="s">
        <v>135</v>
      </c>
      <c r="DH364" t="s">
        <v>135</v>
      </c>
      <c r="DI364" t="s">
        <v>135</v>
      </c>
    </row>
    <row r="365" spans="1:113" x14ac:dyDescent="0.3">
      <c r="E365" t="s">
        <v>79</v>
      </c>
      <c r="F365" t="s">
        <v>135</v>
      </c>
      <c r="G365">
        <v>-2.5514999999999999</v>
      </c>
      <c r="H365" t="s">
        <v>135</v>
      </c>
      <c r="I365">
        <v>-0.77800000000000002</v>
      </c>
      <c r="J365">
        <v>6.2972000000000001</v>
      </c>
      <c r="K365">
        <v>1.5813999999999999</v>
      </c>
      <c r="L365">
        <v>-27.233599999999999</v>
      </c>
      <c r="M365">
        <v>6.1420000000000003</v>
      </c>
      <c r="N365">
        <v>5.2618999999999998</v>
      </c>
      <c r="O365">
        <v>5.2590000000000003</v>
      </c>
      <c r="P365">
        <v>5.2590000000000003</v>
      </c>
      <c r="Q365">
        <v>13.4519</v>
      </c>
      <c r="R365" t="s">
        <v>135</v>
      </c>
      <c r="S365" t="s">
        <v>135</v>
      </c>
      <c r="T365">
        <v>-18.134599999999999</v>
      </c>
      <c r="U365">
        <v>-49.750700000000002</v>
      </c>
      <c r="V365">
        <v>-79.230699999999999</v>
      </c>
      <c r="W365">
        <v>21.874600000000001</v>
      </c>
      <c r="X365">
        <v>22.021599999999999</v>
      </c>
      <c r="Y365" t="s">
        <v>135</v>
      </c>
      <c r="Z365">
        <v>-1.2918000000000001</v>
      </c>
      <c r="AA365">
        <v>-8.2828999999999997</v>
      </c>
      <c r="AB365">
        <v>-6.7968999999999999</v>
      </c>
      <c r="AC365">
        <v>-4.2766000000000002</v>
      </c>
      <c r="AD365">
        <v>-7.0201000000000002</v>
      </c>
      <c r="AE365" t="s">
        <v>135</v>
      </c>
      <c r="AF365">
        <v>-5.0707000000000004</v>
      </c>
      <c r="AG365">
        <v>-41.768799999999999</v>
      </c>
      <c r="AH365">
        <v>26.202999999999999</v>
      </c>
      <c r="AI365">
        <v>-15.424799999999999</v>
      </c>
      <c r="AJ365" t="s">
        <v>135</v>
      </c>
      <c r="AK365" t="s">
        <v>135</v>
      </c>
      <c r="AL365" t="s">
        <v>135</v>
      </c>
      <c r="AM365">
        <v>0.68659999999999999</v>
      </c>
      <c r="AN365">
        <v>-12.998799999999999</v>
      </c>
      <c r="AO365">
        <v>-29.255700000000001</v>
      </c>
      <c r="AP365">
        <v>-5.0305</v>
      </c>
      <c r="AQ365">
        <v>-5.2477999999999998</v>
      </c>
      <c r="AR365" t="s">
        <v>135</v>
      </c>
      <c r="AS365">
        <v>2.4449000000000001</v>
      </c>
      <c r="AT365">
        <v>0.23680000000000001</v>
      </c>
      <c r="AU365">
        <v>10.3637</v>
      </c>
      <c r="AV365">
        <v>6.3525999999999998</v>
      </c>
      <c r="AW365">
        <v>-12.618399999999999</v>
      </c>
      <c r="AX365">
        <v>-26.948799999999999</v>
      </c>
      <c r="AY365" t="s">
        <v>135</v>
      </c>
      <c r="AZ365" t="s">
        <v>135</v>
      </c>
      <c r="BA365">
        <v>5.1193999999999997</v>
      </c>
      <c r="BB365">
        <v>6.4459</v>
      </c>
      <c r="BC365" t="s">
        <v>135</v>
      </c>
      <c r="BD365" t="s">
        <v>135</v>
      </c>
      <c r="BE365" t="s">
        <v>135</v>
      </c>
      <c r="BF365">
        <v>8.9768000000000008</v>
      </c>
      <c r="BG365">
        <v>-31.7684</v>
      </c>
      <c r="BH365">
        <v>-65.839299999999994</v>
      </c>
      <c r="BI365" t="s">
        <v>135</v>
      </c>
      <c r="BJ365" t="s">
        <v>135</v>
      </c>
      <c r="BK365" t="s">
        <v>135</v>
      </c>
      <c r="BL365" t="s">
        <v>135</v>
      </c>
      <c r="BM365" t="s">
        <v>135</v>
      </c>
      <c r="BN365" t="s">
        <v>135</v>
      </c>
      <c r="BO365" t="s">
        <v>135</v>
      </c>
      <c r="BP365" t="s">
        <v>135</v>
      </c>
      <c r="BQ365" t="s">
        <v>135</v>
      </c>
      <c r="BR365" t="s">
        <v>135</v>
      </c>
      <c r="BS365" t="s">
        <v>135</v>
      </c>
      <c r="BT365" t="s">
        <v>135</v>
      </c>
      <c r="BU365" t="s">
        <v>135</v>
      </c>
      <c r="BV365" t="s">
        <v>135</v>
      </c>
      <c r="BW365" t="s">
        <v>135</v>
      </c>
      <c r="BX365" t="s">
        <v>135</v>
      </c>
      <c r="BY365">
        <v>717983.6</v>
      </c>
      <c r="BZ365">
        <v>43638.5</v>
      </c>
      <c r="CA365">
        <v>674345.1</v>
      </c>
      <c r="CB365">
        <v>7.8609</v>
      </c>
      <c r="CC365">
        <v>7.0792999999999999</v>
      </c>
      <c r="CD365">
        <v>20.7395</v>
      </c>
      <c r="CE365">
        <v>18.677499999999998</v>
      </c>
      <c r="CF365" t="s">
        <v>135</v>
      </c>
      <c r="CG365" t="s">
        <v>135</v>
      </c>
      <c r="CH365">
        <v>172.90520000000001</v>
      </c>
      <c r="CI365" t="s">
        <v>135</v>
      </c>
      <c r="CJ365">
        <v>40.835500000000003</v>
      </c>
      <c r="CK365">
        <v>184.0943</v>
      </c>
      <c r="CL365" t="s">
        <v>135</v>
      </c>
      <c r="CM365">
        <v>43.478099999999998</v>
      </c>
      <c r="CN365">
        <v>165.79050000000001</v>
      </c>
      <c r="CO365" t="s">
        <v>135</v>
      </c>
      <c r="CP365">
        <v>18304.900000000001</v>
      </c>
      <c r="CQ365" t="s">
        <v>135</v>
      </c>
      <c r="CR365">
        <v>4596.8999999999996</v>
      </c>
      <c r="CS365">
        <v>0.15379999999999999</v>
      </c>
      <c r="CT365">
        <v>1.0840000000000001</v>
      </c>
      <c r="CU365">
        <v>0.437</v>
      </c>
      <c r="CV365">
        <v>1.3456999999999999</v>
      </c>
      <c r="CW365">
        <v>9.2530000000000001</v>
      </c>
      <c r="CX365">
        <v>39.446800000000003</v>
      </c>
      <c r="CY365">
        <v>1.7690999999999999</v>
      </c>
      <c r="CZ365">
        <v>206.31780000000001</v>
      </c>
      <c r="DA365">
        <v>2.2029000000000001</v>
      </c>
      <c r="DB365">
        <v>165.6943</v>
      </c>
      <c r="DC365">
        <v>80.070400000000006</v>
      </c>
      <c r="DD365">
        <v>245.7647</v>
      </c>
      <c r="DE365">
        <v>256495</v>
      </c>
      <c r="DF365" t="s">
        <v>135</v>
      </c>
      <c r="DG365" t="s">
        <v>135</v>
      </c>
      <c r="DH365" t="s">
        <v>135</v>
      </c>
      <c r="DI365" t="s">
        <v>135</v>
      </c>
    </row>
    <row r="366" spans="1:113" x14ac:dyDescent="0.3">
      <c r="E366" t="s">
        <v>80</v>
      </c>
      <c r="F366" t="s">
        <v>135</v>
      </c>
      <c r="G366" t="s">
        <v>135</v>
      </c>
      <c r="H366" t="s">
        <v>135</v>
      </c>
      <c r="I366" t="s">
        <v>135</v>
      </c>
      <c r="J366">
        <v>2.7883</v>
      </c>
      <c r="K366">
        <v>-1.2831999999999999</v>
      </c>
      <c r="L366">
        <v>-36.0015</v>
      </c>
      <c r="M366">
        <v>-6.9617000000000004</v>
      </c>
      <c r="N366">
        <v>-7.7580999999999998</v>
      </c>
      <c r="O366">
        <v>-7.6467999999999998</v>
      </c>
      <c r="P366">
        <v>-7.6467999999999998</v>
      </c>
      <c r="Q366" t="s">
        <v>135</v>
      </c>
      <c r="R366" t="s">
        <v>135</v>
      </c>
      <c r="S366" t="s">
        <v>135</v>
      </c>
      <c r="T366">
        <v>-16.529499999999999</v>
      </c>
      <c r="U366">
        <v>-74.794200000000004</v>
      </c>
      <c r="V366" t="s">
        <v>135</v>
      </c>
      <c r="W366" t="s">
        <v>135</v>
      </c>
      <c r="X366" t="s">
        <v>135</v>
      </c>
      <c r="Y366" t="s">
        <v>135</v>
      </c>
      <c r="Z366" t="s">
        <v>135</v>
      </c>
      <c r="AA366" t="s">
        <v>135</v>
      </c>
      <c r="AB366" t="s">
        <v>135</v>
      </c>
      <c r="AC366" t="s">
        <v>135</v>
      </c>
      <c r="AD366" t="s">
        <v>135</v>
      </c>
      <c r="AE366" t="s">
        <v>135</v>
      </c>
      <c r="AF366" t="s">
        <v>135</v>
      </c>
      <c r="AG366" t="s">
        <v>135</v>
      </c>
      <c r="AH366" t="s">
        <v>135</v>
      </c>
      <c r="AI366" t="s">
        <v>135</v>
      </c>
      <c r="AJ366" t="s">
        <v>135</v>
      </c>
      <c r="AK366" t="s">
        <v>135</v>
      </c>
      <c r="AL366" t="s">
        <v>135</v>
      </c>
      <c r="AM366">
        <v>-0.55669999999999997</v>
      </c>
      <c r="AN366">
        <v>-25.695599999999999</v>
      </c>
      <c r="AO366" t="s">
        <v>135</v>
      </c>
      <c r="AP366" t="s">
        <v>135</v>
      </c>
      <c r="AQ366" t="s">
        <v>135</v>
      </c>
      <c r="AR366" t="s">
        <v>135</v>
      </c>
      <c r="AS366" t="s">
        <v>135</v>
      </c>
      <c r="AT366" t="s">
        <v>135</v>
      </c>
      <c r="AU366" t="s">
        <v>135</v>
      </c>
      <c r="AV366" t="s">
        <v>135</v>
      </c>
      <c r="AW366" t="s">
        <v>135</v>
      </c>
      <c r="AX366" t="s">
        <v>135</v>
      </c>
      <c r="AY366" t="s">
        <v>135</v>
      </c>
      <c r="AZ366" t="s">
        <v>135</v>
      </c>
      <c r="BA366" t="s">
        <v>135</v>
      </c>
      <c r="BB366" t="s">
        <v>135</v>
      </c>
      <c r="BC366" t="s">
        <v>135</v>
      </c>
      <c r="BD366" t="s">
        <v>135</v>
      </c>
      <c r="BE366" t="s">
        <v>135</v>
      </c>
      <c r="BF366">
        <v>5.9020000000000001</v>
      </c>
      <c r="BG366">
        <v>-57.807899999999997</v>
      </c>
      <c r="BH366">
        <v>-176.3349</v>
      </c>
      <c r="BI366">
        <v>-137.79249999999999</v>
      </c>
      <c r="BJ366">
        <v>-137.79249999999999</v>
      </c>
      <c r="BK366" t="s">
        <v>135</v>
      </c>
      <c r="BL366" t="s">
        <v>135</v>
      </c>
      <c r="BM366" t="s">
        <v>135</v>
      </c>
      <c r="BN366" t="s">
        <v>135</v>
      </c>
      <c r="BO366" t="s">
        <v>135</v>
      </c>
      <c r="BP366" t="s">
        <v>135</v>
      </c>
      <c r="BQ366" t="s">
        <v>135</v>
      </c>
      <c r="BR366" t="s">
        <v>135</v>
      </c>
      <c r="BS366" t="s">
        <v>135</v>
      </c>
      <c r="BT366" t="s">
        <v>135</v>
      </c>
      <c r="BU366" t="s">
        <v>135</v>
      </c>
      <c r="BV366" t="s">
        <v>135</v>
      </c>
      <c r="BW366" t="s">
        <v>135</v>
      </c>
      <c r="BX366" t="s">
        <v>135</v>
      </c>
      <c r="BY366" t="s">
        <v>135</v>
      </c>
      <c r="BZ366" t="s">
        <v>135</v>
      </c>
      <c r="CA366" t="s">
        <v>135</v>
      </c>
      <c r="CB366" t="s">
        <v>135</v>
      </c>
      <c r="CC366" t="s">
        <v>135</v>
      </c>
      <c r="CD366" t="s">
        <v>135</v>
      </c>
      <c r="CE366" t="s">
        <v>135</v>
      </c>
      <c r="CF366">
        <v>0.80459999999999998</v>
      </c>
      <c r="CG366" t="s">
        <v>135</v>
      </c>
      <c r="CH366" t="s">
        <v>135</v>
      </c>
      <c r="CI366" t="s">
        <v>135</v>
      </c>
      <c r="CJ366" t="s">
        <v>135</v>
      </c>
      <c r="CK366" t="s">
        <v>135</v>
      </c>
      <c r="CL366" t="s">
        <v>135</v>
      </c>
      <c r="CM366" t="s">
        <v>135</v>
      </c>
      <c r="CN366" t="s">
        <v>135</v>
      </c>
      <c r="CO366" t="s">
        <v>135</v>
      </c>
      <c r="CP366">
        <v>7756.8</v>
      </c>
      <c r="CQ366" t="s">
        <v>135</v>
      </c>
      <c r="CR366">
        <v>-3569.8</v>
      </c>
      <c r="CS366" t="s">
        <v>135</v>
      </c>
      <c r="CT366" t="s">
        <v>135</v>
      </c>
      <c r="CU366" t="s">
        <v>135</v>
      </c>
      <c r="CV366" t="s">
        <v>135</v>
      </c>
      <c r="CW366" t="s">
        <v>135</v>
      </c>
      <c r="CX366" t="s">
        <v>135</v>
      </c>
      <c r="CY366" t="s">
        <v>135</v>
      </c>
      <c r="CZ366" t="s">
        <v>135</v>
      </c>
      <c r="DA366" t="s">
        <v>135</v>
      </c>
      <c r="DB366" t="s">
        <v>135</v>
      </c>
      <c r="DC366" t="s">
        <v>135</v>
      </c>
      <c r="DD366" t="s">
        <v>135</v>
      </c>
      <c r="DE366" t="s">
        <v>135</v>
      </c>
      <c r="DF366" t="s">
        <v>135</v>
      </c>
      <c r="DG366" t="s">
        <v>135</v>
      </c>
      <c r="DH366" t="s">
        <v>135</v>
      </c>
      <c r="DI366" t="s">
        <v>135</v>
      </c>
    </row>
    <row r="367" spans="1:113" x14ac:dyDescent="0.3">
      <c r="E367" t="s">
        <v>81</v>
      </c>
      <c r="F367">
        <v>-2.0251999999999999</v>
      </c>
      <c r="G367">
        <v>-0.37580000000000002</v>
      </c>
      <c r="H367">
        <v>1.1093</v>
      </c>
      <c r="I367">
        <v>-0.19980000000000001</v>
      </c>
      <c r="J367">
        <v>7.5613999999999999</v>
      </c>
      <c r="K367">
        <v>3.3374999999999999</v>
      </c>
      <c r="L367" t="s">
        <v>135</v>
      </c>
      <c r="M367">
        <v>-9.5084999999999997</v>
      </c>
      <c r="N367">
        <v>-11.266500000000001</v>
      </c>
      <c r="O367">
        <v>-11.019500000000001</v>
      </c>
      <c r="P367">
        <v>-11.019500000000001</v>
      </c>
      <c r="Q367" t="s">
        <v>135</v>
      </c>
      <c r="R367" t="s">
        <v>135</v>
      </c>
      <c r="S367" t="s">
        <v>135</v>
      </c>
      <c r="T367">
        <v>-12.516</v>
      </c>
      <c r="U367">
        <v>42.921799999999998</v>
      </c>
      <c r="V367">
        <v>3117.7190000000001</v>
      </c>
      <c r="W367">
        <v>43.3628</v>
      </c>
      <c r="X367">
        <v>43.283200000000001</v>
      </c>
      <c r="Y367" t="s">
        <v>135</v>
      </c>
      <c r="Z367">
        <v>-12.086399999999999</v>
      </c>
      <c r="AA367">
        <v>-19.061399999999999</v>
      </c>
      <c r="AB367">
        <v>1.2514000000000001</v>
      </c>
      <c r="AC367">
        <v>2.5878000000000001</v>
      </c>
      <c r="AD367">
        <v>-39.444899999999997</v>
      </c>
      <c r="AE367" t="s">
        <v>135</v>
      </c>
      <c r="AF367">
        <v>6.2449000000000003</v>
      </c>
      <c r="AG367">
        <v>18.7913</v>
      </c>
      <c r="AH367">
        <v>6.8182999999999998</v>
      </c>
      <c r="AI367">
        <v>-8.8293999999999997</v>
      </c>
      <c r="AJ367">
        <v>2.2696999999999998</v>
      </c>
      <c r="AK367">
        <v>-9.0472000000000001</v>
      </c>
      <c r="AL367" t="s">
        <v>135</v>
      </c>
      <c r="AM367">
        <v>-2.7006000000000001</v>
      </c>
      <c r="AN367">
        <v>-13.162800000000001</v>
      </c>
      <c r="AO367">
        <v>-21.664400000000001</v>
      </c>
      <c r="AP367" t="s">
        <v>135</v>
      </c>
      <c r="AQ367" t="s">
        <v>135</v>
      </c>
      <c r="AR367" t="s">
        <v>135</v>
      </c>
      <c r="AS367">
        <v>-4.6054000000000004</v>
      </c>
      <c r="AT367">
        <v>-3.2843999999999998</v>
      </c>
      <c r="AU367">
        <v>10.626099999999999</v>
      </c>
      <c r="AV367">
        <v>3.7983000000000002</v>
      </c>
      <c r="AW367">
        <v>-10.5791</v>
      </c>
      <c r="AX367" t="s">
        <v>135</v>
      </c>
      <c r="AY367">
        <v>2.0097</v>
      </c>
      <c r="AZ367">
        <v>9.3279999999999994</v>
      </c>
      <c r="BA367">
        <v>7.2747999999999999</v>
      </c>
      <c r="BB367">
        <v>-3.8357000000000001</v>
      </c>
      <c r="BC367">
        <v>3.6324999999999998</v>
      </c>
      <c r="BD367">
        <v>-4.6879999999999997</v>
      </c>
      <c r="BE367" t="s">
        <v>135</v>
      </c>
      <c r="BF367">
        <v>18.738099999999999</v>
      </c>
      <c r="BG367">
        <v>163.0735</v>
      </c>
      <c r="BH367" t="s">
        <v>135</v>
      </c>
      <c r="BI367" t="s">
        <v>135</v>
      </c>
      <c r="BJ367" t="s">
        <v>135</v>
      </c>
      <c r="BK367" t="s">
        <v>135</v>
      </c>
      <c r="BL367" t="s">
        <v>135</v>
      </c>
      <c r="BM367" t="s">
        <v>135</v>
      </c>
      <c r="BN367" t="s">
        <v>135</v>
      </c>
      <c r="BO367" t="s">
        <v>135</v>
      </c>
      <c r="BP367" t="s">
        <v>135</v>
      </c>
      <c r="BQ367" t="s">
        <v>135</v>
      </c>
      <c r="BR367" t="s">
        <v>135</v>
      </c>
      <c r="BS367" t="s">
        <v>135</v>
      </c>
      <c r="BT367" t="s">
        <v>135</v>
      </c>
      <c r="BU367" t="s">
        <v>135</v>
      </c>
      <c r="BV367" t="s">
        <v>135</v>
      </c>
      <c r="BW367" t="s">
        <v>135</v>
      </c>
      <c r="BX367" t="s">
        <v>135</v>
      </c>
      <c r="BY367">
        <v>862037.8</v>
      </c>
      <c r="BZ367">
        <v>178496.9</v>
      </c>
      <c r="CA367">
        <v>683540.9</v>
      </c>
      <c r="CB367">
        <v>11.3955</v>
      </c>
      <c r="CC367">
        <v>9.8842999999999996</v>
      </c>
      <c r="CD367">
        <v>36.897100000000002</v>
      </c>
      <c r="CE367">
        <v>32.004100000000001</v>
      </c>
      <c r="CF367">
        <v>2.1667000000000001</v>
      </c>
      <c r="CG367">
        <v>17.444900000000001</v>
      </c>
      <c r="CH367">
        <v>226.6902</v>
      </c>
      <c r="CI367">
        <v>58.745199999999997</v>
      </c>
      <c r="CJ367">
        <v>41.870800000000003</v>
      </c>
      <c r="CK367">
        <v>285.88709999999998</v>
      </c>
      <c r="CL367">
        <v>74.085700000000003</v>
      </c>
      <c r="CM367">
        <v>52.8048</v>
      </c>
      <c r="CN367">
        <v>247.97489999999999</v>
      </c>
      <c r="CO367">
        <v>71.262299999999996</v>
      </c>
      <c r="CP367">
        <v>22052.400000000001</v>
      </c>
      <c r="CQ367" t="s">
        <v>135</v>
      </c>
      <c r="CR367">
        <v>9733.6</v>
      </c>
      <c r="CS367">
        <v>0.2261</v>
      </c>
      <c r="CT367">
        <v>0.93930000000000002</v>
      </c>
      <c r="CU367">
        <v>0.45760000000000001</v>
      </c>
      <c r="CV367">
        <v>0.77200000000000002</v>
      </c>
      <c r="CW367">
        <v>8.5297000000000001</v>
      </c>
      <c r="CX367">
        <v>42.908700000000003</v>
      </c>
      <c r="CY367">
        <v>1.7605</v>
      </c>
      <c r="CZ367">
        <v>207.89879999999999</v>
      </c>
      <c r="DA367">
        <v>1.7819</v>
      </c>
      <c r="DB367">
        <v>205.39949999999999</v>
      </c>
      <c r="DC367">
        <v>45.408099999999997</v>
      </c>
      <c r="DD367">
        <v>250.8075</v>
      </c>
      <c r="DE367">
        <v>203559.8</v>
      </c>
      <c r="DF367">
        <v>40580</v>
      </c>
      <c r="DG367">
        <v>43369.8</v>
      </c>
      <c r="DH367">
        <v>87693</v>
      </c>
      <c r="DI367">
        <v>31917</v>
      </c>
    </row>
    <row r="368" spans="1:113" x14ac:dyDescent="0.3">
      <c r="D368" t="s">
        <v>84</v>
      </c>
      <c r="E368" t="s">
        <v>77</v>
      </c>
      <c r="F368">
        <v>-10.827</v>
      </c>
      <c r="G368">
        <v>-2.4175</v>
      </c>
      <c r="H368">
        <v>-3.8506</v>
      </c>
      <c r="I368">
        <v>5.1779999999999999</v>
      </c>
      <c r="J368">
        <v>14.591200000000001</v>
      </c>
      <c r="K368">
        <v>9.7142999999999997</v>
      </c>
      <c r="L368">
        <v>78.849500000000006</v>
      </c>
      <c r="M368">
        <v>2.12</v>
      </c>
      <c r="N368">
        <v>-0.26090000000000002</v>
      </c>
      <c r="O368">
        <v>-3.6345000000000001</v>
      </c>
      <c r="P368">
        <v>-3.7835999999999999</v>
      </c>
      <c r="Q368">
        <v>112.30500000000001</v>
      </c>
      <c r="R368" t="s">
        <v>135</v>
      </c>
      <c r="S368" t="s">
        <v>135</v>
      </c>
      <c r="T368">
        <v>10.4079</v>
      </c>
      <c r="U368">
        <v>111.5992</v>
      </c>
      <c r="V368">
        <v>325.80860000000001</v>
      </c>
      <c r="W368">
        <v>-692.83280000000002</v>
      </c>
      <c r="X368">
        <v>-692.91110000000003</v>
      </c>
      <c r="Y368">
        <v>25</v>
      </c>
      <c r="Z368">
        <v>-3.9731000000000001</v>
      </c>
      <c r="AA368">
        <v>23.936499999999999</v>
      </c>
      <c r="AB368">
        <v>3.1699999999999999E-2</v>
      </c>
      <c r="AC368">
        <v>-2.3538000000000001</v>
      </c>
      <c r="AD368">
        <v>31.748699999999999</v>
      </c>
      <c r="AE368" t="s">
        <v>135</v>
      </c>
      <c r="AF368">
        <v>9.5699999999999993E-2</v>
      </c>
      <c r="AG368">
        <v>10.973800000000001</v>
      </c>
      <c r="AH368">
        <v>1.2533000000000001</v>
      </c>
      <c r="AI368">
        <v>-11.440300000000001</v>
      </c>
      <c r="AJ368">
        <v>-3.2134</v>
      </c>
      <c r="AK368">
        <v>-13.5213</v>
      </c>
      <c r="AL368">
        <v>2.0644</v>
      </c>
      <c r="AM368">
        <v>-2.4746999999999999</v>
      </c>
      <c r="AN368">
        <v>6.5166000000000004</v>
      </c>
      <c r="AO368">
        <v>7.4871999999999996</v>
      </c>
      <c r="AP368" t="s">
        <v>135</v>
      </c>
      <c r="AQ368" t="s">
        <v>135</v>
      </c>
      <c r="AR368">
        <v>-3.5807000000000002</v>
      </c>
      <c r="AS368">
        <v>-4.8780000000000001</v>
      </c>
      <c r="AT368">
        <v>-0.62829999999999997</v>
      </c>
      <c r="AU368">
        <v>11.6157</v>
      </c>
      <c r="AV368">
        <v>3.3714</v>
      </c>
      <c r="AW368">
        <v>-2.2349999999999999</v>
      </c>
      <c r="AX368" t="s">
        <v>135</v>
      </c>
      <c r="AY368">
        <v>-1.9807000000000001</v>
      </c>
      <c r="AZ368">
        <v>5.3167</v>
      </c>
      <c r="BA368">
        <v>6.7455999999999996</v>
      </c>
      <c r="BB368">
        <v>-2.0611000000000002</v>
      </c>
      <c r="BC368">
        <v>3.3885999999999998</v>
      </c>
      <c r="BD368">
        <v>-2.3445</v>
      </c>
      <c r="BE368">
        <v>-5.6441999999999997</v>
      </c>
      <c r="BF368">
        <v>10.4079</v>
      </c>
      <c r="BG368">
        <v>111.5992</v>
      </c>
      <c r="BH368">
        <v>325.80860000000001</v>
      </c>
      <c r="BI368" t="s">
        <v>135</v>
      </c>
      <c r="BJ368" t="s">
        <v>135</v>
      </c>
      <c r="BK368">
        <v>25</v>
      </c>
      <c r="BL368">
        <v>-3.9731000000000001</v>
      </c>
      <c r="BM368">
        <v>23.936499999999999</v>
      </c>
      <c r="BN368">
        <v>3.1699999999999999E-2</v>
      </c>
      <c r="BO368">
        <v>-2.3538000000000001</v>
      </c>
      <c r="BP368">
        <v>31.748699999999999</v>
      </c>
      <c r="BQ368" t="s">
        <v>135</v>
      </c>
      <c r="BR368">
        <v>9.5699999999999993E-2</v>
      </c>
      <c r="BS368">
        <v>10.973800000000001</v>
      </c>
      <c r="BT368">
        <v>1.2533000000000001</v>
      </c>
      <c r="BU368">
        <v>-11.440300000000001</v>
      </c>
      <c r="BV368">
        <v>-3.2134</v>
      </c>
      <c r="BW368">
        <v>-13.5213</v>
      </c>
      <c r="BX368">
        <v>2.0644</v>
      </c>
      <c r="BY368">
        <v>830144.9</v>
      </c>
      <c r="BZ368">
        <v>189922.2</v>
      </c>
      <c r="CA368">
        <v>640222.69999999995</v>
      </c>
      <c r="CB368">
        <v>4.8758999999999997</v>
      </c>
      <c r="CC368">
        <v>4.2537000000000003</v>
      </c>
      <c r="CD368">
        <v>7.3238000000000003</v>
      </c>
      <c r="CE368">
        <v>6.3891</v>
      </c>
      <c r="CF368">
        <v>3.3565999999999998</v>
      </c>
      <c r="CG368">
        <v>21.818899999999999</v>
      </c>
      <c r="CH368">
        <v>162.40639999999999</v>
      </c>
      <c r="CI368">
        <v>52.290599999999998</v>
      </c>
      <c r="CJ368">
        <v>36.935899999999997</v>
      </c>
      <c r="CK368">
        <v>210.58430000000001</v>
      </c>
      <c r="CL368">
        <v>67.802599999999998</v>
      </c>
      <c r="CM368">
        <v>47.893000000000001</v>
      </c>
      <c r="CN368">
        <v>183.7099</v>
      </c>
      <c r="CO368">
        <v>64.752700000000004</v>
      </c>
      <c r="CP368">
        <v>170253.8</v>
      </c>
      <c r="CQ368">
        <v>93097.4</v>
      </c>
      <c r="CR368">
        <v>113349.4</v>
      </c>
      <c r="CS368">
        <v>0.2104</v>
      </c>
      <c r="CT368">
        <v>1.0115000000000001</v>
      </c>
      <c r="CU368">
        <v>0.44059999999999999</v>
      </c>
      <c r="CV368">
        <v>1.0364</v>
      </c>
      <c r="CW368">
        <v>9.8661999999999992</v>
      </c>
      <c r="CX368">
        <v>36.995100000000001</v>
      </c>
      <c r="CY368">
        <v>1.9565000000000001</v>
      </c>
      <c r="CZ368">
        <v>186.5548</v>
      </c>
      <c r="DA368">
        <v>2.6196000000000002</v>
      </c>
      <c r="DB368">
        <v>139.33680000000001</v>
      </c>
      <c r="DC368">
        <v>84.213200000000001</v>
      </c>
      <c r="DD368">
        <v>223.54990000000001</v>
      </c>
      <c r="DE368">
        <v>248038.2</v>
      </c>
      <c r="DF368">
        <v>73699.3</v>
      </c>
      <c r="DG368">
        <v>43787.5</v>
      </c>
      <c r="DH368">
        <v>99783.7</v>
      </c>
      <c r="DI368">
        <v>30767.7</v>
      </c>
    </row>
    <row r="369" spans="1:113" x14ac:dyDescent="0.3">
      <c r="E369" t="s">
        <v>78</v>
      </c>
      <c r="F369" t="s">
        <v>135</v>
      </c>
      <c r="G369" t="s">
        <v>135</v>
      </c>
      <c r="H369" t="s">
        <v>135</v>
      </c>
      <c r="I369" t="s">
        <v>135</v>
      </c>
      <c r="J369">
        <v>12.8874</v>
      </c>
      <c r="K369">
        <v>7.9512999999999998</v>
      </c>
      <c r="L369" t="s">
        <v>135</v>
      </c>
      <c r="M369">
        <v>3.6278999999999999</v>
      </c>
      <c r="N369">
        <v>0.6845</v>
      </c>
      <c r="O369">
        <v>-12.747199999999999</v>
      </c>
      <c r="P369">
        <v>-12.747199999999999</v>
      </c>
      <c r="Q369">
        <v>81.132800000000003</v>
      </c>
      <c r="R369" t="s">
        <v>135</v>
      </c>
      <c r="S369" t="s">
        <v>135</v>
      </c>
      <c r="T369">
        <v>-5.6913</v>
      </c>
      <c r="U369">
        <v>20.844200000000001</v>
      </c>
      <c r="V369">
        <v>48.642699999999998</v>
      </c>
      <c r="W369">
        <v>-904.85080000000005</v>
      </c>
      <c r="X369">
        <v>-904.85090000000002</v>
      </c>
      <c r="Y369" t="s">
        <v>135</v>
      </c>
      <c r="Z369" t="s">
        <v>135</v>
      </c>
      <c r="AA369" t="s">
        <v>135</v>
      </c>
      <c r="AB369" t="s">
        <v>135</v>
      </c>
      <c r="AC369" t="s">
        <v>135</v>
      </c>
      <c r="AD369" t="s">
        <v>135</v>
      </c>
      <c r="AE369" t="s">
        <v>135</v>
      </c>
      <c r="AF369" t="s">
        <v>135</v>
      </c>
      <c r="AG369" t="s">
        <v>135</v>
      </c>
      <c r="AH369" t="s">
        <v>135</v>
      </c>
      <c r="AI369" t="s">
        <v>135</v>
      </c>
      <c r="AJ369" t="s">
        <v>135</v>
      </c>
      <c r="AK369" t="s">
        <v>135</v>
      </c>
      <c r="AL369" t="s">
        <v>135</v>
      </c>
      <c r="AM369">
        <v>-5.2408000000000001</v>
      </c>
      <c r="AN369">
        <v>-6.1684999999999999</v>
      </c>
      <c r="AO369">
        <v>-9.5633999999999997</v>
      </c>
      <c r="AP369" t="s">
        <v>135</v>
      </c>
      <c r="AQ369" t="s">
        <v>135</v>
      </c>
      <c r="AR369" t="s">
        <v>135</v>
      </c>
      <c r="AS369" t="s">
        <v>135</v>
      </c>
      <c r="AT369" t="s">
        <v>135</v>
      </c>
      <c r="AU369" t="s">
        <v>135</v>
      </c>
      <c r="AV369" t="s">
        <v>135</v>
      </c>
      <c r="AW369" t="s">
        <v>135</v>
      </c>
      <c r="AX369" t="s">
        <v>135</v>
      </c>
      <c r="AY369" t="s">
        <v>135</v>
      </c>
      <c r="AZ369" t="s">
        <v>135</v>
      </c>
      <c r="BA369" t="s">
        <v>135</v>
      </c>
      <c r="BB369" t="s">
        <v>135</v>
      </c>
      <c r="BC369" t="s">
        <v>135</v>
      </c>
      <c r="BD369" t="s">
        <v>135</v>
      </c>
      <c r="BE369" t="s">
        <v>135</v>
      </c>
      <c r="BF369">
        <v>-2.4340000000000002</v>
      </c>
      <c r="BG369">
        <v>44.3611</v>
      </c>
      <c r="BH369">
        <v>126.91840000000001</v>
      </c>
      <c r="BI369" t="s">
        <v>135</v>
      </c>
      <c r="BJ369" t="s">
        <v>135</v>
      </c>
      <c r="BK369" t="s">
        <v>135</v>
      </c>
      <c r="BL369" t="s">
        <v>135</v>
      </c>
      <c r="BM369" t="s">
        <v>135</v>
      </c>
      <c r="BN369" t="s">
        <v>135</v>
      </c>
      <c r="BO369" t="s">
        <v>135</v>
      </c>
      <c r="BP369" t="s">
        <v>135</v>
      </c>
      <c r="BQ369" t="s">
        <v>135</v>
      </c>
      <c r="BR369" t="s">
        <v>135</v>
      </c>
      <c r="BS369" t="s">
        <v>135</v>
      </c>
      <c r="BT369" t="s">
        <v>135</v>
      </c>
      <c r="BU369" t="s">
        <v>135</v>
      </c>
      <c r="BV369" t="s">
        <v>135</v>
      </c>
      <c r="BW369" t="s">
        <v>135</v>
      </c>
      <c r="BX369" t="s">
        <v>135</v>
      </c>
      <c r="BY369" t="s">
        <v>135</v>
      </c>
      <c r="BZ369" t="s">
        <v>135</v>
      </c>
      <c r="CA369" t="s">
        <v>135</v>
      </c>
      <c r="CB369" t="s">
        <v>135</v>
      </c>
      <c r="CC369" t="s">
        <v>135</v>
      </c>
      <c r="CD369" t="s">
        <v>135</v>
      </c>
      <c r="CE369" t="s">
        <v>135</v>
      </c>
      <c r="CF369">
        <v>3.0278</v>
      </c>
      <c r="CG369" t="s">
        <v>135</v>
      </c>
      <c r="CH369" t="s">
        <v>135</v>
      </c>
      <c r="CI369" t="s">
        <v>135</v>
      </c>
      <c r="CJ369" t="s">
        <v>135</v>
      </c>
      <c r="CK369" t="s">
        <v>135</v>
      </c>
      <c r="CL369" t="s">
        <v>135</v>
      </c>
      <c r="CM369" t="s">
        <v>135</v>
      </c>
      <c r="CN369" t="s">
        <v>135</v>
      </c>
      <c r="CO369" t="s">
        <v>135</v>
      </c>
      <c r="CP369">
        <v>32419.599999999999</v>
      </c>
      <c r="CQ369" t="s">
        <v>135</v>
      </c>
      <c r="CR369">
        <v>20002.400000000001</v>
      </c>
      <c r="CS369" t="s">
        <v>135</v>
      </c>
      <c r="CT369" t="s">
        <v>135</v>
      </c>
      <c r="CU369" t="s">
        <v>135</v>
      </c>
      <c r="CV369" t="s">
        <v>135</v>
      </c>
      <c r="CW369" t="s">
        <v>135</v>
      </c>
      <c r="CX369" t="s">
        <v>135</v>
      </c>
      <c r="CY369" t="s">
        <v>135</v>
      </c>
      <c r="CZ369" t="s">
        <v>135</v>
      </c>
      <c r="DA369" t="s">
        <v>135</v>
      </c>
      <c r="DB369" t="s">
        <v>135</v>
      </c>
      <c r="DC369" t="s">
        <v>135</v>
      </c>
      <c r="DD369" t="s">
        <v>135</v>
      </c>
      <c r="DE369" t="s">
        <v>135</v>
      </c>
      <c r="DF369" t="s">
        <v>135</v>
      </c>
      <c r="DG369" t="s">
        <v>135</v>
      </c>
      <c r="DH369" t="s">
        <v>135</v>
      </c>
      <c r="DI369" t="s">
        <v>135</v>
      </c>
    </row>
    <row r="370" spans="1:113" x14ac:dyDescent="0.3">
      <c r="E370" t="s">
        <v>79</v>
      </c>
      <c r="F370" t="s">
        <v>135</v>
      </c>
      <c r="G370">
        <v>-5.3307000000000002</v>
      </c>
      <c r="H370" t="s">
        <v>135</v>
      </c>
      <c r="I370">
        <v>-2.3527</v>
      </c>
      <c r="J370">
        <v>11.296200000000001</v>
      </c>
      <c r="K370">
        <v>5.7138999999999998</v>
      </c>
      <c r="L370">
        <v>4406.5162</v>
      </c>
      <c r="M370">
        <v>0.72760000000000002</v>
      </c>
      <c r="N370">
        <v>-0.65429999999999999</v>
      </c>
      <c r="O370">
        <v>-0.22670000000000001</v>
      </c>
      <c r="P370">
        <v>-0.22670000000000001</v>
      </c>
      <c r="Q370">
        <v>189.9273</v>
      </c>
      <c r="R370" t="s">
        <v>135</v>
      </c>
      <c r="S370" t="s">
        <v>135</v>
      </c>
      <c r="T370">
        <v>8.9399999999999993E-2</v>
      </c>
      <c r="U370">
        <v>61.5486</v>
      </c>
      <c r="V370">
        <v>221.24449999999999</v>
      </c>
      <c r="W370" t="s">
        <v>135</v>
      </c>
      <c r="X370" t="s">
        <v>135</v>
      </c>
      <c r="Y370" t="s">
        <v>135</v>
      </c>
      <c r="Z370">
        <v>-26.2667</v>
      </c>
      <c r="AA370">
        <v>-13.134399999999999</v>
      </c>
      <c r="AB370">
        <v>28.666</v>
      </c>
      <c r="AC370">
        <v>3.5449000000000002</v>
      </c>
      <c r="AD370">
        <v>-21.825500000000002</v>
      </c>
      <c r="AE370" t="s">
        <v>135</v>
      </c>
      <c r="AF370">
        <v>-13.575200000000001</v>
      </c>
      <c r="AG370">
        <v>298.08170000000001</v>
      </c>
      <c r="AH370">
        <v>15.291600000000001</v>
      </c>
      <c r="AI370">
        <v>-1.8254000000000001</v>
      </c>
      <c r="AJ370" t="s">
        <v>135</v>
      </c>
      <c r="AK370" t="s">
        <v>135</v>
      </c>
      <c r="AL370" t="s">
        <v>135</v>
      </c>
      <c r="AM370">
        <v>-4.1554000000000002</v>
      </c>
      <c r="AN370">
        <v>1.5508999999999999</v>
      </c>
      <c r="AO370">
        <v>-1.7534999999999998</v>
      </c>
      <c r="AP370" t="s">
        <v>135</v>
      </c>
      <c r="AQ370" t="s">
        <v>135</v>
      </c>
      <c r="AR370" t="s">
        <v>135</v>
      </c>
      <c r="AS370">
        <v>-8.0039999999999996</v>
      </c>
      <c r="AT370">
        <v>-4.0153999999999996</v>
      </c>
      <c r="AU370">
        <v>12.4361</v>
      </c>
      <c r="AV370">
        <v>3.5596999999999999</v>
      </c>
      <c r="AW370">
        <v>-18.9223</v>
      </c>
      <c r="AX370" t="s">
        <v>135</v>
      </c>
      <c r="AY370" t="s">
        <v>135</v>
      </c>
      <c r="AZ370" t="s">
        <v>135</v>
      </c>
      <c r="BA370">
        <v>6.5590999999999999</v>
      </c>
      <c r="BB370">
        <v>-2.2446999999999999</v>
      </c>
      <c r="BC370" t="s">
        <v>135</v>
      </c>
      <c r="BD370" t="s">
        <v>135</v>
      </c>
      <c r="BE370" t="s">
        <v>135</v>
      </c>
      <c r="BF370">
        <v>6.3560999999999996</v>
      </c>
      <c r="BG370">
        <v>-9.4327000000000005</v>
      </c>
      <c r="BH370">
        <v>-26.271100000000001</v>
      </c>
      <c r="BI370" t="s">
        <v>135</v>
      </c>
      <c r="BJ370" t="s">
        <v>135</v>
      </c>
      <c r="BK370" t="s">
        <v>135</v>
      </c>
      <c r="BL370" t="s">
        <v>135</v>
      </c>
      <c r="BM370" t="s">
        <v>135</v>
      </c>
      <c r="BN370" t="s">
        <v>135</v>
      </c>
      <c r="BO370" t="s">
        <v>135</v>
      </c>
      <c r="BP370" t="s">
        <v>135</v>
      </c>
      <c r="BQ370" t="s">
        <v>135</v>
      </c>
      <c r="BR370" t="s">
        <v>135</v>
      </c>
      <c r="BS370" t="s">
        <v>135</v>
      </c>
      <c r="BT370" t="s">
        <v>135</v>
      </c>
      <c r="BU370" t="s">
        <v>135</v>
      </c>
      <c r="BV370" t="s">
        <v>135</v>
      </c>
      <c r="BW370" t="s">
        <v>135</v>
      </c>
      <c r="BX370" t="s">
        <v>135</v>
      </c>
      <c r="BY370">
        <v>827775.1</v>
      </c>
      <c r="BZ370">
        <v>173716.9</v>
      </c>
      <c r="CA370">
        <v>654058.19999999995</v>
      </c>
      <c r="CB370">
        <v>8.8690999999999995</v>
      </c>
      <c r="CC370">
        <v>7.9352999999999998</v>
      </c>
      <c r="CD370">
        <v>20.845300000000002</v>
      </c>
      <c r="CE370">
        <v>18.6508</v>
      </c>
      <c r="CF370">
        <v>2.1983000000000001</v>
      </c>
      <c r="CG370" t="s">
        <v>135</v>
      </c>
      <c r="CH370">
        <v>170.82169999999999</v>
      </c>
      <c r="CI370" t="s">
        <v>135</v>
      </c>
      <c r="CJ370">
        <v>38.251100000000001</v>
      </c>
      <c r="CK370">
        <v>216.19159999999999</v>
      </c>
      <c r="CL370" t="s">
        <v>135</v>
      </c>
      <c r="CM370">
        <v>48.410499999999999</v>
      </c>
      <c r="CN370">
        <v>193.43119999999999</v>
      </c>
      <c r="CO370" t="s">
        <v>135</v>
      </c>
      <c r="CP370">
        <v>29699.9</v>
      </c>
      <c r="CQ370" t="s">
        <v>135</v>
      </c>
      <c r="CR370">
        <v>15023</v>
      </c>
      <c r="CS370">
        <v>0.18479999999999999</v>
      </c>
      <c r="CT370">
        <v>0.93659999999999999</v>
      </c>
      <c r="CU370">
        <v>0.39040000000000002</v>
      </c>
      <c r="CV370">
        <v>1.1522000000000001</v>
      </c>
      <c r="CW370">
        <v>8.8779000000000003</v>
      </c>
      <c r="CX370">
        <v>41.2258</v>
      </c>
      <c r="CY370">
        <v>1.5798999999999999</v>
      </c>
      <c r="CZ370">
        <v>231.66470000000001</v>
      </c>
      <c r="DA370">
        <v>1.8552999999999999</v>
      </c>
      <c r="DB370">
        <v>197.27090000000001</v>
      </c>
      <c r="DC370">
        <v>75.619600000000005</v>
      </c>
      <c r="DD370">
        <v>272.89049999999997</v>
      </c>
      <c r="DE370">
        <v>222805.9</v>
      </c>
      <c r="DF370" t="s">
        <v>135</v>
      </c>
      <c r="DG370" t="s">
        <v>135</v>
      </c>
      <c r="DH370" t="s">
        <v>135</v>
      </c>
      <c r="DI370" t="s">
        <v>135</v>
      </c>
    </row>
    <row r="371" spans="1:113" x14ac:dyDescent="0.3">
      <c r="E371" t="s">
        <v>80</v>
      </c>
      <c r="F371" t="s">
        <v>135</v>
      </c>
      <c r="G371" t="s">
        <v>135</v>
      </c>
      <c r="H371" t="s">
        <v>135</v>
      </c>
      <c r="I371" t="s">
        <v>135</v>
      </c>
      <c r="J371">
        <v>12.7111</v>
      </c>
      <c r="K371">
        <v>7.7557999999999998</v>
      </c>
      <c r="L371">
        <v>79.521199999999993</v>
      </c>
      <c r="M371">
        <v>3.1366999999999998</v>
      </c>
      <c r="N371">
        <v>0.62839999999999996</v>
      </c>
      <c r="O371">
        <v>0.72509999999999997</v>
      </c>
      <c r="P371">
        <v>0.72509999999999997</v>
      </c>
      <c r="Q371">
        <v>79.965400000000002</v>
      </c>
      <c r="R371" t="s">
        <v>135</v>
      </c>
      <c r="S371" t="s">
        <v>135</v>
      </c>
      <c r="T371">
        <v>13.3621</v>
      </c>
      <c r="U371">
        <v>322.21510000000001</v>
      </c>
      <c r="V371" t="s">
        <v>135</v>
      </c>
      <c r="W371" t="s">
        <v>135</v>
      </c>
      <c r="X371" t="s">
        <v>135</v>
      </c>
      <c r="Y371" t="s">
        <v>135</v>
      </c>
      <c r="Z371" t="s">
        <v>135</v>
      </c>
      <c r="AA371" t="s">
        <v>135</v>
      </c>
      <c r="AB371" t="s">
        <v>135</v>
      </c>
      <c r="AC371" t="s">
        <v>135</v>
      </c>
      <c r="AD371" t="s">
        <v>135</v>
      </c>
      <c r="AE371" t="s">
        <v>135</v>
      </c>
      <c r="AF371" t="s">
        <v>135</v>
      </c>
      <c r="AG371" t="s">
        <v>135</v>
      </c>
      <c r="AH371" t="s">
        <v>135</v>
      </c>
      <c r="AI371" t="s">
        <v>135</v>
      </c>
      <c r="AJ371" t="s">
        <v>135</v>
      </c>
      <c r="AK371" t="s">
        <v>135</v>
      </c>
      <c r="AL371" t="s">
        <v>135</v>
      </c>
      <c r="AM371">
        <v>-3.3197999999999999</v>
      </c>
      <c r="AN371">
        <v>15.561400000000001</v>
      </c>
      <c r="AO371">
        <v>31.304400000000001</v>
      </c>
      <c r="AP371" t="s">
        <v>135</v>
      </c>
      <c r="AQ371" t="s">
        <v>135</v>
      </c>
      <c r="AR371" t="s">
        <v>135</v>
      </c>
      <c r="AS371" t="s">
        <v>135</v>
      </c>
      <c r="AT371" t="s">
        <v>135</v>
      </c>
      <c r="AU371" t="s">
        <v>135</v>
      </c>
      <c r="AV371" t="s">
        <v>135</v>
      </c>
      <c r="AW371" t="s">
        <v>135</v>
      </c>
      <c r="AX371" t="s">
        <v>135</v>
      </c>
      <c r="AY371" t="s">
        <v>135</v>
      </c>
      <c r="AZ371" t="s">
        <v>135</v>
      </c>
      <c r="BA371" t="s">
        <v>135</v>
      </c>
      <c r="BB371" t="s">
        <v>135</v>
      </c>
      <c r="BC371" t="s">
        <v>135</v>
      </c>
      <c r="BD371" t="s">
        <v>135</v>
      </c>
      <c r="BE371" t="s">
        <v>135</v>
      </c>
      <c r="BF371">
        <v>5.9032</v>
      </c>
      <c r="BG371">
        <v>19.167400000000001</v>
      </c>
      <c r="BH371">
        <v>43.747599999999998</v>
      </c>
      <c r="BI371" t="s">
        <v>135</v>
      </c>
      <c r="BJ371" t="s">
        <v>135</v>
      </c>
      <c r="BK371" t="s">
        <v>135</v>
      </c>
      <c r="BL371" t="s">
        <v>135</v>
      </c>
      <c r="BM371" t="s">
        <v>135</v>
      </c>
      <c r="BN371" t="s">
        <v>135</v>
      </c>
      <c r="BO371" t="s">
        <v>135</v>
      </c>
      <c r="BP371" t="s">
        <v>135</v>
      </c>
      <c r="BQ371" t="s">
        <v>135</v>
      </c>
      <c r="BR371" t="s">
        <v>135</v>
      </c>
      <c r="BS371" t="s">
        <v>135</v>
      </c>
      <c r="BT371" t="s">
        <v>135</v>
      </c>
      <c r="BU371" t="s">
        <v>135</v>
      </c>
      <c r="BV371" t="s">
        <v>135</v>
      </c>
      <c r="BW371" t="s">
        <v>135</v>
      </c>
      <c r="BX371" t="s">
        <v>135</v>
      </c>
      <c r="BY371" t="s">
        <v>135</v>
      </c>
      <c r="BZ371" t="s">
        <v>135</v>
      </c>
      <c r="CA371" t="s">
        <v>135</v>
      </c>
      <c r="CB371" t="s">
        <v>135</v>
      </c>
      <c r="CC371" t="s">
        <v>135</v>
      </c>
      <c r="CD371" t="s">
        <v>135</v>
      </c>
      <c r="CE371" t="s">
        <v>135</v>
      </c>
      <c r="CF371">
        <v>2.5510000000000002</v>
      </c>
      <c r="CG371" t="s">
        <v>135</v>
      </c>
      <c r="CH371" t="s">
        <v>135</v>
      </c>
      <c r="CI371" t="s">
        <v>135</v>
      </c>
      <c r="CJ371" t="s">
        <v>135</v>
      </c>
      <c r="CK371" t="s">
        <v>135</v>
      </c>
      <c r="CL371" t="s">
        <v>135</v>
      </c>
      <c r="CM371" t="s">
        <v>135</v>
      </c>
      <c r="CN371" t="s">
        <v>135</v>
      </c>
      <c r="CO371" t="s">
        <v>135</v>
      </c>
      <c r="CP371">
        <v>35392.6</v>
      </c>
      <c r="CQ371" t="s">
        <v>135</v>
      </c>
      <c r="CR371">
        <v>21595.200000000001</v>
      </c>
      <c r="CS371" t="s">
        <v>135</v>
      </c>
      <c r="CT371" t="s">
        <v>135</v>
      </c>
      <c r="CU371" t="s">
        <v>135</v>
      </c>
      <c r="CV371" t="s">
        <v>135</v>
      </c>
      <c r="CW371" t="s">
        <v>135</v>
      </c>
      <c r="CX371" t="s">
        <v>135</v>
      </c>
      <c r="CY371" t="s">
        <v>135</v>
      </c>
      <c r="CZ371" t="s">
        <v>135</v>
      </c>
      <c r="DA371" t="s">
        <v>135</v>
      </c>
      <c r="DB371" t="s">
        <v>135</v>
      </c>
      <c r="DC371" t="s">
        <v>135</v>
      </c>
      <c r="DD371" t="s">
        <v>135</v>
      </c>
      <c r="DE371" t="s">
        <v>135</v>
      </c>
      <c r="DF371" t="s">
        <v>135</v>
      </c>
      <c r="DG371" t="s">
        <v>135</v>
      </c>
      <c r="DH371" t="s">
        <v>135</v>
      </c>
      <c r="DI371" t="s">
        <v>135</v>
      </c>
    </row>
    <row r="372" spans="1:113" x14ac:dyDescent="0.3">
      <c r="E372" t="s">
        <v>81</v>
      </c>
      <c r="F372">
        <v>-10.4003</v>
      </c>
      <c r="G372">
        <v>-2.4175</v>
      </c>
      <c r="H372">
        <v>-4.0480999999999998</v>
      </c>
      <c r="I372">
        <v>-11.368</v>
      </c>
      <c r="J372">
        <v>21.0184</v>
      </c>
      <c r="K372">
        <v>16.2637</v>
      </c>
      <c r="L372">
        <v>59.6098</v>
      </c>
      <c r="M372">
        <v>0.77549999999999997</v>
      </c>
      <c r="N372">
        <v>-2.1444000000000001</v>
      </c>
      <c r="O372">
        <v>-3.5196000000000001</v>
      </c>
      <c r="P372">
        <v>-3.5196000000000001</v>
      </c>
      <c r="Q372">
        <v>376.51330000000002</v>
      </c>
      <c r="R372" t="s">
        <v>135</v>
      </c>
      <c r="S372" t="s">
        <v>135</v>
      </c>
      <c r="T372">
        <v>29.633400000000002</v>
      </c>
      <c r="U372">
        <v>212.8252</v>
      </c>
      <c r="V372">
        <v>516.68899999999996</v>
      </c>
      <c r="W372">
        <v>60.669400000000003</v>
      </c>
      <c r="X372">
        <v>61.204300000000003</v>
      </c>
      <c r="Y372" t="s">
        <v>135</v>
      </c>
      <c r="Z372">
        <v>-3.9731000000000001</v>
      </c>
      <c r="AA372">
        <v>23.936499999999999</v>
      </c>
      <c r="AB372">
        <v>3.1699999999999999E-2</v>
      </c>
      <c r="AC372">
        <v>-2.3538000000000001</v>
      </c>
      <c r="AD372">
        <v>31.748699999999999</v>
      </c>
      <c r="AE372" t="s">
        <v>135</v>
      </c>
      <c r="AF372">
        <v>9.5699999999999993E-2</v>
      </c>
      <c r="AG372">
        <v>10.973800000000001</v>
      </c>
      <c r="AH372">
        <v>1.2533000000000001</v>
      </c>
      <c r="AI372">
        <v>-11.440300000000001</v>
      </c>
      <c r="AJ372">
        <v>-3.2134</v>
      </c>
      <c r="AK372">
        <v>-13.5213</v>
      </c>
      <c r="AL372" t="s">
        <v>135</v>
      </c>
      <c r="AM372">
        <v>-0.25890000000000002</v>
      </c>
      <c r="AN372">
        <v>17.186699999999998</v>
      </c>
      <c r="AO372">
        <v>21.116399999999999</v>
      </c>
      <c r="AP372" t="s">
        <v>135</v>
      </c>
      <c r="AQ372" t="s">
        <v>135</v>
      </c>
      <c r="AR372" t="s">
        <v>135</v>
      </c>
      <c r="AS372">
        <v>-4.8780000000000001</v>
      </c>
      <c r="AT372">
        <v>-0.62829999999999997</v>
      </c>
      <c r="AU372">
        <v>11.6157</v>
      </c>
      <c r="AV372">
        <v>3.3714</v>
      </c>
      <c r="AW372">
        <v>-2.2349999999999999</v>
      </c>
      <c r="AX372" t="s">
        <v>135</v>
      </c>
      <c r="AY372">
        <v>-1.9807000000000001</v>
      </c>
      <c r="AZ372">
        <v>5.3167</v>
      </c>
      <c r="BA372">
        <v>6.7455999999999996</v>
      </c>
      <c r="BB372">
        <v>-2.0611000000000002</v>
      </c>
      <c r="BC372">
        <v>3.3885999999999998</v>
      </c>
      <c r="BD372">
        <v>-2.3445</v>
      </c>
      <c r="BE372" t="s">
        <v>135</v>
      </c>
      <c r="BF372">
        <v>21.229099999999999</v>
      </c>
      <c r="BG372">
        <v>93.204599999999999</v>
      </c>
      <c r="BH372">
        <v>140.8321</v>
      </c>
      <c r="BI372">
        <v>-682.66959999999995</v>
      </c>
      <c r="BJ372">
        <v>-682.66980000000001</v>
      </c>
      <c r="BK372" t="s">
        <v>135</v>
      </c>
      <c r="BL372" t="s">
        <v>135</v>
      </c>
      <c r="BM372" t="s">
        <v>135</v>
      </c>
      <c r="BN372" t="s">
        <v>135</v>
      </c>
      <c r="BO372" t="s">
        <v>135</v>
      </c>
      <c r="BP372" t="s">
        <v>135</v>
      </c>
      <c r="BQ372" t="s">
        <v>135</v>
      </c>
      <c r="BR372" t="s">
        <v>135</v>
      </c>
      <c r="BS372" t="s">
        <v>135</v>
      </c>
      <c r="BT372" t="s">
        <v>135</v>
      </c>
      <c r="BU372" t="s">
        <v>135</v>
      </c>
      <c r="BV372" t="s">
        <v>135</v>
      </c>
      <c r="BW372" t="s">
        <v>135</v>
      </c>
      <c r="BX372" t="s">
        <v>135</v>
      </c>
      <c r="BY372">
        <v>830144.9</v>
      </c>
      <c r="BZ372">
        <v>189922.2</v>
      </c>
      <c r="CA372">
        <v>640222.69999999995</v>
      </c>
      <c r="CB372">
        <v>4.9089999999999998</v>
      </c>
      <c r="CC372">
        <v>4.2824999999999998</v>
      </c>
      <c r="CD372">
        <v>7.3902000000000001</v>
      </c>
      <c r="CE372">
        <v>6.4470999999999998</v>
      </c>
      <c r="CF372">
        <v>5.5617999999999999</v>
      </c>
      <c r="CG372">
        <v>21.818899999999999</v>
      </c>
      <c r="CH372">
        <v>162.40639999999999</v>
      </c>
      <c r="CI372">
        <v>52.290599999999998</v>
      </c>
      <c r="CJ372">
        <v>36.935899999999997</v>
      </c>
      <c r="CK372">
        <v>210.58430000000001</v>
      </c>
      <c r="CL372">
        <v>67.802599999999998</v>
      </c>
      <c r="CM372">
        <v>47.893000000000001</v>
      </c>
      <c r="CN372">
        <v>183.7099</v>
      </c>
      <c r="CO372">
        <v>64.752700000000004</v>
      </c>
      <c r="CP372">
        <v>70252.100000000006</v>
      </c>
      <c r="CQ372" t="s">
        <v>135</v>
      </c>
      <c r="CR372">
        <v>54359.9</v>
      </c>
      <c r="CS372">
        <v>0.2104</v>
      </c>
      <c r="CT372">
        <v>1.0115000000000001</v>
      </c>
      <c r="CU372">
        <v>0.44059999999999999</v>
      </c>
      <c r="CV372">
        <v>1.0364</v>
      </c>
      <c r="CW372">
        <v>9.4709000000000003</v>
      </c>
      <c r="CX372">
        <v>38.539200000000001</v>
      </c>
      <c r="CY372">
        <v>1.9557</v>
      </c>
      <c r="CZ372">
        <v>186.63419999999999</v>
      </c>
      <c r="DA372">
        <v>2.6185</v>
      </c>
      <c r="DB372">
        <v>139.39019999999999</v>
      </c>
      <c r="DC372">
        <v>85.783199999999994</v>
      </c>
      <c r="DD372">
        <v>225.17339999999999</v>
      </c>
      <c r="DE372">
        <v>248038.2</v>
      </c>
      <c r="DF372">
        <v>73699.3</v>
      </c>
      <c r="DG372">
        <v>43787.5</v>
      </c>
      <c r="DH372">
        <v>99783.7</v>
      </c>
      <c r="DI372">
        <v>30767.7</v>
      </c>
    </row>
    <row r="373" spans="1:113" x14ac:dyDescent="0.3">
      <c r="D373" t="s">
        <v>85</v>
      </c>
      <c r="E373" t="s">
        <v>77</v>
      </c>
      <c r="F373">
        <v>26.873899999999999</v>
      </c>
      <c r="G373">
        <v>7.0136000000000003</v>
      </c>
      <c r="H373">
        <v>16.192399999999999</v>
      </c>
      <c r="I373">
        <v>0.63780000000000003</v>
      </c>
      <c r="J373">
        <v>16.616299999999999</v>
      </c>
      <c r="K373">
        <v>12.090999999999999</v>
      </c>
      <c r="L373">
        <v>30.506399999999999</v>
      </c>
      <c r="M373">
        <v>16.023599999999998</v>
      </c>
      <c r="N373">
        <v>13.438700000000001</v>
      </c>
      <c r="O373">
        <v>10.1975</v>
      </c>
      <c r="P373">
        <v>10.065799999999999</v>
      </c>
      <c r="Q373">
        <v>16.131799999999998</v>
      </c>
      <c r="R373">
        <v>9.1115999999999993</v>
      </c>
      <c r="S373">
        <v>24.4252</v>
      </c>
      <c r="T373">
        <v>12.905900000000001</v>
      </c>
      <c r="U373">
        <v>28.5809</v>
      </c>
      <c r="V373">
        <v>40.5289</v>
      </c>
      <c r="W373" t="s">
        <v>135</v>
      </c>
      <c r="X373" t="s">
        <v>135</v>
      </c>
      <c r="Y373">
        <v>6.1109</v>
      </c>
      <c r="Z373">
        <v>7.1520999999999999</v>
      </c>
      <c r="AA373">
        <v>14.220499999999999</v>
      </c>
      <c r="AB373">
        <v>3.992</v>
      </c>
      <c r="AC373">
        <v>21.014299999999999</v>
      </c>
      <c r="AD373">
        <v>14.1252</v>
      </c>
      <c r="AE373">
        <v>1956.5927999999999</v>
      </c>
      <c r="AF373">
        <v>9.9025999999999996</v>
      </c>
      <c r="AG373">
        <v>1.9257</v>
      </c>
      <c r="AH373">
        <v>11.001200000000001</v>
      </c>
      <c r="AI373">
        <v>56.787300000000002</v>
      </c>
      <c r="AJ373">
        <v>25.743099999999998</v>
      </c>
      <c r="AK373">
        <v>37.720599999999997</v>
      </c>
      <c r="AL373">
        <v>-48.656599999999997</v>
      </c>
      <c r="AM373">
        <v>-0.25240000000000001</v>
      </c>
      <c r="AN373">
        <v>12.1813</v>
      </c>
      <c r="AO373">
        <v>18.748799999999999</v>
      </c>
      <c r="AP373" t="s">
        <v>135</v>
      </c>
      <c r="AQ373" t="s">
        <v>135</v>
      </c>
      <c r="AR373">
        <v>5.8117999999999999</v>
      </c>
      <c r="AS373">
        <v>-2.3652000000000002</v>
      </c>
      <c r="AT373">
        <v>3.2953999999999999</v>
      </c>
      <c r="AU373">
        <v>10.118</v>
      </c>
      <c r="AV373">
        <v>7.3821000000000003</v>
      </c>
      <c r="AW373">
        <v>1.6388</v>
      </c>
      <c r="AX373" t="s">
        <v>135</v>
      </c>
      <c r="AY373">
        <v>1.087</v>
      </c>
      <c r="AZ373">
        <v>-2.2128999999999999</v>
      </c>
      <c r="BA373">
        <v>6.1082000000000001</v>
      </c>
      <c r="BB373">
        <v>11.500999999999999</v>
      </c>
      <c r="BC373">
        <v>8.0844000000000005</v>
      </c>
      <c r="BD373">
        <v>8.8209</v>
      </c>
      <c r="BE373">
        <v>-21.943100000000001</v>
      </c>
      <c r="BF373">
        <v>12.905900000000001</v>
      </c>
      <c r="BG373">
        <v>28.5809</v>
      </c>
      <c r="BH373">
        <v>40.5289</v>
      </c>
      <c r="BI373" t="s">
        <v>135</v>
      </c>
      <c r="BJ373" t="s">
        <v>135</v>
      </c>
      <c r="BK373">
        <v>6.1109</v>
      </c>
      <c r="BL373">
        <v>7.1520999999999999</v>
      </c>
      <c r="BM373">
        <v>14.220499999999999</v>
      </c>
      <c r="BN373">
        <v>3.992</v>
      </c>
      <c r="BO373">
        <v>21.014299999999999</v>
      </c>
      <c r="BP373">
        <v>14.1252</v>
      </c>
      <c r="BQ373">
        <v>1956.5927999999999</v>
      </c>
      <c r="BR373">
        <v>9.9025999999999996</v>
      </c>
      <c r="BS373">
        <v>1.9257</v>
      </c>
      <c r="BT373">
        <v>11.001200000000001</v>
      </c>
      <c r="BU373">
        <v>56.787300000000002</v>
      </c>
      <c r="BV373">
        <v>25.743099999999998</v>
      </c>
      <c r="BW373">
        <v>37.720599999999997</v>
      </c>
      <c r="BX373">
        <v>-48.656599999999997</v>
      </c>
      <c r="BY373">
        <v>921470.5</v>
      </c>
      <c r="BZ373">
        <v>193579.5</v>
      </c>
      <c r="CA373">
        <v>727891</v>
      </c>
      <c r="CB373">
        <v>4.2093999999999996</v>
      </c>
      <c r="CC373">
        <v>3.1657999999999999</v>
      </c>
      <c r="CD373">
        <v>5.7849000000000004</v>
      </c>
      <c r="CE373">
        <v>4.3506</v>
      </c>
      <c r="CF373">
        <v>3.9788000000000001</v>
      </c>
      <c r="CG373">
        <v>29.019500000000001</v>
      </c>
      <c r="CH373">
        <v>117.7681</v>
      </c>
      <c r="CI373">
        <v>47.279699999999998</v>
      </c>
      <c r="CJ373">
        <v>34.701500000000003</v>
      </c>
      <c r="CK373">
        <v>149.08799999999999</v>
      </c>
      <c r="CL373">
        <v>59.8536</v>
      </c>
      <c r="CM373">
        <v>43.930199999999999</v>
      </c>
      <c r="CN373">
        <v>112.1233</v>
      </c>
      <c r="CO373">
        <v>52.857599999999998</v>
      </c>
      <c r="CP373">
        <v>218905.3</v>
      </c>
      <c r="CQ373">
        <v>144120.29999999999</v>
      </c>
      <c r="CR373">
        <v>159288.70000000001</v>
      </c>
      <c r="CS373">
        <v>0.41049999999999998</v>
      </c>
      <c r="CT373">
        <v>1.2195</v>
      </c>
      <c r="CU373">
        <v>0.63349999999999995</v>
      </c>
      <c r="CV373">
        <v>1.2966</v>
      </c>
      <c r="CW373">
        <v>10.977399999999999</v>
      </c>
      <c r="CX373">
        <v>33.2502</v>
      </c>
      <c r="CY373">
        <v>0.74</v>
      </c>
      <c r="CZ373">
        <v>493.2199</v>
      </c>
      <c r="DA373">
        <v>1.1895</v>
      </c>
      <c r="DB373">
        <v>306.8546</v>
      </c>
      <c r="DC373">
        <v>219.6155</v>
      </c>
      <c r="DD373">
        <v>526.47</v>
      </c>
      <c r="DE373">
        <v>283310.40000000002</v>
      </c>
      <c r="DF373">
        <v>76122.8</v>
      </c>
      <c r="DG373">
        <v>51453</v>
      </c>
      <c r="DH373">
        <v>119490.2</v>
      </c>
      <c r="DI373">
        <v>36244.400000000001</v>
      </c>
    </row>
    <row r="374" spans="1:113" x14ac:dyDescent="0.3">
      <c r="E374" t="s">
        <v>78</v>
      </c>
      <c r="F374" t="s">
        <v>135</v>
      </c>
      <c r="G374" t="s">
        <v>135</v>
      </c>
      <c r="H374" t="s">
        <v>135</v>
      </c>
      <c r="I374" t="s">
        <v>135</v>
      </c>
      <c r="J374">
        <v>16.925999999999998</v>
      </c>
      <c r="K374">
        <v>11.8178</v>
      </c>
      <c r="L374">
        <v>30.7593</v>
      </c>
      <c r="M374">
        <v>5.6955999999999998</v>
      </c>
      <c r="N374">
        <v>3.1756000000000002</v>
      </c>
      <c r="O374">
        <v>3.0838999999999999</v>
      </c>
      <c r="P374">
        <v>3.0838999999999999</v>
      </c>
      <c r="Q374">
        <v>44.2438</v>
      </c>
      <c r="R374" t="s">
        <v>135</v>
      </c>
      <c r="S374" t="s">
        <v>135</v>
      </c>
      <c r="T374">
        <v>18.875599999999999</v>
      </c>
      <c r="U374">
        <v>51.678100000000001</v>
      </c>
      <c r="V374">
        <v>70.439700000000002</v>
      </c>
      <c r="W374" t="s">
        <v>135</v>
      </c>
      <c r="X374" t="s">
        <v>135</v>
      </c>
      <c r="Y374" t="s">
        <v>135</v>
      </c>
      <c r="Z374" t="s">
        <v>135</v>
      </c>
      <c r="AA374" t="s">
        <v>135</v>
      </c>
      <c r="AB374" t="s">
        <v>135</v>
      </c>
      <c r="AC374" t="s">
        <v>135</v>
      </c>
      <c r="AD374" t="s">
        <v>135</v>
      </c>
      <c r="AE374" t="s">
        <v>135</v>
      </c>
      <c r="AF374" t="s">
        <v>135</v>
      </c>
      <c r="AG374" t="s">
        <v>135</v>
      </c>
      <c r="AH374" t="s">
        <v>135</v>
      </c>
      <c r="AI374" t="s">
        <v>135</v>
      </c>
      <c r="AJ374" t="s">
        <v>135</v>
      </c>
      <c r="AK374" t="s">
        <v>135</v>
      </c>
      <c r="AL374" t="s">
        <v>135</v>
      </c>
      <c r="AM374">
        <v>-2.6137000000000001</v>
      </c>
      <c r="AN374">
        <v>7.8852000000000002</v>
      </c>
      <c r="AO374">
        <v>10.634</v>
      </c>
      <c r="AP374" t="s">
        <v>135</v>
      </c>
      <c r="AQ374" t="s">
        <v>135</v>
      </c>
      <c r="AR374" t="s">
        <v>135</v>
      </c>
      <c r="AS374" t="s">
        <v>135</v>
      </c>
      <c r="AT374" t="s">
        <v>135</v>
      </c>
      <c r="AU374" t="s">
        <v>135</v>
      </c>
      <c r="AV374" t="s">
        <v>135</v>
      </c>
      <c r="AW374" t="s">
        <v>135</v>
      </c>
      <c r="AX374" t="s">
        <v>135</v>
      </c>
      <c r="AY374" t="s">
        <v>135</v>
      </c>
      <c r="AZ374" t="s">
        <v>135</v>
      </c>
      <c r="BA374" t="s">
        <v>135</v>
      </c>
      <c r="BB374" t="s">
        <v>135</v>
      </c>
      <c r="BC374" t="s">
        <v>135</v>
      </c>
      <c r="BD374" t="s">
        <v>135</v>
      </c>
      <c r="BE374" t="s">
        <v>135</v>
      </c>
      <c r="BF374">
        <v>-12.0791</v>
      </c>
      <c r="BG374">
        <v>-29.197700000000001</v>
      </c>
      <c r="BH374">
        <v>-36.113199999999999</v>
      </c>
      <c r="BI374" t="s">
        <v>135</v>
      </c>
      <c r="BJ374" t="s">
        <v>135</v>
      </c>
      <c r="BK374" t="s">
        <v>135</v>
      </c>
      <c r="BL374" t="s">
        <v>135</v>
      </c>
      <c r="BM374" t="s">
        <v>135</v>
      </c>
      <c r="BN374" t="s">
        <v>135</v>
      </c>
      <c r="BO374" t="s">
        <v>135</v>
      </c>
      <c r="BP374" t="s">
        <v>135</v>
      </c>
      <c r="BQ374" t="s">
        <v>135</v>
      </c>
      <c r="BR374" t="s">
        <v>135</v>
      </c>
      <c r="BS374" t="s">
        <v>135</v>
      </c>
      <c r="BT374" t="s">
        <v>135</v>
      </c>
      <c r="BU374" t="s">
        <v>135</v>
      </c>
      <c r="BV374" t="s">
        <v>135</v>
      </c>
      <c r="BW374" t="s">
        <v>135</v>
      </c>
      <c r="BX374" t="s">
        <v>135</v>
      </c>
      <c r="BY374" t="s">
        <v>135</v>
      </c>
      <c r="BZ374" t="s">
        <v>135</v>
      </c>
      <c r="CA374" t="s">
        <v>135</v>
      </c>
      <c r="CB374" t="s">
        <v>135</v>
      </c>
      <c r="CC374" t="s">
        <v>135</v>
      </c>
      <c r="CD374" t="s">
        <v>135</v>
      </c>
      <c r="CE374" t="s">
        <v>135</v>
      </c>
      <c r="CF374">
        <v>3.7016999999999998</v>
      </c>
      <c r="CG374" t="s">
        <v>135</v>
      </c>
      <c r="CH374" t="s">
        <v>135</v>
      </c>
      <c r="CI374" t="s">
        <v>135</v>
      </c>
      <c r="CJ374" t="s">
        <v>135</v>
      </c>
      <c r="CK374" t="s">
        <v>135</v>
      </c>
      <c r="CL374" t="s">
        <v>135</v>
      </c>
      <c r="CM374" t="s">
        <v>135</v>
      </c>
      <c r="CN374" t="s">
        <v>135</v>
      </c>
      <c r="CO374" t="s">
        <v>135</v>
      </c>
      <c r="CP374">
        <v>49740.1</v>
      </c>
      <c r="CQ374" t="s">
        <v>135</v>
      </c>
      <c r="CR374">
        <v>34728.800000000003</v>
      </c>
      <c r="CS374" t="s">
        <v>135</v>
      </c>
      <c r="CT374" t="s">
        <v>135</v>
      </c>
      <c r="CU374" t="s">
        <v>135</v>
      </c>
      <c r="CV374" t="s">
        <v>135</v>
      </c>
      <c r="CW374" t="s">
        <v>135</v>
      </c>
      <c r="CX374" t="s">
        <v>135</v>
      </c>
      <c r="CY374" t="s">
        <v>135</v>
      </c>
      <c r="CZ374" t="s">
        <v>135</v>
      </c>
      <c r="DA374" t="s">
        <v>135</v>
      </c>
      <c r="DB374" t="s">
        <v>135</v>
      </c>
      <c r="DC374" t="s">
        <v>135</v>
      </c>
      <c r="DD374" t="s">
        <v>135</v>
      </c>
      <c r="DE374" t="s">
        <v>135</v>
      </c>
      <c r="DF374" t="s">
        <v>135</v>
      </c>
      <c r="DG374" t="s">
        <v>135</v>
      </c>
      <c r="DH374" t="s">
        <v>135</v>
      </c>
      <c r="DI374" t="s">
        <v>135</v>
      </c>
    </row>
    <row r="375" spans="1:113" x14ac:dyDescent="0.3">
      <c r="E375" t="s">
        <v>79</v>
      </c>
      <c r="F375" t="s">
        <v>135</v>
      </c>
      <c r="G375">
        <v>0.54320000000000002</v>
      </c>
      <c r="H375" t="s">
        <v>135</v>
      </c>
      <c r="I375">
        <v>-8.4337</v>
      </c>
      <c r="J375">
        <v>14.7057</v>
      </c>
      <c r="K375">
        <v>10.116199999999999</v>
      </c>
      <c r="L375">
        <v>30.040299999999998</v>
      </c>
      <c r="M375">
        <v>6.6223000000000001</v>
      </c>
      <c r="N375">
        <v>3.0773000000000001</v>
      </c>
      <c r="O375">
        <v>3.1332</v>
      </c>
      <c r="P375">
        <v>3.1332</v>
      </c>
      <c r="Q375">
        <v>53.530900000000003</v>
      </c>
      <c r="R375" t="s">
        <v>135</v>
      </c>
      <c r="S375" t="s">
        <v>135</v>
      </c>
      <c r="T375">
        <v>22.094899999999999</v>
      </c>
      <c r="U375">
        <v>58.945700000000002</v>
      </c>
      <c r="V375">
        <v>116.16119999999999</v>
      </c>
      <c r="W375" t="s">
        <v>135</v>
      </c>
      <c r="X375" t="s">
        <v>135</v>
      </c>
      <c r="Y375" t="s">
        <v>135</v>
      </c>
      <c r="Z375">
        <v>25.756799999999998</v>
      </c>
      <c r="AA375">
        <v>19.156700000000001</v>
      </c>
      <c r="AB375">
        <v>1.0309999999999999</v>
      </c>
      <c r="AC375">
        <v>1.8888</v>
      </c>
      <c r="AD375">
        <v>39.124600000000001</v>
      </c>
      <c r="AE375" t="s">
        <v>135</v>
      </c>
      <c r="AF375">
        <v>5.7995000000000001</v>
      </c>
      <c r="AG375">
        <v>22.639399999999998</v>
      </c>
      <c r="AH375">
        <v>8.1639999999999997</v>
      </c>
      <c r="AI375">
        <v>-16.3505</v>
      </c>
      <c r="AJ375" t="s">
        <v>135</v>
      </c>
      <c r="AK375" t="s">
        <v>135</v>
      </c>
      <c r="AL375" t="s">
        <v>135</v>
      </c>
      <c r="AM375">
        <v>-1.0655000000000001</v>
      </c>
      <c r="AN375">
        <v>15.3653</v>
      </c>
      <c r="AO375">
        <v>27.201899999999998</v>
      </c>
      <c r="AP375" t="s">
        <v>135</v>
      </c>
      <c r="AQ375" t="s">
        <v>135</v>
      </c>
      <c r="AR375" t="s">
        <v>135</v>
      </c>
      <c r="AS375">
        <v>-3.4782999999999999</v>
      </c>
      <c r="AT375">
        <v>-0.61009999999999998</v>
      </c>
      <c r="AU375">
        <v>9.0581999999999994</v>
      </c>
      <c r="AV375">
        <v>2.9055</v>
      </c>
      <c r="AW375">
        <v>-1.4701</v>
      </c>
      <c r="AX375" t="s">
        <v>135</v>
      </c>
      <c r="AY375">
        <v>-1.677</v>
      </c>
      <c r="AZ375">
        <v>21.423999999999999</v>
      </c>
      <c r="BA375">
        <v>10.8766</v>
      </c>
      <c r="BB375">
        <v>-6.3482000000000003</v>
      </c>
      <c r="BC375" t="s">
        <v>135</v>
      </c>
      <c r="BD375" t="s">
        <v>135</v>
      </c>
      <c r="BE375" t="s">
        <v>135</v>
      </c>
      <c r="BF375">
        <v>9.2363999999999997</v>
      </c>
      <c r="BG375">
        <v>-5.0933000000000002</v>
      </c>
      <c r="BH375">
        <v>-6.4928999999999997</v>
      </c>
      <c r="BI375">
        <v>10.9824</v>
      </c>
      <c r="BJ375">
        <v>11.116199999999999</v>
      </c>
      <c r="BK375" t="s">
        <v>135</v>
      </c>
      <c r="BL375" t="s">
        <v>135</v>
      </c>
      <c r="BM375" t="s">
        <v>135</v>
      </c>
      <c r="BN375" t="s">
        <v>135</v>
      </c>
      <c r="BO375" t="s">
        <v>135</v>
      </c>
      <c r="BP375" t="s">
        <v>135</v>
      </c>
      <c r="BQ375" t="s">
        <v>135</v>
      </c>
      <c r="BR375" t="s">
        <v>135</v>
      </c>
      <c r="BS375" t="s">
        <v>135</v>
      </c>
      <c r="BT375" t="s">
        <v>135</v>
      </c>
      <c r="BU375" t="s">
        <v>135</v>
      </c>
      <c r="BV375" t="s">
        <v>135</v>
      </c>
      <c r="BW375" t="s">
        <v>135</v>
      </c>
      <c r="BX375" t="s">
        <v>135</v>
      </c>
      <c r="BY375">
        <v>895354.9</v>
      </c>
      <c r="BZ375">
        <v>213045.4</v>
      </c>
      <c r="CA375">
        <v>682309.5</v>
      </c>
      <c r="CB375">
        <v>4.3985000000000003</v>
      </c>
      <c r="CC375">
        <v>3.8120000000000003</v>
      </c>
      <c r="CD375">
        <v>6.2119</v>
      </c>
      <c r="CE375">
        <v>5.3837000000000002</v>
      </c>
      <c r="CF375">
        <v>3.4969999999999999</v>
      </c>
      <c r="CG375">
        <v>21.275200000000002</v>
      </c>
      <c r="CH375">
        <v>213.03190000000001</v>
      </c>
      <c r="CI375">
        <v>56.127600000000001</v>
      </c>
      <c r="CJ375">
        <v>39.163600000000002</v>
      </c>
      <c r="CK375">
        <v>279.54930000000002</v>
      </c>
      <c r="CL375">
        <v>73.653000000000006</v>
      </c>
      <c r="CM375">
        <v>51.392099999999999</v>
      </c>
      <c r="CN375">
        <v>242.2784</v>
      </c>
      <c r="CO375">
        <v>70.784000000000006</v>
      </c>
      <c r="CP375">
        <v>47206.7</v>
      </c>
      <c r="CQ375" t="s">
        <v>135</v>
      </c>
      <c r="CR375">
        <v>32473.9</v>
      </c>
      <c r="CS375">
        <v>0.21329999999999999</v>
      </c>
      <c r="CT375">
        <v>1.0022</v>
      </c>
      <c r="CU375">
        <v>0.43099999999999999</v>
      </c>
      <c r="CV375">
        <v>1.5851</v>
      </c>
      <c r="CW375">
        <v>11.1972</v>
      </c>
      <c r="CX375">
        <v>32.5976</v>
      </c>
      <c r="CY375">
        <v>2.0358999999999998</v>
      </c>
      <c r="CZ375">
        <v>179.28450000000001</v>
      </c>
      <c r="DA375">
        <v>3.0428999999999999</v>
      </c>
      <c r="DB375">
        <v>119.9504</v>
      </c>
      <c r="DC375">
        <v>91.931600000000003</v>
      </c>
      <c r="DD375">
        <v>211.88210000000001</v>
      </c>
      <c r="DE375">
        <v>265488.09999999998</v>
      </c>
      <c r="DF375" t="s">
        <v>135</v>
      </c>
      <c r="DG375" t="s">
        <v>135</v>
      </c>
      <c r="DH375" t="s">
        <v>135</v>
      </c>
      <c r="DI375" t="s">
        <v>135</v>
      </c>
    </row>
    <row r="376" spans="1:113" x14ac:dyDescent="0.3">
      <c r="E376" t="s">
        <v>80</v>
      </c>
      <c r="F376" t="s">
        <v>135</v>
      </c>
      <c r="G376" t="s">
        <v>135</v>
      </c>
      <c r="H376" t="s">
        <v>135</v>
      </c>
      <c r="I376" t="s">
        <v>135</v>
      </c>
      <c r="J376">
        <v>17.211300000000001</v>
      </c>
      <c r="K376">
        <v>12.754899999999999</v>
      </c>
      <c r="L376">
        <v>35.534500000000001</v>
      </c>
      <c r="M376">
        <v>6.3284000000000002</v>
      </c>
      <c r="N376">
        <v>3.4558</v>
      </c>
      <c r="O376">
        <v>3.8864999999999998</v>
      </c>
      <c r="P376">
        <v>3.8864999999999998</v>
      </c>
      <c r="Q376">
        <v>45.3917</v>
      </c>
      <c r="R376" t="s">
        <v>135</v>
      </c>
      <c r="S376" t="s">
        <v>135</v>
      </c>
      <c r="T376">
        <v>20.0534</v>
      </c>
      <c r="U376">
        <v>56.6751</v>
      </c>
      <c r="V376">
        <v>87.041700000000006</v>
      </c>
      <c r="W376">
        <v>537.15700000000004</v>
      </c>
      <c r="X376">
        <v>537.15710000000001</v>
      </c>
      <c r="Y376" t="s">
        <v>135</v>
      </c>
      <c r="Z376" t="s">
        <v>135</v>
      </c>
      <c r="AA376" t="s">
        <v>135</v>
      </c>
      <c r="AB376" t="s">
        <v>135</v>
      </c>
      <c r="AC376" t="s">
        <v>135</v>
      </c>
      <c r="AD376" t="s">
        <v>135</v>
      </c>
      <c r="AE376" t="s">
        <v>135</v>
      </c>
      <c r="AF376" t="s">
        <v>135</v>
      </c>
      <c r="AG376" t="s">
        <v>135</v>
      </c>
      <c r="AH376" t="s">
        <v>135</v>
      </c>
      <c r="AI376" t="s">
        <v>135</v>
      </c>
      <c r="AJ376" t="s">
        <v>135</v>
      </c>
      <c r="AK376" t="s">
        <v>135</v>
      </c>
      <c r="AL376" t="s">
        <v>135</v>
      </c>
      <c r="AM376">
        <v>0.79090000000000005</v>
      </c>
      <c r="AN376">
        <v>20.537199999999999</v>
      </c>
      <c r="AO376">
        <v>40.320300000000003</v>
      </c>
      <c r="AP376" t="s">
        <v>135</v>
      </c>
      <c r="AQ376" t="s">
        <v>135</v>
      </c>
      <c r="AR376" t="s">
        <v>135</v>
      </c>
      <c r="AS376" t="s">
        <v>135</v>
      </c>
      <c r="AT376" t="s">
        <v>135</v>
      </c>
      <c r="AU376" t="s">
        <v>135</v>
      </c>
      <c r="AV376" t="s">
        <v>135</v>
      </c>
      <c r="AW376" t="s">
        <v>135</v>
      </c>
      <c r="AX376" t="s">
        <v>135</v>
      </c>
      <c r="AY376" t="s">
        <v>135</v>
      </c>
      <c r="AZ376" t="s">
        <v>135</v>
      </c>
      <c r="BA376" t="s">
        <v>135</v>
      </c>
      <c r="BB376" t="s">
        <v>135</v>
      </c>
      <c r="BC376" t="s">
        <v>135</v>
      </c>
      <c r="BD376" t="s">
        <v>135</v>
      </c>
      <c r="BE376" t="s">
        <v>135</v>
      </c>
      <c r="BF376">
        <v>3.2326000000000001</v>
      </c>
      <c r="BG376">
        <v>20.680800000000001</v>
      </c>
      <c r="BH376">
        <v>30.0075</v>
      </c>
      <c r="BI376">
        <v>27.900200000000002</v>
      </c>
      <c r="BJ376">
        <v>155.80029999999999</v>
      </c>
      <c r="BK376" t="s">
        <v>135</v>
      </c>
      <c r="BL376" t="s">
        <v>135</v>
      </c>
      <c r="BM376" t="s">
        <v>135</v>
      </c>
      <c r="BN376" t="s">
        <v>135</v>
      </c>
      <c r="BO376" t="s">
        <v>135</v>
      </c>
      <c r="BP376" t="s">
        <v>135</v>
      </c>
      <c r="BQ376" t="s">
        <v>135</v>
      </c>
      <c r="BR376" t="s">
        <v>135</v>
      </c>
      <c r="BS376" t="s">
        <v>135</v>
      </c>
      <c r="BT376" t="s">
        <v>135</v>
      </c>
      <c r="BU376" t="s">
        <v>135</v>
      </c>
      <c r="BV376" t="s">
        <v>135</v>
      </c>
      <c r="BW376" t="s">
        <v>135</v>
      </c>
      <c r="BX376" t="s">
        <v>135</v>
      </c>
      <c r="BY376" t="s">
        <v>135</v>
      </c>
      <c r="BZ376" t="s">
        <v>135</v>
      </c>
      <c r="CA376" t="s">
        <v>135</v>
      </c>
      <c r="CB376" t="s">
        <v>135</v>
      </c>
      <c r="CC376" t="s">
        <v>135</v>
      </c>
      <c r="CD376" t="s">
        <v>135</v>
      </c>
      <c r="CE376" t="s">
        <v>135</v>
      </c>
      <c r="CF376">
        <v>4.2922000000000002</v>
      </c>
      <c r="CG376" t="s">
        <v>135</v>
      </c>
      <c r="CH376" t="s">
        <v>135</v>
      </c>
      <c r="CI376" t="s">
        <v>135</v>
      </c>
      <c r="CJ376" t="s">
        <v>135</v>
      </c>
      <c r="CK376" t="s">
        <v>135</v>
      </c>
      <c r="CL376" t="s">
        <v>135</v>
      </c>
      <c r="CM376" t="s">
        <v>135</v>
      </c>
      <c r="CN376" t="s">
        <v>135</v>
      </c>
      <c r="CO376" t="s">
        <v>135</v>
      </c>
      <c r="CP376">
        <v>56969.4</v>
      </c>
      <c r="CQ376" t="s">
        <v>135</v>
      </c>
      <c r="CR376">
        <v>42218.5</v>
      </c>
      <c r="CS376" t="s">
        <v>135</v>
      </c>
      <c r="CT376" t="s">
        <v>135</v>
      </c>
      <c r="CU376" t="s">
        <v>135</v>
      </c>
      <c r="CV376" t="s">
        <v>135</v>
      </c>
      <c r="CW376" t="s">
        <v>135</v>
      </c>
      <c r="CX376" t="s">
        <v>135</v>
      </c>
      <c r="CY376" t="s">
        <v>135</v>
      </c>
      <c r="CZ376" t="s">
        <v>135</v>
      </c>
      <c r="DA376" t="s">
        <v>135</v>
      </c>
      <c r="DB376" t="s">
        <v>135</v>
      </c>
      <c r="DC376" t="s">
        <v>135</v>
      </c>
      <c r="DD376" t="s">
        <v>135</v>
      </c>
      <c r="DE376" t="s">
        <v>135</v>
      </c>
      <c r="DF376" t="s">
        <v>135</v>
      </c>
      <c r="DG376" t="s">
        <v>135</v>
      </c>
      <c r="DH376" t="s">
        <v>135</v>
      </c>
      <c r="DI376" t="s">
        <v>135</v>
      </c>
    </row>
    <row r="377" spans="1:113" x14ac:dyDescent="0.3">
      <c r="E377" t="s">
        <v>81</v>
      </c>
      <c r="F377">
        <v>27.244599999999998</v>
      </c>
      <c r="G377">
        <v>7.0186000000000002</v>
      </c>
      <c r="H377">
        <v>16.199300000000001</v>
      </c>
      <c r="I377">
        <v>7.1020000000000003</v>
      </c>
      <c r="J377">
        <v>18.185300000000002</v>
      </c>
      <c r="K377">
        <v>13.954000000000001</v>
      </c>
      <c r="L377" t="s">
        <v>135</v>
      </c>
      <c r="M377">
        <v>42.576000000000001</v>
      </c>
      <c r="N377">
        <v>40.964100000000002</v>
      </c>
      <c r="O377">
        <v>28.641999999999999</v>
      </c>
      <c r="P377">
        <v>28.641999999999999</v>
      </c>
      <c r="Q377">
        <v>3.7861000000000002</v>
      </c>
      <c r="R377" t="s">
        <v>135</v>
      </c>
      <c r="S377" t="s">
        <v>135</v>
      </c>
      <c r="T377">
        <v>6.9204999999999997</v>
      </c>
      <c r="U377">
        <v>-7.4916</v>
      </c>
      <c r="V377">
        <v>-8.2642000000000007</v>
      </c>
      <c r="W377" t="s">
        <v>135</v>
      </c>
      <c r="X377" t="s">
        <v>135</v>
      </c>
      <c r="Y377" t="s">
        <v>135</v>
      </c>
      <c r="Z377">
        <v>7.1520999999999999</v>
      </c>
      <c r="AA377">
        <v>14.220499999999999</v>
      </c>
      <c r="AB377">
        <v>3.992</v>
      </c>
      <c r="AC377">
        <v>21.014299999999999</v>
      </c>
      <c r="AD377">
        <v>14.1252</v>
      </c>
      <c r="AE377">
        <v>1956.5927999999999</v>
      </c>
      <c r="AF377">
        <v>9.9025999999999996</v>
      </c>
      <c r="AG377">
        <v>1.9257</v>
      </c>
      <c r="AH377">
        <v>11.001200000000001</v>
      </c>
      <c r="AI377">
        <v>56.787300000000002</v>
      </c>
      <c r="AJ377">
        <v>25.743099999999998</v>
      </c>
      <c r="AK377">
        <v>37.720599999999997</v>
      </c>
      <c r="AL377" t="s">
        <v>135</v>
      </c>
      <c r="AM377">
        <v>0.89500000000000002</v>
      </c>
      <c r="AN377">
        <v>8.2661999999999995</v>
      </c>
      <c r="AO377">
        <v>11.4558</v>
      </c>
      <c r="AP377" t="s">
        <v>135</v>
      </c>
      <c r="AQ377" t="s">
        <v>135</v>
      </c>
      <c r="AR377" t="s">
        <v>135</v>
      </c>
      <c r="AS377">
        <v>-2.3652000000000002</v>
      </c>
      <c r="AT377">
        <v>3.2953999999999999</v>
      </c>
      <c r="AU377">
        <v>10.118</v>
      </c>
      <c r="AV377">
        <v>7.3821000000000003</v>
      </c>
      <c r="AW377">
        <v>1.6388</v>
      </c>
      <c r="AX377" t="s">
        <v>135</v>
      </c>
      <c r="AY377">
        <v>1.087</v>
      </c>
      <c r="AZ377">
        <v>-2.2128999999999999</v>
      </c>
      <c r="BA377">
        <v>6.1082000000000001</v>
      </c>
      <c r="BB377">
        <v>11.500999999999999</v>
      </c>
      <c r="BC377">
        <v>8.0844000000000005</v>
      </c>
      <c r="BD377">
        <v>8.8209</v>
      </c>
      <c r="BE377" t="s">
        <v>135</v>
      </c>
      <c r="BF377">
        <v>8.0593000000000004</v>
      </c>
      <c r="BG377">
        <v>14.077199999999999</v>
      </c>
      <c r="BH377">
        <v>18.117599999999999</v>
      </c>
      <c r="BI377">
        <v>689.8329</v>
      </c>
      <c r="BJ377">
        <v>669.31769999999995</v>
      </c>
      <c r="BK377" t="s">
        <v>135</v>
      </c>
      <c r="BL377" t="s">
        <v>135</v>
      </c>
      <c r="BM377" t="s">
        <v>135</v>
      </c>
      <c r="BN377" t="s">
        <v>135</v>
      </c>
      <c r="BO377" t="s">
        <v>135</v>
      </c>
      <c r="BP377" t="s">
        <v>135</v>
      </c>
      <c r="BQ377" t="s">
        <v>135</v>
      </c>
      <c r="BR377" t="s">
        <v>135</v>
      </c>
      <c r="BS377" t="s">
        <v>135</v>
      </c>
      <c r="BT377" t="s">
        <v>135</v>
      </c>
      <c r="BU377" t="s">
        <v>135</v>
      </c>
      <c r="BV377" t="s">
        <v>135</v>
      </c>
      <c r="BW377" t="s">
        <v>135</v>
      </c>
      <c r="BX377" t="s">
        <v>135</v>
      </c>
      <c r="BY377">
        <v>921470.5</v>
      </c>
      <c r="BZ377">
        <v>193579.5</v>
      </c>
      <c r="CA377">
        <v>727891</v>
      </c>
      <c r="CB377">
        <v>4.2093999999999996</v>
      </c>
      <c r="CC377">
        <v>3.1657999999999999</v>
      </c>
      <c r="CD377">
        <v>5.7849000000000004</v>
      </c>
      <c r="CE377">
        <v>4.3506</v>
      </c>
      <c r="CF377">
        <v>4.3886000000000003</v>
      </c>
      <c r="CG377">
        <v>29.019500000000001</v>
      </c>
      <c r="CH377">
        <v>117.7681</v>
      </c>
      <c r="CI377">
        <v>47.279699999999998</v>
      </c>
      <c r="CJ377">
        <v>34.701500000000003</v>
      </c>
      <c r="CK377">
        <v>149.08799999999999</v>
      </c>
      <c r="CL377">
        <v>59.8536</v>
      </c>
      <c r="CM377">
        <v>43.930199999999999</v>
      </c>
      <c r="CN377">
        <v>112.1233</v>
      </c>
      <c r="CO377">
        <v>52.857599999999998</v>
      </c>
      <c r="CP377">
        <v>64989.1</v>
      </c>
      <c r="CQ377" t="s">
        <v>135</v>
      </c>
      <c r="CR377">
        <v>49867.5</v>
      </c>
      <c r="CS377">
        <v>0.41049999999999998</v>
      </c>
      <c r="CT377">
        <v>1.2195</v>
      </c>
      <c r="CU377">
        <v>0.63349999999999995</v>
      </c>
      <c r="CV377">
        <v>1.2966</v>
      </c>
      <c r="CW377">
        <v>10.853899999999999</v>
      </c>
      <c r="CX377">
        <v>33.628500000000003</v>
      </c>
      <c r="CY377">
        <v>1.9651000000000001</v>
      </c>
      <c r="CZ377">
        <v>185.73910000000001</v>
      </c>
      <c r="DA377">
        <v>2.8590999999999998</v>
      </c>
      <c r="DB377">
        <v>127.663</v>
      </c>
      <c r="DC377">
        <v>91.704599999999999</v>
      </c>
      <c r="DD377">
        <v>219.36760000000001</v>
      </c>
      <c r="DE377">
        <v>283310.40000000002</v>
      </c>
      <c r="DF377">
        <v>76122.8</v>
      </c>
      <c r="DG377">
        <v>51453</v>
      </c>
      <c r="DH377">
        <v>119490.2</v>
      </c>
      <c r="DI377">
        <v>36244.400000000001</v>
      </c>
    </row>
    <row r="378" spans="1:113" x14ac:dyDescent="0.3">
      <c r="A378">
        <v>91</v>
      </c>
      <c r="B378" t="s">
        <v>113</v>
      </c>
      <c r="C378" t="s">
        <v>114</v>
      </c>
      <c r="D378" t="s">
        <v>76</v>
      </c>
      <c r="E378" t="s">
        <v>77</v>
      </c>
      <c r="F378">
        <v>41.468800000000002</v>
      </c>
      <c r="G378">
        <v>24.304300000000001</v>
      </c>
      <c r="H378">
        <v>37.565800000000003</v>
      </c>
      <c r="I378">
        <v>34.489100000000001</v>
      </c>
      <c r="J378">
        <v>22.217099999999999</v>
      </c>
      <c r="K378">
        <v>19.444099999999999</v>
      </c>
      <c r="L378">
        <v>20.3825</v>
      </c>
      <c r="M378">
        <v>20.257100000000001</v>
      </c>
      <c r="N378">
        <v>16.2622</v>
      </c>
      <c r="O378">
        <v>16.0838</v>
      </c>
      <c r="P378">
        <v>16.0838</v>
      </c>
      <c r="Q378">
        <v>19.7211</v>
      </c>
      <c r="R378">
        <v>15.4153</v>
      </c>
      <c r="S378">
        <v>35.076300000000003</v>
      </c>
      <c r="T378">
        <v>173.98699999999999</v>
      </c>
      <c r="U378">
        <v>193.76490000000001</v>
      </c>
      <c r="V378">
        <v>199.10149999999999</v>
      </c>
      <c r="W378">
        <v>135.1918</v>
      </c>
      <c r="X378">
        <v>31.133600000000001</v>
      </c>
      <c r="Y378">
        <v>300</v>
      </c>
      <c r="Z378">
        <v>155.2595</v>
      </c>
      <c r="AA378">
        <v>-10.9091</v>
      </c>
      <c r="AB378">
        <v>141.10079999999999</v>
      </c>
      <c r="AC378">
        <v>77.414199999999994</v>
      </c>
      <c r="AD378">
        <v>168.6087</v>
      </c>
      <c r="AE378">
        <v>1170.9460999999999</v>
      </c>
      <c r="AF378">
        <v>129.99529999999999</v>
      </c>
      <c r="AG378">
        <v>-68.150700000000001</v>
      </c>
      <c r="AH378">
        <v>-73.695999999999998</v>
      </c>
      <c r="AI378">
        <v>68.503</v>
      </c>
      <c r="AJ378">
        <v>40.116300000000003</v>
      </c>
      <c r="AK378">
        <v>-7.1318999999999999</v>
      </c>
      <c r="AL378">
        <v>129.86940000000001</v>
      </c>
      <c r="AM378">
        <v>33.357700000000001</v>
      </c>
      <c r="AN378">
        <v>26.6784</v>
      </c>
      <c r="AO378">
        <v>25.571000000000002</v>
      </c>
      <c r="AP378">
        <v>24.452500000000001</v>
      </c>
      <c r="AQ378">
        <v>9.9722000000000008</v>
      </c>
      <c r="AR378">
        <v>37.972999999999999</v>
      </c>
      <c r="AS378">
        <v>36.9649</v>
      </c>
      <c r="AT378">
        <v>49.780900000000003</v>
      </c>
      <c r="AU378">
        <v>27.877299999999998</v>
      </c>
      <c r="AV378">
        <v>41.167299999999997</v>
      </c>
      <c r="AW378">
        <v>46.051900000000003</v>
      </c>
      <c r="AX378">
        <v>30.059799999999999</v>
      </c>
      <c r="AY378">
        <v>25.696100000000001</v>
      </c>
      <c r="AZ378" t="s">
        <v>135</v>
      </c>
      <c r="BA378" t="s">
        <v>135</v>
      </c>
      <c r="BB378">
        <v>36.689300000000003</v>
      </c>
      <c r="BC378">
        <v>37.737499999999997</v>
      </c>
      <c r="BD378">
        <v>19.761900000000001</v>
      </c>
      <c r="BE378">
        <v>7.1332000000000004</v>
      </c>
      <c r="BF378">
        <v>173.98699999999999</v>
      </c>
      <c r="BG378">
        <v>193.76490000000001</v>
      </c>
      <c r="BH378">
        <v>199.10149999999999</v>
      </c>
      <c r="BI378">
        <v>135.1918</v>
      </c>
      <c r="BJ378">
        <v>31.133600000000001</v>
      </c>
      <c r="BK378">
        <v>300</v>
      </c>
      <c r="BL378">
        <v>155.2595</v>
      </c>
      <c r="BM378">
        <v>-10.9091</v>
      </c>
      <c r="BN378">
        <v>141.10079999999999</v>
      </c>
      <c r="BO378">
        <v>77.414199999999994</v>
      </c>
      <c r="BP378">
        <v>168.6087</v>
      </c>
      <c r="BQ378">
        <v>1170.9460999999999</v>
      </c>
      <c r="BR378">
        <v>129.99529999999999</v>
      </c>
      <c r="BS378">
        <v>-68.150700000000001</v>
      </c>
      <c r="BT378">
        <v>-73.695999999999998</v>
      </c>
      <c r="BU378">
        <v>68.503</v>
      </c>
      <c r="BV378">
        <v>40.116300000000003</v>
      </c>
      <c r="BW378">
        <v>-7.1318999999999999</v>
      </c>
      <c r="BX378">
        <v>129.86940000000001</v>
      </c>
      <c r="BY378">
        <v>3631</v>
      </c>
      <c r="BZ378">
        <v>3441</v>
      </c>
      <c r="CA378">
        <v>190</v>
      </c>
      <c r="CB378">
        <v>8.6800000000000002E-2</v>
      </c>
      <c r="CC378">
        <v>-0.7671</v>
      </c>
      <c r="CD378">
        <v>9.9199999999999997E-2</v>
      </c>
      <c r="CE378">
        <v>-0.87660000000000005</v>
      </c>
      <c r="CF378">
        <v>59.683300000000003</v>
      </c>
      <c r="CG378">
        <v>57.604999999999997</v>
      </c>
      <c r="CH378">
        <v>0.20369999999999999</v>
      </c>
      <c r="CI378">
        <v>0.1961</v>
      </c>
      <c r="CJ378">
        <v>0.1192</v>
      </c>
      <c r="CK378">
        <v>3.8935</v>
      </c>
      <c r="CL378">
        <v>3.7476000000000003</v>
      </c>
      <c r="CM378">
        <v>2.278</v>
      </c>
      <c r="CN378">
        <v>-34.416400000000003</v>
      </c>
      <c r="CO378">
        <v>-52.476999999999997</v>
      </c>
      <c r="CP378">
        <v>41838</v>
      </c>
      <c r="CQ378">
        <v>32441</v>
      </c>
      <c r="CR378">
        <v>36616</v>
      </c>
      <c r="CS378">
        <v>0.61539999999999995</v>
      </c>
      <c r="CT378">
        <v>1.8168</v>
      </c>
      <c r="CU378">
        <v>1.3645</v>
      </c>
      <c r="CV378">
        <v>6.6495999999999995</v>
      </c>
      <c r="CW378">
        <v>6.2229999999999999</v>
      </c>
      <c r="CX378">
        <v>58.653399999999998</v>
      </c>
      <c r="CY378" t="s">
        <v>135</v>
      </c>
      <c r="CZ378" t="s">
        <v>135</v>
      </c>
      <c r="DA378" t="s">
        <v>135</v>
      </c>
      <c r="DB378" t="s">
        <v>135</v>
      </c>
      <c r="DC378" t="s">
        <v>135</v>
      </c>
      <c r="DD378" t="s">
        <v>135</v>
      </c>
      <c r="DE378">
        <v>98</v>
      </c>
      <c r="DF378" t="s">
        <v>135</v>
      </c>
      <c r="DG378" t="s">
        <v>135</v>
      </c>
      <c r="DH378" t="s">
        <v>135</v>
      </c>
      <c r="DI378" t="s">
        <v>135</v>
      </c>
    </row>
    <row r="379" spans="1:113" x14ac:dyDescent="0.3">
      <c r="E379" t="s">
        <v>78</v>
      </c>
      <c r="F379" t="s">
        <v>135</v>
      </c>
      <c r="G379" t="s">
        <v>135</v>
      </c>
      <c r="H379" t="s">
        <v>135</v>
      </c>
      <c r="I379" t="s">
        <v>135</v>
      </c>
      <c r="J379">
        <v>21.068300000000001</v>
      </c>
      <c r="K379">
        <v>18.206399999999999</v>
      </c>
      <c r="L379">
        <v>17.929099999999998</v>
      </c>
      <c r="M379">
        <v>22.715</v>
      </c>
      <c r="N379">
        <v>17.041899999999998</v>
      </c>
      <c r="O379">
        <v>16.726099999999999</v>
      </c>
      <c r="P379">
        <v>16.726099999999999</v>
      </c>
      <c r="Q379">
        <v>24.975100000000001</v>
      </c>
      <c r="R379" t="s">
        <v>135</v>
      </c>
      <c r="S379" t="s">
        <v>135</v>
      </c>
      <c r="T379">
        <v>165.85310000000001</v>
      </c>
      <c r="U379">
        <v>161.78120000000001</v>
      </c>
      <c r="V379">
        <v>159.3023</v>
      </c>
      <c r="W379">
        <v>102.7504</v>
      </c>
      <c r="X379">
        <v>13.680899999999999</v>
      </c>
      <c r="Y379" t="s">
        <v>135</v>
      </c>
      <c r="Z379" t="s">
        <v>135</v>
      </c>
      <c r="AA379" t="s">
        <v>135</v>
      </c>
      <c r="AB379" t="s">
        <v>135</v>
      </c>
      <c r="AC379" t="s">
        <v>135</v>
      </c>
      <c r="AD379" t="s">
        <v>135</v>
      </c>
      <c r="AE379" t="s">
        <v>135</v>
      </c>
      <c r="AF379" t="s">
        <v>135</v>
      </c>
      <c r="AG379" t="s">
        <v>135</v>
      </c>
      <c r="AH379" t="s">
        <v>135</v>
      </c>
      <c r="AI379" t="s">
        <v>135</v>
      </c>
      <c r="AJ379" t="s">
        <v>135</v>
      </c>
      <c r="AK379" t="s">
        <v>135</v>
      </c>
      <c r="AL379" t="s">
        <v>135</v>
      </c>
      <c r="AM379">
        <v>29.7362</v>
      </c>
      <c r="AN379">
        <v>24.682300000000001</v>
      </c>
      <c r="AO379">
        <v>23.398099999999999</v>
      </c>
      <c r="AP379">
        <v>21.5641</v>
      </c>
      <c r="AQ379">
        <v>7.8983999999999996</v>
      </c>
      <c r="AR379" t="s">
        <v>135</v>
      </c>
      <c r="AS379" t="s">
        <v>135</v>
      </c>
      <c r="AT379" t="s">
        <v>135</v>
      </c>
      <c r="AU379" t="s">
        <v>135</v>
      </c>
      <c r="AV379" t="s">
        <v>135</v>
      </c>
      <c r="AW379" t="s">
        <v>135</v>
      </c>
      <c r="AX379" t="s">
        <v>135</v>
      </c>
      <c r="AY379" t="s">
        <v>135</v>
      </c>
      <c r="AZ379" t="s">
        <v>135</v>
      </c>
      <c r="BA379" t="s">
        <v>135</v>
      </c>
      <c r="BB379" t="s">
        <v>135</v>
      </c>
      <c r="BC379" t="s">
        <v>135</v>
      </c>
      <c r="BD379" t="s">
        <v>135</v>
      </c>
      <c r="BE379" t="s">
        <v>135</v>
      </c>
      <c r="BF379">
        <v>115.1476</v>
      </c>
      <c r="BG379">
        <v>127.4469</v>
      </c>
      <c r="BH379">
        <v>132.93629999999999</v>
      </c>
      <c r="BI379">
        <v>81.929299999999998</v>
      </c>
      <c r="BJ379">
        <v>2.4011</v>
      </c>
      <c r="BK379" t="s">
        <v>135</v>
      </c>
      <c r="BL379" t="s">
        <v>135</v>
      </c>
      <c r="BM379" t="s">
        <v>135</v>
      </c>
      <c r="BN379" t="s">
        <v>135</v>
      </c>
      <c r="BO379" t="s">
        <v>135</v>
      </c>
      <c r="BP379" t="s">
        <v>135</v>
      </c>
      <c r="BQ379" t="s">
        <v>135</v>
      </c>
      <c r="BR379" t="s">
        <v>135</v>
      </c>
      <c r="BS379" t="s">
        <v>135</v>
      </c>
      <c r="BT379" t="s">
        <v>135</v>
      </c>
      <c r="BU379" t="s">
        <v>135</v>
      </c>
      <c r="BV379" t="s">
        <v>135</v>
      </c>
      <c r="BW379" t="s">
        <v>135</v>
      </c>
      <c r="BX379" t="s">
        <v>135</v>
      </c>
      <c r="BY379" t="s">
        <v>135</v>
      </c>
      <c r="BZ379" t="s">
        <v>135</v>
      </c>
      <c r="CA379" t="s">
        <v>135</v>
      </c>
      <c r="CB379" t="s">
        <v>135</v>
      </c>
      <c r="CC379" t="s">
        <v>135</v>
      </c>
      <c r="CD379" t="s">
        <v>135</v>
      </c>
      <c r="CE379" t="s">
        <v>135</v>
      </c>
      <c r="CF379">
        <v>65.490899999999996</v>
      </c>
      <c r="CG379" t="s">
        <v>135</v>
      </c>
      <c r="CH379" t="s">
        <v>135</v>
      </c>
      <c r="CI379" t="s">
        <v>135</v>
      </c>
      <c r="CJ379" t="s">
        <v>135</v>
      </c>
      <c r="CK379" t="s">
        <v>135</v>
      </c>
      <c r="CL379" t="s">
        <v>135</v>
      </c>
      <c r="CM379" t="s">
        <v>135</v>
      </c>
      <c r="CN379" t="s">
        <v>135</v>
      </c>
      <c r="CO379" t="s">
        <v>135</v>
      </c>
      <c r="CP379">
        <v>8644.7999999999993</v>
      </c>
      <c r="CQ379" t="s">
        <v>135</v>
      </c>
      <c r="CR379">
        <v>7470.5</v>
      </c>
      <c r="CS379" t="s">
        <v>135</v>
      </c>
      <c r="CT379" t="s">
        <v>135</v>
      </c>
      <c r="CU379" t="s">
        <v>135</v>
      </c>
      <c r="CV379" t="s">
        <v>135</v>
      </c>
      <c r="CW379" t="s">
        <v>135</v>
      </c>
      <c r="CX379" t="s">
        <v>135</v>
      </c>
      <c r="CY379" t="s">
        <v>135</v>
      </c>
      <c r="CZ379" t="s">
        <v>135</v>
      </c>
      <c r="DA379" t="s">
        <v>135</v>
      </c>
      <c r="DB379" t="s">
        <v>135</v>
      </c>
      <c r="DC379" t="s">
        <v>135</v>
      </c>
      <c r="DD379" t="s">
        <v>135</v>
      </c>
      <c r="DE379" t="s">
        <v>135</v>
      </c>
      <c r="DF379" t="s">
        <v>135</v>
      </c>
      <c r="DG379" t="s">
        <v>135</v>
      </c>
      <c r="DH379" t="s">
        <v>135</v>
      </c>
      <c r="DI379" t="s">
        <v>135</v>
      </c>
    </row>
    <row r="380" spans="1:113" x14ac:dyDescent="0.3">
      <c r="E380" t="s">
        <v>79</v>
      </c>
      <c r="F380">
        <v>33.814700000000002</v>
      </c>
      <c r="G380">
        <v>18.156400000000001</v>
      </c>
      <c r="H380">
        <v>32.371000000000002</v>
      </c>
      <c r="I380">
        <v>30.925999999999998</v>
      </c>
      <c r="J380">
        <v>23.286000000000001</v>
      </c>
      <c r="K380">
        <v>20.725200000000001</v>
      </c>
      <c r="L380">
        <v>22.2669</v>
      </c>
      <c r="M380">
        <v>21.017099999999999</v>
      </c>
      <c r="N380">
        <v>15.0649</v>
      </c>
      <c r="O380">
        <v>15.056699999999999</v>
      </c>
      <c r="P380">
        <v>15.056699999999999</v>
      </c>
      <c r="Q380">
        <v>28.320900000000002</v>
      </c>
      <c r="R380" t="s">
        <v>135</v>
      </c>
      <c r="S380" t="s">
        <v>135</v>
      </c>
      <c r="T380">
        <v>192.47819999999999</v>
      </c>
      <c r="U380">
        <v>228.9195</v>
      </c>
      <c r="V380">
        <v>241.35310000000001</v>
      </c>
      <c r="W380">
        <v>142.46709999999999</v>
      </c>
      <c r="X380">
        <v>35.557499999999997</v>
      </c>
      <c r="Y380" t="s">
        <v>135</v>
      </c>
      <c r="Z380">
        <v>178.47730000000001</v>
      </c>
      <c r="AA380" t="s">
        <v>135</v>
      </c>
      <c r="AB380" t="s">
        <v>135</v>
      </c>
      <c r="AC380">
        <v>90.813699999999997</v>
      </c>
      <c r="AD380">
        <v>164.1643</v>
      </c>
      <c r="AE380">
        <v>3200.2141999999999</v>
      </c>
      <c r="AF380">
        <v>215.60720000000001</v>
      </c>
      <c r="AG380" t="s">
        <v>135</v>
      </c>
      <c r="AH380">
        <v>-98.386099999999999</v>
      </c>
      <c r="AI380">
        <v>59.958199999999998</v>
      </c>
      <c r="AJ380">
        <v>32.644100000000002</v>
      </c>
      <c r="AK380">
        <v>-13.536300000000001</v>
      </c>
      <c r="AL380" t="s">
        <v>135</v>
      </c>
      <c r="AM380">
        <v>32.580300000000001</v>
      </c>
      <c r="AN380">
        <v>23.0718</v>
      </c>
      <c r="AO380">
        <v>21.941600000000001</v>
      </c>
      <c r="AP380">
        <v>18.866700000000002</v>
      </c>
      <c r="AQ380">
        <v>5.4368999999999996</v>
      </c>
      <c r="AR380" t="s">
        <v>135</v>
      </c>
      <c r="AS380" t="s">
        <v>135</v>
      </c>
      <c r="AT380" t="s">
        <v>135</v>
      </c>
      <c r="AU380" t="s">
        <v>135</v>
      </c>
      <c r="AV380" t="s">
        <v>135</v>
      </c>
      <c r="AW380" t="s">
        <v>135</v>
      </c>
      <c r="AX380" t="s">
        <v>135</v>
      </c>
      <c r="AY380" t="s">
        <v>135</v>
      </c>
      <c r="AZ380" t="s">
        <v>135</v>
      </c>
      <c r="BA380" t="s">
        <v>135</v>
      </c>
      <c r="BB380" t="s">
        <v>135</v>
      </c>
      <c r="BC380" t="s">
        <v>135</v>
      </c>
      <c r="BD380" t="s">
        <v>135</v>
      </c>
      <c r="BE380" t="s">
        <v>135</v>
      </c>
      <c r="BF380">
        <v>16.286200000000001</v>
      </c>
      <c r="BG380">
        <v>28.527000000000001</v>
      </c>
      <c r="BH380">
        <v>32.374000000000002</v>
      </c>
      <c r="BI380">
        <v>4.6801000000000004</v>
      </c>
      <c r="BJ380">
        <v>4.3792999999999997</v>
      </c>
      <c r="BK380" t="s">
        <v>135</v>
      </c>
      <c r="BL380" t="s">
        <v>135</v>
      </c>
      <c r="BM380" t="s">
        <v>135</v>
      </c>
      <c r="BN380" t="s">
        <v>135</v>
      </c>
      <c r="BO380" t="s">
        <v>135</v>
      </c>
      <c r="BP380" t="s">
        <v>135</v>
      </c>
      <c r="BQ380" t="s">
        <v>135</v>
      </c>
      <c r="BR380" t="s">
        <v>135</v>
      </c>
      <c r="BS380" t="s">
        <v>135</v>
      </c>
      <c r="BT380" t="s">
        <v>135</v>
      </c>
      <c r="BU380" t="s">
        <v>135</v>
      </c>
      <c r="BV380" t="s">
        <v>135</v>
      </c>
      <c r="BW380" t="s">
        <v>135</v>
      </c>
      <c r="BX380" t="s">
        <v>135</v>
      </c>
      <c r="BY380">
        <v>159.19999999999999</v>
      </c>
      <c r="BZ380">
        <v>0</v>
      </c>
      <c r="CA380">
        <v>159.19999999999999</v>
      </c>
      <c r="CB380">
        <v>5.7999999999999996E-3</v>
      </c>
      <c r="CC380">
        <v>-1.1861999999999999</v>
      </c>
      <c r="CD380">
        <v>6.7000000000000002E-3</v>
      </c>
      <c r="CE380">
        <v>-1.3602000000000001</v>
      </c>
      <c r="CF380">
        <v>47.300600000000003</v>
      </c>
      <c r="CG380">
        <v>50.015300000000003</v>
      </c>
      <c r="CH380">
        <v>0.21029999999999999</v>
      </c>
      <c r="CI380">
        <v>0.2099</v>
      </c>
      <c r="CJ380">
        <v>0.107</v>
      </c>
      <c r="CK380">
        <v>0.21029999999999999</v>
      </c>
      <c r="CL380">
        <v>0.2099</v>
      </c>
      <c r="CM380">
        <v>0.107</v>
      </c>
      <c r="CN380">
        <v>-42.813400000000001</v>
      </c>
      <c r="CO380">
        <v>-74.866200000000006</v>
      </c>
      <c r="CP380">
        <v>11110.9</v>
      </c>
      <c r="CQ380" t="s">
        <v>135</v>
      </c>
      <c r="CR380">
        <v>9889</v>
      </c>
      <c r="CS380">
        <v>0.53200000000000003</v>
      </c>
      <c r="CT380">
        <v>1.6042000000000001</v>
      </c>
      <c r="CU380">
        <v>1.2219</v>
      </c>
      <c r="CV380">
        <v>4.9821</v>
      </c>
      <c r="CW380">
        <v>4.3806000000000003</v>
      </c>
      <c r="CX380">
        <v>83.321700000000007</v>
      </c>
      <c r="CY380" t="s">
        <v>135</v>
      </c>
      <c r="CZ380" t="s">
        <v>135</v>
      </c>
      <c r="DA380" t="s">
        <v>135</v>
      </c>
      <c r="DB380" t="s">
        <v>135</v>
      </c>
      <c r="DC380" t="s">
        <v>135</v>
      </c>
      <c r="DD380" t="s">
        <v>135</v>
      </c>
      <c r="DE380">
        <v>113.7</v>
      </c>
      <c r="DF380" t="s">
        <v>135</v>
      </c>
      <c r="DG380" t="s">
        <v>135</v>
      </c>
      <c r="DH380" t="s">
        <v>135</v>
      </c>
      <c r="DI380" t="s">
        <v>135</v>
      </c>
    </row>
    <row r="381" spans="1:113" x14ac:dyDescent="0.3">
      <c r="E381" t="s">
        <v>80</v>
      </c>
      <c r="F381" t="s">
        <v>135</v>
      </c>
      <c r="G381" t="s">
        <v>135</v>
      </c>
      <c r="H381" t="s">
        <v>135</v>
      </c>
      <c r="I381" t="s">
        <v>135</v>
      </c>
      <c r="J381">
        <v>23.1967</v>
      </c>
      <c r="K381">
        <v>20.346399999999999</v>
      </c>
      <c r="L381">
        <v>21.588799999999999</v>
      </c>
      <c r="M381">
        <v>21.3812</v>
      </c>
      <c r="N381">
        <v>20.8413</v>
      </c>
      <c r="O381">
        <v>20.614699999999999</v>
      </c>
      <c r="P381">
        <v>20.614699999999999</v>
      </c>
      <c r="Q381">
        <v>2.5253999999999999</v>
      </c>
      <c r="R381" t="s">
        <v>135</v>
      </c>
      <c r="S381" t="s">
        <v>135</v>
      </c>
      <c r="T381">
        <v>173.4939</v>
      </c>
      <c r="U381">
        <v>201.98259999999999</v>
      </c>
      <c r="V381">
        <v>205.899</v>
      </c>
      <c r="W381">
        <v>266.20850000000002</v>
      </c>
      <c r="X381">
        <v>100.7825</v>
      </c>
      <c r="Y381" t="s">
        <v>135</v>
      </c>
      <c r="Z381" t="s">
        <v>135</v>
      </c>
      <c r="AA381" t="s">
        <v>135</v>
      </c>
      <c r="AB381" t="s">
        <v>135</v>
      </c>
      <c r="AC381" t="s">
        <v>135</v>
      </c>
      <c r="AD381" t="s">
        <v>135</v>
      </c>
      <c r="AE381" t="s">
        <v>135</v>
      </c>
      <c r="AF381" t="s">
        <v>135</v>
      </c>
      <c r="AG381" t="s">
        <v>135</v>
      </c>
      <c r="AH381" t="s">
        <v>135</v>
      </c>
      <c r="AI381" t="s">
        <v>135</v>
      </c>
      <c r="AJ381" t="s">
        <v>135</v>
      </c>
      <c r="AK381" t="s">
        <v>135</v>
      </c>
      <c r="AL381" t="s">
        <v>135</v>
      </c>
      <c r="AM381">
        <v>34.0383</v>
      </c>
      <c r="AN381">
        <v>29.0183</v>
      </c>
      <c r="AO381">
        <v>28.0718</v>
      </c>
      <c r="AP381">
        <v>35.281500000000001</v>
      </c>
      <c r="AQ381">
        <v>20.356300000000001</v>
      </c>
      <c r="AR381" t="s">
        <v>135</v>
      </c>
      <c r="AS381" t="s">
        <v>135</v>
      </c>
      <c r="AT381" t="s">
        <v>135</v>
      </c>
      <c r="AU381" t="s">
        <v>135</v>
      </c>
      <c r="AV381" t="s">
        <v>135</v>
      </c>
      <c r="AW381" t="s">
        <v>135</v>
      </c>
      <c r="AX381" t="s">
        <v>135</v>
      </c>
      <c r="AY381" t="s">
        <v>135</v>
      </c>
      <c r="AZ381" t="s">
        <v>135</v>
      </c>
      <c r="BA381" t="s">
        <v>135</v>
      </c>
      <c r="BB381" t="s">
        <v>135</v>
      </c>
      <c r="BC381" t="s">
        <v>135</v>
      </c>
      <c r="BD381" t="s">
        <v>135</v>
      </c>
      <c r="BE381" t="s">
        <v>135</v>
      </c>
      <c r="BF381">
        <v>2.6629</v>
      </c>
      <c r="BG381">
        <v>2.2688999999999999</v>
      </c>
      <c r="BH381">
        <v>0.78669999999999995</v>
      </c>
      <c r="BI381">
        <v>40.5593</v>
      </c>
      <c r="BJ381">
        <v>43.085700000000003</v>
      </c>
      <c r="BK381" t="s">
        <v>135</v>
      </c>
      <c r="BL381" t="s">
        <v>135</v>
      </c>
      <c r="BM381" t="s">
        <v>135</v>
      </c>
      <c r="BN381" t="s">
        <v>135</v>
      </c>
      <c r="BO381" t="s">
        <v>135</v>
      </c>
      <c r="BP381" t="s">
        <v>135</v>
      </c>
      <c r="BQ381" t="s">
        <v>135</v>
      </c>
      <c r="BR381" t="s">
        <v>135</v>
      </c>
      <c r="BS381" t="s">
        <v>135</v>
      </c>
      <c r="BT381" t="s">
        <v>135</v>
      </c>
      <c r="BU381" t="s">
        <v>135</v>
      </c>
      <c r="BV381" t="s">
        <v>135</v>
      </c>
      <c r="BW381" t="s">
        <v>135</v>
      </c>
      <c r="BX381" t="s">
        <v>135</v>
      </c>
      <c r="BY381" t="s">
        <v>135</v>
      </c>
      <c r="BZ381" t="s">
        <v>135</v>
      </c>
      <c r="CA381" t="s">
        <v>135</v>
      </c>
      <c r="CB381" t="s">
        <v>135</v>
      </c>
      <c r="CC381" t="s">
        <v>135</v>
      </c>
      <c r="CD381" t="s">
        <v>135</v>
      </c>
      <c r="CE381" t="s">
        <v>135</v>
      </c>
      <c r="CF381">
        <v>48.127899999999997</v>
      </c>
      <c r="CG381" t="s">
        <v>135</v>
      </c>
      <c r="CH381" t="s">
        <v>135</v>
      </c>
      <c r="CI381" t="s">
        <v>135</v>
      </c>
      <c r="CJ381" t="s">
        <v>135</v>
      </c>
      <c r="CK381" t="s">
        <v>135</v>
      </c>
      <c r="CL381" t="s">
        <v>135</v>
      </c>
      <c r="CM381" t="s">
        <v>135</v>
      </c>
      <c r="CN381" t="s">
        <v>135</v>
      </c>
      <c r="CO381" t="s">
        <v>135</v>
      </c>
      <c r="CP381">
        <v>11363</v>
      </c>
      <c r="CQ381" t="s">
        <v>135</v>
      </c>
      <c r="CR381">
        <v>9966.7999999999993</v>
      </c>
      <c r="CS381" t="s">
        <v>135</v>
      </c>
      <c r="CT381" t="s">
        <v>135</v>
      </c>
      <c r="CU381" t="s">
        <v>135</v>
      </c>
      <c r="CV381" t="s">
        <v>135</v>
      </c>
      <c r="CW381" t="s">
        <v>135</v>
      </c>
      <c r="CX381" t="s">
        <v>135</v>
      </c>
      <c r="CY381" t="s">
        <v>135</v>
      </c>
      <c r="CZ381" t="s">
        <v>135</v>
      </c>
      <c r="DA381" t="s">
        <v>135</v>
      </c>
      <c r="DB381" t="s">
        <v>135</v>
      </c>
      <c r="DC381" t="s">
        <v>135</v>
      </c>
      <c r="DD381" t="s">
        <v>135</v>
      </c>
      <c r="DE381" t="s">
        <v>135</v>
      </c>
      <c r="DF381" t="s">
        <v>135</v>
      </c>
      <c r="DG381" t="s">
        <v>135</v>
      </c>
      <c r="DH381" t="s">
        <v>135</v>
      </c>
      <c r="DI381" t="s">
        <v>135</v>
      </c>
    </row>
    <row r="382" spans="1:113" x14ac:dyDescent="0.3">
      <c r="E382" t="s">
        <v>81</v>
      </c>
      <c r="F382">
        <v>41.468400000000003</v>
      </c>
      <c r="G382">
        <v>24.303999999999998</v>
      </c>
      <c r="H382">
        <v>37.565300000000001</v>
      </c>
      <c r="I382">
        <v>34.452500000000001</v>
      </c>
      <c r="J382">
        <v>21.1907</v>
      </c>
      <c r="K382">
        <v>18.364799999999999</v>
      </c>
      <c r="L382">
        <v>19.302199999999999</v>
      </c>
      <c r="M382">
        <v>16.457899999999999</v>
      </c>
      <c r="N382">
        <v>12.323399999999999</v>
      </c>
      <c r="O382">
        <v>12.1431</v>
      </c>
      <c r="P382">
        <v>12.1431</v>
      </c>
      <c r="Q382">
        <v>25.1219</v>
      </c>
      <c r="R382" t="s">
        <v>135</v>
      </c>
      <c r="S382" t="s">
        <v>135</v>
      </c>
      <c r="T382">
        <v>165.21549999999999</v>
      </c>
      <c r="U382">
        <v>182.00640000000001</v>
      </c>
      <c r="V382">
        <v>189.64169999999999</v>
      </c>
      <c r="W382">
        <v>62.816800000000001</v>
      </c>
      <c r="X382">
        <v>-6.7443999999999997</v>
      </c>
      <c r="Y382" t="s">
        <v>135</v>
      </c>
      <c r="Z382">
        <v>155.2595</v>
      </c>
      <c r="AA382">
        <v>-10.9091</v>
      </c>
      <c r="AB382">
        <v>141.10079999999999</v>
      </c>
      <c r="AC382">
        <v>77.414199999999994</v>
      </c>
      <c r="AD382">
        <v>168.6087</v>
      </c>
      <c r="AE382">
        <v>1170.9460999999999</v>
      </c>
      <c r="AF382">
        <v>129.99529999999999</v>
      </c>
      <c r="AG382">
        <v>-68.150700000000001</v>
      </c>
      <c r="AH382">
        <v>-73.695999999999998</v>
      </c>
      <c r="AI382">
        <v>68.503</v>
      </c>
      <c r="AJ382">
        <v>40.116300000000003</v>
      </c>
      <c r="AK382">
        <v>-7.1318999999999999</v>
      </c>
      <c r="AL382" t="s">
        <v>135</v>
      </c>
      <c r="AM382">
        <v>36.915399999999998</v>
      </c>
      <c r="AN382">
        <v>30.407299999999999</v>
      </c>
      <c r="AO382">
        <v>29.4482</v>
      </c>
      <c r="AP382">
        <v>21.6706</v>
      </c>
      <c r="AQ382">
        <v>8.0893999999999995</v>
      </c>
      <c r="AR382" t="s">
        <v>135</v>
      </c>
      <c r="AS382">
        <v>36.9649</v>
      </c>
      <c r="AT382">
        <v>49.780900000000003</v>
      </c>
      <c r="AU382">
        <v>27.877299999999998</v>
      </c>
      <c r="AV382">
        <v>41.167299999999997</v>
      </c>
      <c r="AW382">
        <v>46.051900000000003</v>
      </c>
      <c r="AX382">
        <v>30.059799999999999</v>
      </c>
      <c r="AY382">
        <v>25.696100000000001</v>
      </c>
      <c r="AZ382" t="s">
        <v>135</v>
      </c>
      <c r="BA382" t="s">
        <v>135</v>
      </c>
      <c r="BB382">
        <v>36.689300000000003</v>
      </c>
      <c r="BC382">
        <v>37.737499999999997</v>
      </c>
      <c r="BD382">
        <v>19.761900000000001</v>
      </c>
      <c r="BE382" t="s">
        <v>135</v>
      </c>
      <c r="BF382">
        <v>3.2572999999999999</v>
      </c>
      <c r="BG382">
        <v>-5.6718999999999999</v>
      </c>
      <c r="BH382">
        <v>-6.7995999999999999</v>
      </c>
      <c r="BI382">
        <v>-39.176299999999998</v>
      </c>
      <c r="BJ382">
        <v>-39.023899999999998</v>
      </c>
      <c r="BK382" t="s">
        <v>135</v>
      </c>
      <c r="BL382" t="s">
        <v>135</v>
      </c>
      <c r="BM382" t="s">
        <v>135</v>
      </c>
      <c r="BN382" t="s">
        <v>135</v>
      </c>
      <c r="BO382" t="s">
        <v>135</v>
      </c>
      <c r="BP382" t="s">
        <v>135</v>
      </c>
      <c r="BQ382" t="s">
        <v>135</v>
      </c>
      <c r="BR382" t="s">
        <v>135</v>
      </c>
      <c r="BS382" t="s">
        <v>135</v>
      </c>
      <c r="BT382" t="s">
        <v>135</v>
      </c>
      <c r="BU382" t="s">
        <v>135</v>
      </c>
      <c r="BV382" t="s">
        <v>135</v>
      </c>
      <c r="BW382" t="s">
        <v>135</v>
      </c>
      <c r="BX382" t="s">
        <v>135</v>
      </c>
      <c r="BY382">
        <v>3631</v>
      </c>
      <c r="BZ382">
        <v>3441</v>
      </c>
      <c r="CA382">
        <v>190</v>
      </c>
      <c r="CB382">
        <v>8.6800000000000002E-2</v>
      </c>
      <c r="CC382">
        <v>-0.76719999999999999</v>
      </c>
      <c r="CD382">
        <v>9.9199999999999997E-2</v>
      </c>
      <c r="CE382">
        <v>-0.87660000000000005</v>
      </c>
      <c r="CF382">
        <v>109.1497</v>
      </c>
      <c r="CG382">
        <v>57.604999999999997</v>
      </c>
      <c r="CH382">
        <v>0.20369999999999999</v>
      </c>
      <c r="CI382">
        <v>0.1961</v>
      </c>
      <c r="CJ382">
        <v>0.1192</v>
      </c>
      <c r="CK382">
        <v>3.8935</v>
      </c>
      <c r="CL382">
        <v>3.7476000000000003</v>
      </c>
      <c r="CM382">
        <v>2.278</v>
      </c>
      <c r="CN382">
        <v>-34.416400000000003</v>
      </c>
      <c r="CO382">
        <v>-52.476999999999997</v>
      </c>
      <c r="CP382">
        <v>10718.5</v>
      </c>
      <c r="CQ382" t="s">
        <v>135</v>
      </c>
      <c r="CR382">
        <v>9289.1</v>
      </c>
      <c r="CS382">
        <v>0.61539999999999995</v>
      </c>
      <c r="CT382">
        <v>1.8168</v>
      </c>
      <c r="CU382">
        <v>1.3645</v>
      </c>
      <c r="CV382">
        <v>6.6495999999999995</v>
      </c>
      <c r="CW382">
        <v>6.2229999999999999</v>
      </c>
      <c r="CX382">
        <v>58.653500000000001</v>
      </c>
      <c r="CY382" t="s">
        <v>135</v>
      </c>
      <c r="CZ382" t="s">
        <v>135</v>
      </c>
      <c r="DA382" t="s">
        <v>135</v>
      </c>
      <c r="DB382" t="s">
        <v>135</v>
      </c>
      <c r="DC382" t="s">
        <v>135</v>
      </c>
      <c r="DD382" t="s">
        <v>135</v>
      </c>
      <c r="DE382">
        <v>98</v>
      </c>
      <c r="DF382" t="s">
        <v>135</v>
      </c>
      <c r="DG382" t="s">
        <v>135</v>
      </c>
      <c r="DH382" t="s">
        <v>135</v>
      </c>
      <c r="DI382" t="s">
        <v>135</v>
      </c>
    </row>
    <row r="383" spans="1:113" x14ac:dyDescent="0.3">
      <c r="D383" t="s">
        <v>82</v>
      </c>
      <c r="E383" t="s">
        <v>77</v>
      </c>
      <c r="F383">
        <v>24.522500000000001</v>
      </c>
      <c r="G383">
        <v>14.685499999999999</v>
      </c>
      <c r="H383">
        <v>23.526199999999999</v>
      </c>
      <c r="I383">
        <v>21.828099999999999</v>
      </c>
      <c r="J383">
        <v>18.3584</v>
      </c>
      <c r="K383">
        <v>15.6556</v>
      </c>
      <c r="L383" t="s">
        <v>135</v>
      </c>
      <c r="M383">
        <v>15.994199999999999</v>
      </c>
      <c r="N383">
        <v>11.7531</v>
      </c>
      <c r="O383">
        <v>11.616</v>
      </c>
      <c r="P383">
        <v>11.616</v>
      </c>
      <c r="Q383">
        <v>26.519400000000001</v>
      </c>
      <c r="R383">
        <v>21.939299999999999</v>
      </c>
      <c r="S383">
        <v>19.142499999999998</v>
      </c>
      <c r="T383">
        <v>20.125399999999999</v>
      </c>
      <c r="U383">
        <v>-0.73860000000000003</v>
      </c>
      <c r="V383">
        <v>-3.2800000000000002</v>
      </c>
      <c r="W383">
        <v>-13.242900000000001</v>
      </c>
      <c r="X383">
        <v>-15.6334</v>
      </c>
      <c r="Y383">
        <v>20</v>
      </c>
      <c r="Z383">
        <v>19.714400000000001</v>
      </c>
      <c r="AA383">
        <v>150</v>
      </c>
      <c r="AB383">
        <v>27.810700000000001</v>
      </c>
      <c r="AC383">
        <v>24.531600000000001</v>
      </c>
      <c r="AD383">
        <v>9.8918999999999997</v>
      </c>
      <c r="AE383">
        <v>12.1486</v>
      </c>
      <c r="AF383">
        <v>39.838299999999997</v>
      </c>
      <c r="AG383">
        <v>87.416399999999996</v>
      </c>
      <c r="AH383">
        <v>90.278199999999998</v>
      </c>
      <c r="AI383">
        <v>33.061</v>
      </c>
      <c r="AJ383">
        <v>35.205199999999998</v>
      </c>
      <c r="AK383">
        <v>29.6615</v>
      </c>
      <c r="AL383">
        <v>46.678899999999999</v>
      </c>
      <c r="AM383">
        <v>37.364199999999997</v>
      </c>
      <c r="AN383">
        <v>29.674600000000002</v>
      </c>
      <c r="AO383">
        <v>28.810300000000002</v>
      </c>
      <c r="AP383">
        <v>30.2667</v>
      </c>
      <c r="AQ383">
        <v>14.766999999999999</v>
      </c>
      <c r="AR383">
        <v>46.97</v>
      </c>
      <c r="AS383">
        <v>37.9512</v>
      </c>
      <c r="AT383">
        <v>77.258700000000005</v>
      </c>
      <c r="AU383">
        <v>31.618200000000002</v>
      </c>
      <c r="AV383">
        <v>27.452100000000002</v>
      </c>
      <c r="AW383">
        <v>40.3506</v>
      </c>
      <c r="AX383">
        <v>32.218600000000002</v>
      </c>
      <c r="AY383">
        <v>34.889600000000002</v>
      </c>
      <c r="AZ383" t="s">
        <v>135</v>
      </c>
      <c r="BA383">
        <v>-12.7598</v>
      </c>
      <c r="BB383">
        <v>33.738300000000002</v>
      </c>
      <c r="BC383">
        <v>25.146000000000001</v>
      </c>
      <c r="BD383">
        <v>16.6615</v>
      </c>
      <c r="BE383">
        <v>14.372299999999999</v>
      </c>
      <c r="BF383">
        <v>20.125399999999999</v>
      </c>
      <c r="BG383">
        <v>-0.73860000000000003</v>
      </c>
      <c r="BH383">
        <v>-3.2800000000000002</v>
      </c>
      <c r="BI383">
        <v>-13.242900000000001</v>
      </c>
      <c r="BJ383">
        <v>-15.6334</v>
      </c>
      <c r="BK383">
        <v>20</v>
      </c>
      <c r="BL383">
        <v>19.714400000000001</v>
      </c>
      <c r="BM383">
        <v>150</v>
      </c>
      <c r="BN383">
        <v>27.810700000000001</v>
      </c>
      <c r="BO383">
        <v>24.531600000000001</v>
      </c>
      <c r="BP383">
        <v>9.8918999999999997</v>
      </c>
      <c r="BQ383">
        <v>12.1486</v>
      </c>
      <c r="BR383">
        <v>39.838299999999997</v>
      </c>
      <c r="BS383">
        <v>87.416399999999996</v>
      </c>
      <c r="BT383">
        <v>90.278199999999998</v>
      </c>
      <c r="BU383">
        <v>33.061</v>
      </c>
      <c r="BV383">
        <v>35.205199999999998</v>
      </c>
      <c r="BW383">
        <v>29.6615</v>
      </c>
      <c r="BX383">
        <v>46.678899999999999</v>
      </c>
      <c r="BY383">
        <v>6909</v>
      </c>
      <c r="BZ383">
        <v>6449</v>
      </c>
      <c r="CA383">
        <v>460</v>
      </c>
      <c r="CB383">
        <v>0.16639999999999999</v>
      </c>
      <c r="CC383">
        <v>-0.60629999999999995</v>
      </c>
      <c r="CD383">
        <v>0.1951</v>
      </c>
      <c r="CE383">
        <v>-0.71099999999999997</v>
      </c>
      <c r="CF383">
        <v>138.893</v>
      </c>
      <c r="CG383">
        <v>61.713200000000001</v>
      </c>
      <c r="CH383">
        <v>0.37069999999999997</v>
      </c>
      <c r="CI383">
        <v>0.35110000000000002</v>
      </c>
      <c r="CJ383">
        <v>0.23180000000000001</v>
      </c>
      <c r="CK383">
        <v>5.5677000000000003</v>
      </c>
      <c r="CL383">
        <v>5.2740999999999998</v>
      </c>
      <c r="CM383">
        <v>3.4809000000000001</v>
      </c>
      <c r="CN383">
        <v>-20.2925</v>
      </c>
      <c r="CO383">
        <v>-25.4588</v>
      </c>
      <c r="CP383">
        <v>41529</v>
      </c>
      <c r="CQ383">
        <v>30298</v>
      </c>
      <c r="CR383">
        <v>35415</v>
      </c>
      <c r="CS383">
        <v>0.46250000000000002</v>
      </c>
      <c r="CT383">
        <v>1.7658</v>
      </c>
      <c r="CU383">
        <v>1.2126999999999999</v>
      </c>
      <c r="CV383">
        <v>7.7035</v>
      </c>
      <c r="CW383">
        <v>4.7351999999999999</v>
      </c>
      <c r="CX383">
        <v>77.082099999999997</v>
      </c>
      <c r="CY383" t="s">
        <v>135</v>
      </c>
      <c r="CZ383" t="s">
        <v>135</v>
      </c>
      <c r="DA383" t="s">
        <v>135</v>
      </c>
      <c r="DB383" t="s">
        <v>135</v>
      </c>
      <c r="DC383" t="s">
        <v>135</v>
      </c>
      <c r="DD383" t="s">
        <v>135</v>
      </c>
      <c r="DE383">
        <v>245</v>
      </c>
      <c r="DF383" t="s">
        <v>135</v>
      </c>
      <c r="DG383" t="s">
        <v>135</v>
      </c>
      <c r="DH383" t="s">
        <v>135</v>
      </c>
      <c r="DI383" t="s">
        <v>135</v>
      </c>
    </row>
    <row r="384" spans="1:113" x14ac:dyDescent="0.3">
      <c r="E384" t="s">
        <v>78</v>
      </c>
      <c r="F384" t="s">
        <v>135</v>
      </c>
      <c r="G384" t="s">
        <v>135</v>
      </c>
      <c r="H384" t="s">
        <v>135</v>
      </c>
      <c r="I384" t="s">
        <v>135</v>
      </c>
      <c r="J384">
        <v>18.127700000000001</v>
      </c>
      <c r="K384">
        <v>15.2143</v>
      </c>
      <c r="L384">
        <v>3.1573000000000002</v>
      </c>
      <c r="M384">
        <v>16.876899999999999</v>
      </c>
      <c r="N384">
        <v>12.370799999999999</v>
      </c>
      <c r="O384">
        <v>12.315099999999999</v>
      </c>
      <c r="P384">
        <v>12.315099999999999</v>
      </c>
      <c r="Q384">
        <v>26.6998</v>
      </c>
      <c r="R384" t="s">
        <v>135</v>
      </c>
      <c r="S384" t="s">
        <v>135</v>
      </c>
      <c r="T384">
        <v>24.816299999999998</v>
      </c>
      <c r="U384">
        <v>7.3952</v>
      </c>
      <c r="V384">
        <v>4.3036000000000003</v>
      </c>
      <c r="W384">
        <v>-8.0998000000000001</v>
      </c>
      <c r="X384">
        <v>-9.8276000000000003</v>
      </c>
      <c r="Y384" t="s">
        <v>135</v>
      </c>
      <c r="Z384" t="s">
        <v>135</v>
      </c>
      <c r="AA384" t="s">
        <v>135</v>
      </c>
      <c r="AB384" t="s">
        <v>135</v>
      </c>
      <c r="AC384" t="s">
        <v>135</v>
      </c>
      <c r="AD384" t="s">
        <v>135</v>
      </c>
      <c r="AE384" t="s">
        <v>135</v>
      </c>
      <c r="AF384" t="s">
        <v>135</v>
      </c>
      <c r="AG384" t="s">
        <v>135</v>
      </c>
      <c r="AH384" t="s">
        <v>135</v>
      </c>
      <c r="AI384" t="s">
        <v>135</v>
      </c>
      <c r="AJ384" t="s">
        <v>135</v>
      </c>
      <c r="AK384" t="s">
        <v>135</v>
      </c>
      <c r="AL384" t="s">
        <v>135</v>
      </c>
      <c r="AM384">
        <v>35.6997</v>
      </c>
      <c r="AN384">
        <v>27.046099999999999</v>
      </c>
      <c r="AO384">
        <v>25.436199999999999</v>
      </c>
      <c r="AP384">
        <v>36.805300000000003</v>
      </c>
      <c r="AQ384">
        <v>20.7423</v>
      </c>
      <c r="AR384" t="s">
        <v>135</v>
      </c>
      <c r="AS384" t="s">
        <v>135</v>
      </c>
      <c r="AT384" t="s">
        <v>135</v>
      </c>
      <c r="AU384" t="s">
        <v>135</v>
      </c>
      <c r="AV384" t="s">
        <v>135</v>
      </c>
      <c r="AW384" t="s">
        <v>135</v>
      </c>
      <c r="AX384" t="s">
        <v>135</v>
      </c>
      <c r="AY384" t="s">
        <v>135</v>
      </c>
      <c r="AZ384" t="s">
        <v>135</v>
      </c>
      <c r="BA384" t="s">
        <v>135</v>
      </c>
      <c r="BB384" t="s">
        <v>135</v>
      </c>
      <c r="BC384" t="s">
        <v>135</v>
      </c>
      <c r="BD384" t="s">
        <v>135</v>
      </c>
      <c r="BE384" t="s">
        <v>135</v>
      </c>
      <c r="BF384">
        <v>1.2532000000000001</v>
      </c>
      <c r="BG384">
        <v>-13.3825</v>
      </c>
      <c r="BH384">
        <v>-16.116700000000002</v>
      </c>
      <c r="BI384">
        <v>2.6879999999999997</v>
      </c>
      <c r="BJ384">
        <v>-0.98450000000000004</v>
      </c>
      <c r="BK384" t="s">
        <v>135</v>
      </c>
      <c r="BL384" t="s">
        <v>135</v>
      </c>
      <c r="BM384" t="s">
        <v>135</v>
      </c>
      <c r="BN384" t="s">
        <v>135</v>
      </c>
      <c r="BO384" t="s">
        <v>135</v>
      </c>
      <c r="BP384" t="s">
        <v>135</v>
      </c>
      <c r="BQ384" t="s">
        <v>135</v>
      </c>
      <c r="BR384" t="s">
        <v>135</v>
      </c>
      <c r="BS384" t="s">
        <v>135</v>
      </c>
      <c r="BT384" t="s">
        <v>135</v>
      </c>
      <c r="BU384" t="s">
        <v>135</v>
      </c>
      <c r="BV384" t="s">
        <v>135</v>
      </c>
      <c r="BW384" t="s">
        <v>135</v>
      </c>
      <c r="BX384" t="s">
        <v>135</v>
      </c>
      <c r="BY384" t="s">
        <v>135</v>
      </c>
      <c r="BZ384" t="s">
        <v>135</v>
      </c>
      <c r="CA384" t="s">
        <v>135</v>
      </c>
      <c r="CB384" t="s">
        <v>135</v>
      </c>
      <c r="CC384" t="s">
        <v>135</v>
      </c>
      <c r="CD384" t="s">
        <v>135</v>
      </c>
      <c r="CE384" t="s">
        <v>135</v>
      </c>
      <c r="CF384">
        <v>225.34219999999999</v>
      </c>
      <c r="CG384" t="s">
        <v>135</v>
      </c>
      <c r="CH384" t="s">
        <v>135</v>
      </c>
      <c r="CI384" t="s">
        <v>135</v>
      </c>
      <c r="CJ384" t="s">
        <v>135</v>
      </c>
      <c r="CK384" t="s">
        <v>135</v>
      </c>
      <c r="CL384" t="s">
        <v>135</v>
      </c>
      <c r="CM384" t="s">
        <v>135</v>
      </c>
      <c r="CN384" t="s">
        <v>135</v>
      </c>
      <c r="CO384" t="s">
        <v>135</v>
      </c>
      <c r="CP384">
        <v>9284.1</v>
      </c>
      <c r="CQ384" t="s">
        <v>135</v>
      </c>
      <c r="CR384">
        <v>7792</v>
      </c>
      <c r="CS384" t="s">
        <v>135</v>
      </c>
      <c r="CT384" t="s">
        <v>135</v>
      </c>
      <c r="CU384" t="s">
        <v>135</v>
      </c>
      <c r="CV384" t="s">
        <v>135</v>
      </c>
      <c r="CW384" t="s">
        <v>135</v>
      </c>
      <c r="CX384" t="s">
        <v>135</v>
      </c>
      <c r="CY384" t="s">
        <v>135</v>
      </c>
      <c r="CZ384" t="s">
        <v>135</v>
      </c>
      <c r="DA384" t="s">
        <v>135</v>
      </c>
      <c r="DB384" t="s">
        <v>135</v>
      </c>
      <c r="DC384" t="s">
        <v>135</v>
      </c>
      <c r="DD384" t="s">
        <v>135</v>
      </c>
      <c r="DE384" t="s">
        <v>135</v>
      </c>
      <c r="DF384" t="s">
        <v>135</v>
      </c>
      <c r="DG384" t="s">
        <v>135</v>
      </c>
      <c r="DH384" t="s">
        <v>135</v>
      </c>
      <c r="DI384" t="s">
        <v>135</v>
      </c>
    </row>
    <row r="385" spans="4:113" x14ac:dyDescent="0.3">
      <c r="E385" t="s">
        <v>79</v>
      </c>
      <c r="F385">
        <v>32.4756</v>
      </c>
      <c r="G385">
        <v>18.6999</v>
      </c>
      <c r="H385">
        <v>32.551699999999997</v>
      </c>
      <c r="I385">
        <v>32.773600000000002</v>
      </c>
      <c r="J385">
        <v>19.9954</v>
      </c>
      <c r="K385">
        <v>17.3994</v>
      </c>
      <c r="L385" t="s">
        <v>135</v>
      </c>
      <c r="M385">
        <v>18.3735</v>
      </c>
      <c r="N385">
        <v>13.259399999999999</v>
      </c>
      <c r="O385">
        <v>13.113200000000001</v>
      </c>
      <c r="P385">
        <v>13.113200000000001</v>
      </c>
      <c r="Q385">
        <v>27.834399999999999</v>
      </c>
      <c r="R385" t="s">
        <v>135</v>
      </c>
      <c r="S385" t="s">
        <v>135</v>
      </c>
      <c r="T385">
        <v>15.0144</v>
      </c>
      <c r="U385">
        <v>-1.2383999999999999</v>
      </c>
      <c r="V385">
        <v>-3.4422000000000001</v>
      </c>
      <c r="W385">
        <v>0.16839999999999999</v>
      </c>
      <c r="X385">
        <v>-1.5197000000000001</v>
      </c>
      <c r="Y385" t="s">
        <v>135</v>
      </c>
      <c r="Z385">
        <v>5.0392999999999999</v>
      </c>
      <c r="AA385">
        <v>-55.145099999999999</v>
      </c>
      <c r="AB385" t="s">
        <v>135</v>
      </c>
      <c r="AC385">
        <v>13.898</v>
      </c>
      <c r="AD385">
        <v>-3.8239999999999998</v>
      </c>
      <c r="AE385">
        <v>63.303699999999999</v>
      </c>
      <c r="AF385">
        <v>22.468900000000001</v>
      </c>
      <c r="AG385" t="s">
        <v>135</v>
      </c>
      <c r="AH385">
        <v>230.6533</v>
      </c>
      <c r="AI385">
        <v>45.756599999999999</v>
      </c>
      <c r="AJ385">
        <v>46.1447</v>
      </c>
      <c r="AK385">
        <v>44.143900000000002</v>
      </c>
      <c r="AL385" t="s">
        <v>135</v>
      </c>
      <c r="AM385">
        <v>36.887300000000003</v>
      </c>
      <c r="AN385">
        <v>30.515699999999999</v>
      </c>
      <c r="AO385">
        <v>29.8611</v>
      </c>
      <c r="AP385">
        <v>33.616799999999998</v>
      </c>
      <c r="AQ385">
        <v>18.073</v>
      </c>
      <c r="AR385" t="s">
        <v>135</v>
      </c>
      <c r="AS385">
        <v>31.938199999999998</v>
      </c>
      <c r="AT385" t="s">
        <v>135</v>
      </c>
      <c r="AU385" t="s">
        <v>135</v>
      </c>
      <c r="AV385">
        <v>25.85</v>
      </c>
      <c r="AW385">
        <v>19.652100000000001</v>
      </c>
      <c r="AX385">
        <v>50.212600000000002</v>
      </c>
      <c r="AY385" t="s">
        <v>135</v>
      </c>
      <c r="AZ385" t="s">
        <v>135</v>
      </c>
      <c r="BA385">
        <v>-52.5107</v>
      </c>
      <c r="BB385">
        <v>36.521900000000002</v>
      </c>
      <c r="BC385">
        <v>19.7286</v>
      </c>
      <c r="BD385">
        <v>19.491099999999999</v>
      </c>
      <c r="BE385" t="s">
        <v>135</v>
      </c>
      <c r="BF385">
        <v>7.1542000000000003</v>
      </c>
      <c r="BG385">
        <v>18.194500000000001</v>
      </c>
      <c r="BH385">
        <v>22.543600000000001</v>
      </c>
      <c r="BI385">
        <v>14.0982</v>
      </c>
      <c r="BJ385">
        <v>13.9962</v>
      </c>
      <c r="BK385" t="s">
        <v>135</v>
      </c>
      <c r="BL385" t="s">
        <v>135</v>
      </c>
      <c r="BM385" t="s">
        <v>135</v>
      </c>
      <c r="BN385" t="s">
        <v>135</v>
      </c>
      <c r="BO385" t="s">
        <v>135</v>
      </c>
      <c r="BP385" t="s">
        <v>135</v>
      </c>
      <c r="BQ385" t="s">
        <v>135</v>
      </c>
      <c r="BR385" t="s">
        <v>135</v>
      </c>
      <c r="BS385" t="s">
        <v>135</v>
      </c>
      <c r="BT385" t="s">
        <v>135</v>
      </c>
      <c r="BU385" t="s">
        <v>135</v>
      </c>
      <c r="BV385" t="s">
        <v>135</v>
      </c>
      <c r="BW385" t="s">
        <v>135</v>
      </c>
      <c r="BX385" t="s">
        <v>135</v>
      </c>
      <c r="BY385">
        <v>526.4</v>
      </c>
      <c r="BZ385">
        <v>381.5</v>
      </c>
      <c r="CA385">
        <v>144.9</v>
      </c>
      <c r="CB385">
        <v>1.24E-2</v>
      </c>
      <c r="CC385">
        <v>-0.79579999999999995</v>
      </c>
      <c r="CD385">
        <v>1.44E-2</v>
      </c>
      <c r="CE385">
        <v>-0.92069999999999996</v>
      </c>
      <c r="CF385">
        <v>267.64150000000001</v>
      </c>
      <c r="CG385">
        <v>64.224100000000007</v>
      </c>
      <c r="CH385">
        <v>0.1313</v>
      </c>
      <c r="CI385">
        <v>0.13070000000000001</v>
      </c>
      <c r="CJ385">
        <v>8.5500000000000007E-2</v>
      </c>
      <c r="CK385">
        <v>0.47710000000000002</v>
      </c>
      <c r="CL385">
        <v>0.47489999999999999</v>
      </c>
      <c r="CM385">
        <v>0.31080000000000002</v>
      </c>
      <c r="CN385">
        <v>-30.5396</v>
      </c>
      <c r="CO385">
        <v>-43.966900000000003</v>
      </c>
      <c r="CP385">
        <v>10973.3</v>
      </c>
      <c r="CQ385" t="s">
        <v>135</v>
      </c>
      <c r="CR385">
        <v>9548.6</v>
      </c>
      <c r="CS385">
        <v>0.65290000000000004</v>
      </c>
      <c r="CT385">
        <v>2.1522999999999999</v>
      </c>
      <c r="CU385">
        <v>1.4992000000000001</v>
      </c>
      <c r="CV385">
        <v>9.3384</v>
      </c>
      <c r="CW385">
        <v>4.7496</v>
      </c>
      <c r="CX385">
        <v>76.847999999999999</v>
      </c>
      <c r="CY385" t="s">
        <v>135</v>
      </c>
      <c r="CZ385" t="s">
        <v>135</v>
      </c>
      <c r="DA385" t="s">
        <v>135</v>
      </c>
      <c r="DB385" t="s">
        <v>135</v>
      </c>
      <c r="DC385" t="s">
        <v>135</v>
      </c>
      <c r="DD385" t="s">
        <v>135</v>
      </c>
      <c r="DE385">
        <v>51</v>
      </c>
      <c r="DF385" t="s">
        <v>135</v>
      </c>
      <c r="DG385" t="s">
        <v>135</v>
      </c>
      <c r="DH385" t="s">
        <v>135</v>
      </c>
      <c r="DI385" t="s">
        <v>135</v>
      </c>
    </row>
    <row r="386" spans="4:113" x14ac:dyDescent="0.3">
      <c r="E386" t="s">
        <v>80</v>
      </c>
      <c r="F386" t="s">
        <v>135</v>
      </c>
      <c r="G386" t="s">
        <v>135</v>
      </c>
      <c r="H386" t="s">
        <v>135</v>
      </c>
      <c r="I386" t="s">
        <v>135</v>
      </c>
      <c r="J386">
        <v>20.169699999999999</v>
      </c>
      <c r="K386">
        <v>17.664000000000001</v>
      </c>
      <c r="L386">
        <v>2.2622</v>
      </c>
      <c r="M386">
        <v>17.927199999999999</v>
      </c>
      <c r="N386">
        <v>13.5596</v>
      </c>
      <c r="O386">
        <v>14.001099999999999</v>
      </c>
      <c r="P386">
        <v>14.001099999999999</v>
      </c>
      <c r="Q386">
        <v>24.3628</v>
      </c>
      <c r="R386" t="s">
        <v>135</v>
      </c>
      <c r="S386" t="s">
        <v>135</v>
      </c>
      <c r="T386">
        <v>17.416399999999999</v>
      </c>
      <c r="U386">
        <v>2.0945</v>
      </c>
      <c r="V386">
        <v>1.9363999999999999</v>
      </c>
      <c r="W386">
        <v>-20.2531</v>
      </c>
      <c r="X386">
        <v>-24.3628</v>
      </c>
      <c r="Y386" t="s">
        <v>135</v>
      </c>
      <c r="Z386" t="s">
        <v>135</v>
      </c>
      <c r="AA386" t="s">
        <v>135</v>
      </c>
      <c r="AB386" t="s">
        <v>135</v>
      </c>
      <c r="AC386" t="s">
        <v>135</v>
      </c>
      <c r="AD386" t="s">
        <v>135</v>
      </c>
      <c r="AE386" t="s">
        <v>135</v>
      </c>
      <c r="AF386" t="s">
        <v>135</v>
      </c>
      <c r="AG386" t="s">
        <v>135</v>
      </c>
      <c r="AH386" t="s">
        <v>135</v>
      </c>
      <c r="AI386" t="s">
        <v>135</v>
      </c>
      <c r="AJ386" t="s">
        <v>135</v>
      </c>
      <c r="AK386" t="s">
        <v>135</v>
      </c>
      <c r="AL386" t="s">
        <v>135</v>
      </c>
      <c r="AM386">
        <v>37.103099999999998</v>
      </c>
      <c r="AN386">
        <v>32.819800000000001</v>
      </c>
      <c r="AO386">
        <v>32.6297</v>
      </c>
      <c r="AP386">
        <v>36.054499999999997</v>
      </c>
      <c r="AQ386">
        <v>19.828499999999998</v>
      </c>
      <c r="AR386" t="s">
        <v>135</v>
      </c>
      <c r="AS386" t="s">
        <v>135</v>
      </c>
      <c r="AT386" t="s">
        <v>135</v>
      </c>
      <c r="AU386" t="s">
        <v>135</v>
      </c>
      <c r="AV386" t="s">
        <v>135</v>
      </c>
      <c r="AW386" t="s">
        <v>135</v>
      </c>
      <c r="AX386" t="s">
        <v>135</v>
      </c>
      <c r="AY386" t="s">
        <v>135</v>
      </c>
      <c r="AZ386" t="s">
        <v>135</v>
      </c>
      <c r="BA386" t="s">
        <v>135</v>
      </c>
      <c r="BB386" t="s">
        <v>135</v>
      </c>
      <c r="BC386" t="s">
        <v>135</v>
      </c>
      <c r="BD386" t="s">
        <v>135</v>
      </c>
      <c r="BE386" t="s">
        <v>135</v>
      </c>
      <c r="BF386">
        <v>4.8068999999999997</v>
      </c>
      <c r="BG386">
        <v>5.7202000000000002</v>
      </c>
      <c r="BH386">
        <v>6.4009</v>
      </c>
      <c r="BI386">
        <v>11.9032</v>
      </c>
      <c r="BJ386">
        <v>9.8960000000000008</v>
      </c>
      <c r="BK386" t="s">
        <v>135</v>
      </c>
      <c r="BL386">
        <v>5.0277000000000003</v>
      </c>
      <c r="BM386">
        <v>31.372499999999999</v>
      </c>
      <c r="BN386" t="s">
        <v>135</v>
      </c>
      <c r="BO386">
        <v>7.3022</v>
      </c>
      <c r="BP386">
        <v>10.1191</v>
      </c>
      <c r="BQ386">
        <v>12.939500000000001</v>
      </c>
      <c r="BR386">
        <v>-2.9769999999999999</v>
      </c>
      <c r="BS386">
        <v>8.7811000000000003</v>
      </c>
      <c r="BT386">
        <v>2.0137</v>
      </c>
      <c r="BU386">
        <v>11.1829</v>
      </c>
      <c r="BV386">
        <v>11.1394</v>
      </c>
      <c r="BW386">
        <v>9.2103000000000002</v>
      </c>
      <c r="BX386" t="s">
        <v>135</v>
      </c>
      <c r="BY386">
        <v>537</v>
      </c>
      <c r="BZ386">
        <v>415</v>
      </c>
      <c r="CA386">
        <v>122</v>
      </c>
      <c r="CB386">
        <v>1.26E-2</v>
      </c>
      <c r="CC386">
        <v>-0.9768</v>
      </c>
      <c r="CD386">
        <v>1.46E-2</v>
      </c>
      <c r="CE386">
        <v>-1.1304000000000001</v>
      </c>
      <c r="CF386">
        <v>297.4615</v>
      </c>
      <c r="CG386">
        <v>66.623800000000003</v>
      </c>
      <c r="CH386">
        <v>9.9500000000000005E-2</v>
      </c>
      <c r="CI386">
        <v>9.9000000000000005E-2</v>
      </c>
      <c r="CJ386">
        <v>6.7100000000000007E-2</v>
      </c>
      <c r="CK386">
        <v>0.43780000000000002</v>
      </c>
      <c r="CL386">
        <v>0.43590000000000001</v>
      </c>
      <c r="CM386">
        <v>0.2954</v>
      </c>
      <c r="CN386">
        <v>-33.9024</v>
      </c>
      <c r="CO386">
        <v>-51.2913</v>
      </c>
      <c r="CP386">
        <v>11601</v>
      </c>
      <c r="CQ386" t="s">
        <v>135</v>
      </c>
      <c r="CR386">
        <v>10159.799999999999</v>
      </c>
      <c r="CS386">
        <v>0.79020000000000001</v>
      </c>
      <c r="CT386">
        <v>2.2797000000000001</v>
      </c>
      <c r="CU386">
        <v>1.6644000000000001</v>
      </c>
      <c r="CV386">
        <v>9.5662000000000003</v>
      </c>
      <c r="CW386" t="s">
        <v>135</v>
      </c>
      <c r="CX386" t="s">
        <v>135</v>
      </c>
      <c r="CY386" t="s">
        <v>135</v>
      </c>
      <c r="CZ386" t="s">
        <v>135</v>
      </c>
      <c r="DA386" t="s">
        <v>135</v>
      </c>
      <c r="DB386" t="s">
        <v>135</v>
      </c>
      <c r="DC386" t="s">
        <v>135</v>
      </c>
      <c r="DD386" t="s">
        <v>135</v>
      </c>
      <c r="DE386">
        <v>67</v>
      </c>
      <c r="DF386" t="s">
        <v>135</v>
      </c>
      <c r="DG386" t="s">
        <v>135</v>
      </c>
      <c r="DH386" t="s">
        <v>135</v>
      </c>
      <c r="DI386" t="s">
        <v>135</v>
      </c>
    </row>
    <row r="387" spans="4:113" x14ac:dyDescent="0.3">
      <c r="E387" t="s">
        <v>81</v>
      </c>
      <c r="F387">
        <v>24.522300000000001</v>
      </c>
      <c r="G387">
        <v>14.6853</v>
      </c>
      <c r="H387">
        <v>23.526</v>
      </c>
      <c r="I387">
        <v>21.6233</v>
      </c>
      <c r="J387">
        <v>15.1792</v>
      </c>
      <c r="K387">
        <v>12.365500000000001</v>
      </c>
      <c r="L387" t="s">
        <v>135</v>
      </c>
      <c r="M387">
        <v>11.008599999999999</v>
      </c>
      <c r="N387">
        <v>7.9950000000000001</v>
      </c>
      <c r="O387">
        <v>7.7165999999999997</v>
      </c>
      <c r="P387">
        <v>7.7165999999999997</v>
      </c>
      <c r="Q387">
        <v>27.395</v>
      </c>
      <c r="R387" t="s">
        <v>135</v>
      </c>
      <c r="S387" t="s">
        <v>135</v>
      </c>
      <c r="T387">
        <v>20.930299999999999</v>
      </c>
      <c r="U387">
        <v>-13.3759</v>
      </c>
      <c r="V387">
        <v>-18.5745</v>
      </c>
      <c r="W387">
        <v>-23.151700000000002</v>
      </c>
      <c r="X387">
        <v>-27.3003</v>
      </c>
      <c r="Y387" t="s">
        <v>135</v>
      </c>
      <c r="Z387">
        <v>19.714400000000001</v>
      </c>
      <c r="AA387">
        <v>150</v>
      </c>
      <c r="AB387">
        <v>27.810700000000001</v>
      </c>
      <c r="AC387">
        <v>24.531600000000001</v>
      </c>
      <c r="AD387">
        <v>9.8918999999999997</v>
      </c>
      <c r="AE387">
        <v>12.1486</v>
      </c>
      <c r="AF387">
        <v>39.838299999999997</v>
      </c>
      <c r="AG387">
        <v>87.416399999999996</v>
      </c>
      <c r="AH387">
        <v>90.278199999999998</v>
      </c>
      <c r="AI387">
        <v>33.061</v>
      </c>
      <c r="AJ387">
        <v>35.205199999999998</v>
      </c>
      <c r="AK387">
        <v>29.6615</v>
      </c>
      <c r="AL387" t="s">
        <v>135</v>
      </c>
      <c r="AM387">
        <v>38.8947</v>
      </c>
      <c r="AN387">
        <v>27.196200000000001</v>
      </c>
      <c r="AO387">
        <v>25.921500000000002</v>
      </c>
      <c r="AP387">
        <v>15.765000000000001</v>
      </c>
      <c r="AQ387">
        <v>1.9765999999999999</v>
      </c>
      <c r="AR387" t="s">
        <v>135</v>
      </c>
      <c r="AS387">
        <v>37.9512</v>
      </c>
      <c r="AT387">
        <v>77.258700000000005</v>
      </c>
      <c r="AU387">
        <v>31.618200000000002</v>
      </c>
      <c r="AV387">
        <v>27.452100000000002</v>
      </c>
      <c r="AW387">
        <v>40.3506</v>
      </c>
      <c r="AX387">
        <v>32.218600000000002</v>
      </c>
      <c r="AY387">
        <v>34.889600000000002</v>
      </c>
      <c r="AZ387" t="s">
        <v>135</v>
      </c>
      <c r="BA387">
        <v>-12.7598</v>
      </c>
      <c r="BB387">
        <v>33.738300000000002</v>
      </c>
      <c r="BC387">
        <v>25.146000000000001</v>
      </c>
      <c r="BD387">
        <v>16.6615</v>
      </c>
      <c r="BE387" t="s">
        <v>135</v>
      </c>
      <c r="BF387">
        <v>6.3475000000000001</v>
      </c>
      <c r="BG387">
        <v>-19.965499999999999</v>
      </c>
      <c r="BH387">
        <v>-25.552700000000002</v>
      </c>
      <c r="BI387">
        <v>-41.387099999999997</v>
      </c>
      <c r="BJ387">
        <v>-41.3919</v>
      </c>
      <c r="BK387" t="s">
        <v>135</v>
      </c>
      <c r="BL387">
        <v>11.726599999999999</v>
      </c>
      <c r="BM387">
        <v>265.67160000000001</v>
      </c>
      <c r="BN387">
        <v>11.1229</v>
      </c>
      <c r="BO387">
        <v>9.1971000000000007</v>
      </c>
      <c r="BP387">
        <v>5.6951000000000001</v>
      </c>
      <c r="BQ387">
        <v>-22.103999999999999</v>
      </c>
      <c r="BR387">
        <v>23.6159</v>
      </c>
      <c r="BS387">
        <v>1453.9758999999999</v>
      </c>
      <c r="BT387">
        <v>1186.5922</v>
      </c>
      <c r="BU387">
        <v>1.1600999999999999</v>
      </c>
      <c r="BV387">
        <v>6.3269000000000002</v>
      </c>
      <c r="BW387">
        <v>1.0531999999999999</v>
      </c>
      <c r="BX387" t="s">
        <v>135</v>
      </c>
      <c r="BY387">
        <v>6909</v>
      </c>
      <c r="BZ387">
        <v>6449</v>
      </c>
      <c r="CA387">
        <v>460</v>
      </c>
      <c r="CB387">
        <v>0.16789999999999999</v>
      </c>
      <c r="CC387">
        <v>-0.61199999999999999</v>
      </c>
      <c r="CD387">
        <v>0.19700000000000001</v>
      </c>
      <c r="CE387">
        <v>-0.71809999999999996</v>
      </c>
      <c r="CF387">
        <v>52.426900000000003</v>
      </c>
      <c r="CG387">
        <v>61.713200000000001</v>
      </c>
      <c r="CH387">
        <v>0.37069999999999997</v>
      </c>
      <c r="CI387">
        <v>0.35110000000000002</v>
      </c>
      <c r="CJ387">
        <v>0.23180000000000001</v>
      </c>
      <c r="CK387">
        <v>5.5677000000000003</v>
      </c>
      <c r="CL387">
        <v>5.2740999999999998</v>
      </c>
      <c r="CM387">
        <v>3.4809000000000001</v>
      </c>
      <c r="CN387">
        <v>-20.2925</v>
      </c>
      <c r="CO387">
        <v>-25.4588</v>
      </c>
      <c r="CP387">
        <v>9284.7999999999993</v>
      </c>
      <c r="CQ387" t="s">
        <v>135</v>
      </c>
      <c r="CR387">
        <v>7563.7</v>
      </c>
      <c r="CS387">
        <v>0.46250000000000002</v>
      </c>
      <c r="CT387">
        <v>1.7658</v>
      </c>
      <c r="CU387">
        <v>1.2126999999999999</v>
      </c>
      <c r="CV387">
        <v>7.7035</v>
      </c>
      <c r="CW387">
        <v>4.7051999999999996</v>
      </c>
      <c r="CX387">
        <v>77.573800000000006</v>
      </c>
      <c r="CY387" t="s">
        <v>135</v>
      </c>
      <c r="CZ387" t="s">
        <v>135</v>
      </c>
      <c r="DA387" t="s">
        <v>135</v>
      </c>
      <c r="DB387" t="s">
        <v>135</v>
      </c>
      <c r="DC387" t="s">
        <v>135</v>
      </c>
      <c r="DD387" t="s">
        <v>135</v>
      </c>
      <c r="DE387">
        <v>245</v>
      </c>
      <c r="DF387" t="s">
        <v>135</v>
      </c>
      <c r="DG387" t="s">
        <v>135</v>
      </c>
      <c r="DH387" t="s">
        <v>135</v>
      </c>
      <c r="DI387" t="s">
        <v>135</v>
      </c>
    </row>
    <row r="388" spans="4:113" x14ac:dyDescent="0.3">
      <c r="D388" t="s">
        <v>83</v>
      </c>
      <c r="E388" t="s">
        <v>77</v>
      </c>
      <c r="F388">
        <v>23.428999999999998</v>
      </c>
      <c r="G388">
        <v>14.3835</v>
      </c>
      <c r="H388">
        <v>22.486799999999999</v>
      </c>
      <c r="I388">
        <v>18.601099999999999</v>
      </c>
      <c r="J388">
        <v>16.299399999999999</v>
      </c>
      <c r="K388">
        <v>13.423299999999999</v>
      </c>
      <c r="L388">
        <v>0.38469999999999999</v>
      </c>
      <c r="M388">
        <v>15.1614</v>
      </c>
      <c r="N388">
        <v>11.9245</v>
      </c>
      <c r="O388">
        <v>11.768599999999999</v>
      </c>
      <c r="P388">
        <v>11.768599999999999</v>
      </c>
      <c r="Q388">
        <v>21.4145</v>
      </c>
      <c r="R388">
        <v>37.248199999999997</v>
      </c>
      <c r="S388">
        <v>14.7021</v>
      </c>
      <c r="T388">
        <v>17.1206</v>
      </c>
      <c r="U388">
        <v>3.9851999999999999</v>
      </c>
      <c r="V388">
        <v>0.42070000000000002</v>
      </c>
      <c r="W388">
        <v>18.658899999999999</v>
      </c>
      <c r="X388">
        <v>18.436800000000002</v>
      </c>
      <c r="Y388">
        <v>0</v>
      </c>
      <c r="Z388">
        <v>10.8454</v>
      </c>
      <c r="AA388">
        <v>68.979600000000005</v>
      </c>
      <c r="AB388">
        <v>13.229800000000001</v>
      </c>
      <c r="AC388">
        <v>18.4345</v>
      </c>
      <c r="AD388">
        <v>11.4986</v>
      </c>
      <c r="AE388">
        <v>27.196300000000001</v>
      </c>
      <c r="AF388">
        <v>10.530900000000001</v>
      </c>
      <c r="AG388">
        <v>36.875100000000003</v>
      </c>
      <c r="AH388">
        <v>55.977699999999999</v>
      </c>
      <c r="AI388">
        <v>17.412400000000002</v>
      </c>
      <c r="AJ388">
        <v>19.472000000000001</v>
      </c>
      <c r="AK388">
        <v>16.446899999999999</v>
      </c>
      <c r="AL388">
        <v>25.538699999999999</v>
      </c>
      <c r="AM388">
        <v>38.814300000000003</v>
      </c>
      <c r="AN388">
        <v>33.899299999999997</v>
      </c>
      <c r="AO388">
        <v>32.838099999999997</v>
      </c>
      <c r="AP388">
        <v>37.079000000000001</v>
      </c>
      <c r="AQ388">
        <v>20.754100000000001</v>
      </c>
      <c r="AR388">
        <v>43.096899999999998</v>
      </c>
      <c r="AS388">
        <v>40.9816</v>
      </c>
      <c r="AT388">
        <v>133.22219999999999</v>
      </c>
      <c r="AU388">
        <v>36.668900000000001</v>
      </c>
      <c r="AV388">
        <v>31.1633</v>
      </c>
      <c r="AW388">
        <v>34.978299999999997</v>
      </c>
      <c r="AX388">
        <v>67.111400000000003</v>
      </c>
      <c r="AY388">
        <v>55.860300000000002</v>
      </c>
      <c r="AZ388">
        <v>8.9694000000000003</v>
      </c>
      <c r="BA388">
        <v>-2.2355999999999998</v>
      </c>
      <c r="BB388">
        <v>34.0398</v>
      </c>
      <c r="BC388">
        <v>27.821899999999999</v>
      </c>
      <c r="BD388">
        <v>17.416599999999999</v>
      </c>
      <c r="BE388">
        <v>54.373199999999997</v>
      </c>
      <c r="BF388">
        <v>17.1206</v>
      </c>
      <c r="BG388">
        <v>3.9851999999999999</v>
      </c>
      <c r="BH388">
        <v>0.42070000000000002</v>
      </c>
      <c r="BI388">
        <v>18.658899999999999</v>
      </c>
      <c r="BJ388">
        <v>18.436800000000002</v>
      </c>
      <c r="BK388">
        <v>0</v>
      </c>
      <c r="BL388">
        <v>10.8454</v>
      </c>
      <c r="BM388">
        <v>68.979600000000005</v>
      </c>
      <c r="BN388">
        <v>13.229800000000001</v>
      </c>
      <c r="BO388">
        <v>18.4345</v>
      </c>
      <c r="BP388">
        <v>11.4986</v>
      </c>
      <c r="BQ388">
        <v>27.196300000000001</v>
      </c>
      <c r="BR388">
        <v>10.530900000000001</v>
      </c>
      <c r="BS388">
        <v>36.875100000000003</v>
      </c>
      <c r="BT388">
        <v>55.977699999999999</v>
      </c>
      <c r="BU388">
        <v>17.412400000000002</v>
      </c>
      <c r="BV388">
        <v>19.472000000000001</v>
      </c>
      <c r="BW388">
        <v>16.446899999999999</v>
      </c>
      <c r="BX388">
        <v>25.538699999999999</v>
      </c>
      <c r="BY388">
        <v>10920</v>
      </c>
      <c r="BZ388">
        <v>8953</v>
      </c>
      <c r="CA388">
        <v>1967</v>
      </c>
      <c r="CB388">
        <v>0.25290000000000001</v>
      </c>
      <c r="CC388">
        <v>-0.94730000000000003</v>
      </c>
      <c r="CD388">
        <v>0.30709999999999998</v>
      </c>
      <c r="CE388">
        <v>-1.1503000000000001</v>
      </c>
      <c r="CF388">
        <v>44.936500000000002</v>
      </c>
      <c r="CG388">
        <v>61.120899999999999</v>
      </c>
      <c r="CH388">
        <v>1.3501000000000001</v>
      </c>
      <c r="CI388">
        <v>1.2559</v>
      </c>
      <c r="CJ388">
        <v>0.83679999999999999</v>
      </c>
      <c r="CK388">
        <v>7.4950000000000001</v>
      </c>
      <c r="CL388">
        <v>6.9724000000000004</v>
      </c>
      <c r="CM388">
        <v>4.6454000000000004</v>
      </c>
      <c r="CN388">
        <v>-28.077400000000001</v>
      </c>
      <c r="CO388">
        <v>-39.038400000000003</v>
      </c>
      <c r="CP388">
        <v>43184</v>
      </c>
      <c r="CQ388">
        <v>33992</v>
      </c>
      <c r="CR388">
        <v>35564</v>
      </c>
      <c r="CS388">
        <v>0.6331</v>
      </c>
      <c r="CT388">
        <v>1.8256000000000001</v>
      </c>
      <c r="CU388">
        <v>1.3380000000000001</v>
      </c>
      <c r="CV388">
        <v>6.6523000000000003</v>
      </c>
      <c r="CW388">
        <v>4.8274999999999997</v>
      </c>
      <c r="CX388">
        <v>75.815899999999999</v>
      </c>
      <c r="CY388" t="s">
        <v>135</v>
      </c>
      <c r="CZ388" t="s">
        <v>135</v>
      </c>
      <c r="DA388" t="s">
        <v>135</v>
      </c>
      <c r="DB388" t="s">
        <v>135</v>
      </c>
      <c r="DC388" t="s">
        <v>135</v>
      </c>
      <c r="DD388" t="s">
        <v>135</v>
      </c>
      <c r="DE388">
        <v>414</v>
      </c>
      <c r="DF388" t="s">
        <v>135</v>
      </c>
      <c r="DG388" t="s">
        <v>135</v>
      </c>
      <c r="DH388" t="s">
        <v>135</v>
      </c>
      <c r="DI388" t="s">
        <v>135</v>
      </c>
    </row>
    <row r="389" spans="4:113" x14ac:dyDescent="0.3">
      <c r="E389" t="s">
        <v>78</v>
      </c>
      <c r="F389" t="s">
        <v>135</v>
      </c>
      <c r="G389" t="s">
        <v>135</v>
      </c>
      <c r="H389" t="s">
        <v>135</v>
      </c>
      <c r="I389" t="s">
        <v>135</v>
      </c>
      <c r="J389">
        <v>14.8628</v>
      </c>
      <c r="K389">
        <v>12.109299999999999</v>
      </c>
      <c r="L389" t="s">
        <v>135</v>
      </c>
      <c r="M389">
        <v>14.0832</v>
      </c>
      <c r="N389">
        <v>10.766</v>
      </c>
      <c r="O389">
        <v>10.7418</v>
      </c>
      <c r="P389">
        <v>10.7418</v>
      </c>
      <c r="Q389">
        <v>23.6752</v>
      </c>
      <c r="R389" t="s">
        <v>135</v>
      </c>
      <c r="S389" t="s">
        <v>135</v>
      </c>
      <c r="T389">
        <v>22.8902</v>
      </c>
      <c r="U389">
        <v>0.75719999999999998</v>
      </c>
      <c r="V389">
        <v>-2.1894</v>
      </c>
      <c r="W389">
        <v>7.1901999999999999</v>
      </c>
      <c r="X389">
        <v>5.0860000000000003</v>
      </c>
      <c r="Y389" t="s">
        <v>135</v>
      </c>
      <c r="Z389" t="s">
        <v>135</v>
      </c>
      <c r="AA389" t="s">
        <v>135</v>
      </c>
      <c r="AB389" t="s">
        <v>135</v>
      </c>
      <c r="AC389" t="s">
        <v>135</v>
      </c>
      <c r="AD389" t="s">
        <v>135</v>
      </c>
      <c r="AE389" t="s">
        <v>135</v>
      </c>
      <c r="AF389" t="s">
        <v>135</v>
      </c>
      <c r="AG389" t="s">
        <v>135</v>
      </c>
      <c r="AH389" t="s">
        <v>135</v>
      </c>
      <c r="AI389" t="s">
        <v>135</v>
      </c>
      <c r="AJ389" t="s">
        <v>135</v>
      </c>
      <c r="AK389" t="s">
        <v>135</v>
      </c>
      <c r="AL389" t="s">
        <v>135</v>
      </c>
      <c r="AM389">
        <v>40.891500000000001</v>
      </c>
      <c r="AN389">
        <v>34.477499999999999</v>
      </c>
      <c r="AO389">
        <v>33.865900000000003</v>
      </c>
      <c r="AP389">
        <v>36.197499999999998</v>
      </c>
      <c r="AQ389">
        <v>19.942699999999999</v>
      </c>
      <c r="AR389" t="s">
        <v>135</v>
      </c>
      <c r="AS389" t="s">
        <v>135</v>
      </c>
      <c r="AT389" t="s">
        <v>135</v>
      </c>
      <c r="AU389" t="s">
        <v>135</v>
      </c>
      <c r="AV389" t="s">
        <v>135</v>
      </c>
      <c r="AW389" t="s">
        <v>135</v>
      </c>
      <c r="AX389" t="s">
        <v>135</v>
      </c>
      <c r="AY389" t="s">
        <v>135</v>
      </c>
      <c r="AZ389" t="s">
        <v>135</v>
      </c>
      <c r="BA389" t="s">
        <v>135</v>
      </c>
      <c r="BB389" t="s">
        <v>135</v>
      </c>
      <c r="BC389" t="s">
        <v>135</v>
      </c>
      <c r="BD389" t="s">
        <v>135</v>
      </c>
      <c r="BE389" t="s">
        <v>135</v>
      </c>
      <c r="BF389">
        <v>2.8942000000000001</v>
      </c>
      <c r="BG389">
        <v>-29.338899999999999</v>
      </c>
      <c r="BH389">
        <v>0.76290000000000002</v>
      </c>
      <c r="BI389">
        <v>43.232100000000003</v>
      </c>
      <c r="BJ389">
        <v>43.125</v>
      </c>
      <c r="BK389" t="s">
        <v>135</v>
      </c>
      <c r="BL389">
        <v>6.5503</v>
      </c>
      <c r="BM389">
        <v>66.530600000000007</v>
      </c>
      <c r="BN389">
        <v>0.98309999999999997</v>
      </c>
      <c r="BO389">
        <v>4.9546000000000001</v>
      </c>
      <c r="BP389">
        <v>11.177</v>
      </c>
      <c r="BQ389">
        <v>8.1074999999999999</v>
      </c>
      <c r="BR389">
        <v>0.13600000000000001</v>
      </c>
      <c r="BS389">
        <v>9.0965000000000007</v>
      </c>
      <c r="BT389">
        <v>7.3274999999999997</v>
      </c>
      <c r="BU389">
        <v>4.62</v>
      </c>
      <c r="BV389">
        <v>4.7645999999999997</v>
      </c>
      <c r="BW389">
        <v>4.5731000000000002</v>
      </c>
      <c r="BX389" t="s">
        <v>135</v>
      </c>
      <c r="BY389">
        <v>7514</v>
      </c>
      <c r="BZ389">
        <v>7136</v>
      </c>
      <c r="CA389">
        <v>378</v>
      </c>
      <c r="CB389">
        <v>0.16639999999999999</v>
      </c>
      <c r="CC389">
        <v>-0.57399999999999995</v>
      </c>
      <c r="CD389">
        <v>0.21529999999999999</v>
      </c>
      <c r="CE389">
        <v>-0.74299999999999999</v>
      </c>
      <c r="CF389">
        <v>75.621700000000004</v>
      </c>
      <c r="CG389">
        <v>61.546700000000001</v>
      </c>
      <c r="CH389">
        <v>0.29120000000000001</v>
      </c>
      <c r="CI389">
        <v>0.2752</v>
      </c>
      <c r="CJ389">
        <v>0.18149999999999999</v>
      </c>
      <c r="CK389">
        <v>5.7879000000000005</v>
      </c>
      <c r="CL389">
        <v>5.4711999999999996</v>
      </c>
      <c r="CM389">
        <v>3.6070000000000002</v>
      </c>
      <c r="CN389">
        <v>-19.971</v>
      </c>
      <c r="CO389">
        <v>-24.954799999999999</v>
      </c>
      <c r="CP389">
        <v>9354.4</v>
      </c>
      <c r="CQ389">
        <v>6955.4</v>
      </c>
      <c r="CR389">
        <v>7621.4</v>
      </c>
      <c r="CS389">
        <v>0.45669999999999999</v>
      </c>
      <c r="CT389">
        <v>1.7845</v>
      </c>
      <c r="CU389">
        <v>1.2142999999999999</v>
      </c>
      <c r="CV389">
        <v>6.6646000000000001</v>
      </c>
      <c r="CW389" t="s">
        <v>135</v>
      </c>
      <c r="CX389" t="s">
        <v>135</v>
      </c>
      <c r="CY389" t="s">
        <v>135</v>
      </c>
      <c r="CZ389" t="s">
        <v>135</v>
      </c>
      <c r="DA389" t="s">
        <v>135</v>
      </c>
      <c r="DB389" t="s">
        <v>135</v>
      </c>
      <c r="DC389" t="s">
        <v>135</v>
      </c>
      <c r="DD389" t="s">
        <v>135</v>
      </c>
      <c r="DE389">
        <v>408</v>
      </c>
      <c r="DF389" t="s">
        <v>135</v>
      </c>
      <c r="DG389" t="s">
        <v>135</v>
      </c>
      <c r="DH389" t="s">
        <v>135</v>
      </c>
      <c r="DI389" t="s">
        <v>135</v>
      </c>
    </row>
    <row r="390" spans="4:113" x14ac:dyDescent="0.3">
      <c r="E390" t="s">
        <v>79</v>
      </c>
      <c r="F390">
        <v>21.793500000000002</v>
      </c>
      <c r="G390">
        <v>14.1629</v>
      </c>
      <c r="H390" t="s">
        <v>135</v>
      </c>
      <c r="I390">
        <v>20.4026</v>
      </c>
      <c r="J390">
        <v>16.644300000000001</v>
      </c>
      <c r="K390">
        <v>13.660399999999999</v>
      </c>
      <c r="L390" t="s">
        <v>135</v>
      </c>
      <c r="M390">
        <v>15.9054</v>
      </c>
      <c r="N390">
        <v>11.974399999999999</v>
      </c>
      <c r="O390">
        <v>11.875500000000001</v>
      </c>
      <c r="P390">
        <v>11.875500000000001</v>
      </c>
      <c r="Q390">
        <v>24.752199999999998</v>
      </c>
      <c r="R390" t="s">
        <v>135</v>
      </c>
      <c r="S390" t="s">
        <v>135</v>
      </c>
      <c r="T390">
        <v>20.547799999999999</v>
      </c>
      <c r="U390">
        <v>0.34449999999999997</v>
      </c>
      <c r="V390">
        <v>-5.3567999999999998</v>
      </c>
      <c r="W390">
        <v>9.1699000000000002</v>
      </c>
      <c r="X390">
        <v>9.6275999999999993</v>
      </c>
      <c r="Y390" t="s">
        <v>135</v>
      </c>
      <c r="Z390">
        <v>22.978300000000001</v>
      </c>
      <c r="AA390">
        <v>568.23530000000005</v>
      </c>
      <c r="AB390" t="s">
        <v>135</v>
      </c>
      <c r="AC390">
        <v>23.8689</v>
      </c>
      <c r="AD390">
        <v>25.758400000000002</v>
      </c>
      <c r="AE390">
        <v>8.8878000000000004</v>
      </c>
      <c r="AF390">
        <v>20.184699999999999</v>
      </c>
      <c r="AG390">
        <v>1832.2411999999999</v>
      </c>
      <c r="AH390">
        <v>1406.364</v>
      </c>
      <c r="AI390">
        <v>26.290600000000001</v>
      </c>
      <c r="AJ390">
        <v>32.844000000000001</v>
      </c>
      <c r="AK390">
        <v>23.921700000000001</v>
      </c>
      <c r="AL390" t="s">
        <v>135</v>
      </c>
      <c r="AM390">
        <v>33.953400000000002</v>
      </c>
      <c r="AN390">
        <v>31.334199999999999</v>
      </c>
      <c r="AO390">
        <v>29.5974</v>
      </c>
      <c r="AP390">
        <v>39.130099999999999</v>
      </c>
      <c r="AQ390">
        <v>23.0806</v>
      </c>
      <c r="AR390" t="s">
        <v>135</v>
      </c>
      <c r="AS390">
        <v>33.625500000000002</v>
      </c>
      <c r="AT390" t="s">
        <v>135</v>
      </c>
      <c r="AU390" t="s">
        <v>135</v>
      </c>
      <c r="AV390">
        <v>28.470099999999999</v>
      </c>
      <c r="AW390">
        <v>21.747399999999999</v>
      </c>
      <c r="AX390">
        <v>34.7117</v>
      </c>
      <c r="AY390" t="s">
        <v>135</v>
      </c>
      <c r="AZ390" t="s">
        <v>135</v>
      </c>
      <c r="BA390">
        <v>-11.0792</v>
      </c>
      <c r="BB390">
        <v>35.012300000000003</v>
      </c>
      <c r="BC390">
        <v>26.577300000000001</v>
      </c>
      <c r="BD390">
        <v>18.412099999999999</v>
      </c>
      <c r="BE390" t="s">
        <v>135</v>
      </c>
      <c r="BF390">
        <v>5.1116999999999999</v>
      </c>
      <c r="BG390">
        <v>21.5474</v>
      </c>
      <c r="BH390">
        <v>23.354900000000001</v>
      </c>
      <c r="BI390">
        <v>26.2056</v>
      </c>
      <c r="BJ390">
        <v>26.217400000000001</v>
      </c>
      <c r="BK390" t="s">
        <v>135</v>
      </c>
      <c r="BL390">
        <v>-1.6411</v>
      </c>
      <c r="BM390">
        <v>-16.470600000000001</v>
      </c>
      <c r="BN390" t="s">
        <v>135</v>
      </c>
      <c r="BO390">
        <v>0.7258</v>
      </c>
      <c r="BP390">
        <v>-2.8138000000000001</v>
      </c>
      <c r="BQ390">
        <v>14.4885</v>
      </c>
      <c r="BR390">
        <v>7.1300000000000002E-2</v>
      </c>
      <c r="BS390">
        <v>3.3002000000000002</v>
      </c>
      <c r="BT390">
        <v>5.5297000000000001</v>
      </c>
      <c r="BU390">
        <v>7.3270999999999997</v>
      </c>
      <c r="BV390">
        <v>7.2286999999999999</v>
      </c>
      <c r="BW390">
        <v>7.3734000000000002</v>
      </c>
      <c r="BX390">
        <v>261.81889999999999</v>
      </c>
      <c r="BY390">
        <v>7929.5</v>
      </c>
      <c r="BZ390">
        <v>7371.5</v>
      </c>
      <c r="CA390">
        <v>558</v>
      </c>
      <c r="CB390">
        <v>0.17660000000000001</v>
      </c>
      <c r="CC390">
        <v>-0.60070000000000001</v>
      </c>
      <c r="CD390">
        <v>0.2326</v>
      </c>
      <c r="CE390">
        <v>-0.79139999999999999</v>
      </c>
      <c r="CF390">
        <v>63.721600000000002</v>
      </c>
      <c r="CG390">
        <v>65.602500000000006</v>
      </c>
      <c r="CH390">
        <v>0.40050000000000002</v>
      </c>
      <c r="CI390">
        <v>0.37890000000000001</v>
      </c>
      <c r="CJ390">
        <v>0.26590000000000003</v>
      </c>
      <c r="CK390">
        <v>5.6909999999999998</v>
      </c>
      <c r="CL390">
        <v>5.3845000000000001</v>
      </c>
      <c r="CM390">
        <v>3.7791000000000001</v>
      </c>
      <c r="CN390">
        <v>-19.360099999999999</v>
      </c>
      <c r="CO390">
        <v>-24.008099999999999</v>
      </c>
      <c r="CP390">
        <v>11011.1</v>
      </c>
      <c r="CQ390">
        <v>8334.1</v>
      </c>
      <c r="CR390">
        <v>9037.1</v>
      </c>
      <c r="CS390">
        <v>0.53439999999999999</v>
      </c>
      <c r="CT390">
        <v>2.0070000000000001</v>
      </c>
      <c r="CU390">
        <v>1.3698000000000001</v>
      </c>
      <c r="CV390">
        <v>7.8609999999999998</v>
      </c>
      <c r="CW390">
        <v>5.0095000000000001</v>
      </c>
      <c r="CX390">
        <v>72.861400000000003</v>
      </c>
      <c r="CY390" t="s">
        <v>135</v>
      </c>
      <c r="CZ390" t="s">
        <v>135</v>
      </c>
      <c r="DA390" t="s">
        <v>135</v>
      </c>
      <c r="DB390" t="s">
        <v>135</v>
      </c>
      <c r="DC390" t="s">
        <v>135</v>
      </c>
      <c r="DD390" t="s">
        <v>135</v>
      </c>
      <c r="DE390">
        <v>340.8</v>
      </c>
      <c r="DF390" t="s">
        <v>135</v>
      </c>
      <c r="DG390" t="s">
        <v>135</v>
      </c>
      <c r="DH390" t="s">
        <v>135</v>
      </c>
      <c r="DI390" t="s">
        <v>135</v>
      </c>
    </row>
    <row r="391" spans="4:113" x14ac:dyDescent="0.3">
      <c r="E391" t="s">
        <v>80</v>
      </c>
      <c r="F391">
        <v>19.605799999999999</v>
      </c>
      <c r="G391">
        <v>13.071199999999999</v>
      </c>
      <c r="H391" t="s">
        <v>135</v>
      </c>
      <c r="I391">
        <v>18.754899999999999</v>
      </c>
      <c r="J391">
        <v>16.948599999999999</v>
      </c>
      <c r="K391">
        <v>14.358000000000001</v>
      </c>
      <c r="L391" t="s">
        <v>135</v>
      </c>
      <c r="M391">
        <v>14.9482</v>
      </c>
      <c r="N391">
        <v>11.4748</v>
      </c>
      <c r="O391">
        <v>11.33</v>
      </c>
      <c r="P391">
        <v>11.33</v>
      </c>
      <c r="Q391">
        <v>23.2315</v>
      </c>
      <c r="R391" t="s">
        <v>135</v>
      </c>
      <c r="S391" t="s">
        <v>135</v>
      </c>
      <c r="T391">
        <v>16.507100000000001</v>
      </c>
      <c r="U391">
        <v>-2.0990000000000002</v>
      </c>
      <c r="V391">
        <v>-5.2983000000000002</v>
      </c>
      <c r="W391">
        <v>-5.7195999999999998</v>
      </c>
      <c r="X391">
        <v>-5.8608000000000002</v>
      </c>
      <c r="Y391" t="s">
        <v>135</v>
      </c>
      <c r="Z391">
        <v>16.151900000000001</v>
      </c>
      <c r="AA391">
        <v>534.32839999999999</v>
      </c>
      <c r="AB391">
        <v>14.2593</v>
      </c>
      <c r="AC391">
        <v>21.386500000000002</v>
      </c>
      <c r="AD391">
        <v>12.2834</v>
      </c>
      <c r="AE391">
        <v>8.4953000000000003</v>
      </c>
      <c r="AF391">
        <v>25.2072</v>
      </c>
      <c r="AG391">
        <v>1813.9758999999999</v>
      </c>
      <c r="AH391">
        <v>1472.4395</v>
      </c>
      <c r="AI391">
        <v>21.440999999999999</v>
      </c>
      <c r="AJ391">
        <v>27.7653</v>
      </c>
      <c r="AK391">
        <v>21.242999999999999</v>
      </c>
      <c r="AL391" t="s">
        <v>135</v>
      </c>
      <c r="AM391">
        <v>40.796199999999999</v>
      </c>
      <c r="AN391">
        <v>35.375999999999998</v>
      </c>
      <c r="AO391">
        <v>34.941200000000002</v>
      </c>
      <c r="AP391">
        <v>24.1907</v>
      </c>
      <c r="AQ391">
        <v>9.3445999999999998</v>
      </c>
      <c r="AR391" t="s">
        <v>135</v>
      </c>
      <c r="AS391" t="s">
        <v>135</v>
      </c>
      <c r="AT391" t="s">
        <v>135</v>
      </c>
      <c r="AU391" t="s">
        <v>135</v>
      </c>
      <c r="AV391" t="s">
        <v>135</v>
      </c>
      <c r="AW391" t="s">
        <v>135</v>
      </c>
      <c r="AX391" t="s">
        <v>135</v>
      </c>
      <c r="AY391" t="s">
        <v>135</v>
      </c>
      <c r="AZ391" t="s">
        <v>135</v>
      </c>
      <c r="BA391" t="s">
        <v>135</v>
      </c>
      <c r="BB391" t="s">
        <v>135</v>
      </c>
      <c r="BC391" t="s">
        <v>135</v>
      </c>
      <c r="BD391" t="s">
        <v>135</v>
      </c>
      <c r="BE391" t="s">
        <v>135</v>
      </c>
      <c r="BF391">
        <v>1.2939000000000001</v>
      </c>
      <c r="BG391">
        <v>4.4272</v>
      </c>
      <c r="BH391">
        <v>8.0824999999999996</v>
      </c>
      <c r="BI391">
        <v>-2.1837</v>
      </c>
      <c r="BJ391">
        <v>-14.1425</v>
      </c>
      <c r="BK391" t="s">
        <v>135</v>
      </c>
      <c r="BL391">
        <v>-0.80230000000000001</v>
      </c>
      <c r="BM391">
        <v>24.706600000000002</v>
      </c>
      <c r="BN391" t="s">
        <v>135</v>
      </c>
      <c r="BO391">
        <v>5.1519000000000004</v>
      </c>
      <c r="BP391">
        <v>-1.6802000000000001</v>
      </c>
      <c r="BQ391">
        <v>12.532500000000001</v>
      </c>
      <c r="BR391">
        <v>1.0775999999999999</v>
      </c>
      <c r="BS391">
        <v>7.7527999999999997</v>
      </c>
      <c r="BT391">
        <v>6.4884000000000004</v>
      </c>
      <c r="BU391">
        <v>6.9134000000000002</v>
      </c>
      <c r="BV391">
        <v>6.8905000000000003</v>
      </c>
      <c r="BW391">
        <v>6.8495999999999997</v>
      </c>
      <c r="BX391">
        <v>52.610199999999999</v>
      </c>
      <c r="BY391">
        <v>8444</v>
      </c>
      <c r="BZ391">
        <v>7943</v>
      </c>
      <c r="CA391">
        <v>501</v>
      </c>
      <c r="CB391">
        <v>0.18959999999999999</v>
      </c>
      <c r="CC391">
        <v>-0.91900000000000004</v>
      </c>
      <c r="CD391">
        <v>0.25269999999999998</v>
      </c>
      <c r="CE391">
        <v>-1.2248000000000001</v>
      </c>
      <c r="CF391">
        <v>46.566200000000002</v>
      </c>
      <c r="CG391">
        <v>66.708699999999993</v>
      </c>
      <c r="CH391">
        <v>0.33629999999999999</v>
      </c>
      <c r="CI391">
        <v>0.31830000000000003</v>
      </c>
      <c r="CJ391">
        <v>0.2271</v>
      </c>
      <c r="CK391">
        <v>5.6683000000000003</v>
      </c>
      <c r="CL391">
        <v>5.3643000000000001</v>
      </c>
      <c r="CM391">
        <v>3.8270999999999997</v>
      </c>
      <c r="CN391">
        <v>-27.472300000000001</v>
      </c>
      <c r="CO391">
        <v>-37.878399999999999</v>
      </c>
      <c r="CP391">
        <v>11357.5</v>
      </c>
      <c r="CQ391">
        <v>9841.5</v>
      </c>
      <c r="CR391">
        <v>9621.5</v>
      </c>
      <c r="CS391">
        <v>0.7369</v>
      </c>
      <c r="CT391">
        <v>2.1046999999999998</v>
      </c>
      <c r="CU391">
        <v>1.5448</v>
      </c>
      <c r="CV391">
        <v>7.4907000000000004</v>
      </c>
      <c r="CW391">
        <v>5.1089000000000002</v>
      </c>
      <c r="CX391">
        <v>71.444299999999998</v>
      </c>
      <c r="CY391" t="s">
        <v>135</v>
      </c>
      <c r="CZ391" t="s">
        <v>135</v>
      </c>
      <c r="DA391" t="s">
        <v>135</v>
      </c>
      <c r="DB391" t="s">
        <v>135</v>
      </c>
      <c r="DC391" t="s">
        <v>135</v>
      </c>
      <c r="DD391" t="s">
        <v>135</v>
      </c>
      <c r="DE391">
        <v>425</v>
      </c>
      <c r="DF391" t="s">
        <v>135</v>
      </c>
      <c r="DG391" t="s">
        <v>135</v>
      </c>
      <c r="DH391" t="s">
        <v>135</v>
      </c>
      <c r="DI391" t="s">
        <v>135</v>
      </c>
    </row>
    <row r="392" spans="4:113" x14ac:dyDescent="0.3">
      <c r="E392" t="s">
        <v>81</v>
      </c>
      <c r="F392">
        <v>22.895499999999998</v>
      </c>
      <c r="G392">
        <v>14.055999999999999</v>
      </c>
      <c r="H392" t="s">
        <v>135</v>
      </c>
      <c r="I392">
        <v>18.6096</v>
      </c>
      <c r="J392">
        <v>16.871099999999998</v>
      </c>
      <c r="K392">
        <v>13.708600000000001</v>
      </c>
      <c r="L392">
        <v>24.420400000000001</v>
      </c>
      <c r="M392">
        <v>15.6389</v>
      </c>
      <c r="N392">
        <v>13.373699999999999</v>
      </c>
      <c r="O392">
        <v>13.0319</v>
      </c>
      <c r="P392">
        <v>13.0319</v>
      </c>
      <c r="Q392">
        <v>14.594899999999999</v>
      </c>
      <c r="R392" t="s">
        <v>135</v>
      </c>
      <c r="S392" t="s">
        <v>135</v>
      </c>
      <c r="T392">
        <v>12.5383</v>
      </c>
      <c r="U392">
        <v>-12.273400000000001</v>
      </c>
      <c r="V392">
        <v>24.761700000000001</v>
      </c>
      <c r="W392">
        <v>90.055300000000003</v>
      </c>
      <c r="X392">
        <v>89.791700000000006</v>
      </c>
      <c r="Y392" t="s">
        <v>135</v>
      </c>
      <c r="Z392">
        <v>10.8454</v>
      </c>
      <c r="AA392">
        <v>68.979600000000005</v>
      </c>
      <c r="AB392">
        <v>13.229800000000001</v>
      </c>
      <c r="AC392">
        <v>18.4345</v>
      </c>
      <c r="AD392">
        <v>11.4986</v>
      </c>
      <c r="AE392">
        <v>27.196300000000001</v>
      </c>
      <c r="AF392">
        <v>10.530900000000001</v>
      </c>
      <c r="AG392">
        <v>36.875100000000003</v>
      </c>
      <c r="AH392">
        <v>55.977699999999999</v>
      </c>
      <c r="AI392">
        <v>17.412400000000002</v>
      </c>
      <c r="AJ392">
        <v>19.472000000000001</v>
      </c>
      <c r="AK392">
        <v>16.446899999999999</v>
      </c>
      <c r="AL392" t="s">
        <v>135</v>
      </c>
      <c r="AM392">
        <v>40.405900000000003</v>
      </c>
      <c r="AN392">
        <v>34.9968</v>
      </c>
      <c r="AO392">
        <v>33.766800000000003</v>
      </c>
      <c r="AP392">
        <v>57.626600000000003</v>
      </c>
      <c r="AQ392">
        <v>38.852800000000002</v>
      </c>
      <c r="AR392" t="s">
        <v>135</v>
      </c>
      <c r="AS392">
        <v>40.9816</v>
      </c>
      <c r="AT392">
        <v>133.22219999999999</v>
      </c>
      <c r="AU392">
        <v>36.668900000000001</v>
      </c>
      <c r="AV392">
        <v>31.1633</v>
      </c>
      <c r="AW392">
        <v>34.978299999999997</v>
      </c>
      <c r="AX392">
        <v>67.111400000000003</v>
      </c>
      <c r="AY392">
        <v>55.860300000000002</v>
      </c>
      <c r="AZ392">
        <v>8.9694000000000003</v>
      </c>
      <c r="BA392">
        <v>-2.2355999999999998</v>
      </c>
      <c r="BB392">
        <v>34.0398</v>
      </c>
      <c r="BC392">
        <v>27.821899999999999</v>
      </c>
      <c r="BD392">
        <v>17.416599999999999</v>
      </c>
      <c r="BE392" t="s">
        <v>135</v>
      </c>
      <c r="BF392">
        <v>2.7248000000000001</v>
      </c>
      <c r="BG392">
        <v>2.8734999999999999</v>
      </c>
      <c r="BH392">
        <v>-1.2204999999999999</v>
      </c>
      <c r="BI392">
        <v>19.4148</v>
      </c>
      <c r="BJ392">
        <v>7.6832000000000003</v>
      </c>
      <c r="BK392" t="s">
        <v>135</v>
      </c>
      <c r="BL392">
        <v>6.6222000000000003</v>
      </c>
      <c r="BM392">
        <v>-2.5882000000000001</v>
      </c>
      <c r="BN392">
        <v>10.1373</v>
      </c>
      <c r="BO392">
        <v>6.5415000000000001</v>
      </c>
      <c r="BP392">
        <v>4.9564000000000004</v>
      </c>
      <c r="BQ392">
        <v>-8.6773000000000007</v>
      </c>
      <c r="BR392">
        <v>9.1262000000000008</v>
      </c>
      <c r="BS392">
        <v>12.7156</v>
      </c>
      <c r="BT392">
        <v>29.322600000000001</v>
      </c>
      <c r="BU392">
        <v>-2.1958000000000002</v>
      </c>
      <c r="BV392">
        <v>-0.505</v>
      </c>
      <c r="BW392">
        <v>-12.2402</v>
      </c>
      <c r="BX392">
        <v>-69.2072</v>
      </c>
      <c r="BY392">
        <v>10920</v>
      </c>
      <c r="BZ392">
        <v>8953</v>
      </c>
      <c r="CA392">
        <v>1967</v>
      </c>
      <c r="CB392">
        <v>0.25490000000000002</v>
      </c>
      <c r="CC392">
        <v>-0.95489999999999997</v>
      </c>
      <c r="CD392">
        <v>0.31009999999999999</v>
      </c>
      <c r="CE392">
        <v>-1.1616</v>
      </c>
      <c r="CF392">
        <v>35.160800000000002</v>
      </c>
      <c r="CG392">
        <v>61.120899999999999</v>
      </c>
      <c r="CH392">
        <v>1.3501000000000001</v>
      </c>
      <c r="CI392">
        <v>1.2559</v>
      </c>
      <c r="CJ392">
        <v>0.83679999999999999</v>
      </c>
      <c r="CK392">
        <v>7.4950000000000001</v>
      </c>
      <c r="CL392">
        <v>6.9724000000000004</v>
      </c>
      <c r="CM392">
        <v>4.6454000000000004</v>
      </c>
      <c r="CN392">
        <v>-28.077400000000001</v>
      </c>
      <c r="CO392">
        <v>-39.038400000000003</v>
      </c>
      <c r="CP392">
        <v>11613.6</v>
      </c>
      <c r="CQ392">
        <v>9013.6</v>
      </c>
      <c r="CR392">
        <v>9436.6</v>
      </c>
      <c r="CS392">
        <v>0.6331</v>
      </c>
      <c r="CT392">
        <v>1.8256000000000001</v>
      </c>
      <c r="CU392">
        <v>1.3380000000000001</v>
      </c>
      <c r="CV392">
        <v>6.6523000000000003</v>
      </c>
      <c r="CW392">
        <v>4.8274999999999997</v>
      </c>
      <c r="CX392">
        <v>75.815799999999996</v>
      </c>
      <c r="CY392" t="s">
        <v>135</v>
      </c>
      <c r="CZ392" t="s">
        <v>135</v>
      </c>
      <c r="DA392" t="s">
        <v>135</v>
      </c>
      <c r="DB392" t="s">
        <v>135</v>
      </c>
      <c r="DC392" t="s">
        <v>135</v>
      </c>
      <c r="DD392" t="s">
        <v>135</v>
      </c>
      <c r="DE392">
        <v>414</v>
      </c>
      <c r="DF392" t="s">
        <v>135</v>
      </c>
      <c r="DG392" t="s">
        <v>135</v>
      </c>
      <c r="DH392" t="s">
        <v>135</v>
      </c>
      <c r="DI392" t="s">
        <v>135</v>
      </c>
    </row>
    <row r="393" spans="4:113" x14ac:dyDescent="0.3">
      <c r="D393" t="s">
        <v>84</v>
      </c>
      <c r="E393" t="s">
        <v>77</v>
      </c>
      <c r="F393">
        <v>18.1313</v>
      </c>
      <c r="G393">
        <v>11.5778</v>
      </c>
      <c r="H393">
        <v>16.976800000000001</v>
      </c>
      <c r="I393">
        <v>14.5817</v>
      </c>
      <c r="J393">
        <v>14.3592</v>
      </c>
      <c r="K393">
        <v>11.002800000000001</v>
      </c>
      <c r="L393" t="s">
        <v>135</v>
      </c>
      <c r="M393">
        <v>13.222</v>
      </c>
      <c r="N393">
        <v>9.7832000000000008</v>
      </c>
      <c r="O393">
        <v>9.6527999999999992</v>
      </c>
      <c r="P393">
        <v>9.6527999999999992</v>
      </c>
      <c r="Q393">
        <v>26.008299999999998</v>
      </c>
      <c r="R393">
        <v>28.077300000000001</v>
      </c>
      <c r="S393">
        <v>13.0405</v>
      </c>
      <c r="T393">
        <v>9.9893999999999998</v>
      </c>
      <c r="U393">
        <v>-2.0185</v>
      </c>
      <c r="V393">
        <v>-8.6966000000000001</v>
      </c>
      <c r="W393">
        <v>-6.0141999999999998</v>
      </c>
      <c r="X393">
        <v>-6.1406000000000001</v>
      </c>
      <c r="Y393">
        <v>50</v>
      </c>
      <c r="Z393">
        <v>-7.5001999999999995</v>
      </c>
      <c r="AA393">
        <v>51.612900000000003</v>
      </c>
      <c r="AB393">
        <v>15.7402</v>
      </c>
      <c r="AC393">
        <v>15.7241</v>
      </c>
      <c r="AD393">
        <v>-12.196999999999999</v>
      </c>
      <c r="AE393">
        <v>7.1822999999999997</v>
      </c>
      <c r="AF393">
        <v>5.0674999999999999</v>
      </c>
      <c r="AG393">
        <v>9.6836000000000002</v>
      </c>
      <c r="AH393">
        <v>25.236000000000001</v>
      </c>
      <c r="AI393">
        <v>14.3247</v>
      </c>
      <c r="AJ393">
        <v>15.0745</v>
      </c>
      <c r="AK393">
        <v>11.826700000000001</v>
      </c>
      <c r="AL393">
        <v>29.860800000000001</v>
      </c>
      <c r="AM393">
        <v>39.633800000000001</v>
      </c>
      <c r="AN393">
        <v>35.402200000000001</v>
      </c>
      <c r="AO393">
        <v>33.430599999999998</v>
      </c>
      <c r="AP393">
        <v>20.7559</v>
      </c>
      <c r="AQ393">
        <v>8.8272999999999993</v>
      </c>
      <c r="AR393">
        <v>55.184600000000003</v>
      </c>
      <c r="AS393">
        <v>32.2941</v>
      </c>
      <c r="AT393">
        <v>214.05250000000001</v>
      </c>
      <c r="AU393">
        <v>33.378100000000003</v>
      </c>
      <c r="AV393">
        <v>30.378699999999998</v>
      </c>
      <c r="AW393">
        <v>30.4115</v>
      </c>
      <c r="AX393">
        <v>73.467500000000001</v>
      </c>
      <c r="AY393">
        <v>37.6905</v>
      </c>
      <c r="AZ393">
        <v>13.2475</v>
      </c>
      <c r="BA393">
        <v>3.9318999999999997</v>
      </c>
      <c r="BB393">
        <v>33.067999999999998</v>
      </c>
      <c r="BC393">
        <v>28.680199999999999</v>
      </c>
      <c r="BD393">
        <v>18.715299999999999</v>
      </c>
      <c r="BE393">
        <v>45.4129</v>
      </c>
      <c r="BF393">
        <v>9.9893999999999998</v>
      </c>
      <c r="BG393">
        <v>-2.0185</v>
      </c>
      <c r="BH393">
        <v>-8.6966000000000001</v>
      </c>
      <c r="BI393">
        <v>-6.0141999999999998</v>
      </c>
      <c r="BJ393">
        <v>-6.1406000000000001</v>
      </c>
      <c r="BK393">
        <v>50</v>
      </c>
      <c r="BL393">
        <v>-7.5001999999999995</v>
      </c>
      <c r="BM393">
        <v>51.612900000000003</v>
      </c>
      <c r="BN393">
        <v>15.7402</v>
      </c>
      <c r="BO393">
        <v>15.7241</v>
      </c>
      <c r="BP393">
        <v>-12.196999999999999</v>
      </c>
      <c r="BQ393">
        <v>7.1822999999999997</v>
      </c>
      <c r="BR393">
        <v>5.0674999999999999</v>
      </c>
      <c r="BS393">
        <v>9.6836000000000002</v>
      </c>
      <c r="BT393">
        <v>25.236000000000001</v>
      </c>
      <c r="BU393">
        <v>14.3247</v>
      </c>
      <c r="BV393">
        <v>15.0745</v>
      </c>
      <c r="BW393">
        <v>11.826700000000001</v>
      </c>
      <c r="BX393">
        <v>29.860800000000001</v>
      </c>
      <c r="BY393">
        <v>13662</v>
      </c>
      <c r="BZ393">
        <v>9809</v>
      </c>
      <c r="CA393">
        <v>3853</v>
      </c>
      <c r="CB393">
        <v>0.32650000000000001</v>
      </c>
      <c r="CC393">
        <v>-0.95830000000000004</v>
      </c>
      <c r="CD393">
        <v>0.42609999999999998</v>
      </c>
      <c r="CE393">
        <v>-1.2506999999999999</v>
      </c>
      <c r="CF393">
        <v>65.586200000000005</v>
      </c>
      <c r="CG393">
        <v>63.058700000000002</v>
      </c>
      <c r="CH393">
        <v>2.2797000000000001</v>
      </c>
      <c r="CI393">
        <v>2.1092</v>
      </c>
      <c r="CJ393">
        <v>1.4781</v>
      </c>
      <c r="CK393">
        <v>8.0833999999999993</v>
      </c>
      <c r="CL393">
        <v>7.4789000000000003</v>
      </c>
      <c r="CM393">
        <v>5.2412000000000001</v>
      </c>
      <c r="CN393">
        <v>-23.726600000000001</v>
      </c>
      <c r="CO393">
        <v>-31.107299999999999</v>
      </c>
      <c r="CP393">
        <v>41844</v>
      </c>
      <c r="CQ393">
        <v>34162</v>
      </c>
      <c r="CR393">
        <v>32063</v>
      </c>
      <c r="CS393">
        <v>0.70520000000000005</v>
      </c>
      <c r="CT393">
        <v>2.1417000000000002</v>
      </c>
      <c r="CU393">
        <v>1.4054</v>
      </c>
      <c r="CV393">
        <v>5.9196</v>
      </c>
      <c r="CW393">
        <v>5.2466999999999997</v>
      </c>
      <c r="CX393">
        <v>69.567300000000003</v>
      </c>
      <c r="CY393" t="s">
        <v>135</v>
      </c>
      <c r="CZ393" t="s">
        <v>135</v>
      </c>
      <c r="DA393" t="s">
        <v>135</v>
      </c>
      <c r="DB393" t="s">
        <v>135</v>
      </c>
      <c r="DC393" t="s">
        <v>135</v>
      </c>
      <c r="DD393" t="s">
        <v>135</v>
      </c>
      <c r="DE393">
        <v>611</v>
      </c>
      <c r="DF393">
        <v>611</v>
      </c>
      <c r="DG393">
        <v>0</v>
      </c>
      <c r="DH393">
        <v>0</v>
      </c>
      <c r="DI393">
        <v>0</v>
      </c>
    </row>
    <row r="394" spans="4:113" x14ac:dyDescent="0.3">
      <c r="E394" t="s">
        <v>78</v>
      </c>
      <c r="F394">
        <v>22.289400000000001</v>
      </c>
      <c r="G394">
        <v>13.9597</v>
      </c>
      <c r="H394" t="s">
        <v>135</v>
      </c>
      <c r="I394">
        <v>18.5305</v>
      </c>
      <c r="J394">
        <v>14.8704</v>
      </c>
      <c r="K394">
        <v>11.953200000000001</v>
      </c>
      <c r="L394">
        <v>15.0946</v>
      </c>
      <c r="M394">
        <v>15.074999999999999</v>
      </c>
      <c r="N394">
        <v>11.5091</v>
      </c>
      <c r="O394">
        <v>10.8383</v>
      </c>
      <c r="P394">
        <v>10.8383</v>
      </c>
      <c r="Q394">
        <v>23.6541</v>
      </c>
      <c r="R394" t="s">
        <v>135</v>
      </c>
      <c r="S394" t="s">
        <v>135</v>
      </c>
      <c r="T394">
        <v>9.9639000000000006</v>
      </c>
      <c r="U394">
        <v>13.606199999999999</v>
      </c>
      <c r="V394">
        <v>12.9209</v>
      </c>
      <c r="W394">
        <v>20.499600000000001</v>
      </c>
      <c r="X394">
        <v>30.3886</v>
      </c>
      <c r="Y394" t="s">
        <v>135</v>
      </c>
      <c r="Z394">
        <v>6.1043000000000003</v>
      </c>
      <c r="AA394">
        <v>59.313699999999997</v>
      </c>
      <c r="AB394">
        <v>17.023299999999999</v>
      </c>
      <c r="AC394">
        <v>16.895600000000002</v>
      </c>
      <c r="AD394">
        <v>0.59840000000000004</v>
      </c>
      <c r="AE394">
        <v>53.1892</v>
      </c>
      <c r="AF394">
        <v>16.575299999999999</v>
      </c>
      <c r="AG394">
        <v>16.634</v>
      </c>
      <c r="AH394">
        <v>66.223100000000002</v>
      </c>
      <c r="AI394">
        <v>22.5977</v>
      </c>
      <c r="AJ394">
        <v>24.984500000000001</v>
      </c>
      <c r="AK394">
        <v>32.938000000000002</v>
      </c>
      <c r="AL394">
        <v>294.95580000000001</v>
      </c>
      <c r="AM394">
        <v>39.877600000000001</v>
      </c>
      <c r="AN394">
        <v>33.613199999999999</v>
      </c>
      <c r="AO394">
        <v>31.77</v>
      </c>
      <c r="AP394">
        <v>22.087199999999999</v>
      </c>
      <c r="AQ394">
        <v>10.0129</v>
      </c>
      <c r="AR394" t="s">
        <v>135</v>
      </c>
      <c r="AS394" t="s">
        <v>135</v>
      </c>
      <c r="AT394" t="s">
        <v>135</v>
      </c>
      <c r="AU394" t="s">
        <v>135</v>
      </c>
      <c r="AV394" t="s">
        <v>135</v>
      </c>
      <c r="AW394" t="s">
        <v>135</v>
      </c>
      <c r="AX394" t="s">
        <v>135</v>
      </c>
      <c r="AY394" t="s">
        <v>135</v>
      </c>
      <c r="AZ394" t="s">
        <v>135</v>
      </c>
      <c r="BA394" t="s">
        <v>135</v>
      </c>
      <c r="BB394" t="s">
        <v>135</v>
      </c>
      <c r="BC394" t="s">
        <v>135</v>
      </c>
      <c r="BD394" t="s">
        <v>135</v>
      </c>
      <c r="BE394" t="s">
        <v>135</v>
      </c>
      <c r="BF394">
        <v>0.54039999999999999</v>
      </c>
      <c r="BG394">
        <v>-10.3706</v>
      </c>
      <c r="BH394">
        <v>-11.394</v>
      </c>
      <c r="BI394">
        <v>-14.3847</v>
      </c>
      <c r="BJ394">
        <v>-12.357200000000001</v>
      </c>
      <c r="BK394" t="s">
        <v>135</v>
      </c>
      <c r="BL394">
        <v>1.9929000000000001</v>
      </c>
      <c r="BM394">
        <v>61.290300000000002</v>
      </c>
      <c r="BN394">
        <v>9.0778999999999996</v>
      </c>
      <c r="BO394">
        <v>8.1083999999999996</v>
      </c>
      <c r="BP394">
        <v>-13.311299999999999</v>
      </c>
      <c r="BQ394">
        <v>8.3719000000000001</v>
      </c>
      <c r="BR394">
        <v>39.8185</v>
      </c>
      <c r="BS394">
        <v>-6.9328000000000003</v>
      </c>
      <c r="BT394">
        <v>14.492599999999999</v>
      </c>
      <c r="BU394">
        <v>7.6597999999999997</v>
      </c>
      <c r="BV394">
        <v>8.1294000000000004</v>
      </c>
      <c r="BW394">
        <v>5.8090000000000002</v>
      </c>
      <c r="BX394">
        <v>173.22980000000001</v>
      </c>
      <c r="BY394">
        <v>12490</v>
      </c>
      <c r="BZ394">
        <v>8323</v>
      </c>
      <c r="CA394">
        <v>4167</v>
      </c>
      <c r="CB394">
        <v>0.2843</v>
      </c>
      <c r="CC394">
        <v>-1.0226999999999999</v>
      </c>
      <c r="CD394">
        <v>0.3463</v>
      </c>
      <c r="CE394">
        <v>-1.246</v>
      </c>
      <c r="CF394">
        <v>37.560899999999997</v>
      </c>
      <c r="CG394">
        <v>63.555199999999999</v>
      </c>
      <c r="CH394">
        <v>2.6181000000000001</v>
      </c>
      <c r="CI394">
        <v>2.4276</v>
      </c>
      <c r="CJ394">
        <v>1.7112000000000001</v>
      </c>
      <c r="CK394">
        <v>7.8474000000000004</v>
      </c>
      <c r="CL394">
        <v>7.2763999999999998</v>
      </c>
      <c r="CM394">
        <v>5.1291000000000002</v>
      </c>
      <c r="CN394">
        <v>-28.2332</v>
      </c>
      <c r="CO394">
        <v>-39.340200000000003</v>
      </c>
      <c r="CP394">
        <v>10291.700000000001</v>
      </c>
      <c r="CQ394">
        <v>8663.7000000000007</v>
      </c>
      <c r="CR394">
        <v>8272.7000000000007</v>
      </c>
      <c r="CS394">
        <v>0.77969999999999995</v>
      </c>
      <c r="CT394">
        <v>2.1947000000000001</v>
      </c>
      <c r="CU394">
        <v>1.5787</v>
      </c>
      <c r="CV394">
        <v>6.6807999999999996</v>
      </c>
      <c r="CW394">
        <v>4.7446000000000002</v>
      </c>
      <c r="CX394">
        <v>77.139600000000002</v>
      </c>
      <c r="CY394" t="s">
        <v>135</v>
      </c>
      <c r="CZ394" t="s">
        <v>135</v>
      </c>
      <c r="DA394" t="s">
        <v>135</v>
      </c>
      <c r="DB394" t="s">
        <v>135</v>
      </c>
      <c r="DC394" t="s">
        <v>135</v>
      </c>
      <c r="DD394" t="s">
        <v>135</v>
      </c>
      <c r="DE394">
        <v>650</v>
      </c>
      <c r="DF394" t="s">
        <v>135</v>
      </c>
      <c r="DG394" t="s">
        <v>135</v>
      </c>
      <c r="DH394" t="s">
        <v>135</v>
      </c>
      <c r="DI394" t="s">
        <v>135</v>
      </c>
    </row>
    <row r="395" spans="4:113" x14ac:dyDescent="0.3">
      <c r="E395" t="s">
        <v>79</v>
      </c>
      <c r="F395">
        <v>21.0868</v>
      </c>
      <c r="G395">
        <v>13.413</v>
      </c>
      <c r="H395" t="s">
        <v>135</v>
      </c>
      <c r="I395">
        <v>17.322299999999998</v>
      </c>
      <c r="J395">
        <v>14.9299</v>
      </c>
      <c r="K395">
        <v>11.5159</v>
      </c>
      <c r="L395" t="s">
        <v>135</v>
      </c>
      <c r="M395">
        <v>12.9672</v>
      </c>
      <c r="N395">
        <v>8.9766999999999992</v>
      </c>
      <c r="O395">
        <v>8.9953000000000003</v>
      </c>
      <c r="P395">
        <v>8.9953000000000003</v>
      </c>
      <c r="Q395">
        <v>30.773299999999999</v>
      </c>
      <c r="R395" t="s">
        <v>135</v>
      </c>
      <c r="S395" t="s">
        <v>135</v>
      </c>
      <c r="T395">
        <v>8.3420000000000005</v>
      </c>
      <c r="U395">
        <v>-1.6099999999999999</v>
      </c>
      <c r="V395">
        <v>-7.2804000000000002</v>
      </c>
      <c r="W395">
        <v>-16.936599999999999</v>
      </c>
      <c r="X395">
        <v>-19.265000000000001</v>
      </c>
      <c r="Y395" t="s">
        <v>135</v>
      </c>
      <c r="Z395">
        <v>12.507300000000001</v>
      </c>
      <c r="AA395">
        <v>88.497699999999995</v>
      </c>
      <c r="AB395" t="s">
        <v>135</v>
      </c>
      <c r="AC395">
        <v>14.7094</v>
      </c>
      <c r="AD395">
        <v>9.9848999999999997</v>
      </c>
      <c r="AE395">
        <v>10.5319</v>
      </c>
      <c r="AF395">
        <v>17.9528</v>
      </c>
      <c r="AG395">
        <v>12.682600000000001</v>
      </c>
      <c r="AH395">
        <v>59.994999999999997</v>
      </c>
      <c r="AI395">
        <v>10.317500000000001</v>
      </c>
      <c r="AJ395">
        <v>12.9924</v>
      </c>
      <c r="AK395">
        <v>19.0793</v>
      </c>
      <c r="AL395">
        <v>-31.311699999999998</v>
      </c>
      <c r="AM395">
        <v>39.986699999999999</v>
      </c>
      <c r="AN395">
        <v>39.274900000000002</v>
      </c>
      <c r="AO395">
        <v>39.994199999999999</v>
      </c>
      <c r="AP395">
        <v>21.801500000000001</v>
      </c>
      <c r="AQ395">
        <v>9.7413000000000007</v>
      </c>
      <c r="AR395" t="s">
        <v>135</v>
      </c>
      <c r="AS395">
        <v>31.662600000000001</v>
      </c>
      <c r="AT395" t="s">
        <v>135</v>
      </c>
      <c r="AU395" t="s">
        <v>135</v>
      </c>
      <c r="AV395">
        <v>29.573799999999999</v>
      </c>
      <c r="AW395">
        <v>19.4238</v>
      </c>
      <c r="AX395">
        <v>32.743400000000001</v>
      </c>
      <c r="AY395" t="s">
        <v>135</v>
      </c>
      <c r="AZ395" t="s">
        <v>135</v>
      </c>
      <c r="BA395">
        <v>-2.2515999999999998</v>
      </c>
      <c r="BB395">
        <v>32.059399999999997</v>
      </c>
      <c r="BC395">
        <v>25.956199999999999</v>
      </c>
      <c r="BD395">
        <v>17.881599999999999</v>
      </c>
      <c r="BE395" t="s">
        <v>135</v>
      </c>
      <c r="BF395">
        <v>3.5613999999999999</v>
      </c>
      <c r="BG395">
        <v>3.976</v>
      </c>
      <c r="BH395">
        <v>-0.2273</v>
      </c>
      <c r="BI395">
        <v>-13.9557</v>
      </c>
      <c r="BJ395">
        <v>-14.099500000000001</v>
      </c>
      <c r="BK395" t="s">
        <v>135</v>
      </c>
      <c r="BL395">
        <v>4.2945000000000002</v>
      </c>
      <c r="BM395">
        <v>-1.1692</v>
      </c>
      <c r="BN395">
        <v>5.0194999999999999</v>
      </c>
      <c r="BO395">
        <v>-1.1579999999999999</v>
      </c>
      <c r="BP395">
        <v>6.2542999999999997</v>
      </c>
      <c r="BQ395">
        <v>-17.392099999999999</v>
      </c>
      <c r="BR395">
        <v>1.2537</v>
      </c>
      <c r="BS395">
        <v>-0.19939999999999999</v>
      </c>
      <c r="BT395">
        <v>1.5756999999999999</v>
      </c>
      <c r="BU395">
        <v>-3.4234999999999998</v>
      </c>
      <c r="BV395">
        <v>-3.0598000000000001</v>
      </c>
      <c r="BW395">
        <v>-3.6787999999999998</v>
      </c>
      <c r="BX395">
        <v>-37.0747</v>
      </c>
      <c r="BY395">
        <v>12686.8</v>
      </c>
      <c r="BZ395">
        <v>8306.4</v>
      </c>
      <c r="CA395">
        <v>4380.3999999999996</v>
      </c>
      <c r="CB395">
        <v>0.28989999999999999</v>
      </c>
      <c r="CC395">
        <v>-0.62050000000000005</v>
      </c>
      <c r="CD395">
        <v>0.35820000000000002</v>
      </c>
      <c r="CE395">
        <v>-0.76670000000000005</v>
      </c>
      <c r="CF395">
        <v>30.999099999999999</v>
      </c>
      <c r="CG395">
        <v>61.870399999999997</v>
      </c>
      <c r="CH395">
        <v>2.8498000000000001</v>
      </c>
      <c r="CI395">
        <v>2.6324999999999998</v>
      </c>
      <c r="CJ395">
        <v>1.8199000000000001</v>
      </c>
      <c r="CK395">
        <v>8.2537000000000003</v>
      </c>
      <c r="CL395">
        <v>7.6243999999999996</v>
      </c>
      <c r="CM395">
        <v>5.2709999999999999</v>
      </c>
      <c r="CN395">
        <v>-17.665700000000001</v>
      </c>
      <c r="CO395">
        <v>-21.456</v>
      </c>
      <c r="CP395">
        <v>10700.9</v>
      </c>
      <c r="CQ395">
        <v>8503.9</v>
      </c>
      <c r="CR395">
        <v>8253.9</v>
      </c>
      <c r="CS395">
        <v>0.54190000000000005</v>
      </c>
      <c r="CT395">
        <v>1.9887000000000001</v>
      </c>
      <c r="CU395">
        <v>1.3767</v>
      </c>
      <c r="CV395">
        <v>6.1261999999999999</v>
      </c>
      <c r="CW395">
        <v>4.7736999999999998</v>
      </c>
      <c r="CX395">
        <v>76.670699999999997</v>
      </c>
      <c r="CY395" t="s">
        <v>135</v>
      </c>
      <c r="CZ395" t="s">
        <v>135</v>
      </c>
      <c r="DA395" t="s">
        <v>135</v>
      </c>
      <c r="DB395" t="s">
        <v>135</v>
      </c>
      <c r="DC395" t="s">
        <v>135</v>
      </c>
      <c r="DD395" t="s">
        <v>135</v>
      </c>
      <c r="DE395">
        <v>642.4</v>
      </c>
      <c r="DF395" t="s">
        <v>135</v>
      </c>
      <c r="DG395" t="s">
        <v>135</v>
      </c>
      <c r="DH395" t="s">
        <v>135</v>
      </c>
      <c r="DI395" t="s">
        <v>135</v>
      </c>
    </row>
    <row r="396" spans="4:113" x14ac:dyDescent="0.3">
      <c r="E396" t="s">
        <v>80</v>
      </c>
      <c r="F396">
        <v>20.4773</v>
      </c>
      <c r="G396">
        <v>13.200799999999999</v>
      </c>
      <c r="H396" t="s">
        <v>135</v>
      </c>
      <c r="I396">
        <v>16.4056</v>
      </c>
      <c r="J396">
        <v>15.6996</v>
      </c>
      <c r="K396">
        <v>12.418100000000001</v>
      </c>
      <c r="L396" t="s">
        <v>135</v>
      </c>
      <c r="M396">
        <v>14.011900000000001</v>
      </c>
      <c r="N396">
        <v>11.1791</v>
      </c>
      <c r="O396">
        <v>11.3262</v>
      </c>
      <c r="P396">
        <v>11.3262</v>
      </c>
      <c r="Q396">
        <v>20.217199999999998</v>
      </c>
      <c r="R396" t="s">
        <v>135</v>
      </c>
      <c r="S396" t="s">
        <v>135</v>
      </c>
      <c r="T396">
        <v>12.779299999999999</v>
      </c>
      <c r="U396">
        <v>5.1003999999999996</v>
      </c>
      <c r="V396">
        <v>-1.7606999999999999</v>
      </c>
      <c r="W396">
        <v>13.9438</v>
      </c>
      <c r="X396">
        <v>13.829800000000001</v>
      </c>
      <c r="Y396" t="s">
        <v>135</v>
      </c>
      <c r="Z396">
        <v>12.756600000000001</v>
      </c>
      <c r="AA396">
        <v>8</v>
      </c>
      <c r="AB396">
        <v>19.166899999999998</v>
      </c>
      <c r="AC396">
        <v>14.6653</v>
      </c>
      <c r="AD396">
        <v>10.1502</v>
      </c>
      <c r="AE396">
        <v>7.2788000000000004</v>
      </c>
      <c r="AF396">
        <v>16.871300000000002</v>
      </c>
      <c r="AG396">
        <v>14.4278</v>
      </c>
      <c r="AH396">
        <v>53.6357</v>
      </c>
      <c r="AI396">
        <v>9.2094000000000005</v>
      </c>
      <c r="AJ396">
        <v>11.592499999999999</v>
      </c>
      <c r="AK396">
        <v>6.657</v>
      </c>
      <c r="AL396">
        <v>-21.677700000000002</v>
      </c>
      <c r="AM396">
        <v>39.222099999999998</v>
      </c>
      <c r="AN396">
        <v>38.3245</v>
      </c>
      <c r="AO396">
        <v>36.881999999999998</v>
      </c>
      <c r="AP396">
        <v>25.4039</v>
      </c>
      <c r="AQ396">
        <v>12.9969</v>
      </c>
      <c r="AR396" t="s">
        <v>135</v>
      </c>
      <c r="AS396" t="s">
        <v>135</v>
      </c>
      <c r="AT396" t="s">
        <v>135</v>
      </c>
      <c r="AU396" t="s">
        <v>135</v>
      </c>
      <c r="AV396" t="s">
        <v>135</v>
      </c>
      <c r="AW396" t="s">
        <v>135</v>
      </c>
      <c r="AX396" t="s">
        <v>135</v>
      </c>
      <c r="AY396" t="s">
        <v>135</v>
      </c>
      <c r="AZ396" t="s">
        <v>135</v>
      </c>
      <c r="BA396" t="s">
        <v>135</v>
      </c>
      <c r="BB396" t="s">
        <v>135</v>
      </c>
      <c r="BC396" t="s">
        <v>135</v>
      </c>
      <c r="BD396" t="s">
        <v>135</v>
      </c>
      <c r="BE396" t="s">
        <v>135</v>
      </c>
      <c r="BF396">
        <v>5.4425999999999997</v>
      </c>
      <c r="BG396">
        <v>10.878500000000001</v>
      </c>
      <c r="BH396">
        <v>13.703799999999999</v>
      </c>
      <c r="BI396">
        <v>32.765700000000002</v>
      </c>
      <c r="BJ396">
        <v>32.827599999999997</v>
      </c>
      <c r="BK396" t="s">
        <v>135</v>
      </c>
      <c r="BL396">
        <v>-0.58240000000000003</v>
      </c>
      <c r="BM396">
        <v>-28.549199999999999</v>
      </c>
      <c r="BN396">
        <v>-1.2831999999999999</v>
      </c>
      <c r="BO396">
        <v>5.1113999999999997</v>
      </c>
      <c r="BP396">
        <v>-1.5324</v>
      </c>
      <c r="BQ396">
        <v>9.2204999999999995</v>
      </c>
      <c r="BR396">
        <v>0.15079999999999999</v>
      </c>
      <c r="BS396">
        <v>9.4216999999999995</v>
      </c>
      <c r="BT396">
        <v>2.2559</v>
      </c>
      <c r="BU396">
        <v>5.8395000000000001</v>
      </c>
      <c r="BV396">
        <v>5.5662000000000003</v>
      </c>
      <c r="BW396">
        <v>5.8446999999999996</v>
      </c>
      <c r="BX396">
        <v>74.014799999999994</v>
      </c>
      <c r="BY396">
        <v>12973</v>
      </c>
      <c r="BZ396">
        <v>9089</v>
      </c>
      <c r="CA396">
        <v>3884</v>
      </c>
      <c r="CB396">
        <v>0.29260000000000003</v>
      </c>
      <c r="CC396">
        <v>-0.8196</v>
      </c>
      <c r="CD396">
        <v>0.36799999999999999</v>
      </c>
      <c r="CE396">
        <v>-1.0310999999999999</v>
      </c>
      <c r="CF396">
        <v>34.016599999999997</v>
      </c>
      <c r="CG396">
        <v>62.509</v>
      </c>
      <c r="CH396">
        <v>2.3874</v>
      </c>
      <c r="CI396">
        <v>2.2111000000000001</v>
      </c>
      <c r="CJ396">
        <v>1.5352000000000001</v>
      </c>
      <c r="CK396">
        <v>7.9741999999999997</v>
      </c>
      <c r="CL396">
        <v>7.3853</v>
      </c>
      <c r="CM396">
        <v>5.1277999999999997</v>
      </c>
      <c r="CN396">
        <v>-22.339200000000002</v>
      </c>
      <c r="CO396">
        <v>-28.7651</v>
      </c>
      <c r="CP396">
        <v>11865</v>
      </c>
      <c r="CQ396">
        <v>9940</v>
      </c>
      <c r="CR396">
        <v>9385</v>
      </c>
      <c r="CS396">
        <v>0.64180000000000004</v>
      </c>
      <c r="CT396">
        <v>2.0333000000000001</v>
      </c>
      <c r="CU396">
        <v>1.4360999999999999</v>
      </c>
      <c r="CV396">
        <v>6.4127000000000001</v>
      </c>
      <c r="CW396">
        <v>4.9554</v>
      </c>
      <c r="CX396">
        <v>73.859200000000001</v>
      </c>
      <c r="CY396" t="s">
        <v>135</v>
      </c>
      <c r="CZ396" t="s">
        <v>135</v>
      </c>
      <c r="DA396" t="s">
        <v>135</v>
      </c>
      <c r="DB396" t="s">
        <v>135</v>
      </c>
      <c r="DC396" t="s">
        <v>135</v>
      </c>
      <c r="DD396" t="s">
        <v>135</v>
      </c>
      <c r="DE396">
        <v>459</v>
      </c>
      <c r="DF396" t="s">
        <v>135</v>
      </c>
      <c r="DG396" t="s">
        <v>135</v>
      </c>
      <c r="DH396" t="s">
        <v>135</v>
      </c>
      <c r="DI396" t="s">
        <v>135</v>
      </c>
    </row>
    <row r="397" spans="4:113" x14ac:dyDescent="0.3">
      <c r="E397" t="s">
        <v>81</v>
      </c>
      <c r="F397">
        <v>18.304099999999998</v>
      </c>
      <c r="G397">
        <v>11.6881</v>
      </c>
      <c r="H397" t="s">
        <v>135</v>
      </c>
      <c r="I397">
        <v>13.367800000000001</v>
      </c>
      <c r="J397">
        <v>11.9908</v>
      </c>
      <c r="K397">
        <v>8.2082999999999995</v>
      </c>
      <c r="L397" t="s">
        <v>135</v>
      </c>
      <c r="M397">
        <v>10.9581</v>
      </c>
      <c r="N397">
        <v>7.8677999999999999</v>
      </c>
      <c r="O397">
        <v>7.8677999999999999</v>
      </c>
      <c r="P397">
        <v>7.8677999999999999</v>
      </c>
      <c r="Q397">
        <v>28.2013</v>
      </c>
      <c r="R397" t="s">
        <v>135</v>
      </c>
      <c r="S397" t="s">
        <v>135</v>
      </c>
      <c r="T397">
        <v>8.8798999999999992</v>
      </c>
      <c r="U397">
        <v>-21.732199999999999</v>
      </c>
      <c r="V397">
        <v>-34.106999999999999</v>
      </c>
      <c r="W397">
        <v>-32.694499999999998</v>
      </c>
      <c r="X397">
        <v>-31.360299999999999</v>
      </c>
      <c r="Y397" t="s">
        <v>135</v>
      </c>
      <c r="Z397">
        <v>-7.5001999999999995</v>
      </c>
      <c r="AA397">
        <v>51.612900000000003</v>
      </c>
      <c r="AB397">
        <v>15.7402</v>
      </c>
      <c r="AC397">
        <v>15.7241</v>
      </c>
      <c r="AD397">
        <v>-12.196999999999999</v>
      </c>
      <c r="AE397">
        <v>7.1822999999999997</v>
      </c>
      <c r="AF397">
        <v>5.0674999999999999</v>
      </c>
      <c r="AG397">
        <v>9.6836000000000002</v>
      </c>
      <c r="AH397">
        <v>25.236000000000001</v>
      </c>
      <c r="AI397">
        <v>14.3247</v>
      </c>
      <c r="AJ397">
        <v>15.0745</v>
      </c>
      <c r="AK397">
        <v>11.826700000000001</v>
      </c>
      <c r="AL397">
        <v>196.45949999999999</v>
      </c>
      <c r="AM397">
        <v>39.4938</v>
      </c>
      <c r="AN397">
        <v>30.3049</v>
      </c>
      <c r="AO397">
        <v>25.076000000000001</v>
      </c>
      <c r="AP397">
        <v>14.282500000000001</v>
      </c>
      <c r="AQ397">
        <v>2.9255</v>
      </c>
      <c r="AR397" t="s">
        <v>135</v>
      </c>
      <c r="AS397">
        <v>32.2941</v>
      </c>
      <c r="AT397">
        <v>214.05250000000001</v>
      </c>
      <c r="AU397">
        <v>33.378100000000003</v>
      </c>
      <c r="AV397">
        <v>30.378699999999998</v>
      </c>
      <c r="AW397">
        <v>30.4115</v>
      </c>
      <c r="AX397">
        <v>73.467500000000001</v>
      </c>
      <c r="AY397">
        <v>37.6905</v>
      </c>
      <c r="AZ397">
        <v>13.2475</v>
      </c>
      <c r="BA397">
        <v>3.9318999999999997</v>
      </c>
      <c r="BB397">
        <v>33.067999999999998</v>
      </c>
      <c r="BC397">
        <v>28.680199999999999</v>
      </c>
      <c r="BD397">
        <v>18.715299999999999</v>
      </c>
      <c r="BE397" t="s">
        <v>135</v>
      </c>
      <c r="BF397">
        <v>-0.82699999999999996</v>
      </c>
      <c r="BG397">
        <v>-24.255400000000002</v>
      </c>
      <c r="BH397">
        <v>-34.447499999999998</v>
      </c>
      <c r="BI397">
        <v>-31.109400000000001</v>
      </c>
      <c r="BJ397">
        <v>-31.360299999999999</v>
      </c>
      <c r="BK397" t="s">
        <v>135</v>
      </c>
      <c r="BL397">
        <v>-12.5326</v>
      </c>
      <c r="BM397">
        <v>33.115499999999997</v>
      </c>
      <c r="BN397">
        <v>2.3496999999999999</v>
      </c>
      <c r="BO397">
        <v>3.0320999999999998</v>
      </c>
      <c r="BP397">
        <v>-3.1928999999999998</v>
      </c>
      <c r="BQ397">
        <v>9.6175999999999995</v>
      </c>
      <c r="BR397">
        <v>-25.896599999999999</v>
      </c>
      <c r="BS397">
        <v>7.9216999999999995</v>
      </c>
      <c r="BT397">
        <v>5.3109999999999999</v>
      </c>
      <c r="BU397">
        <v>3.8883999999999999</v>
      </c>
      <c r="BV397">
        <v>3.9935</v>
      </c>
      <c r="BW397">
        <v>3.8174999999999999</v>
      </c>
      <c r="BX397">
        <v>-0.91090000000000004</v>
      </c>
      <c r="BY397">
        <v>13662</v>
      </c>
      <c r="BZ397">
        <v>9809</v>
      </c>
      <c r="CA397">
        <v>3853</v>
      </c>
      <c r="CB397">
        <v>0.32650000000000001</v>
      </c>
      <c r="CC397">
        <v>-0.95830000000000004</v>
      </c>
      <c r="CD397">
        <v>0.42609999999999998</v>
      </c>
      <c r="CE397">
        <v>-1.2506999999999999</v>
      </c>
      <c r="CF397">
        <v>28.270199999999999</v>
      </c>
      <c r="CG397">
        <v>63.058700000000002</v>
      </c>
      <c r="CH397">
        <v>2.2797000000000001</v>
      </c>
      <c r="CI397">
        <v>2.1092</v>
      </c>
      <c r="CJ397">
        <v>1.4781</v>
      </c>
      <c r="CK397">
        <v>8.0833999999999993</v>
      </c>
      <c r="CL397">
        <v>7.4789000000000003</v>
      </c>
      <c r="CM397">
        <v>5.2412000000000001</v>
      </c>
      <c r="CN397">
        <v>-23.726600000000001</v>
      </c>
      <c r="CO397">
        <v>-31.107299999999999</v>
      </c>
      <c r="CP397">
        <v>8987.1</v>
      </c>
      <c r="CQ397">
        <v>7055.1</v>
      </c>
      <c r="CR397">
        <v>6152.1</v>
      </c>
      <c r="CS397">
        <v>0.70520000000000005</v>
      </c>
      <c r="CT397">
        <v>2.1417000000000002</v>
      </c>
      <c r="CU397">
        <v>1.4054</v>
      </c>
      <c r="CV397">
        <v>5.9196</v>
      </c>
      <c r="CW397">
        <v>5.2466999999999997</v>
      </c>
      <c r="CX397">
        <v>69.5672</v>
      </c>
      <c r="CY397" t="s">
        <v>135</v>
      </c>
      <c r="CZ397" t="s">
        <v>135</v>
      </c>
      <c r="DA397" t="s">
        <v>135</v>
      </c>
      <c r="DB397" t="s">
        <v>135</v>
      </c>
      <c r="DC397" t="s">
        <v>135</v>
      </c>
      <c r="DD397" t="s">
        <v>135</v>
      </c>
      <c r="DE397">
        <v>611</v>
      </c>
      <c r="DF397">
        <v>611</v>
      </c>
      <c r="DG397">
        <v>0</v>
      </c>
      <c r="DH397">
        <v>0</v>
      </c>
      <c r="DI397">
        <v>0</v>
      </c>
    </row>
    <row r="398" spans="4:113" x14ac:dyDescent="0.3">
      <c r="D398" t="s">
        <v>85</v>
      </c>
      <c r="E398" t="s">
        <v>77</v>
      </c>
      <c r="F398">
        <v>21.540800000000001</v>
      </c>
      <c r="G398">
        <v>13.4497</v>
      </c>
      <c r="H398">
        <v>19.618500000000001</v>
      </c>
      <c r="I398">
        <v>13.4922</v>
      </c>
      <c r="J398">
        <v>15.304399999999999</v>
      </c>
      <c r="K398">
        <v>11.778499999999999</v>
      </c>
      <c r="L398">
        <v>25.6296</v>
      </c>
      <c r="M398">
        <v>15.854200000000001</v>
      </c>
      <c r="N398">
        <v>12.303699999999999</v>
      </c>
      <c r="O398">
        <v>12.347899999999999</v>
      </c>
      <c r="P398">
        <v>12.347899999999999</v>
      </c>
      <c r="Q398">
        <v>22.3949</v>
      </c>
      <c r="R398">
        <v>32.545000000000002</v>
      </c>
      <c r="S398">
        <v>14.5304</v>
      </c>
      <c r="T398">
        <v>5.6006999999999998</v>
      </c>
      <c r="U398">
        <v>12.551399999999999</v>
      </c>
      <c r="V398">
        <v>13.046200000000001</v>
      </c>
      <c r="W398">
        <v>35.084800000000001</v>
      </c>
      <c r="X398">
        <v>34.829300000000003</v>
      </c>
      <c r="Y398">
        <v>55.555599999999998</v>
      </c>
      <c r="Z398">
        <v>21.736000000000001</v>
      </c>
      <c r="AA398">
        <v>7.8559999999999999</v>
      </c>
      <c r="AB398">
        <v>-9.1603999999999992</v>
      </c>
      <c r="AC398">
        <v>16.767499999999998</v>
      </c>
      <c r="AD398">
        <v>25.9985</v>
      </c>
      <c r="AE398">
        <v>2.9495</v>
      </c>
      <c r="AF398">
        <v>12.7859</v>
      </c>
      <c r="AG398">
        <v>65.715199999999996</v>
      </c>
      <c r="AH398">
        <v>75.420900000000003</v>
      </c>
      <c r="AI398">
        <v>14.499499999999999</v>
      </c>
      <c r="AJ398">
        <v>19.055700000000002</v>
      </c>
      <c r="AK398">
        <v>13.8851</v>
      </c>
      <c r="AL398">
        <v>-13.4232</v>
      </c>
      <c r="AM398">
        <v>34.959400000000002</v>
      </c>
      <c r="AN398">
        <v>27.023099999999999</v>
      </c>
      <c r="AO398">
        <v>24.245799999999999</v>
      </c>
      <c r="AP398">
        <v>24.1602</v>
      </c>
      <c r="AQ398">
        <v>12.0337</v>
      </c>
      <c r="AR398">
        <v>62.122599999999998</v>
      </c>
      <c r="AS398">
        <v>30.701699999999999</v>
      </c>
      <c r="AT398">
        <v>43.0535</v>
      </c>
      <c r="AU398">
        <v>28.550599999999999</v>
      </c>
      <c r="AV398">
        <v>27.6389</v>
      </c>
      <c r="AW398">
        <v>33.327800000000003</v>
      </c>
      <c r="AX398">
        <v>88.840699999999998</v>
      </c>
      <c r="AY398">
        <v>26.049199999999999</v>
      </c>
      <c r="AZ398">
        <v>8.5127000000000006</v>
      </c>
      <c r="BA398">
        <v>11.6653</v>
      </c>
      <c r="BB398">
        <v>28.448499999999999</v>
      </c>
      <c r="BC398">
        <v>25.756</v>
      </c>
      <c r="BD398">
        <v>15.0405</v>
      </c>
      <c r="BE398">
        <v>36.074300000000001</v>
      </c>
      <c r="BF398">
        <v>5.6006999999999998</v>
      </c>
      <c r="BG398">
        <v>12.551399999999999</v>
      </c>
      <c r="BH398">
        <v>13.046200000000001</v>
      </c>
      <c r="BI398">
        <v>35.084800000000001</v>
      </c>
      <c r="BJ398">
        <v>34.829300000000003</v>
      </c>
      <c r="BK398">
        <v>55.555599999999998</v>
      </c>
      <c r="BL398">
        <v>21.736000000000001</v>
      </c>
      <c r="BM398">
        <v>7.8559999999999999</v>
      </c>
      <c r="BN398">
        <v>-9.1603999999999992</v>
      </c>
      <c r="BO398">
        <v>16.767499999999998</v>
      </c>
      <c r="BP398">
        <v>25.9985</v>
      </c>
      <c r="BQ398">
        <v>2.9495</v>
      </c>
      <c r="BR398">
        <v>12.7859</v>
      </c>
      <c r="BS398">
        <v>65.715199999999996</v>
      </c>
      <c r="BT398">
        <v>75.420900000000003</v>
      </c>
      <c r="BU398">
        <v>14.499499999999999</v>
      </c>
      <c r="BV398">
        <v>19.055700000000002</v>
      </c>
      <c r="BW398">
        <v>13.8851</v>
      </c>
      <c r="BX398">
        <v>-13.4232</v>
      </c>
      <c r="BY398">
        <v>23966</v>
      </c>
      <c r="BZ398">
        <v>16255</v>
      </c>
      <c r="CA398">
        <v>7711</v>
      </c>
      <c r="CB398">
        <v>0.50890000000000002</v>
      </c>
      <c r="CC398">
        <v>-0.85919999999999996</v>
      </c>
      <c r="CD398">
        <v>0.66120000000000001</v>
      </c>
      <c r="CE398">
        <v>-1.1164000000000001</v>
      </c>
      <c r="CF398">
        <v>26.281300000000002</v>
      </c>
      <c r="CG398">
        <v>61.9071</v>
      </c>
      <c r="CH398">
        <v>3.9845999999999999</v>
      </c>
      <c r="CI398">
        <v>3.5455000000000001</v>
      </c>
      <c r="CJ398">
        <v>2.5333999999999999</v>
      </c>
      <c r="CK398">
        <v>12.3843</v>
      </c>
      <c r="CL398">
        <v>11.019600000000001</v>
      </c>
      <c r="CM398">
        <v>7.8738999999999999</v>
      </c>
      <c r="CN398">
        <v>-20.909600000000001</v>
      </c>
      <c r="CO398">
        <v>-26.4376</v>
      </c>
      <c r="CP398">
        <v>47096</v>
      </c>
      <c r="CQ398">
        <v>36930</v>
      </c>
      <c r="CR398">
        <v>36246</v>
      </c>
      <c r="CS398">
        <v>0.70440000000000003</v>
      </c>
      <c r="CT398">
        <v>1.9795</v>
      </c>
      <c r="CU398">
        <v>1.4148000000000001</v>
      </c>
      <c r="CV398">
        <v>6.2743000000000002</v>
      </c>
      <c r="CW398">
        <v>5.2000999999999999</v>
      </c>
      <c r="CX398">
        <v>70.191500000000005</v>
      </c>
      <c r="CY398" t="s">
        <v>135</v>
      </c>
      <c r="CZ398" t="s">
        <v>135</v>
      </c>
      <c r="DA398" t="s">
        <v>135</v>
      </c>
      <c r="DB398" t="s">
        <v>135</v>
      </c>
      <c r="DC398" t="s">
        <v>135</v>
      </c>
      <c r="DD398" t="s">
        <v>135</v>
      </c>
      <c r="DE398">
        <v>659</v>
      </c>
      <c r="DF398">
        <v>659</v>
      </c>
      <c r="DG398">
        <v>0</v>
      </c>
      <c r="DH398">
        <v>0</v>
      </c>
      <c r="DI398">
        <v>0</v>
      </c>
    </row>
    <row r="399" spans="4:113" x14ac:dyDescent="0.3">
      <c r="E399" t="s">
        <v>78</v>
      </c>
      <c r="F399">
        <v>17.687799999999999</v>
      </c>
      <c r="G399">
        <v>11.0139</v>
      </c>
      <c r="H399" t="s">
        <v>135</v>
      </c>
      <c r="I399">
        <v>12.078099999999999</v>
      </c>
      <c r="J399">
        <v>12.740399999999999</v>
      </c>
      <c r="K399">
        <v>9.3762000000000008</v>
      </c>
      <c r="L399" t="s">
        <v>135</v>
      </c>
      <c r="M399">
        <v>14.470800000000001</v>
      </c>
      <c r="N399">
        <v>10.793100000000001</v>
      </c>
      <c r="O399">
        <v>10.885899999999999</v>
      </c>
      <c r="P399">
        <v>10.885899999999999</v>
      </c>
      <c r="Q399">
        <v>25.4147</v>
      </c>
      <c r="R399" t="s">
        <v>135</v>
      </c>
      <c r="S399" t="s">
        <v>135</v>
      </c>
      <c r="T399">
        <v>5.9988000000000001</v>
      </c>
      <c r="U399">
        <v>-9.1841000000000008</v>
      </c>
      <c r="V399">
        <v>-16.853000000000002</v>
      </c>
      <c r="W399">
        <v>6.5795000000000003</v>
      </c>
      <c r="X399">
        <v>6.3981000000000003</v>
      </c>
      <c r="Y399" t="s">
        <v>135</v>
      </c>
      <c r="Z399">
        <v>-3.4000000000000002E-2</v>
      </c>
      <c r="AA399">
        <v>-5.0769000000000002</v>
      </c>
      <c r="AB399">
        <v>6.0151000000000003</v>
      </c>
      <c r="AC399">
        <v>15.4354</v>
      </c>
      <c r="AD399">
        <v>-2.3708</v>
      </c>
      <c r="AE399">
        <v>1.7364000000000002</v>
      </c>
      <c r="AF399">
        <v>3.2789999999999999</v>
      </c>
      <c r="AG399">
        <v>20.040900000000001</v>
      </c>
      <c r="AH399">
        <v>13.402699999999999</v>
      </c>
      <c r="AI399">
        <v>11.9773</v>
      </c>
      <c r="AJ399">
        <v>12.081</v>
      </c>
      <c r="AK399">
        <v>10.511900000000001</v>
      </c>
      <c r="AL399">
        <v>-29.682099999999998</v>
      </c>
      <c r="AM399">
        <v>36.582900000000002</v>
      </c>
      <c r="AN399">
        <v>23.130700000000001</v>
      </c>
      <c r="AO399">
        <v>19.011800000000001</v>
      </c>
      <c r="AP399">
        <v>18.728300000000001</v>
      </c>
      <c r="AQ399">
        <v>7.0841000000000003</v>
      </c>
      <c r="AR399" t="s">
        <v>135</v>
      </c>
      <c r="AS399" t="s">
        <v>135</v>
      </c>
      <c r="AT399" t="s">
        <v>135</v>
      </c>
      <c r="AU399" t="s">
        <v>135</v>
      </c>
      <c r="AV399" t="s">
        <v>135</v>
      </c>
      <c r="AW399" t="s">
        <v>135</v>
      </c>
      <c r="AX399" t="s">
        <v>135</v>
      </c>
      <c r="AY399" t="s">
        <v>135</v>
      </c>
      <c r="AZ399" t="s">
        <v>135</v>
      </c>
      <c r="BA399" t="s">
        <v>135</v>
      </c>
      <c r="BB399" t="s">
        <v>135</v>
      </c>
      <c r="BC399" t="s">
        <v>135</v>
      </c>
      <c r="BD399" t="s">
        <v>135</v>
      </c>
      <c r="BE399" t="s">
        <v>135</v>
      </c>
      <c r="BF399">
        <v>-2.1200999999999999</v>
      </c>
      <c r="BG399">
        <v>3.9990999999999999</v>
      </c>
      <c r="BH399">
        <v>11.807399999999999</v>
      </c>
      <c r="BI399">
        <v>35.427100000000003</v>
      </c>
      <c r="BJ399">
        <v>35.854799999999997</v>
      </c>
      <c r="BK399" t="s">
        <v>135</v>
      </c>
      <c r="BL399">
        <v>10.2254</v>
      </c>
      <c r="BM399">
        <v>0.98199999999999998</v>
      </c>
      <c r="BN399">
        <v>-8.7400000000000005E-2</v>
      </c>
      <c r="BO399">
        <v>7.8388</v>
      </c>
      <c r="BP399">
        <v>-3.6099000000000001</v>
      </c>
      <c r="BQ399">
        <v>2.8656000000000001</v>
      </c>
      <c r="BR399">
        <v>37.438400000000001</v>
      </c>
      <c r="BS399">
        <v>1.8553999999999999</v>
      </c>
      <c r="BT399">
        <v>3.6743999999999999</v>
      </c>
      <c r="BU399">
        <v>5.4493</v>
      </c>
      <c r="BV399">
        <v>5.3164999999999996</v>
      </c>
      <c r="BW399">
        <v>4.4114000000000004</v>
      </c>
      <c r="BX399">
        <v>-35.192</v>
      </c>
      <c r="BY399">
        <v>14164</v>
      </c>
      <c r="BZ399">
        <v>9991</v>
      </c>
      <c r="CA399">
        <v>4173</v>
      </c>
      <c r="CB399">
        <v>0.3463</v>
      </c>
      <c r="CC399">
        <v>-1.1247</v>
      </c>
      <c r="CD399">
        <v>0.46179999999999999</v>
      </c>
      <c r="CE399">
        <v>-1.4999</v>
      </c>
      <c r="CF399">
        <v>25.295000000000002</v>
      </c>
      <c r="CG399">
        <v>61.153399999999998</v>
      </c>
      <c r="CH399">
        <v>2.3414000000000001</v>
      </c>
      <c r="CI399">
        <v>2.1690999999999998</v>
      </c>
      <c r="CJ399">
        <v>1.4844999999999999</v>
      </c>
      <c r="CK399">
        <v>7.9473000000000003</v>
      </c>
      <c r="CL399">
        <v>7.3621999999999996</v>
      </c>
      <c r="CM399">
        <v>5.0388000000000002</v>
      </c>
      <c r="CN399">
        <v>-25.810400000000001</v>
      </c>
      <c r="CO399">
        <v>-34.789700000000003</v>
      </c>
      <c r="CP399">
        <v>9346.5</v>
      </c>
      <c r="CQ399">
        <v>7684.5</v>
      </c>
      <c r="CR399">
        <v>6878.5</v>
      </c>
      <c r="CS399">
        <v>0.6986</v>
      </c>
      <c r="CT399">
        <v>2.0394999999999999</v>
      </c>
      <c r="CU399">
        <v>1.3816999999999999</v>
      </c>
      <c r="CV399">
        <v>5.2478999999999996</v>
      </c>
      <c r="CW399">
        <v>5.0227000000000004</v>
      </c>
      <c r="CX399">
        <v>72.670199999999994</v>
      </c>
      <c r="CY399" t="s">
        <v>135</v>
      </c>
      <c r="CZ399" t="s">
        <v>135</v>
      </c>
      <c r="DA399" t="s">
        <v>135</v>
      </c>
      <c r="DB399" t="s">
        <v>135</v>
      </c>
      <c r="DC399" t="s">
        <v>135</v>
      </c>
      <c r="DD399" t="s">
        <v>135</v>
      </c>
      <c r="DE399">
        <v>617</v>
      </c>
      <c r="DF399" t="s">
        <v>135</v>
      </c>
      <c r="DG399" t="s">
        <v>135</v>
      </c>
      <c r="DH399" t="s">
        <v>135</v>
      </c>
      <c r="DI399" t="s">
        <v>135</v>
      </c>
    </row>
    <row r="400" spans="4:113" x14ac:dyDescent="0.3">
      <c r="E400" t="s">
        <v>79</v>
      </c>
      <c r="F400">
        <v>19.323899999999998</v>
      </c>
      <c r="G400">
        <v>11.900399999999999</v>
      </c>
      <c r="H400" t="s">
        <v>135</v>
      </c>
      <c r="I400">
        <v>12.740399999999999</v>
      </c>
      <c r="J400">
        <v>14.5367</v>
      </c>
      <c r="K400">
        <v>11.0489</v>
      </c>
      <c r="L400">
        <v>3.4239000000000002</v>
      </c>
      <c r="M400">
        <v>14.777100000000001</v>
      </c>
      <c r="N400">
        <v>11.0336</v>
      </c>
      <c r="O400">
        <v>10.992699999999999</v>
      </c>
      <c r="P400">
        <v>10.992699999999999</v>
      </c>
      <c r="Q400">
        <v>25.332699999999999</v>
      </c>
      <c r="R400" t="s">
        <v>135</v>
      </c>
      <c r="S400" t="s">
        <v>135</v>
      </c>
      <c r="T400">
        <v>6.1245000000000003</v>
      </c>
      <c r="U400">
        <v>3.3296000000000001</v>
      </c>
      <c r="V400">
        <v>1.821</v>
      </c>
      <c r="W400">
        <v>29.689900000000002</v>
      </c>
      <c r="X400">
        <v>29.655200000000001</v>
      </c>
      <c r="Y400" t="s">
        <v>135</v>
      </c>
      <c r="Z400">
        <v>0.43580000000000002</v>
      </c>
      <c r="AA400">
        <v>-2.8176000000000001</v>
      </c>
      <c r="AB400">
        <v>2.4411999999999998</v>
      </c>
      <c r="AC400">
        <v>15.0883</v>
      </c>
      <c r="AD400">
        <v>1.9487000000000001</v>
      </c>
      <c r="AE400">
        <v>18.771100000000001</v>
      </c>
      <c r="AF400">
        <v>-1.9936</v>
      </c>
      <c r="AG400">
        <v>22.386399999999998</v>
      </c>
      <c r="AH400">
        <v>13.1144</v>
      </c>
      <c r="AI400">
        <v>14.780100000000001</v>
      </c>
      <c r="AJ400">
        <v>14.6531</v>
      </c>
      <c r="AK400">
        <v>13.278499999999999</v>
      </c>
      <c r="AL400">
        <v>53.333300000000001</v>
      </c>
      <c r="AM400">
        <v>36.0578</v>
      </c>
      <c r="AN400">
        <v>26.764299999999999</v>
      </c>
      <c r="AO400">
        <v>23.739799999999999</v>
      </c>
      <c r="AP400">
        <v>23.058199999999999</v>
      </c>
      <c r="AQ400">
        <v>10.9839</v>
      </c>
      <c r="AR400" t="s">
        <v>135</v>
      </c>
      <c r="AS400">
        <v>32.375599999999999</v>
      </c>
      <c r="AT400" t="s">
        <v>135</v>
      </c>
      <c r="AU400" t="s">
        <v>135</v>
      </c>
      <c r="AV400">
        <v>28.867599999999999</v>
      </c>
      <c r="AW400">
        <v>29.073899999999998</v>
      </c>
      <c r="AX400">
        <v>138.42019999999999</v>
      </c>
      <c r="AY400">
        <v>39.957700000000003</v>
      </c>
      <c r="AZ400">
        <v>8.1705000000000005</v>
      </c>
      <c r="BA400">
        <v>7.7854000000000001</v>
      </c>
      <c r="BB400">
        <v>30.107800000000001</v>
      </c>
      <c r="BC400">
        <v>27.247599999999998</v>
      </c>
      <c r="BD400">
        <v>15.8117</v>
      </c>
      <c r="BE400" t="s">
        <v>135</v>
      </c>
      <c r="BF400">
        <v>3.6842000000000001</v>
      </c>
      <c r="BG400">
        <v>18.303100000000001</v>
      </c>
      <c r="BH400">
        <v>22.180700000000002</v>
      </c>
      <c r="BI400">
        <v>4.702</v>
      </c>
      <c r="BJ400">
        <v>4.6771000000000003</v>
      </c>
      <c r="BK400" t="s">
        <v>135</v>
      </c>
      <c r="BL400">
        <v>4.7846000000000002</v>
      </c>
      <c r="BM400">
        <v>1.1831</v>
      </c>
      <c r="BN400">
        <v>1.4791000000000001</v>
      </c>
      <c r="BO400">
        <v>-1.4552</v>
      </c>
      <c r="BP400">
        <v>10.955500000000001</v>
      </c>
      <c r="BQ400">
        <v>-3.5602999999999998</v>
      </c>
      <c r="BR400">
        <v>-3.9154</v>
      </c>
      <c r="BS400">
        <v>1.7505999999999999</v>
      </c>
      <c r="BT400">
        <v>1.3174000000000001</v>
      </c>
      <c r="BU400">
        <v>-1.0062</v>
      </c>
      <c r="BV400">
        <v>-0.83509999999999995</v>
      </c>
      <c r="BW400">
        <v>-1.2675000000000001</v>
      </c>
      <c r="BX400">
        <v>37.213299999999997</v>
      </c>
      <c r="BY400">
        <v>14350.6</v>
      </c>
      <c r="BZ400">
        <v>10165.9</v>
      </c>
      <c r="CA400">
        <v>4184.7</v>
      </c>
      <c r="CB400">
        <v>0.3478</v>
      </c>
      <c r="CC400">
        <v>-1.0971</v>
      </c>
      <c r="CD400">
        <v>0.46560000000000001</v>
      </c>
      <c r="CE400">
        <v>-1.4685999999999999</v>
      </c>
      <c r="CF400">
        <v>28.6159</v>
      </c>
      <c r="CG400">
        <v>61.3354</v>
      </c>
      <c r="CH400">
        <v>2.3719000000000001</v>
      </c>
      <c r="CI400">
        <v>2.1935000000000002</v>
      </c>
      <c r="CJ400">
        <v>1.5106999999999999</v>
      </c>
      <c r="CK400">
        <v>8.1339000000000006</v>
      </c>
      <c r="CL400">
        <v>7.5221</v>
      </c>
      <c r="CM400">
        <v>5.1806000000000001</v>
      </c>
      <c r="CN400">
        <v>-25.654599999999999</v>
      </c>
      <c r="CO400">
        <v>-34.507300000000001</v>
      </c>
      <c r="CP400">
        <v>11057.2</v>
      </c>
      <c r="CQ400">
        <v>6328.2</v>
      </c>
      <c r="CR400">
        <v>8404.2000000000007</v>
      </c>
      <c r="CS400">
        <v>0.69850000000000001</v>
      </c>
      <c r="CT400">
        <v>2.0116999999999998</v>
      </c>
      <c r="CU400">
        <v>1.4209000000000001</v>
      </c>
      <c r="CV400">
        <v>5.7549000000000001</v>
      </c>
      <c r="CW400">
        <v>4.8758999999999997</v>
      </c>
      <c r="CX400">
        <v>74.857299999999995</v>
      </c>
      <c r="CY400" t="s">
        <v>135</v>
      </c>
      <c r="CZ400" t="s">
        <v>135</v>
      </c>
      <c r="DA400" t="s">
        <v>135</v>
      </c>
      <c r="DB400" t="s">
        <v>135</v>
      </c>
      <c r="DC400" t="s">
        <v>135</v>
      </c>
      <c r="DD400" t="s">
        <v>135</v>
      </c>
      <c r="DE400">
        <v>624.29999999999995</v>
      </c>
      <c r="DF400" t="s">
        <v>135</v>
      </c>
      <c r="DG400" t="s">
        <v>135</v>
      </c>
      <c r="DH400" t="s">
        <v>135</v>
      </c>
      <c r="DI400" t="s">
        <v>135</v>
      </c>
    </row>
    <row r="401" spans="1:113" x14ac:dyDescent="0.3">
      <c r="E401" t="s">
        <v>80</v>
      </c>
      <c r="F401">
        <v>18.914300000000001</v>
      </c>
      <c r="G401">
        <v>11.704599999999999</v>
      </c>
      <c r="H401">
        <v>17.565300000000001</v>
      </c>
      <c r="I401">
        <v>12.363300000000001</v>
      </c>
      <c r="J401">
        <v>16.263100000000001</v>
      </c>
      <c r="K401">
        <v>12.736800000000001</v>
      </c>
      <c r="L401">
        <v>23.761800000000001</v>
      </c>
      <c r="M401">
        <v>15.193</v>
      </c>
      <c r="N401">
        <v>11.8874</v>
      </c>
      <c r="O401">
        <v>12.1279</v>
      </c>
      <c r="P401">
        <v>12.1279</v>
      </c>
      <c r="Q401">
        <v>21.757200000000001</v>
      </c>
      <c r="R401" t="s">
        <v>135</v>
      </c>
      <c r="S401" t="s">
        <v>135</v>
      </c>
      <c r="T401">
        <v>2.8906000000000001</v>
      </c>
      <c r="U401">
        <v>6.5831999999999997</v>
      </c>
      <c r="V401">
        <v>5.5312000000000001</v>
      </c>
      <c r="W401">
        <v>10.1731</v>
      </c>
      <c r="X401">
        <v>10.176500000000001</v>
      </c>
      <c r="Y401" t="s">
        <v>135</v>
      </c>
      <c r="Z401">
        <v>5.6043000000000003</v>
      </c>
      <c r="AA401">
        <v>2.8322000000000003</v>
      </c>
      <c r="AB401">
        <v>0.15590000000000001</v>
      </c>
      <c r="AC401">
        <v>13.9335</v>
      </c>
      <c r="AD401">
        <v>12.173299999999999</v>
      </c>
      <c r="AE401">
        <v>4.4108000000000001</v>
      </c>
      <c r="AF401">
        <v>-4.4522000000000004</v>
      </c>
      <c r="AG401">
        <v>29.2441</v>
      </c>
      <c r="AH401">
        <v>19.224499999999999</v>
      </c>
      <c r="AI401">
        <v>11.6401</v>
      </c>
      <c r="AJ401">
        <v>12.2003</v>
      </c>
      <c r="AK401">
        <v>10.981400000000001</v>
      </c>
      <c r="AL401">
        <v>-28.699100000000001</v>
      </c>
      <c r="AM401">
        <v>34.130299999999998</v>
      </c>
      <c r="AN401">
        <v>27.435099999999998</v>
      </c>
      <c r="AO401">
        <v>24.901399999999999</v>
      </c>
      <c r="AP401">
        <v>27.880600000000001</v>
      </c>
      <c r="AQ401">
        <v>14.492900000000001</v>
      </c>
      <c r="AR401" t="s">
        <v>135</v>
      </c>
      <c r="AS401" t="s">
        <v>135</v>
      </c>
      <c r="AT401" t="s">
        <v>135</v>
      </c>
      <c r="AU401" t="s">
        <v>135</v>
      </c>
      <c r="AV401" t="s">
        <v>135</v>
      </c>
      <c r="AW401" t="s">
        <v>135</v>
      </c>
      <c r="AX401" t="s">
        <v>135</v>
      </c>
      <c r="AY401" t="s">
        <v>135</v>
      </c>
      <c r="AZ401" t="s">
        <v>135</v>
      </c>
      <c r="BA401" t="s">
        <v>135</v>
      </c>
      <c r="BB401" t="s">
        <v>135</v>
      </c>
      <c r="BC401" t="s">
        <v>135</v>
      </c>
      <c r="BD401" t="s">
        <v>135</v>
      </c>
      <c r="BE401" t="s">
        <v>135</v>
      </c>
      <c r="BF401">
        <v>2.2294</v>
      </c>
      <c r="BG401">
        <v>14.3698</v>
      </c>
      <c r="BH401">
        <v>17.847000000000001</v>
      </c>
      <c r="BI401">
        <v>12.786</v>
      </c>
      <c r="BJ401">
        <v>12.872299999999999</v>
      </c>
      <c r="BK401" t="s">
        <v>135</v>
      </c>
      <c r="BL401">
        <v>4.5336999999999996</v>
      </c>
      <c r="BM401">
        <v>-24.395299999999999</v>
      </c>
      <c r="BN401">
        <v>-3.4853999999999998</v>
      </c>
      <c r="BO401">
        <v>4.0568</v>
      </c>
      <c r="BP401">
        <v>8.343</v>
      </c>
      <c r="BQ401">
        <v>-3.9849999999999999</v>
      </c>
      <c r="BR401">
        <v>-2.3616000000000001</v>
      </c>
      <c r="BS401">
        <v>15.553000000000001</v>
      </c>
      <c r="BT401">
        <v>7.7794999999999996</v>
      </c>
      <c r="BU401">
        <v>2.9441000000000002</v>
      </c>
      <c r="BV401">
        <v>3.3077999999999999</v>
      </c>
      <c r="BW401">
        <v>3.6983000000000001</v>
      </c>
      <c r="BX401">
        <v>-19.082100000000001</v>
      </c>
      <c r="BY401">
        <v>15467</v>
      </c>
      <c r="BZ401">
        <v>11747</v>
      </c>
      <c r="CA401">
        <v>3720</v>
      </c>
      <c r="CB401">
        <v>0.3679</v>
      </c>
      <c r="CC401">
        <v>-1.0756000000000001</v>
      </c>
      <c r="CD401">
        <v>0.49349999999999999</v>
      </c>
      <c r="CE401">
        <v>-1.4428000000000001</v>
      </c>
      <c r="CF401">
        <v>37.096200000000003</v>
      </c>
      <c r="CG401">
        <v>61.332500000000003</v>
      </c>
      <c r="CH401">
        <v>2.0482</v>
      </c>
      <c r="CI401">
        <v>1.8875</v>
      </c>
      <c r="CJ401">
        <v>1.2906</v>
      </c>
      <c r="CK401">
        <v>8.5159000000000002</v>
      </c>
      <c r="CL401">
        <v>7.8475999999999999</v>
      </c>
      <c r="CM401">
        <v>5.3658999999999999</v>
      </c>
      <c r="CN401">
        <v>-24.895399999999999</v>
      </c>
      <c r="CO401">
        <v>-33.147599999999997</v>
      </c>
      <c r="CP401">
        <v>12646.1</v>
      </c>
      <c r="CQ401">
        <v>10767.1</v>
      </c>
      <c r="CR401">
        <v>9904.1</v>
      </c>
      <c r="CS401">
        <v>0.68359999999999999</v>
      </c>
      <c r="CT401">
        <v>1.9339</v>
      </c>
      <c r="CU401">
        <v>1.4097</v>
      </c>
      <c r="CV401">
        <v>5.8537999999999997</v>
      </c>
      <c r="CW401">
        <v>4.8159999999999998</v>
      </c>
      <c r="CX401">
        <v>75.788399999999996</v>
      </c>
      <c r="CY401" t="s">
        <v>135</v>
      </c>
      <c r="CZ401" t="s">
        <v>135</v>
      </c>
      <c r="DA401" t="s">
        <v>135</v>
      </c>
      <c r="DB401" t="s">
        <v>135</v>
      </c>
      <c r="DC401" t="s">
        <v>135</v>
      </c>
      <c r="DD401" t="s">
        <v>135</v>
      </c>
      <c r="DE401">
        <v>472</v>
      </c>
      <c r="DF401" t="s">
        <v>135</v>
      </c>
      <c r="DG401" t="s">
        <v>135</v>
      </c>
      <c r="DH401" t="s">
        <v>135</v>
      </c>
      <c r="DI401" t="s">
        <v>135</v>
      </c>
    </row>
    <row r="402" spans="1:113" x14ac:dyDescent="0.3">
      <c r="E402" t="s">
        <v>81</v>
      </c>
      <c r="F402">
        <v>21.541</v>
      </c>
      <c r="G402">
        <v>13.4498</v>
      </c>
      <c r="H402">
        <v>19.5533</v>
      </c>
      <c r="I402">
        <v>13.4641</v>
      </c>
      <c r="J402">
        <v>17.53</v>
      </c>
      <c r="K402">
        <v>13.8215</v>
      </c>
      <c r="L402">
        <v>89.015199999999993</v>
      </c>
      <c r="M402">
        <v>18.770099999999999</v>
      </c>
      <c r="N402">
        <v>15.280900000000001</v>
      </c>
      <c r="O402">
        <v>15.171900000000001</v>
      </c>
      <c r="P402">
        <v>15.171900000000001</v>
      </c>
      <c r="Q402">
        <v>18.589300000000001</v>
      </c>
      <c r="R402" t="s">
        <v>135</v>
      </c>
      <c r="S402" t="s">
        <v>135</v>
      </c>
      <c r="T402">
        <v>7.4649999999999999</v>
      </c>
      <c r="U402">
        <v>57.108499999999999</v>
      </c>
      <c r="V402">
        <v>80.954499999999996</v>
      </c>
      <c r="W402">
        <v>107.23090000000001</v>
      </c>
      <c r="X402">
        <v>107.5643</v>
      </c>
      <c r="Y402" t="s">
        <v>135</v>
      </c>
      <c r="Z402">
        <v>21.736000000000001</v>
      </c>
      <c r="AA402">
        <v>7.8559999999999999</v>
      </c>
      <c r="AB402">
        <v>-9.1603999999999992</v>
      </c>
      <c r="AC402">
        <v>16.767499999999998</v>
      </c>
      <c r="AD402">
        <v>25.9985</v>
      </c>
      <c r="AE402">
        <v>2.9495</v>
      </c>
      <c r="AF402">
        <v>12.7859</v>
      </c>
      <c r="AG402">
        <v>65.715199999999996</v>
      </c>
      <c r="AH402">
        <v>75.420900000000003</v>
      </c>
      <c r="AI402">
        <v>14.499499999999999</v>
      </c>
      <c r="AJ402">
        <v>19.055700000000002</v>
      </c>
      <c r="AK402">
        <v>13.8851</v>
      </c>
      <c r="AL402">
        <v>-21.737300000000001</v>
      </c>
      <c r="AM402">
        <v>33.392000000000003</v>
      </c>
      <c r="AN402">
        <v>30.0136</v>
      </c>
      <c r="AO402">
        <v>28.261399999999998</v>
      </c>
      <c r="AP402">
        <v>26.500499999999999</v>
      </c>
      <c r="AQ402">
        <v>14.1469</v>
      </c>
      <c r="AR402" t="s">
        <v>135</v>
      </c>
      <c r="AS402">
        <v>30.701699999999999</v>
      </c>
      <c r="AT402">
        <v>43.0535</v>
      </c>
      <c r="AU402">
        <v>28.550599999999999</v>
      </c>
      <c r="AV402">
        <v>27.6389</v>
      </c>
      <c r="AW402">
        <v>33.327800000000003</v>
      </c>
      <c r="AX402">
        <v>88.840699999999998</v>
      </c>
      <c r="AY402">
        <v>26.049199999999999</v>
      </c>
      <c r="AZ402">
        <v>8.5127000000000006</v>
      </c>
      <c r="BA402">
        <v>11.6653</v>
      </c>
      <c r="BB402">
        <v>28.448499999999999</v>
      </c>
      <c r="BC402">
        <v>25.756</v>
      </c>
      <c r="BD402">
        <v>15.0405</v>
      </c>
      <c r="BE402" t="s">
        <v>135</v>
      </c>
      <c r="BF402">
        <v>3.5821000000000001</v>
      </c>
      <c r="BG402">
        <v>11.651</v>
      </c>
      <c r="BH402">
        <v>12.402900000000001</v>
      </c>
      <c r="BI402">
        <v>29.580300000000001</v>
      </c>
      <c r="BJ402">
        <v>29.312000000000001</v>
      </c>
      <c r="BK402" t="s">
        <v>135</v>
      </c>
      <c r="BL402">
        <v>0.8286</v>
      </c>
      <c r="BM402">
        <v>39.618600000000001</v>
      </c>
      <c r="BN402">
        <v>-7.1706000000000003</v>
      </c>
      <c r="BO402">
        <v>5.5949</v>
      </c>
      <c r="BP402">
        <v>8.7385000000000002</v>
      </c>
      <c r="BQ402">
        <v>8.0833999999999993</v>
      </c>
      <c r="BR402">
        <v>-12.5274</v>
      </c>
      <c r="BS402">
        <v>38.375799999999998</v>
      </c>
      <c r="BT402">
        <v>54.949199999999998</v>
      </c>
      <c r="BU402">
        <v>6.5491999999999999</v>
      </c>
      <c r="BV402">
        <v>10.3475</v>
      </c>
      <c r="BW402">
        <v>6.5335999999999999</v>
      </c>
      <c r="BX402">
        <v>8.7642000000000007</v>
      </c>
      <c r="BY402">
        <v>23966</v>
      </c>
      <c r="BZ402">
        <v>16255</v>
      </c>
      <c r="CA402">
        <v>7711</v>
      </c>
      <c r="CB402">
        <v>0.5081</v>
      </c>
      <c r="CC402">
        <v>-0.85780000000000001</v>
      </c>
      <c r="CD402">
        <v>0.65990000000000004</v>
      </c>
      <c r="CE402">
        <v>-1.1141000000000001</v>
      </c>
      <c r="CF402">
        <v>26.792200000000001</v>
      </c>
      <c r="CG402">
        <v>61.9071</v>
      </c>
      <c r="CH402">
        <v>3.9845999999999999</v>
      </c>
      <c r="CI402">
        <v>3.5455000000000001</v>
      </c>
      <c r="CJ402">
        <v>2.5333999999999999</v>
      </c>
      <c r="CK402">
        <v>12.3843</v>
      </c>
      <c r="CL402">
        <v>11.019600000000001</v>
      </c>
      <c r="CM402">
        <v>7.8738999999999999</v>
      </c>
      <c r="CN402">
        <v>-20.909600000000001</v>
      </c>
      <c r="CO402">
        <v>-26.4376</v>
      </c>
      <c r="CP402">
        <v>14119.5</v>
      </c>
      <c r="CQ402">
        <v>12223.5</v>
      </c>
      <c r="CR402">
        <v>11132.5</v>
      </c>
      <c r="CS402">
        <v>0.70440000000000003</v>
      </c>
      <c r="CT402">
        <v>1.9795</v>
      </c>
      <c r="CU402">
        <v>1.4148000000000001</v>
      </c>
      <c r="CV402">
        <v>6.2743000000000002</v>
      </c>
      <c r="CW402">
        <v>5.2000999999999999</v>
      </c>
      <c r="CX402">
        <v>70.191400000000002</v>
      </c>
      <c r="CY402" t="s">
        <v>135</v>
      </c>
      <c r="CZ402" t="s">
        <v>135</v>
      </c>
      <c r="DA402" t="s">
        <v>135</v>
      </c>
      <c r="DB402" t="s">
        <v>135</v>
      </c>
      <c r="DC402" t="s">
        <v>135</v>
      </c>
      <c r="DD402" t="s">
        <v>135</v>
      </c>
      <c r="DE402">
        <v>659</v>
      </c>
      <c r="DF402">
        <v>659</v>
      </c>
      <c r="DG402">
        <v>0</v>
      </c>
      <c r="DH402">
        <v>0</v>
      </c>
      <c r="DI402">
        <v>0</v>
      </c>
    </row>
    <row r="403" spans="1:113" x14ac:dyDescent="0.3">
      <c r="A403">
        <v>92</v>
      </c>
      <c r="B403" t="s">
        <v>115</v>
      </c>
      <c r="C403" t="s">
        <v>116</v>
      </c>
      <c r="D403" t="s">
        <v>76</v>
      </c>
      <c r="E403" t="s">
        <v>77</v>
      </c>
      <c r="F403">
        <v>8.1696000000000009</v>
      </c>
      <c r="G403">
        <v>1.6038000000000001</v>
      </c>
      <c r="H403" t="s">
        <v>135</v>
      </c>
      <c r="I403" t="s">
        <v>135</v>
      </c>
      <c r="J403" t="s">
        <v>135</v>
      </c>
      <c r="K403">
        <v>6.5384000000000002</v>
      </c>
      <c r="L403" t="s">
        <v>135</v>
      </c>
      <c r="M403">
        <v>6.5387000000000004</v>
      </c>
      <c r="N403">
        <v>5.6395</v>
      </c>
      <c r="O403">
        <v>5.6395</v>
      </c>
      <c r="P403">
        <v>5.6395</v>
      </c>
      <c r="Q403">
        <v>13.7523</v>
      </c>
      <c r="R403">
        <v>27.5943</v>
      </c>
      <c r="S403">
        <v>5.9153000000000002</v>
      </c>
      <c r="T403">
        <v>14.692</v>
      </c>
      <c r="U403" t="s">
        <v>135</v>
      </c>
      <c r="V403">
        <v>-11.051399999999999</v>
      </c>
      <c r="W403">
        <v>-9.7211999999999996</v>
      </c>
      <c r="X403">
        <v>-9.7372999999999994</v>
      </c>
      <c r="Y403">
        <v>29.411799999999999</v>
      </c>
      <c r="Z403" t="s">
        <v>135</v>
      </c>
      <c r="AA403" t="s">
        <v>135</v>
      </c>
      <c r="AB403">
        <v>16.689900000000002</v>
      </c>
      <c r="AC403">
        <v>16.801500000000001</v>
      </c>
      <c r="AD403" t="s">
        <v>135</v>
      </c>
      <c r="AE403" t="s">
        <v>135</v>
      </c>
      <c r="AF403" t="s">
        <v>135</v>
      </c>
      <c r="AG403" t="s">
        <v>135</v>
      </c>
      <c r="AH403" t="s">
        <v>135</v>
      </c>
      <c r="AI403">
        <v>10.0909</v>
      </c>
      <c r="AJ403">
        <v>10.0909</v>
      </c>
      <c r="AK403">
        <v>10.0909</v>
      </c>
      <c r="AL403">
        <v>11.9543</v>
      </c>
      <c r="AM403" t="s">
        <v>135</v>
      </c>
      <c r="AN403" t="s">
        <v>135</v>
      </c>
      <c r="AO403" t="s">
        <v>135</v>
      </c>
      <c r="AP403" t="s">
        <v>135</v>
      </c>
      <c r="AQ403" t="s">
        <v>135</v>
      </c>
      <c r="AR403" t="s">
        <v>135</v>
      </c>
      <c r="AS403" t="s">
        <v>135</v>
      </c>
      <c r="AT403" t="s">
        <v>135</v>
      </c>
      <c r="AU403" t="s">
        <v>135</v>
      </c>
      <c r="AV403" t="s">
        <v>135</v>
      </c>
      <c r="AW403" t="s">
        <v>135</v>
      </c>
      <c r="AX403" t="s">
        <v>135</v>
      </c>
      <c r="AY403" t="s">
        <v>135</v>
      </c>
      <c r="AZ403" t="s">
        <v>135</v>
      </c>
      <c r="BA403" t="s">
        <v>135</v>
      </c>
      <c r="BB403" t="s">
        <v>135</v>
      </c>
      <c r="BC403" t="s">
        <v>135</v>
      </c>
      <c r="BD403" t="s">
        <v>135</v>
      </c>
      <c r="BE403" t="s">
        <v>135</v>
      </c>
      <c r="BF403">
        <v>14.692</v>
      </c>
      <c r="BG403" t="s">
        <v>135</v>
      </c>
      <c r="BH403">
        <v>-11.051399999999999</v>
      </c>
      <c r="BI403">
        <v>-9.7211999999999996</v>
      </c>
      <c r="BJ403">
        <v>-9.7372999999999994</v>
      </c>
      <c r="BK403">
        <v>29.411799999999999</v>
      </c>
      <c r="BL403" t="s">
        <v>135</v>
      </c>
      <c r="BM403" t="s">
        <v>135</v>
      </c>
      <c r="BN403">
        <v>16.689900000000002</v>
      </c>
      <c r="BO403">
        <v>16.801500000000001</v>
      </c>
      <c r="BP403" t="s">
        <v>135</v>
      </c>
      <c r="BQ403" t="s">
        <v>135</v>
      </c>
      <c r="BR403" t="s">
        <v>135</v>
      </c>
      <c r="BS403" t="s">
        <v>135</v>
      </c>
      <c r="BT403" t="s">
        <v>135</v>
      </c>
      <c r="BU403">
        <v>10.0909</v>
      </c>
      <c r="BV403">
        <v>10.0909</v>
      </c>
      <c r="BW403">
        <v>10.0909</v>
      </c>
      <c r="BX403" t="s">
        <v>135</v>
      </c>
      <c r="BY403">
        <v>0</v>
      </c>
      <c r="BZ403" t="s">
        <v>135</v>
      </c>
      <c r="CA403">
        <v>0</v>
      </c>
      <c r="CB403" t="s">
        <v>135</v>
      </c>
      <c r="CC403" t="s">
        <v>135</v>
      </c>
      <c r="CD403">
        <v>0</v>
      </c>
      <c r="CE403">
        <v>-9.6986000000000008</v>
      </c>
      <c r="CF403" t="s">
        <v>135</v>
      </c>
      <c r="CG403">
        <v>19.0946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-87.654600000000002</v>
      </c>
      <c r="CO403">
        <v>-710.01890000000003</v>
      </c>
      <c r="CP403" t="s">
        <v>135</v>
      </c>
      <c r="CQ403" t="s">
        <v>135</v>
      </c>
      <c r="CR403">
        <v>9243.57</v>
      </c>
      <c r="CS403" t="s">
        <v>135</v>
      </c>
      <c r="CT403" t="s">
        <v>135</v>
      </c>
      <c r="CU403" t="s">
        <v>135</v>
      </c>
      <c r="CV403" t="s">
        <v>135</v>
      </c>
      <c r="CW403" t="s">
        <v>135</v>
      </c>
      <c r="CX403" t="s">
        <v>135</v>
      </c>
      <c r="CY403" t="s">
        <v>135</v>
      </c>
      <c r="CZ403" t="s">
        <v>135</v>
      </c>
      <c r="DA403" t="s">
        <v>135</v>
      </c>
      <c r="DB403" t="s">
        <v>135</v>
      </c>
      <c r="DC403" t="s">
        <v>135</v>
      </c>
      <c r="DD403" t="s">
        <v>135</v>
      </c>
      <c r="DE403" t="s">
        <v>135</v>
      </c>
      <c r="DF403" t="s">
        <v>135</v>
      </c>
      <c r="DG403" t="s">
        <v>135</v>
      </c>
      <c r="DH403" t="s">
        <v>135</v>
      </c>
      <c r="DI403" t="s">
        <v>135</v>
      </c>
    </row>
    <row r="404" spans="1:113" x14ac:dyDescent="0.3">
      <c r="E404" t="s">
        <v>78</v>
      </c>
      <c r="F404" t="s">
        <v>135</v>
      </c>
      <c r="G404" t="s">
        <v>135</v>
      </c>
      <c r="H404" t="s">
        <v>135</v>
      </c>
      <c r="I404" t="s">
        <v>135</v>
      </c>
      <c r="J404" t="s">
        <v>135</v>
      </c>
      <c r="K404" t="s">
        <v>135</v>
      </c>
      <c r="L404" t="s">
        <v>135</v>
      </c>
      <c r="M404" t="s">
        <v>135</v>
      </c>
      <c r="N404" t="s">
        <v>135</v>
      </c>
      <c r="O404" t="s">
        <v>135</v>
      </c>
      <c r="P404" t="s">
        <v>135</v>
      </c>
      <c r="Q404" t="s">
        <v>135</v>
      </c>
      <c r="R404" t="s">
        <v>135</v>
      </c>
      <c r="S404" t="s">
        <v>135</v>
      </c>
      <c r="T404" t="s">
        <v>135</v>
      </c>
      <c r="U404" t="s">
        <v>135</v>
      </c>
      <c r="V404" t="s">
        <v>135</v>
      </c>
      <c r="W404" t="s">
        <v>135</v>
      </c>
      <c r="X404" t="s">
        <v>135</v>
      </c>
      <c r="Y404" t="s">
        <v>135</v>
      </c>
      <c r="Z404" t="s">
        <v>135</v>
      </c>
      <c r="AA404" t="s">
        <v>135</v>
      </c>
      <c r="AB404" t="s">
        <v>135</v>
      </c>
      <c r="AC404" t="s">
        <v>135</v>
      </c>
      <c r="AD404" t="s">
        <v>135</v>
      </c>
      <c r="AE404" t="s">
        <v>135</v>
      </c>
      <c r="AF404" t="s">
        <v>135</v>
      </c>
      <c r="AG404" t="s">
        <v>135</v>
      </c>
      <c r="AH404" t="s">
        <v>135</v>
      </c>
      <c r="AI404" t="s">
        <v>135</v>
      </c>
      <c r="AJ404" t="s">
        <v>135</v>
      </c>
      <c r="AK404" t="s">
        <v>135</v>
      </c>
      <c r="AL404" t="s">
        <v>135</v>
      </c>
      <c r="AM404" t="s">
        <v>135</v>
      </c>
      <c r="AN404" t="s">
        <v>135</v>
      </c>
      <c r="AO404" t="s">
        <v>135</v>
      </c>
      <c r="AP404" t="s">
        <v>135</v>
      </c>
      <c r="AQ404" t="s">
        <v>135</v>
      </c>
      <c r="AR404" t="s">
        <v>135</v>
      </c>
      <c r="AS404" t="s">
        <v>135</v>
      </c>
      <c r="AT404" t="s">
        <v>135</v>
      </c>
      <c r="AU404" t="s">
        <v>135</v>
      </c>
      <c r="AV404" t="s">
        <v>135</v>
      </c>
      <c r="AW404" t="s">
        <v>135</v>
      </c>
      <c r="AX404" t="s">
        <v>135</v>
      </c>
      <c r="AY404" t="s">
        <v>135</v>
      </c>
      <c r="AZ404" t="s">
        <v>135</v>
      </c>
      <c r="BA404" t="s">
        <v>135</v>
      </c>
      <c r="BB404" t="s">
        <v>135</v>
      </c>
      <c r="BC404" t="s">
        <v>135</v>
      </c>
      <c r="BD404" t="s">
        <v>135</v>
      </c>
      <c r="BE404" t="s">
        <v>135</v>
      </c>
      <c r="BF404" t="s">
        <v>135</v>
      </c>
      <c r="BG404" t="s">
        <v>135</v>
      </c>
      <c r="BH404" t="s">
        <v>135</v>
      </c>
      <c r="BI404" t="s">
        <v>135</v>
      </c>
      <c r="BJ404" t="s">
        <v>135</v>
      </c>
      <c r="BK404" t="s">
        <v>135</v>
      </c>
      <c r="BL404" t="s">
        <v>135</v>
      </c>
      <c r="BM404" t="s">
        <v>135</v>
      </c>
      <c r="BN404" t="s">
        <v>135</v>
      </c>
      <c r="BO404" t="s">
        <v>135</v>
      </c>
      <c r="BP404" t="s">
        <v>135</v>
      </c>
      <c r="BQ404" t="s">
        <v>135</v>
      </c>
      <c r="BR404" t="s">
        <v>135</v>
      </c>
      <c r="BS404" t="s">
        <v>135</v>
      </c>
      <c r="BT404" t="s">
        <v>135</v>
      </c>
      <c r="BU404" t="s">
        <v>135</v>
      </c>
      <c r="BV404" t="s">
        <v>135</v>
      </c>
      <c r="BW404" t="s">
        <v>135</v>
      </c>
      <c r="BX404" t="s">
        <v>135</v>
      </c>
      <c r="BY404" t="s">
        <v>135</v>
      </c>
      <c r="BZ404" t="s">
        <v>135</v>
      </c>
      <c r="CA404" t="s">
        <v>135</v>
      </c>
      <c r="CB404" t="s">
        <v>135</v>
      </c>
      <c r="CC404" t="s">
        <v>135</v>
      </c>
      <c r="CD404" t="s">
        <v>135</v>
      </c>
      <c r="CE404" t="s">
        <v>135</v>
      </c>
      <c r="CF404" t="s">
        <v>135</v>
      </c>
      <c r="CG404" t="s">
        <v>135</v>
      </c>
      <c r="CH404" t="s">
        <v>135</v>
      </c>
      <c r="CI404" t="s">
        <v>135</v>
      </c>
      <c r="CJ404" t="s">
        <v>135</v>
      </c>
      <c r="CK404" t="s">
        <v>135</v>
      </c>
      <c r="CL404" t="s">
        <v>135</v>
      </c>
      <c r="CM404" t="s">
        <v>135</v>
      </c>
      <c r="CN404" t="s">
        <v>135</v>
      </c>
      <c r="CO404" t="s">
        <v>135</v>
      </c>
      <c r="CP404" t="s">
        <v>135</v>
      </c>
      <c r="CQ404" t="s">
        <v>135</v>
      </c>
      <c r="CR404" t="s">
        <v>135</v>
      </c>
      <c r="CS404" t="s">
        <v>135</v>
      </c>
      <c r="CT404" t="s">
        <v>135</v>
      </c>
      <c r="CU404" t="s">
        <v>135</v>
      </c>
      <c r="CV404" t="s">
        <v>135</v>
      </c>
      <c r="CW404" t="s">
        <v>135</v>
      </c>
      <c r="CX404" t="s">
        <v>135</v>
      </c>
      <c r="CY404" t="s">
        <v>135</v>
      </c>
      <c r="CZ404" t="s">
        <v>135</v>
      </c>
      <c r="DA404" t="s">
        <v>135</v>
      </c>
      <c r="DB404" t="s">
        <v>135</v>
      </c>
      <c r="DC404" t="s">
        <v>135</v>
      </c>
      <c r="DD404" t="s">
        <v>135</v>
      </c>
      <c r="DE404" t="s">
        <v>135</v>
      </c>
      <c r="DF404" t="s">
        <v>135</v>
      </c>
      <c r="DG404" t="s">
        <v>135</v>
      </c>
      <c r="DH404" t="s">
        <v>135</v>
      </c>
      <c r="DI404" t="s">
        <v>135</v>
      </c>
    </row>
    <row r="405" spans="1:113" x14ac:dyDescent="0.3">
      <c r="E405" t="s">
        <v>79</v>
      </c>
      <c r="F405" t="s">
        <v>135</v>
      </c>
      <c r="G405" t="s">
        <v>135</v>
      </c>
      <c r="H405" t="s">
        <v>135</v>
      </c>
      <c r="I405" t="s">
        <v>135</v>
      </c>
      <c r="J405" t="s">
        <v>135</v>
      </c>
      <c r="K405" t="s">
        <v>135</v>
      </c>
      <c r="L405" t="s">
        <v>135</v>
      </c>
      <c r="M405" t="s">
        <v>135</v>
      </c>
      <c r="N405" t="s">
        <v>135</v>
      </c>
      <c r="O405" t="s">
        <v>135</v>
      </c>
      <c r="P405" t="s">
        <v>135</v>
      </c>
      <c r="Q405" t="s">
        <v>135</v>
      </c>
      <c r="R405" t="s">
        <v>135</v>
      </c>
      <c r="S405" t="s">
        <v>135</v>
      </c>
      <c r="T405" t="s">
        <v>135</v>
      </c>
      <c r="U405" t="s">
        <v>135</v>
      </c>
      <c r="V405" t="s">
        <v>135</v>
      </c>
      <c r="W405" t="s">
        <v>135</v>
      </c>
      <c r="X405" t="s">
        <v>135</v>
      </c>
      <c r="Y405" t="s">
        <v>135</v>
      </c>
      <c r="Z405" t="s">
        <v>135</v>
      </c>
      <c r="AA405" t="s">
        <v>135</v>
      </c>
      <c r="AB405" t="s">
        <v>135</v>
      </c>
      <c r="AC405" t="s">
        <v>135</v>
      </c>
      <c r="AD405" t="s">
        <v>135</v>
      </c>
      <c r="AE405" t="s">
        <v>135</v>
      </c>
      <c r="AF405" t="s">
        <v>135</v>
      </c>
      <c r="AG405" t="s">
        <v>135</v>
      </c>
      <c r="AH405" t="s">
        <v>135</v>
      </c>
      <c r="AI405" t="s">
        <v>135</v>
      </c>
      <c r="AJ405" t="s">
        <v>135</v>
      </c>
      <c r="AK405" t="s">
        <v>135</v>
      </c>
      <c r="AL405" t="s">
        <v>135</v>
      </c>
      <c r="AM405" t="s">
        <v>135</v>
      </c>
      <c r="AN405" t="s">
        <v>135</v>
      </c>
      <c r="AO405" t="s">
        <v>135</v>
      </c>
      <c r="AP405" t="s">
        <v>135</v>
      </c>
      <c r="AQ405" t="s">
        <v>135</v>
      </c>
      <c r="AR405" t="s">
        <v>135</v>
      </c>
      <c r="AS405" t="s">
        <v>135</v>
      </c>
      <c r="AT405" t="s">
        <v>135</v>
      </c>
      <c r="AU405" t="s">
        <v>135</v>
      </c>
      <c r="AV405" t="s">
        <v>135</v>
      </c>
      <c r="AW405" t="s">
        <v>135</v>
      </c>
      <c r="AX405" t="s">
        <v>135</v>
      </c>
      <c r="AY405" t="s">
        <v>135</v>
      </c>
      <c r="AZ405" t="s">
        <v>135</v>
      </c>
      <c r="BA405" t="s">
        <v>135</v>
      </c>
      <c r="BB405" t="s">
        <v>135</v>
      </c>
      <c r="BC405" t="s">
        <v>135</v>
      </c>
      <c r="BD405" t="s">
        <v>135</v>
      </c>
      <c r="BE405" t="s">
        <v>135</v>
      </c>
      <c r="BF405" t="s">
        <v>135</v>
      </c>
      <c r="BG405" t="s">
        <v>135</v>
      </c>
      <c r="BH405" t="s">
        <v>135</v>
      </c>
      <c r="BI405" t="s">
        <v>135</v>
      </c>
      <c r="BJ405" t="s">
        <v>135</v>
      </c>
      <c r="BK405" t="s">
        <v>135</v>
      </c>
      <c r="BL405" t="s">
        <v>135</v>
      </c>
      <c r="BM405" t="s">
        <v>135</v>
      </c>
      <c r="BN405" t="s">
        <v>135</v>
      </c>
      <c r="BO405" t="s">
        <v>135</v>
      </c>
      <c r="BP405" t="s">
        <v>135</v>
      </c>
      <c r="BQ405" t="s">
        <v>135</v>
      </c>
      <c r="BR405" t="s">
        <v>135</v>
      </c>
      <c r="BS405" t="s">
        <v>135</v>
      </c>
      <c r="BT405" t="s">
        <v>135</v>
      </c>
      <c r="BU405" t="s">
        <v>135</v>
      </c>
      <c r="BV405" t="s">
        <v>135</v>
      </c>
      <c r="BW405" t="s">
        <v>135</v>
      </c>
      <c r="BX405" t="s">
        <v>135</v>
      </c>
      <c r="BY405" t="s">
        <v>135</v>
      </c>
      <c r="BZ405" t="s">
        <v>135</v>
      </c>
      <c r="CA405" t="s">
        <v>135</v>
      </c>
      <c r="CB405" t="s">
        <v>135</v>
      </c>
      <c r="CC405" t="s">
        <v>135</v>
      </c>
      <c r="CD405" t="s">
        <v>135</v>
      </c>
      <c r="CE405" t="s">
        <v>135</v>
      </c>
      <c r="CF405" t="s">
        <v>135</v>
      </c>
      <c r="CG405" t="s">
        <v>135</v>
      </c>
      <c r="CH405" t="s">
        <v>135</v>
      </c>
      <c r="CI405" t="s">
        <v>135</v>
      </c>
      <c r="CJ405" t="s">
        <v>135</v>
      </c>
      <c r="CK405" t="s">
        <v>135</v>
      </c>
      <c r="CL405" t="s">
        <v>135</v>
      </c>
      <c r="CM405" t="s">
        <v>135</v>
      </c>
      <c r="CN405" t="s">
        <v>135</v>
      </c>
      <c r="CO405" t="s">
        <v>135</v>
      </c>
      <c r="CP405" t="s">
        <v>135</v>
      </c>
      <c r="CQ405" t="s">
        <v>135</v>
      </c>
      <c r="CR405" t="s">
        <v>135</v>
      </c>
      <c r="CS405" t="s">
        <v>135</v>
      </c>
      <c r="CT405" t="s">
        <v>135</v>
      </c>
      <c r="CU405" t="s">
        <v>135</v>
      </c>
      <c r="CV405" t="s">
        <v>135</v>
      </c>
      <c r="CW405" t="s">
        <v>135</v>
      </c>
      <c r="CX405" t="s">
        <v>135</v>
      </c>
      <c r="CY405" t="s">
        <v>135</v>
      </c>
      <c r="CZ405" t="s">
        <v>135</v>
      </c>
      <c r="DA405" t="s">
        <v>135</v>
      </c>
      <c r="DB405" t="s">
        <v>135</v>
      </c>
      <c r="DC405" t="s">
        <v>135</v>
      </c>
      <c r="DD405" t="s">
        <v>135</v>
      </c>
      <c r="DE405" t="s">
        <v>135</v>
      </c>
      <c r="DF405" t="s">
        <v>135</v>
      </c>
      <c r="DG405" t="s">
        <v>135</v>
      </c>
      <c r="DH405" t="s">
        <v>135</v>
      </c>
      <c r="DI405" t="s">
        <v>135</v>
      </c>
    </row>
    <row r="406" spans="1:113" x14ac:dyDescent="0.3">
      <c r="E406" t="s">
        <v>80</v>
      </c>
      <c r="F406" t="s">
        <v>135</v>
      </c>
      <c r="G406" t="s">
        <v>135</v>
      </c>
      <c r="H406" t="s">
        <v>135</v>
      </c>
      <c r="I406" t="s">
        <v>135</v>
      </c>
      <c r="J406" t="s">
        <v>135</v>
      </c>
      <c r="K406" t="s">
        <v>135</v>
      </c>
      <c r="L406" t="s">
        <v>135</v>
      </c>
      <c r="M406" t="s">
        <v>135</v>
      </c>
      <c r="N406" t="s">
        <v>135</v>
      </c>
      <c r="O406" t="s">
        <v>135</v>
      </c>
      <c r="P406" t="s">
        <v>135</v>
      </c>
      <c r="Q406" t="s">
        <v>135</v>
      </c>
      <c r="R406" t="s">
        <v>135</v>
      </c>
      <c r="S406" t="s">
        <v>135</v>
      </c>
      <c r="T406" t="s">
        <v>135</v>
      </c>
      <c r="U406" t="s">
        <v>135</v>
      </c>
      <c r="V406" t="s">
        <v>135</v>
      </c>
      <c r="W406" t="s">
        <v>135</v>
      </c>
      <c r="X406" t="s">
        <v>135</v>
      </c>
      <c r="Y406" t="s">
        <v>135</v>
      </c>
      <c r="Z406" t="s">
        <v>135</v>
      </c>
      <c r="AA406" t="s">
        <v>135</v>
      </c>
      <c r="AB406" t="s">
        <v>135</v>
      </c>
      <c r="AC406" t="s">
        <v>135</v>
      </c>
      <c r="AD406" t="s">
        <v>135</v>
      </c>
      <c r="AE406" t="s">
        <v>135</v>
      </c>
      <c r="AF406" t="s">
        <v>135</v>
      </c>
      <c r="AG406" t="s">
        <v>135</v>
      </c>
      <c r="AH406" t="s">
        <v>135</v>
      </c>
      <c r="AI406" t="s">
        <v>135</v>
      </c>
      <c r="AJ406" t="s">
        <v>135</v>
      </c>
      <c r="AK406" t="s">
        <v>135</v>
      </c>
      <c r="AL406" t="s">
        <v>135</v>
      </c>
      <c r="AM406" t="s">
        <v>135</v>
      </c>
      <c r="AN406" t="s">
        <v>135</v>
      </c>
      <c r="AO406" t="s">
        <v>135</v>
      </c>
      <c r="AP406" t="s">
        <v>135</v>
      </c>
      <c r="AQ406" t="s">
        <v>135</v>
      </c>
      <c r="AR406" t="s">
        <v>135</v>
      </c>
      <c r="AS406" t="s">
        <v>135</v>
      </c>
      <c r="AT406" t="s">
        <v>135</v>
      </c>
      <c r="AU406" t="s">
        <v>135</v>
      </c>
      <c r="AV406" t="s">
        <v>135</v>
      </c>
      <c r="AW406" t="s">
        <v>135</v>
      </c>
      <c r="AX406" t="s">
        <v>135</v>
      </c>
      <c r="AY406" t="s">
        <v>135</v>
      </c>
      <c r="AZ406" t="s">
        <v>135</v>
      </c>
      <c r="BA406" t="s">
        <v>135</v>
      </c>
      <c r="BB406" t="s">
        <v>135</v>
      </c>
      <c r="BC406" t="s">
        <v>135</v>
      </c>
      <c r="BD406" t="s">
        <v>135</v>
      </c>
      <c r="BE406" t="s">
        <v>135</v>
      </c>
      <c r="BF406" t="s">
        <v>135</v>
      </c>
      <c r="BG406" t="s">
        <v>135</v>
      </c>
      <c r="BH406" t="s">
        <v>135</v>
      </c>
      <c r="BI406" t="s">
        <v>135</v>
      </c>
      <c r="BJ406" t="s">
        <v>135</v>
      </c>
      <c r="BK406" t="s">
        <v>135</v>
      </c>
      <c r="BL406" t="s">
        <v>135</v>
      </c>
      <c r="BM406" t="s">
        <v>135</v>
      </c>
      <c r="BN406" t="s">
        <v>135</v>
      </c>
      <c r="BO406" t="s">
        <v>135</v>
      </c>
      <c r="BP406" t="s">
        <v>135</v>
      </c>
      <c r="BQ406" t="s">
        <v>135</v>
      </c>
      <c r="BR406" t="s">
        <v>135</v>
      </c>
      <c r="BS406" t="s">
        <v>135</v>
      </c>
      <c r="BT406" t="s">
        <v>135</v>
      </c>
      <c r="BU406" t="s">
        <v>135</v>
      </c>
      <c r="BV406" t="s">
        <v>135</v>
      </c>
      <c r="BW406" t="s">
        <v>135</v>
      </c>
      <c r="BX406" t="s">
        <v>135</v>
      </c>
      <c r="BY406" t="s">
        <v>135</v>
      </c>
      <c r="BZ406" t="s">
        <v>135</v>
      </c>
      <c r="CA406" t="s">
        <v>135</v>
      </c>
      <c r="CB406" t="s">
        <v>135</v>
      </c>
      <c r="CC406" t="s">
        <v>135</v>
      </c>
      <c r="CD406" t="s">
        <v>135</v>
      </c>
      <c r="CE406" t="s">
        <v>135</v>
      </c>
      <c r="CF406" t="s">
        <v>135</v>
      </c>
      <c r="CG406" t="s">
        <v>135</v>
      </c>
      <c r="CH406" t="s">
        <v>135</v>
      </c>
      <c r="CI406" t="s">
        <v>135</v>
      </c>
      <c r="CJ406" t="s">
        <v>135</v>
      </c>
      <c r="CK406" t="s">
        <v>135</v>
      </c>
      <c r="CL406" t="s">
        <v>135</v>
      </c>
      <c r="CM406" t="s">
        <v>135</v>
      </c>
      <c r="CN406" t="s">
        <v>135</v>
      </c>
      <c r="CO406" t="s">
        <v>135</v>
      </c>
      <c r="CP406" t="s">
        <v>135</v>
      </c>
      <c r="CQ406" t="s">
        <v>135</v>
      </c>
      <c r="CR406" t="s">
        <v>135</v>
      </c>
      <c r="CS406" t="s">
        <v>135</v>
      </c>
      <c r="CT406" t="s">
        <v>135</v>
      </c>
      <c r="CU406" t="s">
        <v>135</v>
      </c>
      <c r="CV406" t="s">
        <v>135</v>
      </c>
      <c r="CW406" t="s">
        <v>135</v>
      </c>
      <c r="CX406" t="s">
        <v>135</v>
      </c>
      <c r="CY406" t="s">
        <v>135</v>
      </c>
      <c r="CZ406" t="s">
        <v>135</v>
      </c>
      <c r="DA406" t="s">
        <v>135</v>
      </c>
      <c r="DB406" t="s">
        <v>135</v>
      </c>
      <c r="DC406" t="s">
        <v>135</v>
      </c>
      <c r="DD406" t="s">
        <v>135</v>
      </c>
      <c r="DE406" t="s">
        <v>135</v>
      </c>
      <c r="DF406" t="s">
        <v>135</v>
      </c>
      <c r="DG406" t="s">
        <v>135</v>
      </c>
      <c r="DH406" t="s">
        <v>135</v>
      </c>
      <c r="DI406" t="s">
        <v>135</v>
      </c>
    </row>
    <row r="407" spans="1:113" x14ac:dyDescent="0.3">
      <c r="E407" t="s">
        <v>81</v>
      </c>
      <c r="F407" t="s">
        <v>135</v>
      </c>
      <c r="G407" t="s">
        <v>135</v>
      </c>
      <c r="H407" t="s">
        <v>135</v>
      </c>
      <c r="I407" t="s">
        <v>135</v>
      </c>
      <c r="J407" t="s">
        <v>135</v>
      </c>
      <c r="K407" t="s">
        <v>135</v>
      </c>
      <c r="L407" t="s">
        <v>135</v>
      </c>
      <c r="M407" t="s">
        <v>135</v>
      </c>
      <c r="N407" t="s">
        <v>135</v>
      </c>
      <c r="O407" t="s">
        <v>135</v>
      </c>
      <c r="P407" t="s">
        <v>135</v>
      </c>
      <c r="Q407" t="s">
        <v>135</v>
      </c>
      <c r="R407" t="s">
        <v>135</v>
      </c>
      <c r="S407" t="s">
        <v>135</v>
      </c>
      <c r="T407" t="s">
        <v>135</v>
      </c>
      <c r="U407" t="s">
        <v>135</v>
      </c>
      <c r="V407" t="s">
        <v>135</v>
      </c>
      <c r="W407" t="s">
        <v>135</v>
      </c>
      <c r="X407" t="s">
        <v>135</v>
      </c>
      <c r="Y407" t="s">
        <v>135</v>
      </c>
      <c r="Z407" t="s">
        <v>135</v>
      </c>
      <c r="AA407" t="s">
        <v>135</v>
      </c>
      <c r="AB407" t="s">
        <v>135</v>
      </c>
      <c r="AC407" t="s">
        <v>135</v>
      </c>
      <c r="AD407" t="s">
        <v>135</v>
      </c>
      <c r="AE407" t="s">
        <v>135</v>
      </c>
      <c r="AF407" t="s">
        <v>135</v>
      </c>
      <c r="AG407" t="s">
        <v>135</v>
      </c>
      <c r="AH407" t="s">
        <v>135</v>
      </c>
      <c r="AI407" t="s">
        <v>135</v>
      </c>
      <c r="AJ407" t="s">
        <v>135</v>
      </c>
      <c r="AK407" t="s">
        <v>135</v>
      </c>
      <c r="AL407" t="s">
        <v>135</v>
      </c>
      <c r="AM407" t="s">
        <v>135</v>
      </c>
      <c r="AN407" t="s">
        <v>135</v>
      </c>
      <c r="AO407" t="s">
        <v>135</v>
      </c>
      <c r="AP407" t="s">
        <v>135</v>
      </c>
      <c r="AQ407" t="s">
        <v>135</v>
      </c>
      <c r="AR407" t="s">
        <v>135</v>
      </c>
      <c r="AS407" t="s">
        <v>135</v>
      </c>
      <c r="AT407" t="s">
        <v>135</v>
      </c>
      <c r="AU407" t="s">
        <v>135</v>
      </c>
      <c r="AV407" t="s">
        <v>135</v>
      </c>
      <c r="AW407" t="s">
        <v>135</v>
      </c>
      <c r="AX407" t="s">
        <v>135</v>
      </c>
      <c r="AY407" t="s">
        <v>135</v>
      </c>
      <c r="AZ407" t="s">
        <v>135</v>
      </c>
      <c r="BA407" t="s">
        <v>135</v>
      </c>
      <c r="BB407" t="s">
        <v>135</v>
      </c>
      <c r="BC407" t="s">
        <v>135</v>
      </c>
      <c r="BD407" t="s">
        <v>135</v>
      </c>
      <c r="BE407" t="s">
        <v>135</v>
      </c>
      <c r="BF407" t="s">
        <v>135</v>
      </c>
      <c r="BG407" t="s">
        <v>135</v>
      </c>
      <c r="BH407" t="s">
        <v>135</v>
      </c>
      <c r="BI407" t="s">
        <v>135</v>
      </c>
      <c r="BJ407" t="s">
        <v>135</v>
      </c>
      <c r="BK407" t="s">
        <v>135</v>
      </c>
      <c r="BL407" t="s">
        <v>135</v>
      </c>
      <c r="BM407" t="s">
        <v>135</v>
      </c>
      <c r="BN407" t="s">
        <v>135</v>
      </c>
      <c r="BO407" t="s">
        <v>135</v>
      </c>
      <c r="BP407" t="s">
        <v>135</v>
      </c>
      <c r="BQ407" t="s">
        <v>135</v>
      </c>
      <c r="BR407" t="s">
        <v>135</v>
      </c>
      <c r="BS407" t="s">
        <v>135</v>
      </c>
      <c r="BT407" t="s">
        <v>135</v>
      </c>
      <c r="BU407" t="s">
        <v>135</v>
      </c>
      <c r="BV407" t="s">
        <v>135</v>
      </c>
      <c r="BW407" t="s">
        <v>135</v>
      </c>
      <c r="BX407" t="s">
        <v>135</v>
      </c>
      <c r="BY407" t="s">
        <v>135</v>
      </c>
      <c r="BZ407" t="s">
        <v>135</v>
      </c>
      <c r="CA407" t="s">
        <v>135</v>
      </c>
      <c r="CB407" t="s">
        <v>135</v>
      </c>
      <c r="CC407" t="s">
        <v>135</v>
      </c>
      <c r="CD407" t="s">
        <v>135</v>
      </c>
      <c r="CE407" t="s">
        <v>135</v>
      </c>
      <c r="CF407" t="s">
        <v>135</v>
      </c>
      <c r="CG407" t="s">
        <v>135</v>
      </c>
      <c r="CH407" t="s">
        <v>135</v>
      </c>
      <c r="CI407" t="s">
        <v>135</v>
      </c>
      <c r="CJ407" t="s">
        <v>135</v>
      </c>
      <c r="CK407" t="s">
        <v>135</v>
      </c>
      <c r="CL407" t="s">
        <v>135</v>
      </c>
      <c r="CM407" t="s">
        <v>135</v>
      </c>
      <c r="CN407" t="s">
        <v>135</v>
      </c>
      <c r="CO407" t="s">
        <v>135</v>
      </c>
      <c r="CP407" t="s">
        <v>135</v>
      </c>
      <c r="CQ407" t="s">
        <v>135</v>
      </c>
      <c r="CR407" t="s">
        <v>135</v>
      </c>
      <c r="CS407" t="s">
        <v>135</v>
      </c>
      <c r="CT407" t="s">
        <v>135</v>
      </c>
      <c r="CU407" t="s">
        <v>135</v>
      </c>
      <c r="CV407" t="s">
        <v>135</v>
      </c>
      <c r="CW407" t="s">
        <v>135</v>
      </c>
      <c r="CX407" t="s">
        <v>135</v>
      </c>
      <c r="CY407" t="s">
        <v>135</v>
      </c>
      <c r="CZ407" t="s">
        <v>135</v>
      </c>
      <c r="DA407" t="s">
        <v>135</v>
      </c>
      <c r="DB407" t="s">
        <v>135</v>
      </c>
      <c r="DC407" t="s">
        <v>135</v>
      </c>
      <c r="DD407" t="s">
        <v>135</v>
      </c>
      <c r="DE407" t="s">
        <v>135</v>
      </c>
      <c r="DF407" t="s">
        <v>135</v>
      </c>
      <c r="DG407" t="s">
        <v>135</v>
      </c>
      <c r="DH407" t="s">
        <v>135</v>
      </c>
      <c r="DI407" t="s">
        <v>135</v>
      </c>
    </row>
    <row r="408" spans="1:113" x14ac:dyDescent="0.3">
      <c r="D408" t="s">
        <v>82</v>
      </c>
      <c r="E408" t="s">
        <v>77</v>
      </c>
      <c r="F408">
        <v>12.8093</v>
      </c>
      <c r="G408">
        <v>2.3755000000000002</v>
      </c>
      <c r="H408" t="s">
        <v>135</v>
      </c>
      <c r="I408" t="s">
        <v>135</v>
      </c>
      <c r="J408" t="s">
        <v>135</v>
      </c>
      <c r="K408">
        <v>9.8521000000000001</v>
      </c>
      <c r="L408">
        <v>24.951899999999998</v>
      </c>
      <c r="M408">
        <v>9.8446999999999996</v>
      </c>
      <c r="N408">
        <v>7.9714999999999998</v>
      </c>
      <c r="O408">
        <v>7.9714999999999998</v>
      </c>
      <c r="P408">
        <v>7.9714999999999998</v>
      </c>
      <c r="Q408">
        <v>19.027200000000001</v>
      </c>
      <c r="R408">
        <v>21.829899999999999</v>
      </c>
      <c r="S408">
        <v>10.0131</v>
      </c>
      <c r="T408">
        <v>21.944700000000001</v>
      </c>
      <c r="U408" t="s">
        <v>135</v>
      </c>
      <c r="V408">
        <v>83.744699999999995</v>
      </c>
      <c r="W408">
        <v>72.371200000000002</v>
      </c>
      <c r="X408">
        <v>72.378299999999996</v>
      </c>
      <c r="Y408">
        <v>36.363599999999998</v>
      </c>
      <c r="Z408" t="s">
        <v>135</v>
      </c>
      <c r="AA408" t="s">
        <v>135</v>
      </c>
      <c r="AB408">
        <v>12.0382</v>
      </c>
      <c r="AC408">
        <v>16.013000000000002</v>
      </c>
      <c r="AD408" t="s">
        <v>135</v>
      </c>
      <c r="AE408" t="s">
        <v>135</v>
      </c>
      <c r="AF408" t="s">
        <v>135</v>
      </c>
      <c r="AG408" t="s">
        <v>135</v>
      </c>
      <c r="AH408" t="s">
        <v>135</v>
      </c>
      <c r="AI408">
        <v>9.7957000000000001</v>
      </c>
      <c r="AJ408">
        <v>9.7957000000000001</v>
      </c>
      <c r="AK408">
        <v>9.7957000000000001</v>
      </c>
      <c r="AL408">
        <v>34.707799999999999</v>
      </c>
      <c r="AM408" t="s">
        <v>135</v>
      </c>
      <c r="AN408" t="s">
        <v>135</v>
      </c>
      <c r="AO408" t="s">
        <v>135</v>
      </c>
      <c r="AP408" t="s">
        <v>135</v>
      </c>
      <c r="AQ408" t="s">
        <v>135</v>
      </c>
      <c r="AR408" t="s">
        <v>135</v>
      </c>
      <c r="AS408" t="s">
        <v>135</v>
      </c>
      <c r="AT408" t="s">
        <v>135</v>
      </c>
      <c r="AU408" t="s">
        <v>135</v>
      </c>
      <c r="AV408" t="s">
        <v>135</v>
      </c>
      <c r="AW408" t="s">
        <v>135</v>
      </c>
      <c r="AX408" t="s">
        <v>135</v>
      </c>
      <c r="AY408" t="s">
        <v>135</v>
      </c>
      <c r="AZ408" t="s">
        <v>135</v>
      </c>
      <c r="BA408" t="s">
        <v>135</v>
      </c>
      <c r="BB408" t="s">
        <v>135</v>
      </c>
      <c r="BC408" t="s">
        <v>135</v>
      </c>
      <c r="BD408" t="s">
        <v>135</v>
      </c>
      <c r="BE408" t="s">
        <v>135</v>
      </c>
      <c r="BF408">
        <v>21.944700000000001</v>
      </c>
      <c r="BG408" t="s">
        <v>135</v>
      </c>
      <c r="BH408">
        <v>83.744699999999995</v>
      </c>
      <c r="BI408">
        <v>72.371200000000002</v>
      </c>
      <c r="BJ408">
        <v>72.378299999999996</v>
      </c>
      <c r="BK408">
        <v>36.363599999999998</v>
      </c>
      <c r="BL408" t="s">
        <v>135</v>
      </c>
      <c r="BM408" t="s">
        <v>135</v>
      </c>
      <c r="BN408">
        <v>12.0382</v>
      </c>
      <c r="BO408">
        <v>16.013000000000002</v>
      </c>
      <c r="BP408" t="s">
        <v>135</v>
      </c>
      <c r="BQ408" t="s">
        <v>135</v>
      </c>
      <c r="BR408" t="s">
        <v>135</v>
      </c>
      <c r="BS408" t="s">
        <v>135</v>
      </c>
      <c r="BT408" t="s">
        <v>135</v>
      </c>
      <c r="BU408">
        <v>9.7957000000000001</v>
      </c>
      <c r="BV408">
        <v>9.7957000000000001</v>
      </c>
      <c r="BW408">
        <v>9.7957000000000001</v>
      </c>
      <c r="BX408" t="s">
        <v>135</v>
      </c>
      <c r="BY408">
        <v>0</v>
      </c>
      <c r="BZ408" t="s">
        <v>135</v>
      </c>
      <c r="CA408">
        <v>0</v>
      </c>
      <c r="CB408" t="s">
        <v>135</v>
      </c>
      <c r="CC408" t="s">
        <v>135</v>
      </c>
      <c r="CD408">
        <v>0</v>
      </c>
      <c r="CE408">
        <v>-4.8574999999999999</v>
      </c>
      <c r="CF408" t="s">
        <v>135</v>
      </c>
      <c r="CG408">
        <v>18.071300000000001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-73.469099999999997</v>
      </c>
      <c r="CO408">
        <v>-276.91930000000002</v>
      </c>
      <c r="CP408" t="s">
        <v>135</v>
      </c>
      <c r="CQ408" t="s">
        <v>135</v>
      </c>
      <c r="CR408">
        <v>16984.57</v>
      </c>
      <c r="CS408" t="s">
        <v>135</v>
      </c>
      <c r="CT408" t="s">
        <v>135</v>
      </c>
      <c r="CU408" t="s">
        <v>135</v>
      </c>
      <c r="CV408" t="s">
        <v>135</v>
      </c>
      <c r="CW408" t="s">
        <v>135</v>
      </c>
      <c r="CX408" t="s">
        <v>135</v>
      </c>
      <c r="CY408" t="s">
        <v>135</v>
      </c>
      <c r="CZ408" t="s">
        <v>135</v>
      </c>
      <c r="DA408" t="s">
        <v>135</v>
      </c>
      <c r="DB408" t="s">
        <v>135</v>
      </c>
      <c r="DC408" t="s">
        <v>135</v>
      </c>
      <c r="DD408" t="s">
        <v>135</v>
      </c>
      <c r="DE408" t="s">
        <v>135</v>
      </c>
      <c r="DF408" t="s">
        <v>135</v>
      </c>
      <c r="DG408" t="s">
        <v>135</v>
      </c>
      <c r="DH408" t="s">
        <v>135</v>
      </c>
      <c r="DI408" t="s">
        <v>135</v>
      </c>
    </row>
    <row r="409" spans="1:113" x14ac:dyDescent="0.3">
      <c r="E409" t="s">
        <v>78</v>
      </c>
      <c r="F409" t="s">
        <v>135</v>
      </c>
      <c r="G409" t="s">
        <v>135</v>
      </c>
      <c r="H409" t="s">
        <v>135</v>
      </c>
      <c r="I409" t="s">
        <v>135</v>
      </c>
      <c r="J409" t="s">
        <v>135</v>
      </c>
      <c r="K409" t="s">
        <v>135</v>
      </c>
      <c r="L409" t="s">
        <v>135</v>
      </c>
      <c r="M409" t="s">
        <v>135</v>
      </c>
      <c r="N409" t="s">
        <v>135</v>
      </c>
      <c r="O409" t="s">
        <v>135</v>
      </c>
      <c r="P409" t="s">
        <v>135</v>
      </c>
      <c r="Q409" t="s">
        <v>135</v>
      </c>
      <c r="R409" t="s">
        <v>135</v>
      </c>
      <c r="S409" t="s">
        <v>135</v>
      </c>
      <c r="T409" t="s">
        <v>135</v>
      </c>
      <c r="U409" t="s">
        <v>135</v>
      </c>
      <c r="V409" t="s">
        <v>135</v>
      </c>
      <c r="W409" t="s">
        <v>135</v>
      </c>
      <c r="X409" t="s">
        <v>135</v>
      </c>
      <c r="Y409" t="s">
        <v>135</v>
      </c>
      <c r="Z409" t="s">
        <v>135</v>
      </c>
      <c r="AA409" t="s">
        <v>135</v>
      </c>
      <c r="AB409" t="s">
        <v>135</v>
      </c>
      <c r="AC409" t="s">
        <v>135</v>
      </c>
      <c r="AD409" t="s">
        <v>135</v>
      </c>
      <c r="AE409" t="s">
        <v>135</v>
      </c>
      <c r="AF409" t="s">
        <v>135</v>
      </c>
      <c r="AG409" t="s">
        <v>135</v>
      </c>
      <c r="AH409" t="s">
        <v>135</v>
      </c>
      <c r="AI409" t="s">
        <v>135</v>
      </c>
      <c r="AJ409" t="s">
        <v>135</v>
      </c>
      <c r="AK409" t="s">
        <v>135</v>
      </c>
      <c r="AL409" t="s">
        <v>135</v>
      </c>
      <c r="AM409" t="s">
        <v>135</v>
      </c>
      <c r="AN409" t="s">
        <v>135</v>
      </c>
      <c r="AO409" t="s">
        <v>135</v>
      </c>
      <c r="AP409" t="s">
        <v>135</v>
      </c>
      <c r="AQ409" t="s">
        <v>135</v>
      </c>
      <c r="AR409" t="s">
        <v>135</v>
      </c>
      <c r="AS409" t="s">
        <v>135</v>
      </c>
      <c r="AT409" t="s">
        <v>135</v>
      </c>
      <c r="AU409" t="s">
        <v>135</v>
      </c>
      <c r="AV409" t="s">
        <v>135</v>
      </c>
      <c r="AW409" t="s">
        <v>135</v>
      </c>
      <c r="AX409" t="s">
        <v>135</v>
      </c>
      <c r="AY409" t="s">
        <v>135</v>
      </c>
      <c r="AZ409" t="s">
        <v>135</v>
      </c>
      <c r="BA409" t="s">
        <v>135</v>
      </c>
      <c r="BB409" t="s">
        <v>135</v>
      </c>
      <c r="BC409" t="s">
        <v>135</v>
      </c>
      <c r="BD409" t="s">
        <v>135</v>
      </c>
      <c r="BE409" t="s">
        <v>135</v>
      </c>
      <c r="BF409" t="s">
        <v>135</v>
      </c>
      <c r="BG409" t="s">
        <v>135</v>
      </c>
      <c r="BH409" t="s">
        <v>135</v>
      </c>
      <c r="BI409" t="s">
        <v>135</v>
      </c>
      <c r="BJ409" t="s">
        <v>135</v>
      </c>
      <c r="BK409" t="s">
        <v>135</v>
      </c>
      <c r="BL409" t="s">
        <v>135</v>
      </c>
      <c r="BM409" t="s">
        <v>135</v>
      </c>
      <c r="BN409" t="s">
        <v>135</v>
      </c>
      <c r="BO409" t="s">
        <v>135</v>
      </c>
      <c r="BP409" t="s">
        <v>135</v>
      </c>
      <c r="BQ409" t="s">
        <v>135</v>
      </c>
      <c r="BR409" t="s">
        <v>135</v>
      </c>
      <c r="BS409" t="s">
        <v>135</v>
      </c>
      <c r="BT409" t="s">
        <v>135</v>
      </c>
      <c r="BU409" t="s">
        <v>135</v>
      </c>
      <c r="BV409" t="s">
        <v>135</v>
      </c>
      <c r="BW409" t="s">
        <v>135</v>
      </c>
      <c r="BX409" t="s">
        <v>135</v>
      </c>
      <c r="BY409" t="s">
        <v>135</v>
      </c>
      <c r="BZ409" t="s">
        <v>135</v>
      </c>
      <c r="CA409" t="s">
        <v>135</v>
      </c>
      <c r="CB409" t="s">
        <v>135</v>
      </c>
      <c r="CC409" t="s">
        <v>135</v>
      </c>
      <c r="CD409" t="s">
        <v>135</v>
      </c>
      <c r="CE409" t="s">
        <v>135</v>
      </c>
      <c r="CF409" t="s">
        <v>135</v>
      </c>
      <c r="CG409" t="s">
        <v>135</v>
      </c>
      <c r="CH409" t="s">
        <v>135</v>
      </c>
      <c r="CI409" t="s">
        <v>135</v>
      </c>
      <c r="CJ409" t="s">
        <v>135</v>
      </c>
      <c r="CK409" t="s">
        <v>135</v>
      </c>
      <c r="CL409" t="s">
        <v>135</v>
      </c>
      <c r="CM409" t="s">
        <v>135</v>
      </c>
      <c r="CN409" t="s">
        <v>135</v>
      </c>
      <c r="CO409" t="s">
        <v>135</v>
      </c>
      <c r="CP409" t="s">
        <v>135</v>
      </c>
      <c r="CQ409" t="s">
        <v>135</v>
      </c>
      <c r="CR409" t="s">
        <v>135</v>
      </c>
      <c r="CS409" t="s">
        <v>135</v>
      </c>
      <c r="CT409" t="s">
        <v>135</v>
      </c>
      <c r="CU409" t="s">
        <v>135</v>
      </c>
      <c r="CV409" t="s">
        <v>135</v>
      </c>
      <c r="CW409" t="s">
        <v>135</v>
      </c>
      <c r="CX409" t="s">
        <v>135</v>
      </c>
      <c r="CY409" t="s">
        <v>135</v>
      </c>
      <c r="CZ409" t="s">
        <v>135</v>
      </c>
      <c r="DA409" t="s">
        <v>135</v>
      </c>
      <c r="DB409" t="s">
        <v>135</v>
      </c>
      <c r="DC409" t="s">
        <v>135</v>
      </c>
      <c r="DD409" t="s">
        <v>135</v>
      </c>
      <c r="DE409" t="s">
        <v>135</v>
      </c>
      <c r="DF409" t="s">
        <v>135</v>
      </c>
      <c r="DG409" t="s">
        <v>135</v>
      </c>
      <c r="DH409" t="s">
        <v>135</v>
      </c>
      <c r="DI409" t="s">
        <v>135</v>
      </c>
    </row>
    <row r="410" spans="1:113" x14ac:dyDescent="0.3">
      <c r="E410" t="s">
        <v>79</v>
      </c>
      <c r="F410" t="s">
        <v>135</v>
      </c>
      <c r="G410" t="s">
        <v>135</v>
      </c>
      <c r="H410" t="s">
        <v>135</v>
      </c>
      <c r="I410" t="s">
        <v>135</v>
      </c>
      <c r="J410" t="s">
        <v>135</v>
      </c>
      <c r="K410" t="s">
        <v>135</v>
      </c>
      <c r="L410" t="s">
        <v>135</v>
      </c>
      <c r="M410" t="s">
        <v>135</v>
      </c>
      <c r="N410" t="s">
        <v>135</v>
      </c>
      <c r="O410" t="s">
        <v>135</v>
      </c>
      <c r="P410" t="s">
        <v>135</v>
      </c>
      <c r="Q410" t="s">
        <v>135</v>
      </c>
      <c r="R410" t="s">
        <v>135</v>
      </c>
      <c r="S410" t="s">
        <v>135</v>
      </c>
      <c r="T410" t="s">
        <v>135</v>
      </c>
      <c r="U410" t="s">
        <v>135</v>
      </c>
      <c r="V410" t="s">
        <v>135</v>
      </c>
      <c r="W410" t="s">
        <v>135</v>
      </c>
      <c r="X410" t="s">
        <v>135</v>
      </c>
      <c r="Y410" t="s">
        <v>135</v>
      </c>
      <c r="Z410" t="s">
        <v>135</v>
      </c>
      <c r="AA410" t="s">
        <v>135</v>
      </c>
      <c r="AB410" t="s">
        <v>135</v>
      </c>
      <c r="AC410" t="s">
        <v>135</v>
      </c>
      <c r="AD410" t="s">
        <v>135</v>
      </c>
      <c r="AE410" t="s">
        <v>135</v>
      </c>
      <c r="AF410" t="s">
        <v>135</v>
      </c>
      <c r="AG410" t="s">
        <v>135</v>
      </c>
      <c r="AH410" t="s">
        <v>135</v>
      </c>
      <c r="AI410" t="s">
        <v>135</v>
      </c>
      <c r="AJ410" t="s">
        <v>135</v>
      </c>
      <c r="AK410" t="s">
        <v>135</v>
      </c>
      <c r="AL410" t="s">
        <v>135</v>
      </c>
      <c r="AM410" t="s">
        <v>135</v>
      </c>
      <c r="AN410" t="s">
        <v>135</v>
      </c>
      <c r="AO410" t="s">
        <v>135</v>
      </c>
      <c r="AP410" t="s">
        <v>135</v>
      </c>
      <c r="AQ410" t="s">
        <v>135</v>
      </c>
      <c r="AR410" t="s">
        <v>135</v>
      </c>
      <c r="AS410" t="s">
        <v>135</v>
      </c>
      <c r="AT410" t="s">
        <v>135</v>
      </c>
      <c r="AU410" t="s">
        <v>135</v>
      </c>
      <c r="AV410" t="s">
        <v>135</v>
      </c>
      <c r="AW410" t="s">
        <v>135</v>
      </c>
      <c r="AX410" t="s">
        <v>135</v>
      </c>
      <c r="AY410" t="s">
        <v>135</v>
      </c>
      <c r="AZ410" t="s">
        <v>135</v>
      </c>
      <c r="BA410" t="s">
        <v>135</v>
      </c>
      <c r="BB410" t="s">
        <v>135</v>
      </c>
      <c r="BC410" t="s">
        <v>135</v>
      </c>
      <c r="BD410" t="s">
        <v>135</v>
      </c>
      <c r="BE410" t="s">
        <v>135</v>
      </c>
      <c r="BF410" t="s">
        <v>135</v>
      </c>
      <c r="BG410" t="s">
        <v>135</v>
      </c>
      <c r="BH410" t="s">
        <v>135</v>
      </c>
      <c r="BI410" t="s">
        <v>135</v>
      </c>
      <c r="BJ410" t="s">
        <v>135</v>
      </c>
      <c r="BK410" t="s">
        <v>135</v>
      </c>
      <c r="BL410" t="s">
        <v>135</v>
      </c>
      <c r="BM410" t="s">
        <v>135</v>
      </c>
      <c r="BN410" t="s">
        <v>135</v>
      </c>
      <c r="BO410" t="s">
        <v>135</v>
      </c>
      <c r="BP410" t="s">
        <v>135</v>
      </c>
      <c r="BQ410" t="s">
        <v>135</v>
      </c>
      <c r="BR410" t="s">
        <v>135</v>
      </c>
      <c r="BS410" t="s">
        <v>135</v>
      </c>
      <c r="BT410" t="s">
        <v>135</v>
      </c>
      <c r="BU410" t="s">
        <v>135</v>
      </c>
      <c r="BV410" t="s">
        <v>135</v>
      </c>
      <c r="BW410" t="s">
        <v>135</v>
      </c>
      <c r="BX410" t="s">
        <v>135</v>
      </c>
      <c r="BY410" t="s">
        <v>135</v>
      </c>
      <c r="BZ410" t="s">
        <v>135</v>
      </c>
      <c r="CA410" t="s">
        <v>135</v>
      </c>
      <c r="CB410" t="s">
        <v>135</v>
      </c>
      <c r="CC410" t="s">
        <v>135</v>
      </c>
      <c r="CD410" t="s">
        <v>135</v>
      </c>
      <c r="CE410" t="s">
        <v>135</v>
      </c>
      <c r="CF410" t="s">
        <v>135</v>
      </c>
      <c r="CG410" t="s">
        <v>135</v>
      </c>
      <c r="CH410" t="s">
        <v>135</v>
      </c>
      <c r="CI410" t="s">
        <v>135</v>
      </c>
      <c r="CJ410" t="s">
        <v>135</v>
      </c>
      <c r="CK410" t="s">
        <v>135</v>
      </c>
      <c r="CL410" t="s">
        <v>135</v>
      </c>
      <c r="CM410" t="s">
        <v>135</v>
      </c>
      <c r="CN410" t="s">
        <v>135</v>
      </c>
      <c r="CO410" t="s">
        <v>135</v>
      </c>
      <c r="CP410" t="s">
        <v>135</v>
      </c>
      <c r="CQ410" t="s">
        <v>135</v>
      </c>
      <c r="CR410" t="s">
        <v>135</v>
      </c>
      <c r="CS410" t="s">
        <v>135</v>
      </c>
      <c r="CT410" t="s">
        <v>135</v>
      </c>
      <c r="CU410" t="s">
        <v>135</v>
      </c>
      <c r="CV410" t="s">
        <v>135</v>
      </c>
      <c r="CW410" t="s">
        <v>135</v>
      </c>
      <c r="CX410" t="s">
        <v>135</v>
      </c>
      <c r="CY410" t="s">
        <v>135</v>
      </c>
      <c r="CZ410" t="s">
        <v>135</v>
      </c>
      <c r="DA410" t="s">
        <v>135</v>
      </c>
      <c r="DB410" t="s">
        <v>135</v>
      </c>
      <c r="DC410" t="s">
        <v>135</v>
      </c>
      <c r="DD410" t="s">
        <v>135</v>
      </c>
      <c r="DE410" t="s">
        <v>135</v>
      </c>
      <c r="DF410" t="s">
        <v>135</v>
      </c>
      <c r="DG410" t="s">
        <v>135</v>
      </c>
      <c r="DH410" t="s">
        <v>135</v>
      </c>
      <c r="DI410" t="s">
        <v>135</v>
      </c>
    </row>
    <row r="411" spans="1:113" x14ac:dyDescent="0.3">
      <c r="E411" t="s">
        <v>80</v>
      </c>
      <c r="F411" t="s">
        <v>135</v>
      </c>
      <c r="G411" t="s">
        <v>135</v>
      </c>
      <c r="H411" t="s">
        <v>135</v>
      </c>
      <c r="I411" t="s">
        <v>135</v>
      </c>
      <c r="J411" t="s">
        <v>135</v>
      </c>
      <c r="K411" t="s">
        <v>135</v>
      </c>
      <c r="L411" t="s">
        <v>135</v>
      </c>
      <c r="M411" t="s">
        <v>135</v>
      </c>
      <c r="N411" t="s">
        <v>135</v>
      </c>
      <c r="O411" t="s">
        <v>135</v>
      </c>
      <c r="P411" t="s">
        <v>135</v>
      </c>
      <c r="Q411" t="s">
        <v>135</v>
      </c>
      <c r="R411" t="s">
        <v>135</v>
      </c>
      <c r="S411" t="s">
        <v>135</v>
      </c>
      <c r="T411" t="s">
        <v>135</v>
      </c>
      <c r="U411" t="s">
        <v>135</v>
      </c>
      <c r="V411" t="s">
        <v>135</v>
      </c>
      <c r="W411" t="s">
        <v>135</v>
      </c>
      <c r="X411" t="s">
        <v>135</v>
      </c>
      <c r="Y411" t="s">
        <v>135</v>
      </c>
      <c r="Z411" t="s">
        <v>135</v>
      </c>
      <c r="AA411" t="s">
        <v>135</v>
      </c>
      <c r="AB411" t="s">
        <v>135</v>
      </c>
      <c r="AC411" t="s">
        <v>135</v>
      </c>
      <c r="AD411" t="s">
        <v>135</v>
      </c>
      <c r="AE411" t="s">
        <v>135</v>
      </c>
      <c r="AF411" t="s">
        <v>135</v>
      </c>
      <c r="AG411" t="s">
        <v>135</v>
      </c>
      <c r="AH411" t="s">
        <v>135</v>
      </c>
      <c r="AI411" t="s">
        <v>135</v>
      </c>
      <c r="AJ411" t="s">
        <v>135</v>
      </c>
      <c r="AK411" t="s">
        <v>135</v>
      </c>
      <c r="AL411" t="s">
        <v>135</v>
      </c>
      <c r="AM411" t="s">
        <v>135</v>
      </c>
      <c r="AN411" t="s">
        <v>135</v>
      </c>
      <c r="AO411" t="s">
        <v>135</v>
      </c>
      <c r="AP411" t="s">
        <v>135</v>
      </c>
      <c r="AQ411" t="s">
        <v>135</v>
      </c>
      <c r="AR411" t="s">
        <v>135</v>
      </c>
      <c r="AS411" t="s">
        <v>135</v>
      </c>
      <c r="AT411" t="s">
        <v>135</v>
      </c>
      <c r="AU411" t="s">
        <v>135</v>
      </c>
      <c r="AV411" t="s">
        <v>135</v>
      </c>
      <c r="AW411" t="s">
        <v>135</v>
      </c>
      <c r="AX411" t="s">
        <v>135</v>
      </c>
      <c r="AY411" t="s">
        <v>135</v>
      </c>
      <c r="AZ411" t="s">
        <v>135</v>
      </c>
      <c r="BA411" t="s">
        <v>135</v>
      </c>
      <c r="BB411" t="s">
        <v>135</v>
      </c>
      <c r="BC411" t="s">
        <v>135</v>
      </c>
      <c r="BD411" t="s">
        <v>135</v>
      </c>
      <c r="BE411" t="s">
        <v>135</v>
      </c>
      <c r="BF411" t="s">
        <v>135</v>
      </c>
      <c r="BG411" t="s">
        <v>135</v>
      </c>
      <c r="BH411" t="s">
        <v>135</v>
      </c>
      <c r="BI411" t="s">
        <v>135</v>
      </c>
      <c r="BJ411" t="s">
        <v>135</v>
      </c>
      <c r="BK411" t="s">
        <v>135</v>
      </c>
      <c r="BL411" t="s">
        <v>135</v>
      </c>
      <c r="BM411" t="s">
        <v>135</v>
      </c>
      <c r="BN411" t="s">
        <v>135</v>
      </c>
      <c r="BO411" t="s">
        <v>135</v>
      </c>
      <c r="BP411" t="s">
        <v>135</v>
      </c>
      <c r="BQ411" t="s">
        <v>135</v>
      </c>
      <c r="BR411" t="s">
        <v>135</v>
      </c>
      <c r="BS411" t="s">
        <v>135</v>
      </c>
      <c r="BT411" t="s">
        <v>135</v>
      </c>
      <c r="BU411" t="s">
        <v>135</v>
      </c>
      <c r="BV411" t="s">
        <v>135</v>
      </c>
      <c r="BW411" t="s">
        <v>135</v>
      </c>
      <c r="BX411" t="s">
        <v>135</v>
      </c>
      <c r="BY411" t="s">
        <v>135</v>
      </c>
      <c r="BZ411" t="s">
        <v>135</v>
      </c>
      <c r="CA411" t="s">
        <v>135</v>
      </c>
      <c r="CB411" t="s">
        <v>135</v>
      </c>
      <c r="CC411" t="s">
        <v>135</v>
      </c>
      <c r="CD411" t="s">
        <v>135</v>
      </c>
      <c r="CE411" t="s">
        <v>135</v>
      </c>
      <c r="CF411" t="s">
        <v>135</v>
      </c>
      <c r="CG411" t="s">
        <v>135</v>
      </c>
      <c r="CH411" t="s">
        <v>135</v>
      </c>
      <c r="CI411" t="s">
        <v>135</v>
      </c>
      <c r="CJ411" t="s">
        <v>135</v>
      </c>
      <c r="CK411" t="s">
        <v>135</v>
      </c>
      <c r="CL411" t="s">
        <v>135</v>
      </c>
      <c r="CM411" t="s">
        <v>135</v>
      </c>
      <c r="CN411" t="s">
        <v>135</v>
      </c>
      <c r="CO411" t="s">
        <v>135</v>
      </c>
      <c r="CP411" t="s">
        <v>135</v>
      </c>
      <c r="CQ411" t="s">
        <v>135</v>
      </c>
      <c r="CR411" t="s">
        <v>135</v>
      </c>
      <c r="CS411" t="s">
        <v>135</v>
      </c>
      <c r="CT411" t="s">
        <v>135</v>
      </c>
      <c r="CU411" t="s">
        <v>135</v>
      </c>
      <c r="CV411" t="s">
        <v>135</v>
      </c>
      <c r="CW411" t="s">
        <v>135</v>
      </c>
      <c r="CX411" t="s">
        <v>135</v>
      </c>
      <c r="CY411" t="s">
        <v>135</v>
      </c>
      <c r="CZ411" t="s">
        <v>135</v>
      </c>
      <c r="DA411" t="s">
        <v>135</v>
      </c>
      <c r="DB411" t="s">
        <v>135</v>
      </c>
      <c r="DC411" t="s">
        <v>135</v>
      </c>
      <c r="DD411" t="s">
        <v>135</v>
      </c>
      <c r="DE411" t="s">
        <v>135</v>
      </c>
      <c r="DF411" t="s">
        <v>135</v>
      </c>
      <c r="DG411" t="s">
        <v>135</v>
      </c>
      <c r="DH411" t="s">
        <v>135</v>
      </c>
      <c r="DI411" t="s">
        <v>135</v>
      </c>
    </row>
    <row r="412" spans="1:113" x14ac:dyDescent="0.3">
      <c r="E412" t="s">
        <v>81</v>
      </c>
      <c r="F412" t="s">
        <v>135</v>
      </c>
      <c r="G412" t="s">
        <v>135</v>
      </c>
      <c r="H412" t="s">
        <v>135</v>
      </c>
      <c r="I412" t="s">
        <v>135</v>
      </c>
      <c r="J412" t="s">
        <v>135</v>
      </c>
      <c r="K412" t="s">
        <v>135</v>
      </c>
      <c r="L412" t="s">
        <v>135</v>
      </c>
      <c r="M412" t="s">
        <v>135</v>
      </c>
      <c r="N412" t="s">
        <v>135</v>
      </c>
      <c r="O412" t="s">
        <v>135</v>
      </c>
      <c r="P412" t="s">
        <v>135</v>
      </c>
      <c r="Q412" t="s">
        <v>135</v>
      </c>
      <c r="R412" t="s">
        <v>135</v>
      </c>
      <c r="S412" t="s">
        <v>135</v>
      </c>
      <c r="T412" t="s">
        <v>135</v>
      </c>
      <c r="U412" t="s">
        <v>135</v>
      </c>
      <c r="V412" t="s">
        <v>135</v>
      </c>
      <c r="W412" t="s">
        <v>135</v>
      </c>
      <c r="X412" t="s">
        <v>135</v>
      </c>
      <c r="Y412" t="s">
        <v>135</v>
      </c>
      <c r="Z412" t="s">
        <v>135</v>
      </c>
      <c r="AA412" t="s">
        <v>135</v>
      </c>
      <c r="AB412" t="s">
        <v>135</v>
      </c>
      <c r="AC412" t="s">
        <v>135</v>
      </c>
      <c r="AD412" t="s">
        <v>135</v>
      </c>
      <c r="AE412" t="s">
        <v>135</v>
      </c>
      <c r="AF412" t="s">
        <v>135</v>
      </c>
      <c r="AG412" t="s">
        <v>135</v>
      </c>
      <c r="AH412" t="s">
        <v>135</v>
      </c>
      <c r="AI412" t="s">
        <v>135</v>
      </c>
      <c r="AJ412" t="s">
        <v>135</v>
      </c>
      <c r="AK412" t="s">
        <v>135</v>
      </c>
      <c r="AL412" t="s">
        <v>135</v>
      </c>
      <c r="AM412" t="s">
        <v>135</v>
      </c>
      <c r="AN412" t="s">
        <v>135</v>
      </c>
      <c r="AO412" t="s">
        <v>135</v>
      </c>
      <c r="AP412" t="s">
        <v>135</v>
      </c>
      <c r="AQ412" t="s">
        <v>135</v>
      </c>
      <c r="AR412" t="s">
        <v>135</v>
      </c>
      <c r="AS412" t="s">
        <v>135</v>
      </c>
      <c r="AT412" t="s">
        <v>135</v>
      </c>
      <c r="AU412" t="s">
        <v>135</v>
      </c>
      <c r="AV412" t="s">
        <v>135</v>
      </c>
      <c r="AW412" t="s">
        <v>135</v>
      </c>
      <c r="AX412" t="s">
        <v>135</v>
      </c>
      <c r="AY412" t="s">
        <v>135</v>
      </c>
      <c r="AZ412" t="s">
        <v>135</v>
      </c>
      <c r="BA412" t="s">
        <v>135</v>
      </c>
      <c r="BB412" t="s">
        <v>135</v>
      </c>
      <c r="BC412" t="s">
        <v>135</v>
      </c>
      <c r="BD412" t="s">
        <v>135</v>
      </c>
      <c r="BE412" t="s">
        <v>135</v>
      </c>
      <c r="BF412" t="s">
        <v>135</v>
      </c>
      <c r="BG412" t="s">
        <v>135</v>
      </c>
      <c r="BH412" t="s">
        <v>135</v>
      </c>
      <c r="BI412" t="s">
        <v>135</v>
      </c>
      <c r="BJ412" t="s">
        <v>135</v>
      </c>
      <c r="BK412" t="s">
        <v>135</v>
      </c>
      <c r="BL412" t="s">
        <v>135</v>
      </c>
      <c r="BM412" t="s">
        <v>135</v>
      </c>
      <c r="BN412" t="s">
        <v>135</v>
      </c>
      <c r="BO412" t="s">
        <v>135</v>
      </c>
      <c r="BP412" t="s">
        <v>135</v>
      </c>
      <c r="BQ412" t="s">
        <v>135</v>
      </c>
      <c r="BR412" t="s">
        <v>135</v>
      </c>
      <c r="BS412" t="s">
        <v>135</v>
      </c>
      <c r="BT412" t="s">
        <v>135</v>
      </c>
      <c r="BU412" t="s">
        <v>135</v>
      </c>
      <c r="BV412" t="s">
        <v>135</v>
      </c>
      <c r="BW412" t="s">
        <v>135</v>
      </c>
      <c r="BX412" t="s">
        <v>135</v>
      </c>
      <c r="BY412" t="s">
        <v>135</v>
      </c>
      <c r="BZ412" t="s">
        <v>135</v>
      </c>
      <c r="CA412" t="s">
        <v>135</v>
      </c>
      <c r="CB412" t="s">
        <v>135</v>
      </c>
      <c r="CC412" t="s">
        <v>135</v>
      </c>
      <c r="CD412" t="s">
        <v>135</v>
      </c>
      <c r="CE412" t="s">
        <v>135</v>
      </c>
      <c r="CF412" t="s">
        <v>135</v>
      </c>
      <c r="CG412" t="s">
        <v>135</v>
      </c>
      <c r="CH412" t="s">
        <v>135</v>
      </c>
      <c r="CI412" t="s">
        <v>135</v>
      </c>
      <c r="CJ412" t="s">
        <v>135</v>
      </c>
      <c r="CK412" t="s">
        <v>135</v>
      </c>
      <c r="CL412" t="s">
        <v>135</v>
      </c>
      <c r="CM412" t="s">
        <v>135</v>
      </c>
      <c r="CN412" t="s">
        <v>135</v>
      </c>
      <c r="CO412" t="s">
        <v>135</v>
      </c>
      <c r="CP412" t="s">
        <v>135</v>
      </c>
      <c r="CQ412" t="s">
        <v>135</v>
      </c>
      <c r="CR412" t="s">
        <v>135</v>
      </c>
      <c r="CS412" t="s">
        <v>135</v>
      </c>
      <c r="CT412" t="s">
        <v>135</v>
      </c>
      <c r="CU412" t="s">
        <v>135</v>
      </c>
      <c r="CV412" t="s">
        <v>135</v>
      </c>
      <c r="CW412" t="s">
        <v>135</v>
      </c>
      <c r="CX412" t="s">
        <v>135</v>
      </c>
      <c r="CY412" t="s">
        <v>135</v>
      </c>
      <c r="CZ412" t="s">
        <v>135</v>
      </c>
      <c r="DA412" t="s">
        <v>135</v>
      </c>
      <c r="DB412" t="s">
        <v>135</v>
      </c>
      <c r="DC412" t="s">
        <v>135</v>
      </c>
      <c r="DD412" t="s">
        <v>135</v>
      </c>
      <c r="DE412" t="s">
        <v>135</v>
      </c>
      <c r="DF412" t="s">
        <v>135</v>
      </c>
      <c r="DG412" t="s">
        <v>135</v>
      </c>
      <c r="DH412" t="s">
        <v>135</v>
      </c>
      <c r="DI412" t="s">
        <v>135</v>
      </c>
    </row>
    <row r="413" spans="1:113" x14ac:dyDescent="0.3">
      <c r="D413" t="s">
        <v>83</v>
      </c>
      <c r="E413" t="s">
        <v>77</v>
      </c>
      <c r="F413">
        <v>8.0465</v>
      </c>
      <c r="G413">
        <v>1.4917</v>
      </c>
      <c r="H413" t="s">
        <v>135</v>
      </c>
      <c r="I413" t="s">
        <v>135</v>
      </c>
      <c r="J413" t="s">
        <v>135</v>
      </c>
      <c r="K413">
        <v>5.4165000000000001</v>
      </c>
      <c r="L413" t="s">
        <v>135</v>
      </c>
      <c r="M413">
        <v>5.4203999999999999</v>
      </c>
      <c r="N413">
        <v>4.8845999999999998</v>
      </c>
      <c r="O413">
        <v>4.8845999999999998</v>
      </c>
      <c r="P413">
        <v>4.8845999999999998</v>
      </c>
      <c r="Q413">
        <v>9.8849999999999998</v>
      </c>
      <c r="R413">
        <v>26.749500000000001</v>
      </c>
      <c r="S413">
        <v>5.8940999999999999</v>
      </c>
      <c r="T413">
        <v>10.9857</v>
      </c>
      <c r="U413" t="s">
        <v>135</v>
      </c>
      <c r="V413">
        <v>-38.981900000000003</v>
      </c>
      <c r="W413">
        <v>-31.992699999999999</v>
      </c>
      <c r="X413">
        <v>-31.9895</v>
      </c>
      <c r="Y413">
        <v>-16.666699999999999</v>
      </c>
      <c r="Z413" t="s">
        <v>135</v>
      </c>
      <c r="AA413" t="s">
        <v>135</v>
      </c>
      <c r="AB413">
        <v>29.739599999999999</v>
      </c>
      <c r="AC413">
        <v>1.6566999999999998</v>
      </c>
      <c r="AD413" t="s">
        <v>135</v>
      </c>
      <c r="AE413" t="s">
        <v>135</v>
      </c>
      <c r="AF413" t="s">
        <v>135</v>
      </c>
      <c r="AG413" t="s">
        <v>135</v>
      </c>
      <c r="AH413" t="s">
        <v>135</v>
      </c>
      <c r="AI413">
        <v>6.8646000000000003</v>
      </c>
      <c r="AJ413">
        <v>6.8646000000000003</v>
      </c>
      <c r="AK413">
        <v>6.8646000000000003</v>
      </c>
      <c r="AL413">
        <v>-68.662599999999998</v>
      </c>
      <c r="AM413" t="s">
        <v>135</v>
      </c>
      <c r="AN413" t="s">
        <v>135</v>
      </c>
      <c r="AO413" t="s">
        <v>135</v>
      </c>
      <c r="AP413" t="s">
        <v>135</v>
      </c>
      <c r="AQ413" t="s">
        <v>135</v>
      </c>
      <c r="AR413" t="s">
        <v>135</v>
      </c>
      <c r="AS413" t="s">
        <v>135</v>
      </c>
      <c r="AT413" t="s">
        <v>135</v>
      </c>
      <c r="AU413" t="s">
        <v>135</v>
      </c>
      <c r="AV413" t="s">
        <v>135</v>
      </c>
      <c r="AW413" t="s">
        <v>135</v>
      </c>
      <c r="AX413" t="s">
        <v>135</v>
      </c>
      <c r="AY413" t="s">
        <v>135</v>
      </c>
      <c r="AZ413" t="s">
        <v>135</v>
      </c>
      <c r="BA413" t="s">
        <v>135</v>
      </c>
      <c r="BB413" t="s">
        <v>135</v>
      </c>
      <c r="BC413" t="s">
        <v>135</v>
      </c>
      <c r="BD413" t="s">
        <v>135</v>
      </c>
      <c r="BE413" t="s">
        <v>135</v>
      </c>
      <c r="BF413">
        <v>10.9857</v>
      </c>
      <c r="BG413" t="s">
        <v>135</v>
      </c>
      <c r="BH413">
        <v>-38.981900000000003</v>
      </c>
      <c r="BI413">
        <v>-31.992699999999999</v>
      </c>
      <c r="BJ413">
        <v>-31.9895</v>
      </c>
      <c r="BK413">
        <v>-16.666699999999999</v>
      </c>
      <c r="BL413" t="s">
        <v>135</v>
      </c>
      <c r="BM413" t="s">
        <v>135</v>
      </c>
      <c r="BN413">
        <v>29.739599999999999</v>
      </c>
      <c r="BO413">
        <v>1.6566999999999998</v>
      </c>
      <c r="BP413" t="s">
        <v>135</v>
      </c>
      <c r="BQ413" t="s">
        <v>135</v>
      </c>
      <c r="BR413" t="s">
        <v>135</v>
      </c>
      <c r="BS413" t="s">
        <v>135</v>
      </c>
      <c r="BT413" t="s">
        <v>135</v>
      </c>
      <c r="BU413">
        <v>6.8646000000000003</v>
      </c>
      <c r="BV413">
        <v>6.8646000000000003</v>
      </c>
      <c r="BW413">
        <v>6.8646000000000003</v>
      </c>
      <c r="BX413" t="s">
        <v>135</v>
      </c>
      <c r="BY413">
        <v>0</v>
      </c>
      <c r="BZ413" t="s">
        <v>135</v>
      </c>
      <c r="CA413">
        <v>0</v>
      </c>
      <c r="CB413" t="s">
        <v>135</v>
      </c>
      <c r="CC413" t="s">
        <v>135</v>
      </c>
      <c r="CD413">
        <v>0</v>
      </c>
      <c r="CE413">
        <v>-6.8342000000000001</v>
      </c>
      <c r="CF413" t="s">
        <v>135</v>
      </c>
      <c r="CG413">
        <v>18.9971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-59.021000000000001</v>
      </c>
      <c r="CO413">
        <v>-144.02719999999999</v>
      </c>
      <c r="CP413" t="s">
        <v>135</v>
      </c>
      <c r="CQ413" t="s">
        <v>135</v>
      </c>
      <c r="CR413">
        <v>10363.66</v>
      </c>
      <c r="CS413" t="s">
        <v>135</v>
      </c>
      <c r="CT413" t="s">
        <v>135</v>
      </c>
      <c r="CU413" t="s">
        <v>135</v>
      </c>
      <c r="CV413" t="s">
        <v>135</v>
      </c>
      <c r="CW413" t="s">
        <v>135</v>
      </c>
      <c r="CX413" t="s">
        <v>135</v>
      </c>
      <c r="CY413" t="s">
        <v>135</v>
      </c>
      <c r="CZ413" t="s">
        <v>135</v>
      </c>
      <c r="DA413" t="s">
        <v>135</v>
      </c>
      <c r="DB413" t="s">
        <v>135</v>
      </c>
      <c r="DC413" t="s">
        <v>135</v>
      </c>
      <c r="DD413" t="s">
        <v>135</v>
      </c>
      <c r="DE413" t="s">
        <v>135</v>
      </c>
      <c r="DF413" t="s">
        <v>135</v>
      </c>
      <c r="DG413" t="s">
        <v>135</v>
      </c>
      <c r="DH413" t="s">
        <v>135</v>
      </c>
      <c r="DI413" t="s">
        <v>135</v>
      </c>
    </row>
    <row r="414" spans="1:113" x14ac:dyDescent="0.3">
      <c r="E414" t="s">
        <v>78</v>
      </c>
      <c r="F414" t="s">
        <v>135</v>
      </c>
      <c r="G414" t="s">
        <v>135</v>
      </c>
      <c r="H414" t="s">
        <v>135</v>
      </c>
      <c r="I414" t="s">
        <v>135</v>
      </c>
      <c r="J414" t="s">
        <v>135</v>
      </c>
      <c r="K414" t="s">
        <v>135</v>
      </c>
      <c r="L414" t="s">
        <v>135</v>
      </c>
      <c r="M414" t="s">
        <v>135</v>
      </c>
      <c r="N414" t="s">
        <v>135</v>
      </c>
      <c r="O414" t="s">
        <v>135</v>
      </c>
      <c r="P414" t="s">
        <v>135</v>
      </c>
      <c r="Q414" t="s">
        <v>135</v>
      </c>
      <c r="R414" t="s">
        <v>135</v>
      </c>
      <c r="S414" t="s">
        <v>135</v>
      </c>
      <c r="T414" t="s">
        <v>135</v>
      </c>
      <c r="U414" t="s">
        <v>135</v>
      </c>
      <c r="V414" t="s">
        <v>135</v>
      </c>
      <c r="W414" t="s">
        <v>135</v>
      </c>
      <c r="X414" t="s">
        <v>135</v>
      </c>
      <c r="Y414" t="s">
        <v>135</v>
      </c>
      <c r="Z414" t="s">
        <v>135</v>
      </c>
      <c r="AA414" t="s">
        <v>135</v>
      </c>
      <c r="AB414" t="s">
        <v>135</v>
      </c>
      <c r="AC414" t="s">
        <v>135</v>
      </c>
      <c r="AD414" t="s">
        <v>135</v>
      </c>
      <c r="AE414" t="s">
        <v>135</v>
      </c>
      <c r="AF414" t="s">
        <v>135</v>
      </c>
      <c r="AG414" t="s">
        <v>135</v>
      </c>
      <c r="AH414" t="s">
        <v>135</v>
      </c>
      <c r="AI414" t="s">
        <v>135</v>
      </c>
      <c r="AJ414" t="s">
        <v>135</v>
      </c>
      <c r="AK414" t="s">
        <v>135</v>
      </c>
      <c r="AL414" t="s">
        <v>135</v>
      </c>
      <c r="AM414" t="s">
        <v>135</v>
      </c>
      <c r="AN414" t="s">
        <v>135</v>
      </c>
      <c r="AO414" t="s">
        <v>135</v>
      </c>
      <c r="AP414" t="s">
        <v>135</v>
      </c>
      <c r="AQ414" t="s">
        <v>135</v>
      </c>
      <c r="AR414" t="s">
        <v>135</v>
      </c>
      <c r="AS414" t="s">
        <v>135</v>
      </c>
      <c r="AT414" t="s">
        <v>135</v>
      </c>
      <c r="AU414" t="s">
        <v>135</v>
      </c>
      <c r="AV414" t="s">
        <v>135</v>
      </c>
      <c r="AW414" t="s">
        <v>135</v>
      </c>
      <c r="AX414" t="s">
        <v>135</v>
      </c>
      <c r="AY414" t="s">
        <v>135</v>
      </c>
      <c r="AZ414" t="s">
        <v>135</v>
      </c>
      <c r="BA414" t="s">
        <v>135</v>
      </c>
      <c r="BB414" t="s">
        <v>135</v>
      </c>
      <c r="BC414" t="s">
        <v>135</v>
      </c>
      <c r="BD414" t="s">
        <v>135</v>
      </c>
      <c r="BE414" t="s">
        <v>135</v>
      </c>
      <c r="BF414" t="s">
        <v>135</v>
      </c>
      <c r="BG414" t="s">
        <v>135</v>
      </c>
      <c r="BH414" t="s">
        <v>135</v>
      </c>
      <c r="BI414" t="s">
        <v>135</v>
      </c>
      <c r="BJ414" t="s">
        <v>135</v>
      </c>
      <c r="BK414" t="s">
        <v>135</v>
      </c>
      <c r="BL414" t="s">
        <v>135</v>
      </c>
      <c r="BM414" t="s">
        <v>135</v>
      </c>
      <c r="BN414" t="s">
        <v>135</v>
      </c>
      <c r="BO414" t="s">
        <v>135</v>
      </c>
      <c r="BP414" t="s">
        <v>135</v>
      </c>
      <c r="BQ414" t="s">
        <v>135</v>
      </c>
      <c r="BR414" t="s">
        <v>135</v>
      </c>
      <c r="BS414" t="s">
        <v>135</v>
      </c>
      <c r="BT414" t="s">
        <v>135</v>
      </c>
      <c r="BU414" t="s">
        <v>135</v>
      </c>
      <c r="BV414" t="s">
        <v>135</v>
      </c>
      <c r="BW414" t="s">
        <v>135</v>
      </c>
      <c r="BX414" t="s">
        <v>135</v>
      </c>
      <c r="BY414" t="s">
        <v>135</v>
      </c>
      <c r="BZ414" t="s">
        <v>135</v>
      </c>
      <c r="CA414" t="s">
        <v>135</v>
      </c>
      <c r="CB414" t="s">
        <v>135</v>
      </c>
      <c r="CC414" t="s">
        <v>135</v>
      </c>
      <c r="CD414" t="s">
        <v>135</v>
      </c>
      <c r="CE414" t="s">
        <v>135</v>
      </c>
      <c r="CF414" t="s">
        <v>135</v>
      </c>
      <c r="CG414" t="s">
        <v>135</v>
      </c>
      <c r="CH414" t="s">
        <v>135</v>
      </c>
      <c r="CI414" t="s">
        <v>135</v>
      </c>
      <c r="CJ414" t="s">
        <v>135</v>
      </c>
      <c r="CK414" t="s">
        <v>135</v>
      </c>
      <c r="CL414" t="s">
        <v>135</v>
      </c>
      <c r="CM414" t="s">
        <v>135</v>
      </c>
      <c r="CN414" t="s">
        <v>135</v>
      </c>
      <c r="CO414" t="s">
        <v>135</v>
      </c>
      <c r="CP414" t="s">
        <v>135</v>
      </c>
      <c r="CQ414" t="s">
        <v>135</v>
      </c>
      <c r="CR414" t="s">
        <v>135</v>
      </c>
      <c r="CS414" t="s">
        <v>135</v>
      </c>
      <c r="CT414" t="s">
        <v>135</v>
      </c>
      <c r="CU414" t="s">
        <v>135</v>
      </c>
      <c r="CV414" t="s">
        <v>135</v>
      </c>
      <c r="CW414" t="s">
        <v>135</v>
      </c>
      <c r="CX414" t="s">
        <v>135</v>
      </c>
      <c r="CY414" t="s">
        <v>135</v>
      </c>
      <c r="CZ414" t="s">
        <v>135</v>
      </c>
      <c r="DA414" t="s">
        <v>135</v>
      </c>
      <c r="DB414" t="s">
        <v>135</v>
      </c>
      <c r="DC414" t="s">
        <v>135</v>
      </c>
      <c r="DD414" t="s">
        <v>135</v>
      </c>
      <c r="DE414" t="s">
        <v>135</v>
      </c>
      <c r="DF414" t="s">
        <v>135</v>
      </c>
      <c r="DG414" t="s">
        <v>135</v>
      </c>
      <c r="DH414" t="s">
        <v>135</v>
      </c>
      <c r="DI414" t="s">
        <v>135</v>
      </c>
    </row>
    <row r="415" spans="1:113" x14ac:dyDescent="0.3">
      <c r="E415" t="s">
        <v>79</v>
      </c>
      <c r="F415" t="s">
        <v>135</v>
      </c>
      <c r="G415" t="s">
        <v>135</v>
      </c>
      <c r="H415" t="s">
        <v>135</v>
      </c>
      <c r="I415" t="s">
        <v>135</v>
      </c>
      <c r="J415" t="s">
        <v>135</v>
      </c>
      <c r="K415" t="s">
        <v>135</v>
      </c>
      <c r="L415" t="s">
        <v>135</v>
      </c>
      <c r="M415" t="s">
        <v>135</v>
      </c>
      <c r="N415" t="s">
        <v>135</v>
      </c>
      <c r="O415" t="s">
        <v>135</v>
      </c>
      <c r="P415" t="s">
        <v>135</v>
      </c>
      <c r="Q415" t="s">
        <v>135</v>
      </c>
      <c r="R415" t="s">
        <v>135</v>
      </c>
      <c r="S415" t="s">
        <v>135</v>
      </c>
      <c r="T415" t="s">
        <v>135</v>
      </c>
      <c r="U415" t="s">
        <v>135</v>
      </c>
      <c r="V415" t="s">
        <v>135</v>
      </c>
      <c r="W415" t="s">
        <v>135</v>
      </c>
      <c r="X415" t="s">
        <v>135</v>
      </c>
      <c r="Y415" t="s">
        <v>135</v>
      </c>
      <c r="Z415" t="s">
        <v>135</v>
      </c>
      <c r="AA415" t="s">
        <v>135</v>
      </c>
      <c r="AB415" t="s">
        <v>135</v>
      </c>
      <c r="AC415" t="s">
        <v>135</v>
      </c>
      <c r="AD415" t="s">
        <v>135</v>
      </c>
      <c r="AE415" t="s">
        <v>135</v>
      </c>
      <c r="AF415" t="s">
        <v>135</v>
      </c>
      <c r="AG415" t="s">
        <v>135</v>
      </c>
      <c r="AH415" t="s">
        <v>135</v>
      </c>
      <c r="AI415" t="s">
        <v>135</v>
      </c>
      <c r="AJ415" t="s">
        <v>135</v>
      </c>
      <c r="AK415" t="s">
        <v>135</v>
      </c>
      <c r="AL415" t="s">
        <v>135</v>
      </c>
      <c r="AM415" t="s">
        <v>135</v>
      </c>
      <c r="AN415" t="s">
        <v>135</v>
      </c>
      <c r="AO415" t="s">
        <v>135</v>
      </c>
      <c r="AP415" t="s">
        <v>135</v>
      </c>
      <c r="AQ415" t="s">
        <v>135</v>
      </c>
      <c r="AR415" t="s">
        <v>135</v>
      </c>
      <c r="AS415" t="s">
        <v>135</v>
      </c>
      <c r="AT415" t="s">
        <v>135</v>
      </c>
      <c r="AU415" t="s">
        <v>135</v>
      </c>
      <c r="AV415" t="s">
        <v>135</v>
      </c>
      <c r="AW415" t="s">
        <v>135</v>
      </c>
      <c r="AX415" t="s">
        <v>135</v>
      </c>
      <c r="AY415" t="s">
        <v>135</v>
      </c>
      <c r="AZ415" t="s">
        <v>135</v>
      </c>
      <c r="BA415" t="s">
        <v>135</v>
      </c>
      <c r="BB415" t="s">
        <v>135</v>
      </c>
      <c r="BC415" t="s">
        <v>135</v>
      </c>
      <c r="BD415" t="s">
        <v>135</v>
      </c>
      <c r="BE415" t="s">
        <v>135</v>
      </c>
      <c r="BF415" t="s">
        <v>135</v>
      </c>
      <c r="BG415" t="s">
        <v>135</v>
      </c>
      <c r="BH415" t="s">
        <v>135</v>
      </c>
      <c r="BI415" t="s">
        <v>135</v>
      </c>
      <c r="BJ415" t="s">
        <v>135</v>
      </c>
      <c r="BK415" t="s">
        <v>135</v>
      </c>
      <c r="BL415" t="s">
        <v>135</v>
      </c>
      <c r="BM415" t="s">
        <v>135</v>
      </c>
      <c r="BN415" t="s">
        <v>135</v>
      </c>
      <c r="BO415" t="s">
        <v>135</v>
      </c>
      <c r="BP415" t="s">
        <v>135</v>
      </c>
      <c r="BQ415" t="s">
        <v>135</v>
      </c>
      <c r="BR415" t="s">
        <v>135</v>
      </c>
      <c r="BS415" t="s">
        <v>135</v>
      </c>
      <c r="BT415" t="s">
        <v>135</v>
      </c>
      <c r="BU415" t="s">
        <v>135</v>
      </c>
      <c r="BV415" t="s">
        <v>135</v>
      </c>
      <c r="BW415" t="s">
        <v>135</v>
      </c>
      <c r="BX415" t="s">
        <v>135</v>
      </c>
      <c r="BY415" t="s">
        <v>135</v>
      </c>
      <c r="BZ415" t="s">
        <v>135</v>
      </c>
      <c r="CA415" t="s">
        <v>135</v>
      </c>
      <c r="CB415" t="s">
        <v>135</v>
      </c>
      <c r="CC415" t="s">
        <v>135</v>
      </c>
      <c r="CD415" t="s">
        <v>135</v>
      </c>
      <c r="CE415" t="s">
        <v>135</v>
      </c>
      <c r="CF415" t="s">
        <v>135</v>
      </c>
      <c r="CG415" t="s">
        <v>135</v>
      </c>
      <c r="CH415" t="s">
        <v>135</v>
      </c>
      <c r="CI415" t="s">
        <v>135</v>
      </c>
      <c r="CJ415" t="s">
        <v>135</v>
      </c>
      <c r="CK415" t="s">
        <v>135</v>
      </c>
      <c r="CL415" t="s">
        <v>135</v>
      </c>
      <c r="CM415" t="s">
        <v>135</v>
      </c>
      <c r="CN415" t="s">
        <v>135</v>
      </c>
      <c r="CO415" t="s">
        <v>135</v>
      </c>
      <c r="CP415" t="s">
        <v>135</v>
      </c>
      <c r="CQ415" t="s">
        <v>135</v>
      </c>
      <c r="CR415" t="s">
        <v>135</v>
      </c>
      <c r="CS415" t="s">
        <v>135</v>
      </c>
      <c r="CT415" t="s">
        <v>135</v>
      </c>
      <c r="CU415" t="s">
        <v>135</v>
      </c>
      <c r="CV415" t="s">
        <v>135</v>
      </c>
      <c r="CW415" t="s">
        <v>135</v>
      </c>
      <c r="CX415" t="s">
        <v>135</v>
      </c>
      <c r="CY415" t="s">
        <v>135</v>
      </c>
      <c r="CZ415" t="s">
        <v>135</v>
      </c>
      <c r="DA415" t="s">
        <v>135</v>
      </c>
      <c r="DB415" t="s">
        <v>135</v>
      </c>
      <c r="DC415" t="s">
        <v>135</v>
      </c>
      <c r="DD415" t="s">
        <v>135</v>
      </c>
      <c r="DE415" t="s">
        <v>135</v>
      </c>
      <c r="DF415" t="s">
        <v>135</v>
      </c>
      <c r="DG415" t="s">
        <v>135</v>
      </c>
      <c r="DH415" t="s">
        <v>135</v>
      </c>
      <c r="DI415" t="s">
        <v>135</v>
      </c>
    </row>
    <row r="416" spans="1:113" x14ac:dyDescent="0.3">
      <c r="E416" t="s">
        <v>80</v>
      </c>
      <c r="F416" t="s">
        <v>135</v>
      </c>
      <c r="G416" t="s">
        <v>135</v>
      </c>
      <c r="H416" t="s">
        <v>135</v>
      </c>
      <c r="I416" t="s">
        <v>135</v>
      </c>
      <c r="J416" t="s">
        <v>135</v>
      </c>
      <c r="K416" t="s">
        <v>135</v>
      </c>
      <c r="L416" t="s">
        <v>135</v>
      </c>
      <c r="M416" t="s">
        <v>135</v>
      </c>
      <c r="N416" t="s">
        <v>135</v>
      </c>
      <c r="O416" t="s">
        <v>135</v>
      </c>
      <c r="P416" t="s">
        <v>135</v>
      </c>
      <c r="Q416" t="s">
        <v>135</v>
      </c>
      <c r="R416" t="s">
        <v>135</v>
      </c>
      <c r="S416" t="s">
        <v>135</v>
      </c>
      <c r="T416" t="s">
        <v>135</v>
      </c>
      <c r="U416" t="s">
        <v>135</v>
      </c>
      <c r="V416" t="s">
        <v>135</v>
      </c>
      <c r="W416" t="s">
        <v>135</v>
      </c>
      <c r="X416" t="s">
        <v>135</v>
      </c>
      <c r="Y416" t="s">
        <v>135</v>
      </c>
      <c r="Z416" t="s">
        <v>135</v>
      </c>
      <c r="AA416" t="s">
        <v>135</v>
      </c>
      <c r="AB416" t="s">
        <v>135</v>
      </c>
      <c r="AC416" t="s">
        <v>135</v>
      </c>
      <c r="AD416" t="s">
        <v>135</v>
      </c>
      <c r="AE416" t="s">
        <v>135</v>
      </c>
      <c r="AF416" t="s">
        <v>135</v>
      </c>
      <c r="AG416" t="s">
        <v>135</v>
      </c>
      <c r="AH416" t="s">
        <v>135</v>
      </c>
      <c r="AI416" t="s">
        <v>135</v>
      </c>
      <c r="AJ416" t="s">
        <v>135</v>
      </c>
      <c r="AK416" t="s">
        <v>135</v>
      </c>
      <c r="AL416" t="s">
        <v>135</v>
      </c>
      <c r="AM416" t="s">
        <v>135</v>
      </c>
      <c r="AN416" t="s">
        <v>135</v>
      </c>
      <c r="AO416" t="s">
        <v>135</v>
      </c>
      <c r="AP416" t="s">
        <v>135</v>
      </c>
      <c r="AQ416" t="s">
        <v>135</v>
      </c>
      <c r="AR416" t="s">
        <v>135</v>
      </c>
      <c r="AS416" t="s">
        <v>135</v>
      </c>
      <c r="AT416" t="s">
        <v>135</v>
      </c>
      <c r="AU416" t="s">
        <v>135</v>
      </c>
      <c r="AV416" t="s">
        <v>135</v>
      </c>
      <c r="AW416" t="s">
        <v>135</v>
      </c>
      <c r="AX416" t="s">
        <v>135</v>
      </c>
      <c r="AY416" t="s">
        <v>135</v>
      </c>
      <c r="AZ416" t="s">
        <v>135</v>
      </c>
      <c r="BA416" t="s">
        <v>135</v>
      </c>
      <c r="BB416" t="s">
        <v>135</v>
      </c>
      <c r="BC416" t="s">
        <v>135</v>
      </c>
      <c r="BD416" t="s">
        <v>135</v>
      </c>
      <c r="BE416" t="s">
        <v>135</v>
      </c>
      <c r="BF416" t="s">
        <v>135</v>
      </c>
      <c r="BG416" t="s">
        <v>135</v>
      </c>
      <c r="BH416" t="s">
        <v>135</v>
      </c>
      <c r="BI416" t="s">
        <v>135</v>
      </c>
      <c r="BJ416" t="s">
        <v>135</v>
      </c>
      <c r="BK416" t="s">
        <v>135</v>
      </c>
      <c r="BL416" t="s">
        <v>135</v>
      </c>
      <c r="BM416" t="s">
        <v>135</v>
      </c>
      <c r="BN416" t="s">
        <v>135</v>
      </c>
      <c r="BO416" t="s">
        <v>135</v>
      </c>
      <c r="BP416" t="s">
        <v>135</v>
      </c>
      <c r="BQ416" t="s">
        <v>135</v>
      </c>
      <c r="BR416" t="s">
        <v>135</v>
      </c>
      <c r="BS416" t="s">
        <v>135</v>
      </c>
      <c r="BT416" t="s">
        <v>135</v>
      </c>
      <c r="BU416" t="s">
        <v>135</v>
      </c>
      <c r="BV416" t="s">
        <v>135</v>
      </c>
      <c r="BW416" t="s">
        <v>135</v>
      </c>
      <c r="BX416" t="s">
        <v>135</v>
      </c>
      <c r="BY416" t="s">
        <v>135</v>
      </c>
      <c r="BZ416" t="s">
        <v>135</v>
      </c>
      <c r="CA416" t="s">
        <v>135</v>
      </c>
      <c r="CB416" t="s">
        <v>135</v>
      </c>
      <c r="CC416" t="s">
        <v>135</v>
      </c>
      <c r="CD416" t="s">
        <v>135</v>
      </c>
      <c r="CE416" t="s">
        <v>135</v>
      </c>
      <c r="CF416" t="s">
        <v>135</v>
      </c>
      <c r="CG416" t="s">
        <v>135</v>
      </c>
      <c r="CH416" t="s">
        <v>135</v>
      </c>
      <c r="CI416" t="s">
        <v>135</v>
      </c>
      <c r="CJ416" t="s">
        <v>135</v>
      </c>
      <c r="CK416" t="s">
        <v>135</v>
      </c>
      <c r="CL416" t="s">
        <v>135</v>
      </c>
      <c r="CM416" t="s">
        <v>135</v>
      </c>
      <c r="CN416" t="s">
        <v>135</v>
      </c>
      <c r="CO416" t="s">
        <v>135</v>
      </c>
      <c r="CP416" t="s">
        <v>135</v>
      </c>
      <c r="CQ416" t="s">
        <v>135</v>
      </c>
      <c r="CR416" t="s">
        <v>135</v>
      </c>
      <c r="CS416" t="s">
        <v>135</v>
      </c>
      <c r="CT416" t="s">
        <v>135</v>
      </c>
      <c r="CU416" t="s">
        <v>135</v>
      </c>
      <c r="CV416" t="s">
        <v>135</v>
      </c>
      <c r="CW416" t="s">
        <v>135</v>
      </c>
      <c r="CX416" t="s">
        <v>135</v>
      </c>
      <c r="CY416" t="s">
        <v>135</v>
      </c>
      <c r="CZ416" t="s">
        <v>135</v>
      </c>
      <c r="DA416" t="s">
        <v>135</v>
      </c>
      <c r="DB416" t="s">
        <v>135</v>
      </c>
      <c r="DC416" t="s">
        <v>135</v>
      </c>
      <c r="DD416" t="s">
        <v>135</v>
      </c>
      <c r="DE416" t="s">
        <v>135</v>
      </c>
      <c r="DF416" t="s">
        <v>135</v>
      </c>
      <c r="DG416" t="s">
        <v>135</v>
      </c>
      <c r="DH416" t="s">
        <v>135</v>
      </c>
      <c r="DI416" t="s">
        <v>135</v>
      </c>
    </row>
    <row r="417" spans="1:113" x14ac:dyDescent="0.3">
      <c r="E417" t="s">
        <v>81</v>
      </c>
      <c r="F417" t="s">
        <v>135</v>
      </c>
      <c r="G417" t="s">
        <v>135</v>
      </c>
      <c r="H417" t="s">
        <v>135</v>
      </c>
      <c r="I417" t="s">
        <v>135</v>
      </c>
      <c r="J417" t="s">
        <v>135</v>
      </c>
      <c r="K417" t="s">
        <v>135</v>
      </c>
      <c r="L417" t="s">
        <v>135</v>
      </c>
      <c r="M417" t="s">
        <v>135</v>
      </c>
      <c r="N417" t="s">
        <v>135</v>
      </c>
      <c r="O417" t="s">
        <v>135</v>
      </c>
      <c r="P417" t="s">
        <v>135</v>
      </c>
      <c r="Q417" t="s">
        <v>135</v>
      </c>
      <c r="R417" t="s">
        <v>135</v>
      </c>
      <c r="S417" t="s">
        <v>135</v>
      </c>
      <c r="T417" t="s">
        <v>135</v>
      </c>
      <c r="U417" t="s">
        <v>135</v>
      </c>
      <c r="V417" t="s">
        <v>135</v>
      </c>
      <c r="W417" t="s">
        <v>135</v>
      </c>
      <c r="X417" t="s">
        <v>135</v>
      </c>
      <c r="Y417" t="s">
        <v>135</v>
      </c>
      <c r="Z417" t="s">
        <v>135</v>
      </c>
      <c r="AA417" t="s">
        <v>135</v>
      </c>
      <c r="AB417" t="s">
        <v>135</v>
      </c>
      <c r="AC417" t="s">
        <v>135</v>
      </c>
      <c r="AD417" t="s">
        <v>135</v>
      </c>
      <c r="AE417" t="s">
        <v>135</v>
      </c>
      <c r="AF417" t="s">
        <v>135</v>
      </c>
      <c r="AG417" t="s">
        <v>135</v>
      </c>
      <c r="AH417" t="s">
        <v>135</v>
      </c>
      <c r="AI417" t="s">
        <v>135</v>
      </c>
      <c r="AJ417" t="s">
        <v>135</v>
      </c>
      <c r="AK417" t="s">
        <v>135</v>
      </c>
      <c r="AL417" t="s">
        <v>135</v>
      </c>
      <c r="AM417" t="s">
        <v>135</v>
      </c>
      <c r="AN417" t="s">
        <v>135</v>
      </c>
      <c r="AO417" t="s">
        <v>135</v>
      </c>
      <c r="AP417" t="s">
        <v>135</v>
      </c>
      <c r="AQ417" t="s">
        <v>135</v>
      </c>
      <c r="AR417" t="s">
        <v>135</v>
      </c>
      <c r="AS417" t="s">
        <v>135</v>
      </c>
      <c r="AT417" t="s">
        <v>135</v>
      </c>
      <c r="AU417" t="s">
        <v>135</v>
      </c>
      <c r="AV417" t="s">
        <v>135</v>
      </c>
      <c r="AW417" t="s">
        <v>135</v>
      </c>
      <c r="AX417" t="s">
        <v>135</v>
      </c>
      <c r="AY417" t="s">
        <v>135</v>
      </c>
      <c r="AZ417" t="s">
        <v>135</v>
      </c>
      <c r="BA417" t="s">
        <v>135</v>
      </c>
      <c r="BB417" t="s">
        <v>135</v>
      </c>
      <c r="BC417" t="s">
        <v>135</v>
      </c>
      <c r="BD417" t="s">
        <v>135</v>
      </c>
      <c r="BE417" t="s">
        <v>135</v>
      </c>
      <c r="BF417" t="s">
        <v>135</v>
      </c>
      <c r="BG417" t="s">
        <v>135</v>
      </c>
      <c r="BH417" t="s">
        <v>135</v>
      </c>
      <c r="BI417" t="s">
        <v>135</v>
      </c>
      <c r="BJ417" t="s">
        <v>135</v>
      </c>
      <c r="BK417" t="s">
        <v>135</v>
      </c>
      <c r="BL417" t="s">
        <v>135</v>
      </c>
      <c r="BM417" t="s">
        <v>135</v>
      </c>
      <c r="BN417" t="s">
        <v>135</v>
      </c>
      <c r="BO417" t="s">
        <v>135</v>
      </c>
      <c r="BP417" t="s">
        <v>135</v>
      </c>
      <c r="BQ417" t="s">
        <v>135</v>
      </c>
      <c r="BR417" t="s">
        <v>135</v>
      </c>
      <c r="BS417" t="s">
        <v>135</v>
      </c>
      <c r="BT417" t="s">
        <v>135</v>
      </c>
      <c r="BU417" t="s">
        <v>135</v>
      </c>
      <c r="BV417" t="s">
        <v>135</v>
      </c>
      <c r="BW417" t="s">
        <v>135</v>
      </c>
      <c r="BX417" t="s">
        <v>135</v>
      </c>
      <c r="BY417" t="s">
        <v>135</v>
      </c>
      <c r="BZ417" t="s">
        <v>135</v>
      </c>
      <c r="CA417" t="s">
        <v>135</v>
      </c>
      <c r="CB417" t="s">
        <v>135</v>
      </c>
      <c r="CC417" t="s">
        <v>135</v>
      </c>
      <c r="CD417" t="s">
        <v>135</v>
      </c>
      <c r="CE417" t="s">
        <v>135</v>
      </c>
      <c r="CF417" t="s">
        <v>135</v>
      </c>
      <c r="CG417" t="s">
        <v>135</v>
      </c>
      <c r="CH417" t="s">
        <v>135</v>
      </c>
      <c r="CI417" t="s">
        <v>135</v>
      </c>
      <c r="CJ417" t="s">
        <v>135</v>
      </c>
      <c r="CK417" t="s">
        <v>135</v>
      </c>
      <c r="CL417" t="s">
        <v>135</v>
      </c>
      <c r="CM417" t="s">
        <v>135</v>
      </c>
      <c r="CN417" t="s">
        <v>135</v>
      </c>
      <c r="CO417" t="s">
        <v>135</v>
      </c>
      <c r="CP417" t="s">
        <v>135</v>
      </c>
      <c r="CQ417" t="s">
        <v>135</v>
      </c>
      <c r="CR417" t="s">
        <v>135</v>
      </c>
      <c r="CS417" t="s">
        <v>135</v>
      </c>
      <c r="CT417" t="s">
        <v>135</v>
      </c>
      <c r="CU417" t="s">
        <v>135</v>
      </c>
      <c r="CV417" t="s">
        <v>135</v>
      </c>
      <c r="CW417" t="s">
        <v>135</v>
      </c>
      <c r="CX417" t="s">
        <v>135</v>
      </c>
      <c r="CY417" t="s">
        <v>135</v>
      </c>
      <c r="CZ417" t="s">
        <v>135</v>
      </c>
      <c r="DA417" t="s">
        <v>135</v>
      </c>
      <c r="DB417" t="s">
        <v>135</v>
      </c>
      <c r="DC417" t="s">
        <v>135</v>
      </c>
      <c r="DD417" t="s">
        <v>135</v>
      </c>
      <c r="DE417" t="s">
        <v>135</v>
      </c>
      <c r="DF417" t="s">
        <v>135</v>
      </c>
      <c r="DG417" t="s">
        <v>135</v>
      </c>
      <c r="DH417" t="s">
        <v>135</v>
      </c>
      <c r="DI417" t="s">
        <v>135</v>
      </c>
    </row>
    <row r="418" spans="1:113" x14ac:dyDescent="0.3">
      <c r="D418" t="s">
        <v>84</v>
      </c>
      <c r="E418" t="s">
        <v>77</v>
      </c>
      <c r="F418">
        <v>6.7451999999999996</v>
      </c>
      <c r="G418">
        <v>1.2377</v>
      </c>
      <c r="H418" t="s">
        <v>135</v>
      </c>
      <c r="I418" t="s">
        <v>135</v>
      </c>
      <c r="J418" t="s">
        <v>135</v>
      </c>
      <c r="K418">
        <v>4.1559999999999997</v>
      </c>
      <c r="L418" t="s">
        <v>135</v>
      </c>
      <c r="M418">
        <v>4.1559999999999997</v>
      </c>
      <c r="N418">
        <v>3.6779000000000002</v>
      </c>
      <c r="O418">
        <v>3.6779000000000002</v>
      </c>
      <c r="P418">
        <v>3.6779000000000002</v>
      </c>
      <c r="Q418">
        <v>11.5021</v>
      </c>
      <c r="R418">
        <v>37.813000000000002</v>
      </c>
      <c r="S418">
        <v>4.1947000000000001</v>
      </c>
      <c r="T418">
        <v>16.4986</v>
      </c>
      <c r="U418" t="s">
        <v>135</v>
      </c>
      <c r="V418">
        <v>-10.613</v>
      </c>
      <c r="W418">
        <v>-12.2806</v>
      </c>
      <c r="X418">
        <v>-12.283300000000001</v>
      </c>
      <c r="Y418">
        <v>24</v>
      </c>
      <c r="Z418" t="s">
        <v>135</v>
      </c>
      <c r="AA418" t="s">
        <v>135</v>
      </c>
      <c r="AB418">
        <v>40.864400000000003</v>
      </c>
      <c r="AC418">
        <v>9.7176000000000009</v>
      </c>
      <c r="AD418" t="s">
        <v>135</v>
      </c>
      <c r="AE418" t="s">
        <v>135</v>
      </c>
      <c r="AF418" t="s">
        <v>135</v>
      </c>
      <c r="AG418" t="s">
        <v>135</v>
      </c>
      <c r="AH418" t="s">
        <v>135</v>
      </c>
      <c r="AI418">
        <v>2.5619000000000001</v>
      </c>
      <c r="AJ418">
        <v>2.5619000000000001</v>
      </c>
      <c r="AK418">
        <v>2.5619000000000001</v>
      </c>
      <c r="AL418">
        <v>157.13890000000001</v>
      </c>
      <c r="AM418" t="s">
        <v>135</v>
      </c>
      <c r="AN418" t="s">
        <v>135</v>
      </c>
      <c r="AO418" t="s">
        <v>135</v>
      </c>
      <c r="AP418" t="s">
        <v>135</v>
      </c>
      <c r="AQ418" t="s">
        <v>135</v>
      </c>
      <c r="AR418" t="s">
        <v>135</v>
      </c>
      <c r="AS418" t="s">
        <v>135</v>
      </c>
      <c r="AT418" t="s">
        <v>135</v>
      </c>
      <c r="AU418" t="s">
        <v>135</v>
      </c>
      <c r="AV418" t="s">
        <v>135</v>
      </c>
      <c r="AW418" t="s">
        <v>135</v>
      </c>
      <c r="AX418" t="s">
        <v>135</v>
      </c>
      <c r="AY418" t="s">
        <v>135</v>
      </c>
      <c r="AZ418" t="s">
        <v>135</v>
      </c>
      <c r="BA418" t="s">
        <v>135</v>
      </c>
      <c r="BB418" t="s">
        <v>135</v>
      </c>
      <c r="BC418" t="s">
        <v>135</v>
      </c>
      <c r="BD418" t="s">
        <v>135</v>
      </c>
      <c r="BE418" t="s">
        <v>135</v>
      </c>
      <c r="BF418">
        <v>16.4986</v>
      </c>
      <c r="BG418" t="s">
        <v>135</v>
      </c>
      <c r="BH418">
        <v>-10.613</v>
      </c>
      <c r="BI418">
        <v>-12.2806</v>
      </c>
      <c r="BJ418">
        <v>-12.283300000000001</v>
      </c>
      <c r="BK418">
        <v>24</v>
      </c>
      <c r="BL418" t="s">
        <v>135</v>
      </c>
      <c r="BM418" t="s">
        <v>135</v>
      </c>
      <c r="BN418">
        <v>40.864400000000003</v>
      </c>
      <c r="BO418">
        <v>9.7176000000000009</v>
      </c>
      <c r="BP418" t="s">
        <v>135</v>
      </c>
      <c r="BQ418" t="s">
        <v>135</v>
      </c>
      <c r="BR418" t="s">
        <v>135</v>
      </c>
      <c r="BS418" t="s">
        <v>135</v>
      </c>
      <c r="BT418" t="s">
        <v>135</v>
      </c>
      <c r="BU418">
        <v>2.5619000000000001</v>
      </c>
      <c r="BV418">
        <v>2.5619000000000001</v>
      </c>
      <c r="BW418">
        <v>2.5619000000000001</v>
      </c>
      <c r="BX418" t="s">
        <v>135</v>
      </c>
      <c r="BY418">
        <v>0</v>
      </c>
      <c r="BZ418" t="s">
        <v>135</v>
      </c>
      <c r="CA418">
        <v>0</v>
      </c>
      <c r="CB418" t="s">
        <v>135</v>
      </c>
      <c r="CC418" t="s">
        <v>135</v>
      </c>
      <c r="CD418">
        <v>0</v>
      </c>
      <c r="CE418">
        <v>-8.6564999999999994</v>
      </c>
      <c r="CF418" t="s">
        <v>135</v>
      </c>
      <c r="CG418">
        <v>17.758099999999999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-65.155100000000004</v>
      </c>
      <c r="CO418">
        <v>-186.98589999999999</v>
      </c>
      <c r="CP418" t="s">
        <v>135</v>
      </c>
      <c r="CQ418" t="s">
        <v>135</v>
      </c>
      <c r="CR418">
        <v>9263.76</v>
      </c>
      <c r="CS418" t="s">
        <v>135</v>
      </c>
      <c r="CT418" t="s">
        <v>135</v>
      </c>
      <c r="CU418" t="s">
        <v>135</v>
      </c>
      <c r="CV418" t="s">
        <v>135</v>
      </c>
      <c r="CW418" t="s">
        <v>135</v>
      </c>
      <c r="CX418" t="s">
        <v>135</v>
      </c>
      <c r="CY418" t="s">
        <v>135</v>
      </c>
      <c r="CZ418" t="s">
        <v>135</v>
      </c>
      <c r="DA418" t="s">
        <v>135</v>
      </c>
      <c r="DB418" t="s">
        <v>135</v>
      </c>
      <c r="DC418" t="s">
        <v>135</v>
      </c>
      <c r="DD418" t="s">
        <v>135</v>
      </c>
      <c r="DE418" t="s">
        <v>135</v>
      </c>
      <c r="DF418" t="s">
        <v>135</v>
      </c>
      <c r="DG418" t="s">
        <v>135</v>
      </c>
      <c r="DH418" t="s">
        <v>135</v>
      </c>
      <c r="DI418" t="s">
        <v>135</v>
      </c>
    </row>
    <row r="419" spans="1:113" x14ac:dyDescent="0.3">
      <c r="E419" t="s">
        <v>78</v>
      </c>
      <c r="F419" t="s">
        <v>135</v>
      </c>
      <c r="G419" t="s">
        <v>135</v>
      </c>
      <c r="H419" t="s">
        <v>135</v>
      </c>
      <c r="I419" t="s">
        <v>135</v>
      </c>
      <c r="J419" t="s">
        <v>135</v>
      </c>
      <c r="K419" t="s">
        <v>135</v>
      </c>
      <c r="L419" t="s">
        <v>135</v>
      </c>
      <c r="M419" t="s">
        <v>135</v>
      </c>
      <c r="N419" t="s">
        <v>135</v>
      </c>
      <c r="O419" t="s">
        <v>135</v>
      </c>
      <c r="P419" t="s">
        <v>135</v>
      </c>
      <c r="Q419" t="s">
        <v>135</v>
      </c>
      <c r="R419" t="s">
        <v>135</v>
      </c>
      <c r="S419" t="s">
        <v>135</v>
      </c>
      <c r="T419" t="s">
        <v>135</v>
      </c>
      <c r="U419" t="s">
        <v>135</v>
      </c>
      <c r="V419" t="s">
        <v>135</v>
      </c>
      <c r="W419" t="s">
        <v>135</v>
      </c>
      <c r="X419" t="s">
        <v>135</v>
      </c>
      <c r="Y419" t="s">
        <v>135</v>
      </c>
      <c r="Z419" t="s">
        <v>135</v>
      </c>
      <c r="AA419" t="s">
        <v>135</v>
      </c>
      <c r="AB419" t="s">
        <v>135</v>
      </c>
      <c r="AC419" t="s">
        <v>135</v>
      </c>
      <c r="AD419" t="s">
        <v>135</v>
      </c>
      <c r="AE419" t="s">
        <v>135</v>
      </c>
      <c r="AF419" t="s">
        <v>135</v>
      </c>
      <c r="AG419" t="s">
        <v>135</v>
      </c>
      <c r="AH419" t="s">
        <v>135</v>
      </c>
      <c r="AI419" t="s">
        <v>135</v>
      </c>
      <c r="AJ419" t="s">
        <v>135</v>
      </c>
      <c r="AK419" t="s">
        <v>135</v>
      </c>
      <c r="AL419" t="s">
        <v>135</v>
      </c>
      <c r="AM419" t="s">
        <v>135</v>
      </c>
      <c r="AN419" t="s">
        <v>135</v>
      </c>
      <c r="AO419" t="s">
        <v>135</v>
      </c>
      <c r="AP419" t="s">
        <v>135</v>
      </c>
      <c r="AQ419" t="s">
        <v>135</v>
      </c>
      <c r="AR419" t="s">
        <v>135</v>
      </c>
      <c r="AS419" t="s">
        <v>135</v>
      </c>
      <c r="AT419" t="s">
        <v>135</v>
      </c>
      <c r="AU419" t="s">
        <v>135</v>
      </c>
      <c r="AV419" t="s">
        <v>135</v>
      </c>
      <c r="AW419" t="s">
        <v>135</v>
      </c>
      <c r="AX419" t="s">
        <v>135</v>
      </c>
      <c r="AY419" t="s">
        <v>135</v>
      </c>
      <c r="AZ419" t="s">
        <v>135</v>
      </c>
      <c r="BA419" t="s">
        <v>135</v>
      </c>
      <c r="BB419" t="s">
        <v>135</v>
      </c>
      <c r="BC419" t="s">
        <v>135</v>
      </c>
      <c r="BD419" t="s">
        <v>135</v>
      </c>
      <c r="BE419" t="s">
        <v>135</v>
      </c>
      <c r="BF419" t="s">
        <v>135</v>
      </c>
      <c r="BG419" t="s">
        <v>135</v>
      </c>
      <c r="BH419" t="s">
        <v>135</v>
      </c>
      <c r="BI419" t="s">
        <v>135</v>
      </c>
      <c r="BJ419" t="s">
        <v>135</v>
      </c>
      <c r="BK419" t="s">
        <v>135</v>
      </c>
      <c r="BL419" t="s">
        <v>135</v>
      </c>
      <c r="BM419" t="s">
        <v>135</v>
      </c>
      <c r="BN419" t="s">
        <v>135</v>
      </c>
      <c r="BO419" t="s">
        <v>135</v>
      </c>
      <c r="BP419" t="s">
        <v>135</v>
      </c>
      <c r="BQ419" t="s">
        <v>135</v>
      </c>
      <c r="BR419" t="s">
        <v>135</v>
      </c>
      <c r="BS419" t="s">
        <v>135</v>
      </c>
      <c r="BT419" t="s">
        <v>135</v>
      </c>
      <c r="BU419" t="s">
        <v>135</v>
      </c>
      <c r="BV419" t="s">
        <v>135</v>
      </c>
      <c r="BW419" t="s">
        <v>135</v>
      </c>
      <c r="BX419" t="s">
        <v>135</v>
      </c>
      <c r="BY419" t="s">
        <v>135</v>
      </c>
      <c r="BZ419" t="s">
        <v>135</v>
      </c>
      <c r="CA419" t="s">
        <v>135</v>
      </c>
      <c r="CB419" t="s">
        <v>135</v>
      </c>
      <c r="CC419" t="s">
        <v>135</v>
      </c>
      <c r="CD419" t="s">
        <v>135</v>
      </c>
      <c r="CE419" t="s">
        <v>135</v>
      </c>
      <c r="CF419" t="s">
        <v>135</v>
      </c>
      <c r="CG419" t="s">
        <v>135</v>
      </c>
      <c r="CH419" t="s">
        <v>135</v>
      </c>
      <c r="CI419" t="s">
        <v>135</v>
      </c>
      <c r="CJ419" t="s">
        <v>135</v>
      </c>
      <c r="CK419" t="s">
        <v>135</v>
      </c>
      <c r="CL419" t="s">
        <v>135</v>
      </c>
      <c r="CM419" t="s">
        <v>135</v>
      </c>
      <c r="CN419" t="s">
        <v>135</v>
      </c>
      <c r="CO419" t="s">
        <v>135</v>
      </c>
      <c r="CP419" t="s">
        <v>135</v>
      </c>
      <c r="CQ419" t="s">
        <v>135</v>
      </c>
      <c r="CR419" t="s">
        <v>135</v>
      </c>
      <c r="CS419" t="s">
        <v>135</v>
      </c>
      <c r="CT419" t="s">
        <v>135</v>
      </c>
      <c r="CU419" t="s">
        <v>135</v>
      </c>
      <c r="CV419" t="s">
        <v>135</v>
      </c>
      <c r="CW419" t="s">
        <v>135</v>
      </c>
      <c r="CX419" t="s">
        <v>135</v>
      </c>
      <c r="CY419" t="s">
        <v>135</v>
      </c>
      <c r="CZ419" t="s">
        <v>135</v>
      </c>
      <c r="DA419" t="s">
        <v>135</v>
      </c>
      <c r="DB419" t="s">
        <v>135</v>
      </c>
      <c r="DC419" t="s">
        <v>135</v>
      </c>
      <c r="DD419" t="s">
        <v>135</v>
      </c>
      <c r="DE419" t="s">
        <v>135</v>
      </c>
      <c r="DF419" t="s">
        <v>135</v>
      </c>
      <c r="DG419" t="s">
        <v>135</v>
      </c>
      <c r="DH419" t="s">
        <v>135</v>
      </c>
      <c r="DI419" t="s">
        <v>135</v>
      </c>
    </row>
    <row r="420" spans="1:113" x14ac:dyDescent="0.3">
      <c r="E420" t="s">
        <v>79</v>
      </c>
      <c r="F420" t="s">
        <v>135</v>
      </c>
      <c r="G420" t="s">
        <v>135</v>
      </c>
      <c r="H420" t="s">
        <v>135</v>
      </c>
      <c r="I420" t="s">
        <v>135</v>
      </c>
      <c r="J420" t="s">
        <v>135</v>
      </c>
      <c r="K420" t="s">
        <v>135</v>
      </c>
      <c r="L420" t="s">
        <v>135</v>
      </c>
      <c r="M420" t="s">
        <v>135</v>
      </c>
      <c r="N420" t="s">
        <v>135</v>
      </c>
      <c r="O420" t="s">
        <v>135</v>
      </c>
      <c r="P420" t="s">
        <v>135</v>
      </c>
      <c r="Q420" t="s">
        <v>135</v>
      </c>
      <c r="R420" t="s">
        <v>135</v>
      </c>
      <c r="S420" t="s">
        <v>135</v>
      </c>
      <c r="T420" t="s">
        <v>135</v>
      </c>
      <c r="U420" t="s">
        <v>135</v>
      </c>
      <c r="V420" t="s">
        <v>135</v>
      </c>
      <c r="W420" t="s">
        <v>135</v>
      </c>
      <c r="X420" t="s">
        <v>135</v>
      </c>
      <c r="Y420" t="s">
        <v>135</v>
      </c>
      <c r="Z420" t="s">
        <v>135</v>
      </c>
      <c r="AA420" t="s">
        <v>135</v>
      </c>
      <c r="AB420" t="s">
        <v>135</v>
      </c>
      <c r="AC420" t="s">
        <v>135</v>
      </c>
      <c r="AD420" t="s">
        <v>135</v>
      </c>
      <c r="AE420" t="s">
        <v>135</v>
      </c>
      <c r="AF420" t="s">
        <v>135</v>
      </c>
      <c r="AG420" t="s">
        <v>135</v>
      </c>
      <c r="AH420" t="s">
        <v>135</v>
      </c>
      <c r="AI420" t="s">
        <v>135</v>
      </c>
      <c r="AJ420" t="s">
        <v>135</v>
      </c>
      <c r="AK420" t="s">
        <v>135</v>
      </c>
      <c r="AL420" t="s">
        <v>135</v>
      </c>
      <c r="AM420" t="s">
        <v>135</v>
      </c>
      <c r="AN420" t="s">
        <v>135</v>
      </c>
      <c r="AO420" t="s">
        <v>135</v>
      </c>
      <c r="AP420" t="s">
        <v>135</v>
      </c>
      <c r="AQ420" t="s">
        <v>135</v>
      </c>
      <c r="AR420" t="s">
        <v>135</v>
      </c>
      <c r="AS420" t="s">
        <v>135</v>
      </c>
      <c r="AT420" t="s">
        <v>135</v>
      </c>
      <c r="AU420" t="s">
        <v>135</v>
      </c>
      <c r="AV420" t="s">
        <v>135</v>
      </c>
      <c r="AW420" t="s">
        <v>135</v>
      </c>
      <c r="AX420" t="s">
        <v>135</v>
      </c>
      <c r="AY420" t="s">
        <v>135</v>
      </c>
      <c r="AZ420" t="s">
        <v>135</v>
      </c>
      <c r="BA420" t="s">
        <v>135</v>
      </c>
      <c r="BB420" t="s">
        <v>135</v>
      </c>
      <c r="BC420" t="s">
        <v>135</v>
      </c>
      <c r="BD420" t="s">
        <v>135</v>
      </c>
      <c r="BE420" t="s">
        <v>135</v>
      </c>
      <c r="BF420" t="s">
        <v>135</v>
      </c>
      <c r="BG420" t="s">
        <v>135</v>
      </c>
      <c r="BH420" t="s">
        <v>135</v>
      </c>
      <c r="BI420" t="s">
        <v>135</v>
      </c>
      <c r="BJ420" t="s">
        <v>135</v>
      </c>
      <c r="BK420" t="s">
        <v>135</v>
      </c>
      <c r="BL420" t="s">
        <v>135</v>
      </c>
      <c r="BM420" t="s">
        <v>135</v>
      </c>
      <c r="BN420" t="s">
        <v>135</v>
      </c>
      <c r="BO420" t="s">
        <v>135</v>
      </c>
      <c r="BP420" t="s">
        <v>135</v>
      </c>
      <c r="BQ420" t="s">
        <v>135</v>
      </c>
      <c r="BR420" t="s">
        <v>135</v>
      </c>
      <c r="BS420" t="s">
        <v>135</v>
      </c>
      <c r="BT420" t="s">
        <v>135</v>
      </c>
      <c r="BU420" t="s">
        <v>135</v>
      </c>
      <c r="BV420" t="s">
        <v>135</v>
      </c>
      <c r="BW420" t="s">
        <v>135</v>
      </c>
      <c r="BX420" t="s">
        <v>135</v>
      </c>
      <c r="BY420" t="s">
        <v>135</v>
      </c>
      <c r="BZ420" t="s">
        <v>135</v>
      </c>
      <c r="CA420" t="s">
        <v>135</v>
      </c>
      <c r="CB420" t="s">
        <v>135</v>
      </c>
      <c r="CC420" t="s">
        <v>135</v>
      </c>
      <c r="CD420" t="s">
        <v>135</v>
      </c>
      <c r="CE420" t="s">
        <v>135</v>
      </c>
      <c r="CF420" t="s">
        <v>135</v>
      </c>
      <c r="CG420" t="s">
        <v>135</v>
      </c>
      <c r="CH420" t="s">
        <v>135</v>
      </c>
      <c r="CI420" t="s">
        <v>135</v>
      </c>
      <c r="CJ420" t="s">
        <v>135</v>
      </c>
      <c r="CK420" t="s">
        <v>135</v>
      </c>
      <c r="CL420" t="s">
        <v>135</v>
      </c>
      <c r="CM420" t="s">
        <v>135</v>
      </c>
      <c r="CN420" t="s">
        <v>135</v>
      </c>
      <c r="CO420" t="s">
        <v>135</v>
      </c>
      <c r="CP420" t="s">
        <v>135</v>
      </c>
      <c r="CQ420" t="s">
        <v>135</v>
      </c>
      <c r="CR420" t="s">
        <v>135</v>
      </c>
      <c r="CS420" t="s">
        <v>135</v>
      </c>
      <c r="CT420" t="s">
        <v>135</v>
      </c>
      <c r="CU420" t="s">
        <v>135</v>
      </c>
      <c r="CV420" t="s">
        <v>135</v>
      </c>
      <c r="CW420" t="s">
        <v>135</v>
      </c>
      <c r="CX420" t="s">
        <v>135</v>
      </c>
      <c r="CY420" t="s">
        <v>135</v>
      </c>
      <c r="CZ420" t="s">
        <v>135</v>
      </c>
      <c r="DA420" t="s">
        <v>135</v>
      </c>
      <c r="DB420" t="s">
        <v>135</v>
      </c>
      <c r="DC420" t="s">
        <v>135</v>
      </c>
      <c r="DD420" t="s">
        <v>135</v>
      </c>
      <c r="DE420" t="s">
        <v>135</v>
      </c>
      <c r="DF420" t="s">
        <v>135</v>
      </c>
      <c r="DG420" t="s">
        <v>135</v>
      </c>
      <c r="DH420" t="s">
        <v>135</v>
      </c>
      <c r="DI420" t="s">
        <v>135</v>
      </c>
    </row>
    <row r="421" spans="1:113" x14ac:dyDescent="0.3">
      <c r="E421" t="s">
        <v>80</v>
      </c>
      <c r="F421" t="s">
        <v>135</v>
      </c>
      <c r="G421" t="s">
        <v>135</v>
      </c>
      <c r="H421" t="s">
        <v>135</v>
      </c>
      <c r="I421" t="s">
        <v>135</v>
      </c>
      <c r="J421" t="s">
        <v>135</v>
      </c>
      <c r="K421" t="s">
        <v>135</v>
      </c>
      <c r="L421" t="s">
        <v>135</v>
      </c>
      <c r="M421" t="s">
        <v>135</v>
      </c>
      <c r="N421" t="s">
        <v>135</v>
      </c>
      <c r="O421" t="s">
        <v>135</v>
      </c>
      <c r="P421" t="s">
        <v>135</v>
      </c>
      <c r="Q421" t="s">
        <v>135</v>
      </c>
      <c r="R421" t="s">
        <v>135</v>
      </c>
      <c r="S421" t="s">
        <v>135</v>
      </c>
      <c r="T421" t="s">
        <v>135</v>
      </c>
      <c r="U421" t="s">
        <v>135</v>
      </c>
      <c r="V421" t="s">
        <v>135</v>
      </c>
      <c r="W421" t="s">
        <v>135</v>
      </c>
      <c r="X421" t="s">
        <v>135</v>
      </c>
      <c r="Y421" t="s">
        <v>135</v>
      </c>
      <c r="Z421" t="s">
        <v>135</v>
      </c>
      <c r="AA421" t="s">
        <v>135</v>
      </c>
      <c r="AB421" t="s">
        <v>135</v>
      </c>
      <c r="AC421" t="s">
        <v>135</v>
      </c>
      <c r="AD421" t="s">
        <v>135</v>
      </c>
      <c r="AE421" t="s">
        <v>135</v>
      </c>
      <c r="AF421" t="s">
        <v>135</v>
      </c>
      <c r="AG421" t="s">
        <v>135</v>
      </c>
      <c r="AH421" t="s">
        <v>135</v>
      </c>
      <c r="AI421" t="s">
        <v>135</v>
      </c>
      <c r="AJ421" t="s">
        <v>135</v>
      </c>
      <c r="AK421" t="s">
        <v>135</v>
      </c>
      <c r="AL421" t="s">
        <v>135</v>
      </c>
      <c r="AM421" t="s">
        <v>135</v>
      </c>
      <c r="AN421" t="s">
        <v>135</v>
      </c>
      <c r="AO421" t="s">
        <v>135</v>
      </c>
      <c r="AP421" t="s">
        <v>135</v>
      </c>
      <c r="AQ421" t="s">
        <v>135</v>
      </c>
      <c r="AR421" t="s">
        <v>135</v>
      </c>
      <c r="AS421" t="s">
        <v>135</v>
      </c>
      <c r="AT421" t="s">
        <v>135</v>
      </c>
      <c r="AU421" t="s">
        <v>135</v>
      </c>
      <c r="AV421" t="s">
        <v>135</v>
      </c>
      <c r="AW421" t="s">
        <v>135</v>
      </c>
      <c r="AX421" t="s">
        <v>135</v>
      </c>
      <c r="AY421" t="s">
        <v>135</v>
      </c>
      <c r="AZ421" t="s">
        <v>135</v>
      </c>
      <c r="BA421" t="s">
        <v>135</v>
      </c>
      <c r="BB421" t="s">
        <v>135</v>
      </c>
      <c r="BC421" t="s">
        <v>135</v>
      </c>
      <c r="BD421" t="s">
        <v>135</v>
      </c>
      <c r="BE421" t="s">
        <v>135</v>
      </c>
      <c r="BF421" t="s">
        <v>135</v>
      </c>
      <c r="BG421" t="s">
        <v>135</v>
      </c>
      <c r="BH421" t="s">
        <v>135</v>
      </c>
      <c r="BI421" t="s">
        <v>135</v>
      </c>
      <c r="BJ421" t="s">
        <v>135</v>
      </c>
      <c r="BK421" t="s">
        <v>135</v>
      </c>
      <c r="BL421" t="s">
        <v>135</v>
      </c>
      <c r="BM421" t="s">
        <v>135</v>
      </c>
      <c r="BN421" t="s">
        <v>135</v>
      </c>
      <c r="BO421" t="s">
        <v>135</v>
      </c>
      <c r="BP421" t="s">
        <v>135</v>
      </c>
      <c r="BQ421" t="s">
        <v>135</v>
      </c>
      <c r="BR421" t="s">
        <v>135</v>
      </c>
      <c r="BS421" t="s">
        <v>135</v>
      </c>
      <c r="BT421" t="s">
        <v>135</v>
      </c>
      <c r="BU421" t="s">
        <v>135</v>
      </c>
      <c r="BV421" t="s">
        <v>135</v>
      </c>
      <c r="BW421" t="s">
        <v>135</v>
      </c>
      <c r="BX421" t="s">
        <v>135</v>
      </c>
      <c r="BY421" t="s">
        <v>135</v>
      </c>
      <c r="BZ421" t="s">
        <v>135</v>
      </c>
      <c r="CA421" t="s">
        <v>135</v>
      </c>
      <c r="CB421" t="s">
        <v>135</v>
      </c>
      <c r="CC421" t="s">
        <v>135</v>
      </c>
      <c r="CD421" t="s">
        <v>135</v>
      </c>
      <c r="CE421" t="s">
        <v>135</v>
      </c>
      <c r="CF421" t="s">
        <v>135</v>
      </c>
      <c r="CG421" t="s">
        <v>135</v>
      </c>
      <c r="CH421" t="s">
        <v>135</v>
      </c>
      <c r="CI421" t="s">
        <v>135</v>
      </c>
      <c r="CJ421" t="s">
        <v>135</v>
      </c>
      <c r="CK421" t="s">
        <v>135</v>
      </c>
      <c r="CL421" t="s">
        <v>135</v>
      </c>
      <c r="CM421" t="s">
        <v>135</v>
      </c>
      <c r="CN421" t="s">
        <v>135</v>
      </c>
      <c r="CO421" t="s">
        <v>135</v>
      </c>
      <c r="CP421" t="s">
        <v>135</v>
      </c>
      <c r="CQ421" t="s">
        <v>135</v>
      </c>
      <c r="CR421" t="s">
        <v>135</v>
      </c>
      <c r="CS421" t="s">
        <v>135</v>
      </c>
      <c r="CT421" t="s">
        <v>135</v>
      </c>
      <c r="CU421" t="s">
        <v>135</v>
      </c>
      <c r="CV421" t="s">
        <v>135</v>
      </c>
      <c r="CW421" t="s">
        <v>135</v>
      </c>
      <c r="CX421" t="s">
        <v>135</v>
      </c>
      <c r="CY421" t="s">
        <v>135</v>
      </c>
      <c r="CZ421" t="s">
        <v>135</v>
      </c>
      <c r="DA421" t="s">
        <v>135</v>
      </c>
      <c r="DB421" t="s">
        <v>135</v>
      </c>
      <c r="DC421" t="s">
        <v>135</v>
      </c>
      <c r="DD421" t="s">
        <v>135</v>
      </c>
      <c r="DE421" t="s">
        <v>135</v>
      </c>
      <c r="DF421" t="s">
        <v>135</v>
      </c>
      <c r="DG421" t="s">
        <v>135</v>
      </c>
      <c r="DH421" t="s">
        <v>135</v>
      </c>
      <c r="DI421" t="s">
        <v>135</v>
      </c>
    </row>
    <row r="422" spans="1:113" x14ac:dyDescent="0.3">
      <c r="E422" t="s">
        <v>81</v>
      </c>
      <c r="F422" t="s">
        <v>135</v>
      </c>
      <c r="G422" t="s">
        <v>135</v>
      </c>
      <c r="H422" t="s">
        <v>135</v>
      </c>
      <c r="I422" t="s">
        <v>135</v>
      </c>
      <c r="J422" t="s">
        <v>135</v>
      </c>
      <c r="K422" t="s">
        <v>135</v>
      </c>
      <c r="L422" t="s">
        <v>135</v>
      </c>
      <c r="M422" t="s">
        <v>135</v>
      </c>
      <c r="N422" t="s">
        <v>135</v>
      </c>
      <c r="O422" t="s">
        <v>135</v>
      </c>
      <c r="P422" t="s">
        <v>135</v>
      </c>
      <c r="Q422" t="s">
        <v>135</v>
      </c>
      <c r="R422" t="s">
        <v>135</v>
      </c>
      <c r="S422" t="s">
        <v>135</v>
      </c>
      <c r="T422" t="s">
        <v>135</v>
      </c>
      <c r="U422" t="s">
        <v>135</v>
      </c>
      <c r="V422" t="s">
        <v>135</v>
      </c>
      <c r="W422" t="s">
        <v>135</v>
      </c>
      <c r="X422" t="s">
        <v>135</v>
      </c>
      <c r="Y422" t="s">
        <v>135</v>
      </c>
      <c r="Z422" t="s">
        <v>135</v>
      </c>
      <c r="AA422" t="s">
        <v>135</v>
      </c>
      <c r="AB422" t="s">
        <v>135</v>
      </c>
      <c r="AC422" t="s">
        <v>135</v>
      </c>
      <c r="AD422" t="s">
        <v>135</v>
      </c>
      <c r="AE422" t="s">
        <v>135</v>
      </c>
      <c r="AF422" t="s">
        <v>135</v>
      </c>
      <c r="AG422" t="s">
        <v>135</v>
      </c>
      <c r="AH422" t="s">
        <v>135</v>
      </c>
      <c r="AI422" t="s">
        <v>135</v>
      </c>
      <c r="AJ422" t="s">
        <v>135</v>
      </c>
      <c r="AK422" t="s">
        <v>135</v>
      </c>
      <c r="AL422" t="s">
        <v>135</v>
      </c>
      <c r="AM422" t="s">
        <v>135</v>
      </c>
      <c r="AN422" t="s">
        <v>135</v>
      </c>
      <c r="AO422" t="s">
        <v>135</v>
      </c>
      <c r="AP422" t="s">
        <v>135</v>
      </c>
      <c r="AQ422" t="s">
        <v>135</v>
      </c>
      <c r="AR422" t="s">
        <v>135</v>
      </c>
      <c r="AS422" t="s">
        <v>135</v>
      </c>
      <c r="AT422" t="s">
        <v>135</v>
      </c>
      <c r="AU422" t="s">
        <v>135</v>
      </c>
      <c r="AV422" t="s">
        <v>135</v>
      </c>
      <c r="AW422" t="s">
        <v>135</v>
      </c>
      <c r="AX422" t="s">
        <v>135</v>
      </c>
      <c r="AY422" t="s">
        <v>135</v>
      </c>
      <c r="AZ422" t="s">
        <v>135</v>
      </c>
      <c r="BA422" t="s">
        <v>135</v>
      </c>
      <c r="BB422" t="s">
        <v>135</v>
      </c>
      <c r="BC422" t="s">
        <v>135</v>
      </c>
      <c r="BD422" t="s">
        <v>135</v>
      </c>
      <c r="BE422" t="s">
        <v>135</v>
      </c>
      <c r="BF422" t="s">
        <v>135</v>
      </c>
      <c r="BG422" t="s">
        <v>135</v>
      </c>
      <c r="BH422" t="s">
        <v>135</v>
      </c>
      <c r="BI422" t="s">
        <v>135</v>
      </c>
      <c r="BJ422" t="s">
        <v>135</v>
      </c>
      <c r="BK422" t="s">
        <v>135</v>
      </c>
      <c r="BL422" t="s">
        <v>135</v>
      </c>
      <c r="BM422" t="s">
        <v>135</v>
      </c>
      <c r="BN422" t="s">
        <v>135</v>
      </c>
      <c r="BO422" t="s">
        <v>135</v>
      </c>
      <c r="BP422" t="s">
        <v>135</v>
      </c>
      <c r="BQ422" t="s">
        <v>135</v>
      </c>
      <c r="BR422" t="s">
        <v>135</v>
      </c>
      <c r="BS422" t="s">
        <v>135</v>
      </c>
      <c r="BT422" t="s">
        <v>135</v>
      </c>
      <c r="BU422" t="s">
        <v>135</v>
      </c>
      <c r="BV422" t="s">
        <v>135</v>
      </c>
      <c r="BW422" t="s">
        <v>135</v>
      </c>
      <c r="BX422" t="s">
        <v>135</v>
      </c>
      <c r="BY422" t="s">
        <v>135</v>
      </c>
      <c r="BZ422" t="s">
        <v>135</v>
      </c>
      <c r="CA422" t="s">
        <v>135</v>
      </c>
      <c r="CB422" t="s">
        <v>135</v>
      </c>
      <c r="CC422" t="s">
        <v>135</v>
      </c>
      <c r="CD422" t="s">
        <v>135</v>
      </c>
      <c r="CE422" t="s">
        <v>135</v>
      </c>
      <c r="CF422" t="s">
        <v>135</v>
      </c>
      <c r="CG422" t="s">
        <v>135</v>
      </c>
      <c r="CH422" t="s">
        <v>135</v>
      </c>
      <c r="CI422" t="s">
        <v>135</v>
      </c>
      <c r="CJ422" t="s">
        <v>135</v>
      </c>
      <c r="CK422" t="s">
        <v>135</v>
      </c>
      <c r="CL422" t="s">
        <v>135</v>
      </c>
      <c r="CM422" t="s">
        <v>135</v>
      </c>
      <c r="CN422" t="s">
        <v>135</v>
      </c>
      <c r="CO422" t="s">
        <v>135</v>
      </c>
      <c r="CP422" t="s">
        <v>135</v>
      </c>
      <c r="CQ422" t="s">
        <v>135</v>
      </c>
      <c r="CR422" t="s">
        <v>135</v>
      </c>
      <c r="CS422" t="s">
        <v>135</v>
      </c>
      <c r="CT422" t="s">
        <v>135</v>
      </c>
      <c r="CU422" t="s">
        <v>135</v>
      </c>
      <c r="CV422" t="s">
        <v>135</v>
      </c>
      <c r="CW422" t="s">
        <v>135</v>
      </c>
      <c r="CX422" t="s">
        <v>135</v>
      </c>
      <c r="CY422" t="s">
        <v>135</v>
      </c>
      <c r="CZ422" t="s">
        <v>135</v>
      </c>
      <c r="DA422" t="s">
        <v>135</v>
      </c>
      <c r="DB422" t="s">
        <v>135</v>
      </c>
      <c r="DC422" t="s">
        <v>135</v>
      </c>
      <c r="DD422" t="s">
        <v>135</v>
      </c>
      <c r="DE422" t="s">
        <v>135</v>
      </c>
      <c r="DF422" t="s">
        <v>135</v>
      </c>
      <c r="DG422" t="s">
        <v>135</v>
      </c>
      <c r="DH422" t="s">
        <v>135</v>
      </c>
      <c r="DI422" t="s">
        <v>135</v>
      </c>
    </row>
    <row r="423" spans="1:113" x14ac:dyDescent="0.3">
      <c r="D423" t="s">
        <v>85</v>
      </c>
      <c r="E423" t="s">
        <v>77</v>
      </c>
      <c r="F423">
        <v>15.7225</v>
      </c>
      <c r="G423">
        <v>3.0106000000000002</v>
      </c>
      <c r="H423" t="s">
        <v>135</v>
      </c>
      <c r="I423" t="s">
        <v>135</v>
      </c>
      <c r="J423" t="s">
        <v>135</v>
      </c>
      <c r="K423">
        <v>10.9024</v>
      </c>
      <c r="L423">
        <v>63.873800000000003</v>
      </c>
      <c r="M423">
        <v>10.9024</v>
      </c>
      <c r="N423">
        <v>8.8054000000000006</v>
      </c>
      <c r="O423">
        <v>8.8054000000000006</v>
      </c>
      <c r="P423">
        <v>8.8054000000000006</v>
      </c>
      <c r="Q423">
        <v>19.234000000000002</v>
      </c>
      <c r="R423">
        <v>0</v>
      </c>
      <c r="S423">
        <v>15.7225</v>
      </c>
      <c r="T423">
        <v>10.8386</v>
      </c>
      <c r="U423" t="s">
        <v>135</v>
      </c>
      <c r="V423">
        <v>134.1403</v>
      </c>
      <c r="W423">
        <v>118.3601</v>
      </c>
      <c r="X423">
        <v>7.9042000000000003</v>
      </c>
      <c r="Y423" t="s">
        <v>135</v>
      </c>
      <c r="Z423" t="s">
        <v>135</v>
      </c>
      <c r="AA423" t="s">
        <v>135</v>
      </c>
      <c r="AB423">
        <v>40.606400000000001</v>
      </c>
      <c r="AC423">
        <v>10.959300000000001</v>
      </c>
      <c r="AD423" t="s">
        <v>135</v>
      </c>
      <c r="AE423" t="s">
        <v>135</v>
      </c>
      <c r="AF423" t="s">
        <v>135</v>
      </c>
      <c r="AG423" t="s">
        <v>135</v>
      </c>
      <c r="AH423" t="s">
        <v>135</v>
      </c>
      <c r="AI423">
        <v>27.473500000000001</v>
      </c>
      <c r="AJ423">
        <v>27.473500000000001</v>
      </c>
      <c r="AK423">
        <v>27.473500000000001</v>
      </c>
      <c r="AL423">
        <v>-80.954800000000006</v>
      </c>
      <c r="AM423">
        <v>15.1873</v>
      </c>
      <c r="AN423" t="s">
        <v>135</v>
      </c>
      <c r="AO423">
        <v>21.264900000000001</v>
      </c>
      <c r="AP423">
        <v>20.037600000000001</v>
      </c>
      <c r="AQ423">
        <v>-9.2439</v>
      </c>
      <c r="AR423">
        <v>-100</v>
      </c>
      <c r="AS423" t="s">
        <v>135</v>
      </c>
      <c r="AT423" t="s">
        <v>135</v>
      </c>
      <c r="AU423">
        <v>27.4253</v>
      </c>
      <c r="AV423">
        <v>10.8935</v>
      </c>
      <c r="AW423" t="s">
        <v>135</v>
      </c>
      <c r="AX423" t="s">
        <v>135</v>
      </c>
      <c r="AY423" t="s">
        <v>135</v>
      </c>
      <c r="AZ423" t="s">
        <v>135</v>
      </c>
      <c r="BA423" t="s">
        <v>135</v>
      </c>
      <c r="BB423">
        <v>11.049200000000001</v>
      </c>
      <c r="BC423">
        <v>11.049200000000001</v>
      </c>
      <c r="BD423">
        <v>11.049200000000001</v>
      </c>
      <c r="BE423">
        <v>-25.374099999999999</v>
      </c>
      <c r="BF423">
        <v>10.8386</v>
      </c>
      <c r="BG423" t="s">
        <v>135</v>
      </c>
      <c r="BH423">
        <v>134.1403</v>
      </c>
      <c r="BI423">
        <v>118.3601</v>
      </c>
      <c r="BJ423">
        <v>7.9042000000000003</v>
      </c>
      <c r="BK423" t="s">
        <v>135</v>
      </c>
      <c r="BL423" t="s">
        <v>135</v>
      </c>
      <c r="BM423" t="s">
        <v>135</v>
      </c>
      <c r="BN423">
        <v>40.606400000000001</v>
      </c>
      <c r="BO423">
        <v>10.959300000000001</v>
      </c>
      <c r="BP423" t="s">
        <v>135</v>
      </c>
      <c r="BQ423" t="s">
        <v>135</v>
      </c>
      <c r="BR423" t="s">
        <v>135</v>
      </c>
      <c r="BS423" t="s">
        <v>135</v>
      </c>
      <c r="BT423" t="s">
        <v>135</v>
      </c>
      <c r="BU423">
        <v>27.473500000000001</v>
      </c>
      <c r="BV423">
        <v>27.473500000000001</v>
      </c>
      <c r="BW423">
        <v>27.473500000000001</v>
      </c>
      <c r="BX423" t="s">
        <v>135</v>
      </c>
      <c r="BY423">
        <v>0</v>
      </c>
      <c r="BZ423">
        <v>0</v>
      </c>
      <c r="CA423">
        <v>0</v>
      </c>
      <c r="CB423" t="s">
        <v>135</v>
      </c>
      <c r="CC423" t="s">
        <v>135</v>
      </c>
      <c r="CD423">
        <v>0</v>
      </c>
      <c r="CE423">
        <v>-3.3104</v>
      </c>
      <c r="CF423" t="s">
        <v>135</v>
      </c>
      <c r="CG423">
        <v>20.4011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-57.4985</v>
      </c>
      <c r="CO423">
        <v>-135.28579999999999</v>
      </c>
      <c r="CP423" t="s">
        <v>135</v>
      </c>
      <c r="CQ423" t="s">
        <v>135</v>
      </c>
      <c r="CR423">
        <v>27250.577000000001</v>
      </c>
      <c r="CS423" t="s">
        <v>135</v>
      </c>
      <c r="CT423" t="s">
        <v>135</v>
      </c>
      <c r="CU423" t="s">
        <v>135</v>
      </c>
      <c r="CV423" t="s">
        <v>135</v>
      </c>
      <c r="CW423" t="s">
        <v>135</v>
      </c>
      <c r="CX423" t="s">
        <v>135</v>
      </c>
      <c r="CY423" t="s">
        <v>135</v>
      </c>
      <c r="CZ423" t="s">
        <v>135</v>
      </c>
      <c r="DA423" t="s">
        <v>135</v>
      </c>
      <c r="DB423" t="s">
        <v>135</v>
      </c>
      <c r="DC423" t="s">
        <v>135</v>
      </c>
      <c r="DD423" t="s">
        <v>135</v>
      </c>
      <c r="DE423" t="s">
        <v>135</v>
      </c>
      <c r="DF423" t="s">
        <v>135</v>
      </c>
      <c r="DG423" t="s">
        <v>135</v>
      </c>
      <c r="DH423" t="s">
        <v>135</v>
      </c>
      <c r="DI423" t="s">
        <v>135</v>
      </c>
    </row>
    <row r="424" spans="1:113" x14ac:dyDescent="0.3">
      <c r="E424" t="s">
        <v>78</v>
      </c>
      <c r="F424" t="s">
        <v>135</v>
      </c>
      <c r="G424" t="s">
        <v>135</v>
      </c>
      <c r="H424" t="s">
        <v>135</v>
      </c>
      <c r="I424" t="s">
        <v>135</v>
      </c>
      <c r="J424" t="s">
        <v>135</v>
      </c>
      <c r="K424">
        <v>10.014099999999999</v>
      </c>
      <c r="L424" t="s">
        <v>135</v>
      </c>
      <c r="M424">
        <v>10.014099999999999</v>
      </c>
      <c r="N424">
        <v>8.3264999999999993</v>
      </c>
      <c r="O424">
        <v>8.3264999999999993</v>
      </c>
      <c r="P424">
        <v>8.3264999999999993</v>
      </c>
      <c r="Q424">
        <v>16.8523</v>
      </c>
      <c r="R424" t="s">
        <v>135</v>
      </c>
      <c r="S424" t="s">
        <v>135</v>
      </c>
      <c r="T424" t="s">
        <v>135</v>
      </c>
      <c r="U424" t="s">
        <v>135</v>
      </c>
      <c r="V424" t="s">
        <v>135</v>
      </c>
      <c r="W424" t="s">
        <v>135</v>
      </c>
      <c r="X424" t="s">
        <v>135</v>
      </c>
      <c r="Y424" t="s">
        <v>135</v>
      </c>
      <c r="Z424" t="s">
        <v>135</v>
      </c>
      <c r="AA424" t="s">
        <v>135</v>
      </c>
      <c r="AB424" t="s">
        <v>135</v>
      </c>
      <c r="AC424" t="s">
        <v>135</v>
      </c>
      <c r="AD424" t="s">
        <v>135</v>
      </c>
      <c r="AE424" t="s">
        <v>135</v>
      </c>
      <c r="AF424" t="s">
        <v>135</v>
      </c>
      <c r="AG424" t="s">
        <v>135</v>
      </c>
      <c r="AH424" t="s">
        <v>135</v>
      </c>
      <c r="AI424" t="s">
        <v>135</v>
      </c>
      <c r="AJ424" t="s">
        <v>135</v>
      </c>
      <c r="AK424" t="s">
        <v>135</v>
      </c>
      <c r="AL424" t="s">
        <v>135</v>
      </c>
      <c r="AM424" t="s">
        <v>135</v>
      </c>
      <c r="AN424" t="s">
        <v>135</v>
      </c>
      <c r="AO424" t="s">
        <v>135</v>
      </c>
      <c r="AP424" t="s">
        <v>135</v>
      </c>
      <c r="AQ424" t="s">
        <v>135</v>
      </c>
      <c r="AR424" t="s">
        <v>135</v>
      </c>
      <c r="AS424" t="s">
        <v>135</v>
      </c>
      <c r="AT424" t="s">
        <v>135</v>
      </c>
      <c r="AU424" t="s">
        <v>135</v>
      </c>
      <c r="AV424" t="s">
        <v>135</v>
      </c>
      <c r="AW424" t="s">
        <v>135</v>
      </c>
      <c r="AX424" t="s">
        <v>135</v>
      </c>
      <c r="AY424" t="s">
        <v>135</v>
      </c>
      <c r="AZ424" t="s">
        <v>135</v>
      </c>
      <c r="BA424" t="s">
        <v>135</v>
      </c>
      <c r="BB424" t="s">
        <v>135</v>
      </c>
      <c r="BC424" t="s">
        <v>135</v>
      </c>
      <c r="BD424" t="s">
        <v>135</v>
      </c>
      <c r="BE424" t="s">
        <v>135</v>
      </c>
      <c r="BF424" t="s">
        <v>135</v>
      </c>
      <c r="BG424" t="s">
        <v>135</v>
      </c>
      <c r="BH424" t="s">
        <v>135</v>
      </c>
      <c r="BI424" t="s">
        <v>135</v>
      </c>
      <c r="BJ424" t="s">
        <v>135</v>
      </c>
      <c r="BK424" t="s">
        <v>135</v>
      </c>
      <c r="BL424" t="s">
        <v>135</v>
      </c>
      <c r="BM424" t="s">
        <v>135</v>
      </c>
      <c r="BN424" t="s">
        <v>135</v>
      </c>
      <c r="BO424" t="s">
        <v>135</v>
      </c>
      <c r="BP424" t="s">
        <v>135</v>
      </c>
      <c r="BQ424" t="s">
        <v>135</v>
      </c>
      <c r="BR424" t="s">
        <v>135</v>
      </c>
      <c r="BS424" t="s">
        <v>135</v>
      </c>
      <c r="BT424" t="s">
        <v>135</v>
      </c>
      <c r="BU424" t="s">
        <v>135</v>
      </c>
      <c r="BV424" t="s">
        <v>135</v>
      </c>
      <c r="BW424" t="s">
        <v>135</v>
      </c>
      <c r="BX424" t="s">
        <v>135</v>
      </c>
      <c r="BY424">
        <v>0</v>
      </c>
      <c r="BZ424" t="s">
        <v>135</v>
      </c>
      <c r="CA424">
        <v>0</v>
      </c>
      <c r="CB424" t="s">
        <v>135</v>
      </c>
      <c r="CC424" t="s">
        <v>135</v>
      </c>
      <c r="CD424" t="s">
        <v>135</v>
      </c>
      <c r="CE424" t="s">
        <v>135</v>
      </c>
      <c r="CF424" t="s">
        <v>135</v>
      </c>
      <c r="CG424">
        <v>17.638500000000001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-61.9621</v>
      </c>
      <c r="CO424">
        <v>-162.89580000000001</v>
      </c>
      <c r="CP424" t="s">
        <v>135</v>
      </c>
      <c r="CQ424" t="s">
        <v>135</v>
      </c>
      <c r="CR424">
        <v>6006.31</v>
      </c>
      <c r="CS424" t="s">
        <v>135</v>
      </c>
      <c r="CT424" t="s">
        <v>135</v>
      </c>
      <c r="CU424" t="s">
        <v>135</v>
      </c>
      <c r="CV424" t="s">
        <v>135</v>
      </c>
      <c r="CW424" t="s">
        <v>135</v>
      </c>
      <c r="CX424" t="s">
        <v>135</v>
      </c>
      <c r="CY424" t="s">
        <v>135</v>
      </c>
      <c r="CZ424" t="s">
        <v>135</v>
      </c>
      <c r="DA424" t="s">
        <v>135</v>
      </c>
      <c r="DB424" t="s">
        <v>135</v>
      </c>
      <c r="DC424" t="s">
        <v>135</v>
      </c>
      <c r="DD424" t="s">
        <v>135</v>
      </c>
      <c r="DE424" t="s">
        <v>135</v>
      </c>
      <c r="DF424" t="s">
        <v>135</v>
      </c>
      <c r="DG424" t="s">
        <v>135</v>
      </c>
      <c r="DH424" t="s">
        <v>135</v>
      </c>
      <c r="DI424" t="s">
        <v>135</v>
      </c>
    </row>
    <row r="425" spans="1:113" x14ac:dyDescent="0.3">
      <c r="E425" t="s">
        <v>79</v>
      </c>
      <c r="F425" t="s">
        <v>135</v>
      </c>
      <c r="G425" t="s">
        <v>135</v>
      </c>
      <c r="H425" t="s">
        <v>135</v>
      </c>
      <c r="I425" t="s">
        <v>135</v>
      </c>
      <c r="J425" t="s">
        <v>135</v>
      </c>
      <c r="K425" t="s">
        <v>135</v>
      </c>
      <c r="L425" t="s">
        <v>135</v>
      </c>
      <c r="M425" t="s">
        <v>135</v>
      </c>
      <c r="N425" t="s">
        <v>135</v>
      </c>
      <c r="O425" t="s">
        <v>135</v>
      </c>
      <c r="P425" t="s">
        <v>135</v>
      </c>
      <c r="Q425" t="s">
        <v>135</v>
      </c>
      <c r="R425" t="s">
        <v>135</v>
      </c>
      <c r="S425" t="s">
        <v>135</v>
      </c>
      <c r="T425" t="s">
        <v>135</v>
      </c>
      <c r="U425" t="s">
        <v>135</v>
      </c>
      <c r="V425" t="s">
        <v>135</v>
      </c>
      <c r="W425" t="s">
        <v>135</v>
      </c>
      <c r="X425" t="s">
        <v>135</v>
      </c>
      <c r="Y425" t="s">
        <v>135</v>
      </c>
      <c r="Z425" t="s">
        <v>135</v>
      </c>
      <c r="AA425" t="s">
        <v>135</v>
      </c>
      <c r="AB425" t="s">
        <v>135</v>
      </c>
      <c r="AC425" t="s">
        <v>135</v>
      </c>
      <c r="AD425" t="s">
        <v>135</v>
      </c>
      <c r="AE425" t="s">
        <v>135</v>
      </c>
      <c r="AF425" t="s">
        <v>135</v>
      </c>
      <c r="AG425" t="s">
        <v>135</v>
      </c>
      <c r="AH425" t="s">
        <v>135</v>
      </c>
      <c r="AI425" t="s">
        <v>135</v>
      </c>
      <c r="AJ425" t="s">
        <v>135</v>
      </c>
      <c r="AK425" t="s">
        <v>135</v>
      </c>
      <c r="AL425" t="s">
        <v>135</v>
      </c>
      <c r="AM425" t="s">
        <v>135</v>
      </c>
      <c r="AN425" t="s">
        <v>135</v>
      </c>
      <c r="AO425" t="s">
        <v>135</v>
      </c>
      <c r="AP425" t="s">
        <v>135</v>
      </c>
      <c r="AQ425" t="s">
        <v>135</v>
      </c>
      <c r="AR425" t="s">
        <v>135</v>
      </c>
      <c r="AS425" t="s">
        <v>135</v>
      </c>
      <c r="AT425" t="s">
        <v>135</v>
      </c>
      <c r="AU425" t="s">
        <v>135</v>
      </c>
      <c r="AV425" t="s">
        <v>135</v>
      </c>
      <c r="AW425" t="s">
        <v>135</v>
      </c>
      <c r="AX425" t="s">
        <v>135</v>
      </c>
      <c r="AY425" t="s">
        <v>135</v>
      </c>
      <c r="AZ425" t="s">
        <v>135</v>
      </c>
      <c r="BA425" t="s">
        <v>135</v>
      </c>
      <c r="BB425" t="s">
        <v>135</v>
      </c>
      <c r="BC425" t="s">
        <v>135</v>
      </c>
      <c r="BD425" t="s">
        <v>135</v>
      </c>
      <c r="BE425" t="s">
        <v>135</v>
      </c>
      <c r="BF425" t="s">
        <v>135</v>
      </c>
      <c r="BG425" t="s">
        <v>135</v>
      </c>
      <c r="BH425" t="s">
        <v>135</v>
      </c>
      <c r="BI425" t="s">
        <v>135</v>
      </c>
      <c r="BJ425" t="s">
        <v>135</v>
      </c>
      <c r="BK425" t="s">
        <v>135</v>
      </c>
      <c r="BL425" t="s">
        <v>135</v>
      </c>
      <c r="BM425" t="s">
        <v>135</v>
      </c>
      <c r="BN425" t="s">
        <v>135</v>
      </c>
      <c r="BO425" t="s">
        <v>135</v>
      </c>
      <c r="BP425" t="s">
        <v>135</v>
      </c>
      <c r="BQ425" t="s">
        <v>135</v>
      </c>
      <c r="BR425" t="s">
        <v>135</v>
      </c>
      <c r="BS425" t="s">
        <v>135</v>
      </c>
      <c r="BT425" t="s">
        <v>135</v>
      </c>
      <c r="BU425" t="s">
        <v>135</v>
      </c>
      <c r="BV425" t="s">
        <v>135</v>
      </c>
      <c r="BW425" t="s">
        <v>135</v>
      </c>
      <c r="BX425" t="s">
        <v>135</v>
      </c>
      <c r="BY425" t="s">
        <v>135</v>
      </c>
      <c r="BZ425" t="s">
        <v>135</v>
      </c>
      <c r="CA425" t="s">
        <v>135</v>
      </c>
      <c r="CB425" t="s">
        <v>135</v>
      </c>
      <c r="CC425" t="s">
        <v>135</v>
      </c>
      <c r="CD425" t="s">
        <v>135</v>
      </c>
      <c r="CE425" t="s">
        <v>135</v>
      </c>
      <c r="CF425" t="s">
        <v>135</v>
      </c>
      <c r="CG425" t="s">
        <v>135</v>
      </c>
      <c r="CH425" t="s">
        <v>135</v>
      </c>
      <c r="CI425" t="s">
        <v>135</v>
      </c>
      <c r="CJ425" t="s">
        <v>135</v>
      </c>
      <c r="CK425" t="s">
        <v>135</v>
      </c>
      <c r="CL425" t="s">
        <v>135</v>
      </c>
      <c r="CM425" t="s">
        <v>135</v>
      </c>
      <c r="CN425" t="s">
        <v>135</v>
      </c>
      <c r="CO425" t="s">
        <v>135</v>
      </c>
      <c r="CP425" t="s">
        <v>135</v>
      </c>
      <c r="CQ425" t="s">
        <v>135</v>
      </c>
      <c r="CR425" t="s">
        <v>135</v>
      </c>
      <c r="CS425" t="s">
        <v>135</v>
      </c>
      <c r="CT425" t="s">
        <v>135</v>
      </c>
      <c r="CU425" t="s">
        <v>135</v>
      </c>
      <c r="CV425" t="s">
        <v>135</v>
      </c>
      <c r="CW425" t="s">
        <v>135</v>
      </c>
      <c r="CX425" t="s">
        <v>135</v>
      </c>
      <c r="CY425" t="s">
        <v>135</v>
      </c>
      <c r="CZ425" t="s">
        <v>135</v>
      </c>
      <c r="DA425" t="s">
        <v>135</v>
      </c>
      <c r="DB425" t="s">
        <v>135</v>
      </c>
      <c r="DC425" t="s">
        <v>135</v>
      </c>
      <c r="DD425" t="s">
        <v>135</v>
      </c>
      <c r="DE425" t="s">
        <v>135</v>
      </c>
      <c r="DF425" t="s">
        <v>135</v>
      </c>
      <c r="DG425" t="s">
        <v>135</v>
      </c>
      <c r="DH425" t="s">
        <v>135</v>
      </c>
      <c r="DI425" t="s">
        <v>135</v>
      </c>
    </row>
    <row r="426" spans="1:113" x14ac:dyDescent="0.3">
      <c r="E426" t="s">
        <v>80</v>
      </c>
      <c r="F426" t="s">
        <v>135</v>
      </c>
      <c r="G426" t="s">
        <v>135</v>
      </c>
      <c r="H426" t="s">
        <v>135</v>
      </c>
      <c r="I426" t="s">
        <v>135</v>
      </c>
      <c r="J426" t="s">
        <v>135</v>
      </c>
      <c r="K426">
        <v>6.1056999999999997</v>
      </c>
      <c r="L426" t="s">
        <v>135</v>
      </c>
      <c r="M426">
        <v>13.0349</v>
      </c>
      <c r="N426">
        <v>10.4613</v>
      </c>
      <c r="O426">
        <v>10.4613</v>
      </c>
      <c r="P426">
        <v>10.4613</v>
      </c>
      <c r="Q426">
        <v>19.7439</v>
      </c>
      <c r="R426">
        <v>60.248199999999997</v>
      </c>
      <c r="S426" t="s">
        <v>135</v>
      </c>
      <c r="T426" t="s">
        <v>135</v>
      </c>
      <c r="U426" t="s">
        <v>135</v>
      </c>
      <c r="V426" t="s">
        <v>135</v>
      </c>
      <c r="W426" t="s">
        <v>135</v>
      </c>
      <c r="X426" t="s">
        <v>135</v>
      </c>
      <c r="Y426" t="s">
        <v>135</v>
      </c>
      <c r="Z426" t="s">
        <v>135</v>
      </c>
      <c r="AA426" t="s">
        <v>135</v>
      </c>
      <c r="AB426" t="s">
        <v>135</v>
      </c>
      <c r="AC426" t="s">
        <v>135</v>
      </c>
      <c r="AD426" t="s">
        <v>135</v>
      </c>
      <c r="AE426" t="s">
        <v>135</v>
      </c>
      <c r="AF426" t="s">
        <v>135</v>
      </c>
      <c r="AG426" t="s">
        <v>135</v>
      </c>
      <c r="AH426" t="s">
        <v>135</v>
      </c>
      <c r="AI426" t="s">
        <v>135</v>
      </c>
      <c r="AJ426" t="s">
        <v>135</v>
      </c>
      <c r="AK426" t="s">
        <v>135</v>
      </c>
      <c r="AL426" t="s">
        <v>135</v>
      </c>
      <c r="AM426" t="s">
        <v>135</v>
      </c>
      <c r="AN426" t="s">
        <v>135</v>
      </c>
      <c r="AO426" t="s">
        <v>135</v>
      </c>
      <c r="AP426" t="s">
        <v>135</v>
      </c>
      <c r="AQ426" t="s">
        <v>135</v>
      </c>
      <c r="AR426" t="s">
        <v>135</v>
      </c>
      <c r="AS426" t="s">
        <v>135</v>
      </c>
      <c r="AT426" t="s">
        <v>135</v>
      </c>
      <c r="AU426" t="s">
        <v>135</v>
      </c>
      <c r="AV426" t="s">
        <v>135</v>
      </c>
      <c r="AW426" t="s">
        <v>135</v>
      </c>
      <c r="AX426" t="s">
        <v>135</v>
      </c>
      <c r="AY426" t="s">
        <v>135</v>
      </c>
      <c r="AZ426" t="s">
        <v>135</v>
      </c>
      <c r="BA426" t="s">
        <v>135</v>
      </c>
      <c r="BB426" t="s">
        <v>135</v>
      </c>
      <c r="BC426" t="s">
        <v>135</v>
      </c>
      <c r="BD426" t="s">
        <v>135</v>
      </c>
      <c r="BE426" t="s">
        <v>135</v>
      </c>
      <c r="BF426" t="s">
        <v>135</v>
      </c>
      <c r="BG426" t="s">
        <v>135</v>
      </c>
      <c r="BH426" t="s">
        <v>135</v>
      </c>
      <c r="BI426" t="s">
        <v>135</v>
      </c>
      <c r="BJ426" t="s">
        <v>135</v>
      </c>
      <c r="BK426" t="s">
        <v>135</v>
      </c>
      <c r="BL426" t="s">
        <v>135</v>
      </c>
      <c r="BM426" t="s">
        <v>135</v>
      </c>
      <c r="BN426" t="s">
        <v>135</v>
      </c>
      <c r="BO426" t="s">
        <v>135</v>
      </c>
      <c r="BP426" t="s">
        <v>135</v>
      </c>
      <c r="BQ426" t="s">
        <v>135</v>
      </c>
      <c r="BR426" t="s">
        <v>135</v>
      </c>
      <c r="BS426" t="s">
        <v>135</v>
      </c>
      <c r="BT426" t="s">
        <v>135</v>
      </c>
      <c r="BU426" t="s">
        <v>135</v>
      </c>
      <c r="BV426" t="s">
        <v>135</v>
      </c>
      <c r="BW426" t="s">
        <v>135</v>
      </c>
      <c r="BX426" t="s">
        <v>135</v>
      </c>
      <c r="BY426" t="s">
        <v>135</v>
      </c>
      <c r="BZ426" t="s">
        <v>135</v>
      </c>
      <c r="CA426" t="s">
        <v>135</v>
      </c>
      <c r="CB426" t="s">
        <v>135</v>
      </c>
      <c r="CC426" t="s">
        <v>135</v>
      </c>
      <c r="CD426" t="s">
        <v>135</v>
      </c>
      <c r="CE426" t="s">
        <v>135</v>
      </c>
      <c r="CF426" t="s">
        <v>135</v>
      </c>
      <c r="CG426" t="s">
        <v>135</v>
      </c>
      <c r="CH426" t="s">
        <v>135</v>
      </c>
      <c r="CI426" t="s">
        <v>135</v>
      </c>
      <c r="CJ426" t="s">
        <v>135</v>
      </c>
      <c r="CK426" t="s">
        <v>135</v>
      </c>
      <c r="CL426" t="s">
        <v>135</v>
      </c>
      <c r="CM426" t="s">
        <v>135</v>
      </c>
      <c r="CN426" t="s">
        <v>135</v>
      </c>
      <c r="CO426" t="s">
        <v>135</v>
      </c>
      <c r="CP426" t="s">
        <v>135</v>
      </c>
      <c r="CQ426" t="s">
        <v>135</v>
      </c>
      <c r="CR426">
        <v>3602.8</v>
      </c>
      <c r="CS426" t="s">
        <v>135</v>
      </c>
      <c r="CT426" t="s">
        <v>135</v>
      </c>
      <c r="CU426" t="s">
        <v>135</v>
      </c>
      <c r="CV426" t="s">
        <v>135</v>
      </c>
      <c r="CW426" t="s">
        <v>135</v>
      </c>
      <c r="CX426" t="s">
        <v>135</v>
      </c>
      <c r="CY426" t="s">
        <v>135</v>
      </c>
      <c r="CZ426" t="s">
        <v>135</v>
      </c>
      <c r="DA426" t="s">
        <v>135</v>
      </c>
      <c r="DB426" t="s">
        <v>135</v>
      </c>
      <c r="DC426" t="s">
        <v>135</v>
      </c>
      <c r="DD426" t="s">
        <v>135</v>
      </c>
      <c r="DE426" t="s">
        <v>135</v>
      </c>
      <c r="DF426" t="s">
        <v>135</v>
      </c>
      <c r="DG426" t="s">
        <v>135</v>
      </c>
      <c r="DH426" t="s">
        <v>135</v>
      </c>
      <c r="DI426" t="s">
        <v>135</v>
      </c>
    </row>
    <row r="427" spans="1:113" x14ac:dyDescent="0.3">
      <c r="E427" t="s">
        <v>81</v>
      </c>
      <c r="F427" t="s">
        <v>135</v>
      </c>
      <c r="G427" t="s">
        <v>135</v>
      </c>
      <c r="H427" t="s">
        <v>135</v>
      </c>
      <c r="I427" t="s">
        <v>135</v>
      </c>
      <c r="J427" t="s">
        <v>135</v>
      </c>
      <c r="K427" t="s">
        <v>135</v>
      </c>
      <c r="L427" t="s">
        <v>135</v>
      </c>
      <c r="M427" t="s">
        <v>135</v>
      </c>
      <c r="N427" t="s">
        <v>135</v>
      </c>
      <c r="O427" t="s">
        <v>135</v>
      </c>
      <c r="P427" t="s">
        <v>135</v>
      </c>
      <c r="Q427" t="s">
        <v>135</v>
      </c>
      <c r="R427" t="s">
        <v>135</v>
      </c>
      <c r="S427" t="s">
        <v>135</v>
      </c>
      <c r="T427" t="s">
        <v>135</v>
      </c>
      <c r="U427" t="s">
        <v>135</v>
      </c>
      <c r="V427" t="s">
        <v>135</v>
      </c>
      <c r="W427" t="s">
        <v>135</v>
      </c>
      <c r="X427" t="s">
        <v>135</v>
      </c>
      <c r="Y427" t="s">
        <v>135</v>
      </c>
      <c r="Z427" t="s">
        <v>135</v>
      </c>
      <c r="AA427" t="s">
        <v>135</v>
      </c>
      <c r="AB427" t="s">
        <v>135</v>
      </c>
      <c r="AC427" t="s">
        <v>135</v>
      </c>
      <c r="AD427" t="s">
        <v>135</v>
      </c>
      <c r="AE427" t="s">
        <v>135</v>
      </c>
      <c r="AF427" t="s">
        <v>135</v>
      </c>
      <c r="AG427" t="s">
        <v>135</v>
      </c>
      <c r="AH427" t="s">
        <v>135</v>
      </c>
      <c r="AI427" t="s">
        <v>135</v>
      </c>
      <c r="AJ427" t="s">
        <v>135</v>
      </c>
      <c r="AK427" t="s">
        <v>135</v>
      </c>
      <c r="AL427" t="s">
        <v>135</v>
      </c>
      <c r="AM427" t="s">
        <v>135</v>
      </c>
      <c r="AN427" t="s">
        <v>135</v>
      </c>
      <c r="AO427" t="s">
        <v>135</v>
      </c>
      <c r="AP427" t="s">
        <v>135</v>
      </c>
      <c r="AQ427" t="s">
        <v>135</v>
      </c>
      <c r="AR427" t="s">
        <v>135</v>
      </c>
      <c r="AS427" t="s">
        <v>135</v>
      </c>
      <c r="AT427" t="s">
        <v>135</v>
      </c>
      <c r="AU427" t="s">
        <v>135</v>
      </c>
      <c r="AV427" t="s">
        <v>135</v>
      </c>
      <c r="AW427" t="s">
        <v>135</v>
      </c>
      <c r="AX427" t="s">
        <v>135</v>
      </c>
      <c r="AY427" t="s">
        <v>135</v>
      </c>
      <c r="AZ427" t="s">
        <v>135</v>
      </c>
      <c r="BA427" t="s">
        <v>135</v>
      </c>
      <c r="BB427" t="s">
        <v>135</v>
      </c>
      <c r="BC427" t="s">
        <v>135</v>
      </c>
      <c r="BD427" t="s">
        <v>135</v>
      </c>
      <c r="BE427" t="s">
        <v>135</v>
      </c>
      <c r="BF427" t="s">
        <v>135</v>
      </c>
      <c r="BG427" t="s">
        <v>135</v>
      </c>
      <c r="BH427" t="s">
        <v>135</v>
      </c>
      <c r="BI427" t="s">
        <v>135</v>
      </c>
      <c r="BJ427" t="s">
        <v>135</v>
      </c>
      <c r="BK427" t="s">
        <v>135</v>
      </c>
      <c r="BL427" t="s">
        <v>135</v>
      </c>
      <c r="BM427" t="s">
        <v>135</v>
      </c>
      <c r="BN427" t="s">
        <v>135</v>
      </c>
      <c r="BO427" t="s">
        <v>135</v>
      </c>
      <c r="BP427" t="s">
        <v>135</v>
      </c>
      <c r="BQ427" t="s">
        <v>135</v>
      </c>
      <c r="BR427" t="s">
        <v>135</v>
      </c>
      <c r="BS427" t="s">
        <v>135</v>
      </c>
      <c r="BT427" t="s">
        <v>135</v>
      </c>
      <c r="BU427" t="s">
        <v>135</v>
      </c>
      <c r="BV427" t="s">
        <v>135</v>
      </c>
      <c r="BW427" t="s">
        <v>135</v>
      </c>
      <c r="BX427" t="s">
        <v>135</v>
      </c>
      <c r="BY427" t="s">
        <v>135</v>
      </c>
      <c r="BZ427" t="s">
        <v>135</v>
      </c>
      <c r="CA427" t="s">
        <v>135</v>
      </c>
      <c r="CB427" t="s">
        <v>135</v>
      </c>
      <c r="CC427" t="s">
        <v>135</v>
      </c>
      <c r="CD427" t="s">
        <v>135</v>
      </c>
      <c r="CE427" t="s">
        <v>135</v>
      </c>
      <c r="CF427" t="s">
        <v>135</v>
      </c>
      <c r="CG427" t="s">
        <v>135</v>
      </c>
      <c r="CH427" t="s">
        <v>135</v>
      </c>
      <c r="CI427" t="s">
        <v>135</v>
      </c>
      <c r="CJ427" t="s">
        <v>135</v>
      </c>
      <c r="CK427" t="s">
        <v>135</v>
      </c>
      <c r="CL427" t="s">
        <v>135</v>
      </c>
      <c r="CM427" t="s">
        <v>135</v>
      </c>
      <c r="CN427" t="s">
        <v>135</v>
      </c>
      <c r="CO427" t="s">
        <v>135</v>
      </c>
      <c r="CP427" t="s">
        <v>135</v>
      </c>
      <c r="CQ427" t="s">
        <v>135</v>
      </c>
      <c r="CR427" t="s">
        <v>135</v>
      </c>
      <c r="CS427" t="s">
        <v>135</v>
      </c>
      <c r="CT427" t="s">
        <v>135</v>
      </c>
      <c r="CU427" t="s">
        <v>135</v>
      </c>
      <c r="CV427" t="s">
        <v>135</v>
      </c>
      <c r="CW427" t="s">
        <v>135</v>
      </c>
      <c r="CX427" t="s">
        <v>135</v>
      </c>
      <c r="CY427" t="s">
        <v>135</v>
      </c>
      <c r="CZ427" t="s">
        <v>135</v>
      </c>
      <c r="DA427" t="s">
        <v>135</v>
      </c>
      <c r="DB427" t="s">
        <v>135</v>
      </c>
      <c r="DC427" t="s">
        <v>135</v>
      </c>
      <c r="DD427" t="s">
        <v>135</v>
      </c>
      <c r="DE427" t="s">
        <v>135</v>
      </c>
      <c r="DF427" t="s">
        <v>135</v>
      </c>
      <c r="DG427" t="s">
        <v>135</v>
      </c>
      <c r="DH427" t="s">
        <v>135</v>
      </c>
      <c r="DI427" t="s">
        <v>135</v>
      </c>
    </row>
    <row r="428" spans="1:113" x14ac:dyDescent="0.3">
      <c r="A428">
        <v>93</v>
      </c>
      <c r="B428" t="s">
        <v>117</v>
      </c>
      <c r="C428" t="s">
        <v>118</v>
      </c>
      <c r="D428" t="s">
        <v>76</v>
      </c>
      <c r="E428" t="s">
        <v>77</v>
      </c>
      <c r="F428">
        <v>32.718000000000004</v>
      </c>
      <c r="G428">
        <v>12.2544</v>
      </c>
      <c r="H428">
        <v>28.906400000000001</v>
      </c>
      <c r="I428">
        <v>26.913900000000002</v>
      </c>
      <c r="J428">
        <v>9.6682000000000006</v>
      </c>
      <c r="K428">
        <v>9.0442999999999998</v>
      </c>
      <c r="L428">
        <v>3.6034000000000002</v>
      </c>
      <c r="M428">
        <v>9.3280999999999992</v>
      </c>
      <c r="N428">
        <v>6.7885999999999997</v>
      </c>
      <c r="O428">
        <v>6.7885999999999997</v>
      </c>
      <c r="P428">
        <v>6.7885999999999997</v>
      </c>
      <c r="Q428">
        <v>27.242899999999999</v>
      </c>
      <c r="R428">
        <v>25.3673</v>
      </c>
      <c r="S428">
        <v>24.418299999999999</v>
      </c>
      <c r="T428">
        <v>8.0524000000000004</v>
      </c>
      <c r="U428">
        <v>4.0133999999999999</v>
      </c>
      <c r="V428">
        <v>3.06</v>
      </c>
      <c r="W428">
        <v>1.3187</v>
      </c>
      <c r="X428">
        <v>1.3464</v>
      </c>
      <c r="Y428">
        <v>0</v>
      </c>
      <c r="Z428">
        <v>-7.0598999999999998</v>
      </c>
      <c r="AA428">
        <v>5.1372</v>
      </c>
      <c r="AB428">
        <v>29.687799999999999</v>
      </c>
      <c r="AC428">
        <v>3.8782000000000001</v>
      </c>
      <c r="AD428">
        <v>80.993899999999996</v>
      </c>
      <c r="AE428">
        <v>30.048300000000001</v>
      </c>
      <c r="AF428">
        <v>-59.035200000000003</v>
      </c>
      <c r="AG428">
        <v>13272.7976</v>
      </c>
      <c r="AH428">
        <v>13272.7976</v>
      </c>
      <c r="AI428">
        <v>28.067599999999999</v>
      </c>
      <c r="AJ428">
        <v>68.517300000000006</v>
      </c>
      <c r="AK428">
        <v>28.067599999999999</v>
      </c>
      <c r="AL428" t="s">
        <v>135</v>
      </c>
      <c r="AM428">
        <v>23.0822</v>
      </c>
      <c r="AN428">
        <v>28.130400000000002</v>
      </c>
      <c r="AO428">
        <v>30.2958</v>
      </c>
      <c r="AP428">
        <v>34.996899999999997</v>
      </c>
      <c r="AQ428">
        <v>35.000799999999998</v>
      </c>
      <c r="AR428">
        <v>33.244700000000002</v>
      </c>
      <c r="AS428">
        <v>7.7661999999999995</v>
      </c>
      <c r="AT428">
        <v>26.282399999999999</v>
      </c>
      <c r="AU428">
        <v>20.137799999999999</v>
      </c>
      <c r="AV428">
        <v>27.9314</v>
      </c>
      <c r="AW428">
        <v>38.796700000000001</v>
      </c>
      <c r="AX428">
        <v>34.978900000000003</v>
      </c>
      <c r="AY428">
        <v>4.2903000000000002</v>
      </c>
      <c r="AZ428">
        <v>70.972800000000007</v>
      </c>
      <c r="BA428">
        <v>37.103000000000002</v>
      </c>
      <c r="BB428">
        <v>35.228700000000003</v>
      </c>
      <c r="BC428">
        <v>35.668900000000001</v>
      </c>
      <c r="BD428">
        <v>35.228700000000003</v>
      </c>
      <c r="BE428" t="s">
        <v>135</v>
      </c>
      <c r="BF428">
        <v>8.0524000000000004</v>
      </c>
      <c r="BG428">
        <v>4.0133999999999999</v>
      </c>
      <c r="BH428">
        <v>3.06</v>
      </c>
      <c r="BI428">
        <v>1.3187</v>
      </c>
      <c r="BJ428">
        <v>1.3464</v>
      </c>
      <c r="BK428">
        <v>0</v>
      </c>
      <c r="BL428">
        <v>-7.0598999999999998</v>
      </c>
      <c r="BM428">
        <v>5.1372</v>
      </c>
      <c r="BN428">
        <v>29.687799999999999</v>
      </c>
      <c r="BO428">
        <v>3.8782000000000001</v>
      </c>
      <c r="BP428">
        <v>80.993899999999996</v>
      </c>
      <c r="BQ428">
        <v>30.048300000000001</v>
      </c>
      <c r="BR428">
        <v>-59.035200000000003</v>
      </c>
      <c r="BS428">
        <v>13272.7976</v>
      </c>
      <c r="BT428">
        <v>13272.7976</v>
      </c>
      <c r="BU428">
        <v>28.067599999999999</v>
      </c>
      <c r="BV428">
        <v>68.517300000000006</v>
      </c>
      <c r="BW428">
        <v>28.067599999999999</v>
      </c>
      <c r="BX428">
        <v>-200.76230000000001</v>
      </c>
      <c r="BY428">
        <v>8069.6809999999996</v>
      </c>
      <c r="BZ428">
        <v>8069.6809999999996</v>
      </c>
      <c r="CA428">
        <v>0</v>
      </c>
      <c r="CB428">
        <v>0.77100000000000002</v>
      </c>
      <c r="CC428">
        <v>1.4999999999999999E-2</v>
      </c>
      <c r="CD428">
        <v>0.82420000000000004</v>
      </c>
      <c r="CE428">
        <v>1.6E-2</v>
      </c>
      <c r="CF428">
        <v>23.882400000000001</v>
      </c>
      <c r="CG428">
        <v>41.279000000000003</v>
      </c>
      <c r="CH428">
        <v>0</v>
      </c>
      <c r="CI428">
        <v>0</v>
      </c>
      <c r="CJ428">
        <v>0</v>
      </c>
      <c r="CK428">
        <v>31.9877</v>
      </c>
      <c r="CL428">
        <v>24.235399999999998</v>
      </c>
      <c r="CM428">
        <v>13.2042</v>
      </c>
      <c r="CN428">
        <v>0.62170000000000003</v>
      </c>
      <c r="CO428">
        <v>0.6179</v>
      </c>
      <c r="CP428">
        <v>10466.956</v>
      </c>
      <c r="CQ428">
        <v>8338.6029999999992</v>
      </c>
      <c r="CR428">
        <v>9791.5010000000002</v>
      </c>
      <c r="CS428">
        <v>0.22520000000000001</v>
      </c>
      <c r="CT428">
        <v>1.4932000000000001</v>
      </c>
      <c r="CU428">
        <v>0.26900000000000002</v>
      </c>
      <c r="CV428">
        <v>6.7580999999999998</v>
      </c>
      <c r="CW428">
        <v>67.6721</v>
      </c>
      <c r="CX428">
        <v>5.3936999999999999</v>
      </c>
      <c r="CY428">
        <v>2.1593999999999998</v>
      </c>
      <c r="CZ428">
        <v>169.0316</v>
      </c>
      <c r="DA428">
        <v>5.6402999999999999</v>
      </c>
      <c r="DB428">
        <v>64.713300000000004</v>
      </c>
      <c r="DC428">
        <v>109.712</v>
      </c>
      <c r="DD428">
        <v>174.42519999999999</v>
      </c>
      <c r="DE428">
        <v>38693.947999999997</v>
      </c>
      <c r="DF428">
        <v>5609.8649999999998</v>
      </c>
      <c r="DG428">
        <v>1265.6990000000001</v>
      </c>
      <c r="DH428">
        <v>21665.592000000001</v>
      </c>
      <c r="DI428">
        <v>10152.791999999999</v>
      </c>
    </row>
    <row r="429" spans="1:113" x14ac:dyDescent="0.3">
      <c r="E429" t="s">
        <v>78</v>
      </c>
      <c r="F429" t="s">
        <v>135</v>
      </c>
      <c r="G429" t="s">
        <v>135</v>
      </c>
      <c r="H429" t="s">
        <v>135</v>
      </c>
      <c r="I429" t="s">
        <v>135</v>
      </c>
      <c r="J429" t="s">
        <v>135</v>
      </c>
      <c r="K429" t="s">
        <v>135</v>
      </c>
      <c r="L429" t="s">
        <v>135</v>
      </c>
      <c r="M429" t="s">
        <v>135</v>
      </c>
      <c r="N429" t="s">
        <v>135</v>
      </c>
      <c r="O429" t="s">
        <v>135</v>
      </c>
      <c r="P429" t="s">
        <v>135</v>
      </c>
      <c r="Q429" t="s">
        <v>135</v>
      </c>
      <c r="R429" t="s">
        <v>135</v>
      </c>
      <c r="S429" t="s">
        <v>135</v>
      </c>
      <c r="T429" t="s">
        <v>135</v>
      </c>
      <c r="U429" t="s">
        <v>135</v>
      </c>
      <c r="V429" t="s">
        <v>135</v>
      </c>
      <c r="W429" t="s">
        <v>135</v>
      </c>
      <c r="X429" t="s">
        <v>135</v>
      </c>
      <c r="Y429" t="s">
        <v>135</v>
      </c>
      <c r="Z429" t="s">
        <v>135</v>
      </c>
      <c r="AA429" t="s">
        <v>135</v>
      </c>
      <c r="AB429" t="s">
        <v>135</v>
      </c>
      <c r="AC429" t="s">
        <v>135</v>
      </c>
      <c r="AD429" t="s">
        <v>135</v>
      </c>
      <c r="AE429" t="s">
        <v>135</v>
      </c>
      <c r="AF429" t="s">
        <v>135</v>
      </c>
      <c r="AG429" t="s">
        <v>135</v>
      </c>
      <c r="AH429" t="s">
        <v>135</v>
      </c>
      <c r="AI429" t="s">
        <v>135</v>
      </c>
      <c r="AJ429" t="s">
        <v>135</v>
      </c>
      <c r="AK429" t="s">
        <v>135</v>
      </c>
      <c r="AL429" t="s">
        <v>135</v>
      </c>
      <c r="AM429" t="s">
        <v>135</v>
      </c>
      <c r="AN429" t="s">
        <v>135</v>
      </c>
      <c r="AO429" t="s">
        <v>135</v>
      </c>
      <c r="AP429" t="s">
        <v>135</v>
      </c>
      <c r="AQ429" t="s">
        <v>135</v>
      </c>
      <c r="AR429" t="s">
        <v>135</v>
      </c>
      <c r="AS429" t="s">
        <v>135</v>
      </c>
      <c r="AT429" t="s">
        <v>135</v>
      </c>
      <c r="AU429" t="s">
        <v>135</v>
      </c>
      <c r="AV429" t="s">
        <v>135</v>
      </c>
      <c r="AW429" t="s">
        <v>135</v>
      </c>
      <c r="AX429" t="s">
        <v>135</v>
      </c>
      <c r="AY429" t="s">
        <v>135</v>
      </c>
      <c r="AZ429" t="s">
        <v>135</v>
      </c>
      <c r="BA429" t="s">
        <v>135</v>
      </c>
      <c r="BB429" t="s">
        <v>135</v>
      </c>
      <c r="BC429" t="s">
        <v>135</v>
      </c>
      <c r="BD429" t="s">
        <v>135</v>
      </c>
      <c r="BE429" t="s">
        <v>135</v>
      </c>
      <c r="BF429" t="s">
        <v>135</v>
      </c>
      <c r="BG429" t="s">
        <v>135</v>
      </c>
      <c r="BH429" t="s">
        <v>135</v>
      </c>
      <c r="BI429" t="s">
        <v>135</v>
      </c>
      <c r="BJ429" t="s">
        <v>135</v>
      </c>
      <c r="BK429" t="s">
        <v>135</v>
      </c>
      <c r="BL429" t="s">
        <v>135</v>
      </c>
      <c r="BM429" t="s">
        <v>135</v>
      </c>
      <c r="BN429" t="s">
        <v>135</v>
      </c>
      <c r="BO429" t="s">
        <v>135</v>
      </c>
      <c r="BP429" t="s">
        <v>135</v>
      </c>
      <c r="BQ429" t="s">
        <v>135</v>
      </c>
      <c r="BR429" t="s">
        <v>135</v>
      </c>
      <c r="BS429" t="s">
        <v>135</v>
      </c>
      <c r="BT429" t="s">
        <v>135</v>
      </c>
      <c r="BU429" t="s">
        <v>135</v>
      </c>
      <c r="BV429" t="s">
        <v>135</v>
      </c>
      <c r="BW429" t="s">
        <v>135</v>
      </c>
      <c r="BX429" t="s">
        <v>135</v>
      </c>
      <c r="BY429" t="s">
        <v>135</v>
      </c>
      <c r="BZ429" t="s">
        <v>135</v>
      </c>
      <c r="CA429" t="s">
        <v>135</v>
      </c>
      <c r="CB429" t="s">
        <v>135</v>
      </c>
      <c r="CC429" t="s">
        <v>135</v>
      </c>
      <c r="CD429" t="s">
        <v>135</v>
      </c>
      <c r="CE429" t="s">
        <v>135</v>
      </c>
      <c r="CF429" t="s">
        <v>135</v>
      </c>
      <c r="CG429" t="s">
        <v>135</v>
      </c>
      <c r="CH429" t="s">
        <v>135</v>
      </c>
      <c r="CI429" t="s">
        <v>135</v>
      </c>
      <c r="CJ429" t="s">
        <v>135</v>
      </c>
      <c r="CK429" t="s">
        <v>135</v>
      </c>
      <c r="CL429" t="s">
        <v>135</v>
      </c>
      <c r="CM429" t="s">
        <v>135</v>
      </c>
      <c r="CN429" t="s">
        <v>135</v>
      </c>
      <c r="CO429" t="s">
        <v>135</v>
      </c>
      <c r="CP429" t="s">
        <v>135</v>
      </c>
      <c r="CQ429" t="s">
        <v>135</v>
      </c>
      <c r="CR429" t="s">
        <v>135</v>
      </c>
      <c r="CS429" t="s">
        <v>135</v>
      </c>
      <c r="CT429" t="s">
        <v>135</v>
      </c>
      <c r="CU429" t="s">
        <v>135</v>
      </c>
      <c r="CV429" t="s">
        <v>135</v>
      </c>
      <c r="CW429" t="s">
        <v>135</v>
      </c>
      <c r="CX429" t="s">
        <v>135</v>
      </c>
      <c r="CY429" t="s">
        <v>135</v>
      </c>
      <c r="CZ429" t="s">
        <v>135</v>
      </c>
      <c r="DA429" t="s">
        <v>135</v>
      </c>
      <c r="DB429" t="s">
        <v>135</v>
      </c>
      <c r="DC429" t="s">
        <v>135</v>
      </c>
      <c r="DD429" t="s">
        <v>135</v>
      </c>
      <c r="DE429" t="s">
        <v>135</v>
      </c>
      <c r="DF429" t="s">
        <v>135</v>
      </c>
      <c r="DG429" t="s">
        <v>135</v>
      </c>
      <c r="DH429" t="s">
        <v>135</v>
      </c>
      <c r="DI429" t="s">
        <v>135</v>
      </c>
    </row>
    <row r="430" spans="1:113" x14ac:dyDescent="0.3">
      <c r="E430" t="s">
        <v>79</v>
      </c>
      <c r="F430" t="s">
        <v>135</v>
      </c>
      <c r="G430" t="s">
        <v>135</v>
      </c>
      <c r="H430" t="s">
        <v>135</v>
      </c>
      <c r="I430" t="s">
        <v>135</v>
      </c>
      <c r="J430" t="s">
        <v>135</v>
      </c>
      <c r="K430" t="s">
        <v>135</v>
      </c>
      <c r="L430" t="s">
        <v>135</v>
      </c>
      <c r="M430" t="s">
        <v>135</v>
      </c>
      <c r="N430" t="s">
        <v>135</v>
      </c>
      <c r="O430" t="s">
        <v>135</v>
      </c>
      <c r="P430" t="s">
        <v>135</v>
      </c>
      <c r="Q430" t="s">
        <v>135</v>
      </c>
      <c r="R430" t="s">
        <v>135</v>
      </c>
      <c r="S430" t="s">
        <v>135</v>
      </c>
      <c r="T430" t="s">
        <v>135</v>
      </c>
      <c r="U430" t="s">
        <v>135</v>
      </c>
      <c r="V430" t="s">
        <v>135</v>
      </c>
      <c r="W430" t="s">
        <v>135</v>
      </c>
      <c r="X430" t="s">
        <v>135</v>
      </c>
      <c r="Y430" t="s">
        <v>135</v>
      </c>
      <c r="Z430" t="s">
        <v>135</v>
      </c>
      <c r="AA430" t="s">
        <v>135</v>
      </c>
      <c r="AB430" t="s">
        <v>135</v>
      </c>
      <c r="AC430" t="s">
        <v>135</v>
      </c>
      <c r="AD430" t="s">
        <v>135</v>
      </c>
      <c r="AE430" t="s">
        <v>135</v>
      </c>
      <c r="AF430" t="s">
        <v>135</v>
      </c>
      <c r="AG430" t="s">
        <v>135</v>
      </c>
      <c r="AH430" t="s">
        <v>135</v>
      </c>
      <c r="AI430" t="s">
        <v>135</v>
      </c>
      <c r="AJ430" t="s">
        <v>135</v>
      </c>
      <c r="AK430" t="s">
        <v>135</v>
      </c>
      <c r="AL430" t="s">
        <v>135</v>
      </c>
      <c r="AM430" t="s">
        <v>135</v>
      </c>
      <c r="AN430" t="s">
        <v>135</v>
      </c>
      <c r="AO430" t="s">
        <v>135</v>
      </c>
      <c r="AP430" t="s">
        <v>135</v>
      </c>
      <c r="AQ430" t="s">
        <v>135</v>
      </c>
      <c r="AR430" t="s">
        <v>135</v>
      </c>
      <c r="AS430" t="s">
        <v>135</v>
      </c>
      <c r="AT430" t="s">
        <v>135</v>
      </c>
      <c r="AU430" t="s">
        <v>135</v>
      </c>
      <c r="AV430" t="s">
        <v>135</v>
      </c>
      <c r="AW430" t="s">
        <v>135</v>
      </c>
      <c r="AX430" t="s">
        <v>135</v>
      </c>
      <c r="AY430" t="s">
        <v>135</v>
      </c>
      <c r="AZ430" t="s">
        <v>135</v>
      </c>
      <c r="BA430" t="s">
        <v>135</v>
      </c>
      <c r="BB430" t="s">
        <v>135</v>
      </c>
      <c r="BC430" t="s">
        <v>135</v>
      </c>
      <c r="BD430" t="s">
        <v>135</v>
      </c>
      <c r="BE430" t="s">
        <v>135</v>
      </c>
      <c r="BF430" t="s">
        <v>135</v>
      </c>
      <c r="BG430" t="s">
        <v>135</v>
      </c>
      <c r="BH430" t="s">
        <v>135</v>
      </c>
      <c r="BI430" t="s">
        <v>135</v>
      </c>
      <c r="BJ430" t="s">
        <v>135</v>
      </c>
      <c r="BK430" t="s">
        <v>135</v>
      </c>
      <c r="BL430" t="s">
        <v>135</v>
      </c>
      <c r="BM430" t="s">
        <v>135</v>
      </c>
      <c r="BN430" t="s">
        <v>135</v>
      </c>
      <c r="BO430" t="s">
        <v>135</v>
      </c>
      <c r="BP430" t="s">
        <v>135</v>
      </c>
      <c r="BQ430" t="s">
        <v>135</v>
      </c>
      <c r="BR430" t="s">
        <v>135</v>
      </c>
      <c r="BS430" t="s">
        <v>135</v>
      </c>
      <c r="BT430" t="s">
        <v>135</v>
      </c>
      <c r="BU430" t="s">
        <v>135</v>
      </c>
      <c r="BV430" t="s">
        <v>135</v>
      </c>
      <c r="BW430" t="s">
        <v>135</v>
      </c>
      <c r="BX430" t="s">
        <v>135</v>
      </c>
      <c r="BY430" t="s">
        <v>135</v>
      </c>
      <c r="BZ430" t="s">
        <v>135</v>
      </c>
      <c r="CA430" t="s">
        <v>135</v>
      </c>
      <c r="CB430" t="s">
        <v>135</v>
      </c>
      <c r="CC430" t="s">
        <v>135</v>
      </c>
      <c r="CD430" t="s">
        <v>135</v>
      </c>
      <c r="CE430" t="s">
        <v>135</v>
      </c>
      <c r="CF430" t="s">
        <v>135</v>
      </c>
      <c r="CG430" t="s">
        <v>135</v>
      </c>
      <c r="CH430" t="s">
        <v>135</v>
      </c>
      <c r="CI430" t="s">
        <v>135</v>
      </c>
      <c r="CJ430" t="s">
        <v>135</v>
      </c>
      <c r="CK430" t="s">
        <v>135</v>
      </c>
      <c r="CL430" t="s">
        <v>135</v>
      </c>
      <c r="CM430" t="s">
        <v>135</v>
      </c>
      <c r="CN430" t="s">
        <v>135</v>
      </c>
      <c r="CO430" t="s">
        <v>135</v>
      </c>
      <c r="CP430" t="s">
        <v>135</v>
      </c>
      <c r="CQ430" t="s">
        <v>135</v>
      </c>
      <c r="CR430" t="s">
        <v>135</v>
      </c>
      <c r="CS430" t="s">
        <v>135</v>
      </c>
      <c r="CT430" t="s">
        <v>135</v>
      </c>
      <c r="CU430" t="s">
        <v>135</v>
      </c>
      <c r="CV430" t="s">
        <v>135</v>
      </c>
      <c r="CW430" t="s">
        <v>135</v>
      </c>
      <c r="CX430" t="s">
        <v>135</v>
      </c>
      <c r="CY430" t="s">
        <v>135</v>
      </c>
      <c r="CZ430" t="s">
        <v>135</v>
      </c>
      <c r="DA430" t="s">
        <v>135</v>
      </c>
      <c r="DB430" t="s">
        <v>135</v>
      </c>
      <c r="DC430" t="s">
        <v>135</v>
      </c>
      <c r="DD430" t="s">
        <v>135</v>
      </c>
      <c r="DE430" t="s">
        <v>135</v>
      </c>
      <c r="DF430" t="s">
        <v>135</v>
      </c>
      <c r="DG430" t="s">
        <v>135</v>
      </c>
      <c r="DH430" t="s">
        <v>135</v>
      </c>
      <c r="DI430" t="s">
        <v>135</v>
      </c>
    </row>
    <row r="431" spans="1:113" x14ac:dyDescent="0.3">
      <c r="E431" t="s">
        <v>80</v>
      </c>
      <c r="F431" t="s">
        <v>135</v>
      </c>
      <c r="G431" t="s">
        <v>135</v>
      </c>
      <c r="H431" t="s">
        <v>135</v>
      </c>
      <c r="I431" t="s">
        <v>135</v>
      </c>
      <c r="J431" t="s">
        <v>135</v>
      </c>
      <c r="K431" t="s">
        <v>135</v>
      </c>
      <c r="L431" t="s">
        <v>135</v>
      </c>
      <c r="M431" t="s">
        <v>135</v>
      </c>
      <c r="N431" t="s">
        <v>135</v>
      </c>
      <c r="O431" t="s">
        <v>135</v>
      </c>
      <c r="P431" t="s">
        <v>135</v>
      </c>
      <c r="Q431" t="s">
        <v>135</v>
      </c>
      <c r="R431" t="s">
        <v>135</v>
      </c>
      <c r="S431" t="s">
        <v>135</v>
      </c>
      <c r="T431" t="s">
        <v>135</v>
      </c>
      <c r="U431" t="s">
        <v>135</v>
      </c>
      <c r="V431" t="s">
        <v>135</v>
      </c>
      <c r="W431" t="s">
        <v>135</v>
      </c>
      <c r="X431" t="s">
        <v>135</v>
      </c>
      <c r="Y431" t="s">
        <v>135</v>
      </c>
      <c r="Z431" t="s">
        <v>135</v>
      </c>
      <c r="AA431" t="s">
        <v>135</v>
      </c>
      <c r="AB431" t="s">
        <v>135</v>
      </c>
      <c r="AC431" t="s">
        <v>135</v>
      </c>
      <c r="AD431" t="s">
        <v>135</v>
      </c>
      <c r="AE431" t="s">
        <v>135</v>
      </c>
      <c r="AF431" t="s">
        <v>135</v>
      </c>
      <c r="AG431" t="s">
        <v>135</v>
      </c>
      <c r="AH431" t="s">
        <v>135</v>
      </c>
      <c r="AI431" t="s">
        <v>135</v>
      </c>
      <c r="AJ431" t="s">
        <v>135</v>
      </c>
      <c r="AK431" t="s">
        <v>135</v>
      </c>
      <c r="AL431" t="s">
        <v>135</v>
      </c>
      <c r="AM431" t="s">
        <v>135</v>
      </c>
      <c r="AN431" t="s">
        <v>135</v>
      </c>
      <c r="AO431" t="s">
        <v>135</v>
      </c>
      <c r="AP431" t="s">
        <v>135</v>
      </c>
      <c r="AQ431" t="s">
        <v>135</v>
      </c>
      <c r="AR431" t="s">
        <v>135</v>
      </c>
      <c r="AS431" t="s">
        <v>135</v>
      </c>
      <c r="AT431" t="s">
        <v>135</v>
      </c>
      <c r="AU431" t="s">
        <v>135</v>
      </c>
      <c r="AV431" t="s">
        <v>135</v>
      </c>
      <c r="AW431" t="s">
        <v>135</v>
      </c>
      <c r="AX431" t="s">
        <v>135</v>
      </c>
      <c r="AY431" t="s">
        <v>135</v>
      </c>
      <c r="AZ431" t="s">
        <v>135</v>
      </c>
      <c r="BA431" t="s">
        <v>135</v>
      </c>
      <c r="BB431" t="s">
        <v>135</v>
      </c>
      <c r="BC431" t="s">
        <v>135</v>
      </c>
      <c r="BD431" t="s">
        <v>135</v>
      </c>
      <c r="BE431" t="s">
        <v>135</v>
      </c>
      <c r="BF431" t="s">
        <v>135</v>
      </c>
      <c r="BG431" t="s">
        <v>135</v>
      </c>
      <c r="BH431" t="s">
        <v>135</v>
      </c>
      <c r="BI431" t="s">
        <v>135</v>
      </c>
      <c r="BJ431" t="s">
        <v>135</v>
      </c>
      <c r="BK431" t="s">
        <v>135</v>
      </c>
      <c r="BL431" t="s">
        <v>135</v>
      </c>
      <c r="BM431" t="s">
        <v>135</v>
      </c>
      <c r="BN431" t="s">
        <v>135</v>
      </c>
      <c r="BO431" t="s">
        <v>135</v>
      </c>
      <c r="BP431" t="s">
        <v>135</v>
      </c>
      <c r="BQ431" t="s">
        <v>135</v>
      </c>
      <c r="BR431" t="s">
        <v>135</v>
      </c>
      <c r="BS431" t="s">
        <v>135</v>
      </c>
      <c r="BT431" t="s">
        <v>135</v>
      </c>
      <c r="BU431" t="s">
        <v>135</v>
      </c>
      <c r="BV431" t="s">
        <v>135</v>
      </c>
      <c r="BW431" t="s">
        <v>135</v>
      </c>
      <c r="BX431" t="s">
        <v>135</v>
      </c>
      <c r="BY431" t="s">
        <v>135</v>
      </c>
      <c r="BZ431" t="s">
        <v>135</v>
      </c>
      <c r="CA431" t="s">
        <v>135</v>
      </c>
      <c r="CB431" t="s">
        <v>135</v>
      </c>
      <c r="CC431" t="s">
        <v>135</v>
      </c>
      <c r="CD431" t="s">
        <v>135</v>
      </c>
      <c r="CE431" t="s">
        <v>135</v>
      </c>
      <c r="CF431" t="s">
        <v>135</v>
      </c>
      <c r="CG431" t="s">
        <v>135</v>
      </c>
      <c r="CH431" t="s">
        <v>135</v>
      </c>
      <c r="CI431" t="s">
        <v>135</v>
      </c>
      <c r="CJ431" t="s">
        <v>135</v>
      </c>
      <c r="CK431" t="s">
        <v>135</v>
      </c>
      <c r="CL431" t="s">
        <v>135</v>
      </c>
      <c r="CM431" t="s">
        <v>135</v>
      </c>
      <c r="CN431" t="s">
        <v>135</v>
      </c>
      <c r="CO431" t="s">
        <v>135</v>
      </c>
      <c r="CP431" t="s">
        <v>135</v>
      </c>
      <c r="CQ431" t="s">
        <v>135</v>
      </c>
      <c r="CR431" t="s">
        <v>135</v>
      </c>
      <c r="CS431" t="s">
        <v>135</v>
      </c>
      <c r="CT431" t="s">
        <v>135</v>
      </c>
      <c r="CU431" t="s">
        <v>135</v>
      </c>
      <c r="CV431" t="s">
        <v>135</v>
      </c>
      <c r="CW431" t="s">
        <v>135</v>
      </c>
      <c r="CX431" t="s">
        <v>135</v>
      </c>
      <c r="CY431" t="s">
        <v>135</v>
      </c>
      <c r="CZ431" t="s">
        <v>135</v>
      </c>
      <c r="DA431" t="s">
        <v>135</v>
      </c>
      <c r="DB431" t="s">
        <v>135</v>
      </c>
      <c r="DC431" t="s">
        <v>135</v>
      </c>
      <c r="DD431" t="s">
        <v>135</v>
      </c>
      <c r="DE431" t="s">
        <v>135</v>
      </c>
      <c r="DF431" t="s">
        <v>135</v>
      </c>
      <c r="DG431" t="s">
        <v>135</v>
      </c>
      <c r="DH431" t="s">
        <v>135</v>
      </c>
      <c r="DI431" t="s">
        <v>135</v>
      </c>
    </row>
    <row r="432" spans="1:113" x14ac:dyDescent="0.3">
      <c r="E432" t="s">
        <v>81</v>
      </c>
      <c r="F432" t="s">
        <v>135</v>
      </c>
      <c r="G432" t="s">
        <v>135</v>
      </c>
      <c r="H432" t="s">
        <v>135</v>
      </c>
      <c r="I432" t="s">
        <v>135</v>
      </c>
      <c r="J432" t="s">
        <v>135</v>
      </c>
      <c r="K432" t="s">
        <v>135</v>
      </c>
      <c r="L432" t="s">
        <v>135</v>
      </c>
      <c r="M432" t="s">
        <v>135</v>
      </c>
      <c r="N432" t="s">
        <v>135</v>
      </c>
      <c r="O432" t="s">
        <v>135</v>
      </c>
      <c r="P432" t="s">
        <v>135</v>
      </c>
      <c r="Q432" t="s">
        <v>135</v>
      </c>
      <c r="R432" t="s">
        <v>135</v>
      </c>
      <c r="S432" t="s">
        <v>135</v>
      </c>
      <c r="T432" t="s">
        <v>135</v>
      </c>
      <c r="U432" t="s">
        <v>135</v>
      </c>
      <c r="V432" t="s">
        <v>135</v>
      </c>
      <c r="W432" t="s">
        <v>135</v>
      </c>
      <c r="X432" t="s">
        <v>135</v>
      </c>
      <c r="Y432" t="s">
        <v>135</v>
      </c>
      <c r="Z432" t="s">
        <v>135</v>
      </c>
      <c r="AA432" t="s">
        <v>135</v>
      </c>
      <c r="AB432" t="s">
        <v>135</v>
      </c>
      <c r="AC432" t="s">
        <v>135</v>
      </c>
      <c r="AD432" t="s">
        <v>135</v>
      </c>
      <c r="AE432" t="s">
        <v>135</v>
      </c>
      <c r="AF432" t="s">
        <v>135</v>
      </c>
      <c r="AG432" t="s">
        <v>135</v>
      </c>
      <c r="AH432" t="s">
        <v>135</v>
      </c>
      <c r="AI432" t="s">
        <v>135</v>
      </c>
      <c r="AJ432" t="s">
        <v>135</v>
      </c>
      <c r="AK432" t="s">
        <v>135</v>
      </c>
      <c r="AL432" t="s">
        <v>135</v>
      </c>
      <c r="AM432" t="s">
        <v>135</v>
      </c>
      <c r="AN432" t="s">
        <v>135</v>
      </c>
      <c r="AO432" t="s">
        <v>135</v>
      </c>
      <c r="AP432" t="s">
        <v>135</v>
      </c>
      <c r="AQ432" t="s">
        <v>135</v>
      </c>
      <c r="AR432" t="s">
        <v>135</v>
      </c>
      <c r="AS432" t="s">
        <v>135</v>
      </c>
      <c r="AT432" t="s">
        <v>135</v>
      </c>
      <c r="AU432" t="s">
        <v>135</v>
      </c>
      <c r="AV432" t="s">
        <v>135</v>
      </c>
      <c r="AW432" t="s">
        <v>135</v>
      </c>
      <c r="AX432" t="s">
        <v>135</v>
      </c>
      <c r="AY432" t="s">
        <v>135</v>
      </c>
      <c r="AZ432" t="s">
        <v>135</v>
      </c>
      <c r="BA432" t="s">
        <v>135</v>
      </c>
      <c r="BB432" t="s">
        <v>135</v>
      </c>
      <c r="BC432" t="s">
        <v>135</v>
      </c>
      <c r="BD432" t="s">
        <v>135</v>
      </c>
      <c r="BE432" t="s">
        <v>135</v>
      </c>
      <c r="BF432" t="s">
        <v>135</v>
      </c>
      <c r="BG432" t="s">
        <v>135</v>
      </c>
      <c r="BH432" t="s">
        <v>135</v>
      </c>
      <c r="BI432" t="s">
        <v>135</v>
      </c>
      <c r="BJ432" t="s">
        <v>135</v>
      </c>
      <c r="BK432" t="s">
        <v>135</v>
      </c>
      <c r="BL432" t="s">
        <v>135</v>
      </c>
      <c r="BM432" t="s">
        <v>135</v>
      </c>
      <c r="BN432" t="s">
        <v>135</v>
      </c>
      <c r="BO432" t="s">
        <v>135</v>
      </c>
      <c r="BP432" t="s">
        <v>135</v>
      </c>
      <c r="BQ432" t="s">
        <v>135</v>
      </c>
      <c r="BR432" t="s">
        <v>135</v>
      </c>
      <c r="BS432" t="s">
        <v>135</v>
      </c>
      <c r="BT432" t="s">
        <v>135</v>
      </c>
      <c r="BU432" t="s">
        <v>135</v>
      </c>
      <c r="BV432" t="s">
        <v>135</v>
      </c>
      <c r="BW432" t="s">
        <v>135</v>
      </c>
      <c r="BX432" t="s">
        <v>135</v>
      </c>
      <c r="BY432" t="s">
        <v>135</v>
      </c>
      <c r="BZ432" t="s">
        <v>135</v>
      </c>
      <c r="CA432" t="s">
        <v>135</v>
      </c>
      <c r="CB432" t="s">
        <v>135</v>
      </c>
      <c r="CC432" t="s">
        <v>135</v>
      </c>
      <c r="CD432" t="s">
        <v>135</v>
      </c>
      <c r="CE432" t="s">
        <v>135</v>
      </c>
      <c r="CF432" t="s">
        <v>135</v>
      </c>
      <c r="CG432" t="s">
        <v>135</v>
      </c>
      <c r="CH432" t="s">
        <v>135</v>
      </c>
      <c r="CI432" t="s">
        <v>135</v>
      </c>
      <c r="CJ432" t="s">
        <v>135</v>
      </c>
      <c r="CK432" t="s">
        <v>135</v>
      </c>
      <c r="CL432" t="s">
        <v>135</v>
      </c>
      <c r="CM432" t="s">
        <v>135</v>
      </c>
      <c r="CN432" t="s">
        <v>135</v>
      </c>
      <c r="CO432" t="s">
        <v>135</v>
      </c>
      <c r="CP432" t="s">
        <v>135</v>
      </c>
      <c r="CQ432" t="s">
        <v>135</v>
      </c>
      <c r="CR432" t="s">
        <v>135</v>
      </c>
      <c r="CS432" t="s">
        <v>135</v>
      </c>
      <c r="CT432" t="s">
        <v>135</v>
      </c>
      <c r="CU432" t="s">
        <v>135</v>
      </c>
      <c r="CV432" t="s">
        <v>135</v>
      </c>
      <c r="CW432" t="s">
        <v>135</v>
      </c>
      <c r="CX432" t="s">
        <v>135</v>
      </c>
      <c r="CY432" t="s">
        <v>135</v>
      </c>
      <c r="CZ432" t="s">
        <v>135</v>
      </c>
      <c r="DA432" t="s">
        <v>135</v>
      </c>
      <c r="DB432" t="s">
        <v>135</v>
      </c>
      <c r="DC432" t="s">
        <v>135</v>
      </c>
      <c r="DD432" t="s">
        <v>135</v>
      </c>
      <c r="DE432" t="s">
        <v>135</v>
      </c>
      <c r="DF432" t="s">
        <v>135</v>
      </c>
      <c r="DG432" t="s">
        <v>135</v>
      </c>
      <c r="DH432" t="s">
        <v>135</v>
      </c>
      <c r="DI432" t="s">
        <v>135</v>
      </c>
    </row>
    <row r="433" spans="4:113" x14ac:dyDescent="0.3">
      <c r="D433" t="s">
        <v>82</v>
      </c>
      <c r="E433" t="s">
        <v>77</v>
      </c>
      <c r="F433">
        <v>29.117799999999999</v>
      </c>
      <c r="G433">
        <v>13.6274</v>
      </c>
      <c r="H433">
        <v>26.308399999999999</v>
      </c>
      <c r="I433">
        <v>25.378299999999999</v>
      </c>
      <c r="J433">
        <v>9.7356999999999996</v>
      </c>
      <c r="K433">
        <v>8.9766999999999992</v>
      </c>
      <c r="L433">
        <v>8.2260000000000009</v>
      </c>
      <c r="M433">
        <v>8.8881999999999994</v>
      </c>
      <c r="N433">
        <v>6.9169</v>
      </c>
      <c r="O433">
        <v>6.9169</v>
      </c>
      <c r="P433">
        <v>6.9169</v>
      </c>
      <c r="Q433">
        <v>22.179600000000001</v>
      </c>
      <c r="R433">
        <v>25.015799999999999</v>
      </c>
      <c r="S433">
        <v>21.8338</v>
      </c>
      <c r="T433">
        <v>9.0044000000000004</v>
      </c>
      <c r="U433">
        <v>9.7650000000000006</v>
      </c>
      <c r="V433">
        <v>8.1898</v>
      </c>
      <c r="W433">
        <v>11.0648</v>
      </c>
      <c r="X433">
        <v>10.9903</v>
      </c>
      <c r="Y433">
        <v>9.5237999999999996</v>
      </c>
      <c r="Z433">
        <v>23.0974</v>
      </c>
      <c r="AA433">
        <v>4.6495999999999995</v>
      </c>
      <c r="AB433">
        <v>17.477899999999998</v>
      </c>
      <c r="AC433">
        <v>-3.9778000000000002</v>
      </c>
      <c r="AD433">
        <v>-27.327999999999999</v>
      </c>
      <c r="AE433">
        <v>25.282800000000002</v>
      </c>
      <c r="AF433">
        <v>125.6853</v>
      </c>
      <c r="AG433">
        <v>-87.617900000000006</v>
      </c>
      <c r="AH433">
        <v>-87.617900000000006</v>
      </c>
      <c r="AI433">
        <v>22.243400000000001</v>
      </c>
      <c r="AJ433">
        <v>-4.3821000000000003</v>
      </c>
      <c r="AK433">
        <v>22.243400000000001</v>
      </c>
      <c r="AL433" t="s">
        <v>135</v>
      </c>
      <c r="AM433">
        <v>20.3337</v>
      </c>
      <c r="AN433">
        <v>23.685400000000001</v>
      </c>
      <c r="AO433">
        <v>25.8003</v>
      </c>
      <c r="AP433">
        <v>26.569099999999999</v>
      </c>
      <c r="AQ433">
        <v>26.558299999999999</v>
      </c>
      <c r="AR433">
        <v>25.1219</v>
      </c>
      <c r="AS433">
        <v>14.901400000000001</v>
      </c>
      <c r="AT433">
        <v>24.653500000000001</v>
      </c>
      <c r="AU433">
        <v>23.020199999999999</v>
      </c>
      <c r="AV433">
        <v>22.756399999999999</v>
      </c>
      <c r="AW433">
        <v>26.270600000000002</v>
      </c>
      <c r="AX433">
        <v>32.460799999999999</v>
      </c>
      <c r="AY433">
        <v>21.791</v>
      </c>
      <c r="AZ433">
        <v>205.3356</v>
      </c>
      <c r="BA433">
        <v>6.4821</v>
      </c>
      <c r="BB433">
        <v>33.329799999999999</v>
      </c>
      <c r="BC433">
        <v>31.655799999999999</v>
      </c>
      <c r="BD433">
        <v>33.3294</v>
      </c>
      <c r="BE433">
        <v>8.8286999999999995</v>
      </c>
      <c r="BF433">
        <v>9.0044000000000004</v>
      </c>
      <c r="BG433">
        <v>9.7650000000000006</v>
      </c>
      <c r="BH433">
        <v>8.1898</v>
      </c>
      <c r="BI433">
        <v>11.0648</v>
      </c>
      <c r="BJ433">
        <v>10.9903</v>
      </c>
      <c r="BK433">
        <v>9.5237999999999996</v>
      </c>
      <c r="BL433">
        <v>23.0974</v>
      </c>
      <c r="BM433">
        <v>4.6495999999999995</v>
      </c>
      <c r="BN433">
        <v>17.477899999999998</v>
      </c>
      <c r="BO433">
        <v>-3.9778000000000002</v>
      </c>
      <c r="BP433">
        <v>-27.327999999999999</v>
      </c>
      <c r="BQ433">
        <v>25.282800000000002</v>
      </c>
      <c r="BR433">
        <v>125.6853</v>
      </c>
      <c r="BS433">
        <v>-87.617900000000006</v>
      </c>
      <c r="BT433">
        <v>-87.617900000000006</v>
      </c>
      <c r="BU433">
        <v>22.243400000000001</v>
      </c>
      <c r="BV433">
        <v>-4.3821000000000003</v>
      </c>
      <c r="BW433">
        <v>22.243400000000001</v>
      </c>
      <c r="BX433" t="s">
        <v>135</v>
      </c>
      <c r="BY433">
        <v>999.2</v>
      </c>
      <c r="BZ433">
        <v>999.2</v>
      </c>
      <c r="CA433">
        <v>0</v>
      </c>
      <c r="CB433">
        <v>8.6999999999999994E-2</v>
      </c>
      <c r="CC433">
        <v>-6.2700000000000006E-2</v>
      </c>
      <c r="CD433">
        <v>9.4299999999999995E-2</v>
      </c>
      <c r="CE433">
        <v>-6.8000000000000005E-2</v>
      </c>
      <c r="CF433">
        <v>22.0562</v>
      </c>
      <c r="CG433">
        <v>52.551400000000001</v>
      </c>
      <c r="CH433">
        <v>0</v>
      </c>
      <c r="CI433">
        <v>0</v>
      </c>
      <c r="CJ433">
        <v>0</v>
      </c>
      <c r="CK433">
        <v>3.2401</v>
      </c>
      <c r="CL433">
        <v>3.1383999999999999</v>
      </c>
      <c r="CM433">
        <v>1.7027000000000001</v>
      </c>
      <c r="CN433">
        <v>-2.3370000000000002</v>
      </c>
      <c r="CO433">
        <v>-2.3929</v>
      </c>
      <c r="CP433">
        <v>11489.1</v>
      </c>
      <c r="CQ433">
        <v>9395.7000000000007</v>
      </c>
      <c r="CR433">
        <v>10593.4</v>
      </c>
      <c r="CS433">
        <v>6.3899999999999998E-2</v>
      </c>
      <c r="CT433">
        <v>1.7995999999999999</v>
      </c>
      <c r="CU433">
        <v>0.1343</v>
      </c>
      <c r="CV433">
        <v>10.791</v>
      </c>
      <c r="CW433">
        <v>68.638300000000001</v>
      </c>
      <c r="CX433">
        <v>5.3177000000000003</v>
      </c>
      <c r="CY433">
        <v>2.262</v>
      </c>
      <c r="CZ433">
        <v>161.3648</v>
      </c>
      <c r="DA433">
        <v>6.5277000000000003</v>
      </c>
      <c r="DB433">
        <v>55.915399999999998</v>
      </c>
      <c r="DC433">
        <v>110.7672</v>
      </c>
      <c r="DD433">
        <v>166.68260000000001</v>
      </c>
      <c r="DE433">
        <v>40493</v>
      </c>
      <c r="DF433">
        <v>5389.9</v>
      </c>
      <c r="DG433">
        <v>1222.3</v>
      </c>
      <c r="DH433">
        <v>26468.7</v>
      </c>
      <c r="DI433">
        <v>7412.1</v>
      </c>
    </row>
    <row r="434" spans="4:113" x14ac:dyDescent="0.3">
      <c r="E434" t="s">
        <v>78</v>
      </c>
      <c r="F434" t="s">
        <v>135</v>
      </c>
      <c r="G434" t="s">
        <v>135</v>
      </c>
      <c r="H434" t="s">
        <v>135</v>
      </c>
      <c r="I434" t="s">
        <v>135</v>
      </c>
      <c r="J434" t="s">
        <v>135</v>
      </c>
      <c r="K434" t="s">
        <v>135</v>
      </c>
      <c r="L434" t="s">
        <v>135</v>
      </c>
      <c r="M434" t="s">
        <v>135</v>
      </c>
      <c r="N434" t="s">
        <v>135</v>
      </c>
      <c r="O434" t="s">
        <v>135</v>
      </c>
      <c r="P434" t="s">
        <v>135</v>
      </c>
      <c r="Q434" t="s">
        <v>135</v>
      </c>
      <c r="R434" t="s">
        <v>135</v>
      </c>
      <c r="S434" t="s">
        <v>135</v>
      </c>
      <c r="T434" t="s">
        <v>135</v>
      </c>
      <c r="U434" t="s">
        <v>135</v>
      </c>
      <c r="V434" t="s">
        <v>135</v>
      </c>
      <c r="W434" t="s">
        <v>135</v>
      </c>
      <c r="X434" t="s">
        <v>135</v>
      </c>
      <c r="Y434" t="s">
        <v>135</v>
      </c>
      <c r="Z434" t="s">
        <v>135</v>
      </c>
      <c r="AA434" t="s">
        <v>135</v>
      </c>
      <c r="AB434" t="s">
        <v>135</v>
      </c>
      <c r="AC434" t="s">
        <v>135</v>
      </c>
      <c r="AD434" t="s">
        <v>135</v>
      </c>
      <c r="AE434" t="s">
        <v>135</v>
      </c>
      <c r="AF434" t="s">
        <v>135</v>
      </c>
      <c r="AG434" t="s">
        <v>135</v>
      </c>
      <c r="AH434" t="s">
        <v>135</v>
      </c>
      <c r="AI434" t="s">
        <v>135</v>
      </c>
      <c r="AJ434" t="s">
        <v>135</v>
      </c>
      <c r="AK434" t="s">
        <v>135</v>
      </c>
      <c r="AL434" t="s">
        <v>135</v>
      </c>
      <c r="AM434" t="s">
        <v>135</v>
      </c>
      <c r="AN434" t="s">
        <v>135</v>
      </c>
      <c r="AO434" t="s">
        <v>135</v>
      </c>
      <c r="AP434" t="s">
        <v>135</v>
      </c>
      <c r="AQ434" t="s">
        <v>135</v>
      </c>
      <c r="AR434" t="s">
        <v>135</v>
      </c>
      <c r="AS434" t="s">
        <v>135</v>
      </c>
      <c r="AT434" t="s">
        <v>135</v>
      </c>
      <c r="AU434" t="s">
        <v>135</v>
      </c>
      <c r="AV434" t="s">
        <v>135</v>
      </c>
      <c r="AW434" t="s">
        <v>135</v>
      </c>
      <c r="AX434" t="s">
        <v>135</v>
      </c>
      <c r="AY434" t="s">
        <v>135</v>
      </c>
      <c r="AZ434" t="s">
        <v>135</v>
      </c>
      <c r="BA434" t="s">
        <v>135</v>
      </c>
      <c r="BB434" t="s">
        <v>135</v>
      </c>
      <c r="BC434" t="s">
        <v>135</v>
      </c>
      <c r="BD434" t="s">
        <v>135</v>
      </c>
      <c r="BE434" t="s">
        <v>135</v>
      </c>
      <c r="BF434" t="s">
        <v>135</v>
      </c>
      <c r="BG434" t="s">
        <v>135</v>
      </c>
      <c r="BH434" t="s">
        <v>135</v>
      </c>
      <c r="BI434" t="s">
        <v>135</v>
      </c>
      <c r="BJ434" t="s">
        <v>135</v>
      </c>
      <c r="BK434" t="s">
        <v>135</v>
      </c>
      <c r="BL434" t="s">
        <v>135</v>
      </c>
      <c r="BM434" t="s">
        <v>135</v>
      </c>
      <c r="BN434" t="s">
        <v>135</v>
      </c>
      <c r="BO434" t="s">
        <v>135</v>
      </c>
      <c r="BP434" t="s">
        <v>135</v>
      </c>
      <c r="BQ434" t="s">
        <v>135</v>
      </c>
      <c r="BR434" t="s">
        <v>135</v>
      </c>
      <c r="BS434" t="s">
        <v>135</v>
      </c>
      <c r="BT434" t="s">
        <v>135</v>
      </c>
      <c r="BU434" t="s">
        <v>135</v>
      </c>
      <c r="BV434" t="s">
        <v>135</v>
      </c>
      <c r="BW434" t="s">
        <v>135</v>
      </c>
      <c r="BX434" t="s">
        <v>135</v>
      </c>
      <c r="BY434" t="s">
        <v>135</v>
      </c>
      <c r="BZ434" t="s">
        <v>135</v>
      </c>
      <c r="CA434" t="s">
        <v>135</v>
      </c>
      <c r="CB434" t="s">
        <v>135</v>
      </c>
      <c r="CC434" t="s">
        <v>135</v>
      </c>
      <c r="CD434" t="s">
        <v>135</v>
      </c>
      <c r="CE434" t="s">
        <v>135</v>
      </c>
      <c r="CF434" t="s">
        <v>135</v>
      </c>
      <c r="CG434" t="s">
        <v>135</v>
      </c>
      <c r="CH434" t="s">
        <v>135</v>
      </c>
      <c r="CI434" t="s">
        <v>135</v>
      </c>
      <c r="CJ434" t="s">
        <v>135</v>
      </c>
      <c r="CK434" t="s">
        <v>135</v>
      </c>
      <c r="CL434" t="s">
        <v>135</v>
      </c>
      <c r="CM434" t="s">
        <v>135</v>
      </c>
      <c r="CN434" t="s">
        <v>135</v>
      </c>
      <c r="CO434" t="s">
        <v>135</v>
      </c>
      <c r="CP434" t="s">
        <v>135</v>
      </c>
      <c r="CQ434" t="s">
        <v>135</v>
      </c>
      <c r="CR434" t="s">
        <v>135</v>
      </c>
      <c r="CS434" t="s">
        <v>135</v>
      </c>
      <c r="CT434" t="s">
        <v>135</v>
      </c>
      <c r="CU434" t="s">
        <v>135</v>
      </c>
      <c r="CV434" t="s">
        <v>135</v>
      </c>
      <c r="CW434" t="s">
        <v>135</v>
      </c>
      <c r="CX434" t="s">
        <v>135</v>
      </c>
      <c r="CY434" t="s">
        <v>135</v>
      </c>
      <c r="CZ434" t="s">
        <v>135</v>
      </c>
      <c r="DA434" t="s">
        <v>135</v>
      </c>
      <c r="DB434" t="s">
        <v>135</v>
      </c>
      <c r="DC434" t="s">
        <v>135</v>
      </c>
      <c r="DD434" t="s">
        <v>135</v>
      </c>
      <c r="DE434" t="s">
        <v>135</v>
      </c>
      <c r="DF434" t="s">
        <v>135</v>
      </c>
      <c r="DG434" t="s">
        <v>135</v>
      </c>
      <c r="DH434" t="s">
        <v>135</v>
      </c>
      <c r="DI434" t="s">
        <v>135</v>
      </c>
    </row>
    <row r="435" spans="4:113" x14ac:dyDescent="0.3">
      <c r="E435" t="s">
        <v>79</v>
      </c>
      <c r="F435" t="s">
        <v>135</v>
      </c>
      <c r="G435" t="s">
        <v>135</v>
      </c>
      <c r="H435" t="s">
        <v>135</v>
      </c>
      <c r="I435" t="s">
        <v>135</v>
      </c>
      <c r="J435" t="s">
        <v>135</v>
      </c>
      <c r="K435" t="s">
        <v>135</v>
      </c>
      <c r="L435" t="s">
        <v>135</v>
      </c>
      <c r="M435" t="s">
        <v>135</v>
      </c>
      <c r="N435" t="s">
        <v>135</v>
      </c>
      <c r="O435" t="s">
        <v>135</v>
      </c>
      <c r="P435" t="s">
        <v>135</v>
      </c>
      <c r="Q435" t="s">
        <v>135</v>
      </c>
      <c r="R435" t="s">
        <v>135</v>
      </c>
      <c r="S435" t="s">
        <v>135</v>
      </c>
      <c r="T435" t="s">
        <v>135</v>
      </c>
      <c r="U435" t="s">
        <v>135</v>
      </c>
      <c r="V435" t="s">
        <v>135</v>
      </c>
      <c r="W435" t="s">
        <v>135</v>
      </c>
      <c r="X435" t="s">
        <v>135</v>
      </c>
      <c r="Y435" t="s">
        <v>135</v>
      </c>
      <c r="Z435" t="s">
        <v>135</v>
      </c>
      <c r="AA435" t="s">
        <v>135</v>
      </c>
      <c r="AB435" t="s">
        <v>135</v>
      </c>
      <c r="AC435" t="s">
        <v>135</v>
      </c>
      <c r="AD435" t="s">
        <v>135</v>
      </c>
      <c r="AE435" t="s">
        <v>135</v>
      </c>
      <c r="AF435" t="s">
        <v>135</v>
      </c>
      <c r="AG435" t="s">
        <v>135</v>
      </c>
      <c r="AH435" t="s">
        <v>135</v>
      </c>
      <c r="AI435" t="s">
        <v>135</v>
      </c>
      <c r="AJ435" t="s">
        <v>135</v>
      </c>
      <c r="AK435" t="s">
        <v>135</v>
      </c>
      <c r="AL435" t="s">
        <v>135</v>
      </c>
      <c r="AM435" t="s">
        <v>135</v>
      </c>
      <c r="AN435" t="s">
        <v>135</v>
      </c>
      <c r="AO435" t="s">
        <v>135</v>
      </c>
      <c r="AP435" t="s">
        <v>135</v>
      </c>
      <c r="AQ435" t="s">
        <v>135</v>
      </c>
      <c r="AR435" t="s">
        <v>135</v>
      </c>
      <c r="AS435" t="s">
        <v>135</v>
      </c>
      <c r="AT435" t="s">
        <v>135</v>
      </c>
      <c r="AU435" t="s">
        <v>135</v>
      </c>
      <c r="AV435" t="s">
        <v>135</v>
      </c>
      <c r="AW435" t="s">
        <v>135</v>
      </c>
      <c r="AX435" t="s">
        <v>135</v>
      </c>
      <c r="AY435" t="s">
        <v>135</v>
      </c>
      <c r="AZ435" t="s">
        <v>135</v>
      </c>
      <c r="BA435" t="s">
        <v>135</v>
      </c>
      <c r="BB435" t="s">
        <v>135</v>
      </c>
      <c r="BC435" t="s">
        <v>135</v>
      </c>
      <c r="BD435" t="s">
        <v>135</v>
      </c>
      <c r="BE435" t="s">
        <v>135</v>
      </c>
      <c r="BF435" t="s">
        <v>135</v>
      </c>
      <c r="BG435" t="s">
        <v>135</v>
      </c>
      <c r="BH435" t="s">
        <v>135</v>
      </c>
      <c r="BI435" t="s">
        <v>135</v>
      </c>
      <c r="BJ435" t="s">
        <v>135</v>
      </c>
      <c r="BK435" t="s">
        <v>135</v>
      </c>
      <c r="BL435" t="s">
        <v>135</v>
      </c>
      <c r="BM435" t="s">
        <v>135</v>
      </c>
      <c r="BN435" t="s">
        <v>135</v>
      </c>
      <c r="BO435" t="s">
        <v>135</v>
      </c>
      <c r="BP435" t="s">
        <v>135</v>
      </c>
      <c r="BQ435" t="s">
        <v>135</v>
      </c>
      <c r="BR435" t="s">
        <v>135</v>
      </c>
      <c r="BS435" t="s">
        <v>135</v>
      </c>
      <c r="BT435" t="s">
        <v>135</v>
      </c>
      <c r="BU435" t="s">
        <v>135</v>
      </c>
      <c r="BV435" t="s">
        <v>135</v>
      </c>
      <c r="BW435" t="s">
        <v>135</v>
      </c>
      <c r="BX435" t="s">
        <v>135</v>
      </c>
      <c r="BY435" t="s">
        <v>135</v>
      </c>
      <c r="BZ435" t="s">
        <v>135</v>
      </c>
      <c r="CA435" t="s">
        <v>135</v>
      </c>
      <c r="CB435" t="s">
        <v>135</v>
      </c>
      <c r="CC435" t="s">
        <v>135</v>
      </c>
      <c r="CD435" t="s">
        <v>135</v>
      </c>
      <c r="CE435" t="s">
        <v>135</v>
      </c>
      <c r="CF435" t="s">
        <v>135</v>
      </c>
      <c r="CG435" t="s">
        <v>135</v>
      </c>
      <c r="CH435" t="s">
        <v>135</v>
      </c>
      <c r="CI435" t="s">
        <v>135</v>
      </c>
      <c r="CJ435" t="s">
        <v>135</v>
      </c>
      <c r="CK435" t="s">
        <v>135</v>
      </c>
      <c r="CL435" t="s">
        <v>135</v>
      </c>
      <c r="CM435" t="s">
        <v>135</v>
      </c>
      <c r="CN435" t="s">
        <v>135</v>
      </c>
      <c r="CO435" t="s">
        <v>135</v>
      </c>
      <c r="CP435" t="s">
        <v>135</v>
      </c>
      <c r="CQ435" t="s">
        <v>135</v>
      </c>
      <c r="CR435" t="s">
        <v>135</v>
      </c>
      <c r="CS435" t="s">
        <v>135</v>
      </c>
      <c r="CT435" t="s">
        <v>135</v>
      </c>
      <c r="CU435" t="s">
        <v>135</v>
      </c>
      <c r="CV435" t="s">
        <v>135</v>
      </c>
      <c r="CW435" t="s">
        <v>135</v>
      </c>
      <c r="CX435" t="s">
        <v>135</v>
      </c>
      <c r="CY435" t="s">
        <v>135</v>
      </c>
      <c r="CZ435" t="s">
        <v>135</v>
      </c>
      <c r="DA435" t="s">
        <v>135</v>
      </c>
      <c r="DB435" t="s">
        <v>135</v>
      </c>
      <c r="DC435" t="s">
        <v>135</v>
      </c>
      <c r="DD435" t="s">
        <v>135</v>
      </c>
      <c r="DE435" t="s">
        <v>135</v>
      </c>
      <c r="DF435" t="s">
        <v>135</v>
      </c>
      <c r="DG435" t="s">
        <v>135</v>
      </c>
      <c r="DH435" t="s">
        <v>135</v>
      </c>
      <c r="DI435" t="s">
        <v>135</v>
      </c>
    </row>
    <row r="436" spans="4:113" x14ac:dyDescent="0.3">
      <c r="E436" t="s">
        <v>80</v>
      </c>
      <c r="F436" t="s">
        <v>135</v>
      </c>
      <c r="G436" t="s">
        <v>135</v>
      </c>
      <c r="H436" t="s">
        <v>135</v>
      </c>
      <c r="I436" t="s">
        <v>135</v>
      </c>
      <c r="J436" t="s">
        <v>135</v>
      </c>
      <c r="K436" t="s">
        <v>135</v>
      </c>
      <c r="L436" t="s">
        <v>135</v>
      </c>
      <c r="M436" t="s">
        <v>135</v>
      </c>
      <c r="N436" t="s">
        <v>135</v>
      </c>
      <c r="O436" t="s">
        <v>135</v>
      </c>
      <c r="P436" t="s">
        <v>135</v>
      </c>
      <c r="Q436" t="s">
        <v>135</v>
      </c>
      <c r="R436" t="s">
        <v>135</v>
      </c>
      <c r="S436" t="s">
        <v>135</v>
      </c>
      <c r="T436" t="s">
        <v>135</v>
      </c>
      <c r="U436" t="s">
        <v>135</v>
      </c>
      <c r="V436" t="s">
        <v>135</v>
      </c>
      <c r="W436" t="s">
        <v>135</v>
      </c>
      <c r="X436" t="s">
        <v>135</v>
      </c>
      <c r="Y436" t="s">
        <v>135</v>
      </c>
      <c r="Z436" t="s">
        <v>135</v>
      </c>
      <c r="AA436" t="s">
        <v>135</v>
      </c>
      <c r="AB436" t="s">
        <v>135</v>
      </c>
      <c r="AC436" t="s">
        <v>135</v>
      </c>
      <c r="AD436" t="s">
        <v>135</v>
      </c>
      <c r="AE436" t="s">
        <v>135</v>
      </c>
      <c r="AF436" t="s">
        <v>135</v>
      </c>
      <c r="AG436" t="s">
        <v>135</v>
      </c>
      <c r="AH436" t="s">
        <v>135</v>
      </c>
      <c r="AI436" t="s">
        <v>135</v>
      </c>
      <c r="AJ436" t="s">
        <v>135</v>
      </c>
      <c r="AK436" t="s">
        <v>135</v>
      </c>
      <c r="AL436" t="s">
        <v>135</v>
      </c>
      <c r="AM436" t="s">
        <v>135</v>
      </c>
      <c r="AN436" t="s">
        <v>135</v>
      </c>
      <c r="AO436" t="s">
        <v>135</v>
      </c>
      <c r="AP436" t="s">
        <v>135</v>
      </c>
      <c r="AQ436" t="s">
        <v>135</v>
      </c>
      <c r="AR436" t="s">
        <v>135</v>
      </c>
      <c r="AS436" t="s">
        <v>135</v>
      </c>
      <c r="AT436" t="s">
        <v>135</v>
      </c>
      <c r="AU436" t="s">
        <v>135</v>
      </c>
      <c r="AV436" t="s">
        <v>135</v>
      </c>
      <c r="AW436" t="s">
        <v>135</v>
      </c>
      <c r="AX436" t="s">
        <v>135</v>
      </c>
      <c r="AY436" t="s">
        <v>135</v>
      </c>
      <c r="AZ436" t="s">
        <v>135</v>
      </c>
      <c r="BA436" t="s">
        <v>135</v>
      </c>
      <c r="BB436" t="s">
        <v>135</v>
      </c>
      <c r="BC436" t="s">
        <v>135</v>
      </c>
      <c r="BD436" t="s">
        <v>135</v>
      </c>
      <c r="BE436" t="s">
        <v>135</v>
      </c>
      <c r="BF436" t="s">
        <v>135</v>
      </c>
      <c r="BG436" t="s">
        <v>135</v>
      </c>
      <c r="BH436" t="s">
        <v>135</v>
      </c>
      <c r="BI436" t="s">
        <v>135</v>
      </c>
      <c r="BJ436" t="s">
        <v>135</v>
      </c>
      <c r="BK436" t="s">
        <v>135</v>
      </c>
      <c r="BL436" t="s">
        <v>135</v>
      </c>
      <c r="BM436" t="s">
        <v>135</v>
      </c>
      <c r="BN436" t="s">
        <v>135</v>
      </c>
      <c r="BO436" t="s">
        <v>135</v>
      </c>
      <c r="BP436" t="s">
        <v>135</v>
      </c>
      <c r="BQ436" t="s">
        <v>135</v>
      </c>
      <c r="BR436" t="s">
        <v>135</v>
      </c>
      <c r="BS436" t="s">
        <v>135</v>
      </c>
      <c r="BT436" t="s">
        <v>135</v>
      </c>
      <c r="BU436" t="s">
        <v>135</v>
      </c>
      <c r="BV436" t="s">
        <v>135</v>
      </c>
      <c r="BW436" t="s">
        <v>135</v>
      </c>
      <c r="BX436" t="s">
        <v>135</v>
      </c>
      <c r="BY436" t="s">
        <v>135</v>
      </c>
      <c r="BZ436" t="s">
        <v>135</v>
      </c>
      <c r="CA436" t="s">
        <v>135</v>
      </c>
      <c r="CB436" t="s">
        <v>135</v>
      </c>
      <c r="CC436" t="s">
        <v>135</v>
      </c>
      <c r="CD436" t="s">
        <v>135</v>
      </c>
      <c r="CE436" t="s">
        <v>135</v>
      </c>
      <c r="CF436" t="s">
        <v>135</v>
      </c>
      <c r="CG436" t="s">
        <v>135</v>
      </c>
      <c r="CH436" t="s">
        <v>135</v>
      </c>
      <c r="CI436" t="s">
        <v>135</v>
      </c>
      <c r="CJ436" t="s">
        <v>135</v>
      </c>
      <c r="CK436" t="s">
        <v>135</v>
      </c>
      <c r="CL436" t="s">
        <v>135</v>
      </c>
      <c r="CM436" t="s">
        <v>135</v>
      </c>
      <c r="CN436" t="s">
        <v>135</v>
      </c>
      <c r="CO436" t="s">
        <v>135</v>
      </c>
      <c r="CP436" t="s">
        <v>135</v>
      </c>
      <c r="CQ436" t="s">
        <v>135</v>
      </c>
      <c r="CR436" t="s">
        <v>135</v>
      </c>
      <c r="CS436" t="s">
        <v>135</v>
      </c>
      <c r="CT436" t="s">
        <v>135</v>
      </c>
      <c r="CU436" t="s">
        <v>135</v>
      </c>
      <c r="CV436" t="s">
        <v>135</v>
      </c>
      <c r="CW436" t="s">
        <v>135</v>
      </c>
      <c r="CX436" t="s">
        <v>135</v>
      </c>
      <c r="CY436" t="s">
        <v>135</v>
      </c>
      <c r="CZ436" t="s">
        <v>135</v>
      </c>
      <c r="DA436" t="s">
        <v>135</v>
      </c>
      <c r="DB436" t="s">
        <v>135</v>
      </c>
      <c r="DC436" t="s">
        <v>135</v>
      </c>
      <c r="DD436" t="s">
        <v>135</v>
      </c>
      <c r="DE436" t="s">
        <v>135</v>
      </c>
      <c r="DF436" t="s">
        <v>135</v>
      </c>
      <c r="DG436" t="s">
        <v>135</v>
      </c>
      <c r="DH436" t="s">
        <v>135</v>
      </c>
      <c r="DI436" t="s">
        <v>135</v>
      </c>
    </row>
    <row r="437" spans="4:113" x14ac:dyDescent="0.3">
      <c r="E437" t="s">
        <v>81</v>
      </c>
      <c r="F437" t="s">
        <v>135</v>
      </c>
      <c r="G437" t="s">
        <v>135</v>
      </c>
      <c r="H437" t="s">
        <v>135</v>
      </c>
      <c r="I437" t="s">
        <v>135</v>
      </c>
      <c r="J437" t="s">
        <v>135</v>
      </c>
      <c r="K437" t="s">
        <v>135</v>
      </c>
      <c r="L437" t="s">
        <v>135</v>
      </c>
      <c r="M437" t="s">
        <v>135</v>
      </c>
      <c r="N437" t="s">
        <v>135</v>
      </c>
      <c r="O437" t="s">
        <v>135</v>
      </c>
      <c r="P437" t="s">
        <v>135</v>
      </c>
      <c r="Q437" t="s">
        <v>135</v>
      </c>
      <c r="R437" t="s">
        <v>135</v>
      </c>
      <c r="S437" t="s">
        <v>135</v>
      </c>
      <c r="T437" t="s">
        <v>135</v>
      </c>
      <c r="U437" t="s">
        <v>135</v>
      </c>
      <c r="V437" t="s">
        <v>135</v>
      </c>
      <c r="W437" t="s">
        <v>135</v>
      </c>
      <c r="X437" t="s">
        <v>135</v>
      </c>
      <c r="Y437" t="s">
        <v>135</v>
      </c>
      <c r="Z437" t="s">
        <v>135</v>
      </c>
      <c r="AA437" t="s">
        <v>135</v>
      </c>
      <c r="AB437" t="s">
        <v>135</v>
      </c>
      <c r="AC437" t="s">
        <v>135</v>
      </c>
      <c r="AD437" t="s">
        <v>135</v>
      </c>
      <c r="AE437" t="s">
        <v>135</v>
      </c>
      <c r="AF437" t="s">
        <v>135</v>
      </c>
      <c r="AG437" t="s">
        <v>135</v>
      </c>
      <c r="AH437" t="s">
        <v>135</v>
      </c>
      <c r="AI437" t="s">
        <v>135</v>
      </c>
      <c r="AJ437" t="s">
        <v>135</v>
      </c>
      <c r="AK437" t="s">
        <v>135</v>
      </c>
      <c r="AL437" t="s">
        <v>135</v>
      </c>
      <c r="AM437" t="s">
        <v>135</v>
      </c>
      <c r="AN437" t="s">
        <v>135</v>
      </c>
      <c r="AO437" t="s">
        <v>135</v>
      </c>
      <c r="AP437" t="s">
        <v>135</v>
      </c>
      <c r="AQ437" t="s">
        <v>135</v>
      </c>
      <c r="AR437" t="s">
        <v>135</v>
      </c>
      <c r="AS437" t="s">
        <v>135</v>
      </c>
      <c r="AT437" t="s">
        <v>135</v>
      </c>
      <c r="AU437" t="s">
        <v>135</v>
      </c>
      <c r="AV437" t="s">
        <v>135</v>
      </c>
      <c r="AW437" t="s">
        <v>135</v>
      </c>
      <c r="AX437" t="s">
        <v>135</v>
      </c>
      <c r="AY437" t="s">
        <v>135</v>
      </c>
      <c r="AZ437" t="s">
        <v>135</v>
      </c>
      <c r="BA437" t="s">
        <v>135</v>
      </c>
      <c r="BB437" t="s">
        <v>135</v>
      </c>
      <c r="BC437" t="s">
        <v>135</v>
      </c>
      <c r="BD437" t="s">
        <v>135</v>
      </c>
      <c r="BE437" t="s">
        <v>135</v>
      </c>
      <c r="BF437" t="s">
        <v>135</v>
      </c>
      <c r="BG437" t="s">
        <v>135</v>
      </c>
      <c r="BH437" t="s">
        <v>135</v>
      </c>
      <c r="BI437" t="s">
        <v>135</v>
      </c>
      <c r="BJ437" t="s">
        <v>135</v>
      </c>
      <c r="BK437" t="s">
        <v>135</v>
      </c>
      <c r="BL437" t="s">
        <v>135</v>
      </c>
      <c r="BM437" t="s">
        <v>135</v>
      </c>
      <c r="BN437" t="s">
        <v>135</v>
      </c>
      <c r="BO437" t="s">
        <v>135</v>
      </c>
      <c r="BP437" t="s">
        <v>135</v>
      </c>
      <c r="BQ437" t="s">
        <v>135</v>
      </c>
      <c r="BR437" t="s">
        <v>135</v>
      </c>
      <c r="BS437" t="s">
        <v>135</v>
      </c>
      <c r="BT437" t="s">
        <v>135</v>
      </c>
      <c r="BU437" t="s">
        <v>135</v>
      </c>
      <c r="BV437" t="s">
        <v>135</v>
      </c>
      <c r="BW437" t="s">
        <v>135</v>
      </c>
      <c r="BX437" t="s">
        <v>135</v>
      </c>
      <c r="BY437" t="s">
        <v>135</v>
      </c>
      <c r="BZ437" t="s">
        <v>135</v>
      </c>
      <c r="CA437" t="s">
        <v>135</v>
      </c>
      <c r="CB437" t="s">
        <v>135</v>
      </c>
      <c r="CC437" t="s">
        <v>135</v>
      </c>
      <c r="CD437" t="s">
        <v>135</v>
      </c>
      <c r="CE437" t="s">
        <v>135</v>
      </c>
      <c r="CF437" t="s">
        <v>135</v>
      </c>
      <c r="CG437" t="s">
        <v>135</v>
      </c>
      <c r="CH437" t="s">
        <v>135</v>
      </c>
      <c r="CI437" t="s">
        <v>135</v>
      </c>
      <c r="CJ437" t="s">
        <v>135</v>
      </c>
      <c r="CK437" t="s">
        <v>135</v>
      </c>
      <c r="CL437" t="s">
        <v>135</v>
      </c>
      <c r="CM437" t="s">
        <v>135</v>
      </c>
      <c r="CN437" t="s">
        <v>135</v>
      </c>
      <c r="CO437" t="s">
        <v>135</v>
      </c>
      <c r="CP437" t="s">
        <v>135</v>
      </c>
      <c r="CQ437" t="s">
        <v>135</v>
      </c>
      <c r="CR437" t="s">
        <v>135</v>
      </c>
      <c r="CS437" t="s">
        <v>135</v>
      </c>
      <c r="CT437" t="s">
        <v>135</v>
      </c>
      <c r="CU437" t="s">
        <v>135</v>
      </c>
      <c r="CV437" t="s">
        <v>135</v>
      </c>
      <c r="CW437" t="s">
        <v>135</v>
      </c>
      <c r="CX437" t="s">
        <v>135</v>
      </c>
      <c r="CY437" t="s">
        <v>135</v>
      </c>
      <c r="CZ437" t="s">
        <v>135</v>
      </c>
      <c r="DA437" t="s">
        <v>135</v>
      </c>
      <c r="DB437" t="s">
        <v>135</v>
      </c>
      <c r="DC437" t="s">
        <v>135</v>
      </c>
      <c r="DD437" t="s">
        <v>135</v>
      </c>
      <c r="DE437" t="s">
        <v>135</v>
      </c>
      <c r="DF437" t="s">
        <v>135</v>
      </c>
      <c r="DG437" t="s">
        <v>135</v>
      </c>
      <c r="DH437" t="s">
        <v>135</v>
      </c>
      <c r="DI437" t="s">
        <v>135</v>
      </c>
    </row>
    <row r="438" spans="4:113" x14ac:dyDescent="0.3">
      <c r="D438" t="s">
        <v>83</v>
      </c>
      <c r="E438" t="s">
        <v>77</v>
      </c>
      <c r="F438">
        <v>20.973600000000001</v>
      </c>
      <c r="G438">
        <v>11.270300000000001</v>
      </c>
      <c r="H438">
        <v>20.465199999999999</v>
      </c>
      <c r="I438">
        <v>19.823599999999999</v>
      </c>
      <c r="J438">
        <v>8.3104999999999993</v>
      </c>
      <c r="K438">
        <v>7.4207999999999998</v>
      </c>
      <c r="L438">
        <v>-37.462400000000002</v>
      </c>
      <c r="M438">
        <v>7.6360999999999999</v>
      </c>
      <c r="N438">
        <v>6.1608999999999998</v>
      </c>
      <c r="O438">
        <v>6.1608999999999998</v>
      </c>
      <c r="P438">
        <v>6.1608999999999998</v>
      </c>
      <c r="Q438">
        <v>19.2987</v>
      </c>
      <c r="R438">
        <v>28.331700000000001</v>
      </c>
      <c r="S438">
        <v>15.031499999999999</v>
      </c>
      <c r="T438">
        <v>-5.1791999999999998</v>
      </c>
      <c r="U438">
        <v>-19.059799999999999</v>
      </c>
      <c r="V438">
        <v>-21.6144</v>
      </c>
      <c r="W438">
        <v>-15.5428</v>
      </c>
      <c r="X438">
        <v>-15.451599999999999</v>
      </c>
      <c r="Y438">
        <v>-4.3478000000000003</v>
      </c>
      <c r="Z438">
        <v>1.46</v>
      </c>
      <c r="AA438">
        <v>9.9819999999999993</v>
      </c>
      <c r="AB438">
        <v>17.8706</v>
      </c>
      <c r="AC438">
        <v>8.4715000000000007</v>
      </c>
      <c r="AD438">
        <v>26.1099</v>
      </c>
      <c r="AE438">
        <v>11.5243</v>
      </c>
      <c r="AF438">
        <v>-9.9710000000000001</v>
      </c>
      <c r="AG438">
        <v>13.2606</v>
      </c>
      <c r="AH438">
        <v>13.2606</v>
      </c>
      <c r="AI438">
        <v>13.169499999999999</v>
      </c>
      <c r="AJ438">
        <v>13.1724</v>
      </c>
      <c r="AK438">
        <v>13.169499999999999</v>
      </c>
      <c r="AL438">
        <v>17.802800000000001</v>
      </c>
      <c r="AM438">
        <v>11.5497</v>
      </c>
      <c r="AN438">
        <v>8.6775000000000002</v>
      </c>
      <c r="AO438">
        <v>7.5037000000000003</v>
      </c>
      <c r="AP438">
        <v>9.7414000000000005</v>
      </c>
      <c r="AQ438">
        <v>9.7557000000000009</v>
      </c>
      <c r="AR438">
        <v>11.9702</v>
      </c>
      <c r="AS438">
        <v>10.352600000000001</v>
      </c>
      <c r="AT438">
        <v>17.385899999999999</v>
      </c>
      <c r="AU438">
        <v>24.64</v>
      </c>
      <c r="AV438">
        <v>11.112399999999999</v>
      </c>
      <c r="AW438">
        <v>37.520600000000002</v>
      </c>
      <c r="AX438">
        <v>29.345600000000001</v>
      </c>
      <c r="AY438">
        <v>2.7302999999999997</v>
      </c>
      <c r="AZ438">
        <v>14.080399999999999</v>
      </c>
      <c r="BA438">
        <v>10.7178</v>
      </c>
      <c r="BB438">
        <v>27.5044</v>
      </c>
      <c r="BC438">
        <v>26.698499999999999</v>
      </c>
      <c r="BD438">
        <v>27.503799999999998</v>
      </c>
      <c r="BE438">
        <v>-11.1312</v>
      </c>
      <c r="BF438">
        <v>-5.1791999999999998</v>
      </c>
      <c r="BG438">
        <v>-19.059799999999999</v>
      </c>
      <c r="BH438">
        <v>-21.6144</v>
      </c>
      <c r="BI438">
        <v>-15.5428</v>
      </c>
      <c r="BJ438">
        <v>-15.451599999999999</v>
      </c>
      <c r="BK438">
        <v>-4.3478000000000003</v>
      </c>
      <c r="BL438">
        <v>1.46</v>
      </c>
      <c r="BM438">
        <v>9.9819999999999993</v>
      </c>
      <c r="BN438">
        <v>17.8706</v>
      </c>
      <c r="BO438">
        <v>8.4715000000000007</v>
      </c>
      <c r="BP438">
        <v>26.1099</v>
      </c>
      <c r="BQ438">
        <v>11.5243</v>
      </c>
      <c r="BR438">
        <v>-9.9710000000000001</v>
      </c>
      <c r="BS438">
        <v>13.2606</v>
      </c>
      <c r="BT438">
        <v>13.2606</v>
      </c>
      <c r="BU438">
        <v>13.169499999999999</v>
      </c>
      <c r="BV438">
        <v>13.1724</v>
      </c>
      <c r="BW438">
        <v>13.169499999999999</v>
      </c>
      <c r="BX438">
        <v>17.802800000000001</v>
      </c>
      <c r="BY438">
        <v>1131.7</v>
      </c>
      <c r="BZ438">
        <v>1131.7</v>
      </c>
      <c r="CA438">
        <v>0</v>
      </c>
      <c r="CB438">
        <v>0.1217</v>
      </c>
      <c r="CC438">
        <v>1.44E-2</v>
      </c>
      <c r="CD438">
        <v>0.1363</v>
      </c>
      <c r="CE438">
        <v>1.61E-2</v>
      </c>
      <c r="CF438">
        <v>147.374</v>
      </c>
      <c r="CG438">
        <v>54.827500000000001</v>
      </c>
      <c r="CH438">
        <v>0</v>
      </c>
      <c r="CI438">
        <v>0</v>
      </c>
      <c r="CJ438">
        <v>0</v>
      </c>
      <c r="CK438">
        <v>3.2427000000000001</v>
      </c>
      <c r="CL438">
        <v>3.1408</v>
      </c>
      <c r="CM438">
        <v>1.7779</v>
      </c>
      <c r="CN438">
        <v>0.38369999999999999</v>
      </c>
      <c r="CO438">
        <v>0.38219999999999998</v>
      </c>
      <c r="CP438">
        <v>9299.2999999999993</v>
      </c>
      <c r="CQ438">
        <v>6747.7</v>
      </c>
      <c r="CR438">
        <v>8303.7000000000007</v>
      </c>
      <c r="CS438">
        <v>3.61E-2</v>
      </c>
      <c r="CT438">
        <v>1.8683999999999998</v>
      </c>
      <c r="CU438">
        <v>0.1057</v>
      </c>
      <c r="CV438">
        <v>9.2432999999999996</v>
      </c>
      <c r="CW438">
        <v>58.55</v>
      </c>
      <c r="CX438">
        <v>6.2511000000000001</v>
      </c>
      <c r="CY438">
        <v>1.9710000000000001</v>
      </c>
      <c r="CZ438">
        <v>185.68790000000001</v>
      </c>
      <c r="DA438">
        <v>4.7663000000000002</v>
      </c>
      <c r="DB438">
        <v>76.789400000000001</v>
      </c>
      <c r="DC438">
        <v>115.1495</v>
      </c>
      <c r="DD438">
        <v>191.93889999999999</v>
      </c>
      <c r="DE438">
        <v>44535</v>
      </c>
      <c r="DF438">
        <v>7415.9</v>
      </c>
      <c r="DG438">
        <v>1812.2</v>
      </c>
      <c r="DH438">
        <v>28645.8</v>
      </c>
      <c r="DI438">
        <v>6661.1</v>
      </c>
    </row>
    <row r="439" spans="4:113" x14ac:dyDescent="0.3">
      <c r="E439" t="s">
        <v>78</v>
      </c>
      <c r="F439" t="s">
        <v>135</v>
      </c>
      <c r="G439" t="s">
        <v>135</v>
      </c>
      <c r="H439" t="s">
        <v>135</v>
      </c>
      <c r="I439" t="s">
        <v>135</v>
      </c>
      <c r="J439" t="s">
        <v>135</v>
      </c>
      <c r="K439" t="s">
        <v>135</v>
      </c>
      <c r="L439" t="s">
        <v>135</v>
      </c>
      <c r="M439" t="s">
        <v>135</v>
      </c>
      <c r="N439" t="s">
        <v>135</v>
      </c>
      <c r="O439" t="s">
        <v>135</v>
      </c>
      <c r="P439" t="s">
        <v>135</v>
      </c>
      <c r="Q439" t="s">
        <v>135</v>
      </c>
      <c r="R439" t="s">
        <v>135</v>
      </c>
      <c r="S439" t="s">
        <v>135</v>
      </c>
      <c r="T439" t="s">
        <v>135</v>
      </c>
      <c r="U439" t="s">
        <v>135</v>
      </c>
      <c r="V439" t="s">
        <v>135</v>
      </c>
      <c r="W439" t="s">
        <v>135</v>
      </c>
      <c r="X439" t="s">
        <v>135</v>
      </c>
      <c r="Y439" t="s">
        <v>135</v>
      </c>
      <c r="Z439" t="s">
        <v>135</v>
      </c>
      <c r="AA439" t="s">
        <v>135</v>
      </c>
      <c r="AB439" t="s">
        <v>135</v>
      </c>
      <c r="AC439" t="s">
        <v>135</v>
      </c>
      <c r="AD439" t="s">
        <v>135</v>
      </c>
      <c r="AE439" t="s">
        <v>135</v>
      </c>
      <c r="AF439" t="s">
        <v>135</v>
      </c>
      <c r="AG439" t="s">
        <v>135</v>
      </c>
      <c r="AH439" t="s">
        <v>135</v>
      </c>
      <c r="AI439" t="s">
        <v>135</v>
      </c>
      <c r="AJ439" t="s">
        <v>135</v>
      </c>
      <c r="AK439" t="s">
        <v>135</v>
      </c>
      <c r="AL439" t="s">
        <v>135</v>
      </c>
      <c r="AM439" t="s">
        <v>135</v>
      </c>
      <c r="AN439" t="s">
        <v>135</v>
      </c>
      <c r="AO439" t="s">
        <v>135</v>
      </c>
      <c r="AP439" t="s">
        <v>135</v>
      </c>
      <c r="AQ439" t="s">
        <v>135</v>
      </c>
      <c r="AR439" t="s">
        <v>135</v>
      </c>
      <c r="AS439" t="s">
        <v>135</v>
      </c>
      <c r="AT439" t="s">
        <v>135</v>
      </c>
      <c r="AU439" t="s">
        <v>135</v>
      </c>
      <c r="AV439" t="s">
        <v>135</v>
      </c>
      <c r="AW439" t="s">
        <v>135</v>
      </c>
      <c r="AX439" t="s">
        <v>135</v>
      </c>
      <c r="AY439" t="s">
        <v>135</v>
      </c>
      <c r="AZ439" t="s">
        <v>135</v>
      </c>
      <c r="BA439" t="s">
        <v>135</v>
      </c>
      <c r="BB439" t="s">
        <v>135</v>
      </c>
      <c r="BC439" t="s">
        <v>135</v>
      </c>
      <c r="BD439" t="s">
        <v>135</v>
      </c>
      <c r="BE439" t="s">
        <v>135</v>
      </c>
      <c r="BF439" t="s">
        <v>135</v>
      </c>
      <c r="BG439" t="s">
        <v>135</v>
      </c>
      <c r="BH439" t="s">
        <v>135</v>
      </c>
      <c r="BI439" t="s">
        <v>135</v>
      </c>
      <c r="BJ439" t="s">
        <v>135</v>
      </c>
      <c r="BK439" t="s">
        <v>135</v>
      </c>
      <c r="BL439" t="s">
        <v>135</v>
      </c>
      <c r="BM439" t="s">
        <v>135</v>
      </c>
      <c r="BN439" t="s">
        <v>135</v>
      </c>
      <c r="BO439" t="s">
        <v>135</v>
      </c>
      <c r="BP439" t="s">
        <v>135</v>
      </c>
      <c r="BQ439" t="s">
        <v>135</v>
      </c>
      <c r="BR439" t="s">
        <v>135</v>
      </c>
      <c r="BS439" t="s">
        <v>135</v>
      </c>
      <c r="BT439" t="s">
        <v>135</v>
      </c>
      <c r="BU439" t="s">
        <v>135</v>
      </c>
      <c r="BV439" t="s">
        <v>135</v>
      </c>
      <c r="BW439" t="s">
        <v>135</v>
      </c>
      <c r="BX439" t="s">
        <v>135</v>
      </c>
      <c r="BY439" t="s">
        <v>135</v>
      </c>
      <c r="BZ439" t="s">
        <v>135</v>
      </c>
      <c r="CA439" t="s">
        <v>135</v>
      </c>
      <c r="CB439" t="s">
        <v>135</v>
      </c>
      <c r="CC439" t="s">
        <v>135</v>
      </c>
      <c r="CD439" t="s">
        <v>135</v>
      </c>
      <c r="CE439" t="s">
        <v>135</v>
      </c>
      <c r="CF439" t="s">
        <v>135</v>
      </c>
      <c r="CG439" t="s">
        <v>135</v>
      </c>
      <c r="CH439" t="s">
        <v>135</v>
      </c>
      <c r="CI439" t="s">
        <v>135</v>
      </c>
      <c r="CJ439" t="s">
        <v>135</v>
      </c>
      <c r="CK439" t="s">
        <v>135</v>
      </c>
      <c r="CL439" t="s">
        <v>135</v>
      </c>
      <c r="CM439" t="s">
        <v>135</v>
      </c>
      <c r="CN439" t="s">
        <v>135</v>
      </c>
      <c r="CO439" t="s">
        <v>135</v>
      </c>
      <c r="CP439" t="s">
        <v>135</v>
      </c>
      <c r="CQ439" t="s">
        <v>135</v>
      </c>
      <c r="CR439" t="s">
        <v>135</v>
      </c>
      <c r="CS439" t="s">
        <v>135</v>
      </c>
      <c r="CT439" t="s">
        <v>135</v>
      </c>
      <c r="CU439" t="s">
        <v>135</v>
      </c>
      <c r="CV439" t="s">
        <v>135</v>
      </c>
      <c r="CW439" t="s">
        <v>135</v>
      </c>
      <c r="CX439" t="s">
        <v>135</v>
      </c>
      <c r="CY439" t="s">
        <v>135</v>
      </c>
      <c r="CZ439" t="s">
        <v>135</v>
      </c>
      <c r="DA439" t="s">
        <v>135</v>
      </c>
      <c r="DB439" t="s">
        <v>135</v>
      </c>
      <c r="DC439" t="s">
        <v>135</v>
      </c>
      <c r="DD439" t="s">
        <v>135</v>
      </c>
      <c r="DE439" t="s">
        <v>135</v>
      </c>
      <c r="DF439" t="s">
        <v>135</v>
      </c>
      <c r="DG439" t="s">
        <v>135</v>
      </c>
      <c r="DH439" t="s">
        <v>135</v>
      </c>
      <c r="DI439" t="s">
        <v>135</v>
      </c>
    </row>
    <row r="440" spans="4:113" x14ac:dyDescent="0.3">
      <c r="E440" t="s">
        <v>79</v>
      </c>
      <c r="F440" t="s">
        <v>135</v>
      </c>
      <c r="G440" t="s">
        <v>135</v>
      </c>
      <c r="H440" t="s">
        <v>135</v>
      </c>
      <c r="I440" t="s">
        <v>135</v>
      </c>
      <c r="J440" t="s">
        <v>135</v>
      </c>
      <c r="K440" t="s">
        <v>135</v>
      </c>
      <c r="L440" t="s">
        <v>135</v>
      </c>
      <c r="M440" t="s">
        <v>135</v>
      </c>
      <c r="N440" t="s">
        <v>135</v>
      </c>
      <c r="O440" t="s">
        <v>135</v>
      </c>
      <c r="P440" t="s">
        <v>135</v>
      </c>
      <c r="Q440" t="s">
        <v>135</v>
      </c>
      <c r="R440" t="s">
        <v>135</v>
      </c>
      <c r="S440" t="s">
        <v>135</v>
      </c>
      <c r="T440" t="s">
        <v>135</v>
      </c>
      <c r="U440" t="s">
        <v>135</v>
      </c>
      <c r="V440" t="s">
        <v>135</v>
      </c>
      <c r="W440" t="s">
        <v>135</v>
      </c>
      <c r="X440" t="s">
        <v>135</v>
      </c>
      <c r="Y440" t="s">
        <v>135</v>
      </c>
      <c r="Z440" t="s">
        <v>135</v>
      </c>
      <c r="AA440" t="s">
        <v>135</v>
      </c>
      <c r="AB440" t="s">
        <v>135</v>
      </c>
      <c r="AC440" t="s">
        <v>135</v>
      </c>
      <c r="AD440" t="s">
        <v>135</v>
      </c>
      <c r="AE440" t="s">
        <v>135</v>
      </c>
      <c r="AF440" t="s">
        <v>135</v>
      </c>
      <c r="AG440" t="s">
        <v>135</v>
      </c>
      <c r="AH440" t="s">
        <v>135</v>
      </c>
      <c r="AI440" t="s">
        <v>135</v>
      </c>
      <c r="AJ440" t="s">
        <v>135</v>
      </c>
      <c r="AK440" t="s">
        <v>135</v>
      </c>
      <c r="AL440" t="s">
        <v>135</v>
      </c>
      <c r="AM440" t="s">
        <v>135</v>
      </c>
      <c r="AN440" t="s">
        <v>135</v>
      </c>
      <c r="AO440" t="s">
        <v>135</v>
      </c>
      <c r="AP440" t="s">
        <v>135</v>
      </c>
      <c r="AQ440" t="s">
        <v>135</v>
      </c>
      <c r="AR440" t="s">
        <v>135</v>
      </c>
      <c r="AS440" t="s">
        <v>135</v>
      </c>
      <c r="AT440" t="s">
        <v>135</v>
      </c>
      <c r="AU440" t="s">
        <v>135</v>
      </c>
      <c r="AV440" t="s">
        <v>135</v>
      </c>
      <c r="AW440" t="s">
        <v>135</v>
      </c>
      <c r="AX440" t="s">
        <v>135</v>
      </c>
      <c r="AY440" t="s">
        <v>135</v>
      </c>
      <c r="AZ440" t="s">
        <v>135</v>
      </c>
      <c r="BA440" t="s">
        <v>135</v>
      </c>
      <c r="BB440" t="s">
        <v>135</v>
      </c>
      <c r="BC440" t="s">
        <v>135</v>
      </c>
      <c r="BD440" t="s">
        <v>135</v>
      </c>
      <c r="BE440" t="s">
        <v>135</v>
      </c>
      <c r="BF440" t="s">
        <v>135</v>
      </c>
      <c r="BG440" t="s">
        <v>135</v>
      </c>
      <c r="BH440" t="s">
        <v>135</v>
      </c>
      <c r="BI440" t="s">
        <v>135</v>
      </c>
      <c r="BJ440" t="s">
        <v>135</v>
      </c>
      <c r="BK440" t="s">
        <v>135</v>
      </c>
      <c r="BL440" t="s">
        <v>135</v>
      </c>
      <c r="BM440" t="s">
        <v>135</v>
      </c>
      <c r="BN440" t="s">
        <v>135</v>
      </c>
      <c r="BO440" t="s">
        <v>135</v>
      </c>
      <c r="BP440" t="s">
        <v>135</v>
      </c>
      <c r="BQ440" t="s">
        <v>135</v>
      </c>
      <c r="BR440" t="s">
        <v>135</v>
      </c>
      <c r="BS440" t="s">
        <v>135</v>
      </c>
      <c r="BT440" t="s">
        <v>135</v>
      </c>
      <c r="BU440" t="s">
        <v>135</v>
      </c>
      <c r="BV440" t="s">
        <v>135</v>
      </c>
      <c r="BW440" t="s">
        <v>135</v>
      </c>
      <c r="BX440" t="s">
        <v>135</v>
      </c>
      <c r="BY440" t="s">
        <v>135</v>
      </c>
      <c r="BZ440" t="s">
        <v>135</v>
      </c>
      <c r="CA440" t="s">
        <v>135</v>
      </c>
      <c r="CB440" t="s">
        <v>135</v>
      </c>
      <c r="CC440" t="s">
        <v>135</v>
      </c>
      <c r="CD440" t="s">
        <v>135</v>
      </c>
      <c r="CE440" t="s">
        <v>135</v>
      </c>
      <c r="CF440" t="s">
        <v>135</v>
      </c>
      <c r="CG440" t="s">
        <v>135</v>
      </c>
      <c r="CH440" t="s">
        <v>135</v>
      </c>
      <c r="CI440" t="s">
        <v>135</v>
      </c>
      <c r="CJ440" t="s">
        <v>135</v>
      </c>
      <c r="CK440" t="s">
        <v>135</v>
      </c>
      <c r="CL440" t="s">
        <v>135</v>
      </c>
      <c r="CM440" t="s">
        <v>135</v>
      </c>
      <c r="CN440" t="s">
        <v>135</v>
      </c>
      <c r="CO440" t="s">
        <v>135</v>
      </c>
      <c r="CP440" t="s">
        <v>135</v>
      </c>
      <c r="CQ440" t="s">
        <v>135</v>
      </c>
      <c r="CR440" t="s">
        <v>135</v>
      </c>
      <c r="CS440" t="s">
        <v>135</v>
      </c>
      <c r="CT440" t="s">
        <v>135</v>
      </c>
      <c r="CU440" t="s">
        <v>135</v>
      </c>
      <c r="CV440" t="s">
        <v>135</v>
      </c>
      <c r="CW440" t="s">
        <v>135</v>
      </c>
      <c r="CX440" t="s">
        <v>135</v>
      </c>
      <c r="CY440" t="s">
        <v>135</v>
      </c>
      <c r="CZ440" t="s">
        <v>135</v>
      </c>
      <c r="DA440" t="s">
        <v>135</v>
      </c>
      <c r="DB440" t="s">
        <v>135</v>
      </c>
      <c r="DC440" t="s">
        <v>135</v>
      </c>
      <c r="DD440" t="s">
        <v>135</v>
      </c>
      <c r="DE440" t="s">
        <v>135</v>
      </c>
      <c r="DF440" t="s">
        <v>135</v>
      </c>
      <c r="DG440" t="s">
        <v>135</v>
      </c>
      <c r="DH440" t="s">
        <v>135</v>
      </c>
      <c r="DI440" t="s">
        <v>135</v>
      </c>
    </row>
    <row r="441" spans="4:113" x14ac:dyDescent="0.3">
      <c r="E441" t="s">
        <v>80</v>
      </c>
      <c r="F441" t="s">
        <v>135</v>
      </c>
      <c r="G441" t="s">
        <v>135</v>
      </c>
      <c r="H441" t="s">
        <v>135</v>
      </c>
      <c r="I441" t="s">
        <v>135</v>
      </c>
      <c r="J441" t="s">
        <v>135</v>
      </c>
      <c r="K441" t="s">
        <v>135</v>
      </c>
      <c r="L441" t="s">
        <v>135</v>
      </c>
      <c r="M441" t="s">
        <v>135</v>
      </c>
      <c r="N441" t="s">
        <v>135</v>
      </c>
      <c r="O441" t="s">
        <v>135</v>
      </c>
      <c r="P441" t="s">
        <v>135</v>
      </c>
      <c r="Q441" t="s">
        <v>135</v>
      </c>
      <c r="R441" t="s">
        <v>135</v>
      </c>
      <c r="S441" t="s">
        <v>135</v>
      </c>
      <c r="T441" t="s">
        <v>135</v>
      </c>
      <c r="U441" t="s">
        <v>135</v>
      </c>
      <c r="V441" t="s">
        <v>135</v>
      </c>
      <c r="W441" t="s">
        <v>135</v>
      </c>
      <c r="X441" t="s">
        <v>135</v>
      </c>
      <c r="Y441" t="s">
        <v>135</v>
      </c>
      <c r="Z441" t="s">
        <v>135</v>
      </c>
      <c r="AA441" t="s">
        <v>135</v>
      </c>
      <c r="AB441" t="s">
        <v>135</v>
      </c>
      <c r="AC441" t="s">
        <v>135</v>
      </c>
      <c r="AD441" t="s">
        <v>135</v>
      </c>
      <c r="AE441" t="s">
        <v>135</v>
      </c>
      <c r="AF441" t="s">
        <v>135</v>
      </c>
      <c r="AG441" t="s">
        <v>135</v>
      </c>
      <c r="AH441" t="s">
        <v>135</v>
      </c>
      <c r="AI441" t="s">
        <v>135</v>
      </c>
      <c r="AJ441" t="s">
        <v>135</v>
      </c>
      <c r="AK441" t="s">
        <v>135</v>
      </c>
      <c r="AL441" t="s">
        <v>135</v>
      </c>
      <c r="AM441" t="s">
        <v>135</v>
      </c>
      <c r="AN441" t="s">
        <v>135</v>
      </c>
      <c r="AO441" t="s">
        <v>135</v>
      </c>
      <c r="AP441" t="s">
        <v>135</v>
      </c>
      <c r="AQ441" t="s">
        <v>135</v>
      </c>
      <c r="AR441" t="s">
        <v>135</v>
      </c>
      <c r="AS441" t="s">
        <v>135</v>
      </c>
      <c r="AT441" t="s">
        <v>135</v>
      </c>
      <c r="AU441" t="s">
        <v>135</v>
      </c>
      <c r="AV441" t="s">
        <v>135</v>
      </c>
      <c r="AW441" t="s">
        <v>135</v>
      </c>
      <c r="AX441" t="s">
        <v>135</v>
      </c>
      <c r="AY441" t="s">
        <v>135</v>
      </c>
      <c r="AZ441" t="s">
        <v>135</v>
      </c>
      <c r="BA441" t="s">
        <v>135</v>
      </c>
      <c r="BB441" t="s">
        <v>135</v>
      </c>
      <c r="BC441" t="s">
        <v>135</v>
      </c>
      <c r="BD441" t="s">
        <v>135</v>
      </c>
      <c r="BE441" t="s">
        <v>135</v>
      </c>
      <c r="BF441" t="s">
        <v>135</v>
      </c>
      <c r="BG441" t="s">
        <v>135</v>
      </c>
      <c r="BH441" t="s">
        <v>135</v>
      </c>
      <c r="BI441" t="s">
        <v>135</v>
      </c>
      <c r="BJ441" t="s">
        <v>135</v>
      </c>
      <c r="BK441" t="s">
        <v>135</v>
      </c>
      <c r="BL441" t="s">
        <v>135</v>
      </c>
      <c r="BM441" t="s">
        <v>135</v>
      </c>
      <c r="BN441" t="s">
        <v>135</v>
      </c>
      <c r="BO441" t="s">
        <v>135</v>
      </c>
      <c r="BP441" t="s">
        <v>135</v>
      </c>
      <c r="BQ441" t="s">
        <v>135</v>
      </c>
      <c r="BR441" t="s">
        <v>135</v>
      </c>
      <c r="BS441" t="s">
        <v>135</v>
      </c>
      <c r="BT441" t="s">
        <v>135</v>
      </c>
      <c r="BU441" t="s">
        <v>135</v>
      </c>
      <c r="BV441" t="s">
        <v>135</v>
      </c>
      <c r="BW441" t="s">
        <v>135</v>
      </c>
      <c r="BX441" t="s">
        <v>135</v>
      </c>
      <c r="BY441" t="s">
        <v>135</v>
      </c>
      <c r="BZ441" t="s">
        <v>135</v>
      </c>
      <c r="CA441" t="s">
        <v>135</v>
      </c>
      <c r="CB441" t="s">
        <v>135</v>
      </c>
      <c r="CC441" t="s">
        <v>135</v>
      </c>
      <c r="CD441" t="s">
        <v>135</v>
      </c>
      <c r="CE441" t="s">
        <v>135</v>
      </c>
      <c r="CF441" t="s">
        <v>135</v>
      </c>
      <c r="CG441" t="s">
        <v>135</v>
      </c>
      <c r="CH441" t="s">
        <v>135</v>
      </c>
      <c r="CI441" t="s">
        <v>135</v>
      </c>
      <c r="CJ441" t="s">
        <v>135</v>
      </c>
      <c r="CK441" t="s">
        <v>135</v>
      </c>
      <c r="CL441" t="s">
        <v>135</v>
      </c>
      <c r="CM441" t="s">
        <v>135</v>
      </c>
      <c r="CN441" t="s">
        <v>135</v>
      </c>
      <c r="CO441" t="s">
        <v>135</v>
      </c>
      <c r="CP441" t="s">
        <v>135</v>
      </c>
      <c r="CQ441" t="s">
        <v>135</v>
      </c>
      <c r="CR441" t="s">
        <v>135</v>
      </c>
      <c r="CS441" t="s">
        <v>135</v>
      </c>
      <c r="CT441" t="s">
        <v>135</v>
      </c>
      <c r="CU441" t="s">
        <v>135</v>
      </c>
      <c r="CV441" t="s">
        <v>135</v>
      </c>
      <c r="CW441" t="s">
        <v>135</v>
      </c>
      <c r="CX441" t="s">
        <v>135</v>
      </c>
      <c r="CY441" t="s">
        <v>135</v>
      </c>
      <c r="CZ441" t="s">
        <v>135</v>
      </c>
      <c r="DA441" t="s">
        <v>135</v>
      </c>
      <c r="DB441" t="s">
        <v>135</v>
      </c>
      <c r="DC441" t="s">
        <v>135</v>
      </c>
      <c r="DD441" t="s">
        <v>135</v>
      </c>
      <c r="DE441" t="s">
        <v>135</v>
      </c>
      <c r="DF441" t="s">
        <v>135</v>
      </c>
      <c r="DG441" t="s">
        <v>135</v>
      </c>
      <c r="DH441" t="s">
        <v>135</v>
      </c>
      <c r="DI441" t="s">
        <v>135</v>
      </c>
    </row>
    <row r="442" spans="4:113" x14ac:dyDescent="0.3">
      <c r="E442" t="s">
        <v>81</v>
      </c>
      <c r="F442" t="s">
        <v>135</v>
      </c>
      <c r="G442" t="s">
        <v>135</v>
      </c>
      <c r="H442" t="s">
        <v>135</v>
      </c>
      <c r="I442" t="s">
        <v>135</v>
      </c>
      <c r="J442" t="s">
        <v>135</v>
      </c>
      <c r="K442" t="s">
        <v>135</v>
      </c>
      <c r="L442" t="s">
        <v>135</v>
      </c>
      <c r="M442" t="s">
        <v>135</v>
      </c>
      <c r="N442" t="s">
        <v>135</v>
      </c>
      <c r="O442" t="s">
        <v>135</v>
      </c>
      <c r="P442" t="s">
        <v>135</v>
      </c>
      <c r="Q442" t="s">
        <v>135</v>
      </c>
      <c r="R442" t="s">
        <v>135</v>
      </c>
      <c r="S442" t="s">
        <v>135</v>
      </c>
      <c r="T442" t="s">
        <v>135</v>
      </c>
      <c r="U442" t="s">
        <v>135</v>
      </c>
      <c r="V442" t="s">
        <v>135</v>
      </c>
      <c r="W442" t="s">
        <v>135</v>
      </c>
      <c r="X442" t="s">
        <v>135</v>
      </c>
      <c r="Y442" t="s">
        <v>135</v>
      </c>
      <c r="Z442" t="s">
        <v>135</v>
      </c>
      <c r="AA442" t="s">
        <v>135</v>
      </c>
      <c r="AB442" t="s">
        <v>135</v>
      </c>
      <c r="AC442" t="s">
        <v>135</v>
      </c>
      <c r="AD442" t="s">
        <v>135</v>
      </c>
      <c r="AE442" t="s">
        <v>135</v>
      </c>
      <c r="AF442" t="s">
        <v>135</v>
      </c>
      <c r="AG442" t="s">
        <v>135</v>
      </c>
      <c r="AH442" t="s">
        <v>135</v>
      </c>
      <c r="AI442" t="s">
        <v>135</v>
      </c>
      <c r="AJ442" t="s">
        <v>135</v>
      </c>
      <c r="AK442" t="s">
        <v>135</v>
      </c>
      <c r="AL442" t="s">
        <v>135</v>
      </c>
      <c r="AM442" t="s">
        <v>135</v>
      </c>
      <c r="AN442" t="s">
        <v>135</v>
      </c>
      <c r="AO442" t="s">
        <v>135</v>
      </c>
      <c r="AP442" t="s">
        <v>135</v>
      </c>
      <c r="AQ442" t="s">
        <v>135</v>
      </c>
      <c r="AR442" t="s">
        <v>135</v>
      </c>
      <c r="AS442" t="s">
        <v>135</v>
      </c>
      <c r="AT442" t="s">
        <v>135</v>
      </c>
      <c r="AU442" t="s">
        <v>135</v>
      </c>
      <c r="AV442" t="s">
        <v>135</v>
      </c>
      <c r="AW442" t="s">
        <v>135</v>
      </c>
      <c r="AX442" t="s">
        <v>135</v>
      </c>
      <c r="AY442" t="s">
        <v>135</v>
      </c>
      <c r="AZ442" t="s">
        <v>135</v>
      </c>
      <c r="BA442" t="s">
        <v>135</v>
      </c>
      <c r="BB442" t="s">
        <v>135</v>
      </c>
      <c r="BC442" t="s">
        <v>135</v>
      </c>
      <c r="BD442" t="s">
        <v>135</v>
      </c>
      <c r="BE442" t="s">
        <v>135</v>
      </c>
      <c r="BF442" t="s">
        <v>135</v>
      </c>
      <c r="BG442" t="s">
        <v>135</v>
      </c>
      <c r="BH442" t="s">
        <v>135</v>
      </c>
      <c r="BI442" t="s">
        <v>135</v>
      </c>
      <c r="BJ442" t="s">
        <v>135</v>
      </c>
      <c r="BK442" t="s">
        <v>135</v>
      </c>
      <c r="BL442" t="s">
        <v>135</v>
      </c>
      <c r="BM442" t="s">
        <v>135</v>
      </c>
      <c r="BN442" t="s">
        <v>135</v>
      </c>
      <c r="BO442" t="s">
        <v>135</v>
      </c>
      <c r="BP442" t="s">
        <v>135</v>
      </c>
      <c r="BQ442" t="s">
        <v>135</v>
      </c>
      <c r="BR442" t="s">
        <v>135</v>
      </c>
      <c r="BS442" t="s">
        <v>135</v>
      </c>
      <c r="BT442" t="s">
        <v>135</v>
      </c>
      <c r="BU442" t="s">
        <v>135</v>
      </c>
      <c r="BV442" t="s">
        <v>135</v>
      </c>
      <c r="BW442" t="s">
        <v>135</v>
      </c>
      <c r="BX442" t="s">
        <v>135</v>
      </c>
      <c r="BY442" t="s">
        <v>135</v>
      </c>
      <c r="BZ442" t="s">
        <v>135</v>
      </c>
      <c r="CA442" t="s">
        <v>135</v>
      </c>
      <c r="CB442" t="s">
        <v>135</v>
      </c>
      <c r="CC442" t="s">
        <v>135</v>
      </c>
      <c r="CD442" t="s">
        <v>135</v>
      </c>
      <c r="CE442" t="s">
        <v>135</v>
      </c>
      <c r="CF442" t="s">
        <v>135</v>
      </c>
      <c r="CG442" t="s">
        <v>135</v>
      </c>
      <c r="CH442" t="s">
        <v>135</v>
      </c>
      <c r="CI442" t="s">
        <v>135</v>
      </c>
      <c r="CJ442" t="s">
        <v>135</v>
      </c>
      <c r="CK442" t="s">
        <v>135</v>
      </c>
      <c r="CL442" t="s">
        <v>135</v>
      </c>
      <c r="CM442" t="s">
        <v>135</v>
      </c>
      <c r="CN442" t="s">
        <v>135</v>
      </c>
      <c r="CO442" t="s">
        <v>135</v>
      </c>
      <c r="CP442" t="s">
        <v>135</v>
      </c>
      <c r="CQ442" t="s">
        <v>135</v>
      </c>
      <c r="CR442" t="s">
        <v>135</v>
      </c>
      <c r="CS442" t="s">
        <v>135</v>
      </c>
      <c r="CT442" t="s">
        <v>135</v>
      </c>
      <c r="CU442" t="s">
        <v>135</v>
      </c>
      <c r="CV442" t="s">
        <v>135</v>
      </c>
      <c r="CW442" t="s">
        <v>135</v>
      </c>
      <c r="CX442" t="s">
        <v>135</v>
      </c>
      <c r="CY442" t="s">
        <v>135</v>
      </c>
      <c r="CZ442" t="s">
        <v>135</v>
      </c>
      <c r="DA442" t="s">
        <v>135</v>
      </c>
      <c r="DB442" t="s">
        <v>135</v>
      </c>
      <c r="DC442" t="s">
        <v>135</v>
      </c>
      <c r="DD442" t="s">
        <v>135</v>
      </c>
      <c r="DE442" t="s">
        <v>135</v>
      </c>
      <c r="DF442" t="s">
        <v>135</v>
      </c>
      <c r="DG442" t="s">
        <v>135</v>
      </c>
      <c r="DH442" t="s">
        <v>135</v>
      </c>
      <c r="DI442" t="s">
        <v>135</v>
      </c>
    </row>
    <row r="443" spans="4:113" x14ac:dyDescent="0.3">
      <c r="D443" t="s">
        <v>84</v>
      </c>
      <c r="E443" t="s">
        <v>77</v>
      </c>
      <c r="F443">
        <v>18.3874</v>
      </c>
      <c r="G443">
        <v>9.6224000000000007</v>
      </c>
      <c r="H443">
        <v>18.282800000000002</v>
      </c>
      <c r="I443">
        <v>18.982199999999999</v>
      </c>
      <c r="J443">
        <v>8.9547000000000008</v>
      </c>
      <c r="K443">
        <v>8.0981000000000005</v>
      </c>
      <c r="L443">
        <v>12.1449</v>
      </c>
      <c r="M443">
        <v>7.5560999999999998</v>
      </c>
      <c r="N443">
        <v>5.4036999999999997</v>
      </c>
      <c r="O443">
        <v>5.5137</v>
      </c>
      <c r="P443">
        <v>5.5137</v>
      </c>
      <c r="Q443">
        <v>28.303999999999998</v>
      </c>
      <c r="R443">
        <v>32.443800000000003</v>
      </c>
      <c r="S443">
        <v>12.421799999999999</v>
      </c>
      <c r="T443">
        <v>15.3385</v>
      </c>
      <c r="U443">
        <v>23.616199999999999</v>
      </c>
      <c r="V443">
        <v>24.913</v>
      </c>
      <c r="W443">
        <v>5.4779999999999998</v>
      </c>
      <c r="X443">
        <v>5.3947000000000003</v>
      </c>
      <c r="Y443">
        <v>18.181799999999999</v>
      </c>
      <c r="Z443">
        <v>7.8441999999999998</v>
      </c>
      <c r="AA443">
        <v>10.761699999999999</v>
      </c>
      <c r="AB443">
        <v>17.473099999999999</v>
      </c>
      <c r="AC443">
        <v>33.055999999999997</v>
      </c>
      <c r="AD443">
        <v>-23.247</v>
      </c>
      <c r="AE443">
        <v>13.2806</v>
      </c>
      <c r="AF443">
        <v>71.768500000000003</v>
      </c>
      <c r="AG443" t="s">
        <v>135</v>
      </c>
      <c r="AH443" t="s">
        <v>135</v>
      </c>
      <c r="AI443">
        <v>21.4604</v>
      </c>
      <c r="AJ443">
        <v>17.666499999999999</v>
      </c>
      <c r="AK443">
        <v>20.708600000000001</v>
      </c>
      <c r="AL443">
        <v>196.28710000000001</v>
      </c>
      <c r="AM443">
        <v>8.0736000000000008</v>
      </c>
      <c r="AN443">
        <v>6.7538</v>
      </c>
      <c r="AO443">
        <v>5.8129999999999997</v>
      </c>
      <c r="AP443">
        <v>3.4201000000000001</v>
      </c>
      <c r="AQ443">
        <v>3.4209999999999998</v>
      </c>
      <c r="AR443">
        <v>8.2398000000000007</v>
      </c>
      <c r="AS443">
        <v>4.6757999999999997</v>
      </c>
      <c r="AT443">
        <v>11.315300000000001</v>
      </c>
      <c r="AU443">
        <v>21.022500000000001</v>
      </c>
      <c r="AV443">
        <v>12.3809</v>
      </c>
      <c r="AW443">
        <v>14.6563</v>
      </c>
      <c r="AX443">
        <v>22.677</v>
      </c>
      <c r="AY443">
        <v>8.4916999999999998</v>
      </c>
      <c r="AZ443">
        <v>-100</v>
      </c>
      <c r="BA443">
        <v>-100</v>
      </c>
      <c r="BB443">
        <v>23.86</v>
      </c>
      <c r="BC443">
        <v>23.6691</v>
      </c>
      <c r="BD443">
        <v>23.7059</v>
      </c>
      <c r="BE443">
        <v>56.3568</v>
      </c>
      <c r="BF443">
        <v>15.3385</v>
      </c>
      <c r="BG443">
        <v>23.616199999999999</v>
      </c>
      <c r="BH443">
        <v>24.913</v>
      </c>
      <c r="BI443">
        <v>5.4779999999999998</v>
      </c>
      <c r="BJ443">
        <v>5.3947000000000003</v>
      </c>
      <c r="BK443">
        <v>18.181799999999999</v>
      </c>
      <c r="BL443">
        <v>7.8441999999999998</v>
      </c>
      <c r="BM443">
        <v>10.761699999999999</v>
      </c>
      <c r="BN443">
        <v>17.473099999999999</v>
      </c>
      <c r="BO443">
        <v>33.055999999999997</v>
      </c>
      <c r="BP443">
        <v>-23.247</v>
      </c>
      <c r="BQ443">
        <v>13.2806</v>
      </c>
      <c r="BR443">
        <v>71.768500000000003</v>
      </c>
      <c r="BS443">
        <v>-100</v>
      </c>
      <c r="BT443">
        <v>-100</v>
      </c>
      <c r="BU443">
        <v>21.4604</v>
      </c>
      <c r="BV443">
        <v>17.666499999999999</v>
      </c>
      <c r="BW443">
        <v>20.708600000000001</v>
      </c>
      <c r="BX443">
        <v>196.28710000000001</v>
      </c>
      <c r="BY443">
        <v>0</v>
      </c>
      <c r="BZ443">
        <v>0</v>
      </c>
      <c r="CA443">
        <v>0</v>
      </c>
      <c r="CB443">
        <v>0</v>
      </c>
      <c r="CC443">
        <v>-0.99729999999999996</v>
      </c>
      <c r="CD443">
        <v>0</v>
      </c>
      <c r="CE443">
        <v>-1.1027</v>
      </c>
      <c r="CF443">
        <v>36.199599999999997</v>
      </c>
      <c r="CG443">
        <v>50.1312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-27.0578</v>
      </c>
      <c r="CO443">
        <v>-37.094799999999999</v>
      </c>
      <c r="CP443">
        <v>11554.9</v>
      </c>
      <c r="CQ443">
        <v>8896.2999999999993</v>
      </c>
      <c r="CR443">
        <v>10449.6</v>
      </c>
      <c r="CS443">
        <v>0.28370000000000001</v>
      </c>
      <c r="CT443">
        <v>1.6724999999999999</v>
      </c>
      <c r="CU443">
        <v>0.33479999999999999</v>
      </c>
      <c r="CV443">
        <v>8.6098999999999997</v>
      </c>
      <c r="CW443">
        <v>64.502700000000004</v>
      </c>
      <c r="CX443">
        <v>5.6586999999999996</v>
      </c>
      <c r="CY443">
        <v>2.0789</v>
      </c>
      <c r="CZ443">
        <v>175.56970000000001</v>
      </c>
      <c r="DA443">
        <v>4.5457999999999998</v>
      </c>
      <c r="DB443">
        <v>80.293700000000001</v>
      </c>
      <c r="DC443">
        <v>100.9346</v>
      </c>
      <c r="DD443">
        <v>181.22829999999999</v>
      </c>
      <c r="DE443">
        <v>49257.4</v>
      </c>
      <c r="DF443">
        <v>8963.2999999999993</v>
      </c>
      <c r="DG443">
        <v>2021.7</v>
      </c>
      <c r="DH443">
        <v>37944.1</v>
      </c>
      <c r="DI443">
        <v>328.3</v>
      </c>
    </row>
    <row r="444" spans="4:113" x14ac:dyDescent="0.3">
      <c r="E444" t="s">
        <v>78</v>
      </c>
      <c r="F444" t="s">
        <v>135</v>
      </c>
      <c r="G444" t="s">
        <v>135</v>
      </c>
      <c r="H444" t="s">
        <v>135</v>
      </c>
      <c r="I444" t="s">
        <v>135</v>
      </c>
      <c r="J444" t="s">
        <v>135</v>
      </c>
      <c r="K444" t="s">
        <v>135</v>
      </c>
      <c r="L444" t="s">
        <v>135</v>
      </c>
      <c r="M444" t="s">
        <v>135</v>
      </c>
      <c r="N444" t="s">
        <v>135</v>
      </c>
      <c r="O444" t="s">
        <v>135</v>
      </c>
      <c r="P444" t="s">
        <v>135</v>
      </c>
      <c r="Q444" t="s">
        <v>135</v>
      </c>
      <c r="R444" t="s">
        <v>135</v>
      </c>
      <c r="S444" t="s">
        <v>135</v>
      </c>
      <c r="T444" t="s">
        <v>135</v>
      </c>
      <c r="U444" t="s">
        <v>135</v>
      </c>
      <c r="V444" t="s">
        <v>135</v>
      </c>
      <c r="W444" t="s">
        <v>135</v>
      </c>
      <c r="X444" t="s">
        <v>135</v>
      </c>
      <c r="Y444" t="s">
        <v>135</v>
      </c>
      <c r="Z444" t="s">
        <v>135</v>
      </c>
      <c r="AA444" t="s">
        <v>135</v>
      </c>
      <c r="AB444" t="s">
        <v>135</v>
      </c>
      <c r="AC444" t="s">
        <v>135</v>
      </c>
      <c r="AD444" t="s">
        <v>135</v>
      </c>
      <c r="AE444" t="s">
        <v>135</v>
      </c>
      <c r="AF444" t="s">
        <v>135</v>
      </c>
      <c r="AG444" t="s">
        <v>135</v>
      </c>
      <c r="AH444" t="s">
        <v>135</v>
      </c>
      <c r="AI444" t="s">
        <v>135</v>
      </c>
      <c r="AJ444" t="s">
        <v>135</v>
      </c>
      <c r="AK444" t="s">
        <v>135</v>
      </c>
      <c r="AL444" t="s">
        <v>135</v>
      </c>
      <c r="AM444" t="s">
        <v>135</v>
      </c>
      <c r="AN444" t="s">
        <v>135</v>
      </c>
      <c r="AO444" t="s">
        <v>135</v>
      </c>
      <c r="AP444" t="s">
        <v>135</v>
      </c>
      <c r="AQ444" t="s">
        <v>135</v>
      </c>
      <c r="AR444" t="s">
        <v>135</v>
      </c>
      <c r="AS444" t="s">
        <v>135</v>
      </c>
      <c r="AT444" t="s">
        <v>135</v>
      </c>
      <c r="AU444" t="s">
        <v>135</v>
      </c>
      <c r="AV444" t="s">
        <v>135</v>
      </c>
      <c r="AW444" t="s">
        <v>135</v>
      </c>
      <c r="AX444" t="s">
        <v>135</v>
      </c>
      <c r="AY444" t="s">
        <v>135</v>
      </c>
      <c r="AZ444" t="s">
        <v>135</v>
      </c>
      <c r="BA444" t="s">
        <v>135</v>
      </c>
      <c r="BB444" t="s">
        <v>135</v>
      </c>
      <c r="BC444" t="s">
        <v>135</v>
      </c>
      <c r="BD444" t="s">
        <v>135</v>
      </c>
      <c r="BE444" t="s">
        <v>135</v>
      </c>
      <c r="BF444" t="s">
        <v>135</v>
      </c>
      <c r="BG444" t="s">
        <v>135</v>
      </c>
      <c r="BH444" t="s">
        <v>135</v>
      </c>
      <c r="BI444" t="s">
        <v>135</v>
      </c>
      <c r="BJ444" t="s">
        <v>135</v>
      </c>
      <c r="BK444" t="s">
        <v>135</v>
      </c>
      <c r="BL444" t="s">
        <v>135</v>
      </c>
      <c r="BM444" t="s">
        <v>135</v>
      </c>
      <c r="BN444" t="s">
        <v>135</v>
      </c>
      <c r="BO444" t="s">
        <v>135</v>
      </c>
      <c r="BP444" t="s">
        <v>135</v>
      </c>
      <c r="BQ444" t="s">
        <v>135</v>
      </c>
      <c r="BR444" t="s">
        <v>135</v>
      </c>
      <c r="BS444" t="s">
        <v>135</v>
      </c>
      <c r="BT444" t="s">
        <v>135</v>
      </c>
      <c r="BU444" t="s">
        <v>135</v>
      </c>
      <c r="BV444" t="s">
        <v>135</v>
      </c>
      <c r="BW444" t="s">
        <v>135</v>
      </c>
      <c r="BX444" t="s">
        <v>135</v>
      </c>
      <c r="BY444" t="s">
        <v>135</v>
      </c>
      <c r="BZ444" t="s">
        <v>135</v>
      </c>
      <c r="CA444" t="s">
        <v>135</v>
      </c>
      <c r="CB444" t="s">
        <v>135</v>
      </c>
      <c r="CC444" t="s">
        <v>135</v>
      </c>
      <c r="CD444" t="s">
        <v>135</v>
      </c>
      <c r="CE444" t="s">
        <v>135</v>
      </c>
      <c r="CF444" t="s">
        <v>135</v>
      </c>
      <c r="CG444" t="s">
        <v>135</v>
      </c>
      <c r="CH444" t="s">
        <v>135</v>
      </c>
      <c r="CI444" t="s">
        <v>135</v>
      </c>
      <c r="CJ444" t="s">
        <v>135</v>
      </c>
      <c r="CK444" t="s">
        <v>135</v>
      </c>
      <c r="CL444" t="s">
        <v>135</v>
      </c>
      <c r="CM444" t="s">
        <v>135</v>
      </c>
      <c r="CN444" t="s">
        <v>135</v>
      </c>
      <c r="CO444" t="s">
        <v>135</v>
      </c>
      <c r="CP444" t="s">
        <v>135</v>
      </c>
      <c r="CQ444" t="s">
        <v>135</v>
      </c>
      <c r="CR444" t="s">
        <v>135</v>
      </c>
      <c r="CS444" t="s">
        <v>135</v>
      </c>
      <c r="CT444" t="s">
        <v>135</v>
      </c>
      <c r="CU444" t="s">
        <v>135</v>
      </c>
      <c r="CV444" t="s">
        <v>135</v>
      </c>
      <c r="CW444" t="s">
        <v>135</v>
      </c>
      <c r="CX444" t="s">
        <v>135</v>
      </c>
      <c r="CY444" t="s">
        <v>135</v>
      </c>
      <c r="CZ444" t="s">
        <v>135</v>
      </c>
      <c r="DA444" t="s">
        <v>135</v>
      </c>
      <c r="DB444" t="s">
        <v>135</v>
      </c>
      <c r="DC444" t="s">
        <v>135</v>
      </c>
      <c r="DD444" t="s">
        <v>135</v>
      </c>
      <c r="DE444" t="s">
        <v>135</v>
      </c>
      <c r="DF444" t="s">
        <v>135</v>
      </c>
      <c r="DG444" t="s">
        <v>135</v>
      </c>
      <c r="DH444" t="s">
        <v>135</v>
      </c>
      <c r="DI444" t="s">
        <v>135</v>
      </c>
    </row>
    <row r="445" spans="4:113" x14ac:dyDescent="0.3">
      <c r="E445" t="s">
        <v>79</v>
      </c>
      <c r="F445" t="s">
        <v>135</v>
      </c>
      <c r="G445" t="s">
        <v>135</v>
      </c>
      <c r="H445" t="s">
        <v>135</v>
      </c>
      <c r="I445" t="s">
        <v>135</v>
      </c>
      <c r="J445" t="s">
        <v>135</v>
      </c>
      <c r="K445" t="s">
        <v>135</v>
      </c>
      <c r="L445" t="s">
        <v>135</v>
      </c>
      <c r="M445" t="s">
        <v>135</v>
      </c>
      <c r="N445" t="s">
        <v>135</v>
      </c>
      <c r="O445" t="s">
        <v>135</v>
      </c>
      <c r="P445" t="s">
        <v>135</v>
      </c>
      <c r="Q445" t="s">
        <v>135</v>
      </c>
      <c r="R445" t="s">
        <v>135</v>
      </c>
      <c r="S445" t="s">
        <v>135</v>
      </c>
      <c r="T445" t="s">
        <v>135</v>
      </c>
      <c r="U445" t="s">
        <v>135</v>
      </c>
      <c r="V445" t="s">
        <v>135</v>
      </c>
      <c r="W445" t="s">
        <v>135</v>
      </c>
      <c r="X445" t="s">
        <v>135</v>
      </c>
      <c r="Y445" t="s">
        <v>135</v>
      </c>
      <c r="Z445" t="s">
        <v>135</v>
      </c>
      <c r="AA445" t="s">
        <v>135</v>
      </c>
      <c r="AB445" t="s">
        <v>135</v>
      </c>
      <c r="AC445" t="s">
        <v>135</v>
      </c>
      <c r="AD445" t="s">
        <v>135</v>
      </c>
      <c r="AE445" t="s">
        <v>135</v>
      </c>
      <c r="AF445" t="s">
        <v>135</v>
      </c>
      <c r="AG445" t="s">
        <v>135</v>
      </c>
      <c r="AH445" t="s">
        <v>135</v>
      </c>
      <c r="AI445" t="s">
        <v>135</v>
      </c>
      <c r="AJ445" t="s">
        <v>135</v>
      </c>
      <c r="AK445" t="s">
        <v>135</v>
      </c>
      <c r="AL445" t="s">
        <v>135</v>
      </c>
      <c r="AM445" t="s">
        <v>135</v>
      </c>
      <c r="AN445" t="s">
        <v>135</v>
      </c>
      <c r="AO445" t="s">
        <v>135</v>
      </c>
      <c r="AP445" t="s">
        <v>135</v>
      </c>
      <c r="AQ445" t="s">
        <v>135</v>
      </c>
      <c r="AR445" t="s">
        <v>135</v>
      </c>
      <c r="AS445" t="s">
        <v>135</v>
      </c>
      <c r="AT445" t="s">
        <v>135</v>
      </c>
      <c r="AU445" t="s">
        <v>135</v>
      </c>
      <c r="AV445" t="s">
        <v>135</v>
      </c>
      <c r="AW445" t="s">
        <v>135</v>
      </c>
      <c r="AX445" t="s">
        <v>135</v>
      </c>
      <c r="AY445" t="s">
        <v>135</v>
      </c>
      <c r="AZ445" t="s">
        <v>135</v>
      </c>
      <c r="BA445" t="s">
        <v>135</v>
      </c>
      <c r="BB445" t="s">
        <v>135</v>
      </c>
      <c r="BC445" t="s">
        <v>135</v>
      </c>
      <c r="BD445" t="s">
        <v>135</v>
      </c>
      <c r="BE445" t="s">
        <v>135</v>
      </c>
      <c r="BF445" t="s">
        <v>135</v>
      </c>
      <c r="BG445" t="s">
        <v>135</v>
      </c>
      <c r="BH445" t="s">
        <v>135</v>
      </c>
      <c r="BI445" t="s">
        <v>135</v>
      </c>
      <c r="BJ445" t="s">
        <v>135</v>
      </c>
      <c r="BK445" t="s">
        <v>135</v>
      </c>
      <c r="BL445" t="s">
        <v>135</v>
      </c>
      <c r="BM445" t="s">
        <v>135</v>
      </c>
      <c r="BN445" t="s">
        <v>135</v>
      </c>
      <c r="BO445" t="s">
        <v>135</v>
      </c>
      <c r="BP445" t="s">
        <v>135</v>
      </c>
      <c r="BQ445" t="s">
        <v>135</v>
      </c>
      <c r="BR445" t="s">
        <v>135</v>
      </c>
      <c r="BS445" t="s">
        <v>135</v>
      </c>
      <c r="BT445" t="s">
        <v>135</v>
      </c>
      <c r="BU445" t="s">
        <v>135</v>
      </c>
      <c r="BV445" t="s">
        <v>135</v>
      </c>
      <c r="BW445" t="s">
        <v>135</v>
      </c>
      <c r="BX445" t="s">
        <v>135</v>
      </c>
      <c r="BY445" t="s">
        <v>135</v>
      </c>
      <c r="BZ445" t="s">
        <v>135</v>
      </c>
      <c r="CA445" t="s">
        <v>135</v>
      </c>
      <c r="CB445" t="s">
        <v>135</v>
      </c>
      <c r="CC445" t="s">
        <v>135</v>
      </c>
      <c r="CD445" t="s">
        <v>135</v>
      </c>
      <c r="CE445" t="s">
        <v>135</v>
      </c>
      <c r="CF445" t="s">
        <v>135</v>
      </c>
      <c r="CG445" t="s">
        <v>135</v>
      </c>
      <c r="CH445" t="s">
        <v>135</v>
      </c>
      <c r="CI445" t="s">
        <v>135</v>
      </c>
      <c r="CJ445" t="s">
        <v>135</v>
      </c>
      <c r="CK445" t="s">
        <v>135</v>
      </c>
      <c r="CL445" t="s">
        <v>135</v>
      </c>
      <c r="CM445" t="s">
        <v>135</v>
      </c>
      <c r="CN445" t="s">
        <v>135</v>
      </c>
      <c r="CO445" t="s">
        <v>135</v>
      </c>
      <c r="CP445" t="s">
        <v>135</v>
      </c>
      <c r="CQ445" t="s">
        <v>135</v>
      </c>
      <c r="CR445" t="s">
        <v>135</v>
      </c>
      <c r="CS445" t="s">
        <v>135</v>
      </c>
      <c r="CT445" t="s">
        <v>135</v>
      </c>
      <c r="CU445" t="s">
        <v>135</v>
      </c>
      <c r="CV445" t="s">
        <v>135</v>
      </c>
      <c r="CW445" t="s">
        <v>135</v>
      </c>
      <c r="CX445" t="s">
        <v>135</v>
      </c>
      <c r="CY445" t="s">
        <v>135</v>
      </c>
      <c r="CZ445" t="s">
        <v>135</v>
      </c>
      <c r="DA445" t="s">
        <v>135</v>
      </c>
      <c r="DB445" t="s">
        <v>135</v>
      </c>
      <c r="DC445" t="s">
        <v>135</v>
      </c>
      <c r="DD445" t="s">
        <v>135</v>
      </c>
      <c r="DE445" t="s">
        <v>135</v>
      </c>
      <c r="DF445" t="s">
        <v>135</v>
      </c>
      <c r="DG445" t="s">
        <v>135</v>
      </c>
      <c r="DH445" t="s">
        <v>135</v>
      </c>
      <c r="DI445" t="s">
        <v>135</v>
      </c>
    </row>
    <row r="446" spans="4:113" x14ac:dyDescent="0.3">
      <c r="E446" t="s">
        <v>80</v>
      </c>
      <c r="F446" t="s">
        <v>135</v>
      </c>
      <c r="G446" t="s">
        <v>135</v>
      </c>
      <c r="H446" t="s">
        <v>135</v>
      </c>
      <c r="I446" t="s">
        <v>135</v>
      </c>
      <c r="J446" t="s">
        <v>135</v>
      </c>
      <c r="K446" t="s">
        <v>135</v>
      </c>
      <c r="L446" t="s">
        <v>135</v>
      </c>
      <c r="M446" t="s">
        <v>135</v>
      </c>
      <c r="N446" t="s">
        <v>135</v>
      </c>
      <c r="O446" t="s">
        <v>135</v>
      </c>
      <c r="P446" t="s">
        <v>135</v>
      </c>
      <c r="Q446" t="s">
        <v>135</v>
      </c>
      <c r="R446" t="s">
        <v>135</v>
      </c>
      <c r="S446" t="s">
        <v>135</v>
      </c>
      <c r="T446" t="s">
        <v>135</v>
      </c>
      <c r="U446" t="s">
        <v>135</v>
      </c>
      <c r="V446" t="s">
        <v>135</v>
      </c>
      <c r="W446" t="s">
        <v>135</v>
      </c>
      <c r="X446" t="s">
        <v>135</v>
      </c>
      <c r="Y446" t="s">
        <v>135</v>
      </c>
      <c r="Z446" t="s">
        <v>135</v>
      </c>
      <c r="AA446" t="s">
        <v>135</v>
      </c>
      <c r="AB446" t="s">
        <v>135</v>
      </c>
      <c r="AC446" t="s">
        <v>135</v>
      </c>
      <c r="AD446" t="s">
        <v>135</v>
      </c>
      <c r="AE446" t="s">
        <v>135</v>
      </c>
      <c r="AF446" t="s">
        <v>135</v>
      </c>
      <c r="AG446" t="s">
        <v>135</v>
      </c>
      <c r="AH446" t="s">
        <v>135</v>
      </c>
      <c r="AI446" t="s">
        <v>135</v>
      </c>
      <c r="AJ446" t="s">
        <v>135</v>
      </c>
      <c r="AK446" t="s">
        <v>135</v>
      </c>
      <c r="AL446" t="s">
        <v>135</v>
      </c>
      <c r="AM446" t="s">
        <v>135</v>
      </c>
      <c r="AN446" t="s">
        <v>135</v>
      </c>
      <c r="AO446" t="s">
        <v>135</v>
      </c>
      <c r="AP446" t="s">
        <v>135</v>
      </c>
      <c r="AQ446" t="s">
        <v>135</v>
      </c>
      <c r="AR446" t="s">
        <v>135</v>
      </c>
      <c r="AS446" t="s">
        <v>135</v>
      </c>
      <c r="AT446" t="s">
        <v>135</v>
      </c>
      <c r="AU446" t="s">
        <v>135</v>
      </c>
      <c r="AV446" t="s">
        <v>135</v>
      </c>
      <c r="AW446" t="s">
        <v>135</v>
      </c>
      <c r="AX446" t="s">
        <v>135</v>
      </c>
      <c r="AY446" t="s">
        <v>135</v>
      </c>
      <c r="AZ446" t="s">
        <v>135</v>
      </c>
      <c r="BA446" t="s">
        <v>135</v>
      </c>
      <c r="BB446" t="s">
        <v>135</v>
      </c>
      <c r="BC446" t="s">
        <v>135</v>
      </c>
      <c r="BD446" t="s">
        <v>135</v>
      </c>
      <c r="BE446" t="s">
        <v>135</v>
      </c>
      <c r="BF446" t="s">
        <v>135</v>
      </c>
      <c r="BG446" t="s">
        <v>135</v>
      </c>
      <c r="BH446" t="s">
        <v>135</v>
      </c>
      <c r="BI446" t="s">
        <v>135</v>
      </c>
      <c r="BJ446" t="s">
        <v>135</v>
      </c>
      <c r="BK446" t="s">
        <v>135</v>
      </c>
      <c r="BL446" t="s">
        <v>135</v>
      </c>
      <c r="BM446" t="s">
        <v>135</v>
      </c>
      <c r="BN446" t="s">
        <v>135</v>
      </c>
      <c r="BO446" t="s">
        <v>135</v>
      </c>
      <c r="BP446" t="s">
        <v>135</v>
      </c>
      <c r="BQ446" t="s">
        <v>135</v>
      </c>
      <c r="BR446" t="s">
        <v>135</v>
      </c>
      <c r="BS446" t="s">
        <v>135</v>
      </c>
      <c r="BT446" t="s">
        <v>135</v>
      </c>
      <c r="BU446" t="s">
        <v>135</v>
      </c>
      <c r="BV446" t="s">
        <v>135</v>
      </c>
      <c r="BW446" t="s">
        <v>135</v>
      </c>
      <c r="BX446" t="s">
        <v>135</v>
      </c>
      <c r="BY446" t="s">
        <v>135</v>
      </c>
      <c r="BZ446" t="s">
        <v>135</v>
      </c>
      <c r="CA446" t="s">
        <v>135</v>
      </c>
      <c r="CB446" t="s">
        <v>135</v>
      </c>
      <c r="CC446" t="s">
        <v>135</v>
      </c>
      <c r="CD446" t="s">
        <v>135</v>
      </c>
      <c r="CE446" t="s">
        <v>135</v>
      </c>
      <c r="CF446" t="s">
        <v>135</v>
      </c>
      <c r="CG446" t="s">
        <v>135</v>
      </c>
      <c r="CH446" t="s">
        <v>135</v>
      </c>
      <c r="CI446" t="s">
        <v>135</v>
      </c>
      <c r="CJ446" t="s">
        <v>135</v>
      </c>
      <c r="CK446" t="s">
        <v>135</v>
      </c>
      <c r="CL446" t="s">
        <v>135</v>
      </c>
      <c r="CM446" t="s">
        <v>135</v>
      </c>
      <c r="CN446" t="s">
        <v>135</v>
      </c>
      <c r="CO446" t="s">
        <v>135</v>
      </c>
      <c r="CP446" t="s">
        <v>135</v>
      </c>
      <c r="CQ446" t="s">
        <v>135</v>
      </c>
      <c r="CR446" t="s">
        <v>135</v>
      </c>
      <c r="CS446" t="s">
        <v>135</v>
      </c>
      <c r="CT446" t="s">
        <v>135</v>
      </c>
      <c r="CU446" t="s">
        <v>135</v>
      </c>
      <c r="CV446" t="s">
        <v>135</v>
      </c>
      <c r="CW446" t="s">
        <v>135</v>
      </c>
      <c r="CX446" t="s">
        <v>135</v>
      </c>
      <c r="CY446" t="s">
        <v>135</v>
      </c>
      <c r="CZ446" t="s">
        <v>135</v>
      </c>
      <c r="DA446" t="s">
        <v>135</v>
      </c>
      <c r="DB446" t="s">
        <v>135</v>
      </c>
      <c r="DC446" t="s">
        <v>135</v>
      </c>
      <c r="DD446" t="s">
        <v>135</v>
      </c>
      <c r="DE446" t="s">
        <v>135</v>
      </c>
      <c r="DF446" t="s">
        <v>135</v>
      </c>
      <c r="DG446" t="s">
        <v>135</v>
      </c>
      <c r="DH446" t="s">
        <v>135</v>
      </c>
      <c r="DI446" t="s">
        <v>135</v>
      </c>
    </row>
    <row r="447" spans="4:113" x14ac:dyDescent="0.3">
      <c r="E447" t="s">
        <v>81</v>
      </c>
      <c r="F447" t="s">
        <v>135</v>
      </c>
      <c r="G447" t="s">
        <v>135</v>
      </c>
      <c r="H447" t="s">
        <v>135</v>
      </c>
      <c r="I447" t="s">
        <v>135</v>
      </c>
      <c r="J447" t="s">
        <v>135</v>
      </c>
      <c r="K447" t="s">
        <v>135</v>
      </c>
      <c r="L447" t="s">
        <v>135</v>
      </c>
      <c r="M447" t="s">
        <v>135</v>
      </c>
      <c r="N447" t="s">
        <v>135</v>
      </c>
      <c r="O447" t="s">
        <v>135</v>
      </c>
      <c r="P447" t="s">
        <v>135</v>
      </c>
      <c r="Q447" t="s">
        <v>135</v>
      </c>
      <c r="R447" t="s">
        <v>135</v>
      </c>
      <c r="S447" t="s">
        <v>135</v>
      </c>
      <c r="T447" t="s">
        <v>135</v>
      </c>
      <c r="U447" t="s">
        <v>135</v>
      </c>
      <c r="V447" t="s">
        <v>135</v>
      </c>
      <c r="W447" t="s">
        <v>135</v>
      </c>
      <c r="X447" t="s">
        <v>135</v>
      </c>
      <c r="Y447" t="s">
        <v>135</v>
      </c>
      <c r="Z447" t="s">
        <v>135</v>
      </c>
      <c r="AA447" t="s">
        <v>135</v>
      </c>
      <c r="AB447" t="s">
        <v>135</v>
      </c>
      <c r="AC447" t="s">
        <v>135</v>
      </c>
      <c r="AD447" t="s">
        <v>135</v>
      </c>
      <c r="AE447" t="s">
        <v>135</v>
      </c>
      <c r="AF447" t="s">
        <v>135</v>
      </c>
      <c r="AG447" t="s">
        <v>135</v>
      </c>
      <c r="AH447" t="s">
        <v>135</v>
      </c>
      <c r="AI447" t="s">
        <v>135</v>
      </c>
      <c r="AJ447" t="s">
        <v>135</v>
      </c>
      <c r="AK447" t="s">
        <v>135</v>
      </c>
      <c r="AL447" t="s">
        <v>135</v>
      </c>
      <c r="AM447" t="s">
        <v>135</v>
      </c>
      <c r="AN447" t="s">
        <v>135</v>
      </c>
      <c r="AO447" t="s">
        <v>135</v>
      </c>
      <c r="AP447" t="s">
        <v>135</v>
      </c>
      <c r="AQ447" t="s">
        <v>135</v>
      </c>
      <c r="AR447" t="s">
        <v>135</v>
      </c>
      <c r="AS447" t="s">
        <v>135</v>
      </c>
      <c r="AT447" t="s">
        <v>135</v>
      </c>
      <c r="AU447" t="s">
        <v>135</v>
      </c>
      <c r="AV447" t="s">
        <v>135</v>
      </c>
      <c r="AW447" t="s">
        <v>135</v>
      </c>
      <c r="AX447" t="s">
        <v>135</v>
      </c>
      <c r="AY447" t="s">
        <v>135</v>
      </c>
      <c r="AZ447" t="s">
        <v>135</v>
      </c>
      <c r="BA447" t="s">
        <v>135</v>
      </c>
      <c r="BB447" t="s">
        <v>135</v>
      </c>
      <c r="BC447" t="s">
        <v>135</v>
      </c>
      <c r="BD447" t="s">
        <v>135</v>
      </c>
      <c r="BE447" t="s">
        <v>135</v>
      </c>
      <c r="BF447" t="s">
        <v>135</v>
      </c>
      <c r="BG447" t="s">
        <v>135</v>
      </c>
      <c r="BH447" t="s">
        <v>135</v>
      </c>
      <c r="BI447" t="s">
        <v>135</v>
      </c>
      <c r="BJ447" t="s">
        <v>135</v>
      </c>
      <c r="BK447" t="s">
        <v>135</v>
      </c>
      <c r="BL447" t="s">
        <v>135</v>
      </c>
      <c r="BM447" t="s">
        <v>135</v>
      </c>
      <c r="BN447" t="s">
        <v>135</v>
      </c>
      <c r="BO447" t="s">
        <v>135</v>
      </c>
      <c r="BP447" t="s">
        <v>135</v>
      </c>
      <c r="BQ447" t="s">
        <v>135</v>
      </c>
      <c r="BR447" t="s">
        <v>135</v>
      </c>
      <c r="BS447" t="s">
        <v>135</v>
      </c>
      <c r="BT447" t="s">
        <v>135</v>
      </c>
      <c r="BU447" t="s">
        <v>135</v>
      </c>
      <c r="BV447" t="s">
        <v>135</v>
      </c>
      <c r="BW447" t="s">
        <v>135</v>
      </c>
      <c r="BX447" t="s">
        <v>135</v>
      </c>
      <c r="BY447" t="s">
        <v>135</v>
      </c>
      <c r="BZ447" t="s">
        <v>135</v>
      </c>
      <c r="CA447" t="s">
        <v>135</v>
      </c>
      <c r="CB447" t="s">
        <v>135</v>
      </c>
      <c r="CC447" t="s">
        <v>135</v>
      </c>
      <c r="CD447" t="s">
        <v>135</v>
      </c>
      <c r="CE447" t="s">
        <v>135</v>
      </c>
      <c r="CF447" t="s">
        <v>135</v>
      </c>
      <c r="CG447" t="s">
        <v>135</v>
      </c>
      <c r="CH447" t="s">
        <v>135</v>
      </c>
      <c r="CI447" t="s">
        <v>135</v>
      </c>
      <c r="CJ447" t="s">
        <v>135</v>
      </c>
      <c r="CK447" t="s">
        <v>135</v>
      </c>
      <c r="CL447" t="s">
        <v>135</v>
      </c>
      <c r="CM447" t="s">
        <v>135</v>
      </c>
      <c r="CN447" t="s">
        <v>135</v>
      </c>
      <c r="CO447" t="s">
        <v>135</v>
      </c>
      <c r="CP447" t="s">
        <v>135</v>
      </c>
      <c r="CQ447" t="s">
        <v>135</v>
      </c>
      <c r="CR447" t="s">
        <v>135</v>
      </c>
      <c r="CS447" t="s">
        <v>135</v>
      </c>
      <c r="CT447" t="s">
        <v>135</v>
      </c>
      <c r="CU447" t="s">
        <v>135</v>
      </c>
      <c r="CV447" t="s">
        <v>135</v>
      </c>
      <c r="CW447" t="s">
        <v>135</v>
      </c>
      <c r="CX447" t="s">
        <v>135</v>
      </c>
      <c r="CY447" t="s">
        <v>135</v>
      </c>
      <c r="CZ447" t="s">
        <v>135</v>
      </c>
      <c r="DA447" t="s">
        <v>135</v>
      </c>
      <c r="DB447" t="s">
        <v>135</v>
      </c>
      <c r="DC447" t="s">
        <v>135</v>
      </c>
      <c r="DD447" t="s">
        <v>135</v>
      </c>
      <c r="DE447" t="s">
        <v>135</v>
      </c>
      <c r="DF447" t="s">
        <v>135</v>
      </c>
      <c r="DG447" t="s">
        <v>135</v>
      </c>
      <c r="DH447" t="s">
        <v>135</v>
      </c>
      <c r="DI447" t="s">
        <v>135</v>
      </c>
    </row>
    <row r="448" spans="4:113" x14ac:dyDescent="0.3">
      <c r="D448" t="s">
        <v>85</v>
      </c>
      <c r="E448" t="s">
        <v>77</v>
      </c>
      <c r="F448">
        <v>24.245000000000001</v>
      </c>
      <c r="G448">
        <v>12.604100000000001</v>
      </c>
      <c r="H448">
        <v>17.647200000000002</v>
      </c>
      <c r="I448">
        <v>16.8964</v>
      </c>
      <c r="J448">
        <v>10.313800000000001</v>
      </c>
      <c r="K448">
        <v>9.4895999999999994</v>
      </c>
      <c r="L448">
        <v>16.969200000000001</v>
      </c>
      <c r="M448">
        <v>9.5931999999999995</v>
      </c>
      <c r="N448">
        <v>6.91</v>
      </c>
      <c r="O448">
        <v>7.0868000000000002</v>
      </c>
      <c r="P448">
        <v>7.0868000000000002</v>
      </c>
      <c r="Q448">
        <v>27.9694</v>
      </c>
      <c r="R448">
        <v>29.46</v>
      </c>
      <c r="S448">
        <v>17.102399999999999</v>
      </c>
      <c r="T448">
        <v>20.927900000000001</v>
      </c>
      <c r="U448">
        <v>42.337000000000003</v>
      </c>
      <c r="V448">
        <v>44.815100000000001</v>
      </c>
      <c r="W448">
        <v>58.838700000000003</v>
      </c>
      <c r="X448">
        <v>59.097000000000001</v>
      </c>
      <c r="Y448">
        <v>44.230800000000002</v>
      </c>
      <c r="Z448">
        <v>42.432600000000001</v>
      </c>
      <c r="AA448">
        <v>20.283200000000001</v>
      </c>
      <c r="AB448">
        <v>15.955500000000001</v>
      </c>
      <c r="AC448">
        <v>13.276899999999999</v>
      </c>
      <c r="AD448">
        <v>22.8064</v>
      </c>
      <c r="AE448">
        <v>21.332699999999999</v>
      </c>
      <c r="AF448">
        <v>12.134</v>
      </c>
      <c r="AG448">
        <v>-10.168799999999999</v>
      </c>
      <c r="AH448">
        <v>-10.168799999999999</v>
      </c>
      <c r="AI448">
        <v>19.473400000000002</v>
      </c>
      <c r="AJ448">
        <v>10.3873</v>
      </c>
      <c r="AK448">
        <v>20.2605</v>
      </c>
      <c r="AL448" t="s">
        <v>135</v>
      </c>
      <c r="AM448">
        <v>9.74</v>
      </c>
      <c r="AN448">
        <v>10.324199999999999</v>
      </c>
      <c r="AO448">
        <v>9.7567000000000004</v>
      </c>
      <c r="AP448">
        <v>9.2721999999999998</v>
      </c>
      <c r="AQ448">
        <v>9.3094000000000001</v>
      </c>
      <c r="AR448">
        <v>12.295500000000001</v>
      </c>
      <c r="AS448">
        <v>12.262</v>
      </c>
      <c r="AT448">
        <v>9.9911999999999992</v>
      </c>
      <c r="AU448">
        <v>19.046299999999999</v>
      </c>
      <c r="AV448">
        <v>10.113899999999999</v>
      </c>
      <c r="AW448">
        <v>25.0365</v>
      </c>
      <c r="AX448">
        <v>19.776599999999998</v>
      </c>
      <c r="AY448">
        <v>-15.993600000000001</v>
      </c>
      <c r="AZ448">
        <v>208.67570000000001</v>
      </c>
      <c r="BA448">
        <v>208.67570000000001</v>
      </c>
      <c r="BB448">
        <v>20.8993</v>
      </c>
      <c r="BC448">
        <v>27.962199999999999</v>
      </c>
      <c r="BD448">
        <v>20.907499999999999</v>
      </c>
      <c r="BE448" t="s">
        <v>135</v>
      </c>
      <c r="BF448">
        <v>20.927900000000001</v>
      </c>
      <c r="BG448">
        <v>42.337000000000003</v>
      </c>
      <c r="BH448">
        <v>44.815100000000001</v>
      </c>
      <c r="BI448">
        <v>58.838700000000003</v>
      </c>
      <c r="BJ448">
        <v>59.097000000000001</v>
      </c>
      <c r="BK448">
        <v>44.230800000000002</v>
      </c>
      <c r="BL448">
        <v>42.432600000000001</v>
      </c>
      <c r="BM448">
        <v>20.283200000000001</v>
      </c>
      <c r="BN448">
        <v>15.955500000000001</v>
      </c>
      <c r="BO448">
        <v>13.276899999999999</v>
      </c>
      <c r="BP448">
        <v>22.8064</v>
      </c>
      <c r="BQ448">
        <v>21.332699999999999</v>
      </c>
      <c r="BR448">
        <v>12.134</v>
      </c>
      <c r="BS448">
        <v>-10.168799999999999</v>
      </c>
      <c r="BT448">
        <v>-10.168799999999999</v>
      </c>
      <c r="BU448">
        <v>19.473400000000002</v>
      </c>
      <c r="BV448">
        <v>10.3873</v>
      </c>
      <c r="BW448">
        <v>20.2605</v>
      </c>
      <c r="BX448">
        <v>-102.3994</v>
      </c>
      <c r="BY448">
        <v>16910.099999999999</v>
      </c>
      <c r="BZ448">
        <v>16910.099999999999</v>
      </c>
      <c r="CA448">
        <v>0</v>
      </c>
      <c r="CB448">
        <v>1.0282</v>
      </c>
      <c r="CC448">
        <v>0.65629999999999999</v>
      </c>
      <c r="CD448">
        <v>1.1174999999999999</v>
      </c>
      <c r="CE448">
        <v>0.71319999999999995</v>
      </c>
      <c r="CF448">
        <v>31.078800000000001</v>
      </c>
      <c r="CG448">
        <v>53.441499999999998</v>
      </c>
      <c r="CH448">
        <v>0</v>
      </c>
      <c r="CI448">
        <v>0</v>
      </c>
      <c r="CJ448">
        <v>0</v>
      </c>
      <c r="CK448">
        <v>33.234900000000003</v>
      </c>
      <c r="CL448">
        <v>24.944600000000001</v>
      </c>
      <c r="CM448">
        <v>17.754899999999999</v>
      </c>
      <c r="CN448">
        <v>21.213000000000001</v>
      </c>
      <c r="CO448">
        <v>17.500599999999999</v>
      </c>
      <c r="CP448">
        <v>16446.900000000001</v>
      </c>
      <c r="CQ448">
        <v>13398.4</v>
      </c>
      <c r="CR448">
        <v>15132.6</v>
      </c>
      <c r="CS448">
        <v>0.14169999999999999</v>
      </c>
      <c r="CT448">
        <v>1.7614000000000001</v>
      </c>
      <c r="CU448">
        <v>0.21029999999999999</v>
      </c>
      <c r="CV448">
        <v>14.3002</v>
      </c>
      <c r="CW448">
        <v>63.369</v>
      </c>
      <c r="CX448">
        <v>5.7599</v>
      </c>
      <c r="CY448">
        <v>2.3344</v>
      </c>
      <c r="CZ448">
        <v>156.35669999999999</v>
      </c>
      <c r="DA448">
        <v>16.457599999999999</v>
      </c>
      <c r="DB448">
        <v>22.1782</v>
      </c>
      <c r="DC448">
        <v>139.9384</v>
      </c>
      <c r="DD448">
        <v>162.11660000000001</v>
      </c>
      <c r="DE448">
        <v>59248.4</v>
      </c>
      <c r="DF448">
        <v>9082.2000000000007</v>
      </c>
      <c r="DG448">
        <v>2286.6</v>
      </c>
      <c r="DH448">
        <v>47637.7</v>
      </c>
      <c r="DI448">
        <v>241.9</v>
      </c>
    </row>
    <row r="449" spans="1:113" x14ac:dyDescent="0.3">
      <c r="E449" t="s">
        <v>78</v>
      </c>
      <c r="F449" t="s">
        <v>135</v>
      </c>
      <c r="G449" t="s">
        <v>135</v>
      </c>
      <c r="H449" t="s">
        <v>135</v>
      </c>
      <c r="I449" t="s">
        <v>135</v>
      </c>
      <c r="J449">
        <v>9.157</v>
      </c>
      <c r="K449">
        <v>8.4160000000000004</v>
      </c>
      <c r="L449" t="s">
        <v>135</v>
      </c>
      <c r="M449">
        <v>8.5961999999999996</v>
      </c>
      <c r="N449">
        <v>5.9714</v>
      </c>
      <c r="O449">
        <v>6.1039000000000003</v>
      </c>
      <c r="P449">
        <v>6.1039000000000003</v>
      </c>
      <c r="Q449">
        <v>30.297499999999999</v>
      </c>
      <c r="R449" t="s">
        <v>135</v>
      </c>
      <c r="S449" t="s">
        <v>135</v>
      </c>
      <c r="T449" t="s">
        <v>135</v>
      </c>
      <c r="U449" t="s">
        <v>135</v>
      </c>
      <c r="V449" t="s">
        <v>135</v>
      </c>
      <c r="W449" t="s">
        <v>135</v>
      </c>
      <c r="X449" t="s">
        <v>135</v>
      </c>
      <c r="Y449" t="s">
        <v>135</v>
      </c>
      <c r="Z449" t="s">
        <v>135</v>
      </c>
      <c r="AA449" t="s">
        <v>135</v>
      </c>
      <c r="AB449" t="s">
        <v>135</v>
      </c>
      <c r="AC449" t="s">
        <v>135</v>
      </c>
      <c r="AD449" t="s">
        <v>135</v>
      </c>
      <c r="AE449" t="s">
        <v>135</v>
      </c>
      <c r="AF449" t="s">
        <v>135</v>
      </c>
      <c r="AG449" t="s">
        <v>135</v>
      </c>
      <c r="AH449" t="s">
        <v>135</v>
      </c>
      <c r="AI449" t="s">
        <v>135</v>
      </c>
      <c r="AJ449" t="s">
        <v>135</v>
      </c>
      <c r="AK449" t="s">
        <v>135</v>
      </c>
      <c r="AL449" t="s">
        <v>135</v>
      </c>
      <c r="AM449" t="s">
        <v>135</v>
      </c>
      <c r="AN449" t="s">
        <v>135</v>
      </c>
      <c r="AO449" t="s">
        <v>135</v>
      </c>
      <c r="AP449" t="s">
        <v>135</v>
      </c>
      <c r="AQ449" t="s">
        <v>135</v>
      </c>
      <c r="AR449" t="s">
        <v>135</v>
      </c>
      <c r="AS449" t="s">
        <v>135</v>
      </c>
      <c r="AT449" t="s">
        <v>135</v>
      </c>
      <c r="AU449" t="s">
        <v>135</v>
      </c>
      <c r="AV449" t="s">
        <v>135</v>
      </c>
      <c r="AW449" t="s">
        <v>135</v>
      </c>
      <c r="AX449" t="s">
        <v>135</v>
      </c>
      <c r="AY449" t="s">
        <v>135</v>
      </c>
      <c r="AZ449" t="s">
        <v>135</v>
      </c>
      <c r="BA449" t="s">
        <v>135</v>
      </c>
      <c r="BB449" t="s">
        <v>135</v>
      </c>
      <c r="BC449" t="s">
        <v>135</v>
      </c>
      <c r="BD449" t="s">
        <v>135</v>
      </c>
      <c r="BE449" t="s">
        <v>135</v>
      </c>
      <c r="BF449" t="s">
        <v>135</v>
      </c>
      <c r="BG449" t="s">
        <v>135</v>
      </c>
      <c r="BH449" t="s">
        <v>135</v>
      </c>
      <c r="BI449" t="s">
        <v>135</v>
      </c>
      <c r="BJ449" t="s">
        <v>135</v>
      </c>
      <c r="BK449" t="s">
        <v>135</v>
      </c>
      <c r="BL449" t="s">
        <v>135</v>
      </c>
      <c r="BM449" t="s">
        <v>135</v>
      </c>
      <c r="BN449" t="s">
        <v>135</v>
      </c>
      <c r="BO449" t="s">
        <v>135</v>
      </c>
      <c r="BP449" t="s">
        <v>135</v>
      </c>
      <c r="BQ449" t="s">
        <v>135</v>
      </c>
      <c r="BR449" t="s">
        <v>135</v>
      </c>
      <c r="BS449" t="s">
        <v>135</v>
      </c>
      <c r="BT449" t="s">
        <v>135</v>
      </c>
      <c r="BU449" t="s">
        <v>135</v>
      </c>
      <c r="BV449" t="s">
        <v>135</v>
      </c>
      <c r="BW449" t="s">
        <v>135</v>
      </c>
      <c r="BX449" t="s">
        <v>135</v>
      </c>
      <c r="BY449" t="s">
        <v>135</v>
      </c>
      <c r="BZ449" t="s">
        <v>135</v>
      </c>
      <c r="CA449" t="s">
        <v>135</v>
      </c>
      <c r="CB449" t="s">
        <v>135</v>
      </c>
      <c r="CC449" t="s">
        <v>135</v>
      </c>
      <c r="CD449" t="s">
        <v>135</v>
      </c>
      <c r="CE449" t="s">
        <v>135</v>
      </c>
      <c r="CF449">
        <v>33.883000000000003</v>
      </c>
      <c r="CG449" t="s">
        <v>135</v>
      </c>
      <c r="CH449" t="s">
        <v>135</v>
      </c>
      <c r="CI449" t="s">
        <v>135</v>
      </c>
      <c r="CJ449" t="s">
        <v>135</v>
      </c>
      <c r="CK449" t="s">
        <v>135</v>
      </c>
      <c r="CL449" t="s">
        <v>135</v>
      </c>
      <c r="CM449" t="s">
        <v>135</v>
      </c>
      <c r="CN449" t="s">
        <v>135</v>
      </c>
      <c r="CO449" t="s">
        <v>135</v>
      </c>
      <c r="CP449">
        <v>3649.2</v>
      </c>
      <c r="CQ449" t="s">
        <v>135</v>
      </c>
      <c r="CR449">
        <v>3353.9</v>
      </c>
      <c r="CS449" t="s">
        <v>135</v>
      </c>
      <c r="CT449" t="s">
        <v>135</v>
      </c>
      <c r="CU449" t="s">
        <v>135</v>
      </c>
      <c r="CV449" t="s">
        <v>135</v>
      </c>
      <c r="CW449" t="s">
        <v>135</v>
      </c>
      <c r="CX449" t="s">
        <v>135</v>
      </c>
      <c r="CY449" t="s">
        <v>135</v>
      </c>
      <c r="CZ449" t="s">
        <v>135</v>
      </c>
      <c r="DA449" t="s">
        <v>135</v>
      </c>
      <c r="DB449" t="s">
        <v>135</v>
      </c>
      <c r="DC449" t="s">
        <v>135</v>
      </c>
      <c r="DD449" t="s">
        <v>135</v>
      </c>
      <c r="DE449" t="s">
        <v>135</v>
      </c>
      <c r="DF449" t="s">
        <v>135</v>
      </c>
      <c r="DG449" t="s">
        <v>135</v>
      </c>
      <c r="DH449" t="s">
        <v>135</v>
      </c>
      <c r="DI449" t="s">
        <v>135</v>
      </c>
    </row>
    <row r="450" spans="1:113" x14ac:dyDescent="0.3">
      <c r="E450" t="s">
        <v>79</v>
      </c>
      <c r="F450" t="s">
        <v>135</v>
      </c>
      <c r="G450" t="s">
        <v>135</v>
      </c>
      <c r="H450" t="s">
        <v>135</v>
      </c>
      <c r="I450" t="s">
        <v>135</v>
      </c>
      <c r="J450">
        <v>11.4619</v>
      </c>
      <c r="K450">
        <v>10.5685</v>
      </c>
      <c r="L450" t="s">
        <v>135</v>
      </c>
      <c r="M450">
        <v>11.416700000000001</v>
      </c>
      <c r="N450">
        <v>8.0023999999999997</v>
      </c>
      <c r="O450">
        <v>8.1729000000000003</v>
      </c>
      <c r="P450">
        <v>8.1729000000000003</v>
      </c>
      <c r="Q450">
        <v>29.979099999999999</v>
      </c>
      <c r="R450" t="s">
        <v>135</v>
      </c>
      <c r="S450" t="s">
        <v>135</v>
      </c>
      <c r="T450" t="s">
        <v>135</v>
      </c>
      <c r="U450" t="s">
        <v>135</v>
      </c>
      <c r="V450" t="s">
        <v>135</v>
      </c>
      <c r="W450" t="s">
        <v>135</v>
      </c>
      <c r="X450" t="s">
        <v>135</v>
      </c>
      <c r="Y450" t="s">
        <v>135</v>
      </c>
      <c r="Z450" t="s">
        <v>135</v>
      </c>
      <c r="AA450" t="s">
        <v>135</v>
      </c>
      <c r="AB450" t="s">
        <v>135</v>
      </c>
      <c r="AC450" t="s">
        <v>135</v>
      </c>
      <c r="AD450" t="s">
        <v>135</v>
      </c>
      <c r="AE450" t="s">
        <v>135</v>
      </c>
      <c r="AF450" t="s">
        <v>135</v>
      </c>
      <c r="AG450" t="s">
        <v>135</v>
      </c>
      <c r="AH450" t="s">
        <v>135</v>
      </c>
      <c r="AI450" t="s">
        <v>135</v>
      </c>
      <c r="AJ450" t="s">
        <v>135</v>
      </c>
      <c r="AK450" t="s">
        <v>135</v>
      </c>
      <c r="AL450" t="s">
        <v>135</v>
      </c>
      <c r="AM450" t="s">
        <v>135</v>
      </c>
      <c r="AN450" t="s">
        <v>135</v>
      </c>
      <c r="AO450" t="s">
        <v>135</v>
      </c>
      <c r="AP450" t="s">
        <v>135</v>
      </c>
      <c r="AQ450" t="s">
        <v>135</v>
      </c>
      <c r="AR450" t="s">
        <v>135</v>
      </c>
      <c r="AS450" t="s">
        <v>135</v>
      </c>
      <c r="AT450" t="s">
        <v>135</v>
      </c>
      <c r="AU450" t="s">
        <v>135</v>
      </c>
      <c r="AV450" t="s">
        <v>135</v>
      </c>
      <c r="AW450" t="s">
        <v>135</v>
      </c>
      <c r="AX450" t="s">
        <v>135</v>
      </c>
      <c r="AY450" t="s">
        <v>135</v>
      </c>
      <c r="AZ450" t="s">
        <v>135</v>
      </c>
      <c r="BA450" t="s">
        <v>135</v>
      </c>
      <c r="BB450" t="s">
        <v>135</v>
      </c>
      <c r="BC450" t="s">
        <v>135</v>
      </c>
      <c r="BD450" t="s">
        <v>135</v>
      </c>
      <c r="BE450" t="s">
        <v>135</v>
      </c>
      <c r="BF450">
        <v>-12.849500000000001</v>
      </c>
      <c r="BG450">
        <v>9.0869</v>
      </c>
      <c r="BH450">
        <v>9.4398</v>
      </c>
      <c r="BI450">
        <v>16.6906</v>
      </c>
      <c r="BJ450">
        <v>19.299600000000002</v>
      </c>
      <c r="BK450" t="s">
        <v>135</v>
      </c>
      <c r="BL450" t="s">
        <v>135</v>
      </c>
      <c r="BM450" t="s">
        <v>135</v>
      </c>
      <c r="BN450" t="s">
        <v>135</v>
      </c>
      <c r="BO450" t="s">
        <v>135</v>
      </c>
      <c r="BP450" t="s">
        <v>135</v>
      </c>
      <c r="BQ450" t="s">
        <v>135</v>
      </c>
      <c r="BR450" t="s">
        <v>135</v>
      </c>
      <c r="BS450" t="s">
        <v>135</v>
      </c>
      <c r="BT450" t="s">
        <v>135</v>
      </c>
      <c r="BU450" t="s">
        <v>135</v>
      </c>
      <c r="BV450" t="s">
        <v>135</v>
      </c>
      <c r="BW450" t="s">
        <v>135</v>
      </c>
      <c r="BX450" t="s">
        <v>135</v>
      </c>
      <c r="BY450">
        <v>4456.2</v>
      </c>
      <c r="BZ450">
        <v>4456.2</v>
      </c>
      <c r="CA450">
        <v>0</v>
      </c>
      <c r="CB450" t="s">
        <v>135</v>
      </c>
      <c r="CC450" t="s">
        <v>135</v>
      </c>
      <c r="CD450" t="s">
        <v>135</v>
      </c>
      <c r="CE450" t="s">
        <v>135</v>
      </c>
      <c r="CF450">
        <v>27.416</v>
      </c>
      <c r="CG450">
        <v>44.908499999999997</v>
      </c>
      <c r="CH450">
        <v>0</v>
      </c>
      <c r="CI450">
        <v>0</v>
      </c>
      <c r="CJ450">
        <v>0</v>
      </c>
      <c r="CK450">
        <v>10.203200000000001</v>
      </c>
      <c r="CL450">
        <v>9.2584999999999997</v>
      </c>
      <c r="CM450">
        <v>4.5982000000000003</v>
      </c>
      <c r="CN450">
        <v>0.59809999999999997</v>
      </c>
      <c r="CO450">
        <v>0.59450000000000003</v>
      </c>
      <c r="CP450">
        <v>3980.8</v>
      </c>
      <c r="CQ450" t="s">
        <v>135</v>
      </c>
      <c r="CR450">
        <v>3670.5</v>
      </c>
      <c r="CS450">
        <v>8.2199999999999995E-2</v>
      </c>
      <c r="CT450">
        <v>1.5423</v>
      </c>
      <c r="CU450">
        <v>0.18679999999999999</v>
      </c>
      <c r="CV450">
        <v>6.968</v>
      </c>
      <c r="CW450" t="s">
        <v>135</v>
      </c>
      <c r="CX450" t="s">
        <v>135</v>
      </c>
      <c r="CY450" t="s">
        <v>135</v>
      </c>
      <c r="CZ450" t="s">
        <v>135</v>
      </c>
      <c r="DA450" t="s">
        <v>135</v>
      </c>
      <c r="DB450" t="s">
        <v>135</v>
      </c>
      <c r="DC450" t="s">
        <v>135</v>
      </c>
      <c r="DD450" t="s">
        <v>135</v>
      </c>
      <c r="DE450">
        <v>63859.4</v>
      </c>
      <c r="DF450" t="s">
        <v>135</v>
      </c>
      <c r="DG450" t="s">
        <v>135</v>
      </c>
      <c r="DH450" t="s">
        <v>135</v>
      </c>
      <c r="DI450" t="s">
        <v>135</v>
      </c>
    </row>
    <row r="451" spans="1:113" x14ac:dyDescent="0.3">
      <c r="E451" t="s">
        <v>80</v>
      </c>
      <c r="F451" t="s">
        <v>135</v>
      </c>
      <c r="G451" t="s">
        <v>135</v>
      </c>
      <c r="H451" t="s">
        <v>135</v>
      </c>
      <c r="I451" t="s">
        <v>135</v>
      </c>
      <c r="J451">
        <v>10.001899999999999</v>
      </c>
      <c r="K451">
        <v>9.1751000000000005</v>
      </c>
      <c r="L451" t="s">
        <v>135</v>
      </c>
      <c r="M451">
        <v>9.4213000000000005</v>
      </c>
      <c r="N451">
        <v>6.6677999999999997</v>
      </c>
      <c r="O451">
        <v>6.8182</v>
      </c>
      <c r="P451">
        <v>6.8182</v>
      </c>
      <c r="Q451">
        <v>29.132899999999999</v>
      </c>
      <c r="R451" t="s">
        <v>135</v>
      </c>
      <c r="S451" t="s">
        <v>135</v>
      </c>
      <c r="T451" t="s">
        <v>135</v>
      </c>
      <c r="U451" t="s">
        <v>135</v>
      </c>
      <c r="V451" t="s">
        <v>135</v>
      </c>
      <c r="W451" t="s">
        <v>135</v>
      </c>
      <c r="X451" t="s">
        <v>135</v>
      </c>
      <c r="Y451" t="s">
        <v>135</v>
      </c>
      <c r="Z451" t="s">
        <v>135</v>
      </c>
      <c r="AA451" t="s">
        <v>135</v>
      </c>
      <c r="AB451" t="s">
        <v>135</v>
      </c>
      <c r="AC451" t="s">
        <v>135</v>
      </c>
      <c r="AD451" t="s">
        <v>135</v>
      </c>
      <c r="AE451" t="s">
        <v>135</v>
      </c>
      <c r="AF451" t="s">
        <v>135</v>
      </c>
      <c r="AG451" t="s">
        <v>135</v>
      </c>
      <c r="AH451" t="s">
        <v>135</v>
      </c>
      <c r="AI451" t="s">
        <v>135</v>
      </c>
      <c r="AJ451" t="s">
        <v>135</v>
      </c>
      <c r="AK451" t="s">
        <v>135</v>
      </c>
      <c r="AL451" t="s">
        <v>135</v>
      </c>
      <c r="AM451" t="s">
        <v>135</v>
      </c>
      <c r="AN451" t="s">
        <v>135</v>
      </c>
      <c r="AO451" t="s">
        <v>135</v>
      </c>
      <c r="AP451" t="s">
        <v>135</v>
      </c>
      <c r="AQ451" t="s">
        <v>135</v>
      </c>
      <c r="AR451" t="s">
        <v>135</v>
      </c>
      <c r="AS451" t="s">
        <v>135</v>
      </c>
      <c r="AT451" t="s">
        <v>135</v>
      </c>
      <c r="AU451" t="s">
        <v>135</v>
      </c>
      <c r="AV451" t="s">
        <v>135</v>
      </c>
      <c r="AW451" t="s">
        <v>135</v>
      </c>
      <c r="AX451" t="s">
        <v>135</v>
      </c>
      <c r="AY451" t="s">
        <v>135</v>
      </c>
      <c r="AZ451" t="s">
        <v>135</v>
      </c>
      <c r="BA451" t="s">
        <v>135</v>
      </c>
      <c r="BB451" t="s">
        <v>135</v>
      </c>
      <c r="BC451" t="s">
        <v>135</v>
      </c>
      <c r="BD451" t="s">
        <v>135</v>
      </c>
      <c r="BE451" t="s">
        <v>135</v>
      </c>
      <c r="BF451">
        <v>19.529199999999999</v>
      </c>
      <c r="BG451">
        <v>0.128</v>
      </c>
      <c r="BH451">
        <v>-0.85709999999999997</v>
      </c>
      <c r="BI451">
        <v>1.4479</v>
      </c>
      <c r="BJ451">
        <v>1.25</v>
      </c>
      <c r="BK451" t="s">
        <v>135</v>
      </c>
      <c r="BL451" t="s">
        <v>135</v>
      </c>
      <c r="BM451" t="s">
        <v>135</v>
      </c>
      <c r="BN451" t="s">
        <v>135</v>
      </c>
      <c r="BO451" t="s">
        <v>135</v>
      </c>
      <c r="BP451" t="s">
        <v>135</v>
      </c>
      <c r="BQ451" t="s">
        <v>135</v>
      </c>
      <c r="BR451" t="s">
        <v>135</v>
      </c>
      <c r="BS451" t="s">
        <v>135</v>
      </c>
      <c r="BT451" t="s">
        <v>135</v>
      </c>
      <c r="BU451" t="s">
        <v>135</v>
      </c>
      <c r="BV451" t="s">
        <v>135</v>
      </c>
      <c r="BW451" t="s">
        <v>135</v>
      </c>
      <c r="BX451" t="s">
        <v>135</v>
      </c>
      <c r="BY451" t="s">
        <v>135</v>
      </c>
      <c r="BZ451" t="s">
        <v>135</v>
      </c>
      <c r="CA451" t="s">
        <v>135</v>
      </c>
      <c r="CB451" t="s">
        <v>135</v>
      </c>
      <c r="CC451" t="s">
        <v>135</v>
      </c>
      <c r="CD451" t="s">
        <v>135</v>
      </c>
      <c r="CE451" t="s">
        <v>135</v>
      </c>
      <c r="CF451">
        <v>38.683199999999999</v>
      </c>
      <c r="CG451" t="s">
        <v>135</v>
      </c>
      <c r="CH451" t="s">
        <v>135</v>
      </c>
      <c r="CI451" t="s">
        <v>135</v>
      </c>
      <c r="CJ451" t="s">
        <v>135</v>
      </c>
      <c r="CK451" t="s">
        <v>135</v>
      </c>
      <c r="CL451" t="s">
        <v>135</v>
      </c>
      <c r="CM451" t="s">
        <v>135</v>
      </c>
      <c r="CN451" t="s">
        <v>135</v>
      </c>
      <c r="CO451" t="s">
        <v>135</v>
      </c>
      <c r="CP451">
        <v>4224.2</v>
      </c>
      <c r="CQ451" t="s">
        <v>135</v>
      </c>
      <c r="CR451">
        <v>3875</v>
      </c>
      <c r="CS451" t="s">
        <v>135</v>
      </c>
      <c r="CT451" t="s">
        <v>135</v>
      </c>
      <c r="CU451" t="s">
        <v>135</v>
      </c>
      <c r="CV451" t="s">
        <v>135</v>
      </c>
      <c r="CW451" t="s">
        <v>135</v>
      </c>
      <c r="CX451" t="s">
        <v>135</v>
      </c>
      <c r="CY451" t="s">
        <v>135</v>
      </c>
      <c r="CZ451" t="s">
        <v>135</v>
      </c>
      <c r="DA451" t="s">
        <v>135</v>
      </c>
      <c r="DB451" t="s">
        <v>135</v>
      </c>
      <c r="DC451" t="s">
        <v>135</v>
      </c>
      <c r="DD451" t="s">
        <v>135</v>
      </c>
      <c r="DE451" t="s">
        <v>135</v>
      </c>
      <c r="DF451" t="s">
        <v>135</v>
      </c>
      <c r="DG451" t="s">
        <v>135</v>
      </c>
      <c r="DH451" t="s">
        <v>135</v>
      </c>
      <c r="DI451" t="s">
        <v>135</v>
      </c>
    </row>
    <row r="452" spans="1:113" x14ac:dyDescent="0.3">
      <c r="E452" t="s">
        <v>81</v>
      </c>
      <c r="F452" t="s">
        <v>135</v>
      </c>
      <c r="G452" t="s">
        <v>135</v>
      </c>
      <c r="H452" t="s">
        <v>135</v>
      </c>
      <c r="I452" t="s">
        <v>135</v>
      </c>
      <c r="J452">
        <v>10.727</v>
      </c>
      <c r="K452">
        <v>9.8414999999999999</v>
      </c>
      <c r="L452" t="s">
        <v>135</v>
      </c>
      <c r="M452">
        <v>9.7444000000000006</v>
      </c>
      <c r="N452">
        <v>7.4985999999999997</v>
      </c>
      <c r="O452">
        <v>7.7603999999999997</v>
      </c>
      <c r="P452">
        <v>7.7603999999999997</v>
      </c>
      <c r="Q452">
        <v>22.571899999999999</v>
      </c>
      <c r="R452" t="s">
        <v>135</v>
      </c>
      <c r="S452" t="s">
        <v>135</v>
      </c>
      <c r="T452" t="s">
        <v>135</v>
      </c>
      <c r="U452" t="s">
        <v>135</v>
      </c>
      <c r="V452" t="s">
        <v>135</v>
      </c>
      <c r="W452" t="s">
        <v>135</v>
      </c>
      <c r="X452" t="s">
        <v>135</v>
      </c>
      <c r="Y452" t="s">
        <v>135</v>
      </c>
      <c r="Z452" t="s">
        <v>135</v>
      </c>
      <c r="AA452" t="s">
        <v>135</v>
      </c>
      <c r="AB452" t="s">
        <v>135</v>
      </c>
      <c r="AC452" t="s">
        <v>135</v>
      </c>
      <c r="AD452" t="s">
        <v>135</v>
      </c>
      <c r="AE452" t="s">
        <v>135</v>
      </c>
      <c r="AF452" t="s">
        <v>135</v>
      </c>
      <c r="AG452" t="s">
        <v>135</v>
      </c>
      <c r="AH452" t="s">
        <v>135</v>
      </c>
      <c r="AI452" t="s">
        <v>135</v>
      </c>
      <c r="AJ452" t="s">
        <v>135</v>
      </c>
      <c r="AK452" t="s">
        <v>135</v>
      </c>
      <c r="AL452" t="s">
        <v>135</v>
      </c>
      <c r="AM452" t="s">
        <v>135</v>
      </c>
      <c r="AN452" t="s">
        <v>135</v>
      </c>
      <c r="AO452" t="s">
        <v>135</v>
      </c>
      <c r="AP452" t="s">
        <v>135</v>
      </c>
      <c r="AQ452" t="s">
        <v>135</v>
      </c>
      <c r="AR452" t="s">
        <v>135</v>
      </c>
      <c r="AS452" t="s">
        <v>135</v>
      </c>
      <c r="AT452" t="s">
        <v>135</v>
      </c>
      <c r="AU452" t="s">
        <v>135</v>
      </c>
      <c r="AV452" t="s">
        <v>135</v>
      </c>
      <c r="AW452" t="s">
        <v>135</v>
      </c>
      <c r="AX452" t="s">
        <v>135</v>
      </c>
      <c r="AY452" t="s">
        <v>135</v>
      </c>
      <c r="AZ452" t="s">
        <v>135</v>
      </c>
      <c r="BA452" t="s">
        <v>135</v>
      </c>
      <c r="BB452" t="s">
        <v>135</v>
      </c>
      <c r="BC452" t="s">
        <v>135</v>
      </c>
      <c r="BD452" t="s">
        <v>135</v>
      </c>
      <c r="BE452" t="s">
        <v>135</v>
      </c>
      <c r="BF452">
        <v>-3.8795999999999999</v>
      </c>
      <c r="BG452">
        <v>3.0893000000000002</v>
      </c>
      <c r="BH452">
        <v>3.1019000000000001</v>
      </c>
      <c r="BI452">
        <v>9.4040999999999997</v>
      </c>
      <c r="BJ452">
        <v>9.2592999999999996</v>
      </c>
      <c r="BK452" t="s">
        <v>135</v>
      </c>
      <c r="BL452" t="s">
        <v>135</v>
      </c>
      <c r="BM452" t="s">
        <v>135</v>
      </c>
      <c r="BN452" t="s">
        <v>135</v>
      </c>
      <c r="BO452" t="s">
        <v>135</v>
      </c>
      <c r="BP452" t="s">
        <v>135</v>
      </c>
      <c r="BQ452" t="s">
        <v>135</v>
      </c>
      <c r="BR452" t="s">
        <v>135</v>
      </c>
      <c r="BS452" t="s">
        <v>135</v>
      </c>
      <c r="BT452" t="s">
        <v>135</v>
      </c>
      <c r="BU452" t="s">
        <v>135</v>
      </c>
      <c r="BV452" t="s">
        <v>135</v>
      </c>
      <c r="BW452" t="s">
        <v>135</v>
      </c>
      <c r="BX452" t="s">
        <v>135</v>
      </c>
      <c r="BY452">
        <v>16910.099999999999</v>
      </c>
      <c r="BZ452">
        <v>16910.099999999999</v>
      </c>
      <c r="CA452">
        <v>0</v>
      </c>
      <c r="CB452">
        <v>1.0282</v>
      </c>
      <c r="CC452">
        <v>0.65629999999999999</v>
      </c>
      <c r="CD452">
        <v>1.1174999999999999</v>
      </c>
      <c r="CE452">
        <v>0.71319999999999995</v>
      </c>
      <c r="CF452">
        <v>26.060400000000001</v>
      </c>
      <c r="CG452">
        <v>53.441499999999998</v>
      </c>
      <c r="CH452">
        <v>0</v>
      </c>
      <c r="CI452">
        <v>0</v>
      </c>
      <c r="CJ452">
        <v>0</v>
      </c>
      <c r="CK452">
        <v>33.234900000000003</v>
      </c>
      <c r="CL452">
        <v>24.944600000000001</v>
      </c>
      <c r="CM452">
        <v>17.754899999999999</v>
      </c>
      <c r="CN452">
        <v>21.213000000000001</v>
      </c>
      <c r="CO452">
        <v>17.500599999999999</v>
      </c>
      <c r="CP452">
        <v>4354.7</v>
      </c>
      <c r="CQ452" t="s">
        <v>135</v>
      </c>
      <c r="CR452">
        <v>3995.2</v>
      </c>
      <c r="CS452">
        <v>0.14169999999999999</v>
      </c>
      <c r="CT452">
        <v>1.7614000000000001</v>
      </c>
      <c r="CU452">
        <v>0.21029999999999999</v>
      </c>
      <c r="CV452">
        <v>14.3002</v>
      </c>
      <c r="CW452" t="s">
        <v>135</v>
      </c>
      <c r="CX452" t="s">
        <v>135</v>
      </c>
      <c r="CY452" t="s">
        <v>135</v>
      </c>
      <c r="CZ452" t="s">
        <v>135</v>
      </c>
      <c r="DA452" t="s">
        <v>135</v>
      </c>
      <c r="DB452" t="s">
        <v>135</v>
      </c>
      <c r="DC452" t="s">
        <v>135</v>
      </c>
      <c r="DD452" t="s">
        <v>135</v>
      </c>
      <c r="DE452">
        <v>59248.4</v>
      </c>
      <c r="DF452">
        <v>9082.2000000000007</v>
      </c>
      <c r="DG452">
        <v>2286.6</v>
      </c>
      <c r="DH452">
        <v>47637.7</v>
      </c>
      <c r="DI452">
        <v>241.9</v>
      </c>
    </row>
    <row r="453" spans="1:113" x14ac:dyDescent="0.3">
      <c r="A453">
        <v>94</v>
      </c>
      <c r="B453" t="s">
        <v>119</v>
      </c>
      <c r="C453" t="s">
        <v>120</v>
      </c>
      <c r="D453" t="s">
        <v>76</v>
      </c>
      <c r="E453" t="s">
        <v>77</v>
      </c>
      <c r="F453">
        <v>19.202000000000002</v>
      </c>
      <c r="G453">
        <v>7.5048000000000004</v>
      </c>
      <c r="H453">
        <v>13.535299999999999</v>
      </c>
      <c r="I453">
        <v>15.842600000000001</v>
      </c>
      <c r="J453">
        <v>19.408200000000001</v>
      </c>
      <c r="K453">
        <v>15.63</v>
      </c>
      <c r="L453">
        <v>20.71</v>
      </c>
      <c r="M453">
        <v>10.660600000000001</v>
      </c>
      <c r="N453">
        <v>8.8844999999999992</v>
      </c>
      <c r="O453">
        <v>8.8180999999999994</v>
      </c>
      <c r="P453">
        <v>8.8180999999999994</v>
      </c>
      <c r="Q453">
        <v>19.306899999999999</v>
      </c>
      <c r="R453">
        <v>18.0503</v>
      </c>
      <c r="S453">
        <v>15.735900000000001</v>
      </c>
      <c r="T453">
        <v>17.257000000000001</v>
      </c>
      <c r="U453">
        <v>22.3246</v>
      </c>
      <c r="V453">
        <v>24.224499999999999</v>
      </c>
      <c r="W453">
        <v>20.279900000000001</v>
      </c>
      <c r="X453">
        <v>23.678000000000001</v>
      </c>
      <c r="Y453">
        <v>60</v>
      </c>
      <c r="Z453">
        <v>19.496200000000002</v>
      </c>
      <c r="AA453">
        <v>19.885400000000001</v>
      </c>
      <c r="AB453">
        <v>12.930199999999999</v>
      </c>
      <c r="AC453">
        <v>3.2553000000000001</v>
      </c>
      <c r="AD453">
        <v>13.596399999999999</v>
      </c>
      <c r="AE453">
        <v>-9.8308999999999997</v>
      </c>
      <c r="AF453">
        <v>27.2211</v>
      </c>
      <c r="AG453">
        <v>-45.574599999999997</v>
      </c>
      <c r="AH453">
        <v>-27.146799999999999</v>
      </c>
      <c r="AI453">
        <v>11.067600000000001</v>
      </c>
      <c r="AJ453">
        <v>-5.9730999999999996</v>
      </c>
      <c r="AK453">
        <v>16.653700000000001</v>
      </c>
      <c r="AL453">
        <v>-24.7318</v>
      </c>
      <c r="AM453">
        <v>17.533999999999999</v>
      </c>
      <c r="AN453">
        <v>20.720600000000001</v>
      </c>
      <c r="AO453">
        <v>22.009799999999998</v>
      </c>
      <c r="AP453">
        <v>15.813000000000001</v>
      </c>
      <c r="AQ453">
        <v>16.9876</v>
      </c>
      <c r="AR453">
        <v>21.672899999999998</v>
      </c>
      <c r="AS453">
        <v>22.979500000000002</v>
      </c>
      <c r="AT453">
        <v>8.0386000000000006</v>
      </c>
      <c r="AU453">
        <v>3.2576000000000001</v>
      </c>
      <c r="AV453">
        <v>14.7018</v>
      </c>
      <c r="AW453">
        <v>10.1721</v>
      </c>
      <c r="AX453">
        <v>3.2313999999999998</v>
      </c>
      <c r="AY453">
        <v>22.400400000000001</v>
      </c>
      <c r="AZ453" t="s">
        <v>135</v>
      </c>
      <c r="BA453">
        <v>6.7222999999999997</v>
      </c>
      <c r="BB453">
        <v>15.1022</v>
      </c>
      <c r="BC453">
        <v>11.760999999999999</v>
      </c>
      <c r="BD453">
        <v>15.0227</v>
      </c>
      <c r="BE453">
        <v>122.4699</v>
      </c>
      <c r="BF453">
        <v>17.257000000000001</v>
      </c>
      <c r="BG453">
        <v>22.3246</v>
      </c>
      <c r="BH453">
        <v>24.224499999999999</v>
      </c>
      <c r="BI453">
        <v>20.279900000000001</v>
      </c>
      <c r="BJ453">
        <v>23.678000000000001</v>
      </c>
      <c r="BK453">
        <v>60</v>
      </c>
      <c r="BL453">
        <v>19.496200000000002</v>
      </c>
      <c r="BM453">
        <v>19.885400000000001</v>
      </c>
      <c r="BN453">
        <v>12.930199999999999</v>
      </c>
      <c r="BO453">
        <v>3.2553000000000001</v>
      </c>
      <c r="BP453">
        <v>13.596399999999999</v>
      </c>
      <c r="BQ453">
        <v>-9.8308999999999997</v>
      </c>
      <c r="BR453">
        <v>27.2211</v>
      </c>
      <c r="BS453">
        <v>-45.574599999999997</v>
      </c>
      <c r="BT453">
        <v>-27.146799999999999</v>
      </c>
      <c r="BU453">
        <v>11.067600000000001</v>
      </c>
      <c r="BV453">
        <v>-5.9730999999999996</v>
      </c>
      <c r="BW453">
        <v>16.653700000000001</v>
      </c>
      <c r="BX453">
        <v>-24.7318</v>
      </c>
      <c r="BY453">
        <v>28609.599999999999</v>
      </c>
      <c r="BZ453">
        <v>6066.8</v>
      </c>
      <c r="CA453">
        <v>22542.799999999999</v>
      </c>
      <c r="CB453">
        <v>1.3686</v>
      </c>
      <c r="CC453">
        <v>0.88249999999999995</v>
      </c>
      <c r="CD453">
        <v>1.6994</v>
      </c>
      <c r="CE453">
        <v>1.0958000000000001</v>
      </c>
      <c r="CF453">
        <v>8.4578000000000007</v>
      </c>
      <c r="CG453">
        <v>40.809100000000001</v>
      </c>
      <c r="CH453">
        <v>41.595799999999997</v>
      </c>
      <c r="CI453">
        <v>27.2241</v>
      </c>
      <c r="CJ453">
        <v>17.531500000000001</v>
      </c>
      <c r="CK453">
        <v>52.790199999999999</v>
      </c>
      <c r="CL453">
        <v>34.550800000000002</v>
      </c>
      <c r="CM453">
        <v>22.249600000000001</v>
      </c>
      <c r="CN453">
        <v>34.040500000000002</v>
      </c>
      <c r="CO453">
        <v>25.395700000000001</v>
      </c>
      <c r="CP453">
        <v>20904.3</v>
      </c>
      <c r="CQ453">
        <v>15129.9</v>
      </c>
      <c r="CR453">
        <v>16834.900000000001</v>
      </c>
      <c r="CS453">
        <v>0.219</v>
      </c>
      <c r="CT453">
        <v>1.6294</v>
      </c>
      <c r="CU453">
        <v>0.91039999999999999</v>
      </c>
      <c r="CV453">
        <v>2.8039000000000001</v>
      </c>
      <c r="CW453">
        <v>3.6551999999999998</v>
      </c>
      <c r="CX453">
        <v>99.857600000000005</v>
      </c>
      <c r="CY453">
        <v>2.3921999999999999</v>
      </c>
      <c r="CZ453">
        <v>152.5788</v>
      </c>
      <c r="DA453">
        <v>2.4325999999999999</v>
      </c>
      <c r="DB453">
        <v>150.04730000000001</v>
      </c>
      <c r="DC453">
        <v>102.3891</v>
      </c>
      <c r="DD453">
        <v>252.43639999999999</v>
      </c>
      <c r="DE453">
        <v>24800.7</v>
      </c>
      <c r="DF453">
        <v>5427.3</v>
      </c>
      <c r="DG453">
        <v>1873</v>
      </c>
      <c r="DH453">
        <v>12487</v>
      </c>
      <c r="DI453">
        <v>5013.3999999999996</v>
      </c>
    </row>
    <row r="454" spans="1:113" x14ac:dyDescent="0.3">
      <c r="E454" t="s">
        <v>78</v>
      </c>
      <c r="F454" t="s">
        <v>135</v>
      </c>
      <c r="G454" t="s">
        <v>135</v>
      </c>
      <c r="H454" t="s">
        <v>135</v>
      </c>
      <c r="I454" t="s">
        <v>135</v>
      </c>
      <c r="J454">
        <v>18.947900000000001</v>
      </c>
      <c r="K454">
        <v>15.366199999999999</v>
      </c>
      <c r="L454">
        <v>24.959700000000002</v>
      </c>
      <c r="M454">
        <v>10.8283</v>
      </c>
      <c r="N454">
        <v>8.0250000000000004</v>
      </c>
      <c r="O454">
        <v>8.8247</v>
      </c>
      <c r="P454">
        <v>8.8247</v>
      </c>
      <c r="Q454">
        <v>26.156400000000001</v>
      </c>
      <c r="R454" t="s">
        <v>135</v>
      </c>
      <c r="S454" t="s">
        <v>135</v>
      </c>
      <c r="T454">
        <v>10.5199</v>
      </c>
      <c r="U454">
        <v>18.158999999999999</v>
      </c>
      <c r="V454">
        <v>18.289000000000001</v>
      </c>
      <c r="W454">
        <v>4.8002000000000002</v>
      </c>
      <c r="X454">
        <v>8.8435000000000006</v>
      </c>
      <c r="Y454" t="s">
        <v>135</v>
      </c>
      <c r="Z454" t="s">
        <v>135</v>
      </c>
      <c r="AA454" t="s">
        <v>135</v>
      </c>
      <c r="AB454" t="s">
        <v>135</v>
      </c>
      <c r="AC454" t="s">
        <v>135</v>
      </c>
      <c r="AD454" t="s">
        <v>135</v>
      </c>
      <c r="AE454" t="s">
        <v>135</v>
      </c>
      <c r="AF454" t="s">
        <v>135</v>
      </c>
      <c r="AG454" t="s">
        <v>135</v>
      </c>
      <c r="AH454" t="s">
        <v>135</v>
      </c>
      <c r="AI454" t="s">
        <v>135</v>
      </c>
      <c r="AJ454" t="s">
        <v>135</v>
      </c>
      <c r="AK454" t="s">
        <v>135</v>
      </c>
      <c r="AL454" t="s">
        <v>135</v>
      </c>
      <c r="AM454">
        <v>13.148899999999999</v>
      </c>
      <c r="AN454">
        <v>12.7193</v>
      </c>
      <c r="AO454">
        <v>11.677300000000001</v>
      </c>
      <c r="AP454">
        <v>7.5659000000000001</v>
      </c>
      <c r="AQ454">
        <v>10.756600000000001</v>
      </c>
      <c r="AR454" t="s">
        <v>135</v>
      </c>
      <c r="AS454" t="s">
        <v>135</v>
      </c>
      <c r="AT454" t="s">
        <v>135</v>
      </c>
      <c r="AU454" t="s">
        <v>135</v>
      </c>
      <c r="AV454" t="s">
        <v>135</v>
      </c>
      <c r="AW454" t="s">
        <v>135</v>
      </c>
      <c r="AX454" t="s">
        <v>135</v>
      </c>
      <c r="AY454" t="s">
        <v>135</v>
      </c>
      <c r="AZ454" t="s">
        <v>135</v>
      </c>
      <c r="BA454" t="s">
        <v>135</v>
      </c>
      <c r="BB454" t="s">
        <v>135</v>
      </c>
      <c r="BC454" t="s">
        <v>135</v>
      </c>
      <c r="BD454" t="s">
        <v>135</v>
      </c>
      <c r="BE454" t="s">
        <v>135</v>
      </c>
      <c r="BF454">
        <v>-13.0853</v>
      </c>
      <c r="BG454">
        <v>-14.9977</v>
      </c>
      <c r="BH454">
        <v>-14.8703</v>
      </c>
      <c r="BI454">
        <v>-23.617100000000001</v>
      </c>
      <c r="BJ454">
        <v>-23.688400000000001</v>
      </c>
      <c r="BK454" t="s">
        <v>135</v>
      </c>
      <c r="BL454" t="s">
        <v>135</v>
      </c>
      <c r="BM454" t="s">
        <v>135</v>
      </c>
      <c r="BN454" t="s">
        <v>135</v>
      </c>
      <c r="BO454" t="s">
        <v>135</v>
      </c>
      <c r="BP454" t="s">
        <v>135</v>
      </c>
      <c r="BQ454" t="s">
        <v>135</v>
      </c>
      <c r="BR454" t="s">
        <v>135</v>
      </c>
      <c r="BS454" t="s">
        <v>135</v>
      </c>
      <c r="BT454" t="s">
        <v>135</v>
      </c>
      <c r="BU454" t="s">
        <v>135</v>
      </c>
      <c r="BV454" t="s">
        <v>135</v>
      </c>
      <c r="BW454" t="s">
        <v>135</v>
      </c>
      <c r="BX454" t="s">
        <v>135</v>
      </c>
      <c r="BY454" t="s">
        <v>135</v>
      </c>
      <c r="BZ454" t="s">
        <v>135</v>
      </c>
      <c r="CA454" t="s">
        <v>135</v>
      </c>
      <c r="CB454" t="s">
        <v>135</v>
      </c>
      <c r="CC454" t="s">
        <v>135</v>
      </c>
      <c r="CD454" t="s">
        <v>135</v>
      </c>
      <c r="CE454" t="s">
        <v>135</v>
      </c>
      <c r="CF454" t="s">
        <v>135</v>
      </c>
      <c r="CG454" t="s">
        <v>135</v>
      </c>
      <c r="CH454" t="s">
        <v>135</v>
      </c>
      <c r="CI454" t="s">
        <v>135</v>
      </c>
      <c r="CJ454" t="s">
        <v>135</v>
      </c>
      <c r="CK454" t="s">
        <v>135</v>
      </c>
      <c r="CL454" t="s">
        <v>135</v>
      </c>
      <c r="CM454" t="s">
        <v>135</v>
      </c>
      <c r="CN454" t="s">
        <v>135</v>
      </c>
      <c r="CO454" t="s">
        <v>135</v>
      </c>
      <c r="CP454">
        <v>4565.8999999999996</v>
      </c>
      <c r="CQ454" t="s">
        <v>135</v>
      </c>
      <c r="CR454">
        <v>3702.8</v>
      </c>
      <c r="CS454" t="s">
        <v>135</v>
      </c>
      <c r="CT454" t="s">
        <v>135</v>
      </c>
      <c r="CU454" t="s">
        <v>135</v>
      </c>
      <c r="CV454" t="s">
        <v>135</v>
      </c>
      <c r="CW454" t="s">
        <v>135</v>
      </c>
      <c r="CX454" t="s">
        <v>135</v>
      </c>
      <c r="CY454" t="s">
        <v>135</v>
      </c>
      <c r="CZ454" t="s">
        <v>135</v>
      </c>
      <c r="DA454" t="s">
        <v>135</v>
      </c>
      <c r="DB454" t="s">
        <v>135</v>
      </c>
      <c r="DC454" t="s">
        <v>135</v>
      </c>
      <c r="DD454" t="s">
        <v>135</v>
      </c>
      <c r="DE454" t="s">
        <v>135</v>
      </c>
      <c r="DF454" t="s">
        <v>135</v>
      </c>
      <c r="DG454" t="s">
        <v>135</v>
      </c>
      <c r="DH454" t="s">
        <v>135</v>
      </c>
      <c r="DI454" t="s">
        <v>135</v>
      </c>
    </row>
    <row r="455" spans="1:113" x14ac:dyDescent="0.3">
      <c r="E455" t="s">
        <v>79</v>
      </c>
      <c r="F455" t="s">
        <v>135</v>
      </c>
      <c r="G455" t="s">
        <v>135</v>
      </c>
      <c r="H455" t="s">
        <v>135</v>
      </c>
      <c r="I455" t="s">
        <v>135</v>
      </c>
      <c r="J455">
        <v>18.7681</v>
      </c>
      <c r="K455">
        <v>14.5006</v>
      </c>
      <c r="L455">
        <v>18.181999999999999</v>
      </c>
      <c r="M455">
        <v>9.5252999999999997</v>
      </c>
      <c r="N455">
        <v>7.3558000000000003</v>
      </c>
      <c r="O455">
        <v>6.8141999999999996</v>
      </c>
      <c r="P455">
        <v>6.8141999999999996</v>
      </c>
      <c r="Q455">
        <v>26.717600000000001</v>
      </c>
      <c r="R455" t="s">
        <v>135</v>
      </c>
      <c r="S455" t="s">
        <v>135</v>
      </c>
      <c r="T455">
        <v>25.927900000000001</v>
      </c>
      <c r="U455">
        <v>30.597000000000001</v>
      </c>
      <c r="V455">
        <v>34.801299999999998</v>
      </c>
      <c r="W455">
        <v>29.073499999999999</v>
      </c>
      <c r="X455">
        <v>33.079799999999999</v>
      </c>
      <c r="Y455" t="s">
        <v>135</v>
      </c>
      <c r="Z455" t="s">
        <v>135</v>
      </c>
      <c r="AA455" t="s">
        <v>135</v>
      </c>
      <c r="AB455" t="s">
        <v>135</v>
      </c>
      <c r="AC455" t="s">
        <v>135</v>
      </c>
      <c r="AD455" t="s">
        <v>135</v>
      </c>
      <c r="AE455" t="s">
        <v>135</v>
      </c>
      <c r="AF455" t="s">
        <v>135</v>
      </c>
      <c r="AG455" t="s">
        <v>135</v>
      </c>
      <c r="AH455" t="s">
        <v>135</v>
      </c>
      <c r="AI455" t="s">
        <v>135</v>
      </c>
      <c r="AJ455" t="s">
        <v>135</v>
      </c>
      <c r="AK455" t="s">
        <v>135</v>
      </c>
      <c r="AL455" t="s">
        <v>135</v>
      </c>
      <c r="AM455">
        <v>15.055400000000001</v>
      </c>
      <c r="AN455">
        <v>14.534599999999999</v>
      </c>
      <c r="AO455">
        <v>14.0398</v>
      </c>
      <c r="AP455">
        <v>4.8475999999999999</v>
      </c>
      <c r="AQ455">
        <v>4.7428999999999997</v>
      </c>
      <c r="AR455" t="s">
        <v>135</v>
      </c>
      <c r="AS455" t="s">
        <v>135</v>
      </c>
      <c r="AT455" t="s">
        <v>135</v>
      </c>
      <c r="AU455" t="s">
        <v>135</v>
      </c>
      <c r="AV455" t="s">
        <v>135</v>
      </c>
      <c r="AW455" t="s">
        <v>135</v>
      </c>
      <c r="AX455" t="s">
        <v>135</v>
      </c>
      <c r="AY455" t="s">
        <v>135</v>
      </c>
      <c r="AZ455" t="s">
        <v>135</v>
      </c>
      <c r="BA455" t="s">
        <v>135</v>
      </c>
      <c r="BB455" t="s">
        <v>135</v>
      </c>
      <c r="BC455" t="s">
        <v>135</v>
      </c>
      <c r="BD455" t="s">
        <v>135</v>
      </c>
      <c r="BE455" t="s">
        <v>135</v>
      </c>
      <c r="BF455">
        <v>-5.8301999999999996</v>
      </c>
      <c r="BG455">
        <v>-6.7237999999999998</v>
      </c>
      <c r="BH455">
        <v>-11.1348</v>
      </c>
      <c r="BI455">
        <v>-27.284300000000002</v>
      </c>
      <c r="BJ455">
        <v>-27.083300000000001</v>
      </c>
      <c r="BK455" t="s">
        <v>135</v>
      </c>
      <c r="BL455" t="s">
        <v>135</v>
      </c>
      <c r="BM455" t="s">
        <v>135</v>
      </c>
      <c r="BN455" t="s">
        <v>135</v>
      </c>
      <c r="BO455" t="s">
        <v>135</v>
      </c>
      <c r="BP455" t="s">
        <v>135</v>
      </c>
      <c r="BQ455" t="s">
        <v>135</v>
      </c>
      <c r="BR455" t="s">
        <v>135</v>
      </c>
      <c r="BS455" t="s">
        <v>135</v>
      </c>
      <c r="BT455" t="s">
        <v>135</v>
      </c>
      <c r="BU455" t="s">
        <v>135</v>
      </c>
      <c r="BV455" t="s">
        <v>135</v>
      </c>
      <c r="BW455" t="s">
        <v>135</v>
      </c>
      <c r="BX455" t="s">
        <v>135</v>
      </c>
      <c r="BY455" t="s">
        <v>135</v>
      </c>
      <c r="BZ455" t="s">
        <v>135</v>
      </c>
      <c r="CA455" t="s">
        <v>135</v>
      </c>
      <c r="CB455" t="s">
        <v>135</v>
      </c>
      <c r="CC455" t="s">
        <v>135</v>
      </c>
      <c r="CD455" t="s">
        <v>135</v>
      </c>
      <c r="CE455" t="s">
        <v>135</v>
      </c>
      <c r="CF455" t="s">
        <v>135</v>
      </c>
      <c r="CG455" t="s">
        <v>135</v>
      </c>
      <c r="CH455" t="s">
        <v>135</v>
      </c>
      <c r="CI455" t="s">
        <v>135</v>
      </c>
      <c r="CJ455" t="s">
        <v>135</v>
      </c>
      <c r="CK455" t="s">
        <v>135</v>
      </c>
      <c r="CL455" t="s">
        <v>135</v>
      </c>
      <c r="CM455" t="s">
        <v>135</v>
      </c>
      <c r="CN455" t="s">
        <v>135</v>
      </c>
      <c r="CO455" t="s">
        <v>135</v>
      </c>
      <c r="CP455">
        <v>4258.8999999999996</v>
      </c>
      <c r="CQ455" t="s">
        <v>135</v>
      </c>
      <c r="CR455">
        <v>3290.5</v>
      </c>
      <c r="CS455" t="s">
        <v>135</v>
      </c>
      <c r="CT455" t="s">
        <v>135</v>
      </c>
      <c r="CU455" t="s">
        <v>135</v>
      </c>
      <c r="CV455">
        <v>2.7412000000000001</v>
      </c>
      <c r="CW455" t="s">
        <v>135</v>
      </c>
      <c r="CX455" t="s">
        <v>135</v>
      </c>
      <c r="CY455" t="s">
        <v>135</v>
      </c>
      <c r="CZ455" t="s">
        <v>135</v>
      </c>
      <c r="DA455" t="s">
        <v>135</v>
      </c>
      <c r="DB455" t="s">
        <v>135</v>
      </c>
      <c r="DC455" t="s">
        <v>135</v>
      </c>
      <c r="DD455" t="s">
        <v>135</v>
      </c>
      <c r="DE455" t="s">
        <v>135</v>
      </c>
      <c r="DF455" t="s">
        <v>135</v>
      </c>
      <c r="DG455" t="s">
        <v>135</v>
      </c>
      <c r="DH455" t="s">
        <v>135</v>
      </c>
      <c r="DI455" t="s">
        <v>135</v>
      </c>
    </row>
    <row r="456" spans="1:113" x14ac:dyDescent="0.3">
      <c r="E456" t="s">
        <v>80</v>
      </c>
      <c r="F456" t="s">
        <v>135</v>
      </c>
      <c r="G456" t="s">
        <v>135</v>
      </c>
      <c r="H456" t="s">
        <v>135</v>
      </c>
      <c r="I456" t="s">
        <v>135</v>
      </c>
      <c r="J456">
        <v>17.854199999999999</v>
      </c>
      <c r="K456">
        <v>13.8484</v>
      </c>
      <c r="L456">
        <v>15.066000000000001</v>
      </c>
      <c r="M456">
        <v>10.0395</v>
      </c>
      <c r="N456">
        <v>8.4788999999999994</v>
      </c>
      <c r="O456">
        <v>8.5321999999999996</v>
      </c>
      <c r="P456">
        <v>8.5321999999999996</v>
      </c>
      <c r="Q456">
        <v>19.934999999999999</v>
      </c>
      <c r="R456" t="s">
        <v>135</v>
      </c>
      <c r="S456" t="s">
        <v>135</v>
      </c>
      <c r="T456">
        <v>15.4887</v>
      </c>
      <c r="U456">
        <v>15.051600000000001</v>
      </c>
      <c r="V456">
        <v>17.083200000000001</v>
      </c>
      <c r="W456">
        <v>28.099599999999999</v>
      </c>
      <c r="X456">
        <v>30.389600000000002</v>
      </c>
      <c r="Y456" t="s">
        <v>135</v>
      </c>
      <c r="Z456" t="s">
        <v>135</v>
      </c>
      <c r="AA456" t="s">
        <v>135</v>
      </c>
      <c r="AB456" t="s">
        <v>135</v>
      </c>
      <c r="AC456" t="s">
        <v>135</v>
      </c>
      <c r="AD456" t="s">
        <v>135</v>
      </c>
      <c r="AE456" t="s">
        <v>135</v>
      </c>
      <c r="AF456" t="s">
        <v>135</v>
      </c>
      <c r="AG456" t="s">
        <v>135</v>
      </c>
      <c r="AH456" t="s">
        <v>135</v>
      </c>
      <c r="AI456" t="s">
        <v>135</v>
      </c>
      <c r="AJ456" t="s">
        <v>135</v>
      </c>
      <c r="AK456" t="s">
        <v>135</v>
      </c>
      <c r="AL456" t="s">
        <v>135</v>
      </c>
      <c r="AM456">
        <v>20.054099999999998</v>
      </c>
      <c r="AN456">
        <v>20.264099999999999</v>
      </c>
      <c r="AO456">
        <v>20.9773</v>
      </c>
      <c r="AP456">
        <v>28.023900000000001</v>
      </c>
      <c r="AQ456">
        <v>34.276899999999998</v>
      </c>
      <c r="AR456" t="s">
        <v>135</v>
      </c>
      <c r="AS456" t="s">
        <v>135</v>
      </c>
      <c r="AT456" t="s">
        <v>135</v>
      </c>
      <c r="AU456" t="s">
        <v>135</v>
      </c>
      <c r="AV456" t="s">
        <v>135</v>
      </c>
      <c r="AW456" t="s">
        <v>135</v>
      </c>
      <c r="AX456" t="s">
        <v>135</v>
      </c>
      <c r="AY456" t="s">
        <v>135</v>
      </c>
      <c r="AZ456" t="s">
        <v>135</v>
      </c>
      <c r="BA456" t="s">
        <v>135</v>
      </c>
      <c r="BB456" t="s">
        <v>135</v>
      </c>
      <c r="BC456" t="s">
        <v>135</v>
      </c>
      <c r="BD456" t="s">
        <v>135</v>
      </c>
      <c r="BE456" t="s">
        <v>135</v>
      </c>
      <c r="BF456">
        <v>14.7844</v>
      </c>
      <c r="BG456">
        <v>9.1949000000000005</v>
      </c>
      <c r="BH456">
        <v>9.6216000000000008</v>
      </c>
      <c r="BI456">
        <v>43.723700000000001</v>
      </c>
      <c r="BJ456">
        <v>43.428600000000003</v>
      </c>
      <c r="BK456" t="s">
        <v>135</v>
      </c>
      <c r="BL456" t="s">
        <v>135</v>
      </c>
      <c r="BM456" t="s">
        <v>135</v>
      </c>
      <c r="BN456" t="s">
        <v>135</v>
      </c>
      <c r="BO456" t="s">
        <v>135</v>
      </c>
      <c r="BP456" t="s">
        <v>135</v>
      </c>
      <c r="BQ456" t="s">
        <v>135</v>
      </c>
      <c r="BR456" t="s">
        <v>135</v>
      </c>
      <c r="BS456" t="s">
        <v>135</v>
      </c>
      <c r="BT456" t="s">
        <v>135</v>
      </c>
      <c r="BU456" t="s">
        <v>135</v>
      </c>
      <c r="BV456" t="s">
        <v>135</v>
      </c>
      <c r="BW456" t="s">
        <v>135</v>
      </c>
      <c r="BX456" t="s">
        <v>135</v>
      </c>
      <c r="BY456" t="s">
        <v>135</v>
      </c>
      <c r="BZ456" t="s">
        <v>135</v>
      </c>
      <c r="CA456" t="s">
        <v>135</v>
      </c>
      <c r="CB456" t="s">
        <v>135</v>
      </c>
      <c r="CC456" t="s">
        <v>135</v>
      </c>
      <c r="CD456" t="s">
        <v>135</v>
      </c>
      <c r="CE456" t="s">
        <v>135</v>
      </c>
      <c r="CF456" t="s">
        <v>135</v>
      </c>
      <c r="CG456" t="s">
        <v>135</v>
      </c>
      <c r="CH456" t="s">
        <v>135</v>
      </c>
      <c r="CI456" t="s">
        <v>135</v>
      </c>
      <c r="CJ456" t="s">
        <v>135</v>
      </c>
      <c r="CK456" t="s">
        <v>135</v>
      </c>
      <c r="CL456" t="s">
        <v>135</v>
      </c>
      <c r="CM456" t="s">
        <v>135</v>
      </c>
      <c r="CN456" t="s">
        <v>135</v>
      </c>
      <c r="CO456" t="s">
        <v>135</v>
      </c>
      <c r="CP456">
        <v>4650.5</v>
      </c>
      <c r="CQ456" t="s">
        <v>135</v>
      </c>
      <c r="CR456">
        <v>3607.1</v>
      </c>
      <c r="CS456" t="s">
        <v>135</v>
      </c>
      <c r="CT456" t="s">
        <v>135</v>
      </c>
      <c r="CU456" t="s">
        <v>135</v>
      </c>
      <c r="CV456" t="s">
        <v>135</v>
      </c>
      <c r="CW456" t="s">
        <v>135</v>
      </c>
      <c r="CX456" t="s">
        <v>135</v>
      </c>
      <c r="CY456" t="s">
        <v>135</v>
      </c>
      <c r="CZ456" t="s">
        <v>135</v>
      </c>
      <c r="DA456" t="s">
        <v>135</v>
      </c>
      <c r="DB456" t="s">
        <v>135</v>
      </c>
      <c r="DC456" t="s">
        <v>135</v>
      </c>
      <c r="DD456" t="s">
        <v>135</v>
      </c>
      <c r="DE456" t="s">
        <v>135</v>
      </c>
      <c r="DF456" t="s">
        <v>135</v>
      </c>
      <c r="DG456" t="s">
        <v>135</v>
      </c>
      <c r="DH456" t="s">
        <v>135</v>
      </c>
      <c r="DI456" t="s">
        <v>135</v>
      </c>
    </row>
    <row r="457" spans="1:113" x14ac:dyDescent="0.3">
      <c r="E457" t="s">
        <v>81</v>
      </c>
      <c r="F457">
        <v>19.202200000000001</v>
      </c>
      <c r="G457">
        <v>7.5049000000000001</v>
      </c>
      <c r="H457" t="s">
        <v>135</v>
      </c>
      <c r="I457">
        <v>14.9069</v>
      </c>
      <c r="J457">
        <v>20.395499999999998</v>
      </c>
      <c r="K457">
        <v>16.771699999999999</v>
      </c>
      <c r="L457">
        <v>22.505800000000001</v>
      </c>
      <c r="M457">
        <v>12.6799</v>
      </c>
      <c r="N457">
        <v>11.400600000000001</v>
      </c>
      <c r="O457">
        <v>10.9298</v>
      </c>
      <c r="P457">
        <v>10.9298</v>
      </c>
      <c r="Q457">
        <v>10.421799999999999</v>
      </c>
      <c r="R457" t="s">
        <v>135</v>
      </c>
      <c r="S457" t="s">
        <v>135</v>
      </c>
      <c r="T457">
        <v>18.8934</v>
      </c>
      <c r="U457">
        <v>25.160599999999999</v>
      </c>
      <c r="V457">
        <v>27.1036</v>
      </c>
      <c r="W457">
        <v>29.410900000000002</v>
      </c>
      <c r="X457">
        <v>33.704300000000003</v>
      </c>
      <c r="Y457" t="s">
        <v>135</v>
      </c>
      <c r="Z457">
        <v>19.496200000000002</v>
      </c>
      <c r="AA457">
        <v>19.885400000000001</v>
      </c>
      <c r="AB457">
        <v>12.930199999999999</v>
      </c>
      <c r="AC457">
        <v>3.2553000000000001</v>
      </c>
      <c r="AD457">
        <v>13.596399999999999</v>
      </c>
      <c r="AE457">
        <v>-9.8308999999999997</v>
      </c>
      <c r="AF457">
        <v>27.2211</v>
      </c>
      <c r="AG457">
        <v>-45.574599999999997</v>
      </c>
      <c r="AH457">
        <v>-27.146799999999999</v>
      </c>
      <c r="AI457">
        <v>11.067600000000001</v>
      </c>
      <c r="AJ457">
        <v>-5.9730999999999996</v>
      </c>
      <c r="AK457">
        <v>16.653700000000001</v>
      </c>
      <c r="AL457" t="s">
        <v>135</v>
      </c>
      <c r="AM457">
        <v>19.8523</v>
      </c>
      <c r="AN457" t="s">
        <v>135</v>
      </c>
      <c r="AO457">
        <v>19.2545</v>
      </c>
      <c r="AP457">
        <v>19.035499999999999</v>
      </c>
      <c r="AQ457">
        <v>20.680299999999999</v>
      </c>
      <c r="AR457" t="s">
        <v>135</v>
      </c>
      <c r="AS457" t="s">
        <v>135</v>
      </c>
      <c r="AT457" t="s">
        <v>135</v>
      </c>
      <c r="AU457" t="s">
        <v>135</v>
      </c>
      <c r="AV457" t="s">
        <v>135</v>
      </c>
      <c r="AW457" t="s">
        <v>135</v>
      </c>
      <c r="AX457" t="s">
        <v>135</v>
      </c>
      <c r="AY457" t="s">
        <v>135</v>
      </c>
      <c r="AZ457" t="s">
        <v>135</v>
      </c>
      <c r="BA457" t="s">
        <v>135</v>
      </c>
      <c r="BB457" t="s">
        <v>135</v>
      </c>
      <c r="BC457" t="s">
        <v>135</v>
      </c>
      <c r="BD457" t="s">
        <v>135</v>
      </c>
      <c r="BE457" t="s">
        <v>135</v>
      </c>
      <c r="BF457">
        <v>26.552299999999999</v>
      </c>
      <c r="BG457">
        <v>44.565100000000001</v>
      </c>
      <c r="BH457">
        <v>53.267200000000003</v>
      </c>
      <c r="BI457">
        <v>62.113</v>
      </c>
      <c r="BJ457">
        <v>67.529899999999998</v>
      </c>
      <c r="BK457" t="s">
        <v>135</v>
      </c>
      <c r="BL457" t="s">
        <v>135</v>
      </c>
      <c r="BM457" t="s">
        <v>135</v>
      </c>
      <c r="BN457" t="s">
        <v>135</v>
      </c>
      <c r="BO457" t="s">
        <v>135</v>
      </c>
      <c r="BP457" t="s">
        <v>135</v>
      </c>
      <c r="BQ457" t="s">
        <v>135</v>
      </c>
      <c r="BR457" t="s">
        <v>135</v>
      </c>
      <c r="BS457" t="s">
        <v>135</v>
      </c>
      <c r="BT457" t="s">
        <v>135</v>
      </c>
      <c r="BU457" t="s">
        <v>135</v>
      </c>
      <c r="BV457" t="s">
        <v>135</v>
      </c>
      <c r="BW457" t="s">
        <v>135</v>
      </c>
      <c r="BX457" t="s">
        <v>135</v>
      </c>
      <c r="BY457">
        <v>28609.599999999999</v>
      </c>
      <c r="BZ457">
        <v>6066.8</v>
      </c>
      <c r="CA457">
        <v>22542.799999999999</v>
      </c>
      <c r="CB457">
        <v>1.4163999999999999</v>
      </c>
      <c r="CC457">
        <v>0.91339999999999999</v>
      </c>
      <c r="CD457">
        <v>1.7738</v>
      </c>
      <c r="CE457">
        <v>1.1437999999999999</v>
      </c>
      <c r="CF457">
        <v>5.6002000000000001</v>
      </c>
      <c r="CG457">
        <v>40.809100000000001</v>
      </c>
      <c r="CH457">
        <v>41.595799999999997</v>
      </c>
      <c r="CI457">
        <v>27.2241</v>
      </c>
      <c r="CJ457">
        <v>17.531500000000001</v>
      </c>
      <c r="CK457">
        <v>52.790199999999999</v>
      </c>
      <c r="CL457">
        <v>34.550800000000002</v>
      </c>
      <c r="CM457">
        <v>22.249600000000001</v>
      </c>
      <c r="CN457">
        <v>34.040500000000002</v>
      </c>
      <c r="CO457">
        <v>25.395700000000001</v>
      </c>
      <c r="CP457">
        <v>6723</v>
      </c>
      <c r="CQ457" t="s">
        <v>135</v>
      </c>
      <c r="CR457">
        <v>5528.5</v>
      </c>
      <c r="CS457">
        <v>0.219</v>
      </c>
      <c r="CT457">
        <v>1.6294</v>
      </c>
      <c r="CU457">
        <v>0.91039999999999999</v>
      </c>
      <c r="CV457">
        <v>2.8039000000000001</v>
      </c>
      <c r="CW457">
        <v>3.5903999999999998</v>
      </c>
      <c r="CX457">
        <v>101.6596</v>
      </c>
      <c r="CY457">
        <v>2.3921999999999999</v>
      </c>
      <c r="CZ457">
        <v>152.5788</v>
      </c>
      <c r="DA457">
        <v>2.4325999999999999</v>
      </c>
      <c r="DB457">
        <v>150.04730000000001</v>
      </c>
      <c r="DC457">
        <v>104.19110000000001</v>
      </c>
      <c r="DD457">
        <v>254.23840000000001</v>
      </c>
      <c r="DE457">
        <v>24800.7</v>
      </c>
      <c r="DF457">
        <v>5427.3</v>
      </c>
      <c r="DG457">
        <v>1873</v>
      </c>
      <c r="DH457">
        <v>12487</v>
      </c>
      <c r="DI457">
        <v>5013.3999999999996</v>
      </c>
    </row>
    <row r="458" spans="1:113" x14ac:dyDescent="0.3">
      <c r="D458" t="s">
        <v>82</v>
      </c>
      <c r="E458" t="s">
        <v>77</v>
      </c>
      <c r="F458">
        <v>20.732199999999999</v>
      </c>
      <c r="G458">
        <v>8.4234000000000009</v>
      </c>
      <c r="H458">
        <v>19.791799999999999</v>
      </c>
      <c r="I458">
        <v>19.027100000000001</v>
      </c>
      <c r="J458">
        <v>19.803100000000001</v>
      </c>
      <c r="K458">
        <v>16.291899999999998</v>
      </c>
      <c r="L458">
        <v>21.694600000000001</v>
      </c>
      <c r="M458">
        <v>11.665100000000001</v>
      </c>
      <c r="N458">
        <v>9.8201000000000001</v>
      </c>
      <c r="O458">
        <v>9.4621999999999993</v>
      </c>
      <c r="P458">
        <v>9.5235000000000003</v>
      </c>
      <c r="Q458">
        <v>17.301100000000002</v>
      </c>
      <c r="R458">
        <v>18.611499999999999</v>
      </c>
      <c r="S458">
        <v>16.8736</v>
      </c>
      <c r="T458">
        <v>12.251899999999999</v>
      </c>
      <c r="U458">
        <v>14.536200000000001</v>
      </c>
      <c r="V458">
        <v>17.005700000000001</v>
      </c>
      <c r="W458">
        <v>21.231000000000002</v>
      </c>
      <c r="X458">
        <v>24.431999999999999</v>
      </c>
      <c r="Y458">
        <v>25</v>
      </c>
      <c r="Z458">
        <v>14.5771</v>
      </c>
      <c r="AA458">
        <v>18.4483</v>
      </c>
      <c r="AB458">
        <v>18.9664</v>
      </c>
      <c r="AC458">
        <v>11.2483</v>
      </c>
      <c r="AD458">
        <v>13.5246</v>
      </c>
      <c r="AE458">
        <v>-14.2997</v>
      </c>
      <c r="AF458">
        <v>19.315200000000001</v>
      </c>
      <c r="AG458">
        <v>79.232900000000001</v>
      </c>
      <c r="AH458">
        <v>-2.7791000000000001</v>
      </c>
      <c r="AI458">
        <v>8.9528999999999996</v>
      </c>
      <c r="AJ458">
        <v>4.8994</v>
      </c>
      <c r="AK458">
        <v>11.680199999999999</v>
      </c>
      <c r="AL458">
        <v>-31.530899999999999</v>
      </c>
      <c r="AM458">
        <v>17.977</v>
      </c>
      <c r="AN458">
        <v>18.954499999999999</v>
      </c>
      <c r="AO458">
        <v>20.0322</v>
      </c>
      <c r="AP458">
        <v>17.616700000000002</v>
      </c>
      <c r="AQ458">
        <v>19.420000000000002</v>
      </c>
      <c r="AR458">
        <v>20.112400000000001</v>
      </c>
      <c r="AS458">
        <v>24.816600000000001</v>
      </c>
      <c r="AT458">
        <v>23.843900000000001</v>
      </c>
      <c r="AU458">
        <v>6.9379999999999997</v>
      </c>
      <c r="AV458">
        <v>15.482200000000001</v>
      </c>
      <c r="AW458">
        <v>22.320399999999999</v>
      </c>
      <c r="AX458">
        <v>-2.7107999999999999</v>
      </c>
      <c r="AY458">
        <v>26.8079</v>
      </c>
      <c r="AZ458" t="s">
        <v>135</v>
      </c>
      <c r="BA458">
        <v>3.1512000000000002</v>
      </c>
      <c r="BB458">
        <v>14.458299999999999</v>
      </c>
      <c r="BC458">
        <v>10.0238</v>
      </c>
      <c r="BD458">
        <v>14.9716</v>
      </c>
      <c r="BE458">
        <v>-8.5890000000000004</v>
      </c>
      <c r="BF458">
        <v>12.251899999999999</v>
      </c>
      <c r="BG458">
        <v>14.536200000000001</v>
      </c>
      <c r="BH458">
        <v>17.005700000000001</v>
      </c>
      <c r="BI458">
        <v>21.231000000000002</v>
      </c>
      <c r="BJ458">
        <v>24.431999999999999</v>
      </c>
      <c r="BK458">
        <v>25</v>
      </c>
      <c r="BL458">
        <v>14.5771</v>
      </c>
      <c r="BM458">
        <v>18.4483</v>
      </c>
      <c r="BN458">
        <v>18.9664</v>
      </c>
      <c r="BO458">
        <v>11.2483</v>
      </c>
      <c r="BP458">
        <v>13.5246</v>
      </c>
      <c r="BQ458">
        <v>-14.2997</v>
      </c>
      <c r="BR458">
        <v>19.315200000000001</v>
      </c>
      <c r="BS458">
        <v>79.232900000000001</v>
      </c>
      <c r="BT458">
        <v>-2.7791000000000001</v>
      </c>
      <c r="BU458">
        <v>8.9528999999999996</v>
      </c>
      <c r="BV458">
        <v>4.8994</v>
      </c>
      <c r="BW458">
        <v>11.680199999999999</v>
      </c>
      <c r="BX458">
        <v>-31.530899999999999</v>
      </c>
      <c r="BY458">
        <v>27814.5</v>
      </c>
      <c r="BZ458">
        <v>10873.7</v>
      </c>
      <c r="CA458">
        <v>16940.8</v>
      </c>
      <c r="CB458">
        <v>1.1617</v>
      </c>
      <c r="CC458">
        <v>0.74380000000000002</v>
      </c>
      <c r="CD458">
        <v>1.4121000000000001</v>
      </c>
      <c r="CE458">
        <v>0.90410000000000001</v>
      </c>
      <c r="CF458">
        <v>4.0270000000000001</v>
      </c>
      <c r="CG458">
        <v>40.967500000000001</v>
      </c>
      <c r="CH458">
        <v>28.6904</v>
      </c>
      <c r="CI458">
        <v>19.503299999999999</v>
      </c>
      <c r="CJ458">
        <v>11.842700000000001</v>
      </c>
      <c r="CK458">
        <v>47.105800000000002</v>
      </c>
      <c r="CL458">
        <v>32.021700000000003</v>
      </c>
      <c r="CM458">
        <v>19.444199999999999</v>
      </c>
      <c r="CN458">
        <v>30.1616</v>
      </c>
      <c r="CO458">
        <v>23.1724</v>
      </c>
      <c r="CP458">
        <v>23943</v>
      </c>
      <c r="CQ458">
        <v>17949</v>
      </c>
      <c r="CR458">
        <v>19697.8</v>
      </c>
      <c r="CS458">
        <v>0.17030000000000001</v>
      </c>
      <c r="CT458">
        <v>1.4245999999999999</v>
      </c>
      <c r="CU458">
        <v>0.79579999999999995</v>
      </c>
      <c r="CV458">
        <v>3.5159000000000002</v>
      </c>
      <c r="CW458">
        <v>3.5122999999999998</v>
      </c>
      <c r="CX458">
        <v>103.91970000000001</v>
      </c>
      <c r="CY458">
        <v>2.2210000000000001</v>
      </c>
      <c r="CZ458">
        <v>164.33799999999999</v>
      </c>
      <c r="DA458">
        <v>2.1930999999999998</v>
      </c>
      <c r="DB458">
        <v>166.42750000000001</v>
      </c>
      <c r="DC458">
        <v>101.8302</v>
      </c>
      <c r="DD458">
        <v>268.2577</v>
      </c>
      <c r="DE458">
        <v>29376</v>
      </c>
      <c r="DF458">
        <v>5891.9</v>
      </c>
      <c r="DG458">
        <v>1430.9</v>
      </c>
      <c r="DH458">
        <v>17960.599999999999</v>
      </c>
      <c r="DI458">
        <v>4092.6</v>
      </c>
    </row>
    <row r="459" spans="1:113" x14ac:dyDescent="0.3">
      <c r="E459" t="s">
        <v>78</v>
      </c>
      <c r="F459" t="s">
        <v>135</v>
      </c>
      <c r="G459" t="s">
        <v>135</v>
      </c>
      <c r="H459" t="s">
        <v>135</v>
      </c>
      <c r="I459" t="s">
        <v>135</v>
      </c>
      <c r="J459">
        <v>19.211500000000001</v>
      </c>
      <c r="K459">
        <v>15.411799999999999</v>
      </c>
      <c r="L459">
        <v>15.7661</v>
      </c>
      <c r="M459">
        <v>13.0396</v>
      </c>
      <c r="N459">
        <v>10.1663</v>
      </c>
      <c r="O459">
        <v>10.6104</v>
      </c>
      <c r="P459">
        <v>10.6104</v>
      </c>
      <c r="Q459">
        <v>24.885100000000001</v>
      </c>
      <c r="R459" t="s">
        <v>135</v>
      </c>
      <c r="S459" t="s">
        <v>135</v>
      </c>
      <c r="T459">
        <v>12.887</v>
      </c>
      <c r="U459">
        <v>14.4572</v>
      </c>
      <c r="V459">
        <v>13.2224</v>
      </c>
      <c r="W459">
        <v>35.7301</v>
      </c>
      <c r="X459">
        <v>40.208300000000001</v>
      </c>
      <c r="Y459" t="s">
        <v>135</v>
      </c>
      <c r="Z459" t="s">
        <v>135</v>
      </c>
      <c r="AA459" t="s">
        <v>135</v>
      </c>
      <c r="AB459" t="s">
        <v>135</v>
      </c>
      <c r="AC459" t="s">
        <v>135</v>
      </c>
      <c r="AD459" t="s">
        <v>135</v>
      </c>
      <c r="AE459" t="s">
        <v>135</v>
      </c>
      <c r="AF459" t="s">
        <v>135</v>
      </c>
      <c r="AG459" t="s">
        <v>135</v>
      </c>
      <c r="AH459" t="s">
        <v>135</v>
      </c>
      <c r="AI459" t="s">
        <v>135</v>
      </c>
      <c r="AJ459" t="s">
        <v>135</v>
      </c>
      <c r="AK459" t="s">
        <v>135</v>
      </c>
      <c r="AL459" t="s">
        <v>135</v>
      </c>
      <c r="AM459">
        <v>10.9854</v>
      </c>
      <c r="AN459">
        <v>11.223100000000001</v>
      </c>
      <c r="AO459">
        <v>10.290900000000001</v>
      </c>
      <c r="AP459">
        <v>10.364100000000001</v>
      </c>
      <c r="AQ459">
        <v>10.2676</v>
      </c>
      <c r="AR459" t="s">
        <v>135</v>
      </c>
      <c r="AS459" t="s">
        <v>135</v>
      </c>
      <c r="AT459" t="s">
        <v>135</v>
      </c>
      <c r="AU459" t="s">
        <v>135</v>
      </c>
      <c r="AV459" t="s">
        <v>135</v>
      </c>
      <c r="AW459" t="s">
        <v>135</v>
      </c>
      <c r="AX459" t="s">
        <v>135</v>
      </c>
      <c r="AY459" t="s">
        <v>135</v>
      </c>
      <c r="AZ459" t="s">
        <v>135</v>
      </c>
      <c r="BA459" t="s">
        <v>135</v>
      </c>
      <c r="BB459" t="s">
        <v>135</v>
      </c>
      <c r="BC459" t="s">
        <v>135</v>
      </c>
      <c r="BD459" t="s">
        <v>135</v>
      </c>
      <c r="BE459" t="s">
        <v>135</v>
      </c>
      <c r="BF459">
        <v>-17.476199999999999</v>
      </c>
      <c r="BG459">
        <v>-22.2668</v>
      </c>
      <c r="BH459">
        <v>-24.1675</v>
      </c>
      <c r="BI459">
        <v>-19.8873</v>
      </c>
      <c r="BJ459">
        <v>-19.304600000000001</v>
      </c>
      <c r="BK459" t="s">
        <v>135</v>
      </c>
      <c r="BL459" t="s">
        <v>135</v>
      </c>
      <c r="BM459" t="s">
        <v>135</v>
      </c>
      <c r="BN459" t="s">
        <v>135</v>
      </c>
      <c r="BO459" t="s">
        <v>135</v>
      </c>
      <c r="BP459" t="s">
        <v>135</v>
      </c>
      <c r="BQ459" t="s">
        <v>135</v>
      </c>
      <c r="BR459" t="s">
        <v>135</v>
      </c>
      <c r="BS459" t="s">
        <v>135</v>
      </c>
      <c r="BT459" t="s">
        <v>135</v>
      </c>
      <c r="BU459" t="s">
        <v>135</v>
      </c>
      <c r="BV459" t="s">
        <v>135</v>
      </c>
      <c r="BW459" t="s">
        <v>135</v>
      </c>
      <c r="BX459" t="s">
        <v>135</v>
      </c>
      <c r="BY459" t="s">
        <v>135</v>
      </c>
      <c r="BZ459" t="s">
        <v>135</v>
      </c>
      <c r="CA459" t="s">
        <v>135</v>
      </c>
      <c r="CB459" t="s">
        <v>135</v>
      </c>
      <c r="CC459" t="s">
        <v>135</v>
      </c>
      <c r="CD459" t="s">
        <v>135</v>
      </c>
      <c r="CE459" t="s">
        <v>135</v>
      </c>
      <c r="CF459" t="s">
        <v>135</v>
      </c>
      <c r="CG459" t="s">
        <v>135</v>
      </c>
      <c r="CH459" t="s">
        <v>135</v>
      </c>
      <c r="CI459" t="s">
        <v>135</v>
      </c>
      <c r="CJ459" t="s">
        <v>135</v>
      </c>
      <c r="CK459" t="s">
        <v>135</v>
      </c>
      <c r="CL459" t="s">
        <v>135</v>
      </c>
      <c r="CM459" t="s">
        <v>135</v>
      </c>
      <c r="CN459" t="s">
        <v>135</v>
      </c>
      <c r="CO459" t="s">
        <v>135</v>
      </c>
      <c r="CP459">
        <v>5226</v>
      </c>
      <c r="CQ459" t="s">
        <v>135</v>
      </c>
      <c r="CR459">
        <v>4192.3999999999996</v>
      </c>
      <c r="CS459" t="s">
        <v>135</v>
      </c>
      <c r="CT459" t="s">
        <v>135</v>
      </c>
      <c r="CU459" t="s">
        <v>135</v>
      </c>
      <c r="CV459" t="s">
        <v>135</v>
      </c>
      <c r="CW459" t="s">
        <v>135</v>
      </c>
      <c r="CX459" t="s">
        <v>135</v>
      </c>
      <c r="CY459" t="s">
        <v>135</v>
      </c>
      <c r="CZ459" t="s">
        <v>135</v>
      </c>
      <c r="DA459" t="s">
        <v>135</v>
      </c>
      <c r="DB459" t="s">
        <v>135</v>
      </c>
      <c r="DC459" t="s">
        <v>135</v>
      </c>
      <c r="DD459" t="s">
        <v>135</v>
      </c>
      <c r="DE459" t="s">
        <v>135</v>
      </c>
      <c r="DF459" t="s">
        <v>135</v>
      </c>
      <c r="DG459" t="s">
        <v>135</v>
      </c>
      <c r="DH459" t="s">
        <v>135</v>
      </c>
      <c r="DI459" t="s">
        <v>135</v>
      </c>
    </row>
    <row r="460" spans="1:113" x14ac:dyDescent="0.3">
      <c r="E460" t="s">
        <v>79</v>
      </c>
      <c r="F460" t="s">
        <v>135</v>
      </c>
      <c r="G460" t="s">
        <v>135</v>
      </c>
      <c r="H460" t="s">
        <v>135</v>
      </c>
      <c r="I460" t="s">
        <v>135</v>
      </c>
      <c r="J460">
        <v>18.3566</v>
      </c>
      <c r="K460">
        <v>14.1869</v>
      </c>
      <c r="L460">
        <v>12.1442</v>
      </c>
      <c r="M460">
        <v>8.8439999999999994</v>
      </c>
      <c r="N460">
        <v>7.4500999999999999</v>
      </c>
      <c r="O460">
        <v>6.3437000000000001</v>
      </c>
      <c r="P460">
        <v>6.3437000000000001</v>
      </c>
      <c r="Q460">
        <v>19.943000000000001</v>
      </c>
      <c r="R460" t="s">
        <v>135</v>
      </c>
      <c r="S460" t="s">
        <v>135</v>
      </c>
      <c r="T460">
        <v>15.3568</v>
      </c>
      <c r="U460">
        <v>12.827299999999999</v>
      </c>
      <c r="V460">
        <v>12.8613</v>
      </c>
      <c r="W460">
        <v>7.3917999999999999</v>
      </c>
      <c r="X460">
        <v>10.857099999999999</v>
      </c>
      <c r="Y460" t="s">
        <v>135</v>
      </c>
      <c r="Z460" t="s">
        <v>135</v>
      </c>
      <c r="AA460" t="s">
        <v>135</v>
      </c>
      <c r="AB460" t="s">
        <v>135</v>
      </c>
      <c r="AC460" t="s">
        <v>135</v>
      </c>
      <c r="AD460" t="s">
        <v>135</v>
      </c>
      <c r="AE460" t="s">
        <v>135</v>
      </c>
      <c r="AF460" t="s">
        <v>135</v>
      </c>
      <c r="AG460" t="s">
        <v>135</v>
      </c>
      <c r="AH460" t="s">
        <v>135</v>
      </c>
      <c r="AI460" t="s">
        <v>135</v>
      </c>
      <c r="AJ460" t="s">
        <v>135</v>
      </c>
      <c r="AK460" t="s">
        <v>135</v>
      </c>
      <c r="AL460" t="s">
        <v>135</v>
      </c>
      <c r="AM460">
        <v>18.556899999999999</v>
      </c>
      <c r="AN460">
        <v>19.5928</v>
      </c>
      <c r="AO460">
        <v>21.246400000000001</v>
      </c>
      <c r="AP460">
        <v>10.167199999999999</v>
      </c>
      <c r="AQ460">
        <v>13.832699999999999</v>
      </c>
      <c r="AR460" t="s">
        <v>135</v>
      </c>
      <c r="AS460" t="s">
        <v>135</v>
      </c>
      <c r="AT460" t="s">
        <v>135</v>
      </c>
      <c r="AU460" t="s">
        <v>135</v>
      </c>
      <c r="AV460" t="s">
        <v>135</v>
      </c>
      <c r="AW460" t="s">
        <v>135</v>
      </c>
      <c r="AX460" t="s">
        <v>135</v>
      </c>
      <c r="AY460" t="s">
        <v>135</v>
      </c>
      <c r="AZ460" t="s">
        <v>135</v>
      </c>
      <c r="BA460" t="s">
        <v>135</v>
      </c>
      <c r="BB460" t="s">
        <v>135</v>
      </c>
      <c r="BC460" t="s">
        <v>135</v>
      </c>
      <c r="BD460" t="s">
        <v>135</v>
      </c>
      <c r="BE460" t="s">
        <v>135</v>
      </c>
      <c r="BF460">
        <v>-3.7698999999999998</v>
      </c>
      <c r="BG460">
        <v>-8.0519999999999996</v>
      </c>
      <c r="BH460">
        <v>-11.4183</v>
      </c>
      <c r="BI460">
        <v>-42.466099999999997</v>
      </c>
      <c r="BJ460">
        <v>-42.347700000000003</v>
      </c>
      <c r="BK460" t="s">
        <v>135</v>
      </c>
      <c r="BL460" t="s">
        <v>135</v>
      </c>
      <c r="BM460" t="s">
        <v>135</v>
      </c>
      <c r="BN460" t="s">
        <v>135</v>
      </c>
      <c r="BO460" t="s">
        <v>135</v>
      </c>
      <c r="BP460" t="s">
        <v>135</v>
      </c>
      <c r="BQ460" t="s">
        <v>135</v>
      </c>
      <c r="BR460" t="s">
        <v>135</v>
      </c>
      <c r="BS460" t="s">
        <v>135</v>
      </c>
      <c r="BT460" t="s">
        <v>135</v>
      </c>
      <c r="BU460" t="s">
        <v>135</v>
      </c>
      <c r="BV460" t="s">
        <v>135</v>
      </c>
      <c r="BW460" t="s">
        <v>135</v>
      </c>
      <c r="BX460" t="s">
        <v>135</v>
      </c>
      <c r="BY460" t="s">
        <v>135</v>
      </c>
      <c r="BZ460" t="s">
        <v>135</v>
      </c>
      <c r="CA460" t="s">
        <v>135</v>
      </c>
      <c r="CB460" t="s">
        <v>135</v>
      </c>
      <c r="CC460" t="s">
        <v>135</v>
      </c>
      <c r="CD460" t="s">
        <v>135</v>
      </c>
      <c r="CE460" t="s">
        <v>135</v>
      </c>
      <c r="CF460">
        <v>3.4291</v>
      </c>
      <c r="CG460" t="s">
        <v>135</v>
      </c>
      <c r="CH460" t="s">
        <v>135</v>
      </c>
      <c r="CI460" t="s">
        <v>135</v>
      </c>
      <c r="CJ460" t="s">
        <v>135</v>
      </c>
      <c r="CK460" t="s">
        <v>135</v>
      </c>
      <c r="CL460" t="s">
        <v>135</v>
      </c>
      <c r="CM460" t="s">
        <v>135</v>
      </c>
      <c r="CN460" t="s">
        <v>135</v>
      </c>
      <c r="CO460" t="s">
        <v>135</v>
      </c>
      <c r="CP460">
        <v>4805.2</v>
      </c>
      <c r="CQ460" t="s">
        <v>135</v>
      </c>
      <c r="CR460">
        <v>3713.7</v>
      </c>
      <c r="CS460" t="s">
        <v>135</v>
      </c>
      <c r="CT460" t="s">
        <v>135</v>
      </c>
      <c r="CU460" t="s">
        <v>135</v>
      </c>
      <c r="CV460">
        <v>3.8307000000000002</v>
      </c>
      <c r="CW460" t="s">
        <v>135</v>
      </c>
      <c r="CX460" t="s">
        <v>135</v>
      </c>
      <c r="CY460" t="s">
        <v>135</v>
      </c>
      <c r="CZ460" t="s">
        <v>135</v>
      </c>
      <c r="DA460" t="s">
        <v>135</v>
      </c>
      <c r="DB460" t="s">
        <v>135</v>
      </c>
      <c r="DC460" t="s">
        <v>135</v>
      </c>
      <c r="DD460" t="s">
        <v>135</v>
      </c>
      <c r="DE460" t="s">
        <v>135</v>
      </c>
      <c r="DF460" t="s">
        <v>135</v>
      </c>
      <c r="DG460" t="s">
        <v>135</v>
      </c>
      <c r="DH460" t="s">
        <v>135</v>
      </c>
      <c r="DI460" t="s">
        <v>135</v>
      </c>
    </row>
    <row r="461" spans="1:113" x14ac:dyDescent="0.3">
      <c r="E461" t="s">
        <v>80</v>
      </c>
      <c r="F461" t="s">
        <v>135</v>
      </c>
      <c r="G461" t="s">
        <v>135</v>
      </c>
      <c r="H461" t="s">
        <v>135</v>
      </c>
      <c r="I461" t="s">
        <v>135</v>
      </c>
      <c r="J461">
        <v>19.087800000000001</v>
      </c>
      <c r="K461">
        <v>15.481299999999999</v>
      </c>
      <c r="L461">
        <v>25.9724</v>
      </c>
      <c r="M461">
        <v>10.7324</v>
      </c>
      <c r="N461">
        <v>9.0556999999999999</v>
      </c>
      <c r="O461">
        <v>8.2812999999999999</v>
      </c>
      <c r="P461">
        <v>8.2812999999999999</v>
      </c>
      <c r="Q461">
        <v>18.5198</v>
      </c>
      <c r="R461" t="s">
        <v>135</v>
      </c>
      <c r="S461" t="s">
        <v>135</v>
      </c>
      <c r="T461">
        <v>15.565300000000001</v>
      </c>
      <c r="U461">
        <v>23.5502</v>
      </c>
      <c r="V461">
        <v>29.192399999999999</v>
      </c>
      <c r="W461">
        <v>12.167</v>
      </c>
      <c r="X461">
        <v>15.7371</v>
      </c>
      <c r="Y461" t="s">
        <v>135</v>
      </c>
      <c r="Z461" t="s">
        <v>135</v>
      </c>
      <c r="AA461" t="s">
        <v>135</v>
      </c>
      <c r="AB461" t="s">
        <v>135</v>
      </c>
      <c r="AC461" t="s">
        <v>135</v>
      </c>
      <c r="AD461" t="s">
        <v>135</v>
      </c>
      <c r="AE461" t="s">
        <v>135</v>
      </c>
      <c r="AF461" t="s">
        <v>135</v>
      </c>
      <c r="AG461" t="s">
        <v>135</v>
      </c>
      <c r="AH461" t="s">
        <v>135</v>
      </c>
      <c r="AI461" t="s">
        <v>135</v>
      </c>
      <c r="AJ461" t="s">
        <v>135</v>
      </c>
      <c r="AK461" t="s">
        <v>135</v>
      </c>
      <c r="AL461" t="s">
        <v>135</v>
      </c>
      <c r="AM461">
        <v>22.0564</v>
      </c>
      <c r="AN461">
        <v>24.104099999999999</v>
      </c>
      <c r="AO461">
        <v>26.992999999999999</v>
      </c>
      <c r="AP461">
        <v>31.209700000000002</v>
      </c>
      <c r="AQ461">
        <v>34.296599999999998</v>
      </c>
      <c r="AR461" t="s">
        <v>135</v>
      </c>
      <c r="AS461" t="s">
        <v>135</v>
      </c>
      <c r="AT461" t="s">
        <v>135</v>
      </c>
      <c r="AU461" t="s">
        <v>135</v>
      </c>
      <c r="AV461" t="s">
        <v>135</v>
      </c>
      <c r="AW461" t="s">
        <v>135</v>
      </c>
      <c r="AX461" t="s">
        <v>135</v>
      </c>
      <c r="AY461" t="s">
        <v>135</v>
      </c>
      <c r="AZ461" t="s">
        <v>135</v>
      </c>
      <c r="BA461" t="s">
        <v>135</v>
      </c>
      <c r="BB461" t="s">
        <v>135</v>
      </c>
      <c r="BC461" t="s">
        <v>135</v>
      </c>
      <c r="BD461" t="s">
        <v>135</v>
      </c>
      <c r="BE461" t="s">
        <v>135</v>
      </c>
      <c r="BF461">
        <v>14.9918</v>
      </c>
      <c r="BG461">
        <v>19.572500000000002</v>
      </c>
      <c r="BH461">
        <v>25.484000000000002</v>
      </c>
      <c r="BI461">
        <v>50.114400000000003</v>
      </c>
      <c r="BJ461">
        <v>49.7423</v>
      </c>
      <c r="BK461" t="s">
        <v>135</v>
      </c>
      <c r="BL461" t="s">
        <v>135</v>
      </c>
      <c r="BM461" t="s">
        <v>135</v>
      </c>
      <c r="BN461" t="s">
        <v>135</v>
      </c>
      <c r="BO461" t="s">
        <v>135</v>
      </c>
      <c r="BP461" t="s">
        <v>135</v>
      </c>
      <c r="BQ461" t="s">
        <v>135</v>
      </c>
      <c r="BR461" t="s">
        <v>135</v>
      </c>
      <c r="BS461" t="s">
        <v>135</v>
      </c>
      <c r="BT461" t="s">
        <v>135</v>
      </c>
      <c r="BU461" t="s">
        <v>135</v>
      </c>
      <c r="BV461" t="s">
        <v>135</v>
      </c>
      <c r="BW461" t="s">
        <v>135</v>
      </c>
      <c r="BX461" t="s">
        <v>135</v>
      </c>
      <c r="BY461" t="s">
        <v>135</v>
      </c>
      <c r="BZ461" t="s">
        <v>135</v>
      </c>
      <c r="CA461" t="s">
        <v>135</v>
      </c>
      <c r="CB461" t="s">
        <v>135</v>
      </c>
      <c r="CC461" t="s">
        <v>135</v>
      </c>
      <c r="CD461" t="s">
        <v>135</v>
      </c>
      <c r="CE461" t="s">
        <v>135</v>
      </c>
      <c r="CF461" t="s">
        <v>135</v>
      </c>
      <c r="CG461" t="s">
        <v>135</v>
      </c>
      <c r="CH461" t="s">
        <v>135</v>
      </c>
      <c r="CI461" t="s">
        <v>135</v>
      </c>
      <c r="CJ461" t="s">
        <v>135</v>
      </c>
      <c r="CK461" t="s">
        <v>135</v>
      </c>
      <c r="CL461" t="s">
        <v>135</v>
      </c>
      <c r="CM461" t="s">
        <v>135</v>
      </c>
      <c r="CN461" t="s">
        <v>135</v>
      </c>
      <c r="CO461" t="s">
        <v>135</v>
      </c>
      <c r="CP461">
        <v>5745.7</v>
      </c>
      <c r="CQ461" t="s">
        <v>135</v>
      </c>
      <c r="CR461">
        <v>4660.1000000000004</v>
      </c>
      <c r="CS461" t="s">
        <v>135</v>
      </c>
      <c r="CT461" t="s">
        <v>135</v>
      </c>
      <c r="CU461" t="s">
        <v>135</v>
      </c>
      <c r="CV461" t="s">
        <v>135</v>
      </c>
      <c r="CW461" t="s">
        <v>135</v>
      </c>
      <c r="CX461" t="s">
        <v>135</v>
      </c>
      <c r="CY461" t="s">
        <v>135</v>
      </c>
      <c r="CZ461" t="s">
        <v>135</v>
      </c>
      <c r="DA461" t="s">
        <v>135</v>
      </c>
      <c r="DB461" t="s">
        <v>135</v>
      </c>
      <c r="DC461" t="s">
        <v>135</v>
      </c>
      <c r="DD461" t="s">
        <v>135</v>
      </c>
      <c r="DE461" t="s">
        <v>135</v>
      </c>
      <c r="DF461" t="s">
        <v>135</v>
      </c>
      <c r="DG461" t="s">
        <v>135</v>
      </c>
      <c r="DH461" t="s">
        <v>135</v>
      </c>
      <c r="DI461" t="s">
        <v>135</v>
      </c>
    </row>
    <row r="462" spans="1:113" x14ac:dyDescent="0.3">
      <c r="E462" t="s">
        <v>81</v>
      </c>
      <c r="F462">
        <v>20.598800000000001</v>
      </c>
      <c r="G462">
        <v>8.4234000000000009</v>
      </c>
      <c r="H462" t="s">
        <v>135</v>
      </c>
      <c r="I462">
        <v>18.433199999999999</v>
      </c>
      <c r="J462">
        <v>22.0303</v>
      </c>
      <c r="K462">
        <v>19.126899999999999</v>
      </c>
      <c r="L462">
        <v>48.2376</v>
      </c>
      <c r="M462">
        <v>13.9397</v>
      </c>
      <c r="N462">
        <v>12.4373</v>
      </c>
      <c r="O462">
        <v>12.3508</v>
      </c>
      <c r="P462">
        <v>12.3508</v>
      </c>
      <c r="Q462">
        <v>10.014699999999999</v>
      </c>
      <c r="R462" t="s">
        <v>135</v>
      </c>
      <c r="S462" t="s">
        <v>135</v>
      </c>
      <c r="T462">
        <v>8.0901999999999994</v>
      </c>
      <c r="U462">
        <v>16.7544</v>
      </c>
      <c r="V462">
        <v>23.2685</v>
      </c>
      <c r="W462">
        <v>22.143899999999999</v>
      </c>
      <c r="X462">
        <v>23.141500000000001</v>
      </c>
      <c r="Y462" t="s">
        <v>135</v>
      </c>
      <c r="Z462">
        <v>14.5771</v>
      </c>
      <c r="AA462">
        <v>18.4483</v>
      </c>
      <c r="AB462">
        <v>18.9664</v>
      </c>
      <c r="AC462">
        <v>11.2483</v>
      </c>
      <c r="AD462">
        <v>13.5246</v>
      </c>
      <c r="AE462">
        <v>-14.2997</v>
      </c>
      <c r="AF462">
        <v>19.315200000000001</v>
      </c>
      <c r="AG462">
        <v>79.232900000000001</v>
      </c>
      <c r="AH462">
        <v>-2.7791000000000001</v>
      </c>
      <c r="AI462">
        <v>8.9528999999999996</v>
      </c>
      <c r="AJ462">
        <v>4.8994</v>
      </c>
      <c r="AK462">
        <v>11.680199999999999</v>
      </c>
      <c r="AL462" t="s">
        <v>135</v>
      </c>
      <c r="AM462">
        <v>19.767199999999999</v>
      </c>
      <c r="AN462" t="s">
        <v>135</v>
      </c>
      <c r="AO462">
        <v>33.426000000000002</v>
      </c>
      <c r="AP462">
        <v>19.123899999999999</v>
      </c>
      <c r="AQ462">
        <v>20.178000000000001</v>
      </c>
      <c r="AR462" t="s">
        <v>135</v>
      </c>
      <c r="AS462" t="s">
        <v>135</v>
      </c>
      <c r="AT462" t="s">
        <v>135</v>
      </c>
      <c r="AU462" t="s">
        <v>135</v>
      </c>
      <c r="AV462" t="s">
        <v>135</v>
      </c>
      <c r="AW462" t="s">
        <v>135</v>
      </c>
      <c r="AX462" t="s">
        <v>135</v>
      </c>
      <c r="AY462" t="s">
        <v>135</v>
      </c>
      <c r="AZ462" t="s">
        <v>135</v>
      </c>
      <c r="BA462" t="s">
        <v>135</v>
      </c>
      <c r="BB462" t="s">
        <v>135</v>
      </c>
      <c r="BC462" t="s">
        <v>135</v>
      </c>
      <c r="BD462" t="s">
        <v>135</v>
      </c>
      <c r="BE462" t="s">
        <v>135</v>
      </c>
      <c r="BF462">
        <v>18.366599999999998</v>
      </c>
      <c r="BG462">
        <v>36.613500000000002</v>
      </c>
      <c r="BH462">
        <v>46.239400000000003</v>
      </c>
      <c r="BI462">
        <v>76.532399999999996</v>
      </c>
      <c r="BJ462">
        <v>76.764200000000002</v>
      </c>
      <c r="BK462" t="s">
        <v>135</v>
      </c>
      <c r="BL462" t="s">
        <v>135</v>
      </c>
      <c r="BM462" t="s">
        <v>135</v>
      </c>
      <c r="BN462" t="s">
        <v>135</v>
      </c>
      <c r="BO462" t="s">
        <v>135</v>
      </c>
      <c r="BP462" t="s">
        <v>135</v>
      </c>
      <c r="BQ462" t="s">
        <v>135</v>
      </c>
      <c r="BR462" t="s">
        <v>135</v>
      </c>
      <c r="BS462" t="s">
        <v>135</v>
      </c>
      <c r="BT462" t="s">
        <v>135</v>
      </c>
      <c r="BU462" t="s">
        <v>135</v>
      </c>
      <c r="BV462" t="s">
        <v>135</v>
      </c>
      <c r="BW462" t="s">
        <v>135</v>
      </c>
      <c r="BX462" t="s">
        <v>135</v>
      </c>
      <c r="BY462">
        <v>27814.5</v>
      </c>
      <c r="BZ462">
        <v>10873.7</v>
      </c>
      <c r="CA462">
        <v>16940.8</v>
      </c>
      <c r="CB462">
        <v>1.1773</v>
      </c>
      <c r="CC462">
        <v>0.75380000000000003</v>
      </c>
      <c r="CD462">
        <v>1.4351</v>
      </c>
      <c r="CE462">
        <v>0.91890000000000005</v>
      </c>
      <c r="CF462">
        <v>6.4024000000000001</v>
      </c>
      <c r="CG462">
        <v>40.967500000000001</v>
      </c>
      <c r="CH462">
        <v>28.6904</v>
      </c>
      <c r="CI462">
        <v>19.503299999999999</v>
      </c>
      <c r="CJ462">
        <v>11.842700000000001</v>
      </c>
      <c r="CK462">
        <v>47.105800000000002</v>
      </c>
      <c r="CL462">
        <v>32.021700000000003</v>
      </c>
      <c r="CM462">
        <v>19.444199999999999</v>
      </c>
      <c r="CN462">
        <v>30.1616</v>
      </c>
      <c r="CO462">
        <v>23.1724</v>
      </c>
      <c r="CP462">
        <v>7849.4</v>
      </c>
      <c r="CQ462" t="s">
        <v>135</v>
      </c>
      <c r="CR462">
        <v>6814.9</v>
      </c>
      <c r="CS462">
        <v>0.17030000000000001</v>
      </c>
      <c r="CT462">
        <v>1.4245999999999999</v>
      </c>
      <c r="CU462">
        <v>0.79579999999999995</v>
      </c>
      <c r="CV462">
        <v>3.5159000000000002</v>
      </c>
      <c r="CW462">
        <v>3.4601999999999999</v>
      </c>
      <c r="CX462">
        <v>105.48520000000001</v>
      </c>
      <c r="CY462">
        <v>2.2210000000000001</v>
      </c>
      <c r="CZ462">
        <v>164.33799999999999</v>
      </c>
      <c r="DA462">
        <v>2.1930999999999998</v>
      </c>
      <c r="DB462">
        <v>166.42750000000001</v>
      </c>
      <c r="DC462">
        <v>103.3956</v>
      </c>
      <c r="DD462">
        <v>269.82319999999999</v>
      </c>
      <c r="DE462">
        <v>29376</v>
      </c>
      <c r="DF462">
        <v>5891.9</v>
      </c>
      <c r="DG462">
        <v>1430.9</v>
      </c>
      <c r="DH462">
        <v>17960.599999999999</v>
      </c>
      <c r="DI462">
        <v>4092.6</v>
      </c>
    </row>
    <row r="463" spans="1:113" x14ac:dyDescent="0.3">
      <c r="D463" t="s">
        <v>83</v>
      </c>
      <c r="E463" t="s">
        <v>77</v>
      </c>
      <c r="F463">
        <v>21.672000000000001</v>
      </c>
      <c r="G463">
        <v>8.2637999999999998</v>
      </c>
      <c r="H463">
        <v>18.024899999999999</v>
      </c>
      <c r="I463">
        <v>18.422000000000001</v>
      </c>
      <c r="J463">
        <v>20.571899999999999</v>
      </c>
      <c r="K463">
        <v>16.8005</v>
      </c>
      <c r="L463">
        <v>21.878</v>
      </c>
      <c r="M463">
        <v>12.223700000000001</v>
      </c>
      <c r="N463">
        <v>9.8605999999999998</v>
      </c>
      <c r="O463">
        <v>9.7642000000000007</v>
      </c>
      <c r="P463">
        <v>10.306100000000001</v>
      </c>
      <c r="Q463">
        <v>17.4041</v>
      </c>
      <c r="R463">
        <v>15.632400000000001</v>
      </c>
      <c r="S463">
        <v>18.284099999999999</v>
      </c>
      <c r="T463">
        <v>10.016</v>
      </c>
      <c r="U463">
        <v>14.286799999999999</v>
      </c>
      <c r="V463">
        <v>13.450200000000001</v>
      </c>
      <c r="W463">
        <v>19.056999999999999</v>
      </c>
      <c r="X463">
        <v>19.056999999999999</v>
      </c>
      <c r="Y463">
        <v>0</v>
      </c>
      <c r="Z463">
        <v>26.8157</v>
      </c>
      <c r="AA463">
        <v>9.8260000000000005</v>
      </c>
      <c r="AB463">
        <v>19.7318</v>
      </c>
      <c r="AC463">
        <v>17.957999999999998</v>
      </c>
      <c r="AD463">
        <v>19.444600000000001</v>
      </c>
      <c r="AE463">
        <v>12.315899999999999</v>
      </c>
      <c r="AF463">
        <v>19.3523</v>
      </c>
      <c r="AG463">
        <v>53.941200000000002</v>
      </c>
      <c r="AH463">
        <v>38.785899999999998</v>
      </c>
      <c r="AI463">
        <v>15.722200000000001</v>
      </c>
      <c r="AJ463">
        <v>23.107600000000001</v>
      </c>
      <c r="AK463">
        <v>15.8764</v>
      </c>
      <c r="AL463">
        <v>69.1995</v>
      </c>
      <c r="AM463">
        <v>18.218499999999999</v>
      </c>
      <c r="AN463">
        <v>19.679099999999998</v>
      </c>
      <c r="AO463">
        <v>19.9299</v>
      </c>
      <c r="AP463">
        <v>19.118099999999998</v>
      </c>
      <c r="AQ463">
        <v>20.164999999999999</v>
      </c>
      <c r="AR463">
        <v>20.112400000000001</v>
      </c>
      <c r="AS463">
        <v>26.5932</v>
      </c>
      <c r="AT463">
        <v>18.078499999999998</v>
      </c>
      <c r="AU463">
        <v>19.4419</v>
      </c>
      <c r="AV463">
        <v>15.4941</v>
      </c>
      <c r="AW463">
        <v>18.803599999999999</v>
      </c>
      <c r="AX463">
        <v>9.9173000000000009</v>
      </c>
      <c r="AY463">
        <v>28.150099999999998</v>
      </c>
      <c r="AZ463">
        <v>27.592099999999999</v>
      </c>
      <c r="BA463">
        <v>20.854099999999999</v>
      </c>
      <c r="BB463">
        <v>12.7859</v>
      </c>
      <c r="BC463">
        <v>15.3278</v>
      </c>
      <c r="BD463">
        <v>14.4495</v>
      </c>
      <c r="BE463">
        <v>11.806000000000001</v>
      </c>
      <c r="BF463">
        <v>10.016</v>
      </c>
      <c r="BG463">
        <v>14.286799999999999</v>
      </c>
      <c r="BH463">
        <v>13.450200000000001</v>
      </c>
      <c r="BI463">
        <v>19.056999999999999</v>
      </c>
      <c r="BJ463">
        <v>19.056999999999999</v>
      </c>
      <c r="BK463">
        <v>0</v>
      </c>
      <c r="BL463">
        <v>26.8157</v>
      </c>
      <c r="BM463">
        <v>9.8260000000000005</v>
      </c>
      <c r="BN463">
        <v>19.7318</v>
      </c>
      <c r="BO463">
        <v>17.957999999999998</v>
      </c>
      <c r="BP463">
        <v>19.444600000000001</v>
      </c>
      <c r="BQ463">
        <v>12.315899999999999</v>
      </c>
      <c r="BR463">
        <v>19.3523</v>
      </c>
      <c r="BS463">
        <v>53.941200000000002</v>
      </c>
      <c r="BT463">
        <v>38.785899999999998</v>
      </c>
      <c r="BU463">
        <v>15.722200000000001</v>
      </c>
      <c r="BV463">
        <v>23.107600000000001</v>
      </c>
      <c r="BW463">
        <v>15.8764</v>
      </c>
      <c r="BX463">
        <v>69.1995</v>
      </c>
      <c r="BY463">
        <v>38602.6</v>
      </c>
      <c r="BZ463">
        <v>16739.099999999999</v>
      </c>
      <c r="CA463">
        <v>21863.5</v>
      </c>
      <c r="CB463">
        <v>1.4107000000000001</v>
      </c>
      <c r="CC463">
        <v>1.0243</v>
      </c>
      <c r="CD463">
        <v>1.7274</v>
      </c>
      <c r="CE463">
        <v>1.2542</v>
      </c>
      <c r="CF463">
        <v>5.1962999999999999</v>
      </c>
      <c r="CG463">
        <v>39.918500000000002</v>
      </c>
      <c r="CH463">
        <v>31.996700000000001</v>
      </c>
      <c r="CI463">
        <v>20.446000000000002</v>
      </c>
      <c r="CJ463">
        <v>12.8522</v>
      </c>
      <c r="CK463">
        <v>56.494</v>
      </c>
      <c r="CL463">
        <v>36.099800000000002</v>
      </c>
      <c r="CM463">
        <v>22.692</v>
      </c>
      <c r="CN463">
        <v>41.017600000000002</v>
      </c>
      <c r="CO463">
        <v>29.0869</v>
      </c>
      <c r="CP463">
        <v>27363.7</v>
      </c>
      <c r="CQ463">
        <v>20958.599999999999</v>
      </c>
      <c r="CR463">
        <v>22347.200000000001</v>
      </c>
      <c r="CS463">
        <v>0.14549999999999999</v>
      </c>
      <c r="CT463">
        <v>1.3855999999999999</v>
      </c>
      <c r="CU463">
        <v>0.8075</v>
      </c>
      <c r="CV463">
        <v>2.8855</v>
      </c>
      <c r="CW463">
        <v>3.0922000000000001</v>
      </c>
      <c r="CX463">
        <v>118.3616</v>
      </c>
      <c r="CY463">
        <v>2.0802999999999998</v>
      </c>
      <c r="CZ463">
        <v>175.93889999999999</v>
      </c>
      <c r="DA463">
        <v>1.9018999999999999</v>
      </c>
      <c r="DB463">
        <v>192.435</v>
      </c>
      <c r="DC463">
        <v>101.86539999999999</v>
      </c>
      <c r="DD463">
        <v>294.30040000000002</v>
      </c>
      <c r="DE463">
        <v>32262.5</v>
      </c>
      <c r="DF463">
        <v>7313.5</v>
      </c>
      <c r="DG463">
        <v>1854.2</v>
      </c>
      <c r="DH463">
        <v>18548.400000000001</v>
      </c>
      <c r="DI463">
        <v>4546.3999999999996</v>
      </c>
    </row>
    <row r="464" spans="1:113" x14ac:dyDescent="0.3">
      <c r="E464" t="s">
        <v>78</v>
      </c>
      <c r="F464" t="s">
        <v>135</v>
      </c>
      <c r="G464" t="s">
        <v>135</v>
      </c>
      <c r="H464" t="s">
        <v>135</v>
      </c>
      <c r="I464" t="s">
        <v>135</v>
      </c>
      <c r="J464">
        <v>19.497299999999999</v>
      </c>
      <c r="K464">
        <v>15.9032</v>
      </c>
      <c r="L464">
        <v>20.4907</v>
      </c>
      <c r="M464">
        <v>11.1915</v>
      </c>
      <c r="N464">
        <v>9.0557999999999996</v>
      </c>
      <c r="O464">
        <v>9.1256000000000004</v>
      </c>
      <c r="P464">
        <v>9.1256000000000004</v>
      </c>
      <c r="Q464">
        <v>20.513300000000001</v>
      </c>
      <c r="R464" t="s">
        <v>135</v>
      </c>
      <c r="S464" t="s">
        <v>135</v>
      </c>
      <c r="T464">
        <v>10.712300000000001</v>
      </c>
      <c r="U464">
        <v>12.359400000000001</v>
      </c>
      <c r="V464">
        <v>14.2424</v>
      </c>
      <c r="W464">
        <v>-4.7812000000000001</v>
      </c>
      <c r="X464">
        <v>-4.7548000000000004</v>
      </c>
      <c r="Y464" t="s">
        <v>135</v>
      </c>
      <c r="Z464" t="s">
        <v>135</v>
      </c>
      <c r="AA464" t="s">
        <v>135</v>
      </c>
      <c r="AB464" t="s">
        <v>135</v>
      </c>
      <c r="AC464" t="s">
        <v>135</v>
      </c>
      <c r="AD464" t="s">
        <v>135</v>
      </c>
      <c r="AE464" t="s">
        <v>135</v>
      </c>
      <c r="AF464" t="s">
        <v>135</v>
      </c>
      <c r="AG464" t="s">
        <v>135</v>
      </c>
      <c r="AH464" t="s">
        <v>135</v>
      </c>
      <c r="AI464" t="s">
        <v>135</v>
      </c>
      <c r="AJ464" t="s">
        <v>135</v>
      </c>
      <c r="AK464" t="s">
        <v>135</v>
      </c>
      <c r="AL464" t="s">
        <v>135</v>
      </c>
      <c r="AM464">
        <v>16.0596</v>
      </c>
      <c r="AN464">
        <v>15.216900000000001</v>
      </c>
      <c r="AO464">
        <v>14.626300000000001</v>
      </c>
      <c r="AP464">
        <v>14.062099999999999</v>
      </c>
      <c r="AQ464">
        <v>14.6752</v>
      </c>
      <c r="AR464" t="s">
        <v>135</v>
      </c>
      <c r="AS464" t="s">
        <v>135</v>
      </c>
      <c r="AT464" t="s">
        <v>135</v>
      </c>
      <c r="AU464" t="s">
        <v>135</v>
      </c>
      <c r="AV464" t="s">
        <v>135</v>
      </c>
      <c r="AW464" t="s">
        <v>135</v>
      </c>
      <c r="AX464" t="s">
        <v>135</v>
      </c>
      <c r="AY464" t="s">
        <v>135</v>
      </c>
      <c r="AZ464" t="s">
        <v>135</v>
      </c>
      <c r="BA464" t="s">
        <v>135</v>
      </c>
      <c r="BB464" t="s">
        <v>135</v>
      </c>
      <c r="BC464" t="s">
        <v>135</v>
      </c>
      <c r="BD464" t="s">
        <v>135</v>
      </c>
      <c r="BE464" t="s">
        <v>135</v>
      </c>
      <c r="BF464">
        <v>-15.474299999999999</v>
      </c>
      <c r="BG464">
        <v>-25.193000000000001</v>
      </c>
      <c r="BH464">
        <v>-29.720199999999998</v>
      </c>
      <c r="BI464">
        <v>-37.547199999999997</v>
      </c>
      <c r="BJ464">
        <v>-37.5852</v>
      </c>
      <c r="BK464" t="s">
        <v>135</v>
      </c>
      <c r="BL464" t="s">
        <v>135</v>
      </c>
      <c r="BM464" t="s">
        <v>135</v>
      </c>
      <c r="BN464" t="s">
        <v>135</v>
      </c>
      <c r="BO464" t="s">
        <v>135</v>
      </c>
      <c r="BP464" t="s">
        <v>135</v>
      </c>
      <c r="BQ464" t="s">
        <v>135</v>
      </c>
      <c r="BR464" t="s">
        <v>135</v>
      </c>
      <c r="BS464" t="s">
        <v>135</v>
      </c>
      <c r="BT464" t="s">
        <v>135</v>
      </c>
      <c r="BU464" t="s">
        <v>135</v>
      </c>
      <c r="BV464" t="s">
        <v>135</v>
      </c>
      <c r="BW464" t="s">
        <v>135</v>
      </c>
      <c r="BX464" t="s">
        <v>135</v>
      </c>
      <c r="BY464" t="s">
        <v>135</v>
      </c>
      <c r="BZ464" t="s">
        <v>135</v>
      </c>
      <c r="CA464" t="s">
        <v>135</v>
      </c>
      <c r="CB464" t="s">
        <v>135</v>
      </c>
      <c r="CC464" t="s">
        <v>135</v>
      </c>
      <c r="CD464" t="s">
        <v>135</v>
      </c>
      <c r="CE464" t="s">
        <v>135</v>
      </c>
      <c r="CF464" t="s">
        <v>135</v>
      </c>
      <c r="CG464" t="s">
        <v>135</v>
      </c>
      <c r="CH464" t="s">
        <v>135</v>
      </c>
      <c r="CI464" t="s">
        <v>135</v>
      </c>
      <c r="CJ464" t="s">
        <v>135</v>
      </c>
      <c r="CK464" t="s">
        <v>135</v>
      </c>
      <c r="CL464" t="s">
        <v>135</v>
      </c>
      <c r="CM464" t="s">
        <v>135</v>
      </c>
      <c r="CN464" t="s">
        <v>135</v>
      </c>
      <c r="CO464" t="s">
        <v>135</v>
      </c>
      <c r="CP464">
        <v>5871.9</v>
      </c>
      <c r="CQ464" t="s">
        <v>135</v>
      </c>
      <c r="CR464">
        <v>4789.5</v>
      </c>
      <c r="CS464" t="s">
        <v>135</v>
      </c>
      <c r="CT464" t="s">
        <v>135</v>
      </c>
      <c r="CU464" t="s">
        <v>135</v>
      </c>
      <c r="CV464" t="s">
        <v>135</v>
      </c>
      <c r="CW464" t="s">
        <v>135</v>
      </c>
      <c r="CX464" t="s">
        <v>135</v>
      </c>
      <c r="CY464" t="s">
        <v>135</v>
      </c>
      <c r="CZ464" t="s">
        <v>135</v>
      </c>
      <c r="DA464" t="s">
        <v>135</v>
      </c>
      <c r="DB464" t="s">
        <v>135</v>
      </c>
      <c r="DC464" t="s">
        <v>135</v>
      </c>
      <c r="DD464" t="s">
        <v>135</v>
      </c>
      <c r="DE464" t="s">
        <v>135</v>
      </c>
      <c r="DF464" t="s">
        <v>135</v>
      </c>
      <c r="DG464" t="s">
        <v>135</v>
      </c>
      <c r="DH464" t="s">
        <v>135</v>
      </c>
      <c r="DI464" t="s">
        <v>135</v>
      </c>
    </row>
    <row r="465" spans="1:113" x14ac:dyDescent="0.3">
      <c r="E465" t="s">
        <v>79</v>
      </c>
      <c r="F465" t="s">
        <v>135</v>
      </c>
      <c r="G465" t="s">
        <v>135</v>
      </c>
      <c r="H465" t="s">
        <v>135</v>
      </c>
      <c r="I465" t="s">
        <v>135</v>
      </c>
      <c r="J465">
        <v>19.173300000000001</v>
      </c>
      <c r="K465">
        <v>15.094200000000001</v>
      </c>
      <c r="L465">
        <v>36.5244</v>
      </c>
      <c r="M465">
        <v>9.0649999999999995</v>
      </c>
      <c r="N465">
        <v>6.7295999999999996</v>
      </c>
      <c r="O465">
        <v>6.7879000000000005</v>
      </c>
      <c r="P465">
        <v>6.7879000000000005</v>
      </c>
      <c r="Q465">
        <v>31.139299999999999</v>
      </c>
      <c r="R465" t="s">
        <v>135</v>
      </c>
      <c r="S465" t="s">
        <v>135</v>
      </c>
      <c r="T465">
        <v>4.2339000000000002</v>
      </c>
      <c r="U465">
        <v>8.8716000000000008</v>
      </c>
      <c r="V465">
        <v>10.9002</v>
      </c>
      <c r="W465">
        <v>11.532</v>
      </c>
      <c r="X465">
        <v>11.340199999999999</v>
      </c>
      <c r="Y465" t="s">
        <v>135</v>
      </c>
      <c r="Z465" t="s">
        <v>135</v>
      </c>
      <c r="AA465" t="s">
        <v>135</v>
      </c>
      <c r="AB465" t="s">
        <v>135</v>
      </c>
      <c r="AC465" t="s">
        <v>135</v>
      </c>
      <c r="AD465" t="s">
        <v>135</v>
      </c>
      <c r="AE465" t="s">
        <v>135</v>
      </c>
      <c r="AF465" t="s">
        <v>135</v>
      </c>
      <c r="AG465" t="s">
        <v>135</v>
      </c>
      <c r="AH465" t="s">
        <v>135</v>
      </c>
      <c r="AI465" t="s">
        <v>135</v>
      </c>
      <c r="AJ465" t="s">
        <v>135</v>
      </c>
      <c r="AK465" t="s">
        <v>135</v>
      </c>
      <c r="AL465" t="s">
        <v>135</v>
      </c>
      <c r="AM465">
        <v>17.377099999999999</v>
      </c>
      <c r="AN465">
        <v>17.599900000000002</v>
      </c>
      <c r="AO465">
        <v>17.8581</v>
      </c>
      <c r="AP465">
        <v>10.0672</v>
      </c>
      <c r="AQ465">
        <v>11.7394</v>
      </c>
      <c r="AR465" t="s">
        <v>135</v>
      </c>
      <c r="AS465" t="s">
        <v>135</v>
      </c>
      <c r="AT465" t="s">
        <v>135</v>
      </c>
      <c r="AU465" t="s">
        <v>135</v>
      </c>
      <c r="AV465" t="s">
        <v>135</v>
      </c>
      <c r="AW465" t="s">
        <v>135</v>
      </c>
      <c r="AX465" t="s">
        <v>135</v>
      </c>
      <c r="AY465" t="s">
        <v>135</v>
      </c>
      <c r="AZ465" t="s">
        <v>135</v>
      </c>
      <c r="BA465" t="s">
        <v>135</v>
      </c>
      <c r="BB465" t="s">
        <v>135</v>
      </c>
      <c r="BC465" t="s">
        <v>135</v>
      </c>
      <c r="BD465" t="s">
        <v>135</v>
      </c>
      <c r="BE465" t="s">
        <v>135</v>
      </c>
      <c r="BF465">
        <v>-14.8856</v>
      </c>
      <c r="BG465">
        <v>-12.726900000000001</v>
      </c>
      <c r="BH465">
        <v>-7.3662000000000001</v>
      </c>
      <c r="BI465">
        <v>-43.003500000000003</v>
      </c>
      <c r="BJ465">
        <v>-32.288400000000003</v>
      </c>
      <c r="BK465" t="s">
        <v>135</v>
      </c>
      <c r="BL465" t="s">
        <v>135</v>
      </c>
      <c r="BM465" t="s">
        <v>135</v>
      </c>
      <c r="BN465" t="s">
        <v>135</v>
      </c>
      <c r="BO465" t="s">
        <v>135</v>
      </c>
      <c r="BP465" t="s">
        <v>135</v>
      </c>
      <c r="BQ465" t="s">
        <v>135</v>
      </c>
      <c r="BR465" t="s">
        <v>135</v>
      </c>
      <c r="BS465" t="s">
        <v>135</v>
      </c>
      <c r="BT465" t="s">
        <v>135</v>
      </c>
      <c r="BU465" t="s">
        <v>135</v>
      </c>
      <c r="BV465" t="s">
        <v>135</v>
      </c>
      <c r="BW465" t="s">
        <v>135</v>
      </c>
      <c r="BX465" t="s">
        <v>135</v>
      </c>
      <c r="BY465" t="s">
        <v>135</v>
      </c>
      <c r="BZ465" t="s">
        <v>135</v>
      </c>
      <c r="CA465" t="s">
        <v>135</v>
      </c>
      <c r="CB465" t="s">
        <v>135</v>
      </c>
      <c r="CC465" t="s">
        <v>135</v>
      </c>
      <c r="CD465" t="s">
        <v>135</v>
      </c>
      <c r="CE465" t="s">
        <v>135</v>
      </c>
      <c r="CF465">
        <v>3.8637000000000001</v>
      </c>
      <c r="CG465" t="s">
        <v>135</v>
      </c>
      <c r="CH465" t="s">
        <v>135</v>
      </c>
      <c r="CI465" t="s">
        <v>135</v>
      </c>
      <c r="CJ465" t="s">
        <v>135</v>
      </c>
      <c r="CK465" t="s">
        <v>135</v>
      </c>
      <c r="CL465" t="s">
        <v>135</v>
      </c>
      <c r="CM465" t="s">
        <v>135</v>
      </c>
      <c r="CN465" t="s">
        <v>135</v>
      </c>
      <c r="CO465" t="s">
        <v>135</v>
      </c>
      <c r="CP465">
        <v>5231.5</v>
      </c>
      <c r="CQ465" t="s">
        <v>135</v>
      </c>
      <c r="CR465">
        <v>4118.5</v>
      </c>
      <c r="CS465" t="s">
        <v>135</v>
      </c>
      <c r="CT465" t="s">
        <v>135</v>
      </c>
      <c r="CU465" t="s">
        <v>135</v>
      </c>
      <c r="CV465">
        <v>3.9521999999999999</v>
      </c>
      <c r="CW465" t="s">
        <v>135</v>
      </c>
      <c r="CX465" t="s">
        <v>135</v>
      </c>
      <c r="CY465" t="s">
        <v>135</v>
      </c>
      <c r="CZ465" t="s">
        <v>135</v>
      </c>
      <c r="DA465" t="s">
        <v>135</v>
      </c>
      <c r="DB465" t="s">
        <v>135</v>
      </c>
      <c r="DC465" t="s">
        <v>135</v>
      </c>
      <c r="DD465" t="s">
        <v>135</v>
      </c>
      <c r="DE465" t="s">
        <v>135</v>
      </c>
      <c r="DF465" t="s">
        <v>135</v>
      </c>
      <c r="DG465" t="s">
        <v>135</v>
      </c>
      <c r="DH465" t="s">
        <v>135</v>
      </c>
      <c r="DI465" t="s">
        <v>135</v>
      </c>
    </row>
    <row r="466" spans="1:113" x14ac:dyDescent="0.3">
      <c r="E466" t="s">
        <v>80</v>
      </c>
      <c r="F466" t="s">
        <v>135</v>
      </c>
      <c r="G466" t="s">
        <v>135</v>
      </c>
      <c r="H466" t="s">
        <v>135</v>
      </c>
      <c r="I466" t="s">
        <v>135</v>
      </c>
      <c r="J466">
        <v>20.4787</v>
      </c>
      <c r="K466">
        <v>16.442399999999999</v>
      </c>
      <c r="L466">
        <v>88.493200000000002</v>
      </c>
      <c r="M466">
        <v>12.518800000000001</v>
      </c>
      <c r="N466">
        <v>9.6735000000000007</v>
      </c>
      <c r="O466">
        <v>9.4001000000000001</v>
      </c>
      <c r="P466">
        <v>9.4001000000000001</v>
      </c>
      <c r="Q466">
        <v>19.004300000000001</v>
      </c>
      <c r="R466" t="s">
        <v>135</v>
      </c>
      <c r="S466" t="s">
        <v>135</v>
      </c>
      <c r="T466">
        <v>1.3338000000000001</v>
      </c>
      <c r="U466">
        <v>8.7178000000000004</v>
      </c>
      <c r="V466">
        <v>7.6242999999999999</v>
      </c>
      <c r="W466">
        <v>15.023300000000001</v>
      </c>
      <c r="X466">
        <v>15.1463</v>
      </c>
      <c r="Y466" t="s">
        <v>135</v>
      </c>
      <c r="Z466" t="s">
        <v>135</v>
      </c>
      <c r="AA466" t="s">
        <v>135</v>
      </c>
      <c r="AB466" t="s">
        <v>135</v>
      </c>
      <c r="AC466" t="s">
        <v>135</v>
      </c>
      <c r="AD466" t="s">
        <v>135</v>
      </c>
      <c r="AE466" t="s">
        <v>135</v>
      </c>
      <c r="AF466" t="s">
        <v>135</v>
      </c>
      <c r="AG466" t="s">
        <v>135</v>
      </c>
      <c r="AH466" t="s">
        <v>135</v>
      </c>
      <c r="AI466" t="s">
        <v>135</v>
      </c>
      <c r="AJ466" t="s">
        <v>135</v>
      </c>
      <c r="AK466" t="s">
        <v>135</v>
      </c>
      <c r="AL466" t="s">
        <v>135</v>
      </c>
      <c r="AM466">
        <v>20.727699999999999</v>
      </c>
      <c r="AN466">
        <v>23.0444</v>
      </c>
      <c r="AO466">
        <v>23.8094</v>
      </c>
      <c r="AP466">
        <v>27.859200000000001</v>
      </c>
      <c r="AQ466">
        <v>29.4558</v>
      </c>
      <c r="AR466" t="s">
        <v>135</v>
      </c>
      <c r="AS466" t="s">
        <v>135</v>
      </c>
      <c r="AT466" t="s">
        <v>135</v>
      </c>
      <c r="AU466" t="s">
        <v>135</v>
      </c>
      <c r="AV466" t="s">
        <v>135</v>
      </c>
      <c r="AW466" t="s">
        <v>135</v>
      </c>
      <c r="AX466" t="s">
        <v>135</v>
      </c>
      <c r="AY466" t="s">
        <v>135</v>
      </c>
      <c r="AZ466" t="s">
        <v>135</v>
      </c>
      <c r="BA466" t="s">
        <v>135</v>
      </c>
      <c r="BB466" t="s">
        <v>135</v>
      </c>
      <c r="BC466" t="s">
        <v>135</v>
      </c>
      <c r="BD466" t="s">
        <v>135</v>
      </c>
      <c r="BE466" t="s">
        <v>135</v>
      </c>
      <c r="BF466">
        <v>3.6755</v>
      </c>
      <c r="BG466">
        <v>18.562799999999999</v>
      </c>
      <c r="BH466">
        <v>35.4086</v>
      </c>
      <c r="BI466">
        <v>104.88030000000001</v>
      </c>
      <c r="BJ466">
        <v>142.3912</v>
      </c>
      <c r="BK466" t="s">
        <v>135</v>
      </c>
      <c r="BL466" t="s">
        <v>135</v>
      </c>
      <c r="BM466" t="s">
        <v>135</v>
      </c>
      <c r="BN466" t="s">
        <v>135</v>
      </c>
      <c r="BO466" t="s">
        <v>135</v>
      </c>
      <c r="BP466" t="s">
        <v>135</v>
      </c>
      <c r="BQ466" t="s">
        <v>135</v>
      </c>
      <c r="BR466" t="s">
        <v>135</v>
      </c>
      <c r="BS466" t="s">
        <v>135</v>
      </c>
      <c r="BT466" t="s">
        <v>135</v>
      </c>
      <c r="BU466" t="s">
        <v>135</v>
      </c>
      <c r="BV466" t="s">
        <v>135</v>
      </c>
      <c r="BW466" t="s">
        <v>135</v>
      </c>
      <c r="BX466" t="s">
        <v>135</v>
      </c>
      <c r="BY466" t="s">
        <v>135</v>
      </c>
      <c r="BZ466" t="s">
        <v>135</v>
      </c>
      <c r="CA466" t="s">
        <v>135</v>
      </c>
      <c r="CB466" t="s">
        <v>135</v>
      </c>
      <c r="CC466" t="s">
        <v>135</v>
      </c>
      <c r="CD466" t="s">
        <v>135</v>
      </c>
      <c r="CE466" t="s">
        <v>135</v>
      </c>
      <c r="CF466">
        <v>3.4392</v>
      </c>
      <c r="CG466" t="s">
        <v>135</v>
      </c>
      <c r="CH466" t="s">
        <v>135</v>
      </c>
      <c r="CI466" t="s">
        <v>135</v>
      </c>
      <c r="CJ466" t="s">
        <v>135</v>
      </c>
      <c r="CK466" t="s">
        <v>135</v>
      </c>
      <c r="CL466" t="s">
        <v>135</v>
      </c>
      <c r="CM466" t="s">
        <v>135</v>
      </c>
      <c r="CN466" t="s">
        <v>135</v>
      </c>
      <c r="CO466" t="s">
        <v>135</v>
      </c>
      <c r="CP466">
        <v>6246.6</v>
      </c>
      <c r="CQ466" t="s">
        <v>135</v>
      </c>
      <c r="CR466">
        <v>5015.3999999999996</v>
      </c>
      <c r="CS466" t="s">
        <v>135</v>
      </c>
      <c r="CT466" t="s">
        <v>135</v>
      </c>
      <c r="CU466" t="s">
        <v>135</v>
      </c>
      <c r="CV466" t="s">
        <v>135</v>
      </c>
      <c r="CW466" t="s">
        <v>135</v>
      </c>
      <c r="CX466" t="s">
        <v>135</v>
      </c>
      <c r="CY466" t="s">
        <v>135</v>
      </c>
      <c r="CZ466" t="s">
        <v>135</v>
      </c>
      <c r="DA466" t="s">
        <v>135</v>
      </c>
      <c r="DB466" t="s">
        <v>135</v>
      </c>
      <c r="DC466" t="s">
        <v>135</v>
      </c>
      <c r="DD466" t="s">
        <v>135</v>
      </c>
      <c r="DE466" t="s">
        <v>135</v>
      </c>
      <c r="DF466" t="s">
        <v>135</v>
      </c>
      <c r="DG466" t="s">
        <v>135</v>
      </c>
      <c r="DH466" t="s">
        <v>135</v>
      </c>
      <c r="DI466" t="s">
        <v>135</v>
      </c>
    </row>
    <row r="467" spans="1:113" x14ac:dyDescent="0.3">
      <c r="E467" t="s">
        <v>81</v>
      </c>
      <c r="F467">
        <v>20.521100000000001</v>
      </c>
      <c r="G467">
        <v>8.2591999999999999</v>
      </c>
      <c r="H467">
        <v>19.473099999999999</v>
      </c>
      <c r="I467">
        <v>17.453700000000001</v>
      </c>
      <c r="J467">
        <v>22.861499999999999</v>
      </c>
      <c r="K467">
        <v>19.157399999999999</v>
      </c>
      <c r="L467">
        <v>19.306699999999999</v>
      </c>
      <c r="M467">
        <v>14.5481</v>
      </c>
      <c r="N467">
        <v>13.051299999999999</v>
      </c>
      <c r="O467">
        <v>12.860900000000001</v>
      </c>
      <c r="P467">
        <v>12.860900000000001</v>
      </c>
      <c r="Q467">
        <v>10.289199999999999</v>
      </c>
      <c r="R467" t="s">
        <v>135</v>
      </c>
      <c r="S467" t="s">
        <v>135</v>
      </c>
      <c r="T467">
        <v>20.466699999999999</v>
      </c>
      <c r="U467">
        <v>25.0121</v>
      </c>
      <c r="V467">
        <v>20.659099999999999</v>
      </c>
      <c r="W467">
        <v>25.442</v>
      </c>
      <c r="X467">
        <v>25.413799999999998</v>
      </c>
      <c r="Y467" t="s">
        <v>135</v>
      </c>
      <c r="Z467">
        <v>26.8157</v>
      </c>
      <c r="AA467">
        <v>9.8260000000000005</v>
      </c>
      <c r="AB467">
        <v>19.7318</v>
      </c>
      <c r="AC467">
        <v>17.957999999999998</v>
      </c>
      <c r="AD467">
        <v>19.444600000000001</v>
      </c>
      <c r="AE467">
        <v>12.315899999999999</v>
      </c>
      <c r="AF467">
        <v>19.3523</v>
      </c>
      <c r="AG467">
        <v>53.941200000000002</v>
      </c>
      <c r="AH467">
        <v>38.785899999999998</v>
      </c>
      <c r="AI467">
        <v>15.722200000000001</v>
      </c>
      <c r="AJ467">
        <v>23.107600000000001</v>
      </c>
      <c r="AK467">
        <v>15.8764</v>
      </c>
      <c r="AL467" t="s">
        <v>135</v>
      </c>
      <c r="AM467">
        <v>18.909800000000001</v>
      </c>
      <c r="AN467">
        <v>21.715699999999998</v>
      </c>
      <c r="AO467">
        <v>22.2407</v>
      </c>
      <c r="AP467">
        <v>20.5611</v>
      </c>
      <c r="AQ467">
        <v>23.9069</v>
      </c>
      <c r="AR467" t="s">
        <v>135</v>
      </c>
      <c r="AS467" t="s">
        <v>135</v>
      </c>
      <c r="AT467" t="s">
        <v>135</v>
      </c>
      <c r="AU467" t="s">
        <v>135</v>
      </c>
      <c r="AV467" t="s">
        <v>135</v>
      </c>
      <c r="AW467" t="s">
        <v>135</v>
      </c>
      <c r="AX467" t="s">
        <v>135</v>
      </c>
      <c r="AY467" t="s">
        <v>135</v>
      </c>
      <c r="AZ467" t="s">
        <v>135</v>
      </c>
      <c r="BA467" t="s">
        <v>135</v>
      </c>
      <c r="BB467" t="s">
        <v>135</v>
      </c>
      <c r="BC467" t="s">
        <v>135</v>
      </c>
      <c r="BD467" t="s">
        <v>135</v>
      </c>
      <c r="BE467" t="s">
        <v>135</v>
      </c>
      <c r="BF467">
        <v>31.7209</v>
      </c>
      <c r="BG467">
        <v>75.007999999999996</v>
      </c>
      <c r="BH467">
        <v>108.0668</v>
      </c>
      <c r="BI467">
        <v>96.343599999999995</v>
      </c>
      <c r="BJ467">
        <v>135.03649999999999</v>
      </c>
      <c r="BK467" t="s">
        <v>135</v>
      </c>
      <c r="BL467" t="s">
        <v>135</v>
      </c>
      <c r="BM467" t="s">
        <v>135</v>
      </c>
      <c r="BN467" t="s">
        <v>135</v>
      </c>
      <c r="BO467" t="s">
        <v>135</v>
      </c>
      <c r="BP467" t="s">
        <v>135</v>
      </c>
      <c r="BQ467" t="s">
        <v>135</v>
      </c>
      <c r="BR467" t="s">
        <v>135</v>
      </c>
      <c r="BS467" t="s">
        <v>135</v>
      </c>
      <c r="BT467" t="s">
        <v>135</v>
      </c>
      <c r="BU467" t="s">
        <v>135</v>
      </c>
      <c r="BV467" t="s">
        <v>135</v>
      </c>
      <c r="BW467" t="s">
        <v>135</v>
      </c>
      <c r="BX467" t="s">
        <v>135</v>
      </c>
      <c r="BY467">
        <v>38602.6</v>
      </c>
      <c r="BZ467">
        <v>16739.099999999999</v>
      </c>
      <c r="CA467">
        <v>21863.5</v>
      </c>
      <c r="CB467">
        <v>1.4466999999999999</v>
      </c>
      <c r="CC467">
        <v>1.0504</v>
      </c>
      <c r="CD467">
        <v>1.8993</v>
      </c>
      <c r="CE467">
        <v>1.379</v>
      </c>
      <c r="CF467">
        <v>4.8234000000000004</v>
      </c>
      <c r="CG467">
        <v>39.918500000000002</v>
      </c>
      <c r="CH467">
        <v>31.996700000000001</v>
      </c>
      <c r="CI467">
        <v>20.446000000000002</v>
      </c>
      <c r="CJ467">
        <v>12.8522</v>
      </c>
      <c r="CK467">
        <v>56.494</v>
      </c>
      <c r="CL467">
        <v>36.099800000000002</v>
      </c>
      <c r="CM467">
        <v>22.692</v>
      </c>
      <c r="CN467">
        <v>41.017600000000002</v>
      </c>
      <c r="CO467">
        <v>29.0869</v>
      </c>
      <c r="CP467">
        <v>9812.7000000000007</v>
      </c>
      <c r="CQ467" t="s">
        <v>135</v>
      </c>
      <c r="CR467">
        <v>8222.7999999999993</v>
      </c>
      <c r="CS467">
        <v>0.14549999999999999</v>
      </c>
      <c r="CT467">
        <v>1.3855999999999999</v>
      </c>
      <c r="CU467">
        <v>0.8075</v>
      </c>
      <c r="CV467">
        <v>2.8855</v>
      </c>
      <c r="CW467">
        <v>3.1846000000000001</v>
      </c>
      <c r="CX467">
        <v>114.9299</v>
      </c>
      <c r="CY467">
        <v>2.1617000000000002</v>
      </c>
      <c r="CZ467">
        <v>169.31319999999999</v>
      </c>
      <c r="DA467">
        <v>1.9731999999999998</v>
      </c>
      <c r="DB467">
        <v>185.48910000000001</v>
      </c>
      <c r="DC467">
        <v>98.754000000000005</v>
      </c>
      <c r="DD467">
        <v>284.24299999999999</v>
      </c>
      <c r="DE467">
        <v>32262.5</v>
      </c>
      <c r="DF467">
        <v>7313.5</v>
      </c>
      <c r="DG467">
        <v>1854.2</v>
      </c>
      <c r="DH467">
        <v>18548.400000000001</v>
      </c>
      <c r="DI467">
        <v>4546.3999999999996</v>
      </c>
    </row>
    <row r="468" spans="1:113" x14ac:dyDescent="0.3">
      <c r="D468" t="s">
        <v>84</v>
      </c>
      <c r="E468" t="s">
        <v>77</v>
      </c>
      <c r="F468">
        <v>26.1587</v>
      </c>
      <c r="G468">
        <v>9.2430000000000003</v>
      </c>
      <c r="H468">
        <v>18.076499999999999</v>
      </c>
      <c r="I468">
        <v>17.1844</v>
      </c>
      <c r="J468">
        <v>18.569199999999999</v>
      </c>
      <c r="K468">
        <v>14.3888</v>
      </c>
      <c r="L468">
        <v>26.506</v>
      </c>
      <c r="M468">
        <v>11.9565</v>
      </c>
      <c r="N468">
        <v>10.7807</v>
      </c>
      <c r="O468">
        <v>10.743399999999999</v>
      </c>
      <c r="P468">
        <v>10.743399999999999</v>
      </c>
      <c r="Q468">
        <v>9.8335000000000008</v>
      </c>
      <c r="R468">
        <v>20.550799999999999</v>
      </c>
      <c r="S468">
        <v>20.782900000000001</v>
      </c>
      <c r="T468">
        <v>16.199200000000001</v>
      </c>
      <c r="U468">
        <v>24.634699999999999</v>
      </c>
      <c r="V468">
        <v>34.555</v>
      </c>
      <c r="W468">
        <v>83.723399999999998</v>
      </c>
      <c r="X468">
        <v>83.893699999999995</v>
      </c>
      <c r="Y468">
        <v>40</v>
      </c>
      <c r="Z468">
        <v>10.901999999999999</v>
      </c>
      <c r="AA468">
        <v>9.7439</v>
      </c>
      <c r="AB468">
        <v>19.8462</v>
      </c>
      <c r="AC468">
        <v>19.972899999999999</v>
      </c>
      <c r="AD468">
        <v>8.1100000000000005E-2</v>
      </c>
      <c r="AE468">
        <v>119.48009999999999</v>
      </c>
      <c r="AF468">
        <v>23.292899999999999</v>
      </c>
      <c r="AG468">
        <v>-71.736500000000007</v>
      </c>
      <c r="AH468">
        <v>26.9755</v>
      </c>
      <c r="AI468">
        <v>25.2318</v>
      </c>
      <c r="AJ468">
        <v>26.009</v>
      </c>
      <c r="AK468">
        <v>5.0042</v>
      </c>
      <c r="AL468">
        <v>130.86709999999999</v>
      </c>
      <c r="AM468">
        <v>15.946099999999999</v>
      </c>
      <c r="AN468">
        <v>16.233799999999999</v>
      </c>
      <c r="AO468">
        <v>15.7212</v>
      </c>
      <c r="AP468">
        <v>24.645399999999999</v>
      </c>
      <c r="AQ468">
        <v>22.229099999999999</v>
      </c>
      <c r="AR468">
        <v>22.866</v>
      </c>
      <c r="AS468">
        <v>18.259</v>
      </c>
      <c r="AT468">
        <v>17.220199999999998</v>
      </c>
      <c r="AU468">
        <v>17.4346</v>
      </c>
      <c r="AV468">
        <v>14.4718</v>
      </c>
      <c r="AW468">
        <v>11.854100000000001</v>
      </c>
      <c r="AX468">
        <v>20.484999999999999</v>
      </c>
      <c r="AY468">
        <v>26.5244</v>
      </c>
      <c r="AZ468">
        <v>-1.6722999999999999</v>
      </c>
      <c r="BA468">
        <v>13.9916</v>
      </c>
      <c r="BB468">
        <v>10.9313</v>
      </c>
      <c r="BC468">
        <v>12.244300000000001</v>
      </c>
      <c r="BD468">
        <v>9.8089999999999993</v>
      </c>
      <c r="BE468" t="s">
        <v>135</v>
      </c>
      <c r="BF468">
        <v>16.199200000000001</v>
      </c>
      <c r="BG468">
        <v>24.634699999999999</v>
      </c>
      <c r="BH468">
        <v>34.555</v>
      </c>
      <c r="BI468">
        <v>83.723399999999998</v>
      </c>
      <c r="BJ468">
        <v>83.893699999999995</v>
      </c>
      <c r="BK468">
        <v>40</v>
      </c>
      <c r="BL468">
        <v>10.901999999999999</v>
      </c>
      <c r="BM468">
        <v>9.7439</v>
      </c>
      <c r="BN468">
        <v>19.8462</v>
      </c>
      <c r="BO468">
        <v>19.972899999999999</v>
      </c>
      <c r="BP468">
        <v>8.1100000000000005E-2</v>
      </c>
      <c r="BQ468">
        <v>119.48009999999999</v>
      </c>
      <c r="BR468">
        <v>23.292899999999999</v>
      </c>
      <c r="BS468">
        <v>-71.736500000000007</v>
      </c>
      <c r="BT468">
        <v>26.9755</v>
      </c>
      <c r="BU468">
        <v>25.2318</v>
      </c>
      <c r="BV468">
        <v>26.009</v>
      </c>
      <c r="BW468">
        <v>5.0042</v>
      </c>
      <c r="BX468">
        <v>130.86709999999999</v>
      </c>
      <c r="BY468">
        <v>60580</v>
      </c>
      <c r="BZ468">
        <v>7080</v>
      </c>
      <c r="CA468">
        <v>53500</v>
      </c>
      <c r="CB468">
        <v>2.0295000000000001</v>
      </c>
      <c r="CC468">
        <v>1.0647</v>
      </c>
      <c r="CD468">
        <v>2.6191</v>
      </c>
      <c r="CE468">
        <v>1.3740000000000001</v>
      </c>
      <c r="CF468">
        <v>5.9344000000000001</v>
      </c>
      <c r="CG468">
        <v>35.891300000000001</v>
      </c>
      <c r="CH468">
        <v>72.005399999999995</v>
      </c>
      <c r="CI468">
        <v>39.664900000000003</v>
      </c>
      <c r="CJ468">
        <v>26.2499</v>
      </c>
      <c r="CK468">
        <v>81.534300000000002</v>
      </c>
      <c r="CL468">
        <v>44.914000000000001</v>
      </c>
      <c r="CM468">
        <v>29.723800000000001</v>
      </c>
      <c r="CN468">
        <v>42.772500000000001</v>
      </c>
      <c r="CO468">
        <v>29.958500000000001</v>
      </c>
      <c r="CP468">
        <v>29850</v>
      </c>
      <c r="CQ468">
        <v>21020</v>
      </c>
      <c r="CR468">
        <v>23130</v>
      </c>
      <c r="CS468">
        <v>0.4098</v>
      </c>
      <c r="CT468">
        <v>1.9491000000000001</v>
      </c>
      <c r="CU468">
        <v>1.2145999999999999</v>
      </c>
      <c r="CV468">
        <v>3.7326000000000001</v>
      </c>
      <c r="CW468">
        <v>2.9889999999999999</v>
      </c>
      <c r="CX468">
        <v>122.11320000000001</v>
      </c>
      <c r="CY468">
        <v>1.968</v>
      </c>
      <c r="CZ468">
        <v>185.46539999999999</v>
      </c>
      <c r="DA468">
        <v>1.8540999999999999</v>
      </c>
      <c r="DB468">
        <v>196.85919999999999</v>
      </c>
      <c r="DC468">
        <v>110.71939999999999</v>
      </c>
      <c r="DD468">
        <v>307.57859999999999</v>
      </c>
      <c r="DE468">
        <v>41560</v>
      </c>
      <c r="DF468">
        <v>8560</v>
      </c>
      <c r="DG468">
        <v>3550</v>
      </c>
      <c r="DH468">
        <v>23300</v>
      </c>
      <c r="DI468">
        <v>6150</v>
      </c>
    </row>
    <row r="469" spans="1:113" x14ac:dyDescent="0.3">
      <c r="E469" t="s">
        <v>78</v>
      </c>
      <c r="F469" t="s">
        <v>135</v>
      </c>
      <c r="G469" t="s">
        <v>135</v>
      </c>
      <c r="H469" t="s">
        <v>135</v>
      </c>
      <c r="I469" t="s">
        <v>135</v>
      </c>
      <c r="J469">
        <v>20.2393</v>
      </c>
      <c r="K469">
        <v>15.341699999999999</v>
      </c>
      <c r="L469">
        <v>34.508000000000003</v>
      </c>
      <c r="M469">
        <v>11.697699999999999</v>
      </c>
      <c r="N469">
        <v>11.689</v>
      </c>
      <c r="O469">
        <v>11.643800000000001</v>
      </c>
      <c r="P469">
        <v>11.643800000000001</v>
      </c>
      <c r="Q469">
        <v>0.64629999999999999</v>
      </c>
      <c r="R469" t="s">
        <v>135</v>
      </c>
      <c r="S469" t="s">
        <v>135</v>
      </c>
      <c r="T469">
        <v>7.6837999999999997</v>
      </c>
      <c r="U469">
        <v>16.553799999999999</v>
      </c>
      <c r="V469">
        <v>19.118300000000001</v>
      </c>
      <c r="W469">
        <v>23.696000000000002</v>
      </c>
      <c r="X469">
        <v>23.6677</v>
      </c>
      <c r="Y469" t="s">
        <v>135</v>
      </c>
      <c r="Z469" t="s">
        <v>135</v>
      </c>
      <c r="AA469" t="s">
        <v>135</v>
      </c>
      <c r="AB469" t="s">
        <v>135</v>
      </c>
      <c r="AC469" t="s">
        <v>135</v>
      </c>
      <c r="AD469" t="s">
        <v>135</v>
      </c>
      <c r="AE469" t="s">
        <v>135</v>
      </c>
      <c r="AF469" t="s">
        <v>135</v>
      </c>
      <c r="AG469" t="s">
        <v>135</v>
      </c>
      <c r="AH469" t="s">
        <v>135</v>
      </c>
      <c r="AI469" t="s">
        <v>135</v>
      </c>
      <c r="AJ469" t="s">
        <v>135</v>
      </c>
      <c r="AK469" t="s">
        <v>135</v>
      </c>
      <c r="AL469" t="s">
        <v>135</v>
      </c>
      <c r="AM469">
        <v>13.6333</v>
      </c>
      <c r="AN469">
        <v>13.7148</v>
      </c>
      <c r="AO469">
        <v>11.6975</v>
      </c>
      <c r="AP469">
        <v>16.875800000000002</v>
      </c>
      <c r="AQ469">
        <v>14.6096</v>
      </c>
      <c r="AR469" t="s">
        <v>135</v>
      </c>
      <c r="AS469" t="s">
        <v>135</v>
      </c>
      <c r="AT469" t="s">
        <v>135</v>
      </c>
      <c r="AU469" t="s">
        <v>135</v>
      </c>
      <c r="AV469" t="s">
        <v>135</v>
      </c>
      <c r="AW469" t="s">
        <v>135</v>
      </c>
      <c r="AX469" t="s">
        <v>135</v>
      </c>
      <c r="AY469" t="s">
        <v>135</v>
      </c>
      <c r="AZ469" t="s">
        <v>135</v>
      </c>
      <c r="BA469" t="s">
        <v>135</v>
      </c>
      <c r="BB469" t="s">
        <v>135</v>
      </c>
      <c r="BC469" t="s">
        <v>135</v>
      </c>
      <c r="BD469" t="s">
        <v>135</v>
      </c>
      <c r="BE469" t="s">
        <v>135</v>
      </c>
      <c r="BF469">
        <v>-22.1523</v>
      </c>
      <c r="BG469">
        <v>-20.686800000000002</v>
      </c>
      <c r="BH469">
        <v>-22.3551</v>
      </c>
      <c r="BI469">
        <v>118.36799999999999</v>
      </c>
      <c r="BJ469">
        <v>118.5596</v>
      </c>
      <c r="BK469" t="s">
        <v>135</v>
      </c>
      <c r="BL469" t="s">
        <v>135</v>
      </c>
      <c r="BM469" t="s">
        <v>135</v>
      </c>
      <c r="BN469" t="s">
        <v>135</v>
      </c>
      <c r="BO469" t="s">
        <v>135</v>
      </c>
      <c r="BP469" t="s">
        <v>135</v>
      </c>
      <c r="BQ469" t="s">
        <v>135</v>
      </c>
      <c r="BR469" t="s">
        <v>135</v>
      </c>
      <c r="BS469" t="s">
        <v>135</v>
      </c>
      <c r="BT469" t="s">
        <v>135</v>
      </c>
      <c r="BU469" t="s">
        <v>135</v>
      </c>
      <c r="BV469" t="s">
        <v>135</v>
      </c>
      <c r="BW469" t="s">
        <v>135</v>
      </c>
      <c r="BX469" t="s">
        <v>135</v>
      </c>
      <c r="BY469" t="s">
        <v>135</v>
      </c>
      <c r="BZ469" t="s">
        <v>135</v>
      </c>
      <c r="CA469" t="s">
        <v>135</v>
      </c>
      <c r="CB469" t="s">
        <v>135</v>
      </c>
      <c r="CC469" t="s">
        <v>135</v>
      </c>
      <c r="CD469" t="s">
        <v>135</v>
      </c>
      <c r="CE469" t="s">
        <v>135</v>
      </c>
      <c r="CF469">
        <v>6.5930999999999997</v>
      </c>
      <c r="CG469" t="s">
        <v>135</v>
      </c>
      <c r="CH469" t="s">
        <v>135</v>
      </c>
      <c r="CI469" t="s">
        <v>135</v>
      </c>
      <c r="CJ469" t="s">
        <v>135</v>
      </c>
      <c r="CK469" t="s">
        <v>135</v>
      </c>
      <c r="CL469" t="s">
        <v>135</v>
      </c>
      <c r="CM469" t="s">
        <v>135</v>
      </c>
      <c r="CN469" t="s">
        <v>135</v>
      </c>
      <c r="CO469" t="s">
        <v>135</v>
      </c>
      <c r="CP469">
        <v>6986.7</v>
      </c>
      <c r="CQ469" t="s">
        <v>135</v>
      </c>
      <c r="CR469">
        <v>5296</v>
      </c>
      <c r="CS469" t="s">
        <v>135</v>
      </c>
      <c r="CT469" t="s">
        <v>135</v>
      </c>
      <c r="CU469" t="s">
        <v>135</v>
      </c>
      <c r="CV469" t="s">
        <v>135</v>
      </c>
      <c r="CW469" t="s">
        <v>135</v>
      </c>
      <c r="CX469" t="s">
        <v>135</v>
      </c>
      <c r="CY469" t="s">
        <v>135</v>
      </c>
      <c r="CZ469" t="s">
        <v>135</v>
      </c>
      <c r="DA469" t="s">
        <v>135</v>
      </c>
      <c r="DB469" t="s">
        <v>135</v>
      </c>
      <c r="DC469" t="s">
        <v>135</v>
      </c>
      <c r="DD469" t="s">
        <v>135</v>
      </c>
      <c r="DE469" t="s">
        <v>135</v>
      </c>
      <c r="DF469" t="s">
        <v>135</v>
      </c>
      <c r="DG469" t="s">
        <v>135</v>
      </c>
      <c r="DH469" t="s">
        <v>135</v>
      </c>
      <c r="DI469" t="s">
        <v>135</v>
      </c>
    </row>
    <row r="470" spans="1:113" x14ac:dyDescent="0.3">
      <c r="E470" t="s">
        <v>79</v>
      </c>
      <c r="F470" t="s">
        <v>135</v>
      </c>
      <c r="G470" t="s">
        <v>135</v>
      </c>
      <c r="H470" t="s">
        <v>135</v>
      </c>
      <c r="I470" t="s">
        <v>135</v>
      </c>
      <c r="J470">
        <v>17.9633</v>
      </c>
      <c r="K470">
        <v>13.534800000000001</v>
      </c>
      <c r="L470">
        <v>18.729900000000001</v>
      </c>
      <c r="M470">
        <v>6.9442000000000004</v>
      </c>
      <c r="N470">
        <v>4.8155000000000001</v>
      </c>
      <c r="O470">
        <v>4.7778999999999998</v>
      </c>
      <c r="P470">
        <v>4.7778999999999998</v>
      </c>
      <c r="Q470">
        <v>17.6646</v>
      </c>
      <c r="R470" t="s">
        <v>135</v>
      </c>
      <c r="S470" t="s">
        <v>135</v>
      </c>
      <c r="T470">
        <v>18.202999999999999</v>
      </c>
      <c r="U470">
        <v>18.572299999999998</v>
      </c>
      <c r="V470">
        <v>27.0823</v>
      </c>
      <c r="W470">
        <v>18.728100000000001</v>
      </c>
      <c r="X470">
        <v>18.478200000000001</v>
      </c>
      <c r="Y470" t="s">
        <v>135</v>
      </c>
      <c r="Z470" t="s">
        <v>135</v>
      </c>
      <c r="AA470" t="s">
        <v>135</v>
      </c>
      <c r="AB470" t="s">
        <v>135</v>
      </c>
      <c r="AC470" t="s">
        <v>135</v>
      </c>
      <c r="AD470" t="s">
        <v>135</v>
      </c>
      <c r="AE470" t="s">
        <v>135</v>
      </c>
      <c r="AF470" t="s">
        <v>135</v>
      </c>
      <c r="AG470" t="s">
        <v>135</v>
      </c>
      <c r="AH470" t="s">
        <v>135</v>
      </c>
      <c r="AI470" t="s">
        <v>135</v>
      </c>
      <c r="AJ470" t="s">
        <v>135</v>
      </c>
      <c r="AK470" t="s">
        <v>135</v>
      </c>
      <c r="AL470" t="s">
        <v>135</v>
      </c>
      <c r="AM470">
        <v>15.1065</v>
      </c>
      <c r="AN470">
        <v>13.9274</v>
      </c>
      <c r="AO470">
        <v>13.1686</v>
      </c>
      <c r="AP470">
        <v>23.881499999999999</v>
      </c>
      <c r="AQ470">
        <v>21.598600000000001</v>
      </c>
      <c r="AR470" t="s">
        <v>135</v>
      </c>
      <c r="AS470" t="s">
        <v>135</v>
      </c>
      <c r="AT470" t="s">
        <v>135</v>
      </c>
      <c r="AU470" t="s">
        <v>135</v>
      </c>
      <c r="AV470" t="s">
        <v>135</v>
      </c>
      <c r="AW470" t="s">
        <v>135</v>
      </c>
      <c r="AX470" t="s">
        <v>135</v>
      </c>
      <c r="AY470" t="s">
        <v>135</v>
      </c>
      <c r="AZ470" t="s">
        <v>135</v>
      </c>
      <c r="BA470" t="s">
        <v>135</v>
      </c>
      <c r="BB470" t="s">
        <v>135</v>
      </c>
      <c r="BC470" t="s">
        <v>135</v>
      </c>
      <c r="BD470" t="s">
        <v>135</v>
      </c>
      <c r="BE470" t="s">
        <v>135</v>
      </c>
      <c r="BF470">
        <v>-0.91990000000000005</v>
      </c>
      <c r="BG470">
        <v>-10.628</v>
      </c>
      <c r="BH470">
        <v>-11.188700000000001</v>
      </c>
      <c r="BI470">
        <v>-53.8444</v>
      </c>
      <c r="BJ470">
        <v>-61.068800000000003</v>
      </c>
      <c r="BK470" t="s">
        <v>135</v>
      </c>
      <c r="BL470" t="s">
        <v>135</v>
      </c>
      <c r="BM470" t="s">
        <v>135</v>
      </c>
      <c r="BN470" t="s">
        <v>135</v>
      </c>
      <c r="BO470" t="s">
        <v>135</v>
      </c>
      <c r="BP470" t="s">
        <v>135</v>
      </c>
      <c r="BQ470" t="s">
        <v>135</v>
      </c>
      <c r="BR470" t="s">
        <v>135</v>
      </c>
      <c r="BS470" t="s">
        <v>135</v>
      </c>
      <c r="BT470" t="s">
        <v>135</v>
      </c>
      <c r="BU470" t="s">
        <v>135</v>
      </c>
      <c r="BV470" t="s">
        <v>135</v>
      </c>
      <c r="BW470" t="s">
        <v>135</v>
      </c>
      <c r="BX470" t="s">
        <v>135</v>
      </c>
      <c r="BY470">
        <v>58234.8</v>
      </c>
      <c r="BZ470">
        <v>31120</v>
      </c>
      <c r="CA470">
        <v>27114.799999999999</v>
      </c>
      <c r="CB470">
        <v>2.1059000000000001</v>
      </c>
      <c r="CC470">
        <v>1.6512</v>
      </c>
      <c r="CD470">
        <v>2.8025000000000002</v>
      </c>
      <c r="CE470">
        <v>2.1972999999999998</v>
      </c>
      <c r="CF470">
        <v>4.9356999999999998</v>
      </c>
      <c r="CG470">
        <v>38.360900000000001</v>
      </c>
      <c r="CH470">
        <v>36.6828</v>
      </c>
      <c r="CI470">
        <v>20.517900000000001</v>
      </c>
      <c r="CJ470">
        <v>14.071899999999999</v>
      </c>
      <c r="CK470">
        <v>78.784099999999995</v>
      </c>
      <c r="CL470">
        <v>44.066600000000001</v>
      </c>
      <c r="CM470">
        <v>30.222300000000001</v>
      </c>
      <c r="CN470">
        <v>61.772199999999998</v>
      </c>
      <c r="CO470">
        <v>38.184699999999999</v>
      </c>
      <c r="CP470">
        <v>6247.1</v>
      </c>
      <c r="CQ470" t="s">
        <v>135</v>
      </c>
      <c r="CR470">
        <v>4707</v>
      </c>
      <c r="CS470">
        <v>0.14599999999999999</v>
      </c>
      <c r="CT470">
        <v>1.3853</v>
      </c>
      <c r="CU470">
        <v>0.68200000000000005</v>
      </c>
      <c r="CV470">
        <v>3.7542999999999997</v>
      </c>
      <c r="CW470" t="s">
        <v>135</v>
      </c>
      <c r="CX470" t="s">
        <v>135</v>
      </c>
      <c r="CY470" t="s">
        <v>135</v>
      </c>
      <c r="CZ470" t="s">
        <v>135</v>
      </c>
      <c r="DA470" t="s">
        <v>135</v>
      </c>
      <c r="DB470" t="s">
        <v>135</v>
      </c>
      <c r="DC470" t="s">
        <v>135</v>
      </c>
      <c r="DD470" t="s">
        <v>135</v>
      </c>
      <c r="DE470">
        <v>47753.8</v>
      </c>
      <c r="DF470" t="s">
        <v>135</v>
      </c>
      <c r="DG470" t="s">
        <v>135</v>
      </c>
      <c r="DH470" t="s">
        <v>135</v>
      </c>
      <c r="DI470" t="s">
        <v>135</v>
      </c>
    </row>
    <row r="471" spans="1:113" x14ac:dyDescent="0.3">
      <c r="E471" t="s">
        <v>80</v>
      </c>
      <c r="F471" t="s">
        <v>135</v>
      </c>
      <c r="G471" t="s">
        <v>135</v>
      </c>
      <c r="H471" t="s">
        <v>135</v>
      </c>
      <c r="I471" t="s">
        <v>135</v>
      </c>
      <c r="J471">
        <v>19.465800000000002</v>
      </c>
      <c r="K471">
        <v>15.2661</v>
      </c>
      <c r="L471">
        <v>32.422899999999998</v>
      </c>
      <c r="M471">
        <v>13.2537</v>
      </c>
      <c r="N471">
        <v>11.984400000000001</v>
      </c>
      <c r="O471">
        <v>11.9125</v>
      </c>
      <c r="P471">
        <v>11.9125</v>
      </c>
      <c r="Q471">
        <v>9.0843000000000007</v>
      </c>
      <c r="R471" t="s">
        <v>135</v>
      </c>
      <c r="S471" t="s">
        <v>135</v>
      </c>
      <c r="T471">
        <v>18.2911</v>
      </c>
      <c r="U471">
        <v>33.8202</v>
      </c>
      <c r="V471">
        <v>48.899299999999997</v>
      </c>
      <c r="W471">
        <v>63.322099999999999</v>
      </c>
      <c r="X471">
        <v>63.868600000000001</v>
      </c>
      <c r="Y471" t="s">
        <v>135</v>
      </c>
      <c r="Z471" t="s">
        <v>135</v>
      </c>
      <c r="AA471" t="s">
        <v>135</v>
      </c>
      <c r="AB471" t="s">
        <v>135</v>
      </c>
      <c r="AC471" t="s">
        <v>135</v>
      </c>
      <c r="AD471" t="s">
        <v>135</v>
      </c>
      <c r="AE471" t="s">
        <v>135</v>
      </c>
      <c r="AF471" t="s">
        <v>135</v>
      </c>
      <c r="AG471" t="s">
        <v>135</v>
      </c>
      <c r="AH471" t="s">
        <v>135</v>
      </c>
      <c r="AI471" t="s">
        <v>135</v>
      </c>
      <c r="AJ471" t="s">
        <v>135</v>
      </c>
      <c r="AK471" t="s">
        <v>135</v>
      </c>
      <c r="AL471" t="s">
        <v>135</v>
      </c>
      <c r="AM471">
        <v>15.544</v>
      </c>
      <c r="AN471">
        <v>15.883599999999999</v>
      </c>
      <c r="AO471">
        <v>15.967600000000001</v>
      </c>
      <c r="AP471">
        <v>32.503700000000002</v>
      </c>
      <c r="AQ471">
        <v>29.770900000000001</v>
      </c>
      <c r="AR471" t="s">
        <v>135</v>
      </c>
      <c r="AS471" t="s">
        <v>135</v>
      </c>
      <c r="AT471" t="s">
        <v>135</v>
      </c>
      <c r="AU471" t="s">
        <v>135</v>
      </c>
      <c r="AV471" t="s">
        <v>135</v>
      </c>
      <c r="AW471" t="s">
        <v>135</v>
      </c>
      <c r="AX471" t="s">
        <v>135</v>
      </c>
      <c r="AY471" t="s">
        <v>135</v>
      </c>
      <c r="AZ471" t="s">
        <v>135</v>
      </c>
      <c r="BA471" t="s">
        <v>135</v>
      </c>
      <c r="BB471" t="s">
        <v>135</v>
      </c>
      <c r="BC471" t="s">
        <v>135</v>
      </c>
      <c r="BD471" t="s">
        <v>135</v>
      </c>
      <c r="BE471" t="s">
        <v>135</v>
      </c>
      <c r="BF471">
        <v>8.8565000000000005</v>
      </c>
      <c r="BG471">
        <v>17.239100000000001</v>
      </c>
      <c r="BH471">
        <v>21.080200000000001</v>
      </c>
      <c r="BI471">
        <v>178.29089999999999</v>
      </c>
      <c r="BJ471">
        <v>174.61770000000001</v>
      </c>
      <c r="BK471" t="s">
        <v>135</v>
      </c>
      <c r="BL471" t="s">
        <v>135</v>
      </c>
      <c r="BM471" t="s">
        <v>135</v>
      </c>
      <c r="BN471" t="s">
        <v>135</v>
      </c>
      <c r="BO471" t="s">
        <v>135</v>
      </c>
      <c r="BP471" t="s">
        <v>135</v>
      </c>
      <c r="BQ471" t="s">
        <v>135</v>
      </c>
      <c r="BR471" t="s">
        <v>135</v>
      </c>
      <c r="BS471" t="s">
        <v>135</v>
      </c>
      <c r="BT471" t="s">
        <v>135</v>
      </c>
      <c r="BU471" t="s">
        <v>135</v>
      </c>
      <c r="BV471" t="s">
        <v>135</v>
      </c>
      <c r="BW471" t="s">
        <v>135</v>
      </c>
      <c r="BX471" t="s">
        <v>135</v>
      </c>
      <c r="BY471" t="s">
        <v>135</v>
      </c>
      <c r="BZ471" t="s">
        <v>135</v>
      </c>
      <c r="CA471" t="s">
        <v>135</v>
      </c>
      <c r="CB471" t="s">
        <v>135</v>
      </c>
      <c r="CC471" t="s">
        <v>135</v>
      </c>
      <c r="CD471" t="s">
        <v>135</v>
      </c>
      <c r="CE471" t="s">
        <v>135</v>
      </c>
      <c r="CF471">
        <v>4.2572000000000001</v>
      </c>
      <c r="CG471" t="s">
        <v>135</v>
      </c>
      <c r="CH471" t="s">
        <v>135</v>
      </c>
      <c r="CI471" t="s">
        <v>135</v>
      </c>
      <c r="CJ471" t="s">
        <v>135</v>
      </c>
      <c r="CK471" t="s">
        <v>135</v>
      </c>
      <c r="CL471" t="s">
        <v>135</v>
      </c>
      <c r="CM471" t="s">
        <v>135</v>
      </c>
      <c r="CN471" t="s">
        <v>135</v>
      </c>
      <c r="CO471" t="s">
        <v>135</v>
      </c>
      <c r="CP471">
        <v>7503.3</v>
      </c>
      <c r="CQ471" t="s">
        <v>135</v>
      </c>
      <c r="CR471">
        <v>5884.5</v>
      </c>
      <c r="CS471" t="s">
        <v>135</v>
      </c>
      <c r="CT471" t="s">
        <v>135</v>
      </c>
      <c r="CU471" t="s">
        <v>135</v>
      </c>
      <c r="CV471" t="s">
        <v>135</v>
      </c>
      <c r="CW471" t="s">
        <v>135</v>
      </c>
      <c r="CX471" t="s">
        <v>135</v>
      </c>
      <c r="CY471" t="s">
        <v>135</v>
      </c>
      <c r="CZ471" t="s">
        <v>135</v>
      </c>
      <c r="DA471" t="s">
        <v>135</v>
      </c>
      <c r="DB471" t="s">
        <v>135</v>
      </c>
      <c r="DC471" t="s">
        <v>135</v>
      </c>
      <c r="DD471" t="s">
        <v>135</v>
      </c>
      <c r="DE471" t="s">
        <v>135</v>
      </c>
      <c r="DF471" t="s">
        <v>135</v>
      </c>
      <c r="DG471" t="s">
        <v>135</v>
      </c>
      <c r="DH471" t="s">
        <v>135</v>
      </c>
      <c r="DI471" t="s">
        <v>135</v>
      </c>
    </row>
    <row r="472" spans="1:113" x14ac:dyDescent="0.3">
      <c r="E472" t="s">
        <v>81</v>
      </c>
      <c r="F472">
        <v>26.128599999999999</v>
      </c>
      <c r="G472">
        <v>9.2323000000000004</v>
      </c>
      <c r="H472">
        <v>19.805099999999999</v>
      </c>
      <c r="I472">
        <v>18.6067</v>
      </c>
      <c r="J472">
        <v>21.0823</v>
      </c>
      <c r="K472">
        <v>17.5886</v>
      </c>
      <c r="L472">
        <v>28.3779</v>
      </c>
      <c r="M472">
        <v>14.9353</v>
      </c>
      <c r="N472">
        <v>13.883900000000001</v>
      </c>
      <c r="O472">
        <v>13.873100000000001</v>
      </c>
      <c r="P472">
        <v>13.873100000000001</v>
      </c>
      <c r="Q472">
        <v>7.0397999999999996</v>
      </c>
      <c r="R472" t="s">
        <v>135</v>
      </c>
      <c r="S472" t="s">
        <v>135</v>
      </c>
      <c r="T472">
        <v>20.4542</v>
      </c>
      <c r="U472">
        <v>27.832899999999999</v>
      </c>
      <c r="V472">
        <v>37.735999999999997</v>
      </c>
      <c r="W472">
        <v>302.56970000000001</v>
      </c>
      <c r="X472">
        <v>303.0471</v>
      </c>
      <c r="Y472" t="s">
        <v>135</v>
      </c>
      <c r="Z472">
        <v>10.901999999999999</v>
      </c>
      <c r="AA472">
        <v>9.7439</v>
      </c>
      <c r="AB472">
        <v>19.8462</v>
      </c>
      <c r="AC472">
        <v>19.972899999999999</v>
      </c>
      <c r="AD472">
        <v>8.1100000000000005E-2</v>
      </c>
      <c r="AE472">
        <v>119.48009999999999</v>
      </c>
      <c r="AF472">
        <v>23.292899999999999</v>
      </c>
      <c r="AG472">
        <v>-71.736500000000007</v>
      </c>
      <c r="AH472">
        <v>26.9755</v>
      </c>
      <c r="AI472">
        <v>25.2318</v>
      </c>
      <c r="AJ472">
        <v>26.009</v>
      </c>
      <c r="AK472">
        <v>5.0042</v>
      </c>
      <c r="AL472" t="s">
        <v>135</v>
      </c>
      <c r="AM472">
        <v>20.306000000000001</v>
      </c>
      <c r="AN472">
        <v>23.8325</v>
      </c>
      <c r="AO472">
        <v>25.022400000000001</v>
      </c>
      <c r="AP472">
        <v>29.703099999999999</v>
      </c>
      <c r="AQ472">
        <v>27.1968</v>
      </c>
      <c r="AR472" t="s">
        <v>135</v>
      </c>
      <c r="AS472">
        <v>18.259</v>
      </c>
      <c r="AT472">
        <v>17.220199999999998</v>
      </c>
      <c r="AU472">
        <v>17.4346</v>
      </c>
      <c r="AV472">
        <v>14.4718</v>
      </c>
      <c r="AW472">
        <v>11.854100000000001</v>
      </c>
      <c r="AX472">
        <v>20.484999999999999</v>
      </c>
      <c r="AY472">
        <v>26.5244</v>
      </c>
      <c r="AZ472">
        <v>-1.6722999999999999</v>
      </c>
      <c r="BA472">
        <v>13.9916</v>
      </c>
      <c r="BB472">
        <v>10.9313</v>
      </c>
      <c r="BC472">
        <v>12.244300000000001</v>
      </c>
      <c r="BD472">
        <v>9.8089999999999993</v>
      </c>
      <c r="BE472" t="s">
        <v>135</v>
      </c>
      <c r="BF472">
        <v>36.293999999999997</v>
      </c>
      <c r="BG472">
        <v>48.559399999999997</v>
      </c>
      <c r="BH472">
        <v>57.629199999999997</v>
      </c>
      <c r="BI472">
        <v>61.440100000000001</v>
      </c>
      <c r="BJ472">
        <v>62.026699999999998</v>
      </c>
      <c r="BK472" t="s">
        <v>135</v>
      </c>
      <c r="BL472" t="s">
        <v>135</v>
      </c>
      <c r="BM472" t="s">
        <v>135</v>
      </c>
      <c r="BN472" t="s">
        <v>135</v>
      </c>
      <c r="BO472" t="s">
        <v>135</v>
      </c>
      <c r="BP472" t="s">
        <v>135</v>
      </c>
      <c r="BQ472" t="s">
        <v>135</v>
      </c>
      <c r="BR472" t="s">
        <v>135</v>
      </c>
      <c r="BS472" t="s">
        <v>135</v>
      </c>
      <c r="BT472" t="s">
        <v>135</v>
      </c>
      <c r="BU472" t="s">
        <v>135</v>
      </c>
      <c r="BV472" t="s">
        <v>135</v>
      </c>
      <c r="BW472" t="s">
        <v>135</v>
      </c>
      <c r="BX472" t="s">
        <v>135</v>
      </c>
      <c r="BY472">
        <v>60580</v>
      </c>
      <c r="BZ472">
        <v>7080</v>
      </c>
      <c r="CA472">
        <v>53500</v>
      </c>
      <c r="CB472">
        <v>1.8795999999999999</v>
      </c>
      <c r="CC472">
        <v>0.98599999999999999</v>
      </c>
      <c r="CD472">
        <v>2.3742999999999999</v>
      </c>
      <c r="CE472">
        <v>1.2456</v>
      </c>
      <c r="CF472">
        <v>5.2957000000000001</v>
      </c>
      <c r="CG472">
        <v>35.891300000000001</v>
      </c>
      <c r="CH472">
        <v>72.005399999999995</v>
      </c>
      <c r="CI472">
        <v>39.664900000000003</v>
      </c>
      <c r="CJ472">
        <v>26.2499</v>
      </c>
      <c r="CK472">
        <v>81.534300000000002</v>
      </c>
      <c r="CL472">
        <v>44.914000000000001</v>
      </c>
      <c r="CM472">
        <v>29.723800000000001</v>
      </c>
      <c r="CN472">
        <v>42.772500000000001</v>
      </c>
      <c r="CO472">
        <v>29.958500000000001</v>
      </c>
      <c r="CP472">
        <v>11260.8</v>
      </c>
      <c r="CQ472" t="s">
        <v>135</v>
      </c>
      <c r="CR472">
        <v>9394.7000000000007</v>
      </c>
      <c r="CS472">
        <v>0.4098</v>
      </c>
      <c r="CT472">
        <v>1.9491000000000001</v>
      </c>
      <c r="CU472">
        <v>1.2145999999999999</v>
      </c>
      <c r="CV472">
        <v>3.7326000000000001</v>
      </c>
      <c r="CW472">
        <v>3.0329999999999999</v>
      </c>
      <c r="CX472">
        <v>120.3437</v>
      </c>
      <c r="CY472">
        <v>1.968</v>
      </c>
      <c r="CZ472">
        <v>185.46709999999999</v>
      </c>
      <c r="DA472">
        <v>1.8540999999999999</v>
      </c>
      <c r="DB472">
        <v>196.86089999999999</v>
      </c>
      <c r="DC472">
        <v>108.9499</v>
      </c>
      <c r="DD472">
        <v>305.81079999999997</v>
      </c>
      <c r="DE472">
        <v>41560</v>
      </c>
      <c r="DF472">
        <v>8560</v>
      </c>
      <c r="DG472">
        <v>3550</v>
      </c>
      <c r="DH472">
        <v>23300</v>
      </c>
      <c r="DI472">
        <v>6150</v>
      </c>
    </row>
    <row r="473" spans="1:113" x14ac:dyDescent="0.3">
      <c r="D473" t="s">
        <v>85</v>
      </c>
      <c r="E473" t="s">
        <v>77</v>
      </c>
      <c r="F473">
        <v>24.532900000000001</v>
      </c>
      <c r="G473">
        <v>9.3127999999999993</v>
      </c>
      <c r="H473">
        <v>16.7102</v>
      </c>
      <c r="I473">
        <v>17.1692</v>
      </c>
      <c r="J473">
        <v>20.448</v>
      </c>
      <c r="K473">
        <v>16.510100000000001</v>
      </c>
      <c r="L473">
        <v>48.499099999999999</v>
      </c>
      <c r="M473">
        <v>13.4473</v>
      </c>
      <c r="N473">
        <v>11.8429</v>
      </c>
      <c r="O473">
        <v>11.7963</v>
      </c>
      <c r="P473">
        <v>11.7963</v>
      </c>
      <c r="Q473">
        <v>11.9306</v>
      </c>
      <c r="R473">
        <v>20.151700000000002</v>
      </c>
      <c r="S473">
        <v>19.589099999999998</v>
      </c>
      <c r="T473">
        <v>6.6314000000000002</v>
      </c>
      <c r="U473">
        <v>17.420400000000001</v>
      </c>
      <c r="V473">
        <v>22.351900000000001</v>
      </c>
      <c r="W473">
        <v>17.081600000000002</v>
      </c>
      <c r="X473">
        <v>17.310500000000001</v>
      </c>
      <c r="Y473">
        <v>14.2857</v>
      </c>
      <c r="Z473">
        <v>7.0720999999999998</v>
      </c>
      <c r="AA473">
        <v>9.1914999999999996</v>
      </c>
      <c r="AB473">
        <v>27.214400000000001</v>
      </c>
      <c r="AC473">
        <v>13.061199999999999</v>
      </c>
      <c r="AD473">
        <v>-0.36459999999999998</v>
      </c>
      <c r="AE473">
        <v>10.7796</v>
      </c>
      <c r="AF473">
        <v>16.410299999999999</v>
      </c>
      <c r="AG473">
        <v>8.0508000000000006</v>
      </c>
      <c r="AH473">
        <v>9.5740999999999996</v>
      </c>
      <c r="AI473">
        <v>23.660800000000002</v>
      </c>
      <c r="AJ473">
        <v>17.3339</v>
      </c>
      <c r="AK473">
        <v>24.775200000000002</v>
      </c>
      <c r="AL473">
        <v>13.1197</v>
      </c>
      <c r="AM473">
        <v>13.2882</v>
      </c>
      <c r="AN473">
        <v>15.4498</v>
      </c>
      <c r="AO473">
        <v>15.866199999999999</v>
      </c>
      <c r="AP473">
        <v>20.689399999999999</v>
      </c>
      <c r="AQ473">
        <v>17.907399999999999</v>
      </c>
      <c r="AR473">
        <v>26.191500000000001</v>
      </c>
      <c r="AS473">
        <v>17.665399999999998</v>
      </c>
      <c r="AT473">
        <v>17.012799999999999</v>
      </c>
      <c r="AU473">
        <v>20.3993</v>
      </c>
      <c r="AV473">
        <v>13.0974</v>
      </c>
      <c r="AW473">
        <v>13.2874</v>
      </c>
      <c r="AX473">
        <v>17.931699999999999</v>
      </c>
      <c r="AY473">
        <v>21.7942</v>
      </c>
      <c r="AZ473">
        <v>-7.2527999999999997</v>
      </c>
      <c r="BA473">
        <v>11.0695</v>
      </c>
      <c r="BB473">
        <v>13.4932</v>
      </c>
      <c r="BC473">
        <v>12.4382</v>
      </c>
      <c r="BD473">
        <v>11.395</v>
      </c>
      <c r="BE473">
        <v>9.6328999999999994</v>
      </c>
      <c r="BF473">
        <v>6.6314000000000002</v>
      </c>
      <c r="BG473">
        <v>17.420400000000001</v>
      </c>
      <c r="BH473">
        <v>22.351900000000001</v>
      </c>
      <c r="BI473">
        <v>17.081600000000002</v>
      </c>
      <c r="BJ473">
        <v>17.310500000000001</v>
      </c>
      <c r="BK473">
        <v>14.2857</v>
      </c>
      <c r="BL473">
        <v>7.0720999999999998</v>
      </c>
      <c r="BM473">
        <v>9.1914999999999996</v>
      </c>
      <c r="BN473">
        <v>27.214400000000001</v>
      </c>
      <c r="BO473">
        <v>13.061199999999999</v>
      </c>
      <c r="BP473">
        <v>-0.36459999999999998</v>
      </c>
      <c r="BQ473">
        <v>10.7796</v>
      </c>
      <c r="BR473">
        <v>16.410299999999999</v>
      </c>
      <c r="BS473">
        <v>8.0508000000000006</v>
      </c>
      <c r="BT473">
        <v>9.5740999999999996</v>
      </c>
      <c r="BU473">
        <v>23.660800000000002</v>
      </c>
      <c r="BV473">
        <v>17.3339</v>
      </c>
      <c r="BW473">
        <v>24.775200000000002</v>
      </c>
      <c r="BX473">
        <v>13.1197</v>
      </c>
      <c r="BY473">
        <v>66380</v>
      </c>
      <c r="BZ473">
        <v>7650</v>
      </c>
      <c r="CA473">
        <v>58730</v>
      </c>
      <c r="CB473">
        <v>1.8938999999999999</v>
      </c>
      <c r="CC473">
        <v>1.0722</v>
      </c>
      <c r="CD473">
        <v>2.3456000000000001</v>
      </c>
      <c r="CE473">
        <v>1.3279000000000001</v>
      </c>
      <c r="CF473">
        <v>7.3634000000000004</v>
      </c>
      <c r="CG473">
        <v>39.790799999999997</v>
      </c>
      <c r="CH473">
        <v>63.920299999999997</v>
      </c>
      <c r="CI473">
        <v>37.1098</v>
      </c>
      <c r="CJ473">
        <v>25.487100000000002</v>
      </c>
      <c r="CK473">
        <v>72.246399999999994</v>
      </c>
      <c r="CL473">
        <v>41.943600000000004</v>
      </c>
      <c r="CM473">
        <v>28.806999999999999</v>
      </c>
      <c r="CN473">
        <v>40.901200000000003</v>
      </c>
      <c r="CO473">
        <v>29.028300000000002</v>
      </c>
      <c r="CP473">
        <v>35050</v>
      </c>
      <c r="CQ473">
        <v>24130</v>
      </c>
      <c r="CR473">
        <v>28300</v>
      </c>
      <c r="CS473">
        <v>0.37690000000000001</v>
      </c>
      <c r="CT473">
        <v>1.9668999999999999</v>
      </c>
      <c r="CU473">
        <v>1.1693</v>
      </c>
      <c r="CV473">
        <v>3.6642000000000001</v>
      </c>
      <c r="CW473">
        <v>2.9271000000000003</v>
      </c>
      <c r="CX473">
        <v>124.69750000000001</v>
      </c>
      <c r="CY473">
        <v>1.8660999999999999</v>
      </c>
      <c r="CZ473">
        <v>195.59360000000001</v>
      </c>
      <c r="DA473">
        <v>1.6101999999999999</v>
      </c>
      <c r="DB473">
        <v>226.6747</v>
      </c>
      <c r="DC473">
        <v>93.616399999999999</v>
      </c>
      <c r="DD473">
        <v>320.29109999999997</v>
      </c>
      <c r="DE473">
        <v>45380</v>
      </c>
      <c r="DF473">
        <v>9570</v>
      </c>
      <c r="DG473">
        <v>3720</v>
      </c>
      <c r="DH473">
        <v>25610</v>
      </c>
      <c r="DI473">
        <v>6480</v>
      </c>
    </row>
    <row r="474" spans="1:113" x14ac:dyDescent="0.3">
      <c r="E474" t="s">
        <v>78</v>
      </c>
      <c r="F474" t="s">
        <v>135</v>
      </c>
      <c r="G474" t="s">
        <v>135</v>
      </c>
      <c r="H474" t="s">
        <v>135</v>
      </c>
      <c r="I474" t="s">
        <v>135</v>
      </c>
      <c r="J474">
        <v>20.145</v>
      </c>
      <c r="K474">
        <v>15.901199999999999</v>
      </c>
      <c r="L474">
        <v>29.108000000000001</v>
      </c>
      <c r="M474">
        <v>14.370100000000001</v>
      </c>
      <c r="N474">
        <v>12.7585</v>
      </c>
      <c r="O474">
        <v>12.704800000000001</v>
      </c>
      <c r="P474">
        <v>12.704800000000001</v>
      </c>
      <c r="Q474">
        <v>8.9719999999999995</v>
      </c>
      <c r="R474" t="s">
        <v>135</v>
      </c>
      <c r="S474" t="s">
        <v>135</v>
      </c>
      <c r="T474">
        <v>6.0683999999999996</v>
      </c>
      <c r="U474">
        <v>7.2961</v>
      </c>
      <c r="V474">
        <v>11.6981</v>
      </c>
      <c r="W474">
        <v>31.3889</v>
      </c>
      <c r="X474">
        <v>10.418200000000001</v>
      </c>
      <c r="Y474" t="s">
        <v>135</v>
      </c>
      <c r="Z474" t="s">
        <v>135</v>
      </c>
      <c r="AA474" t="s">
        <v>135</v>
      </c>
      <c r="AB474" t="s">
        <v>135</v>
      </c>
      <c r="AC474" t="s">
        <v>135</v>
      </c>
      <c r="AD474" t="s">
        <v>135</v>
      </c>
      <c r="AE474" t="s">
        <v>135</v>
      </c>
      <c r="AF474" t="s">
        <v>135</v>
      </c>
      <c r="AG474" t="s">
        <v>135</v>
      </c>
      <c r="AH474" t="s">
        <v>135</v>
      </c>
      <c r="AI474" t="s">
        <v>135</v>
      </c>
      <c r="AJ474" t="s">
        <v>135</v>
      </c>
      <c r="AK474" t="s">
        <v>135</v>
      </c>
      <c r="AL474" t="s">
        <v>135</v>
      </c>
      <c r="AM474">
        <v>11.294499999999999</v>
      </c>
      <c r="AN474">
        <v>14.182700000000001</v>
      </c>
      <c r="AO474">
        <v>13.591799999999999</v>
      </c>
      <c r="AP474">
        <v>18.4436</v>
      </c>
      <c r="AQ474">
        <v>16.03</v>
      </c>
      <c r="AR474" t="s">
        <v>135</v>
      </c>
      <c r="AS474" t="s">
        <v>135</v>
      </c>
      <c r="AT474" t="s">
        <v>135</v>
      </c>
      <c r="AU474" t="s">
        <v>135</v>
      </c>
      <c r="AV474" t="s">
        <v>135</v>
      </c>
      <c r="AW474" t="s">
        <v>135</v>
      </c>
      <c r="AX474" t="s">
        <v>135</v>
      </c>
      <c r="AY474" t="s">
        <v>135</v>
      </c>
      <c r="AZ474" t="s">
        <v>135</v>
      </c>
      <c r="BA474" t="s">
        <v>135</v>
      </c>
      <c r="BB474" t="s">
        <v>135</v>
      </c>
      <c r="BC474" t="s">
        <v>135</v>
      </c>
      <c r="BD474" t="s">
        <v>135</v>
      </c>
      <c r="BE474" t="s">
        <v>135</v>
      </c>
      <c r="BF474">
        <v>-30.2987</v>
      </c>
      <c r="BG474">
        <v>-33.397300000000001</v>
      </c>
      <c r="BH474">
        <v>-36.985700000000001</v>
      </c>
      <c r="BI474">
        <v>-36.168199999999999</v>
      </c>
      <c r="BJ474">
        <v>-36.2577</v>
      </c>
      <c r="BK474" t="s">
        <v>135</v>
      </c>
      <c r="BL474" t="s">
        <v>135</v>
      </c>
      <c r="BM474" t="s">
        <v>135</v>
      </c>
      <c r="BN474" t="s">
        <v>135</v>
      </c>
      <c r="BO474" t="s">
        <v>135</v>
      </c>
      <c r="BP474" t="s">
        <v>135</v>
      </c>
      <c r="BQ474" t="s">
        <v>135</v>
      </c>
      <c r="BR474" t="s">
        <v>135</v>
      </c>
      <c r="BS474" t="s">
        <v>135</v>
      </c>
      <c r="BT474" t="s">
        <v>135</v>
      </c>
      <c r="BU474" t="s">
        <v>135</v>
      </c>
      <c r="BV474" t="s">
        <v>135</v>
      </c>
      <c r="BW474" t="s">
        <v>135</v>
      </c>
      <c r="BX474" t="s">
        <v>135</v>
      </c>
      <c r="BY474" t="s">
        <v>135</v>
      </c>
      <c r="BZ474" t="s">
        <v>135</v>
      </c>
      <c r="CA474" t="s">
        <v>135</v>
      </c>
      <c r="CB474" t="s">
        <v>135</v>
      </c>
      <c r="CC474" t="s">
        <v>135</v>
      </c>
      <c r="CD474" t="s">
        <v>135</v>
      </c>
      <c r="CE474" t="s">
        <v>135</v>
      </c>
      <c r="CF474">
        <v>9.375</v>
      </c>
      <c r="CG474" t="s">
        <v>135</v>
      </c>
      <c r="CH474" t="s">
        <v>135</v>
      </c>
      <c r="CI474" t="s">
        <v>135</v>
      </c>
      <c r="CJ474" t="s">
        <v>135</v>
      </c>
      <c r="CK474" t="s">
        <v>135</v>
      </c>
      <c r="CL474" t="s">
        <v>135</v>
      </c>
      <c r="CM474" t="s">
        <v>135</v>
      </c>
      <c r="CN474" t="s">
        <v>135</v>
      </c>
      <c r="CO474" t="s">
        <v>135</v>
      </c>
      <c r="CP474">
        <v>7500</v>
      </c>
      <c r="CQ474" t="s">
        <v>135</v>
      </c>
      <c r="CR474">
        <v>5920</v>
      </c>
      <c r="CS474" t="s">
        <v>135</v>
      </c>
      <c r="CT474" t="s">
        <v>135</v>
      </c>
      <c r="CU474" t="s">
        <v>135</v>
      </c>
      <c r="CV474" t="s">
        <v>135</v>
      </c>
      <c r="CW474" t="s">
        <v>135</v>
      </c>
      <c r="CX474" t="s">
        <v>135</v>
      </c>
      <c r="CY474" t="s">
        <v>135</v>
      </c>
      <c r="CZ474" t="s">
        <v>135</v>
      </c>
      <c r="DA474" t="s">
        <v>135</v>
      </c>
      <c r="DB474" t="s">
        <v>135</v>
      </c>
      <c r="DC474" t="s">
        <v>135</v>
      </c>
      <c r="DD474" t="s">
        <v>135</v>
      </c>
      <c r="DE474" t="s">
        <v>135</v>
      </c>
      <c r="DF474" t="s">
        <v>135</v>
      </c>
      <c r="DG474" t="s">
        <v>135</v>
      </c>
      <c r="DH474" t="s">
        <v>135</v>
      </c>
      <c r="DI474" t="s">
        <v>135</v>
      </c>
    </row>
    <row r="475" spans="1:113" x14ac:dyDescent="0.3">
      <c r="E475" t="s">
        <v>79</v>
      </c>
      <c r="F475">
        <v>25.003900000000002</v>
      </c>
      <c r="G475">
        <v>9.4077999999999999</v>
      </c>
      <c r="H475">
        <v>18.306799999999999</v>
      </c>
      <c r="I475">
        <v>18.1907</v>
      </c>
      <c r="J475">
        <v>19.0716</v>
      </c>
      <c r="K475">
        <v>14.695</v>
      </c>
      <c r="L475">
        <v>29.694299999999998</v>
      </c>
      <c r="M475">
        <v>9.9468999999999994</v>
      </c>
      <c r="N475">
        <v>6.3129999999999997</v>
      </c>
      <c r="O475">
        <v>6.2865000000000002</v>
      </c>
      <c r="P475">
        <v>6.2865000000000002</v>
      </c>
      <c r="Q475">
        <v>20</v>
      </c>
      <c r="R475" t="s">
        <v>135</v>
      </c>
      <c r="S475" t="s">
        <v>135</v>
      </c>
      <c r="T475">
        <v>6.4671000000000003</v>
      </c>
      <c r="U475">
        <v>12.3438</v>
      </c>
      <c r="V475">
        <v>13.9918</v>
      </c>
      <c r="W475">
        <v>43.636400000000002</v>
      </c>
      <c r="X475">
        <v>41.896000000000001</v>
      </c>
      <c r="Y475" t="s">
        <v>135</v>
      </c>
      <c r="Z475">
        <v>22.3765</v>
      </c>
      <c r="AA475">
        <v>9.6875999999999998</v>
      </c>
      <c r="AB475">
        <v>16.765899999999998</v>
      </c>
      <c r="AC475">
        <v>10.728199999999999</v>
      </c>
      <c r="AD475">
        <v>12.736599999999999</v>
      </c>
      <c r="AE475">
        <v>89.873800000000003</v>
      </c>
      <c r="AF475">
        <v>19.113</v>
      </c>
      <c r="AG475">
        <v>-73.328999999999994</v>
      </c>
      <c r="AH475">
        <v>6.6715999999999998</v>
      </c>
      <c r="AI475">
        <v>7.7426000000000004</v>
      </c>
      <c r="AJ475">
        <v>7.2706999999999997</v>
      </c>
      <c r="AK475">
        <v>6.4485000000000001</v>
      </c>
      <c r="AL475" t="s">
        <v>135</v>
      </c>
      <c r="AM475">
        <v>15.909000000000001</v>
      </c>
      <c r="AN475">
        <v>17.1313</v>
      </c>
      <c r="AO475">
        <v>17.811699999999998</v>
      </c>
      <c r="AP475">
        <v>14.619400000000001</v>
      </c>
      <c r="AQ475">
        <v>12.0244</v>
      </c>
      <c r="AR475" t="s">
        <v>135</v>
      </c>
      <c r="AS475" t="s">
        <v>135</v>
      </c>
      <c r="AT475" t="s">
        <v>135</v>
      </c>
      <c r="AU475" t="s">
        <v>135</v>
      </c>
      <c r="AV475" t="s">
        <v>135</v>
      </c>
      <c r="AW475" t="s">
        <v>135</v>
      </c>
      <c r="AX475" t="s">
        <v>135</v>
      </c>
      <c r="AY475" t="s">
        <v>135</v>
      </c>
      <c r="AZ475" t="s">
        <v>135</v>
      </c>
      <c r="BA475" t="s">
        <v>135</v>
      </c>
      <c r="BB475" t="s">
        <v>135</v>
      </c>
      <c r="BC475" t="s">
        <v>135</v>
      </c>
      <c r="BD475" t="s">
        <v>135</v>
      </c>
      <c r="BE475" t="s">
        <v>135</v>
      </c>
      <c r="BF475">
        <v>1.2624</v>
      </c>
      <c r="BG475">
        <v>-4.1333000000000002</v>
      </c>
      <c r="BH475">
        <v>-6.4188999999999998</v>
      </c>
      <c r="BI475">
        <v>-49.894300000000001</v>
      </c>
      <c r="BJ475">
        <v>-49.970399999999998</v>
      </c>
      <c r="BK475" t="s">
        <v>135</v>
      </c>
      <c r="BL475" t="s">
        <v>135</v>
      </c>
      <c r="BM475" t="s">
        <v>135</v>
      </c>
      <c r="BN475" t="s">
        <v>135</v>
      </c>
      <c r="BO475" t="s">
        <v>135</v>
      </c>
      <c r="BP475" t="s">
        <v>135</v>
      </c>
      <c r="BQ475" t="s">
        <v>135</v>
      </c>
      <c r="BR475" t="s">
        <v>135</v>
      </c>
      <c r="BS475" t="s">
        <v>135</v>
      </c>
      <c r="BT475" t="s">
        <v>135</v>
      </c>
      <c r="BU475" t="s">
        <v>135</v>
      </c>
      <c r="BV475" t="s">
        <v>135</v>
      </c>
      <c r="BW475" t="s">
        <v>135</v>
      </c>
      <c r="BX475" t="s">
        <v>135</v>
      </c>
      <c r="BY475">
        <v>62120</v>
      </c>
      <c r="BZ475">
        <v>8300</v>
      </c>
      <c r="CA475">
        <v>53820</v>
      </c>
      <c r="CB475">
        <v>1.8526</v>
      </c>
      <c r="CC475">
        <v>1.3626</v>
      </c>
      <c r="CD475">
        <v>2.3166000000000002</v>
      </c>
      <c r="CE475">
        <v>1.7039</v>
      </c>
      <c r="CF475">
        <v>3.9504999999999999</v>
      </c>
      <c r="CG475">
        <v>36.960999999999999</v>
      </c>
      <c r="CH475">
        <v>67.579099999999997</v>
      </c>
      <c r="CI475">
        <v>37.965600000000002</v>
      </c>
      <c r="CJ475">
        <v>25.225000000000001</v>
      </c>
      <c r="CK475">
        <v>78.001000000000005</v>
      </c>
      <c r="CL475">
        <v>43.820500000000003</v>
      </c>
      <c r="CM475">
        <v>29.115100000000002</v>
      </c>
      <c r="CN475">
        <v>57.370699999999999</v>
      </c>
      <c r="CO475">
        <v>36.455799999999996</v>
      </c>
      <c r="CP475">
        <v>7190</v>
      </c>
      <c r="CQ475" t="s">
        <v>135</v>
      </c>
      <c r="CR475">
        <v>5540</v>
      </c>
      <c r="CS475">
        <v>0.21990000000000001</v>
      </c>
      <c r="CT475">
        <v>1.8431999999999999</v>
      </c>
      <c r="CU475">
        <v>0.97589999999999999</v>
      </c>
      <c r="CV475">
        <v>4.0343999999999998</v>
      </c>
      <c r="CW475">
        <v>3.2635999999999998</v>
      </c>
      <c r="CX475">
        <v>111.8408</v>
      </c>
      <c r="CY475">
        <v>1.5718999999999999</v>
      </c>
      <c r="CZ475">
        <v>232.2056</v>
      </c>
      <c r="DA475">
        <v>1.6194999999999999</v>
      </c>
      <c r="DB475">
        <v>225.38050000000001</v>
      </c>
      <c r="DC475">
        <v>118.66589999999999</v>
      </c>
      <c r="DD475">
        <v>344.04640000000001</v>
      </c>
      <c r="DE475">
        <v>52380</v>
      </c>
      <c r="DF475" t="s">
        <v>135</v>
      </c>
      <c r="DG475" t="s">
        <v>135</v>
      </c>
      <c r="DH475" t="s">
        <v>135</v>
      </c>
      <c r="DI475" t="s">
        <v>135</v>
      </c>
    </row>
    <row r="476" spans="1:113" x14ac:dyDescent="0.3">
      <c r="E476" t="s">
        <v>80</v>
      </c>
      <c r="F476" t="s">
        <v>135</v>
      </c>
      <c r="G476" t="s">
        <v>135</v>
      </c>
      <c r="H476" t="s">
        <v>135</v>
      </c>
      <c r="I476" t="s">
        <v>135</v>
      </c>
      <c r="J476">
        <v>19.766300000000001</v>
      </c>
      <c r="K476">
        <v>15.736800000000001</v>
      </c>
      <c r="L476">
        <v>23.2727</v>
      </c>
      <c r="M476">
        <v>13.0663</v>
      </c>
      <c r="N476">
        <v>13.805400000000001</v>
      </c>
      <c r="O476">
        <v>13.686199999999999</v>
      </c>
      <c r="P476">
        <v>13.686199999999999</v>
      </c>
      <c r="Q476" t="s">
        <v>135</v>
      </c>
      <c r="R476" t="s">
        <v>135</v>
      </c>
      <c r="S476" t="s">
        <v>135</v>
      </c>
      <c r="T476">
        <v>7.0171000000000001</v>
      </c>
      <c r="U476">
        <v>9.3667999999999996</v>
      </c>
      <c r="V476">
        <v>10.738300000000001</v>
      </c>
      <c r="W476">
        <v>25.054500000000001</v>
      </c>
      <c r="X476">
        <v>25.723800000000001</v>
      </c>
      <c r="Y476" t="s">
        <v>135</v>
      </c>
      <c r="Z476" t="s">
        <v>135</v>
      </c>
      <c r="AA476" t="s">
        <v>135</v>
      </c>
      <c r="AB476" t="s">
        <v>135</v>
      </c>
      <c r="AC476" t="s">
        <v>135</v>
      </c>
      <c r="AD476" t="s">
        <v>135</v>
      </c>
      <c r="AE476" t="s">
        <v>135</v>
      </c>
      <c r="AF476" t="s">
        <v>135</v>
      </c>
      <c r="AG476" t="s">
        <v>135</v>
      </c>
      <c r="AH476" t="s">
        <v>135</v>
      </c>
      <c r="AI476" t="s">
        <v>135</v>
      </c>
      <c r="AJ476" t="s">
        <v>135</v>
      </c>
      <c r="AK476" t="s">
        <v>135</v>
      </c>
      <c r="AL476" t="s">
        <v>135</v>
      </c>
      <c r="AM476">
        <v>13.209199999999999</v>
      </c>
      <c r="AN476">
        <v>15.4488</v>
      </c>
      <c r="AO476">
        <v>16.459800000000001</v>
      </c>
      <c r="AP476">
        <v>27.036200000000001</v>
      </c>
      <c r="AQ476">
        <v>24.007100000000001</v>
      </c>
      <c r="AR476" t="s">
        <v>135</v>
      </c>
      <c r="AS476" t="s">
        <v>135</v>
      </c>
      <c r="AT476" t="s">
        <v>135</v>
      </c>
      <c r="AU476" t="s">
        <v>135</v>
      </c>
      <c r="AV476" t="s">
        <v>135</v>
      </c>
      <c r="AW476" t="s">
        <v>135</v>
      </c>
      <c r="AX476" t="s">
        <v>135</v>
      </c>
      <c r="AY476" t="s">
        <v>135</v>
      </c>
      <c r="AZ476" t="s">
        <v>135</v>
      </c>
      <c r="BA476" t="s">
        <v>135</v>
      </c>
      <c r="BB476" t="s">
        <v>135</v>
      </c>
      <c r="BC476" t="s">
        <v>135</v>
      </c>
      <c r="BD476" t="s">
        <v>135</v>
      </c>
      <c r="BE476" t="s">
        <v>135</v>
      </c>
      <c r="BF476">
        <v>11.246700000000001</v>
      </c>
      <c r="BG476">
        <v>15.298999999999999</v>
      </c>
      <c r="BH476">
        <v>19.133600000000001</v>
      </c>
      <c r="BI476">
        <v>142.19409999999999</v>
      </c>
      <c r="BJ476">
        <v>143.31899999999999</v>
      </c>
      <c r="BK476" t="s">
        <v>135</v>
      </c>
      <c r="BL476" t="s">
        <v>135</v>
      </c>
      <c r="BM476" t="s">
        <v>135</v>
      </c>
      <c r="BN476" t="s">
        <v>135</v>
      </c>
      <c r="BO476" t="s">
        <v>135</v>
      </c>
      <c r="BP476" t="s">
        <v>135</v>
      </c>
      <c r="BQ476" t="s">
        <v>135</v>
      </c>
      <c r="BR476" t="s">
        <v>135</v>
      </c>
      <c r="BS476" t="s">
        <v>135</v>
      </c>
      <c r="BT476" t="s">
        <v>135</v>
      </c>
      <c r="BU476" t="s">
        <v>135</v>
      </c>
      <c r="BV476" t="s">
        <v>135</v>
      </c>
      <c r="BW476" t="s">
        <v>135</v>
      </c>
      <c r="BX476" t="s">
        <v>135</v>
      </c>
      <c r="BY476" t="s">
        <v>135</v>
      </c>
      <c r="BZ476" t="s">
        <v>135</v>
      </c>
      <c r="CA476" t="s">
        <v>135</v>
      </c>
      <c r="CB476" t="s">
        <v>135</v>
      </c>
      <c r="CC476" t="s">
        <v>135</v>
      </c>
      <c r="CD476" t="s">
        <v>135</v>
      </c>
      <c r="CE476" t="s">
        <v>135</v>
      </c>
      <c r="CF476">
        <v>7.4684999999999997</v>
      </c>
      <c r="CG476" t="s">
        <v>135</v>
      </c>
      <c r="CH476" t="s">
        <v>135</v>
      </c>
      <c r="CI476" t="s">
        <v>135</v>
      </c>
      <c r="CJ476" t="s">
        <v>135</v>
      </c>
      <c r="CK476" t="s">
        <v>135</v>
      </c>
      <c r="CL476" t="s">
        <v>135</v>
      </c>
      <c r="CM476" t="s">
        <v>135</v>
      </c>
      <c r="CN476" t="s">
        <v>135</v>
      </c>
      <c r="CO476" t="s">
        <v>135</v>
      </c>
      <c r="CP476">
        <v>8290</v>
      </c>
      <c r="CQ476" t="s">
        <v>135</v>
      </c>
      <c r="CR476">
        <v>6600</v>
      </c>
      <c r="CS476" t="s">
        <v>135</v>
      </c>
      <c r="CT476" t="s">
        <v>135</v>
      </c>
      <c r="CU476" t="s">
        <v>135</v>
      </c>
      <c r="CV476" t="s">
        <v>135</v>
      </c>
      <c r="CW476" t="s">
        <v>135</v>
      </c>
      <c r="CX476" t="s">
        <v>135</v>
      </c>
      <c r="CY476" t="s">
        <v>135</v>
      </c>
      <c r="CZ476" t="s">
        <v>135</v>
      </c>
      <c r="DA476" t="s">
        <v>135</v>
      </c>
      <c r="DB476" t="s">
        <v>135</v>
      </c>
      <c r="DC476" t="s">
        <v>135</v>
      </c>
      <c r="DD476" t="s">
        <v>135</v>
      </c>
      <c r="DE476" t="s">
        <v>135</v>
      </c>
      <c r="DF476" t="s">
        <v>135</v>
      </c>
      <c r="DG476" t="s">
        <v>135</v>
      </c>
      <c r="DH476" t="s">
        <v>135</v>
      </c>
      <c r="DI476" t="s">
        <v>135</v>
      </c>
    </row>
    <row r="477" spans="1:113" x14ac:dyDescent="0.3">
      <c r="E477" t="s">
        <v>81</v>
      </c>
      <c r="F477">
        <v>24.508600000000001</v>
      </c>
      <c r="G477">
        <v>9.3035999999999994</v>
      </c>
      <c r="H477">
        <v>18.572500000000002</v>
      </c>
      <c r="I477">
        <v>16.462599999999998</v>
      </c>
      <c r="J477">
        <v>21.402200000000001</v>
      </c>
      <c r="K477">
        <v>18.169</v>
      </c>
      <c r="L477">
        <v>27.0364</v>
      </c>
      <c r="M477">
        <v>16.499700000000001</v>
      </c>
      <c r="N477">
        <v>12.9503</v>
      </c>
      <c r="O477">
        <v>12.932700000000001</v>
      </c>
      <c r="P477">
        <v>12.932700000000001</v>
      </c>
      <c r="Q477">
        <v>17.6784</v>
      </c>
      <c r="R477" t="s">
        <v>135</v>
      </c>
      <c r="S477" t="s">
        <v>135</v>
      </c>
      <c r="T477">
        <v>6.5458999999999996</v>
      </c>
      <c r="U477">
        <v>8.1628000000000007</v>
      </c>
      <c r="V477">
        <v>10.062099999999999</v>
      </c>
      <c r="W477">
        <v>-0.67610000000000003</v>
      </c>
      <c r="X477">
        <v>-0.81530000000000002</v>
      </c>
      <c r="Y477" t="s">
        <v>135</v>
      </c>
      <c r="Z477">
        <v>7.0720999999999998</v>
      </c>
      <c r="AA477">
        <v>9.1914999999999996</v>
      </c>
      <c r="AB477">
        <v>27.214400000000001</v>
      </c>
      <c r="AC477">
        <v>13.061199999999999</v>
      </c>
      <c r="AD477">
        <v>-0.36459999999999998</v>
      </c>
      <c r="AE477">
        <v>10.7796</v>
      </c>
      <c r="AF477">
        <v>16.410299999999999</v>
      </c>
      <c r="AG477">
        <v>8.0508000000000006</v>
      </c>
      <c r="AH477">
        <v>9.5740999999999996</v>
      </c>
      <c r="AI477">
        <v>23.660800000000002</v>
      </c>
      <c r="AJ477">
        <v>17.3339</v>
      </c>
      <c r="AK477">
        <v>24.775200000000002</v>
      </c>
      <c r="AL477" t="s">
        <v>135</v>
      </c>
      <c r="AM477">
        <v>15.468500000000001</v>
      </c>
      <c r="AN477">
        <v>17.790500000000002</v>
      </c>
      <c r="AO477">
        <v>18.908899999999999</v>
      </c>
      <c r="AP477">
        <v>21.462399999999999</v>
      </c>
      <c r="AQ477">
        <v>18.067799999999998</v>
      </c>
      <c r="AR477" t="s">
        <v>135</v>
      </c>
      <c r="AS477">
        <v>17.665399999999998</v>
      </c>
      <c r="AT477">
        <v>17.012799999999999</v>
      </c>
      <c r="AU477">
        <v>20.3993</v>
      </c>
      <c r="AV477">
        <v>13.0974</v>
      </c>
      <c r="AW477">
        <v>13.2874</v>
      </c>
      <c r="AX477">
        <v>17.931699999999999</v>
      </c>
      <c r="AY477">
        <v>21.7942</v>
      </c>
      <c r="AZ477">
        <v>-7.2527999999999997</v>
      </c>
      <c r="BA477">
        <v>11.0695</v>
      </c>
      <c r="BB477">
        <v>13.4932</v>
      </c>
      <c r="BC477">
        <v>12.4382</v>
      </c>
      <c r="BD477">
        <v>11.395</v>
      </c>
      <c r="BE477" t="s">
        <v>135</v>
      </c>
      <c r="BF477">
        <v>35.693800000000003</v>
      </c>
      <c r="BG477">
        <v>46.923999999999999</v>
      </c>
      <c r="BH477">
        <v>56.666699999999999</v>
      </c>
      <c r="BI477">
        <v>28.222999999999999</v>
      </c>
      <c r="BJ477">
        <v>27.824400000000001</v>
      </c>
      <c r="BK477" t="s">
        <v>135</v>
      </c>
      <c r="BL477" t="s">
        <v>135</v>
      </c>
      <c r="BM477" t="s">
        <v>135</v>
      </c>
      <c r="BN477" t="s">
        <v>135</v>
      </c>
      <c r="BO477" t="s">
        <v>135</v>
      </c>
      <c r="BP477" t="s">
        <v>135</v>
      </c>
      <c r="BQ477" t="s">
        <v>135</v>
      </c>
      <c r="BR477" t="s">
        <v>135</v>
      </c>
      <c r="BS477" t="s">
        <v>135</v>
      </c>
      <c r="BT477" t="s">
        <v>135</v>
      </c>
      <c r="BU477" t="s">
        <v>135</v>
      </c>
      <c r="BV477" t="s">
        <v>135</v>
      </c>
      <c r="BW477" t="s">
        <v>135</v>
      </c>
      <c r="BX477" t="s">
        <v>135</v>
      </c>
      <c r="BY477">
        <v>66380</v>
      </c>
      <c r="BZ477">
        <v>7650</v>
      </c>
      <c r="CA477">
        <v>58730</v>
      </c>
      <c r="CB477">
        <v>1.8879000000000001</v>
      </c>
      <c r="CC477">
        <v>1.0688</v>
      </c>
      <c r="CD477">
        <v>2.3372999999999999</v>
      </c>
      <c r="CE477">
        <v>1.3231999999999999</v>
      </c>
      <c r="CF477">
        <v>2.9706999999999999</v>
      </c>
      <c r="CG477">
        <v>39.790799999999997</v>
      </c>
      <c r="CH477">
        <v>63.920299999999997</v>
      </c>
      <c r="CI477">
        <v>37.1098</v>
      </c>
      <c r="CJ477">
        <v>25.487100000000002</v>
      </c>
      <c r="CK477">
        <v>72.246399999999994</v>
      </c>
      <c r="CL477">
        <v>41.943600000000004</v>
      </c>
      <c r="CM477">
        <v>28.806999999999999</v>
      </c>
      <c r="CN477">
        <v>40.901200000000003</v>
      </c>
      <c r="CO477">
        <v>29.028300000000002</v>
      </c>
      <c r="CP477">
        <v>12180</v>
      </c>
      <c r="CQ477" t="s">
        <v>135</v>
      </c>
      <c r="CR477">
        <v>10340</v>
      </c>
      <c r="CS477">
        <v>0.37690000000000001</v>
      </c>
      <c r="CT477">
        <v>1.9668999999999999</v>
      </c>
      <c r="CU477">
        <v>1.1693</v>
      </c>
      <c r="CV477">
        <v>3.6642000000000001</v>
      </c>
      <c r="CW477">
        <v>2.9676</v>
      </c>
      <c r="CX477">
        <v>122.9969</v>
      </c>
      <c r="CY477">
        <v>1.8660999999999999</v>
      </c>
      <c r="CZ477">
        <v>195.59360000000001</v>
      </c>
      <c r="DA477">
        <v>1.6101999999999999</v>
      </c>
      <c r="DB477">
        <v>226.6747</v>
      </c>
      <c r="DC477">
        <v>91.915700000000001</v>
      </c>
      <c r="DD477">
        <v>318.59050000000002</v>
      </c>
      <c r="DE477">
        <v>45380</v>
      </c>
      <c r="DF477">
        <v>9570</v>
      </c>
      <c r="DG477">
        <v>3720</v>
      </c>
      <c r="DH477">
        <v>25610</v>
      </c>
      <c r="DI477">
        <v>6480</v>
      </c>
    </row>
    <row r="478" spans="1:113" x14ac:dyDescent="0.3">
      <c r="A478">
        <v>95</v>
      </c>
      <c r="B478" t="s">
        <v>121</v>
      </c>
      <c r="C478" t="s">
        <v>122</v>
      </c>
      <c r="D478" t="s">
        <v>76</v>
      </c>
      <c r="E478" t="s">
        <v>77</v>
      </c>
      <c r="F478">
        <v>13.6126</v>
      </c>
      <c r="G478">
        <v>7.1413000000000002</v>
      </c>
      <c r="H478">
        <v>10.5419</v>
      </c>
      <c r="I478">
        <v>8.5902999999999992</v>
      </c>
      <c r="J478">
        <v>18.815899999999999</v>
      </c>
      <c r="K478">
        <v>13.504300000000001</v>
      </c>
      <c r="L478" t="s">
        <v>135</v>
      </c>
      <c r="M478">
        <v>13.326000000000001</v>
      </c>
      <c r="N478">
        <v>10.319000000000001</v>
      </c>
      <c r="O478">
        <v>10.2875</v>
      </c>
      <c r="P478">
        <v>10.2875</v>
      </c>
      <c r="Q478">
        <v>22.565100000000001</v>
      </c>
      <c r="R478">
        <v>11.1966</v>
      </c>
      <c r="S478">
        <v>12.0885</v>
      </c>
      <c r="T478">
        <v>1.3353999999999999</v>
      </c>
      <c r="U478">
        <v>-16.634499999999999</v>
      </c>
      <c r="V478">
        <v>-24.124600000000001</v>
      </c>
      <c r="W478">
        <v>-17.6157</v>
      </c>
      <c r="X478">
        <v>-17.653099999999998</v>
      </c>
      <c r="Y478">
        <v>0</v>
      </c>
      <c r="Z478">
        <v>18.584</v>
      </c>
      <c r="AA478">
        <v>1.5617999999999999</v>
      </c>
      <c r="AB478">
        <v>7.5518999999999998</v>
      </c>
      <c r="AC478">
        <v>8.7964000000000002</v>
      </c>
      <c r="AD478">
        <v>1.2603</v>
      </c>
      <c r="AE478">
        <v>144.2748</v>
      </c>
      <c r="AF478">
        <v>11.905100000000001</v>
      </c>
      <c r="AG478">
        <v>-39.669899999999998</v>
      </c>
      <c r="AH478">
        <v>-0.14180000000000001</v>
      </c>
      <c r="AI478">
        <v>12.3521</v>
      </c>
      <c r="AJ478">
        <v>8.3020999999999994</v>
      </c>
      <c r="AK478">
        <v>12.793900000000001</v>
      </c>
      <c r="AL478">
        <v>-7.3495999999999997</v>
      </c>
      <c r="AM478">
        <v>26.715900000000001</v>
      </c>
      <c r="AN478">
        <v>17.5242</v>
      </c>
      <c r="AO478">
        <v>14.4619</v>
      </c>
      <c r="AP478">
        <v>17.665500000000002</v>
      </c>
      <c r="AQ478">
        <v>0.46650000000000003</v>
      </c>
      <c r="AR478">
        <v>12.474600000000001</v>
      </c>
      <c r="AS478">
        <v>52.690800000000003</v>
      </c>
      <c r="AT478">
        <v>29.607500000000002</v>
      </c>
      <c r="AU478">
        <v>29.226700000000001</v>
      </c>
      <c r="AV478">
        <v>32.950899999999997</v>
      </c>
      <c r="AW478">
        <v>59.743200000000002</v>
      </c>
      <c r="AX478">
        <v>29.189</v>
      </c>
      <c r="AY478">
        <v>28.239000000000001</v>
      </c>
      <c r="AZ478">
        <v>34.030700000000003</v>
      </c>
      <c r="BA478">
        <v>27.892099999999999</v>
      </c>
      <c r="BB478">
        <v>36.584899999999998</v>
      </c>
      <c r="BC478">
        <v>33.610999999999997</v>
      </c>
      <c r="BD478">
        <v>16.648199999999999</v>
      </c>
      <c r="BE478">
        <v>17.2742</v>
      </c>
      <c r="BF478">
        <v>1.3353999999999999</v>
      </c>
      <c r="BG478">
        <v>-16.634499999999999</v>
      </c>
      <c r="BH478">
        <v>-24.124600000000001</v>
      </c>
      <c r="BI478">
        <v>-17.6157</v>
      </c>
      <c r="BJ478">
        <v>-17.653099999999998</v>
      </c>
      <c r="BK478">
        <v>0</v>
      </c>
      <c r="BL478">
        <v>18.584</v>
      </c>
      <c r="BM478">
        <v>1.5617999999999999</v>
      </c>
      <c r="BN478">
        <v>7.5518999999999998</v>
      </c>
      <c r="BO478">
        <v>8.7964000000000002</v>
      </c>
      <c r="BP478">
        <v>1.2603</v>
      </c>
      <c r="BQ478">
        <v>144.2748</v>
      </c>
      <c r="BR478">
        <v>11.905100000000001</v>
      </c>
      <c r="BS478">
        <v>-39.669899999999998</v>
      </c>
      <c r="BT478">
        <v>-0.14180000000000001</v>
      </c>
      <c r="BU478">
        <v>12.3521</v>
      </c>
      <c r="BV478">
        <v>8.3020999999999994</v>
      </c>
      <c r="BW478">
        <v>12.793900000000001</v>
      </c>
      <c r="BX478">
        <v>-7.3495999999999997</v>
      </c>
      <c r="BY478">
        <v>73318.600000000006</v>
      </c>
      <c r="BZ478">
        <v>13111</v>
      </c>
      <c r="CA478">
        <v>60207.6</v>
      </c>
      <c r="CB478">
        <v>1.8170999999999999</v>
      </c>
      <c r="CC478">
        <v>0.80769999999999997</v>
      </c>
      <c r="CD478">
        <v>2.5319000000000003</v>
      </c>
      <c r="CE478">
        <v>1.1254</v>
      </c>
      <c r="CF478">
        <v>11.4001</v>
      </c>
      <c r="CG478">
        <v>53.371899999999997</v>
      </c>
      <c r="CH478">
        <v>35.007399999999997</v>
      </c>
      <c r="CI478">
        <v>24.5441</v>
      </c>
      <c r="CJ478">
        <v>18.702200000000001</v>
      </c>
      <c r="CK478">
        <v>42.630699999999997</v>
      </c>
      <c r="CL478">
        <v>29.8889</v>
      </c>
      <c r="CM478">
        <v>22.774899999999999</v>
      </c>
      <c r="CN478">
        <v>18.948399999999999</v>
      </c>
      <c r="CO478">
        <v>15.9299</v>
      </c>
      <c r="CP478">
        <v>40348.300000000003</v>
      </c>
      <c r="CQ478">
        <v>17135</v>
      </c>
      <c r="CR478">
        <v>28958.3</v>
      </c>
      <c r="CS478">
        <v>0.62350000000000005</v>
      </c>
      <c r="CT478">
        <v>1.4546000000000001</v>
      </c>
      <c r="CU478">
        <v>0.87329999999999997</v>
      </c>
      <c r="CV478">
        <v>3.6473</v>
      </c>
      <c r="CW478">
        <v>14.2561</v>
      </c>
      <c r="CX478">
        <v>25.603000000000002</v>
      </c>
      <c r="CY478">
        <v>1.4380999999999999</v>
      </c>
      <c r="CZ478">
        <v>253.81190000000001</v>
      </c>
      <c r="DA478">
        <v>1.5194999999999999</v>
      </c>
      <c r="DB478">
        <v>240.20949999999999</v>
      </c>
      <c r="DC478">
        <v>39.205399999999997</v>
      </c>
      <c r="DD478">
        <v>279.41489999999999</v>
      </c>
      <c r="DE478">
        <v>25803.5</v>
      </c>
      <c r="DF478">
        <v>3528.2</v>
      </c>
      <c r="DG478">
        <v>3503.3</v>
      </c>
      <c r="DH478">
        <v>4921.3</v>
      </c>
      <c r="DI478">
        <v>13850.7</v>
      </c>
    </row>
    <row r="479" spans="1:113" x14ac:dyDescent="0.3">
      <c r="E479" t="s">
        <v>78</v>
      </c>
      <c r="F479" t="s">
        <v>135</v>
      </c>
      <c r="G479" t="s">
        <v>135</v>
      </c>
      <c r="H479" t="s">
        <v>135</v>
      </c>
      <c r="I479" t="s">
        <v>135</v>
      </c>
      <c r="J479" t="s">
        <v>135</v>
      </c>
      <c r="K479" t="s">
        <v>135</v>
      </c>
      <c r="L479" t="s">
        <v>135</v>
      </c>
      <c r="M479" t="s">
        <v>135</v>
      </c>
      <c r="N479" t="s">
        <v>135</v>
      </c>
      <c r="O479" t="s">
        <v>135</v>
      </c>
      <c r="P479" t="s">
        <v>135</v>
      </c>
      <c r="Q479" t="s">
        <v>135</v>
      </c>
      <c r="R479" t="s">
        <v>135</v>
      </c>
      <c r="S479" t="s">
        <v>135</v>
      </c>
      <c r="T479" t="s">
        <v>135</v>
      </c>
      <c r="U479" t="s">
        <v>135</v>
      </c>
      <c r="V479" t="s">
        <v>135</v>
      </c>
      <c r="W479" t="s">
        <v>135</v>
      </c>
      <c r="X479" t="s">
        <v>135</v>
      </c>
      <c r="Y479" t="s">
        <v>135</v>
      </c>
      <c r="Z479" t="s">
        <v>135</v>
      </c>
      <c r="AA479" t="s">
        <v>135</v>
      </c>
      <c r="AB479" t="s">
        <v>135</v>
      </c>
      <c r="AC479" t="s">
        <v>135</v>
      </c>
      <c r="AD479" t="s">
        <v>135</v>
      </c>
      <c r="AE479" t="s">
        <v>135</v>
      </c>
      <c r="AF479" t="s">
        <v>135</v>
      </c>
      <c r="AG479" t="s">
        <v>135</v>
      </c>
      <c r="AH479" t="s">
        <v>135</v>
      </c>
      <c r="AI479" t="s">
        <v>135</v>
      </c>
      <c r="AJ479" t="s">
        <v>135</v>
      </c>
      <c r="AK479" t="s">
        <v>135</v>
      </c>
      <c r="AL479" t="s">
        <v>135</v>
      </c>
      <c r="AM479" t="s">
        <v>135</v>
      </c>
      <c r="AN479" t="s">
        <v>135</v>
      </c>
      <c r="AO479" t="s">
        <v>135</v>
      </c>
      <c r="AP479" t="s">
        <v>135</v>
      </c>
      <c r="AQ479" t="s">
        <v>135</v>
      </c>
      <c r="AR479" t="s">
        <v>135</v>
      </c>
      <c r="AS479" t="s">
        <v>135</v>
      </c>
      <c r="AT479" t="s">
        <v>135</v>
      </c>
      <c r="AU479" t="s">
        <v>135</v>
      </c>
      <c r="AV479" t="s">
        <v>135</v>
      </c>
      <c r="AW479" t="s">
        <v>135</v>
      </c>
      <c r="AX479" t="s">
        <v>135</v>
      </c>
      <c r="AY479" t="s">
        <v>135</v>
      </c>
      <c r="AZ479" t="s">
        <v>135</v>
      </c>
      <c r="BA479" t="s">
        <v>135</v>
      </c>
      <c r="BB479" t="s">
        <v>135</v>
      </c>
      <c r="BC479" t="s">
        <v>135</v>
      </c>
      <c r="BD479" t="s">
        <v>135</v>
      </c>
      <c r="BE479" t="s">
        <v>135</v>
      </c>
      <c r="BF479" t="s">
        <v>135</v>
      </c>
      <c r="BG479" t="s">
        <v>135</v>
      </c>
      <c r="BH479" t="s">
        <v>135</v>
      </c>
      <c r="BI479" t="s">
        <v>135</v>
      </c>
      <c r="BJ479" t="s">
        <v>135</v>
      </c>
      <c r="BK479" t="s">
        <v>135</v>
      </c>
      <c r="BL479" t="s">
        <v>135</v>
      </c>
      <c r="BM479" t="s">
        <v>135</v>
      </c>
      <c r="BN479" t="s">
        <v>135</v>
      </c>
      <c r="BO479" t="s">
        <v>135</v>
      </c>
      <c r="BP479" t="s">
        <v>135</v>
      </c>
      <c r="BQ479" t="s">
        <v>135</v>
      </c>
      <c r="BR479" t="s">
        <v>135</v>
      </c>
      <c r="BS479" t="s">
        <v>135</v>
      </c>
      <c r="BT479" t="s">
        <v>135</v>
      </c>
      <c r="BU479" t="s">
        <v>135</v>
      </c>
      <c r="BV479" t="s">
        <v>135</v>
      </c>
      <c r="BW479" t="s">
        <v>135</v>
      </c>
      <c r="BX479" t="s">
        <v>135</v>
      </c>
      <c r="BY479" t="s">
        <v>135</v>
      </c>
      <c r="BZ479" t="s">
        <v>135</v>
      </c>
      <c r="CA479" t="s">
        <v>135</v>
      </c>
      <c r="CB479" t="s">
        <v>135</v>
      </c>
      <c r="CC479" t="s">
        <v>135</v>
      </c>
      <c r="CD479" t="s">
        <v>135</v>
      </c>
      <c r="CE479" t="s">
        <v>135</v>
      </c>
      <c r="CF479" t="s">
        <v>135</v>
      </c>
      <c r="CG479" t="s">
        <v>135</v>
      </c>
      <c r="CH479" t="s">
        <v>135</v>
      </c>
      <c r="CI479" t="s">
        <v>135</v>
      </c>
      <c r="CJ479" t="s">
        <v>135</v>
      </c>
      <c r="CK479" t="s">
        <v>135</v>
      </c>
      <c r="CL479" t="s">
        <v>135</v>
      </c>
      <c r="CM479" t="s">
        <v>135</v>
      </c>
      <c r="CN479" t="s">
        <v>135</v>
      </c>
      <c r="CO479" t="s">
        <v>135</v>
      </c>
      <c r="CP479" t="s">
        <v>135</v>
      </c>
      <c r="CQ479" t="s">
        <v>135</v>
      </c>
      <c r="CR479" t="s">
        <v>135</v>
      </c>
      <c r="CS479" t="s">
        <v>135</v>
      </c>
      <c r="CT479" t="s">
        <v>135</v>
      </c>
      <c r="CU479" t="s">
        <v>135</v>
      </c>
      <c r="CV479" t="s">
        <v>135</v>
      </c>
      <c r="CW479" t="s">
        <v>135</v>
      </c>
      <c r="CX479" t="s">
        <v>135</v>
      </c>
      <c r="CY479" t="s">
        <v>135</v>
      </c>
      <c r="CZ479" t="s">
        <v>135</v>
      </c>
      <c r="DA479" t="s">
        <v>135</v>
      </c>
      <c r="DB479" t="s">
        <v>135</v>
      </c>
      <c r="DC479" t="s">
        <v>135</v>
      </c>
      <c r="DD479" t="s">
        <v>135</v>
      </c>
      <c r="DE479" t="s">
        <v>135</v>
      </c>
      <c r="DF479" t="s">
        <v>135</v>
      </c>
      <c r="DG479" t="s">
        <v>135</v>
      </c>
      <c r="DH479" t="s">
        <v>135</v>
      </c>
      <c r="DI479" t="s">
        <v>135</v>
      </c>
    </row>
    <row r="480" spans="1:113" x14ac:dyDescent="0.3">
      <c r="E480" t="s">
        <v>79</v>
      </c>
      <c r="F480" t="s">
        <v>135</v>
      </c>
      <c r="G480" t="s">
        <v>135</v>
      </c>
      <c r="H480" t="s">
        <v>135</v>
      </c>
      <c r="I480" t="s">
        <v>135</v>
      </c>
      <c r="J480" t="s">
        <v>135</v>
      </c>
      <c r="K480" t="s">
        <v>135</v>
      </c>
      <c r="L480" t="s">
        <v>135</v>
      </c>
      <c r="M480" t="s">
        <v>135</v>
      </c>
      <c r="N480" t="s">
        <v>135</v>
      </c>
      <c r="O480" t="s">
        <v>135</v>
      </c>
      <c r="P480" t="s">
        <v>135</v>
      </c>
      <c r="Q480" t="s">
        <v>135</v>
      </c>
      <c r="R480" t="s">
        <v>135</v>
      </c>
      <c r="S480" t="s">
        <v>135</v>
      </c>
      <c r="T480" t="s">
        <v>135</v>
      </c>
      <c r="U480" t="s">
        <v>135</v>
      </c>
      <c r="V480" t="s">
        <v>135</v>
      </c>
      <c r="W480" t="s">
        <v>135</v>
      </c>
      <c r="X480" t="s">
        <v>135</v>
      </c>
      <c r="Y480" t="s">
        <v>135</v>
      </c>
      <c r="Z480" t="s">
        <v>135</v>
      </c>
      <c r="AA480" t="s">
        <v>135</v>
      </c>
      <c r="AB480" t="s">
        <v>135</v>
      </c>
      <c r="AC480" t="s">
        <v>135</v>
      </c>
      <c r="AD480" t="s">
        <v>135</v>
      </c>
      <c r="AE480" t="s">
        <v>135</v>
      </c>
      <c r="AF480" t="s">
        <v>135</v>
      </c>
      <c r="AG480" t="s">
        <v>135</v>
      </c>
      <c r="AH480" t="s">
        <v>135</v>
      </c>
      <c r="AI480" t="s">
        <v>135</v>
      </c>
      <c r="AJ480" t="s">
        <v>135</v>
      </c>
      <c r="AK480" t="s">
        <v>135</v>
      </c>
      <c r="AL480" t="s">
        <v>135</v>
      </c>
      <c r="AM480" t="s">
        <v>135</v>
      </c>
      <c r="AN480" t="s">
        <v>135</v>
      </c>
      <c r="AO480" t="s">
        <v>135</v>
      </c>
      <c r="AP480" t="s">
        <v>135</v>
      </c>
      <c r="AQ480" t="s">
        <v>135</v>
      </c>
      <c r="AR480" t="s">
        <v>135</v>
      </c>
      <c r="AS480" t="s">
        <v>135</v>
      </c>
      <c r="AT480" t="s">
        <v>135</v>
      </c>
      <c r="AU480" t="s">
        <v>135</v>
      </c>
      <c r="AV480" t="s">
        <v>135</v>
      </c>
      <c r="AW480" t="s">
        <v>135</v>
      </c>
      <c r="AX480" t="s">
        <v>135</v>
      </c>
      <c r="AY480" t="s">
        <v>135</v>
      </c>
      <c r="AZ480" t="s">
        <v>135</v>
      </c>
      <c r="BA480" t="s">
        <v>135</v>
      </c>
      <c r="BB480" t="s">
        <v>135</v>
      </c>
      <c r="BC480" t="s">
        <v>135</v>
      </c>
      <c r="BD480" t="s">
        <v>135</v>
      </c>
      <c r="BE480" t="s">
        <v>135</v>
      </c>
      <c r="BF480" t="s">
        <v>135</v>
      </c>
      <c r="BG480" t="s">
        <v>135</v>
      </c>
      <c r="BH480" t="s">
        <v>135</v>
      </c>
      <c r="BI480" t="s">
        <v>135</v>
      </c>
      <c r="BJ480" t="s">
        <v>135</v>
      </c>
      <c r="BK480" t="s">
        <v>135</v>
      </c>
      <c r="BL480" t="s">
        <v>135</v>
      </c>
      <c r="BM480" t="s">
        <v>135</v>
      </c>
      <c r="BN480" t="s">
        <v>135</v>
      </c>
      <c r="BO480" t="s">
        <v>135</v>
      </c>
      <c r="BP480" t="s">
        <v>135</v>
      </c>
      <c r="BQ480" t="s">
        <v>135</v>
      </c>
      <c r="BR480" t="s">
        <v>135</v>
      </c>
      <c r="BS480" t="s">
        <v>135</v>
      </c>
      <c r="BT480" t="s">
        <v>135</v>
      </c>
      <c r="BU480" t="s">
        <v>135</v>
      </c>
      <c r="BV480" t="s">
        <v>135</v>
      </c>
      <c r="BW480" t="s">
        <v>135</v>
      </c>
      <c r="BX480" t="s">
        <v>135</v>
      </c>
      <c r="BY480" t="s">
        <v>135</v>
      </c>
      <c r="BZ480" t="s">
        <v>135</v>
      </c>
      <c r="CA480" t="s">
        <v>135</v>
      </c>
      <c r="CB480" t="s">
        <v>135</v>
      </c>
      <c r="CC480" t="s">
        <v>135</v>
      </c>
      <c r="CD480" t="s">
        <v>135</v>
      </c>
      <c r="CE480" t="s">
        <v>135</v>
      </c>
      <c r="CF480" t="s">
        <v>135</v>
      </c>
      <c r="CG480" t="s">
        <v>135</v>
      </c>
      <c r="CH480" t="s">
        <v>135</v>
      </c>
      <c r="CI480" t="s">
        <v>135</v>
      </c>
      <c r="CJ480" t="s">
        <v>135</v>
      </c>
      <c r="CK480" t="s">
        <v>135</v>
      </c>
      <c r="CL480" t="s">
        <v>135</v>
      </c>
      <c r="CM480" t="s">
        <v>135</v>
      </c>
      <c r="CN480" t="s">
        <v>135</v>
      </c>
      <c r="CO480" t="s">
        <v>135</v>
      </c>
      <c r="CP480" t="s">
        <v>135</v>
      </c>
      <c r="CQ480" t="s">
        <v>135</v>
      </c>
      <c r="CR480" t="s">
        <v>135</v>
      </c>
      <c r="CS480" t="s">
        <v>135</v>
      </c>
      <c r="CT480" t="s">
        <v>135</v>
      </c>
      <c r="CU480" t="s">
        <v>135</v>
      </c>
      <c r="CV480" t="s">
        <v>135</v>
      </c>
      <c r="CW480" t="s">
        <v>135</v>
      </c>
      <c r="CX480" t="s">
        <v>135</v>
      </c>
      <c r="CY480" t="s">
        <v>135</v>
      </c>
      <c r="CZ480" t="s">
        <v>135</v>
      </c>
      <c r="DA480" t="s">
        <v>135</v>
      </c>
      <c r="DB480" t="s">
        <v>135</v>
      </c>
      <c r="DC480" t="s">
        <v>135</v>
      </c>
      <c r="DD480" t="s">
        <v>135</v>
      </c>
      <c r="DE480" t="s">
        <v>135</v>
      </c>
      <c r="DF480" t="s">
        <v>135</v>
      </c>
      <c r="DG480" t="s">
        <v>135</v>
      </c>
      <c r="DH480" t="s">
        <v>135</v>
      </c>
      <c r="DI480" t="s">
        <v>135</v>
      </c>
    </row>
    <row r="481" spans="4:113" x14ac:dyDescent="0.3">
      <c r="E481" t="s">
        <v>80</v>
      </c>
      <c r="F481" t="s">
        <v>135</v>
      </c>
      <c r="G481" t="s">
        <v>135</v>
      </c>
      <c r="H481" t="s">
        <v>135</v>
      </c>
      <c r="I481" t="s">
        <v>135</v>
      </c>
      <c r="J481" t="s">
        <v>135</v>
      </c>
      <c r="K481" t="s">
        <v>135</v>
      </c>
      <c r="L481" t="s">
        <v>135</v>
      </c>
      <c r="M481" t="s">
        <v>135</v>
      </c>
      <c r="N481" t="s">
        <v>135</v>
      </c>
      <c r="O481" t="s">
        <v>135</v>
      </c>
      <c r="P481" t="s">
        <v>135</v>
      </c>
      <c r="Q481" t="s">
        <v>135</v>
      </c>
      <c r="R481" t="s">
        <v>135</v>
      </c>
      <c r="S481" t="s">
        <v>135</v>
      </c>
      <c r="T481" t="s">
        <v>135</v>
      </c>
      <c r="U481" t="s">
        <v>135</v>
      </c>
      <c r="V481" t="s">
        <v>135</v>
      </c>
      <c r="W481" t="s">
        <v>135</v>
      </c>
      <c r="X481" t="s">
        <v>135</v>
      </c>
      <c r="Y481" t="s">
        <v>135</v>
      </c>
      <c r="Z481" t="s">
        <v>135</v>
      </c>
      <c r="AA481" t="s">
        <v>135</v>
      </c>
      <c r="AB481" t="s">
        <v>135</v>
      </c>
      <c r="AC481" t="s">
        <v>135</v>
      </c>
      <c r="AD481" t="s">
        <v>135</v>
      </c>
      <c r="AE481" t="s">
        <v>135</v>
      </c>
      <c r="AF481" t="s">
        <v>135</v>
      </c>
      <c r="AG481" t="s">
        <v>135</v>
      </c>
      <c r="AH481" t="s">
        <v>135</v>
      </c>
      <c r="AI481" t="s">
        <v>135</v>
      </c>
      <c r="AJ481" t="s">
        <v>135</v>
      </c>
      <c r="AK481" t="s">
        <v>135</v>
      </c>
      <c r="AL481" t="s">
        <v>135</v>
      </c>
      <c r="AM481" t="s">
        <v>135</v>
      </c>
      <c r="AN481" t="s">
        <v>135</v>
      </c>
      <c r="AO481" t="s">
        <v>135</v>
      </c>
      <c r="AP481" t="s">
        <v>135</v>
      </c>
      <c r="AQ481" t="s">
        <v>135</v>
      </c>
      <c r="AR481" t="s">
        <v>135</v>
      </c>
      <c r="AS481" t="s">
        <v>135</v>
      </c>
      <c r="AT481" t="s">
        <v>135</v>
      </c>
      <c r="AU481" t="s">
        <v>135</v>
      </c>
      <c r="AV481" t="s">
        <v>135</v>
      </c>
      <c r="AW481" t="s">
        <v>135</v>
      </c>
      <c r="AX481" t="s">
        <v>135</v>
      </c>
      <c r="AY481" t="s">
        <v>135</v>
      </c>
      <c r="AZ481" t="s">
        <v>135</v>
      </c>
      <c r="BA481" t="s">
        <v>135</v>
      </c>
      <c r="BB481" t="s">
        <v>135</v>
      </c>
      <c r="BC481" t="s">
        <v>135</v>
      </c>
      <c r="BD481" t="s">
        <v>135</v>
      </c>
      <c r="BE481" t="s">
        <v>135</v>
      </c>
      <c r="BF481" t="s">
        <v>135</v>
      </c>
      <c r="BG481" t="s">
        <v>135</v>
      </c>
      <c r="BH481" t="s">
        <v>135</v>
      </c>
      <c r="BI481" t="s">
        <v>135</v>
      </c>
      <c r="BJ481" t="s">
        <v>135</v>
      </c>
      <c r="BK481" t="s">
        <v>135</v>
      </c>
      <c r="BL481" t="s">
        <v>135</v>
      </c>
      <c r="BM481" t="s">
        <v>135</v>
      </c>
      <c r="BN481" t="s">
        <v>135</v>
      </c>
      <c r="BO481" t="s">
        <v>135</v>
      </c>
      <c r="BP481" t="s">
        <v>135</v>
      </c>
      <c r="BQ481" t="s">
        <v>135</v>
      </c>
      <c r="BR481" t="s">
        <v>135</v>
      </c>
      <c r="BS481" t="s">
        <v>135</v>
      </c>
      <c r="BT481" t="s">
        <v>135</v>
      </c>
      <c r="BU481" t="s">
        <v>135</v>
      </c>
      <c r="BV481" t="s">
        <v>135</v>
      </c>
      <c r="BW481" t="s">
        <v>135</v>
      </c>
      <c r="BX481" t="s">
        <v>135</v>
      </c>
      <c r="BY481" t="s">
        <v>135</v>
      </c>
      <c r="BZ481" t="s">
        <v>135</v>
      </c>
      <c r="CA481" t="s">
        <v>135</v>
      </c>
      <c r="CB481" t="s">
        <v>135</v>
      </c>
      <c r="CC481" t="s">
        <v>135</v>
      </c>
      <c r="CD481" t="s">
        <v>135</v>
      </c>
      <c r="CE481" t="s">
        <v>135</v>
      </c>
      <c r="CF481" t="s">
        <v>135</v>
      </c>
      <c r="CG481" t="s">
        <v>135</v>
      </c>
      <c r="CH481" t="s">
        <v>135</v>
      </c>
      <c r="CI481" t="s">
        <v>135</v>
      </c>
      <c r="CJ481" t="s">
        <v>135</v>
      </c>
      <c r="CK481" t="s">
        <v>135</v>
      </c>
      <c r="CL481" t="s">
        <v>135</v>
      </c>
      <c r="CM481" t="s">
        <v>135</v>
      </c>
      <c r="CN481" t="s">
        <v>135</v>
      </c>
      <c r="CO481" t="s">
        <v>135</v>
      </c>
      <c r="CP481" t="s">
        <v>135</v>
      </c>
      <c r="CQ481" t="s">
        <v>135</v>
      </c>
      <c r="CR481" t="s">
        <v>135</v>
      </c>
      <c r="CS481" t="s">
        <v>135</v>
      </c>
      <c r="CT481" t="s">
        <v>135</v>
      </c>
      <c r="CU481" t="s">
        <v>135</v>
      </c>
      <c r="CV481" t="s">
        <v>135</v>
      </c>
      <c r="CW481" t="s">
        <v>135</v>
      </c>
      <c r="CX481" t="s">
        <v>135</v>
      </c>
      <c r="CY481" t="s">
        <v>135</v>
      </c>
      <c r="CZ481" t="s">
        <v>135</v>
      </c>
      <c r="DA481" t="s">
        <v>135</v>
      </c>
      <c r="DB481" t="s">
        <v>135</v>
      </c>
      <c r="DC481" t="s">
        <v>135</v>
      </c>
      <c r="DD481" t="s">
        <v>135</v>
      </c>
      <c r="DE481" t="s">
        <v>135</v>
      </c>
      <c r="DF481" t="s">
        <v>135</v>
      </c>
      <c r="DG481" t="s">
        <v>135</v>
      </c>
      <c r="DH481" t="s">
        <v>135</v>
      </c>
      <c r="DI481" t="s">
        <v>135</v>
      </c>
    </row>
    <row r="482" spans="4:113" x14ac:dyDescent="0.3">
      <c r="E482" t="s">
        <v>81</v>
      </c>
      <c r="F482" t="s">
        <v>135</v>
      </c>
      <c r="G482" t="s">
        <v>135</v>
      </c>
      <c r="H482" t="s">
        <v>135</v>
      </c>
      <c r="I482" t="s">
        <v>135</v>
      </c>
      <c r="J482" t="s">
        <v>135</v>
      </c>
      <c r="K482" t="s">
        <v>135</v>
      </c>
      <c r="L482" t="s">
        <v>135</v>
      </c>
      <c r="M482" t="s">
        <v>135</v>
      </c>
      <c r="N482" t="s">
        <v>135</v>
      </c>
      <c r="O482" t="s">
        <v>135</v>
      </c>
      <c r="P482" t="s">
        <v>135</v>
      </c>
      <c r="Q482" t="s">
        <v>135</v>
      </c>
      <c r="R482" t="s">
        <v>135</v>
      </c>
      <c r="S482" t="s">
        <v>135</v>
      </c>
      <c r="T482" t="s">
        <v>135</v>
      </c>
      <c r="U482" t="s">
        <v>135</v>
      </c>
      <c r="V482" t="s">
        <v>135</v>
      </c>
      <c r="W482" t="s">
        <v>135</v>
      </c>
      <c r="X482" t="s">
        <v>135</v>
      </c>
      <c r="Y482" t="s">
        <v>135</v>
      </c>
      <c r="Z482" t="s">
        <v>135</v>
      </c>
      <c r="AA482" t="s">
        <v>135</v>
      </c>
      <c r="AB482" t="s">
        <v>135</v>
      </c>
      <c r="AC482" t="s">
        <v>135</v>
      </c>
      <c r="AD482" t="s">
        <v>135</v>
      </c>
      <c r="AE482" t="s">
        <v>135</v>
      </c>
      <c r="AF482" t="s">
        <v>135</v>
      </c>
      <c r="AG482" t="s">
        <v>135</v>
      </c>
      <c r="AH482" t="s">
        <v>135</v>
      </c>
      <c r="AI482" t="s">
        <v>135</v>
      </c>
      <c r="AJ482" t="s">
        <v>135</v>
      </c>
      <c r="AK482" t="s">
        <v>135</v>
      </c>
      <c r="AL482" t="s">
        <v>135</v>
      </c>
      <c r="AM482" t="s">
        <v>135</v>
      </c>
      <c r="AN482" t="s">
        <v>135</v>
      </c>
      <c r="AO482" t="s">
        <v>135</v>
      </c>
      <c r="AP482" t="s">
        <v>135</v>
      </c>
      <c r="AQ482" t="s">
        <v>135</v>
      </c>
      <c r="AR482" t="s">
        <v>135</v>
      </c>
      <c r="AS482" t="s">
        <v>135</v>
      </c>
      <c r="AT482" t="s">
        <v>135</v>
      </c>
      <c r="AU482" t="s">
        <v>135</v>
      </c>
      <c r="AV482" t="s">
        <v>135</v>
      </c>
      <c r="AW482" t="s">
        <v>135</v>
      </c>
      <c r="AX482" t="s">
        <v>135</v>
      </c>
      <c r="AY482" t="s">
        <v>135</v>
      </c>
      <c r="AZ482" t="s">
        <v>135</v>
      </c>
      <c r="BA482" t="s">
        <v>135</v>
      </c>
      <c r="BB482" t="s">
        <v>135</v>
      </c>
      <c r="BC482" t="s">
        <v>135</v>
      </c>
      <c r="BD482" t="s">
        <v>135</v>
      </c>
      <c r="BE482" t="s">
        <v>135</v>
      </c>
      <c r="BF482" t="s">
        <v>135</v>
      </c>
      <c r="BG482" t="s">
        <v>135</v>
      </c>
      <c r="BH482" t="s">
        <v>135</v>
      </c>
      <c r="BI482" t="s">
        <v>135</v>
      </c>
      <c r="BJ482" t="s">
        <v>135</v>
      </c>
      <c r="BK482" t="s">
        <v>135</v>
      </c>
      <c r="BL482" t="s">
        <v>135</v>
      </c>
      <c r="BM482" t="s">
        <v>135</v>
      </c>
      <c r="BN482" t="s">
        <v>135</v>
      </c>
      <c r="BO482" t="s">
        <v>135</v>
      </c>
      <c r="BP482" t="s">
        <v>135</v>
      </c>
      <c r="BQ482" t="s">
        <v>135</v>
      </c>
      <c r="BR482" t="s">
        <v>135</v>
      </c>
      <c r="BS482" t="s">
        <v>135</v>
      </c>
      <c r="BT482" t="s">
        <v>135</v>
      </c>
      <c r="BU482" t="s">
        <v>135</v>
      </c>
      <c r="BV482" t="s">
        <v>135</v>
      </c>
      <c r="BW482" t="s">
        <v>135</v>
      </c>
      <c r="BX482" t="s">
        <v>135</v>
      </c>
      <c r="BY482" t="s">
        <v>135</v>
      </c>
      <c r="BZ482" t="s">
        <v>135</v>
      </c>
      <c r="CA482" t="s">
        <v>135</v>
      </c>
      <c r="CB482" t="s">
        <v>135</v>
      </c>
      <c r="CC482" t="s">
        <v>135</v>
      </c>
      <c r="CD482" t="s">
        <v>135</v>
      </c>
      <c r="CE482" t="s">
        <v>135</v>
      </c>
      <c r="CF482" t="s">
        <v>135</v>
      </c>
      <c r="CG482" t="s">
        <v>135</v>
      </c>
      <c r="CH482" t="s">
        <v>135</v>
      </c>
      <c r="CI482" t="s">
        <v>135</v>
      </c>
      <c r="CJ482" t="s">
        <v>135</v>
      </c>
      <c r="CK482" t="s">
        <v>135</v>
      </c>
      <c r="CL482" t="s">
        <v>135</v>
      </c>
      <c r="CM482" t="s">
        <v>135</v>
      </c>
      <c r="CN482" t="s">
        <v>135</v>
      </c>
      <c r="CO482" t="s">
        <v>135</v>
      </c>
      <c r="CP482" t="s">
        <v>135</v>
      </c>
      <c r="CQ482" t="s">
        <v>135</v>
      </c>
      <c r="CR482" t="s">
        <v>135</v>
      </c>
      <c r="CS482" t="s">
        <v>135</v>
      </c>
      <c r="CT482" t="s">
        <v>135</v>
      </c>
      <c r="CU482" t="s">
        <v>135</v>
      </c>
      <c r="CV482" t="s">
        <v>135</v>
      </c>
      <c r="CW482" t="s">
        <v>135</v>
      </c>
      <c r="CX482" t="s">
        <v>135</v>
      </c>
      <c r="CY482" t="s">
        <v>135</v>
      </c>
      <c r="CZ482" t="s">
        <v>135</v>
      </c>
      <c r="DA482" t="s">
        <v>135</v>
      </c>
      <c r="DB482" t="s">
        <v>135</v>
      </c>
      <c r="DC482" t="s">
        <v>135</v>
      </c>
      <c r="DD482" t="s">
        <v>135</v>
      </c>
      <c r="DE482" t="s">
        <v>135</v>
      </c>
      <c r="DF482" t="s">
        <v>135</v>
      </c>
      <c r="DG482" t="s">
        <v>135</v>
      </c>
      <c r="DH482" t="s">
        <v>135</v>
      </c>
      <c r="DI482" t="s">
        <v>135</v>
      </c>
    </row>
    <row r="483" spans="4:113" x14ac:dyDescent="0.3">
      <c r="D483" t="s">
        <v>82</v>
      </c>
      <c r="E483" t="s">
        <v>77</v>
      </c>
      <c r="F483">
        <v>11.585699999999999</v>
      </c>
      <c r="G483">
        <v>5.9733000000000001</v>
      </c>
      <c r="H483">
        <v>9.4040999999999997</v>
      </c>
      <c r="I483">
        <v>7.6174999999999997</v>
      </c>
      <c r="J483">
        <v>18.389900000000001</v>
      </c>
      <c r="K483">
        <v>13.389099999999999</v>
      </c>
      <c r="L483">
        <v>12.4315</v>
      </c>
      <c r="M483">
        <v>12.406700000000001</v>
      </c>
      <c r="N483">
        <v>8.7352000000000007</v>
      </c>
      <c r="O483">
        <v>8.7195999999999998</v>
      </c>
      <c r="P483">
        <v>8.7195999999999998</v>
      </c>
      <c r="Q483">
        <v>29.592400000000001</v>
      </c>
      <c r="R483">
        <v>11.7712</v>
      </c>
      <c r="S483">
        <v>10.2219</v>
      </c>
      <c r="T483">
        <v>12.225199999999999</v>
      </c>
      <c r="U483">
        <v>9.6727000000000007</v>
      </c>
      <c r="V483">
        <v>11.2524</v>
      </c>
      <c r="W483">
        <v>-4.8815999999999997</v>
      </c>
      <c r="X483">
        <v>-4.9489999999999998</v>
      </c>
      <c r="Y483">
        <v>0</v>
      </c>
      <c r="Z483">
        <v>1.6395999999999999</v>
      </c>
      <c r="AA483">
        <v>14.291499999999999</v>
      </c>
      <c r="AB483">
        <v>27.294</v>
      </c>
      <c r="AC483">
        <v>18.230399999999999</v>
      </c>
      <c r="AD483">
        <v>4.5712999999999999</v>
      </c>
      <c r="AE483" t="s">
        <v>135</v>
      </c>
      <c r="AF483">
        <v>12.4049</v>
      </c>
      <c r="AG483">
        <v>268.88720000000001</v>
      </c>
      <c r="AH483">
        <v>34.060699999999997</v>
      </c>
      <c r="AI483">
        <v>10.819699999999999</v>
      </c>
      <c r="AJ483">
        <v>17.766200000000001</v>
      </c>
      <c r="AK483">
        <v>10.7552</v>
      </c>
      <c r="AL483">
        <v>19.3673</v>
      </c>
      <c r="AM483">
        <v>27.382899999999999</v>
      </c>
      <c r="AN483">
        <v>16.841899999999999</v>
      </c>
      <c r="AO483">
        <v>14.449</v>
      </c>
      <c r="AP483">
        <v>13.887599999999999</v>
      </c>
      <c r="AQ483">
        <v>-2.7663000000000002</v>
      </c>
      <c r="AR483">
        <v>8.4472000000000005</v>
      </c>
      <c r="AS483">
        <v>51.193300000000001</v>
      </c>
      <c r="AT483">
        <v>28.955400000000001</v>
      </c>
      <c r="AU483">
        <v>36.225299999999997</v>
      </c>
      <c r="AV483">
        <v>35.3643</v>
      </c>
      <c r="AW483">
        <v>36.803699999999999</v>
      </c>
      <c r="AX483" t="s">
        <v>135</v>
      </c>
      <c r="AY483">
        <v>33.645600000000002</v>
      </c>
      <c r="AZ483">
        <v>150.82130000000001</v>
      </c>
      <c r="BA483">
        <v>43.646900000000002</v>
      </c>
      <c r="BB483">
        <v>32.727400000000003</v>
      </c>
      <c r="BC483">
        <v>35.890700000000002</v>
      </c>
      <c r="BD483">
        <v>13.3355</v>
      </c>
      <c r="BE483">
        <v>19.3065</v>
      </c>
      <c r="BF483">
        <v>12.225199999999999</v>
      </c>
      <c r="BG483">
        <v>9.6727000000000007</v>
      </c>
      <c r="BH483">
        <v>11.2524</v>
      </c>
      <c r="BI483">
        <v>-4.8815999999999997</v>
      </c>
      <c r="BJ483">
        <v>-4.9489999999999998</v>
      </c>
      <c r="BK483">
        <v>0</v>
      </c>
      <c r="BL483">
        <v>1.6395999999999999</v>
      </c>
      <c r="BM483">
        <v>14.291499999999999</v>
      </c>
      <c r="BN483">
        <v>27.294</v>
      </c>
      <c r="BO483">
        <v>18.230399999999999</v>
      </c>
      <c r="BP483">
        <v>4.5712999999999999</v>
      </c>
      <c r="BQ483">
        <v>-174.94560000000001</v>
      </c>
      <c r="BR483">
        <v>12.4049</v>
      </c>
      <c r="BS483">
        <v>268.88720000000001</v>
      </c>
      <c r="BT483">
        <v>34.060699999999997</v>
      </c>
      <c r="BU483">
        <v>10.819699999999999</v>
      </c>
      <c r="BV483">
        <v>17.766200000000001</v>
      </c>
      <c r="BW483">
        <v>10.7552</v>
      </c>
      <c r="BX483">
        <v>19.3673</v>
      </c>
      <c r="BY483">
        <v>98291.4</v>
      </c>
      <c r="BZ483">
        <v>48364.800000000003</v>
      </c>
      <c r="CA483">
        <v>49926.6</v>
      </c>
      <c r="CB483">
        <v>2.2210000000000001</v>
      </c>
      <c r="CC483">
        <v>1.5634999999999999</v>
      </c>
      <c r="CD483">
        <v>3.0506000000000002</v>
      </c>
      <c r="CE483">
        <v>2.1475</v>
      </c>
      <c r="CF483">
        <v>7.6055999999999999</v>
      </c>
      <c r="CG483">
        <v>50.025399999999998</v>
      </c>
      <c r="CH483">
        <v>26.1953</v>
      </c>
      <c r="CI483">
        <v>17.282499999999999</v>
      </c>
      <c r="CJ483">
        <v>13.1168</v>
      </c>
      <c r="CK483">
        <v>51.571199999999997</v>
      </c>
      <c r="CL483">
        <v>34.0244</v>
      </c>
      <c r="CM483">
        <v>25.8233</v>
      </c>
      <c r="CN483">
        <v>36.304200000000002</v>
      </c>
      <c r="CO483">
        <v>26.634699999999999</v>
      </c>
      <c r="CP483">
        <v>44254.8</v>
      </c>
      <c r="CQ483">
        <v>17038.400000000001</v>
      </c>
      <c r="CR483">
        <v>32220.6</v>
      </c>
      <c r="CS483">
        <v>0.26400000000000001</v>
      </c>
      <c r="CT483">
        <v>0.79830000000000001</v>
      </c>
      <c r="CU483">
        <v>0.41460000000000002</v>
      </c>
      <c r="CV483">
        <v>3.4813999999999998</v>
      </c>
      <c r="CW483">
        <v>14.6251</v>
      </c>
      <c r="CX483">
        <v>24.957100000000001</v>
      </c>
      <c r="CY483">
        <v>1.5013999999999998</v>
      </c>
      <c r="CZ483">
        <v>243.1019</v>
      </c>
      <c r="DA483">
        <v>1.6425999999999998</v>
      </c>
      <c r="DB483">
        <v>222.21430000000001</v>
      </c>
      <c r="DC483">
        <v>45.844700000000003</v>
      </c>
      <c r="DD483">
        <v>268.05900000000003</v>
      </c>
      <c r="DE483">
        <v>29491.200000000001</v>
      </c>
      <c r="DF483">
        <v>2855.6</v>
      </c>
      <c r="DG483">
        <v>4931.3</v>
      </c>
      <c r="DH483">
        <v>6588.8</v>
      </c>
      <c r="DI483">
        <v>15115.5</v>
      </c>
    </row>
    <row r="484" spans="4:113" x14ac:dyDescent="0.3">
      <c r="E484" t="s">
        <v>78</v>
      </c>
      <c r="F484" t="s">
        <v>135</v>
      </c>
      <c r="G484" t="s">
        <v>135</v>
      </c>
      <c r="H484" t="s">
        <v>135</v>
      </c>
      <c r="I484" t="s">
        <v>135</v>
      </c>
      <c r="J484">
        <v>18.042300000000001</v>
      </c>
      <c r="K484">
        <v>13.3393</v>
      </c>
      <c r="L484" t="s">
        <v>135</v>
      </c>
      <c r="M484">
        <v>15.0962</v>
      </c>
      <c r="N484">
        <v>10.4879</v>
      </c>
      <c r="O484">
        <v>10.468500000000001</v>
      </c>
      <c r="P484">
        <v>10.468500000000001</v>
      </c>
      <c r="Q484">
        <v>30.526699999999998</v>
      </c>
      <c r="R484" t="s">
        <v>135</v>
      </c>
      <c r="S484" t="s">
        <v>135</v>
      </c>
      <c r="T484" t="s">
        <v>135</v>
      </c>
      <c r="U484" t="s">
        <v>135</v>
      </c>
      <c r="V484" t="s">
        <v>135</v>
      </c>
      <c r="W484" t="s">
        <v>135</v>
      </c>
      <c r="X484" t="s">
        <v>135</v>
      </c>
      <c r="Y484" t="s">
        <v>135</v>
      </c>
      <c r="Z484" t="s">
        <v>135</v>
      </c>
      <c r="AA484" t="s">
        <v>135</v>
      </c>
      <c r="AB484" t="s">
        <v>135</v>
      </c>
      <c r="AC484" t="s">
        <v>135</v>
      </c>
      <c r="AD484" t="s">
        <v>135</v>
      </c>
      <c r="AE484" t="s">
        <v>135</v>
      </c>
      <c r="AF484" t="s">
        <v>135</v>
      </c>
      <c r="AG484" t="s">
        <v>135</v>
      </c>
      <c r="AH484" t="s">
        <v>135</v>
      </c>
      <c r="AI484" t="s">
        <v>135</v>
      </c>
      <c r="AJ484" t="s">
        <v>135</v>
      </c>
      <c r="AK484" t="s">
        <v>135</v>
      </c>
      <c r="AL484" t="s">
        <v>135</v>
      </c>
      <c r="AM484" t="s">
        <v>135</v>
      </c>
      <c r="AN484" t="s">
        <v>135</v>
      </c>
      <c r="AO484" t="s">
        <v>135</v>
      </c>
      <c r="AP484" t="s">
        <v>135</v>
      </c>
      <c r="AQ484" t="s">
        <v>135</v>
      </c>
      <c r="AR484" t="s">
        <v>135</v>
      </c>
      <c r="AS484" t="s">
        <v>135</v>
      </c>
      <c r="AT484" t="s">
        <v>135</v>
      </c>
      <c r="AU484" t="s">
        <v>135</v>
      </c>
      <c r="AV484" t="s">
        <v>135</v>
      </c>
      <c r="AW484" t="s">
        <v>135</v>
      </c>
      <c r="AX484" t="s">
        <v>135</v>
      </c>
      <c r="AY484" t="s">
        <v>135</v>
      </c>
      <c r="AZ484" t="s">
        <v>135</v>
      </c>
      <c r="BA484" t="s">
        <v>135</v>
      </c>
      <c r="BB484" t="s">
        <v>135</v>
      </c>
      <c r="BC484" t="s">
        <v>135</v>
      </c>
      <c r="BD484" t="s">
        <v>135</v>
      </c>
      <c r="BE484" t="s">
        <v>135</v>
      </c>
      <c r="BF484" t="s">
        <v>135</v>
      </c>
      <c r="BG484" t="s">
        <v>135</v>
      </c>
      <c r="BH484" t="s">
        <v>135</v>
      </c>
      <c r="BI484" t="s">
        <v>135</v>
      </c>
      <c r="BJ484" t="s">
        <v>135</v>
      </c>
      <c r="BK484" t="s">
        <v>135</v>
      </c>
      <c r="BL484" t="s">
        <v>135</v>
      </c>
      <c r="BM484" t="s">
        <v>135</v>
      </c>
      <c r="BN484" t="s">
        <v>135</v>
      </c>
      <c r="BO484" t="s">
        <v>135</v>
      </c>
      <c r="BP484" t="s">
        <v>135</v>
      </c>
      <c r="BQ484" t="s">
        <v>135</v>
      </c>
      <c r="BR484" t="s">
        <v>135</v>
      </c>
      <c r="BS484" t="s">
        <v>135</v>
      </c>
      <c r="BT484" t="s">
        <v>135</v>
      </c>
      <c r="BU484" t="s">
        <v>135</v>
      </c>
      <c r="BV484" t="s">
        <v>135</v>
      </c>
      <c r="BW484" t="s">
        <v>135</v>
      </c>
      <c r="BX484" t="s">
        <v>135</v>
      </c>
      <c r="BY484" t="s">
        <v>135</v>
      </c>
      <c r="BZ484" t="s">
        <v>135</v>
      </c>
      <c r="CA484" t="s">
        <v>135</v>
      </c>
      <c r="CB484" t="s">
        <v>135</v>
      </c>
      <c r="CC484" t="s">
        <v>135</v>
      </c>
      <c r="CD484" t="s">
        <v>135</v>
      </c>
      <c r="CE484" t="s">
        <v>135</v>
      </c>
      <c r="CF484">
        <v>9.8396000000000008</v>
      </c>
      <c r="CG484" t="s">
        <v>135</v>
      </c>
      <c r="CH484" t="s">
        <v>135</v>
      </c>
      <c r="CI484" t="s">
        <v>135</v>
      </c>
      <c r="CJ484" t="s">
        <v>135</v>
      </c>
      <c r="CK484" t="s">
        <v>135</v>
      </c>
      <c r="CL484" t="s">
        <v>135</v>
      </c>
      <c r="CM484" t="s">
        <v>135</v>
      </c>
      <c r="CN484" t="s">
        <v>135</v>
      </c>
      <c r="CO484" t="s">
        <v>135</v>
      </c>
      <c r="CP484">
        <v>10804.9</v>
      </c>
      <c r="CQ484" t="s">
        <v>135</v>
      </c>
      <c r="CR484">
        <v>7988.4</v>
      </c>
      <c r="CS484" t="s">
        <v>135</v>
      </c>
      <c r="CT484" t="s">
        <v>135</v>
      </c>
      <c r="CU484" t="s">
        <v>135</v>
      </c>
      <c r="CV484" t="s">
        <v>135</v>
      </c>
      <c r="CW484" t="s">
        <v>135</v>
      </c>
      <c r="CX484" t="s">
        <v>135</v>
      </c>
      <c r="CY484" t="s">
        <v>135</v>
      </c>
      <c r="CZ484" t="s">
        <v>135</v>
      </c>
      <c r="DA484" t="s">
        <v>135</v>
      </c>
      <c r="DB484" t="s">
        <v>135</v>
      </c>
      <c r="DC484" t="s">
        <v>135</v>
      </c>
      <c r="DD484" t="s">
        <v>135</v>
      </c>
      <c r="DE484" t="s">
        <v>135</v>
      </c>
      <c r="DF484" t="s">
        <v>135</v>
      </c>
      <c r="DG484" t="s">
        <v>135</v>
      </c>
      <c r="DH484" t="s">
        <v>135</v>
      </c>
      <c r="DI484" t="s">
        <v>135</v>
      </c>
    </row>
    <row r="485" spans="4:113" x14ac:dyDescent="0.3">
      <c r="E485" t="s">
        <v>79</v>
      </c>
      <c r="F485" t="s">
        <v>135</v>
      </c>
      <c r="G485" t="s">
        <v>135</v>
      </c>
      <c r="H485" t="s">
        <v>135</v>
      </c>
      <c r="I485" t="s">
        <v>135</v>
      </c>
      <c r="J485">
        <v>16.3888</v>
      </c>
      <c r="K485">
        <v>10.806699999999999</v>
      </c>
      <c r="L485" t="s">
        <v>135</v>
      </c>
      <c r="M485">
        <v>8.9981000000000009</v>
      </c>
      <c r="N485">
        <v>7.2663000000000002</v>
      </c>
      <c r="O485">
        <v>7.2378</v>
      </c>
      <c r="P485">
        <v>7.2378</v>
      </c>
      <c r="Q485">
        <v>19.247</v>
      </c>
      <c r="R485" t="s">
        <v>135</v>
      </c>
      <c r="S485" t="s">
        <v>135</v>
      </c>
      <c r="T485" t="s">
        <v>135</v>
      </c>
      <c r="U485" t="s">
        <v>135</v>
      </c>
      <c r="V485" t="s">
        <v>135</v>
      </c>
      <c r="W485" t="s">
        <v>135</v>
      </c>
      <c r="X485" t="s">
        <v>135</v>
      </c>
      <c r="Y485" t="s">
        <v>135</v>
      </c>
      <c r="Z485" t="s">
        <v>135</v>
      </c>
      <c r="AA485" t="s">
        <v>135</v>
      </c>
      <c r="AB485" t="s">
        <v>135</v>
      </c>
      <c r="AC485" t="s">
        <v>135</v>
      </c>
      <c r="AD485" t="s">
        <v>135</v>
      </c>
      <c r="AE485" t="s">
        <v>135</v>
      </c>
      <c r="AF485" t="s">
        <v>135</v>
      </c>
      <c r="AG485" t="s">
        <v>135</v>
      </c>
      <c r="AH485" t="s">
        <v>135</v>
      </c>
      <c r="AI485" t="s">
        <v>135</v>
      </c>
      <c r="AJ485" t="s">
        <v>135</v>
      </c>
      <c r="AK485" t="s">
        <v>135</v>
      </c>
      <c r="AL485" t="s">
        <v>135</v>
      </c>
      <c r="AM485" t="s">
        <v>135</v>
      </c>
      <c r="AN485" t="s">
        <v>135</v>
      </c>
      <c r="AO485" t="s">
        <v>135</v>
      </c>
      <c r="AP485" t="s">
        <v>135</v>
      </c>
      <c r="AQ485" t="s">
        <v>135</v>
      </c>
      <c r="AR485" t="s">
        <v>135</v>
      </c>
      <c r="AS485" t="s">
        <v>135</v>
      </c>
      <c r="AT485" t="s">
        <v>135</v>
      </c>
      <c r="AU485" t="s">
        <v>135</v>
      </c>
      <c r="AV485" t="s">
        <v>135</v>
      </c>
      <c r="AW485" t="s">
        <v>135</v>
      </c>
      <c r="AX485" t="s">
        <v>135</v>
      </c>
      <c r="AY485" t="s">
        <v>135</v>
      </c>
      <c r="AZ485" t="s">
        <v>135</v>
      </c>
      <c r="BA485" t="s">
        <v>135</v>
      </c>
      <c r="BB485" t="s">
        <v>135</v>
      </c>
      <c r="BC485" t="s">
        <v>135</v>
      </c>
      <c r="BD485" t="s">
        <v>135</v>
      </c>
      <c r="BE485" t="s">
        <v>135</v>
      </c>
      <c r="BF485">
        <v>-4.4287999999999998</v>
      </c>
      <c r="BG485">
        <v>-13.203799999999999</v>
      </c>
      <c r="BH485">
        <v>-22.592700000000001</v>
      </c>
      <c r="BI485">
        <v>-33.924599999999998</v>
      </c>
      <c r="BJ485">
        <v>-33.960599999999999</v>
      </c>
      <c r="BK485" t="s">
        <v>135</v>
      </c>
      <c r="BL485" t="s">
        <v>135</v>
      </c>
      <c r="BM485" t="s">
        <v>135</v>
      </c>
      <c r="BN485" t="s">
        <v>135</v>
      </c>
      <c r="BO485" t="s">
        <v>135</v>
      </c>
      <c r="BP485" t="s">
        <v>135</v>
      </c>
      <c r="BQ485" t="s">
        <v>135</v>
      </c>
      <c r="BR485" t="s">
        <v>135</v>
      </c>
      <c r="BS485" t="s">
        <v>135</v>
      </c>
      <c r="BT485" t="s">
        <v>135</v>
      </c>
      <c r="BU485" t="s">
        <v>135</v>
      </c>
      <c r="BV485" t="s">
        <v>135</v>
      </c>
      <c r="BW485" t="s">
        <v>135</v>
      </c>
      <c r="BX485" t="s">
        <v>135</v>
      </c>
      <c r="BY485">
        <v>102561.60000000001</v>
      </c>
      <c r="BZ485">
        <v>46553.7</v>
      </c>
      <c r="CA485">
        <v>56007.9</v>
      </c>
      <c r="CB485" t="s">
        <v>135</v>
      </c>
      <c r="CC485" t="s">
        <v>135</v>
      </c>
      <c r="CD485" t="s">
        <v>135</v>
      </c>
      <c r="CE485" t="s">
        <v>135</v>
      </c>
      <c r="CF485">
        <v>6.1318000000000001</v>
      </c>
      <c r="CG485">
        <v>49.635300000000001</v>
      </c>
      <c r="CH485">
        <v>30.633199999999999</v>
      </c>
      <c r="CI485">
        <v>19.624700000000001</v>
      </c>
      <c r="CJ485">
        <v>15.2194</v>
      </c>
      <c r="CK485">
        <v>56.095500000000001</v>
      </c>
      <c r="CL485">
        <v>35.936700000000002</v>
      </c>
      <c r="CM485">
        <v>27.869800000000001</v>
      </c>
      <c r="CN485">
        <v>31.975200000000001</v>
      </c>
      <c r="CO485">
        <v>24.228200000000001</v>
      </c>
      <c r="CP485">
        <v>9379.7999999999993</v>
      </c>
      <c r="CQ485" t="s">
        <v>135</v>
      </c>
      <c r="CR485">
        <v>6185</v>
      </c>
      <c r="CS485">
        <v>0.42270000000000002</v>
      </c>
      <c r="CT485">
        <v>0.99429999999999996</v>
      </c>
      <c r="CU485">
        <v>0.58620000000000005</v>
      </c>
      <c r="CV485">
        <v>3.0535999999999999</v>
      </c>
      <c r="CW485" t="s">
        <v>135</v>
      </c>
      <c r="CX485" t="s">
        <v>135</v>
      </c>
      <c r="CY485" t="s">
        <v>135</v>
      </c>
      <c r="CZ485" t="s">
        <v>135</v>
      </c>
      <c r="DA485" t="s">
        <v>135</v>
      </c>
      <c r="DB485" t="s">
        <v>135</v>
      </c>
      <c r="DC485" t="s">
        <v>135</v>
      </c>
      <c r="DD485" t="s">
        <v>135</v>
      </c>
      <c r="DE485">
        <v>30825.4</v>
      </c>
      <c r="DF485" t="s">
        <v>135</v>
      </c>
      <c r="DG485" t="s">
        <v>135</v>
      </c>
      <c r="DH485" t="s">
        <v>135</v>
      </c>
      <c r="DI485" t="s">
        <v>135</v>
      </c>
    </row>
    <row r="486" spans="4:113" x14ac:dyDescent="0.3">
      <c r="E486" t="s">
        <v>80</v>
      </c>
      <c r="F486" t="s">
        <v>135</v>
      </c>
      <c r="G486" t="s">
        <v>135</v>
      </c>
      <c r="H486" t="s">
        <v>135</v>
      </c>
      <c r="I486" t="s">
        <v>135</v>
      </c>
      <c r="J486">
        <v>17.549900000000001</v>
      </c>
      <c r="K486">
        <v>12.4748</v>
      </c>
      <c r="L486" t="s">
        <v>135</v>
      </c>
      <c r="M486">
        <v>10.244400000000001</v>
      </c>
      <c r="N486">
        <v>6.8772000000000002</v>
      </c>
      <c r="O486">
        <v>6.8552999999999997</v>
      </c>
      <c r="P486">
        <v>6.8552999999999997</v>
      </c>
      <c r="Q486">
        <v>32.868200000000002</v>
      </c>
      <c r="R486" t="s">
        <v>135</v>
      </c>
      <c r="S486" t="s">
        <v>135</v>
      </c>
      <c r="T486" t="s">
        <v>135</v>
      </c>
      <c r="U486" t="s">
        <v>135</v>
      </c>
      <c r="V486" t="s">
        <v>135</v>
      </c>
      <c r="W486" t="s">
        <v>135</v>
      </c>
      <c r="X486" t="s">
        <v>135</v>
      </c>
      <c r="Y486" t="s">
        <v>135</v>
      </c>
      <c r="Z486" t="s">
        <v>135</v>
      </c>
      <c r="AA486" t="s">
        <v>135</v>
      </c>
      <c r="AB486" t="s">
        <v>135</v>
      </c>
      <c r="AC486" t="s">
        <v>135</v>
      </c>
      <c r="AD486" t="s">
        <v>135</v>
      </c>
      <c r="AE486" t="s">
        <v>135</v>
      </c>
      <c r="AF486" t="s">
        <v>135</v>
      </c>
      <c r="AG486" t="s">
        <v>135</v>
      </c>
      <c r="AH486" t="s">
        <v>135</v>
      </c>
      <c r="AI486" t="s">
        <v>135</v>
      </c>
      <c r="AJ486" t="s">
        <v>135</v>
      </c>
      <c r="AK486" t="s">
        <v>135</v>
      </c>
      <c r="AL486" t="s">
        <v>135</v>
      </c>
      <c r="AM486" t="s">
        <v>135</v>
      </c>
      <c r="AN486" t="s">
        <v>135</v>
      </c>
      <c r="AO486" t="s">
        <v>135</v>
      </c>
      <c r="AP486" t="s">
        <v>135</v>
      </c>
      <c r="AQ486" t="s">
        <v>135</v>
      </c>
      <c r="AR486" t="s">
        <v>135</v>
      </c>
      <c r="AS486" t="s">
        <v>135</v>
      </c>
      <c r="AT486" t="s">
        <v>135</v>
      </c>
      <c r="AU486" t="s">
        <v>135</v>
      </c>
      <c r="AV486" t="s">
        <v>135</v>
      </c>
      <c r="AW486" t="s">
        <v>135</v>
      </c>
      <c r="AX486" t="s">
        <v>135</v>
      </c>
      <c r="AY486" t="s">
        <v>135</v>
      </c>
      <c r="AZ486" t="s">
        <v>135</v>
      </c>
      <c r="BA486" t="s">
        <v>135</v>
      </c>
      <c r="BB486" t="s">
        <v>135</v>
      </c>
      <c r="BC486" t="s">
        <v>135</v>
      </c>
      <c r="BD486" t="s">
        <v>135</v>
      </c>
      <c r="BE486" t="s">
        <v>135</v>
      </c>
      <c r="BF486">
        <v>1.9942</v>
      </c>
      <c r="BG486">
        <v>9.1292000000000009</v>
      </c>
      <c r="BH486">
        <v>17.6187</v>
      </c>
      <c r="BI486">
        <v>-3.4424000000000001</v>
      </c>
      <c r="BJ486">
        <v>-3.4460000000000002</v>
      </c>
      <c r="BK486" t="s">
        <v>135</v>
      </c>
      <c r="BL486" t="s">
        <v>135</v>
      </c>
      <c r="BM486" t="s">
        <v>135</v>
      </c>
      <c r="BN486" t="s">
        <v>135</v>
      </c>
      <c r="BO486" t="s">
        <v>135</v>
      </c>
      <c r="BP486" t="s">
        <v>135</v>
      </c>
      <c r="BQ486" t="s">
        <v>135</v>
      </c>
      <c r="BR486" t="s">
        <v>135</v>
      </c>
      <c r="BS486" t="s">
        <v>135</v>
      </c>
      <c r="BT486" t="s">
        <v>135</v>
      </c>
      <c r="BU486" t="s">
        <v>135</v>
      </c>
      <c r="BV486" t="s">
        <v>135</v>
      </c>
      <c r="BW486" t="s">
        <v>135</v>
      </c>
      <c r="BX486" t="s">
        <v>135</v>
      </c>
      <c r="BY486" t="s">
        <v>135</v>
      </c>
      <c r="BZ486" t="s">
        <v>135</v>
      </c>
      <c r="CA486" t="s">
        <v>135</v>
      </c>
      <c r="CB486" t="s">
        <v>135</v>
      </c>
      <c r="CC486" t="s">
        <v>135</v>
      </c>
      <c r="CD486" t="s">
        <v>135</v>
      </c>
      <c r="CE486" t="s">
        <v>135</v>
      </c>
      <c r="CF486">
        <v>6.2426000000000004</v>
      </c>
      <c r="CG486" t="s">
        <v>135</v>
      </c>
      <c r="CH486" t="s">
        <v>135</v>
      </c>
      <c r="CI486" t="s">
        <v>135</v>
      </c>
      <c r="CJ486" t="s">
        <v>135</v>
      </c>
      <c r="CK486" t="s">
        <v>135</v>
      </c>
      <c r="CL486" t="s">
        <v>135</v>
      </c>
      <c r="CM486" t="s">
        <v>135</v>
      </c>
      <c r="CN486" t="s">
        <v>135</v>
      </c>
      <c r="CO486" t="s">
        <v>135</v>
      </c>
      <c r="CP486">
        <v>10239.700000000001</v>
      </c>
      <c r="CQ486" t="s">
        <v>135</v>
      </c>
      <c r="CR486">
        <v>7278.6</v>
      </c>
      <c r="CS486" t="s">
        <v>135</v>
      </c>
      <c r="CT486" t="s">
        <v>135</v>
      </c>
      <c r="CU486" t="s">
        <v>135</v>
      </c>
      <c r="CV486" t="s">
        <v>135</v>
      </c>
      <c r="CW486" t="s">
        <v>135</v>
      </c>
      <c r="CX486" t="s">
        <v>135</v>
      </c>
      <c r="CY486" t="s">
        <v>135</v>
      </c>
      <c r="CZ486" t="s">
        <v>135</v>
      </c>
      <c r="DA486" t="s">
        <v>135</v>
      </c>
      <c r="DB486" t="s">
        <v>135</v>
      </c>
      <c r="DC486" t="s">
        <v>135</v>
      </c>
      <c r="DD486" t="s">
        <v>135</v>
      </c>
      <c r="DE486" t="s">
        <v>135</v>
      </c>
      <c r="DF486" t="s">
        <v>135</v>
      </c>
      <c r="DG486" t="s">
        <v>135</v>
      </c>
      <c r="DH486" t="s">
        <v>135</v>
      </c>
      <c r="DI486" t="s">
        <v>135</v>
      </c>
    </row>
    <row r="487" spans="4:113" x14ac:dyDescent="0.3">
      <c r="E487" t="s">
        <v>81</v>
      </c>
      <c r="F487" t="s">
        <v>135</v>
      </c>
      <c r="G487" t="s">
        <v>135</v>
      </c>
      <c r="H487" t="s">
        <v>135</v>
      </c>
      <c r="I487" t="s">
        <v>135</v>
      </c>
      <c r="J487">
        <v>21.2182</v>
      </c>
      <c r="K487">
        <v>16.520900000000001</v>
      </c>
      <c r="L487" t="s">
        <v>135</v>
      </c>
      <c r="M487">
        <v>14.864000000000001</v>
      </c>
      <c r="N487">
        <v>10.077999999999999</v>
      </c>
      <c r="O487">
        <v>10.082599999999999</v>
      </c>
      <c r="P487">
        <v>10.082599999999999</v>
      </c>
      <c r="Q487">
        <v>32.198700000000002</v>
      </c>
      <c r="R487" t="s">
        <v>135</v>
      </c>
      <c r="S487" t="s">
        <v>135</v>
      </c>
      <c r="T487" t="s">
        <v>135</v>
      </c>
      <c r="U487" t="s">
        <v>135</v>
      </c>
      <c r="V487" t="s">
        <v>135</v>
      </c>
      <c r="W487" t="s">
        <v>135</v>
      </c>
      <c r="X487" t="s">
        <v>135</v>
      </c>
      <c r="Y487" t="s">
        <v>135</v>
      </c>
      <c r="Z487" t="s">
        <v>135</v>
      </c>
      <c r="AA487" t="s">
        <v>135</v>
      </c>
      <c r="AB487" t="s">
        <v>135</v>
      </c>
      <c r="AC487" t="s">
        <v>135</v>
      </c>
      <c r="AD487" t="s">
        <v>135</v>
      </c>
      <c r="AE487" t="s">
        <v>135</v>
      </c>
      <c r="AF487" t="s">
        <v>135</v>
      </c>
      <c r="AG487" t="s">
        <v>135</v>
      </c>
      <c r="AH487" t="s">
        <v>135</v>
      </c>
      <c r="AI487" t="s">
        <v>135</v>
      </c>
      <c r="AJ487" t="s">
        <v>135</v>
      </c>
      <c r="AK487" t="s">
        <v>135</v>
      </c>
      <c r="AL487" t="s">
        <v>135</v>
      </c>
      <c r="AM487" t="s">
        <v>135</v>
      </c>
      <c r="AN487" t="s">
        <v>135</v>
      </c>
      <c r="AO487" t="s">
        <v>135</v>
      </c>
      <c r="AP487" t="s">
        <v>135</v>
      </c>
      <c r="AQ487" t="s">
        <v>135</v>
      </c>
      <c r="AR487" t="s">
        <v>135</v>
      </c>
      <c r="AS487" t="s">
        <v>135</v>
      </c>
      <c r="AT487" t="s">
        <v>135</v>
      </c>
      <c r="AU487" t="s">
        <v>135</v>
      </c>
      <c r="AV487" t="s">
        <v>135</v>
      </c>
      <c r="AW487" t="s">
        <v>135</v>
      </c>
      <c r="AX487" t="s">
        <v>135</v>
      </c>
      <c r="AY487" t="s">
        <v>135</v>
      </c>
      <c r="AZ487" t="s">
        <v>135</v>
      </c>
      <c r="BA487" t="s">
        <v>135</v>
      </c>
      <c r="BB487" t="s">
        <v>135</v>
      </c>
      <c r="BC487" t="s">
        <v>135</v>
      </c>
      <c r="BD487" t="s">
        <v>135</v>
      </c>
      <c r="BE487" t="s">
        <v>135</v>
      </c>
      <c r="BF487">
        <v>11.7685</v>
      </c>
      <c r="BG487">
        <v>35.054600000000001</v>
      </c>
      <c r="BH487">
        <v>47.930500000000002</v>
      </c>
      <c r="BI487">
        <v>64.308199999999999</v>
      </c>
      <c r="BJ487">
        <v>64.310199999999995</v>
      </c>
      <c r="BK487" t="s">
        <v>135</v>
      </c>
      <c r="BL487" t="s">
        <v>135</v>
      </c>
      <c r="BM487" t="s">
        <v>135</v>
      </c>
      <c r="BN487" t="s">
        <v>135</v>
      </c>
      <c r="BO487" t="s">
        <v>135</v>
      </c>
      <c r="BP487" t="s">
        <v>135</v>
      </c>
      <c r="BQ487" t="s">
        <v>135</v>
      </c>
      <c r="BR487" t="s">
        <v>135</v>
      </c>
      <c r="BS487" t="s">
        <v>135</v>
      </c>
      <c r="BT487" t="s">
        <v>135</v>
      </c>
      <c r="BU487" t="s">
        <v>135</v>
      </c>
      <c r="BV487" t="s">
        <v>135</v>
      </c>
      <c r="BW487" t="s">
        <v>135</v>
      </c>
      <c r="BX487" t="s">
        <v>135</v>
      </c>
      <c r="BY487">
        <v>98291.4</v>
      </c>
      <c r="BZ487">
        <v>48364.800000000003</v>
      </c>
      <c r="CA487">
        <v>49926.6</v>
      </c>
      <c r="CB487">
        <v>2.2206999999999999</v>
      </c>
      <c r="CC487">
        <v>1.5632999999999999</v>
      </c>
      <c r="CD487">
        <v>3.05</v>
      </c>
      <c r="CE487">
        <v>2.1471</v>
      </c>
      <c r="CF487">
        <v>8.6601999999999997</v>
      </c>
      <c r="CG487">
        <v>50.025399999999998</v>
      </c>
      <c r="CH487">
        <v>26.1953</v>
      </c>
      <c r="CI487">
        <v>17.282499999999999</v>
      </c>
      <c r="CJ487">
        <v>13.1168</v>
      </c>
      <c r="CK487">
        <v>51.571199999999997</v>
      </c>
      <c r="CL487">
        <v>34.0244</v>
      </c>
      <c r="CM487">
        <v>25.8233</v>
      </c>
      <c r="CN487">
        <v>36.304200000000002</v>
      </c>
      <c r="CO487">
        <v>26.634699999999999</v>
      </c>
      <c r="CP487">
        <v>13830.4</v>
      </c>
      <c r="CQ487" t="s">
        <v>135</v>
      </c>
      <c r="CR487">
        <v>10768.6</v>
      </c>
      <c r="CS487">
        <v>0.26400000000000001</v>
      </c>
      <c r="CT487">
        <v>0.79830000000000001</v>
      </c>
      <c r="CU487">
        <v>0.41460000000000002</v>
      </c>
      <c r="CV487">
        <v>3.4813999999999998</v>
      </c>
      <c r="CW487" t="s">
        <v>135</v>
      </c>
      <c r="CX487" t="s">
        <v>135</v>
      </c>
      <c r="CY487" t="s">
        <v>135</v>
      </c>
      <c r="CZ487" t="s">
        <v>135</v>
      </c>
      <c r="DA487" t="s">
        <v>135</v>
      </c>
      <c r="DB487" t="s">
        <v>135</v>
      </c>
      <c r="DC487" t="s">
        <v>135</v>
      </c>
      <c r="DD487" t="s">
        <v>135</v>
      </c>
      <c r="DE487">
        <v>29491.200000000001</v>
      </c>
      <c r="DF487">
        <v>2855.6</v>
      </c>
      <c r="DG487">
        <v>4931.3</v>
      </c>
      <c r="DH487">
        <v>6588.8</v>
      </c>
      <c r="DI487">
        <v>15115.5</v>
      </c>
    </row>
    <row r="488" spans="4:113" x14ac:dyDescent="0.3">
      <c r="D488" t="s">
        <v>83</v>
      </c>
      <c r="E488" t="s">
        <v>77</v>
      </c>
      <c r="F488">
        <v>11.404500000000001</v>
      </c>
      <c r="G488">
        <v>5.8013000000000003</v>
      </c>
      <c r="H488">
        <v>8.9649000000000001</v>
      </c>
      <c r="I488">
        <v>7.5454999999999997</v>
      </c>
      <c r="J488">
        <v>19.345700000000001</v>
      </c>
      <c r="K488">
        <v>13.933</v>
      </c>
      <c r="L488">
        <v>24.516500000000001</v>
      </c>
      <c r="M488">
        <v>12.5814</v>
      </c>
      <c r="N488">
        <v>9.0510999999999999</v>
      </c>
      <c r="O488">
        <v>9.0448000000000004</v>
      </c>
      <c r="P488">
        <v>9.0448000000000004</v>
      </c>
      <c r="Q488">
        <v>28.0596</v>
      </c>
      <c r="R488">
        <v>11.414400000000001</v>
      </c>
      <c r="S488">
        <v>10.1028</v>
      </c>
      <c r="T488">
        <v>5.0918999999999999</v>
      </c>
      <c r="U488">
        <v>10.512499999999999</v>
      </c>
      <c r="V488">
        <v>9.3201000000000001</v>
      </c>
      <c r="W488">
        <v>8.9709000000000003</v>
      </c>
      <c r="X488">
        <v>8.9481999999999999</v>
      </c>
      <c r="Y488">
        <v>5.5556000000000001</v>
      </c>
      <c r="Z488">
        <v>16.1416</v>
      </c>
      <c r="AA488">
        <v>-11.3156</v>
      </c>
      <c r="AB488">
        <v>3.887</v>
      </c>
      <c r="AC488">
        <v>7.1036999999999999</v>
      </c>
      <c r="AD488">
        <v>-3.5911999999999997</v>
      </c>
      <c r="AE488">
        <v>34.197200000000002</v>
      </c>
      <c r="AF488">
        <v>2.2254</v>
      </c>
      <c r="AG488">
        <v>9.7399000000000004</v>
      </c>
      <c r="AH488">
        <v>2.0137999999999998</v>
      </c>
      <c r="AI488">
        <v>10.5693</v>
      </c>
      <c r="AJ488">
        <v>7.6584000000000003</v>
      </c>
      <c r="AK488">
        <v>10.583</v>
      </c>
      <c r="AL488">
        <v>8.9166000000000007</v>
      </c>
      <c r="AM488">
        <v>13.055999999999999</v>
      </c>
      <c r="AN488">
        <v>12.6508</v>
      </c>
      <c r="AO488">
        <v>13.3447</v>
      </c>
      <c r="AP488">
        <v>10.831</v>
      </c>
      <c r="AQ488">
        <v>10.794599999999999</v>
      </c>
      <c r="AR488">
        <v>9.6262000000000008</v>
      </c>
      <c r="AS488">
        <v>18.490500000000001</v>
      </c>
      <c r="AT488">
        <v>4.5521000000000003</v>
      </c>
      <c r="AU488">
        <v>14.2964</v>
      </c>
      <c r="AV488">
        <v>13.5144</v>
      </c>
      <c r="AW488">
        <v>20.731200000000001</v>
      </c>
      <c r="AX488" t="s">
        <v>135</v>
      </c>
      <c r="AY488">
        <v>-0.89419999999999999</v>
      </c>
      <c r="AZ488">
        <v>18.772100000000002</v>
      </c>
      <c r="BA488">
        <v>12.594899999999999</v>
      </c>
      <c r="BB488">
        <v>14.491300000000001</v>
      </c>
      <c r="BC488">
        <v>13.8589</v>
      </c>
      <c r="BD488">
        <v>14.582800000000001</v>
      </c>
      <c r="BE488">
        <v>16.898900000000001</v>
      </c>
      <c r="BF488">
        <v>5.0918999999999999</v>
      </c>
      <c r="BG488">
        <v>10.512499999999999</v>
      </c>
      <c r="BH488">
        <v>9.3201000000000001</v>
      </c>
      <c r="BI488">
        <v>8.9709000000000003</v>
      </c>
      <c r="BJ488">
        <v>8.9481999999999999</v>
      </c>
      <c r="BK488">
        <v>5.5556000000000001</v>
      </c>
      <c r="BL488">
        <v>16.1416</v>
      </c>
      <c r="BM488">
        <v>-11.3156</v>
      </c>
      <c r="BN488">
        <v>3.887</v>
      </c>
      <c r="BO488">
        <v>7.1036999999999999</v>
      </c>
      <c r="BP488">
        <v>-3.5911999999999997</v>
      </c>
      <c r="BQ488" t="s">
        <v>135</v>
      </c>
      <c r="BR488">
        <v>2.2254</v>
      </c>
      <c r="BS488">
        <v>9.7399000000000004</v>
      </c>
      <c r="BT488">
        <v>2.0137999999999998</v>
      </c>
      <c r="BU488">
        <v>10.5693</v>
      </c>
      <c r="BV488">
        <v>7.6584000000000003</v>
      </c>
      <c r="BW488">
        <v>10.583</v>
      </c>
      <c r="BX488">
        <v>8.9166000000000007</v>
      </c>
      <c r="BY488">
        <v>100270.8</v>
      </c>
      <c r="BZ488">
        <v>53075.5</v>
      </c>
      <c r="CA488">
        <v>47195.3</v>
      </c>
      <c r="CB488">
        <v>2.0501999999999998</v>
      </c>
      <c r="CC488">
        <v>1.1724000000000001</v>
      </c>
      <c r="CD488">
        <v>2.8467000000000002</v>
      </c>
      <c r="CE488">
        <v>1.6278999999999999</v>
      </c>
      <c r="CF488">
        <v>8.7779000000000007</v>
      </c>
      <c r="CG488">
        <v>51.655500000000004</v>
      </c>
      <c r="CH488">
        <v>22.395199999999999</v>
      </c>
      <c r="CI488">
        <v>15.174899999999999</v>
      </c>
      <c r="CJ488">
        <v>11.5769</v>
      </c>
      <c r="CK488">
        <v>47.5807</v>
      </c>
      <c r="CL488">
        <v>32.240499999999997</v>
      </c>
      <c r="CM488">
        <v>24.5961</v>
      </c>
      <c r="CN488">
        <v>27.209</v>
      </c>
      <c r="CO488">
        <v>21.389199999999999</v>
      </c>
      <c r="CP488">
        <v>48907.1</v>
      </c>
      <c r="CQ488">
        <v>27735</v>
      </c>
      <c r="CR488">
        <v>35223.599999999999</v>
      </c>
      <c r="CS488">
        <v>0.37240000000000001</v>
      </c>
      <c r="CT488">
        <v>0.86529999999999996</v>
      </c>
      <c r="CU488">
        <v>0.53959999999999997</v>
      </c>
      <c r="CV488">
        <v>3.8104</v>
      </c>
      <c r="CW488">
        <v>14.102</v>
      </c>
      <c r="CX488">
        <v>25.953800000000001</v>
      </c>
      <c r="CY488">
        <v>1.5954000000000002</v>
      </c>
      <c r="CZ488">
        <v>229.40309999999999</v>
      </c>
      <c r="DA488">
        <v>2.3727</v>
      </c>
      <c r="DB488">
        <v>154.25399999999999</v>
      </c>
      <c r="DC488">
        <v>101.10290000000001</v>
      </c>
      <c r="DD488">
        <v>255.3569</v>
      </c>
      <c r="DE488">
        <v>26154.1</v>
      </c>
      <c r="DF488">
        <v>2747.3</v>
      </c>
      <c r="DG488">
        <v>5088.8999999999996</v>
      </c>
      <c r="DH488">
        <v>4687.8999999999996</v>
      </c>
      <c r="DI488">
        <v>13630</v>
      </c>
    </row>
    <row r="489" spans="4:113" x14ac:dyDescent="0.3">
      <c r="E489" t="s">
        <v>78</v>
      </c>
      <c r="F489" t="s">
        <v>135</v>
      </c>
      <c r="G489" t="s">
        <v>135</v>
      </c>
      <c r="H489" t="s">
        <v>135</v>
      </c>
      <c r="I489" t="s">
        <v>135</v>
      </c>
      <c r="J489">
        <v>18.845700000000001</v>
      </c>
      <c r="K489">
        <v>14.117900000000001</v>
      </c>
      <c r="L489">
        <v>26.230499999999999</v>
      </c>
      <c r="M489">
        <v>13.0754</v>
      </c>
      <c r="N489">
        <v>9.2740000000000009</v>
      </c>
      <c r="O489">
        <v>9.2772000000000006</v>
      </c>
      <c r="P489">
        <v>9.2772000000000006</v>
      </c>
      <c r="Q489">
        <v>29.072800000000001</v>
      </c>
      <c r="R489" t="s">
        <v>135</v>
      </c>
      <c r="S489" t="s">
        <v>135</v>
      </c>
      <c r="T489">
        <v>6.4016999999999999</v>
      </c>
      <c r="U489">
        <v>11.119</v>
      </c>
      <c r="V489">
        <v>12.5854</v>
      </c>
      <c r="W489">
        <v>-5.7088999999999999</v>
      </c>
      <c r="X489">
        <v>-5.7767999999999997</v>
      </c>
      <c r="Y489" t="s">
        <v>135</v>
      </c>
      <c r="Z489" t="s">
        <v>135</v>
      </c>
      <c r="AA489" t="s">
        <v>135</v>
      </c>
      <c r="AB489" t="s">
        <v>135</v>
      </c>
      <c r="AC489" t="s">
        <v>135</v>
      </c>
      <c r="AD489" t="s">
        <v>135</v>
      </c>
      <c r="AE489" t="s">
        <v>135</v>
      </c>
      <c r="AF489" t="s">
        <v>135</v>
      </c>
      <c r="AG489" t="s">
        <v>135</v>
      </c>
      <c r="AH489" t="s">
        <v>135</v>
      </c>
      <c r="AI489" t="s">
        <v>135</v>
      </c>
      <c r="AJ489" t="s">
        <v>135</v>
      </c>
      <c r="AK489" t="s">
        <v>135</v>
      </c>
      <c r="AL489" t="s">
        <v>135</v>
      </c>
      <c r="AM489" t="s">
        <v>135</v>
      </c>
      <c r="AN489" t="s">
        <v>135</v>
      </c>
      <c r="AO489" t="s">
        <v>135</v>
      </c>
      <c r="AP489" t="s">
        <v>135</v>
      </c>
      <c r="AQ489" t="s">
        <v>135</v>
      </c>
      <c r="AR489" t="s">
        <v>135</v>
      </c>
      <c r="AS489" t="s">
        <v>135</v>
      </c>
      <c r="AT489" t="s">
        <v>135</v>
      </c>
      <c r="AU489" t="s">
        <v>135</v>
      </c>
      <c r="AV489" t="s">
        <v>135</v>
      </c>
      <c r="AW489" t="s">
        <v>135</v>
      </c>
      <c r="AX489" t="s">
        <v>135</v>
      </c>
      <c r="AY489" t="s">
        <v>135</v>
      </c>
      <c r="AZ489" t="s">
        <v>135</v>
      </c>
      <c r="BA489" t="s">
        <v>135</v>
      </c>
      <c r="BB489" t="s">
        <v>135</v>
      </c>
      <c r="BC489" t="s">
        <v>135</v>
      </c>
      <c r="BD489" t="s">
        <v>135</v>
      </c>
      <c r="BE489" t="s">
        <v>135</v>
      </c>
      <c r="BF489">
        <v>-2.2193999999999998</v>
      </c>
      <c r="BG489">
        <v>-13.136900000000001</v>
      </c>
      <c r="BH489">
        <v>-16.4161</v>
      </c>
      <c r="BI489">
        <v>-10.0533</v>
      </c>
      <c r="BJ489">
        <v>-10.066800000000001</v>
      </c>
      <c r="BK489" t="s">
        <v>135</v>
      </c>
      <c r="BL489" t="s">
        <v>135</v>
      </c>
      <c r="BM489" t="s">
        <v>135</v>
      </c>
      <c r="BN489" t="s">
        <v>135</v>
      </c>
      <c r="BO489" t="s">
        <v>135</v>
      </c>
      <c r="BP489" t="s">
        <v>135</v>
      </c>
      <c r="BQ489" t="s">
        <v>135</v>
      </c>
      <c r="BR489" t="s">
        <v>135</v>
      </c>
      <c r="BS489" t="s">
        <v>135</v>
      </c>
      <c r="BT489" t="s">
        <v>135</v>
      </c>
      <c r="BU489" t="s">
        <v>135</v>
      </c>
      <c r="BV489" t="s">
        <v>135</v>
      </c>
      <c r="BW489" t="s">
        <v>135</v>
      </c>
      <c r="BX489" t="s">
        <v>135</v>
      </c>
      <c r="BY489" t="s">
        <v>135</v>
      </c>
      <c r="BZ489" t="s">
        <v>135</v>
      </c>
      <c r="CA489" t="s">
        <v>135</v>
      </c>
      <c r="CB489" t="s">
        <v>135</v>
      </c>
      <c r="CC489" t="s">
        <v>135</v>
      </c>
      <c r="CD489" t="s">
        <v>135</v>
      </c>
      <c r="CE489" t="s">
        <v>135</v>
      </c>
      <c r="CF489">
        <v>8.1110000000000007</v>
      </c>
      <c r="CG489" t="s">
        <v>135</v>
      </c>
      <c r="CH489" t="s">
        <v>135</v>
      </c>
      <c r="CI489" t="s">
        <v>135</v>
      </c>
      <c r="CJ489" t="s">
        <v>135</v>
      </c>
      <c r="CK489" t="s">
        <v>135</v>
      </c>
      <c r="CL489" t="s">
        <v>135</v>
      </c>
      <c r="CM489" t="s">
        <v>135</v>
      </c>
      <c r="CN489" t="s">
        <v>135</v>
      </c>
      <c r="CO489" t="s">
        <v>135</v>
      </c>
      <c r="CP489">
        <v>12008.3</v>
      </c>
      <c r="CQ489" t="s">
        <v>135</v>
      </c>
      <c r="CR489">
        <v>8995.7999999999993</v>
      </c>
      <c r="CS489" t="s">
        <v>135</v>
      </c>
      <c r="CT489" t="s">
        <v>135</v>
      </c>
      <c r="CU489" t="s">
        <v>135</v>
      </c>
      <c r="CV489" t="s">
        <v>135</v>
      </c>
      <c r="CW489" t="s">
        <v>135</v>
      </c>
      <c r="CX489" t="s">
        <v>135</v>
      </c>
      <c r="CY489" t="s">
        <v>135</v>
      </c>
      <c r="CZ489" t="s">
        <v>135</v>
      </c>
      <c r="DA489" t="s">
        <v>135</v>
      </c>
      <c r="DB489" t="s">
        <v>135</v>
      </c>
      <c r="DC489" t="s">
        <v>135</v>
      </c>
      <c r="DD489" t="s">
        <v>135</v>
      </c>
      <c r="DE489" t="s">
        <v>135</v>
      </c>
      <c r="DF489" t="s">
        <v>135</v>
      </c>
      <c r="DG489" t="s">
        <v>135</v>
      </c>
      <c r="DH489" t="s">
        <v>135</v>
      </c>
      <c r="DI489" t="s">
        <v>135</v>
      </c>
    </row>
    <row r="490" spans="4:113" x14ac:dyDescent="0.3">
      <c r="E490" t="s">
        <v>79</v>
      </c>
      <c r="F490">
        <v>10.891</v>
      </c>
      <c r="G490">
        <v>5.5313999999999997</v>
      </c>
      <c r="H490">
        <v>8.6875999999999998</v>
      </c>
      <c r="I490">
        <v>7.4536999999999995</v>
      </c>
      <c r="J490">
        <v>17.777799999999999</v>
      </c>
      <c r="K490">
        <v>11.868</v>
      </c>
      <c r="L490">
        <v>37.9206</v>
      </c>
      <c r="M490">
        <v>10.181699999999999</v>
      </c>
      <c r="N490">
        <v>7.1779000000000002</v>
      </c>
      <c r="O490">
        <v>7.1745000000000001</v>
      </c>
      <c r="P490">
        <v>7.1745000000000001</v>
      </c>
      <c r="Q490">
        <v>29.501799999999999</v>
      </c>
      <c r="R490" t="s">
        <v>135</v>
      </c>
      <c r="S490" t="s">
        <v>135</v>
      </c>
      <c r="T490">
        <v>4.0317999999999996</v>
      </c>
      <c r="U490">
        <v>12.754799999999999</v>
      </c>
      <c r="V490">
        <v>14.133100000000001</v>
      </c>
      <c r="W490">
        <v>3.0731000000000002</v>
      </c>
      <c r="X490">
        <v>3.0484</v>
      </c>
      <c r="Y490" t="s">
        <v>135</v>
      </c>
      <c r="Z490">
        <v>16.248799999999999</v>
      </c>
      <c r="AA490">
        <v>7.9200000000000007E-2</v>
      </c>
      <c r="AB490" t="s">
        <v>135</v>
      </c>
      <c r="AC490">
        <v>5.1571999999999996</v>
      </c>
      <c r="AD490">
        <v>52.709099999999999</v>
      </c>
      <c r="AE490">
        <v>-2365.2905999999998</v>
      </c>
      <c r="AF490">
        <v>-27.995799999999999</v>
      </c>
      <c r="AG490">
        <v>-23.683199999999999</v>
      </c>
      <c r="AH490">
        <v>-9.1523000000000003</v>
      </c>
      <c r="AI490">
        <v>9.8922000000000008</v>
      </c>
      <c r="AJ490">
        <v>3.0482999999999998</v>
      </c>
      <c r="AK490">
        <v>9.9167000000000005</v>
      </c>
      <c r="AL490" t="s">
        <v>135</v>
      </c>
      <c r="AM490" t="s">
        <v>135</v>
      </c>
      <c r="AN490" t="s">
        <v>135</v>
      </c>
      <c r="AO490" t="s">
        <v>135</v>
      </c>
      <c r="AP490" t="s">
        <v>135</v>
      </c>
      <c r="AQ490" t="s">
        <v>135</v>
      </c>
      <c r="AR490" t="s">
        <v>135</v>
      </c>
      <c r="AS490" t="s">
        <v>135</v>
      </c>
      <c r="AT490" t="s">
        <v>135</v>
      </c>
      <c r="AU490" t="s">
        <v>135</v>
      </c>
      <c r="AV490" t="s">
        <v>135</v>
      </c>
      <c r="AW490" t="s">
        <v>135</v>
      </c>
      <c r="AX490" t="s">
        <v>135</v>
      </c>
      <c r="AY490" t="s">
        <v>135</v>
      </c>
      <c r="AZ490" t="s">
        <v>135</v>
      </c>
      <c r="BA490" t="s">
        <v>135</v>
      </c>
      <c r="BB490" t="s">
        <v>135</v>
      </c>
      <c r="BC490" t="s">
        <v>135</v>
      </c>
      <c r="BD490" t="s">
        <v>135</v>
      </c>
      <c r="BE490" t="s">
        <v>135</v>
      </c>
      <c r="BF490">
        <v>-5.2549999999999999</v>
      </c>
      <c r="BG490">
        <v>-11.9823</v>
      </c>
      <c r="BH490">
        <v>-21.356400000000001</v>
      </c>
      <c r="BI490">
        <v>-29.3002</v>
      </c>
      <c r="BJ490">
        <v>-29.286000000000001</v>
      </c>
      <c r="BK490" t="s">
        <v>135</v>
      </c>
      <c r="BL490" t="s">
        <v>135</v>
      </c>
      <c r="BM490" t="s">
        <v>135</v>
      </c>
      <c r="BN490" t="s">
        <v>135</v>
      </c>
      <c r="BO490" t="s">
        <v>135</v>
      </c>
      <c r="BP490" t="s">
        <v>135</v>
      </c>
      <c r="BQ490" t="s">
        <v>135</v>
      </c>
      <c r="BR490" t="s">
        <v>135</v>
      </c>
      <c r="BS490" t="s">
        <v>135</v>
      </c>
      <c r="BT490" t="s">
        <v>135</v>
      </c>
      <c r="BU490" t="s">
        <v>135</v>
      </c>
      <c r="BV490" t="s">
        <v>135</v>
      </c>
      <c r="BW490" t="s">
        <v>135</v>
      </c>
      <c r="BX490" t="s">
        <v>135</v>
      </c>
      <c r="BY490">
        <v>93174.9</v>
      </c>
      <c r="BZ490">
        <v>35528.300000000003</v>
      </c>
      <c r="CA490">
        <v>57646.6</v>
      </c>
      <c r="CB490">
        <v>1.9967000000000001</v>
      </c>
      <c r="CC490">
        <v>1.6005</v>
      </c>
      <c r="CD490">
        <v>2.7335000000000003</v>
      </c>
      <c r="CE490">
        <v>2.1911999999999998</v>
      </c>
      <c r="CF490">
        <v>7.2648999999999999</v>
      </c>
      <c r="CG490">
        <v>51.885599999999997</v>
      </c>
      <c r="CH490">
        <v>28.691299999999998</v>
      </c>
      <c r="CI490">
        <v>19.601400000000002</v>
      </c>
      <c r="CJ490">
        <v>14.8965</v>
      </c>
      <c r="CK490">
        <v>46.374099999999999</v>
      </c>
      <c r="CL490">
        <v>31.681899999999999</v>
      </c>
      <c r="CM490">
        <v>24.077300000000001</v>
      </c>
      <c r="CN490">
        <v>37.173400000000001</v>
      </c>
      <c r="CO490">
        <v>27.099599999999999</v>
      </c>
      <c r="CP490">
        <v>10579.9</v>
      </c>
      <c r="CQ490" t="s">
        <v>135</v>
      </c>
      <c r="CR490">
        <v>7062.9</v>
      </c>
      <c r="CS490">
        <v>0.19170000000000001</v>
      </c>
      <c r="CT490">
        <v>0.84819999999999995</v>
      </c>
      <c r="CU490">
        <v>0.39739999999999998</v>
      </c>
      <c r="CV490">
        <v>4.0162000000000004</v>
      </c>
      <c r="CW490">
        <v>13.3299</v>
      </c>
      <c r="CX490">
        <v>27.382100000000001</v>
      </c>
      <c r="CY490">
        <v>1.3914</v>
      </c>
      <c r="CZ490">
        <v>262.32229999999998</v>
      </c>
      <c r="DA490">
        <v>1.7951999999999999</v>
      </c>
      <c r="DB490">
        <v>203.31569999999999</v>
      </c>
      <c r="DC490">
        <v>86.3887</v>
      </c>
      <c r="DD490">
        <v>289.70440000000002</v>
      </c>
      <c r="DE490">
        <v>30849.8</v>
      </c>
      <c r="DF490" t="s">
        <v>135</v>
      </c>
      <c r="DG490" t="s">
        <v>135</v>
      </c>
      <c r="DH490" t="s">
        <v>135</v>
      </c>
      <c r="DI490" t="s">
        <v>135</v>
      </c>
    </row>
    <row r="491" spans="4:113" x14ac:dyDescent="0.3">
      <c r="E491" t="s">
        <v>80</v>
      </c>
      <c r="F491" t="s">
        <v>135</v>
      </c>
      <c r="G491" t="s">
        <v>135</v>
      </c>
      <c r="H491" t="s">
        <v>135</v>
      </c>
      <c r="I491" t="s">
        <v>135</v>
      </c>
      <c r="J491">
        <v>19.5182</v>
      </c>
      <c r="K491">
        <v>13.9697</v>
      </c>
      <c r="L491">
        <v>45.341799999999999</v>
      </c>
      <c r="M491">
        <v>12.556900000000001</v>
      </c>
      <c r="N491">
        <v>8.9558</v>
      </c>
      <c r="O491">
        <v>8.9373000000000005</v>
      </c>
      <c r="P491">
        <v>8.9373000000000005</v>
      </c>
      <c r="Q491">
        <v>28.6785</v>
      </c>
      <c r="R491" t="s">
        <v>135</v>
      </c>
      <c r="S491" t="s">
        <v>135</v>
      </c>
      <c r="T491">
        <v>4.7412000000000001</v>
      </c>
      <c r="U491">
        <v>16.422899999999998</v>
      </c>
      <c r="V491">
        <v>17.222300000000001</v>
      </c>
      <c r="W491">
        <v>36.486800000000002</v>
      </c>
      <c r="X491">
        <v>36.444699999999997</v>
      </c>
      <c r="Y491" t="s">
        <v>135</v>
      </c>
      <c r="Z491" t="s">
        <v>135</v>
      </c>
      <c r="AA491" t="s">
        <v>135</v>
      </c>
      <c r="AB491" t="s">
        <v>135</v>
      </c>
      <c r="AC491" t="s">
        <v>135</v>
      </c>
      <c r="AD491" t="s">
        <v>135</v>
      </c>
      <c r="AE491" t="s">
        <v>135</v>
      </c>
      <c r="AF491" t="s">
        <v>135</v>
      </c>
      <c r="AG491" t="s">
        <v>135</v>
      </c>
      <c r="AH491" t="s">
        <v>135</v>
      </c>
      <c r="AI491" t="s">
        <v>135</v>
      </c>
      <c r="AJ491" t="s">
        <v>135</v>
      </c>
      <c r="AK491" t="s">
        <v>135</v>
      </c>
      <c r="AL491" t="s">
        <v>135</v>
      </c>
      <c r="AM491" t="s">
        <v>135</v>
      </c>
      <c r="AN491" t="s">
        <v>135</v>
      </c>
      <c r="AO491" t="s">
        <v>135</v>
      </c>
      <c r="AP491" t="s">
        <v>135</v>
      </c>
      <c r="AQ491" t="s">
        <v>135</v>
      </c>
      <c r="AR491" t="s">
        <v>135</v>
      </c>
      <c r="AS491" t="s">
        <v>135</v>
      </c>
      <c r="AT491" t="s">
        <v>135</v>
      </c>
      <c r="AU491" t="s">
        <v>135</v>
      </c>
      <c r="AV491" t="s">
        <v>135</v>
      </c>
      <c r="AW491" t="s">
        <v>135</v>
      </c>
      <c r="AX491" t="s">
        <v>135</v>
      </c>
      <c r="AY491" t="s">
        <v>135</v>
      </c>
      <c r="AZ491" t="s">
        <v>135</v>
      </c>
      <c r="BA491" t="s">
        <v>135</v>
      </c>
      <c r="BB491" t="s">
        <v>135</v>
      </c>
      <c r="BC491" t="s">
        <v>135</v>
      </c>
      <c r="BD491" t="s">
        <v>135</v>
      </c>
      <c r="BE491" t="s">
        <v>135</v>
      </c>
      <c r="BF491">
        <v>4.2869999999999999</v>
      </c>
      <c r="BG491">
        <v>13.449400000000001</v>
      </c>
      <c r="BH491">
        <v>22.417000000000002</v>
      </c>
      <c r="BI491">
        <v>11.323600000000001</v>
      </c>
      <c r="BJ491">
        <v>12.5708</v>
      </c>
      <c r="BK491" t="s">
        <v>135</v>
      </c>
      <c r="BL491" t="s">
        <v>135</v>
      </c>
      <c r="BM491" t="s">
        <v>135</v>
      </c>
      <c r="BN491" t="s">
        <v>135</v>
      </c>
      <c r="BO491" t="s">
        <v>135</v>
      </c>
      <c r="BP491" t="s">
        <v>135</v>
      </c>
      <c r="BQ491" t="s">
        <v>135</v>
      </c>
      <c r="BR491" t="s">
        <v>135</v>
      </c>
      <c r="BS491" t="s">
        <v>135</v>
      </c>
      <c r="BT491" t="s">
        <v>135</v>
      </c>
      <c r="BU491" t="s">
        <v>135</v>
      </c>
      <c r="BV491" t="s">
        <v>135</v>
      </c>
      <c r="BW491" t="s">
        <v>135</v>
      </c>
      <c r="BX491" t="s">
        <v>135</v>
      </c>
      <c r="BY491" t="s">
        <v>135</v>
      </c>
      <c r="BZ491" t="s">
        <v>135</v>
      </c>
      <c r="CA491" t="s">
        <v>135</v>
      </c>
      <c r="CB491" t="s">
        <v>135</v>
      </c>
      <c r="CC491" t="s">
        <v>135</v>
      </c>
      <c r="CD491" t="s">
        <v>135</v>
      </c>
      <c r="CE491" t="s">
        <v>135</v>
      </c>
      <c r="CF491">
        <v>8.5556999999999999</v>
      </c>
      <c r="CG491" t="s">
        <v>135</v>
      </c>
      <c r="CH491" t="s">
        <v>135</v>
      </c>
      <c r="CI491" t="s">
        <v>135</v>
      </c>
      <c r="CJ491" t="s">
        <v>135</v>
      </c>
      <c r="CK491" t="s">
        <v>135</v>
      </c>
      <c r="CL491" t="s">
        <v>135</v>
      </c>
      <c r="CM491" t="s">
        <v>135</v>
      </c>
      <c r="CN491" t="s">
        <v>135</v>
      </c>
      <c r="CO491" t="s">
        <v>135</v>
      </c>
      <c r="CP491">
        <v>11922.4</v>
      </c>
      <c r="CQ491" t="s">
        <v>135</v>
      </c>
      <c r="CR491">
        <v>8533.2000000000007</v>
      </c>
      <c r="CS491" t="s">
        <v>135</v>
      </c>
      <c r="CT491" t="s">
        <v>135</v>
      </c>
      <c r="CU491" t="s">
        <v>135</v>
      </c>
      <c r="CV491" t="s">
        <v>135</v>
      </c>
      <c r="CW491" t="s">
        <v>135</v>
      </c>
      <c r="CX491" t="s">
        <v>135</v>
      </c>
      <c r="CY491" t="s">
        <v>135</v>
      </c>
      <c r="CZ491" t="s">
        <v>135</v>
      </c>
      <c r="DA491" t="s">
        <v>135</v>
      </c>
      <c r="DB491" t="s">
        <v>135</v>
      </c>
      <c r="DC491" t="s">
        <v>135</v>
      </c>
      <c r="DD491" t="s">
        <v>135</v>
      </c>
      <c r="DE491" t="s">
        <v>135</v>
      </c>
      <c r="DF491" t="s">
        <v>135</v>
      </c>
      <c r="DG491" t="s">
        <v>135</v>
      </c>
      <c r="DH491" t="s">
        <v>135</v>
      </c>
      <c r="DI491" t="s">
        <v>135</v>
      </c>
    </row>
    <row r="492" spans="4:113" x14ac:dyDescent="0.3">
      <c r="E492" t="s">
        <v>81</v>
      </c>
      <c r="F492">
        <v>11.8828</v>
      </c>
      <c r="G492">
        <v>6.0446</v>
      </c>
      <c r="H492">
        <v>9.3091000000000008</v>
      </c>
      <c r="I492">
        <v>7.5369000000000002</v>
      </c>
      <c r="J492">
        <v>21.014199999999999</v>
      </c>
      <c r="K492">
        <v>15.5185</v>
      </c>
      <c r="L492" t="s">
        <v>135</v>
      </c>
      <c r="M492">
        <v>14.2262</v>
      </c>
      <c r="N492">
        <v>10.554500000000001</v>
      </c>
      <c r="O492">
        <v>10.547599999999999</v>
      </c>
      <c r="P492">
        <v>10.547599999999999</v>
      </c>
      <c r="Q492">
        <v>25.8096</v>
      </c>
      <c r="R492" t="s">
        <v>135</v>
      </c>
      <c r="S492" t="s">
        <v>135</v>
      </c>
      <c r="T492">
        <v>5.1245000000000003</v>
      </c>
      <c r="U492">
        <v>4.1325000000000003</v>
      </c>
      <c r="V492">
        <v>-1.2237</v>
      </c>
      <c r="W492">
        <v>9.9451999999999998</v>
      </c>
      <c r="X492">
        <v>9.9414999999999996</v>
      </c>
      <c r="Y492" t="s">
        <v>135</v>
      </c>
      <c r="Z492">
        <v>16.1416</v>
      </c>
      <c r="AA492">
        <v>-11.3156</v>
      </c>
      <c r="AB492">
        <v>3.887</v>
      </c>
      <c r="AC492">
        <v>7.1036999999999999</v>
      </c>
      <c r="AD492">
        <v>-3.5911999999999997</v>
      </c>
      <c r="AE492">
        <v>34.197200000000002</v>
      </c>
      <c r="AF492">
        <v>2.2254</v>
      </c>
      <c r="AG492">
        <v>9.7399000000000004</v>
      </c>
      <c r="AH492">
        <v>2.0137999999999998</v>
      </c>
      <c r="AI492">
        <v>10.5693</v>
      </c>
      <c r="AJ492">
        <v>7.6584000000000003</v>
      </c>
      <c r="AK492">
        <v>10.583</v>
      </c>
      <c r="AL492" t="s">
        <v>135</v>
      </c>
      <c r="AM492" t="s">
        <v>135</v>
      </c>
      <c r="AN492" t="s">
        <v>135</v>
      </c>
      <c r="AO492" t="s">
        <v>135</v>
      </c>
      <c r="AP492" t="s">
        <v>135</v>
      </c>
      <c r="AQ492" t="s">
        <v>135</v>
      </c>
      <c r="AR492" t="s">
        <v>135</v>
      </c>
      <c r="AS492" t="s">
        <v>135</v>
      </c>
      <c r="AT492" t="s">
        <v>135</v>
      </c>
      <c r="AU492" t="s">
        <v>135</v>
      </c>
      <c r="AV492" t="s">
        <v>135</v>
      </c>
      <c r="AW492" t="s">
        <v>135</v>
      </c>
      <c r="AX492" t="s">
        <v>135</v>
      </c>
      <c r="AY492" t="s">
        <v>135</v>
      </c>
      <c r="AZ492" t="s">
        <v>135</v>
      </c>
      <c r="BA492" t="s">
        <v>135</v>
      </c>
      <c r="BB492" t="s">
        <v>135</v>
      </c>
      <c r="BC492" t="s">
        <v>135</v>
      </c>
      <c r="BD492" t="s">
        <v>135</v>
      </c>
      <c r="BE492" t="s">
        <v>135</v>
      </c>
      <c r="BF492">
        <v>13.9245</v>
      </c>
      <c r="BG492">
        <v>21.494</v>
      </c>
      <c r="BH492">
        <v>26.001799999999999</v>
      </c>
      <c r="BI492">
        <v>27.748799999999999</v>
      </c>
      <c r="BJ492">
        <v>36.869500000000002</v>
      </c>
      <c r="BK492" t="s">
        <v>135</v>
      </c>
      <c r="BL492" t="s">
        <v>135</v>
      </c>
      <c r="BM492" t="s">
        <v>135</v>
      </c>
      <c r="BN492" t="s">
        <v>135</v>
      </c>
      <c r="BO492" t="s">
        <v>135</v>
      </c>
      <c r="BP492" t="s">
        <v>135</v>
      </c>
      <c r="BQ492" t="s">
        <v>135</v>
      </c>
      <c r="BR492" t="s">
        <v>135</v>
      </c>
      <c r="BS492" t="s">
        <v>135</v>
      </c>
      <c r="BT492" t="s">
        <v>135</v>
      </c>
      <c r="BU492" t="s">
        <v>135</v>
      </c>
      <c r="BV492" t="s">
        <v>135</v>
      </c>
      <c r="BW492" t="s">
        <v>135</v>
      </c>
      <c r="BX492" t="s">
        <v>135</v>
      </c>
      <c r="BY492">
        <v>100270.8</v>
      </c>
      <c r="BZ492">
        <v>53075.5</v>
      </c>
      <c r="CA492">
        <v>47195.3</v>
      </c>
      <c r="CB492">
        <v>2.0558000000000001</v>
      </c>
      <c r="CC492">
        <v>1.1756</v>
      </c>
      <c r="CD492">
        <v>2.8632999999999997</v>
      </c>
      <c r="CE492">
        <v>1.6374</v>
      </c>
      <c r="CF492">
        <v>11.344099999999999</v>
      </c>
      <c r="CG492">
        <v>51.655500000000004</v>
      </c>
      <c r="CH492">
        <v>22.395199999999999</v>
      </c>
      <c r="CI492">
        <v>15.174899999999999</v>
      </c>
      <c r="CJ492">
        <v>11.5769</v>
      </c>
      <c r="CK492">
        <v>47.5807</v>
      </c>
      <c r="CL492">
        <v>32.240499999999997</v>
      </c>
      <c r="CM492">
        <v>24.5961</v>
      </c>
      <c r="CN492">
        <v>27.209</v>
      </c>
      <c r="CO492">
        <v>21.389199999999999</v>
      </c>
      <c r="CP492">
        <v>14395.7</v>
      </c>
      <c r="CQ492" t="s">
        <v>135</v>
      </c>
      <c r="CR492">
        <v>10630.9</v>
      </c>
      <c r="CS492">
        <v>0.37240000000000001</v>
      </c>
      <c r="CT492">
        <v>0.86529999999999996</v>
      </c>
      <c r="CU492">
        <v>0.53959999999999997</v>
      </c>
      <c r="CV492">
        <v>3.8104</v>
      </c>
      <c r="CW492">
        <v>13.9466</v>
      </c>
      <c r="CX492">
        <v>26.242899999999999</v>
      </c>
      <c r="CY492">
        <v>1.5946</v>
      </c>
      <c r="CZ492">
        <v>229.51840000000001</v>
      </c>
      <c r="DA492">
        <v>2.3714</v>
      </c>
      <c r="DB492">
        <v>154.33779999999999</v>
      </c>
      <c r="DC492">
        <v>101.4235</v>
      </c>
      <c r="DD492">
        <v>255.76130000000001</v>
      </c>
      <c r="DE492">
        <v>26154.1</v>
      </c>
      <c r="DF492">
        <v>2747.3</v>
      </c>
      <c r="DG492">
        <v>5088.8999999999996</v>
      </c>
      <c r="DH492">
        <v>4687.8999999999996</v>
      </c>
      <c r="DI492">
        <v>13630</v>
      </c>
    </row>
    <row r="493" spans="4:113" x14ac:dyDescent="0.3">
      <c r="D493" t="s">
        <v>84</v>
      </c>
      <c r="E493" t="s">
        <v>77</v>
      </c>
      <c r="F493">
        <v>11.7181</v>
      </c>
      <c r="G493">
        <v>6.5088999999999997</v>
      </c>
      <c r="H493">
        <v>9.6274999999999995</v>
      </c>
      <c r="I493">
        <v>7.5477999999999996</v>
      </c>
      <c r="J493">
        <v>20.773599999999998</v>
      </c>
      <c r="K493">
        <v>15.399699999999999</v>
      </c>
      <c r="L493">
        <v>160.6602</v>
      </c>
      <c r="M493">
        <v>15.431699999999999</v>
      </c>
      <c r="N493">
        <v>10.814399999999999</v>
      </c>
      <c r="O493">
        <v>10.82</v>
      </c>
      <c r="P493">
        <v>10.82</v>
      </c>
      <c r="Q493">
        <v>29.9208</v>
      </c>
      <c r="R493">
        <v>10.1112</v>
      </c>
      <c r="S493">
        <v>10.533300000000001</v>
      </c>
      <c r="T493">
        <v>0.85119999999999996</v>
      </c>
      <c r="U493">
        <v>6.3552999999999997</v>
      </c>
      <c r="V493">
        <v>9.6552000000000007</v>
      </c>
      <c r="W493">
        <v>9.5592000000000006</v>
      </c>
      <c r="X493">
        <v>9.5623000000000005</v>
      </c>
      <c r="Y493">
        <v>5.2632000000000003</v>
      </c>
      <c r="Z493">
        <v>-8.8746000000000009</v>
      </c>
      <c r="AA493">
        <v>-2.1974999999999998</v>
      </c>
      <c r="AB493">
        <v>0.18679999999999999</v>
      </c>
      <c r="AC493">
        <v>2.4641999999999999</v>
      </c>
      <c r="AD493">
        <v>-13.696300000000001</v>
      </c>
      <c r="AE493" t="s">
        <v>135</v>
      </c>
      <c r="AF493">
        <v>8.1537000000000006</v>
      </c>
      <c r="AG493">
        <v>-63.219000000000001</v>
      </c>
      <c r="AH493">
        <v>-20.1724</v>
      </c>
      <c r="AI493">
        <v>11.111700000000001</v>
      </c>
      <c r="AJ493">
        <v>0.91710000000000003</v>
      </c>
      <c r="AK493">
        <v>11.114699999999999</v>
      </c>
      <c r="AL493">
        <v>10.957800000000001</v>
      </c>
      <c r="AM493">
        <v>5.6334999999999997</v>
      </c>
      <c r="AN493">
        <v>4.4253999999999998</v>
      </c>
      <c r="AO493">
        <v>3.6189</v>
      </c>
      <c r="AP493">
        <v>2.4687000000000001</v>
      </c>
      <c r="AQ493">
        <v>2.4380999999999999</v>
      </c>
      <c r="AR493">
        <v>4.5640000000000001</v>
      </c>
      <c r="AS493">
        <v>10.0457</v>
      </c>
      <c r="AT493">
        <v>1.7798</v>
      </c>
      <c r="AU493">
        <v>11.603400000000001</v>
      </c>
      <c r="AV493">
        <v>11.1343</v>
      </c>
      <c r="AW493">
        <v>16.3292</v>
      </c>
      <c r="AX493" t="s">
        <v>135</v>
      </c>
      <c r="AY493">
        <v>-3.3902999999999999</v>
      </c>
      <c r="AZ493">
        <v>14.9656</v>
      </c>
      <c r="BA493">
        <v>7.5446</v>
      </c>
      <c r="BB493">
        <v>13.619899999999999</v>
      </c>
      <c r="BC493">
        <v>11.8531</v>
      </c>
      <c r="BD493">
        <v>13.6843</v>
      </c>
      <c r="BE493">
        <v>7.3246000000000002</v>
      </c>
      <c r="BF493">
        <v>0.85119999999999996</v>
      </c>
      <c r="BG493">
        <v>6.3552999999999997</v>
      </c>
      <c r="BH493">
        <v>9.6552000000000007</v>
      </c>
      <c r="BI493">
        <v>9.5592000000000006</v>
      </c>
      <c r="BJ493">
        <v>9.5623000000000005</v>
      </c>
      <c r="BK493">
        <v>5.2632000000000003</v>
      </c>
      <c r="BL493">
        <v>-8.8746000000000009</v>
      </c>
      <c r="BM493">
        <v>-2.1974999999999998</v>
      </c>
      <c r="BN493">
        <v>0.18679999999999999</v>
      </c>
      <c r="BO493">
        <v>2.4641999999999999</v>
      </c>
      <c r="BP493">
        <v>-13.696300000000001</v>
      </c>
      <c r="BQ493" t="s">
        <v>135</v>
      </c>
      <c r="BR493">
        <v>8.1537000000000006</v>
      </c>
      <c r="BS493">
        <v>-63.219000000000001</v>
      </c>
      <c r="BT493">
        <v>-20.1724</v>
      </c>
      <c r="BU493">
        <v>11.111700000000001</v>
      </c>
      <c r="BV493">
        <v>0.91710000000000003</v>
      </c>
      <c r="BW493">
        <v>11.114699999999999</v>
      </c>
      <c r="BX493">
        <v>10.957800000000001</v>
      </c>
      <c r="BY493">
        <v>84744.9</v>
      </c>
      <c r="BZ493">
        <v>21036.5</v>
      </c>
      <c r="CA493">
        <v>63708.4</v>
      </c>
      <c r="CB493">
        <v>1.6257999999999999</v>
      </c>
      <c r="CC493">
        <v>0.158</v>
      </c>
      <c r="CD493">
        <v>2.1932</v>
      </c>
      <c r="CE493">
        <v>0.2132</v>
      </c>
      <c r="CF493">
        <v>8.3545999999999996</v>
      </c>
      <c r="CG493">
        <v>57.774500000000003</v>
      </c>
      <c r="CH493">
        <v>26.108599999999999</v>
      </c>
      <c r="CI493">
        <v>19.378499999999999</v>
      </c>
      <c r="CJ493">
        <v>15.0901</v>
      </c>
      <c r="CK493">
        <v>34.729599999999998</v>
      </c>
      <c r="CL493">
        <v>25.7773</v>
      </c>
      <c r="CM493">
        <v>20.072900000000001</v>
      </c>
      <c r="CN493">
        <v>3.3757999999999999</v>
      </c>
      <c r="CO493">
        <v>3.2656000000000001</v>
      </c>
      <c r="CP493">
        <v>52124.4</v>
      </c>
      <c r="CQ493">
        <v>38263.800000000003</v>
      </c>
      <c r="CR493">
        <v>38640.300000000003</v>
      </c>
      <c r="CS493">
        <v>0.91849999999999998</v>
      </c>
      <c r="CT493">
        <v>1.5996999999999999</v>
      </c>
      <c r="CU493">
        <v>1.1294999999999999</v>
      </c>
      <c r="CV493">
        <v>4.9329999999999998</v>
      </c>
      <c r="CW493">
        <v>13.617100000000001</v>
      </c>
      <c r="CX493">
        <v>26.804500000000001</v>
      </c>
      <c r="CY493">
        <v>1.8193999999999999</v>
      </c>
      <c r="CZ493">
        <v>200.61080000000001</v>
      </c>
      <c r="DA493">
        <v>2.4411</v>
      </c>
      <c r="DB493">
        <v>149.52000000000001</v>
      </c>
      <c r="DC493">
        <v>77.895200000000003</v>
      </c>
      <c r="DD493">
        <v>227.4152</v>
      </c>
      <c r="DE493">
        <v>24006.400000000001</v>
      </c>
      <c r="DF493">
        <v>2811.2</v>
      </c>
      <c r="DG493">
        <v>4298.6000000000004</v>
      </c>
      <c r="DH493">
        <v>3643.1</v>
      </c>
      <c r="DI493">
        <v>13253.5</v>
      </c>
    </row>
    <row r="494" spans="4:113" x14ac:dyDescent="0.3">
      <c r="E494" t="s">
        <v>78</v>
      </c>
      <c r="F494" t="s">
        <v>135</v>
      </c>
      <c r="G494" t="s">
        <v>135</v>
      </c>
      <c r="H494" t="s">
        <v>135</v>
      </c>
      <c r="I494" t="s">
        <v>135</v>
      </c>
      <c r="J494">
        <v>22.566700000000001</v>
      </c>
      <c r="K494">
        <v>17.629899999999999</v>
      </c>
      <c r="L494">
        <v>99.204899999999995</v>
      </c>
      <c r="M494">
        <v>17.1892</v>
      </c>
      <c r="N494">
        <v>11.928000000000001</v>
      </c>
      <c r="O494">
        <v>11.9322</v>
      </c>
      <c r="P494">
        <v>11.9322</v>
      </c>
      <c r="Q494">
        <v>30.607800000000001</v>
      </c>
      <c r="R494" t="s">
        <v>135</v>
      </c>
      <c r="S494" t="s">
        <v>135</v>
      </c>
      <c r="T494">
        <v>4.0845000000000002</v>
      </c>
      <c r="U494">
        <v>22.7409</v>
      </c>
      <c r="V494">
        <v>28.3401</v>
      </c>
      <c r="W494">
        <v>29.174399999999999</v>
      </c>
      <c r="X494">
        <v>29.1951</v>
      </c>
      <c r="Y494" t="s">
        <v>135</v>
      </c>
      <c r="Z494" t="s">
        <v>135</v>
      </c>
      <c r="AA494" t="s">
        <v>135</v>
      </c>
      <c r="AB494" t="s">
        <v>135</v>
      </c>
      <c r="AC494" t="s">
        <v>135</v>
      </c>
      <c r="AD494" t="s">
        <v>135</v>
      </c>
      <c r="AE494" t="s">
        <v>135</v>
      </c>
      <c r="AF494" t="s">
        <v>135</v>
      </c>
      <c r="AG494" t="s">
        <v>135</v>
      </c>
      <c r="AH494" t="s">
        <v>135</v>
      </c>
      <c r="AI494" t="s">
        <v>135</v>
      </c>
      <c r="AJ494" t="s">
        <v>135</v>
      </c>
      <c r="AK494" t="s">
        <v>135</v>
      </c>
      <c r="AL494" t="s">
        <v>135</v>
      </c>
      <c r="AM494" t="s">
        <v>135</v>
      </c>
      <c r="AN494" t="s">
        <v>135</v>
      </c>
      <c r="AO494" t="s">
        <v>135</v>
      </c>
      <c r="AP494" t="s">
        <v>135</v>
      </c>
      <c r="AQ494" t="s">
        <v>135</v>
      </c>
      <c r="AR494" t="s">
        <v>135</v>
      </c>
      <c r="AS494" t="s">
        <v>135</v>
      </c>
      <c r="AT494" t="s">
        <v>135</v>
      </c>
      <c r="AU494" t="s">
        <v>135</v>
      </c>
      <c r="AV494" t="s">
        <v>135</v>
      </c>
      <c r="AW494" t="s">
        <v>135</v>
      </c>
      <c r="AX494" t="s">
        <v>135</v>
      </c>
      <c r="AY494" t="s">
        <v>135</v>
      </c>
      <c r="AZ494" t="s">
        <v>135</v>
      </c>
      <c r="BA494" t="s">
        <v>135</v>
      </c>
      <c r="BB494" t="s">
        <v>135</v>
      </c>
      <c r="BC494" t="s">
        <v>135</v>
      </c>
      <c r="BD494" t="s">
        <v>135</v>
      </c>
      <c r="BE494" t="s">
        <v>135</v>
      </c>
      <c r="BF494">
        <v>-4.1193</v>
      </c>
      <c r="BG494">
        <v>0.78900000000000003</v>
      </c>
      <c r="BH494">
        <v>6.2371999999999996</v>
      </c>
      <c r="BI494">
        <v>-4.6448999999999998</v>
      </c>
      <c r="BJ494">
        <v>-4.6643999999999997</v>
      </c>
      <c r="BK494" t="s">
        <v>135</v>
      </c>
      <c r="BL494" t="s">
        <v>135</v>
      </c>
      <c r="BM494" t="s">
        <v>135</v>
      </c>
      <c r="BN494" t="s">
        <v>135</v>
      </c>
      <c r="BO494" t="s">
        <v>135</v>
      </c>
      <c r="BP494" t="s">
        <v>135</v>
      </c>
      <c r="BQ494" t="s">
        <v>135</v>
      </c>
      <c r="BR494" t="s">
        <v>135</v>
      </c>
      <c r="BS494" t="s">
        <v>135</v>
      </c>
      <c r="BT494" t="s">
        <v>135</v>
      </c>
      <c r="BU494" t="s">
        <v>135</v>
      </c>
      <c r="BV494" t="s">
        <v>135</v>
      </c>
      <c r="BW494" t="s">
        <v>135</v>
      </c>
      <c r="BX494" t="s">
        <v>135</v>
      </c>
      <c r="BY494" t="s">
        <v>135</v>
      </c>
      <c r="BZ494" t="s">
        <v>135</v>
      </c>
      <c r="CA494" t="s">
        <v>135</v>
      </c>
      <c r="CB494" t="s">
        <v>135</v>
      </c>
      <c r="CC494" t="s">
        <v>135</v>
      </c>
      <c r="CD494" t="s">
        <v>135</v>
      </c>
      <c r="CE494" t="s">
        <v>135</v>
      </c>
      <c r="CF494">
        <v>8.2047000000000008</v>
      </c>
      <c r="CG494" t="s">
        <v>135</v>
      </c>
      <c r="CH494" t="s">
        <v>135</v>
      </c>
      <c r="CI494" t="s">
        <v>135</v>
      </c>
      <c r="CJ494" t="s">
        <v>135</v>
      </c>
      <c r="CK494" t="s">
        <v>135</v>
      </c>
      <c r="CL494" t="s">
        <v>135</v>
      </c>
      <c r="CM494" t="s">
        <v>135</v>
      </c>
      <c r="CN494" t="s">
        <v>135</v>
      </c>
      <c r="CO494" t="s">
        <v>135</v>
      </c>
      <c r="CP494">
        <v>14753.7</v>
      </c>
      <c r="CQ494" t="s">
        <v>135</v>
      </c>
      <c r="CR494">
        <v>11526.1</v>
      </c>
      <c r="CS494" t="s">
        <v>135</v>
      </c>
      <c r="CT494" t="s">
        <v>135</v>
      </c>
      <c r="CU494" t="s">
        <v>135</v>
      </c>
      <c r="CV494" t="s">
        <v>135</v>
      </c>
      <c r="CW494" t="s">
        <v>135</v>
      </c>
      <c r="CX494" t="s">
        <v>135</v>
      </c>
      <c r="CY494" t="s">
        <v>135</v>
      </c>
      <c r="CZ494" t="s">
        <v>135</v>
      </c>
      <c r="DA494" t="s">
        <v>135</v>
      </c>
      <c r="DB494" t="s">
        <v>135</v>
      </c>
      <c r="DC494" t="s">
        <v>135</v>
      </c>
      <c r="DD494" t="s">
        <v>135</v>
      </c>
      <c r="DE494" t="s">
        <v>135</v>
      </c>
      <c r="DF494" t="s">
        <v>135</v>
      </c>
      <c r="DG494" t="s">
        <v>135</v>
      </c>
      <c r="DH494" t="s">
        <v>135</v>
      </c>
      <c r="DI494" t="s">
        <v>135</v>
      </c>
    </row>
    <row r="495" spans="4:113" x14ac:dyDescent="0.3">
      <c r="E495" t="s">
        <v>79</v>
      </c>
      <c r="F495">
        <v>12.8888</v>
      </c>
      <c r="G495">
        <v>6.9523999999999999</v>
      </c>
      <c r="H495">
        <v>11.1631</v>
      </c>
      <c r="I495">
        <v>8.8747000000000007</v>
      </c>
      <c r="J495">
        <v>21.346800000000002</v>
      </c>
      <c r="K495">
        <v>15.492800000000001</v>
      </c>
      <c r="L495" t="s">
        <v>135</v>
      </c>
      <c r="M495">
        <v>15.6557</v>
      </c>
      <c r="N495">
        <v>10.748900000000001</v>
      </c>
      <c r="O495">
        <v>10.7605</v>
      </c>
      <c r="P495">
        <v>10.7605</v>
      </c>
      <c r="Q495">
        <v>31.341699999999999</v>
      </c>
      <c r="R495" t="s">
        <v>135</v>
      </c>
      <c r="S495" t="s">
        <v>135</v>
      </c>
      <c r="T495">
        <v>-2.5335999999999999</v>
      </c>
      <c r="U495">
        <v>15.9635</v>
      </c>
      <c r="V495">
        <v>26.8843</v>
      </c>
      <c r="W495">
        <v>25.267600000000002</v>
      </c>
      <c r="X495">
        <v>26.670400000000001</v>
      </c>
      <c r="Y495" t="s">
        <v>135</v>
      </c>
      <c r="Z495">
        <v>-8.7078000000000007</v>
      </c>
      <c r="AA495">
        <v>-11.533300000000001</v>
      </c>
      <c r="AB495">
        <v>0.35320000000000001</v>
      </c>
      <c r="AC495">
        <v>6.5190000000000001</v>
      </c>
      <c r="AD495">
        <v>-8.3458000000000006</v>
      </c>
      <c r="AE495" t="s">
        <v>135</v>
      </c>
      <c r="AF495">
        <v>-13.615399999999999</v>
      </c>
      <c r="AG495">
        <v>-42.491199999999999</v>
      </c>
      <c r="AH495">
        <v>-1.3517999999999999</v>
      </c>
      <c r="AI495">
        <v>14.6805</v>
      </c>
      <c r="AJ495">
        <v>10.455299999999999</v>
      </c>
      <c r="AK495">
        <v>14.6844</v>
      </c>
      <c r="AL495" t="s">
        <v>135</v>
      </c>
      <c r="AM495" t="s">
        <v>135</v>
      </c>
      <c r="AN495" t="s">
        <v>135</v>
      </c>
      <c r="AO495" t="s">
        <v>135</v>
      </c>
      <c r="AP495" t="s">
        <v>135</v>
      </c>
      <c r="AQ495" t="s">
        <v>135</v>
      </c>
      <c r="AR495" t="s">
        <v>135</v>
      </c>
      <c r="AS495" t="s">
        <v>135</v>
      </c>
      <c r="AT495" t="s">
        <v>135</v>
      </c>
      <c r="AU495" t="s">
        <v>135</v>
      </c>
      <c r="AV495" t="s">
        <v>135</v>
      </c>
      <c r="AW495" t="s">
        <v>135</v>
      </c>
      <c r="AX495" t="s">
        <v>135</v>
      </c>
      <c r="AY495" t="s">
        <v>135</v>
      </c>
      <c r="AZ495" t="s">
        <v>135</v>
      </c>
      <c r="BA495" t="s">
        <v>135</v>
      </c>
      <c r="BB495" t="s">
        <v>135</v>
      </c>
      <c r="BC495" t="s">
        <v>135</v>
      </c>
      <c r="BD495" t="s">
        <v>135</v>
      </c>
      <c r="BE495" t="s">
        <v>135</v>
      </c>
      <c r="BF495">
        <v>-13.3268</v>
      </c>
      <c r="BG495">
        <v>-17.399699999999999</v>
      </c>
      <c r="BH495">
        <v>-23.264600000000002</v>
      </c>
      <c r="BI495">
        <v>-21.2547</v>
      </c>
      <c r="BJ495">
        <v>-21.260100000000001</v>
      </c>
      <c r="BK495" t="s">
        <v>135</v>
      </c>
      <c r="BL495" t="s">
        <v>135</v>
      </c>
      <c r="BM495" t="s">
        <v>135</v>
      </c>
      <c r="BN495" t="s">
        <v>135</v>
      </c>
      <c r="BO495" t="s">
        <v>135</v>
      </c>
      <c r="BP495" t="s">
        <v>135</v>
      </c>
      <c r="BQ495" t="s">
        <v>135</v>
      </c>
      <c r="BR495" t="s">
        <v>135</v>
      </c>
      <c r="BS495" t="s">
        <v>135</v>
      </c>
      <c r="BT495" t="s">
        <v>135</v>
      </c>
      <c r="BU495" t="s">
        <v>135</v>
      </c>
      <c r="BV495" t="s">
        <v>135</v>
      </c>
      <c r="BW495" t="s">
        <v>135</v>
      </c>
      <c r="BX495" t="s">
        <v>135</v>
      </c>
      <c r="BY495">
        <v>70926.600000000006</v>
      </c>
      <c r="BZ495">
        <v>8196.1</v>
      </c>
      <c r="CA495">
        <v>62730.5</v>
      </c>
      <c r="CB495">
        <v>1.3275000000000001</v>
      </c>
      <c r="CC495">
        <v>0.16239999999999999</v>
      </c>
      <c r="CD495">
        <v>1.7885</v>
      </c>
      <c r="CE495">
        <v>0.21879999999999999</v>
      </c>
      <c r="CF495">
        <v>8.1471999999999998</v>
      </c>
      <c r="CG495">
        <v>55.871099999999998</v>
      </c>
      <c r="CH495">
        <v>27.224900000000002</v>
      </c>
      <c r="CI495">
        <v>20.817</v>
      </c>
      <c r="CJ495">
        <v>15.2181</v>
      </c>
      <c r="CK495">
        <v>30.782</v>
      </c>
      <c r="CL495">
        <v>23.536899999999999</v>
      </c>
      <c r="CM495">
        <v>17.206499999999998</v>
      </c>
      <c r="CN495">
        <v>3.7650000000000001</v>
      </c>
      <c r="CO495">
        <v>3.6284000000000001</v>
      </c>
      <c r="CP495">
        <v>12186.6</v>
      </c>
      <c r="CQ495" t="s">
        <v>135</v>
      </c>
      <c r="CR495">
        <v>8844.6</v>
      </c>
      <c r="CS495">
        <v>0.69310000000000005</v>
      </c>
      <c r="CT495">
        <v>1.4014</v>
      </c>
      <c r="CU495">
        <v>0.89470000000000005</v>
      </c>
      <c r="CV495">
        <v>5.3695000000000004</v>
      </c>
      <c r="CW495">
        <v>13.2509</v>
      </c>
      <c r="CX495">
        <v>27.620799999999999</v>
      </c>
      <c r="CY495">
        <v>1.5154000000000001</v>
      </c>
      <c r="CZ495">
        <v>241.52690000000001</v>
      </c>
      <c r="DA495">
        <v>2.1701999999999999</v>
      </c>
      <c r="DB495">
        <v>168.6455</v>
      </c>
      <c r="DC495">
        <v>100.5022</v>
      </c>
      <c r="DD495">
        <v>269.14769999999999</v>
      </c>
      <c r="DE495">
        <v>27291.8</v>
      </c>
      <c r="DF495" t="s">
        <v>135</v>
      </c>
      <c r="DG495" t="s">
        <v>135</v>
      </c>
      <c r="DH495" t="s">
        <v>135</v>
      </c>
      <c r="DI495" t="s">
        <v>135</v>
      </c>
    </row>
    <row r="496" spans="4:113" x14ac:dyDescent="0.3">
      <c r="E496" t="s">
        <v>80</v>
      </c>
      <c r="F496" t="s">
        <v>135</v>
      </c>
      <c r="G496" t="s">
        <v>135</v>
      </c>
      <c r="H496" t="s">
        <v>135</v>
      </c>
      <c r="I496" t="s">
        <v>135</v>
      </c>
      <c r="J496">
        <v>19.948</v>
      </c>
      <c r="K496">
        <v>14.2805</v>
      </c>
      <c r="L496" t="s">
        <v>135</v>
      </c>
      <c r="M496">
        <v>13.498799999999999</v>
      </c>
      <c r="N496">
        <v>10.020899999999999</v>
      </c>
      <c r="O496">
        <v>10.032</v>
      </c>
      <c r="P496">
        <v>10.032</v>
      </c>
      <c r="Q496">
        <v>25.764600000000002</v>
      </c>
      <c r="R496" t="s">
        <v>135</v>
      </c>
      <c r="S496" t="s">
        <v>135</v>
      </c>
      <c r="T496">
        <v>-1.4309000000000001</v>
      </c>
      <c r="U496">
        <v>-0.2152</v>
      </c>
      <c r="V496">
        <v>0.32119999999999999</v>
      </c>
      <c r="W496">
        <v>5.1272000000000002</v>
      </c>
      <c r="X496">
        <v>6.7083000000000004</v>
      </c>
      <c r="Y496" t="s">
        <v>135</v>
      </c>
      <c r="Z496" t="s">
        <v>135</v>
      </c>
      <c r="AA496" t="s">
        <v>135</v>
      </c>
      <c r="AB496" t="s">
        <v>135</v>
      </c>
      <c r="AC496" t="s">
        <v>135</v>
      </c>
      <c r="AD496" t="s">
        <v>135</v>
      </c>
      <c r="AE496" t="s">
        <v>135</v>
      </c>
      <c r="AF496" t="s">
        <v>135</v>
      </c>
      <c r="AG496" t="s">
        <v>135</v>
      </c>
      <c r="AH496" t="s">
        <v>135</v>
      </c>
      <c r="AI496" t="s">
        <v>135</v>
      </c>
      <c r="AJ496" t="s">
        <v>135</v>
      </c>
      <c r="AK496" t="s">
        <v>135</v>
      </c>
      <c r="AL496" t="s">
        <v>135</v>
      </c>
      <c r="AM496" t="s">
        <v>135</v>
      </c>
      <c r="AN496" t="s">
        <v>135</v>
      </c>
      <c r="AO496" t="s">
        <v>135</v>
      </c>
      <c r="AP496" t="s">
        <v>135</v>
      </c>
      <c r="AQ496" t="s">
        <v>135</v>
      </c>
      <c r="AR496" t="s">
        <v>135</v>
      </c>
      <c r="AS496" t="s">
        <v>135</v>
      </c>
      <c r="AT496" t="s">
        <v>135</v>
      </c>
      <c r="AU496" t="s">
        <v>135</v>
      </c>
      <c r="AV496" t="s">
        <v>135</v>
      </c>
      <c r="AW496" t="s">
        <v>135</v>
      </c>
      <c r="AX496" t="s">
        <v>135</v>
      </c>
      <c r="AY496" t="s">
        <v>135</v>
      </c>
      <c r="AZ496" t="s">
        <v>135</v>
      </c>
      <c r="BA496" t="s">
        <v>135</v>
      </c>
      <c r="BB496" t="s">
        <v>135</v>
      </c>
      <c r="BC496" t="s">
        <v>135</v>
      </c>
      <c r="BD496" t="s">
        <v>135</v>
      </c>
      <c r="BE496" t="s">
        <v>135</v>
      </c>
      <c r="BF496">
        <v>2.7126999999999999</v>
      </c>
      <c r="BG496">
        <v>-2.9802999999999997</v>
      </c>
      <c r="BH496">
        <v>-4.3009000000000004</v>
      </c>
      <c r="BI496">
        <v>-3.2052999999999998</v>
      </c>
      <c r="BJ496">
        <v>-8.27</v>
      </c>
      <c r="BK496" t="s">
        <v>135</v>
      </c>
      <c r="BL496" t="s">
        <v>135</v>
      </c>
      <c r="BM496" t="s">
        <v>135</v>
      </c>
      <c r="BN496" t="s">
        <v>135</v>
      </c>
      <c r="BO496" t="s">
        <v>135</v>
      </c>
      <c r="BP496" t="s">
        <v>135</v>
      </c>
      <c r="BQ496" t="s">
        <v>135</v>
      </c>
      <c r="BR496" t="s">
        <v>135</v>
      </c>
      <c r="BS496" t="s">
        <v>135</v>
      </c>
      <c r="BT496" t="s">
        <v>135</v>
      </c>
      <c r="BU496" t="s">
        <v>135</v>
      </c>
      <c r="BV496" t="s">
        <v>135</v>
      </c>
      <c r="BW496" t="s">
        <v>135</v>
      </c>
      <c r="BX496" t="s">
        <v>135</v>
      </c>
      <c r="BY496" t="s">
        <v>135</v>
      </c>
      <c r="BZ496" t="s">
        <v>135</v>
      </c>
      <c r="CA496" t="s">
        <v>135</v>
      </c>
      <c r="CB496" t="s">
        <v>135</v>
      </c>
      <c r="CC496" t="s">
        <v>135</v>
      </c>
      <c r="CD496" t="s">
        <v>135</v>
      </c>
      <c r="CE496" t="s">
        <v>135</v>
      </c>
      <c r="CF496">
        <v>8.2220999999999993</v>
      </c>
      <c r="CG496" t="s">
        <v>135</v>
      </c>
      <c r="CH496" t="s">
        <v>135</v>
      </c>
      <c r="CI496" t="s">
        <v>135</v>
      </c>
      <c r="CJ496" t="s">
        <v>135</v>
      </c>
      <c r="CK496" t="s">
        <v>135</v>
      </c>
      <c r="CL496" t="s">
        <v>135</v>
      </c>
      <c r="CM496" t="s">
        <v>135</v>
      </c>
      <c r="CN496" t="s">
        <v>135</v>
      </c>
      <c r="CO496" t="s">
        <v>135</v>
      </c>
      <c r="CP496">
        <v>11823.4</v>
      </c>
      <c r="CQ496" t="s">
        <v>135</v>
      </c>
      <c r="CR496">
        <v>8464.2000000000007</v>
      </c>
      <c r="CS496" t="s">
        <v>135</v>
      </c>
      <c r="CT496" t="s">
        <v>135</v>
      </c>
      <c r="CU496" t="s">
        <v>135</v>
      </c>
      <c r="CV496" t="s">
        <v>135</v>
      </c>
      <c r="CW496" t="s">
        <v>135</v>
      </c>
      <c r="CX496" t="s">
        <v>135</v>
      </c>
      <c r="CY496" t="s">
        <v>135</v>
      </c>
      <c r="CZ496" t="s">
        <v>135</v>
      </c>
      <c r="DA496" t="s">
        <v>135</v>
      </c>
      <c r="DB496" t="s">
        <v>135</v>
      </c>
      <c r="DC496" t="s">
        <v>135</v>
      </c>
      <c r="DD496" t="s">
        <v>135</v>
      </c>
      <c r="DE496" t="s">
        <v>135</v>
      </c>
      <c r="DF496" t="s">
        <v>135</v>
      </c>
      <c r="DG496" t="s">
        <v>135</v>
      </c>
      <c r="DH496" t="s">
        <v>135</v>
      </c>
      <c r="DI496" t="s">
        <v>135</v>
      </c>
    </row>
    <row r="497" spans="1:113" x14ac:dyDescent="0.3">
      <c r="E497" t="s">
        <v>81</v>
      </c>
      <c r="F497">
        <v>11.7181</v>
      </c>
      <c r="G497">
        <v>6.5088999999999997</v>
      </c>
      <c r="H497">
        <v>9.6622000000000003</v>
      </c>
      <c r="I497">
        <v>7.5541999999999998</v>
      </c>
      <c r="J497">
        <v>19.032900000000001</v>
      </c>
      <c r="K497">
        <v>13.9682</v>
      </c>
      <c r="L497" t="s">
        <v>135</v>
      </c>
      <c r="M497">
        <v>15.0205</v>
      </c>
      <c r="N497">
        <v>10.343400000000001</v>
      </c>
      <c r="O497">
        <v>10.3407</v>
      </c>
      <c r="P497">
        <v>10.3407</v>
      </c>
      <c r="Q497">
        <v>31.137799999999999</v>
      </c>
      <c r="R497" t="s">
        <v>135</v>
      </c>
      <c r="S497" t="s">
        <v>135</v>
      </c>
      <c r="T497">
        <v>2.9492000000000003</v>
      </c>
      <c r="U497">
        <v>-8.7271999999999998</v>
      </c>
      <c r="V497">
        <v>-9.6227</v>
      </c>
      <c r="W497">
        <v>-11.271100000000001</v>
      </c>
      <c r="X497">
        <v>-11.2752</v>
      </c>
      <c r="Y497" t="s">
        <v>135</v>
      </c>
      <c r="Z497">
        <v>-8.8746000000000009</v>
      </c>
      <c r="AA497">
        <v>-2.1974999999999998</v>
      </c>
      <c r="AB497">
        <v>0.18679999999999999</v>
      </c>
      <c r="AC497">
        <v>2.4641999999999999</v>
      </c>
      <c r="AD497">
        <v>-13.696300000000001</v>
      </c>
      <c r="AE497" t="s">
        <v>135</v>
      </c>
      <c r="AF497">
        <v>8.1537000000000006</v>
      </c>
      <c r="AG497">
        <v>-63.219000000000001</v>
      </c>
      <c r="AH497">
        <v>-20.1724</v>
      </c>
      <c r="AI497">
        <v>11.111700000000001</v>
      </c>
      <c r="AJ497">
        <v>0.91710000000000003</v>
      </c>
      <c r="AK497">
        <v>11.114699999999999</v>
      </c>
      <c r="AL497" t="s">
        <v>135</v>
      </c>
      <c r="AM497" t="s">
        <v>135</v>
      </c>
      <c r="AN497" t="s">
        <v>135</v>
      </c>
      <c r="AO497" t="s">
        <v>135</v>
      </c>
      <c r="AP497" t="s">
        <v>135</v>
      </c>
      <c r="AQ497" t="s">
        <v>135</v>
      </c>
      <c r="AR497" t="s">
        <v>135</v>
      </c>
      <c r="AS497" t="s">
        <v>135</v>
      </c>
      <c r="AT497" t="s">
        <v>135</v>
      </c>
      <c r="AU497" t="s">
        <v>135</v>
      </c>
      <c r="AV497" t="s">
        <v>135</v>
      </c>
      <c r="AW497" t="s">
        <v>135</v>
      </c>
      <c r="AX497" t="s">
        <v>135</v>
      </c>
      <c r="AY497" t="s">
        <v>135</v>
      </c>
      <c r="AZ497" t="s">
        <v>135</v>
      </c>
      <c r="BA497" t="s">
        <v>135</v>
      </c>
      <c r="BB497" t="s">
        <v>135</v>
      </c>
      <c r="BC497" t="s">
        <v>135</v>
      </c>
      <c r="BD497" t="s">
        <v>135</v>
      </c>
      <c r="BE497" t="s">
        <v>135</v>
      </c>
      <c r="BF497">
        <v>17.034700000000001</v>
      </c>
      <c r="BG497">
        <v>12.9869</v>
      </c>
      <c r="BH497">
        <v>15.823700000000001</v>
      </c>
      <c r="BI497">
        <v>22.08</v>
      </c>
      <c r="BJ497">
        <v>22.124700000000001</v>
      </c>
      <c r="BK497" t="s">
        <v>135</v>
      </c>
      <c r="BL497" t="s">
        <v>135</v>
      </c>
      <c r="BM497" t="s">
        <v>135</v>
      </c>
      <c r="BN497" t="s">
        <v>135</v>
      </c>
      <c r="BO497" t="s">
        <v>135</v>
      </c>
      <c r="BP497" t="s">
        <v>135</v>
      </c>
      <c r="BQ497" t="s">
        <v>135</v>
      </c>
      <c r="BR497" t="s">
        <v>135</v>
      </c>
      <c r="BS497" t="s">
        <v>135</v>
      </c>
      <c r="BT497" t="s">
        <v>135</v>
      </c>
      <c r="BU497" t="s">
        <v>135</v>
      </c>
      <c r="BV497" t="s">
        <v>135</v>
      </c>
      <c r="BW497" t="s">
        <v>135</v>
      </c>
      <c r="BX497" t="s">
        <v>135</v>
      </c>
      <c r="BY497">
        <v>84744.9</v>
      </c>
      <c r="BZ497">
        <v>21036.5</v>
      </c>
      <c r="CA497">
        <v>63708.4</v>
      </c>
      <c r="CB497">
        <v>1.6257999999999999</v>
      </c>
      <c r="CC497">
        <v>0.158</v>
      </c>
      <c r="CD497">
        <v>2.1930999999999998</v>
      </c>
      <c r="CE497">
        <v>0.2132</v>
      </c>
      <c r="CF497">
        <v>8.0052000000000003</v>
      </c>
      <c r="CG497">
        <v>57.774500000000003</v>
      </c>
      <c r="CH497">
        <v>26.108599999999999</v>
      </c>
      <c r="CI497">
        <v>19.378499999999999</v>
      </c>
      <c r="CJ497">
        <v>15.0901</v>
      </c>
      <c r="CK497">
        <v>34.729599999999998</v>
      </c>
      <c r="CL497">
        <v>25.7773</v>
      </c>
      <c r="CM497">
        <v>20.072900000000001</v>
      </c>
      <c r="CN497">
        <v>3.3757999999999999</v>
      </c>
      <c r="CO497">
        <v>3.2656000000000001</v>
      </c>
      <c r="CP497">
        <v>13360.7</v>
      </c>
      <c r="CQ497" t="s">
        <v>135</v>
      </c>
      <c r="CR497">
        <v>9805.4</v>
      </c>
      <c r="CS497">
        <v>0.91849999999999998</v>
      </c>
      <c r="CT497">
        <v>1.5996999999999999</v>
      </c>
      <c r="CU497">
        <v>1.1294999999999999</v>
      </c>
      <c r="CV497">
        <v>4.9329999999999998</v>
      </c>
      <c r="CW497">
        <v>13.771000000000001</v>
      </c>
      <c r="CX497">
        <v>26.504999999999999</v>
      </c>
      <c r="CY497">
        <v>1.8193999999999999</v>
      </c>
      <c r="CZ497">
        <v>200.61080000000001</v>
      </c>
      <c r="DA497">
        <v>2.4411</v>
      </c>
      <c r="DB497">
        <v>149.52000000000001</v>
      </c>
      <c r="DC497">
        <v>77.595699999999994</v>
      </c>
      <c r="DD497">
        <v>227.11580000000001</v>
      </c>
      <c r="DE497">
        <v>24006.400000000001</v>
      </c>
      <c r="DF497">
        <v>2811.2</v>
      </c>
      <c r="DG497">
        <v>4298.6000000000004</v>
      </c>
      <c r="DH497">
        <v>3643.1</v>
      </c>
      <c r="DI497">
        <v>13253.5</v>
      </c>
    </row>
    <row r="498" spans="1:113" x14ac:dyDescent="0.3">
      <c r="D498" t="s">
        <v>85</v>
      </c>
      <c r="E498" t="s">
        <v>77</v>
      </c>
      <c r="F498">
        <v>8.7532999999999994</v>
      </c>
      <c r="G498">
        <v>4.4722</v>
      </c>
      <c r="H498">
        <v>7.7358000000000002</v>
      </c>
      <c r="I498">
        <v>6.8817000000000004</v>
      </c>
      <c r="J498">
        <v>20.112500000000001</v>
      </c>
      <c r="K498">
        <v>14.1464</v>
      </c>
      <c r="L498">
        <v>8.7995999999999999</v>
      </c>
      <c r="M498">
        <v>10.6591</v>
      </c>
      <c r="N498">
        <v>7.1818</v>
      </c>
      <c r="O498">
        <v>7.1745000000000001</v>
      </c>
      <c r="P498">
        <v>7.1745000000000001</v>
      </c>
      <c r="Q498">
        <v>32.622100000000003</v>
      </c>
      <c r="R498">
        <v>12.9756</v>
      </c>
      <c r="S498">
        <v>7.6174999999999997</v>
      </c>
      <c r="T498">
        <v>23.441099999999999</v>
      </c>
      <c r="U498">
        <v>19.512699999999999</v>
      </c>
      <c r="V498">
        <v>13.394600000000001</v>
      </c>
      <c r="W498">
        <v>-18.149699999999999</v>
      </c>
      <c r="X498">
        <v>-18.163399999999999</v>
      </c>
      <c r="Y498">
        <v>0</v>
      </c>
      <c r="Z498">
        <v>26.798300000000001</v>
      </c>
      <c r="AA498">
        <v>36.113300000000002</v>
      </c>
      <c r="AB498">
        <v>57.285800000000002</v>
      </c>
      <c r="AC498">
        <v>35.384099999999997</v>
      </c>
      <c r="AD498">
        <v>29.5532</v>
      </c>
      <c r="AE498">
        <v>-97.407499999999999</v>
      </c>
      <c r="AF498">
        <v>35.453600000000002</v>
      </c>
      <c r="AG498">
        <v>71.927400000000006</v>
      </c>
      <c r="AH498">
        <v>129.8689</v>
      </c>
      <c r="AI498">
        <v>8.1781000000000006</v>
      </c>
      <c r="AJ498">
        <v>39.546399999999998</v>
      </c>
      <c r="AK498">
        <v>8.1160999999999994</v>
      </c>
      <c r="AL498">
        <v>-38.151499999999999</v>
      </c>
      <c r="AM498">
        <v>7.9169999999999998</v>
      </c>
      <c r="AN498">
        <v>5.1776</v>
      </c>
      <c r="AO498">
        <v>2.7997999999999998</v>
      </c>
      <c r="AP498">
        <v>-3.661</v>
      </c>
      <c r="AQ498">
        <v>-3.6907999999999999</v>
      </c>
      <c r="AR498">
        <v>2.1295999999999999</v>
      </c>
      <c r="AS498">
        <v>10.113200000000001</v>
      </c>
      <c r="AT498">
        <v>5.1612999999999998</v>
      </c>
      <c r="AU498">
        <v>17.432700000000001</v>
      </c>
      <c r="AV498">
        <v>14.0739</v>
      </c>
      <c r="AW498">
        <v>13.2592</v>
      </c>
      <c r="AX498" t="s">
        <v>135</v>
      </c>
      <c r="AY498">
        <v>1.6106</v>
      </c>
      <c r="AZ498">
        <v>10.724399999999999</v>
      </c>
      <c r="BA498">
        <v>21.549399999999999</v>
      </c>
      <c r="BB498">
        <v>11.513999999999999</v>
      </c>
      <c r="BC498">
        <v>15.161200000000001</v>
      </c>
      <c r="BD498">
        <v>11.579599999999999</v>
      </c>
      <c r="BE498">
        <v>-3.6012</v>
      </c>
      <c r="BF498">
        <v>23.441099999999999</v>
      </c>
      <c r="BG498">
        <v>19.512699999999999</v>
      </c>
      <c r="BH498">
        <v>13.394600000000001</v>
      </c>
      <c r="BI498">
        <v>-18.149699999999999</v>
      </c>
      <c r="BJ498">
        <v>-18.163399999999999</v>
      </c>
      <c r="BK498">
        <v>0</v>
      </c>
      <c r="BL498">
        <v>26.798300000000001</v>
      </c>
      <c r="BM498">
        <v>36.113300000000002</v>
      </c>
      <c r="BN498">
        <v>57.285800000000002</v>
      </c>
      <c r="BO498">
        <v>35.384099999999997</v>
      </c>
      <c r="BP498">
        <v>29.5532</v>
      </c>
      <c r="BQ498">
        <v>-97.407499999999999</v>
      </c>
      <c r="BR498">
        <v>35.453600000000002</v>
      </c>
      <c r="BS498">
        <v>71.927400000000006</v>
      </c>
      <c r="BT498">
        <v>129.8689</v>
      </c>
      <c r="BU498">
        <v>8.1781000000000006</v>
      </c>
      <c r="BV498">
        <v>39.546399999999998</v>
      </c>
      <c r="BW498">
        <v>8.1160999999999994</v>
      </c>
      <c r="BX498">
        <v>-38.151499999999999</v>
      </c>
      <c r="BY498">
        <v>194802.2</v>
      </c>
      <c r="BZ498">
        <v>36167.5</v>
      </c>
      <c r="CA498">
        <v>158634.70000000001</v>
      </c>
      <c r="CB498">
        <v>3.1271</v>
      </c>
      <c r="CC498">
        <v>2.4594</v>
      </c>
      <c r="CD498">
        <v>4.4459</v>
      </c>
      <c r="CE498">
        <v>3.4967000000000001</v>
      </c>
      <c r="CF498">
        <v>5.1083999999999996</v>
      </c>
      <c r="CG498">
        <v>46.155099999999997</v>
      </c>
      <c r="CH498">
        <v>60.095300000000002</v>
      </c>
      <c r="CI498">
        <v>34.578000000000003</v>
      </c>
      <c r="CJ498">
        <v>27.753900000000002</v>
      </c>
      <c r="CK498">
        <v>73.796599999999998</v>
      </c>
      <c r="CL498">
        <v>42.461500000000001</v>
      </c>
      <c r="CM498">
        <v>34.081600000000002</v>
      </c>
      <c r="CN498">
        <v>58.040799999999997</v>
      </c>
      <c r="CO498">
        <v>36.725200000000001</v>
      </c>
      <c r="CP498">
        <v>62295.3</v>
      </c>
      <c r="CQ498">
        <v>41330.300000000003</v>
      </c>
      <c r="CR498">
        <v>43816</v>
      </c>
      <c r="CS498">
        <v>0.36680000000000001</v>
      </c>
      <c r="CT498">
        <v>1.0114000000000001</v>
      </c>
      <c r="CU498">
        <v>0.56330000000000002</v>
      </c>
      <c r="CV498">
        <v>3.0667</v>
      </c>
      <c r="CW498">
        <v>15.5448</v>
      </c>
      <c r="CX498">
        <v>23.480599999999999</v>
      </c>
      <c r="CY498">
        <v>1.9053</v>
      </c>
      <c r="CZ498">
        <v>191.5659</v>
      </c>
      <c r="DA498">
        <v>2.8795999999999999</v>
      </c>
      <c r="DB498">
        <v>126.7552</v>
      </c>
      <c r="DC498">
        <v>88.291200000000003</v>
      </c>
      <c r="DD498">
        <v>215.04640000000001</v>
      </c>
      <c r="DE498">
        <v>32675.9</v>
      </c>
      <c r="DF498">
        <v>3178.7</v>
      </c>
      <c r="DG498">
        <v>6132.6</v>
      </c>
      <c r="DH498">
        <v>3152.5</v>
      </c>
      <c r="DI498">
        <v>20212.099999999999</v>
      </c>
    </row>
    <row r="499" spans="1:113" x14ac:dyDescent="0.3">
      <c r="E499" t="s">
        <v>78</v>
      </c>
      <c r="F499" t="s">
        <v>135</v>
      </c>
      <c r="G499" t="s">
        <v>135</v>
      </c>
      <c r="H499" t="s">
        <v>135</v>
      </c>
      <c r="I499" t="s">
        <v>135</v>
      </c>
      <c r="J499">
        <v>23.202400000000001</v>
      </c>
      <c r="K499">
        <v>18.5153</v>
      </c>
      <c r="L499">
        <v>33.453899999999997</v>
      </c>
      <c r="M499">
        <v>18.425599999999999</v>
      </c>
      <c r="N499">
        <v>12.764099999999999</v>
      </c>
      <c r="O499">
        <v>12.750999999999999</v>
      </c>
      <c r="P499">
        <v>12.750999999999999</v>
      </c>
      <c r="Q499">
        <v>30.726400000000002</v>
      </c>
      <c r="R499" t="s">
        <v>135</v>
      </c>
      <c r="S499" t="s">
        <v>135</v>
      </c>
      <c r="T499">
        <v>6.8018999999999998</v>
      </c>
      <c r="U499">
        <v>10.630599999999999</v>
      </c>
      <c r="V499">
        <v>13.003500000000001</v>
      </c>
      <c r="W499">
        <v>14.9825</v>
      </c>
      <c r="X499">
        <v>14.9595</v>
      </c>
      <c r="Y499" t="s">
        <v>135</v>
      </c>
      <c r="Z499" t="s">
        <v>135</v>
      </c>
      <c r="AA499" t="s">
        <v>135</v>
      </c>
      <c r="AB499" t="s">
        <v>135</v>
      </c>
      <c r="AC499" t="s">
        <v>135</v>
      </c>
      <c r="AD499" t="s">
        <v>135</v>
      </c>
      <c r="AE499" t="s">
        <v>135</v>
      </c>
      <c r="AF499" t="s">
        <v>135</v>
      </c>
      <c r="AG499" t="s">
        <v>135</v>
      </c>
      <c r="AH499" t="s">
        <v>135</v>
      </c>
      <c r="AI499" t="s">
        <v>135</v>
      </c>
      <c r="AJ499" t="s">
        <v>135</v>
      </c>
      <c r="AK499" t="s">
        <v>135</v>
      </c>
      <c r="AL499" t="s">
        <v>135</v>
      </c>
      <c r="AM499" t="s">
        <v>135</v>
      </c>
      <c r="AN499" t="s">
        <v>135</v>
      </c>
      <c r="AO499" t="s">
        <v>135</v>
      </c>
      <c r="AP499" t="s">
        <v>135</v>
      </c>
      <c r="AQ499" t="s">
        <v>135</v>
      </c>
      <c r="AR499" t="s">
        <v>135</v>
      </c>
      <c r="AS499" t="s">
        <v>135</v>
      </c>
      <c r="AT499" t="s">
        <v>135</v>
      </c>
      <c r="AU499" t="s">
        <v>135</v>
      </c>
      <c r="AV499" t="s">
        <v>135</v>
      </c>
      <c r="AW499" t="s">
        <v>135</v>
      </c>
      <c r="AX499" t="s">
        <v>135</v>
      </c>
      <c r="AY499" t="s">
        <v>135</v>
      </c>
      <c r="AZ499" t="s">
        <v>135</v>
      </c>
      <c r="BA499" t="s">
        <v>135</v>
      </c>
      <c r="BB499" t="s">
        <v>135</v>
      </c>
      <c r="BC499" t="s">
        <v>135</v>
      </c>
      <c r="BD499" t="s">
        <v>135</v>
      </c>
      <c r="BE499" t="s">
        <v>135</v>
      </c>
      <c r="BF499">
        <v>0.2117</v>
      </c>
      <c r="BG499">
        <v>22.164999999999999</v>
      </c>
      <c r="BH499">
        <v>32.8339</v>
      </c>
      <c r="BI499">
        <v>23.569400000000002</v>
      </c>
      <c r="BJ499">
        <v>23.524999999999999</v>
      </c>
      <c r="BK499" t="s">
        <v>135</v>
      </c>
      <c r="BL499" t="s">
        <v>135</v>
      </c>
      <c r="BM499" t="s">
        <v>135</v>
      </c>
      <c r="BN499" t="s">
        <v>135</v>
      </c>
      <c r="BO499" t="s">
        <v>135</v>
      </c>
      <c r="BP499" t="s">
        <v>135</v>
      </c>
      <c r="BQ499" t="s">
        <v>135</v>
      </c>
      <c r="BR499" t="s">
        <v>135</v>
      </c>
      <c r="BS499" t="s">
        <v>135</v>
      </c>
      <c r="BT499" t="s">
        <v>135</v>
      </c>
      <c r="BU499" t="s">
        <v>135</v>
      </c>
      <c r="BV499" t="s">
        <v>135</v>
      </c>
      <c r="BW499" t="s">
        <v>135</v>
      </c>
      <c r="BX499" t="s">
        <v>135</v>
      </c>
      <c r="BY499" t="s">
        <v>135</v>
      </c>
      <c r="BZ499" t="s">
        <v>135</v>
      </c>
      <c r="CA499" t="s">
        <v>135</v>
      </c>
      <c r="CB499" t="s">
        <v>135</v>
      </c>
      <c r="CC499" t="s">
        <v>135</v>
      </c>
      <c r="CD499" t="s">
        <v>135</v>
      </c>
      <c r="CE499" t="s">
        <v>135</v>
      </c>
      <c r="CF499">
        <v>11.5883</v>
      </c>
      <c r="CG499" t="s">
        <v>135</v>
      </c>
      <c r="CH499" t="s">
        <v>135</v>
      </c>
      <c r="CI499" t="s">
        <v>135</v>
      </c>
      <c r="CJ499" t="s">
        <v>135</v>
      </c>
      <c r="CK499" t="s">
        <v>135</v>
      </c>
      <c r="CL499" t="s">
        <v>135</v>
      </c>
      <c r="CM499" t="s">
        <v>135</v>
      </c>
      <c r="CN499" t="s">
        <v>135</v>
      </c>
      <c r="CO499" t="s">
        <v>135</v>
      </c>
      <c r="CP499">
        <v>16322.1</v>
      </c>
      <c r="CQ499" t="s">
        <v>135</v>
      </c>
      <c r="CR499">
        <v>13024.9</v>
      </c>
      <c r="CS499" t="s">
        <v>135</v>
      </c>
      <c r="CT499" t="s">
        <v>135</v>
      </c>
      <c r="CU499" t="s">
        <v>135</v>
      </c>
      <c r="CV499" t="s">
        <v>135</v>
      </c>
      <c r="CW499" t="s">
        <v>135</v>
      </c>
      <c r="CX499" t="s">
        <v>135</v>
      </c>
      <c r="CY499" t="s">
        <v>135</v>
      </c>
      <c r="CZ499" t="s">
        <v>135</v>
      </c>
      <c r="DA499" t="s">
        <v>135</v>
      </c>
      <c r="DB499" t="s">
        <v>135</v>
      </c>
      <c r="DC499" t="s">
        <v>135</v>
      </c>
      <c r="DD499" t="s">
        <v>135</v>
      </c>
      <c r="DE499" t="s">
        <v>135</v>
      </c>
      <c r="DF499" t="s">
        <v>135</v>
      </c>
      <c r="DG499" t="s">
        <v>135</v>
      </c>
      <c r="DH499" t="s">
        <v>135</v>
      </c>
      <c r="DI499" t="s">
        <v>135</v>
      </c>
    </row>
    <row r="500" spans="1:113" x14ac:dyDescent="0.3">
      <c r="E500" t="s">
        <v>79</v>
      </c>
      <c r="F500">
        <v>10.911</v>
      </c>
      <c r="G500">
        <v>5.3935000000000004</v>
      </c>
      <c r="H500">
        <v>8.6766000000000005</v>
      </c>
      <c r="I500">
        <v>6.8672000000000004</v>
      </c>
      <c r="J500">
        <v>20.105699999999999</v>
      </c>
      <c r="K500">
        <v>12.5854</v>
      </c>
      <c r="L500" t="s">
        <v>135</v>
      </c>
      <c r="M500">
        <v>9.2260000000000009</v>
      </c>
      <c r="N500">
        <v>6.1094999999999997</v>
      </c>
      <c r="O500">
        <v>6.0952000000000002</v>
      </c>
      <c r="P500">
        <v>6.0952000000000002</v>
      </c>
      <c r="Q500">
        <v>33.780299999999997</v>
      </c>
      <c r="R500" t="s">
        <v>135</v>
      </c>
      <c r="S500" t="s">
        <v>135</v>
      </c>
      <c r="T500">
        <v>20.1981</v>
      </c>
      <c r="U500">
        <v>14.4339</v>
      </c>
      <c r="V500">
        <v>-1.3025</v>
      </c>
      <c r="W500">
        <v>-31.178599999999999</v>
      </c>
      <c r="X500">
        <v>-31.202500000000001</v>
      </c>
      <c r="Y500" t="s">
        <v>135</v>
      </c>
      <c r="Z500">
        <v>8.4703999999999997</v>
      </c>
      <c r="AA500">
        <v>24.028500000000001</v>
      </c>
      <c r="AB500">
        <v>44.698900000000002</v>
      </c>
      <c r="AC500">
        <v>37.515099999999997</v>
      </c>
      <c r="AD500">
        <v>8.6652000000000005</v>
      </c>
      <c r="AE500">
        <v>-99.013900000000007</v>
      </c>
      <c r="AF500">
        <v>32.703299999999999</v>
      </c>
      <c r="AG500">
        <v>210.2012</v>
      </c>
      <c r="AH500">
        <v>166.01429999999999</v>
      </c>
      <c r="AI500">
        <v>10.1569</v>
      </c>
      <c r="AJ500">
        <v>46.840800000000002</v>
      </c>
      <c r="AK500">
        <v>10.1082</v>
      </c>
      <c r="AL500" t="s">
        <v>135</v>
      </c>
      <c r="AM500" t="s">
        <v>135</v>
      </c>
      <c r="AN500" t="s">
        <v>135</v>
      </c>
      <c r="AO500" t="s">
        <v>135</v>
      </c>
      <c r="AP500" t="s">
        <v>135</v>
      </c>
      <c r="AQ500" t="s">
        <v>135</v>
      </c>
      <c r="AR500" t="s">
        <v>135</v>
      </c>
      <c r="AS500" t="s">
        <v>135</v>
      </c>
      <c r="AT500" t="s">
        <v>135</v>
      </c>
      <c r="AU500" t="s">
        <v>135</v>
      </c>
      <c r="AV500" t="s">
        <v>135</v>
      </c>
      <c r="AW500" t="s">
        <v>135</v>
      </c>
      <c r="AX500" t="s">
        <v>135</v>
      </c>
      <c r="AY500" t="s">
        <v>135</v>
      </c>
      <c r="AZ500" t="s">
        <v>135</v>
      </c>
      <c r="BA500" t="s">
        <v>135</v>
      </c>
      <c r="BB500" t="s">
        <v>135</v>
      </c>
      <c r="BC500" t="s">
        <v>135</v>
      </c>
      <c r="BD500" t="s">
        <v>135</v>
      </c>
      <c r="BE500" t="s">
        <v>135</v>
      </c>
      <c r="BF500">
        <v>-1.4008</v>
      </c>
      <c r="BG500">
        <v>-14.56</v>
      </c>
      <c r="BH500">
        <v>-32.979100000000003</v>
      </c>
      <c r="BI500">
        <v>-52.867899999999999</v>
      </c>
      <c r="BJ500">
        <v>-52.878100000000003</v>
      </c>
      <c r="BK500" t="s">
        <v>135</v>
      </c>
      <c r="BL500" t="s">
        <v>135</v>
      </c>
      <c r="BM500" t="s">
        <v>135</v>
      </c>
      <c r="BN500" t="s">
        <v>135</v>
      </c>
      <c r="BO500" t="s">
        <v>135</v>
      </c>
      <c r="BP500" t="s">
        <v>135</v>
      </c>
      <c r="BQ500" t="s">
        <v>135</v>
      </c>
      <c r="BR500" t="s">
        <v>135</v>
      </c>
      <c r="BS500" t="s">
        <v>135</v>
      </c>
      <c r="BT500" t="s">
        <v>135</v>
      </c>
      <c r="BU500" t="s">
        <v>135</v>
      </c>
      <c r="BV500" t="s">
        <v>135</v>
      </c>
      <c r="BW500" t="s">
        <v>135</v>
      </c>
      <c r="BX500" t="s">
        <v>135</v>
      </c>
      <c r="BY500">
        <v>188674.9</v>
      </c>
      <c r="BZ500">
        <v>25424.400000000001</v>
      </c>
      <c r="CA500">
        <v>163250.5</v>
      </c>
      <c r="CB500">
        <v>3.4024000000000001</v>
      </c>
      <c r="CC500">
        <v>2.6141000000000001</v>
      </c>
      <c r="CD500">
        <v>4.7138999999999998</v>
      </c>
      <c r="CE500">
        <v>3.6217000000000001</v>
      </c>
      <c r="CF500">
        <v>3.5918000000000001</v>
      </c>
      <c r="CG500">
        <v>44.749000000000002</v>
      </c>
      <c r="CH500">
        <v>64.317599999999999</v>
      </c>
      <c r="CI500">
        <v>36.893299999999996</v>
      </c>
      <c r="CJ500">
        <v>28.799600000000002</v>
      </c>
      <c r="CK500">
        <v>74.334400000000002</v>
      </c>
      <c r="CL500">
        <v>42.639000000000003</v>
      </c>
      <c r="CM500">
        <v>33.284799999999997</v>
      </c>
      <c r="CN500">
        <v>57.111600000000003</v>
      </c>
      <c r="CO500">
        <v>36.350999999999999</v>
      </c>
      <c r="CP500">
        <v>13945.6</v>
      </c>
      <c r="CQ500" t="s">
        <v>135</v>
      </c>
      <c r="CR500">
        <v>8729.4</v>
      </c>
      <c r="CS500">
        <v>0.37780000000000002</v>
      </c>
      <c r="CT500">
        <v>1.0031000000000001</v>
      </c>
      <c r="CU500">
        <v>0.5474</v>
      </c>
      <c r="CV500">
        <v>3.4765000000000001</v>
      </c>
      <c r="CW500">
        <v>14.305300000000001</v>
      </c>
      <c r="CX500">
        <v>25.514900000000001</v>
      </c>
      <c r="CY500">
        <v>1.5339</v>
      </c>
      <c r="CZ500">
        <v>237.9631</v>
      </c>
      <c r="DA500">
        <v>2.6558999999999999</v>
      </c>
      <c r="DB500">
        <v>137.42840000000001</v>
      </c>
      <c r="DC500">
        <v>126.0497</v>
      </c>
      <c r="DD500">
        <v>263.47809999999998</v>
      </c>
      <c r="DE500">
        <v>33849.599999999999</v>
      </c>
      <c r="DF500" t="s">
        <v>135</v>
      </c>
      <c r="DG500" t="s">
        <v>135</v>
      </c>
      <c r="DH500" t="s">
        <v>135</v>
      </c>
      <c r="DI500" t="s">
        <v>135</v>
      </c>
    </row>
    <row r="501" spans="1:113" x14ac:dyDescent="0.3">
      <c r="E501" t="s">
        <v>80</v>
      </c>
      <c r="F501" t="s">
        <v>135</v>
      </c>
      <c r="G501" t="s">
        <v>135</v>
      </c>
      <c r="H501" t="s">
        <v>135</v>
      </c>
      <c r="I501" t="s">
        <v>135</v>
      </c>
      <c r="J501">
        <v>16.680099999999999</v>
      </c>
      <c r="K501">
        <v>10.4994</v>
      </c>
      <c r="L501" t="s">
        <v>135</v>
      </c>
      <c r="M501">
        <v>7.9655000000000005</v>
      </c>
      <c r="N501">
        <v>5.6946000000000003</v>
      </c>
      <c r="O501">
        <v>5.6901000000000002</v>
      </c>
      <c r="P501">
        <v>5.6901000000000002</v>
      </c>
      <c r="Q501">
        <v>28.509499999999999</v>
      </c>
      <c r="R501" t="s">
        <v>135</v>
      </c>
      <c r="S501" t="s">
        <v>135</v>
      </c>
      <c r="T501">
        <v>33.697200000000002</v>
      </c>
      <c r="U501">
        <v>13.118</v>
      </c>
      <c r="V501">
        <v>-0.54449999999999998</v>
      </c>
      <c r="W501">
        <v>-23.2606</v>
      </c>
      <c r="X501">
        <v>-23.279399999999999</v>
      </c>
      <c r="Y501" t="s">
        <v>135</v>
      </c>
      <c r="Z501" t="s">
        <v>135</v>
      </c>
      <c r="AA501" t="s">
        <v>135</v>
      </c>
      <c r="AB501" t="s">
        <v>135</v>
      </c>
      <c r="AC501" t="s">
        <v>135</v>
      </c>
      <c r="AD501" t="s">
        <v>135</v>
      </c>
      <c r="AE501" t="s">
        <v>135</v>
      </c>
      <c r="AF501" t="s">
        <v>135</v>
      </c>
      <c r="AG501" t="s">
        <v>135</v>
      </c>
      <c r="AH501" t="s">
        <v>135</v>
      </c>
      <c r="AI501" t="s">
        <v>135</v>
      </c>
      <c r="AJ501" t="s">
        <v>135</v>
      </c>
      <c r="AK501" t="s">
        <v>135</v>
      </c>
      <c r="AL501" t="s">
        <v>135</v>
      </c>
      <c r="AM501" t="s">
        <v>135</v>
      </c>
      <c r="AN501" t="s">
        <v>135</v>
      </c>
      <c r="AO501" t="s">
        <v>135</v>
      </c>
      <c r="AP501" t="s">
        <v>135</v>
      </c>
      <c r="AQ501" t="s">
        <v>135</v>
      </c>
      <c r="AR501" t="s">
        <v>135</v>
      </c>
      <c r="AS501" t="s">
        <v>135</v>
      </c>
      <c r="AT501" t="s">
        <v>135</v>
      </c>
      <c r="AU501" t="s">
        <v>135</v>
      </c>
      <c r="AV501" t="s">
        <v>135</v>
      </c>
      <c r="AW501" t="s">
        <v>135</v>
      </c>
      <c r="AX501" t="s">
        <v>135</v>
      </c>
      <c r="AY501" t="s">
        <v>135</v>
      </c>
      <c r="AZ501" t="s">
        <v>135</v>
      </c>
      <c r="BA501" t="s">
        <v>135</v>
      </c>
      <c r="BB501" t="s">
        <v>135</v>
      </c>
      <c r="BC501" t="s">
        <v>135</v>
      </c>
      <c r="BD501" t="s">
        <v>135</v>
      </c>
      <c r="BE501" t="s">
        <v>135</v>
      </c>
      <c r="BF501">
        <v>18.083200000000001</v>
      </c>
      <c r="BG501">
        <v>3.8899999999999997E-2</v>
      </c>
      <c r="BH501">
        <v>3.2484000000000002</v>
      </c>
      <c r="BI501">
        <v>7.931</v>
      </c>
      <c r="BJ501">
        <v>7.9272</v>
      </c>
      <c r="BK501" t="s">
        <v>135</v>
      </c>
      <c r="BL501" t="s">
        <v>135</v>
      </c>
      <c r="BM501" t="s">
        <v>135</v>
      </c>
      <c r="BN501" t="s">
        <v>135</v>
      </c>
      <c r="BO501" t="s">
        <v>135</v>
      </c>
      <c r="BP501" t="s">
        <v>135</v>
      </c>
      <c r="BQ501" t="s">
        <v>135</v>
      </c>
      <c r="BR501" t="s">
        <v>135</v>
      </c>
      <c r="BS501" t="s">
        <v>135</v>
      </c>
      <c r="BT501" t="s">
        <v>135</v>
      </c>
      <c r="BU501" t="s">
        <v>135</v>
      </c>
      <c r="BV501" t="s">
        <v>135</v>
      </c>
      <c r="BW501" t="s">
        <v>135</v>
      </c>
      <c r="BX501" t="s">
        <v>135</v>
      </c>
      <c r="BY501" t="s">
        <v>135</v>
      </c>
      <c r="BZ501" t="s">
        <v>135</v>
      </c>
      <c r="CA501" t="s">
        <v>135</v>
      </c>
      <c r="CB501" t="s">
        <v>135</v>
      </c>
      <c r="CC501" t="s">
        <v>135</v>
      </c>
      <c r="CD501" t="s">
        <v>135</v>
      </c>
      <c r="CE501" t="s">
        <v>135</v>
      </c>
      <c r="CF501">
        <v>3.7233000000000001</v>
      </c>
      <c r="CG501" t="s">
        <v>135</v>
      </c>
      <c r="CH501" t="s">
        <v>135</v>
      </c>
      <c r="CI501" t="s">
        <v>135</v>
      </c>
      <c r="CJ501" t="s">
        <v>135</v>
      </c>
      <c r="CK501" t="s">
        <v>135</v>
      </c>
      <c r="CL501" t="s">
        <v>135</v>
      </c>
      <c r="CM501" t="s">
        <v>135</v>
      </c>
      <c r="CN501" t="s">
        <v>135</v>
      </c>
      <c r="CO501" t="s">
        <v>135</v>
      </c>
      <c r="CP501">
        <v>13376.2</v>
      </c>
      <c r="CQ501" t="s">
        <v>135</v>
      </c>
      <c r="CR501">
        <v>8419.7000000000007</v>
      </c>
      <c r="CS501" t="s">
        <v>135</v>
      </c>
      <c r="CT501" t="s">
        <v>135</v>
      </c>
      <c r="CU501" t="s">
        <v>135</v>
      </c>
      <c r="CV501" t="s">
        <v>135</v>
      </c>
      <c r="CW501" t="s">
        <v>135</v>
      </c>
      <c r="CX501" t="s">
        <v>135</v>
      </c>
      <c r="CY501" t="s">
        <v>135</v>
      </c>
      <c r="CZ501" t="s">
        <v>135</v>
      </c>
      <c r="DA501" t="s">
        <v>135</v>
      </c>
      <c r="DB501" t="s">
        <v>135</v>
      </c>
      <c r="DC501" t="s">
        <v>135</v>
      </c>
      <c r="DD501" t="s">
        <v>135</v>
      </c>
      <c r="DE501" t="s">
        <v>135</v>
      </c>
      <c r="DF501" t="s">
        <v>135</v>
      </c>
      <c r="DG501" t="s">
        <v>135</v>
      </c>
      <c r="DH501" t="s">
        <v>135</v>
      </c>
      <c r="DI501" t="s">
        <v>135</v>
      </c>
    </row>
    <row r="502" spans="1:113" x14ac:dyDescent="0.3">
      <c r="E502" t="s">
        <v>81</v>
      </c>
      <c r="F502">
        <v>8.7532999999999994</v>
      </c>
      <c r="G502">
        <v>4.4722</v>
      </c>
      <c r="H502">
        <v>7.7586000000000004</v>
      </c>
      <c r="I502">
        <v>6.5966000000000005</v>
      </c>
      <c r="J502">
        <v>18.902100000000001</v>
      </c>
      <c r="K502">
        <v>13.5847</v>
      </c>
      <c r="L502">
        <v>12.4634</v>
      </c>
      <c r="M502">
        <v>7.7123999999999997</v>
      </c>
      <c r="N502">
        <v>4.7355999999999998</v>
      </c>
      <c r="O502">
        <v>4.7354000000000003</v>
      </c>
      <c r="P502">
        <v>4.7354000000000003</v>
      </c>
      <c r="Q502">
        <v>38.597799999999999</v>
      </c>
      <c r="R502" t="s">
        <v>135</v>
      </c>
      <c r="S502" t="s">
        <v>135</v>
      </c>
      <c r="T502">
        <v>34.202500000000001</v>
      </c>
      <c r="U502">
        <v>33.2804</v>
      </c>
      <c r="V502">
        <v>30.517900000000001</v>
      </c>
      <c r="W502">
        <v>-38.543900000000001</v>
      </c>
      <c r="X502">
        <v>-38.540100000000002</v>
      </c>
      <c r="Y502" t="s">
        <v>135</v>
      </c>
      <c r="Z502">
        <v>26.798300000000001</v>
      </c>
      <c r="AA502">
        <v>36.113300000000002</v>
      </c>
      <c r="AB502">
        <v>57.285800000000002</v>
      </c>
      <c r="AC502">
        <v>35.384099999999997</v>
      </c>
      <c r="AD502">
        <v>29.5532</v>
      </c>
      <c r="AE502">
        <v>-97.407499999999999</v>
      </c>
      <c r="AF502">
        <v>35.453600000000002</v>
      </c>
      <c r="AG502">
        <v>71.927400000000006</v>
      </c>
      <c r="AH502">
        <v>129.8689</v>
      </c>
      <c r="AI502">
        <v>8.1781000000000006</v>
      </c>
      <c r="AJ502">
        <v>39.546399999999998</v>
      </c>
      <c r="AK502">
        <v>8.1160999999999994</v>
      </c>
      <c r="AL502" t="s">
        <v>135</v>
      </c>
      <c r="AM502" t="s">
        <v>135</v>
      </c>
      <c r="AN502" t="s">
        <v>135</v>
      </c>
      <c r="AO502" t="s">
        <v>135</v>
      </c>
      <c r="AP502" t="s">
        <v>135</v>
      </c>
      <c r="AQ502" t="s">
        <v>135</v>
      </c>
      <c r="AR502" t="s">
        <v>135</v>
      </c>
      <c r="AS502" t="s">
        <v>135</v>
      </c>
      <c r="AT502" t="s">
        <v>135</v>
      </c>
      <c r="AU502" t="s">
        <v>135</v>
      </c>
      <c r="AV502" t="s">
        <v>135</v>
      </c>
      <c r="AW502" t="s">
        <v>135</v>
      </c>
      <c r="AX502" t="s">
        <v>135</v>
      </c>
      <c r="AY502" t="s">
        <v>135</v>
      </c>
      <c r="AZ502" t="s">
        <v>135</v>
      </c>
      <c r="BA502" t="s">
        <v>135</v>
      </c>
      <c r="BB502" t="s">
        <v>135</v>
      </c>
      <c r="BC502" t="s">
        <v>135</v>
      </c>
      <c r="BD502" t="s">
        <v>135</v>
      </c>
      <c r="BE502" t="s">
        <v>135</v>
      </c>
      <c r="BF502">
        <v>19.244399999999999</v>
      </c>
      <c r="BG502">
        <v>33.125999999999998</v>
      </c>
      <c r="BH502">
        <v>51.9983</v>
      </c>
      <c r="BI502">
        <v>-2.2332000000000001</v>
      </c>
      <c r="BJ502">
        <v>-2.1673999999999998</v>
      </c>
      <c r="BK502" t="s">
        <v>135</v>
      </c>
      <c r="BL502" t="s">
        <v>135</v>
      </c>
      <c r="BM502" t="s">
        <v>135</v>
      </c>
      <c r="BN502" t="s">
        <v>135</v>
      </c>
      <c r="BO502" t="s">
        <v>135</v>
      </c>
      <c r="BP502" t="s">
        <v>135</v>
      </c>
      <c r="BQ502" t="s">
        <v>135</v>
      </c>
      <c r="BR502" t="s">
        <v>135</v>
      </c>
      <c r="BS502" t="s">
        <v>135</v>
      </c>
      <c r="BT502" t="s">
        <v>135</v>
      </c>
      <c r="BU502" t="s">
        <v>135</v>
      </c>
      <c r="BV502" t="s">
        <v>135</v>
      </c>
      <c r="BW502" t="s">
        <v>135</v>
      </c>
      <c r="BX502" t="s">
        <v>135</v>
      </c>
      <c r="BY502">
        <v>194802.2</v>
      </c>
      <c r="BZ502">
        <v>36167.5</v>
      </c>
      <c r="CA502">
        <v>158634.70000000001</v>
      </c>
      <c r="CB502">
        <v>3.2</v>
      </c>
      <c r="CC502">
        <v>2.5167999999999999</v>
      </c>
      <c r="CD502">
        <v>4.5946999999999996</v>
      </c>
      <c r="CE502">
        <v>3.6137000000000001</v>
      </c>
      <c r="CF502">
        <v>5.1707999999999998</v>
      </c>
      <c r="CG502">
        <v>46.155099999999997</v>
      </c>
      <c r="CH502">
        <v>60.095300000000002</v>
      </c>
      <c r="CI502">
        <v>34.578000000000003</v>
      </c>
      <c r="CJ502">
        <v>27.753900000000002</v>
      </c>
      <c r="CK502">
        <v>73.796599999999998</v>
      </c>
      <c r="CL502">
        <v>42.461500000000001</v>
      </c>
      <c r="CM502">
        <v>34.081600000000002</v>
      </c>
      <c r="CN502">
        <v>58.040799999999997</v>
      </c>
      <c r="CO502">
        <v>36.725200000000001</v>
      </c>
      <c r="CP502">
        <v>17807.2</v>
      </c>
      <c r="CQ502" t="s">
        <v>135</v>
      </c>
      <c r="CR502">
        <v>12797.8</v>
      </c>
      <c r="CS502">
        <v>0.36680000000000001</v>
      </c>
      <c r="CT502">
        <v>1.0114000000000001</v>
      </c>
      <c r="CU502">
        <v>0.56330000000000002</v>
      </c>
      <c r="CV502">
        <v>3.0667</v>
      </c>
      <c r="CW502">
        <v>15.6319</v>
      </c>
      <c r="CX502">
        <v>23.349699999999999</v>
      </c>
      <c r="CY502">
        <v>1.9053</v>
      </c>
      <c r="CZ502">
        <v>191.5659</v>
      </c>
      <c r="DA502">
        <v>2.8795999999999999</v>
      </c>
      <c r="DB502">
        <v>126.7552</v>
      </c>
      <c r="DC502">
        <v>88.160399999999996</v>
      </c>
      <c r="DD502">
        <v>214.91560000000001</v>
      </c>
      <c r="DE502">
        <v>32675.9</v>
      </c>
      <c r="DF502">
        <v>3178.7</v>
      </c>
      <c r="DG502">
        <v>6132.6</v>
      </c>
      <c r="DH502">
        <v>3152.5</v>
      </c>
      <c r="DI502">
        <v>20212.099999999999</v>
      </c>
    </row>
    <row r="503" spans="1:113" x14ac:dyDescent="0.3">
      <c r="A503">
        <v>96</v>
      </c>
      <c r="B503" t="s">
        <v>123</v>
      </c>
      <c r="C503" t="s">
        <v>124</v>
      </c>
      <c r="D503" t="s">
        <v>76</v>
      </c>
      <c r="E503" t="s">
        <v>77</v>
      </c>
      <c r="F503">
        <v>14.5359</v>
      </c>
      <c r="G503">
        <v>5.9103000000000003</v>
      </c>
      <c r="H503">
        <v>9.6859000000000002</v>
      </c>
      <c r="I503">
        <v>9.5317000000000007</v>
      </c>
      <c r="J503">
        <v>14.4009</v>
      </c>
      <c r="K503">
        <v>9.7339000000000002</v>
      </c>
      <c r="L503">
        <v>23.7423</v>
      </c>
      <c r="M503">
        <v>7.8890000000000002</v>
      </c>
      <c r="N503">
        <v>5.3266</v>
      </c>
      <c r="O503">
        <v>5.3266</v>
      </c>
      <c r="P503">
        <v>5.2652999999999999</v>
      </c>
      <c r="Q503">
        <v>32.480400000000003</v>
      </c>
      <c r="R503">
        <v>10.6722</v>
      </c>
      <c r="S503">
        <v>12.9846</v>
      </c>
      <c r="T503">
        <v>8.5152000000000001</v>
      </c>
      <c r="U503">
        <v>21.115500000000001</v>
      </c>
      <c r="V503">
        <v>23.670400000000001</v>
      </c>
      <c r="W503">
        <v>31.484000000000002</v>
      </c>
      <c r="X503">
        <v>31.513300000000001</v>
      </c>
      <c r="Y503">
        <v>28.571400000000001</v>
      </c>
      <c r="Z503">
        <v>17.865500000000001</v>
      </c>
      <c r="AA503">
        <v>5.9790000000000001</v>
      </c>
      <c r="AB503">
        <v>-1.2075</v>
      </c>
      <c r="AC503">
        <v>4.2031000000000001</v>
      </c>
      <c r="AD503">
        <v>20.081199999999999</v>
      </c>
      <c r="AE503">
        <v>-6.4245999999999999</v>
      </c>
      <c r="AF503">
        <v>-16.101800000000001</v>
      </c>
      <c r="AG503">
        <v>26.5078</v>
      </c>
      <c r="AH503">
        <v>-5.2325999999999997</v>
      </c>
      <c r="AI503">
        <v>12.9193</v>
      </c>
      <c r="AJ503">
        <v>4.5232000000000001</v>
      </c>
      <c r="AK503">
        <v>13.5854</v>
      </c>
      <c r="AL503">
        <v>46.299199999999999</v>
      </c>
      <c r="AM503">
        <v>20.0548</v>
      </c>
      <c r="AN503">
        <v>22.822600000000001</v>
      </c>
      <c r="AO503">
        <v>23.758500000000002</v>
      </c>
      <c r="AP503">
        <v>32.881</v>
      </c>
      <c r="AQ503">
        <v>29.777200000000001</v>
      </c>
      <c r="AR503">
        <v>24.5731</v>
      </c>
      <c r="AS503">
        <v>15.322699999999999</v>
      </c>
      <c r="AT503">
        <v>27.217600000000001</v>
      </c>
      <c r="AU503">
        <v>18.047000000000001</v>
      </c>
      <c r="AV503">
        <v>14.9618</v>
      </c>
      <c r="AW503">
        <v>15.3462</v>
      </c>
      <c r="AX503">
        <v>-10.451700000000001</v>
      </c>
      <c r="AY503" t="s">
        <v>135</v>
      </c>
      <c r="AZ503" t="s">
        <v>135</v>
      </c>
      <c r="BA503">
        <v>14.8584</v>
      </c>
      <c r="BB503">
        <v>9.5417000000000005</v>
      </c>
      <c r="BC503">
        <v>11.590299999999999</v>
      </c>
      <c r="BD503">
        <v>12.16</v>
      </c>
      <c r="BE503" t="s">
        <v>135</v>
      </c>
      <c r="BF503">
        <v>8.5152000000000001</v>
      </c>
      <c r="BG503">
        <v>21.115500000000001</v>
      </c>
      <c r="BH503">
        <v>23.670400000000001</v>
      </c>
      <c r="BI503">
        <v>31.484000000000002</v>
      </c>
      <c r="BJ503">
        <v>31.513300000000001</v>
      </c>
      <c r="BK503">
        <v>28.571400000000001</v>
      </c>
      <c r="BL503">
        <v>17.865500000000001</v>
      </c>
      <c r="BM503">
        <v>5.9790000000000001</v>
      </c>
      <c r="BN503">
        <v>-1.2075</v>
      </c>
      <c r="BO503">
        <v>4.2031000000000001</v>
      </c>
      <c r="BP503">
        <v>20.081199999999999</v>
      </c>
      <c r="BQ503">
        <v>-6.4245999999999999</v>
      </c>
      <c r="BR503">
        <v>-16.101800000000001</v>
      </c>
      <c r="BS503">
        <v>26.5078</v>
      </c>
      <c r="BT503">
        <v>-5.2325999999999997</v>
      </c>
      <c r="BU503">
        <v>12.9193</v>
      </c>
      <c r="BV503">
        <v>4.5232000000000001</v>
      </c>
      <c r="BW503">
        <v>13.5854</v>
      </c>
      <c r="BX503">
        <v>46.299199999999999</v>
      </c>
      <c r="BY503">
        <v>12321</v>
      </c>
      <c r="BZ503">
        <v>7045.6</v>
      </c>
      <c r="CA503">
        <v>5275.4</v>
      </c>
      <c r="CB503">
        <v>2.02</v>
      </c>
      <c r="CC503">
        <v>1.7864</v>
      </c>
      <c r="CD503">
        <v>2.9885000000000002</v>
      </c>
      <c r="CE503">
        <v>2.6429</v>
      </c>
      <c r="CF503">
        <v>7.7999000000000001</v>
      </c>
      <c r="CG503">
        <v>41.885899999999999</v>
      </c>
      <c r="CH503">
        <v>30.9252</v>
      </c>
      <c r="CI503">
        <v>17.956</v>
      </c>
      <c r="CJ503">
        <v>13.5412</v>
      </c>
      <c r="CK503">
        <v>72.227500000000006</v>
      </c>
      <c r="CL503">
        <v>41.9373</v>
      </c>
      <c r="CM503">
        <v>31.6264</v>
      </c>
      <c r="CN503">
        <v>63.875100000000003</v>
      </c>
      <c r="CO503">
        <v>38.977899999999998</v>
      </c>
      <c r="CP503">
        <v>6099.5</v>
      </c>
      <c r="CQ503">
        <v>3979.4</v>
      </c>
      <c r="CR503">
        <v>4122.8</v>
      </c>
      <c r="CS503">
        <v>9.0300000000000005E-2</v>
      </c>
      <c r="CT503">
        <v>1.2690000000000001</v>
      </c>
      <c r="CU503">
        <v>0.69810000000000005</v>
      </c>
      <c r="CV503">
        <v>7.7775999999999996</v>
      </c>
      <c r="CW503">
        <v>4.7806999999999995</v>
      </c>
      <c r="CX503">
        <v>76.347999999999999</v>
      </c>
      <c r="CY503">
        <v>4.5713999999999997</v>
      </c>
      <c r="CZ503">
        <v>79.843999999999994</v>
      </c>
      <c r="DA503">
        <v>10.649699999999999</v>
      </c>
      <c r="DB503">
        <v>34.273400000000002</v>
      </c>
      <c r="DC503">
        <v>121.9186</v>
      </c>
      <c r="DD503">
        <v>156.19200000000001</v>
      </c>
      <c r="DE503">
        <v>5432.8</v>
      </c>
      <c r="DF503">
        <v>1747</v>
      </c>
      <c r="DG503">
        <v>1828.6</v>
      </c>
      <c r="DH503">
        <v>880.8</v>
      </c>
      <c r="DI503">
        <v>976.4</v>
      </c>
    </row>
    <row r="504" spans="1:113" x14ac:dyDescent="0.3">
      <c r="E504" t="s">
        <v>78</v>
      </c>
      <c r="F504" t="s">
        <v>135</v>
      </c>
      <c r="G504" t="s">
        <v>135</v>
      </c>
      <c r="H504" t="s">
        <v>135</v>
      </c>
      <c r="I504" t="s">
        <v>135</v>
      </c>
      <c r="J504">
        <v>20.7121</v>
      </c>
      <c r="K504">
        <v>16.828199999999999</v>
      </c>
      <c r="L504" t="s">
        <v>135</v>
      </c>
      <c r="M504">
        <v>15.2036</v>
      </c>
      <c r="N504">
        <v>10.0105</v>
      </c>
      <c r="O504">
        <v>10.0105</v>
      </c>
      <c r="P504">
        <v>10.0105</v>
      </c>
      <c r="Q504">
        <v>34.1571</v>
      </c>
      <c r="R504" t="s">
        <v>135</v>
      </c>
      <c r="S504" t="s">
        <v>135</v>
      </c>
      <c r="T504">
        <v>-1.4268000000000001</v>
      </c>
      <c r="U504">
        <v>32.305999999999997</v>
      </c>
      <c r="V504">
        <v>34.200099999999999</v>
      </c>
      <c r="W504">
        <v>22.627700000000001</v>
      </c>
      <c r="X504">
        <v>22.641500000000001</v>
      </c>
      <c r="Y504" t="s">
        <v>135</v>
      </c>
      <c r="Z504" t="s">
        <v>135</v>
      </c>
      <c r="AA504" t="s">
        <v>135</v>
      </c>
      <c r="AB504" t="s">
        <v>135</v>
      </c>
      <c r="AC504" t="s">
        <v>135</v>
      </c>
      <c r="AD504" t="s">
        <v>135</v>
      </c>
      <c r="AE504" t="s">
        <v>135</v>
      </c>
      <c r="AF504" t="s">
        <v>135</v>
      </c>
      <c r="AG504" t="s">
        <v>135</v>
      </c>
      <c r="AH504" t="s">
        <v>135</v>
      </c>
      <c r="AI504" t="s">
        <v>135</v>
      </c>
      <c r="AJ504" t="s">
        <v>135</v>
      </c>
      <c r="AK504" t="s">
        <v>135</v>
      </c>
      <c r="AL504" t="s">
        <v>135</v>
      </c>
      <c r="AM504">
        <v>20.5502</v>
      </c>
      <c r="AN504">
        <v>31.3917</v>
      </c>
      <c r="AO504">
        <v>33.940300000000001</v>
      </c>
      <c r="AP504">
        <v>39.876600000000003</v>
      </c>
      <c r="AQ504">
        <v>37.044400000000003</v>
      </c>
      <c r="AR504" t="s">
        <v>135</v>
      </c>
      <c r="AS504" t="s">
        <v>135</v>
      </c>
      <c r="AT504" t="s">
        <v>135</v>
      </c>
      <c r="AU504" t="s">
        <v>135</v>
      </c>
      <c r="AV504" t="s">
        <v>135</v>
      </c>
      <c r="AW504" t="s">
        <v>135</v>
      </c>
      <c r="AX504" t="s">
        <v>135</v>
      </c>
      <c r="AY504" t="s">
        <v>135</v>
      </c>
      <c r="AZ504" t="s">
        <v>135</v>
      </c>
      <c r="BA504" t="s">
        <v>135</v>
      </c>
      <c r="BB504" t="s">
        <v>135</v>
      </c>
      <c r="BC504" t="s">
        <v>135</v>
      </c>
      <c r="BD504" t="s">
        <v>135</v>
      </c>
      <c r="BE504" t="s">
        <v>135</v>
      </c>
      <c r="BF504">
        <v>29.660299999999999</v>
      </c>
      <c r="BG504">
        <v>169.6875</v>
      </c>
      <c r="BH504">
        <v>346.7047</v>
      </c>
      <c r="BI504">
        <v>1967.6922999999999</v>
      </c>
      <c r="BJ504">
        <v>1956.4507000000001</v>
      </c>
      <c r="BK504" t="s">
        <v>135</v>
      </c>
      <c r="BL504" t="s">
        <v>135</v>
      </c>
      <c r="BM504" t="s">
        <v>135</v>
      </c>
      <c r="BN504" t="s">
        <v>135</v>
      </c>
      <c r="BO504" t="s">
        <v>135</v>
      </c>
      <c r="BP504" t="s">
        <v>135</v>
      </c>
      <c r="BQ504" t="s">
        <v>135</v>
      </c>
      <c r="BR504" t="s">
        <v>135</v>
      </c>
      <c r="BS504" t="s">
        <v>135</v>
      </c>
      <c r="BT504" t="s">
        <v>135</v>
      </c>
      <c r="BU504" t="s">
        <v>135</v>
      </c>
      <c r="BV504" t="s">
        <v>135</v>
      </c>
      <c r="BW504" t="s">
        <v>135</v>
      </c>
      <c r="BX504" t="s">
        <v>135</v>
      </c>
      <c r="BY504" t="s">
        <v>135</v>
      </c>
      <c r="BZ504" t="s">
        <v>135</v>
      </c>
      <c r="CA504" t="s">
        <v>135</v>
      </c>
      <c r="CB504" t="s">
        <v>135</v>
      </c>
      <c r="CC504" t="s">
        <v>135</v>
      </c>
      <c r="CD504" t="s">
        <v>135</v>
      </c>
      <c r="CE504" t="s">
        <v>135</v>
      </c>
      <c r="CF504" t="s">
        <v>135</v>
      </c>
      <c r="CG504" t="s">
        <v>135</v>
      </c>
      <c r="CH504" t="s">
        <v>135</v>
      </c>
      <c r="CI504" t="s">
        <v>135</v>
      </c>
      <c r="CJ504" t="s">
        <v>135</v>
      </c>
      <c r="CK504" t="s">
        <v>135</v>
      </c>
      <c r="CL504" t="s">
        <v>135</v>
      </c>
      <c r="CM504" t="s">
        <v>135</v>
      </c>
      <c r="CN504" t="s">
        <v>135</v>
      </c>
      <c r="CO504" t="s">
        <v>135</v>
      </c>
      <c r="CP504">
        <v>2502.6999999999998</v>
      </c>
      <c r="CQ504" t="s">
        <v>135</v>
      </c>
      <c r="CR504">
        <v>2033.4</v>
      </c>
      <c r="CS504" t="s">
        <v>135</v>
      </c>
      <c r="CT504" t="s">
        <v>135</v>
      </c>
      <c r="CU504" t="s">
        <v>135</v>
      </c>
      <c r="CV504" t="s">
        <v>135</v>
      </c>
      <c r="CW504" t="s">
        <v>135</v>
      </c>
      <c r="CX504" t="s">
        <v>135</v>
      </c>
      <c r="CY504" t="s">
        <v>135</v>
      </c>
      <c r="CZ504" t="s">
        <v>135</v>
      </c>
      <c r="DA504" t="s">
        <v>135</v>
      </c>
      <c r="DB504" t="s">
        <v>135</v>
      </c>
      <c r="DC504" t="s">
        <v>135</v>
      </c>
      <c r="DD504" t="s">
        <v>135</v>
      </c>
      <c r="DE504" t="s">
        <v>135</v>
      </c>
      <c r="DF504" t="s">
        <v>135</v>
      </c>
      <c r="DG504" t="s">
        <v>135</v>
      </c>
      <c r="DH504" t="s">
        <v>135</v>
      </c>
      <c r="DI504" t="s">
        <v>135</v>
      </c>
    </row>
    <row r="505" spans="1:113" x14ac:dyDescent="0.3">
      <c r="E505" t="s">
        <v>79</v>
      </c>
      <c r="F505">
        <v>9.1209000000000007</v>
      </c>
      <c r="G505">
        <v>4.2024999999999997</v>
      </c>
      <c r="H505" t="s">
        <v>135</v>
      </c>
      <c r="I505">
        <v>6.9992000000000001</v>
      </c>
      <c r="J505">
        <v>5.0186000000000002</v>
      </c>
      <c r="K505">
        <v>-1.3201000000000001</v>
      </c>
      <c r="L505">
        <v>-171.78970000000001</v>
      </c>
      <c r="M505">
        <v>-3.5455999999999999</v>
      </c>
      <c r="N505">
        <v>-2.4687999999999999</v>
      </c>
      <c r="O505">
        <v>-2.4687999999999999</v>
      </c>
      <c r="P505">
        <v>-2.4687999999999999</v>
      </c>
      <c r="Q505" t="s">
        <v>135</v>
      </c>
      <c r="R505" t="s">
        <v>135</v>
      </c>
      <c r="S505" t="s">
        <v>135</v>
      </c>
      <c r="T505">
        <v>-5.6091999999999995</v>
      </c>
      <c r="U505">
        <v>-65.759600000000006</v>
      </c>
      <c r="V505" t="s">
        <v>135</v>
      </c>
      <c r="W505" t="s">
        <v>135</v>
      </c>
      <c r="X505" t="s">
        <v>135</v>
      </c>
      <c r="Y505" t="s">
        <v>135</v>
      </c>
      <c r="Z505">
        <v>4.7243000000000004</v>
      </c>
      <c r="AA505">
        <v>10.3987</v>
      </c>
      <c r="AB505">
        <v>11.9436</v>
      </c>
      <c r="AC505">
        <v>7.6802999999999999</v>
      </c>
      <c r="AD505">
        <v>8.4182000000000006</v>
      </c>
      <c r="AE505">
        <v>147.97999999999999</v>
      </c>
      <c r="AF505">
        <v>-1.6955</v>
      </c>
      <c r="AG505">
        <v>-61.9465</v>
      </c>
      <c r="AH505">
        <v>2.3715000000000002</v>
      </c>
      <c r="AI505">
        <v>7.6896000000000004</v>
      </c>
      <c r="AJ505">
        <v>5.68</v>
      </c>
      <c r="AK505">
        <v>7.6896000000000004</v>
      </c>
      <c r="AL505" t="s">
        <v>135</v>
      </c>
      <c r="AM505">
        <v>15.4894</v>
      </c>
      <c r="AN505">
        <v>2.5710999999999999</v>
      </c>
      <c r="AO505" t="s">
        <v>135</v>
      </c>
      <c r="AP505" t="s">
        <v>135</v>
      </c>
      <c r="AQ505" t="s">
        <v>135</v>
      </c>
      <c r="AR505" t="s">
        <v>135</v>
      </c>
      <c r="AS505" t="s">
        <v>135</v>
      </c>
      <c r="AT505" t="s">
        <v>135</v>
      </c>
      <c r="AU505" t="s">
        <v>135</v>
      </c>
      <c r="AV505" t="s">
        <v>135</v>
      </c>
      <c r="AW505" t="s">
        <v>135</v>
      </c>
      <c r="AX505" t="s">
        <v>135</v>
      </c>
      <c r="AY505" t="s">
        <v>135</v>
      </c>
      <c r="AZ505" t="s">
        <v>135</v>
      </c>
      <c r="BA505" t="s">
        <v>135</v>
      </c>
      <c r="BB505" t="s">
        <v>135</v>
      </c>
      <c r="BC505" t="s">
        <v>135</v>
      </c>
      <c r="BD505" t="s">
        <v>135</v>
      </c>
      <c r="BE505" t="s">
        <v>135</v>
      </c>
      <c r="BF505">
        <v>-37.748800000000003</v>
      </c>
      <c r="BG505">
        <v>-84.916300000000007</v>
      </c>
      <c r="BH505">
        <v>-104.88339999999999</v>
      </c>
      <c r="BI505">
        <v>-115.3522</v>
      </c>
      <c r="BJ505">
        <v>-116.044</v>
      </c>
      <c r="BK505" t="s">
        <v>135</v>
      </c>
      <c r="BL505" t="s">
        <v>135</v>
      </c>
      <c r="BM505" t="s">
        <v>135</v>
      </c>
      <c r="BN505" t="s">
        <v>135</v>
      </c>
      <c r="BO505" t="s">
        <v>135</v>
      </c>
      <c r="BP505" t="s">
        <v>135</v>
      </c>
      <c r="BQ505" t="s">
        <v>135</v>
      </c>
      <c r="BR505" t="s">
        <v>135</v>
      </c>
      <c r="BS505" t="s">
        <v>135</v>
      </c>
      <c r="BT505" t="s">
        <v>135</v>
      </c>
      <c r="BU505" t="s">
        <v>135</v>
      </c>
      <c r="BV505" t="s">
        <v>135</v>
      </c>
      <c r="BW505" t="s">
        <v>135</v>
      </c>
      <c r="BX505" t="s">
        <v>135</v>
      </c>
      <c r="BY505">
        <v>9306.9</v>
      </c>
      <c r="BZ505">
        <v>1897.5</v>
      </c>
      <c r="CA505">
        <v>7409.4</v>
      </c>
      <c r="CB505">
        <v>2.0002</v>
      </c>
      <c r="CC505">
        <v>1.6930000000000001</v>
      </c>
      <c r="CD505">
        <v>3.3064999999999998</v>
      </c>
      <c r="CE505">
        <v>2.7987000000000002</v>
      </c>
      <c r="CF505" t="s">
        <v>135</v>
      </c>
      <c r="CG505">
        <v>46.078000000000003</v>
      </c>
      <c r="CH505">
        <v>45.970300000000002</v>
      </c>
      <c r="CI505">
        <v>29.142499999999998</v>
      </c>
      <c r="CJ505">
        <v>21.182200000000002</v>
      </c>
      <c r="CK505">
        <v>57.743000000000002</v>
      </c>
      <c r="CL505">
        <v>36.605699999999999</v>
      </c>
      <c r="CM505">
        <v>26.6068</v>
      </c>
      <c r="CN505">
        <v>48.874499999999998</v>
      </c>
      <c r="CO505">
        <v>32.829300000000003</v>
      </c>
      <c r="CP505">
        <v>377.5</v>
      </c>
      <c r="CQ505" t="s">
        <v>135</v>
      </c>
      <c r="CR505">
        <v>-99.3</v>
      </c>
      <c r="CS505">
        <v>0.13450000000000001</v>
      </c>
      <c r="CT505">
        <v>1.5192000000000001</v>
      </c>
      <c r="CU505">
        <v>0.86599999999999999</v>
      </c>
      <c r="CV505">
        <v>9.3446999999999996</v>
      </c>
      <c r="CW505">
        <v>4.8213999999999997</v>
      </c>
      <c r="CX505">
        <v>75.704400000000007</v>
      </c>
      <c r="CY505">
        <v>3.2187000000000001</v>
      </c>
      <c r="CZ505">
        <v>113.3991</v>
      </c>
      <c r="DA505">
        <v>10.5185</v>
      </c>
      <c r="DB505">
        <v>34.700600000000001</v>
      </c>
      <c r="DC505">
        <v>154.40289999999999</v>
      </c>
      <c r="DD505">
        <v>189.1035</v>
      </c>
      <c r="DE505">
        <v>5642.7</v>
      </c>
      <c r="DF505" t="s">
        <v>135</v>
      </c>
      <c r="DG505" t="s">
        <v>135</v>
      </c>
      <c r="DH505" t="s">
        <v>135</v>
      </c>
      <c r="DI505" t="s">
        <v>135</v>
      </c>
    </row>
    <row r="506" spans="1:113" x14ac:dyDescent="0.3">
      <c r="E506" t="s">
        <v>80</v>
      </c>
      <c r="F506" t="s">
        <v>135</v>
      </c>
      <c r="G506" t="s">
        <v>135</v>
      </c>
      <c r="H506" t="s">
        <v>135</v>
      </c>
      <c r="I506" t="s">
        <v>135</v>
      </c>
      <c r="J506">
        <v>17.347000000000001</v>
      </c>
      <c r="K506">
        <v>11.3687</v>
      </c>
      <c r="L506">
        <v>62.7119</v>
      </c>
      <c r="M506">
        <v>9.7379999999999995</v>
      </c>
      <c r="N506">
        <v>6.4612999999999996</v>
      </c>
      <c r="O506">
        <v>6.4612999999999996</v>
      </c>
      <c r="P506">
        <v>6.4612999999999996</v>
      </c>
      <c r="Q506">
        <v>33.648099999999999</v>
      </c>
      <c r="R506" t="s">
        <v>135</v>
      </c>
      <c r="S506" t="s">
        <v>135</v>
      </c>
      <c r="T506">
        <v>11.399100000000001</v>
      </c>
      <c r="U506">
        <v>76.429500000000004</v>
      </c>
      <c r="V506">
        <v>129.59569999999999</v>
      </c>
      <c r="W506">
        <v>65.602599999999995</v>
      </c>
      <c r="X506">
        <v>63.779499999999999</v>
      </c>
      <c r="Y506" t="s">
        <v>135</v>
      </c>
      <c r="Z506" t="s">
        <v>135</v>
      </c>
      <c r="AA506" t="s">
        <v>135</v>
      </c>
      <c r="AB506" t="s">
        <v>135</v>
      </c>
      <c r="AC506" t="s">
        <v>135</v>
      </c>
      <c r="AD506" t="s">
        <v>135</v>
      </c>
      <c r="AE506" t="s">
        <v>135</v>
      </c>
      <c r="AF506" t="s">
        <v>135</v>
      </c>
      <c r="AG506" t="s">
        <v>135</v>
      </c>
      <c r="AH506" t="s">
        <v>135</v>
      </c>
      <c r="AI506" t="s">
        <v>135</v>
      </c>
      <c r="AJ506" t="s">
        <v>135</v>
      </c>
      <c r="AK506" t="s">
        <v>135</v>
      </c>
      <c r="AL506" t="s">
        <v>135</v>
      </c>
      <c r="AM506">
        <v>18.130199999999999</v>
      </c>
      <c r="AN506">
        <v>33.625900000000001</v>
      </c>
      <c r="AO506">
        <v>45.263599999999997</v>
      </c>
      <c r="AP506">
        <v>106.73350000000001</v>
      </c>
      <c r="AQ506">
        <v>102.39109999999999</v>
      </c>
      <c r="AR506" t="s">
        <v>135</v>
      </c>
      <c r="AS506" t="s">
        <v>135</v>
      </c>
      <c r="AT506" t="s">
        <v>135</v>
      </c>
      <c r="AU506" t="s">
        <v>135</v>
      </c>
      <c r="AV506" t="s">
        <v>135</v>
      </c>
      <c r="AW506" t="s">
        <v>135</v>
      </c>
      <c r="AX506" t="s">
        <v>135</v>
      </c>
      <c r="AY506" t="s">
        <v>135</v>
      </c>
      <c r="AZ506" t="s">
        <v>135</v>
      </c>
      <c r="BA506" t="s">
        <v>135</v>
      </c>
      <c r="BB506" t="s">
        <v>135</v>
      </c>
      <c r="BC506" t="s">
        <v>135</v>
      </c>
      <c r="BD506" t="s">
        <v>135</v>
      </c>
      <c r="BE506" t="s">
        <v>135</v>
      </c>
      <c r="BF506">
        <v>14.212999999999999</v>
      </c>
      <c r="BG506">
        <v>294.78149999999999</v>
      </c>
      <c r="BH506" t="s">
        <v>135</v>
      </c>
      <c r="BI506" t="s">
        <v>135</v>
      </c>
      <c r="BJ506" t="s">
        <v>135</v>
      </c>
      <c r="BK506" t="s">
        <v>135</v>
      </c>
      <c r="BL506" t="s">
        <v>135</v>
      </c>
      <c r="BM506" t="s">
        <v>135</v>
      </c>
      <c r="BN506" t="s">
        <v>135</v>
      </c>
      <c r="BO506" t="s">
        <v>135</v>
      </c>
      <c r="BP506" t="s">
        <v>135</v>
      </c>
      <c r="BQ506" t="s">
        <v>135</v>
      </c>
      <c r="BR506" t="s">
        <v>135</v>
      </c>
      <c r="BS506" t="s">
        <v>135</v>
      </c>
      <c r="BT506" t="s">
        <v>135</v>
      </c>
      <c r="BU506" t="s">
        <v>135</v>
      </c>
      <c r="BV506" t="s">
        <v>135</v>
      </c>
      <c r="BW506" t="s">
        <v>135</v>
      </c>
      <c r="BX506" t="s">
        <v>135</v>
      </c>
      <c r="BY506" t="s">
        <v>135</v>
      </c>
      <c r="BZ506" t="s">
        <v>135</v>
      </c>
      <c r="CA506" t="s">
        <v>135</v>
      </c>
      <c r="CB506" t="s">
        <v>135</v>
      </c>
      <c r="CC506" t="s">
        <v>135</v>
      </c>
      <c r="CD506" t="s">
        <v>135</v>
      </c>
      <c r="CE506" t="s">
        <v>135</v>
      </c>
      <c r="CF506" t="s">
        <v>135</v>
      </c>
      <c r="CG506" t="s">
        <v>135</v>
      </c>
      <c r="CH506" t="s">
        <v>135</v>
      </c>
      <c r="CI506" t="s">
        <v>135</v>
      </c>
      <c r="CJ506" t="s">
        <v>135</v>
      </c>
      <c r="CK506" t="s">
        <v>135</v>
      </c>
      <c r="CL506" t="s">
        <v>135</v>
      </c>
      <c r="CM506" t="s">
        <v>135</v>
      </c>
      <c r="CN506" t="s">
        <v>135</v>
      </c>
      <c r="CO506" t="s">
        <v>135</v>
      </c>
      <c r="CP506">
        <v>1490.3</v>
      </c>
      <c r="CQ506" t="s">
        <v>135</v>
      </c>
      <c r="CR506">
        <v>976.7</v>
      </c>
      <c r="CS506" t="s">
        <v>135</v>
      </c>
      <c r="CT506" t="s">
        <v>135</v>
      </c>
      <c r="CU506" t="s">
        <v>135</v>
      </c>
      <c r="CV506" t="s">
        <v>135</v>
      </c>
      <c r="CW506" t="s">
        <v>135</v>
      </c>
      <c r="CX506" t="s">
        <v>135</v>
      </c>
      <c r="CY506" t="s">
        <v>135</v>
      </c>
      <c r="CZ506" t="s">
        <v>135</v>
      </c>
      <c r="DA506" t="s">
        <v>135</v>
      </c>
      <c r="DB506" t="s">
        <v>135</v>
      </c>
      <c r="DC506" t="s">
        <v>135</v>
      </c>
      <c r="DD506" t="s">
        <v>135</v>
      </c>
      <c r="DE506" t="s">
        <v>135</v>
      </c>
      <c r="DF506" t="s">
        <v>135</v>
      </c>
      <c r="DG506" t="s">
        <v>135</v>
      </c>
      <c r="DH506" t="s">
        <v>135</v>
      </c>
      <c r="DI506" t="s">
        <v>135</v>
      </c>
    </row>
    <row r="507" spans="1:113" x14ac:dyDescent="0.3">
      <c r="E507" t="s">
        <v>81</v>
      </c>
      <c r="F507">
        <v>14.705299999999999</v>
      </c>
      <c r="G507">
        <v>5.9103000000000003</v>
      </c>
      <c r="H507" t="s">
        <v>135</v>
      </c>
      <c r="I507">
        <v>8.8391000000000002</v>
      </c>
      <c r="J507">
        <v>15.4236</v>
      </c>
      <c r="K507">
        <v>10.115</v>
      </c>
      <c r="L507">
        <v>126.2268</v>
      </c>
      <c r="M507">
        <v>9.5944000000000003</v>
      </c>
      <c r="N507">
        <v>6.9524999999999997</v>
      </c>
      <c r="O507">
        <v>6.9524999999999997</v>
      </c>
      <c r="P507">
        <v>6.9524999999999997</v>
      </c>
      <c r="Q507">
        <v>27.5364</v>
      </c>
      <c r="R507" t="s">
        <v>135</v>
      </c>
      <c r="S507" t="s">
        <v>135</v>
      </c>
      <c r="T507">
        <v>4.5046999999999997</v>
      </c>
      <c r="U507">
        <v>61.864199999999997</v>
      </c>
      <c r="V507">
        <v>116.4104</v>
      </c>
      <c r="W507">
        <v>1057.4358999999999</v>
      </c>
      <c r="X507">
        <v>1061.5556999999999</v>
      </c>
      <c r="Y507" t="s">
        <v>135</v>
      </c>
      <c r="Z507">
        <v>17.865500000000001</v>
      </c>
      <c r="AA507">
        <v>5.9790000000000001</v>
      </c>
      <c r="AB507">
        <v>-1.2075</v>
      </c>
      <c r="AC507">
        <v>4.2031000000000001</v>
      </c>
      <c r="AD507">
        <v>20.081199999999999</v>
      </c>
      <c r="AE507">
        <v>-6.4245999999999999</v>
      </c>
      <c r="AF507">
        <v>-16.101800000000001</v>
      </c>
      <c r="AG507">
        <v>26.5078</v>
      </c>
      <c r="AH507">
        <v>-5.2325999999999997</v>
      </c>
      <c r="AI507">
        <v>12.9193</v>
      </c>
      <c r="AJ507">
        <v>4.5232000000000001</v>
      </c>
      <c r="AK507">
        <v>13.5854</v>
      </c>
      <c r="AL507" t="s">
        <v>135</v>
      </c>
      <c r="AM507">
        <v>16.005299999999998</v>
      </c>
      <c r="AN507">
        <v>11.7788</v>
      </c>
      <c r="AO507">
        <v>8.5741999999999994</v>
      </c>
      <c r="AP507">
        <v>15.5291</v>
      </c>
      <c r="AQ507">
        <v>13.3939</v>
      </c>
      <c r="AR507" t="s">
        <v>135</v>
      </c>
      <c r="AS507" t="s">
        <v>135</v>
      </c>
      <c r="AT507" t="s">
        <v>135</v>
      </c>
      <c r="AU507" t="s">
        <v>135</v>
      </c>
      <c r="AV507" t="s">
        <v>135</v>
      </c>
      <c r="AW507" t="s">
        <v>135</v>
      </c>
      <c r="AX507" t="s">
        <v>135</v>
      </c>
      <c r="AY507" t="s">
        <v>135</v>
      </c>
      <c r="AZ507" t="s">
        <v>135</v>
      </c>
      <c r="BA507" t="s">
        <v>135</v>
      </c>
      <c r="BB507" t="s">
        <v>135</v>
      </c>
      <c r="BC507" t="s">
        <v>135</v>
      </c>
      <c r="BD507" t="s">
        <v>135</v>
      </c>
      <c r="BE507" t="s">
        <v>135</v>
      </c>
      <c r="BF507">
        <v>13.361499999999999</v>
      </c>
      <c r="BG507">
        <v>0.79179999999999995</v>
      </c>
      <c r="BH507">
        <v>0.86</v>
      </c>
      <c r="BI507">
        <v>21.978000000000002</v>
      </c>
      <c r="BJ507">
        <v>23.557700000000001</v>
      </c>
      <c r="BK507" t="s">
        <v>135</v>
      </c>
      <c r="BL507" t="s">
        <v>135</v>
      </c>
      <c r="BM507" t="s">
        <v>135</v>
      </c>
      <c r="BN507" t="s">
        <v>135</v>
      </c>
      <c r="BO507" t="s">
        <v>135</v>
      </c>
      <c r="BP507" t="s">
        <v>135</v>
      </c>
      <c r="BQ507" t="s">
        <v>135</v>
      </c>
      <c r="BR507" t="s">
        <v>135</v>
      </c>
      <c r="BS507" t="s">
        <v>135</v>
      </c>
      <c r="BT507" t="s">
        <v>135</v>
      </c>
      <c r="BU507" t="s">
        <v>135</v>
      </c>
      <c r="BV507" t="s">
        <v>135</v>
      </c>
      <c r="BW507" t="s">
        <v>135</v>
      </c>
      <c r="BX507" t="s">
        <v>135</v>
      </c>
      <c r="BY507">
        <v>12321</v>
      </c>
      <c r="BZ507">
        <v>7045.6</v>
      </c>
      <c r="CA507">
        <v>5275.4</v>
      </c>
      <c r="CB507">
        <v>2.0979999999999999</v>
      </c>
      <c r="CC507">
        <v>1.8553999999999999</v>
      </c>
      <c r="CD507">
        <v>3.1625999999999999</v>
      </c>
      <c r="CE507">
        <v>2.7968000000000002</v>
      </c>
      <c r="CF507" t="s">
        <v>135</v>
      </c>
      <c r="CG507">
        <v>41.885899999999999</v>
      </c>
      <c r="CH507">
        <v>30.9252</v>
      </c>
      <c r="CI507">
        <v>17.956</v>
      </c>
      <c r="CJ507">
        <v>13.5412</v>
      </c>
      <c r="CK507">
        <v>72.227500000000006</v>
      </c>
      <c r="CL507">
        <v>41.9373</v>
      </c>
      <c r="CM507">
        <v>31.6264</v>
      </c>
      <c r="CN507">
        <v>63.875100000000003</v>
      </c>
      <c r="CO507">
        <v>38.977899999999998</v>
      </c>
      <c r="CP507">
        <v>1502.1</v>
      </c>
      <c r="CQ507" t="s">
        <v>135</v>
      </c>
      <c r="CR507">
        <v>985.1</v>
      </c>
      <c r="CS507">
        <v>9.0300000000000005E-2</v>
      </c>
      <c r="CT507">
        <v>1.2690000000000001</v>
      </c>
      <c r="CU507">
        <v>0.69810000000000005</v>
      </c>
      <c r="CV507">
        <v>7.7775999999999996</v>
      </c>
      <c r="CW507">
        <v>4.2819000000000003</v>
      </c>
      <c r="CX507">
        <v>85.242699999999999</v>
      </c>
      <c r="CY507">
        <v>3.3323</v>
      </c>
      <c r="CZ507">
        <v>109.533</v>
      </c>
      <c r="DA507">
        <v>7.7992999999999997</v>
      </c>
      <c r="DB507">
        <v>46.799300000000002</v>
      </c>
      <c r="DC507">
        <v>147.97640000000001</v>
      </c>
      <c r="DD507">
        <v>194.7757</v>
      </c>
      <c r="DE507">
        <v>5432.8</v>
      </c>
      <c r="DF507">
        <v>1747</v>
      </c>
      <c r="DG507">
        <v>1828.6</v>
      </c>
      <c r="DH507">
        <v>880.8</v>
      </c>
      <c r="DI507">
        <v>976.4</v>
      </c>
    </row>
    <row r="508" spans="1:113" x14ac:dyDescent="0.3">
      <c r="D508" t="s">
        <v>82</v>
      </c>
      <c r="E508" t="s">
        <v>77</v>
      </c>
      <c r="F508">
        <v>14.756</v>
      </c>
      <c r="G508">
        <v>6.6748000000000003</v>
      </c>
      <c r="H508">
        <v>10.986700000000001</v>
      </c>
      <c r="I508">
        <v>10.710800000000001</v>
      </c>
      <c r="J508">
        <v>13.867900000000001</v>
      </c>
      <c r="K508">
        <v>9.4481000000000002</v>
      </c>
      <c r="L508">
        <v>6.7973999999999997</v>
      </c>
      <c r="M508">
        <v>8.0550999999999995</v>
      </c>
      <c r="N508">
        <v>5.5309999999999997</v>
      </c>
      <c r="O508">
        <v>5.5309999999999997</v>
      </c>
      <c r="P508">
        <v>5.4741</v>
      </c>
      <c r="Q508">
        <v>31.335799999999999</v>
      </c>
      <c r="R508">
        <v>10.2935</v>
      </c>
      <c r="S508">
        <v>13.2371</v>
      </c>
      <c r="T508">
        <v>10.784800000000001</v>
      </c>
      <c r="U508">
        <v>6.6841999999999997</v>
      </c>
      <c r="V508">
        <v>7.5312999999999999</v>
      </c>
      <c r="W508">
        <v>15.178699999999999</v>
      </c>
      <c r="X508">
        <v>15.1839</v>
      </c>
      <c r="Y508">
        <v>11.1111</v>
      </c>
      <c r="Z508">
        <v>0.59250000000000003</v>
      </c>
      <c r="AA508">
        <v>2.7793999999999999</v>
      </c>
      <c r="AB508">
        <v>11.5764</v>
      </c>
      <c r="AC508">
        <v>-0.38940000000000002</v>
      </c>
      <c r="AD508">
        <v>-8.7081</v>
      </c>
      <c r="AE508">
        <v>-27.069400000000002</v>
      </c>
      <c r="AF508">
        <v>63.669400000000003</v>
      </c>
      <c r="AG508">
        <v>-53.905999999999999</v>
      </c>
      <c r="AH508">
        <v>-32.122399999999999</v>
      </c>
      <c r="AI508">
        <v>8.4280000000000008</v>
      </c>
      <c r="AJ508">
        <v>-8.5777000000000001</v>
      </c>
      <c r="AK508">
        <v>13.3498</v>
      </c>
      <c r="AL508">
        <v>262.89609999999999</v>
      </c>
      <c r="AM508">
        <v>18.6265</v>
      </c>
      <c r="AN508">
        <v>17.150500000000001</v>
      </c>
      <c r="AO508">
        <v>16.494900000000001</v>
      </c>
      <c r="AP508">
        <v>23.806100000000001</v>
      </c>
      <c r="AQ508">
        <v>21.424499999999998</v>
      </c>
      <c r="AR508">
        <v>22.670300000000001</v>
      </c>
      <c r="AS508">
        <v>9.3678000000000008</v>
      </c>
      <c r="AT508">
        <v>23.289899999999999</v>
      </c>
      <c r="AU508">
        <v>18.450099999999999</v>
      </c>
      <c r="AV508">
        <v>12.0266</v>
      </c>
      <c r="AW508">
        <v>7.7534000000000001</v>
      </c>
      <c r="AX508">
        <v>-18.5152</v>
      </c>
      <c r="AY508" t="s">
        <v>135</v>
      </c>
      <c r="AZ508" t="s">
        <v>135</v>
      </c>
      <c r="BA508">
        <v>4.4928999999999997</v>
      </c>
      <c r="BB508">
        <v>9.7848000000000006</v>
      </c>
      <c r="BC508">
        <v>7.9634</v>
      </c>
      <c r="BD508">
        <v>12.9641</v>
      </c>
      <c r="BE508">
        <v>54.166200000000003</v>
      </c>
      <c r="BF508">
        <v>10.784800000000001</v>
      </c>
      <c r="BG508">
        <v>6.6841999999999997</v>
      </c>
      <c r="BH508">
        <v>7.5312999999999999</v>
      </c>
      <c r="BI508">
        <v>15.178699999999999</v>
      </c>
      <c r="BJ508">
        <v>15.1839</v>
      </c>
      <c r="BK508">
        <v>11.1111</v>
      </c>
      <c r="BL508">
        <v>0.59250000000000003</v>
      </c>
      <c r="BM508">
        <v>2.7793999999999999</v>
      </c>
      <c r="BN508">
        <v>11.5764</v>
      </c>
      <c r="BO508">
        <v>-0.38940000000000002</v>
      </c>
      <c r="BP508">
        <v>-8.7081</v>
      </c>
      <c r="BQ508">
        <v>-27.069400000000002</v>
      </c>
      <c r="BR508">
        <v>63.669400000000003</v>
      </c>
      <c r="BS508">
        <v>-53.905999999999999</v>
      </c>
      <c r="BT508">
        <v>-32.122399999999999</v>
      </c>
      <c r="BU508">
        <v>8.4280000000000008</v>
      </c>
      <c r="BV508">
        <v>-8.5777000000000001</v>
      </c>
      <c r="BW508">
        <v>13.3498</v>
      </c>
      <c r="BX508">
        <v>262.89609999999999</v>
      </c>
      <c r="BY508">
        <v>8363.2000000000007</v>
      </c>
      <c r="BZ508">
        <v>3247.6</v>
      </c>
      <c r="CA508">
        <v>5115.6000000000004</v>
      </c>
      <c r="CB508">
        <v>1.2852000000000001</v>
      </c>
      <c r="CC508">
        <v>1.2686999999999999</v>
      </c>
      <c r="CD508">
        <v>1.8864999999999998</v>
      </c>
      <c r="CE508">
        <v>1.8622000000000001</v>
      </c>
      <c r="CF508">
        <v>9.0427999999999997</v>
      </c>
      <c r="CG508">
        <v>47.6631</v>
      </c>
      <c r="CH508">
        <v>27.657399999999999</v>
      </c>
      <c r="CI508">
        <v>19.0458</v>
      </c>
      <c r="CJ508">
        <v>13.182399999999999</v>
      </c>
      <c r="CK508">
        <v>45.215499999999999</v>
      </c>
      <c r="CL508">
        <v>31.136800000000001</v>
      </c>
      <c r="CM508">
        <v>21.551100000000002</v>
      </c>
      <c r="CN508">
        <v>44.633800000000001</v>
      </c>
      <c r="CO508">
        <v>30.8599</v>
      </c>
      <c r="CP508">
        <v>6507.2</v>
      </c>
      <c r="CQ508">
        <v>2432.5</v>
      </c>
      <c r="CR508">
        <v>4433.3</v>
      </c>
      <c r="CS508">
        <v>7.4000000000000003E-3</v>
      </c>
      <c r="CT508">
        <v>1.2137</v>
      </c>
      <c r="CU508">
        <v>0.6734</v>
      </c>
      <c r="CV508">
        <v>9.7728000000000002</v>
      </c>
      <c r="CW508">
        <v>4.8804999999999996</v>
      </c>
      <c r="CX508">
        <v>74.787700000000001</v>
      </c>
      <c r="CY508">
        <v>4.7605000000000004</v>
      </c>
      <c r="CZ508">
        <v>76.673100000000005</v>
      </c>
      <c r="DA508">
        <v>9.5528999999999993</v>
      </c>
      <c r="DB508">
        <v>38.208399999999997</v>
      </c>
      <c r="DC508">
        <v>113.25239999999999</v>
      </c>
      <c r="DD508">
        <v>151.46080000000001</v>
      </c>
      <c r="DE508">
        <v>5583.8</v>
      </c>
      <c r="DF508">
        <v>1305.5999999999999</v>
      </c>
      <c r="DG508">
        <v>1973.8</v>
      </c>
      <c r="DH508">
        <v>1145</v>
      </c>
      <c r="DI508">
        <v>1159.4000000000001</v>
      </c>
    </row>
    <row r="509" spans="1:113" x14ac:dyDescent="0.3">
      <c r="E509" t="s">
        <v>78</v>
      </c>
      <c r="F509" t="s">
        <v>135</v>
      </c>
      <c r="G509" t="s">
        <v>135</v>
      </c>
      <c r="H509" t="s">
        <v>135</v>
      </c>
      <c r="I509" t="s">
        <v>135</v>
      </c>
      <c r="J509">
        <v>19.748200000000001</v>
      </c>
      <c r="K509">
        <v>15.858000000000001</v>
      </c>
      <c r="L509" t="s">
        <v>135</v>
      </c>
      <c r="M509">
        <v>15.137</v>
      </c>
      <c r="N509">
        <v>10.0747</v>
      </c>
      <c r="O509">
        <v>10.0747</v>
      </c>
      <c r="P509">
        <v>10.0747</v>
      </c>
      <c r="Q509">
        <v>33.4435</v>
      </c>
      <c r="R509" t="s">
        <v>135</v>
      </c>
      <c r="S509" t="s">
        <v>135</v>
      </c>
      <c r="T509">
        <v>5.8361999999999998</v>
      </c>
      <c r="U509">
        <v>0.91100000000000003</v>
      </c>
      <c r="V509">
        <v>-0.2656</v>
      </c>
      <c r="W509">
        <v>6.5145999999999997</v>
      </c>
      <c r="X509">
        <v>6.5933999999999999</v>
      </c>
      <c r="Y509" t="s">
        <v>135</v>
      </c>
      <c r="Z509" t="s">
        <v>135</v>
      </c>
      <c r="AA509" t="s">
        <v>135</v>
      </c>
      <c r="AB509" t="s">
        <v>135</v>
      </c>
      <c r="AC509" t="s">
        <v>135</v>
      </c>
      <c r="AD509" t="s">
        <v>135</v>
      </c>
      <c r="AE509" t="s">
        <v>135</v>
      </c>
      <c r="AF509" t="s">
        <v>135</v>
      </c>
      <c r="AG509" t="s">
        <v>135</v>
      </c>
      <c r="AH509" t="s">
        <v>135</v>
      </c>
      <c r="AI509" t="s">
        <v>135</v>
      </c>
      <c r="AJ509" t="s">
        <v>135</v>
      </c>
      <c r="AK509" t="s">
        <v>135</v>
      </c>
      <c r="AL509" t="s">
        <v>135</v>
      </c>
      <c r="AM509">
        <v>18.107800000000001</v>
      </c>
      <c r="AN509">
        <v>28.871400000000001</v>
      </c>
      <c r="AO509">
        <v>32.023800000000001</v>
      </c>
      <c r="AP509">
        <v>29.408999999999999</v>
      </c>
      <c r="AQ509">
        <v>26.807500000000001</v>
      </c>
      <c r="AR509" t="s">
        <v>135</v>
      </c>
      <c r="AS509" t="s">
        <v>135</v>
      </c>
      <c r="AT509" t="s">
        <v>135</v>
      </c>
      <c r="AU509" t="s">
        <v>135</v>
      </c>
      <c r="AV509" t="s">
        <v>135</v>
      </c>
      <c r="AW509" t="s">
        <v>135</v>
      </c>
      <c r="AX509" t="s">
        <v>135</v>
      </c>
      <c r="AY509" t="s">
        <v>135</v>
      </c>
      <c r="AZ509" t="s">
        <v>135</v>
      </c>
      <c r="BA509" t="s">
        <v>135</v>
      </c>
      <c r="BB509" t="s">
        <v>135</v>
      </c>
      <c r="BC509" t="s">
        <v>135</v>
      </c>
      <c r="BD509" t="s">
        <v>135</v>
      </c>
      <c r="BE509" t="s">
        <v>135</v>
      </c>
      <c r="BF509">
        <v>31.312200000000001</v>
      </c>
      <c r="BG509">
        <v>68.131299999999996</v>
      </c>
      <c r="BH509">
        <v>105.8674</v>
      </c>
      <c r="BI509">
        <v>90.2821</v>
      </c>
      <c r="BJ509">
        <v>88.715999999999994</v>
      </c>
      <c r="BK509" t="s">
        <v>135</v>
      </c>
      <c r="BL509" t="s">
        <v>135</v>
      </c>
      <c r="BM509" t="s">
        <v>135</v>
      </c>
      <c r="BN509" t="s">
        <v>135</v>
      </c>
      <c r="BO509" t="s">
        <v>135</v>
      </c>
      <c r="BP509" t="s">
        <v>135</v>
      </c>
      <c r="BQ509" t="s">
        <v>135</v>
      </c>
      <c r="BR509" t="s">
        <v>135</v>
      </c>
      <c r="BS509" t="s">
        <v>135</v>
      </c>
      <c r="BT509" t="s">
        <v>135</v>
      </c>
      <c r="BU509" t="s">
        <v>135</v>
      </c>
      <c r="BV509" t="s">
        <v>135</v>
      </c>
      <c r="BW509" t="s">
        <v>135</v>
      </c>
      <c r="BX509" t="s">
        <v>135</v>
      </c>
      <c r="BY509" t="s">
        <v>135</v>
      </c>
      <c r="BZ509" t="s">
        <v>135</v>
      </c>
      <c r="CA509" t="s">
        <v>135</v>
      </c>
      <c r="CB509" t="s">
        <v>135</v>
      </c>
      <c r="CC509" t="s">
        <v>135</v>
      </c>
      <c r="CD509" t="s">
        <v>135</v>
      </c>
      <c r="CE509" t="s">
        <v>135</v>
      </c>
      <c r="CF509" t="s">
        <v>135</v>
      </c>
      <c r="CG509" t="s">
        <v>135</v>
      </c>
      <c r="CH509" t="s">
        <v>135</v>
      </c>
      <c r="CI509" t="s">
        <v>135</v>
      </c>
      <c r="CJ509" t="s">
        <v>135</v>
      </c>
      <c r="CK509" t="s">
        <v>135</v>
      </c>
      <c r="CL509" t="s">
        <v>135</v>
      </c>
      <c r="CM509" t="s">
        <v>135</v>
      </c>
      <c r="CN509" t="s">
        <v>135</v>
      </c>
      <c r="CO509" t="s">
        <v>135</v>
      </c>
      <c r="CP509">
        <v>2525.5</v>
      </c>
      <c r="CQ509" t="s">
        <v>135</v>
      </c>
      <c r="CR509">
        <v>2028</v>
      </c>
      <c r="CS509" t="s">
        <v>135</v>
      </c>
      <c r="CT509" t="s">
        <v>135</v>
      </c>
      <c r="CU509" t="s">
        <v>135</v>
      </c>
      <c r="CV509" t="s">
        <v>135</v>
      </c>
      <c r="CW509" t="s">
        <v>135</v>
      </c>
      <c r="CX509" t="s">
        <v>135</v>
      </c>
      <c r="CY509" t="s">
        <v>135</v>
      </c>
      <c r="CZ509" t="s">
        <v>135</v>
      </c>
      <c r="DA509" t="s">
        <v>135</v>
      </c>
      <c r="DB509" t="s">
        <v>135</v>
      </c>
      <c r="DC509" t="s">
        <v>135</v>
      </c>
      <c r="DD509" t="s">
        <v>135</v>
      </c>
      <c r="DE509" t="s">
        <v>135</v>
      </c>
      <c r="DF509" t="s">
        <v>135</v>
      </c>
      <c r="DG509" t="s">
        <v>135</v>
      </c>
      <c r="DH509" t="s">
        <v>135</v>
      </c>
      <c r="DI509" t="s">
        <v>135</v>
      </c>
    </row>
    <row r="510" spans="1:113" x14ac:dyDescent="0.3">
      <c r="E510" t="s">
        <v>79</v>
      </c>
      <c r="F510">
        <v>16.9329</v>
      </c>
      <c r="G510">
        <v>8.0158000000000005</v>
      </c>
      <c r="H510" t="s">
        <v>135</v>
      </c>
      <c r="I510">
        <v>11.9582</v>
      </c>
      <c r="J510">
        <v>12.9925</v>
      </c>
      <c r="K510">
        <v>7.8365999999999998</v>
      </c>
      <c r="L510">
        <v>41.0045</v>
      </c>
      <c r="M510">
        <v>6.7207999999999997</v>
      </c>
      <c r="N510">
        <v>4.4401999999999999</v>
      </c>
      <c r="O510">
        <v>4.4401999999999999</v>
      </c>
      <c r="P510">
        <v>4.4401999999999999</v>
      </c>
      <c r="Q510">
        <v>33.932699999999997</v>
      </c>
      <c r="R510" t="s">
        <v>135</v>
      </c>
      <c r="S510" t="s">
        <v>135</v>
      </c>
      <c r="T510">
        <v>27.606999999999999</v>
      </c>
      <c r="U510">
        <v>230.35759999999999</v>
      </c>
      <c r="V510" t="s">
        <v>135</v>
      </c>
      <c r="W510" t="s">
        <v>135</v>
      </c>
      <c r="X510" t="s">
        <v>135</v>
      </c>
      <c r="Y510" t="s">
        <v>135</v>
      </c>
      <c r="Z510">
        <v>28.291399999999999</v>
      </c>
      <c r="AA510">
        <v>0.74960000000000004</v>
      </c>
      <c r="AB510">
        <v>5.1374000000000004</v>
      </c>
      <c r="AC510">
        <v>10.194000000000001</v>
      </c>
      <c r="AD510">
        <v>17.632100000000001</v>
      </c>
      <c r="AE510">
        <v>10.071899999999999</v>
      </c>
      <c r="AF510">
        <v>10.2593</v>
      </c>
      <c r="AG510">
        <v>-10.229200000000001</v>
      </c>
      <c r="AH510">
        <v>-12.3521</v>
      </c>
      <c r="AI510">
        <v>15.9451</v>
      </c>
      <c r="AJ510">
        <v>5.5867000000000004</v>
      </c>
      <c r="AK510">
        <v>15.9451</v>
      </c>
      <c r="AL510" t="s">
        <v>135</v>
      </c>
      <c r="AM510">
        <v>18.415700000000001</v>
      </c>
      <c r="AN510">
        <v>27.5639</v>
      </c>
      <c r="AO510">
        <v>35.978700000000003</v>
      </c>
      <c r="AP510">
        <v>29.482600000000001</v>
      </c>
      <c r="AQ510">
        <v>26.651499999999999</v>
      </c>
      <c r="AR510" t="s">
        <v>135</v>
      </c>
      <c r="AS510" t="s">
        <v>135</v>
      </c>
      <c r="AT510" t="s">
        <v>135</v>
      </c>
      <c r="AU510" t="s">
        <v>135</v>
      </c>
      <c r="AV510" t="s">
        <v>135</v>
      </c>
      <c r="AW510" t="s">
        <v>135</v>
      </c>
      <c r="AX510" t="s">
        <v>135</v>
      </c>
      <c r="AY510" t="s">
        <v>135</v>
      </c>
      <c r="AZ510" t="s">
        <v>135</v>
      </c>
      <c r="BA510" t="s">
        <v>135</v>
      </c>
      <c r="BB510" t="s">
        <v>135</v>
      </c>
      <c r="BC510" t="s">
        <v>135</v>
      </c>
      <c r="BD510" t="s">
        <v>135</v>
      </c>
      <c r="BE510" t="s">
        <v>135</v>
      </c>
      <c r="BF510">
        <v>-24.9435</v>
      </c>
      <c r="BG510">
        <v>-50.619700000000002</v>
      </c>
      <c r="BH510">
        <v>-62.909300000000002</v>
      </c>
      <c r="BI510">
        <v>-66.920199999999994</v>
      </c>
      <c r="BJ510">
        <v>-67.216499999999996</v>
      </c>
      <c r="BK510" t="s">
        <v>135</v>
      </c>
      <c r="BL510" t="s">
        <v>135</v>
      </c>
      <c r="BM510" t="s">
        <v>135</v>
      </c>
      <c r="BN510" t="s">
        <v>135</v>
      </c>
      <c r="BO510" t="s">
        <v>135</v>
      </c>
      <c r="BP510" t="s">
        <v>135</v>
      </c>
      <c r="BQ510" t="s">
        <v>135</v>
      </c>
      <c r="BR510" t="s">
        <v>135</v>
      </c>
      <c r="BS510" t="s">
        <v>135</v>
      </c>
      <c r="BT510" t="s">
        <v>135</v>
      </c>
      <c r="BU510" t="s">
        <v>135</v>
      </c>
      <c r="BV510" t="s">
        <v>135</v>
      </c>
      <c r="BW510" t="s">
        <v>135</v>
      </c>
      <c r="BX510" t="s">
        <v>135</v>
      </c>
      <c r="BY510">
        <v>8157.3</v>
      </c>
      <c r="BZ510">
        <v>1703.4</v>
      </c>
      <c r="CA510">
        <v>6453.9</v>
      </c>
      <c r="CB510">
        <v>1.2058</v>
      </c>
      <c r="CC510">
        <v>0.98260000000000003</v>
      </c>
      <c r="CD510">
        <v>1.7202</v>
      </c>
      <c r="CE510">
        <v>1.4016999999999999</v>
      </c>
      <c r="CF510" t="s">
        <v>135</v>
      </c>
      <c r="CG510">
        <v>48.482799999999997</v>
      </c>
      <c r="CH510">
        <v>34.535400000000003</v>
      </c>
      <c r="CI510">
        <v>24.0413</v>
      </c>
      <c r="CJ510">
        <v>16.7437</v>
      </c>
      <c r="CK510">
        <v>43.650399999999998</v>
      </c>
      <c r="CL510">
        <v>30.386600000000001</v>
      </c>
      <c r="CM510">
        <v>21.1629</v>
      </c>
      <c r="CN510">
        <v>35.5687</v>
      </c>
      <c r="CO510">
        <v>26.236599999999999</v>
      </c>
      <c r="CP510">
        <v>1247.0999999999999</v>
      </c>
      <c r="CQ510" t="s">
        <v>135</v>
      </c>
      <c r="CR510">
        <v>752.2</v>
      </c>
      <c r="CS510">
        <v>0.1195</v>
      </c>
      <c r="CT510">
        <v>1.4805999999999999</v>
      </c>
      <c r="CU510">
        <v>0.90869999999999995</v>
      </c>
      <c r="CV510">
        <v>7.9839000000000002</v>
      </c>
      <c r="CW510">
        <v>4.5884999999999998</v>
      </c>
      <c r="CX510">
        <v>79.5471</v>
      </c>
      <c r="CY510">
        <v>3.2644000000000002</v>
      </c>
      <c r="CZ510">
        <v>111.8133</v>
      </c>
      <c r="DA510">
        <v>10.483499999999999</v>
      </c>
      <c r="DB510">
        <v>34.816499999999998</v>
      </c>
      <c r="DC510">
        <v>156.54390000000001</v>
      </c>
      <c r="DD510">
        <v>191.3605</v>
      </c>
      <c r="DE510">
        <v>5685</v>
      </c>
      <c r="DF510" t="s">
        <v>135</v>
      </c>
      <c r="DG510" t="s">
        <v>135</v>
      </c>
      <c r="DH510" t="s">
        <v>135</v>
      </c>
      <c r="DI510" t="s">
        <v>135</v>
      </c>
    </row>
    <row r="511" spans="1:113" x14ac:dyDescent="0.3">
      <c r="E511" t="s">
        <v>80</v>
      </c>
      <c r="F511" t="s">
        <v>135</v>
      </c>
      <c r="G511" t="s">
        <v>135</v>
      </c>
      <c r="H511" t="s">
        <v>135</v>
      </c>
      <c r="I511" t="s">
        <v>135</v>
      </c>
      <c r="J511">
        <v>13.5641</v>
      </c>
      <c r="K511">
        <v>7.4138999999999999</v>
      </c>
      <c r="L511" t="s">
        <v>135</v>
      </c>
      <c r="M511">
        <v>6.6982999999999997</v>
      </c>
      <c r="N511">
        <v>4.4588000000000001</v>
      </c>
      <c r="O511">
        <v>4.4588000000000001</v>
      </c>
      <c r="P511">
        <v>4.4588000000000001</v>
      </c>
      <c r="Q511">
        <v>33.433300000000003</v>
      </c>
      <c r="R511" t="s">
        <v>135</v>
      </c>
      <c r="S511" t="s">
        <v>135</v>
      </c>
      <c r="T511">
        <v>4.2648999999999999</v>
      </c>
      <c r="U511">
        <v>-18.472799999999999</v>
      </c>
      <c r="V511">
        <v>-32.005699999999997</v>
      </c>
      <c r="W511">
        <v>-28.048999999999999</v>
      </c>
      <c r="X511">
        <v>-27.375499999999999</v>
      </c>
      <c r="Y511" t="s">
        <v>135</v>
      </c>
      <c r="Z511" t="s">
        <v>135</v>
      </c>
      <c r="AA511" t="s">
        <v>135</v>
      </c>
      <c r="AB511" t="s">
        <v>135</v>
      </c>
      <c r="AC511" t="s">
        <v>135</v>
      </c>
      <c r="AD511" t="s">
        <v>135</v>
      </c>
      <c r="AE511" t="s">
        <v>135</v>
      </c>
      <c r="AF511" t="s">
        <v>135</v>
      </c>
      <c r="AG511" t="s">
        <v>135</v>
      </c>
      <c r="AH511" t="s">
        <v>135</v>
      </c>
      <c r="AI511" t="s">
        <v>135</v>
      </c>
      <c r="AJ511" t="s">
        <v>135</v>
      </c>
      <c r="AK511" t="s">
        <v>135</v>
      </c>
      <c r="AL511" t="s">
        <v>135</v>
      </c>
      <c r="AM511">
        <v>14.9353</v>
      </c>
      <c r="AN511">
        <v>21.403600000000001</v>
      </c>
      <c r="AO511">
        <v>22.1312</v>
      </c>
      <c r="AP511">
        <v>13.4407</v>
      </c>
      <c r="AQ511">
        <v>11.2651</v>
      </c>
      <c r="AR511" t="s">
        <v>135</v>
      </c>
      <c r="AS511" t="s">
        <v>135</v>
      </c>
      <c r="AT511" t="s">
        <v>135</v>
      </c>
      <c r="AU511" t="s">
        <v>135</v>
      </c>
      <c r="AV511" t="s">
        <v>135</v>
      </c>
      <c r="AW511" t="s">
        <v>135</v>
      </c>
      <c r="AX511" t="s">
        <v>135</v>
      </c>
      <c r="AY511" t="s">
        <v>135</v>
      </c>
      <c r="AZ511" t="s">
        <v>135</v>
      </c>
      <c r="BA511" t="s">
        <v>135</v>
      </c>
      <c r="BB511" t="s">
        <v>135</v>
      </c>
      <c r="BC511" t="s">
        <v>135</v>
      </c>
      <c r="BD511" t="s">
        <v>135</v>
      </c>
      <c r="BE511" t="s">
        <v>135</v>
      </c>
      <c r="BF511">
        <v>-6.6791</v>
      </c>
      <c r="BG511">
        <v>-2.5739999999999998</v>
      </c>
      <c r="BH511">
        <v>-11.712300000000001</v>
      </c>
      <c r="BI511">
        <v>-6.2881</v>
      </c>
      <c r="BJ511">
        <v>-4.9943</v>
      </c>
      <c r="BK511" t="s">
        <v>135</v>
      </c>
      <c r="BL511" t="s">
        <v>135</v>
      </c>
      <c r="BM511" t="s">
        <v>135</v>
      </c>
      <c r="BN511" t="s">
        <v>135</v>
      </c>
      <c r="BO511" t="s">
        <v>135</v>
      </c>
      <c r="BP511" t="s">
        <v>135</v>
      </c>
      <c r="BQ511" t="s">
        <v>135</v>
      </c>
      <c r="BR511" t="s">
        <v>135</v>
      </c>
      <c r="BS511" t="s">
        <v>135</v>
      </c>
      <c r="BT511" t="s">
        <v>135</v>
      </c>
      <c r="BU511" t="s">
        <v>135</v>
      </c>
      <c r="BV511" t="s">
        <v>135</v>
      </c>
      <c r="BW511" t="s">
        <v>135</v>
      </c>
      <c r="BX511" t="s">
        <v>135</v>
      </c>
      <c r="BY511" t="s">
        <v>135</v>
      </c>
      <c r="BZ511" t="s">
        <v>135</v>
      </c>
      <c r="CA511" t="s">
        <v>135</v>
      </c>
      <c r="CB511" t="s">
        <v>135</v>
      </c>
      <c r="CC511" t="s">
        <v>135</v>
      </c>
      <c r="CD511" t="s">
        <v>135</v>
      </c>
      <c r="CE511" t="s">
        <v>135</v>
      </c>
      <c r="CF511" t="s">
        <v>135</v>
      </c>
      <c r="CG511" t="s">
        <v>135</v>
      </c>
      <c r="CH511" t="s">
        <v>135</v>
      </c>
      <c r="CI511" t="s">
        <v>135</v>
      </c>
      <c r="CJ511" t="s">
        <v>135</v>
      </c>
      <c r="CK511" t="s">
        <v>135</v>
      </c>
      <c r="CL511" t="s">
        <v>135</v>
      </c>
      <c r="CM511" t="s">
        <v>135</v>
      </c>
      <c r="CN511" t="s">
        <v>135</v>
      </c>
      <c r="CO511" t="s">
        <v>135</v>
      </c>
      <c r="CP511">
        <v>1215</v>
      </c>
      <c r="CQ511" t="s">
        <v>135</v>
      </c>
      <c r="CR511">
        <v>664.1</v>
      </c>
      <c r="CS511" t="s">
        <v>135</v>
      </c>
      <c r="CT511" t="s">
        <v>135</v>
      </c>
      <c r="CU511" t="s">
        <v>135</v>
      </c>
      <c r="CV511" t="s">
        <v>135</v>
      </c>
      <c r="CW511" t="s">
        <v>135</v>
      </c>
      <c r="CX511" t="s">
        <v>135</v>
      </c>
      <c r="CY511" t="s">
        <v>135</v>
      </c>
      <c r="CZ511" t="s">
        <v>135</v>
      </c>
      <c r="DA511" t="s">
        <v>135</v>
      </c>
      <c r="DB511" t="s">
        <v>135</v>
      </c>
      <c r="DC511" t="s">
        <v>135</v>
      </c>
      <c r="DD511" t="s">
        <v>135</v>
      </c>
      <c r="DE511" t="s">
        <v>135</v>
      </c>
      <c r="DF511" t="s">
        <v>135</v>
      </c>
      <c r="DG511" t="s">
        <v>135</v>
      </c>
      <c r="DH511" t="s">
        <v>135</v>
      </c>
      <c r="DI511" t="s">
        <v>135</v>
      </c>
    </row>
    <row r="512" spans="1:113" x14ac:dyDescent="0.3">
      <c r="E512" t="s">
        <v>81</v>
      </c>
      <c r="F512">
        <v>14.9094</v>
      </c>
      <c r="G512">
        <v>6.6748000000000003</v>
      </c>
      <c r="H512" t="s">
        <v>135</v>
      </c>
      <c r="I512">
        <v>9.8035999999999994</v>
      </c>
      <c r="J512">
        <v>11.6721</v>
      </c>
      <c r="K512">
        <v>6.5956999999999999</v>
      </c>
      <c r="L512" t="s">
        <v>135</v>
      </c>
      <c r="M512">
        <v>5.7289000000000003</v>
      </c>
      <c r="N512">
        <v>4.6047000000000002</v>
      </c>
      <c r="O512">
        <v>4.6047000000000002</v>
      </c>
      <c r="P512">
        <v>4.6047000000000002</v>
      </c>
      <c r="Q512">
        <v>19.622599999999998</v>
      </c>
      <c r="R512">
        <v>54.935600000000001</v>
      </c>
      <c r="S512">
        <v>6.7187999999999999</v>
      </c>
      <c r="T512">
        <v>7.3242000000000003</v>
      </c>
      <c r="U512">
        <v>-18.7804</v>
      </c>
      <c r="V512">
        <v>-30.017299999999999</v>
      </c>
      <c r="W512">
        <v>-28.917400000000001</v>
      </c>
      <c r="X512">
        <v>-29.1693</v>
      </c>
      <c r="Y512" t="s">
        <v>135</v>
      </c>
      <c r="Z512">
        <v>0.59250000000000003</v>
      </c>
      <c r="AA512">
        <v>2.7793999999999999</v>
      </c>
      <c r="AB512">
        <v>11.5764</v>
      </c>
      <c r="AC512">
        <v>-0.38940000000000002</v>
      </c>
      <c r="AD512">
        <v>-8.7081</v>
      </c>
      <c r="AE512">
        <v>-27.069400000000002</v>
      </c>
      <c r="AF512">
        <v>63.669400000000003</v>
      </c>
      <c r="AG512">
        <v>-53.905999999999999</v>
      </c>
      <c r="AH512">
        <v>-32.122399999999999</v>
      </c>
      <c r="AI512">
        <v>8.4280000000000008</v>
      </c>
      <c r="AJ512">
        <v>-8.5777000000000001</v>
      </c>
      <c r="AK512">
        <v>13.3498</v>
      </c>
      <c r="AL512" t="s">
        <v>135</v>
      </c>
      <c r="AM512">
        <v>12.768700000000001</v>
      </c>
      <c r="AN512">
        <v>13.3086</v>
      </c>
      <c r="AO512">
        <v>11.6868</v>
      </c>
      <c r="AP512">
        <v>12.976699999999999</v>
      </c>
      <c r="AQ512">
        <v>10.81</v>
      </c>
      <c r="AR512" t="s">
        <v>135</v>
      </c>
      <c r="AS512" t="s">
        <v>135</v>
      </c>
      <c r="AT512" t="s">
        <v>135</v>
      </c>
      <c r="AU512" t="s">
        <v>135</v>
      </c>
      <c r="AV512" t="s">
        <v>135</v>
      </c>
      <c r="AW512" t="s">
        <v>135</v>
      </c>
      <c r="AX512" t="s">
        <v>135</v>
      </c>
      <c r="AY512" t="s">
        <v>135</v>
      </c>
      <c r="AZ512" t="s">
        <v>135</v>
      </c>
      <c r="BA512" t="s">
        <v>135</v>
      </c>
      <c r="BB512" t="s">
        <v>135</v>
      </c>
      <c r="BC512" t="s">
        <v>135</v>
      </c>
      <c r="BD512" t="s">
        <v>135</v>
      </c>
      <c r="BE512" t="s">
        <v>135</v>
      </c>
      <c r="BF512">
        <v>16.6877</v>
      </c>
      <c r="BG512">
        <v>0.41149999999999998</v>
      </c>
      <c r="BH512">
        <v>3.8096999999999999</v>
      </c>
      <c r="BI512">
        <v>20.505800000000001</v>
      </c>
      <c r="BJ512">
        <v>20.505800000000001</v>
      </c>
      <c r="BK512" t="s">
        <v>135</v>
      </c>
      <c r="BL512" t="s">
        <v>135</v>
      </c>
      <c r="BM512" t="s">
        <v>135</v>
      </c>
      <c r="BN512" t="s">
        <v>135</v>
      </c>
      <c r="BO512" t="s">
        <v>135</v>
      </c>
      <c r="BP512" t="s">
        <v>135</v>
      </c>
      <c r="BQ512" t="s">
        <v>135</v>
      </c>
      <c r="BR512" t="s">
        <v>135</v>
      </c>
      <c r="BS512" t="s">
        <v>135</v>
      </c>
      <c r="BT512" t="s">
        <v>135</v>
      </c>
      <c r="BU512" t="s">
        <v>135</v>
      </c>
      <c r="BV512" t="s">
        <v>135</v>
      </c>
      <c r="BW512" t="s">
        <v>135</v>
      </c>
      <c r="BX512" t="s">
        <v>135</v>
      </c>
      <c r="BY512">
        <v>8363.2000000000007</v>
      </c>
      <c r="BZ512">
        <v>3247.6</v>
      </c>
      <c r="CA512">
        <v>5115.6000000000004</v>
      </c>
      <c r="CB512">
        <v>1.3472999999999999</v>
      </c>
      <c r="CC512">
        <v>1.3299000000000001</v>
      </c>
      <c r="CD512">
        <v>2.0232000000000001</v>
      </c>
      <c r="CE512">
        <v>1.9971000000000001</v>
      </c>
      <c r="CF512" t="s">
        <v>135</v>
      </c>
      <c r="CG512">
        <v>47.6631</v>
      </c>
      <c r="CH512">
        <v>27.657399999999999</v>
      </c>
      <c r="CI512">
        <v>19.0458</v>
      </c>
      <c r="CJ512">
        <v>13.182399999999999</v>
      </c>
      <c r="CK512">
        <v>45.215499999999999</v>
      </c>
      <c r="CL512">
        <v>31.136800000000001</v>
      </c>
      <c r="CM512">
        <v>21.551100000000002</v>
      </c>
      <c r="CN512">
        <v>44.633800000000001</v>
      </c>
      <c r="CO512">
        <v>30.8599</v>
      </c>
      <c r="CP512">
        <v>1220</v>
      </c>
      <c r="CQ512" t="s">
        <v>135</v>
      </c>
      <c r="CR512">
        <v>689.4</v>
      </c>
      <c r="CS512">
        <v>7.4000000000000003E-3</v>
      </c>
      <c r="CT512">
        <v>1.2137</v>
      </c>
      <c r="CU512">
        <v>0.6734</v>
      </c>
      <c r="CV512">
        <v>9.7728000000000002</v>
      </c>
      <c r="CW512">
        <v>4.3472999999999997</v>
      </c>
      <c r="CX512">
        <v>83.959699999999998</v>
      </c>
      <c r="CY512">
        <v>3.4943</v>
      </c>
      <c r="CZ512">
        <v>104.45610000000001</v>
      </c>
      <c r="DA512">
        <v>7.0266000000000002</v>
      </c>
      <c r="DB512">
        <v>51.945700000000002</v>
      </c>
      <c r="DC512">
        <v>136.4701</v>
      </c>
      <c r="DD512">
        <v>188.41579999999999</v>
      </c>
      <c r="DE512">
        <v>5583.8</v>
      </c>
      <c r="DF512">
        <v>1305.5999999999999</v>
      </c>
      <c r="DG512">
        <v>1973.8</v>
      </c>
      <c r="DH512">
        <v>1145</v>
      </c>
      <c r="DI512">
        <v>1159.4000000000001</v>
      </c>
    </row>
    <row r="513" spans="1:113" x14ac:dyDescent="0.3">
      <c r="D513" t="s">
        <v>83</v>
      </c>
      <c r="E513" t="s">
        <v>77</v>
      </c>
      <c r="F513">
        <v>14.887700000000001</v>
      </c>
      <c r="G513">
        <v>7.3544999999999998</v>
      </c>
      <c r="H513">
        <v>12.560600000000001</v>
      </c>
      <c r="I513">
        <v>13.1366</v>
      </c>
      <c r="J513">
        <v>15.067299999999999</v>
      </c>
      <c r="K513">
        <v>10.2752</v>
      </c>
      <c r="L513">
        <v>20.247199999999999</v>
      </c>
      <c r="M513">
        <v>8.8238000000000003</v>
      </c>
      <c r="N513">
        <v>5.7968999999999999</v>
      </c>
      <c r="O513">
        <v>5.7968999999999999</v>
      </c>
      <c r="P513">
        <v>5.7968999999999999</v>
      </c>
      <c r="Q513">
        <v>34.3035</v>
      </c>
      <c r="R513">
        <v>10.323499999999999</v>
      </c>
      <c r="S513">
        <v>13.3508</v>
      </c>
      <c r="T513">
        <v>8.2942</v>
      </c>
      <c r="U513">
        <v>17.660399999999999</v>
      </c>
      <c r="V513">
        <v>17.7746</v>
      </c>
      <c r="W513">
        <v>14.681100000000001</v>
      </c>
      <c r="X513">
        <v>14.7271</v>
      </c>
      <c r="Y513">
        <v>15</v>
      </c>
      <c r="Z513">
        <v>18.537099999999999</v>
      </c>
      <c r="AA513">
        <v>8.3671000000000006</v>
      </c>
      <c r="AB513">
        <v>-2.0188999999999999</v>
      </c>
      <c r="AC513">
        <v>6.4264999999999999</v>
      </c>
      <c r="AD513">
        <v>15.6629</v>
      </c>
      <c r="AE513">
        <v>-16.714600000000001</v>
      </c>
      <c r="AF513">
        <v>11.863199999999999</v>
      </c>
      <c r="AG513">
        <v>50.252499999999998</v>
      </c>
      <c r="AH513">
        <v>-17.952500000000001</v>
      </c>
      <c r="AI513">
        <v>13.947100000000001</v>
      </c>
      <c r="AJ513">
        <v>4.0145999999999997</v>
      </c>
      <c r="AK513">
        <v>13.947100000000001</v>
      </c>
      <c r="AL513">
        <v>-46.033000000000001</v>
      </c>
      <c r="AM513">
        <v>10.6775</v>
      </c>
      <c r="AN513">
        <v>14.4514</v>
      </c>
      <c r="AO513">
        <v>15.0205</v>
      </c>
      <c r="AP513">
        <v>16.261199999999999</v>
      </c>
      <c r="AQ513">
        <v>16.193000000000001</v>
      </c>
      <c r="AR513">
        <v>13.8962</v>
      </c>
      <c r="AS513">
        <v>17.0669</v>
      </c>
      <c r="AT513">
        <v>15.863300000000001</v>
      </c>
      <c r="AU513">
        <v>9.9571000000000005</v>
      </c>
      <c r="AV513">
        <v>8.0510000000000002</v>
      </c>
      <c r="AW513">
        <v>26.6327</v>
      </c>
      <c r="AX513">
        <v>15.455500000000001</v>
      </c>
      <c r="AY513">
        <v>-0.36940000000000001</v>
      </c>
      <c r="AZ513">
        <v>7.4831000000000003</v>
      </c>
      <c r="BA513">
        <v>2.2185000000000001</v>
      </c>
      <c r="BB513">
        <v>10.2308</v>
      </c>
      <c r="BC513">
        <v>7.9038000000000004</v>
      </c>
      <c r="BD513">
        <v>14.1235</v>
      </c>
      <c r="BE513">
        <v>-6.0361000000000002</v>
      </c>
      <c r="BF513">
        <v>8.2942</v>
      </c>
      <c r="BG513">
        <v>17.660399999999999</v>
      </c>
      <c r="BH513">
        <v>17.7746</v>
      </c>
      <c r="BI513">
        <v>14.681100000000001</v>
      </c>
      <c r="BJ513">
        <v>14.7271</v>
      </c>
      <c r="BK513">
        <v>15</v>
      </c>
      <c r="BL513">
        <v>18.537099999999999</v>
      </c>
      <c r="BM513">
        <v>8.3671000000000006</v>
      </c>
      <c r="BN513">
        <v>-2.0188999999999999</v>
      </c>
      <c r="BO513">
        <v>6.4264999999999999</v>
      </c>
      <c r="BP513">
        <v>15.6629</v>
      </c>
      <c r="BQ513">
        <v>-16.714600000000001</v>
      </c>
      <c r="BR513">
        <v>11.863199999999999</v>
      </c>
      <c r="BS513">
        <v>50.252499999999998</v>
      </c>
      <c r="BT513">
        <v>-17.952500000000001</v>
      </c>
      <c r="BU513">
        <v>13.947100000000001</v>
      </c>
      <c r="BV513">
        <v>4.0145999999999997</v>
      </c>
      <c r="BW513">
        <v>13.947100000000001</v>
      </c>
      <c r="BX513">
        <v>-46.033000000000001</v>
      </c>
      <c r="BY513">
        <v>6861.8</v>
      </c>
      <c r="BZ513">
        <v>4879.6000000000004</v>
      </c>
      <c r="CA513">
        <v>1982.2</v>
      </c>
      <c r="CB513">
        <v>0.8962</v>
      </c>
      <c r="CC513">
        <v>0.88139999999999996</v>
      </c>
      <c r="CD513">
        <v>1.3142</v>
      </c>
      <c r="CE513">
        <v>1.2925</v>
      </c>
      <c r="CF513">
        <v>10.1463</v>
      </c>
      <c r="CG513">
        <v>51.031199999999998</v>
      </c>
      <c r="CH513">
        <v>9.4049999999999994</v>
      </c>
      <c r="CI513">
        <v>7.0949999999999998</v>
      </c>
      <c r="CJ513">
        <v>4.7995000000000001</v>
      </c>
      <c r="CK513">
        <v>32.557400000000001</v>
      </c>
      <c r="CL513">
        <v>24.561</v>
      </c>
      <c r="CM513">
        <v>16.6144</v>
      </c>
      <c r="CN513">
        <v>32.019399999999997</v>
      </c>
      <c r="CO513">
        <v>24.253499999999999</v>
      </c>
      <c r="CP513">
        <v>7656.4</v>
      </c>
      <c r="CQ513">
        <v>5220.3999999999996</v>
      </c>
      <c r="CR513">
        <v>5221.3</v>
      </c>
      <c r="CS513">
        <v>6.4999999999999997E-3</v>
      </c>
      <c r="CT513">
        <v>1.147</v>
      </c>
      <c r="CU513">
        <v>0.65849999999999997</v>
      </c>
      <c r="CV513">
        <v>7.7651000000000003</v>
      </c>
      <c r="CW513">
        <v>4.8227000000000002</v>
      </c>
      <c r="CX513">
        <v>75.890799999999999</v>
      </c>
      <c r="CY513">
        <v>6.8141999999999996</v>
      </c>
      <c r="CZ513">
        <v>53.711300000000001</v>
      </c>
      <c r="DA513">
        <v>11.047000000000001</v>
      </c>
      <c r="DB513">
        <v>33.131300000000003</v>
      </c>
      <c r="DC513">
        <v>96.470799999999997</v>
      </c>
      <c r="DD513">
        <v>129.60210000000001</v>
      </c>
      <c r="DE513">
        <v>6051</v>
      </c>
      <c r="DF513">
        <v>1318</v>
      </c>
      <c r="DG513">
        <v>2107.9</v>
      </c>
      <c r="DH513">
        <v>1226.3</v>
      </c>
      <c r="DI513">
        <v>1398.8</v>
      </c>
    </row>
    <row r="514" spans="1:113" x14ac:dyDescent="0.3">
      <c r="E514" t="s">
        <v>78</v>
      </c>
      <c r="F514" t="s">
        <v>135</v>
      </c>
      <c r="G514" t="s">
        <v>135</v>
      </c>
      <c r="H514" t="s">
        <v>135</v>
      </c>
      <c r="I514" t="s">
        <v>135</v>
      </c>
      <c r="J514">
        <v>19.763400000000001</v>
      </c>
      <c r="K514">
        <v>15.404199999999999</v>
      </c>
      <c r="L514">
        <v>5.5734000000000004</v>
      </c>
      <c r="M514">
        <v>14.0244</v>
      </c>
      <c r="N514">
        <v>9.1793999999999993</v>
      </c>
      <c r="O514">
        <v>9.1793999999999993</v>
      </c>
      <c r="P514">
        <v>9.1793999999999993</v>
      </c>
      <c r="Q514">
        <v>34.546700000000001</v>
      </c>
      <c r="R514" t="s">
        <v>135</v>
      </c>
      <c r="S514" t="s">
        <v>135</v>
      </c>
      <c r="T514">
        <v>4.6158999999999999</v>
      </c>
      <c r="U514">
        <v>4.6961000000000004</v>
      </c>
      <c r="V514">
        <v>1.6223000000000001</v>
      </c>
      <c r="W514">
        <v>-4.6802000000000001</v>
      </c>
      <c r="X514">
        <v>-4.3299000000000003</v>
      </c>
      <c r="Y514" t="s">
        <v>135</v>
      </c>
      <c r="Z514" t="s">
        <v>135</v>
      </c>
      <c r="AA514" t="s">
        <v>135</v>
      </c>
      <c r="AB514" t="s">
        <v>135</v>
      </c>
      <c r="AC514" t="s">
        <v>135</v>
      </c>
      <c r="AD514" t="s">
        <v>135</v>
      </c>
      <c r="AE514" t="s">
        <v>135</v>
      </c>
      <c r="AF514" t="s">
        <v>135</v>
      </c>
      <c r="AG514" t="s">
        <v>135</v>
      </c>
      <c r="AH514" t="s">
        <v>135</v>
      </c>
      <c r="AI514" t="s">
        <v>135</v>
      </c>
      <c r="AJ514" t="s">
        <v>135</v>
      </c>
      <c r="AK514" t="s">
        <v>135</v>
      </c>
      <c r="AL514" t="s">
        <v>135</v>
      </c>
      <c r="AM514">
        <v>11.5199</v>
      </c>
      <c r="AN514">
        <v>14.0776</v>
      </c>
      <c r="AO514">
        <v>12.700799999999999</v>
      </c>
      <c r="AP514">
        <v>10.036199999999999</v>
      </c>
      <c r="AQ514">
        <v>7.9032999999999998</v>
      </c>
      <c r="AR514" t="s">
        <v>135</v>
      </c>
      <c r="AS514" t="s">
        <v>135</v>
      </c>
      <c r="AT514" t="s">
        <v>135</v>
      </c>
      <c r="AU514" t="s">
        <v>135</v>
      </c>
      <c r="AV514" t="s">
        <v>135</v>
      </c>
      <c r="AW514" t="s">
        <v>135</v>
      </c>
      <c r="AX514" t="s">
        <v>135</v>
      </c>
      <c r="AY514" t="s">
        <v>135</v>
      </c>
      <c r="AZ514" t="s">
        <v>135</v>
      </c>
      <c r="BA514" t="s">
        <v>135</v>
      </c>
      <c r="BB514" t="s">
        <v>135</v>
      </c>
      <c r="BC514" t="s">
        <v>135</v>
      </c>
      <c r="BD514" t="s">
        <v>135</v>
      </c>
      <c r="BE514" t="s">
        <v>135</v>
      </c>
      <c r="BF514">
        <v>27.9986</v>
      </c>
      <c r="BG514">
        <v>116.7295</v>
      </c>
      <c r="BH514">
        <v>198.94110000000001</v>
      </c>
      <c r="BI514">
        <v>155.16309999999999</v>
      </c>
      <c r="BJ514">
        <v>154.8963</v>
      </c>
      <c r="BK514" t="s">
        <v>135</v>
      </c>
      <c r="BL514" t="s">
        <v>135</v>
      </c>
      <c r="BM514" t="s">
        <v>135</v>
      </c>
      <c r="BN514" t="s">
        <v>135</v>
      </c>
      <c r="BO514" t="s">
        <v>135</v>
      </c>
      <c r="BP514" t="s">
        <v>135</v>
      </c>
      <c r="BQ514" t="s">
        <v>135</v>
      </c>
      <c r="BR514" t="s">
        <v>135</v>
      </c>
      <c r="BS514" t="s">
        <v>135</v>
      </c>
      <c r="BT514" t="s">
        <v>135</v>
      </c>
      <c r="BU514" t="s">
        <v>135</v>
      </c>
      <c r="BV514" t="s">
        <v>135</v>
      </c>
      <c r="BW514" t="s">
        <v>135</v>
      </c>
      <c r="BX514" t="s">
        <v>135</v>
      </c>
      <c r="BY514" t="s">
        <v>135</v>
      </c>
      <c r="BZ514" t="s">
        <v>135</v>
      </c>
      <c r="CA514" t="s">
        <v>135</v>
      </c>
      <c r="CB514" t="s">
        <v>135</v>
      </c>
      <c r="CC514" t="s">
        <v>135</v>
      </c>
      <c r="CD514" t="s">
        <v>135</v>
      </c>
      <c r="CE514" t="s">
        <v>135</v>
      </c>
      <c r="CF514">
        <v>13.102600000000001</v>
      </c>
      <c r="CG514" t="s">
        <v>135</v>
      </c>
      <c r="CH514" t="s">
        <v>135</v>
      </c>
      <c r="CI514" t="s">
        <v>135</v>
      </c>
      <c r="CJ514" t="s">
        <v>135</v>
      </c>
      <c r="CK514" t="s">
        <v>135</v>
      </c>
      <c r="CL514" t="s">
        <v>135</v>
      </c>
      <c r="CM514" t="s">
        <v>135</v>
      </c>
      <c r="CN514" t="s">
        <v>135</v>
      </c>
      <c r="CO514" t="s">
        <v>135</v>
      </c>
      <c r="CP514">
        <v>2644.1</v>
      </c>
      <c r="CQ514" t="s">
        <v>135</v>
      </c>
      <c r="CR514">
        <v>2060.9</v>
      </c>
      <c r="CS514" t="s">
        <v>135</v>
      </c>
      <c r="CT514" t="s">
        <v>135</v>
      </c>
      <c r="CU514" t="s">
        <v>135</v>
      </c>
      <c r="CV514" t="s">
        <v>135</v>
      </c>
      <c r="CW514" t="s">
        <v>135</v>
      </c>
      <c r="CX514" t="s">
        <v>135</v>
      </c>
      <c r="CY514" t="s">
        <v>135</v>
      </c>
      <c r="CZ514" t="s">
        <v>135</v>
      </c>
      <c r="DA514" t="s">
        <v>135</v>
      </c>
      <c r="DB514" t="s">
        <v>135</v>
      </c>
      <c r="DC514" t="s">
        <v>135</v>
      </c>
      <c r="DD514" t="s">
        <v>135</v>
      </c>
      <c r="DE514" t="s">
        <v>135</v>
      </c>
      <c r="DF514" t="s">
        <v>135</v>
      </c>
      <c r="DG514" t="s">
        <v>135</v>
      </c>
      <c r="DH514" t="s">
        <v>135</v>
      </c>
      <c r="DI514" t="s">
        <v>135</v>
      </c>
    </row>
    <row r="515" spans="1:113" x14ac:dyDescent="0.3">
      <c r="E515" t="s">
        <v>79</v>
      </c>
      <c r="F515">
        <v>13.287800000000001</v>
      </c>
      <c r="G515">
        <v>6.5708000000000002</v>
      </c>
      <c r="H515" t="s">
        <v>135</v>
      </c>
      <c r="I515">
        <v>10.4945</v>
      </c>
      <c r="J515">
        <v>14.7712</v>
      </c>
      <c r="K515">
        <v>8.8858999999999995</v>
      </c>
      <c r="L515">
        <v>26.687899999999999</v>
      </c>
      <c r="M515">
        <v>7.1721000000000004</v>
      </c>
      <c r="N515">
        <v>4.742</v>
      </c>
      <c r="O515">
        <v>4.742</v>
      </c>
      <c r="P515">
        <v>4.742</v>
      </c>
      <c r="Q515">
        <v>33.881999999999998</v>
      </c>
      <c r="R515" t="s">
        <v>135</v>
      </c>
      <c r="S515" t="s">
        <v>135</v>
      </c>
      <c r="T515">
        <v>5.8945999999999996</v>
      </c>
      <c r="U515">
        <v>20.391300000000001</v>
      </c>
      <c r="V515">
        <v>20.074400000000001</v>
      </c>
      <c r="W515">
        <v>13.0924</v>
      </c>
      <c r="X515">
        <v>15.0943</v>
      </c>
      <c r="Y515" t="s">
        <v>135</v>
      </c>
      <c r="Z515">
        <v>11.5646</v>
      </c>
      <c r="AA515">
        <v>5.0765000000000002</v>
      </c>
      <c r="AB515">
        <v>3.2494999999999998</v>
      </c>
      <c r="AC515">
        <v>4.0578000000000003</v>
      </c>
      <c r="AD515">
        <v>7.0353000000000003</v>
      </c>
      <c r="AE515">
        <v>-47.555999999999997</v>
      </c>
      <c r="AF515">
        <v>25.395099999999999</v>
      </c>
      <c r="AG515">
        <v>41.669600000000003</v>
      </c>
      <c r="AH515">
        <v>-29.869</v>
      </c>
      <c r="AI515">
        <v>8.1262000000000008</v>
      </c>
      <c r="AJ515">
        <v>-3.4192</v>
      </c>
      <c r="AK515">
        <v>8.1262000000000008</v>
      </c>
      <c r="AL515" t="s">
        <v>135</v>
      </c>
      <c r="AM515">
        <v>12.3863</v>
      </c>
      <c r="AN515">
        <v>24.216100000000001</v>
      </c>
      <c r="AO515">
        <v>27.764199999999999</v>
      </c>
      <c r="AP515">
        <v>17.079499999999999</v>
      </c>
      <c r="AQ515">
        <v>14.9222</v>
      </c>
      <c r="AR515" t="s">
        <v>135</v>
      </c>
      <c r="AS515">
        <v>11.6287</v>
      </c>
      <c r="AT515">
        <v>19.9038</v>
      </c>
      <c r="AU515">
        <v>17.567299999999999</v>
      </c>
      <c r="AV515">
        <v>12.5053</v>
      </c>
      <c r="AW515">
        <v>10.846299999999999</v>
      </c>
      <c r="AX515">
        <v>-18.9023</v>
      </c>
      <c r="AY515" t="s">
        <v>135</v>
      </c>
      <c r="AZ515" t="s">
        <v>135</v>
      </c>
      <c r="BA515">
        <v>0.18920000000000001</v>
      </c>
      <c r="BB515">
        <v>9.9443000000000001</v>
      </c>
      <c r="BC515">
        <v>7.2804000000000002</v>
      </c>
      <c r="BD515">
        <v>7.8357000000000001</v>
      </c>
      <c r="BE515" t="s">
        <v>135</v>
      </c>
      <c r="BF515">
        <v>-25.700500000000002</v>
      </c>
      <c r="BG515">
        <v>-39.549900000000001</v>
      </c>
      <c r="BH515">
        <v>-52.475700000000003</v>
      </c>
      <c r="BI515">
        <v>-60.537100000000002</v>
      </c>
      <c r="BJ515">
        <v>-60.389600000000002</v>
      </c>
      <c r="BK515" t="s">
        <v>135</v>
      </c>
      <c r="BL515" t="s">
        <v>135</v>
      </c>
      <c r="BM515" t="s">
        <v>135</v>
      </c>
      <c r="BN515" t="s">
        <v>135</v>
      </c>
      <c r="BO515" t="s">
        <v>135</v>
      </c>
      <c r="BP515" t="s">
        <v>135</v>
      </c>
      <c r="BQ515" t="s">
        <v>135</v>
      </c>
      <c r="BR515" t="s">
        <v>135</v>
      </c>
      <c r="BS515" t="s">
        <v>135</v>
      </c>
      <c r="BT515" t="s">
        <v>135</v>
      </c>
      <c r="BU515" t="s">
        <v>135</v>
      </c>
      <c r="BV515" t="s">
        <v>135</v>
      </c>
      <c r="BW515" t="s">
        <v>135</v>
      </c>
      <c r="BX515" t="s">
        <v>135</v>
      </c>
      <c r="BY515">
        <v>5720.8</v>
      </c>
      <c r="BZ515">
        <v>2413.1999999999998</v>
      </c>
      <c r="CA515">
        <v>3307.6</v>
      </c>
      <c r="CB515">
        <v>0.8911</v>
      </c>
      <c r="CC515">
        <v>0.86839999999999995</v>
      </c>
      <c r="CD515">
        <v>1.3761000000000001</v>
      </c>
      <c r="CE515">
        <v>1.3411</v>
      </c>
      <c r="CF515">
        <v>7.3274999999999997</v>
      </c>
      <c r="CG515">
        <v>50.378300000000003</v>
      </c>
      <c r="CH515">
        <v>16.3691</v>
      </c>
      <c r="CI515">
        <v>12.757300000000001</v>
      </c>
      <c r="CJ515">
        <v>8.2464999999999993</v>
      </c>
      <c r="CK515">
        <v>28.311800000000002</v>
      </c>
      <c r="CL515">
        <v>22.064900000000002</v>
      </c>
      <c r="CM515">
        <v>14.263</v>
      </c>
      <c r="CN515">
        <v>27.590800000000002</v>
      </c>
      <c r="CO515">
        <v>21.624400000000001</v>
      </c>
      <c r="CP515">
        <v>1501.4</v>
      </c>
      <c r="CQ515" t="s">
        <v>135</v>
      </c>
      <c r="CR515">
        <v>903.2</v>
      </c>
      <c r="CS515">
        <v>9.1999999999999998E-3</v>
      </c>
      <c r="CT515">
        <v>1.2017</v>
      </c>
      <c r="CU515">
        <v>0.71360000000000001</v>
      </c>
      <c r="CV515">
        <v>9.2279999999999998</v>
      </c>
      <c r="CW515">
        <v>4.0998999999999999</v>
      </c>
      <c r="CX515">
        <v>89.027100000000004</v>
      </c>
      <c r="CY515">
        <v>3.3860000000000001</v>
      </c>
      <c r="CZ515">
        <v>107.7963</v>
      </c>
      <c r="DA515">
        <v>9.5853999999999999</v>
      </c>
      <c r="DB515">
        <v>38.078899999999997</v>
      </c>
      <c r="DC515">
        <v>158.74449999999999</v>
      </c>
      <c r="DD515">
        <v>196.82339999999999</v>
      </c>
      <c r="DE515">
        <v>5973.6</v>
      </c>
      <c r="DF515" t="s">
        <v>135</v>
      </c>
      <c r="DG515" t="s">
        <v>135</v>
      </c>
      <c r="DH515" t="s">
        <v>135</v>
      </c>
      <c r="DI515" t="s">
        <v>135</v>
      </c>
    </row>
    <row r="516" spans="1:113" x14ac:dyDescent="0.3">
      <c r="E516" t="s">
        <v>80</v>
      </c>
      <c r="F516" t="s">
        <v>135</v>
      </c>
      <c r="G516" t="s">
        <v>135</v>
      </c>
      <c r="H516" t="s">
        <v>135</v>
      </c>
      <c r="I516" t="s">
        <v>135</v>
      </c>
      <c r="J516">
        <v>17.7804</v>
      </c>
      <c r="K516">
        <v>11.8109</v>
      </c>
      <c r="L516">
        <v>40.988199999999999</v>
      </c>
      <c r="M516">
        <v>11.191000000000001</v>
      </c>
      <c r="N516">
        <v>6.9969000000000001</v>
      </c>
      <c r="O516">
        <v>6.9969000000000001</v>
      </c>
      <c r="P516">
        <v>6.9969000000000001</v>
      </c>
      <c r="Q516">
        <v>37.477200000000003</v>
      </c>
      <c r="R516" t="s">
        <v>135</v>
      </c>
      <c r="S516" t="s">
        <v>135</v>
      </c>
      <c r="T516">
        <v>15.0701</v>
      </c>
      <c r="U516">
        <v>50.839500000000001</v>
      </c>
      <c r="V516">
        <v>83.315799999999996</v>
      </c>
      <c r="W516">
        <v>80.570899999999995</v>
      </c>
      <c r="X516">
        <v>80.724099999999993</v>
      </c>
      <c r="Y516" t="s">
        <v>135</v>
      </c>
      <c r="Z516" t="s">
        <v>135</v>
      </c>
      <c r="AA516" t="s">
        <v>135</v>
      </c>
      <c r="AB516" t="s">
        <v>135</v>
      </c>
      <c r="AC516" t="s">
        <v>135</v>
      </c>
      <c r="AD516" t="s">
        <v>135</v>
      </c>
      <c r="AE516" t="s">
        <v>135</v>
      </c>
      <c r="AF516" t="s">
        <v>135</v>
      </c>
      <c r="AG516" t="s">
        <v>135</v>
      </c>
      <c r="AH516" t="s">
        <v>135</v>
      </c>
      <c r="AI516" t="s">
        <v>135</v>
      </c>
      <c r="AJ516" t="s">
        <v>135</v>
      </c>
      <c r="AK516" t="s">
        <v>135</v>
      </c>
      <c r="AL516" t="s">
        <v>135</v>
      </c>
      <c r="AM516">
        <v>11.0754</v>
      </c>
      <c r="AN516">
        <v>22.684200000000001</v>
      </c>
      <c r="AO516">
        <v>23.772200000000002</v>
      </c>
      <c r="AP516">
        <v>19.318999999999999</v>
      </c>
      <c r="AQ516">
        <v>17.0505</v>
      </c>
      <c r="AR516" t="s">
        <v>135</v>
      </c>
      <c r="AS516" t="s">
        <v>135</v>
      </c>
      <c r="AT516" t="s">
        <v>135</v>
      </c>
      <c r="AU516" t="s">
        <v>135</v>
      </c>
      <c r="AV516" t="s">
        <v>135</v>
      </c>
      <c r="AW516" t="s">
        <v>135</v>
      </c>
      <c r="AX516" t="s">
        <v>135</v>
      </c>
      <c r="AY516" t="s">
        <v>135</v>
      </c>
      <c r="AZ516" t="s">
        <v>135</v>
      </c>
      <c r="BA516" t="s">
        <v>135</v>
      </c>
      <c r="BB516" t="s">
        <v>135</v>
      </c>
      <c r="BC516" t="s">
        <v>135</v>
      </c>
      <c r="BD516" t="s">
        <v>135</v>
      </c>
      <c r="BE516" t="s">
        <v>135</v>
      </c>
      <c r="BF516">
        <v>0.98070000000000002</v>
      </c>
      <c r="BG516">
        <v>35.735399999999998</v>
      </c>
      <c r="BH516">
        <v>61.888300000000001</v>
      </c>
      <c r="BI516">
        <v>38.399500000000003</v>
      </c>
      <c r="BJ516">
        <v>38.578699999999998</v>
      </c>
      <c r="BK516" t="s">
        <v>135</v>
      </c>
      <c r="BL516" t="s">
        <v>135</v>
      </c>
      <c r="BM516" t="s">
        <v>135</v>
      </c>
      <c r="BN516" t="s">
        <v>135</v>
      </c>
      <c r="BO516" t="s">
        <v>135</v>
      </c>
      <c r="BP516" t="s">
        <v>135</v>
      </c>
      <c r="BQ516" t="s">
        <v>135</v>
      </c>
      <c r="BR516" t="s">
        <v>135</v>
      </c>
      <c r="BS516" t="s">
        <v>135</v>
      </c>
      <c r="BT516" t="s">
        <v>135</v>
      </c>
      <c r="BU516" t="s">
        <v>135</v>
      </c>
      <c r="BV516" t="s">
        <v>135</v>
      </c>
      <c r="BW516" t="s">
        <v>135</v>
      </c>
      <c r="BX516" t="s">
        <v>135</v>
      </c>
      <c r="BY516" t="s">
        <v>135</v>
      </c>
      <c r="BZ516" t="s">
        <v>135</v>
      </c>
      <c r="CA516" t="s">
        <v>135</v>
      </c>
      <c r="CB516" t="s">
        <v>135</v>
      </c>
      <c r="CC516" t="s">
        <v>135</v>
      </c>
      <c r="CD516" t="s">
        <v>135</v>
      </c>
      <c r="CE516" t="s">
        <v>135</v>
      </c>
      <c r="CF516">
        <v>9.9549000000000003</v>
      </c>
      <c r="CG516" t="s">
        <v>135</v>
      </c>
      <c r="CH516" t="s">
        <v>135</v>
      </c>
      <c r="CI516" t="s">
        <v>135</v>
      </c>
      <c r="CJ516" t="s">
        <v>135</v>
      </c>
      <c r="CK516" t="s">
        <v>135</v>
      </c>
      <c r="CL516" t="s">
        <v>135</v>
      </c>
      <c r="CM516" t="s">
        <v>135</v>
      </c>
      <c r="CN516" t="s">
        <v>135</v>
      </c>
      <c r="CO516" t="s">
        <v>135</v>
      </c>
      <c r="CP516">
        <v>1832.7</v>
      </c>
      <c r="CQ516" t="s">
        <v>135</v>
      </c>
      <c r="CR516">
        <v>1217.4000000000001</v>
      </c>
      <c r="CS516" t="s">
        <v>135</v>
      </c>
      <c r="CT516" t="s">
        <v>135</v>
      </c>
      <c r="CU516" t="s">
        <v>135</v>
      </c>
      <c r="CV516" t="s">
        <v>135</v>
      </c>
      <c r="CW516" t="s">
        <v>135</v>
      </c>
      <c r="CX516" t="s">
        <v>135</v>
      </c>
      <c r="CY516" t="s">
        <v>135</v>
      </c>
      <c r="CZ516" t="s">
        <v>135</v>
      </c>
      <c r="DA516" t="s">
        <v>135</v>
      </c>
      <c r="DB516" t="s">
        <v>135</v>
      </c>
      <c r="DC516" t="s">
        <v>135</v>
      </c>
      <c r="DD516" t="s">
        <v>135</v>
      </c>
      <c r="DE516" t="s">
        <v>135</v>
      </c>
      <c r="DF516" t="s">
        <v>135</v>
      </c>
      <c r="DG516" t="s">
        <v>135</v>
      </c>
      <c r="DH516" t="s">
        <v>135</v>
      </c>
      <c r="DI516" t="s">
        <v>135</v>
      </c>
    </row>
    <row r="517" spans="1:113" x14ac:dyDescent="0.3">
      <c r="E517" t="s">
        <v>81</v>
      </c>
      <c r="F517">
        <v>15.0075</v>
      </c>
      <c r="G517">
        <v>7.4135999999999997</v>
      </c>
      <c r="H517">
        <v>12.6579</v>
      </c>
      <c r="I517">
        <v>10.2067</v>
      </c>
      <c r="J517">
        <v>10.5672</v>
      </c>
      <c r="K517">
        <v>5.1784999999999997</v>
      </c>
      <c r="L517" t="s">
        <v>135</v>
      </c>
      <c r="M517">
        <v>6.1196999999999999</v>
      </c>
      <c r="N517">
        <v>4.3419999999999996</v>
      </c>
      <c r="O517">
        <v>4.3419999999999996</v>
      </c>
      <c r="P517">
        <v>4.3419999999999996</v>
      </c>
      <c r="Q517">
        <v>29.048300000000001</v>
      </c>
      <c r="R517" t="s">
        <v>135</v>
      </c>
      <c r="S517" t="s">
        <v>135</v>
      </c>
      <c r="T517">
        <v>13.343500000000001</v>
      </c>
      <c r="U517">
        <v>2.6147999999999998</v>
      </c>
      <c r="V517">
        <v>-11.009600000000001</v>
      </c>
      <c r="W517">
        <v>6.8772000000000002</v>
      </c>
      <c r="X517">
        <v>6.5730000000000004</v>
      </c>
      <c r="Y517" t="s">
        <v>135</v>
      </c>
      <c r="Z517">
        <v>18.537099999999999</v>
      </c>
      <c r="AA517">
        <v>8.3671000000000006</v>
      </c>
      <c r="AB517">
        <v>-2.0188999999999999</v>
      </c>
      <c r="AC517">
        <v>6.4264999999999999</v>
      </c>
      <c r="AD517">
        <v>15.6629</v>
      </c>
      <c r="AE517">
        <v>-16.714600000000001</v>
      </c>
      <c r="AF517">
        <v>11.863199999999999</v>
      </c>
      <c r="AG517">
        <v>50.252499999999998</v>
      </c>
      <c r="AH517">
        <v>-17.952500000000001</v>
      </c>
      <c r="AI517">
        <v>13.947100000000001</v>
      </c>
      <c r="AJ517">
        <v>4.0145999999999997</v>
      </c>
      <c r="AK517">
        <v>13.947100000000001</v>
      </c>
      <c r="AL517" t="s">
        <v>135</v>
      </c>
      <c r="AM517">
        <v>9.1414000000000009</v>
      </c>
      <c r="AN517">
        <v>3.7785000000000002</v>
      </c>
      <c r="AO517">
        <v>-2.8794</v>
      </c>
      <c r="AP517">
        <v>5.1593999999999998</v>
      </c>
      <c r="AQ517">
        <v>4.3003999999999998</v>
      </c>
      <c r="AR517" t="s">
        <v>135</v>
      </c>
      <c r="AS517">
        <v>17.0669</v>
      </c>
      <c r="AT517">
        <v>15.863300000000001</v>
      </c>
      <c r="AU517">
        <v>9.9571000000000005</v>
      </c>
      <c r="AV517">
        <v>8.0510000000000002</v>
      </c>
      <c r="AW517">
        <v>26.6327</v>
      </c>
      <c r="AX517">
        <v>15.455500000000001</v>
      </c>
      <c r="AY517">
        <v>-0.36940000000000001</v>
      </c>
      <c r="AZ517">
        <v>7.4831000000000003</v>
      </c>
      <c r="BA517">
        <v>2.2185000000000001</v>
      </c>
      <c r="BB517">
        <v>10.2308</v>
      </c>
      <c r="BC517">
        <v>7.9038000000000004</v>
      </c>
      <c r="BD517">
        <v>14.1235</v>
      </c>
      <c r="BE517" t="s">
        <v>135</v>
      </c>
      <c r="BF517">
        <v>14.443899999999999</v>
      </c>
      <c r="BG517">
        <v>-28.881399999999999</v>
      </c>
      <c r="BH517">
        <v>-46.419200000000004</v>
      </c>
      <c r="BI517">
        <v>-27.8035</v>
      </c>
      <c r="BJ517">
        <v>-28.148099999999999</v>
      </c>
      <c r="BK517" t="s">
        <v>135</v>
      </c>
      <c r="BL517" t="s">
        <v>135</v>
      </c>
      <c r="BM517" t="s">
        <v>135</v>
      </c>
      <c r="BN517" t="s">
        <v>135</v>
      </c>
      <c r="BO517" t="s">
        <v>135</v>
      </c>
      <c r="BP517" t="s">
        <v>135</v>
      </c>
      <c r="BQ517" t="s">
        <v>135</v>
      </c>
      <c r="BR517" t="s">
        <v>135</v>
      </c>
      <c r="BS517" t="s">
        <v>135</v>
      </c>
      <c r="BT517" t="s">
        <v>135</v>
      </c>
      <c r="BU517" t="s">
        <v>135</v>
      </c>
      <c r="BV517" t="s">
        <v>135</v>
      </c>
      <c r="BW517" t="s">
        <v>135</v>
      </c>
      <c r="BX517" t="s">
        <v>135</v>
      </c>
      <c r="BY517">
        <v>6861.8</v>
      </c>
      <c r="BZ517">
        <v>4879.6000000000004</v>
      </c>
      <c r="CA517">
        <v>1982.2</v>
      </c>
      <c r="CB517">
        <v>1.0023</v>
      </c>
      <c r="CC517">
        <v>0.98570000000000002</v>
      </c>
      <c r="CD517">
        <v>1.5556000000000001</v>
      </c>
      <c r="CE517">
        <v>1.5299</v>
      </c>
      <c r="CF517">
        <v>7.4385000000000003</v>
      </c>
      <c r="CG517">
        <v>51.031199999999998</v>
      </c>
      <c r="CH517">
        <v>9.4049999999999994</v>
      </c>
      <c r="CI517">
        <v>7.0949999999999998</v>
      </c>
      <c r="CJ517">
        <v>4.7995000000000001</v>
      </c>
      <c r="CK517">
        <v>32.557400000000001</v>
      </c>
      <c r="CL517">
        <v>24.561</v>
      </c>
      <c r="CM517">
        <v>16.6144</v>
      </c>
      <c r="CN517">
        <v>32.019399999999997</v>
      </c>
      <c r="CO517">
        <v>24.253499999999999</v>
      </c>
      <c r="CP517">
        <v>1251.9000000000001</v>
      </c>
      <c r="CQ517" t="s">
        <v>135</v>
      </c>
      <c r="CR517">
        <v>613.5</v>
      </c>
      <c r="CS517">
        <v>6.4999999999999997E-3</v>
      </c>
      <c r="CT517">
        <v>1.147</v>
      </c>
      <c r="CU517">
        <v>0.65849999999999997</v>
      </c>
      <c r="CV517">
        <v>7.7651000000000003</v>
      </c>
      <c r="CW517">
        <v>4.3739999999999997</v>
      </c>
      <c r="CX517">
        <v>83.677099999999996</v>
      </c>
      <c r="CY517">
        <v>3.6337999999999999</v>
      </c>
      <c r="CZ517">
        <v>100.7223</v>
      </c>
      <c r="DA517">
        <v>5.9509999999999996</v>
      </c>
      <c r="DB517">
        <v>61.502499999999998</v>
      </c>
      <c r="DC517">
        <v>122.8969</v>
      </c>
      <c r="DD517">
        <v>184.39940000000001</v>
      </c>
      <c r="DE517">
        <v>6051</v>
      </c>
      <c r="DF517">
        <v>1318</v>
      </c>
      <c r="DG517">
        <v>2107.9</v>
      </c>
      <c r="DH517">
        <v>1226.3</v>
      </c>
      <c r="DI517">
        <v>1398.8</v>
      </c>
    </row>
    <row r="518" spans="1:113" x14ac:dyDescent="0.3">
      <c r="D518" t="s">
        <v>84</v>
      </c>
      <c r="E518" t="s">
        <v>77</v>
      </c>
      <c r="F518">
        <v>10.2422</v>
      </c>
      <c r="G518">
        <v>5.1909999999999998</v>
      </c>
      <c r="H518">
        <v>10.0166</v>
      </c>
      <c r="I518">
        <v>8.7339000000000002</v>
      </c>
      <c r="J518">
        <v>14.192299999999999</v>
      </c>
      <c r="K518">
        <v>7.8407</v>
      </c>
      <c r="L518">
        <v>-123.1293</v>
      </c>
      <c r="M518">
        <v>7.6845999999999997</v>
      </c>
      <c r="N518">
        <v>5.0762</v>
      </c>
      <c r="O518">
        <v>5.0762</v>
      </c>
      <c r="P518">
        <v>5.0762</v>
      </c>
      <c r="Q518">
        <v>33.942999999999998</v>
      </c>
      <c r="R518">
        <v>13.260400000000001</v>
      </c>
      <c r="S518">
        <v>8.8840000000000003</v>
      </c>
      <c r="T518">
        <v>-1.6637999999999999</v>
      </c>
      <c r="U518">
        <v>-7.3253000000000004</v>
      </c>
      <c r="V518">
        <v>-20.992999999999999</v>
      </c>
      <c r="W518">
        <v>-23.01</v>
      </c>
      <c r="X518">
        <v>-23.0701</v>
      </c>
      <c r="Y518">
        <v>0</v>
      </c>
      <c r="Z518">
        <v>15.779299999999999</v>
      </c>
      <c r="AA518">
        <v>9.1350999999999996</v>
      </c>
      <c r="AB518">
        <v>0.56999999999999995</v>
      </c>
      <c r="AC518">
        <v>2.5726</v>
      </c>
      <c r="AD518">
        <v>14.2354</v>
      </c>
      <c r="AE518">
        <v>57.768099999999997</v>
      </c>
      <c r="AF518">
        <v>9.9823000000000004</v>
      </c>
      <c r="AG518">
        <v>-0.46039999999999998</v>
      </c>
      <c r="AH518">
        <v>-15.908099999999999</v>
      </c>
      <c r="AI518">
        <v>8.7108000000000008</v>
      </c>
      <c r="AJ518">
        <v>4.2805999999999997</v>
      </c>
      <c r="AK518">
        <v>8.7108000000000008</v>
      </c>
      <c r="AL518">
        <v>5.7351000000000001</v>
      </c>
      <c r="AM518">
        <v>4.8696000000000002</v>
      </c>
      <c r="AN518">
        <v>7.2600999999999996</v>
      </c>
      <c r="AO518">
        <v>3.1751</v>
      </c>
      <c r="AP518">
        <v>13.1533</v>
      </c>
      <c r="AQ518">
        <v>13.124000000000001</v>
      </c>
      <c r="AR518">
        <v>10.4384</v>
      </c>
      <c r="AS518">
        <v>13.1165</v>
      </c>
      <c r="AT518">
        <v>13.4077</v>
      </c>
      <c r="AU518">
        <v>5.4539</v>
      </c>
      <c r="AV518">
        <v>6.3632</v>
      </c>
      <c r="AW518">
        <v>17.2424</v>
      </c>
      <c r="AX518">
        <v>18.5899</v>
      </c>
      <c r="AY518">
        <v>3.6960999999999999</v>
      </c>
      <c r="AZ518">
        <v>-17.373000000000001</v>
      </c>
      <c r="BA518">
        <v>-16.111000000000001</v>
      </c>
      <c r="BB518">
        <v>11.3088</v>
      </c>
      <c r="BC518">
        <v>3.3130999999999999</v>
      </c>
      <c r="BD518">
        <v>12.557700000000001</v>
      </c>
      <c r="BE518">
        <v>29.975300000000001</v>
      </c>
      <c r="BF518">
        <v>-1.6637999999999999</v>
      </c>
      <c r="BG518">
        <v>-7.3253000000000004</v>
      </c>
      <c r="BH518">
        <v>-20.992999999999999</v>
      </c>
      <c r="BI518">
        <v>-23.01</v>
      </c>
      <c r="BJ518">
        <v>-23.0701</v>
      </c>
      <c r="BK518">
        <v>0</v>
      </c>
      <c r="BL518">
        <v>15.779299999999999</v>
      </c>
      <c r="BM518">
        <v>9.1350999999999996</v>
      </c>
      <c r="BN518">
        <v>0.56999999999999995</v>
      </c>
      <c r="BO518">
        <v>2.5726</v>
      </c>
      <c r="BP518">
        <v>14.2354</v>
      </c>
      <c r="BQ518">
        <v>57.768099999999997</v>
      </c>
      <c r="BR518">
        <v>9.9823000000000004</v>
      </c>
      <c r="BS518">
        <v>-0.46039999999999998</v>
      </c>
      <c r="BT518">
        <v>-15.908099999999999</v>
      </c>
      <c r="BU518">
        <v>8.7108000000000008</v>
      </c>
      <c r="BV518">
        <v>4.2805999999999997</v>
      </c>
      <c r="BW518">
        <v>8.7108000000000008</v>
      </c>
      <c r="BX518">
        <v>5.7351000000000001</v>
      </c>
      <c r="BY518">
        <v>3959.3</v>
      </c>
      <c r="BZ518">
        <v>2119</v>
      </c>
      <c r="CA518">
        <v>1840.3</v>
      </c>
      <c r="CB518">
        <v>0.61750000000000005</v>
      </c>
      <c r="CC518">
        <v>0.58389999999999997</v>
      </c>
      <c r="CD518">
        <v>1.1177999999999999</v>
      </c>
      <c r="CE518">
        <v>1.0569</v>
      </c>
      <c r="CF518">
        <v>11.0413</v>
      </c>
      <c r="CG518">
        <v>52.135399999999997</v>
      </c>
      <c r="CH518">
        <v>7.8898000000000001</v>
      </c>
      <c r="CI518">
        <v>6.7449000000000003</v>
      </c>
      <c r="CJ518">
        <v>4.1132999999999997</v>
      </c>
      <c r="CK518">
        <v>16.974299999999999</v>
      </c>
      <c r="CL518">
        <v>14.511200000000001</v>
      </c>
      <c r="CM518">
        <v>8.8496000000000006</v>
      </c>
      <c r="CN518">
        <v>16.0505</v>
      </c>
      <c r="CO518">
        <v>13.8306</v>
      </c>
      <c r="CP518">
        <v>6411.7</v>
      </c>
      <c r="CQ518">
        <v>4051.9</v>
      </c>
      <c r="CR518">
        <v>3542.2</v>
      </c>
      <c r="CS518">
        <v>1.1299999999999999E-2</v>
      </c>
      <c r="CT518">
        <v>1.2412000000000001</v>
      </c>
      <c r="CU518">
        <v>0.69210000000000005</v>
      </c>
      <c r="CV518">
        <v>7.4859999999999998</v>
      </c>
      <c r="CW518">
        <v>3.7427000000000001</v>
      </c>
      <c r="CX518">
        <v>97.523399999999995</v>
      </c>
      <c r="CY518">
        <v>3.0413000000000001</v>
      </c>
      <c r="CZ518">
        <v>120.0133</v>
      </c>
      <c r="DA518">
        <v>5.1223000000000001</v>
      </c>
      <c r="DB518">
        <v>71.257400000000004</v>
      </c>
      <c r="DC518">
        <v>146.27930000000001</v>
      </c>
      <c r="DD518">
        <v>217.5367</v>
      </c>
      <c r="DE518">
        <v>7501.4</v>
      </c>
      <c r="DF518">
        <v>1666.1</v>
      </c>
      <c r="DG518">
        <v>2670.2</v>
      </c>
      <c r="DH518">
        <v>1643.4</v>
      </c>
      <c r="DI518">
        <v>1521.7</v>
      </c>
    </row>
    <row r="519" spans="1:113" x14ac:dyDescent="0.3">
      <c r="E519" t="s">
        <v>78</v>
      </c>
      <c r="F519" t="s">
        <v>135</v>
      </c>
      <c r="G519" t="s">
        <v>135</v>
      </c>
      <c r="H519" t="s">
        <v>135</v>
      </c>
      <c r="I519" t="s">
        <v>135</v>
      </c>
      <c r="J519">
        <v>19.521799999999999</v>
      </c>
      <c r="K519">
        <v>15.2356</v>
      </c>
      <c r="L519">
        <v>30.8569</v>
      </c>
      <c r="M519">
        <v>15.214700000000001</v>
      </c>
      <c r="N519">
        <v>9.8986000000000001</v>
      </c>
      <c r="O519">
        <v>9.8986000000000001</v>
      </c>
      <c r="P519">
        <v>9.8986000000000001</v>
      </c>
      <c r="Q519">
        <v>34.9407</v>
      </c>
      <c r="R519" t="s">
        <v>135</v>
      </c>
      <c r="S519" t="s">
        <v>135</v>
      </c>
      <c r="T519">
        <v>8.5991999999999997</v>
      </c>
      <c r="U519">
        <v>16.773399999999999</v>
      </c>
      <c r="V519">
        <v>19.100200000000001</v>
      </c>
      <c r="W519">
        <v>20.402799999999999</v>
      </c>
      <c r="X519">
        <v>20.346299999999999</v>
      </c>
      <c r="Y519" t="s">
        <v>135</v>
      </c>
      <c r="Z519" t="s">
        <v>135</v>
      </c>
      <c r="AA519" t="s">
        <v>135</v>
      </c>
      <c r="AB519" t="s">
        <v>135</v>
      </c>
      <c r="AC519" t="s">
        <v>135</v>
      </c>
      <c r="AD519" t="s">
        <v>135</v>
      </c>
      <c r="AE519" t="s">
        <v>135</v>
      </c>
      <c r="AF519" t="s">
        <v>135</v>
      </c>
      <c r="AG519" t="s">
        <v>135</v>
      </c>
      <c r="AH519" t="s">
        <v>135</v>
      </c>
      <c r="AI519" t="s">
        <v>135</v>
      </c>
      <c r="AJ519" t="s">
        <v>135</v>
      </c>
      <c r="AK519" t="s">
        <v>135</v>
      </c>
      <c r="AL519" t="s">
        <v>135</v>
      </c>
      <c r="AM519">
        <v>9.4987999999999992</v>
      </c>
      <c r="AN519">
        <v>16.624400000000001</v>
      </c>
      <c r="AO519">
        <v>15.1531</v>
      </c>
      <c r="AP519">
        <v>15.664</v>
      </c>
      <c r="AQ519">
        <v>14.776199999999999</v>
      </c>
      <c r="AR519" t="s">
        <v>135</v>
      </c>
      <c r="AS519" t="s">
        <v>135</v>
      </c>
      <c r="AT519" t="s">
        <v>135</v>
      </c>
      <c r="AU519" t="s">
        <v>135</v>
      </c>
      <c r="AV519" t="s">
        <v>135</v>
      </c>
      <c r="AW519" t="s">
        <v>135</v>
      </c>
      <c r="AX519" t="s">
        <v>135</v>
      </c>
      <c r="AY519" t="s">
        <v>135</v>
      </c>
      <c r="AZ519" t="s">
        <v>135</v>
      </c>
      <c r="BA519" t="s">
        <v>135</v>
      </c>
      <c r="BB519" t="s">
        <v>135</v>
      </c>
      <c r="BC519" t="s">
        <v>135</v>
      </c>
      <c r="BD519" t="s">
        <v>135</v>
      </c>
      <c r="BE519" t="s">
        <v>135</v>
      </c>
      <c r="BF519">
        <v>22.5305</v>
      </c>
      <c r="BG519">
        <v>130.31049999999999</v>
      </c>
      <c r="BH519">
        <v>264.55149999999998</v>
      </c>
      <c r="BI519">
        <v>180.80959999999999</v>
      </c>
      <c r="BJ519">
        <v>180.8081</v>
      </c>
      <c r="BK519" t="s">
        <v>135</v>
      </c>
      <c r="BL519" t="s">
        <v>135</v>
      </c>
      <c r="BM519" t="s">
        <v>135</v>
      </c>
      <c r="BN519" t="s">
        <v>135</v>
      </c>
      <c r="BO519" t="s">
        <v>135</v>
      </c>
      <c r="BP519" t="s">
        <v>135</v>
      </c>
      <c r="BQ519" t="s">
        <v>135</v>
      </c>
      <c r="BR519" t="s">
        <v>135</v>
      </c>
      <c r="BS519" t="s">
        <v>135</v>
      </c>
      <c r="BT519" t="s">
        <v>135</v>
      </c>
      <c r="BU519" t="s">
        <v>135</v>
      </c>
      <c r="BV519" t="s">
        <v>135</v>
      </c>
      <c r="BW519" t="s">
        <v>135</v>
      </c>
      <c r="BX519" t="s">
        <v>135</v>
      </c>
      <c r="BY519" t="s">
        <v>135</v>
      </c>
      <c r="BZ519" t="s">
        <v>135</v>
      </c>
      <c r="CA519" t="s">
        <v>135</v>
      </c>
      <c r="CB519" t="s">
        <v>135</v>
      </c>
      <c r="CC519" t="s">
        <v>135</v>
      </c>
      <c r="CD519" t="s">
        <v>135</v>
      </c>
      <c r="CE519" t="s">
        <v>135</v>
      </c>
      <c r="CF519">
        <v>19.5702</v>
      </c>
      <c r="CG519" t="s">
        <v>135</v>
      </c>
      <c r="CH519" t="s">
        <v>135</v>
      </c>
      <c r="CI519" t="s">
        <v>135</v>
      </c>
      <c r="CJ519" t="s">
        <v>135</v>
      </c>
      <c r="CK519" t="s">
        <v>135</v>
      </c>
      <c r="CL519" t="s">
        <v>135</v>
      </c>
      <c r="CM519" t="s">
        <v>135</v>
      </c>
      <c r="CN519" t="s">
        <v>135</v>
      </c>
      <c r="CO519" t="s">
        <v>135</v>
      </c>
      <c r="CP519">
        <v>2900.3</v>
      </c>
      <c r="CQ519" t="s">
        <v>135</v>
      </c>
      <c r="CR519">
        <v>2263.5</v>
      </c>
      <c r="CS519" t="s">
        <v>135</v>
      </c>
      <c r="CT519" t="s">
        <v>135</v>
      </c>
      <c r="CU519" t="s">
        <v>135</v>
      </c>
      <c r="CV519" t="s">
        <v>135</v>
      </c>
      <c r="CW519" t="s">
        <v>135</v>
      </c>
      <c r="CX519" t="s">
        <v>135</v>
      </c>
      <c r="CY519" t="s">
        <v>135</v>
      </c>
      <c r="CZ519" t="s">
        <v>135</v>
      </c>
      <c r="DA519" t="s">
        <v>135</v>
      </c>
      <c r="DB519" t="s">
        <v>135</v>
      </c>
      <c r="DC519" t="s">
        <v>135</v>
      </c>
      <c r="DD519" t="s">
        <v>135</v>
      </c>
      <c r="DE519" t="s">
        <v>135</v>
      </c>
      <c r="DF519" t="s">
        <v>135</v>
      </c>
      <c r="DG519" t="s">
        <v>135</v>
      </c>
      <c r="DH519" t="s">
        <v>135</v>
      </c>
      <c r="DI519" t="s">
        <v>135</v>
      </c>
    </row>
    <row r="520" spans="1:113" x14ac:dyDescent="0.3">
      <c r="E520" t="s">
        <v>79</v>
      </c>
      <c r="F520">
        <v>13.8507</v>
      </c>
      <c r="G520">
        <v>7.2763</v>
      </c>
      <c r="H520">
        <v>12.6571</v>
      </c>
      <c r="I520">
        <v>11.2311</v>
      </c>
      <c r="J520">
        <v>12.234400000000001</v>
      </c>
      <c r="K520">
        <v>5.1448</v>
      </c>
      <c r="L520">
        <v>-79.743499999999997</v>
      </c>
      <c r="M520">
        <v>3.7997999999999998</v>
      </c>
      <c r="N520">
        <v>2.7313999999999998</v>
      </c>
      <c r="O520">
        <v>2.7313999999999998</v>
      </c>
      <c r="P520">
        <v>2.7313999999999998</v>
      </c>
      <c r="Q520">
        <v>28.1159</v>
      </c>
      <c r="R520" t="s">
        <v>135</v>
      </c>
      <c r="S520" t="s">
        <v>135</v>
      </c>
      <c r="T520">
        <v>-2.9792000000000001</v>
      </c>
      <c r="U520">
        <v>-10.2651</v>
      </c>
      <c r="V520">
        <v>-32.247300000000003</v>
      </c>
      <c r="W520">
        <v>-48.090600000000002</v>
      </c>
      <c r="X520">
        <v>-48.223399999999998</v>
      </c>
      <c r="Y520" t="s">
        <v>135</v>
      </c>
      <c r="Z520">
        <v>2.7681</v>
      </c>
      <c r="AA520">
        <v>5.4724000000000004</v>
      </c>
      <c r="AB520">
        <v>-1.1363000000000001</v>
      </c>
      <c r="AC520">
        <v>4.0305</v>
      </c>
      <c r="AD520">
        <v>3.1802000000000001</v>
      </c>
      <c r="AE520">
        <v>19.544799999999999</v>
      </c>
      <c r="AF520">
        <v>7.0976999999999997</v>
      </c>
      <c r="AG520">
        <v>36.408099999999997</v>
      </c>
      <c r="AH520">
        <v>-10.121</v>
      </c>
      <c r="AI520">
        <v>12.7613</v>
      </c>
      <c r="AJ520">
        <v>7.7123999999999997</v>
      </c>
      <c r="AK520">
        <v>12.7613</v>
      </c>
      <c r="AL520" t="s">
        <v>135</v>
      </c>
      <c r="AM520">
        <v>6.1969000000000003</v>
      </c>
      <c r="AN520">
        <v>16.9587</v>
      </c>
      <c r="AO520">
        <v>10.5334</v>
      </c>
      <c r="AP520">
        <v>6.7424999999999997</v>
      </c>
      <c r="AQ520">
        <v>5.8673000000000002</v>
      </c>
      <c r="AR520" t="s">
        <v>135</v>
      </c>
      <c r="AS520">
        <v>8.1841000000000008</v>
      </c>
      <c r="AT520">
        <v>12.8032</v>
      </c>
      <c r="AU520">
        <v>13.207100000000001</v>
      </c>
      <c r="AV520">
        <v>7.8376000000000001</v>
      </c>
      <c r="AW520">
        <v>6.4264999999999999</v>
      </c>
      <c r="AX520">
        <v>-17.3871</v>
      </c>
      <c r="AY520" t="s">
        <v>135</v>
      </c>
      <c r="AZ520" t="s">
        <v>135</v>
      </c>
      <c r="BA520">
        <v>-4.3117999999999999</v>
      </c>
      <c r="BB520">
        <v>6.7457000000000003</v>
      </c>
      <c r="BC520">
        <v>4.0949</v>
      </c>
      <c r="BD520">
        <v>5.9340999999999999</v>
      </c>
      <c r="BE520" t="s">
        <v>135</v>
      </c>
      <c r="BF520">
        <v>-36.688400000000001</v>
      </c>
      <c r="BG520">
        <v>-60.215400000000002</v>
      </c>
      <c r="BH520">
        <v>-78.846599999999995</v>
      </c>
      <c r="BI520">
        <v>-81.606099999999998</v>
      </c>
      <c r="BJ520">
        <v>-81.654700000000005</v>
      </c>
      <c r="BK520" t="s">
        <v>135</v>
      </c>
      <c r="BL520" t="s">
        <v>135</v>
      </c>
      <c r="BM520" t="s">
        <v>135</v>
      </c>
      <c r="BN520" t="s">
        <v>135</v>
      </c>
      <c r="BO520" t="s">
        <v>135</v>
      </c>
      <c r="BP520" t="s">
        <v>135</v>
      </c>
      <c r="BQ520" t="s">
        <v>135</v>
      </c>
      <c r="BR520" t="s">
        <v>135</v>
      </c>
      <c r="BS520" t="s">
        <v>135</v>
      </c>
      <c r="BT520" t="s">
        <v>135</v>
      </c>
      <c r="BU520" t="s">
        <v>135</v>
      </c>
      <c r="BV520" t="s">
        <v>135</v>
      </c>
      <c r="BW520" t="s">
        <v>135</v>
      </c>
      <c r="BX520" t="s">
        <v>135</v>
      </c>
      <c r="BY520">
        <v>5141.8</v>
      </c>
      <c r="BZ520">
        <v>3291.8</v>
      </c>
      <c r="CA520">
        <v>1850</v>
      </c>
      <c r="CB520">
        <v>0.70660000000000001</v>
      </c>
      <c r="CC520">
        <v>0.68189999999999995</v>
      </c>
      <c r="CD520">
        <v>1.0976999999999999</v>
      </c>
      <c r="CE520">
        <v>1.0593999999999999</v>
      </c>
      <c r="CF520">
        <v>8.5868000000000002</v>
      </c>
      <c r="CG520">
        <v>54.606400000000001</v>
      </c>
      <c r="CH520">
        <v>8.1194000000000006</v>
      </c>
      <c r="CI520">
        <v>6.6245000000000003</v>
      </c>
      <c r="CJ520">
        <v>4.4337</v>
      </c>
      <c r="CK520">
        <v>22.566600000000001</v>
      </c>
      <c r="CL520">
        <v>18.4117</v>
      </c>
      <c r="CM520">
        <v>12.322800000000001</v>
      </c>
      <c r="CN520">
        <v>21.778400000000001</v>
      </c>
      <c r="CO520">
        <v>17.883600000000001</v>
      </c>
      <c r="CP520">
        <v>1211.5999999999999</v>
      </c>
      <c r="CQ520" t="s">
        <v>135</v>
      </c>
      <c r="CR520">
        <v>509.5</v>
      </c>
      <c r="CS520">
        <v>1.09E-2</v>
      </c>
      <c r="CT520">
        <v>1.2305999999999999</v>
      </c>
      <c r="CU520">
        <v>0.70320000000000005</v>
      </c>
      <c r="CV520">
        <v>9.9863999999999997</v>
      </c>
      <c r="CW520">
        <v>4.2568999999999999</v>
      </c>
      <c r="CX520">
        <v>85.977599999999995</v>
      </c>
      <c r="CY520">
        <v>3.6225000000000001</v>
      </c>
      <c r="CZ520">
        <v>101.0359</v>
      </c>
      <c r="DA520">
        <v>9.3711000000000002</v>
      </c>
      <c r="DB520">
        <v>39.056100000000001</v>
      </c>
      <c r="DC520">
        <v>147.95750000000001</v>
      </c>
      <c r="DD520">
        <v>187.0136</v>
      </c>
      <c r="DE520">
        <v>6300.5</v>
      </c>
      <c r="DF520" t="s">
        <v>135</v>
      </c>
      <c r="DG520" t="s">
        <v>135</v>
      </c>
      <c r="DH520" t="s">
        <v>135</v>
      </c>
      <c r="DI520" t="s">
        <v>135</v>
      </c>
    </row>
    <row r="521" spans="1:113" x14ac:dyDescent="0.3">
      <c r="E521" t="s">
        <v>80</v>
      </c>
      <c r="F521" t="s">
        <v>135</v>
      </c>
      <c r="G521" t="s">
        <v>135</v>
      </c>
      <c r="H521" t="s">
        <v>135</v>
      </c>
      <c r="I521" t="s">
        <v>135</v>
      </c>
      <c r="J521">
        <v>13.067399999999999</v>
      </c>
      <c r="K521">
        <v>5.9444999999999997</v>
      </c>
      <c r="L521">
        <v>-100.60769999999999</v>
      </c>
      <c r="M521">
        <v>7.7488999999999999</v>
      </c>
      <c r="N521">
        <v>4.9518000000000004</v>
      </c>
      <c r="O521">
        <v>4.9518000000000004</v>
      </c>
      <c r="P521">
        <v>4.9518000000000004</v>
      </c>
      <c r="Q521">
        <v>36.096499999999999</v>
      </c>
      <c r="R521" t="s">
        <v>135</v>
      </c>
      <c r="S521" t="s">
        <v>135</v>
      </c>
      <c r="T521">
        <v>-5.4048999999999996</v>
      </c>
      <c r="U521">
        <v>-27.3078</v>
      </c>
      <c r="V521">
        <v>-49.1616</v>
      </c>
      <c r="W521">
        <v>-31.943899999999999</v>
      </c>
      <c r="X521">
        <v>-31.851900000000001</v>
      </c>
      <c r="Y521" t="s">
        <v>135</v>
      </c>
      <c r="Z521" t="s">
        <v>135</v>
      </c>
      <c r="AA521" t="s">
        <v>135</v>
      </c>
      <c r="AB521" t="s">
        <v>135</v>
      </c>
      <c r="AC521" t="s">
        <v>135</v>
      </c>
      <c r="AD521" t="s">
        <v>135</v>
      </c>
      <c r="AE521" t="s">
        <v>135</v>
      </c>
      <c r="AF521" t="s">
        <v>135</v>
      </c>
      <c r="AG521" t="s">
        <v>135</v>
      </c>
      <c r="AH521" t="s">
        <v>135</v>
      </c>
      <c r="AI521" t="s">
        <v>135</v>
      </c>
      <c r="AJ521" t="s">
        <v>135</v>
      </c>
      <c r="AK521" t="s">
        <v>135</v>
      </c>
      <c r="AL521" t="s">
        <v>135</v>
      </c>
      <c r="AM521">
        <v>0.37530000000000002</v>
      </c>
      <c r="AN521">
        <v>11.398300000000001</v>
      </c>
      <c r="AO521">
        <v>22.122299999999999</v>
      </c>
      <c r="AP521">
        <v>11.1211</v>
      </c>
      <c r="AQ521">
        <v>11.135199999999999</v>
      </c>
      <c r="AR521" t="s">
        <v>135</v>
      </c>
      <c r="AS521" t="s">
        <v>135</v>
      </c>
      <c r="AT521" t="s">
        <v>135</v>
      </c>
      <c r="AU521" t="s">
        <v>135</v>
      </c>
      <c r="AV521" t="s">
        <v>135</v>
      </c>
      <c r="AW521" t="s">
        <v>135</v>
      </c>
      <c r="AX521" t="s">
        <v>135</v>
      </c>
      <c r="AY521" t="s">
        <v>135</v>
      </c>
      <c r="AZ521" t="s">
        <v>135</v>
      </c>
      <c r="BA521" t="s">
        <v>135</v>
      </c>
      <c r="BB521" t="s">
        <v>135</v>
      </c>
      <c r="BC521" t="s">
        <v>135</v>
      </c>
      <c r="BD521" t="s">
        <v>135</v>
      </c>
      <c r="BE521" t="s">
        <v>135</v>
      </c>
      <c r="BF521">
        <v>-1.1197999999999999</v>
      </c>
      <c r="BG521">
        <v>5.6124000000000001</v>
      </c>
      <c r="BH521">
        <v>14.2493</v>
      </c>
      <c r="BI521">
        <v>79.260599999999997</v>
      </c>
      <c r="BJ521">
        <v>80.392200000000003</v>
      </c>
      <c r="BK521" t="s">
        <v>135</v>
      </c>
      <c r="BL521" t="s">
        <v>135</v>
      </c>
      <c r="BM521" t="s">
        <v>135</v>
      </c>
      <c r="BN521" t="s">
        <v>135</v>
      </c>
      <c r="BO521" t="s">
        <v>135</v>
      </c>
      <c r="BP521" t="s">
        <v>135</v>
      </c>
      <c r="BQ521" t="s">
        <v>135</v>
      </c>
      <c r="BR521" t="s">
        <v>135</v>
      </c>
      <c r="BS521" t="s">
        <v>135</v>
      </c>
      <c r="BT521" t="s">
        <v>135</v>
      </c>
      <c r="BU521" t="s">
        <v>135</v>
      </c>
      <c r="BV521" t="s">
        <v>135</v>
      </c>
      <c r="BW521" t="s">
        <v>135</v>
      </c>
      <c r="BX521" t="s">
        <v>135</v>
      </c>
      <c r="BY521" t="s">
        <v>135</v>
      </c>
      <c r="BZ521" t="s">
        <v>135</v>
      </c>
      <c r="CA521" t="s">
        <v>135</v>
      </c>
      <c r="CB521" t="s">
        <v>135</v>
      </c>
      <c r="CC521" t="s">
        <v>135</v>
      </c>
      <c r="CD521" t="s">
        <v>135</v>
      </c>
      <c r="CE521" t="s">
        <v>135</v>
      </c>
      <c r="CF521">
        <v>8.3742999999999999</v>
      </c>
      <c r="CG521" t="s">
        <v>135</v>
      </c>
      <c r="CH521" t="s">
        <v>135</v>
      </c>
      <c r="CI521" t="s">
        <v>135</v>
      </c>
      <c r="CJ521" t="s">
        <v>135</v>
      </c>
      <c r="CK521" t="s">
        <v>135</v>
      </c>
      <c r="CL521" t="s">
        <v>135</v>
      </c>
      <c r="CM521" t="s">
        <v>135</v>
      </c>
      <c r="CN521" t="s">
        <v>135</v>
      </c>
      <c r="CO521" t="s">
        <v>135</v>
      </c>
      <c r="CP521">
        <v>1279.5999999999999</v>
      </c>
      <c r="CQ521" t="s">
        <v>135</v>
      </c>
      <c r="CR521">
        <v>582.1</v>
      </c>
      <c r="CS521" t="s">
        <v>135</v>
      </c>
      <c r="CT521" t="s">
        <v>135</v>
      </c>
      <c r="CU521" t="s">
        <v>135</v>
      </c>
      <c r="CV521" t="s">
        <v>135</v>
      </c>
      <c r="CW521" t="s">
        <v>135</v>
      </c>
      <c r="CX521" t="s">
        <v>135</v>
      </c>
      <c r="CY521" t="s">
        <v>135</v>
      </c>
      <c r="CZ521" t="s">
        <v>135</v>
      </c>
      <c r="DA521" t="s">
        <v>135</v>
      </c>
      <c r="DB521" t="s">
        <v>135</v>
      </c>
      <c r="DC521" t="s">
        <v>135</v>
      </c>
      <c r="DD521" t="s">
        <v>135</v>
      </c>
      <c r="DE521" t="s">
        <v>135</v>
      </c>
      <c r="DF521" t="s">
        <v>135</v>
      </c>
      <c r="DG521" t="s">
        <v>135</v>
      </c>
      <c r="DH521" t="s">
        <v>135</v>
      </c>
      <c r="DI521" t="s">
        <v>135</v>
      </c>
    </row>
    <row r="522" spans="1:113" x14ac:dyDescent="0.3">
      <c r="E522" t="s">
        <v>81</v>
      </c>
      <c r="F522">
        <v>10.2422</v>
      </c>
      <c r="G522">
        <v>5.1909999999999998</v>
      </c>
      <c r="H522">
        <v>10.031000000000001</v>
      </c>
      <c r="I522">
        <v>8.8931000000000004</v>
      </c>
      <c r="J522">
        <v>9.0877999999999997</v>
      </c>
      <c r="K522">
        <v>1.6006</v>
      </c>
      <c r="L522">
        <v>-44.373199999999997</v>
      </c>
      <c r="M522">
        <v>0.68479999999999996</v>
      </c>
      <c r="N522">
        <v>0.6048</v>
      </c>
      <c r="O522">
        <v>0.6048</v>
      </c>
      <c r="P522">
        <v>0.6048</v>
      </c>
      <c r="Q522">
        <v>11.6798</v>
      </c>
      <c r="R522" t="s">
        <v>135</v>
      </c>
      <c r="S522" t="s">
        <v>135</v>
      </c>
      <c r="T522">
        <v>-8.2302</v>
      </c>
      <c r="U522">
        <v>-19.7014</v>
      </c>
      <c r="V522">
        <v>-71.315799999999996</v>
      </c>
      <c r="W522">
        <v>-87.149100000000004</v>
      </c>
      <c r="X522">
        <v>-87.373699999999999</v>
      </c>
      <c r="Y522" t="s">
        <v>135</v>
      </c>
      <c r="Z522">
        <v>15.779299999999999</v>
      </c>
      <c r="AA522">
        <v>9.1350999999999996</v>
      </c>
      <c r="AB522">
        <v>0.56999999999999995</v>
      </c>
      <c r="AC522">
        <v>2.5726</v>
      </c>
      <c r="AD522">
        <v>14.2354</v>
      </c>
      <c r="AE522">
        <v>57.768099999999997</v>
      </c>
      <c r="AF522">
        <v>9.9823000000000004</v>
      </c>
      <c r="AG522">
        <v>-0.46039999999999998</v>
      </c>
      <c r="AH522">
        <v>-15.908099999999999</v>
      </c>
      <c r="AI522">
        <v>8.7108000000000008</v>
      </c>
      <c r="AJ522">
        <v>4.2805999999999997</v>
      </c>
      <c r="AK522">
        <v>8.7108000000000008</v>
      </c>
      <c r="AL522" t="s">
        <v>135</v>
      </c>
      <c r="AM522">
        <v>4.3482000000000003</v>
      </c>
      <c r="AN522">
        <v>-2.2126999999999999</v>
      </c>
      <c r="AO522">
        <v>-22.742899999999999</v>
      </c>
      <c r="AP522">
        <v>-1.5588</v>
      </c>
      <c r="AQ522">
        <v>-1.9123999999999999</v>
      </c>
      <c r="AR522" t="s">
        <v>135</v>
      </c>
      <c r="AS522">
        <v>13.1165</v>
      </c>
      <c r="AT522">
        <v>13.4077</v>
      </c>
      <c r="AU522">
        <v>5.4539</v>
      </c>
      <c r="AV522">
        <v>6.3632</v>
      </c>
      <c r="AW522">
        <v>17.2424</v>
      </c>
      <c r="AX522">
        <v>18.5899</v>
      </c>
      <c r="AY522">
        <v>3.6960999999999999</v>
      </c>
      <c r="AZ522">
        <v>-17.373000000000001</v>
      </c>
      <c r="BA522">
        <v>-16.111000000000001</v>
      </c>
      <c r="BB522">
        <v>11.3088</v>
      </c>
      <c r="BC522">
        <v>3.3130999999999999</v>
      </c>
      <c r="BD522">
        <v>12.557700000000001</v>
      </c>
      <c r="BE522" t="s">
        <v>135</v>
      </c>
      <c r="BF522">
        <v>8.8535000000000004</v>
      </c>
      <c r="BG522">
        <v>-20.975300000000001</v>
      </c>
      <c r="BH522">
        <v>-69.403899999999993</v>
      </c>
      <c r="BI522">
        <v>-86.120800000000003</v>
      </c>
      <c r="BJ522">
        <v>-86.412999999999997</v>
      </c>
      <c r="BK522" t="s">
        <v>135</v>
      </c>
      <c r="BL522" t="s">
        <v>135</v>
      </c>
      <c r="BM522" t="s">
        <v>135</v>
      </c>
      <c r="BN522" t="s">
        <v>135</v>
      </c>
      <c r="BO522" t="s">
        <v>135</v>
      </c>
      <c r="BP522" t="s">
        <v>135</v>
      </c>
      <c r="BQ522" t="s">
        <v>135</v>
      </c>
      <c r="BR522" t="s">
        <v>135</v>
      </c>
      <c r="BS522" t="s">
        <v>135</v>
      </c>
      <c r="BT522" t="s">
        <v>135</v>
      </c>
      <c r="BU522" t="s">
        <v>135</v>
      </c>
      <c r="BV522" t="s">
        <v>135</v>
      </c>
      <c r="BW522" t="s">
        <v>135</v>
      </c>
      <c r="BX522" t="s">
        <v>135</v>
      </c>
      <c r="BY522">
        <v>3959.3</v>
      </c>
      <c r="BZ522">
        <v>2119</v>
      </c>
      <c r="CA522">
        <v>1840.3</v>
      </c>
      <c r="CB522">
        <v>0.60470000000000002</v>
      </c>
      <c r="CC522">
        <v>0.57179999999999997</v>
      </c>
      <c r="CD522">
        <v>1.0764</v>
      </c>
      <c r="CE522">
        <v>1.0178</v>
      </c>
      <c r="CF522">
        <v>7.0027999999999997</v>
      </c>
      <c r="CG522">
        <v>52.135399999999997</v>
      </c>
      <c r="CH522">
        <v>7.8898000000000001</v>
      </c>
      <c r="CI522">
        <v>6.7449000000000003</v>
      </c>
      <c r="CJ522">
        <v>4.1132999999999997</v>
      </c>
      <c r="CK522">
        <v>16.974299999999999</v>
      </c>
      <c r="CL522">
        <v>14.511200000000001</v>
      </c>
      <c r="CM522">
        <v>8.8496000000000006</v>
      </c>
      <c r="CN522">
        <v>16.0505</v>
      </c>
      <c r="CO522">
        <v>13.8306</v>
      </c>
      <c r="CP522">
        <v>1011.2</v>
      </c>
      <c r="CQ522" t="s">
        <v>135</v>
      </c>
      <c r="CR522">
        <v>178.1</v>
      </c>
      <c r="CS522">
        <v>1.1299999999999999E-2</v>
      </c>
      <c r="CT522">
        <v>1.2412000000000001</v>
      </c>
      <c r="CU522">
        <v>0.69210000000000005</v>
      </c>
      <c r="CV522">
        <v>7.4859999999999998</v>
      </c>
      <c r="CW522">
        <v>3.8849</v>
      </c>
      <c r="CX522">
        <v>93.952799999999996</v>
      </c>
      <c r="CY522">
        <v>3.0859999999999999</v>
      </c>
      <c r="CZ522">
        <v>118.2765</v>
      </c>
      <c r="DA522">
        <v>5.1954000000000002</v>
      </c>
      <c r="DB522">
        <v>70.254499999999993</v>
      </c>
      <c r="DC522">
        <v>141.97470000000001</v>
      </c>
      <c r="DD522">
        <v>212.22929999999999</v>
      </c>
      <c r="DE522">
        <v>7501.4</v>
      </c>
      <c r="DF522">
        <v>1666.1</v>
      </c>
      <c r="DG522">
        <v>2670.2</v>
      </c>
      <c r="DH522">
        <v>1643.4</v>
      </c>
      <c r="DI522">
        <v>1521.7</v>
      </c>
    </row>
    <row r="523" spans="1:113" x14ac:dyDescent="0.3">
      <c r="D523" t="s">
        <v>85</v>
      </c>
      <c r="E523" t="s">
        <v>77</v>
      </c>
      <c r="F523">
        <v>15.6938</v>
      </c>
      <c r="G523">
        <v>8.5715000000000003</v>
      </c>
      <c r="H523">
        <v>14.962999999999999</v>
      </c>
      <c r="I523">
        <v>15.5244</v>
      </c>
      <c r="J523">
        <v>16.060099999999998</v>
      </c>
      <c r="K523">
        <v>11.4384</v>
      </c>
      <c r="L523">
        <v>26.224</v>
      </c>
      <c r="M523">
        <v>10.8034</v>
      </c>
      <c r="N523">
        <v>7.0141999999999998</v>
      </c>
      <c r="O523">
        <v>7.0141999999999998</v>
      </c>
      <c r="P523">
        <v>7.0141999999999998</v>
      </c>
      <c r="Q523">
        <v>35.074100000000001</v>
      </c>
      <c r="R523">
        <v>7.7184999999999997</v>
      </c>
      <c r="S523">
        <v>14.4825</v>
      </c>
      <c r="T523">
        <v>24.332999999999998</v>
      </c>
      <c r="U523">
        <v>40.695900000000002</v>
      </c>
      <c r="V523">
        <v>81.384500000000003</v>
      </c>
      <c r="W523">
        <v>71.8005</v>
      </c>
      <c r="X523">
        <v>71.856999999999999</v>
      </c>
      <c r="Y523">
        <v>0</v>
      </c>
      <c r="Z523">
        <v>15.6714</v>
      </c>
      <c r="AA523">
        <v>7.5053000000000001</v>
      </c>
      <c r="AB523">
        <v>-4.4267000000000003</v>
      </c>
      <c r="AC523">
        <v>5.4779</v>
      </c>
      <c r="AD523">
        <v>12.3902</v>
      </c>
      <c r="AE523">
        <v>82.784899999999993</v>
      </c>
      <c r="AF523">
        <v>13.664400000000001</v>
      </c>
      <c r="AG523">
        <v>-75.091999999999999</v>
      </c>
      <c r="AH523">
        <v>-34.892499999999998</v>
      </c>
      <c r="AI523">
        <v>15.259499999999999</v>
      </c>
      <c r="AJ523">
        <v>7.9817999999999998</v>
      </c>
      <c r="AK523">
        <v>15.259499999999999</v>
      </c>
      <c r="AL523">
        <v>5.1946000000000003</v>
      </c>
      <c r="AM523">
        <v>7.5519999999999996</v>
      </c>
      <c r="AN523">
        <v>12.3653</v>
      </c>
      <c r="AO523">
        <v>14.0222</v>
      </c>
      <c r="AP523">
        <v>18.360499999999998</v>
      </c>
      <c r="AQ523">
        <v>18.3765</v>
      </c>
      <c r="AR523">
        <v>10.4384</v>
      </c>
      <c r="AS523">
        <v>12.9985</v>
      </c>
      <c r="AT523">
        <v>9.4847000000000001</v>
      </c>
      <c r="AU523">
        <v>0.75080000000000002</v>
      </c>
      <c r="AV523">
        <v>4.7678000000000003</v>
      </c>
      <c r="AW523">
        <v>10.6104</v>
      </c>
      <c r="AX523">
        <v>13.0924</v>
      </c>
      <c r="AY523">
        <v>15.932399999999999</v>
      </c>
      <c r="AZ523">
        <v>-37.578600000000002</v>
      </c>
      <c r="BA523">
        <v>-27.6477</v>
      </c>
      <c r="BB523">
        <v>12.2187</v>
      </c>
      <c r="BC523">
        <v>0.94540000000000002</v>
      </c>
      <c r="BD523">
        <v>13.3527</v>
      </c>
      <c r="BE523">
        <v>28.583200000000001</v>
      </c>
      <c r="BF523">
        <v>24.332999999999998</v>
      </c>
      <c r="BG523">
        <v>40.695900000000002</v>
      </c>
      <c r="BH523">
        <v>81.384500000000003</v>
      </c>
      <c r="BI523">
        <v>71.8005</v>
      </c>
      <c r="BJ523">
        <v>71.856999999999999</v>
      </c>
      <c r="BK523">
        <v>0</v>
      </c>
      <c r="BL523">
        <v>15.6714</v>
      </c>
      <c r="BM523">
        <v>7.5053000000000001</v>
      </c>
      <c r="BN523">
        <v>-4.4267000000000003</v>
      </c>
      <c r="BO523">
        <v>5.4779</v>
      </c>
      <c r="BP523">
        <v>12.3902</v>
      </c>
      <c r="BQ523">
        <v>82.784899999999993</v>
      </c>
      <c r="BR523">
        <v>13.664400000000001</v>
      </c>
      <c r="BS523">
        <v>-75.091999999999999</v>
      </c>
      <c r="BT523">
        <v>-34.892499999999998</v>
      </c>
      <c r="BU523">
        <v>15.259499999999999</v>
      </c>
      <c r="BV523">
        <v>7.9817999999999998</v>
      </c>
      <c r="BW523">
        <v>15.259499999999999</v>
      </c>
      <c r="BX523">
        <v>5.1946000000000003</v>
      </c>
      <c r="BY523">
        <v>2577.8000000000002</v>
      </c>
      <c r="BZ523">
        <v>527.79999999999995</v>
      </c>
      <c r="CA523">
        <v>2050</v>
      </c>
      <c r="CB523">
        <v>0.2858</v>
      </c>
      <c r="CC523">
        <v>0.26340000000000002</v>
      </c>
      <c r="CD523">
        <v>0.4012</v>
      </c>
      <c r="CE523">
        <v>0.36980000000000002</v>
      </c>
      <c r="CF523">
        <v>19.165099999999999</v>
      </c>
      <c r="CG523">
        <v>56.970199999999998</v>
      </c>
      <c r="CH523">
        <v>7.6251999999999995</v>
      </c>
      <c r="CI523">
        <v>6.9580000000000002</v>
      </c>
      <c r="CJ523">
        <v>4.3441000000000001</v>
      </c>
      <c r="CK523">
        <v>9.5884</v>
      </c>
      <c r="CL523">
        <v>8.7494999999999994</v>
      </c>
      <c r="CM523">
        <v>5.4625000000000004</v>
      </c>
      <c r="CN523">
        <v>8.8385999999999996</v>
      </c>
      <c r="CO523">
        <v>8.1207999999999991</v>
      </c>
      <c r="CP523">
        <v>9021</v>
      </c>
      <c r="CQ523">
        <v>7004.1</v>
      </c>
      <c r="CR523">
        <v>6425</v>
      </c>
      <c r="CS523">
        <v>1.12E-2</v>
      </c>
      <c r="CT523">
        <v>1.4666999999999999</v>
      </c>
      <c r="CU523">
        <v>0.84489999999999998</v>
      </c>
      <c r="CV523">
        <v>9.7209000000000003</v>
      </c>
      <c r="CW523">
        <v>4.0212000000000003</v>
      </c>
      <c r="CX523">
        <v>90.768699999999995</v>
      </c>
      <c r="CY523">
        <v>3.3935</v>
      </c>
      <c r="CZ523">
        <v>107.55719999999999</v>
      </c>
      <c r="DA523">
        <v>5.4904999999999999</v>
      </c>
      <c r="DB523">
        <v>66.478999999999999</v>
      </c>
      <c r="DC523">
        <v>131.84690000000001</v>
      </c>
      <c r="DD523">
        <v>198.32589999999999</v>
      </c>
      <c r="DE523">
        <v>8064.4</v>
      </c>
      <c r="DF523">
        <v>3072.8</v>
      </c>
      <c r="DG523">
        <v>3211.8</v>
      </c>
      <c r="DH523">
        <v>1356.7</v>
      </c>
      <c r="DI523">
        <v>423.1</v>
      </c>
    </row>
    <row r="524" spans="1:113" x14ac:dyDescent="0.3">
      <c r="E524" t="s">
        <v>78</v>
      </c>
      <c r="F524" t="s">
        <v>135</v>
      </c>
      <c r="G524" t="s">
        <v>135</v>
      </c>
      <c r="H524" t="s">
        <v>135</v>
      </c>
      <c r="I524" t="s">
        <v>135</v>
      </c>
      <c r="J524">
        <v>19.3888</v>
      </c>
      <c r="K524">
        <v>15.5154</v>
      </c>
      <c r="L524">
        <v>17.180299999999999</v>
      </c>
      <c r="M524">
        <v>14.667199999999999</v>
      </c>
      <c r="N524">
        <v>9.6695999999999991</v>
      </c>
      <c r="O524">
        <v>9.6695999999999991</v>
      </c>
      <c r="P524">
        <v>9.6695999999999991</v>
      </c>
      <c r="Q524">
        <v>34.073099999999997</v>
      </c>
      <c r="R524" t="s">
        <v>135</v>
      </c>
      <c r="S524" t="s">
        <v>135</v>
      </c>
      <c r="T524">
        <v>7.0330000000000004</v>
      </c>
      <c r="U524">
        <v>6.5903</v>
      </c>
      <c r="V524">
        <v>7.8468999999999998</v>
      </c>
      <c r="W524">
        <v>10.084300000000001</v>
      </c>
      <c r="X524">
        <v>10.071899999999999</v>
      </c>
      <c r="Y524" t="s">
        <v>135</v>
      </c>
      <c r="Z524" t="s">
        <v>135</v>
      </c>
      <c r="AA524" t="s">
        <v>135</v>
      </c>
      <c r="AB524" t="s">
        <v>135</v>
      </c>
      <c r="AC524" t="s">
        <v>135</v>
      </c>
      <c r="AD524" t="s">
        <v>135</v>
      </c>
      <c r="AE524" t="s">
        <v>135</v>
      </c>
      <c r="AF524" t="s">
        <v>135</v>
      </c>
      <c r="AG524" t="s">
        <v>135</v>
      </c>
      <c r="AH524" t="s">
        <v>135</v>
      </c>
      <c r="AI524" t="s">
        <v>135</v>
      </c>
      <c r="AJ524" t="s">
        <v>135</v>
      </c>
      <c r="AK524" t="s">
        <v>135</v>
      </c>
      <c r="AL524" t="s">
        <v>135</v>
      </c>
      <c r="AM524">
        <v>6.4330999999999996</v>
      </c>
      <c r="AN524">
        <v>11.4055</v>
      </c>
      <c r="AO524">
        <v>11.3834</v>
      </c>
      <c r="AP524">
        <v>10.416399999999999</v>
      </c>
      <c r="AQ524">
        <v>10.5288</v>
      </c>
      <c r="AR524" t="s">
        <v>135</v>
      </c>
      <c r="AS524" t="s">
        <v>135</v>
      </c>
      <c r="AT524" t="s">
        <v>135</v>
      </c>
      <c r="AU524" t="s">
        <v>135</v>
      </c>
      <c r="AV524" t="s">
        <v>135</v>
      </c>
      <c r="AW524" t="s">
        <v>135</v>
      </c>
      <c r="AX524" t="s">
        <v>135</v>
      </c>
      <c r="AY524" t="s">
        <v>135</v>
      </c>
      <c r="AZ524" t="s">
        <v>135</v>
      </c>
      <c r="BA524" t="s">
        <v>135</v>
      </c>
      <c r="BB524" t="s">
        <v>135</v>
      </c>
      <c r="BC524" t="s">
        <v>135</v>
      </c>
      <c r="BD524" t="s">
        <v>135</v>
      </c>
      <c r="BE524" t="s">
        <v>135</v>
      </c>
      <c r="BF524">
        <v>50.463700000000003</v>
      </c>
      <c r="BG524">
        <v>221.0146</v>
      </c>
      <c r="BH524">
        <v>1358.5065</v>
      </c>
      <c r="BI524">
        <v>2305.4978000000001</v>
      </c>
      <c r="BJ524">
        <v>2348</v>
      </c>
      <c r="BK524" t="s">
        <v>135</v>
      </c>
      <c r="BL524" t="s">
        <v>135</v>
      </c>
      <c r="BM524" t="s">
        <v>135</v>
      </c>
      <c r="BN524" t="s">
        <v>135</v>
      </c>
      <c r="BO524" t="s">
        <v>135</v>
      </c>
      <c r="BP524" t="s">
        <v>135</v>
      </c>
      <c r="BQ524" t="s">
        <v>135</v>
      </c>
      <c r="BR524" t="s">
        <v>135</v>
      </c>
      <c r="BS524" t="s">
        <v>135</v>
      </c>
      <c r="BT524" t="s">
        <v>135</v>
      </c>
      <c r="BU524" t="s">
        <v>135</v>
      </c>
      <c r="BV524" t="s">
        <v>135</v>
      </c>
      <c r="BW524" t="s">
        <v>135</v>
      </c>
      <c r="BX524" t="s">
        <v>135</v>
      </c>
      <c r="BY524" t="s">
        <v>135</v>
      </c>
      <c r="BZ524" t="s">
        <v>135</v>
      </c>
      <c r="CA524" t="s">
        <v>135</v>
      </c>
      <c r="CB524" t="s">
        <v>135</v>
      </c>
      <c r="CC524" t="s">
        <v>135</v>
      </c>
      <c r="CD524" t="s">
        <v>135</v>
      </c>
      <c r="CE524" t="s">
        <v>135</v>
      </c>
      <c r="CF524">
        <v>22.8599</v>
      </c>
      <c r="CG524" t="s">
        <v>135</v>
      </c>
      <c r="CH524" t="s">
        <v>135</v>
      </c>
      <c r="CI524" t="s">
        <v>135</v>
      </c>
      <c r="CJ524" t="s">
        <v>135</v>
      </c>
      <c r="CK524" t="s">
        <v>135</v>
      </c>
      <c r="CL524" t="s">
        <v>135</v>
      </c>
      <c r="CM524" t="s">
        <v>135</v>
      </c>
      <c r="CN524" t="s">
        <v>135</v>
      </c>
      <c r="CO524" t="s">
        <v>135</v>
      </c>
      <c r="CP524">
        <v>3246.1</v>
      </c>
      <c r="CQ524" t="s">
        <v>135</v>
      </c>
      <c r="CR524">
        <v>2597.6</v>
      </c>
      <c r="CS524" t="s">
        <v>135</v>
      </c>
      <c r="CT524" t="s">
        <v>135</v>
      </c>
      <c r="CU524" t="s">
        <v>135</v>
      </c>
      <c r="CV524" t="s">
        <v>135</v>
      </c>
      <c r="CW524" t="s">
        <v>135</v>
      </c>
      <c r="CX524" t="s">
        <v>135</v>
      </c>
      <c r="CY524" t="s">
        <v>135</v>
      </c>
      <c r="CZ524" t="s">
        <v>135</v>
      </c>
      <c r="DA524" t="s">
        <v>135</v>
      </c>
      <c r="DB524" t="s">
        <v>135</v>
      </c>
      <c r="DC524" t="s">
        <v>135</v>
      </c>
      <c r="DD524" t="s">
        <v>135</v>
      </c>
      <c r="DE524" t="s">
        <v>135</v>
      </c>
      <c r="DF524" t="s">
        <v>135</v>
      </c>
      <c r="DG524" t="s">
        <v>135</v>
      </c>
      <c r="DH524" t="s">
        <v>135</v>
      </c>
      <c r="DI524" t="s">
        <v>135</v>
      </c>
    </row>
    <row r="525" spans="1:113" x14ac:dyDescent="0.3">
      <c r="E525" t="s">
        <v>79</v>
      </c>
      <c r="F525">
        <v>12.813800000000001</v>
      </c>
      <c r="G525">
        <v>7.1646999999999998</v>
      </c>
      <c r="H525">
        <v>11.9777</v>
      </c>
      <c r="I525">
        <v>11.0726</v>
      </c>
      <c r="J525">
        <v>17.478300000000001</v>
      </c>
      <c r="K525">
        <v>12.382899999999999</v>
      </c>
      <c r="L525">
        <v>37.435299999999998</v>
      </c>
      <c r="M525">
        <v>11.3871</v>
      </c>
      <c r="N525">
        <v>7.3517000000000001</v>
      </c>
      <c r="O525">
        <v>7.3517000000000001</v>
      </c>
      <c r="P525">
        <v>7.3517000000000001</v>
      </c>
      <c r="Q525">
        <v>35.438600000000001</v>
      </c>
      <c r="R525" t="s">
        <v>135</v>
      </c>
      <c r="S525" t="s">
        <v>135</v>
      </c>
      <c r="T525">
        <v>28.8917</v>
      </c>
      <c r="U525">
        <v>84.136700000000005</v>
      </c>
      <c r="V525">
        <v>210.22569999999999</v>
      </c>
      <c r="W525">
        <v>246.91309999999999</v>
      </c>
      <c r="X525">
        <v>248.03919999999999</v>
      </c>
      <c r="Y525" t="s">
        <v>135</v>
      </c>
      <c r="Z525">
        <v>26.662199999999999</v>
      </c>
      <c r="AA525">
        <v>12.7752</v>
      </c>
      <c r="AB525">
        <v>-5.1745999999999999</v>
      </c>
      <c r="AC525">
        <v>8.0254999999999992</v>
      </c>
      <c r="AD525">
        <v>22.625399999999999</v>
      </c>
      <c r="AE525">
        <v>111.5701</v>
      </c>
      <c r="AF525">
        <v>16.238900000000001</v>
      </c>
      <c r="AG525">
        <v>-21.015899999999998</v>
      </c>
      <c r="AH525">
        <v>-13.5692</v>
      </c>
      <c r="AI525">
        <v>13.0068</v>
      </c>
      <c r="AJ525">
        <v>8.1136999999999997</v>
      </c>
      <c r="AK525">
        <v>13.0068</v>
      </c>
      <c r="AL525" t="s">
        <v>135</v>
      </c>
      <c r="AM525">
        <v>9.8802000000000003</v>
      </c>
      <c r="AN525">
        <v>15.1395</v>
      </c>
      <c r="AO525">
        <v>18.776699999999998</v>
      </c>
      <c r="AP525">
        <v>22.369299999999999</v>
      </c>
      <c r="AQ525">
        <v>22.441199999999998</v>
      </c>
      <c r="AR525" t="s">
        <v>135</v>
      </c>
      <c r="AS525">
        <v>14.3024</v>
      </c>
      <c r="AT525">
        <v>6.8102999999999998</v>
      </c>
      <c r="AU525">
        <v>2.6410999999999998</v>
      </c>
      <c r="AV525">
        <v>6.7705000000000002</v>
      </c>
      <c r="AW525">
        <v>11.549200000000001</v>
      </c>
      <c r="AX525">
        <v>29.346499999999999</v>
      </c>
      <c r="AY525">
        <v>11.0913</v>
      </c>
      <c r="AZ525">
        <v>-12.211600000000001</v>
      </c>
      <c r="BA525">
        <v>-13.337400000000001</v>
      </c>
      <c r="BB525">
        <v>11.461399999999999</v>
      </c>
      <c r="BC525">
        <v>4.6471999999999998</v>
      </c>
      <c r="BD525">
        <v>11.461399999999999</v>
      </c>
      <c r="BE525" t="s">
        <v>135</v>
      </c>
      <c r="BF525">
        <v>-23.758700000000001</v>
      </c>
      <c r="BG525">
        <v>-31.2714</v>
      </c>
      <c r="BH525">
        <v>-39.151499999999999</v>
      </c>
      <c r="BI525">
        <v>-42.034700000000001</v>
      </c>
      <c r="BJ525">
        <v>-41.993499999999997</v>
      </c>
      <c r="BK525" t="s">
        <v>135</v>
      </c>
      <c r="BL525" t="s">
        <v>135</v>
      </c>
      <c r="BM525" t="s">
        <v>135</v>
      </c>
      <c r="BN525" t="s">
        <v>135</v>
      </c>
      <c r="BO525" t="s">
        <v>135</v>
      </c>
      <c r="BP525" t="s">
        <v>135</v>
      </c>
      <c r="BQ525" t="s">
        <v>135</v>
      </c>
      <c r="BR525" t="s">
        <v>135</v>
      </c>
      <c r="BS525" t="s">
        <v>135</v>
      </c>
      <c r="BT525" t="s">
        <v>135</v>
      </c>
      <c r="BU525" t="s">
        <v>135</v>
      </c>
      <c r="BV525" t="s">
        <v>135</v>
      </c>
      <c r="BW525" t="s">
        <v>135</v>
      </c>
      <c r="BX525" t="s">
        <v>135</v>
      </c>
      <c r="BY525">
        <v>4444.1000000000004</v>
      </c>
      <c r="BZ525">
        <v>2600</v>
      </c>
      <c r="CA525">
        <v>1844.1</v>
      </c>
      <c r="CB525">
        <v>0.57210000000000005</v>
      </c>
      <c r="CC525">
        <v>0.46260000000000001</v>
      </c>
      <c r="CD525">
        <v>0.89990000000000003</v>
      </c>
      <c r="CE525">
        <v>0.72770000000000001</v>
      </c>
      <c r="CF525">
        <v>17.553100000000001</v>
      </c>
      <c r="CG525">
        <v>57.124400000000001</v>
      </c>
      <c r="CH525">
        <v>7.1619000000000002</v>
      </c>
      <c r="CI525">
        <v>6.1078000000000001</v>
      </c>
      <c r="CJ525">
        <v>4.0911999999999997</v>
      </c>
      <c r="CK525">
        <v>17.259599999999999</v>
      </c>
      <c r="CL525">
        <v>14.719099999999999</v>
      </c>
      <c r="CM525">
        <v>9.8594000000000008</v>
      </c>
      <c r="CN525">
        <v>13.9573</v>
      </c>
      <c r="CO525">
        <v>12.2478</v>
      </c>
      <c r="CP525">
        <v>2231</v>
      </c>
      <c r="CQ525" t="s">
        <v>135</v>
      </c>
      <c r="CR525">
        <v>1580.6</v>
      </c>
      <c r="CS525">
        <v>4.9099999999999998E-2</v>
      </c>
      <c r="CT525">
        <v>1.4657</v>
      </c>
      <c r="CU525">
        <v>0.88629999999999998</v>
      </c>
      <c r="CV525">
        <v>9.1638999999999999</v>
      </c>
      <c r="CW525">
        <v>3.9241999999999999</v>
      </c>
      <c r="CX525">
        <v>93.011499999999998</v>
      </c>
      <c r="CY525">
        <v>3.5655000000000001</v>
      </c>
      <c r="CZ525">
        <v>102.3698</v>
      </c>
      <c r="DA525">
        <v>9.1774000000000004</v>
      </c>
      <c r="DB525">
        <v>39.7714</v>
      </c>
      <c r="DC525">
        <v>155.60980000000001</v>
      </c>
      <c r="DD525">
        <v>195.38130000000001</v>
      </c>
      <c r="DE525">
        <v>7105.4</v>
      </c>
      <c r="DF525" t="s">
        <v>135</v>
      </c>
      <c r="DG525" t="s">
        <v>135</v>
      </c>
      <c r="DH525" t="s">
        <v>135</v>
      </c>
      <c r="DI525" t="s">
        <v>135</v>
      </c>
    </row>
    <row r="526" spans="1:113" x14ac:dyDescent="0.3">
      <c r="E526" t="s">
        <v>80</v>
      </c>
      <c r="F526" t="s">
        <v>135</v>
      </c>
      <c r="G526" t="s">
        <v>135</v>
      </c>
      <c r="H526" t="s">
        <v>135</v>
      </c>
      <c r="I526" t="s">
        <v>135</v>
      </c>
      <c r="J526">
        <v>12.75</v>
      </c>
      <c r="K526">
        <v>7.3235000000000001</v>
      </c>
      <c r="L526">
        <v>16.843900000000001</v>
      </c>
      <c r="M526">
        <v>6.6075999999999997</v>
      </c>
      <c r="N526">
        <v>3.9579</v>
      </c>
      <c r="O526">
        <v>3.9579</v>
      </c>
      <c r="P526">
        <v>3.9579</v>
      </c>
      <c r="Q526">
        <v>40.101100000000002</v>
      </c>
      <c r="R526" t="s">
        <v>135</v>
      </c>
      <c r="S526" t="s">
        <v>135</v>
      </c>
      <c r="T526">
        <v>17.110199999999999</v>
      </c>
      <c r="U526">
        <v>19.279499999999999</v>
      </c>
      <c r="V526">
        <v>50.609900000000003</v>
      </c>
      <c r="W526">
        <v>-2.2890999999999999</v>
      </c>
      <c r="X526">
        <v>-2.7174</v>
      </c>
      <c r="Y526" t="s">
        <v>135</v>
      </c>
      <c r="Z526" t="s">
        <v>135</v>
      </c>
      <c r="AA526" t="s">
        <v>135</v>
      </c>
      <c r="AB526" t="s">
        <v>135</v>
      </c>
      <c r="AC526" t="s">
        <v>135</v>
      </c>
      <c r="AD526" t="s">
        <v>135</v>
      </c>
      <c r="AE526" t="s">
        <v>135</v>
      </c>
      <c r="AF526" t="s">
        <v>135</v>
      </c>
      <c r="AG526" t="s">
        <v>135</v>
      </c>
      <c r="AH526" t="s">
        <v>135</v>
      </c>
      <c r="AI526" t="s">
        <v>135</v>
      </c>
      <c r="AJ526" t="s">
        <v>135</v>
      </c>
      <c r="AK526" t="s">
        <v>135</v>
      </c>
      <c r="AL526" t="s">
        <v>135</v>
      </c>
      <c r="AM526">
        <v>9.1925000000000008</v>
      </c>
      <c r="AN526">
        <v>12.5609</v>
      </c>
      <c r="AO526">
        <v>15.5608</v>
      </c>
      <c r="AP526">
        <v>7.1662999999999997</v>
      </c>
      <c r="AQ526">
        <v>7.1050000000000004</v>
      </c>
      <c r="AR526" t="s">
        <v>135</v>
      </c>
      <c r="AS526" t="s">
        <v>135</v>
      </c>
      <c r="AT526" t="s">
        <v>135</v>
      </c>
      <c r="AU526" t="s">
        <v>135</v>
      </c>
      <c r="AV526" t="s">
        <v>135</v>
      </c>
      <c r="AW526" t="s">
        <v>135</v>
      </c>
      <c r="AX526" t="s">
        <v>135</v>
      </c>
      <c r="AY526" t="s">
        <v>135</v>
      </c>
      <c r="AZ526" t="s">
        <v>135</v>
      </c>
      <c r="BA526" t="s">
        <v>135</v>
      </c>
      <c r="BB526" t="s">
        <v>135</v>
      </c>
      <c r="BC526" t="s">
        <v>135</v>
      </c>
      <c r="BD526" t="s">
        <v>135</v>
      </c>
      <c r="BE526" t="s">
        <v>135</v>
      </c>
      <c r="BF526">
        <v>-6.4451000000000001</v>
      </c>
      <c r="BG526">
        <v>-31.5867</v>
      </c>
      <c r="BH526">
        <v>-44.533700000000003</v>
      </c>
      <c r="BI526">
        <v>-49.509799999999998</v>
      </c>
      <c r="BJ526">
        <v>-49.577500000000001</v>
      </c>
      <c r="BK526" t="s">
        <v>135</v>
      </c>
      <c r="BL526" t="s">
        <v>135</v>
      </c>
      <c r="BM526" t="s">
        <v>135</v>
      </c>
      <c r="BN526" t="s">
        <v>135</v>
      </c>
      <c r="BO526" t="s">
        <v>135</v>
      </c>
      <c r="BP526" t="s">
        <v>135</v>
      </c>
      <c r="BQ526" t="s">
        <v>135</v>
      </c>
      <c r="BR526" t="s">
        <v>135</v>
      </c>
      <c r="BS526" t="s">
        <v>135</v>
      </c>
      <c r="BT526" t="s">
        <v>135</v>
      </c>
      <c r="BU526" t="s">
        <v>135</v>
      </c>
      <c r="BV526" t="s">
        <v>135</v>
      </c>
      <c r="BW526" t="s">
        <v>135</v>
      </c>
      <c r="BX526" t="s">
        <v>135</v>
      </c>
      <c r="BY526" t="s">
        <v>135</v>
      </c>
      <c r="BZ526" t="s">
        <v>135</v>
      </c>
      <c r="CA526" t="s">
        <v>135</v>
      </c>
      <c r="CB526" t="s">
        <v>135</v>
      </c>
      <c r="CC526" t="s">
        <v>135</v>
      </c>
      <c r="CD526" t="s">
        <v>135</v>
      </c>
      <c r="CE526" t="s">
        <v>135</v>
      </c>
      <c r="CF526">
        <v>16.3415</v>
      </c>
      <c r="CG526" t="s">
        <v>135</v>
      </c>
      <c r="CH526" t="s">
        <v>135</v>
      </c>
      <c r="CI526" t="s">
        <v>135</v>
      </c>
      <c r="CJ526" t="s">
        <v>135</v>
      </c>
      <c r="CK526" t="s">
        <v>135</v>
      </c>
      <c r="CL526" t="s">
        <v>135</v>
      </c>
      <c r="CM526" t="s">
        <v>135</v>
      </c>
      <c r="CN526" t="s">
        <v>135</v>
      </c>
      <c r="CO526" t="s">
        <v>135</v>
      </c>
      <c r="CP526">
        <v>1526.3</v>
      </c>
      <c r="CQ526" t="s">
        <v>135</v>
      </c>
      <c r="CR526">
        <v>876.7</v>
      </c>
      <c r="CS526" t="s">
        <v>135</v>
      </c>
      <c r="CT526" t="s">
        <v>135</v>
      </c>
      <c r="CU526" t="s">
        <v>135</v>
      </c>
      <c r="CV526" t="s">
        <v>135</v>
      </c>
      <c r="CW526" t="s">
        <v>135</v>
      </c>
      <c r="CX526" t="s">
        <v>135</v>
      </c>
      <c r="CY526" t="s">
        <v>135</v>
      </c>
      <c r="CZ526" t="s">
        <v>135</v>
      </c>
      <c r="DA526" t="s">
        <v>135</v>
      </c>
      <c r="DB526" t="s">
        <v>135</v>
      </c>
      <c r="DC526" t="s">
        <v>135</v>
      </c>
      <c r="DD526" t="s">
        <v>135</v>
      </c>
      <c r="DE526" t="s">
        <v>135</v>
      </c>
      <c r="DF526" t="s">
        <v>135</v>
      </c>
      <c r="DG526" t="s">
        <v>135</v>
      </c>
      <c r="DH526" t="s">
        <v>135</v>
      </c>
      <c r="DI526" t="s">
        <v>135</v>
      </c>
    </row>
    <row r="527" spans="1:113" x14ac:dyDescent="0.3">
      <c r="E527" t="s">
        <v>81</v>
      </c>
      <c r="F527">
        <v>15.6938</v>
      </c>
      <c r="G527">
        <v>8.5715000000000003</v>
      </c>
      <c r="H527">
        <v>14.9763</v>
      </c>
      <c r="I527">
        <v>14.400700000000001</v>
      </c>
      <c r="J527">
        <v>14.1716</v>
      </c>
      <c r="K527">
        <v>9.7645999999999997</v>
      </c>
      <c r="L527">
        <v>35.240299999999998</v>
      </c>
      <c r="M527">
        <v>9.3119999999999994</v>
      </c>
      <c r="N527">
        <v>6.1852999999999998</v>
      </c>
      <c r="O527">
        <v>6.1852999999999998</v>
      </c>
      <c r="P527">
        <v>6.1852999999999998</v>
      </c>
      <c r="Q527">
        <v>33.576999999999998</v>
      </c>
      <c r="R527" t="s">
        <v>135</v>
      </c>
      <c r="S527" t="s">
        <v>135</v>
      </c>
      <c r="T527">
        <v>32.046399999999998</v>
      </c>
      <c r="U527">
        <v>105.91379999999999</v>
      </c>
      <c r="V527">
        <v>705.55870000000004</v>
      </c>
      <c r="W527">
        <v>1250.3715</v>
      </c>
      <c r="X527">
        <v>1276</v>
      </c>
      <c r="Y527" t="s">
        <v>135</v>
      </c>
      <c r="Z527">
        <v>15.6714</v>
      </c>
      <c r="AA527">
        <v>7.5053000000000001</v>
      </c>
      <c r="AB527">
        <v>-4.4267000000000003</v>
      </c>
      <c r="AC527">
        <v>5.4779</v>
      </c>
      <c r="AD527">
        <v>12.3902</v>
      </c>
      <c r="AE527">
        <v>82.784899999999993</v>
      </c>
      <c r="AF527">
        <v>13.664400000000001</v>
      </c>
      <c r="AG527">
        <v>-75.091999999999999</v>
      </c>
      <c r="AH527">
        <v>-34.892499999999998</v>
      </c>
      <c r="AI527">
        <v>15.259499999999999</v>
      </c>
      <c r="AJ527">
        <v>7.9817999999999998</v>
      </c>
      <c r="AK527">
        <v>15.259499999999999</v>
      </c>
      <c r="AL527" t="s">
        <v>135</v>
      </c>
      <c r="AM527">
        <v>9.5330999999999992</v>
      </c>
      <c r="AN527">
        <v>17.5425</v>
      </c>
      <c r="AO527">
        <v>25.809000000000001</v>
      </c>
      <c r="AP527">
        <v>73.086200000000005</v>
      </c>
      <c r="AQ527">
        <v>73.114400000000003</v>
      </c>
      <c r="AR527" t="s">
        <v>135</v>
      </c>
      <c r="AS527">
        <v>12.9985</v>
      </c>
      <c r="AT527">
        <v>9.4847000000000001</v>
      </c>
      <c r="AU527">
        <v>0.75080000000000002</v>
      </c>
      <c r="AV527">
        <v>4.7678000000000003</v>
      </c>
      <c r="AW527">
        <v>10.6104</v>
      </c>
      <c r="AX527">
        <v>13.0924</v>
      </c>
      <c r="AY527">
        <v>15.932399999999999</v>
      </c>
      <c r="AZ527">
        <v>-37.578600000000002</v>
      </c>
      <c r="BA527">
        <v>-27.6477</v>
      </c>
      <c r="BB527">
        <v>12.2187</v>
      </c>
      <c r="BC527">
        <v>0.94540000000000002</v>
      </c>
      <c r="BD527">
        <v>13.3527</v>
      </c>
      <c r="BE527" t="s">
        <v>135</v>
      </c>
      <c r="BF527">
        <v>22.736599999999999</v>
      </c>
      <c r="BG527">
        <v>36.421399999999998</v>
      </c>
      <c r="BH527">
        <v>63.647799999999997</v>
      </c>
      <c r="BI527">
        <v>91.810900000000004</v>
      </c>
      <c r="BJ527">
        <v>92.178799999999995</v>
      </c>
      <c r="BK527" t="s">
        <v>135</v>
      </c>
      <c r="BL527" t="s">
        <v>135</v>
      </c>
      <c r="BM527" t="s">
        <v>135</v>
      </c>
      <c r="BN527" t="s">
        <v>135</v>
      </c>
      <c r="BO527" t="s">
        <v>135</v>
      </c>
      <c r="BP527" t="s">
        <v>135</v>
      </c>
      <c r="BQ527" t="s">
        <v>135</v>
      </c>
      <c r="BR527" t="s">
        <v>135</v>
      </c>
      <c r="BS527" t="s">
        <v>135</v>
      </c>
      <c r="BT527" t="s">
        <v>135</v>
      </c>
      <c r="BU527" t="s">
        <v>135</v>
      </c>
      <c r="BV527" t="s">
        <v>135</v>
      </c>
      <c r="BW527" t="s">
        <v>135</v>
      </c>
      <c r="BX527" t="s">
        <v>135</v>
      </c>
      <c r="BY527">
        <v>2577.8000000000002</v>
      </c>
      <c r="BZ527">
        <v>527.79999999999995</v>
      </c>
      <c r="CA527">
        <v>2050</v>
      </c>
      <c r="CB527">
        <v>0.28370000000000001</v>
      </c>
      <c r="CC527">
        <v>0.26150000000000001</v>
      </c>
      <c r="CD527">
        <v>0.3972</v>
      </c>
      <c r="CE527">
        <v>0.36620000000000003</v>
      </c>
      <c r="CF527">
        <v>18.264900000000001</v>
      </c>
      <c r="CG527">
        <v>56.970199999999998</v>
      </c>
      <c r="CH527">
        <v>7.6251999999999995</v>
      </c>
      <c r="CI527">
        <v>6.9580000000000002</v>
      </c>
      <c r="CJ527">
        <v>4.3441000000000001</v>
      </c>
      <c r="CK527">
        <v>9.5884</v>
      </c>
      <c r="CL527">
        <v>8.7494999999999994</v>
      </c>
      <c r="CM527">
        <v>5.4625000000000004</v>
      </c>
      <c r="CN527">
        <v>8.8385999999999996</v>
      </c>
      <c r="CO527">
        <v>8.1207999999999991</v>
      </c>
      <c r="CP527">
        <v>2082.1999999999998</v>
      </c>
      <c r="CQ527" t="s">
        <v>135</v>
      </c>
      <c r="CR527">
        <v>1434.7</v>
      </c>
      <c r="CS527">
        <v>1.12E-2</v>
      </c>
      <c r="CT527">
        <v>1.4666999999999999</v>
      </c>
      <c r="CU527">
        <v>0.84489999999999998</v>
      </c>
      <c r="CV527">
        <v>9.7209000000000003</v>
      </c>
      <c r="CW527">
        <v>4.0235000000000003</v>
      </c>
      <c r="CX527">
        <v>90.718100000000007</v>
      </c>
      <c r="CY527">
        <v>3.3681999999999999</v>
      </c>
      <c r="CZ527">
        <v>108.3668</v>
      </c>
      <c r="DA527">
        <v>5.4503000000000004</v>
      </c>
      <c r="DB527">
        <v>66.968900000000005</v>
      </c>
      <c r="DC527">
        <v>132.11600000000001</v>
      </c>
      <c r="DD527">
        <v>199.0849</v>
      </c>
      <c r="DE527">
        <v>8064.4</v>
      </c>
      <c r="DF527">
        <v>3072.8</v>
      </c>
      <c r="DG527">
        <v>3211.8</v>
      </c>
      <c r="DH527">
        <v>1356.7</v>
      </c>
      <c r="DI527">
        <v>423.1</v>
      </c>
    </row>
    <row r="528" spans="1:113" x14ac:dyDescent="0.3">
      <c r="A528">
        <v>97</v>
      </c>
      <c r="B528" t="s">
        <v>125</v>
      </c>
      <c r="C528" t="s">
        <v>126</v>
      </c>
      <c r="D528" t="s">
        <v>76</v>
      </c>
      <c r="E528" t="s">
        <v>77</v>
      </c>
      <c r="F528">
        <v>13.921799999999999</v>
      </c>
      <c r="G528">
        <v>5.3112000000000004</v>
      </c>
      <c r="H528">
        <v>13.540800000000001</v>
      </c>
      <c r="I528">
        <v>13.176600000000001</v>
      </c>
      <c r="J528">
        <v>30.973099999999999</v>
      </c>
      <c r="K528">
        <v>20.5031</v>
      </c>
      <c r="L528">
        <v>20.8842</v>
      </c>
      <c r="M528">
        <v>14.441000000000001</v>
      </c>
      <c r="N528">
        <v>17.3752</v>
      </c>
      <c r="O528">
        <v>9.5818999999999992</v>
      </c>
      <c r="P528">
        <v>9.5818999999999992</v>
      </c>
      <c r="Q528" t="s">
        <v>135</v>
      </c>
      <c r="R528">
        <v>15.298500000000001</v>
      </c>
      <c r="S528">
        <v>11.792</v>
      </c>
      <c r="T528">
        <v>2312.3897999999999</v>
      </c>
      <c r="U528">
        <v>3845.7451000000001</v>
      </c>
      <c r="V528">
        <v>4131.1022999999996</v>
      </c>
      <c r="W528">
        <v>176.22020000000001</v>
      </c>
      <c r="X528">
        <v>-18.2165</v>
      </c>
      <c r="Y528">
        <v>3150</v>
      </c>
      <c r="Z528">
        <v>3168.3054000000002</v>
      </c>
      <c r="AA528">
        <v>840.08950000000004</v>
      </c>
      <c r="AB528">
        <v>3290.2296000000001</v>
      </c>
      <c r="AC528">
        <v>829.56280000000004</v>
      </c>
      <c r="AD528">
        <v>1121.4005</v>
      </c>
      <c r="AE528" t="s">
        <v>135</v>
      </c>
      <c r="AF528">
        <v>1187.1922</v>
      </c>
      <c r="AG528">
        <v>599.46420000000001</v>
      </c>
      <c r="AH528">
        <v>1564.8291999999999</v>
      </c>
      <c r="AI528">
        <v>511.1798</v>
      </c>
      <c r="AJ528">
        <v>739.68460000000005</v>
      </c>
      <c r="AK528">
        <v>22.459399999999999</v>
      </c>
      <c r="AL528" t="s">
        <v>135</v>
      </c>
      <c r="AM528">
        <v>67.957899999999995</v>
      </c>
      <c r="AN528">
        <v>49.720999999999997</v>
      </c>
      <c r="AO528">
        <v>38.396099999999997</v>
      </c>
      <c r="AP528">
        <v>25.938500000000001</v>
      </c>
      <c r="AQ528">
        <v>-3.2080000000000002</v>
      </c>
      <c r="AR528">
        <v>7.6317000000000004</v>
      </c>
      <c r="AS528">
        <v>73.248900000000006</v>
      </c>
      <c r="AT528">
        <v>102.67059999999999</v>
      </c>
      <c r="AU528">
        <v>173.7303</v>
      </c>
      <c r="AV528">
        <v>108.7557</v>
      </c>
      <c r="AW528">
        <v>105.6378</v>
      </c>
      <c r="AX528" t="s">
        <v>135</v>
      </c>
      <c r="AY528">
        <v>68.703500000000005</v>
      </c>
      <c r="AZ528">
        <v>569.03459999999995</v>
      </c>
      <c r="BA528">
        <v>741.44500000000005</v>
      </c>
      <c r="BB528">
        <v>86.378799999999998</v>
      </c>
      <c r="BC528">
        <v>108.5376</v>
      </c>
      <c r="BD528">
        <v>32.672600000000003</v>
      </c>
      <c r="BE528">
        <v>41.028100000000002</v>
      </c>
      <c r="BF528">
        <v>2312.3897999999999</v>
      </c>
      <c r="BG528">
        <v>3845.7451000000001</v>
      </c>
      <c r="BH528">
        <v>4131.1022999999996</v>
      </c>
      <c r="BI528">
        <v>176.22020000000001</v>
      </c>
      <c r="BJ528">
        <v>-18.2165</v>
      </c>
      <c r="BK528">
        <v>3150</v>
      </c>
      <c r="BL528">
        <v>3168.3054000000002</v>
      </c>
      <c r="BM528">
        <v>840.08950000000004</v>
      </c>
      <c r="BN528">
        <v>3290.2296000000001</v>
      </c>
      <c r="BO528">
        <v>829.56280000000004</v>
      </c>
      <c r="BP528">
        <v>1121.4005</v>
      </c>
      <c r="BQ528" t="s">
        <v>135</v>
      </c>
      <c r="BR528">
        <v>1187.1922</v>
      </c>
      <c r="BS528">
        <v>599.46420000000001</v>
      </c>
      <c r="BT528">
        <v>1564.8291999999999</v>
      </c>
      <c r="BU528">
        <v>511.1798</v>
      </c>
      <c r="BV528">
        <v>739.68460000000005</v>
      </c>
      <c r="BW528">
        <v>22.459399999999999</v>
      </c>
      <c r="BX528" t="s">
        <v>135</v>
      </c>
      <c r="BY528">
        <v>805679.1</v>
      </c>
      <c r="BZ528">
        <v>256021.4</v>
      </c>
      <c r="CA528">
        <v>549657.69999999995</v>
      </c>
      <c r="CB528">
        <v>3.9572000000000003</v>
      </c>
      <c r="CC528">
        <v>1.7288999999999999</v>
      </c>
      <c r="CD528">
        <v>5.9779999999999998</v>
      </c>
      <c r="CE528">
        <v>2.6118000000000001</v>
      </c>
      <c r="CF528">
        <v>4.8422999999999998</v>
      </c>
      <c r="CG528">
        <v>34.093299999999999</v>
      </c>
      <c r="CH528">
        <v>51.463099999999997</v>
      </c>
      <c r="CI528">
        <v>29.334800000000001</v>
      </c>
      <c r="CJ528">
        <v>25.6677</v>
      </c>
      <c r="CK528">
        <v>75.433800000000005</v>
      </c>
      <c r="CL528">
        <v>42.998399999999997</v>
      </c>
      <c r="CM528">
        <v>37.6233</v>
      </c>
      <c r="CN528">
        <v>32.957099999999997</v>
      </c>
      <c r="CO528">
        <v>24.787800000000001</v>
      </c>
      <c r="CP528">
        <v>203596.5</v>
      </c>
      <c r="CQ528">
        <v>130760.7</v>
      </c>
      <c r="CR528">
        <v>134773.29999999999</v>
      </c>
      <c r="CS528">
        <v>1.0308999999999999</v>
      </c>
      <c r="CT528">
        <v>1.4431</v>
      </c>
      <c r="CU528">
        <v>1.1366000000000001</v>
      </c>
      <c r="CV528">
        <v>1.3110999999999999</v>
      </c>
      <c r="CW528">
        <v>27.411000000000001</v>
      </c>
      <c r="CX528">
        <v>13.315799999999999</v>
      </c>
      <c r="CY528">
        <v>4.7766999999999999</v>
      </c>
      <c r="CZ528">
        <v>76.413300000000007</v>
      </c>
      <c r="DA528">
        <v>14.337999999999999</v>
      </c>
      <c r="DB528">
        <v>25.456900000000001</v>
      </c>
      <c r="DC528">
        <v>64.272300000000001</v>
      </c>
      <c r="DD528">
        <v>89.729200000000006</v>
      </c>
      <c r="DE528">
        <v>90337.9</v>
      </c>
      <c r="DF528">
        <v>14106.3</v>
      </c>
      <c r="DG528">
        <v>29154.1</v>
      </c>
      <c r="DH528">
        <v>31560.7</v>
      </c>
      <c r="DI528">
        <v>15516.8</v>
      </c>
    </row>
    <row r="529" spans="4:113" x14ac:dyDescent="0.3">
      <c r="E529" t="s">
        <v>78</v>
      </c>
      <c r="F529" t="s">
        <v>135</v>
      </c>
      <c r="G529" t="s">
        <v>135</v>
      </c>
      <c r="H529" t="s">
        <v>135</v>
      </c>
      <c r="I529" t="s">
        <v>135</v>
      </c>
      <c r="J529">
        <v>-11.8727</v>
      </c>
      <c r="K529">
        <v>-22.711099999999998</v>
      </c>
      <c r="L529">
        <v>-53.349800000000002</v>
      </c>
      <c r="M529">
        <v>-89.68</v>
      </c>
      <c r="N529">
        <v>114.87269999999999</v>
      </c>
      <c r="O529">
        <v>114.87269999999999</v>
      </c>
      <c r="P529">
        <v>114.87269999999999</v>
      </c>
      <c r="Q529" t="s">
        <v>135</v>
      </c>
      <c r="R529" t="s">
        <v>135</v>
      </c>
      <c r="S529" t="s">
        <v>135</v>
      </c>
      <c r="T529">
        <v>-79.091399999999993</v>
      </c>
      <c r="U529" t="s">
        <v>135</v>
      </c>
      <c r="V529" t="s">
        <v>135</v>
      </c>
      <c r="W529">
        <v>-57.021500000000003</v>
      </c>
      <c r="X529">
        <v>-56.988300000000002</v>
      </c>
      <c r="Y529" t="s">
        <v>135</v>
      </c>
      <c r="Z529" t="s">
        <v>135</v>
      </c>
      <c r="AA529" t="s">
        <v>135</v>
      </c>
      <c r="AB529" t="s">
        <v>135</v>
      </c>
      <c r="AC529" t="s">
        <v>135</v>
      </c>
      <c r="AD529" t="s">
        <v>135</v>
      </c>
      <c r="AE529" t="s">
        <v>135</v>
      </c>
      <c r="AF529" t="s">
        <v>135</v>
      </c>
      <c r="AG529" t="s">
        <v>135</v>
      </c>
      <c r="AH529" t="s">
        <v>135</v>
      </c>
      <c r="AI529" t="s">
        <v>135</v>
      </c>
      <c r="AJ529" t="s">
        <v>135</v>
      </c>
      <c r="AK529" t="s">
        <v>135</v>
      </c>
      <c r="AL529" t="s">
        <v>135</v>
      </c>
      <c r="AM529">
        <v>-22.379799999999999</v>
      </c>
      <c r="AN529" t="s">
        <v>135</v>
      </c>
      <c r="AO529" t="s">
        <v>135</v>
      </c>
      <c r="AP529">
        <v>-8.1302000000000003</v>
      </c>
      <c r="AQ529">
        <v>-9.9194999999999993</v>
      </c>
      <c r="AR529" t="s">
        <v>135</v>
      </c>
      <c r="AS529" t="s">
        <v>135</v>
      </c>
      <c r="AT529" t="s">
        <v>135</v>
      </c>
      <c r="AU529" t="s">
        <v>135</v>
      </c>
      <c r="AV529" t="s">
        <v>135</v>
      </c>
      <c r="AW529" t="s">
        <v>135</v>
      </c>
      <c r="AX529" t="s">
        <v>135</v>
      </c>
      <c r="AY529" t="s">
        <v>135</v>
      </c>
      <c r="AZ529" t="s">
        <v>135</v>
      </c>
      <c r="BA529" t="s">
        <v>135</v>
      </c>
      <c r="BB529" t="s">
        <v>135</v>
      </c>
      <c r="BC529" t="s">
        <v>135</v>
      </c>
      <c r="BD529" t="s">
        <v>135</v>
      </c>
      <c r="BE529" t="s">
        <v>135</v>
      </c>
      <c r="BF529">
        <v>25.4513</v>
      </c>
      <c r="BG529" t="s">
        <v>135</v>
      </c>
      <c r="BH529" t="s">
        <v>135</v>
      </c>
      <c r="BI529">
        <v>39.255800000000001</v>
      </c>
      <c r="BJ529">
        <v>41.542999999999999</v>
      </c>
      <c r="BK529" t="s">
        <v>135</v>
      </c>
      <c r="BL529" t="s">
        <v>135</v>
      </c>
      <c r="BM529" t="s">
        <v>135</v>
      </c>
      <c r="BN529" t="s">
        <v>135</v>
      </c>
      <c r="BO529" t="s">
        <v>135</v>
      </c>
      <c r="BP529" t="s">
        <v>135</v>
      </c>
      <c r="BQ529" t="s">
        <v>135</v>
      </c>
      <c r="BR529" t="s">
        <v>135</v>
      </c>
      <c r="BS529" t="s">
        <v>135</v>
      </c>
      <c r="BT529" t="s">
        <v>135</v>
      </c>
      <c r="BU529" t="s">
        <v>135</v>
      </c>
      <c r="BV529" t="s">
        <v>135</v>
      </c>
      <c r="BW529" t="s">
        <v>135</v>
      </c>
      <c r="BX529" t="s">
        <v>135</v>
      </c>
      <c r="BY529" t="s">
        <v>135</v>
      </c>
      <c r="BZ529" t="s">
        <v>135</v>
      </c>
      <c r="CA529" t="s">
        <v>135</v>
      </c>
      <c r="CB529" t="s">
        <v>135</v>
      </c>
      <c r="CC529" t="s">
        <v>135</v>
      </c>
      <c r="CD529" t="s">
        <v>135</v>
      </c>
      <c r="CE529" t="s">
        <v>135</v>
      </c>
      <c r="CF529">
        <v>-0.28920000000000001</v>
      </c>
      <c r="CG529" t="s">
        <v>135</v>
      </c>
      <c r="CH529" t="s">
        <v>135</v>
      </c>
      <c r="CI529" t="s">
        <v>135</v>
      </c>
      <c r="CJ529" t="s">
        <v>135</v>
      </c>
      <c r="CK529" t="s">
        <v>135</v>
      </c>
      <c r="CL529" t="s">
        <v>135</v>
      </c>
      <c r="CM529" t="s">
        <v>135</v>
      </c>
      <c r="CN529" t="s">
        <v>135</v>
      </c>
      <c r="CO529" t="s">
        <v>135</v>
      </c>
      <c r="CP529">
        <v>-428.2</v>
      </c>
      <c r="CQ529" t="s">
        <v>135</v>
      </c>
      <c r="CR529">
        <v>-819.1</v>
      </c>
      <c r="CS529" t="s">
        <v>135</v>
      </c>
      <c r="CT529" t="s">
        <v>135</v>
      </c>
      <c r="CU529" t="s">
        <v>135</v>
      </c>
      <c r="CV529" t="s">
        <v>135</v>
      </c>
      <c r="CW529" t="s">
        <v>135</v>
      </c>
      <c r="CX529" t="s">
        <v>135</v>
      </c>
      <c r="CY529" t="s">
        <v>135</v>
      </c>
      <c r="CZ529" t="s">
        <v>135</v>
      </c>
      <c r="DA529" t="s">
        <v>135</v>
      </c>
      <c r="DB529" t="s">
        <v>135</v>
      </c>
      <c r="DC529" t="s">
        <v>135</v>
      </c>
      <c r="DD529" t="s">
        <v>135</v>
      </c>
      <c r="DE529" t="s">
        <v>135</v>
      </c>
      <c r="DF529" t="s">
        <v>135</v>
      </c>
      <c r="DG529" t="s">
        <v>135</v>
      </c>
      <c r="DH529" t="s">
        <v>135</v>
      </c>
      <c r="DI529" t="s">
        <v>135</v>
      </c>
    </row>
    <row r="530" spans="4:113" x14ac:dyDescent="0.3">
      <c r="E530" t="s">
        <v>79</v>
      </c>
      <c r="F530">
        <v>8.3810000000000002</v>
      </c>
      <c r="G530">
        <v>3.1051000000000002</v>
      </c>
      <c r="H530">
        <v>6.6627000000000001</v>
      </c>
      <c r="I530">
        <v>6.5029000000000003</v>
      </c>
      <c r="J530">
        <v>28.403099999999998</v>
      </c>
      <c r="K530">
        <v>17.094899999999999</v>
      </c>
      <c r="L530">
        <v>17.4041</v>
      </c>
      <c r="M530">
        <v>10.280200000000001</v>
      </c>
      <c r="N530">
        <v>15.764799999999999</v>
      </c>
      <c r="O530">
        <v>9.5142000000000007</v>
      </c>
      <c r="P530">
        <v>9.5142000000000007</v>
      </c>
      <c r="Q530" t="s">
        <v>135</v>
      </c>
      <c r="R530" t="s">
        <v>135</v>
      </c>
      <c r="S530" t="s">
        <v>135</v>
      </c>
      <c r="T530">
        <v>8619.7810000000009</v>
      </c>
      <c r="U530">
        <v>122928.9157</v>
      </c>
      <c r="V530" t="s">
        <v>135</v>
      </c>
      <c r="W530">
        <v>358.65640000000002</v>
      </c>
      <c r="X530">
        <v>52.798499999999997</v>
      </c>
      <c r="Y530" t="s">
        <v>135</v>
      </c>
      <c r="Z530">
        <v>1875.3186000000001</v>
      </c>
      <c r="AA530">
        <v>924.10619999999994</v>
      </c>
      <c r="AB530" t="s">
        <v>135</v>
      </c>
      <c r="AC530">
        <v>877.93219999999997</v>
      </c>
      <c r="AD530">
        <v>1382.6419000000001</v>
      </c>
      <c r="AE530" t="s">
        <v>135</v>
      </c>
      <c r="AF530">
        <v>750.76499999999999</v>
      </c>
      <c r="AG530">
        <v>634.07320000000004</v>
      </c>
      <c r="AH530">
        <v>1919.8697</v>
      </c>
      <c r="AI530">
        <v>504.88499999999999</v>
      </c>
      <c r="AJ530">
        <v>777.42960000000005</v>
      </c>
      <c r="AK530">
        <v>22.474299999999999</v>
      </c>
      <c r="AL530" t="s">
        <v>135</v>
      </c>
      <c r="AM530">
        <v>96.008799999999994</v>
      </c>
      <c r="AN530">
        <v>76.232299999999995</v>
      </c>
      <c r="AO530">
        <v>60.113500000000002</v>
      </c>
      <c r="AP530">
        <v>48.050600000000003</v>
      </c>
      <c r="AQ530">
        <v>13.8592</v>
      </c>
      <c r="AR530" t="s">
        <v>135</v>
      </c>
      <c r="AS530" t="s">
        <v>135</v>
      </c>
      <c r="AT530" t="s">
        <v>135</v>
      </c>
      <c r="AU530" t="s">
        <v>135</v>
      </c>
      <c r="AV530" t="s">
        <v>135</v>
      </c>
      <c r="AW530" t="s">
        <v>135</v>
      </c>
      <c r="AX530" t="s">
        <v>135</v>
      </c>
      <c r="AY530" t="s">
        <v>135</v>
      </c>
      <c r="AZ530" t="s">
        <v>135</v>
      </c>
      <c r="BA530" t="s">
        <v>135</v>
      </c>
      <c r="BB530" t="s">
        <v>135</v>
      </c>
      <c r="BC530" t="s">
        <v>135</v>
      </c>
      <c r="BD530" t="s">
        <v>135</v>
      </c>
      <c r="BE530" t="s">
        <v>135</v>
      </c>
      <c r="BF530">
        <v>6820.2442000000001</v>
      </c>
      <c r="BG530" t="s">
        <v>135</v>
      </c>
      <c r="BH530" t="s">
        <v>135</v>
      </c>
      <c r="BI530">
        <v>477.93150000000003</v>
      </c>
      <c r="BJ530">
        <v>71.698099999999997</v>
      </c>
      <c r="BK530" t="s">
        <v>135</v>
      </c>
      <c r="BL530" t="s">
        <v>135</v>
      </c>
      <c r="BM530" t="s">
        <v>135</v>
      </c>
      <c r="BN530" t="s">
        <v>135</v>
      </c>
      <c r="BO530" t="s">
        <v>135</v>
      </c>
      <c r="BP530" t="s">
        <v>135</v>
      </c>
      <c r="BQ530" t="s">
        <v>135</v>
      </c>
      <c r="BR530" t="s">
        <v>135</v>
      </c>
      <c r="BS530" t="s">
        <v>135</v>
      </c>
      <c r="BT530" t="s">
        <v>135</v>
      </c>
      <c r="BU530" t="s">
        <v>135</v>
      </c>
      <c r="BV530" t="s">
        <v>135</v>
      </c>
      <c r="BW530" t="s">
        <v>135</v>
      </c>
      <c r="BX530" t="s">
        <v>135</v>
      </c>
      <c r="BY530">
        <v>800072.4</v>
      </c>
      <c r="BZ530">
        <v>206630.6</v>
      </c>
      <c r="CA530">
        <v>593441.80000000005</v>
      </c>
      <c r="CB530">
        <v>11.5299</v>
      </c>
      <c r="CC530">
        <v>4.9416000000000002</v>
      </c>
      <c r="CD530">
        <v>20.407900000000001</v>
      </c>
      <c r="CE530">
        <v>8.7467000000000006</v>
      </c>
      <c r="CF530">
        <v>3.8025000000000002</v>
      </c>
      <c r="CG530">
        <v>32.951500000000003</v>
      </c>
      <c r="CH530">
        <v>59.0886</v>
      </c>
      <c r="CI530">
        <v>32.888599999999997</v>
      </c>
      <c r="CJ530">
        <v>28.187200000000001</v>
      </c>
      <c r="CK530">
        <v>79.662700000000001</v>
      </c>
      <c r="CL530">
        <v>44.3401</v>
      </c>
      <c r="CM530">
        <v>38.0017</v>
      </c>
      <c r="CN530">
        <v>34.143099999999997</v>
      </c>
      <c r="CO530">
        <v>25.4527</v>
      </c>
      <c r="CP530">
        <v>71479.8</v>
      </c>
      <c r="CQ530" t="s">
        <v>135</v>
      </c>
      <c r="CR530">
        <v>43021.2</v>
      </c>
      <c r="CS530">
        <v>1.0775999999999999</v>
      </c>
      <c r="CT530">
        <v>1.5651000000000002</v>
      </c>
      <c r="CU530">
        <v>1.2114</v>
      </c>
      <c r="CV530">
        <v>1.0833999999999999</v>
      </c>
      <c r="CW530">
        <v>8.7408000000000001</v>
      </c>
      <c r="CX530">
        <v>41.758299999999998</v>
      </c>
      <c r="CY530">
        <v>1.9327999999999999</v>
      </c>
      <c r="CZ530">
        <v>188.84370000000001</v>
      </c>
      <c r="DA530">
        <v>8.5078999999999994</v>
      </c>
      <c r="DB530">
        <v>42.901200000000003</v>
      </c>
      <c r="DC530">
        <v>187.70079999999999</v>
      </c>
      <c r="DD530">
        <v>230.602</v>
      </c>
      <c r="DE530">
        <v>100315.3</v>
      </c>
      <c r="DF530" t="s">
        <v>135</v>
      </c>
      <c r="DG530" t="s">
        <v>135</v>
      </c>
      <c r="DH530" t="s">
        <v>135</v>
      </c>
      <c r="DI530" t="s">
        <v>135</v>
      </c>
    </row>
    <row r="531" spans="4:113" x14ac:dyDescent="0.3">
      <c r="E531" t="s">
        <v>80</v>
      </c>
      <c r="F531" t="s">
        <v>135</v>
      </c>
      <c r="G531" t="s">
        <v>135</v>
      </c>
      <c r="H531" t="s">
        <v>135</v>
      </c>
      <c r="I531" t="s">
        <v>135</v>
      </c>
      <c r="J531">
        <v>33.430199999999999</v>
      </c>
      <c r="K531">
        <v>23.107299999999999</v>
      </c>
      <c r="L531">
        <v>24.117599999999999</v>
      </c>
      <c r="M531">
        <v>17.657399999999999</v>
      </c>
      <c r="N531">
        <v>18.369499999999999</v>
      </c>
      <c r="O531">
        <v>9.6232000000000006</v>
      </c>
      <c r="P531">
        <v>9.6232000000000006</v>
      </c>
      <c r="Q531" t="s">
        <v>135</v>
      </c>
      <c r="R531" t="s">
        <v>135</v>
      </c>
      <c r="S531" t="s">
        <v>135</v>
      </c>
      <c r="T531">
        <v>8348.7314999999999</v>
      </c>
      <c r="U531" t="s">
        <v>135</v>
      </c>
      <c r="V531" t="s">
        <v>135</v>
      </c>
      <c r="W531">
        <v>276.11779999999999</v>
      </c>
      <c r="X531">
        <v>6.3047000000000004</v>
      </c>
      <c r="Y531" t="s">
        <v>135</v>
      </c>
      <c r="Z531" t="s">
        <v>135</v>
      </c>
      <c r="AA531" t="s">
        <v>135</v>
      </c>
      <c r="AB531" t="s">
        <v>135</v>
      </c>
      <c r="AC531" t="s">
        <v>135</v>
      </c>
      <c r="AD531" t="s">
        <v>135</v>
      </c>
      <c r="AE531" t="s">
        <v>135</v>
      </c>
      <c r="AF531" t="s">
        <v>135</v>
      </c>
      <c r="AG531" t="s">
        <v>135</v>
      </c>
      <c r="AH531" t="s">
        <v>135</v>
      </c>
      <c r="AI531" t="s">
        <v>135</v>
      </c>
      <c r="AJ531" t="s">
        <v>135</v>
      </c>
      <c r="AK531" t="s">
        <v>135</v>
      </c>
      <c r="AL531" t="s">
        <v>135</v>
      </c>
      <c r="AM531">
        <v>69.926599999999993</v>
      </c>
      <c r="AN531">
        <v>63.250700000000002</v>
      </c>
      <c r="AO531">
        <v>52.362699999999997</v>
      </c>
      <c r="AP531">
        <v>31.7423</v>
      </c>
      <c r="AQ531">
        <v>0.29920000000000002</v>
      </c>
      <c r="AR531" t="s">
        <v>135</v>
      </c>
      <c r="AS531" t="s">
        <v>135</v>
      </c>
      <c r="AT531" t="s">
        <v>135</v>
      </c>
      <c r="AU531" t="s">
        <v>135</v>
      </c>
      <c r="AV531" t="s">
        <v>135</v>
      </c>
      <c r="AW531" t="s">
        <v>135</v>
      </c>
      <c r="AX531" t="s">
        <v>135</v>
      </c>
      <c r="AY531" t="s">
        <v>135</v>
      </c>
      <c r="AZ531" t="s">
        <v>135</v>
      </c>
      <c r="BA531" t="s">
        <v>135</v>
      </c>
      <c r="BB531" t="s">
        <v>135</v>
      </c>
      <c r="BC531" t="s">
        <v>135</v>
      </c>
      <c r="BD531" t="s">
        <v>135</v>
      </c>
      <c r="BE531" t="s">
        <v>135</v>
      </c>
      <c r="BF531">
        <v>-22.869199999999999</v>
      </c>
      <c r="BG531">
        <v>-9.2014999999999993</v>
      </c>
      <c r="BH531">
        <v>4.2771999999999997</v>
      </c>
      <c r="BI531">
        <v>-21.971499999999999</v>
      </c>
      <c r="BJ531">
        <v>-25.885200000000001</v>
      </c>
      <c r="BK531" t="s">
        <v>135</v>
      </c>
      <c r="BL531" t="s">
        <v>135</v>
      </c>
      <c r="BM531" t="s">
        <v>135</v>
      </c>
      <c r="BN531" t="s">
        <v>135</v>
      </c>
      <c r="BO531" t="s">
        <v>135</v>
      </c>
      <c r="BP531" t="s">
        <v>135</v>
      </c>
      <c r="BQ531" t="s">
        <v>135</v>
      </c>
      <c r="BR531" t="s">
        <v>135</v>
      </c>
      <c r="BS531" t="s">
        <v>135</v>
      </c>
      <c r="BT531" t="s">
        <v>135</v>
      </c>
      <c r="BU531" t="s">
        <v>135</v>
      </c>
      <c r="BV531" t="s">
        <v>135</v>
      </c>
      <c r="BW531" t="s">
        <v>135</v>
      </c>
      <c r="BX531" t="s">
        <v>135</v>
      </c>
      <c r="BY531" t="s">
        <v>135</v>
      </c>
      <c r="BZ531" t="s">
        <v>135</v>
      </c>
      <c r="CA531" t="s">
        <v>135</v>
      </c>
      <c r="CB531" t="s">
        <v>135</v>
      </c>
      <c r="CC531" t="s">
        <v>135</v>
      </c>
      <c r="CD531" t="s">
        <v>135</v>
      </c>
      <c r="CE531" t="s">
        <v>135</v>
      </c>
      <c r="CF531">
        <v>4.2424999999999997</v>
      </c>
      <c r="CG531" t="s">
        <v>135</v>
      </c>
      <c r="CH531" t="s">
        <v>135</v>
      </c>
      <c r="CI531" t="s">
        <v>135</v>
      </c>
      <c r="CJ531" t="s">
        <v>135</v>
      </c>
      <c r="CK531" t="s">
        <v>135</v>
      </c>
      <c r="CL531" t="s">
        <v>135</v>
      </c>
      <c r="CM531" t="s">
        <v>135</v>
      </c>
      <c r="CN531" t="s">
        <v>135</v>
      </c>
      <c r="CO531" t="s">
        <v>135</v>
      </c>
      <c r="CP531">
        <v>64902.6</v>
      </c>
      <c r="CQ531" t="s">
        <v>135</v>
      </c>
      <c r="CR531">
        <v>44861.3</v>
      </c>
      <c r="CS531" t="s">
        <v>135</v>
      </c>
      <c r="CT531" t="s">
        <v>135</v>
      </c>
      <c r="CU531" t="s">
        <v>135</v>
      </c>
      <c r="CV531" t="s">
        <v>135</v>
      </c>
      <c r="CW531" t="s">
        <v>135</v>
      </c>
      <c r="CX531" t="s">
        <v>135</v>
      </c>
      <c r="CY531" t="s">
        <v>135</v>
      </c>
      <c r="CZ531" t="s">
        <v>135</v>
      </c>
      <c r="DA531" t="s">
        <v>135</v>
      </c>
      <c r="DB531" t="s">
        <v>135</v>
      </c>
      <c r="DC531" t="s">
        <v>135</v>
      </c>
      <c r="DD531" t="s">
        <v>135</v>
      </c>
      <c r="DE531" t="s">
        <v>135</v>
      </c>
      <c r="DF531" t="s">
        <v>135</v>
      </c>
      <c r="DG531" t="s">
        <v>135</v>
      </c>
      <c r="DH531" t="s">
        <v>135</v>
      </c>
      <c r="DI531" t="s">
        <v>135</v>
      </c>
    </row>
    <row r="532" spans="4:113" x14ac:dyDescent="0.3">
      <c r="E532" t="s">
        <v>81</v>
      </c>
      <c r="F532">
        <v>13.921799999999999</v>
      </c>
      <c r="G532">
        <v>5.3112000000000004</v>
      </c>
      <c r="H532">
        <v>14.101000000000001</v>
      </c>
      <c r="I532">
        <v>13.407399999999999</v>
      </c>
      <c r="J532">
        <v>32.544400000000003</v>
      </c>
      <c r="K532">
        <v>22.9544</v>
      </c>
      <c r="L532">
        <v>24.052499999999998</v>
      </c>
      <c r="M532">
        <v>18.2865</v>
      </c>
      <c r="N532">
        <v>16.710899999999999</v>
      </c>
      <c r="O532">
        <v>7.8017000000000003</v>
      </c>
      <c r="P532">
        <v>7.8017000000000003</v>
      </c>
      <c r="Q532">
        <v>8.6252999999999993</v>
      </c>
      <c r="R532" t="s">
        <v>135</v>
      </c>
      <c r="S532" t="s">
        <v>135</v>
      </c>
      <c r="T532">
        <v>7129.6845000000003</v>
      </c>
      <c r="U532" t="s">
        <v>135</v>
      </c>
      <c r="V532" t="s">
        <v>135</v>
      </c>
      <c r="W532">
        <v>445.04050000000001</v>
      </c>
      <c r="X532">
        <v>51.631999999999998</v>
      </c>
      <c r="Y532" t="s">
        <v>135</v>
      </c>
      <c r="Z532">
        <v>3168.3054000000002</v>
      </c>
      <c r="AA532">
        <v>840.08950000000004</v>
      </c>
      <c r="AB532">
        <v>3290.2296000000001</v>
      </c>
      <c r="AC532">
        <v>829.56280000000004</v>
      </c>
      <c r="AD532">
        <v>1121.4005</v>
      </c>
      <c r="AE532" t="s">
        <v>135</v>
      </c>
      <c r="AF532">
        <v>1187.1922</v>
      </c>
      <c r="AG532">
        <v>599.46420000000001</v>
      </c>
      <c r="AH532">
        <v>1564.8291999999999</v>
      </c>
      <c r="AI532">
        <v>511.1798</v>
      </c>
      <c r="AJ532">
        <v>739.68460000000005</v>
      </c>
      <c r="AK532">
        <v>22.459399999999999</v>
      </c>
      <c r="AL532" t="s">
        <v>135</v>
      </c>
      <c r="AM532">
        <v>70.799800000000005</v>
      </c>
      <c r="AN532">
        <v>55.105400000000003</v>
      </c>
      <c r="AO532">
        <v>45.229599999999998</v>
      </c>
      <c r="AP532">
        <v>24.247299999999999</v>
      </c>
      <c r="AQ532">
        <v>-5.9924999999999997</v>
      </c>
      <c r="AR532" t="s">
        <v>135</v>
      </c>
      <c r="AS532">
        <v>73.248900000000006</v>
      </c>
      <c r="AT532">
        <v>102.67059999999999</v>
      </c>
      <c r="AU532">
        <v>173.7303</v>
      </c>
      <c r="AV532">
        <v>108.7557</v>
      </c>
      <c r="AW532">
        <v>105.6378</v>
      </c>
      <c r="AX532" t="s">
        <v>135</v>
      </c>
      <c r="AY532">
        <v>68.703500000000005</v>
      </c>
      <c r="AZ532">
        <v>569.03459999999995</v>
      </c>
      <c r="BA532">
        <v>741.44500000000005</v>
      </c>
      <c r="BB532">
        <v>86.378799999999998</v>
      </c>
      <c r="BC532">
        <v>108.5376</v>
      </c>
      <c r="BD532">
        <v>32.672600000000003</v>
      </c>
      <c r="BE532" t="s">
        <v>135</v>
      </c>
      <c r="BF532">
        <v>7.0580999999999996</v>
      </c>
      <c r="BG532">
        <v>4.2211999999999996</v>
      </c>
      <c r="BH532">
        <v>6.3498000000000001</v>
      </c>
      <c r="BI532">
        <v>-13.2067</v>
      </c>
      <c r="BJ532">
        <v>-15.8155</v>
      </c>
      <c r="BK532" t="s">
        <v>135</v>
      </c>
      <c r="BL532" t="s">
        <v>135</v>
      </c>
      <c r="BM532" t="s">
        <v>135</v>
      </c>
      <c r="BN532" t="s">
        <v>135</v>
      </c>
      <c r="BO532" t="s">
        <v>135</v>
      </c>
      <c r="BP532" t="s">
        <v>135</v>
      </c>
      <c r="BQ532" t="s">
        <v>135</v>
      </c>
      <c r="BR532" t="s">
        <v>135</v>
      </c>
      <c r="BS532" t="s">
        <v>135</v>
      </c>
      <c r="BT532" t="s">
        <v>135</v>
      </c>
      <c r="BU532" t="s">
        <v>135</v>
      </c>
      <c r="BV532" t="s">
        <v>135</v>
      </c>
      <c r="BW532" t="s">
        <v>135</v>
      </c>
      <c r="BX532" t="s">
        <v>135</v>
      </c>
      <c r="BY532">
        <v>805679.1</v>
      </c>
      <c r="BZ532">
        <v>256021.4</v>
      </c>
      <c r="CA532">
        <v>549657.69999999995</v>
      </c>
      <c r="CB532">
        <v>3.9572000000000003</v>
      </c>
      <c r="CC532">
        <v>1.7288999999999999</v>
      </c>
      <c r="CD532">
        <v>5.9779999999999998</v>
      </c>
      <c r="CE532">
        <v>2.6118000000000001</v>
      </c>
      <c r="CF532">
        <v>4.4016999999999999</v>
      </c>
      <c r="CG532">
        <v>34.093299999999999</v>
      </c>
      <c r="CH532">
        <v>51.463099999999997</v>
      </c>
      <c r="CI532">
        <v>29.334800000000001</v>
      </c>
      <c r="CJ532">
        <v>25.6677</v>
      </c>
      <c r="CK532">
        <v>75.433800000000005</v>
      </c>
      <c r="CL532">
        <v>42.998399999999997</v>
      </c>
      <c r="CM532">
        <v>37.6233</v>
      </c>
      <c r="CN532">
        <v>32.957099999999997</v>
      </c>
      <c r="CO532">
        <v>24.787800000000001</v>
      </c>
      <c r="CP532">
        <v>67642.3</v>
      </c>
      <c r="CQ532" t="s">
        <v>135</v>
      </c>
      <c r="CR532">
        <v>47709.9</v>
      </c>
      <c r="CS532">
        <v>1.0308999999999999</v>
      </c>
      <c r="CT532">
        <v>1.4431</v>
      </c>
      <c r="CU532">
        <v>1.1366000000000001</v>
      </c>
      <c r="CV532">
        <v>1.3110999999999999</v>
      </c>
      <c r="CW532">
        <v>27.411000000000001</v>
      </c>
      <c r="CX532">
        <v>13.315799999999999</v>
      </c>
      <c r="CY532">
        <v>4.8727</v>
      </c>
      <c r="CZ532">
        <v>74.906899999999993</v>
      </c>
      <c r="DA532">
        <v>14.5534</v>
      </c>
      <c r="DB532">
        <v>25.08</v>
      </c>
      <c r="DC532">
        <v>63.142800000000001</v>
      </c>
      <c r="DD532">
        <v>88.222700000000003</v>
      </c>
      <c r="DE532">
        <v>90337.9</v>
      </c>
      <c r="DF532">
        <v>14106.3</v>
      </c>
      <c r="DG532">
        <v>29154.1</v>
      </c>
      <c r="DH532">
        <v>31560.7</v>
      </c>
      <c r="DI532">
        <v>15516.8</v>
      </c>
    </row>
    <row r="533" spans="4:113" x14ac:dyDescent="0.3">
      <c r="D533" t="s">
        <v>82</v>
      </c>
      <c r="E533" t="s">
        <v>77</v>
      </c>
      <c r="F533">
        <v>-24.6615</v>
      </c>
      <c r="G533">
        <v>-7.7371999999999996</v>
      </c>
      <c r="H533">
        <v>-4.6315</v>
      </c>
      <c r="I533">
        <v>2.6789000000000001</v>
      </c>
      <c r="J533">
        <v>30.048100000000002</v>
      </c>
      <c r="K533">
        <v>20.2897</v>
      </c>
      <c r="L533">
        <v>18.452300000000001</v>
      </c>
      <c r="M533">
        <v>-13.528600000000001</v>
      </c>
      <c r="N533">
        <v>-15.497199999999999</v>
      </c>
      <c r="O533">
        <v>-21.3262</v>
      </c>
      <c r="P533">
        <v>-21.3262</v>
      </c>
      <c r="Q533" t="s">
        <v>135</v>
      </c>
      <c r="R533" t="s">
        <v>135</v>
      </c>
      <c r="S533" t="s">
        <v>135</v>
      </c>
      <c r="T533">
        <v>11.6088</v>
      </c>
      <c r="U533">
        <v>8.2757000000000005</v>
      </c>
      <c r="V533">
        <v>10.4476</v>
      </c>
      <c r="W533" t="s">
        <v>135</v>
      </c>
      <c r="X533" t="s">
        <v>135</v>
      </c>
      <c r="Y533">
        <v>26.1538</v>
      </c>
      <c r="Z533">
        <v>-21.960799999999999</v>
      </c>
      <c r="AA533">
        <v>-3.4178999999999999</v>
      </c>
      <c r="AB533">
        <v>4.4999999999999997E-3</v>
      </c>
      <c r="AC533">
        <v>-11.1432</v>
      </c>
      <c r="AD533">
        <v>-25.6601</v>
      </c>
      <c r="AE533">
        <v>6.5926999999999998</v>
      </c>
      <c r="AF533">
        <v>26.6572</v>
      </c>
      <c r="AG533">
        <v>0.54669999999999996</v>
      </c>
      <c r="AH533">
        <v>-3.4761000000000002</v>
      </c>
      <c r="AI533">
        <v>-16.292200000000001</v>
      </c>
      <c r="AJ533">
        <v>-10.781499999999999</v>
      </c>
      <c r="AK533">
        <v>-26.207000000000001</v>
      </c>
      <c r="AL533">
        <v>4.3299000000000003</v>
      </c>
      <c r="AM533">
        <v>66.128500000000003</v>
      </c>
      <c r="AN533">
        <v>47.774799999999999</v>
      </c>
      <c r="AO533">
        <v>37.273299999999999</v>
      </c>
      <c r="AP533" t="s">
        <v>135</v>
      </c>
      <c r="AQ533" t="s">
        <v>135</v>
      </c>
      <c r="AR533">
        <v>4.7562999999999995</v>
      </c>
      <c r="AS533">
        <v>60.5351</v>
      </c>
      <c r="AT533">
        <v>76.977900000000005</v>
      </c>
      <c r="AU533">
        <v>158.87960000000001</v>
      </c>
      <c r="AV533">
        <v>76.092399999999998</v>
      </c>
      <c r="AW533">
        <v>128.24610000000001</v>
      </c>
      <c r="AX533" t="s">
        <v>135</v>
      </c>
      <c r="AY533">
        <v>48.665799999999997</v>
      </c>
      <c r="AZ533">
        <v>338.21339999999998</v>
      </c>
      <c r="BA533">
        <v>108.7773</v>
      </c>
      <c r="BB533">
        <v>62.210500000000003</v>
      </c>
      <c r="BC533">
        <v>75.920699999999997</v>
      </c>
      <c r="BD533">
        <v>13.780799999999999</v>
      </c>
      <c r="BE533">
        <v>36.6145</v>
      </c>
      <c r="BF533">
        <v>11.6088</v>
      </c>
      <c r="BG533">
        <v>8.2757000000000005</v>
      </c>
      <c r="BH533">
        <v>10.4476</v>
      </c>
      <c r="BI533">
        <v>-348.40429999999998</v>
      </c>
      <c r="BJ533">
        <v>-345.89929999999998</v>
      </c>
      <c r="BK533">
        <v>26.1538</v>
      </c>
      <c r="BL533">
        <v>-21.960799999999999</v>
      </c>
      <c r="BM533">
        <v>-3.4178999999999999</v>
      </c>
      <c r="BN533">
        <v>4.4999999999999997E-3</v>
      </c>
      <c r="BO533">
        <v>-11.1432</v>
      </c>
      <c r="BP533">
        <v>-25.6601</v>
      </c>
      <c r="BQ533">
        <v>6.5926999999999998</v>
      </c>
      <c r="BR533">
        <v>26.6572</v>
      </c>
      <c r="BS533">
        <v>0.54669999999999996</v>
      </c>
      <c r="BT533">
        <v>-3.4761000000000002</v>
      </c>
      <c r="BU533">
        <v>-16.292200000000001</v>
      </c>
      <c r="BV533">
        <v>-10.781499999999999</v>
      </c>
      <c r="BW533">
        <v>-26.207000000000001</v>
      </c>
      <c r="BX533">
        <v>4.3299000000000003</v>
      </c>
      <c r="BY533">
        <v>777673</v>
      </c>
      <c r="BZ533">
        <v>257421</v>
      </c>
      <c r="CA533">
        <v>520252</v>
      </c>
      <c r="CB533">
        <v>3.5276999999999998</v>
      </c>
      <c r="CC533">
        <v>1.4929000000000001</v>
      </c>
      <c r="CD533">
        <v>5.2244000000000002</v>
      </c>
      <c r="CE533">
        <v>2.2109999999999999</v>
      </c>
      <c r="CF533">
        <v>4.5632000000000001</v>
      </c>
      <c r="CG533">
        <v>28.313300000000002</v>
      </c>
      <c r="CH533">
        <v>58.1905</v>
      </c>
      <c r="CI533">
        <v>31.120699999999999</v>
      </c>
      <c r="CJ533">
        <v>27.341000000000001</v>
      </c>
      <c r="CK533">
        <v>86.983199999999997</v>
      </c>
      <c r="CL533">
        <v>46.519199999999998</v>
      </c>
      <c r="CM533">
        <v>40.869399999999999</v>
      </c>
      <c r="CN533">
        <v>36.811100000000003</v>
      </c>
      <c r="CO533">
        <v>26.906500000000001</v>
      </c>
      <c r="CP533">
        <v>220445.5</v>
      </c>
      <c r="CQ533">
        <v>113884.4</v>
      </c>
      <c r="CR533">
        <v>148853.9</v>
      </c>
      <c r="CS533">
        <v>1.0690999999999999</v>
      </c>
      <c r="CT533">
        <v>1.4934000000000001</v>
      </c>
      <c r="CU533">
        <v>1.1551</v>
      </c>
      <c r="CV533">
        <v>1.2827999999999999</v>
      </c>
      <c r="CW533">
        <v>17.8398</v>
      </c>
      <c r="CX533">
        <v>20.459900000000001</v>
      </c>
      <c r="CY533">
        <v>2.7720000000000002</v>
      </c>
      <c r="CZ533">
        <v>131.67359999999999</v>
      </c>
      <c r="DA533">
        <v>5.1463999999999999</v>
      </c>
      <c r="DB533">
        <v>70.923400000000001</v>
      </c>
      <c r="DC533">
        <v>81.210099999999997</v>
      </c>
      <c r="DD533">
        <v>152.1335</v>
      </c>
      <c r="DE533">
        <v>87250.2</v>
      </c>
      <c r="DF533">
        <v>17179.7</v>
      </c>
      <c r="DG533">
        <v>27901</v>
      </c>
      <c r="DH533">
        <v>26795.3</v>
      </c>
      <c r="DI533">
        <v>15374.2</v>
      </c>
    </row>
    <row r="534" spans="4:113" x14ac:dyDescent="0.3">
      <c r="E534" t="s">
        <v>78</v>
      </c>
      <c r="F534" t="s">
        <v>135</v>
      </c>
      <c r="G534" t="s">
        <v>135</v>
      </c>
      <c r="H534" t="s">
        <v>135</v>
      </c>
      <c r="I534" t="s">
        <v>135</v>
      </c>
      <c r="J534">
        <v>33.264099999999999</v>
      </c>
      <c r="K534">
        <v>21.16</v>
      </c>
      <c r="L534">
        <v>22.111699999999999</v>
      </c>
      <c r="M534">
        <v>10.1127</v>
      </c>
      <c r="N534">
        <v>7.9939</v>
      </c>
      <c r="O534">
        <v>2.202</v>
      </c>
      <c r="P534">
        <v>2.202</v>
      </c>
      <c r="Q534">
        <v>20.967400000000001</v>
      </c>
      <c r="R534" t="s">
        <v>135</v>
      </c>
      <c r="S534" t="s">
        <v>135</v>
      </c>
      <c r="T534">
        <v>4589.9576999999999</v>
      </c>
      <c r="U534" t="s">
        <v>135</v>
      </c>
      <c r="V534" t="s">
        <v>135</v>
      </c>
      <c r="W534">
        <v>-9.3506999999999998</v>
      </c>
      <c r="X534">
        <v>-73.375299999999996</v>
      </c>
      <c r="Y534" t="s">
        <v>135</v>
      </c>
      <c r="Z534" t="s">
        <v>135</v>
      </c>
      <c r="AA534" t="s">
        <v>135</v>
      </c>
      <c r="AB534" t="s">
        <v>135</v>
      </c>
      <c r="AC534" t="s">
        <v>135</v>
      </c>
      <c r="AD534" t="s">
        <v>135</v>
      </c>
      <c r="AE534" t="s">
        <v>135</v>
      </c>
      <c r="AF534" t="s">
        <v>135</v>
      </c>
      <c r="AG534" t="s">
        <v>135</v>
      </c>
      <c r="AH534" t="s">
        <v>135</v>
      </c>
      <c r="AI534" t="s">
        <v>135</v>
      </c>
      <c r="AJ534" t="s">
        <v>135</v>
      </c>
      <c r="AK534" t="s">
        <v>135</v>
      </c>
      <c r="AL534" t="s">
        <v>135</v>
      </c>
      <c r="AM534">
        <v>76.397999999999996</v>
      </c>
      <c r="AN534">
        <v>65.778899999999993</v>
      </c>
      <c r="AO534">
        <v>52.474400000000003</v>
      </c>
      <c r="AP534">
        <v>-2.3182</v>
      </c>
      <c r="AQ534">
        <v>-25.023</v>
      </c>
      <c r="AR534" t="s">
        <v>135</v>
      </c>
      <c r="AS534" t="s">
        <v>135</v>
      </c>
      <c r="AT534" t="s">
        <v>135</v>
      </c>
      <c r="AU534" t="s">
        <v>135</v>
      </c>
      <c r="AV534" t="s">
        <v>135</v>
      </c>
      <c r="AW534" t="s">
        <v>135</v>
      </c>
      <c r="AX534" t="s">
        <v>135</v>
      </c>
      <c r="AY534" t="s">
        <v>135</v>
      </c>
      <c r="AZ534" t="s">
        <v>135</v>
      </c>
      <c r="BA534" t="s">
        <v>135</v>
      </c>
      <c r="BB534" t="s">
        <v>135</v>
      </c>
      <c r="BC534" t="s">
        <v>135</v>
      </c>
      <c r="BD534" t="s">
        <v>135</v>
      </c>
      <c r="BE534" t="s">
        <v>135</v>
      </c>
      <c r="BF534">
        <v>-17.941700000000001</v>
      </c>
      <c r="BG534">
        <v>-16.126999999999999</v>
      </c>
      <c r="BH534">
        <v>-24.3566</v>
      </c>
      <c r="BI534">
        <v>-76.839399999999998</v>
      </c>
      <c r="BJ534">
        <v>-75.146799999999999</v>
      </c>
      <c r="BK534" t="s">
        <v>135</v>
      </c>
      <c r="BL534" t="s">
        <v>135</v>
      </c>
      <c r="BM534" t="s">
        <v>135</v>
      </c>
      <c r="BN534" t="s">
        <v>135</v>
      </c>
      <c r="BO534" t="s">
        <v>135</v>
      </c>
      <c r="BP534" t="s">
        <v>135</v>
      </c>
      <c r="BQ534" t="s">
        <v>135</v>
      </c>
      <c r="BR534" t="s">
        <v>135</v>
      </c>
      <c r="BS534" t="s">
        <v>135</v>
      </c>
      <c r="BT534" t="s">
        <v>135</v>
      </c>
      <c r="BU534" t="s">
        <v>135</v>
      </c>
      <c r="BV534" t="s">
        <v>135</v>
      </c>
      <c r="BW534" t="s">
        <v>135</v>
      </c>
      <c r="BX534" t="s">
        <v>135</v>
      </c>
      <c r="BY534" t="s">
        <v>135</v>
      </c>
      <c r="BZ534" t="s">
        <v>135</v>
      </c>
      <c r="CA534" t="s">
        <v>135</v>
      </c>
      <c r="CB534" t="s">
        <v>135</v>
      </c>
      <c r="CC534" t="s">
        <v>135</v>
      </c>
      <c r="CD534" t="s">
        <v>135</v>
      </c>
      <c r="CE534" t="s">
        <v>135</v>
      </c>
      <c r="CF534">
        <v>3.6909000000000001</v>
      </c>
      <c r="CG534" t="s">
        <v>135</v>
      </c>
      <c r="CH534" t="s">
        <v>135</v>
      </c>
      <c r="CI534" t="s">
        <v>135</v>
      </c>
      <c r="CJ534" t="s">
        <v>135</v>
      </c>
      <c r="CK534" t="s">
        <v>135</v>
      </c>
      <c r="CL534" t="s">
        <v>135</v>
      </c>
      <c r="CM534" t="s">
        <v>135</v>
      </c>
      <c r="CN534" t="s">
        <v>135</v>
      </c>
      <c r="CO534" t="s">
        <v>135</v>
      </c>
      <c r="CP534">
        <v>56733.599999999999</v>
      </c>
      <c r="CQ534" t="s">
        <v>135</v>
      </c>
      <c r="CR534">
        <v>36089.4</v>
      </c>
      <c r="CS534" t="s">
        <v>135</v>
      </c>
      <c r="CT534" t="s">
        <v>135</v>
      </c>
      <c r="CU534" t="s">
        <v>135</v>
      </c>
      <c r="CV534" t="s">
        <v>135</v>
      </c>
      <c r="CW534" t="s">
        <v>135</v>
      </c>
      <c r="CX534" t="s">
        <v>135</v>
      </c>
      <c r="CY534" t="s">
        <v>135</v>
      </c>
      <c r="CZ534" t="s">
        <v>135</v>
      </c>
      <c r="DA534" t="s">
        <v>135</v>
      </c>
      <c r="DB534" t="s">
        <v>135</v>
      </c>
      <c r="DC534" t="s">
        <v>135</v>
      </c>
      <c r="DD534" t="s">
        <v>135</v>
      </c>
      <c r="DE534" t="s">
        <v>135</v>
      </c>
      <c r="DF534" t="s">
        <v>135</v>
      </c>
      <c r="DG534" t="s">
        <v>135</v>
      </c>
      <c r="DH534" t="s">
        <v>135</v>
      </c>
      <c r="DI534" t="s">
        <v>135</v>
      </c>
    </row>
    <row r="535" spans="4:113" x14ac:dyDescent="0.3">
      <c r="E535" t="s">
        <v>79</v>
      </c>
      <c r="F535">
        <v>7.6795</v>
      </c>
      <c r="G535">
        <v>2.589</v>
      </c>
      <c r="H535">
        <v>9.5520999999999994</v>
      </c>
      <c r="I535">
        <v>8.3351000000000006</v>
      </c>
      <c r="J535">
        <v>32.531999999999996</v>
      </c>
      <c r="K535">
        <v>22.231400000000001</v>
      </c>
      <c r="L535" t="s">
        <v>135</v>
      </c>
      <c r="M535">
        <v>19.065300000000001</v>
      </c>
      <c r="N535">
        <v>16.185199999999998</v>
      </c>
      <c r="O535">
        <v>8.3262</v>
      </c>
      <c r="P535">
        <v>8.3262</v>
      </c>
      <c r="Q535">
        <v>15.106400000000001</v>
      </c>
      <c r="R535" t="s">
        <v>135</v>
      </c>
      <c r="S535" t="s">
        <v>135</v>
      </c>
      <c r="T535">
        <v>-22.7349</v>
      </c>
      <c r="U535">
        <v>-11.487299999999999</v>
      </c>
      <c r="V535">
        <v>0.49909999999999999</v>
      </c>
      <c r="W535">
        <v>-32.370899999999999</v>
      </c>
      <c r="X535">
        <v>-33.333300000000001</v>
      </c>
      <c r="Y535" t="s">
        <v>135</v>
      </c>
      <c r="Z535">
        <v>-8.4571000000000005</v>
      </c>
      <c r="AA535">
        <v>-1.5304</v>
      </c>
      <c r="AB535" t="s">
        <v>135</v>
      </c>
      <c r="AC535">
        <v>1.2464999999999999</v>
      </c>
      <c r="AD535">
        <v>-16.2545</v>
      </c>
      <c r="AE535">
        <v>-14.892200000000001</v>
      </c>
      <c r="AF535">
        <v>30.079699999999999</v>
      </c>
      <c r="AG535">
        <v>-6.2469999999999999</v>
      </c>
      <c r="AH535">
        <v>-12.251200000000001</v>
      </c>
      <c r="AI535">
        <v>6.7801999999999998</v>
      </c>
      <c r="AJ535">
        <v>-1.6583999999999999</v>
      </c>
      <c r="AK535">
        <v>5.8962000000000003</v>
      </c>
      <c r="AL535" t="s">
        <v>135</v>
      </c>
      <c r="AM535">
        <v>105.2341</v>
      </c>
      <c r="AN535">
        <v>110.60290000000001</v>
      </c>
      <c r="AO535">
        <v>100.7885</v>
      </c>
      <c r="AP535">
        <v>57.616999999999997</v>
      </c>
      <c r="AQ535">
        <v>21.6432</v>
      </c>
      <c r="AR535" t="s">
        <v>135</v>
      </c>
      <c r="AS535" t="s">
        <v>135</v>
      </c>
      <c r="AT535" t="s">
        <v>135</v>
      </c>
      <c r="AU535" t="s">
        <v>135</v>
      </c>
      <c r="AV535" t="s">
        <v>135</v>
      </c>
      <c r="AW535" t="s">
        <v>135</v>
      </c>
      <c r="AX535" t="s">
        <v>135</v>
      </c>
      <c r="AY535" t="s">
        <v>135</v>
      </c>
      <c r="AZ535" t="s">
        <v>135</v>
      </c>
      <c r="BA535" t="s">
        <v>135</v>
      </c>
      <c r="BB535" t="s">
        <v>135</v>
      </c>
      <c r="BC535" t="s">
        <v>135</v>
      </c>
      <c r="BD535" t="s">
        <v>135</v>
      </c>
      <c r="BE535" t="s">
        <v>135</v>
      </c>
      <c r="BF535">
        <v>14.028600000000001</v>
      </c>
      <c r="BG535">
        <v>11.5189</v>
      </c>
      <c r="BH535">
        <v>19.802199999999999</v>
      </c>
      <c r="BI535">
        <v>331.16680000000002</v>
      </c>
      <c r="BJ535">
        <v>329.92129999999997</v>
      </c>
      <c r="BK535" t="s">
        <v>135</v>
      </c>
      <c r="BL535" t="s">
        <v>135</v>
      </c>
      <c r="BM535" t="s">
        <v>135</v>
      </c>
      <c r="BN535" t="s">
        <v>135</v>
      </c>
      <c r="BO535" t="s">
        <v>135</v>
      </c>
      <c r="BP535" t="s">
        <v>135</v>
      </c>
      <c r="BQ535" t="s">
        <v>135</v>
      </c>
      <c r="BR535" t="s">
        <v>135</v>
      </c>
      <c r="BS535" t="s">
        <v>135</v>
      </c>
      <c r="BT535" t="s">
        <v>135</v>
      </c>
      <c r="BU535" t="s">
        <v>135</v>
      </c>
      <c r="BV535" t="s">
        <v>135</v>
      </c>
      <c r="BW535" t="s">
        <v>135</v>
      </c>
      <c r="BX535" t="s">
        <v>135</v>
      </c>
      <c r="BY535">
        <v>702053.8</v>
      </c>
      <c r="BZ535">
        <v>193722.4</v>
      </c>
      <c r="CA535">
        <v>508331.4</v>
      </c>
      <c r="CB535">
        <v>2.7799</v>
      </c>
      <c r="CC535">
        <v>0.94240000000000002</v>
      </c>
      <c r="CD535">
        <v>4.0842000000000001</v>
      </c>
      <c r="CE535">
        <v>1.3845000000000001</v>
      </c>
      <c r="CF535">
        <v>4.2992999999999997</v>
      </c>
      <c r="CG535">
        <v>34.464799999999997</v>
      </c>
      <c r="CH535">
        <v>47.400399999999998</v>
      </c>
      <c r="CI535">
        <v>28.646899999999999</v>
      </c>
      <c r="CJ535">
        <v>23.8474</v>
      </c>
      <c r="CK535">
        <v>65.464399999999998</v>
      </c>
      <c r="CL535">
        <v>39.564</v>
      </c>
      <c r="CM535">
        <v>32.935499999999998</v>
      </c>
      <c r="CN535">
        <v>22.192499999999999</v>
      </c>
      <c r="CO535">
        <v>18.161899999999999</v>
      </c>
      <c r="CP535">
        <v>63268.7</v>
      </c>
      <c r="CQ535" t="s">
        <v>135</v>
      </c>
      <c r="CR535">
        <v>43235.9</v>
      </c>
      <c r="CS535">
        <v>0.99419999999999997</v>
      </c>
      <c r="CT535">
        <v>1.4371</v>
      </c>
      <c r="CU535">
        <v>1.1053999999999999</v>
      </c>
      <c r="CV535">
        <v>1.9581</v>
      </c>
      <c r="CW535">
        <v>14.1183</v>
      </c>
      <c r="CX535">
        <v>25.852899999999998</v>
      </c>
      <c r="CY535">
        <v>2.7673999999999999</v>
      </c>
      <c r="CZ535">
        <v>131.8914</v>
      </c>
      <c r="DA535">
        <v>5.7488000000000001</v>
      </c>
      <c r="DB535">
        <v>63.491999999999997</v>
      </c>
      <c r="DC535">
        <v>94.252399999999994</v>
      </c>
      <c r="DD535">
        <v>157.74430000000001</v>
      </c>
      <c r="DE535">
        <v>98780.1</v>
      </c>
      <c r="DF535" t="s">
        <v>135</v>
      </c>
      <c r="DG535" t="s">
        <v>135</v>
      </c>
      <c r="DH535" t="s">
        <v>135</v>
      </c>
      <c r="DI535" t="s">
        <v>135</v>
      </c>
    </row>
    <row r="536" spans="4:113" x14ac:dyDescent="0.3">
      <c r="E536" t="s">
        <v>80</v>
      </c>
      <c r="F536" t="s">
        <v>135</v>
      </c>
      <c r="G536" t="s">
        <v>135</v>
      </c>
      <c r="H536" t="s">
        <v>135</v>
      </c>
      <c r="I536" t="s">
        <v>135</v>
      </c>
      <c r="J536">
        <v>32.133499999999998</v>
      </c>
      <c r="K536">
        <v>19.9633</v>
      </c>
      <c r="L536">
        <v>-233.28559999999999</v>
      </c>
      <c r="M536">
        <v>17.311800000000002</v>
      </c>
      <c r="N536">
        <v>14.8147</v>
      </c>
      <c r="O536">
        <v>8.2993000000000006</v>
      </c>
      <c r="P536">
        <v>8.2993000000000006</v>
      </c>
      <c r="Q536">
        <v>14.4239</v>
      </c>
      <c r="R536" t="s">
        <v>135</v>
      </c>
      <c r="S536" t="s">
        <v>135</v>
      </c>
      <c r="T536">
        <v>-1.4738</v>
      </c>
      <c r="U536">
        <v>-5.2954999999999997</v>
      </c>
      <c r="V536">
        <v>-14.879200000000001</v>
      </c>
      <c r="W536">
        <v>-15.029299999999999</v>
      </c>
      <c r="X536">
        <v>-11.861599999999999</v>
      </c>
      <c r="Y536" t="s">
        <v>135</v>
      </c>
      <c r="Z536" t="s">
        <v>135</v>
      </c>
      <c r="AA536" t="s">
        <v>135</v>
      </c>
      <c r="AB536" t="s">
        <v>135</v>
      </c>
      <c r="AC536" t="s">
        <v>135</v>
      </c>
      <c r="AD536" t="s">
        <v>135</v>
      </c>
      <c r="AE536" t="s">
        <v>135</v>
      </c>
      <c r="AF536" t="s">
        <v>135</v>
      </c>
      <c r="AG536" t="s">
        <v>135</v>
      </c>
      <c r="AH536" t="s">
        <v>135</v>
      </c>
      <c r="AI536" t="s">
        <v>135</v>
      </c>
      <c r="AJ536" t="s">
        <v>135</v>
      </c>
      <c r="AK536" t="s">
        <v>135</v>
      </c>
      <c r="AL536" t="s">
        <v>135</v>
      </c>
      <c r="AM536">
        <v>59.263300000000001</v>
      </c>
      <c r="AN536">
        <v>42.775300000000001</v>
      </c>
      <c r="AO536">
        <v>30.379899999999999</v>
      </c>
      <c r="AP536">
        <v>13.9169</v>
      </c>
      <c r="AQ536">
        <v>-10.7738</v>
      </c>
      <c r="AR536" t="s">
        <v>135</v>
      </c>
      <c r="AS536" t="s">
        <v>135</v>
      </c>
      <c r="AT536" t="s">
        <v>135</v>
      </c>
      <c r="AU536" t="s">
        <v>135</v>
      </c>
      <c r="AV536" t="s">
        <v>135</v>
      </c>
      <c r="AW536" t="s">
        <v>135</v>
      </c>
      <c r="AX536" t="s">
        <v>135</v>
      </c>
      <c r="AY536" t="s">
        <v>135</v>
      </c>
      <c r="AZ536" t="s">
        <v>135</v>
      </c>
      <c r="BA536" t="s">
        <v>135</v>
      </c>
      <c r="BB536" t="s">
        <v>135</v>
      </c>
      <c r="BC536" t="s">
        <v>135</v>
      </c>
      <c r="BD536" t="s">
        <v>135</v>
      </c>
      <c r="BE536" t="s">
        <v>135</v>
      </c>
      <c r="BF536">
        <v>-1.645</v>
      </c>
      <c r="BG536">
        <v>-2.8498000000000001</v>
      </c>
      <c r="BH536">
        <v>-11.6792</v>
      </c>
      <c r="BI536">
        <v>-1.9632000000000001</v>
      </c>
      <c r="BJ536">
        <v>-2.0146999999999999</v>
      </c>
      <c r="BK536" t="s">
        <v>135</v>
      </c>
      <c r="BL536" t="s">
        <v>135</v>
      </c>
      <c r="BM536" t="s">
        <v>135</v>
      </c>
      <c r="BN536" t="s">
        <v>135</v>
      </c>
      <c r="BO536" t="s">
        <v>135</v>
      </c>
      <c r="BP536" t="s">
        <v>135</v>
      </c>
      <c r="BQ536" t="s">
        <v>135</v>
      </c>
      <c r="BR536" t="s">
        <v>135</v>
      </c>
      <c r="BS536" t="s">
        <v>135</v>
      </c>
      <c r="BT536" t="s">
        <v>135</v>
      </c>
      <c r="BU536" t="s">
        <v>135</v>
      </c>
      <c r="BV536" t="s">
        <v>135</v>
      </c>
      <c r="BW536" t="s">
        <v>135</v>
      </c>
      <c r="BX536" t="s">
        <v>135</v>
      </c>
      <c r="BY536" t="s">
        <v>135</v>
      </c>
      <c r="BZ536" t="s">
        <v>135</v>
      </c>
      <c r="CA536" t="s">
        <v>135</v>
      </c>
      <c r="CB536" t="s">
        <v>135</v>
      </c>
      <c r="CC536" t="s">
        <v>135</v>
      </c>
      <c r="CD536" t="s">
        <v>135</v>
      </c>
      <c r="CE536" t="s">
        <v>135</v>
      </c>
      <c r="CF536">
        <v>4.6241000000000003</v>
      </c>
      <c r="CG536" t="s">
        <v>135</v>
      </c>
      <c r="CH536" t="s">
        <v>135</v>
      </c>
      <c r="CI536" t="s">
        <v>135</v>
      </c>
      <c r="CJ536" t="s">
        <v>135</v>
      </c>
      <c r="CK536" t="s">
        <v>135</v>
      </c>
      <c r="CL536" t="s">
        <v>135</v>
      </c>
      <c r="CM536" t="s">
        <v>135</v>
      </c>
      <c r="CN536" t="s">
        <v>135</v>
      </c>
      <c r="CO536" t="s">
        <v>135</v>
      </c>
      <c r="CP536">
        <v>61465.7</v>
      </c>
      <c r="CQ536" t="s">
        <v>135</v>
      </c>
      <c r="CR536">
        <v>38186.300000000003</v>
      </c>
      <c r="CS536" t="s">
        <v>135</v>
      </c>
      <c r="CT536" t="s">
        <v>135</v>
      </c>
      <c r="CU536" t="s">
        <v>135</v>
      </c>
      <c r="CV536" t="s">
        <v>135</v>
      </c>
      <c r="CW536" t="s">
        <v>135</v>
      </c>
      <c r="CX536" t="s">
        <v>135</v>
      </c>
      <c r="CY536" t="s">
        <v>135</v>
      </c>
      <c r="CZ536" t="s">
        <v>135</v>
      </c>
      <c r="DA536" t="s">
        <v>135</v>
      </c>
      <c r="DB536" t="s">
        <v>135</v>
      </c>
      <c r="DC536" t="s">
        <v>135</v>
      </c>
      <c r="DD536" t="s">
        <v>135</v>
      </c>
      <c r="DE536" t="s">
        <v>135</v>
      </c>
      <c r="DF536" t="s">
        <v>135</v>
      </c>
      <c r="DG536" t="s">
        <v>135</v>
      </c>
      <c r="DH536" t="s">
        <v>135</v>
      </c>
      <c r="DI536" t="s">
        <v>135</v>
      </c>
    </row>
    <row r="537" spans="4:113" x14ac:dyDescent="0.3">
      <c r="E537" t="s">
        <v>81</v>
      </c>
      <c r="F537">
        <v>-24.6615</v>
      </c>
      <c r="G537">
        <v>-7.7371999999999996</v>
      </c>
      <c r="H537">
        <v>-4.3262</v>
      </c>
      <c r="I537">
        <v>2.8048999999999999</v>
      </c>
      <c r="J537">
        <v>22.636700000000001</v>
      </c>
      <c r="K537">
        <v>18.3309</v>
      </c>
      <c r="L537">
        <v>-49.814100000000003</v>
      </c>
      <c r="M537">
        <v>-102.46169999999999</v>
      </c>
      <c r="N537">
        <v>-105.5382</v>
      </c>
      <c r="O537">
        <v>-108.4359</v>
      </c>
      <c r="P537">
        <v>-108.4359</v>
      </c>
      <c r="Q537" t="s">
        <v>135</v>
      </c>
      <c r="R537" t="s">
        <v>135</v>
      </c>
      <c r="S537" t="s">
        <v>135</v>
      </c>
      <c r="T537">
        <v>-14.685700000000001</v>
      </c>
      <c r="U537">
        <v>-40.6584</v>
      </c>
      <c r="V537">
        <v>-31.869900000000001</v>
      </c>
      <c r="W537" t="s">
        <v>135</v>
      </c>
      <c r="X537" t="s">
        <v>135</v>
      </c>
      <c r="Y537" t="s">
        <v>135</v>
      </c>
      <c r="Z537">
        <v>-21.960799999999999</v>
      </c>
      <c r="AA537">
        <v>-3.4178999999999999</v>
      </c>
      <c r="AB537">
        <v>4.4999999999999997E-3</v>
      </c>
      <c r="AC537">
        <v>-11.1432</v>
      </c>
      <c r="AD537">
        <v>-25.6601</v>
      </c>
      <c r="AE537">
        <v>6.5926999999999998</v>
      </c>
      <c r="AF537">
        <v>26.6572</v>
      </c>
      <c r="AG537">
        <v>0.54669999999999996</v>
      </c>
      <c r="AH537">
        <v>-3.4761000000000002</v>
      </c>
      <c r="AI537">
        <v>-16.292200000000001</v>
      </c>
      <c r="AJ537">
        <v>-10.781499999999999</v>
      </c>
      <c r="AK537">
        <v>-26.207000000000001</v>
      </c>
      <c r="AL537" t="s">
        <v>135</v>
      </c>
      <c r="AM537">
        <v>49.136000000000003</v>
      </c>
      <c r="AN537">
        <v>21.709099999999999</v>
      </c>
      <c r="AO537">
        <v>16.940300000000001</v>
      </c>
      <c r="AP537" t="s">
        <v>135</v>
      </c>
      <c r="AQ537" t="s">
        <v>135</v>
      </c>
      <c r="AR537" t="s">
        <v>135</v>
      </c>
      <c r="AS537">
        <v>60.5351</v>
      </c>
      <c r="AT537">
        <v>76.977900000000005</v>
      </c>
      <c r="AU537">
        <v>158.87960000000001</v>
      </c>
      <c r="AV537">
        <v>76.092399999999998</v>
      </c>
      <c r="AW537">
        <v>128.24610000000001</v>
      </c>
      <c r="AX537" t="s">
        <v>135</v>
      </c>
      <c r="AY537">
        <v>48.665799999999997</v>
      </c>
      <c r="AZ537">
        <v>338.21339999999998</v>
      </c>
      <c r="BA537">
        <v>108.7773</v>
      </c>
      <c r="BB537">
        <v>62.210500000000003</v>
      </c>
      <c r="BC537">
        <v>75.920699999999997</v>
      </c>
      <c r="BD537">
        <v>13.780799999999999</v>
      </c>
      <c r="BE537" t="s">
        <v>135</v>
      </c>
      <c r="BF537">
        <v>-7.2979000000000003</v>
      </c>
      <c r="BG537">
        <v>-34.695300000000003</v>
      </c>
      <c r="BH537">
        <v>-14.878399999999999</v>
      </c>
      <c r="BI537">
        <v>-1311.2202</v>
      </c>
      <c r="BJ537">
        <v>-1312.1495</v>
      </c>
      <c r="BK537" t="s">
        <v>135</v>
      </c>
      <c r="BL537" t="s">
        <v>135</v>
      </c>
      <c r="BM537" t="s">
        <v>135</v>
      </c>
      <c r="BN537" t="s">
        <v>135</v>
      </c>
      <c r="BO537" t="s">
        <v>135</v>
      </c>
      <c r="BP537" t="s">
        <v>135</v>
      </c>
      <c r="BQ537" t="s">
        <v>135</v>
      </c>
      <c r="BR537" t="s">
        <v>135</v>
      </c>
      <c r="BS537" t="s">
        <v>135</v>
      </c>
      <c r="BT537" t="s">
        <v>135</v>
      </c>
      <c r="BU537" t="s">
        <v>135</v>
      </c>
      <c r="BV537" t="s">
        <v>135</v>
      </c>
      <c r="BW537" t="s">
        <v>135</v>
      </c>
      <c r="BX537" t="s">
        <v>135</v>
      </c>
      <c r="BY537">
        <v>777673</v>
      </c>
      <c r="BZ537">
        <v>257421</v>
      </c>
      <c r="CA537">
        <v>520252</v>
      </c>
      <c r="CB537">
        <v>3.5091999999999999</v>
      </c>
      <c r="CC537">
        <v>1.4851000000000001</v>
      </c>
      <c r="CD537">
        <v>5.1839000000000004</v>
      </c>
      <c r="CE537">
        <v>2.1938</v>
      </c>
      <c r="CF537">
        <v>3.0390000000000001</v>
      </c>
      <c r="CG537">
        <v>28.313300000000002</v>
      </c>
      <c r="CH537">
        <v>58.1905</v>
      </c>
      <c r="CI537">
        <v>31.120699999999999</v>
      </c>
      <c r="CJ537">
        <v>27.341000000000001</v>
      </c>
      <c r="CK537">
        <v>86.983199999999997</v>
      </c>
      <c r="CL537">
        <v>46.519199999999998</v>
      </c>
      <c r="CM537">
        <v>40.869399999999999</v>
      </c>
      <c r="CN537">
        <v>36.811100000000003</v>
      </c>
      <c r="CO537">
        <v>26.906500000000001</v>
      </c>
      <c r="CP537">
        <v>40140</v>
      </c>
      <c r="CQ537" t="s">
        <v>135</v>
      </c>
      <c r="CR537">
        <v>32504.799999999999</v>
      </c>
      <c r="CS537">
        <v>1.0690999999999999</v>
      </c>
      <c r="CT537">
        <v>1.4934000000000001</v>
      </c>
      <c r="CU537">
        <v>1.1551</v>
      </c>
      <c r="CV537">
        <v>1.2827999999999999</v>
      </c>
      <c r="CW537">
        <v>17.8398</v>
      </c>
      <c r="CX537">
        <v>20.459900000000001</v>
      </c>
      <c r="CY537">
        <v>2.7797999999999998</v>
      </c>
      <c r="CZ537">
        <v>131.30500000000001</v>
      </c>
      <c r="DA537">
        <v>5.1609999999999996</v>
      </c>
      <c r="DB537">
        <v>70.722300000000004</v>
      </c>
      <c r="DC537">
        <v>81.042500000000004</v>
      </c>
      <c r="DD537">
        <v>151.76490000000001</v>
      </c>
      <c r="DE537">
        <v>87250.2</v>
      </c>
      <c r="DF537">
        <v>17179.7</v>
      </c>
      <c r="DG537">
        <v>27901</v>
      </c>
      <c r="DH537">
        <v>26795.3</v>
      </c>
      <c r="DI537">
        <v>15374.2</v>
      </c>
    </row>
    <row r="538" spans="4:113" x14ac:dyDescent="0.3">
      <c r="D538" t="s">
        <v>83</v>
      </c>
      <c r="E538" t="s">
        <v>77</v>
      </c>
      <c r="F538">
        <v>-18.921700000000001</v>
      </c>
      <c r="G538">
        <v>-4.9297000000000004</v>
      </c>
      <c r="H538">
        <v>-1.8101</v>
      </c>
      <c r="I538">
        <v>1.7057</v>
      </c>
      <c r="J538">
        <v>23.007300000000001</v>
      </c>
      <c r="K538">
        <v>12.510199999999999</v>
      </c>
      <c r="L538">
        <v>-73.015500000000003</v>
      </c>
      <c r="M538">
        <v>-8.9221000000000004</v>
      </c>
      <c r="N538">
        <v>-9.5990000000000002</v>
      </c>
      <c r="O538">
        <v>-14.583600000000001</v>
      </c>
      <c r="P538">
        <v>-14.583600000000001</v>
      </c>
      <c r="Q538" t="s">
        <v>135</v>
      </c>
      <c r="R538" t="s">
        <v>135</v>
      </c>
      <c r="S538" t="s">
        <v>135</v>
      </c>
      <c r="T538">
        <v>-12.857699999999999</v>
      </c>
      <c r="U538">
        <v>-33.276800000000001</v>
      </c>
      <c r="V538">
        <v>-46.270099999999999</v>
      </c>
      <c r="W538">
        <v>40.409199999999998</v>
      </c>
      <c r="X538">
        <v>40.420699999999997</v>
      </c>
      <c r="Y538">
        <v>-14.6341</v>
      </c>
      <c r="Z538">
        <v>-29.265000000000001</v>
      </c>
      <c r="AA538">
        <v>-7.4027000000000003</v>
      </c>
      <c r="AB538">
        <v>3.6432000000000002</v>
      </c>
      <c r="AC538">
        <v>-1.2115</v>
      </c>
      <c r="AD538">
        <v>-39.0002</v>
      </c>
      <c r="AE538">
        <v>-32.933599999999998</v>
      </c>
      <c r="AF538">
        <v>19.8812</v>
      </c>
      <c r="AG538">
        <v>6.8132000000000001</v>
      </c>
      <c r="AH538">
        <v>0.23910000000000001</v>
      </c>
      <c r="AI538">
        <v>-13.1595</v>
      </c>
      <c r="AJ538">
        <v>-6.9265999999999996</v>
      </c>
      <c r="AK538">
        <v>-17.082000000000001</v>
      </c>
      <c r="AL538">
        <v>18.696999999999999</v>
      </c>
      <c r="AM538">
        <v>47.456099999999999</v>
      </c>
      <c r="AN538">
        <v>23.156199999999998</v>
      </c>
      <c r="AO538">
        <v>9.4367999999999999</v>
      </c>
      <c r="AP538" t="s">
        <v>135</v>
      </c>
      <c r="AQ538" t="s">
        <v>135</v>
      </c>
      <c r="AR538">
        <v>0</v>
      </c>
      <c r="AS538">
        <v>30.144500000000001</v>
      </c>
      <c r="AT538">
        <v>61.410299999999999</v>
      </c>
      <c r="AU538">
        <v>129.8092</v>
      </c>
      <c r="AV538">
        <v>64.516999999999996</v>
      </c>
      <c r="AW538">
        <v>58.058799999999998</v>
      </c>
      <c r="AX538" t="s">
        <v>135</v>
      </c>
      <c r="AY538">
        <v>45.082799999999999</v>
      </c>
      <c r="AZ538">
        <v>328.92149999999998</v>
      </c>
      <c r="BA538">
        <v>139.00919999999999</v>
      </c>
      <c r="BB538">
        <v>43.385100000000001</v>
      </c>
      <c r="BC538">
        <v>62.3155</v>
      </c>
      <c r="BD538">
        <v>0.43940000000000001</v>
      </c>
      <c r="BE538">
        <v>31.2957</v>
      </c>
      <c r="BF538">
        <v>-12.857699999999999</v>
      </c>
      <c r="BG538">
        <v>-33.276800000000001</v>
      </c>
      <c r="BH538">
        <v>-46.270099999999999</v>
      </c>
      <c r="BI538" t="s">
        <v>135</v>
      </c>
      <c r="BJ538" t="s">
        <v>135</v>
      </c>
      <c r="BK538">
        <v>-14.6341</v>
      </c>
      <c r="BL538">
        <v>-29.265000000000001</v>
      </c>
      <c r="BM538">
        <v>-7.4027000000000003</v>
      </c>
      <c r="BN538">
        <v>3.6432000000000002</v>
      </c>
      <c r="BO538">
        <v>-1.2115</v>
      </c>
      <c r="BP538">
        <v>-39.0002</v>
      </c>
      <c r="BQ538">
        <v>-32.933599999999998</v>
      </c>
      <c r="BR538">
        <v>19.8812</v>
      </c>
      <c r="BS538">
        <v>6.8132000000000001</v>
      </c>
      <c r="BT538">
        <v>0.23910000000000001</v>
      </c>
      <c r="BU538">
        <v>-13.1595</v>
      </c>
      <c r="BV538">
        <v>-6.9265999999999996</v>
      </c>
      <c r="BW538">
        <v>-17.082000000000001</v>
      </c>
      <c r="BX538">
        <v>18.696999999999999</v>
      </c>
      <c r="BY538">
        <v>779532.7</v>
      </c>
      <c r="BZ538">
        <v>274959.7</v>
      </c>
      <c r="CA538">
        <v>504573</v>
      </c>
      <c r="CB538">
        <v>5.2998000000000003</v>
      </c>
      <c r="CC538">
        <v>1.9094</v>
      </c>
      <c r="CD538">
        <v>9.7467000000000006</v>
      </c>
      <c r="CE538">
        <v>3.5114999999999998</v>
      </c>
      <c r="CF538">
        <v>2.9912000000000001</v>
      </c>
      <c r="CG538">
        <v>23.764800000000001</v>
      </c>
      <c r="CH538">
        <v>64.989000000000004</v>
      </c>
      <c r="CI538">
        <v>32.429000000000002</v>
      </c>
      <c r="CJ538">
        <v>26.842199999999998</v>
      </c>
      <c r="CK538">
        <v>100.40389999999999</v>
      </c>
      <c r="CL538">
        <v>50.1008</v>
      </c>
      <c r="CM538">
        <v>41.469499999999996</v>
      </c>
      <c r="CN538">
        <v>36.173200000000001</v>
      </c>
      <c r="CO538">
        <v>26.5641</v>
      </c>
      <c r="CP538">
        <v>147088.4</v>
      </c>
      <c r="CQ538">
        <v>92309.7</v>
      </c>
      <c r="CR538">
        <v>79979</v>
      </c>
      <c r="CS538">
        <v>0.94479999999999997</v>
      </c>
      <c r="CT538">
        <v>1.2631000000000001</v>
      </c>
      <c r="CU538">
        <v>0.99309999999999998</v>
      </c>
      <c r="CV538">
        <v>0.75560000000000005</v>
      </c>
      <c r="CW538">
        <v>20.773</v>
      </c>
      <c r="CX538">
        <v>17.619</v>
      </c>
      <c r="CY538">
        <v>2.6837</v>
      </c>
      <c r="CZ538">
        <v>136.37719999999999</v>
      </c>
      <c r="DA538">
        <v>3.7744999999999997</v>
      </c>
      <c r="DB538">
        <v>96.965500000000006</v>
      </c>
      <c r="DC538">
        <v>57.030700000000003</v>
      </c>
      <c r="DD538">
        <v>153.99619999999999</v>
      </c>
      <c r="DE538">
        <v>80791.3</v>
      </c>
      <c r="DF538">
        <v>16545.3</v>
      </c>
      <c r="DG538">
        <v>21760.9</v>
      </c>
      <c r="DH538">
        <v>25482.3</v>
      </c>
      <c r="DI538">
        <v>17002.8</v>
      </c>
    </row>
    <row r="539" spans="4:113" x14ac:dyDescent="0.3">
      <c r="E539" t="s">
        <v>78</v>
      </c>
      <c r="F539" t="s">
        <v>135</v>
      </c>
      <c r="G539" t="s">
        <v>135</v>
      </c>
      <c r="H539" t="s">
        <v>135</v>
      </c>
      <c r="I539" t="s">
        <v>135</v>
      </c>
      <c r="J539">
        <v>23.548999999999999</v>
      </c>
      <c r="K539">
        <v>13.4175</v>
      </c>
      <c r="L539">
        <v>-1287.8016</v>
      </c>
      <c r="M539">
        <v>12.1799</v>
      </c>
      <c r="N539">
        <v>10.099500000000001</v>
      </c>
      <c r="O539">
        <v>5.1082000000000001</v>
      </c>
      <c r="P539">
        <v>5.1082000000000001</v>
      </c>
      <c r="Q539">
        <v>17.0716</v>
      </c>
      <c r="R539" t="s">
        <v>135</v>
      </c>
      <c r="S539" t="s">
        <v>135</v>
      </c>
      <c r="T539">
        <v>-0.60750000000000004</v>
      </c>
      <c r="U539">
        <v>-29.636099999999999</v>
      </c>
      <c r="V539">
        <v>-36.9754</v>
      </c>
      <c r="W539">
        <v>130.57300000000001</v>
      </c>
      <c r="X539">
        <v>129.9213</v>
      </c>
      <c r="Y539" t="s">
        <v>135</v>
      </c>
      <c r="Z539" t="s">
        <v>135</v>
      </c>
      <c r="AA539" t="s">
        <v>135</v>
      </c>
      <c r="AB539" t="s">
        <v>135</v>
      </c>
      <c r="AC539" t="s">
        <v>135</v>
      </c>
      <c r="AD539" t="s">
        <v>135</v>
      </c>
      <c r="AE539" t="s">
        <v>135</v>
      </c>
      <c r="AF539" t="s">
        <v>135</v>
      </c>
      <c r="AG539" t="s">
        <v>135</v>
      </c>
      <c r="AH539" t="s">
        <v>135</v>
      </c>
      <c r="AI539" t="s">
        <v>135</v>
      </c>
      <c r="AJ539" t="s">
        <v>135</v>
      </c>
      <c r="AK539" t="s">
        <v>135</v>
      </c>
      <c r="AL539" t="s">
        <v>135</v>
      </c>
      <c r="AM539">
        <v>47.916699999999999</v>
      </c>
      <c r="AN539">
        <v>20.8186</v>
      </c>
      <c r="AO539">
        <v>8.2311999999999994</v>
      </c>
      <c r="AP539">
        <v>-7.83</v>
      </c>
      <c r="AQ539">
        <v>-28.075099999999999</v>
      </c>
      <c r="AR539" t="s">
        <v>135</v>
      </c>
      <c r="AS539" t="s">
        <v>135</v>
      </c>
      <c r="AT539" t="s">
        <v>135</v>
      </c>
      <c r="AU539" t="s">
        <v>135</v>
      </c>
      <c r="AV539" t="s">
        <v>135</v>
      </c>
      <c r="AW539" t="s">
        <v>135</v>
      </c>
      <c r="AX539" t="s">
        <v>135</v>
      </c>
      <c r="AY539" t="s">
        <v>135</v>
      </c>
      <c r="AZ539" t="s">
        <v>135</v>
      </c>
      <c r="BA539" t="s">
        <v>135</v>
      </c>
      <c r="BB539" t="s">
        <v>135</v>
      </c>
      <c r="BC539" t="s">
        <v>135</v>
      </c>
      <c r="BD539" t="s">
        <v>135</v>
      </c>
      <c r="BE539" t="s">
        <v>135</v>
      </c>
      <c r="BF539">
        <v>-4.4009</v>
      </c>
      <c r="BG539">
        <v>-0.54810000000000003</v>
      </c>
      <c r="BH539">
        <v>-30.025099999999998</v>
      </c>
      <c r="BI539" t="s">
        <v>135</v>
      </c>
      <c r="BJ539" t="s">
        <v>135</v>
      </c>
      <c r="BK539" t="s">
        <v>135</v>
      </c>
      <c r="BL539" t="s">
        <v>135</v>
      </c>
      <c r="BM539" t="s">
        <v>135</v>
      </c>
      <c r="BN539" t="s">
        <v>135</v>
      </c>
      <c r="BO539" t="s">
        <v>135</v>
      </c>
      <c r="BP539" t="s">
        <v>135</v>
      </c>
      <c r="BQ539" t="s">
        <v>135</v>
      </c>
      <c r="BR539" t="s">
        <v>135</v>
      </c>
      <c r="BS539" t="s">
        <v>135</v>
      </c>
      <c r="BT539" t="s">
        <v>135</v>
      </c>
      <c r="BU539" t="s">
        <v>135</v>
      </c>
      <c r="BV539" t="s">
        <v>135</v>
      </c>
      <c r="BW539" t="s">
        <v>135</v>
      </c>
      <c r="BX539" t="s">
        <v>135</v>
      </c>
      <c r="BY539" t="s">
        <v>135</v>
      </c>
      <c r="BZ539" t="s">
        <v>135</v>
      </c>
      <c r="CA539" t="s">
        <v>135</v>
      </c>
      <c r="CB539" t="s">
        <v>135</v>
      </c>
      <c r="CC539" t="s">
        <v>135</v>
      </c>
      <c r="CD539" t="s">
        <v>135</v>
      </c>
      <c r="CE539" t="s">
        <v>135</v>
      </c>
      <c r="CF539">
        <v>2.9401000000000002</v>
      </c>
      <c r="CG539" t="s">
        <v>135</v>
      </c>
      <c r="CH539" t="s">
        <v>135</v>
      </c>
      <c r="CI539" t="s">
        <v>135</v>
      </c>
      <c r="CJ539" t="s">
        <v>135</v>
      </c>
      <c r="CK539" t="s">
        <v>135</v>
      </c>
      <c r="CL539" t="s">
        <v>135</v>
      </c>
      <c r="CM539" t="s">
        <v>135</v>
      </c>
      <c r="CN539" t="s">
        <v>135</v>
      </c>
      <c r="CO539" t="s">
        <v>135</v>
      </c>
      <c r="CP539">
        <v>39920</v>
      </c>
      <c r="CQ539" t="s">
        <v>135</v>
      </c>
      <c r="CR539">
        <v>22745.200000000001</v>
      </c>
      <c r="CS539" t="s">
        <v>135</v>
      </c>
      <c r="CT539" t="s">
        <v>135</v>
      </c>
      <c r="CU539" t="s">
        <v>135</v>
      </c>
      <c r="CV539" t="s">
        <v>135</v>
      </c>
      <c r="CW539" t="s">
        <v>135</v>
      </c>
      <c r="CX539" t="s">
        <v>135</v>
      </c>
      <c r="CY539" t="s">
        <v>135</v>
      </c>
      <c r="CZ539" t="s">
        <v>135</v>
      </c>
      <c r="DA539" t="s">
        <v>135</v>
      </c>
      <c r="DB539" t="s">
        <v>135</v>
      </c>
      <c r="DC539" t="s">
        <v>135</v>
      </c>
      <c r="DD539" t="s">
        <v>135</v>
      </c>
      <c r="DE539" t="s">
        <v>135</v>
      </c>
      <c r="DF539" t="s">
        <v>135</v>
      </c>
      <c r="DG539" t="s">
        <v>135</v>
      </c>
      <c r="DH539" t="s">
        <v>135</v>
      </c>
      <c r="DI539" t="s">
        <v>135</v>
      </c>
    </row>
    <row r="540" spans="4:113" x14ac:dyDescent="0.3">
      <c r="E540" t="s">
        <v>79</v>
      </c>
      <c r="F540">
        <v>-25.131900000000002</v>
      </c>
      <c r="G540">
        <v>-7.7059999999999995</v>
      </c>
      <c r="H540">
        <v>-5.1832000000000003</v>
      </c>
      <c r="I540">
        <v>1.5246</v>
      </c>
      <c r="J540">
        <v>24.464600000000001</v>
      </c>
      <c r="K540">
        <v>14.309799999999999</v>
      </c>
      <c r="L540">
        <v>-64.023700000000005</v>
      </c>
      <c r="M540">
        <v>13.0685</v>
      </c>
      <c r="N540">
        <v>11.821099999999999</v>
      </c>
      <c r="O540">
        <v>5.9573</v>
      </c>
      <c r="P540">
        <v>5.9573</v>
      </c>
      <c r="Q540">
        <v>9.5479000000000003</v>
      </c>
      <c r="R540" t="s">
        <v>135</v>
      </c>
      <c r="S540" t="s">
        <v>135</v>
      </c>
      <c r="T540">
        <v>-15.9343</v>
      </c>
      <c r="U540">
        <v>-36.781199999999998</v>
      </c>
      <c r="V540">
        <v>-45.8889</v>
      </c>
      <c r="W540">
        <v>-39.851999999999997</v>
      </c>
      <c r="X540">
        <v>-39.926699999999997</v>
      </c>
      <c r="Y540" t="s">
        <v>135</v>
      </c>
      <c r="Z540">
        <v>-53.284500000000001</v>
      </c>
      <c r="AA540">
        <v>-8.9260000000000002</v>
      </c>
      <c r="AB540" t="s">
        <v>135</v>
      </c>
      <c r="AC540">
        <v>-7.3326000000000002</v>
      </c>
      <c r="AD540">
        <v>-44.005200000000002</v>
      </c>
      <c r="AE540">
        <v>-11.0442</v>
      </c>
      <c r="AF540">
        <v>11.3581</v>
      </c>
      <c r="AG540">
        <v>17.0412</v>
      </c>
      <c r="AH540">
        <v>3.9889000000000001</v>
      </c>
      <c r="AI540">
        <v>-17.016200000000001</v>
      </c>
      <c r="AJ540">
        <v>-8.7057000000000002</v>
      </c>
      <c r="AK540">
        <v>-28.590699999999998</v>
      </c>
      <c r="AL540" t="s">
        <v>135</v>
      </c>
      <c r="AM540">
        <v>78.317999999999998</v>
      </c>
      <c r="AN540">
        <v>67.499099999999999</v>
      </c>
      <c r="AO540">
        <v>52.467700000000001</v>
      </c>
      <c r="AP540">
        <v>20.4011</v>
      </c>
      <c r="AQ540">
        <v>-4.9149000000000003</v>
      </c>
      <c r="AR540" t="s">
        <v>135</v>
      </c>
      <c r="AS540">
        <v>54.2669</v>
      </c>
      <c r="AT540">
        <v>63.154899999999998</v>
      </c>
      <c r="AU540" t="s">
        <v>135</v>
      </c>
      <c r="AV540">
        <v>73.864199999999997</v>
      </c>
      <c r="AW540">
        <v>38.710599999999999</v>
      </c>
      <c r="AX540">
        <v>14.257400000000001</v>
      </c>
      <c r="AY540" t="s">
        <v>135</v>
      </c>
      <c r="AZ540" t="s">
        <v>135</v>
      </c>
      <c r="BA540">
        <v>135.0949</v>
      </c>
      <c r="BB540">
        <v>52.892000000000003</v>
      </c>
      <c r="BC540">
        <v>69.238200000000006</v>
      </c>
      <c r="BD540">
        <v>7.3853</v>
      </c>
      <c r="BE540" t="s">
        <v>135</v>
      </c>
      <c r="BF540">
        <v>-3.5087000000000002</v>
      </c>
      <c r="BG540">
        <v>-2.8002000000000002</v>
      </c>
      <c r="BH540">
        <v>-10.469799999999999</v>
      </c>
      <c r="BI540">
        <v>15.556699999999999</v>
      </c>
      <c r="BJ540">
        <v>15.493</v>
      </c>
      <c r="BK540" t="s">
        <v>135</v>
      </c>
      <c r="BL540" t="s">
        <v>135</v>
      </c>
      <c r="BM540" t="s">
        <v>135</v>
      </c>
      <c r="BN540" t="s">
        <v>135</v>
      </c>
      <c r="BO540" t="s">
        <v>135</v>
      </c>
      <c r="BP540" t="s">
        <v>135</v>
      </c>
      <c r="BQ540" t="s">
        <v>135</v>
      </c>
      <c r="BR540" t="s">
        <v>135</v>
      </c>
      <c r="BS540" t="s">
        <v>135</v>
      </c>
      <c r="BT540" t="s">
        <v>135</v>
      </c>
      <c r="BU540" t="s">
        <v>135</v>
      </c>
      <c r="BV540" t="s">
        <v>135</v>
      </c>
      <c r="BW540" t="s">
        <v>135</v>
      </c>
      <c r="BX540" t="s">
        <v>135</v>
      </c>
      <c r="BY540">
        <v>730058.1</v>
      </c>
      <c r="BZ540">
        <v>226735.1</v>
      </c>
      <c r="CA540">
        <v>503323</v>
      </c>
      <c r="CB540">
        <v>3.9948000000000001</v>
      </c>
      <c r="CC540">
        <v>1.2770999999999999</v>
      </c>
      <c r="CD540">
        <v>6.0728</v>
      </c>
      <c r="CE540">
        <v>1.9414</v>
      </c>
      <c r="CF540">
        <v>2.8205</v>
      </c>
      <c r="CG540">
        <v>26.558499999999999</v>
      </c>
      <c r="CH540">
        <v>56.557299999999998</v>
      </c>
      <c r="CI540">
        <v>31.069500000000001</v>
      </c>
      <c r="CJ540">
        <v>25.480899999999998</v>
      </c>
      <c r="CK540">
        <v>82.034999999999997</v>
      </c>
      <c r="CL540">
        <v>45.0655</v>
      </c>
      <c r="CM540">
        <v>36.959400000000002</v>
      </c>
      <c r="CN540">
        <v>26.226299999999998</v>
      </c>
      <c r="CO540">
        <v>20.777200000000001</v>
      </c>
      <c r="CP540">
        <v>39997.699999999997</v>
      </c>
      <c r="CQ540" t="s">
        <v>135</v>
      </c>
      <c r="CR540">
        <v>23395.4</v>
      </c>
      <c r="CS540">
        <v>0.98609999999999998</v>
      </c>
      <c r="CT540">
        <v>1.3604000000000001</v>
      </c>
      <c r="CU540">
        <v>1.0343</v>
      </c>
      <c r="CV540">
        <v>1.2937000000000001</v>
      </c>
      <c r="CW540">
        <v>18.415600000000001</v>
      </c>
      <c r="CX540">
        <v>19.8201</v>
      </c>
      <c r="CY540">
        <v>2.4788000000000001</v>
      </c>
      <c r="CZ540">
        <v>147.25</v>
      </c>
      <c r="DA540">
        <v>3.9531000000000001</v>
      </c>
      <c r="DB540">
        <v>92.332999999999998</v>
      </c>
      <c r="DC540">
        <v>74.737099999999998</v>
      </c>
      <c r="DD540">
        <v>167.0701</v>
      </c>
      <c r="DE540">
        <v>89963</v>
      </c>
      <c r="DF540" t="s">
        <v>135</v>
      </c>
      <c r="DG540" t="s">
        <v>135</v>
      </c>
      <c r="DH540" t="s">
        <v>135</v>
      </c>
      <c r="DI540" t="s">
        <v>135</v>
      </c>
    </row>
    <row r="541" spans="4:113" x14ac:dyDescent="0.3">
      <c r="E541" t="s">
        <v>80</v>
      </c>
      <c r="F541" t="s">
        <v>135</v>
      </c>
      <c r="G541" t="s">
        <v>135</v>
      </c>
      <c r="H541" t="s">
        <v>135</v>
      </c>
      <c r="I541" t="s">
        <v>135</v>
      </c>
      <c r="J541">
        <v>20.9833</v>
      </c>
      <c r="K541">
        <v>9.0221999999999998</v>
      </c>
      <c r="L541">
        <v>-57.386699999999998</v>
      </c>
      <c r="M541">
        <v>4.4602000000000004</v>
      </c>
      <c r="N541">
        <v>3.3759000000000001</v>
      </c>
      <c r="O541">
        <v>0.121</v>
      </c>
      <c r="P541">
        <v>0.121</v>
      </c>
      <c r="Q541">
        <v>24.324400000000001</v>
      </c>
      <c r="R541" t="s">
        <v>135</v>
      </c>
      <c r="S541" t="s">
        <v>135</v>
      </c>
      <c r="T541">
        <v>-22.622299999999999</v>
      </c>
      <c r="U541">
        <v>-49.472099999999998</v>
      </c>
      <c r="V541">
        <v>-65.030100000000004</v>
      </c>
      <c r="W541">
        <v>-98.871799999999993</v>
      </c>
      <c r="X541">
        <v>-98.878500000000003</v>
      </c>
      <c r="Y541" t="s">
        <v>135</v>
      </c>
      <c r="Z541" t="s">
        <v>135</v>
      </c>
      <c r="AA541" t="s">
        <v>135</v>
      </c>
      <c r="AB541" t="s">
        <v>135</v>
      </c>
      <c r="AC541" t="s">
        <v>135</v>
      </c>
      <c r="AD541" t="s">
        <v>135</v>
      </c>
      <c r="AE541" t="s">
        <v>135</v>
      </c>
      <c r="AF541" t="s">
        <v>135</v>
      </c>
      <c r="AG541" t="s">
        <v>135</v>
      </c>
      <c r="AH541" t="s">
        <v>135</v>
      </c>
      <c r="AI541" t="s">
        <v>135</v>
      </c>
      <c r="AJ541" t="s">
        <v>135</v>
      </c>
      <c r="AK541" t="s">
        <v>135</v>
      </c>
      <c r="AL541" t="s">
        <v>135</v>
      </c>
      <c r="AM541">
        <v>45.9191</v>
      </c>
      <c r="AN541">
        <v>20.340800000000002</v>
      </c>
      <c r="AO541">
        <v>1.9948999999999999</v>
      </c>
      <c r="AP541">
        <v>-55.830199999999998</v>
      </c>
      <c r="AQ541">
        <v>-65.445800000000006</v>
      </c>
      <c r="AR541" t="s">
        <v>135</v>
      </c>
      <c r="AS541" t="s">
        <v>135</v>
      </c>
      <c r="AT541" t="s">
        <v>135</v>
      </c>
      <c r="AU541" t="s">
        <v>135</v>
      </c>
      <c r="AV541" t="s">
        <v>135</v>
      </c>
      <c r="AW541" t="s">
        <v>135</v>
      </c>
      <c r="AX541" t="s">
        <v>135</v>
      </c>
      <c r="AY541" t="s">
        <v>135</v>
      </c>
      <c r="AZ541" t="s">
        <v>135</v>
      </c>
      <c r="BA541" t="s">
        <v>135</v>
      </c>
      <c r="BB541" t="s">
        <v>135</v>
      </c>
      <c r="BC541" t="s">
        <v>135</v>
      </c>
      <c r="BD541" t="s">
        <v>135</v>
      </c>
      <c r="BE541" t="s">
        <v>135</v>
      </c>
      <c r="BF541">
        <v>-14.530799999999999</v>
      </c>
      <c r="BG541">
        <v>-27.802900000000001</v>
      </c>
      <c r="BH541">
        <v>-51.872799999999998</v>
      </c>
      <c r="BI541">
        <v>-98.3245</v>
      </c>
      <c r="BJ541">
        <v>-98.337999999999994</v>
      </c>
      <c r="BK541" t="s">
        <v>135</v>
      </c>
      <c r="BL541" t="s">
        <v>135</v>
      </c>
      <c r="BM541" t="s">
        <v>135</v>
      </c>
      <c r="BN541" t="s">
        <v>135</v>
      </c>
      <c r="BO541" t="s">
        <v>135</v>
      </c>
      <c r="BP541" t="s">
        <v>135</v>
      </c>
      <c r="BQ541" t="s">
        <v>135</v>
      </c>
      <c r="BR541" t="s">
        <v>135</v>
      </c>
      <c r="BS541" t="s">
        <v>135</v>
      </c>
      <c r="BT541" t="s">
        <v>135</v>
      </c>
      <c r="BU541" t="s">
        <v>135</v>
      </c>
      <c r="BV541" t="s">
        <v>135</v>
      </c>
      <c r="BW541" t="s">
        <v>135</v>
      </c>
      <c r="BX541" t="s">
        <v>135</v>
      </c>
      <c r="BY541" t="s">
        <v>135</v>
      </c>
      <c r="BZ541" t="s">
        <v>135</v>
      </c>
      <c r="CA541" t="s">
        <v>135</v>
      </c>
      <c r="CB541" t="s">
        <v>135</v>
      </c>
      <c r="CC541" t="s">
        <v>135</v>
      </c>
      <c r="CD541" t="s">
        <v>135</v>
      </c>
      <c r="CE541" t="s">
        <v>135</v>
      </c>
      <c r="CF541">
        <v>2.2332999999999998</v>
      </c>
      <c r="CG541" t="s">
        <v>135</v>
      </c>
      <c r="CH541" t="s">
        <v>135</v>
      </c>
      <c r="CI541" t="s">
        <v>135</v>
      </c>
      <c r="CJ541" t="s">
        <v>135</v>
      </c>
      <c r="CK541" t="s">
        <v>135</v>
      </c>
      <c r="CL541" t="s">
        <v>135</v>
      </c>
      <c r="CM541" t="s">
        <v>135</v>
      </c>
      <c r="CN541" t="s">
        <v>135</v>
      </c>
      <c r="CO541" t="s">
        <v>135</v>
      </c>
      <c r="CP541">
        <v>31057.3</v>
      </c>
      <c r="CQ541" t="s">
        <v>135</v>
      </c>
      <c r="CR541">
        <v>13353.7</v>
      </c>
      <c r="CS541" t="s">
        <v>135</v>
      </c>
      <c r="CT541" t="s">
        <v>135</v>
      </c>
      <c r="CU541" t="s">
        <v>135</v>
      </c>
      <c r="CV541" t="s">
        <v>135</v>
      </c>
      <c r="CW541" t="s">
        <v>135</v>
      </c>
      <c r="CX541" t="s">
        <v>135</v>
      </c>
      <c r="CY541" t="s">
        <v>135</v>
      </c>
      <c r="CZ541" t="s">
        <v>135</v>
      </c>
      <c r="DA541" t="s">
        <v>135</v>
      </c>
      <c r="DB541" t="s">
        <v>135</v>
      </c>
      <c r="DC541" t="s">
        <v>135</v>
      </c>
      <c r="DD541" t="s">
        <v>135</v>
      </c>
      <c r="DE541" t="s">
        <v>135</v>
      </c>
      <c r="DF541" t="s">
        <v>135</v>
      </c>
      <c r="DG541" t="s">
        <v>135</v>
      </c>
      <c r="DH541" t="s">
        <v>135</v>
      </c>
      <c r="DI541" t="s">
        <v>135</v>
      </c>
    </row>
    <row r="542" spans="4:113" x14ac:dyDescent="0.3">
      <c r="E542" t="s">
        <v>81</v>
      </c>
      <c r="F542">
        <v>-17.982900000000001</v>
      </c>
      <c r="G542">
        <v>-4.6851000000000003</v>
      </c>
      <c r="H542">
        <v>-1.1186</v>
      </c>
      <c r="I542">
        <v>2.0966999999999998</v>
      </c>
      <c r="J542">
        <v>21.934100000000001</v>
      </c>
      <c r="K542">
        <v>12.060700000000001</v>
      </c>
      <c r="L542">
        <v>-70.482699999999994</v>
      </c>
      <c r="M542">
        <v>-66.747100000000003</v>
      </c>
      <c r="N542">
        <v>-64.950599999999994</v>
      </c>
      <c r="O542">
        <v>-70.637200000000007</v>
      </c>
      <c r="P542">
        <v>-70.637200000000007</v>
      </c>
      <c r="Q542" t="s">
        <v>135</v>
      </c>
      <c r="R542" t="s">
        <v>135</v>
      </c>
      <c r="S542" t="s">
        <v>135</v>
      </c>
      <c r="T542">
        <v>-10.7325</v>
      </c>
      <c r="U542">
        <v>-13.5032</v>
      </c>
      <c r="V542">
        <v>-41.266800000000003</v>
      </c>
      <c r="W542">
        <v>41.849400000000003</v>
      </c>
      <c r="X542">
        <v>41.8504</v>
      </c>
      <c r="Y542" t="s">
        <v>135</v>
      </c>
      <c r="Z542">
        <v>-29.265000000000001</v>
      </c>
      <c r="AA542">
        <v>-7.4027000000000003</v>
      </c>
      <c r="AB542">
        <v>3.6432000000000002</v>
      </c>
      <c r="AC542">
        <v>-1.2115</v>
      </c>
      <c r="AD542">
        <v>-39.0002</v>
      </c>
      <c r="AE542">
        <v>-32.933599999999998</v>
      </c>
      <c r="AF542">
        <v>19.8812</v>
      </c>
      <c r="AG542">
        <v>6.8132000000000001</v>
      </c>
      <c r="AH542">
        <v>0.23910000000000001</v>
      </c>
      <c r="AI542">
        <v>-13.1595</v>
      </c>
      <c r="AJ542">
        <v>-6.9265999999999996</v>
      </c>
      <c r="AK542">
        <v>-17.082000000000001</v>
      </c>
      <c r="AL542" t="s">
        <v>135</v>
      </c>
      <c r="AM542">
        <v>34.427500000000002</v>
      </c>
      <c r="AN542">
        <v>10.5047</v>
      </c>
      <c r="AO542">
        <v>-1.605</v>
      </c>
      <c r="AP542" t="s">
        <v>135</v>
      </c>
      <c r="AQ542" t="s">
        <v>135</v>
      </c>
      <c r="AR542" t="s">
        <v>135</v>
      </c>
      <c r="AS542">
        <v>30.144500000000001</v>
      </c>
      <c r="AT542">
        <v>61.410299999999999</v>
      </c>
      <c r="AU542">
        <v>129.8092</v>
      </c>
      <c r="AV542">
        <v>64.516999999999996</v>
      </c>
      <c r="AW542">
        <v>58.058799999999998</v>
      </c>
      <c r="AX542" t="s">
        <v>135</v>
      </c>
      <c r="AY542">
        <v>45.082799999999999</v>
      </c>
      <c r="AZ542">
        <v>328.92149999999998</v>
      </c>
      <c r="BA542">
        <v>139.00919999999999</v>
      </c>
      <c r="BB542">
        <v>43.385100000000001</v>
      </c>
      <c r="BC542">
        <v>62.3155</v>
      </c>
      <c r="BD542">
        <v>0.43940000000000001</v>
      </c>
      <c r="BE542" t="s">
        <v>135</v>
      </c>
      <c r="BF542">
        <v>6.9922000000000004</v>
      </c>
      <c r="BG542">
        <v>7.3238000000000003</v>
      </c>
      <c r="BH542">
        <v>26.005500000000001</v>
      </c>
      <c r="BI542">
        <v>-2836.6145999999999</v>
      </c>
      <c r="BJ542">
        <v>-2832.6087000000002</v>
      </c>
      <c r="BK542" t="s">
        <v>135</v>
      </c>
      <c r="BL542" t="s">
        <v>135</v>
      </c>
      <c r="BM542" t="s">
        <v>135</v>
      </c>
      <c r="BN542" t="s">
        <v>135</v>
      </c>
      <c r="BO542" t="s">
        <v>135</v>
      </c>
      <c r="BP542" t="s">
        <v>135</v>
      </c>
      <c r="BQ542" t="s">
        <v>135</v>
      </c>
      <c r="BR542" t="s">
        <v>135</v>
      </c>
      <c r="BS542" t="s">
        <v>135</v>
      </c>
      <c r="BT542" t="s">
        <v>135</v>
      </c>
      <c r="BU542" t="s">
        <v>135</v>
      </c>
      <c r="BV542" t="s">
        <v>135</v>
      </c>
      <c r="BW542" t="s">
        <v>135</v>
      </c>
      <c r="BX542" t="s">
        <v>135</v>
      </c>
      <c r="BY542">
        <v>779532.7</v>
      </c>
      <c r="BZ542">
        <v>274959.7</v>
      </c>
      <c r="CA542">
        <v>504573</v>
      </c>
      <c r="CB542">
        <v>5.1543999999999999</v>
      </c>
      <c r="CC542">
        <v>1.857</v>
      </c>
      <c r="CD542">
        <v>8.8462999999999994</v>
      </c>
      <c r="CE542">
        <v>3.1871</v>
      </c>
      <c r="CF542">
        <v>2.2574999999999998</v>
      </c>
      <c r="CG542">
        <v>23.764800000000001</v>
      </c>
      <c r="CH542">
        <v>64.989000000000004</v>
      </c>
      <c r="CI542">
        <v>32.429000000000002</v>
      </c>
      <c r="CJ542">
        <v>26.842199999999998</v>
      </c>
      <c r="CK542">
        <v>100.40389999999999</v>
      </c>
      <c r="CL542">
        <v>50.1008</v>
      </c>
      <c r="CM542">
        <v>41.469499999999996</v>
      </c>
      <c r="CN542">
        <v>36.173200000000001</v>
      </c>
      <c r="CO542">
        <v>26.5641</v>
      </c>
      <c r="CP542">
        <v>34719.800000000003</v>
      </c>
      <c r="CQ542" t="s">
        <v>135</v>
      </c>
      <c r="CR542">
        <v>19091.099999999999</v>
      </c>
      <c r="CS542">
        <v>0.94479999999999997</v>
      </c>
      <c r="CT542">
        <v>1.2631000000000001</v>
      </c>
      <c r="CU542">
        <v>0.99309999999999998</v>
      </c>
      <c r="CV542">
        <v>0.75560000000000005</v>
      </c>
      <c r="CW542">
        <v>21.082899999999999</v>
      </c>
      <c r="CX542">
        <v>17.360099999999999</v>
      </c>
      <c r="CY542">
        <v>2.6593999999999998</v>
      </c>
      <c r="CZ542">
        <v>137.62610000000001</v>
      </c>
      <c r="DA542">
        <v>3.7393000000000001</v>
      </c>
      <c r="DB542">
        <v>97.879900000000006</v>
      </c>
      <c r="DC542">
        <v>57.106200000000001</v>
      </c>
      <c r="DD542">
        <v>154.98609999999999</v>
      </c>
      <c r="DE542">
        <v>80791.3</v>
      </c>
      <c r="DF542">
        <v>16545.3</v>
      </c>
      <c r="DG542">
        <v>21760.9</v>
      </c>
      <c r="DH542">
        <v>25482.3</v>
      </c>
      <c r="DI542">
        <v>17002.8</v>
      </c>
    </row>
    <row r="543" spans="4:113" x14ac:dyDescent="0.3">
      <c r="D543" t="s">
        <v>84</v>
      </c>
      <c r="E543" t="s">
        <v>77</v>
      </c>
      <c r="F543">
        <v>10.5457</v>
      </c>
      <c r="G543">
        <v>2.7961999999999998</v>
      </c>
      <c r="H543">
        <v>9.0937000000000001</v>
      </c>
      <c r="I543">
        <v>7.6390000000000002</v>
      </c>
      <c r="J543">
        <v>29.777899999999999</v>
      </c>
      <c r="K543">
        <v>20.970800000000001</v>
      </c>
      <c r="L543">
        <v>108.4697</v>
      </c>
      <c r="M543">
        <v>19.034400000000002</v>
      </c>
      <c r="N543">
        <v>13.762499999999999</v>
      </c>
      <c r="O543">
        <v>7.6856999999999998</v>
      </c>
      <c r="P543">
        <v>7.6856999999999998</v>
      </c>
      <c r="Q543">
        <v>27.6767</v>
      </c>
      <c r="R543">
        <v>128.7843</v>
      </c>
      <c r="S543">
        <v>-3.0354999999999999</v>
      </c>
      <c r="T543">
        <v>12.2037</v>
      </c>
      <c r="U543">
        <v>40.546300000000002</v>
      </c>
      <c r="V543">
        <v>128.60839999999999</v>
      </c>
      <c r="W543" t="s">
        <v>135</v>
      </c>
      <c r="X543" t="s">
        <v>135</v>
      </c>
      <c r="Y543">
        <v>455.71429999999998</v>
      </c>
      <c r="Z543">
        <v>-10.172599999999999</v>
      </c>
      <c r="AA543">
        <v>20.1736</v>
      </c>
      <c r="AB543">
        <v>-0.76300000000000001</v>
      </c>
      <c r="AC543">
        <v>1.9456</v>
      </c>
      <c r="AD543">
        <v>-16.5138</v>
      </c>
      <c r="AE543" t="s">
        <v>135</v>
      </c>
      <c r="AF543">
        <v>14.2104</v>
      </c>
      <c r="AG543">
        <v>124.5395</v>
      </c>
      <c r="AH543">
        <v>5.5936000000000003</v>
      </c>
      <c r="AI543">
        <v>-7.6577999999999999</v>
      </c>
      <c r="AJ543">
        <v>-1.6047</v>
      </c>
      <c r="AK543">
        <v>9.5698000000000008</v>
      </c>
      <c r="AL543">
        <v>-17.032299999999999</v>
      </c>
      <c r="AM543">
        <v>53.985300000000002</v>
      </c>
      <c r="AN543">
        <v>42.1357</v>
      </c>
      <c r="AO543">
        <v>33.287100000000002</v>
      </c>
      <c r="AP543" t="s">
        <v>135</v>
      </c>
      <c r="AQ543" t="s">
        <v>135</v>
      </c>
      <c r="AR543">
        <v>37.205599999999997</v>
      </c>
      <c r="AS543">
        <v>32.455500000000001</v>
      </c>
      <c r="AT543">
        <v>61.543599999999998</v>
      </c>
      <c r="AU543">
        <v>111.1533</v>
      </c>
      <c r="AV543">
        <v>57.707599999999999</v>
      </c>
      <c r="AW543" t="s">
        <v>135</v>
      </c>
      <c r="AX543" t="s">
        <v>135</v>
      </c>
      <c r="AY543">
        <v>83.518500000000003</v>
      </c>
      <c r="AZ543">
        <v>73.536000000000001</v>
      </c>
      <c r="BA543">
        <v>80.442800000000005</v>
      </c>
      <c r="BB543">
        <v>37.5458</v>
      </c>
      <c r="BC543">
        <v>50.578400000000002</v>
      </c>
      <c r="BD543">
        <v>-1.3231999999999999</v>
      </c>
      <c r="BE543">
        <v>43.708199999999998</v>
      </c>
      <c r="BF543">
        <v>12.2037</v>
      </c>
      <c r="BG543">
        <v>40.546300000000002</v>
      </c>
      <c r="BH543">
        <v>128.60839999999999</v>
      </c>
      <c r="BI543" t="s">
        <v>135</v>
      </c>
      <c r="BJ543" t="s">
        <v>135</v>
      </c>
      <c r="BK543">
        <v>455.71429999999998</v>
      </c>
      <c r="BL543">
        <v>-10.172599999999999</v>
      </c>
      <c r="BM543">
        <v>20.1736</v>
      </c>
      <c r="BN543">
        <v>-0.76300000000000001</v>
      </c>
      <c r="BO543">
        <v>1.9456</v>
      </c>
      <c r="BP543" t="s">
        <v>135</v>
      </c>
      <c r="BQ543">
        <v>-131.774</v>
      </c>
      <c r="BR543">
        <v>14.2104</v>
      </c>
      <c r="BS543">
        <v>124.5395</v>
      </c>
      <c r="BT543">
        <v>5.5936000000000003</v>
      </c>
      <c r="BU543">
        <v>-7.6577999999999999</v>
      </c>
      <c r="BV543">
        <v>-1.6047</v>
      </c>
      <c r="BW543">
        <v>9.5698000000000008</v>
      </c>
      <c r="BX543">
        <v>-17.032299999999999</v>
      </c>
      <c r="BY543">
        <v>715690.1</v>
      </c>
      <c r="BZ543">
        <v>413138.7</v>
      </c>
      <c r="CA543">
        <v>302551.40000000002</v>
      </c>
      <c r="CB543">
        <v>3.3511000000000002</v>
      </c>
      <c r="CC543">
        <v>0.54169999999999996</v>
      </c>
      <c r="CD543">
        <v>4.7584</v>
      </c>
      <c r="CE543">
        <v>0.76919999999999999</v>
      </c>
      <c r="CF543">
        <v>4.3954000000000004</v>
      </c>
      <c r="CG543">
        <v>30.397500000000001</v>
      </c>
      <c r="CH543">
        <v>40.650199999999998</v>
      </c>
      <c r="CI543">
        <v>20.723099999999999</v>
      </c>
      <c r="CJ543">
        <v>15.2013</v>
      </c>
      <c r="CK543">
        <v>96.158699999999996</v>
      </c>
      <c r="CL543">
        <v>49.020899999999997</v>
      </c>
      <c r="CM543">
        <v>35.959000000000003</v>
      </c>
      <c r="CN543">
        <v>15.543699999999999</v>
      </c>
      <c r="CO543">
        <v>13.4527</v>
      </c>
      <c r="CP543">
        <v>213569.4</v>
      </c>
      <c r="CQ543">
        <v>158400.70000000001</v>
      </c>
      <c r="CR543">
        <v>150404.20000000001</v>
      </c>
      <c r="CS543">
        <v>0.72570000000000001</v>
      </c>
      <c r="CT543">
        <v>0.92889999999999995</v>
      </c>
      <c r="CU543">
        <v>0.75280000000000002</v>
      </c>
      <c r="CV543">
        <v>1.1122000000000001</v>
      </c>
      <c r="CW543">
        <v>30.301400000000001</v>
      </c>
      <c r="CX543">
        <v>12.0456</v>
      </c>
      <c r="CY543">
        <v>2.6200999999999999</v>
      </c>
      <c r="CZ543">
        <v>139.30869999999999</v>
      </c>
      <c r="DA543">
        <v>1.4283000000000001</v>
      </c>
      <c r="DB543">
        <v>255.5504</v>
      </c>
      <c r="DC543">
        <v>-104.1961</v>
      </c>
      <c r="DD543">
        <v>151.35429999999999</v>
      </c>
      <c r="DE543">
        <v>96278.9</v>
      </c>
      <c r="DF543">
        <v>13568.6</v>
      </c>
      <c r="DG543">
        <v>32728.799999999999</v>
      </c>
      <c r="DH543">
        <v>32762.400000000001</v>
      </c>
      <c r="DI543">
        <v>17219.099999999999</v>
      </c>
    </row>
    <row r="544" spans="4:113" x14ac:dyDescent="0.3">
      <c r="E544" t="s">
        <v>78</v>
      </c>
      <c r="F544" t="s">
        <v>135</v>
      </c>
      <c r="G544" t="s">
        <v>135</v>
      </c>
      <c r="H544" t="s">
        <v>135</v>
      </c>
      <c r="I544" t="s">
        <v>135</v>
      </c>
      <c r="J544">
        <v>24.411200000000001</v>
      </c>
      <c r="K544">
        <v>14.023899999999999</v>
      </c>
      <c r="L544">
        <v>-23.209700000000002</v>
      </c>
      <c r="M544">
        <v>11.4734</v>
      </c>
      <c r="N544">
        <v>8.0526999999999997</v>
      </c>
      <c r="O544">
        <v>4.2816999999999998</v>
      </c>
      <c r="P544">
        <v>4.2816999999999998</v>
      </c>
      <c r="Q544">
        <v>29.8142</v>
      </c>
      <c r="R544" t="s">
        <v>135</v>
      </c>
      <c r="S544" t="s">
        <v>135</v>
      </c>
      <c r="T544">
        <v>-15.225099999999999</v>
      </c>
      <c r="U544">
        <v>-14.789099999999999</v>
      </c>
      <c r="V544">
        <v>-22.912800000000001</v>
      </c>
      <c r="W544">
        <v>-27.030899999999999</v>
      </c>
      <c r="X544">
        <v>-27.1127</v>
      </c>
      <c r="Y544" t="s">
        <v>135</v>
      </c>
      <c r="Z544" t="s">
        <v>135</v>
      </c>
      <c r="AA544" t="s">
        <v>135</v>
      </c>
      <c r="AB544" t="s">
        <v>135</v>
      </c>
      <c r="AC544" t="s">
        <v>135</v>
      </c>
      <c r="AD544" t="s">
        <v>135</v>
      </c>
      <c r="AE544" t="s">
        <v>135</v>
      </c>
      <c r="AF544" t="s">
        <v>135</v>
      </c>
      <c r="AG544" t="s">
        <v>135</v>
      </c>
      <c r="AH544" t="s">
        <v>135</v>
      </c>
      <c r="AI544" t="s">
        <v>135</v>
      </c>
      <c r="AJ544" t="s">
        <v>135</v>
      </c>
      <c r="AK544" t="s">
        <v>135</v>
      </c>
      <c r="AL544" t="s">
        <v>135</v>
      </c>
      <c r="AM544">
        <v>46.970100000000002</v>
      </c>
      <c r="AN544">
        <v>25.035599999999999</v>
      </c>
      <c r="AO544">
        <v>12.4476</v>
      </c>
      <c r="AP544">
        <v>-6.0576999999999996</v>
      </c>
      <c r="AQ544">
        <v>-26.530200000000001</v>
      </c>
      <c r="AR544" t="s">
        <v>135</v>
      </c>
      <c r="AS544" t="s">
        <v>135</v>
      </c>
      <c r="AT544" t="s">
        <v>135</v>
      </c>
      <c r="AU544" t="s">
        <v>135</v>
      </c>
      <c r="AV544" t="s">
        <v>135</v>
      </c>
      <c r="AW544" t="s">
        <v>135</v>
      </c>
      <c r="AX544" t="s">
        <v>135</v>
      </c>
      <c r="AY544" t="s">
        <v>135</v>
      </c>
      <c r="AZ544" t="s">
        <v>135</v>
      </c>
      <c r="BA544" t="s">
        <v>135</v>
      </c>
      <c r="BB544" t="s">
        <v>135</v>
      </c>
      <c r="BC544" t="s">
        <v>135</v>
      </c>
      <c r="BD544" t="s">
        <v>135</v>
      </c>
      <c r="BE544" t="s">
        <v>135</v>
      </c>
      <c r="BF544">
        <v>-9.7241999999999997</v>
      </c>
      <c r="BG544">
        <v>-0.27389999999999998</v>
      </c>
      <c r="BH544">
        <v>40.477400000000003</v>
      </c>
      <c r="BI544" t="s">
        <v>135</v>
      </c>
      <c r="BJ544" t="s">
        <v>135</v>
      </c>
      <c r="BK544" t="s">
        <v>135</v>
      </c>
      <c r="BL544" t="s">
        <v>135</v>
      </c>
      <c r="BM544" t="s">
        <v>135</v>
      </c>
      <c r="BN544" t="s">
        <v>135</v>
      </c>
      <c r="BO544" t="s">
        <v>135</v>
      </c>
      <c r="BP544" t="s">
        <v>135</v>
      </c>
      <c r="BQ544" t="s">
        <v>135</v>
      </c>
      <c r="BR544" t="s">
        <v>135</v>
      </c>
      <c r="BS544" t="s">
        <v>135</v>
      </c>
      <c r="BT544" t="s">
        <v>135</v>
      </c>
      <c r="BU544" t="s">
        <v>135</v>
      </c>
      <c r="BV544" t="s">
        <v>135</v>
      </c>
      <c r="BW544" t="s">
        <v>135</v>
      </c>
      <c r="BX544" t="s">
        <v>135</v>
      </c>
      <c r="BY544" t="s">
        <v>135</v>
      </c>
      <c r="BZ544" t="s">
        <v>135</v>
      </c>
      <c r="CA544" t="s">
        <v>135</v>
      </c>
      <c r="CB544" t="s">
        <v>135</v>
      </c>
      <c r="CC544" t="s">
        <v>135</v>
      </c>
      <c r="CD544" t="s">
        <v>135</v>
      </c>
      <c r="CE544" t="s">
        <v>135</v>
      </c>
      <c r="CF544">
        <v>2.5171000000000001</v>
      </c>
      <c r="CG544" t="s">
        <v>135</v>
      </c>
      <c r="CH544" t="s">
        <v>135</v>
      </c>
      <c r="CI544" t="s">
        <v>135</v>
      </c>
      <c r="CJ544" t="s">
        <v>135</v>
      </c>
      <c r="CK544" t="s">
        <v>135</v>
      </c>
      <c r="CL544" t="s">
        <v>135</v>
      </c>
      <c r="CM544" t="s">
        <v>135</v>
      </c>
      <c r="CN544" t="s">
        <v>135</v>
      </c>
      <c r="CO544" t="s">
        <v>135</v>
      </c>
      <c r="CP544">
        <v>35064.300000000003</v>
      </c>
      <c r="CQ544" t="s">
        <v>135</v>
      </c>
      <c r="CR544">
        <v>20143.900000000001</v>
      </c>
      <c r="CS544" t="s">
        <v>135</v>
      </c>
      <c r="CT544" t="s">
        <v>135</v>
      </c>
      <c r="CU544" t="s">
        <v>135</v>
      </c>
      <c r="CV544" t="s">
        <v>135</v>
      </c>
      <c r="CW544" t="s">
        <v>135</v>
      </c>
      <c r="CX544" t="s">
        <v>135</v>
      </c>
      <c r="CY544" t="s">
        <v>135</v>
      </c>
      <c r="CZ544" t="s">
        <v>135</v>
      </c>
      <c r="DA544" t="s">
        <v>135</v>
      </c>
      <c r="DB544" t="s">
        <v>135</v>
      </c>
      <c r="DC544" t="s">
        <v>135</v>
      </c>
      <c r="DD544" t="s">
        <v>135</v>
      </c>
      <c r="DE544" t="s">
        <v>135</v>
      </c>
      <c r="DF544" t="s">
        <v>135</v>
      </c>
      <c r="DG544" t="s">
        <v>135</v>
      </c>
      <c r="DH544" t="s">
        <v>135</v>
      </c>
      <c r="DI544" t="s">
        <v>135</v>
      </c>
    </row>
    <row r="545" spans="1:113" x14ac:dyDescent="0.3">
      <c r="E545" t="s">
        <v>79</v>
      </c>
      <c r="F545">
        <v>-23.0365</v>
      </c>
      <c r="G545">
        <v>-5.9063999999999997</v>
      </c>
      <c r="H545">
        <v>-8.2787000000000006</v>
      </c>
      <c r="I545">
        <v>4.2620000000000005</v>
      </c>
      <c r="J545">
        <v>29.7668</v>
      </c>
      <c r="K545">
        <v>20.0075</v>
      </c>
      <c r="L545" t="s">
        <v>135</v>
      </c>
      <c r="M545">
        <v>18.769300000000001</v>
      </c>
      <c r="N545">
        <v>14.5427</v>
      </c>
      <c r="O545">
        <v>7.9927999999999999</v>
      </c>
      <c r="P545">
        <v>7.9927999999999999</v>
      </c>
      <c r="Q545">
        <v>22.526</v>
      </c>
      <c r="R545" t="s">
        <v>135</v>
      </c>
      <c r="S545" t="s">
        <v>135</v>
      </c>
      <c r="T545">
        <v>-9.5376999999999992</v>
      </c>
      <c r="U545">
        <v>8.4016999999999999</v>
      </c>
      <c r="V545">
        <v>12.961500000000001</v>
      </c>
      <c r="W545">
        <v>17.136399999999998</v>
      </c>
      <c r="X545">
        <v>16.897500000000001</v>
      </c>
      <c r="Y545" t="s">
        <v>135</v>
      </c>
      <c r="Z545">
        <v>52.733800000000002</v>
      </c>
      <c r="AA545">
        <v>1.8763999999999998</v>
      </c>
      <c r="AB545" t="s">
        <v>135</v>
      </c>
      <c r="AC545">
        <v>-4.1524999999999999</v>
      </c>
      <c r="AD545" t="s">
        <v>135</v>
      </c>
      <c r="AE545">
        <v>-23.990500000000001</v>
      </c>
      <c r="AF545">
        <v>173.56880000000001</v>
      </c>
      <c r="AG545">
        <v>-19.245200000000001</v>
      </c>
      <c r="AH545">
        <v>-18.4697</v>
      </c>
      <c r="AI545">
        <v>-6.5938999999999997</v>
      </c>
      <c r="AJ545">
        <v>-11.9458</v>
      </c>
      <c r="AK545">
        <v>-10.9305</v>
      </c>
      <c r="AL545" t="s">
        <v>135</v>
      </c>
      <c r="AM545">
        <v>82.016599999999997</v>
      </c>
      <c r="AN545">
        <v>78.131799999999998</v>
      </c>
      <c r="AO545">
        <v>67.787700000000001</v>
      </c>
      <c r="AP545">
        <v>296.35820000000001</v>
      </c>
      <c r="AQ545">
        <v>235.0136</v>
      </c>
      <c r="AR545" t="s">
        <v>135</v>
      </c>
      <c r="AS545">
        <v>62.4253</v>
      </c>
      <c r="AT545">
        <v>58.377899999999997</v>
      </c>
      <c r="AU545" t="s">
        <v>135</v>
      </c>
      <c r="AV545">
        <v>58.4101</v>
      </c>
      <c r="AW545" t="s">
        <v>135</v>
      </c>
      <c r="AX545">
        <v>67.960499999999996</v>
      </c>
      <c r="AY545" t="s">
        <v>135</v>
      </c>
      <c r="AZ545" t="s">
        <v>135</v>
      </c>
      <c r="BA545">
        <v>68.581400000000002</v>
      </c>
      <c r="BB545">
        <v>43.560899999999997</v>
      </c>
      <c r="BC545">
        <v>51.280299999999997</v>
      </c>
      <c r="BD545">
        <v>9.4799999999999995E-2</v>
      </c>
      <c r="BE545" t="s">
        <v>135</v>
      </c>
      <c r="BF545">
        <v>8.5028000000000006</v>
      </c>
      <c r="BG545">
        <v>35.478200000000001</v>
      </c>
      <c r="BH545">
        <v>65.661199999999994</v>
      </c>
      <c r="BI545">
        <v>66.064999999999998</v>
      </c>
      <c r="BJ545">
        <v>66.1417</v>
      </c>
      <c r="BK545" t="s">
        <v>135</v>
      </c>
      <c r="BL545" t="s">
        <v>135</v>
      </c>
      <c r="BM545" t="s">
        <v>135</v>
      </c>
      <c r="BN545" t="s">
        <v>135</v>
      </c>
      <c r="BO545" t="s">
        <v>135</v>
      </c>
      <c r="BP545" t="s">
        <v>135</v>
      </c>
      <c r="BQ545" t="s">
        <v>135</v>
      </c>
      <c r="BR545" t="s">
        <v>135</v>
      </c>
      <c r="BS545" t="s">
        <v>135</v>
      </c>
      <c r="BT545" t="s">
        <v>135</v>
      </c>
      <c r="BU545" t="s">
        <v>135</v>
      </c>
      <c r="BV545" t="s">
        <v>135</v>
      </c>
      <c r="BW545" t="s">
        <v>135</v>
      </c>
      <c r="BX545" t="s">
        <v>135</v>
      </c>
      <c r="BY545">
        <v>595218.69999999995</v>
      </c>
      <c r="BZ545">
        <v>183099.4</v>
      </c>
      <c r="CA545">
        <v>412119.3</v>
      </c>
      <c r="CB545">
        <v>4.0065</v>
      </c>
      <c r="CC545">
        <v>0.42309999999999998</v>
      </c>
      <c r="CD545">
        <v>7.4631999999999996</v>
      </c>
      <c r="CE545">
        <v>0.78820000000000001</v>
      </c>
      <c r="CF545">
        <v>3.2153999999999998</v>
      </c>
      <c r="CG545">
        <v>24.680399999999999</v>
      </c>
      <c r="CH545">
        <v>49.578000000000003</v>
      </c>
      <c r="CI545">
        <v>28.890799999999999</v>
      </c>
      <c r="CJ545">
        <v>21.767600000000002</v>
      </c>
      <c r="CK545">
        <v>71.604900000000001</v>
      </c>
      <c r="CL545">
        <v>41.726599999999998</v>
      </c>
      <c r="CM545">
        <v>31.438600000000001</v>
      </c>
      <c r="CN545">
        <v>7.5625</v>
      </c>
      <c r="CO545">
        <v>7.0308000000000002</v>
      </c>
      <c r="CP545">
        <v>46631.6</v>
      </c>
      <c r="CQ545" t="s">
        <v>135</v>
      </c>
      <c r="CR545">
        <v>31343.1</v>
      </c>
      <c r="CS545">
        <v>0.91679999999999995</v>
      </c>
      <c r="CT545">
        <v>1.2376</v>
      </c>
      <c r="CU545">
        <v>0.98070000000000002</v>
      </c>
      <c r="CV545">
        <v>1.2155</v>
      </c>
      <c r="CW545">
        <v>19.836400000000001</v>
      </c>
      <c r="CX545">
        <v>18.451000000000001</v>
      </c>
      <c r="CY545">
        <v>2.3548999999999998</v>
      </c>
      <c r="CZ545">
        <v>155.42089999999999</v>
      </c>
      <c r="DA545">
        <v>1.923</v>
      </c>
      <c r="DB545">
        <v>190.32910000000001</v>
      </c>
      <c r="DC545">
        <v>-16.4572</v>
      </c>
      <c r="DD545">
        <v>173.87190000000001</v>
      </c>
      <c r="DE545">
        <v>91651.1</v>
      </c>
      <c r="DF545" t="s">
        <v>135</v>
      </c>
      <c r="DG545" t="s">
        <v>135</v>
      </c>
      <c r="DH545" t="s">
        <v>135</v>
      </c>
      <c r="DI545" t="s">
        <v>135</v>
      </c>
    </row>
    <row r="546" spans="1:113" x14ac:dyDescent="0.3">
      <c r="E546" t="s">
        <v>80</v>
      </c>
      <c r="F546" t="s">
        <v>135</v>
      </c>
      <c r="G546" t="s">
        <v>135</v>
      </c>
      <c r="H546" t="s">
        <v>135</v>
      </c>
      <c r="I546" t="s">
        <v>135</v>
      </c>
      <c r="J546">
        <v>31.037400000000002</v>
      </c>
      <c r="K546">
        <v>23.168600000000001</v>
      </c>
      <c r="L546">
        <v>65.432900000000004</v>
      </c>
      <c r="M546">
        <v>20.103300000000001</v>
      </c>
      <c r="N546">
        <v>15.450900000000001</v>
      </c>
      <c r="O546">
        <v>9.6598000000000006</v>
      </c>
      <c r="P546">
        <v>9.6598000000000006</v>
      </c>
      <c r="Q546">
        <v>23.0901</v>
      </c>
      <c r="R546" t="s">
        <v>135</v>
      </c>
      <c r="S546" t="s">
        <v>135</v>
      </c>
      <c r="T546">
        <v>30.587900000000001</v>
      </c>
      <c r="U546">
        <v>85.358199999999997</v>
      </c>
      <c r="V546">
        <v>195.43790000000001</v>
      </c>
      <c r="W546">
        <v>356.7722</v>
      </c>
      <c r="X546">
        <v>355.7971</v>
      </c>
      <c r="Y546" t="s">
        <v>135</v>
      </c>
      <c r="Z546" t="s">
        <v>135</v>
      </c>
      <c r="AA546" t="s">
        <v>135</v>
      </c>
      <c r="AB546" t="s">
        <v>135</v>
      </c>
      <c r="AC546" t="s">
        <v>135</v>
      </c>
      <c r="AD546" t="s">
        <v>135</v>
      </c>
      <c r="AE546" t="s">
        <v>135</v>
      </c>
      <c r="AF546" t="s">
        <v>135</v>
      </c>
      <c r="AG546" t="s">
        <v>135</v>
      </c>
      <c r="AH546" t="s">
        <v>135</v>
      </c>
      <c r="AI546" t="s">
        <v>135</v>
      </c>
      <c r="AJ546" t="s">
        <v>135</v>
      </c>
      <c r="AK546" t="s">
        <v>135</v>
      </c>
      <c r="AL546" t="s">
        <v>135</v>
      </c>
      <c r="AM546">
        <v>49.301400000000001</v>
      </c>
      <c r="AN546">
        <v>40.759399999999999</v>
      </c>
      <c r="AO546">
        <v>33.418100000000003</v>
      </c>
      <c r="AP546">
        <v>21.9648</v>
      </c>
      <c r="AQ546">
        <v>-4.6002000000000001</v>
      </c>
      <c r="AR546" t="s">
        <v>135</v>
      </c>
      <c r="AS546" t="s">
        <v>135</v>
      </c>
      <c r="AT546" t="s">
        <v>135</v>
      </c>
      <c r="AU546" t="s">
        <v>135</v>
      </c>
      <c r="AV546" t="s">
        <v>135</v>
      </c>
      <c r="AW546" t="s">
        <v>135</v>
      </c>
      <c r="AX546" t="s">
        <v>135</v>
      </c>
      <c r="AY546" t="s">
        <v>135</v>
      </c>
      <c r="AZ546" t="s">
        <v>135</v>
      </c>
      <c r="BA546" t="s">
        <v>135</v>
      </c>
      <c r="BB546" t="s">
        <v>135</v>
      </c>
      <c r="BC546" t="s">
        <v>135</v>
      </c>
      <c r="BD546" t="s">
        <v>135</v>
      </c>
      <c r="BE546" t="s">
        <v>135</v>
      </c>
      <c r="BF546">
        <v>21.808399999999999</v>
      </c>
      <c r="BG546">
        <v>28.320799999999998</v>
      </c>
      <c r="BH546">
        <v>43.651499999999999</v>
      </c>
      <c r="BI546">
        <v>31.059000000000001</v>
      </c>
      <c r="BJ546">
        <v>31.041699999999999</v>
      </c>
      <c r="BK546" t="s">
        <v>135</v>
      </c>
      <c r="BL546" t="s">
        <v>135</v>
      </c>
      <c r="BM546" t="s">
        <v>135</v>
      </c>
      <c r="BN546" t="s">
        <v>135</v>
      </c>
      <c r="BO546" t="s">
        <v>135</v>
      </c>
      <c r="BP546" t="s">
        <v>135</v>
      </c>
      <c r="BQ546" t="s">
        <v>135</v>
      </c>
      <c r="BR546" t="s">
        <v>135</v>
      </c>
      <c r="BS546" t="s">
        <v>135</v>
      </c>
      <c r="BT546" t="s">
        <v>135</v>
      </c>
      <c r="BU546" t="s">
        <v>135</v>
      </c>
      <c r="BV546" t="s">
        <v>135</v>
      </c>
      <c r="BW546" t="s">
        <v>135</v>
      </c>
      <c r="BX546" t="s">
        <v>135</v>
      </c>
      <c r="BY546" t="s">
        <v>135</v>
      </c>
      <c r="BZ546" t="s">
        <v>135</v>
      </c>
      <c r="CA546" t="s">
        <v>135</v>
      </c>
      <c r="CB546" t="s">
        <v>135</v>
      </c>
      <c r="CC546" t="s">
        <v>135</v>
      </c>
      <c r="CD546" t="s">
        <v>135</v>
      </c>
      <c r="CE546" t="s">
        <v>135</v>
      </c>
      <c r="CF546">
        <v>3.9758</v>
      </c>
      <c r="CG546" t="s">
        <v>135</v>
      </c>
      <c r="CH546" t="s">
        <v>135</v>
      </c>
      <c r="CI546" t="s">
        <v>135</v>
      </c>
      <c r="CJ546" t="s">
        <v>135</v>
      </c>
      <c r="CK546" t="s">
        <v>135</v>
      </c>
      <c r="CL546" t="s">
        <v>135</v>
      </c>
      <c r="CM546" t="s">
        <v>135</v>
      </c>
      <c r="CN546" t="s">
        <v>135</v>
      </c>
      <c r="CO546" t="s">
        <v>135</v>
      </c>
      <c r="CP546">
        <v>59964.3</v>
      </c>
      <c r="CQ546" t="s">
        <v>135</v>
      </c>
      <c r="CR546">
        <v>44761.8</v>
      </c>
      <c r="CS546" t="s">
        <v>135</v>
      </c>
      <c r="CT546" t="s">
        <v>135</v>
      </c>
      <c r="CU546" t="s">
        <v>135</v>
      </c>
      <c r="CV546" t="s">
        <v>135</v>
      </c>
      <c r="CW546" t="s">
        <v>135</v>
      </c>
      <c r="CX546" t="s">
        <v>135</v>
      </c>
      <c r="CY546" t="s">
        <v>135</v>
      </c>
      <c r="CZ546" t="s">
        <v>135</v>
      </c>
      <c r="DA546" t="s">
        <v>135</v>
      </c>
      <c r="DB546" t="s">
        <v>135</v>
      </c>
      <c r="DC546" t="s">
        <v>135</v>
      </c>
      <c r="DD546" t="s">
        <v>135</v>
      </c>
      <c r="DE546" t="s">
        <v>135</v>
      </c>
      <c r="DF546" t="s">
        <v>135</v>
      </c>
      <c r="DG546" t="s">
        <v>135</v>
      </c>
      <c r="DH546" t="s">
        <v>135</v>
      </c>
      <c r="DI546" t="s">
        <v>135</v>
      </c>
    </row>
    <row r="547" spans="1:113" x14ac:dyDescent="0.3">
      <c r="E547" t="s">
        <v>81</v>
      </c>
      <c r="F547">
        <v>10.946099999999999</v>
      </c>
      <c r="G547">
        <v>2.9024000000000001</v>
      </c>
      <c r="H547">
        <v>9.7858000000000001</v>
      </c>
      <c r="I547">
        <v>7.7622999999999998</v>
      </c>
      <c r="J547">
        <v>32.650700000000001</v>
      </c>
      <c r="K547">
        <v>25.526800000000001</v>
      </c>
      <c r="L547">
        <v>65.3399</v>
      </c>
      <c r="M547">
        <v>22.43</v>
      </c>
      <c r="N547">
        <v>13.2735</v>
      </c>
      <c r="O547">
        <v>6.2657999999999996</v>
      </c>
      <c r="P547">
        <v>6.2657999999999996</v>
      </c>
      <c r="Q547">
        <v>40.805799999999998</v>
      </c>
      <c r="R547" t="s">
        <v>135</v>
      </c>
      <c r="S547" t="s">
        <v>135</v>
      </c>
      <c r="T547">
        <v>41.4801</v>
      </c>
      <c r="U547">
        <v>109.04340000000001</v>
      </c>
      <c r="V547">
        <v>300.7364</v>
      </c>
      <c r="W547" t="s">
        <v>135</v>
      </c>
      <c r="X547" t="s">
        <v>135</v>
      </c>
      <c r="Y547" t="s">
        <v>135</v>
      </c>
      <c r="Z547">
        <v>-10.172599999999999</v>
      </c>
      <c r="AA547">
        <v>20.1736</v>
      </c>
      <c r="AB547">
        <v>-0.76300000000000001</v>
      </c>
      <c r="AC547">
        <v>1.9456</v>
      </c>
      <c r="AD547">
        <v>-16.5138</v>
      </c>
      <c r="AE547" t="s">
        <v>135</v>
      </c>
      <c r="AF547">
        <v>14.2104</v>
      </c>
      <c r="AG547">
        <v>124.5395</v>
      </c>
      <c r="AH547">
        <v>5.5936000000000003</v>
      </c>
      <c r="AI547">
        <v>-7.6577999999999999</v>
      </c>
      <c r="AJ547">
        <v>-1.6047</v>
      </c>
      <c r="AK547">
        <v>9.5698000000000008</v>
      </c>
      <c r="AL547" t="s">
        <v>135</v>
      </c>
      <c r="AM547">
        <v>51.815600000000003</v>
      </c>
      <c r="AN547">
        <v>44.473399999999998</v>
      </c>
      <c r="AO547">
        <v>38.216999999999999</v>
      </c>
      <c r="AP547" t="s">
        <v>135</v>
      </c>
      <c r="AQ547" t="s">
        <v>135</v>
      </c>
      <c r="AR547" t="s">
        <v>135</v>
      </c>
      <c r="AS547">
        <v>32.455500000000001</v>
      </c>
      <c r="AT547">
        <v>61.543599999999998</v>
      </c>
      <c r="AU547">
        <v>111.1533</v>
      </c>
      <c r="AV547">
        <v>57.707599999999999</v>
      </c>
      <c r="AW547" t="s">
        <v>135</v>
      </c>
      <c r="AX547" t="s">
        <v>135</v>
      </c>
      <c r="AY547">
        <v>83.518500000000003</v>
      </c>
      <c r="AZ547">
        <v>73.536000000000001</v>
      </c>
      <c r="BA547">
        <v>80.442800000000005</v>
      </c>
      <c r="BB547">
        <v>37.5458</v>
      </c>
      <c r="BC547">
        <v>50.578400000000002</v>
      </c>
      <c r="BD547">
        <v>-1.3231999999999999</v>
      </c>
      <c r="BE547" t="s">
        <v>135</v>
      </c>
      <c r="BF547">
        <v>15.947800000000001</v>
      </c>
      <c r="BG547">
        <v>25.278500000000001</v>
      </c>
      <c r="BH547">
        <v>34.073700000000002</v>
      </c>
      <c r="BI547">
        <v>-33.872</v>
      </c>
      <c r="BJ547">
        <v>-33.936</v>
      </c>
      <c r="BK547" t="s">
        <v>135</v>
      </c>
      <c r="BL547" t="s">
        <v>135</v>
      </c>
      <c r="BM547" t="s">
        <v>135</v>
      </c>
      <c r="BN547" t="s">
        <v>135</v>
      </c>
      <c r="BO547" t="s">
        <v>135</v>
      </c>
      <c r="BP547" t="s">
        <v>135</v>
      </c>
      <c r="BQ547" t="s">
        <v>135</v>
      </c>
      <c r="BR547" t="s">
        <v>135</v>
      </c>
      <c r="BS547" t="s">
        <v>135</v>
      </c>
      <c r="BT547" t="s">
        <v>135</v>
      </c>
      <c r="BU547" t="s">
        <v>135</v>
      </c>
      <c r="BV547" t="s">
        <v>135</v>
      </c>
      <c r="BW547" t="s">
        <v>135</v>
      </c>
      <c r="BX547" t="s">
        <v>135</v>
      </c>
      <c r="BY547">
        <v>715690.1</v>
      </c>
      <c r="BZ547">
        <v>413138.7</v>
      </c>
      <c r="CA547">
        <v>302551.40000000002</v>
      </c>
      <c r="CB547">
        <v>3.355</v>
      </c>
      <c r="CC547">
        <v>0.5423</v>
      </c>
      <c r="CD547">
        <v>4.7584999999999997</v>
      </c>
      <c r="CE547">
        <v>0.76919999999999999</v>
      </c>
      <c r="CF547">
        <v>4.8887</v>
      </c>
      <c r="CG547">
        <v>30.397500000000001</v>
      </c>
      <c r="CH547">
        <v>40.650199999999998</v>
      </c>
      <c r="CI547">
        <v>20.723099999999999</v>
      </c>
      <c r="CJ547">
        <v>15.2013</v>
      </c>
      <c r="CK547">
        <v>96.158699999999996</v>
      </c>
      <c r="CL547">
        <v>49.020899999999997</v>
      </c>
      <c r="CM547">
        <v>35.959000000000003</v>
      </c>
      <c r="CN547">
        <v>15.543699999999999</v>
      </c>
      <c r="CO547">
        <v>13.4527</v>
      </c>
      <c r="CP547">
        <v>73500.899999999994</v>
      </c>
      <c r="CQ547" t="s">
        <v>135</v>
      </c>
      <c r="CR547">
        <v>57464</v>
      </c>
      <c r="CS547">
        <v>0.72570000000000001</v>
      </c>
      <c r="CT547">
        <v>0.92889999999999995</v>
      </c>
      <c r="CU547">
        <v>0.75280000000000002</v>
      </c>
      <c r="CV547">
        <v>1.1122000000000001</v>
      </c>
      <c r="CW547">
        <v>30.514600000000002</v>
      </c>
      <c r="CX547">
        <v>11.961500000000001</v>
      </c>
      <c r="CY547">
        <v>2.6202000000000001</v>
      </c>
      <c r="CZ547">
        <v>139.3039</v>
      </c>
      <c r="DA547">
        <v>1.4283000000000001</v>
      </c>
      <c r="DB547">
        <v>255.54220000000001</v>
      </c>
      <c r="DC547">
        <v>-104.27679999999999</v>
      </c>
      <c r="DD547">
        <v>151.2654</v>
      </c>
      <c r="DE547">
        <v>96278.9</v>
      </c>
      <c r="DF547">
        <v>13568.6</v>
      </c>
      <c r="DG547">
        <v>32728.799999999999</v>
      </c>
      <c r="DH547">
        <v>32762.400000000001</v>
      </c>
      <c r="DI547">
        <v>17219.099999999999</v>
      </c>
    </row>
    <row r="548" spans="1:113" x14ac:dyDescent="0.3">
      <c r="D548" t="s">
        <v>85</v>
      </c>
      <c r="E548" t="s">
        <v>77</v>
      </c>
      <c r="F548">
        <v>16.679600000000001</v>
      </c>
      <c r="G548">
        <v>5.3888999999999996</v>
      </c>
      <c r="H548">
        <v>12.0328</v>
      </c>
      <c r="I548">
        <v>9.5242000000000004</v>
      </c>
      <c r="J548">
        <v>27.569700000000001</v>
      </c>
      <c r="K548">
        <v>20.663900000000002</v>
      </c>
      <c r="L548">
        <v>19.546099999999999</v>
      </c>
      <c r="M548">
        <v>21.416799999999999</v>
      </c>
      <c r="N548">
        <v>14.9849</v>
      </c>
      <c r="O548">
        <v>11.3186</v>
      </c>
      <c r="P548">
        <v>11.3186</v>
      </c>
      <c r="Q548">
        <v>30.0322</v>
      </c>
      <c r="R548">
        <v>76.203800000000001</v>
      </c>
      <c r="S548">
        <v>3.9691000000000001</v>
      </c>
      <c r="T548">
        <v>27.3992</v>
      </c>
      <c r="U548">
        <v>17.951999999999998</v>
      </c>
      <c r="V548">
        <v>25.538599999999999</v>
      </c>
      <c r="W548">
        <v>48.634700000000002</v>
      </c>
      <c r="X548">
        <v>20.3751</v>
      </c>
      <c r="Y548">
        <v>8.9974000000000007</v>
      </c>
      <c r="Z548">
        <v>77.1875</v>
      </c>
      <c r="AA548">
        <v>24.293700000000001</v>
      </c>
      <c r="AB548">
        <v>2.1004</v>
      </c>
      <c r="AC548">
        <v>-7.1506999999999996</v>
      </c>
      <c r="AD548">
        <v>71.066599999999994</v>
      </c>
      <c r="AE548">
        <v>-106.37860000000001</v>
      </c>
      <c r="AF548">
        <v>-3.3371</v>
      </c>
      <c r="AG548">
        <v>-24.069299999999998</v>
      </c>
      <c r="AH548">
        <v>-18.737200000000001</v>
      </c>
      <c r="AI548">
        <v>6.7675999999999998</v>
      </c>
      <c r="AJ548">
        <v>-5.7350000000000003</v>
      </c>
      <c r="AK548">
        <v>4.9718999999999998</v>
      </c>
      <c r="AL548">
        <v>14.2112</v>
      </c>
      <c r="AM548">
        <v>101.88079999999999</v>
      </c>
      <c r="AN548">
        <v>117.631</v>
      </c>
      <c r="AO548">
        <v>126.24290000000001</v>
      </c>
      <c r="AP548" t="s">
        <v>135</v>
      </c>
      <c r="AQ548" t="s">
        <v>135</v>
      </c>
      <c r="AR548">
        <v>191.9222</v>
      </c>
      <c r="AS548">
        <v>94.554100000000005</v>
      </c>
      <c r="AT548">
        <v>65.598699999999994</v>
      </c>
      <c r="AU548">
        <v>104.2912</v>
      </c>
      <c r="AV548">
        <v>51.6541</v>
      </c>
      <c r="AW548" t="s">
        <v>135</v>
      </c>
      <c r="AX548" t="s">
        <v>135</v>
      </c>
      <c r="AY548">
        <v>123.3242</v>
      </c>
      <c r="AZ548">
        <v>53.674100000000003</v>
      </c>
      <c r="BA548">
        <v>64.423900000000003</v>
      </c>
      <c r="BB548">
        <v>35.378500000000003</v>
      </c>
      <c r="BC548">
        <v>43.886499999999998</v>
      </c>
      <c r="BD548">
        <v>-3.22</v>
      </c>
      <c r="BE548" t="s">
        <v>135</v>
      </c>
      <c r="BF548">
        <v>27.3992</v>
      </c>
      <c r="BG548">
        <v>17.951999999999998</v>
      </c>
      <c r="BH548">
        <v>25.538599999999999</v>
      </c>
      <c r="BI548">
        <v>48.634700000000002</v>
      </c>
      <c r="BJ548">
        <v>20.3751</v>
      </c>
      <c r="BK548">
        <v>8.9974000000000007</v>
      </c>
      <c r="BL548">
        <v>77.1875</v>
      </c>
      <c r="BM548">
        <v>24.293700000000001</v>
      </c>
      <c r="BN548">
        <v>2.1004</v>
      </c>
      <c r="BO548">
        <v>-7.1506999999999996</v>
      </c>
      <c r="BP548" t="s">
        <v>135</v>
      </c>
      <c r="BQ548" t="s">
        <v>135</v>
      </c>
      <c r="BR548">
        <v>-3.3371</v>
      </c>
      <c r="BS548">
        <v>-24.069299999999998</v>
      </c>
      <c r="BT548">
        <v>-18.737200000000001</v>
      </c>
      <c r="BU548">
        <v>6.7675999999999998</v>
      </c>
      <c r="BV548">
        <v>-5.7350000000000003</v>
      </c>
      <c r="BW548">
        <v>4.9718999999999998</v>
      </c>
      <c r="BX548" t="s">
        <v>135</v>
      </c>
      <c r="BY548">
        <v>581590</v>
      </c>
      <c r="BZ548">
        <v>313700</v>
      </c>
      <c r="CA548">
        <v>267890</v>
      </c>
      <c r="CB548">
        <v>2.3087</v>
      </c>
      <c r="CC548">
        <v>0.97799999999999998</v>
      </c>
      <c r="CD548">
        <v>3.0802999999999998</v>
      </c>
      <c r="CE548">
        <v>1.3048999999999999</v>
      </c>
      <c r="CF548">
        <v>5.2274000000000003</v>
      </c>
      <c r="CG548">
        <v>34.366199999999999</v>
      </c>
      <c r="CH548">
        <v>33.7117</v>
      </c>
      <c r="CI548">
        <v>19.465399999999999</v>
      </c>
      <c r="CJ548">
        <v>14.4964</v>
      </c>
      <c r="CK548">
        <v>73.188199999999995</v>
      </c>
      <c r="CL548">
        <v>42.259300000000003</v>
      </c>
      <c r="CM548">
        <v>31.471699999999998</v>
      </c>
      <c r="CN548">
        <v>31.004799999999999</v>
      </c>
      <c r="CO548">
        <v>23.666899999999998</v>
      </c>
      <c r="CP548">
        <v>251910</v>
      </c>
      <c r="CQ548">
        <v>178570</v>
      </c>
      <c r="CR548">
        <v>188810</v>
      </c>
      <c r="CS548">
        <v>0.4985</v>
      </c>
      <c r="CT548">
        <v>0.8196</v>
      </c>
      <c r="CU548">
        <v>0.5575</v>
      </c>
      <c r="CV548">
        <v>1.4408000000000001</v>
      </c>
      <c r="CW548">
        <v>29.432099999999998</v>
      </c>
      <c r="CX548">
        <v>12.401400000000001</v>
      </c>
      <c r="CY548">
        <v>2.9453</v>
      </c>
      <c r="CZ548">
        <v>123.9258</v>
      </c>
      <c r="DA548">
        <v>1.8809</v>
      </c>
      <c r="DB548">
        <v>194.05160000000001</v>
      </c>
      <c r="DC548">
        <v>-57.724400000000003</v>
      </c>
      <c r="DD548">
        <v>136.3272</v>
      </c>
      <c r="DE548">
        <v>119670</v>
      </c>
      <c r="DF548">
        <v>31890</v>
      </c>
      <c r="DG548">
        <v>29860</v>
      </c>
      <c r="DH548">
        <v>38490</v>
      </c>
      <c r="DI548">
        <v>19430</v>
      </c>
    </row>
    <row r="549" spans="1:113" x14ac:dyDescent="0.3">
      <c r="E549" t="s">
        <v>78</v>
      </c>
      <c r="F549" t="s">
        <v>135</v>
      </c>
      <c r="G549" t="s">
        <v>135</v>
      </c>
      <c r="H549" t="s">
        <v>135</v>
      </c>
      <c r="I549" t="s">
        <v>135</v>
      </c>
      <c r="J549">
        <v>26.6557</v>
      </c>
      <c r="K549">
        <v>19.075700000000001</v>
      </c>
      <c r="L549">
        <v>41.486899999999999</v>
      </c>
      <c r="M549">
        <v>16.1389</v>
      </c>
      <c r="N549">
        <v>12.4145</v>
      </c>
      <c r="O549">
        <v>8.3401999999999994</v>
      </c>
      <c r="P549">
        <v>8.3401999999999994</v>
      </c>
      <c r="Q549">
        <v>23.076899999999998</v>
      </c>
      <c r="R549" t="s">
        <v>135</v>
      </c>
      <c r="S549" t="s">
        <v>135</v>
      </c>
      <c r="T549">
        <v>26.645</v>
      </c>
      <c r="U549">
        <v>41.603700000000003</v>
      </c>
      <c r="V549">
        <v>84.355199999999996</v>
      </c>
      <c r="W549">
        <v>102.2546</v>
      </c>
      <c r="X549">
        <v>71.653499999999994</v>
      </c>
      <c r="Y549" t="s">
        <v>135</v>
      </c>
      <c r="Z549" t="s">
        <v>135</v>
      </c>
      <c r="AA549" t="s">
        <v>135</v>
      </c>
      <c r="AB549" t="s">
        <v>135</v>
      </c>
      <c r="AC549" t="s">
        <v>135</v>
      </c>
      <c r="AD549" t="s">
        <v>135</v>
      </c>
      <c r="AE549" t="s">
        <v>135</v>
      </c>
      <c r="AF549" t="s">
        <v>135</v>
      </c>
      <c r="AG549" t="s">
        <v>135</v>
      </c>
      <c r="AH549" t="s">
        <v>135</v>
      </c>
      <c r="AI549" t="s">
        <v>135</v>
      </c>
      <c r="AJ549" t="s">
        <v>135</v>
      </c>
      <c r="AK549" t="s">
        <v>135</v>
      </c>
      <c r="AL549" t="s">
        <v>135</v>
      </c>
      <c r="AM549">
        <v>60.348199999999999</v>
      </c>
      <c r="AN549">
        <v>48.443399999999997</v>
      </c>
      <c r="AO549">
        <v>40.112900000000003</v>
      </c>
      <c r="AP549">
        <v>9.6077999999999992</v>
      </c>
      <c r="AQ549">
        <v>-17.0319</v>
      </c>
      <c r="AR549" t="s">
        <v>135</v>
      </c>
      <c r="AS549" t="s">
        <v>135</v>
      </c>
      <c r="AT549" t="s">
        <v>135</v>
      </c>
      <c r="AU549" t="s">
        <v>135</v>
      </c>
      <c r="AV549" t="s">
        <v>135</v>
      </c>
      <c r="AW549" t="s">
        <v>135</v>
      </c>
      <c r="AX549" t="s">
        <v>135</v>
      </c>
      <c r="AY549" t="s">
        <v>135</v>
      </c>
      <c r="AZ549" t="s">
        <v>135</v>
      </c>
      <c r="BA549" t="s">
        <v>135</v>
      </c>
      <c r="BB549" t="s">
        <v>135</v>
      </c>
      <c r="BC549" t="s">
        <v>135</v>
      </c>
      <c r="BD549" t="s">
        <v>135</v>
      </c>
      <c r="BE549" t="s">
        <v>135</v>
      </c>
      <c r="BF549">
        <v>-18.774000000000001</v>
      </c>
      <c r="BG549">
        <v>-33.687899999999999</v>
      </c>
      <c r="BH549">
        <v>-39.301099999999998</v>
      </c>
      <c r="BI549">
        <v>8.1168999999999993</v>
      </c>
      <c r="BJ549">
        <v>-8.2104999999999997</v>
      </c>
      <c r="BK549" t="s">
        <v>135</v>
      </c>
      <c r="BL549" t="s">
        <v>135</v>
      </c>
      <c r="BM549" t="s">
        <v>135</v>
      </c>
      <c r="BN549" t="s">
        <v>135</v>
      </c>
      <c r="BO549" t="s">
        <v>135</v>
      </c>
      <c r="BP549" t="s">
        <v>135</v>
      </c>
      <c r="BQ549" t="s">
        <v>135</v>
      </c>
      <c r="BR549" t="s">
        <v>135</v>
      </c>
      <c r="BS549" t="s">
        <v>135</v>
      </c>
      <c r="BT549" t="s">
        <v>135</v>
      </c>
      <c r="BU549" t="s">
        <v>135</v>
      </c>
      <c r="BV549" t="s">
        <v>135</v>
      </c>
      <c r="BW549" t="s">
        <v>135</v>
      </c>
      <c r="BX549" t="s">
        <v>135</v>
      </c>
      <c r="BY549" t="s">
        <v>135</v>
      </c>
      <c r="BZ549" t="s">
        <v>135</v>
      </c>
      <c r="CA549" t="s">
        <v>135</v>
      </c>
      <c r="CB549" t="s">
        <v>135</v>
      </c>
      <c r="CC549" t="s">
        <v>135</v>
      </c>
      <c r="CD549" t="s">
        <v>135</v>
      </c>
      <c r="CE549" t="s">
        <v>135</v>
      </c>
      <c r="CF549">
        <v>3.0615999999999999</v>
      </c>
      <c r="CG549" t="s">
        <v>135</v>
      </c>
      <c r="CH549" t="s">
        <v>135</v>
      </c>
      <c r="CI549" t="s">
        <v>135</v>
      </c>
      <c r="CJ549" t="s">
        <v>135</v>
      </c>
      <c r="CK549" t="s">
        <v>135</v>
      </c>
      <c r="CL549" t="s">
        <v>135</v>
      </c>
      <c r="CM549" t="s">
        <v>135</v>
      </c>
      <c r="CN549" t="s">
        <v>135</v>
      </c>
      <c r="CO549" t="s">
        <v>135</v>
      </c>
      <c r="CP549">
        <v>48740</v>
      </c>
      <c r="CQ549" t="s">
        <v>135</v>
      </c>
      <c r="CR549">
        <v>34880</v>
      </c>
      <c r="CS549" t="s">
        <v>135</v>
      </c>
      <c r="CT549" t="s">
        <v>135</v>
      </c>
      <c r="CU549" t="s">
        <v>135</v>
      </c>
      <c r="CV549" t="s">
        <v>135</v>
      </c>
      <c r="CW549" t="s">
        <v>135</v>
      </c>
      <c r="CX549" t="s">
        <v>135</v>
      </c>
      <c r="CY549" t="s">
        <v>135</v>
      </c>
      <c r="CZ549" t="s">
        <v>135</v>
      </c>
      <c r="DA549" t="s">
        <v>135</v>
      </c>
      <c r="DB549" t="s">
        <v>135</v>
      </c>
      <c r="DC549" t="s">
        <v>135</v>
      </c>
      <c r="DD549" t="s">
        <v>135</v>
      </c>
      <c r="DE549" t="s">
        <v>135</v>
      </c>
      <c r="DF549" t="s">
        <v>135</v>
      </c>
      <c r="DG549" t="s">
        <v>135</v>
      </c>
      <c r="DH549" t="s">
        <v>135</v>
      </c>
      <c r="DI549" t="s">
        <v>135</v>
      </c>
    </row>
    <row r="550" spans="1:113" x14ac:dyDescent="0.3">
      <c r="E550" t="s">
        <v>79</v>
      </c>
      <c r="F550">
        <v>12.9239</v>
      </c>
      <c r="G550">
        <v>3.8721999999999999</v>
      </c>
      <c r="H550">
        <v>11.820600000000001</v>
      </c>
      <c r="I550">
        <v>10.130599999999999</v>
      </c>
      <c r="J550">
        <v>26.2575</v>
      </c>
      <c r="K550">
        <v>19.6526</v>
      </c>
      <c r="L550">
        <v>19.671800000000001</v>
      </c>
      <c r="M550">
        <v>18.161200000000001</v>
      </c>
      <c r="N550">
        <v>13.830500000000001</v>
      </c>
      <c r="O550">
        <v>9.6850000000000005</v>
      </c>
      <c r="P550">
        <v>9.6850000000000005</v>
      </c>
      <c r="Q550">
        <v>23.846</v>
      </c>
      <c r="R550" t="s">
        <v>135</v>
      </c>
      <c r="S550" t="s">
        <v>135</v>
      </c>
      <c r="T550">
        <v>36.119999999999997</v>
      </c>
      <c r="U550">
        <v>21.3139</v>
      </c>
      <c r="V550">
        <v>36.168199999999999</v>
      </c>
      <c r="W550">
        <v>46.8399</v>
      </c>
      <c r="X550">
        <v>17.291699999999999</v>
      </c>
      <c r="Y550" t="s">
        <v>135</v>
      </c>
      <c r="Z550">
        <v>-28.910699999999999</v>
      </c>
      <c r="AA550">
        <v>27.494399999999999</v>
      </c>
      <c r="AB550">
        <v>-1.4417</v>
      </c>
      <c r="AC550">
        <v>-5.3358999999999996</v>
      </c>
      <c r="AD550">
        <v>-120.4063</v>
      </c>
      <c r="AE550" t="s">
        <v>135</v>
      </c>
      <c r="AF550">
        <v>34.8292</v>
      </c>
      <c r="AG550">
        <v>-13.3749</v>
      </c>
      <c r="AH550">
        <v>-22.421800000000001</v>
      </c>
      <c r="AI550">
        <v>-3.9622999999999999</v>
      </c>
      <c r="AJ550">
        <v>-11.6808</v>
      </c>
      <c r="AK550">
        <v>10.038600000000001</v>
      </c>
      <c r="AL550" t="s">
        <v>135</v>
      </c>
      <c r="AM550">
        <v>137.02180000000001</v>
      </c>
      <c r="AN550">
        <v>296.1558</v>
      </c>
      <c r="AO550" t="s">
        <v>135</v>
      </c>
      <c r="AP550">
        <v>31.986699999999999</v>
      </c>
      <c r="AQ550">
        <v>0.98780000000000001</v>
      </c>
      <c r="AR550" t="s">
        <v>135</v>
      </c>
      <c r="AS550">
        <v>55.773000000000003</v>
      </c>
      <c r="AT550">
        <v>64.180400000000006</v>
      </c>
      <c r="AU550" t="s">
        <v>135</v>
      </c>
      <c r="AV550">
        <v>52.783499999999997</v>
      </c>
      <c r="AW550" t="s">
        <v>135</v>
      </c>
      <c r="AX550" t="s">
        <v>135</v>
      </c>
      <c r="AY550">
        <v>114.545</v>
      </c>
      <c r="AZ550">
        <v>41.310699999999997</v>
      </c>
      <c r="BA550">
        <v>63.426299999999998</v>
      </c>
      <c r="BB550">
        <v>36.799500000000002</v>
      </c>
      <c r="BC550">
        <v>43.634599999999999</v>
      </c>
      <c r="BD550">
        <v>-2.0754999999999999</v>
      </c>
      <c r="BE550" t="s">
        <v>135</v>
      </c>
      <c r="BF550">
        <v>18.0749</v>
      </c>
      <c r="BG550">
        <v>15.859400000000001</v>
      </c>
      <c r="BH550">
        <v>23.164000000000001</v>
      </c>
      <c r="BI550">
        <v>39.307099999999998</v>
      </c>
      <c r="BJ550">
        <v>39.356400000000001</v>
      </c>
      <c r="BK550" t="s">
        <v>135</v>
      </c>
      <c r="BL550" t="s">
        <v>135</v>
      </c>
      <c r="BM550" t="s">
        <v>135</v>
      </c>
      <c r="BN550" t="s">
        <v>135</v>
      </c>
      <c r="BO550" t="s">
        <v>135</v>
      </c>
      <c r="BP550" t="s">
        <v>135</v>
      </c>
      <c r="BQ550" t="s">
        <v>135</v>
      </c>
      <c r="BR550" t="s">
        <v>135</v>
      </c>
      <c r="BS550" t="s">
        <v>135</v>
      </c>
      <c r="BT550" t="s">
        <v>135</v>
      </c>
      <c r="BU550" t="s">
        <v>135</v>
      </c>
      <c r="BV550" t="s">
        <v>135</v>
      </c>
      <c r="BW550" t="s">
        <v>135</v>
      </c>
      <c r="BX550" t="s">
        <v>135</v>
      </c>
      <c r="BY550">
        <v>461760</v>
      </c>
      <c r="BZ550">
        <v>158610</v>
      </c>
      <c r="CA550">
        <v>303150</v>
      </c>
      <c r="CB550">
        <v>1.9419</v>
      </c>
      <c r="CC550">
        <v>0.3493</v>
      </c>
      <c r="CD550">
        <v>2.6057999999999999</v>
      </c>
      <c r="CE550">
        <v>0.46870000000000001</v>
      </c>
      <c r="CF550">
        <v>4.0960999999999999</v>
      </c>
      <c r="CG550">
        <v>35.705399999999997</v>
      </c>
      <c r="CH550">
        <v>38.109499999999997</v>
      </c>
      <c r="CI550">
        <v>24.112500000000001</v>
      </c>
      <c r="CJ550">
        <v>16.9145</v>
      </c>
      <c r="CK550">
        <v>58.048699999999997</v>
      </c>
      <c r="CL550">
        <v>36.728400000000001</v>
      </c>
      <c r="CM550">
        <v>25.764299999999999</v>
      </c>
      <c r="CN550">
        <v>10.441599999999999</v>
      </c>
      <c r="CO550">
        <v>9.4543999999999997</v>
      </c>
      <c r="CP550">
        <v>56690</v>
      </c>
      <c r="CQ550" t="s">
        <v>135</v>
      </c>
      <c r="CR550">
        <v>42430</v>
      </c>
      <c r="CS550">
        <v>0.62649999999999995</v>
      </c>
      <c r="CT550">
        <v>0.94269999999999998</v>
      </c>
      <c r="CU550">
        <v>0.67010000000000003</v>
      </c>
      <c r="CV550">
        <v>2.0377999999999998</v>
      </c>
      <c r="CW550">
        <v>25.8081</v>
      </c>
      <c r="CX550">
        <v>14.142899999999999</v>
      </c>
      <c r="CY550">
        <v>2.6164000000000001</v>
      </c>
      <c r="CZ550">
        <v>139.50370000000001</v>
      </c>
      <c r="DA550">
        <v>1.5459000000000001</v>
      </c>
      <c r="DB550">
        <v>236.1079</v>
      </c>
      <c r="DC550">
        <v>-82.461299999999994</v>
      </c>
      <c r="DD550">
        <v>153.64660000000001</v>
      </c>
      <c r="DE550">
        <v>116850</v>
      </c>
      <c r="DF550" t="s">
        <v>135</v>
      </c>
      <c r="DG550" t="s">
        <v>135</v>
      </c>
      <c r="DH550" t="s">
        <v>135</v>
      </c>
      <c r="DI550" t="s">
        <v>135</v>
      </c>
    </row>
    <row r="551" spans="1:113" x14ac:dyDescent="0.3">
      <c r="E551" t="s">
        <v>80</v>
      </c>
      <c r="F551" t="s">
        <v>135</v>
      </c>
      <c r="G551" t="s">
        <v>135</v>
      </c>
      <c r="H551" t="s">
        <v>135</v>
      </c>
      <c r="I551" t="s">
        <v>135</v>
      </c>
      <c r="J551">
        <v>27.761600000000001</v>
      </c>
      <c r="K551">
        <v>21.403099999999998</v>
      </c>
      <c r="L551">
        <v>18.762599999999999</v>
      </c>
      <c r="M551">
        <v>17.7456</v>
      </c>
      <c r="N551">
        <v>12.1465</v>
      </c>
      <c r="O551">
        <v>8.4274000000000004</v>
      </c>
      <c r="P551">
        <v>8.4274000000000004</v>
      </c>
      <c r="Q551">
        <v>31.552199999999999</v>
      </c>
      <c r="R551" t="s">
        <v>135</v>
      </c>
      <c r="S551" t="s">
        <v>135</v>
      </c>
      <c r="T551">
        <v>25.475100000000001</v>
      </c>
      <c r="U551">
        <v>15.2719</v>
      </c>
      <c r="V551">
        <v>21.651900000000001</v>
      </c>
      <c r="W551">
        <v>-3.7505999999999999</v>
      </c>
      <c r="X551">
        <v>-23.226700000000001</v>
      </c>
      <c r="Y551" t="s">
        <v>135</v>
      </c>
      <c r="Z551" t="s">
        <v>135</v>
      </c>
      <c r="AA551" t="s">
        <v>135</v>
      </c>
      <c r="AB551" t="s">
        <v>135</v>
      </c>
      <c r="AC551" t="s">
        <v>135</v>
      </c>
      <c r="AD551" t="s">
        <v>135</v>
      </c>
      <c r="AE551" t="s">
        <v>135</v>
      </c>
      <c r="AF551" t="s">
        <v>135</v>
      </c>
      <c r="AG551" t="s">
        <v>135</v>
      </c>
      <c r="AH551" t="s">
        <v>135</v>
      </c>
      <c r="AI551" t="s">
        <v>135</v>
      </c>
      <c r="AJ551" t="s">
        <v>135</v>
      </c>
      <c r="AK551" t="s">
        <v>135</v>
      </c>
      <c r="AL551" t="s">
        <v>135</v>
      </c>
      <c r="AM551">
        <v>154.13990000000001</v>
      </c>
      <c r="AN551" t="s">
        <v>135</v>
      </c>
      <c r="AO551" t="s">
        <v>135</v>
      </c>
      <c r="AP551">
        <v>32.817</v>
      </c>
      <c r="AQ551">
        <v>-0.67449999999999999</v>
      </c>
      <c r="AR551" t="s">
        <v>135</v>
      </c>
      <c r="AS551" t="s">
        <v>135</v>
      </c>
      <c r="AT551" t="s">
        <v>135</v>
      </c>
      <c r="AU551" t="s">
        <v>135</v>
      </c>
      <c r="AV551" t="s">
        <v>135</v>
      </c>
      <c r="AW551" t="s">
        <v>135</v>
      </c>
      <c r="AX551" t="s">
        <v>135</v>
      </c>
      <c r="AY551" t="s">
        <v>135</v>
      </c>
      <c r="AZ551" t="s">
        <v>135</v>
      </c>
      <c r="BA551" t="s">
        <v>135</v>
      </c>
      <c r="BB551" t="s">
        <v>135</v>
      </c>
      <c r="BC551" t="s">
        <v>135</v>
      </c>
      <c r="BD551" t="s">
        <v>135</v>
      </c>
      <c r="BE551" t="s">
        <v>135</v>
      </c>
      <c r="BF551">
        <v>12.8346</v>
      </c>
      <c r="BG551">
        <v>19.276900000000001</v>
      </c>
      <c r="BH551">
        <v>25.246200000000002</v>
      </c>
      <c r="BI551">
        <v>0.39119999999999999</v>
      </c>
      <c r="BJ551">
        <v>0.18149999999999999</v>
      </c>
      <c r="BK551" t="s">
        <v>135</v>
      </c>
      <c r="BL551" t="s">
        <v>135</v>
      </c>
      <c r="BM551" t="s">
        <v>135</v>
      </c>
      <c r="BN551" t="s">
        <v>135</v>
      </c>
      <c r="BO551" t="s">
        <v>135</v>
      </c>
      <c r="BP551" t="s">
        <v>135</v>
      </c>
      <c r="BQ551" t="s">
        <v>135</v>
      </c>
      <c r="BR551" t="s">
        <v>135</v>
      </c>
      <c r="BS551" t="s">
        <v>135</v>
      </c>
      <c r="BT551" t="s">
        <v>135</v>
      </c>
      <c r="BU551" t="s">
        <v>135</v>
      </c>
      <c r="BV551" t="s">
        <v>135</v>
      </c>
      <c r="BW551" t="s">
        <v>135</v>
      </c>
      <c r="BX551" t="s">
        <v>135</v>
      </c>
      <c r="BY551" t="s">
        <v>135</v>
      </c>
      <c r="BZ551" t="s">
        <v>135</v>
      </c>
      <c r="CA551" t="s">
        <v>135</v>
      </c>
      <c r="CB551" t="s">
        <v>135</v>
      </c>
      <c r="CC551" t="s">
        <v>135</v>
      </c>
      <c r="CD551" t="s">
        <v>135</v>
      </c>
      <c r="CE551" t="s">
        <v>135</v>
      </c>
      <c r="CF551">
        <v>5.1783999999999999</v>
      </c>
      <c r="CG551" t="s">
        <v>135</v>
      </c>
      <c r="CH551" t="s">
        <v>135</v>
      </c>
      <c r="CI551" t="s">
        <v>135</v>
      </c>
      <c r="CJ551" t="s">
        <v>135</v>
      </c>
      <c r="CK551" t="s">
        <v>135</v>
      </c>
      <c r="CL551" t="s">
        <v>135</v>
      </c>
      <c r="CM551" t="s">
        <v>135</v>
      </c>
      <c r="CN551" t="s">
        <v>135</v>
      </c>
      <c r="CO551" t="s">
        <v>135</v>
      </c>
      <c r="CP551">
        <v>67630</v>
      </c>
      <c r="CQ551" t="s">
        <v>135</v>
      </c>
      <c r="CR551">
        <v>52140</v>
      </c>
      <c r="CS551" t="s">
        <v>135</v>
      </c>
      <c r="CT551" t="s">
        <v>135</v>
      </c>
      <c r="CU551" t="s">
        <v>135</v>
      </c>
      <c r="CV551" t="s">
        <v>135</v>
      </c>
      <c r="CW551" t="s">
        <v>135</v>
      </c>
      <c r="CX551" t="s">
        <v>135</v>
      </c>
      <c r="CY551" t="s">
        <v>135</v>
      </c>
      <c r="CZ551" t="s">
        <v>135</v>
      </c>
      <c r="DA551" t="s">
        <v>135</v>
      </c>
      <c r="DB551" t="s">
        <v>135</v>
      </c>
      <c r="DC551" t="s">
        <v>135</v>
      </c>
      <c r="DD551" t="s">
        <v>135</v>
      </c>
      <c r="DE551" t="s">
        <v>135</v>
      </c>
      <c r="DF551" t="s">
        <v>135</v>
      </c>
      <c r="DG551" t="s">
        <v>135</v>
      </c>
      <c r="DH551" t="s">
        <v>135</v>
      </c>
      <c r="DI551" t="s">
        <v>135</v>
      </c>
    </row>
    <row r="552" spans="1:113" x14ac:dyDescent="0.3">
      <c r="E552" t="s">
        <v>81</v>
      </c>
      <c r="F552">
        <v>16.679600000000001</v>
      </c>
      <c r="G552">
        <v>5.3888999999999996</v>
      </c>
      <c r="H552">
        <v>12.4191</v>
      </c>
      <c r="I552">
        <v>9.5298999999999996</v>
      </c>
      <c r="J552">
        <v>28.364100000000001</v>
      </c>
      <c r="K552">
        <v>22.2729</v>
      </c>
      <c r="L552">
        <v>7.9629000000000003</v>
      </c>
      <c r="M552">
        <v>31.096599999999999</v>
      </c>
      <c r="N552">
        <v>20.539300000000001</v>
      </c>
      <c r="O552">
        <v>17.3797</v>
      </c>
      <c r="P552">
        <v>17.3797</v>
      </c>
      <c r="Q552">
        <v>33.950200000000002</v>
      </c>
      <c r="R552" t="s">
        <v>135</v>
      </c>
      <c r="S552" t="s">
        <v>135</v>
      </c>
      <c r="T552">
        <v>22.738499999999998</v>
      </c>
      <c r="U552">
        <v>6.6245000000000003</v>
      </c>
      <c r="V552">
        <v>7.0930999999999997</v>
      </c>
      <c r="W552">
        <v>240.4442</v>
      </c>
      <c r="X552">
        <v>171.76</v>
      </c>
      <c r="Y552" t="s">
        <v>135</v>
      </c>
      <c r="Z552">
        <v>77.1875</v>
      </c>
      <c r="AA552">
        <v>24.293700000000001</v>
      </c>
      <c r="AB552">
        <v>2.1004</v>
      </c>
      <c r="AC552">
        <v>-7.1506999999999996</v>
      </c>
      <c r="AD552">
        <v>71.066599999999994</v>
      </c>
      <c r="AE552">
        <v>-106.37860000000001</v>
      </c>
      <c r="AF552">
        <v>-3.3371</v>
      </c>
      <c r="AG552">
        <v>-24.069299999999998</v>
      </c>
      <c r="AH552">
        <v>-18.737200000000001</v>
      </c>
      <c r="AI552">
        <v>6.7675999999999998</v>
      </c>
      <c r="AJ552">
        <v>-5.7350000000000003</v>
      </c>
      <c r="AK552">
        <v>4.9718999999999998</v>
      </c>
      <c r="AL552" t="s">
        <v>135</v>
      </c>
      <c r="AM552">
        <v>149.2021</v>
      </c>
      <c r="AN552" t="s">
        <v>135</v>
      </c>
      <c r="AO552" t="s">
        <v>135</v>
      </c>
      <c r="AP552" t="s">
        <v>135</v>
      </c>
      <c r="AQ552" t="s">
        <v>135</v>
      </c>
      <c r="AR552" t="s">
        <v>135</v>
      </c>
      <c r="AS552">
        <v>94.554100000000005</v>
      </c>
      <c r="AT552">
        <v>65.598699999999994</v>
      </c>
      <c r="AU552">
        <v>104.2912</v>
      </c>
      <c r="AV552">
        <v>51.6541</v>
      </c>
      <c r="AW552" t="s">
        <v>135</v>
      </c>
      <c r="AX552" t="s">
        <v>135</v>
      </c>
      <c r="AY552">
        <v>123.3242</v>
      </c>
      <c r="AZ552">
        <v>53.674100000000003</v>
      </c>
      <c r="BA552">
        <v>64.423900000000003</v>
      </c>
      <c r="BB552">
        <v>35.378500000000003</v>
      </c>
      <c r="BC552">
        <v>43.886499999999998</v>
      </c>
      <c r="BD552">
        <v>-3.22</v>
      </c>
      <c r="BE552" t="s">
        <v>135</v>
      </c>
      <c r="BF552">
        <v>13.419</v>
      </c>
      <c r="BG552">
        <v>17.408200000000001</v>
      </c>
      <c r="BH552">
        <v>22.3459</v>
      </c>
      <c r="BI552">
        <v>140.82249999999999</v>
      </c>
      <c r="BJ552">
        <v>140.8321</v>
      </c>
      <c r="BK552" t="s">
        <v>135</v>
      </c>
      <c r="BL552" t="s">
        <v>135</v>
      </c>
      <c r="BM552" t="s">
        <v>135</v>
      </c>
      <c r="BN552" t="s">
        <v>135</v>
      </c>
      <c r="BO552" t="s">
        <v>135</v>
      </c>
      <c r="BP552" t="s">
        <v>135</v>
      </c>
      <c r="BQ552" t="s">
        <v>135</v>
      </c>
      <c r="BR552" t="s">
        <v>135</v>
      </c>
      <c r="BS552" t="s">
        <v>135</v>
      </c>
      <c r="BT552" t="s">
        <v>135</v>
      </c>
      <c r="BU552" t="s">
        <v>135</v>
      </c>
      <c r="BV552" t="s">
        <v>135</v>
      </c>
      <c r="BW552" t="s">
        <v>135</v>
      </c>
      <c r="BX552" t="s">
        <v>135</v>
      </c>
      <c r="BY552">
        <v>581590</v>
      </c>
      <c r="BZ552">
        <v>313700</v>
      </c>
      <c r="CA552">
        <v>267890</v>
      </c>
      <c r="CB552">
        <v>2.3193999999999999</v>
      </c>
      <c r="CC552">
        <v>0.98260000000000003</v>
      </c>
      <c r="CD552">
        <v>3.0949</v>
      </c>
      <c r="CE552">
        <v>1.3110999999999999</v>
      </c>
      <c r="CF552">
        <v>5.5034999999999998</v>
      </c>
      <c r="CG552">
        <v>34.366199999999999</v>
      </c>
      <c r="CH552">
        <v>33.7117</v>
      </c>
      <c r="CI552">
        <v>19.465399999999999</v>
      </c>
      <c r="CJ552">
        <v>14.4964</v>
      </c>
      <c r="CK552">
        <v>73.188199999999995</v>
      </c>
      <c r="CL552">
        <v>42.259300000000003</v>
      </c>
      <c r="CM552">
        <v>31.471699999999998</v>
      </c>
      <c r="CN552">
        <v>31.004799999999999</v>
      </c>
      <c r="CO552">
        <v>23.666899999999998</v>
      </c>
      <c r="CP552">
        <v>78370</v>
      </c>
      <c r="CQ552" t="s">
        <v>135</v>
      </c>
      <c r="CR552">
        <v>61540</v>
      </c>
      <c r="CS552">
        <v>0.4985</v>
      </c>
      <c r="CT552">
        <v>0.8196</v>
      </c>
      <c r="CU552">
        <v>0.5575</v>
      </c>
      <c r="CV552">
        <v>1.4408000000000001</v>
      </c>
      <c r="CW552">
        <v>29.591200000000001</v>
      </c>
      <c r="CX552">
        <v>12.3347</v>
      </c>
      <c r="CY552">
        <v>2.9453</v>
      </c>
      <c r="CZ552">
        <v>123.9258</v>
      </c>
      <c r="DA552">
        <v>1.8809</v>
      </c>
      <c r="DB552">
        <v>194.05160000000001</v>
      </c>
      <c r="DC552">
        <v>-57.7911</v>
      </c>
      <c r="DD552">
        <v>136.26050000000001</v>
      </c>
      <c r="DE552">
        <v>119670</v>
      </c>
      <c r="DF552">
        <v>31890</v>
      </c>
      <c r="DG552">
        <v>29860</v>
      </c>
      <c r="DH552">
        <v>38490</v>
      </c>
      <c r="DI552">
        <v>19430</v>
      </c>
    </row>
    <row r="553" spans="1:113" x14ac:dyDescent="0.3">
      <c r="A553">
        <v>98</v>
      </c>
      <c r="B553" t="s">
        <v>127</v>
      </c>
      <c r="C553" t="s">
        <v>128</v>
      </c>
      <c r="D553" t="s">
        <v>76</v>
      </c>
      <c r="E553" t="s">
        <v>77</v>
      </c>
      <c r="F553">
        <v>12.766299999999999</v>
      </c>
      <c r="G553">
        <v>4.7454000000000001</v>
      </c>
      <c r="H553">
        <v>7.7954999999999997</v>
      </c>
      <c r="I553">
        <v>7.1252000000000004</v>
      </c>
      <c r="J553">
        <v>31.5288</v>
      </c>
      <c r="K553">
        <v>14.4305</v>
      </c>
      <c r="L553">
        <v>31.991499999999998</v>
      </c>
      <c r="M553">
        <v>11.5174</v>
      </c>
      <c r="N553">
        <v>7.4447999999999999</v>
      </c>
      <c r="O553">
        <v>7.4447999999999999</v>
      </c>
      <c r="P553">
        <v>7.4447999999999999</v>
      </c>
      <c r="Q553">
        <v>35.3598</v>
      </c>
      <c r="R553">
        <v>6.7477999999999998</v>
      </c>
      <c r="S553">
        <v>11.9048</v>
      </c>
      <c r="T553">
        <v>17.960699999999999</v>
      </c>
      <c r="U553">
        <v>38.789700000000003</v>
      </c>
      <c r="V553">
        <v>50.954500000000003</v>
      </c>
      <c r="W553">
        <v>94.655000000000001</v>
      </c>
      <c r="X553">
        <v>94.098399999999998</v>
      </c>
      <c r="Y553">
        <v>33.333300000000001</v>
      </c>
      <c r="Z553">
        <v>-27.4499</v>
      </c>
      <c r="AA553">
        <v>-5.9661999999999997</v>
      </c>
      <c r="AB553">
        <v>52.842300000000002</v>
      </c>
      <c r="AC553">
        <v>27.982199999999999</v>
      </c>
      <c r="AD553">
        <v>-14.0214</v>
      </c>
      <c r="AE553">
        <v>-29.9009</v>
      </c>
      <c r="AF553">
        <v>3.7549000000000001</v>
      </c>
      <c r="AG553">
        <v>11.944900000000001</v>
      </c>
      <c r="AH553">
        <v>46.9328</v>
      </c>
      <c r="AI553">
        <v>15.5305</v>
      </c>
      <c r="AJ553">
        <v>31.0868</v>
      </c>
      <c r="AK553">
        <v>15.347799999999999</v>
      </c>
      <c r="AL553">
        <v>38.783700000000003</v>
      </c>
      <c r="AM553">
        <v>21.141500000000001</v>
      </c>
      <c r="AN553">
        <v>24.054500000000001</v>
      </c>
      <c r="AO553">
        <v>21.616800000000001</v>
      </c>
      <c r="AP553">
        <v>17.4207</v>
      </c>
      <c r="AQ553">
        <v>14.4856</v>
      </c>
      <c r="AR553" t="s">
        <v>135</v>
      </c>
      <c r="AS553">
        <v>6.2824</v>
      </c>
      <c r="AT553">
        <v>5.5560999999999998</v>
      </c>
      <c r="AU553">
        <v>16.591799999999999</v>
      </c>
      <c r="AV553">
        <v>11.6347</v>
      </c>
      <c r="AW553" t="s">
        <v>135</v>
      </c>
      <c r="AX553" t="s">
        <v>135</v>
      </c>
      <c r="AY553">
        <v>1.4332</v>
      </c>
      <c r="AZ553">
        <v>1.3807</v>
      </c>
      <c r="BA553">
        <v>18.283300000000001</v>
      </c>
      <c r="BB553">
        <v>3.6848999999999998</v>
      </c>
      <c r="BC553">
        <v>10.3569</v>
      </c>
      <c r="BD553">
        <v>2.2762000000000002</v>
      </c>
      <c r="BE553">
        <v>35.158000000000001</v>
      </c>
      <c r="BF553">
        <v>17.960699999999999</v>
      </c>
      <c r="BG553">
        <v>38.789700000000003</v>
      </c>
      <c r="BH553">
        <v>50.954500000000003</v>
      </c>
      <c r="BI553">
        <v>94.655000000000001</v>
      </c>
      <c r="BJ553">
        <v>94.098399999999998</v>
      </c>
      <c r="BK553">
        <v>33.333300000000001</v>
      </c>
      <c r="BL553">
        <v>-27.4499</v>
      </c>
      <c r="BM553">
        <v>-5.9661999999999997</v>
      </c>
      <c r="BN553">
        <v>52.842300000000002</v>
      </c>
      <c r="BO553">
        <v>27.982199999999999</v>
      </c>
      <c r="BP553" t="s">
        <v>135</v>
      </c>
      <c r="BQ553" t="s">
        <v>135</v>
      </c>
      <c r="BR553">
        <v>3.7549000000000001</v>
      </c>
      <c r="BS553">
        <v>11.944900000000001</v>
      </c>
      <c r="BT553">
        <v>46.9328</v>
      </c>
      <c r="BU553">
        <v>15.5305</v>
      </c>
      <c r="BV553">
        <v>31.0868</v>
      </c>
      <c r="BW553">
        <v>15.347799999999999</v>
      </c>
      <c r="BX553">
        <v>38.783700000000003</v>
      </c>
      <c r="BY553">
        <v>206349.27</v>
      </c>
      <c r="BZ553">
        <v>25065.22</v>
      </c>
      <c r="CA553">
        <v>181284.05</v>
      </c>
      <c r="CB553">
        <v>2.4761000000000002</v>
      </c>
      <c r="CC553">
        <v>2.4336000000000002</v>
      </c>
      <c r="CD553">
        <v>5.4099000000000004</v>
      </c>
      <c r="CE553">
        <v>5.3170000000000002</v>
      </c>
      <c r="CF553">
        <v>9.1986000000000008</v>
      </c>
      <c r="CG553">
        <v>35.493899999999996</v>
      </c>
      <c r="CH553">
        <v>109.68980000000001</v>
      </c>
      <c r="CI553">
        <v>48.782200000000003</v>
      </c>
      <c r="CJ553">
        <v>38.9377</v>
      </c>
      <c r="CK553">
        <v>124.8561</v>
      </c>
      <c r="CL553">
        <v>55.527099999999997</v>
      </c>
      <c r="CM553">
        <v>44.321399999999997</v>
      </c>
      <c r="CN553">
        <v>122.7122</v>
      </c>
      <c r="CO553">
        <v>55.098999999999997</v>
      </c>
      <c r="CP553">
        <v>83336.78</v>
      </c>
      <c r="CQ553">
        <v>46352.15</v>
      </c>
      <c r="CR553">
        <v>38142.78</v>
      </c>
      <c r="CS553">
        <v>4.0899999999999999E-2</v>
      </c>
      <c r="CT553">
        <v>0.2878</v>
      </c>
      <c r="CU553">
        <v>9.3600000000000003E-2</v>
      </c>
      <c r="CV553">
        <v>1.8605</v>
      </c>
      <c r="CW553">
        <v>48.614400000000003</v>
      </c>
      <c r="CX553">
        <v>7.5080999999999998</v>
      </c>
      <c r="CY553">
        <v>2.7343000000000002</v>
      </c>
      <c r="CZ553">
        <v>133.48920000000001</v>
      </c>
      <c r="DA553">
        <v>6.88E-2</v>
      </c>
      <c r="DB553">
        <v>5304.5962</v>
      </c>
      <c r="DC553">
        <v>-5163.5989</v>
      </c>
      <c r="DD553">
        <v>140.9973</v>
      </c>
      <c r="DE553">
        <v>683.08</v>
      </c>
      <c r="DF553">
        <v>0</v>
      </c>
      <c r="DG553">
        <v>0</v>
      </c>
      <c r="DH553">
        <v>683.08</v>
      </c>
      <c r="DI553">
        <v>0</v>
      </c>
    </row>
    <row r="554" spans="1:113" x14ac:dyDescent="0.3">
      <c r="E554" t="s">
        <v>78</v>
      </c>
      <c r="F554" t="s">
        <v>135</v>
      </c>
      <c r="G554" t="s">
        <v>135</v>
      </c>
      <c r="H554" t="s">
        <v>135</v>
      </c>
      <c r="I554" t="s">
        <v>135</v>
      </c>
      <c r="J554">
        <v>31.775700000000001</v>
      </c>
      <c r="K554">
        <v>14.4011</v>
      </c>
      <c r="L554">
        <v>32.718200000000003</v>
      </c>
      <c r="M554">
        <v>11.018000000000001</v>
      </c>
      <c r="N554">
        <v>7.0811999999999999</v>
      </c>
      <c r="O554">
        <v>7.0811999999999999</v>
      </c>
      <c r="P554">
        <v>7.0811999999999999</v>
      </c>
      <c r="Q554">
        <v>35.731200000000001</v>
      </c>
      <c r="R554" t="s">
        <v>135</v>
      </c>
      <c r="S554" t="s">
        <v>135</v>
      </c>
      <c r="T554">
        <v>18.7746</v>
      </c>
      <c r="U554">
        <v>44.638300000000001</v>
      </c>
      <c r="V554">
        <v>56.035699999999999</v>
      </c>
      <c r="W554">
        <v>97.621099999999998</v>
      </c>
      <c r="X554">
        <v>95.774600000000007</v>
      </c>
      <c r="Y554" t="s">
        <v>135</v>
      </c>
      <c r="Z554" t="s">
        <v>135</v>
      </c>
      <c r="AA554" t="s">
        <v>135</v>
      </c>
      <c r="AB554" t="s">
        <v>135</v>
      </c>
      <c r="AC554" t="s">
        <v>135</v>
      </c>
      <c r="AD554" t="s">
        <v>135</v>
      </c>
      <c r="AE554" t="s">
        <v>135</v>
      </c>
      <c r="AF554" t="s">
        <v>135</v>
      </c>
      <c r="AG554" t="s">
        <v>135</v>
      </c>
      <c r="AH554" t="s">
        <v>135</v>
      </c>
      <c r="AI554" t="s">
        <v>135</v>
      </c>
      <c r="AJ554" t="s">
        <v>135</v>
      </c>
      <c r="AK554" t="s">
        <v>135</v>
      </c>
      <c r="AL554" t="s">
        <v>135</v>
      </c>
      <c r="AM554">
        <v>24.6265</v>
      </c>
      <c r="AN554">
        <v>23.741</v>
      </c>
      <c r="AO554">
        <v>16.3782</v>
      </c>
      <c r="AP554">
        <v>11.9543</v>
      </c>
      <c r="AQ554">
        <v>6.8078000000000003</v>
      </c>
      <c r="AR554" t="s">
        <v>135</v>
      </c>
      <c r="AS554" t="s">
        <v>135</v>
      </c>
      <c r="AT554" t="s">
        <v>135</v>
      </c>
      <c r="AU554" t="s">
        <v>135</v>
      </c>
      <c r="AV554" t="s">
        <v>135</v>
      </c>
      <c r="AW554" t="s">
        <v>135</v>
      </c>
      <c r="AX554" t="s">
        <v>135</v>
      </c>
      <c r="AY554" t="s">
        <v>135</v>
      </c>
      <c r="AZ554" t="s">
        <v>135</v>
      </c>
      <c r="BA554" t="s">
        <v>135</v>
      </c>
      <c r="BB554" t="s">
        <v>135</v>
      </c>
      <c r="BC554" t="s">
        <v>135</v>
      </c>
      <c r="BD554" t="s">
        <v>135</v>
      </c>
      <c r="BE554" t="s">
        <v>135</v>
      </c>
      <c r="BF554">
        <v>8.4190000000000005</v>
      </c>
      <c r="BG554">
        <v>24.104299999999999</v>
      </c>
      <c r="BH554">
        <v>23.186299999999999</v>
      </c>
      <c r="BI554">
        <v>50.142800000000001</v>
      </c>
      <c r="BJ554">
        <v>49.462400000000002</v>
      </c>
      <c r="BK554" t="s">
        <v>135</v>
      </c>
      <c r="BL554" t="s">
        <v>135</v>
      </c>
      <c r="BM554" t="s">
        <v>135</v>
      </c>
      <c r="BN554" t="s">
        <v>135</v>
      </c>
      <c r="BO554" t="s">
        <v>135</v>
      </c>
      <c r="BP554" t="s">
        <v>135</v>
      </c>
      <c r="BQ554" t="s">
        <v>135</v>
      </c>
      <c r="BR554" t="s">
        <v>135</v>
      </c>
      <c r="BS554" t="s">
        <v>135</v>
      </c>
      <c r="BT554" t="s">
        <v>135</v>
      </c>
      <c r="BU554" t="s">
        <v>135</v>
      </c>
      <c r="BV554" t="s">
        <v>135</v>
      </c>
      <c r="BW554" t="s">
        <v>135</v>
      </c>
      <c r="BX554" t="s">
        <v>135</v>
      </c>
      <c r="BY554" t="s">
        <v>135</v>
      </c>
      <c r="BZ554" t="s">
        <v>135</v>
      </c>
      <c r="CA554" t="s">
        <v>135</v>
      </c>
      <c r="CB554" t="s">
        <v>135</v>
      </c>
      <c r="CC554" t="s">
        <v>135</v>
      </c>
      <c r="CD554" t="s">
        <v>135</v>
      </c>
      <c r="CE554" t="s">
        <v>135</v>
      </c>
      <c r="CF554" t="s">
        <v>135</v>
      </c>
      <c r="CG554" t="s">
        <v>135</v>
      </c>
      <c r="CH554" t="s">
        <v>135</v>
      </c>
      <c r="CI554" t="s">
        <v>135</v>
      </c>
      <c r="CJ554" t="s">
        <v>135</v>
      </c>
      <c r="CK554" t="s">
        <v>135</v>
      </c>
      <c r="CL554" t="s">
        <v>135</v>
      </c>
      <c r="CM554" t="s">
        <v>135</v>
      </c>
      <c r="CN554" t="s">
        <v>135</v>
      </c>
      <c r="CO554" t="s">
        <v>135</v>
      </c>
      <c r="CP554">
        <v>20763.400000000001</v>
      </c>
      <c r="CQ554" t="s">
        <v>135</v>
      </c>
      <c r="CR554">
        <v>9410.2000000000007</v>
      </c>
      <c r="CS554" t="s">
        <v>135</v>
      </c>
      <c r="CT554" t="s">
        <v>135</v>
      </c>
      <c r="CU554" t="s">
        <v>135</v>
      </c>
      <c r="CV554" t="s">
        <v>135</v>
      </c>
      <c r="CW554" t="s">
        <v>135</v>
      </c>
      <c r="CX554" t="s">
        <v>135</v>
      </c>
      <c r="CY554" t="s">
        <v>135</v>
      </c>
      <c r="CZ554" t="s">
        <v>135</v>
      </c>
      <c r="DA554" t="s">
        <v>135</v>
      </c>
      <c r="DB554" t="s">
        <v>135</v>
      </c>
      <c r="DC554" t="s">
        <v>135</v>
      </c>
      <c r="DD554" t="s">
        <v>135</v>
      </c>
      <c r="DE554" t="s">
        <v>135</v>
      </c>
      <c r="DF554" t="s">
        <v>135</v>
      </c>
      <c r="DG554" t="s">
        <v>135</v>
      </c>
      <c r="DH554" t="s">
        <v>135</v>
      </c>
      <c r="DI554" t="s">
        <v>135</v>
      </c>
    </row>
    <row r="555" spans="1:113" x14ac:dyDescent="0.3">
      <c r="E555" t="s">
        <v>79</v>
      </c>
      <c r="F555">
        <v>9.9235000000000007</v>
      </c>
      <c r="G555">
        <v>4.0401999999999996</v>
      </c>
      <c r="H555" t="s">
        <v>135</v>
      </c>
      <c r="I555">
        <v>7.4733999999999998</v>
      </c>
      <c r="J555">
        <v>31.218599999999999</v>
      </c>
      <c r="K555">
        <v>14.125</v>
      </c>
      <c r="L555">
        <v>31.9373</v>
      </c>
      <c r="M555">
        <v>11.0388</v>
      </c>
      <c r="N555">
        <v>7.0877999999999997</v>
      </c>
      <c r="O555">
        <v>7.0877999999999997</v>
      </c>
      <c r="P555">
        <v>7.0877999999999997</v>
      </c>
      <c r="Q555">
        <v>35.791499999999999</v>
      </c>
      <c r="R555" t="s">
        <v>135</v>
      </c>
      <c r="S555" t="s">
        <v>135</v>
      </c>
      <c r="T555">
        <v>19.001000000000001</v>
      </c>
      <c r="U555">
        <v>38.591799999999999</v>
      </c>
      <c r="V555">
        <v>56.5002</v>
      </c>
      <c r="W555">
        <v>86.473100000000002</v>
      </c>
      <c r="X555">
        <v>87.5</v>
      </c>
      <c r="Y555" t="s">
        <v>135</v>
      </c>
      <c r="Z555">
        <v>3.1301999999999999</v>
      </c>
      <c r="AA555">
        <v>-6.3582999999999998</v>
      </c>
      <c r="AB555" t="s">
        <v>135</v>
      </c>
      <c r="AC555">
        <v>14.3553</v>
      </c>
      <c r="AD555">
        <v>34.470199999999998</v>
      </c>
      <c r="AE555">
        <v>35.238700000000001</v>
      </c>
      <c r="AF555">
        <v>-24.629200000000001</v>
      </c>
      <c r="AG555">
        <v>-92.821600000000004</v>
      </c>
      <c r="AH555">
        <v>8.9770000000000003</v>
      </c>
      <c r="AI555">
        <v>15.9367</v>
      </c>
      <c r="AJ555">
        <v>12.8889</v>
      </c>
      <c r="AK555">
        <v>15.724600000000001</v>
      </c>
      <c r="AL555" t="s">
        <v>135</v>
      </c>
      <c r="AM555">
        <v>22.394500000000001</v>
      </c>
      <c r="AN555">
        <v>26.587499999999999</v>
      </c>
      <c r="AO555">
        <v>24.077200000000001</v>
      </c>
      <c r="AP555">
        <v>25.448399999999999</v>
      </c>
      <c r="AQ555">
        <v>21.9755</v>
      </c>
      <c r="AR555" t="s">
        <v>135</v>
      </c>
      <c r="AS555" t="s">
        <v>135</v>
      </c>
      <c r="AT555" t="s">
        <v>135</v>
      </c>
      <c r="AU555" t="s">
        <v>135</v>
      </c>
      <c r="AV555" t="s">
        <v>135</v>
      </c>
      <c r="AW555" t="s">
        <v>135</v>
      </c>
      <c r="AX555" t="s">
        <v>135</v>
      </c>
      <c r="AY555" t="s">
        <v>135</v>
      </c>
      <c r="AZ555" t="s">
        <v>135</v>
      </c>
      <c r="BA555" t="s">
        <v>135</v>
      </c>
      <c r="BB555" t="s">
        <v>135</v>
      </c>
      <c r="BC555" t="s">
        <v>135</v>
      </c>
      <c r="BD555" t="s">
        <v>135</v>
      </c>
      <c r="BE555" t="s">
        <v>135</v>
      </c>
      <c r="BF555">
        <v>-3.3544</v>
      </c>
      <c r="BG555">
        <v>-5.0488</v>
      </c>
      <c r="BH555">
        <v>-5.2070999999999996</v>
      </c>
      <c r="BI555">
        <v>-3.2633999999999999</v>
      </c>
      <c r="BJ555">
        <v>-2.8776999999999999</v>
      </c>
      <c r="BK555" t="s">
        <v>135</v>
      </c>
      <c r="BL555" t="s">
        <v>135</v>
      </c>
      <c r="BM555" t="s">
        <v>135</v>
      </c>
      <c r="BN555" t="s">
        <v>135</v>
      </c>
      <c r="BO555" t="s">
        <v>135</v>
      </c>
      <c r="BP555" t="s">
        <v>135</v>
      </c>
      <c r="BQ555" t="s">
        <v>135</v>
      </c>
      <c r="BR555" t="s">
        <v>135</v>
      </c>
      <c r="BS555" t="s">
        <v>135</v>
      </c>
      <c r="BT555" t="s">
        <v>135</v>
      </c>
      <c r="BU555" t="s">
        <v>135</v>
      </c>
      <c r="BV555" t="s">
        <v>135</v>
      </c>
      <c r="BW555" t="s">
        <v>135</v>
      </c>
      <c r="BX555" t="s">
        <v>135</v>
      </c>
      <c r="BY555">
        <v>114687.4</v>
      </c>
      <c r="BZ555">
        <v>663.9</v>
      </c>
      <c r="CA555">
        <v>114023.5</v>
      </c>
      <c r="CB555">
        <v>1.5941000000000001</v>
      </c>
      <c r="CC555">
        <v>1.1897</v>
      </c>
      <c r="CD555">
        <v>3.5989</v>
      </c>
      <c r="CE555">
        <v>2.6858</v>
      </c>
      <c r="CF555" t="s">
        <v>135</v>
      </c>
      <c r="CG555">
        <v>40.974600000000002</v>
      </c>
      <c r="CH555">
        <v>72.8095</v>
      </c>
      <c r="CI555">
        <v>42.029699999999998</v>
      </c>
      <c r="CJ555">
        <v>29.8371</v>
      </c>
      <c r="CK555">
        <v>73.233500000000006</v>
      </c>
      <c r="CL555">
        <v>42.2744</v>
      </c>
      <c r="CM555">
        <v>30.0108</v>
      </c>
      <c r="CN555">
        <v>54.652700000000003</v>
      </c>
      <c r="CO555">
        <v>35.338999999999999</v>
      </c>
      <c r="CP555">
        <v>19715.099999999999</v>
      </c>
      <c r="CQ555" t="s">
        <v>135</v>
      </c>
      <c r="CR555">
        <v>8920.2000000000007</v>
      </c>
      <c r="CS555">
        <v>0.35649999999999998</v>
      </c>
      <c r="CT555">
        <v>0.57399999999999995</v>
      </c>
      <c r="CU555">
        <v>0.46110000000000001</v>
      </c>
      <c r="CV555">
        <v>2.8641999999999999</v>
      </c>
      <c r="CW555">
        <v>29.0931</v>
      </c>
      <c r="CX555">
        <v>12.5459</v>
      </c>
      <c r="CY555">
        <v>2.2604000000000002</v>
      </c>
      <c r="CZ555">
        <v>161.47470000000001</v>
      </c>
      <c r="DA555">
        <v>6.4600000000000005E-2</v>
      </c>
      <c r="DB555">
        <v>5650.0245000000004</v>
      </c>
      <c r="DC555">
        <v>-5476.0038999999997</v>
      </c>
      <c r="DD555">
        <v>174.0206</v>
      </c>
      <c r="DE555">
        <v>854.2</v>
      </c>
      <c r="DF555" t="s">
        <v>135</v>
      </c>
      <c r="DG555" t="s">
        <v>135</v>
      </c>
      <c r="DH555" t="s">
        <v>135</v>
      </c>
      <c r="DI555">
        <v>854.2</v>
      </c>
    </row>
    <row r="556" spans="1:113" x14ac:dyDescent="0.3">
      <c r="E556" t="s">
        <v>80</v>
      </c>
      <c r="F556" t="s">
        <v>135</v>
      </c>
      <c r="G556" t="s">
        <v>135</v>
      </c>
      <c r="H556" t="s">
        <v>135</v>
      </c>
      <c r="I556" t="s">
        <v>135</v>
      </c>
      <c r="J556">
        <v>31.110399999999998</v>
      </c>
      <c r="K556">
        <v>13.455500000000001</v>
      </c>
      <c r="L556">
        <v>28.901800000000001</v>
      </c>
      <c r="M556">
        <v>11.071899999999999</v>
      </c>
      <c r="N556">
        <v>7.0785999999999998</v>
      </c>
      <c r="O556">
        <v>7.0785999999999998</v>
      </c>
      <c r="P556">
        <v>7.0785999999999998</v>
      </c>
      <c r="Q556">
        <v>36.067500000000003</v>
      </c>
      <c r="R556" t="s">
        <v>135</v>
      </c>
      <c r="S556" t="s">
        <v>135</v>
      </c>
      <c r="T556">
        <v>18.584199999999999</v>
      </c>
      <c r="U556">
        <v>39.518500000000003</v>
      </c>
      <c r="V556">
        <v>50.743499999999997</v>
      </c>
      <c r="W556">
        <v>104.6332</v>
      </c>
      <c r="X556">
        <v>104.34780000000001</v>
      </c>
      <c r="Y556" t="s">
        <v>135</v>
      </c>
      <c r="Z556" t="s">
        <v>135</v>
      </c>
      <c r="AA556" t="s">
        <v>135</v>
      </c>
      <c r="AB556" t="s">
        <v>135</v>
      </c>
      <c r="AC556" t="s">
        <v>135</v>
      </c>
      <c r="AD556" t="s">
        <v>135</v>
      </c>
      <c r="AE556" t="s">
        <v>135</v>
      </c>
      <c r="AF556" t="s">
        <v>135</v>
      </c>
      <c r="AG556" t="s">
        <v>135</v>
      </c>
      <c r="AH556" t="s">
        <v>135</v>
      </c>
      <c r="AI556" t="s">
        <v>135</v>
      </c>
      <c r="AJ556" t="s">
        <v>135</v>
      </c>
      <c r="AK556" t="s">
        <v>135</v>
      </c>
      <c r="AL556" t="s">
        <v>135</v>
      </c>
      <c r="AM556">
        <v>19.350300000000001</v>
      </c>
      <c r="AN556">
        <v>24.2029</v>
      </c>
      <c r="AO556">
        <v>24.123799999999999</v>
      </c>
      <c r="AP556">
        <v>16.340800000000002</v>
      </c>
      <c r="AQ556">
        <v>14.707599999999999</v>
      </c>
      <c r="AR556" t="s">
        <v>135</v>
      </c>
      <c r="AS556" t="s">
        <v>135</v>
      </c>
      <c r="AT556" t="s">
        <v>135</v>
      </c>
      <c r="AU556" t="s">
        <v>135</v>
      </c>
      <c r="AV556" t="s">
        <v>135</v>
      </c>
      <c r="AW556" t="s">
        <v>135</v>
      </c>
      <c r="AX556" t="s">
        <v>135</v>
      </c>
      <c r="AY556" t="s">
        <v>135</v>
      </c>
      <c r="AZ556" t="s">
        <v>135</v>
      </c>
      <c r="BA556" t="s">
        <v>135</v>
      </c>
      <c r="BB556" t="s">
        <v>135</v>
      </c>
      <c r="BC556" t="s">
        <v>135</v>
      </c>
      <c r="BD556" t="s">
        <v>135</v>
      </c>
      <c r="BE556" t="s">
        <v>135</v>
      </c>
      <c r="BF556">
        <v>4.6319999999999997</v>
      </c>
      <c r="BG556">
        <v>4.2693000000000003</v>
      </c>
      <c r="BH556">
        <v>-0.32729999999999998</v>
      </c>
      <c r="BI556">
        <v>4.4950000000000001</v>
      </c>
      <c r="BJ556">
        <v>4.4443999999999999</v>
      </c>
      <c r="BK556" t="s">
        <v>135</v>
      </c>
      <c r="BL556" t="s">
        <v>135</v>
      </c>
      <c r="BM556" t="s">
        <v>135</v>
      </c>
      <c r="BN556" t="s">
        <v>135</v>
      </c>
      <c r="BO556" t="s">
        <v>135</v>
      </c>
      <c r="BP556" t="s">
        <v>135</v>
      </c>
      <c r="BQ556" t="s">
        <v>135</v>
      </c>
      <c r="BR556" t="s">
        <v>135</v>
      </c>
      <c r="BS556" t="s">
        <v>135</v>
      </c>
      <c r="BT556" t="s">
        <v>135</v>
      </c>
      <c r="BU556" t="s">
        <v>135</v>
      </c>
      <c r="BV556" t="s">
        <v>135</v>
      </c>
      <c r="BW556" t="s">
        <v>135</v>
      </c>
      <c r="BX556" t="s">
        <v>135</v>
      </c>
      <c r="BY556" t="s">
        <v>135</v>
      </c>
      <c r="BZ556" t="s">
        <v>135</v>
      </c>
      <c r="CA556" t="s">
        <v>135</v>
      </c>
      <c r="CB556" t="s">
        <v>135</v>
      </c>
      <c r="CC556" t="s">
        <v>135</v>
      </c>
      <c r="CD556" t="s">
        <v>135</v>
      </c>
      <c r="CE556" t="s">
        <v>135</v>
      </c>
      <c r="CF556" t="s">
        <v>135</v>
      </c>
      <c r="CG556" t="s">
        <v>135</v>
      </c>
      <c r="CH556" t="s">
        <v>135</v>
      </c>
      <c r="CI556" t="s">
        <v>135</v>
      </c>
      <c r="CJ556" t="s">
        <v>135</v>
      </c>
      <c r="CK556" t="s">
        <v>135</v>
      </c>
      <c r="CL556" t="s">
        <v>135</v>
      </c>
      <c r="CM556" t="s">
        <v>135</v>
      </c>
      <c r="CN556" t="s">
        <v>135</v>
      </c>
      <c r="CO556" t="s">
        <v>135</v>
      </c>
      <c r="CP556">
        <v>20556.8</v>
      </c>
      <c r="CQ556" t="s">
        <v>135</v>
      </c>
      <c r="CR556">
        <v>8891</v>
      </c>
      <c r="CS556" t="s">
        <v>135</v>
      </c>
      <c r="CT556" t="s">
        <v>135</v>
      </c>
      <c r="CU556" t="s">
        <v>135</v>
      </c>
      <c r="CV556" t="s">
        <v>135</v>
      </c>
      <c r="CW556" t="s">
        <v>135</v>
      </c>
      <c r="CX556" t="s">
        <v>135</v>
      </c>
      <c r="CY556" t="s">
        <v>135</v>
      </c>
      <c r="CZ556" t="s">
        <v>135</v>
      </c>
      <c r="DA556" t="s">
        <v>135</v>
      </c>
      <c r="DB556" t="s">
        <v>135</v>
      </c>
      <c r="DC556" t="s">
        <v>135</v>
      </c>
      <c r="DD556" t="s">
        <v>135</v>
      </c>
      <c r="DE556" t="s">
        <v>135</v>
      </c>
      <c r="DF556" t="s">
        <v>135</v>
      </c>
      <c r="DG556" t="s">
        <v>135</v>
      </c>
      <c r="DH556" t="s">
        <v>135</v>
      </c>
      <c r="DI556" t="s">
        <v>135</v>
      </c>
    </row>
    <row r="557" spans="1:113" x14ac:dyDescent="0.3">
      <c r="E557" t="s">
        <v>81</v>
      </c>
      <c r="F557">
        <v>12.766299999999999</v>
      </c>
      <c r="G557">
        <v>4.7454000000000001</v>
      </c>
      <c r="H557" t="s">
        <v>135</v>
      </c>
      <c r="I557">
        <v>7.1241000000000003</v>
      </c>
      <c r="J557">
        <v>31.974799999999998</v>
      </c>
      <c r="K557">
        <v>15.6585</v>
      </c>
      <c r="L557">
        <v>34.633200000000002</v>
      </c>
      <c r="M557">
        <v>12.8405</v>
      </c>
      <c r="N557">
        <v>8.4558</v>
      </c>
      <c r="O557">
        <v>8.4558</v>
      </c>
      <c r="P557">
        <v>8.4558</v>
      </c>
      <c r="Q557">
        <v>34.147300000000001</v>
      </c>
      <c r="R557" t="s">
        <v>135</v>
      </c>
      <c r="S557" t="s">
        <v>135</v>
      </c>
      <c r="T557">
        <v>15.725300000000001</v>
      </c>
      <c r="U557">
        <v>33.297699999999999</v>
      </c>
      <c r="V557">
        <v>42.969000000000001</v>
      </c>
      <c r="W557">
        <v>91.371899999999997</v>
      </c>
      <c r="X557">
        <v>90.322599999999994</v>
      </c>
      <c r="Y557" t="s">
        <v>135</v>
      </c>
      <c r="Z557">
        <v>-27.4499</v>
      </c>
      <c r="AA557">
        <v>-5.9661999999999997</v>
      </c>
      <c r="AB557">
        <v>52.842300000000002</v>
      </c>
      <c r="AC557">
        <v>27.982199999999999</v>
      </c>
      <c r="AD557">
        <v>-14.0214</v>
      </c>
      <c r="AE557">
        <v>-29.9009</v>
      </c>
      <c r="AF557">
        <v>3.7549000000000001</v>
      </c>
      <c r="AG557">
        <v>11.944900000000001</v>
      </c>
      <c r="AH557">
        <v>46.9328</v>
      </c>
      <c r="AI557">
        <v>15.5305</v>
      </c>
      <c r="AJ557">
        <v>31.0868</v>
      </c>
      <c r="AK557">
        <v>15.347799999999999</v>
      </c>
      <c r="AL557" t="s">
        <v>135</v>
      </c>
      <c r="AM557">
        <v>18.9405</v>
      </c>
      <c r="AN557">
        <v>22.396599999999999</v>
      </c>
      <c r="AO557">
        <v>23.450700000000001</v>
      </c>
      <c r="AP557">
        <v>18.261199999999999</v>
      </c>
      <c r="AQ557">
        <v>16.6358</v>
      </c>
      <c r="AR557" t="s">
        <v>135</v>
      </c>
      <c r="AS557">
        <v>6.2824</v>
      </c>
      <c r="AT557">
        <v>5.5560999999999998</v>
      </c>
      <c r="AU557">
        <v>16.591799999999999</v>
      </c>
      <c r="AV557">
        <v>11.6347</v>
      </c>
      <c r="AW557" t="s">
        <v>135</v>
      </c>
      <c r="AX557" t="s">
        <v>135</v>
      </c>
      <c r="AY557">
        <v>1.4332</v>
      </c>
      <c r="AZ557">
        <v>1.3807</v>
      </c>
      <c r="BA557">
        <v>18.283300000000001</v>
      </c>
      <c r="BB557">
        <v>3.6848999999999998</v>
      </c>
      <c r="BC557">
        <v>10.3569</v>
      </c>
      <c r="BD557">
        <v>2.2762000000000002</v>
      </c>
      <c r="BE557" t="s">
        <v>135</v>
      </c>
      <c r="BF557">
        <v>5.5544000000000002</v>
      </c>
      <c r="BG557">
        <v>8.4871999999999996</v>
      </c>
      <c r="BH557">
        <v>22.836600000000001</v>
      </c>
      <c r="BI557">
        <v>26.091999999999999</v>
      </c>
      <c r="BJ557">
        <v>25.5319</v>
      </c>
      <c r="BK557" t="s">
        <v>135</v>
      </c>
      <c r="BL557" t="s">
        <v>135</v>
      </c>
      <c r="BM557" t="s">
        <v>135</v>
      </c>
      <c r="BN557" t="s">
        <v>135</v>
      </c>
      <c r="BO557" t="s">
        <v>135</v>
      </c>
      <c r="BP557" t="s">
        <v>135</v>
      </c>
      <c r="BQ557" t="s">
        <v>135</v>
      </c>
      <c r="BR557" t="s">
        <v>135</v>
      </c>
      <c r="BS557" t="s">
        <v>135</v>
      </c>
      <c r="BT557" t="s">
        <v>135</v>
      </c>
      <c r="BU557" t="s">
        <v>135</v>
      </c>
      <c r="BV557" t="s">
        <v>135</v>
      </c>
      <c r="BW557" t="s">
        <v>135</v>
      </c>
      <c r="BX557" t="s">
        <v>135</v>
      </c>
      <c r="BY557">
        <v>206349.27</v>
      </c>
      <c r="BZ557">
        <v>25065.22</v>
      </c>
      <c r="CA557">
        <v>181284.05</v>
      </c>
      <c r="CB557">
        <v>2.4761000000000002</v>
      </c>
      <c r="CC557">
        <v>2.4336000000000002</v>
      </c>
      <c r="CD557">
        <v>5.4099000000000004</v>
      </c>
      <c r="CE557">
        <v>5.3170000000000002</v>
      </c>
      <c r="CF557" t="s">
        <v>135</v>
      </c>
      <c r="CG557">
        <v>35.493899999999996</v>
      </c>
      <c r="CH557">
        <v>109.68980000000001</v>
      </c>
      <c r="CI557">
        <v>48.782200000000003</v>
      </c>
      <c r="CJ557">
        <v>38.9377</v>
      </c>
      <c r="CK557">
        <v>124.8561</v>
      </c>
      <c r="CL557">
        <v>55.527099999999997</v>
      </c>
      <c r="CM557">
        <v>44.321399999999997</v>
      </c>
      <c r="CN557">
        <v>122.7122</v>
      </c>
      <c r="CO557">
        <v>55.098999999999997</v>
      </c>
      <c r="CP557">
        <v>22301.5</v>
      </c>
      <c r="CQ557" t="s">
        <v>135</v>
      </c>
      <c r="CR557">
        <v>10921.4</v>
      </c>
      <c r="CS557">
        <v>4.0899999999999999E-2</v>
      </c>
      <c r="CT557">
        <v>0.2878</v>
      </c>
      <c r="CU557">
        <v>9.3600000000000003E-2</v>
      </c>
      <c r="CV557">
        <v>1.8605</v>
      </c>
      <c r="CW557">
        <v>48.614400000000003</v>
      </c>
      <c r="CX557">
        <v>7.5080999999999998</v>
      </c>
      <c r="CY557">
        <v>2.7343000000000002</v>
      </c>
      <c r="CZ557">
        <v>133.48920000000001</v>
      </c>
      <c r="DA557">
        <v>6.88E-2</v>
      </c>
      <c r="DB557">
        <v>5304.5962</v>
      </c>
      <c r="DC557">
        <v>-5163.5989</v>
      </c>
      <c r="DD557">
        <v>140.9973</v>
      </c>
      <c r="DE557">
        <v>683.08</v>
      </c>
      <c r="DF557">
        <v>0</v>
      </c>
      <c r="DG557">
        <v>0</v>
      </c>
      <c r="DH557">
        <v>683.08</v>
      </c>
      <c r="DI557">
        <v>0</v>
      </c>
    </row>
    <row r="558" spans="1:113" x14ac:dyDescent="0.3">
      <c r="D558" t="s">
        <v>82</v>
      </c>
      <c r="E558" t="s">
        <v>77</v>
      </c>
      <c r="F558">
        <v>16.145199999999999</v>
      </c>
      <c r="G558">
        <v>5.9667000000000003</v>
      </c>
      <c r="H558">
        <v>8.8170999999999999</v>
      </c>
      <c r="I558">
        <v>7.8269000000000002</v>
      </c>
      <c r="J558">
        <v>34.376600000000003</v>
      </c>
      <c r="K558">
        <v>17.553999999999998</v>
      </c>
      <c r="L558">
        <v>33.758400000000002</v>
      </c>
      <c r="M558">
        <v>15.6455</v>
      </c>
      <c r="N558">
        <v>10.127599999999999</v>
      </c>
      <c r="O558">
        <v>10.127599999999999</v>
      </c>
      <c r="P558">
        <v>10.127599999999999</v>
      </c>
      <c r="Q558">
        <v>35.2684</v>
      </c>
      <c r="R558">
        <v>6.7609000000000004</v>
      </c>
      <c r="S558">
        <v>15.053599999999999</v>
      </c>
      <c r="T558">
        <v>19.275500000000001</v>
      </c>
      <c r="U558">
        <v>30.0489</v>
      </c>
      <c r="V558">
        <v>45.092599999999997</v>
      </c>
      <c r="W558">
        <v>62.256</v>
      </c>
      <c r="X558">
        <v>51.8581</v>
      </c>
      <c r="Y558">
        <v>50</v>
      </c>
      <c r="Z558">
        <v>11.599</v>
      </c>
      <c r="AA558">
        <v>3.9906999999999999</v>
      </c>
      <c r="AB558">
        <v>-20.5166</v>
      </c>
      <c r="AC558">
        <v>29.875699999999998</v>
      </c>
      <c r="AD558">
        <v>-11.210599999999999</v>
      </c>
      <c r="AE558">
        <v>68.727099999999993</v>
      </c>
      <c r="AF558">
        <v>11.0974</v>
      </c>
      <c r="AG558">
        <v>309.16890000000001</v>
      </c>
      <c r="AH558">
        <v>30.1632</v>
      </c>
      <c r="AI558">
        <v>39.343299999999999</v>
      </c>
      <c r="AJ558">
        <v>34.245899999999999</v>
      </c>
      <c r="AK558">
        <v>28.572500000000002</v>
      </c>
      <c r="AL558">
        <v>30.884699999999999</v>
      </c>
      <c r="AM558">
        <v>20.522100000000002</v>
      </c>
      <c r="AN558">
        <v>25.659800000000001</v>
      </c>
      <c r="AO558">
        <v>30.824000000000002</v>
      </c>
      <c r="AP558">
        <v>27.3307</v>
      </c>
      <c r="AQ558">
        <v>24.053100000000001</v>
      </c>
      <c r="AR558" t="s">
        <v>135</v>
      </c>
      <c r="AS558">
        <v>3.1825000000000001</v>
      </c>
      <c r="AT558">
        <v>5.78</v>
      </c>
      <c r="AU558">
        <v>9.1258999999999997</v>
      </c>
      <c r="AV558">
        <v>20.281099999999999</v>
      </c>
      <c r="AW558" t="s">
        <v>135</v>
      </c>
      <c r="AX558" t="s">
        <v>135</v>
      </c>
      <c r="AY558">
        <v>4.9279000000000002</v>
      </c>
      <c r="AZ558">
        <v>55.775199999999998</v>
      </c>
      <c r="BA558">
        <v>27.861999999999998</v>
      </c>
      <c r="BB558">
        <v>14.161899999999999</v>
      </c>
      <c r="BC558">
        <v>20.379000000000001</v>
      </c>
      <c r="BD558">
        <v>12.2065</v>
      </c>
      <c r="BE558">
        <v>38.593000000000004</v>
      </c>
      <c r="BF558">
        <v>19.275500000000001</v>
      </c>
      <c r="BG558">
        <v>30.0489</v>
      </c>
      <c r="BH558">
        <v>45.092599999999997</v>
      </c>
      <c r="BI558">
        <v>62.256</v>
      </c>
      <c r="BJ558">
        <v>51.8581</v>
      </c>
      <c r="BK558">
        <v>50</v>
      </c>
      <c r="BL558">
        <v>11.599</v>
      </c>
      <c r="BM558">
        <v>3.9906999999999999</v>
      </c>
      <c r="BN558">
        <v>-20.5166</v>
      </c>
      <c r="BO558">
        <v>29.875699999999998</v>
      </c>
      <c r="BP558" t="s">
        <v>135</v>
      </c>
      <c r="BQ558" t="s">
        <v>135</v>
      </c>
      <c r="BR558">
        <v>11.0974</v>
      </c>
      <c r="BS558">
        <v>309.16890000000001</v>
      </c>
      <c r="BT558">
        <v>30.1632</v>
      </c>
      <c r="BU558">
        <v>39.343299999999999</v>
      </c>
      <c r="BV558">
        <v>34.245899999999999</v>
      </c>
      <c r="BW558">
        <v>28.572500000000002</v>
      </c>
      <c r="BX558">
        <v>30.884699999999999</v>
      </c>
      <c r="BY558">
        <v>268590.90999999997</v>
      </c>
      <c r="BZ558">
        <v>102559.09</v>
      </c>
      <c r="CA558">
        <v>166031.82</v>
      </c>
      <c r="CB558">
        <v>2.4782999999999999</v>
      </c>
      <c r="CC558">
        <v>1.2719</v>
      </c>
      <c r="CD558">
        <v>4.8532999999999999</v>
      </c>
      <c r="CE558">
        <v>2.4908000000000001</v>
      </c>
      <c r="CF558">
        <v>10.8809</v>
      </c>
      <c r="CG558">
        <v>38.082599999999999</v>
      </c>
      <c r="CH558">
        <v>72.096100000000007</v>
      </c>
      <c r="CI558">
        <v>33.280700000000003</v>
      </c>
      <c r="CJ558">
        <v>27.458300000000001</v>
      </c>
      <c r="CK558">
        <v>116.63039999999999</v>
      </c>
      <c r="CL558">
        <v>53.8384</v>
      </c>
      <c r="CM558">
        <v>44.419600000000003</v>
      </c>
      <c r="CN558">
        <v>59.8568</v>
      </c>
      <c r="CO558">
        <v>37.444000000000003</v>
      </c>
      <c r="CP558">
        <v>108378.57</v>
      </c>
      <c r="CQ558">
        <v>66100.86</v>
      </c>
      <c r="CR558">
        <v>55342.35</v>
      </c>
      <c r="CS558">
        <v>0.75160000000000005</v>
      </c>
      <c r="CT558">
        <v>0.88900000000000001</v>
      </c>
      <c r="CU558">
        <v>0.78090000000000004</v>
      </c>
      <c r="CV558">
        <v>2.2852999999999999</v>
      </c>
      <c r="CW558">
        <v>65.174800000000005</v>
      </c>
      <c r="CX558">
        <v>5.6002999999999998</v>
      </c>
      <c r="CY558">
        <v>2.0836000000000001</v>
      </c>
      <c r="CZ558">
        <v>175.1782</v>
      </c>
      <c r="DA558">
        <v>5.0299999999999997E-2</v>
      </c>
      <c r="DB558">
        <v>7262.6243000000004</v>
      </c>
      <c r="DC558">
        <v>-7081.8458000000001</v>
      </c>
      <c r="DD558">
        <v>180.77850000000001</v>
      </c>
      <c r="DE558">
        <v>710.34</v>
      </c>
      <c r="DF558">
        <v>0</v>
      </c>
      <c r="DG558">
        <v>0</v>
      </c>
      <c r="DH558">
        <v>710.34</v>
      </c>
      <c r="DI558">
        <v>0</v>
      </c>
    </row>
    <row r="559" spans="1:113" x14ac:dyDescent="0.3">
      <c r="E559" t="s">
        <v>78</v>
      </c>
      <c r="F559" t="s">
        <v>135</v>
      </c>
      <c r="G559" t="s">
        <v>135</v>
      </c>
      <c r="H559" t="s">
        <v>135</v>
      </c>
      <c r="I559" t="s">
        <v>135</v>
      </c>
      <c r="J559">
        <v>33.232199999999999</v>
      </c>
      <c r="K559">
        <v>17.950399999999998</v>
      </c>
      <c r="L559">
        <v>40.682000000000002</v>
      </c>
      <c r="M559">
        <v>14.8499</v>
      </c>
      <c r="N559">
        <v>9.6390999999999991</v>
      </c>
      <c r="O559">
        <v>9.6390999999999991</v>
      </c>
      <c r="P559">
        <v>9.6390999999999991</v>
      </c>
      <c r="Q559">
        <v>35.0899</v>
      </c>
      <c r="R559" t="s">
        <v>135</v>
      </c>
      <c r="S559" t="s">
        <v>135</v>
      </c>
      <c r="T559">
        <v>15.614100000000001</v>
      </c>
      <c r="U559">
        <v>20.913699999999999</v>
      </c>
      <c r="V559">
        <v>44.108499999999999</v>
      </c>
      <c r="W559">
        <v>57.377200000000002</v>
      </c>
      <c r="X559">
        <v>54.676299999999998</v>
      </c>
      <c r="Y559" t="s">
        <v>135</v>
      </c>
      <c r="Z559" t="s">
        <v>135</v>
      </c>
      <c r="AA559" t="s">
        <v>135</v>
      </c>
      <c r="AB559" t="s">
        <v>135</v>
      </c>
      <c r="AC559" t="s">
        <v>135</v>
      </c>
      <c r="AD559" t="s">
        <v>135</v>
      </c>
      <c r="AE559" t="s">
        <v>135</v>
      </c>
      <c r="AF559" t="s">
        <v>135</v>
      </c>
      <c r="AG559" t="s">
        <v>135</v>
      </c>
      <c r="AH559" t="s">
        <v>135</v>
      </c>
      <c r="AI559" t="s">
        <v>135</v>
      </c>
      <c r="AJ559" t="s">
        <v>135</v>
      </c>
      <c r="AK559" t="s">
        <v>135</v>
      </c>
      <c r="AL559" t="s">
        <v>135</v>
      </c>
      <c r="AM559">
        <v>20.489799999999999</v>
      </c>
      <c r="AN559">
        <v>23.898</v>
      </c>
      <c r="AO559">
        <v>27.380199999999999</v>
      </c>
      <c r="AP559">
        <v>19.641300000000001</v>
      </c>
      <c r="AQ559">
        <v>17.498799999999999</v>
      </c>
      <c r="AR559" t="s">
        <v>135</v>
      </c>
      <c r="AS559" t="s">
        <v>135</v>
      </c>
      <c r="AT559" t="s">
        <v>135</v>
      </c>
      <c r="AU559" t="s">
        <v>135</v>
      </c>
      <c r="AV559" t="s">
        <v>135</v>
      </c>
      <c r="AW559" t="s">
        <v>135</v>
      </c>
      <c r="AX559" t="s">
        <v>135</v>
      </c>
      <c r="AY559" t="s">
        <v>135</v>
      </c>
      <c r="AZ559" t="s">
        <v>135</v>
      </c>
      <c r="BA559" t="s">
        <v>135</v>
      </c>
      <c r="BB559" t="s">
        <v>135</v>
      </c>
      <c r="BC559" t="s">
        <v>135</v>
      </c>
      <c r="BD559" t="s">
        <v>135</v>
      </c>
      <c r="BE559" t="s">
        <v>135</v>
      </c>
      <c r="BF559">
        <v>8.3147000000000002</v>
      </c>
      <c r="BG559">
        <v>12.5745</v>
      </c>
      <c r="BH559">
        <v>24.168099999999999</v>
      </c>
      <c r="BI559">
        <v>23.471900000000002</v>
      </c>
      <c r="BJ559">
        <v>21.468900000000001</v>
      </c>
      <c r="BK559" t="s">
        <v>135</v>
      </c>
      <c r="BL559">
        <v>84.947000000000003</v>
      </c>
      <c r="BM559">
        <v>23.1188</v>
      </c>
      <c r="BN559">
        <v>-2.3353000000000002</v>
      </c>
      <c r="BO559">
        <v>6.6962999999999999</v>
      </c>
      <c r="BP559" t="s">
        <v>135</v>
      </c>
      <c r="BQ559" t="s">
        <v>135</v>
      </c>
      <c r="BR559">
        <v>11.6213</v>
      </c>
      <c r="BS559">
        <v>-30.086400000000001</v>
      </c>
      <c r="BT559">
        <v>-6.0312000000000001</v>
      </c>
      <c r="BU559">
        <v>21.9739</v>
      </c>
      <c r="BV559">
        <v>6.4234999999999998</v>
      </c>
      <c r="BW559">
        <v>14.2524</v>
      </c>
      <c r="BX559" t="s">
        <v>135</v>
      </c>
      <c r="BY559">
        <v>193904</v>
      </c>
      <c r="BZ559">
        <v>17524</v>
      </c>
      <c r="CA559">
        <v>176380</v>
      </c>
      <c r="CB559">
        <v>2.2115</v>
      </c>
      <c r="CC559">
        <v>1.7058</v>
      </c>
      <c r="CD559">
        <v>4.5846999999999998</v>
      </c>
      <c r="CE559">
        <v>3.5362999999999998</v>
      </c>
      <c r="CF559" t="s">
        <v>135</v>
      </c>
      <c r="CG559">
        <v>40.577100000000002</v>
      </c>
      <c r="CH559">
        <v>87.496200000000002</v>
      </c>
      <c r="CI559">
        <v>44.597799999999999</v>
      </c>
      <c r="CJ559">
        <v>35.506700000000002</v>
      </c>
      <c r="CK559">
        <v>96.1892</v>
      </c>
      <c r="CL559">
        <v>49.028799999999997</v>
      </c>
      <c r="CM559">
        <v>39.034399999999998</v>
      </c>
      <c r="CN559">
        <v>74.192700000000002</v>
      </c>
      <c r="CO559">
        <v>42.592300000000002</v>
      </c>
      <c r="CP559">
        <v>25105.8</v>
      </c>
      <c r="CQ559" t="s">
        <v>135</v>
      </c>
      <c r="CR559">
        <v>13560.9</v>
      </c>
      <c r="CS559">
        <v>0.52390000000000003</v>
      </c>
      <c r="CT559">
        <v>0.78120000000000001</v>
      </c>
      <c r="CU559">
        <v>0.62390000000000001</v>
      </c>
      <c r="CV559">
        <v>2.5688</v>
      </c>
      <c r="CW559" t="s">
        <v>135</v>
      </c>
      <c r="CX559" t="s">
        <v>135</v>
      </c>
      <c r="CY559" t="s">
        <v>135</v>
      </c>
      <c r="CZ559" t="s">
        <v>135</v>
      </c>
      <c r="DA559" t="s">
        <v>135</v>
      </c>
      <c r="DB559" t="s">
        <v>135</v>
      </c>
      <c r="DC559" t="s">
        <v>135</v>
      </c>
      <c r="DD559" t="s">
        <v>135</v>
      </c>
      <c r="DE559">
        <v>841</v>
      </c>
      <c r="DF559" t="s">
        <v>135</v>
      </c>
      <c r="DG559" t="s">
        <v>135</v>
      </c>
      <c r="DH559" t="s">
        <v>135</v>
      </c>
      <c r="DI559" t="s">
        <v>135</v>
      </c>
    </row>
    <row r="560" spans="1:113" x14ac:dyDescent="0.3">
      <c r="E560" t="s">
        <v>79</v>
      </c>
      <c r="F560">
        <v>13.633699999999999</v>
      </c>
      <c r="G560">
        <v>5.6657000000000002</v>
      </c>
      <c r="H560" t="s">
        <v>135</v>
      </c>
      <c r="I560">
        <v>8.4807000000000006</v>
      </c>
      <c r="J560">
        <v>32.920499999999997</v>
      </c>
      <c r="K560">
        <v>17.3401</v>
      </c>
      <c r="L560">
        <v>33.575099999999999</v>
      </c>
      <c r="M560">
        <v>15.4305</v>
      </c>
      <c r="N560">
        <v>9.9907000000000004</v>
      </c>
      <c r="O560">
        <v>9.9907000000000004</v>
      </c>
      <c r="P560">
        <v>9.9907000000000004</v>
      </c>
      <c r="Q560">
        <v>35.2532</v>
      </c>
      <c r="R560" t="s">
        <v>135</v>
      </c>
      <c r="S560" t="s">
        <v>135</v>
      </c>
      <c r="T560">
        <v>19.803599999999999</v>
      </c>
      <c r="U560">
        <v>26.334600000000002</v>
      </c>
      <c r="V560">
        <v>47.072899999999997</v>
      </c>
      <c r="W560">
        <v>68.870199999999997</v>
      </c>
      <c r="X560">
        <v>55.555599999999998</v>
      </c>
      <c r="Y560" t="s">
        <v>135</v>
      </c>
      <c r="Z560">
        <v>11.0288</v>
      </c>
      <c r="AA560">
        <v>14.3643</v>
      </c>
      <c r="AB560">
        <v>7.8901000000000003</v>
      </c>
      <c r="AC560">
        <v>34.770400000000002</v>
      </c>
      <c r="AD560">
        <v>-13.9269</v>
      </c>
      <c r="AE560">
        <v>64.233599999999996</v>
      </c>
      <c r="AF560">
        <v>12.9826</v>
      </c>
      <c r="AG560">
        <v>3858.1262000000002</v>
      </c>
      <c r="AH560">
        <v>66.542900000000003</v>
      </c>
      <c r="AI560">
        <v>38.099200000000003</v>
      </c>
      <c r="AJ560">
        <v>50.123600000000003</v>
      </c>
      <c r="AK560">
        <v>27.372699999999998</v>
      </c>
      <c r="AL560" t="s">
        <v>135</v>
      </c>
      <c r="AM560">
        <v>20.578900000000001</v>
      </c>
      <c r="AN560">
        <v>25.203499999999998</v>
      </c>
      <c r="AO560">
        <v>31.797599999999999</v>
      </c>
      <c r="AP560">
        <v>27.981400000000001</v>
      </c>
      <c r="AQ560">
        <v>24.220199999999998</v>
      </c>
      <c r="AR560" t="s">
        <v>135</v>
      </c>
      <c r="AS560" t="s">
        <v>135</v>
      </c>
      <c r="AT560" t="s">
        <v>135</v>
      </c>
      <c r="AU560" t="s">
        <v>135</v>
      </c>
      <c r="AV560" t="s">
        <v>135</v>
      </c>
      <c r="AW560" t="s">
        <v>135</v>
      </c>
      <c r="AX560" t="s">
        <v>135</v>
      </c>
      <c r="AY560" t="s">
        <v>135</v>
      </c>
      <c r="AZ560" t="s">
        <v>135</v>
      </c>
      <c r="BA560" t="s">
        <v>135</v>
      </c>
      <c r="BB560" t="s">
        <v>135</v>
      </c>
      <c r="BC560" t="s">
        <v>135</v>
      </c>
      <c r="BD560" t="s">
        <v>135</v>
      </c>
      <c r="BE560" t="s">
        <v>135</v>
      </c>
      <c r="BF560">
        <v>0.1477</v>
      </c>
      <c r="BG560">
        <v>-0.79179999999999995</v>
      </c>
      <c r="BH560">
        <v>-3.2572000000000001</v>
      </c>
      <c r="BI560">
        <v>3.8012000000000001</v>
      </c>
      <c r="BJ560">
        <v>-2.3256000000000001</v>
      </c>
      <c r="BK560" t="s">
        <v>135</v>
      </c>
      <c r="BL560">
        <v>12.0412</v>
      </c>
      <c r="BM560">
        <v>16.159300000000002</v>
      </c>
      <c r="BN560">
        <v>0.68079999999999996</v>
      </c>
      <c r="BO560">
        <v>3.6795999999999998</v>
      </c>
      <c r="BP560" t="s">
        <v>135</v>
      </c>
      <c r="BQ560" t="s">
        <v>135</v>
      </c>
      <c r="BR560">
        <v>-6.3628</v>
      </c>
      <c r="BS560">
        <v>49.954300000000003</v>
      </c>
      <c r="BT560">
        <v>-1.4957</v>
      </c>
      <c r="BU560">
        <v>7.2844999999999995</v>
      </c>
      <c r="BV560">
        <v>2.9797000000000002</v>
      </c>
      <c r="BW560">
        <v>5.7226999999999997</v>
      </c>
      <c r="BX560" t="s">
        <v>135</v>
      </c>
      <c r="BY560">
        <v>191003.7</v>
      </c>
      <c r="BZ560">
        <v>26278</v>
      </c>
      <c r="CA560">
        <v>164725.70000000001</v>
      </c>
      <c r="CB560">
        <v>2.0567000000000002</v>
      </c>
      <c r="CC560">
        <v>1.3801000000000001</v>
      </c>
      <c r="CD560">
        <v>4.1082999999999998</v>
      </c>
      <c r="CE560">
        <v>2.7568000000000001</v>
      </c>
      <c r="CF560" t="s">
        <v>135</v>
      </c>
      <c r="CG560">
        <v>41.988100000000003</v>
      </c>
      <c r="CH560">
        <v>76.166499999999999</v>
      </c>
      <c r="CI560">
        <v>40.445900000000002</v>
      </c>
      <c r="CJ560">
        <v>31.983699999999999</v>
      </c>
      <c r="CK560">
        <v>88.316999999999993</v>
      </c>
      <c r="CL560">
        <v>46.898000000000003</v>
      </c>
      <c r="CM560">
        <v>37.085999999999999</v>
      </c>
      <c r="CN560">
        <v>59.263800000000003</v>
      </c>
      <c r="CO560">
        <v>37.211100000000002</v>
      </c>
      <c r="CP560">
        <v>24907</v>
      </c>
      <c r="CQ560" t="s">
        <v>135</v>
      </c>
      <c r="CR560">
        <v>13119.2</v>
      </c>
      <c r="CS560">
        <v>0.64239999999999997</v>
      </c>
      <c r="CT560">
        <v>0.87290000000000001</v>
      </c>
      <c r="CU560">
        <v>0.73929999999999996</v>
      </c>
      <c r="CV560">
        <v>2.8666</v>
      </c>
      <c r="CW560">
        <v>31.879200000000001</v>
      </c>
      <c r="CX560">
        <v>11.4495</v>
      </c>
      <c r="CY560">
        <v>2.0756000000000001</v>
      </c>
      <c r="CZ560">
        <v>175.85419999999999</v>
      </c>
      <c r="DA560">
        <v>7.3700000000000002E-2</v>
      </c>
      <c r="DB560">
        <v>4955.5020000000004</v>
      </c>
      <c r="DC560">
        <v>-4768.1983</v>
      </c>
      <c r="DD560">
        <v>187.30369999999999</v>
      </c>
      <c r="DE560">
        <v>976.9</v>
      </c>
      <c r="DF560" t="s">
        <v>135</v>
      </c>
      <c r="DG560" t="s">
        <v>135</v>
      </c>
      <c r="DH560" t="s">
        <v>135</v>
      </c>
      <c r="DI560" t="s">
        <v>135</v>
      </c>
    </row>
    <row r="561" spans="4:113" x14ac:dyDescent="0.3">
      <c r="E561" t="s">
        <v>80</v>
      </c>
      <c r="F561" t="s">
        <v>135</v>
      </c>
      <c r="G561" t="s">
        <v>135</v>
      </c>
      <c r="H561" t="s">
        <v>135</v>
      </c>
      <c r="I561" t="s">
        <v>135</v>
      </c>
      <c r="J561">
        <v>34.368499999999997</v>
      </c>
      <c r="K561">
        <v>15.8568</v>
      </c>
      <c r="L561">
        <v>27.1782</v>
      </c>
      <c r="M561">
        <v>14.629300000000001</v>
      </c>
      <c r="N561">
        <v>9.5771999999999995</v>
      </c>
      <c r="O561">
        <v>9.5771999999999995</v>
      </c>
      <c r="P561">
        <v>9.5771999999999995</v>
      </c>
      <c r="Q561">
        <v>34.533900000000003</v>
      </c>
      <c r="R561" t="s">
        <v>135</v>
      </c>
      <c r="S561" t="s">
        <v>135</v>
      </c>
      <c r="T561">
        <v>21.21</v>
      </c>
      <c r="U561">
        <v>33.9041</v>
      </c>
      <c r="V561">
        <v>42.841099999999997</v>
      </c>
      <c r="W561">
        <v>63.996299999999998</v>
      </c>
      <c r="X561">
        <v>50.354599999999998</v>
      </c>
      <c r="Y561" t="s">
        <v>135</v>
      </c>
      <c r="Z561" t="s">
        <v>135</v>
      </c>
      <c r="AA561" t="s">
        <v>135</v>
      </c>
      <c r="AB561" t="s">
        <v>135</v>
      </c>
      <c r="AC561" t="s">
        <v>135</v>
      </c>
      <c r="AD561" t="s">
        <v>135</v>
      </c>
      <c r="AE561" t="s">
        <v>135</v>
      </c>
      <c r="AF561" t="s">
        <v>135</v>
      </c>
      <c r="AG561" t="s">
        <v>135</v>
      </c>
      <c r="AH561" t="s">
        <v>135</v>
      </c>
      <c r="AI561" t="s">
        <v>135</v>
      </c>
      <c r="AJ561" t="s">
        <v>135</v>
      </c>
      <c r="AK561" t="s">
        <v>135</v>
      </c>
      <c r="AL561" t="s">
        <v>135</v>
      </c>
      <c r="AM561">
        <v>20.627800000000001</v>
      </c>
      <c r="AN561">
        <v>27.588100000000001</v>
      </c>
      <c r="AO561">
        <v>33.358699999999999</v>
      </c>
      <c r="AP561">
        <v>35.151200000000003</v>
      </c>
      <c r="AQ561">
        <v>30.976900000000001</v>
      </c>
      <c r="AR561" t="s">
        <v>135</v>
      </c>
      <c r="AS561" t="s">
        <v>135</v>
      </c>
      <c r="AT561" t="s">
        <v>135</v>
      </c>
      <c r="AU561" t="s">
        <v>135</v>
      </c>
      <c r="AV561" t="s">
        <v>135</v>
      </c>
      <c r="AW561" t="s">
        <v>135</v>
      </c>
      <c r="AX561" t="s">
        <v>135</v>
      </c>
      <c r="AY561" t="s">
        <v>135</v>
      </c>
      <c r="AZ561" t="s">
        <v>135</v>
      </c>
      <c r="BA561" t="s">
        <v>135</v>
      </c>
      <c r="BB561" t="s">
        <v>135</v>
      </c>
      <c r="BC561" t="s">
        <v>135</v>
      </c>
      <c r="BD561" t="s">
        <v>135</v>
      </c>
      <c r="BE561" t="s">
        <v>135</v>
      </c>
      <c r="BF561">
        <v>5.8602999999999996</v>
      </c>
      <c r="BG561">
        <v>10.5167</v>
      </c>
      <c r="BH561">
        <v>-3.1953</v>
      </c>
      <c r="BI561">
        <v>1.4791000000000001</v>
      </c>
      <c r="BJ561">
        <v>0.95240000000000002</v>
      </c>
      <c r="BK561" t="s">
        <v>135</v>
      </c>
      <c r="BL561">
        <v>1.5284</v>
      </c>
      <c r="BM561">
        <v>-14.6279</v>
      </c>
      <c r="BN561">
        <v>-8.6806999999999999</v>
      </c>
      <c r="BO561">
        <v>-0.32529999999999998</v>
      </c>
      <c r="BP561" t="s">
        <v>135</v>
      </c>
      <c r="BQ561" t="s">
        <v>135</v>
      </c>
      <c r="BR561">
        <v>4.4203999999999999</v>
      </c>
      <c r="BS561">
        <v>-9.3956999999999997</v>
      </c>
      <c r="BT561">
        <v>-3.7359</v>
      </c>
      <c r="BU561">
        <v>3.5074000000000001</v>
      </c>
      <c r="BV561">
        <v>0.1104</v>
      </c>
      <c r="BW561">
        <v>12.1883</v>
      </c>
      <c r="BX561" t="s">
        <v>135</v>
      </c>
      <c r="BY561">
        <v>183868</v>
      </c>
      <c r="BZ561">
        <v>23809</v>
      </c>
      <c r="CA561">
        <v>160059</v>
      </c>
      <c r="CB561">
        <v>1.8416000000000001</v>
      </c>
      <c r="CC561">
        <v>1.1997</v>
      </c>
      <c r="CD561">
        <v>3.6553</v>
      </c>
      <c r="CE561">
        <v>2.3813</v>
      </c>
      <c r="CF561" t="s">
        <v>135</v>
      </c>
      <c r="CG561">
        <v>43.602899999999998</v>
      </c>
      <c r="CH561">
        <v>71.500900000000001</v>
      </c>
      <c r="CI561">
        <v>39.256700000000002</v>
      </c>
      <c r="CJ561">
        <v>31.179099999999998</v>
      </c>
      <c r="CK561">
        <v>82.136700000000005</v>
      </c>
      <c r="CL561">
        <v>45.096200000000003</v>
      </c>
      <c r="CM561">
        <v>35.817</v>
      </c>
      <c r="CN561">
        <v>53.508499999999998</v>
      </c>
      <c r="CO561">
        <v>34.856999999999999</v>
      </c>
      <c r="CP561">
        <v>27526.400000000001</v>
      </c>
      <c r="CQ561" t="s">
        <v>135</v>
      </c>
      <c r="CR561">
        <v>12700</v>
      </c>
      <c r="CS561">
        <v>0.6915</v>
      </c>
      <c r="CT561">
        <v>0.92900000000000005</v>
      </c>
      <c r="CU561">
        <v>0.79530000000000001</v>
      </c>
      <c r="CV561">
        <v>3.0343</v>
      </c>
      <c r="CW561" t="s">
        <v>135</v>
      </c>
      <c r="CX561" t="s">
        <v>135</v>
      </c>
      <c r="CY561" t="s">
        <v>135</v>
      </c>
      <c r="CZ561" t="s">
        <v>135</v>
      </c>
      <c r="DA561" t="s">
        <v>135</v>
      </c>
      <c r="DB561" t="s">
        <v>135</v>
      </c>
      <c r="DC561" t="s">
        <v>135</v>
      </c>
      <c r="DD561" t="s">
        <v>135</v>
      </c>
      <c r="DE561">
        <v>834</v>
      </c>
      <c r="DF561" t="s">
        <v>135</v>
      </c>
      <c r="DG561" t="s">
        <v>135</v>
      </c>
      <c r="DH561" t="s">
        <v>135</v>
      </c>
      <c r="DI561" t="s">
        <v>135</v>
      </c>
    </row>
    <row r="562" spans="4:113" x14ac:dyDescent="0.3">
      <c r="E562" t="s">
        <v>81</v>
      </c>
      <c r="F562">
        <v>16.145199999999999</v>
      </c>
      <c r="G562">
        <v>5.9667000000000003</v>
      </c>
      <c r="H562" t="s">
        <v>135</v>
      </c>
      <c r="I562">
        <v>7.8003</v>
      </c>
      <c r="J562">
        <v>36.494199999999999</v>
      </c>
      <c r="K562">
        <v>18.7775</v>
      </c>
      <c r="L562">
        <v>34.070300000000003</v>
      </c>
      <c r="M562">
        <v>17.524100000000001</v>
      </c>
      <c r="N562">
        <v>11.215299999999999</v>
      </c>
      <c r="O562">
        <v>11.215299999999999</v>
      </c>
      <c r="P562">
        <v>11.215299999999999</v>
      </c>
      <c r="Q562">
        <v>36.001100000000001</v>
      </c>
      <c r="R562" t="s">
        <v>135</v>
      </c>
      <c r="S562" t="s">
        <v>135</v>
      </c>
      <c r="T562">
        <v>20.395099999999999</v>
      </c>
      <c r="U562">
        <v>37.412300000000002</v>
      </c>
      <c r="V562">
        <v>44.376199999999997</v>
      </c>
      <c r="W562">
        <v>59.6843</v>
      </c>
      <c r="X562">
        <v>47.457599999999999</v>
      </c>
      <c r="Y562" t="s">
        <v>135</v>
      </c>
      <c r="Z562">
        <v>11.599</v>
      </c>
      <c r="AA562">
        <v>3.9906999999999999</v>
      </c>
      <c r="AB562">
        <v>-20.5166</v>
      </c>
      <c r="AC562">
        <v>29.875699999999998</v>
      </c>
      <c r="AD562">
        <v>-11.210599999999999</v>
      </c>
      <c r="AE562">
        <v>68.727099999999993</v>
      </c>
      <c r="AF562">
        <v>11.0974</v>
      </c>
      <c r="AG562">
        <v>309.16890000000001</v>
      </c>
      <c r="AH562">
        <v>30.1632</v>
      </c>
      <c r="AI562">
        <v>39.343299999999999</v>
      </c>
      <c r="AJ562">
        <v>34.245899999999999</v>
      </c>
      <c r="AK562">
        <v>28.572500000000002</v>
      </c>
      <c r="AL562" t="s">
        <v>135</v>
      </c>
      <c r="AM562">
        <v>20.399799999999999</v>
      </c>
      <c r="AN562">
        <v>27.1098</v>
      </c>
      <c r="AO562">
        <v>34.600900000000003</v>
      </c>
      <c r="AP562">
        <v>28.7104</v>
      </c>
      <c r="AQ562">
        <v>25.1539</v>
      </c>
      <c r="AR562" t="s">
        <v>135</v>
      </c>
      <c r="AS562">
        <v>3.1825000000000001</v>
      </c>
      <c r="AT562">
        <v>5.78</v>
      </c>
      <c r="AU562">
        <v>9.1258999999999997</v>
      </c>
      <c r="AV562">
        <v>20.281099999999999</v>
      </c>
      <c r="AW562" t="s">
        <v>135</v>
      </c>
      <c r="AX562" t="s">
        <v>135</v>
      </c>
      <c r="AY562">
        <v>4.9279000000000002</v>
      </c>
      <c r="AZ562">
        <v>55.775199999999998</v>
      </c>
      <c r="BA562">
        <v>27.861999999999998</v>
      </c>
      <c r="BB562">
        <v>14.161899999999999</v>
      </c>
      <c r="BC562">
        <v>20.379000000000001</v>
      </c>
      <c r="BD562">
        <v>12.2065</v>
      </c>
      <c r="BE562" t="s">
        <v>135</v>
      </c>
      <c r="BF562">
        <v>4.8448000000000002</v>
      </c>
      <c r="BG562">
        <v>11.329499999999999</v>
      </c>
      <c r="BH562">
        <v>24.156700000000001</v>
      </c>
      <c r="BI562">
        <v>22.776599999999998</v>
      </c>
      <c r="BJ562">
        <v>23.113199999999999</v>
      </c>
      <c r="BK562" t="s">
        <v>135</v>
      </c>
      <c r="BL562">
        <v>-46.954599999999999</v>
      </c>
      <c r="BM562">
        <v>-14.827299999999999</v>
      </c>
      <c r="BN562">
        <v>-11.4825</v>
      </c>
      <c r="BO562">
        <v>17.787700000000001</v>
      </c>
      <c r="BP562" t="s">
        <v>135</v>
      </c>
      <c r="BQ562" t="s">
        <v>135</v>
      </c>
      <c r="BR562">
        <v>1.7942</v>
      </c>
      <c r="BS562">
        <v>330.7577</v>
      </c>
      <c r="BT562">
        <v>46.078099999999999</v>
      </c>
      <c r="BU562">
        <v>2.8752</v>
      </c>
      <c r="BV562">
        <v>22.3581</v>
      </c>
      <c r="BW562">
        <v>-5.1216999999999997</v>
      </c>
      <c r="BX562" t="s">
        <v>135</v>
      </c>
      <c r="BY562">
        <v>268590.90999999997</v>
      </c>
      <c r="BZ562">
        <v>102559.09</v>
      </c>
      <c r="CA562">
        <v>166031.82</v>
      </c>
      <c r="CB562">
        <v>2.4826999999999999</v>
      </c>
      <c r="CC562">
        <v>1.2742</v>
      </c>
      <c r="CD562">
        <v>4.8704000000000001</v>
      </c>
      <c r="CE562">
        <v>2.4996</v>
      </c>
      <c r="CF562" t="s">
        <v>135</v>
      </c>
      <c r="CG562">
        <v>38.082599999999999</v>
      </c>
      <c r="CH562">
        <v>72.096100000000007</v>
      </c>
      <c r="CI562">
        <v>33.280700000000003</v>
      </c>
      <c r="CJ562">
        <v>27.458300000000001</v>
      </c>
      <c r="CK562">
        <v>116.63039999999999</v>
      </c>
      <c r="CL562">
        <v>53.8384</v>
      </c>
      <c r="CM562">
        <v>44.419600000000003</v>
      </c>
      <c r="CN562">
        <v>59.8568</v>
      </c>
      <c r="CO562">
        <v>37.444000000000003</v>
      </c>
      <c r="CP562">
        <v>30645</v>
      </c>
      <c r="CQ562" t="s">
        <v>135</v>
      </c>
      <c r="CR562">
        <v>15767.9</v>
      </c>
      <c r="CS562">
        <v>0.75160000000000005</v>
      </c>
      <c r="CT562">
        <v>0.88900000000000001</v>
      </c>
      <c r="CU562">
        <v>0.78090000000000004</v>
      </c>
      <c r="CV562">
        <v>2.2852999999999999</v>
      </c>
      <c r="CW562">
        <v>65.174800000000005</v>
      </c>
      <c r="CX562">
        <v>5.6002999999999998</v>
      </c>
      <c r="CY562">
        <v>2.0836999999999999</v>
      </c>
      <c r="CZ562">
        <v>175.17330000000001</v>
      </c>
      <c r="DA562">
        <v>5.0299999999999997E-2</v>
      </c>
      <c r="DB562">
        <v>7262.4278999999997</v>
      </c>
      <c r="DC562">
        <v>-7081.6541999999999</v>
      </c>
      <c r="DD562">
        <v>180.77369999999999</v>
      </c>
      <c r="DE562">
        <v>710.34</v>
      </c>
      <c r="DF562">
        <v>0</v>
      </c>
      <c r="DG562">
        <v>0</v>
      </c>
      <c r="DH562">
        <v>710.34</v>
      </c>
      <c r="DI562">
        <v>0</v>
      </c>
    </row>
    <row r="563" spans="4:113" x14ac:dyDescent="0.3">
      <c r="D563" t="s">
        <v>83</v>
      </c>
      <c r="E563" t="s">
        <v>77</v>
      </c>
      <c r="F563">
        <v>12.624499999999999</v>
      </c>
      <c r="G563">
        <v>4.3041</v>
      </c>
      <c r="H563">
        <v>7.3068999999999997</v>
      </c>
      <c r="I563">
        <v>6.8120000000000003</v>
      </c>
      <c r="J563">
        <v>36.390799999999999</v>
      </c>
      <c r="K563">
        <v>17.883099999999999</v>
      </c>
      <c r="L563">
        <v>20.236699999999999</v>
      </c>
      <c r="M563">
        <v>13.1477</v>
      </c>
      <c r="N563">
        <v>8.5708000000000002</v>
      </c>
      <c r="O563">
        <v>8.5708000000000002</v>
      </c>
      <c r="P563">
        <v>8.5708000000000002</v>
      </c>
      <c r="Q563">
        <v>34.811599999999999</v>
      </c>
      <c r="R563">
        <v>7.0141</v>
      </c>
      <c r="S563">
        <v>11.739000000000001</v>
      </c>
      <c r="T563">
        <v>13.983000000000001</v>
      </c>
      <c r="U563">
        <v>20.6616</v>
      </c>
      <c r="V563">
        <v>16.12</v>
      </c>
      <c r="W563">
        <v>-3.5384000000000002</v>
      </c>
      <c r="X563">
        <v>-5.1167999999999996</v>
      </c>
      <c r="Y563">
        <v>0</v>
      </c>
      <c r="Z563">
        <v>30.5228</v>
      </c>
      <c r="AA563">
        <v>49.985900000000001</v>
      </c>
      <c r="AB563">
        <v>14.8779</v>
      </c>
      <c r="AC563">
        <v>36.686799999999998</v>
      </c>
      <c r="AD563">
        <v>-2.3513999999999999</v>
      </c>
      <c r="AE563">
        <v>-349.6968</v>
      </c>
      <c r="AF563">
        <v>8.0846</v>
      </c>
      <c r="AG563">
        <v>-51.885300000000001</v>
      </c>
      <c r="AH563">
        <v>54.521599999999999</v>
      </c>
      <c r="AI563">
        <v>11.890499999999999</v>
      </c>
      <c r="AJ563">
        <v>34.842399999999998</v>
      </c>
      <c r="AK563">
        <v>11.8087</v>
      </c>
      <c r="AL563">
        <v>12.4283</v>
      </c>
      <c r="AM563">
        <v>18.4087</v>
      </c>
      <c r="AN563">
        <v>28.101900000000001</v>
      </c>
      <c r="AO563">
        <v>35.76</v>
      </c>
      <c r="AP563">
        <v>27.933599999999998</v>
      </c>
      <c r="AQ563">
        <v>25.6829</v>
      </c>
      <c r="AR563" t="s">
        <v>135</v>
      </c>
      <c r="AS563">
        <v>14.3957</v>
      </c>
      <c r="AT563">
        <v>10.0785</v>
      </c>
      <c r="AU563">
        <v>7.4676</v>
      </c>
      <c r="AV563">
        <v>22.296399999999998</v>
      </c>
      <c r="AW563" t="s">
        <v>135</v>
      </c>
      <c r="AX563" t="s">
        <v>135</v>
      </c>
      <c r="AY563">
        <v>-1.321</v>
      </c>
      <c r="AZ563">
        <v>9.9159000000000006</v>
      </c>
      <c r="BA563">
        <v>28.018000000000001</v>
      </c>
      <c r="BB563">
        <v>15.940200000000001</v>
      </c>
      <c r="BC563">
        <v>22.515899999999998</v>
      </c>
      <c r="BD563">
        <v>13.9613</v>
      </c>
      <c r="BE563">
        <v>21.327999999999999</v>
      </c>
      <c r="BF563">
        <v>13.983000000000001</v>
      </c>
      <c r="BG563">
        <v>20.6616</v>
      </c>
      <c r="BH563">
        <v>16.12</v>
      </c>
      <c r="BI563">
        <v>-3.5384000000000002</v>
      </c>
      <c r="BJ563">
        <v>-5.1167999999999996</v>
      </c>
      <c r="BK563">
        <v>0</v>
      </c>
      <c r="BL563">
        <v>30.5228</v>
      </c>
      <c r="BM563">
        <v>49.985900000000001</v>
      </c>
      <c r="BN563">
        <v>14.8779</v>
      </c>
      <c r="BO563">
        <v>36.686799999999998</v>
      </c>
      <c r="BP563" t="s">
        <v>135</v>
      </c>
      <c r="BQ563" t="s">
        <v>135</v>
      </c>
      <c r="BR563">
        <v>8.0846</v>
      </c>
      <c r="BS563">
        <v>-51.885300000000001</v>
      </c>
      <c r="BT563">
        <v>54.521599999999999</v>
      </c>
      <c r="BU563">
        <v>11.890499999999999</v>
      </c>
      <c r="BV563">
        <v>34.842399999999998</v>
      </c>
      <c r="BW563">
        <v>11.8087</v>
      </c>
      <c r="BX563">
        <v>12.4283</v>
      </c>
      <c r="BY563">
        <v>415030.94</v>
      </c>
      <c r="BZ563">
        <v>49346.04</v>
      </c>
      <c r="CA563">
        <v>365684.9</v>
      </c>
      <c r="CB563">
        <v>3.1737000000000002</v>
      </c>
      <c r="CC563">
        <v>3.0095000000000001</v>
      </c>
      <c r="CD563">
        <v>6.4583000000000004</v>
      </c>
      <c r="CE563">
        <v>6.1239999999999997</v>
      </c>
      <c r="CF563">
        <v>7.1013999999999999</v>
      </c>
      <c r="CG563">
        <v>31.174299999999999</v>
      </c>
      <c r="CH563">
        <v>141.9169</v>
      </c>
      <c r="CI563">
        <v>54.360300000000002</v>
      </c>
      <c r="CJ563">
        <v>44.244900000000001</v>
      </c>
      <c r="CK563">
        <v>161.06729999999999</v>
      </c>
      <c r="CL563">
        <v>61.695700000000002</v>
      </c>
      <c r="CM563">
        <v>50.215400000000002</v>
      </c>
      <c r="CN563">
        <v>152.732</v>
      </c>
      <c r="CO563">
        <v>60.432400000000001</v>
      </c>
      <c r="CP563">
        <v>130771.32</v>
      </c>
      <c r="CQ563">
        <v>55247.06</v>
      </c>
      <c r="CR563">
        <v>64263.54</v>
      </c>
      <c r="CS563">
        <v>0.16120000000000001</v>
      </c>
      <c r="CT563">
        <v>0.3483</v>
      </c>
      <c r="CU563">
        <v>0.2112</v>
      </c>
      <c r="CV563">
        <v>2.2004000000000001</v>
      </c>
      <c r="CW563">
        <v>61.102499999999999</v>
      </c>
      <c r="CX563">
        <v>5.9899000000000004</v>
      </c>
      <c r="CY563">
        <v>0.32550000000000001</v>
      </c>
      <c r="CZ563">
        <v>1124.5146999999999</v>
      </c>
      <c r="DA563">
        <v>0.02</v>
      </c>
      <c r="DB563">
        <v>18313.354599999999</v>
      </c>
      <c r="DC563">
        <v>-17182.849900000001</v>
      </c>
      <c r="DD563">
        <v>1130.5046</v>
      </c>
      <c r="DE563">
        <v>1065.4100000000001</v>
      </c>
      <c r="DF563">
        <v>0</v>
      </c>
      <c r="DG563">
        <v>0</v>
      </c>
      <c r="DH563">
        <v>1065.4100000000001</v>
      </c>
      <c r="DI563">
        <v>0</v>
      </c>
    </row>
    <row r="564" spans="4:113" x14ac:dyDescent="0.3">
      <c r="E564" t="s">
        <v>78</v>
      </c>
      <c r="F564">
        <v>15.394500000000001</v>
      </c>
      <c r="G564">
        <v>6.3659999999999997</v>
      </c>
      <c r="H564" t="s">
        <v>135</v>
      </c>
      <c r="I564">
        <v>8.6715</v>
      </c>
      <c r="J564">
        <v>36.708199999999998</v>
      </c>
      <c r="K564">
        <v>19.471699999999998</v>
      </c>
      <c r="L564">
        <v>28.739699999999999</v>
      </c>
      <c r="M564">
        <v>16.2971</v>
      </c>
      <c r="N564">
        <v>10.584</v>
      </c>
      <c r="O564">
        <v>10.584</v>
      </c>
      <c r="P564">
        <v>10.584</v>
      </c>
      <c r="Q564">
        <v>35.055999999999997</v>
      </c>
      <c r="R564" t="s">
        <v>135</v>
      </c>
      <c r="S564" t="s">
        <v>135</v>
      </c>
      <c r="T564">
        <v>16.4145</v>
      </c>
      <c r="U564">
        <v>28.591000000000001</v>
      </c>
      <c r="V564">
        <v>26.2807</v>
      </c>
      <c r="W564">
        <v>27.8261</v>
      </c>
      <c r="X564">
        <v>20</v>
      </c>
      <c r="Y564" t="s">
        <v>135</v>
      </c>
      <c r="Z564">
        <v>18.933299999999999</v>
      </c>
      <c r="AA564">
        <v>-19.857299999999999</v>
      </c>
      <c r="AB564">
        <v>-10.930199999999999</v>
      </c>
      <c r="AC564">
        <v>14.7502</v>
      </c>
      <c r="AD564">
        <v>-6.9375999999999998</v>
      </c>
      <c r="AE564">
        <v>-261.2278</v>
      </c>
      <c r="AF564">
        <v>9.4730000000000008</v>
      </c>
      <c r="AG564">
        <v>40.755499999999998</v>
      </c>
      <c r="AH564">
        <v>4.3495999999999997</v>
      </c>
      <c r="AI564">
        <v>18.851500000000001</v>
      </c>
      <c r="AJ564">
        <v>11.741400000000001</v>
      </c>
      <c r="AK564">
        <v>17.060500000000001</v>
      </c>
      <c r="AL564" t="s">
        <v>135</v>
      </c>
      <c r="AM564">
        <v>19.2271</v>
      </c>
      <c r="AN564">
        <v>29.442599999999999</v>
      </c>
      <c r="AO564">
        <v>39.616999999999997</v>
      </c>
      <c r="AP564">
        <v>35.819499999999998</v>
      </c>
      <c r="AQ564">
        <v>33.431399999999996</v>
      </c>
      <c r="AR564" t="s">
        <v>135</v>
      </c>
      <c r="AS564" t="s">
        <v>135</v>
      </c>
      <c r="AT564" t="s">
        <v>135</v>
      </c>
      <c r="AU564" t="s">
        <v>135</v>
      </c>
      <c r="AV564" t="s">
        <v>135</v>
      </c>
      <c r="AW564" t="s">
        <v>135</v>
      </c>
      <c r="AX564" t="s">
        <v>135</v>
      </c>
      <c r="AY564" t="s">
        <v>135</v>
      </c>
      <c r="AZ564" t="s">
        <v>135</v>
      </c>
      <c r="BA564" t="s">
        <v>135</v>
      </c>
      <c r="BB564" t="s">
        <v>135</v>
      </c>
      <c r="BC564" t="s">
        <v>135</v>
      </c>
      <c r="BD564" t="s">
        <v>135</v>
      </c>
      <c r="BE564" t="s">
        <v>135</v>
      </c>
      <c r="BF564">
        <v>4.7336</v>
      </c>
      <c r="BG564">
        <v>5.3476999999999997</v>
      </c>
      <c r="BH564">
        <v>8.6054999999999993</v>
      </c>
      <c r="BI564">
        <v>-1.1616</v>
      </c>
      <c r="BJ564">
        <v>-1.1494</v>
      </c>
      <c r="BK564" t="s">
        <v>135</v>
      </c>
      <c r="BL564">
        <v>97.101799999999997</v>
      </c>
      <c r="BM564">
        <v>-5.1158999999999999</v>
      </c>
      <c r="BN564">
        <v>9.4440000000000008</v>
      </c>
      <c r="BO564">
        <v>-5.7295999999999996</v>
      </c>
      <c r="BP564" t="s">
        <v>135</v>
      </c>
      <c r="BQ564" t="s">
        <v>135</v>
      </c>
      <c r="BR564">
        <v>9.9892000000000003</v>
      </c>
      <c r="BS564">
        <v>-75.9495</v>
      </c>
      <c r="BT564">
        <v>-24.666799999999999</v>
      </c>
      <c r="BU564">
        <v>4.0364000000000004</v>
      </c>
      <c r="BV564">
        <v>-11.417</v>
      </c>
      <c r="BW564">
        <v>4.0227000000000004</v>
      </c>
      <c r="BX564" t="s">
        <v>135</v>
      </c>
      <c r="BY564">
        <v>202338</v>
      </c>
      <c r="BZ564">
        <v>24666</v>
      </c>
      <c r="CA564">
        <v>177672</v>
      </c>
      <c r="CB564">
        <v>1.7539</v>
      </c>
      <c r="CC564">
        <v>1.6015999999999999</v>
      </c>
      <c r="CD564">
        <v>3.4462999999999999</v>
      </c>
      <c r="CE564">
        <v>3.1469999999999998</v>
      </c>
      <c r="CF564" t="s">
        <v>135</v>
      </c>
      <c r="CG564">
        <v>42.027999999999999</v>
      </c>
      <c r="CH564">
        <v>74.157300000000006</v>
      </c>
      <c r="CI564">
        <v>40.204000000000001</v>
      </c>
      <c r="CJ564">
        <v>31.1693</v>
      </c>
      <c r="CK564">
        <v>84.452500000000001</v>
      </c>
      <c r="CL564">
        <v>45.785499999999999</v>
      </c>
      <c r="CM564">
        <v>35.496499999999997</v>
      </c>
      <c r="CN564">
        <v>77.118200000000002</v>
      </c>
      <c r="CO564">
        <v>43.540500000000002</v>
      </c>
      <c r="CP564">
        <v>32283.8</v>
      </c>
      <c r="CQ564" t="s">
        <v>135</v>
      </c>
      <c r="CR564">
        <v>17124.8</v>
      </c>
      <c r="CS564">
        <v>0.16350000000000001</v>
      </c>
      <c r="CT564">
        <v>0.3775</v>
      </c>
      <c r="CU564">
        <v>0.2571</v>
      </c>
      <c r="CV564">
        <v>2.9468999999999999</v>
      </c>
      <c r="CW564">
        <v>35.398800000000001</v>
      </c>
      <c r="CX564">
        <v>10.3111</v>
      </c>
      <c r="CY564">
        <v>1.5230000000000001</v>
      </c>
      <c r="CZ564">
        <v>239.65289999999999</v>
      </c>
      <c r="DA564">
        <v>3.0300000000000001E-2</v>
      </c>
      <c r="DB564">
        <v>12057.170400000001</v>
      </c>
      <c r="DC564">
        <v>-11807.206399999999</v>
      </c>
      <c r="DD564">
        <v>249.9639</v>
      </c>
      <c r="DE564">
        <v>674</v>
      </c>
      <c r="DF564" t="s">
        <v>135</v>
      </c>
      <c r="DG564" t="s">
        <v>135</v>
      </c>
      <c r="DH564" t="s">
        <v>135</v>
      </c>
      <c r="DI564" t="s">
        <v>135</v>
      </c>
    </row>
    <row r="565" spans="4:113" x14ac:dyDescent="0.3">
      <c r="E565" t="s">
        <v>79</v>
      </c>
      <c r="F565">
        <v>14.5411</v>
      </c>
      <c r="G565">
        <v>5.8903999999999996</v>
      </c>
      <c r="H565" t="s">
        <v>135</v>
      </c>
      <c r="I565">
        <v>8.1363000000000003</v>
      </c>
      <c r="J565">
        <v>35.2331</v>
      </c>
      <c r="K565">
        <v>17.506599999999999</v>
      </c>
      <c r="L565">
        <v>18.6402</v>
      </c>
      <c r="M565">
        <v>14.3645</v>
      </c>
      <c r="N565">
        <v>9.3269000000000002</v>
      </c>
      <c r="O565">
        <v>9.3269000000000002</v>
      </c>
      <c r="P565">
        <v>9.3269000000000002</v>
      </c>
      <c r="Q565">
        <v>35.069600000000001</v>
      </c>
      <c r="R565" t="s">
        <v>135</v>
      </c>
      <c r="S565" t="s">
        <v>135</v>
      </c>
      <c r="T565">
        <v>14.6814</v>
      </c>
      <c r="U565">
        <v>22.7378</v>
      </c>
      <c r="V565">
        <v>15.7822</v>
      </c>
      <c r="W565">
        <v>7.0620000000000003</v>
      </c>
      <c r="X565">
        <v>6.6666999999999996</v>
      </c>
      <c r="Y565" t="s">
        <v>135</v>
      </c>
      <c r="Z565">
        <v>13.4544</v>
      </c>
      <c r="AA565">
        <v>-22.724900000000002</v>
      </c>
      <c r="AB565">
        <v>10.3512</v>
      </c>
      <c r="AC565">
        <v>22.358699999999999</v>
      </c>
      <c r="AD565">
        <v>-8.7453000000000003</v>
      </c>
      <c r="AE565">
        <v>-411.19740000000002</v>
      </c>
      <c r="AF565">
        <v>9.2213999999999992</v>
      </c>
      <c r="AG565">
        <v>-16.998200000000001</v>
      </c>
      <c r="AH565">
        <v>27.498100000000001</v>
      </c>
      <c r="AI565">
        <v>14.524100000000001</v>
      </c>
      <c r="AJ565">
        <v>20.608599999999999</v>
      </c>
      <c r="AK565">
        <v>14.4322</v>
      </c>
      <c r="AL565" t="s">
        <v>135</v>
      </c>
      <c r="AM565">
        <v>18.995200000000001</v>
      </c>
      <c r="AN565">
        <v>28.3155</v>
      </c>
      <c r="AO565">
        <v>38.615299999999998</v>
      </c>
      <c r="AP565">
        <v>35.110399999999998</v>
      </c>
      <c r="AQ565">
        <v>32.914000000000001</v>
      </c>
      <c r="AR565" t="s">
        <v>135</v>
      </c>
      <c r="AS565">
        <v>14.4933</v>
      </c>
      <c r="AT565">
        <v>9.5061</v>
      </c>
      <c r="AU565" t="s">
        <v>135</v>
      </c>
      <c r="AV565">
        <v>17.388999999999999</v>
      </c>
      <c r="AW565" t="s">
        <v>135</v>
      </c>
      <c r="AX565" t="s">
        <v>135</v>
      </c>
      <c r="AY565" t="s">
        <v>135</v>
      </c>
      <c r="AZ565" t="s">
        <v>135</v>
      </c>
      <c r="BA565">
        <v>16.8127</v>
      </c>
      <c r="BB565">
        <v>15.8108</v>
      </c>
      <c r="BC565">
        <v>16.300999999999998</v>
      </c>
      <c r="BD565">
        <v>13.823</v>
      </c>
      <c r="BE565" t="s">
        <v>135</v>
      </c>
      <c r="BF565">
        <v>-1.2879</v>
      </c>
      <c r="BG565">
        <v>2.6080999999999999</v>
      </c>
      <c r="BH565">
        <v>-3.105</v>
      </c>
      <c r="BI565">
        <v>-5.3286999999999995</v>
      </c>
      <c r="BJ565">
        <v>-5.4851999999999999</v>
      </c>
      <c r="BK565" t="s">
        <v>135</v>
      </c>
      <c r="BL565">
        <v>6.8798000000000004</v>
      </c>
      <c r="BM565">
        <v>12.003</v>
      </c>
      <c r="BN565">
        <v>24.7364</v>
      </c>
      <c r="BO565">
        <v>10.554</v>
      </c>
      <c r="BP565" t="s">
        <v>135</v>
      </c>
      <c r="BQ565" t="s">
        <v>135</v>
      </c>
      <c r="BR565">
        <v>-6.5780000000000003</v>
      </c>
      <c r="BS565">
        <v>-11.5738</v>
      </c>
      <c r="BT565">
        <v>20.356000000000002</v>
      </c>
      <c r="BU565">
        <v>3.3782999999999999</v>
      </c>
      <c r="BV565">
        <v>11.1516</v>
      </c>
      <c r="BW565">
        <v>3.3489</v>
      </c>
      <c r="BX565" t="s">
        <v>135</v>
      </c>
      <c r="BY565">
        <v>243526</v>
      </c>
      <c r="BZ565">
        <v>21811.200000000001</v>
      </c>
      <c r="CA565">
        <v>221714.8</v>
      </c>
      <c r="CB565">
        <v>2.0545</v>
      </c>
      <c r="CC565">
        <v>1.9308999999999998</v>
      </c>
      <c r="CD565">
        <v>4.1043000000000003</v>
      </c>
      <c r="CE565">
        <v>3.8576000000000001</v>
      </c>
      <c r="CF565" t="s">
        <v>135</v>
      </c>
      <c r="CG565">
        <v>39.3001</v>
      </c>
      <c r="CH565">
        <v>89.515900000000002</v>
      </c>
      <c r="CI565">
        <v>45.136699999999998</v>
      </c>
      <c r="CJ565">
        <v>35.182600000000001</v>
      </c>
      <c r="CK565">
        <v>98.322100000000006</v>
      </c>
      <c r="CL565">
        <v>49.576999999999998</v>
      </c>
      <c r="CM565">
        <v>38.643700000000003</v>
      </c>
      <c r="CN565">
        <v>92.410799999999995</v>
      </c>
      <c r="CO565">
        <v>48.027900000000002</v>
      </c>
      <c r="CP565">
        <v>30570.3</v>
      </c>
      <c r="CQ565" t="s">
        <v>135</v>
      </c>
      <c r="CR565">
        <v>15189.7</v>
      </c>
      <c r="CS565">
        <v>0.14230000000000001</v>
      </c>
      <c r="CT565">
        <v>0.38190000000000002</v>
      </c>
      <c r="CU565">
        <v>0.24690000000000001</v>
      </c>
      <c r="CV565">
        <v>2.4798</v>
      </c>
      <c r="CW565">
        <v>33.499099999999999</v>
      </c>
      <c r="CX565">
        <v>10.895799999999999</v>
      </c>
      <c r="CY565">
        <v>0.90859999999999996</v>
      </c>
      <c r="CZ565">
        <v>401.72039999999998</v>
      </c>
      <c r="DA565">
        <v>1.8499999999999999E-2</v>
      </c>
      <c r="DB565">
        <v>19701.565699999999</v>
      </c>
      <c r="DC565">
        <v>-19288.949499999999</v>
      </c>
      <c r="DD565">
        <v>412.61619999999999</v>
      </c>
      <c r="DE565">
        <v>754.9</v>
      </c>
      <c r="DF565" t="s">
        <v>135</v>
      </c>
      <c r="DG565" t="s">
        <v>135</v>
      </c>
      <c r="DH565" t="s">
        <v>135</v>
      </c>
      <c r="DI565" t="s">
        <v>135</v>
      </c>
    </row>
    <row r="566" spans="4:113" x14ac:dyDescent="0.3">
      <c r="E566" t="s">
        <v>80</v>
      </c>
      <c r="F566">
        <v>13.8714</v>
      </c>
      <c r="G566">
        <v>5.0571999999999999</v>
      </c>
      <c r="H566" t="s">
        <v>135</v>
      </c>
      <c r="I566">
        <v>7.0225</v>
      </c>
      <c r="J566">
        <v>34.755800000000001</v>
      </c>
      <c r="K566">
        <v>16.724</v>
      </c>
      <c r="L566">
        <v>23.7241</v>
      </c>
      <c r="M566">
        <v>13.0036</v>
      </c>
      <c r="N566">
        <v>8.4899000000000004</v>
      </c>
      <c r="O566">
        <v>8.4899000000000004</v>
      </c>
      <c r="P566">
        <v>8.4899000000000004</v>
      </c>
      <c r="Q566">
        <v>34.711399999999998</v>
      </c>
      <c r="R566" t="s">
        <v>135</v>
      </c>
      <c r="S566" t="s">
        <v>135</v>
      </c>
      <c r="T566">
        <v>12.3888</v>
      </c>
      <c r="U566">
        <v>13.6553</v>
      </c>
      <c r="V566">
        <v>18.535399999999999</v>
      </c>
      <c r="W566">
        <v>-0.3715</v>
      </c>
      <c r="X566">
        <v>0</v>
      </c>
      <c r="Y566" t="s">
        <v>135</v>
      </c>
      <c r="Z566">
        <v>7.2980999999999998</v>
      </c>
      <c r="AA566">
        <v>11.271000000000001</v>
      </c>
      <c r="AB566">
        <v>12.8027</v>
      </c>
      <c r="AC566">
        <v>56.000100000000003</v>
      </c>
      <c r="AD566">
        <v>-11.2941</v>
      </c>
      <c r="AE566">
        <v>-944.37350000000004</v>
      </c>
      <c r="AF566">
        <v>10.030200000000001</v>
      </c>
      <c r="AG566">
        <v>-24.583100000000002</v>
      </c>
      <c r="AH566">
        <v>113.6174</v>
      </c>
      <c r="AI566">
        <v>14.0497</v>
      </c>
      <c r="AJ566">
        <v>58.950899999999997</v>
      </c>
      <c r="AK566">
        <v>5.1116000000000001</v>
      </c>
      <c r="AL566" t="s">
        <v>135</v>
      </c>
      <c r="AM566">
        <v>17.892399999999999</v>
      </c>
      <c r="AN566">
        <v>26.9648</v>
      </c>
      <c r="AO566">
        <v>33.447699999999998</v>
      </c>
      <c r="AP566">
        <v>25.748699999999999</v>
      </c>
      <c r="AQ566">
        <v>23.43</v>
      </c>
      <c r="AR566" t="s">
        <v>135</v>
      </c>
      <c r="AS566" t="s">
        <v>135</v>
      </c>
      <c r="AT566" t="s">
        <v>135</v>
      </c>
      <c r="AU566" t="s">
        <v>135</v>
      </c>
      <c r="AV566" t="s">
        <v>135</v>
      </c>
      <c r="AW566" t="s">
        <v>135</v>
      </c>
      <c r="AX566" t="s">
        <v>135</v>
      </c>
      <c r="AY566" t="s">
        <v>135</v>
      </c>
      <c r="AZ566" t="s">
        <v>135</v>
      </c>
      <c r="BA566" t="s">
        <v>135</v>
      </c>
      <c r="BB566" t="s">
        <v>135</v>
      </c>
      <c r="BC566" t="s">
        <v>135</v>
      </c>
      <c r="BD566" t="s">
        <v>135</v>
      </c>
      <c r="BE566" t="s">
        <v>135</v>
      </c>
      <c r="BF566">
        <v>3.7984999999999998</v>
      </c>
      <c r="BG566">
        <v>12.1153</v>
      </c>
      <c r="BH566">
        <v>11.1183</v>
      </c>
      <c r="BI566">
        <v>0.25380000000000003</v>
      </c>
      <c r="BJ566">
        <v>0.47389999999999999</v>
      </c>
      <c r="BK566" t="s">
        <v>135</v>
      </c>
      <c r="BL566">
        <v>-3.9809000000000001</v>
      </c>
      <c r="BM566">
        <v>22.930199999999999</v>
      </c>
      <c r="BN566">
        <v>-6.6519000000000004</v>
      </c>
      <c r="BO566">
        <v>27.0793</v>
      </c>
      <c r="BP566" t="s">
        <v>135</v>
      </c>
      <c r="BQ566" t="s">
        <v>135</v>
      </c>
      <c r="BR566">
        <v>5.1936999999999998</v>
      </c>
      <c r="BS566">
        <v>-17.6753</v>
      </c>
      <c r="BT566">
        <v>61.286299999999997</v>
      </c>
      <c r="BU566">
        <v>3.0785999999999998</v>
      </c>
      <c r="BV566">
        <v>31.936199999999999</v>
      </c>
      <c r="BW566">
        <v>3.0503999999999998</v>
      </c>
      <c r="BX566" t="s">
        <v>135</v>
      </c>
      <c r="BY566">
        <v>392774</v>
      </c>
      <c r="BZ566">
        <v>17956</v>
      </c>
      <c r="CA566">
        <v>374818</v>
      </c>
      <c r="CB566">
        <v>3.2833000000000001</v>
      </c>
      <c r="CC566">
        <v>3.2076000000000002</v>
      </c>
      <c r="CD566">
        <v>6.5411999999999999</v>
      </c>
      <c r="CE566">
        <v>6.3903999999999996</v>
      </c>
      <c r="CF566" t="s">
        <v>135</v>
      </c>
      <c r="CG566">
        <v>31.877800000000001</v>
      </c>
      <c r="CH566">
        <v>146.8107</v>
      </c>
      <c r="CI566">
        <v>57.835099999999997</v>
      </c>
      <c r="CJ566">
        <v>46.8035</v>
      </c>
      <c r="CK566">
        <v>153.84379999999999</v>
      </c>
      <c r="CL566">
        <v>60.605699999999999</v>
      </c>
      <c r="CM566">
        <v>49.045699999999997</v>
      </c>
      <c r="CN566">
        <v>150.2979</v>
      </c>
      <c r="CO566">
        <v>60.047600000000003</v>
      </c>
      <c r="CP566">
        <v>31285.200000000001</v>
      </c>
      <c r="CQ566" t="s">
        <v>135</v>
      </c>
      <c r="CR566">
        <v>15054</v>
      </c>
      <c r="CS566">
        <v>8.6800000000000002E-2</v>
      </c>
      <c r="CT566">
        <v>0.34139999999999998</v>
      </c>
      <c r="CU566">
        <v>0.18579999999999999</v>
      </c>
      <c r="CV566">
        <v>2.5977000000000001</v>
      </c>
      <c r="CW566">
        <v>34.965400000000002</v>
      </c>
      <c r="CX566">
        <v>10.4389</v>
      </c>
      <c r="CY566">
        <v>0.47149999999999997</v>
      </c>
      <c r="CZ566">
        <v>774.18380000000002</v>
      </c>
      <c r="DA566">
        <v>1.5900000000000001E-2</v>
      </c>
      <c r="DB566">
        <v>22897.773700000002</v>
      </c>
      <c r="DC566">
        <v>-22113.150900000001</v>
      </c>
      <c r="DD566">
        <v>784.62270000000001</v>
      </c>
      <c r="DE566">
        <v>928</v>
      </c>
      <c r="DF566" t="s">
        <v>135</v>
      </c>
      <c r="DG566" t="s">
        <v>135</v>
      </c>
      <c r="DH566" t="s">
        <v>135</v>
      </c>
      <c r="DI566" t="s">
        <v>135</v>
      </c>
    </row>
    <row r="567" spans="4:113" x14ac:dyDescent="0.3">
      <c r="E567" t="s">
        <v>81</v>
      </c>
      <c r="F567">
        <v>11.6905</v>
      </c>
      <c r="G567">
        <v>3.9855999999999998</v>
      </c>
      <c r="H567" t="s">
        <v>135</v>
      </c>
      <c r="I567">
        <v>6.1894999999999998</v>
      </c>
      <c r="J567">
        <v>38.213999999999999</v>
      </c>
      <c r="K567">
        <v>17.356100000000001</v>
      </c>
      <c r="L567">
        <v>6.1520000000000001</v>
      </c>
      <c r="M567">
        <v>9.2418999999999993</v>
      </c>
      <c r="N567">
        <v>6.0831999999999997</v>
      </c>
      <c r="O567">
        <v>6.0831999999999997</v>
      </c>
      <c r="P567">
        <v>6.0831999999999997</v>
      </c>
      <c r="Q567">
        <v>34.177599999999998</v>
      </c>
      <c r="R567" t="s">
        <v>135</v>
      </c>
      <c r="S567" t="s">
        <v>135</v>
      </c>
      <c r="T567">
        <v>12.6869</v>
      </c>
      <c r="U567">
        <v>17.997399999999999</v>
      </c>
      <c r="V567">
        <v>4.1565000000000003</v>
      </c>
      <c r="W567">
        <v>-38.877899999999997</v>
      </c>
      <c r="X567">
        <v>-39.080500000000001</v>
      </c>
      <c r="Y567" t="s">
        <v>135</v>
      </c>
      <c r="Z567">
        <v>30.5228</v>
      </c>
      <c r="AA567">
        <v>49.985900000000001</v>
      </c>
      <c r="AB567">
        <v>14.8779</v>
      </c>
      <c r="AC567">
        <v>36.686799999999998</v>
      </c>
      <c r="AD567">
        <v>-2.3513999999999999</v>
      </c>
      <c r="AE567">
        <v>-349.6968</v>
      </c>
      <c r="AF567">
        <v>8.0846</v>
      </c>
      <c r="AG567">
        <v>-51.885300000000001</v>
      </c>
      <c r="AH567">
        <v>54.521599999999999</v>
      </c>
      <c r="AI567">
        <v>11.890499999999999</v>
      </c>
      <c r="AJ567">
        <v>34.842399999999998</v>
      </c>
      <c r="AK567">
        <v>11.8087</v>
      </c>
      <c r="AL567" t="s">
        <v>135</v>
      </c>
      <c r="AM567">
        <v>17.6464</v>
      </c>
      <c r="AN567">
        <v>27.4526</v>
      </c>
      <c r="AO567">
        <v>31.479800000000001</v>
      </c>
      <c r="AP567">
        <v>15.961500000000001</v>
      </c>
      <c r="AQ567">
        <v>13.8843</v>
      </c>
      <c r="AR567" t="s">
        <v>135</v>
      </c>
      <c r="AS567">
        <v>14.3957</v>
      </c>
      <c r="AT567">
        <v>10.0785</v>
      </c>
      <c r="AU567">
        <v>7.4676</v>
      </c>
      <c r="AV567">
        <v>22.296399999999998</v>
      </c>
      <c r="AW567" t="s">
        <v>135</v>
      </c>
      <c r="AX567" t="s">
        <v>135</v>
      </c>
      <c r="AY567">
        <v>-1.321</v>
      </c>
      <c r="AZ567">
        <v>9.9159000000000006</v>
      </c>
      <c r="BA567">
        <v>28.018000000000001</v>
      </c>
      <c r="BB567">
        <v>15.940200000000001</v>
      </c>
      <c r="BC567">
        <v>22.515899999999998</v>
      </c>
      <c r="BD567">
        <v>13.9613</v>
      </c>
      <c r="BE567" t="s">
        <v>135</v>
      </c>
      <c r="BF567">
        <v>5.1794000000000002</v>
      </c>
      <c r="BG567">
        <v>26.2807</v>
      </c>
      <c r="BH567">
        <v>23.2515</v>
      </c>
      <c r="BI567">
        <v>-12.698</v>
      </c>
      <c r="BJ567">
        <v>-13.114800000000001</v>
      </c>
      <c r="BK567" t="s">
        <v>135</v>
      </c>
      <c r="BL567">
        <v>-35.472799999999999</v>
      </c>
      <c r="BM567">
        <v>14.8071</v>
      </c>
      <c r="BN567">
        <v>-9.8541000000000007</v>
      </c>
      <c r="BO567">
        <v>3.2052</v>
      </c>
      <c r="BP567" t="s">
        <v>135</v>
      </c>
      <c r="BQ567" t="s">
        <v>135</v>
      </c>
      <c r="BR567">
        <v>-5.7999999999999996E-3</v>
      </c>
      <c r="BS567">
        <v>174.81639999999999</v>
      </c>
      <c r="BT567">
        <v>5.6665999999999999</v>
      </c>
      <c r="BU567">
        <v>0.92769999999999997</v>
      </c>
      <c r="BV567">
        <v>3.7997000000000001</v>
      </c>
      <c r="BW567">
        <v>0.92349999999999999</v>
      </c>
      <c r="BX567" t="s">
        <v>135</v>
      </c>
      <c r="BY567">
        <v>415030.94</v>
      </c>
      <c r="BZ567">
        <v>49346.04</v>
      </c>
      <c r="CA567">
        <v>365684.9</v>
      </c>
      <c r="CB567">
        <v>3.3881999999999999</v>
      </c>
      <c r="CC567">
        <v>3.2128999999999999</v>
      </c>
      <c r="CD567">
        <v>7.0377000000000001</v>
      </c>
      <c r="CE567">
        <v>6.6734999999999998</v>
      </c>
      <c r="CF567" t="s">
        <v>135</v>
      </c>
      <c r="CG567">
        <v>31.174299999999999</v>
      </c>
      <c r="CH567">
        <v>141.9169</v>
      </c>
      <c r="CI567">
        <v>54.360300000000002</v>
      </c>
      <c r="CJ567">
        <v>44.244900000000001</v>
      </c>
      <c r="CK567">
        <v>161.06729999999999</v>
      </c>
      <c r="CL567">
        <v>61.695700000000002</v>
      </c>
      <c r="CM567">
        <v>50.215400000000002</v>
      </c>
      <c r="CN567">
        <v>152.732</v>
      </c>
      <c r="CO567">
        <v>60.432400000000001</v>
      </c>
      <c r="CP567">
        <v>36160.300000000003</v>
      </c>
      <c r="CQ567" t="s">
        <v>135</v>
      </c>
      <c r="CR567">
        <v>16423.3</v>
      </c>
      <c r="CS567">
        <v>0.16120000000000001</v>
      </c>
      <c r="CT567">
        <v>0.3483</v>
      </c>
      <c r="CU567">
        <v>0.2112</v>
      </c>
      <c r="CV567">
        <v>2.2004000000000001</v>
      </c>
      <c r="CW567">
        <v>61.078200000000002</v>
      </c>
      <c r="CX567">
        <v>5.9923000000000002</v>
      </c>
      <c r="CY567">
        <v>0.32550000000000001</v>
      </c>
      <c r="CZ567">
        <v>1124.5925</v>
      </c>
      <c r="DA567">
        <v>0.02</v>
      </c>
      <c r="DB567">
        <v>18313.923299999999</v>
      </c>
      <c r="DC567">
        <v>-17183.338400000001</v>
      </c>
      <c r="DD567">
        <v>1130.5848000000001</v>
      </c>
      <c r="DE567">
        <v>1065.4100000000001</v>
      </c>
      <c r="DF567">
        <v>0</v>
      </c>
      <c r="DG567">
        <v>0</v>
      </c>
      <c r="DH567">
        <v>1065.4100000000001</v>
      </c>
      <c r="DI567">
        <v>0</v>
      </c>
    </row>
    <row r="568" spans="4:113" x14ac:dyDescent="0.3">
      <c r="D568" t="s">
        <v>84</v>
      </c>
      <c r="E568" t="s">
        <v>77</v>
      </c>
      <c r="F568">
        <v>-1.6556</v>
      </c>
      <c r="G568">
        <v>-0.4521</v>
      </c>
      <c r="H568">
        <v>2.9826000000000001</v>
      </c>
      <c r="I568">
        <v>2.6082000000000001</v>
      </c>
      <c r="J568">
        <v>28.8126</v>
      </c>
      <c r="K568">
        <v>6.7968000000000002</v>
      </c>
      <c r="L568">
        <v>-916.61360000000002</v>
      </c>
      <c r="M568">
        <v>-2.4279999999999999</v>
      </c>
      <c r="N568">
        <v>-1.1242000000000001</v>
      </c>
      <c r="O568">
        <v>-1.1242000000000001</v>
      </c>
      <c r="P568">
        <v>-1.1242000000000001</v>
      </c>
      <c r="Q568" t="s">
        <v>135</v>
      </c>
      <c r="R568" t="s">
        <v>135</v>
      </c>
      <c r="S568" t="s">
        <v>135</v>
      </c>
      <c r="T568">
        <v>-1.0126999999999999</v>
      </c>
      <c r="U568">
        <v>-14.6812</v>
      </c>
      <c r="V568">
        <v>-57.976500000000001</v>
      </c>
      <c r="W568" t="s">
        <v>135</v>
      </c>
      <c r="X568" t="s">
        <v>135</v>
      </c>
      <c r="Y568" t="s">
        <v>135</v>
      </c>
      <c r="Z568">
        <v>15.7126</v>
      </c>
      <c r="AA568">
        <v>-44.812800000000003</v>
      </c>
      <c r="AB568">
        <v>10.697900000000001</v>
      </c>
      <c r="AC568">
        <v>20.691500000000001</v>
      </c>
      <c r="AD568">
        <v>-31.446000000000002</v>
      </c>
      <c r="AE568">
        <v>14.992000000000001</v>
      </c>
      <c r="AF568">
        <v>25.5776</v>
      </c>
      <c r="AG568">
        <v>-26.3202</v>
      </c>
      <c r="AH568">
        <v>35.798699999999997</v>
      </c>
      <c r="AI568">
        <v>5.0179999999999998</v>
      </c>
      <c r="AJ568">
        <v>24.488299999999999</v>
      </c>
      <c r="AK568">
        <v>4.8776000000000002</v>
      </c>
      <c r="AL568">
        <v>-27.820599999999999</v>
      </c>
      <c r="AM568">
        <v>12.776299999999999</v>
      </c>
      <c r="AN568">
        <v>15.002599999999999</v>
      </c>
      <c r="AO568">
        <v>2.7396000000000003</v>
      </c>
      <c r="AP568" t="s">
        <v>135</v>
      </c>
      <c r="AQ568" t="s">
        <v>135</v>
      </c>
      <c r="AR568" t="s">
        <v>135</v>
      </c>
      <c r="AS568">
        <v>10.1972</v>
      </c>
      <c r="AT568">
        <v>-8.6768999999999998</v>
      </c>
      <c r="AU568">
        <v>3.0424000000000002</v>
      </c>
      <c r="AV568">
        <v>24.265999999999998</v>
      </c>
      <c r="AW568" t="s">
        <v>135</v>
      </c>
      <c r="AX568" t="s">
        <v>135</v>
      </c>
      <c r="AY568">
        <v>13.3001</v>
      </c>
      <c r="AZ568">
        <v>-2.1810999999999998</v>
      </c>
      <c r="BA568">
        <v>32.783999999999999</v>
      </c>
      <c r="BB568">
        <v>13.6395</v>
      </c>
      <c r="BC568">
        <v>24.769100000000002</v>
      </c>
      <c r="BD568">
        <v>11.709</v>
      </c>
      <c r="BE568">
        <v>23.273299999999999</v>
      </c>
      <c r="BF568">
        <v>-1.0126999999999999</v>
      </c>
      <c r="BG568">
        <v>-14.6812</v>
      </c>
      <c r="BH568">
        <v>-57.976500000000001</v>
      </c>
      <c r="BI568">
        <v>-114.65090000000001</v>
      </c>
      <c r="BJ568">
        <v>-114.6823</v>
      </c>
      <c r="BK568" t="s">
        <v>135</v>
      </c>
      <c r="BL568">
        <v>15.7126</v>
      </c>
      <c r="BM568">
        <v>-44.812800000000003</v>
      </c>
      <c r="BN568">
        <v>10.697900000000001</v>
      </c>
      <c r="BO568">
        <v>20.691500000000001</v>
      </c>
      <c r="BP568" t="s">
        <v>135</v>
      </c>
      <c r="BQ568" t="s">
        <v>135</v>
      </c>
      <c r="BR568">
        <v>25.5776</v>
      </c>
      <c r="BS568">
        <v>-26.3202</v>
      </c>
      <c r="BT568">
        <v>35.798699999999997</v>
      </c>
      <c r="BU568">
        <v>5.0179999999999998</v>
      </c>
      <c r="BV568">
        <v>24.488299999999999</v>
      </c>
      <c r="BW568">
        <v>4.8776000000000002</v>
      </c>
      <c r="BX568">
        <v>-27.820599999999999</v>
      </c>
      <c r="BY568">
        <v>550545.55000000005</v>
      </c>
      <c r="BZ568">
        <v>34167.269999999997</v>
      </c>
      <c r="CA568">
        <v>516378.28</v>
      </c>
      <c r="CB568">
        <v>5.3745000000000003</v>
      </c>
      <c r="CC568">
        <v>4.8884999999999996</v>
      </c>
      <c r="CD568">
        <v>22.783200000000001</v>
      </c>
      <c r="CE568">
        <v>20.723099999999999</v>
      </c>
      <c r="CF568">
        <v>2.6316000000000002</v>
      </c>
      <c r="CG568">
        <v>25.574999999999999</v>
      </c>
      <c r="CH568">
        <v>208.78749999999999</v>
      </c>
      <c r="CI568">
        <v>64.719800000000006</v>
      </c>
      <c r="CJ568">
        <v>53.397399999999998</v>
      </c>
      <c r="CK568">
        <v>222.60230000000001</v>
      </c>
      <c r="CL568">
        <v>69.002099999999999</v>
      </c>
      <c r="CM568">
        <v>56.930599999999998</v>
      </c>
      <c r="CN568">
        <v>202.47479999999999</v>
      </c>
      <c r="CO568">
        <v>66.939400000000006</v>
      </c>
      <c r="CP568">
        <v>102436.6</v>
      </c>
      <c r="CQ568">
        <v>49123.79</v>
      </c>
      <c r="CR568">
        <v>24164.560000000001</v>
      </c>
      <c r="CS568">
        <v>0.2918</v>
      </c>
      <c r="CT568">
        <v>0.44740000000000002</v>
      </c>
      <c r="CU568">
        <v>0.33889999999999998</v>
      </c>
      <c r="CV568">
        <v>1.4258999999999999</v>
      </c>
      <c r="CW568">
        <v>47.445500000000003</v>
      </c>
      <c r="CX568">
        <v>7.6929999999999996</v>
      </c>
      <c r="CY568">
        <v>0.3377</v>
      </c>
      <c r="CZ568">
        <v>1080.7760000000001</v>
      </c>
      <c r="DA568">
        <v>-5.4000000000000003E-3</v>
      </c>
      <c r="DB568">
        <v>-67428.774399999995</v>
      </c>
      <c r="DC568">
        <v>68517.243400000007</v>
      </c>
      <c r="DD568">
        <v>1088.4690000000001</v>
      </c>
      <c r="DE568">
        <v>587.97</v>
      </c>
      <c r="DF568">
        <v>0</v>
      </c>
      <c r="DG568">
        <v>0</v>
      </c>
      <c r="DH568">
        <v>587.97</v>
      </c>
      <c r="DI568">
        <v>0</v>
      </c>
    </row>
    <row r="569" spans="4:113" x14ac:dyDescent="0.3">
      <c r="E569" t="s">
        <v>78</v>
      </c>
      <c r="F569">
        <v>8.7740000000000009</v>
      </c>
      <c r="G569">
        <v>3.0448</v>
      </c>
      <c r="H569" t="s">
        <v>135</v>
      </c>
      <c r="I569">
        <v>6.0225</v>
      </c>
      <c r="J569">
        <v>32.415199999999999</v>
      </c>
      <c r="K569">
        <v>12.1792</v>
      </c>
      <c r="L569" t="s">
        <v>135</v>
      </c>
      <c r="M569">
        <v>3.5449999999999999</v>
      </c>
      <c r="N569">
        <v>2.3241000000000001</v>
      </c>
      <c r="O569">
        <v>2.3241000000000001</v>
      </c>
      <c r="P569">
        <v>2.3241000000000001</v>
      </c>
      <c r="Q569">
        <v>34.439900000000002</v>
      </c>
      <c r="R569" t="s">
        <v>135</v>
      </c>
      <c r="S569" t="s">
        <v>135</v>
      </c>
      <c r="T569">
        <v>7.8971999999999998</v>
      </c>
      <c r="U569">
        <v>3.1857000000000002</v>
      </c>
      <c r="V569">
        <v>-26.318300000000001</v>
      </c>
      <c r="W569">
        <v>-74.214299999999994</v>
      </c>
      <c r="X569">
        <v>-74.261600000000001</v>
      </c>
      <c r="Y569" t="s">
        <v>135</v>
      </c>
      <c r="Z569">
        <v>10.53</v>
      </c>
      <c r="AA569">
        <v>15.2819</v>
      </c>
      <c r="AB569">
        <v>-25.0503</v>
      </c>
      <c r="AC569">
        <v>41.269399999999997</v>
      </c>
      <c r="AD569">
        <v>1.4398</v>
      </c>
      <c r="AE569">
        <v>-32.239199999999997</v>
      </c>
      <c r="AF569">
        <v>2.4245999999999999</v>
      </c>
      <c r="AG569">
        <v>54.3217</v>
      </c>
      <c r="AH569">
        <v>105.9712</v>
      </c>
      <c r="AI569">
        <v>-0.79049999999999998</v>
      </c>
      <c r="AJ569">
        <v>48.090899999999998</v>
      </c>
      <c r="AK569">
        <v>-0.85070000000000001</v>
      </c>
      <c r="AL569" t="s">
        <v>135</v>
      </c>
      <c r="AM569">
        <v>15.9979</v>
      </c>
      <c r="AN569">
        <v>20.620799999999999</v>
      </c>
      <c r="AO569">
        <v>18.164300000000001</v>
      </c>
      <c r="AP569">
        <v>4.4546000000000001</v>
      </c>
      <c r="AQ569">
        <v>2.4678</v>
      </c>
      <c r="AR569" t="s">
        <v>135</v>
      </c>
      <c r="AS569" t="s">
        <v>135</v>
      </c>
      <c r="AT569" t="s">
        <v>135</v>
      </c>
      <c r="AU569" t="s">
        <v>135</v>
      </c>
      <c r="AV569" t="s">
        <v>135</v>
      </c>
      <c r="AW569" t="s">
        <v>135</v>
      </c>
      <c r="AX569" t="s">
        <v>135</v>
      </c>
      <c r="AY569" t="s">
        <v>135</v>
      </c>
      <c r="AZ569" t="s">
        <v>135</v>
      </c>
      <c r="BA569" t="s">
        <v>135</v>
      </c>
      <c r="BB569" t="s">
        <v>135</v>
      </c>
      <c r="BC569" t="s">
        <v>135</v>
      </c>
      <c r="BD569" t="s">
        <v>135</v>
      </c>
      <c r="BE569" t="s">
        <v>135</v>
      </c>
      <c r="BF569">
        <v>0.27410000000000001</v>
      </c>
      <c r="BG569">
        <v>-7.7995999999999999</v>
      </c>
      <c r="BH569">
        <v>-20.7011</v>
      </c>
      <c r="BI569">
        <v>-51.202300000000001</v>
      </c>
      <c r="BJ569">
        <v>-49.586799999999997</v>
      </c>
      <c r="BK569" t="s">
        <v>135</v>
      </c>
      <c r="BL569">
        <v>59.998800000000003</v>
      </c>
      <c r="BM569">
        <v>-27.0703</v>
      </c>
      <c r="BN569">
        <v>-0.63449999999999995</v>
      </c>
      <c r="BO569">
        <v>0.50080000000000002</v>
      </c>
      <c r="BP569" t="s">
        <v>135</v>
      </c>
      <c r="BQ569" t="s">
        <v>135</v>
      </c>
      <c r="BR569">
        <v>7.4611000000000001</v>
      </c>
      <c r="BS569">
        <v>-17.914999999999999</v>
      </c>
      <c r="BT569">
        <v>2.7984</v>
      </c>
      <c r="BU569">
        <v>0.92949999999999999</v>
      </c>
      <c r="BV569">
        <v>2.1116999999999999</v>
      </c>
      <c r="BW569">
        <v>0.92130000000000001</v>
      </c>
      <c r="BX569" t="s">
        <v>135</v>
      </c>
      <c r="BY569">
        <v>416758</v>
      </c>
      <c r="BZ569">
        <v>38065</v>
      </c>
      <c r="CA569">
        <v>378693</v>
      </c>
      <c r="CB569">
        <v>3.4550000000000001</v>
      </c>
      <c r="CC569">
        <v>3.1219000000000001</v>
      </c>
      <c r="CD569">
        <v>7.8649000000000004</v>
      </c>
      <c r="CE569">
        <v>7.1067</v>
      </c>
      <c r="CF569" t="s">
        <v>135</v>
      </c>
      <c r="CG569">
        <v>29.517399999999999</v>
      </c>
      <c r="CH569">
        <v>159.31950000000001</v>
      </c>
      <c r="CI569">
        <v>57.864100000000001</v>
      </c>
      <c r="CJ569">
        <v>47.027000000000001</v>
      </c>
      <c r="CK569">
        <v>175.3338</v>
      </c>
      <c r="CL569">
        <v>63.680500000000002</v>
      </c>
      <c r="CM569">
        <v>51.753999999999998</v>
      </c>
      <c r="CN569">
        <v>158.4297</v>
      </c>
      <c r="CO569">
        <v>61.3048</v>
      </c>
      <c r="CP569">
        <v>30742.37</v>
      </c>
      <c r="CQ569" t="s">
        <v>135</v>
      </c>
      <c r="CR569">
        <v>11550.68</v>
      </c>
      <c r="CS569">
        <v>0.26319999999999999</v>
      </c>
      <c r="CT569">
        <v>0.4204</v>
      </c>
      <c r="CU569">
        <v>0.33600000000000002</v>
      </c>
      <c r="CV569">
        <v>2.8266999999999998</v>
      </c>
      <c r="CW569">
        <v>34.582300000000004</v>
      </c>
      <c r="CX569">
        <v>10.583399999999999</v>
      </c>
      <c r="CY569">
        <v>0.4284</v>
      </c>
      <c r="CZ569">
        <v>854.43579999999997</v>
      </c>
      <c r="DA569">
        <v>1.2E-2</v>
      </c>
      <c r="DB569">
        <v>30500.147400000002</v>
      </c>
      <c r="DC569">
        <v>-29635.128199999999</v>
      </c>
      <c r="DD569">
        <v>865.01919999999996</v>
      </c>
      <c r="DE569">
        <v>777</v>
      </c>
      <c r="DF569" t="s">
        <v>135</v>
      </c>
      <c r="DG569" t="s">
        <v>135</v>
      </c>
      <c r="DH569" t="s">
        <v>135</v>
      </c>
      <c r="DI569" t="s">
        <v>135</v>
      </c>
    </row>
    <row r="570" spans="4:113" x14ac:dyDescent="0.3">
      <c r="E570" t="s">
        <v>79</v>
      </c>
      <c r="F570">
        <v>5.8837000000000002</v>
      </c>
      <c r="G570">
        <v>1.9725000000000001</v>
      </c>
      <c r="H570" t="s">
        <v>135</v>
      </c>
      <c r="I570">
        <v>5.6776</v>
      </c>
      <c r="J570">
        <v>30.5425</v>
      </c>
      <c r="K570">
        <v>9.5259999999999998</v>
      </c>
      <c r="L570" t="s">
        <v>135</v>
      </c>
      <c r="M570">
        <v>1.2495000000000001</v>
      </c>
      <c r="N570">
        <v>0.98360000000000003</v>
      </c>
      <c r="O570">
        <v>0.98360000000000003</v>
      </c>
      <c r="P570">
        <v>0.98360000000000003</v>
      </c>
      <c r="Q570">
        <v>21.279299999999999</v>
      </c>
      <c r="R570" t="s">
        <v>135</v>
      </c>
      <c r="S570" t="s">
        <v>135</v>
      </c>
      <c r="T570">
        <v>7.2285000000000004</v>
      </c>
      <c r="U570">
        <v>1.7798</v>
      </c>
      <c r="V570">
        <v>-34.615200000000002</v>
      </c>
      <c r="W570">
        <v>-88.001199999999997</v>
      </c>
      <c r="X570">
        <v>-88.151700000000005</v>
      </c>
      <c r="Y570" t="s">
        <v>135</v>
      </c>
      <c r="Z570">
        <v>8.5671999999999997</v>
      </c>
      <c r="AA570">
        <v>-1.1722999999999999</v>
      </c>
      <c r="AB570">
        <v>-38.2834</v>
      </c>
      <c r="AC570">
        <v>28.938400000000001</v>
      </c>
      <c r="AD570">
        <v>-14.1279</v>
      </c>
      <c r="AE570">
        <v>-40.508600000000001</v>
      </c>
      <c r="AF570">
        <v>11.887</v>
      </c>
      <c r="AG570">
        <v>-95.568799999999996</v>
      </c>
      <c r="AH570">
        <v>55.803899999999999</v>
      </c>
      <c r="AI570">
        <v>-4.7080000000000002</v>
      </c>
      <c r="AJ570">
        <v>25.292000000000002</v>
      </c>
      <c r="AK570">
        <v>-4.7446999999999999</v>
      </c>
      <c r="AL570" t="s">
        <v>135</v>
      </c>
      <c r="AM570">
        <v>15.076700000000001</v>
      </c>
      <c r="AN570">
        <v>19.070499999999999</v>
      </c>
      <c r="AO570">
        <v>14.5177</v>
      </c>
      <c r="AP570">
        <v>-2.8628</v>
      </c>
      <c r="AQ570">
        <v>-4.8173000000000004</v>
      </c>
      <c r="AR570" t="s">
        <v>135</v>
      </c>
      <c r="AS570">
        <v>11.8348</v>
      </c>
      <c r="AT570">
        <v>6.7850000000000001</v>
      </c>
      <c r="AU570" t="s">
        <v>135</v>
      </c>
      <c r="AV570">
        <v>22.1998</v>
      </c>
      <c r="AW570" t="s">
        <v>135</v>
      </c>
      <c r="AX570" t="s">
        <v>135</v>
      </c>
      <c r="AY570" t="s">
        <v>135</v>
      </c>
      <c r="AZ570" t="s">
        <v>135</v>
      </c>
      <c r="BA570">
        <v>27.391999999999999</v>
      </c>
      <c r="BB570">
        <v>13.431699999999999</v>
      </c>
      <c r="BC570">
        <v>20.848600000000001</v>
      </c>
      <c r="BD570">
        <v>11.509</v>
      </c>
      <c r="BE570" t="s">
        <v>135</v>
      </c>
      <c r="BF570">
        <v>-1.9508000000000001</v>
      </c>
      <c r="BG570">
        <v>-8.2294999999999998</v>
      </c>
      <c r="BH570">
        <v>-24.65</v>
      </c>
      <c r="BI570">
        <v>-58.500900000000001</v>
      </c>
      <c r="BJ570">
        <v>-59.156100000000002</v>
      </c>
      <c r="BK570" t="s">
        <v>135</v>
      </c>
      <c r="BL570">
        <v>4.9817999999999998</v>
      </c>
      <c r="BM570">
        <v>-3.9832999999999998</v>
      </c>
      <c r="BN570">
        <v>2.7130000000000001</v>
      </c>
      <c r="BO570">
        <v>0.90410000000000001</v>
      </c>
      <c r="BP570" t="s">
        <v>135</v>
      </c>
      <c r="BQ570" t="s">
        <v>135</v>
      </c>
      <c r="BR570">
        <v>2.0527000000000002</v>
      </c>
      <c r="BS570">
        <v>-97.460899999999995</v>
      </c>
      <c r="BT570">
        <v>-8.9583999999999993</v>
      </c>
      <c r="BU570">
        <v>-0.70379999999999998</v>
      </c>
      <c r="BV570">
        <v>-5.9603999999999999</v>
      </c>
      <c r="BW570">
        <v>-0.71009999999999995</v>
      </c>
      <c r="BX570" t="s">
        <v>135</v>
      </c>
      <c r="BY570">
        <v>379422.97</v>
      </c>
      <c r="BZ570">
        <v>966.5</v>
      </c>
      <c r="CA570">
        <v>378456.47</v>
      </c>
      <c r="CB570">
        <v>3.1273</v>
      </c>
      <c r="CC570">
        <v>2.7563</v>
      </c>
      <c r="CD570">
        <v>7.8223000000000003</v>
      </c>
      <c r="CE570">
        <v>6.8944000000000001</v>
      </c>
      <c r="CF570" t="s">
        <v>135</v>
      </c>
      <c r="CG570">
        <v>29.047000000000001</v>
      </c>
      <c r="CH570">
        <v>160.3486</v>
      </c>
      <c r="CI570">
        <v>61.493200000000002</v>
      </c>
      <c r="CJ570">
        <v>46.576500000000003</v>
      </c>
      <c r="CK570">
        <v>160.75810000000001</v>
      </c>
      <c r="CL570">
        <v>61.650300000000001</v>
      </c>
      <c r="CM570">
        <v>46.695399999999999</v>
      </c>
      <c r="CN570">
        <v>141.6891</v>
      </c>
      <c r="CO570">
        <v>58.624499999999998</v>
      </c>
      <c r="CP570">
        <v>28401.119999999999</v>
      </c>
      <c r="CQ570" t="s">
        <v>135</v>
      </c>
      <c r="CR570">
        <v>8858.15</v>
      </c>
      <c r="CS570">
        <v>0.2949</v>
      </c>
      <c r="CT570">
        <v>0.41470000000000001</v>
      </c>
      <c r="CU570">
        <v>0.37140000000000001</v>
      </c>
      <c r="CV570">
        <v>2.6185999999999998</v>
      </c>
      <c r="CW570">
        <v>33.22</v>
      </c>
      <c r="CX570">
        <v>11.0175</v>
      </c>
      <c r="CY570">
        <v>0.49349999999999999</v>
      </c>
      <c r="CZ570">
        <v>741.66020000000003</v>
      </c>
      <c r="DA570">
        <v>1.0699999999999999E-2</v>
      </c>
      <c r="DB570">
        <v>34138.368999999999</v>
      </c>
      <c r="DC570">
        <v>-33385.691400000003</v>
      </c>
      <c r="DD570">
        <v>752.67769999999996</v>
      </c>
      <c r="DE570">
        <v>746.05</v>
      </c>
      <c r="DF570" t="s">
        <v>135</v>
      </c>
      <c r="DG570" t="s">
        <v>135</v>
      </c>
      <c r="DH570" t="s">
        <v>135</v>
      </c>
      <c r="DI570" t="s">
        <v>135</v>
      </c>
    </row>
    <row r="571" spans="4:113" x14ac:dyDescent="0.3">
      <c r="E571" t="s">
        <v>80</v>
      </c>
      <c r="F571">
        <v>1.5579000000000001</v>
      </c>
      <c r="G571">
        <v>0.44109999999999999</v>
      </c>
      <c r="H571" t="s">
        <v>135</v>
      </c>
      <c r="I571">
        <v>3.6303000000000001</v>
      </c>
      <c r="J571">
        <v>25.0031</v>
      </c>
      <c r="K571">
        <v>2.3115000000000001</v>
      </c>
      <c r="L571">
        <v>-337.1386</v>
      </c>
      <c r="M571">
        <v>-7.0282</v>
      </c>
      <c r="N571">
        <v>-4.4324000000000003</v>
      </c>
      <c r="O571">
        <v>-4.4324000000000003</v>
      </c>
      <c r="P571">
        <v>-4.4324000000000003</v>
      </c>
      <c r="Q571" t="s">
        <v>135</v>
      </c>
      <c r="R571" t="s">
        <v>135</v>
      </c>
      <c r="S571" t="s">
        <v>135</v>
      </c>
      <c r="T571">
        <v>-3.7332000000000001</v>
      </c>
      <c r="U571">
        <v>-24.377099999999999</v>
      </c>
      <c r="V571">
        <v>-84.975899999999996</v>
      </c>
      <c r="W571" t="s">
        <v>135</v>
      </c>
      <c r="X571" t="s">
        <v>135</v>
      </c>
      <c r="Y571" t="s">
        <v>135</v>
      </c>
      <c r="Z571">
        <v>13.0511</v>
      </c>
      <c r="AA571">
        <v>-27.8017</v>
      </c>
      <c r="AB571">
        <v>4.8445999999999998</v>
      </c>
      <c r="AC571">
        <v>15.0152</v>
      </c>
      <c r="AD571">
        <v>-15.401899999999999</v>
      </c>
      <c r="AE571">
        <v>-72.917100000000005</v>
      </c>
      <c r="AF571">
        <v>13.479699999999999</v>
      </c>
      <c r="AG571">
        <v>50.5792</v>
      </c>
      <c r="AH571">
        <v>28.8003</v>
      </c>
      <c r="AI571">
        <v>-9.0521999999999991</v>
      </c>
      <c r="AJ571">
        <v>13.888500000000001</v>
      </c>
      <c r="AK571">
        <v>-9.0790000000000006</v>
      </c>
      <c r="AL571" t="s">
        <v>135</v>
      </c>
      <c r="AM571">
        <v>11.5228</v>
      </c>
      <c r="AN571">
        <v>9.9997000000000007</v>
      </c>
      <c r="AO571">
        <v>-19.360600000000002</v>
      </c>
      <c r="AP571" t="s">
        <v>135</v>
      </c>
      <c r="AQ571" t="s">
        <v>135</v>
      </c>
      <c r="AR571" t="s">
        <v>135</v>
      </c>
      <c r="AS571" t="s">
        <v>135</v>
      </c>
      <c r="AT571" t="s">
        <v>135</v>
      </c>
      <c r="AU571" t="s">
        <v>135</v>
      </c>
      <c r="AV571" t="s">
        <v>135</v>
      </c>
      <c r="AW571" t="s">
        <v>135</v>
      </c>
      <c r="AX571" t="s">
        <v>135</v>
      </c>
      <c r="AY571" t="s">
        <v>135</v>
      </c>
      <c r="AZ571" t="s">
        <v>135</v>
      </c>
      <c r="BA571" t="s">
        <v>135</v>
      </c>
      <c r="BB571" t="s">
        <v>135</v>
      </c>
      <c r="BC571" t="s">
        <v>135</v>
      </c>
      <c r="BD571" t="s">
        <v>135</v>
      </c>
      <c r="BE571" t="s">
        <v>135</v>
      </c>
      <c r="BF571">
        <v>-6.8627000000000002</v>
      </c>
      <c r="BG571">
        <v>-23.681899999999999</v>
      </c>
      <c r="BH571">
        <v>-77.330299999999994</v>
      </c>
      <c r="BI571">
        <v>-519.53549999999996</v>
      </c>
      <c r="BJ571">
        <v>-586.36360000000002</v>
      </c>
      <c r="BK571" t="s">
        <v>135</v>
      </c>
      <c r="BL571">
        <v>-1.5299999999999999E-2</v>
      </c>
      <c r="BM571">
        <v>-10.1937</v>
      </c>
      <c r="BN571">
        <v>58.580300000000001</v>
      </c>
      <c r="BO571">
        <v>13.3569</v>
      </c>
      <c r="BP571" t="s">
        <v>135</v>
      </c>
      <c r="BQ571" t="s">
        <v>135</v>
      </c>
      <c r="BR571">
        <v>6.6911000000000005</v>
      </c>
      <c r="BS571">
        <v>2697.5167999999999</v>
      </c>
      <c r="BT571">
        <v>33.332500000000003</v>
      </c>
      <c r="BU571">
        <v>-14.643700000000001</v>
      </c>
      <c r="BV571">
        <v>13.2988</v>
      </c>
      <c r="BW571">
        <v>-14.6593</v>
      </c>
      <c r="BX571" t="s">
        <v>135</v>
      </c>
      <c r="BY571">
        <v>505894</v>
      </c>
      <c r="BZ571">
        <v>27038</v>
      </c>
      <c r="CA571">
        <v>478856</v>
      </c>
      <c r="CB571">
        <v>4.4253</v>
      </c>
      <c r="CC571">
        <v>4.2983000000000002</v>
      </c>
      <c r="CD571">
        <v>13.6158</v>
      </c>
      <c r="CE571">
        <v>13.225199999999999</v>
      </c>
      <c r="CF571" t="s">
        <v>135</v>
      </c>
      <c r="CG571">
        <v>25.209099999999999</v>
      </c>
      <c r="CH571">
        <v>206.22919999999999</v>
      </c>
      <c r="CI571">
        <v>64.877700000000004</v>
      </c>
      <c r="CJ571">
        <v>51.988500000000002</v>
      </c>
      <c r="CK571">
        <v>217.87370000000001</v>
      </c>
      <c r="CL571">
        <v>68.540999999999997</v>
      </c>
      <c r="CM571">
        <v>54.923999999999999</v>
      </c>
      <c r="CN571">
        <v>211.6242</v>
      </c>
      <c r="CO571">
        <v>67.9101</v>
      </c>
      <c r="CP571">
        <v>21654.5</v>
      </c>
      <c r="CQ571" t="s">
        <v>135</v>
      </c>
      <c r="CR571">
        <v>2001.96</v>
      </c>
      <c r="CS571">
        <v>9.2600000000000002E-2</v>
      </c>
      <c r="CT571">
        <v>0.24249999999999999</v>
      </c>
      <c r="CU571">
        <v>0.16700000000000001</v>
      </c>
      <c r="CV571">
        <v>1.7677</v>
      </c>
      <c r="CW571">
        <v>33.563600000000001</v>
      </c>
      <c r="CX571">
        <v>10.9047</v>
      </c>
      <c r="CY571">
        <v>0.46310000000000001</v>
      </c>
      <c r="CZ571">
        <v>790.4049</v>
      </c>
      <c r="DA571">
        <v>3.0999999999999999E-3</v>
      </c>
      <c r="DB571">
        <v>116802.6344</v>
      </c>
      <c r="DC571">
        <v>-116001.32490000001</v>
      </c>
      <c r="DD571">
        <v>801.30949999999996</v>
      </c>
      <c r="DE571">
        <v>670</v>
      </c>
      <c r="DF571" t="s">
        <v>135</v>
      </c>
      <c r="DG571" t="s">
        <v>135</v>
      </c>
      <c r="DH571" t="s">
        <v>135</v>
      </c>
      <c r="DI571" t="s">
        <v>135</v>
      </c>
    </row>
    <row r="572" spans="4:113" x14ac:dyDescent="0.3">
      <c r="E572" t="s">
        <v>81</v>
      </c>
      <c r="F572">
        <v>-1.6556999999999999</v>
      </c>
      <c r="G572">
        <v>-0.4521</v>
      </c>
      <c r="H572">
        <v>3.4194</v>
      </c>
      <c r="I572">
        <v>2.6766999999999999</v>
      </c>
      <c r="J572">
        <v>27.0869</v>
      </c>
      <c r="K572">
        <v>2.5649999999999999</v>
      </c>
      <c r="L572">
        <v>-92.564300000000003</v>
      </c>
      <c r="M572">
        <v>-8.7173999999999996</v>
      </c>
      <c r="N572">
        <v>-4.0411000000000001</v>
      </c>
      <c r="O572">
        <v>-4.0411000000000001</v>
      </c>
      <c r="P572">
        <v>-4.0411000000000001</v>
      </c>
      <c r="Q572" t="s">
        <v>135</v>
      </c>
      <c r="R572" t="s">
        <v>135</v>
      </c>
      <c r="S572" t="s">
        <v>135</v>
      </c>
      <c r="T572">
        <v>-14.262</v>
      </c>
      <c r="U572">
        <v>-34.124099999999999</v>
      </c>
      <c r="V572">
        <v>-85.720200000000006</v>
      </c>
      <c r="W572" t="s">
        <v>135</v>
      </c>
      <c r="X572" t="s">
        <v>135</v>
      </c>
      <c r="Y572" t="s">
        <v>135</v>
      </c>
      <c r="Z572">
        <v>15.7126</v>
      </c>
      <c r="AA572">
        <v>-44.812800000000003</v>
      </c>
      <c r="AB572">
        <v>10.697900000000001</v>
      </c>
      <c r="AC572">
        <v>20.691500000000001</v>
      </c>
      <c r="AD572">
        <v>-31.446000000000002</v>
      </c>
      <c r="AE572">
        <v>14.992000000000001</v>
      </c>
      <c r="AF572">
        <v>25.5776</v>
      </c>
      <c r="AG572">
        <v>-26.3202</v>
      </c>
      <c r="AH572">
        <v>35.798699999999997</v>
      </c>
      <c r="AI572">
        <v>5.0179999999999998</v>
      </c>
      <c r="AJ572">
        <v>24.488299999999999</v>
      </c>
      <c r="AK572">
        <v>4.8776000000000002</v>
      </c>
      <c r="AL572" t="s">
        <v>135</v>
      </c>
      <c r="AM572">
        <v>8.6951999999999998</v>
      </c>
      <c r="AN572">
        <v>10.1091</v>
      </c>
      <c r="AO572">
        <v>-18.337499999999999</v>
      </c>
      <c r="AP572" t="s">
        <v>135</v>
      </c>
      <c r="AQ572" t="s">
        <v>135</v>
      </c>
      <c r="AR572" t="s">
        <v>135</v>
      </c>
      <c r="AS572">
        <v>10.1972</v>
      </c>
      <c r="AT572">
        <v>-8.6768999999999998</v>
      </c>
      <c r="AU572">
        <v>3.0424000000000002</v>
      </c>
      <c r="AV572">
        <v>24.265999999999998</v>
      </c>
      <c r="AW572" t="s">
        <v>135</v>
      </c>
      <c r="AX572" t="s">
        <v>135</v>
      </c>
      <c r="AY572">
        <v>13.3001</v>
      </c>
      <c r="AZ572">
        <v>-2.1810999999999998</v>
      </c>
      <c r="BA572">
        <v>32.783999999999999</v>
      </c>
      <c r="BB572">
        <v>13.6395</v>
      </c>
      <c r="BC572">
        <v>24.769100000000002</v>
      </c>
      <c r="BD572">
        <v>11.709</v>
      </c>
      <c r="BE572" t="s">
        <v>135</v>
      </c>
      <c r="BF572">
        <v>-6.3700999999999999</v>
      </c>
      <c r="BG572">
        <v>0.22359999999999999</v>
      </c>
      <c r="BH572">
        <v>-8.1272000000000002</v>
      </c>
      <c r="BI572" t="s">
        <v>135</v>
      </c>
      <c r="BJ572" t="s">
        <v>135</v>
      </c>
      <c r="BK572" t="s">
        <v>135</v>
      </c>
      <c r="BL572">
        <v>-31.1005</v>
      </c>
      <c r="BM572">
        <v>-12.2433</v>
      </c>
      <c r="BN572">
        <v>-31.604299999999999</v>
      </c>
      <c r="BO572">
        <v>4.9904999999999999</v>
      </c>
      <c r="BP572" t="s">
        <v>135</v>
      </c>
      <c r="BQ572" t="s">
        <v>135</v>
      </c>
      <c r="BR572">
        <v>7.3268000000000004</v>
      </c>
      <c r="BS572">
        <v>26.367599999999999</v>
      </c>
      <c r="BT572">
        <v>8.8262999999999998</v>
      </c>
      <c r="BU572">
        <v>-7.7888000000000002</v>
      </c>
      <c r="BV572">
        <v>3.0695000000000001</v>
      </c>
      <c r="BW572">
        <v>-7.8815999999999997</v>
      </c>
      <c r="BX572" t="s">
        <v>135</v>
      </c>
      <c r="BY572">
        <v>550545.55000000005</v>
      </c>
      <c r="BZ572">
        <v>34167.269999999997</v>
      </c>
      <c r="CA572">
        <v>516378.28</v>
      </c>
      <c r="CB572">
        <v>5.3346</v>
      </c>
      <c r="CC572">
        <v>4.8521999999999998</v>
      </c>
      <c r="CD572">
        <v>22.082799999999999</v>
      </c>
      <c r="CE572">
        <v>20.086099999999998</v>
      </c>
      <c r="CF572">
        <v>2.0308000000000002</v>
      </c>
      <c r="CG572">
        <v>25.574999999999999</v>
      </c>
      <c r="CH572">
        <v>208.78749999999999</v>
      </c>
      <c r="CI572">
        <v>64.719800000000006</v>
      </c>
      <c r="CJ572">
        <v>53.397399999999998</v>
      </c>
      <c r="CK572">
        <v>222.60230000000001</v>
      </c>
      <c r="CL572">
        <v>69.002099999999999</v>
      </c>
      <c r="CM572">
        <v>56.930599999999998</v>
      </c>
      <c r="CN572">
        <v>202.47479999999999</v>
      </c>
      <c r="CO572">
        <v>66.939400000000006</v>
      </c>
      <c r="CP572">
        <v>21965</v>
      </c>
      <c r="CQ572" t="s">
        <v>135</v>
      </c>
      <c r="CR572">
        <v>2080</v>
      </c>
      <c r="CS572">
        <v>0.2918</v>
      </c>
      <c r="CT572">
        <v>0.44740000000000002</v>
      </c>
      <c r="CU572">
        <v>0.33889999999999998</v>
      </c>
      <c r="CV572">
        <v>1.4258999999999999</v>
      </c>
      <c r="CW572">
        <v>47.445500000000003</v>
      </c>
      <c r="CX572">
        <v>7.6929999999999996</v>
      </c>
      <c r="CY572">
        <v>0.3387</v>
      </c>
      <c r="CZ572">
        <v>1077.6495</v>
      </c>
      <c r="DA572">
        <v>-5.4000000000000003E-3</v>
      </c>
      <c r="DB572">
        <v>-67705.401800000007</v>
      </c>
      <c r="DC572">
        <v>68790.744300000006</v>
      </c>
      <c r="DD572">
        <v>1085.3425</v>
      </c>
      <c r="DE572">
        <v>587.97</v>
      </c>
      <c r="DF572">
        <v>0</v>
      </c>
      <c r="DG572">
        <v>0</v>
      </c>
      <c r="DH572">
        <v>587.97</v>
      </c>
      <c r="DI572">
        <v>0</v>
      </c>
    </row>
    <row r="573" spans="4:113" x14ac:dyDescent="0.3">
      <c r="D573" t="s">
        <v>85</v>
      </c>
      <c r="E573" t="s">
        <v>77</v>
      </c>
      <c r="F573">
        <v>-16.033000000000001</v>
      </c>
      <c r="G573">
        <v>-4.2689000000000004</v>
      </c>
      <c r="H573">
        <v>-1.0496000000000001</v>
      </c>
      <c r="I573">
        <v>-1.3315999999999999</v>
      </c>
      <c r="J573">
        <v>21.409500000000001</v>
      </c>
      <c r="K573">
        <v>-8.3603000000000005</v>
      </c>
      <c r="L573">
        <v>-65.4024</v>
      </c>
      <c r="M573">
        <v>-23.008500000000002</v>
      </c>
      <c r="N573">
        <v>-14.7561</v>
      </c>
      <c r="O573">
        <v>-14.7561</v>
      </c>
      <c r="P573">
        <v>-14.7561</v>
      </c>
      <c r="Q573" t="s">
        <v>135</v>
      </c>
      <c r="R573" t="s">
        <v>135</v>
      </c>
      <c r="S573" t="s">
        <v>135</v>
      </c>
      <c r="T573">
        <v>-20.548500000000001</v>
      </c>
      <c r="U573">
        <v>-40.963000000000001</v>
      </c>
      <c r="V573" t="s">
        <v>135</v>
      </c>
      <c r="W573">
        <v>-942.83259999999996</v>
      </c>
      <c r="X573">
        <v>-916.976</v>
      </c>
      <c r="Y573" t="s">
        <v>135</v>
      </c>
      <c r="Z573">
        <v>10.3825</v>
      </c>
      <c r="AA573">
        <v>-37.641399999999997</v>
      </c>
      <c r="AB573">
        <v>3.8538000000000001</v>
      </c>
      <c r="AC573">
        <v>1.9363000000000001</v>
      </c>
      <c r="AD573">
        <v>18.3858</v>
      </c>
      <c r="AE573">
        <v>93.674999999999997</v>
      </c>
      <c r="AF573">
        <v>-12.9917</v>
      </c>
      <c r="AG573">
        <v>-69.434799999999996</v>
      </c>
      <c r="AH573">
        <v>5.3230000000000004</v>
      </c>
      <c r="AI573">
        <v>10.230399999999999</v>
      </c>
      <c r="AJ573">
        <v>6.8441999999999998</v>
      </c>
      <c r="AK573">
        <v>-8.8351000000000006</v>
      </c>
      <c r="AL573">
        <v>-98.570899999999995</v>
      </c>
      <c r="AM573">
        <v>4.7408999999999999</v>
      </c>
      <c r="AN573">
        <v>0.1429</v>
      </c>
      <c r="AO573" t="s">
        <v>135</v>
      </c>
      <c r="AP573" t="s">
        <v>135</v>
      </c>
      <c r="AQ573" t="s">
        <v>135</v>
      </c>
      <c r="AR573">
        <v>-100</v>
      </c>
      <c r="AS573">
        <v>7.0845000000000002</v>
      </c>
      <c r="AT573">
        <v>-12.7807</v>
      </c>
      <c r="AU573">
        <v>2.8872</v>
      </c>
      <c r="AV573">
        <v>22.0639</v>
      </c>
      <c r="AW573" t="s">
        <v>135</v>
      </c>
      <c r="AX573" t="s">
        <v>135</v>
      </c>
      <c r="AY573">
        <v>5.7153</v>
      </c>
      <c r="AZ573">
        <v>-14.1472</v>
      </c>
      <c r="BA573">
        <v>32.790300000000002</v>
      </c>
      <c r="BB573">
        <v>13.766299999999999</v>
      </c>
      <c r="BC573">
        <v>24.631699999999999</v>
      </c>
      <c r="BD573">
        <v>7.7012</v>
      </c>
      <c r="BE573">
        <v>-54.067799999999998</v>
      </c>
      <c r="BF573">
        <v>-20.548500000000001</v>
      </c>
      <c r="BG573">
        <v>-40.963000000000001</v>
      </c>
      <c r="BH573">
        <v>-197.72749999999999</v>
      </c>
      <c r="BI573" t="s">
        <v>135</v>
      </c>
      <c r="BJ573" t="s">
        <v>135</v>
      </c>
      <c r="BK573" t="s">
        <v>135</v>
      </c>
      <c r="BL573">
        <v>10.3825</v>
      </c>
      <c r="BM573">
        <v>-37.641399999999997</v>
      </c>
      <c r="BN573">
        <v>3.8538000000000001</v>
      </c>
      <c r="BO573">
        <v>1.9363000000000001</v>
      </c>
      <c r="BP573" t="s">
        <v>135</v>
      </c>
      <c r="BQ573" t="s">
        <v>135</v>
      </c>
      <c r="BR573">
        <v>-12.9917</v>
      </c>
      <c r="BS573">
        <v>-69.434799999999996</v>
      </c>
      <c r="BT573">
        <v>5.3230000000000004</v>
      </c>
      <c r="BU573">
        <v>10.230399999999999</v>
      </c>
      <c r="BV573">
        <v>6.8441999999999998</v>
      </c>
      <c r="BW573">
        <v>-8.8351000000000006</v>
      </c>
      <c r="BX573">
        <v>-98.570899999999995</v>
      </c>
      <c r="BY573">
        <v>579851.31000000006</v>
      </c>
      <c r="BZ573">
        <v>10443.31</v>
      </c>
      <c r="CA573">
        <v>569408</v>
      </c>
      <c r="CB573">
        <v>9.5882000000000005</v>
      </c>
      <c r="CC573">
        <v>8.6539999999999999</v>
      </c>
      <c r="CD573" t="s">
        <v>135</v>
      </c>
      <c r="CE573" t="s">
        <v>135</v>
      </c>
      <c r="CF573">
        <v>1.282</v>
      </c>
      <c r="CG573">
        <v>27.655999999999999</v>
      </c>
      <c r="CH573">
        <v>208.86160000000001</v>
      </c>
      <c r="CI573">
        <v>66.794600000000003</v>
      </c>
      <c r="CJ573">
        <v>57.762700000000002</v>
      </c>
      <c r="CK573">
        <v>212.69220000000001</v>
      </c>
      <c r="CL573">
        <v>68.0197</v>
      </c>
      <c r="CM573">
        <v>58.822099999999999</v>
      </c>
      <c r="CN573">
        <v>191.96870000000001</v>
      </c>
      <c r="CO573">
        <v>65.749799999999993</v>
      </c>
      <c r="CP573">
        <v>60475.54</v>
      </c>
      <c r="CQ573">
        <v>-26032.560000000001</v>
      </c>
      <c r="CR573">
        <v>-23615.42</v>
      </c>
      <c r="CS573">
        <v>0.52159999999999995</v>
      </c>
      <c r="CT573">
        <v>0.94489999999999996</v>
      </c>
      <c r="CU573">
        <v>0.60360000000000003</v>
      </c>
      <c r="CV573">
        <v>0.87190000000000001</v>
      </c>
      <c r="CW573">
        <v>33.402700000000003</v>
      </c>
      <c r="CX573">
        <v>10.927199999999999</v>
      </c>
      <c r="CY573">
        <v>0.15210000000000001</v>
      </c>
      <c r="CZ573">
        <v>2400.3602999999998</v>
      </c>
      <c r="DA573">
        <v>-3.8999999999999998E-3</v>
      </c>
      <c r="DB573">
        <v>-93563.777100000007</v>
      </c>
      <c r="DC573">
        <v>95975.064599999998</v>
      </c>
      <c r="DD573">
        <v>2411.2874999999999</v>
      </c>
      <c r="DE573">
        <v>366.65</v>
      </c>
      <c r="DF573">
        <v>0</v>
      </c>
      <c r="DG573">
        <v>0</v>
      </c>
      <c r="DH573">
        <v>366.65</v>
      </c>
      <c r="DI573">
        <v>0</v>
      </c>
    </row>
    <row r="574" spans="4:113" x14ac:dyDescent="0.3">
      <c r="E574" t="s">
        <v>78</v>
      </c>
      <c r="F574">
        <v>-6.0190000000000001</v>
      </c>
      <c r="G574">
        <v>-1.6764000000000001</v>
      </c>
      <c r="H574">
        <v>2.1415999999999999</v>
      </c>
      <c r="I574">
        <v>1.5693000000000001</v>
      </c>
      <c r="J574">
        <v>22.990200000000002</v>
      </c>
      <c r="K574">
        <v>-2.3597999999999999</v>
      </c>
      <c r="L574">
        <v>-103.1361</v>
      </c>
      <c r="M574">
        <v>-15.5025</v>
      </c>
      <c r="N574">
        <v>-9.9896999999999991</v>
      </c>
      <c r="O574">
        <v>-9.9896999999999991</v>
      </c>
      <c r="P574">
        <v>-9.9896999999999991</v>
      </c>
      <c r="Q574" t="s">
        <v>135</v>
      </c>
      <c r="R574" t="s">
        <v>135</v>
      </c>
      <c r="S574" t="s">
        <v>135</v>
      </c>
      <c r="T574">
        <v>-13.9869</v>
      </c>
      <c r="U574">
        <v>-39.401600000000002</v>
      </c>
      <c r="V574" t="s">
        <v>135</v>
      </c>
      <c r="W574" t="s">
        <v>135</v>
      </c>
      <c r="X574" t="s">
        <v>135</v>
      </c>
      <c r="Y574" t="s">
        <v>135</v>
      </c>
      <c r="Z574">
        <v>7.2058</v>
      </c>
      <c r="AA574">
        <v>-38.481299999999997</v>
      </c>
      <c r="AB574">
        <v>10.56</v>
      </c>
      <c r="AC574">
        <v>12.602600000000001</v>
      </c>
      <c r="AD574">
        <v>-8.4039999999999999</v>
      </c>
      <c r="AE574">
        <v>-4.5879000000000003</v>
      </c>
      <c r="AF574">
        <v>6.9782999999999999</v>
      </c>
      <c r="AG574">
        <v>-32.5548</v>
      </c>
      <c r="AH574">
        <v>29.971800000000002</v>
      </c>
      <c r="AI574">
        <v>0.60409999999999997</v>
      </c>
      <c r="AJ574">
        <v>19.305599999999998</v>
      </c>
      <c r="AK574">
        <v>0.44800000000000001</v>
      </c>
      <c r="AL574" t="s">
        <v>135</v>
      </c>
      <c r="AM574">
        <v>8.1967999999999996</v>
      </c>
      <c r="AN574">
        <v>5.4911000000000003</v>
      </c>
      <c r="AO574" t="s">
        <v>135</v>
      </c>
      <c r="AP574" t="s">
        <v>135</v>
      </c>
      <c r="AQ574" t="s">
        <v>135</v>
      </c>
      <c r="AR574" t="s">
        <v>135</v>
      </c>
      <c r="AS574" t="s">
        <v>135</v>
      </c>
      <c r="AT574" t="s">
        <v>135</v>
      </c>
      <c r="AU574" t="s">
        <v>135</v>
      </c>
      <c r="AV574" t="s">
        <v>135</v>
      </c>
      <c r="AW574" t="s">
        <v>135</v>
      </c>
      <c r="AX574" t="s">
        <v>135</v>
      </c>
      <c r="AY574" t="s">
        <v>135</v>
      </c>
      <c r="AZ574" t="s">
        <v>135</v>
      </c>
      <c r="BA574" t="s">
        <v>135</v>
      </c>
      <c r="BB574" t="s">
        <v>135</v>
      </c>
      <c r="BC574" t="s">
        <v>135</v>
      </c>
      <c r="BD574" t="s">
        <v>135</v>
      </c>
      <c r="BE574" t="s">
        <v>135</v>
      </c>
      <c r="BF574">
        <v>0.59560000000000002</v>
      </c>
      <c r="BG574">
        <v>-14.6187</v>
      </c>
      <c r="BH574">
        <v>-192.54810000000001</v>
      </c>
      <c r="BI574" t="s">
        <v>135</v>
      </c>
      <c r="BJ574" t="s">
        <v>135</v>
      </c>
      <c r="BK574" t="s">
        <v>135</v>
      </c>
      <c r="BL574">
        <v>48.2363</v>
      </c>
      <c r="BM574">
        <v>-18.703299999999999</v>
      </c>
      <c r="BN574">
        <v>-0.75819999999999999</v>
      </c>
      <c r="BO574">
        <v>-6.2348999999999997</v>
      </c>
      <c r="BP574" t="s">
        <v>135</v>
      </c>
      <c r="BQ574" t="s">
        <v>135</v>
      </c>
      <c r="BR574">
        <v>-8.4550000000000001</v>
      </c>
      <c r="BS574">
        <v>-24.860800000000001</v>
      </c>
      <c r="BT574">
        <v>-1.6125</v>
      </c>
      <c r="BU574">
        <v>-3.3125</v>
      </c>
      <c r="BV574">
        <v>-2.1395</v>
      </c>
      <c r="BW574">
        <v>-3.3412000000000002</v>
      </c>
      <c r="BX574" t="s">
        <v>135</v>
      </c>
      <c r="BY574">
        <v>541668</v>
      </c>
      <c r="BZ574">
        <v>25673</v>
      </c>
      <c r="CA574">
        <v>515995</v>
      </c>
      <c r="CB574">
        <v>5.9518000000000004</v>
      </c>
      <c r="CC574">
        <v>5.9252000000000002</v>
      </c>
      <c r="CD574">
        <v>48.148299999999999</v>
      </c>
      <c r="CE574">
        <v>47.933199999999999</v>
      </c>
      <c r="CF574">
        <v>1.6040999999999999</v>
      </c>
      <c r="CG574">
        <v>26.3721</v>
      </c>
      <c r="CH574">
        <v>215.7801</v>
      </c>
      <c r="CI574">
        <v>66.085599999999999</v>
      </c>
      <c r="CJ574">
        <v>56.905799999999999</v>
      </c>
      <c r="CK574">
        <v>226.51609999999999</v>
      </c>
      <c r="CL574">
        <v>69.373599999999996</v>
      </c>
      <c r="CM574">
        <v>59.737099999999998</v>
      </c>
      <c r="CN574">
        <v>225.50450000000001</v>
      </c>
      <c r="CO574">
        <v>69.278499999999994</v>
      </c>
      <c r="CP574">
        <v>18754</v>
      </c>
      <c r="CQ574" t="s">
        <v>135</v>
      </c>
      <c r="CR574">
        <v>-1925</v>
      </c>
      <c r="CS574">
        <v>1.9900000000000001E-2</v>
      </c>
      <c r="CT574">
        <v>0.2379</v>
      </c>
      <c r="CU574">
        <v>0.1181</v>
      </c>
      <c r="CV574">
        <v>2.2109000000000001</v>
      </c>
      <c r="CW574">
        <v>29.7193</v>
      </c>
      <c r="CX574">
        <v>12.281599999999999</v>
      </c>
      <c r="CY574">
        <v>0.32990000000000003</v>
      </c>
      <c r="CZ574">
        <v>1106.4613999999999</v>
      </c>
      <c r="DA574">
        <v>-2.5000000000000001E-3</v>
      </c>
      <c r="DB574">
        <v>-143268.45110000001</v>
      </c>
      <c r="DC574">
        <v>144387.19399999999</v>
      </c>
      <c r="DD574">
        <v>1118.7429</v>
      </c>
      <c r="DE574">
        <v>478</v>
      </c>
      <c r="DF574" t="s">
        <v>135</v>
      </c>
      <c r="DG574" t="s">
        <v>135</v>
      </c>
      <c r="DH574" t="s">
        <v>135</v>
      </c>
      <c r="DI574" t="s">
        <v>135</v>
      </c>
    </row>
    <row r="575" spans="4:113" x14ac:dyDescent="0.3">
      <c r="E575" t="s">
        <v>79</v>
      </c>
      <c r="F575">
        <v>-9.8229000000000006</v>
      </c>
      <c r="G575">
        <v>-3.01</v>
      </c>
      <c r="H575">
        <v>0.67400000000000004</v>
      </c>
      <c r="I575">
        <v>0.153</v>
      </c>
      <c r="J575">
        <v>20.1236</v>
      </c>
      <c r="K575">
        <v>-8.2110000000000003</v>
      </c>
      <c r="L575">
        <v>-81.426199999999994</v>
      </c>
      <c r="M575">
        <v>-22.933800000000002</v>
      </c>
      <c r="N575">
        <v>-14.83</v>
      </c>
      <c r="O575">
        <v>-14.83</v>
      </c>
      <c r="P575">
        <v>-14.83</v>
      </c>
      <c r="Q575" t="s">
        <v>135</v>
      </c>
      <c r="R575" t="s">
        <v>135</v>
      </c>
      <c r="S575" t="s">
        <v>135</v>
      </c>
      <c r="T575">
        <v>-19.754999999999999</v>
      </c>
      <c r="U575">
        <v>-47.078299999999999</v>
      </c>
      <c r="V575" t="s">
        <v>135</v>
      </c>
      <c r="W575" t="s">
        <v>135</v>
      </c>
      <c r="X575" t="s">
        <v>135</v>
      </c>
      <c r="Y575" t="s">
        <v>135</v>
      </c>
      <c r="Z575">
        <v>11.116099999999999</v>
      </c>
      <c r="AA575">
        <v>-40.486600000000003</v>
      </c>
      <c r="AB575">
        <v>10.4183</v>
      </c>
      <c r="AC575">
        <v>15.3157</v>
      </c>
      <c r="AD575">
        <v>-34.372700000000002</v>
      </c>
      <c r="AE575">
        <v>30.950299999999999</v>
      </c>
      <c r="AF575">
        <v>25.183</v>
      </c>
      <c r="AG575">
        <v>-51.370899999999999</v>
      </c>
      <c r="AH575">
        <v>47.675600000000003</v>
      </c>
      <c r="AI575">
        <v>-2.9211</v>
      </c>
      <c r="AJ575">
        <v>26.547599999999999</v>
      </c>
      <c r="AK575">
        <v>-3.0872000000000002</v>
      </c>
      <c r="AL575" t="s">
        <v>135</v>
      </c>
      <c r="AM575">
        <v>7.0540000000000003</v>
      </c>
      <c r="AN575">
        <v>1.0878000000000001</v>
      </c>
      <c r="AO575" t="s">
        <v>135</v>
      </c>
      <c r="AP575" t="s">
        <v>135</v>
      </c>
      <c r="AQ575" t="s">
        <v>135</v>
      </c>
      <c r="AR575" t="s">
        <v>135</v>
      </c>
      <c r="AS575">
        <v>9.4016000000000002</v>
      </c>
      <c r="AT575">
        <v>-13.411799999999999</v>
      </c>
      <c r="AU575" t="s">
        <v>135</v>
      </c>
      <c r="AV575">
        <v>22.899799999999999</v>
      </c>
      <c r="AW575" t="s">
        <v>135</v>
      </c>
      <c r="AX575" t="s">
        <v>135</v>
      </c>
      <c r="AY575">
        <v>5.4313000000000002</v>
      </c>
      <c r="AZ575">
        <v>-44.893299999999996</v>
      </c>
      <c r="BA575">
        <v>39.717300000000002</v>
      </c>
      <c r="BB575">
        <v>14.348800000000001</v>
      </c>
      <c r="BC575">
        <v>27.9588</v>
      </c>
      <c r="BD575">
        <v>12.408200000000001</v>
      </c>
      <c r="BE575" t="s">
        <v>135</v>
      </c>
      <c r="BF575">
        <v>-8.5259999999999998</v>
      </c>
      <c r="BG575">
        <v>-19.931699999999999</v>
      </c>
      <c r="BH575" t="s">
        <v>135</v>
      </c>
      <c r="BI575" t="s">
        <v>135</v>
      </c>
      <c r="BJ575" t="s">
        <v>135</v>
      </c>
      <c r="BK575" t="s">
        <v>135</v>
      </c>
      <c r="BL575">
        <v>8.8109000000000002</v>
      </c>
      <c r="BM575">
        <v>-7.1130000000000004</v>
      </c>
      <c r="BN575">
        <v>2.5813999999999999</v>
      </c>
      <c r="BO575">
        <v>3.3353000000000002</v>
      </c>
      <c r="BP575" t="s">
        <v>135</v>
      </c>
      <c r="BQ575" t="s">
        <v>135</v>
      </c>
      <c r="BR575">
        <v>19.4192</v>
      </c>
      <c r="BS575">
        <v>-98.169300000000007</v>
      </c>
      <c r="BT575">
        <v>3.4424999999999999</v>
      </c>
      <c r="BU575">
        <v>10.435700000000001</v>
      </c>
      <c r="BV575">
        <v>5.5842999999999998</v>
      </c>
      <c r="BW575">
        <v>10.411300000000001</v>
      </c>
      <c r="BX575" t="s">
        <v>135</v>
      </c>
      <c r="BY575">
        <v>560315</v>
      </c>
      <c r="BZ575">
        <v>470</v>
      </c>
      <c r="CA575">
        <v>559845</v>
      </c>
      <c r="CB575">
        <v>7.2157999999999998</v>
      </c>
      <c r="CC575">
        <v>6.86</v>
      </c>
      <c r="CD575" t="s">
        <v>135</v>
      </c>
      <c r="CE575" t="s">
        <v>135</v>
      </c>
      <c r="CF575">
        <v>1.2224999999999999</v>
      </c>
      <c r="CG575">
        <v>28.184200000000001</v>
      </c>
      <c r="CH575">
        <v>211.99420000000001</v>
      </c>
      <c r="CI575">
        <v>67.909400000000005</v>
      </c>
      <c r="CJ575">
        <v>59.748899999999999</v>
      </c>
      <c r="CK575">
        <v>212.1722</v>
      </c>
      <c r="CL575">
        <v>67.966399999999993</v>
      </c>
      <c r="CM575">
        <v>59.799100000000003</v>
      </c>
      <c r="CN575">
        <v>201.71010000000001</v>
      </c>
      <c r="CO575">
        <v>66.855599999999995</v>
      </c>
      <c r="CP575">
        <v>15016</v>
      </c>
      <c r="CQ575" t="s">
        <v>135</v>
      </c>
      <c r="CR575">
        <v>-6127</v>
      </c>
      <c r="CS575">
        <v>0.23860000000000001</v>
      </c>
      <c r="CT575">
        <v>0.46750000000000003</v>
      </c>
      <c r="CU575">
        <v>0.35049999999999998</v>
      </c>
      <c r="CV575">
        <v>1.8646</v>
      </c>
      <c r="CW575">
        <v>26.293399999999998</v>
      </c>
      <c r="CX575">
        <v>13.8818</v>
      </c>
      <c r="CY575">
        <v>0.19489999999999999</v>
      </c>
      <c r="CZ575">
        <v>1872.2769000000001</v>
      </c>
      <c r="DA575">
        <v>-4.5999999999999999E-3</v>
      </c>
      <c r="DB575">
        <v>-78658.206300000005</v>
      </c>
      <c r="DC575">
        <v>80544.365000000005</v>
      </c>
      <c r="DD575">
        <v>1886.1587999999999</v>
      </c>
      <c r="DE575">
        <v>444</v>
      </c>
      <c r="DF575" t="s">
        <v>135</v>
      </c>
      <c r="DG575" t="s">
        <v>135</v>
      </c>
      <c r="DH575" t="s">
        <v>135</v>
      </c>
      <c r="DI575" t="s">
        <v>135</v>
      </c>
    </row>
    <row r="576" spans="4:113" x14ac:dyDescent="0.3">
      <c r="E576" t="s">
        <v>80</v>
      </c>
      <c r="F576">
        <v>-13.613199999999999</v>
      </c>
      <c r="G576">
        <v>-3.819</v>
      </c>
      <c r="H576">
        <v>-0.33119999999999999</v>
      </c>
      <c r="I576">
        <v>-0.77839999999999998</v>
      </c>
      <c r="J576">
        <v>18.8033</v>
      </c>
      <c r="K576">
        <v>-14.110900000000001</v>
      </c>
      <c r="L576">
        <v>-53.121400000000001</v>
      </c>
      <c r="M576">
        <v>-30.513500000000001</v>
      </c>
      <c r="N576">
        <v>-19.7424</v>
      </c>
      <c r="O576">
        <v>-19.7424</v>
      </c>
      <c r="P576">
        <v>-19.7424</v>
      </c>
      <c r="Q576" t="s">
        <v>135</v>
      </c>
      <c r="R576" t="s">
        <v>135</v>
      </c>
      <c r="S576" t="s">
        <v>135</v>
      </c>
      <c r="T576">
        <v>-24.8765</v>
      </c>
      <c r="U576">
        <v>-44.177799999999998</v>
      </c>
      <c r="V576" t="s">
        <v>135</v>
      </c>
      <c r="W576">
        <v>-234.59229999999999</v>
      </c>
      <c r="X576">
        <v>-228.44040000000001</v>
      </c>
      <c r="Y576" t="s">
        <v>135</v>
      </c>
      <c r="Z576">
        <v>-16.541</v>
      </c>
      <c r="AA576">
        <v>-38.358199999999997</v>
      </c>
      <c r="AB576">
        <v>-22.8096</v>
      </c>
      <c r="AC576">
        <v>0.91639999999999999</v>
      </c>
      <c r="AD576">
        <v>-21.898299999999999</v>
      </c>
      <c r="AE576">
        <v>46.613199999999999</v>
      </c>
      <c r="AF576">
        <v>9.0305999999999997</v>
      </c>
      <c r="AG576">
        <v>-68.869699999999995</v>
      </c>
      <c r="AH576">
        <v>13.349600000000001</v>
      </c>
      <c r="AI576">
        <v>-6.4389000000000003</v>
      </c>
      <c r="AJ576">
        <v>6.4932999999999996</v>
      </c>
      <c r="AK576">
        <v>-6.5892999999999997</v>
      </c>
      <c r="AL576" t="s">
        <v>135</v>
      </c>
      <c r="AM576">
        <v>3.1482999999999999</v>
      </c>
      <c r="AN576">
        <v>-3.6505999999999998</v>
      </c>
      <c r="AO576" t="s">
        <v>135</v>
      </c>
      <c r="AP576" t="s">
        <v>135</v>
      </c>
      <c r="AQ576" t="s">
        <v>135</v>
      </c>
      <c r="AR576" t="s">
        <v>135</v>
      </c>
      <c r="AS576" t="s">
        <v>135</v>
      </c>
      <c r="AT576" t="s">
        <v>135</v>
      </c>
      <c r="AU576" t="s">
        <v>135</v>
      </c>
      <c r="AV576" t="s">
        <v>135</v>
      </c>
      <c r="AW576" t="s">
        <v>135</v>
      </c>
      <c r="AX576" t="s">
        <v>135</v>
      </c>
      <c r="AY576" t="s">
        <v>135</v>
      </c>
      <c r="AZ576" t="s">
        <v>135</v>
      </c>
      <c r="BA576" t="s">
        <v>135</v>
      </c>
      <c r="BB576" t="s">
        <v>135</v>
      </c>
      <c r="BC576" t="s">
        <v>135</v>
      </c>
      <c r="BD576" t="s">
        <v>135</v>
      </c>
      <c r="BE576" t="s">
        <v>135</v>
      </c>
      <c r="BF576">
        <v>-12.8064</v>
      </c>
      <c r="BG576">
        <v>-18.526900000000001</v>
      </c>
      <c r="BH576" t="s">
        <v>135</v>
      </c>
      <c r="BI576" t="s">
        <v>135</v>
      </c>
      <c r="BJ576" t="s">
        <v>135</v>
      </c>
      <c r="BK576" t="s">
        <v>135</v>
      </c>
      <c r="BL576">
        <v>-24.901699999999998</v>
      </c>
      <c r="BM576">
        <v>-6.9820000000000002</v>
      </c>
      <c r="BN576">
        <v>10.8591</v>
      </c>
      <c r="BO576">
        <v>-0.79779999999999995</v>
      </c>
      <c r="BP576" t="s">
        <v>135</v>
      </c>
      <c r="BQ576" t="s">
        <v>135</v>
      </c>
      <c r="BR576">
        <v>-7.0751999999999997</v>
      </c>
      <c r="BS576">
        <v>1690.8511000000001</v>
      </c>
      <c r="BT576">
        <v>2.3405</v>
      </c>
      <c r="BU576">
        <v>-4.9763999999999999</v>
      </c>
      <c r="BV576">
        <v>-3.3999999999999998E-3</v>
      </c>
      <c r="BW576">
        <v>-4.9843000000000002</v>
      </c>
      <c r="BX576" t="s">
        <v>135</v>
      </c>
      <c r="BY576">
        <v>573429</v>
      </c>
      <c r="BZ576">
        <v>8417</v>
      </c>
      <c r="CA576">
        <v>565012</v>
      </c>
      <c r="CB576">
        <v>8.4366000000000003</v>
      </c>
      <c r="CC576">
        <v>8.2068999999999992</v>
      </c>
      <c r="CD576" t="s">
        <v>135</v>
      </c>
      <c r="CE576" t="s">
        <v>135</v>
      </c>
      <c r="CF576">
        <v>1.0271999999999999</v>
      </c>
      <c r="CG576">
        <v>26.997</v>
      </c>
      <c r="CH576">
        <v>225.15549999999999</v>
      </c>
      <c r="CI576">
        <v>68.538499999999999</v>
      </c>
      <c r="CJ576">
        <v>60.785299999999999</v>
      </c>
      <c r="CK576">
        <v>228.50970000000001</v>
      </c>
      <c r="CL576">
        <v>69.5595</v>
      </c>
      <c r="CM576">
        <v>61.690800000000003</v>
      </c>
      <c r="CN576">
        <v>222.28829999999999</v>
      </c>
      <c r="CO576">
        <v>68.971900000000005</v>
      </c>
      <c r="CP576">
        <v>12234</v>
      </c>
      <c r="CQ576" t="s">
        <v>135</v>
      </c>
      <c r="CR576">
        <v>-9181</v>
      </c>
      <c r="CS576">
        <v>0.13789999999999999</v>
      </c>
      <c r="CT576">
        <v>0.44</v>
      </c>
      <c r="CU576">
        <v>0.22389999999999999</v>
      </c>
      <c r="CV576">
        <v>1.6156000000000001</v>
      </c>
      <c r="CW576">
        <v>28.248799999999999</v>
      </c>
      <c r="CX576">
        <v>12.9209</v>
      </c>
      <c r="CY576">
        <v>0.16250000000000001</v>
      </c>
      <c r="CZ576">
        <v>2245.9942999999998</v>
      </c>
      <c r="DA576">
        <v>-4.3E-3</v>
      </c>
      <c r="DB576">
        <v>-85760.961500000005</v>
      </c>
      <c r="DC576">
        <v>88019.876799999998</v>
      </c>
      <c r="DD576">
        <v>2258.9151999999999</v>
      </c>
      <c r="DE576">
        <v>413</v>
      </c>
      <c r="DF576" t="s">
        <v>135</v>
      </c>
      <c r="DG576" t="s">
        <v>135</v>
      </c>
      <c r="DH576" t="s">
        <v>135</v>
      </c>
      <c r="DI576" t="s">
        <v>135</v>
      </c>
    </row>
    <row r="577" spans="1:113" x14ac:dyDescent="0.3">
      <c r="E577" t="s">
        <v>81</v>
      </c>
      <c r="F577">
        <v>-16.033200000000001</v>
      </c>
      <c r="G577">
        <v>-4.2689000000000004</v>
      </c>
      <c r="H577">
        <v>-0.96840000000000004</v>
      </c>
      <c r="I577">
        <v>-1.5274000000000001</v>
      </c>
      <c r="J577">
        <v>23.639600000000002</v>
      </c>
      <c r="K577">
        <v>-10.427199999999999</v>
      </c>
      <c r="L577">
        <v>-42.579000000000001</v>
      </c>
      <c r="M577">
        <v>-25.124600000000001</v>
      </c>
      <c r="N577">
        <v>-15.718400000000001</v>
      </c>
      <c r="O577">
        <v>-15.718400000000001</v>
      </c>
      <c r="P577">
        <v>-15.718400000000001</v>
      </c>
      <c r="Q577" t="s">
        <v>135</v>
      </c>
      <c r="R577" t="s">
        <v>135</v>
      </c>
      <c r="S577" t="s">
        <v>135</v>
      </c>
      <c r="T577">
        <v>-24.5107</v>
      </c>
      <c r="U577">
        <v>-34.117899999999999</v>
      </c>
      <c r="V577" t="s">
        <v>135</v>
      </c>
      <c r="W577">
        <v>-193.62219999999999</v>
      </c>
      <c r="X577">
        <v>-163.4409</v>
      </c>
      <c r="Y577" t="s">
        <v>135</v>
      </c>
      <c r="Z577">
        <v>10.3825</v>
      </c>
      <c r="AA577">
        <v>-37.641399999999997</v>
      </c>
      <c r="AB577">
        <v>3.8538000000000001</v>
      </c>
      <c r="AC577">
        <v>1.9363000000000001</v>
      </c>
      <c r="AD577">
        <v>18.3858</v>
      </c>
      <c r="AE577">
        <v>93.674999999999997</v>
      </c>
      <c r="AF577">
        <v>-12.9917</v>
      </c>
      <c r="AG577">
        <v>-69.434799999999996</v>
      </c>
      <c r="AH577">
        <v>5.3230000000000004</v>
      </c>
      <c r="AI577">
        <v>10.230399999999999</v>
      </c>
      <c r="AJ577">
        <v>6.8441999999999998</v>
      </c>
      <c r="AK577">
        <v>-8.8351000000000006</v>
      </c>
      <c r="AL577" t="s">
        <v>135</v>
      </c>
      <c r="AM577">
        <v>0.31180000000000002</v>
      </c>
      <c r="AN577">
        <v>-2.8601999999999999</v>
      </c>
      <c r="AO577" t="s">
        <v>135</v>
      </c>
      <c r="AP577" t="s">
        <v>135</v>
      </c>
      <c r="AQ577" t="s">
        <v>135</v>
      </c>
      <c r="AR577" t="s">
        <v>135</v>
      </c>
      <c r="AS577">
        <v>7.0845000000000002</v>
      </c>
      <c r="AT577">
        <v>-12.7807</v>
      </c>
      <c r="AU577">
        <v>2.8872</v>
      </c>
      <c r="AV577">
        <v>22.0639</v>
      </c>
      <c r="AW577" t="s">
        <v>135</v>
      </c>
      <c r="AX577" t="s">
        <v>135</v>
      </c>
      <c r="AY577">
        <v>5.7153</v>
      </c>
      <c r="AZ577">
        <v>-14.1472</v>
      </c>
      <c r="BA577">
        <v>32.790300000000002</v>
      </c>
      <c r="BB577">
        <v>13.766299999999999</v>
      </c>
      <c r="BC577">
        <v>24.631699999999999</v>
      </c>
      <c r="BD577">
        <v>7.7012</v>
      </c>
      <c r="BE577" t="s">
        <v>135</v>
      </c>
      <c r="BF577">
        <v>-5.9142999999999999</v>
      </c>
      <c r="BG577">
        <v>18.2851</v>
      </c>
      <c r="BH577" t="s">
        <v>135</v>
      </c>
      <c r="BI577" t="s">
        <v>135</v>
      </c>
      <c r="BJ577" t="s">
        <v>135</v>
      </c>
      <c r="BK577" t="s">
        <v>135</v>
      </c>
      <c r="BL577">
        <v>-8.8739000000000008</v>
      </c>
      <c r="BM577">
        <v>-11.222799999999999</v>
      </c>
      <c r="BN577">
        <v>-7.9787999999999997</v>
      </c>
      <c r="BO577">
        <v>6.0515999999999996</v>
      </c>
      <c r="BP577" t="s">
        <v>135</v>
      </c>
      <c r="BQ577" t="s">
        <v>135</v>
      </c>
      <c r="BR577">
        <v>-14.3514</v>
      </c>
      <c r="BS577">
        <v>24.074000000000002</v>
      </c>
      <c r="BT577">
        <v>1.1200000000000001</v>
      </c>
      <c r="BU577">
        <v>8.64</v>
      </c>
      <c r="BV577">
        <v>3.4091</v>
      </c>
      <c r="BW577">
        <v>-10.096299999999999</v>
      </c>
      <c r="BX577" t="s">
        <v>135</v>
      </c>
      <c r="BY577">
        <v>579851.31000000006</v>
      </c>
      <c r="BZ577">
        <v>10443.31</v>
      </c>
      <c r="CA577">
        <v>569408</v>
      </c>
      <c r="CB577">
        <v>9.5883000000000003</v>
      </c>
      <c r="CC577">
        <v>8.6540999999999997</v>
      </c>
      <c r="CD577" t="s">
        <v>135</v>
      </c>
      <c r="CE577" t="s">
        <v>135</v>
      </c>
      <c r="CF577">
        <v>1.1817</v>
      </c>
      <c r="CG577">
        <v>27.655999999999999</v>
      </c>
      <c r="CH577">
        <v>208.86160000000001</v>
      </c>
      <c r="CI577">
        <v>66.794600000000003</v>
      </c>
      <c r="CJ577">
        <v>57.762700000000002</v>
      </c>
      <c r="CK577">
        <v>212.69220000000001</v>
      </c>
      <c r="CL577">
        <v>68.0197</v>
      </c>
      <c r="CM577">
        <v>58.822099999999999</v>
      </c>
      <c r="CN577">
        <v>191.96870000000001</v>
      </c>
      <c r="CO577">
        <v>65.749799999999993</v>
      </c>
      <c r="CP577">
        <v>14471</v>
      </c>
      <c r="CQ577" t="s">
        <v>135</v>
      </c>
      <c r="CR577">
        <v>-6383</v>
      </c>
      <c r="CS577">
        <v>0.52159999999999995</v>
      </c>
      <c r="CT577">
        <v>0.94489999999999996</v>
      </c>
      <c r="CU577">
        <v>0.60360000000000003</v>
      </c>
      <c r="CV577">
        <v>0.87190000000000001</v>
      </c>
      <c r="CW577">
        <v>33.402700000000003</v>
      </c>
      <c r="CX577">
        <v>10.927300000000001</v>
      </c>
      <c r="CY577">
        <v>0.15290000000000001</v>
      </c>
      <c r="CZ577">
        <v>2386.5500000000002</v>
      </c>
      <c r="DA577">
        <v>-3.8999999999999998E-3</v>
      </c>
      <c r="DB577">
        <v>-93828.722999999998</v>
      </c>
      <c r="DC577">
        <v>96226.200299999997</v>
      </c>
      <c r="DD577">
        <v>2397.4773</v>
      </c>
      <c r="DE577">
        <v>366.65</v>
      </c>
      <c r="DF577">
        <v>0</v>
      </c>
      <c r="DG577">
        <v>0</v>
      </c>
      <c r="DH577">
        <v>366.65</v>
      </c>
      <c r="DI577">
        <v>0</v>
      </c>
    </row>
    <row r="578" spans="1:113" x14ac:dyDescent="0.3">
      <c r="A578">
        <v>99</v>
      </c>
      <c r="B578" t="s">
        <v>129</v>
      </c>
      <c r="C578" t="s">
        <v>130</v>
      </c>
      <c r="D578" t="s">
        <v>76</v>
      </c>
      <c r="E578" t="s">
        <v>77</v>
      </c>
      <c r="F578">
        <v>24.857500000000002</v>
      </c>
      <c r="G578">
        <v>16.552900000000001</v>
      </c>
      <c r="H578">
        <v>21.221299999999999</v>
      </c>
      <c r="I578">
        <v>18.0336</v>
      </c>
      <c r="J578">
        <v>22.3596</v>
      </c>
      <c r="K578">
        <v>19.802199999999999</v>
      </c>
      <c r="L578">
        <v>31.0749</v>
      </c>
      <c r="M578">
        <v>23.258600000000001</v>
      </c>
      <c r="N578">
        <v>18.054500000000001</v>
      </c>
      <c r="O578">
        <v>17.953600000000002</v>
      </c>
      <c r="P578">
        <v>17.953600000000002</v>
      </c>
      <c r="Q578">
        <v>22.3751</v>
      </c>
      <c r="R578">
        <v>25.132400000000001</v>
      </c>
      <c r="S578">
        <v>18.610199999999999</v>
      </c>
      <c r="T578">
        <v>16.035299999999999</v>
      </c>
      <c r="U578">
        <v>24.200299999999999</v>
      </c>
      <c r="V578">
        <v>27.691299999999998</v>
      </c>
      <c r="W578">
        <v>17.492699999999999</v>
      </c>
      <c r="X578">
        <v>17.3462</v>
      </c>
      <c r="Y578">
        <v>14.2857</v>
      </c>
      <c r="Z578" t="s">
        <v>135</v>
      </c>
      <c r="AA578">
        <v>-29.7272</v>
      </c>
      <c r="AB578">
        <v>1.8288</v>
      </c>
      <c r="AC578">
        <v>14.2301</v>
      </c>
      <c r="AD578" t="s">
        <v>135</v>
      </c>
      <c r="AE578">
        <v>34.160800000000002</v>
      </c>
      <c r="AF578" t="s">
        <v>135</v>
      </c>
      <c r="AG578">
        <v>-35.384799999999998</v>
      </c>
      <c r="AH578">
        <v>-19.155100000000001</v>
      </c>
      <c r="AI578">
        <v>21.0199</v>
      </c>
      <c r="AJ578">
        <v>13.669499999999999</v>
      </c>
      <c r="AK578">
        <v>20.8645</v>
      </c>
      <c r="AL578">
        <v>1.6745999999999999</v>
      </c>
      <c r="AM578">
        <v>11.0623</v>
      </c>
      <c r="AN578">
        <v>13.374000000000001</v>
      </c>
      <c r="AO578">
        <v>13.8414</v>
      </c>
      <c r="AP578">
        <v>14.8607</v>
      </c>
      <c r="AQ578">
        <v>14.578900000000001</v>
      </c>
      <c r="AR578" t="s">
        <v>135</v>
      </c>
      <c r="AS578" t="s">
        <v>135</v>
      </c>
      <c r="AT578">
        <v>-21.283300000000001</v>
      </c>
      <c r="AU578">
        <v>0.27</v>
      </c>
      <c r="AV578">
        <v>12.518700000000001</v>
      </c>
      <c r="AW578" t="s">
        <v>135</v>
      </c>
      <c r="AX578">
        <v>21.729500000000002</v>
      </c>
      <c r="AY578" t="s">
        <v>135</v>
      </c>
      <c r="AZ578" t="s">
        <v>135</v>
      </c>
      <c r="BA578">
        <v>-1.9367999999999999</v>
      </c>
      <c r="BB578">
        <v>20.3611</v>
      </c>
      <c r="BC578">
        <v>15.4358</v>
      </c>
      <c r="BD578">
        <v>20.064</v>
      </c>
      <c r="BE578">
        <v>16.063199999999998</v>
      </c>
      <c r="BF578">
        <v>16.035299999999999</v>
      </c>
      <c r="BG578">
        <v>24.200299999999999</v>
      </c>
      <c r="BH578">
        <v>27.691299999999998</v>
      </c>
      <c r="BI578">
        <v>17.492699999999999</v>
      </c>
      <c r="BJ578">
        <v>17.3462</v>
      </c>
      <c r="BK578">
        <v>14.2857</v>
      </c>
      <c r="BL578" t="s">
        <v>135</v>
      </c>
      <c r="BM578">
        <v>-29.7272</v>
      </c>
      <c r="BN578">
        <v>1.8288</v>
      </c>
      <c r="BO578">
        <v>14.2301</v>
      </c>
      <c r="BP578" t="s">
        <v>135</v>
      </c>
      <c r="BQ578">
        <v>34.160800000000002</v>
      </c>
      <c r="BR578" t="s">
        <v>135</v>
      </c>
      <c r="BS578">
        <v>-35.384799999999998</v>
      </c>
      <c r="BT578">
        <v>-19.155100000000001</v>
      </c>
      <c r="BU578">
        <v>21.0199</v>
      </c>
      <c r="BV578">
        <v>13.669499999999999</v>
      </c>
      <c r="BW578">
        <v>20.8645</v>
      </c>
      <c r="BX578">
        <v>1.6745999999999999</v>
      </c>
      <c r="BY578">
        <v>51592</v>
      </c>
      <c r="BZ578">
        <v>40683</v>
      </c>
      <c r="CA578">
        <v>10909</v>
      </c>
      <c r="CB578">
        <v>0.53129999999999999</v>
      </c>
      <c r="CC578">
        <v>-1.2684</v>
      </c>
      <c r="CD578">
        <v>0.59989999999999999</v>
      </c>
      <c r="CE578">
        <v>-1.4321999999999999</v>
      </c>
      <c r="CF578">
        <v>111.86750000000001</v>
      </c>
      <c r="CG578">
        <v>68.384699999999995</v>
      </c>
      <c r="CH578">
        <v>3.1631</v>
      </c>
      <c r="CI578">
        <v>2.7515000000000001</v>
      </c>
      <c r="CJ578">
        <v>2.1718000000000002</v>
      </c>
      <c r="CK578">
        <v>14.959099999999999</v>
      </c>
      <c r="CL578">
        <v>13.012600000000001</v>
      </c>
      <c r="CM578">
        <v>10.271100000000001</v>
      </c>
      <c r="CN578">
        <v>-35.7121</v>
      </c>
      <c r="CO578">
        <v>-55.550199999999997</v>
      </c>
      <c r="CP578">
        <v>97101</v>
      </c>
      <c r="CQ578">
        <v>88188</v>
      </c>
      <c r="CR578">
        <v>85995</v>
      </c>
      <c r="CS578">
        <v>1.2806999999999999</v>
      </c>
      <c r="CT578">
        <v>2.5992999999999999</v>
      </c>
      <c r="CU578">
        <v>1.2806999999999999</v>
      </c>
      <c r="CV578">
        <v>8.3589000000000002</v>
      </c>
      <c r="CW578" t="s">
        <v>135</v>
      </c>
      <c r="CX578" t="s">
        <v>135</v>
      </c>
      <c r="CY578">
        <v>106.3672</v>
      </c>
      <c r="CZ578">
        <v>3.4314999999999998</v>
      </c>
      <c r="DA578" t="s">
        <v>135</v>
      </c>
      <c r="DB578" t="s">
        <v>135</v>
      </c>
      <c r="DC578" t="s">
        <v>135</v>
      </c>
      <c r="DD578" t="s">
        <v>135</v>
      </c>
      <c r="DE578">
        <v>2293</v>
      </c>
      <c r="DF578">
        <v>37</v>
      </c>
      <c r="DG578">
        <v>16</v>
      </c>
      <c r="DH578">
        <v>1310</v>
      </c>
      <c r="DI578">
        <v>930</v>
      </c>
    </row>
    <row r="579" spans="1:113" x14ac:dyDescent="0.3">
      <c r="E579" t="s">
        <v>78</v>
      </c>
      <c r="F579">
        <v>23.102900000000002</v>
      </c>
      <c r="G579">
        <v>15.0565</v>
      </c>
      <c r="H579" t="s">
        <v>135</v>
      </c>
      <c r="I579">
        <v>15.547499999999999</v>
      </c>
      <c r="J579">
        <v>20.733899999999998</v>
      </c>
      <c r="K579">
        <v>18.165099999999999</v>
      </c>
      <c r="L579">
        <v>-3.5857000000000001</v>
      </c>
      <c r="M579">
        <v>21.100899999999999</v>
      </c>
      <c r="N579">
        <v>16.758400000000002</v>
      </c>
      <c r="O579">
        <v>16.758400000000002</v>
      </c>
      <c r="P579">
        <v>16.758400000000002</v>
      </c>
      <c r="Q579">
        <v>20.579699999999999</v>
      </c>
      <c r="R579" t="s">
        <v>135</v>
      </c>
      <c r="S579" t="s">
        <v>135</v>
      </c>
      <c r="T579">
        <v>-13.3086</v>
      </c>
      <c r="U579">
        <v>-4.5069999999999997</v>
      </c>
      <c r="V579">
        <v>-2.9412000000000003</v>
      </c>
      <c r="W579">
        <v>-3.5211000000000001</v>
      </c>
      <c r="X579">
        <v>-8.3332999999999995</v>
      </c>
      <c r="Y579" t="s">
        <v>135</v>
      </c>
      <c r="Z579">
        <v>-18.2761</v>
      </c>
      <c r="AA579">
        <v>-72.429900000000004</v>
      </c>
      <c r="AB579">
        <v>-19.925899999999999</v>
      </c>
      <c r="AC579">
        <v>-9.1510999999999996</v>
      </c>
      <c r="AD579">
        <v>-24.8719</v>
      </c>
      <c r="AE579">
        <v>15.5741</v>
      </c>
      <c r="AF579" t="s">
        <v>135</v>
      </c>
      <c r="AG579">
        <v>-35.676600000000001</v>
      </c>
      <c r="AH579">
        <v>-21.565200000000001</v>
      </c>
      <c r="AI579">
        <v>-7.5661000000000005</v>
      </c>
      <c r="AJ579">
        <v>-9.9924999999999997</v>
      </c>
      <c r="AK579">
        <v>-7.5351999999999997</v>
      </c>
      <c r="AL579">
        <v>0</v>
      </c>
      <c r="AM579">
        <v>3.3149000000000002</v>
      </c>
      <c r="AN579">
        <v>3.2429000000000001</v>
      </c>
      <c r="AO579">
        <v>3.7557</v>
      </c>
      <c r="AP579">
        <v>7.5968</v>
      </c>
      <c r="AQ579">
        <v>7.1173000000000002</v>
      </c>
      <c r="AR579" t="s">
        <v>135</v>
      </c>
      <c r="AS579">
        <v>5.4964000000000004</v>
      </c>
      <c r="AT579">
        <v>-21.265799999999999</v>
      </c>
      <c r="AU579">
        <v>-2.8033999999999999</v>
      </c>
      <c r="AV579">
        <v>5.7431999999999999</v>
      </c>
      <c r="AW579">
        <v>2.6179000000000001</v>
      </c>
      <c r="AX579">
        <v>21.163399999999999</v>
      </c>
      <c r="AY579" t="s">
        <v>135</v>
      </c>
      <c r="AZ579">
        <v>-2.2210000000000001</v>
      </c>
      <c r="BA579">
        <v>-5.1990999999999996</v>
      </c>
      <c r="BB579">
        <v>10.5467</v>
      </c>
      <c r="BC579">
        <v>7.0450999999999997</v>
      </c>
      <c r="BD579">
        <v>10.266500000000001</v>
      </c>
      <c r="BE579">
        <v>8.6400000000000005E-2</v>
      </c>
      <c r="BF579">
        <v>-7.8014999999999999</v>
      </c>
      <c r="BG579">
        <v>-6.6783000000000001</v>
      </c>
      <c r="BH579">
        <v>-5.7179000000000002</v>
      </c>
      <c r="BI579">
        <v>-14.126099999999999</v>
      </c>
      <c r="BJ579">
        <v>-15.1043</v>
      </c>
      <c r="BK579" t="s">
        <v>135</v>
      </c>
      <c r="BL579" t="s">
        <v>135</v>
      </c>
      <c r="BM579">
        <v>-1.4828000000000001</v>
      </c>
      <c r="BN579">
        <v>-6.8281999999999998</v>
      </c>
      <c r="BO579">
        <v>-4.7910000000000004</v>
      </c>
      <c r="BP579" t="s">
        <v>135</v>
      </c>
      <c r="BQ579">
        <v>2.1617000000000002</v>
      </c>
      <c r="BR579" t="s">
        <v>135</v>
      </c>
      <c r="BS579">
        <v>-36.6554</v>
      </c>
      <c r="BT579">
        <v>-22.988800000000001</v>
      </c>
      <c r="BU579">
        <v>-3.0682999999999998</v>
      </c>
      <c r="BV579">
        <v>-6.7129000000000003</v>
      </c>
      <c r="BW579">
        <v>-3.0445000000000002</v>
      </c>
      <c r="BX579">
        <v>-36.398800000000001</v>
      </c>
      <c r="BY579">
        <v>53790.77</v>
      </c>
      <c r="BZ579">
        <v>43652.82</v>
      </c>
      <c r="CA579">
        <v>10137.950000000001</v>
      </c>
      <c r="CB579">
        <v>0.61160000000000003</v>
      </c>
      <c r="CC579">
        <v>-1.135</v>
      </c>
      <c r="CD579">
        <v>0.70509999999999995</v>
      </c>
      <c r="CE579">
        <v>-1.3085</v>
      </c>
      <c r="CF579" t="s">
        <v>135</v>
      </c>
      <c r="CG579">
        <v>65.760000000000005</v>
      </c>
      <c r="CH579">
        <v>3.3531</v>
      </c>
      <c r="CI579">
        <v>2.8466</v>
      </c>
      <c r="CJ579">
        <v>2.2124000000000001</v>
      </c>
      <c r="CK579">
        <v>17.790900000000001</v>
      </c>
      <c r="CL579">
        <v>15.1038</v>
      </c>
      <c r="CM579">
        <v>11.7387</v>
      </c>
      <c r="CN579">
        <v>-33.017800000000001</v>
      </c>
      <c r="CO579">
        <v>-49.293300000000002</v>
      </c>
      <c r="CP579">
        <v>18977.5717</v>
      </c>
      <c r="CQ579">
        <v>16570.3871</v>
      </c>
      <c r="CR579">
        <v>16626.3681</v>
      </c>
      <c r="CS579">
        <v>1.1288</v>
      </c>
      <c r="CT579">
        <v>2.3365</v>
      </c>
      <c r="CU579">
        <v>1.6814</v>
      </c>
      <c r="CV579">
        <v>6.4097</v>
      </c>
      <c r="CW579">
        <v>5.1193</v>
      </c>
      <c r="CX579">
        <v>71.298900000000003</v>
      </c>
      <c r="CY579">
        <v>36.398000000000003</v>
      </c>
      <c r="CZ579">
        <v>10.028</v>
      </c>
      <c r="DA579" t="s">
        <v>135</v>
      </c>
      <c r="DB579" t="s">
        <v>135</v>
      </c>
      <c r="DC579" t="s">
        <v>135</v>
      </c>
      <c r="DD579">
        <v>81.326999999999998</v>
      </c>
      <c r="DE579">
        <v>3518.4650000000001</v>
      </c>
      <c r="DF579" t="s">
        <v>135</v>
      </c>
      <c r="DG579" t="s">
        <v>135</v>
      </c>
      <c r="DH579" t="s">
        <v>135</v>
      </c>
      <c r="DI579" t="s">
        <v>135</v>
      </c>
    </row>
    <row r="580" spans="1:113" x14ac:dyDescent="0.3">
      <c r="E580" t="s">
        <v>79</v>
      </c>
      <c r="F580">
        <v>22.694900000000001</v>
      </c>
      <c r="G580">
        <v>14.862</v>
      </c>
      <c r="H580" t="s">
        <v>135</v>
      </c>
      <c r="I580">
        <v>14.988799999999999</v>
      </c>
      <c r="J580">
        <v>21.092400000000001</v>
      </c>
      <c r="K580">
        <v>18.7682</v>
      </c>
      <c r="L580">
        <v>-8.6206999999999994</v>
      </c>
      <c r="M580">
        <v>23.3004</v>
      </c>
      <c r="N580">
        <v>17.954699999999999</v>
      </c>
      <c r="O580">
        <v>18.070900000000002</v>
      </c>
      <c r="P580">
        <v>18.070900000000002</v>
      </c>
      <c r="Q580">
        <v>22.942599999999999</v>
      </c>
      <c r="R580" t="s">
        <v>135</v>
      </c>
      <c r="S580" t="s">
        <v>135</v>
      </c>
      <c r="T580">
        <v>-14.4207</v>
      </c>
      <c r="U580">
        <v>-9.9255999999999993</v>
      </c>
      <c r="V580">
        <v>-7.1839000000000004</v>
      </c>
      <c r="W580">
        <v>1.9672000000000001</v>
      </c>
      <c r="X580">
        <v>8.3332999999999995</v>
      </c>
      <c r="Y580" t="s">
        <v>135</v>
      </c>
      <c r="Z580">
        <v>-21.012699999999999</v>
      </c>
      <c r="AA580">
        <v>-76.855900000000005</v>
      </c>
      <c r="AB580">
        <v>-25.4011</v>
      </c>
      <c r="AC580">
        <v>-15.078200000000001</v>
      </c>
      <c r="AD580">
        <v>47.673099999999998</v>
      </c>
      <c r="AE580">
        <v>-1.5385</v>
      </c>
      <c r="AF580" t="s">
        <v>135</v>
      </c>
      <c r="AG580">
        <v>-35.9788</v>
      </c>
      <c r="AH580">
        <v>-21.31</v>
      </c>
      <c r="AI580">
        <v>-16.372</v>
      </c>
      <c r="AJ580">
        <v>-17.176600000000001</v>
      </c>
      <c r="AK580">
        <v>-16.410799999999998</v>
      </c>
      <c r="AL580">
        <v>-25.183399999999999</v>
      </c>
      <c r="AM580">
        <v>2.8496999999999999</v>
      </c>
      <c r="AN580">
        <v>4.2621000000000002</v>
      </c>
      <c r="AO580">
        <v>4.7084999999999999</v>
      </c>
      <c r="AP580">
        <v>6.7991000000000001</v>
      </c>
      <c r="AQ580">
        <v>7.1630000000000003</v>
      </c>
      <c r="AR580" t="s">
        <v>135</v>
      </c>
      <c r="AS580">
        <v>3.1829000000000001</v>
      </c>
      <c r="AT580">
        <v>-22.016300000000001</v>
      </c>
      <c r="AU580">
        <v>-3.3443999999999998</v>
      </c>
      <c r="AV580">
        <v>6.6189</v>
      </c>
      <c r="AW580">
        <v>8.4749999999999996</v>
      </c>
      <c r="AX580">
        <v>11.622999999999999</v>
      </c>
      <c r="AY580" t="s">
        <v>135</v>
      </c>
      <c r="AZ580" t="s">
        <v>135</v>
      </c>
      <c r="BA580">
        <v>-4.5956999999999999</v>
      </c>
      <c r="BB580">
        <v>12.9101</v>
      </c>
      <c r="BC580">
        <v>8.7833000000000006</v>
      </c>
      <c r="BD580">
        <v>12.6031</v>
      </c>
      <c r="BE580">
        <v>12.205299999999999</v>
      </c>
      <c r="BF580">
        <v>5.2599</v>
      </c>
      <c r="BG580">
        <v>7.0796000000000001</v>
      </c>
      <c r="BH580">
        <v>8.7542000000000009</v>
      </c>
      <c r="BI580">
        <v>13.5036</v>
      </c>
      <c r="BJ580">
        <v>18.181799999999999</v>
      </c>
      <c r="BK580" t="s">
        <v>135</v>
      </c>
      <c r="BL580">
        <v>-1.0308999999999999</v>
      </c>
      <c r="BM580">
        <v>-10.169499999999999</v>
      </c>
      <c r="BN580">
        <v>-3.125</v>
      </c>
      <c r="BO580">
        <v>-1.7829000000000002</v>
      </c>
      <c r="BP580">
        <v>-1.4394</v>
      </c>
      <c r="BQ580">
        <v>-3.4754</v>
      </c>
      <c r="BR580" t="s">
        <v>135</v>
      </c>
      <c r="BS580">
        <v>-0.81969999999999998</v>
      </c>
      <c r="BT580">
        <v>-0.1109</v>
      </c>
      <c r="BU580">
        <v>-2.9782999999999999</v>
      </c>
      <c r="BV580">
        <v>-2.5451999999999999</v>
      </c>
      <c r="BW580">
        <v>-3.0790000000000002</v>
      </c>
      <c r="BX580">
        <v>31.896599999999999</v>
      </c>
      <c r="BY580">
        <v>56452.605499999998</v>
      </c>
      <c r="BZ580">
        <v>45487.892999999996</v>
      </c>
      <c r="CA580">
        <v>10964.7125</v>
      </c>
      <c r="CB580">
        <v>0.62790000000000001</v>
      </c>
      <c r="CC580">
        <v>-1.1151</v>
      </c>
      <c r="CD580">
        <v>0.71830000000000005</v>
      </c>
      <c r="CE580">
        <v>-1.2756000000000001</v>
      </c>
      <c r="CF580" t="s">
        <v>135</v>
      </c>
      <c r="CG580">
        <v>64.926500000000004</v>
      </c>
      <c r="CH580">
        <v>3.5575999999999999</v>
      </c>
      <c r="CI580">
        <v>3.0068999999999999</v>
      </c>
      <c r="CJ580">
        <v>2.3188</v>
      </c>
      <c r="CK580">
        <v>18.316700000000001</v>
      </c>
      <c r="CL580">
        <v>15.4811</v>
      </c>
      <c r="CM580">
        <v>11.938499999999999</v>
      </c>
      <c r="CN580">
        <v>-32.526899999999998</v>
      </c>
      <c r="CO580">
        <v>-48.207299999999996</v>
      </c>
      <c r="CP580">
        <v>22539.906999999999</v>
      </c>
      <c r="CQ580">
        <v>20739.198199999999</v>
      </c>
      <c r="CR580">
        <v>20056.170699999999</v>
      </c>
      <c r="CS580">
        <v>1.0921000000000001</v>
      </c>
      <c r="CT580">
        <v>2.2856000000000001</v>
      </c>
      <c r="CU580">
        <v>1.6371</v>
      </c>
      <c r="CV580">
        <v>7.2866999999999997</v>
      </c>
      <c r="CW580">
        <v>4.8708</v>
      </c>
      <c r="CX580">
        <v>74.937100000000001</v>
      </c>
      <c r="CY580">
        <v>33.832099999999997</v>
      </c>
      <c r="CZ580">
        <v>10.788600000000001</v>
      </c>
      <c r="DA580" t="s">
        <v>135</v>
      </c>
      <c r="DB580" t="s">
        <v>135</v>
      </c>
      <c r="DC580" t="s">
        <v>135</v>
      </c>
      <c r="DD580">
        <v>85.7256</v>
      </c>
      <c r="DE580">
        <v>3320.7415000000001</v>
      </c>
      <c r="DF580" t="s">
        <v>135</v>
      </c>
      <c r="DG580" t="s">
        <v>135</v>
      </c>
      <c r="DH580" t="s">
        <v>135</v>
      </c>
      <c r="DI580" t="s">
        <v>135</v>
      </c>
    </row>
    <row r="581" spans="1:113" x14ac:dyDescent="0.3">
      <c r="E581" t="s">
        <v>80</v>
      </c>
      <c r="F581">
        <v>21.7088</v>
      </c>
      <c r="G581">
        <v>14.6439</v>
      </c>
      <c r="H581" t="s">
        <v>135</v>
      </c>
      <c r="I581">
        <v>14.981400000000001</v>
      </c>
      <c r="J581">
        <v>23.076899999999998</v>
      </c>
      <c r="K581">
        <v>20.274699999999999</v>
      </c>
      <c r="L581">
        <v>79.999200000000002</v>
      </c>
      <c r="M581">
        <v>23.351600000000001</v>
      </c>
      <c r="N581">
        <v>17.966999999999999</v>
      </c>
      <c r="O581">
        <v>17.966999999999999</v>
      </c>
      <c r="P581">
        <v>17.966999999999999</v>
      </c>
      <c r="Q581">
        <v>23.058800000000002</v>
      </c>
      <c r="R581" t="s">
        <v>135</v>
      </c>
      <c r="S581" t="s">
        <v>135</v>
      </c>
      <c r="T581">
        <v>3.5327000000000002</v>
      </c>
      <c r="U581">
        <v>13.632300000000001</v>
      </c>
      <c r="V581">
        <v>15.5585</v>
      </c>
      <c r="W581">
        <v>3.1095000000000002</v>
      </c>
      <c r="X581">
        <v>0.79930000000000001</v>
      </c>
      <c r="Y581" t="s">
        <v>135</v>
      </c>
      <c r="Z581">
        <v>-7.9969999999999999</v>
      </c>
      <c r="AA581">
        <v>-77.737499999999997</v>
      </c>
      <c r="AB581">
        <v>-24.198</v>
      </c>
      <c r="AC581">
        <v>-13.6897</v>
      </c>
      <c r="AD581">
        <v>87.641499999999994</v>
      </c>
      <c r="AE581">
        <v>4.2126999999999999</v>
      </c>
      <c r="AF581" t="s">
        <v>135</v>
      </c>
      <c r="AG581">
        <v>-48.620100000000001</v>
      </c>
      <c r="AH581">
        <v>-33.330300000000001</v>
      </c>
      <c r="AI581">
        <v>-11.5228</v>
      </c>
      <c r="AJ581">
        <v>-15.011900000000001</v>
      </c>
      <c r="AK581">
        <v>-11.5589</v>
      </c>
      <c r="AL581">
        <v>-34.521299999999997</v>
      </c>
      <c r="AM581">
        <v>6.2196999999999996</v>
      </c>
      <c r="AN581">
        <v>10.0665</v>
      </c>
      <c r="AO581">
        <v>10.6967</v>
      </c>
      <c r="AP581">
        <v>12.0663</v>
      </c>
      <c r="AQ581">
        <v>10.756600000000001</v>
      </c>
      <c r="AR581" t="s">
        <v>135</v>
      </c>
      <c r="AS581">
        <v>7.2782999999999998</v>
      </c>
      <c r="AT581">
        <v>-24.3779</v>
      </c>
      <c r="AU581">
        <v>-2.9032</v>
      </c>
      <c r="AV581">
        <v>6.8177000000000003</v>
      </c>
      <c r="AW581">
        <v>4.2538</v>
      </c>
      <c r="AX581">
        <v>25.3034</v>
      </c>
      <c r="AY581" t="s">
        <v>135</v>
      </c>
      <c r="AZ581">
        <v>0.84279999999999999</v>
      </c>
      <c r="BA581">
        <v>-4.7442000000000002</v>
      </c>
      <c r="BB581">
        <v>12.972799999999999</v>
      </c>
      <c r="BC581">
        <v>9.4992999999999999</v>
      </c>
      <c r="BD581">
        <v>12.668200000000001</v>
      </c>
      <c r="BE581">
        <v>8.7135999999999996</v>
      </c>
      <c r="BF581">
        <v>5.7524999999999995</v>
      </c>
      <c r="BG581">
        <v>15.702500000000001</v>
      </c>
      <c r="BH581">
        <v>14.2415</v>
      </c>
      <c r="BI581">
        <v>5.1447000000000003</v>
      </c>
      <c r="BJ581">
        <v>0</v>
      </c>
      <c r="BK581" t="s">
        <v>135</v>
      </c>
      <c r="BL581">
        <v>10.0962</v>
      </c>
      <c r="BM581">
        <v>-13.2075</v>
      </c>
      <c r="BN581">
        <v>0.1195</v>
      </c>
      <c r="BO581">
        <v>3.2065999999999999</v>
      </c>
      <c r="BP581">
        <v>9.1468000000000007</v>
      </c>
      <c r="BQ581">
        <v>13.2133</v>
      </c>
      <c r="BR581" t="s">
        <v>135</v>
      </c>
      <c r="BS581">
        <v>-19.559200000000001</v>
      </c>
      <c r="BT581">
        <v>-14.872400000000001</v>
      </c>
      <c r="BU581">
        <v>8.64</v>
      </c>
      <c r="BV581">
        <v>5</v>
      </c>
      <c r="BW581">
        <v>8.7628000000000004</v>
      </c>
      <c r="BX581">
        <v>-6.2092000000000001</v>
      </c>
      <c r="BY581">
        <v>47442.785000000003</v>
      </c>
      <c r="BZ581">
        <v>36123.32</v>
      </c>
      <c r="CA581">
        <v>11319.465</v>
      </c>
      <c r="CB581">
        <v>0.51639999999999997</v>
      </c>
      <c r="CC581">
        <v>-1.2133</v>
      </c>
      <c r="CD581">
        <v>0.58819999999999995</v>
      </c>
      <c r="CE581">
        <v>-1.3818999999999999</v>
      </c>
      <c r="CF581" t="s">
        <v>135</v>
      </c>
      <c r="CG581">
        <v>68.34</v>
      </c>
      <c r="CH581">
        <v>3.4243999999999999</v>
      </c>
      <c r="CI581">
        <v>2.9946000000000002</v>
      </c>
      <c r="CJ581">
        <v>2.3494999999999999</v>
      </c>
      <c r="CK581">
        <v>14.352499999999999</v>
      </c>
      <c r="CL581">
        <v>12.5511</v>
      </c>
      <c r="CM581">
        <v>9.8472000000000008</v>
      </c>
      <c r="CN581">
        <v>-33.720100000000002</v>
      </c>
      <c r="CO581">
        <v>-50.8752</v>
      </c>
      <c r="CP581">
        <v>26044.910800000001</v>
      </c>
      <c r="CQ581">
        <v>24122.548299999999</v>
      </c>
      <c r="CR581">
        <v>22882.3145</v>
      </c>
      <c r="CS581">
        <v>1.2285999999999999</v>
      </c>
      <c r="CT581">
        <v>2.5939999999999999</v>
      </c>
      <c r="CU581">
        <v>1.8856999999999999</v>
      </c>
      <c r="CV581">
        <v>8.6496999999999993</v>
      </c>
      <c r="CW581">
        <v>4.8471000000000002</v>
      </c>
      <c r="CX581">
        <v>75.302899999999994</v>
      </c>
      <c r="CY581">
        <v>37.872599999999998</v>
      </c>
      <c r="CZ581">
        <v>9.6375999999999991</v>
      </c>
      <c r="DA581" t="s">
        <v>135</v>
      </c>
      <c r="DB581" t="s">
        <v>135</v>
      </c>
      <c r="DC581" t="s">
        <v>135</v>
      </c>
      <c r="DD581">
        <v>84.940399999999997</v>
      </c>
      <c r="DE581">
        <v>2845.33</v>
      </c>
      <c r="DF581" t="s">
        <v>135</v>
      </c>
      <c r="DG581" t="s">
        <v>135</v>
      </c>
      <c r="DH581" t="s">
        <v>135</v>
      </c>
      <c r="DI581" t="s">
        <v>135</v>
      </c>
    </row>
    <row r="582" spans="1:113" x14ac:dyDescent="0.3">
      <c r="E582" t="s">
        <v>81</v>
      </c>
      <c r="F582">
        <v>24.611699999999999</v>
      </c>
      <c r="G582">
        <v>16.389199999999999</v>
      </c>
      <c r="H582" t="s">
        <v>135</v>
      </c>
      <c r="I582">
        <v>17.79</v>
      </c>
      <c r="J582">
        <v>24.1816</v>
      </c>
      <c r="K582">
        <v>21.7102</v>
      </c>
      <c r="L582">
        <v>40.245399999999997</v>
      </c>
      <c r="M582">
        <v>24.822600000000001</v>
      </c>
      <c r="N582">
        <v>19.213999999999999</v>
      </c>
      <c r="O582">
        <v>19.105799999999999</v>
      </c>
      <c r="P582">
        <v>19.105799999999999</v>
      </c>
      <c r="Q582">
        <v>22.594799999999999</v>
      </c>
      <c r="R582" t="s">
        <v>135</v>
      </c>
      <c r="S582" t="s">
        <v>135</v>
      </c>
      <c r="T582">
        <v>21.292100000000001</v>
      </c>
      <c r="U582">
        <v>43.183799999999998</v>
      </c>
      <c r="V582">
        <v>48.2393</v>
      </c>
      <c r="W582">
        <v>28.796199999999999</v>
      </c>
      <c r="X582">
        <v>28.774899999999999</v>
      </c>
      <c r="Y582" t="s">
        <v>135</v>
      </c>
      <c r="Z582" t="s">
        <v>135</v>
      </c>
      <c r="AA582">
        <v>-29.7272</v>
      </c>
      <c r="AB582">
        <v>1.8288</v>
      </c>
      <c r="AC582">
        <v>14.2301</v>
      </c>
      <c r="AD582" t="s">
        <v>135</v>
      </c>
      <c r="AE582">
        <v>34.160800000000002</v>
      </c>
      <c r="AF582" t="s">
        <v>135</v>
      </c>
      <c r="AG582">
        <v>-35.384799999999998</v>
      </c>
      <c r="AH582">
        <v>-19.155100000000001</v>
      </c>
      <c r="AI582">
        <v>21.0199</v>
      </c>
      <c r="AJ582">
        <v>13.669499999999999</v>
      </c>
      <c r="AK582">
        <v>20.8645</v>
      </c>
      <c r="AL582">
        <v>39.700499999999998</v>
      </c>
      <c r="AM582">
        <v>12.288499999999999</v>
      </c>
      <c r="AN582">
        <v>15.101100000000001</v>
      </c>
      <c r="AO582">
        <v>15.937799999999999</v>
      </c>
      <c r="AP582">
        <v>17.1279</v>
      </c>
      <c r="AQ582">
        <v>16.803799999999999</v>
      </c>
      <c r="AR582" t="s">
        <v>135</v>
      </c>
      <c r="AS582" t="s">
        <v>135</v>
      </c>
      <c r="AT582">
        <v>-21.283300000000001</v>
      </c>
      <c r="AU582">
        <v>0.27</v>
      </c>
      <c r="AV582">
        <v>12.518700000000001</v>
      </c>
      <c r="AW582" t="s">
        <v>135</v>
      </c>
      <c r="AX582">
        <v>21.729500000000002</v>
      </c>
      <c r="AY582" t="s">
        <v>135</v>
      </c>
      <c r="AZ582" t="s">
        <v>135</v>
      </c>
      <c r="BA582">
        <v>-1.9367999999999999</v>
      </c>
      <c r="BB582">
        <v>20.3611</v>
      </c>
      <c r="BC582">
        <v>15.4358</v>
      </c>
      <c r="BD582">
        <v>20.064</v>
      </c>
      <c r="BE582" t="s">
        <v>135</v>
      </c>
      <c r="BF582">
        <v>3.2387999999999999</v>
      </c>
      <c r="BG582">
        <v>8.1806999999999999</v>
      </c>
      <c r="BH582">
        <v>10.548299999999999</v>
      </c>
      <c r="BI582">
        <v>9.7825000000000006</v>
      </c>
      <c r="BJ582">
        <v>12.12</v>
      </c>
      <c r="BK582" t="s">
        <v>135</v>
      </c>
      <c r="BL582">
        <v>-100</v>
      </c>
      <c r="BM582">
        <v>-19.411799999999999</v>
      </c>
      <c r="BN582">
        <v>-0.74370000000000003</v>
      </c>
      <c r="BO582">
        <v>4.2582000000000004</v>
      </c>
      <c r="BP582">
        <v>-97.389399999999995</v>
      </c>
      <c r="BQ582">
        <v>5.8532999999999999</v>
      </c>
      <c r="BR582" t="s">
        <v>135</v>
      </c>
      <c r="BS582">
        <v>12.6225</v>
      </c>
      <c r="BT582">
        <v>8.7456999999999994</v>
      </c>
      <c r="BU582">
        <v>4.3360000000000003</v>
      </c>
      <c r="BV582">
        <v>4.8895</v>
      </c>
      <c r="BW582">
        <v>4.1669999999999998</v>
      </c>
      <c r="BX582">
        <v>55.105400000000003</v>
      </c>
      <c r="BY582">
        <v>51592</v>
      </c>
      <c r="BZ582">
        <v>40683</v>
      </c>
      <c r="CA582">
        <v>10909</v>
      </c>
      <c r="CB582">
        <v>0.53879999999999995</v>
      </c>
      <c r="CC582">
        <v>-1.2864</v>
      </c>
      <c r="CD582">
        <v>0.6079</v>
      </c>
      <c r="CE582">
        <v>-1.4513</v>
      </c>
      <c r="CF582">
        <v>130.46299999999999</v>
      </c>
      <c r="CG582">
        <v>68.384699999999995</v>
      </c>
      <c r="CH582">
        <v>3.1631</v>
      </c>
      <c r="CI582">
        <v>2.7515000000000001</v>
      </c>
      <c r="CJ582">
        <v>2.1718000000000002</v>
      </c>
      <c r="CK582">
        <v>14.959099999999999</v>
      </c>
      <c r="CL582">
        <v>13.012600000000001</v>
      </c>
      <c r="CM582">
        <v>10.271100000000001</v>
      </c>
      <c r="CN582">
        <v>-35.7121</v>
      </c>
      <c r="CO582">
        <v>-55.550199999999997</v>
      </c>
      <c r="CP582">
        <v>28180</v>
      </c>
      <c r="CQ582">
        <v>25623</v>
      </c>
      <c r="CR582">
        <v>25300</v>
      </c>
      <c r="CS582">
        <v>1.2806999999999999</v>
      </c>
      <c r="CT582">
        <v>2.5992999999999999</v>
      </c>
      <c r="CU582">
        <v>1.2806999999999999</v>
      </c>
      <c r="CV582">
        <v>8.3589000000000002</v>
      </c>
      <c r="CW582" t="s">
        <v>135</v>
      </c>
      <c r="CX582" t="s">
        <v>135</v>
      </c>
      <c r="CY582">
        <v>104.73569999999999</v>
      </c>
      <c r="CZ582">
        <v>3.4849999999999999</v>
      </c>
      <c r="DA582" t="s">
        <v>135</v>
      </c>
      <c r="DB582" t="s">
        <v>135</v>
      </c>
      <c r="DC582" t="s">
        <v>135</v>
      </c>
      <c r="DD582" t="s">
        <v>135</v>
      </c>
      <c r="DE582">
        <v>2293</v>
      </c>
      <c r="DF582">
        <v>37</v>
      </c>
      <c r="DG582">
        <v>16</v>
      </c>
      <c r="DH582">
        <v>1310</v>
      </c>
      <c r="DI582">
        <v>930</v>
      </c>
    </row>
    <row r="583" spans="1:113" x14ac:dyDescent="0.3">
      <c r="D583" t="s">
        <v>82</v>
      </c>
      <c r="E583" t="s">
        <v>77</v>
      </c>
      <c r="F583">
        <v>23.028700000000001</v>
      </c>
      <c r="G583">
        <v>15.699</v>
      </c>
      <c r="H583">
        <v>19.809200000000001</v>
      </c>
      <c r="I583">
        <v>16.1922</v>
      </c>
      <c r="J583">
        <v>22.2788</v>
      </c>
      <c r="K583">
        <v>19.547899999999998</v>
      </c>
      <c r="L583">
        <v>16.4163</v>
      </c>
      <c r="M583">
        <v>23.785399999999999</v>
      </c>
      <c r="N583">
        <v>18.5411</v>
      </c>
      <c r="O583">
        <v>18.428100000000001</v>
      </c>
      <c r="P583">
        <v>18.428100000000001</v>
      </c>
      <c r="Q583">
        <v>22.048100000000002</v>
      </c>
      <c r="R583">
        <v>34.040999999999997</v>
      </c>
      <c r="S583">
        <v>15.189500000000001</v>
      </c>
      <c r="T583">
        <v>8.1231000000000009</v>
      </c>
      <c r="U583">
        <v>7.7321999999999997</v>
      </c>
      <c r="V583">
        <v>6.7340999999999998</v>
      </c>
      <c r="W583">
        <v>10.9803</v>
      </c>
      <c r="X583">
        <v>10.9602</v>
      </c>
      <c r="Y583">
        <v>50</v>
      </c>
      <c r="Z583" t="s">
        <v>135</v>
      </c>
      <c r="AA583">
        <v>111.4697</v>
      </c>
      <c r="AB583">
        <v>5.3586999999999998</v>
      </c>
      <c r="AC583">
        <v>19.456099999999999</v>
      </c>
      <c r="AD583" t="s">
        <v>135</v>
      </c>
      <c r="AE583">
        <v>24.677599999999998</v>
      </c>
      <c r="AF583" t="s">
        <v>135</v>
      </c>
      <c r="AG583">
        <v>62.7363</v>
      </c>
      <c r="AH583">
        <v>52.9559</v>
      </c>
      <c r="AI583">
        <v>18.771999999999998</v>
      </c>
      <c r="AJ583">
        <v>23.220199999999998</v>
      </c>
      <c r="AK583">
        <v>18.641300000000001</v>
      </c>
      <c r="AL583">
        <v>14.085800000000001</v>
      </c>
      <c r="AM583">
        <v>11.527100000000001</v>
      </c>
      <c r="AN583">
        <v>11.948700000000001</v>
      </c>
      <c r="AO583">
        <v>12.0564</v>
      </c>
      <c r="AP583">
        <v>13.317299999999999</v>
      </c>
      <c r="AQ583">
        <v>13.1561</v>
      </c>
      <c r="AR583" t="s">
        <v>135</v>
      </c>
      <c r="AS583" t="s">
        <v>135</v>
      </c>
      <c r="AT583">
        <v>-9.3600999999999992</v>
      </c>
      <c r="AU583">
        <v>-5.6000000000000001E-2</v>
      </c>
      <c r="AV583">
        <v>12.9716</v>
      </c>
      <c r="AW583" t="s">
        <v>135</v>
      </c>
      <c r="AX583">
        <v>15.654199999999999</v>
      </c>
      <c r="AY583" t="s">
        <v>135</v>
      </c>
      <c r="AZ583" t="s">
        <v>135</v>
      </c>
      <c r="BA583">
        <v>4.7697000000000003</v>
      </c>
      <c r="BB583">
        <v>17.501799999999999</v>
      </c>
      <c r="BC583">
        <v>14.7646</v>
      </c>
      <c r="BD583">
        <v>17.2531</v>
      </c>
      <c r="BE583">
        <v>10.888999999999999</v>
      </c>
      <c r="BF583">
        <v>8.1231000000000009</v>
      </c>
      <c r="BG583">
        <v>7.7321999999999997</v>
      </c>
      <c r="BH583">
        <v>6.7340999999999998</v>
      </c>
      <c r="BI583">
        <v>10.9803</v>
      </c>
      <c r="BJ583">
        <v>10.9602</v>
      </c>
      <c r="BK583">
        <v>50</v>
      </c>
      <c r="BL583" t="s">
        <v>135</v>
      </c>
      <c r="BM583">
        <v>111.4697</v>
      </c>
      <c r="BN583">
        <v>5.3586999999999998</v>
      </c>
      <c r="BO583">
        <v>19.456099999999999</v>
      </c>
      <c r="BP583" t="s">
        <v>135</v>
      </c>
      <c r="BQ583">
        <v>24.677599999999998</v>
      </c>
      <c r="BR583" t="s">
        <v>135</v>
      </c>
      <c r="BS583">
        <v>62.7363</v>
      </c>
      <c r="BT583">
        <v>52.9559</v>
      </c>
      <c r="BU583">
        <v>18.771999999999998</v>
      </c>
      <c r="BV583">
        <v>23.220199999999998</v>
      </c>
      <c r="BW583">
        <v>18.641300000000001</v>
      </c>
      <c r="BX583">
        <v>14.085800000000001</v>
      </c>
      <c r="BY583">
        <v>78913</v>
      </c>
      <c r="BZ583">
        <v>66206</v>
      </c>
      <c r="CA583">
        <v>12707</v>
      </c>
      <c r="CB583">
        <v>0.75439999999999996</v>
      </c>
      <c r="CC583">
        <v>-1.2803</v>
      </c>
      <c r="CD583">
        <v>0.85970000000000002</v>
      </c>
      <c r="CE583">
        <v>-1.4592000000000001</v>
      </c>
      <c r="CF583">
        <v>136.20959999999999</v>
      </c>
      <c r="CG583">
        <v>67.993300000000005</v>
      </c>
      <c r="CH583">
        <v>3.1021000000000001</v>
      </c>
      <c r="CI583">
        <v>2.601</v>
      </c>
      <c r="CJ583">
        <v>2.1177000000000001</v>
      </c>
      <c r="CK583">
        <v>19.264600000000002</v>
      </c>
      <c r="CL583">
        <v>16.152799999999999</v>
      </c>
      <c r="CM583">
        <v>13.151400000000001</v>
      </c>
      <c r="CN583">
        <v>-32.6967</v>
      </c>
      <c r="CO583">
        <v>-48.581200000000003</v>
      </c>
      <c r="CP583">
        <v>104609</v>
      </c>
      <c r="CQ583">
        <v>91948</v>
      </c>
      <c r="CR583">
        <v>91786</v>
      </c>
      <c r="CS583">
        <v>1.2976000000000001</v>
      </c>
      <c r="CT583">
        <v>2.6611000000000002</v>
      </c>
      <c r="CU583">
        <v>1.2976000000000001</v>
      </c>
      <c r="CV583">
        <v>7.9851999999999999</v>
      </c>
      <c r="CW583" t="s">
        <v>135</v>
      </c>
      <c r="CX583" t="s">
        <v>135</v>
      </c>
      <c r="CY583">
        <v>89.970299999999995</v>
      </c>
      <c r="CZ583">
        <v>4.0568999999999997</v>
      </c>
      <c r="DA583" t="s">
        <v>135</v>
      </c>
      <c r="DB583" t="s">
        <v>135</v>
      </c>
      <c r="DC583" t="s">
        <v>135</v>
      </c>
      <c r="DD583" t="s">
        <v>135</v>
      </c>
      <c r="DE583">
        <v>4849</v>
      </c>
      <c r="DF583">
        <v>3</v>
      </c>
      <c r="DG583">
        <v>2</v>
      </c>
      <c r="DH583">
        <v>3912</v>
      </c>
      <c r="DI583">
        <v>932</v>
      </c>
    </row>
    <row r="584" spans="1:113" x14ac:dyDescent="0.3">
      <c r="E584" t="s">
        <v>78</v>
      </c>
      <c r="F584">
        <v>24.225999999999999</v>
      </c>
      <c r="G584">
        <v>16.410399999999999</v>
      </c>
      <c r="H584" t="s">
        <v>135</v>
      </c>
      <c r="I584">
        <v>17.3003</v>
      </c>
      <c r="J584">
        <v>22.923400000000001</v>
      </c>
      <c r="K584">
        <v>20.388300000000001</v>
      </c>
      <c r="L584">
        <v>36.9863</v>
      </c>
      <c r="M584">
        <v>24.3797</v>
      </c>
      <c r="N584">
        <v>19.039899999999999</v>
      </c>
      <c r="O584">
        <v>18.931999999999999</v>
      </c>
      <c r="P584">
        <v>18.931999999999999</v>
      </c>
      <c r="Q584">
        <v>21.902699999999999</v>
      </c>
      <c r="R584" t="s">
        <v>135</v>
      </c>
      <c r="S584" t="s">
        <v>135</v>
      </c>
      <c r="T584">
        <v>13.394500000000001</v>
      </c>
      <c r="U584">
        <v>25.3687</v>
      </c>
      <c r="V584">
        <v>27.2727</v>
      </c>
      <c r="W584">
        <v>28.1022</v>
      </c>
      <c r="X584">
        <v>27.2727</v>
      </c>
      <c r="Y584" t="s">
        <v>135</v>
      </c>
      <c r="Z584">
        <v>13.7986</v>
      </c>
      <c r="AA584">
        <v>-32.203400000000002</v>
      </c>
      <c r="AB584">
        <v>0.23150000000000001</v>
      </c>
      <c r="AC584">
        <v>14.042199999999999</v>
      </c>
      <c r="AD584">
        <v>11.7424</v>
      </c>
      <c r="AE584">
        <v>30.623000000000001</v>
      </c>
      <c r="AF584" t="s">
        <v>135</v>
      </c>
      <c r="AG584">
        <v>-17.213100000000001</v>
      </c>
      <c r="AH584">
        <v>-12.860300000000001</v>
      </c>
      <c r="AI584">
        <v>20.473400000000002</v>
      </c>
      <c r="AJ584">
        <v>15.438700000000001</v>
      </c>
      <c r="AK584">
        <v>20.907599999999999</v>
      </c>
      <c r="AL584">
        <v>78.017200000000003</v>
      </c>
      <c r="AM584">
        <v>6.7568000000000001</v>
      </c>
      <c r="AN584">
        <v>6.7210999999999999</v>
      </c>
      <c r="AO584">
        <v>7.1201999999999996</v>
      </c>
      <c r="AP584">
        <v>10.5059</v>
      </c>
      <c r="AQ584">
        <v>10.756600000000001</v>
      </c>
      <c r="AR584" t="s">
        <v>135</v>
      </c>
      <c r="AS584">
        <v>9.9019999999999992</v>
      </c>
      <c r="AT584">
        <v>-22.383500000000002</v>
      </c>
      <c r="AU584">
        <v>-3.5399000000000003</v>
      </c>
      <c r="AV584">
        <v>8.0541999999999998</v>
      </c>
      <c r="AW584">
        <v>7.3007</v>
      </c>
      <c r="AX584">
        <v>21.494499999999999</v>
      </c>
      <c r="AY584" t="s">
        <v>135</v>
      </c>
      <c r="AZ584">
        <v>6.6100000000000006E-2</v>
      </c>
      <c r="BA584">
        <v>-4.7968999999999999</v>
      </c>
      <c r="BB584">
        <v>12.690200000000001</v>
      </c>
      <c r="BC584">
        <v>9.5663999999999998</v>
      </c>
      <c r="BD584">
        <v>12.5366</v>
      </c>
      <c r="BE584">
        <v>3.1310000000000002</v>
      </c>
      <c r="BF584">
        <v>-1.7443</v>
      </c>
      <c r="BG584">
        <v>-6.8565000000000005</v>
      </c>
      <c r="BH584">
        <v>-7.7267000000000001</v>
      </c>
      <c r="BI584">
        <v>-2.6381000000000001</v>
      </c>
      <c r="BJ584">
        <v>-4.3545999999999996</v>
      </c>
      <c r="BK584" t="s">
        <v>135</v>
      </c>
      <c r="BL584" t="s">
        <v>135</v>
      </c>
      <c r="BM584">
        <v>4.4771000000000001</v>
      </c>
      <c r="BN584">
        <v>0.81059999999999999</v>
      </c>
      <c r="BO584">
        <v>4.4843999999999999</v>
      </c>
      <c r="BP584" t="s">
        <v>135</v>
      </c>
      <c r="BQ584">
        <v>9.1856000000000009</v>
      </c>
      <c r="BR584" t="s">
        <v>135</v>
      </c>
      <c r="BS584">
        <v>-10.787699999999999</v>
      </c>
      <c r="BT584">
        <v>-8.7558000000000007</v>
      </c>
      <c r="BU584">
        <v>6.069</v>
      </c>
      <c r="BV584">
        <v>4.1399999999999997</v>
      </c>
      <c r="BW584">
        <v>6.6143999999999998</v>
      </c>
      <c r="BX584">
        <v>-7.6144999999999996</v>
      </c>
      <c r="BY584">
        <v>47195.37</v>
      </c>
      <c r="BZ584">
        <v>36387.269999999997</v>
      </c>
      <c r="CA584">
        <v>10808.1</v>
      </c>
      <c r="CB584">
        <v>0.4723</v>
      </c>
      <c r="CC584">
        <v>-1.3159000000000001</v>
      </c>
      <c r="CD584">
        <v>0.53120000000000001</v>
      </c>
      <c r="CE584">
        <v>-1.4801</v>
      </c>
      <c r="CF584">
        <v>28.333300000000001</v>
      </c>
      <c r="CG584">
        <v>69.4739</v>
      </c>
      <c r="CH584">
        <v>2.9470000000000001</v>
      </c>
      <c r="CI584">
        <v>2.6109999999999998</v>
      </c>
      <c r="CJ584">
        <v>2.0541</v>
      </c>
      <c r="CK584">
        <v>12.868399999999999</v>
      </c>
      <c r="CL584">
        <v>11.401199999999999</v>
      </c>
      <c r="CM584">
        <v>8.9695</v>
      </c>
      <c r="CN584">
        <v>-35.854599999999998</v>
      </c>
      <c r="CO584">
        <v>-55.895899999999997</v>
      </c>
      <c r="CP584">
        <v>25408.112300000001</v>
      </c>
      <c r="CQ584">
        <v>22179.787400000001</v>
      </c>
      <c r="CR584">
        <v>22598.274000000001</v>
      </c>
      <c r="CS584">
        <v>1.2878000000000001</v>
      </c>
      <c r="CT584">
        <v>2.7239</v>
      </c>
      <c r="CU584">
        <v>1.9087000000000001</v>
      </c>
      <c r="CV584">
        <v>8.3397000000000006</v>
      </c>
      <c r="CW584">
        <v>5.4020000000000001</v>
      </c>
      <c r="CX584">
        <v>67.567400000000006</v>
      </c>
      <c r="CY584">
        <v>99.476799999999997</v>
      </c>
      <c r="CZ584">
        <v>3.6692</v>
      </c>
      <c r="DA584" t="s">
        <v>135</v>
      </c>
      <c r="DB584" t="s">
        <v>135</v>
      </c>
      <c r="DC584" t="s">
        <v>135</v>
      </c>
      <c r="DD584">
        <v>71.236599999999996</v>
      </c>
      <c r="DE584">
        <v>2401.8000000000002</v>
      </c>
      <c r="DF584" t="s">
        <v>135</v>
      </c>
      <c r="DG584" t="s">
        <v>135</v>
      </c>
      <c r="DH584" t="s">
        <v>135</v>
      </c>
      <c r="DI584" t="s">
        <v>135</v>
      </c>
    </row>
    <row r="585" spans="1:113" x14ac:dyDescent="0.3">
      <c r="E585" t="s">
        <v>79</v>
      </c>
      <c r="F585">
        <v>25.148700000000002</v>
      </c>
      <c r="G585">
        <v>16.917899999999999</v>
      </c>
      <c r="H585" t="s">
        <v>135</v>
      </c>
      <c r="I585">
        <v>17.7773</v>
      </c>
      <c r="J585">
        <v>21.197700000000001</v>
      </c>
      <c r="K585">
        <v>18.600999999999999</v>
      </c>
      <c r="L585">
        <v>16.8675</v>
      </c>
      <c r="M585">
        <v>23.264399999999998</v>
      </c>
      <c r="N585">
        <v>17.965</v>
      </c>
      <c r="O585">
        <v>17.859000000000002</v>
      </c>
      <c r="P585">
        <v>17.859000000000002</v>
      </c>
      <c r="Q585">
        <v>22.779</v>
      </c>
      <c r="R585" t="s">
        <v>135</v>
      </c>
      <c r="S585" t="s">
        <v>135</v>
      </c>
      <c r="T585">
        <v>9.6456</v>
      </c>
      <c r="U585">
        <v>10.1928</v>
      </c>
      <c r="V585">
        <v>8.6686999999999994</v>
      </c>
      <c r="W585">
        <v>8.3600999999999992</v>
      </c>
      <c r="X585">
        <v>7.6923000000000004</v>
      </c>
      <c r="Y585" t="s">
        <v>135</v>
      </c>
      <c r="Z585">
        <v>14.182700000000001</v>
      </c>
      <c r="AA585">
        <v>-15.0943</v>
      </c>
      <c r="AB585">
        <v>5.6152999999999995</v>
      </c>
      <c r="AC585">
        <v>15.463100000000001</v>
      </c>
      <c r="AD585">
        <v>12.99</v>
      </c>
      <c r="AE585">
        <v>29.143999999999998</v>
      </c>
      <c r="AF585" t="s">
        <v>135</v>
      </c>
      <c r="AG585">
        <v>2.4792999999999998</v>
      </c>
      <c r="AH585">
        <v>2.4417</v>
      </c>
      <c r="AI585">
        <v>23.216100000000001</v>
      </c>
      <c r="AJ585">
        <v>20</v>
      </c>
      <c r="AK585">
        <v>23.744599999999998</v>
      </c>
      <c r="AL585">
        <v>-19.9346</v>
      </c>
      <c r="AM585">
        <v>5.6439000000000004</v>
      </c>
      <c r="AN585">
        <v>5.0274999999999999</v>
      </c>
      <c r="AO585">
        <v>5.3874000000000004</v>
      </c>
      <c r="AP585">
        <v>6.5842000000000001</v>
      </c>
      <c r="AQ585">
        <v>6.5382999999999996</v>
      </c>
      <c r="AR585" t="s">
        <v>135</v>
      </c>
      <c r="AS585">
        <v>8.4700000000000006</v>
      </c>
      <c r="AT585">
        <v>-20.307600000000001</v>
      </c>
      <c r="AU585">
        <v>-3.3094000000000001</v>
      </c>
      <c r="AV585">
        <v>7.9767000000000001</v>
      </c>
      <c r="AW585">
        <v>60.738300000000002</v>
      </c>
      <c r="AX585">
        <v>20.156700000000001</v>
      </c>
      <c r="AY585" t="s">
        <v>135</v>
      </c>
      <c r="AZ585">
        <v>9.2062000000000008</v>
      </c>
      <c r="BA585">
        <v>0.43909999999999999</v>
      </c>
      <c r="BB585">
        <v>11.761699999999999</v>
      </c>
      <c r="BC585">
        <v>9.7857000000000003</v>
      </c>
      <c r="BD585">
        <v>11.613</v>
      </c>
      <c r="BE585">
        <v>-2.9792999999999998</v>
      </c>
      <c r="BF585">
        <v>1.7799</v>
      </c>
      <c r="BG585">
        <v>-5.8823999999999996</v>
      </c>
      <c r="BH585">
        <v>-7.1429</v>
      </c>
      <c r="BI585">
        <v>-3.9885999999999999</v>
      </c>
      <c r="BJ585">
        <v>0</v>
      </c>
      <c r="BK585" t="s">
        <v>135</v>
      </c>
      <c r="BL585">
        <v>-0.69689999999999996</v>
      </c>
      <c r="BM585">
        <v>12.5</v>
      </c>
      <c r="BN585">
        <v>2.0785</v>
      </c>
      <c r="BO585">
        <v>-0.55920000000000003</v>
      </c>
      <c r="BP585">
        <v>-0.33900000000000002</v>
      </c>
      <c r="BQ585">
        <v>-4.5682999999999998</v>
      </c>
      <c r="BR585" t="s">
        <v>135</v>
      </c>
      <c r="BS585">
        <v>22.772300000000001</v>
      </c>
      <c r="BT585">
        <v>17.43</v>
      </c>
      <c r="BU585">
        <v>-0.76949999999999996</v>
      </c>
      <c r="BV585">
        <v>1.3054999999999999</v>
      </c>
      <c r="BW585">
        <v>-0.80489999999999995</v>
      </c>
      <c r="BX585">
        <v>-40.677999999999997</v>
      </c>
      <c r="BY585">
        <v>57148.006500000003</v>
      </c>
      <c r="BZ585">
        <v>46065.131999999998</v>
      </c>
      <c r="CA585">
        <v>11082.8745</v>
      </c>
      <c r="CB585">
        <v>0.54249999999999998</v>
      </c>
      <c r="CC585">
        <v>-1.1238999999999999</v>
      </c>
      <c r="CD585">
        <v>0.61219999999999997</v>
      </c>
      <c r="CE585">
        <v>-1.2682</v>
      </c>
      <c r="CF585">
        <v>25</v>
      </c>
      <c r="CG585">
        <v>69.302300000000002</v>
      </c>
      <c r="CH585">
        <v>2.9533</v>
      </c>
      <c r="CI585">
        <v>2.5629999999999997</v>
      </c>
      <c r="CJ585">
        <v>2.0541999999999998</v>
      </c>
      <c r="CK585">
        <v>15.2285</v>
      </c>
      <c r="CL585">
        <v>13.2159</v>
      </c>
      <c r="CM585">
        <v>10.5922</v>
      </c>
      <c r="CN585">
        <v>-31.5459</v>
      </c>
      <c r="CO585">
        <v>-46.083399999999997</v>
      </c>
      <c r="CP585">
        <v>24239.255399999998</v>
      </c>
      <c r="CQ585">
        <v>21754.7317</v>
      </c>
      <c r="CR585">
        <v>21269.946599999999</v>
      </c>
      <c r="CS585">
        <v>1.2505999999999999</v>
      </c>
      <c r="CT585">
        <v>2.6771000000000003</v>
      </c>
      <c r="CU585">
        <v>1.8791</v>
      </c>
      <c r="CV585">
        <v>8.6734000000000009</v>
      </c>
      <c r="CW585">
        <v>5.5727000000000002</v>
      </c>
      <c r="CX585">
        <v>65.497900000000001</v>
      </c>
      <c r="CY585">
        <v>102.96129999999999</v>
      </c>
      <c r="CZ585">
        <v>3.5449999999999999</v>
      </c>
      <c r="DA585" t="s">
        <v>135</v>
      </c>
      <c r="DB585" t="s">
        <v>135</v>
      </c>
      <c r="DC585" t="s">
        <v>135</v>
      </c>
      <c r="DD585">
        <v>69.042900000000003</v>
      </c>
      <c r="DE585">
        <v>2786.1975000000002</v>
      </c>
      <c r="DF585" t="s">
        <v>135</v>
      </c>
      <c r="DG585" t="s">
        <v>135</v>
      </c>
      <c r="DH585" t="s">
        <v>135</v>
      </c>
      <c r="DI585" t="s">
        <v>135</v>
      </c>
    </row>
    <row r="586" spans="1:113" x14ac:dyDescent="0.3">
      <c r="E586" t="s">
        <v>80</v>
      </c>
      <c r="F586">
        <v>23.9847</v>
      </c>
      <c r="G586">
        <v>16.511099999999999</v>
      </c>
      <c r="H586">
        <v>21.373200000000001</v>
      </c>
      <c r="I586">
        <v>16.925899999999999</v>
      </c>
      <c r="J586">
        <v>22.187200000000001</v>
      </c>
      <c r="K586">
        <v>19.242899999999999</v>
      </c>
      <c r="L586" t="s">
        <v>135</v>
      </c>
      <c r="M586">
        <v>23.6067</v>
      </c>
      <c r="N586">
        <v>18.401700000000002</v>
      </c>
      <c r="O586">
        <v>18.296500000000002</v>
      </c>
      <c r="P586">
        <v>18.296500000000002</v>
      </c>
      <c r="Q586">
        <v>22.048999999999999</v>
      </c>
      <c r="R586" t="s">
        <v>135</v>
      </c>
      <c r="S586" t="s">
        <v>135</v>
      </c>
      <c r="T586">
        <v>4.5054999999999996</v>
      </c>
      <c r="U586">
        <v>0.47620000000000001</v>
      </c>
      <c r="V586">
        <v>-0.81299999999999994</v>
      </c>
      <c r="W586">
        <v>6.4219999999999997</v>
      </c>
      <c r="X586">
        <v>7.6923000000000004</v>
      </c>
      <c r="Y586" t="s">
        <v>135</v>
      </c>
      <c r="Z586">
        <v>8.2241999999999997</v>
      </c>
      <c r="AA586">
        <v>50</v>
      </c>
      <c r="AB586">
        <v>2.5060000000000002</v>
      </c>
      <c r="AC586">
        <v>17.178100000000001</v>
      </c>
      <c r="AD586">
        <v>9.5775000000000006</v>
      </c>
      <c r="AE586">
        <v>24.842500000000001</v>
      </c>
      <c r="AF586" t="s">
        <v>135</v>
      </c>
      <c r="AG586">
        <v>55.137</v>
      </c>
      <c r="AH586">
        <v>44.067799999999998</v>
      </c>
      <c r="AI586">
        <v>18.75</v>
      </c>
      <c r="AJ586">
        <v>21.927700000000002</v>
      </c>
      <c r="AK586">
        <v>18.998699999999999</v>
      </c>
      <c r="AL586">
        <v>5.2264999999999997</v>
      </c>
      <c r="AM586">
        <v>4.9333999999999998</v>
      </c>
      <c r="AN586">
        <v>5.1050000000000004</v>
      </c>
      <c r="AO586">
        <v>5.2782999999999998</v>
      </c>
      <c r="AP586">
        <v>6.0854999999999997</v>
      </c>
      <c r="AQ586">
        <v>5.3273000000000001</v>
      </c>
      <c r="AR586" t="s">
        <v>135</v>
      </c>
      <c r="AS586">
        <v>6.6444999999999999</v>
      </c>
      <c r="AT586">
        <v>-16.501200000000001</v>
      </c>
      <c r="AU586">
        <v>-5.5693000000000001</v>
      </c>
      <c r="AV586">
        <v>6.3017000000000003</v>
      </c>
      <c r="AW586">
        <v>4.5103</v>
      </c>
      <c r="AX586">
        <v>18.6572</v>
      </c>
      <c r="AY586" t="s">
        <v>135</v>
      </c>
      <c r="AZ586">
        <v>3.2262</v>
      </c>
      <c r="BA586">
        <v>-1.3715999999999999</v>
      </c>
      <c r="BB586">
        <v>10.125299999999999</v>
      </c>
      <c r="BC586">
        <v>7.8685</v>
      </c>
      <c r="BD586">
        <v>9.8331999999999997</v>
      </c>
      <c r="BE586">
        <v>2.6484000000000001</v>
      </c>
      <c r="BF586">
        <v>0.79490000000000005</v>
      </c>
      <c r="BG586">
        <v>5.5</v>
      </c>
      <c r="BH586">
        <v>4.2735000000000003</v>
      </c>
      <c r="BI586">
        <v>3.2641</v>
      </c>
      <c r="BJ586">
        <v>0</v>
      </c>
      <c r="BK586" t="s">
        <v>135</v>
      </c>
      <c r="BL586">
        <v>4.3509000000000002</v>
      </c>
      <c r="BM586">
        <v>53.333300000000001</v>
      </c>
      <c r="BN586">
        <v>-2.8281000000000001</v>
      </c>
      <c r="BO586">
        <v>4.7394999999999996</v>
      </c>
      <c r="BP586">
        <v>5.8502999999999998</v>
      </c>
      <c r="BQ586">
        <v>9.4423999999999992</v>
      </c>
      <c r="BR586" t="s">
        <v>135</v>
      </c>
      <c r="BS586">
        <v>21.7742</v>
      </c>
      <c r="BT586">
        <v>19.718299999999999</v>
      </c>
      <c r="BU586">
        <v>4.7022000000000004</v>
      </c>
      <c r="BV586">
        <v>6.6867000000000001</v>
      </c>
      <c r="BW586">
        <v>4.5914999999999999</v>
      </c>
      <c r="BX586">
        <v>23.2653</v>
      </c>
      <c r="BY586">
        <v>69863.625</v>
      </c>
      <c r="BZ586">
        <v>57281.85</v>
      </c>
      <c r="CA586">
        <v>12581.775</v>
      </c>
      <c r="CB586">
        <v>0.64870000000000005</v>
      </c>
      <c r="CC586">
        <v>-1.2610999999999999</v>
      </c>
      <c r="CD586">
        <v>0.73440000000000005</v>
      </c>
      <c r="CE586">
        <v>-1.4276</v>
      </c>
      <c r="CF586">
        <v>32.461500000000001</v>
      </c>
      <c r="CG586">
        <v>69.266999999999996</v>
      </c>
      <c r="CH586">
        <v>3.1358000000000001</v>
      </c>
      <c r="CI586">
        <v>2.6707999999999998</v>
      </c>
      <c r="CJ586">
        <v>2.1802999999999999</v>
      </c>
      <c r="CK586">
        <v>17.412500000000001</v>
      </c>
      <c r="CL586">
        <v>14.8302</v>
      </c>
      <c r="CM586">
        <v>12.1069</v>
      </c>
      <c r="CN586">
        <v>-33.848100000000002</v>
      </c>
      <c r="CO586">
        <v>-51.167200000000001</v>
      </c>
      <c r="CP586">
        <v>26160.814900000001</v>
      </c>
      <c r="CQ586">
        <v>24920.965899999999</v>
      </c>
      <c r="CR586">
        <v>22689.2376</v>
      </c>
      <c r="CS586">
        <v>1.3766</v>
      </c>
      <c r="CT586">
        <v>2.7608999999999999</v>
      </c>
      <c r="CU586">
        <v>2.0059</v>
      </c>
      <c r="CV586">
        <v>7.8654999999999999</v>
      </c>
      <c r="CW586">
        <v>5.2637999999999998</v>
      </c>
      <c r="CX586">
        <v>69.341099999999997</v>
      </c>
      <c r="CY586">
        <v>89.167000000000002</v>
      </c>
      <c r="CZ586">
        <v>4.0933999999999999</v>
      </c>
      <c r="DA586" t="s">
        <v>135</v>
      </c>
      <c r="DB586" t="s">
        <v>135</v>
      </c>
      <c r="DC586" t="s">
        <v>135</v>
      </c>
      <c r="DD586">
        <v>73.434600000000003</v>
      </c>
      <c r="DE586">
        <v>4362.5249999999996</v>
      </c>
      <c r="DF586" t="s">
        <v>135</v>
      </c>
      <c r="DG586" t="s">
        <v>135</v>
      </c>
      <c r="DH586" t="s">
        <v>135</v>
      </c>
      <c r="DI586" t="s">
        <v>135</v>
      </c>
    </row>
    <row r="587" spans="1:113" x14ac:dyDescent="0.3">
      <c r="E587" t="s">
        <v>81</v>
      </c>
      <c r="F587">
        <v>22.807200000000002</v>
      </c>
      <c r="G587">
        <v>15.548</v>
      </c>
      <c r="H587">
        <v>20.112500000000001</v>
      </c>
      <c r="I587">
        <v>16.0245</v>
      </c>
      <c r="J587">
        <v>22.672499999999999</v>
      </c>
      <c r="K587">
        <v>19.9819</v>
      </c>
      <c r="L587" t="s">
        <v>135</v>
      </c>
      <c r="M587">
        <v>23.982900000000001</v>
      </c>
      <c r="N587">
        <v>18.831299999999999</v>
      </c>
      <c r="O587">
        <v>18.7119</v>
      </c>
      <c r="P587">
        <v>18.7119</v>
      </c>
      <c r="Q587">
        <v>21.4801</v>
      </c>
      <c r="R587" t="s">
        <v>135</v>
      </c>
      <c r="S587" t="s">
        <v>135</v>
      </c>
      <c r="T587">
        <v>4.1919000000000004</v>
      </c>
      <c r="U587">
        <v>-2.3100999999999998</v>
      </c>
      <c r="V587">
        <v>-4.1028000000000002</v>
      </c>
      <c r="W587">
        <v>2.0436000000000001</v>
      </c>
      <c r="X587">
        <v>1.8805000000000001</v>
      </c>
      <c r="Y587" t="s">
        <v>135</v>
      </c>
      <c r="Z587" t="s">
        <v>135</v>
      </c>
      <c r="AA587">
        <v>111.4697</v>
      </c>
      <c r="AB587">
        <v>5.3586999999999998</v>
      </c>
      <c r="AC587">
        <v>19.456099999999999</v>
      </c>
      <c r="AD587" t="s">
        <v>135</v>
      </c>
      <c r="AE587">
        <v>24.677599999999998</v>
      </c>
      <c r="AF587" t="s">
        <v>135</v>
      </c>
      <c r="AG587">
        <v>62.7363</v>
      </c>
      <c r="AH587">
        <v>52.9559</v>
      </c>
      <c r="AI587">
        <v>18.771999999999998</v>
      </c>
      <c r="AJ587">
        <v>23.220199999999998</v>
      </c>
      <c r="AK587">
        <v>18.641300000000001</v>
      </c>
      <c r="AL587">
        <v>5.5705999999999998</v>
      </c>
      <c r="AM587">
        <v>11.7141</v>
      </c>
      <c r="AN587">
        <v>12.770899999999999</v>
      </c>
      <c r="AO587">
        <v>12.7959</v>
      </c>
      <c r="AP587">
        <v>12.9405</v>
      </c>
      <c r="AQ587">
        <v>12.8561</v>
      </c>
      <c r="AR587" t="s">
        <v>135</v>
      </c>
      <c r="AS587" t="s">
        <v>135</v>
      </c>
      <c r="AT587">
        <v>-9.3600999999999992</v>
      </c>
      <c r="AU587">
        <v>-5.6000000000000001E-2</v>
      </c>
      <c r="AV587">
        <v>12.9716</v>
      </c>
      <c r="AW587" t="s">
        <v>135</v>
      </c>
      <c r="AX587">
        <v>15.654199999999999</v>
      </c>
      <c r="AY587" t="s">
        <v>135</v>
      </c>
      <c r="AZ587" t="s">
        <v>135</v>
      </c>
      <c r="BA587">
        <v>4.7697000000000003</v>
      </c>
      <c r="BB587">
        <v>17.501799999999999</v>
      </c>
      <c r="BC587">
        <v>14.7646</v>
      </c>
      <c r="BD587">
        <v>17.2531</v>
      </c>
      <c r="BE587" t="s">
        <v>135</v>
      </c>
      <c r="BF587">
        <v>2.9792000000000001</v>
      </c>
      <c r="BG587">
        <v>5.2318999999999996</v>
      </c>
      <c r="BH587">
        <v>6.9337999999999997</v>
      </c>
      <c r="BI587">
        <v>5.3170999999999999</v>
      </c>
      <c r="BJ587">
        <v>6.1210000000000004</v>
      </c>
      <c r="BK587" t="s">
        <v>135</v>
      </c>
      <c r="BL587">
        <v>-100</v>
      </c>
      <c r="BM587">
        <v>11.151199999999999</v>
      </c>
      <c r="BN587">
        <v>-0.192</v>
      </c>
      <c r="BO587">
        <v>3.9820000000000002</v>
      </c>
      <c r="BP587">
        <v>-95.071100000000001</v>
      </c>
      <c r="BQ587">
        <v>3.5669</v>
      </c>
      <c r="BR587" t="s">
        <v>135</v>
      </c>
      <c r="BS587">
        <v>15.5794</v>
      </c>
      <c r="BT587">
        <v>12.9529</v>
      </c>
      <c r="BU587">
        <v>2.0941000000000001</v>
      </c>
      <c r="BV587">
        <v>3.7044999999999999</v>
      </c>
      <c r="BW587">
        <v>1.6036999999999999</v>
      </c>
      <c r="BX587">
        <v>55.688499999999998</v>
      </c>
      <c r="BY587">
        <v>78913</v>
      </c>
      <c r="BZ587">
        <v>66206</v>
      </c>
      <c r="CA587">
        <v>12707</v>
      </c>
      <c r="CB587">
        <v>0.76370000000000005</v>
      </c>
      <c r="CC587">
        <v>-1.2961</v>
      </c>
      <c r="CD587">
        <v>0.86890000000000001</v>
      </c>
      <c r="CE587">
        <v>-1.4748000000000001</v>
      </c>
      <c r="CF587">
        <v>113.2881</v>
      </c>
      <c r="CG587">
        <v>67.993300000000005</v>
      </c>
      <c r="CH587">
        <v>3.1021000000000001</v>
      </c>
      <c r="CI587">
        <v>2.601</v>
      </c>
      <c r="CJ587">
        <v>2.1177000000000001</v>
      </c>
      <c r="CK587">
        <v>19.264600000000002</v>
      </c>
      <c r="CL587">
        <v>16.152799999999999</v>
      </c>
      <c r="CM587">
        <v>13.151400000000001</v>
      </c>
      <c r="CN587">
        <v>-32.6967</v>
      </c>
      <c r="CO587">
        <v>-48.581200000000003</v>
      </c>
      <c r="CP587">
        <v>27529</v>
      </c>
      <c r="CQ587">
        <v>22133</v>
      </c>
      <c r="CR587">
        <v>24262</v>
      </c>
      <c r="CS587">
        <v>1.2976000000000001</v>
      </c>
      <c r="CT587">
        <v>2.6611000000000002</v>
      </c>
      <c r="CU587">
        <v>1.2976000000000001</v>
      </c>
      <c r="CV587">
        <v>7.9851999999999999</v>
      </c>
      <c r="CW587" t="s">
        <v>135</v>
      </c>
      <c r="CX587" t="s">
        <v>135</v>
      </c>
      <c r="CY587">
        <v>89.0137</v>
      </c>
      <c r="CZ587">
        <v>4.1005000000000003</v>
      </c>
      <c r="DA587" t="s">
        <v>135</v>
      </c>
      <c r="DB587" t="s">
        <v>135</v>
      </c>
      <c r="DC587" t="s">
        <v>135</v>
      </c>
      <c r="DD587" t="s">
        <v>135</v>
      </c>
      <c r="DE587">
        <v>4849</v>
      </c>
      <c r="DF587">
        <v>3</v>
      </c>
      <c r="DG587">
        <v>2</v>
      </c>
      <c r="DH587">
        <v>3912</v>
      </c>
      <c r="DI587">
        <v>932</v>
      </c>
    </row>
    <row r="588" spans="1:113" x14ac:dyDescent="0.3">
      <c r="D588" t="s">
        <v>83</v>
      </c>
      <c r="E588" t="s">
        <v>77</v>
      </c>
      <c r="F588">
        <v>20.346900000000002</v>
      </c>
      <c r="G588">
        <v>13.422700000000001</v>
      </c>
      <c r="H588">
        <v>16.729700000000001</v>
      </c>
      <c r="I588">
        <v>13.4</v>
      </c>
      <c r="J588">
        <v>21.099299999999999</v>
      </c>
      <c r="K588">
        <v>18.1785</v>
      </c>
      <c r="L588">
        <v>3.1892</v>
      </c>
      <c r="M588">
        <v>22.386800000000001</v>
      </c>
      <c r="N588">
        <v>17.448699999999999</v>
      </c>
      <c r="O588">
        <v>17.352699999999999</v>
      </c>
      <c r="P588">
        <v>17.352699999999999</v>
      </c>
      <c r="Q588">
        <v>22.058199999999999</v>
      </c>
      <c r="R588">
        <v>16.569600000000001</v>
      </c>
      <c r="S588">
        <v>16.9755</v>
      </c>
      <c r="T588">
        <v>9.1354000000000006</v>
      </c>
      <c r="U588">
        <v>3.3573</v>
      </c>
      <c r="V588">
        <v>1.4903999999999999</v>
      </c>
      <c r="W588">
        <v>2.7667000000000002</v>
      </c>
      <c r="X588">
        <v>2.8181000000000003</v>
      </c>
      <c r="Y588">
        <v>-50</v>
      </c>
      <c r="Z588" t="s">
        <v>135</v>
      </c>
      <c r="AA588">
        <v>11.1569</v>
      </c>
      <c r="AB588">
        <v>19.824400000000001</v>
      </c>
      <c r="AC588">
        <v>20.813500000000001</v>
      </c>
      <c r="AD588">
        <v>1638.9771000000001</v>
      </c>
      <c r="AE588">
        <v>5.3464</v>
      </c>
      <c r="AF588" t="s">
        <v>135</v>
      </c>
      <c r="AG588">
        <v>62.915700000000001</v>
      </c>
      <c r="AH588">
        <v>58.682299999999998</v>
      </c>
      <c r="AI588">
        <v>14.323700000000001</v>
      </c>
      <c r="AJ588">
        <v>21.488900000000001</v>
      </c>
      <c r="AK588">
        <v>14.162599999999999</v>
      </c>
      <c r="AL588">
        <v>6.8906999999999998</v>
      </c>
      <c r="AM588">
        <v>10.536200000000001</v>
      </c>
      <c r="AN588">
        <v>10.565899999999999</v>
      </c>
      <c r="AO588">
        <v>10.236700000000001</v>
      </c>
      <c r="AP588">
        <v>10.913499999999999</v>
      </c>
      <c r="AQ588">
        <v>10.8201</v>
      </c>
      <c r="AR588" t="s">
        <v>135</v>
      </c>
      <c r="AS588" t="s">
        <v>135</v>
      </c>
      <c r="AT588">
        <v>-11.100199999999999</v>
      </c>
      <c r="AU588">
        <v>3.3468999999999998</v>
      </c>
      <c r="AV588">
        <v>14.3088</v>
      </c>
      <c r="AW588" t="s">
        <v>135</v>
      </c>
      <c r="AX588">
        <v>16.8614</v>
      </c>
      <c r="AY588" t="s">
        <v>135</v>
      </c>
      <c r="AZ588">
        <v>26.693999999999999</v>
      </c>
      <c r="BA588">
        <v>18.851700000000001</v>
      </c>
      <c r="BB588">
        <v>14.2691</v>
      </c>
      <c r="BC588">
        <v>15.149699999999999</v>
      </c>
      <c r="BD588">
        <v>14.0749</v>
      </c>
      <c r="BE588">
        <v>15.7896</v>
      </c>
      <c r="BF588">
        <v>9.1354000000000006</v>
      </c>
      <c r="BG588">
        <v>3.3573</v>
      </c>
      <c r="BH588">
        <v>1.4903999999999999</v>
      </c>
      <c r="BI588">
        <v>2.7667000000000002</v>
      </c>
      <c r="BJ588">
        <v>2.8181000000000003</v>
      </c>
      <c r="BK588">
        <v>-50</v>
      </c>
      <c r="BL588" t="s">
        <v>135</v>
      </c>
      <c r="BM588">
        <v>11.1569</v>
      </c>
      <c r="BN588">
        <v>19.824400000000001</v>
      </c>
      <c r="BO588">
        <v>20.813500000000001</v>
      </c>
      <c r="BP588">
        <v>1638.9771000000001</v>
      </c>
      <c r="BQ588">
        <v>5.3464</v>
      </c>
      <c r="BR588" t="s">
        <v>135</v>
      </c>
      <c r="BS588">
        <v>62.915700000000001</v>
      </c>
      <c r="BT588">
        <v>58.682299999999998</v>
      </c>
      <c r="BU588">
        <v>14.323700000000001</v>
      </c>
      <c r="BV588">
        <v>21.488900000000001</v>
      </c>
      <c r="BW588">
        <v>14.162599999999999</v>
      </c>
      <c r="BX588">
        <v>6.8906999999999998</v>
      </c>
      <c r="BY588">
        <v>125221</v>
      </c>
      <c r="BZ588">
        <v>107860</v>
      </c>
      <c r="CA588">
        <v>17361</v>
      </c>
      <c r="CB588">
        <v>1.1581999999999999</v>
      </c>
      <c r="CC588">
        <v>-0.98750000000000004</v>
      </c>
      <c r="CD588">
        <v>1.3442000000000001</v>
      </c>
      <c r="CE588">
        <v>-1.1461999999999999</v>
      </c>
      <c r="CF588">
        <v>76.681600000000003</v>
      </c>
      <c r="CG588">
        <v>64.293599999999998</v>
      </c>
      <c r="CH588">
        <v>3.7072000000000003</v>
      </c>
      <c r="CI588">
        <v>2.9251</v>
      </c>
      <c r="CJ588">
        <v>2.3948999999999998</v>
      </c>
      <c r="CK588">
        <v>26.7394</v>
      </c>
      <c r="CL588">
        <v>21.097899999999999</v>
      </c>
      <c r="CM588">
        <v>17.273700000000002</v>
      </c>
      <c r="CN588">
        <v>-22.799800000000001</v>
      </c>
      <c r="CO588">
        <v>-29.5334</v>
      </c>
      <c r="CP588">
        <v>108121</v>
      </c>
      <c r="CQ588">
        <v>94170</v>
      </c>
      <c r="CR588">
        <v>93154</v>
      </c>
      <c r="CS588">
        <v>1.0615000000000001</v>
      </c>
      <c r="CT588">
        <v>2.3132999999999999</v>
      </c>
      <c r="CU588">
        <v>1.5299</v>
      </c>
      <c r="CV588">
        <v>6.1557000000000004</v>
      </c>
      <c r="CW588">
        <v>10.0105</v>
      </c>
      <c r="CX588">
        <v>36.561399999999999</v>
      </c>
      <c r="CY588">
        <v>69.679500000000004</v>
      </c>
      <c r="CZ588">
        <v>5.2526000000000002</v>
      </c>
      <c r="DA588" t="s">
        <v>135</v>
      </c>
      <c r="DB588" t="s">
        <v>135</v>
      </c>
      <c r="DC588" t="s">
        <v>135</v>
      </c>
      <c r="DD588">
        <v>41.814100000000003</v>
      </c>
      <c r="DE588">
        <v>5390</v>
      </c>
      <c r="DF588">
        <v>2</v>
      </c>
      <c r="DG588">
        <v>0</v>
      </c>
      <c r="DH588">
        <v>4517</v>
      </c>
      <c r="DI588">
        <v>871</v>
      </c>
    </row>
    <row r="589" spans="1:113" x14ac:dyDescent="0.3">
      <c r="E589" t="s">
        <v>78</v>
      </c>
      <c r="F589">
        <v>21.710100000000001</v>
      </c>
      <c r="G589">
        <v>14.900399999999999</v>
      </c>
      <c r="H589">
        <v>19.4101</v>
      </c>
      <c r="I589">
        <v>14.9244</v>
      </c>
      <c r="J589">
        <v>21.268899999999999</v>
      </c>
      <c r="K589">
        <v>18.512699999999999</v>
      </c>
      <c r="L589" t="s">
        <v>135</v>
      </c>
      <c r="M589">
        <v>22.828900000000001</v>
      </c>
      <c r="N589">
        <v>17.992699999999999</v>
      </c>
      <c r="O589">
        <v>17.8887</v>
      </c>
      <c r="P589">
        <v>17.8887</v>
      </c>
      <c r="Q589">
        <v>21.1845</v>
      </c>
      <c r="R589" t="s">
        <v>135</v>
      </c>
      <c r="S589" t="s">
        <v>135</v>
      </c>
      <c r="T589">
        <v>3.7217000000000002</v>
      </c>
      <c r="U589">
        <v>-3.7646999999999999</v>
      </c>
      <c r="V589">
        <v>-5.8201000000000001</v>
      </c>
      <c r="W589">
        <v>-1.9943</v>
      </c>
      <c r="X589">
        <v>0</v>
      </c>
      <c r="Y589" t="s">
        <v>135</v>
      </c>
      <c r="Z589">
        <v>0.5575</v>
      </c>
      <c r="AA589">
        <v>85</v>
      </c>
      <c r="AB589">
        <v>1.2702</v>
      </c>
      <c r="AC589">
        <v>13.5228</v>
      </c>
      <c r="AD589">
        <v>2.8475000000000001</v>
      </c>
      <c r="AE589">
        <v>15.4116</v>
      </c>
      <c r="AF589" t="s">
        <v>135</v>
      </c>
      <c r="AG589">
        <v>79.042900000000003</v>
      </c>
      <c r="AH589">
        <v>63.485999999999997</v>
      </c>
      <c r="AI589">
        <v>11.0511</v>
      </c>
      <c r="AJ589">
        <v>17.029299999999999</v>
      </c>
      <c r="AK589">
        <v>10.9277</v>
      </c>
      <c r="AL589">
        <v>-4.1162000000000001</v>
      </c>
      <c r="AM589">
        <v>4.0663</v>
      </c>
      <c r="AN589">
        <v>3.2355</v>
      </c>
      <c r="AO589">
        <v>2.9710000000000001</v>
      </c>
      <c r="AP589">
        <v>3.5514999999999999</v>
      </c>
      <c r="AQ589">
        <v>3.3458999999999999</v>
      </c>
      <c r="AR589" t="s">
        <v>135</v>
      </c>
      <c r="AS589">
        <v>5.1677</v>
      </c>
      <c r="AT589">
        <v>-17.392499999999998</v>
      </c>
      <c r="AU589">
        <v>-4.9667000000000003</v>
      </c>
      <c r="AV589">
        <v>6.1558000000000002</v>
      </c>
      <c r="AW589">
        <v>28.9756</v>
      </c>
      <c r="AX589">
        <v>14.1656</v>
      </c>
      <c r="AY589" t="s">
        <v>135</v>
      </c>
      <c r="AZ589">
        <v>6.2805999999999997</v>
      </c>
      <c r="BA589">
        <v>0.26700000000000002</v>
      </c>
      <c r="BB589">
        <v>8.4449000000000005</v>
      </c>
      <c r="BC589">
        <v>6.8589000000000002</v>
      </c>
      <c r="BD589">
        <v>8.3492999999999995</v>
      </c>
      <c r="BE589">
        <v>11.295199999999999</v>
      </c>
      <c r="BF589">
        <v>-1.4186000000000001</v>
      </c>
      <c r="BG589">
        <v>-7.5219000000000005</v>
      </c>
      <c r="BH589">
        <v>-8.6667000000000005</v>
      </c>
      <c r="BI589">
        <v>-5.7554999999999996</v>
      </c>
      <c r="BJ589">
        <v>-5.3818999999999999</v>
      </c>
      <c r="BK589" t="s">
        <v>135</v>
      </c>
      <c r="BL589" t="s">
        <v>135</v>
      </c>
      <c r="BM589">
        <v>-4.9111000000000002</v>
      </c>
      <c r="BN589">
        <v>0.80969999999999998</v>
      </c>
      <c r="BO589">
        <v>3.3025000000000002</v>
      </c>
      <c r="BP589">
        <v>1849.3215</v>
      </c>
      <c r="BQ589">
        <v>5.1505000000000001</v>
      </c>
      <c r="BR589" t="s">
        <v>135</v>
      </c>
      <c r="BS589">
        <v>2.1133000000000002</v>
      </c>
      <c r="BT589">
        <v>1.4622999999999999</v>
      </c>
      <c r="BU589">
        <v>3.1768999999999998</v>
      </c>
      <c r="BV589">
        <v>2.8999000000000001</v>
      </c>
      <c r="BW589">
        <v>3.7063000000000001</v>
      </c>
      <c r="BX589">
        <v>-15.431800000000001</v>
      </c>
      <c r="BY589">
        <v>81742.0625</v>
      </c>
      <c r="BZ589">
        <v>69019.5625</v>
      </c>
      <c r="CA589">
        <v>12722.5</v>
      </c>
      <c r="CB589">
        <v>0.76800000000000002</v>
      </c>
      <c r="CC589">
        <v>-1.5209999999999999</v>
      </c>
      <c r="CD589">
        <v>0.87849999999999995</v>
      </c>
      <c r="CE589">
        <v>-1.7398</v>
      </c>
      <c r="CF589">
        <v>20.45</v>
      </c>
      <c r="CG589">
        <v>67.893000000000001</v>
      </c>
      <c r="CH589">
        <v>2.9485000000000001</v>
      </c>
      <c r="CI589">
        <v>2.4788999999999999</v>
      </c>
      <c r="CJ589">
        <v>2.0105</v>
      </c>
      <c r="CK589">
        <v>18.944400000000002</v>
      </c>
      <c r="CL589">
        <v>15.927099999999999</v>
      </c>
      <c r="CM589">
        <v>12.917199999999999</v>
      </c>
      <c r="CN589">
        <v>-37.520299999999999</v>
      </c>
      <c r="CO589">
        <v>-60.051900000000003</v>
      </c>
      <c r="CP589">
        <v>25943.9961</v>
      </c>
      <c r="CQ589">
        <v>22582.060099999999</v>
      </c>
      <c r="CR589">
        <v>22582.060099999999</v>
      </c>
      <c r="CS589">
        <v>1.4034</v>
      </c>
      <c r="CT589">
        <v>2.6848999999999998</v>
      </c>
      <c r="CU589">
        <v>1.9321999999999999</v>
      </c>
      <c r="CV589">
        <v>7.0457999999999998</v>
      </c>
      <c r="CW589">
        <v>5.3250000000000002</v>
      </c>
      <c r="CX589">
        <v>68.544600000000003</v>
      </c>
      <c r="CY589">
        <v>92.651799999999994</v>
      </c>
      <c r="CZ589">
        <v>3.9394999999999998</v>
      </c>
      <c r="DA589" t="s">
        <v>135</v>
      </c>
      <c r="DB589" t="s">
        <v>135</v>
      </c>
      <c r="DC589" t="s">
        <v>135</v>
      </c>
      <c r="DD589">
        <v>72.484099999999998</v>
      </c>
      <c r="DE589">
        <v>4707.3249999999998</v>
      </c>
      <c r="DF589" t="s">
        <v>135</v>
      </c>
      <c r="DG589" t="s">
        <v>135</v>
      </c>
      <c r="DH589" t="s">
        <v>135</v>
      </c>
      <c r="DI589" t="s">
        <v>135</v>
      </c>
    </row>
    <row r="590" spans="1:113" x14ac:dyDescent="0.3">
      <c r="E590" t="s">
        <v>79</v>
      </c>
      <c r="F590">
        <v>21.945599999999999</v>
      </c>
      <c r="G590">
        <v>14.840400000000001</v>
      </c>
      <c r="H590">
        <v>19.1614</v>
      </c>
      <c r="I590">
        <v>14.8482</v>
      </c>
      <c r="J590">
        <v>21.805299999999999</v>
      </c>
      <c r="K590">
        <v>18.984300000000001</v>
      </c>
      <c r="L590">
        <v>23.041699999999999</v>
      </c>
      <c r="M590">
        <v>23.090299999999999</v>
      </c>
      <c r="N590">
        <v>17.9071</v>
      </c>
      <c r="O590">
        <v>17.863900000000001</v>
      </c>
      <c r="P590">
        <v>17.863900000000001</v>
      </c>
      <c r="Q590">
        <v>22.447600000000001</v>
      </c>
      <c r="R590" t="s">
        <v>135</v>
      </c>
      <c r="S590" t="s">
        <v>135</v>
      </c>
      <c r="T590">
        <v>9.4480000000000004</v>
      </c>
      <c r="U590">
        <v>12.585000000000001</v>
      </c>
      <c r="V590">
        <v>11.7036</v>
      </c>
      <c r="W590">
        <v>9.4778000000000002</v>
      </c>
      <c r="X590">
        <v>7.0430999999999999</v>
      </c>
      <c r="Y590" t="s">
        <v>135</v>
      </c>
      <c r="Z590">
        <v>9.4178999999999995</v>
      </c>
      <c r="AA590">
        <v>99.9499</v>
      </c>
      <c r="AB590">
        <v>4.8776000000000002</v>
      </c>
      <c r="AC590">
        <v>21.220300000000002</v>
      </c>
      <c r="AD590">
        <v>12.189299999999999</v>
      </c>
      <c r="AE590">
        <v>24.188400000000001</v>
      </c>
      <c r="AF590" t="s">
        <v>135</v>
      </c>
      <c r="AG590">
        <v>81.1066</v>
      </c>
      <c r="AH590">
        <v>73.778599999999997</v>
      </c>
      <c r="AI590">
        <v>15.957100000000001</v>
      </c>
      <c r="AJ590">
        <v>23.598700000000001</v>
      </c>
      <c r="AK590">
        <v>15.188499999999999</v>
      </c>
      <c r="AL590">
        <v>36.454700000000003</v>
      </c>
      <c r="AM590">
        <v>9.0736000000000008</v>
      </c>
      <c r="AN590">
        <v>9.6731999999999996</v>
      </c>
      <c r="AO590">
        <v>9.4791000000000007</v>
      </c>
      <c r="AP590">
        <v>10.801500000000001</v>
      </c>
      <c r="AQ590">
        <v>10.2387</v>
      </c>
      <c r="AR590" t="s">
        <v>135</v>
      </c>
      <c r="AS590">
        <v>10.436</v>
      </c>
      <c r="AT590">
        <v>-8.0015999999999998</v>
      </c>
      <c r="AU590">
        <v>0.5837</v>
      </c>
      <c r="AV590">
        <v>13.287100000000001</v>
      </c>
      <c r="AW590">
        <v>8.7202999999999999</v>
      </c>
      <c r="AX590">
        <v>20.8522</v>
      </c>
      <c r="AY590" t="s">
        <v>135</v>
      </c>
      <c r="AZ590">
        <v>21.910900000000002</v>
      </c>
      <c r="BA590">
        <v>12.075900000000001</v>
      </c>
      <c r="BB590">
        <v>14.8973</v>
      </c>
      <c r="BC590">
        <v>14.340299999999999</v>
      </c>
      <c r="BD590">
        <v>31.749300000000002</v>
      </c>
      <c r="BE590">
        <v>13.0528</v>
      </c>
      <c r="BF590">
        <v>2.2545000000000002</v>
      </c>
      <c r="BG590">
        <v>4.8695000000000004</v>
      </c>
      <c r="BH590">
        <v>4.8737000000000004</v>
      </c>
      <c r="BI590">
        <v>1.9939</v>
      </c>
      <c r="BJ590">
        <v>1.9079999999999999</v>
      </c>
      <c r="BK590" t="s">
        <v>135</v>
      </c>
      <c r="BL590">
        <v>5.2310999999999996</v>
      </c>
      <c r="BM590">
        <v>17.6309</v>
      </c>
      <c r="BN590">
        <v>2.9872000000000001</v>
      </c>
      <c r="BO590">
        <v>3.3938999999999999</v>
      </c>
      <c r="BP590">
        <v>214.04929999999999</v>
      </c>
      <c r="BQ590">
        <v>2.3300000000000001E-2</v>
      </c>
      <c r="BR590" t="s">
        <v>135</v>
      </c>
      <c r="BS590">
        <v>20.7652</v>
      </c>
      <c r="BT590">
        <v>21.430800000000001</v>
      </c>
      <c r="BU590">
        <v>0.9083</v>
      </c>
      <c r="BV590">
        <v>4.18</v>
      </c>
      <c r="BW590">
        <v>0.86260000000000003</v>
      </c>
      <c r="BX590">
        <v>-19.809999999999999</v>
      </c>
      <c r="BY590">
        <v>99311</v>
      </c>
      <c r="BZ590">
        <v>83427</v>
      </c>
      <c r="CA590">
        <v>15884</v>
      </c>
      <c r="CB590">
        <v>0.92820000000000003</v>
      </c>
      <c r="CC590">
        <v>-1.1635</v>
      </c>
      <c r="CD590">
        <v>1.0638000000000001</v>
      </c>
      <c r="CE590">
        <v>-1.3334999999999999</v>
      </c>
      <c r="CF590">
        <v>83.956900000000005</v>
      </c>
      <c r="CG590">
        <v>66.238799999999998</v>
      </c>
      <c r="CH590">
        <v>3.6501999999999999</v>
      </c>
      <c r="CI590">
        <v>2.972</v>
      </c>
      <c r="CJ590">
        <v>2.4287000000000001</v>
      </c>
      <c r="CK590">
        <v>22.822099999999999</v>
      </c>
      <c r="CL590">
        <v>18.581499999999998</v>
      </c>
      <c r="CM590">
        <v>15.184699999999999</v>
      </c>
      <c r="CN590">
        <v>-28.6084</v>
      </c>
      <c r="CO590">
        <v>-40.072499999999998</v>
      </c>
      <c r="CP590">
        <v>27286</v>
      </c>
      <c r="CQ590">
        <v>23189</v>
      </c>
      <c r="CR590">
        <v>23756</v>
      </c>
      <c r="CS590">
        <v>1.202</v>
      </c>
      <c r="CT590">
        <v>2.5701000000000001</v>
      </c>
      <c r="CU590">
        <v>1.7204000000000002</v>
      </c>
      <c r="CV590">
        <v>7.0297000000000001</v>
      </c>
      <c r="CW590">
        <v>5.2697000000000003</v>
      </c>
      <c r="CX590">
        <v>69.263800000000003</v>
      </c>
      <c r="CY590">
        <v>80.107799999999997</v>
      </c>
      <c r="CZ590">
        <v>4.5564</v>
      </c>
      <c r="DA590" t="s">
        <v>135</v>
      </c>
      <c r="DB590" t="s">
        <v>135</v>
      </c>
      <c r="DC590" t="s">
        <v>135</v>
      </c>
      <c r="DD590">
        <v>73.820099999999996</v>
      </c>
      <c r="DE590">
        <v>5571</v>
      </c>
      <c r="DF590">
        <v>7</v>
      </c>
      <c r="DG590">
        <v>0</v>
      </c>
      <c r="DH590">
        <v>4646</v>
      </c>
      <c r="DI590">
        <v>918</v>
      </c>
    </row>
    <row r="591" spans="1:113" x14ac:dyDescent="0.3">
      <c r="E591" t="s">
        <v>80</v>
      </c>
      <c r="F591">
        <v>21.086500000000001</v>
      </c>
      <c r="G591">
        <v>14.394500000000001</v>
      </c>
      <c r="H591">
        <v>18.4544</v>
      </c>
      <c r="I591">
        <v>14.209300000000001</v>
      </c>
      <c r="J591">
        <v>20.741099999999999</v>
      </c>
      <c r="K591">
        <v>17.859000000000002</v>
      </c>
      <c r="L591" t="s">
        <v>135</v>
      </c>
      <c r="M591">
        <v>22.336600000000001</v>
      </c>
      <c r="N591">
        <v>17.447199999999999</v>
      </c>
      <c r="O591">
        <v>17.395800000000001</v>
      </c>
      <c r="P591">
        <v>17.395800000000001</v>
      </c>
      <c r="Q591">
        <v>21.889399999999998</v>
      </c>
      <c r="R591" t="s">
        <v>135</v>
      </c>
      <c r="S591" t="s">
        <v>135</v>
      </c>
      <c r="T591">
        <v>2.1556000000000002</v>
      </c>
      <c r="U591">
        <v>-4.5023999999999997</v>
      </c>
      <c r="V591">
        <v>-5.1913</v>
      </c>
      <c r="W591">
        <v>-2.8736000000000002</v>
      </c>
      <c r="X591">
        <v>0</v>
      </c>
      <c r="Y591" t="s">
        <v>135</v>
      </c>
      <c r="Z591">
        <v>1.5467</v>
      </c>
      <c r="AA591">
        <v>33.333300000000001</v>
      </c>
      <c r="AB591">
        <v>0.93130000000000002</v>
      </c>
      <c r="AC591">
        <v>12.1836</v>
      </c>
      <c r="AD591">
        <v>2.9563000000000001</v>
      </c>
      <c r="AE591">
        <v>15.597200000000001</v>
      </c>
      <c r="AF591" t="s">
        <v>135</v>
      </c>
      <c r="AG591">
        <v>35.872</v>
      </c>
      <c r="AH591">
        <v>33.846200000000003</v>
      </c>
      <c r="AI591">
        <v>9.1868999999999996</v>
      </c>
      <c r="AJ591">
        <v>12.8439</v>
      </c>
      <c r="AK591">
        <v>9.1440999999999999</v>
      </c>
      <c r="AL591">
        <v>26.158899999999999</v>
      </c>
      <c r="AM591">
        <v>2.1610999999999998</v>
      </c>
      <c r="AN591">
        <v>2.0005000000000002</v>
      </c>
      <c r="AO591">
        <v>1.6968999999999999</v>
      </c>
      <c r="AP591">
        <v>2.8285999999999998</v>
      </c>
      <c r="AQ591">
        <v>3.1310000000000002</v>
      </c>
      <c r="AR591" t="s">
        <v>135</v>
      </c>
      <c r="AS591">
        <v>2.0396000000000001</v>
      </c>
      <c r="AT591">
        <v>-13.95</v>
      </c>
      <c r="AU591">
        <v>-7.1448999999999998</v>
      </c>
      <c r="AV591">
        <v>4.91</v>
      </c>
      <c r="AW591">
        <v>0.53280000000000005</v>
      </c>
      <c r="AX591">
        <v>10.965</v>
      </c>
      <c r="AY591" t="s">
        <v>135</v>
      </c>
      <c r="AZ591">
        <v>10.6549</v>
      </c>
      <c r="BA591">
        <v>2.5192000000000001</v>
      </c>
      <c r="BB591">
        <v>6.1553000000000004</v>
      </c>
      <c r="BC591">
        <v>5.4581999999999997</v>
      </c>
      <c r="BD591">
        <v>19.900600000000001</v>
      </c>
      <c r="BE591">
        <v>17.654299999999999</v>
      </c>
      <c r="BF591">
        <v>0.80730000000000002</v>
      </c>
      <c r="BG591">
        <v>-3.9714999999999998</v>
      </c>
      <c r="BH591">
        <v>-5.0083000000000002</v>
      </c>
      <c r="BI591">
        <v>-2.0752999999999999</v>
      </c>
      <c r="BJ591">
        <v>-0.1186</v>
      </c>
      <c r="BK591" t="s">
        <v>135</v>
      </c>
      <c r="BL591">
        <v>2.4938000000000002</v>
      </c>
      <c r="BM591">
        <v>8.2126999999999999</v>
      </c>
      <c r="BN591">
        <v>-1.0289999999999999</v>
      </c>
      <c r="BO591">
        <v>2.5861999999999998</v>
      </c>
      <c r="BP591">
        <v>2.8058999999999998</v>
      </c>
      <c r="BQ591">
        <v>7.8141999999999996</v>
      </c>
      <c r="BR591" t="s">
        <v>135</v>
      </c>
      <c r="BS591">
        <v>-3.3115000000000001</v>
      </c>
      <c r="BT591">
        <v>-2.4123999999999999</v>
      </c>
      <c r="BU591">
        <v>4.3406000000000002</v>
      </c>
      <c r="BV591">
        <v>3.0857999999999999</v>
      </c>
      <c r="BW591">
        <v>4.8845000000000001</v>
      </c>
      <c r="BX591">
        <v>23.0077</v>
      </c>
      <c r="BY591">
        <v>97959.3465</v>
      </c>
      <c r="BZ591">
        <v>81533.438500000004</v>
      </c>
      <c r="CA591">
        <v>16425.907999999999</v>
      </c>
      <c r="CB591">
        <v>0.88280000000000003</v>
      </c>
      <c r="CC591">
        <v>-1.2959000000000001</v>
      </c>
      <c r="CD591">
        <v>1.0135000000000001</v>
      </c>
      <c r="CE591">
        <v>-1.4877</v>
      </c>
      <c r="CF591">
        <v>19.1905</v>
      </c>
      <c r="CG591">
        <v>67.369900000000001</v>
      </c>
      <c r="CH591">
        <v>3.5792000000000002</v>
      </c>
      <c r="CI591">
        <v>2.9496000000000002</v>
      </c>
      <c r="CJ591">
        <v>2.4220999999999999</v>
      </c>
      <c r="CK591">
        <v>21.345099999999999</v>
      </c>
      <c r="CL591">
        <v>17.590399999999999</v>
      </c>
      <c r="CM591">
        <v>14.444800000000001</v>
      </c>
      <c r="CN591">
        <v>-31.332100000000001</v>
      </c>
      <c r="CO591">
        <v>-45.628399999999999</v>
      </c>
      <c r="CP591">
        <v>26559.217499999999</v>
      </c>
      <c r="CQ591">
        <v>25438.853500000001</v>
      </c>
      <c r="CR591">
        <v>22868.606599999999</v>
      </c>
      <c r="CS591">
        <v>1.3091999999999999</v>
      </c>
      <c r="CT591">
        <v>2.7252999999999998</v>
      </c>
      <c r="CU591">
        <v>1.8508</v>
      </c>
      <c r="CV591">
        <v>6.7739000000000003</v>
      </c>
      <c r="CW591">
        <v>5.1725000000000003</v>
      </c>
      <c r="CX591">
        <v>70.564899999999994</v>
      </c>
      <c r="CY591">
        <v>66.462599999999995</v>
      </c>
      <c r="CZ591">
        <v>5.4917999999999996</v>
      </c>
      <c r="DA591" t="s">
        <v>135</v>
      </c>
      <c r="DB591" t="s">
        <v>135</v>
      </c>
      <c r="DC591" t="s">
        <v>135</v>
      </c>
      <c r="DD591">
        <v>76.056700000000006</v>
      </c>
      <c r="DE591">
        <v>6093.482</v>
      </c>
      <c r="DF591" t="s">
        <v>135</v>
      </c>
      <c r="DG591" t="s">
        <v>135</v>
      </c>
      <c r="DH591" t="s">
        <v>135</v>
      </c>
      <c r="DI591" t="s">
        <v>135</v>
      </c>
    </row>
    <row r="592" spans="1:113" x14ac:dyDescent="0.3">
      <c r="E592" t="s">
        <v>81</v>
      </c>
      <c r="F592">
        <v>20.375</v>
      </c>
      <c r="G592">
        <v>13.4412</v>
      </c>
      <c r="H592">
        <v>16.752400000000002</v>
      </c>
      <c r="I592">
        <v>13.3817</v>
      </c>
      <c r="J592">
        <v>20.575199999999999</v>
      </c>
      <c r="K592">
        <v>17.416599999999999</v>
      </c>
      <c r="L592" t="s">
        <v>135</v>
      </c>
      <c r="M592">
        <v>21.396799999999999</v>
      </c>
      <c r="N592">
        <v>16.536300000000001</v>
      </c>
      <c r="O592">
        <v>16.3948</v>
      </c>
      <c r="P592">
        <v>16.3948</v>
      </c>
      <c r="Q592">
        <v>22.715900000000001</v>
      </c>
      <c r="R592" t="s">
        <v>135</v>
      </c>
      <c r="S592" t="s">
        <v>135</v>
      </c>
      <c r="T592">
        <v>12.274699999999999</v>
      </c>
      <c r="U592">
        <v>1.8889</v>
      </c>
      <c r="V592">
        <v>-2.1391</v>
      </c>
      <c r="W592">
        <v>-1.6284999999999998</v>
      </c>
      <c r="X592">
        <v>-1.4115</v>
      </c>
      <c r="Y592" t="s">
        <v>135</v>
      </c>
      <c r="Z592" t="s">
        <v>135</v>
      </c>
      <c r="AA592">
        <v>11.1569</v>
      </c>
      <c r="AB592">
        <v>19.824400000000001</v>
      </c>
      <c r="AC592">
        <v>20.813500000000001</v>
      </c>
      <c r="AD592">
        <v>1638.9771000000001</v>
      </c>
      <c r="AE592">
        <v>5.3464</v>
      </c>
      <c r="AF592" t="s">
        <v>135</v>
      </c>
      <c r="AG592">
        <v>62.915700000000001</v>
      </c>
      <c r="AH592">
        <v>58.682299999999998</v>
      </c>
      <c r="AI592">
        <v>14.323700000000001</v>
      </c>
      <c r="AJ592">
        <v>21.488900000000001</v>
      </c>
      <c r="AK592">
        <v>14.162599999999999</v>
      </c>
      <c r="AL592">
        <v>-15.0959</v>
      </c>
      <c r="AM592">
        <v>10.509</v>
      </c>
      <c r="AN592">
        <v>10.849500000000001</v>
      </c>
      <c r="AO592">
        <v>10.399100000000001</v>
      </c>
      <c r="AP592">
        <v>10.196999999999999</v>
      </c>
      <c r="AQ592">
        <v>10.1487</v>
      </c>
      <c r="AR592" t="s">
        <v>135</v>
      </c>
      <c r="AS592" t="s">
        <v>135</v>
      </c>
      <c r="AT592">
        <v>-11.100199999999999</v>
      </c>
      <c r="AU592">
        <v>3.3468999999999998</v>
      </c>
      <c r="AV592">
        <v>14.3088</v>
      </c>
      <c r="AW592" t="s">
        <v>135</v>
      </c>
      <c r="AX592">
        <v>16.8614</v>
      </c>
      <c r="AY592" t="s">
        <v>135</v>
      </c>
      <c r="AZ592">
        <v>26.693999999999999</v>
      </c>
      <c r="BA592">
        <v>18.851700000000001</v>
      </c>
      <c r="BB592">
        <v>14.2691</v>
      </c>
      <c r="BC592">
        <v>15.149699999999999</v>
      </c>
      <c r="BD592">
        <v>14.0749</v>
      </c>
      <c r="BE592" t="s">
        <v>135</v>
      </c>
      <c r="BF592">
        <v>6.0021000000000004</v>
      </c>
      <c r="BG592">
        <v>5.1036000000000001</v>
      </c>
      <c r="BH592">
        <v>3.5771999999999999</v>
      </c>
      <c r="BI592">
        <v>-8.4900000000000003E-2</v>
      </c>
      <c r="BJ592">
        <v>0</v>
      </c>
      <c r="BK592" t="s">
        <v>135</v>
      </c>
      <c r="BL592">
        <v>2.4220000000000002</v>
      </c>
      <c r="BM592">
        <v>-11.5669</v>
      </c>
      <c r="BN592">
        <v>13.2357</v>
      </c>
      <c r="BO592">
        <v>6.9694000000000003</v>
      </c>
      <c r="BP592">
        <v>-20.490500000000001</v>
      </c>
      <c r="BQ592">
        <v>-9.8591999999999995</v>
      </c>
      <c r="BR592" t="s">
        <v>135</v>
      </c>
      <c r="BS592">
        <v>32.341900000000003</v>
      </c>
      <c r="BT592">
        <v>27.8705</v>
      </c>
      <c r="BU592">
        <v>2.1151</v>
      </c>
      <c r="BV592">
        <v>6.6471</v>
      </c>
      <c r="BW592">
        <v>2.0703</v>
      </c>
      <c r="BX592">
        <v>-5.2746000000000004</v>
      </c>
      <c r="BY592">
        <v>125221</v>
      </c>
      <c r="BZ592">
        <v>107860</v>
      </c>
      <c r="CA592">
        <v>17361</v>
      </c>
      <c r="CB592">
        <v>1.1594</v>
      </c>
      <c r="CC592">
        <v>-0.98860000000000003</v>
      </c>
      <c r="CD592">
        <v>1.3460000000000001</v>
      </c>
      <c r="CE592">
        <v>-1.1476999999999999</v>
      </c>
      <c r="CF592">
        <v>68.579499999999996</v>
      </c>
      <c r="CG592">
        <v>64.293599999999998</v>
      </c>
      <c r="CH592">
        <v>3.7072000000000003</v>
      </c>
      <c r="CI592">
        <v>2.9251</v>
      </c>
      <c r="CJ592">
        <v>2.3948999999999998</v>
      </c>
      <c r="CK592">
        <v>26.7394</v>
      </c>
      <c r="CL592">
        <v>21.097899999999999</v>
      </c>
      <c r="CM592">
        <v>17.273700000000002</v>
      </c>
      <c r="CN592">
        <v>-22.799800000000001</v>
      </c>
      <c r="CO592">
        <v>-29.5334</v>
      </c>
      <c r="CP592">
        <v>28049</v>
      </c>
      <c r="CQ592">
        <v>22775</v>
      </c>
      <c r="CR592">
        <v>23743</v>
      </c>
      <c r="CS592">
        <v>1.0615000000000001</v>
      </c>
      <c r="CT592">
        <v>2.3132999999999999</v>
      </c>
      <c r="CU592">
        <v>1.5299</v>
      </c>
      <c r="CV592">
        <v>6.1557000000000004</v>
      </c>
      <c r="CW592">
        <v>10.0105</v>
      </c>
      <c r="CX592">
        <v>36.561399999999999</v>
      </c>
      <c r="CY592">
        <v>69.679500000000004</v>
      </c>
      <c r="CZ592">
        <v>5.2526000000000002</v>
      </c>
      <c r="DA592" t="s">
        <v>135</v>
      </c>
      <c r="DB592" t="s">
        <v>135</v>
      </c>
      <c r="DC592" t="s">
        <v>135</v>
      </c>
      <c r="DD592">
        <v>41.814100000000003</v>
      </c>
      <c r="DE592">
        <v>5390</v>
      </c>
      <c r="DF592">
        <v>2</v>
      </c>
      <c r="DG592">
        <v>0</v>
      </c>
      <c r="DH592">
        <v>4517</v>
      </c>
      <c r="DI592">
        <v>871</v>
      </c>
    </row>
    <row r="593" spans="1:113" x14ac:dyDescent="0.3">
      <c r="D593" t="s">
        <v>84</v>
      </c>
      <c r="E593" t="s">
        <v>77</v>
      </c>
      <c r="F593">
        <v>17.229199999999999</v>
      </c>
      <c r="G593">
        <v>11.188700000000001</v>
      </c>
      <c r="H593">
        <v>13.7744</v>
      </c>
      <c r="I593">
        <v>10.631499999999999</v>
      </c>
      <c r="J593">
        <v>20.4758</v>
      </c>
      <c r="K593">
        <v>16.2776</v>
      </c>
      <c r="L593" t="s">
        <v>135</v>
      </c>
      <c r="M593">
        <v>20.0501</v>
      </c>
      <c r="N593">
        <v>15.469200000000001</v>
      </c>
      <c r="O593">
        <v>15.424200000000001</v>
      </c>
      <c r="P593">
        <v>15.424200000000001</v>
      </c>
      <c r="Q593">
        <v>22.847000000000001</v>
      </c>
      <c r="R593">
        <v>5.7267999999999999</v>
      </c>
      <c r="S593">
        <v>16.2425</v>
      </c>
      <c r="T593">
        <v>7.4081000000000001</v>
      </c>
      <c r="U593">
        <v>4.3914999999999997</v>
      </c>
      <c r="V593">
        <v>-3.6573000000000002</v>
      </c>
      <c r="W593">
        <v>-4.6927000000000003</v>
      </c>
      <c r="X593">
        <v>-3.6760999999999999</v>
      </c>
      <c r="Y593">
        <v>-66.666700000000006</v>
      </c>
      <c r="Z593">
        <v>-4.7865000000000002</v>
      </c>
      <c r="AA593">
        <v>-27.365500000000001</v>
      </c>
      <c r="AB593">
        <v>7.4546999999999999</v>
      </c>
      <c r="AC593">
        <v>9.6012000000000004</v>
      </c>
      <c r="AD593">
        <v>-7.6608999999999998</v>
      </c>
      <c r="AE593">
        <v>8.8267000000000007</v>
      </c>
      <c r="AF593">
        <v>2.1299999999999999E-2</v>
      </c>
      <c r="AG593">
        <v>13.8522</v>
      </c>
      <c r="AH593">
        <v>13.7285</v>
      </c>
      <c r="AI593">
        <v>11.834199999999999</v>
      </c>
      <c r="AJ593">
        <v>12.234500000000001</v>
      </c>
      <c r="AK593">
        <v>13.6838</v>
      </c>
      <c r="AL593">
        <v>12.708600000000001</v>
      </c>
      <c r="AM593">
        <v>8.1518999999999995</v>
      </c>
      <c r="AN593">
        <v>9.7233000000000001</v>
      </c>
      <c r="AO593">
        <v>8.0852000000000004</v>
      </c>
      <c r="AP593">
        <v>8.7823999999999991</v>
      </c>
      <c r="AQ593">
        <v>8.9616000000000007</v>
      </c>
      <c r="AR593">
        <v>-19.7258</v>
      </c>
      <c r="AS593" t="s">
        <v>135</v>
      </c>
      <c r="AT593">
        <v>-18.157599999999999</v>
      </c>
      <c r="AU593">
        <v>3.4215</v>
      </c>
      <c r="AV593">
        <v>12.7233</v>
      </c>
      <c r="AW593" t="s">
        <v>135</v>
      </c>
      <c r="AX593">
        <v>14.7034</v>
      </c>
      <c r="AY593" t="s">
        <v>135</v>
      </c>
      <c r="AZ593">
        <v>27.498699999999999</v>
      </c>
      <c r="BA593">
        <v>19.289100000000001</v>
      </c>
      <c r="BB593">
        <v>12.804600000000001</v>
      </c>
      <c r="BC593">
        <v>14.020799999999999</v>
      </c>
      <c r="BD593">
        <v>13.025499999999999</v>
      </c>
      <c r="BE593">
        <v>18.045500000000001</v>
      </c>
      <c r="BF593">
        <v>7.4081000000000001</v>
      </c>
      <c r="BG593">
        <v>4.3914999999999997</v>
      </c>
      <c r="BH593">
        <v>-3.6573000000000002</v>
      </c>
      <c r="BI593">
        <v>-4.6927000000000003</v>
      </c>
      <c r="BJ593">
        <v>-3.6760999999999999</v>
      </c>
      <c r="BK593">
        <v>-66.666700000000006</v>
      </c>
      <c r="BL593">
        <v>-4.7865000000000002</v>
      </c>
      <c r="BM593">
        <v>-27.365500000000001</v>
      </c>
      <c r="BN593">
        <v>7.4546999999999999</v>
      </c>
      <c r="BO593">
        <v>9.6012000000000004</v>
      </c>
      <c r="BP593">
        <v>-7.6608999999999998</v>
      </c>
      <c r="BQ593">
        <v>8.8267000000000007</v>
      </c>
      <c r="BR593">
        <v>2.1299999999999999E-2</v>
      </c>
      <c r="BS593">
        <v>13.8522</v>
      </c>
      <c r="BT593">
        <v>13.7285</v>
      </c>
      <c r="BU593">
        <v>11.834199999999999</v>
      </c>
      <c r="BV593">
        <v>12.234500000000001</v>
      </c>
      <c r="BW593">
        <v>13.6838</v>
      </c>
      <c r="BX593">
        <v>12.708600000000001</v>
      </c>
      <c r="BY593">
        <v>142412</v>
      </c>
      <c r="BZ593">
        <v>122801</v>
      </c>
      <c r="CA593">
        <v>19611</v>
      </c>
      <c r="CB593">
        <v>1.2636000000000001</v>
      </c>
      <c r="CC593">
        <v>-1.7953000000000001</v>
      </c>
      <c r="CD593">
        <v>1.5895999999999999</v>
      </c>
      <c r="CE593">
        <v>-2.2583000000000002</v>
      </c>
      <c r="CF593">
        <v>58.819899999999997</v>
      </c>
      <c r="CG593">
        <v>65.569400000000002</v>
      </c>
      <c r="CH593">
        <v>3.7519</v>
      </c>
      <c r="CI593">
        <v>2.9485000000000001</v>
      </c>
      <c r="CJ593">
        <v>2.4714</v>
      </c>
      <c r="CK593">
        <v>27.245699999999999</v>
      </c>
      <c r="CL593">
        <v>21.411899999999999</v>
      </c>
      <c r="CM593">
        <v>17.946999999999999</v>
      </c>
      <c r="CN593">
        <v>-38.708599999999997</v>
      </c>
      <c r="CO593">
        <v>-63.155099999999997</v>
      </c>
      <c r="CP593">
        <v>112699</v>
      </c>
      <c r="CQ593">
        <v>91846</v>
      </c>
      <c r="CR593">
        <v>89592</v>
      </c>
      <c r="CS593">
        <v>1.5019</v>
      </c>
      <c r="CT593">
        <v>2.3477000000000001</v>
      </c>
      <c r="CU593">
        <v>1.915</v>
      </c>
      <c r="CV593">
        <v>5.6993999999999998</v>
      </c>
      <c r="CW593">
        <v>5.6608000000000001</v>
      </c>
      <c r="CX593">
        <v>64.478200000000001</v>
      </c>
      <c r="CY593">
        <v>84.157799999999995</v>
      </c>
      <c r="CZ593">
        <v>4.3371000000000004</v>
      </c>
      <c r="DA593">
        <v>16.634399999999999</v>
      </c>
      <c r="DB593">
        <v>21.942399999999999</v>
      </c>
      <c r="DC593">
        <v>46.872900000000001</v>
      </c>
      <c r="DD593">
        <v>68.815299999999993</v>
      </c>
      <c r="DE593">
        <v>3915</v>
      </c>
      <c r="DF593">
        <v>1</v>
      </c>
      <c r="DG593">
        <v>0</v>
      </c>
      <c r="DH593">
        <v>3106</v>
      </c>
      <c r="DI593">
        <v>808</v>
      </c>
    </row>
    <row r="594" spans="1:113" x14ac:dyDescent="0.3">
      <c r="E594" t="s">
        <v>78</v>
      </c>
      <c r="F594">
        <v>18.851600000000001</v>
      </c>
      <c r="G594">
        <v>12.506499999999999</v>
      </c>
      <c r="H594">
        <v>16.130199999999999</v>
      </c>
      <c r="I594">
        <v>12.294499999999999</v>
      </c>
      <c r="J594">
        <v>19.463799999999999</v>
      </c>
      <c r="K594">
        <v>16.037700000000001</v>
      </c>
      <c r="L594" t="s">
        <v>135</v>
      </c>
      <c r="M594">
        <v>19.6127</v>
      </c>
      <c r="N594">
        <v>15.0943</v>
      </c>
      <c r="O594">
        <v>15.044700000000001</v>
      </c>
      <c r="P594">
        <v>15.044700000000001</v>
      </c>
      <c r="Q594">
        <v>23.038</v>
      </c>
      <c r="R594" t="s">
        <v>135</v>
      </c>
      <c r="S594" t="s">
        <v>135</v>
      </c>
      <c r="T594">
        <v>4.3552</v>
      </c>
      <c r="U594">
        <v>-4.4684999999999997</v>
      </c>
      <c r="V594">
        <v>-9.5836000000000006</v>
      </c>
      <c r="W594">
        <v>-12.3378</v>
      </c>
      <c r="X594">
        <v>-14.6006</v>
      </c>
      <c r="Y594" t="s">
        <v>135</v>
      </c>
      <c r="Z594">
        <v>4.8421000000000003</v>
      </c>
      <c r="AA594">
        <v>28.944299999999998</v>
      </c>
      <c r="AB594">
        <v>11.731</v>
      </c>
      <c r="AC594">
        <v>12.1797</v>
      </c>
      <c r="AD594">
        <v>214.59960000000001</v>
      </c>
      <c r="AE594">
        <v>-1.254</v>
      </c>
      <c r="AF594" t="s">
        <v>135</v>
      </c>
      <c r="AG594">
        <v>52.028399999999998</v>
      </c>
      <c r="AH594">
        <v>48.250799999999998</v>
      </c>
      <c r="AI594">
        <v>7.4038000000000004</v>
      </c>
      <c r="AJ594">
        <v>13.9155</v>
      </c>
      <c r="AK594">
        <v>5.7336999999999998</v>
      </c>
      <c r="AL594">
        <v>-36.992600000000003</v>
      </c>
      <c r="AM594">
        <v>1.119</v>
      </c>
      <c r="AN594">
        <v>1.0528999999999999</v>
      </c>
      <c r="AO594">
        <v>0.18679999999999999</v>
      </c>
      <c r="AP594">
        <v>0.19919999999999999</v>
      </c>
      <c r="AQ594">
        <v>0</v>
      </c>
      <c r="AR594" t="s">
        <v>135</v>
      </c>
      <c r="AS594">
        <v>-0.28849999999999998</v>
      </c>
      <c r="AT594">
        <v>-17.8124</v>
      </c>
      <c r="AU594">
        <v>-4.6935000000000002</v>
      </c>
      <c r="AV594">
        <v>4.625</v>
      </c>
      <c r="AW594">
        <v>-2.1217000000000001</v>
      </c>
      <c r="AX594">
        <v>7.9287999999999998</v>
      </c>
      <c r="AY594" t="s">
        <v>135</v>
      </c>
      <c r="AZ594">
        <v>12.9018</v>
      </c>
      <c r="BA594">
        <v>7.0940000000000003</v>
      </c>
      <c r="BB594">
        <v>4.9847000000000001</v>
      </c>
      <c r="BC594">
        <v>5.4020999999999999</v>
      </c>
      <c r="BD594">
        <v>4.5148000000000001</v>
      </c>
      <c r="BE594">
        <v>15.1464</v>
      </c>
      <c r="BF594">
        <v>-0.32529999999999998</v>
      </c>
      <c r="BG594">
        <v>-5.5649999999999995</v>
      </c>
      <c r="BH594">
        <v>-8.0577000000000005</v>
      </c>
      <c r="BI594">
        <v>-8.6559000000000008</v>
      </c>
      <c r="BJ594">
        <v>-10.933299999999999</v>
      </c>
      <c r="BK594" t="s">
        <v>135</v>
      </c>
      <c r="BL594">
        <v>0.40229999999999999</v>
      </c>
      <c r="BM594">
        <v>17.813400000000001</v>
      </c>
      <c r="BN594">
        <v>-0.2984</v>
      </c>
      <c r="BO594">
        <v>1.9157999999999999</v>
      </c>
      <c r="BP594">
        <v>30.4178</v>
      </c>
      <c r="BQ594">
        <v>5.5745000000000005</v>
      </c>
      <c r="BR594" t="s">
        <v>135</v>
      </c>
      <c r="BS594">
        <v>1.2509000000000001</v>
      </c>
      <c r="BT594">
        <v>0.68340000000000001</v>
      </c>
      <c r="BU594">
        <v>3.0455999999999999</v>
      </c>
      <c r="BV594">
        <v>2.5464000000000002</v>
      </c>
      <c r="BW594">
        <v>1.5518999999999998</v>
      </c>
      <c r="BX594">
        <v>-30.780799999999999</v>
      </c>
      <c r="BY594">
        <v>128707.41499999999</v>
      </c>
      <c r="BZ594">
        <v>111487.9025</v>
      </c>
      <c r="CA594">
        <v>17219.512500000001</v>
      </c>
      <c r="CB594">
        <v>1.1679999999999999</v>
      </c>
      <c r="CC594">
        <v>-1.7557</v>
      </c>
      <c r="CD594">
        <v>1.3736999999999999</v>
      </c>
      <c r="CE594">
        <v>-2.0649000000000002</v>
      </c>
      <c r="CF594">
        <v>19.600000000000001</v>
      </c>
      <c r="CG594">
        <v>64.966399999999993</v>
      </c>
      <c r="CH594">
        <v>3.5023</v>
      </c>
      <c r="CI594">
        <v>2.7757000000000001</v>
      </c>
      <c r="CJ594">
        <v>2.286</v>
      </c>
      <c r="CK594">
        <v>26.177700000000002</v>
      </c>
      <c r="CL594">
        <v>20.746700000000001</v>
      </c>
      <c r="CM594">
        <v>17.086500000000001</v>
      </c>
      <c r="CN594">
        <v>-39.348999999999997</v>
      </c>
      <c r="CO594">
        <v>-64.877700000000004</v>
      </c>
      <c r="CP594">
        <v>26224.941699999999</v>
      </c>
      <c r="CQ594">
        <v>21608.816699999999</v>
      </c>
      <c r="CR594">
        <v>21608.816699999999</v>
      </c>
      <c r="CS594">
        <v>1.4349000000000001</v>
      </c>
      <c r="CT594">
        <v>2.3645</v>
      </c>
      <c r="CU594">
        <v>1.8895999999999999</v>
      </c>
      <c r="CV594">
        <v>6.0358000000000001</v>
      </c>
      <c r="CW594">
        <v>5.3577000000000004</v>
      </c>
      <c r="CX594">
        <v>68.312600000000003</v>
      </c>
      <c r="CY594">
        <v>65.010099999999994</v>
      </c>
      <c r="CZ594">
        <v>5.6299000000000001</v>
      </c>
      <c r="DA594" t="s">
        <v>135</v>
      </c>
      <c r="DB594" t="s">
        <v>135</v>
      </c>
      <c r="DC594" t="s">
        <v>135</v>
      </c>
      <c r="DD594">
        <v>73.942499999999995</v>
      </c>
      <c r="DE594">
        <v>6482.64</v>
      </c>
      <c r="DF594" t="s">
        <v>135</v>
      </c>
      <c r="DG594" t="s">
        <v>135</v>
      </c>
      <c r="DH594" t="s">
        <v>135</v>
      </c>
      <c r="DI594" t="s">
        <v>135</v>
      </c>
    </row>
    <row r="595" spans="1:113" x14ac:dyDescent="0.3">
      <c r="E595" t="s">
        <v>79</v>
      </c>
      <c r="F595" t="s">
        <v>135</v>
      </c>
      <c r="G595" t="s">
        <v>135</v>
      </c>
      <c r="H595" t="s">
        <v>135</v>
      </c>
      <c r="I595" t="s">
        <v>135</v>
      </c>
      <c r="J595" t="s">
        <v>135</v>
      </c>
      <c r="K595" t="s">
        <v>135</v>
      </c>
      <c r="L595" t="s">
        <v>135</v>
      </c>
      <c r="M595" t="s">
        <v>135</v>
      </c>
      <c r="N595" t="s">
        <v>135</v>
      </c>
      <c r="O595" t="s">
        <v>135</v>
      </c>
      <c r="P595" t="s">
        <v>135</v>
      </c>
      <c r="Q595" t="s">
        <v>135</v>
      </c>
      <c r="R595" t="s">
        <v>135</v>
      </c>
      <c r="S595" t="s">
        <v>135</v>
      </c>
      <c r="T595" t="s">
        <v>135</v>
      </c>
      <c r="U595" t="s">
        <v>135</v>
      </c>
      <c r="V595" t="s">
        <v>135</v>
      </c>
      <c r="W595" t="s">
        <v>135</v>
      </c>
      <c r="X595" t="s">
        <v>135</v>
      </c>
      <c r="Y595" t="s">
        <v>135</v>
      </c>
      <c r="Z595" t="s">
        <v>135</v>
      </c>
      <c r="AA595" t="s">
        <v>135</v>
      </c>
      <c r="AB595" t="s">
        <v>135</v>
      </c>
      <c r="AC595" t="s">
        <v>135</v>
      </c>
      <c r="AD595" t="s">
        <v>135</v>
      </c>
      <c r="AE595" t="s">
        <v>135</v>
      </c>
      <c r="AF595" t="s">
        <v>135</v>
      </c>
      <c r="AG595" t="s">
        <v>135</v>
      </c>
      <c r="AH595" t="s">
        <v>135</v>
      </c>
      <c r="AI595" t="s">
        <v>135</v>
      </c>
      <c r="AJ595" t="s">
        <v>135</v>
      </c>
      <c r="AK595" t="s">
        <v>135</v>
      </c>
      <c r="AL595" t="s">
        <v>135</v>
      </c>
      <c r="AM595" t="s">
        <v>135</v>
      </c>
      <c r="AN595" t="s">
        <v>135</v>
      </c>
      <c r="AO595" t="s">
        <v>135</v>
      </c>
      <c r="AP595" t="s">
        <v>135</v>
      </c>
      <c r="AQ595" t="s">
        <v>135</v>
      </c>
      <c r="AR595" t="s">
        <v>135</v>
      </c>
      <c r="AS595" t="s">
        <v>135</v>
      </c>
      <c r="AT595" t="s">
        <v>135</v>
      </c>
      <c r="AU595" t="s">
        <v>135</v>
      </c>
      <c r="AV595" t="s">
        <v>135</v>
      </c>
      <c r="AW595" t="s">
        <v>135</v>
      </c>
      <c r="AX595" t="s">
        <v>135</v>
      </c>
      <c r="AY595" t="s">
        <v>135</v>
      </c>
      <c r="AZ595" t="s">
        <v>135</v>
      </c>
      <c r="BA595" t="s">
        <v>135</v>
      </c>
      <c r="BB595" t="s">
        <v>135</v>
      </c>
      <c r="BC595" t="s">
        <v>135</v>
      </c>
      <c r="BD595" t="s">
        <v>135</v>
      </c>
      <c r="BE595" t="s">
        <v>135</v>
      </c>
      <c r="BF595" t="s">
        <v>135</v>
      </c>
      <c r="BG595" t="s">
        <v>135</v>
      </c>
      <c r="BH595" t="s">
        <v>135</v>
      </c>
      <c r="BI595" t="s">
        <v>135</v>
      </c>
      <c r="BJ595" t="s">
        <v>135</v>
      </c>
      <c r="BK595" t="s">
        <v>135</v>
      </c>
      <c r="BL595" t="s">
        <v>135</v>
      </c>
      <c r="BM595" t="s">
        <v>135</v>
      </c>
      <c r="BN595" t="s">
        <v>135</v>
      </c>
      <c r="BO595" t="s">
        <v>135</v>
      </c>
      <c r="BP595" t="s">
        <v>135</v>
      </c>
      <c r="BQ595" t="s">
        <v>135</v>
      </c>
      <c r="BR595" t="s">
        <v>135</v>
      </c>
      <c r="BS595" t="s">
        <v>135</v>
      </c>
      <c r="BT595" t="s">
        <v>135</v>
      </c>
      <c r="BU595" t="s">
        <v>135</v>
      </c>
      <c r="BV595" t="s">
        <v>135</v>
      </c>
      <c r="BW595" t="s">
        <v>135</v>
      </c>
      <c r="BX595" t="s">
        <v>135</v>
      </c>
      <c r="BY595" t="s">
        <v>135</v>
      </c>
      <c r="BZ595" t="s">
        <v>135</v>
      </c>
      <c r="CA595" t="s">
        <v>135</v>
      </c>
      <c r="CB595" t="s">
        <v>135</v>
      </c>
      <c r="CC595" t="s">
        <v>135</v>
      </c>
      <c r="CD595" t="s">
        <v>135</v>
      </c>
      <c r="CE595" t="s">
        <v>135</v>
      </c>
      <c r="CF595" t="s">
        <v>135</v>
      </c>
      <c r="CG595" t="s">
        <v>135</v>
      </c>
      <c r="CH595" t="s">
        <v>135</v>
      </c>
      <c r="CI595" t="s">
        <v>135</v>
      </c>
      <c r="CJ595" t="s">
        <v>135</v>
      </c>
      <c r="CK595" t="s">
        <v>135</v>
      </c>
      <c r="CL595" t="s">
        <v>135</v>
      </c>
      <c r="CM595" t="s">
        <v>135</v>
      </c>
      <c r="CN595" t="s">
        <v>135</v>
      </c>
      <c r="CO595" t="s">
        <v>135</v>
      </c>
      <c r="CP595" t="s">
        <v>135</v>
      </c>
      <c r="CQ595" t="s">
        <v>135</v>
      </c>
      <c r="CR595" t="s">
        <v>135</v>
      </c>
      <c r="CS595" t="s">
        <v>135</v>
      </c>
      <c r="CT595" t="s">
        <v>135</v>
      </c>
      <c r="CU595" t="s">
        <v>135</v>
      </c>
      <c r="CV595">
        <v>5.7016999999999998</v>
      </c>
      <c r="CW595" t="s">
        <v>135</v>
      </c>
      <c r="CX595" t="s">
        <v>135</v>
      </c>
      <c r="CY595" t="s">
        <v>135</v>
      </c>
      <c r="CZ595" t="s">
        <v>135</v>
      </c>
      <c r="DA595" t="s">
        <v>135</v>
      </c>
      <c r="DB595" t="s">
        <v>135</v>
      </c>
      <c r="DC595" t="s">
        <v>135</v>
      </c>
      <c r="DD595" t="s">
        <v>135</v>
      </c>
      <c r="DE595" t="s">
        <v>135</v>
      </c>
      <c r="DF595" t="s">
        <v>135</v>
      </c>
      <c r="DG595" t="s">
        <v>135</v>
      </c>
      <c r="DH595" t="s">
        <v>135</v>
      </c>
      <c r="DI595" t="s">
        <v>135</v>
      </c>
    </row>
    <row r="596" spans="1:113" x14ac:dyDescent="0.3">
      <c r="E596" t="s">
        <v>80</v>
      </c>
      <c r="F596">
        <v>17.6005</v>
      </c>
      <c r="G596">
        <v>11.4659</v>
      </c>
      <c r="H596" t="s">
        <v>135</v>
      </c>
      <c r="I596" t="s">
        <v>135</v>
      </c>
      <c r="J596">
        <v>20.367000000000001</v>
      </c>
      <c r="K596">
        <v>16.4132</v>
      </c>
      <c r="L596" t="s">
        <v>135</v>
      </c>
      <c r="M596">
        <v>20.153700000000001</v>
      </c>
      <c r="N596">
        <v>15.4488</v>
      </c>
      <c r="O596">
        <v>15.4108</v>
      </c>
      <c r="P596">
        <v>15.4108</v>
      </c>
      <c r="Q596">
        <v>23.345199999999998</v>
      </c>
      <c r="R596" t="s">
        <v>135</v>
      </c>
      <c r="S596" t="s">
        <v>135</v>
      </c>
      <c r="T596">
        <v>6.4329000000000001</v>
      </c>
      <c r="U596">
        <v>4.4627999999999997</v>
      </c>
      <c r="V596">
        <v>-1.9936</v>
      </c>
      <c r="W596">
        <v>-5.6998999999999995</v>
      </c>
      <c r="X596">
        <v>-4.1849999999999996</v>
      </c>
      <c r="Y596" t="s">
        <v>135</v>
      </c>
      <c r="Z596">
        <v>7.4189999999999996</v>
      </c>
      <c r="AA596">
        <v>-7.8425000000000002</v>
      </c>
      <c r="AB596">
        <v>22.667400000000001</v>
      </c>
      <c r="AC596">
        <v>17.999099999999999</v>
      </c>
      <c r="AD596">
        <v>6.5419999999999998</v>
      </c>
      <c r="AE596">
        <v>-9.2555999999999994</v>
      </c>
      <c r="AF596" t="s">
        <v>135</v>
      </c>
      <c r="AG596">
        <v>67.249499999999998</v>
      </c>
      <c r="AH596">
        <v>59.6357</v>
      </c>
      <c r="AI596">
        <v>10.8421</v>
      </c>
      <c r="AJ596">
        <v>19.427900000000001</v>
      </c>
      <c r="AK596">
        <v>12.5983</v>
      </c>
      <c r="AL596">
        <v>12.0077</v>
      </c>
      <c r="AM596">
        <v>7.5724</v>
      </c>
      <c r="AN596">
        <v>9.6508000000000003</v>
      </c>
      <c r="AO596">
        <v>7.7805</v>
      </c>
      <c r="AP596">
        <v>8.5146999999999995</v>
      </c>
      <c r="AQ596">
        <v>9.1814</v>
      </c>
      <c r="AR596" t="s">
        <v>135</v>
      </c>
      <c r="AS596">
        <v>4.4935999999999998</v>
      </c>
      <c r="AT596">
        <v>-12.817399999999999</v>
      </c>
      <c r="AU596">
        <v>3.3260999999999998</v>
      </c>
      <c r="AV596">
        <v>13.0943</v>
      </c>
      <c r="AW596">
        <v>3.0266999999999999</v>
      </c>
      <c r="AX596">
        <v>14.606299999999999</v>
      </c>
      <c r="AY596" t="s">
        <v>135</v>
      </c>
      <c r="AZ596">
        <v>31.733899999999998</v>
      </c>
      <c r="BA596">
        <v>21.4953</v>
      </c>
      <c r="BB596">
        <v>13.0406</v>
      </c>
      <c r="BC596">
        <v>14.7232</v>
      </c>
      <c r="BD596">
        <v>13.249000000000001</v>
      </c>
      <c r="BE596">
        <v>20.600100000000001</v>
      </c>
      <c r="BF596">
        <v>-1.5039</v>
      </c>
      <c r="BG596" t="s">
        <v>135</v>
      </c>
      <c r="BH596" t="s">
        <v>135</v>
      </c>
      <c r="BI596">
        <v>1.8837000000000002</v>
      </c>
      <c r="BJ596">
        <v>1.9929999999999999</v>
      </c>
      <c r="BK596" t="s">
        <v>135</v>
      </c>
      <c r="BL596" t="s">
        <v>135</v>
      </c>
      <c r="BM596" t="s">
        <v>135</v>
      </c>
      <c r="BN596" t="s">
        <v>135</v>
      </c>
      <c r="BO596" t="s">
        <v>135</v>
      </c>
      <c r="BP596" t="s">
        <v>135</v>
      </c>
      <c r="BQ596" t="s">
        <v>135</v>
      </c>
      <c r="BR596" t="s">
        <v>135</v>
      </c>
      <c r="BS596" t="s">
        <v>135</v>
      </c>
      <c r="BT596" t="s">
        <v>135</v>
      </c>
      <c r="BU596" t="s">
        <v>135</v>
      </c>
      <c r="BV596" t="s">
        <v>135</v>
      </c>
      <c r="BW596" t="s">
        <v>135</v>
      </c>
      <c r="BX596" t="s">
        <v>135</v>
      </c>
      <c r="BY596">
        <v>156328</v>
      </c>
      <c r="BZ596">
        <v>136310</v>
      </c>
      <c r="CA596">
        <v>20018</v>
      </c>
      <c r="CB596" t="s">
        <v>135</v>
      </c>
      <c r="CC596" t="s">
        <v>135</v>
      </c>
      <c r="CD596" t="s">
        <v>135</v>
      </c>
      <c r="CE596" t="s">
        <v>135</v>
      </c>
      <c r="CF596">
        <v>73.170599999999993</v>
      </c>
      <c r="CG596">
        <v>63.258899999999997</v>
      </c>
      <c r="CH596">
        <v>3.9379999999999997</v>
      </c>
      <c r="CI596">
        <v>3.0118</v>
      </c>
      <c r="CJ596">
        <v>2.5032999999999999</v>
      </c>
      <c r="CK596">
        <v>30.753599999999999</v>
      </c>
      <c r="CL596">
        <v>23.520299999999999</v>
      </c>
      <c r="CM596">
        <v>19.549099999999999</v>
      </c>
      <c r="CN596">
        <v>-34.4711</v>
      </c>
      <c r="CO596">
        <v>-52.604500000000002</v>
      </c>
      <c r="CP596">
        <v>27878</v>
      </c>
      <c r="CQ596">
        <v>22802</v>
      </c>
      <c r="CR596">
        <v>22466</v>
      </c>
      <c r="CS596">
        <v>1.3392999999999999</v>
      </c>
      <c r="CT596">
        <v>2.1671999999999998</v>
      </c>
      <c r="CU596">
        <v>1.7730000000000001</v>
      </c>
      <c r="CV596" t="s">
        <v>135</v>
      </c>
      <c r="CW596">
        <v>5.2877000000000001</v>
      </c>
      <c r="CX596">
        <v>69.216999999999999</v>
      </c>
      <c r="CY596" t="s">
        <v>135</v>
      </c>
      <c r="CZ596" t="s">
        <v>135</v>
      </c>
      <c r="DA596" t="s">
        <v>135</v>
      </c>
      <c r="DB596" t="s">
        <v>135</v>
      </c>
      <c r="DC596" t="s">
        <v>135</v>
      </c>
      <c r="DD596" t="s">
        <v>135</v>
      </c>
      <c r="DE596">
        <v>5617</v>
      </c>
      <c r="DF596">
        <v>1</v>
      </c>
      <c r="DG596">
        <v>0</v>
      </c>
      <c r="DH596">
        <v>4753</v>
      </c>
      <c r="DI596">
        <v>863</v>
      </c>
    </row>
    <row r="597" spans="1:113" x14ac:dyDescent="0.3">
      <c r="E597" t="s">
        <v>81</v>
      </c>
      <c r="F597">
        <v>17.2361</v>
      </c>
      <c r="G597">
        <v>11.193099999999999</v>
      </c>
      <c r="H597" t="s">
        <v>135</v>
      </c>
      <c r="I597" t="s">
        <v>135</v>
      </c>
      <c r="J597">
        <v>23.066299999999998</v>
      </c>
      <c r="K597">
        <v>17.217500000000001</v>
      </c>
      <c r="L597">
        <v>10.7294</v>
      </c>
      <c r="M597">
        <v>21.026599999999998</v>
      </c>
      <c r="N597">
        <v>16.206600000000002</v>
      </c>
      <c r="O597">
        <v>16.165099999999999</v>
      </c>
      <c r="P597">
        <v>16.165099999999999</v>
      </c>
      <c r="Q597">
        <v>22.923400000000001</v>
      </c>
      <c r="R597" t="s">
        <v>135</v>
      </c>
      <c r="S597" t="s">
        <v>135</v>
      </c>
      <c r="T597">
        <v>2.6048</v>
      </c>
      <c r="U597">
        <v>15.203900000000001</v>
      </c>
      <c r="V597">
        <v>1.6074999999999999</v>
      </c>
      <c r="W597">
        <v>1.0322</v>
      </c>
      <c r="X597">
        <v>2.5303</v>
      </c>
      <c r="Y597" t="s">
        <v>135</v>
      </c>
      <c r="Z597">
        <v>-4.7865000000000002</v>
      </c>
      <c r="AA597">
        <v>-27.365500000000001</v>
      </c>
      <c r="AB597">
        <v>7.4546999999999999</v>
      </c>
      <c r="AC597">
        <v>9.6012000000000004</v>
      </c>
      <c r="AD597">
        <v>-7.6608999999999998</v>
      </c>
      <c r="AE597">
        <v>8.8267000000000007</v>
      </c>
      <c r="AF597">
        <v>2.1299999999999999E-2</v>
      </c>
      <c r="AG597">
        <v>13.8522</v>
      </c>
      <c r="AH597">
        <v>13.7285</v>
      </c>
      <c r="AI597">
        <v>11.834199999999999</v>
      </c>
      <c r="AJ597">
        <v>12.234500000000001</v>
      </c>
      <c r="AK597">
        <v>13.6838</v>
      </c>
      <c r="AL597">
        <v>18.683800000000002</v>
      </c>
      <c r="AM597">
        <v>10.5932</v>
      </c>
      <c r="AN597">
        <v>12.411300000000001</v>
      </c>
      <c r="AO597">
        <v>9.4887999999999995</v>
      </c>
      <c r="AP597">
        <v>8.8325999999999993</v>
      </c>
      <c r="AQ597">
        <v>9.0986999999999991</v>
      </c>
      <c r="AR597" t="s">
        <v>135</v>
      </c>
      <c r="AS597" t="s">
        <v>135</v>
      </c>
      <c r="AT597">
        <v>-18.157599999999999</v>
      </c>
      <c r="AU597">
        <v>3.4215</v>
      </c>
      <c r="AV597">
        <v>12.7233</v>
      </c>
      <c r="AW597" t="s">
        <v>135</v>
      </c>
      <c r="AX597">
        <v>14.7034</v>
      </c>
      <c r="AY597" t="s">
        <v>135</v>
      </c>
      <c r="AZ597">
        <v>27.498699999999999</v>
      </c>
      <c r="BA597">
        <v>19.289100000000001</v>
      </c>
      <c r="BB597">
        <v>12.804600000000001</v>
      </c>
      <c r="BC597">
        <v>14.020799999999999</v>
      </c>
      <c r="BD597">
        <v>13.025499999999999</v>
      </c>
      <c r="BE597">
        <v>7.8037000000000001</v>
      </c>
      <c r="BF597">
        <v>2.1894999999999998</v>
      </c>
      <c r="BG597">
        <v>15.7287</v>
      </c>
      <c r="BH597">
        <v>7.1832000000000003</v>
      </c>
      <c r="BI597">
        <v>7.1814999999999998</v>
      </c>
      <c r="BJ597">
        <v>114.2529</v>
      </c>
      <c r="BK597" t="s">
        <v>135</v>
      </c>
      <c r="BL597" t="s">
        <v>135</v>
      </c>
      <c r="BM597" t="s">
        <v>135</v>
      </c>
      <c r="BN597" t="s">
        <v>135</v>
      </c>
      <c r="BO597" t="s">
        <v>135</v>
      </c>
      <c r="BP597" t="s">
        <v>135</v>
      </c>
      <c r="BQ597" t="s">
        <v>135</v>
      </c>
      <c r="BR597" t="s">
        <v>135</v>
      </c>
      <c r="BS597" t="s">
        <v>135</v>
      </c>
      <c r="BT597" t="s">
        <v>135</v>
      </c>
      <c r="BU597" t="s">
        <v>135</v>
      </c>
      <c r="BV597" t="s">
        <v>135</v>
      </c>
      <c r="BW597" t="s">
        <v>135</v>
      </c>
      <c r="BX597" t="s">
        <v>135</v>
      </c>
      <c r="BY597">
        <v>142412</v>
      </c>
      <c r="BZ597">
        <v>122801</v>
      </c>
      <c r="CA597">
        <v>19611</v>
      </c>
      <c r="CB597" t="s">
        <v>135</v>
      </c>
      <c r="CC597" t="s">
        <v>135</v>
      </c>
      <c r="CD597" t="s">
        <v>135</v>
      </c>
      <c r="CE597" t="s">
        <v>135</v>
      </c>
      <c r="CF597">
        <v>55.627600000000001</v>
      </c>
      <c r="CG597">
        <v>65.569400000000002</v>
      </c>
      <c r="CH597">
        <v>3.7519</v>
      </c>
      <c r="CI597">
        <v>2.9485000000000001</v>
      </c>
      <c r="CJ597">
        <v>2.4714</v>
      </c>
      <c r="CK597">
        <v>27.245699999999999</v>
      </c>
      <c r="CL597">
        <v>21.411899999999999</v>
      </c>
      <c r="CM597">
        <v>17.946999999999999</v>
      </c>
      <c r="CN597">
        <v>-38.708599999999997</v>
      </c>
      <c r="CO597">
        <v>-63.155099999999997</v>
      </c>
      <c r="CP597">
        <v>32264</v>
      </c>
      <c r="CQ597">
        <v>28119</v>
      </c>
      <c r="CR597">
        <v>24083</v>
      </c>
      <c r="CS597">
        <v>1.5019</v>
      </c>
      <c r="CT597">
        <v>2.3477000000000001</v>
      </c>
      <c r="CU597">
        <v>1.915</v>
      </c>
      <c r="CV597">
        <v>5.6993999999999998</v>
      </c>
      <c r="CW597">
        <v>5.6742999999999997</v>
      </c>
      <c r="CX597">
        <v>64.325000000000003</v>
      </c>
      <c r="CY597" t="s">
        <v>135</v>
      </c>
      <c r="CZ597" t="s">
        <v>135</v>
      </c>
      <c r="DA597" t="s">
        <v>135</v>
      </c>
      <c r="DB597" t="s">
        <v>135</v>
      </c>
      <c r="DC597" t="s">
        <v>135</v>
      </c>
      <c r="DD597" t="s">
        <v>135</v>
      </c>
      <c r="DE597">
        <v>3915</v>
      </c>
      <c r="DF597">
        <v>1</v>
      </c>
      <c r="DG597">
        <v>0</v>
      </c>
      <c r="DH597">
        <v>3106</v>
      </c>
      <c r="DI597">
        <v>808</v>
      </c>
    </row>
    <row r="598" spans="1:113" x14ac:dyDescent="0.3">
      <c r="D598" t="s">
        <v>85</v>
      </c>
      <c r="E598" t="s">
        <v>77</v>
      </c>
      <c r="F598">
        <v>15.964499999999999</v>
      </c>
      <c r="G598">
        <v>10.305400000000001</v>
      </c>
      <c r="H598">
        <v>12.847099999999999</v>
      </c>
      <c r="I598">
        <v>9.673</v>
      </c>
      <c r="J598">
        <v>19.074200000000001</v>
      </c>
      <c r="K598">
        <v>15.1974</v>
      </c>
      <c r="L598">
        <v>-122.69029999999999</v>
      </c>
      <c r="M598">
        <v>18.806999999999999</v>
      </c>
      <c r="N598">
        <v>14.697800000000001</v>
      </c>
      <c r="O598">
        <v>14.6972</v>
      </c>
      <c r="P598">
        <v>14.6972</v>
      </c>
      <c r="Q598">
        <v>21.849399999999999</v>
      </c>
      <c r="R598">
        <v>5.649</v>
      </c>
      <c r="S598">
        <v>15.0626</v>
      </c>
      <c r="T598">
        <v>-1.0048999999999999</v>
      </c>
      <c r="U598">
        <v>-7.7808999999999999</v>
      </c>
      <c r="V598">
        <v>-7.5743</v>
      </c>
      <c r="W598">
        <v>-5.6704999999999997</v>
      </c>
      <c r="X598">
        <v>-3.4146000000000001</v>
      </c>
      <c r="Y598">
        <v>0</v>
      </c>
      <c r="Z598">
        <v>6.4779</v>
      </c>
      <c r="AA598">
        <v>-13.9208</v>
      </c>
      <c r="AB598">
        <v>-7.6668000000000003</v>
      </c>
      <c r="AC598">
        <v>-4.1431000000000004</v>
      </c>
      <c r="AD598">
        <v>6.1679000000000004</v>
      </c>
      <c r="AE598">
        <v>-5.4002999999999997</v>
      </c>
      <c r="AF598">
        <v>4.0678999999999998</v>
      </c>
      <c r="AG598">
        <v>-24.274999999999999</v>
      </c>
      <c r="AH598">
        <v>-2.9161999999999999</v>
      </c>
      <c r="AI598">
        <v>-7.1455000000000002</v>
      </c>
      <c r="AJ598">
        <v>-6.2399000000000004</v>
      </c>
      <c r="AK598">
        <v>-0.24660000000000001</v>
      </c>
      <c r="AL598">
        <v>-11.1767</v>
      </c>
      <c r="AM598">
        <v>7.8014999999999999</v>
      </c>
      <c r="AN598">
        <v>5.859</v>
      </c>
      <c r="AO598">
        <v>4.2196999999999996</v>
      </c>
      <c r="AP598">
        <v>3.8307000000000002</v>
      </c>
      <c r="AQ598">
        <v>4.5236000000000001</v>
      </c>
      <c r="AR598">
        <v>-22.1629</v>
      </c>
      <c r="AS598" t="s">
        <v>135</v>
      </c>
      <c r="AT598">
        <v>0.64739999999999998</v>
      </c>
      <c r="AU598">
        <v>4.9866000000000001</v>
      </c>
      <c r="AV598">
        <v>11.5831</v>
      </c>
      <c r="AW598" t="s">
        <v>135</v>
      </c>
      <c r="AX598">
        <v>12.4635</v>
      </c>
      <c r="AY598" t="s">
        <v>135</v>
      </c>
      <c r="AZ598">
        <v>8.1115999999999993</v>
      </c>
      <c r="BA598">
        <v>16.722000000000001</v>
      </c>
      <c r="BB598">
        <v>11.2363</v>
      </c>
      <c r="BC598">
        <v>12.3225</v>
      </c>
      <c r="BD598">
        <v>13.1274</v>
      </c>
      <c r="BE598">
        <v>4.4176000000000002</v>
      </c>
      <c r="BF598">
        <v>-1.0048999999999999</v>
      </c>
      <c r="BG598">
        <v>-7.7808999999999999</v>
      </c>
      <c r="BH598">
        <v>-7.5743</v>
      </c>
      <c r="BI598">
        <v>-5.6704999999999997</v>
      </c>
      <c r="BJ598">
        <v>-3.4146000000000001</v>
      </c>
      <c r="BK598">
        <v>0</v>
      </c>
      <c r="BL598">
        <v>6.4779</v>
      </c>
      <c r="BM598">
        <v>-13.9208</v>
      </c>
      <c r="BN598">
        <v>-7.6668000000000003</v>
      </c>
      <c r="BO598">
        <v>-4.1431000000000004</v>
      </c>
      <c r="BP598">
        <v>6.1679000000000004</v>
      </c>
      <c r="BQ598">
        <v>-5.4002999999999997</v>
      </c>
      <c r="BR598">
        <v>4.0678999999999998</v>
      </c>
      <c r="BS598">
        <v>-24.274999999999999</v>
      </c>
      <c r="BT598">
        <v>-2.9161999999999999</v>
      </c>
      <c r="BU598">
        <v>-7.1455000000000002</v>
      </c>
      <c r="BV598">
        <v>-6.2399000000000004</v>
      </c>
      <c r="BW598">
        <v>-0.24660000000000001</v>
      </c>
      <c r="BX598">
        <v>-11.1767</v>
      </c>
      <c r="BY598">
        <v>138259</v>
      </c>
      <c r="BZ598">
        <v>92991</v>
      </c>
      <c r="CA598">
        <v>45268</v>
      </c>
      <c r="CB598">
        <v>1.3303</v>
      </c>
      <c r="CC598">
        <v>-1.4986999999999999</v>
      </c>
      <c r="CD598">
        <v>1.6697</v>
      </c>
      <c r="CE598">
        <v>-1.881</v>
      </c>
      <c r="CF598">
        <v>30.1159</v>
      </c>
      <c r="CG598">
        <v>63.490699999999997</v>
      </c>
      <c r="CH598">
        <v>9.327</v>
      </c>
      <c r="CI598">
        <v>7.2591000000000001</v>
      </c>
      <c r="CJ598">
        <v>5.9512999999999998</v>
      </c>
      <c r="CK598">
        <v>28.486699999999999</v>
      </c>
      <c r="CL598">
        <v>22.1709</v>
      </c>
      <c r="CM598">
        <v>18.1767</v>
      </c>
      <c r="CN598">
        <v>-32.092599999999997</v>
      </c>
      <c r="CO598">
        <v>-47.259300000000003</v>
      </c>
      <c r="CP598">
        <v>103930</v>
      </c>
      <c r="CQ598">
        <v>82060</v>
      </c>
      <c r="CR598">
        <v>82806</v>
      </c>
      <c r="CS598">
        <v>1.3771</v>
      </c>
      <c r="CT598">
        <v>2.3706999999999998</v>
      </c>
      <c r="CU598">
        <v>1.8500999999999999</v>
      </c>
      <c r="CV598">
        <v>5.6584000000000003</v>
      </c>
      <c r="CW598">
        <v>5.5646000000000004</v>
      </c>
      <c r="CX598">
        <v>65.593599999999995</v>
      </c>
      <c r="CY598">
        <v>105.8545</v>
      </c>
      <c r="CZ598">
        <v>3.4481000000000002</v>
      </c>
      <c r="DA598">
        <v>16.090499999999999</v>
      </c>
      <c r="DB598">
        <v>22.684200000000001</v>
      </c>
      <c r="DC598">
        <v>46.357599999999998</v>
      </c>
      <c r="DD598">
        <v>69.041799999999995</v>
      </c>
      <c r="DE598">
        <v>3370</v>
      </c>
      <c r="DF598">
        <v>0</v>
      </c>
      <c r="DG598">
        <v>0</v>
      </c>
      <c r="DH598">
        <v>2601</v>
      </c>
      <c r="DI598">
        <v>769</v>
      </c>
    </row>
    <row r="599" spans="1:113" x14ac:dyDescent="0.3">
      <c r="E599" t="s">
        <v>78</v>
      </c>
      <c r="F599">
        <v>16.538599999999999</v>
      </c>
      <c r="G599">
        <v>10.756499999999999</v>
      </c>
      <c r="H599" t="s">
        <v>135</v>
      </c>
      <c r="I599" t="s">
        <v>135</v>
      </c>
      <c r="J599">
        <v>19.5823</v>
      </c>
      <c r="K599">
        <v>15.954700000000001</v>
      </c>
      <c r="L599" t="s">
        <v>135</v>
      </c>
      <c r="M599">
        <v>19.6813</v>
      </c>
      <c r="N599">
        <v>15.282399999999999</v>
      </c>
      <c r="O599">
        <v>15.239100000000001</v>
      </c>
      <c r="P599">
        <v>15.239100000000001</v>
      </c>
      <c r="Q599">
        <v>22.3507</v>
      </c>
      <c r="R599" t="s">
        <v>135</v>
      </c>
      <c r="S599" t="s">
        <v>135</v>
      </c>
      <c r="T599">
        <v>0.1978</v>
      </c>
      <c r="U599">
        <v>0.58430000000000004</v>
      </c>
      <c r="V599">
        <v>-0.56259999999999999</v>
      </c>
      <c r="W599">
        <v>1.2038</v>
      </c>
      <c r="X599">
        <v>2.7610999999999999</v>
      </c>
      <c r="Y599" t="s">
        <v>135</v>
      </c>
      <c r="Z599">
        <v>-4.0343999999999998</v>
      </c>
      <c r="AA599">
        <v>-46.792699999999996</v>
      </c>
      <c r="AB599">
        <v>7.4315999999999995</v>
      </c>
      <c r="AC599">
        <v>10.2887</v>
      </c>
      <c r="AD599">
        <v>-6.5772000000000004</v>
      </c>
      <c r="AE599">
        <v>8.0172000000000008</v>
      </c>
      <c r="AF599" t="s">
        <v>135</v>
      </c>
      <c r="AG599">
        <v>2.0377999999999998</v>
      </c>
      <c r="AH599">
        <v>13.626799999999999</v>
      </c>
      <c r="AI599">
        <v>10.481299999999999</v>
      </c>
      <c r="AJ599">
        <v>11.133800000000001</v>
      </c>
      <c r="AK599">
        <v>12.2158</v>
      </c>
      <c r="AL599">
        <v>97.799599999999998</v>
      </c>
      <c r="AM599">
        <v>5.9241999999999999</v>
      </c>
      <c r="AN599">
        <v>6.7653999999999996</v>
      </c>
      <c r="AO599">
        <v>5.5690999999999997</v>
      </c>
      <c r="AP599">
        <v>6.1774000000000004</v>
      </c>
      <c r="AQ599">
        <v>5.6544999999999996</v>
      </c>
      <c r="AR599" t="s">
        <v>135</v>
      </c>
      <c r="AS599">
        <v>2.7149000000000001</v>
      </c>
      <c r="AT599">
        <v>-21.9847</v>
      </c>
      <c r="AU599">
        <v>3.4613</v>
      </c>
      <c r="AV599">
        <v>12.079599999999999</v>
      </c>
      <c r="AW599">
        <v>0.7732</v>
      </c>
      <c r="AX599">
        <v>17.694900000000001</v>
      </c>
      <c r="AY599" t="s">
        <v>135</v>
      </c>
      <c r="AZ599">
        <v>12.4696</v>
      </c>
      <c r="BA599">
        <v>18.018899999999999</v>
      </c>
      <c r="BB599">
        <v>12.2669</v>
      </c>
      <c r="BC599">
        <v>13.350300000000001</v>
      </c>
      <c r="BD599">
        <v>12.5345</v>
      </c>
      <c r="BE599">
        <v>21.418099999999999</v>
      </c>
      <c r="BF599">
        <v>-2.5836999999999999</v>
      </c>
      <c r="BG599">
        <v>-17.297899999999998</v>
      </c>
      <c r="BH599">
        <v>-9.7288999999999994</v>
      </c>
      <c r="BI599">
        <v>-8.1641999999999992</v>
      </c>
      <c r="BJ599">
        <v>-8.1545000000000005</v>
      </c>
      <c r="BK599" t="s">
        <v>135</v>
      </c>
      <c r="BL599">
        <v>3.2768999999999999</v>
      </c>
      <c r="BM599">
        <v>-12.286099999999999</v>
      </c>
      <c r="BN599">
        <v>1.7608999999999999</v>
      </c>
      <c r="BO599">
        <v>4.6726999999999999</v>
      </c>
      <c r="BP599">
        <v>34.629300000000001</v>
      </c>
      <c r="BQ599">
        <v>6.9693000000000005</v>
      </c>
      <c r="BR599" t="s">
        <v>135</v>
      </c>
      <c r="BS599">
        <v>-7.4013999999999998</v>
      </c>
      <c r="BT599">
        <v>2.6592000000000002</v>
      </c>
      <c r="BU599">
        <v>3.9142999999999999</v>
      </c>
      <c r="BV599">
        <v>3.6456</v>
      </c>
      <c r="BW599">
        <v>3.8302</v>
      </c>
      <c r="BX599">
        <v>14.2409</v>
      </c>
      <c r="BY599">
        <v>146199</v>
      </c>
      <c r="BZ599">
        <v>113712</v>
      </c>
      <c r="CA599">
        <v>32487</v>
      </c>
      <c r="CB599" t="s">
        <v>135</v>
      </c>
      <c r="CC599" t="s">
        <v>135</v>
      </c>
      <c r="CD599" t="s">
        <v>135</v>
      </c>
      <c r="CE599" t="s">
        <v>135</v>
      </c>
      <c r="CF599">
        <v>38.337600000000002</v>
      </c>
      <c r="CG599">
        <v>65.099800000000002</v>
      </c>
      <c r="CH599">
        <v>5.9812000000000003</v>
      </c>
      <c r="CI599">
        <v>4.7126999999999999</v>
      </c>
      <c r="CJ599">
        <v>3.9112999999999998</v>
      </c>
      <c r="CK599">
        <v>26.916599999999999</v>
      </c>
      <c r="CL599">
        <v>21.208100000000002</v>
      </c>
      <c r="CM599">
        <v>17.601700000000001</v>
      </c>
      <c r="CN599">
        <v>-41.578600000000002</v>
      </c>
      <c r="CO599">
        <v>-71.17</v>
      </c>
      <c r="CP599">
        <v>26683</v>
      </c>
      <c r="CQ599">
        <v>22476</v>
      </c>
      <c r="CR599">
        <v>21740</v>
      </c>
      <c r="CS599">
        <v>1.5874999999999999</v>
      </c>
      <c r="CT599">
        <v>2.4121000000000001</v>
      </c>
      <c r="CU599">
        <v>2.0055000000000001</v>
      </c>
      <c r="CV599">
        <v>5.0331999999999999</v>
      </c>
      <c r="CW599">
        <v>5.5190999999999999</v>
      </c>
      <c r="CX599">
        <v>66.133899999999997</v>
      </c>
      <c r="CY599" t="s">
        <v>135</v>
      </c>
      <c r="CZ599" t="s">
        <v>135</v>
      </c>
      <c r="DA599" t="s">
        <v>135</v>
      </c>
      <c r="DB599" t="s">
        <v>135</v>
      </c>
      <c r="DC599" t="s">
        <v>135</v>
      </c>
      <c r="DD599" t="s">
        <v>135</v>
      </c>
      <c r="DE599">
        <v>3434</v>
      </c>
      <c r="DF599">
        <v>1</v>
      </c>
      <c r="DG599">
        <v>0</v>
      </c>
      <c r="DH599">
        <v>2651</v>
      </c>
      <c r="DI599">
        <v>782</v>
      </c>
    </row>
    <row r="600" spans="1:113" x14ac:dyDescent="0.3">
      <c r="E600" t="s">
        <v>79</v>
      </c>
      <c r="F600" t="s">
        <v>135</v>
      </c>
      <c r="G600" t="s">
        <v>135</v>
      </c>
      <c r="H600" t="s">
        <v>135</v>
      </c>
      <c r="I600" t="s">
        <v>135</v>
      </c>
      <c r="J600">
        <v>20.7012</v>
      </c>
      <c r="K600">
        <v>16.827300000000001</v>
      </c>
      <c r="L600" t="s">
        <v>135</v>
      </c>
      <c r="M600">
        <v>21.098199999999999</v>
      </c>
      <c r="N600">
        <v>16.3111</v>
      </c>
      <c r="O600">
        <v>16.327500000000001</v>
      </c>
      <c r="P600">
        <v>16.327500000000001</v>
      </c>
      <c r="Q600">
        <v>22.689900000000002</v>
      </c>
      <c r="R600" t="s">
        <v>135</v>
      </c>
      <c r="S600" t="s">
        <v>135</v>
      </c>
      <c r="T600">
        <v>-3.4064999999999999</v>
      </c>
      <c r="U600" t="s">
        <v>135</v>
      </c>
      <c r="V600" t="s">
        <v>135</v>
      </c>
      <c r="W600">
        <v>5.8588000000000005</v>
      </c>
      <c r="X600">
        <v>5.9789000000000003</v>
      </c>
      <c r="Y600" t="s">
        <v>135</v>
      </c>
      <c r="Z600" t="s">
        <v>135</v>
      </c>
      <c r="AA600" t="s">
        <v>135</v>
      </c>
      <c r="AB600" t="s">
        <v>135</v>
      </c>
      <c r="AC600" t="s">
        <v>135</v>
      </c>
      <c r="AD600" t="s">
        <v>135</v>
      </c>
      <c r="AE600" t="s">
        <v>135</v>
      </c>
      <c r="AF600" t="s">
        <v>135</v>
      </c>
      <c r="AG600" t="s">
        <v>135</v>
      </c>
      <c r="AH600" t="s">
        <v>135</v>
      </c>
      <c r="AI600" t="s">
        <v>135</v>
      </c>
      <c r="AJ600" t="s">
        <v>135</v>
      </c>
      <c r="AK600" t="s">
        <v>135</v>
      </c>
      <c r="AL600" t="s">
        <v>135</v>
      </c>
      <c r="AM600">
        <v>3.9005000000000001</v>
      </c>
      <c r="AN600" t="s">
        <v>135</v>
      </c>
      <c r="AO600" t="s">
        <v>135</v>
      </c>
      <c r="AP600">
        <v>5.4444999999999997</v>
      </c>
      <c r="AQ600">
        <v>6.4450000000000003</v>
      </c>
      <c r="AR600" t="s">
        <v>135</v>
      </c>
      <c r="AS600" t="s">
        <v>135</v>
      </c>
      <c r="AT600" t="s">
        <v>135</v>
      </c>
      <c r="AU600" t="s">
        <v>135</v>
      </c>
      <c r="AV600" t="s">
        <v>135</v>
      </c>
      <c r="AW600" t="s">
        <v>135</v>
      </c>
      <c r="AX600" t="s">
        <v>135</v>
      </c>
      <c r="AY600" t="s">
        <v>135</v>
      </c>
      <c r="AZ600" t="s">
        <v>135</v>
      </c>
      <c r="BA600" t="s">
        <v>135</v>
      </c>
      <c r="BB600" t="s">
        <v>135</v>
      </c>
      <c r="BC600" t="s">
        <v>135</v>
      </c>
      <c r="BD600" t="s">
        <v>135</v>
      </c>
      <c r="BE600" t="s">
        <v>135</v>
      </c>
      <c r="BF600">
        <v>-1.4876</v>
      </c>
      <c r="BG600">
        <v>4.1411999999999995</v>
      </c>
      <c r="BH600">
        <v>3.9005999999999998</v>
      </c>
      <c r="BI600">
        <v>5.5477999999999996</v>
      </c>
      <c r="BJ600">
        <v>5.6074999999999999</v>
      </c>
      <c r="BK600" t="s">
        <v>135</v>
      </c>
      <c r="BL600">
        <v>1.9734</v>
      </c>
      <c r="BM600">
        <v>0.64070000000000005</v>
      </c>
      <c r="BN600">
        <v>1.0982000000000001</v>
      </c>
      <c r="BO600">
        <v>1.5211999999999999</v>
      </c>
      <c r="BP600">
        <v>1.9281999999999999</v>
      </c>
      <c r="BQ600">
        <v>4.7731000000000003</v>
      </c>
      <c r="BR600" t="s">
        <v>135</v>
      </c>
      <c r="BS600">
        <v>0.43790000000000001</v>
      </c>
      <c r="BT600">
        <v>-0.57250000000000001</v>
      </c>
      <c r="BU600">
        <v>4.0025000000000004</v>
      </c>
      <c r="BV600">
        <v>3.0323000000000002</v>
      </c>
      <c r="BW600">
        <v>4.0079000000000002</v>
      </c>
      <c r="BX600">
        <v>-38.117600000000003</v>
      </c>
      <c r="BY600">
        <v>145362</v>
      </c>
      <c r="BZ600">
        <v>114210</v>
      </c>
      <c r="CA600">
        <v>31152</v>
      </c>
      <c r="CB600">
        <v>1.2683</v>
      </c>
      <c r="CC600">
        <v>-2.0861999999999998</v>
      </c>
      <c r="CD600">
        <v>1.5994999999999999</v>
      </c>
      <c r="CE600">
        <v>-2.6310000000000002</v>
      </c>
      <c r="CF600">
        <v>39.193199999999997</v>
      </c>
      <c r="CG600">
        <v>66.701800000000006</v>
      </c>
      <c r="CH600">
        <v>5.5147000000000004</v>
      </c>
      <c r="CI600">
        <v>4.3860000000000001</v>
      </c>
      <c r="CJ600">
        <v>3.6943999999999999</v>
      </c>
      <c r="CK600">
        <v>25.732600000000001</v>
      </c>
      <c r="CL600">
        <v>20.466100000000001</v>
      </c>
      <c r="CM600">
        <v>17.238700000000001</v>
      </c>
      <c r="CN600">
        <v>-42.327500000000001</v>
      </c>
      <c r="CO600">
        <v>-73.392899999999997</v>
      </c>
      <c r="CP600">
        <v>27788</v>
      </c>
      <c r="CQ600">
        <v>22373</v>
      </c>
      <c r="CR600">
        <v>22588</v>
      </c>
      <c r="CS600">
        <v>1.6974</v>
      </c>
      <c r="CT600">
        <v>2.5306999999999999</v>
      </c>
      <c r="CU600">
        <v>2.1383999999999999</v>
      </c>
      <c r="CV600">
        <v>5.8292000000000002</v>
      </c>
      <c r="CW600" t="s">
        <v>135</v>
      </c>
      <c r="CX600" t="s">
        <v>135</v>
      </c>
      <c r="CY600" t="s">
        <v>135</v>
      </c>
      <c r="CZ600" t="s">
        <v>135</v>
      </c>
      <c r="DA600" t="s">
        <v>135</v>
      </c>
      <c r="DB600" t="s">
        <v>135</v>
      </c>
      <c r="DC600" t="s">
        <v>135</v>
      </c>
      <c r="DD600" t="s">
        <v>135</v>
      </c>
      <c r="DE600">
        <v>3456</v>
      </c>
      <c r="DF600">
        <v>0</v>
      </c>
      <c r="DG600">
        <v>0</v>
      </c>
      <c r="DH600">
        <v>2682</v>
      </c>
      <c r="DI600">
        <v>774</v>
      </c>
    </row>
    <row r="601" spans="1:113" x14ac:dyDescent="0.3">
      <c r="E601" t="s">
        <v>80</v>
      </c>
      <c r="F601" t="s">
        <v>135</v>
      </c>
      <c r="G601" t="s">
        <v>135</v>
      </c>
      <c r="H601" t="s">
        <v>135</v>
      </c>
      <c r="I601" t="s">
        <v>135</v>
      </c>
      <c r="J601">
        <v>18.2376</v>
      </c>
      <c r="K601">
        <v>14.3756</v>
      </c>
      <c r="L601">
        <v>-1499.4681</v>
      </c>
      <c r="M601">
        <v>18.080300000000001</v>
      </c>
      <c r="N601">
        <v>14.162699999999999</v>
      </c>
      <c r="O601">
        <v>14.1715</v>
      </c>
      <c r="P601">
        <v>14.1715</v>
      </c>
      <c r="Q601">
        <v>21.667899999999999</v>
      </c>
      <c r="R601" t="s">
        <v>135</v>
      </c>
      <c r="S601" t="s">
        <v>135</v>
      </c>
      <c r="T601">
        <v>-0.13730000000000001</v>
      </c>
      <c r="U601">
        <v>-10.5814</v>
      </c>
      <c r="V601">
        <v>-12.546200000000001</v>
      </c>
      <c r="W601">
        <v>-8.1768999999999998</v>
      </c>
      <c r="X601">
        <v>85.287400000000005</v>
      </c>
      <c r="Y601" t="s">
        <v>135</v>
      </c>
      <c r="Z601" t="s">
        <v>135</v>
      </c>
      <c r="AA601" t="s">
        <v>135</v>
      </c>
      <c r="AB601" t="s">
        <v>135</v>
      </c>
      <c r="AC601" t="s">
        <v>135</v>
      </c>
      <c r="AD601" t="s">
        <v>135</v>
      </c>
      <c r="AE601" t="s">
        <v>135</v>
      </c>
      <c r="AF601" t="s">
        <v>135</v>
      </c>
      <c r="AG601" t="s">
        <v>135</v>
      </c>
      <c r="AH601" t="s">
        <v>135</v>
      </c>
      <c r="AI601" t="s">
        <v>135</v>
      </c>
      <c r="AJ601" t="s">
        <v>135</v>
      </c>
      <c r="AK601" t="s">
        <v>135</v>
      </c>
      <c r="AL601" t="s">
        <v>135</v>
      </c>
      <c r="AM601">
        <v>7.5164</v>
      </c>
      <c r="AN601">
        <v>4.5003000000000002</v>
      </c>
      <c r="AO601">
        <v>2.6015000000000001</v>
      </c>
      <c r="AP601">
        <v>2.4487999999999999</v>
      </c>
      <c r="AQ601">
        <v>2.9191000000000003</v>
      </c>
      <c r="AR601" t="s">
        <v>135</v>
      </c>
      <c r="AS601" t="s">
        <v>135</v>
      </c>
      <c r="AT601" t="s">
        <v>135</v>
      </c>
      <c r="AU601" t="s">
        <v>135</v>
      </c>
      <c r="AV601" t="s">
        <v>135</v>
      </c>
      <c r="AW601" t="s">
        <v>135</v>
      </c>
      <c r="AX601" t="s">
        <v>135</v>
      </c>
      <c r="AY601" t="s">
        <v>135</v>
      </c>
      <c r="AZ601" t="s">
        <v>135</v>
      </c>
      <c r="BA601" t="s">
        <v>135</v>
      </c>
      <c r="BB601" t="s">
        <v>135</v>
      </c>
      <c r="BC601" t="s">
        <v>135</v>
      </c>
      <c r="BD601" t="s">
        <v>135</v>
      </c>
      <c r="BE601" t="s">
        <v>135</v>
      </c>
      <c r="BF601">
        <v>1.8296000000000001</v>
      </c>
      <c r="BG601">
        <v>-10.288600000000001</v>
      </c>
      <c r="BH601">
        <v>-13.0069</v>
      </c>
      <c r="BI601">
        <v>-11.6166</v>
      </c>
      <c r="BJ601">
        <v>-10.8407</v>
      </c>
      <c r="BK601" t="s">
        <v>135</v>
      </c>
      <c r="BL601">
        <v>0.11310000000000001</v>
      </c>
      <c r="BM601">
        <v>-20.949100000000001</v>
      </c>
      <c r="BN601">
        <v>0.1588</v>
      </c>
      <c r="BO601">
        <v>-12.065300000000001</v>
      </c>
      <c r="BP601">
        <v>-0.59119999999999995</v>
      </c>
      <c r="BQ601">
        <v>-26.305800000000001</v>
      </c>
      <c r="BR601" t="s">
        <v>135</v>
      </c>
      <c r="BS601">
        <v>-10.5481</v>
      </c>
      <c r="BT601">
        <v>-9.2403999999999993</v>
      </c>
      <c r="BU601">
        <v>-16.295100000000001</v>
      </c>
      <c r="BV601">
        <v>-14.8512</v>
      </c>
      <c r="BW601">
        <v>-10.0055</v>
      </c>
      <c r="BX601">
        <v>61.591999999999999</v>
      </c>
      <c r="BY601">
        <v>131930</v>
      </c>
      <c r="BZ601">
        <v>102163</v>
      </c>
      <c r="CA601">
        <v>29767</v>
      </c>
      <c r="CB601">
        <v>1.1815</v>
      </c>
      <c r="CC601">
        <v>-1.4097</v>
      </c>
      <c r="CD601">
        <v>1.4982</v>
      </c>
      <c r="CE601">
        <v>-1.7875999999999999</v>
      </c>
      <c r="CF601">
        <v>32.375300000000003</v>
      </c>
      <c r="CG601">
        <v>63.448300000000003</v>
      </c>
      <c r="CH601">
        <v>6.2953000000000001</v>
      </c>
      <c r="CI601">
        <v>4.9219999999999997</v>
      </c>
      <c r="CJ601">
        <v>4.0145</v>
      </c>
      <c r="CK601">
        <v>27.901299999999999</v>
      </c>
      <c r="CL601">
        <v>21.814699999999998</v>
      </c>
      <c r="CM601">
        <v>17.7925</v>
      </c>
      <c r="CN601">
        <v>-33.291699999999999</v>
      </c>
      <c r="CO601">
        <v>-49.906300000000002</v>
      </c>
      <c r="CP601">
        <v>24929</v>
      </c>
      <c r="CQ601">
        <v>19154</v>
      </c>
      <c r="CR601">
        <v>19650</v>
      </c>
      <c r="CS601">
        <v>1.3089999999999999</v>
      </c>
      <c r="CT601">
        <v>2.1558999999999999</v>
      </c>
      <c r="CU601">
        <v>1.7614000000000001</v>
      </c>
      <c r="CV601">
        <v>6.1334</v>
      </c>
      <c r="CW601" t="s">
        <v>135</v>
      </c>
      <c r="CX601" t="s">
        <v>135</v>
      </c>
      <c r="CY601" t="s">
        <v>135</v>
      </c>
      <c r="CZ601" t="s">
        <v>135</v>
      </c>
      <c r="DA601" t="s">
        <v>135</v>
      </c>
      <c r="DB601" t="s">
        <v>135</v>
      </c>
      <c r="DC601" t="s">
        <v>135</v>
      </c>
      <c r="DD601" t="s">
        <v>135</v>
      </c>
      <c r="DE601">
        <v>2732</v>
      </c>
      <c r="DF601">
        <v>0</v>
      </c>
      <c r="DG601">
        <v>0</v>
      </c>
      <c r="DH601">
        <v>1961</v>
      </c>
      <c r="DI601">
        <v>771</v>
      </c>
    </row>
    <row r="602" spans="1:113" x14ac:dyDescent="0.3">
      <c r="E602" t="s">
        <v>81</v>
      </c>
      <c r="F602">
        <v>15.964499999999999</v>
      </c>
      <c r="G602">
        <v>10.305400000000001</v>
      </c>
      <c r="H602">
        <v>12.822699999999999</v>
      </c>
      <c r="I602">
        <v>9.6744000000000003</v>
      </c>
      <c r="J602">
        <v>17.815899999999999</v>
      </c>
      <c r="K602">
        <v>13.6746</v>
      </c>
      <c r="L602">
        <v>-240.06399999999999</v>
      </c>
      <c r="M602">
        <v>16.429400000000001</v>
      </c>
      <c r="N602">
        <v>13.0776</v>
      </c>
      <c r="O602">
        <v>13.0936</v>
      </c>
      <c r="P602">
        <v>13.0936</v>
      </c>
      <c r="Q602">
        <v>20.401399999999999</v>
      </c>
      <c r="R602" t="s">
        <v>135</v>
      </c>
      <c r="S602" t="s">
        <v>135</v>
      </c>
      <c r="T602">
        <v>-1.5649999999999999</v>
      </c>
      <c r="U602">
        <v>-23.971</v>
      </c>
      <c r="V602">
        <v>-21.820399999999999</v>
      </c>
      <c r="W602">
        <v>-20.268899999999999</v>
      </c>
      <c r="X602">
        <v>-14.1631</v>
      </c>
      <c r="Y602" t="s">
        <v>135</v>
      </c>
      <c r="Z602">
        <v>6.4779</v>
      </c>
      <c r="AA602">
        <v>-13.9208</v>
      </c>
      <c r="AB602">
        <v>-7.6668000000000003</v>
      </c>
      <c r="AC602">
        <v>-4.1431000000000004</v>
      </c>
      <c r="AD602">
        <v>6.1679000000000004</v>
      </c>
      <c r="AE602">
        <v>-5.4002999999999997</v>
      </c>
      <c r="AF602">
        <v>4.0678999999999998</v>
      </c>
      <c r="AG602">
        <v>-24.274999999999999</v>
      </c>
      <c r="AH602">
        <v>-2.9161999999999999</v>
      </c>
      <c r="AI602">
        <v>-7.1455000000000002</v>
      </c>
      <c r="AJ602">
        <v>-6.2399000000000004</v>
      </c>
      <c r="AK602">
        <v>-0.24660000000000001</v>
      </c>
      <c r="AL602">
        <v>-68.322100000000006</v>
      </c>
      <c r="AM602">
        <v>7.4615999999999998</v>
      </c>
      <c r="AN602">
        <v>4.5033000000000003</v>
      </c>
      <c r="AO602">
        <v>1.9834000000000001</v>
      </c>
      <c r="AP602">
        <v>0.84299999999999997</v>
      </c>
      <c r="AQ602">
        <v>2.6480000000000001</v>
      </c>
      <c r="AR602" t="s">
        <v>135</v>
      </c>
      <c r="AS602" t="s">
        <v>135</v>
      </c>
      <c r="AT602">
        <v>0.64739999999999998</v>
      </c>
      <c r="AU602">
        <v>4.9866000000000001</v>
      </c>
      <c r="AV602">
        <v>11.5831</v>
      </c>
      <c r="AW602" t="s">
        <v>135</v>
      </c>
      <c r="AX602">
        <v>12.4635</v>
      </c>
      <c r="AY602" t="s">
        <v>135</v>
      </c>
      <c r="AZ602">
        <v>8.1115999999999993</v>
      </c>
      <c r="BA602">
        <v>16.722000000000001</v>
      </c>
      <c r="BB602">
        <v>11.2363</v>
      </c>
      <c r="BC602">
        <v>12.3225</v>
      </c>
      <c r="BD602">
        <v>13.1274</v>
      </c>
      <c r="BE602">
        <v>-14.183999999999999</v>
      </c>
      <c r="BF602">
        <v>0.72870000000000001</v>
      </c>
      <c r="BG602">
        <v>-1.6005</v>
      </c>
      <c r="BH602">
        <v>-4.1832000000000003</v>
      </c>
      <c r="BI602">
        <v>-6.9329999999999998</v>
      </c>
      <c r="BJ602">
        <v>-0.74439999999999995</v>
      </c>
      <c r="BK602" t="s">
        <v>135</v>
      </c>
      <c r="BL602">
        <v>0.99</v>
      </c>
      <c r="BM602">
        <v>23.352899999999998</v>
      </c>
      <c r="BN602">
        <v>-10.3925</v>
      </c>
      <c r="BO602">
        <v>2.5823999999999998</v>
      </c>
      <c r="BP602">
        <v>-22.1723</v>
      </c>
      <c r="BQ602">
        <v>14.5375</v>
      </c>
      <c r="BR602" t="s">
        <v>135</v>
      </c>
      <c r="BS602">
        <v>-8.9778000000000002</v>
      </c>
      <c r="BT602">
        <v>4.7972000000000001</v>
      </c>
      <c r="BU602">
        <v>2.6438000000000001</v>
      </c>
      <c r="BV602">
        <v>3.1135999999999999</v>
      </c>
      <c r="BW602">
        <v>2.6412</v>
      </c>
      <c r="BX602">
        <v>-72.270099999999999</v>
      </c>
      <c r="BY602">
        <v>138259</v>
      </c>
      <c r="BZ602">
        <v>92991</v>
      </c>
      <c r="CA602">
        <v>45268</v>
      </c>
      <c r="CB602">
        <v>1.3303</v>
      </c>
      <c r="CC602">
        <v>-1.4986999999999999</v>
      </c>
      <c r="CD602">
        <v>1.6697</v>
      </c>
      <c r="CE602">
        <v>-1.881</v>
      </c>
      <c r="CF602">
        <v>22.8186</v>
      </c>
      <c r="CG602">
        <v>63.490699999999997</v>
      </c>
      <c r="CH602">
        <v>9.327</v>
      </c>
      <c r="CI602">
        <v>7.2591000000000001</v>
      </c>
      <c r="CJ602">
        <v>5.9512999999999998</v>
      </c>
      <c r="CK602">
        <v>28.486699999999999</v>
      </c>
      <c r="CL602">
        <v>22.1709</v>
      </c>
      <c r="CM602">
        <v>18.1767</v>
      </c>
      <c r="CN602">
        <v>-32.092599999999997</v>
      </c>
      <c r="CO602">
        <v>-47.259300000000003</v>
      </c>
      <c r="CP602">
        <v>24530</v>
      </c>
      <c r="CQ602">
        <v>18057</v>
      </c>
      <c r="CR602">
        <v>18828</v>
      </c>
      <c r="CS602">
        <v>1.3771</v>
      </c>
      <c r="CT602">
        <v>2.3706999999999998</v>
      </c>
      <c r="CU602">
        <v>1.8500999999999999</v>
      </c>
      <c r="CV602">
        <v>5.6584000000000003</v>
      </c>
      <c r="CW602">
        <v>5.5646000000000004</v>
      </c>
      <c r="CX602">
        <v>65.593599999999995</v>
      </c>
      <c r="CY602">
        <v>105.8545</v>
      </c>
      <c r="CZ602">
        <v>3.4481000000000002</v>
      </c>
      <c r="DA602">
        <v>16.090499999999999</v>
      </c>
      <c r="DB602">
        <v>22.684200000000001</v>
      </c>
      <c r="DC602">
        <v>46.357599999999998</v>
      </c>
      <c r="DD602">
        <v>69.041799999999995</v>
      </c>
      <c r="DE602">
        <v>3370</v>
      </c>
      <c r="DF602">
        <v>0</v>
      </c>
      <c r="DG602">
        <v>0</v>
      </c>
      <c r="DH602">
        <v>2601</v>
      </c>
      <c r="DI602">
        <v>769</v>
      </c>
    </row>
    <row r="603" spans="1:113" x14ac:dyDescent="0.3">
      <c r="A603">
        <v>100</v>
      </c>
      <c r="B603" t="s">
        <v>131</v>
      </c>
      <c r="C603" t="s">
        <v>132</v>
      </c>
      <c r="D603" t="s">
        <v>76</v>
      </c>
      <c r="E603" t="s">
        <v>77</v>
      </c>
      <c r="F603">
        <v>24.936499999999999</v>
      </c>
      <c r="G603">
        <v>1.5485</v>
      </c>
      <c r="H603">
        <v>5.8067000000000002</v>
      </c>
      <c r="I603">
        <v>6.7805999999999997</v>
      </c>
      <c r="J603" t="s">
        <v>135</v>
      </c>
      <c r="K603">
        <v>53.300199999999997</v>
      </c>
      <c r="L603">
        <v>45.133899999999997</v>
      </c>
      <c r="M603">
        <v>19.9693</v>
      </c>
      <c r="N603">
        <v>37.020200000000003</v>
      </c>
      <c r="O603">
        <v>37.020200000000003</v>
      </c>
      <c r="P603">
        <v>37.020200000000003</v>
      </c>
      <c r="Q603">
        <v>30.543900000000001</v>
      </c>
      <c r="R603">
        <v>17.9057</v>
      </c>
      <c r="S603">
        <v>20.471499999999999</v>
      </c>
      <c r="T603">
        <v>21.5869</v>
      </c>
      <c r="U603" t="s">
        <v>135</v>
      </c>
      <c r="V603">
        <v>20.464500000000001</v>
      </c>
      <c r="W603">
        <v>23.8781</v>
      </c>
      <c r="X603">
        <v>24.247499999999999</v>
      </c>
      <c r="Y603">
        <v>33.333300000000001</v>
      </c>
      <c r="Z603" t="s">
        <v>135</v>
      </c>
      <c r="AA603" t="s">
        <v>135</v>
      </c>
      <c r="AB603">
        <v>29.427299999999999</v>
      </c>
      <c r="AC603">
        <v>9.9901999999999997</v>
      </c>
      <c r="AD603" t="s">
        <v>135</v>
      </c>
      <c r="AE603" t="s">
        <v>135</v>
      </c>
      <c r="AF603" t="s">
        <v>135</v>
      </c>
      <c r="AG603">
        <v>-11.5219</v>
      </c>
      <c r="AH603">
        <v>2.2067999999999999</v>
      </c>
      <c r="AI603">
        <v>22.514199999999999</v>
      </c>
      <c r="AJ603">
        <v>6.5972999999999997</v>
      </c>
      <c r="AK603">
        <v>21.8309</v>
      </c>
      <c r="AL603" t="s">
        <v>135</v>
      </c>
      <c r="AM603">
        <v>36.424399999999999</v>
      </c>
      <c r="AN603" t="s">
        <v>135</v>
      </c>
      <c r="AO603">
        <v>37.857199999999999</v>
      </c>
      <c r="AP603">
        <v>39.605800000000002</v>
      </c>
      <c r="AQ603">
        <v>34.220199999999998</v>
      </c>
      <c r="AR603" t="s">
        <v>135</v>
      </c>
      <c r="AS603" t="s">
        <v>135</v>
      </c>
      <c r="AT603" t="s">
        <v>135</v>
      </c>
      <c r="AU603">
        <v>17.773700000000002</v>
      </c>
      <c r="AV603">
        <v>36.621499999999997</v>
      </c>
      <c r="AW603" t="s">
        <v>135</v>
      </c>
      <c r="AX603" t="s">
        <v>135</v>
      </c>
      <c r="AY603" t="s">
        <v>135</v>
      </c>
      <c r="AZ603">
        <v>34.598300000000002</v>
      </c>
      <c r="BA603">
        <v>52.812100000000001</v>
      </c>
      <c r="BB603">
        <v>34.372</v>
      </c>
      <c r="BC603">
        <v>46.753799999999998</v>
      </c>
      <c r="BD603">
        <v>29.253</v>
      </c>
      <c r="BE603" t="s">
        <v>135</v>
      </c>
      <c r="BF603">
        <v>21.5869</v>
      </c>
      <c r="BG603" t="s">
        <v>135</v>
      </c>
      <c r="BH603">
        <v>20.464500000000001</v>
      </c>
      <c r="BI603">
        <v>23.8781</v>
      </c>
      <c r="BJ603">
        <v>24.247499999999999</v>
      </c>
      <c r="BK603">
        <v>33.333300000000001</v>
      </c>
      <c r="BL603" t="s">
        <v>135</v>
      </c>
      <c r="BM603" t="s">
        <v>135</v>
      </c>
      <c r="BN603">
        <v>29.427299999999999</v>
      </c>
      <c r="BO603">
        <v>9.9901999999999997</v>
      </c>
      <c r="BP603" t="s">
        <v>135</v>
      </c>
      <c r="BQ603" t="s">
        <v>135</v>
      </c>
      <c r="BR603" t="s">
        <v>135</v>
      </c>
      <c r="BS603">
        <v>-11.5219</v>
      </c>
      <c r="BT603">
        <v>2.2067999999999999</v>
      </c>
      <c r="BU603">
        <v>22.514199999999999</v>
      </c>
      <c r="BV603">
        <v>6.5972999999999997</v>
      </c>
      <c r="BW603">
        <v>21.8309</v>
      </c>
      <c r="BX603" t="s">
        <v>135</v>
      </c>
      <c r="BY603">
        <v>215193.33900000001</v>
      </c>
      <c r="BZ603">
        <v>114087.43399999999</v>
      </c>
      <c r="CA603">
        <v>101105.905</v>
      </c>
      <c r="CB603" t="s">
        <v>135</v>
      </c>
      <c r="CC603" t="s">
        <v>135</v>
      </c>
      <c r="CD603">
        <v>9.2762999999999991</v>
      </c>
      <c r="CE603">
        <v>6.7366000000000001</v>
      </c>
      <c r="CF603" t="s">
        <v>135</v>
      </c>
      <c r="CG603">
        <v>6.5274000000000001</v>
      </c>
      <c r="CH603">
        <v>142.09809999999999</v>
      </c>
      <c r="CI603">
        <v>35.309100000000001</v>
      </c>
      <c r="CJ603">
        <v>9.2753999999999994</v>
      </c>
      <c r="CK603">
        <v>302.4409</v>
      </c>
      <c r="CL603">
        <v>75.151600000000002</v>
      </c>
      <c r="CM603">
        <v>19.741599999999998</v>
      </c>
      <c r="CN603">
        <v>219.637</v>
      </c>
      <c r="CO603">
        <v>68.714500000000001</v>
      </c>
      <c r="CP603" t="s">
        <v>135</v>
      </c>
      <c r="CQ603" t="s">
        <v>135</v>
      </c>
      <c r="CR603">
        <v>23198.228999999999</v>
      </c>
      <c r="CS603" t="s">
        <v>135</v>
      </c>
      <c r="CT603" t="s">
        <v>135</v>
      </c>
      <c r="CU603" t="s">
        <v>135</v>
      </c>
      <c r="CV603" t="s">
        <v>135</v>
      </c>
      <c r="CW603" t="s">
        <v>135</v>
      </c>
      <c r="CX603" t="s">
        <v>135</v>
      </c>
      <c r="CY603" t="s">
        <v>135</v>
      </c>
      <c r="CZ603" t="s">
        <v>135</v>
      </c>
      <c r="DA603" t="s">
        <v>135</v>
      </c>
      <c r="DB603" t="s">
        <v>135</v>
      </c>
      <c r="DC603" t="s">
        <v>135</v>
      </c>
      <c r="DD603" t="s">
        <v>135</v>
      </c>
      <c r="DE603" t="s">
        <v>135</v>
      </c>
      <c r="DF603" t="s">
        <v>135</v>
      </c>
      <c r="DG603" t="s">
        <v>135</v>
      </c>
      <c r="DH603" t="s">
        <v>135</v>
      </c>
      <c r="DI603" t="s">
        <v>135</v>
      </c>
    </row>
    <row r="604" spans="1:113" x14ac:dyDescent="0.3">
      <c r="E604" t="s">
        <v>78</v>
      </c>
      <c r="F604" t="s">
        <v>135</v>
      </c>
      <c r="G604" t="s">
        <v>135</v>
      </c>
      <c r="H604" t="s">
        <v>135</v>
      </c>
      <c r="I604" t="s">
        <v>135</v>
      </c>
      <c r="J604" t="s">
        <v>135</v>
      </c>
      <c r="K604" t="s">
        <v>135</v>
      </c>
      <c r="L604" t="s">
        <v>135</v>
      </c>
      <c r="M604" t="s">
        <v>135</v>
      </c>
      <c r="N604" t="s">
        <v>135</v>
      </c>
      <c r="O604" t="s">
        <v>135</v>
      </c>
      <c r="P604" t="s">
        <v>135</v>
      </c>
      <c r="Q604" t="s">
        <v>135</v>
      </c>
      <c r="R604" t="s">
        <v>135</v>
      </c>
      <c r="S604" t="s">
        <v>135</v>
      </c>
      <c r="T604" t="s">
        <v>135</v>
      </c>
      <c r="U604" t="s">
        <v>135</v>
      </c>
      <c r="V604" t="s">
        <v>135</v>
      </c>
      <c r="W604" t="s">
        <v>135</v>
      </c>
      <c r="X604" t="s">
        <v>135</v>
      </c>
      <c r="Y604" t="s">
        <v>135</v>
      </c>
      <c r="Z604" t="s">
        <v>135</v>
      </c>
      <c r="AA604" t="s">
        <v>135</v>
      </c>
      <c r="AB604" t="s">
        <v>135</v>
      </c>
      <c r="AC604" t="s">
        <v>135</v>
      </c>
      <c r="AD604" t="s">
        <v>135</v>
      </c>
      <c r="AE604" t="s">
        <v>135</v>
      </c>
      <c r="AF604" t="s">
        <v>135</v>
      </c>
      <c r="AG604" t="s">
        <v>135</v>
      </c>
      <c r="AH604" t="s">
        <v>135</v>
      </c>
      <c r="AI604" t="s">
        <v>135</v>
      </c>
      <c r="AJ604" t="s">
        <v>135</v>
      </c>
      <c r="AK604" t="s">
        <v>135</v>
      </c>
      <c r="AL604" t="s">
        <v>135</v>
      </c>
      <c r="AM604" t="s">
        <v>135</v>
      </c>
      <c r="AN604" t="s">
        <v>135</v>
      </c>
      <c r="AO604" t="s">
        <v>135</v>
      </c>
      <c r="AP604" t="s">
        <v>135</v>
      </c>
      <c r="AQ604" t="s">
        <v>135</v>
      </c>
      <c r="AR604" t="s">
        <v>135</v>
      </c>
      <c r="AS604" t="s">
        <v>135</v>
      </c>
      <c r="AT604" t="s">
        <v>135</v>
      </c>
      <c r="AU604" t="s">
        <v>135</v>
      </c>
      <c r="AV604" t="s">
        <v>135</v>
      </c>
      <c r="AW604" t="s">
        <v>135</v>
      </c>
      <c r="AX604" t="s">
        <v>135</v>
      </c>
      <c r="AY604" t="s">
        <v>135</v>
      </c>
      <c r="AZ604" t="s">
        <v>135</v>
      </c>
      <c r="BA604" t="s">
        <v>135</v>
      </c>
      <c r="BB604" t="s">
        <v>135</v>
      </c>
      <c r="BC604" t="s">
        <v>135</v>
      </c>
      <c r="BD604" t="s">
        <v>135</v>
      </c>
      <c r="BE604" t="s">
        <v>135</v>
      </c>
      <c r="BF604" t="s">
        <v>135</v>
      </c>
      <c r="BG604" t="s">
        <v>135</v>
      </c>
      <c r="BH604" t="s">
        <v>135</v>
      </c>
      <c r="BI604" t="s">
        <v>135</v>
      </c>
      <c r="BJ604" t="s">
        <v>135</v>
      </c>
      <c r="BK604" t="s">
        <v>135</v>
      </c>
      <c r="BL604" t="s">
        <v>135</v>
      </c>
      <c r="BM604" t="s">
        <v>135</v>
      </c>
      <c r="BN604" t="s">
        <v>135</v>
      </c>
      <c r="BO604" t="s">
        <v>135</v>
      </c>
      <c r="BP604" t="s">
        <v>135</v>
      </c>
      <c r="BQ604" t="s">
        <v>135</v>
      </c>
      <c r="BR604" t="s">
        <v>135</v>
      </c>
      <c r="BS604" t="s">
        <v>135</v>
      </c>
      <c r="BT604" t="s">
        <v>135</v>
      </c>
      <c r="BU604" t="s">
        <v>135</v>
      </c>
      <c r="BV604" t="s">
        <v>135</v>
      </c>
      <c r="BW604" t="s">
        <v>135</v>
      </c>
      <c r="BX604" t="s">
        <v>135</v>
      </c>
      <c r="BY604" t="s">
        <v>135</v>
      </c>
      <c r="BZ604" t="s">
        <v>135</v>
      </c>
      <c r="CA604" t="s">
        <v>135</v>
      </c>
      <c r="CB604" t="s">
        <v>135</v>
      </c>
      <c r="CC604" t="s">
        <v>135</v>
      </c>
      <c r="CD604" t="s">
        <v>135</v>
      </c>
      <c r="CE604" t="s">
        <v>135</v>
      </c>
      <c r="CF604" t="s">
        <v>135</v>
      </c>
      <c r="CG604" t="s">
        <v>135</v>
      </c>
      <c r="CH604" t="s">
        <v>135</v>
      </c>
      <c r="CI604" t="s">
        <v>135</v>
      </c>
      <c r="CJ604" t="s">
        <v>135</v>
      </c>
      <c r="CK604" t="s">
        <v>135</v>
      </c>
      <c r="CL604" t="s">
        <v>135</v>
      </c>
      <c r="CM604" t="s">
        <v>135</v>
      </c>
      <c r="CN604" t="s">
        <v>135</v>
      </c>
      <c r="CO604" t="s">
        <v>135</v>
      </c>
      <c r="CP604" t="s">
        <v>135</v>
      </c>
      <c r="CQ604" t="s">
        <v>135</v>
      </c>
      <c r="CR604" t="s">
        <v>135</v>
      </c>
      <c r="CS604" t="s">
        <v>135</v>
      </c>
      <c r="CT604" t="s">
        <v>135</v>
      </c>
      <c r="CU604" t="s">
        <v>135</v>
      </c>
      <c r="CV604" t="s">
        <v>135</v>
      </c>
      <c r="CW604" t="s">
        <v>135</v>
      </c>
      <c r="CX604" t="s">
        <v>135</v>
      </c>
      <c r="CY604" t="s">
        <v>135</v>
      </c>
      <c r="CZ604" t="s">
        <v>135</v>
      </c>
      <c r="DA604" t="s">
        <v>135</v>
      </c>
      <c r="DB604" t="s">
        <v>135</v>
      </c>
      <c r="DC604" t="s">
        <v>135</v>
      </c>
      <c r="DD604" t="s">
        <v>135</v>
      </c>
      <c r="DE604" t="s">
        <v>135</v>
      </c>
      <c r="DF604" t="s">
        <v>135</v>
      </c>
      <c r="DG604" t="s">
        <v>135</v>
      </c>
      <c r="DH604" t="s">
        <v>135</v>
      </c>
      <c r="DI604" t="s">
        <v>135</v>
      </c>
    </row>
    <row r="605" spans="1:113" x14ac:dyDescent="0.3">
      <c r="E605" t="s">
        <v>79</v>
      </c>
      <c r="F605" t="s">
        <v>135</v>
      </c>
      <c r="G605" t="s">
        <v>135</v>
      </c>
      <c r="H605" t="s">
        <v>135</v>
      </c>
      <c r="I605" t="s">
        <v>135</v>
      </c>
      <c r="J605" t="s">
        <v>135</v>
      </c>
      <c r="K605" t="s">
        <v>135</v>
      </c>
      <c r="L605" t="s">
        <v>135</v>
      </c>
      <c r="M605" t="s">
        <v>135</v>
      </c>
      <c r="N605" t="s">
        <v>135</v>
      </c>
      <c r="O605" t="s">
        <v>135</v>
      </c>
      <c r="P605" t="s">
        <v>135</v>
      </c>
      <c r="Q605" t="s">
        <v>135</v>
      </c>
      <c r="R605" t="s">
        <v>135</v>
      </c>
      <c r="S605" t="s">
        <v>135</v>
      </c>
      <c r="T605" t="s">
        <v>135</v>
      </c>
      <c r="U605" t="s">
        <v>135</v>
      </c>
      <c r="V605" t="s">
        <v>135</v>
      </c>
      <c r="W605" t="s">
        <v>135</v>
      </c>
      <c r="X605" t="s">
        <v>135</v>
      </c>
      <c r="Y605" t="s">
        <v>135</v>
      </c>
      <c r="Z605" t="s">
        <v>135</v>
      </c>
      <c r="AA605" t="s">
        <v>135</v>
      </c>
      <c r="AB605" t="s">
        <v>135</v>
      </c>
      <c r="AC605" t="s">
        <v>135</v>
      </c>
      <c r="AD605" t="s">
        <v>135</v>
      </c>
      <c r="AE605" t="s">
        <v>135</v>
      </c>
      <c r="AF605" t="s">
        <v>135</v>
      </c>
      <c r="AG605" t="s">
        <v>135</v>
      </c>
      <c r="AH605" t="s">
        <v>135</v>
      </c>
      <c r="AI605" t="s">
        <v>135</v>
      </c>
      <c r="AJ605" t="s">
        <v>135</v>
      </c>
      <c r="AK605" t="s">
        <v>135</v>
      </c>
      <c r="AL605" t="s">
        <v>135</v>
      </c>
      <c r="AM605" t="s">
        <v>135</v>
      </c>
      <c r="AN605" t="s">
        <v>135</v>
      </c>
      <c r="AO605" t="s">
        <v>135</v>
      </c>
      <c r="AP605" t="s">
        <v>135</v>
      </c>
      <c r="AQ605" t="s">
        <v>135</v>
      </c>
      <c r="AR605" t="s">
        <v>135</v>
      </c>
      <c r="AS605" t="s">
        <v>135</v>
      </c>
      <c r="AT605" t="s">
        <v>135</v>
      </c>
      <c r="AU605" t="s">
        <v>135</v>
      </c>
      <c r="AV605" t="s">
        <v>135</v>
      </c>
      <c r="AW605" t="s">
        <v>135</v>
      </c>
      <c r="AX605" t="s">
        <v>135</v>
      </c>
      <c r="AY605" t="s">
        <v>135</v>
      </c>
      <c r="AZ605" t="s">
        <v>135</v>
      </c>
      <c r="BA605" t="s">
        <v>135</v>
      </c>
      <c r="BB605" t="s">
        <v>135</v>
      </c>
      <c r="BC605" t="s">
        <v>135</v>
      </c>
      <c r="BD605" t="s">
        <v>135</v>
      </c>
      <c r="BE605" t="s">
        <v>135</v>
      </c>
      <c r="BF605" t="s">
        <v>135</v>
      </c>
      <c r="BG605" t="s">
        <v>135</v>
      </c>
      <c r="BH605" t="s">
        <v>135</v>
      </c>
      <c r="BI605" t="s">
        <v>135</v>
      </c>
      <c r="BJ605" t="s">
        <v>135</v>
      </c>
      <c r="BK605" t="s">
        <v>135</v>
      </c>
      <c r="BL605" t="s">
        <v>135</v>
      </c>
      <c r="BM605" t="s">
        <v>135</v>
      </c>
      <c r="BN605" t="s">
        <v>135</v>
      </c>
      <c r="BO605" t="s">
        <v>135</v>
      </c>
      <c r="BP605" t="s">
        <v>135</v>
      </c>
      <c r="BQ605" t="s">
        <v>135</v>
      </c>
      <c r="BR605" t="s">
        <v>135</v>
      </c>
      <c r="BS605" t="s">
        <v>135</v>
      </c>
      <c r="BT605" t="s">
        <v>135</v>
      </c>
      <c r="BU605" t="s">
        <v>135</v>
      </c>
      <c r="BV605" t="s">
        <v>135</v>
      </c>
      <c r="BW605" t="s">
        <v>135</v>
      </c>
      <c r="BX605" t="s">
        <v>135</v>
      </c>
      <c r="BY605" t="s">
        <v>135</v>
      </c>
      <c r="BZ605" t="s">
        <v>135</v>
      </c>
      <c r="CA605" t="s">
        <v>135</v>
      </c>
      <c r="CB605" t="s">
        <v>135</v>
      </c>
      <c r="CC605" t="s">
        <v>135</v>
      </c>
      <c r="CD605" t="s">
        <v>135</v>
      </c>
      <c r="CE605" t="s">
        <v>135</v>
      </c>
      <c r="CF605" t="s">
        <v>135</v>
      </c>
      <c r="CG605" t="s">
        <v>135</v>
      </c>
      <c r="CH605" t="s">
        <v>135</v>
      </c>
      <c r="CI605" t="s">
        <v>135</v>
      </c>
      <c r="CJ605" t="s">
        <v>135</v>
      </c>
      <c r="CK605" t="s">
        <v>135</v>
      </c>
      <c r="CL605" t="s">
        <v>135</v>
      </c>
      <c r="CM605" t="s">
        <v>135</v>
      </c>
      <c r="CN605" t="s">
        <v>135</v>
      </c>
      <c r="CO605" t="s">
        <v>135</v>
      </c>
      <c r="CP605" t="s">
        <v>135</v>
      </c>
      <c r="CQ605" t="s">
        <v>135</v>
      </c>
      <c r="CR605" t="s">
        <v>135</v>
      </c>
      <c r="CS605" t="s">
        <v>135</v>
      </c>
      <c r="CT605" t="s">
        <v>135</v>
      </c>
      <c r="CU605" t="s">
        <v>135</v>
      </c>
      <c r="CV605" t="s">
        <v>135</v>
      </c>
      <c r="CW605" t="s">
        <v>135</v>
      </c>
      <c r="CX605" t="s">
        <v>135</v>
      </c>
      <c r="CY605" t="s">
        <v>135</v>
      </c>
      <c r="CZ605" t="s">
        <v>135</v>
      </c>
      <c r="DA605" t="s">
        <v>135</v>
      </c>
      <c r="DB605" t="s">
        <v>135</v>
      </c>
      <c r="DC605" t="s">
        <v>135</v>
      </c>
      <c r="DD605" t="s">
        <v>135</v>
      </c>
      <c r="DE605" t="s">
        <v>135</v>
      </c>
      <c r="DF605" t="s">
        <v>135</v>
      </c>
      <c r="DG605" t="s">
        <v>135</v>
      </c>
      <c r="DH605" t="s">
        <v>135</v>
      </c>
      <c r="DI605" t="s">
        <v>135</v>
      </c>
    </row>
    <row r="606" spans="1:113" x14ac:dyDescent="0.3">
      <c r="E606" t="s">
        <v>80</v>
      </c>
      <c r="F606" t="s">
        <v>135</v>
      </c>
      <c r="G606" t="s">
        <v>135</v>
      </c>
      <c r="H606" t="s">
        <v>135</v>
      </c>
      <c r="I606" t="s">
        <v>135</v>
      </c>
      <c r="J606" t="s">
        <v>135</v>
      </c>
      <c r="K606" t="s">
        <v>135</v>
      </c>
      <c r="L606" t="s">
        <v>135</v>
      </c>
      <c r="M606" t="s">
        <v>135</v>
      </c>
      <c r="N606" t="s">
        <v>135</v>
      </c>
      <c r="O606" t="s">
        <v>135</v>
      </c>
      <c r="P606" t="s">
        <v>135</v>
      </c>
      <c r="Q606" t="s">
        <v>135</v>
      </c>
      <c r="R606" t="s">
        <v>135</v>
      </c>
      <c r="S606" t="s">
        <v>135</v>
      </c>
      <c r="T606" t="s">
        <v>135</v>
      </c>
      <c r="U606" t="s">
        <v>135</v>
      </c>
      <c r="V606" t="s">
        <v>135</v>
      </c>
      <c r="W606" t="s">
        <v>135</v>
      </c>
      <c r="X606" t="s">
        <v>135</v>
      </c>
      <c r="Y606" t="s">
        <v>135</v>
      </c>
      <c r="Z606" t="s">
        <v>135</v>
      </c>
      <c r="AA606" t="s">
        <v>135</v>
      </c>
      <c r="AB606" t="s">
        <v>135</v>
      </c>
      <c r="AC606" t="s">
        <v>135</v>
      </c>
      <c r="AD606" t="s">
        <v>135</v>
      </c>
      <c r="AE606" t="s">
        <v>135</v>
      </c>
      <c r="AF606" t="s">
        <v>135</v>
      </c>
      <c r="AG606" t="s">
        <v>135</v>
      </c>
      <c r="AH606" t="s">
        <v>135</v>
      </c>
      <c r="AI606" t="s">
        <v>135</v>
      </c>
      <c r="AJ606" t="s">
        <v>135</v>
      </c>
      <c r="AK606" t="s">
        <v>135</v>
      </c>
      <c r="AL606" t="s">
        <v>135</v>
      </c>
      <c r="AM606" t="s">
        <v>135</v>
      </c>
      <c r="AN606" t="s">
        <v>135</v>
      </c>
      <c r="AO606" t="s">
        <v>135</v>
      </c>
      <c r="AP606" t="s">
        <v>135</v>
      </c>
      <c r="AQ606" t="s">
        <v>135</v>
      </c>
      <c r="AR606" t="s">
        <v>135</v>
      </c>
      <c r="AS606" t="s">
        <v>135</v>
      </c>
      <c r="AT606" t="s">
        <v>135</v>
      </c>
      <c r="AU606" t="s">
        <v>135</v>
      </c>
      <c r="AV606" t="s">
        <v>135</v>
      </c>
      <c r="AW606" t="s">
        <v>135</v>
      </c>
      <c r="AX606" t="s">
        <v>135</v>
      </c>
      <c r="AY606" t="s">
        <v>135</v>
      </c>
      <c r="AZ606" t="s">
        <v>135</v>
      </c>
      <c r="BA606" t="s">
        <v>135</v>
      </c>
      <c r="BB606" t="s">
        <v>135</v>
      </c>
      <c r="BC606" t="s">
        <v>135</v>
      </c>
      <c r="BD606" t="s">
        <v>135</v>
      </c>
      <c r="BE606" t="s">
        <v>135</v>
      </c>
      <c r="BF606" t="s">
        <v>135</v>
      </c>
      <c r="BG606" t="s">
        <v>135</v>
      </c>
      <c r="BH606" t="s">
        <v>135</v>
      </c>
      <c r="BI606" t="s">
        <v>135</v>
      </c>
      <c r="BJ606" t="s">
        <v>135</v>
      </c>
      <c r="BK606" t="s">
        <v>135</v>
      </c>
      <c r="BL606" t="s">
        <v>135</v>
      </c>
      <c r="BM606" t="s">
        <v>135</v>
      </c>
      <c r="BN606" t="s">
        <v>135</v>
      </c>
      <c r="BO606" t="s">
        <v>135</v>
      </c>
      <c r="BP606" t="s">
        <v>135</v>
      </c>
      <c r="BQ606" t="s">
        <v>135</v>
      </c>
      <c r="BR606" t="s">
        <v>135</v>
      </c>
      <c r="BS606" t="s">
        <v>135</v>
      </c>
      <c r="BT606" t="s">
        <v>135</v>
      </c>
      <c r="BU606" t="s">
        <v>135</v>
      </c>
      <c r="BV606" t="s">
        <v>135</v>
      </c>
      <c r="BW606" t="s">
        <v>135</v>
      </c>
      <c r="BX606" t="s">
        <v>135</v>
      </c>
      <c r="BY606" t="s">
        <v>135</v>
      </c>
      <c r="BZ606" t="s">
        <v>135</v>
      </c>
      <c r="CA606" t="s">
        <v>135</v>
      </c>
      <c r="CB606" t="s">
        <v>135</v>
      </c>
      <c r="CC606" t="s">
        <v>135</v>
      </c>
      <c r="CD606" t="s">
        <v>135</v>
      </c>
      <c r="CE606" t="s">
        <v>135</v>
      </c>
      <c r="CF606" t="s">
        <v>135</v>
      </c>
      <c r="CG606" t="s">
        <v>135</v>
      </c>
      <c r="CH606" t="s">
        <v>135</v>
      </c>
      <c r="CI606" t="s">
        <v>135</v>
      </c>
      <c r="CJ606" t="s">
        <v>135</v>
      </c>
      <c r="CK606" t="s">
        <v>135</v>
      </c>
      <c r="CL606" t="s">
        <v>135</v>
      </c>
      <c r="CM606" t="s">
        <v>135</v>
      </c>
      <c r="CN606" t="s">
        <v>135</v>
      </c>
      <c r="CO606" t="s">
        <v>135</v>
      </c>
      <c r="CP606" t="s">
        <v>135</v>
      </c>
      <c r="CQ606" t="s">
        <v>135</v>
      </c>
      <c r="CR606" t="s">
        <v>135</v>
      </c>
      <c r="CS606" t="s">
        <v>135</v>
      </c>
      <c r="CT606" t="s">
        <v>135</v>
      </c>
      <c r="CU606" t="s">
        <v>135</v>
      </c>
      <c r="CV606" t="s">
        <v>135</v>
      </c>
      <c r="CW606" t="s">
        <v>135</v>
      </c>
      <c r="CX606" t="s">
        <v>135</v>
      </c>
      <c r="CY606" t="s">
        <v>135</v>
      </c>
      <c r="CZ606" t="s">
        <v>135</v>
      </c>
      <c r="DA606" t="s">
        <v>135</v>
      </c>
      <c r="DB606" t="s">
        <v>135</v>
      </c>
      <c r="DC606" t="s">
        <v>135</v>
      </c>
      <c r="DD606" t="s">
        <v>135</v>
      </c>
      <c r="DE606" t="s">
        <v>135</v>
      </c>
      <c r="DF606" t="s">
        <v>135</v>
      </c>
      <c r="DG606" t="s">
        <v>135</v>
      </c>
      <c r="DH606" t="s">
        <v>135</v>
      </c>
      <c r="DI606" t="s">
        <v>135</v>
      </c>
    </row>
    <row r="607" spans="1:113" x14ac:dyDescent="0.3">
      <c r="E607" t="s">
        <v>81</v>
      </c>
      <c r="F607" t="s">
        <v>135</v>
      </c>
      <c r="G607" t="s">
        <v>135</v>
      </c>
      <c r="H607" t="s">
        <v>135</v>
      </c>
      <c r="I607" t="s">
        <v>135</v>
      </c>
      <c r="J607" t="s">
        <v>135</v>
      </c>
      <c r="K607" t="s">
        <v>135</v>
      </c>
      <c r="L607" t="s">
        <v>135</v>
      </c>
      <c r="M607" t="s">
        <v>135</v>
      </c>
      <c r="N607" t="s">
        <v>135</v>
      </c>
      <c r="O607" t="s">
        <v>135</v>
      </c>
      <c r="P607" t="s">
        <v>135</v>
      </c>
      <c r="Q607" t="s">
        <v>135</v>
      </c>
      <c r="R607" t="s">
        <v>135</v>
      </c>
      <c r="S607" t="s">
        <v>135</v>
      </c>
      <c r="T607" t="s">
        <v>135</v>
      </c>
      <c r="U607" t="s">
        <v>135</v>
      </c>
      <c r="V607" t="s">
        <v>135</v>
      </c>
      <c r="W607" t="s">
        <v>135</v>
      </c>
      <c r="X607" t="s">
        <v>135</v>
      </c>
      <c r="Y607" t="s">
        <v>135</v>
      </c>
      <c r="Z607" t="s">
        <v>135</v>
      </c>
      <c r="AA607" t="s">
        <v>135</v>
      </c>
      <c r="AB607" t="s">
        <v>135</v>
      </c>
      <c r="AC607" t="s">
        <v>135</v>
      </c>
      <c r="AD607" t="s">
        <v>135</v>
      </c>
      <c r="AE607" t="s">
        <v>135</v>
      </c>
      <c r="AF607" t="s">
        <v>135</v>
      </c>
      <c r="AG607" t="s">
        <v>135</v>
      </c>
      <c r="AH607" t="s">
        <v>135</v>
      </c>
      <c r="AI607" t="s">
        <v>135</v>
      </c>
      <c r="AJ607" t="s">
        <v>135</v>
      </c>
      <c r="AK607" t="s">
        <v>135</v>
      </c>
      <c r="AL607" t="s">
        <v>135</v>
      </c>
      <c r="AM607" t="s">
        <v>135</v>
      </c>
      <c r="AN607" t="s">
        <v>135</v>
      </c>
      <c r="AO607" t="s">
        <v>135</v>
      </c>
      <c r="AP607" t="s">
        <v>135</v>
      </c>
      <c r="AQ607" t="s">
        <v>135</v>
      </c>
      <c r="AR607" t="s">
        <v>135</v>
      </c>
      <c r="AS607" t="s">
        <v>135</v>
      </c>
      <c r="AT607" t="s">
        <v>135</v>
      </c>
      <c r="AU607" t="s">
        <v>135</v>
      </c>
      <c r="AV607" t="s">
        <v>135</v>
      </c>
      <c r="AW607" t="s">
        <v>135</v>
      </c>
      <c r="AX607" t="s">
        <v>135</v>
      </c>
      <c r="AY607" t="s">
        <v>135</v>
      </c>
      <c r="AZ607" t="s">
        <v>135</v>
      </c>
      <c r="BA607" t="s">
        <v>135</v>
      </c>
      <c r="BB607" t="s">
        <v>135</v>
      </c>
      <c r="BC607" t="s">
        <v>135</v>
      </c>
      <c r="BD607" t="s">
        <v>135</v>
      </c>
      <c r="BE607" t="s">
        <v>135</v>
      </c>
      <c r="BF607" t="s">
        <v>135</v>
      </c>
      <c r="BG607" t="s">
        <v>135</v>
      </c>
      <c r="BH607" t="s">
        <v>135</v>
      </c>
      <c r="BI607" t="s">
        <v>135</v>
      </c>
      <c r="BJ607" t="s">
        <v>135</v>
      </c>
      <c r="BK607" t="s">
        <v>135</v>
      </c>
      <c r="BL607" t="s">
        <v>135</v>
      </c>
      <c r="BM607" t="s">
        <v>135</v>
      </c>
      <c r="BN607" t="s">
        <v>135</v>
      </c>
      <c r="BO607" t="s">
        <v>135</v>
      </c>
      <c r="BP607" t="s">
        <v>135</v>
      </c>
      <c r="BQ607" t="s">
        <v>135</v>
      </c>
      <c r="BR607" t="s">
        <v>135</v>
      </c>
      <c r="BS607" t="s">
        <v>135</v>
      </c>
      <c r="BT607" t="s">
        <v>135</v>
      </c>
      <c r="BU607" t="s">
        <v>135</v>
      </c>
      <c r="BV607" t="s">
        <v>135</v>
      </c>
      <c r="BW607" t="s">
        <v>135</v>
      </c>
      <c r="BX607" t="s">
        <v>135</v>
      </c>
      <c r="BY607" t="s">
        <v>135</v>
      </c>
      <c r="BZ607" t="s">
        <v>135</v>
      </c>
      <c r="CA607" t="s">
        <v>135</v>
      </c>
      <c r="CB607" t="s">
        <v>135</v>
      </c>
      <c r="CC607" t="s">
        <v>135</v>
      </c>
      <c r="CD607" t="s">
        <v>135</v>
      </c>
      <c r="CE607" t="s">
        <v>135</v>
      </c>
      <c r="CF607" t="s">
        <v>135</v>
      </c>
      <c r="CG607" t="s">
        <v>135</v>
      </c>
      <c r="CH607" t="s">
        <v>135</v>
      </c>
      <c r="CI607" t="s">
        <v>135</v>
      </c>
      <c r="CJ607" t="s">
        <v>135</v>
      </c>
      <c r="CK607" t="s">
        <v>135</v>
      </c>
      <c r="CL607" t="s">
        <v>135</v>
      </c>
      <c r="CM607" t="s">
        <v>135</v>
      </c>
      <c r="CN607" t="s">
        <v>135</v>
      </c>
      <c r="CO607" t="s">
        <v>135</v>
      </c>
      <c r="CP607" t="s">
        <v>135</v>
      </c>
      <c r="CQ607" t="s">
        <v>135</v>
      </c>
      <c r="CR607" t="s">
        <v>135</v>
      </c>
      <c r="CS607" t="s">
        <v>135</v>
      </c>
      <c r="CT607" t="s">
        <v>135</v>
      </c>
      <c r="CU607" t="s">
        <v>135</v>
      </c>
      <c r="CV607" t="s">
        <v>135</v>
      </c>
      <c r="CW607" t="s">
        <v>135</v>
      </c>
      <c r="CX607" t="s">
        <v>135</v>
      </c>
      <c r="CY607" t="s">
        <v>135</v>
      </c>
      <c r="CZ607" t="s">
        <v>135</v>
      </c>
      <c r="DA607" t="s">
        <v>135</v>
      </c>
      <c r="DB607" t="s">
        <v>135</v>
      </c>
      <c r="DC607" t="s">
        <v>135</v>
      </c>
      <c r="DD607" t="s">
        <v>135</v>
      </c>
      <c r="DE607" t="s">
        <v>135</v>
      </c>
      <c r="DF607" t="s">
        <v>135</v>
      </c>
      <c r="DG607" t="s">
        <v>135</v>
      </c>
      <c r="DH607" t="s">
        <v>135</v>
      </c>
      <c r="DI607" t="s">
        <v>135</v>
      </c>
    </row>
    <row r="608" spans="1:113" x14ac:dyDescent="0.3">
      <c r="D608" t="s">
        <v>82</v>
      </c>
      <c r="E608" t="s">
        <v>77</v>
      </c>
      <c r="F608">
        <v>21.271000000000001</v>
      </c>
      <c r="G608">
        <v>1.6295999999999999</v>
      </c>
      <c r="H608">
        <v>5.9748000000000001</v>
      </c>
      <c r="I608">
        <v>7.1181999999999999</v>
      </c>
      <c r="J608" t="s">
        <v>135</v>
      </c>
      <c r="K608">
        <v>51.871699999999997</v>
      </c>
      <c r="L608">
        <v>46.868299999999998</v>
      </c>
      <c r="M608">
        <v>21.217500000000001</v>
      </c>
      <c r="N608">
        <v>35.700400000000002</v>
      </c>
      <c r="O608">
        <v>35.700400000000002</v>
      </c>
      <c r="P608">
        <v>35.700400000000002</v>
      </c>
      <c r="Q608">
        <v>31.175699999999999</v>
      </c>
      <c r="R608">
        <v>18.822400000000002</v>
      </c>
      <c r="S608">
        <v>17.267299999999999</v>
      </c>
      <c r="T608">
        <v>17.745000000000001</v>
      </c>
      <c r="U608" t="s">
        <v>135</v>
      </c>
      <c r="V608">
        <v>25.104600000000001</v>
      </c>
      <c r="W608">
        <v>23.9666</v>
      </c>
      <c r="X608">
        <v>8.2635000000000005</v>
      </c>
      <c r="Y608">
        <v>12.5</v>
      </c>
      <c r="Z608" t="s">
        <v>135</v>
      </c>
      <c r="AA608" t="s">
        <v>135</v>
      </c>
      <c r="AB608">
        <v>8.3231999999999999</v>
      </c>
      <c r="AC608">
        <v>24.8963</v>
      </c>
      <c r="AD608" t="s">
        <v>135</v>
      </c>
      <c r="AE608" t="s">
        <v>135</v>
      </c>
      <c r="AF608" t="s">
        <v>135</v>
      </c>
      <c r="AG608">
        <v>-12.9442</v>
      </c>
      <c r="AH608">
        <v>23.429600000000001</v>
      </c>
      <c r="AI608">
        <v>63.951700000000002</v>
      </c>
      <c r="AJ608">
        <v>33.498699999999999</v>
      </c>
      <c r="AK608">
        <v>41.540300000000002</v>
      </c>
      <c r="AL608">
        <v>-73.084400000000002</v>
      </c>
      <c r="AM608">
        <v>36.093800000000002</v>
      </c>
      <c r="AN608" t="s">
        <v>135</v>
      </c>
      <c r="AO608">
        <v>31.916799999999999</v>
      </c>
      <c r="AP608">
        <v>33.123800000000003</v>
      </c>
      <c r="AQ608">
        <v>26.316400000000002</v>
      </c>
      <c r="AR608" t="s">
        <v>135</v>
      </c>
      <c r="AS608" t="s">
        <v>135</v>
      </c>
      <c r="AT608" t="s">
        <v>135</v>
      </c>
      <c r="AU608">
        <v>22.753</v>
      </c>
      <c r="AV608">
        <v>30.2029</v>
      </c>
      <c r="AW608" t="s">
        <v>135</v>
      </c>
      <c r="AX608" t="s">
        <v>135</v>
      </c>
      <c r="AY608" t="s">
        <v>135</v>
      </c>
      <c r="AZ608">
        <v>31.075900000000001</v>
      </c>
      <c r="BA608">
        <v>40.374499999999998</v>
      </c>
      <c r="BB608">
        <v>30.4373</v>
      </c>
      <c r="BC608">
        <v>36.8553</v>
      </c>
      <c r="BD608">
        <v>25.150400000000001</v>
      </c>
      <c r="BE608" t="s">
        <v>135</v>
      </c>
      <c r="BF608">
        <v>17.745000000000001</v>
      </c>
      <c r="BG608" t="s">
        <v>135</v>
      </c>
      <c r="BH608">
        <v>25.104600000000001</v>
      </c>
      <c r="BI608">
        <v>23.9666</v>
      </c>
      <c r="BJ608">
        <v>8.2635000000000005</v>
      </c>
      <c r="BK608">
        <v>12.5</v>
      </c>
      <c r="BL608" t="s">
        <v>135</v>
      </c>
      <c r="BM608" t="s">
        <v>135</v>
      </c>
      <c r="BN608">
        <v>8.3231999999999999</v>
      </c>
      <c r="BO608">
        <v>24.8963</v>
      </c>
      <c r="BP608" t="s">
        <v>135</v>
      </c>
      <c r="BQ608" t="s">
        <v>135</v>
      </c>
      <c r="BR608" t="s">
        <v>135</v>
      </c>
      <c r="BS608">
        <v>-12.9442</v>
      </c>
      <c r="BT608">
        <v>23.429600000000001</v>
      </c>
      <c r="BU608">
        <v>63.951700000000002</v>
      </c>
      <c r="BV608">
        <v>33.498699999999999</v>
      </c>
      <c r="BW608">
        <v>41.540300000000002</v>
      </c>
      <c r="BX608" t="s">
        <v>135</v>
      </c>
      <c r="BY608">
        <v>265612.36499999999</v>
      </c>
      <c r="BZ608">
        <v>99319.751999999993</v>
      </c>
      <c r="CA608">
        <v>166292.61300000001</v>
      </c>
      <c r="CB608" t="s">
        <v>135</v>
      </c>
      <c r="CC608" t="s">
        <v>135</v>
      </c>
      <c r="CD608">
        <v>9.1521000000000008</v>
      </c>
      <c r="CE608">
        <v>6.5480999999999998</v>
      </c>
      <c r="CF608" t="s">
        <v>135</v>
      </c>
      <c r="CG608">
        <v>8.5686</v>
      </c>
      <c r="CH608">
        <v>142.5505</v>
      </c>
      <c r="CI608">
        <v>43.501600000000003</v>
      </c>
      <c r="CJ608">
        <v>12.214600000000001</v>
      </c>
      <c r="CK608">
        <v>227.6901</v>
      </c>
      <c r="CL608">
        <v>69.483400000000003</v>
      </c>
      <c r="CM608">
        <v>19.509799999999998</v>
      </c>
      <c r="CN608">
        <v>162.90600000000001</v>
      </c>
      <c r="CO608">
        <v>61.9636</v>
      </c>
      <c r="CP608" t="s">
        <v>135</v>
      </c>
      <c r="CQ608" t="s">
        <v>135</v>
      </c>
      <c r="CR608">
        <v>29022.04</v>
      </c>
      <c r="CS608" t="s">
        <v>135</v>
      </c>
      <c r="CT608" t="s">
        <v>135</v>
      </c>
      <c r="CU608" t="s">
        <v>135</v>
      </c>
      <c r="CV608" t="s">
        <v>135</v>
      </c>
      <c r="CW608" t="s">
        <v>135</v>
      </c>
      <c r="CX608" t="s">
        <v>135</v>
      </c>
      <c r="CY608" t="s">
        <v>135</v>
      </c>
      <c r="CZ608" t="s">
        <v>135</v>
      </c>
      <c r="DA608" t="s">
        <v>135</v>
      </c>
      <c r="DB608" t="s">
        <v>135</v>
      </c>
      <c r="DC608" t="s">
        <v>135</v>
      </c>
      <c r="DD608" t="s">
        <v>135</v>
      </c>
      <c r="DE608" t="s">
        <v>135</v>
      </c>
      <c r="DF608" t="s">
        <v>135</v>
      </c>
      <c r="DG608" t="s">
        <v>135</v>
      </c>
      <c r="DH608" t="s">
        <v>135</v>
      </c>
      <c r="DI608" t="s">
        <v>135</v>
      </c>
    </row>
    <row r="609" spans="4:113" x14ac:dyDescent="0.3">
      <c r="E609" t="s">
        <v>78</v>
      </c>
      <c r="F609" t="s">
        <v>135</v>
      </c>
      <c r="G609" t="s">
        <v>135</v>
      </c>
      <c r="H609" t="s">
        <v>135</v>
      </c>
      <c r="I609" t="s">
        <v>135</v>
      </c>
      <c r="J609" t="s">
        <v>135</v>
      </c>
      <c r="K609" t="s">
        <v>135</v>
      </c>
      <c r="L609" t="s">
        <v>135</v>
      </c>
      <c r="M609" t="s">
        <v>135</v>
      </c>
      <c r="N609" t="s">
        <v>135</v>
      </c>
      <c r="O609" t="s">
        <v>135</v>
      </c>
      <c r="P609" t="s">
        <v>135</v>
      </c>
      <c r="Q609" t="s">
        <v>135</v>
      </c>
      <c r="R609" t="s">
        <v>135</v>
      </c>
      <c r="S609" t="s">
        <v>135</v>
      </c>
      <c r="T609" t="s">
        <v>135</v>
      </c>
      <c r="U609" t="s">
        <v>135</v>
      </c>
      <c r="V609" t="s">
        <v>135</v>
      </c>
      <c r="W609" t="s">
        <v>135</v>
      </c>
      <c r="X609" t="s">
        <v>135</v>
      </c>
      <c r="Y609" t="s">
        <v>135</v>
      </c>
      <c r="Z609" t="s">
        <v>135</v>
      </c>
      <c r="AA609" t="s">
        <v>135</v>
      </c>
      <c r="AB609" t="s">
        <v>135</v>
      </c>
      <c r="AC609" t="s">
        <v>135</v>
      </c>
      <c r="AD609" t="s">
        <v>135</v>
      </c>
      <c r="AE609" t="s">
        <v>135</v>
      </c>
      <c r="AF609" t="s">
        <v>135</v>
      </c>
      <c r="AG609" t="s">
        <v>135</v>
      </c>
      <c r="AH609" t="s">
        <v>135</v>
      </c>
      <c r="AI609" t="s">
        <v>135</v>
      </c>
      <c r="AJ609" t="s">
        <v>135</v>
      </c>
      <c r="AK609" t="s">
        <v>135</v>
      </c>
      <c r="AL609" t="s">
        <v>135</v>
      </c>
      <c r="AM609" t="s">
        <v>135</v>
      </c>
      <c r="AN609" t="s">
        <v>135</v>
      </c>
      <c r="AO609" t="s">
        <v>135</v>
      </c>
      <c r="AP609" t="s">
        <v>135</v>
      </c>
      <c r="AQ609" t="s">
        <v>135</v>
      </c>
      <c r="AR609" t="s">
        <v>135</v>
      </c>
      <c r="AS609" t="s">
        <v>135</v>
      </c>
      <c r="AT609" t="s">
        <v>135</v>
      </c>
      <c r="AU609" t="s">
        <v>135</v>
      </c>
      <c r="AV609" t="s">
        <v>135</v>
      </c>
      <c r="AW609" t="s">
        <v>135</v>
      </c>
      <c r="AX609" t="s">
        <v>135</v>
      </c>
      <c r="AY609" t="s">
        <v>135</v>
      </c>
      <c r="AZ609" t="s">
        <v>135</v>
      </c>
      <c r="BA609" t="s">
        <v>135</v>
      </c>
      <c r="BB609" t="s">
        <v>135</v>
      </c>
      <c r="BC609" t="s">
        <v>135</v>
      </c>
      <c r="BD609" t="s">
        <v>135</v>
      </c>
      <c r="BE609" t="s">
        <v>135</v>
      </c>
      <c r="BF609" t="s">
        <v>135</v>
      </c>
      <c r="BG609" t="s">
        <v>135</v>
      </c>
      <c r="BH609" t="s">
        <v>135</v>
      </c>
      <c r="BI609" t="s">
        <v>135</v>
      </c>
      <c r="BJ609" t="s">
        <v>135</v>
      </c>
      <c r="BK609" t="s">
        <v>135</v>
      </c>
      <c r="BL609" t="s">
        <v>135</v>
      </c>
      <c r="BM609" t="s">
        <v>135</v>
      </c>
      <c r="BN609" t="s">
        <v>135</v>
      </c>
      <c r="BO609" t="s">
        <v>135</v>
      </c>
      <c r="BP609" t="s">
        <v>135</v>
      </c>
      <c r="BQ609" t="s">
        <v>135</v>
      </c>
      <c r="BR609" t="s">
        <v>135</v>
      </c>
      <c r="BS609" t="s">
        <v>135</v>
      </c>
      <c r="BT609" t="s">
        <v>135</v>
      </c>
      <c r="BU609" t="s">
        <v>135</v>
      </c>
      <c r="BV609" t="s">
        <v>135</v>
      </c>
      <c r="BW609" t="s">
        <v>135</v>
      </c>
      <c r="BX609" t="s">
        <v>135</v>
      </c>
      <c r="BY609" t="s">
        <v>135</v>
      </c>
      <c r="BZ609" t="s">
        <v>135</v>
      </c>
      <c r="CA609" t="s">
        <v>135</v>
      </c>
      <c r="CB609" t="s">
        <v>135</v>
      </c>
      <c r="CC609" t="s">
        <v>135</v>
      </c>
      <c r="CD609" t="s">
        <v>135</v>
      </c>
      <c r="CE609" t="s">
        <v>135</v>
      </c>
      <c r="CF609" t="s">
        <v>135</v>
      </c>
      <c r="CG609" t="s">
        <v>135</v>
      </c>
      <c r="CH609" t="s">
        <v>135</v>
      </c>
      <c r="CI609" t="s">
        <v>135</v>
      </c>
      <c r="CJ609" t="s">
        <v>135</v>
      </c>
      <c r="CK609" t="s">
        <v>135</v>
      </c>
      <c r="CL609" t="s">
        <v>135</v>
      </c>
      <c r="CM609" t="s">
        <v>135</v>
      </c>
      <c r="CN609" t="s">
        <v>135</v>
      </c>
      <c r="CO609" t="s">
        <v>135</v>
      </c>
      <c r="CP609" t="s">
        <v>135</v>
      </c>
      <c r="CQ609" t="s">
        <v>135</v>
      </c>
      <c r="CR609" t="s">
        <v>135</v>
      </c>
      <c r="CS609" t="s">
        <v>135</v>
      </c>
      <c r="CT609" t="s">
        <v>135</v>
      </c>
      <c r="CU609" t="s">
        <v>135</v>
      </c>
      <c r="CV609" t="s">
        <v>135</v>
      </c>
      <c r="CW609" t="s">
        <v>135</v>
      </c>
      <c r="CX609" t="s">
        <v>135</v>
      </c>
      <c r="CY609" t="s">
        <v>135</v>
      </c>
      <c r="CZ609" t="s">
        <v>135</v>
      </c>
      <c r="DA609" t="s">
        <v>135</v>
      </c>
      <c r="DB609" t="s">
        <v>135</v>
      </c>
      <c r="DC609" t="s">
        <v>135</v>
      </c>
      <c r="DD609" t="s">
        <v>135</v>
      </c>
      <c r="DE609" t="s">
        <v>135</v>
      </c>
      <c r="DF609" t="s">
        <v>135</v>
      </c>
      <c r="DG609" t="s">
        <v>135</v>
      </c>
      <c r="DH609" t="s">
        <v>135</v>
      </c>
      <c r="DI609" t="s">
        <v>135</v>
      </c>
    </row>
    <row r="610" spans="4:113" x14ac:dyDescent="0.3">
      <c r="E610" t="s">
        <v>79</v>
      </c>
      <c r="F610" t="s">
        <v>135</v>
      </c>
      <c r="G610" t="s">
        <v>135</v>
      </c>
      <c r="H610" t="s">
        <v>135</v>
      </c>
      <c r="I610" t="s">
        <v>135</v>
      </c>
      <c r="J610" t="s">
        <v>135</v>
      </c>
      <c r="K610" t="s">
        <v>135</v>
      </c>
      <c r="L610" t="s">
        <v>135</v>
      </c>
      <c r="M610" t="s">
        <v>135</v>
      </c>
      <c r="N610" t="s">
        <v>135</v>
      </c>
      <c r="O610" t="s">
        <v>135</v>
      </c>
      <c r="P610" t="s">
        <v>135</v>
      </c>
      <c r="Q610" t="s">
        <v>135</v>
      </c>
      <c r="R610" t="s">
        <v>135</v>
      </c>
      <c r="S610" t="s">
        <v>135</v>
      </c>
      <c r="T610" t="s">
        <v>135</v>
      </c>
      <c r="U610" t="s">
        <v>135</v>
      </c>
      <c r="V610" t="s">
        <v>135</v>
      </c>
      <c r="W610" t="s">
        <v>135</v>
      </c>
      <c r="X610" t="s">
        <v>135</v>
      </c>
      <c r="Y610" t="s">
        <v>135</v>
      </c>
      <c r="Z610" t="s">
        <v>135</v>
      </c>
      <c r="AA610" t="s">
        <v>135</v>
      </c>
      <c r="AB610" t="s">
        <v>135</v>
      </c>
      <c r="AC610" t="s">
        <v>135</v>
      </c>
      <c r="AD610" t="s">
        <v>135</v>
      </c>
      <c r="AE610" t="s">
        <v>135</v>
      </c>
      <c r="AF610" t="s">
        <v>135</v>
      </c>
      <c r="AG610" t="s">
        <v>135</v>
      </c>
      <c r="AH610" t="s">
        <v>135</v>
      </c>
      <c r="AI610" t="s">
        <v>135</v>
      </c>
      <c r="AJ610" t="s">
        <v>135</v>
      </c>
      <c r="AK610" t="s">
        <v>135</v>
      </c>
      <c r="AL610" t="s">
        <v>135</v>
      </c>
      <c r="AM610" t="s">
        <v>135</v>
      </c>
      <c r="AN610" t="s">
        <v>135</v>
      </c>
      <c r="AO610" t="s">
        <v>135</v>
      </c>
      <c r="AP610" t="s">
        <v>135</v>
      </c>
      <c r="AQ610" t="s">
        <v>135</v>
      </c>
      <c r="AR610" t="s">
        <v>135</v>
      </c>
      <c r="AS610" t="s">
        <v>135</v>
      </c>
      <c r="AT610" t="s">
        <v>135</v>
      </c>
      <c r="AU610" t="s">
        <v>135</v>
      </c>
      <c r="AV610" t="s">
        <v>135</v>
      </c>
      <c r="AW610" t="s">
        <v>135</v>
      </c>
      <c r="AX610" t="s">
        <v>135</v>
      </c>
      <c r="AY610" t="s">
        <v>135</v>
      </c>
      <c r="AZ610" t="s">
        <v>135</v>
      </c>
      <c r="BA610" t="s">
        <v>135</v>
      </c>
      <c r="BB610" t="s">
        <v>135</v>
      </c>
      <c r="BC610" t="s">
        <v>135</v>
      </c>
      <c r="BD610" t="s">
        <v>135</v>
      </c>
      <c r="BE610" t="s">
        <v>135</v>
      </c>
      <c r="BF610" t="s">
        <v>135</v>
      </c>
      <c r="BG610" t="s">
        <v>135</v>
      </c>
      <c r="BH610" t="s">
        <v>135</v>
      </c>
      <c r="BI610" t="s">
        <v>135</v>
      </c>
      <c r="BJ610" t="s">
        <v>135</v>
      </c>
      <c r="BK610" t="s">
        <v>135</v>
      </c>
      <c r="BL610" t="s">
        <v>135</v>
      </c>
      <c r="BM610" t="s">
        <v>135</v>
      </c>
      <c r="BN610" t="s">
        <v>135</v>
      </c>
      <c r="BO610" t="s">
        <v>135</v>
      </c>
      <c r="BP610" t="s">
        <v>135</v>
      </c>
      <c r="BQ610" t="s">
        <v>135</v>
      </c>
      <c r="BR610" t="s">
        <v>135</v>
      </c>
      <c r="BS610" t="s">
        <v>135</v>
      </c>
      <c r="BT610" t="s">
        <v>135</v>
      </c>
      <c r="BU610" t="s">
        <v>135</v>
      </c>
      <c r="BV610" t="s">
        <v>135</v>
      </c>
      <c r="BW610" t="s">
        <v>135</v>
      </c>
      <c r="BX610" t="s">
        <v>135</v>
      </c>
      <c r="BY610" t="s">
        <v>135</v>
      </c>
      <c r="BZ610" t="s">
        <v>135</v>
      </c>
      <c r="CA610" t="s">
        <v>135</v>
      </c>
      <c r="CB610" t="s">
        <v>135</v>
      </c>
      <c r="CC610" t="s">
        <v>135</v>
      </c>
      <c r="CD610" t="s">
        <v>135</v>
      </c>
      <c r="CE610" t="s">
        <v>135</v>
      </c>
      <c r="CF610" t="s">
        <v>135</v>
      </c>
      <c r="CG610" t="s">
        <v>135</v>
      </c>
      <c r="CH610" t="s">
        <v>135</v>
      </c>
      <c r="CI610" t="s">
        <v>135</v>
      </c>
      <c r="CJ610" t="s">
        <v>135</v>
      </c>
      <c r="CK610" t="s">
        <v>135</v>
      </c>
      <c r="CL610" t="s">
        <v>135</v>
      </c>
      <c r="CM610" t="s">
        <v>135</v>
      </c>
      <c r="CN610" t="s">
        <v>135</v>
      </c>
      <c r="CO610" t="s">
        <v>135</v>
      </c>
      <c r="CP610" t="s">
        <v>135</v>
      </c>
      <c r="CQ610" t="s">
        <v>135</v>
      </c>
      <c r="CR610" t="s">
        <v>135</v>
      </c>
      <c r="CS610" t="s">
        <v>135</v>
      </c>
      <c r="CT610" t="s">
        <v>135</v>
      </c>
      <c r="CU610" t="s">
        <v>135</v>
      </c>
      <c r="CV610" t="s">
        <v>135</v>
      </c>
      <c r="CW610" t="s">
        <v>135</v>
      </c>
      <c r="CX610" t="s">
        <v>135</v>
      </c>
      <c r="CY610" t="s">
        <v>135</v>
      </c>
      <c r="CZ610" t="s">
        <v>135</v>
      </c>
      <c r="DA610" t="s">
        <v>135</v>
      </c>
      <c r="DB610" t="s">
        <v>135</v>
      </c>
      <c r="DC610" t="s">
        <v>135</v>
      </c>
      <c r="DD610" t="s">
        <v>135</v>
      </c>
      <c r="DE610" t="s">
        <v>135</v>
      </c>
      <c r="DF610" t="s">
        <v>135</v>
      </c>
      <c r="DG610" t="s">
        <v>135</v>
      </c>
      <c r="DH610" t="s">
        <v>135</v>
      </c>
      <c r="DI610" t="s">
        <v>135</v>
      </c>
    </row>
    <row r="611" spans="4:113" x14ac:dyDescent="0.3">
      <c r="E611" t="s">
        <v>80</v>
      </c>
      <c r="F611" t="s">
        <v>135</v>
      </c>
      <c r="G611" t="s">
        <v>135</v>
      </c>
      <c r="H611" t="s">
        <v>135</v>
      </c>
      <c r="I611" t="s">
        <v>135</v>
      </c>
      <c r="J611" t="s">
        <v>135</v>
      </c>
      <c r="K611" t="s">
        <v>135</v>
      </c>
      <c r="L611" t="s">
        <v>135</v>
      </c>
      <c r="M611" t="s">
        <v>135</v>
      </c>
      <c r="N611" t="s">
        <v>135</v>
      </c>
      <c r="O611" t="s">
        <v>135</v>
      </c>
      <c r="P611" t="s">
        <v>135</v>
      </c>
      <c r="Q611" t="s">
        <v>135</v>
      </c>
      <c r="R611" t="s">
        <v>135</v>
      </c>
      <c r="S611" t="s">
        <v>135</v>
      </c>
      <c r="T611" t="s">
        <v>135</v>
      </c>
      <c r="U611" t="s">
        <v>135</v>
      </c>
      <c r="V611" t="s">
        <v>135</v>
      </c>
      <c r="W611" t="s">
        <v>135</v>
      </c>
      <c r="X611" t="s">
        <v>135</v>
      </c>
      <c r="Y611" t="s">
        <v>135</v>
      </c>
      <c r="Z611" t="s">
        <v>135</v>
      </c>
      <c r="AA611" t="s">
        <v>135</v>
      </c>
      <c r="AB611" t="s">
        <v>135</v>
      </c>
      <c r="AC611" t="s">
        <v>135</v>
      </c>
      <c r="AD611" t="s">
        <v>135</v>
      </c>
      <c r="AE611" t="s">
        <v>135</v>
      </c>
      <c r="AF611" t="s">
        <v>135</v>
      </c>
      <c r="AG611" t="s">
        <v>135</v>
      </c>
      <c r="AH611" t="s">
        <v>135</v>
      </c>
      <c r="AI611" t="s">
        <v>135</v>
      </c>
      <c r="AJ611" t="s">
        <v>135</v>
      </c>
      <c r="AK611" t="s">
        <v>135</v>
      </c>
      <c r="AL611" t="s">
        <v>135</v>
      </c>
      <c r="AM611" t="s">
        <v>135</v>
      </c>
      <c r="AN611" t="s">
        <v>135</v>
      </c>
      <c r="AO611" t="s">
        <v>135</v>
      </c>
      <c r="AP611" t="s">
        <v>135</v>
      </c>
      <c r="AQ611" t="s">
        <v>135</v>
      </c>
      <c r="AR611" t="s">
        <v>135</v>
      </c>
      <c r="AS611" t="s">
        <v>135</v>
      </c>
      <c r="AT611" t="s">
        <v>135</v>
      </c>
      <c r="AU611" t="s">
        <v>135</v>
      </c>
      <c r="AV611" t="s">
        <v>135</v>
      </c>
      <c r="AW611" t="s">
        <v>135</v>
      </c>
      <c r="AX611" t="s">
        <v>135</v>
      </c>
      <c r="AY611" t="s">
        <v>135</v>
      </c>
      <c r="AZ611" t="s">
        <v>135</v>
      </c>
      <c r="BA611" t="s">
        <v>135</v>
      </c>
      <c r="BB611" t="s">
        <v>135</v>
      </c>
      <c r="BC611" t="s">
        <v>135</v>
      </c>
      <c r="BD611" t="s">
        <v>135</v>
      </c>
      <c r="BE611" t="s">
        <v>135</v>
      </c>
      <c r="BF611" t="s">
        <v>135</v>
      </c>
      <c r="BG611" t="s">
        <v>135</v>
      </c>
      <c r="BH611" t="s">
        <v>135</v>
      </c>
      <c r="BI611" t="s">
        <v>135</v>
      </c>
      <c r="BJ611" t="s">
        <v>135</v>
      </c>
      <c r="BK611" t="s">
        <v>135</v>
      </c>
      <c r="BL611" t="s">
        <v>135</v>
      </c>
      <c r="BM611" t="s">
        <v>135</v>
      </c>
      <c r="BN611" t="s">
        <v>135</v>
      </c>
      <c r="BO611" t="s">
        <v>135</v>
      </c>
      <c r="BP611" t="s">
        <v>135</v>
      </c>
      <c r="BQ611" t="s">
        <v>135</v>
      </c>
      <c r="BR611" t="s">
        <v>135</v>
      </c>
      <c r="BS611" t="s">
        <v>135</v>
      </c>
      <c r="BT611" t="s">
        <v>135</v>
      </c>
      <c r="BU611" t="s">
        <v>135</v>
      </c>
      <c r="BV611" t="s">
        <v>135</v>
      </c>
      <c r="BW611" t="s">
        <v>135</v>
      </c>
      <c r="BX611" t="s">
        <v>135</v>
      </c>
      <c r="BY611" t="s">
        <v>135</v>
      </c>
      <c r="BZ611" t="s">
        <v>135</v>
      </c>
      <c r="CA611" t="s">
        <v>135</v>
      </c>
      <c r="CB611" t="s">
        <v>135</v>
      </c>
      <c r="CC611" t="s">
        <v>135</v>
      </c>
      <c r="CD611" t="s">
        <v>135</v>
      </c>
      <c r="CE611" t="s">
        <v>135</v>
      </c>
      <c r="CF611" t="s">
        <v>135</v>
      </c>
      <c r="CG611" t="s">
        <v>135</v>
      </c>
      <c r="CH611" t="s">
        <v>135</v>
      </c>
      <c r="CI611" t="s">
        <v>135</v>
      </c>
      <c r="CJ611" t="s">
        <v>135</v>
      </c>
      <c r="CK611" t="s">
        <v>135</v>
      </c>
      <c r="CL611" t="s">
        <v>135</v>
      </c>
      <c r="CM611" t="s">
        <v>135</v>
      </c>
      <c r="CN611" t="s">
        <v>135</v>
      </c>
      <c r="CO611" t="s">
        <v>135</v>
      </c>
      <c r="CP611" t="s">
        <v>135</v>
      </c>
      <c r="CQ611" t="s">
        <v>135</v>
      </c>
      <c r="CR611" t="s">
        <v>135</v>
      </c>
      <c r="CS611" t="s">
        <v>135</v>
      </c>
      <c r="CT611" t="s">
        <v>135</v>
      </c>
      <c r="CU611" t="s">
        <v>135</v>
      </c>
      <c r="CV611" t="s">
        <v>135</v>
      </c>
      <c r="CW611" t="s">
        <v>135</v>
      </c>
      <c r="CX611" t="s">
        <v>135</v>
      </c>
      <c r="CY611" t="s">
        <v>135</v>
      </c>
      <c r="CZ611" t="s">
        <v>135</v>
      </c>
      <c r="DA611" t="s">
        <v>135</v>
      </c>
      <c r="DB611" t="s">
        <v>135</v>
      </c>
      <c r="DC611" t="s">
        <v>135</v>
      </c>
      <c r="DD611" t="s">
        <v>135</v>
      </c>
      <c r="DE611" t="s">
        <v>135</v>
      </c>
      <c r="DF611" t="s">
        <v>135</v>
      </c>
      <c r="DG611" t="s">
        <v>135</v>
      </c>
      <c r="DH611" t="s">
        <v>135</v>
      </c>
      <c r="DI611" t="s">
        <v>135</v>
      </c>
    </row>
    <row r="612" spans="4:113" x14ac:dyDescent="0.3">
      <c r="E612" t="s">
        <v>81</v>
      </c>
      <c r="F612" t="s">
        <v>135</v>
      </c>
      <c r="G612" t="s">
        <v>135</v>
      </c>
      <c r="H612" t="s">
        <v>135</v>
      </c>
      <c r="I612" t="s">
        <v>135</v>
      </c>
      <c r="J612" t="s">
        <v>135</v>
      </c>
      <c r="K612" t="s">
        <v>135</v>
      </c>
      <c r="L612" t="s">
        <v>135</v>
      </c>
      <c r="M612" t="s">
        <v>135</v>
      </c>
      <c r="N612" t="s">
        <v>135</v>
      </c>
      <c r="O612" t="s">
        <v>135</v>
      </c>
      <c r="P612" t="s">
        <v>135</v>
      </c>
      <c r="Q612" t="s">
        <v>135</v>
      </c>
      <c r="R612" t="s">
        <v>135</v>
      </c>
      <c r="S612" t="s">
        <v>135</v>
      </c>
      <c r="T612" t="s">
        <v>135</v>
      </c>
      <c r="U612" t="s">
        <v>135</v>
      </c>
      <c r="V612" t="s">
        <v>135</v>
      </c>
      <c r="W612" t="s">
        <v>135</v>
      </c>
      <c r="X612" t="s">
        <v>135</v>
      </c>
      <c r="Y612" t="s">
        <v>135</v>
      </c>
      <c r="Z612" t="s">
        <v>135</v>
      </c>
      <c r="AA612" t="s">
        <v>135</v>
      </c>
      <c r="AB612" t="s">
        <v>135</v>
      </c>
      <c r="AC612" t="s">
        <v>135</v>
      </c>
      <c r="AD612" t="s">
        <v>135</v>
      </c>
      <c r="AE612" t="s">
        <v>135</v>
      </c>
      <c r="AF612" t="s">
        <v>135</v>
      </c>
      <c r="AG612" t="s">
        <v>135</v>
      </c>
      <c r="AH612" t="s">
        <v>135</v>
      </c>
      <c r="AI612" t="s">
        <v>135</v>
      </c>
      <c r="AJ612" t="s">
        <v>135</v>
      </c>
      <c r="AK612" t="s">
        <v>135</v>
      </c>
      <c r="AL612" t="s">
        <v>135</v>
      </c>
      <c r="AM612" t="s">
        <v>135</v>
      </c>
      <c r="AN612" t="s">
        <v>135</v>
      </c>
      <c r="AO612" t="s">
        <v>135</v>
      </c>
      <c r="AP612" t="s">
        <v>135</v>
      </c>
      <c r="AQ612" t="s">
        <v>135</v>
      </c>
      <c r="AR612" t="s">
        <v>135</v>
      </c>
      <c r="AS612" t="s">
        <v>135</v>
      </c>
      <c r="AT612" t="s">
        <v>135</v>
      </c>
      <c r="AU612" t="s">
        <v>135</v>
      </c>
      <c r="AV612" t="s">
        <v>135</v>
      </c>
      <c r="AW612" t="s">
        <v>135</v>
      </c>
      <c r="AX612" t="s">
        <v>135</v>
      </c>
      <c r="AY612" t="s">
        <v>135</v>
      </c>
      <c r="AZ612" t="s">
        <v>135</v>
      </c>
      <c r="BA612" t="s">
        <v>135</v>
      </c>
      <c r="BB612" t="s">
        <v>135</v>
      </c>
      <c r="BC612" t="s">
        <v>135</v>
      </c>
      <c r="BD612" t="s">
        <v>135</v>
      </c>
      <c r="BE612" t="s">
        <v>135</v>
      </c>
      <c r="BF612" t="s">
        <v>135</v>
      </c>
      <c r="BG612" t="s">
        <v>135</v>
      </c>
      <c r="BH612" t="s">
        <v>135</v>
      </c>
      <c r="BI612" t="s">
        <v>135</v>
      </c>
      <c r="BJ612" t="s">
        <v>135</v>
      </c>
      <c r="BK612" t="s">
        <v>135</v>
      </c>
      <c r="BL612" t="s">
        <v>135</v>
      </c>
      <c r="BM612" t="s">
        <v>135</v>
      </c>
      <c r="BN612" t="s">
        <v>135</v>
      </c>
      <c r="BO612" t="s">
        <v>135</v>
      </c>
      <c r="BP612" t="s">
        <v>135</v>
      </c>
      <c r="BQ612" t="s">
        <v>135</v>
      </c>
      <c r="BR612" t="s">
        <v>135</v>
      </c>
      <c r="BS612" t="s">
        <v>135</v>
      </c>
      <c r="BT612" t="s">
        <v>135</v>
      </c>
      <c r="BU612" t="s">
        <v>135</v>
      </c>
      <c r="BV612" t="s">
        <v>135</v>
      </c>
      <c r="BW612" t="s">
        <v>135</v>
      </c>
      <c r="BX612" t="s">
        <v>135</v>
      </c>
      <c r="BY612" t="s">
        <v>135</v>
      </c>
      <c r="BZ612" t="s">
        <v>135</v>
      </c>
      <c r="CA612" t="s">
        <v>135</v>
      </c>
      <c r="CB612" t="s">
        <v>135</v>
      </c>
      <c r="CC612" t="s">
        <v>135</v>
      </c>
      <c r="CD612" t="s">
        <v>135</v>
      </c>
      <c r="CE612" t="s">
        <v>135</v>
      </c>
      <c r="CF612" t="s">
        <v>135</v>
      </c>
      <c r="CG612" t="s">
        <v>135</v>
      </c>
      <c r="CH612" t="s">
        <v>135</v>
      </c>
      <c r="CI612" t="s">
        <v>135</v>
      </c>
      <c r="CJ612" t="s">
        <v>135</v>
      </c>
      <c r="CK612" t="s">
        <v>135</v>
      </c>
      <c r="CL612" t="s">
        <v>135</v>
      </c>
      <c r="CM612" t="s">
        <v>135</v>
      </c>
      <c r="CN612" t="s">
        <v>135</v>
      </c>
      <c r="CO612" t="s">
        <v>135</v>
      </c>
      <c r="CP612" t="s">
        <v>135</v>
      </c>
      <c r="CQ612" t="s">
        <v>135</v>
      </c>
      <c r="CR612" t="s">
        <v>135</v>
      </c>
      <c r="CS612" t="s">
        <v>135</v>
      </c>
      <c r="CT612" t="s">
        <v>135</v>
      </c>
      <c r="CU612" t="s">
        <v>135</v>
      </c>
      <c r="CV612" t="s">
        <v>135</v>
      </c>
      <c r="CW612" t="s">
        <v>135</v>
      </c>
      <c r="CX612" t="s">
        <v>135</v>
      </c>
      <c r="CY612" t="s">
        <v>135</v>
      </c>
      <c r="CZ612" t="s">
        <v>135</v>
      </c>
      <c r="DA612" t="s">
        <v>135</v>
      </c>
      <c r="DB612" t="s">
        <v>135</v>
      </c>
      <c r="DC612" t="s">
        <v>135</v>
      </c>
      <c r="DD612" t="s">
        <v>135</v>
      </c>
      <c r="DE612" t="s">
        <v>135</v>
      </c>
      <c r="DF612" t="s">
        <v>135</v>
      </c>
      <c r="DG612" t="s">
        <v>135</v>
      </c>
      <c r="DH612" t="s">
        <v>135</v>
      </c>
      <c r="DI612" t="s">
        <v>135</v>
      </c>
    </row>
    <row r="613" spans="4:113" x14ac:dyDescent="0.3">
      <c r="D613" t="s">
        <v>83</v>
      </c>
      <c r="E613" t="s">
        <v>77</v>
      </c>
      <c r="F613">
        <v>19.896999999999998</v>
      </c>
      <c r="G613">
        <v>1.6787000000000001</v>
      </c>
      <c r="H613">
        <v>6.0255999999999998</v>
      </c>
      <c r="I613">
        <v>7.3148999999999997</v>
      </c>
      <c r="J613" t="s">
        <v>135</v>
      </c>
      <c r="K613">
        <v>51.4895</v>
      </c>
      <c r="L613">
        <v>50.231699999999996</v>
      </c>
      <c r="M613">
        <v>23.099900000000002</v>
      </c>
      <c r="N613">
        <v>34.677399999999999</v>
      </c>
      <c r="O613">
        <v>34.677399999999999</v>
      </c>
      <c r="P613">
        <v>34.677399999999999</v>
      </c>
      <c r="Q613">
        <v>32.651499999999999</v>
      </c>
      <c r="R613">
        <v>16.623799999999999</v>
      </c>
      <c r="S613">
        <v>16.589300000000001</v>
      </c>
      <c r="T613">
        <v>18.8764</v>
      </c>
      <c r="U613" t="s">
        <v>135</v>
      </c>
      <c r="V613">
        <v>29.422999999999998</v>
      </c>
      <c r="W613">
        <v>26.647600000000001</v>
      </c>
      <c r="X613">
        <v>23.546600000000002</v>
      </c>
      <c r="Y613">
        <v>11.1111</v>
      </c>
      <c r="Z613" t="s">
        <v>135</v>
      </c>
      <c r="AA613" t="s">
        <v>135</v>
      </c>
      <c r="AB613">
        <v>47.465200000000003</v>
      </c>
      <c r="AC613">
        <v>21.374300000000002</v>
      </c>
      <c r="AD613" t="s">
        <v>135</v>
      </c>
      <c r="AE613" t="s">
        <v>135</v>
      </c>
      <c r="AF613" t="s">
        <v>135</v>
      </c>
      <c r="AG613">
        <v>5.2908999999999997</v>
      </c>
      <c r="AH613">
        <v>20.3857</v>
      </c>
      <c r="AI613">
        <v>17.974799999999998</v>
      </c>
      <c r="AJ613">
        <v>19.649999999999999</v>
      </c>
      <c r="AK613">
        <v>17.1906</v>
      </c>
      <c r="AL613">
        <v>39.1068</v>
      </c>
      <c r="AM613">
        <v>28.327999999999999</v>
      </c>
      <c r="AN613" t="s">
        <v>135</v>
      </c>
      <c r="AO613">
        <v>28.023299999999999</v>
      </c>
      <c r="AP613">
        <v>28.3187</v>
      </c>
      <c r="AQ613">
        <v>23.880500000000001</v>
      </c>
      <c r="AR613">
        <v>31.950800000000001</v>
      </c>
      <c r="AS613" t="s">
        <v>135</v>
      </c>
      <c r="AT613" t="s">
        <v>135</v>
      </c>
      <c r="AU613">
        <v>29.081499999999998</v>
      </c>
      <c r="AV613">
        <v>22.869399999999999</v>
      </c>
      <c r="AW613" t="s">
        <v>135</v>
      </c>
      <c r="AX613" t="s">
        <v>135</v>
      </c>
      <c r="AY613" t="s">
        <v>135</v>
      </c>
      <c r="AZ613">
        <v>28.2606</v>
      </c>
      <c r="BA613">
        <v>36.420200000000001</v>
      </c>
      <c r="BB613">
        <v>29.395</v>
      </c>
      <c r="BC613">
        <v>34.063400000000001</v>
      </c>
      <c r="BD613">
        <v>24.5261</v>
      </c>
      <c r="BE613" t="s">
        <v>135</v>
      </c>
      <c r="BF613">
        <v>18.8764</v>
      </c>
      <c r="BG613" t="s">
        <v>135</v>
      </c>
      <c r="BH613">
        <v>29.422999999999998</v>
      </c>
      <c r="BI613">
        <v>26.647600000000001</v>
      </c>
      <c r="BJ613">
        <v>23.546600000000002</v>
      </c>
      <c r="BK613">
        <v>11.1111</v>
      </c>
      <c r="BL613" t="s">
        <v>135</v>
      </c>
      <c r="BM613" t="s">
        <v>135</v>
      </c>
      <c r="BN613">
        <v>47.465200000000003</v>
      </c>
      <c r="BO613">
        <v>21.374300000000002</v>
      </c>
      <c r="BP613" t="s">
        <v>135</v>
      </c>
      <c r="BQ613" t="s">
        <v>135</v>
      </c>
      <c r="BR613" t="s">
        <v>135</v>
      </c>
      <c r="BS613">
        <v>5.2908999999999997</v>
      </c>
      <c r="BT613">
        <v>20.3857</v>
      </c>
      <c r="BU613">
        <v>17.974799999999998</v>
      </c>
      <c r="BV613">
        <v>19.649999999999999</v>
      </c>
      <c r="BW613">
        <v>17.1906</v>
      </c>
      <c r="BX613" t="s">
        <v>135</v>
      </c>
      <c r="BY613">
        <v>319759.23700000002</v>
      </c>
      <c r="BZ613">
        <v>104574.63400000001</v>
      </c>
      <c r="CA613">
        <v>215184.603</v>
      </c>
      <c r="CB613" t="s">
        <v>135</v>
      </c>
      <c r="CC613" t="s">
        <v>135</v>
      </c>
      <c r="CD613">
        <v>8.5129999999999999</v>
      </c>
      <c r="CE613">
        <v>6.3249000000000004</v>
      </c>
      <c r="CF613" t="s">
        <v>135</v>
      </c>
      <c r="CG613">
        <v>8.3285999999999998</v>
      </c>
      <c r="CH613">
        <v>156.3571</v>
      </c>
      <c r="CI613">
        <v>47.046900000000001</v>
      </c>
      <c r="CJ613">
        <v>13.0223</v>
      </c>
      <c r="CK613">
        <v>232.34299999999999</v>
      </c>
      <c r="CL613">
        <v>69.910600000000002</v>
      </c>
      <c r="CM613">
        <v>19.350899999999999</v>
      </c>
      <c r="CN613">
        <v>172.62289999999999</v>
      </c>
      <c r="CO613">
        <v>63.319299999999998</v>
      </c>
      <c r="CP613" t="s">
        <v>135</v>
      </c>
      <c r="CQ613" t="s">
        <v>135</v>
      </c>
      <c r="CR613">
        <v>37561.197</v>
      </c>
      <c r="CS613" t="s">
        <v>135</v>
      </c>
      <c r="CT613" t="s">
        <v>135</v>
      </c>
      <c r="CU613" t="s">
        <v>135</v>
      </c>
      <c r="CV613" t="s">
        <v>135</v>
      </c>
      <c r="CW613" t="s">
        <v>135</v>
      </c>
      <c r="CX613" t="s">
        <v>135</v>
      </c>
      <c r="CY613" t="s">
        <v>135</v>
      </c>
      <c r="CZ613" t="s">
        <v>135</v>
      </c>
      <c r="DA613" t="s">
        <v>135</v>
      </c>
      <c r="DB613" t="s">
        <v>135</v>
      </c>
      <c r="DC613" t="s">
        <v>135</v>
      </c>
      <c r="DD613" t="s">
        <v>135</v>
      </c>
      <c r="DE613" t="s">
        <v>135</v>
      </c>
      <c r="DF613" t="s">
        <v>135</v>
      </c>
      <c r="DG613" t="s">
        <v>135</v>
      </c>
      <c r="DH613" t="s">
        <v>135</v>
      </c>
      <c r="DI613" t="s">
        <v>135</v>
      </c>
    </row>
    <row r="614" spans="4:113" x14ac:dyDescent="0.3">
      <c r="E614" t="s">
        <v>78</v>
      </c>
      <c r="F614" t="s">
        <v>135</v>
      </c>
      <c r="G614" t="s">
        <v>135</v>
      </c>
      <c r="H614" t="s">
        <v>135</v>
      </c>
      <c r="I614" t="s">
        <v>135</v>
      </c>
      <c r="J614" t="s">
        <v>135</v>
      </c>
      <c r="K614" t="s">
        <v>135</v>
      </c>
      <c r="L614" t="s">
        <v>135</v>
      </c>
      <c r="M614" t="s">
        <v>135</v>
      </c>
      <c r="N614" t="s">
        <v>135</v>
      </c>
      <c r="O614" t="s">
        <v>135</v>
      </c>
      <c r="P614" t="s">
        <v>135</v>
      </c>
      <c r="Q614" t="s">
        <v>135</v>
      </c>
      <c r="R614" t="s">
        <v>135</v>
      </c>
      <c r="S614" t="s">
        <v>135</v>
      </c>
      <c r="T614" t="s">
        <v>135</v>
      </c>
      <c r="U614" t="s">
        <v>135</v>
      </c>
      <c r="V614" t="s">
        <v>135</v>
      </c>
      <c r="W614" t="s">
        <v>135</v>
      </c>
      <c r="X614" t="s">
        <v>135</v>
      </c>
      <c r="Y614" t="s">
        <v>135</v>
      </c>
      <c r="Z614" t="s">
        <v>135</v>
      </c>
      <c r="AA614" t="s">
        <v>135</v>
      </c>
      <c r="AB614" t="s">
        <v>135</v>
      </c>
      <c r="AC614" t="s">
        <v>135</v>
      </c>
      <c r="AD614" t="s">
        <v>135</v>
      </c>
      <c r="AE614" t="s">
        <v>135</v>
      </c>
      <c r="AF614" t="s">
        <v>135</v>
      </c>
      <c r="AG614" t="s">
        <v>135</v>
      </c>
      <c r="AH614" t="s">
        <v>135</v>
      </c>
      <c r="AI614" t="s">
        <v>135</v>
      </c>
      <c r="AJ614" t="s">
        <v>135</v>
      </c>
      <c r="AK614" t="s">
        <v>135</v>
      </c>
      <c r="AL614" t="s">
        <v>135</v>
      </c>
      <c r="AM614" t="s">
        <v>135</v>
      </c>
      <c r="AN614" t="s">
        <v>135</v>
      </c>
      <c r="AO614" t="s">
        <v>135</v>
      </c>
      <c r="AP614" t="s">
        <v>135</v>
      </c>
      <c r="AQ614" t="s">
        <v>135</v>
      </c>
      <c r="AR614" t="s">
        <v>135</v>
      </c>
      <c r="AS614" t="s">
        <v>135</v>
      </c>
      <c r="AT614" t="s">
        <v>135</v>
      </c>
      <c r="AU614" t="s">
        <v>135</v>
      </c>
      <c r="AV614" t="s">
        <v>135</v>
      </c>
      <c r="AW614" t="s">
        <v>135</v>
      </c>
      <c r="AX614" t="s">
        <v>135</v>
      </c>
      <c r="AY614" t="s">
        <v>135</v>
      </c>
      <c r="AZ614" t="s">
        <v>135</v>
      </c>
      <c r="BA614" t="s">
        <v>135</v>
      </c>
      <c r="BB614" t="s">
        <v>135</v>
      </c>
      <c r="BC614" t="s">
        <v>135</v>
      </c>
      <c r="BD614" t="s">
        <v>135</v>
      </c>
      <c r="BE614" t="s">
        <v>135</v>
      </c>
      <c r="BF614" t="s">
        <v>135</v>
      </c>
      <c r="BG614" t="s">
        <v>135</v>
      </c>
      <c r="BH614" t="s">
        <v>135</v>
      </c>
      <c r="BI614" t="s">
        <v>135</v>
      </c>
      <c r="BJ614" t="s">
        <v>135</v>
      </c>
      <c r="BK614" t="s">
        <v>135</v>
      </c>
      <c r="BL614" t="s">
        <v>135</v>
      </c>
      <c r="BM614" t="s">
        <v>135</v>
      </c>
      <c r="BN614" t="s">
        <v>135</v>
      </c>
      <c r="BO614" t="s">
        <v>135</v>
      </c>
      <c r="BP614" t="s">
        <v>135</v>
      </c>
      <c r="BQ614" t="s">
        <v>135</v>
      </c>
      <c r="BR614" t="s">
        <v>135</v>
      </c>
      <c r="BS614" t="s">
        <v>135</v>
      </c>
      <c r="BT614" t="s">
        <v>135</v>
      </c>
      <c r="BU614" t="s">
        <v>135</v>
      </c>
      <c r="BV614" t="s">
        <v>135</v>
      </c>
      <c r="BW614" t="s">
        <v>135</v>
      </c>
      <c r="BX614" t="s">
        <v>135</v>
      </c>
      <c r="BY614" t="s">
        <v>135</v>
      </c>
      <c r="BZ614" t="s">
        <v>135</v>
      </c>
      <c r="CA614" t="s">
        <v>135</v>
      </c>
      <c r="CB614" t="s">
        <v>135</v>
      </c>
      <c r="CC614" t="s">
        <v>135</v>
      </c>
      <c r="CD614" t="s">
        <v>135</v>
      </c>
      <c r="CE614" t="s">
        <v>135</v>
      </c>
      <c r="CF614" t="s">
        <v>135</v>
      </c>
      <c r="CG614" t="s">
        <v>135</v>
      </c>
      <c r="CH614" t="s">
        <v>135</v>
      </c>
      <c r="CI614" t="s">
        <v>135</v>
      </c>
      <c r="CJ614" t="s">
        <v>135</v>
      </c>
      <c r="CK614" t="s">
        <v>135</v>
      </c>
      <c r="CL614" t="s">
        <v>135</v>
      </c>
      <c r="CM614" t="s">
        <v>135</v>
      </c>
      <c r="CN614" t="s">
        <v>135</v>
      </c>
      <c r="CO614" t="s">
        <v>135</v>
      </c>
      <c r="CP614" t="s">
        <v>135</v>
      </c>
      <c r="CQ614" t="s">
        <v>135</v>
      </c>
      <c r="CR614" t="s">
        <v>135</v>
      </c>
      <c r="CS614" t="s">
        <v>135</v>
      </c>
      <c r="CT614" t="s">
        <v>135</v>
      </c>
      <c r="CU614" t="s">
        <v>135</v>
      </c>
      <c r="CV614" t="s">
        <v>135</v>
      </c>
      <c r="CW614" t="s">
        <v>135</v>
      </c>
      <c r="CX614" t="s">
        <v>135</v>
      </c>
      <c r="CY614" t="s">
        <v>135</v>
      </c>
      <c r="CZ614" t="s">
        <v>135</v>
      </c>
      <c r="DA614" t="s">
        <v>135</v>
      </c>
      <c r="DB614" t="s">
        <v>135</v>
      </c>
      <c r="DC614" t="s">
        <v>135</v>
      </c>
      <c r="DD614" t="s">
        <v>135</v>
      </c>
      <c r="DE614" t="s">
        <v>135</v>
      </c>
      <c r="DF614" t="s">
        <v>135</v>
      </c>
      <c r="DG614" t="s">
        <v>135</v>
      </c>
      <c r="DH614" t="s">
        <v>135</v>
      </c>
      <c r="DI614" t="s">
        <v>135</v>
      </c>
    </row>
    <row r="615" spans="4:113" x14ac:dyDescent="0.3">
      <c r="E615" t="s">
        <v>79</v>
      </c>
      <c r="F615" t="s">
        <v>135</v>
      </c>
      <c r="G615" t="s">
        <v>135</v>
      </c>
      <c r="H615" t="s">
        <v>135</v>
      </c>
      <c r="I615" t="s">
        <v>135</v>
      </c>
      <c r="J615" t="s">
        <v>135</v>
      </c>
      <c r="K615" t="s">
        <v>135</v>
      </c>
      <c r="L615" t="s">
        <v>135</v>
      </c>
      <c r="M615" t="s">
        <v>135</v>
      </c>
      <c r="N615" t="s">
        <v>135</v>
      </c>
      <c r="O615" t="s">
        <v>135</v>
      </c>
      <c r="P615" t="s">
        <v>135</v>
      </c>
      <c r="Q615" t="s">
        <v>135</v>
      </c>
      <c r="R615" t="s">
        <v>135</v>
      </c>
      <c r="S615" t="s">
        <v>135</v>
      </c>
      <c r="T615" t="s">
        <v>135</v>
      </c>
      <c r="U615" t="s">
        <v>135</v>
      </c>
      <c r="V615" t="s">
        <v>135</v>
      </c>
      <c r="W615" t="s">
        <v>135</v>
      </c>
      <c r="X615" t="s">
        <v>135</v>
      </c>
      <c r="Y615" t="s">
        <v>135</v>
      </c>
      <c r="Z615" t="s">
        <v>135</v>
      </c>
      <c r="AA615" t="s">
        <v>135</v>
      </c>
      <c r="AB615" t="s">
        <v>135</v>
      </c>
      <c r="AC615" t="s">
        <v>135</v>
      </c>
      <c r="AD615" t="s">
        <v>135</v>
      </c>
      <c r="AE615" t="s">
        <v>135</v>
      </c>
      <c r="AF615" t="s">
        <v>135</v>
      </c>
      <c r="AG615" t="s">
        <v>135</v>
      </c>
      <c r="AH615" t="s">
        <v>135</v>
      </c>
      <c r="AI615" t="s">
        <v>135</v>
      </c>
      <c r="AJ615" t="s">
        <v>135</v>
      </c>
      <c r="AK615" t="s">
        <v>135</v>
      </c>
      <c r="AL615" t="s">
        <v>135</v>
      </c>
      <c r="AM615" t="s">
        <v>135</v>
      </c>
      <c r="AN615" t="s">
        <v>135</v>
      </c>
      <c r="AO615" t="s">
        <v>135</v>
      </c>
      <c r="AP615" t="s">
        <v>135</v>
      </c>
      <c r="AQ615" t="s">
        <v>135</v>
      </c>
      <c r="AR615" t="s">
        <v>135</v>
      </c>
      <c r="AS615" t="s">
        <v>135</v>
      </c>
      <c r="AT615" t="s">
        <v>135</v>
      </c>
      <c r="AU615" t="s">
        <v>135</v>
      </c>
      <c r="AV615" t="s">
        <v>135</v>
      </c>
      <c r="AW615" t="s">
        <v>135</v>
      </c>
      <c r="AX615" t="s">
        <v>135</v>
      </c>
      <c r="AY615" t="s">
        <v>135</v>
      </c>
      <c r="AZ615" t="s">
        <v>135</v>
      </c>
      <c r="BA615" t="s">
        <v>135</v>
      </c>
      <c r="BB615" t="s">
        <v>135</v>
      </c>
      <c r="BC615" t="s">
        <v>135</v>
      </c>
      <c r="BD615" t="s">
        <v>135</v>
      </c>
      <c r="BE615" t="s">
        <v>135</v>
      </c>
      <c r="BF615" t="s">
        <v>135</v>
      </c>
      <c r="BG615" t="s">
        <v>135</v>
      </c>
      <c r="BH615" t="s">
        <v>135</v>
      </c>
      <c r="BI615" t="s">
        <v>135</v>
      </c>
      <c r="BJ615" t="s">
        <v>135</v>
      </c>
      <c r="BK615" t="s">
        <v>135</v>
      </c>
      <c r="BL615" t="s">
        <v>135</v>
      </c>
      <c r="BM615" t="s">
        <v>135</v>
      </c>
      <c r="BN615" t="s">
        <v>135</v>
      </c>
      <c r="BO615" t="s">
        <v>135</v>
      </c>
      <c r="BP615" t="s">
        <v>135</v>
      </c>
      <c r="BQ615" t="s">
        <v>135</v>
      </c>
      <c r="BR615" t="s">
        <v>135</v>
      </c>
      <c r="BS615" t="s">
        <v>135</v>
      </c>
      <c r="BT615" t="s">
        <v>135</v>
      </c>
      <c r="BU615" t="s">
        <v>135</v>
      </c>
      <c r="BV615" t="s">
        <v>135</v>
      </c>
      <c r="BW615" t="s">
        <v>135</v>
      </c>
      <c r="BX615" t="s">
        <v>135</v>
      </c>
      <c r="BY615" t="s">
        <v>135</v>
      </c>
      <c r="BZ615" t="s">
        <v>135</v>
      </c>
      <c r="CA615" t="s">
        <v>135</v>
      </c>
      <c r="CB615" t="s">
        <v>135</v>
      </c>
      <c r="CC615" t="s">
        <v>135</v>
      </c>
      <c r="CD615" t="s">
        <v>135</v>
      </c>
      <c r="CE615" t="s">
        <v>135</v>
      </c>
      <c r="CF615" t="s">
        <v>135</v>
      </c>
      <c r="CG615" t="s">
        <v>135</v>
      </c>
      <c r="CH615" t="s">
        <v>135</v>
      </c>
      <c r="CI615" t="s">
        <v>135</v>
      </c>
      <c r="CJ615" t="s">
        <v>135</v>
      </c>
      <c r="CK615" t="s">
        <v>135</v>
      </c>
      <c r="CL615" t="s">
        <v>135</v>
      </c>
      <c r="CM615" t="s">
        <v>135</v>
      </c>
      <c r="CN615" t="s">
        <v>135</v>
      </c>
      <c r="CO615" t="s">
        <v>135</v>
      </c>
      <c r="CP615" t="s">
        <v>135</v>
      </c>
      <c r="CQ615" t="s">
        <v>135</v>
      </c>
      <c r="CR615" t="s">
        <v>135</v>
      </c>
      <c r="CS615" t="s">
        <v>135</v>
      </c>
      <c r="CT615" t="s">
        <v>135</v>
      </c>
      <c r="CU615" t="s">
        <v>135</v>
      </c>
      <c r="CV615" t="s">
        <v>135</v>
      </c>
      <c r="CW615" t="s">
        <v>135</v>
      </c>
      <c r="CX615" t="s">
        <v>135</v>
      </c>
      <c r="CY615" t="s">
        <v>135</v>
      </c>
      <c r="CZ615" t="s">
        <v>135</v>
      </c>
      <c r="DA615" t="s">
        <v>135</v>
      </c>
      <c r="DB615" t="s">
        <v>135</v>
      </c>
      <c r="DC615" t="s">
        <v>135</v>
      </c>
      <c r="DD615" t="s">
        <v>135</v>
      </c>
      <c r="DE615" t="s">
        <v>135</v>
      </c>
      <c r="DF615" t="s">
        <v>135</v>
      </c>
      <c r="DG615" t="s">
        <v>135</v>
      </c>
      <c r="DH615" t="s">
        <v>135</v>
      </c>
      <c r="DI615" t="s">
        <v>135</v>
      </c>
    </row>
    <row r="616" spans="4:113" x14ac:dyDescent="0.3">
      <c r="E616" t="s">
        <v>80</v>
      </c>
      <c r="F616" t="s">
        <v>135</v>
      </c>
      <c r="G616" t="s">
        <v>135</v>
      </c>
      <c r="H616" t="s">
        <v>135</v>
      </c>
      <c r="I616" t="s">
        <v>135</v>
      </c>
      <c r="J616" t="s">
        <v>135</v>
      </c>
      <c r="K616" t="s">
        <v>135</v>
      </c>
      <c r="L616" t="s">
        <v>135</v>
      </c>
      <c r="M616" t="s">
        <v>135</v>
      </c>
      <c r="N616" t="s">
        <v>135</v>
      </c>
      <c r="O616" t="s">
        <v>135</v>
      </c>
      <c r="P616" t="s">
        <v>135</v>
      </c>
      <c r="Q616" t="s">
        <v>135</v>
      </c>
      <c r="R616" t="s">
        <v>135</v>
      </c>
      <c r="S616" t="s">
        <v>135</v>
      </c>
      <c r="T616" t="s">
        <v>135</v>
      </c>
      <c r="U616" t="s">
        <v>135</v>
      </c>
      <c r="V616" t="s">
        <v>135</v>
      </c>
      <c r="W616" t="s">
        <v>135</v>
      </c>
      <c r="X616" t="s">
        <v>135</v>
      </c>
      <c r="Y616" t="s">
        <v>135</v>
      </c>
      <c r="Z616" t="s">
        <v>135</v>
      </c>
      <c r="AA616" t="s">
        <v>135</v>
      </c>
      <c r="AB616" t="s">
        <v>135</v>
      </c>
      <c r="AC616" t="s">
        <v>135</v>
      </c>
      <c r="AD616" t="s">
        <v>135</v>
      </c>
      <c r="AE616" t="s">
        <v>135</v>
      </c>
      <c r="AF616" t="s">
        <v>135</v>
      </c>
      <c r="AG616" t="s">
        <v>135</v>
      </c>
      <c r="AH616" t="s">
        <v>135</v>
      </c>
      <c r="AI616" t="s">
        <v>135</v>
      </c>
      <c r="AJ616" t="s">
        <v>135</v>
      </c>
      <c r="AK616" t="s">
        <v>135</v>
      </c>
      <c r="AL616" t="s">
        <v>135</v>
      </c>
      <c r="AM616" t="s">
        <v>135</v>
      </c>
      <c r="AN616" t="s">
        <v>135</v>
      </c>
      <c r="AO616" t="s">
        <v>135</v>
      </c>
      <c r="AP616" t="s">
        <v>135</v>
      </c>
      <c r="AQ616" t="s">
        <v>135</v>
      </c>
      <c r="AR616" t="s">
        <v>135</v>
      </c>
      <c r="AS616" t="s">
        <v>135</v>
      </c>
      <c r="AT616" t="s">
        <v>135</v>
      </c>
      <c r="AU616" t="s">
        <v>135</v>
      </c>
      <c r="AV616" t="s">
        <v>135</v>
      </c>
      <c r="AW616" t="s">
        <v>135</v>
      </c>
      <c r="AX616" t="s">
        <v>135</v>
      </c>
      <c r="AY616" t="s">
        <v>135</v>
      </c>
      <c r="AZ616" t="s">
        <v>135</v>
      </c>
      <c r="BA616" t="s">
        <v>135</v>
      </c>
      <c r="BB616" t="s">
        <v>135</v>
      </c>
      <c r="BC616" t="s">
        <v>135</v>
      </c>
      <c r="BD616" t="s">
        <v>135</v>
      </c>
      <c r="BE616" t="s">
        <v>135</v>
      </c>
      <c r="BF616" t="s">
        <v>135</v>
      </c>
      <c r="BG616" t="s">
        <v>135</v>
      </c>
      <c r="BH616" t="s">
        <v>135</v>
      </c>
      <c r="BI616" t="s">
        <v>135</v>
      </c>
      <c r="BJ616" t="s">
        <v>135</v>
      </c>
      <c r="BK616" t="s">
        <v>135</v>
      </c>
      <c r="BL616" t="s">
        <v>135</v>
      </c>
      <c r="BM616" t="s">
        <v>135</v>
      </c>
      <c r="BN616" t="s">
        <v>135</v>
      </c>
      <c r="BO616" t="s">
        <v>135</v>
      </c>
      <c r="BP616" t="s">
        <v>135</v>
      </c>
      <c r="BQ616" t="s">
        <v>135</v>
      </c>
      <c r="BR616" t="s">
        <v>135</v>
      </c>
      <c r="BS616" t="s">
        <v>135</v>
      </c>
      <c r="BT616" t="s">
        <v>135</v>
      </c>
      <c r="BU616" t="s">
        <v>135</v>
      </c>
      <c r="BV616" t="s">
        <v>135</v>
      </c>
      <c r="BW616" t="s">
        <v>135</v>
      </c>
      <c r="BX616" t="s">
        <v>135</v>
      </c>
      <c r="BY616" t="s">
        <v>135</v>
      </c>
      <c r="BZ616" t="s">
        <v>135</v>
      </c>
      <c r="CA616" t="s">
        <v>135</v>
      </c>
      <c r="CB616" t="s">
        <v>135</v>
      </c>
      <c r="CC616" t="s">
        <v>135</v>
      </c>
      <c r="CD616" t="s">
        <v>135</v>
      </c>
      <c r="CE616" t="s">
        <v>135</v>
      </c>
      <c r="CF616" t="s">
        <v>135</v>
      </c>
      <c r="CG616" t="s">
        <v>135</v>
      </c>
      <c r="CH616" t="s">
        <v>135</v>
      </c>
      <c r="CI616" t="s">
        <v>135</v>
      </c>
      <c r="CJ616" t="s">
        <v>135</v>
      </c>
      <c r="CK616" t="s">
        <v>135</v>
      </c>
      <c r="CL616" t="s">
        <v>135</v>
      </c>
      <c r="CM616" t="s">
        <v>135</v>
      </c>
      <c r="CN616" t="s">
        <v>135</v>
      </c>
      <c r="CO616" t="s">
        <v>135</v>
      </c>
      <c r="CP616" t="s">
        <v>135</v>
      </c>
      <c r="CQ616" t="s">
        <v>135</v>
      </c>
      <c r="CR616" t="s">
        <v>135</v>
      </c>
      <c r="CS616" t="s">
        <v>135</v>
      </c>
      <c r="CT616" t="s">
        <v>135</v>
      </c>
      <c r="CU616" t="s">
        <v>135</v>
      </c>
      <c r="CV616" t="s">
        <v>135</v>
      </c>
      <c r="CW616" t="s">
        <v>135</v>
      </c>
      <c r="CX616" t="s">
        <v>135</v>
      </c>
      <c r="CY616" t="s">
        <v>135</v>
      </c>
      <c r="CZ616" t="s">
        <v>135</v>
      </c>
      <c r="DA616" t="s">
        <v>135</v>
      </c>
      <c r="DB616" t="s">
        <v>135</v>
      </c>
      <c r="DC616" t="s">
        <v>135</v>
      </c>
      <c r="DD616" t="s">
        <v>135</v>
      </c>
      <c r="DE616" t="s">
        <v>135</v>
      </c>
      <c r="DF616" t="s">
        <v>135</v>
      </c>
      <c r="DG616" t="s">
        <v>135</v>
      </c>
      <c r="DH616" t="s">
        <v>135</v>
      </c>
      <c r="DI616" t="s">
        <v>135</v>
      </c>
    </row>
    <row r="617" spans="4:113" x14ac:dyDescent="0.3">
      <c r="E617" t="s">
        <v>81</v>
      </c>
      <c r="F617" t="s">
        <v>135</v>
      </c>
      <c r="G617" t="s">
        <v>135</v>
      </c>
      <c r="H617" t="s">
        <v>135</v>
      </c>
      <c r="I617" t="s">
        <v>135</v>
      </c>
      <c r="J617" t="s">
        <v>135</v>
      </c>
      <c r="K617" t="s">
        <v>135</v>
      </c>
      <c r="L617" t="s">
        <v>135</v>
      </c>
      <c r="M617" t="s">
        <v>135</v>
      </c>
      <c r="N617" t="s">
        <v>135</v>
      </c>
      <c r="O617" t="s">
        <v>135</v>
      </c>
      <c r="P617" t="s">
        <v>135</v>
      </c>
      <c r="Q617" t="s">
        <v>135</v>
      </c>
      <c r="R617" t="s">
        <v>135</v>
      </c>
      <c r="S617" t="s">
        <v>135</v>
      </c>
      <c r="T617" t="s">
        <v>135</v>
      </c>
      <c r="U617" t="s">
        <v>135</v>
      </c>
      <c r="V617" t="s">
        <v>135</v>
      </c>
      <c r="W617" t="s">
        <v>135</v>
      </c>
      <c r="X617" t="s">
        <v>135</v>
      </c>
      <c r="Y617" t="s">
        <v>135</v>
      </c>
      <c r="Z617" t="s">
        <v>135</v>
      </c>
      <c r="AA617" t="s">
        <v>135</v>
      </c>
      <c r="AB617" t="s">
        <v>135</v>
      </c>
      <c r="AC617" t="s">
        <v>135</v>
      </c>
      <c r="AD617" t="s">
        <v>135</v>
      </c>
      <c r="AE617" t="s">
        <v>135</v>
      </c>
      <c r="AF617" t="s">
        <v>135</v>
      </c>
      <c r="AG617" t="s">
        <v>135</v>
      </c>
      <c r="AH617" t="s">
        <v>135</v>
      </c>
      <c r="AI617" t="s">
        <v>135</v>
      </c>
      <c r="AJ617" t="s">
        <v>135</v>
      </c>
      <c r="AK617" t="s">
        <v>135</v>
      </c>
      <c r="AL617" t="s">
        <v>135</v>
      </c>
      <c r="AM617" t="s">
        <v>135</v>
      </c>
      <c r="AN617" t="s">
        <v>135</v>
      </c>
      <c r="AO617" t="s">
        <v>135</v>
      </c>
      <c r="AP617" t="s">
        <v>135</v>
      </c>
      <c r="AQ617" t="s">
        <v>135</v>
      </c>
      <c r="AR617" t="s">
        <v>135</v>
      </c>
      <c r="AS617" t="s">
        <v>135</v>
      </c>
      <c r="AT617" t="s">
        <v>135</v>
      </c>
      <c r="AU617" t="s">
        <v>135</v>
      </c>
      <c r="AV617" t="s">
        <v>135</v>
      </c>
      <c r="AW617" t="s">
        <v>135</v>
      </c>
      <c r="AX617" t="s">
        <v>135</v>
      </c>
      <c r="AY617" t="s">
        <v>135</v>
      </c>
      <c r="AZ617" t="s">
        <v>135</v>
      </c>
      <c r="BA617" t="s">
        <v>135</v>
      </c>
      <c r="BB617" t="s">
        <v>135</v>
      </c>
      <c r="BC617" t="s">
        <v>135</v>
      </c>
      <c r="BD617" t="s">
        <v>135</v>
      </c>
      <c r="BE617" t="s">
        <v>135</v>
      </c>
      <c r="BF617" t="s">
        <v>135</v>
      </c>
      <c r="BG617" t="s">
        <v>135</v>
      </c>
      <c r="BH617" t="s">
        <v>135</v>
      </c>
      <c r="BI617" t="s">
        <v>135</v>
      </c>
      <c r="BJ617" t="s">
        <v>135</v>
      </c>
      <c r="BK617" t="s">
        <v>135</v>
      </c>
      <c r="BL617" t="s">
        <v>135</v>
      </c>
      <c r="BM617" t="s">
        <v>135</v>
      </c>
      <c r="BN617" t="s">
        <v>135</v>
      </c>
      <c r="BO617" t="s">
        <v>135</v>
      </c>
      <c r="BP617" t="s">
        <v>135</v>
      </c>
      <c r="BQ617" t="s">
        <v>135</v>
      </c>
      <c r="BR617" t="s">
        <v>135</v>
      </c>
      <c r="BS617" t="s">
        <v>135</v>
      </c>
      <c r="BT617" t="s">
        <v>135</v>
      </c>
      <c r="BU617" t="s">
        <v>135</v>
      </c>
      <c r="BV617" t="s">
        <v>135</v>
      </c>
      <c r="BW617" t="s">
        <v>135</v>
      </c>
      <c r="BX617" t="s">
        <v>135</v>
      </c>
      <c r="BY617" t="s">
        <v>135</v>
      </c>
      <c r="BZ617" t="s">
        <v>135</v>
      </c>
      <c r="CA617" t="s">
        <v>135</v>
      </c>
      <c r="CB617" t="s">
        <v>135</v>
      </c>
      <c r="CC617" t="s">
        <v>135</v>
      </c>
      <c r="CD617" t="s">
        <v>135</v>
      </c>
      <c r="CE617" t="s">
        <v>135</v>
      </c>
      <c r="CF617" t="s">
        <v>135</v>
      </c>
      <c r="CG617" t="s">
        <v>135</v>
      </c>
      <c r="CH617" t="s">
        <v>135</v>
      </c>
      <c r="CI617" t="s">
        <v>135</v>
      </c>
      <c r="CJ617" t="s">
        <v>135</v>
      </c>
      <c r="CK617" t="s">
        <v>135</v>
      </c>
      <c r="CL617" t="s">
        <v>135</v>
      </c>
      <c r="CM617" t="s">
        <v>135</v>
      </c>
      <c r="CN617" t="s">
        <v>135</v>
      </c>
      <c r="CO617" t="s">
        <v>135</v>
      </c>
      <c r="CP617" t="s">
        <v>135</v>
      </c>
      <c r="CQ617" t="s">
        <v>135</v>
      </c>
      <c r="CR617" t="s">
        <v>135</v>
      </c>
      <c r="CS617" t="s">
        <v>135</v>
      </c>
      <c r="CT617" t="s">
        <v>135</v>
      </c>
      <c r="CU617" t="s">
        <v>135</v>
      </c>
      <c r="CV617" t="s">
        <v>135</v>
      </c>
      <c r="CW617" t="s">
        <v>135</v>
      </c>
      <c r="CX617" t="s">
        <v>135</v>
      </c>
      <c r="CY617" t="s">
        <v>135</v>
      </c>
      <c r="CZ617" t="s">
        <v>135</v>
      </c>
      <c r="DA617" t="s">
        <v>135</v>
      </c>
      <c r="DB617" t="s">
        <v>135</v>
      </c>
      <c r="DC617" t="s">
        <v>135</v>
      </c>
      <c r="DD617" t="s">
        <v>135</v>
      </c>
      <c r="DE617" t="s">
        <v>135</v>
      </c>
      <c r="DF617" t="s">
        <v>135</v>
      </c>
      <c r="DG617" t="s">
        <v>135</v>
      </c>
      <c r="DH617" t="s">
        <v>135</v>
      </c>
      <c r="DI617" t="s">
        <v>135</v>
      </c>
    </row>
    <row r="618" spans="4:113" x14ac:dyDescent="0.3">
      <c r="D618" t="s">
        <v>84</v>
      </c>
      <c r="E618" t="s">
        <v>77</v>
      </c>
      <c r="F618">
        <v>18.657499999999999</v>
      </c>
      <c r="G618">
        <v>1.7564</v>
      </c>
      <c r="H618">
        <v>6.2441000000000004</v>
      </c>
      <c r="I618">
        <v>7.7152000000000003</v>
      </c>
      <c r="J618" t="s">
        <v>135</v>
      </c>
      <c r="K618">
        <v>50.452599999999997</v>
      </c>
      <c r="L618">
        <v>47.673099999999998</v>
      </c>
      <c r="M618">
        <v>24.480499999999999</v>
      </c>
      <c r="N618">
        <v>33.3446</v>
      </c>
      <c r="O618">
        <v>33.3446</v>
      </c>
      <c r="P618">
        <v>33.3446</v>
      </c>
      <c r="Q618">
        <v>33.909100000000002</v>
      </c>
      <c r="R618">
        <v>16.401199999999999</v>
      </c>
      <c r="S618">
        <v>15.5975</v>
      </c>
      <c r="T618">
        <v>26.951899999999998</v>
      </c>
      <c r="U618" t="s">
        <v>135</v>
      </c>
      <c r="V618">
        <v>34.539700000000003</v>
      </c>
      <c r="W618">
        <v>32.027500000000003</v>
      </c>
      <c r="X618">
        <v>30.331800000000001</v>
      </c>
      <c r="Y618">
        <v>20</v>
      </c>
      <c r="Z618" t="s">
        <v>135</v>
      </c>
      <c r="AA618" t="s">
        <v>135</v>
      </c>
      <c r="AB618">
        <v>44.717799999999997</v>
      </c>
      <c r="AC618">
        <v>30.1478</v>
      </c>
      <c r="AD618" t="s">
        <v>135</v>
      </c>
      <c r="AE618" t="s">
        <v>135</v>
      </c>
      <c r="AF618" t="s">
        <v>135</v>
      </c>
      <c r="AG618">
        <v>45.317799999999998</v>
      </c>
      <c r="AH618">
        <v>22.5899</v>
      </c>
      <c r="AI618">
        <v>60.143999999999998</v>
      </c>
      <c r="AJ618">
        <v>33.889699999999998</v>
      </c>
      <c r="AK618">
        <v>47.5306</v>
      </c>
      <c r="AL618">
        <v>255.2928</v>
      </c>
      <c r="AM618">
        <v>23.6264</v>
      </c>
      <c r="AN618" t="s">
        <v>135</v>
      </c>
      <c r="AO618">
        <v>28.364100000000001</v>
      </c>
      <c r="AP618">
        <v>27.869700000000002</v>
      </c>
      <c r="AQ618">
        <v>23.199300000000001</v>
      </c>
      <c r="AR618">
        <v>24.5731</v>
      </c>
      <c r="AS618" t="s">
        <v>135</v>
      </c>
      <c r="AT618" t="s">
        <v>135</v>
      </c>
      <c r="AU618">
        <v>31.135400000000001</v>
      </c>
      <c r="AV618">
        <v>23.897600000000001</v>
      </c>
      <c r="AW618" t="s">
        <v>135</v>
      </c>
      <c r="AX618" t="s">
        <v>135</v>
      </c>
      <c r="AY618" t="s">
        <v>135</v>
      </c>
      <c r="AZ618">
        <v>12.602</v>
      </c>
      <c r="BA618">
        <v>22.257999999999999</v>
      </c>
      <c r="BB618">
        <v>36.349699999999999</v>
      </c>
      <c r="BC618">
        <v>26.335999999999999</v>
      </c>
      <c r="BD618">
        <v>29.5151</v>
      </c>
      <c r="BE618" t="s">
        <v>135</v>
      </c>
      <c r="BF618">
        <v>26.951899999999998</v>
      </c>
      <c r="BG618" t="s">
        <v>135</v>
      </c>
      <c r="BH618">
        <v>34.539700000000003</v>
      </c>
      <c r="BI618">
        <v>32.027500000000003</v>
      </c>
      <c r="BJ618">
        <v>30.331800000000001</v>
      </c>
      <c r="BK618">
        <v>20</v>
      </c>
      <c r="BL618" t="s">
        <v>135</v>
      </c>
      <c r="BM618" t="s">
        <v>135</v>
      </c>
      <c r="BN618">
        <v>44.717799999999997</v>
      </c>
      <c r="BO618">
        <v>30.1478</v>
      </c>
      <c r="BP618" t="s">
        <v>135</v>
      </c>
      <c r="BQ618" t="s">
        <v>135</v>
      </c>
      <c r="BR618" t="s">
        <v>135</v>
      </c>
      <c r="BS618">
        <v>45.317799999999998</v>
      </c>
      <c r="BT618">
        <v>22.5899</v>
      </c>
      <c r="BU618">
        <v>60.143999999999998</v>
      </c>
      <c r="BV618">
        <v>33.889699999999998</v>
      </c>
      <c r="BW618">
        <v>47.5306</v>
      </c>
      <c r="BX618" t="s">
        <v>135</v>
      </c>
      <c r="BY618">
        <v>391992.42599999998</v>
      </c>
      <c r="BZ618">
        <v>151965.58600000001</v>
      </c>
      <c r="CA618">
        <v>240026.84</v>
      </c>
      <c r="CB618" t="s">
        <v>135</v>
      </c>
      <c r="CC618" t="s">
        <v>135</v>
      </c>
      <c r="CD618">
        <v>7.7568999999999999</v>
      </c>
      <c r="CE618">
        <v>3.8872999999999998</v>
      </c>
      <c r="CF618" t="s">
        <v>135</v>
      </c>
      <c r="CG618">
        <v>10.248100000000001</v>
      </c>
      <c r="CH618">
        <v>108.90689999999999</v>
      </c>
      <c r="CI618">
        <v>39.1952</v>
      </c>
      <c r="CJ618">
        <v>11.1609</v>
      </c>
      <c r="CK618">
        <v>177.858</v>
      </c>
      <c r="CL618">
        <v>64.010400000000004</v>
      </c>
      <c r="CM618">
        <v>18.2271</v>
      </c>
      <c r="CN618">
        <v>89.132999999999996</v>
      </c>
      <c r="CO618">
        <v>47.127200000000002</v>
      </c>
      <c r="CP618" t="s">
        <v>135</v>
      </c>
      <c r="CQ618" t="s">
        <v>135</v>
      </c>
      <c r="CR618">
        <v>50534.703999999998</v>
      </c>
      <c r="CS618" t="s">
        <v>135</v>
      </c>
      <c r="CT618" t="s">
        <v>135</v>
      </c>
      <c r="CU618" t="s">
        <v>135</v>
      </c>
      <c r="CV618" t="s">
        <v>135</v>
      </c>
      <c r="CW618" t="s">
        <v>135</v>
      </c>
      <c r="CX618" t="s">
        <v>135</v>
      </c>
      <c r="CY618" t="s">
        <v>135</v>
      </c>
      <c r="CZ618" t="s">
        <v>135</v>
      </c>
      <c r="DA618" t="s">
        <v>135</v>
      </c>
      <c r="DB618" t="s">
        <v>135</v>
      </c>
      <c r="DC618" t="s">
        <v>135</v>
      </c>
      <c r="DD618" t="s">
        <v>135</v>
      </c>
      <c r="DE618" t="s">
        <v>135</v>
      </c>
      <c r="DF618" t="s">
        <v>135</v>
      </c>
      <c r="DG618" t="s">
        <v>135</v>
      </c>
      <c r="DH618" t="s">
        <v>135</v>
      </c>
      <c r="DI618" t="s">
        <v>135</v>
      </c>
    </row>
    <row r="619" spans="4:113" x14ac:dyDescent="0.3">
      <c r="E619" t="s">
        <v>78</v>
      </c>
      <c r="F619" t="s">
        <v>135</v>
      </c>
      <c r="G619" t="s">
        <v>135</v>
      </c>
      <c r="H619" t="s">
        <v>135</v>
      </c>
      <c r="I619" t="s">
        <v>135</v>
      </c>
      <c r="J619" t="s">
        <v>135</v>
      </c>
      <c r="K619" t="s">
        <v>135</v>
      </c>
      <c r="L619" t="s">
        <v>135</v>
      </c>
      <c r="M619" t="s">
        <v>135</v>
      </c>
      <c r="N619" t="s">
        <v>135</v>
      </c>
      <c r="O619" t="s">
        <v>135</v>
      </c>
      <c r="P619" t="s">
        <v>135</v>
      </c>
      <c r="Q619" t="s">
        <v>135</v>
      </c>
      <c r="R619" t="s">
        <v>135</v>
      </c>
      <c r="S619" t="s">
        <v>135</v>
      </c>
      <c r="T619" t="s">
        <v>135</v>
      </c>
      <c r="U619" t="s">
        <v>135</v>
      </c>
      <c r="V619" t="s">
        <v>135</v>
      </c>
      <c r="W619" t="s">
        <v>135</v>
      </c>
      <c r="X619" t="s">
        <v>135</v>
      </c>
      <c r="Y619" t="s">
        <v>135</v>
      </c>
      <c r="Z619" t="s">
        <v>135</v>
      </c>
      <c r="AA619" t="s">
        <v>135</v>
      </c>
      <c r="AB619" t="s">
        <v>135</v>
      </c>
      <c r="AC619" t="s">
        <v>135</v>
      </c>
      <c r="AD619" t="s">
        <v>135</v>
      </c>
      <c r="AE619" t="s">
        <v>135</v>
      </c>
      <c r="AF619" t="s">
        <v>135</v>
      </c>
      <c r="AG619" t="s">
        <v>135</v>
      </c>
      <c r="AH619" t="s">
        <v>135</v>
      </c>
      <c r="AI619" t="s">
        <v>135</v>
      </c>
      <c r="AJ619" t="s">
        <v>135</v>
      </c>
      <c r="AK619" t="s">
        <v>135</v>
      </c>
      <c r="AL619" t="s">
        <v>135</v>
      </c>
      <c r="AM619" t="s">
        <v>135</v>
      </c>
      <c r="AN619" t="s">
        <v>135</v>
      </c>
      <c r="AO619" t="s">
        <v>135</v>
      </c>
      <c r="AP619" t="s">
        <v>135</v>
      </c>
      <c r="AQ619" t="s">
        <v>135</v>
      </c>
      <c r="AR619" t="s">
        <v>135</v>
      </c>
      <c r="AS619" t="s">
        <v>135</v>
      </c>
      <c r="AT619" t="s">
        <v>135</v>
      </c>
      <c r="AU619" t="s">
        <v>135</v>
      </c>
      <c r="AV619" t="s">
        <v>135</v>
      </c>
      <c r="AW619" t="s">
        <v>135</v>
      </c>
      <c r="AX619" t="s">
        <v>135</v>
      </c>
      <c r="AY619" t="s">
        <v>135</v>
      </c>
      <c r="AZ619" t="s">
        <v>135</v>
      </c>
      <c r="BA619" t="s">
        <v>135</v>
      </c>
      <c r="BB619" t="s">
        <v>135</v>
      </c>
      <c r="BC619" t="s">
        <v>135</v>
      </c>
      <c r="BD619" t="s">
        <v>135</v>
      </c>
      <c r="BE619" t="s">
        <v>135</v>
      </c>
      <c r="BF619" t="s">
        <v>135</v>
      </c>
      <c r="BG619" t="s">
        <v>135</v>
      </c>
      <c r="BH619" t="s">
        <v>135</v>
      </c>
      <c r="BI619" t="s">
        <v>135</v>
      </c>
      <c r="BJ619" t="s">
        <v>135</v>
      </c>
      <c r="BK619" t="s">
        <v>135</v>
      </c>
      <c r="BL619" t="s">
        <v>135</v>
      </c>
      <c r="BM619" t="s">
        <v>135</v>
      </c>
      <c r="BN619" t="s">
        <v>135</v>
      </c>
      <c r="BO619" t="s">
        <v>135</v>
      </c>
      <c r="BP619" t="s">
        <v>135</v>
      </c>
      <c r="BQ619" t="s">
        <v>135</v>
      </c>
      <c r="BR619" t="s">
        <v>135</v>
      </c>
      <c r="BS619" t="s">
        <v>135</v>
      </c>
      <c r="BT619" t="s">
        <v>135</v>
      </c>
      <c r="BU619" t="s">
        <v>135</v>
      </c>
      <c r="BV619" t="s">
        <v>135</v>
      </c>
      <c r="BW619" t="s">
        <v>135</v>
      </c>
      <c r="BX619" t="s">
        <v>135</v>
      </c>
      <c r="BY619" t="s">
        <v>135</v>
      </c>
      <c r="BZ619" t="s">
        <v>135</v>
      </c>
      <c r="CA619" t="s">
        <v>135</v>
      </c>
      <c r="CB619" t="s">
        <v>135</v>
      </c>
      <c r="CC619" t="s">
        <v>135</v>
      </c>
      <c r="CD619" t="s">
        <v>135</v>
      </c>
      <c r="CE619" t="s">
        <v>135</v>
      </c>
      <c r="CF619" t="s">
        <v>135</v>
      </c>
      <c r="CG619" t="s">
        <v>135</v>
      </c>
      <c r="CH619" t="s">
        <v>135</v>
      </c>
      <c r="CI619" t="s">
        <v>135</v>
      </c>
      <c r="CJ619" t="s">
        <v>135</v>
      </c>
      <c r="CK619" t="s">
        <v>135</v>
      </c>
      <c r="CL619" t="s">
        <v>135</v>
      </c>
      <c r="CM619" t="s">
        <v>135</v>
      </c>
      <c r="CN619" t="s">
        <v>135</v>
      </c>
      <c r="CO619" t="s">
        <v>135</v>
      </c>
      <c r="CP619" t="s">
        <v>135</v>
      </c>
      <c r="CQ619" t="s">
        <v>135</v>
      </c>
      <c r="CR619" t="s">
        <v>135</v>
      </c>
      <c r="CS619" t="s">
        <v>135</v>
      </c>
      <c r="CT619" t="s">
        <v>135</v>
      </c>
      <c r="CU619" t="s">
        <v>135</v>
      </c>
      <c r="CV619" t="s">
        <v>135</v>
      </c>
      <c r="CW619" t="s">
        <v>135</v>
      </c>
      <c r="CX619" t="s">
        <v>135</v>
      </c>
      <c r="CY619" t="s">
        <v>135</v>
      </c>
      <c r="CZ619" t="s">
        <v>135</v>
      </c>
      <c r="DA619" t="s">
        <v>135</v>
      </c>
      <c r="DB619" t="s">
        <v>135</v>
      </c>
      <c r="DC619" t="s">
        <v>135</v>
      </c>
      <c r="DD619" t="s">
        <v>135</v>
      </c>
      <c r="DE619" t="s">
        <v>135</v>
      </c>
      <c r="DF619" t="s">
        <v>135</v>
      </c>
      <c r="DG619" t="s">
        <v>135</v>
      </c>
      <c r="DH619" t="s">
        <v>135</v>
      </c>
      <c r="DI619" t="s">
        <v>135</v>
      </c>
    </row>
    <row r="620" spans="4:113" x14ac:dyDescent="0.3">
      <c r="E620" t="s">
        <v>79</v>
      </c>
      <c r="F620" t="s">
        <v>135</v>
      </c>
      <c r="G620" t="s">
        <v>135</v>
      </c>
      <c r="H620" t="s">
        <v>135</v>
      </c>
      <c r="I620" t="s">
        <v>135</v>
      </c>
      <c r="J620" t="s">
        <v>135</v>
      </c>
      <c r="K620" t="s">
        <v>135</v>
      </c>
      <c r="L620" t="s">
        <v>135</v>
      </c>
      <c r="M620" t="s">
        <v>135</v>
      </c>
      <c r="N620" t="s">
        <v>135</v>
      </c>
      <c r="O620" t="s">
        <v>135</v>
      </c>
      <c r="P620" t="s">
        <v>135</v>
      </c>
      <c r="Q620" t="s">
        <v>135</v>
      </c>
      <c r="R620" t="s">
        <v>135</v>
      </c>
      <c r="S620" t="s">
        <v>135</v>
      </c>
      <c r="T620" t="s">
        <v>135</v>
      </c>
      <c r="U620" t="s">
        <v>135</v>
      </c>
      <c r="V620" t="s">
        <v>135</v>
      </c>
      <c r="W620" t="s">
        <v>135</v>
      </c>
      <c r="X620" t="s">
        <v>135</v>
      </c>
      <c r="Y620" t="s">
        <v>135</v>
      </c>
      <c r="Z620" t="s">
        <v>135</v>
      </c>
      <c r="AA620" t="s">
        <v>135</v>
      </c>
      <c r="AB620" t="s">
        <v>135</v>
      </c>
      <c r="AC620" t="s">
        <v>135</v>
      </c>
      <c r="AD620" t="s">
        <v>135</v>
      </c>
      <c r="AE620" t="s">
        <v>135</v>
      </c>
      <c r="AF620" t="s">
        <v>135</v>
      </c>
      <c r="AG620" t="s">
        <v>135</v>
      </c>
      <c r="AH620" t="s">
        <v>135</v>
      </c>
      <c r="AI620" t="s">
        <v>135</v>
      </c>
      <c r="AJ620" t="s">
        <v>135</v>
      </c>
      <c r="AK620" t="s">
        <v>135</v>
      </c>
      <c r="AL620" t="s">
        <v>135</v>
      </c>
      <c r="AM620" t="s">
        <v>135</v>
      </c>
      <c r="AN620" t="s">
        <v>135</v>
      </c>
      <c r="AO620" t="s">
        <v>135</v>
      </c>
      <c r="AP620" t="s">
        <v>135</v>
      </c>
      <c r="AQ620" t="s">
        <v>135</v>
      </c>
      <c r="AR620" t="s">
        <v>135</v>
      </c>
      <c r="AS620" t="s">
        <v>135</v>
      </c>
      <c r="AT620" t="s">
        <v>135</v>
      </c>
      <c r="AU620" t="s">
        <v>135</v>
      </c>
      <c r="AV620" t="s">
        <v>135</v>
      </c>
      <c r="AW620" t="s">
        <v>135</v>
      </c>
      <c r="AX620" t="s">
        <v>135</v>
      </c>
      <c r="AY620" t="s">
        <v>135</v>
      </c>
      <c r="AZ620" t="s">
        <v>135</v>
      </c>
      <c r="BA620" t="s">
        <v>135</v>
      </c>
      <c r="BB620" t="s">
        <v>135</v>
      </c>
      <c r="BC620" t="s">
        <v>135</v>
      </c>
      <c r="BD620" t="s">
        <v>135</v>
      </c>
      <c r="BE620" t="s">
        <v>135</v>
      </c>
      <c r="BF620" t="s">
        <v>135</v>
      </c>
      <c r="BG620" t="s">
        <v>135</v>
      </c>
      <c r="BH620" t="s">
        <v>135</v>
      </c>
      <c r="BI620" t="s">
        <v>135</v>
      </c>
      <c r="BJ620" t="s">
        <v>135</v>
      </c>
      <c r="BK620" t="s">
        <v>135</v>
      </c>
      <c r="BL620" t="s">
        <v>135</v>
      </c>
      <c r="BM620" t="s">
        <v>135</v>
      </c>
      <c r="BN620" t="s">
        <v>135</v>
      </c>
      <c r="BO620" t="s">
        <v>135</v>
      </c>
      <c r="BP620" t="s">
        <v>135</v>
      </c>
      <c r="BQ620" t="s">
        <v>135</v>
      </c>
      <c r="BR620" t="s">
        <v>135</v>
      </c>
      <c r="BS620" t="s">
        <v>135</v>
      </c>
      <c r="BT620" t="s">
        <v>135</v>
      </c>
      <c r="BU620" t="s">
        <v>135</v>
      </c>
      <c r="BV620" t="s">
        <v>135</v>
      </c>
      <c r="BW620" t="s">
        <v>135</v>
      </c>
      <c r="BX620" t="s">
        <v>135</v>
      </c>
      <c r="BY620" t="s">
        <v>135</v>
      </c>
      <c r="BZ620" t="s">
        <v>135</v>
      </c>
      <c r="CA620" t="s">
        <v>135</v>
      </c>
      <c r="CB620" t="s">
        <v>135</v>
      </c>
      <c r="CC620" t="s">
        <v>135</v>
      </c>
      <c r="CD620" t="s">
        <v>135</v>
      </c>
      <c r="CE620" t="s">
        <v>135</v>
      </c>
      <c r="CF620" t="s">
        <v>135</v>
      </c>
      <c r="CG620" t="s">
        <v>135</v>
      </c>
      <c r="CH620" t="s">
        <v>135</v>
      </c>
      <c r="CI620" t="s">
        <v>135</v>
      </c>
      <c r="CJ620" t="s">
        <v>135</v>
      </c>
      <c r="CK620" t="s">
        <v>135</v>
      </c>
      <c r="CL620" t="s">
        <v>135</v>
      </c>
      <c r="CM620" t="s">
        <v>135</v>
      </c>
      <c r="CN620" t="s">
        <v>135</v>
      </c>
      <c r="CO620" t="s">
        <v>135</v>
      </c>
      <c r="CP620" t="s">
        <v>135</v>
      </c>
      <c r="CQ620" t="s">
        <v>135</v>
      </c>
      <c r="CR620" t="s">
        <v>135</v>
      </c>
      <c r="CS620" t="s">
        <v>135</v>
      </c>
      <c r="CT620" t="s">
        <v>135</v>
      </c>
      <c r="CU620" t="s">
        <v>135</v>
      </c>
      <c r="CV620" t="s">
        <v>135</v>
      </c>
      <c r="CW620" t="s">
        <v>135</v>
      </c>
      <c r="CX620" t="s">
        <v>135</v>
      </c>
      <c r="CY620" t="s">
        <v>135</v>
      </c>
      <c r="CZ620" t="s">
        <v>135</v>
      </c>
      <c r="DA620" t="s">
        <v>135</v>
      </c>
      <c r="DB620" t="s">
        <v>135</v>
      </c>
      <c r="DC620" t="s">
        <v>135</v>
      </c>
      <c r="DD620" t="s">
        <v>135</v>
      </c>
      <c r="DE620" t="s">
        <v>135</v>
      </c>
      <c r="DF620" t="s">
        <v>135</v>
      </c>
      <c r="DG620" t="s">
        <v>135</v>
      </c>
      <c r="DH620" t="s">
        <v>135</v>
      </c>
      <c r="DI620" t="s">
        <v>135</v>
      </c>
    </row>
    <row r="621" spans="4:113" x14ac:dyDescent="0.3">
      <c r="E621" t="s">
        <v>80</v>
      </c>
      <c r="F621" t="s">
        <v>135</v>
      </c>
      <c r="G621" t="s">
        <v>135</v>
      </c>
      <c r="H621" t="s">
        <v>135</v>
      </c>
      <c r="I621" t="s">
        <v>135</v>
      </c>
      <c r="J621" t="s">
        <v>135</v>
      </c>
      <c r="K621" t="s">
        <v>135</v>
      </c>
      <c r="L621" t="s">
        <v>135</v>
      </c>
      <c r="M621" t="s">
        <v>135</v>
      </c>
      <c r="N621" t="s">
        <v>135</v>
      </c>
      <c r="O621" t="s">
        <v>135</v>
      </c>
      <c r="P621" t="s">
        <v>135</v>
      </c>
      <c r="Q621" t="s">
        <v>135</v>
      </c>
      <c r="R621" t="s">
        <v>135</v>
      </c>
      <c r="S621" t="s">
        <v>135</v>
      </c>
      <c r="T621" t="s">
        <v>135</v>
      </c>
      <c r="U621" t="s">
        <v>135</v>
      </c>
      <c r="V621" t="s">
        <v>135</v>
      </c>
      <c r="W621" t="s">
        <v>135</v>
      </c>
      <c r="X621" t="s">
        <v>135</v>
      </c>
      <c r="Y621" t="s">
        <v>135</v>
      </c>
      <c r="Z621" t="s">
        <v>135</v>
      </c>
      <c r="AA621" t="s">
        <v>135</v>
      </c>
      <c r="AB621" t="s">
        <v>135</v>
      </c>
      <c r="AC621" t="s">
        <v>135</v>
      </c>
      <c r="AD621" t="s">
        <v>135</v>
      </c>
      <c r="AE621" t="s">
        <v>135</v>
      </c>
      <c r="AF621" t="s">
        <v>135</v>
      </c>
      <c r="AG621" t="s">
        <v>135</v>
      </c>
      <c r="AH621" t="s">
        <v>135</v>
      </c>
      <c r="AI621" t="s">
        <v>135</v>
      </c>
      <c r="AJ621" t="s">
        <v>135</v>
      </c>
      <c r="AK621" t="s">
        <v>135</v>
      </c>
      <c r="AL621" t="s">
        <v>135</v>
      </c>
      <c r="AM621" t="s">
        <v>135</v>
      </c>
      <c r="AN621" t="s">
        <v>135</v>
      </c>
      <c r="AO621" t="s">
        <v>135</v>
      </c>
      <c r="AP621" t="s">
        <v>135</v>
      </c>
      <c r="AQ621" t="s">
        <v>135</v>
      </c>
      <c r="AR621" t="s">
        <v>135</v>
      </c>
      <c r="AS621" t="s">
        <v>135</v>
      </c>
      <c r="AT621" t="s">
        <v>135</v>
      </c>
      <c r="AU621" t="s">
        <v>135</v>
      </c>
      <c r="AV621" t="s">
        <v>135</v>
      </c>
      <c r="AW621" t="s">
        <v>135</v>
      </c>
      <c r="AX621" t="s">
        <v>135</v>
      </c>
      <c r="AY621" t="s">
        <v>135</v>
      </c>
      <c r="AZ621" t="s">
        <v>135</v>
      </c>
      <c r="BA621" t="s">
        <v>135</v>
      </c>
      <c r="BB621" t="s">
        <v>135</v>
      </c>
      <c r="BC621" t="s">
        <v>135</v>
      </c>
      <c r="BD621" t="s">
        <v>135</v>
      </c>
      <c r="BE621" t="s">
        <v>135</v>
      </c>
      <c r="BF621" t="s">
        <v>135</v>
      </c>
      <c r="BG621" t="s">
        <v>135</v>
      </c>
      <c r="BH621" t="s">
        <v>135</v>
      </c>
      <c r="BI621" t="s">
        <v>135</v>
      </c>
      <c r="BJ621" t="s">
        <v>135</v>
      </c>
      <c r="BK621" t="s">
        <v>135</v>
      </c>
      <c r="BL621" t="s">
        <v>135</v>
      </c>
      <c r="BM621" t="s">
        <v>135</v>
      </c>
      <c r="BN621" t="s">
        <v>135</v>
      </c>
      <c r="BO621" t="s">
        <v>135</v>
      </c>
      <c r="BP621" t="s">
        <v>135</v>
      </c>
      <c r="BQ621" t="s">
        <v>135</v>
      </c>
      <c r="BR621" t="s">
        <v>135</v>
      </c>
      <c r="BS621" t="s">
        <v>135</v>
      </c>
      <c r="BT621" t="s">
        <v>135</v>
      </c>
      <c r="BU621" t="s">
        <v>135</v>
      </c>
      <c r="BV621" t="s">
        <v>135</v>
      </c>
      <c r="BW621" t="s">
        <v>135</v>
      </c>
      <c r="BX621" t="s">
        <v>135</v>
      </c>
      <c r="BY621" t="s">
        <v>135</v>
      </c>
      <c r="BZ621" t="s">
        <v>135</v>
      </c>
      <c r="CA621" t="s">
        <v>135</v>
      </c>
      <c r="CB621" t="s">
        <v>135</v>
      </c>
      <c r="CC621" t="s">
        <v>135</v>
      </c>
      <c r="CD621" t="s">
        <v>135</v>
      </c>
      <c r="CE621" t="s">
        <v>135</v>
      </c>
      <c r="CF621" t="s">
        <v>135</v>
      </c>
      <c r="CG621" t="s">
        <v>135</v>
      </c>
      <c r="CH621" t="s">
        <v>135</v>
      </c>
      <c r="CI621" t="s">
        <v>135</v>
      </c>
      <c r="CJ621" t="s">
        <v>135</v>
      </c>
      <c r="CK621" t="s">
        <v>135</v>
      </c>
      <c r="CL621" t="s">
        <v>135</v>
      </c>
      <c r="CM621" t="s">
        <v>135</v>
      </c>
      <c r="CN621" t="s">
        <v>135</v>
      </c>
      <c r="CO621" t="s">
        <v>135</v>
      </c>
      <c r="CP621" t="s">
        <v>135</v>
      </c>
      <c r="CQ621" t="s">
        <v>135</v>
      </c>
      <c r="CR621" t="s">
        <v>135</v>
      </c>
      <c r="CS621" t="s">
        <v>135</v>
      </c>
      <c r="CT621" t="s">
        <v>135</v>
      </c>
      <c r="CU621" t="s">
        <v>135</v>
      </c>
      <c r="CV621" t="s">
        <v>135</v>
      </c>
      <c r="CW621" t="s">
        <v>135</v>
      </c>
      <c r="CX621" t="s">
        <v>135</v>
      </c>
      <c r="CY621" t="s">
        <v>135</v>
      </c>
      <c r="CZ621" t="s">
        <v>135</v>
      </c>
      <c r="DA621" t="s">
        <v>135</v>
      </c>
      <c r="DB621" t="s">
        <v>135</v>
      </c>
      <c r="DC621" t="s">
        <v>135</v>
      </c>
      <c r="DD621" t="s">
        <v>135</v>
      </c>
      <c r="DE621" t="s">
        <v>135</v>
      </c>
      <c r="DF621" t="s">
        <v>135</v>
      </c>
      <c r="DG621" t="s">
        <v>135</v>
      </c>
      <c r="DH621" t="s">
        <v>135</v>
      </c>
      <c r="DI621" t="s">
        <v>135</v>
      </c>
    </row>
    <row r="622" spans="4:113" x14ac:dyDescent="0.3">
      <c r="E622" t="s">
        <v>81</v>
      </c>
      <c r="F622" t="s">
        <v>135</v>
      </c>
      <c r="G622" t="s">
        <v>135</v>
      </c>
      <c r="H622" t="s">
        <v>135</v>
      </c>
      <c r="I622" t="s">
        <v>135</v>
      </c>
      <c r="J622" t="s">
        <v>135</v>
      </c>
      <c r="K622" t="s">
        <v>135</v>
      </c>
      <c r="L622" t="s">
        <v>135</v>
      </c>
      <c r="M622" t="s">
        <v>135</v>
      </c>
      <c r="N622" t="s">
        <v>135</v>
      </c>
      <c r="O622" t="s">
        <v>135</v>
      </c>
      <c r="P622" t="s">
        <v>135</v>
      </c>
      <c r="Q622" t="s">
        <v>135</v>
      </c>
      <c r="R622" t="s">
        <v>135</v>
      </c>
      <c r="S622" t="s">
        <v>135</v>
      </c>
      <c r="T622" t="s">
        <v>135</v>
      </c>
      <c r="U622" t="s">
        <v>135</v>
      </c>
      <c r="V622" t="s">
        <v>135</v>
      </c>
      <c r="W622" t="s">
        <v>135</v>
      </c>
      <c r="X622" t="s">
        <v>135</v>
      </c>
      <c r="Y622" t="s">
        <v>135</v>
      </c>
      <c r="Z622" t="s">
        <v>135</v>
      </c>
      <c r="AA622" t="s">
        <v>135</v>
      </c>
      <c r="AB622" t="s">
        <v>135</v>
      </c>
      <c r="AC622" t="s">
        <v>135</v>
      </c>
      <c r="AD622" t="s">
        <v>135</v>
      </c>
      <c r="AE622" t="s">
        <v>135</v>
      </c>
      <c r="AF622" t="s">
        <v>135</v>
      </c>
      <c r="AG622" t="s">
        <v>135</v>
      </c>
      <c r="AH622" t="s">
        <v>135</v>
      </c>
      <c r="AI622" t="s">
        <v>135</v>
      </c>
      <c r="AJ622" t="s">
        <v>135</v>
      </c>
      <c r="AK622" t="s">
        <v>135</v>
      </c>
      <c r="AL622" t="s">
        <v>135</v>
      </c>
      <c r="AM622" t="s">
        <v>135</v>
      </c>
      <c r="AN622" t="s">
        <v>135</v>
      </c>
      <c r="AO622" t="s">
        <v>135</v>
      </c>
      <c r="AP622" t="s">
        <v>135</v>
      </c>
      <c r="AQ622" t="s">
        <v>135</v>
      </c>
      <c r="AR622" t="s">
        <v>135</v>
      </c>
      <c r="AS622" t="s">
        <v>135</v>
      </c>
      <c r="AT622" t="s">
        <v>135</v>
      </c>
      <c r="AU622" t="s">
        <v>135</v>
      </c>
      <c r="AV622" t="s">
        <v>135</v>
      </c>
      <c r="AW622" t="s">
        <v>135</v>
      </c>
      <c r="AX622" t="s">
        <v>135</v>
      </c>
      <c r="AY622" t="s">
        <v>135</v>
      </c>
      <c r="AZ622" t="s">
        <v>135</v>
      </c>
      <c r="BA622" t="s">
        <v>135</v>
      </c>
      <c r="BB622" t="s">
        <v>135</v>
      </c>
      <c r="BC622" t="s">
        <v>135</v>
      </c>
      <c r="BD622" t="s">
        <v>135</v>
      </c>
      <c r="BE622" t="s">
        <v>135</v>
      </c>
      <c r="BF622" t="s">
        <v>135</v>
      </c>
      <c r="BG622" t="s">
        <v>135</v>
      </c>
      <c r="BH622" t="s">
        <v>135</v>
      </c>
      <c r="BI622" t="s">
        <v>135</v>
      </c>
      <c r="BJ622" t="s">
        <v>135</v>
      </c>
      <c r="BK622" t="s">
        <v>135</v>
      </c>
      <c r="BL622" t="s">
        <v>135</v>
      </c>
      <c r="BM622" t="s">
        <v>135</v>
      </c>
      <c r="BN622" t="s">
        <v>135</v>
      </c>
      <c r="BO622" t="s">
        <v>135</v>
      </c>
      <c r="BP622" t="s">
        <v>135</v>
      </c>
      <c r="BQ622" t="s">
        <v>135</v>
      </c>
      <c r="BR622" t="s">
        <v>135</v>
      </c>
      <c r="BS622" t="s">
        <v>135</v>
      </c>
      <c r="BT622" t="s">
        <v>135</v>
      </c>
      <c r="BU622" t="s">
        <v>135</v>
      </c>
      <c r="BV622" t="s">
        <v>135</v>
      </c>
      <c r="BW622" t="s">
        <v>135</v>
      </c>
      <c r="BX622" t="s">
        <v>135</v>
      </c>
      <c r="BY622" t="s">
        <v>135</v>
      </c>
      <c r="BZ622" t="s">
        <v>135</v>
      </c>
      <c r="CA622" t="s">
        <v>135</v>
      </c>
      <c r="CB622" t="s">
        <v>135</v>
      </c>
      <c r="CC622" t="s">
        <v>135</v>
      </c>
      <c r="CD622" t="s">
        <v>135</v>
      </c>
      <c r="CE622" t="s">
        <v>135</v>
      </c>
      <c r="CF622" t="s">
        <v>135</v>
      </c>
      <c r="CG622" t="s">
        <v>135</v>
      </c>
      <c r="CH622" t="s">
        <v>135</v>
      </c>
      <c r="CI622" t="s">
        <v>135</v>
      </c>
      <c r="CJ622" t="s">
        <v>135</v>
      </c>
      <c r="CK622" t="s">
        <v>135</v>
      </c>
      <c r="CL622" t="s">
        <v>135</v>
      </c>
      <c r="CM622" t="s">
        <v>135</v>
      </c>
      <c r="CN622" t="s">
        <v>135</v>
      </c>
      <c r="CO622" t="s">
        <v>135</v>
      </c>
      <c r="CP622" t="s">
        <v>135</v>
      </c>
      <c r="CQ622" t="s">
        <v>135</v>
      </c>
      <c r="CR622" t="s">
        <v>135</v>
      </c>
      <c r="CS622" t="s">
        <v>135</v>
      </c>
      <c r="CT622" t="s">
        <v>135</v>
      </c>
      <c r="CU622" t="s">
        <v>135</v>
      </c>
      <c r="CV622" t="s">
        <v>135</v>
      </c>
      <c r="CW622" t="s">
        <v>135</v>
      </c>
      <c r="CX622" t="s">
        <v>135</v>
      </c>
      <c r="CY622" t="s">
        <v>135</v>
      </c>
      <c r="CZ622" t="s">
        <v>135</v>
      </c>
      <c r="DA622" t="s">
        <v>135</v>
      </c>
      <c r="DB622" t="s">
        <v>135</v>
      </c>
      <c r="DC622" t="s">
        <v>135</v>
      </c>
      <c r="DD622" t="s">
        <v>135</v>
      </c>
      <c r="DE622" t="s">
        <v>135</v>
      </c>
      <c r="DF622" t="s">
        <v>135</v>
      </c>
      <c r="DG622" t="s">
        <v>135</v>
      </c>
      <c r="DH622" t="s">
        <v>135</v>
      </c>
      <c r="DI622" t="s">
        <v>135</v>
      </c>
    </row>
    <row r="623" spans="4:113" x14ac:dyDescent="0.3">
      <c r="D623" t="s">
        <v>85</v>
      </c>
      <c r="E623" t="s">
        <v>77</v>
      </c>
      <c r="F623" t="s">
        <v>135</v>
      </c>
      <c r="G623" t="s">
        <v>135</v>
      </c>
      <c r="H623" t="s">
        <v>135</v>
      </c>
      <c r="I623" t="s">
        <v>135</v>
      </c>
      <c r="J623" t="s">
        <v>135</v>
      </c>
      <c r="K623" t="s">
        <v>135</v>
      </c>
      <c r="L623" t="s">
        <v>135</v>
      </c>
      <c r="M623" t="s">
        <v>135</v>
      </c>
      <c r="N623" t="s">
        <v>135</v>
      </c>
      <c r="O623" t="s">
        <v>135</v>
      </c>
      <c r="P623" t="s">
        <v>135</v>
      </c>
      <c r="Q623" t="s">
        <v>135</v>
      </c>
      <c r="R623" t="s">
        <v>135</v>
      </c>
      <c r="S623" t="s">
        <v>135</v>
      </c>
      <c r="T623" t="s">
        <v>135</v>
      </c>
      <c r="U623" t="s">
        <v>135</v>
      </c>
      <c r="V623" t="s">
        <v>135</v>
      </c>
      <c r="W623" t="s">
        <v>135</v>
      </c>
      <c r="X623" t="s">
        <v>135</v>
      </c>
      <c r="Y623" t="s">
        <v>135</v>
      </c>
      <c r="Z623" t="s">
        <v>135</v>
      </c>
      <c r="AA623" t="s">
        <v>135</v>
      </c>
      <c r="AB623" t="s">
        <v>135</v>
      </c>
      <c r="AC623" t="s">
        <v>135</v>
      </c>
      <c r="AD623" t="s">
        <v>135</v>
      </c>
      <c r="AE623" t="s">
        <v>135</v>
      </c>
      <c r="AF623" t="s">
        <v>135</v>
      </c>
      <c r="AG623" t="s">
        <v>135</v>
      </c>
      <c r="AH623" t="s">
        <v>135</v>
      </c>
      <c r="AI623" t="s">
        <v>135</v>
      </c>
      <c r="AJ623" t="s">
        <v>135</v>
      </c>
      <c r="AK623" t="s">
        <v>135</v>
      </c>
      <c r="AL623" t="s">
        <v>135</v>
      </c>
      <c r="AM623" t="s">
        <v>135</v>
      </c>
      <c r="AN623" t="s">
        <v>135</v>
      </c>
      <c r="AO623" t="s">
        <v>135</v>
      </c>
      <c r="AP623" t="s">
        <v>135</v>
      </c>
      <c r="AQ623" t="s">
        <v>135</v>
      </c>
      <c r="AR623" t="s">
        <v>135</v>
      </c>
      <c r="AS623" t="s">
        <v>135</v>
      </c>
      <c r="AT623" t="s">
        <v>135</v>
      </c>
      <c r="AU623" t="s">
        <v>135</v>
      </c>
      <c r="AV623" t="s">
        <v>135</v>
      </c>
      <c r="AW623" t="s">
        <v>135</v>
      </c>
      <c r="AX623" t="s">
        <v>135</v>
      </c>
      <c r="AY623" t="s">
        <v>135</v>
      </c>
      <c r="AZ623" t="s">
        <v>135</v>
      </c>
      <c r="BA623" t="s">
        <v>135</v>
      </c>
      <c r="BB623" t="s">
        <v>135</v>
      </c>
      <c r="BC623" t="s">
        <v>135</v>
      </c>
      <c r="BD623" t="s">
        <v>135</v>
      </c>
      <c r="BE623" t="s">
        <v>135</v>
      </c>
      <c r="BF623" t="s">
        <v>135</v>
      </c>
      <c r="BG623" t="s">
        <v>135</v>
      </c>
      <c r="BH623" t="s">
        <v>135</v>
      </c>
      <c r="BI623" t="s">
        <v>135</v>
      </c>
      <c r="BJ623" t="s">
        <v>135</v>
      </c>
      <c r="BK623" t="s">
        <v>135</v>
      </c>
      <c r="BL623" t="s">
        <v>135</v>
      </c>
      <c r="BM623" t="s">
        <v>135</v>
      </c>
      <c r="BN623" t="s">
        <v>135</v>
      </c>
      <c r="BO623" t="s">
        <v>135</v>
      </c>
      <c r="BP623" t="s">
        <v>135</v>
      </c>
      <c r="BQ623" t="s">
        <v>135</v>
      </c>
      <c r="BR623" t="s">
        <v>135</v>
      </c>
      <c r="BS623" t="s">
        <v>135</v>
      </c>
      <c r="BT623" t="s">
        <v>135</v>
      </c>
      <c r="BU623" t="s">
        <v>135</v>
      </c>
      <c r="BV623" t="s">
        <v>135</v>
      </c>
      <c r="BW623" t="s">
        <v>135</v>
      </c>
      <c r="BX623" t="s">
        <v>135</v>
      </c>
      <c r="BY623" t="s">
        <v>135</v>
      </c>
      <c r="BZ623">
        <v>222213.41699999999</v>
      </c>
      <c r="CA623">
        <v>535873.88</v>
      </c>
      <c r="CB623" t="s">
        <v>135</v>
      </c>
      <c r="CC623" t="s">
        <v>135</v>
      </c>
      <c r="CD623" t="s">
        <v>135</v>
      </c>
      <c r="CE623" t="s">
        <v>135</v>
      </c>
      <c r="CF623" t="s">
        <v>135</v>
      </c>
      <c r="CG623" t="s">
        <v>135</v>
      </c>
      <c r="CH623" t="s">
        <v>135</v>
      </c>
      <c r="CI623" t="s">
        <v>135</v>
      </c>
      <c r="CJ623" t="s">
        <v>135</v>
      </c>
      <c r="CK623" t="s">
        <v>135</v>
      </c>
      <c r="CL623" t="s">
        <v>135</v>
      </c>
      <c r="CM623" t="s">
        <v>135</v>
      </c>
      <c r="CN623" t="s">
        <v>135</v>
      </c>
      <c r="CO623" t="s">
        <v>135</v>
      </c>
      <c r="CP623" t="s">
        <v>135</v>
      </c>
      <c r="CQ623" t="s">
        <v>135</v>
      </c>
      <c r="CR623">
        <v>62045.362999999998</v>
      </c>
      <c r="CS623" t="s">
        <v>135</v>
      </c>
      <c r="CT623" t="s">
        <v>135</v>
      </c>
      <c r="CU623" t="s">
        <v>135</v>
      </c>
      <c r="CV623" t="s">
        <v>135</v>
      </c>
      <c r="CW623" t="s">
        <v>135</v>
      </c>
      <c r="CX623" t="s">
        <v>135</v>
      </c>
      <c r="CY623" t="s">
        <v>135</v>
      </c>
      <c r="CZ623" t="s">
        <v>135</v>
      </c>
      <c r="DA623" t="s">
        <v>135</v>
      </c>
      <c r="DB623" t="s">
        <v>135</v>
      </c>
      <c r="DC623" t="s">
        <v>135</v>
      </c>
      <c r="DD623" t="s">
        <v>135</v>
      </c>
      <c r="DE623" t="s">
        <v>135</v>
      </c>
      <c r="DF623" t="s">
        <v>135</v>
      </c>
      <c r="DG623" t="s">
        <v>135</v>
      </c>
      <c r="DH623" t="s">
        <v>135</v>
      </c>
      <c r="DI623" t="s">
        <v>135</v>
      </c>
    </row>
    <row r="624" spans="4:113" x14ac:dyDescent="0.3">
      <c r="E624" t="s">
        <v>78</v>
      </c>
      <c r="F624" t="s">
        <v>135</v>
      </c>
      <c r="G624" t="s">
        <v>135</v>
      </c>
      <c r="H624" t="s">
        <v>135</v>
      </c>
      <c r="I624" t="s">
        <v>135</v>
      </c>
      <c r="J624" t="s">
        <v>135</v>
      </c>
      <c r="K624" t="s">
        <v>135</v>
      </c>
      <c r="L624" t="s">
        <v>135</v>
      </c>
      <c r="M624" t="s">
        <v>135</v>
      </c>
      <c r="N624" t="s">
        <v>135</v>
      </c>
      <c r="O624" t="s">
        <v>135</v>
      </c>
      <c r="P624" t="s">
        <v>135</v>
      </c>
      <c r="Q624" t="s">
        <v>135</v>
      </c>
      <c r="R624" t="s">
        <v>135</v>
      </c>
      <c r="S624" t="s">
        <v>135</v>
      </c>
      <c r="T624" t="s">
        <v>135</v>
      </c>
      <c r="U624" t="s">
        <v>135</v>
      </c>
      <c r="V624" t="s">
        <v>135</v>
      </c>
      <c r="W624" t="s">
        <v>135</v>
      </c>
      <c r="X624" t="s">
        <v>135</v>
      </c>
      <c r="Y624" t="s">
        <v>135</v>
      </c>
      <c r="Z624" t="s">
        <v>135</v>
      </c>
      <c r="AA624" t="s">
        <v>135</v>
      </c>
      <c r="AB624" t="s">
        <v>135</v>
      </c>
      <c r="AC624" t="s">
        <v>135</v>
      </c>
      <c r="AD624" t="s">
        <v>135</v>
      </c>
      <c r="AE624" t="s">
        <v>135</v>
      </c>
      <c r="AF624" t="s">
        <v>135</v>
      </c>
      <c r="AG624" t="s">
        <v>135</v>
      </c>
      <c r="AH624" t="s">
        <v>135</v>
      </c>
      <c r="AI624" t="s">
        <v>135</v>
      </c>
      <c r="AJ624" t="s">
        <v>135</v>
      </c>
      <c r="AK624" t="s">
        <v>135</v>
      </c>
      <c r="AL624" t="s">
        <v>135</v>
      </c>
      <c r="AM624" t="s">
        <v>135</v>
      </c>
      <c r="AN624" t="s">
        <v>135</v>
      </c>
      <c r="AO624" t="s">
        <v>135</v>
      </c>
      <c r="AP624" t="s">
        <v>135</v>
      </c>
      <c r="AQ624" t="s">
        <v>135</v>
      </c>
      <c r="AR624" t="s">
        <v>135</v>
      </c>
      <c r="AS624" t="s">
        <v>135</v>
      </c>
      <c r="AT624" t="s">
        <v>135</v>
      </c>
      <c r="AU624" t="s">
        <v>135</v>
      </c>
      <c r="AV624" t="s">
        <v>135</v>
      </c>
      <c r="AW624" t="s">
        <v>135</v>
      </c>
      <c r="AX624" t="s">
        <v>135</v>
      </c>
      <c r="AY624" t="s">
        <v>135</v>
      </c>
      <c r="AZ624" t="s">
        <v>135</v>
      </c>
      <c r="BA624" t="s">
        <v>135</v>
      </c>
      <c r="BB624" t="s">
        <v>135</v>
      </c>
      <c r="BC624" t="s">
        <v>135</v>
      </c>
      <c r="BD624" t="s">
        <v>135</v>
      </c>
      <c r="BE624" t="s">
        <v>135</v>
      </c>
      <c r="BF624" t="s">
        <v>135</v>
      </c>
      <c r="BG624" t="s">
        <v>135</v>
      </c>
      <c r="BH624" t="s">
        <v>135</v>
      </c>
      <c r="BI624" t="s">
        <v>135</v>
      </c>
      <c r="BJ624" t="s">
        <v>135</v>
      </c>
      <c r="BK624" t="s">
        <v>135</v>
      </c>
      <c r="BL624" t="s">
        <v>135</v>
      </c>
      <c r="BM624" t="s">
        <v>135</v>
      </c>
      <c r="BN624" t="s">
        <v>135</v>
      </c>
      <c r="BO624" t="s">
        <v>135</v>
      </c>
      <c r="BP624" t="s">
        <v>135</v>
      </c>
      <c r="BQ624" t="s">
        <v>135</v>
      </c>
      <c r="BR624" t="s">
        <v>135</v>
      </c>
      <c r="BS624" t="s">
        <v>135</v>
      </c>
      <c r="BT624" t="s">
        <v>135</v>
      </c>
      <c r="BU624" t="s">
        <v>135</v>
      </c>
      <c r="BV624" t="s">
        <v>135</v>
      </c>
      <c r="BW624" t="s">
        <v>135</v>
      </c>
      <c r="BX624" t="s">
        <v>135</v>
      </c>
      <c r="BY624" t="s">
        <v>135</v>
      </c>
      <c r="BZ624" t="s">
        <v>135</v>
      </c>
      <c r="CA624" t="s">
        <v>135</v>
      </c>
      <c r="CB624" t="s">
        <v>135</v>
      </c>
      <c r="CC624" t="s">
        <v>135</v>
      </c>
      <c r="CD624" t="s">
        <v>135</v>
      </c>
      <c r="CE624" t="s">
        <v>135</v>
      </c>
      <c r="CF624" t="s">
        <v>135</v>
      </c>
      <c r="CG624" t="s">
        <v>135</v>
      </c>
      <c r="CH624" t="s">
        <v>135</v>
      </c>
      <c r="CI624" t="s">
        <v>135</v>
      </c>
      <c r="CJ624" t="s">
        <v>135</v>
      </c>
      <c r="CK624" t="s">
        <v>135</v>
      </c>
      <c r="CL624" t="s">
        <v>135</v>
      </c>
      <c r="CM624" t="s">
        <v>135</v>
      </c>
      <c r="CN624" t="s">
        <v>135</v>
      </c>
      <c r="CO624" t="s">
        <v>135</v>
      </c>
      <c r="CP624" t="s">
        <v>135</v>
      </c>
      <c r="CQ624" t="s">
        <v>135</v>
      </c>
      <c r="CR624" t="s">
        <v>135</v>
      </c>
      <c r="CS624" t="s">
        <v>135</v>
      </c>
      <c r="CT624" t="s">
        <v>135</v>
      </c>
      <c r="CU624" t="s">
        <v>135</v>
      </c>
      <c r="CV624" t="s">
        <v>135</v>
      </c>
      <c r="CW624" t="s">
        <v>135</v>
      </c>
      <c r="CX624" t="s">
        <v>135</v>
      </c>
      <c r="CY624" t="s">
        <v>135</v>
      </c>
      <c r="CZ624" t="s">
        <v>135</v>
      </c>
      <c r="DA624" t="s">
        <v>135</v>
      </c>
      <c r="DB624" t="s">
        <v>135</v>
      </c>
      <c r="DC624" t="s">
        <v>135</v>
      </c>
      <c r="DD624" t="s">
        <v>135</v>
      </c>
      <c r="DE624" t="s">
        <v>135</v>
      </c>
      <c r="DF624" t="s">
        <v>135</v>
      </c>
      <c r="DG624" t="s">
        <v>135</v>
      </c>
      <c r="DH624" t="s">
        <v>135</v>
      </c>
      <c r="DI624" t="s">
        <v>135</v>
      </c>
    </row>
    <row r="625" spans="1:113" x14ac:dyDescent="0.3">
      <c r="E625" t="s">
        <v>79</v>
      </c>
      <c r="F625" t="s">
        <v>135</v>
      </c>
      <c r="G625" t="s">
        <v>135</v>
      </c>
      <c r="H625" t="s">
        <v>135</v>
      </c>
      <c r="I625" t="s">
        <v>135</v>
      </c>
      <c r="J625" t="s">
        <v>135</v>
      </c>
      <c r="K625" t="s">
        <v>135</v>
      </c>
      <c r="L625" t="s">
        <v>135</v>
      </c>
      <c r="M625" t="s">
        <v>135</v>
      </c>
      <c r="N625" t="s">
        <v>135</v>
      </c>
      <c r="O625" t="s">
        <v>135</v>
      </c>
      <c r="P625" t="s">
        <v>135</v>
      </c>
      <c r="Q625" t="s">
        <v>135</v>
      </c>
      <c r="R625" t="s">
        <v>135</v>
      </c>
      <c r="S625" t="s">
        <v>135</v>
      </c>
      <c r="T625" t="s">
        <v>135</v>
      </c>
      <c r="U625" t="s">
        <v>135</v>
      </c>
      <c r="V625" t="s">
        <v>135</v>
      </c>
      <c r="W625" t="s">
        <v>135</v>
      </c>
      <c r="X625" t="s">
        <v>135</v>
      </c>
      <c r="Y625" t="s">
        <v>135</v>
      </c>
      <c r="Z625" t="s">
        <v>135</v>
      </c>
      <c r="AA625" t="s">
        <v>135</v>
      </c>
      <c r="AB625" t="s">
        <v>135</v>
      </c>
      <c r="AC625" t="s">
        <v>135</v>
      </c>
      <c r="AD625" t="s">
        <v>135</v>
      </c>
      <c r="AE625" t="s">
        <v>135</v>
      </c>
      <c r="AF625" t="s">
        <v>135</v>
      </c>
      <c r="AG625" t="s">
        <v>135</v>
      </c>
      <c r="AH625" t="s">
        <v>135</v>
      </c>
      <c r="AI625" t="s">
        <v>135</v>
      </c>
      <c r="AJ625" t="s">
        <v>135</v>
      </c>
      <c r="AK625" t="s">
        <v>135</v>
      </c>
      <c r="AL625" t="s">
        <v>135</v>
      </c>
      <c r="AM625" t="s">
        <v>135</v>
      </c>
      <c r="AN625" t="s">
        <v>135</v>
      </c>
      <c r="AO625" t="s">
        <v>135</v>
      </c>
      <c r="AP625" t="s">
        <v>135</v>
      </c>
      <c r="AQ625" t="s">
        <v>135</v>
      </c>
      <c r="AR625" t="s">
        <v>135</v>
      </c>
      <c r="AS625" t="s">
        <v>135</v>
      </c>
      <c r="AT625" t="s">
        <v>135</v>
      </c>
      <c r="AU625" t="s">
        <v>135</v>
      </c>
      <c r="AV625" t="s">
        <v>135</v>
      </c>
      <c r="AW625" t="s">
        <v>135</v>
      </c>
      <c r="AX625" t="s">
        <v>135</v>
      </c>
      <c r="AY625" t="s">
        <v>135</v>
      </c>
      <c r="AZ625" t="s">
        <v>135</v>
      </c>
      <c r="BA625" t="s">
        <v>135</v>
      </c>
      <c r="BB625" t="s">
        <v>135</v>
      </c>
      <c r="BC625" t="s">
        <v>135</v>
      </c>
      <c r="BD625" t="s">
        <v>135</v>
      </c>
      <c r="BE625" t="s">
        <v>135</v>
      </c>
      <c r="BF625" t="s">
        <v>135</v>
      </c>
      <c r="BG625" t="s">
        <v>135</v>
      </c>
      <c r="BH625" t="s">
        <v>135</v>
      </c>
      <c r="BI625" t="s">
        <v>135</v>
      </c>
      <c r="BJ625" t="s">
        <v>135</v>
      </c>
      <c r="BK625" t="s">
        <v>135</v>
      </c>
      <c r="BL625" t="s">
        <v>135</v>
      </c>
      <c r="BM625" t="s">
        <v>135</v>
      </c>
      <c r="BN625" t="s">
        <v>135</v>
      </c>
      <c r="BO625" t="s">
        <v>135</v>
      </c>
      <c r="BP625" t="s">
        <v>135</v>
      </c>
      <c r="BQ625" t="s">
        <v>135</v>
      </c>
      <c r="BR625" t="s">
        <v>135</v>
      </c>
      <c r="BS625" t="s">
        <v>135</v>
      </c>
      <c r="BT625" t="s">
        <v>135</v>
      </c>
      <c r="BU625" t="s">
        <v>135</v>
      </c>
      <c r="BV625" t="s">
        <v>135</v>
      </c>
      <c r="BW625" t="s">
        <v>135</v>
      </c>
      <c r="BX625" t="s">
        <v>135</v>
      </c>
      <c r="BY625" t="s">
        <v>135</v>
      </c>
      <c r="BZ625" t="s">
        <v>135</v>
      </c>
      <c r="CA625" t="s">
        <v>135</v>
      </c>
      <c r="CB625" t="s">
        <v>135</v>
      </c>
      <c r="CC625" t="s">
        <v>135</v>
      </c>
      <c r="CD625" t="s">
        <v>135</v>
      </c>
      <c r="CE625" t="s">
        <v>135</v>
      </c>
      <c r="CF625" t="s">
        <v>135</v>
      </c>
      <c r="CG625" t="s">
        <v>135</v>
      </c>
      <c r="CH625" t="s">
        <v>135</v>
      </c>
      <c r="CI625" t="s">
        <v>135</v>
      </c>
      <c r="CJ625" t="s">
        <v>135</v>
      </c>
      <c r="CK625" t="s">
        <v>135</v>
      </c>
      <c r="CL625" t="s">
        <v>135</v>
      </c>
      <c r="CM625" t="s">
        <v>135</v>
      </c>
      <c r="CN625" t="s">
        <v>135</v>
      </c>
      <c r="CO625" t="s">
        <v>135</v>
      </c>
      <c r="CP625" t="s">
        <v>135</v>
      </c>
      <c r="CQ625" t="s">
        <v>135</v>
      </c>
      <c r="CR625" t="s">
        <v>135</v>
      </c>
      <c r="CS625" t="s">
        <v>135</v>
      </c>
      <c r="CT625" t="s">
        <v>135</v>
      </c>
      <c r="CU625" t="s">
        <v>135</v>
      </c>
      <c r="CV625" t="s">
        <v>135</v>
      </c>
      <c r="CW625" t="s">
        <v>135</v>
      </c>
      <c r="CX625" t="s">
        <v>135</v>
      </c>
      <c r="CY625" t="s">
        <v>135</v>
      </c>
      <c r="CZ625" t="s">
        <v>135</v>
      </c>
      <c r="DA625" t="s">
        <v>135</v>
      </c>
      <c r="DB625" t="s">
        <v>135</v>
      </c>
      <c r="DC625" t="s">
        <v>135</v>
      </c>
      <c r="DD625" t="s">
        <v>135</v>
      </c>
      <c r="DE625" t="s">
        <v>135</v>
      </c>
      <c r="DF625" t="s">
        <v>135</v>
      </c>
      <c r="DG625" t="s">
        <v>135</v>
      </c>
      <c r="DH625" t="s">
        <v>135</v>
      </c>
      <c r="DI625" t="s">
        <v>135</v>
      </c>
    </row>
    <row r="626" spans="1:113" x14ac:dyDescent="0.3">
      <c r="E626" t="s">
        <v>80</v>
      </c>
      <c r="F626" t="s">
        <v>135</v>
      </c>
      <c r="G626" t="s">
        <v>135</v>
      </c>
      <c r="H626" t="s">
        <v>135</v>
      </c>
      <c r="I626" t="s">
        <v>135</v>
      </c>
      <c r="J626" t="s">
        <v>135</v>
      </c>
      <c r="K626" t="s">
        <v>135</v>
      </c>
      <c r="L626" t="s">
        <v>135</v>
      </c>
      <c r="M626" t="s">
        <v>135</v>
      </c>
      <c r="N626" t="s">
        <v>135</v>
      </c>
      <c r="O626" t="s">
        <v>135</v>
      </c>
      <c r="P626" t="s">
        <v>135</v>
      </c>
      <c r="Q626" t="s">
        <v>135</v>
      </c>
      <c r="R626" t="s">
        <v>135</v>
      </c>
      <c r="S626" t="s">
        <v>135</v>
      </c>
      <c r="T626" t="s">
        <v>135</v>
      </c>
      <c r="U626" t="s">
        <v>135</v>
      </c>
      <c r="V626" t="s">
        <v>135</v>
      </c>
      <c r="W626" t="s">
        <v>135</v>
      </c>
      <c r="X626" t="s">
        <v>135</v>
      </c>
      <c r="Y626" t="s">
        <v>135</v>
      </c>
      <c r="Z626" t="s">
        <v>135</v>
      </c>
      <c r="AA626" t="s">
        <v>135</v>
      </c>
      <c r="AB626" t="s">
        <v>135</v>
      </c>
      <c r="AC626" t="s">
        <v>135</v>
      </c>
      <c r="AD626" t="s">
        <v>135</v>
      </c>
      <c r="AE626" t="s">
        <v>135</v>
      </c>
      <c r="AF626" t="s">
        <v>135</v>
      </c>
      <c r="AG626" t="s">
        <v>135</v>
      </c>
      <c r="AH626" t="s">
        <v>135</v>
      </c>
      <c r="AI626" t="s">
        <v>135</v>
      </c>
      <c r="AJ626" t="s">
        <v>135</v>
      </c>
      <c r="AK626" t="s">
        <v>135</v>
      </c>
      <c r="AL626" t="s">
        <v>135</v>
      </c>
      <c r="AM626" t="s">
        <v>135</v>
      </c>
      <c r="AN626" t="s">
        <v>135</v>
      </c>
      <c r="AO626" t="s">
        <v>135</v>
      </c>
      <c r="AP626" t="s">
        <v>135</v>
      </c>
      <c r="AQ626" t="s">
        <v>135</v>
      </c>
      <c r="AR626" t="s">
        <v>135</v>
      </c>
      <c r="AS626" t="s">
        <v>135</v>
      </c>
      <c r="AT626" t="s">
        <v>135</v>
      </c>
      <c r="AU626" t="s">
        <v>135</v>
      </c>
      <c r="AV626" t="s">
        <v>135</v>
      </c>
      <c r="AW626" t="s">
        <v>135</v>
      </c>
      <c r="AX626" t="s">
        <v>135</v>
      </c>
      <c r="AY626" t="s">
        <v>135</v>
      </c>
      <c r="AZ626" t="s">
        <v>135</v>
      </c>
      <c r="BA626" t="s">
        <v>135</v>
      </c>
      <c r="BB626" t="s">
        <v>135</v>
      </c>
      <c r="BC626" t="s">
        <v>135</v>
      </c>
      <c r="BD626" t="s">
        <v>135</v>
      </c>
      <c r="BE626" t="s">
        <v>135</v>
      </c>
      <c r="BF626" t="s">
        <v>135</v>
      </c>
      <c r="BG626" t="s">
        <v>135</v>
      </c>
      <c r="BH626" t="s">
        <v>135</v>
      </c>
      <c r="BI626" t="s">
        <v>135</v>
      </c>
      <c r="BJ626" t="s">
        <v>135</v>
      </c>
      <c r="BK626" t="s">
        <v>135</v>
      </c>
      <c r="BL626" t="s">
        <v>135</v>
      </c>
      <c r="BM626" t="s">
        <v>135</v>
      </c>
      <c r="BN626" t="s">
        <v>135</v>
      </c>
      <c r="BO626" t="s">
        <v>135</v>
      </c>
      <c r="BP626" t="s">
        <v>135</v>
      </c>
      <c r="BQ626" t="s">
        <v>135</v>
      </c>
      <c r="BR626" t="s">
        <v>135</v>
      </c>
      <c r="BS626" t="s">
        <v>135</v>
      </c>
      <c r="BT626" t="s">
        <v>135</v>
      </c>
      <c r="BU626" t="s">
        <v>135</v>
      </c>
      <c r="BV626" t="s">
        <v>135</v>
      </c>
      <c r="BW626" t="s">
        <v>135</v>
      </c>
      <c r="BX626" t="s">
        <v>135</v>
      </c>
      <c r="BY626" t="s">
        <v>135</v>
      </c>
      <c r="BZ626" t="s">
        <v>135</v>
      </c>
      <c r="CA626" t="s">
        <v>135</v>
      </c>
      <c r="CB626" t="s">
        <v>135</v>
      </c>
      <c r="CC626" t="s">
        <v>135</v>
      </c>
      <c r="CD626" t="s">
        <v>135</v>
      </c>
      <c r="CE626" t="s">
        <v>135</v>
      </c>
      <c r="CF626" t="s">
        <v>135</v>
      </c>
      <c r="CG626" t="s">
        <v>135</v>
      </c>
      <c r="CH626" t="s">
        <v>135</v>
      </c>
      <c r="CI626" t="s">
        <v>135</v>
      </c>
      <c r="CJ626" t="s">
        <v>135</v>
      </c>
      <c r="CK626" t="s">
        <v>135</v>
      </c>
      <c r="CL626" t="s">
        <v>135</v>
      </c>
      <c r="CM626" t="s">
        <v>135</v>
      </c>
      <c r="CN626" t="s">
        <v>135</v>
      </c>
      <c r="CO626" t="s">
        <v>135</v>
      </c>
      <c r="CP626" t="s">
        <v>135</v>
      </c>
      <c r="CQ626" t="s">
        <v>135</v>
      </c>
      <c r="CR626" t="s">
        <v>135</v>
      </c>
      <c r="CS626" t="s">
        <v>135</v>
      </c>
      <c r="CT626" t="s">
        <v>135</v>
      </c>
      <c r="CU626" t="s">
        <v>135</v>
      </c>
      <c r="CV626" t="s">
        <v>135</v>
      </c>
      <c r="CW626" t="s">
        <v>135</v>
      </c>
      <c r="CX626" t="s">
        <v>135</v>
      </c>
      <c r="CY626" t="s">
        <v>135</v>
      </c>
      <c r="CZ626" t="s">
        <v>135</v>
      </c>
      <c r="DA626" t="s">
        <v>135</v>
      </c>
      <c r="DB626" t="s">
        <v>135</v>
      </c>
      <c r="DC626" t="s">
        <v>135</v>
      </c>
      <c r="DD626" t="s">
        <v>135</v>
      </c>
      <c r="DE626" t="s">
        <v>135</v>
      </c>
      <c r="DF626" t="s">
        <v>135</v>
      </c>
      <c r="DG626" t="s">
        <v>135</v>
      </c>
      <c r="DH626" t="s">
        <v>135</v>
      </c>
      <c r="DI626" t="s">
        <v>135</v>
      </c>
    </row>
    <row r="627" spans="1:113" x14ac:dyDescent="0.3">
      <c r="E627" t="s">
        <v>81</v>
      </c>
      <c r="F627" t="s">
        <v>135</v>
      </c>
      <c r="G627" t="s">
        <v>135</v>
      </c>
      <c r="H627" t="s">
        <v>135</v>
      </c>
      <c r="I627" t="s">
        <v>135</v>
      </c>
      <c r="J627" t="s">
        <v>135</v>
      </c>
      <c r="K627" t="s">
        <v>135</v>
      </c>
      <c r="L627" t="s">
        <v>135</v>
      </c>
      <c r="M627" t="s">
        <v>135</v>
      </c>
      <c r="N627" t="s">
        <v>135</v>
      </c>
      <c r="O627" t="s">
        <v>135</v>
      </c>
      <c r="P627" t="s">
        <v>135</v>
      </c>
      <c r="Q627" t="s">
        <v>135</v>
      </c>
      <c r="R627" t="s">
        <v>135</v>
      </c>
      <c r="S627" t="s">
        <v>135</v>
      </c>
      <c r="T627" t="s">
        <v>135</v>
      </c>
      <c r="U627" t="s">
        <v>135</v>
      </c>
      <c r="V627" t="s">
        <v>135</v>
      </c>
      <c r="W627" t="s">
        <v>135</v>
      </c>
      <c r="X627" t="s">
        <v>135</v>
      </c>
      <c r="Y627" t="s">
        <v>135</v>
      </c>
      <c r="Z627" t="s">
        <v>135</v>
      </c>
      <c r="AA627" t="s">
        <v>135</v>
      </c>
      <c r="AB627" t="s">
        <v>135</v>
      </c>
      <c r="AC627" t="s">
        <v>135</v>
      </c>
      <c r="AD627" t="s">
        <v>135</v>
      </c>
      <c r="AE627" t="s">
        <v>135</v>
      </c>
      <c r="AF627" t="s">
        <v>135</v>
      </c>
      <c r="AG627" t="s">
        <v>135</v>
      </c>
      <c r="AH627" t="s">
        <v>135</v>
      </c>
      <c r="AI627" t="s">
        <v>135</v>
      </c>
      <c r="AJ627" t="s">
        <v>135</v>
      </c>
      <c r="AK627" t="s">
        <v>135</v>
      </c>
      <c r="AL627" t="s">
        <v>135</v>
      </c>
      <c r="AM627" t="s">
        <v>135</v>
      </c>
      <c r="AN627" t="s">
        <v>135</v>
      </c>
      <c r="AO627" t="s">
        <v>135</v>
      </c>
      <c r="AP627" t="s">
        <v>135</v>
      </c>
      <c r="AQ627" t="s">
        <v>135</v>
      </c>
      <c r="AR627" t="s">
        <v>135</v>
      </c>
      <c r="AS627" t="s">
        <v>135</v>
      </c>
      <c r="AT627" t="s">
        <v>135</v>
      </c>
      <c r="AU627" t="s">
        <v>135</v>
      </c>
      <c r="AV627" t="s">
        <v>135</v>
      </c>
      <c r="AW627" t="s">
        <v>135</v>
      </c>
      <c r="AX627" t="s">
        <v>135</v>
      </c>
      <c r="AY627" t="s">
        <v>135</v>
      </c>
      <c r="AZ627" t="s">
        <v>135</v>
      </c>
      <c r="BA627" t="s">
        <v>135</v>
      </c>
      <c r="BB627" t="s">
        <v>135</v>
      </c>
      <c r="BC627" t="s">
        <v>135</v>
      </c>
      <c r="BD627" t="s">
        <v>135</v>
      </c>
      <c r="BE627" t="s">
        <v>135</v>
      </c>
      <c r="BF627" t="s">
        <v>135</v>
      </c>
      <c r="BG627" t="s">
        <v>135</v>
      </c>
      <c r="BH627" t="s">
        <v>135</v>
      </c>
      <c r="BI627" t="s">
        <v>135</v>
      </c>
      <c r="BJ627" t="s">
        <v>135</v>
      </c>
      <c r="BK627" t="s">
        <v>135</v>
      </c>
      <c r="BL627" t="s">
        <v>135</v>
      </c>
      <c r="BM627" t="s">
        <v>135</v>
      </c>
      <c r="BN627" t="s">
        <v>135</v>
      </c>
      <c r="BO627" t="s">
        <v>135</v>
      </c>
      <c r="BP627" t="s">
        <v>135</v>
      </c>
      <c r="BQ627" t="s">
        <v>135</v>
      </c>
      <c r="BR627" t="s">
        <v>135</v>
      </c>
      <c r="BS627" t="s">
        <v>135</v>
      </c>
      <c r="BT627" t="s">
        <v>135</v>
      </c>
      <c r="BU627" t="s">
        <v>135</v>
      </c>
      <c r="BV627" t="s">
        <v>135</v>
      </c>
      <c r="BW627" t="s">
        <v>135</v>
      </c>
      <c r="BX627" t="s">
        <v>135</v>
      </c>
      <c r="BY627" t="s">
        <v>135</v>
      </c>
      <c r="BZ627" t="s">
        <v>135</v>
      </c>
      <c r="CA627" t="s">
        <v>135</v>
      </c>
      <c r="CB627" t="s">
        <v>135</v>
      </c>
      <c r="CC627" t="s">
        <v>135</v>
      </c>
      <c r="CD627" t="s">
        <v>135</v>
      </c>
      <c r="CE627" t="s">
        <v>135</v>
      </c>
      <c r="CF627" t="s">
        <v>135</v>
      </c>
      <c r="CG627" t="s">
        <v>135</v>
      </c>
      <c r="CH627" t="s">
        <v>135</v>
      </c>
      <c r="CI627" t="s">
        <v>135</v>
      </c>
      <c r="CJ627" t="s">
        <v>135</v>
      </c>
      <c r="CK627" t="s">
        <v>135</v>
      </c>
      <c r="CL627" t="s">
        <v>135</v>
      </c>
      <c r="CM627" t="s">
        <v>135</v>
      </c>
      <c r="CN627" t="s">
        <v>135</v>
      </c>
      <c r="CO627" t="s">
        <v>135</v>
      </c>
      <c r="CP627" t="s">
        <v>135</v>
      </c>
      <c r="CQ627" t="s">
        <v>135</v>
      </c>
      <c r="CR627" t="s">
        <v>135</v>
      </c>
      <c r="CS627" t="s">
        <v>135</v>
      </c>
      <c r="CT627" t="s">
        <v>135</v>
      </c>
      <c r="CU627" t="s">
        <v>135</v>
      </c>
      <c r="CV627" t="s">
        <v>135</v>
      </c>
      <c r="CW627" t="s">
        <v>135</v>
      </c>
      <c r="CX627" t="s">
        <v>135</v>
      </c>
      <c r="CY627" t="s">
        <v>135</v>
      </c>
      <c r="CZ627" t="s">
        <v>135</v>
      </c>
      <c r="DA627" t="s">
        <v>135</v>
      </c>
      <c r="DB627" t="s">
        <v>135</v>
      </c>
      <c r="DC627" t="s">
        <v>135</v>
      </c>
      <c r="DD627" t="s">
        <v>135</v>
      </c>
      <c r="DE627" t="s">
        <v>135</v>
      </c>
      <c r="DF627" t="s">
        <v>135</v>
      </c>
      <c r="DG627" t="s">
        <v>135</v>
      </c>
      <c r="DH627" t="s">
        <v>135</v>
      </c>
      <c r="DI627" t="s">
        <v>135</v>
      </c>
    </row>
    <row r="628" spans="1:113" x14ac:dyDescent="0.3">
      <c r="A628">
        <v>101</v>
      </c>
      <c r="B628" t="s">
        <v>133</v>
      </c>
      <c r="C628" t="s">
        <v>134</v>
      </c>
      <c r="D628" t="s">
        <v>76</v>
      </c>
      <c r="E628" t="s">
        <v>77</v>
      </c>
      <c r="F628">
        <v>26.5975</v>
      </c>
      <c r="G628">
        <v>16.065200000000001</v>
      </c>
      <c r="H628">
        <v>20.617999999999999</v>
      </c>
      <c r="I628">
        <v>17.270900000000001</v>
      </c>
      <c r="J628">
        <v>27.559000000000001</v>
      </c>
      <c r="K628">
        <v>26.412500000000001</v>
      </c>
      <c r="L628">
        <v>34.925699999999999</v>
      </c>
      <c r="M628">
        <v>30.186</v>
      </c>
      <c r="N628">
        <v>20.371200000000002</v>
      </c>
      <c r="O628">
        <v>20.4147</v>
      </c>
      <c r="P628">
        <v>20.183499999999999</v>
      </c>
      <c r="Q628">
        <v>32.529800000000002</v>
      </c>
      <c r="R628">
        <v>21.7789</v>
      </c>
      <c r="S628">
        <v>20.8049</v>
      </c>
      <c r="T628">
        <v>18.640899999999998</v>
      </c>
      <c r="U628">
        <v>26.197199999999999</v>
      </c>
      <c r="V628">
        <v>26.224799999999998</v>
      </c>
      <c r="W628">
        <v>22.568100000000001</v>
      </c>
      <c r="X628">
        <v>22.370200000000001</v>
      </c>
      <c r="Y628">
        <v>0</v>
      </c>
      <c r="Z628">
        <v>3.9535</v>
      </c>
      <c r="AA628">
        <v>34.202399999999997</v>
      </c>
      <c r="AB628">
        <v>44.364699999999999</v>
      </c>
      <c r="AC628">
        <v>18.867599999999999</v>
      </c>
      <c r="AD628">
        <v>22.354099999999999</v>
      </c>
      <c r="AE628">
        <v>15.4496</v>
      </c>
      <c r="AF628">
        <v>-0.23050000000000001</v>
      </c>
      <c r="AG628">
        <v>-51.298699999999997</v>
      </c>
      <c r="AH628">
        <v>-46.198799999999999</v>
      </c>
      <c r="AI628">
        <v>21.175999999999998</v>
      </c>
      <c r="AJ628">
        <v>20.882999999999999</v>
      </c>
      <c r="AK628">
        <v>-30.913599999999999</v>
      </c>
      <c r="AL628">
        <v>4.6185999999999998</v>
      </c>
      <c r="AM628">
        <v>14.9503</v>
      </c>
      <c r="AN628">
        <v>17.0533</v>
      </c>
      <c r="AO628">
        <v>17.4238</v>
      </c>
      <c r="AP628">
        <v>11.475199999999999</v>
      </c>
      <c r="AQ628">
        <v>9.2865000000000002</v>
      </c>
      <c r="AR628">
        <v>14.8698</v>
      </c>
      <c r="AS628">
        <v>9.8188999999999993</v>
      </c>
      <c r="AT628">
        <v>205.73830000000001</v>
      </c>
      <c r="AU628">
        <v>6.7815000000000003</v>
      </c>
      <c r="AV628">
        <v>5.3396999999999997</v>
      </c>
      <c r="AW628">
        <v>41.8568</v>
      </c>
      <c r="AX628">
        <v>8.7385999999999999</v>
      </c>
      <c r="AY628">
        <v>1.2695000000000001</v>
      </c>
      <c r="AZ628">
        <v>-49.174199999999999</v>
      </c>
      <c r="BA628">
        <v>-56.276000000000003</v>
      </c>
      <c r="BB628">
        <v>6.3051000000000004</v>
      </c>
      <c r="BC628">
        <v>3.1515</v>
      </c>
      <c r="BD628">
        <v>-6.2732000000000001</v>
      </c>
      <c r="BE628">
        <v>20.304600000000001</v>
      </c>
      <c r="BF628">
        <v>18.640899999999998</v>
      </c>
      <c r="BG628">
        <v>26.197199999999999</v>
      </c>
      <c r="BH628">
        <v>26.224799999999998</v>
      </c>
      <c r="BI628">
        <v>22.568100000000001</v>
      </c>
      <c r="BJ628">
        <v>22.370200000000001</v>
      </c>
      <c r="BK628">
        <v>0</v>
      </c>
      <c r="BL628">
        <v>3.9535</v>
      </c>
      <c r="BM628">
        <v>34.202399999999997</v>
      </c>
      <c r="BN628">
        <v>44.364699999999999</v>
      </c>
      <c r="BO628">
        <v>18.867599999999999</v>
      </c>
      <c r="BP628">
        <v>22.354099999999999</v>
      </c>
      <c r="BQ628">
        <v>15.4496</v>
      </c>
      <c r="BR628">
        <v>-0.23050000000000001</v>
      </c>
      <c r="BS628">
        <v>-51.298699999999997</v>
      </c>
      <c r="BT628">
        <v>-46.198799999999999</v>
      </c>
      <c r="BU628">
        <v>21.175999999999998</v>
      </c>
      <c r="BV628">
        <v>20.882999999999999</v>
      </c>
      <c r="BW628">
        <v>-30.913599999999999</v>
      </c>
      <c r="BX628">
        <v>4.6185999999999998</v>
      </c>
      <c r="BY628">
        <v>92</v>
      </c>
      <c r="BZ628">
        <v>75</v>
      </c>
      <c r="CA628">
        <v>17</v>
      </c>
      <c r="CB628">
        <v>7.6E-3</v>
      </c>
      <c r="CC628">
        <v>-0.9052</v>
      </c>
      <c r="CD628">
        <v>8.0000000000000002E-3</v>
      </c>
      <c r="CE628">
        <v>-0.94450000000000001</v>
      </c>
      <c r="CF628">
        <v>158.4605</v>
      </c>
      <c r="CG628">
        <v>45.106699999999996</v>
      </c>
      <c r="CH628">
        <v>3.5799999999999998E-2</v>
      </c>
      <c r="CI628">
        <v>3.5799999999999998E-2</v>
      </c>
      <c r="CJ628">
        <v>2.8199999999999999E-2</v>
      </c>
      <c r="CK628">
        <v>0.19389999999999999</v>
      </c>
      <c r="CL628">
        <v>0.19359999999999999</v>
      </c>
      <c r="CM628">
        <v>0.1525</v>
      </c>
      <c r="CN628">
        <v>-22.979500000000002</v>
      </c>
      <c r="CO628">
        <v>-29.8355</v>
      </c>
      <c r="CP628">
        <v>12043</v>
      </c>
      <c r="CQ628">
        <v>10561</v>
      </c>
      <c r="CR628">
        <v>11542</v>
      </c>
      <c r="CS628">
        <v>0.90080000000000005</v>
      </c>
      <c r="CT628">
        <v>3.4512999999999998</v>
      </c>
      <c r="CU628">
        <v>1.7433000000000001</v>
      </c>
      <c r="CV628">
        <v>15.0001</v>
      </c>
      <c r="CW628">
        <v>4.3329000000000004</v>
      </c>
      <c r="CX628">
        <v>84.240099999999998</v>
      </c>
      <c r="CY628" t="s">
        <v>135</v>
      </c>
      <c r="CZ628" t="s">
        <v>135</v>
      </c>
      <c r="DA628" t="s">
        <v>135</v>
      </c>
      <c r="DB628" t="s">
        <v>135</v>
      </c>
      <c r="DC628" t="s">
        <v>135</v>
      </c>
      <c r="DD628" t="s">
        <v>135</v>
      </c>
      <c r="DE628">
        <v>11736</v>
      </c>
      <c r="DF628">
        <v>6</v>
      </c>
      <c r="DG628">
        <v>23</v>
      </c>
      <c r="DH628">
        <v>11707</v>
      </c>
      <c r="DI628">
        <v>0</v>
      </c>
    </row>
    <row r="629" spans="1:113" x14ac:dyDescent="0.3">
      <c r="E629" t="s">
        <v>78</v>
      </c>
      <c r="F629" t="s">
        <v>135</v>
      </c>
      <c r="G629" t="s">
        <v>135</v>
      </c>
      <c r="H629" t="s">
        <v>135</v>
      </c>
      <c r="I629" t="s">
        <v>135</v>
      </c>
      <c r="J629">
        <v>29.950199999999999</v>
      </c>
      <c r="K629">
        <v>29.060400000000001</v>
      </c>
      <c r="L629">
        <v>45.636699999999998</v>
      </c>
      <c r="M629">
        <v>36.250700000000002</v>
      </c>
      <c r="N629">
        <v>23.002300000000002</v>
      </c>
      <c r="O629">
        <v>23.081399999999999</v>
      </c>
      <c r="P629">
        <v>23.081399999999999</v>
      </c>
      <c r="Q629">
        <v>36.546599999999998</v>
      </c>
      <c r="R629" t="s">
        <v>135</v>
      </c>
      <c r="S629" t="s">
        <v>135</v>
      </c>
      <c r="T629">
        <v>15.456200000000001</v>
      </c>
      <c r="U629">
        <v>24.968900000000001</v>
      </c>
      <c r="V629">
        <v>26.619499999999999</v>
      </c>
      <c r="W629">
        <v>42.042400000000001</v>
      </c>
      <c r="X629">
        <v>42.424199999999999</v>
      </c>
      <c r="Y629" t="s">
        <v>135</v>
      </c>
      <c r="Z629" t="s">
        <v>135</v>
      </c>
      <c r="AA629" t="s">
        <v>135</v>
      </c>
      <c r="AB629" t="s">
        <v>135</v>
      </c>
      <c r="AC629" t="s">
        <v>135</v>
      </c>
      <c r="AD629" t="s">
        <v>135</v>
      </c>
      <c r="AE629" t="s">
        <v>135</v>
      </c>
      <c r="AF629" t="s">
        <v>135</v>
      </c>
      <c r="AG629" t="s">
        <v>135</v>
      </c>
      <c r="AH629" t="s">
        <v>135</v>
      </c>
      <c r="AI629" t="s">
        <v>135</v>
      </c>
      <c r="AJ629" t="s">
        <v>135</v>
      </c>
      <c r="AK629" t="s">
        <v>135</v>
      </c>
      <c r="AL629" t="s">
        <v>135</v>
      </c>
      <c r="AM629">
        <v>12.422000000000001</v>
      </c>
      <c r="AN629">
        <v>15.1181</v>
      </c>
      <c r="AO629">
        <v>15.324400000000001</v>
      </c>
      <c r="AP629">
        <v>7.0073999999999996</v>
      </c>
      <c r="AQ629">
        <v>4.9623999999999997</v>
      </c>
      <c r="AR629" t="s">
        <v>135</v>
      </c>
      <c r="AS629" t="s">
        <v>135</v>
      </c>
      <c r="AT629" t="s">
        <v>135</v>
      </c>
      <c r="AU629" t="s">
        <v>135</v>
      </c>
      <c r="AV629" t="s">
        <v>135</v>
      </c>
      <c r="AW629" t="s">
        <v>135</v>
      </c>
      <c r="AX629" t="s">
        <v>135</v>
      </c>
      <c r="AY629" t="s">
        <v>135</v>
      </c>
      <c r="AZ629" t="s">
        <v>135</v>
      </c>
      <c r="BA629" t="s">
        <v>135</v>
      </c>
      <c r="BB629" t="s">
        <v>135</v>
      </c>
      <c r="BC629" t="s">
        <v>135</v>
      </c>
      <c r="BD629" t="s">
        <v>135</v>
      </c>
      <c r="BE629" t="s">
        <v>135</v>
      </c>
      <c r="BF629">
        <v>0.92920000000000003</v>
      </c>
      <c r="BG629">
        <v>20.321100000000001</v>
      </c>
      <c r="BH629">
        <v>22.543299999999999</v>
      </c>
      <c r="BI629">
        <v>25.077999999999999</v>
      </c>
      <c r="BJ629">
        <v>25.668399999999998</v>
      </c>
      <c r="BK629" t="s">
        <v>135</v>
      </c>
      <c r="BL629" t="s">
        <v>135</v>
      </c>
      <c r="BM629" t="s">
        <v>135</v>
      </c>
      <c r="BN629" t="s">
        <v>135</v>
      </c>
      <c r="BO629" t="s">
        <v>135</v>
      </c>
      <c r="BP629" t="s">
        <v>135</v>
      </c>
      <c r="BQ629" t="s">
        <v>135</v>
      </c>
      <c r="BR629" t="s">
        <v>135</v>
      </c>
      <c r="BS629" t="s">
        <v>135</v>
      </c>
      <c r="BT629" t="s">
        <v>135</v>
      </c>
      <c r="BU629" t="s">
        <v>135</v>
      </c>
      <c r="BV629" t="s">
        <v>135</v>
      </c>
      <c r="BW629" t="s">
        <v>135</v>
      </c>
      <c r="BX629" t="s">
        <v>135</v>
      </c>
      <c r="BY629" t="s">
        <v>135</v>
      </c>
      <c r="BZ629" t="s">
        <v>135</v>
      </c>
      <c r="CA629" t="s">
        <v>135</v>
      </c>
      <c r="CB629" t="s">
        <v>135</v>
      </c>
      <c r="CC629" t="s">
        <v>135</v>
      </c>
      <c r="CD629" t="s">
        <v>135</v>
      </c>
      <c r="CE629" t="s">
        <v>135</v>
      </c>
      <c r="CF629">
        <v>133.10050000000001</v>
      </c>
      <c r="CG629" t="s">
        <v>135</v>
      </c>
      <c r="CH629" t="s">
        <v>135</v>
      </c>
      <c r="CI629" t="s">
        <v>135</v>
      </c>
      <c r="CJ629" t="s">
        <v>135</v>
      </c>
      <c r="CK629" t="s">
        <v>135</v>
      </c>
      <c r="CL629" t="s">
        <v>135</v>
      </c>
      <c r="CM629" t="s">
        <v>135</v>
      </c>
      <c r="CN629" t="s">
        <v>135</v>
      </c>
      <c r="CO629" t="s">
        <v>135</v>
      </c>
      <c r="CP629">
        <v>2914.9</v>
      </c>
      <c r="CQ629" t="s">
        <v>135</v>
      </c>
      <c r="CR629">
        <v>2828.3</v>
      </c>
      <c r="CS629" t="s">
        <v>135</v>
      </c>
      <c r="CT629" t="s">
        <v>135</v>
      </c>
      <c r="CU629" t="s">
        <v>135</v>
      </c>
      <c r="CV629" t="s">
        <v>135</v>
      </c>
      <c r="CW629" t="s">
        <v>135</v>
      </c>
      <c r="CX629" t="s">
        <v>135</v>
      </c>
      <c r="CY629" t="s">
        <v>135</v>
      </c>
      <c r="CZ629" t="s">
        <v>135</v>
      </c>
      <c r="DA629" t="s">
        <v>135</v>
      </c>
      <c r="DB629" t="s">
        <v>135</v>
      </c>
      <c r="DC629" t="s">
        <v>135</v>
      </c>
      <c r="DD629" t="s">
        <v>135</v>
      </c>
      <c r="DE629" t="s">
        <v>135</v>
      </c>
      <c r="DF629" t="s">
        <v>135</v>
      </c>
      <c r="DG629" t="s">
        <v>135</v>
      </c>
      <c r="DH629" t="s">
        <v>135</v>
      </c>
      <c r="DI629" t="s">
        <v>135</v>
      </c>
    </row>
    <row r="630" spans="1:113" x14ac:dyDescent="0.3">
      <c r="E630" t="s">
        <v>79</v>
      </c>
      <c r="F630">
        <v>20.037099999999999</v>
      </c>
      <c r="G630">
        <v>16.401700000000002</v>
      </c>
      <c r="H630">
        <v>20.075299999999999</v>
      </c>
      <c r="I630">
        <v>16.836400000000001</v>
      </c>
      <c r="J630">
        <v>28.191700000000001</v>
      </c>
      <c r="K630">
        <v>27.3672</v>
      </c>
      <c r="L630">
        <v>63.141199999999998</v>
      </c>
      <c r="M630">
        <v>32.0473</v>
      </c>
      <c r="N630">
        <v>21.457799999999999</v>
      </c>
      <c r="O630">
        <v>21.4541</v>
      </c>
      <c r="P630">
        <v>21.4541</v>
      </c>
      <c r="Q630">
        <v>33.043399999999998</v>
      </c>
      <c r="R630" t="s">
        <v>135</v>
      </c>
      <c r="S630" t="s">
        <v>135</v>
      </c>
      <c r="T630">
        <v>15.498699999999999</v>
      </c>
      <c r="U630">
        <v>42.6661</v>
      </c>
      <c r="V630">
        <v>44.843299999999999</v>
      </c>
      <c r="W630">
        <v>25.883099999999999</v>
      </c>
      <c r="X630">
        <v>25.510200000000001</v>
      </c>
      <c r="Y630" t="s">
        <v>135</v>
      </c>
      <c r="Z630">
        <v>10.6105</v>
      </c>
      <c r="AA630">
        <v>33.924100000000003</v>
      </c>
      <c r="AB630">
        <v>38.901499999999999</v>
      </c>
      <c r="AC630">
        <v>23.895600000000002</v>
      </c>
      <c r="AD630">
        <v>9.1109000000000009</v>
      </c>
      <c r="AE630">
        <v>16.023299999999999</v>
      </c>
      <c r="AF630">
        <v>68.119299999999996</v>
      </c>
      <c r="AG630" t="s">
        <v>135</v>
      </c>
      <c r="AH630">
        <v>1683.1776</v>
      </c>
      <c r="AI630">
        <v>22.546299999999999</v>
      </c>
      <c r="AJ630">
        <v>23.020199999999999</v>
      </c>
      <c r="AK630">
        <v>21.7242</v>
      </c>
      <c r="AL630" t="s">
        <v>135</v>
      </c>
      <c r="AM630">
        <v>14.012</v>
      </c>
      <c r="AN630">
        <v>15.8482</v>
      </c>
      <c r="AO630">
        <v>16.202500000000001</v>
      </c>
      <c r="AP630">
        <v>5.8224999999999998</v>
      </c>
      <c r="AQ630">
        <v>3.7020999999999997</v>
      </c>
      <c r="AR630" t="s">
        <v>135</v>
      </c>
      <c r="AS630" t="s">
        <v>135</v>
      </c>
      <c r="AT630" t="s">
        <v>135</v>
      </c>
      <c r="AU630" t="s">
        <v>135</v>
      </c>
      <c r="AV630" t="s">
        <v>135</v>
      </c>
      <c r="AW630" t="s">
        <v>135</v>
      </c>
      <c r="AX630" t="s">
        <v>135</v>
      </c>
      <c r="AY630" t="s">
        <v>135</v>
      </c>
      <c r="AZ630" t="s">
        <v>135</v>
      </c>
      <c r="BA630" t="s">
        <v>135</v>
      </c>
      <c r="BB630" t="s">
        <v>135</v>
      </c>
      <c r="BC630" t="s">
        <v>135</v>
      </c>
      <c r="BD630" t="s">
        <v>135</v>
      </c>
      <c r="BE630" t="s">
        <v>135</v>
      </c>
      <c r="BF630">
        <v>13.1549</v>
      </c>
      <c r="BG630">
        <v>6.5114000000000001</v>
      </c>
      <c r="BH630">
        <v>6.5621999999999998</v>
      </c>
      <c r="BI630">
        <v>5.1772</v>
      </c>
      <c r="BJ630">
        <v>4.6809000000000003</v>
      </c>
      <c r="BK630" t="s">
        <v>135</v>
      </c>
      <c r="BL630" t="s">
        <v>135</v>
      </c>
      <c r="BM630" t="s">
        <v>135</v>
      </c>
      <c r="BN630" t="s">
        <v>135</v>
      </c>
      <c r="BO630" t="s">
        <v>135</v>
      </c>
      <c r="BP630" t="s">
        <v>135</v>
      </c>
      <c r="BQ630" t="s">
        <v>135</v>
      </c>
      <c r="BR630" t="s">
        <v>135</v>
      </c>
      <c r="BS630" t="s">
        <v>135</v>
      </c>
      <c r="BT630" t="s">
        <v>135</v>
      </c>
      <c r="BU630" t="s">
        <v>135</v>
      </c>
      <c r="BV630" t="s">
        <v>135</v>
      </c>
      <c r="BW630" t="s">
        <v>135</v>
      </c>
      <c r="BX630" t="s">
        <v>135</v>
      </c>
      <c r="BY630">
        <v>190.8</v>
      </c>
      <c r="BZ630">
        <v>172.1</v>
      </c>
      <c r="CA630">
        <v>18.7</v>
      </c>
      <c r="CB630">
        <v>1.7299999999999999E-2</v>
      </c>
      <c r="CC630">
        <v>-0.83250000000000002</v>
      </c>
      <c r="CD630">
        <v>1.7899999999999999E-2</v>
      </c>
      <c r="CE630">
        <v>-0.86229999999999996</v>
      </c>
      <c r="CF630">
        <v>91.855000000000004</v>
      </c>
      <c r="CG630">
        <v>81.4392</v>
      </c>
      <c r="CH630">
        <v>4.07E-2</v>
      </c>
      <c r="CI630">
        <v>4.0500000000000001E-2</v>
      </c>
      <c r="CJ630">
        <v>3.32E-2</v>
      </c>
      <c r="CK630">
        <v>0.41539999999999999</v>
      </c>
      <c r="CL630">
        <v>0.41360000000000002</v>
      </c>
      <c r="CM630">
        <v>0.33879999999999999</v>
      </c>
      <c r="CN630">
        <v>-20.031700000000001</v>
      </c>
      <c r="CO630">
        <v>-25.049600000000002</v>
      </c>
      <c r="CP630">
        <v>3104.7</v>
      </c>
      <c r="CQ630" t="s">
        <v>135</v>
      </c>
      <c r="CR630">
        <v>3013.9</v>
      </c>
      <c r="CS630">
        <v>0.95650000000000002</v>
      </c>
      <c r="CT630">
        <v>3.9563999999999999</v>
      </c>
      <c r="CU630">
        <v>2.1606999999999998</v>
      </c>
      <c r="CV630">
        <v>16.222300000000001</v>
      </c>
      <c r="CW630">
        <v>3.5333000000000001</v>
      </c>
      <c r="CX630">
        <v>103.3026</v>
      </c>
      <c r="CY630" t="s">
        <v>135</v>
      </c>
      <c r="CZ630" t="s">
        <v>135</v>
      </c>
      <c r="DA630" t="s">
        <v>135</v>
      </c>
      <c r="DB630" t="s">
        <v>135</v>
      </c>
      <c r="DC630" t="s">
        <v>135</v>
      </c>
      <c r="DD630" t="s">
        <v>135</v>
      </c>
      <c r="DE630">
        <v>10155.6</v>
      </c>
      <c r="DF630" t="s">
        <v>135</v>
      </c>
      <c r="DG630" t="s">
        <v>135</v>
      </c>
      <c r="DH630" t="s">
        <v>135</v>
      </c>
      <c r="DI630" t="s">
        <v>135</v>
      </c>
    </row>
    <row r="631" spans="1:113" x14ac:dyDescent="0.3">
      <c r="E631" t="s">
        <v>80</v>
      </c>
      <c r="F631" t="s">
        <v>135</v>
      </c>
      <c r="G631" t="s">
        <v>135</v>
      </c>
      <c r="H631" t="s">
        <v>135</v>
      </c>
      <c r="I631" t="s">
        <v>135</v>
      </c>
      <c r="J631">
        <v>24.4648</v>
      </c>
      <c r="K631">
        <v>23.331299999999999</v>
      </c>
      <c r="L631">
        <v>10.0665</v>
      </c>
      <c r="M631">
        <v>26.2639</v>
      </c>
      <c r="N631">
        <v>17.975200000000001</v>
      </c>
      <c r="O631">
        <v>17.973500000000001</v>
      </c>
      <c r="P631">
        <v>17.973500000000001</v>
      </c>
      <c r="Q631">
        <v>31.5594</v>
      </c>
      <c r="R631" t="s">
        <v>135</v>
      </c>
      <c r="S631" t="s">
        <v>135</v>
      </c>
      <c r="T631">
        <v>26.580200000000001</v>
      </c>
      <c r="U631">
        <v>11.331099999999999</v>
      </c>
      <c r="V631">
        <v>9.9626999999999999</v>
      </c>
      <c r="W631">
        <v>10.035500000000001</v>
      </c>
      <c r="X631">
        <v>9.8521999999999998</v>
      </c>
      <c r="Y631" t="s">
        <v>135</v>
      </c>
      <c r="Z631" t="s">
        <v>135</v>
      </c>
      <c r="AA631" t="s">
        <v>135</v>
      </c>
      <c r="AB631" t="s">
        <v>135</v>
      </c>
      <c r="AC631" t="s">
        <v>135</v>
      </c>
      <c r="AD631" t="s">
        <v>135</v>
      </c>
      <c r="AE631" t="s">
        <v>135</v>
      </c>
      <c r="AF631" t="s">
        <v>135</v>
      </c>
      <c r="AG631" t="s">
        <v>135</v>
      </c>
      <c r="AH631" t="s">
        <v>135</v>
      </c>
      <c r="AI631" t="s">
        <v>135</v>
      </c>
      <c r="AJ631" t="s">
        <v>135</v>
      </c>
      <c r="AK631" t="s">
        <v>135</v>
      </c>
      <c r="AL631" t="s">
        <v>135</v>
      </c>
      <c r="AM631">
        <v>16.847100000000001</v>
      </c>
      <c r="AN631">
        <v>19.3568</v>
      </c>
      <c r="AO631">
        <v>19.9558</v>
      </c>
      <c r="AP631">
        <v>20.955400000000001</v>
      </c>
      <c r="AQ631">
        <v>18.597100000000001</v>
      </c>
      <c r="AR631" t="s">
        <v>135</v>
      </c>
      <c r="AS631" t="s">
        <v>135</v>
      </c>
      <c r="AT631" t="s">
        <v>135</v>
      </c>
      <c r="AU631" t="s">
        <v>135</v>
      </c>
      <c r="AV631" t="s">
        <v>135</v>
      </c>
      <c r="AW631" t="s">
        <v>135</v>
      </c>
      <c r="AX631" t="s">
        <v>135</v>
      </c>
      <c r="AY631" t="s">
        <v>135</v>
      </c>
      <c r="AZ631" t="s">
        <v>135</v>
      </c>
      <c r="BA631" t="s">
        <v>135</v>
      </c>
      <c r="BB631" t="s">
        <v>135</v>
      </c>
      <c r="BC631" t="s">
        <v>135</v>
      </c>
      <c r="BD631" t="s">
        <v>135</v>
      </c>
      <c r="BE631" t="s">
        <v>135</v>
      </c>
      <c r="BF631">
        <v>7.9071999999999996</v>
      </c>
      <c r="BG631">
        <v>-6.3581000000000003</v>
      </c>
      <c r="BH631">
        <v>-8.0061999999999998</v>
      </c>
      <c r="BI631">
        <v>-9.5991999999999997</v>
      </c>
      <c r="BJ631">
        <v>-9.3496000000000006</v>
      </c>
      <c r="BK631" t="s">
        <v>135</v>
      </c>
      <c r="BL631" t="s">
        <v>135</v>
      </c>
      <c r="BM631" t="s">
        <v>135</v>
      </c>
      <c r="BN631" t="s">
        <v>135</v>
      </c>
      <c r="BO631" t="s">
        <v>135</v>
      </c>
      <c r="BP631" t="s">
        <v>135</v>
      </c>
      <c r="BQ631" t="s">
        <v>135</v>
      </c>
      <c r="BR631" t="s">
        <v>135</v>
      </c>
      <c r="BS631" t="s">
        <v>135</v>
      </c>
      <c r="BT631" t="s">
        <v>135</v>
      </c>
      <c r="BU631" t="s">
        <v>135</v>
      </c>
      <c r="BV631" t="s">
        <v>135</v>
      </c>
      <c r="BW631" t="s">
        <v>135</v>
      </c>
      <c r="BX631" t="s">
        <v>135</v>
      </c>
      <c r="BY631" t="s">
        <v>135</v>
      </c>
      <c r="BZ631" t="s">
        <v>135</v>
      </c>
      <c r="CA631" t="s">
        <v>135</v>
      </c>
      <c r="CB631" t="s">
        <v>135</v>
      </c>
      <c r="CC631" t="s">
        <v>135</v>
      </c>
      <c r="CD631" t="s">
        <v>135</v>
      </c>
      <c r="CE631" t="s">
        <v>135</v>
      </c>
      <c r="CF631">
        <v>91.137900000000002</v>
      </c>
      <c r="CG631" t="s">
        <v>135</v>
      </c>
      <c r="CH631" t="s">
        <v>135</v>
      </c>
      <c r="CI631" t="s">
        <v>135</v>
      </c>
      <c r="CJ631" t="s">
        <v>135</v>
      </c>
      <c r="CK631" t="s">
        <v>135</v>
      </c>
      <c r="CL631" t="s">
        <v>135</v>
      </c>
      <c r="CM631" t="s">
        <v>135</v>
      </c>
      <c r="CN631" t="s">
        <v>135</v>
      </c>
      <c r="CO631" t="s">
        <v>135</v>
      </c>
      <c r="CP631">
        <v>2907.3</v>
      </c>
      <c r="CQ631" t="s">
        <v>135</v>
      </c>
      <c r="CR631">
        <v>2772.6</v>
      </c>
      <c r="CS631" t="s">
        <v>135</v>
      </c>
      <c r="CT631" t="s">
        <v>135</v>
      </c>
      <c r="CU631" t="s">
        <v>135</v>
      </c>
      <c r="CV631" t="s">
        <v>135</v>
      </c>
      <c r="CW631" t="s">
        <v>135</v>
      </c>
      <c r="CX631" t="s">
        <v>135</v>
      </c>
      <c r="CY631" t="s">
        <v>135</v>
      </c>
      <c r="CZ631" t="s">
        <v>135</v>
      </c>
      <c r="DA631" t="s">
        <v>135</v>
      </c>
      <c r="DB631" t="s">
        <v>135</v>
      </c>
      <c r="DC631" t="s">
        <v>135</v>
      </c>
      <c r="DD631" t="s">
        <v>135</v>
      </c>
      <c r="DE631" t="s">
        <v>135</v>
      </c>
      <c r="DF631" t="s">
        <v>135</v>
      </c>
      <c r="DG631" t="s">
        <v>135</v>
      </c>
      <c r="DH631" t="s">
        <v>135</v>
      </c>
      <c r="DI631" t="s">
        <v>135</v>
      </c>
    </row>
    <row r="632" spans="1:113" x14ac:dyDescent="0.3">
      <c r="E632" t="s">
        <v>81</v>
      </c>
      <c r="F632">
        <v>26.901499999999999</v>
      </c>
      <c r="G632">
        <v>16.064800000000002</v>
      </c>
      <c r="H632">
        <v>20.744700000000002</v>
      </c>
      <c r="I632">
        <v>17.3231</v>
      </c>
      <c r="J632">
        <v>26.887899999999998</v>
      </c>
      <c r="K632">
        <v>25.255199999999999</v>
      </c>
      <c r="L632">
        <v>31.801400000000001</v>
      </c>
      <c r="M632">
        <v>25.990500000000001</v>
      </c>
      <c r="N632">
        <v>18.673500000000001</v>
      </c>
      <c r="O632">
        <v>18.776199999999999</v>
      </c>
      <c r="P632">
        <v>18.776199999999999</v>
      </c>
      <c r="Q632">
        <v>28.2256</v>
      </c>
      <c r="R632" t="s">
        <v>135</v>
      </c>
      <c r="S632" t="s">
        <v>135</v>
      </c>
      <c r="T632">
        <v>20.1724</v>
      </c>
      <c r="U632">
        <v>28.613900000000001</v>
      </c>
      <c r="V632">
        <v>26.802399999999999</v>
      </c>
      <c r="W632">
        <v>21.146999999999998</v>
      </c>
      <c r="X632">
        <v>21.145499999999998</v>
      </c>
      <c r="Y632" t="s">
        <v>135</v>
      </c>
      <c r="Z632">
        <v>3.9535</v>
      </c>
      <c r="AA632">
        <v>34.202399999999997</v>
      </c>
      <c r="AB632">
        <v>44.364699999999999</v>
      </c>
      <c r="AC632">
        <v>18.867599999999999</v>
      </c>
      <c r="AD632">
        <v>22.354099999999999</v>
      </c>
      <c r="AE632">
        <v>15.4496</v>
      </c>
      <c r="AF632">
        <v>-0.23050000000000001</v>
      </c>
      <c r="AG632">
        <v>-51.298699999999997</v>
      </c>
      <c r="AH632">
        <v>-46.198799999999999</v>
      </c>
      <c r="AI632">
        <v>21.175999999999998</v>
      </c>
      <c r="AJ632">
        <v>20.882999999999999</v>
      </c>
      <c r="AK632">
        <v>-30.913599999999999</v>
      </c>
      <c r="AL632" t="s">
        <v>135</v>
      </c>
      <c r="AM632">
        <v>17.666799999999999</v>
      </c>
      <c r="AN632">
        <v>20.993500000000001</v>
      </c>
      <c r="AO632">
        <v>21.557300000000001</v>
      </c>
      <c r="AP632">
        <v>17.6645</v>
      </c>
      <c r="AQ632">
        <v>15.306900000000001</v>
      </c>
      <c r="AR632" t="s">
        <v>135</v>
      </c>
      <c r="AS632">
        <v>9.8188999999999993</v>
      </c>
      <c r="AT632">
        <v>205.73830000000001</v>
      </c>
      <c r="AU632">
        <v>6.7815000000000003</v>
      </c>
      <c r="AV632">
        <v>5.3396999999999997</v>
      </c>
      <c r="AW632">
        <v>41.8568</v>
      </c>
      <c r="AX632">
        <v>8.7385999999999999</v>
      </c>
      <c r="AY632">
        <v>1.2695000000000001</v>
      </c>
      <c r="AZ632">
        <v>-49.174199999999999</v>
      </c>
      <c r="BA632">
        <v>-56.276000000000003</v>
      </c>
      <c r="BB632">
        <v>6.3051000000000004</v>
      </c>
      <c r="BC632">
        <v>3.1515</v>
      </c>
      <c r="BD632">
        <v>-6.2732000000000001</v>
      </c>
      <c r="BE632" t="s">
        <v>135</v>
      </c>
      <c r="BF632">
        <v>-2.4866000000000001</v>
      </c>
      <c r="BG632">
        <v>7.1715999999999998</v>
      </c>
      <c r="BH632">
        <v>5.5544000000000002</v>
      </c>
      <c r="BI632">
        <v>1.8681000000000001</v>
      </c>
      <c r="BJ632">
        <v>1.5883</v>
      </c>
      <c r="BK632" t="s">
        <v>135</v>
      </c>
      <c r="BL632" t="s">
        <v>135</v>
      </c>
      <c r="BM632" t="s">
        <v>135</v>
      </c>
      <c r="BN632" t="s">
        <v>135</v>
      </c>
      <c r="BO632" t="s">
        <v>135</v>
      </c>
      <c r="BP632" t="s">
        <v>135</v>
      </c>
      <c r="BQ632" t="s">
        <v>135</v>
      </c>
      <c r="BR632" t="s">
        <v>135</v>
      </c>
      <c r="BS632" t="s">
        <v>135</v>
      </c>
      <c r="BT632" t="s">
        <v>135</v>
      </c>
      <c r="BU632" t="s">
        <v>135</v>
      </c>
      <c r="BV632" t="s">
        <v>135</v>
      </c>
      <c r="BW632" t="s">
        <v>135</v>
      </c>
      <c r="BX632" t="s">
        <v>135</v>
      </c>
      <c r="BY632">
        <v>92</v>
      </c>
      <c r="BZ632">
        <v>75</v>
      </c>
      <c r="CA632">
        <v>17</v>
      </c>
      <c r="CB632">
        <v>7.6E-3</v>
      </c>
      <c r="CC632">
        <v>-0.9052</v>
      </c>
      <c r="CD632">
        <v>8.0000000000000002E-3</v>
      </c>
      <c r="CE632">
        <v>-0.94450000000000001</v>
      </c>
      <c r="CF632">
        <v>44.384599999999999</v>
      </c>
      <c r="CG632">
        <v>45.106699999999996</v>
      </c>
      <c r="CH632">
        <v>3.5799999999999998E-2</v>
      </c>
      <c r="CI632">
        <v>3.5799999999999998E-2</v>
      </c>
      <c r="CJ632">
        <v>2.8199999999999999E-2</v>
      </c>
      <c r="CK632">
        <v>0.19389999999999999</v>
      </c>
      <c r="CL632">
        <v>0.19359999999999999</v>
      </c>
      <c r="CM632">
        <v>0.1525</v>
      </c>
      <c r="CN632">
        <v>-22.979500000000002</v>
      </c>
      <c r="CO632">
        <v>-29.8355</v>
      </c>
      <c r="CP632">
        <v>3115.8</v>
      </c>
      <c r="CQ632" t="s">
        <v>135</v>
      </c>
      <c r="CR632">
        <v>2926.6</v>
      </c>
      <c r="CS632">
        <v>0.90080000000000005</v>
      </c>
      <c r="CT632">
        <v>3.4512999999999998</v>
      </c>
      <c r="CU632">
        <v>1.7433000000000001</v>
      </c>
      <c r="CV632">
        <v>15.0001</v>
      </c>
      <c r="CW632">
        <v>4.3841999999999999</v>
      </c>
      <c r="CX632">
        <v>83.253200000000007</v>
      </c>
      <c r="CY632" t="s">
        <v>135</v>
      </c>
      <c r="CZ632" t="s">
        <v>135</v>
      </c>
      <c r="DA632" t="s">
        <v>135</v>
      </c>
      <c r="DB632" t="s">
        <v>135</v>
      </c>
      <c r="DC632" t="s">
        <v>135</v>
      </c>
      <c r="DD632" t="s">
        <v>135</v>
      </c>
      <c r="DE632">
        <v>11736</v>
      </c>
      <c r="DF632">
        <v>6</v>
      </c>
      <c r="DG632">
        <v>23</v>
      </c>
      <c r="DH632">
        <v>11707</v>
      </c>
      <c r="DI632">
        <v>0</v>
      </c>
    </row>
    <row r="633" spans="1:113" x14ac:dyDescent="0.3">
      <c r="D633" t="s">
        <v>82</v>
      </c>
      <c r="E633" t="s">
        <v>77</v>
      </c>
      <c r="F633">
        <v>26.6249</v>
      </c>
      <c r="G633">
        <v>14.995200000000001</v>
      </c>
      <c r="H633">
        <v>18.862400000000001</v>
      </c>
      <c r="I633">
        <v>15.2737</v>
      </c>
      <c r="J633">
        <v>25.8718</v>
      </c>
      <c r="K633">
        <v>24.4831</v>
      </c>
      <c r="L633">
        <v>6.7813999999999997</v>
      </c>
      <c r="M633">
        <v>28.9712</v>
      </c>
      <c r="N633">
        <v>20.052800000000001</v>
      </c>
      <c r="O633">
        <v>20.170400000000001</v>
      </c>
      <c r="P633">
        <v>17.1722</v>
      </c>
      <c r="Q633">
        <v>30.5199</v>
      </c>
      <c r="R633">
        <v>25.967400000000001</v>
      </c>
      <c r="S633">
        <v>19.711099999999998</v>
      </c>
      <c r="T633">
        <v>10.8996</v>
      </c>
      <c r="U633">
        <v>4.1102999999999996</v>
      </c>
      <c r="V633">
        <v>2.7984999999999998</v>
      </c>
      <c r="W633">
        <v>-5.6463000000000001</v>
      </c>
      <c r="X633">
        <v>-5.6582999999999997</v>
      </c>
      <c r="Y633">
        <v>12.5</v>
      </c>
      <c r="Z633">
        <v>3.9977</v>
      </c>
      <c r="AA633">
        <v>1.21</v>
      </c>
      <c r="AB633">
        <v>1.7156</v>
      </c>
      <c r="AC633">
        <v>16.149699999999999</v>
      </c>
      <c r="AD633">
        <v>8.2454000000000001</v>
      </c>
      <c r="AE633">
        <v>20.4359</v>
      </c>
      <c r="AF633">
        <v>-16.752500000000001</v>
      </c>
      <c r="AG633">
        <v>112</v>
      </c>
      <c r="AH633">
        <v>85.869600000000005</v>
      </c>
      <c r="AI633">
        <v>16.998999999999999</v>
      </c>
      <c r="AJ633">
        <v>17.132300000000001</v>
      </c>
      <c r="AK633">
        <v>29.7681</v>
      </c>
      <c r="AL633">
        <v>60.725099999999998</v>
      </c>
      <c r="AM633">
        <v>17.1128</v>
      </c>
      <c r="AN633">
        <v>15.3687</v>
      </c>
      <c r="AO633">
        <v>15.1951</v>
      </c>
      <c r="AP633">
        <v>5.5765000000000002</v>
      </c>
      <c r="AQ633">
        <v>4.0617000000000001</v>
      </c>
      <c r="AR633">
        <v>17.607900000000001</v>
      </c>
      <c r="AS633">
        <v>7.3841999999999999</v>
      </c>
      <c r="AT633">
        <v>20.308499999999999</v>
      </c>
      <c r="AU633">
        <v>5.0837000000000003</v>
      </c>
      <c r="AV633">
        <v>8.1675000000000004</v>
      </c>
      <c r="AW633">
        <v>18.6066</v>
      </c>
      <c r="AX633">
        <v>14.344200000000001</v>
      </c>
      <c r="AY633">
        <v>-0.79730000000000001</v>
      </c>
      <c r="AZ633">
        <v>67.290599999999998</v>
      </c>
      <c r="BA633">
        <v>-32.213000000000001</v>
      </c>
      <c r="BB633">
        <v>7.7142999999999997</v>
      </c>
      <c r="BC633">
        <v>7.1200999999999999</v>
      </c>
      <c r="BD633">
        <v>-3.5857999999999999</v>
      </c>
      <c r="BE633">
        <v>3.4099999999999998E-2</v>
      </c>
      <c r="BF633">
        <v>10.8996</v>
      </c>
      <c r="BG633">
        <v>4.1102999999999996</v>
      </c>
      <c r="BH633">
        <v>2.7984999999999998</v>
      </c>
      <c r="BI633">
        <v>-5.6463000000000001</v>
      </c>
      <c r="BJ633">
        <v>-5.6582999999999997</v>
      </c>
      <c r="BK633">
        <v>12.5</v>
      </c>
      <c r="BL633">
        <v>3.9977</v>
      </c>
      <c r="BM633">
        <v>1.21</v>
      </c>
      <c r="BN633">
        <v>1.7156</v>
      </c>
      <c r="BO633">
        <v>16.149699999999999</v>
      </c>
      <c r="BP633">
        <v>8.2454000000000001</v>
      </c>
      <c r="BQ633">
        <v>20.4359</v>
      </c>
      <c r="BR633">
        <v>-16.752500000000001</v>
      </c>
      <c r="BS633">
        <v>112</v>
      </c>
      <c r="BT633">
        <v>85.869600000000005</v>
      </c>
      <c r="BU633">
        <v>16.998999999999999</v>
      </c>
      <c r="BV633">
        <v>17.132300000000001</v>
      </c>
      <c r="BW633">
        <v>29.7681</v>
      </c>
      <c r="BX633">
        <v>60.725099999999998</v>
      </c>
      <c r="BY633">
        <v>171</v>
      </c>
      <c r="BZ633">
        <v>159</v>
      </c>
      <c r="CA633">
        <v>12</v>
      </c>
      <c r="CB633">
        <v>1.3599999999999999E-2</v>
      </c>
      <c r="CC633">
        <v>-1.2349999999999999</v>
      </c>
      <c r="CD633">
        <v>1.44E-2</v>
      </c>
      <c r="CE633">
        <v>-1.3050999999999999</v>
      </c>
      <c r="CF633">
        <v>569.90909999999997</v>
      </c>
      <c r="CG633">
        <v>50.395400000000002</v>
      </c>
      <c r="CH633">
        <v>2.1600000000000001E-2</v>
      </c>
      <c r="CI633">
        <v>2.1600000000000001E-2</v>
      </c>
      <c r="CJ633">
        <v>1.7100000000000001E-2</v>
      </c>
      <c r="CK633">
        <v>0.30809999999999998</v>
      </c>
      <c r="CL633">
        <v>0.30719999999999997</v>
      </c>
      <c r="CM633">
        <v>0.24410000000000001</v>
      </c>
      <c r="CN633">
        <v>-27.899899999999999</v>
      </c>
      <c r="CO633">
        <v>-38.696100000000001</v>
      </c>
      <c r="CP633">
        <v>12538</v>
      </c>
      <c r="CQ633">
        <v>11391</v>
      </c>
      <c r="CR633">
        <v>11865</v>
      </c>
      <c r="CS633">
        <v>1.1365000000000001</v>
      </c>
      <c r="CT633">
        <v>3.6151</v>
      </c>
      <c r="CU633">
        <v>1.9125999999999999</v>
      </c>
      <c r="CV633">
        <v>16.302199999999999</v>
      </c>
      <c r="CW633">
        <v>4.6213999999999995</v>
      </c>
      <c r="CX633">
        <v>78.980900000000005</v>
      </c>
      <c r="CY633" t="s">
        <v>135</v>
      </c>
      <c r="CZ633" t="s">
        <v>135</v>
      </c>
      <c r="DA633" t="s">
        <v>135</v>
      </c>
      <c r="DB633" t="s">
        <v>135</v>
      </c>
      <c r="DC633" t="s">
        <v>135</v>
      </c>
      <c r="DD633" t="s">
        <v>135</v>
      </c>
      <c r="DE633">
        <v>11878</v>
      </c>
      <c r="DF633">
        <v>10</v>
      </c>
      <c r="DG633">
        <v>121</v>
      </c>
      <c r="DH633">
        <v>11747</v>
      </c>
      <c r="DI633">
        <v>0</v>
      </c>
    </row>
    <row r="634" spans="1:113" x14ac:dyDescent="0.3">
      <c r="E634" t="s">
        <v>78</v>
      </c>
      <c r="F634" t="s">
        <v>135</v>
      </c>
      <c r="G634" t="s">
        <v>135</v>
      </c>
      <c r="H634" t="s">
        <v>135</v>
      </c>
      <c r="I634" t="s">
        <v>135</v>
      </c>
      <c r="J634">
        <v>28.476600000000001</v>
      </c>
      <c r="K634">
        <v>26.673999999999999</v>
      </c>
      <c r="L634">
        <v>6.0205000000000002</v>
      </c>
      <c r="M634">
        <v>30.0626</v>
      </c>
      <c r="N634">
        <v>19.346</v>
      </c>
      <c r="O634">
        <v>19.3949</v>
      </c>
      <c r="P634">
        <v>19.3949</v>
      </c>
      <c r="Q634">
        <v>35.647500000000001</v>
      </c>
      <c r="R634" t="s">
        <v>135</v>
      </c>
      <c r="S634" t="s">
        <v>135</v>
      </c>
      <c r="T634">
        <v>11.5541</v>
      </c>
      <c r="U634">
        <v>6.0654000000000003</v>
      </c>
      <c r="V634">
        <v>2.3936999999999999</v>
      </c>
      <c r="W634">
        <v>-6.2633999999999999</v>
      </c>
      <c r="X634">
        <v>-6.7058999999999997</v>
      </c>
      <c r="Y634" t="s">
        <v>135</v>
      </c>
      <c r="Z634" t="s">
        <v>135</v>
      </c>
      <c r="AA634" t="s">
        <v>135</v>
      </c>
      <c r="AB634" t="s">
        <v>135</v>
      </c>
      <c r="AC634" t="s">
        <v>135</v>
      </c>
      <c r="AD634" t="s">
        <v>135</v>
      </c>
      <c r="AE634" t="s">
        <v>135</v>
      </c>
      <c r="AF634" t="s">
        <v>135</v>
      </c>
      <c r="AG634" t="s">
        <v>135</v>
      </c>
      <c r="AH634" t="s">
        <v>135</v>
      </c>
      <c r="AI634" t="s">
        <v>135</v>
      </c>
      <c r="AJ634" t="s">
        <v>135</v>
      </c>
      <c r="AK634" t="s">
        <v>135</v>
      </c>
      <c r="AL634" t="s">
        <v>135</v>
      </c>
      <c r="AM634">
        <v>17.932500000000001</v>
      </c>
      <c r="AN634">
        <v>21.449300000000001</v>
      </c>
      <c r="AO634">
        <v>21.47</v>
      </c>
      <c r="AP634">
        <v>15.623100000000001</v>
      </c>
      <c r="AQ634">
        <v>13.3062</v>
      </c>
      <c r="AR634" t="s">
        <v>135</v>
      </c>
      <c r="AS634" t="s">
        <v>135</v>
      </c>
      <c r="AT634" t="s">
        <v>135</v>
      </c>
      <c r="AU634" t="s">
        <v>135</v>
      </c>
      <c r="AV634" t="s">
        <v>135</v>
      </c>
      <c r="AW634" t="s">
        <v>135</v>
      </c>
      <c r="AX634" t="s">
        <v>135</v>
      </c>
      <c r="AY634" t="s">
        <v>135</v>
      </c>
      <c r="AZ634" t="s">
        <v>135</v>
      </c>
      <c r="BA634" t="s">
        <v>135</v>
      </c>
      <c r="BB634" t="s">
        <v>135</v>
      </c>
      <c r="BC634" t="s">
        <v>135</v>
      </c>
      <c r="BD634" t="s">
        <v>135</v>
      </c>
      <c r="BE634" t="s">
        <v>135</v>
      </c>
      <c r="BF634">
        <v>-6.3090999999999999</v>
      </c>
      <c r="BG634">
        <v>-0.77349999999999997</v>
      </c>
      <c r="BH634">
        <v>-1.0456000000000001</v>
      </c>
      <c r="BI634">
        <v>-3.2218</v>
      </c>
      <c r="BJ634">
        <v>-3.2227000000000001</v>
      </c>
      <c r="BK634" t="s">
        <v>135</v>
      </c>
      <c r="BL634" t="s">
        <v>135</v>
      </c>
      <c r="BM634" t="s">
        <v>135</v>
      </c>
      <c r="BN634" t="s">
        <v>135</v>
      </c>
      <c r="BO634" t="s">
        <v>135</v>
      </c>
      <c r="BP634" t="s">
        <v>135</v>
      </c>
      <c r="BQ634" t="s">
        <v>135</v>
      </c>
      <c r="BR634" t="s">
        <v>135</v>
      </c>
      <c r="BS634" t="s">
        <v>135</v>
      </c>
      <c r="BT634" t="s">
        <v>135</v>
      </c>
      <c r="BU634" t="s">
        <v>135</v>
      </c>
      <c r="BV634" t="s">
        <v>135</v>
      </c>
      <c r="BW634" t="s">
        <v>135</v>
      </c>
      <c r="BX634" t="s">
        <v>135</v>
      </c>
      <c r="BY634" t="s">
        <v>135</v>
      </c>
      <c r="BZ634" t="s">
        <v>135</v>
      </c>
      <c r="CA634" t="s">
        <v>135</v>
      </c>
      <c r="CB634" t="s">
        <v>135</v>
      </c>
      <c r="CC634" t="s">
        <v>135</v>
      </c>
      <c r="CD634" t="s">
        <v>135</v>
      </c>
      <c r="CE634" t="s">
        <v>135</v>
      </c>
      <c r="CF634">
        <v>143.1343</v>
      </c>
      <c r="CG634" t="s">
        <v>135</v>
      </c>
      <c r="CH634" t="s">
        <v>135</v>
      </c>
      <c r="CI634" t="s">
        <v>135</v>
      </c>
      <c r="CJ634" t="s">
        <v>135</v>
      </c>
      <c r="CK634" t="s">
        <v>135</v>
      </c>
      <c r="CL634" t="s">
        <v>135</v>
      </c>
      <c r="CM634" t="s">
        <v>135</v>
      </c>
      <c r="CN634" t="s">
        <v>135</v>
      </c>
      <c r="CO634" t="s">
        <v>135</v>
      </c>
      <c r="CP634">
        <v>3091.7</v>
      </c>
      <c r="CQ634" t="s">
        <v>135</v>
      </c>
      <c r="CR634">
        <v>2896</v>
      </c>
      <c r="CS634" t="s">
        <v>135</v>
      </c>
      <c r="CT634" t="s">
        <v>135</v>
      </c>
      <c r="CU634" t="s">
        <v>135</v>
      </c>
      <c r="CV634" t="s">
        <v>135</v>
      </c>
      <c r="CW634" t="s">
        <v>135</v>
      </c>
      <c r="CX634" t="s">
        <v>135</v>
      </c>
      <c r="CY634" t="s">
        <v>135</v>
      </c>
      <c r="CZ634" t="s">
        <v>135</v>
      </c>
      <c r="DA634" t="s">
        <v>135</v>
      </c>
      <c r="DB634" t="s">
        <v>135</v>
      </c>
      <c r="DC634" t="s">
        <v>135</v>
      </c>
      <c r="DD634" t="s">
        <v>135</v>
      </c>
      <c r="DE634" t="s">
        <v>135</v>
      </c>
      <c r="DF634" t="s">
        <v>135</v>
      </c>
      <c r="DG634" t="s">
        <v>135</v>
      </c>
      <c r="DH634" t="s">
        <v>135</v>
      </c>
      <c r="DI634" t="s">
        <v>135</v>
      </c>
    </row>
    <row r="635" spans="1:113" x14ac:dyDescent="0.3">
      <c r="E635" t="s">
        <v>79</v>
      </c>
      <c r="F635">
        <v>21.8323</v>
      </c>
      <c r="G635">
        <v>14.4506</v>
      </c>
      <c r="H635">
        <v>17.509900000000002</v>
      </c>
      <c r="I635">
        <v>15.7522</v>
      </c>
      <c r="J635">
        <v>28.667400000000001</v>
      </c>
      <c r="K635">
        <v>27.470400000000001</v>
      </c>
      <c r="L635">
        <v>34.341000000000001</v>
      </c>
      <c r="M635">
        <v>31.937200000000001</v>
      </c>
      <c r="N635">
        <v>20.307400000000001</v>
      </c>
      <c r="O635">
        <v>20.3566</v>
      </c>
      <c r="P635">
        <v>20.3566</v>
      </c>
      <c r="Q635">
        <v>36.4146</v>
      </c>
      <c r="R635" t="s">
        <v>135</v>
      </c>
      <c r="S635" t="s">
        <v>135</v>
      </c>
      <c r="T635">
        <v>1.5019</v>
      </c>
      <c r="U635">
        <v>3.2145000000000001</v>
      </c>
      <c r="V635">
        <v>1.8846000000000001</v>
      </c>
      <c r="W635">
        <v>-3.6907000000000001</v>
      </c>
      <c r="X635">
        <v>-3.6909000000000001</v>
      </c>
      <c r="Y635" t="s">
        <v>135</v>
      </c>
      <c r="Z635">
        <v>-1.5806</v>
      </c>
      <c r="AA635">
        <v>29.817</v>
      </c>
      <c r="AB635">
        <v>5.3548999999999998</v>
      </c>
      <c r="AC635">
        <v>13.6334</v>
      </c>
      <c r="AD635">
        <v>22.0062</v>
      </c>
      <c r="AE635">
        <v>16.0288</v>
      </c>
      <c r="AF635">
        <v>-12.300599999999999</v>
      </c>
      <c r="AG635" t="s">
        <v>135</v>
      </c>
      <c r="AH635">
        <v>-92.767300000000006</v>
      </c>
      <c r="AI635">
        <v>17.576899999999998</v>
      </c>
      <c r="AJ635">
        <v>17.1204</v>
      </c>
      <c r="AK635">
        <v>-26.401800000000001</v>
      </c>
      <c r="AL635" t="s">
        <v>135</v>
      </c>
      <c r="AM635">
        <v>15.642799999999999</v>
      </c>
      <c r="AN635">
        <v>16.2788</v>
      </c>
      <c r="AO635">
        <v>16.504799999999999</v>
      </c>
      <c r="AP635">
        <v>16.120200000000001</v>
      </c>
      <c r="AQ635">
        <v>13.7933</v>
      </c>
      <c r="AR635" t="s">
        <v>135</v>
      </c>
      <c r="AS635" t="s">
        <v>135</v>
      </c>
      <c r="AT635" t="s">
        <v>135</v>
      </c>
      <c r="AU635" t="s">
        <v>135</v>
      </c>
      <c r="AV635" t="s">
        <v>135</v>
      </c>
      <c r="AW635" t="s">
        <v>135</v>
      </c>
      <c r="AX635" t="s">
        <v>135</v>
      </c>
      <c r="AY635" t="s">
        <v>135</v>
      </c>
      <c r="AZ635" t="s">
        <v>135</v>
      </c>
      <c r="BA635" t="s">
        <v>135</v>
      </c>
      <c r="BB635" t="s">
        <v>135</v>
      </c>
      <c r="BC635" t="s">
        <v>135</v>
      </c>
      <c r="BD635" t="s">
        <v>135</v>
      </c>
      <c r="BE635" t="s">
        <v>135</v>
      </c>
      <c r="BF635">
        <v>5.9444999999999997</v>
      </c>
      <c r="BG635">
        <v>3.6484999999999999</v>
      </c>
      <c r="BH635">
        <v>6.0324999999999998</v>
      </c>
      <c r="BI635">
        <v>8.0638000000000005</v>
      </c>
      <c r="BJ635">
        <v>8.0638000000000005</v>
      </c>
      <c r="BK635" t="s">
        <v>135</v>
      </c>
      <c r="BL635" t="s">
        <v>135</v>
      </c>
      <c r="BM635" t="s">
        <v>135</v>
      </c>
      <c r="BN635" t="s">
        <v>135</v>
      </c>
      <c r="BO635" t="s">
        <v>135</v>
      </c>
      <c r="BP635" t="s">
        <v>135</v>
      </c>
      <c r="BQ635" t="s">
        <v>135</v>
      </c>
      <c r="BR635" t="s">
        <v>135</v>
      </c>
      <c r="BS635" t="s">
        <v>135</v>
      </c>
      <c r="BT635" t="s">
        <v>135</v>
      </c>
      <c r="BU635" t="s">
        <v>135</v>
      </c>
      <c r="BV635" t="s">
        <v>135</v>
      </c>
      <c r="BW635" t="s">
        <v>135</v>
      </c>
      <c r="BX635" t="s">
        <v>135</v>
      </c>
      <c r="BY635">
        <v>13.8</v>
      </c>
      <c r="BZ635" t="s">
        <v>135</v>
      </c>
      <c r="CA635">
        <v>13.8</v>
      </c>
      <c r="CB635">
        <v>1.1000000000000001E-3</v>
      </c>
      <c r="CC635">
        <v>-0.72750000000000004</v>
      </c>
      <c r="CD635">
        <v>1.1999999999999999E-3</v>
      </c>
      <c r="CE635">
        <v>-0.76829999999999998</v>
      </c>
      <c r="CF635">
        <v>140.54820000000001</v>
      </c>
      <c r="CG635">
        <v>52.768599999999999</v>
      </c>
      <c r="CH635">
        <v>2.5600000000000001E-2</v>
      </c>
      <c r="CI635">
        <v>2.5499999999999998E-2</v>
      </c>
      <c r="CJ635">
        <v>2.1600000000000001E-2</v>
      </c>
      <c r="CK635">
        <v>2.5600000000000001E-2</v>
      </c>
      <c r="CL635">
        <v>2.5499999999999998E-2</v>
      </c>
      <c r="CM635">
        <v>2.1600000000000001E-2</v>
      </c>
      <c r="CN635">
        <v>-16.593499999999999</v>
      </c>
      <c r="CO635">
        <v>-19.8948</v>
      </c>
      <c r="CP635">
        <v>3204.5</v>
      </c>
      <c r="CQ635" t="s">
        <v>135</v>
      </c>
      <c r="CR635">
        <v>3070.7</v>
      </c>
      <c r="CS635">
        <v>0.96730000000000005</v>
      </c>
      <c r="CT635">
        <v>4.63</v>
      </c>
      <c r="CU635">
        <v>2.2214999999999998</v>
      </c>
      <c r="CV635">
        <v>21.154599999999999</v>
      </c>
      <c r="CW635">
        <v>3.8529999999999998</v>
      </c>
      <c r="CX635">
        <v>94.730599999999995</v>
      </c>
      <c r="CY635" t="s">
        <v>135</v>
      </c>
      <c r="CZ635" t="s">
        <v>135</v>
      </c>
      <c r="DA635" t="s">
        <v>135</v>
      </c>
      <c r="DB635" t="s">
        <v>135</v>
      </c>
      <c r="DC635" t="s">
        <v>135</v>
      </c>
      <c r="DD635" t="s">
        <v>135</v>
      </c>
      <c r="DE635">
        <v>13183.7</v>
      </c>
      <c r="DF635" t="s">
        <v>135</v>
      </c>
      <c r="DG635" t="s">
        <v>135</v>
      </c>
      <c r="DH635" t="s">
        <v>135</v>
      </c>
      <c r="DI635" t="s">
        <v>135</v>
      </c>
    </row>
    <row r="636" spans="1:113" x14ac:dyDescent="0.3">
      <c r="E636" t="s">
        <v>80</v>
      </c>
      <c r="F636" t="s">
        <v>135</v>
      </c>
      <c r="G636" t="s">
        <v>135</v>
      </c>
      <c r="H636" t="s">
        <v>135</v>
      </c>
      <c r="I636" t="s">
        <v>135</v>
      </c>
      <c r="J636">
        <v>25.909300000000002</v>
      </c>
      <c r="K636">
        <v>24.664899999999999</v>
      </c>
      <c r="L636">
        <v>33.702100000000002</v>
      </c>
      <c r="M636">
        <v>30.337599999999998</v>
      </c>
      <c r="N636">
        <v>22.476800000000001</v>
      </c>
      <c r="O636">
        <v>22.63</v>
      </c>
      <c r="P636">
        <v>22.63</v>
      </c>
      <c r="Q636">
        <v>25.911200000000001</v>
      </c>
      <c r="R636" t="s">
        <v>135</v>
      </c>
      <c r="S636" t="s">
        <v>135</v>
      </c>
      <c r="T636">
        <v>14.756499999999999</v>
      </c>
      <c r="U636">
        <v>21.532</v>
      </c>
      <c r="V636">
        <v>21.3157</v>
      </c>
      <c r="W636">
        <v>44.487099999999998</v>
      </c>
      <c r="X636">
        <v>44.088999999999999</v>
      </c>
      <c r="Y636" t="s">
        <v>135</v>
      </c>
      <c r="Z636" t="s">
        <v>135</v>
      </c>
      <c r="AA636" t="s">
        <v>135</v>
      </c>
      <c r="AB636" t="s">
        <v>135</v>
      </c>
      <c r="AC636" t="s">
        <v>135</v>
      </c>
      <c r="AD636" t="s">
        <v>135</v>
      </c>
      <c r="AE636" t="s">
        <v>135</v>
      </c>
      <c r="AF636" t="s">
        <v>135</v>
      </c>
      <c r="AG636" t="s">
        <v>135</v>
      </c>
      <c r="AH636" t="s">
        <v>135</v>
      </c>
      <c r="AI636" t="s">
        <v>135</v>
      </c>
      <c r="AJ636" t="s">
        <v>135</v>
      </c>
      <c r="AK636" t="s">
        <v>135</v>
      </c>
      <c r="AL636" t="s">
        <v>135</v>
      </c>
      <c r="AM636">
        <v>20.763999999999999</v>
      </c>
      <c r="AN636">
        <v>17.574300000000001</v>
      </c>
      <c r="AO636">
        <v>17.588000000000001</v>
      </c>
      <c r="AP636">
        <v>14.554600000000001</v>
      </c>
      <c r="AQ636">
        <v>12.2591</v>
      </c>
      <c r="AR636" t="s">
        <v>135</v>
      </c>
      <c r="AS636" t="s">
        <v>135</v>
      </c>
      <c r="AT636" t="s">
        <v>135</v>
      </c>
      <c r="AU636" t="s">
        <v>135</v>
      </c>
      <c r="AV636" t="s">
        <v>135</v>
      </c>
      <c r="AW636" t="s">
        <v>135</v>
      </c>
      <c r="AX636" t="s">
        <v>135</v>
      </c>
      <c r="AY636" t="s">
        <v>135</v>
      </c>
      <c r="AZ636" t="s">
        <v>135</v>
      </c>
      <c r="BA636" t="s">
        <v>135</v>
      </c>
      <c r="BB636" t="s">
        <v>135</v>
      </c>
      <c r="BC636" t="s">
        <v>135</v>
      </c>
      <c r="BD636" t="s">
        <v>135</v>
      </c>
      <c r="BE636" t="s">
        <v>135</v>
      </c>
      <c r="BF636">
        <v>21.998200000000001</v>
      </c>
      <c r="BG636">
        <v>10.2606</v>
      </c>
      <c r="BH636">
        <v>9.5384999999999991</v>
      </c>
      <c r="BI636">
        <v>35.622900000000001</v>
      </c>
      <c r="BJ636">
        <v>35.622999999999998</v>
      </c>
      <c r="BK636" t="s">
        <v>135</v>
      </c>
      <c r="BL636" t="s">
        <v>135</v>
      </c>
      <c r="BM636" t="s">
        <v>135</v>
      </c>
      <c r="BN636" t="s">
        <v>135</v>
      </c>
      <c r="BO636" t="s">
        <v>135</v>
      </c>
      <c r="BP636" t="s">
        <v>135</v>
      </c>
      <c r="BQ636" t="s">
        <v>135</v>
      </c>
      <c r="BR636" t="s">
        <v>135</v>
      </c>
      <c r="BS636" t="s">
        <v>135</v>
      </c>
      <c r="BT636" t="s">
        <v>135</v>
      </c>
      <c r="BU636" t="s">
        <v>135</v>
      </c>
      <c r="BV636" t="s">
        <v>135</v>
      </c>
      <c r="BW636" t="s">
        <v>135</v>
      </c>
      <c r="BX636" t="s">
        <v>135</v>
      </c>
      <c r="BY636" t="s">
        <v>135</v>
      </c>
      <c r="BZ636" t="s">
        <v>135</v>
      </c>
      <c r="CA636" t="s">
        <v>135</v>
      </c>
      <c r="CB636" t="s">
        <v>135</v>
      </c>
      <c r="CC636" t="s">
        <v>135</v>
      </c>
      <c r="CD636" t="s">
        <v>135</v>
      </c>
      <c r="CE636" t="s">
        <v>135</v>
      </c>
      <c r="CF636">
        <v>125.29430000000001</v>
      </c>
      <c r="CG636" t="s">
        <v>135</v>
      </c>
      <c r="CH636" t="s">
        <v>135</v>
      </c>
      <c r="CI636" t="s">
        <v>135</v>
      </c>
      <c r="CJ636" t="s">
        <v>135</v>
      </c>
      <c r="CK636" t="s">
        <v>135</v>
      </c>
      <c r="CL636" t="s">
        <v>135</v>
      </c>
      <c r="CM636" t="s">
        <v>135</v>
      </c>
      <c r="CN636" t="s">
        <v>135</v>
      </c>
      <c r="CO636" t="s">
        <v>135</v>
      </c>
      <c r="CP636">
        <v>3533.3</v>
      </c>
      <c r="CQ636" t="s">
        <v>135</v>
      </c>
      <c r="CR636">
        <v>3363.6</v>
      </c>
      <c r="CS636" t="s">
        <v>135</v>
      </c>
      <c r="CT636" t="s">
        <v>135</v>
      </c>
      <c r="CU636" t="s">
        <v>135</v>
      </c>
      <c r="CV636" t="s">
        <v>135</v>
      </c>
      <c r="CW636" t="s">
        <v>135</v>
      </c>
      <c r="CX636" t="s">
        <v>135</v>
      </c>
      <c r="CY636" t="s">
        <v>135</v>
      </c>
      <c r="CZ636" t="s">
        <v>135</v>
      </c>
      <c r="DA636" t="s">
        <v>135</v>
      </c>
      <c r="DB636" t="s">
        <v>135</v>
      </c>
      <c r="DC636" t="s">
        <v>135</v>
      </c>
      <c r="DD636" t="s">
        <v>135</v>
      </c>
      <c r="DE636" t="s">
        <v>135</v>
      </c>
      <c r="DF636" t="s">
        <v>135</v>
      </c>
      <c r="DG636" t="s">
        <v>135</v>
      </c>
      <c r="DH636" t="s">
        <v>135</v>
      </c>
      <c r="DI636" t="s">
        <v>135</v>
      </c>
    </row>
    <row r="637" spans="1:113" x14ac:dyDescent="0.3">
      <c r="E637" t="s">
        <v>81</v>
      </c>
      <c r="F637">
        <v>31.273499999999999</v>
      </c>
      <c r="G637">
        <v>14.995200000000001</v>
      </c>
      <c r="H637">
        <v>18.971499999999999</v>
      </c>
      <c r="I637">
        <v>15.237</v>
      </c>
      <c r="J637">
        <v>20.099499999999999</v>
      </c>
      <c r="K637">
        <v>18.8078</v>
      </c>
      <c r="L637" t="s">
        <v>135</v>
      </c>
      <c r="M637">
        <v>22.773499999999999</v>
      </c>
      <c r="N637">
        <v>16.945900000000002</v>
      </c>
      <c r="O637">
        <v>17.131499999999999</v>
      </c>
      <c r="P637">
        <v>17.131499999999999</v>
      </c>
      <c r="Q637">
        <v>24.3994</v>
      </c>
      <c r="R637" t="s">
        <v>135</v>
      </c>
      <c r="S637" t="s">
        <v>135</v>
      </c>
      <c r="T637">
        <v>16.244299999999999</v>
      </c>
      <c r="U637">
        <v>-13.104200000000001</v>
      </c>
      <c r="V637">
        <v>-13.432</v>
      </c>
      <c r="W637">
        <v>6.0621</v>
      </c>
      <c r="X637">
        <v>6.0610999999999997</v>
      </c>
      <c r="Y637" t="s">
        <v>135</v>
      </c>
      <c r="Z637">
        <v>3.9977</v>
      </c>
      <c r="AA637">
        <v>1.21</v>
      </c>
      <c r="AB637">
        <v>1.7156</v>
      </c>
      <c r="AC637">
        <v>16.149699999999999</v>
      </c>
      <c r="AD637">
        <v>8.2454000000000001</v>
      </c>
      <c r="AE637">
        <v>20.4359</v>
      </c>
      <c r="AF637">
        <v>-16.752500000000001</v>
      </c>
      <c r="AG637">
        <v>112</v>
      </c>
      <c r="AH637">
        <v>85.869600000000005</v>
      </c>
      <c r="AI637">
        <v>16.998999999999999</v>
      </c>
      <c r="AJ637">
        <v>17.132300000000001</v>
      </c>
      <c r="AK637">
        <v>29.7681</v>
      </c>
      <c r="AL637" t="s">
        <v>135</v>
      </c>
      <c r="AM637">
        <v>15.7148</v>
      </c>
      <c r="AN637">
        <v>8.0738000000000003</v>
      </c>
      <c r="AO637">
        <v>7.3101000000000003</v>
      </c>
      <c r="AP637">
        <v>12.819100000000001</v>
      </c>
      <c r="AQ637">
        <v>10.558400000000001</v>
      </c>
      <c r="AR637" t="s">
        <v>135</v>
      </c>
      <c r="AS637">
        <v>7.3841999999999999</v>
      </c>
      <c r="AT637">
        <v>20.308499999999999</v>
      </c>
      <c r="AU637">
        <v>5.0837000000000003</v>
      </c>
      <c r="AV637">
        <v>8.1675000000000004</v>
      </c>
      <c r="AW637">
        <v>18.6066</v>
      </c>
      <c r="AX637">
        <v>14.344200000000001</v>
      </c>
      <c r="AY637">
        <v>-0.79730000000000001</v>
      </c>
      <c r="AZ637">
        <v>67.290599999999998</v>
      </c>
      <c r="BA637">
        <v>-32.213000000000001</v>
      </c>
      <c r="BB637">
        <v>7.7142999999999997</v>
      </c>
      <c r="BC637">
        <v>7.1200999999999999</v>
      </c>
      <c r="BD637">
        <v>-3.5857999999999999</v>
      </c>
      <c r="BE637" t="s">
        <v>135</v>
      </c>
      <c r="BF637">
        <v>-1.2223999999999999</v>
      </c>
      <c r="BG637">
        <v>-23.3719</v>
      </c>
      <c r="BH637">
        <v>-24.678899999999999</v>
      </c>
      <c r="BI637">
        <v>-25.222799999999999</v>
      </c>
      <c r="BJ637">
        <v>-25.222799999999999</v>
      </c>
      <c r="BK637" t="s">
        <v>135</v>
      </c>
      <c r="BL637" t="s">
        <v>135</v>
      </c>
      <c r="BM637" t="s">
        <v>135</v>
      </c>
      <c r="BN637" t="s">
        <v>135</v>
      </c>
      <c r="BO637" t="s">
        <v>135</v>
      </c>
      <c r="BP637" t="s">
        <v>135</v>
      </c>
      <c r="BQ637" t="s">
        <v>135</v>
      </c>
      <c r="BR637" t="s">
        <v>135</v>
      </c>
      <c r="BS637" t="s">
        <v>135</v>
      </c>
      <c r="BT637" t="s">
        <v>135</v>
      </c>
      <c r="BU637" t="s">
        <v>135</v>
      </c>
      <c r="BV637" t="s">
        <v>135</v>
      </c>
      <c r="BW637" t="s">
        <v>135</v>
      </c>
      <c r="BX637" t="s">
        <v>135</v>
      </c>
      <c r="BY637">
        <v>171</v>
      </c>
      <c r="BZ637">
        <v>159</v>
      </c>
      <c r="CA637">
        <v>12</v>
      </c>
      <c r="CB637">
        <v>1.3599999999999999E-2</v>
      </c>
      <c r="CC637">
        <v>-1.2351000000000001</v>
      </c>
      <c r="CD637">
        <v>1.44E-2</v>
      </c>
      <c r="CE637">
        <v>-1.3052000000000001</v>
      </c>
      <c r="CF637">
        <v>90.25</v>
      </c>
      <c r="CG637">
        <v>50.395400000000002</v>
      </c>
      <c r="CH637">
        <v>2.1600000000000001E-2</v>
      </c>
      <c r="CI637">
        <v>2.1600000000000001E-2</v>
      </c>
      <c r="CJ637">
        <v>1.7100000000000001E-2</v>
      </c>
      <c r="CK637">
        <v>0.30809999999999998</v>
      </c>
      <c r="CL637">
        <v>0.30719999999999997</v>
      </c>
      <c r="CM637">
        <v>0.24410000000000001</v>
      </c>
      <c r="CN637">
        <v>-27.899899999999999</v>
      </c>
      <c r="CO637">
        <v>-38.696100000000001</v>
      </c>
      <c r="CP637">
        <v>2707.5</v>
      </c>
      <c r="CQ637" t="s">
        <v>135</v>
      </c>
      <c r="CR637">
        <v>2533.5</v>
      </c>
      <c r="CS637">
        <v>1.1365000000000001</v>
      </c>
      <c r="CT637">
        <v>3.6151</v>
      </c>
      <c r="CU637">
        <v>1.9125999999999999</v>
      </c>
      <c r="CV637">
        <v>16.302199999999999</v>
      </c>
      <c r="CW637">
        <v>4.6570999999999998</v>
      </c>
      <c r="CX637">
        <v>78.374600000000001</v>
      </c>
      <c r="CY637" t="s">
        <v>135</v>
      </c>
      <c r="CZ637" t="s">
        <v>135</v>
      </c>
      <c r="DA637" t="s">
        <v>135</v>
      </c>
      <c r="DB637" t="s">
        <v>135</v>
      </c>
      <c r="DC637" t="s">
        <v>135</v>
      </c>
      <c r="DD637" t="s">
        <v>135</v>
      </c>
      <c r="DE637">
        <v>11878</v>
      </c>
      <c r="DF637">
        <v>10</v>
      </c>
      <c r="DG637">
        <v>121</v>
      </c>
      <c r="DH637">
        <v>11747</v>
      </c>
      <c r="DI637">
        <v>0</v>
      </c>
    </row>
    <row r="638" spans="1:113" x14ac:dyDescent="0.3">
      <c r="D638" t="s">
        <v>83</v>
      </c>
      <c r="E638" t="s">
        <v>77</v>
      </c>
      <c r="F638">
        <v>22.747299999999999</v>
      </c>
      <c r="G638">
        <v>13.7813</v>
      </c>
      <c r="H638">
        <v>17.444900000000001</v>
      </c>
      <c r="I638">
        <v>15.315200000000001</v>
      </c>
      <c r="J638">
        <v>25.825500000000002</v>
      </c>
      <c r="K638">
        <v>24.388400000000001</v>
      </c>
      <c r="L638">
        <v>24.5885</v>
      </c>
      <c r="M638">
        <v>27.060700000000001</v>
      </c>
      <c r="N638">
        <v>17.5962</v>
      </c>
      <c r="O638">
        <v>17.5654</v>
      </c>
      <c r="P638">
        <v>15.071</v>
      </c>
      <c r="Q638">
        <v>34.9497</v>
      </c>
      <c r="R638">
        <v>24.5318</v>
      </c>
      <c r="S638">
        <v>17.167000000000002</v>
      </c>
      <c r="T638">
        <v>19.9466</v>
      </c>
      <c r="U638">
        <v>20.393999999999998</v>
      </c>
      <c r="V638">
        <v>20.1433</v>
      </c>
      <c r="W638">
        <v>5.8520000000000003</v>
      </c>
      <c r="X638">
        <v>5.7670000000000003</v>
      </c>
      <c r="Y638">
        <v>0</v>
      </c>
      <c r="Z638">
        <v>23.877700000000001</v>
      </c>
      <c r="AA638">
        <v>10.793100000000001</v>
      </c>
      <c r="AB638">
        <v>36.641399999999997</v>
      </c>
      <c r="AC638">
        <v>12.679500000000001</v>
      </c>
      <c r="AD638">
        <v>15.490600000000001</v>
      </c>
      <c r="AE638">
        <v>6.2571000000000003</v>
      </c>
      <c r="AF638">
        <v>23.548999999999999</v>
      </c>
      <c r="AG638">
        <v>-74.213800000000006</v>
      </c>
      <c r="AH638">
        <v>-70.760199999999998</v>
      </c>
      <c r="AI638">
        <v>12.4284</v>
      </c>
      <c r="AJ638">
        <v>12.1729</v>
      </c>
      <c r="AK638">
        <v>19.3706</v>
      </c>
      <c r="AL638">
        <v>3.3144</v>
      </c>
      <c r="AM638">
        <v>14.203200000000001</v>
      </c>
      <c r="AN638">
        <v>12.925599999999999</v>
      </c>
      <c r="AO638">
        <v>12.441800000000001</v>
      </c>
      <c r="AP638">
        <v>6.7016</v>
      </c>
      <c r="AQ638">
        <v>7.0922000000000001</v>
      </c>
      <c r="AR638">
        <v>2.3835999999999999</v>
      </c>
      <c r="AS638">
        <v>8.7593999999999994</v>
      </c>
      <c r="AT638">
        <v>19.518999999999998</v>
      </c>
      <c r="AU638">
        <v>23.6236</v>
      </c>
      <c r="AV638">
        <v>15.304600000000001</v>
      </c>
      <c r="AW638">
        <v>17.715800000000002</v>
      </c>
      <c r="AX638">
        <v>12.936999999999999</v>
      </c>
      <c r="AY638">
        <v>1.9496</v>
      </c>
      <c r="AZ638">
        <v>38.655999999999999</v>
      </c>
      <c r="BA638">
        <v>24.0807</v>
      </c>
      <c r="BB638">
        <v>15.1196</v>
      </c>
      <c r="BC638">
        <v>15.125400000000001</v>
      </c>
      <c r="BD638">
        <v>6.7350000000000003</v>
      </c>
      <c r="BE638">
        <v>5.0831</v>
      </c>
      <c r="BF638">
        <v>19.9466</v>
      </c>
      <c r="BG638">
        <v>20.393999999999998</v>
      </c>
      <c r="BH638">
        <v>20.1433</v>
      </c>
      <c r="BI638">
        <v>5.8520000000000003</v>
      </c>
      <c r="BJ638">
        <v>5.7670000000000003</v>
      </c>
      <c r="BK638">
        <v>0</v>
      </c>
      <c r="BL638">
        <v>23.877700000000001</v>
      </c>
      <c r="BM638">
        <v>10.793100000000001</v>
      </c>
      <c r="BN638">
        <v>36.641399999999997</v>
      </c>
      <c r="BO638">
        <v>12.679500000000001</v>
      </c>
      <c r="BP638">
        <v>15.490600000000001</v>
      </c>
      <c r="BQ638">
        <v>6.2571000000000003</v>
      </c>
      <c r="BR638">
        <v>23.548999999999999</v>
      </c>
      <c r="BS638">
        <v>-74.213800000000006</v>
      </c>
      <c r="BT638">
        <v>-70.760199999999998</v>
      </c>
      <c r="BU638">
        <v>12.4284</v>
      </c>
      <c r="BV638">
        <v>12.1729</v>
      </c>
      <c r="BW638">
        <v>19.3706</v>
      </c>
      <c r="BX638">
        <v>3.3144</v>
      </c>
      <c r="BY638">
        <v>50</v>
      </c>
      <c r="BZ638">
        <v>41</v>
      </c>
      <c r="CA638">
        <v>9</v>
      </c>
      <c r="CB638">
        <v>3.3E-3</v>
      </c>
      <c r="CC638">
        <v>-1.1311</v>
      </c>
      <c r="CD638">
        <v>3.5000000000000001E-3</v>
      </c>
      <c r="CE638">
        <v>-1.1978</v>
      </c>
      <c r="CF638">
        <v>539.10709999999995</v>
      </c>
      <c r="CG638">
        <v>53.387999999999998</v>
      </c>
      <c r="CH638">
        <v>1.44E-2</v>
      </c>
      <c r="CI638">
        <v>1.44E-2</v>
      </c>
      <c r="CJ638">
        <v>1.14E-2</v>
      </c>
      <c r="CK638">
        <v>8.0100000000000005E-2</v>
      </c>
      <c r="CL638">
        <v>8.0100000000000005E-2</v>
      </c>
      <c r="CM638">
        <v>6.3299999999999995E-2</v>
      </c>
      <c r="CN638">
        <v>-27.362200000000001</v>
      </c>
      <c r="CO638">
        <v>-37.6693</v>
      </c>
      <c r="CP638">
        <v>15095</v>
      </c>
      <c r="CQ638">
        <v>12011</v>
      </c>
      <c r="CR638">
        <v>14255</v>
      </c>
      <c r="CS638">
        <v>1.0922000000000001</v>
      </c>
      <c r="CT638">
        <v>3.4359999999999999</v>
      </c>
      <c r="CU638">
        <v>1.9370000000000001</v>
      </c>
      <c r="CV638">
        <v>10.080500000000001</v>
      </c>
      <c r="CW638">
        <v>4.8837000000000002</v>
      </c>
      <c r="CX638">
        <v>74.943899999999999</v>
      </c>
      <c r="CY638" t="s">
        <v>135</v>
      </c>
      <c r="CZ638" t="s">
        <v>135</v>
      </c>
      <c r="DA638" t="s">
        <v>135</v>
      </c>
      <c r="DB638" t="s">
        <v>135</v>
      </c>
      <c r="DC638" t="s">
        <v>135</v>
      </c>
      <c r="DD638" t="s">
        <v>135</v>
      </c>
      <c r="DE638">
        <v>13160</v>
      </c>
      <c r="DF638">
        <v>10</v>
      </c>
      <c r="DG638">
        <v>178</v>
      </c>
      <c r="DH638">
        <v>12972</v>
      </c>
      <c r="DI638">
        <v>0</v>
      </c>
    </row>
    <row r="639" spans="1:113" x14ac:dyDescent="0.3">
      <c r="E639" t="s">
        <v>78</v>
      </c>
      <c r="F639" t="s">
        <v>135</v>
      </c>
      <c r="G639" t="s">
        <v>135</v>
      </c>
      <c r="H639" t="s">
        <v>135</v>
      </c>
      <c r="I639" t="s">
        <v>135</v>
      </c>
      <c r="J639">
        <v>23.226299999999998</v>
      </c>
      <c r="K639">
        <v>21.971699999999998</v>
      </c>
      <c r="L639">
        <v>1.6821000000000002</v>
      </c>
      <c r="M639">
        <v>26.9312</v>
      </c>
      <c r="N639">
        <v>18.084</v>
      </c>
      <c r="O639">
        <v>18.192900000000002</v>
      </c>
      <c r="P639">
        <v>18.192900000000002</v>
      </c>
      <c r="Q639">
        <v>32.851100000000002</v>
      </c>
      <c r="R639" t="s">
        <v>135</v>
      </c>
      <c r="S639" t="s">
        <v>135</v>
      </c>
      <c r="T639">
        <v>26.988900000000001</v>
      </c>
      <c r="U639">
        <v>0.65659999999999996</v>
      </c>
      <c r="V639">
        <v>1.6539999999999999</v>
      </c>
      <c r="W639">
        <v>15.762</v>
      </c>
      <c r="X639">
        <v>15.762</v>
      </c>
      <c r="Y639" t="s">
        <v>135</v>
      </c>
      <c r="Z639" t="s">
        <v>135</v>
      </c>
      <c r="AA639" t="s">
        <v>135</v>
      </c>
      <c r="AB639" t="s">
        <v>135</v>
      </c>
      <c r="AC639" t="s">
        <v>135</v>
      </c>
      <c r="AD639" t="s">
        <v>135</v>
      </c>
      <c r="AE639" t="s">
        <v>135</v>
      </c>
      <c r="AF639" t="s">
        <v>135</v>
      </c>
      <c r="AG639" t="s">
        <v>135</v>
      </c>
      <c r="AH639" t="s">
        <v>135</v>
      </c>
      <c r="AI639" t="s">
        <v>135</v>
      </c>
      <c r="AJ639" t="s">
        <v>135</v>
      </c>
      <c r="AK639" t="s">
        <v>135</v>
      </c>
      <c r="AL639" t="s">
        <v>135</v>
      </c>
      <c r="AM639">
        <v>14.629200000000001</v>
      </c>
      <c r="AN639">
        <v>10.719899999999999</v>
      </c>
      <c r="AO639">
        <v>10.236599999999999</v>
      </c>
      <c r="AP639">
        <v>10.7545</v>
      </c>
      <c r="AQ639">
        <v>10.951000000000001</v>
      </c>
      <c r="AR639" t="s">
        <v>135</v>
      </c>
      <c r="AS639" t="s">
        <v>135</v>
      </c>
      <c r="AT639" t="s">
        <v>135</v>
      </c>
      <c r="AU639" t="s">
        <v>135</v>
      </c>
      <c r="AV639" t="s">
        <v>135</v>
      </c>
      <c r="AW639" t="s">
        <v>135</v>
      </c>
      <c r="AX639" t="s">
        <v>135</v>
      </c>
      <c r="AY639" t="s">
        <v>135</v>
      </c>
      <c r="AZ639" t="s">
        <v>135</v>
      </c>
      <c r="BA639" t="s">
        <v>135</v>
      </c>
      <c r="BB639" t="s">
        <v>135</v>
      </c>
      <c r="BC639" t="s">
        <v>135</v>
      </c>
      <c r="BD639" t="s">
        <v>135</v>
      </c>
      <c r="BE639" t="s">
        <v>135</v>
      </c>
      <c r="BF639">
        <v>-0.53380000000000005</v>
      </c>
      <c r="BG639">
        <v>14.94</v>
      </c>
      <c r="BH639">
        <v>16.198899999999998</v>
      </c>
      <c r="BI639">
        <v>5.6289999999999996</v>
      </c>
      <c r="BJ639">
        <v>5.6289999999999996</v>
      </c>
      <c r="BK639" t="s">
        <v>135</v>
      </c>
      <c r="BL639" t="s">
        <v>135</v>
      </c>
      <c r="BM639" t="s">
        <v>135</v>
      </c>
      <c r="BN639" t="s">
        <v>135</v>
      </c>
      <c r="BO639" t="s">
        <v>135</v>
      </c>
      <c r="BP639" t="s">
        <v>135</v>
      </c>
      <c r="BQ639" t="s">
        <v>135</v>
      </c>
      <c r="BR639" t="s">
        <v>135</v>
      </c>
      <c r="BS639" t="s">
        <v>135</v>
      </c>
      <c r="BT639" t="s">
        <v>135</v>
      </c>
      <c r="BU639" t="s">
        <v>135</v>
      </c>
      <c r="BV639" t="s">
        <v>135</v>
      </c>
      <c r="BW639" t="s">
        <v>135</v>
      </c>
      <c r="BX639" t="s">
        <v>135</v>
      </c>
      <c r="BY639" t="s">
        <v>135</v>
      </c>
      <c r="BZ639" t="s">
        <v>135</v>
      </c>
      <c r="CA639" t="s">
        <v>135</v>
      </c>
      <c r="CB639" t="s">
        <v>135</v>
      </c>
      <c r="CC639" t="s">
        <v>135</v>
      </c>
      <c r="CD639" t="s">
        <v>135</v>
      </c>
      <c r="CE639" t="s">
        <v>135</v>
      </c>
      <c r="CF639">
        <v>203.39869999999999</v>
      </c>
      <c r="CG639" t="s">
        <v>135</v>
      </c>
      <c r="CH639" t="s">
        <v>135</v>
      </c>
      <c r="CI639" t="s">
        <v>135</v>
      </c>
      <c r="CJ639" t="s">
        <v>135</v>
      </c>
      <c r="CK639" t="s">
        <v>135</v>
      </c>
      <c r="CL639" t="s">
        <v>135</v>
      </c>
      <c r="CM639" t="s">
        <v>135</v>
      </c>
      <c r="CN639" t="s">
        <v>135</v>
      </c>
      <c r="CO639" t="s">
        <v>135</v>
      </c>
      <c r="CP639">
        <v>3112</v>
      </c>
      <c r="CQ639" t="s">
        <v>135</v>
      </c>
      <c r="CR639">
        <v>2943.9</v>
      </c>
      <c r="CS639" t="s">
        <v>135</v>
      </c>
      <c r="CT639" t="s">
        <v>135</v>
      </c>
      <c r="CU639" t="s">
        <v>135</v>
      </c>
      <c r="CV639" t="s">
        <v>135</v>
      </c>
      <c r="CW639" t="s">
        <v>135</v>
      </c>
      <c r="CX639" t="s">
        <v>135</v>
      </c>
      <c r="CY639" t="s">
        <v>135</v>
      </c>
      <c r="CZ639" t="s">
        <v>135</v>
      </c>
      <c r="DA639" t="s">
        <v>135</v>
      </c>
      <c r="DB639" t="s">
        <v>135</v>
      </c>
      <c r="DC639" t="s">
        <v>135</v>
      </c>
      <c r="DD639" t="s">
        <v>135</v>
      </c>
      <c r="DE639" t="s">
        <v>135</v>
      </c>
      <c r="DF639" t="s">
        <v>135</v>
      </c>
      <c r="DG639" t="s">
        <v>135</v>
      </c>
      <c r="DH639" t="s">
        <v>135</v>
      </c>
      <c r="DI639" t="s">
        <v>135</v>
      </c>
    </row>
    <row r="640" spans="1:113" x14ac:dyDescent="0.3">
      <c r="E640" t="s">
        <v>79</v>
      </c>
      <c r="F640">
        <v>25.851500000000001</v>
      </c>
      <c r="G640">
        <v>13.958399999999999</v>
      </c>
      <c r="H640">
        <v>16.849699999999999</v>
      </c>
      <c r="I640">
        <v>14.814500000000001</v>
      </c>
      <c r="J640">
        <v>25.6069</v>
      </c>
      <c r="K640">
        <v>24.178599999999999</v>
      </c>
      <c r="L640">
        <v>10.401400000000001</v>
      </c>
      <c r="M640">
        <v>25.892099999999999</v>
      </c>
      <c r="N640">
        <v>17.784700000000001</v>
      </c>
      <c r="O640">
        <v>17.864100000000001</v>
      </c>
      <c r="P640">
        <v>17.864100000000001</v>
      </c>
      <c r="Q640">
        <v>31.3124</v>
      </c>
      <c r="R640" t="s">
        <v>135</v>
      </c>
      <c r="S640" t="s">
        <v>135</v>
      </c>
      <c r="T640">
        <v>23.892900000000001</v>
      </c>
      <c r="U640">
        <v>10.6663</v>
      </c>
      <c r="V640">
        <v>9.0467999999999993</v>
      </c>
      <c r="W640">
        <v>8.7233999999999998</v>
      </c>
      <c r="X640">
        <v>8.7233999999999998</v>
      </c>
      <c r="Y640" t="s">
        <v>135</v>
      </c>
      <c r="Z640">
        <v>34.504800000000003</v>
      </c>
      <c r="AA640">
        <v>4.2393000000000001</v>
      </c>
      <c r="AB640">
        <v>17.773900000000001</v>
      </c>
      <c r="AC640">
        <v>16.051300000000001</v>
      </c>
      <c r="AD640">
        <v>22.3398</v>
      </c>
      <c r="AE640">
        <v>15.3461</v>
      </c>
      <c r="AF640">
        <v>3.3163</v>
      </c>
      <c r="AG640" t="s">
        <v>135</v>
      </c>
      <c r="AH640">
        <v>-32.608699999999999</v>
      </c>
      <c r="AI640">
        <v>13.150700000000001</v>
      </c>
      <c r="AJ640">
        <v>13.139099999999999</v>
      </c>
      <c r="AK640">
        <v>21.071300000000001</v>
      </c>
      <c r="AL640" t="s">
        <v>135</v>
      </c>
      <c r="AM640">
        <v>14.245799999999999</v>
      </c>
      <c r="AN640">
        <v>13.4695</v>
      </c>
      <c r="AO640">
        <v>12.8567</v>
      </c>
      <c r="AP640">
        <v>14.382099999999999</v>
      </c>
      <c r="AQ640">
        <v>14.7971</v>
      </c>
      <c r="AR640" t="s">
        <v>135</v>
      </c>
      <c r="AS640">
        <v>11.691800000000001</v>
      </c>
      <c r="AT640">
        <v>24.009</v>
      </c>
      <c r="AU640">
        <v>-24.329499999999999</v>
      </c>
      <c r="AV640">
        <v>9.1753</v>
      </c>
      <c r="AW640">
        <v>11.9962</v>
      </c>
      <c r="AX640">
        <v>22.963899999999999</v>
      </c>
      <c r="AY640" t="s">
        <v>135</v>
      </c>
      <c r="AZ640" t="s">
        <v>135</v>
      </c>
      <c r="BA640">
        <v>-59.950499999999998</v>
      </c>
      <c r="BB640">
        <v>8.5448000000000004</v>
      </c>
      <c r="BC640">
        <v>8.0713000000000008</v>
      </c>
      <c r="BD640">
        <v>0.48020000000000002</v>
      </c>
      <c r="BE640" t="s">
        <v>135</v>
      </c>
      <c r="BF640">
        <v>4.3883999999999999</v>
      </c>
      <c r="BG640">
        <v>12.7348</v>
      </c>
      <c r="BH640">
        <v>12.4148</v>
      </c>
      <c r="BI640">
        <v>38.848399999999998</v>
      </c>
      <c r="BJ640">
        <v>38.488100000000003</v>
      </c>
      <c r="BK640" t="s">
        <v>135</v>
      </c>
      <c r="BL640" t="s">
        <v>135</v>
      </c>
      <c r="BM640" t="s">
        <v>135</v>
      </c>
      <c r="BN640" t="s">
        <v>135</v>
      </c>
      <c r="BO640" t="s">
        <v>135</v>
      </c>
      <c r="BP640" t="s">
        <v>135</v>
      </c>
      <c r="BQ640" t="s">
        <v>135</v>
      </c>
      <c r="BR640" t="s">
        <v>135</v>
      </c>
      <c r="BS640" t="s">
        <v>135</v>
      </c>
      <c r="BT640" t="s">
        <v>135</v>
      </c>
      <c r="BU640" t="s">
        <v>135</v>
      </c>
      <c r="BV640" t="s">
        <v>135</v>
      </c>
      <c r="BW640" t="s">
        <v>135</v>
      </c>
      <c r="BX640" t="s">
        <v>135</v>
      </c>
      <c r="BY640">
        <v>9.3000000000000007</v>
      </c>
      <c r="BZ640" t="s">
        <v>135</v>
      </c>
      <c r="CA640">
        <v>9.3000000000000007</v>
      </c>
      <c r="CB640">
        <v>6.9999999999999999E-4</v>
      </c>
      <c r="CC640">
        <v>-0.83130000000000004</v>
      </c>
      <c r="CD640">
        <v>8.0000000000000004E-4</v>
      </c>
      <c r="CE640">
        <v>-0.87949999999999995</v>
      </c>
      <c r="CF640">
        <v>170.49520000000001</v>
      </c>
      <c r="CG640">
        <v>55.051200000000001</v>
      </c>
      <c r="CH640">
        <v>1.52E-2</v>
      </c>
      <c r="CI640">
        <v>1.52E-2</v>
      </c>
      <c r="CJ640">
        <v>1.2500000000000001E-2</v>
      </c>
      <c r="CK640">
        <v>1.52E-2</v>
      </c>
      <c r="CL640">
        <v>1.52E-2</v>
      </c>
      <c r="CM640">
        <v>1.2500000000000001E-2</v>
      </c>
      <c r="CN640">
        <v>-17.591799999999999</v>
      </c>
      <c r="CO640">
        <v>-21.347100000000001</v>
      </c>
      <c r="CP640">
        <v>3546.3</v>
      </c>
      <c r="CQ640" t="s">
        <v>135</v>
      </c>
      <c r="CR640">
        <v>3348.5</v>
      </c>
      <c r="CS640">
        <v>0.87639999999999996</v>
      </c>
      <c r="CT640">
        <v>4.1643999999999997</v>
      </c>
      <c r="CU640">
        <v>2.1513</v>
      </c>
      <c r="CV640">
        <v>20.177299999999999</v>
      </c>
      <c r="CW640">
        <v>3.9737</v>
      </c>
      <c r="CX640">
        <v>91.853999999999999</v>
      </c>
      <c r="CY640" t="s">
        <v>135</v>
      </c>
      <c r="CZ640" t="s">
        <v>135</v>
      </c>
      <c r="DA640" t="s">
        <v>135</v>
      </c>
      <c r="DB640" t="s">
        <v>135</v>
      </c>
      <c r="DC640" t="s">
        <v>135</v>
      </c>
      <c r="DD640" t="s">
        <v>135</v>
      </c>
      <c r="DE640">
        <v>13742.6</v>
      </c>
      <c r="DF640" t="s">
        <v>135</v>
      </c>
      <c r="DG640" t="s">
        <v>135</v>
      </c>
      <c r="DH640" t="s">
        <v>135</v>
      </c>
      <c r="DI640" t="s">
        <v>135</v>
      </c>
    </row>
    <row r="641" spans="4:113" x14ac:dyDescent="0.3">
      <c r="E641" t="s">
        <v>80</v>
      </c>
      <c r="F641" t="s">
        <v>135</v>
      </c>
      <c r="G641" t="s">
        <v>135</v>
      </c>
      <c r="H641" t="s">
        <v>135</v>
      </c>
      <c r="I641" t="s">
        <v>135</v>
      </c>
      <c r="J641">
        <v>26.969799999999999</v>
      </c>
      <c r="K641">
        <v>25.708400000000001</v>
      </c>
      <c r="L641">
        <v>31.859400000000001</v>
      </c>
      <c r="M641">
        <v>27.246300000000002</v>
      </c>
      <c r="N641">
        <v>17.2029</v>
      </c>
      <c r="O641">
        <v>17.240500000000001</v>
      </c>
      <c r="P641">
        <v>17.240500000000001</v>
      </c>
      <c r="Q641">
        <v>36.861499999999999</v>
      </c>
      <c r="R641" t="s">
        <v>135</v>
      </c>
      <c r="S641" t="s">
        <v>135</v>
      </c>
      <c r="T641">
        <v>16.965399999999999</v>
      </c>
      <c r="U641">
        <v>21.753</v>
      </c>
      <c r="V641">
        <v>21.914000000000001</v>
      </c>
      <c r="W641">
        <v>-10.8908</v>
      </c>
      <c r="X641">
        <v>-10.8908</v>
      </c>
      <c r="Y641" t="s">
        <v>135</v>
      </c>
      <c r="Z641" t="s">
        <v>135</v>
      </c>
      <c r="AA641" t="s">
        <v>135</v>
      </c>
      <c r="AB641" t="s">
        <v>135</v>
      </c>
      <c r="AC641" t="s">
        <v>135</v>
      </c>
      <c r="AD641" t="s">
        <v>135</v>
      </c>
      <c r="AE641" t="s">
        <v>135</v>
      </c>
      <c r="AF641" t="s">
        <v>135</v>
      </c>
      <c r="AG641" t="s">
        <v>135</v>
      </c>
      <c r="AH641" t="s">
        <v>135</v>
      </c>
      <c r="AI641" t="s">
        <v>135</v>
      </c>
      <c r="AJ641" t="s">
        <v>135</v>
      </c>
      <c r="AK641" t="s">
        <v>135</v>
      </c>
      <c r="AL641" t="s">
        <v>135</v>
      </c>
      <c r="AM641">
        <v>14.098100000000001</v>
      </c>
      <c r="AN641">
        <v>13.9284</v>
      </c>
      <c r="AO641">
        <v>13.6424</v>
      </c>
      <c r="AP641">
        <v>11.441800000000001</v>
      </c>
      <c r="AQ641">
        <v>11.8484</v>
      </c>
      <c r="AR641" t="s">
        <v>135</v>
      </c>
      <c r="AS641" t="s">
        <v>135</v>
      </c>
      <c r="AT641" t="s">
        <v>135</v>
      </c>
      <c r="AU641" t="s">
        <v>135</v>
      </c>
      <c r="AV641" t="s">
        <v>135</v>
      </c>
      <c r="AW641" t="s">
        <v>135</v>
      </c>
      <c r="AX641" t="s">
        <v>135</v>
      </c>
      <c r="AY641" t="s">
        <v>135</v>
      </c>
      <c r="AZ641" t="s">
        <v>135</v>
      </c>
      <c r="BA641" t="s">
        <v>135</v>
      </c>
      <c r="BB641" t="s">
        <v>135</v>
      </c>
      <c r="BC641" t="s">
        <v>135</v>
      </c>
      <c r="BD641" t="s">
        <v>135</v>
      </c>
      <c r="BE641" t="s">
        <v>135</v>
      </c>
      <c r="BF641">
        <v>15.7037</v>
      </c>
      <c r="BG641">
        <v>19.967099999999999</v>
      </c>
      <c r="BH641">
        <v>20.986000000000001</v>
      </c>
      <c r="BI641">
        <v>46.564999999999998</v>
      </c>
      <c r="BJ641">
        <v>46.832999999999998</v>
      </c>
      <c r="BK641" t="s">
        <v>135</v>
      </c>
      <c r="BL641" t="s">
        <v>135</v>
      </c>
      <c r="BM641" t="s">
        <v>135</v>
      </c>
      <c r="BN641" t="s">
        <v>135</v>
      </c>
      <c r="BO641" t="s">
        <v>135</v>
      </c>
      <c r="BP641" t="s">
        <v>135</v>
      </c>
      <c r="BQ641" t="s">
        <v>135</v>
      </c>
      <c r="BR641" t="s">
        <v>135</v>
      </c>
      <c r="BS641" t="s">
        <v>135</v>
      </c>
      <c r="BT641" t="s">
        <v>135</v>
      </c>
      <c r="BU641" t="s">
        <v>135</v>
      </c>
      <c r="BV641" t="s">
        <v>135</v>
      </c>
      <c r="BW641" t="s">
        <v>135</v>
      </c>
      <c r="BX641" t="s">
        <v>135</v>
      </c>
      <c r="BY641" t="s">
        <v>135</v>
      </c>
      <c r="BZ641" t="s">
        <v>135</v>
      </c>
      <c r="CA641" t="s">
        <v>135</v>
      </c>
      <c r="CB641" t="s">
        <v>135</v>
      </c>
      <c r="CC641" t="s">
        <v>135</v>
      </c>
      <c r="CD641" t="s">
        <v>135</v>
      </c>
      <c r="CE641" t="s">
        <v>135</v>
      </c>
      <c r="CF641">
        <v>96.671899999999994</v>
      </c>
      <c r="CG641" t="s">
        <v>135</v>
      </c>
      <c r="CH641" t="s">
        <v>135</v>
      </c>
      <c r="CI641" t="s">
        <v>135</v>
      </c>
      <c r="CJ641" t="s">
        <v>135</v>
      </c>
      <c r="CK641" t="s">
        <v>135</v>
      </c>
      <c r="CL641" t="s">
        <v>135</v>
      </c>
      <c r="CM641" t="s">
        <v>135</v>
      </c>
      <c r="CN641" t="s">
        <v>135</v>
      </c>
      <c r="CO641" t="s">
        <v>135</v>
      </c>
      <c r="CP641">
        <v>4301.8999999999996</v>
      </c>
      <c r="CQ641" t="s">
        <v>135</v>
      </c>
      <c r="CR641">
        <v>4100.7</v>
      </c>
      <c r="CS641" t="s">
        <v>135</v>
      </c>
      <c r="CT641" t="s">
        <v>135</v>
      </c>
      <c r="CU641" t="s">
        <v>135</v>
      </c>
      <c r="CV641" t="s">
        <v>135</v>
      </c>
      <c r="CW641" t="s">
        <v>135</v>
      </c>
      <c r="CX641" t="s">
        <v>135</v>
      </c>
      <c r="CY641" t="s">
        <v>135</v>
      </c>
      <c r="CZ641" t="s">
        <v>135</v>
      </c>
      <c r="DA641" t="s">
        <v>135</v>
      </c>
      <c r="DB641" t="s">
        <v>135</v>
      </c>
      <c r="DC641" t="s">
        <v>135</v>
      </c>
      <c r="DD641" t="s">
        <v>135</v>
      </c>
      <c r="DE641" t="s">
        <v>135</v>
      </c>
      <c r="DF641" t="s">
        <v>135</v>
      </c>
      <c r="DG641" t="s">
        <v>135</v>
      </c>
      <c r="DH641" t="s">
        <v>135</v>
      </c>
      <c r="DI641" t="s">
        <v>135</v>
      </c>
    </row>
    <row r="642" spans="4:113" x14ac:dyDescent="0.3">
      <c r="E642" t="s">
        <v>81</v>
      </c>
      <c r="F642">
        <v>22.1374</v>
      </c>
      <c r="G642">
        <v>11.507199999999999</v>
      </c>
      <c r="H642">
        <v>14.925800000000001</v>
      </c>
      <c r="I642">
        <v>14.366199999999999</v>
      </c>
      <c r="J642">
        <v>27.002099999999999</v>
      </c>
      <c r="K642">
        <v>25.217700000000001</v>
      </c>
      <c r="L642">
        <v>71.999799999999993</v>
      </c>
      <c r="M642">
        <v>27.927900000000001</v>
      </c>
      <c r="N642">
        <v>17.339200000000002</v>
      </c>
      <c r="O642">
        <v>17.0153</v>
      </c>
      <c r="P642">
        <v>17.0153</v>
      </c>
      <c r="Q642">
        <v>37.830500000000001</v>
      </c>
      <c r="R642" t="s">
        <v>135</v>
      </c>
      <c r="S642" t="s">
        <v>135</v>
      </c>
      <c r="T642">
        <v>13.7018</v>
      </c>
      <c r="U642">
        <v>52.7498</v>
      </c>
      <c r="V642">
        <v>52.453099999999999</v>
      </c>
      <c r="W642">
        <v>12.9306</v>
      </c>
      <c r="X642">
        <v>12.9306</v>
      </c>
      <c r="Y642" t="s">
        <v>135</v>
      </c>
      <c r="Z642">
        <v>23.877700000000001</v>
      </c>
      <c r="AA642">
        <v>10.793100000000001</v>
      </c>
      <c r="AB642">
        <v>36.641399999999997</v>
      </c>
      <c r="AC642">
        <v>12.679500000000001</v>
      </c>
      <c r="AD642">
        <v>15.490600000000001</v>
      </c>
      <c r="AE642">
        <v>6.2571000000000003</v>
      </c>
      <c r="AF642">
        <v>23.548999999999999</v>
      </c>
      <c r="AG642">
        <v>-74.213800000000006</v>
      </c>
      <c r="AH642">
        <v>-70.760199999999998</v>
      </c>
      <c r="AI642">
        <v>12.4284</v>
      </c>
      <c r="AJ642">
        <v>12.1729</v>
      </c>
      <c r="AK642">
        <v>19.3706</v>
      </c>
      <c r="AL642" t="s">
        <v>135</v>
      </c>
      <c r="AM642">
        <v>14.001899999999999</v>
      </c>
      <c r="AN642">
        <v>13.229900000000001</v>
      </c>
      <c r="AO642">
        <v>12.6471</v>
      </c>
      <c r="AP642">
        <v>5.7796000000000003</v>
      </c>
      <c r="AQ642">
        <v>6.6129999999999995</v>
      </c>
      <c r="AR642" t="s">
        <v>135</v>
      </c>
      <c r="AS642">
        <v>8.7593999999999994</v>
      </c>
      <c r="AT642">
        <v>19.518999999999998</v>
      </c>
      <c r="AU642">
        <v>23.6236</v>
      </c>
      <c r="AV642">
        <v>15.304600000000001</v>
      </c>
      <c r="AW642">
        <v>17.715800000000002</v>
      </c>
      <c r="AX642">
        <v>12.936999999999999</v>
      </c>
      <c r="AY642">
        <v>1.9496</v>
      </c>
      <c r="AZ642">
        <v>38.655999999999999</v>
      </c>
      <c r="BA642">
        <v>24.0807</v>
      </c>
      <c r="BB642">
        <v>15.1196</v>
      </c>
      <c r="BC642">
        <v>15.125400000000001</v>
      </c>
      <c r="BD642">
        <v>6.7350000000000003</v>
      </c>
      <c r="BE642" t="s">
        <v>135</v>
      </c>
      <c r="BF642">
        <v>-3.3934000000000002</v>
      </c>
      <c r="BG642">
        <v>-3.7</v>
      </c>
      <c r="BH642">
        <v>-5.5739999999999998</v>
      </c>
      <c r="BI642">
        <v>12.8866</v>
      </c>
      <c r="BJ642">
        <v>13.059100000000001</v>
      </c>
      <c r="BK642" t="s">
        <v>135</v>
      </c>
      <c r="BL642" t="s">
        <v>135</v>
      </c>
      <c r="BM642" t="s">
        <v>135</v>
      </c>
      <c r="BN642" t="s">
        <v>135</v>
      </c>
      <c r="BO642" t="s">
        <v>135</v>
      </c>
      <c r="BP642" t="s">
        <v>135</v>
      </c>
      <c r="BQ642" t="s">
        <v>135</v>
      </c>
      <c r="BR642" t="s">
        <v>135</v>
      </c>
      <c r="BS642" t="s">
        <v>135</v>
      </c>
      <c r="BT642" t="s">
        <v>135</v>
      </c>
      <c r="BU642" t="s">
        <v>135</v>
      </c>
      <c r="BV642" t="s">
        <v>135</v>
      </c>
      <c r="BW642" t="s">
        <v>135</v>
      </c>
      <c r="BX642" t="s">
        <v>135</v>
      </c>
      <c r="BY642">
        <v>50</v>
      </c>
      <c r="BZ642">
        <v>41</v>
      </c>
      <c r="CA642">
        <v>9</v>
      </c>
      <c r="CB642">
        <v>3.3E-3</v>
      </c>
      <c r="CC642">
        <v>-1.1261000000000001</v>
      </c>
      <c r="CD642">
        <v>3.5000000000000001E-3</v>
      </c>
      <c r="CE642">
        <v>-1.1921999999999999</v>
      </c>
      <c r="CF642">
        <v>97.540099999999995</v>
      </c>
      <c r="CG642">
        <v>53.387999999999998</v>
      </c>
      <c r="CH642">
        <v>1.44E-2</v>
      </c>
      <c r="CI642">
        <v>1.44E-2</v>
      </c>
      <c r="CJ642">
        <v>1.14E-2</v>
      </c>
      <c r="CK642">
        <v>8.0100000000000005E-2</v>
      </c>
      <c r="CL642">
        <v>8.0100000000000005E-2</v>
      </c>
      <c r="CM642">
        <v>6.3299999999999995E-2</v>
      </c>
      <c r="CN642">
        <v>-27.362200000000001</v>
      </c>
      <c r="CO642">
        <v>-37.6693</v>
      </c>
      <c r="CP642">
        <v>4135.7</v>
      </c>
      <c r="CQ642" t="s">
        <v>135</v>
      </c>
      <c r="CR642">
        <v>3862.4</v>
      </c>
      <c r="CS642">
        <v>1.0922000000000001</v>
      </c>
      <c r="CT642">
        <v>3.4359999999999999</v>
      </c>
      <c r="CU642">
        <v>1.9370000000000001</v>
      </c>
      <c r="CV642">
        <v>10.080500000000001</v>
      </c>
      <c r="CW642">
        <v>4.8647</v>
      </c>
      <c r="CX642">
        <v>75.236000000000004</v>
      </c>
      <c r="CY642" t="s">
        <v>135</v>
      </c>
      <c r="CZ642" t="s">
        <v>135</v>
      </c>
      <c r="DA642" t="s">
        <v>135</v>
      </c>
      <c r="DB642" t="s">
        <v>135</v>
      </c>
      <c r="DC642" t="s">
        <v>135</v>
      </c>
      <c r="DD642" t="s">
        <v>135</v>
      </c>
      <c r="DE642">
        <v>13160</v>
      </c>
      <c r="DF642">
        <v>10</v>
      </c>
      <c r="DG642">
        <v>178</v>
      </c>
      <c r="DH642">
        <v>12972</v>
      </c>
      <c r="DI642">
        <v>0</v>
      </c>
    </row>
    <row r="643" spans="4:113" x14ac:dyDescent="0.3">
      <c r="D643" t="s">
        <v>84</v>
      </c>
      <c r="E643" t="s">
        <v>77</v>
      </c>
      <c r="F643">
        <v>38.771099999999997</v>
      </c>
      <c r="G643">
        <v>24.681999999999999</v>
      </c>
      <c r="H643">
        <v>30.734200000000001</v>
      </c>
      <c r="I643">
        <v>15.966100000000001</v>
      </c>
      <c r="J643">
        <v>26.626300000000001</v>
      </c>
      <c r="K643">
        <v>24.828700000000001</v>
      </c>
      <c r="L643">
        <v>36.954000000000001</v>
      </c>
      <c r="M643">
        <v>45.265000000000001</v>
      </c>
      <c r="N643">
        <v>34.648200000000003</v>
      </c>
      <c r="O643">
        <v>34.666899999999998</v>
      </c>
      <c r="P643">
        <v>34.666899999999998</v>
      </c>
      <c r="Q643">
        <v>23.454799999999999</v>
      </c>
      <c r="R643">
        <v>10.807</v>
      </c>
      <c r="S643">
        <v>34.581099999999999</v>
      </c>
      <c r="T643">
        <v>10.369199999999999</v>
      </c>
      <c r="U643">
        <v>17.463999999999999</v>
      </c>
      <c r="V643">
        <v>16.2563</v>
      </c>
      <c r="W643">
        <v>169.88579999999999</v>
      </c>
      <c r="X643">
        <v>169.89500000000001</v>
      </c>
      <c r="Y643">
        <v>11.1111</v>
      </c>
      <c r="Z643">
        <v>-3.1375000000000002</v>
      </c>
      <c r="AA643">
        <v>27.792100000000001</v>
      </c>
      <c r="AB643">
        <v>23.646000000000001</v>
      </c>
      <c r="AC643">
        <v>25.995799999999999</v>
      </c>
      <c r="AD643">
        <v>14.236800000000001</v>
      </c>
      <c r="AE643">
        <v>55.558599999999998</v>
      </c>
      <c r="AF643">
        <v>2.5796999999999999</v>
      </c>
      <c r="AG643">
        <v>38130</v>
      </c>
      <c r="AH643">
        <v>11.288499999999999</v>
      </c>
      <c r="AI643">
        <v>38.526000000000003</v>
      </c>
      <c r="AJ643">
        <v>31.36</v>
      </c>
      <c r="AK643">
        <v>38.5687</v>
      </c>
      <c r="AL643">
        <v>-6.1844000000000001</v>
      </c>
      <c r="AM643">
        <v>16.190799999999999</v>
      </c>
      <c r="AN643">
        <v>18.202999999999999</v>
      </c>
      <c r="AO643">
        <v>17.607900000000001</v>
      </c>
      <c r="AP643">
        <v>30.406500000000001</v>
      </c>
      <c r="AQ643">
        <v>30.633500000000002</v>
      </c>
      <c r="AR643">
        <v>10.756600000000001</v>
      </c>
      <c r="AS643">
        <v>8.5621000000000009</v>
      </c>
      <c r="AT643">
        <v>18.0746</v>
      </c>
      <c r="AU643">
        <v>20.973199999999999</v>
      </c>
      <c r="AV643">
        <v>18.389700000000001</v>
      </c>
      <c r="AW643">
        <v>12.784800000000001</v>
      </c>
      <c r="AX643">
        <v>23.0291</v>
      </c>
      <c r="AY643">
        <v>16.348500000000001</v>
      </c>
      <c r="AZ643">
        <v>104.84229999999999</v>
      </c>
      <c r="BA643">
        <v>176.5745</v>
      </c>
      <c r="BB643">
        <v>14.169600000000001</v>
      </c>
      <c r="BC643">
        <v>19.993099999999998</v>
      </c>
      <c r="BD643">
        <v>14.104900000000001</v>
      </c>
      <c r="BE643">
        <v>8.4400999999999993</v>
      </c>
      <c r="BF643">
        <v>10.369199999999999</v>
      </c>
      <c r="BG643">
        <v>17.463999999999999</v>
      </c>
      <c r="BH643">
        <v>16.2563</v>
      </c>
      <c r="BI643">
        <v>169.88579999999999</v>
      </c>
      <c r="BJ643">
        <v>169.89500000000001</v>
      </c>
      <c r="BK643">
        <v>11.1111</v>
      </c>
      <c r="BL643">
        <v>-3.1375000000000002</v>
      </c>
      <c r="BM643">
        <v>27.792100000000001</v>
      </c>
      <c r="BN643">
        <v>23.646000000000001</v>
      </c>
      <c r="BO643">
        <v>25.995799999999999</v>
      </c>
      <c r="BP643">
        <v>14.236800000000001</v>
      </c>
      <c r="BQ643">
        <v>55.558599999999998</v>
      </c>
      <c r="BR643">
        <v>2.5796999999999999</v>
      </c>
      <c r="BS643">
        <v>38130</v>
      </c>
      <c r="BT643">
        <v>11.288499999999999</v>
      </c>
      <c r="BU643">
        <v>38.526000000000003</v>
      </c>
      <c r="BV643">
        <v>31.36</v>
      </c>
      <c r="BW643">
        <v>38.5687</v>
      </c>
      <c r="BX643">
        <v>-6.1844000000000001</v>
      </c>
      <c r="BY643">
        <v>19096</v>
      </c>
      <c r="BZ643">
        <v>3823</v>
      </c>
      <c r="CA643">
        <v>15273</v>
      </c>
      <c r="CB643">
        <v>1.1191</v>
      </c>
      <c r="CC643">
        <v>-1.1078999999999999</v>
      </c>
      <c r="CD643">
        <v>1.2000999999999999</v>
      </c>
      <c r="CE643">
        <v>-1.1880999999999999</v>
      </c>
      <c r="CF643">
        <v>13.2897</v>
      </c>
      <c r="CG643">
        <v>66.323599999999999</v>
      </c>
      <c r="CH643">
        <v>22.9404</v>
      </c>
      <c r="CI643">
        <v>17.827100000000002</v>
      </c>
      <c r="CJ643">
        <v>15.2172</v>
      </c>
      <c r="CK643">
        <v>28.682600000000001</v>
      </c>
      <c r="CL643">
        <v>22.289400000000001</v>
      </c>
      <c r="CM643">
        <v>19.026199999999999</v>
      </c>
      <c r="CN643">
        <v>-28.395700000000001</v>
      </c>
      <c r="CO643">
        <v>-39.656399999999998</v>
      </c>
      <c r="CP643">
        <v>17064</v>
      </c>
      <c r="CQ643">
        <v>14296</v>
      </c>
      <c r="CR643">
        <v>15912</v>
      </c>
      <c r="CS643">
        <v>2.1408999999999998</v>
      </c>
      <c r="CT643">
        <v>4.5601000000000003</v>
      </c>
      <c r="CU643">
        <v>2.8765999999999998</v>
      </c>
      <c r="CV643">
        <v>11.4893</v>
      </c>
      <c r="CW643">
        <v>4.8292999999999999</v>
      </c>
      <c r="CX643">
        <v>75.580600000000004</v>
      </c>
      <c r="CY643" t="s">
        <v>135</v>
      </c>
      <c r="CZ643" t="s">
        <v>135</v>
      </c>
      <c r="DA643" t="s">
        <v>135</v>
      </c>
      <c r="DB643" t="s">
        <v>135</v>
      </c>
      <c r="DC643" t="s">
        <v>135</v>
      </c>
      <c r="DD643" t="s">
        <v>135</v>
      </c>
      <c r="DE643">
        <v>16843</v>
      </c>
      <c r="DF643">
        <v>10</v>
      </c>
      <c r="DG643">
        <v>30</v>
      </c>
      <c r="DH643">
        <v>16803</v>
      </c>
      <c r="DI643">
        <v>0</v>
      </c>
    </row>
    <row r="644" spans="4:113" x14ac:dyDescent="0.3">
      <c r="E644" t="s">
        <v>78</v>
      </c>
      <c r="F644" t="s">
        <v>135</v>
      </c>
      <c r="G644" t="s">
        <v>135</v>
      </c>
      <c r="H644" t="s">
        <v>135</v>
      </c>
      <c r="I644" t="s">
        <v>135</v>
      </c>
      <c r="J644">
        <v>28.833300000000001</v>
      </c>
      <c r="K644">
        <v>27.235600000000002</v>
      </c>
      <c r="L644">
        <v>53.143599999999999</v>
      </c>
      <c r="M644">
        <v>24.224699999999999</v>
      </c>
      <c r="N644">
        <v>13.81</v>
      </c>
      <c r="O644">
        <v>13.8049</v>
      </c>
      <c r="P644">
        <v>13.8049</v>
      </c>
      <c r="Q644">
        <v>42.703299999999999</v>
      </c>
      <c r="R644" t="s">
        <v>135</v>
      </c>
      <c r="S644" t="s">
        <v>135</v>
      </c>
      <c r="T644">
        <v>18.462599999999998</v>
      </c>
      <c r="U644">
        <v>44.053800000000003</v>
      </c>
      <c r="V644">
        <v>43.700299999999999</v>
      </c>
      <c r="W644">
        <v>21.764499999999998</v>
      </c>
      <c r="X644">
        <v>21.505400000000002</v>
      </c>
      <c r="Y644" t="s">
        <v>135</v>
      </c>
      <c r="Z644" t="s">
        <v>135</v>
      </c>
      <c r="AA644" t="s">
        <v>135</v>
      </c>
      <c r="AB644" t="s">
        <v>135</v>
      </c>
      <c r="AC644" t="s">
        <v>135</v>
      </c>
      <c r="AD644" t="s">
        <v>135</v>
      </c>
      <c r="AE644" t="s">
        <v>135</v>
      </c>
      <c r="AF644" t="s">
        <v>135</v>
      </c>
      <c r="AG644" t="s">
        <v>135</v>
      </c>
      <c r="AH644" t="s">
        <v>135</v>
      </c>
      <c r="AI644" t="s">
        <v>135</v>
      </c>
      <c r="AJ644" t="s">
        <v>135</v>
      </c>
      <c r="AK644" t="s">
        <v>135</v>
      </c>
      <c r="AL644" t="s">
        <v>135</v>
      </c>
      <c r="AM644">
        <v>17.614599999999999</v>
      </c>
      <c r="AN644">
        <v>23.765999999999998</v>
      </c>
      <c r="AO644">
        <v>23.8035</v>
      </c>
      <c r="AP644">
        <v>11.3683</v>
      </c>
      <c r="AQ644">
        <v>11.7852</v>
      </c>
      <c r="AR644" t="s">
        <v>135</v>
      </c>
      <c r="AS644" t="s">
        <v>135</v>
      </c>
      <c r="AT644" t="s">
        <v>135</v>
      </c>
      <c r="AU644" t="s">
        <v>135</v>
      </c>
      <c r="AV644" t="s">
        <v>135</v>
      </c>
      <c r="AW644" t="s">
        <v>135</v>
      </c>
      <c r="AX644" t="s">
        <v>135</v>
      </c>
      <c r="AY644" t="s">
        <v>135</v>
      </c>
      <c r="AZ644" t="s">
        <v>135</v>
      </c>
      <c r="BA644" t="s">
        <v>135</v>
      </c>
      <c r="BB644" t="s">
        <v>135</v>
      </c>
      <c r="BC644" t="s">
        <v>135</v>
      </c>
      <c r="BD644" t="s">
        <v>135</v>
      </c>
      <c r="BE644" t="s">
        <v>135</v>
      </c>
      <c r="BF644">
        <v>3.2709999999999999</v>
      </c>
      <c r="BG644">
        <v>-8.3564000000000007</v>
      </c>
      <c r="BH644">
        <v>-9.6066000000000003</v>
      </c>
      <c r="BI644">
        <v>-4.2373000000000003</v>
      </c>
      <c r="BJ644">
        <v>-4.2373000000000003</v>
      </c>
      <c r="BK644" t="s">
        <v>135</v>
      </c>
      <c r="BL644" t="s">
        <v>135</v>
      </c>
      <c r="BM644" t="s">
        <v>135</v>
      </c>
      <c r="BN644" t="s">
        <v>135</v>
      </c>
      <c r="BO644" t="s">
        <v>135</v>
      </c>
      <c r="BP644" t="s">
        <v>135</v>
      </c>
      <c r="BQ644" t="s">
        <v>135</v>
      </c>
      <c r="BR644" t="s">
        <v>135</v>
      </c>
      <c r="BS644" t="s">
        <v>135</v>
      </c>
      <c r="BT644" t="s">
        <v>135</v>
      </c>
      <c r="BU644" t="s">
        <v>135</v>
      </c>
      <c r="BV644" t="s">
        <v>135</v>
      </c>
      <c r="BW644" t="s">
        <v>135</v>
      </c>
      <c r="BX644" t="s">
        <v>135</v>
      </c>
      <c r="BY644" t="s">
        <v>135</v>
      </c>
      <c r="BZ644" t="s">
        <v>135</v>
      </c>
      <c r="CA644" t="s">
        <v>135</v>
      </c>
      <c r="CB644" t="s">
        <v>135</v>
      </c>
      <c r="CC644" t="s">
        <v>135</v>
      </c>
      <c r="CD644" t="s">
        <v>135</v>
      </c>
      <c r="CE644" t="s">
        <v>135</v>
      </c>
      <c r="CF644">
        <v>60.42</v>
      </c>
      <c r="CG644" t="s">
        <v>135</v>
      </c>
      <c r="CH644" t="s">
        <v>135</v>
      </c>
      <c r="CI644" t="s">
        <v>135</v>
      </c>
      <c r="CJ644" t="s">
        <v>135</v>
      </c>
      <c r="CK644" t="s">
        <v>135</v>
      </c>
      <c r="CL644" t="s">
        <v>135</v>
      </c>
      <c r="CM644" t="s">
        <v>135</v>
      </c>
      <c r="CN644" t="s">
        <v>135</v>
      </c>
      <c r="CO644" t="s">
        <v>135</v>
      </c>
      <c r="CP644">
        <v>4531.5</v>
      </c>
      <c r="CQ644" t="s">
        <v>135</v>
      </c>
      <c r="CR644">
        <v>4280.3999999999996</v>
      </c>
      <c r="CS644" t="s">
        <v>135</v>
      </c>
      <c r="CT644" t="s">
        <v>135</v>
      </c>
      <c r="CU644" t="s">
        <v>135</v>
      </c>
      <c r="CV644" t="s">
        <v>135</v>
      </c>
      <c r="CW644" t="s">
        <v>135</v>
      </c>
      <c r="CX644" t="s">
        <v>135</v>
      </c>
      <c r="CY644" t="s">
        <v>135</v>
      </c>
      <c r="CZ644" t="s">
        <v>135</v>
      </c>
      <c r="DA644" t="s">
        <v>135</v>
      </c>
      <c r="DB644" t="s">
        <v>135</v>
      </c>
      <c r="DC644" t="s">
        <v>135</v>
      </c>
      <c r="DD644" t="s">
        <v>135</v>
      </c>
      <c r="DE644" t="s">
        <v>135</v>
      </c>
      <c r="DF644" t="s">
        <v>135</v>
      </c>
      <c r="DG644" t="s">
        <v>135</v>
      </c>
      <c r="DH644" t="s">
        <v>135</v>
      </c>
      <c r="DI644" t="s">
        <v>135</v>
      </c>
    </row>
    <row r="645" spans="4:113" x14ac:dyDescent="0.3">
      <c r="E645" t="s">
        <v>79</v>
      </c>
      <c r="F645">
        <v>20.114899999999999</v>
      </c>
      <c r="G645">
        <v>11.597099999999999</v>
      </c>
      <c r="H645">
        <v>15.477399999999999</v>
      </c>
      <c r="I645">
        <v>14.862299999999999</v>
      </c>
      <c r="J645">
        <v>28.855</v>
      </c>
      <c r="K645">
        <v>26.873799999999999</v>
      </c>
      <c r="L645">
        <v>36.828200000000002</v>
      </c>
      <c r="M645">
        <v>24.029800000000002</v>
      </c>
      <c r="N645">
        <v>14.061199999999999</v>
      </c>
      <c r="O645">
        <v>14.0601</v>
      </c>
      <c r="P645">
        <v>14.0601</v>
      </c>
      <c r="Q645">
        <v>40.116799999999998</v>
      </c>
      <c r="R645" t="s">
        <v>135</v>
      </c>
      <c r="S645" t="s">
        <v>135</v>
      </c>
      <c r="T645">
        <v>22.983599999999999</v>
      </c>
      <c r="U645">
        <v>36.428800000000003</v>
      </c>
      <c r="V645">
        <v>34.427900000000001</v>
      </c>
      <c r="W645">
        <v>27.047899999999998</v>
      </c>
      <c r="X645">
        <v>27.179500000000001</v>
      </c>
      <c r="Y645" t="s">
        <v>135</v>
      </c>
      <c r="Z645">
        <v>8.8275000000000006</v>
      </c>
      <c r="AA645">
        <v>5.3753000000000002</v>
      </c>
      <c r="AB645">
        <v>8.9038000000000004</v>
      </c>
      <c r="AC645">
        <v>11.954599999999999</v>
      </c>
      <c r="AD645">
        <v>8.6181000000000001</v>
      </c>
      <c r="AE645">
        <v>18.027899999999999</v>
      </c>
      <c r="AF645">
        <v>0.78539999999999999</v>
      </c>
      <c r="AG645" t="s">
        <v>135</v>
      </c>
      <c r="AH645">
        <v>205150.53760000001</v>
      </c>
      <c r="AI645">
        <v>-18.3569</v>
      </c>
      <c r="AJ645">
        <v>12.8597</v>
      </c>
      <c r="AK645">
        <v>21.976400000000002</v>
      </c>
      <c r="AL645" t="s">
        <v>135</v>
      </c>
      <c r="AM645">
        <v>18.736899999999999</v>
      </c>
      <c r="AN645">
        <v>18.707000000000001</v>
      </c>
      <c r="AO645">
        <v>17.932600000000001</v>
      </c>
      <c r="AP645">
        <v>7.7747000000000002</v>
      </c>
      <c r="AQ645">
        <v>7.8864000000000001</v>
      </c>
      <c r="AR645" t="s">
        <v>135</v>
      </c>
      <c r="AS645">
        <v>13.149800000000001</v>
      </c>
      <c r="AT645">
        <v>19.508800000000001</v>
      </c>
      <c r="AU645">
        <v>-9.7055000000000007</v>
      </c>
      <c r="AV645">
        <v>16.433199999999999</v>
      </c>
      <c r="AW645">
        <v>11.6175</v>
      </c>
      <c r="AX645">
        <v>23.390799999999999</v>
      </c>
      <c r="AY645" t="s">
        <v>135</v>
      </c>
      <c r="AZ645" t="s">
        <v>135</v>
      </c>
      <c r="BA645">
        <v>295.20319999999998</v>
      </c>
      <c r="BB645">
        <v>8.6965000000000003</v>
      </c>
      <c r="BC645">
        <v>15.9579</v>
      </c>
      <c r="BD645">
        <v>8.7555999999999994</v>
      </c>
      <c r="BE645" t="s">
        <v>135</v>
      </c>
      <c r="BF645">
        <v>7.8784999999999998</v>
      </c>
      <c r="BG645">
        <v>43.9221</v>
      </c>
      <c r="BH645">
        <v>44.731700000000004</v>
      </c>
      <c r="BI645">
        <v>9.8727999999999998</v>
      </c>
      <c r="BJ645">
        <v>9.7345000000000006</v>
      </c>
      <c r="BK645" t="s">
        <v>135</v>
      </c>
      <c r="BL645" t="s">
        <v>135</v>
      </c>
      <c r="BM645" t="s">
        <v>135</v>
      </c>
      <c r="BN645" t="s">
        <v>135</v>
      </c>
      <c r="BO645" t="s">
        <v>135</v>
      </c>
      <c r="BP645" t="s">
        <v>135</v>
      </c>
      <c r="BQ645" t="s">
        <v>135</v>
      </c>
      <c r="BR645" t="s">
        <v>135</v>
      </c>
      <c r="BS645" t="s">
        <v>135</v>
      </c>
      <c r="BT645" t="s">
        <v>135</v>
      </c>
      <c r="BU645" t="s">
        <v>135</v>
      </c>
      <c r="BV645" t="s">
        <v>135</v>
      </c>
      <c r="BW645" t="s">
        <v>135</v>
      </c>
      <c r="BX645" t="s">
        <v>135</v>
      </c>
      <c r="BY645">
        <v>19088.3</v>
      </c>
      <c r="BZ645" t="s">
        <v>135</v>
      </c>
      <c r="CA645">
        <v>19088.3</v>
      </c>
      <c r="CB645">
        <v>1.0888</v>
      </c>
      <c r="CC645">
        <v>0.20519999999999999</v>
      </c>
      <c r="CD645">
        <v>1.1548</v>
      </c>
      <c r="CE645">
        <v>0.21759999999999999</v>
      </c>
      <c r="CF645">
        <v>57.218699999999998</v>
      </c>
      <c r="CG645">
        <v>59.979199999999999</v>
      </c>
      <c r="CH645">
        <v>38.256500000000003</v>
      </c>
      <c r="CI645">
        <v>27.6707</v>
      </c>
      <c r="CJ645">
        <v>22.957799999999999</v>
      </c>
      <c r="CK645">
        <v>38.256500000000003</v>
      </c>
      <c r="CL645">
        <v>27.6707</v>
      </c>
      <c r="CM645">
        <v>22.957799999999999</v>
      </c>
      <c r="CN645">
        <v>7.2095000000000002</v>
      </c>
      <c r="CO645">
        <v>6.7245999999999997</v>
      </c>
      <c r="CP645">
        <v>4892.2</v>
      </c>
      <c r="CQ645" t="s">
        <v>135</v>
      </c>
      <c r="CR645">
        <v>4556.3</v>
      </c>
      <c r="CS645">
        <v>1.1863999999999999</v>
      </c>
      <c r="CT645">
        <v>4.5118999999999998</v>
      </c>
      <c r="CU645">
        <v>2.4910000000000001</v>
      </c>
      <c r="CV645">
        <v>12.7506</v>
      </c>
      <c r="CW645">
        <v>3.9</v>
      </c>
      <c r="CX645">
        <v>93.845500000000001</v>
      </c>
      <c r="CY645" t="s">
        <v>135</v>
      </c>
      <c r="CZ645" t="s">
        <v>135</v>
      </c>
      <c r="DA645" t="s">
        <v>135</v>
      </c>
      <c r="DB645" t="s">
        <v>135</v>
      </c>
      <c r="DC645" t="s">
        <v>135</v>
      </c>
      <c r="DD645" t="s">
        <v>135</v>
      </c>
      <c r="DE645">
        <v>14481.3</v>
      </c>
      <c r="DF645" t="s">
        <v>135</v>
      </c>
      <c r="DG645" t="s">
        <v>135</v>
      </c>
      <c r="DH645" t="s">
        <v>135</v>
      </c>
      <c r="DI645" t="s">
        <v>135</v>
      </c>
    </row>
    <row r="646" spans="4:113" x14ac:dyDescent="0.3">
      <c r="E646" t="s">
        <v>80</v>
      </c>
      <c r="F646" t="s">
        <v>135</v>
      </c>
      <c r="G646" t="s">
        <v>135</v>
      </c>
      <c r="H646" t="s">
        <v>135</v>
      </c>
      <c r="I646" t="s">
        <v>135</v>
      </c>
      <c r="J646">
        <v>31.467500000000001</v>
      </c>
      <c r="K646">
        <v>29.948399999999999</v>
      </c>
      <c r="L646">
        <v>152.42089999999999</v>
      </c>
      <c r="M646">
        <v>28.2456</v>
      </c>
      <c r="N646">
        <v>15.3009</v>
      </c>
      <c r="O646">
        <v>15.301500000000001</v>
      </c>
      <c r="P646">
        <v>15.301500000000001</v>
      </c>
      <c r="Q646">
        <v>44.943600000000004</v>
      </c>
      <c r="R646" t="s">
        <v>135</v>
      </c>
      <c r="S646" t="s">
        <v>135</v>
      </c>
      <c r="T646">
        <v>3.3871000000000002</v>
      </c>
      <c r="U646">
        <v>20.102</v>
      </c>
      <c r="V646">
        <v>20.010300000000001</v>
      </c>
      <c r="W646">
        <v>8.6416000000000004</v>
      </c>
      <c r="X646">
        <v>8.75</v>
      </c>
      <c r="Y646" t="s">
        <v>135</v>
      </c>
      <c r="Z646" t="s">
        <v>135</v>
      </c>
      <c r="AA646" t="s">
        <v>135</v>
      </c>
      <c r="AB646" t="s">
        <v>135</v>
      </c>
      <c r="AC646" t="s">
        <v>135</v>
      </c>
      <c r="AD646" t="s">
        <v>135</v>
      </c>
      <c r="AE646" t="s">
        <v>135</v>
      </c>
      <c r="AF646" t="s">
        <v>135</v>
      </c>
      <c r="AG646" t="s">
        <v>135</v>
      </c>
      <c r="AH646" t="s">
        <v>135</v>
      </c>
      <c r="AI646" t="s">
        <v>135</v>
      </c>
      <c r="AJ646" t="s">
        <v>135</v>
      </c>
      <c r="AK646" t="s">
        <v>135</v>
      </c>
      <c r="AL646" t="s">
        <v>135</v>
      </c>
      <c r="AM646">
        <v>16.775700000000001</v>
      </c>
      <c r="AN646">
        <v>19.021100000000001</v>
      </c>
      <c r="AO646">
        <v>18.676100000000002</v>
      </c>
      <c r="AP646">
        <v>12.475999999999999</v>
      </c>
      <c r="AQ646">
        <v>12.493399999999999</v>
      </c>
      <c r="AR646" t="s">
        <v>135</v>
      </c>
      <c r="AS646" t="s">
        <v>135</v>
      </c>
      <c r="AT646" t="s">
        <v>135</v>
      </c>
      <c r="AU646" t="s">
        <v>135</v>
      </c>
      <c r="AV646" t="s">
        <v>135</v>
      </c>
      <c r="AW646" t="s">
        <v>135</v>
      </c>
      <c r="AX646" t="s">
        <v>135</v>
      </c>
      <c r="AY646" t="s">
        <v>135</v>
      </c>
      <c r="AZ646" t="s">
        <v>135</v>
      </c>
      <c r="BA646" t="s">
        <v>135</v>
      </c>
      <c r="BB646" t="s">
        <v>135</v>
      </c>
      <c r="BC646" t="s">
        <v>135</v>
      </c>
      <c r="BD646" t="s">
        <v>135</v>
      </c>
      <c r="BE646" t="s">
        <v>135</v>
      </c>
      <c r="BF646">
        <v>-3.3218999999999999</v>
      </c>
      <c r="BG646">
        <v>5.4310999999999998</v>
      </c>
      <c r="BH646">
        <v>7.7386999999999997</v>
      </c>
      <c r="BI646">
        <v>5.2144000000000004</v>
      </c>
      <c r="BJ646">
        <v>5.2419000000000002</v>
      </c>
      <c r="BK646" t="s">
        <v>135</v>
      </c>
      <c r="BL646" t="s">
        <v>135</v>
      </c>
      <c r="BM646" t="s">
        <v>135</v>
      </c>
      <c r="BN646" t="s">
        <v>135</v>
      </c>
      <c r="BO646" t="s">
        <v>135</v>
      </c>
      <c r="BP646" t="s">
        <v>135</v>
      </c>
      <c r="BQ646" t="s">
        <v>135</v>
      </c>
      <c r="BR646" t="s">
        <v>135</v>
      </c>
      <c r="BS646" t="s">
        <v>135</v>
      </c>
      <c r="BT646" t="s">
        <v>135</v>
      </c>
      <c r="BU646" t="s">
        <v>135</v>
      </c>
      <c r="BV646" t="s">
        <v>135</v>
      </c>
      <c r="BW646" t="s">
        <v>135</v>
      </c>
      <c r="BX646" t="s">
        <v>135</v>
      </c>
      <c r="BY646" t="s">
        <v>135</v>
      </c>
      <c r="BZ646" t="s">
        <v>135</v>
      </c>
      <c r="CA646" t="s">
        <v>135</v>
      </c>
      <c r="CB646" t="s">
        <v>135</v>
      </c>
      <c r="CC646" t="s">
        <v>135</v>
      </c>
      <c r="CD646" t="s">
        <v>135</v>
      </c>
      <c r="CE646" t="s">
        <v>135</v>
      </c>
      <c r="CF646">
        <v>57.182899999999997</v>
      </c>
      <c r="CG646" t="s">
        <v>135</v>
      </c>
      <c r="CH646" t="s">
        <v>135</v>
      </c>
      <c r="CI646" t="s">
        <v>135</v>
      </c>
      <c r="CJ646" t="s">
        <v>135</v>
      </c>
      <c r="CK646" t="s">
        <v>135</v>
      </c>
      <c r="CL646" t="s">
        <v>135</v>
      </c>
      <c r="CM646" t="s">
        <v>135</v>
      </c>
      <c r="CN646" t="s">
        <v>135</v>
      </c>
      <c r="CO646" t="s">
        <v>135</v>
      </c>
      <c r="CP646">
        <v>5157.8999999999996</v>
      </c>
      <c r="CQ646" t="s">
        <v>135</v>
      </c>
      <c r="CR646">
        <v>4908.8999999999996</v>
      </c>
      <c r="CS646" t="s">
        <v>135</v>
      </c>
      <c r="CT646" t="s">
        <v>135</v>
      </c>
      <c r="CU646" t="s">
        <v>135</v>
      </c>
      <c r="CV646" t="s">
        <v>135</v>
      </c>
      <c r="CW646" t="s">
        <v>135</v>
      </c>
      <c r="CX646" t="s">
        <v>135</v>
      </c>
      <c r="CY646" t="s">
        <v>135</v>
      </c>
      <c r="CZ646" t="s">
        <v>135</v>
      </c>
      <c r="DA646" t="s">
        <v>135</v>
      </c>
      <c r="DB646" t="s">
        <v>135</v>
      </c>
      <c r="DC646" t="s">
        <v>135</v>
      </c>
      <c r="DD646" t="s">
        <v>135</v>
      </c>
      <c r="DE646" t="s">
        <v>135</v>
      </c>
      <c r="DF646" t="s">
        <v>135</v>
      </c>
      <c r="DG646" t="s">
        <v>135</v>
      </c>
      <c r="DH646" t="s">
        <v>135</v>
      </c>
      <c r="DI646" t="s">
        <v>135</v>
      </c>
    </row>
    <row r="647" spans="4:113" x14ac:dyDescent="0.3">
      <c r="E647" t="s">
        <v>81</v>
      </c>
      <c r="F647">
        <v>38.770400000000002</v>
      </c>
      <c r="G647">
        <v>24.6815</v>
      </c>
      <c r="H647">
        <v>30.8247</v>
      </c>
      <c r="I647">
        <v>14.3443</v>
      </c>
      <c r="J647">
        <v>30.6751</v>
      </c>
      <c r="K647">
        <v>28.605</v>
      </c>
      <c r="L647" t="s">
        <v>135</v>
      </c>
      <c r="M647">
        <v>108.6829</v>
      </c>
      <c r="N647">
        <v>99.101399999999998</v>
      </c>
      <c r="O647">
        <v>99.1858</v>
      </c>
      <c r="P647">
        <v>99.1858</v>
      </c>
      <c r="Q647">
        <v>8.8160000000000007</v>
      </c>
      <c r="R647" t="s">
        <v>135</v>
      </c>
      <c r="S647" t="s">
        <v>135</v>
      </c>
      <c r="T647">
        <v>0.40150000000000002</v>
      </c>
      <c r="U647">
        <v>-5.2115999999999998</v>
      </c>
      <c r="V647">
        <v>-7.6996000000000002</v>
      </c>
      <c r="W647">
        <v>568.9221</v>
      </c>
      <c r="X647">
        <v>568.64409999999998</v>
      </c>
      <c r="Y647" t="s">
        <v>135</v>
      </c>
      <c r="Z647">
        <v>-3.1375000000000002</v>
      </c>
      <c r="AA647">
        <v>27.792100000000001</v>
      </c>
      <c r="AB647">
        <v>23.646000000000001</v>
      </c>
      <c r="AC647">
        <v>25.995799999999999</v>
      </c>
      <c r="AD647">
        <v>14.236800000000001</v>
      </c>
      <c r="AE647">
        <v>55.558599999999998</v>
      </c>
      <c r="AF647">
        <v>2.5796999999999999</v>
      </c>
      <c r="AG647">
        <v>38130</v>
      </c>
      <c r="AH647">
        <v>11.288499999999999</v>
      </c>
      <c r="AI647">
        <v>38.526000000000003</v>
      </c>
      <c r="AJ647">
        <v>31.36</v>
      </c>
      <c r="AK647">
        <v>38.5687</v>
      </c>
      <c r="AL647" t="s">
        <v>135</v>
      </c>
      <c r="AM647">
        <v>11.9468</v>
      </c>
      <c r="AN647">
        <v>23.981000000000002</v>
      </c>
      <c r="AO647">
        <v>23.542300000000001</v>
      </c>
      <c r="AP647">
        <v>56.745699999999999</v>
      </c>
      <c r="AQ647">
        <v>56.692399999999999</v>
      </c>
      <c r="AR647" t="s">
        <v>135</v>
      </c>
      <c r="AS647">
        <v>8.5621000000000009</v>
      </c>
      <c r="AT647">
        <v>18.0746</v>
      </c>
      <c r="AU647">
        <v>20.973199999999999</v>
      </c>
      <c r="AV647">
        <v>18.389700000000001</v>
      </c>
      <c r="AW647">
        <v>12.784800000000001</v>
      </c>
      <c r="AX647">
        <v>23.0291</v>
      </c>
      <c r="AY647">
        <v>16.348500000000001</v>
      </c>
      <c r="AZ647">
        <v>104.84229999999999</v>
      </c>
      <c r="BA647">
        <v>176.5745</v>
      </c>
      <c r="BB647">
        <v>14.169600000000001</v>
      </c>
      <c r="BC647">
        <v>19.993099999999998</v>
      </c>
      <c r="BD647">
        <v>14.104900000000001</v>
      </c>
      <c r="BE647" t="s">
        <v>135</v>
      </c>
      <c r="BF647">
        <v>-6.7823000000000002</v>
      </c>
      <c r="BG647">
        <v>-9.1296999999999997</v>
      </c>
      <c r="BH647">
        <v>-10.963799999999999</v>
      </c>
      <c r="BI647">
        <v>504.24619999999999</v>
      </c>
      <c r="BJ647">
        <v>504.59769999999997</v>
      </c>
      <c r="BK647" t="s">
        <v>135</v>
      </c>
      <c r="BL647" t="s">
        <v>135</v>
      </c>
      <c r="BM647" t="s">
        <v>135</v>
      </c>
      <c r="BN647" t="s">
        <v>135</v>
      </c>
      <c r="BO647" t="s">
        <v>135</v>
      </c>
      <c r="BP647" t="s">
        <v>135</v>
      </c>
      <c r="BQ647" t="s">
        <v>135</v>
      </c>
      <c r="BR647" t="s">
        <v>135</v>
      </c>
      <c r="BS647" t="s">
        <v>135</v>
      </c>
      <c r="BT647" t="s">
        <v>135</v>
      </c>
      <c r="BU647" t="s">
        <v>135</v>
      </c>
      <c r="BV647" t="s">
        <v>135</v>
      </c>
      <c r="BW647" t="s">
        <v>135</v>
      </c>
      <c r="BX647" t="s">
        <v>135</v>
      </c>
      <c r="BY647">
        <v>19096</v>
      </c>
      <c r="BZ647">
        <v>3823</v>
      </c>
      <c r="CA647">
        <v>15273</v>
      </c>
      <c r="CB647">
        <v>1.0528999999999999</v>
      </c>
      <c r="CC647">
        <v>-1.0424</v>
      </c>
      <c r="CD647">
        <v>1.1244000000000001</v>
      </c>
      <c r="CE647">
        <v>-1.1131</v>
      </c>
      <c r="CF647">
        <v>4.1784999999999997</v>
      </c>
      <c r="CG647">
        <v>66.323599999999999</v>
      </c>
      <c r="CH647">
        <v>22.9404</v>
      </c>
      <c r="CI647">
        <v>17.827100000000002</v>
      </c>
      <c r="CJ647">
        <v>15.2172</v>
      </c>
      <c r="CK647">
        <v>28.682600000000001</v>
      </c>
      <c r="CL647">
        <v>22.289400000000001</v>
      </c>
      <c r="CM647">
        <v>19.026199999999999</v>
      </c>
      <c r="CN647">
        <v>-28.395700000000001</v>
      </c>
      <c r="CO647">
        <v>-39.656399999999998</v>
      </c>
      <c r="CP647">
        <v>4687</v>
      </c>
      <c r="CQ647" t="s">
        <v>135</v>
      </c>
      <c r="CR647">
        <v>4370.7</v>
      </c>
      <c r="CS647">
        <v>2.1408999999999998</v>
      </c>
      <c r="CT647">
        <v>4.5601000000000003</v>
      </c>
      <c r="CU647">
        <v>2.8765999999999998</v>
      </c>
      <c r="CV647">
        <v>11.4893</v>
      </c>
      <c r="CW647">
        <v>4.8483999999999998</v>
      </c>
      <c r="CX647">
        <v>75.281899999999993</v>
      </c>
      <c r="CY647" t="s">
        <v>135</v>
      </c>
      <c r="CZ647" t="s">
        <v>135</v>
      </c>
      <c r="DA647" t="s">
        <v>135</v>
      </c>
      <c r="DB647" t="s">
        <v>135</v>
      </c>
      <c r="DC647" t="s">
        <v>135</v>
      </c>
      <c r="DD647" t="s">
        <v>135</v>
      </c>
      <c r="DE647">
        <v>16843</v>
      </c>
      <c r="DF647">
        <v>10</v>
      </c>
      <c r="DG647">
        <v>30</v>
      </c>
      <c r="DH647">
        <v>16803</v>
      </c>
      <c r="DI647">
        <v>0</v>
      </c>
    </row>
    <row r="648" spans="4:113" x14ac:dyDescent="0.3">
      <c r="D648" t="s">
        <v>85</v>
      </c>
      <c r="E648" t="s">
        <v>77</v>
      </c>
      <c r="F648">
        <v>20.7562</v>
      </c>
      <c r="G648">
        <v>13.8316</v>
      </c>
      <c r="H648">
        <v>17.435199999999998</v>
      </c>
      <c r="I648">
        <v>13.4765</v>
      </c>
      <c r="J648">
        <v>31.4054</v>
      </c>
      <c r="K648">
        <v>28.6417</v>
      </c>
      <c r="L648">
        <v>103.5689</v>
      </c>
      <c r="M648">
        <v>35.1905</v>
      </c>
      <c r="N648">
        <v>22.4283</v>
      </c>
      <c r="O648">
        <v>22.448</v>
      </c>
      <c r="P648">
        <v>22.448</v>
      </c>
      <c r="Q648">
        <v>36.265999999999998</v>
      </c>
      <c r="R648">
        <v>18.829000000000001</v>
      </c>
      <c r="S648">
        <v>16.847999999999999</v>
      </c>
      <c r="T648">
        <v>4.5342000000000002</v>
      </c>
      <c r="U648">
        <v>21.266999999999999</v>
      </c>
      <c r="V648">
        <v>18.6023</v>
      </c>
      <c r="W648">
        <v>-33.4129</v>
      </c>
      <c r="X648">
        <v>-33.419800000000002</v>
      </c>
      <c r="Y648">
        <v>16</v>
      </c>
      <c r="Z648">
        <v>23.7317</v>
      </c>
      <c r="AA648">
        <v>54.922800000000002</v>
      </c>
      <c r="AB648">
        <v>10.4689</v>
      </c>
      <c r="AC648">
        <v>8.5030000000000001</v>
      </c>
      <c r="AD648">
        <v>43.299900000000001</v>
      </c>
      <c r="AE648">
        <v>-2.9138999999999999</v>
      </c>
      <c r="AF648">
        <v>37.804099999999998</v>
      </c>
      <c r="AG648">
        <v>-0.34</v>
      </c>
      <c r="AH648">
        <v>-30.724900000000002</v>
      </c>
      <c r="AI648">
        <v>13.218500000000001</v>
      </c>
      <c r="AJ648">
        <v>2.3340000000000001</v>
      </c>
      <c r="AK648">
        <v>13.022600000000001</v>
      </c>
      <c r="AL648">
        <v>-20.8874</v>
      </c>
      <c r="AM648">
        <v>12.3354</v>
      </c>
      <c r="AN648">
        <v>16.7422</v>
      </c>
      <c r="AO648">
        <v>15.5943</v>
      </c>
      <c r="AP648">
        <v>15.4998</v>
      </c>
      <c r="AQ648">
        <v>15.4453</v>
      </c>
      <c r="AR648">
        <v>7.7144000000000004</v>
      </c>
      <c r="AS648">
        <v>9.2111999999999998</v>
      </c>
      <c r="AT648">
        <v>24.613900000000001</v>
      </c>
      <c r="AU648">
        <v>19.485099999999999</v>
      </c>
      <c r="AV648">
        <v>17.009599999999999</v>
      </c>
      <c r="AW648">
        <v>14.7301</v>
      </c>
      <c r="AX648">
        <v>19.335100000000001</v>
      </c>
      <c r="AY648">
        <v>27.072299999999998</v>
      </c>
      <c r="AZ648">
        <v>89.968199999999996</v>
      </c>
      <c r="BA648">
        <v>145.54050000000001</v>
      </c>
      <c r="BB648">
        <v>14.115600000000001</v>
      </c>
      <c r="BC648">
        <v>18.2791</v>
      </c>
      <c r="BD648">
        <v>13.9373</v>
      </c>
      <c r="BE648">
        <v>7.0998999999999999</v>
      </c>
      <c r="BF648">
        <v>4.5342000000000002</v>
      </c>
      <c r="BG648">
        <v>21.266999999999999</v>
      </c>
      <c r="BH648">
        <v>18.6023</v>
      </c>
      <c r="BI648">
        <v>-33.4129</v>
      </c>
      <c r="BJ648">
        <v>-33.419800000000002</v>
      </c>
      <c r="BK648">
        <v>16</v>
      </c>
      <c r="BL648">
        <v>23.7317</v>
      </c>
      <c r="BM648">
        <v>54.922800000000002</v>
      </c>
      <c r="BN648">
        <v>10.4689</v>
      </c>
      <c r="BO648">
        <v>8.5030000000000001</v>
      </c>
      <c r="BP648">
        <v>43.299900000000001</v>
      </c>
      <c r="BQ648">
        <v>-2.9138999999999999</v>
      </c>
      <c r="BR648">
        <v>37.804099999999998</v>
      </c>
      <c r="BS648">
        <v>-0.34</v>
      </c>
      <c r="BT648">
        <v>-30.724900000000002</v>
      </c>
      <c r="BU648">
        <v>13.218500000000001</v>
      </c>
      <c r="BV648">
        <v>2.3340000000000001</v>
      </c>
      <c r="BW648">
        <v>13.022600000000001</v>
      </c>
      <c r="BX648">
        <v>-20.8874</v>
      </c>
      <c r="BY648">
        <v>15262</v>
      </c>
      <c r="BZ648">
        <v>3810</v>
      </c>
      <c r="CA648">
        <v>11452</v>
      </c>
      <c r="CB648">
        <v>0.73750000000000004</v>
      </c>
      <c r="CC648">
        <v>-0.70209999999999995</v>
      </c>
      <c r="CD648">
        <v>0.80869999999999997</v>
      </c>
      <c r="CE648">
        <v>-0.76980000000000004</v>
      </c>
      <c r="CF648">
        <v>14.4808</v>
      </c>
      <c r="CG648">
        <v>67.941599999999994</v>
      </c>
      <c r="CH648">
        <v>15.116400000000001</v>
      </c>
      <c r="CI648">
        <v>12.5817</v>
      </c>
      <c r="CJ648">
        <v>10.2896</v>
      </c>
      <c r="CK648">
        <v>20.145499999999998</v>
      </c>
      <c r="CL648">
        <v>16.767600000000002</v>
      </c>
      <c r="CM648">
        <v>13.712899999999999</v>
      </c>
      <c r="CN648">
        <v>-19.176600000000001</v>
      </c>
      <c r="CO648">
        <v>-23.726500000000001</v>
      </c>
      <c r="CP648">
        <v>20693</v>
      </c>
      <c r="CQ648">
        <v>18950</v>
      </c>
      <c r="CR648">
        <v>18872</v>
      </c>
      <c r="CS648">
        <v>1.2844</v>
      </c>
      <c r="CT648">
        <v>3.7035</v>
      </c>
      <c r="CU648">
        <v>1.9468000000000001</v>
      </c>
      <c r="CV648">
        <v>12.204599999999999</v>
      </c>
      <c r="CW648">
        <v>4.7431999999999999</v>
      </c>
      <c r="CX648">
        <v>76.952500000000001</v>
      </c>
      <c r="CY648" t="s">
        <v>135</v>
      </c>
      <c r="CZ648" t="s">
        <v>135</v>
      </c>
      <c r="DA648" t="s">
        <v>135</v>
      </c>
      <c r="DB648" t="s">
        <v>135</v>
      </c>
      <c r="DC648" t="s">
        <v>135</v>
      </c>
      <c r="DD648" t="s">
        <v>135</v>
      </c>
      <c r="DE648">
        <v>26278</v>
      </c>
      <c r="DF648">
        <v>9</v>
      </c>
      <c r="DG648">
        <v>2041</v>
      </c>
      <c r="DH648">
        <v>24228</v>
      </c>
      <c r="DI648">
        <v>0</v>
      </c>
    </row>
    <row r="649" spans="4:113" x14ac:dyDescent="0.3">
      <c r="E649" t="s">
        <v>78</v>
      </c>
      <c r="F649" t="s">
        <v>135</v>
      </c>
      <c r="G649" t="s">
        <v>135</v>
      </c>
      <c r="H649" t="s">
        <v>135</v>
      </c>
      <c r="I649" t="s">
        <v>135</v>
      </c>
      <c r="J649">
        <v>27.9922</v>
      </c>
      <c r="K649">
        <v>25.973700000000001</v>
      </c>
      <c r="L649" t="s">
        <v>135</v>
      </c>
      <c r="M649">
        <v>31.5442</v>
      </c>
      <c r="N649">
        <v>16.3246</v>
      </c>
      <c r="O649">
        <v>16.3337</v>
      </c>
      <c r="P649">
        <v>16.3337</v>
      </c>
      <c r="Q649">
        <v>48.2485</v>
      </c>
      <c r="R649" t="s">
        <v>135</v>
      </c>
      <c r="S649" t="s">
        <v>135</v>
      </c>
      <c r="T649">
        <v>-1.996</v>
      </c>
      <c r="U649">
        <v>26.838699999999999</v>
      </c>
      <c r="V649">
        <v>27.079799999999999</v>
      </c>
      <c r="W649">
        <v>15.956899999999999</v>
      </c>
      <c r="X649">
        <v>15.9292</v>
      </c>
      <c r="Y649" t="s">
        <v>135</v>
      </c>
      <c r="Z649" t="s">
        <v>135</v>
      </c>
      <c r="AA649" t="s">
        <v>135</v>
      </c>
      <c r="AB649" t="s">
        <v>135</v>
      </c>
      <c r="AC649" t="s">
        <v>135</v>
      </c>
      <c r="AD649" t="s">
        <v>135</v>
      </c>
      <c r="AE649" t="s">
        <v>135</v>
      </c>
      <c r="AF649" t="s">
        <v>135</v>
      </c>
      <c r="AG649" t="s">
        <v>135</v>
      </c>
      <c r="AH649" t="s">
        <v>135</v>
      </c>
      <c r="AI649" t="s">
        <v>135</v>
      </c>
      <c r="AJ649" t="s">
        <v>135</v>
      </c>
      <c r="AK649" t="s">
        <v>135</v>
      </c>
      <c r="AL649" t="s">
        <v>135</v>
      </c>
      <c r="AM649">
        <v>12.8124</v>
      </c>
      <c r="AN649">
        <v>13.073600000000001</v>
      </c>
      <c r="AO649">
        <v>12.3622</v>
      </c>
      <c r="AP649">
        <v>9.7289999999999992</v>
      </c>
      <c r="AQ649">
        <v>9.6890999999999998</v>
      </c>
      <c r="AR649" t="s">
        <v>135</v>
      </c>
      <c r="AS649" t="s">
        <v>135</v>
      </c>
      <c r="AT649" t="s">
        <v>135</v>
      </c>
      <c r="AU649" t="s">
        <v>135</v>
      </c>
      <c r="AV649" t="s">
        <v>135</v>
      </c>
      <c r="AW649" t="s">
        <v>135</v>
      </c>
      <c r="AX649" t="s">
        <v>135</v>
      </c>
      <c r="AY649" t="s">
        <v>135</v>
      </c>
      <c r="AZ649" t="s">
        <v>135</v>
      </c>
      <c r="BA649" t="s">
        <v>135</v>
      </c>
      <c r="BB649" t="s">
        <v>135</v>
      </c>
      <c r="BC649" t="s">
        <v>135</v>
      </c>
      <c r="BD649" t="s">
        <v>135</v>
      </c>
      <c r="BE649" t="s">
        <v>135</v>
      </c>
      <c r="BF649">
        <v>0.80500000000000005</v>
      </c>
      <c r="BG649">
        <v>-16.398399999999999</v>
      </c>
      <c r="BH649">
        <v>-17.3583</v>
      </c>
      <c r="BI649">
        <v>-83.395799999999994</v>
      </c>
      <c r="BJ649">
        <v>-83.396699999999996</v>
      </c>
      <c r="BK649" t="s">
        <v>135</v>
      </c>
      <c r="BL649" t="s">
        <v>135</v>
      </c>
      <c r="BM649" t="s">
        <v>135</v>
      </c>
      <c r="BN649" t="s">
        <v>135</v>
      </c>
      <c r="BO649" t="s">
        <v>135</v>
      </c>
      <c r="BP649" t="s">
        <v>135</v>
      </c>
      <c r="BQ649" t="s">
        <v>135</v>
      </c>
      <c r="BR649" t="s">
        <v>135</v>
      </c>
      <c r="BS649" t="s">
        <v>135</v>
      </c>
      <c r="BT649" t="s">
        <v>135</v>
      </c>
      <c r="BU649" t="s">
        <v>135</v>
      </c>
      <c r="BV649" t="s">
        <v>135</v>
      </c>
      <c r="BW649" t="s">
        <v>135</v>
      </c>
      <c r="BX649" t="s">
        <v>135</v>
      </c>
      <c r="BY649" t="s">
        <v>135</v>
      </c>
      <c r="BZ649" t="s">
        <v>135</v>
      </c>
      <c r="CA649" t="s">
        <v>135</v>
      </c>
      <c r="CB649" t="s">
        <v>135</v>
      </c>
      <c r="CC649" t="s">
        <v>135</v>
      </c>
      <c r="CD649" t="s">
        <v>135</v>
      </c>
      <c r="CE649" t="s">
        <v>135</v>
      </c>
      <c r="CF649">
        <v>29.329899999999999</v>
      </c>
      <c r="CG649" t="s">
        <v>135</v>
      </c>
      <c r="CH649" t="s">
        <v>135</v>
      </c>
      <c r="CI649" t="s">
        <v>135</v>
      </c>
      <c r="CJ649" t="s">
        <v>135</v>
      </c>
      <c r="CK649" t="s">
        <v>135</v>
      </c>
      <c r="CL649" t="s">
        <v>135</v>
      </c>
      <c r="CM649" t="s">
        <v>135</v>
      </c>
      <c r="CN649" t="s">
        <v>135</v>
      </c>
      <c r="CO649" t="s">
        <v>135</v>
      </c>
      <c r="CP649">
        <v>4311.5</v>
      </c>
      <c r="CQ649" t="s">
        <v>135</v>
      </c>
      <c r="CR649">
        <v>4000.6</v>
      </c>
      <c r="CS649" t="s">
        <v>135</v>
      </c>
      <c r="CT649" t="s">
        <v>135</v>
      </c>
      <c r="CU649" t="s">
        <v>135</v>
      </c>
      <c r="CV649" t="s">
        <v>135</v>
      </c>
      <c r="CW649" t="s">
        <v>135</v>
      </c>
      <c r="CX649" t="s">
        <v>135</v>
      </c>
      <c r="CY649" t="s">
        <v>135</v>
      </c>
      <c r="CZ649" t="s">
        <v>135</v>
      </c>
      <c r="DA649" t="s">
        <v>135</v>
      </c>
      <c r="DB649" t="s">
        <v>135</v>
      </c>
      <c r="DC649" t="s">
        <v>135</v>
      </c>
      <c r="DD649" t="s">
        <v>135</v>
      </c>
      <c r="DE649" t="s">
        <v>135</v>
      </c>
      <c r="DF649" t="s">
        <v>135</v>
      </c>
      <c r="DG649" t="s">
        <v>135</v>
      </c>
      <c r="DH649" t="s">
        <v>135</v>
      </c>
      <c r="DI649" t="s">
        <v>135</v>
      </c>
    </row>
    <row r="650" spans="4:113" x14ac:dyDescent="0.3">
      <c r="E650" t="s">
        <v>79</v>
      </c>
      <c r="F650">
        <v>42.4876</v>
      </c>
      <c r="G650">
        <v>27.069400000000002</v>
      </c>
      <c r="H650">
        <v>34.351599999999998</v>
      </c>
      <c r="I650">
        <v>15.6775</v>
      </c>
      <c r="J650">
        <v>31.0458</v>
      </c>
      <c r="K650">
        <v>28.447900000000001</v>
      </c>
      <c r="L650">
        <v>-4.9122000000000003</v>
      </c>
      <c r="M650">
        <v>48.921300000000002</v>
      </c>
      <c r="N650">
        <v>37.344000000000001</v>
      </c>
      <c r="O650">
        <v>37.3673</v>
      </c>
      <c r="P650">
        <v>37.3673</v>
      </c>
      <c r="Q650">
        <v>23.665299999999998</v>
      </c>
      <c r="R650" t="s">
        <v>135</v>
      </c>
      <c r="S650" t="s">
        <v>135</v>
      </c>
      <c r="T650">
        <v>-6.6879</v>
      </c>
      <c r="U650">
        <v>0.39650000000000002</v>
      </c>
      <c r="V650">
        <v>-1.2224999999999999</v>
      </c>
      <c r="W650">
        <v>147.9948</v>
      </c>
      <c r="X650">
        <v>147.98390000000001</v>
      </c>
      <c r="Y650" t="s">
        <v>135</v>
      </c>
      <c r="Z650">
        <v>-1.5949</v>
      </c>
      <c r="AA650">
        <v>39.972200000000001</v>
      </c>
      <c r="AB650">
        <v>28.081099999999999</v>
      </c>
      <c r="AC650">
        <v>31.519600000000001</v>
      </c>
      <c r="AD650">
        <v>19.3414</v>
      </c>
      <c r="AE650">
        <v>37.492800000000003</v>
      </c>
      <c r="AF650">
        <v>8.4441000000000006</v>
      </c>
      <c r="AG650" t="s">
        <v>135</v>
      </c>
      <c r="AH650">
        <v>-17.249300000000002</v>
      </c>
      <c r="AI650">
        <v>46.1524</v>
      </c>
      <c r="AJ650">
        <v>28.608699999999999</v>
      </c>
      <c r="AK650">
        <v>45.925400000000003</v>
      </c>
      <c r="AL650" t="s">
        <v>135</v>
      </c>
      <c r="AM650">
        <v>10.657299999999999</v>
      </c>
      <c r="AN650">
        <v>17.680599999999998</v>
      </c>
      <c r="AO650">
        <v>16.6831</v>
      </c>
      <c r="AP650">
        <v>25.792400000000001</v>
      </c>
      <c r="AQ650">
        <v>25.6967</v>
      </c>
      <c r="AR650" t="s">
        <v>135</v>
      </c>
      <c r="AS650">
        <v>9.4143000000000008</v>
      </c>
      <c r="AT650">
        <v>21.730799999999999</v>
      </c>
      <c r="AU650">
        <v>19.175699999999999</v>
      </c>
      <c r="AV650">
        <v>19.192499999999999</v>
      </c>
      <c r="AW650">
        <v>16.1187</v>
      </c>
      <c r="AX650">
        <v>20.302800000000001</v>
      </c>
      <c r="AY650">
        <v>10.7331</v>
      </c>
      <c r="AZ650" t="s">
        <v>135</v>
      </c>
      <c r="BA650">
        <v>330.35910000000001</v>
      </c>
      <c r="BB650">
        <v>14.2355</v>
      </c>
      <c r="BC650">
        <v>18.7972</v>
      </c>
      <c r="BD650">
        <v>14.061299999999999</v>
      </c>
      <c r="BE650" t="s">
        <v>135</v>
      </c>
      <c r="BF650">
        <v>2.7138</v>
      </c>
      <c r="BG650">
        <v>13.9186</v>
      </c>
      <c r="BH650">
        <v>12.498100000000001</v>
      </c>
      <c r="BI650">
        <v>138.13489999999999</v>
      </c>
      <c r="BJ650">
        <v>137.45169999999999</v>
      </c>
      <c r="BK650" t="s">
        <v>135</v>
      </c>
      <c r="BL650" t="s">
        <v>135</v>
      </c>
      <c r="BM650" t="s">
        <v>135</v>
      </c>
      <c r="BN650" t="s">
        <v>135</v>
      </c>
      <c r="BO650" t="s">
        <v>135</v>
      </c>
      <c r="BP650" t="s">
        <v>135</v>
      </c>
      <c r="BQ650" t="s">
        <v>135</v>
      </c>
      <c r="BR650" t="s">
        <v>135</v>
      </c>
      <c r="BS650" t="s">
        <v>135</v>
      </c>
      <c r="BT650" t="s">
        <v>135</v>
      </c>
      <c r="BU650" t="s">
        <v>135</v>
      </c>
      <c r="BV650" t="s">
        <v>135</v>
      </c>
      <c r="BW650" t="s">
        <v>135</v>
      </c>
      <c r="BX650" t="s">
        <v>135</v>
      </c>
      <c r="BY650">
        <v>15795.7</v>
      </c>
      <c r="BZ650" t="s">
        <v>135</v>
      </c>
      <c r="CA650">
        <v>15795.7</v>
      </c>
      <c r="CB650">
        <v>0.8085</v>
      </c>
      <c r="CC650">
        <v>-0.67200000000000004</v>
      </c>
      <c r="CD650">
        <v>0.86550000000000005</v>
      </c>
      <c r="CE650">
        <v>-0.71940000000000004</v>
      </c>
      <c r="CF650">
        <v>1754.1429000000001</v>
      </c>
      <c r="CG650">
        <v>66.548900000000003</v>
      </c>
      <c r="CH650">
        <v>21.660599999999999</v>
      </c>
      <c r="CI650">
        <v>17.804099999999998</v>
      </c>
      <c r="CJ650">
        <v>14.444800000000001</v>
      </c>
      <c r="CK650">
        <v>21.660599999999999</v>
      </c>
      <c r="CL650">
        <v>17.804099999999998</v>
      </c>
      <c r="CM650">
        <v>14.444800000000001</v>
      </c>
      <c r="CN650">
        <v>-18.003900000000002</v>
      </c>
      <c r="CO650">
        <v>-21.957000000000001</v>
      </c>
      <c r="CP650">
        <v>4911.6000000000004</v>
      </c>
      <c r="CQ650" t="s">
        <v>135</v>
      </c>
      <c r="CR650">
        <v>4500.6000000000004</v>
      </c>
      <c r="CS650">
        <v>1.4621</v>
      </c>
      <c r="CT650">
        <v>4.1870000000000003</v>
      </c>
      <c r="CU650">
        <v>2.3094000000000001</v>
      </c>
      <c r="CV650">
        <v>11.163</v>
      </c>
      <c r="CW650">
        <v>3.7217000000000002</v>
      </c>
      <c r="CX650">
        <v>98.074399999999997</v>
      </c>
      <c r="CY650" t="s">
        <v>135</v>
      </c>
      <c r="CZ650" t="s">
        <v>135</v>
      </c>
      <c r="DA650" t="s">
        <v>135</v>
      </c>
      <c r="DB650" t="s">
        <v>135</v>
      </c>
      <c r="DC650" t="s">
        <v>135</v>
      </c>
      <c r="DD650" t="s">
        <v>135</v>
      </c>
      <c r="DE650">
        <v>20269.8</v>
      </c>
      <c r="DF650" t="s">
        <v>135</v>
      </c>
      <c r="DG650" t="s">
        <v>135</v>
      </c>
      <c r="DH650" t="s">
        <v>135</v>
      </c>
      <c r="DI650" t="s">
        <v>135</v>
      </c>
    </row>
    <row r="651" spans="4:113" x14ac:dyDescent="0.3">
      <c r="E651" t="s">
        <v>80</v>
      </c>
      <c r="F651" t="s">
        <v>135</v>
      </c>
      <c r="G651" t="s">
        <v>135</v>
      </c>
      <c r="H651" t="s">
        <v>135</v>
      </c>
      <c r="I651" t="s">
        <v>135</v>
      </c>
      <c r="J651">
        <v>32.339399999999998</v>
      </c>
      <c r="K651">
        <v>29.5946</v>
      </c>
      <c r="L651">
        <v>26.680099999999999</v>
      </c>
      <c r="M651">
        <v>29.7959</v>
      </c>
      <c r="N651">
        <v>17.5031</v>
      </c>
      <c r="O651">
        <v>17.529800000000002</v>
      </c>
      <c r="P651">
        <v>17.529800000000002</v>
      </c>
      <c r="Q651">
        <v>41.256599999999999</v>
      </c>
      <c r="R651" t="s">
        <v>135</v>
      </c>
      <c r="S651" t="s">
        <v>135</v>
      </c>
      <c r="T651">
        <v>12.137600000000001</v>
      </c>
      <c r="U651">
        <v>15.2446</v>
      </c>
      <c r="V651">
        <v>10.813000000000001</v>
      </c>
      <c r="W651">
        <v>28.4678</v>
      </c>
      <c r="X651">
        <v>28.352499999999999</v>
      </c>
      <c r="Y651" t="s">
        <v>135</v>
      </c>
      <c r="Z651" t="s">
        <v>135</v>
      </c>
      <c r="AA651" t="s">
        <v>135</v>
      </c>
      <c r="AB651" t="s">
        <v>135</v>
      </c>
      <c r="AC651" t="s">
        <v>135</v>
      </c>
      <c r="AD651" t="s">
        <v>135</v>
      </c>
      <c r="AE651" t="s">
        <v>135</v>
      </c>
      <c r="AF651" t="s">
        <v>135</v>
      </c>
      <c r="AG651" t="s">
        <v>135</v>
      </c>
      <c r="AH651" t="s">
        <v>135</v>
      </c>
      <c r="AI651" t="s">
        <v>135</v>
      </c>
      <c r="AJ651" t="s">
        <v>135</v>
      </c>
      <c r="AK651" t="s">
        <v>135</v>
      </c>
      <c r="AL651" t="s">
        <v>135</v>
      </c>
      <c r="AM651">
        <v>14.381500000000001</v>
      </c>
      <c r="AN651">
        <v>17.8811</v>
      </c>
      <c r="AO651">
        <v>16.623699999999999</v>
      </c>
      <c r="AP651">
        <v>10.667</v>
      </c>
      <c r="AQ651">
        <v>10.5375</v>
      </c>
      <c r="AR651" t="s">
        <v>135</v>
      </c>
      <c r="AS651" t="s">
        <v>135</v>
      </c>
      <c r="AT651" t="s">
        <v>135</v>
      </c>
      <c r="AU651" t="s">
        <v>135</v>
      </c>
      <c r="AV651" t="s">
        <v>135</v>
      </c>
      <c r="AW651" t="s">
        <v>135</v>
      </c>
      <c r="AX651" t="s">
        <v>135</v>
      </c>
      <c r="AY651" t="s">
        <v>135</v>
      </c>
      <c r="AZ651" t="s">
        <v>135</v>
      </c>
      <c r="BA651" t="s">
        <v>135</v>
      </c>
      <c r="BB651" t="s">
        <v>135</v>
      </c>
      <c r="BC651" t="s">
        <v>135</v>
      </c>
      <c r="BD651" t="s">
        <v>135</v>
      </c>
      <c r="BE651" t="s">
        <v>135</v>
      </c>
      <c r="BF651">
        <v>16.1828</v>
      </c>
      <c r="BG651">
        <v>24.778500000000001</v>
      </c>
      <c r="BH651">
        <v>24.970099999999999</v>
      </c>
      <c r="BI651">
        <v>-48.484299999999998</v>
      </c>
      <c r="BJ651">
        <v>-48.540700000000001</v>
      </c>
      <c r="BK651" t="s">
        <v>135</v>
      </c>
      <c r="BL651" t="s">
        <v>135</v>
      </c>
      <c r="BM651" t="s">
        <v>135</v>
      </c>
      <c r="BN651" t="s">
        <v>135</v>
      </c>
      <c r="BO651" t="s">
        <v>135</v>
      </c>
      <c r="BP651" t="s">
        <v>135</v>
      </c>
      <c r="BQ651" t="s">
        <v>135</v>
      </c>
      <c r="BR651" t="s">
        <v>135</v>
      </c>
      <c r="BS651" t="s">
        <v>135</v>
      </c>
      <c r="BT651" t="s">
        <v>135</v>
      </c>
      <c r="BU651" t="s">
        <v>135</v>
      </c>
      <c r="BV651" t="s">
        <v>135</v>
      </c>
      <c r="BW651" t="s">
        <v>135</v>
      </c>
      <c r="BX651" t="s">
        <v>135</v>
      </c>
      <c r="BY651" t="s">
        <v>135</v>
      </c>
      <c r="BZ651" t="s">
        <v>135</v>
      </c>
      <c r="CA651" t="s">
        <v>135</v>
      </c>
      <c r="CB651" t="s">
        <v>135</v>
      </c>
      <c r="CC651" t="s">
        <v>135</v>
      </c>
      <c r="CD651" t="s">
        <v>135</v>
      </c>
      <c r="CE651" t="s">
        <v>135</v>
      </c>
      <c r="CF651">
        <v>251.87289999999999</v>
      </c>
      <c r="CG651" t="s">
        <v>135</v>
      </c>
      <c r="CH651" t="s">
        <v>135</v>
      </c>
      <c r="CI651" t="s">
        <v>135</v>
      </c>
      <c r="CJ651" t="s">
        <v>135</v>
      </c>
      <c r="CK651" t="s">
        <v>135</v>
      </c>
      <c r="CL651" t="s">
        <v>135</v>
      </c>
      <c r="CM651" t="s">
        <v>135</v>
      </c>
      <c r="CN651" t="s">
        <v>135</v>
      </c>
      <c r="CO651" t="s">
        <v>135</v>
      </c>
      <c r="CP651">
        <v>5944.2</v>
      </c>
      <c r="CQ651" t="s">
        <v>135</v>
      </c>
      <c r="CR651">
        <v>5439.7</v>
      </c>
      <c r="CS651" t="s">
        <v>135</v>
      </c>
      <c r="CT651" t="s">
        <v>135</v>
      </c>
      <c r="CU651" t="s">
        <v>135</v>
      </c>
      <c r="CV651" t="s">
        <v>135</v>
      </c>
      <c r="CW651" t="s">
        <v>135</v>
      </c>
      <c r="CX651" t="s">
        <v>135</v>
      </c>
      <c r="CY651" t="s">
        <v>135</v>
      </c>
      <c r="CZ651" t="s">
        <v>135</v>
      </c>
      <c r="DA651" t="s">
        <v>135</v>
      </c>
      <c r="DB651" t="s">
        <v>135</v>
      </c>
      <c r="DC651" t="s">
        <v>135</v>
      </c>
      <c r="DD651" t="s">
        <v>135</v>
      </c>
      <c r="DE651" t="s">
        <v>135</v>
      </c>
      <c r="DF651" t="s">
        <v>135</v>
      </c>
      <c r="DG651" t="s">
        <v>135</v>
      </c>
      <c r="DH651" t="s">
        <v>135</v>
      </c>
      <c r="DI651" t="s">
        <v>135</v>
      </c>
    </row>
    <row r="652" spans="4:113" x14ac:dyDescent="0.3">
      <c r="E652" t="s">
        <v>81</v>
      </c>
      <c r="F652">
        <v>20.023900000000001</v>
      </c>
      <c r="G652">
        <v>13.3436</v>
      </c>
      <c r="H652">
        <v>16.833400000000001</v>
      </c>
      <c r="I652">
        <v>12.042</v>
      </c>
      <c r="J652">
        <v>35.318300000000001</v>
      </c>
      <c r="K652">
        <v>31.873100000000001</v>
      </c>
      <c r="L652">
        <v>33.350200000000001</v>
      </c>
      <c r="M652">
        <v>29.627700000000001</v>
      </c>
      <c r="N652">
        <v>13.368</v>
      </c>
      <c r="O652">
        <v>13.388299999999999</v>
      </c>
      <c r="P652">
        <v>13.388299999999999</v>
      </c>
      <c r="Q652">
        <v>54.88</v>
      </c>
      <c r="R652" t="s">
        <v>135</v>
      </c>
      <c r="S652" t="s">
        <v>135</v>
      </c>
      <c r="T652">
        <v>12.916700000000001</v>
      </c>
      <c r="U652">
        <v>18.155200000000001</v>
      </c>
      <c r="V652">
        <v>13.5966</v>
      </c>
      <c r="W652">
        <v>-84.7547</v>
      </c>
      <c r="X652">
        <v>-84.790899999999993</v>
      </c>
      <c r="Y652" t="s">
        <v>135</v>
      </c>
      <c r="Z652">
        <v>23.7317</v>
      </c>
      <c r="AA652">
        <v>54.922800000000002</v>
      </c>
      <c r="AB652">
        <v>10.4689</v>
      </c>
      <c r="AC652">
        <v>8.5030000000000001</v>
      </c>
      <c r="AD652">
        <v>43.299900000000001</v>
      </c>
      <c r="AE652">
        <v>-2.9138999999999999</v>
      </c>
      <c r="AF652">
        <v>37.804099999999998</v>
      </c>
      <c r="AG652">
        <v>-0.34</v>
      </c>
      <c r="AH652">
        <v>-30.724900000000002</v>
      </c>
      <c r="AI652">
        <v>13.218500000000001</v>
      </c>
      <c r="AJ652">
        <v>2.3340000000000001</v>
      </c>
      <c r="AK652">
        <v>13.022600000000001</v>
      </c>
      <c r="AL652" t="s">
        <v>135</v>
      </c>
      <c r="AM652">
        <v>12.3393</v>
      </c>
      <c r="AN652">
        <v>20.258800000000001</v>
      </c>
      <c r="AO652">
        <v>18.962800000000001</v>
      </c>
      <c r="AP652">
        <v>5.1616</v>
      </c>
      <c r="AQ652">
        <v>5.1172000000000004</v>
      </c>
      <c r="AR652" t="s">
        <v>135</v>
      </c>
      <c r="AS652">
        <v>9.2111999999999998</v>
      </c>
      <c r="AT652">
        <v>24.613900000000001</v>
      </c>
      <c r="AU652">
        <v>19.485099999999999</v>
      </c>
      <c r="AV652">
        <v>17.009599999999999</v>
      </c>
      <c r="AW652">
        <v>14.7301</v>
      </c>
      <c r="AX652">
        <v>19.335100000000001</v>
      </c>
      <c r="AY652">
        <v>27.072299999999998</v>
      </c>
      <c r="AZ652">
        <v>89.968199999999996</v>
      </c>
      <c r="BA652">
        <v>145.54050000000001</v>
      </c>
      <c r="BB652">
        <v>14.115600000000001</v>
      </c>
      <c r="BC652">
        <v>18.2791</v>
      </c>
      <c r="BD652">
        <v>13.9373</v>
      </c>
      <c r="BE652" t="s">
        <v>135</v>
      </c>
      <c r="BF652">
        <v>-6.1346999999999996</v>
      </c>
      <c r="BG652">
        <v>2.5117000000000003</v>
      </c>
      <c r="BH652">
        <v>1.0920000000000001</v>
      </c>
      <c r="BI652">
        <v>-28.310700000000001</v>
      </c>
      <c r="BJ652">
        <v>-28.3582</v>
      </c>
      <c r="BK652" t="s">
        <v>135</v>
      </c>
      <c r="BL652" t="s">
        <v>135</v>
      </c>
      <c r="BM652" t="s">
        <v>135</v>
      </c>
      <c r="BN652" t="s">
        <v>135</v>
      </c>
      <c r="BO652" t="s">
        <v>135</v>
      </c>
      <c r="BP652" t="s">
        <v>135</v>
      </c>
      <c r="BQ652" t="s">
        <v>135</v>
      </c>
      <c r="BR652" t="s">
        <v>135</v>
      </c>
      <c r="BS652" t="s">
        <v>135</v>
      </c>
      <c r="BT652" t="s">
        <v>135</v>
      </c>
      <c r="BU652" t="s">
        <v>135</v>
      </c>
      <c r="BV652" t="s">
        <v>135</v>
      </c>
      <c r="BW652" t="s">
        <v>135</v>
      </c>
      <c r="BX652" t="s">
        <v>135</v>
      </c>
      <c r="BY652">
        <v>15262</v>
      </c>
      <c r="BZ652">
        <v>3810</v>
      </c>
      <c r="CA652">
        <v>11452</v>
      </c>
      <c r="CB652">
        <v>0.72289999999999999</v>
      </c>
      <c r="CC652">
        <v>-0.68810000000000004</v>
      </c>
      <c r="CD652">
        <v>0.79110000000000003</v>
      </c>
      <c r="CE652">
        <v>-0.75309999999999999</v>
      </c>
      <c r="CF652">
        <v>4.7815000000000003</v>
      </c>
      <c r="CG652">
        <v>67.941599999999994</v>
      </c>
      <c r="CH652">
        <v>15.116400000000001</v>
      </c>
      <c r="CI652">
        <v>12.5817</v>
      </c>
      <c r="CJ652">
        <v>10.2896</v>
      </c>
      <c r="CK652">
        <v>20.145499999999998</v>
      </c>
      <c r="CL652">
        <v>16.767600000000002</v>
      </c>
      <c r="CM652">
        <v>13.712899999999999</v>
      </c>
      <c r="CN652">
        <v>-19.176600000000001</v>
      </c>
      <c r="CO652">
        <v>-23.726500000000001</v>
      </c>
      <c r="CP652">
        <v>6093.5</v>
      </c>
      <c r="CQ652" t="s">
        <v>135</v>
      </c>
      <c r="CR652">
        <v>5499.1</v>
      </c>
      <c r="CS652">
        <v>1.2844</v>
      </c>
      <c r="CT652">
        <v>3.7035</v>
      </c>
      <c r="CU652">
        <v>1.9468000000000001</v>
      </c>
      <c r="CV652">
        <v>12.204599999999999</v>
      </c>
      <c r="CW652">
        <v>4.8128000000000002</v>
      </c>
      <c r="CX652">
        <v>75.839699999999993</v>
      </c>
      <c r="CY652" t="s">
        <v>135</v>
      </c>
      <c r="CZ652" t="s">
        <v>135</v>
      </c>
      <c r="DA652" t="s">
        <v>135</v>
      </c>
      <c r="DB652" t="s">
        <v>135</v>
      </c>
      <c r="DC652" t="s">
        <v>135</v>
      </c>
      <c r="DD652" t="s">
        <v>135</v>
      </c>
      <c r="DE652">
        <v>26278</v>
      </c>
      <c r="DF652">
        <v>9</v>
      </c>
      <c r="DG652">
        <v>2041</v>
      </c>
      <c r="DH652">
        <v>24228</v>
      </c>
      <c r="DI652">
        <v>0</v>
      </c>
    </row>
  </sheetData>
  <mergeCells count="3">
    <mergeCell ref="S1:AK1"/>
    <mergeCell ref="AL1:BD1"/>
    <mergeCell ref="BE1:B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A</dc:creator>
  <cp:lastModifiedBy>Prashanth A</cp:lastModifiedBy>
  <dcterms:created xsi:type="dcterms:W3CDTF">2019-03-30T03:05:43Z</dcterms:created>
  <dcterms:modified xsi:type="dcterms:W3CDTF">2019-05-10T13:21:14Z</dcterms:modified>
</cp:coreProperties>
</file>